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naldo Duarte\Downloads\"/>
    </mc:Choice>
  </mc:AlternateContent>
  <xr:revisionPtr revIDLastSave="6301" documentId="8_{745D31C7-D97E-4B3E-B98A-C0AA24C61EF6}" xr6:coauthVersionLast="47" xr6:coauthVersionMax="47" xr10:uidLastSave="{949084DF-0A91-4740-AE4A-A4BF2F80AA9C}"/>
  <bookViews>
    <workbookView xWindow="-120" yWindow="-120" windowWidth="20730" windowHeight="11160" tabRatio="500" firstSheet="4" activeTab="6" xr2:uid="{00000000-000D-0000-FFFF-FFFF00000000}"/>
  </bookViews>
  <sheets>
    <sheet name="14-FEV" sheetId="46" r:id="rId1"/>
    <sheet name="15-FEV" sheetId="47" r:id="rId2"/>
    <sheet name="16-FEV" sheetId="49" r:id="rId3"/>
    <sheet name="23-FEV" sheetId="52" r:id="rId4"/>
    <sheet name="27-FEV" sheetId="54" r:id="rId5"/>
    <sheet name="28-FEV" sheetId="56" r:id="rId6"/>
    <sheet name="ATUAL" sheetId="7" r:id="rId7"/>
    <sheet name="Agendar" sheetId="35" r:id="rId8"/>
    <sheet name="00-05 (3)" sheetId="58" r:id="rId9"/>
    <sheet name="00-05 (2)" sheetId="57" r:id="rId10"/>
    <sheet name="00-05" sheetId="10" r:id="rId11"/>
    <sheet name="Acompanhamento" sheetId="8" r:id="rId12"/>
    <sheet name="Agendamentos" sheetId="11" r:id="rId13"/>
    <sheet name="Técnicos X Equipamentos" sheetId="12" r:id="rId14"/>
    <sheet name="Contratos no EBS" sheetId="13" r:id="rId15"/>
  </sheets>
  <definedNames>
    <definedName name="_FilterDatabase_0_0" localSheetId="6">ATUAL!$A$1:$AE$958</definedName>
    <definedName name="_FilterDatabase_0_0_0" localSheetId="6">ATUAL!$A$1:$Y$698</definedName>
    <definedName name="_xlnm._FilterDatabase" localSheetId="10" hidden="1">'00-05'!$A$1:$Y$699</definedName>
    <definedName name="_xlnm._FilterDatabase" localSheetId="9" hidden="1">'00-05 (2)'!$A$1:$Y$699</definedName>
    <definedName name="_xlnm._FilterDatabase" localSheetId="8" hidden="1">'00-05 (3)'!$A$1:$Y$699</definedName>
    <definedName name="_xlnm._FilterDatabase" localSheetId="0" hidden="1">'14-FEV'!$A$1:$Y$699</definedName>
    <definedName name="_xlnm._FilterDatabase" localSheetId="1" hidden="1">'15-FEV'!$A$1:$Y$699</definedName>
    <definedName name="_xlnm._FilterDatabase" localSheetId="2" hidden="1">'16-FEV'!$A$1:$Y$699</definedName>
    <definedName name="_xlnm._FilterDatabase" localSheetId="3" hidden="1">'23-FEV'!$A$1:$Y$699</definedName>
    <definedName name="_xlnm._FilterDatabase" localSheetId="4" hidden="1">'27-FEV'!$A$1:$Y$699</definedName>
    <definedName name="_xlnm._FilterDatabase" localSheetId="5" hidden="1">'28-FEV'!$A$1:$Y$699</definedName>
    <definedName name="_xlnm._FilterDatabase" localSheetId="12" hidden="1">Agendamentos!$A$1:$E$155</definedName>
    <definedName name="_xlnm._FilterDatabase" localSheetId="7" hidden="1">Agendar!$A$1:$E$155</definedName>
    <definedName name="_xlnm._FilterDatabase" localSheetId="6" hidden="1">ATUAL!$A$1:$AC$1646</definedName>
    <definedName name="_xlnm._FilterDatabase" localSheetId="13" hidden="1">'Técnicos X Equipamentos'!$A$1:$Y$50</definedName>
    <definedName name="_xlnm.Print_Area" localSheetId="14">'Contratos no EBS'!$A$1:$D$39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D699" i="58" l="1"/>
  <c r="AC699" i="58"/>
  <c r="AB699" i="58"/>
  <c r="X699" i="58"/>
  <c r="AD698" i="58"/>
  <c r="AC698" i="58"/>
  <c r="AB698" i="58"/>
  <c r="X698" i="58"/>
  <c r="AD697" i="58"/>
  <c r="AC697" i="58"/>
  <c r="AB697" i="58"/>
  <c r="X697" i="58"/>
  <c r="AD696" i="58"/>
  <c r="AC696" i="58"/>
  <c r="AB696" i="58"/>
  <c r="X696" i="58"/>
  <c r="AD695" i="58"/>
  <c r="AC695" i="58"/>
  <c r="AB695" i="58"/>
  <c r="X695" i="58"/>
  <c r="AD694" i="58"/>
  <c r="AC694" i="58"/>
  <c r="AB694" i="58"/>
  <c r="X694" i="58"/>
  <c r="AD693" i="58"/>
  <c r="AC693" i="58"/>
  <c r="AB693" i="58"/>
  <c r="X693" i="58"/>
  <c r="AD692" i="58"/>
  <c r="AC692" i="58"/>
  <c r="AB692" i="58"/>
  <c r="X692" i="58"/>
  <c r="AD691" i="58"/>
  <c r="AC691" i="58"/>
  <c r="AB691" i="58"/>
  <c r="X691" i="58"/>
  <c r="AD690" i="58"/>
  <c r="AC690" i="58"/>
  <c r="AB690" i="58"/>
  <c r="X690" i="58"/>
  <c r="AD689" i="58"/>
  <c r="AC689" i="58"/>
  <c r="AB689" i="58"/>
  <c r="X689" i="58"/>
  <c r="AD688" i="58"/>
  <c r="AC688" i="58"/>
  <c r="AB688" i="58"/>
  <c r="X688" i="58"/>
  <c r="AD687" i="58"/>
  <c r="AC687" i="58"/>
  <c r="AB687" i="58"/>
  <c r="X687" i="58"/>
  <c r="AD686" i="58"/>
  <c r="AC686" i="58"/>
  <c r="AB686" i="58"/>
  <c r="X686" i="58"/>
  <c r="AD685" i="58"/>
  <c r="AC685" i="58"/>
  <c r="AB685" i="58"/>
  <c r="X685" i="58"/>
  <c r="AD684" i="58"/>
  <c r="AC684" i="58"/>
  <c r="AB684" i="58"/>
  <c r="X684" i="58"/>
  <c r="AD683" i="58"/>
  <c r="AC683" i="58"/>
  <c r="AB683" i="58"/>
  <c r="X683" i="58"/>
  <c r="AD682" i="58"/>
  <c r="AC682" i="58"/>
  <c r="AB682" i="58"/>
  <c r="X682" i="58"/>
  <c r="AD681" i="58"/>
  <c r="AC681" i="58"/>
  <c r="AB681" i="58"/>
  <c r="X681" i="58"/>
  <c r="AD680" i="58"/>
  <c r="AC680" i="58"/>
  <c r="AB680" i="58"/>
  <c r="X680" i="58"/>
  <c r="AD679" i="58"/>
  <c r="AC679" i="58"/>
  <c r="AB679" i="58"/>
  <c r="X679" i="58"/>
  <c r="AD678" i="58"/>
  <c r="AC678" i="58"/>
  <c r="AB678" i="58"/>
  <c r="X678" i="58"/>
  <c r="AD677" i="58"/>
  <c r="AC677" i="58"/>
  <c r="AB677" i="58"/>
  <c r="X677" i="58"/>
  <c r="AD676" i="58"/>
  <c r="AC676" i="58"/>
  <c r="AB676" i="58"/>
  <c r="X676" i="58"/>
  <c r="AD675" i="58"/>
  <c r="AC675" i="58"/>
  <c r="AB675" i="58"/>
  <c r="X675" i="58"/>
  <c r="AD674" i="58"/>
  <c r="AC674" i="58"/>
  <c r="AB674" i="58"/>
  <c r="X674" i="58"/>
  <c r="AD673" i="58"/>
  <c r="AC673" i="58"/>
  <c r="AB673" i="58"/>
  <c r="X673" i="58"/>
  <c r="AD672" i="58"/>
  <c r="AC672" i="58"/>
  <c r="AB672" i="58"/>
  <c r="X672" i="58"/>
  <c r="AD671" i="58"/>
  <c r="AC671" i="58"/>
  <c r="AB671" i="58"/>
  <c r="X671" i="58"/>
  <c r="AD670" i="58"/>
  <c r="AC670" i="58"/>
  <c r="AB670" i="58"/>
  <c r="X670" i="58"/>
  <c r="AD669" i="58"/>
  <c r="AC669" i="58"/>
  <c r="AB669" i="58"/>
  <c r="X669" i="58"/>
  <c r="AD668" i="58"/>
  <c r="AC668" i="58"/>
  <c r="AB668" i="58"/>
  <c r="X668" i="58"/>
  <c r="AD667" i="58"/>
  <c r="AC667" i="58"/>
  <c r="AB667" i="58"/>
  <c r="X667" i="58"/>
  <c r="AD666" i="58"/>
  <c r="AC666" i="58"/>
  <c r="AB666" i="58"/>
  <c r="X666" i="58"/>
  <c r="AD665" i="58"/>
  <c r="AC665" i="58"/>
  <c r="AB665" i="58"/>
  <c r="X665" i="58"/>
  <c r="AD664" i="58"/>
  <c r="AC664" i="58"/>
  <c r="AB664" i="58"/>
  <c r="X664" i="58"/>
  <c r="AD663" i="58"/>
  <c r="AC663" i="58"/>
  <c r="AB663" i="58"/>
  <c r="X663" i="58"/>
  <c r="AD662" i="58"/>
  <c r="AC662" i="58"/>
  <c r="AB662" i="58"/>
  <c r="X662" i="58"/>
  <c r="AD661" i="58"/>
  <c r="AC661" i="58"/>
  <c r="AB661" i="58"/>
  <c r="X661" i="58"/>
  <c r="AD660" i="58"/>
  <c r="AC660" i="58"/>
  <c r="AB660" i="58"/>
  <c r="X660" i="58"/>
  <c r="AD659" i="58"/>
  <c r="AC659" i="58"/>
  <c r="AB659" i="58"/>
  <c r="X659" i="58"/>
  <c r="AD658" i="58"/>
  <c r="AC658" i="58"/>
  <c r="AB658" i="58"/>
  <c r="X658" i="58"/>
  <c r="AD657" i="58"/>
  <c r="AC657" i="58"/>
  <c r="AB657" i="58"/>
  <c r="X657" i="58"/>
  <c r="AD656" i="58"/>
  <c r="AC656" i="58"/>
  <c r="AB656" i="58"/>
  <c r="X656" i="58"/>
  <c r="AD655" i="58"/>
  <c r="AC655" i="58"/>
  <c r="AB655" i="58"/>
  <c r="X655" i="58"/>
  <c r="AD654" i="58"/>
  <c r="AC654" i="58"/>
  <c r="AB654" i="58"/>
  <c r="X654" i="58"/>
  <c r="AD653" i="58"/>
  <c r="AC653" i="58"/>
  <c r="AB653" i="58"/>
  <c r="X653" i="58"/>
  <c r="AD652" i="58"/>
  <c r="AC652" i="58"/>
  <c r="AB652" i="58"/>
  <c r="X652" i="58"/>
  <c r="AD651" i="58"/>
  <c r="AC651" i="58"/>
  <c r="AB651" i="58"/>
  <c r="X651" i="58"/>
  <c r="AD650" i="58"/>
  <c r="AC650" i="58"/>
  <c r="AB650" i="58"/>
  <c r="X650" i="58"/>
  <c r="AD649" i="58"/>
  <c r="AC649" i="58"/>
  <c r="AB649" i="58"/>
  <c r="X649" i="58"/>
  <c r="AD648" i="58"/>
  <c r="AC648" i="58"/>
  <c r="AB648" i="58"/>
  <c r="X648" i="58"/>
  <c r="AD647" i="58"/>
  <c r="AC647" i="58"/>
  <c r="AB647" i="58"/>
  <c r="X647" i="58"/>
  <c r="AD646" i="58"/>
  <c r="AC646" i="58"/>
  <c r="AB646" i="58"/>
  <c r="X646" i="58"/>
  <c r="AD645" i="58"/>
  <c r="AC645" i="58"/>
  <c r="AB645" i="58"/>
  <c r="X645" i="58"/>
  <c r="AD644" i="58"/>
  <c r="AC644" i="58"/>
  <c r="AB644" i="58"/>
  <c r="X644" i="58"/>
  <c r="AD643" i="58"/>
  <c r="AC643" i="58"/>
  <c r="AB643" i="58"/>
  <c r="X643" i="58"/>
  <c r="AD642" i="58"/>
  <c r="AC642" i="58"/>
  <c r="AB642" i="58"/>
  <c r="X642" i="58"/>
  <c r="AD641" i="58"/>
  <c r="AC641" i="58"/>
  <c r="AB641" i="58"/>
  <c r="X641" i="58"/>
  <c r="AD640" i="58"/>
  <c r="AC640" i="58"/>
  <c r="AB640" i="58"/>
  <c r="X640" i="58"/>
  <c r="AD639" i="58"/>
  <c r="AC639" i="58"/>
  <c r="AB639" i="58"/>
  <c r="X639" i="58"/>
  <c r="AD638" i="58"/>
  <c r="AC638" i="58"/>
  <c r="AB638" i="58"/>
  <c r="X638" i="58"/>
  <c r="AD637" i="58"/>
  <c r="AC637" i="58"/>
  <c r="AB637" i="58"/>
  <c r="X637" i="58"/>
  <c r="AD636" i="58"/>
  <c r="AC636" i="58"/>
  <c r="AB636" i="58"/>
  <c r="X636" i="58"/>
  <c r="AD635" i="58"/>
  <c r="AC635" i="58"/>
  <c r="AB635" i="58"/>
  <c r="X635" i="58"/>
  <c r="AD634" i="58"/>
  <c r="AC634" i="58"/>
  <c r="AB634" i="58"/>
  <c r="X634" i="58"/>
  <c r="AD633" i="58"/>
  <c r="AC633" i="58"/>
  <c r="AB633" i="58"/>
  <c r="X633" i="58"/>
  <c r="AD632" i="58"/>
  <c r="AC632" i="58"/>
  <c r="AB632" i="58"/>
  <c r="X632" i="58"/>
  <c r="AD631" i="58"/>
  <c r="AC631" i="58"/>
  <c r="AB631" i="58"/>
  <c r="X631" i="58"/>
  <c r="AD630" i="58"/>
  <c r="AC630" i="58"/>
  <c r="AB630" i="58"/>
  <c r="X630" i="58"/>
  <c r="AD629" i="58"/>
  <c r="AC629" i="58"/>
  <c r="AB629" i="58"/>
  <c r="X629" i="58"/>
  <c r="AD628" i="58"/>
  <c r="AC628" i="58"/>
  <c r="AB628" i="58"/>
  <c r="X628" i="58"/>
  <c r="AD627" i="58"/>
  <c r="AC627" i="58"/>
  <c r="AB627" i="58"/>
  <c r="X627" i="58"/>
  <c r="AD626" i="58"/>
  <c r="AC626" i="58"/>
  <c r="AB626" i="58"/>
  <c r="X626" i="58"/>
  <c r="AD625" i="58"/>
  <c r="AC625" i="58"/>
  <c r="AB625" i="58"/>
  <c r="X625" i="58"/>
  <c r="AD624" i="58"/>
  <c r="AC624" i="58"/>
  <c r="AB624" i="58"/>
  <c r="X624" i="58"/>
  <c r="AD623" i="58"/>
  <c r="AC623" i="58"/>
  <c r="AB623" i="58"/>
  <c r="X623" i="58"/>
  <c r="AD622" i="58"/>
  <c r="AC622" i="58"/>
  <c r="AB622" i="58"/>
  <c r="X622" i="58"/>
  <c r="AD621" i="58"/>
  <c r="AC621" i="58"/>
  <c r="AB621" i="58"/>
  <c r="X621" i="58"/>
  <c r="AD620" i="58"/>
  <c r="AC620" i="58"/>
  <c r="AB620" i="58"/>
  <c r="X620" i="58"/>
  <c r="AD619" i="58"/>
  <c r="AC619" i="58"/>
  <c r="AB619" i="58"/>
  <c r="X619" i="58"/>
  <c r="AD618" i="58"/>
  <c r="AC618" i="58"/>
  <c r="AB618" i="58"/>
  <c r="X618" i="58"/>
  <c r="AD617" i="58"/>
  <c r="AC617" i="58"/>
  <c r="AB617" i="58"/>
  <c r="X617" i="58"/>
  <c r="AD616" i="58"/>
  <c r="AC616" i="58"/>
  <c r="AB616" i="58"/>
  <c r="X616" i="58"/>
  <c r="AD615" i="58"/>
  <c r="AC615" i="58"/>
  <c r="AB615" i="58"/>
  <c r="X615" i="58"/>
  <c r="AD614" i="58"/>
  <c r="AC614" i="58"/>
  <c r="AB614" i="58"/>
  <c r="X614" i="58"/>
  <c r="AD613" i="58"/>
  <c r="AC613" i="58"/>
  <c r="AB613" i="58"/>
  <c r="X613" i="58"/>
  <c r="AD612" i="58"/>
  <c r="AC612" i="58"/>
  <c r="AB612" i="58"/>
  <c r="X612" i="58"/>
  <c r="AD611" i="58"/>
  <c r="AC611" i="58"/>
  <c r="AB611" i="58"/>
  <c r="X611" i="58"/>
  <c r="AD610" i="58"/>
  <c r="AC610" i="58"/>
  <c r="AB610" i="58"/>
  <c r="X610" i="58"/>
  <c r="AD609" i="58"/>
  <c r="AC609" i="58"/>
  <c r="AB609" i="58"/>
  <c r="X609" i="58"/>
  <c r="AD608" i="58"/>
  <c r="AC608" i="58"/>
  <c r="AB608" i="58"/>
  <c r="X608" i="58"/>
  <c r="AD607" i="58"/>
  <c r="AC607" i="58"/>
  <c r="AB607" i="58"/>
  <c r="X607" i="58"/>
  <c r="AD606" i="58"/>
  <c r="AC606" i="58"/>
  <c r="AB606" i="58"/>
  <c r="X606" i="58"/>
  <c r="AD605" i="58"/>
  <c r="AC605" i="58"/>
  <c r="AB605" i="58"/>
  <c r="X605" i="58"/>
  <c r="AD604" i="58"/>
  <c r="AC604" i="58"/>
  <c r="AB604" i="58"/>
  <c r="X604" i="58"/>
  <c r="AD603" i="58"/>
  <c r="AC603" i="58"/>
  <c r="AB603" i="58"/>
  <c r="X603" i="58"/>
  <c r="AD602" i="58"/>
  <c r="AC602" i="58"/>
  <c r="AB602" i="58"/>
  <c r="X602" i="58"/>
  <c r="AD601" i="58"/>
  <c r="AC601" i="58"/>
  <c r="AB601" i="58"/>
  <c r="X601" i="58"/>
  <c r="AD600" i="58"/>
  <c r="AC600" i="58"/>
  <c r="AB600" i="58"/>
  <c r="X600" i="58"/>
  <c r="AD599" i="58"/>
  <c r="AC599" i="58"/>
  <c r="AB599" i="58"/>
  <c r="X599" i="58"/>
  <c r="AD598" i="58"/>
  <c r="AC598" i="58"/>
  <c r="AB598" i="58"/>
  <c r="X598" i="58"/>
  <c r="AD597" i="58"/>
  <c r="AC597" i="58"/>
  <c r="AB597" i="58"/>
  <c r="X597" i="58"/>
  <c r="AD596" i="58"/>
  <c r="AC596" i="58"/>
  <c r="AB596" i="58"/>
  <c r="X596" i="58"/>
  <c r="AD595" i="58"/>
  <c r="AC595" i="58"/>
  <c r="AB595" i="58"/>
  <c r="X595" i="58"/>
  <c r="AD594" i="58"/>
  <c r="AC594" i="58"/>
  <c r="AB594" i="58"/>
  <c r="X594" i="58"/>
  <c r="AD593" i="58"/>
  <c r="AC593" i="58"/>
  <c r="AB593" i="58"/>
  <c r="X593" i="58"/>
  <c r="AD592" i="58"/>
  <c r="AC592" i="58"/>
  <c r="AB592" i="58"/>
  <c r="X592" i="58"/>
  <c r="AD591" i="58"/>
  <c r="AC591" i="58"/>
  <c r="AB591" i="58"/>
  <c r="X591" i="58"/>
  <c r="AD590" i="58"/>
  <c r="AC590" i="58"/>
  <c r="AB590" i="58"/>
  <c r="X590" i="58"/>
  <c r="AD589" i="58"/>
  <c r="AC589" i="58"/>
  <c r="AB589" i="58"/>
  <c r="X589" i="58"/>
  <c r="AD588" i="58"/>
  <c r="AC588" i="58"/>
  <c r="AB588" i="58"/>
  <c r="X588" i="58"/>
  <c r="AD587" i="58"/>
  <c r="AC587" i="58"/>
  <c r="AB587" i="58"/>
  <c r="X587" i="58"/>
  <c r="AD586" i="58"/>
  <c r="AC586" i="58"/>
  <c r="AB586" i="58"/>
  <c r="X586" i="58"/>
  <c r="AD585" i="58"/>
  <c r="AC585" i="58"/>
  <c r="AB585" i="58"/>
  <c r="X585" i="58"/>
  <c r="AD584" i="58"/>
  <c r="AC584" i="58"/>
  <c r="AB584" i="58"/>
  <c r="X584" i="58"/>
  <c r="AD583" i="58"/>
  <c r="AC583" i="58"/>
  <c r="AB583" i="58"/>
  <c r="X583" i="58"/>
  <c r="AD582" i="58"/>
  <c r="AC582" i="58"/>
  <c r="AB582" i="58"/>
  <c r="X582" i="58"/>
  <c r="AD581" i="58"/>
  <c r="AC581" i="58"/>
  <c r="AB581" i="58"/>
  <c r="X581" i="58"/>
  <c r="AD580" i="58"/>
  <c r="AC580" i="58"/>
  <c r="AB580" i="58"/>
  <c r="X580" i="58"/>
  <c r="AD579" i="58"/>
  <c r="AC579" i="58"/>
  <c r="AB579" i="58"/>
  <c r="X579" i="58"/>
  <c r="AD578" i="58"/>
  <c r="AC578" i="58"/>
  <c r="AB578" i="58"/>
  <c r="X578" i="58"/>
  <c r="AD577" i="58"/>
  <c r="AC577" i="58"/>
  <c r="AB577" i="58"/>
  <c r="X577" i="58"/>
  <c r="AD576" i="58"/>
  <c r="AC576" i="58"/>
  <c r="AB576" i="58"/>
  <c r="X576" i="58"/>
  <c r="AD575" i="58"/>
  <c r="AC575" i="58"/>
  <c r="AB575" i="58"/>
  <c r="X575" i="58"/>
  <c r="AD574" i="58"/>
  <c r="AC574" i="58"/>
  <c r="AB574" i="58"/>
  <c r="X574" i="58"/>
  <c r="AD573" i="58"/>
  <c r="AC573" i="58"/>
  <c r="AB573" i="58"/>
  <c r="X573" i="58"/>
  <c r="AD572" i="58"/>
  <c r="AC572" i="58"/>
  <c r="AB572" i="58"/>
  <c r="X572" i="58"/>
  <c r="AD571" i="58"/>
  <c r="AC571" i="58"/>
  <c r="AB571" i="58"/>
  <c r="X571" i="58"/>
  <c r="AD570" i="58"/>
  <c r="AC570" i="58"/>
  <c r="AB570" i="58"/>
  <c r="X570" i="58"/>
  <c r="AD569" i="58"/>
  <c r="AC569" i="58"/>
  <c r="AB569" i="58"/>
  <c r="X569" i="58"/>
  <c r="AD568" i="58"/>
  <c r="AC568" i="58"/>
  <c r="AB568" i="58"/>
  <c r="X568" i="58"/>
  <c r="AD567" i="58"/>
  <c r="AC567" i="58"/>
  <c r="AB567" i="58"/>
  <c r="X567" i="58"/>
  <c r="AD566" i="58"/>
  <c r="AC566" i="58"/>
  <c r="AB566" i="58"/>
  <c r="X566" i="58"/>
  <c r="AD565" i="58"/>
  <c r="AC565" i="58"/>
  <c r="AB565" i="58"/>
  <c r="X565" i="58"/>
  <c r="AD564" i="58"/>
  <c r="AC564" i="58"/>
  <c r="AB564" i="58"/>
  <c r="X564" i="58"/>
  <c r="AD563" i="58"/>
  <c r="AC563" i="58"/>
  <c r="AB563" i="58"/>
  <c r="X563" i="58"/>
  <c r="AD562" i="58"/>
  <c r="AC562" i="58"/>
  <c r="AB562" i="58"/>
  <c r="X562" i="58"/>
  <c r="AD561" i="58"/>
  <c r="AC561" i="58"/>
  <c r="AB561" i="58"/>
  <c r="X561" i="58"/>
  <c r="AD560" i="58"/>
  <c r="AC560" i="58"/>
  <c r="AB560" i="58"/>
  <c r="X560" i="58"/>
  <c r="AD559" i="58"/>
  <c r="AC559" i="58"/>
  <c r="AB559" i="58"/>
  <c r="X559" i="58"/>
  <c r="AD558" i="58"/>
  <c r="AC558" i="58"/>
  <c r="AB558" i="58"/>
  <c r="X558" i="58"/>
  <c r="AD557" i="58"/>
  <c r="AC557" i="58"/>
  <c r="AB557" i="58"/>
  <c r="X557" i="58"/>
  <c r="AD556" i="58"/>
  <c r="AC556" i="58"/>
  <c r="AB556" i="58"/>
  <c r="X556" i="58"/>
  <c r="AD555" i="58"/>
  <c r="AC555" i="58"/>
  <c r="AB555" i="58"/>
  <c r="X555" i="58"/>
  <c r="AD554" i="58"/>
  <c r="AC554" i="58"/>
  <c r="AB554" i="58"/>
  <c r="X554" i="58"/>
  <c r="AD553" i="58"/>
  <c r="AC553" i="58"/>
  <c r="AB553" i="58"/>
  <c r="X553" i="58"/>
  <c r="AD552" i="58"/>
  <c r="AC552" i="58"/>
  <c r="AB552" i="58"/>
  <c r="X552" i="58"/>
  <c r="AD551" i="58"/>
  <c r="AC551" i="58"/>
  <c r="AB551" i="58"/>
  <c r="X551" i="58"/>
  <c r="AD550" i="58"/>
  <c r="AC550" i="58"/>
  <c r="AB550" i="58"/>
  <c r="X550" i="58"/>
  <c r="AD549" i="58"/>
  <c r="AC549" i="58"/>
  <c r="AB549" i="58"/>
  <c r="X549" i="58"/>
  <c r="AD548" i="58"/>
  <c r="AC548" i="58"/>
  <c r="AB548" i="58"/>
  <c r="X548" i="58"/>
  <c r="AD547" i="58"/>
  <c r="AC547" i="58"/>
  <c r="AB547" i="58"/>
  <c r="X547" i="58"/>
  <c r="AD546" i="58"/>
  <c r="AC546" i="58"/>
  <c r="AB546" i="58"/>
  <c r="X546" i="58"/>
  <c r="AD545" i="58"/>
  <c r="AC545" i="58"/>
  <c r="AB545" i="58"/>
  <c r="X545" i="58"/>
  <c r="AD544" i="58"/>
  <c r="AC544" i="58"/>
  <c r="AB544" i="58"/>
  <c r="X544" i="58"/>
  <c r="AD543" i="58"/>
  <c r="AC543" i="58"/>
  <c r="AB543" i="58"/>
  <c r="X543" i="58"/>
  <c r="AD542" i="58"/>
  <c r="AC542" i="58"/>
  <c r="AB542" i="58"/>
  <c r="X542" i="58"/>
  <c r="AD541" i="58"/>
  <c r="AC541" i="58"/>
  <c r="AB541" i="58"/>
  <c r="X541" i="58"/>
  <c r="AD540" i="58"/>
  <c r="AC540" i="58"/>
  <c r="AB540" i="58"/>
  <c r="X540" i="58"/>
  <c r="AD539" i="58"/>
  <c r="AC539" i="58"/>
  <c r="AB539" i="58"/>
  <c r="X539" i="58"/>
  <c r="AD538" i="58"/>
  <c r="AC538" i="58"/>
  <c r="AB538" i="58"/>
  <c r="X538" i="58"/>
  <c r="AD537" i="58"/>
  <c r="AC537" i="58"/>
  <c r="AB537" i="58"/>
  <c r="X537" i="58"/>
  <c r="AD536" i="58"/>
  <c r="AC536" i="58"/>
  <c r="AB536" i="58"/>
  <c r="X536" i="58"/>
  <c r="AD535" i="58"/>
  <c r="AC535" i="58"/>
  <c r="AB535" i="58"/>
  <c r="X535" i="58"/>
  <c r="AD534" i="58"/>
  <c r="AC534" i="58"/>
  <c r="AB534" i="58"/>
  <c r="X534" i="58"/>
  <c r="AD533" i="58"/>
  <c r="AC533" i="58"/>
  <c r="AB533" i="58"/>
  <c r="X533" i="58"/>
  <c r="AD532" i="58"/>
  <c r="AC532" i="58"/>
  <c r="AB532" i="58"/>
  <c r="X532" i="58"/>
  <c r="AD531" i="58"/>
  <c r="AC531" i="58"/>
  <c r="AB531" i="58"/>
  <c r="X531" i="58"/>
  <c r="AD530" i="58"/>
  <c r="AC530" i="58"/>
  <c r="AB530" i="58"/>
  <c r="X530" i="58"/>
  <c r="AD529" i="58"/>
  <c r="AC529" i="58"/>
  <c r="AB529" i="58"/>
  <c r="X529" i="58"/>
  <c r="AD528" i="58"/>
  <c r="AC528" i="58"/>
  <c r="AB528" i="58"/>
  <c r="X528" i="58"/>
  <c r="AD527" i="58"/>
  <c r="AC527" i="58"/>
  <c r="AB527" i="58"/>
  <c r="X527" i="58"/>
  <c r="AD526" i="58"/>
  <c r="AC526" i="58"/>
  <c r="AB526" i="58"/>
  <c r="X526" i="58"/>
  <c r="AD525" i="58"/>
  <c r="AC525" i="58"/>
  <c r="AB525" i="58"/>
  <c r="X525" i="58"/>
  <c r="AD524" i="58"/>
  <c r="AC524" i="58"/>
  <c r="AB524" i="58"/>
  <c r="X524" i="58"/>
  <c r="AD523" i="58"/>
  <c r="AC523" i="58"/>
  <c r="AB523" i="58"/>
  <c r="X523" i="58"/>
  <c r="AD522" i="58"/>
  <c r="AC522" i="58"/>
  <c r="AB522" i="58"/>
  <c r="X522" i="58"/>
  <c r="AD521" i="58"/>
  <c r="AC521" i="58"/>
  <c r="AB521" i="58"/>
  <c r="X521" i="58"/>
  <c r="AD520" i="58"/>
  <c r="AC520" i="58"/>
  <c r="AB520" i="58"/>
  <c r="X520" i="58"/>
  <c r="AD519" i="58"/>
  <c r="AC519" i="58"/>
  <c r="AB519" i="58"/>
  <c r="X519" i="58"/>
  <c r="AD518" i="58"/>
  <c r="AC518" i="58"/>
  <c r="AB518" i="58"/>
  <c r="X518" i="58"/>
  <c r="AD517" i="58"/>
  <c r="AC517" i="58"/>
  <c r="AB517" i="58"/>
  <c r="X517" i="58"/>
  <c r="AD516" i="58"/>
  <c r="AC516" i="58"/>
  <c r="AB516" i="58"/>
  <c r="X516" i="58"/>
  <c r="AD515" i="58"/>
  <c r="AC515" i="58"/>
  <c r="AB515" i="58"/>
  <c r="X515" i="58"/>
  <c r="AD514" i="58"/>
  <c r="AC514" i="58"/>
  <c r="AB514" i="58"/>
  <c r="X514" i="58"/>
  <c r="AD513" i="58"/>
  <c r="AC513" i="58"/>
  <c r="AB513" i="58"/>
  <c r="X513" i="58"/>
  <c r="AD512" i="58"/>
  <c r="AC512" i="58"/>
  <c r="AB512" i="58"/>
  <c r="X512" i="58"/>
  <c r="AD511" i="58"/>
  <c r="AC511" i="58"/>
  <c r="AB511" i="58"/>
  <c r="X511" i="58"/>
  <c r="AD510" i="58"/>
  <c r="AC510" i="58"/>
  <c r="AB510" i="58"/>
  <c r="X510" i="58"/>
  <c r="AD509" i="58"/>
  <c r="AC509" i="58"/>
  <c r="AB509" i="58"/>
  <c r="X509" i="58"/>
  <c r="AD508" i="58"/>
  <c r="AC508" i="58"/>
  <c r="AB508" i="58"/>
  <c r="X508" i="58"/>
  <c r="AD507" i="58"/>
  <c r="AC507" i="58"/>
  <c r="AB507" i="58"/>
  <c r="X507" i="58"/>
  <c r="AD506" i="58"/>
  <c r="AC506" i="58"/>
  <c r="AB506" i="58"/>
  <c r="X506" i="58"/>
  <c r="AD505" i="58"/>
  <c r="AC505" i="58"/>
  <c r="AB505" i="58"/>
  <c r="X505" i="58"/>
  <c r="AD504" i="58"/>
  <c r="AC504" i="58"/>
  <c r="AB504" i="58"/>
  <c r="X504" i="58"/>
  <c r="AD503" i="58"/>
  <c r="AC503" i="58"/>
  <c r="AB503" i="58"/>
  <c r="X503" i="58"/>
  <c r="AD502" i="58"/>
  <c r="AC502" i="58"/>
  <c r="AB502" i="58"/>
  <c r="X502" i="58"/>
  <c r="AD501" i="58"/>
  <c r="AC501" i="58"/>
  <c r="AB501" i="58"/>
  <c r="X501" i="58"/>
  <c r="AD500" i="58"/>
  <c r="AC500" i="58"/>
  <c r="AB500" i="58"/>
  <c r="X500" i="58"/>
  <c r="AD499" i="58"/>
  <c r="AC499" i="58"/>
  <c r="AB499" i="58"/>
  <c r="X499" i="58"/>
  <c r="AD498" i="58"/>
  <c r="AC498" i="58"/>
  <c r="AB498" i="58"/>
  <c r="X498" i="58"/>
  <c r="AD497" i="58"/>
  <c r="AC497" i="58"/>
  <c r="AB497" i="58"/>
  <c r="X497" i="58"/>
  <c r="AD496" i="58"/>
  <c r="AC496" i="58"/>
  <c r="AB496" i="58"/>
  <c r="X496" i="58"/>
  <c r="AD495" i="58"/>
  <c r="AC495" i="58"/>
  <c r="AB495" i="58"/>
  <c r="X495" i="58"/>
  <c r="AD494" i="58"/>
  <c r="AC494" i="58"/>
  <c r="AB494" i="58"/>
  <c r="X494" i="58"/>
  <c r="AD493" i="58"/>
  <c r="AC493" i="58"/>
  <c r="AB493" i="58"/>
  <c r="X493" i="58"/>
  <c r="AD492" i="58"/>
  <c r="AC492" i="58"/>
  <c r="AB492" i="58"/>
  <c r="X492" i="58"/>
  <c r="AD491" i="58"/>
  <c r="AC491" i="58"/>
  <c r="AB491" i="58"/>
  <c r="X491" i="58"/>
  <c r="AD490" i="58"/>
  <c r="AC490" i="58"/>
  <c r="AB490" i="58"/>
  <c r="X490" i="58"/>
  <c r="AD489" i="58"/>
  <c r="AC489" i="58"/>
  <c r="AB489" i="58"/>
  <c r="X489" i="58"/>
  <c r="AD488" i="58"/>
  <c r="AC488" i="58"/>
  <c r="AB488" i="58"/>
  <c r="X488" i="58"/>
  <c r="AD487" i="58"/>
  <c r="AC487" i="58"/>
  <c r="AB487" i="58"/>
  <c r="X487" i="58"/>
  <c r="AD486" i="58"/>
  <c r="AC486" i="58"/>
  <c r="AB486" i="58"/>
  <c r="X486" i="58"/>
  <c r="AD485" i="58"/>
  <c r="AC485" i="58"/>
  <c r="AB485" i="58"/>
  <c r="X485" i="58"/>
  <c r="AD484" i="58"/>
  <c r="AC484" i="58"/>
  <c r="AB484" i="58"/>
  <c r="X484" i="58"/>
  <c r="AD483" i="58"/>
  <c r="AC483" i="58"/>
  <c r="AB483" i="58"/>
  <c r="X483" i="58"/>
  <c r="AD482" i="58"/>
  <c r="AC482" i="58"/>
  <c r="AB482" i="58"/>
  <c r="X482" i="58"/>
  <c r="AD481" i="58"/>
  <c r="AC481" i="58"/>
  <c r="AB481" i="58"/>
  <c r="X481" i="58"/>
  <c r="AD480" i="58"/>
  <c r="AC480" i="58"/>
  <c r="AB480" i="58"/>
  <c r="X480" i="58"/>
  <c r="AD479" i="58"/>
  <c r="AC479" i="58"/>
  <c r="AB479" i="58"/>
  <c r="X479" i="58"/>
  <c r="AD478" i="58"/>
  <c r="AC478" i="58"/>
  <c r="AB478" i="58"/>
  <c r="X478" i="58"/>
  <c r="AD477" i="58"/>
  <c r="AC477" i="58"/>
  <c r="AB477" i="58"/>
  <c r="X477" i="58"/>
  <c r="AD476" i="58"/>
  <c r="AC476" i="58"/>
  <c r="AB476" i="58"/>
  <c r="X476" i="58"/>
  <c r="AD475" i="58"/>
  <c r="AC475" i="58"/>
  <c r="AB475" i="58"/>
  <c r="X475" i="58"/>
  <c r="AD474" i="58"/>
  <c r="AC474" i="58"/>
  <c r="AB474" i="58"/>
  <c r="X474" i="58"/>
  <c r="AD473" i="58"/>
  <c r="AC473" i="58"/>
  <c r="AB473" i="58"/>
  <c r="X473" i="58"/>
  <c r="AD472" i="58"/>
  <c r="AC472" i="58"/>
  <c r="AB472" i="58"/>
  <c r="X472" i="58"/>
  <c r="AD471" i="58"/>
  <c r="AC471" i="58"/>
  <c r="AB471" i="58"/>
  <c r="X471" i="58"/>
  <c r="AD470" i="58"/>
  <c r="AC470" i="58"/>
  <c r="AB470" i="58"/>
  <c r="X470" i="58"/>
  <c r="AD469" i="58"/>
  <c r="AC469" i="58"/>
  <c r="AB469" i="58"/>
  <c r="X469" i="58"/>
  <c r="AD468" i="58"/>
  <c r="AC468" i="58"/>
  <c r="AB468" i="58"/>
  <c r="X468" i="58"/>
  <c r="AD467" i="58"/>
  <c r="AC467" i="58"/>
  <c r="AB467" i="58"/>
  <c r="X467" i="58"/>
  <c r="AD466" i="58"/>
  <c r="AC466" i="58"/>
  <c r="AB466" i="58"/>
  <c r="X466" i="58"/>
  <c r="AD465" i="58"/>
  <c r="AC465" i="58"/>
  <c r="AB465" i="58"/>
  <c r="X465" i="58"/>
  <c r="AD464" i="58"/>
  <c r="AC464" i="58"/>
  <c r="AB464" i="58"/>
  <c r="X464" i="58"/>
  <c r="AD463" i="58"/>
  <c r="AC463" i="58"/>
  <c r="AB463" i="58"/>
  <c r="X463" i="58"/>
  <c r="AD462" i="58"/>
  <c r="AC462" i="58"/>
  <c r="AB462" i="58"/>
  <c r="X462" i="58"/>
  <c r="AD461" i="58"/>
  <c r="AC461" i="58"/>
  <c r="AB461" i="58"/>
  <c r="X461" i="58"/>
  <c r="AD460" i="58"/>
  <c r="AC460" i="58"/>
  <c r="AB460" i="58"/>
  <c r="X460" i="58"/>
  <c r="AD459" i="58"/>
  <c r="AC459" i="58"/>
  <c r="AB459" i="58"/>
  <c r="X459" i="58"/>
  <c r="AD458" i="58"/>
  <c r="AC458" i="58"/>
  <c r="AB458" i="58"/>
  <c r="X458" i="58"/>
  <c r="AD457" i="58"/>
  <c r="AC457" i="58"/>
  <c r="AB457" i="58"/>
  <c r="X457" i="58"/>
  <c r="AD456" i="58"/>
  <c r="AC456" i="58"/>
  <c r="AB456" i="58"/>
  <c r="X456" i="58"/>
  <c r="AD455" i="58"/>
  <c r="AC455" i="58"/>
  <c r="AB455" i="58"/>
  <c r="X455" i="58"/>
  <c r="AD454" i="58"/>
  <c r="AC454" i="58"/>
  <c r="AB454" i="58"/>
  <c r="X454" i="58"/>
  <c r="AD453" i="58"/>
  <c r="AC453" i="58"/>
  <c r="AB453" i="58"/>
  <c r="X453" i="58"/>
  <c r="AD452" i="58"/>
  <c r="AC452" i="58"/>
  <c r="AB452" i="58"/>
  <c r="X452" i="58"/>
  <c r="AD451" i="58"/>
  <c r="AC451" i="58"/>
  <c r="AB451" i="58"/>
  <c r="X451" i="58"/>
  <c r="AD450" i="58"/>
  <c r="AC450" i="58"/>
  <c r="AB450" i="58"/>
  <c r="X450" i="58"/>
  <c r="AD449" i="58"/>
  <c r="AC449" i="58"/>
  <c r="AB449" i="58"/>
  <c r="X449" i="58"/>
  <c r="AD448" i="58"/>
  <c r="AC448" i="58"/>
  <c r="AB448" i="58"/>
  <c r="X448" i="58"/>
  <c r="AD447" i="58"/>
  <c r="AC447" i="58"/>
  <c r="AB447" i="58"/>
  <c r="X447" i="58"/>
  <c r="AD446" i="58"/>
  <c r="AC446" i="58"/>
  <c r="AB446" i="58"/>
  <c r="X446" i="58"/>
  <c r="AD445" i="58"/>
  <c r="AC445" i="58"/>
  <c r="AB445" i="58"/>
  <c r="X445" i="58"/>
  <c r="AD444" i="58"/>
  <c r="AC444" i="58"/>
  <c r="AB444" i="58"/>
  <c r="X444" i="58"/>
  <c r="AD443" i="58"/>
  <c r="AC443" i="58"/>
  <c r="AB443" i="58"/>
  <c r="X443" i="58"/>
  <c r="AD442" i="58"/>
  <c r="AC442" i="58"/>
  <c r="AB442" i="58"/>
  <c r="X442" i="58"/>
  <c r="AD441" i="58"/>
  <c r="AC441" i="58"/>
  <c r="AB441" i="58"/>
  <c r="X441" i="58"/>
  <c r="AD440" i="58"/>
  <c r="AC440" i="58"/>
  <c r="AB440" i="58"/>
  <c r="X440" i="58"/>
  <c r="AD439" i="58"/>
  <c r="AC439" i="58"/>
  <c r="AB439" i="58"/>
  <c r="X439" i="58"/>
  <c r="AD438" i="58"/>
  <c r="AC438" i="58"/>
  <c r="AB438" i="58"/>
  <c r="X438" i="58"/>
  <c r="AD437" i="58"/>
  <c r="AC437" i="58"/>
  <c r="AB437" i="58"/>
  <c r="X437" i="58"/>
  <c r="AD436" i="58"/>
  <c r="AC436" i="58"/>
  <c r="AB436" i="58"/>
  <c r="X436" i="58"/>
  <c r="AD435" i="58"/>
  <c r="AC435" i="58"/>
  <c r="AB435" i="58"/>
  <c r="X435" i="58"/>
  <c r="AD434" i="58"/>
  <c r="AC434" i="58"/>
  <c r="AB434" i="58"/>
  <c r="X434" i="58"/>
  <c r="AD433" i="58"/>
  <c r="AC433" i="58"/>
  <c r="AB433" i="58"/>
  <c r="X433" i="58"/>
  <c r="AD432" i="58"/>
  <c r="AC432" i="58"/>
  <c r="AB432" i="58"/>
  <c r="X432" i="58"/>
  <c r="AD431" i="58"/>
  <c r="AC431" i="58"/>
  <c r="AB431" i="58"/>
  <c r="X431" i="58"/>
  <c r="AD430" i="58"/>
  <c r="AC430" i="58"/>
  <c r="AB430" i="58"/>
  <c r="X430" i="58"/>
  <c r="AD429" i="58"/>
  <c r="AC429" i="58"/>
  <c r="AB429" i="58"/>
  <c r="X429" i="58"/>
  <c r="AD428" i="58"/>
  <c r="AC428" i="58"/>
  <c r="AB428" i="58"/>
  <c r="X428" i="58"/>
  <c r="AD427" i="58"/>
  <c r="AC427" i="58"/>
  <c r="AB427" i="58"/>
  <c r="X427" i="58"/>
  <c r="AD426" i="58"/>
  <c r="AC426" i="58"/>
  <c r="AB426" i="58"/>
  <c r="X426" i="58"/>
  <c r="AD425" i="58"/>
  <c r="AC425" i="58"/>
  <c r="AB425" i="58"/>
  <c r="X425" i="58"/>
  <c r="AD424" i="58"/>
  <c r="AC424" i="58"/>
  <c r="AB424" i="58"/>
  <c r="X424" i="58"/>
  <c r="AD423" i="58"/>
  <c r="AC423" i="58"/>
  <c r="AB423" i="58"/>
  <c r="X423" i="58"/>
  <c r="AD422" i="58"/>
  <c r="AC422" i="58"/>
  <c r="AB422" i="58"/>
  <c r="X422" i="58"/>
  <c r="AD421" i="58"/>
  <c r="AC421" i="58"/>
  <c r="AB421" i="58"/>
  <c r="X421" i="58"/>
  <c r="AD420" i="58"/>
  <c r="AC420" i="58"/>
  <c r="AB420" i="58"/>
  <c r="X420" i="58"/>
  <c r="AD419" i="58"/>
  <c r="AC419" i="58"/>
  <c r="AB419" i="58"/>
  <c r="X419" i="58"/>
  <c r="AD418" i="58"/>
  <c r="AC418" i="58"/>
  <c r="AB418" i="58"/>
  <c r="X418" i="58"/>
  <c r="AD417" i="58"/>
  <c r="AC417" i="58"/>
  <c r="AB417" i="58"/>
  <c r="X417" i="58"/>
  <c r="AD416" i="58"/>
  <c r="AC416" i="58"/>
  <c r="AB416" i="58"/>
  <c r="X416" i="58"/>
  <c r="AD415" i="58"/>
  <c r="AC415" i="58"/>
  <c r="AB415" i="58"/>
  <c r="X415" i="58"/>
  <c r="AD414" i="58"/>
  <c r="AC414" i="58"/>
  <c r="AB414" i="58"/>
  <c r="X414" i="58"/>
  <c r="AD413" i="58"/>
  <c r="AC413" i="58"/>
  <c r="AB413" i="58"/>
  <c r="X413" i="58"/>
  <c r="AD412" i="58"/>
  <c r="AC412" i="58"/>
  <c r="AB412" i="58"/>
  <c r="X412" i="58"/>
  <c r="AD411" i="58"/>
  <c r="AC411" i="58"/>
  <c r="AB411" i="58"/>
  <c r="X411" i="58"/>
  <c r="AD410" i="58"/>
  <c r="AC410" i="58"/>
  <c r="AB410" i="58"/>
  <c r="X410" i="58"/>
  <c r="AD409" i="58"/>
  <c r="AC409" i="58"/>
  <c r="AB409" i="58"/>
  <c r="X409" i="58"/>
  <c r="AD408" i="58"/>
  <c r="AC408" i="58"/>
  <c r="AB408" i="58"/>
  <c r="X408" i="58"/>
  <c r="AD407" i="58"/>
  <c r="AC407" i="58"/>
  <c r="AB407" i="58"/>
  <c r="X407" i="58"/>
  <c r="AD406" i="58"/>
  <c r="AC406" i="58"/>
  <c r="AB406" i="58"/>
  <c r="X406" i="58"/>
  <c r="AD405" i="58"/>
  <c r="AC405" i="58"/>
  <c r="AB405" i="58"/>
  <c r="X405" i="58"/>
  <c r="AD404" i="58"/>
  <c r="AC404" i="58"/>
  <c r="AB404" i="58"/>
  <c r="X404" i="58"/>
  <c r="AD403" i="58"/>
  <c r="AC403" i="58"/>
  <c r="AB403" i="58"/>
  <c r="X403" i="58"/>
  <c r="AD402" i="58"/>
  <c r="AC402" i="58"/>
  <c r="AB402" i="58"/>
  <c r="X402" i="58"/>
  <c r="AD401" i="58"/>
  <c r="AC401" i="58"/>
  <c r="AB401" i="58"/>
  <c r="X401" i="58"/>
  <c r="AD400" i="58"/>
  <c r="AC400" i="58"/>
  <c r="AB400" i="58"/>
  <c r="X400" i="58"/>
  <c r="AD399" i="58"/>
  <c r="AC399" i="58"/>
  <c r="AB399" i="58"/>
  <c r="X399" i="58"/>
  <c r="AD398" i="58"/>
  <c r="AC398" i="58"/>
  <c r="AB398" i="58"/>
  <c r="X398" i="58"/>
  <c r="AD397" i="58"/>
  <c r="AC397" i="58"/>
  <c r="AB397" i="58"/>
  <c r="X397" i="58"/>
  <c r="AD396" i="58"/>
  <c r="AC396" i="58"/>
  <c r="AB396" i="58"/>
  <c r="X396" i="58"/>
  <c r="AD395" i="58"/>
  <c r="AC395" i="58"/>
  <c r="AB395" i="58"/>
  <c r="X395" i="58"/>
  <c r="AD394" i="58"/>
  <c r="AC394" i="58"/>
  <c r="AB394" i="58"/>
  <c r="X394" i="58"/>
  <c r="AD393" i="58"/>
  <c r="AC393" i="58"/>
  <c r="AB393" i="58"/>
  <c r="X393" i="58"/>
  <c r="AD392" i="58"/>
  <c r="AC392" i="58"/>
  <c r="AB392" i="58"/>
  <c r="X392" i="58"/>
  <c r="AD391" i="58"/>
  <c r="AC391" i="58"/>
  <c r="AB391" i="58"/>
  <c r="X391" i="58"/>
  <c r="AD390" i="58"/>
  <c r="AC390" i="58"/>
  <c r="AB390" i="58"/>
  <c r="X390" i="58"/>
  <c r="AD389" i="58"/>
  <c r="AC389" i="58"/>
  <c r="AB389" i="58"/>
  <c r="X389" i="58"/>
  <c r="AD388" i="58"/>
  <c r="AC388" i="58"/>
  <c r="AB388" i="58"/>
  <c r="X388" i="58"/>
  <c r="AD387" i="58"/>
  <c r="AC387" i="58"/>
  <c r="AB387" i="58"/>
  <c r="X387" i="58"/>
  <c r="AD386" i="58"/>
  <c r="AC386" i="58"/>
  <c r="AB386" i="58"/>
  <c r="X386" i="58"/>
  <c r="AD385" i="58"/>
  <c r="AC385" i="58"/>
  <c r="AB385" i="58"/>
  <c r="X385" i="58"/>
  <c r="AD384" i="58"/>
  <c r="AC384" i="58"/>
  <c r="AB384" i="58"/>
  <c r="X384" i="58"/>
  <c r="AD383" i="58"/>
  <c r="AC383" i="58"/>
  <c r="AB383" i="58"/>
  <c r="X383" i="58"/>
  <c r="AD382" i="58"/>
  <c r="AC382" i="58"/>
  <c r="AB382" i="58"/>
  <c r="X382" i="58"/>
  <c r="AD381" i="58"/>
  <c r="AC381" i="58"/>
  <c r="AB381" i="58"/>
  <c r="X381" i="58"/>
  <c r="AD380" i="58"/>
  <c r="AC380" i="58"/>
  <c r="AB380" i="58"/>
  <c r="X380" i="58"/>
  <c r="AD379" i="58"/>
  <c r="AC379" i="58"/>
  <c r="AB379" i="58"/>
  <c r="X379" i="58"/>
  <c r="AD378" i="58"/>
  <c r="AC378" i="58"/>
  <c r="AB378" i="58"/>
  <c r="X378" i="58"/>
  <c r="AD377" i="58"/>
  <c r="AC377" i="58"/>
  <c r="AB377" i="58"/>
  <c r="X377" i="58"/>
  <c r="AD376" i="58"/>
  <c r="AC376" i="58"/>
  <c r="AB376" i="58"/>
  <c r="X376" i="58"/>
  <c r="AD375" i="58"/>
  <c r="AC375" i="58"/>
  <c r="AB375" i="58"/>
  <c r="X375" i="58"/>
  <c r="AD374" i="58"/>
  <c r="AC374" i="58"/>
  <c r="AB374" i="58"/>
  <c r="X374" i="58"/>
  <c r="AD373" i="58"/>
  <c r="AC373" i="58"/>
  <c r="AB373" i="58"/>
  <c r="X373" i="58"/>
  <c r="AD372" i="58"/>
  <c r="AC372" i="58"/>
  <c r="AB372" i="58"/>
  <c r="X372" i="58"/>
  <c r="AD371" i="58"/>
  <c r="AC371" i="58"/>
  <c r="AB371" i="58"/>
  <c r="X371" i="58"/>
  <c r="AD370" i="58"/>
  <c r="AC370" i="58"/>
  <c r="AB370" i="58"/>
  <c r="X370" i="58"/>
  <c r="AD369" i="58"/>
  <c r="AC369" i="58"/>
  <c r="AB369" i="58"/>
  <c r="X369" i="58"/>
  <c r="AD368" i="58"/>
  <c r="AC368" i="58"/>
  <c r="AB368" i="58"/>
  <c r="X368" i="58"/>
  <c r="AD367" i="58"/>
  <c r="AC367" i="58"/>
  <c r="AB367" i="58"/>
  <c r="X367" i="58"/>
  <c r="AD366" i="58"/>
  <c r="AC366" i="58"/>
  <c r="AB366" i="58"/>
  <c r="X366" i="58"/>
  <c r="AD365" i="58"/>
  <c r="AC365" i="58"/>
  <c r="AB365" i="58"/>
  <c r="X365" i="58"/>
  <c r="AD364" i="58"/>
  <c r="AC364" i="58"/>
  <c r="AB364" i="58"/>
  <c r="X364" i="58"/>
  <c r="AD363" i="58"/>
  <c r="AC363" i="58"/>
  <c r="AB363" i="58"/>
  <c r="X363" i="58"/>
  <c r="AD362" i="58"/>
  <c r="AC362" i="58"/>
  <c r="AB362" i="58"/>
  <c r="X362" i="58"/>
  <c r="AD361" i="58"/>
  <c r="AC361" i="58"/>
  <c r="AB361" i="58"/>
  <c r="X361" i="58"/>
  <c r="AD360" i="58"/>
  <c r="AC360" i="58"/>
  <c r="AB360" i="58"/>
  <c r="X360" i="58"/>
  <c r="AD359" i="58"/>
  <c r="AC359" i="58"/>
  <c r="AB359" i="58"/>
  <c r="X359" i="58"/>
  <c r="AD358" i="58"/>
  <c r="AC358" i="58"/>
  <c r="AB358" i="58"/>
  <c r="X358" i="58"/>
  <c r="AD357" i="58"/>
  <c r="AC357" i="58"/>
  <c r="AB357" i="58"/>
  <c r="X357" i="58"/>
  <c r="AD356" i="58"/>
  <c r="AC356" i="58"/>
  <c r="AB356" i="58"/>
  <c r="X356" i="58"/>
  <c r="AD355" i="58"/>
  <c r="AC355" i="58"/>
  <c r="AB355" i="58"/>
  <c r="X355" i="58"/>
  <c r="AD354" i="58"/>
  <c r="AC354" i="58"/>
  <c r="AB354" i="58"/>
  <c r="X354" i="58"/>
  <c r="AD353" i="58"/>
  <c r="AC353" i="58"/>
  <c r="AB353" i="58"/>
  <c r="X353" i="58"/>
  <c r="AD352" i="58"/>
  <c r="AC352" i="58"/>
  <c r="AB352" i="58"/>
  <c r="X352" i="58"/>
  <c r="AD351" i="58"/>
  <c r="AC351" i="58"/>
  <c r="AB351" i="58"/>
  <c r="X351" i="58"/>
  <c r="AD350" i="58"/>
  <c r="AC350" i="58"/>
  <c r="AB350" i="58"/>
  <c r="X350" i="58"/>
  <c r="AD349" i="58"/>
  <c r="AC349" i="58"/>
  <c r="AB349" i="58"/>
  <c r="X349" i="58"/>
  <c r="AD348" i="58"/>
  <c r="AC348" i="58"/>
  <c r="AB348" i="58"/>
  <c r="X348" i="58"/>
  <c r="AD347" i="58"/>
  <c r="AC347" i="58"/>
  <c r="AB347" i="58"/>
  <c r="X347" i="58"/>
  <c r="AD346" i="58"/>
  <c r="AC346" i="58"/>
  <c r="AB346" i="58"/>
  <c r="X346" i="58"/>
  <c r="AD345" i="58"/>
  <c r="AC345" i="58"/>
  <c r="AB345" i="58"/>
  <c r="X345" i="58"/>
  <c r="AD344" i="58"/>
  <c r="AC344" i="58"/>
  <c r="AB344" i="58"/>
  <c r="X344" i="58"/>
  <c r="AD343" i="58"/>
  <c r="AC343" i="58"/>
  <c r="AB343" i="58"/>
  <c r="X343" i="58"/>
  <c r="AD342" i="58"/>
  <c r="AC342" i="58"/>
  <c r="AB342" i="58"/>
  <c r="X342" i="58"/>
  <c r="AD341" i="58"/>
  <c r="AC341" i="58"/>
  <c r="AB341" i="58"/>
  <c r="X341" i="58"/>
  <c r="AD340" i="58"/>
  <c r="AC340" i="58"/>
  <c r="AB340" i="58"/>
  <c r="X340" i="58"/>
  <c r="AD339" i="58"/>
  <c r="AC339" i="58"/>
  <c r="AB339" i="58"/>
  <c r="X339" i="58"/>
  <c r="AD338" i="58"/>
  <c r="AC338" i="58"/>
  <c r="AB338" i="58"/>
  <c r="X338" i="58"/>
  <c r="AD337" i="58"/>
  <c r="AC337" i="58"/>
  <c r="AB337" i="58"/>
  <c r="X337" i="58"/>
  <c r="AD336" i="58"/>
  <c r="AC336" i="58"/>
  <c r="AB336" i="58"/>
  <c r="X336" i="58"/>
  <c r="AD335" i="58"/>
  <c r="AC335" i="58"/>
  <c r="AB335" i="58"/>
  <c r="X335" i="58"/>
  <c r="AD334" i="58"/>
  <c r="AC334" i="58"/>
  <c r="AB334" i="58"/>
  <c r="X334" i="58"/>
  <c r="AD333" i="58"/>
  <c r="AC333" i="58"/>
  <c r="AB333" i="58"/>
  <c r="X333" i="58"/>
  <c r="AD332" i="58"/>
  <c r="AC332" i="58"/>
  <c r="AB332" i="58"/>
  <c r="X332" i="58"/>
  <c r="AD331" i="58"/>
  <c r="AC331" i="58"/>
  <c r="AB331" i="58"/>
  <c r="X331" i="58"/>
  <c r="AD330" i="58"/>
  <c r="AC330" i="58"/>
  <c r="AB330" i="58"/>
  <c r="X330" i="58"/>
  <c r="AD329" i="58"/>
  <c r="AC329" i="58"/>
  <c r="AB329" i="58"/>
  <c r="X329" i="58"/>
  <c r="AD328" i="58"/>
  <c r="AC328" i="58"/>
  <c r="AB328" i="58"/>
  <c r="X328" i="58"/>
  <c r="AD327" i="58"/>
  <c r="AC327" i="58"/>
  <c r="AB327" i="58"/>
  <c r="X327" i="58"/>
  <c r="AD326" i="58"/>
  <c r="AC326" i="58"/>
  <c r="AB326" i="58"/>
  <c r="X326" i="58"/>
  <c r="AD325" i="58"/>
  <c r="AC325" i="58"/>
  <c r="AB325" i="58"/>
  <c r="X325" i="58"/>
  <c r="AD324" i="58"/>
  <c r="AC324" i="58"/>
  <c r="AB324" i="58"/>
  <c r="X324" i="58"/>
  <c r="AD323" i="58"/>
  <c r="AC323" i="58"/>
  <c r="AB323" i="58"/>
  <c r="X323" i="58"/>
  <c r="AD322" i="58"/>
  <c r="AC322" i="58"/>
  <c r="AB322" i="58"/>
  <c r="X322" i="58"/>
  <c r="AD321" i="58"/>
  <c r="AC321" i="58"/>
  <c r="AB321" i="58"/>
  <c r="X321" i="58"/>
  <c r="AD320" i="58"/>
  <c r="AC320" i="58"/>
  <c r="AB320" i="58"/>
  <c r="X320" i="58"/>
  <c r="AD319" i="58"/>
  <c r="AC319" i="58"/>
  <c r="AB319" i="58"/>
  <c r="X319" i="58"/>
  <c r="AD318" i="58"/>
  <c r="AC318" i="58"/>
  <c r="AB318" i="58"/>
  <c r="X318" i="58"/>
  <c r="AD317" i="58"/>
  <c r="AC317" i="58"/>
  <c r="AB317" i="58"/>
  <c r="X317" i="58"/>
  <c r="AD316" i="58"/>
  <c r="AC316" i="58"/>
  <c r="AB316" i="58"/>
  <c r="X316" i="58"/>
  <c r="AD315" i="58"/>
  <c r="AC315" i="58"/>
  <c r="AB315" i="58"/>
  <c r="X315" i="58"/>
  <c r="AD314" i="58"/>
  <c r="AC314" i="58"/>
  <c r="AB314" i="58"/>
  <c r="X314" i="58"/>
  <c r="AD313" i="58"/>
  <c r="AC313" i="58"/>
  <c r="AB313" i="58"/>
  <c r="X313" i="58"/>
  <c r="AD312" i="58"/>
  <c r="AC312" i="58"/>
  <c r="AB312" i="58"/>
  <c r="X312" i="58"/>
  <c r="AD311" i="58"/>
  <c r="AC311" i="58"/>
  <c r="AB311" i="58"/>
  <c r="X311" i="58"/>
  <c r="AD310" i="58"/>
  <c r="AC310" i="58"/>
  <c r="AB310" i="58"/>
  <c r="X310" i="58"/>
  <c r="AD309" i="58"/>
  <c r="AC309" i="58"/>
  <c r="AB309" i="58"/>
  <c r="X309" i="58"/>
  <c r="AD308" i="58"/>
  <c r="AC308" i="58"/>
  <c r="AB308" i="58"/>
  <c r="X308" i="58"/>
  <c r="AD307" i="58"/>
  <c r="AC307" i="58"/>
  <c r="AB307" i="58"/>
  <c r="X307" i="58"/>
  <c r="AD306" i="58"/>
  <c r="AC306" i="58"/>
  <c r="AB306" i="58"/>
  <c r="X306" i="58"/>
  <c r="AD305" i="58"/>
  <c r="AC305" i="58"/>
  <c r="AB305" i="58"/>
  <c r="X305" i="58"/>
  <c r="AD304" i="58"/>
  <c r="AC304" i="58"/>
  <c r="AB304" i="58"/>
  <c r="X304" i="58"/>
  <c r="AD303" i="58"/>
  <c r="AC303" i="58"/>
  <c r="AB303" i="58"/>
  <c r="X303" i="58"/>
  <c r="AD302" i="58"/>
  <c r="AC302" i="58"/>
  <c r="AB302" i="58"/>
  <c r="X302" i="58"/>
  <c r="AD301" i="58"/>
  <c r="AC301" i="58"/>
  <c r="AB301" i="58"/>
  <c r="X301" i="58"/>
  <c r="AD300" i="58"/>
  <c r="AC300" i="58"/>
  <c r="AB300" i="58"/>
  <c r="X300" i="58"/>
  <c r="AD299" i="58"/>
  <c r="AC299" i="58"/>
  <c r="AB299" i="58"/>
  <c r="X299" i="58"/>
  <c r="AD298" i="58"/>
  <c r="AC298" i="58"/>
  <c r="AB298" i="58"/>
  <c r="X298" i="58"/>
  <c r="AD297" i="58"/>
  <c r="AC297" i="58"/>
  <c r="AB297" i="58"/>
  <c r="X297" i="58"/>
  <c r="AD296" i="58"/>
  <c r="AC296" i="58"/>
  <c r="AB296" i="58"/>
  <c r="X296" i="58"/>
  <c r="AD295" i="58"/>
  <c r="AC295" i="58"/>
  <c r="AB295" i="58"/>
  <c r="X295" i="58"/>
  <c r="AD294" i="58"/>
  <c r="AC294" i="58"/>
  <c r="AB294" i="58"/>
  <c r="X294" i="58"/>
  <c r="AD293" i="58"/>
  <c r="AC293" i="58"/>
  <c r="AB293" i="58"/>
  <c r="X293" i="58"/>
  <c r="AD292" i="58"/>
  <c r="AC292" i="58"/>
  <c r="AB292" i="58"/>
  <c r="X292" i="58"/>
  <c r="AD291" i="58"/>
  <c r="AC291" i="58"/>
  <c r="AB291" i="58"/>
  <c r="X291" i="58"/>
  <c r="AD290" i="58"/>
  <c r="AC290" i="58"/>
  <c r="AB290" i="58"/>
  <c r="X290" i="58"/>
  <c r="AD289" i="58"/>
  <c r="AC289" i="58"/>
  <c r="AB289" i="58"/>
  <c r="X289" i="58"/>
  <c r="AD288" i="58"/>
  <c r="AC288" i="58"/>
  <c r="AB288" i="58"/>
  <c r="X288" i="58"/>
  <c r="AD287" i="58"/>
  <c r="AC287" i="58"/>
  <c r="AB287" i="58"/>
  <c r="X287" i="58"/>
  <c r="AD286" i="58"/>
  <c r="AC286" i="58"/>
  <c r="AB286" i="58"/>
  <c r="X286" i="58"/>
  <c r="AD285" i="58"/>
  <c r="AC285" i="58"/>
  <c r="AB285" i="58"/>
  <c r="X285" i="58"/>
  <c r="AD284" i="58"/>
  <c r="AC284" i="58"/>
  <c r="AB284" i="58"/>
  <c r="X284" i="58"/>
  <c r="AD283" i="58"/>
  <c r="AC283" i="58"/>
  <c r="AB283" i="58"/>
  <c r="X283" i="58"/>
  <c r="AD282" i="58"/>
  <c r="AC282" i="58"/>
  <c r="AB282" i="58"/>
  <c r="X282" i="58"/>
  <c r="AD281" i="58"/>
  <c r="AC281" i="58"/>
  <c r="AB281" i="58"/>
  <c r="X281" i="58"/>
  <c r="AD280" i="58"/>
  <c r="AC280" i="58"/>
  <c r="AB280" i="58"/>
  <c r="X280" i="58"/>
  <c r="AD279" i="58"/>
  <c r="AC279" i="58"/>
  <c r="AB279" i="58"/>
  <c r="X279" i="58"/>
  <c r="AD278" i="58"/>
  <c r="AC278" i="58"/>
  <c r="AB278" i="58"/>
  <c r="X278" i="58"/>
  <c r="AD277" i="58"/>
  <c r="AC277" i="58"/>
  <c r="AB277" i="58"/>
  <c r="X277" i="58"/>
  <c r="AD276" i="58"/>
  <c r="AC276" i="58"/>
  <c r="AB276" i="58"/>
  <c r="X276" i="58"/>
  <c r="AD275" i="58"/>
  <c r="AC275" i="58"/>
  <c r="AB275" i="58"/>
  <c r="X275" i="58"/>
  <c r="AD274" i="58"/>
  <c r="AC274" i="58"/>
  <c r="AB274" i="58"/>
  <c r="X274" i="58"/>
  <c r="AD273" i="58"/>
  <c r="AC273" i="58"/>
  <c r="AB273" i="58"/>
  <c r="X273" i="58"/>
  <c r="AD272" i="58"/>
  <c r="AC272" i="58"/>
  <c r="AB272" i="58"/>
  <c r="X272" i="58"/>
  <c r="AD271" i="58"/>
  <c r="AC271" i="58"/>
  <c r="AB271" i="58"/>
  <c r="X271" i="58"/>
  <c r="AD270" i="58"/>
  <c r="AC270" i="58"/>
  <c r="AB270" i="58"/>
  <c r="X270" i="58"/>
  <c r="AD269" i="58"/>
  <c r="AC269" i="58"/>
  <c r="AB269" i="58"/>
  <c r="X269" i="58"/>
  <c r="AD268" i="58"/>
  <c r="AC268" i="58"/>
  <c r="AB268" i="58"/>
  <c r="X268" i="58"/>
  <c r="AD267" i="58"/>
  <c r="AC267" i="58"/>
  <c r="AB267" i="58"/>
  <c r="X267" i="58"/>
  <c r="AD266" i="58"/>
  <c r="AC266" i="58"/>
  <c r="AB266" i="58"/>
  <c r="X266" i="58"/>
  <c r="AD265" i="58"/>
  <c r="AC265" i="58"/>
  <c r="AB265" i="58"/>
  <c r="X265" i="58"/>
  <c r="AD264" i="58"/>
  <c r="AC264" i="58"/>
  <c r="AB264" i="58"/>
  <c r="X264" i="58"/>
  <c r="AD263" i="58"/>
  <c r="AC263" i="58"/>
  <c r="AB263" i="58"/>
  <c r="X263" i="58"/>
  <c r="AD262" i="58"/>
  <c r="AC262" i="58"/>
  <c r="AB262" i="58"/>
  <c r="X262" i="58"/>
  <c r="AD261" i="58"/>
  <c r="AC261" i="58"/>
  <c r="AB261" i="58"/>
  <c r="X261" i="58"/>
  <c r="AD260" i="58"/>
  <c r="AC260" i="58"/>
  <c r="AB260" i="58"/>
  <c r="X260" i="58"/>
  <c r="AD259" i="58"/>
  <c r="AC259" i="58"/>
  <c r="AB259" i="58"/>
  <c r="X259" i="58"/>
  <c r="AD258" i="58"/>
  <c r="AC258" i="58"/>
  <c r="AB258" i="58"/>
  <c r="X258" i="58"/>
  <c r="AD257" i="58"/>
  <c r="AC257" i="58"/>
  <c r="AB257" i="58"/>
  <c r="X257" i="58"/>
  <c r="AD256" i="58"/>
  <c r="AC256" i="58"/>
  <c r="AB256" i="58"/>
  <c r="X256" i="58"/>
  <c r="AD255" i="58"/>
  <c r="AC255" i="58"/>
  <c r="AB255" i="58"/>
  <c r="X255" i="58"/>
  <c r="AD254" i="58"/>
  <c r="AC254" i="58"/>
  <c r="AB254" i="58"/>
  <c r="X254" i="58"/>
  <c r="AD253" i="58"/>
  <c r="AC253" i="58"/>
  <c r="AB253" i="58"/>
  <c r="X253" i="58"/>
  <c r="AD252" i="58"/>
  <c r="AC252" i="58"/>
  <c r="AB252" i="58"/>
  <c r="X252" i="58"/>
  <c r="AD251" i="58"/>
  <c r="AC251" i="58"/>
  <c r="AB251" i="58"/>
  <c r="X251" i="58"/>
  <c r="AD250" i="58"/>
  <c r="AC250" i="58"/>
  <c r="AB250" i="58"/>
  <c r="X250" i="58"/>
  <c r="AD249" i="58"/>
  <c r="AC249" i="58"/>
  <c r="AB249" i="58"/>
  <c r="X249" i="58"/>
  <c r="AD248" i="58"/>
  <c r="AC248" i="58"/>
  <c r="AB248" i="58"/>
  <c r="X248" i="58"/>
  <c r="AD247" i="58"/>
  <c r="AC247" i="58"/>
  <c r="AB247" i="58"/>
  <c r="X247" i="58"/>
  <c r="AD246" i="58"/>
  <c r="AC246" i="58"/>
  <c r="AB246" i="58"/>
  <c r="X246" i="58"/>
  <c r="AD245" i="58"/>
  <c r="AC245" i="58"/>
  <c r="AB245" i="58"/>
  <c r="X245" i="58"/>
  <c r="AD244" i="58"/>
  <c r="AC244" i="58"/>
  <c r="AB244" i="58"/>
  <c r="X244" i="58"/>
  <c r="AD243" i="58"/>
  <c r="AC243" i="58"/>
  <c r="AB243" i="58"/>
  <c r="X243" i="58"/>
  <c r="AD242" i="58"/>
  <c r="AC242" i="58"/>
  <c r="AB242" i="58"/>
  <c r="X242" i="58"/>
  <c r="AD241" i="58"/>
  <c r="AC241" i="58"/>
  <c r="AB241" i="58"/>
  <c r="X241" i="58"/>
  <c r="AD240" i="58"/>
  <c r="AC240" i="58"/>
  <c r="AB240" i="58"/>
  <c r="X240" i="58"/>
  <c r="AD239" i="58"/>
  <c r="AC239" i="58"/>
  <c r="AB239" i="58"/>
  <c r="X239" i="58"/>
  <c r="AD238" i="58"/>
  <c r="AC238" i="58"/>
  <c r="AB238" i="58"/>
  <c r="X238" i="58"/>
  <c r="AD237" i="58"/>
  <c r="AC237" i="58"/>
  <c r="AB237" i="58"/>
  <c r="X237" i="58"/>
  <c r="AD236" i="58"/>
  <c r="AC236" i="58"/>
  <c r="AB236" i="58"/>
  <c r="X236" i="58"/>
  <c r="AD235" i="58"/>
  <c r="AC235" i="58"/>
  <c r="AB235" i="58"/>
  <c r="X235" i="58"/>
  <c r="AD234" i="58"/>
  <c r="AC234" i="58"/>
  <c r="AB234" i="58"/>
  <c r="X234" i="58"/>
  <c r="AD233" i="58"/>
  <c r="AC233" i="58"/>
  <c r="AB233" i="58"/>
  <c r="X233" i="58"/>
  <c r="AD232" i="58"/>
  <c r="AC232" i="58"/>
  <c r="AB232" i="58"/>
  <c r="X232" i="58"/>
  <c r="AD231" i="58"/>
  <c r="AC231" i="58"/>
  <c r="AB231" i="58"/>
  <c r="X231" i="58"/>
  <c r="AD230" i="58"/>
  <c r="AC230" i="58"/>
  <c r="AB230" i="58"/>
  <c r="X230" i="58"/>
  <c r="AD229" i="58"/>
  <c r="AC229" i="58"/>
  <c r="AB229" i="58"/>
  <c r="X229" i="58"/>
  <c r="AD228" i="58"/>
  <c r="AC228" i="58"/>
  <c r="AB228" i="58"/>
  <c r="X228" i="58"/>
  <c r="AD227" i="58"/>
  <c r="AC227" i="58"/>
  <c r="AB227" i="58"/>
  <c r="X227" i="58"/>
  <c r="AD226" i="58"/>
  <c r="AC226" i="58"/>
  <c r="AB226" i="58"/>
  <c r="X226" i="58"/>
  <c r="AD225" i="58"/>
  <c r="AC225" i="58"/>
  <c r="AB225" i="58"/>
  <c r="X225" i="58"/>
  <c r="AD224" i="58"/>
  <c r="AC224" i="58"/>
  <c r="AB224" i="58"/>
  <c r="X224" i="58"/>
  <c r="AD223" i="58"/>
  <c r="AC223" i="58"/>
  <c r="AB223" i="58"/>
  <c r="X223" i="58"/>
  <c r="AD222" i="58"/>
  <c r="AC222" i="58"/>
  <c r="AB222" i="58"/>
  <c r="X222" i="58"/>
  <c r="AD221" i="58"/>
  <c r="AC221" i="58"/>
  <c r="AB221" i="58"/>
  <c r="X221" i="58"/>
  <c r="AD220" i="58"/>
  <c r="AC220" i="58"/>
  <c r="AB220" i="58"/>
  <c r="X220" i="58"/>
  <c r="AD219" i="58"/>
  <c r="AC219" i="58"/>
  <c r="AB219" i="58"/>
  <c r="X219" i="58"/>
  <c r="AD218" i="58"/>
  <c r="AC218" i="58"/>
  <c r="AB218" i="58"/>
  <c r="X218" i="58"/>
  <c r="AD217" i="58"/>
  <c r="AC217" i="58"/>
  <c r="AB217" i="58"/>
  <c r="X217" i="58"/>
  <c r="AD216" i="58"/>
  <c r="AC216" i="58"/>
  <c r="AB216" i="58"/>
  <c r="X216" i="58"/>
  <c r="AD215" i="58"/>
  <c r="AC215" i="58"/>
  <c r="AB215" i="58"/>
  <c r="X215" i="58"/>
  <c r="AD214" i="58"/>
  <c r="AC214" i="58"/>
  <c r="AB214" i="58"/>
  <c r="X214" i="58"/>
  <c r="AD213" i="58"/>
  <c r="AC213" i="58"/>
  <c r="AB213" i="58"/>
  <c r="X213" i="58"/>
  <c r="AD212" i="58"/>
  <c r="AC212" i="58"/>
  <c r="AB212" i="58"/>
  <c r="X212" i="58"/>
  <c r="AD211" i="58"/>
  <c r="AC211" i="58"/>
  <c r="AB211" i="58"/>
  <c r="X211" i="58"/>
  <c r="AD210" i="58"/>
  <c r="AC210" i="58"/>
  <c r="AB210" i="58"/>
  <c r="X210" i="58"/>
  <c r="AD209" i="58"/>
  <c r="AC209" i="58"/>
  <c r="AB209" i="58"/>
  <c r="X209" i="58"/>
  <c r="AD208" i="58"/>
  <c r="AC208" i="58"/>
  <c r="AB208" i="58"/>
  <c r="X208" i="58"/>
  <c r="AD207" i="58"/>
  <c r="AC207" i="58"/>
  <c r="AB207" i="58"/>
  <c r="X207" i="58"/>
  <c r="AD206" i="58"/>
  <c r="AC206" i="58"/>
  <c r="AB206" i="58"/>
  <c r="X206" i="58"/>
  <c r="AD205" i="58"/>
  <c r="AC205" i="58"/>
  <c r="AB205" i="58"/>
  <c r="X205" i="58"/>
  <c r="AD204" i="58"/>
  <c r="AC204" i="58"/>
  <c r="AB204" i="58"/>
  <c r="X204" i="58"/>
  <c r="AD203" i="58"/>
  <c r="AC203" i="58"/>
  <c r="AB203" i="58"/>
  <c r="X203" i="58"/>
  <c r="AD202" i="58"/>
  <c r="AC202" i="58"/>
  <c r="AB202" i="58"/>
  <c r="X202" i="58"/>
  <c r="AD201" i="58"/>
  <c r="AC201" i="58"/>
  <c r="AB201" i="58"/>
  <c r="X201" i="58"/>
  <c r="AD200" i="58"/>
  <c r="AC200" i="58"/>
  <c r="AB200" i="58"/>
  <c r="X200" i="58"/>
  <c r="AD199" i="58"/>
  <c r="AC199" i="58"/>
  <c r="AB199" i="58"/>
  <c r="X199" i="58"/>
  <c r="AD198" i="58"/>
  <c r="AC198" i="58"/>
  <c r="AB198" i="58"/>
  <c r="X198" i="58"/>
  <c r="AD197" i="58"/>
  <c r="AC197" i="58"/>
  <c r="AB197" i="58"/>
  <c r="X197" i="58"/>
  <c r="AD196" i="58"/>
  <c r="AC196" i="58"/>
  <c r="AB196" i="58"/>
  <c r="X196" i="58"/>
  <c r="AD195" i="58"/>
  <c r="AC195" i="58"/>
  <c r="AB195" i="58"/>
  <c r="X195" i="58"/>
  <c r="AD194" i="58"/>
  <c r="AC194" i="58"/>
  <c r="AB194" i="58"/>
  <c r="X194" i="58"/>
  <c r="AD193" i="58"/>
  <c r="AC193" i="58"/>
  <c r="AB193" i="58"/>
  <c r="X193" i="58"/>
  <c r="AD192" i="58"/>
  <c r="AC192" i="58"/>
  <c r="AB192" i="58"/>
  <c r="X192" i="58"/>
  <c r="AD191" i="58"/>
  <c r="AC191" i="58"/>
  <c r="AB191" i="58"/>
  <c r="X191" i="58"/>
  <c r="AD190" i="58"/>
  <c r="AC190" i="58"/>
  <c r="AB190" i="58"/>
  <c r="X190" i="58"/>
  <c r="AD189" i="58"/>
  <c r="AC189" i="58"/>
  <c r="AB189" i="58"/>
  <c r="X189" i="58"/>
  <c r="AD188" i="58"/>
  <c r="AC188" i="58"/>
  <c r="AB188" i="58"/>
  <c r="X188" i="58"/>
  <c r="AD187" i="58"/>
  <c r="AC187" i="58"/>
  <c r="AB187" i="58"/>
  <c r="X187" i="58"/>
  <c r="AD186" i="58"/>
  <c r="AC186" i="58"/>
  <c r="AB186" i="58"/>
  <c r="X186" i="58"/>
  <c r="AD185" i="58"/>
  <c r="AC185" i="58"/>
  <c r="AB185" i="58"/>
  <c r="X185" i="58"/>
  <c r="AD184" i="58"/>
  <c r="AC184" i="58"/>
  <c r="AB184" i="58"/>
  <c r="X184" i="58"/>
  <c r="AD183" i="58"/>
  <c r="AC183" i="58"/>
  <c r="AB183" i="58"/>
  <c r="X183" i="58"/>
  <c r="AD182" i="58"/>
  <c r="AC182" i="58"/>
  <c r="AB182" i="58"/>
  <c r="X182" i="58"/>
  <c r="AD181" i="58"/>
  <c r="AC181" i="58"/>
  <c r="AB181" i="58"/>
  <c r="X181" i="58"/>
  <c r="AD180" i="58"/>
  <c r="AC180" i="58"/>
  <c r="AB180" i="58"/>
  <c r="X180" i="58"/>
  <c r="AD179" i="58"/>
  <c r="AC179" i="58"/>
  <c r="AB179" i="58"/>
  <c r="X179" i="58"/>
  <c r="AD178" i="58"/>
  <c r="AC178" i="58"/>
  <c r="AB178" i="58"/>
  <c r="X178" i="58"/>
  <c r="AD177" i="58"/>
  <c r="AC177" i="58"/>
  <c r="AB177" i="58"/>
  <c r="X177" i="58"/>
  <c r="AD176" i="58"/>
  <c r="AC176" i="58"/>
  <c r="AB176" i="58"/>
  <c r="X176" i="58"/>
  <c r="AD175" i="58"/>
  <c r="AC175" i="58"/>
  <c r="AB175" i="58"/>
  <c r="X175" i="58"/>
  <c r="AD174" i="58"/>
  <c r="AC174" i="58"/>
  <c r="AB174" i="58"/>
  <c r="X174" i="58"/>
  <c r="AD173" i="58"/>
  <c r="AC173" i="58"/>
  <c r="AB173" i="58"/>
  <c r="X173" i="58"/>
  <c r="AD172" i="58"/>
  <c r="AC172" i="58"/>
  <c r="AB172" i="58"/>
  <c r="X172" i="58"/>
  <c r="AD171" i="58"/>
  <c r="AC171" i="58"/>
  <c r="AB171" i="58"/>
  <c r="X171" i="58"/>
  <c r="AD170" i="58"/>
  <c r="AC170" i="58"/>
  <c r="AB170" i="58"/>
  <c r="X170" i="58"/>
  <c r="AD169" i="58"/>
  <c r="AC169" i="58"/>
  <c r="AB169" i="58"/>
  <c r="X169" i="58"/>
  <c r="AD168" i="58"/>
  <c r="AC168" i="58"/>
  <c r="AB168" i="58"/>
  <c r="X168" i="58"/>
  <c r="AD167" i="58"/>
  <c r="AC167" i="58"/>
  <c r="AB167" i="58"/>
  <c r="X167" i="58"/>
  <c r="AD166" i="58"/>
  <c r="AC166" i="58"/>
  <c r="AB166" i="58"/>
  <c r="X166" i="58"/>
  <c r="AD165" i="58"/>
  <c r="AC165" i="58"/>
  <c r="AB165" i="58"/>
  <c r="X165" i="58"/>
  <c r="AD164" i="58"/>
  <c r="AC164" i="58"/>
  <c r="AB164" i="58"/>
  <c r="X164" i="58"/>
  <c r="AD163" i="58"/>
  <c r="AC163" i="58"/>
  <c r="AB163" i="58"/>
  <c r="X163" i="58"/>
  <c r="AD162" i="58"/>
  <c r="AC162" i="58"/>
  <c r="AB162" i="58"/>
  <c r="X162" i="58"/>
  <c r="AD161" i="58"/>
  <c r="AC161" i="58"/>
  <c r="AB161" i="58"/>
  <c r="X161" i="58"/>
  <c r="AD160" i="58"/>
  <c r="AC160" i="58"/>
  <c r="AB160" i="58"/>
  <c r="X160" i="58"/>
  <c r="AD159" i="58"/>
  <c r="AC159" i="58"/>
  <c r="AB159" i="58"/>
  <c r="X159" i="58"/>
  <c r="AD158" i="58"/>
  <c r="AC158" i="58"/>
  <c r="AB158" i="58"/>
  <c r="X158" i="58"/>
  <c r="AD157" i="58"/>
  <c r="AC157" i="58"/>
  <c r="AB157" i="58"/>
  <c r="X157" i="58"/>
  <c r="AD156" i="58"/>
  <c r="AC156" i="58"/>
  <c r="AB156" i="58"/>
  <c r="X156" i="58"/>
  <c r="AD155" i="58"/>
  <c r="AC155" i="58"/>
  <c r="AB155" i="58"/>
  <c r="X155" i="58"/>
  <c r="AD154" i="58"/>
  <c r="AC154" i="58"/>
  <c r="AB154" i="58"/>
  <c r="X154" i="58"/>
  <c r="AD153" i="58"/>
  <c r="AC153" i="58"/>
  <c r="AB153" i="58"/>
  <c r="X153" i="58"/>
  <c r="AD152" i="58"/>
  <c r="AC152" i="58"/>
  <c r="AB152" i="58"/>
  <c r="X152" i="58"/>
  <c r="AD151" i="58"/>
  <c r="AC151" i="58"/>
  <c r="AB151" i="58"/>
  <c r="X151" i="58"/>
  <c r="AD150" i="58"/>
  <c r="AC150" i="58"/>
  <c r="AB150" i="58"/>
  <c r="X150" i="58"/>
  <c r="AD149" i="58"/>
  <c r="AC149" i="58"/>
  <c r="AB149" i="58"/>
  <c r="X149" i="58"/>
  <c r="AD148" i="58"/>
  <c r="AC148" i="58"/>
  <c r="AB148" i="58"/>
  <c r="X148" i="58"/>
  <c r="AD147" i="58"/>
  <c r="AC147" i="58"/>
  <c r="AB147" i="58"/>
  <c r="X147" i="58"/>
  <c r="AD146" i="58"/>
  <c r="AC146" i="58"/>
  <c r="AB146" i="58"/>
  <c r="X146" i="58"/>
  <c r="AD145" i="58"/>
  <c r="AC145" i="58"/>
  <c r="AB145" i="58"/>
  <c r="X145" i="58"/>
  <c r="AD144" i="58"/>
  <c r="AC144" i="58"/>
  <c r="AB144" i="58"/>
  <c r="X144" i="58"/>
  <c r="AD143" i="58"/>
  <c r="AC143" i="58"/>
  <c r="AB143" i="58"/>
  <c r="X143" i="58"/>
  <c r="AD142" i="58"/>
  <c r="AC142" i="58"/>
  <c r="AB142" i="58"/>
  <c r="X142" i="58"/>
  <c r="AD141" i="58"/>
  <c r="AC141" i="58"/>
  <c r="AB141" i="58"/>
  <c r="X141" i="58"/>
  <c r="AD140" i="58"/>
  <c r="AC140" i="58"/>
  <c r="AB140" i="58"/>
  <c r="X140" i="58"/>
  <c r="AD139" i="58"/>
  <c r="AC139" i="58"/>
  <c r="AB139" i="58"/>
  <c r="X139" i="58"/>
  <c r="AD138" i="58"/>
  <c r="AC138" i="58"/>
  <c r="AB138" i="58"/>
  <c r="X138" i="58"/>
  <c r="AD137" i="58"/>
  <c r="AC137" i="58"/>
  <c r="AB137" i="58"/>
  <c r="X137" i="58"/>
  <c r="AD136" i="58"/>
  <c r="AC136" i="58"/>
  <c r="AB136" i="58"/>
  <c r="X136" i="58"/>
  <c r="AD135" i="58"/>
  <c r="AC135" i="58"/>
  <c r="AB135" i="58"/>
  <c r="X135" i="58"/>
  <c r="AD134" i="58"/>
  <c r="AC134" i="58"/>
  <c r="AB134" i="58"/>
  <c r="X134" i="58"/>
  <c r="AD133" i="58"/>
  <c r="AC133" i="58"/>
  <c r="AB133" i="58"/>
  <c r="X133" i="58"/>
  <c r="AD132" i="58"/>
  <c r="AC132" i="58"/>
  <c r="AB132" i="58"/>
  <c r="X132" i="58"/>
  <c r="AD131" i="58"/>
  <c r="AC131" i="58"/>
  <c r="AB131" i="58"/>
  <c r="X131" i="58"/>
  <c r="AD130" i="58"/>
  <c r="AC130" i="58"/>
  <c r="AB130" i="58"/>
  <c r="X130" i="58"/>
  <c r="AD129" i="58"/>
  <c r="AC129" i="58"/>
  <c r="AB129" i="58"/>
  <c r="X129" i="58"/>
  <c r="AD128" i="58"/>
  <c r="AC128" i="58"/>
  <c r="AB128" i="58"/>
  <c r="X128" i="58"/>
  <c r="AD127" i="58"/>
  <c r="AC127" i="58"/>
  <c r="AB127" i="58"/>
  <c r="X127" i="58"/>
  <c r="AD126" i="58"/>
  <c r="AC126" i="58"/>
  <c r="AB126" i="58"/>
  <c r="X126" i="58"/>
  <c r="AD125" i="58"/>
  <c r="AC125" i="58"/>
  <c r="AB125" i="58"/>
  <c r="X125" i="58"/>
  <c r="AD124" i="58"/>
  <c r="AC124" i="58"/>
  <c r="AB124" i="58"/>
  <c r="X124" i="58"/>
  <c r="AD123" i="58"/>
  <c r="AC123" i="58"/>
  <c r="AB123" i="58"/>
  <c r="X123" i="58"/>
  <c r="AD122" i="58"/>
  <c r="AC122" i="58"/>
  <c r="AB122" i="58"/>
  <c r="X122" i="58"/>
  <c r="AD121" i="58"/>
  <c r="AC121" i="58"/>
  <c r="AB121" i="58"/>
  <c r="X121" i="58"/>
  <c r="AD120" i="58"/>
  <c r="AC120" i="58"/>
  <c r="AB120" i="58"/>
  <c r="X120" i="58"/>
  <c r="AD119" i="58"/>
  <c r="AC119" i="58"/>
  <c r="AB119" i="58"/>
  <c r="X119" i="58"/>
  <c r="AD118" i="58"/>
  <c r="AC118" i="58"/>
  <c r="AB118" i="58"/>
  <c r="X118" i="58"/>
  <c r="AD117" i="58"/>
  <c r="AC117" i="58"/>
  <c r="AB117" i="58"/>
  <c r="X117" i="58"/>
  <c r="AD116" i="58"/>
  <c r="AC116" i="58"/>
  <c r="AB116" i="58"/>
  <c r="X116" i="58"/>
  <c r="AD115" i="58"/>
  <c r="AC115" i="58"/>
  <c r="AB115" i="58"/>
  <c r="X115" i="58"/>
  <c r="AD114" i="58"/>
  <c r="AC114" i="58"/>
  <c r="AB114" i="58"/>
  <c r="X114" i="58"/>
  <c r="AD113" i="58"/>
  <c r="AC113" i="58"/>
  <c r="AB113" i="58"/>
  <c r="X113" i="58"/>
  <c r="AD112" i="58"/>
  <c r="AC112" i="58"/>
  <c r="AB112" i="58"/>
  <c r="X112" i="58"/>
  <c r="AD111" i="58"/>
  <c r="AC111" i="58"/>
  <c r="AB111" i="58"/>
  <c r="X111" i="58"/>
  <c r="AD110" i="58"/>
  <c r="AC110" i="58"/>
  <c r="AB110" i="58"/>
  <c r="X110" i="58"/>
  <c r="AD109" i="58"/>
  <c r="AC109" i="58"/>
  <c r="AB109" i="58"/>
  <c r="X109" i="58"/>
  <c r="AD108" i="58"/>
  <c r="AC108" i="58"/>
  <c r="AB108" i="58"/>
  <c r="X108" i="58"/>
  <c r="AD107" i="58"/>
  <c r="AC107" i="58"/>
  <c r="AB107" i="58"/>
  <c r="X107" i="58"/>
  <c r="AD106" i="58"/>
  <c r="AC106" i="58"/>
  <c r="AB106" i="58"/>
  <c r="X106" i="58"/>
  <c r="AD105" i="58"/>
  <c r="AC105" i="58"/>
  <c r="AB105" i="58"/>
  <c r="X105" i="58"/>
  <c r="AD104" i="58"/>
  <c r="AC104" i="58"/>
  <c r="AB104" i="58"/>
  <c r="X104" i="58"/>
  <c r="AD103" i="58"/>
  <c r="AC103" i="58"/>
  <c r="AB103" i="58"/>
  <c r="X103" i="58"/>
  <c r="AD102" i="58"/>
  <c r="AC102" i="58"/>
  <c r="AB102" i="58"/>
  <c r="X102" i="58"/>
  <c r="AD101" i="58"/>
  <c r="AC101" i="58"/>
  <c r="AB101" i="58"/>
  <c r="X101" i="58"/>
  <c r="AD100" i="58"/>
  <c r="AC100" i="58"/>
  <c r="AB100" i="58"/>
  <c r="X100" i="58"/>
  <c r="AD99" i="58"/>
  <c r="AC99" i="58"/>
  <c r="AB99" i="58"/>
  <c r="X99" i="58"/>
  <c r="AD98" i="58"/>
  <c r="AC98" i="58"/>
  <c r="AB98" i="58"/>
  <c r="X98" i="58"/>
  <c r="AD97" i="58"/>
  <c r="AC97" i="58"/>
  <c r="AB97" i="58"/>
  <c r="X97" i="58"/>
  <c r="AD96" i="58"/>
  <c r="AC96" i="58"/>
  <c r="AB96" i="58"/>
  <c r="X96" i="58"/>
  <c r="AD95" i="58"/>
  <c r="AC95" i="58"/>
  <c r="AB95" i="58"/>
  <c r="X95" i="58"/>
  <c r="AD94" i="58"/>
  <c r="AC94" i="58"/>
  <c r="AB94" i="58"/>
  <c r="X94" i="58"/>
  <c r="AD93" i="58"/>
  <c r="AC93" i="58"/>
  <c r="AB93" i="58"/>
  <c r="X93" i="58"/>
  <c r="AD92" i="58"/>
  <c r="AC92" i="58"/>
  <c r="AB92" i="58"/>
  <c r="X92" i="58"/>
  <c r="AD91" i="58"/>
  <c r="AC91" i="58"/>
  <c r="AB91" i="58"/>
  <c r="X91" i="58"/>
  <c r="AD90" i="58"/>
  <c r="AC90" i="58"/>
  <c r="AB90" i="58"/>
  <c r="X90" i="58"/>
  <c r="AD89" i="58"/>
  <c r="AC89" i="58"/>
  <c r="AB89" i="58"/>
  <c r="X89" i="58"/>
  <c r="AD88" i="58"/>
  <c r="AC88" i="58"/>
  <c r="AB88" i="58"/>
  <c r="X88" i="58"/>
  <c r="AD87" i="58"/>
  <c r="AC87" i="58"/>
  <c r="AB87" i="58"/>
  <c r="X87" i="58"/>
  <c r="AD86" i="58"/>
  <c r="AC86" i="58"/>
  <c r="AB86" i="58"/>
  <c r="X86" i="58"/>
  <c r="AD85" i="58"/>
  <c r="AC85" i="58"/>
  <c r="AB85" i="58"/>
  <c r="X85" i="58"/>
  <c r="AD84" i="58"/>
  <c r="AC84" i="58"/>
  <c r="AB84" i="58"/>
  <c r="X84" i="58"/>
  <c r="AD83" i="58"/>
  <c r="AC83" i="58"/>
  <c r="AB83" i="58"/>
  <c r="X83" i="58"/>
  <c r="AD82" i="58"/>
  <c r="AC82" i="58"/>
  <c r="AB82" i="58"/>
  <c r="X82" i="58"/>
  <c r="AD81" i="58"/>
  <c r="AC81" i="58"/>
  <c r="AB81" i="58"/>
  <c r="X81" i="58"/>
  <c r="AD80" i="58"/>
  <c r="AC80" i="58"/>
  <c r="AB80" i="58"/>
  <c r="X80" i="58"/>
  <c r="AD79" i="58"/>
  <c r="AC79" i="58"/>
  <c r="AB79" i="58"/>
  <c r="X79" i="58"/>
  <c r="AD78" i="58"/>
  <c r="AC78" i="58"/>
  <c r="AB78" i="58"/>
  <c r="X78" i="58"/>
  <c r="AD77" i="58"/>
  <c r="AC77" i="58"/>
  <c r="AB77" i="58"/>
  <c r="X77" i="58"/>
  <c r="AD76" i="58"/>
  <c r="AC76" i="58"/>
  <c r="AB76" i="58"/>
  <c r="X76" i="58"/>
  <c r="AD75" i="58"/>
  <c r="AC75" i="58"/>
  <c r="AB75" i="58"/>
  <c r="X75" i="58"/>
  <c r="AD74" i="58"/>
  <c r="AC74" i="58"/>
  <c r="AB74" i="58"/>
  <c r="X74" i="58"/>
  <c r="AD73" i="58"/>
  <c r="AC73" i="58"/>
  <c r="AB73" i="58"/>
  <c r="X73" i="58"/>
  <c r="AD72" i="58"/>
  <c r="AC72" i="58"/>
  <c r="AB72" i="58"/>
  <c r="X72" i="58"/>
  <c r="AD71" i="58"/>
  <c r="AC71" i="58"/>
  <c r="AB71" i="58"/>
  <c r="X71" i="58"/>
  <c r="AD70" i="58"/>
  <c r="AC70" i="58"/>
  <c r="AB70" i="58"/>
  <c r="X70" i="58"/>
  <c r="AD69" i="58"/>
  <c r="AC69" i="58"/>
  <c r="AB69" i="58"/>
  <c r="X69" i="58"/>
  <c r="AD68" i="58"/>
  <c r="AC68" i="58"/>
  <c r="AB68" i="58"/>
  <c r="X68" i="58"/>
  <c r="AD67" i="58"/>
  <c r="AC67" i="58"/>
  <c r="AB67" i="58"/>
  <c r="X67" i="58"/>
  <c r="AD66" i="58"/>
  <c r="AC66" i="58"/>
  <c r="AB66" i="58"/>
  <c r="X66" i="58"/>
  <c r="AD65" i="58"/>
  <c r="AC65" i="58"/>
  <c r="AB65" i="58"/>
  <c r="X65" i="58"/>
  <c r="AD64" i="58"/>
  <c r="AC64" i="58"/>
  <c r="AB64" i="58"/>
  <c r="X64" i="58"/>
  <c r="AD63" i="58"/>
  <c r="AC63" i="58"/>
  <c r="AB63" i="58"/>
  <c r="X63" i="58"/>
  <c r="AD62" i="58"/>
  <c r="AC62" i="58"/>
  <c r="AB62" i="58"/>
  <c r="X62" i="58"/>
  <c r="AD61" i="58"/>
  <c r="AC61" i="58"/>
  <c r="AB61" i="58"/>
  <c r="X61" i="58"/>
  <c r="AD60" i="58"/>
  <c r="AC60" i="58"/>
  <c r="AB60" i="58"/>
  <c r="X60" i="58"/>
  <c r="AD59" i="58"/>
  <c r="AC59" i="58"/>
  <c r="AB59" i="58"/>
  <c r="X59" i="58"/>
  <c r="AD58" i="58"/>
  <c r="AC58" i="58"/>
  <c r="AB58" i="58"/>
  <c r="X58" i="58"/>
  <c r="AD57" i="58"/>
  <c r="AC57" i="58"/>
  <c r="AB57" i="58"/>
  <c r="X57" i="58"/>
  <c r="AD56" i="58"/>
  <c r="AC56" i="58"/>
  <c r="AB56" i="58"/>
  <c r="X56" i="58"/>
  <c r="AD55" i="58"/>
  <c r="AC55" i="58"/>
  <c r="AB55" i="58"/>
  <c r="X55" i="58"/>
  <c r="AD54" i="58"/>
  <c r="AC54" i="58"/>
  <c r="AB54" i="58"/>
  <c r="X54" i="58"/>
  <c r="AD53" i="58"/>
  <c r="AC53" i="58"/>
  <c r="AB53" i="58"/>
  <c r="X53" i="58"/>
  <c r="AD52" i="58"/>
  <c r="AC52" i="58"/>
  <c r="AB52" i="58"/>
  <c r="X52" i="58"/>
  <c r="AD51" i="58"/>
  <c r="AC51" i="58"/>
  <c r="AB51" i="58"/>
  <c r="X51" i="58"/>
  <c r="AD50" i="58"/>
  <c r="AC50" i="58"/>
  <c r="AB50" i="58"/>
  <c r="X50" i="58"/>
  <c r="AD49" i="58"/>
  <c r="AC49" i="58"/>
  <c r="AB49" i="58"/>
  <c r="X49" i="58"/>
  <c r="AD48" i="58"/>
  <c r="AC48" i="58"/>
  <c r="AB48" i="58"/>
  <c r="X48" i="58"/>
  <c r="AD47" i="58"/>
  <c r="AC47" i="58"/>
  <c r="AB47" i="58"/>
  <c r="X47" i="58"/>
  <c r="AD46" i="58"/>
  <c r="AC46" i="58"/>
  <c r="AB46" i="58"/>
  <c r="X46" i="58"/>
  <c r="AD45" i="58"/>
  <c r="AC45" i="58"/>
  <c r="AB45" i="58"/>
  <c r="X45" i="58"/>
  <c r="AD44" i="58"/>
  <c r="AC44" i="58"/>
  <c r="AB44" i="58"/>
  <c r="X44" i="58"/>
  <c r="AD43" i="58"/>
  <c r="AC43" i="58"/>
  <c r="AB43" i="58"/>
  <c r="X43" i="58"/>
  <c r="AD42" i="58"/>
  <c r="AC42" i="58"/>
  <c r="AB42" i="58"/>
  <c r="X42" i="58"/>
  <c r="AD41" i="58"/>
  <c r="AC41" i="58"/>
  <c r="AB41" i="58"/>
  <c r="X41" i="58"/>
  <c r="AD40" i="58"/>
  <c r="AC40" i="58"/>
  <c r="AB40" i="58"/>
  <c r="X40" i="58"/>
  <c r="AD39" i="58"/>
  <c r="AC39" i="58"/>
  <c r="AB39" i="58"/>
  <c r="X39" i="58"/>
  <c r="AD38" i="58"/>
  <c r="AC38" i="58"/>
  <c r="AB38" i="58"/>
  <c r="X38" i="58"/>
  <c r="AD37" i="58"/>
  <c r="AC37" i="58"/>
  <c r="AB37" i="58"/>
  <c r="X37" i="58"/>
  <c r="AD36" i="58"/>
  <c r="AC36" i="58"/>
  <c r="AB36" i="58"/>
  <c r="X36" i="58"/>
  <c r="AD35" i="58"/>
  <c r="AC35" i="58"/>
  <c r="AB35" i="58"/>
  <c r="X35" i="58"/>
  <c r="AD34" i="58"/>
  <c r="AC34" i="58"/>
  <c r="AB34" i="58"/>
  <c r="X34" i="58"/>
  <c r="AD33" i="58"/>
  <c r="AC33" i="58"/>
  <c r="AB33" i="58"/>
  <c r="X33" i="58"/>
  <c r="AD32" i="58"/>
  <c r="AC32" i="58"/>
  <c r="AB32" i="58"/>
  <c r="X32" i="58"/>
  <c r="AD31" i="58"/>
  <c r="AC31" i="58"/>
  <c r="AB31" i="58"/>
  <c r="X31" i="58"/>
  <c r="AD30" i="58"/>
  <c r="AC30" i="58"/>
  <c r="AB30" i="58"/>
  <c r="X30" i="58"/>
  <c r="AD29" i="58"/>
  <c r="AC29" i="58"/>
  <c r="AB29" i="58"/>
  <c r="X29" i="58"/>
  <c r="AD28" i="58"/>
  <c r="AC28" i="58"/>
  <c r="AB28" i="58"/>
  <c r="X28" i="58"/>
  <c r="AD27" i="58"/>
  <c r="AC27" i="58"/>
  <c r="AB27" i="58"/>
  <c r="X27" i="58"/>
  <c r="AD26" i="58"/>
  <c r="AC26" i="58"/>
  <c r="AB26" i="58"/>
  <c r="X26" i="58"/>
  <c r="AD25" i="58"/>
  <c r="AC25" i="58"/>
  <c r="AB25" i="58"/>
  <c r="X25" i="58"/>
  <c r="AD24" i="58"/>
  <c r="AC24" i="58"/>
  <c r="AB24" i="58"/>
  <c r="X24" i="58"/>
  <c r="AD23" i="58"/>
  <c r="AC23" i="58"/>
  <c r="AB23" i="58"/>
  <c r="X23" i="58"/>
  <c r="AD22" i="58"/>
  <c r="AC22" i="58"/>
  <c r="AB22" i="58"/>
  <c r="X22" i="58"/>
  <c r="AD21" i="58"/>
  <c r="AC21" i="58"/>
  <c r="AB21" i="58"/>
  <c r="X21" i="58"/>
  <c r="AD20" i="58"/>
  <c r="AC20" i="58"/>
  <c r="AB20" i="58"/>
  <c r="X20" i="58"/>
  <c r="AD19" i="58"/>
  <c r="AC19" i="58"/>
  <c r="AB19" i="58"/>
  <c r="X19" i="58"/>
  <c r="AD18" i="58"/>
  <c r="AC18" i="58"/>
  <c r="AB18" i="58"/>
  <c r="X18" i="58"/>
  <c r="AD17" i="58"/>
  <c r="AC17" i="58"/>
  <c r="AB17" i="58"/>
  <c r="X17" i="58"/>
  <c r="AD16" i="58"/>
  <c r="AC16" i="58"/>
  <c r="AB16" i="58"/>
  <c r="X16" i="58"/>
  <c r="AD15" i="58"/>
  <c r="AC15" i="58"/>
  <c r="AB15" i="58"/>
  <c r="X15" i="58"/>
  <c r="AD14" i="58"/>
  <c r="AC14" i="58"/>
  <c r="AB14" i="58"/>
  <c r="X14" i="58"/>
  <c r="AD13" i="58"/>
  <c r="AC13" i="58"/>
  <c r="AB13" i="58"/>
  <c r="X13" i="58"/>
  <c r="AD12" i="58"/>
  <c r="AC12" i="58"/>
  <c r="AB12" i="58"/>
  <c r="X12" i="58"/>
  <c r="AD11" i="58"/>
  <c r="AC11" i="58"/>
  <c r="AB11" i="58"/>
  <c r="X11" i="58"/>
  <c r="AD10" i="58"/>
  <c r="AC10" i="58"/>
  <c r="AB10" i="58"/>
  <c r="X10" i="58"/>
  <c r="AD9" i="58"/>
  <c r="AC9" i="58"/>
  <c r="AB9" i="58"/>
  <c r="X9" i="58"/>
  <c r="AD8" i="58"/>
  <c r="AC8" i="58"/>
  <c r="AB8" i="58"/>
  <c r="X8" i="58"/>
  <c r="AD7" i="58"/>
  <c r="AC7" i="58"/>
  <c r="AB7" i="58"/>
  <c r="X7" i="58"/>
  <c r="AD6" i="58"/>
  <c r="AC6" i="58"/>
  <c r="AB6" i="58"/>
  <c r="X6" i="58"/>
  <c r="AD5" i="58"/>
  <c r="AC5" i="58"/>
  <c r="AB5" i="58"/>
  <c r="X5" i="58"/>
  <c r="AD4" i="58"/>
  <c r="AC4" i="58"/>
  <c r="AB4" i="58"/>
  <c r="X4" i="58"/>
  <c r="AD3" i="58"/>
  <c r="AC3" i="58"/>
  <c r="AB3" i="58"/>
  <c r="X3" i="58"/>
  <c r="AD2" i="58"/>
  <c r="AC2" i="58"/>
  <c r="AB2" i="58"/>
  <c r="X2" i="58"/>
  <c r="AE1" i="58"/>
  <c r="AB1" i="58"/>
  <c r="Y1" i="58"/>
  <c r="C1303" i="7" a="1"/>
  <c r="C1303" i="7" s="1"/>
  <c r="AD699" i="57"/>
  <c r="AC699" i="57"/>
  <c r="AB699" i="57"/>
  <c r="X699" i="57"/>
  <c r="AD698" i="57"/>
  <c r="AC698" i="57"/>
  <c r="AB698" i="57"/>
  <c r="X698" i="57"/>
  <c r="AD697" i="57"/>
  <c r="AC697" i="57"/>
  <c r="AB697" i="57"/>
  <c r="X697" i="57"/>
  <c r="AD696" i="57"/>
  <c r="AC696" i="57"/>
  <c r="AB696" i="57"/>
  <c r="X696" i="57"/>
  <c r="AD695" i="57"/>
  <c r="AC695" i="57"/>
  <c r="AB695" i="57"/>
  <c r="X695" i="57"/>
  <c r="AD694" i="57"/>
  <c r="AC694" i="57"/>
  <c r="AB694" i="57"/>
  <c r="X694" i="57"/>
  <c r="AD693" i="57"/>
  <c r="AC693" i="57"/>
  <c r="AB693" i="57"/>
  <c r="X693" i="57"/>
  <c r="AD692" i="57"/>
  <c r="AC692" i="57"/>
  <c r="AB692" i="57"/>
  <c r="X692" i="57"/>
  <c r="AD691" i="57"/>
  <c r="AC691" i="57"/>
  <c r="AB691" i="57"/>
  <c r="X691" i="57"/>
  <c r="AD690" i="57"/>
  <c r="AC690" i="57"/>
  <c r="AB690" i="57"/>
  <c r="X690" i="57"/>
  <c r="AD689" i="57"/>
  <c r="AC689" i="57"/>
  <c r="AB689" i="57"/>
  <c r="X689" i="57"/>
  <c r="AD688" i="57"/>
  <c r="AC688" i="57"/>
  <c r="AB688" i="57"/>
  <c r="X688" i="57"/>
  <c r="AD687" i="57"/>
  <c r="AC687" i="57"/>
  <c r="AB687" i="57"/>
  <c r="X687" i="57"/>
  <c r="AD686" i="57"/>
  <c r="AC686" i="57"/>
  <c r="AB686" i="57"/>
  <c r="X686" i="57"/>
  <c r="AD685" i="57"/>
  <c r="AC685" i="57"/>
  <c r="AB685" i="57"/>
  <c r="X685" i="57"/>
  <c r="AD684" i="57"/>
  <c r="AC684" i="57"/>
  <c r="AB684" i="57"/>
  <c r="X684" i="57"/>
  <c r="AD683" i="57"/>
  <c r="AC683" i="57"/>
  <c r="AB683" i="57"/>
  <c r="X683" i="57"/>
  <c r="AD682" i="57"/>
  <c r="AC682" i="57"/>
  <c r="AB682" i="57"/>
  <c r="X682" i="57"/>
  <c r="AD681" i="57"/>
  <c r="AC681" i="57"/>
  <c r="AB681" i="57"/>
  <c r="X681" i="57"/>
  <c r="AD680" i="57"/>
  <c r="AC680" i="57"/>
  <c r="AB680" i="57"/>
  <c r="X680" i="57"/>
  <c r="AD679" i="57"/>
  <c r="AC679" i="57"/>
  <c r="AB679" i="57"/>
  <c r="X679" i="57"/>
  <c r="AD678" i="57"/>
  <c r="AC678" i="57"/>
  <c r="AB678" i="57"/>
  <c r="X678" i="57"/>
  <c r="AD677" i="57"/>
  <c r="AC677" i="57"/>
  <c r="AB677" i="57"/>
  <c r="X677" i="57"/>
  <c r="AD676" i="57"/>
  <c r="AC676" i="57"/>
  <c r="AB676" i="57"/>
  <c r="X676" i="57"/>
  <c r="AD675" i="57"/>
  <c r="AC675" i="57"/>
  <c r="AB675" i="57"/>
  <c r="X675" i="57"/>
  <c r="AD674" i="57"/>
  <c r="AC674" i="57"/>
  <c r="AB674" i="57"/>
  <c r="X674" i="57"/>
  <c r="AD673" i="57"/>
  <c r="AC673" i="57"/>
  <c r="AB673" i="57"/>
  <c r="X673" i="57"/>
  <c r="AD672" i="57"/>
  <c r="AC672" i="57"/>
  <c r="AB672" i="57"/>
  <c r="X672" i="57"/>
  <c r="AD671" i="57"/>
  <c r="AC671" i="57"/>
  <c r="AB671" i="57"/>
  <c r="X671" i="57"/>
  <c r="AD670" i="57"/>
  <c r="AC670" i="57"/>
  <c r="AB670" i="57"/>
  <c r="X670" i="57"/>
  <c r="AD669" i="57"/>
  <c r="AC669" i="57"/>
  <c r="AB669" i="57"/>
  <c r="X669" i="57"/>
  <c r="AD668" i="57"/>
  <c r="AC668" i="57"/>
  <c r="AB668" i="57"/>
  <c r="X668" i="57"/>
  <c r="AD667" i="57"/>
  <c r="AC667" i="57"/>
  <c r="AB667" i="57"/>
  <c r="X667" i="57"/>
  <c r="AD666" i="57"/>
  <c r="AC666" i="57"/>
  <c r="AB666" i="57"/>
  <c r="X666" i="57"/>
  <c r="AD665" i="57"/>
  <c r="AC665" i="57"/>
  <c r="AB665" i="57"/>
  <c r="X665" i="57"/>
  <c r="AD664" i="57"/>
  <c r="AC664" i="57"/>
  <c r="AB664" i="57"/>
  <c r="X664" i="57"/>
  <c r="AD663" i="57"/>
  <c r="AC663" i="57"/>
  <c r="AB663" i="57"/>
  <c r="X663" i="57"/>
  <c r="AD662" i="57"/>
  <c r="AC662" i="57"/>
  <c r="AB662" i="57"/>
  <c r="X662" i="57"/>
  <c r="AD661" i="57"/>
  <c r="AC661" i="57"/>
  <c r="AB661" i="57"/>
  <c r="X661" i="57"/>
  <c r="AD660" i="57"/>
  <c r="AC660" i="57"/>
  <c r="AB660" i="57"/>
  <c r="X660" i="57"/>
  <c r="AD659" i="57"/>
  <c r="AC659" i="57"/>
  <c r="AB659" i="57"/>
  <c r="X659" i="57"/>
  <c r="AD658" i="57"/>
  <c r="AC658" i="57"/>
  <c r="AB658" i="57"/>
  <c r="X658" i="57"/>
  <c r="AD657" i="57"/>
  <c r="AC657" i="57"/>
  <c r="AB657" i="57"/>
  <c r="X657" i="57"/>
  <c r="AD656" i="57"/>
  <c r="AC656" i="57"/>
  <c r="AB656" i="57"/>
  <c r="X656" i="57"/>
  <c r="AD655" i="57"/>
  <c r="AC655" i="57"/>
  <c r="AB655" i="57"/>
  <c r="X655" i="57"/>
  <c r="AD654" i="57"/>
  <c r="AC654" i="57"/>
  <c r="AB654" i="57"/>
  <c r="X654" i="57"/>
  <c r="AD653" i="57"/>
  <c r="AC653" i="57"/>
  <c r="AB653" i="57"/>
  <c r="X653" i="57"/>
  <c r="AD652" i="57"/>
  <c r="AC652" i="57"/>
  <c r="AB652" i="57"/>
  <c r="X652" i="57"/>
  <c r="AD651" i="57"/>
  <c r="AC651" i="57"/>
  <c r="AB651" i="57"/>
  <c r="X651" i="57"/>
  <c r="AD650" i="57"/>
  <c r="AC650" i="57"/>
  <c r="AB650" i="57"/>
  <c r="X650" i="57"/>
  <c r="AD649" i="57"/>
  <c r="AC649" i="57"/>
  <c r="AB649" i="57"/>
  <c r="X649" i="57"/>
  <c r="AD648" i="57"/>
  <c r="AC648" i="57"/>
  <c r="AB648" i="57"/>
  <c r="X648" i="57"/>
  <c r="AD647" i="57"/>
  <c r="AC647" i="57"/>
  <c r="AB647" i="57"/>
  <c r="X647" i="57"/>
  <c r="AD646" i="57"/>
  <c r="AC646" i="57"/>
  <c r="AB646" i="57"/>
  <c r="X646" i="57"/>
  <c r="AD645" i="57"/>
  <c r="AC645" i="57"/>
  <c r="AB645" i="57"/>
  <c r="X645" i="57"/>
  <c r="AD644" i="57"/>
  <c r="AC644" i="57"/>
  <c r="AB644" i="57"/>
  <c r="X644" i="57"/>
  <c r="AD643" i="57"/>
  <c r="AC643" i="57"/>
  <c r="AB643" i="57"/>
  <c r="X643" i="57"/>
  <c r="AD642" i="57"/>
  <c r="AC642" i="57"/>
  <c r="AB642" i="57"/>
  <c r="X642" i="57"/>
  <c r="AD641" i="57"/>
  <c r="AC641" i="57"/>
  <c r="AB641" i="57"/>
  <c r="X641" i="57"/>
  <c r="AD640" i="57"/>
  <c r="AC640" i="57"/>
  <c r="AB640" i="57"/>
  <c r="X640" i="57"/>
  <c r="AD639" i="57"/>
  <c r="AC639" i="57"/>
  <c r="AB639" i="57"/>
  <c r="X639" i="57"/>
  <c r="AD638" i="57"/>
  <c r="AC638" i="57"/>
  <c r="AB638" i="57"/>
  <c r="X638" i="57"/>
  <c r="AD637" i="57"/>
  <c r="AC637" i="57"/>
  <c r="AB637" i="57"/>
  <c r="X637" i="57"/>
  <c r="AD636" i="57"/>
  <c r="AC636" i="57"/>
  <c r="AB636" i="57"/>
  <c r="X636" i="57"/>
  <c r="AD635" i="57"/>
  <c r="AC635" i="57"/>
  <c r="AB635" i="57"/>
  <c r="X635" i="57"/>
  <c r="AD634" i="57"/>
  <c r="AC634" i="57"/>
  <c r="AB634" i="57"/>
  <c r="X634" i="57"/>
  <c r="AD633" i="57"/>
  <c r="AC633" i="57"/>
  <c r="AB633" i="57"/>
  <c r="X633" i="57"/>
  <c r="AD632" i="57"/>
  <c r="AC632" i="57"/>
  <c r="AB632" i="57"/>
  <c r="X632" i="57"/>
  <c r="AD631" i="57"/>
  <c r="AC631" i="57"/>
  <c r="AB631" i="57"/>
  <c r="X631" i="57"/>
  <c r="AD630" i="57"/>
  <c r="AC630" i="57"/>
  <c r="AB630" i="57"/>
  <c r="X630" i="57"/>
  <c r="AD629" i="57"/>
  <c r="AC629" i="57"/>
  <c r="AB629" i="57"/>
  <c r="X629" i="57"/>
  <c r="AD628" i="57"/>
  <c r="AC628" i="57"/>
  <c r="AB628" i="57"/>
  <c r="X628" i="57"/>
  <c r="AD627" i="57"/>
  <c r="AC627" i="57"/>
  <c r="AB627" i="57"/>
  <c r="X627" i="57"/>
  <c r="AD626" i="57"/>
  <c r="AC626" i="57"/>
  <c r="AB626" i="57"/>
  <c r="X626" i="57"/>
  <c r="AD625" i="57"/>
  <c r="AC625" i="57"/>
  <c r="AB625" i="57"/>
  <c r="X625" i="57"/>
  <c r="AD624" i="57"/>
  <c r="AC624" i="57"/>
  <c r="AB624" i="57"/>
  <c r="X624" i="57"/>
  <c r="AD623" i="57"/>
  <c r="AC623" i="57"/>
  <c r="AB623" i="57"/>
  <c r="X623" i="57"/>
  <c r="AD622" i="57"/>
  <c r="AC622" i="57"/>
  <c r="AB622" i="57"/>
  <c r="X622" i="57"/>
  <c r="AD621" i="57"/>
  <c r="AC621" i="57"/>
  <c r="AB621" i="57"/>
  <c r="X621" i="57"/>
  <c r="AD620" i="57"/>
  <c r="AC620" i="57"/>
  <c r="AB620" i="57"/>
  <c r="X620" i="57"/>
  <c r="AD619" i="57"/>
  <c r="AC619" i="57"/>
  <c r="AB619" i="57"/>
  <c r="X619" i="57"/>
  <c r="AD618" i="57"/>
  <c r="AC618" i="57"/>
  <c r="AB618" i="57"/>
  <c r="X618" i="57"/>
  <c r="AD617" i="57"/>
  <c r="AC617" i="57"/>
  <c r="AB617" i="57"/>
  <c r="X617" i="57"/>
  <c r="AD616" i="57"/>
  <c r="AC616" i="57"/>
  <c r="AB616" i="57"/>
  <c r="X616" i="57"/>
  <c r="AD615" i="57"/>
  <c r="AC615" i="57"/>
  <c r="AB615" i="57"/>
  <c r="X615" i="57"/>
  <c r="AD614" i="57"/>
  <c r="AC614" i="57"/>
  <c r="AB614" i="57"/>
  <c r="X614" i="57"/>
  <c r="AD613" i="57"/>
  <c r="AC613" i="57"/>
  <c r="AB613" i="57"/>
  <c r="X613" i="57"/>
  <c r="AD612" i="57"/>
  <c r="AC612" i="57"/>
  <c r="AB612" i="57"/>
  <c r="X612" i="57"/>
  <c r="AD611" i="57"/>
  <c r="AC611" i="57"/>
  <c r="AB611" i="57"/>
  <c r="X611" i="57"/>
  <c r="AD610" i="57"/>
  <c r="AC610" i="57"/>
  <c r="AB610" i="57"/>
  <c r="X610" i="57"/>
  <c r="AD609" i="57"/>
  <c r="AC609" i="57"/>
  <c r="AB609" i="57"/>
  <c r="X609" i="57"/>
  <c r="AD608" i="57"/>
  <c r="AC608" i="57"/>
  <c r="AB608" i="57"/>
  <c r="X608" i="57"/>
  <c r="AD607" i="57"/>
  <c r="AC607" i="57"/>
  <c r="AB607" i="57"/>
  <c r="X607" i="57"/>
  <c r="AD606" i="57"/>
  <c r="AC606" i="57"/>
  <c r="AB606" i="57"/>
  <c r="X606" i="57"/>
  <c r="AD605" i="57"/>
  <c r="AC605" i="57"/>
  <c r="AB605" i="57"/>
  <c r="X605" i="57"/>
  <c r="AD604" i="57"/>
  <c r="AC604" i="57"/>
  <c r="AB604" i="57"/>
  <c r="X604" i="57"/>
  <c r="AD603" i="57"/>
  <c r="AC603" i="57"/>
  <c r="AB603" i="57"/>
  <c r="X603" i="57"/>
  <c r="AD602" i="57"/>
  <c r="AC602" i="57"/>
  <c r="AB602" i="57"/>
  <c r="X602" i="57"/>
  <c r="AD601" i="57"/>
  <c r="AC601" i="57"/>
  <c r="AB601" i="57"/>
  <c r="X601" i="57"/>
  <c r="AD600" i="57"/>
  <c r="AC600" i="57"/>
  <c r="AB600" i="57"/>
  <c r="X600" i="57"/>
  <c r="AD599" i="57"/>
  <c r="AC599" i="57"/>
  <c r="AB599" i="57"/>
  <c r="X599" i="57"/>
  <c r="AD598" i="57"/>
  <c r="AC598" i="57"/>
  <c r="AB598" i="57"/>
  <c r="X598" i="57"/>
  <c r="AD597" i="57"/>
  <c r="AC597" i="57"/>
  <c r="AB597" i="57"/>
  <c r="X597" i="57"/>
  <c r="AD596" i="57"/>
  <c r="AC596" i="57"/>
  <c r="AB596" i="57"/>
  <c r="X596" i="57"/>
  <c r="AD595" i="57"/>
  <c r="AC595" i="57"/>
  <c r="AB595" i="57"/>
  <c r="X595" i="57"/>
  <c r="AD594" i="57"/>
  <c r="AC594" i="57"/>
  <c r="AB594" i="57"/>
  <c r="X594" i="57"/>
  <c r="AD593" i="57"/>
  <c r="AC593" i="57"/>
  <c r="AB593" i="57"/>
  <c r="X593" i="57"/>
  <c r="AD592" i="57"/>
  <c r="AC592" i="57"/>
  <c r="AB592" i="57"/>
  <c r="X592" i="57"/>
  <c r="AD591" i="57"/>
  <c r="AC591" i="57"/>
  <c r="AB591" i="57"/>
  <c r="X591" i="57"/>
  <c r="AD590" i="57"/>
  <c r="AC590" i="57"/>
  <c r="AB590" i="57"/>
  <c r="X590" i="57"/>
  <c r="AD589" i="57"/>
  <c r="AC589" i="57"/>
  <c r="AB589" i="57"/>
  <c r="X589" i="57"/>
  <c r="AD588" i="57"/>
  <c r="AC588" i="57"/>
  <c r="AB588" i="57"/>
  <c r="X588" i="57"/>
  <c r="AD587" i="57"/>
  <c r="AC587" i="57"/>
  <c r="AB587" i="57"/>
  <c r="X587" i="57"/>
  <c r="AD586" i="57"/>
  <c r="AC586" i="57"/>
  <c r="AB586" i="57"/>
  <c r="X586" i="57"/>
  <c r="AD585" i="57"/>
  <c r="AC585" i="57"/>
  <c r="AB585" i="57"/>
  <c r="X585" i="57"/>
  <c r="AD584" i="57"/>
  <c r="AC584" i="57"/>
  <c r="AB584" i="57"/>
  <c r="X584" i="57"/>
  <c r="AD583" i="57"/>
  <c r="AC583" i="57"/>
  <c r="AB583" i="57"/>
  <c r="X583" i="57"/>
  <c r="AD582" i="57"/>
  <c r="AC582" i="57"/>
  <c r="AB582" i="57"/>
  <c r="X582" i="57"/>
  <c r="AD581" i="57"/>
  <c r="AC581" i="57"/>
  <c r="AB581" i="57"/>
  <c r="X581" i="57"/>
  <c r="AD580" i="57"/>
  <c r="AC580" i="57"/>
  <c r="AB580" i="57"/>
  <c r="X580" i="57"/>
  <c r="AD579" i="57"/>
  <c r="AC579" i="57"/>
  <c r="AB579" i="57"/>
  <c r="X579" i="57"/>
  <c r="AD578" i="57"/>
  <c r="AC578" i="57"/>
  <c r="AB578" i="57"/>
  <c r="X578" i="57"/>
  <c r="AD577" i="57"/>
  <c r="AC577" i="57"/>
  <c r="AB577" i="57"/>
  <c r="X577" i="57"/>
  <c r="AD576" i="57"/>
  <c r="AC576" i="57"/>
  <c r="AB576" i="57"/>
  <c r="X576" i="57"/>
  <c r="AD575" i="57"/>
  <c r="AC575" i="57"/>
  <c r="AB575" i="57"/>
  <c r="X575" i="57"/>
  <c r="AD574" i="57"/>
  <c r="AC574" i="57"/>
  <c r="AB574" i="57"/>
  <c r="X574" i="57"/>
  <c r="AD573" i="57"/>
  <c r="AC573" i="57"/>
  <c r="AB573" i="57"/>
  <c r="X573" i="57"/>
  <c r="AD572" i="57"/>
  <c r="AC572" i="57"/>
  <c r="AB572" i="57"/>
  <c r="X572" i="57"/>
  <c r="AD571" i="57"/>
  <c r="AC571" i="57"/>
  <c r="AB571" i="57"/>
  <c r="X571" i="57"/>
  <c r="AD570" i="57"/>
  <c r="AC570" i="57"/>
  <c r="AB570" i="57"/>
  <c r="X570" i="57"/>
  <c r="AD569" i="57"/>
  <c r="AC569" i="57"/>
  <c r="AB569" i="57"/>
  <c r="X569" i="57"/>
  <c r="AD568" i="57"/>
  <c r="AC568" i="57"/>
  <c r="AB568" i="57"/>
  <c r="X568" i="57"/>
  <c r="AD567" i="57"/>
  <c r="AC567" i="57"/>
  <c r="AB567" i="57"/>
  <c r="X567" i="57"/>
  <c r="AD566" i="57"/>
  <c r="AC566" i="57"/>
  <c r="AB566" i="57"/>
  <c r="X566" i="57"/>
  <c r="AD565" i="57"/>
  <c r="AC565" i="57"/>
  <c r="AB565" i="57"/>
  <c r="X565" i="57"/>
  <c r="AD564" i="57"/>
  <c r="AC564" i="57"/>
  <c r="AB564" i="57"/>
  <c r="X564" i="57"/>
  <c r="AD563" i="57"/>
  <c r="AC563" i="57"/>
  <c r="AB563" i="57"/>
  <c r="X563" i="57"/>
  <c r="AD562" i="57"/>
  <c r="AC562" i="57"/>
  <c r="AB562" i="57"/>
  <c r="X562" i="57"/>
  <c r="AD561" i="57"/>
  <c r="AC561" i="57"/>
  <c r="AB561" i="57"/>
  <c r="X561" i="57"/>
  <c r="AD560" i="57"/>
  <c r="AC560" i="57"/>
  <c r="AB560" i="57"/>
  <c r="X560" i="57"/>
  <c r="AD559" i="57"/>
  <c r="AC559" i="57"/>
  <c r="AB559" i="57"/>
  <c r="X559" i="57"/>
  <c r="AD558" i="57"/>
  <c r="AC558" i="57"/>
  <c r="AB558" i="57"/>
  <c r="X558" i="57"/>
  <c r="AD557" i="57"/>
  <c r="AC557" i="57"/>
  <c r="AB557" i="57"/>
  <c r="X557" i="57"/>
  <c r="AD556" i="57"/>
  <c r="AC556" i="57"/>
  <c r="AB556" i="57"/>
  <c r="X556" i="57"/>
  <c r="AD555" i="57"/>
  <c r="AC555" i="57"/>
  <c r="AB555" i="57"/>
  <c r="X555" i="57"/>
  <c r="AD554" i="57"/>
  <c r="AC554" i="57"/>
  <c r="AB554" i="57"/>
  <c r="X554" i="57"/>
  <c r="AD553" i="57"/>
  <c r="AC553" i="57"/>
  <c r="AB553" i="57"/>
  <c r="X553" i="57"/>
  <c r="AD552" i="57"/>
  <c r="AC552" i="57"/>
  <c r="AB552" i="57"/>
  <c r="X552" i="57"/>
  <c r="AD551" i="57"/>
  <c r="AC551" i="57"/>
  <c r="AB551" i="57"/>
  <c r="X551" i="57"/>
  <c r="AD550" i="57"/>
  <c r="AC550" i="57"/>
  <c r="AB550" i="57"/>
  <c r="X550" i="57"/>
  <c r="AD549" i="57"/>
  <c r="AC549" i="57"/>
  <c r="AB549" i="57"/>
  <c r="X549" i="57"/>
  <c r="AD548" i="57"/>
  <c r="AC548" i="57"/>
  <c r="AB548" i="57"/>
  <c r="X548" i="57"/>
  <c r="AD547" i="57"/>
  <c r="AC547" i="57"/>
  <c r="AB547" i="57"/>
  <c r="X547" i="57"/>
  <c r="AD546" i="57"/>
  <c r="AC546" i="57"/>
  <c r="AB546" i="57"/>
  <c r="X546" i="57"/>
  <c r="AD545" i="57"/>
  <c r="AC545" i="57"/>
  <c r="AB545" i="57"/>
  <c r="X545" i="57"/>
  <c r="AD544" i="57"/>
  <c r="AC544" i="57"/>
  <c r="AB544" i="57"/>
  <c r="X544" i="57"/>
  <c r="AD543" i="57"/>
  <c r="AC543" i="57"/>
  <c r="AB543" i="57"/>
  <c r="X543" i="57"/>
  <c r="AD542" i="57"/>
  <c r="AC542" i="57"/>
  <c r="AB542" i="57"/>
  <c r="X542" i="57"/>
  <c r="AD541" i="57"/>
  <c r="AC541" i="57"/>
  <c r="AB541" i="57"/>
  <c r="X541" i="57"/>
  <c r="AD540" i="57"/>
  <c r="AC540" i="57"/>
  <c r="AB540" i="57"/>
  <c r="X540" i="57"/>
  <c r="AD539" i="57"/>
  <c r="AC539" i="57"/>
  <c r="AB539" i="57"/>
  <c r="X539" i="57"/>
  <c r="AD538" i="57"/>
  <c r="AC538" i="57"/>
  <c r="AB538" i="57"/>
  <c r="X538" i="57"/>
  <c r="AD537" i="57"/>
  <c r="AC537" i="57"/>
  <c r="AB537" i="57"/>
  <c r="X537" i="57"/>
  <c r="AD536" i="57"/>
  <c r="AC536" i="57"/>
  <c r="AB536" i="57"/>
  <c r="X536" i="57"/>
  <c r="AD535" i="57"/>
  <c r="AC535" i="57"/>
  <c r="AB535" i="57"/>
  <c r="X535" i="57"/>
  <c r="AD534" i="57"/>
  <c r="AC534" i="57"/>
  <c r="AB534" i="57"/>
  <c r="X534" i="57"/>
  <c r="AD533" i="57"/>
  <c r="AC533" i="57"/>
  <c r="AB533" i="57"/>
  <c r="X533" i="57"/>
  <c r="AD532" i="57"/>
  <c r="AC532" i="57"/>
  <c r="AB532" i="57"/>
  <c r="X532" i="57"/>
  <c r="AD531" i="57"/>
  <c r="AC531" i="57"/>
  <c r="AB531" i="57"/>
  <c r="X531" i="57"/>
  <c r="AD530" i="57"/>
  <c r="AC530" i="57"/>
  <c r="AB530" i="57"/>
  <c r="X530" i="57"/>
  <c r="AD529" i="57"/>
  <c r="AC529" i="57"/>
  <c r="AB529" i="57"/>
  <c r="X529" i="57"/>
  <c r="AD528" i="57"/>
  <c r="AC528" i="57"/>
  <c r="AB528" i="57"/>
  <c r="X528" i="57"/>
  <c r="AD527" i="57"/>
  <c r="AC527" i="57"/>
  <c r="AB527" i="57"/>
  <c r="X527" i="57"/>
  <c r="AD526" i="57"/>
  <c r="AC526" i="57"/>
  <c r="AB526" i="57"/>
  <c r="X526" i="57"/>
  <c r="AD525" i="57"/>
  <c r="AC525" i="57"/>
  <c r="AB525" i="57"/>
  <c r="X525" i="57"/>
  <c r="AD524" i="57"/>
  <c r="AC524" i="57"/>
  <c r="AB524" i="57"/>
  <c r="X524" i="57"/>
  <c r="AD523" i="57"/>
  <c r="AC523" i="57"/>
  <c r="AB523" i="57"/>
  <c r="X523" i="57"/>
  <c r="AD522" i="57"/>
  <c r="AC522" i="57"/>
  <c r="AB522" i="57"/>
  <c r="X522" i="57"/>
  <c r="AD521" i="57"/>
  <c r="AC521" i="57"/>
  <c r="AB521" i="57"/>
  <c r="X521" i="57"/>
  <c r="AD520" i="57"/>
  <c r="AC520" i="57"/>
  <c r="AB520" i="57"/>
  <c r="X520" i="57"/>
  <c r="AD519" i="57"/>
  <c r="AC519" i="57"/>
  <c r="AB519" i="57"/>
  <c r="X519" i="57"/>
  <c r="AD518" i="57"/>
  <c r="AC518" i="57"/>
  <c r="AB518" i="57"/>
  <c r="X518" i="57"/>
  <c r="AD517" i="57"/>
  <c r="AC517" i="57"/>
  <c r="AB517" i="57"/>
  <c r="X517" i="57"/>
  <c r="AD516" i="57"/>
  <c r="AC516" i="57"/>
  <c r="AB516" i="57"/>
  <c r="X516" i="57"/>
  <c r="AD515" i="57"/>
  <c r="AC515" i="57"/>
  <c r="AB515" i="57"/>
  <c r="X515" i="57"/>
  <c r="AD514" i="57"/>
  <c r="AC514" i="57"/>
  <c r="AB514" i="57"/>
  <c r="X514" i="57"/>
  <c r="AD513" i="57"/>
  <c r="AC513" i="57"/>
  <c r="AB513" i="57"/>
  <c r="X513" i="57"/>
  <c r="AD512" i="57"/>
  <c r="AC512" i="57"/>
  <c r="AB512" i="57"/>
  <c r="X512" i="57"/>
  <c r="AD511" i="57"/>
  <c r="AC511" i="57"/>
  <c r="AB511" i="57"/>
  <c r="X511" i="57"/>
  <c r="AD510" i="57"/>
  <c r="AC510" i="57"/>
  <c r="AB510" i="57"/>
  <c r="X510" i="57"/>
  <c r="AD509" i="57"/>
  <c r="AC509" i="57"/>
  <c r="AB509" i="57"/>
  <c r="X509" i="57"/>
  <c r="AD508" i="57"/>
  <c r="AC508" i="57"/>
  <c r="AB508" i="57"/>
  <c r="X508" i="57"/>
  <c r="AD507" i="57"/>
  <c r="AC507" i="57"/>
  <c r="AB507" i="57"/>
  <c r="X507" i="57"/>
  <c r="AD506" i="57"/>
  <c r="AC506" i="57"/>
  <c r="AB506" i="57"/>
  <c r="X506" i="57"/>
  <c r="AD505" i="57"/>
  <c r="AC505" i="57"/>
  <c r="AB505" i="57"/>
  <c r="X505" i="57"/>
  <c r="AD504" i="57"/>
  <c r="AC504" i="57"/>
  <c r="AB504" i="57"/>
  <c r="X504" i="57"/>
  <c r="AD503" i="57"/>
  <c r="AC503" i="57"/>
  <c r="AB503" i="57"/>
  <c r="X503" i="57"/>
  <c r="AD502" i="57"/>
  <c r="AC502" i="57"/>
  <c r="AB502" i="57"/>
  <c r="X502" i="57"/>
  <c r="AD501" i="57"/>
  <c r="AC501" i="57"/>
  <c r="AB501" i="57"/>
  <c r="X501" i="57"/>
  <c r="AD500" i="57"/>
  <c r="AC500" i="57"/>
  <c r="AB500" i="57"/>
  <c r="X500" i="57"/>
  <c r="AD499" i="57"/>
  <c r="AC499" i="57"/>
  <c r="AB499" i="57"/>
  <c r="X499" i="57"/>
  <c r="AD498" i="57"/>
  <c r="AC498" i="57"/>
  <c r="AB498" i="57"/>
  <c r="X498" i="57"/>
  <c r="AD497" i="57"/>
  <c r="AC497" i="57"/>
  <c r="AB497" i="57"/>
  <c r="X497" i="57"/>
  <c r="AD496" i="57"/>
  <c r="AC496" i="57"/>
  <c r="AB496" i="57"/>
  <c r="X496" i="57"/>
  <c r="AD495" i="57"/>
  <c r="AC495" i="57"/>
  <c r="AB495" i="57"/>
  <c r="X495" i="57"/>
  <c r="AD494" i="57"/>
  <c r="AC494" i="57"/>
  <c r="AB494" i="57"/>
  <c r="X494" i="57"/>
  <c r="AD493" i="57"/>
  <c r="AC493" i="57"/>
  <c r="AB493" i="57"/>
  <c r="X493" i="57"/>
  <c r="AD492" i="57"/>
  <c r="AC492" i="57"/>
  <c r="AB492" i="57"/>
  <c r="X492" i="57"/>
  <c r="AD491" i="57"/>
  <c r="AC491" i="57"/>
  <c r="AB491" i="57"/>
  <c r="X491" i="57"/>
  <c r="AD490" i="57"/>
  <c r="AC490" i="57"/>
  <c r="AB490" i="57"/>
  <c r="X490" i="57"/>
  <c r="AD489" i="57"/>
  <c r="AC489" i="57"/>
  <c r="AB489" i="57"/>
  <c r="X489" i="57"/>
  <c r="AD488" i="57"/>
  <c r="AC488" i="57"/>
  <c r="AB488" i="57"/>
  <c r="X488" i="57"/>
  <c r="AD487" i="57"/>
  <c r="AC487" i="57"/>
  <c r="AB487" i="57"/>
  <c r="X487" i="57"/>
  <c r="AD486" i="57"/>
  <c r="AC486" i="57"/>
  <c r="AB486" i="57"/>
  <c r="X486" i="57"/>
  <c r="AD485" i="57"/>
  <c r="AC485" i="57"/>
  <c r="AB485" i="57"/>
  <c r="X485" i="57"/>
  <c r="AD484" i="57"/>
  <c r="AC484" i="57"/>
  <c r="AB484" i="57"/>
  <c r="X484" i="57"/>
  <c r="AD483" i="57"/>
  <c r="AC483" i="57"/>
  <c r="AB483" i="57"/>
  <c r="X483" i="57"/>
  <c r="AD482" i="57"/>
  <c r="AC482" i="57"/>
  <c r="AB482" i="57"/>
  <c r="X482" i="57"/>
  <c r="AD481" i="57"/>
  <c r="AC481" i="57"/>
  <c r="AB481" i="57"/>
  <c r="X481" i="57"/>
  <c r="AD480" i="57"/>
  <c r="AC480" i="57"/>
  <c r="AB480" i="57"/>
  <c r="X480" i="57"/>
  <c r="AD479" i="57"/>
  <c r="AC479" i="57"/>
  <c r="AB479" i="57"/>
  <c r="X479" i="57"/>
  <c r="AD478" i="57"/>
  <c r="AC478" i="57"/>
  <c r="AB478" i="57"/>
  <c r="X478" i="57"/>
  <c r="AD477" i="57"/>
  <c r="AC477" i="57"/>
  <c r="AB477" i="57"/>
  <c r="X477" i="57"/>
  <c r="AD476" i="57"/>
  <c r="AC476" i="57"/>
  <c r="AB476" i="57"/>
  <c r="X476" i="57"/>
  <c r="AD475" i="57"/>
  <c r="AC475" i="57"/>
  <c r="AB475" i="57"/>
  <c r="X475" i="57"/>
  <c r="AD474" i="57"/>
  <c r="AC474" i="57"/>
  <c r="AB474" i="57"/>
  <c r="X474" i="57"/>
  <c r="AD473" i="57"/>
  <c r="AC473" i="57"/>
  <c r="AB473" i="57"/>
  <c r="X473" i="57"/>
  <c r="AD472" i="57"/>
  <c r="AC472" i="57"/>
  <c r="AB472" i="57"/>
  <c r="X472" i="57"/>
  <c r="AD471" i="57"/>
  <c r="AC471" i="57"/>
  <c r="AB471" i="57"/>
  <c r="X471" i="57"/>
  <c r="AD470" i="57"/>
  <c r="AC470" i="57"/>
  <c r="AB470" i="57"/>
  <c r="X470" i="57"/>
  <c r="AD469" i="57"/>
  <c r="AC469" i="57"/>
  <c r="AB469" i="57"/>
  <c r="X469" i="57"/>
  <c r="AD468" i="57"/>
  <c r="AC468" i="57"/>
  <c r="AB468" i="57"/>
  <c r="X468" i="57"/>
  <c r="AD467" i="57"/>
  <c r="AC467" i="57"/>
  <c r="AB467" i="57"/>
  <c r="X467" i="57"/>
  <c r="AD466" i="57"/>
  <c r="AC466" i="57"/>
  <c r="AB466" i="57"/>
  <c r="X466" i="57"/>
  <c r="AD465" i="57"/>
  <c r="AC465" i="57"/>
  <c r="AB465" i="57"/>
  <c r="X465" i="57"/>
  <c r="AD464" i="57"/>
  <c r="AC464" i="57"/>
  <c r="AB464" i="57"/>
  <c r="X464" i="57"/>
  <c r="AD463" i="57"/>
  <c r="AC463" i="57"/>
  <c r="AB463" i="57"/>
  <c r="X463" i="57"/>
  <c r="AD462" i="57"/>
  <c r="AC462" i="57"/>
  <c r="AB462" i="57"/>
  <c r="X462" i="57"/>
  <c r="AD461" i="57"/>
  <c r="AC461" i="57"/>
  <c r="AB461" i="57"/>
  <c r="X461" i="57"/>
  <c r="AD460" i="57"/>
  <c r="AC460" i="57"/>
  <c r="AB460" i="57"/>
  <c r="X460" i="57"/>
  <c r="AD459" i="57"/>
  <c r="AC459" i="57"/>
  <c r="AB459" i="57"/>
  <c r="X459" i="57"/>
  <c r="AD458" i="57"/>
  <c r="AC458" i="57"/>
  <c r="AB458" i="57"/>
  <c r="X458" i="57"/>
  <c r="AD457" i="57"/>
  <c r="AC457" i="57"/>
  <c r="AB457" i="57"/>
  <c r="X457" i="57"/>
  <c r="AD456" i="57"/>
  <c r="AC456" i="57"/>
  <c r="AB456" i="57"/>
  <c r="X456" i="57"/>
  <c r="AD455" i="57"/>
  <c r="AC455" i="57"/>
  <c r="AB455" i="57"/>
  <c r="X455" i="57"/>
  <c r="AD454" i="57"/>
  <c r="AC454" i="57"/>
  <c r="AB454" i="57"/>
  <c r="X454" i="57"/>
  <c r="AD453" i="57"/>
  <c r="AC453" i="57"/>
  <c r="AB453" i="57"/>
  <c r="X453" i="57"/>
  <c r="AD452" i="57"/>
  <c r="AC452" i="57"/>
  <c r="AB452" i="57"/>
  <c r="X452" i="57"/>
  <c r="AD451" i="57"/>
  <c r="AC451" i="57"/>
  <c r="AB451" i="57"/>
  <c r="X451" i="57"/>
  <c r="AD450" i="57"/>
  <c r="AC450" i="57"/>
  <c r="AB450" i="57"/>
  <c r="X450" i="57"/>
  <c r="AD449" i="57"/>
  <c r="AC449" i="57"/>
  <c r="AB449" i="57"/>
  <c r="X449" i="57"/>
  <c r="AD448" i="57"/>
  <c r="AC448" i="57"/>
  <c r="AB448" i="57"/>
  <c r="X448" i="57"/>
  <c r="AD447" i="57"/>
  <c r="AC447" i="57"/>
  <c r="AB447" i="57"/>
  <c r="X447" i="57"/>
  <c r="AD446" i="57"/>
  <c r="AC446" i="57"/>
  <c r="AB446" i="57"/>
  <c r="X446" i="57"/>
  <c r="AD445" i="57"/>
  <c r="AC445" i="57"/>
  <c r="AB445" i="57"/>
  <c r="X445" i="57"/>
  <c r="AD444" i="57"/>
  <c r="AC444" i="57"/>
  <c r="AB444" i="57"/>
  <c r="X444" i="57"/>
  <c r="AD443" i="57"/>
  <c r="AC443" i="57"/>
  <c r="AB443" i="57"/>
  <c r="X443" i="57"/>
  <c r="AD442" i="57"/>
  <c r="AC442" i="57"/>
  <c r="AB442" i="57"/>
  <c r="X442" i="57"/>
  <c r="AD441" i="57"/>
  <c r="AC441" i="57"/>
  <c r="AB441" i="57"/>
  <c r="X441" i="57"/>
  <c r="AD440" i="57"/>
  <c r="AC440" i="57"/>
  <c r="AB440" i="57"/>
  <c r="X440" i="57"/>
  <c r="AD439" i="57"/>
  <c r="AC439" i="57"/>
  <c r="AB439" i="57"/>
  <c r="X439" i="57"/>
  <c r="AD438" i="57"/>
  <c r="AC438" i="57"/>
  <c r="AB438" i="57"/>
  <c r="X438" i="57"/>
  <c r="AD437" i="57"/>
  <c r="AC437" i="57"/>
  <c r="AB437" i="57"/>
  <c r="X437" i="57"/>
  <c r="AD436" i="57"/>
  <c r="AC436" i="57"/>
  <c r="AB436" i="57"/>
  <c r="X436" i="57"/>
  <c r="AD435" i="57"/>
  <c r="AC435" i="57"/>
  <c r="AB435" i="57"/>
  <c r="X435" i="57"/>
  <c r="AD434" i="57"/>
  <c r="AC434" i="57"/>
  <c r="AB434" i="57"/>
  <c r="X434" i="57"/>
  <c r="AD433" i="57"/>
  <c r="AC433" i="57"/>
  <c r="AB433" i="57"/>
  <c r="X433" i="57"/>
  <c r="AD432" i="57"/>
  <c r="AC432" i="57"/>
  <c r="AB432" i="57"/>
  <c r="X432" i="57"/>
  <c r="AD431" i="57"/>
  <c r="AC431" i="57"/>
  <c r="AB431" i="57"/>
  <c r="X431" i="57"/>
  <c r="AD430" i="57"/>
  <c r="AC430" i="57"/>
  <c r="AB430" i="57"/>
  <c r="X430" i="57"/>
  <c r="AD429" i="57"/>
  <c r="AC429" i="57"/>
  <c r="AB429" i="57"/>
  <c r="X429" i="57"/>
  <c r="AD428" i="57"/>
  <c r="AC428" i="57"/>
  <c r="AB428" i="57"/>
  <c r="X428" i="57"/>
  <c r="AD427" i="57"/>
  <c r="AC427" i="57"/>
  <c r="AB427" i="57"/>
  <c r="X427" i="57"/>
  <c r="AD426" i="57"/>
  <c r="AC426" i="57"/>
  <c r="AB426" i="57"/>
  <c r="X426" i="57"/>
  <c r="AD425" i="57"/>
  <c r="AC425" i="57"/>
  <c r="AB425" i="57"/>
  <c r="X425" i="57"/>
  <c r="AD424" i="57"/>
  <c r="AC424" i="57"/>
  <c r="AB424" i="57"/>
  <c r="X424" i="57"/>
  <c r="AD423" i="57"/>
  <c r="AC423" i="57"/>
  <c r="AB423" i="57"/>
  <c r="X423" i="57"/>
  <c r="AD422" i="57"/>
  <c r="AC422" i="57"/>
  <c r="AB422" i="57"/>
  <c r="X422" i="57"/>
  <c r="AD421" i="57"/>
  <c r="AC421" i="57"/>
  <c r="AB421" i="57"/>
  <c r="X421" i="57"/>
  <c r="AD420" i="57"/>
  <c r="AC420" i="57"/>
  <c r="AB420" i="57"/>
  <c r="X420" i="57"/>
  <c r="AD419" i="57"/>
  <c r="AC419" i="57"/>
  <c r="AB419" i="57"/>
  <c r="X419" i="57"/>
  <c r="AD418" i="57"/>
  <c r="AC418" i="57"/>
  <c r="AB418" i="57"/>
  <c r="X418" i="57"/>
  <c r="AD417" i="57"/>
  <c r="AC417" i="57"/>
  <c r="AB417" i="57"/>
  <c r="X417" i="57"/>
  <c r="AD416" i="57"/>
  <c r="AC416" i="57"/>
  <c r="AB416" i="57"/>
  <c r="X416" i="57"/>
  <c r="AD415" i="57"/>
  <c r="AC415" i="57"/>
  <c r="AB415" i="57"/>
  <c r="X415" i="57"/>
  <c r="AD414" i="57"/>
  <c r="AC414" i="57"/>
  <c r="AB414" i="57"/>
  <c r="X414" i="57"/>
  <c r="AD413" i="57"/>
  <c r="AC413" i="57"/>
  <c r="AB413" i="57"/>
  <c r="X413" i="57"/>
  <c r="AD412" i="57"/>
  <c r="AC412" i="57"/>
  <c r="AB412" i="57"/>
  <c r="X412" i="57"/>
  <c r="AD411" i="57"/>
  <c r="AC411" i="57"/>
  <c r="AB411" i="57"/>
  <c r="X411" i="57"/>
  <c r="AD410" i="57"/>
  <c r="AC410" i="57"/>
  <c r="AB410" i="57"/>
  <c r="X410" i="57"/>
  <c r="AD409" i="57"/>
  <c r="AC409" i="57"/>
  <c r="AB409" i="57"/>
  <c r="X409" i="57"/>
  <c r="AD408" i="57"/>
  <c r="AC408" i="57"/>
  <c r="AB408" i="57"/>
  <c r="X408" i="57"/>
  <c r="AD407" i="57"/>
  <c r="AC407" i="57"/>
  <c r="AB407" i="57"/>
  <c r="X407" i="57"/>
  <c r="AD406" i="57"/>
  <c r="AC406" i="57"/>
  <c r="AB406" i="57"/>
  <c r="X406" i="57"/>
  <c r="AD405" i="57"/>
  <c r="AC405" i="57"/>
  <c r="AB405" i="57"/>
  <c r="X405" i="57"/>
  <c r="AD404" i="57"/>
  <c r="AC404" i="57"/>
  <c r="AB404" i="57"/>
  <c r="X404" i="57"/>
  <c r="AD403" i="57"/>
  <c r="AC403" i="57"/>
  <c r="AB403" i="57"/>
  <c r="X403" i="57"/>
  <c r="AD402" i="57"/>
  <c r="AC402" i="57"/>
  <c r="AB402" i="57"/>
  <c r="X402" i="57"/>
  <c r="AD401" i="57"/>
  <c r="AC401" i="57"/>
  <c r="AB401" i="57"/>
  <c r="X401" i="57"/>
  <c r="AD400" i="57"/>
  <c r="AC400" i="57"/>
  <c r="AB400" i="57"/>
  <c r="X400" i="57"/>
  <c r="AD399" i="57"/>
  <c r="AC399" i="57"/>
  <c r="AB399" i="57"/>
  <c r="X399" i="57"/>
  <c r="AD398" i="57"/>
  <c r="AC398" i="57"/>
  <c r="AB398" i="57"/>
  <c r="X398" i="57"/>
  <c r="AD397" i="57"/>
  <c r="AC397" i="57"/>
  <c r="AB397" i="57"/>
  <c r="X397" i="57"/>
  <c r="AD396" i="57"/>
  <c r="AC396" i="57"/>
  <c r="AB396" i="57"/>
  <c r="X396" i="57"/>
  <c r="AD395" i="57"/>
  <c r="AC395" i="57"/>
  <c r="AB395" i="57"/>
  <c r="X395" i="57"/>
  <c r="AD394" i="57"/>
  <c r="AC394" i="57"/>
  <c r="AB394" i="57"/>
  <c r="X394" i="57"/>
  <c r="AD393" i="57"/>
  <c r="AC393" i="57"/>
  <c r="AB393" i="57"/>
  <c r="X393" i="57"/>
  <c r="AD392" i="57"/>
  <c r="AC392" i="57"/>
  <c r="AB392" i="57"/>
  <c r="X392" i="57"/>
  <c r="AD391" i="57"/>
  <c r="AC391" i="57"/>
  <c r="AB391" i="57"/>
  <c r="X391" i="57"/>
  <c r="AD390" i="57"/>
  <c r="AC390" i="57"/>
  <c r="AB390" i="57"/>
  <c r="X390" i="57"/>
  <c r="AD389" i="57"/>
  <c r="AC389" i="57"/>
  <c r="AB389" i="57"/>
  <c r="X389" i="57"/>
  <c r="AD388" i="57"/>
  <c r="AC388" i="57"/>
  <c r="AB388" i="57"/>
  <c r="X388" i="57"/>
  <c r="AD387" i="57"/>
  <c r="AC387" i="57"/>
  <c r="AB387" i="57"/>
  <c r="X387" i="57"/>
  <c r="AD386" i="57"/>
  <c r="AC386" i="57"/>
  <c r="AB386" i="57"/>
  <c r="X386" i="57"/>
  <c r="AD385" i="57"/>
  <c r="AC385" i="57"/>
  <c r="AB385" i="57"/>
  <c r="X385" i="57"/>
  <c r="AD384" i="57"/>
  <c r="AC384" i="57"/>
  <c r="AB384" i="57"/>
  <c r="X384" i="57"/>
  <c r="AD383" i="57"/>
  <c r="AC383" i="57"/>
  <c r="AB383" i="57"/>
  <c r="X383" i="57"/>
  <c r="AD382" i="57"/>
  <c r="AC382" i="57"/>
  <c r="AB382" i="57"/>
  <c r="X382" i="57"/>
  <c r="AD381" i="57"/>
  <c r="AC381" i="57"/>
  <c r="AB381" i="57"/>
  <c r="X381" i="57"/>
  <c r="AD380" i="57"/>
  <c r="AC380" i="57"/>
  <c r="AB380" i="57"/>
  <c r="X380" i="57"/>
  <c r="AD379" i="57"/>
  <c r="AC379" i="57"/>
  <c r="AB379" i="57"/>
  <c r="X379" i="57"/>
  <c r="AD378" i="57"/>
  <c r="AC378" i="57"/>
  <c r="AB378" i="57"/>
  <c r="X378" i="57"/>
  <c r="AD377" i="57"/>
  <c r="AC377" i="57"/>
  <c r="AB377" i="57"/>
  <c r="X377" i="57"/>
  <c r="AD376" i="57"/>
  <c r="AC376" i="57"/>
  <c r="AB376" i="57"/>
  <c r="X376" i="57"/>
  <c r="AD375" i="57"/>
  <c r="AC375" i="57"/>
  <c r="AB375" i="57"/>
  <c r="X375" i="57"/>
  <c r="AD374" i="57"/>
  <c r="AC374" i="57"/>
  <c r="AB374" i="57"/>
  <c r="X374" i="57"/>
  <c r="AD373" i="57"/>
  <c r="AC373" i="57"/>
  <c r="AB373" i="57"/>
  <c r="X373" i="57"/>
  <c r="AD372" i="57"/>
  <c r="AC372" i="57"/>
  <c r="AB372" i="57"/>
  <c r="X372" i="57"/>
  <c r="AD371" i="57"/>
  <c r="AC371" i="57"/>
  <c r="AB371" i="57"/>
  <c r="X371" i="57"/>
  <c r="AD370" i="57"/>
  <c r="AC370" i="57"/>
  <c r="AB370" i="57"/>
  <c r="X370" i="57"/>
  <c r="AD369" i="57"/>
  <c r="AC369" i="57"/>
  <c r="AB369" i="57"/>
  <c r="X369" i="57"/>
  <c r="AD368" i="57"/>
  <c r="AC368" i="57"/>
  <c r="AB368" i="57"/>
  <c r="X368" i="57"/>
  <c r="AD367" i="57"/>
  <c r="AC367" i="57"/>
  <c r="AB367" i="57"/>
  <c r="X367" i="57"/>
  <c r="AD366" i="57"/>
  <c r="AC366" i="57"/>
  <c r="AB366" i="57"/>
  <c r="X366" i="57"/>
  <c r="AD365" i="57"/>
  <c r="AC365" i="57"/>
  <c r="AB365" i="57"/>
  <c r="X365" i="57"/>
  <c r="AD364" i="57"/>
  <c r="AC364" i="57"/>
  <c r="AB364" i="57"/>
  <c r="X364" i="57"/>
  <c r="AD363" i="57"/>
  <c r="AC363" i="57"/>
  <c r="AB363" i="57"/>
  <c r="X363" i="57"/>
  <c r="AD362" i="57"/>
  <c r="AC362" i="57"/>
  <c r="AB362" i="57"/>
  <c r="X362" i="57"/>
  <c r="AD361" i="57"/>
  <c r="AC361" i="57"/>
  <c r="AB361" i="57"/>
  <c r="X361" i="57"/>
  <c r="AD360" i="57"/>
  <c r="AC360" i="57"/>
  <c r="AB360" i="57"/>
  <c r="X360" i="57"/>
  <c r="AD359" i="57"/>
  <c r="AC359" i="57"/>
  <c r="AB359" i="57"/>
  <c r="X359" i="57"/>
  <c r="AD358" i="57"/>
  <c r="AC358" i="57"/>
  <c r="AB358" i="57"/>
  <c r="X358" i="57"/>
  <c r="AD357" i="57"/>
  <c r="AC357" i="57"/>
  <c r="AB357" i="57"/>
  <c r="X357" i="57"/>
  <c r="AD356" i="57"/>
  <c r="AC356" i="57"/>
  <c r="AB356" i="57"/>
  <c r="X356" i="57"/>
  <c r="AD355" i="57"/>
  <c r="AC355" i="57"/>
  <c r="AB355" i="57"/>
  <c r="X355" i="57"/>
  <c r="AD354" i="57"/>
  <c r="AC354" i="57"/>
  <c r="AB354" i="57"/>
  <c r="X354" i="57"/>
  <c r="AD353" i="57"/>
  <c r="AC353" i="57"/>
  <c r="AB353" i="57"/>
  <c r="X353" i="57"/>
  <c r="AD352" i="57"/>
  <c r="AC352" i="57"/>
  <c r="AB352" i="57"/>
  <c r="X352" i="57"/>
  <c r="AD351" i="57"/>
  <c r="AC351" i="57"/>
  <c r="AB351" i="57"/>
  <c r="X351" i="57"/>
  <c r="AD350" i="57"/>
  <c r="AC350" i="57"/>
  <c r="AB350" i="57"/>
  <c r="X350" i="57"/>
  <c r="AD349" i="57"/>
  <c r="AC349" i="57"/>
  <c r="AB349" i="57"/>
  <c r="X349" i="57"/>
  <c r="AD348" i="57"/>
  <c r="AC348" i="57"/>
  <c r="AB348" i="57"/>
  <c r="X348" i="57"/>
  <c r="AD347" i="57"/>
  <c r="AC347" i="57"/>
  <c r="AB347" i="57"/>
  <c r="X347" i="57"/>
  <c r="AD346" i="57"/>
  <c r="AC346" i="57"/>
  <c r="AB346" i="57"/>
  <c r="X346" i="57"/>
  <c r="AD345" i="57"/>
  <c r="AC345" i="57"/>
  <c r="AB345" i="57"/>
  <c r="X345" i="57"/>
  <c r="AD344" i="57"/>
  <c r="AC344" i="57"/>
  <c r="AB344" i="57"/>
  <c r="X344" i="57"/>
  <c r="AD343" i="57"/>
  <c r="AC343" i="57"/>
  <c r="AB343" i="57"/>
  <c r="X343" i="57"/>
  <c r="AD342" i="57"/>
  <c r="AC342" i="57"/>
  <c r="AB342" i="57"/>
  <c r="X342" i="57"/>
  <c r="AD341" i="57"/>
  <c r="AC341" i="57"/>
  <c r="AB341" i="57"/>
  <c r="X341" i="57"/>
  <c r="AD340" i="57"/>
  <c r="AC340" i="57"/>
  <c r="AB340" i="57"/>
  <c r="X340" i="57"/>
  <c r="AD339" i="57"/>
  <c r="AC339" i="57"/>
  <c r="AB339" i="57"/>
  <c r="X339" i="57"/>
  <c r="AD338" i="57"/>
  <c r="AC338" i="57"/>
  <c r="AB338" i="57"/>
  <c r="X338" i="57"/>
  <c r="AD337" i="57"/>
  <c r="AC337" i="57"/>
  <c r="AB337" i="57"/>
  <c r="X337" i="57"/>
  <c r="AD336" i="57"/>
  <c r="AC336" i="57"/>
  <c r="AB336" i="57"/>
  <c r="X336" i="57"/>
  <c r="AD335" i="57"/>
  <c r="AC335" i="57"/>
  <c r="AB335" i="57"/>
  <c r="X335" i="57"/>
  <c r="AD334" i="57"/>
  <c r="AC334" i="57"/>
  <c r="AB334" i="57"/>
  <c r="X334" i="57"/>
  <c r="AD333" i="57"/>
  <c r="AC333" i="57"/>
  <c r="AB333" i="57"/>
  <c r="X333" i="57"/>
  <c r="AD332" i="57"/>
  <c r="AC332" i="57"/>
  <c r="AB332" i="57"/>
  <c r="X332" i="57"/>
  <c r="AD331" i="57"/>
  <c r="AC331" i="57"/>
  <c r="AB331" i="57"/>
  <c r="X331" i="57"/>
  <c r="AD330" i="57"/>
  <c r="AC330" i="57"/>
  <c r="AB330" i="57"/>
  <c r="X330" i="57"/>
  <c r="AD329" i="57"/>
  <c r="AC329" i="57"/>
  <c r="AB329" i="57"/>
  <c r="X329" i="57"/>
  <c r="AD328" i="57"/>
  <c r="AC328" i="57"/>
  <c r="AB328" i="57"/>
  <c r="X328" i="57"/>
  <c r="AD327" i="57"/>
  <c r="AC327" i="57"/>
  <c r="AB327" i="57"/>
  <c r="X327" i="57"/>
  <c r="AD326" i="57"/>
  <c r="AC326" i="57"/>
  <c r="AB326" i="57"/>
  <c r="X326" i="57"/>
  <c r="AD325" i="57"/>
  <c r="AC325" i="57"/>
  <c r="AB325" i="57"/>
  <c r="X325" i="57"/>
  <c r="AD324" i="57"/>
  <c r="AC324" i="57"/>
  <c r="AB324" i="57"/>
  <c r="X324" i="57"/>
  <c r="AD323" i="57"/>
  <c r="AC323" i="57"/>
  <c r="AB323" i="57"/>
  <c r="X323" i="57"/>
  <c r="AD322" i="57"/>
  <c r="AC322" i="57"/>
  <c r="AB322" i="57"/>
  <c r="X322" i="57"/>
  <c r="AD321" i="57"/>
  <c r="AC321" i="57"/>
  <c r="AB321" i="57"/>
  <c r="X321" i="57"/>
  <c r="AD320" i="57"/>
  <c r="AC320" i="57"/>
  <c r="AB320" i="57"/>
  <c r="X320" i="57"/>
  <c r="AD319" i="57"/>
  <c r="AC319" i="57"/>
  <c r="AB319" i="57"/>
  <c r="X319" i="57"/>
  <c r="AD318" i="57"/>
  <c r="AC318" i="57"/>
  <c r="AB318" i="57"/>
  <c r="X318" i="57"/>
  <c r="AD317" i="57"/>
  <c r="AC317" i="57"/>
  <c r="AB317" i="57"/>
  <c r="X317" i="57"/>
  <c r="AD316" i="57"/>
  <c r="AC316" i="57"/>
  <c r="AB316" i="57"/>
  <c r="X316" i="57"/>
  <c r="AD315" i="57"/>
  <c r="AC315" i="57"/>
  <c r="AB315" i="57"/>
  <c r="X315" i="57"/>
  <c r="AD314" i="57"/>
  <c r="AC314" i="57"/>
  <c r="AB314" i="57"/>
  <c r="X314" i="57"/>
  <c r="AD313" i="57"/>
  <c r="AC313" i="57"/>
  <c r="AB313" i="57"/>
  <c r="X313" i="57"/>
  <c r="AD312" i="57"/>
  <c r="AC312" i="57"/>
  <c r="AB312" i="57"/>
  <c r="X312" i="57"/>
  <c r="AD311" i="57"/>
  <c r="AC311" i="57"/>
  <c r="AB311" i="57"/>
  <c r="X311" i="57"/>
  <c r="AD310" i="57"/>
  <c r="AC310" i="57"/>
  <c r="AB310" i="57"/>
  <c r="X310" i="57"/>
  <c r="AD309" i="57"/>
  <c r="AC309" i="57"/>
  <c r="AB309" i="57"/>
  <c r="X309" i="57"/>
  <c r="AD308" i="57"/>
  <c r="AC308" i="57"/>
  <c r="AB308" i="57"/>
  <c r="X308" i="57"/>
  <c r="AD307" i="57"/>
  <c r="AC307" i="57"/>
  <c r="AB307" i="57"/>
  <c r="X307" i="57"/>
  <c r="AD306" i="57"/>
  <c r="AC306" i="57"/>
  <c r="AB306" i="57"/>
  <c r="X306" i="57"/>
  <c r="AD305" i="57"/>
  <c r="AC305" i="57"/>
  <c r="AB305" i="57"/>
  <c r="X305" i="57"/>
  <c r="AD304" i="57"/>
  <c r="AC304" i="57"/>
  <c r="AB304" i="57"/>
  <c r="X304" i="57"/>
  <c r="AD303" i="57"/>
  <c r="AC303" i="57"/>
  <c r="AB303" i="57"/>
  <c r="X303" i="57"/>
  <c r="AD302" i="57"/>
  <c r="AC302" i="57"/>
  <c r="AB302" i="57"/>
  <c r="X302" i="57"/>
  <c r="AD301" i="57"/>
  <c r="AC301" i="57"/>
  <c r="AB301" i="57"/>
  <c r="X301" i="57"/>
  <c r="AD300" i="57"/>
  <c r="AC300" i="57"/>
  <c r="AB300" i="57"/>
  <c r="X300" i="57"/>
  <c r="AD299" i="57"/>
  <c r="AC299" i="57"/>
  <c r="AB299" i="57"/>
  <c r="X299" i="57"/>
  <c r="AD298" i="57"/>
  <c r="AC298" i="57"/>
  <c r="AB298" i="57"/>
  <c r="X298" i="57"/>
  <c r="AD297" i="57"/>
  <c r="AC297" i="57"/>
  <c r="AB297" i="57"/>
  <c r="X297" i="57"/>
  <c r="AD296" i="57"/>
  <c r="AC296" i="57"/>
  <c r="AB296" i="57"/>
  <c r="X296" i="57"/>
  <c r="AD295" i="57"/>
  <c r="AC295" i="57"/>
  <c r="AB295" i="57"/>
  <c r="X295" i="57"/>
  <c r="AD294" i="57"/>
  <c r="AC294" i="57"/>
  <c r="AB294" i="57"/>
  <c r="X294" i="57"/>
  <c r="AD293" i="57"/>
  <c r="AC293" i="57"/>
  <c r="AB293" i="57"/>
  <c r="X293" i="57"/>
  <c r="AD292" i="57"/>
  <c r="AC292" i="57"/>
  <c r="AB292" i="57"/>
  <c r="X292" i="57"/>
  <c r="AD291" i="57"/>
  <c r="AC291" i="57"/>
  <c r="AB291" i="57"/>
  <c r="X291" i="57"/>
  <c r="AD290" i="57"/>
  <c r="AC290" i="57"/>
  <c r="AB290" i="57"/>
  <c r="X290" i="57"/>
  <c r="AD289" i="57"/>
  <c r="AC289" i="57"/>
  <c r="AB289" i="57"/>
  <c r="X289" i="57"/>
  <c r="AD288" i="57"/>
  <c r="AC288" i="57"/>
  <c r="AB288" i="57"/>
  <c r="X288" i="57"/>
  <c r="AD287" i="57"/>
  <c r="AC287" i="57"/>
  <c r="AB287" i="57"/>
  <c r="X287" i="57"/>
  <c r="AD286" i="57"/>
  <c r="AC286" i="57"/>
  <c r="AB286" i="57"/>
  <c r="X286" i="57"/>
  <c r="AD285" i="57"/>
  <c r="AC285" i="57"/>
  <c r="AB285" i="57"/>
  <c r="X285" i="57"/>
  <c r="AD284" i="57"/>
  <c r="AC284" i="57"/>
  <c r="AB284" i="57"/>
  <c r="X284" i="57"/>
  <c r="AD283" i="57"/>
  <c r="AC283" i="57"/>
  <c r="AB283" i="57"/>
  <c r="X283" i="57"/>
  <c r="AD282" i="57"/>
  <c r="AC282" i="57"/>
  <c r="AB282" i="57"/>
  <c r="X282" i="57"/>
  <c r="AD281" i="57"/>
  <c r="AC281" i="57"/>
  <c r="AB281" i="57"/>
  <c r="X281" i="57"/>
  <c r="AD280" i="57"/>
  <c r="AC280" i="57"/>
  <c r="AB280" i="57"/>
  <c r="X280" i="57"/>
  <c r="AD279" i="57"/>
  <c r="AC279" i="57"/>
  <c r="AB279" i="57"/>
  <c r="X279" i="57"/>
  <c r="AD278" i="57"/>
  <c r="AC278" i="57"/>
  <c r="AB278" i="57"/>
  <c r="X278" i="57"/>
  <c r="AD277" i="57"/>
  <c r="AC277" i="57"/>
  <c r="AB277" i="57"/>
  <c r="X277" i="57"/>
  <c r="AD276" i="57"/>
  <c r="AC276" i="57"/>
  <c r="AB276" i="57"/>
  <c r="X276" i="57"/>
  <c r="AD275" i="57"/>
  <c r="AC275" i="57"/>
  <c r="AB275" i="57"/>
  <c r="X275" i="57"/>
  <c r="AD274" i="57"/>
  <c r="AC274" i="57"/>
  <c r="AB274" i="57"/>
  <c r="X274" i="57"/>
  <c r="AD273" i="57"/>
  <c r="AC273" i="57"/>
  <c r="AB273" i="57"/>
  <c r="X273" i="57"/>
  <c r="AD272" i="57"/>
  <c r="AC272" i="57"/>
  <c r="AB272" i="57"/>
  <c r="X272" i="57"/>
  <c r="AD271" i="57"/>
  <c r="AC271" i="57"/>
  <c r="AB271" i="57"/>
  <c r="X271" i="57"/>
  <c r="AD270" i="57"/>
  <c r="AC270" i="57"/>
  <c r="AB270" i="57"/>
  <c r="X270" i="57"/>
  <c r="AD269" i="57"/>
  <c r="AC269" i="57"/>
  <c r="AB269" i="57"/>
  <c r="X269" i="57"/>
  <c r="AD268" i="57"/>
  <c r="AC268" i="57"/>
  <c r="AB268" i="57"/>
  <c r="X268" i="57"/>
  <c r="AD267" i="57"/>
  <c r="AC267" i="57"/>
  <c r="AB267" i="57"/>
  <c r="X267" i="57"/>
  <c r="AD266" i="57"/>
  <c r="AC266" i="57"/>
  <c r="AB266" i="57"/>
  <c r="X266" i="57"/>
  <c r="AD265" i="57"/>
  <c r="AC265" i="57"/>
  <c r="AB265" i="57"/>
  <c r="X265" i="57"/>
  <c r="AD264" i="57"/>
  <c r="AC264" i="57"/>
  <c r="AB264" i="57"/>
  <c r="X264" i="57"/>
  <c r="AD263" i="57"/>
  <c r="AC263" i="57"/>
  <c r="AB263" i="57"/>
  <c r="X263" i="57"/>
  <c r="AD262" i="57"/>
  <c r="AC262" i="57"/>
  <c r="AB262" i="57"/>
  <c r="X262" i="57"/>
  <c r="AD261" i="57"/>
  <c r="AC261" i="57"/>
  <c r="AB261" i="57"/>
  <c r="X261" i="57"/>
  <c r="AD260" i="57"/>
  <c r="AC260" i="57"/>
  <c r="AB260" i="57"/>
  <c r="X260" i="57"/>
  <c r="AD259" i="57"/>
  <c r="AC259" i="57"/>
  <c r="AB259" i="57"/>
  <c r="X259" i="57"/>
  <c r="AD258" i="57"/>
  <c r="AC258" i="57"/>
  <c r="AB258" i="57"/>
  <c r="X258" i="57"/>
  <c r="AD257" i="57"/>
  <c r="AC257" i="57"/>
  <c r="AB257" i="57"/>
  <c r="X257" i="57"/>
  <c r="AD256" i="57"/>
  <c r="AC256" i="57"/>
  <c r="AB256" i="57"/>
  <c r="X256" i="57"/>
  <c r="AD255" i="57"/>
  <c r="AC255" i="57"/>
  <c r="AB255" i="57"/>
  <c r="X255" i="57"/>
  <c r="AD254" i="57"/>
  <c r="AC254" i="57"/>
  <c r="AB254" i="57"/>
  <c r="X254" i="57"/>
  <c r="AD253" i="57"/>
  <c r="AC253" i="57"/>
  <c r="AB253" i="57"/>
  <c r="X253" i="57"/>
  <c r="AD252" i="57"/>
  <c r="AC252" i="57"/>
  <c r="AB252" i="57"/>
  <c r="X252" i="57"/>
  <c r="AD251" i="57"/>
  <c r="AC251" i="57"/>
  <c r="AB251" i="57"/>
  <c r="X251" i="57"/>
  <c r="AD250" i="57"/>
  <c r="AC250" i="57"/>
  <c r="AB250" i="57"/>
  <c r="X250" i="57"/>
  <c r="AD249" i="57"/>
  <c r="AC249" i="57"/>
  <c r="AB249" i="57"/>
  <c r="X249" i="57"/>
  <c r="AD248" i="57"/>
  <c r="AC248" i="57"/>
  <c r="AB248" i="57"/>
  <c r="X248" i="57"/>
  <c r="AD247" i="57"/>
  <c r="AC247" i="57"/>
  <c r="AB247" i="57"/>
  <c r="X247" i="57"/>
  <c r="AD246" i="57"/>
  <c r="AC246" i="57"/>
  <c r="AB246" i="57"/>
  <c r="X246" i="57"/>
  <c r="AD245" i="57"/>
  <c r="AC245" i="57"/>
  <c r="AB245" i="57"/>
  <c r="X245" i="57"/>
  <c r="AD244" i="57"/>
  <c r="AC244" i="57"/>
  <c r="AB244" i="57"/>
  <c r="X244" i="57"/>
  <c r="AD243" i="57"/>
  <c r="AC243" i="57"/>
  <c r="AB243" i="57"/>
  <c r="X243" i="57"/>
  <c r="AD242" i="57"/>
  <c r="AC242" i="57"/>
  <c r="AB242" i="57"/>
  <c r="X242" i="57"/>
  <c r="AD241" i="57"/>
  <c r="AC241" i="57"/>
  <c r="AB241" i="57"/>
  <c r="X241" i="57"/>
  <c r="AD240" i="57"/>
  <c r="AC240" i="57"/>
  <c r="AB240" i="57"/>
  <c r="X240" i="57"/>
  <c r="AD239" i="57"/>
  <c r="AC239" i="57"/>
  <c r="AB239" i="57"/>
  <c r="X239" i="57"/>
  <c r="AD238" i="57"/>
  <c r="AC238" i="57"/>
  <c r="AB238" i="57"/>
  <c r="X238" i="57"/>
  <c r="AD237" i="57"/>
  <c r="AC237" i="57"/>
  <c r="AB237" i="57"/>
  <c r="X237" i="57"/>
  <c r="AD236" i="57"/>
  <c r="AC236" i="57"/>
  <c r="AB236" i="57"/>
  <c r="X236" i="57"/>
  <c r="AD235" i="57"/>
  <c r="AC235" i="57"/>
  <c r="AB235" i="57"/>
  <c r="X235" i="57"/>
  <c r="AD234" i="57"/>
  <c r="AC234" i="57"/>
  <c r="AB234" i="57"/>
  <c r="X234" i="57"/>
  <c r="AD233" i="57"/>
  <c r="AC233" i="57"/>
  <c r="AB233" i="57"/>
  <c r="X233" i="57"/>
  <c r="AD232" i="57"/>
  <c r="AC232" i="57"/>
  <c r="AB232" i="57"/>
  <c r="X232" i="57"/>
  <c r="AD231" i="57"/>
  <c r="AC231" i="57"/>
  <c r="AB231" i="57"/>
  <c r="X231" i="57"/>
  <c r="AD230" i="57"/>
  <c r="AC230" i="57"/>
  <c r="AB230" i="57"/>
  <c r="X230" i="57"/>
  <c r="AD229" i="57"/>
  <c r="AC229" i="57"/>
  <c r="AB229" i="57"/>
  <c r="X229" i="57"/>
  <c r="AD228" i="57"/>
  <c r="AC228" i="57"/>
  <c r="AB228" i="57"/>
  <c r="X228" i="57"/>
  <c r="AD227" i="57"/>
  <c r="AC227" i="57"/>
  <c r="AB227" i="57"/>
  <c r="X227" i="57"/>
  <c r="AD226" i="57"/>
  <c r="AC226" i="57"/>
  <c r="AB226" i="57"/>
  <c r="X226" i="57"/>
  <c r="AD225" i="57"/>
  <c r="AC225" i="57"/>
  <c r="AB225" i="57"/>
  <c r="X225" i="57"/>
  <c r="AD224" i="57"/>
  <c r="AC224" i="57"/>
  <c r="AB224" i="57"/>
  <c r="X224" i="57"/>
  <c r="AD223" i="57"/>
  <c r="AC223" i="57"/>
  <c r="AB223" i="57"/>
  <c r="X223" i="57"/>
  <c r="AD222" i="57"/>
  <c r="AC222" i="57"/>
  <c r="AB222" i="57"/>
  <c r="X222" i="57"/>
  <c r="AD221" i="57"/>
  <c r="AC221" i="57"/>
  <c r="AB221" i="57"/>
  <c r="X221" i="57"/>
  <c r="AD220" i="57"/>
  <c r="AC220" i="57"/>
  <c r="AB220" i="57"/>
  <c r="X220" i="57"/>
  <c r="AD219" i="57"/>
  <c r="AC219" i="57"/>
  <c r="AB219" i="57"/>
  <c r="X219" i="57"/>
  <c r="AD218" i="57"/>
  <c r="AC218" i="57"/>
  <c r="AB218" i="57"/>
  <c r="X218" i="57"/>
  <c r="AD217" i="57"/>
  <c r="AC217" i="57"/>
  <c r="AB217" i="57"/>
  <c r="X217" i="57"/>
  <c r="AD216" i="57"/>
  <c r="AC216" i="57"/>
  <c r="AB216" i="57"/>
  <c r="X216" i="57"/>
  <c r="AD215" i="57"/>
  <c r="AC215" i="57"/>
  <c r="AB215" i="57"/>
  <c r="X215" i="57"/>
  <c r="AD214" i="57"/>
  <c r="AC214" i="57"/>
  <c r="AB214" i="57"/>
  <c r="X214" i="57"/>
  <c r="AD213" i="57"/>
  <c r="AC213" i="57"/>
  <c r="AB213" i="57"/>
  <c r="X213" i="57"/>
  <c r="AD212" i="57"/>
  <c r="AC212" i="57"/>
  <c r="AB212" i="57"/>
  <c r="X212" i="57"/>
  <c r="AD211" i="57"/>
  <c r="AC211" i="57"/>
  <c r="AB211" i="57"/>
  <c r="X211" i="57"/>
  <c r="AD210" i="57"/>
  <c r="AC210" i="57"/>
  <c r="AB210" i="57"/>
  <c r="X210" i="57"/>
  <c r="AD209" i="57"/>
  <c r="AC209" i="57"/>
  <c r="AB209" i="57"/>
  <c r="X209" i="57"/>
  <c r="AD208" i="57"/>
  <c r="AC208" i="57"/>
  <c r="AB208" i="57"/>
  <c r="X208" i="57"/>
  <c r="AD207" i="57"/>
  <c r="AC207" i="57"/>
  <c r="AB207" i="57"/>
  <c r="X207" i="57"/>
  <c r="AD206" i="57"/>
  <c r="AC206" i="57"/>
  <c r="AB206" i="57"/>
  <c r="X206" i="57"/>
  <c r="AD205" i="57"/>
  <c r="AC205" i="57"/>
  <c r="AB205" i="57"/>
  <c r="X205" i="57"/>
  <c r="AD204" i="57"/>
  <c r="AC204" i="57"/>
  <c r="AB204" i="57"/>
  <c r="X204" i="57"/>
  <c r="AD203" i="57"/>
  <c r="AC203" i="57"/>
  <c r="AB203" i="57"/>
  <c r="X203" i="57"/>
  <c r="AD202" i="57"/>
  <c r="AC202" i="57"/>
  <c r="AB202" i="57"/>
  <c r="X202" i="57"/>
  <c r="AD201" i="57"/>
  <c r="AC201" i="57"/>
  <c r="AB201" i="57"/>
  <c r="X201" i="57"/>
  <c r="AD200" i="57"/>
  <c r="AC200" i="57"/>
  <c r="AB200" i="57"/>
  <c r="X200" i="57"/>
  <c r="AD199" i="57"/>
  <c r="AC199" i="57"/>
  <c r="AB199" i="57"/>
  <c r="X199" i="57"/>
  <c r="AD198" i="57"/>
  <c r="AC198" i="57"/>
  <c r="AB198" i="57"/>
  <c r="X198" i="57"/>
  <c r="AD197" i="57"/>
  <c r="AC197" i="57"/>
  <c r="AB197" i="57"/>
  <c r="X197" i="57"/>
  <c r="AD196" i="57"/>
  <c r="AC196" i="57"/>
  <c r="AB196" i="57"/>
  <c r="X196" i="57"/>
  <c r="AD195" i="57"/>
  <c r="AC195" i="57"/>
  <c r="AB195" i="57"/>
  <c r="X195" i="57"/>
  <c r="AD194" i="57"/>
  <c r="AC194" i="57"/>
  <c r="AB194" i="57"/>
  <c r="X194" i="57"/>
  <c r="AD193" i="57"/>
  <c r="AC193" i="57"/>
  <c r="AB193" i="57"/>
  <c r="X193" i="57"/>
  <c r="AD192" i="57"/>
  <c r="AC192" i="57"/>
  <c r="AB192" i="57"/>
  <c r="X192" i="57"/>
  <c r="AD191" i="57"/>
  <c r="AC191" i="57"/>
  <c r="AB191" i="57"/>
  <c r="X191" i="57"/>
  <c r="AD190" i="57"/>
  <c r="AC190" i="57"/>
  <c r="AB190" i="57"/>
  <c r="X190" i="57"/>
  <c r="AD189" i="57"/>
  <c r="AC189" i="57"/>
  <c r="AB189" i="57"/>
  <c r="X189" i="57"/>
  <c r="AD188" i="57"/>
  <c r="AC188" i="57"/>
  <c r="AB188" i="57"/>
  <c r="X188" i="57"/>
  <c r="AD187" i="57"/>
  <c r="AC187" i="57"/>
  <c r="AB187" i="57"/>
  <c r="X187" i="57"/>
  <c r="AD186" i="57"/>
  <c r="AC186" i="57"/>
  <c r="AB186" i="57"/>
  <c r="X186" i="57"/>
  <c r="AD185" i="57"/>
  <c r="AC185" i="57"/>
  <c r="AB185" i="57"/>
  <c r="X185" i="57"/>
  <c r="AD184" i="57"/>
  <c r="AC184" i="57"/>
  <c r="AB184" i="57"/>
  <c r="X184" i="57"/>
  <c r="AD183" i="57"/>
  <c r="AC183" i="57"/>
  <c r="AB183" i="57"/>
  <c r="X183" i="57"/>
  <c r="AD182" i="57"/>
  <c r="AC182" i="57"/>
  <c r="AB182" i="57"/>
  <c r="X182" i="57"/>
  <c r="AD181" i="57"/>
  <c r="AC181" i="57"/>
  <c r="AB181" i="57"/>
  <c r="X181" i="57"/>
  <c r="AD180" i="57"/>
  <c r="AC180" i="57"/>
  <c r="AB180" i="57"/>
  <c r="X180" i="57"/>
  <c r="AD179" i="57"/>
  <c r="AC179" i="57"/>
  <c r="AB179" i="57"/>
  <c r="X179" i="57"/>
  <c r="AD178" i="57"/>
  <c r="AC178" i="57"/>
  <c r="AB178" i="57"/>
  <c r="X178" i="57"/>
  <c r="AD177" i="57"/>
  <c r="AC177" i="57"/>
  <c r="AB177" i="57"/>
  <c r="X177" i="57"/>
  <c r="AD176" i="57"/>
  <c r="AC176" i="57"/>
  <c r="AB176" i="57"/>
  <c r="X176" i="57"/>
  <c r="AD175" i="57"/>
  <c r="AC175" i="57"/>
  <c r="AB175" i="57"/>
  <c r="X175" i="57"/>
  <c r="AD174" i="57"/>
  <c r="AC174" i="57"/>
  <c r="AB174" i="57"/>
  <c r="X174" i="57"/>
  <c r="AD173" i="57"/>
  <c r="AC173" i="57"/>
  <c r="AB173" i="57"/>
  <c r="X173" i="57"/>
  <c r="AD172" i="57"/>
  <c r="AC172" i="57"/>
  <c r="AB172" i="57"/>
  <c r="X172" i="57"/>
  <c r="AD171" i="57"/>
  <c r="AC171" i="57"/>
  <c r="AB171" i="57"/>
  <c r="X171" i="57"/>
  <c r="AD170" i="57"/>
  <c r="AC170" i="57"/>
  <c r="AB170" i="57"/>
  <c r="X170" i="57"/>
  <c r="AD169" i="57"/>
  <c r="AC169" i="57"/>
  <c r="AB169" i="57"/>
  <c r="X169" i="57"/>
  <c r="AD168" i="57"/>
  <c r="AC168" i="57"/>
  <c r="AB168" i="57"/>
  <c r="X168" i="57"/>
  <c r="AD167" i="57"/>
  <c r="AC167" i="57"/>
  <c r="AB167" i="57"/>
  <c r="X167" i="57"/>
  <c r="AD166" i="57"/>
  <c r="AC166" i="57"/>
  <c r="AB166" i="57"/>
  <c r="X166" i="57"/>
  <c r="AD165" i="57"/>
  <c r="AC165" i="57"/>
  <c r="AB165" i="57"/>
  <c r="X165" i="57"/>
  <c r="AD164" i="57"/>
  <c r="AC164" i="57"/>
  <c r="AB164" i="57"/>
  <c r="X164" i="57"/>
  <c r="AD163" i="57"/>
  <c r="AC163" i="57"/>
  <c r="AB163" i="57"/>
  <c r="X163" i="57"/>
  <c r="AD162" i="57"/>
  <c r="AC162" i="57"/>
  <c r="AB162" i="57"/>
  <c r="X162" i="57"/>
  <c r="AD161" i="57"/>
  <c r="AC161" i="57"/>
  <c r="AB161" i="57"/>
  <c r="X161" i="57"/>
  <c r="AD160" i="57"/>
  <c r="AC160" i="57"/>
  <c r="AB160" i="57"/>
  <c r="X160" i="57"/>
  <c r="AD159" i="57"/>
  <c r="AC159" i="57"/>
  <c r="AB159" i="57"/>
  <c r="X159" i="57"/>
  <c r="AD158" i="57"/>
  <c r="AC158" i="57"/>
  <c r="AB158" i="57"/>
  <c r="X158" i="57"/>
  <c r="AD157" i="57"/>
  <c r="AC157" i="57"/>
  <c r="AB157" i="57"/>
  <c r="X157" i="57"/>
  <c r="AD156" i="57"/>
  <c r="AC156" i="57"/>
  <c r="AB156" i="57"/>
  <c r="X156" i="57"/>
  <c r="AD155" i="57"/>
  <c r="AC155" i="57"/>
  <c r="AB155" i="57"/>
  <c r="X155" i="57"/>
  <c r="AD154" i="57"/>
  <c r="AC154" i="57"/>
  <c r="AB154" i="57"/>
  <c r="X154" i="57"/>
  <c r="AD153" i="57"/>
  <c r="AC153" i="57"/>
  <c r="AB153" i="57"/>
  <c r="X153" i="57"/>
  <c r="AD152" i="57"/>
  <c r="AC152" i="57"/>
  <c r="AB152" i="57"/>
  <c r="X152" i="57"/>
  <c r="AD151" i="57"/>
  <c r="AC151" i="57"/>
  <c r="AB151" i="57"/>
  <c r="X151" i="57"/>
  <c r="AD150" i="57"/>
  <c r="AC150" i="57"/>
  <c r="AB150" i="57"/>
  <c r="X150" i="57"/>
  <c r="AD149" i="57"/>
  <c r="AC149" i="57"/>
  <c r="AB149" i="57"/>
  <c r="X149" i="57"/>
  <c r="AD148" i="57"/>
  <c r="AC148" i="57"/>
  <c r="AB148" i="57"/>
  <c r="X148" i="57"/>
  <c r="AD147" i="57"/>
  <c r="AC147" i="57"/>
  <c r="AB147" i="57"/>
  <c r="X147" i="57"/>
  <c r="AD146" i="57"/>
  <c r="AC146" i="57"/>
  <c r="AB146" i="57"/>
  <c r="X146" i="57"/>
  <c r="AD145" i="57"/>
  <c r="AC145" i="57"/>
  <c r="AB145" i="57"/>
  <c r="X145" i="57"/>
  <c r="AD144" i="57"/>
  <c r="AC144" i="57"/>
  <c r="AB144" i="57"/>
  <c r="X144" i="57"/>
  <c r="AD143" i="57"/>
  <c r="AC143" i="57"/>
  <c r="AB143" i="57"/>
  <c r="X143" i="57"/>
  <c r="AD142" i="57"/>
  <c r="AC142" i="57"/>
  <c r="AB142" i="57"/>
  <c r="X142" i="57"/>
  <c r="AD141" i="57"/>
  <c r="AC141" i="57"/>
  <c r="AB141" i="57"/>
  <c r="X141" i="57"/>
  <c r="AD140" i="57"/>
  <c r="AC140" i="57"/>
  <c r="AB140" i="57"/>
  <c r="X140" i="57"/>
  <c r="AD139" i="57"/>
  <c r="AC139" i="57"/>
  <c r="AB139" i="57"/>
  <c r="X139" i="57"/>
  <c r="AD138" i="57"/>
  <c r="AC138" i="57"/>
  <c r="AB138" i="57"/>
  <c r="X138" i="57"/>
  <c r="AD137" i="57"/>
  <c r="AC137" i="57"/>
  <c r="AB137" i="57"/>
  <c r="X137" i="57"/>
  <c r="AD136" i="57"/>
  <c r="AC136" i="57"/>
  <c r="AB136" i="57"/>
  <c r="X136" i="57"/>
  <c r="AD135" i="57"/>
  <c r="AC135" i="57"/>
  <c r="AB135" i="57"/>
  <c r="X135" i="57"/>
  <c r="AD134" i="57"/>
  <c r="AC134" i="57"/>
  <c r="AB134" i="57"/>
  <c r="X134" i="57"/>
  <c r="AD133" i="57"/>
  <c r="AC133" i="57"/>
  <c r="AB133" i="57"/>
  <c r="X133" i="57"/>
  <c r="AD132" i="57"/>
  <c r="AC132" i="57"/>
  <c r="AB132" i="57"/>
  <c r="X132" i="57"/>
  <c r="AD131" i="57"/>
  <c r="AC131" i="57"/>
  <c r="AB131" i="57"/>
  <c r="X131" i="57"/>
  <c r="AD130" i="57"/>
  <c r="AC130" i="57"/>
  <c r="AB130" i="57"/>
  <c r="X130" i="57"/>
  <c r="AD129" i="57"/>
  <c r="AC129" i="57"/>
  <c r="AB129" i="57"/>
  <c r="X129" i="57"/>
  <c r="AD128" i="57"/>
  <c r="AC128" i="57"/>
  <c r="AB128" i="57"/>
  <c r="X128" i="57"/>
  <c r="AD127" i="57"/>
  <c r="AC127" i="57"/>
  <c r="AB127" i="57"/>
  <c r="X127" i="57"/>
  <c r="AD126" i="57"/>
  <c r="AC126" i="57"/>
  <c r="AB126" i="57"/>
  <c r="X126" i="57"/>
  <c r="AD125" i="57"/>
  <c r="AC125" i="57"/>
  <c r="AB125" i="57"/>
  <c r="X125" i="57"/>
  <c r="AD124" i="57"/>
  <c r="AC124" i="57"/>
  <c r="AB124" i="57"/>
  <c r="X124" i="57"/>
  <c r="AD123" i="57"/>
  <c r="AC123" i="57"/>
  <c r="AB123" i="57"/>
  <c r="X123" i="57"/>
  <c r="AD122" i="57"/>
  <c r="AC122" i="57"/>
  <c r="AB122" i="57"/>
  <c r="X122" i="57"/>
  <c r="AD121" i="57"/>
  <c r="AC121" i="57"/>
  <c r="AB121" i="57"/>
  <c r="X121" i="57"/>
  <c r="AD120" i="57"/>
  <c r="AC120" i="57"/>
  <c r="AB120" i="57"/>
  <c r="X120" i="57"/>
  <c r="AD119" i="57"/>
  <c r="AC119" i="57"/>
  <c r="AB119" i="57"/>
  <c r="X119" i="57"/>
  <c r="AD118" i="57"/>
  <c r="AC118" i="57"/>
  <c r="AB118" i="57"/>
  <c r="X118" i="57"/>
  <c r="AD117" i="57"/>
  <c r="AC117" i="57"/>
  <c r="AB117" i="57"/>
  <c r="X117" i="57"/>
  <c r="AD116" i="57"/>
  <c r="AC116" i="57"/>
  <c r="AB116" i="57"/>
  <c r="X116" i="57"/>
  <c r="AD115" i="57"/>
  <c r="AC115" i="57"/>
  <c r="AB115" i="57"/>
  <c r="X115" i="57"/>
  <c r="AD114" i="57"/>
  <c r="AC114" i="57"/>
  <c r="AB114" i="57"/>
  <c r="X114" i="57"/>
  <c r="AD113" i="57"/>
  <c r="AC113" i="57"/>
  <c r="AB113" i="57"/>
  <c r="X113" i="57"/>
  <c r="AD112" i="57"/>
  <c r="AC112" i="57"/>
  <c r="AB112" i="57"/>
  <c r="X112" i="57"/>
  <c r="AD111" i="57"/>
  <c r="AC111" i="57"/>
  <c r="AB111" i="57"/>
  <c r="X111" i="57"/>
  <c r="AD110" i="57"/>
  <c r="AC110" i="57"/>
  <c r="AB110" i="57"/>
  <c r="X110" i="57"/>
  <c r="AD109" i="57"/>
  <c r="AC109" i="57"/>
  <c r="AB109" i="57"/>
  <c r="X109" i="57"/>
  <c r="AD108" i="57"/>
  <c r="AC108" i="57"/>
  <c r="AB108" i="57"/>
  <c r="X108" i="57"/>
  <c r="AD107" i="57"/>
  <c r="AC107" i="57"/>
  <c r="AB107" i="57"/>
  <c r="X107" i="57"/>
  <c r="AD106" i="57"/>
  <c r="AC106" i="57"/>
  <c r="AB106" i="57"/>
  <c r="X106" i="57"/>
  <c r="AD105" i="57"/>
  <c r="AC105" i="57"/>
  <c r="AB105" i="57"/>
  <c r="X105" i="57"/>
  <c r="AD104" i="57"/>
  <c r="AC104" i="57"/>
  <c r="AB104" i="57"/>
  <c r="X104" i="57"/>
  <c r="AD103" i="57"/>
  <c r="AC103" i="57"/>
  <c r="AB103" i="57"/>
  <c r="X103" i="57"/>
  <c r="AD102" i="57"/>
  <c r="AC102" i="57"/>
  <c r="AB102" i="57"/>
  <c r="X102" i="57"/>
  <c r="AD101" i="57"/>
  <c r="AC101" i="57"/>
  <c r="AB101" i="57"/>
  <c r="X101" i="57"/>
  <c r="AD100" i="57"/>
  <c r="AC100" i="57"/>
  <c r="AB100" i="57"/>
  <c r="X100" i="57"/>
  <c r="AD99" i="57"/>
  <c r="AC99" i="57"/>
  <c r="AB99" i="57"/>
  <c r="X99" i="57"/>
  <c r="AD98" i="57"/>
  <c r="AC98" i="57"/>
  <c r="AB98" i="57"/>
  <c r="X98" i="57"/>
  <c r="AD97" i="57"/>
  <c r="AC97" i="57"/>
  <c r="AB97" i="57"/>
  <c r="X97" i="57"/>
  <c r="AD96" i="57"/>
  <c r="AC96" i="57"/>
  <c r="AB96" i="57"/>
  <c r="X96" i="57"/>
  <c r="AD95" i="57"/>
  <c r="AC95" i="57"/>
  <c r="AB95" i="57"/>
  <c r="X95" i="57"/>
  <c r="AD94" i="57"/>
  <c r="AC94" i="57"/>
  <c r="AB94" i="57"/>
  <c r="X94" i="57"/>
  <c r="AD93" i="57"/>
  <c r="AC93" i="57"/>
  <c r="AB93" i="57"/>
  <c r="X93" i="57"/>
  <c r="AD92" i="57"/>
  <c r="AC92" i="57"/>
  <c r="AB92" i="57"/>
  <c r="X92" i="57"/>
  <c r="AD91" i="57"/>
  <c r="AC91" i="57"/>
  <c r="AB91" i="57"/>
  <c r="X91" i="57"/>
  <c r="AD90" i="57"/>
  <c r="AC90" i="57"/>
  <c r="AB90" i="57"/>
  <c r="X90" i="57"/>
  <c r="AD89" i="57"/>
  <c r="AC89" i="57"/>
  <c r="AB89" i="57"/>
  <c r="X89" i="57"/>
  <c r="AD88" i="57"/>
  <c r="AC88" i="57"/>
  <c r="AB88" i="57"/>
  <c r="X88" i="57"/>
  <c r="AD87" i="57"/>
  <c r="AC87" i="57"/>
  <c r="AB87" i="57"/>
  <c r="X87" i="57"/>
  <c r="AD86" i="57"/>
  <c r="AC86" i="57"/>
  <c r="AB86" i="57"/>
  <c r="X86" i="57"/>
  <c r="AD85" i="57"/>
  <c r="AC85" i="57"/>
  <c r="AB85" i="57"/>
  <c r="X85" i="57"/>
  <c r="AD84" i="57"/>
  <c r="AC84" i="57"/>
  <c r="AB84" i="57"/>
  <c r="X84" i="57"/>
  <c r="AD83" i="57"/>
  <c r="AC83" i="57"/>
  <c r="AB83" i="57"/>
  <c r="X83" i="57"/>
  <c r="AD82" i="57"/>
  <c r="AC82" i="57"/>
  <c r="AB82" i="57"/>
  <c r="X82" i="57"/>
  <c r="AD81" i="57"/>
  <c r="AC81" i="57"/>
  <c r="AB81" i="57"/>
  <c r="X81" i="57"/>
  <c r="AD80" i="57"/>
  <c r="AC80" i="57"/>
  <c r="AB80" i="57"/>
  <c r="X80" i="57"/>
  <c r="AD79" i="57"/>
  <c r="AC79" i="57"/>
  <c r="AB79" i="57"/>
  <c r="X79" i="57"/>
  <c r="AD78" i="57"/>
  <c r="AC78" i="57"/>
  <c r="AB78" i="57"/>
  <c r="X78" i="57"/>
  <c r="AD77" i="57"/>
  <c r="AC77" i="57"/>
  <c r="AB77" i="57"/>
  <c r="X77" i="57"/>
  <c r="AD76" i="57"/>
  <c r="AC76" i="57"/>
  <c r="AB76" i="57"/>
  <c r="X76" i="57"/>
  <c r="AD75" i="57"/>
  <c r="AC75" i="57"/>
  <c r="AB75" i="57"/>
  <c r="X75" i="57"/>
  <c r="AD74" i="57"/>
  <c r="AC74" i="57"/>
  <c r="AB74" i="57"/>
  <c r="X74" i="57"/>
  <c r="AD73" i="57"/>
  <c r="AC73" i="57"/>
  <c r="AB73" i="57"/>
  <c r="X73" i="57"/>
  <c r="AD72" i="57"/>
  <c r="AC72" i="57"/>
  <c r="AB72" i="57"/>
  <c r="X72" i="57"/>
  <c r="AD71" i="57"/>
  <c r="AC71" i="57"/>
  <c r="AB71" i="57"/>
  <c r="X71" i="57"/>
  <c r="AD70" i="57"/>
  <c r="AC70" i="57"/>
  <c r="AB70" i="57"/>
  <c r="X70" i="57"/>
  <c r="AD69" i="57"/>
  <c r="AC69" i="57"/>
  <c r="AB69" i="57"/>
  <c r="X69" i="57"/>
  <c r="AD68" i="57"/>
  <c r="AC68" i="57"/>
  <c r="AB68" i="57"/>
  <c r="X68" i="57"/>
  <c r="AD67" i="57"/>
  <c r="AC67" i="57"/>
  <c r="AB67" i="57"/>
  <c r="X67" i="57"/>
  <c r="AD66" i="57"/>
  <c r="AC66" i="57"/>
  <c r="AB66" i="57"/>
  <c r="X66" i="57"/>
  <c r="AD65" i="57"/>
  <c r="AC65" i="57"/>
  <c r="AB65" i="57"/>
  <c r="X65" i="57"/>
  <c r="AD64" i="57"/>
  <c r="AC64" i="57"/>
  <c r="AB64" i="57"/>
  <c r="X64" i="57"/>
  <c r="AD63" i="57"/>
  <c r="AC63" i="57"/>
  <c r="AB63" i="57"/>
  <c r="X63" i="57"/>
  <c r="AD62" i="57"/>
  <c r="AC62" i="57"/>
  <c r="AB62" i="57"/>
  <c r="X62" i="57"/>
  <c r="AD61" i="57"/>
  <c r="AC61" i="57"/>
  <c r="AB61" i="57"/>
  <c r="X61" i="57"/>
  <c r="AD60" i="57"/>
  <c r="AC60" i="57"/>
  <c r="AB60" i="57"/>
  <c r="X60" i="57"/>
  <c r="AD59" i="57"/>
  <c r="AC59" i="57"/>
  <c r="AB59" i="57"/>
  <c r="X59" i="57"/>
  <c r="AD58" i="57"/>
  <c r="AC58" i="57"/>
  <c r="AB58" i="57"/>
  <c r="X58" i="57"/>
  <c r="AD57" i="57"/>
  <c r="AC57" i="57"/>
  <c r="AB57" i="57"/>
  <c r="X57" i="57"/>
  <c r="AD56" i="57"/>
  <c r="AC56" i="57"/>
  <c r="AB56" i="57"/>
  <c r="X56" i="57"/>
  <c r="AD55" i="57"/>
  <c r="AC55" i="57"/>
  <c r="AB55" i="57"/>
  <c r="X55" i="57"/>
  <c r="AD54" i="57"/>
  <c r="AC54" i="57"/>
  <c r="AB54" i="57"/>
  <c r="X54" i="57"/>
  <c r="AD53" i="57"/>
  <c r="AC53" i="57"/>
  <c r="AB53" i="57"/>
  <c r="X53" i="57"/>
  <c r="AD52" i="57"/>
  <c r="AC52" i="57"/>
  <c r="AB52" i="57"/>
  <c r="X52" i="57"/>
  <c r="AD51" i="57"/>
  <c r="AC51" i="57"/>
  <c r="AB51" i="57"/>
  <c r="X51" i="57"/>
  <c r="AD50" i="57"/>
  <c r="AC50" i="57"/>
  <c r="AB50" i="57"/>
  <c r="X50" i="57"/>
  <c r="AD49" i="57"/>
  <c r="AC49" i="57"/>
  <c r="AB49" i="57"/>
  <c r="X49" i="57"/>
  <c r="AD48" i="57"/>
  <c r="AC48" i="57"/>
  <c r="AB48" i="57"/>
  <c r="X48" i="57"/>
  <c r="AD47" i="57"/>
  <c r="AC47" i="57"/>
  <c r="AB47" i="57"/>
  <c r="X47" i="57"/>
  <c r="AD46" i="57"/>
  <c r="AC46" i="57"/>
  <c r="AB46" i="57"/>
  <c r="X46" i="57"/>
  <c r="AD45" i="57"/>
  <c r="AC45" i="57"/>
  <c r="AB45" i="57"/>
  <c r="X45" i="57"/>
  <c r="AD44" i="57"/>
  <c r="AC44" i="57"/>
  <c r="AB44" i="57"/>
  <c r="X44" i="57"/>
  <c r="AD43" i="57"/>
  <c r="AC43" i="57"/>
  <c r="AB43" i="57"/>
  <c r="X43" i="57"/>
  <c r="AD42" i="57"/>
  <c r="AC42" i="57"/>
  <c r="AB42" i="57"/>
  <c r="X42" i="57"/>
  <c r="AD41" i="57"/>
  <c r="AC41" i="57"/>
  <c r="AB41" i="57"/>
  <c r="X41" i="57"/>
  <c r="AD40" i="57"/>
  <c r="AC40" i="57"/>
  <c r="AB40" i="57"/>
  <c r="X40" i="57"/>
  <c r="AD39" i="57"/>
  <c r="AC39" i="57"/>
  <c r="AB39" i="57"/>
  <c r="X39" i="57"/>
  <c r="AD38" i="57"/>
  <c r="AC38" i="57"/>
  <c r="AB38" i="57"/>
  <c r="X38" i="57"/>
  <c r="AD37" i="57"/>
  <c r="AC37" i="57"/>
  <c r="AB37" i="57"/>
  <c r="X37" i="57"/>
  <c r="AD36" i="57"/>
  <c r="AC36" i="57"/>
  <c r="AB36" i="57"/>
  <c r="X36" i="57"/>
  <c r="AD35" i="57"/>
  <c r="AC35" i="57"/>
  <c r="AB35" i="57"/>
  <c r="X35" i="57"/>
  <c r="AD34" i="57"/>
  <c r="AC34" i="57"/>
  <c r="AB34" i="57"/>
  <c r="X34" i="57"/>
  <c r="AD33" i="57"/>
  <c r="AC33" i="57"/>
  <c r="AB33" i="57"/>
  <c r="X33" i="57"/>
  <c r="AD32" i="57"/>
  <c r="AC32" i="57"/>
  <c r="AB32" i="57"/>
  <c r="X32" i="57"/>
  <c r="AD31" i="57"/>
  <c r="AC31" i="57"/>
  <c r="AB31" i="57"/>
  <c r="X31" i="57"/>
  <c r="AD30" i="57"/>
  <c r="AC30" i="57"/>
  <c r="AB30" i="57"/>
  <c r="X30" i="57"/>
  <c r="AD29" i="57"/>
  <c r="AC29" i="57"/>
  <c r="AB29" i="57"/>
  <c r="X29" i="57"/>
  <c r="AD28" i="57"/>
  <c r="AC28" i="57"/>
  <c r="AB28" i="57"/>
  <c r="X28" i="57"/>
  <c r="AD27" i="57"/>
  <c r="AC27" i="57"/>
  <c r="AB27" i="57"/>
  <c r="X27" i="57"/>
  <c r="AD26" i="57"/>
  <c r="AC26" i="57"/>
  <c r="AB26" i="57"/>
  <c r="X26" i="57"/>
  <c r="AD25" i="57"/>
  <c r="AC25" i="57"/>
  <c r="AB25" i="57"/>
  <c r="X25" i="57"/>
  <c r="AD24" i="57"/>
  <c r="AC24" i="57"/>
  <c r="AB24" i="57"/>
  <c r="X24" i="57"/>
  <c r="AD23" i="57"/>
  <c r="AC23" i="57"/>
  <c r="AB23" i="57"/>
  <c r="X23" i="57"/>
  <c r="AD22" i="57"/>
  <c r="AC22" i="57"/>
  <c r="AB22" i="57"/>
  <c r="X22" i="57"/>
  <c r="AD21" i="57"/>
  <c r="AC21" i="57"/>
  <c r="AB21" i="57"/>
  <c r="X21" i="57"/>
  <c r="AD20" i="57"/>
  <c r="AC20" i="57"/>
  <c r="AB20" i="57"/>
  <c r="X20" i="57"/>
  <c r="AD19" i="57"/>
  <c r="AC19" i="57"/>
  <c r="AB19" i="57"/>
  <c r="X19" i="57"/>
  <c r="AD18" i="57"/>
  <c r="AC18" i="57"/>
  <c r="AB18" i="57"/>
  <c r="X18" i="57"/>
  <c r="AD17" i="57"/>
  <c r="AC17" i="57"/>
  <c r="AB17" i="57"/>
  <c r="X17" i="57"/>
  <c r="AD16" i="57"/>
  <c r="AC16" i="57"/>
  <c r="AB16" i="57"/>
  <c r="X16" i="57"/>
  <c r="AD15" i="57"/>
  <c r="AC15" i="57"/>
  <c r="AB15" i="57"/>
  <c r="X15" i="57"/>
  <c r="AD14" i="57"/>
  <c r="AC14" i="57"/>
  <c r="AB14" i="57"/>
  <c r="X14" i="57"/>
  <c r="AD13" i="57"/>
  <c r="AC13" i="57"/>
  <c r="AB13" i="57"/>
  <c r="X13" i="57"/>
  <c r="AD12" i="57"/>
  <c r="AC12" i="57"/>
  <c r="AB12" i="57"/>
  <c r="X12" i="57"/>
  <c r="AD11" i="57"/>
  <c r="AC11" i="57"/>
  <c r="AB11" i="57"/>
  <c r="X11" i="57"/>
  <c r="AD10" i="57"/>
  <c r="AC10" i="57"/>
  <c r="AB10" i="57"/>
  <c r="X10" i="57"/>
  <c r="AD9" i="57"/>
  <c r="AC9" i="57"/>
  <c r="AB9" i="57"/>
  <c r="X9" i="57"/>
  <c r="AD8" i="57"/>
  <c r="AC8" i="57"/>
  <c r="AB8" i="57"/>
  <c r="X8" i="57"/>
  <c r="AD7" i="57"/>
  <c r="AC7" i="57"/>
  <c r="AB7" i="57"/>
  <c r="X7" i="57"/>
  <c r="AD6" i="57"/>
  <c r="AC6" i="57"/>
  <c r="AB6" i="57"/>
  <c r="X6" i="57"/>
  <c r="AD5" i="57"/>
  <c r="AC5" i="57"/>
  <c r="AB5" i="57"/>
  <c r="X5" i="57"/>
  <c r="AD4" i="57"/>
  <c r="AC4" i="57"/>
  <c r="AB4" i="57"/>
  <c r="X4" i="57"/>
  <c r="AD3" i="57"/>
  <c r="AC3" i="57"/>
  <c r="AB3" i="57"/>
  <c r="X3" i="57"/>
  <c r="AD2" i="57"/>
  <c r="AC2" i="57"/>
  <c r="AB2" i="57"/>
  <c r="X2" i="57"/>
  <c r="AE1" i="57"/>
  <c r="AB1" i="57"/>
  <c r="Y1" i="57"/>
  <c r="X698" i="56"/>
  <c r="X699" i="56"/>
  <c r="X700" i="56"/>
  <c r="X701" i="56"/>
  <c r="X702" i="56"/>
  <c r="X703" i="56"/>
  <c r="X704" i="56"/>
  <c r="X705" i="56"/>
  <c r="X706" i="56"/>
  <c r="X707" i="56"/>
  <c r="X708" i="56"/>
  <c r="X709" i="56"/>
  <c r="X710" i="56"/>
  <c r="X711" i="56"/>
  <c r="X712" i="56"/>
  <c r="X713" i="56"/>
  <c r="X714" i="56"/>
  <c r="X715" i="56"/>
  <c r="X716" i="56"/>
  <c r="X717" i="56"/>
  <c r="X718" i="56"/>
  <c r="X719" i="56"/>
  <c r="X720" i="56"/>
  <c r="X721" i="56"/>
  <c r="X722" i="56"/>
  <c r="X723" i="56"/>
  <c r="X724" i="56"/>
  <c r="X725" i="56"/>
  <c r="X726" i="56"/>
  <c r="X727" i="56"/>
  <c r="X728" i="56"/>
  <c r="X729" i="56"/>
  <c r="X730" i="56"/>
  <c r="X731" i="56"/>
  <c r="X732" i="56"/>
  <c r="X733" i="56"/>
  <c r="X734" i="56"/>
  <c r="X735" i="56"/>
  <c r="X736" i="56"/>
  <c r="X737" i="56"/>
  <c r="X738" i="56"/>
  <c r="X739" i="56"/>
  <c r="X740" i="56"/>
  <c r="X741" i="56"/>
  <c r="X742" i="56"/>
  <c r="X743" i="56"/>
  <c r="X744" i="56"/>
  <c r="X745" i="56"/>
  <c r="X746" i="56"/>
  <c r="X747" i="56"/>
  <c r="X748" i="56"/>
  <c r="X749" i="56"/>
  <c r="X750" i="56"/>
  <c r="X751" i="56"/>
  <c r="X752" i="56"/>
  <c r="X753" i="56"/>
  <c r="X754" i="56"/>
  <c r="X755" i="56"/>
  <c r="X756" i="56"/>
  <c r="X757" i="56"/>
  <c r="X758" i="56"/>
  <c r="X759" i="56"/>
  <c r="X760" i="56"/>
  <c r="X761" i="56"/>
  <c r="X762" i="56"/>
  <c r="X763" i="56"/>
  <c r="X764" i="56"/>
  <c r="X765" i="56"/>
  <c r="X766" i="56"/>
  <c r="X767" i="56"/>
  <c r="X768" i="56"/>
  <c r="X769" i="56"/>
  <c r="X770" i="56"/>
  <c r="X771" i="56"/>
  <c r="X772" i="56"/>
  <c r="X773" i="56"/>
  <c r="X774" i="56"/>
  <c r="X775" i="56"/>
  <c r="X776" i="56"/>
  <c r="X777" i="56"/>
  <c r="X778" i="56"/>
  <c r="X779" i="56"/>
  <c r="X780" i="56"/>
  <c r="X781" i="56"/>
  <c r="X782" i="56"/>
  <c r="X783" i="56"/>
  <c r="X784" i="56"/>
  <c r="X785" i="56"/>
  <c r="X786" i="56"/>
  <c r="X787" i="56"/>
  <c r="X788" i="56"/>
  <c r="X789" i="56"/>
  <c r="X790" i="56"/>
  <c r="X791" i="56"/>
  <c r="X792" i="56"/>
  <c r="X793" i="56"/>
  <c r="X794" i="56"/>
  <c r="X795" i="56"/>
  <c r="X796" i="56"/>
  <c r="X797" i="56"/>
  <c r="X798" i="56"/>
  <c r="X799" i="56"/>
  <c r="X800" i="56"/>
  <c r="X801" i="56"/>
  <c r="X802" i="56"/>
  <c r="X803" i="56"/>
  <c r="X804" i="56"/>
  <c r="X805" i="56"/>
  <c r="X806" i="56"/>
  <c r="X807" i="56"/>
  <c r="X808" i="56"/>
  <c r="X809" i="56"/>
  <c r="X810" i="56"/>
  <c r="X811" i="56"/>
  <c r="X812" i="56"/>
  <c r="X813" i="56"/>
  <c r="X814" i="56"/>
  <c r="X815" i="56"/>
  <c r="X816" i="56"/>
  <c r="X817" i="56"/>
  <c r="X818" i="56"/>
  <c r="X819" i="56"/>
  <c r="X820" i="56"/>
  <c r="X821" i="56"/>
  <c r="X822" i="56"/>
  <c r="X823" i="56"/>
  <c r="X824" i="56"/>
  <c r="X825" i="56"/>
  <c r="X826" i="56"/>
  <c r="X827" i="56"/>
  <c r="X828" i="56"/>
  <c r="X829" i="56"/>
  <c r="X830" i="56"/>
  <c r="X831" i="56"/>
  <c r="X832" i="56"/>
  <c r="X833" i="56"/>
  <c r="X834" i="56"/>
  <c r="X835" i="56"/>
  <c r="X836" i="56"/>
  <c r="X837" i="56"/>
  <c r="X838" i="56"/>
  <c r="X839" i="56"/>
  <c r="X840" i="56"/>
  <c r="X841" i="56"/>
  <c r="X842" i="56"/>
  <c r="X843" i="56"/>
  <c r="X844" i="56"/>
  <c r="X845" i="56"/>
  <c r="X846" i="56"/>
  <c r="X847" i="56"/>
  <c r="X848" i="56"/>
  <c r="X849" i="56"/>
  <c r="X850" i="56"/>
  <c r="X851" i="56"/>
  <c r="X852" i="56"/>
  <c r="X853" i="56"/>
  <c r="X854" i="56"/>
  <c r="X855" i="56"/>
  <c r="X856" i="56"/>
  <c r="X857" i="56"/>
  <c r="X858" i="56"/>
  <c r="X859" i="56"/>
  <c r="X860" i="56"/>
  <c r="X861" i="56"/>
  <c r="X862" i="56"/>
  <c r="X863" i="56"/>
  <c r="X864" i="56"/>
  <c r="X865" i="56"/>
  <c r="X866" i="56"/>
  <c r="X867" i="56"/>
  <c r="X868" i="56"/>
  <c r="X869" i="56"/>
  <c r="X870" i="56"/>
  <c r="X871" i="56"/>
  <c r="X872" i="56"/>
  <c r="X873" i="56"/>
  <c r="X874" i="56"/>
  <c r="X875" i="56"/>
  <c r="X876" i="56"/>
  <c r="X877" i="56"/>
  <c r="X878" i="56"/>
  <c r="X879" i="56"/>
  <c r="X880" i="56"/>
  <c r="X881" i="56"/>
  <c r="X882" i="56"/>
  <c r="X883" i="56"/>
  <c r="X884" i="56"/>
  <c r="X885" i="56"/>
  <c r="X886" i="56"/>
  <c r="X887" i="56"/>
  <c r="X888" i="56"/>
  <c r="X889" i="56"/>
  <c r="X890" i="56"/>
  <c r="X891" i="56"/>
  <c r="X892" i="56"/>
  <c r="X893" i="56"/>
  <c r="X894" i="56"/>
  <c r="X895" i="56"/>
  <c r="X896" i="56"/>
  <c r="X897" i="56"/>
  <c r="X898" i="56"/>
  <c r="X899" i="56"/>
  <c r="X900" i="56"/>
  <c r="X901" i="56"/>
  <c r="X902" i="56"/>
  <c r="X903" i="56"/>
  <c r="X904" i="56"/>
  <c r="X905" i="56"/>
  <c r="X906" i="56"/>
  <c r="X907" i="56"/>
  <c r="X908" i="56"/>
  <c r="X909" i="56"/>
  <c r="X910" i="56"/>
  <c r="X911" i="56"/>
  <c r="X912" i="56"/>
  <c r="X913" i="56"/>
  <c r="X914" i="56"/>
  <c r="X915" i="56"/>
  <c r="X916" i="56"/>
  <c r="X917" i="56"/>
  <c r="X918" i="56"/>
  <c r="X919" i="56"/>
  <c r="X920" i="56"/>
  <c r="X921" i="56"/>
  <c r="X922" i="56"/>
  <c r="X923" i="56"/>
  <c r="X924" i="56"/>
  <c r="X925" i="56"/>
  <c r="X926" i="56"/>
  <c r="X927" i="56"/>
  <c r="X928" i="56"/>
  <c r="X929" i="56"/>
  <c r="X930" i="56"/>
  <c r="X931" i="56"/>
  <c r="X932" i="56"/>
  <c r="X933" i="56"/>
  <c r="X934" i="56"/>
  <c r="X935" i="56"/>
  <c r="X936" i="56"/>
  <c r="X937" i="56"/>
  <c r="X938" i="56"/>
  <c r="X939" i="56"/>
  <c r="X940" i="56"/>
  <c r="X941" i="56"/>
  <c r="X942" i="56"/>
  <c r="X943" i="56"/>
  <c r="X944" i="56"/>
  <c r="X945" i="56"/>
  <c r="X946" i="56"/>
  <c r="X947" i="56"/>
  <c r="X948" i="56"/>
  <c r="X949" i="56"/>
  <c r="X950" i="56"/>
  <c r="X951" i="56"/>
  <c r="X952" i="56"/>
  <c r="X953" i="56"/>
  <c r="X954" i="56"/>
  <c r="X955" i="56"/>
  <c r="X956" i="56"/>
  <c r="X957" i="56"/>
  <c r="X958" i="56"/>
  <c r="X959" i="56"/>
  <c r="X960" i="56"/>
  <c r="X961" i="56"/>
  <c r="X962" i="56"/>
  <c r="X963" i="56"/>
  <c r="X964" i="56"/>
  <c r="X965" i="56"/>
  <c r="X966" i="56"/>
  <c r="X967" i="56"/>
  <c r="X968" i="56"/>
  <c r="X969" i="56"/>
  <c r="X970" i="56"/>
  <c r="X971" i="56"/>
  <c r="X972" i="56"/>
  <c r="X973" i="56"/>
  <c r="X974" i="56"/>
  <c r="X975" i="56"/>
  <c r="X976" i="56"/>
  <c r="X977" i="56"/>
  <c r="X978" i="56"/>
  <c r="X979" i="56"/>
  <c r="X980" i="56"/>
  <c r="X981" i="56"/>
  <c r="X982" i="56"/>
  <c r="X983" i="56"/>
  <c r="X984" i="56"/>
  <c r="X985" i="56"/>
  <c r="X986" i="56"/>
  <c r="X987" i="56"/>
  <c r="X988" i="56"/>
  <c r="X989" i="56"/>
  <c r="X990" i="56"/>
  <c r="X991" i="56"/>
  <c r="X992" i="56"/>
  <c r="X993" i="56"/>
  <c r="X994" i="56"/>
  <c r="X995" i="56"/>
  <c r="X996" i="56"/>
  <c r="X997" i="56"/>
  <c r="X998" i="56"/>
  <c r="X999" i="56"/>
  <c r="X1000" i="56"/>
  <c r="X1001" i="56"/>
  <c r="X1002" i="56"/>
  <c r="X1003" i="56"/>
  <c r="X1004" i="56"/>
  <c r="X1005" i="56"/>
  <c r="X1006" i="56"/>
  <c r="X1007" i="56"/>
  <c r="X1008" i="56"/>
  <c r="X1009" i="56"/>
  <c r="X1010" i="56"/>
  <c r="X1011" i="56"/>
  <c r="X1012" i="56"/>
  <c r="X1013" i="56"/>
  <c r="X1014" i="56"/>
  <c r="X1015" i="56"/>
  <c r="X1016" i="56"/>
  <c r="X1017" i="56"/>
  <c r="X1018" i="56"/>
  <c r="X1019" i="56"/>
  <c r="X1020" i="56"/>
  <c r="X1021" i="56"/>
  <c r="X1022" i="56"/>
  <c r="X1023" i="56"/>
  <c r="X1024" i="56"/>
  <c r="X1025" i="56"/>
  <c r="X1026" i="56"/>
  <c r="X1027" i="56"/>
  <c r="X1028" i="56"/>
  <c r="X1029" i="56"/>
  <c r="X1030" i="56"/>
  <c r="X1031" i="56"/>
  <c r="X1032" i="56"/>
  <c r="X1033" i="56"/>
  <c r="X1034" i="56"/>
  <c r="X1035" i="56"/>
  <c r="X1036" i="56"/>
  <c r="X1037" i="56"/>
  <c r="X1038" i="56"/>
  <c r="X1039" i="56"/>
  <c r="X1040" i="56"/>
  <c r="X1041" i="56"/>
  <c r="X1042" i="56"/>
  <c r="X1043" i="56"/>
  <c r="X1044" i="56"/>
  <c r="X1045" i="56"/>
  <c r="X1046" i="56"/>
  <c r="X1047" i="56"/>
  <c r="X1048" i="56"/>
  <c r="X1049" i="56"/>
  <c r="X1050" i="56"/>
  <c r="X1051" i="56"/>
  <c r="X1052" i="56"/>
  <c r="X1053" i="56"/>
  <c r="X1054" i="56"/>
  <c r="X1055" i="56"/>
  <c r="X1056" i="56"/>
  <c r="X1057" i="56"/>
  <c r="X1058" i="56"/>
  <c r="X1059" i="56"/>
  <c r="X1060" i="56"/>
  <c r="X1061" i="56"/>
  <c r="X1062" i="56"/>
  <c r="X1063" i="56"/>
  <c r="X1064" i="56"/>
  <c r="X1065" i="56"/>
  <c r="X1066" i="56"/>
  <c r="X1067" i="56"/>
  <c r="X1068" i="56"/>
  <c r="X1069" i="56"/>
  <c r="X1070" i="56"/>
  <c r="X1071" i="56"/>
  <c r="X1072" i="56"/>
  <c r="X1073" i="56"/>
  <c r="X1074" i="56"/>
  <c r="X1075" i="56"/>
  <c r="X1076" i="56"/>
  <c r="X1077" i="56"/>
  <c r="X1078" i="56"/>
  <c r="X1079" i="56"/>
  <c r="X1080" i="56"/>
  <c r="X1081" i="56"/>
  <c r="X1082" i="56"/>
  <c r="X1083" i="56"/>
  <c r="X1084" i="56"/>
  <c r="X1085" i="56"/>
  <c r="X1086" i="56"/>
  <c r="X1087" i="56"/>
  <c r="X1088" i="56"/>
  <c r="X1089" i="56"/>
  <c r="X1090" i="56"/>
  <c r="X1091" i="56"/>
  <c r="X1092" i="56"/>
  <c r="X1093" i="56"/>
  <c r="X1094" i="56"/>
  <c r="X1095" i="56"/>
  <c r="X1096" i="56"/>
  <c r="X1097" i="56"/>
  <c r="X1098" i="56"/>
  <c r="X1099" i="56"/>
  <c r="X1100" i="56"/>
  <c r="X1101" i="56"/>
  <c r="X1102" i="56"/>
  <c r="X1103" i="56"/>
  <c r="X1104" i="56"/>
  <c r="X1105" i="56"/>
  <c r="X1106" i="56"/>
  <c r="X1107" i="56"/>
  <c r="X1108" i="56"/>
  <c r="X1109" i="56"/>
  <c r="X1110" i="56"/>
  <c r="X1111" i="56"/>
  <c r="X1112" i="56"/>
  <c r="X1113" i="56"/>
  <c r="X1114" i="56"/>
  <c r="X1115" i="56"/>
  <c r="X1116" i="56"/>
  <c r="X1117" i="56"/>
  <c r="X1118" i="56"/>
  <c r="X1119" i="56"/>
  <c r="X1120" i="56"/>
  <c r="X1121" i="56"/>
  <c r="X1122" i="56"/>
  <c r="X1123" i="56"/>
  <c r="X1124" i="56"/>
  <c r="X1125" i="56"/>
  <c r="X1126" i="56"/>
  <c r="X1127" i="56"/>
  <c r="X1128" i="56"/>
  <c r="X1129" i="56"/>
  <c r="X1130" i="56"/>
  <c r="X1131" i="56"/>
  <c r="X1132" i="56"/>
  <c r="X1133" i="56"/>
  <c r="X1134" i="56"/>
  <c r="X1135" i="56"/>
  <c r="X1136" i="56"/>
  <c r="X1137" i="56"/>
  <c r="X1138" i="56"/>
  <c r="X1139" i="56"/>
  <c r="X1140" i="56"/>
  <c r="X1141" i="56"/>
  <c r="X1142" i="56"/>
  <c r="X1143" i="56"/>
  <c r="X1144" i="56"/>
  <c r="X1145" i="56"/>
  <c r="X1146" i="56"/>
  <c r="X1147" i="56"/>
  <c r="X1148" i="56"/>
  <c r="X1149" i="56"/>
  <c r="X1150" i="56"/>
  <c r="X1151" i="56"/>
  <c r="X1152" i="56"/>
  <c r="X1153" i="56"/>
  <c r="X1154" i="56"/>
  <c r="X1155" i="56"/>
  <c r="X1156" i="56"/>
  <c r="X1157" i="56"/>
  <c r="X1158" i="56"/>
  <c r="X1159" i="56"/>
  <c r="X1160" i="56"/>
  <c r="X1161" i="56"/>
  <c r="X1162" i="56"/>
  <c r="X1163" i="56"/>
  <c r="X1164" i="56"/>
  <c r="X1165" i="56"/>
  <c r="X1166" i="56"/>
  <c r="X1167" i="56"/>
  <c r="X1168" i="56"/>
  <c r="X1169" i="56"/>
  <c r="X1170" i="56"/>
  <c r="X1171" i="56"/>
  <c r="X1172" i="56"/>
  <c r="X1173" i="56"/>
  <c r="X1174" i="56"/>
  <c r="X1175" i="56"/>
  <c r="X1176" i="56"/>
  <c r="X1177" i="56"/>
  <c r="X1178" i="56"/>
  <c r="X1179" i="56"/>
  <c r="X1180" i="56"/>
  <c r="X1181" i="56"/>
  <c r="X1182" i="56"/>
  <c r="X1183" i="56"/>
  <c r="X1184" i="56"/>
  <c r="X1185" i="56"/>
  <c r="X1186" i="56"/>
  <c r="X1187" i="56"/>
  <c r="X1188" i="56"/>
  <c r="X1189" i="56"/>
  <c r="X1190" i="56"/>
  <c r="X1191" i="56"/>
  <c r="X1192" i="56"/>
  <c r="X1193" i="56"/>
  <c r="X1194" i="56"/>
  <c r="X1195" i="56"/>
  <c r="X1196" i="56"/>
  <c r="X1197" i="56"/>
  <c r="X1198" i="56"/>
  <c r="X1199" i="56"/>
  <c r="X1200" i="56"/>
  <c r="X1201" i="56"/>
  <c r="X1202" i="56"/>
  <c r="X1203" i="56"/>
  <c r="X1204" i="56"/>
  <c r="X1205" i="56"/>
  <c r="X1206" i="56"/>
  <c r="X1207" i="56"/>
  <c r="X1208" i="56"/>
  <c r="X1209" i="56"/>
  <c r="X1210" i="56"/>
  <c r="X1211" i="56"/>
  <c r="X1212" i="56"/>
  <c r="X1213" i="56"/>
  <c r="X1214" i="56"/>
  <c r="X1215" i="56"/>
  <c r="X1216" i="56"/>
  <c r="X1217" i="56"/>
  <c r="X1218" i="56"/>
  <c r="X1219" i="56"/>
  <c r="X1220" i="56"/>
  <c r="X1221" i="56"/>
  <c r="X1222" i="56"/>
  <c r="X1223" i="56"/>
  <c r="X1224" i="56"/>
  <c r="X1225" i="56"/>
  <c r="X1226" i="56"/>
  <c r="X1227" i="56"/>
  <c r="X1228" i="56"/>
  <c r="X1229" i="56"/>
  <c r="X1230" i="56"/>
  <c r="X1231" i="56"/>
  <c r="X1232" i="56"/>
  <c r="X1233" i="56"/>
  <c r="X1234" i="56"/>
  <c r="X1235" i="56"/>
  <c r="X1236" i="56"/>
  <c r="X1237" i="56"/>
  <c r="X1238" i="56"/>
  <c r="X1239" i="56"/>
  <c r="X1240" i="56"/>
  <c r="X1241" i="56"/>
  <c r="X1242" i="56"/>
  <c r="X1243" i="56"/>
  <c r="X1244" i="56"/>
  <c r="X1245" i="56"/>
  <c r="X1246" i="56"/>
  <c r="X1247" i="56"/>
  <c r="X1248" i="56"/>
  <c r="X1249" i="56"/>
  <c r="X1250" i="56"/>
  <c r="X1251" i="56"/>
  <c r="X1252" i="56"/>
  <c r="X1253" i="56"/>
  <c r="X1254" i="56"/>
  <c r="X1255" i="56"/>
  <c r="X1256" i="56"/>
  <c r="X1257" i="56"/>
  <c r="X1258" i="56"/>
  <c r="X1259" i="56"/>
  <c r="X1260" i="56"/>
  <c r="X1261" i="56"/>
  <c r="X1262" i="56"/>
  <c r="X1263" i="56"/>
  <c r="X1264" i="56"/>
  <c r="X1265" i="56"/>
  <c r="X1266" i="56"/>
  <c r="X1267" i="56"/>
  <c r="X1268" i="56"/>
  <c r="X1269" i="56"/>
  <c r="X1270" i="56"/>
  <c r="X1271" i="56"/>
  <c r="X1272" i="56"/>
  <c r="X1273" i="56"/>
  <c r="X1274" i="56"/>
  <c r="X1275" i="56"/>
  <c r="X1276" i="56"/>
  <c r="X1277" i="56"/>
  <c r="X1278" i="56"/>
  <c r="X1279" i="56"/>
  <c r="X1280" i="56"/>
  <c r="X1281" i="56"/>
  <c r="X1282" i="56"/>
  <c r="X1283" i="56"/>
  <c r="X1284" i="56"/>
  <c r="X1285" i="56"/>
  <c r="X1286" i="56"/>
  <c r="X1287" i="56"/>
  <c r="X1288" i="56"/>
  <c r="X1289" i="56"/>
  <c r="X1290" i="56"/>
  <c r="X1291" i="56"/>
  <c r="X1292" i="56"/>
  <c r="X1293" i="56"/>
  <c r="X1294" i="56"/>
  <c r="X1295" i="56"/>
  <c r="X1296" i="56"/>
  <c r="X1297" i="56"/>
  <c r="X1298" i="56"/>
  <c r="X1299" i="56"/>
  <c r="X1300" i="56"/>
  <c r="X1301" i="56"/>
  <c r="X1302" i="56"/>
  <c r="X1303" i="56"/>
  <c r="X1304" i="56"/>
  <c r="X1305" i="56"/>
  <c r="X1306" i="56"/>
  <c r="X1307" i="56"/>
  <c r="X1308" i="56"/>
  <c r="X1309" i="56"/>
  <c r="X1310" i="56"/>
  <c r="X1311" i="56"/>
  <c r="X1312" i="56"/>
  <c r="X1313" i="56"/>
  <c r="X1314" i="56"/>
  <c r="X1315" i="56"/>
  <c r="X1316" i="56"/>
  <c r="X1317" i="56"/>
  <c r="X1318" i="56"/>
  <c r="X1319" i="56"/>
  <c r="X1320" i="56"/>
  <c r="X1321" i="56"/>
  <c r="X1322" i="56"/>
  <c r="X1323" i="56"/>
  <c r="X1324" i="56"/>
  <c r="X1325" i="56"/>
  <c r="X1326" i="56"/>
  <c r="X1327" i="56"/>
  <c r="X1328" i="56"/>
  <c r="X1329" i="56"/>
  <c r="X1330" i="56"/>
  <c r="X1331" i="56"/>
  <c r="X1332" i="56"/>
  <c r="X1333" i="56"/>
  <c r="X1334" i="56"/>
  <c r="X1335" i="56"/>
  <c r="X1336" i="56"/>
  <c r="X1337" i="56"/>
  <c r="X1338" i="56"/>
  <c r="X1339" i="56"/>
  <c r="X1340" i="56"/>
  <c r="X1341" i="56"/>
  <c r="X1342" i="56"/>
  <c r="X1343" i="56"/>
  <c r="X1344" i="56"/>
  <c r="X1345" i="56"/>
  <c r="X1346" i="56"/>
  <c r="X1347" i="56"/>
  <c r="X1348" i="56"/>
  <c r="X1349" i="56"/>
  <c r="X1350" i="56"/>
  <c r="X1351" i="56"/>
  <c r="X1352" i="56"/>
  <c r="X1353" i="56"/>
  <c r="X1354" i="56"/>
  <c r="X1355" i="56"/>
  <c r="X1356" i="56"/>
  <c r="X1357" i="56"/>
  <c r="X1358" i="56"/>
  <c r="X1359" i="56"/>
  <c r="X1360" i="56"/>
  <c r="X1361" i="56"/>
  <c r="X1362" i="56"/>
  <c r="X1363" i="56"/>
  <c r="X1364" i="56"/>
  <c r="X1365" i="56"/>
  <c r="X1366" i="56"/>
  <c r="X1367" i="56"/>
  <c r="X1368" i="56"/>
  <c r="X1369" i="56"/>
  <c r="X1370" i="56"/>
  <c r="X1371" i="56"/>
  <c r="X1372" i="56"/>
  <c r="X1373" i="56"/>
  <c r="X1374" i="56"/>
  <c r="X1375" i="56"/>
  <c r="X1376" i="56"/>
  <c r="X1377" i="56"/>
  <c r="X1378" i="56"/>
  <c r="X1379" i="56"/>
  <c r="X1380" i="56"/>
  <c r="X1381" i="56"/>
  <c r="X1382" i="56"/>
  <c r="X1383" i="56"/>
  <c r="X1384" i="56"/>
  <c r="X1385" i="56"/>
  <c r="X1386" i="56"/>
  <c r="X1387" i="56"/>
  <c r="X1388" i="56"/>
  <c r="X1389" i="56"/>
  <c r="X1390" i="56"/>
  <c r="X1391" i="56"/>
  <c r="X1392" i="56"/>
  <c r="X1393" i="56"/>
  <c r="X1394" i="56"/>
  <c r="X1395" i="56"/>
  <c r="X1396" i="56"/>
  <c r="X1397" i="56"/>
  <c r="X1398" i="56"/>
  <c r="X1399" i="56"/>
  <c r="X1400" i="56"/>
  <c r="X1401" i="56"/>
  <c r="X1402" i="56"/>
  <c r="X1403" i="56"/>
  <c r="X1404" i="56"/>
  <c r="X1405" i="56"/>
  <c r="X1406" i="56"/>
  <c r="X1407" i="56"/>
  <c r="X1408" i="56"/>
  <c r="X1409" i="56"/>
  <c r="X1410" i="56"/>
  <c r="X1411" i="56"/>
  <c r="X1412" i="56"/>
  <c r="X1413" i="56"/>
  <c r="X1414" i="56"/>
  <c r="X1415" i="56"/>
  <c r="X1416" i="56"/>
  <c r="X1417" i="56"/>
  <c r="X1418" i="56"/>
  <c r="X1419" i="56"/>
  <c r="X1420" i="56"/>
  <c r="X1421" i="56"/>
  <c r="X1422" i="56"/>
  <c r="X1423" i="56"/>
  <c r="X1424" i="56"/>
  <c r="X1425" i="56"/>
  <c r="X1426" i="56"/>
  <c r="X1427" i="56"/>
  <c r="X1428" i="56"/>
  <c r="X1429" i="56"/>
  <c r="X1430" i="56"/>
  <c r="X1431" i="56"/>
  <c r="X1432" i="56"/>
  <c r="X1433" i="56"/>
  <c r="X1434" i="56"/>
  <c r="X1435" i="56"/>
  <c r="X1436" i="56"/>
  <c r="X1437" i="56"/>
  <c r="X1438" i="56"/>
  <c r="X1439" i="56"/>
  <c r="X1440" i="56"/>
  <c r="X1441" i="56"/>
  <c r="X1442" i="56"/>
  <c r="X1443" i="56"/>
  <c r="X1444" i="56"/>
  <c r="X1445" i="56"/>
  <c r="X1446" i="56"/>
  <c r="X1447" i="56"/>
  <c r="X1448" i="56"/>
  <c r="X1449" i="56"/>
  <c r="X1450" i="56"/>
  <c r="X1451" i="56"/>
  <c r="X1452" i="56"/>
  <c r="X1453" i="56"/>
  <c r="X1454" i="56"/>
  <c r="X1455" i="56"/>
  <c r="X1456" i="56"/>
  <c r="X1457" i="56"/>
  <c r="X1458" i="56"/>
  <c r="X1459" i="56"/>
  <c r="X1460" i="56"/>
  <c r="X1461" i="56"/>
  <c r="X1462" i="56"/>
  <c r="X1463" i="56"/>
  <c r="X1464" i="56"/>
  <c r="X1465" i="56"/>
  <c r="X1466" i="56"/>
  <c r="X1467" i="56"/>
  <c r="X1468" i="56"/>
  <c r="X1469" i="56"/>
  <c r="X1470" i="56"/>
  <c r="X1471" i="56"/>
  <c r="X1472" i="56"/>
  <c r="X1473" i="56"/>
  <c r="X1474" i="56"/>
  <c r="X1475" i="56"/>
  <c r="X1476" i="56"/>
  <c r="X1477" i="56"/>
  <c r="X1478" i="56"/>
  <c r="X1479" i="56"/>
  <c r="X1480" i="56"/>
  <c r="X1481" i="56"/>
  <c r="X1482" i="56"/>
  <c r="X1483" i="56"/>
  <c r="X1484" i="56"/>
  <c r="X1485" i="56"/>
  <c r="X1486" i="56"/>
  <c r="X1487" i="56"/>
  <c r="X1488" i="56"/>
  <c r="X1489" i="56"/>
  <c r="X1490" i="56"/>
  <c r="X1491" i="56"/>
  <c r="X1492" i="56"/>
  <c r="X1493" i="56"/>
  <c r="X1494" i="56"/>
  <c r="X1495" i="56"/>
  <c r="X1496" i="56"/>
  <c r="X1497" i="56"/>
  <c r="X1498" i="56"/>
  <c r="X1499" i="56"/>
  <c r="X1500" i="56"/>
  <c r="X1501" i="56"/>
  <c r="X1502" i="56"/>
  <c r="X1503" i="56"/>
  <c r="X1504" i="56"/>
  <c r="X1505" i="56"/>
  <c r="X1506" i="56"/>
  <c r="X1507" i="56"/>
  <c r="X1508" i="56"/>
  <c r="X1509" i="56"/>
  <c r="X1510" i="56"/>
  <c r="X1511" i="56"/>
  <c r="X1512" i="56"/>
  <c r="X1513" i="56"/>
  <c r="X1514" i="56"/>
  <c r="X1515" i="56"/>
  <c r="X1516" i="56"/>
  <c r="X1517" i="56"/>
  <c r="X1518" i="56"/>
  <c r="X1519" i="56"/>
  <c r="X1520" i="56"/>
  <c r="X1521" i="56"/>
  <c r="X1522" i="56"/>
  <c r="X1523" i="56"/>
  <c r="X1524" i="56"/>
  <c r="X1525" i="56"/>
  <c r="X1526" i="56"/>
  <c r="X1527" i="56"/>
  <c r="X1528" i="56"/>
  <c r="X1529" i="56"/>
  <c r="X1530" i="56"/>
  <c r="X1531" i="56"/>
  <c r="X1532" i="56"/>
  <c r="X1533" i="56"/>
  <c r="X1534" i="56"/>
  <c r="X1535" i="56"/>
  <c r="X1536" i="56"/>
  <c r="X1537" i="56"/>
  <c r="X1538" i="56"/>
  <c r="X1539" i="56"/>
  <c r="X1540" i="56"/>
  <c r="X1541" i="56"/>
  <c r="X1542" i="56"/>
  <c r="X1543" i="56"/>
  <c r="X1544" i="56"/>
  <c r="X1545" i="56"/>
  <c r="X1546" i="56"/>
  <c r="X1547" i="56"/>
  <c r="X1548" i="56"/>
  <c r="X1549" i="56"/>
  <c r="X1550" i="56"/>
  <c r="X1551" i="56"/>
  <c r="X1552" i="56"/>
  <c r="X1553" i="56"/>
  <c r="X1554" i="56"/>
  <c r="X1555" i="56"/>
  <c r="X1556" i="56"/>
  <c r="X1557" i="56"/>
  <c r="X1558" i="56"/>
  <c r="X1559" i="56"/>
  <c r="X1560" i="56"/>
  <c r="X1561" i="56"/>
  <c r="X1562" i="56"/>
  <c r="X1563" i="56"/>
  <c r="X1564" i="56"/>
  <c r="X1565" i="56"/>
  <c r="X1566" i="56"/>
  <c r="X1567" i="56"/>
  <c r="X1568" i="56"/>
  <c r="X1569" i="56"/>
  <c r="X1570" i="56"/>
  <c r="X1571" i="56"/>
  <c r="X1572" i="56"/>
  <c r="X1573" i="56"/>
  <c r="X1574" i="56"/>
  <c r="X1575" i="56"/>
  <c r="X1576" i="56"/>
  <c r="X1577" i="56"/>
  <c r="X1578" i="56"/>
  <c r="X1579" i="56"/>
  <c r="X1580" i="56"/>
  <c r="X1581" i="56"/>
  <c r="X1582" i="56"/>
  <c r="X1583" i="56"/>
  <c r="X1584" i="56"/>
  <c r="X1585" i="56"/>
  <c r="X1586" i="56"/>
  <c r="X1587" i="56"/>
  <c r="X1588" i="56"/>
  <c r="X1589" i="56"/>
  <c r="X1590" i="56"/>
  <c r="X1591" i="56"/>
  <c r="X1592" i="56"/>
  <c r="X1593" i="56"/>
  <c r="X1594" i="56"/>
  <c r="X1595" i="56"/>
  <c r="X1596" i="56"/>
  <c r="X1597" i="56"/>
  <c r="X1598" i="56"/>
  <c r="X1599" i="56"/>
  <c r="X1600" i="56"/>
  <c r="X1601" i="56"/>
  <c r="X1602" i="56"/>
  <c r="X1603" i="56"/>
  <c r="X1604" i="56"/>
  <c r="X1605" i="56"/>
  <c r="X1606" i="56"/>
  <c r="X1607" i="56"/>
  <c r="X1608" i="56"/>
  <c r="X1609" i="56"/>
  <c r="X1610" i="56"/>
  <c r="X1611" i="56"/>
  <c r="X1612" i="56"/>
  <c r="X1613" i="56"/>
  <c r="X1614" i="56"/>
  <c r="X1615" i="56"/>
  <c r="X1616" i="56"/>
  <c r="X1617" i="56"/>
  <c r="X1618" i="56"/>
  <c r="X1619" i="56"/>
  <c r="X1620" i="56"/>
  <c r="X1621" i="56"/>
  <c r="X1622" i="56"/>
  <c r="X1623" i="56"/>
  <c r="X1624" i="56"/>
  <c r="X1625" i="56"/>
  <c r="X1626" i="56"/>
  <c r="X1627" i="56"/>
  <c r="X1628" i="56"/>
  <c r="X1629" i="56"/>
  <c r="X1630" i="56"/>
  <c r="X1631" i="56"/>
  <c r="X1632" i="56"/>
  <c r="X1633" i="56"/>
  <c r="X1634" i="56"/>
  <c r="X1635" i="56"/>
  <c r="X1636" i="56"/>
  <c r="X1637" i="56"/>
  <c r="X1638" i="56"/>
  <c r="X1639" i="56"/>
  <c r="X1640" i="56"/>
  <c r="X1641" i="56"/>
  <c r="X1642" i="56"/>
  <c r="X1643" i="56"/>
  <c r="X1644" i="56"/>
  <c r="X1645" i="56"/>
  <c r="X1646" i="56"/>
  <c r="X1647" i="56"/>
  <c r="X1648" i="56"/>
  <c r="X1649" i="56"/>
  <c r="X1650" i="56"/>
  <c r="X1651" i="56"/>
  <c r="X1652" i="56"/>
  <c r="X1653" i="56"/>
  <c r="X1654" i="56"/>
  <c r="X1655" i="56"/>
  <c r="X1656" i="56"/>
  <c r="X1657" i="56"/>
  <c r="X1658" i="56"/>
  <c r="X1659" i="56"/>
  <c r="X1660" i="56"/>
  <c r="X1661" i="56"/>
  <c r="X1662" i="56"/>
  <c r="X1663" i="56"/>
  <c r="X1664" i="56"/>
  <c r="X1665" i="56"/>
  <c r="X1666" i="56"/>
  <c r="X1667" i="56"/>
  <c r="X1668" i="56"/>
  <c r="X1669" i="56"/>
  <c r="X1670" i="56"/>
  <c r="X1671" i="56"/>
  <c r="X1672" i="56"/>
  <c r="X1673" i="56"/>
  <c r="X1674" i="56"/>
  <c r="X1675" i="56"/>
  <c r="X1676" i="56"/>
  <c r="X1677" i="56"/>
  <c r="X1678" i="56"/>
  <c r="X1679" i="56"/>
  <c r="X1680" i="56"/>
  <c r="X1681" i="56"/>
  <c r="X1682" i="56"/>
  <c r="X1683" i="56"/>
  <c r="X1684" i="56"/>
  <c r="X1685" i="56"/>
  <c r="X1686" i="56"/>
  <c r="X1687" i="56"/>
  <c r="X1688" i="56"/>
  <c r="X1689" i="56"/>
  <c r="X1690" i="56"/>
  <c r="X1691" i="56"/>
  <c r="X1692" i="56"/>
  <c r="X1693" i="56"/>
  <c r="X1694" i="56"/>
  <c r="X1695" i="56"/>
  <c r="X1696" i="56"/>
  <c r="X1697" i="56"/>
  <c r="X1698" i="56"/>
  <c r="X1699" i="56"/>
  <c r="X1700" i="56"/>
  <c r="X1701" i="56"/>
  <c r="X1702" i="56"/>
  <c r="X1703" i="56"/>
  <c r="X1704" i="56"/>
  <c r="X1705" i="56"/>
  <c r="X1706" i="56"/>
  <c r="X1707" i="56"/>
  <c r="X1708" i="56"/>
  <c r="X1709" i="56"/>
  <c r="X1710" i="56"/>
  <c r="X1711" i="56"/>
  <c r="X1712" i="56"/>
  <c r="X1713" i="56"/>
  <c r="X1714" i="56"/>
  <c r="X1715" i="56"/>
  <c r="X1716" i="56"/>
  <c r="X1717" i="56"/>
  <c r="X1718" i="56"/>
  <c r="X1719" i="56"/>
  <c r="X1720" i="56"/>
  <c r="X1721" i="56"/>
  <c r="X1722" i="56"/>
  <c r="X1723" i="56"/>
  <c r="X1724" i="56"/>
  <c r="X1725" i="56"/>
  <c r="X1726" i="56"/>
  <c r="X1727" i="56"/>
  <c r="X1728" i="56"/>
  <c r="X1729" i="56"/>
  <c r="X1730" i="56"/>
  <c r="X1731" i="56"/>
  <c r="X1732" i="56"/>
  <c r="X1733" i="56"/>
  <c r="X1734" i="56"/>
  <c r="X1735" i="56"/>
  <c r="X1736" i="56"/>
  <c r="X1737" i="56"/>
  <c r="X1738" i="56"/>
  <c r="X1739" i="56"/>
  <c r="X1740" i="56"/>
  <c r="X1741" i="56"/>
  <c r="X1742" i="56"/>
  <c r="X1743" i="56"/>
  <c r="X1744" i="56"/>
  <c r="X1745" i="56"/>
  <c r="X1746" i="56"/>
  <c r="X1747" i="56"/>
  <c r="X1748" i="56"/>
  <c r="X1749" i="56"/>
  <c r="X1750" i="56"/>
  <c r="AD699" i="56"/>
  <c r="AC699" i="56"/>
  <c r="AB699" i="56"/>
  <c r="AD698" i="56"/>
  <c r="AC698" i="56"/>
  <c r="AB698" i="56"/>
  <c r="AD697" i="56"/>
  <c r="AC697" i="56"/>
  <c r="AB697" i="56"/>
  <c r="X697" i="56"/>
  <c r="AD696" i="56"/>
  <c r="AC696" i="56"/>
  <c r="AB696" i="56"/>
  <c r="X696" i="56"/>
  <c r="AD695" i="56"/>
  <c r="AC695" i="56"/>
  <c r="AB695" i="56"/>
  <c r="X695" i="56"/>
  <c r="AD694" i="56"/>
  <c r="AC694" i="56"/>
  <c r="AB694" i="56"/>
  <c r="X694" i="56"/>
  <c r="AD693" i="56"/>
  <c r="AC693" i="56"/>
  <c r="AB693" i="56"/>
  <c r="X693" i="56"/>
  <c r="AD692" i="56"/>
  <c r="AC692" i="56"/>
  <c r="AB692" i="56"/>
  <c r="X692" i="56"/>
  <c r="AD691" i="56"/>
  <c r="AC691" i="56"/>
  <c r="AB691" i="56"/>
  <c r="X691" i="56"/>
  <c r="AD690" i="56"/>
  <c r="AC690" i="56"/>
  <c r="AB690" i="56"/>
  <c r="X690" i="56"/>
  <c r="AD689" i="56"/>
  <c r="AC689" i="56"/>
  <c r="AB689" i="56"/>
  <c r="X689" i="56"/>
  <c r="AD688" i="56"/>
  <c r="AC688" i="56"/>
  <c r="AB688" i="56"/>
  <c r="X688" i="56"/>
  <c r="AD687" i="56"/>
  <c r="AC687" i="56"/>
  <c r="AB687" i="56"/>
  <c r="X687" i="56"/>
  <c r="AD686" i="56"/>
  <c r="AC686" i="56"/>
  <c r="AB686" i="56"/>
  <c r="X686" i="56"/>
  <c r="AD685" i="56"/>
  <c r="AC685" i="56"/>
  <c r="AB685" i="56"/>
  <c r="X685" i="56"/>
  <c r="AD684" i="56"/>
  <c r="AC684" i="56"/>
  <c r="AB684" i="56"/>
  <c r="X684" i="56"/>
  <c r="AD683" i="56"/>
  <c r="AC683" i="56"/>
  <c r="AB683" i="56"/>
  <c r="X683" i="56"/>
  <c r="AD682" i="56"/>
  <c r="AC682" i="56"/>
  <c r="AB682" i="56"/>
  <c r="X682" i="56"/>
  <c r="AD681" i="56"/>
  <c r="AC681" i="56"/>
  <c r="AB681" i="56"/>
  <c r="X681" i="56"/>
  <c r="AD680" i="56"/>
  <c r="AC680" i="56"/>
  <c r="AB680" i="56"/>
  <c r="X680" i="56"/>
  <c r="AD679" i="56"/>
  <c r="AC679" i="56"/>
  <c r="AB679" i="56"/>
  <c r="X679" i="56"/>
  <c r="AD678" i="56"/>
  <c r="AC678" i="56"/>
  <c r="AB678" i="56"/>
  <c r="X678" i="56"/>
  <c r="AD677" i="56"/>
  <c r="AC677" i="56"/>
  <c r="AB677" i="56"/>
  <c r="X677" i="56"/>
  <c r="AD676" i="56"/>
  <c r="AC676" i="56"/>
  <c r="AB676" i="56"/>
  <c r="X676" i="56"/>
  <c r="AD675" i="56"/>
  <c r="AC675" i="56"/>
  <c r="AB675" i="56"/>
  <c r="X675" i="56"/>
  <c r="AD674" i="56"/>
  <c r="AC674" i="56"/>
  <c r="AB674" i="56"/>
  <c r="X674" i="56"/>
  <c r="AD673" i="56"/>
  <c r="AC673" i="56"/>
  <c r="AB673" i="56"/>
  <c r="X673" i="56"/>
  <c r="AD672" i="56"/>
  <c r="AC672" i="56"/>
  <c r="AB672" i="56"/>
  <c r="X672" i="56"/>
  <c r="AD671" i="56"/>
  <c r="AC671" i="56"/>
  <c r="AB671" i="56"/>
  <c r="X671" i="56"/>
  <c r="AD670" i="56"/>
  <c r="AC670" i="56"/>
  <c r="AB670" i="56"/>
  <c r="X670" i="56"/>
  <c r="AD669" i="56"/>
  <c r="AC669" i="56"/>
  <c r="AB669" i="56"/>
  <c r="X669" i="56"/>
  <c r="AD668" i="56"/>
  <c r="AC668" i="56"/>
  <c r="AB668" i="56"/>
  <c r="X668" i="56"/>
  <c r="AD667" i="56"/>
  <c r="AC667" i="56"/>
  <c r="AB667" i="56"/>
  <c r="X667" i="56"/>
  <c r="AD666" i="56"/>
  <c r="AC666" i="56"/>
  <c r="AB666" i="56"/>
  <c r="X666" i="56"/>
  <c r="AD665" i="56"/>
  <c r="AC665" i="56"/>
  <c r="AB665" i="56"/>
  <c r="X665" i="56"/>
  <c r="AD664" i="56"/>
  <c r="AC664" i="56"/>
  <c r="AB664" i="56"/>
  <c r="X664" i="56"/>
  <c r="AD663" i="56"/>
  <c r="AC663" i="56"/>
  <c r="AB663" i="56"/>
  <c r="X663" i="56"/>
  <c r="AD662" i="56"/>
  <c r="AC662" i="56"/>
  <c r="AB662" i="56"/>
  <c r="X662" i="56"/>
  <c r="AD661" i="56"/>
  <c r="AC661" i="56"/>
  <c r="AB661" i="56"/>
  <c r="X661" i="56"/>
  <c r="AD660" i="56"/>
  <c r="AC660" i="56"/>
  <c r="AB660" i="56"/>
  <c r="X660" i="56"/>
  <c r="AD659" i="56"/>
  <c r="AC659" i="56"/>
  <c r="AB659" i="56"/>
  <c r="X659" i="56"/>
  <c r="AD658" i="56"/>
  <c r="AC658" i="56"/>
  <c r="AB658" i="56"/>
  <c r="X658" i="56"/>
  <c r="AD657" i="56"/>
  <c r="AC657" i="56"/>
  <c r="AB657" i="56"/>
  <c r="X657" i="56"/>
  <c r="AD656" i="56"/>
  <c r="AC656" i="56"/>
  <c r="AB656" i="56"/>
  <c r="X656" i="56"/>
  <c r="AD655" i="56"/>
  <c r="AC655" i="56"/>
  <c r="AB655" i="56"/>
  <c r="X655" i="56"/>
  <c r="AD654" i="56"/>
  <c r="AC654" i="56"/>
  <c r="AB654" i="56"/>
  <c r="X654" i="56"/>
  <c r="AD653" i="56"/>
  <c r="AC653" i="56"/>
  <c r="AB653" i="56"/>
  <c r="X653" i="56"/>
  <c r="AD652" i="56"/>
  <c r="AC652" i="56"/>
  <c r="AB652" i="56"/>
  <c r="X652" i="56"/>
  <c r="AD651" i="56"/>
  <c r="AC651" i="56"/>
  <c r="AB651" i="56"/>
  <c r="X651" i="56"/>
  <c r="AD650" i="56"/>
  <c r="AC650" i="56"/>
  <c r="AB650" i="56"/>
  <c r="X650" i="56"/>
  <c r="AD649" i="56"/>
  <c r="AC649" i="56"/>
  <c r="AB649" i="56"/>
  <c r="X649" i="56"/>
  <c r="AD648" i="56"/>
  <c r="AC648" i="56"/>
  <c r="AB648" i="56"/>
  <c r="X648" i="56"/>
  <c r="AD647" i="56"/>
  <c r="AC647" i="56"/>
  <c r="AB647" i="56"/>
  <c r="X647" i="56"/>
  <c r="AD646" i="56"/>
  <c r="AC646" i="56"/>
  <c r="AB646" i="56"/>
  <c r="X646" i="56"/>
  <c r="AD645" i="56"/>
  <c r="AC645" i="56"/>
  <c r="AB645" i="56"/>
  <c r="X645" i="56"/>
  <c r="AD644" i="56"/>
  <c r="AC644" i="56"/>
  <c r="AB644" i="56"/>
  <c r="X644" i="56"/>
  <c r="AD643" i="56"/>
  <c r="AC643" i="56"/>
  <c r="AB643" i="56"/>
  <c r="X643" i="56"/>
  <c r="AD642" i="56"/>
  <c r="AC642" i="56"/>
  <c r="AB642" i="56"/>
  <c r="X642" i="56"/>
  <c r="AD641" i="56"/>
  <c r="AC641" i="56"/>
  <c r="AB641" i="56"/>
  <c r="X641" i="56"/>
  <c r="AD640" i="56"/>
  <c r="AC640" i="56"/>
  <c r="AB640" i="56"/>
  <c r="X640" i="56"/>
  <c r="AD639" i="56"/>
  <c r="AC639" i="56"/>
  <c r="AB639" i="56"/>
  <c r="X639" i="56"/>
  <c r="AD638" i="56"/>
  <c r="AC638" i="56"/>
  <c r="AB638" i="56"/>
  <c r="X638" i="56"/>
  <c r="AD637" i="56"/>
  <c r="AC637" i="56"/>
  <c r="AB637" i="56"/>
  <c r="X637" i="56"/>
  <c r="AD636" i="56"/>
  <c r="AC636" i="56"/>
  <c r="AB636" i="56"/>
  <c r="X636" i="56"/>
  <c r="AD635" i="56"/>
  <c r="AC635" i="56"/>
  <c r="AB635" i="56"/>
  <c r="X635" i="56"/>
  <c r="AD634" i="56"/>
  <c r="AC634" i="56"/>
  <c r="AB634" i="56"/>
  <c r="X634" i="56"/>
  <c r="AD633" i="56"/>
  <c r="AC633" i="56"/>
  <c r="AB633" i="56"/>
  <c r="X633" i="56"/>
  <c r="AD632" i="56"/>
  <c r="AC632" i="56"/>
  <c r="AB632" i="56"/>
  <c r="X632" i="56"/>
  <c r="AD631" i="56"/>
  <c r="AC631" i="56"/>
  <c r="AB631" i="56"/>
  <c r="X631" i="56"/>
  <c r="AD630" i="56"/>
  <c r="AC630" i="56"/>
  <c r="AB630" i="56"/>
  <c r="X630" i="56"/>
  <c r="AD629" i="56"/>
  <c r="AC629" i="56"/>
  <c r="AB629" i="56"/>
  <c r="X629" i="56"/>
  <c r="AD628" i="56"/>
  <c r="AC628" i="56"/>
  <c r="AB628" i="56"/>
  <c r="X628" i="56"/>
  <c r="AD627" i="56"/>
  <c r="AC627" i="56"/>
  <c r="AB627" i="56"/>
  <c r="X627" i="56"/>
  <c r="AD626" i="56"/>
  <c r="AC626" i="56"/>
  <c r="AB626" i="56"/>
  <c r="X626" i="56"/>
  <c r="AD625" i="56"/>
  <c r="AC625" i="56"/>
  <c r="AB625" i="56"/>
  <c r="X625" i="56"/>
  <c r="AD624" i="56"/>
  <c r="AC624" i="56"/>
  <c r="AB624" i="56"/>
  <c r="X624" i="56"/>
  <c r="AD623" i="56"/>
  <c r="AC623" i="56"/>
  <c r="AB623" i="56"/>
  <c r="X623" i="56"/>
  <c r="AD622" i="56"/>
  <c r="AC622" i="56"/>
  <c r="AB622" i="56"/>
  <c r="X622" i="56"/>
  <c r="AD621" i="56"/>
  <c r="AC621" i="56"/>
  <c r="AB621" i="56"/>
  <c r="X621" i="56"/>
  <c r="AD620" i="56"/>
  <c r="AC620" i="56"/>
  <c r="AB620" i="56"/>
  <c r="X620" i="56"/>
  <c r="AD619" i="56"/>
  <c r="AC619" i="56"/>
  <c r="AB619" i="56"/>
  <c r="X619" i="56"/>
  <c r="AD618" i="56"/>
  <c r="AC618" i="56"/>
  <c r="AB618" i="56"/>
  <c r="X618" i="56"/>
  <c r="AD617" i="56"/>
  <c r="AC617" i="56"/>
  <c r="AB617" i="56"/>
  <c r="X617" i="56"/>
  <c r="AD616" i="56"/>
  <c r="AC616" i="56"/>
  <c r="AB616" i="56"/>
  <c r="X616" i="56"/>
  <c r="AD615" i="56"/>
  <c r="AC615" i="56"/>
  <c r="AB615" i="56"/>
  <c r="X615" i="56"/>
  <c r="AD614" i="56"/>
  <c r="AC614" i="56"/>
  <c r="AB614" i="56"/>
  <c r="X614" i="56"/>
  <c r="AD613" i="56"/>
  <c r="AC613" i="56"/>
  <c r="AB613" i="56"/>
  <c r="X613" i="56"/>
  <c r="AD612" i="56"/>
  <c r="AC612" i="56"/>
  <c r="AB612" i="56"/>
  <c r="X612" i="56"/>
  <c r="AD611" i="56"/>
  <c r="AC611" i="56"/>
  <c r="AB611" i="56"/>
  <c r="X611" i="56"/>
  <c r="AD610" i="56"/>
  <c r="AC610" i="56"/>
  <c r="AB610" i="56"/>
  <c r="X610" i="56"/>
  <c r="AD609" i="56"/>
  <c r="AC609" i="56"/>
  <c r="AB609" i="56"/>
  <c r="X609" i="56"/>
  <c r="AD608" i="56"/>
  <c r="AC608" i="56"/>
  <c r="AB608" i="56"/>
  <c r="X608" i="56"/>
  <c r="AD607" i="56"/>
  <c r="AC607" i="56"/>
  <c r="AB607" i="56"/>
  <c r="X607" i="56"/>
  <c r="AD606" i="56"/>
  <c r="AC606" i="56"/>
  <c r="AB606" i="56"/>
  <c r="X606" i="56"/>
  <c r="AD605" i="56"/>
  <c r="AC605" i="56"/>
  <c r="AB605" i="56"/>
  <c r="X605" i="56"/>
  <c r="AD604" i="56"/>
  <c r="AC604" i="56"/>
  <c r="AB604" i="56"/>
  <c r="X604" i="56"/>
  <c r="AD603" i="56"/>
  <c r="AC603" i="56"/>
  <c r="AB603" i="56"/>
  <c r="X603" i="56"/>
  <c r="AD602" i="56"/>
  <c r="AC602" i="56"/>
  <c r="AB602" i="56"/>
  <c r="X602" i="56"/>
  <c r="AD601" i="56"/>
  <c r="AC601" i="56"/>
  <c r="AB601" i="56"/>
  <c r="X601" i="56"/>
  <c r="AD600" i="56"/>
  <c r="AC600" i="56"/>
  <c r="AB600" i="56"/>
  <c r="X600" i="56"/>
  <c r="AD599" i="56"/>
  <c r="AC599" i="56"/>
  <c r="AB599" i="56"/>
  <c r="X599" i="56"/>
  <c r="AD598" i="56"/>
  <c r="AC598" i="56"/>
  <c r="AB598" i="56"/>
  <c r="X598" i="56"/>
  <c r="AD597" i="56"/>
  <c r="AC597" i="56"/>
  <c r="AB597" i="56"/>
  <c r="X597" i="56"/>
  <c r="AD596" i="56"/>
  <c r="AC596" i="56"/>
  <c r="AB596" i="56"/>
  <c r="X596" i="56"/>
  <c r="AD595" i="56"/>
  <c r="AC595" i="56"/>
  <c r="AB595" i="56"/>
  <c r="X595" i="56"/>
  <c r="AD594" i="56"/>
  <c r="AC594" i="56"/>
  <c r="AB594" i="56"/>
  <c r="X594" i="56"/>
  <c r="AD593" i="56"/>
  <c r="AC593" i="56"/>
  <c r="AB593" i="56"/>
  <c r="X593" i="56"/>
  <c r="AD592" i="56"/>
  <c r="AC592" i="56"/>
  <c r="AB592" i="56"/>
  <c r="X592" i="56"/>
  <c r="AD591" i="56"/>
  <c r="AC591" i="56"/>
  <c r="AB591" i="56"/>
  <c r="X591" i="56"/>
  <c r="AD590" i="56"/>
  <c r="AC590" i="56"/>
  <c r="AB590" i="56"/>
  <c r="X590" i="56"/>
  <c r="AD589" i="56"/>
  <c r="AC589" i="56"/>
  <c r="AB589" i="56"/>
  <c r="X589" i="56"/>
  <c r="AD588" i="56"/>
  <c r="AC588" i="56"/>
  <c r="AB588" i="56"/>
  <c r="X588" i="56"/>
  <c r="AD587" i="56"/>
  <c r="AC587" i="56"/>
  <c r="AB587" i="56"/>
  <c r="X587" i="56"/>
  <c r="AD586" i="56"/>
  <c r="AC586" i="56"/>
  <c r="AB586" i="56"/>
  <c r="X586" i="56"/>
  <c r="AD585" i="56"/>
  <c r="AC585" i="56"/>
  <c r="AB585" i="56"/>
  <c r="X585" i="56"/>
  <c r="AD584" i="56"/>
  <c r="AC584" i="56"/>
  <c r="AB584" i="56"/>
  <c r="X584" i="56"/>
  <c r="AD583" i="56"/>
  <c r="AC583" i="56"/>
  <c r="AB583" i="56"/>
  <c r="X583" i="56"/>
  <c r="AD582" i="56"/>
  <c r="AC582" i="56"/>
  <c r="AB582" i="56"/>
  <c r="X582" i="56"/>
  <c r="AD581" i="56"/>
  <c r="AC581" i="56"/>
  <c r="AB581" i="56"/>
  <c r="X581" i="56"/>
  <c r="AD580" i="56"/>
  <c r="AC580" i="56"/>
  <c r="AB580" i="56"/>
  <c r="X580" i="56"/>
  <c r="AD579" i="56"/>
  <c r="AC579" i="56"/>
  <c r="AB579" i="56"/>
  <c r="X579" i="56"/>
  <c r="AD578" i="56"/>
  <c r="AC578" i="56"/>
  <c r="AB578" i="56"/>
  <c r="X578" i="56"/>
  <c r="AD577" i="56"/>
  <c r="AC577" i="56"/>
  <c r="AB577" i="56"/>
  <c r="X577" i="56"/>
  <c r="AD576" i="56"/>
  <c r="AC576" i="56"/>
  <c r="AB576" i="56"/>
  <c r="X576" i="56"/>
  <c r="AD575" i="56"/>
  <c r="AC575" i="56"/>
  <c r="AB575" i="56"/>
  <c r="X575" i="56"/>
  <c r="AD574" i="56"/>
  <c r="AC574" i="56"/>
  <c r="AB574" i="56"/>
  <c r="X574" i="56"/>
  <c r="AD573" i="56"/>
  <c r="AC573" i="56"/>
  <c r="AB573" i="56"/>
  <c r="X573" i="56"/>
  <c r="AD572" i="56"/>
  <c r="AC572" i="56"/>
  <c r="AB572" i="56"/>
  <c r="X572" i="56"/>
  <c r="AD571" i="56"/>
  <c r="AC571" i="56"/>
  <c r="AB571" i="56"/>
  <c r="X571" i="56"/>
  <c r="AD570" i="56"/>
  <c r="AC570" i="56"/>
  <c r="AB570" i="56"/>
  <c r="X570" i="56"/>
  <c r="AD569" i="56"/>
  <c r="AC569" i="56"/>
  <c r="AB569" i="56"/>
  <c r="X569" i="56"/>
  <c r="AD568" i="56"/>
  <c r="AC568" i="56"/>
  <c r="AB568" i="56"/>
  <c r="X568" i="56"/>
  <c r="AD567" i="56"/>
  <c r="AC567" i="56"/>
  <c r="AB567" i="56"/>
  <c r="X567" i="56"/>
  <c r="AD566" i="56"/>
  <c r="AC566" i="56"/>
  <c r="AB566" i="56"/>
  <c r="X566" i="56"/>
  <c r="AD565" i="56"/>
  <c r="AC565" i="56"/>
  <c r="AB565" i="56"/>
  <c r="X565" i="56"/>
  <c r="AD564" i="56"/>
  <c r="AC564" i="56"/>
  <c r="AB564" i="56"/>
  <c r="X564" i="56"/>
  <c r="AD563" i="56"/>
  <c r="AC563" i="56"/>
  <c r="AB563" i="56"/>
  <c r="X563" i="56"/>
  <c r="AD562" i="56"/>
  <c r="AC562" i="56"/>
  <c r="AB562" i="56"/>
  <c r="X562" i="56"/>
  <c r="AD561" i="56"/>
  <c r="AC561" i="56"/>
  <c r="AB561" i="56"/>
  <c r="X561" i="56"/>
  <c r="AD560" i="56"/>
  <c r="AC560" i="56"/>
  <c r="AB560" i="56"/>
  <c r="X560" i="56"/>
  <c r="AD559" i="56"/>
  <c r="AC559" i="56"/>
  <c r="AB559" i="56"/>
  <c r="X559" i="56"/>
  <c r="AD558" i="56"/>
  <c r="AC558" i="56"/>
  <c r="AB558" i="56"/>
  <c r="X558" i="56"/>
  <c r="AD557" i="56"/>
  <c r="AC557" i="56"/>
  <c r="AB557" i="56"/>
  <c r="X557" i="56"/>
  <c r="AD556" i="56"/>
  <c r="AC556" i="56"/>
  <c r="AB556" i="56"/>
  <c r="X556" i="56"/>
  <c r="AD555" i="56"/>
  <c r="AC555" i="56"/>
  <c r="AB555" i="56"/>
  <c r="X555" i="56"/>
  <c r="AD554" i="56"/>
  <c r="AC554" i="56"/>
  <c r="AB554" i="56"/>
  <c r="X554" i="56"/>
  <c r="AD553" i="56"/>
  <c r="AC553" i="56"/>
  <c r="AB553" i="56"/>
  <c r="X553" i="56"/>
  <c r="AD552" i="56"/>
  <c r="AC552" i="56"/>
  <c r="AB552" i="56"/>
  <c r="X552" i="56"/>
  <c r="AD551" i="56"/>
  <c r="AC551" i="56"/>
  <c r="AB551" i="56"/>
  <c r="X551" i="56"/>
  <c r="AD550" i="56"/>
  <c r="AC550" i="56"/>
  <c r="AB550" i="56"/>
  <c r="X550" i="56"/>
  <c r="AD549" i="56"/>
  <c r="AC549" i="56"/>
  <c r="AB549" i="56"/>
  <c r="X549" i="56"/>
  <c r="AD548" i="56"/>
  <c r="AC548" i="56"/>
  <c r="AB548" i="56"/>
  <c r="X548" i="56"/>
  <c r="AD547" i="56"/>
  <c r="AC547" i="56"/>
  <c r="AB547" i="56"/>
  <c r="X547" i="56"/>
  <c r="AD546" i="56"/>
  <c r="AC546" i="56"/>
  <c r="AB546" i="56"/>
  <c r="X546" i="56"/>
  <c r="AD545" i="56"/>
  <c r="AC545" i="56"/>
  <c r="AB545" i="56"/>
  <c r="X545" i="56"/>
  <c r="AD544" i="56"/>
  <c r="AC544" i="56"/>
  <c r="AB544" i="56"/>
  <c r="X544" i="56"/>
  <c r="AD543" i="56"/>
  <c r="AC543" i="56"/>
  <c r="AB543" i="56"/>
  <c r="X543" i="56"/>
  <c r="AD542" i="56"/>
  <c r="AC542" i="56"/>
  <c r="AB542" i="56"/>
  <c r="X542" i="56"/>
  <c r="AD541" i="56"/>
  <c r="AC541" i="56"/>
  <c r="AB541" i="56"/>
  <c r="X541" i="56"/>
  <c r="AD540" i="56"/>
  <c r="AC540" i="56"/>
  <c r="AB540" i="56"/>
  <c r="X540" i="56"/>
  <c r="AD539" i="56"/>
  <c r="AC539" i="56"/>
  <c r="AB539" i="56"/>
  <c r="X539" i="56"/>
  <c r="AD538" i="56"/>
  <c r="AC538" i="56"/>
  <c r="AB538" i="56"/>
  <c r="X538" i="56"/>
  <c r="AD537" i="56"/>
  <c r="AC537" i="56"/>
  <c r="AB537" i="56"/>
  <c r="X537" i="56"/>
  <c r="AD536" i="56"/>
  <c r="AC536" i="56"/>
  <c r="AB536" i="56"/>
  <c r="X536" i="56"/>
  <c r="AD535" i="56"/>
  <c r="AC535" i="56"/>
  <c r="AB535" i="56"/>
  <c r="X535" i="56"/>
  <c r="AD534" i="56"/>
  <c r="AC534" i="56"/>
  <c r="AB534" i="56"/>
  <c r="X534" i="56"/>
  <c r="AD533" i="56"/>
  <c r="AC533" i="56"/>
  <c r="AB533" i="56"/>
  <c r="X533" i="56"/>
  <c r="AD532" i="56"/>
  <c r="AC532" i="56"/>
  <c r="AB532" i="56"/>
  <c r="X532" i="56"/>
  <c r="AD531" i="56"/>
  <c r="AC531" i="56"/>
  <c r="AB531" i="56"/>
  <c r="X531" i="56"/>
  <c r="AD530" i="56"/>
  <c r="AC530" i="56"/>
  <c r="AB530" i="56"/>
  <c r="X530" i="56"/>
  <c r="AD529" i="56"/>
  <c r="AC529" i="56"/>
  <c r="AB529" i="56"/>
  <c r="X529" i="56"/>
  <c r="AD528" i="56"/>
  <c r="AC528" i="56"/>
  <c r="AB528" i="56"/>
  <c r="X528" i="56"/>
  <c r="AD527" i="56"/>
  <c r="AC527" i="56"/>
  <c r="AB527" i="56"/>
  <c r="X527" i="56"/>
  <c r="AD526" i="56"/>
  <c r="AC526" i="56"/>
  <c r="AB526" i="56"/>
  <c r="X526" i="56"/>
  <c r="AD525" i="56"/>
  <c r="AC525" i="56"/>
  <c r="AB525" i="56"/>
  <c r="X525" i="56"/>
  <c r="AD524" i="56"/>
  <c r="AC524" i="56"/>
  <c r="AB524" i="56"/>
  <c r="X524" i="56"/>
  <c r="AD523" i="56"/>
  <c r="AC523" i="56"/>
  <c r="AB523" i="56"/>
  <c r="X523" i="56"/>
  <c r="AD522" i="56"/>
  <c r="AC522" i="56"/>
  <c r="AB522" i="56"/>
  <c r="X522" i="56"/>
  <c r="AD521" i="56"/>
  <c r="AC521" i="56"/>
  <c r="AB521" i="56"/>
  <c r="X521" i="56"/>
  <c r="AD520" i="56"/>
  <c r="AC520" i="56"/>
  <c r="AB520" i="56"/>
  <c r="X520" i="56"/>
  <c r="AD519" i="56"/>
  <c r="AC519" i="56"/>
  <c r="AB519" i="56"/>
  <c r="X519" i="56"/>
  <c r="AD518" i="56"/>
  <c r="AC518" i="56"/>
  <c r="AB518" i="56"/>
  <c r="X518" i="56"/>
  <c r="AD517" i="56"/>
  <c r="AC517" i="56"/>
  <c r="AB517" i="56"/>
  <c r="X517" i="56"/>
  <c r="AD516" i="56"/>
  <c r="AC516" i="56"/>
  <c r="AB516" i="56"/>
  <c r="X516" i="56"/>
  <c r="AD515" i="56"/>
  <c r="AC515" i="56"/>
  <c r="AB515" i="56"/>
  <c r="X515" i="56"/>
  <c r="AD514" i="56"/>
  <c r="AC514" i="56"/>
  <c r="AB514" i="56"/>
  <c r="X514" i="56"/>
  <c r="AD513" i="56"/>
  <c r="AC513" i="56"/>
  <c r="AB513" i="56"/>
  <c r="X513" i="56"/>
  <c r="AD512" i="56"/>
  <c r="AC512" i="56"/>
  <c r="AB512" i="56"/>
  <c r="X512" i="56"/>
  <c r="AD511" i="56"/>
  <c r="AC511" i="56"/>
  <c r="AB511" i="56"/>
  <c r="X511" i="56"/>
  <c r="AD510" i="56"/>
  <c r="AC510" i="56"/>
  <c r="AB510" i="56"/>
  <c r="X510" i="56"/>
  <c r="AD509" i="56"/>
  <c r="AC509" i="56"/>
  <c r="AB509" i="56"/>
  <c r="X509" i="56"/>
  <c r="AD508" i="56"/>
  <c r="AC508" i="56"/>
  <c r="AB508" i="56"/>
  <c r="X508" i="56"/>
  <c r="AD507" i="56"/>
  <c r="AC507" i="56"/>
  <c r="AB507" i="56"/>
  <c r="X507" i="56"/>
  <c r="AD506" i="56"/>
  <c r="AC506" i="56"/>
  <c r="AB506" i="56"/>
  <c r="X506" i="56"/>
  <c r="AD505" i="56"/>
  <c r="AC505" i="56"/>
  <c r="AB505" i="56"/>
  <c r="X505" i="56"/>
  <c r="AD504" i="56"/>
  <c r="AC504" i="56"/>
  <c r="AB504" i="56"/>
  <c r="X504" i="56"/>
  <c r="AD503" i="56"/>
  <c r="AC503" i="56"/>
  <c r="AB503" i="56"/>
  <c r="X503" i="56"/>
  <c r="AD502" i="56"/>
  <c r="AC502" i="56"/>
  <c r="AB502" i="56"/>
  <c r="X502" i="56"/>
  <c r="AD501" i="56"/>
  <c r="AC501" i="56"/>
  <c r="AB501" i="56"/>
  <c r="X501" i="56"/>
  <c r="AD500" i="56"/>
  <c r="AC500" i="56"/>
  <c r="AB500" i="56"/>
  <c r="X500" i="56"/>
  <c r="AD499" i="56"/>
  <c r="AC499" i="56"/>
  <c r="AB499" i="56"/>
  <c r="X499" i="56"/>
  <c r="AD498" i="56"/>
  <c r="AC498" i="56"/>
  <c r="AB498" i="56"/>
  <c r="X498" i="56"/>
  <c r="AD497" i="56"/>
  <c r="AC497" i="56"/>
  <c r="AB497" i="56"/>
  <c r="X497" i="56"/>
  <c r="AD496" i="56"/>
  <c r="AC496" i="56"/>
  <c r="AB496" i="56"/>
  <c r="X496" i="56"/>
  <c r="AD495" i="56"/>
  <c r="AC495" i="56"/>
  <c r="AB495" i="56"/>
  <c r="X495" i="56"/>
  <c r="AD494" i="56"/>
  <c r="AC494" i="56"/>
  <c r="AB494" i="56"/>
  <c r="X494" i="56"/>
  <c r="AD493" i="56"/>
  <c r="AC493" i="56"/>
  <c r="AB493" i="56"/>
  <c r="X493" i="56"/>
  <c r="AD492" i="56"/>
  <c r="AC492" i="56"/>
  <c r="AB492" i="56"/>
  <c r="X492" i="56"/>
  <c r="AD491" i="56"/>
  <c r="AC491" i="56"/>
  <c r="AB491" i="56"/>
  <c r="X491" i="56"/>
  <c r="AD490" i="56"/>
  <c r="AC490" i="56"/>
  <c r="AB490" i="56"/>
  <c r="X490" i="56"/>
  <c r="AD489" i="56"/>
  <c r="AC489" i="56"/>
  <c r="AB489" i="56"/>
  <c r="X489" i="56"/>
  <c r="AD488" i="56"/>
  <c r="AC488" i="56"/>
  <c r="AB488" i="56"/>
  <c r="X488" i="56"/>
  <c r="AD487" i="56"/>
  <c r="AC487" i="56"/>
  <c r="AB487" i="56"/>
  <c r="X487" i="56"/>
  <c r="AD486" i="56"/>
  <c r="AC486" i="56"/>
  <c r="AB486" i="56"/>
  <c r="X486" i="56"/>
  <c r="AD485" i="56"/>
  <c r="AC485" i="56"/>
  <c r="AB485" i="56"/>
  <c r="X485" i="56"/>
  <c r="AD484" i="56"/>
  <c r="AC484" i="56"/>
  <c r="AB484" i="56"/>
  <c r="X484" i="56"/>
  <c r="AD483" i="56"/>
  <c r="AC483" i="56"/>
  <c r="AB483" i="56"/>
  <c r="X483" i="56"/>
  <c r="AD482" i="56"/>
  <c r="AC482" i="56"/>
  <c r="AB482" i="56"/>
  <c r="X482" i="56"/>
  <c r="AD481" i="56"/>
  <c r="AC481" i="56"/>
  <c r="AB481" i="56"/>
  <c r="X481" i="56"/>
  <c r="AD480" i="56"/>
  <c r="AC480" i="56"/>
  <c r="AB480" i="56"/>
  <c r="X480" i="56"/>
  <c r="AD479" i="56"/>
  <c r="AC479" i="56"/>
  <c r="AB479" i="56"/>
  <c r="X479" i="56"/>
  <c r="AD478" i="56"/>
  <c r="AC478" i="56"/>
  <c r="AB478" i="56"/>
  <c r="X478" i="56"/>
  <c r="AD477" i="56"/>
  <c r="AC477" i="56"/>
  <c r="AB477" i="56"/>
  <c r="X477" i="56"/>
  <c r="AD476" i="56"/>
  <c r="AC476" i="56"/>
  <c r="AB476" i="56"/>
  <c r="X476" i="56"/>
  <c r="AD475" i="56"/>
  <c r="AC475" i="56"/>
  <c r="AB475" i="56"/>
  <c r="X475" i="56"/>
  <c r="AD474" i="56"/>
  <c r="AC474" i="56"/>
  <c r="AB474" i="56"/>
  <c r="X474" i="56"/>
  <c r="AD473" i="56"/>
  <c r="AC473" i="56"/>
  <c r="AB473" i="56"/>
  <c r="X473" i="56"/>
  <c r="AD472" i="56"/>
  <c r="AC472" i="56"/>
  <c r="AB472" i="56"/>
  <c r="X472" i="56"/>
  <c r="AD471" i="56"/>
  <c r="AC471" i="56"/>
  <c r="AB471" i="56"/>
  <c r="X471" i="56"/>
  <c r="AD470" i="56"/>
  <c r="AC470" i="56"/>
  <c r="AB470" i="56"/>
  <c r="X470" i="56"/>
  <c r="AD469" i="56"/>
  <c r="AC469" i="56"/>
  <c r="AB469" i="56"/>
  <c r="X469" i="56"/>
  <c r="AD468" i="56"/>
  <c r="AC468" i="56"/>
  <c r="AB468" i="56"/>
  <c r="X468" i="56"/>
  <c r="AD467" i="56"/>
  <c r="AC467" i="56"/>
  <c r="AB467" i="56"/>
  <c r="X467" i="56"/>
  <c r="AD466" i="56"/>
  <c r="AC466" i="56"/>
  <c r="AB466" i="56"/>
  <c r="X466" i="56"/>
  <c r="AD465" i="56"/>
  <c r="AC465" i="56"/>
  <c r="AB465" i="56"/>
  <c r="X465" i="56"/>
  <c r="AD464" i="56"/>
  <c r="AC464" i="56"/>
  <c r="AB464" i="56"/>
  <c r="X464" i="56"/>
  <c r="AD463" i="56"/>
  <c r="AC463" i="56"/>
  <c r="AB463" i="56"/>
  <c r="X463" i="56"/>
  <c r="AD462" i="56"/>
  <c r="AC462" i="56"/>
  <c r="AB462" i="56"/>
  <c r="X462" i="56"/>
  <c r="AD461" i="56"/>
  <c r="AC461" i="56"/>
  <c r="AB461" i="56"/>
  <c r="X461" i="56"/>
  <c r="AD460" i="56"/>
  <c r="AC460" i="56"/>
  <c r="AB460" i="56"/>
  <c r="X460" i="56"/>
  <c r="AD459" i="56"/>
  <c r="AC459" i="56"/>
  <c r="AB459" i="56"/>
  <c r="X459" i="56"/>
  <c r="AD458" i="56"/>
  <c r="AC458" i="56"/>
  <c r="AB458" i="56"/>
  <c r="X458" i="56"/>
  <c r="AD457" i="56"/>
  <c r="AC457" i="56"/>
  <c r="AB457" i="56"/>
  <c r="X457" i="56"/>
  <c r="AD456" i="56"/>
  <c r="AC456" i="56"/>
  <c r="AB456" i="56"/>
  <c r="X456" i="56"/>
  <c r="AD455" i="56"/>
  <c r="AC455" i="56"/>
  <c r="AB455" i="56"/>
  <c r="X455" i="56"/>
  <c r="AD454" i="56"/>
  <c r="AC454" i="56"/>
  <c r="AB454" i="56"/>
  <c r="X454" i="56"/>
  <c r="AD453" i="56"/>
  <c r="AC453" i="56"/>
  <c r="AB453" i="56"/>
  <c r="X453" i="56"/>
  <c r="AD452" i="56"/>
  <c r="AC452" i="56"/>
  <c r="AB452" i="56"/>
  <c r="X452" i="56"/>
  <c r="AD451" i="56"/>
  <c r="AC451" i="56"/>
  <c r="AB451" i="56"/>
  <c r="X451" i="56"/>
  <c r="AD450" i="56"/>
  <c r="AC450" i="56"/>
  <c r="AB450" i="56"/>
  <c r="X450" i="56"/>
  <c r="AD449" i="56"/>
  <c r="AC449" i="56"/>
  <c r="AB449" i="56"/>
  <c r="X449" i="56"/>
  <c r="AD448" i="56"/>
  <c r="AC448" i="56"/>
  <c r="AB448" i="56"/>
  <c r="X448" i="56"/>
  <c r="AD447" i="56"/>
  <c r="AC447" i="56"/>
  <c r="AB447" i="56"/>
  <c r="X447" i="56"/>
  <c r="AD446" i="56"/>
  <c r="AC446" i="56"/>
  <c r="AB446" i="56"/>
  <c r="X446" i="56"/>
  <c r="AD445" i="56"/>
  <c r="AC445" i="56"/>
  <c r="AB445" i="56"/>
  <c r="X445" i="56"/>
  <c r="AD444" i="56"/>
  <c r="AC444" i="56"/>
  <c r="AB444" i="56"/>
  <c r="X444" i="56"/>
  <c r="AD443" i="56"/>
  <c r="AC443" i="56"/>
  <c r="AB443" i="56"/>
  <c r="X443" i="56"/>
  <c r="AD442" i="56"/>
  <c r="AC442" i="56"/>
  <c r="AB442" i="56"/>
  <c r="X442" i="56"/>
  <c r="AD441" i="56"/>
  <c r="AC441" i="56"/>
  <c r="AB441" i="56"/>
  <c r="X441" i="56"/>
  <c r="AD440" i="56"/>
  <c r="AC440" i="56"/>
  <c r="AB440" i="56"/>
  <c r="X440" i="56"/>
  <c r="AD439" i="56"/>
  <c r="AC439" i="56"/>
  <c r="AB439" i="56"/>
  <c r="X439" i="56"/>
  <c r="AD438" i="56"/>
  <c r="AC438" i="56"/>
  <c r="AB438" i="56"/>
  <c r="X438" i="56"/>
  <c r="AD437" i="56"/>
  <c r="AC437" i="56"/>
  <c r="AB437" i="56"/>
  <c r="X437" i="56"/>
  <c r="AD436" i="56"/>
  <c r="AC436" i="56"/>
  <c r="AB436" i="56"/>
  <c r="X436" i="56"/>
  <c r="AD435" i="56"/>
  <c r="AC435" i="56"/>
  <c r="AB435" i="56"/>
  <c r="X435" i="56"/>
  <c r="AD434" i="56"/>
  <c r="AC434" i="56"/>
  <c r="AB434" i="56"/>
  <c r="X434" i="56"/>
  <c r="AD433" i="56"/>
  <c r="AC433" i="56"/>
  <c r="AB433" i="56"/>
  <c r="X433" i="56"/>
  <c r="AD432" i="56"/>
  <c r="AC432" i="56"/>
  <c r="AB432" i="56"/>
  <c r="X432" i="56"/>
  <c r="AD431" i="56"/>
  <c r="AC431" i="56"/>
  <c r="AB431" i="56"/>
  <c r="X431" i="56"/>
  <c r="AD430" i="56"/>
  <c r="AC430" i="56"/>
  <c r="AB430" i="56"/>
  <c r="X430" i="56"/>
  <c r="AD429" i="56"/>
  <c r="AC429" i="56"/>
  <c r="AB429" i="56"/>
  <c r="X429" i="56"/>
  <c r="AD428" i="56"/>
  <c r="AC428" i="56"/>
  <c r="AB428" i="56"/>
  <c r="X428" i="56"/>
  <c r="AD427" i="56"/>
  <c r="AC427" i="56"/>
  <c r="AB427" i="56"/>
  <c r="X427" i="56"/>
  <c r="AD426" i="56"/>
  <c r="AC426" i="56"/>
  <c r="AB426" i="56"/>
  <c r="X426" i="56"/>
  <c r="AD425" i="56"/>
  <c r="AC425" i="56"/>
  <c r="AB425" i="56"/>
  <c r="X425" i="56"/>
  <c r="AD424" i="56"/>
  <c r="AC424" i="56"/>
  <c r="AB424" i="56"/>
  <c r="X424" i="56"/>
  <c r="AD423" i="56"/>
  <c r="AC423" i="56"/>
  <c r="AB423" i="56"/>
  <c r="X423" i="56"/>
  <c r="AD422" i="56"/>
  <c r="AC422" i="56"/>
  <c r="AB422" i="56"/>
  <c r="X422" i="56"/>
  <c r="AD421" i="56"/>
  <c r="AC421" i="56"/>
  <c r="AB421" i="56"/>
  <c r="X421" i="56"/>
  <c r="AD420" i="56"/>
  <c r="AC420" i="56"/>
  <c r="AB420" i="56"/>
  <c r="X420" i="56"/>
  <c r="AD419" i="56"/>
  <c r="AC419" i="56"/>
  <c r="AB419" i="56"/>
  <c r="X419" i="56"/>
  <c r="AD418" i="56"/>
  <c r="AC418" i="56"/>
  <c r="AB418" i="56"/>
  <c r="X418" i="56"/>
  <c r="AD417" i="56"/>
  <c r="AC417" i="56"/>
  <c r="AB417" i="56"/>
  <c r="X417" i="56"/>
  <c r="AD416" i="56"/>
  <c r="AC416" i="56"/>
  <c r="AB416" i="56"/>
  <c r="X416" i="56"/>
  <c r="AD415" i="56"/>
  <c r="AC415" i="56"/>
  <c r="AB415" i="56"/>
  <c r="X415" i="56"/>
  <c r="AD414" i="56"/>
  <c r="AC414" i="56"/>
  <c r="AB414" i="56"/>
  <c r="X414" i="56"/>
  <c r="AD413" i="56"/>
  <c r="AC413" i="56"/>
  <c r="AB413" i="56"/>
  <c r="X413" i="56"/>
  <c r="AD412" i="56"/>
  <c r="AC412" i="56"/>
  <c r="AB412" i="56"/>
  <c r="X412" i="56"/>
  <c r="AD411" i="56"/>
  <c r="AC411" i="56"/>
  <c r="AB411" i="56"/>
  <c r="X411" i="56"/>
  <c r="AD410" i="56"/>
  <c r="AC410" i="56"/>
  <c r="AB410" i="56"/>
  <c r="X410" i="56"/>
  <c r="AD409" i="56"/>
  <c r="AC409" i="56"/>
  <c r="AB409" i="56"/>
  <c r="X409" i="56"/>
  <c r="AD408" i="56"/>
  <c r="AC408" i="56"/>
  <c r="AB408" i="56"/>
  <c r="X408" i="56"/>
  <c r="AD407" i="56"/>
  <c r="AC407" i="56"/>
  <c r="AB407" i="56"/>
  <c r="X407" i="56"/>
  <c r="AD406" i="56"/>
  <c r="AC406" i="56"/>
  <c r="AB406" i="56"/>
  <c r="X406" i="56"/>
  <c r="AD405" i="56"/>
  <c r="AC405" i="56"/>
  <c r="AB405" i="56"/>
  <c r="X405" i="56"/>
  <c r="AD404" i="56"/>
  <c r="AC404" i="56"/>
  <c r="AB404" i="56"/>
  <c r="X404" i="56"/>
  <c r="AD403" i="56"/>
  <c r="AC403" i="56"/>
  <c r="AB403" i="56"/>
  <c r="X403" i="56"/>
  <c r="AD402" i="56"/>
  <c r="AC402" i="56"/>
  <c r="AB402" i="56"/>
  <c r="X402" i="56"/>
  <c r="AD401" i="56"/>
  <c r="AC401" i="56"/>
  <c r="AB401" i="56"/>
  <c r="X401" i="56"/>
  <c r="AD400" i="56"/>
  <c r="AC400" i="56"/>
  <c r="AB400" i="56"/>
  <c r="X400" i="56"/>
  <c r="AD399" i="56"/>
  <c r="AC399" i="56"/>
  <c r="AB399" i="56"/>
  <c r="X399" i="56"/>
  <c r="AD398" i="56"/>
  <c r="AC398" i="56"/>
  <c r="AB398" i="56"/>
  <c r="X398" i="56"/>
  <c r="AD397" i="56"/>
  <c r="AC397" i="56"/>
  <c r="AB397" i="56"/>
  <c r="X397" i="56"/>
  <c r="AD396" i="56"/>
  <c r="AC396" i="56"/>
  <c r="AB396" i="56"/>
  <c r="X396" i="56"/>
  <c r="AD395" i="56"/>
  <c r="AC395" i="56"/>
  <c r="AB395" i="56"/>
  <c r="X395" i="56"/>
  <c r="AD394" i="56"/>
  <c r="AC394" i="56"/>
  <c r="AB394" i="56"/>
  <c r="X394" i="56"/>
  <c r="AD393" i="56"/>
  <c r="AC393" i="56"/>
  <c r="AB393" i="56"/>
  <c r="X393" i="56"/>
  <c r="AD392" i="56"/>
  <c r="AC392" i="56"/>
  <c r="AB392" i="56"/>
  <c r="X392" i="56"/>
  <c r="AD391" i="56"/>
  <c r="AC391" i="56"/>
  <c r="AB391" i="56"/>
  <c r="X391" i="56"/>
  <c r="AD390" i="56"/>
  <c r="AC390" i="56"/>
  <c r="AB390" i="56"/>
  <c r="X390" i="56"/>
  <c r="AD389" i="56"/>
  <c r="AC389" i="56"/>
  <c r="AB389" i="56"/>
  <c r="X389" i="56"/>
  <c r="AD388" i="56"/>
  <c r="AC388" i="56"/>
  <c r="AB388" i="56"/>
  <c r="X388" i="56"/>
  <c r="AD387" i="56"/>
  <c r="AC387" i="56"/>
  <c r="AB387" i="56"/>
  <c r="X387" i="56"/>
  <c r="AD386" i="56"/>
  <c r="AC386" i="56"/>
  <c r="AB386" i="56"/>
  <c r="X386" i="56"/>
  <c r="AD385" i="56"/>
  <c r="AC385" i="56"/>
  <c r="AB385" i="56"/>
  <c r="X385" i="56"/>
  <c r="AD384" i="56"/>
  <c r="AC384" i="56"/>
  <c r="AB384" i="56"/>
  <c r="X384" i="56"/>
  <c r="AD383" i="56"/>
  <c r="AC383" i="56"/>
  <c r="AB383" i="56"/>
  <c r="X383" i="56"/>
  <c r="AD382" i="56"/>
  <c r="AC382" i="56"/>
  <c r="AB382" i="56"/>
  <c r="X382" i="56"/>
  <c r="AD381" i="56"/>
  <c r="AC381" i="56"/>
  <c r="AB381" i="56"/>
  <c r="X381" i="56"/>
  <c r="AD380" i="56"/>
  <c r="AC380" i="56"/>
  <c r="AB380" i="56"/>
  <c r="X380" i="56"/>
  <c r="AD379" i="56"/>
  <c r="AC379" i="56"/>
  <c r="AB379" i="56"/>
  <c r="X379" i="56"/>
  <c r="AD378" i="56"/>
  <c r="AC378" i="56"/>
  <c r="AB378" i="56"/>
  <c r="X378" i="56"/>
  <c r="AD377" i="56"/>
  <c r="AC377" i="56"/>
  <c r="AB377" i="56"/>
  <c r="X377" i="56"/>
  <c r="AD376" i="56"/>
  <c r="AC376" i="56"/>
  <c r="AB376" i="56"/>
  <c r="X376" i="56"/>
  <c r="AD375" i="56"/>
  <c r="AC375" i="56"/>
  <c r="AB375" i="56"/>
  <c r="X375" i="56"/>
  <c r="AD374" i="56"/>
  <c r="AC374" i="56"/>
  <c r="AB374" i="56"/>
  <c r="X374" i="56"/>
  <c r="AD373" i="56"/>
  <c r="AC373" i="56"/>
  <c r="AB373" i="56"/>
  <c r="X373" i="56"/>
  <c r="AD372" i="56"/>
  <c r="AC372" i="56"/>
  <c r="AB372" i="56"/>
  <c r="X372" i="56"/>
  <c r="AD371" i="56"/>
  <c r="AC371" i="56"/>
  <c r="AB371" i="56"/>
  <c r="X371" i="56"/>
  <c r="AD370" i="56"/>
  <c r="AC370" i="56"/>
  <c r="AB370" i="56"/>
  <c r="X370" i="56"/>
  <c r="AD369" i="56"/>
  <c r="AC369" i="56"/>
  <c r="AB369" i="56"/>
  <c r="X369" i="56"/>
  <c r="AD368" i="56"/>
  <c r="AC368" i="56"/>
  <c r="AB368" i="56"/>
  <c r="X368" i="56"/>
  <c r="AD367" i="56"/>
  <c r="AC367" i="56"/>
  <c r="AB367" i="56"/>
  <c r="X367" i="56"/>
  <c r="AD366" i="56"/>
  <c r="AC366" i="56"/>
  <c r="AB366" i="56"/>
  <c r="X366" i="56"/>
  <c r="AD365" i="56"/>
  <c r="AC365" i="56"/>
  <c r="AB365" i="56"/>
  <c r="X365" i="56"/>
  <c r="AD364" i="56"/>
  <c r="AC364" i="56"/>
  <c r="AB364" i="56"/>
  <c r="X364" i="56"/>
  <c r="AD363" i="56"/>
  <c r="AC363" i="56"/>
  <c r="AB363" i="56"/>
  <c r="X363" i="56"/>
  <c r="AD362" i="56"/>
  <c r="AC362" i="56"/>
  <c r="AB362" i="56"/>
  <c r="X362" i="56"/>
  <c r="AD361" i="56"/>
  <c r="AC361" i="56"/>
  <c r="AB361" i="56"/>
  <c r="X361" i="56"/>
  <c r="AD360" i="56"/>
  <c r="AC360" i="56"/>
  <c r="AB360" i="56"/>
  <c r="X360" i="56"/>
  <c r="AD359" i="56"/>
  <c r="AC359" i="56"/>
  <c r="AB359" i="56"/>
  <c r="X359" i="56"/>
  <c r="AD358" i="56"/>
  <c r="AC358" i="56"/>
  <c r="AB358" i="56"/>
  <c r="X358" i="56"/>
  <c r="AD357" i="56"/>
  <c r="AC357" i="56"/>
  <c r="AB357" i="56"/>
  <c r="X357" i="56"/>
  <c r="AD356" i="56"/>
  <c r="AC356" i="56"/>
  <c r="AB356" i="56"/>
  <c r="X356" i="56"/>
  <c r="AD355" i="56"/>
  <c r="AC355" i="56"/>
  <c r="AB355" i="56"/>
  <c r="X355" i="56"/>
  <c r="AD354" i="56"/>
  <c r="AC354" i="56"/>
  <c r="AB354" i="56"/>
  <c r="X354" i="56"/>
  <c r="AD353" i="56"/>
  <c r="AC353" i="56"/>
  <c r="AB353" i="56"/>
  <c r="X353" i="56"/>
  <c r="AD352" i="56"/>
  <c r="AC352" i="56"/>
  <c r="AB352" i="56"/>
  <c r="X352" i="56"/>
  <c r="AD351" i="56"/>
  <c r="AC351" i="56"/>
  <c r="AB351" i="56"/>
  <c r="X351" i="56"/>
  <c r="AD350" i="56"/>
  <c r="AC350" i="56"/>
  <c r="AB350" i="56"/>
  <c r="X350" i="56"/>
  <c r="AD349" i="56"/>
  <c r="AC349" i="56"/>
  <c r="AB349" i="56"/>
  <c r="X349" i="56"/>
  <c r="AD348" i="56"/>
  <c r="AC348" i="56"/>
  <c r="AB348" i="56"/>
  <c r="X348" i="56"/>
  <c r="AD347" i="56"/>
  <c r="AC347" i="56"/>
  <c r="AB347" i="56"/>
  <c r="X347" i="56"/>
  <c r="AD346" i="56"/>
  <c r="AC346" i="56"/>
  <c r="AB346" i="56"/>
  <c r="X346" i="56"/>
  <c r="AD345" i="56"/>
  <c r="AC345" i="56"/>
  <c r="AB345" i="56"/>
  <c r="X345" i="56"/>
  <c r="AD344" i="56"/>
  <c r="AC344" i="56"/>
  <c r="AB344" i="56"/>
  <c r="X344" i="56"/>
  <c r="AD343" i="56"/>
  <c r="AC343" i="56"/>
  <c r="AB343" i="56"/>
  <c r="X343" i="56"/>
  <c r="AD342" i="56"/>
  <c r="AC342" i="56"/>
  <c r="AB342" i="56"/>
  <c r="X342" i="56"/>
  <c r="AD341" i="56"/>
  <c r="AC341" i="56"/>
  <c r="AB341" i="56"/>
  <c r="X341" i="56"/>
  <c r="AD340" i="56"/>
  <c r="AC340" i="56"/>
  <c r="AB340" i="56"/>
  <c r="X340" i="56"/>
  <c r="AD339" i="56"/>
  <c r="AC339" i="56"/>
  <c r="AB339" i="56"/>
  <c r="X339" i="56"/>
  <c r="AD338" i="56"/>
  <c r="AC338" i="56"/>
  <c r="AB338" i="56"/>
  <c r="X338" i="56"/>
  <c r="AD337" i="56"/>
  <c r="AC337" i="56"/>
  <c r="AB337" i="56"/>
  <c r="X337" i="56"/>
  <c r="AD336" i="56"/>
  <c r="AC336" i="56"/>
  <c r="AB336" i="56"/>
  <c r="X336" i="56"/>
  <c r="AD335" i="56"/>
  <c r="AC335" i="56"/>
  <c r="AB335" i="56"/>
  <c r="X335" i="56"/>
  <c r="AD334" i="56"/>
  <c r="AC334" i="56"/>
  <c r="AB334" i="56"/>
  <c r="X334" i="56"/>
  <c r="AD333" i="56"/>
  <c r="AC333" i="56"/>
  <c r="AB333" i="56"/>
  <c r="X333" i="56"/>
  <c r="AD332" i="56"/>
  <c r="AC332" i="56"/>
  <c r="AB332" i="56"/>
  <c r="X332" i="56"/>
  <c r="AD331" i="56"/>
  <c r="AC331" i="56"/>
  <c r="AB331" i="56"/>
  <c r="X331" i="56"/>
  <c r="AD330" i="56"/>
  <c r="AC330" i="56"/>
  <c r="AB330" i="56"/>
  <c r="X330" i="56"/>
  <c r="AD329" i="56"/>
  <c r="AC329" i="56"/>
  <c r="AB329" i="56"/>
  <c r="X329" i="56"/>
  <c r="AD328" i="56"/>
  <c r="AC328" i="56"/>
  <c r="AB328" i="56"/>
  <c r="X328" i="56"/>
  <c r="AD327" i="56"/>
  <c r="AC327" i="56"/>
  <c r="AB327" i="56"/>
  <c r="X327" i="56"/>
  <c r="AD326" i="56"/>
  <c r="AC326" i="56"/>
  <c r="AB326" i="56"/>
  <c r="X326" i="56"/>
  <c r="AD325" i="56"/>
  <c r="AC325" i="56"/>
  <c r="AB325" i="56"/>
  <c r="X325" i="56"/>
  <c r="AD324" i="56"/>
  <c r="AC324" i="56"/>
  <c r="AB324" i="56"/>
  <c r="X324" i="56"/>
  <c r="AD323" i="56"/>
  <c r="AC323" i="56"/>
  <c r="AB323" i="56"/>
  <c r="X323" i="56"/>
  <c r="AD322" i="56"/>
  <c r="AC322" i="56"/>
  <c r="AB322" i="56"/>
  <c r="X322" i="56"/>
  <c r="AD321" i="56"/>
  <c r="AC321" i="56"/>
  <c r="AB321" i="56"/>
  <c r="X321" i="56"/>
  <c r="AD320" i="56"/>
  <c r="AC320" i="56"/>
  <c r="AB320" i="56"/>
  <c r="X320" i="56"/>
  <c r="AD319" i="56"/>
  <c r="AC319" i="56"/>
  <c r="AB319" i="56"/>
  <c r="X319" i="56"/>
  <c r="AD318" i="56"/>
  <c r="AC318" i="56"/>
  <c r="AB318" i="56"/>
  <c r="X318" i="56"/>
  <c r="AD317" i="56"/>
  <c r="AC317" i="56"/>
  <c r="AB317" i="56"/>
  <c r="X317" i="56"/>
  <c r="AD316" i="56"/>
  <c r="AC316" i="56"/>
  <c r="AB316" i="56"/>
  <c r="X316" i="56"/>
  <c r="AD315" i="56"/>
  <c r="AC315" i="56"/>
  <c r="AB315" i="56"/>
  <c r="X315" i="56"/>
  <c r="AD314" i="56"/>
  <c r="AC314" i="56"/>
  <c r="AB314" i="56"/>
  <c r="X314" i="56"/>
  <c r="AD313" i="56"/>
  <c r="AC313" i="56"/>
  <c r="AB313" i="56"/>
  <c r="X313" i="56"/>
  <c r="AD312" i="56"/>
  <c r="AC312" i="56"/>
  <c r="AB312" i="56"/>
  <c r="X312" i="56"/>
  <c r="AD311" i="56"/>
  <c r="AC311" i="56"/>
  <c r="AB311" i="56"/>
  <c r="X311" i="56"/>
  <c r="AD310" i="56"/>
  <c r="AC310" i="56"/>
  <c r="AB310" i="56"/>
  <c r="X310" i="56"/>
  <c r="AD309" i="56"/>
  <c r="AC309" i="56"/>
  <c r="AB309" i="56"/>
  <c r="X309" i="56"/>
  <c r="AD308" i="56"/>
  <c r="AC308" i="56"/>
  <c r="AB308" i="56"/>
  <c r="X308" i="56"/>
  <c r="AD307" i="56"/>
  <c r="AC307" i="56"/>
  <c r="AB307" i="56"/>
  <c r="X307" i="56"/>
  <c r="AD306" i="56"/>
  <c r="AC306" i="56"/>
  <c r="AB306" i="56"/>
  <c r="X306" i="56"/>
  <c r="AD305" i="56"/>
  <c r="AC305" i="56"/>
  <c r="AB305" i="56"/>
  <c r="X305" i="56"/>
  <c r="AD304" i="56"/>
  <c r="AC304" i="56"/>
  <c r="AB304" i="56"/>
  <c r="X304" i="56"/>
  <c r="AD303" i="56"/>
  <c r="AC303" i="56"/>
  <c r="AB303" i="56"/>
  <c r="X303" i="56"/>
  <c r="AD302" i="56"/>
  <c r="AC302" i="56"/>
  <c r="AB302" i="56"/>
  <c r="X302" i="56"/>
  <c r="AD301" i="56"/>
  <c r="AC301" i="56"/>
  <c r="AB301" i="56"/>
  <c r="X301" i="56"/>
  <c r="AD300" i="56"/>
  <c r="AC300" i="56"/>
  <c r="AB300" i="56"/>
  <c r="X300" i="56"/>
  <c r="AD299" i="56"/>
  <c r="AC299" i="56"/>
  <c r="AB299" i="56"/>
  <c r="X299" i="56"/>
  <c r="AD298" i="56"/>
  <c r="AC298" i="56"/>
  <c r="AB298" i="56"/>
  <c r="X298" i="56"/>
  <c r="AD297" i="56"/>
  <c r="AC297" i="56"/>
  <c r="AB297" i="56"/>
  <c r="X297" i="56"/>
  <c r="AD296" i="56"/>
  <c r="AC296" i="56"/>
  <c r="AB296" i="56"/>
  <c r="X296" i="56"/>
  <c r="AD295" i="56"/>
  <c r="AC295" i="56"/>
  <c r="AB295" i="56"/>
  <c r="X295" i="56"/>
  <c r="AD294" i="56"/>
  <c r="AC294" i="56"/>
  <c r="AB294" i="56"/>
  <c r="X294" i="56"/>
  <c r="AD293" i="56"/>
  <c r="AC293" i="56"/>
  <c r="AB293" i="56"/>
  <c r="X293" i="56"/>
  <c r="AD292" i="56"/>
  <c r="AC292" i="56"/>
  <c r="AB292" i="56"/>
  <c r="X292" i="56"/>
  <c r="AD291" i="56"/>
  <c r="AC291" i="56"/>
  <c r="AB291" i="56"/>
  <c r="X291" i="56"/>
  <c r="AD290" i="56"/>
  <c r="AC290" i="56"/>
  <c r="AB290" i="56"/>
  <c r="X290" i="56"/>
  <c r="AD289" i="56"/>
  <c r="AC289" i="56"/>
  <c r="AB289" i="56"/>
  <c r="X289" i="56"/>
  <c r="AD288" i="56"/>
  <c r="AC288" i="56"/>
  <c r="AB288" i="56"/>
  <c r="X288" i="56"/>
  <c r="AD287" i="56"/>
  <c r="AC287" i="56"/>
  <c r="AB287" i="56"/>
  <c r="X287" i="56"/>
  <c r="AD286" i="56"/>
  <c r="AC286" i="56"/>
  <c r="AB286" i="56"/>
  <c r="X286" i="56"/>
  <c r="AD285" i="56"/>
  <c r="AC285" i="56"/>
  <c r="AB285" i="56"/>
  <c r="X285" i="56"/>
  <c r="AD284" i="56"/>
  <c r="AC284" i="56"/>
  <c r="AB284" i="56"/>
  <c r="X284" i="56"/>
  <c r="AD283" i="56"/>
  <c r="AC283" i="56"/>
  <c r="AB283" i="56"/>
  <c r="X283" i="56"/>
  <c r="AD282" i="56"/>
  <c r="AC282" i="56"/>
  <c r="AB282" i="56"/>
  <c r="X282" i="56"/>
  <c r="AD281" i="56"/>
  <c r="AC281" i="56"/>
  <c r="AB281" i="56"/>
  <c r="X281" i="56"/>
  <c r="AD280" i="56"/>
  <c r="AC280" i="56"/>
  <c r="AB280" i="56"/>
  <c r="X280" i="56"/>
  <c r="AD279" i="56"/>
  <c r="AC279" i="56"/>
  <c r="AB279" i="56"/>
  <c r="X279" i="56"/>
  <c r="AD278" i="56"/>
  <c r="AC278" i="56"/>
  <c r="AB278" i="56"/>
  <c r="X278" i="56"/>
  <c r="AD277" i="56"/>
  <c r="AC277" i="56"/>
  <c r="AB277" i="56"/>
  <c r="X277" i="56"/>
  <c r="AD276" i="56"/>
  <c r="AC276" i="56"/>
  <c r="AB276" i="56"/>
  <c r="X276" i="56"/>
  <c r="AD275" i="56"/>
  <c r="AC275" i="56"/>
  <c r="AB275" i="56"/>
  <c r="X275" i="56"/>
  <c r="AD274" i="56"/>
  <c r="AC274" i="56"/>
  <c r="AB274" i="56"/>
  <c r="X274" i="56"/>
  <c r="AD273" i="56"/>
  <c r="AC273" i="56"/>
  <c r="AB273" i="56"/>
  <c r="X273" i="56"/>
  <c r="AD272" i="56"/>
  <c r="AC272" i="56"/>
  <c r="AB272" i="56"/>
  <c r="X272" i="56"/>
  <c r="AD271" i="56"/>
  <c r="AC271" i="56"/>
  <c r="AB271" i="56"/>
  <c r="X271" i="56"/>
  <c r="AD270" i="56"/>
  <c r="AC270" i="56"/>
  <c r="AB270" i="56"/>
  <c r="X270" i="56"/>
  <c r="AD269" i="56"/>
  <c r="AC269" i="56"/>
  <c r="AB269" i="56"/>
  <c r="X269" i="56"/>
  <c r="AD268" i="56"/>
  <c r="AC268" i="56"/>
  <c r="AB268" i="56"/>
  <c r="X268" i="56"/>
  <c r="AD267" i="56"/>
  <c r="AC267" i="56"/>
  <c r="AB267" i="56"/>
  <c r="X267" i="56"/>
  <c r="AD266" i="56"/>
  <c r="AC266" i="56"/>
  <c r="AB266" i="56"/>
  <c r="X266" i="56"/>
  <c r="AD265" i="56"/>
  <c r="AC265" i="56"/>
  <c r="AB265" i="56"/>
  <c r="X265" i="56"/>
  <c r="AD264" i="56"/>
  <c r="AC264" i="56"/>
  <c r="AB264" i="56"/>
  <c r="X264" i="56"/>
  <c r="AD263" i="56"/>
  <c r="AC263" i="56"/>
  <c r="AB263" i="56"/>
  <c r="X263" i="56"/>
  <c r="AD262" i="56"/>
  <c r="AC262" i="56"/>
  <c r="AB262" i="56"/>
  <c r="X262" i="56"/>
  <c r="AD261" i="56"/>
  <c r="AC261" i="56"/>
  <c r="AB261" i="56"/>
  <c r="X261" i="56"/>
  <c r="AD260" i="56"/>
  <c r="AC260" i="56"/>
  <c r="AB260" i="56"/>
  <c r="X260" i="56"/>
  <c r="AD259" i="56"/>
  <c r="AC259" i="56"/>
  <c r="AB259" i="56"/>
  <c r="X259" i="56"/>
  <c r="AD258" i="56"/>
  <c r="AC258" i="56"/>
  <c r="AB258" i="56"/>
  <c r="X258" i="56"/>
  <c r="AD257" i="56"/>
  <c r="AC257" i="56"/>
  <c r="AB257" i="56"/>
  <c r="X257" i="56"/>
  <c r="AD256" i="56"/>
  <c r="AC256" i="56"/>
  <c r="AB256" i="56"/>
  <c r="X256" i="56"/>
  <c r="AD255" i="56"/>
  <c r="AC255" i="56"/>
  <c r="AB255" i="56"/>
  <c r="X255" i="56"/>
  <c r="AD254" i="56"/>
  <c r="AC254" i="56"/>
  <c r="AB254" i="56"/>
  <c r="X254" i="56"/>
  <c r="AD253" i="56"/>
  <c r="AC253" i="56"/>
  <c r="AB253" i="56"/>
  <c r="X253" i="56"/>
  <c r="AD252" i="56"/>
  <c r="AC252" i="56"/>
  <c r="AB252" i="56"/>
  <c r="X252" i="56"/>
  <c r="AD251" i="56"/>
  <c r="AC251" i="56"/>
  <c r="AB251" i="56"/>
  <c r="X251" i="56"/>
  <c r="AD250" i="56"/>
  <c r="AC250" i="56"/>
  <c r="AB250" i="56"/>
  <c r="X250" i="56"/>
  <c r="AD249" i="56"/>
  <c r="AC249" i="56"/>
  <c r="AB249" i="56"/>
  <c r="X249" i="56"/>
  <c r="AD248" i="56"/>
  <c r="AC248" i="56"/>
  <c r="AB248" i="56"/>
  <c r="X248" i="56"/>
  <c r="AD247" i="56"/>
  <c r="AC247" i="56"/>
  <c r="AB247" i="56"/>
  <c r="X247" i="56"/>
  <c r="AD246" i="56"/>
  <c r="AC246" i="56"/>
  <c r="AB246" i="56"/>
  <c r="X246" i="56"/>
  <c r="AD245" i="56"/>
  <c r="AC245" i="56"/>
  <c r="AB245" i="56"/>
  <c r="X245" i="56"/>
  <c r="AD244" i="56"/>
  <c r="AC244" i="56"/>
  <c r="AB244" i="56"/>
  <c r="X244" i="56"/>
  <c r="AD243" i="56"/>
  <c r="AC243" i="56"/>
  <c r="AB243" i="56"/>
  <c r="X243" i="56"/>
  <c r="AD242" i="56"/>
  <c r="AC242" i="56"/>
  <c r="AB242" i="56"/>
  <c r="X242" i="56"/>
  <c r="AD241" i="56"/>
  <c r="AC241" i="56"/>
  <c r="AB241" i="56"/>
  <c r="X241" i="56"/>
  <c r="AD240" i="56"/>
  <c r="AC240" i="56"/>
  <c r="AB240" i="56"/>
  <c r="X240" i="56"/>
  <c r="AD239" i="56"/>
  <c r="AC239" i="56"/>
  <c r="AB239" i="56"/>
  <c r="X239" i="56"/>
  <c r="AD238" i="56"/>
  <c r="AC238" i="56"/>
  <c r="AB238" i="56"/>
  <c r="X238" i="56"/>
  <c r="AD237" i="56"/>
  <c r="AC237" i="56"/>
  <c r="AB237" i="56"/>
  <c r="X237" i="56"/>
  <c r="AD236" i="56"/>
  <c r="AC236" i="56"/>
  <c r="AB236" i="56"/>
  <c r="X236" i="56"/>
  <c r="AD235" i="56"/>
  <c r="AC235" i="56"/>
  <c r="AB235" i="56"/>
  <c r="X235" i="56"/>
  <c r="AD234" i="56"/>
  <c r="AC234" i="56"/>
  <c r="AB234" i="56"/>
  <c r="X234" i="56"/>
  <c r="AD233" i="56"/>
  <c r="AC233" i="56"/>
  <c r="AB233" i="56"/>
  <c r="X233" i="56"/>
  <c r="AD232" i="56"/>
  <c r="AC232" i="56"/>
  <c r="AB232" i="56"/>
  <c r="X232" i="56"/>
  <c r="AD231" i="56"/>
  <c r="AC231" i="56"/>
  <c r="AB231" i="56"/>
  <c r="X231" i="56"/>
  <c r="AD230" i="56"/>
  <c r="AC230" i="56"/>
  <c r="AB230" i="56"/>
  <c r="X230" i="56"/>
  <c r="AD229" i="56"/>
  <c r="AC229" i="56"/>
  <c r="AB229" i="56"/>
  <c r="X229" i="56"/>
  <c r="AD228" i="56"/>
  <c r="AC228" i="56"/>
  <c r="AB228" i="56"/>
  <c r="X228" i="56"/>
  <c r="AD227" i="56"/>
  <c r="AC227" i="56"/>
  <c r="AB227" i="56"/>
  <c r="X227" i="56"/>
  <c r="AD226" i="56"/>
  <c r="AC226" i="56"/>
  <c r="AB226" i="56"/>
  <c r="X226" i="56"/>
  <c r="AD225" i="56"/>
  <c r="AC225" i="56"/>
  <c r="AB225" i="56"/>
  <c r="X225" i="56"/>
  <c r="AD224" i="56"/>
  <c r="AC224" i="56"/>
  <c r="AB224" i="56"/>
  <c r="X224" i="56"/>
  <c r="AD223" i="56"/>
  <c r="AC223" i="56"/>
  <c r="AB223" i="56"/>
  <c r="X223" i="56"/>
  <c r="AD222" i="56"/>
  <c r="AC222" i="56"/>
  <c r="AB222" i="56"/>
  <c r="X222" i="56"/>
  <c r="AD221" i="56"/>
  <c r="AC221" i="56"/>
  <c r="AB221" i="56"/>
  <c r="X221" i="56"/>
  <c r="AD220" i="56"/>
  <c r="AC220" i="56"/>
  <c r="AB220" i="56"/>
  <c r="X220" i="56"/>
  <c r="AD219" i="56"/>
  <c r="AC219" i="56"/>
  <c r="AB219" i="56"/>
  <c r="X219" i="56"/>
  <c r="AD218" i="56"/>
  <c r="AC218" i="56"/>
  <c r="AB218" i="56"/>
  <c r="X218" i="56"/>
  <c r="AD217" i="56"/>
  <c r="AC217" i="56"/>
  <c r="AB217" i="56"/>
  <c r="X217" i="56"/>
  <c r="AD216" i="56"/>
  <c r="AC216" i="56"/>
  <c r="AB216" i="56"/>
  <c r="X216" i="56"/>
  <c r="AD215" i="56"/>
  <c r="AC215" i="56"/>
  <c r="AB215" i="56"/>
  <c r="X215" i="56"/>
  <c r="AD214" i="56"/>
  <c r="AC214" i="56"/>
  <c r="AB214" i="56"/>
  <c r="X214" i="56"/>
  <c r="AD213" i="56"/>
  <c r="AC213" i="56"/>
  <c r="AB213" i="56"/>
  <c r="X213" i="56"/>
  <c r="AD212" i="56"/>
  <c r="AC212" i="56"/>
  <c r="AB212" i="56"/>
  <c r="X212" i="56"/>
  <c r="AD211" i="56"/>
  <c r="AC211" i="56"/>
  <c r="AB211" i="56"/>
  <c r="X211" i="56"/>
  <c r="AD210" i="56"/>
  <c r="AC210" i="56"/>
  <c r="AB210" i="56"/>
  <c r="X210" i="56"/>
  <c r="AD209" i="56"/>
  <c r="AC209" i="56"/>
  <c r="AB209" i="56"/>
  <c r="X209" i="56"/>
  <c r="AD208" i="56"/>
  <c r="AC208" i="56"/>
  <c r="AB208" i="56"/>
  <c r="X208" i="56"/>
  <c r="AD207" i="56"/>
  <c r="AC207" i="56"/>
  <c r="AB207" i="56"/>
  <c r="X207" i="56"/>
  <c r="AD206" i="56"/>
  <c r="AC206" i="56"/>
  <c r="AB206" i="56"/>
  <c r="X206" i="56"/>
  <c r="AD205" i="56"/>
  <c r="AC205" i="56"/>
  <c r="AB205" i="56"/>
  <c r="X205" i="56"/>
  <c r="AD204" i="56"/>
  <c r="AC204" i="56"/>
  <c r="AB204" i="56"/>
  <c r="X204" i="56"/>
  <c r="AD203" i="56"/>
  <c r="AC203" i="56"/>
  <c r="AB203" i="56"/>
  <c r="X203" i="56"/>
  <c r="AD202" i="56"/>
  <c r="AC202" i="56"/>
  <c r="AB202" i="56"/>
  <c r="X202" i="56"/>
  <c r="AD201" i="56"/>
  <c r="AC201" i="56"/>
  <c r="AB201" i="56"/>
  <c r="X201" i="56"/>
  <c r="AD200" i="56"/>
  <c r="AC200" i="56"/>
  <c r="AB200" i="56"/>
  <c r="X200" i="56"/>
  <c r="AD199" i="56"/>
  <c r="AC199" i="56"/>
  <c r="AB199" i="56"/>
  <c r="X199" i="56"/>
  <c r="AD198" i="56"/>
  <c r="AC198" i="56"/>
  <c r="AB198" i="56"/>
  <c r="X198" i="56"/>
  <c r="AD197" i="56"/>
  <c r="AC197" i="56"/>
  <c r="AB197" i="56"/>
  <c r="X197" i="56"/>
  <c r="AD196" i="56"/>
  <c r="AC196" i="56"/>
  <c r="AB196" i="56"/>
  <c r="X196" i="56"/>
  <c r="AD195" i="56"/>
  <c r="AC195" i="56"/>
  <c r="AB195" i="56"/>
  <c r="X195" i="56"/>
  <c r="AD194" i="56"/>
  <c r="AC194" i="56"/>
  <c r="AB194" i="56"/>
  <c r="X194" i="56"/>
  <c r="AD193" i="56"/>
  <c r="AC193" i="56"/>
  <c r="AB193" i="56"/>
  <c r="X193" i="56"/>
  <c r="AD192" i="56"/>
  <c r="AC192" i="56"/>
  <c r="AB192" i="56"/>
  <c r="X192" i="56"/>
  <c r="AD191" i="56"/>
  <c r="AC191" i="56"/>
  <c r="AB191" i="56"/>
  <c r="X191" i="56"/>
  <c r="AD190" i="56"/>
  <c r="AC190" i="56"/>
  <c r="AB190" i="56"/>
  <c r="X190" i="56"/>
  <c r="AD189" i="56"/>
  <c r="AC189" i="56"/>
  <c r="AB189" i="56"/>
  <c r="X189" i="56"/>
  <c r="AD188" i="56"/>
  <c r="AC188" i="56"/>
  <c r="AB188" i="56"/>
  <c r="X188" i="56"/>
  <c r="AD187" i="56"/>
  <c r="AC187" i="56"/>
  <c r="AB187" i="56"/>
  <c r="X187" i="56"/>
  <c r="AD186" i="56"/>
  <c r="AC186" i="56"/>
  <c r="AB186" i="56"/>
  <c r="X186" i="56"/>
  <c r="AD185" i="56"/>
  <c r="AC185" i="56"/>
  <c r="AB185" i="56"/>
  <c r="X185" i="56"/>
  <c r="AD184" i="56"/>
  <c r="AC184" i="56"/>
  <c r="AB184" i="56"/>
  <c r="X184" i="56"/>
  <c r="AD183" i="56"/>
  <c r="AC183" i="56"/>
  <c r="AB183" i="56"/>
  <c r="X183" i="56"/>
  <c r="AD182" i="56"/>
  <c r="AC182" i="56"/>
  <c r="AB182" i="56"/>
  <c r="X182" i="56"/>
  <c r="AD181" i="56"/>
  <c r="AC181" i="56"/>
  <c r="AB181" i="56"/>
  <c r="X181" i="56"/>
  <c r="AD180" i="56"/>
  <c r="AC180" i="56"/>
  <c r="AB180" i="56"/>
  <c r="X180" i="56"/>
  <c r="AD179" i="56"/>
  <c r="AC179" i="56"/>
  <c r="AB179" i="56"/>
  <c r="X179" i="56"/>
  <c r="AD178" i="56"/>
  <c r="AC178" i="56"/>
  <c r="AB178" i="56"/>
  <c r="X178" i="56"/>
  <c r="AD177" i="56"/>
  <c r="AC177" i="56"/>
  <c r="AB177" i="56"/>
  <c r="X177" i="56"/>
  <c r="AD176" i="56"/>
  <c r="AC176" i="56"/>
  <c r="AB176" i="56"/>
  <c r="X176" i="56"/>
  <c r="AD175" i="56"/>
  <c r="AC175" i="56"/>
  <c r="AB175" i="56"/>
  <c r="X175" i="56"/>
  <c r="AD174" i="56"/>
  <c r="AC174" i="56"/>
  <c r="AB174" i="56"/>
  <c r="X174" i="56"/>
  <c r="AD173" i="56"/>
  <c r="AC173" i="56"/>
  <c r="AB173" i="56"/>
  <c r="X173" i="56"/>
  <c r="AD172" i="56"/>
  <c r="AC172" i="56"/>
  <c r="AB172" i="56"/>
  <c r="X172" i="56"/>
  <c r="AD171" i="56"/>
  <c r="AC171" i="56"/>
  <c r="AB171" i="56"/>
  <c r="X171" i="56"/>
  <c r="AD170" i="56"/>
  <c r="AC170" i="56"/>
  <c r="AB170" i="56"/>
  <c r="X170" i="56"/>
  <c r="AD169" i="56"/>
  <c r="AC169" i="56"/>
  <c r="AB169" i="56"/>
  <c r="X169" i="56"/>
  <c r="AD168" i="56"/>
  <c r="AC168" i="56"/>
  <c r="AB168" i="56"/>
  <c r="X168" i="56"/>
  <c r="AD167" i="56"/>
  <c r="AC167" i="56"/>
  <c r="AB167" i="56"/>
  <c r="X167" i="56"/>
  <c r="AD166" i="56"/>
  <c r="AC166" i="56"/>
  <c r="AB166" i="56"/>
  <c r="X166" i="56"/>
  <c r="AD165" i="56"/>
  <c r="AC165" i="56"/>
  <c r="AB165" i="56"/>
  <c r="X165" i="56"/>
  <c r="AD164" i="56"/>
  <c r="AC164" i="56"/>
  <c r="AB164" i="56"/>
  <c r="X164" i="56"/>
  <c r="AD163" i="56"/>
  <c r="AC163" i="56"/>
  <c r="AB163" i="56"/>
  <c r="X163" i="56"/>
  <c r="AD162" i="56"/>
  <c r="AC162" i="56"/>
  <c r="AB162" i="56"/>
  <c r="X162" i="56"/>
  <c r="AD161" i="56"/>
  <c r="AC161" i="56"/>
  <c r="AB161" i="56"/>
  <c r="X161" i="56"/>
  <c r="AD160" i="56"/>
  <c r="AC160" i="56"/>
  <c r="AB160" i="56"/>
  <c r="X160" i="56"/>
  <c r="AD159" i="56"/>
  <c r="AC159" i="56"/>
  <c r="AB159" i="56"/>
  <c r="X159" i="56"/>
  <c r="AD158" i="56"/>
  <c r="AC158" i="56"/>
  <c r="AB158" i="56"/>
  <c r="X158" i="56"/>
  <c r="AD157" i="56"/>
  <c r="AC157" i="56"/>
  <c r="AB157" i="56"/>
  <c r="X157" i="56"/>
  <c r="AD156" i="56"/>
  <c r="AC156" i="56"/>
  <c r="AB156" i="56"/>
  <c r="X156" i="56"/>
  <c r="AD155" i="56"/>
  <c r="AC155" i="56"/>
  <c r="AB155" i="56"/>
  <c r="X155" i="56"/>
  <c r="AD154" i="56"/>
  <c r="AC154" i="56"/>
  <c r="AB154" i="56"/>
  <c r="X154" i="56"/>
  <c r="AD153" i="56"/>
  <c r="AC153" i="56"/>
  <c r="AB153" i="56"/>
  <c r="X153" i="56"/>
  <c r="AD152" i="56"/>
  <c r="AC152" i="56"/>
  <c r="AB152" i="56"/>
  <c r="X152" i="56"/>
  <c r="AD151" i="56"/>
  <c r="AC151" i="56"/>
  <c r="AB151" i="56"/>
  <c r="X151" i="56"/>
  <c r="AD150" i="56"/>
  <c r="AC150" i="56"/>
  <c r="AB150" i="56"/>
  <c r="X150" i="56"/>
  <c r="AD149" i="56"/>
  <c r="AC149" i="56"/>
  <c r="AB149" i="56"/>
  <c r="X149" i="56"/>
  <c r="AD148" i="56"/>
  <c r="AC148" i="56"/>
  <c r="AB148" i="56"/>
  <c r="X148" i="56"/>
  <c r="AD147" i="56"/>
  <c r="AC147" i="56"/>
  <c r="AB147" i="56"/>
  <c r="X147" i="56"/>
  <c r="AD146" i="56"/>
  <c r="AC146" i="56"/>
  <c r="AB146" i="56"/>
  <c r="X146" i="56"/>
  <c r="AD145" i="56"/>
  <c r="AC145" i="56"/>
  <c r="AB145" i="56"/>
  <c r="X145" i="56"/>
  <c r="AD144" i="56"/>
  <c r="AC144" i="56"/>
  <c r="AB144" i="56"/>
  <c r="X144" i="56"/>
  <c r="AD143" i="56"/>
  <c r="AC143" i="56"/>
  <c r="AB143" i="56"/>
  <c r="X143" i="56"/>
  <c r="AD142" i="56"/>
  <c r="AC142" i="56"/>
  <c r="AB142" i="56"/>
  <c r="X142" i="56"/>
  <c r="AD141" i="56"/>
  <c r="AC141" i="56"/>
  <c r="AB141" i="56"/>
  <c r="X141" i="56"/>
  <c r="AD140" i="56"/>
  <c r="AC140" i="56"/>
  <c r="AB140" i="56"/>
  <c r="X140" i="56"/>
  <c r="AD139" i="56"/>
  <c r="AC139" i="56"/>
  <c r="AB139" i="56"/>
  <c r="X139" i="56"/>
  <c r="AD138" i="56"/>
  <c r="AC138" i="56"/>
  <c r="AB138" i="56"/>
  <c r="X138" i="56"/>
  <c r="AD137" i="56"/>
  <c r="AC137" i="56"/>
  <c r="AB137" i="56"/>
  <c r="X137" i="56"/>
  <c r="AD136" i="56"/>
  <c r="AC136" i="56"/>
  <c r="AB136" i="56"/>
  <c r="X136" i="56"/>
  <c r="AD135" i="56"/>
  <c r="AC135" i="56"/>
  <c r="AB135" i="56"/>
  <c r="X135" i="56"/>
  <c r="AD134" i="56"/>
  <c r="AC134" i="56"/>
  <c r="AB134" i="56"/>
  <c r="X134" i="56"/>
  <c r="AD133" i="56"/>
  <c r="AC133" i="56"/>
  <c r="AB133" i="56"/>
  <c r="X133" i="56"/>
  <c r="AD132" i="56"/>
  <c r="AC132" i="56"/>
  <c r="AB132" i="56"/>
  <c r="X132" i="56"/>
  <c r="AD131" i="56"/>
  <c r="AC131" i="56"/>
  <c r="AB131" i="56"/>
  <c r="X131" i="56"/>
  <c r="AD130" i="56"/>
  <c r="AC130" i="56"/>
  <c r="AB130" i="56"/>
  <c r="X130" i="56"/>
  <c r="AD129" i="56"/>
  <c r="AC129" i="56"/>
  <c r="AB129" i="56"/>
  <c r="X129" i="56"/>
  <c r="AD128" i="56"/>
  <c r="AC128" i="56"/>
  <c r="AB128" i="56"/>
  <c r="X128" i="56"/>
  <c r="AD127" i="56"/>
  <c r="AC127" i="56"/>
  <c r="AB127" i="56"/>
  <c r="X127" i="56"/>
  <c r="AD126" i="56"/>
  <c r="AC126" i="56"/>
  <c r="AB126" i="56"/>
  <c r="X126" i="56"/>
  <c r="AD125" i="56"/>
  <c r="AC125" i="56"/>
  <c r="AB125" i="56"/>
  <c r="X125" i="56"/>
  <c r="AD124" i="56"/>
  <c r="AC124" i="56"/>
  <c r="AB124" i="56"/>
  <c r="X124" i="56"/>
  <c r="AD123" i="56"/>
  <c r="AC123" i="56"/>
  <c r="AB123" i="56"/>
  <c r="X123" i="56"/>
  <c r="AD122" i="56"/>
  <c r="AC122" i="56"/>
  <c r="AB122" i="56"/>
  <c r="X122" i="56"/>
  <c r="AD121" i="56"/>
  <c r="AC121" i="56"/>
  <c r="AB121" i="56"/>
  <c r="X121" i="56"/>
  <c r="AD120" i="56"/>
  <c r="AC120" i="56"/>
  <c r="AB120" i="56"/>
  <c r="X120" i="56"/>
  <c r="AD119" i="56"/>
  <c r="AC119" i="56"/>
  <c r="AB119" i="56"/>
  <c r="X119" i="56"/>
  <c r="AD118" i="56"/>
  <c r="AC118" i="56"/>
  <c r="AB118" i="56"/>
  <c r="X118" i="56"/>
  <c r="AD117" i="56"/>
  <c r="AC117" i="56"/>
  <c r="AB117" i="56"/>
  <c r="X117" i="56"/>
  <c r="AD116" i="56"/>
  <c r="AC116" i="56"/>
  <c r="AB116" i="56"/>
  <c r="X116" i="56"/>
  <c r="AD115" i="56"/>
  <c r="AC115" i="56"/>
  <c r="AB115" i="56"/>
  <c r="X115" i="56"/>
  <c r="AD114" i="56"/>
  <c r="AC114" i="56"/>
  <c r="AB114" i="56"/>
  <c r="X114" i="56"/>
  <c r="AD113" i="56"/>
  <c r="AC113" i="56"/>
  <c r="AB113" i="56"/>
  <c r="X113" i="56"/>
  <c r="AD112" i="56"/>
  <c r="AC112" i="56"/>
  <c r="AB112" i="56"/>
  <c r="X112" i="56"/>
  <c r="AD111" i="56"/>
  <c r="AC111" i="56"/>
  <c r="AB111" i="56"/>
  <c r="X111" i="56"/>
  <c r="AD110" i="56"/>
  <c r="AC110" i="56"/>
  <c r="AB110" i="56"/>
  <c r="X110" i="56"/>
  <c r="AD109" i="56"/>
  <c r="AC109" i="56"/>
  <c r="AB109" i="56"/>
  <c r="X109" i="56"/>
  <c r="AD108" i="56"/>
  <c r="AC108" i="56"/>
  <c r="AB108" i="56"/>
  <c r="X108" i="56"/>
  <c r="AD107" i="56"/>
  <c r="AC107" i="56"/>
  <c r="AB107" i="56"/>
  <c r="X107" i="56"/>
  <c r="AD106" i="56"/>
  <c r="AC106" i="56"/>
  <c r="AB106" i="56"/>
  <c r="X106" i="56"/>
  <c r="AD105" i="56"/>
  <c r="AC105" i="56"/>
  <c r="AB105" i="56"/>
  <c r="X105" i="56"/>
  <c r="AD104" i="56"/>
  <c r="AC104" i="56"/>
  <c r="AB104" i="56"/>
  <c r="X104" i="56"/>
  <c r="AD103" i="56"/>
  <c r="AC103" i="56"/>
  <c r="AB103" i="56"/>
  <c r="X103" i="56"/>
  <c r="AD102" i="56"/>
  <c r="AC102" i="56"/>
  <c r="AB102" i="56"/>
  <c r="X102" i="56"/>
  <c r="AD101" i="56"/>
  <c r="AC101" i="56"/>
  <c r="AB101" i="56"/>
  <c r="X101" i="56"/>
  <c r="AD100" i="56"/>
  <c r="AC100" i="56"/>
  <c r="AB100" i="56"/>
  <c r="X100" i="56"/>
  <c r="AD99" i="56"/>
  <c r="AC99" i="56"/>
  <c r="AB99" i="56"/>
  <c r="X99" i="56"/>
  <c r="AD98" i="56"/>
  <c r="AC98" i="56"/>
  <c r="AB98" i="56"/>
  <c r="X98" i="56"/>
  <c r="AD97" i="56"/>
  <c r="AC97" i="56"/>
  <c r="AB97" i="56"/>
  <c r="X97" i="56"/>
  <c r="AD96" i="56"/>
  <c r="AC96" i="56"/>
  <c r="AB96" i="56"/>
  <c r="X96" i="56"/>
  <c r="AD95" i="56"/>
  <c r="AC95" i="56"/>
  <c r="AB95" i="56"/>
  <c r="X95" i="56"/>
  <c r="AD94" i="56"/>
  <c r="AC94" i="56"/>
  <c r="AB94" i="56"/>
  <c r="X94" i="56"/>
  <c r="AD93" i="56"/>
  <c r="AC93" i="56"/>
  <c r="AB93" i="56"/>
  <c r="X93" i="56"/>
  <c r="AD92" i="56"/>
  <c r="AC92" i="56"/>
  <c r="AB92" i="56"/>
  <c r="X92" i="56"/>
  <c r="AD91" i="56"/>
  <c r="AC91" i="56"/>
  <c r="AB91" i="56"/>
  <c r="X91" i="56"/>
  <c r="AD90" i="56"/>
  <c r="AC90" i="56"/>
  <c r="AB90" i="56"/>
  <c r="X90" i="56"/>
  <c r="AD89" i="56"/>
  <c r="AC89" i="56"/>
  <c r="AB89" i="56"/>
  <c r="X89" i="56"/>
  <c r="AD88" i="56"/>
  <c r="AC88" i="56"/>
  <c r="AB88" i="56"/>
  <c r="X88" i="56"/>
  <c r="AD87" i="56"/>
  <c r="AC87" i="56"/>
  <c r="AB87" i="56"/>
  <c r="X87" i="56"/>
  <c r="AD86" i="56"/>
  <c r="AC86" i="56"/>
  <c r="AB86" i="56"/>
  <c r="X86" i="56"/>
  <c r="AD85" i="56"/>
  <c r="AC85" i="56"/>
  <c r="AB85" i="56"/>
  <c r="X85" i="56"/>
  <c r="AD84" i="56"/>
  <c r="AC84" i="56"/>
  <c r="AB84" i="56"/>
  <c r="X84" i="56"/>
  <c r="AD83" i="56"/>
  <c r="AC83" i="56"/>
  <c r="AB83" i="56"/>
  <c r="X83" i="56"/>
  <c r="AD82" i="56"/>
  <c r="AC82" i="56"/>
  <c r="AB82" i="56"/>
  <c r="X82" i="56"/>
  <c r="AD81" i="56"/>
  <c r="AC81" i="56"/>
  <c r="AB81" i="56"/>
  <c r="X81" i="56"/>
  <c r="AD80" i="56"/>
  <c r="AC80" i="56"/>
  <c r="AB80" i="56"/>
  <c r="X80" i="56"/>
  <c r="AD79" i="56"/>
  <c r="AC79" i="56"/>
  <c r="AB79" i="56"/>
  <c r="X79" i="56"/>
  <c r="AD78" i="56"/>
  <c r="AC78" i="56"/>
  <c r="AB78" i="56"/>
  <c r="X78" i="56"/>
  <c r="AD77" i="56"/>
  <c r="AC77" i="56"/>
  <c r="AB77" i="56"/>
  <c r="X77" i="56"/>
  <c r="AD76" i="56"/>
  <c r="AC76" i="56"/>
  <c r="AB76" i="56"/>
  <c r="X76" i="56"/>
  <c r="AD75" i="56"/>
  <c r="AC75" i="56"/>
  <c r="AB75" i="56"/>
  <c r="X75" i="56"/>
  <c r="AD74" i="56"/>
  <c r="AC74" i="56"/>
  <c r="AB74" i="56"/>
  <c r="X74" i="56"/>
  <c r="AD73" i="56"/>
  <c r="AC73" i="56"/>
  <c r="AB73" i="56"/>
  <c r="X73" i="56"/>
  <c r="AD72" i="56"/>
  <c r="AC72" i="56"/>
  <c r="AB72" i="56"/>
  <c r="X72" i="56"/>
  <c r="AD71" i="56"/>
  <c r="AC71" i="56"/>
  <c r="AB71" i="56"/>
  <c r="X71" i="56"/>
  <c r="AD70" i="56"/>
  <c r="AC70" i="56"/>
  <c r="AB70" i="56"/>
  <c r="X70" i="56"/>
  <c r="AD69" i="56"/>
  <c r="AC69" i="56"/>
  <c r="AB69" i="56"/>
  <c r="X69" i="56"/>
  <c r="AD68" i="56"/>
  <c r="AC68" i="56"/>
  <c r="AB68" i="56"/>
  <c r="X68" i="56"/>
  <c r="AD67" i="56"/>
  <c r="AC67" i="56"/>
  <c r="AB67" i="56"/>
  <c r="X67" i="56"/>
  <c r="AD66" i="56"/>
  <c r="AC66" i="56"/>
  <c r="AB66" i="56"/>
  <c r="X66" i="56"/>
  <c r="AD65" i="56"/>
  <c r="AC65" i="56"/>
  <c r="AB65" i="56"/>
  <c r="X65" i="56"/>
  <c r="AD64" i="56"/>
  <c r="AC64" i="56"/>
  <c r="AB64" i="56"/>
  <c r="X64" i="56"/>
  <c r="AD63" i="56"/>
  <c r="AC63" i="56"/>
  <c r="AB63" i="56"/>
  <c r="X63" i="56"/>
  <c r="AD62" i="56"/>
  <c r="AC62" i="56"/>
  <c r="AB62" i="56"/>
  <c r="X62" i="56"/>
  <c r="AD61" i="56"/>
  <c r="AC61" i="56"/>
  <c r="AB61" i="56"/>
  <c r="X61" i="56"/>
  <c r="AD60" i="56"/>
  <c r="AC60" i="56"/>
  <c r="AB60" i="56"/>
  <c r="X60" i="56"/>
  <c r="AD59" i="56"/>
  <c r="AC59" i="56"/>
  <c r="AB59" i="56"/>
  <c r="X59" i="56"/>
  <c r="AD58" i="56"/>
  <c r="AC58" i="56"/>
  <c r="AB58" i="56"/>
  <c r="X58" i="56"/>
  <c r="AD57" i="56"/>
  <c r="AC57" i="56"/>
  <c r="AB57" i="56"/>
  <c r="X57" i="56"/>
  <c r="AD56" i="56"/>
  <c r="AC56" i="56"/>
  <c r="AB56" i="56"/>
  <c r="X56" i="56"/>
  <c r="AD55" i="56"/>
  <c r="AC55" i="56"/>
  <c r="AB55" i="56"/>
  <c r="X55" i="56"/>
  <c r="AD54" i="56"/>
  <c r="AC54" i="56"/>
  <c r="AB54" i="56"/>
  <c r="X54" i="56"/>
  <c r="AD53" i="56"/>
  <c r="AC53" i="56"/>
  <c r="AB53" i="56"/>
  <c r="X53" i="56"/>
  <c r="AD52" i="56"/>
  <c r="AC52" i="56"/>
  <c r="AB52" i="56"/>
  <c r="X52" i="56"/>
  <c r="AD51" i="56"/>
  <c r="AC51" i="56"/>
  <c r="AB51" i="56"/>
  <c r="X51" i="56"/>
  <c r="AD50" i="56"/>
  <c r="AC50" i="56"/>
  <c r="AB50" i="56"/>
  <c r="X50" i="56"/>
  <c r="AD49" i="56"/>
  <c r="AC49" i="56"/>
  <c r="AB49" i="56"/>
  <c r="X49" i="56"/>
  <c r="AD48" i="56"/>
  <c r="AC48" i="56"/>
  <c r="AB48" i="56"/>
  <c r="X48" i="56"/>
  <c r="AD47" i="56"/>
  <c r="AC47" i="56"/>
  <c r="AB47" i="56"/>
  <c r="X47" i="56"/>
  <c r="AD46" i="56"/>
  <c r="AC46" i="56"/>
  <c r="AB46" i="56"/>
  <c r="X46" i="56"/>
  <c r="AD45" i="56"/>
  <c r="AC45" i="56"/>
  <c r="AB45" i="56"/>
  <c r="X45" i="56"/>
  <c r="AD44" i="56"/>
  <c r="AC44" i="56"/>
  <c r="AB44" i="56"/>
  <c r="X44" i="56"/>
  <c r="AD43" i="56"/>
  <c r="AC43" i="56"/>
  <c r="AB43" i="56"/>
  <c r="X43" i="56"/>
  <c r="AD42" i="56"/>
  <c r="AC42" i="56"/>
  <c r="AB42" i="56"/>
  <c r="X42" i="56"/>
  <c r="AD41" i="56"/>
  <c r="AC41" i="56"/>
  <c r="AB41" i="56"/>
  <c r="X41" i="56"/>
  <c r="AD40" i="56"/>
  <c r="AC40" i="56"/>
  <c r="AB40" i="56"/>
  <c r="X40" i="56"/>
  <c r="AD39" i="56"/>
  <c r="AC39" i="56"/>
  <c r="AB39" i="56"/>
  <c r="X39" i="56"/>
  <c r="AD38" i="56"/>
  <c r="AC38" i="56"/>
  <c r="AB38" i="56"/>
  <c r="X38" i="56"/>
  <c r="AD37" i="56"/>
  <c r="AC37" i="56"/>
  <c r="AB37" i="56"/>
  <c r="X37" i="56"/>
  <c r="AD36" i="56"/>
  <c r="AC36" i="56"/>
  <c r="AB36" i="56"/>
  <c r="X36" i="56"/>
  <c r="AD35" i="56"/>
  <c r="AC35" i="56"/>
  <c r="AB35" i="56"/>
  <c r="X35" i="56"/>
  <c r="AD34" i="56"/>
  <c r="AC34" i="56"/>
  <c r="AB34" i="56"/>
  <c r="X34" i="56"/>
  <c r="AD33" i="56"/>
  <c r="AC33" i="56"/>
  <c r="AB33" i="56"/>
  <c r="X33" i="56"/>
  <c r="AD32" i="56"/>
  <c r="AC32" i="56"/>
  <c r="AB32" i="56"/>
  <c r="X32" i="56"/>
  <c r="AD31" i="56"/>
  <c r="AC31" i="56"/>
  <c r="AB31" i="56"/>
  <c r="X31" i="56"/>
  <c r="AD30" i="56"/>
  <c r="AC30" i="56"/>
  <c r="AB30" i="56"/>
  <c r="X30" i="56"/>
  <c r="AD29" i="56"/>
  <c r="AC29" i="56"/>
  <c r="AB29" i="56"/>
  <c r="X29" i="56"/>
  <c r="AD28" i="56"/>
  <c r="AC28" i="56"/>
  <c r="AB28" i="56"/>
  <c r="X28" i="56"/>
  <c r="AD27" i="56"/>
  <c r="AC27" i="56"/>
  <c r="AB27" i="56"/>
  <c r="X27" i="56"/>
  <c r="AD26" i="56"/>
  <c r="AC26" i="56"/>
  <c r="AB26" i="56"/>
  <c r="X26" i="56"/>
  <c r="AD25" i="56"/>
  <c r="AC25" i="56"/>
  <c r="AB25" i="56"/>
  <c r="X25" i="56"/>
  <c r="AD24" i="56"/>
  <c r="AC24" i="56"/>
  <c r="AB24" i="56"/>
  <c r="X24" i="56"/>
  <c r="AD23" i="56"/>
  <c r="AC23" i="56"/>
  <c r="AB23" i="56"/>
  <c r="X23" i="56"/>
  <c r="AD22" i="56"/>
  <c r="AC22" i="56"/>
  <c r="AB22" i="56"/>
  <c r="X22" i="56"/>
  <c r="AD21" i="56"/>
  <c r="AC21" i="56"/>
  <c r="AB21" i="56"/>
  <c r="X21" i="56"/>
  <c r="AD20" i="56"/>
  <c r="AC20" i="56"/>
  <c r="AB20" i="56"/>
  <c r="X20" i="56"/>
  <c r="AD19" i="56"/>
  <c r="AC19" i="56"/>
  <c r="AB19" i="56"/>
  <c r="X19" i="56"/>
  <c r="AD18" i="56"/>
  <c r="AC18" i="56"/>
  <c r="AB18" i="56"/>
  <c r="X18" i="56"/>
  <c r="AD17" i="56"/>
  <c r="AC17" i="56"/>
  <c r="AB17" i="56"/>
  <c r="X17" i="56"/>
  <c r="AD16" i="56"/>
  <c r="AC16" i="56"/>
  <c r="AB16" i="56"/>
  <c r="X16" i="56"/>
  <c r="AD15" i="56"/>
  <c r="AC15" i="56"/>
  <c r="AB15" i="56"/>
  <c r="X15" i="56"/>
  <c r="AD14" i="56"/>
  <c r="AC14" i="56"/>
  <c r="AB14" i="56"/>
  <c r="X14" i="56"/>
  <c r="AD13" i="56"/>
  <c r="AC13" i="56"/>
  <c r="AB13" i="56"/>
  <c r="X13" i="56"/>
  <c r="AD12" i="56"/>
  <c r="AC12" i="56"/>
  <c r="AB12" i="56"/>
  <c r="X12" i="56"/>
  <c r="AD11" i="56"/>
  <c r="AC11" i="56"/>
  <c r="AB11" i="56"/>
  <c r="X11" i="56"/>
  <c r="AD10" i="56"/>
  <c r="AC10" i="56"/>
  <c r="AB10" i="56"/>
  <c r="X10" i="56"/>
  <c r="AD9" i="56"/>
  <c r="AC9" i="56"/>
  <c r="AB9" i="56"/>
  <c r="X9" i="56"/>
  <c r="AD8" i="56"/>
  <c r="AC8" i="56"/>
  <c r="AB8" i="56"/>
  <c r="X8" i="56"/>
  <c r="AD7" i="56"/>
  <c r="AC7" i="56"/>
  <c r="AB7" i="56"/>
  <c r="X7" i="56"/>
  <c r="AD6" i="56"/>
  <c r="AC6" i="56"/>
  <c r="AB6" i="56"/>
  <c r="X6" i="56"/>
  <c r="AD5" i="56"/>
  <c r="AC5" i="56"/>
  <c r="AB5" i="56"/>
  <c r="X5" i="56"/>
  <c r="AD4" i="56"/>
  <c r="AC4" i="56"/>
  <c r="AB4" i="56"/>
  <c r="X4" i="56"/>
  <c r="AD3" i="56"/>
  <c r="AC3" i="56"/>
  <c r="AB3" i="56"/>
  <c r="X3" i="56"/>
  <c r="AD2" i="56"/>
  <c r="AC2" i="56"/>
  <c r="AB2" i="56"/>
  <c r="X2" i="56"/>
  <c r="AE1" i="56"/>
  <c r="AB1" i="56"/>
  <c r="Y1" i="56"/>
  <c r="AB1626" i="7"/>
  <c r="AC1626" i="7"/>
  <c r="AD1626" i="7"/>
  <c r="AB1627" i="7"/>
  <c r="AC1627" i="7"/>
  <c r="AD1627" i="7"/>
  <c r="AB1628" i="7"/>
  <c r="AC1628" i="7"/>
  <c r="AD1628" i="7"/>
  <c r="AB1629" i="7"/>
  <c r="AC1629" i="7"/>
  <c r="AD1629" i="7"/>
  <c r="AB1630" i="7"/>
  <c r="AC1630" i="7"/>
  <c r="AD1630" i="7"/>
  <c r="AB1631" i="7"/>
  <c r="AC1631" i="7"/>
  <c r="AD1631" i="7"/>
  <c r="AB1632" i="7"/>
  <c r="AC1632" i="7"/>
  <c r="AD1632" i="7"/>
  <c r="AB1633" i="7"/>
  <c r="AC1633" i="7"/>
  <c r="AD1633" i="7"/>
  <c r="AB1634" i="7"/>
  <c r="AC1634" i="7"/>
  <c r="AD1634" i="7"/>
  <c r="AB1635" i="7"/>
  <c r="AC1635" i="7"/>
  <c r="AD1635" i="7"/>
  <c r="AB1636" i="7"/>
  <c r="AC1636" i="7"/>
  <c r="AD1636" i="7"/>
  <c r="AB1637" i="7"/>
  <c r="AC1637" i="7"/>
  <c r="AD1637" i="7"/>
  <c r="AB1638" i="7"/>
  <c r="AC1638" i="7"/>
  <c r="AD1638" i="7"/>
  <c r="AB1639" i="7"/>
  <c r="AC1639" i="7"/>
  <c r="AD1639" i="7"/>
  <c r="AB1640" i="7"/>
  <c r="AC1640" i="7"/>
  <c r="AD1640" i="7"/>
  <c r="AB1641" i="7"/>
  <c r="AC1641" i="7"/>
  <c r="AD1641" i="7"/>
  <c r="AB1642" i="7"/>
  <c r="AC1642" i="7"/>
  <c r="AD1642" i="7"/>
  <c r="AB1643" i="7"/>
  <c r="AC1643" i="7"/>
  <c r="AD1643" i="7"/>
  <c r="AB1644" i="7"/>
  <c r="AC1644" i="7"/>
  <c r="AD1644" i="7"/>
  <c r="AB1645" i="7"/>
  <c r="AC1645" i="7"/>
  <c r="AD1645" i="7"/>
  <c r="AB1646" i="7"/>
  <c r="AC1646" i="7"/>
  <c r="AD1646" i="7"/>
  <c r="AB1647" i="7"/>
  <c r="AC1647" i="7"/>
  <c r="AD1647" i="7"/>
  <c r="AB1648" i="7"/>
  <c r="AC1648" i="7"/>
  <c r="AD1648" i="7"/>
  <c r="AB1649" i="7"/>
  <c r="AC1649" i="7"/>
  <c r="AD1649" i="7"/>
  <c r="AB1650" i="7"/>
  <c r="AC1650" i="7"/>
  <c r="AD1650" i="7"/>
  <c r="AB1651" i="7"/>
  <c r="AC1651" i="7"/>
  <c r="AD1651" i="7"/>
  <c r="AB1652" i="7"/>
  <c r="AC1652" i="7"/>
  <c r="AD1652" i="7"/>
  <c r="AB1653" i="7"/>
  <c r="AC1653" i="7"/>
  <c r="AD1653" i="7"/>
  <c r="AB1654" i="7"/>
  <c r="AC1654" i="7"/>
  <c r="AD1654" i="7"/>
  <c r="AB1655" i="7"/>
  <c r="AC1655" i="7"/>
  <c r="AD1655" i="7"/>
  <c r="AB1656" i="7"/>
  <c r="AC1656" i="7"/>
  <c r="AD1656" i="7"/>
  <c r="AB1657" i="7"/>
  <c r="AC1657" i="7"/>
  <c r="AD1657" i="7"/>
  <c r="AB1658" i="7"/>
  <c r="AC1658" i="7"/>
  <c r="AD1658" i="7"/>
  <c r="AB1659" i="7"/>
  <c r="AC1659" i="7"/>
  <c r="AD1659" i="7"/>
  <c r="AB1660" i="7"/>
  <c r="AC1660" i="7"/>
  <c r="AD1660" i="7"/>
  <c r="AB1661" i="7"/>
  <c r="AC1661" i="7"/>
  <c r="AD1661" i="7"/>
  <c r="AB1662" i="7"/>
  <c r="AC1662" i="7"/>
  <c r="AD1662" i="7"/>
  <c r="AB1663" i="7"/>
  <c r="AC1663" i="7"/>
  <c r="AD1663" i="7"/>
  <c r="AB1664" i="7"/>
  <c r="AC1664" i="7"/>
  <c r="AD1664" i="7"/>
  <c r="AB1665" i="7"/>
  <c r="AC1665" i="7"/>
  <c r="AD1665" i="7"/>
  <c r="AB1666" i="7"/>
  <c r="AC1666" i="7"/>
  <c r="AD1666" i="7"/>
  <c r="AB1667" i="7"/>
  <c r="AC1667" i="7"/>
  <c r="AD1667" i="7"/>
  <c r="AB1668" i="7"/>
  <c r="AC1668" i="7"/>
  <c r="AD1668" i="7"/>
  <c r="AB1669" i="7"/>
  <c r="AC1669" i="7"/>
  <c r="AD1669" i="7"/>
  <c r="AB1670" i="7"/>
  <c r="AC1670" i="7"/>
  <c r="AD1670" i="7"/>
  <c r="AB1671" i="7"/>
  <c r="AC1671" i="7"/>
  <c r="AD1671" i="7"/>
  <c r="AB1672" i="7"/>
  <c r="AC1672" i="7"/>
  <c r="AD1672" i="7"/>
  <c r="AB1673" i="7"/>
  <c r="AC1673" i="7"/>
  <c r="AD1673" i="7"/>
  <c r="AB1674" i="7"/>
  <c r="AC1674" i="7"/>
  <c r="AD1674" i="7"/>
  <c r="AB1675" i="7"/>
  <c r="AC1675" i="7"/>
  <c r="AD1675" i="7"/>
  <c r="AB1676" i="7"/>
  <c r="AC1676" i="7"/>
  <c r="AD1676" i="7"/>
  <c r="AB1677" i="7"/>
  <c r="AC1677" i="7"/>
  <c r="AD1677" i="7"/>
  <c r="AB1678" i="7"/>
  <c r="AC1678" i="7"/>
  <c r="AD1678" i="7"/>
  <c r="AB1679" i="7"/>
  <c r="AC1679" i="7"/>
  <c r="AD1679" i="7"/>
  <c r="AB1680" i="7"/>
  <c r="AC1680" i="7"/>
  <c r="AD1680" i="7"/>
  <c r="AB1681" i="7"/>
  <c r="AC1681" i="7"/>
  <c r="AD1681" i="7"/>
  <c r="AB1682" i="7"/>
  <c r="AC1682" i="7"/>
  <c r="AD1682" i="7"/>
  <c r="AB1683" i="7"/>
  <c r="AC1683" i="7"/>
  <c r="AD1683" i="7"/>
  <c r="AB1684" i="7"/>
  <c r="AC1684" i="7"/>
  <c r="AD1684" i="7"/>
  <c r="AB1685" i="7"/>
  <c r="AC1685" i="7"/>
  <c r="AD1685" i="7"/>
  <c r="AB1686" i="7"/>
  <c r="AC1686" i="7"/>
  <c r="AD1686" i="7"/>
  <c r="AB1687" i="7"/>
  <c r="AC1687" i="7"/>
  <c r="AD1687" i="7"/>
  <c r="AB1688" i="7"/>
  <c r="AC1688" i="7"/>
  <c r="AD1688" i="7"/>
  <c r="AB1689" i="7"/>
  <c r="AC1689" i="7"/>
  <c r="AD1689" i="7"/>
  <c r="AB1690" i="7"/>
  <c r="AC1690" i="7"/>
  <c r="AD1690" i="7"/>
  <c r="AB1691" i="7"/>
  <c r="AC1691" i="7"/>
  <c r="AD1691" i="7"/>
  <c r="AB1692" i="7"/>
  <c r="AC1692" i="7"/>
  <c r="AD1692" i="7"/>
  <c r="AB1693" i="7"/>
  <c r="AC1693" i="7"/>
  <c r="AD1693" i="7"/>
  <c r="AB1694" i="7"/>
  <c r="AC1694" i="7"/>
  <c r="AD1694" i="7"/>
  <c r="AB1695" i="7"/>
  <c r="AC1695" i="7"/>
  <c r="AD1695" i="7"/>
  <c r="AB1696" i="7"/>
  <c r="AC1696" i="7"/>
  <c r="AD1696" i="7"/>
  <c r="AB1697" i="7"/>
  <c r="AC1697" i="7"/>
  <c r="AD1697" i="7"/>
  <c r="AB1698" i="7"/>
  <c r="AC1698" i="7"/>
  <c r="AD1698" i="7"/>
  <c r="AB1699" i="7"/>
  <c r="AC1699" i="7"/>
  <c r="AD1699" i="7"/>
  <c r="AB1700" i="7"/>
  <c r="AC1700" i="7"/>
  <c r="AD1700" i="7"/>
  <c r="AB1701" i="7"/>
  <c r="AC1701" i="7"/>
  <c r="AD1701" i="7"/>
  <c r="AB1702" i="7"/>
  <c r="AC1702" i="7"/>
  <c r="AD1702" i="7"/>
  <c r="AB1703" i="7"/>
  <c r="AC1703" i="7"/>
  <c r="AD1703" i="7"/>
  <c r="AB1704" i="7"/>
  <c r="AC1704" i="7"/>
  <c r="AD1704" i="7"/>
  <c r="AB1705" i="7"/>
  <c r="AC1705" i="7"/>
  <c r="AD1705" i="7"/>
  <c r="AB1706" i="7"/>
  <c r="AC1706" i="7"/>
  <c r="AD1706" i="7"/>
  <c r="AB1707" i="7"/>
  <c r="AC1707" i="7"/>
  <c r="AD1707" i="7"/>
  <c r="AB1708" i="7"/>
  <c r="AC1708" i="7"/>
  <c r="AD1708" i="7"/>
  <c r="AB1709" i="7"/>
  <c r="AC1709" i="7"/>
  <c r="AD1709" i="7"/>
  <c r="AB1710" i="7"/>
  <c r="AC1710" i="7"/>
  <c r="AD1710" i="7"/>
  <c r="AB1711" i="7"/>
  <c r="AC1711" i="7"/>
  <c r="AD1711" i="7"/>
  <c r="AB1712" i="7"/>
  <c r="AC1712" i="7"/>
  <c r="AD1712" i="7"/>
  <c r="AB1713" i="7"/>
  <c r="AC1713" i="7"/>
  <c r="AD1713" i="7"/>
  <c r="AB1714" i="7"/>
  <c r="AC1714" i="7"/>
  <c r="AD1714" i="7"/>
  <c r="AB1715" i="7"/>
  <c r="AC1715" i="7"/>
  <c r="AD1715" i="7"/>
  <c r="AB1716" i="7"/>
  <c r="AC1716" i="7"/>
  <c r="AD1716" i="7"/>
  <c r="AB1717" i="7"/>
  <c r="AC1717" i="7"/>
  <c r="AD1717" i="7"/>
  <c r="AB1718" i="7"/>
  <c r="AC1718" i="7"/>
  <c r="AD1718" i="7"/>
  <c r="AB1719" i="7"/>
  <c r="AC1719" i="7"/>
  <c r="AD1719" i="7"/>
  <c r="AB1720" i="7"/>
  <c r="AC1720" i="7"/>
  <c r="AD1720" i="7"/>
  <c r="AB1721" i="7"/>
  <c r="AC1721" i="7"/>
  <c r="AD1721" i="7"/>
  <c r="AB1722" i="7"/>
  <c r="AC1722" i="7"/>
  <c r="AD1722" i="7"/>
  <c r="AB1723" i="7"/>
  <c r="AC1723" i="7"/>
  <c r="AD1723" i="7"/>
  <c r="AB1724" i="7"/>
  <c r="AC1724" i="7"/>
  <c r="AD1724" i="7"/>
  <c r="AB1725" i="7"/>
  <c r="AC1725" i="7"/>
  <c r="AD1725" i="7"/>
  <c r="AB1726" i="7"/>
  <c r="AC1726" i="7"/>
  <c r="AD1726" i="7"/>
  <c r="AB1727" i="7"/>
  <c r="AC1727" i="7"/>
  <c r="AD1727" i="7"/>
  <c r="AB1728" i="7"/>
  <c r="AC1728" i="7"/>
  <c r="AD1728" i="7"/>
  <c r="AB1729" i="7"/>
  <c r="AC1729" i="7"/>
  <c r="AD1729" i="7"/>
  <c r="AB1730" i="7"/>
  <c r="AC1730" i="7"/>
  <c r="AD1730" i="7"/>
  <c r="AB1731" i="7"/>
  <c r="AC1731" i="7"/>
  <c r="AD1731" i="7"/>
  <c r="AB1732" i="7"/>
  <c r="AC1732" i="7"/>
  <c r="AD1732" i="7"/>
  <c r="AB1733" i="7"/>
  <c r="AC1733" i="7"/>
  <c r="AD1733" i="7"/>
  <c r="AB1734" i="7"/>
  <c r="AC1734" i="7"/>
  <c r="AD1734" i="7"/>
  <c r="AB1735" i="7"/>
  <c r="AC1735" i="7"/>
  <c r="AD1735" i="7"/>
  <c r="AB1736" i="7"/>
  <c r="AC1736" i="7"/>
  <c r="AD1736" i="7"/>
  <c r="AB1737" i="7"/>
  <c r="AC1737" i="7"/>
  <c r="AD1737" i="7"/>
  <c r="AB1738" i="7"/>
  <c r="AC1738" i="7"/>
  <c r="AD1738" i="7"/>
  <c r="AB1739" i="7"/>
  <c r="AC1739" i="7"/>
  <c r="AD1739" i="7"/>
  <c r="AB1740" i="7"/>
  <c r="AC1740" i="7"/>
  <c r="AD1740" i="7"/>
  <c r="AB1741" i="7"/>
  <c r="AC1741" i="7"/>
  <c r="AD1741" i="7"/>
  <c r="AB1742" i="7"/>
  <c r="AC1742" i="7"/>
  <c r="AD1742" i="7"/>
  <c r="AB1743" i="7"/>
  <c r="AC1743" i="7"/>
  <c r="AD1743" i="7"/>
  <c r="AB1744" i="7"/>
  <c r="AC1744" i="7"/>
  <c r="AD1744" i="7"/>
  <c r="AB1745" i="7"/>
  <c r="AC1745" i="7"/>
  <c r="AD1745" i="7"/>
  <c r="AB1746" i="7"/>
  <c r="AC1746" i="7"/>
  <c r="AD1746" i="7"/>
  <c r="AB1747" i="7"/>
  <c r="AC1747" i="7"/>
  <c r="AD1747" i="7"/>
  <c r="AB1748" i="7"/>
  <c r="AC1748" i="7"/>
  <c r="AD1748" i="7"/>
  <c r="AB1749" i="7"/>
  <c r="AC1749" i="7"/>
  <c r="AD1749" i="7"/>
  <c r="AB1750" i="7"/>
  <c r="AC1750" i="7"/>
  <c r="AD1750" i="7"/>
  <c r="X58" i="7"/>
  <c r="X59" i="7"/>
  <c r="X60" i="7"/>
  <c r="X61" i="7"/>
  <c r="X62" i="7"/>
  <c r="X63" i="7"/>
  <c r="X64" i="7"/>
  <c r="X65" i="7"/>
  <c r="X66" i="7"/>
  <c r="X67" i="7"/>
  <c r="X43" i="7"/>
  <c r="X44" i="7"/>
  <c r="X45" i="7"/>
  <c r="X42" i="7"/>
  <c r="X38" i="7"/>
  <c r="X39" i="7"/>
  <c r="X40" i="7"/>
  <c r="X41" i="7"/>
  <c r="X31" i="7"/>
  <c r="X32" i="7"/>
  <c r="X33" i="7"/>
  <c r="X34" i="7"/>
  <c r="X35" i="7"/>
  <c r="X36" i="7"/>
  <c r="X37" i="7"/>
  <c r="X30" i="7"/>
  <c r="X27" i="7"/>
  <c r="X28" i="7"/>
  <c r="X29" i="7"/>
  <c r="X26" i="7"/>
  <c r="X25" i="7"/>
  <c r="X18" i="7"/>
  <c r="X19" i="7"/>
  <c r="X20" i="7"/>
  <c r="X21" i="7"/>
  <c r="X22" i="7"/>
  <c r="X23" i="7"/>
  <c r="X24" i="7"/>
  <c r="X14" i="7"/>
  <c r="X15" i="7"/>
  <c r="X16" i="7"/>
  <c r="X17" i="7"/>
  <c r="X11" i="7"/>
  <c r="X12" i="7"/>
  <c r="X13" i="7"/>
  <c r="X10" i="7"/>
  <c r="X9" i="7"/>
  <c r="X8" i="7"/>
  <c r="X6" i="7"/>
  <c r="X7" i="7"/>
  <c r="X5" i="7"/>
  <c r="X4" i="7"/>
  <c r="X3" i="7"/>
  <c r="X2" i="7"/>
  <c r="X1748" i="7"/>
  <c r="X1749" i="7"/>
  <c r="X1750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56" i="7"/>
  <c r="X255" i="7"/>
  <c r="X249" i="7"/>
  <c r="X250" i="7"/>
  <c r="X251" i="7"/>
  <c r="X252" i="7"/>
  <c r="X253" i="7"/>
  <c r="X254" i="7"/>
  <c r="X248" i="7"/>
  <c r="X247" i="7"/>
  <c r="X246" i="7"/>
  <c r="X245" i="7"/>
  <c r="X244" i="7"/>
  <c r="X243" i="7"/>
  <c r="X234" i="7"/>
  <c r="X235" i="7"/>
  <c r="X236" i="7"/>
  <c r="X237" i="7"/>
  <c r="X238" i="7"/>
  <c r="X239" i="7"/>
  <c r="X240" i="7"/>
  <c r="X241" i="7"/>
  <c r="X242" i="7"/>
  <c r="X229" i="7"/>
  <c r="X230" i="7"/>
  <c r="X231" i="7"/>
  <c r="X232" i="7"/>
  <c r="X233" i="7"/>
  <c r="X227" i="7"/>
  <c r="X228" i="7"/>
  <c r="X226" i="7"/>
  <c r="X225" i="7"/>
  <c r="X224" i="7"/>
  <c r="X217" i="7"/>
  <c r="X218" i="7"/>
  <c r="X219" i="7"/>
  <c r="X220" i="7"/>
  <c r="X221" i="7"/>
  <c r="X222" i="7"/>
  <c r="X223" i="7"/>
  <c r="X216" i="7"/>
  <c r="X215" i="7"/>
  <c r="X214" i="7"/>
  <c r="X212" i="7"/>
  <c r="X213" i="7"/>
  <c r="X211" i="7"/>
  <c r="X210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170" i="7"/>
  <c r="X171" i="7"/>
  <c r="X172" i="7"/>
  <c r="X173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69" i="7"/>
  <c r="X68" i="7"/>
  <c r="X46" i="7"/>
  <c r="X47" i="7"/>
  <c r="X48" i="7"/>
  <c r="X49" i="7"/>
  <c r="X50" i="7"/>
  <c r="X51" i="7"/>
  <c r="X52" i="7"/>
  <c r="X53" i="7"/>
  <c r="X54" i="7"/>
  <c r="X55" i="7"/>
  <c r="X56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298" i="7"/>
  <c r="X299" i="7"/>
  <c r="X257" i="7"/>
  <c r="X258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58" i="7"/>
  <c r="X459" i="7"/>
  <c r="X449" i="7"/>
  <c r="X450" i="7"/>
  <c r="X451" i="7"/>
  <c r="X452" i="7"/>
  <c r="X453" i="7"/>
  <c r="X454" i="7"/>
  <c r="X455" i="7"/>
  <c r="X456" i="7"/>
  <c r="X457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40" i="7"/>
  <c r="X341" i="7"/>
  <c r="X342" i="7"/>
  <c r="X343" i="7"/>
  <c r="X344" i="7"/>
  <c r="X345" i="7"/>
  <c r="X346" i="7"/>
  <c r="X337" i="7"/>
  <c r="X338" i="7"/>
  <c r="X339" i="7"/>
  <c r="X331" i="7"/>
  <c r="X332" i="7"/>
  <c r="X333" i="7"/>
  <c r="X334" i="7"/>
  <c r="X335" i="7"/>
  <c r="X336" i="7"/>
  <c r="X322" i="7"/>
  <c r="X323" i="7"/>
  <c r="X324" i="7"/>
  <c r="X325" i="7"/>
  <c r="X326" i="7"/>
  <c r="X327" i="7"/>
  <c r="X328" i="7"/>
  <c r="X329" i="7"/>
  <c r="X330" i="7"/>
  <c r="X317" i="7"/>
  <c r="X318" i="7"/>
  <c r="X319" i="7"/>
  <c r="X320" i="7"/>
  <c r="X321" i="7"/>
  <c r="X314" i="7"/>
  <c r="X315" i="7"/>
  <c r="X316" i="7"/>
  <c r="X598" i="7"/>
  <c r="X599" i="7"/>
  <c r="X600" i="7"/>
  <c r="X601" i="7"/>
  <c r="X602" i="7"/>
  <c r="X603" i="7"/>
  <c r="X604" i="7"/>
  <c r="X605" i="7"/>
  <c r="X592" i="7"/>
  <c r="X593" i="7"/>
  <c r="X591" i="7"/>
  <c r="X590" i="7"/>
  <c r="X589" i="7"/>
  <c r="X587" i="7"/>
  <c r="X588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39" i="7"/>
  <c r="X540" i="7"/>
  <c r="X541" i="7"/>
  <c r="X542" i="7"/>
  <c r="X543" i="7"/>
  <c r="X544" i="7"/>
  <c r="X545" i="7"/>
  <c r="X546" i="7"/>
  <c r="X547" i="7"/>
  <c r="X548" i="7"/>
  <c r="X549" i="7"/>
  <c r="X530" i="7"/>
  <c r="X531" i="7"/>
  <c r="X532" i="7"/>
  <c r="X533" i="7"/>
  <c r="X534" i="7"/>
  <c r="X535" i="7"/>
  <c r="X536" i="7"/>
  <c r="X537" i="7"/>
  <c r="X538" i="7"/>
  <c r="X529" i="7"/>
  <c r="X528" i="7"/>
  <c r="X526" i="7"/>
  <c r="X527" i="7"/>
  <c r="X525" i="7"/>
  <c r="X524" i="7"/>
  <c r="X523" i="7"/>
  <c r="X522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597" i="7"/>
  <c r="X608" i="7"/>
  <c r="X607" i="7"/>
  <c r="X606" i="7"/>
  <c r="X594" i="7"/>
  <c r="X595" i="7"/>
  <c r="X596" i="7"/>
  <c r="X613" i="7"/>
  <c r="X612" i="7"/>
  <c r="X610" i="7"/>
  <c r="X611" i="7"/>
  <c r="X615" i="7"/>
  <c r="X609" i="7"/>
  <c r="X617" i="7"/>
  <c r="X614" i="7"/>
  <c r="X618" i="7"/>
  <c r="X616" i="7"/>
  <c r="X622" i="7"/>
  <c r="X621" i="7"/>
  <c r="X620" i="7"/>
  <c r="X623" i="7"/>
  <c r="X619" i="7"/>
  <c r="X1116" i="7"/>
  <c r="X1117" i="7"/>
  <c r="X1118" i="7"/>
  <c r="X1119" i="7"/>
  <c r="X1120" i="7"/>
  <c r="X1121" i="7"/>
  <c r="X1122" i="7"/>
  <c r="X1123" i="7"/>
  <c r="X1124" i="7"/>
  <c r="X1125" i="7"/>
  <c r="X869" i="7"/>
  <c r="X867" i="7"/>
  <c r="X868" i="7"/>
  <c r="X866" i="7"/>
  <c r="X863" i="7"/>
  <c r="X864" i="7"/>
  <c r="X865" i="7"/>
  <c r="X862" i="7"/>
  <c r="X859" i="7"/>
  <c r="X860" i="7"/>
  <c r="X861" i="7"/>
  <c r="X857" i="7"/>
  <c r="X858" i="7"/>
  <c r="X856" i="7"/>
  <c r="X855" i="7"/>
  <c r="X847" i="7"/>
  <c r="X848" i="7"/>
  <c r="X849" i="7"/>
  <c r="X850" i="7"/>
  <c r="X851" i="7"/>
  <c r="X852" i="7"/>
  <c r="X853" i="7"/>
  <c r="X854" i="7"/>
  <c r="X845" i="7"/>
  <c r="X846" i="7"/>
  <c r="X843" i="7"/>
  <c r="X844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669" i="7"/>
  <c r="X663" i="7"/>
  <c r="X664" i="7"/>
  <c r="X665" i="7"/>
  <c r="X666" i="7"/>
  <c r="X667" i="7"/>
  <c r="X668" i="7"/>
  <c r="X659" i="7"/>
  <c r="X660" i="7"/>
  <c r="X661" i="7"/>
  <c r="X662" i="7"/>
  <c r="X658" i="7"/>
  <c r="X657" i="7"/>
  <c r="X655" i="7"/>
  <c r="X656" i="7"/>
  <c r="X653" i="7"/>
  <c r="X654" i="7"/>
  <c r="X651" i="7"/>
  <c r="X652" i="7"/>
  <c r="X649" i="7"/>
  <c r="X650" i="7"/>
  <c r="X644" i="7"/>
  <c r="X645" i="7"/>
  <c r="X646" i="7"/>
  <c r="X647" i="7"/>
  <c r="X648" i="7"/>
  <c r="X642" i="7"/>
  <c r="X643" i="7"/>
  <c r="X641" i="7"/>
  <c r="X640" i="7"/>
  <c r="X639" i="7"/>
  <c r="X635" i="7"/>
  <c r="X636" i="7"/>
  <c r="X637" i="7"/>
  <c r="X638" i="7"/>
  <c r="X633" i="7"/>
  <c r="X634" i="7"/>
  <c r="X632" i="7"/>
  <c r="X631" i="7"/>
  <c r="X630" i="7"/>
  <c r="X629" i="7"/>
  <c r="X626" i="7"/>
  <c r="X627" i="7"/>
  <c r="X628" i="7"/>
  <c r="X625" i="7"/>
  <c r="X624" i="7"/>
  <c r="X1115" i="7"/>
  <c r="X1113" i="7"/>
  <c r="X1114" i="7"/>
  <c r="X1112" i="7"/>
  <c r="X1109" i="7"/>
  <c r="X1110" i="7"/>
  <c r="X1111" i="7"/>
  <c r="X1108" i="7"/>
  <c r="X1105" i="7"/>
  <c r="X1106" i="7"/>
  <c r="X1107" i="7"/>
  <c r="X1103" i="7"/>
  <c r="X1104" i="7"/>
  <c r="X1102" i="7"/>
  <c r="X1101" i="7"/>
  <c r="X1093" i="7"/>
  <c r="X1094" i="7"/>
  <c r="X1095" i="7"/>
  <c r="X1096" i="7"/>
  <c r="X1097" i="7"/>
  <c r="X1098" i="7"/>
  <c r="X1099" i="7"/>
  <c r="X1100" i="7"/>
  <c r="X1091" i="7"/>
  <c r="X1092" i="7"/>
  <c r="X1089" i="7"/>
  <c r="X1090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X1001" i="7"/>
  <c r="X1002" i="7"/>
  <c r="X1003" i="7"/>
  <c r="X1004" i="7"/>
  <c r="X1005" i="7"/>
  <c r="X1006" i="7"/>
  <c r="X1007" i="7"/>
  <c r="X1008" i="7"/>
  <c r="X1009" i="7"/>
  <c r="X1010" i="7"/>
  <c r="X1011" i="7"/>
  <c r="X1012" i="7"/>
  <c r="X1013" i="7"/>
  <c r="X1014" i="7"/>
  <c r="X1015" i="7"/>
  <c r="X1016" i="7"/>
  <c r="X1017" i="7"/>
  <c r="X1018" i="7"/>
  <c r="X1019" i="7"/>
  <c r="X1020" i="7"/>
  <c r="X1021" i="7"/>
  <c r="X1022" i="7"/>
  <c r="X1023" i="7"/>
  <c r="X1024" i="7"/>
  <c r="X1025" i="7"/>
  <c r="X1026" i="7"/>
  <c r="X1027" i="7"/>
  <c r="X1028" i="7"/>
  <c r="X1029" i="7"/>
  <c r="X1030" i="7"/>
  <c r="X1031" i="7"/>
  <c r="X1032" i="7"/>
  <c r="X1033" i="7"/>
  <c r="X1034" i="7"/>
  <c r="X1035" i="7"/>
  <c r="X1036" i="7"/>
  <c r="X1037" i="7"/>
  <c r="X1038" i="7"/>
  <c r="X1039" i="7"/>
  <c r="X1040" i="7"/>
  <c r="X1041" i="7"/>
  <c r="X1042" i="7"/>
  <c r="X1043" i="7"/>
  <c r="X1044" i="7"/>
  <c r="X1045" i="7"/>
  <c r="X1046" i="7"/>
  <c r="X1047" i="7"/>
  <c r="X1048" i="7"/>
  <c r="X1049" i="7"/>
  <c r="X1050" i="7"/>
  <c r="X1051" i="7"/>
  <c r="X1052" i="7"/>
  <c r="X1053" i="7"/>
  <c r="X1054" i="7"/>
  <c r="X1055" i="7"/>
  <c r="X1056" i="7"/>
  <c r="X1057" i="7"/>
  <c r="X1058" i="7"/>
  <c r="X1059" i="7"/>
  <c r="X1060" i="7"/>
  <c r="X1061" i="7"/>
  <c r="X1062" i="7"/>
  <c r="X1063" i="7"/>
  <c r="X1064" i="7"/>
  <c r="X1065" i="7"/>
  <c r="X1066" i="7"/>
  <c r="X1067" i="7"/>
  <c r="X1068" i="7"/>
  <c r="X1069" i="7"/>
  <c r="X1070" i="7"/>
  <c r="X1071" i="7"/>
  <c r="X1072" i="7"/>
  <c r="X1073" i="7"/>
  <c r="X1074" i="7"/>
  <c r="X1075" i="7"/>
  <c r="X1076" i="7"/>
  <c r="X1077" i="7"/>
  <c r="X1078" i="7"/>
  <c r="X1079" i="7"/>
  <c r="X1080" i="7"/>
  <c r="X1081" i="7"/>
  <c r="X1082" i="7"/>
  <c r="X1083" i="7"/>
  <c r="X1084" i="7"/>
  <c r="X1085" i="7"/>
  <c r="X1086" i="7"/>
  <c r="X1087" i="7"/>
  <c r="X1088" i="7"/>
  <c r="X915" i="7"/>
  <c r="X909" i="7"/>
  <c r="X910" i="7"/>
  <c r="X911" i="7"/>
  <c r="X912" i="7"/>
  <c r="X913" i="7"/>
  <c r="X914" i="7"/>
  <c r="X905" i="7"/>
  <c r="X906" i="7"/>
  <c r="X907" i="7"/>
  <c r="X908" i="7"/>
  <c r="X904" i="7"/>
  <c r="X903" i="7"/>
  <c r="X901" i="7"/>
  <c r="X902" i="7"/>
  <c r="X899" i="7"/>
  <c r="X900" i="7"/>
  <c r="X897" i="7"/>
  <c r="X898" i="7"/>
  <c r="X895" i="7"/>
  <c r="X896" i="7"/>
  <c r="X890" i="7"/>
  <c r="X891" i="7"/>
  <c r="X892" i="7"/>
  <c r="X893" i="7"/>
  <c r="X894" i="7"/>
  <c r="X888" i="7"/>
  <c r="X889" i="7"/>
  <c r="X887" i="7"/>
  <c r="X886" i="7"/>
  <c r="X885" i="7"/>
  <c r="X881" i="7"/>
  <c r="X882" i="7"/>
  <c r="X883" i="7"/>
  <c r="X884" i="7"/>
  <c r="X879" i="7"/>
  <c r="X880" i="7"/>
  <c r="X878" i="7"/>
  <c r="X877" i="7"/>
  <c r="X876" i="7"/>
  <c r="X875" i="7"/>
  <c r="X872" i="7"/>
  <c r="X873" i="7"/>
  <c r="X874" i="7"/>
  <c r="X871" i="7"/>
  <c r="X870" i="7"/>
  <c r="X1127" i="7"/>
  <c r="X1130" i="7"/>
  <c r="X1129" i="7"/>
  <c r="X1128" i="7"/>
  <c r="X1126" i="7"/>
  <c r="X1132" i="7"/>
  <c r="X1134" i="7"/>
  <c r="X1131" i="7"/>
  <c r="X1136" i="7"/>
  <c r="X1133" i="7"/>
  <c r="X1140" i="7"/>
  <c r="X1139" i="7"/>
  <c r="X1137" i="7"/>
  <c r="X1138" i="7"/>
  <c r="X1135" i="7"/>
  <c r="X1146" i="7"/>
  <c r="X1145" i="7"/>
  <c r="X1144" i="7"/>
  <c r="X1234" i="7"/>
  <c r="X1235" i="7"/>
  <c r="X1236" i="7"/>
  <c r="X1237" i="7"/>
  <c r="X1238" i="7"/>
  <c r="X1239" i="7"/>
  <c r="X1240" i="7"/>
  <c r="X1241" i="7"/>
  <c r="X1147" i="7"/>
  <c r="X1141" i="7"/>
  <c r="X1142" i="7"/>
  <c r="X1143" i="7"/>
  <c r="X1232" i="7"/>
  <c r="X1233" i="7"/>
  <c r="X1231" i="7"/>
  <c r="X1230" i="7"/>
  <c r="X1229" i="7"/>
  <c r="X1227" i="7"/>
  <c r="X1228" i="7"/>
  <c r="X1190" i="7"/>
  <c r="X1191" i="7"/>
  <c r="X1192" i="7"/>
  <c r="X1193" i="7"/>
  <c r="X1194" i="7"/>
  <c r="X1195" i="7"/>
  <c r="X1196" i="7"/>
  <c r="X1197" i="7"/>
  <c r="X1198" i="7"/>
  <c r="X1199" i="7"/>
  <c r="X1200" i="7"/>
  <c r="X1201" i="7"/>
  <c r="X1202" i="7"/>
  <c r="X1203" i="7"/>
  <c r="X1204" i="7"/>
  <c r="X1205" i="7"/>
  <c r="X1206" i="7"/>
  <c r="X1207" i="7"/>
  <c r="X1208" i="7"/>
  <c r="X1209" i="7"/>
  <c r="X1210" i="7"/>
  <c r="X1211" i="7"/>
  <c r="X1212" i="7"/>
  <c r="X1213" i="7"/>
  <c r="X1214" i="7"/>
  <c r="X1215" i="7"/>
  <c r="X1216" i="7"/>
  <c r="X1217" i="7"/>
  <c r="X1218" i="7"/>
  <c r="X1219" i="7"/>
  <c r="X1220" i="7"/>
  <c r="X1221" i="7"/>
  <c r="X1222" i="7"/>
  <c r="X1223" i="7"/>
  <c r="X1224" i="7"/>
  <c r="X1225" i="7"/>
  <c r="X1226" i="7"/>
  <c r="X1179" i="7"/>
  <c r="X1180" i="7"/>
  <c r="X1181" i="7"/>
  <c r="X1182" i="7"/>
  <c r="X1183" i="7"/>
  <c r="X1184" i="7"/>
  <c r="X1185" i="7"/>
  <c r="X1186" i="7"/>
  <c r="X1187" i="7"/>
  <c r="X1188" i="7"/>
  <c r="X1189" i="7"/>
  <c r="X1170" i="7"/>
  <c r="X1171" i="7"/>
  <c r="X1172" i="7"/>
  <c r="X1173" i="7"/>
  <c r="X1174" i="7"/>
  <c r="X1175" i="7"/>
  <c r="X1176" i="7"/>
  <c r="X1177" i="7"/>
  <c r="X1178" i="7"/>
  <c r="X1169" i="7"/>
  <c r="X1168" i="7"/>
  <c r="X1166" i="7"/>
  <c r="X1167" i="7"/>
  <c r="X1165" i="7"/>
  <c r="X1164" i="7"/>
  <c r="X1163" i="7"/>
  <c r="X1162" i="7"/>
  <c r="X1664" i="7"/>
  <c r="X1665" i="7"/>
  <c r="X1666" i="7"/>
  <c r="X1667" i="7"/>
  <c r="X1668" i="7"/>
  <c r="X1669" i="7"/>
  <c r="X1670" i="7"/>
  <c r="X1671" i="7"/>
  <c r="X1672" i="7"/>
  <c r="X1673" i="7"/>
  <c r="X1674" i="7"/>
  <c r="X1408" i="7"/>
  <c r="X1409" i="7"/>
  <c r="X1410" i="7"/>
  <c r="X1411" i="7"/>
  <c r="X1412" i="7"/>
  <c r="X1413" i="7"/>
  <c r="X1414" i="7"/>
  <c r="X1415" i="7"/>
  <c r="X1416" i="7"/>
  <c r="X1417" i="7"/>
  <c r="X1418" i="7"/>
  <c r="X1419" i="7"/>
  <c r="X1420" i="7"/>
  <c r="X1421" i="7"/>
  <c r="X1422" i="7"/>
  <c r="X1423" i="7"/>
  <c r="X1424" i="7"/>
  <c r="X1425" i="7"/>
  <c r="X1426" i="7"/>
  <c r="X1427" i="7"/>
  <c r="X1428" i="7"/>
  <c r="X1429" i="7"/>
  <c r="X1430" i="7"/>
  <c r="X1431" i="7"/>
  <c r="X1432" i="7"/>
  <c r="X1433" i="7"/>
  <c r="X1434" i="7"/>
  <c r="X1435" i="7"/>
  <c r="X1436" i="7"/>
  <c r="X1437" i="7"/>
  <c r="X1438" i="7"/>
  <c r="X1388" i="7"/>
  <c r="X1389" i="7"/>
  <c r="X1390" i="7"/>
  <c r="X1391" i="7"/>
  <c r="X1392" i="7"/>
  <c r="X1393" i="7"/>
  <c r="X1394" i="7"/>
  <c r="X1395" i="7"/>
  <c r="X1396" i="7"/>
  <c r="X1397" i="7"/>
  <c r="X1398" i="7"/>
  <c r="X1399" i="7"/>
  <c r="X1400" i="7"/>
  <c r="X1401" i="7"/>
  <c r="X1402" i="7"/>
  <c r="X1403" i="7"/>
  <c r="X1404" i="7"/>
  <c r="X1405" i="7"/>
  <c r="X1406" i="7"/>
  <c r="X1407" i="7"/>
  <c r="X1377" i="7"/>
  <c r="X1378" i="7"/>
  <c r="X1379" i="7"/>
  <c r="X1380" i="7"/>
  <c r="X1381" i="7"/>
  <c r="X1382" i="7"/>
  <c r="X1383" i="7"/>
  <c r="X1384" i="7"/>
  <c r="X1385" i="7"/>
  <c r="X1386" i="7"/>
  <c r="X1387" i="7"/>
  <c r="X1375" i="7"/>
  <c r="X1376" i="7"/>
  <c r="X1367" i="7"/>
  <c r="X1368" i="7"/>
  <c r="X1369" i="7"/>
  <c r="X1370" i="7"/>
  <c r="X1371" i="7"/>
  <c r="X1372" i="7"/>
  <c r="X1373" i="7"/>
  <c r="X1374" i="7"/>
  <c r="X1354" i="7"/>
  <c r="X1355" i="7"/>
  <c r="X1356" i="7"/>
  <c r="X1357" i="7"/>
  <c r="X1358" i="7"/>
  <c r="X1359" i="7"/>
  <c r="X1360" i="7"/>
  <c r="X1361" i="7"/>
  <c r="X1362" i="7"/>
  <c r="X1363" i="7"/>
  <c r="X1364" i="7"/>
  <c r="X1365" i="7"/>
  <c r="X1366" i="7"/>
  <c r="X1342" i="7"/>
  <c r="X1343" i="7"/>
  <c r="X1344" i="7"/>
  <c r="X1345" i="7"/>
  <c r="X1346" i="7"/>
  <c r="X1347" i="7"/>
  <c r="X1348" i="7"/>
  <c r="X1349" i="7"/>
  <c r="X1350" i="7"/>
  <c r="X1351" i="7"/>
  <c r="X1352" i="7"/>
  <c r="X1353" i="7"/>
  <c r="X1326" i="7"/>
  <c r="X1327" i="7"/>
  <c r="X1328" i="7"/>
  <c r="X1329" i="7"/>
  <c r="X1330" i="7"/>
  <c r="X1331" i="7"/>
  <c r="X1332" i="7"/>
  <c r="X1333" i="7"/>
  <c r="X1334" i="7"/>
  <c r="X1335" i="7"/>
  <c r="X1336" i="7"/>
  <c r="X1337" i="7"/>
  <c r="X1338" i="7"/>
  <c r="X1339" i="7"/>
  <c r="X1340" i="7"/>
  <c r="X1341" i="7"/>
  <c r="X1309" i="7"/>
  <c r="X1310" i="7"/>
  <c r="X1311" i="7"/>
  <c r="X1312" i="7"/>
  <c r="X1313" i="7"/>
  <c r="X1314" i="7"/>
  <c r="X1315" i="7"/>
  <c r="X1316" i="7"/>
  <c r="X1317" i="7"/>
  <c r="X1318" i="7"/>
  <c r="X1319" i="7"/>
  <c r="X1320" i="7"/>
  <c r="X1321" i="7"/>
  <c r="X1322" i="7"/>
  <c r="X1323" i="7"/>
  <c r="X1324" i="7"/>
  <c r="X1325" i="7"/>
  <c r="X1289" i="7"/>
  <c r="X1290" i="7"/>
  <c r="X1291" i="7"/>
  <c r="X1292" i="7"/>
  <c r="X1293" i="7"/>
  <c r="X1294" i="7"/>
  <c r="X1295" i="7"/>
  <c r="X1296" i="7"/>
  <c r="X1297" i="7"/>
  <c r="X1298" i="7"/>
  <c r="X1299" i="7"/>
  <c r="X1300" i="7"/>
  <c r="X1301" i="7"/>
  <c r="X1302" i="7"/>
  <c r="X1303" i="7"/>
  <c r="X1304" i="7"/>
  <c r="X1305" i="7"/>
  <c r="X1306" i="7"/>
  <c r="X1307" i="7"/>
  <c r="X1308" i="7"/>
  <c r="X1273" i="7"/>
  <c r="X1274" i="7"/>
  <c r="X1275" i="7"/>
  <c r="X1276" i="7"/>
  <c r="X1277" i="7"/>
  <c r="X1278" i="7"/>
  <c r="X1279" i="7"/>
  <c r="X1280" i="7"/>
  <c r="X1281" i="7"/>
  <c r="X1282" i="7"/>
  <c r="X1283" i="7"/>
  <c r="X1284" i="7"/>
  <c r="X1285" i="7"/>
  <c r="X1286" i="7"/>
  <c r="X1287" i="7"/>
  <c r="X1288" i="7"/>
  <c r="X1267" i="7"/>
  <c r="X1268" i="7"/>
  <c r="X1269" i="7"/>
  <c r="X1270" i="7"/>
  <c r="X1271" i="7"/>
  <c r="X1272" i="7"/>
  <c r="X1264" i="7"/>
  <c r="X1265" i="7"/>
  <c r="X1266" i="7"/>
  <c r="X1258" i="7"/>
  <c r="X1259" i="7"/>
  <c r="X1260" i="7"/>
  <c r="X1261" i="7"/>
  <c r="X1262" i="7"/>
  <c r="X1263" i="7"/>
  <c r="X1249" i="7"/>
  <c r="X1250" i="7"/>
  <c r="X1251" i="7"/>
  <c r="X1252" i="7"/>
  <c r="X1253" i="7"/>
  <c r="X1254" i="7"/>
  <c r="X1255" i="7"/>
  <c r="X1256" i="7"/>
  <c r="X1257" i="7"/>
  <c r="X1244" i="7"/>
  <c r="X1245" i="7"/>
  <c r="X1246" i="7"/>
  <c r="X1247" i="7"/>
  <c r="X1248" i="7"/>
  <c r="X1242" i="7"/>
  <c r="X1243" i="7"/>
  <c r="X1148" i="7"/>
  <c r="X1149" i="7"/>
  <c r="X1150" i="7"/>
  <c r="X1151" i="7"/>
  <c r="X1152" i="7"/>
  <c r="X1153" i="7"/>
  <c r="X1154" i="7"/>
  <c r="X1155" i="7"/>
  <c r="X1156" i="7"/>
  <c r="X1157" i="7"/>
  <c r="X1158" i="7"/>
  <c r="X1159" i="7"/>
  <c r="X1160" i="7"/>
  <c r="X1161" i="7"/>
  <c r="X1662" i="7"/>
  <c r="X1663" i="7"/>
  <c r="X1621" i="7"/>
  <c r="X1622" i="7"/>
  <c r="X1623" i="7"/>
  <c r="X1624" i="7"/>
  <c r="X1625" i="7"/>
  <c r="X1626" i="7"/>
  <c r="X1627" i="7"/>
  <c r="X1628" i="7"/>
  <c r="X1629" i="7"/>
  <c r="X1630" i="7"/>
  <c r="X1631" i="7"/>
  <c r="X1632" i="7"/>
  <c r="X1633" i="7"/>
  <c r="X1634" i="7"/>
  <c r="X1635" i="7"/>
  <c r="X1636" i="7"/>
  <c r="X1637" i="7"/>
  <c r="X1638" i="7"/>
  <c r="X1639" i="7"/>
  <c r="X1640" i="7"/>
  <c r="X1641" i="7"/>
  <c r="X1642" i="7"/>
  <c r="X1643" i="7"/>
  <c r="X1644" i="7"/>
  <c r="X1645" i="7"/>
  <c r="X1646" i="7"/>
  <c r="X1647" i="7"/>
  <c r="X1648" i="7"/>
  <c r="X1649" i="7"/>
  <c r="X1650" i="7"/>
  <c r="X1651" i="7"/>
  <c r="X1652" i="7"/>
  <c r="X1653" i="7"/>
  <c r="X1654" i="7"/>
  <c r="X1655" i="7"/>
  <c r="X1656" i="7"/>
  <c r="X1657" i="7"/>
  <c r="X1658" i="7"/>
  <c r="X1659" i="7"/>
  <c r="X1660" i="7"/>
  <c r="X1661" i="7"/>
  <c r="X1620" i="7"/>
  <c r="X1619" i="7"/>
  <c r="X1613" i="7"/>
  <c r="X1614" i="7"/>
  <c r="X1615" i="7"/>
  <c r="X1616" i="7"/>
  <c r="X1617" i="7"/>
  <c r="X1618" i="7"/>
  <c r="X1612" i="7"/>
  <c r="X1611" i="7"/>
  <c r="X1610" i="7"/>
  <c r="X1609" i="7"/>
  <c r="X1608" i="7"/>
  <c r="X1607" i="7"/>
  <c r="X1598" i="7"/>
  <c r="X1599" i="7"/>
  <c r="X1600" i="7"/>
  <c r="X1601" i="7"/>
  <c r="X1602" i="7"/>
  <c r="X1603" i="7"/>
  <c r="X1604" i="7"/>
  <c r="X1605" i="7"/>
  <c r="X1606" i="7"/>
  <c r="X1593" i="7"/>
  <c r="X1594" i="7"/>
  <c r="X1595" i="7"/>
  <c r="X1596" i="7"/>
  <c r="X1597" i="7"/>
  <c r="X1591" i="7"/>
  <c r="X1592" i="7"/>
  <c r="X1590" i="7"/>
  <c r="X1589" i="7"/>
  <c r="X1588" i="7"/>
  <c r="X1581" i="7"/>
  <c r="X1582" i="7"/>
  <c r="X1583" i="7"/>
  <c r="X1584" i="7"/>
  <c r="X1585" i="7"/>
  <c r="X1586" i="7"/>
  <c r="X1587" i="7"/>
  <c r="X1580" i="7"/>
  <c r="X1579" i="7"/>
  <c r="X1578" i="7"/>
  <c r="X1576" i="7"/>
  <c r="X1577" i="7"/>
  <c r="X1575" i="7"/>
  <c r="X1574" i="7"/>
  <c r="X1538" i="7"/>
  <c r="X1539" i="7"/>
  <c r="X1540" i="7"/>
  <c r="X1541" i="7"/>
  <c r="X1542" i="7"/>
  <c r="X1543" i="7"/>
  <c r="X1544" i="7"/>
  <c r="X1545" i="7"/>
  <c r="X1546" i="7"/>
  <c r="X1547" i="7"/>
  <c r="X1548" i="7"/>
  <c r="X1549" i="7"/>
  <c r="X1550" i="7"/>
  <c r="X1551" i="7"/>
  <c r="X1552" i="7"/>
  <c r="X1553" i="7"/>
  <c r="X1554" i="7"/>
  <c r="X1555" i="7"/>
  <c r="X1556" i="7"/>
  <c r="X1557" i="7"/>
  <c r="X1558" i="7"/>
  <c r="X1559" i="7"/>
  <c r="X1560" i="7"/>
  <c r="X1561" i="7"/>
  <c r="X1562" i="7"/>
  <c r="X1563" i="7"/>
  <c r="X1564" i="7"/>
  <c r="X1565" i="7"/>
  <c r="X1566" i="7"/>
  <c r="X1567" i="7"/>
  <c r="X1568" i="7"/>
  <c r="X1569" i="7"/>
  <c r="X1570" i="7"/>
  <c r="X1571" i="7"/>
  <c r="X1572" i="7"/>
  <c r="X1573" i="7"/>
  <c r="X1534" i="7"/>
  <c r="X1535" i="7"/>
  <c r="X1536" i="7"/>
  <c r="X1537" i="7"/>
  <c r="X1735" i="7"/>
  <c r="X1736" i="7"/>
  <c r="X1737" i="7"/>
  <c r="X1738" i="7"/>
  <c r="X1739" i="7"/>
  <c r="X1439" i="7"/>
  <c r="X1440" i="7"/>
  <c r="X1441" i="7"/>
  <c r="X1442" i="7"/>
  <c r="X1443" i="7"/>
  <c r="X1444" i="7"/>
  <c r="X1445" i="7"/>
  <c r="X1446" i="7"/>
  <c r="X1447" i="7"/>
  <c r="X1448" i="7"/>
  <c r="X1449" i="7"/>
  <c r="X1450" i="7"/>
  <c r="X1451" i="7"/>
  <c r="X1452" i="7"/>
  <c r="X1453" i="7"/>
  <c r="X1454" i="7"/>
  <c r="X1455" i="7"/>
  <c r="X1456" i="7"/>
  <c r="X1457" i="7"/>
  <c r="X1458" i="7"/>
  <c r="X1459" i="7"/>
  <c r="X1460" i="7"/>
  <c r="X1461" i="7"/>
  <c r="X1462" i="7"/>
  <c r="X1463" i="7"/>
  <c r="X1464" i="7"/>
  <c r="X1465" i="7"/>
  <c r="X1466" i="7"/>
  <c r="X1467" i="7"/>
  <c r="X1468" i="7"/>
  <c r="X1469" i="7"/>
  <c r="X1470" i="7"/>
  <c r="X1471" i="7"/>
  <c r="X1472" i="7"/>
  <c r="X1473" i="7"/>
  <c r="X1474" i="7"/>
  <c r="X1475" i="7"/>
  <c r="X1476" i="7"/>
  <c r="X1477" i="7"/>
  <c r="X1478" i="7"/>
  <c r="X1479" i="7"/>
  <c r="X1480" i="7"/>
  <c r="X1481" i="7"/>
  <c r="X1482" i="7"/>
  <c r="X1483" i="7"/>
  <c r="X1484" i="7"/>
  <c r="X1485" i="7"/>
  <c r="X1486" i="7"/>
  <c r="X1487" i="7"/>
  <c r="X1488" i="7"/>
  <c r="X1489" i="7"/>
  <c r="X1490" i="7"/>
  <c r="X1491" i="7"/>
  <c r="X1492" i="7"/>
  <c r="X1493" i="7"/>
  <c r="X1494" i="7"/>
  <c r="X1495" i="7"/>
  <c r="X1496" i="7"/>
  <c r="X1497" i="7"/>
  <c r="X1498" i="7"/>
  <c r="X1499" i="7"/>
  <c r="X1500" i="7"/>
  <c r="X1501" i="7"/>
  <c r="X1502" i="7"/>
  <c r="X1503" i="7"/>
  <c r="X1504" i="7"/>
  <c r="X1505" i="7"/>
  <c r="X1506" i="7"/>
  <c r="X1507" i="7"/>
  <c r="X1508" i="7"/>
  <c r="X1509" i="7"/>
  <c r="X1510" i="7"/>
  <c r="X1511" i="7"/>
  <c r="X1512" i="7"/>
  <c r="X1513" i="7"/>
  <c r="X1514" i="7"/>
  <c r="X1515" i="7"/>
  <c r="X1516" i="7"/>
  <c r="X1517" i="7"/>
  <c r="X1518" i="7"/>
  <c r="X1519" i="7"/>
  <c r="X1520" i="7"/>
  <c r="X1521" i="7"/>
  <c r="X1522" i="7"/>
  <c r="X1523" i="7"/>
  <c r="X1524" i="7"/>
  <c r="X1525" i="7"/>
  <c r="X1526" i="7"/>
  <c r="X1527" i="7"/>
  <c r="X1528" i="7"/>
  <c r="X1529" i="7"/>
  <c r="X1530" i="7"/>
  <c r="X1531" i="7"/>
  <c r="X1532" i="7"/>
  <c r="X1533" i="7"/>
  <c r="X1734" i="7"/>
  <c r="X1733" i="7"/>
  <c r="X1711" i="7"/>
  <c r="X1712" i="7"/>
  <c r="X1713" i="7"/>
  <c r="X1714" i="7"/>
  <c r="X1715" i="7"/>
  <c r="X1716" i="7"/>
  <c r="X1717" i="7"/>
  <c r="X1718" i="7"/>
  <c r="X1719" i="7"/>
  <c r="X1720" i="7"/>
  <c r="X1721" i="7"/>
  <c r="X1722" i="7"/>
  <c r="X1723" i="7"/>
  <c r="X1724" i="7"/>
  <c r="X1725" i="7"/>
  <c r="X1726" i="7"/>
  <c r="X1727" i="7"/>
  <c r="X1728" i="7"/>
  <c r="X1729" i="7"/>
  <c r="X1730" i="7"/>
  <c r="X1731" i="7"/>
  <c r="X1732" i="7"/>
  <c r="X1708" i="7"/>
  <c r="X1709" i="7"/>
  <c r="X1710" i="7"/>
  <c r="X1707" i="7"/>
  <c r="X1703" i="7"/>
  <c r="X1704" i="7"/>
  <c r="X1705" i="7"/>
  <c r="X1706" i="7"/>
  <c r="X1696" i="7"/>
  <c r="X1697" i="7"/>
  <c r="X1698" i="7"/>
  <c r="X1699" i="7"/>
  <c r="X1700" i="7"/>
  <c r="X1701" i="7"/>
  <c r="X1702" i="7"/>
  <c r="X1695" i="7"/>
  <c r="X1692" i="7"/>
  <c r="X1693" i="7"/>
  <c r="X1694" i="7"/>
  <c r="X1691" i="7"/>
  <c r="X1690" i="7"/>
  <c r="X1683" i="7"/>
  <c r="X1684" i="7"/>
  <c r="X1685" i="7"/>
  <c r="X1686" i="7"/>
  <c r="X1687" i="7"/>
  <c r="X1688" i="7"/>
  <c r="X1689" i="7"/>
  <c r="X1679" i="7"/>
  <c r="X1680" i="7"/>
  <c r="X1681" i="7"/>
  <c r="X1682" i="7"/>
  <c r="X1676" i="7"/>
  <c r="X1677" i="7"/>
  <c r="X1678" i="7"/>
  <c r="X1675" i="7"/>
  <c r="X1747" i="7"/>
  <c r="X1746" i="7"/>
  <c r="X1744" i="7"/>
  <c r="X1745" i="7"/>
  <c r="X1743" i="7"/>
  <c r="X1742" i="7"/>
  <c r="X1741" i="7"/>
  <c r="X1740" i="7"/>
  <c r="X57" i="7"/>
  <c r="C1352" i="54" a="1"/>
  <c r="C1352" i="54" s="1"/>
  <c r="AD699" i="54"/>
  <c r="AC699" i="54"/>
  <c r="AB699" i="54"/>
  <c r="X699" i="54"/>
  <c r="AD698" i="54"/>
  <c r="AC698" i="54"/>
  <c r="AB698" i="54"/>
  <c r="X698" i="54"/>
  <c r="AD697" i="54"/>
  <c r="AC697" i="54"/>
  <c r="AB697" i="54"/>
  <c r="X697" i="54"/>
  <c r="AD696" i="54"/>
  <c r="AC696" i="54"/>
  <c r="AB696" i="54"/>
  <c r="X696" i="54"/>
  <c r="AD695" i="54"/>
  <c r="AC695" i="54"/>
  <c r="AB695" i="54"/>
  <c r="X695" i="54"/>
  <c r="AD694" i="54"/>
  <c r="AC694" i="54"/>
  <c r="AB694" i="54"/>
  <c r="X694" i="54"/>
  <c r="AD693" i="54"/>
  <c r="AC693" i="54"/>
  <c r="AB693" i="54"/>
  <c r="X693" i="54"/>
  <c r="AD692" i="54"/>
  <c r="AC692" i="54"/>
  <c r="AB692" i="54"/>
  <c r="X692" i="54"/>
  <c r="AD691" i="54"/>
  <c r="AC691" i="54"/>
  <c r="AB691" i="54"/>
  <c r="X691" i="54"/>
  <c r="AD690" i="54"/>
  <c r="AC690" i="54"/>
  <c r="AB690" i="54"/>
  <c r="X690" i="54"/>
  <c r="AD689" i="54"/>
  <c r="AC689" i="54"/>
  <c r="AB689" i="54"/>
  <c r="X689" i="54"/>
  <c r="AD688" i="54"/>
  <c r="AC688" i="54"/>
  <c r="AB688" i="54"/>
  <c r="X688" i="54"/>
  <c r="AD687" i="54"/>
  <c r="AC687" i="54"/>
  <c r="AB687" i="54"/>
  <c r="X687" i="54"/>
  <c r="AD686" i="54"/>
  <c r="AC686" i="54"/>
  <c r="AB686" i="54"/>
  <c r="X686" i="54"/>
  <c r="AD685" i="54"/>
  <c r="AC685" i="54"/>
  <c r="AB685" i="54"/>
  <c r="X685" i="54"/>
  <c r="AD684" i="54"/>
  <c r="AC684" i="54"/>
  <c r="AB684" i="54"/>
  <c r="X684" i="54"/>
  <c r="AD683" i="54"/>
  <c r="AC683" i="54"/>
  <c r="AB683" i="54"/>
  <c r="X683" i="54"/>
  <c r="AD682" i="54"/>
  <c r="AC682" i="54"/>
  <c r="AB682" i="54"/>
  <c r="X682" i="54"/>
  <c r="AD681" i="54"/>
  <c r="AC681" i="54"/>
  <c r="AB681" i="54"/>
  <c r="X681" i="54"/>
  <c r="AD680" i="54"/>
  <c r="AC680" i="54"/>
  <c r="AB680" i="54"/>
  <c r="X680" i="54"/>
  <c r="AD679" i="54"/>
  <c r="AC679" i="54"/>
  <c r="AB679" i="54"/>
  <c r="X679" i="54"/>
  <c r="AD678" i="54"/>
  <c r="AC678" i="54"/>
  <c r="AB678" i="54"/>
  <c r="X678" i="54"/>
  <c r="AD677" i="54"/>
  <c r="AC677" i="54"/>
  <c r="AB677" i="54"/>
  <c r="X677" i="54"/>
  <c r="AD676" i="54"/>
  <c r="AC676" i="54"/>
  <c r="AB676" i="54"/>
  <c r="X676" i="54"/>
  <c r="AD675" i="54"/>
  <c r="AC675" i="54"/>
  <c r="AB675" i="54"/>
  <c r="X675" i="54"/>
  <c r="AD674" i="54"/>
  <c r="AC674" i="54"/>
  <c r="AB674" i="54"/>
  <c r="X674" i="54"/>
  <c r="AD673" i="54"/>
  <c r="AC673" i="54"/>
  <c r="AB673" i="54"/>
  <c r="X673" i="54"/>
  <c r="AD672" i="54"/>
  <c r="AC672" i="54"/>
  <c r="AB672" i="54"/>
  <c r="X672" i="54"/>
  <c r="AD671" i="54"/>
  <c r="AC671" i="54"/>
  <c r="AB671" i="54"/>
  <c r="X671" i="54"/>
  <c r="AD670" i="54"/>
  <c r="AC670" i="54"/>
  <c r="AB670" i="54"/>
  <c r="X670" i="54"/>
  <c r="AD669" i="54"/>
  <c r="AC669" i="54"/>
  <c r="AB669" i="54"/>
  <c r="X669" i="54"/>
  <c r="AD668" i="54"/>
  <c r="AC668" i="54"/>
  <c r="AB668" i="54"/>
  <c r="X668" i="54"/>
  <c r="AD667" i="54"/>
  <c r="AC667" i="54"/>
  <c r="AB667" i="54"/>
  <c r="X667" i="54"/>
  <c r="AD666" i="54"/>
  <c r="AC666" i="54"/>
  <c r="AB666" i="54"/>
  <c r="X666" i="54"/>
  <c r="AD665" i="54"/>
  <c r="AC665" i="54"/>
  <c r="AB665" i="54"/>
  <c r="X665" i="54"/>
  <c r="AD664" i="54"/>
  <c r="AC664" i="54"/>
  <c r="AB664" i="54"/>
  <c r="X664" i="54"/>
  <c r="AD663" i="54"/>
  <c r="AC663" i="54"/>
  <c r="AB663" i="54"/>
  <c r="X663" i="54"/>
  <c r="AD662" i="54"/>
  <c r="AC662" i="54"/>
  <c r="AB662" i="54"/>
  <c r="X662" i="54"/>
  <c r="AD661" i="54"/>
  <c r="AC661" i="54"/>
  <c r="AB661" i="54"/>
  <c r="X661" i="54"/>
  <c r="AD660" i="54"/>
  <c r="AC660" i="54"/>
  <c r="AB660" i="54"/>
  <c r="X660" i="54"/>
  <c r="AD659" i="54"/>
  <c r="AC659" i="54"/>
  <c r="AB659" i="54"/>
  <c r="X659" i="54"/>
  <c r="AD658" i="54"/>
  <c r="AC658" i="54"/>
  <c r="AB658" i="54"/>
  <c r="X658" i="54"/>
  <c r="AD657" i="54"/>
  <c r="AC657" i="54"/>
  <c r="AB657" i="54"/>
  <c r="X657" i="54"/>
  <c r="AD656" i="54"/>
  <c r="AC656" i="54"/>
  <c r="AB656" i="54"/>
  <c r="X656" i="54"/>
  <c r="AD655" i="54"/>
  <c r="AC655" i="54"/>
  <c r="AB655" i="54"/>
  <c r="X655" i="54"/>
  <c r="AD654" i="54"/>
  <c r="AC654" i="54"/>
  <c r="AB654" i="54"/>
  <c r="X654" i="54"/>
  <c r="AD653" i="54"/>
  <c r="AC653" i="54"/>
  <c r="AB653" i="54"/>
  <c r="X653" i="54"/>
  <c r="AD652" i="54"/>
  <c r="AC652" i="54"/>
  <c r="AB652" i="54"/>
  <c r="X652" i="54"/>
  <c r="AD651" i="54"/>
  <c r="AC651" i="54"/>
  <c r="AB651" i="54"/>
  <c r="X651" i="54"/>
  <c r="AD650" i="54"/>
  <c r="AC650" i="54"/>
  <c r="AB650" i="54"/>
  <c r="X650" i="54"/>
  <c r="AD649" i="54"/>
  <c r="AC649" i="54"/>
  <c r="AB649" i="54"/>
  <c r="X649" i="54"/>
  <c r="AD648" i="54"/>
  <c r="AC648" i="54"/>
  <c r="AB648" i="54"/>
  <c r="X648" i="54"/>
  <c r="AD647" i="54"/>
  <c r="AC647" i="54"/>
  <c r="AB647" i="54"/>
  <c r="X647" i="54"/>
  <c r="AD646" i="54"/>
  <c r="AC646" i="54"/>
  <c r="AB646" i="54"/>
  <c r="X646" i="54"/>
  <c r="AD645" i="54"/>
  <c r="AC645" i="54"/>
  <c r="AB645" i="54"/>
  <c r="X645" i="54"/>
  <c r="AD644" i="54"/>
  <c r="AC644" i="54"/>
  <c r="AB644" i="54"/>
  <c r="X644" i="54"/>
  <c r="AD643" i="54"/>
  <c r="AC643" i="54"/>
  <c r="AB643" i="54"/>
  <c r="X643" i="54"/>
  <c r="AD642" i="54"/>
  <c r="AC642" i="54"/>
  <c r="AB642" i="54"/>
  <c r="X642" i="54"/>
  <c r="AD641" i="54"/>
  <c r="AC641" i="54"/>
  <c r="AB641" i="54"/>
  <c r="X641" i="54"/>
  <c r="AD640" i="54"/>
  <c r="AC640" i="54"/>
  <c r="AB640" i="54"/>
  <c r="X640" i="54"/>
  <c r="AD639" i="54"/>
  <c r="AC639" i="54"/>
  <c r="AB639" i="54"/>
  <c r="X639" i="54"/>
  <c r="AD638" i="54"/>
  <c r="AC638" i="54"/>
  <c r="AB638" i="54"/>
  <c r="X638" i="54"/>
  <c r="AD637" i="54"/>
  <c r="AC637" i="54"/>
  <c r="AB637" i="54"/>
  <c r="X637" i="54"/>
  <c r="AD636" i="54"/>
  <c r="AC636" i="54"/>
  <c r="AB636" i="54"/>
  <c r="X636" i="54"/>
  <c r="AD635" i="54"/>
  <c r="AC635" i="54"/>
  <c r="AB635" i="54"/>
  <c r="X635" i="54"/>
  <c r="AD634" i="54"/>
  <c r="AC634" i="54"/>
  <c r="AB634" i="54"/>
  <c r="X634" i="54"/>
  <c r="AD633" i="54"/>
  <c r="AC633" i="54"/>
  <c r="AB633" i="54"/>
  <c r="X633" i="54"/>
  <c r="AD632" i="54"/>
  <c r="AC632" i="54"/>
  <c r="AB632" i="54"/>
  <c r="X632" i="54"/>
  <c r="AD631" i="54"/>
  <c r="AC631" i="54"/>
  <c r="AB631" i="54"/>
  <c r="X631" i="54"/>
  <c r="AD630" i="54"/>
  <c r="AC630" i="54"/>
  <c r="AB630" i="54"/>
  <c r="X630" i="54"/>
  <c r="AD629" i="54"/>
  <c r="AC629" i="54"/>
  <c r="AB629" i="54"/>
  <c r="X629" i="54"/>
  <c r="AD628" i="54"/>
  <c r="AC628" i="54"/>
  <c r="AB628" i="54"/>
  <c r="X628" i="54"/>
  <c r="AD627" i="54"/>
  <c r="AC627" i="54"/>
  <c r="AB627" i="54"/>
  <c r="X627" i="54"/>
  <c r="AD626" i="54"/>
  <c r="AC626" i="54"/>
  <c r="AB626" i="54"/>
  <c r="X626" i="54"/>
  <c r="AD625" i="54"/>
  <c r="AC625" i="54"/>
  <c r="AB625" i="54"/>
  <c r="X625" i="54"/>
  <c r="AD624" i="54"/>
  <c r="AC624" i="54"/>
  <c r="AB624" i="54"/>
  <c r="X624" i="54"/>
  <c r="AD623" i="54"/>
  <c r="AC623" i="54"/>
  <c r="AB623" i="54"/>
  <c r="X623" i="54"/>
  <c r="AD622" i="54"/>
  <c r="AC622" i="54"/>
  <c r="AB622" i="54"/>
  <c r="X622" i="54"/>
  <c r="AD621" i="54"/>
  <c r="AC621" i="54"/>
  <c r="AB621" i="54"/>
  <c r="X621" i="54"/>
  <c r="AD620" i="54"/>
  <c r="AC620" i="54"/>
  <c r="AB620" i="54"/>
  <c r="X620" i="54"/>
  <c r="AD619" i="54"/>
  <c r="AC619" i="54"/>
  <c r="AB619" i="54"/>
  <c r="X619" i="54"/>
  <c r="AD618" i="54"/>
  <c r="AC618" i="54"/>
  <c r="AB618" i="54"/>
  <c r="X618" i="54"/>
  <c r="AD617" i="54"/>
  <c r="AC617" i="54"/>
  <c r="AB617" i="54"/>
  <c r="X617" i="54"/>
  <c r="AD616" i="54"/>
  <c r="AC616" i="54"/>
  <c r="AB616" i="54"/>
  <c r="X616" i="54"/>
  <c r="AD615" i="54"/>
  <c r="AC615" i="54"/>
  <c r="AB615" i="54"/>
  <c r="X615" i="54"/>
  <c r="AD614" i="54"/>
  <c r="AC614" i="54"/>
  <c r="AB614" i="54"/>
  <c r="X614" i="54"/>
  <c r="AD613" i="54"/>
  <c r="AC613" i="54"/>
  <c r="AB613" i="54"/>
  <c r="X613" i="54"/>
  <c r="AD612" i="54"/>
  <c r="AC612" i="54"/>
  <c r="AB612" i="54"/>
  <c r="X612" i="54"/>
  <c r="AD611" i="54"/>
  <c r="AC611" i="54"/>
  <c r="AB611" i="54"/>
  <c r="X611" i="54"/>
  <c r="AD610" i="54"/>
  <c r="AC610" i="54"/>
  <c r="AB610" i="54"/>
  <c r="X610" i="54"/>
  <c r="AD609" i="54"/>
  <c r="AC609" i="54"/>
  <c r="AB609" i="54"/>
  <c r="X609" i="54"/>
  <c r="AD608" i="54"/>
  <c r="AC608" i="54"/>
  <c r="AB608" i="54"/>
  <c r="X608" i="54"/>
  <c r="AD607" i="54"/>
  <c r="AC607" i="54"/>
  <c r="AB607" i="54"/>
  <c r="X607" i="54"/>
  <c r="AD606" i="54"/>
  <c r="AC606" i="54"/>
  <c r="AB606" i="54"/>
  <c r="X606" i="54"/>
  <c r="AD605" i="54"/>
  <c r="AC605" i="54"/>
  <c r="AB605" i="54"/>
  <c r="X605" i="54"/>
  <c r="AD604" i="54"/>
  <c r="AC604" i="54"/>
  <c r="AB604" i="54"/>
  <c r="X604" i="54"/>
  <c r="AD603" i="54"/>
  <c r="AC603" i="54"/>
  <c r="AB603" i="54"/>
  <c r="X603" i="54"/>
  <c r="AD602" i="54"/>
  <c r="AC602" i="54"/>
  <c r="AB602" i="54"/>
  <c r="X602" i="54"/>
  <c r="AD601" i="54"/>
  <c r="AC601" i="54"/>
  <c r="AB601" i="54"/>
  <c r="X601" i="54"/>
  <c r="AD600" i="54"/>
  <c r="AC600" i="54"/>
  <c r="AB600" i="54"/>
  <c r="X600" i="54"/>
  <c r="AD599" i="54"/>
  <c r="AC599" i="54"/>
  <c r="AB599" i="54"/>
  <c r="X599" i="54"/>
  <c r="AD598" i="54"/>
  <c r="AC598" i="54"/>
  <c r="AB598" i="54"/>
  <c r="X598" i="54"/>
  <c r="AD597" i="54"/>
  <c r="AC597" i="54"/>
  <c r="AB597" i="54"/>
  <c r="X597" i="54"/>
  <c r="AD596" i="54"/>
  <c r="AC596" i="54"/>
  <c r="AB596" i="54"/>
  <c r="X596" i="54"/>
  <c r="AD595" i="54"/>
  <c r="AC595" i="54"/>
  <c r="AB595" i="54"/>
  <c r="X595" i="54"/>
  <c r="AD594" i="54"/>
  <c r="AC594" i="54"/>
  <c r="AB594" i="54"/>
  <c r="X594" i="54"/>
  <c r="AD593" i="54"/>
  <c r="AC593" i="54"/>
  <c r="AB593" i="54"/>
  <c r="X593" i="54"/>
  <c r="AD592" i="54"/>
  <c r="AC592" i="54"/>
  <c r="AB592" i="54"/>
  <c r="X592" i="54"/>
  <c r="AD591" i="54"/>
  <c r="AC591" i="54"/>
  <c r="AB591" i="54"/>
  <c r="X591" i="54"/>
  <c r="AD590" i="54"/>
  <c r="AC590" i="54"/>
  <c r="AB590" i="54"/>
  <c r="X590" i="54"/>
  <c r="AD589" i="54"/>
  <c r="AC589" i="54"/>
  <c r="AB589" i="54"/>
  <c r="X589" i="54"/>
  <c r="AD588" i="54"/>
  <c r="AC588" i="54"/>
  <c r="AB588" i="54"/>
  <c r="X588" i="54"/>
  <c r="AD587" i="54"/>
  <c r="AC587" i="54"/>
  <c r="AB587" i="54"/>
  <c r="X587" i="54"/>
  <c r="AD586" i="54"/>
  <c r="AC586" i="54"/>
  <c r="AB586" i="54"/>
  <c r="X586" i="54"/>
  <c r="AD585" i="54"/>
  <c r="AC585" i="54"/>
  <c r="AB585" i="54"/>
  <c r="X585" i="54"/>
  <c r="AD584" i="54"/>
  <c r="AC584" i="54"/>
  <c r="AB584" i="54"/>
  <c r="X584" i="54"/>
  <c r="AD583" i="54"/>
  <c r="AC583" i="54"/>
  <c r="AB583" i="54"/>
  <c r="X583" i="54"/>
  <c r="AD582" i="54"/>
  <c r="AC582" i="54"/>
  <c r="AB582" i="54"/>
  <c r="X582" i="54"/>
  <c r="AD581" i="54"/>
  <c r="AC581" i="54"/>
  <c r="AB581" i="54"/>
  <c r="X581" i="54"/>
  <c r="AD580" i="54"/>
  <c r="AC580" i="54"/>
  <c r="AB580" i="54"/>
  <c r="X580" i="54"/>
  <c r="AD579" i="54"/>
  <c r="AC579" i="54"/>
  <c r="AB579" i="54"/>
  <c r="X579" i="54"/>
  <c r="AD578" i="54"/>
  <c r="AC578" i="54"/>
  <c r="AB578" i="54"/>
  <c r="X578" i="54"/>
  <c r="AD577" i="54"/>
  <c r="AC577" i="54"/>
  <c r="AB577" i="54"/>
  <c r="X577" i="54"/>
  <c r="AD576" i="54"/>
  <c r="AC576" i="54"/>
  <c r="AB576" i="54"/>
  <c r="X576" i="54"/>
  <c r="AD575" i="54"/>
  <c r="AC575" i="54"/>
  <c r="AB575" i="54"/>
  <c r="X575" i="54"/>
  <c r="AD574" i="54"/>
  <c r="AC574" i="54"/>
  <c r="AB574" i="54"/>
  <c r="X574" i="54"/>
  <c r="AD573" i="54"/>
  <c r="AC573" i="54"/>
  <c r="AB573" i="54"/>
  <c r="X573" i="54"/>
  <c r="AD572" i="54"/>
  <c r="AC572" i="54"/>
  <c r="AB572" i="54"/>
  <c r="X572" i="54"/>
  <c r="AD571" i="54"/>
  <c r="AC571" i="54"/>
  <c r="AB571" i="54"/>
  <c r="X571" i="54"/>
  <c r="AD570" i="54"/>
  <c r="AC570" i="54"/>
  <c r="AB570" i="54"/>
  <c r="X570" i="54"/>
  <c r="AD569" i="54"/>
  <c r="AC569" i="54"/>
  <c r="AB569" i="54"/>
  <c r="X569" i="54"/>
  <c r="AD568" i="54"/>
  <c r="AC568" i="54"/>
  <c r="AB568" i="54"/>
  <c r="X568" i="54"/>
  <c r="AD567" i="54"/>
  <c r="AC567" i="54"/>
  <c r="AB567" i="54"/>
  <c r="X567" i="54"/>
  <c r="AD566" i="54"/>
  <c r="AC566" i="54"/>
  <c r="AB566" i="54"/>
  <c r="X566" i="54"/>
  <c r="AD565" i="54"/>
  <c r="AC565" i="54"/>
  <c r="AB565" i="54"/>
  <c r="X565" i="54"/>
  <c r="AD564" i="54"/>
  <c r="AC564" i="54"/>
  <c r="AB564" i="54"/>
  <c r="X564" i="54"/>
  <c r="AD563" i="54"/>
  <c r="AC563" i="54"/>
  <c r="AB563" i="54"/>
  <c r="X563" i="54"/>
  <c r="AD562" i="54"/>
  <c r="AC562" i="54"/>
  <c r="AB562" i="54"/>
  <c r="X562" i="54"/>
  <c r="AD561" i="54"/>
  <c r="AC561" i="54"/>
  <c r="AB561" i="54"/>
  <c r="X561" i="54"/>
  <c r="AD560" i="54"/>
  <c r="AC560" i="54"/>
  <c r="AB560" i="54"/>
  <c r="X560" i="54"/>
  <c r="AD559" i="54"/>
  <c r="AC559" i="54"/>
  <c r="AB559" i="54"/>
  <c r="X559" i="54"/>
  <c r="AD558" i="54"/>
  <c r="AC558" i="54"/>
  <c r="AB558" i="54"/>
  <c r="X558" i="54"/>
  <c r="AD557" i="54"/>
  <c r="AC557" i="54"/>
  <c r="AB557" i="54"/>
  <c r="X557" i="54"/>
  <c r="AD556" i="54"/>
  <c r="AC556" i="54"/>
  <c r="AB556" i="54"/>
  <c r="X556" i="54"/>
  <c r="AD555" i="54"/>
  <c r="AC555" i="54"/>
  <c r="AB555" i="54"/>
  <c r="X555" i="54"/>
  <c r="AD554" i="54"/>
  <c r="AC554" i="54"/>
  <c r="AB554" i="54"/>
  <c r="X554" i="54"/>
  <c r="AD553" i="54"/>
  <c r="AC553" i="54"/>
  <c r="AB553" i="54"/>
  <c r="X553" i="54"/>
  <c r="AD552" i="54"/>
  <c r="AC552" i="54"/>
  <c r="AB552" i="54"/>
  <c r="X552" i="54"/>
  <c r="AD551" i="54"/>
  <c r="AC551" i="54"/>
  <c r="AB551" i="54"/>
  <c r="X551" i="54"/>
  <c r="AD550" i="54"/>
  <c r="AC550" i="54"/>
  <c r="AB550" i="54"/>
  <c r="X550" i="54"/>
  <c r="AD549" i="54"/>
  <c r="AC549" i="54"/>
  <c r="AB549" i="54"/>
  <c r="X549" i="54"/>
  <c r="AD548" i="54"/>
  <c r="AC548" i="54"/>
  <c r="AB548" i="54"/>
  <c r="X548" i="54"/>
  <c r="AD547" i="54"/>
  <c r="AC547" i="54"/>
  <c r="AB547" i="54"/>
  <c r="X547" i="54"/>
  <c r="AD546" i="54"/>
  <c r="AC546" i="54"/>
  <c r="AB546" i="54"/>
  <c r="X546" i="54"/>
  <c r="AD545" i="54"/>
  <c r="AC545" i="54"/>
  <c r="AB545" i="54"/>
  <c r="X545" i="54"/>
  <c r="AD544" i="54"/>
  <c r="AC544" i="54"/>
  <c r="AB544" i="54"/>
  <c r="X544" i="54"/>
  <c r="AD543" i="54"/>
  <c r="AC543" i="54"/>
  <c r="AB543" i="54"/>
  <c r="X543" i="54"/>
  <c r="AD542" i="54"/>
  <c r="AC542" i="54"/>
  <c r="AB542" i="54"/>
  <c r="X542" i="54"/>
  <c r="AD541" i="54"/>
  <c r="AC541" i="54"/>
  <c r="AB541" i="54"/>
  <c r="X541" i="54"/>
  <c r="AD540" i="54"/>
  <c r="AC540" i="54"/>
  <c r="AB540" i="54"/>
  <c r="X540" i="54"/>
  <c r="AD539" i="54"/>
  <c r="AC539" i="54"/>
  <c r="AB539" i="54"/>
  <c r="X539" i="54"/>
  <c r="AD538" i="54"/>
  <c r="AC538" i="54"/>
  <c r="AB538" i="54"/>
  <c r="X538" i="54"/>
  <c r="AD537" i="54"/>
  <c r="AC537" i="54"/>
  <c r="AB537" i="54"/>
  <c r="X537" i="54"/>
  <c r="AD536" i="54"/>
  <c r="AC536" i="54"/>
  <c r="AB536" i="54"/>
  <c r="X536" i="54"/>
  <c r="AD535" i="54"/>
  <c r="AC535" i="54"/>
  <c r="AB535" i="54"/>
  <c r="X535" i="54"/>
  <c r="AD534" i="54"/>
  <c r="AC534" i="54"/>
  <c r="AB534" i="54"/>
  <c r="X534" i="54"/>
  <c r="AD533" i="54"/>
  <c r="AC533" i="54"/>
  <c r="AB533" i="54"/>
  <c r="X533" i="54"/>
  <c r="AD532" i="54"/>
  <c r="AC532" i="54"/>
  <c r="AB532" i="54"/>
  <c r="X532" i="54"/>
  <c r="AD531" i="54"/>
  <c r="AC531" i="54"/>
  <c r="AB531" i="54"/>
  <c r="X531" i="54"/>
  <c r="AD530" i="54"/>
  <c r="AC530" i="54"/>
  <c r="AB530" i="54"/>
  <c r="X530" i="54"/>
  <c r="AD529" i="54"/>
  <c r="AC529" i="54"/>
  <c r="AB529" i="54"/>
  <c r="X529" i="54"/>
  <c r="AD528" i="54"/>
  <c r="AC528" i="54"/>
  <c r="AB528" i="54"/>
  <c r="X528" i="54"/>
  <c r="AD527" i="54"/>
  <c r="AC527" i="54"/>
  <c r="AB527" i="54"/>
  <c r="X527" i="54"/>
  <c r="AD526" i="54"/>
  <c r="AC526" i="54"/>
  <c r="AB526" i="54"/>
  <c r="X526" i="54"/>
  <c r="AD525" i="54"/>
  <c r="AC525" i="54"/>
  <c r="AB525" i="54"/>
  <c r="X525" i="54"/>
  <c r="AD524" i="54"/>
  <c r="AC524" i="54"/>
  <c r="AB524" i="54"/>
  <c r="X524" i="54"/>
  <c r="AD523" i="54"/>
  <c r="AC523" i="54"/>
  <c r="AB523" i="54"/>
  <c r="X523" i="54"/>
  <c r="AD522" i="54"/>
  <c r="AC522" i="54"/>
  <c r="AB522" i="54"/>
  <c r="X522" i="54"/>
  <c r="AD521" i="54"/>
  <c r="AC521" i="54"/>
  <c r="AB521" i="54"/>
  <c r="X521" i="54"/>
  <c r="AD520" i="54"/>
  <c r="AC520" i="54"/>
  <c r="AB520" i="54"/>
  <c r="X520" i="54"/>
  <c r="AD519" i="54"/>
  <c r="AC519" i="54"/>
  <c r="AB519" i="54"/>
  <c r="X519" i="54"/>
  <c r="AD518" i="54"/>
  <c r="AC518" i="54"/>
  <c r="AB518" i="54"/>
  <c r="X518" i="54"/>
  <c r="AD517" i="54"/>
  <c r="AC517" i="54"/>
  <c r="AB517" i="54"/>
  <c r="X517" i="54"/>
  <c r="AD516" i="54"/>
  <c r="AC516" i="54"/>
  <c r="AB516" i="54"/>
  <c r="X516" i="54"/>
  <c r="AD515" i="54"/>
  <c r="AC515" i="54"/>
  <c r="AB515" i="54"/>
  <c r="X515" i="54"/>
  <c r="AD514" i="54"/>
  <c r="AC514" i="54"/>
  <c r="AB514" i="54"/>
  <c r="X514" i="54"/>
  <c r="AD513" i="54"/>
  <c r="AC513" i="54"/>
  <c r="AB513" i="54"/>
  <c r="X513" i="54"/>
  <c r="AD512" i="54"/>
  <c r="AC512" i="54"/>
  <c r="AB512" i="54"/>
  <c r="X512" i="54"/>
  <c r="AD511" i="54"/>
  <c r="AC511" i="54"/>
  <c r="AB511" i="54"/>
  <c r="X511" i="54"/>
  <c r="AD510" i="54"/>
  <c r="AC510" i="54"/>
  <c r="AB510" i="54"/>
  <c r="X510" i="54"/>
  <c r="AD509" i="54"/>
  <c r="AC509" i="54"/>
  <c r="AB509" i="54"/>
  <c r="X509" i="54"/>
  <c r="AD508" i="54"/>
  <c r="AC508" i="54"/>
  <c r="AB508" i="54"/>
  <c r="X508" i="54"/>
  <c r="AD507" i="54"/>
  <c r="AC507" i="54"/>
  <c r="AB507" i="54"/>
  <c r="X507" i="54"/>
  <c r="AD506" i="54"/>
  <c r="AC506" i="54"/>
  <c r="AB506" i="54"/>
  <c r="X506" i="54"/>
  <c r="AD505" i="54"/>
  <c r="AC505" i="54"/>
  <c r="AB505" i="54"/>
  <c r="X505" i="54"/>
  <c r="AD504" i="54"/>
  <c r="AC504" i="54"/>
  <c r="AB504" i="54"/>
  <c r="X504" i="54"/>
  <c r="AD503" i="54"/>
  <c r="AC503" i="54"/>
  <c r="AB503" i="54"/>
  <c r="X503" i="54"/>
  <c r="AD502" i="54"/>
  <c r="AC502" i="54"/>
  <c r="AB502" i="54"/>
  <c r="X502" i="54"/>
  <c r="AD501" i="54"/>
  <c r="AC501" i="54"/>
  <c r="AB501" i="54"/>
  <c r="X501" i="54"/>
  <c r="AD500" i="54"/>
  <c r="AC500" i="54"/>
  <c r="AB500" i="54"/>
  <c r="X500" i="54"/>
  <c r="AD499" i="54"/>
  <c r="AC499" i="54"/>
  <c r="AB499" i="54"/>
  <c r="X499" i="54"/>
  <c r="AD498" i="54"/>
  <c r="AC498" i="54"/>
  <c r="AB498" i="54"/>
  <c r="X498" i="54"/>
  <c r="AD497" i="54"/>
  <c r="AC497" i="54"/>
  <c r="AB497" i="54"/>
  <c r="X497" i="54"/>
  <c r="AD496" i="54"/>
  <c r="AC496" i="54"/>
  <c r="AB496" i="54"/>
  <c r="X496" i="54"/>
  <c r="AD495" i="54"/>
  <c r="AC495" i="54"/>
  <c r="AB495" i="54"/>
  <c r="X495" i="54"/>
  <c r="AD494" i="54"/>
  <c r="AC494" i="54"/>
  <c r="AB494" i="54"/>
  <c r="X494" i="54"/>
  <c r="AD493" i="54"/>
  <c r="AC493" i="54"/>
  <c r="AB493" i="54"/>
  <c r="X493" i="54"/>
  <c r="AD492" i="54"/>
  <c r="AC492" i="54"/>
  <c r="AB492" i="54"/>
  <c r="X492" i="54"/>
  <c r="AD491" i="54"/>
  <c r="AC491" i="54"/>
  <c r="AB491" i="54"/>
  <c r="X491" i="54"/>
  <c r="AD490" i="54"/>
  <c r="AC490" i="54"/>
  <c r="AB490" i="54"/>
  <c r="X490" i="54"/>
  <c r="AD489" i="54"/>
  <c r="AC489" i="54"/>
  <c r="AB489" i="54"/>
  <c r="X489" i="54"/>
  <c r="AD488" i="54"/>
  <c r="AC488" i="54"/>
  <c r="AB488" i="54"/>
  <c r="X488" i="54"/>
  <c r="AD487" i="54"/>
  <c r="AC487" i="54"/>
  <c r="AB487" i="54"/>
  <c r="X487" i="54"/>
  <c r="AD486" i="54"/>
  <c r="AC486" i="54"/>
  <c r="AB486" i="54"/>
  <c r="X486" i="54"/>
  <c r="AD485" i="54"/>
  <c r="AC485" i="54"/>
  <c r="AB485" i="54"/>
  <c r="X485" i="54"/>
  <c r="AD484" i="54"/>
  <c r="AC484" i="54"/>
  <c r="AB484" i="54"/>
  <c r="X484" i="54"/>
  <c r="AD483" i="54"/>
  <c r="AC483" i="54"/>
  <c r="AB483" i="54"/>
  <c r="X483" i="54"/>
  <c r="AD482" i="54"/>
  <c r="AC482" i="54"/>
  <c r="AB482" i="54"/>
  <c r="X482" i="54"/>
  <c r="AD481" i="54"/>
  <c r="AC481" i="54"/>
  <c r="AB481" i="54"/>
  <c r="X481" i="54"/>
  <c r="AD480" i="54"/>
  <c r="AC480" i="54"/>
  <c r="AB480" i="54"/>
  <c r="X480" i="54"/>
  <c r="AD479" i="54"/>
  <c r="AC479" i="54"/>
  <c r="AB479" i="54"/>
  <c r="X479" i="54"/>
  <c r="AD478" i="54"/>
  <c r="AC478" i="54"/>
  <c r="AB478" i="54"/>
  <c r="X478" i="54"/>
  <c r="AD477" i="54"/>
  <c r="AC477" i="54"/>
  <c r="AB477" i="54"/>
  <c r="X477" i="54"/>
  <c r="AD476" i="54"/>
  <c r="AC476" i="54"/>
  <c r="AB476" i="54"/>
  <c r="X476" i="54"/>
  <c r="AD475" i="54"/>
  <c r="AC475" i="54"/>
  <c r="AB475" i="54"/>
  <c r="X475" i="54"/>
  <c r="AD474" i="54"/>
  <c r="AC474" i="54"/>
  <c r="AB474" i="54"/>
  <c r="X474" i="54"/>
  <c r="AD473" i="54"/>
  <c r="AC473" i="54"/>
  <c r="AB473" i="54"/>
  <c r="X473" i="54"/>
  <c r="AD472" i="54"/>
  <c r="AC472" i="54"/>
  <c r="AB472" i="54"/>
  <c r="X472" i="54"/>
  <c r="AD471" i="54"/>
  <c r="AC471" i="54"/>
  <c r="AB471" i="54"/>
  <c r="X471" i="54"/>
  <c r="AD470" i="54"/>
  <c r="AC470" i="54"/>
  <c r="AB470" i="54"/>
  <c r="X470" i="54"/>
  <c r="AD469" i="54"/>
  <c r="AC469" i="54"/>
  <c r="AB469" i="54"/>
  <c r="X469" i="54"/>
  <c r="AD468" i="54"/>
  <c r="AC468" i="54"/>
  <c r="AB468" i="54"/>
  <c r="X468" i="54"/>
  <c r="AD467" i="54"/>
  <c r="AC467" i="54"/>
  <c r="AB467" i="54"/>
  <c r="X467" i="54"/>
  <c r="AD466" i="54"/>
  <c r="AC466" i="54"/>
  <c r="AB466" i="54"/>
  <c r="X466" i="54"/>
  <c r="AD465" i="54"/>
  <c r="AC465" i="54"/>
  <c r="AB465" i="54"/>
  <c r="X465" i="54"/>
  <c r="AD464" i="54"/>
  <c r="AC464" i="54"/>
  <c r="AB464" i="54"/>
  <c r="X464" i="54"/>
  <c r="AD463" i="54"/>
  <c r="AC463" i="54"/>
  <c r="AB463" i="54"/>
  <c r="X463" i="54"/>
  <c r="AD462" i="54"/>
  <c r="AC462" i="54"/>
  <c r="AB462" i="54"/>
  <c r="X462" i="54"/>
  <c r="AD461" i="54"/>
  <c r="AC461" i="54"/>
  <c r="AB461" i="54"/>
  <c r="X461" i="54"/>
  <c r="AD460" i="54"/>
  <c r="AC460" i="54"/>
  <c r="AB460" i="54"/>
  <c r="X460" i="54"/>
  <c r="AD459" i="54"/>
  <c r="AC459" i="54"/>
  <c r="AB459" i="54"/>
  <c r="X459" i="54"/>
  <c r="AD458" i="54"/>
  <c r="AC458" i="54"/>
  <c r="AB458" i="54"/>
  <c r="X458" i="54"/>
  <c r="AD457" i="54"/>
  <c r="AC457" i="54"/>
  <c r="AB457" i="54"/>
  <c r="X457" i="54"/>
  <c r="AD456" i="54"/>
  <c r="AC456" i="54"/>
  <c r="AB456" i="54"/>
  <c r="X456" i="54"/>
  <c r="AD455" i="54"/>
  <c r="AC455" i="54"/>
  <c r="AB455" i="54"/>
  <c r="X455" i="54"/>
  <c r="AD454" i="54"/>
  <c r="AC454" i="54"/>
  <c r="AB454" i="54"/>
  <c r="X454" i="54"/>
  <c r="AD453" i="54"/>
  <c r="AC453" i="54"/>
  <c r="AB453" i="54"/>
  <c r="X453" i="54"/>
  <c r="AD452" i="54"/>
  <c r="AC452" i="54"/>
  <c r="AB452" i="54"/>
  <c r="X452" i="54"/>
  <c r="AD451" i="54"/>
  <c r="AC451" i="54"/>
  <c r="AB451" i="54"/>
  <c r="X451" i="54"/>
  <c r="AD450" i="54"/>
  <c r="AC450" i="54"/>
  <c r="AB450" i="54"/>
  <c r="X450" i="54"/>
  <c r="AD449" i="54"/>
  <c r="AC449" i="54"/>
  <c r="AB449" i="54"/>
  <c r="X449" i="54"/>
  <c r="AD448" i="54"/>
  <c r="AC448" i="54"/>
  <c r="AB448" i="54"/>
  <c r="X448" i="54"/>
  <c r="AD447" i="54"/>
  <c r="AC447" i="54"/>
  <c r="AB447" i="54"/>
  <c r="X447" i="54"/>
  <c r="AD446" i="54"/>
  <c r="AC446" i="54"/>
  <c r="AB446" i="54"/>
  <c r="X446" i="54"/>
  <c r="AD445" i="54"/>
  <c r="AC445" i="54"/>
  <c r="AB445" i="54"/>
  <c r="X445" i="54"/>
  <c r="AD444" i="54"/>
  <c r="AC444" i="54"/>
  <c r="AB444" i="54"/>
  <c r="X444" i="54"/>
  <c r="AD443" i="54"/>
  <c r="AC443" i="54"/>
  <c r="AB443" i="54"/>
  <c r="X443" i="54"/>
  <c r="AD442" i="54"/>
  <c r="AC442" i="54"/>
  <c r="AB442" i="54"/>
  <c r="X442" i="54"/>
  <c r="AD441" i="54"/>
  <c r="AC441" i="54"/>
  <c r="AB441" i="54"/>
  <c r="X441" i="54"/>
  <c r="AD440" i="54"/>
  <c r="AC440" i="54"/>
  <c r="AB440" i="54"/>
  <c r="X440" i="54"/>
  <c r="AD439" i="54"/>
  <c r="AC439" i="54"/>
  <c r="AB439" i="54"/>
  <c r="X439" i="54"/>
  <c r="AD438" i="54"/>
  <c r="AC438" i="54"/>
  <c r="AB438" i="54"/>
  <c r="X438" i="54"/>
  <c r="AD437" i="54"/>
  <c r="AC437" i="54"/>
  <c r="AB437" i="54"/>
  <c r="X437" i="54"/>
  <c r="AD436" i="54"/>
  <c r="AC436" i="54"/>
  <c r="AB436" i="54"/>
  <c r="X436" i="54"/>
  <c r="AD435" i="54"/>
  <c r="AC435" i="54"/>
  <c r="AB435" i="54"/>
  <c r="X435" i="54"/>
  <c r="AD434" i="54"/>
  <c r="AC434" i="54"/>
  <c r="AB434" i="54"/>
  <c r="X434" i="54"/>
  <c r="AD433" i="54"/>
  <c r="AC433" i="54"/>
  <c r="AB433" i="54"/>
  <c r="X433" i="54"/>
  <c r="AD432" i="54"/>
  <c r="AC432" i="54"/>
  <c r="AB432" i="54"/>
  <c r="X432" i="54"/>
  <c r="AD431" i="54"/>
  <c r="AC431" i="54"/>
  <c r="AB431" i="54"/>
  <c r="X431" i="54"/>
  <c r="AD430" i="54"/>
  <c r="AC430" i="54"/>
  <c r="AB430" i="54"/>
  <c r="X430" i="54"/>
  <c r="AD429" i="54"/>
  <c r="AC429" i="54"/>
  <c r="AB429" i="54"/>
  <c r="X429" i="54"/>
  <c r="AD428" i="54"/>
  <c r="AC428" i="54"/>
  <c r="AB428" i="54"/>
  <c r="X428" i="54"/>
  <c r="AD427" i="54"/>
  <c r="AC427" i="54"/>
  <c r="AB427" i="54"/>
  <c r="X427" i="54"/>
  <c r="AD426" i="54"/>
  <c r="AC426" i="54"/>
  <c r="AB426" i="54"/>
  <c r="X426" i="54"/>
  <c r="AD425" i="54"/>
  <c r="AC425" i="54"/>
  <c r="AB425" i="54"/>
  <c r="X425" i="54"/>
  <c r="AD424" i="54"/>
  <c r="AC424" i="54"/>
  <c r="AB424" i="54"/>
  <c r="X424" i="54"/>
  <c r="AD423" i="54"/>
  <c r="AC423" i="54"/>
  <c r="AB423" i="54"/>
  <c r="X423" i="54"/>
  <c r="AD422" i="54"/>
  <c r="AC422" i="54"/>
  <c r="AB422" i="54"/>
  <c r="X422" i="54"/>
  <c r="AD421" i="54"/>
  <c r="AC421" i="54"/>
  <c r="AB421" i="54"/>
  <c r="X421" i="54"/>
  <c r="AD420" i="54"/>
  <c r="AC420" i="54"/>
  <c r="AB420" i="54"/>
  <c r="X420" i="54"/>
  <c r="AD419" i="54"/>
  <c r="AC419" i="54"/>
  <c r="AB419" i="54"/>
  <c r="X419" i="54"/>
  <c r="AD418" i="54"/>
  <c r="AC418" i="54"/>
  <c r="AB418" i="54"/>
  <c r="X418" i="54"/>
  <c r="AD417" i="54"/>
  <c r="AC417" i="54"/>
  <c r="AB417" i="54"/>
  <c r="X417" i="54"/>
  <c r="AD416" i="54"/>
  <c r="AC416" i="54"/>
  <c r="AB416" i="54"/>
  <c r="X416" i="54"/>
  <c r="AD415" i="54"/>
  <c r="AC415" i="54"/>
  <c r="AB415" i="54"/>
  <c r="X415" i="54"/>
  <c r="AD414" i="54"/>
  <c r="AC414" i="54"/>
  <c r="AB414" i="54"/>
  <c r="X414" i="54"/>
  <c r="AD413" i="54"/>
  <c r="AC413" i="54"/>
  <c r="AB413" i="54"/>
  <c r="X413" i="54"/>
  <c r="AD412" i="54"/>
  <c r="AC412" i="54"/>
  <c r="AB412" i="54"/>
  <c r="X412" i="54"/>
  <c r="AD411" i="54"/>
  <c r="AC411" i="54"/>
  <c r="AB411" i="54"/>
  <c r="X411" i="54"/>
  <c r="AD410" i="54"/>
  <c r="AC410" i="54"/>
  <c r="AB410" i="54"/>
  <c r="X410" i="54"/>
  <c r="AD409" i="54"/>
  <c r="AC409" i="54"/>
  <c r="AB409" i="54"/>
  <c r="X409" i="54"/>
  <c r="AD408" i="54"/>
  <c r="AC408" i="54"/>
  <c r="AB408" i="54"/>
  <c r="X408" i="54"/>
  <c r="AD407" i="54"/>
  <c r="AC407" i="54"/>
  <c r="AB407" i="54"/>
  <c r="X407" i="54"/>
  <c r="AD406" i="54"/>
  <c r="AC406" i="54"/>
  <c r="AB406" i="54"/>
  <c r="X406" i="54"/>
  <c r="AD405" i="54"/>
  <c r="AC405" i="54"/>
  <c r="AB405" i="54"/>
  <c r="X405" i="54"/>
  <c r="AD404" i="54"/>
  <c r="AC404" i="54"/>
  <c r="AB404" i="54"/>
  <c r="X404" i="54"/>
  <c r="AD403" i="54"/>
  <c r="AC403" i="54"/>
  <c r="AB403" i="54"/>
  <c r="X403" i="54"/>
  <c r="AD402" i="54"/>
  <c r="AC402" i="54"/>
  <c r="AB402" i="54"/>
  <c r="X402" i="54"/>
  <c r="AD401" i="54"/>
  <c r="AC401" i="54"/>
  <c r="AB401" i="54"/>
  <c r="X401" i="54"/>
  <c r="AD400" i="54"/>
  <c r="AC400" i="54"/>
  <c r="AB400" i="54"/>
  <c r="X400" i="54"/>
  <c r="AD399" i="54"/>
  <c r="AC399" i="54"/>
  <c r="AB399" i="54"/>
  <c r="X399" i="54"/>
  <c r="AD398" i="54"/>
  <c r="AC398" i="54"/>
  <c r="AB398" i="54"/>
  <c r="X398" i="54"/>
  <c r="AD397" i="54"/>
  <c r="AC397" i="54"/>
  <c r="AB397" i="54"/>
  <c r="X397" i="54"/>
  <c r="AD396" i="54"/>
  <c r="AC396" i="54"/>
  <c r="AB396" i="54"/>
  <c r="X396" i="54"/>
  <c r="AD395" i="54"/>
  <c r="AC395" i="54"/>
  <c r="AB395" i="54"/>
  <c r="X395" i="54"/>
  <c r="AD394" i="54"/>
  <c r="AC394" i="54"/>
  <c r="AB394" i="54"/>
  <c r="X394" i="54"/>
  <c r="AD393" i="54"/>
  <c r="AC393" i="54"/>
  <c r="AB393" i="54"/>
  <c r="X393" i="54"/>
  <c r="AD392" i="54"/>
  <c r="AC392" i="54"/>
  <c r="AB392" i="54"/>
  <c r="X392" i="54"/>
  <c r="AD391" i="54"/>
  <c r="AC391" i="54"/>
  <c r="AB391" i="54"/>
  <c r="X391" i="54"/>
  <c r="AD390" i="54"/>
  <c r="AC390" i="54"/>
  <c r="AB390" i="54"/>
  <c r="X390" i="54"/>
  <c r="AD389" i="54"/>
  <c r="AC389" i="54"/>
  <c r="AB389" i="54"/>
  <c r="X389" i="54"/>
  <c r="AD388" i="54"/>
  <c r="AC388" i="54"/>
  <c r="AB388" i="54"/>
  <c r="X388" i="54"/>
  <c r="AD387" i="54"/>
  <c r="AC387" i="54"/>
  <c r="AB387" i="54"/>
  <c r="X387" i="54"/>
  <c r="AD386" i="54"/>
  <c r="AC386" i="54"/>
  <c r="AB386" i="54"/>
  <c r="X386" i="54"/>
  <c r="AD385" i="54"/>
  <c r="AC385" i="54"/>
  <c r="AB385" i="54"/>
  <c r="X385" i="54"/>
  <c r="AD384" i="54"/>
  <c r="AC384" i="54"/>
  <c r="AB384" i="54"/>
  <c r="X384" i="54"/>
  <c r="AD383" i="54"/>
  <c r="AC383" i="54"/>
  <c r="AB383" i="54"/>
  <c r="X383" i="54"/>
  <c r="AD382" i="54"/>
  <c r="AC382" i="54"/>
  <c r="AB382" i="54"/>
  <c r="X382" i="54"/>
  <c r="AD381" i="54"/>
  <c r="AC381" i="54"/>
  <c r="AB381" i="54"/>
  <c r="X381" i="54"/>
  <c r="AD380" i="54"/>
  <c r="AC380" i="54"/>
  <c r="AB380" i="54"/>
  <c r="X380" i="54"/>
  <c r="AD379" i="54"/>
  <c r="AC379" i="54"/>
  <c r="AB379" i="54"/>
  <c r="X379" i="54"/>
  <c r="AD378" i="54"/>
  <c r="AC378" i="54"/>
  <c r="AB378" i="54"/>
  <c r="X378" i="54"/>
  <c r="AD377" i="54"/>
  <c r="AC377" i="54"/>
  <c r="AB377" i="54"/>
  <c r="X377" i="54"/>
  <c r="AD376" i="54"/>
  <c r="AC376" i="54"/>
  <c r="AB376" i="54"/>
  <c r="X376" i="54"/>
  <c r="AD375" i="54"/>
  <c r="AC375" i="54"/>
  <c r="AB375" i="54"/>
  <c r="X375" i="54"/>
  <c r="AD374" i="54"/>
  <c r="AC374" i="54"/>
  <c r="AB374" i="54"/>
  <c r="X374" i="54"/>
  <c r="AD373" i="54"/>
  <c r="AC373" i="54"/>
  <c r="AB373" i="54"/>
  <c r="X373" i="54"/>
  <c r="AD372" i="54"/>
  <c r="AC372" i="54"/>
  <c r="AB372" i="54"/>
  <c r="X372" i="54"/>
  <c r="AD371" i="54"/>
  <c r="AC371" i="54"/>
  <c r="AB371" i="54"/>
  <c r="X371" i="54"/>
  <c r="AD370" i="54"/>
  <c r="AC370" i="54"/>
  <c r="AB370" i="54"/>
  <c r="X370" i="54"/>
  <c r="AD369" i="54"/>
  <c r="AC369" i="54"/>
  <c r="AB369" i="54"/>
  <c r="X369" i="54"/>
  <c r="AD368" i="54"/>
  <c r="AC368" i="54"/>
  <c r="AB368" i="54"/>
  <c r="X368" i="54"/>
  <c r="AD367" i="54"/>
  <c r="AC367" i="54"/>
  <c r="AB367" i="54"/>
  <c r="X367" i="54"/>
  <c r="AD366" i="54"/>
  <c r="AC366" i="54"/>
  <c r="AB366" i="54"/>
  <c r="X366" i="54"/>
  <c r="AD365" i="54"/>
  <c r="AC365" i="54"/>
  <c r="AB365" i="54"/>
  <c r="X365" i="54"/>
  <c r="AD364" i="54"/>
  <c r="AC364" i="54"/>
  <c r="AB364" i="54"/>
  <c r="X364" i="54"/>
  <c r="AD363" i="54"/>
  <c r="AC363" i="54"/>
  <c r="AB363" i="54"/>
  <c r="X363" i="54"/>
  <c r="AD362" i="54"/>
  <c r="AC362" i="54"/>
  <c r="AB362" i="54"/>
  <c r="X362" i="54"/>
  <c r="AD361" i="54"/>
  <c r="AC361" i="54"/>
  <c r="AB361" i="54"/>
  <c r="X361" i="54"/>
  <c r="AD360" i="54"/>
  <c r="AC360" i="54"/>
  <c r="AB360" i="54"/>
  <c r="X360" i="54"/>
  <c r="AD359" i="54"/>
  <c r="AC359" i="54"/>
  <c r="AB359" i="54"/>
  <c r="X359" i="54"/>
  <c r="AD358" i="54"/>
  <c r="AC358" i="54"/>
  <c r="AB358" i="54"/>
  <c r="X358" i="54"/>
  <c r="AD357" i="54"/>
  <c r="AC357" i="54"/>
  <c r="AB357" i="54"/>
  <c r="X357" i="54"/>
  <c r="AD356" i="54"/>
  <c r="AC356" i="54"/>
  <c r="AB356" i="54"/>
  <c r="X356" i="54"/>
  <c r="AD355" i="54"/>
  <c r="AC355" i="54"/>
  <c r="AB355" i="54"/>
  <c r="X355" i="54"/>
  <c r="AD354" i="54"/>
  <c r="AC354" i="54"/>
  <c r="AB354" i="54"/>
  <c r="X354" i="54"/>
  <c r="AD353" i="54"/>
  <c r="AC353" i="54"/>
  <c r="AB353" i="54"/>
  <c r="X353" i="54"/>
  <c r="AD352" i="54"/>
  <c r="AC352" i="54"/>
  <c r="AB352" i="54"/>
  <c r="X352" i="54"/>
  <c r="AD351" i="54"/>
  <c r="AC351" i="54"/>
  <c r="AB351" i="54"/>
  <c r="X351" i="54"/>
  <c r="AD350" i="54"/>
  <c r="AC350" i="54"/>
  <c r="AB350" i="54"/>
  <c r="X350" i="54"/>
  <c r="AD349" i="54"/>
  <c r="AC349" i="54"/>
  <c r="AB349" i="54"/>
  <c r="X349" i="54"/>
  <c r="AD348" i="54"/>
  <c r="AC348" i="54"/>
  <c r="AB348" i="54"/>
  <c r="X348" i="54"/>
  <c r="AD347" i="54"/>
  <c r="AC347" i="54"/>
  <c r="AB347" i="54"/>
  <c r="X347" i="54"/>
  <c r="AD346" i="54"/>
  <c r="AC346" i="54"/>
  <c r="AB346" i="54"/>
  <c r="X346" i="54"/>
  <c r="AD345" i="54"/>
  <c r="AC345" i="54"/>
  <c r="AB345" i="54"/>
  <c r="X345" i="54"/>
  <c r="AD344" i="54"/>
  <c r="AC344" i="54"/>
  <c r="AB344" i="54"/>
  <c r="X344" i="54"/>
  <c r="AD343" i="54"/>
  <c r="AC343" i="54"/>
  <c r="AB343" i="54"/>
  <c r="X343" i="54"/>
  <c r="AD342" i="54"/>
  <c r="AC342" i="54"/>
  <c r="AB342" i="54"/>
  <c r="X342" i="54"/>
  <c r="AD341" i="54"/>
  <c r="AC341" i="54"/>
  <c r="AB341" i="54"/>
  <c r="X341" i="54"/>
  <c r="AD340" i="54"/>
  <c r="AC340" i="54"/>
  <c r="AB340" i="54"/>
  <c r="X340" i="54"/>
  <c r="AD339" i="54"/>
  <c r="AC339" i="54"/>
  <c r="AB339" i="54"/>
  <c r="X339" i="54"/>
  <c r="AD338" i="54"/>
  <c r="AC338" i="54"/>
  <c r="AB338" i="54"/>
  <c r="X338" i="54"/>
  <c r="AD337" i="54"/>
  <c r="AC337" i="54"/>
  <c r="AB337" i="54"/>
  <c r="X337" i="54"/>
  <c r="AD336" i="54"/>
  <c r="AC336" i="54"/>
  <c r="AB336" i="54"/>
  <c r="X336" i="54"/>
  <c r="AD335" i="54"/>
  <c r="AC335" i="54"/>
  <c r="AB335" i="54"/>
  <c r="X335" i="54"/>
  <c r="AD334" i="54"/>
  <c r="AC334" i="54"/>
  <c r="AB334" i="54"/>
  <c r="X334" i="54"/>
  <c r="AD333" i="54"/>
  <c r="AC333" i="54"/>
  <c r="AB333" i="54"/>
  <c r="X333" i="54"/>
  <c r="AD332" i="54"/>
  <c r="AC332" i="54"/>
  <c r="AB332" i="54"/>
  <c r="X332" i="54"/>
  <c r="AD331" i="54"/>
  <c r="AC331" i="54"/>
  <c r="AB331" i="54"/>
  <c r="X331" i="54"/>
  <c r="AD330" i="54"/>
  <c r="AC330" i="54"/>
  <c r="AB330" i="54"/>
  <c r="X330" i="54"/>
  <c r="AD329" i="54"/>
  <c r="AC329" i="54"/>
  <c r="AB329" i="54"/>
  <c r="X329" i="54"/>
  <c r="AD328" i="54"/>
  <c r="AC328" i="54"/>
  <c r="AB328" i="54"/>
  <c r="X328" i="54"/>
  <c r="AD327" i="54"/>
  <c r="AC327" i="54"/>
  <c r="AB327" i="54"/>
  <c r="X327" i="54"/>
  <c r="AD326" i="54"/>
  <c r="AC326" i="54"/>
  <c r="AB326" i="54"/>
  <c r="X326" i="54"/>
  <c r="AD325" i="54"/>
  <c r="AC325" i="54"/>
  <c r="AB325" i="54"/>
  <c r="X325" i="54"/>
  <c r="AD324" i="54"/>
  <c r="AC324" i="54"/>
  <c r="AB324" i="54"/>
  <c r="X324" i="54"/>
  <c r="AD323" i="54"/>
  <c r="AC323" i="54"/>
  <c r="AB323" i="54"/>
  <c r="X323" i="54"/>
  <c r="AD322" i="54"/>
  <c r="AC322" i="54"/>
  <c r="AB322" i="54"/>
  <c r="X322" i="54"/>
  <c r="AD321" i="54"/>
  <c r="AC321" i="54"/>
  <c r="AB321" i="54"/>
  <c r="X321" i="54"/>
  <c r="AD320" i="54"/>
  <c r="AC320" i="54"/>
  <c r="AB320" i="54"/>
  <c r="X320" i="54"/>
  <c r="AD319" i="54"/>
  <c r="AC319" i="54"/>
  <c r="AB319" i="54"/>
  <c r="X319" i="54"/>
  <c r="AD318" i="54"/>
  <c r="AC318" i="54"/>
  <c r="AB318" i="54"/>
  <c r="X318" i="54"/>
  <c r="AD317" i="54"/>
  <c r="AC317" i="54"/>
  <c r="AB317" i="54"/>
  <c r="X317" i="54"/>
  <c r="AD316" i="54"/>
  <c r="AC316" i="54"/>
  <c r="AB316" i="54"/>
  <c r="X316" i="54"/>
  <c r="AD315" i="54"/>
  <c r="AC315" i="54"/>
  <c r="AB315" i="54"/>
  <c r="X315" i="54"/>
  <c r="AD314" i="54"/>
  <c r="AC314" i="54"/>
  <c r="AB314" i="54"/>
  <c r="X314" i="54"/>
  <c r="AD313" i="54"/>
  <c r="AC313" i="54"/>
  <c r="AB313" i="54"/>
  <c r="X313" i="54"/>
  <c r="AD312" i="54"/>
  <c r="AC312" i="54"/>
  <c r="AB312" i="54"/>
  <c r="X312" i="54"/>
  <c r="AD311" i="54"/>
  <c r="AC311" i="54"/>
  <c r="AB311" i="54"/>
  <c r="X311" i="54"/>
  <c r="AD310" i="54"/>
  <c r="AC310" i="54"/>
  <c r="AB310" i="54"/>
  <c r="X310" i="54"/>
  <c r="AD309" i="54"/>
  <c r="AC309" i="54"/>
  <c r="AB309" i="54"/>
  <c r="X309" i="54"/>
  <c r="AD308" i="54"/>
  <c r="AC308" i="54"/>
  <c r="AB308" i="54"/>
  <c r="X308" i="54"/>
  <c r="AD307" i="54"/>
  <c r="AC307" i="54"/>
  <c r="AB307" i="54"/>
  <c r="X307" i="54"/>
  <c r="AD306" i="54"/>
  <c r="AC306" i="54"/>
  <c r="AB306" i="54"/>
  <c r="X306" i="54"/>
  <c r="AD305" i="54"/>
  <c r="AC305" i="54"/>
  <c r="AB305" i="54"/>
  <c r="X305" i="54"/>
  <c r="AD304" i="54"/>
  <c r="AC304" i="54"/>
  <c r="AB304" i="54"/>
  <c r="X304" i="54"/>
  <c r="AD303" i="54"/>
  <c r="AC303" i="54"/>
  <c r="AB303" i="54"/>
  <c r="X303" i="54"/>
  <c r="AD302" i="54"/>
  <c r="AC302" i="54"/>
  <c r="AB302" i="54"/>
  <c r="X302" i="54"/>
  <c r="AD301" i="54"/>
  <c r="AC301" i="54"/>
  <c r="AB301" i="54"/>
  <c r="X301" i="54"/>
  <c r="AD300" i="54"/>
  <c r="AC300" i="54"/>
  <c r="AB300" i="54"/>
  <c r="X300" i="54"/>
  <c r="AD299" i="54"/>
  <c r="AC299" i="54"/>
  <c r="AB299" i="54"/>
  <c r="X299" i="54"/>
  <c r="AD298" i="54"/>
  <c r="AC298" i="54"/>
  <c r="AB298" i="54"/>
  <c r="X298" i="54"/>
  <c r="AD297" i="54"/>
  <c r="AC297" i="54"/>
  <c r="AB297" i="54"/>
  <c r="X297" i="54"/>
  <c r="AD296" i="54"/>
  <c r="AC296" i="54"/>
  <c r="AB296" i="54"/>
  <c r="X296" i="54"/>
  <c r="AD295" i="54"/>
  <c r="AC295" i="54"/>
  <c r="AB295" i="54"/>
  <c r="X295" i="54"/>
  <c r="AD294" i="54"/>
  <c r="AC294" i="54"/>
  <c r="AB294" i="54"/>
  <c r="X294" i="54"/>
  <c r="AD293" i="54"/>
  <c r="AC293" i="54"/>
  <c r="AB293" i="54"/>
  <c r="X293" i="54"/>
  <c r="AD292" i="54"/>
  <c r="AC292" i="54"/>
  <c r="AB292" i="54"/>
  <c r="X292" i="54"/>
  <c r="AD291" i="54"/>
  <c r="AC291" i="54"/>
  <c r="AB291" i="54"/>
  <c r="X291" i="54"/>
  <c r="AD290" i="54"/>
  <c r="AC290" i="54"/>
  <c r="AB290" i="54"/>
  <c r="X290" i="54"/>
  <c r="AD289" i="54"/>
  <c r="AC289" i="54"/>
  <c r="AB289" i="54"/>
  <c r="X289" i="54"/>
  <c r="AD288" i="54"/>
  <c r="AC288" i="54"/>
  <c r="AB288" i="54"/>
  <c r="X288" i="54"/>
  <c r="AD287" i="54"/>
  <c r="AC287" i="54"/>
  <c r="AB287" i="54"/>
  <c r="X287" i="54"/>
  <c r="AD286" i="54"/>
  <c r="AC286" i="54"/>
  <c r="AB286" i="54"/>
  <c r="X286" i="54"/>
  <c r="AD285" i="54"/>
  <c r="AC285" i="54"/>
  <c r="AB285" i="54"/>
  <c r="X285" i="54"/>
  <c r="AD284" i="54"/>
  <c r="AC284" i="54"/>
  <c r="AB284" i="54"/>
  <c r="X284" i="54"/>
  <c r="AD283" i="54"/>
  <c r="AC283" i="54"/>
  <c r="AB283" i="54"/>
  <c r="X283" i="54"/>
  <c r="AD282" i="54"/>
  <c r="AC282" i="54"/>
  <c r="AB282" i="54"/>
  <c r="X282" i="54"/>
  <c r="AD281" i="54"/>
  <c r="AC281" i="54"/>
  <c r="AB281" i="54"/>
  <c r="X281" i="54"/>
  <c r="AD280" i="54"/>
  <c r="AC280" i="54"/>
  <c r="AB280" i="54"/>
  <c r="X280" i="54"/>
  <c r="AD279" i="54"/>
  <c r="AC279" i="54"/>
  <c r="AB279" i="54"/>
  <c r="X279" i="54"/>
  <c r="AD278" i="54"/>
  <c r="AC278" i="54"/>
  <c r="AB278" i="54"/>
  <c r="X278" i="54"/>
  <c r="AD277" i="54"/>
  <c r="AC277" i="54"/>
  <c r="AB277" i="54"/>
  <c r="X277" i="54"/>
  <c r="AD276" i="54"/>
  <c r="AC276" i="54"/>
  <c r="AB276" i="54"/>
  <c r="X276" i="54"/>
  <c r="AD275" i="54"/>
  <c r="AC275" i="54"/>
  <c r="AB275" i="54"/>
  <c r="X275" i="54"/>
  <c r="AD274" i="54"/>
  <c r="AC274" i="54"/>
  <c r="AB274" i="54"/>
  <c r="X274" i="54"/>
  <c r="AD273" i="54"/>
  <c r="AC273" i="54"/>
  <c r="AB273" i="54"/>
  <c r="X273" i="54"/>
  <c r="AD272" i="54"/>
  <c r="AC272" i="54"/>
  <c r="AB272" i="54"/>
  <c r="X272" i="54"/>
  <c r="AD271" i="54"/>
  <c r="AC271" i="54"/>
  <c r="AB271" i="54"/>
  <c r="X271" i="54"/>
  <c r="AD270" i="54"/>
  <c r="AC270" i="54"/>
  <c r="AB270" i="54"/>
  <c r="X270" i="54"/>
  <c r="AD269" i="54"/>
  <c r="AC269" i="54"/>
  <c r="AB269" i="54"/>
  <c r="X269" i="54"/>
  <c r="AD268" i="54"/>
  <c r="AC268" i="54"/>
  <c r="AB268" i="54"/>
  <c r="X268" i="54"/>
  <c r="AD267" i="54"/>
  <c r="AC267" i="54"/>
  <c r="AB267" i="54"/>
  <c r="X267" i="54"/>
  <c r="AD266" i="54"/>
  <c r="AC266" i="54"/>
  <c r="AB266" i="54"/>
  <c r="X266" i="54"/>
  <c r="AD265" i="54"/>
  <c r="AC265" i="54"/>
  <c r="AB265" i="54"/>
  <c r="X265" i="54"/>
  <c r="AD264" i="54"/>
  <c r="AC264" i="54"/>
  <c r="AB264" i="54"/>
  <c r="X264" i="54"/>
  <c r="AD263" i="54"/>
  <c r="AC263" i="54"/>
  <c r="AB263" i="54"/>
  <c r="X263" i="54"/>
  <c r="AD262" i="54"/>
  <c r="AC262" i="54"/>
  <c r="AB262" i="54"/>
  <c r="X262" i="54"/>
  <c r="AD261" i="54"/>
  <c r="AC261" i="54"/>
  <c r="AB261" i="54"/>
  <c r="X261" i="54"/>
  <c r="AD260" i="54"/>
  <c r="AC260" i="54"/>
  <c r="AB260" i="54"/>
  <c r="X260" i="54"/>
  <c r="AD259" i="54"/>
  <c r="AC259" i="54"/>
  <c r="AB259" i="54"/>
  <c r="X259" i="54"/>
  <c r="AD258" i="54"/>
  <c r="AC258" i="54"/>
  <c r="AB258" i="54"/>
  <c r="X258" i="54"/>
  <c r="AD257" i="54"/>
  <c r="AC257" i="54"/>
  <c r="AB257" i="54"/>
  <c r="X257" i="54"/>
  <c r="AD256" i="54"/>
  <c r="AC256" i="54"/>
  <c r="AB256" i="54"/>
  <c r="X256" i="54"/>
  <c r="AD255" i="54"/>
  <c r="AC255" i="54"/>
  <c r="AB255" i="54"/>
  <c r="X255" i="54"/>
  <c r="AD254" i="54"/>
  <c r="AC254" i="54"/>
  <c r="AB254" i="54"/>
  <c r="X254" i="54"/>
  <c r="AD253" i="54"/>
  <c r="AC253" i="54"/>
  <c r="AB253" i="54"/>
  <c r="X253" i="54"/>
  <c r="AD252" i="54"/>
  <c r="AC252" i="54"/>
  <c r="AB252" i="54"/>
  <c r="X252" i="54"/>
  <c r="AD251" i="54"/>
  <c r="AC251" i="54"/>
  <c r="AB251" i="54"/>
  <c r="X251" i="54"/>
  <c r="AD250" i="54"/>
  <c r="AC250" i="54"/>
  <c r="AB250" i="54"/>
  <c r="X250" i="54"/>
  <c r="AD249" i="54"/>
  <c r="AC249" i="54"/>
  <c r="AB249" i="54"/>
  <c r="X249" i="54"/>
  <c r="AD248" i="54"/>
  <c r="AC248" i="54"/>
  <c r="AB248" i="54"/>
  <c r="X248" i="54"/>
  <c r="AD247" i="54"/>
  <c r="AC247" i="54"/>
  <c r="AB247" i="54"/>
  <c r="X247" i="54"/>
  <c r="AD246" i="54"/>
  <c r="AC246" i="54"/>
  <c r="AB246" i="54"/>
  <c r="X246" i="54"/>
  <c r="AD245" i="54"/>
  <c r="AC245" i="54"/>
  <c r="AB245" i="54"/>
  <c r="X245" i="54"/>
  <c r="AD244" i="54"/>
  <c r="AC244" i="54"/>
  <c r="AB244" i="54"/>
  <c r="X244" i="54"/>
  <c r="AD243" i="54"/>
  <c r="AC243" i="54"/>
  <c r="AB243" i="54"/>
  <c r="X243" i="54"/>
  <c r="AD242" i="54"/>
  <c r="AC242" i="54"/>
  <c r="AB242" i="54"/>
  <c r="X242" i="54"/>
  <c r="AD241" i="54"/>
  <c r="AC241" i="54"/>
  <c r="AB241" i="54"/>
  <c r="X241" i="54"/>
  <c r="AD240" i="54"/>
  <c r="AC240" i="54"/>
  <c r="AB240" i="54"/>
  <c r="X240" i="54"/>
  <c r="AD239" i="54"/>
  <c r="AC239" i="54"/>
  <c r="AB239" i="54"/>
  <c r="X239" i="54"/>
  <c r="AD238" i="54"/>
  <c r="AC238" i="54"/>
  <c r="AB238" i="54"/>
  <c r="X238" i="54"/>
  <c r="AD237" i="54"/>
  <c r="AC237" i="54"/>
  <c r="AB237" i="54"/>
  <c r="X237" i="54"/>
  <c r="AD236" i="54"/>
  <c r="AC236" i="54"/>
  <c r="AB236" i="54"/>
  <c r="X236" i="54"/>
  <c r="AD235" i="54"/>
  <c r="AC235" i="54"/>
  <c r="AB235" i="54"/>
  <c r="X235" i="54"/>
  <c r="AD234" i="54"/>
  <c r="AC234" i="54"/>
  <c r="AB234" i="54"/>
  <c r="X234" i="54"/>
  <c r="AD233" i="54"/>
  <c r="AC233" i="54"/>
  <c r="AB233" i="54"/>
  <c r="X233" i="54"/>
  <c r="AD232" i="54"/>
  <c r="AC232" i="54"/>
  <c r="AB232" i="54"/>
  <c r="X232" i="54"/>
  <c r="AD231" i="54"/>
  <c r="AC231" i="54"/>
  <c r="AB231" i="54"/>
  <c r="X231" i="54"/>
  <c r="AD230" i="54"/>
  <c r="AC230" i="54"/>
  <c r="AB230" i="54"/>
  <c r="X230" i="54"/>
  <c r="AD229" i="54"/>
  <c r="AC229" i="54"/>
  <c r="AB229" i="54"/>
  <c r="X229" i="54"/>
  <c r="AD228" i="54"/>
  <c r="AC228" i="54"/>
  <c r="AB228" i="54"/>
  <c r="X228" i="54"/>
  <c r="AD227" i="54"/>
  <c r="AC227" i="54"/>
  <c r="AB227" i="54"/>
  <c r="X227" i="54"/>
  <c r="AD226" i="54"/>
  <c r="AC226" i="54"/>
  <c r="AB226" i="54"/>
  <c r="X226" i="54"/>
  <c r="AD225" i="54"/>
  <c r="AC225" i="54"/>
  <c r="AB225" i="54"/>
  <c r="X225" i="54"/>
  <c r="AD224" i="54"/>
  <c r="AC224" i="54"/>
  <c r="AB224" i="54"/>
  <c r="X224" i="54"/>
  <c r="AD223" i="54"/>
  <c r="AC223" i="54"/>
  <c r="AB223" i="54"/>
  <c r="X223" i="54"/>
  <c r="AD222" i="54"/>
  <c r="AC222" i="54"/>
  <c r="AB222" i="54"/>
  <c r="X222" i="54"/>
  <c r="AD221" i="54"/>
  <c r="AC221" i="54"/>
  <c r="AB221" i="54"/>
  <c r="X221" i="54"/>
  <c r="AD220" i="54"/>
  <c r="AC220" i="54"/>
  <c r="AB220" i="54"/>
  <c r="X220" i="54"/>
  <c r="AD219" i="54"/>
  <c r="AC219" i="54"/>
  <c r="AB219" i="54"/>
  <c r="X219" i="54"/>
  <c r="AD218" i="54"/>
  <c r="AC218" i="54"/>
  <c r="AB218" i="54"/>
  <c r="X218" i="54"/>
  <c r="AD217" i="54"/>
  <c r="AC217" i="54"/>
  <c r="AB217" i="54"/>
  <c r="X217" i="54"/>
  <c r="AD216" i="54"/>
  <c r="AC216" i="54"/>
  <c r="AB216" i="54"/>
  <c r="X216" i="54"/>
  <c r="AD215" i="54"/>
  <c r="AC215" i="54"/>
  <c r="AB215" i="54"/>
  <c r="X215" i="54"/>
  <c r="AD214" i="54"/>
  <c r="AC214" i="54"/>
  <c r="AB214" i="54"/>
  <c r="X214" i="54"/>
  <c r="AD213" i="54"/>
  <c r="AC213" i="54"/>
  <c r="AB213" i="54"/>
  <c r="X213" i="54"/>
  <c r="AD212" i="54"/>
  <c r="AC212" i="54"/>
  <c r="AB212" i="54"/>
  <c r="X212" i="54"/>
  <c r="AD211" i="54"/>
  <c r="AC211" i="54"/>
  <c r="AB211" i="54"/>
  <c r="X211" i="54"/>
  <c r="AD210" i="54"/>
  <c r="AC210" i="54"/>
  <c r="AB210" i="54"/>
  <c r="X210" i="54"/>
  <c r="AD209" i="54"/>
  <c r="AC209" i="54"/>
  <c r="AB209" i="54"/>
  <c r="X209" i="54"/>
  <c r="AD208" i="54"/>
  <c r="AC208" i="54"/>
  <c r="AB208" i="54"/>
  <c r="X208" i="54"/>
  <c r="AD207" i="54"/>
  <c r="AC207" i="54"/>
  <c r="AB207" i="54"/>
  <c r="X207" i="54"/>
  <c r="AD206" i="54"/>
  <c r="AC206" i="54"/>
  <c r="AB206" i="54"/>
  <c r="X206" i="54"/>
  <c r="AD205" i="54"/>
  <c r="AC205" i="54"/>
  <c r="AB205" i="54"/>
  <c r="X205" i="54"/>
  <c r="AD204" i="54"/>
  <c r="AC204" i="54"/>
  <c r="AB204" i="54"/>
  <c r="X204" i="54"/>
  <c r="AD203" i="54"/>
  <c r="AC203" i="54"/>
  <c r="AB203" i="54"/>
  <c r="X203" i="54"/>
  <c r="AD202" i="54"/>
  <c r="AC202" i="54"/>
  <c r="AB202" i="54"/>
  <c r="X202" i="54"/>
  <c r="AD201" i="54"/>
  <c r="AC201" i="54"/>
  <c r="AB201" i="54"/>
  <c r="X201" i="54"/>
  <c r="AD200" i="54"/>
  <c r="AC200" i="54"/>
  <c r="AB200" i="54"/>
  <c r="X200" i="54"/>
  <c r="AD199" i="54"/>
  <c r="AC199" i="54"/>
  <c r="AB199" i="54"/>
  <c r="X199" i="54"/>
  <c r="AD198" i="54"/>
  <c r="AC198" i="54"/>
  <c r="AB198" i="54"/>
  <c r="X198" i="54"/>
  <c r="AD197" i="54"/>
  <c r="AC197" i="54"/>
  <c r="AB197" i="54"/>
  <c r="X197" i="54"/>
  <c r="AD196" i="54"/>
  <c r="AC196" i="54"/>
  <c r="AB196" i="54"/>
  <c r="X196" i="54"/>
  <c r="AD195" i="54"/>
  <c r="AC195" i="54"/>
  <c r="AB195" i="54"/>
  <c r="X195" i="54"/>
  <c r="AD194" i="54"/>
  <c r="AC194" i="54"/>
  <c r="AB194" i="54"/>
  <c r="X194" i="54"/>
  <c r="AD193" i="54"/>
  <c r="AC193" i="54"/>
  <c r="AB193" i="54"/>
  <c r="X193" i="54"/>
  <c r="AD192" i="54"/>
  <c r="AC192" i="54"/>
  <c r="AB192" i="54"/>
  <c r="X192" i="54"/>
  <c r="AD191" i="54"/>
  <c r="AC191" i="54"/>
  <c r="AB191" i="54"/>
  <c r="X191" i="54"/>
  <c r="AD190" i="54"/>
  <c r="AC190" i="54"/>
  <c r="AB190" i="54"/>
  <c r="X190" i="54"/>
  <c r="AD189" i="54"/>
  <c r="AC189" i="54"/>
  <c r="AB189" i="54"/>
  <c r="X189" i="54"/>
  <c r="AD188" i="54"/>
  <c r="AC188" i="54"/>
  <c r="AB188" i="54"/>
  <c r="X188" i="54"/>
  <c r="AD187" i="54"/>
  <c r="AC187" i="54"/>
  <c r="AB187" i="54"/>
  <c r="X187" i="54"/>
  <c r="AD186" i="54"/>
  <c r="AC186" i="54"/>
  <c r="AB186" i="54"/>
  <c r="X186" i="54"/>
  <c r="AD185" i="54"/>
  <c r="AC185" i="54"/>
  <c r="AB185" i="54"/>
  <c r="X185" i="54"/>
  <c r="AD184" i="54"/>
  <c r="AC184" i="54"/>
  <c r="AB184" i="54"/>
  <c r="X184" i="54"/>
  <c r="AD183" i="54"/>
  <c r="AC183" i="54"/>
  <c r="AB183" i="54"/>
  <c r="X183" i="54"/>
  <c r="AD182" i="54"/>
  <c r="AC182" i="54"/>
  <c r="AB182" i="54"/>
  <c r="X182" i="54"/>
  <c r="AD181" i="54"/>
  <c r="AC181" i="54"/>
  <c r="AB181" i="54"/>
  <c r="X181" i="54"/>
  <c r="AD180" i="54"/>
  <c r="AC180" i="54"/>
  <c r="AB180" i="54"/>
  <c r="X180" i="54"/>
  <c r="AD179" i="54"/>
  <c r="AC179" i="54"/>
  <c r="AB179" i="54"/>
  <c r="X179" i="54"/>
  <c r="AD178" i="54"/>
  <c r="AC178" i="54"/>
  <c r="AB178" i="54"/>
  <c r="X178" i="54"/>
  <c r="AD177" i="54"/>
  <c r="AC177" i="54"/>
  <c r="AB177" i="54"/>
  <c r="X177" i="54"/>
  <c r="AD176" i="54"/>
  <c r="AC176" i="54"/>
  <c r="AB176" i="54"/>
  <c r="X176" i="54"/>
  <c r="AD175" i="54"/>
  <c r="AC175" i="54"/>
  <c r="AB175" i="54"/>
  <c r="X175" i="54"/>
  <c r="AD174" i="54"/>
  <c r="AC174" i="54"/>
  <c r="AB174" i="54"/>
  <c r="X174" i="54"/>
  <c r="AD173" i="54"/>
  <c r="AC173" i="54"/>
  <c r="AB173" i="54"/>
  <c r="X173" i="54"/>
  <c r="AD172" i="54"/>
  <c r="AC172" i="54"/>
  <c r="AB172" i="54"/>
  <c r="X172" i="54"/>
  <c r="AD171" i="54"/>
  <c r="AC171" i="54"/>
  <c r="AB171" i="54"/>
  <c r="X171" i="54"/>
  <c r="AD170" i="54"/>
  <c r="AC170" i="54"/>
  <c r="AB170" i="54"/>
  <c r="X170" i="54"/>
  <c r="AD169" i="54"/>
  <c r="AC169" i="54"/>
  <c r="AB169" i="54"/>
  <c r="X169" i="54"/>
  <c r="AD168" i="54"/>
  <c r="AC168" i="54"/>
  <c r="AB168" i="54"/>
  <c r="X168" i="54"/>
  <c r="AD167" i="54"/>
  <c r="AC167" i="54"/>
  <c r="AB167" i="54"/>
  <c r="X167" i="54"/>
  <c r="AD166" i="54"/>
  <c r="AC166" i="54"/>
  <c r="AB166" i="54"/>
  <c r="X166" i="54"/>
  <c r="AD165" i="54"/>
  <c r="AC165" i="54"/>
  <c r="AB165" i="54"/>
  <c r="X165" i="54"/>
  <c r="AD164" i="54"/>
  <c r="AC164" i="54"/>
  <c r="AB164" i="54"/>
  <c r="X164" i="54"/>
  <c r="AD163" i="54"/>
  <c r="AC163" i="54"/>
  <c r="AB163" i="54"/>
  <c r="X163" i="54"/>
  <c r="AD162" i="54"/>
  <c r="AC162" i="54"/>
  <c r="AB162" i="54"/>
  <c r="X162" i="54"/>
  <c r="AD161" i="54"/>
  <c r="AC161" i="54"/>
  <c r="AB161" i="54"/>
  <c r="X161" i="54"/>
  <c r="AD160" i="54"/>
  <c r="AC160" i="54"/>
  <c r="AB160" i="54"/>
  <c r="X160" i="54"/>
  <c r="AD159" i="54"/>
  <c r="AC159" i="54"/>
  <c r="AB159" i="54"/>
  <c r="X159" i="54"/>
  <c r="AD158" i="54"/>
  <c r="AC158" i="54"/>
  <c r="AB158" i="54"/>
  <c r="X158" i="54"/>
  <c r="AD157" i="54"/>
  <c r="AC157" i="54"/>
  <c r="AB157" i="54"/>
  <c r="X157" i="54"/>
  <c r="AD156" i="54"/>
  <c r="AC156" i="54"/>
  <c r="AB156" i="54"/>
  <c r="X156" i="54"/>
  <c r="AD155" i="54"/>
  <c r="AC155" i="54"/>
  <c r="AB155" i="54"/>
  <c r="X155" i="54"/>
  <c r="AD154" i="54"/>
  <c r="AC154" i="54"/>
  <c r="AB154" i="54"/>
  <c r="X154" i="54"/>
  <c r="AD153" i="54"/>
  <c r="AC153" i="54"/>
  <c r="AB153" i="54"/>
  <c r="X153" i="54"/>
  <c r="AD152" i="54"/>
  <c r="AC152" i="54"/>
  <c r="AB152" i="54"/>
  <c r="X152" i="54"/>
  <c r="AD151" i="54"/>
  <c r="AC151" i="54"/>
  <c r="AB151" i="54"/>
  <c r="X151" i="54"/>
  <c r="AD150" i="54"/>
  <c r="AC150" i="54"/>
  <c r="AB150" i="54"/>
  <c r="X150" i="54"/>
  <c r="AD149" i="54"/>
  <c r="AC149" i="54"/>
  <c r="AB149" i="54"/>
  <c r="X149" i="54"/>
  <c r="AD148" i="54"/>
  <c r="AC148" i="54"/>
  <c r="AB148" i="54"/>
  <c r="X148" i="54"/>
  <c r="AD147" i="54"/>
  <c r="AC147" i="54"/>
  <c r="AB147" i="54"/>
  <c r="X147" i="54"/>
  <c r="AD146" i="54"/>
  <c r="AC146" i="54"/>
  <c r="AB146" i="54"/>
  <c r="X146" i="54"/>
  <c r="AD145" i="54"/>
  <c r="AC145" i="54"/>
  <c r="AB145" i="54"/>
  <c r="X145" i="54"/>
  <c r="AD144" i="54"/>
  <c r="AC144" i="54"/>
  <c r="AB144" i="54"/>
  <c r="X144" i="54"/>
  <c r="AD143" i="54"/>
  <c r="AC143" i="54"/>
  <c r="AB143" i="54"/>
  <c r="X143" i="54"/>
  <c r="AD142" i="54"/>
  <c r="AC142" i="54"/>
  <c r="AB142" i="54"/>
  <c r="X142" i="54"/>
  <c r="AD141" i="54"/>
  <c r="AC141" i="54"/>
  <c r="AB141" i="54"/>
  <c r="X141" i="54"/>
  <c r="AD140" i="54"/>
  <c r="AC140" i="54"/>
  <c r="AB140" i="54"/>
  <c r="X140" i="54"/>
  <c r="AD139" i="54"/>
  <c r="AC139" i="54"/>
  <c r="AB139" i="54"/>
  <c r="X139" i="54"/>
  <c r="AD138" i="54"/>
  <c r="AC138" i="54"/>
  <c r="AB138" i="54"/>
  <c r="X138" i="54"/>
  <c r="AD137" i="54"/>
  <c r="AC137" i="54"/>
  <c r="AB137" i="54"/>
  <c r="X137" i="54"/>
  <c r="AD136" i="54"/>
  <c r="AC136" i="54"/>
  <c r="AB136" i="54"/>
  <c r="X136" i="54"/>
  <c r="AD135" i="54"/>
  <c r="AC135" i="54"/>
  <c r="AB135" i="54"/>
  <c r="X135" i="54"/>
  <c r="AD134" i="54"/>
  <c r="AC134" i="54"/>
  <c r="AB134" i="54"/>
  <c r="X134" i="54"/>
  <c r="AD133" i="54"/>
  <c r="AC133" i="54"/>
  <c r="AB133" i="54"/>
  <c r="X133" i="54"/>
  <c r="AD132" i="54"/>
  <c r="AC132" i="54"/>
  <c r="AB132" i="54"/>
  <c r="X132" i="54"/>
  <c r="AD131" i="54"/>
  <c r="AC131" i="54"/>
  <c r="AB131" i="54"/>
  <c r="X131" i="54"/>
  <c r="AD130" i="54"/>
  <c r="AC130" i="54"/>
  <c r="AB130" i="54"/>
  <c r="X130" i="54"/>
  <c r="AD129" i="54"/>
  <c r="AC129" i="54"/>
  <c r="AB129" i="54"/>
  <c r="X129" i="54"/>
  <c r="AD128" i="54"/>
  <c r="AC128" i="54"/>
  <c r="AB128" i="54"/>
  <c r="X128" i="54"/>
  <c r="AD127" i="54"/>
  <c r="AC127" i="54"/>
  <c r="AB127" i="54"/>
  <c r="X127" i="54"/>
  <c r="AD126" i="54"/>
  <c r="AC126" i="54"/>
  <c r="AB126" i="54"/>
  <c r="X126" i="54"/>
  <c r="AD125" i="54"/>
  <c r="AC125" i="54"/>
  <c r="AB125" i="54"/>
  <c r="X125" i="54"/>
  <c r="AD124" i="54"/>
  <c r="AC124" i="54"/>
  <c r="AB124" i="54"/>
  <c r="X124" i="54"/>
  <c r="AD123" i="54"/>
  <c r="AC123" i="54"/>
  <c r="AB123" i="54"/>
  <c r="X123" i="54"/>
  <c r="AD122" i="54"/>
  <c r="AC122" i="54"/>
  <c r="AB122" i="54"/>
  <c r="X122" i="54"/>
  <c r="AD121" i="54"/>
  <c r="AC121" i="54"/>
  <c r="AB121" i="54"/>
  <c r="X121" i="54"/>
  <c r="AD120" i="54"/>
  <c r="AC120" i="54"/>
  <c r="AB120" i="54"/>
  <c r="X120" i="54"/>
  <c r="AD119" i="54"/>
  <c r="AC119" i="54"/>
  <c r="AB119" i="54"/>
  <c r="X119" i="54"/>
  <c r="AD118" i="54"/>
  <c r="AC118" i="54"/>
  <c r="AB118" i="54"/>
  <c r="X118" i="54"/>
  <c r="AD117" i="54"/>
  <c r="AC117" i="54"/>
  <c r="AB117" i="54"/>
  <c r="X117" i="54"/>
  <c r="AD116" i="54"/>
  <c r="AC116" i="54"/>
  <c r="AB116" i="54"/>
  <c r="X116" i="54"/>
  <c r="AD115" i="54"/>
  <c r="AC115" i="54"/>
  <c r="AB115" i="54"/>
  <c r="X115" i="54"/>
  <c r="AD114" i="54"/>
  <c r="AC114" i="54"/>
  <c r="AB114" i="54"/>
  <c r="X114" i="54"/>
  <c r="AD113" i="54"/>
  <c r="AC113" i="54"/>
  <c r="AB113" i="54"/>
  <c r="X113" i="54"/>
  <c r="AD112" i="54"/>
  <c r="AC112" i="54"/>
  <c r="AB112" i="54"/>
  <c r="X112" i="54"/>
  <c r="AD111" i="54"/>
  <c r="AC111" i="54"/>
  <c r="AB111" i="54"/>
  <c r="X111" i="54"/>
  <c r="AD110" i="54"/>
  <c r="AC110" i="54"/>
  <c r="AB110" i="54"/>
  <c r="X110" i="54"/>
  <c r="AD109" i="54"/>
  <c r="AC109" i="54"/>
  <c r="AB109" i="54"/>
  <c r="X109" i="54"/>
  <c r="AD108" i="54"/>
  <c r="AC108" i="54"/>
  <c r="AB108" i="54"/>
  <c r="X108" i="54"/>
  <c r="AD107" i="54"/>
  <c r="AC107" i="54"/>
  <c r="AB107" i="54"/>
  <c r="X107" i="54"/>
  <c r="AD106" i="54"/>
  <c r="AC106" i="54"/>
  <c r="AB106" i="54"/>
  <c r="X106" i="54"/>
  <c r="AD105" i="54"/>
  <c r="AC105" i="54"/>
  <c r="AB105" i="54"/>
  <c r="X105" i="54"/>
  <c r="AD104" i="54"/>
  <c r="AC104" i="54"/>
  <c r="AB104" i="54"/>
  <c r="X104" i="54"/>
  <c r="AD103" i="54"/>
  <c r="AC103" i="54"/>
  <c r="AB103" i="54"/>
  <c r="X103" i="54"/>
  <c r="AD102" i="54"/>
  <c r="AC102" i="54"/>
  <c r="AB102" i="54"/>
  <c r="X102" i="54"/>
  <c r="AD101" i="54"/>
  <c r="AC101" i="54"/>
  <c r="AB101" i="54"/>
  <c r="X101" i="54"/>
  <c r="AD100" i="54"/>
  <c r="AC100" i="54"/>
  <c r="AB100" i="54"/>
  <c r="X100" i="54"/>
  <c r="AD99" i="54"/>
  <c r="AC99" i="54"/>
  <c r="AB99" i="54"/>
  <c r="X99" i="54"/>
  <c r="AD98" i="54"/>
  <c r="AC98" i="54"/>
  <c r="AB98" i="54"/>
  <c r="X98" i="54"/>
  <c r="AD97" i="54"/>
  <c r="AC97" i="54"/>
  <c r="AB97" i="54"/>
  <c r="X97" i="54"/>
  <c r="AD96" i="54"/>
  <c r="AC96" i="54"/>
  <c r="AB96" i="54"/>
  <c r="X96" i="54"/>
  <c r="AD95" i="54"/>
  <c r="AC95" i="54"/>
  <c r="AB95" i="54"/>
  <c r="X95" i="54"/>
  <c r="AD94" i="54"/>
  <c r="AC94" i="54"/>
  <c r="AB94" i="54"/>
  <c r="X94" i="54"/>
  <c r="AD93" i="54"/>
  <c r="AC93" i="54"/>
  <c r="AB93" i="54"/>
  <c r="X93" i="54"/>
  <c r="AD92" i="54"/>
  <c r="AC92" i="54"/>
  <c r="AB92" i="54"/>
  <c r="X92" i="54"/>
  <c r="AD91" i="54"/>
  <c r="AC91" i="54"/>
  <c r="AB91" i="54"/>
  <c r="X91" i="54"/>
  <c r="AD90" i="54"/>
  <c r="AC90" i="54"/>
  <c r="AB90" i="54"/>
  <c r="X90" i="54"/>
  <c r="AD89" i="54"/>
  <c r="AC89" i="54"/>
  <c r="AB89" i="54"/>
  <c r="X89" i="54"/>
  <c r="AD88" i="54"/>
  <c r="AC88" i="54"/>
  <c r="AB88" i="54"/>
  <c r="X88" i="54"/>
  <c r="AD87" i="54"/>
  <c r="AC87" i="54"/>
  <c r="AB87" i="54"/>
  <c r="X87" i="54"/>
  <c r="AD86" i="54"/>
  <c r="AC86" i="54"/>
  <c r="AB86" i="54"/>
  <c r="X86" i="54"/>
  <c r="AD85" i="54"/>
  <c r="AC85" i="54"/>
  <c r="AB85" i="54"/>
  <c r="X85" i="54"/>
  <c r="AD84" i="54"/>
  <c r="AC84" i="54"/>
  <c r="AB84" i="54"/>
  <c r="X84" i="54"/>
  <c r="AD83" i="54"/>
  <c r="AC83" i="54"/>
  <c r="AB83" i="54"/>
  <c r="X83" i="54"/>
  <c r="AD82" i="54"/>
  <c r="AC82" i="54"/>
  <c r="AB82" i="54"/>
  <c r="X82" i="54"/>
  <c r="AD81" i="54"/>
  <c r="AC81" i="54"/>
  <c r="AB81" i="54"/>
  <c r="X81" i="54"/>
  <c r="AD80" i="54"/>
  <c r="AC80" i="54"/>
  <c r="AB80" i="54"/>
  <c r="X80" i="54"/>
  <c r="AD79" i="54"/>
  <c r="AC79" i="54"/>
  <c r="AB79" i="54"/>
  <c r="X79" i="54"/>
  <c r="AD78" i="54"/>
  <c r="AC78" i="54"/>
  <c r="AB78" i="54"/>
  <c r="X78" i="54"/>
  <c r="AD77" i="54"/>
  <c r="AC77" i="54"/>
  <c r="AB77" i="54"/>
  <c r="X77" i="54"/>
  <c r="AD76" i="54"/>
  <c r="AC76" i="54"/>
  <c r="AB76" i="54"/>
  <c r="X76" i="54"/>
  <c r="AD75" i="54"/>
  <c r="AC75" i="54"/>
  <c r="AB75" i="54"/>
  <c r="X75" i="54"/>
  <c r="AD74" i="54"/>
  <c r="AC74" i="54"/>
  <c r="AB74" i="54"/>
  <c r="X74" i="54"/>
  <c r="AD73" i="54"/>
  <c r="AC73" i="54"/>
  <c r="AB73" i="54"/>
  <c r="X73" i="54"/>
  <c r="AD72" i="54"/>
  <c r="AC72" i="54"/>
  <c r="AB72" i="54"/>
  <c r="X72" i="54"/>
  <c r="AD71" i="54"/>
  <c r="AC71" i="54"/>
  <c r="AB71" i="54"/>
  <c r="X71" i="54"/>
  <c r="AD70" i="54"/>
  <c r="AC70" i="54"/>
  <c r="AB70" i="54"/>
  <c r="X70" i="54"/>
  <c r="AD69" i="54"/>
  <c r="AC69" i="54"/>
  <c r="AB69" i="54"/>
  <c r="X69" i="54"/>
  <c r="AD68" i="54"/>
  <c r="AC68" i="54"/>
  <c r="AB68" i="54"/>
  <c r="X68" i="54"/>
  <c r="AD67" i="54"/>
  <c r="AC67" i="54"/>
  <c r="AB67" i="54"/>
  <c r="X67" i="54"/>
  <c r="AD66" i="54"/>
  <c r="AC66" i="54"/>
  <c r="AB66" i="54"/>
  <c r="X66" i="54"/>
  <c r="AD65" i="54"/>
  <c r="AC65" i="54"/>
  <c r="AB65" i="54"/>
  <c r="X65" i="54"/>
  <c r="AD64" i="54"/>
  <c r="AC64" i="54"/>
  <c r="AB64" i="54"/>
  <c r="X64" i="54"/>
  <c r="AD63" i="54"/>
  <c r="AC63" i="54"/>
  <c r="AB63" i="54"/>
  <c r="X63" i="54"/>
  <c r="AD62" i="54"/>
  <c r="AC62" i="54"/>
  <c r="AB62" i="54"/>
  <c r="X62" i="54"/>
  <c r="AD61" i="54"/>
  <c r="AC61" i="54"/>
  <c r="AB61" i="54"/>
  <c r="X61" i="54"/>
  <c r="AD60" i="54"/>
  <c r="AC60" i="54"/>
  <c r="AB60" i="54"/>
  <c r="X60" i="54"/>
  <c r="AD59" i="54"/>
  <c r="AC59" i="54"/>
  <c r="AB59" i="54"/>
  <c r="X59" i="54"/>
  <c r="AD58" i="54"/>
  <c r="AC58" i="54"/>
  <c r="AB58" i="54"/>
  <c r="X58" i="54"/>
  <c r="AD57" i="54"/>
  <c r="AC57" i="54"/>
  <c r="AB57" i="54"/>
  <c r="X57" i="54"/>
  <c r="AD56" i="54"/>
  <c r="AC56" i="54"/>
  <c r="AB56" i="54"/>
  <c r="X56" i="54"/>
  <c r="AD55" i="54"/>
  <c r="AC55" i="54"/>
  <c r="AB55" i="54"/>
  <c r="X55" i="54"/>
  <c r="AD54" i="54"/>
  <c r="AC54" i="54"/>
  <c r="AB54" i="54"/>
  <c r="X54" i="54"/>
  <c r="AD53" i="54"/>
  <c r="AC53" i="54"/>
  <c r="AB53" i="54"/>
  <c r="X53" i="54"/>
  <c r="AD52" i="54"/>
  <c r="AC52" i="54"/>
  <c r="AB52" i="54"/>
  <c r="X52" i="54"/>
  <c r="AD51" i="54"/>
  <c r="AC51" i="54"/>
  <c r="AB51" i="54"/>
  <c r="X51" i="54"/>
  <c r="AD50" i="54"/>
  <c r="AC50" i="54"/>
  <c r="AB50" i="54"/>
  <c r="X50" i="54"/>
  <c r="AD49" i="54"/>
  <c r="AC49" i="54"/>
  <c r="AB49" i="54"/>
  <c r="X49" i="54"/>
  <c r="AD48" i="54"/>
  <c r="AC48" i="54"/>
  <c r="AB48" i="54"/>
  <c r="X48" i="54"/>
  <c r="AD47" i="54"/>
  <c r="AC47" i="54"/>
  <c r="AB47" i="54"/>
  <c r="X47" i="54"/>
  <c r="AD46" i="54"/>
  <c r="AC46" i="54"/>
  <c r="AB46" i="54"/>
  <c r="X46" i="54"/>
  <c r="AD45" i="54"/>
  <c r="AC45" i="54"/>
  <c r="AB45" i="54"/>
  <c r="X45" i="54"/>
  <c r="AD44" i="54"/>
  <c r="AC44" i="54"/>
  <c r="AB44" i="54"/>
  <c r="X44" i="54"/>
  <c r="AD43" i="54"/>
  <c r="AC43" i="54"/>
  <c r="AB43" i="54"/>
  <c r="X43" i="54"/>
  <c r="AD42" i="54"/>
  <c r="AC42" i="54"/>
  <c r="AB42" i="54"/>
  <c r="X42" i="54"/>
  <c r="AD41" i="54"/>
  <c r="AC41" i="54"/>
  <c r="AB41" i="54"/>
  <c r="X41" i="54"/>
  <c r="AD40" i="54"/>
  <c r="AC40" i="54"/>
  <c r="AB40" i="54"/>
  <c r="X40" i="54"/>
  <c r="AD39" i="54"/>
  <c r="AC39" i="54"/>
  <c r="AB39" i="54"/>
  <c r="X39" i="54"/>
  <c r="AD38" i="54"/>
  <c r="AC38" i="54"/>
  <c r="AB38" i="54"/>
  <c r="X38" i="54"/>
  <c r="AD37" i="54"/>
  <c r="AC37" i="54"/>
  <c r="AB37" i="54"/>
  <c r="X37" i="54"/>
  <c r="AD36" i="54"/>
  <c r="AC36" i="54"/>
  <c r="AB36" i="54"/>
  <c r="X36" i="54"/>
  <c r="AD35" i="54"/>
  <c r="AC35" i="54"/>
  <c r="AB35" i="54"/>
  <c r="X35" i="54"/>
  <c r="AD34" i="54"/>
  <c r="AC34" i="54"/>
  <c r="AB34" i="54"/>
  <c r="X34" i="54"/>
  <c r="AD33" i="54"/>
  <c r="AC33" i="54"/>
  <c r="AB33" i="54"/>
  <c r="X33" i="54"/>
  <c r="AD32" i="54"/>
  <c r="AC32" i="54"/>
  <c r="AB32" i="54"/>
  <c r="X32" i="54"/>
  <c r="AD31" i="54"/>
  <c r="AC31" i="54"/>
  <c r="AB31" i="54"/>
  <c r="X31" i="54"/>
  <c r="AD30" i="54"/>
  <c r="AC30" i="54"/>
  <c r="AB30" i="54"/>
  <c r="X30" i="54"/>
  <c r="AD29" i="54"/>
  <c r="AC29" i="54"/>
  <c r="AB29" i="54"/>
  <c r="X29" i="54"/>
  <c r="AD28" i="54"/>
  <c r="AC28" i="54"/>
  <c r="AB28" i="54"/>
  <c r="X28" i="54"/>
  <c r="AD27" i="54"/>
  <c r="AC27" i="54"/>
  <c r="AB27" i="54"/>
  <c r="X27" i="54"/>
  <c r="AD26" i="54"/>
  <c r="AC26" i="54"/>
  <c r="AB26" i="54"/>
  <c r="X26" i="54"/>
  <c r="AD25" i="54"/>
  <c r="AC25" i="54"/>
  <c r="AB25" i="54"/>
  <c r="X25" i="54"/>
  <c r="AD24" i="54"/>
  <c r="AC24" i="54"/>
  <c r="AB24" i="54"/>
  <c r="X24" i="54"/>
  <c r="AD23" i="54"/>
  <c r="AC23" i="54"/>
  <c r="AB23" i="54"/>
  <c r="X23" i="54"/>
  <c r="AD22" i="54"/>
  <c r="AC22" i="54"/>
  <c r="AB22" i="54"/>
  <c r="X22" i="54"/>
  <c r="AD21" i="54"/>
  <c r="AC21" i="54"/>
  <c r="AB21" i="54"/>
  <c r="X21" i="54"/>
  <c r="AD20" i="54"/>
  <c r="AC20" i="54"/>
  <c r="AB20" i="54"/>
  <c r="X20" i="54"/>
  <c r="AD19" i="54"/>
  <c r="AC19" i="54"/>
  <c r="AB19" i="54"/>
  <c r="X19" i="54"/>
  <c r="AD18" i="54"/>
  <c r="AC18" i="54"/>
  <c r="AB18" i="54"/>
  <c r="X18" i="54"/>
  <c r="AD17" i="54"/>
  <c r="AC17" i="54"/>
  <c r="AB17" i="54"/>
  <c r="X17" i="54"/>
  <c r="AD16" i="54"/>
  <c r="AC16" i="54"/>
  <c r="AB16" i="54"/>
  <c r="X16" i="54"/>
  <c r="AD15" i="54"/>
  <c r="AC15" i="54"/>
  <c r="AB15" i="54"/>
  <c r="X15" i="54"/>
  <c r="AD14" i="54"/>
  <c r="AC14" i="54"/>
  <c r="AB14" i="54"/>
  <c r="X14" i="54"/>
  <c r="AD13" i="54"/>
  <c r="AC13" i="54"/>
  <c r="AB13" i="54"/>
  <c r="X13" i="54"/>
  <c r="AD12" i="54"/>
  <c r="AC12" i="54"/>
  <c r="AB12" i="54"/>
  <c r="X12" i="54"/>
  <c r="AD11" i="54"/>
  <c r="AC11" i="54"/>
  <c r="AB11" i="54"/>
  <c r="X11" i="54"/>
  <c r="AD10" i="54"/>
  <c r="AC10" i="54"/>
  <c r="AB10" i="54"/>
  <c r="X10" i="54"/>
  <c r="AD9" i="54"/>
  <c r="AC9" i="54"/>
  <c r="AB9" i="54"/>
  <c r="X9" i="54"/>
  <c r="AD8" i="54"/>
  <c r="AC8" i="54"/>
  <c r="AB8" i="54"/>
  <c r="X8" i="54"/>
  <c r="AD7" i="54"/>
  <c r="AC7" i="54"/>
  <c r="AB7" i="54"/>
  <c r="X7" i="54"/>
  <c r="AD6" i="54"/>
  <c r="AC6" i="54"/>
  <c r="AB6" i="54"/>
  <c r="X6" i="54"/>
  <c r="AD5" i="54"/>
  <c r="AC5" i="54"/>
  <c r="AB5" i="54"/>
  <c r="X5" i="54"/>
  <c r="AD4" i="54"/>
  <c r="AC4" i="54"/>
  <c r="AB4" i="54"/>
  <c r="X4" i="54"/>
  <c r="AD3" i="54"/>
  <c r="AC3" i="54"/>
  <c r="AB3" i="54"/>
  <c r="X3" i="54"/>
  <c r="AD2" i="54"/>
  <c r="AC2" i="54"/>
  <c r="AB2" i="54"/>
  <c r="X2" i="54"/>
  <c r="AE1" i="54"/>
  <c r="AB1" i="54"/>
  <c r="Y1" i="54"/>
  <c r="AB700" i="52"/>
  <c r="AC700" i="52"/>
  <c r="AD700" i="52"/>
  <c r="AB701" i="52"/>
  <c r="AC701" i="52"/>
  <c r="AD701" i="52"/>
  <c r="AB702" i="52"/>
  <c r="AC702" i="52"/>
  <c r="AD702" i="52"/>
  <c r="AB703" i="52"/>
  <c r="AC703" i="52"/>
  <c r="AD703" i="52"/>
  <c r="AB704" i="52"/>
  <c r="AC704" i="52"/>
  <c r="AD704" i="52"/>
  <c r="AB705" i="52"/>
  <c r="AC705" i="52"/>
  <c r="AD705" i="52"/>
  <c r="AB706" i="52"/>
  <c r="AC706" i="52"/>
  <c r="AD706" i="52"/>
  <c r="AB707" i="52"/>
  <c r="AC707" i="52"/>
  <c r="AD707" i="52"/>
  <c r="AB708" i="52"/>
  <c r="AC708" i="52"/>
  <c r="AD708" i="52"/>
  <c r="AB709" i="52"/>
  <c r="AC709" i="52"/>
  <c r="AD709" i="52"/>
  <c r="AB710" i="52"/>
  <c r="AC710" i="52"/>
  <c r="AD710" i="52"/>
  <c r="AB711" i="52"/>
  <c r="AC711" i="52"/>
  <c r="AD711" i="52"/>
  <c r="AB712" i="52"/>
  <c r="AC712" i="52"/>
  <c r="AD712" i="52"/>
  <c r="AB713" i="52"/>
  <c r="AC713" i="52"/>
  <c r="AD713" i="52"/>
  <c r="AB714" i="52"/>
  <c r="AC714" i="52"/>
  <c r="AD714" i="52"/>
  <c r="AB715" i="52"/>
  <c r="AC715" i="52"/>
  <c r="AD715" i="52"/>
  <c r="AB716" i="52"/>
  <c r="AC716" i="52"/>
  <c r="AD716" i="52"/>
  <c r="AB717" i="52"/>
  <c r="AC717" i="52"/>
  <c r="AD717" i="52"/>
  <c r="AB718" i="52"/>
  <c r="AC718" i="52"/>
  <c r="AD718" i="52"/>
  <c r="AB719" i="52"/>
  <c r="AC719" i="52"/>
  <c r="AD719" i="52"/>
  <c r="AB720" i="52"/>
  <c r="AC720" i="52"/>
  <c r="AD720" i="52"/>
  <c r="AB721" i="52"/>
  <c r="AC721" i="52"/>
  <c r="AD721" i="52"/>
  <c r="AB722" i="52"/>
  <c r="AC722" i="52"/>
  <c r="AD722" i="52"/>
  <c r="AB723" i="52"/>
  <c r="AC723" i="52"/>
  <c r="AD723" i="52"/>
  <c r="AB724" i="52"/>
  <c r="AC724" i="52"/>
  <c r="AD724" i="52"/>
  <c r="AB725" i="52"/>
  <c r="AC725" i="52"/>
  <c r="AD725" i="52"/>
  <c r="AB726" i="52"/>
  <c r="AC726" i="52"/>
  <c r="AD726" i="52"/>
  <c r="AB727" i="52"/>
  <c r="AC727" i="52"/>
  <c r="AD727" i="52"/>
  <c r="AB728" i="52"/>
  <c r="AC728" i="52"/>
  <c r="AD728" i="52"/>
  <c r="AB729" i="52"/>
  <c r="AC729" i="52"/>
  <c r="AD729" i="52"/>
  <c r="AB730" i="52"/>
  <c r="AC730" i="52"/>
  <c r="AD730" i="52"/>
  <c r="AB731" i="52"/>
  <c r="AC731" i="52"/>
  <c r="AD731" i="52"/>
  <c r="AB732" i="52"/>
  <c r="AC732" i="52"/>
  <c r="AD732" i="52"/>
  <c r="AB733" i="52"/>
  <c r="AC733" i="52"/>
  <c r="AD733" i="52"/>
  <c r="AB734" i="52"/>
  <c r="AC734" i="52"/>
  <c r="AD734" i="52"/>
  <c r="AB735" i="52"/>
  <c r="AC735" i="52"/>
  <c r="AD735" i="52"/>
  <c r="AB736" i="52"/>
  <c r="AC736" i="52"/>
  <c r="AD736" i="52"/>
  <c r="AB737" i="52"/>
  <c r="AC737" i="52"/>
  <c r="AD737" i="52"/>
  <c r="AB738" i="52"/>
  <c r="AC738" i="52"/>
  <c r="AD738" i="52"/>
  <c r="AB739" i="52"/>
  <c r="AC739" i="52"/>
  <c r="AD739" i="52"/>
  <c r="AB740" i="52"/>
  <c r="AC740" i="52"/>
  <c r="AD740" i="52"/>
  <c r="AB741" i="52"/>
  <c r="AC741" i="52"/>
  <c r="AD741" i="52"/>
  <c r="AB742" i="52"/>
  <c r="AC742" i="52"/>
  <c r="AD742" i="52"/>
  <c r="AB743" i="52"/>
  <c r="AC743" i="52"/>
  <c r="AD743" i="52"/>
  <c r="AB744" i="52"/>
  <c r="AC744" i="52"/>
  <c r="AD744" i="52"/>
  <c r="AB745" i="52"/>
  <c r="AC745" i="52"/>
  <c r="AD745" i="52"/>
  <c r="AB746" i="52"/>
  <c r="AC746" i="52"/>
  <c r="AD746" i="52"/>
  <c r="AB747" i="52"/>
  <c r="AC747" i="52"/>
  <c r="AD747" i="52"/>
  <c r="AB748" i="52"/>
  <c r="AC748" i="52"/>
  <c r="AD748" i="52"/>
  <c r="AB749" i="52"/>
  <c r="AC749" i="52"/>
  <c r="AD749" i="52"/>
  <c r="AB750" i="52"/>
  <c r="AC750" i="52"/>
  <c r="AD750" i="52"/>
  <c r="AB751" i="52"/>
  <c r="AC751" i="52"/>
  <c r="AD751" i="52"/>
  <c r="AB752" i="52"/>
  <c r="AC752" i="52"/>
  <c r="AD752" i="52"/>
  <c r="AB753" i="52"/>
  <c r="AC753" i="52"/>
  <c r="AD753" i="52"/>
  <c r="AB754" i="52"/>
  <c r="AC754" i="52"/>
  <c r="AD754" i="52"/>
  <c r="AB755" i="52"/>
  <c r="AC755" i="52"/>
  <c r="AD755" i="52"/>
  <c r="AB756" i="52"/>
  <c r="AC756" i="52"/>
  <c r="AD756" i="52"/>
  <c r="AB757" i="52"/>
  <c r="AC757" i="52"/>
  <c r="AD757" i="52"/>
  <c r="AB758" i="52"/>
  <c r="AC758" i="52"/>
  <c r="AD758" i="52"/>
  <c r="AB759" i="52"/>
  <c r="AC759" i="52"/>
  <c r="AD759" i="52"/>
  <c r="AB760" i="52"/>
  <c r="AC760" i="52"/>
  <c r="AD760" i="52"/>
  <c r="AB761" i="52"/>
  <c r="AC761" i="52"/>
  <c r="AD761" i="52"/>
  <c r="AB762" i="52"/>
  <c r="AC762" i="52"/>
  <c r="AD762" i="52"/>
  <c r="AB763" i="52"/>
  <c r="AC763" i="52"/>
  <c r="AD763" i="52"/>
  <c r="AB764" i="52"/>
  <c r="AC764" i="52"/>
  <c r="AD764" i="52"/>
  <c r="AB765" i="52"/>
  <c r="AC765" i="52"/>
  <c r="AD765" i="52"/>
  <c r="AB766" i="52"/>
  <c r="AC766" i="52"/>
  <c r="AD766" i="52"/>
  <c r="AB767" i="52"/>
  <c r="AC767" i="52"/>
  <c r="AD767" i="52"/>
  <c r="AB768" i="52"/>
  <c r="AC768" i="52"/>
  <c r="AD768" i="52"/>
  <c r="AB769" i="52"/>
  <c r="AC769" i="52"/>
  <c r="AD769" i="52"/>
  <c r="AB770" i="52"/>
  <c r="AC770" i="52"/>
  <c r="AD770" i="52"/>
  <c r="AB771" i="52"/>
  <c r="AC771" i="52"/>
  <c r="AD771" i="52"/>
  <c r="AB772" i="52"/>
  <c r="AC772" i="52"/>
  <c r="AD772" i="52"/>
  <c r="AB773" i="52"/>
  <c r="AC773" i="52"/>
  <c r="AD773" i="52"/>
  <c r="AB774" i="52"/>
  <c r="AC774" i="52"/>
  <c r="AD774" i="52"/>
  <c r="AB775" i="52"/>
  <c r="AC775" i="52"/>
  <c r="AD775" i="52"/>
  <c r="AB776" i="52"/>
  <c r="AC776" i="52"/>
  <c r="AD776" i="52"/>
  <c r="AB777" i="52"/>
  <c r="AC777" i="52"/>
  <c r="AD777" i="52"/>
  <c r="AB778" i="52"/>
  <c r="AC778" i="52"/>
  <c r="AD778" i="52"/>
  <c r="AB779" i="52"/>
  <c r="AC779" i="52"/>
  <c r="AD779" i="52"/>
  <c r="AB780" i="52"/>
  <c r="AC780" i="52"/>
  <c r="AD780" i="52"/>
  <c r="AB781" i="52"/>
  <c r="AC781" i="52"/>
  <c r="AD781" i="52"/>
  <c r="AB782" i="52"/>
  <c r="AC782" i="52"/>
  <c r="AD782" i="52"/>
  <c r="AB783" i="52"/>
  <c r="AC783" i="52"/>
  <c r="AD783" i="52"/>
  <c r="AB784" i="52"/>
  <c r="AC784" i="52"/>
  <c r="AD784" i="52"/>
  <c r="AB785" i="52"/>
  <c r="AC785" i="52"/>
  <c r="AD785" i="52"/>
  <c r="AB786" i="52"/>
  <c r="AC786" i="52"/>
  <c r="AD786" i="52"/>
  <c r="AB787" i="52"/>
  <c r="AC787" i="52"/>
  <c r="AD787" i="52"/>
  <c r="AB788" i="52"/>
  <c r="AC788" i="52"/>
  <c r="AD788" i="52"/>
  <c r="AB789" i="52"/>
  <c r="AC789" i="52"/>
  <c r="AD789" i="52"/>
  <c r="AB790" i="52"/>
  <c r="AC790" i="52"/>
  <c r="AD790" i="52"/>
  <c r="AB791" i="52"/>
  <c r="AC791" i="52"/>
  <c r="AD791" i="52"/>
  <c r="AB792" i="52"/>
  <c r="AC792" i="52"/>
  <c r="AD792" i="52"/>
  <c r="AB793" i="52"/>
  <c r="AC793" i="52"/>
  <c r="AD793" i="52"/>
  <c r="AB794" i="52"/>
  <c r="AC794" i="52"/>
  <c r="AD794" i="52"/>
  <c r="AB795" i="52"/>
  <c r="AC795" i="52"/>
  <c r="AD795" i="52"/>
  <c r="AB796" i="52"/>
  <c r="AC796" i="52"/>
  <c r="AD796" i="52"/>
  <c r="AB797" i="52"/>
  <c r="AC797" i="52"/>
  <c r="AD797" i="52"/>
  <c r="AB798" i="52"/>
  <c r="AC798" i="52"/>
  <c r="AD798" i="52"/>
  <c r="AB799" i="52"/>
  <c r="AC799" i="52"/>
  <c r="AD799" i="52"/>
  <c r="AB800" i="52"/>
  <c r="AC800" i="52"/>
  <c r="AD800" i="52"/>
  <c r="AB801" i="52"/>
  <c r="AC801" i="52"/>
  <c r="AD801" i="52"/>
  <c r="AB802" i="52"/>
  <c r="AC802" i="52"/>
  <c r="AD802" i="52"/>
  <c r="AB803" i="52"/>
  <c r="AC803" i="52"/>
  <c r="AD803" i="52"/>
  <c r="AB804" i="52"/>
  <c r="AC804" i="52"/>
  <c r="AD804" i="52"/>
  <c r="AB805" i="52"/>
  <c r="AC805" i="52"/>
  <c r="AD805" i="52"/>
  <c r="AB806" i="52"/>
  <c r="AC806" i="52"/>
  <c r="AD806" i="52"/>
  <c r="AB807" i="52"/>
  <c r="AC807" i="52"/>
  <c r="AD807" i="52"/>
  <c r="AB808" i="52"/>
  <c r="AC808" i="52"/>
  <c r="AD808" i="52"/>
  <c r="AB809" i="52"/>
  <c r="AC809" i="52"/>
  <c r="AD809" i="52"/>
  <c r="AB810" i="52"/>
  <c r="AC810" i="52"/>
  <c r="AD810" i="52"/>
  <c r="AB811" i="52"/>
  <c r="AC811" i="52"/>
  <c r="AD811" i="52"/>
  <c r="AB812" i="52"/>
  <c r="AC812" i="52"/>
  <c r="AD812" i="52"/>
  <c r="AB813" i="52"/>
  <c r="AC813" i="52"/>
  <c r="AD813" i="52"/>
  <c r="AB814" i="52"/>
  <c r="AC814" i="52"/>
  <c r="AD814" i="52"/>
  <c r="AB815" i="52"/>
  <c r="AC815" i="52"/>
  <c r="AD815" i="52"/>
  <c r="AB816" i="52"/>
  <c r="AC816" i="52"/>
  <c r="AD816" i="52"/>
  <c r="AB817" i="52"/>
  <c r="AC817" i="52"/>
  <c r="AD817" i="52"/>
  <c r="AB818" i="52"/>
  <c r="AC818" i="52"/>
  <c r="AD818" i="52"/>
  <c r="AB819" i="52"/>
  <c r="AC819" i="52"/>
  <c r="AD819" i="52"/>
  <c r="AB820" i="52"/>
  <c r="AC820" i="52"/>
  <c r="AD820" i="52"/>
  <c r="AB821" i="52"/>
  <c r="AC821" i="52"/>
  <c r="AD821" i="52"/>
  <c r="AB822" i="52"/>
  <c r="AC822" i="52"/>
  <c r="AD822" i="52"/>
  <c r="AB823" i="52"/>
  <c r="AC823" i="52"/>
  <c r="AD823" i="52"/>
  <c r="AB824" i="52"/>
  <c r="AC824" i="52"/>
  <c r="AD824" i="52"/>
  <c r="AB825" i="52"/>
  <c r="AC825" i="52"/>
  <c r="AD825" i="52"/>
  <c r="AB826" i="52"/>
  <c r="AC826" i="52"/>
  <c r="AD826" i="52"/>
  <c r="AB827" i="52"/>
  <c r="AC827" i="52"/>
  <c r="AD827" i="52"/>
  <c r="AB828" i="52"/>
  <c r="AC828" i="52"/>
  <c r="AD828" i="52"/>
  <c r="AB829" i="52"/>
  <c r="AC829" i="52"/>
  <c r="AD829" i="52"/>
  <c r="AB830" i="52"/>
  <c r="AC830" i="52"/>
  <c r="AD830" i="52"/>
  <c r="AB831" i="52"/>
  <c r="AC831" i="52"/>
  <c r="AD831" i="52"/>
  <c r="AB832" i="52"/>
  <c r="AC832" i="52"/>
  <c r="AD832" i="52"/>
  <c r="AB833" i="52"/>
  <c r="AC833" i="52"/>
  <c r="AD833" i="52"/>
  <c r="AB834" i="52"/>
  <c r="AC834" i="52"/>
  <c r="AD834" i="52"/>
  <c r="AB835" i="52"/>
  <c r="AC835" i="52"/>
  <c r="AD835" i="52"/>
  <c r="AB836" i="52"/>
  <c r="AC836" i="52"/>
  <c r="AD836" i="52"/>
  <c r="AB837" i="52"/>
  <c r="AC837" i="52"/>
  <c r="AD837" i="52"/>
  <c r="AB838" i="52"/>
  <c r="AC838" i="52"/>
  <c r="AD838" i="52"/>
  <c r="AB839" i="52"/>
  <c r="AC839" i="52"/>
  <c r="AD839" i="52"/>
  <c r="AB840" i="52"/>
  <c r="AC840" i="52"/>
  <c r="AD840" i="52"/>
  <c r="AB841" i="52"/>
  <c r="AC841" i="52"/>
  <c r="AD841" i="52"/>
  <c r="AB842" i="52"/>
  <c r="AC842" i="52"/>
  <c r="AD842" i="52"/>
  <c r="AB843" i="52"/>
  <c r="AC843" i="52"/>
  <c r="AD843" i="52"/>
  <c r="AB844" i="52"/>
  <c r="AC844" i="52"/>
  <c r="AD844" i="52"/>
  <c r="AB845" i="52"/>
  <c r="AC845" i="52"/>
  <c r="AD845" i="52"/>
  <c r="AB846" i="52"/>
  <c r="AC846" i="52"/>
  <c r="AD846" i="52"/>
  <c r="AB847" i="52"/>
  <c r="AC847" i="52"/>
  <c r="AD847" i="52"/>
  <c r="AB848" i="52"/>
  <c r="AC848" i="52"/>
  <c r="AD848" i="52"/>
  <c r="AB849" i="52"/>
  <c r="AC849" i="52"/>
  <c r="AD849" i="52"/>
  <c r="AB850" i="52"/>
  <c r="AC850" i="52"/>
  <c r="AD850" i="52"/>
  <c r="AB851" i="52"/>
  <c r="AC851" i="52"/>
  <c r="AD851" i="52"/>
  <c r="AB852" i="52"/>
  <c r="AC852" i="52"/>
  <c r="AD852" i="52"/>
  <c r="AB853" i="52"/>
  <c r="AC853" i="52"/>
  <c r="AD853" i="52"/>
  <c r="AB854" i="52"/>
  <c r="AC854" i="52"/>
  <c r="AD854" i="52"/>
  <c r="AB855" i="52"/>
  <c r="AC855" i="52"/>
  <c r="AD855" i="52"/>
  <c r="AB856" i="52"/>
  <c r="AC856" i="52"/>
  <c r="AD856" i="52"/>
  <c r="AB857" i="52"/>
  <c r="AC857" i="52"/>
  <c r="AD857" i="52"/>
  <c r="AB858" i="52"/>
  <c r="AC858" i="52"/>
  <c r="AD858" i="52"/>
  <c r="AB859" i="52"/>
  <c r="AC859" i="52"/>
  <c r="AD859" i="52"/>
  <c r="AB860" i="52"/>
  <c r="AC860" i="52"/>
  <c r="AD860" i="52"/>
  <c r="AB861" i="52"/>
  <c r="AC861" i="52"/>
  <c r="AD861" i="52"/>
  <c r="AB862" i="52"/>
  <c r="AC862" i="52"/>
  <c r="AD862" i="52"/>
  <c r="AB863" i="52"/>
  <c r="AC863" i="52"/>
  <c r="AD863" i="52"/>
  <c r="AB864" i="52"/>
  <c r="AC864" i="52"/>
  <c r="AD864" i="52"/>
  <c r="AB865" i="52"/>
  <c r="AC865" i="52"/>
  <c r="AD865" i="52"/>
  <c r="AB866" i="52"/>
  <c r="AC866" i="52"/>
  <c r="AD866" i="52"/>
  <c r="AB867" i="52"/>
  <c r="AC867" i="52"/>
  <c r="AD867" i="52"/>
  <c r="AB868" i="52"/>
  <c r="AC868" i="52"/>
  <c r="AD868" i="52"/>
  <c r="AB869" i="52"/>
  <c r="AC869" i="52"/>
  <c r="AD869" i="52"/>
  <c r="AB870" i="52"/>
  <c r="AC870" i="52"/>
  <c r="AD870" i="52"/>
  <c r="AB871" i="52"/>
  <c r="AC871" i="52"/>
  <c r="AD871" i="52"/>
  <c r="AB872" i="52"/>
  <c r="AC872" i="52"/>
  <c r="AD872" i="52"/>
  <c r="AB873" i="52"/>
  <c r="AC873" i="52"/>
  <c r="AD873" i="52"/>
  <c r="AB874" i="52"/>
  <c r="AC874" i="52"/>
  <c r="AD874" i="52"/>
  <c r="AB875" i="52"/>
  <c r="AC875" i="52"/>
  <c r="AD875" i="52"/>
  <c r="AB876" i="52"/>
  <c r="AC876" i="52"/>
  <c r="AD876" i="52"/>
  <c r="AB877" i="52"/>
  <c r="AC877" i="52"/>
  <c r="AD877" i="52"/>
  <c r="AB878" i="52"/>
  <c r="AC878" i="52"/>
  <c r="AD878" i="52"/>
  <c r="AB879" i="52"/>
  <c r="AC879" i="52"/>
  <c r="AD879" i="52"/>
  <c r="AB880" i="52"/>
  <c r="AC880" i="52"/>
  <c r="AD880" i="52"/>
  <c r="AB881" i="52"/>
  <c r="AC881" i="52"/>
  <c r="AD881" i="52"/>
  <c r="AB882" i="52"/>
  <c r="AC882" i="52"/>
  <c r="AD882" i="52"/>
  <c r="AB883" i="52"/>
  <c r="AC883" i="52"/>
  <c r="AD883" i="52"/>
  <c r="AB884" i="52"/>
  <c r="AC884" i="52"/>
  <c r="AD884" i="52"/>
  <c r="AB885" i="52"/>
  <c r="AC885" i="52"/>
  <c r="AD885" i="52"/>
  <c r="AB886" i="52"/>
  <c r="AC886" i="52"/>
  <c r="AD886" i="52"/>
  <c r="AB887" i="52"/>
  <c r="AC887" i="52"/>
  <c r="AD887" i="52"/>
  <c r="AB888" i="52"/>
  <c r="AC888" i="52"/>
  <c r="AD888" i="52"/>
  <c r="AB889" i="52"/>
  <c r="AC889" i="52"/>
  <c r="AD889" i="52"/>
  <c r="AB890" i="52"/>
  <c r="AC890" i="52"/>
  <c r="AD890" i="52"/>
  <c r="AB891" i="52"/>
  <c r="AC891" i="52"/>
  <c r="AD891" i="52"/>
  <c r="AB892" i="52"/>
  <c r="AC892" i="52"/>
  <c r="AD892" i="52"/>
  <c r="AB893" i="52"/>
  <c r="AC893" i="52"/>
  <c r="AD893" i="52"/>
  <c r="AB894" i="52"/>
  <c r="AC894" i="52"/>
  <c r="AD894" i="52"/>
  <c r="AB895" i="52"/>
  <c r="AC895" i="52"/>
  <c r="AD895" i="52"/>
  <c r="AB896" i="52"/>
  <c r="AC896" i="52"/>
  <c r="AD896" i="52"/>
  <c r="AB897" i="52"/>
  <c r="AC897" i="52"/>
  <c r="AD897" i="52"/>
  <c r="AB898" i="52"/>
  <c r="AC898" i="52"/>
  <c r="AD898" i="52"/>
  <c r="AB899" i="52"/>
  <c r="AC899" i="52"/>
  <c r="AD899" i="52"/>
  <c r="AB900" i="52"/>
  <c r="AC900" i="52"/>
  <c r="AD900" i="52"/>
  <c r="AB901" i="52"/>
  <c r="AC901" i="52"/>
  <c r="AD901" i="52"/>
  <c r="AB902" i="52"/>
  <c r="AC902" i="52"/>
  <c r="AD902" i="52"/>
  <c r="AB903" i="52"/>
  <c r="AC903" i="52"/>
  <c r="AD903" i="52"/>
  <c r="AB904" i="52"/>
  <c r="AC904" i="52"/>
  <c r="AD904" i="52"/>
  <c r="AB905" i="52"/>
  <c r="AC905" i="52"/>
  <c r="AD905" i="52"/>
  <c r="AB906" i="52"/>
  <c r="AC906" i="52"/>
  <c r="AD906" i="52"/>
  <c r="AB907" i="52"/>
  <c r="AC907" i="52"/>
  <c r="AD907" i="52"/>
  <c r="AB908" i="52"/>
  <c r="AC908" i="52"/>
  <c r="AD908" i="52"/>
  <c r="AB909" i="52"/>
  <c r="AC909" i="52"/>
  <c r="AD909" i="52"/>
  <c r="AB910" i="52"/>
  <c r="AC910" i="52"/>
  <c r="AD910" i="52"/>
  <c r="AB911" i="52"/>
  <c r="AC911" i="52"/>
  <c r="AD911" i="52"/>
  <c r="AB912" i="52"/>
  <c r="AC912" i="52"/>
  <c r="AD912" i="52"/>
  <c r="AB913" i="52"/>
  <c r="AC913" i="52"/>
  <c r="AD913" i="52"/>
  <c r="AB914" i="52"/>
  <c r="AC914" i="52"/>
  <c r="AD914" i="52"/>
  <c r="AB915" i="52"/>
  <c r="AC915" i="52"/>
  <c r="AD915" i="52"/>
  <c r="AB916" i="52"/>
  <c r="AC916" i="52"/>
  <c r="AD916" i="52"/>
  <c r="AB917" i="52"/>
  <c r="AC917" i="52"/>
  <c r="AD917" i="52"/>
  <c r="AB918" i="52"/>
  <c r="AC918" i="52"/>
  <c r="AD918" i="52"/>
  <c r="AB919" i="52"/>
  <c r="AC919" i="52"/>
  <c r="AD919" i="52"/>
  <c r="AB920" i="52"/>
  <c r="AC920" i="52"/>
  <c r="AD920" i="52"/>
  <c r="AB921" i="52"/>
  <c r="AC921" i="52"/>
  <c r="AD921" i="52"/>
  <c r="AB922" i="52"/>
  <c r="AC922" i="52"/>
  <c r="AD922" i="52"/>
  <c r="AB923" i="52"/>
  <c r="AC923" i="52"/>
  <c r="AD923" i="52"/>
  <c r="AB924" i="52"/>
  <c r="AC924" i="52"/>
  <c r="AD924" i="52"/>
  <c r="AB925" i="52"/>
  <c r="AC925" i="52"/>
  <c r="AD925" i="52"/>
  <c r="AB926" i="52"/>
  <c r="AC926" i="52"/>
  <c r="AD926" i="52"/>
  <c r="AB927" i="52"/>
  <c r="AC927" i="52"/>
  <c r="AD927" i="52"/>
  <c r="AB928" i="52"/>
  <c r="AC928" i="52"/>
  <c r="AD928" i="52"/>
  <c r="AB929" i="52"/>
  <c r="AC929" i="52"/>
  <c r="AD929" i="52"/>
  <c r="AB930" i="52"/>
  <c r="AC930" i="52"/>
  <c r="AD930" i="52"/>
  <c r="AB931" i="52"/>
  <c r="AC931" i="52"/>
  <c r="AD931" i="52"/>
  <c r="AB932" i="52"/>
  <c r="AC932" i="52"/>
  <c r="AD932" i="52"/>
  <c r="AB933" i="52"/>
  <c r="AC933" i="52"/>
  <c r="AD933" i="52"/>
  <c r="AB934" i="52"/>
  <c r="AC934" i="52"/>
  <c r="AD934" i="52"/>
  <c r="AB935" i="52"/>
  <c r="AC935" i="52"/>
  <c r="AD935" i="52"/>
  <c r="AB936" i="52"/>
  <c r="AC936" i="52"/>
  <c r="AD936" i="52"/>
  <c r="AB937" i="52"/>
  <c r="AC937" i="52"/>
  <c r="AD937" i="52"/>
  <c r="AB938" i="52"/>
  <c r="AC938" i="52"/>
  <c r="AD938" i="52"/>
  <c r="AB939" i="52"/>
  <c r="AC939" i="52"/>
  <c r="AD939" i="52"/>
  <c r="AB940" i="52"/>
  <c r="AC940" i="52"/>
  <c r="AD940" i="52"/>
  <c r="AB941" i="52"/>
  <c r="AC941" i="52"/>
  <c r="AD941" i="52"/>
  <c r="AB942" i="52"/>
  <c r="AC942" i="52"/>
  <c r="AD942" i="52"/>
  <c r="AB943" i="52"/>
  <c r="AC943" i="52"/>
  <c r="AD943" i="52"/>
  <c r="AB944" i="52"/>
  <c r="AC944" i="52"/>
  <c r="AD944" i="52"/>
  <c r="AB945" i="52"/>
  <c r="AC945" i="52"/>
  <c r="AD945" i="52"/>
  <c r="AB946" i="52"/>
  <c r="AC946" i="52"/>
  <c r="AD946" i="52"/>
  <c r="AB947" i="52"/>
  <c r="AC947" i="52"/>
  <c r="AD947" i="52"/>
  <c r="AB948" i="52"/>
  <c r="AC948" i="52"/>
  <c r="AD948" i="52"/>
  <c r="AB949" i="52"/>
  <c r="AC949" i="52"/>
  <c r="AD949" i="52"/>
  <c r="AB950" i="52"/>
  <c r="AC950" i="52"/>
  <c r="AD950" i="52"/>
  <c r="AB951" i="52"/>
  <c r="AC951" i="52"/>
  <c r="AD951" i="52"/>
  <c r="AB952" i="52"/>
  <c r="AC952" i="52"/>
  <c r="AD952" i="52"/>
  <c r="AB953" i="52"/>
  <c r="AC953" i="52"/>
  <c r="AD953" i="52"/>
  <c r="AB954" i="52"/>
  <c r="AC954" i="52"/>
  <c r="AD954" i="52"/>
  <c r="AB955" i="52"/>
  <c r="AC955" i="52"/>
  <c r="AD955" i="52"/>
  <c r="AB956" i="52"/>
  <c r="AC956" i="52"/>
  <c r="AD956" i="52"/>
  <c r="AB957" i="52"/>
  <c r="AC957" i="52"/>
  <c r="AD957" i="52"/>
  <c r="AB958" i="52"/>
  <c r="AC958" i="52"/>
  <c r="AD958" i="52"/>
  <c r="AB959" i="52"/>
  <c r="AC959" i="52"/>
  <c r="AD959" i="52"/>
  <c r="AB960" i="52"/>
  <c r="AC960" i="52"/>
  <c r="AD960" i="52"/>
  <c r="AB961" i="52"/>
  <c r="AC961" i="52"/>
  <c r="AD961" i="52"/>
  <c r="AB962" i="52"/>
  <c r="AC962" i="52"/>
  <c r="AD962" i="52"/>
  <c r="AB963" i="52"/>
  <c r="AC963" i="52"/>
  <c r="AD963" i="52"/>
  <c r="AB964" i="52"/>
  <c r="AC964" i="52"/>
  <c r="AD964" i="52"/>
  <c r="AB965" i="52"/>
  <c r="AC965" i="52"/>
  <c r="AD965" i="52"/>
  <c r="AB966" i="52"/>
  <c r="AC966" i="52"/>
  <c r="AD966" i="52"/>
  <c r="AB967" i="52"/>
  <c r="AC967" i="52"/>
  <c r="AD967" i="52"/>
  <c r="AB968" i="52"/>
  <c r="AC968" i="52"/>
  <c r="AD968" i="52"/>
  <c r="AB969" i="52"/>
  <c r="AC969" i="52"/>
  <c r="AD969" i="52"/>
  <c r="AB970" i="52"/>
  <c r="AC970" i="52"/>
  <c r="AD970" i="52"/>
  <c r="AB971" i="52"/>
  <c r="AC971" i="52"/>
  <c r="AD971" i="52"/>
  <c r="AB972" i="52"/>
  <c r="AC972" i="52"/>
  <c r="AD972" i="52"/>
  <c r="AB973" i="52"/>
  <c r="AC973" i="52"/>
  <c r="AD973" i="52"/>
  <c r="AB974" i="52"/>
  <c r="AC974" i="52"/>
  <c r="AD974" i="52"/>
  <c r="AB975" i="52"/>
  <c r="AC975" i="52"/>
  <c r="AD975" i="52"/>
  <c r="AB976" i="52"/>
  <c r="AC976" i="52"/>
  <c r="AD976" i="52"/>
  <c r="AB977" i="52"/>
  <c r="AC977" i="52"/>
  <c r="AD977" i="52"/>
  <c r="AB978" i="52"/>
  <c r="AC978" i="52"/>
  <c r="AD978" i="52"/>
  <c r="AB979" i="52"/>
  <c r="AC979" i="52"/>
  <c r="AD979" i="52"/>
  <c r="AB980" i="52"/>
  <c r="AC980" i="52"/>
  <c r="AD980" i="52"/>
  <c r="AB981" i="52"/>
  <c r="AC981" i="52"/>
  <c r="AD981" i="52"/>
  <c r="AB982" i="52"/>
  <c r="AC982" i="52"/>
  <c r="AD982" i="52"/>
  <c r="AB983" i="52"/>
  <c r="AC983" i="52"/>
  <c r="AD983" i="52"/>
  <c r="AB984" i="52"/>
  <c r="AC984" i="52"/>
  <c r="AD984" i="52"/>
  <c r="AB985" i="52"/>
  <c r="AC985" i="52"/>
  <c r="AD985" i="52"/>
  <c r="AB986" i="52"/>
  <c r="AC986" i="52"/>
  <c r="AD986" i="52"/>
  <c r="AB987" i="52"/>
  <c r="AC987" i="52"/>
  <c r="AD987" i="52"/>
  <c r="AB988" i="52"/>
  <c r="AC988" i="52"/>
  <c r="AD988" i="52"/>
  <c r="AB989" i="52"/>
  <c r="AC989" i="52"/>
  <c r="AD989" i="52"/>
  <c r="AB990" i="52"/>
  <c r="AC990" i="52"/>
  <c r="AD990" i="52"/>
  <c r="AB991" i="52"/>
  <c r="AC991" i="52"/>
  <c r="AD991" i="52"/>
  <c r="AB992" i="52"/>
  <c r="AC992" i="52"/>
  <c r="AD992" i="52"/>
  <c r="AB993" i="52"/>
  <c r="AC993" i="52"/>
  <c r="AD993" i="52"/>
  <c r="AB994" i="52"/>
  <c r="AC994" i="52"/>
  <c r="AD994" i="52"/>
  <c r="AB995" i="52"/>
  <c r="AC995" i="52"/>
  <c r="AD995" i="52"/>
  <c r="AB996" i="52"/>
  <c r="AC996" i="52"/>
  <c r="AD996" i="52"/>
  <c r="AB997" i="52"/>
  <c r="AC997" i="52"/>
  <c r="AD997" i="52"/>
  <c r="AB998" i="52"/>
  <c r="AC998" i="52"/>
  <c r="AD998" i="52"/>
  <c r="AB999" i="52"/>
  <c r="AC999" i="52"/>
  <c r="AD999" i="52"/>
  <c r="AB1000" i="52"/>
  <c r="AC1000" i="52"/>
  <c r="AD1000" i="52"/>
  <c r="AB1001" i="52"/>
  <c r="AC1001" i="52"/>
  <c r="AD1001" i="52"/>
  <c r="AB1002" i="52"/>
  <c r="AC1002" i="52"/>
  <c r="AD1002" i="52"/>
  <c r="AB1003" i="52"/>
  <c r="AC1003" i="52"/>
  <c r="AD1003" i="52"/>
  <c r="AB1004" i="52"/>
  <c r="AC1004" i="52"/>
  <c r="AD1004" i="52"/>
  <c r="AB1005" i="52"/>
  <c r="AC1005" i="52"/>
  <c r="AD1005" i="52"/>
  <c r="AB1006" i="52"/>
  <c r="AC1006" i="52"/>
  <c r="AD1006" i="52"/>
  <c r="AB1007" i="52"/>
  <c r="AC1007" i="52"/>
  <c r="AD1007" i="52"/>
  <c r="AB1008" i="52"/>
  <c r="AC1008" i="52"/>
  <c r="AD1008" i="52"/>
  <c r="AB1009" i="52"/>
  <c r="AC1009" i="52"/>
  <c r="AD1009" i="52"/>
  <c r="AB1010" i="52"/>
  <c r="AC1010" i="52"/>
  <c r="AD1010" i="52"/>
  <c r="AB1011" i="52"/>
  <c r="AC1011" i="52"/>
  <c r="AD1011" i="52"/>
  <c r="AB1012" i="52"/>
  <c r="AC1012" i="52"/>
  <c r="AD1012" i="52"/>
  <c r="AB1013" i="52"/>
  <c r="AC1013" i="52"/>
  <c r="AD1013" i="52"/>
  <c r="AB1014" i="52"/>
  <c r="AC1014" i="52"/>
  <c r="AD1014" i="52"/>
  <c r="AB1015" i="52"/>
  <c r="AC1015" i="52"/>
  <c r="AD1015" i="52"/>
  <c r="AB1016" i="52"/>
  <c r="AC1016" i="52"/>
  <c r="AD1016" i="52"/>
  <c r="AB1017" i="52"/>
  <c r="AC1017" i="52"/>
  <c r="AD1017" i="52"/>
  <c r="AB1018" i="52"/>
  <c r="AC1018" i="52"/>
  <c r="AD1018" i="52"/>
  <c r="AB1019" i="52"/>
  <c r="AC1019" i="52"/>
  <c r="AD1019" i="52"/>
  <c r="AB1020" i="52"/>
  <c r="AC1020" i="52"/>
  <c r="AD1020" i="52"/>
  <c r="AB1021" i="52"/>
  <c r="AC1021" i="52"/>
  <c r="AD1021" i="52"/>
  <c r="AB1022" i="52"/>
  <c r="AC1022" i="52"/>
  <c r="AD1022" i="52"/>
  <c r="AB1023" i="52"/>
  <c r="AC1023" i="52"/>
  <c r="AD1023" i="52"/>
  <c r="AB1024" i="52"/>
  <c r="AC1024" i="52"/>
  <c r="AD1024" i="52"/>
  <c r="AB1025" i="52"/>
  <c r="AC1025" i="52"/>
  <c r="AD1025" i="52"/>
  <c r="AB1026" i="52"/>
  <c r="AC1026" i="52"/>
  <c r="AD1026" i="52"/>
  <c r="AB1027" i="52"/>
  <c r="AC1027" i="52"/>
  <c r="AD1027" i="52"/>
  <c r="AB1028" i="52"/>
  <c r="AC1028" i="52"/>
  <c r="AD1028" i="52"/>
  <c r="AB1029" i="52"/>
  <c r="AC1029" i="52"/>
  <c r="AD1029" i="52"/>
  <c r="AB1030" i="52"/>
  <c r="AC1030" i="52"/>
  <c r="AD1030" i="52"/>
  <c r="AB1031" i="52"/>
  <c r="AC1031" i="52"/>
  <c r="AD1031" i="52"/>
  <c r="AB1032" i="52"/>
  <c r="AC1032" i="52"/>
  <c r="AD1032" i="52"/>
  <c r="AB1033" i="52"/>
  <c r="AC1033" i="52"/>
  <c r="AD1033" i="52"/>
  <c r="AB1034" i="52"/>
  <c r="AC1034" i="52"/>
  <c r="AD1034" i="52"/>
  <c r="AB1035" i="52"/>
  <c r="AC1035" i="52"/>
  <c r="AD1035" i="52"/>
  <c r="AB1036" i="52"/>
  <c r="AC1036" i="52"/>
  <c r="AD1036" i="52"/>
  <c r="AB1037" i="52"/>
  <c r="AC1037" i="52"/>
  <c r="AD1037" i="52"/>
  <c r="AB1038" i="52"/>
  <c r="AC1038" i="52"/>
  <c r="AD1038" i="52"/>
  <c r="AB1039" i="52"/>
  <c r="AC1039" i="52"/>
  <c r="AD1039" i="52"/>
  <c r="AB1040" i="52"/>
  <c r="AC1040" i="52"/>
  <c r="AD1040" i="52"/>
  <c r="AB1041" i="52"/>
  <c r="AC1041" i="52"/>
  <c r="AD1041" i="52"/>
  <c r="AB1042" i="52"/>
  <c r="AC1042" i="52"/>
  <c r="AD1042" i="52"/>
  <c r="AB1043" i="52"/>
  <c r="AC1043" i="52"/>
  <c r="AD1043" i="52"/>
  <c r="AB1044" i="52"/>
  <c r="AC1044" i="52"/>
  <c r="AD1044" i="52"/>
  <c r="AB1045" i="52"/>
  <c r="AC1045" i="52"/>
  <c r="AD1045" i="52"/>
  <c r="AB1046" i="52"/>
  <c r="AC1046" i="52"/>
  <c r="AD1046" i="52"/>
  <c r="AB1047" i="52"/>
  <c r="AC1047" i="52"/>
  <c r="AD1047" i="52"/>
  <c r="AB1048" i="52"/>
  <c r="AC1048" i="52"/>
  <c r="AD1048" i="52"/>
  <c r="AB1049" i="52"/>
  <c r="AC1049" i="52"/>
  <c r="AD1049" i="52"/>
  <c r="AB1050" i="52"/>
  <c r="AC1050" i="52"/>
  <c r="AD1050" i="52"/>
  <c r="AB1051" i="52"/>
  <c r="AC1051" i="52"/>
  <c r="AD1051" i="52"/>
  <c r="AB1052" i="52"/>
  <c r="AC1052" i="52"/>
  <c r="AD1052" i="52"/>
  <c r="AB1053" i="52"/>
  <c r="AC1053" i="52"/>
  <c r="AD1053" i="52"/>
  <c r="AB1054" i="52"/>
  <c r="AC1054" i="52"/>
  <c r="AD1054" i="52"/>
  <c r="AB1055" i="52"/>
  <c r="AC1055" i="52"/>
  <c r="AD1055" i="52"/>
  <c r="AB1056" i="52"/>
  <c r="AC1056" i="52"/>
  <c r="AD1056" i="52"/>
  <c r="AB1057" i="52"/>
  <c r="AC1057" i="52"/>
  <c r="AD1057" i="52"/>
  <c r="AB1058" i="52"/>
  <c r="AC1058" i="52"/>
  <c r="AD1058" i="52"/>
  <c r="AB1059" i="52"/>
  <c r="AC1059" i="52"/>
  <c r="AD1059" i="52"/>
  <c r="AB1060" i="52"/>
  <c r="AC1060" i="52"/>
  <c r="AD1060" i="52"/>
  <c r="AB1061" i="52"/>
  <c r="AC1061" i="52"/>
  <c r="AD1061" i="52"/>
  <c r="AB1062" i="52"/>
  <c r="AC1062" i="52"/>
  <c r="AD1062" i="52"/>
  <c r="AB1063" i="52"/>
  <c r="AC1063" i="52"/>
  <c r="AD1063" i="52"/>
  <c r="AB1064" i="52"/>
  <c r="AC1064" i="52"/>
  <c r="AD1064" i="52"/>
  <c r="AB1065" i="52"/>
  <c r="AC1065" i="52"/>
  <c r="AD1065" i="52"/>
  <c r="AB1066" i="52"/>
  <c r="AC1066" i="52"/>
  <c r="AD1066" i="52"/>
  <c r="AB1067" i="52"/>
  <c r="AC1067" i="52"/>
  <c r="AD1067" i="52"/>
  <c r="AB1068" i="52"/>
  <c r="AC1068" i="52"/>
  <c r="AD1068" i="52"/>
  <c r="AB1069" i="52"/>
  <c r="AC1069" i="52"/>
  <c r="AD1069" i="52"/>
  <c r="AB1070" i="52"/>
  <c r="AC1070" i="52"/>
  <c r="AD1070" i="52"/>
  <c r="AB1071" i="52"/>
  <c r="AC1071" i="52"/>
  <c r="AD1071" i="52"/>
  <c r="AB1072" i="52"/>
  <c r="AC1072" i="52"/>
  <c r="AD1072" i="52"/>
  <c r="AB1073" i="52"/>
  <c r="AC1073" i="52"/>
  <c r="AD1073" i="52"/>
  <c r="AB1074" i="52"/>
  <c r="AC1074" i="52"/>
  <c r="AD1074" i="52"/>
  <c r="AB1075" i="52"/>
  <c r="AC1075" i="52"/>
  <c r="AD1075" i="52"/>
  <c r="AB1076" i="52"/>
  <c r="AC1076" i="52"/>
  <c r="AD1076" i="52"/>
  <c r="AB1077" i="52"/>
  <c r="AC1077" i="52"/>
  <c r="AD1077" i="52"/>
  <c r="AB1078" i="52"/>
  <c r="AC1078" i="52"/>
  <c r="AD1078" i="52"/>
  <c r="AB1079" i="52"/>
  <c r="AC1079" i="52"/>
  <c r="AD1079" i="52"/>
  <c r="AB1080" i="52"/>
  <c r="AC1080" i="52"/>
  <c r="AD1080" i="52"/>
  <c r="AB1081" i="52"/>
  <c r="AC1081" i="52"/>
  <c r="AD1081" i="52"/>
  <c r="AB1082" i="52"/>
  <c r="AC1082" i="52"/>
  <c r="AD1082" i="52"/>
  <c r="AB1083" i="52"/>
  <c r="AC1083" i="52"/>
  <c r="AD1083" i="52"/>
  <c r="AB1084" i="52"/>
  <c r="AC1084" i="52"/>
  <c r="AD1084" i="52"/>
  <c r="AB1085" i="52"/>
  <c r="AC1085" i="52"/>
  <c r="AD1085" i="52"/>
  <c r="AB1086" i="52"/>
  <c r="AC1086" i="52"/>
  <c r="AD1086" i="52"/>
  <c r="AB1087" i="52"/>
  <c r="AC1087" i="52"/>
  <c r="AD1087" i="52"/>
  <c r="AB1088" i="52"/>
  <c r="AC1088" i="52"/>
  <c r="AD1088" i="52"/>
  <c r="AB1089" i="52"/>
  <c r="AC1089" i="52"/>
  <c r="AD1089" i="52"/>
  <c r="AB1090" i="52"/>
  <c r="AC1090" i="52"/>
  <c r="AD1090" i="52"/>
  <c r="AB1091" i="52"/>
  <c r="AC1091" i="52"/>
  <c r="AD1091" i="52"/>
  <c r="AB1092" i="52"/>
  <c r="AC1092" i="52"/>
  <c r="AD1092" i="52"/>
  <c r="AB1093" i="52"/>
  <c r="AC1093" i="52"/>
  <c r="AD1093" i="52"/>
  <c r="AB1094" i="52"/>
  <c r="AC1094" i="52"/>
  <c r="AD1094" i="52"/>
  <c r="AB1095" i="52"/>
  <c r="AC1095" i="52"/>
  <c r="AD1095" i="52"/>
  <c r="AB1096" i="52"/>
  <c r="AC1096" i="52"/>
  <c r="AD1096" i="52"/>
  <c r="AB1097" i="52"/>
  <c r="AC1097" i="52"/>
  <c r="AD1097" i="52"/>
  <c r="AB1098" i="52"/>
  <c r="AC1098" i="52"/>
  <c r="AD1098" i="52"/>
  <c r="AB1099" i="52"/>
  <c r="AC1099" i="52"/>
  <c r="AD1099" i="52"/>
  <c r="AB1100" i="52"/>
  <c r="AC1100" i="52"/>
  <c r="AD1100" i="52"/>
  <c r="AB1101" i="52"/>
  <c r="AC1101" i="52"/>
  <c r="AD1101" i="52"/>
  <c r="AB1102" i="52"/>
  <c r="AC1102" i="52"/>
  <c r="AD1102" i="52"/>
  <c r="AB1103" i="52"/>
  <c r="AC1103" i="52"/>
  <c r="AD1103" i="52"/>
  <c r="AB1104" i="52"/>
  <c r="AC1104" i="52"/>
  <c r="AD1104" i="52"/>
  <c r="AB1105" i="52"/>
  <c r="AC1105" i="52"/>
  <c r="AD1105" i="52"/>
  <c r="AB1106" i="52"/>
  <c r="AC1106" i="52"/>
  <c r="AD1106" i="52"/>
  <c r="AB1107" i="52"/>
  <c r="AC1107" i="52"/>
  <c r="AD1107" i="52"/>
  <c r="AB1108" i="52"/>
  <c r="AC1108" i="52"/>
  <c r="AD1108" i="52"/>
  <c r="AB1109" i="52"/>
  <c r="AC1109" i="52"/>
  <c r="AD1109" i="52"/>
  <c r="AB1110" i="52"/>
  <c r="AC1110" i="52"/>
  <c r="AD1110" i="52"/>
  <c r="AB1111" i="52"/>
  <c r="AC1111" i="52"/>
  <c r="AD1111" i="52"/>
  <c r="AB1112" i="52"/>
  <c r="AC1112" i="52"/>
  <c r="AD1112" i="52"/>
  <c r="AB1113" i="52"/>
  <c r="AC1113" i="52"/>
  <c r="AD1113" i="52"/>
  <c r="AB1114" i="52"/>
  <c r="AC1114" i="52"/>
  <c r="AD1114" i="52"/>
  <c r="AB1115" i="52"/>
  <c r="AC1115" i="52"/>
  <c r="AD1115" i="52"/>
  <c r="AB1116" i="52"/>
  <c r="AC1116" i="52"/>
  <c r="AD1116" i="52"/>
  <c r="AB1117" i="52"/>
  <c r="AC1117" i="52"/>
  <c r="AD1117" i="52"/>
  <c r="AB1118" i="52"/>
  <c r="AC1118" i="52"/>
  <c r="AD1118" i="52"/>
  <c r="AB1119" i="52"/>
  <c r="AC1119" i="52"/>
  <c r="AD1119" i="52"/>
  <c r="AB1120" i="52"/>
  <c r="AC1120" i="52"/>
  <c r="AD1120" i="52"/>
  <c r="AB1121" i="52"/>
  <c r="AC1121" i="52"/>
  <c r="AD1121" i="52"/>
  <c r="AB1122" i="52"/>
  <c r="AC1122" i="52"/>
  <c r="AD1122" i="52"/>
  <c r="AB1123" i="52"/>
  <c r="AC1123" i="52"/>
  <c r="AD1123" i="52"/>
  <c r="AB1124" i="52"/>
  <c r="AC1124" i="52"/>
  <c r="AD1124" i="52"/>
  <c r="AB1125" i="52"/>
  <c r="AC1125" i="52"/>
  <c r="AD1125" i="52"/>
  <c r="AB1126" i="52"/>
  <c r="AC1126" i="52"/>
  <c r="AD1126" i="52"/>
  <c r="AB1127" i="52"/>
  <c r="AC1127" i="52"/>
  <c r="AD1127" i="52"/>
  <c r="AB1128" i="52"/>
  <c r="AC1128" i="52"/>
  <c r="AD1128" i="52"/>
  <c r="AB1129" i="52"/>
  <c r="AC1129" i="52"/>
  <c r="AD1129" i="52"/>
  <c r="AB1130" i="52"/>
  <c r="AC1130" i="52"/>
  <c r="AD1130" i="52"/>
  <c r="AB1131" i="52"/>
  <c r="AC1131" i="52"/>
  <c r="AD1131" i="52"/>
  <c r="AB1132" i="52"/>
  <c r="AC1132" i="52"/>
  <c r="AD1132" i="52"/>
  <c r="AB1133" i="52"/>
  <c r="AC1133" i="52"/>
  <c r="AD1133" i="52"/>
  <c r="AB1134" i="52"/>
  <c r="AC1134" i="52"/>
  <c r="AD1134" i="52"/>
  <c r="AB1135" i="52"/>
  <c r="AC1135" i="52"/>
  <c r="AD1135" i="52"/>
  <c r="AB1136" i="52"/>
  <c r="AC1136" i="52"/>
  <c r="AD1136" i="52"/>
  <c r="AB1137" i="52"/>
  <c r="AC1137" i="52"/>
  <c r="AD1137" i="52"/>
  <c r="AB1138" i="52"/>
  <c r="AC1138" i="52"/>
  <c r="AD1138" i="52"/>
  <c r="AB1139" i="52"/>
  <c r="AC1139" i="52"/>
  <c r="AD1139" i="52"/>
  <c r="AB1140" i="52"/>
  <c r="AC1140" i="52"/>
  <c r="AD1140" i="52"/>
  <c r="AB1141" i="52"/>
  <c r="AC1141" i="52"/>
  <c r="AD1141" i="52"/>
  <c r="AB1142" i="52"/>
  <c r="AC1142" i="52"/>
  <c r="AD1142" i="52"/>
  <c r="AB1143" i="52"/>
  <c r="AC1143" i="52"/>
  <c r="AD1143" i="52"/>
  <c r="AB1144" i="52"/>
  <c r="AC1144" i="52"/>
  <c r="AD1144" i="52"/>
  <c r="AB1145" i="52"/>
  <c r="AC1145" i="52"/>
  <c r="AD1145" i="52"/>
  <c r="AB1146" i="52"/>
  <c r="AC1146" i="52"/>
  <c r="AD1146" i="52"/>
  <c r="AB1147" i="52"/>
  <c r="AC1147" i="52"/>
  <c r="AD1147" i="52"/>
  <c r="AB1148" i="52"/>
  <c r="AC1148" i="52"/>
  <c r="AD1148" i="52"/>
  <c r="AB1149" i="52"/>
  <c r="AC1149" i="52"/>
  <c r="AD1149" i="52"/>
  <c r="AB1150" i="52"/>
  <c r="AC1150" i="52"/>
  <c r="AD1150" i="52"/>
  <c r="AB1151" i="52"/>
  <c r="AC1151" i="52"/>
  <c r="AD1151" i="52"/>
  <c r="AB1152" i="52"/>
  <c r="AC1152" i="52"/>
  <c r="AD1152" i="52"/>
  <c r="AB1153" i="52"/>
  <c r="AC1153" i="52"/>
  <c r="AD1153" i="52"/>
  <c r="AB1154" i="52"/>
  <c r="AC1154" i="52"/>
  <c r="AD1154" i="52"/>
  <c r="AB1155" i="52"/>
  <c r="AC1155" i="52"/>
  <c r="AD1155" i="52"/>
  <c r="AB1156" i="52"/>
  <c r="AC1156" i="52"/>
  <c r="AD1156" i="52"/>
  <c r="AB1157" i="52"/>
  <c r="AC1157" i="52"/>
  <c r="AD1157" i="52"/>
  <c r="AB1158" i="52"/>
  <c r="AC1158" i="52"/>
  <c r="AD1158" i="52"/>
  <c r="AB1159" i="52"/>
  <c r="AC1159" i="52"/>
  <c r="AD1159" i="52"/>
  <c r="AB1160" i="52"/>
  <c r="AC1160" i="52"/>
  <c r="AD1160" i="52"/>
  <c r="AB1161" i="52"/>
  <c r="AC1161" i="52"/>
  <c r="AD1161" i="52"/>
  <c r="AB1162" i="52"/>
  <c r="AC1162" i="52"/>
  <c r="AD1162" i="52"/>
  <c r="AB1163" i="52"/>
  <c r="AC1163" i="52"/>
  <c r="AD1163" i="52"/>
  <c r="AB1164" i="52"/>
  <c r="AC1164" i="52"/>
  <c r="AD1164" i="52"/>
  <c r="AB1165" i="52"/>
  <c r="AC1165" i="52"/>
  <c r="AD1165" i="52"/>
  <c r="AB1166" i="52"/>
  <c r="AC1166" i="52"/>
  <c r="AD1166" i="52"/>
  <c r="AB1167" i="52"/>
  <c r="AC1167" i="52"/>
  <c r="AD1167" i="52"/>
  <c r="AB1168" i="52"/>
  <c r="AC1168" i="52"/>
  <c r="AD1168" i="52"/>
  <c r="AB1169" i="52"/>
  <c r="AC1169" i="52"/>
  <c r="AD1169" i="52"/>
  <c r="AB1170" i="52"/>
  <c r="AC1170" i="52"/>
  <c r="AD1170" i="52"/>
  <c r="AB1171" i="52"/>
  <c r="AC1171" i="52"/>
  <c r="AD1171" i="52"/>
  <c r="AB1172" i="52"/>
  <c r="AC1172" i="52"/>
  <c r="AD1172" i="52"/>
  <c r="AB1173" i="52"/>
  <c r="AC1173" i="52"/>
  <c r="AD1173" i="52"/>
  <c r="AB1174" i="52"/>
  <c r="AC1174" i="52"/>
  <c r="AD1174" i="52"/>
  <c r="AB1175" i="52"/>
  <c r="AC1175" i="52"/>
  <c r="AD1175" i="52"/>
  <c r="AB1176" i="52"/>
  <c r="AC1176" i="52"/>
  <c r="AD1176" i="52"/>
  <c r="AB1177" i="52"/>
  <c r="AC1177" i="52"/>
  <c r="AD1177" i="52"/>
  <c r="AB1178" i="52"/>
  <c r="AC1178" i="52"/>
  <c r="AD1178" i="52"/>
  <c r="AB1179" i="52"/>
  <c r="AC1179" i="52"/>
  <c r="AD1179" i="52"/>
  <c r="AB1180" i="52"/>
  <c r="AC1180" i="52"/>
  <c r="AD1180" i="52"/>
  <c r="AB1181" i="52"/>
  <c r="AC1181" i="52"/>
  <c r="AD1181" i="52"/>
  <c r="AB1182" i="52"/>
  <c r="AC1182" i="52"/>
  <c r="AD1182" i="52"/>
  <c r="AB1183" i="52"/>
  <c r="AC1183" i="52"/>
  <c r="AD1183" i="52"/>
  <c r="AB1184" i="52"/>
  <c r="AC1184" i="52"/>
  <c r="AD1184" i="52"/>
  <c r="AB1185" i="52"/>
  <c r="AC1185" i="52"/>
  <c r="AD1185" i="52"/>
  <c r="AB1186" i="52"/>
  <c r="AC1186" i="52"/>
  <c r="AD1186" i="52"/>
  <c r="AB1187" i="52"/>
  <c r="AC1187" i="52"/>
  <c r="AD1187" i="52"/>
  <c r="AB1188" i="52"/>
  <c r="AC1188" i="52"/>
  <c r="AD1188" i="52"/>
  <c r="AB1189" i="52"/>
  <c r="AC1189" i="52"/>
  <c r="AD1189" i="52"/>
  <c r="AB1190" i="52"/>
  <c r="AC1190" i="52"/>
  <c r="AD1190" i="52"/>
  <c r="AB1191" i="52"/>
  <c r="AC1191" i="52"/>
  <c r="AD1191" i="52"/>
  <c r="AB1192" i="52"/>
  <c r="AC1192" i="52"/>
  <c r="AD1192" i="52"/>
  <c r="AB1193" i="52"/>
  <c r="AC1193" i="52"/>
  <c r="AD1193" i="52"/>
  <c r="AB1194" i="52"/>
  <c r="AC1194" i="52"/>
  <c r="AD1194" i="52"/>
  <c r="AB1195" i="52"/>
  <c r="AC1195" i="52"/>
  <c r="AD1195" i="52"/>
  <c r="AB1196" i="52"/>
  <c r="AC1196" i="52"/>
  <c r="AD1196" i="52"/>
  <c r="AB1197" i="52"/>
  <c r="AC1197" i="52"/>
  <c r="AD1197" i="52"/>
  <c r="AB1198" i="52"/>
  <c r="AC1198" i="52"/>
  <c r="AD1198" i="52"/>
  <c r="AB1199" i="52"/>
  <c r="AC1199" i="52"/>
  <c r="AD1199" i="52"/>
  <c r="AB1200" i="52"/>
  <c r="AC1200" i="52"/>
  <c r="AD1200" i="52"/>
  <c r="AB1201" i="52"/>
  <c r="AC1201" i="52"/>
  <c r="AD1201" i="52"/>
  <c r="AB1202" i="52"/>
  <c r="AC1202" i="52"/>
  <c r="AD1202" i="52"/>
  <c r="AB1203" i="52"/>
  <c r="AC1203" i="52"/>
  <c r="AD1203" i="52"/>
  <c r="AB1204" i="52"/>
  <c r="AC1204" i="52"/>
  <c r="AD1204" i="52"/>
  <c r="AB1205" i="52"/>
  <c r="AC1205" i="52"/>
  <c r="AD1205" i="52"/>
  <c r="AB1206" i="52"/>
  <c r="AC1206" i="52"/>
  <c r="AD1206" i="52"/>
  <c r="AB1207" i="52"/>
  <c r="AC1207" i="52"/>
  <c r="AD1207" i="52"/>
  <c r="AB1208" i="52"/>
  <c r="AC1208" i="52"/>
  <c r="AD1208" i="52"/>
  <c r="AB1209" i="52"/>
  <c r="AC1209" i="52"/>
  <c r="AD1209" i="52"/>
  <c r="AB1210" i="52"/>
  <c r="AC1210" i="52"/>
  <c r="AD1210" i="52"/>
  <c r="AB1211" i="52"/>
  <c r="AC1211" i="52"/>
  <c r="AD1211" i="52"/>
  <c r="AB1212" i="52"/>
  <c r="AC1212" i="52"/>
  <c r="AD1212" i="52"/>
  <c r="AB1213" i="52"/>
  <c r="AC1213" i="52"/>
  <c r="AD1213" i="52"/>
  <c r="AB1214" i="52"/>
  <c r="AC1214" i="52"/>
  <c r="AD1214" i="52"/>
  <c r="AB1215" i="52"/>
  <c r="AC1215" i="52"/>
  <c r="AD1215" i="52"/>
  <c r="AB1216" i="52"/>
  <c r="AC1216" i="52"/>
  <c r="AD1216" i="52"/>
  <c r="AB1217" i="52"/>
  <c r="AC1217" i="52"/>
  <c r="AD1217" i="52"/>
  <c r="AB1218" i="52"/>
  <c r="AC1218" i="52"/>
  <c r="AD1218" i="52"/>
  <c r="AB1219" i="52"/>
  <c r="AC1219" i="52"/>
  <c r="AD1219" i="52"/>
  <c r="AB1220" i="52"/>
  <c r="AC1220" i="52"/>
  <c r="AD1220" i="52"/>
  <c r="AB1221" i="52"/>
  <c r="AC1221" i="52"/>
  <c r="AD1221" i="52"/>
  <c r="AB1222" i="52"/>
  <c r="AC1222" i="52"/>
  <c r="AD1222" i="52"/>
  <c r="AB1223" i="52"/>
  <c r="AC1223" i="52"/>
  <c r="AD1223" i="52"/>
  <c r="AB1224" i="52"/>
  <c r="AC1224" i="52"/>
  <c r="AD1224" i="52"/>
  <c r="AB1225" i="52"/>
  <c r="AC1225" i="52"/>
  <c r="AD1225" i="52"/>
  <c r="AB1226" i="52"/>
  <c r="AC1226" i="52"/>
  <c r="AD1226" i="52"/>
  <c r="AB1227" i="52"/>
  <c r="AC1227" i="52"/>
  <c r="AD1227" i="52"/>
  <c r="AB1228" i="52"/>
  <c r="AC1228" i="52"/>
  <c r="AD1228" i="52"/>
  <c r="AB1229" i="52"/>
  <c r="AC1229" i="52"/>
  <c r="AD1229" i="52"/>
  <c r="AB1230" i="52"/>
  <c r="AC1230" i="52"/>
  <c r="AD1230" i="52"/>
  <c r="AB1231" i="52"/>
  <c r="AC1231" i="52"/>
  <c r="AD1231" i="52"/>
  <c r="AB1232" i="52"/>
  <c r="AC1232" i="52"/>
  <c r="AD1232" i="52"/>
  <c r="AB1233" i="52"/>
  <c r="AC1233" i="52"/>
  <c r="AD1233" i="52"/>
  <c r="AB1234" i="52"/>
  <c r="AC1234" i="52"/>
  <c r="AD1234" i="52"/>
  <c r="AB1235" i="52"/>
  <c r="AC1235" i="52"/>
  <c r="AD1235" i="52"/>
  <c r="AB1236" i="52"/>
  <c r="AC1236" i="52"/>
  <c r="AD1236" i="52"/>
  <c r="AB1237" i="52"/>
  <c r="AC1237" i="52"/>
  <c r="AD1237" i="52"/>
  <c r="AB1238" i="52"/>
  <c r="AC1238" i="52"/>
  <c r="AD1238" i="52"/>
  <c r="AB1239" i="52"/>
  <c r="AC1239" i="52"/>
  <c r="AD1239" i="52"/>
  <c r="AB1240" i="52"/>
  <c r="AC1240" i="52"/>
  <c r="AD1240" i="52"/>
  <c r="AB1241" i="52"/>
  <c r="AC1241" i="52"/>
  <c r="AD1241" i="52"/>
  <c r="AB1242" i="52"/>
  <c r="AC1242" i="52"/>
  <c r="AD1242" i="52"/>
  <c r="AB1243" i="52"/>
  <c r="AC1243" i="52"/>
  <c r="AD1243" i="52"/>
  <c r="AB1244" i="52"/>
  <c r="AC1244" i="52"/>
  <c r="AD1244" i="52"/>
  <c r="AB1245" i="52"/>
  <c r="AC1245" i="52"/>
  <c r="AD1245" i="52"/>
  <c r="AB1246" i="52"/>
  <c r="AC1246" i="52"/>
  <c r="AD1246" i="52"/>
  <c r="AB1247" i="52"/>
  <c r="AC1247" i="52"/>
  <c r="AD1247" i="52"/>
  <c r="AB1248" i="52"/>
  <c r="AC1248" i="52"/>
  <c r="AD1248" i="52"/>
  <c r="AB1249" i="52"/>
  <c r="AC1249" i="52"/>
  <c r="AD1249" i="52"/>
  <c r="AB1250" i="52"/>
  <c r="AC1250" i="52"/>
  <c r="AD1250" i="52"/>
  <c r="AB1251" i="52"/>
  <c r="AC1251" i="52"/>
  <c r="AD1251" i="52"/>
  <c r="AB1252" i="52"/>
  <c r="AC1252" i="52"/>
  <c r="AD1252" i="52"/>
  <c r="AB1253" i="52"/>
  <c r="AC1253" i="52"/>
  <c r="AD1253" i="52"/>
  <c r="AB1254" i="52"/>
  <c r="AC1254" i="52"/>
  <c r="AD1254" i="52"/>
  <c r="AB1255" i="52"/>
  <c r="AC1255" i="52"/>
  <c r="AD1255" i="52"/>
  <c r="AB1256" i="52"/>
  <c r="AC1256" i="52"/>
  <c r="AD1256" i="52"/>
  <c r="AB1257" i="52"/>
  <c r="AC1257" i="52"/>
  <c r="AD1257" i="52"/>
  <c r="AB1258" i="52"/>
  <c r="AC1258" i="52"/>
  <c r="AD1258" i="52"/>
  <c r="AB1259" i="52"/>
  <c r="AC1259" i="52"/>
  <c r="AD1259" i="52"/>
  <c r="AB1260" i="52"/>
  <c r="AC1260" i="52"/>
  <c r="AD1260" i="52"/>
  <c r="AB1261" i="52"/>
  <c r="AC1261" i="52"/>
  <c r="AD1261" i="52"/>
  <c r="AB1262" i="52"/>
  <c r="AC1262" i="52"/>
  <c r="AD1262" i="52"/>
  <c r="AB1263" i="52"/>
  <c r="AC1263" i="52"/>
  <c r="AD1263" i="52"/>
  <c r="AB1264" i="52"/>
  <c r="AC1264" i="52"/>
  <c r="AD1264" i="52"/>
  <c r="AB1265" i="52"/>
  <c r="AC1265" i="52"/>
  <c r="AD1265" i="52"/>
  <c r="AB1266" i="52"/>
  <c r="AC1266" i="52"/>
  <c r="AD1266" i="52"/>
  <c r="AB1267" i="52"/>
  <c r="AC1267" i="52"/>
  <c r="AD1267" i="52"/>
  <c r="AB1268" i="52"/>
  <c r="AC1268" i="52"/>
  <c r="AD1268" i="52"/>
  <c r="AB1269" i="52"/>
  <c r="AC1269" i="52"/>
  <c r="AD1269" i="52"/>
  <c r="AB1270" i="52"/>
  <c r="AC1270" i="52"/>
  <c r="AD1270" i="52"/>
  <c r="AB1271" i="52"/>
  <c r="AC1271" i="52"/>
  <c r="AD1271" i="52"/>
  <c r="AB1272" i="52"/>
  <c r="AC1272" i="52"/>
  <c r="AD1272" i="52"/>
  <c r="AB1273" i="52"/>
  <c r="AC1273" i="52"/>
  <c r="AD1273" i="52"/>
  <c r="AB1274" i="52"/>
  <c r="AC1274" i="52"/>
  <c r="AD1274" i="52"/>
  <c r="AB1275" i="52"/>
  <c r="AC1275" i="52"/>
  <c r="AD1275" i="52"/>
  <c r="AB1276" i="52"/>
  <c r="AC1276" i="52"/>
  <c r="AD1276" i="52"/>
  <c r="AB1277" i="52"/>
  <c r="AC1277" i="52"/>
  <c r="AD1277" i="52"/>
  <c r="AB1278" i="52"/>
  <c r="AC1278" i="52"/>
  <c r="AD1278" i="52"/>
  <c r="AB1279" i="52"/>
  <c r="AC1279" i="52"/>
  <c r="AD1279" i="52"/>
  <c r="AB1280" i="52"/>
  <c r="AC1280" i="52"/>
  <c r="AD1280" i="52"/>
  <c r="AB1281" i="52"/>
  <c r="AC1281" i="52"/>
  <c r="AD1281" i="52"/>
  <c r="AB1282" i="52"/>
  <c r="AC1282" i="52"/>
  <c r="AD1282" i="52"/>
  <c r="AB1283" i="52"/>
  <c r="AC1283" i="52"/>
  <c r="AD1283" i="52"/>
  <c r="AB1284" i="52"/>
  <c r="AC1284" i="52"/>
  <c r="AD1284" i="52"/>
  <c r="AB1285" i="52"/>
  <c r="AC1285" i="52"/>
  <c r="AD1285" i="52"/>
  <c r="AB1286" i="52"/>
  <c r="AC1286" i="52"/>
  <c r="AD1286" i="52"/>
  <c r="AB1287" i="52"/>
  <c r="AC1287" i="52"/>
  <c r="AD1287" i="52"/>
  <c r="AB1288" i="52"/>
  <c r="AC1288" i="52"/>
  <c r="AD1288" i="52"/>
  <c r="AB1289" i="52"/>
  <c r="AC1289" i="52"/>
  <c r="AD1289" i="52"/>
  <c r="AB1290" i="52"/>
  <c r="AC1290" i="52"/>
  <c r="AD1290" i="52"/>
  <c r="AB1291" i="52"/>
  <c r="AC1291" i="52"/>
  <c r="AD1291" i="52"/>
  <c r="AB1292" i="52"/>
  <c r="AC1292" i="52"/>
  <c r="AD1292" i="52"/>
  <c r="AB1293" i="52"/>
  <c r="AC1293" i="52"/>
  <c r="AD1293" i="52"/>
  <c r="AB1294" i="52"/>
  <c r="AC1294" i="52"/>
  <c r="AD1294" i="52"/>
  <c r="AB1295" i="52"/>
  <c r="AC1295" i="52"/>
  <c r="AD1295" i="52"/>
  <c r="AB1296" i="52"/>
  <c r="AC1296" i="52"/>
  <c r="AD1296" i="52"/>
  <c r="AB1297" i="52"/>
  <c r="AC1297" i="52"/>
  <c r="AD1297" i="52"/>
  <c r="AB1298" i="52"/>
  <c r="AC1298" i="52"/>
  <c r="AD1298" i="52"/>
  <c r="AB1299" i="52"/>
  <c r="AC1299" i="52"/>
  <c r="AD1299" i="52"/>
  <c r="AB1300" i="52"/>
  <c r="AC1300" i="52"/>
  <c r="AD1300" i="52"/>
  <c r="AB1301" i="52"/>
  <c r="AC1301" i="52"/>
  <c r="AD1301" i="52"/>
  <c r="AB1302" i="52"/>
  <c r="AC1302" i="52"/>
  <c r="AD1302" i="52"/>
  <c r="AB1303" i="52"/>
  <c r="AC1303" i="52"/>
  <c r="AD1303" i="52"/>
  <c r="AB1304" i="52"/>
  <c r="AC1304" i="52"/>
  <c r="AD1304" i="52"/>
  <c r="AB1305" i="52"/>
  <c r="AC1305" i="52"/>
  <c r="AD1305" i="52"/>
  <c r="AB1306" i="52"/>
  <c r="AC1306" i="52"/>
  <c r="AD1306" i="52"/>
  <c r="AB1307" i="52"/>
  <c r="AC1307" i="52"/>
  <c r="AD1307" i="52"/>
  <c r="AB1308" i="52"/>
  <c r="AC1308" i="52"/>
  <c r="AD1308" i="52"/>
  <c r="AB1309" i="52"/>
  <c r="AC1309" i="52"/>
  <c r="AD1309" i="52"/>
  <c r="AB1310" i="52"/>
  <c r="AC1310" i="52"/>
  <c r="AD1310" i="52"/>
  <c r="AB1311" i="52"/>
  <c r="AC1311" i="52"/>
  <c r="AD1311" i="52"/>
  <c r="AB1312" i="52"/>
  <c r="AC1312" i="52"/>
  <c r="AD1312" i="52"/>
  <c r="AB1313" i="52"/>
  <c r="AC1313" i="52"/>
  <c r="AD1313" i="52"/>
  <c r="AB1314" i="52"/>
  <c r="AC1314" i="52"/>
  <c r="AD1314" i="52"/>
  <c r="AB1315" i="52"/>
  <c r="AC1315" i="52"/>
  <c r="AD1315" i="52"/>
  <c r="AB1316" i="52"/>
  <c r="AC1316" i="52"/>
  <c r="AD1316" i="52"/>
  <c r="AB1317" i="52"/>
  <c r="AC1317" i="52"/>
  <c r="AD1317" i="52"/>
  <c r="AB1318" i="52"/>
  <c r="AC1318" i="52"/>
  <c r="AD1318" i="52"/>
  <c r="AB1319" i="52"/>
  <c r="AC1319" i="52"/>
  <c r="AD1319" i="52"/>
  <c r="AB1320" i="52"/>
  <c r="AC1320" i="52"/>
  <c r="AD1320" i="52"/>
  <c r="AB1321" i="52"/>
  <c r="AC1321" i="52"/>
  <c r="AD1321" i="52"/>
  <c r="AB1322" i="52"/>
  <c r="AC1322" i="52"/>
  <c r="AD1322" i="52"/>
  <c r="AB1323" i="52"/>
  <c r="AC1323" i="52"/>
  <c r="AD1323" i="52"/>
  <c r="AB1324" i="52"/>
  <c r="AC1324" i="52"/>
  <c r="AD1324" i="52"/>
  <c r="AB1325" i="52"/>
  <c r="AC1325" i="52"/>
  <c r="AD1325" i="52"/>
  <c r="AB1326" i="52"/>
  <c r="AC1326" i="52"/>
  <c r="AD1326" i="52"/>
  <c r="AB1327" i="52"/>
  <c r="AC1327" i="52"/>
  <c r="AD1327" i="52"/>
  <c r="AB1328" i="52"/>
  <c r="AC1328" i="52"/>
  <c r="AD1328" i="52"/>
  <c r="AB1329" i="52"/>
  <c r="AC1329" i="52"/>
  <c r="AD1329" i="52"/>
  <c r="AB1330" i="52"/>
  <c r="AC1330" i="52"/>
  <c r="AD1330" i="52"/>
  <c r="AB1331" i="52"/>
  <c r="AC1331" i="52"/>
  <c r="AD1331" i="52"/>
  <c r="AB1332" i="52"/>
  <c r="AC1332" i="52"/>
  <c r="AD1332" i="52"/>
  <c r="AB1333" i="52"/>
  <c r="AC1333" i="52"/>
  <c r="AD1333" i="52"/>
  <c r="AB1334" i="52"/>
  <c r="AC1334" i="52"/>
  <c r="AD1334" i="52"/>
  <c r="AB1335" i="52"/>
  <c r="AC1335" i="52"/>
  <c r="AD1335" i="52"/>
  <c r="AB1336" i="52"/>
  <c r="AC1336" i="52"/>
  <c r="AD1336" i="52"/>
  <c r="AB1337" i="52"/>
  <c r="AC1337" i="52"/>
  <c r="AD1337" i="52"/>
  <c r="AB1338" i="52"/>
  <c r="AC1338" i="52"/>
  <c r="AD1338" i="52"/>
  <c r="AB1339" i="52"/>
  <c r="AC1339" i="52"/>
  <c r="AD1339" i="52"/>
  <c r="AB1340" i="52"/>
  <c r="AC1340" i="52"/>
  <c r="AD1340" i="52"/>
  <c r="AB1341" i="52"/>
  <c r="AC1341" i="52"/>
  <c r="AD1341" i="52"/>
  <c r="AB1342" i="52"/>
  <c r="AC1342" i="52"/>
  <c r="AD1342" i="52"/>
  <c r="AB1343" i="52"/>
  <c r="AC1343" i="52"/>
  <c r="AD1343" i="52"/>
  <c r="AB1344" i="52"/>
  <c r="AC1344" i="52"/>
  <c r="AD1344" i="52"/>
  <c r="AB1345" i="52"/>
  <c r="AC1345" i="52"/>
  <c r="AD1345" i="52"/>
  <c r="AB1346" i="52"/>
  <c r="AC1346" i="52"/>
  <c r="AD1346" i="52"/>
  <c r="AB1347" i="52"/>
  <c r="AC1347" i="52"/>
  <c r="AD1347" i="52"/>
  <c r="AB1348" i="52"/>
  <c r="AC1348" i="52"/>
  <c r="AD1348" i="52"/>
  <c r="AB1349" i="52"/>
  <c r="AC1349" i="52"/>
  <c r="AD1349" i="52"/>
  <c r="AB1350" i="52"/>
  <c r="AC1350" i="52"/>
  <c r="AD1350" i="52"/>
  <c r="AB1351" i="52"/>
  <c r="AC1351" i="52"/>
  <c r="AD1351" i="52"/>
  <c r="AB1352" i="52"/>
  <c r="AC1352" i="52"/>
  <c r="AD1352" i="52"/>
  <c r="AB1353" i="52"/>
  <c r="AC1353" i="52"/>
  <c r="AD1353" i="52"/>
  <c r="AB1354" i="52"/>
  <c r="AC1354" i="52"/>
  <c r="AD1354" i="52"/>
  <c r="AB1355" i="52"/>
  <c r="AC1355" i="52"/>
  <c r="AD1355" i="52"/>
  <c r="AB1356" i="52"/>
  <c r="AC1356" i="52"/>
  <c r="AD1356" i="52"/>
  <c r="AB1357" i="52"/>
  <c r="AC1357" i="52"/>
  <c r="AD1357" i="52"/>
  <c r="AB1358" i="52"/>
  <c r="AC1358" i="52"/>
  <c r="AD1358" i="52"/>
  <c r="AB1359" i="52"/>
  <c r="AC1359" i="52"/>
  <c r="AD1359" i="52"/>
  <c r="AB1360" i="52"/>
  <c r="AC1360" i="52"/>
  <c r="AD1360" i="52"/>
  <c r="AB1361" i="52"/>
  <c r="AC1361" i="52"/>
  <c r="AD1361" i="52"/>
  <c r="AB1362" i="52"/>
  <c r="AC1362" i="52"/>
  <c r="AD1362" i="52"/>
  <c r="AB1363" i="52"/>
  <c r="AC1363" i="52"/>
  <c r="AD1363" i="52"/>
  <c r="AB1364" i="52"/>
  <c r="AC1364" i="52"/>
  <c r="AD1364" i="52"/>
  <c r="AB1365" i="52"/>
  <c r="AC1365" i="52"/>
  <c r="AD1365" i="52"/>
  <c r="AB1366" i="52"/>
  <c r="AC1366" i="52"/>
  <c r="AD1366" i="52"/>
  <c r="AB1367" i="52"/>
  <c r="AC1367" i="52"/>
  <c r="AD1367" i="52"/>
  <c r="AB1368" i="52"/>
  <c r="AC1368" i="52"/>
  <c r="AD1368" i="52"/>
  <c r="AB1369" i="52"/>
  <c r="AC1369" i="52"/>
  <c r="AD1369" i="52"/>
  <c r="AB1370" i="52"/>
  <c r="AC1370" i="52"/>
  <c r="AD1370" i="52"/>
  <c r="AB1371" i="52"/>
  <c r="AC1371" i="52"/>
  <c r="AD1371" i="52"/>
  <c r="AB1372" i="52"/>
  <c r="AC1372" i="52"/>
  <c r="AD1372" i="52"/>
  <c r="AB1373" i="52"/>
  <c r="AC1373" i="52"/>
  <c r="AD1373" i="52"/>
  <c r="AB1374" i="52"/>
  <c r="AC1374" i="52"/>
  <c r="AD1374" i="52"/>
  <c r="AB1375" i="52"/>
  <c r="AC1375" i="52"/>
  <c r="AD1375" i="52"/>
  <c r="AB1376" i="52"/>
  <c r="AC1376" i="52"/>
  <c r="AD1376" i="52"/>
  <c r="AB1377" i="52"/>
  <c r="AC1377" i="52"/>
  <c r="AD1377" i="52"/>
  <c r="AB1378" i="52"/>
  <c r="AC1378" i="52"/>
  <c r="AD1378" i="52"/>
  <c r="AB1379" i="52"/>
  <c r="AC1379" i="52"/>
  <c r="AD1379" i="52"/>
  <c r="AB1380" i="52"/>
  <c r="AC1380" i="52"/>
  <c r="AD1380" i="52"/>
  <c r="AB1381" i="52"/>
  <c r="AC1381" i="52"/>
  <c r="AD1381" i="52"/>
  <c r="AB1382" i="52"/>
  <c r="AC1382" i="52"/>
  <c r="AD1382" i="52"/>
  <c r="AB1383" i="52"/>
  <c r="AC1383" i="52"/>
  <c r="AD1383" i="52"/>
  <c r="AB1384" i="52"/>
  <c r="AC1384" i="52"/>
  <c r="AD1384" i="52"/>
  <c r="AB1385" i="52"/>
  <c r="AC1385" i="52"/>
  <c r="AD1385" i="52"/>
  <c r="AB1386" i="52"/>
  <c r="AC1386" i="52"/>
  <c r="AD1386" i="52"/>
  <c r="AB1387" i="52"/>
  <c r="AC1387" i="52"/>
  <c r="AD1387" i="52"/>
  <c r="AB1388" i="52"/>
  <c r="AC1388" i="52"/>
  <c r="AD1388" i="52"/>
  <c r="AB1389" i="52"/>
  <c r="AC1389" i="52"/>
  <c r="AD1389" i="52"/>
  <c r="AB1390" i="52"/>
  <c r="AC1390" i="52"/>
  <c r="AD1390" i="52"/>
  <c r="AB1391" i="52"/>
  <c r="AC1391" i="52"/>
  <c r="AD1391" i="52"/>
  <c r="AB1392" i="52"/>
  <c r="AC1392" i="52"/>
  <c r="AD1392" i="52"/>
  <c r="AB1393" i="52"/>
  <c r="AC1393" i="52"/>
  <c r="AD1393" i="52"/>
  <c r="AB1394" i="52"/>
  <c r="AC1394" i="52"/>
  <c r="AD1394" i="52"/>
  <c r="AB1395" i="52"/>
  <c r="AC1395" i="52"/>
  <c r="AD1395" i="52"/>
  <c r="AB1396" i="52"/>
  <c r="AC1396" i="52"/>
  <c r="AD1396" i="52"/>
  <c r="AB1397" i="52"/>
  <c r="AC1397" i="52"/>
  <c r="AD1397" i="52"/>
  <c r="AB1398" i="52"/>
  <c r="AC1398" i="52"/>
  <c r="AD1398" i="52"/>
  <c r="AB1399" i="52"/>
  <c r="AC1399" i="52"/>
  <c r="AD1399" i="52"/>
  <c r="AB1400" i="52"/>
  <c r="AC1400" i="52"/>
  <c r="AD1400" i="52"/>
  <c r="AB1401" i="52"/>
  <c r="AC1401" i="52"/>
  <c r="AD1401" i="52"/>
  <c r="AB1402" i="52"/>
  <c r="AC1402" i="52"/>
  <c r="AD1402" i="52"/>
  <c r="AB1403" i="52"/>
  <c r="AC1403" i="52"/>
  <c r="AD1403" i="52"/>
  <c r="AB1404" i="52"/>
  <c r="AC1404" i="52"/>
  <c r="AD1404" i="52"/>
  <c r="AB1405" i="52"/>
  <c r="AC1405" i="52"/>
  <c r="AD1405" i="52"/>
  <c r="AB1406" i="52"/>
  <c r="AC1406" i="52"/>
  <c r="AD1406" i="52"/>
  <c r="AB1407" i="52"/>
  <c r="AC1407" i="52"/>
  <c r="AD1407" i="52"/>
  <c r="AB1408" i="52"/>
  <c r="AC1408" i="52"/>
  <c r="AD1408" i="52"/>
  <c r="AB1409" i="52"/>
  <c r="AC1409" i="52"/>
  <c r="AD1409" i="52"/>
  <c r="AB1410" i="52"/>
  <c r="AC1410" i="52"/>
  <c r="AD1410" i="52"/>
  <c r="AB1411" i="52"/>
  <c r="AC1411" i="52"/>
  <c r="AD1411" i="52"/>
  <c r="AB1412" i="52"/>
  <c r="AC1412" i="52"/>
  <c r="AD1412" i="52"/>
  <c r="AB1413" i="52"/>
  <c r="AC1413" i="52"/>
  <c r="AD1413" i="52"/>
  <c r="AB1414" i="52"/>
  <c r="AC1414" i="52"/>
  <c r="AD1414" i="52"/>
  <c r="AB1415" i="52"/>
  <c r="AC1415" i="52"/>
  <c r="AD1415" i="52"/>
  <c r="AB1416" i="52"/>
  <c r="AC1416" i="52"/>
  <c r="AD1416" i="52"/>
  <c r="AB1417" i="52"/>
  <c r="AC1417" i="52"/>
  <c r="AD1417" i="52"/>
  <c r="AB1418" i="52"/>
  <c r="AC1418" i="52"/>
  <c r="AD1418" i="52"/>
  <c r="AB1419" i="52"/>
  <c r="AC1419" i="52"/>
  <c r="AD1419" i="52"/>
  <c r="AB1420" i="52"/>
  <c r="AC1420" i="52"/>
  <c r="AD1420" i="52"/>
  <c r="AB1421" i="52"/>
  <c r="AC1421" i="52"/>
  <c r="AD1421" i="52"/>
  <c r="AB1422" i="52"/>
  <c r="AC1422" i="52"/>
  <c r="AD1422" i="52"/>
  <c r="AB1423" i="52"/>
  <c r="AC1423" i="52"/>
  <c r="AD1423" i="52"/>
  <c r="AB1424" i="52"/>
  <c r="AC1424" i="52"/>
  <c r="AD1424" i="52"/>
  <c r="AB1425" i="52"/>
  <c r="AC1425" i="52"/>
  <c r="AD1425" i="52"/>
  <c r="AB1426" i="52"/>
  <c r="AC1426" i="52"/>
  <c r="AD1426" i="52"/>
  <c r="AB1427" i="52"/>
  <c r="AC1427" i="52"/>
  <c r="AD1427" i="52"/>
  <c r="AB1428" i="52"/>
  <c r="AC1428" i="52"/>
  <c r="AD1428" i="52"/>
  <c r="AB1429" i="52"/>
  <c r="AC1429" i="52"/>
  <c r="AD1429" i="52"/>
  <c r="AB1430" i="52"/>
  <c r="AC1430" i="52"/>
  <c r="AD1430" i="52"/>
  <c r="AB1431" i="52"/>
  <c r="AC1431" i="52"/>
  <c r="AD1431" i="52"/>
  <c r="AB1432" i="52"/>
  <c r="AC1432" i="52"/>
  <c r="AD1432" i="52"/>
  <c r="AB1433" i="52"/>
  <c r="AC1433" i="52"/>
  <c r="AD1433" i="52"/>
  <c r="AB1434" i="52"/>
  <c r="AC1434" i="52"/>
  <c r="AD1434" i="52"/>
  <c r="AB1435" i="52"/>
  <c r="AC1435" i="52"/>
  <c r="AD1435" i="52"/>
  <c r="AB1436" i="52"/>
  <c r="AC1436" i="52"/>
  <c r="AD1436" i="52"/>
  <c r="AB1437" i="52"/>
  <c r="AC1437" i="52"/>
  <c r="AD1437" i="52"/>
  <c r="AB1438" i="52"/>
  <c r="AC1438" i="52"/>
  <c r="AD1438" i="52"/>
  <c r="AB1439" i="52"/>
  <c r="AC1439" i="52"/>
  <c r="AD1439" i="52"/>
  <c r="AB1440" i="52"/>
  <c r="AC1440" i="52"/>
  <c r="AD1440" i="52"/>
  <c r="AB1441" i="52"/>
  <c r="AC1441" i="52"/>
  <c r="AD1441" i="52"/>
  <c r="AB1442" i="52"/>
  <c r="AC1442" i="52"/>
  <c r="AD1442" i="52"/>
  <c r="AB1443" i="52"/>
  <c r="AC1443" i="52"/>
  <c r="AD1443" i="52"/>
  <c r="AB1444" i="52"/>
  <c r="AC1444" i="52"/>
  <c r="AD1444" i="52"/>
  <c r="AB1445" i="52"/>
  <c r="AC1445" i="52"/>
  <c r="AD1445" i="52"/>
  <c r="AB1446" i="52"/>
  <c r="AC1446" i="52"/>
  <c r="AD1446" i="52"/>
  <c r="AB1447" i="52"/>
  <c r="AC1447" i="52"/>
  <c r="AD1447" i="52"/>
  <c r="AB1448" i="52"/>
  <c r="AC1448" i="52"/>
  <c r="AD1448" i="52"/>
  <c r="AB1449" i="52"/>
  <c r="AC1449" i="52"/>
  <c r="AD1449" i="52"/>
  <c r="AB1450" i="52"/>
  <c r="AC1450" i="52"/>
  <c r="AD1450" i="52"/>
  <c r="AB1451" i="52"/>
  <c r="AC1451" i="52"/>
  <c r="AD1451" i="52"/>
  <c r="AB1452" i="52"/>
  <c r="AC1452" i="52"/>
  <c r="AD1452" i="52"/>
  <c r="AB1453" i="52"/>
  <c r="AC1453" i="52"/>
  <c r="AD1453" i="52"/>
  <c r="AB1454" i="52"/>
  <c r="AC1454" i="52"/>
  <c r="AD1454" i="52"/>
  <c r="AB1455" i="52"/>
  <c r="AC1455" i="52"/>
  <c r="AD1455" i="52"/>
  <c r="AB1456" i="52"/>
  <c r="AC1456" i="52"/>
  <c r="AD1456" i="52"/>
  <c r="AB1457" i="52"/>
  <c r="AC1457" i="52"/>
  <c r="AD1457" i="52"/>
  <c r="AB1458" i="52"/>
  <c r="AC1458" i="52"/>
  <c r="AD1458" i="52"/>
  <c r="AB1459" i="52"/>
  <c r="AC1459" i="52"/>
  <c r="AD1459" i="52"/>
  <c r="AB1460" i="52"/>
  <c r="AC1460" i="52"/>
  <c r="AD1460" i="52"/>
  <c r="AB1461" i="52"/>
  <c r="AC1461" i="52"/>
  <c r="AD1461" i="52"/>
  <c r="AB1462" i="52"/>
  <c r="AC1462" i="52"/>
  <c r="AD1462" i="52"/>
  <c r="AB1463" i="52"/>
  <c r="AC1463" i="52"/>
  <c r="AD1463" i="52"/>
  <c r="AB1464" i="52"/>
  <c r="AC1464" i="52"/>
  <c r="AD1464" i="52"/>
  <c r="AB1465" i="52"/>
  <c r="AC1465" i="52"/>
  <c r="AD1465" i="52"/>
  <c r="AB1466" i="52"/>
  <c r="AC1466" i="52"/>
  <c r="AD1466" i="52"/>
  <c r="AB1467" i="52"/>
  <c r="AC1467" i="52"/>
  <c r="AD1467" i="52"/>
  <c r="AB1468" i="52"/>
  <c r="AC1468" i="52"/>
  <c r="AD1468" i="52"/>
  <c r="AB1469" i="52"/>
  <c r="AC1469" i="52"/>
  <c r="AD1469" i="52"/>
  <c r="AB1470" i="52"/>
  <c r="AC1470" i="52"/>
  <c r="AD1470" i="52"/>
  <c r="AB1471" i="52"/>
  <c r="AC1471" i="52"/>
  <c r="AD1471" i="52"/>
  <c r="AB1472" i="52"/>
  <c r="AC1472" i="52"/>
  <c r="AD1472" i="52"/>
  <c r="AB1473" i="52"/>
  <c r="AC1473" i="52"/>
  <c r="AD1473" i="52"/>
  <c r="AB1474" i="52"/>
  <c r="AC1474" i="52"/>
  <c r="AD1474" i="52"/>
  <c r="AB1475" i="52"/>
  <c r="AC1475" i="52"/>
  <c r="AD1475" i="52"/>
  <c r="AB1476" i="52"/>
  <c r="AC1476" i="52"/>
  <c r="AD1476" i="52"/>
  <c r="AB1477" i="52"/>
  <c r="AC1477" i="52"/>
  <c r="AD1477" i="52"/>
  <c r="AB1478" i="52"/>
  <c r="AC1478" i="52"/>
  <c r="AD1478" i="52"/>
  <c r="AB1479" i="52"/>
  <c r="AC1479" i="52"/>
  <c r="AD1479" i="52"/>
  <c r="AB1480" i="52"/>
  <c r="AC1480" i="52"/>
  <c r="AD1480" i="52"/>
  <c r="AB1481" i="52"/>
  <c r="AC1481" i="52"/>
  <c r="AD1481" i="52"/>
  <c r="AB1482" i="52"/>
  <c r="AC1482" i="52"/>
  <c r="AD1482" i="52"/>
  <c r="AB1483" i="52"/>
  <c r="AC1483" i="52"/>
  <c r="AD1483" i="52"/>
  <c r="AB1484" i="52"/>
  <c r="AC1484" i="52"/>
  <c r="AD1484" i="52"/>
  <c r="AB1485" i="52"/>
  <c r="AC1485" i="52"/>
  <c r="AD1485" i="52"/>
  <c r="AB1486" i="52"/>
  <c r="AC1486" i="52"/>
  <c r="AD1486" i="52"/>
  <c r="AB1487" i="52"/>
  <c r="AC1487" i="52"/>
  <c r="AD1487" i="52"/>
  <c r="AB1488" i="52"/>
  <c r="AC1488" i="52"/>
  <c r="AD1488" i="52"/>
  <c r="AB1489" i="52"/>
  <c r="AC1489" i="52"/>
  <c r="AD1489" i="52"/>
  <c r="AB1490" i="52"/>
  <c r="AC1490" i="52"/>
  <c r="AD1490" i="52"/>
  <c r="AB1491" i="52"/>
  <c r="AC1491" i="52"/>
  <c r="AD1491" i="52"/>
  <c r="AB1492" i="52"/>
  <c r="AC1492" i="52"/>
  <c r="AD1492" i="52"/>
  <c r="AB1493" i="52"/>
  <c r="AC1493" i="52"/>
  <c r="AD1493" i="52"/>
  <c r="AB1494" i="52"/>
  <c r="AC1494" i="52"/>
  <c r="AD1494" i="52"/>
  <c r="AB1495" i="52"/>
  <c r="AC1495" i="52"/>
  <c r="AD1495" i="52"/>
  <c r="AB1496" i="52"/>
  <c r="AC1496" i="52"/>
  <c r="AD1496" i="52"/>
  <c r="AB1497" i="52"/>
  <c r="AC1497" i="52"/>
  <c r="AD1497" i="52"/>
  <c r="AB1498" i="52"/>
  <c r="AC1498" i="52"/>
  <c r="AD1498" i="52"/>
  <c r="AB1499" i="52"/>
  <c r="AC1499" i="52"/>
  <c r="AD1499" i="52"/>
  <c r="AB1500" i="52"/>
  <c r="AC1500" i="52"/>
  <c r="AD1500" i="52"/>
  <c r="AB1501" i="52"/>
  <c r="AC1501" i="52"/>
  <c r="AD1501" i="52"/>
  <c r="AB1502" i="52"/>
  <c r="AC1502" i="52"/>
  <c r="AD1502" i="52"/>
  <c r="AB1503" i="52"/>
  <c r="AC1503" i="52"/>
  <c r="AD1503" i="52"/>
  <c r="AB1504" i="52"/>
  <c r="AC1504" i="52"/>
  <c r="AD1504" i="52"/>
  <c r="AB1505" i="52"/>
  <c r="AC1505" i="52"/>
  <c r="AD1505" i="52"/>
  <c r="AB1506" i="52"/>
  <c r="AC1506" i="52"/>
  <c r="AD1506" i="52"/>
  <c r="AB1507" i="52"/>
  <c r="AC1507" i="52"/>
  <c r="AD1507" i="52"/>
  <c r="AB1508" i="52"/>
  <c r="AC1508" i="52"/>
  <c r="AD1508" i="52"/>
  <c r="AB1509" i="52"/>
  <c r="AC1509" i="52"/>
  <c r="AD1509" i="52"/>
  <c r="AB1510" i="52"/>
  <c r="AC1510" i="52"/>
  <c r="AD1510" i="52"/>
  <c r="AB1511" i="52"/>
  <c r="AC1511" i="52"/>
  <c r="AD1511" i="52"/>
  <c r="AB1512" i="52"/>
  <c r="AC1512" i="52"/>
  <c r="AD1512" i="52"/>
  <c r="AB1513" i="52"/>
  <c r="AC1513" i="52"/>
  <c r="AD1513" i="52"/>
  <c r="AB1514" i="52"/>
  <c r="AC1514" i="52"/>
  <c r="AD1514" i="52"/>
  <c r="AB1515" i="52"/>
  <c r="AC1515" i="52"/>
  <c r="AD1515" i="52"/>
  <c r="AB1516" i="52"/>
  <c r="AC1516" i="52"/>
  <c r="AD1516" i="52"/>
  <c r="AB1517" i="52"/>
  <c r="AC1517" i="52"/>
  <c r="AD1517" i="52"/>
  <c r="AB1518" i="52"/>
  <c r="AC1518" i="52"/>
  <c r="AD1518" i="52"/>
  <c r="AB1519" i="52"/>
  <c r="AC1519" i="52"/>
  <c r="AD1519" i="52"/>
  <c r="AB1520" i="52"/>
  <c r="AC1520" i="52"/>
  <c r="AD1520" i="52"/>
  <c r="AB1521" i="52"/>
  <c r="AC1521" i="52"/>
  <c r="AD1521" i="52"/>
  <c r="AB1522" i="52"/>
  <c r="AC1522" i="52"/>
  <c r="AD1522" i="52"/>
  <c r="AB1523" i="52"/>
  <c r="AC1523" i="52"/>
  <c r="AD1523" i="52"/>
  <c r="AB1524" i="52"/>
  <c r="AC1524" i="52"/>
  <c r="AD1524" i="52"/>
  <c r="AB1525" i="52"/>
  <c r="AC1525" i="52"/>
  <c r="AD1525" i="52"/>
  <c r="AB1526" i="52"/>
  <c r="AC1526" i="52"/>
  <c r="AD1526" i="52"/>
  <c r="AB1527" i="52"/>
  <c r="AC1527" i="52"/>
  <c r="AD1527" i="52"/>
  <c r="AB1528" i="52"/>
  <c r="AC1528" i="52"/>
  <c r="AD1528" i="52"/>
  <c r="AB1529" i="52"/>
  <c r="AC1529" i="52"/>
  <c r="AD1529" i="52"/>
  <c r="AB1530" i="52"/>
  <c r="AC1530" i="52"/>
  <c r="AD1530" i="52"/>
  <c r="AB1531" i="52"/>
  <c r="AC1531" i="52"/>
  <c r="AD1531" i="52"/>
  <c r="AB1532" i="52"/>
  <c r="AC1532" i="52"/>
  <c r="AD1532" i="52"/>
  <c r="AB1533" i="52"/>
  <c r="AC1533" i="52"/>
  <c r="AD1533" i="52"/>
  <c r="AB1534" i="52"/>
  <c r="AC1534" i="52"/>
  <c r="AD1534" i="52"/>
  <c r="AB1535" i="52"/>
  <c r="AC1535" i="52"/>
  <c r="AD1535" i="52"/>
  <c r="AB1536" i="52"/>
  <c r="AC1536" i="52"/>
  <c r="AD1536" i="52"/>
  <c r="AB1537" i="52"/>
  <c r="AC1537" i="52"/>
  <c r="AD1537" i="52"/>
  <c r="AB1538" i="52"/>
  <c r="AC1538" i="52"/>
  <c r="AD1538" i="52"/>
  <c r="AB1539" i="52"/>
  <c r="AC1539" i="52"/>
  <c r="AD1539" i="52"/>
  <c r="AB1540" i="52"/>
  <c r="AC1540" i="52"/>
  <c r="AD1540" i="52"/>
  <c r="AB1541" i="52"/>
  <c r="AC1541" i="52"/>
  <c r="AD1541" i="52"/>
  <c r="AB1542" i="52"/>
  <c r="AC1542" i="52"/>
  <c r="AD1542" i="52"/>
  <c r="AB1543" i="52"/>
  <c r="AC1543" i="52"/>
  <c r="AD1543" i="52"/>
  <c r="AB1544" i="52"/>
  <c r="AC1544" i="52"/>
  <c r="AD1544" i="52"/>
  <c r="AB1545" i="52"/>
  <c r="AC1545" i="52"/>
  <c r="AD1545" i="52"/>
  <c r="AB1546" i="52"/>
  <c r="AC1546" i="52"/>
  <c r="AD1546" i="52"/>
  <c r="AB1547" i="52"/>
  <c r="AC1547" i="52"/>
  <c r="AD1547" i="52"/>
  <c r="AB1548" i="52"/>
  <c r="AC1548" i="52"/>
  <c r="AD1548" i="52"/>
  <c r="AB1549" i="52"/>
  <c r="AC1549" i="52"/>
  <c r="AD1549" i="52"/>
  <c r="AB1550" i="52"/>
  <c r="AC1550" i="52"/>
  <c r="AD1550" i="52"/>
  <c r="AB1551" i="52"/>
  <c r="AC1551" i="52"/>
  <c r="AD1551" i="52"/>
  <c r="AB1552" i="52"/>
  <c r="AC1552" i="52"/>
  <c r="AD1552" i="52"/>
  <c r="AB1553" i="52"/>
  <c r="AC1553" i="52"/>
  <c r="AD1553" i="52"/>
  <c r="AB1554" i="52"/>
  <c r="AC1554" i="52"/>
  <c r="AD1554" i="52"/>
  <c r="AB1555" i="52"/>
  <c r="AC1555" i="52"/>
  <c r="AD1555" i="52"/>
  <c r="AB1556" i="52"/>
  <c r="AC1556" i="52"/>
  <c r="AD1556" i="52"/>
  <c r="AB1557" i="52"/>
  <c r="AC1557" i="52"/>
  <c r="AD1557" i="52"/>
  <c r="AB1558" i="52"/>
  <c r="AC1558" i="52"/>
  <c r="AD1558" i="52"/>
  <c r="AB1559" i="52"/>
  <c r="AC1559" i="52"/>
  <c r="AD1559" i="52"/>
  <c r="AB1560" i="52"/>
  <c r="AC1560" i="52"/>
  <c r="AD1560" i="52"/>
  <c r="AB1561" i="52"/>
  <c r="AC1561" i="52"/>
  <c r="AD1561" i="52"/>
  <c r="AB1562" i="52"/>
  <c r="AC1562" i="52"/>
  <c r="AD1562" i="52"/>
  <c r="AB1563" i="52"/>
  <c r="AC1563" i="52"/>
  <c r="AD1563" i="52"/>
  <c r="AB1564" i="52"/>
  <c r="AC1564" i="52"/>
  <c r="AD1564" i="52"/>
  <c r="AB1565" i="52"/>
  <c r="AC1565" i="52"/>
  <c r="AD1565" i="52"/>
  <c r="AB1566" i="52"/>
  <c r="AC1566" i="52"/>
  <c r="AD1566" i="52"/>
  <c r="AB1567" i="52"/>
  <c r="AC1567" i="52"/>
  <c r="AD1567" i="52"/>
  <c r="AB1568" i="52"/>
  <c r="AC1568" i="52"/>
  <c r="AD1568" i="52"/>
  <c r="AB1569" i="52"/>
  <c r="AC1569" i="52"/>
  <c r="AD1569" i="52"/>
  <c r="AB1570" i="52"/>
  <c r="AC1570" i="52"/>
  <c r="AD1570" i="52"/>
  <c r="AB1571" i="52"/>
  <c r="AC1571" i="52"/>
  <c r="AD1571" i="52"/>
  <c r="AB1572" i="52"/>
  <c r="AC1572" i="52"/>
  <c r="AD1572" i="52"/>
  <c r="AB1573" i="52"/>
  <c r="AC1573" i="52"/>
  <c r="AD1573" i="52"/>
  <c r="AB1574" i="52"/>
  <c r="AC1574" i="52"/>
  <c r="AD1574" i="52"/>
  <c r="AB1575" i="52"/>
  <c r="AC1575" i="52"/>
  <c r="AD1575" i="52"/>
  <c r="AB1576" i="52"/>
  <c r="AC1576" i="52"/>
  <c r="AD1576" i="52"/>
  <c r="AB1577" i="52"/>
  <c r="AC1577" i="52"/>
  <c r="AD1577" i="52"/>
  <c r="AB1578" i="52"/>
  <c r="AC1578" i="52"/>
  <c r="AD1578" i="52"/>
  <c r="AB1579" i="52"/>
  <c r="AC1579" i="52"/>
  <c r="AD1579" i="52"/>
  <c r="AB1580" i="52"/>
  <c r="AC1580" i="52"/>
  <c r="AD1580" i="52"/>
  <c r="AB1581" i="52"/>
  <c r="AC1581" i="52"/>
  <c r="AD1581" i="52"/>
  <c r="AB1582" i="52"/>
  <c r="AC1582" i="52"/>
  <c r="AD1582" i="52"/>
  <c r="AB1583" i="52"/>
  <c r="AC1583" i="52"/>
  <c r="AD1583" i="52"/>
  <c r="AB1584" i="52"/>
  <c r="AC1584" i="52"/>
  <c r="AD1584" i="52"/>
  <c r="AB1585" i="52"/>
  <c r="AC1585" i="52"/>
  <c r="AD1585" i="52"/>
  <c r="AB1586" i="52"/>
  <c r="AC1586" i="52"/>
  <c r="AD1586" i="52"/>
  <c r="AB1587" i="52"/>
  <c r="AC1587" i="52"/>
  <c r="AD1587" i="52"/>
  <c r="AB1588" i="52"/>
  <c r="AC1588" i="52"/>
  <c r="AD1588" i="52"/>
  <c r="AB1589" i="52"/>
  <c r="AC1589" i="52"/>
  <c r="AD1589" i="52"/>
  <c r="AB1590" i="52"/>
  <c r="AC1590" i="52"/>
  <c r="AD1590" i="52"/>
  <c r="AB1591" i="52"/>
  <c r="AC1591" i="52"/>
  <c r="AD1591" i="52"/>
  <c r="AB1592" i="52"/>
  <c r="AC1592" i="52"/>
  <c r="AD1592" i="52"/>
  <c r="AB1593" i="52"/>
  <c r="AC1593" i="52"/>
  <c r="AD1593" i="52"/>
  <c r="AB1594" i="52"/>
  <c r="AC1594" i="52"/>
  <c r="AD1594" i="52"/>
  <c r="AB1595" i="52"/>
  <c r="AC1595" i="52"/>
  <c r="AD1595" i="52"/>
  <c r="AB1596" i="52"/>
  <c r="AC1596" i="52"/>
  <c r="AD1596" i="52"/>
  <c r="AB1597" i="52"/>
  <c r="AC1597" i="52"/>
  <c r="AD1597" i="52"/>
  <c r="AB1598" i="52"/>
  <c r="AC1598" i="52"/>
  <c r="AD1598" i="52"/>
  <c r="AB1599" i="52"/>
  <c r="AC1599" i="52"/>
  <c r="AD1599" i="52"/>
  <c r="AB1600" i="52"/>
  <c r="AC1600" i="52"/>
  <c r="AD1600" i="52"/>
  <c r="AB1601" i="52"/>
  <c r="AC1601" i="52"/>
  <c r="AD1601" i="52"/>
  <c r="AB1602" i="52"/>
  <c r="AC1602" i="52"/>
  <c r="AD1602" i="52"/>
  <c r="AB1603" i="52"/>
  <c r="AC1603" i="52"/>
  <c r="AD1603" i="52"/>
  <c r="AB1604" i="52"/>
  <c r="AC1604" i="52"/>
  <c r="AD1604" i="52"/>
  <c r="AB1605" i="52"/>
  <c r="AC1605" i="52"/>
  <c r="AD1605" i="52"/>
  <c r="AB1606" i="52"/>
  <c r="AC1606" i="52"/>
  <c r="AD1606" i="52"/>
  <c r="AB1607" i="52"/>
  <c r="AC1607" i="52"/>
  <c r="AD1607" i="52"/>
  <c r="AB1608" i="52"/>
  <c r="AC1608" i="52"/>
  <c r="AD1608" i="52"/>
  <c r="AB1609" i="52"/>
  <c r="AC1609" i="52"/>
  <c r="AD1609" i="52"/>
  <c r="AB1610" i="52"/>
  <c r="AC1610" i="52"/>
  <c r="AD1610" i="52"/>
  <c r="AB1611" i="52"/>
  <c r="AC1611" i="52"/>
  <c r="AD1611" i="52"/>
  <c r="AB1612" i="52"/>
  <c r="AC1612" i="52"/>
  <c r="AD1612" i="52"/>
  <c r="AB1613" i="52"/>
  <c r="AC1613" i="52"/>
  <c r="AD1613" i="52"/>
  <c r="AB1614" i="52"/>
  <c r="AC1614" i="52"/>
  <c r="AD1614" i="52"/>
  <c r="AB1615" i="52"/>
  <c r="AC1615" i="52"/>
  <c r="AD1615" i="52"/>
  <c r="AB1616" i="52"/>
  <c r="AC1616" i="52"/>
  <c r="AD1616" i="52"/>
  <c r="AB1617" i="52"/>
  <c r="AC1617" i="52"/>
  <c r="AD1617" i="52"/>
  <c r="AB1618" i="52"/>
  <c r="AC1618" i="52"/>
  <c r="AD1618" i="52"/>
  <c r="AB1619" i="52"/>
  <c r="AC1619" i="52"/>
  <c r="AD1619" i="52"/>
  <c r="AB1620" i="52"/>
  <c r="AC1620" i="52"/>
  <c r="AD1620" i="52"/>
  <c r="AB1621" i="52"/>
  <c r="AC1621" i="52"/>
  <c r="AD1621" i="52"/>
  <c r="AB1622" i="52"/>
  <c r="AC1622" i="52"/>
  <c r="AD1622" i="52"/>
  <c r="AB1623" i="52"/>
  <c r="AC1623" i="52"/>
  <c r="AD1623" i="52"/>
  <c r="AB1624" i="52"/>
  <c r="AC1624" i="52"/>
  <c r="AD1624" i="52"/>
  <c r="AB1625" i="52"/>
  <c r="AC1625" i="52"/>
  <c r="AD1625" i="52"/>
  <c r="AB1626" i="52"/>
  <c r="AC1626" i="52"/>
  <c r="AD1626" i="52"/>
  <c r="AB1627" i="52"/>
  <c r="AC1627" i="52"/>
  <c r="AD1627" i="52"/>
  <c r="AB1628" i="52"/>
  <c r="AC1628" i="52"/>
  <c r="AD1628" i="52"/>
  <c r="AB1629" i="52"/>
  <c r="AC1629" i="52"/>
  <c r="AD1629" i="52"/>
  <c r="AB1630" i="52"/>
  <c r="AC1630" i="52"/>
  <c r="AD1630" i="52"/>
  <c r="AB1631" i="52"/>
  <c r="AC1631" i="52"/>
  <c r="AD1631" i="52"/>
  <c r="AB1632" i="52"/>
  <c r="AC1632" i="52"/>
  <c r="AD1632" i="52"/>
  <c r="AB1633" i="52"/>
  <c r="AC1633" i="52"/>
  <c r="AD1633" i="52"/>
  <c r="AB1634" i="52"/>
  <c r="AC1634" i="52"/>
  <c r="AD1634" i="52"/>
  <c r="AB1635" i="52"/>
  <c r="AC1635" i="52"/>
  <c r="AD1635" i="52"/>
  <c r="AB1636" i="52"/>
  <c r="AC1636" i="52"/>
  <c r="AD1636" i="52"/>
  <c r="AB1637" i="52"/>
  <c r="AC1637" i="52"/>
  <c r="AD1637" i="52"/>
  <c r="AB1638" i="52"/>
  <c r="AC1638" i="52"/>
  <c r="AD1638" i="52"/>
  <c r="AB1639" i="52"/>
  <c r="AC1639" i="52"/>
  <c r="AD1639" i="52"/>
  <c r="AB1640" i="52"/>
  <c r="AC1640" i="52"/>
  <c r="AD1640" i="52"/>
  <c r="AB1641" i="52"/>
  <c r="AC1641" i="52"/>
  <c r="AD1641" i="52"/>
  <c r="AB1642" i="52"/>
  <c r="AC1642" i="52"/>
  <c r="AD1642" i="52"/>
  <c r="AB1643" i="52"/>
  <c r="AC1643" i="52"/>
  <c r="AD1643" i="52"/>
  <c r="AB1644" i="52"/>
  <c r="AC1644" i="52"/>
  <c r="AD1644" i="52"/>
  <c r="AB1645" i="52"/>
  <c r="AC1645" i="52"/>
  <c r="AD1645" i="52"/>
  <c r="AB1646" i="52"/>
  <c r="AC1646" i="52"/>
  <c r="AD1646" i="52"/>
  <c r="AB1647" i="52"/>
  <c r="AC1647" i="52"/>
  <c r="AD1647" i="52"/>
  <c r="AB1648" i="52"/>
  <c r="AC1648" i="52"/>
  <c r="AD1648" i="52"/>
  <c r="AB1649" i="52"/>
  <c r="AC1649" i="52"/>
  <c r="AD1649" i="52"/>
  <c r="AB1650" i="52"/>
  <c r="AC1650" i="52"/>
  <c r="AD1650" i="52"/>
  <c r="AB1651" i="52"/>
  <c r="AC1651" i="52"/>
  <c r="AD1651" i="52"/>
  <c r="AB1652" i="52"/>
  <c r="AC1652" i="52"/>
  <c r="AD1652" i="52"/>
  <c r="AB1653" i="52"/>
  <c r="AC1653" i="52"/>
  <c r="AD1653" i="52"/>
  <c r="AB1654" i="52"/>
  <c r="AC1654" i="52"/>
  <c r="AD1654" i="52"/>
  <c r="AB1655" i="52"/>
  <c r="AC1655" i="52"/>
  <c r="AD1655" i="52"/>
  <c r="AB1656" i="52"/>
  <c r="AC1656" i="52"/>
  <c r="AD1656" i="52"/>
  <c r="AB1657" i="52"/>
  <c r="AC1657" i="52"/>
  <c r="AD1657" i="52"/>
  <c r="AB1658" i="52"/>
  <c r="AC1658" i="52"/>
  <c r="AD1658" i="52"/>
  <c r="AB1659" i="52"/>
  <c r="AC1659" i="52"/>
  <c r="AD1659" i="52"/>
  <c r="AB1660" i="52"/>
  <c r="AC1660" i="52"/>
  <c r="AD1660" i="52"/>
  <c r="AB1661" i="52"/>
  <c r="AC1661" i="52"/>
  <c r="AD1661" i="52"/>
  <c r="AB1662" i="52"/>
  <c r="AC1662" i="52"/>
  <c r="AD1662" i="52"/>
  <c r="AB1663" i="52"/>
  <c r="AC1663" i="52"/>
  <c r="AD1663" i="52"/>
  <c r="AB1664" i="52"/>
  <c r="AC1664" i="52"/>
  <c r="AD1664" i="52"/>
  <c r="AB1665" i="52"/>
  <c r="AC1665" i="52"/>
  <c r="AD1665" i="52"/>
  <c r="AB1666" i="52"/>
  <c r="AC1666" i="52"/>
  <c r="AD1666" i="52"/>
  <c r="AB1667" i="52"/>
  <c r="AC1667" i="52"/>
  <c r="AD1667" i="52"/>
  <c r="AB1668" i="52"/>
  <c r="AC1668" i="52"/>
  <c r="AD1668" i="52"/>
  <c r="AB1669" i="52"/>
  <c r="AC1669" i="52"/>
  <c r="AD1669" i="52"/>
  <c r="AB1670" i="52"/>
  <c r="AC1670" i="52"/>
  <c r="AD1670" i="52"/>
  <c r="AB1671" i="52"/>
  <c r="AC1671" i="52"/>
  <c r="AD1671" i="52"/>
  <c r="AB1672" i="52"/>
  <c r="AC1672" i="52"/>
  <c r="AD1672" i="52"/>
  <c r="AB1673" i="52"/>
  <c r="AC1673" i="52"/>
  <c r="AD1673" i="52"/>
  <c r="AB1674" i="52"/>
  <c r="AC1674" i="52"/>
  <c r="AD1674" i="52"/>
  <c r="AB1675" i="52"/>
  <c r="AC1675" i="52"/>
  <c r="AD1675" i="52"/>
  <c r="AB1676" i="52"/>
  <c r="AC1676" i="52"/>
  <c r="AD1676" i="52"/>
  <c r="AB1677" i="52"/>
  <c r="AC1677" i="52"/>
  <c r="AD1677" i="52"/>
  <c r="X604" i="52"/>
  <c r="X605" i="52"/>
  <c r="X606" i="52"/>
  <c r="X607" i="52"/>
  <c r="X608" i="52"/>
  <c r="X609" i="52"/>
  <c r="X610" i="52"/>
  <c r="X611" i="52"/>
  <c r="X612" i="52"/>
  <c r="X613" i="52"/>
  <c r="X614" i="52"/>
  <c r="X615" i="52"/>
  <c r="X616" i="52"/>
  <c r="X617" i="52"/>
  <c r="X618" i="52"/>
  <c r="X619" i="52"/>
  <c r="X620" i="52"/>
  <c r="X621" i="52"/>
  <c r="X622" i="52"/>
  <c r="X623" i="52"/>
  <c r="X624" i="52"/>
  <c r="X625" i="52"/>
  <c r="X626" i="52"/>
  <c r="X627" i="52"/>
  <c r="X628" i="52"/>
  <c r="X629" i="52"/>
  <c r="X630" i="52"/>
  <c r="X631" i="52"/>
  <c r="X632" i="52"/>
  <c r="X633" i="52"/>
  <c r="X634" i="52"/>
  <c r="X635" i="52"/>
  <c r="X636" i="52"/>
  <c r="X637" i="52"/>
  <c r="X638" i="52"/>
  <c r="X639" i="52"/>
  <c r="X640" i="52"/>
  <c r="X641" i="52"/>
  <c r="X642" i="52"/>
  <c r="X643" i="52"/>
  <c r="X644" i="52"/>
  <c r="X645" i="52"/>
  <c r="X646" i="52"/>
  <c r="X647" i="52"/>
  <c r="X648" i="52"/>
  <c r="X649" i="52"/>
  <c r="X650" i="52"/>
  <c r="X651" i="52"/>
  <c r="X652" i="52"/>
  <c r="X653" i="52"/>
  <c r="X654" i="52"/>
  <c r="X655" i="52"/>
  <c r="X656" i="52"/>
  <c r="X657" i="52"/>
  <c r="X658" i="52"/>
  <c r="X659" i="52"/>
  <c r="X660" i="52"/>
  <c r="X661" i="52"/>
  <c r="X662" i="52"/>
  <c r="X663" i="52"/>
  <c r="X664" i="52"/>
  <c r="X665" i="52"/>
  <c r="X666" i="52"/>
  <c r="X667" i="52"/>
  <c r="X668" i="52"/>
  <c r="X669" i="52"/>
  <c r="X670" i="52"/>
  <c r="X671" i="52"/>
  <c r="X672" i="52"/>
  <c r="X673" i="52"/>
  <c r="X674" i="52"/>
  <c r="X675" i="52"/>
  <c r="X676" i="52"/>
  <c r="X677" i="52"/>
  <c r="X678" i="52"/>
  <c r="X679" i="52"/>
  <c r="X680" i="52"/>
  <c r="X681" i="52"/>
  <c r="X682" i="52"/>
  <c r="X683" i="52"/>
  <c r="X684" i="52"/>
  <c r="X685" i="52"/>
  <c r="X686" i="52"/>
  <c r="X687" i="52"/>
  <c r="X688" i="52"/>
  <c r="X689" i="52"/>
  <c r="X690" i="52"/>
  <c r="X691" i="52"/>
  <c r="X692" i="52"/>
  <c r="X693" i="52"/>
  <c r="X694" i="52"/>
  <c r="X695" i="52"/>
  <c r="X696" i="52"/>
  <c r="X697" i="52"/>
  <c r="X698" i="52"/>
  <c r="X699" i="52"/>
  <c r="X700" i="52"/>
  <c r="X701" i="52"/>
  <c r="X702" i="52"/>
  <c r="X703" i="52"/>
  <c r="X704" i="52"/>
  <c r="X705" i="52"/>
  <c r="X706" i="52"/>
  <c r="X707" i="52"/>
  <c r="X708" i="52"/>
  <c r="X709" i="52"/>
  <c r="X710" i="52"/>
  <c r="X711" i="52"/>
  <c r="X712" i="52"/>
  <c r="X713" i="52"/>
  <c r="X714" i="52"/>
  <c r="X715" i="52"/>
  <c r="X716" i="52"/>
  <c r="X717" i="52"/>
  <c r="X718" i="52"/>
  <c r="X719" i="52"/>
  <c r="X720" i="52"/>
  <c r="X721" i="52"/>
  <c r="X722" i="52"/>
  <c r="X723" i="52"/>
  <c r="X724" i="52"/>
  <c r="X725" i="52"/>
  <c r="X726" i="52"/>
  <c r="X727" i="52"/>
  <c r="X728" i="52"/>
  <c r="X729" i="52"/>
  <c r="X730" i="52"/>
  <c r="X731" i="52"/>
  <c r="X732" i="52"/>
  <c r="X733" i="52"/>
  <c r="X734" i="52"/>
  <c r="X735" i="52"/>
  <c r="X736" i="52"/>
  <c r="X737" i="52"/>
  <c r="X738" i="52"/>
  <c r="X739" i="52"/>
  <c r="X740" i="52"/>
  <c r="X741" i="52"/>
  <c r="X742" i="52"/>
  <c r="X743" i="52"/>
  <c r="X744" i="52"/>
  <c r="X745" i="52"/>
  <c r="X746" i="52"/>
  <c r="X747" i="52"/>
  <c r="X748" i="52"/>
  <c r="X749" i="52"/>
  <c r="X750" i="52"/>
  <c r="X751" i="52"/>
  <c r="X752" i="52"/>
  <c r="X753" i="52"/>
  <c r="X754" i="52"/>
  <c r="X755" i="52"/>
  <c r="X756" i="52"/>
  <c r="X757" i="52"/>
  <c r="X758" i="52"/>
  <c r="X759" i="52"/>
  <c r="X760" i="52"/>
  <c r="X761" i="52"/>
  <c r="X762" i="52"/>
  <c r="X763" i="52"/>
  <c r="X764" i="52"/>
  <c r="X765" i="52"/>
  <c r="X766" i="52"/>
  <c r="X767" i="52"/>
  <c r="X768" i="52"/>
  <c r="X769" i="52"/>
  <c r="X770" i="52"/>
  <c r="X771" i="52"/>
  <c r="X772" i="52"/>
  <c r="X773" i="52"/>
  <c r="X774" i="52"/>
  <c r="X775" i="52"/>
  <c r="X776" i="52"/>
  <c r="X777" i="52"/>
  <c r="X778" i="52"/>
  <c r="X779" i="52"/>
  <c r="X780" i="52"/>
  <c r="X781" i="52"/>
  <c r="X782" i="52"/>
  <c r="X783" i="52"/>
  <c r="X784" i="52"/>
  <c r="X785" i="52"/>
  <c r="X786" i="52"/>
  <c r="X787" i="52"/>
  <c r="X788" i="52"/>
  <c r="X789" i="52"/>
  <c r="X790" i="52"/>
  <c r="X791" i="52"/>
  <c r="X792" i="52"/>
  <c r="X793" i="52"/>
  <c r="X794" i="52"/>
  <c r="X795" i="52"/>
  <c r="X796" i="52"/>
  <c r="X797" i="52"/>
  <c r="X798" i="52"/>
  <c r="X799" i="52"/>
  <c r="X800" i="52"/>
  <c r="X801" i="52"/>
  <c r="X802" i="52"/>
  <c r="X803" i="52"/>
  <c r="X804" i="52"/>
  <c r="X805" i="52"/>
  <c r="X806" i="52"/>
  <c r="X807" i="52"/>
  <c r="X808" i="52"/>
  <c r="X809" i="52"/>
  <c r="X810" i="52"/>
  <c r="X811" i="52"/>
  <c r="X812" i="52"/>
  <c r="X813" i="52"/>
  <c r="X814" i="52"/>
  <c r="X815" i="52"/>
  <c r="X816" i="52"/>
  <c r="X817" i="52"/>
  <c r="X818" i="52"/>
  <c r="X819" i="52"/>
  <c r="X820" i="52"/>
  <c r="X821" i="52"/>
  <c r="X822" i="52"/>
  <c r="X823" i="52"/>
  <c r="X824" i="52"/>
  <c r="X825" i="52"/>
  <c r="X826" i="52"/>
  <c r="X827" i="52"/>
  <c r="X828" i="52"/>
  <c r="X829" i="52"/>
  <c r="X830" i="52"/>
  <c r="X831" i="52"/>
  <c r="X832" i="52"/>
  <c r="X833" i="52"/>
  <c r="X834" i="52"/>
  <c r="X835" i="52"/>
  <c r="X836" i="52"/>
  <c r="X837" i="52"/>
  <c r="X838" i="52"/>
  <c r="X839" i="52"/>
  <c r="X840" i="52"/>
  <c r="X841" i="52"/>
  <c r="X842" i="52"/>
  <c r="X843" i="52"/>
  <c r="X844" i="52"/>
  <c r="X845" i="52"/>
  <c r="X846" i="52"/>
  <c r="X847" i="52"/>
  <c r="X848" i="52"/>
  <c r="X849" i="52"/>
  <c r="X850" i="52"/>
  <c r="X851" i="52"/>
  <c r="X852" i="52"/>
  <c r="X853" i="52"/>
  <c r="X854" i="52"/>
  <c r="X855" i="52"/>
  <c r="X856" i="52"/>
  <c r="X857" i="52"/>
  <c r="X858" i="52"/>
  <c r="X859" i="52"/>
  <c r="X860" i="52"/>
  <c r="X861" i="52"/>
  <c r="X862" i="52"/>
  <c r="X863" i="52"/>
  <c r="X864" i="52"/>
  <c r="X865" i="52"/>
  <c r="X866" i="52"/>
  <c r="X867" i="52"/>
  <c r="X868" i="52"/>
  <c r="X869" i="52"/>
  <c r="X870" i="52"/>
  <c r="X871" i="52"/>
  <c r="X872" i="52"/>
  <c r="X873" i="52"/>
  <c r="X874" i="52"/>
  <c r="X875" i="52"/>
  <c r="X876" i="52"/>
  <c r="X877" i="52"/>
  <c r="X878" i="52"/>
  <c r="X879" i="52"/>
  <c r="X880" i="52"/>
  <c r="X881" i="52"/>
  <c r="X882" i="52"/>
  <c r="X883" i="52"/>
  <c r="X884" i="52"/>
  <c r="X885" i="52"/>
  <c r="X886" i="52"/>
  <c r="X887" i="52"/>
  <c r="X888" i="52"/>
  <c r="X889" i="52"/>
  <c r="X890" i="52"/>
  <c r="X891" i="52"/>
  <c r="X892" i="52"/>
  <c r="X893" i="52"/>
  <c r="X894" i="52"/>
  <c r="X895" i="52"/>
  <c r="X896" i="52"/>
  <c r="X897" i="52"/>
  <c r="X898" i="52"/>
  <c r="X899" i="52"/>
  <c r="X900" i="52"/>
  <c r="X901" i="52"/>
  <c r="X902" i="52"/>
  <c r="X903" i="52"/>
  <c r="X904" i="52"/>
  <c r="X905" i="52"/>
  <c r="X906" i="52"/>
  <c r="X907" i="52"/>
  <c r="X908" i="52"/>
  <c r="X909" i="52"/>
  <c r="X910" i="52"/>
  <c r="X911" i="52"/>
  <c r="X912" i="52"/>
  <c r="X913" i="52"/>
  <c r="X914" i="52"/>
  <c r="X915" i="52"/>
  <c r="X916" i="52"/>
  <c r="X917" i="52"/>
  <c r="X918" i="52"/>
  <c r="X919" i="52"/>
  <c r="X920" i="52"/>
  <c r="X921" i="52"/>
  <c r="X922" i="52"/>
  <c r="X923" i="52"/>
  <c r="X924" i="52"/>
  <c r="X925" i="52"/>
  <c r="X926" i="52"/>
  <c r="X927" i="52"/>
  <c r="X928" i="52"/>
  <c r="X929" i="52"/>
  <c r="X930" i="52"/>
  <c r="X931" i="52"/>
  <c r="X932" i="52"/>
  <c r="X933" i="52"/>
  <c r="X934" i="52"/>
  <c r="X935" i="52"/>
  <c r="X936" i="52"/>
  <c r="X937" i="52"/>
  <c r="X938" i="52"/>
  <c r="X939" i="52"/>
  <c r="X940" i="52"/>
  <c r="X941" i="52"/>
  <c r="X942" i="52"/>
  <c r="X943" i="52"/>
  <c r="X944" i="52"/>
  <c r="X945" i="52"/>
  <c r="X946" i="52"/>
  <c r="X947" i="52"/>
  <c r="X948" i="52"/>
  <c r="X949" i="52"/>
  <c r="X950" i="52"/>
  <c r="X951" i="52"/>
  <c r="X952" i="52"/>
  <c r="X953" i="52"/>
  <c r="X954" i="52"/>
  <c r="X955" i="52"/>
  <c r="X956" i="52"/>
  <c r="X957" i="52"/>
  <c r="X958" i="52"/>
  <c r="X959" i="52"/>
  <c r="X960" i="52"/>
  <c r="X961" i="52"/>
  <c r="X962" i="52"/>
  <c r="X963" i="52"/>
  <c r="X964" i="52"/>
  <c r="X965" i="52"/>
  <c r="X966" i="52"/>
  <c r="X967" i="52"/>
  <c r="X968" i="52"/>
  <c r="X969" i="52"/>
  <c r="X970" i="52"/>
  <c r="X971" i="52"/>
  <c r="X972" i="52"/>
  <c r="X973" i="52"/>
  <c r="X974" i="52"/>
  <c r="X975" i="52"/>
  <c r="X976" i="52"/>
  <c r="X977" i="52"/>
  <c r="X978" i="52"/>
  <c r="X979" i="52"/>
  <c r="X980" i="52"/>
  <c r="X981" i="52"/>
  <c r="X982" i="52"/>
  <c r="X983" i="52"/>
  <c r="X984" i="52"/>
  <c r="X985" i="52"/>
  <c r="X986" i="52"/>
  <c r="X987" i="52"/>
  <c r="X988" i="52"/>
  <c r="X989" i="52"/>
  <c r="X990" i="52"/>
  <c r="X991" i="52"/>
  <c r="X992" i="52"/>
  <c r="X993" i="52"/>
  <c r="X994" i="52"/>
  <c r="X995" i="52"/>
  <c r="X996" i="52"/>
  <c r="X997" i="52"/>
  <c r="X998" i="52"/>
  <c r="X999" i="52"/>
  <c r="X1000" i="52"/>
  <c r="X1001" i="52"/>
  <c r="X1002" i="52"/>
  <c r="X1003" i="52"/>
  <c r="X1004" i="52"/>
  <c r="X1005" i="52"/>
  <c r="X1006" i="52"/>
  <c r="X1007" i="52"/>
  <c r="X1008" i="52"/>
  <c r="X1009" i="52"/>
  <c r="X1010" i="52"/>
  <c r="X1011" i="52"/>
  <c r="X1012" i="52"/>
  <c r="X1013" i="52"/>
  <c r="X1014" i="52"/>
  <c r="X1015" i="52"/>
  <c r="X1016" i="52"/>
  <c r="X1017" i="52"/>
  <c r="X1018" i="52"/>
  <c r="X1019" i="52"/>
  <c r="X1020" i="52"/>
  <c r="X1021" i="52"/>
  <c r="X1022" i="52"/>
  <c r="X1023" i="52"/>
  <c r="X1024" i="52"/>
  <c r="X1025" i="52"/>
  <c r="X1026" i="52"/>
  <c r="X1027" i="52"/>
  <c r="X1028" i="52"/>
  <c r="X1029" i="52"/>
  <c r="X1030" i="52"/>
  <c r="X1031" i="52"/>
  <c r="X1032" i="52"/>
  <c r="X1033" i="52"/>
  <c r="X1034" i="52"/>
  <c r="X1035" i="52"/>
  <c r="X1036" i="52"/>
  <c r="X1037" i="52"/>
  <c r="X1038" i="52"/>
  <c r="X1039" i="52"/>
  <c r="X1040" i="52"/>
  <c r="X1041" i="52"/>
  <c r="X1042" i="52"/>
  <c r="X1043" i="52"/>
  <c r="X1044" i="52"/>
  <c r="X1045" i="52"/>
  <c r="X1046" i="52"/>
  <c r="X1047" i="52"/>
  <c r="X1048" i="52"/>
  <c r="X1049" i="52"/>
  <c r="X1050" i="52"/>
  <c r="X1051" i="52"/>
  <c r="X1052" i="52"/>
  <c r="X1053" i="52"/>
  <c r="X1054" i="52"/>
  <c r="X1055" i="52"/>
  <c r="X1056" i="52"/>
  <c r="X1057" i="52"/>
  <c r="X1058" i="52"/>
  <c r="X1059" i="52"/>
  <c r="X1060" i="52"/>
  <c r="X1061" i="52"/>
  <c r="X1062" i="52"/>
  <c r="X1063" i="52"/>
  <c r="X1064" i="52"/>
  <c r="X1065" i="52"/>
  <c r="X1066" i="52"/>
  <c r="X1067" i="52"/>
  <c r="X1068" i="52"/>
  <c r="X1069" i="52"/>
  <c r="X1070" i="52"/>
  <c r="X1071" i="52"/>
  <c r="X1072" i="52"/>
  <c r="X1073" i="52"/>
  <c r="X1074" i="52"/>
  <c r="X1075" i="52"/>
  <c r="X1076" i="52"/>
  <c r="X1077" i="52"/>
  <c r="X1078" i="52"/>
  <c r="X1079" i="52"/>
  <c r="X1080" i="52"/>
  <c r="X1081" i="52"/>
  <c r="X1082" i="52"/>
  <c r="X1083" i="52"/>
  <c r="X1084" i="52"/>
  <c r="X1085" i="52"/>
  <c r="X1086" i="52"/>
  <c r="X1087" i="52"/>
  <c r="X1088" i="52"/>
  <c r="X1089" i="52"/>
  <c r="X1090" i="52"/>
  <c r="X1091" i="52"/>
  <c r="X1092" i="52"/>
  <c r="X1093" i="52"/>
  <c r="X1094" i="52"/>
  <c r="X1095" i="52"/>
  <c r="X1096" i="52"/>
  <c r="X1097" i="52"/>
  <c r="X1098" i="52"/>
  <c r="X1099" i="52"/>
  <c r="X1100" i="52"/>
  <c r="X1101" i="52"/>
  <c r="X1102" i="52"/>
  <c r="X1103" i="52"/>
  <c r="X1104" i="52"/>
  <c r="X1105" i="52"/>
  <c r="X1106" i="52"/>
  <c r="X1107" i="52"/>
  <c r="X1108" i="52"/>
  <c r="X1109" i="52"/>
  <c r="X1110" i="52"/>
  <c r="X1111" i="52"/>
  <c r="X1112" i="52"/>
  <c r="X1113" i="52"/>
  <c r="X1114" i="52"/>
  <c r="X1115" i="52"/>
  <c r="X1116" i="52"/>
  <c r="X1117" i="52"/>
  <c r="X1118" i="52"/>
  <c r="X1119" i="52"/>
  <c r="X1120" i="52"/>
  <c r="X1121" i="52"/>
  <c r="X1122" i="52"/>
  <c r="X1123" i="52"/>
  <c r="X1124" i="52"/>
  <c r="X1125" i="52"/>
  <c r="X1126" i="52"/>
  <c r="X1127" i="52"/>
  <c r="X1128" i="52"/>
  <c r="X1129" i="52"/>
  <c r="X1130" i="52"/>
  <c r="X1131" i="52"/>
  <c r="X1132" i="52"/>
  <c r="X1133" i="52"/>
  <c r="X1134" i="52"/>
  <c r="X1135" i="52"/>
  <c r="X1136" i="52"/>
  <c r="X1137" i="52"/>
  <c r="X1138" i="52"/>
  <c r="X1139" i="52"/>
  <c r="X1140" i="52"/>
  <c r="X1141" i="52"/>
  <c r="X1142" i="52"/>
  <c r="X1143" i="52"/>
  <c r="X1144" i="52"/>
  <c r="X1145" i="52"/>
  <c r="X1146" i="52"/>
  <c r="X1147" i="52"/>
  <c r="X1148" i="52"/>
  <c r="X1149" i="52"/>
  <c r="X1150" i="52"/>
  <c r="X1151" i="52"/>
  <c r="X1152" i="52"/>
  <c r="X1153" i="52"/>
  <c r="X1154" i="52"/>
  <c r="X1155" i="52"/>
  <c r="X1156" i="52"/>
  <c r="X1157" i="52"/>
  <c r="X1158" i="52"/>
  <c r="X1159" i="52"/>
  <c r="X1160" i="52"/>
  <c r="X1161" i="52"/>
  <c r="X1162" i="52"/>
  <c r="X1163" i="52"/>
  <c r="X1164" i="52"/>
  <c r="X1165" i="52"/>
  <c r="X1166" i="52"/>
  <c r="X1167" i="52"/>
  <c r="X1168" i="52"/>
  <c r="X1169" i="52"/>
  <c r="X1170" i="52"/>
  <c r="X1171" i="52"/>
  <c r="X1172" i="52"/>
  <c r="X1173" i="52"/>
  <c r="X1174" i="52"/>
  <c r="X1175" i="52"/>
  <c r="X1176" i="52"/>
  <c r="X1177" i="52"/>
  <c r="X1178" i="52"/>
  <c r="X1179" i="52"/>
  <c r="X1180" i="52"/>
  <c r="X1181" i="52"/>
  <c r="X1182" i="52"/>
  <c r="X1183" i="52"/>
  <c r="X1184" i="52"/>
  <c r="X1185" i="52"/>
  <c r="X1186" i="52"/>
  <c r="X1187" i="52"/>
  <c r="X1188" i="52"/>
  <c r="X1189" i="52"/>
  <c r="X1190" i="52"/>
  <c r="X1191" i="52"/>
  <c r="X1192" i="52"/>
  <c r="X1193" i="52"/>
  <c r="X1194" i="52"/>
  <c r="X1195" i="52"/>
  <c r="X1196" i="52"/>
  <c r="X1197" i="52"/>
  <c r="X1198" i="52"/>
  <c r="X1199" i="52"/>
  <c r="X1200" i="52"/>
  <c r="X1201" i="52"/>
  <c r="X1202" i="52"/>
  <c r="X1203" i="52"/>
  <c r="X1204" i="52"/>
  <c r="X1205" i="52"/>
  <c r="X1206" i="52"/>
  <c r="X1207" i="52"/>
  <c r="X1208" i="52"/>
  <c r="X1209" i="52"/>
  <c r="X1210" i="52"/>
  <c r="X1211" i="52"/>
  <c r="X1212" i="52"/>
  <c r="X1213" i="52"/>
  <c r="X1214" i="52"/>
  <c r="X1215" i="52"/>
  <c r="X1216" i="52"/>
  <c r="X1217" i="52"/>
  <c r="X1218" i="52"/>
  <c r="X1219" i="52"/>
  <c r="X1220" i="52"/>
  <c r="X1221" i="52"/>
  <c r="X1222" i="52"/>
  <c r="X1223" i="52"/>
  <c r="X1224" i="52"/>
  <c r="X1225" i="52"/>
  <c r="X1226" i="52"/>
  <c r="X1227" i="52"/>
  <c r="X1228" i="52"/>
  <c r="X1229" i="52"/>
  <c r="X1230" i="52"/>
  <c r="X1231" i="52"/>
  <c r="X1232" i="52"/>
  <c r="X1233" i="52"/>
  <c r="X1234" i="52"/>
  <c r="X1235" i="52"/>
  <c r="X1236" i="52"/>
  <c r="X1237" i="52"/>
  <c r="X1238" i="52"/>
  <c r="X1239" i="52"/>
  <c r="X1240" i="52"/>
  <c r="X1241" i="52"/>
  <c r="X1242" i="52"/>
  <c r="X1243" i="52"/>
  <c r="X1244" i="52"/>
  <c r="X1245" i="52"/>
  <c r="X1246" i="52"/>
  <c r="X1247" i="52"/>
  <c r="X1248" i="52"/>
  <c r="X1249" i="52"/>
  <c r="X1250" i="52"/>
  <c r="X1251" i="52"/>
  <c r="X1252" i="52"/>
  <c r="X1253" i="52"/>
  <c r="X1254" i="52"/>
  <c r="X1255" i="52"/>
  <c r="X1256" i="52"/>
  <c r="X1257" i="52"/>
  <c r="X1258" i="52"/>
  <c r="X1259" i="52"/>
  <c r="X1260" i="52"/>
  <c r="X1261" i="52"/>
  <c r="X1262" i="52"/>
  <c r="X1263" i="52"/>
  <c r="X1264" i="52"/>
  <c r="X1265" i="52"/>
  <c r="X1266" i="52"/>
  <c r="X1267" i="52"/>
  <c r="X1268" i="52"/>
  <c r="X1269" i="52"/>
  <c r="X1270" i="52"/>
  <c r="X1271" i="52"/>
  <c r="X1272" i="52"/>
  <c r="X1273" i="52"/>
  <c r="X1274" i="52"/>
  <c r="X1275" i="52"/>
  <c r="X1276" i="52"/>
  <c r="X1277" i="52"/>
  <c r="X1278" i="52"/>
  <c r="X1279" i="52"/>
  <c r="X1280" i="52"/>
  <c r="X1281" i="52"/>
  <c r="X1282" i="52"/>
  <c r="X1283" i="52"/>
  <c r="X1284" i="52"/>
  <c r="X1285" i="52"/>
  <c r="X1286" i="52"/>
  <c r="X1287" i="52"/>
  <c r="X1288" i="52"/>
  <c r="X1289" i="52"/>
  <c r="X1290" i="52"/>
  <c r="X1291" i="52"/>
  <c r="X1292" i="52"/>
  <c r="X1293" i="52"/>
  <c r="X1294" i="52"/>
  <c r="X1295" i="52"/>
  <c r="X1296" i="52"/>
  <c r="X1297" i="52"/>
  <c r="X1298" i="52"/>
  <c r="X1299" i="52"/>
  <c r="X1300" i="52"/>
  <c r="X1301" i="52"/>
  <c r="X1302" i="52"/>
  <c r="X1303" i="52"/>
  <c r="X1304" i="52"/>
  <c r="X1305" i="52"/>
  <c r="X1306" i="52"/>
  <c r="X1307" i="52"/>
  <c r="X1308" i="52"/>
  <c r="X1309" i="52"/>
  <c r="X1310" i="52"/>
  <c r="X1311" i="52"/>
  <c r="X1312" i="52"/>
  <c r="X1313" i="52"/>
  <c r="X1314" i="52"/>
  <c r="X1315" i="52"/>
  <c r="X1316" i="52"/>
  <c r="X1317" i="52"/>
  <c r="X1318" i="52"/>
  <c r="X1319" i="52"/>
  <c r="X1320" i="52"/>
  <c r="X1321" i="52"/>
  <c r="X1322" i="52"/>
  <c r="X1323" i="52"/>
  <c r="X1324" i="52"/>
  <c r="X1325" i="52"/>
  <c r="X1326" i="52"/>
  <c r="X1327" i="52"/>
  <c r="X1328" i="52"/>
  <c r="X1329" i="52"/>
  <c r="X1330" i="52"/>
  <c r="X1331" i="52"/>
  <c r="X1332" i="52"/>
  <c r="X1333" i="52"/>
  <c r="X1334" i="52"/>
  <c r="X1335" i="52"/>
  <c r="X1336" i="52"/>
  <c r="X1337" i="52"/>
  <c r="X1338" i="52"/>
  <c r="X1339" i="52"/>
  <c r="X1340" i="52"/>
  <c r="X1341" i="52"/>
  <c r="X1342" i="52"/>
  <c r="X1343" i="52"/>
  <c r="X1344" i="52"/>
  <c r="X1345" i="52"/>
  <c r="X1346" i="52"/>
  <c r="X1347" i="52"/>
  <c r="X1348" i="52"/>
  <c r="X1349" i="52"/>
  <c r="X1350" i="52"/>
  <c r="X1351" i="52"/>
  <c r="X1352" i="52"/>
  <c r="X1353" i="52"/>
  <c r="X1354" i="52"/>
  <c r="X1355" i="52"/>
  <c r="X1356" i="52"/>
  <c r="X1357" i="52"/>
  <c r="X1358" i="52"/>
  <c r="X1359" i="52"/>
  <c r="X1360" i="52"/>
  <c r="X1361" i="52"/>
  <c r="X1362" i="52"/>
  <c r="X1363" i="52"/>
  <c r="X1364" i="52"/>
  <c r="X1365" i="52"/>
  <c r="X1366" i="52"/>
  <c r="X1367" i="52"/>
  <c r="X1368" i="52"/>
  <c r="X1369" i="52"/>
  <c r="X1370" i="52"/>
  <c r="X1371" i="52"/>
  <c r="X1372" i="52"/>
  <c r="X1373" i="52"/>
  <c r="X1374" i="52"/>
  <c r="X1375" i="52"/>
  <c r="X1376" i="52"/>
  <c r="X1377" i="52"/>
  <c r="X1378" i="52"/>
  <c r="X1379" i="52"/>
  <c r="X1380" i="52"/>
  <c r="X1381" i="52"/>
  <c r="X1382" i="52"/>
  <c r="X1383" i="52"/>
  <c r="X1384" i="52"/>
  <c r="X1385" i="52"/>
  <c r="X1386" i="52"/>
  <c r="X1387" i="52"/>
  <c r="X1388" i="52"/>
  <c r="X1389" i="52"/>
  <c r="X1390" i="52"/>
  <c r="X1391" i="52"/>
  <c r="X1392" i="52"/>
  <c r="X1393" i="52"/>
  <c r="X1394" i="52"/>
  <c r="X1395" i="52"/>
  <c r="X1396" i="52"/>
  <c r="X1397" i="52"/>
  <c r="X1398" i="52"/>
  <c r="X1399" i="52"/>
  <c r="X1400" i="52"/>
  <c r="X1401" i="52"/>
  <c r="X1402" i="52"/>
  <c r="X1403" i="52"/>
  <c r="X1404" i="52"/>
  <c r="X1405" i="52"/>
  <c r="X1406" i="52"/>
  <c r="X1407" i="52"/>
  <c r="X1408" i="52"/>
  <c r="X1409" i="52"/>
  <c r="X1410" i="52"/>
  <c r="X1411" i="52"/>
  <c r="X1412" i="52"/>
  <c r="X1413" i="52"/>
  <c r="X1414" i="52"/>
  <c r="X1415" i="52"/>
  <c r="X1416" i="52"/>
  <c r="X1417" i="52"/>
  <c r="X1418" i="52"/>
  <c r="X1419" i="52"/>
  <c r="X1420" i="52"/>
  <c r="X1421" i="52"/>
  <c r="X1422" i="52"/>
  <c r="X1423" i="52"/>
  <c r="X1424" i="52"/>
  <c r="X1425" i="52"/>
  <c r="X1426" i="52"/>
  <c r="X1427" i="52"/>
  <c r="X1428" i="52"/>
  <c r="X1429" i="52"/>
  <c r="X1430" i="52"/>
  <c r="X1431" i="52"/>
  <c r="X1432" i="52"/>
  <c r="X1433" i="52"/>
  <c r="X1434" i="52"/>
  <c r="X1435" i="52"/>
  <c r="X1436" i="52"/>
  <c r="X1437" i="52"/>
  <c r="X1438" i="52"/>
  <c r="X1439" i="52"/>
  <c r="X1440" i="52"/>
  <c r="X1441" i="52"/>
  <c r="X1442" i="52"/>
  <c r="X1443" i="52"/>
  <c r="X1444" i="52"/>
  <c r="X1445" i="52"/>
  <c r="X1446" i="52"/>
  <c r="X1447" i="52"/>
  <c r="X1448" i="52"/>
  <c r="X1449" i="52"/>
  <c r="X1450" i="52"/>
  <c r="X1451" i="52"/>
  <c r="X1452" i="52"/>
  <c r="X1453" i="52"/>
  <c r="X1454" i="52"/>
  <c r="X1455" i="52"/>
  <c r="X1456" i="52"/>
  <c r="X1457" i="52"/>
  <c r="X1458" i="52"/>
  <c r="X1459" i="52"/>
  <c r="X1460" i="52"/>
  <c r="X1461" i="52"/>
  <c r="X1462" i="52"/>
  <c r="X1463" i="52"/>
  <c r="X1464" i="52"/>
  <c r="X1465" i="52"/>
  <c r="X1466" i="52"/>
  <c r="X1467" i="52"/>
  <c r="X1468" i="52"/>
  <c r="X1469" i="52"/>
  <c r="X1470" i="52"/>
  <c r="X1471" i="52"/>
  <c r="X1472" i="52"/>
  <c r="X1473" i="52"/>
  <c r="X1474" i="52"/>
  <c r="X1475" i="52"/>
  <c r="X1476" i="52"/>
  <c r="X1477" i="52"/>
  <c r="X1478" i="52"/>
  <c r="X1479" i="52"/>
  <c r="X1480" i="52"/>
  <c r="X1481" i="52"/>
  <c r="X1482" i="52"/>
  <c r="X1483" i="52"/>
  <c r="X1484" i="52"/>
  <c r="X1485" i="52"/>
  <c r="X1486" i="52"/>
  <c r="X1487" i="52"/>
  <c r="X1488" i="52"/>
  <c r="X1489" i="52"/>
  <c r="X1490" i="52"/>
  <c r="X1491" i="52"/>
  <c r="X1492" i="52"/>
  <c r="X1493" i="52"/>
  <c r="X1494" i="52"/>
  <c r="X1495" i="52"/>
  <c r="X1496" i="52"/>
  <c r="X1497" i="52"/>
  <c r="X1498" i="52"/>
  <c r="X1499" i="52"/>
  <c r="X1500" i="52"/>
  <c r="X1501" i="52"/>
  <c r="X1502" i="52"/>
  <c r="X1503" i="52"/>
  <c r="X1504" i="52"/>
  <c r="X1505" i="52"/>
  <c r="X1506" i="52"/>
  <c r="X1507" i="52"/>
  <c r="X1508" i="52"/>
  <c r="X1509" i="52"/>
  <c r="X1510" i="52"/>
  <c r="X1511" i="52"/>
  <c r="X1512" i="52"/>
  <c r="X1513" i="52"/>
  <c r="X1514" i="52"/>
  <c r="X1515" i="52"/>
  <c r="X1516" i="52"/>
  <c r="X1517" i="52"/>
  <c r="X1518" i="52"/>
  <c r="X1519" i="52"/>
  <c r="X1520" i="52"/>
  <c r="X1521" i="52"/>
  <c r="X1522" i="52"/>
  <c r="X1523" i="52"/>
  <c r="X1524" i="52"/>
  <c r="X1525" i="52"/>
  <c r="X1526" i="52"/>
  <c r="X1527" i="52"/>
  <c r="X1528" i="52"/>
  <c r="X1529" i="52"/>
  <c r="X1530" i="52"/>
  <c r="X1531" i="52"/>
  <c r="X1532" i="52"/>
  <c r="X1533" i="52"/>
  <c r="X1534" i="52"/>
  <c r="X1535" i="52"/>
  <c r="X1536" i="52"/>
  <c r="X1537" i="52"/>
  <c r="X1538" i="52"/>
  <c r="X1539" i="52"/>
  <c r="X1540" i="52"/>
  <c r="X1541" i="52"/>
  <c r="X1542" i="52"/>
  <c r="X1543" i="52"/>
  <c r="X1544" i="52"/>
  <c r="X1545" i="52"/>
  <c r="X1546" i="52"/>
  <c r="X1547" i="52"/>
  <c r="X1548" i="52"/>
  <c r="X1549" i="52"/>
  <c r="X1550" i="52"/>
  <c r="X1551" i="52"/>
  <c r="X1552" i="52"/>
  <c r="X1553" i="52"/>
  <c r="X1554" i="52"/>
  <c r="X1555" i="52"/>
  <c r="X1556" i="52"/>
  <c r="X1557" i="52"/>
  <c r="X1558" i="52"/>
  <c r="X1559" i="52"/>
  <c r="X1560" i="52"/>
  <c r="X1561" i="52"/>
  <c r="X1562" i="52"/>
  <c r="X1563" i="52"/>
  <c r="X1564" i="52"/>
  <c r="X1565" i="52"/>
  <c r="X1566" i="52"/>
  <c r="X1567" i="52"/>
  <c r="X1568" i="52"/>
  <c r="X1569" i="52"/>
  <c r="X1570" i="52"/>
  <c r="X1571" i="52"/>
  <c r="X1572" i="52"/>
  <c r="X1573" i="52"/>
  <c r="X1574" i="52"/>
  <c r="X1575" i="52"/>
  <c r="X1576" i="52"/>
  <c r="X1577" i="52"/>
  <c r="X1578" i="52"/>
  <c r="X1579" i="52"/>
  <c r="X1580" i="52"/>
  <c r="X1581" i="52"/>
  <c r="X1582" i="52"/>
  <c r="X1583" i="52"/>
  <c r="X1584" i="52"/>
  <c r="X1585" i="52"/>
  <c r="X1586" i="52"/>
  <c r="X1587" i="52"/>
  <c r="X1588" i="52"/>
  <c r="X1589" i="52"/>
  <c r="X1590" i="52"/>
  <c r="X1591" i="52"/>
  <c r="X1592" i="52"/>
  <c r="X1593" i="52"/>
  <c r="X1594" i="52"/>
  <c r="X1595" i="52"/>
  <c r="X1596" i="52"/>
  <c r="X1597" i="52"/>
  <c r="X1598" i="52"/>
  <c r="X1599" i="52"/>
  <c r="X1600" i="52"/>
  <c r="X1601" i="52"/>
  <c r="X1602" i="52"/>
  <c r="X1603" i="52"/>
  <c r="X1604" i="52"/>
  <c r="X1605" i="52"/>
  <c r="X1606" i="52"/>
  <c r="X1607" i="52"/>
  <c r="X1608" i="52"/>
  <c r="X1609" i="52"/>
  <c r="X1610" i="52"/>
  <c r="X1611" i="52"/>
  <c r="X1612" i="52"/>
  <c r="X1613" i="52"/>
  <c r="X1614" i="52"/>
  <c r="X1615" i="52"/>
  <c r="X1616" i="52"/>
  <c r="X1617" i="52"/>
  <c r="X1618" i="52"/>
  <c r="X1619" i="52"/>
  <c r="X1620" i="52"/>
  <c r="X1621" i="52"/>
  <c r="X1622" i="52"/>
  <c r="X1623" i="52"/>
  <c r="X1624" i="52"/>
  <c r="X1625" i="52"/>
  <c r="X1626" i="52"/>
  <c r="X1627" i="52"/>
  <c r="X1628" i="52"/>
  <c r="X1629" i="52"/>
  <c r="X1630" i="52"/>
  <c r="X1631" i="52"/>
  <c r="X1632" i="52"/>
  <c r="X1633" i="52"/>
  <c r="X1634" i="52"/>
  <c r="X1635" i="52"/>
  <c r="X1636" i="52"/>
  <c r="X1637" i="52"/>
  <c r="X1638" i="52"/>
  <c r="X1639" i="52"/>
  <c r="X1640" i="52"/>
  <c r="X1641" i="52"/>
  <c r="X1642" i="52"/>
  <c r="X1643" i="52"/>
  <c r="X1644" i="52"/>
  <c r="X1645" i="52"/>
  <c r="X1646" i="52"/>
  <c r="X1647" i="52"/>
  <c r="X1648" i="52"/>
  <c r="X1649" i="52"/>
  <c r="X1650" i="52"/>
  <c r="X1651" i="52"/>
  <c r="X1652" i="52"/>
  <c r="X1653" i="52"/>
  <c r="X1654" i="52"/>
  <c r="X1655" i="52"/>
  <c r="X1656" i="52"/>
  <c r="X1657" i="52"/>
  <c r="X1658" i="52"/>
  <c r="X1659" i="52"/>
  <c r="X1660" i="52"/>
  <c r="X1661" i="52"/>
  <c r="X1662" i="52"/>
  <c r="X1663" i="52"/>
  <c r="X1664" i="52"/>
  <c r="X1665" i="52"/>
  <c r="X1666" i="52"/>
  <c r="X1667" i="52"/>
  <c r="X1668" i="52"/>
  <c r="X1669" i="52"/>
  <c r="X1670" i="52"/>
  <c r="X1671" i="52"/>
  <c r="X1672" i="52"/>
  <c r="X1673" i="52"/>
  <c r="X1674" i="52"/>
  <c r="X1675" i="52"/>
  <c r="X1676" i="52"/>
  <c r="X1677" i="52"/>
  <c r="AD699" i="52"/>
  <c r="AC699" i="52"/>
  <c r="AB699" i="52"/>
  <c r="AD698" i="52"/>
  <c r="AC698" i="52"/>
  <c r="AB698" i="52"/>
  <c r="AD697" i="52"/>
  <c r="AC697" i="52"/>
  <c r="AB697" i="52"/>
  <c r="AD696" i="52"/>
  <c r="AC696" i="52"/>
  <c r="AB696" i="52"/>
  <c r="AD695" i="52"/>
  <c r="AC695" i="52"/>
  <c r="AB695" i="52"/>
  <c r="AD694" i="52"/>
  <c r="AC694" i="52"/>
  <c r="AB694" i="52"/>
  <c r="AD693" i="52"/>
  <c r="AC693" i="52"/>
  <c r="AB693" i="52"/>
  <c r="AD692" i="52"/>
  <c r="AC692" i="52"/>
  <c r="AB692" i="52"/>
  <c r="AD691" i="52"/>
  <c r="AC691" i="52"/>
  <c r="AB691" i="52"/>
  <c r="AD690" i="52"/>
  <c r="AC690" i="52"/>
  <c r="AB690" i="52"/>
  <c r="AD689" i="52"/>
  <c r="AC689" i="52"/>
  <c r="AB689" i="52"/>
  <c r="AD688" i="52"/>
  <c r="AC688" i="52"/>
  <c r="AB688" i="52"/>
  <c r="AD687" i="52"/>
  <c r="AC687" i="52"/>
  <c r="AB687" i="52"/>
  <c r="AD686" i="52"/>
  <c r="AC686" i="52"/>
  <c r="AB686" i="52"/>
  <c r="AD685" i="52"/>
  <c r="AC685" i="52"/>
  <c r="AB685" i="52"/>
  <c r="AD684" i="52"/>
  <c r="AC684" i="52"/>
  <c r="AB684" i="52"/>
  <c r="AD683" i="52"/>
  <c r="AC683" i="52"/>
  <c r="AB683" i="52"/>
  <c r="AD682" i="52"/>
  <c r="AC682" i="52"/>
  <c r="AB682" i="52"/>
  <c r="AD681" i="52"/>
  <c r="AC681" i="52"/>
  <c r="AB681" i="52"/>
  <c r="AD680" i="52"/>
  <c r="AC680" i="52"/>
  <c r="AB680" i="52"/>
  <c r="AD679" i="52"/>
  <c r="AC679" i="52"/>
  <c r="AB679" i="52"/>
  <c r="AD678" i="52"/>
  <c r="AC678" i="52"/>
  <c r="AB678" i="52"/>
  <c r="AD677" i="52"/>
  <c r="AC677" i="52"/>
  <c r="AB677" i="52"/>
  <c r="AD676" i="52"/>
  <c r="AC676" i="52"/>
  <c r="AB676" i="52"/>
  <c r="AD675" i="52"/>
  <c r="AC675" i="52"/>
  <c r="AB675" i="52"/>
  <c r="AD674" i="52"/>
  <c r="AC674" i="52"/>
  <c r="AB674" i="52"/>
  <c r="AD673" i="52"/>
  <c r="AC673" i="52"/>
  <c r="AB673" i="52"/>
  <c r="AD672" i="52"/>
  <c r="AC672" i="52"/>
  <c r="AB672" i="52"/>
  <c r="AD671" i="52"/>
  <c r="AC671" i="52"/>
  <c r="AB671" i="52"/>
  <c r="AD670" i="52"/>
  <c r="AC670" i="52"/>
  <c r="AB670" i="52"/>
  <c r="AD669" i="52"/>
  <c r="AC669" i="52"/>
  <c r="AB669" i="52"/>
  <c r="AD668" i="52"/>
  <c r="AC668" i="52"/>
  <c r="AB668" i="52"/>
  <c r="AD667" i="52"/>
  <c r="AC667" i="52"/>
  <c r="AB667" i="52"/>
  <c r="AD666" i="52"/>
  <c r="AC666" i="52"/>
  <c r="AB666" i="52"/>
  <c r="AD665" i="52"/>
  <c r="AC665" i="52"/>
  <c r="AB665" i="52"/>
  <c r="AD664" i="52"/>
  <c r="AC664" i="52"/>
  <c r="AB664" i="52"/>
  <c r="AD663" i="52"/>
  <c r="AC663" i="52"/>
  <c r="AB663" i="52"/>
  <c r="AD662" i="52"/>
  <c r="AC662" i="52"/>
  <c r="AB662" i="52"/>
  <c r="AD661" i="52"/>
  <c r="AC661" i="52"/>
  <c r="AB661" i="52"/>
  <c r="AD660" i="52"/>
  <c r="AC660" i="52"/>
  <c r="AB660" i="52"/>
  <c r="AD659" i="52"/>
  <c r="AC659" i="52"/>
  <c r="AB659" i="52"/>
  <c r="AD658" i="52"/>
  <c r="AC658" i="52"/>
  <c r="AB658" i="52"/>
  <c r="AD657" i="52"/>
  <c r="AC657" i="52"/>
  <c r="AB657" i="52"/>
  <c r="AD656" i="52"/>
  <c r="AC656" i="52"/>
  <c r="AB656" i="52"/>
  <c r="AD655" i="52"/>
  <c r="AC655" i="52"/>
  <c r="AB655" i="52"/>
  <c r="AD654" i="52"/>
  <c r="AC654" i="52"/>
  <c r="AB654" i="52"/>
  <c r="AD653" i="52"/>
  <c r="AC653" i="52"/>
  <c r="AB653" i="52"/>
  <c r="AD652" i="52"/>
  <c r="AC652" i="52"/>
  <c r="AB652" i="52"/>
  <c r="AD651" i="52"/>
  <c r="AC651" i="52"/>
  <c r="AB651" i="52"/>
  <c r="AD650" i="52"/>
  <c r="AC650" i="52"/>
  <c r="AB650" i="52"/>
  <c r="AD649" i="52"/>
  <c r="AC649" i="52"/>
  <c r="AB649" i="52"/>
  <c r="AD648" i="52"/>
  <c r="AC648" i="52"/>
  <c r="AB648" i="52"/>
  <c r="AD647" i="52"/>
  <c r="AC647" i="52"/>
  <c r="AB647" i="52"/>
  <c r="AD646" i="52"/>
  <c r="AC646" i="52"/>
  <c r="AB646" i="52"/>
  <c r="AD645" i="52"/>
  <c r="AC645" i="52"/>
  <c r="AB645" i="52"/>
  <c r="AD644" i="52"/>
  <c r="AC644" i="52"/>
  <c r="AB644" i="52"/>
  <c r="AD643" i="52"/>
  <c r="AC643" i="52"/>
  <c r="AB643" i="52"/>
  <c r="AD642" i="52"/>
  <c r="AC642" i="52"/>
  <c r="AB642" i="52"/>
  <c r="AD641" i="52"/>
  <c r="AC641" i="52"/>
  <c r="AB641" i="52"/>
  <c r="AD640" i="52"/>
  <c r="AC640" i="52"/>
  <c r="AB640" i="52"/>
  <c r="AD639" i="52"/>
  <c r="AC639" i="52"/>
  <c r="AB639" i="52"/>
  <c r="AD638" i="52"/>
  <c r="AC638" i="52"/>
  <c r="AB638" i="52"/>
  <c r="AD637" i="52"/>
  <c r="AC637" i="52"/>
  <c r="AB637" i="52"/>
  <c r="AD636" i="52"/>
  <c r="AC636" i="52"/>
  <c r="AB636" i="52"/>
  <c r="AD635" i="52"/>
  <c r="AC635" i="52"/>
  <c r="AB635" i="52"/>
  <c r="AD634" i="52"/>
  <c r="AC634" i="52"/>
  <c r="AB634" i="52"/>
  <c r="AD633" i="52"/>
  <c r="AC633" i="52"/>
  <c r="AB633" i="52"/>
  <c r="AD632" i="52"/>
  <c r="AC632" i="52"/>
  <c r="AB632" i="52"/>
  <c r="AD631" i="52"/>
  <c r="AC631" i="52"/>
  <c r="AB631" i="52"/>
  <c r="AD630" i="52"/>
  <c r="AC630" i="52"/>
  <c r="AB630" i="52"/>
  <c r="AD629" i="52"/>
  <c r="AC629" i="52"/>
  <c r="AB629" i="52"/>
  <c r="AD628" i="52"/>
  <c r="AC628" i="52"/>
  <c r="AB628" i="52"/>
  <c r="AD627" i="52"/>
  <c r="AC627" i="52"/>
  <c r="AB627" i="52"/>
  <c r="AD626" i="52"/>
  <c r="AC626" i="52"/>
  <c r="AB626" i="52"/>
  <c r="AD625" i="52"/>
  <c r="AC625" i="52"/>
  <c r="AB625" i="52"/>
  <c r="AD624" i="52"/>
  <c r="AC624" i="52"/>
  <c r="AB624" i="52"/>
  <c r="AD623" i="52"/>
  <c r="AC623" i="52"/>
  <c r="AB623" i="52"/>
  <c r="AD622" i="52"/>
  <c r="AC622" i="52"/>
  <c r="AB622" i="52"/>
  <c r="AD621" i="52"/>
  <c r="AC621" i="52"/>
  <c r="AB621" i="52"/>
  <c r="AD620" i="52"/>
  <c r="AC620" i="52"/>
  <c r="AB620" i="52"/>
  <c r="AD619" i="52"/>
  <c r="AC619" i="52"/>
  <c r="AB619" i="52"/>
  <c r="AD618" i="52"/>
  <c r="AC618" i="52"/>
  <c r="AB618" i="52"/>
  <c r="AD617" i="52"/>
  <c r="AC617" i="52"/>
  <c r="AB617" i="52"/>
  <c r="AD616" i="52"/>
  <c r="AC616" i="52"/>
  <c r="AB616" i="52"/>
  <c r="AD615" i="52"/>
  <c r="AC615" i="52"/>
  <c r="AB615" i="52"/>
  <c r="AD614" i="52"/>
  <c r="AC614" i="52"/>
  <c r="AB614" i="52"/>
  <c r="AD613" i="52"/>
  <c r="AC613" i="52"/>
  <c r="AB613" i="52"/>
  <c r="AD612" i="52"/>
  <c r="AC612" i="52"/>
  <c r="AB612" i="52"/>
  <c r="AD611" i="52"/>
  <c r="AC611" i="52"/>
  <c r="AB611" i="52"/>
  <c r="AD610" i="52"/>
  <c r="AC610" i="52"/>
  <c r="AB610" i="52"/>
  <c r="AD609" i="52"/>
  <c r="AC609" i="52"/>
  <c r="AB609" i="52"/>
  <c r="AD608" i="52"/>
  <c r="AC608" i="52"/>
  <c r="AB608" i="52"/>
  <c r="AD607" i="52"/>
  <c r="AC607" i="52"/>
  <c r="AB607" i="52"/>
  <c r="AD606" i="52"/>
  <c r="AC606" i="52"/>
  <c r="AB606" i="52"/>
  <c r="AD605" i="52"/>
  <c r="AC605" i="52"/>
  <c r="AB605" i="52"/>
  <c r="AD604" i="52"/>
  <c r="AC604" i="52"/>
  <c r="AB604" i="52"/>
  <c r="AD603" i="52"/>
  <c r="AC603" i="52"/>
  <c r="AB603" i="52"/>
  <c r="X603" i="52"/>
  <c r="AD602" i="52"/>
  <c r="AC602" i="52"/>
  <c r="AB602" i="52"/>
  <c r="X602" i="52"/>
  <c r="AD601" i="52"/>
  <c r="AC601" i="52"/>
  <c r="AB601" i="52"/>
  <c r="X601" i="52"/>
  <c r="AD600" i="52"/>
  <c r="AC600" i="52"/>
  <c r="AB600" i="52"/>
  <c r="X600" i="52"/>
  <c r="AD599" i="52"/>
  <c r="AC599" i="52"/>
  <c r="AB599" i="52"/>
  <c r="X599" i="52"/>
  <c r="AD598" i="52"/>
  <c r="AC598" i="52"/>
  <c r="AB598" i="52"/>
  <c r="X598" i="52"/>
  <c r="AD597" i="52"/>
  <c r="AC597" i="52"/>
  <c r="AB597" i="52"/>
  <c r="X597" i="52"/>
  <c r="AD596" i="52"/>
  <c r="AC596" i="52"/>
  <c r="AB596" i="52"/>
  <c r="X596" i="52"/>
  <c r="AD595" i="52"/>
  <c r="AC595" i="52"/>
  <c r="AB595" i="52"/>
  <c r="X595" i="52"/>
  <c r="AD594" i="52"/>
  <c r="AC594" i="52"/>
  <c r="AB594" i="52"/>
  <c r="X594" i="52"/>
  <c r="AD593" i="52"/>
  <c r="AC593" i="52"/>
  <c r="AB593" i="52"/>
  <c r="X593" i="52"/>
  <c r="AD592" i="52"/>
  <c r="AC592" i="52"/>
  <c r="AB592" i="52"/>
  <c r="X592" i="52"/>
  <c r="AD591" i="52"/>
  <c r="AC591" i="52"/>
  <c r="AB591" i="52"/>
  <c r="X591" i="52"/>
  <c r="AD590" i="52"/>
  <c r="AC590" i="52"/>
  <c r="AB590" i="52"/>
  <c r="X590" i="52"/>
  <c r="AD589" i="52"/>
  <c r="AC589" i="52"/>
  <c r="AB589" i="52"/>
  <c r="X589" i="52"/>
  <c r="AD588" i="52"/>
  <c r="AC588" i="52"/>
  <c r="AB588" i="52"/>
  <c r="X588" i="52"/>
  <c r="AD587" i="52"/>
  <c r="AC587" i="52"/>
  <c r="AB587" i="52"/>
  <c r="X587" i="52"/>
  <c r="AD586" i="52"/>
  <c r="AC586" i="52"/>
  <c r="AB586" i="52"/>
  <c r="X586" i="52"/>
  <c r="AD585" i="52"/>
  <c r="AC585" i="52"/>
  <c r="AB585" i="52"/>
  <c r="X585" i="52"/>
  <c r="AD584" i="52"/>
  <c r="AC584" i="52"/>
  <c r="AB584" i="52"/>
  <c r="X584" i="52"/>
  <c r="AD583" i="52"/>
  <c r="AC583" i="52"/>
  <c r="AB583" i="52"/>
  <c r="X583" i="52"/>
  <c r="AD582" i="52"/>
  <c r="AC582" i="52"/>
  <c r="AB582" i="52"/>
  <c r="X582" i="52"/>
  <c r="AD581" i="52"/>
  <c r="AC581" i="52"/>
  <c r="AB581" i="52"/>
  <c r="X581" i="52"/>
  <c r="AD580" i="52"/>
  <c r="AC580" i="52"/>
  <c r="AB580" i="52"/>
  <c r="X580" i="52"/>
  <c r="AD579" i="52"/>
  <c r="AC579" i="52"/>
  <c r="AB579" i="52"/>
  <c r="X579" i="52"/>
  <c r="AD578" i="52"/>
  <c r="AC578" i="52"/>
  <c r="AB578" i="52"/>
  <c r="X578" i="52"/>
  <c r="AD577" i="52"/>
  <c r="AC577" i="52"/>
  <c r="AB577" i="52"/>
  <c r="X577" i="52"/>
  <c r="AD576" i="52"/>
  <c r="AC576" i="52"/>
  <c r="AB576" i="52"/>
  <c r="X576" i="52"/>
  <c r="AD575" i="52"/>
  <c r="AC575" i="52"/>
  <c r="AB575" i="52"/>
  <c r="X575" i="52"/>
  <c r="AD574" i="52"/>
  <c r="AC574" i="52"/>
  <c r="AB574" i="52"/>
  <c r="X574" i="52"/>
  <c r="AD573" i="52"/>
  <c r="AC573" i="52"/>
  <c r="AB573" i="52"/>
  <c r="X573" i="52"/>
  <c r="AD572" i="52"/>
  <c r="AC572" i="52"/>
  <c r="AB572" i="52"/>
  <c r="X572" i="52"/>
  <c r="AD571" i="52"/>
  <c r="AC571" i="52"/>
  <c r="AB571" i="52"/>
  <c r="X571" i="52"/>
  <c r="AD570" i="52"/>
  <c r="AC570" i="52"/>
  <c r="AB570" i="52"/>
  <c r="X570" i="52"/>
  <c r="AD569" i="52"/>
  <c r="AC569" i="52"/>
  <c r="AB569" i="52"/>
  <c r="X569" i="52"/>
  <c r="AD568" i="52"/>
  <c r="AC568" i="52"/>
  <c r="AB568" i="52"/>
  <c r="X568" i="52"/>
  <c r="AD567" i="52"/>
  <c r="AC567" i="52"/>
  <c r="AB567" i="52"/>
  <c r="X567" i="52"/>
  <c r="AD566" i="52"/>
  <c r="AC566" i="52"/>
  <c r="AB566" i="52"/>
  <c r="X566" i="52"/>
  <c r="AD565" i="52"/>
  <c r="AC565" i="52"/>
  <c r="AB565" i="52"/>
  <c r="X565" i="52"/>
  <c r="AD564" i="52"/>
  <c r="AC564" i="52"/>
  <c r="AB564" i="52"/>
  <c r="X564" i="52"/>
  <c r="AD563" i="52"/>
  <c r="AC563" i="52"/>
  <c r="AB563" i="52"/>
  <c r="X563" i="52"/>
  <c r="AD562" i="52"/>
  <c r="AC562" i="52"/>
  <c r="AB562" i="52"/>
  <c r="X562" i="52"/>
  <c r="AD561" i="52"/>
  <c r="AC561" i="52"/>
  <c r="AB561" i="52"/>
  <c r="X561" i="52"/>
  <c r="AD560" i="52"/>
  <c r="AC560" i="52"/>
  <c r="AB560" i="52"/>
  <c r="X560" i="52"/>
  <c r="AD559" i="52"/>
  <c r="AC559" i="52"/>
  <c r="AB559" i="52"/>
  <c r="X559" i="52"/>
  <c r="AD558" i="52"/>
  <c r="AC558" i="52"/>
  <c r="AB558" i="52"/>
  <c r="X558" i="52"/>
  <c r="AD557" i="52"/>
  <c r="AC557" i="52"/>
  <c r="AB557" i="52"/>
  <c r="X557" i="52"/>
  <c r="AD556" i="52"/>
  <c r="AC556" i="52"/>
  <c r="AB556" i="52"/>
  <c r="X556" i="52"/>
  <c r="AD555" i="52"/>
  <c r="AC555" i="52"/>
  <c r="AB555" i="52"/>
  <c r="X555" i="52"/>
  <c r="AD554" i="52"/>
  <c r="AC554" i="52"/>
  <c r="AB554" i="52"/>
  <c r="X554" i="52"/>
  <c r="AD553" i="52"/>
  <c r="AC553" i="52"/>
  <c r="AB553" i="52"/>
  <c r="X553" i="52"/>
  <c r="AD552" i="52"/>
  <c r="AC552" i="52"/>
  <c r="AB552" i="52"/>
  <c r="X552" i="52"/>
  <c r="AD551" i="52"/>
  <c r="AC551" i="52"/>
  <c r="AB551" i="52"/>
  <c r="X551" i="52"/>
  <c r="AD550" i="52"/>
  <c r="AC550" i="52"/>
  <c r="AB550" i="52"/>
  <c r="X550" i="52"/>
  <c r="AD549" i="52"/>
  <c r="AC549" i="52"/>
  <c r="AB549" i="52"/>
  <c r="X549" i="52"/>
  <c r="AD548" i="52"/>
  <c r="AC548" i="52"/>
  <c r="AB548" i="52"/>
  <c r="X548" i="52"/>
  <c r="AD547" i="52"/>
  <c r="AC547" i="52"/>
  <c r="AB547" i="52"/>
  <c r="X547" i="52"/>
  <c r="AD546" i="52"/>
  <c r="AC546" i="52"/>
  <c r="AB546" i="52"/>
  <c r="X546" i="52"/>
  <c r="AD545" i="52"/>
  <c r="AC545" i="52"/>
  <c r="AB545" i="52"/>
  <c r="X545" i="52"/>
  <c r="AD544" i="52"/>
  <c r="AC544" i="52"/>
  <c r="AB544" i="52"/>
  <c r="X544" i="52"/>
  <c r="AD543" i="52"/>
  <c r="AC543" i="52"/>
  <c r="AB543" i="52"/>
  <c r="X543" i="52"/>
  <c r="AD542" i="52"/>
  <c r="AC542" i="52"/>
  <c r="AB542" i="52"/>
  <c r="X542" i="52"/>
  <c r="AD541" i="52"/>
  <c r="AC541" i="52"/>
  <c r="AB541" i="52"/>
  <c r="X541" i="52"/>
  <c r="AD540" i="52"/>
  <c r="AC540" i="52"/>
  <c r="AB540" i="52"/>
  <c r="X540" i="52"/>
  <c r="AD539" i="52"/>
  <c r="AC539" i="52"/>
  <c r="AB539" i="52"/>
  <c r="X539" i="52"/>
  <c r="AD538" i="52"/>
  <c r="AC538" i="52"/>
  <c r="AB538" i="52"/>
  <c r="X538" i="52"/>
  <c r="AD537" i="52"/>
  <c r="AC537" i="52"/>
  <c r="AB537" i="52"/>
  <c r="X537" i="52"/>
  <c r="AD536" i="52"/>
  <c r="AC536" i="52"/>
  <c r="AB536" i="52"/>
  <c r="X536" i="52"/>
  <c r="AD535" i="52"/>
  <c r="AC535" i="52"/>
  <c r="AB535" i="52"/>
  <c r="X535" i="52"/>
  <c r="AD534" i="52"/>
  <c r="AC534" i="52"/>
  <c r="AB534" i="52"/>
  <c r="X534" i="52"/>
  <c r="AD533" i="52"/>
  <c r="AC533" i="52"/>
  <c r="AB533" i="52"/>
  <c r="X533" i="52"/>
  <c r="AD532" i="52"/>
  <c r="AC532" i="52"/>
  <c r="AB532" i="52"/>
  <c r="X532" i="52"/>
  <c r="AD531" i="52"/>
  <c r="AC531" i="52"/>
  <c r="AB531" i="52"/>
  <c r="X531" i="52"/>
  <c r="AD530" i="52"/>
  <c r="AC530" i="52"/>
  <c r="AB530" i="52"/>
  <c r="X530" i="52"/>
  <c r="AD529" i="52"/>
  <c r="AC529" i="52"/>
  <c r="AB529" i="52"/>
  <c r="X529" i="52"/>
  <c r="AD528" i="52"/>
  <c r="AC528" i="52"/>
  <c r="AB528" i="52"/>
  <c r="X528" i="52"/>
  <c r="AD527" i="52"/>
  <c r="AC527" i="52"/>
  <c r="AB527" i="52"/>
  <c r="X527" i="52"/>
  <c r="AD526" i="52"/>
  <c r="AC526" i="52"/>
  <c r="AB526" i="52"/>
  <c r="X526" i="52"/>
  <c r="AD525" i="52"/>
  <c r="AC525" i="52"/>
  <c r="AB525" i="52"/>
  <c r="X525" i="52"/>
  <c r="AD524" i="52"/>
  <c r="AC524" i="52"/>
  <c r="AB524" i="52"/>
  <c r="X524" i="52"/>
  <c r="AD523" i="52"/>
  <c r="AC523" i="52"/>
  <c r="AB523" i="52"/>
  <c r="X523" i="52"/>
  <c r="AD522" i="52"/>
  <c r="AC522" i="52"/>
  <c r="AB522" i="52"/>
  <c r="X522" i="52"/>
  <c r="AD521" i="52"/>
  <c r="AC521" i="52"/>
  <c r="AB521" i="52"/>
  <c r="X521" i="52"/>
  <c r="AD520" i="52"/>
  <c r="AC520" i="52"/>
  <c r="AB520" i="52"/>
  <c r="X520" i="52"/>
  <c r="AD519" i="52"/>
  <c r="AC519" i="52"/>
  <c r="AB519" i="52"/>
  <c r="X519" i="52"/>
  <c r="AD518" i="52"/>
  <c r="AC518" i="52"/>
  <c r="AB518" i="52"/>
  <c r="X518" i="52"/>
  <c r="AD517" i="52"/>
  <c r="AC517" i="52"/>
  <c r="AB517" i="52"/>
  <c r="X517" i="52"/>
  <c r="AD516" i="52"/>
  <c r="AC516" i="52"/>
  <c r="AB516" i="52"/>
  <c r="X516" i="52"/>
  <c r="AD515" i="52"/>
  <c r="AC515" i="52"/>
  <c r="AB515" i="52"/>
  <c r="X515" i="52"/>
  <c r="AD514" i="52"/>
  <c r="AC514" i="52"/>
  <c r="AB514" i="52"/>
  <c r="X514" i="52"/>
  <c r="AD513" i="52"/>
  <c r="AC513" i="52"/>
  <c r="AB513" i="52"/>
  <c r="X513" i="52"/>
  <c r="AD512" i="52"/>
  <c r="AC512" i="52"/>
  <c r="AB512" i="52"/>
  <c r="X512" i="52"/>
  <c r="AD511" i="52"/>
  <c r="AC511" i="52"/>
  <c r="AB511" i="52"/>
  <c r="X511" i="52"/>
  <c r="AD510" i="52"/>
  <c r="AC510" i="52"/>
  <c r="AB510" i="52"/>
  <c r="X510" i="52"/>
  <c r="AD509" i="52"/>
  <c r="AC509" i="52"/>
  <c r="AB509" i="52"/>
  <c r="X509" i="52"/>
  <c r="AD508" i="52"/>
  <c r="AC508" i="52"/>
  <c r="AB508" i="52"/>
  <c r="X508" i="52"/>
  <c r="AD507" i="52"/>
  <c r="AC507" i="52"/>
  <c r="AB507" i="52"/>
  <c r="X507" i="52"/>
  <c r="AD506" i="52"/>
  <c r="AC506" i="52"/>
  <c r="AB506" i="52"/>
  <c r="X506" i="52"/>
  <c r="AD505" i="52"/>
  <c r="AC505" i="52"/>
  <c r="AB505" i="52"/>
  <c r="X505" i="52"/>
  <c r="AD504" i="52"/>
  <c r="AC504" i="52"/>
  <c r="AB504" i="52"/>
  <c r="X504" i="52"/>
  <c r="AD503" i="52"/>
  <c r="AC503" i="52"/>
  <c r="AB503" i="52"/>
  <c r="X503" i="52"/>
  <c r="AD502" i="52"/>
  <c r="AC502" i="52"/>
  <c r="AB502" i="52"/>
  <c r="X502" i="52"/>
  <c r="AD501" i="52"/>
  <c r="AC501" i="52"/>
  <c r="AB501" i="52"/>
  <c r="X501" i="52"/>
  <c r="AD500" i="52"/>
  <c r="AC500" i="52"/>
  <c r="AB500" i="52"/>
  <c r="X500" i="52"/>
  <c r="AD499" i="52"/>
  <c r="AC499" i="52"/>
  <c r="AB499" i="52"/>
  <c r="X499" i="52"/>
  <c r="AD498" i="52"/>
  <c r="AC498" i="52"/>
  <c r="AB498" i="52"/>
  <c r="X498" i="52"/>
  <c r="AD497" i="52"/>
  <c r="AC497" i="52"/>
  <c r="AB497" i="52"/>
  <c r="X497" i="52"/>
  <c r="AD496" i="52"/>
  <c r="AC496" i="52"/>
  <c r="AB496" i="52"/>
  <c r="X496" i="52"/>
  <c r="AD495" i="52"/>
  <c r="AC495" i="52"/>
  <c r="AB495" i="52"/>
  <c r="X495" i="52"/>
  <c r="AD494" i="52"/>
  <c r="AC494" i="52"/>
  <c r="AB494" i="52"/>
  <c r="X494" i="52"/>
  <c r="AD493" i="52"/>
  <c r="AC493" i="52"/>
  <c r="AB493" i="52"/>
  <c r="X493" i="52"/>
  <c r="AD492" i="52"/>
  <c r="AC492" i="52"/>
  <c r="AB492" i="52"/>
  <c r="X492" i="52"/>
  <c r="AD491" i="52"/>
  <c r="AC491" i="52"/>
  <c r="AB491" i="52"/>
  <c r="X491" i="52"/>
  <c r="AD490" i="52"/>
  <c r="AC490" i="52"/>
  <c r="AB490" i="52"/>
  <c r="X490" i="52"/>
  <c r="AD489" i="52"/>
  <c r="AC489" i="52"/>
  <c r="AB489" i="52"/>
  <c r="X489" i="52"/>
  <c r="AD488" i="52"/>
  <c r="AC488" i="52"/>
  <c r="AB488" i="52"/>
  <c r="X488" i="52"/>
  <c r="AD487" i="52"/>
  <c r="AC487" i="52"/>
  <c r="AB487" i="52"/>
  <c r="X487" i="52"/>
  <c r="AD486" i="52"/>
  <c r="AC486" i="52"/>
  <c r="AB486" i="52"/>
  <c r="X486" i="52"/>
  <c r="AD485" i="52"/>
  <c r="AC485" i="52"/>
  <c r="AB485" i="52"/>
  <c r="X485" i="52"/>
  <c r="AD484" i="52"/>
  <c r="AC484" i="52"/>
  <c r="AB484" i="52"/>
  <c r="X484" i="52"/>
  <c r="AD483" i="52"/>
  <c r="AC483" i="52"/>
  <c r="AB483" i="52"/>
  <c r="X483" i="52"/>
  <c r="AD482" i="52"/>
  <c r="AC482" i="52"/>
  <c r="AB482" i="52"/>
  <c r="X482" i="52"/>
  <c r="AD481" i="52"/>
  <c r="AC481" i="52"/>
  <c r="AB481" i="52"/>
  <c r="X481" i="52"/>
  <c r="AD480" i="52"/>
  <c r="AC480" i="52"/>
  <c r="AB480" i="52"/>
  <c r="X480" i="52"/>
  <c r="AD479" i="52"/>
  <c r="AC479" i="52"/>
  <c r="AB479" i="52"/>
  <c r="X479" i="52"/>
  <c r="AD478" i="52"/>
  <c r="AC478" i="52"/>
  <c r="AB478" i="52"/>
  <c r="X478" i="52"/>
  <c r="AD477" i="52"/>
  <c r="AC477" i="52"/>
  <c r="AB477" i="52"/>
  <c r="X477" i="52"/>
  <c r="AD476" i="52"/>
  <c r="AC476" i="52"/>
  <c r="AB476" i="52"/>
  <c r="X476" i="52"/>
  <c r="AD475" i="52"/>
  <c r="AC475" i="52"/>
  <c r="AB475" i="52"/>
  <c r="X475" i="52"/>
  <c r="AD474" i="52"/>
  <c r="AC474" i="52"/>
  <c r="AB474" i="52"/>
  <c r="X474" i="52"/>
  <c r="AD473" i="52"/>
  <c r="AC473" i="52"/>
  <c r="AB473" i="52"/>
  <c r="X473" i="52"/>
  <c r="AD472" i="52"/>
  <c r="AC472" i="52"/>
  <c r="AB472" i="52"/>
  <c r="X472" i="52"/>
  <c r="AD471" i="52"/>
  <c r="AC471" i="52"/>
  <c r="AB471" i="52"/>
  <c r="X471" i="52"/>
  <c r="AD470" i="52"/>
  <c r="AC470" i="52"/>
  <c r="AB470" i="52"/>
  <c r="X470" i="52"/>
  <c r="AD469" i="52"/>
  <c r="AC469" i="52"/>
  <c r="AB469" i="52"/>
  <c r="X469" i="52"/>
  <c r="AD468" i="52"/>
  <c r="AC468" i="52"/>
  <c r="AB468" i="52"/>
  <c r="X468" i="52"/>
  <c r="AD467" i="52"/>
  <c r="AC467" i="52"/>
  <c r="AB467" i="52"/>
  <c r="X467" i="52"/>
  <c r="AD466" i="52"/>
  <c r="AC466" i="52"/>
  <c r="AB466" i="52"/>
  <c r="X466" i="52"/>
  <c r="AD465" i="52"/>
  <c r="AC465" i="52"/>
  <c r="AB465" i="52"/>
  <c r="X465" i="52"/>
  <c r="AD464" i="52"/>
  <c r="AC464" i="52"/>
  <c r="AB464" i="52"/>
  <c r="X464" i="52"/>
  <c r="AD463" i="52"/>
  <c r="AC463" i="52"/>
  <c r="AB463" i="52"/>
  <c r="X463" i="52"/>
  <c r="AD462" i="52"/>
  <c r="AC462" i="52"/>
  <c r="AB462" i="52"/>
  <c r="X462" i="52"/>
  <c r="AD461" i="52"/>
  <c r="AC461" i="52"/>
  <c r="AB461" i="52"/>
  <c r="X461" i="52"/>
  <c r="AD460" i="52"/>
  <c r="AC460" i="52"/>
  <c r="AB460" i="52"/>
  <c r="X460" i="52"/>
  <c r="AD459" i="52"/>
  <c r="AC459" i="52"/>
  <c r="AB459" i="52"/>
  <c r="X459" i="52"/>
  <c r="AD458" i="52"/>
  <c r="AC458" i="52"/>
  <c r="AB458" i="52"/>
  <c r="X458" i="52"/>
  <c r="AD457" i="52"/>
  <c r="AC457" i="52"/>
  <c r="AB457" i="52"/>
  <c r="X457" i="52"/>
  <c r="AD456" i="52"/>
  <c r="AC456" i="52"/>
  <c r="AB456" i="52"/>
  <c r="X456" i="52"/>
  <c r="AD455" i="52"/>
  <c r="AC455" i="52"/>
  <c r="AB455" i="52"/>
  <c r="X455" i="52"/>
  <c r="AD454" i="52"/>
  <c r="AC454" i="52"/>
  <c r="AB454" i="52"/>
  <c r="X454" i="52"/>
  <c r="AD453" i="52"/>
  <c r="AC453" i="52"/>
  <c r="AB453" i="52"/>
  <c r="X453" i="52"/>
  <c r="AD452" i="52"/>
  <c r="AC452" i="52"/>
  <c r="AB452" i="52"/>
  <c r="X452" i="52"/>
  <c r="AD451" i="52"/>
  <c r="AC451" i="52"/>
  <c r="AB451" i="52"/>
  <c r="X451" i="52"/>
  <c r="AD450" i="52"/>
  <c r="AC450" i="52"/>
  <c r="AB450" i="52"/>
  <c r="X450" i="52"/>
  <c r="AD449" i="52"/>
  <c r="AC449" i="52"/>
  <c r="AB449" i="52"/>
  <c r="X449" i="52"/>
  <c r="AD448" i="52"/>
  <c r="AC448" i="52"/>
  <c r="AB448" i="52"/>
  <c r="X448" i="52"/>
  <c r="AD447" i="52"/>
  <c r="AC447" i="52"/>
  <c r="AB447" i="52"/>
  <c r="X447" i="52"/>
  <c r="AD446" i="52"/>
  <c r="AC446" i="52"/>
  <c r="AB446" i="52"/>
  <c r="X446" i="52"/>
  <c r="AD445" i="52"/>
  <c r="AC445" i="52"/>
  <c r="AB445" i="52"/>
  <c r="X445" i="52"/>
  <c r="AD444" i="52"/>
  <c r="AC444" i="52"/>
  <c r="AB444" i="52"/>
  <c r="X444" i="52"/>
  <c r="AD443" i="52"/>
  <c r="AC443" i="52"/>
  <c r="AB443" i="52"/>
  <c r="X443" i="52"/>
  <c r="AD442" i="52"/>
  <c r="AC442" i="52"/>
  <c r="AB442" i="52"/>
  <c r="X442" i="52"/>
  <c r="AD441" i="52"/>
  <c r="AC441" i="52"/>
  <c r="AB441" i="52"/>
  <c r="X441" i="52"/>
  <c r="AD440" i="52"/>
  <c r="AC440" i="52"/>
  <c r="AB440" i="52"/>
  <c r="X440" i="52"/>
  <c r="AD439" i="52"/>
  <c r="AC439" i="52"/>
  <c r="AB439" i="52"/>
  <c r="X439" i="52"/>
  <c r="AD438" i="52"/>
  <c r="AC438" i="52"/>
  <c r="AB438" i="52"/>
  <c r="X438" i="52"/>
  <c r="AD437" i="52"/>
  <c r="AC437" i="52"/>
  <c r="AB437" i="52"/>
  <c r="X437" i="52"/>
  <c r="AD436" i="52"/>
  <c r="AC436" i="52"/>
  <c r="AB436" i="52"/>
  <c r="X436" i="52"/>
  <c r="AD435" i="52"/>
  <c r="AC435" i="52"/>
  <c r="AB435" i="52"/>
  <c r="X435" i="52"/>
  <c r="AD434" i="52"/>
  <c r="AC434" i="52"/>
  <c r="AB434" i="52"/>
  <c r="X434" i="52"/>
  <c r="AD433" i="52"/>
  <c r="AC433" i="52"/>
  <c r="AB433" i="52"/>
  <c r="X433" i="52"/>
  <c r="AD432" i="52"/>
  <c r="AC432" i="52"/>
  <c r="AB432" i="52"/>
  <c r="X432" i="52"/>
  <c r="AD431" i="52"/>
  <c r="AC431" i="52"/>
  <c r="AB431" i="52"/>
  <c r="X431" i="52"/>
  <c r="AD430" i="52"/>
  <c r="AC430" i="52"/>
  <c r="AB430" i="52"/>
  <c r="X430" i="52"/>
  <c r="AD429" i="52"/>
  <c r="AC429" i="52"/>
  <c r="AB429" i="52"/>
  <c r="X429" i="52"/>
  <c r="AD428" i="52"/>
  <c r="AC428" i="52"/>
  <c r="AB428" i="52"/>
  <c r="X428" i="52"/>
  <c r="AD427" i="52"/>
  <c r="AC427" i="52"/>
  <c r="AB427" i="52"/>
  <c r="X427" i="52"/>
  <c r="AD426" i="52"/>
  <c r="AC426" i="52"/>
  <c r="AB426" i="52"/>
  <c r="X426" i="52"/>
  <c r="AD425" i="52"/>
  <c r="AC425" i="52"/>
  <c r="AB425" i="52"/>
  <c r="X425" i="52"/>
  <c r="AD424" i="52"/>
  <c r="AC424" i="52"/>
  <c r="AB424" i="52"/>
  <c r="X424" i="52"/>
  <c r="AD423" i="52"/>
  <c r="AC423" i="52"/>
  <c r="AB423" i="52"/>
  <c r="X423" i="52"/>
  <c r="AD422" i="52"/>
  <c r="AC422" i="52"/>
  <c r="AB422" i="52"/>
  <c r="X422" i="52"/>
  <c r="AD421" i="52"/>
  <c r="AC421" i="52"/>
  <c r="AB421" i="52"/>
  <c r="X421" i="52"/>
  <c r="AD420" i="52"/>
  <c r="AC420" i="52"/>
  <c r="AB420" i="52"/>
  <c r="X420" i="52"/>
  <c r="AD419" i="52"/>
  <c r="AC419" i="52"/>
  <c r="AB419" i="52"/>
  <c r="X419" i="52"/>
  <c r="AD418" i="52"/>
  <c r="AC418" i="52"/>
  <c r="AB418" i="52"/>
  <c r="X418" i="52"/>
  <c r="AD417" i="52"/>
  <c r="AC417" i="52"/>
  <c r="AB417" i="52"/>
  <c r="X417" i="52"/>
  <c r="AD416" i="52"/>
  <c r="AC416" i="52"/>
  <c r="AB416" i="52"/>
  <c r="X416" i="52"/>
  <c r="AD415" i="52"/>
  <c r="AC415" i="52"/>
  <c r="AB415" i="52"/>
  <c r="X415" i="52"/>
  <c r="AD414" i="52"/>
  <c r="AC414" i="52"/>
  <c r="AB414" i="52"/>
  <c r="X414" i="52"/>
  <c r="AD413" i="52"/>
  <c r="AC413" i="52"/>
  <c r="AB413" i="52"/>
  <c r="X413" i="52"/>
  <c r="AD412" i="52"/>
  <c r="AC412" i="52"/>
  <c r="AB412" i="52"/>
  <c r="X412" i="52"/>
  <c r="AD411" i="52"/>
  <c r="AC411" i="52"/>
  <c r="AB411" i="52"/>
  <c r="X411" i="52"/>
  <c r="AD410" i="52"/>
  <c r="AC410" i="52"/>
  <c r="AB410" i="52"/>
  <c r="X410" i="52"/>
  <c r="AD409" i="52"/>
  <c r="AC409" i="52"/>
  <c r="AB409" i="52"/>
  <c r="X409" i="52"/>
  <c r="AD408" i="52"/>
  <c r="AC408" i="52"/>
  <c r="AB408" i="52"/>
  <c r="X408" i="52"/>
  <c r="AD407" i="52"/>
  <c r="AC407" i="52"/>
  <c r="AB407" i="52"/>
  <c r="X407" i="52"/>
  <c r="AD406" i="52"/>
  <c r="AC406" i="52"/>
  <c r="AB406" i="52"/>
  <c r="X406" i="52"/>
  <c r="AD405" i="52"/>
  <c r="AC405" i="52"/>
  <c r="AB405" i="52"/>
  <c r="X405" i="52"/>
  <c r="AD404" i="52"/>
  <c r="AC404" i="52"/>
  <c r="AB404" i="52"/>
  <c r="X404" i="52"/>
  <c r="AD403" i="52"/>
  <c r="AC403" i="52"/>
  <c r="AB403" i="52"/>
  <c r="X403" i="52"/>
  <c r="AD402" i="52"/>
  <c r="AC402" i="52"/>
  <c r="AB402" i="52"/>
  <c r="X402" i="52"/>
  <c r="AD401" i="52"/>
  <c r="AC401" i="52"/>
  <c r="AB401" i="52"/>
  <c r="X401" i="52"/>
  <c r="AD400" i="52"/>
  <c r="AC400" i="52"/>
  <c r="AB400" i="52"/>
  <c r="X400" i="52"/>
  <c r="AD399" i="52"/>
  <c r="AC399" i="52"/>
  <c r="AB399" i="52"/>
  <c r="X399" i="52"/>
  <c r="AD398" i="52"/>
  <c r="AC398" i="52"/>
  <c r="AB398" i="52"/>
  <c r="X398" i="52"/>
  <c r="AD397" i="52"/>
  <c r="AC397" i="52"/>
  <c r="AB397" i="52"/>
  <c r="X397" i="52"/>
  <c r="AD396" i="52"/>
  <c r="AC396" i="52"/>
  <c r="AB396" i="52"/>
  <c r="X396" i="52"/>
  <c r="AD395" i="52"/>
  <c r="AC395" i="52"/>
  <c r="AB395" i="52"/>
  <c r="X395" i="52"/>
  <c r="AD394" i="52"/>
  <c r="AC394" i="52"/>
  <c r="AB394" i="52"/>
  <c r="X394" i="52"/>
  <c r="AD393" i="52"/>
  <c r="AC393" i="52"/>
  <c r="AB393" i="52"/>
  <c r="X393" i="52"/>
  <c r="AD392" i="52"/>
  <c r="AC392" i="52"/>
  <c r="AB392" i="52"/>
  <c r="X392" i="52"/>
  <c r="AD391" i="52"/>
  <c r="AC391" i="52"/>
  <c r="AB391" i="52"/>
  <c r="X391" i="52"/>
  <c r="AD390" i="52"/>
  <c r="AC390" i="52"/>
  <c r="AB390" i="52"/>
  <c r="X390" i="52"/>
  <c r="AD389" i="52"/>
  <c r="AC389" i="52"/>
  <c r="AB389" i="52"/>
  <c r="X389" i="52"/>
  <c r="AD388" i="52"/>
  <c r="AC388" i="52"/>
  <c r="AB388" i="52"/>
  <c r="X388" i="52"/>
  <c r="AD387" i="52"/>
  <c r="AC387" i="52"/>
  <c r="AB387" i="52"/>
  <c r="X387" i="52"/>
  <c r="AD386" i="52"/>
  <c r="AC386" i="52"/>
  <c r="AB386" i="52"/>
  <c r="X386" i="52"/>
  <c r="AD385" i="52"/>
  <c r="AC385" i="52"/>
  <c r="AB385" i="52"/>
  <c r="X385" i="52"/>
  <c r="AD384" i="52"/>
  <c r="AC384" i="52"/>
  <c r="AB384" i="52"/>
  <c r="X384" i="52"/>
  <c r="AD383" i="52"/>
  <c r="AC383" i="52"/>
  <c r="AB383" i="52"/>
  <c r="X383" i="52"/>
  <c r="AD382" i="52"/>
  <c r="AC382" i="52"/>
  <c r="AB382" i="52"/>
  <c r="X382" i="52"/>
  <c r="AD381" i="52"/>
  <c r="AC381" i="52"/>
  <c r="AB381" i="52"/>
  <c r="X381" i="52"/>
  <c r="AD380" i="52"/>
  <c r="AC380" i="52"/>
  <c r="AB380" i="52"/>
  <c r="X380" i="52"/>
  <c r="AD379" i="52"/>
  <c r="AC379" i="52"/>
  <c r="AB379" i="52"/>
  <c r="X379" i="52"/>
  <c r="AD378" i="52"/>
  <c r="AC378" i="52"/>
  <c r="AB378" i="52"/>
  <c r="X378" i="52"/>
  <c r="AD377" i="52"/>
  <c r="AC377" i="52"/>
  <c r="AB377" i="52"/>
  <c r="X377" i="52"/>
  <c r="AD376" i="52"/>
  <c r="AC376" i="52"/>
  <c r="AB376" i="52"/>
  <c r="X376" i="52"/>
  <c r="AD375" i="52"/>
  <c r="AC375" i="52"/>
  <c r="AB375" i="52"/>
  <c r="X375" i="52"/>
  <c r="AD374" i="52"/>
  <c r="AC374" i="52"/>
  <c r="AB374" i="52"/>
  <c r="X374" i="52"/>
  <c r="AD373" i="52"/>
  <c r="AC373" i="52"/>
  <c r="AB373" i="52"/>
  <c r="X373" i="52"/>
  <c r="AD372" i="52"/>
  <c r="AC372" i="52"/>
  <c r="AB372" i="52"/>
  <c r="X372" i="52"/>
  <c r="AD371" i="52"/>
  <c r="AC371" i="52"/>
  <c r="AB371" i="52"/>
  <c r="X371" i="52"/>
  <c r="AD370" i="52"/>
  <c r="AC370" i="52"/>
  <c r="AB370" i="52"/>
  <c r="X370" i="52"/>
  <c r="AD369" i="52"/>
  <c r="AC369" i="52"/>
  <c r="AB369" i="52"/>
  <c r="X369" i="52"/>
  <c r="AD368" i="52"/>
  <c r="AC368" i="52"/>
  <c r="AB368" i="52"/>
  <c r="X368" i="52"/>
  <c r="AD367" i="52"/>
  <c r="AC367" i="52"/>
  <c r="AB367" i="52"/>
  <c r="X367" i="52"/>
  <c r="AD366" i="52"/>
  <c r="AC366" i="52"/>
  <c r="AB366" i="52"/>
  <c r="X366" i="52"/>
  <c r="AD365" i="52"/>
  <c r="AC365" i="52"/>
  <c r="AB365" i="52"/>
  <c r="X365" i="52"/>
  <c r="AD364" i="52"/>
  <c r="AC364" i="52"/>
  <c r="AB364" i="52"/>
  <c r="X364" i="52"/>
  <c r="AD363" i="52"/>
  <c r="AC363" i="52"/>
  <c r="AB363" i="52"/>
  <c r="X363" i="52"/>
  <c r="AD362" i="52"/>
  <c r="AC362" i="52"/>
  <c r="AB362" i="52"/>
  <c r="X362" i="52"/>
  <c r="AD361" i="52"/>
  <c r="AC361" i="52"/>
  <c r="AB361" i="52"/>
  <c r="X361" i="52"/>
  <c r="AD360" i="52"/>
  <c r="AC360" i="52"/>
  <c r="AB360" i="52"/>
  <c r="X360" i="52"/>
  <c r="AD359" i="52"/>
  <c r="AC359" i="52"/>
  <c r="AB359" i="52"/>
  <c r="X359" i="52"/>
  <c r="AD358" i="52"/>
  <c r="AC358" i="52"/>
  <c r="AB358" i="52"/>
  <c r="X358" i="52"/>
  <c r="AD357" i="52"/>
  <c r="AC357" i="52"/>
  <c r="AB357" i="52"/>
  <c r="X357" i="52"/>
  <c r="AD356" i="52"/>
  <c r="AC356" i="52"/>
  <c r="AB356" i="52"/>
  <c r="X356" i="52"/>
  <c r="AD355" i="52"/>
  <c r="AC355" i="52"/>
  <c r="AB355" i="52"/>
  <c r="X355" i="52"/>
  <c r="AD354" i="52"/>
  <c r="AC354" i="52"/>
  <c r="AB354" i="52"/>
  <c r="X354" i="52"/>
  <c r="AD353" i="52"/>
  <c r="AC353" i="52"/>
  <c r="AB353" i="52"/>
  <c r="X353" i="52"/>
  <c r="AD352" i="52"/>
  <c r="AC352" i="52"/>
  <c r="AB352" i="52"/>
  <c r="X352" i="52"/>
  <c r="AD351" i="52"/>
  <c r="AC351" i="52"/>
  <c r="AB351" i="52"/>
  <c r="X351" i="52"/>
  <c r="AD350" i="52"/>
  <c r="AC350" i="52"/>
  <c r="AB350" i="52"/>
  <c r="X350" i="52"/>
  <c r="AD349" i="52"/>
  <c r="AC349" i="52"/>
  <c r="AB349" i="52"/>
  <c r="X349" i="52"/>
  <c r="AD348" i="52"/>
  <c r="AC348" i="52"/>
  <c r="AB348" i="52"/>
  <c r="X348" i="52"/>
  <c r="AD347" i="52"/>
  <c r="AC347" i="52"/>
  <c r="AB347" i="52"/>
  <c r="X347" i="52"/>
  <c r="AD346" i="52"/>
  <c r="AC346" i="52"/>
  <c r="AB346" i="52"/>
  <c r="X346" i="52"/>
  <c r="AD345" i="52"/>
  <c r="AC345" i="52"/>
  <c r="AB345" i="52"/>
  <c r="X345" i="52"/>
  <c r="AD344" i="52"/>
  <c r="AC344" i="52"/>
  <c r="AB344" i="52"/>
  <c r="X344" i="52"/>
  <c r="AD343" i="52"/>
  <c r="AC343" i="52"/>
  <c r="AB343" i="52"/>
  <c r="X343" i="52"/>
  <c r="AD342" i="52"/>
  <c r="AC342" i="52"/>
  <c r="AB342" i="52"/>
  <c r="X342" i="52"/>
  <c r="AD341" i="52"/>
  <c r="AC341" i="52"/>
  <c r="AB341" i="52"/>
  <c r="X341" i="52"/>
  <c r="AD340" i="52"/>
  <c r="AC340" i="52"/>
  <c r="AB340" i="52"/>
  <c r="X340" i="52"/>
  <c r="AD339" i="52"/>
  <c r="AC339" i="52"/>
  <c r="AB339" i="52"/>
  <c r="X339" i="52"/>
  <c r="AD338" i="52"/>
  <c r="AC338" i="52"/>
  <c r="AB338" i="52"/>
  <c r="X338" i="52"/>
  <c r="AD337" i="52"/>
  <c r="AC337" i="52"/>
  <c r="AB337" i="52"/>
  <c r="X337" i="52"/>
  <c r="AD336" i="52"/>
  <c r="AC336" i="52"/>
  <c r="AB336" i="52"/>
  <c r="X336" i="52"/>
  <c r="AD335" i="52"/>
  <c r="AC335" i="52"/>
  <c r="AB335" i="52"/>
  <c r="X335" i="52"/>
  <c r="AD334" i="52"/>
  <c r="AC334" i="52"/>
  <c r="AB334" i="52"/>
  <c r="X334" i="52"/>
  <c r="AD333" i="52"/>
  <c r="AC333" i="52"/>
  <c r="AB333" i="52"/>
  <c r="X333" i="52"/>
  <c r="AD332" i="52"/>
  <c r="AC332" i="52"/>
  <c r="AB332" i="52"/>
  <c r="X332" i="52"/>
  <c r="AD331" i="52"/>
  <c r="AC331" i="52"/>
  <c r="AB331" i="52"/>
  <c r="X331" i="52"/>
  <c r="AD330" i="52"/>
  <c r="AC330" i="52"/>
  <c r="AB330" i="52"/>
  <c r="X330" i="52"/>
  <c r="AD329" i="52"/>
  <c r="AC329" i="52"/>
  <c r="AB329" i="52"/>
  <c r="X329" i="52"/>
  <c r="AD328" i="52"/>
  <c r="AC328" i="52"/>
  <c r="AB328" i="52"/>
  <c r="X328" i="52"/>
  <c r="AD327" i="52"/>
  <c r="AC327" i="52"/>
  <c r="AB327" i="52"/>
  <c r="X327" i="52"/>
  <c r="AD326" i="52"/>
  <c r="AC326" i="52"/>
  <c r="AB326" i="52"/>
  <c r="X326" i="52"/>
  <c r="AD325" i="52"/>
  <c r="AC325" i="52"/>
  <c r="AB325" i="52"/>
  <c r="X325" i="52"/>
  <c r="AD324" i="52"/>
  <c r="AC324" i="52"/>
  <c r="AB324" i="52"/>
  <c r="X324" i="52"/>
  <c r="AD323" i="52"/>
  <c r="AC323" i="52"/>
  <c r="AB323" i="52"/>
  <c r="X323" i="52"/>
  <c r="AD322" i="52"/>
  <c r="AC322" i="52"/>
  <c r="AB322" i="52"/>
  <c r="X322" i="52"/>
  <c r="AD321" i="52"/>
  <c r="AC321" i="52"/>
  <c r="AB321" i="52"/>
  <c r="X321" i="52"/>
  <c r="AD320" i="52"/>
  <c r="AC320" i="52"/>
  <c r="AB320" i="52"/>
  <c r="X320" i="52"/>
  <c r="AD319" i="52"/>
  <c r="AC319" i="52"/>
  <c r="AB319" i="52"/>
  <c r="X319" i="52"/>
  <c r="AD318" i="52"/>
  <c r="AC318" i="52"/>
  <c r="AB318" i="52"/>
  <c r="X318" i="52"/>
  <c r="AD317" i="52"/>
  <c r="AC317" i="52"/>
  <c r="AB317" i="52"/>
  <c r="X317" i="52"/>
  <c r="AD316" i="52"/>
  <c r="AC316" i="52"/>
  <c r="AB316" i="52"/>
  <c r="X316" i="52"/>
  <c r="AD315" i="52"/>
  <c r="AC315" i="52"/>
  <c r="AB315" i="52"/>
  <c r="X315" i="52"/>
  <c r="AD314" i="52"/>
  <c r="AC314" i="52"/>
  <c r="AB314" i="52"/>
  <c r="X314" i="52"/>
  <c r="AD313" i="52"/>
  <c r="AC313" i="52"/>
  <c r="AB313" i="52"/>
  <c r="X313" i="52"/>
  <c r="AD312" i="52"/>
  <c r="AC312" i="52"/>
  <c r="AB312" i="52"/>
  <c r="X312" i="52"/>
  <c r="AD311" i="52"/>
  <c r="AC311" i="52"/>
  <c r="AB311" i="52"/>
  <c r="X311" i="52"/>
  <c r="AD310" i="52"/>
  <c r="AC310" i="52"/>
  <c r="AB310" i="52"/>
  <c r="X310" i="52"/>
  <c r="AD309" i="52"/>
  <c r="AC309" i="52"/>
  <c r="AB309" i="52"/>
  <c r="X309" i="52"/>
  <c r="AD308" i="52"/>
  <c r="AC308" i="52"/>
  <c r="AB308" i="52"/>
  <c r="X308" i="52"/>
  <c r="AD307" i="52"/>
  <c r="AC307" i="52"/>
  <c r="AB307" i="52"/>
  <c r="X307" i="52"/>
  <c r="AD306" i="52"/>
  <c r="AC306" i="52"/>
  <c r="AB306" i="52"/>
  <c r="X306" i="52"/>
  <c r="AD305" i="52"/>
  <c r="AC305" i="52"/>
  <c r="AB305" i="52"/>
  <c r="X305" i="52"/>
  <c r="AD304" i="52"/>
  <c r="AC304" i="52"/>
  <c r="AB304" i="52"/>
  <c r="X304" i="52"/>
  <c r="AD303" i="52"/>
  <c r="AC303" i="52"/>
  <c r="AB303" i="52"/>
  <c r="X303" i="52"/>
  <c r="AD302" i="52"/>
  <c r="AC302" i="52"/>
  <c r="AB302" i="52"/>
  <c r="X302" i="52"/>
  <c r="AD301" i="52"/>
  <c r="AC301" i="52"/>
  <c r="AB301" i="52"/>
  <c r="X301" i="52"/>
  <c r="AD300" i="52"/>
  <c r="AC300" i="52"/>
  <c r="AB300" i="52"/>
  <c r="X300" i="52"/>
  <c r="AD299" i="52"/>
  <c r="AC299" i="52"/>
  <c r="AB299" i="52"/>
  <c r="X299" i="52"/>
  <c r="AD298" i="52"/>
  <c r="AC298" i="52"/>
  <c r="AB298" i="52"/>
  <c r="X298" i="52"/>
  <c r="AD297" i="52"/>
  <c r="AC297" i="52"/>
  <c r="AB297" i="52"/>
  <c r="X297" i="52"/>
  <c r="AD296" i="52"/>
  <c r="AC296" i="52"/>
  <c r="AB296" i="52"/>
  <c r="X296" i="52"/>
  <c r="AD295" i="52"/>
  <c r="AC295" i="52"/>
  <c r="AB295" i="52"/>
  <c r="X295" i="52"/>
  <c r="AD294" i="52"/>
  <c r="AC294" i="52"/>
  <c r="AB294" i="52"/>
  <c r="X294" i="52"/>
  <c r="AD293" i="52"/>
  <c r="AC293" i="52"/>
  <c r="AB293" i="52"/>
  <c r="X293" i="52"/>
  <c r="AD292" i="52"/>
  <c r="AC292" i="52"/>
  <c r="AB292" i="52"/>
  <c r="X292" i="52"/>
  <c r="AD291" i="52"/>
  <c r="AC291" i="52"/>
  <c r="AB291" i="52"/>
  <c r="X291" i="52"/>
  <c r="AD290" i="52"/>
  <c r="AC290" i="52"/>
  <c r="AB290" i="52"/>
  <c r="X290" i="52"/>
  <c r="AD289" i="52"/>
  <c r="AC289" i="52"/>
  <c r="AB289" i="52"/>
  <c r="X289" i="52"/>
  <c r="AD288" i="52"/>
  <c r="AC288" i="52"/>
  <c r="AB288" i="52"/>
  <c r="X288" i="52"/>
  <c r="AD287" i="52"/>
  <c r="AC287" i="52"/>
  <c r="AB287" i="52"/>
  <c r="X287" i="52"/>
  <c r="AD286" i="52"/>
  <c r="AC286" i="52"/>
  <c r="AB286" i="52"/>
  <c r="X286" i="52"/>
  <c r="AD285" i="52"/>
  <c r="AC285" i="52"/>
  <c r="AB285" i="52"/>
  <c r="X285" i="52"/>
  <c r="AD284" i="52"/>
  <c r="AC284" i="52"/>
  <c r="AB284" i="52"/>
  <c r="X284" i="52"/>
  <c r="AD283" i="52"/>
  <c r="AC283" i="52"/>
  <c r="AB283" i="52"/>
  <c r="X283" i="52"/>
  <c r="AD282" i="52"/>
  <c r="AC282" i="52"/>
  <c r="AB282" i="52"/>
  <c r="X282" i="52"/>
  <c r="AD281" i="52"/>
  <c r="AC281" i="52"/>
  <c r="AB281" i="52"/>
  <c r="X281" i="52"/>
  <c r="AD280" i="52"/>
  <c r="AC280" i="52"/>
  <c r="AB280" i="52"/>
  <c r="X280" i="52"/>
  <c r="AD279" i="52"/>
  <c r="AC279" i="52"/>
  <c r="AB279" i="52"/>
  <c r="X279" i="52"/>
  <c r="AD278" i="52"/>
  <c r="AC278" i="52"/>
  <c r="AB278" i="52"/>
  <c r="X278" i="52"/>
  <c r="AD277" i="52"/>
  <c r="AC277" i="52"/>
  <c r="AB277" i="52"/>
  <c r="X277" i="52"/>
  <c r="AD276" i="52"/>
  <c r="AC276" i="52"/>
  <c r="AB276" i="52"/>
  <c r="X276" i="52"/>
  <c r="AD275" i="52"/>
  <c r="AC275" i="52"/>
  <c r="AB275" i="52"/>
  <c r="X275" i="52"/>
  <c r="AD274" i="52"/>
  <c r="AC274" i="52"/>
  <c r="AB274" i="52"/>
  <c r="X274" i="52"/>
  <c r="AD273" i="52"/>
  <c r="AC273" i="52"/>
  <c r="AB273" i="52"/>
  <c r="X273" i="52"/>
  <c r="AD272" i="52"/>
  <c r="AC272" i="52"/>
  <c r="AB272" i="52"/>
  <c r="X272" i="52"/>
  <c r="AD271" i="52"/>
  <c r="AC271" i="52"/>
  <c r="AB271" i="52"/>
  <c r="X271" i="52"/>
  <c r="AD270" i="52"/>
  <c r="AC270" i="52"/>
  <c r="AB270" i="52"/>
  <c r="X270" i="52"/>
  <c r="AD269" i="52"/>
  <c r="AC269" i="52"/>
  <c r="AB269" i="52"/>
  <c r="X269" i="52"/>
  <c r="AD268" i="52"/>
  <c r="AC268" i="52"/>
  <c r="AB268" i="52"/>
  <c r="X268" i="52"/>
  <c r="AD267" i="52"/>
  <c r="AC267" i="52"/>
  <c r="AB267" i="52"/>
  <c r="X267" i="52"/>
  <c r="AD266" i="52"/>
  <c r="AC266" i="52"/>
  <c r="AB266" i="52"/>
  <c r="X266" i="52"/>
  <c r="AD265" i="52"/>
  <c r="AC265" i="52"/>
  <c r="AB265" i="52"/>
  <c r="X265" i="52"/>
  <c r="AD264" i="52"/>
  <c r="AC264" i="52"/>
  <c r="AB264" i="52"/>
  <c r="X264" i="52"/>
  <c r="AD263" i="52"/>
  <c r="AC263" i="52"/>
  <c r="AB263" i="52"/>
  <c r="X263" i="52"/>
  <c r="AD262" i="52"/>
  <c r="AC262" i="52"/>
  <c r="AB262" i="52"/>
  <c r="X262" i="52"/>
  <c r="AD261" i="52"/>
  <c r="AC261" i="52"/>
  <c r="AB261" i="52"/>
  <c r="X261" i="52"/>
  <c r="AD260" i="52"/>
  <c r="AC260" i="52"/>
  <c r="AB260" i="52"/>
  <c r="X260" i="52"/>
  <c r="AD259" i="52"/>
  <c r="AC259" i="52"/>
  <c r="AB259" i="52"/>
  <c r="X259" i="52"/>
  <c r="AD258" i="52"/>
  <c r="AC258" i="52"/>
  <c r="AB258" i="52"/>
  <c r="X258" i="52"/>
  <c r="AD257" i="52"/>
  <c r="AC257" i="52"/>
  <c r="AB257" i="52"/>
  <c r="X257" i="52"/>
  <c r="AD256" i="52"/>
  <c r="AC256" i="52"/>
  <c r="AB256" i="52"/>
  <c r="X256" i="52"/>
  <c r="AD255" i="52"/>
  <c r="AC255" i="52"/>
  <c r="AB255" i="52"/>
  <c r="X255" i="52"/>
  <c r="AD254" i="52"/>
  <c r="AC254" i="52"/>
  <c r="AB254" i="52"/>
  <c r="X254" i="52"/>
  <c r="AD253" i="52"/>
  <c r="AC253" i="52"/>
  <c r="AB253" i="52"/>
  <c r="X253" i="52"/>
  <c r="AD252" i="52"/>
  <c r="AC252" i="52"/>
  <c r="AB252" i="52"/>
  <c r="X252" i="52"/>
  <c r="AD251" i="52"/>
  <c r="AC251" i="52"/>
  <c r="AB251" i="52"/>
  <c r="X251" i="52"/>
  <c r="AD250" i="52"/>
  <c r="AC250" i="52"/>
  <c r="AB250" i="52"/>
  <c r="X250" i="52"/>
  <c r="AD249" i="52"/>
  <c r="AC249" i="52"/>
  <c r="AB249" i="52"/>
  <c r="X249" i="52"/>
  <c r="AD248" i="52"/>
  <c r="AC248" i="52"/>
  <c r="AB248" i="52"/>
  <c r="X248" i="52"/>
  <c r="AD247" i="52"/>
  <c r="AC247" i="52"/>
  <c r="AB247" i="52"/>
  <c r="X247" i="52"/>
  <c r="AD246" i="52"/>
  <c r="AC246" i="52"/>
  <c r="AB246" i="52"/>
  <c r="X246" i="52"/>
  <c r="AD245" i="52"/>
  <c r="AC245" i="52"/>
  <c r="AB245" i="52"/>
  <c r="X245" i="52"/>
  <c r="AD244" i="52"/>
  <c r="AC244" i="52"/>
  <c r="AB244" i="52"/>
  <c r="X244" i="52"/>
  <c r="AD243" i="52"/>
  <c r="AC243" i="52"/>
  <c r="AB243" i="52"/>
  <c r="X243" i="52"/>
  <c r="AD242" i="52"/>
  <c r="AC242" i="52"/>
  <c r="AB242" i="52"/>
  <c r="X242" i="52"/>
  <c r="AD241" i="52"/>
  <c r="AC241" i="52"/>
  <c r="AB241" i="52"/>
  <c r="X241" i="52"/>
  <c r="AD240" i="52"/>
  <c r="AC240" i="52"/>
  <c r="AB240" i="52"/>
  <c r="X240" i="52"/>
  <c r="AD239" i="52"/>
  <c r="AC239" i="52"/>
  <c r="AB239" i="52"/>
  <c r="X239" i="52"/>
  <c r="AD238" i="52"/>
  <c r="AC238" i="52"/>
  <c r="AB238" i="52"/>
  <c r="X238" i="52"/>
  <c r="AD237" i="52"/>
  <c r="AC237" i="52"/>
  <c r="AB237" i="52"/>
  <c r="X237" i="52"/>
  <c r="AD236" i="52"/>
  <c r="AC236" i="52"/>
  <c r="AB236" i="52"/>
  <c r="X236" i="52"/>
  <c r="AD235" i="52"/>
  <c r="AC235" i="52"/>
  <c r="AB235" i="52"/>
  <c r="X235" i="52"/>
  <c r="AD234" i="52"/>
  <c r="AC234" i="52"/>
  <c r="AB234" i="52"/>
  <c r="X234" i="52"/>
  <c r="AD233" i="52"/>
  <c r="AC233" i="52"/>
  <c r="AB233" i="52"/>
  <c r="X233" i="52"/>
  <c r="AD232" i="52"/>
  <c r="AC232" i="52"/>
  <c r="AB232" i="52"/>
  <c r="X232" i="52"/>
  <c r="AD231" i="52"/>
  <c r="AC231" i="52"/>
  <c r="AB231" i="52"/>
  <c r="X231" i="52"/>
  <c r="AD230" i="52"/>
  <c r="AC230" i="52"/>
  <c r="AB230" i="52"/>
  <c r="X230" i="52"/>
  <c r="AD229" i="52"/>
  <c r="AC229" i="52"/>
  <c r="AB229" i="52"/>
  <c r="X229" i="52"/>
  <c r="AD228" i="52"/>
  <c r="AC228" i="52"/>
  <c r="AB228" i="52"/>
  <c r="X228" i="52"/>
  <c r="AD227" i="52"/>
  <c r="AC227" i="52"/>
  <c r="AB227" i="52"/>
  <c r="X227" i="52"/>
  <c r="AD226" i="52"/>
  <c r="AC226" i="52"/>
  <c r="AB226" i="52"/>
  <c r="X226" i="52"/>
  <c r="AD225" i="52"/>
  <c r="AC225" i="52"/>
  <c r="AB225" i="52"/>
  <c r="X225" i="52"/>
  <c r="AD224" i="52"/>
  <c r="AC224" i="52"/>
  <c r="AB224" i="52"/>
  <c r="X224" i="52"/>
  <c r="AD223" i="52"/>
  <c r="AC223" i="52"/>
  <c r="AB223" i="52"/>
  <c r="X223" i="52"/>
  <c r="AD222" i="52"/>
  <c r="AC222" i="52"/>
  <c r="AB222" i="52"/>
  <c r="X222" i="52"/>
  <c r="AD221" i="52"/>
  <c r="AC221" i="52"/>
  <c r="AB221" i="52"/>
  <c r="X221" i="52"/>
  <c r="AD220" i="52"/>
  <c r="AC220" i="52"/>
  <c r="AB220" i="52"/>
  <c r="X220" i="52"/>
  <c r="AD219" i="52"/>
  <c r="AC219" i="52"/>
  <c r="AB219" i="52"/>
  <c r="X219" i="52"/>
  <c r="AD218" i="52"/>
  <c r="AC218" i="52"/>
  <c r="AB218" i="52"/>
  <c r="X218" i="52"/>
  <c r="AD217" i="52"/>
  <c r="AC217" i="52"/>
  <c r="AB217" i="52"/>
  <c r="X217" i="52"/>
  <c r="AD216" i="52"/>
  <c r="AC216" i="52"/>
  <c r="AB216" i="52"/>
  <c r="X216" i="52"/>
  <c r="AD215" i="52"/>
  <c r="AC215" i="52"/>
  <c r="AB215" i="52"/>
  <c r="X215" i="52"/>
  <c r="AD214" i="52"/>
  <c r="AC214" i="52"/>
  <c r="AB214" i="52"/>
  <c r="X214" i="52"/>
  <c r="AD213" i="52"/>
  <c r="AC213" i="52"/>
  <c r="AB213" i="52"/>
  <c r="X213" i="52"/>
  <c r="AD212" i="52"/>
  <c r="AC212" i="52"/>
  <c r="AB212" i="52"/>
  <c r="X212" i="52"/>
  <c r="AD211" i="52"/>
  <c r="AC211" i="52"/>
  <c r="AB211" i="52"/>
  <c r="X211" i="52"/>
  <c r="AD210" i="52"/>
  <c r="AC210" i="52"/>
  <c r="AB210" i="52"/>
  <c r="X210" i="52"/>
  <c r="AD209" i="52"/>
  <c r="AC209" i="52"/>
  <c r="AB209" i="52"/>
  <c r="X209" i="52"/>
  <c r="AD208" i="52"/>
  <c r="AC208" i="52"/>
  <c r="AB208" i="52"/>
  <c r="X208" i="52"/>
  <c r="AD207" i="52"/>
  <c r="AC207" i="52"/>
  <c r="AB207" i="52"/>
  <c r="X207" i="52"/>
  <c r="AD206" i="52"/>
  <c r="AC206" i="52"/>
  <c r="AB206" i="52"/>
  <c r="X206" i="52"/>
  <c r="AD205" i="52"/>
  <c r="AC205" i="52"/>
  <c r="AB205" i="52"/>
  <c r="X205" i="52"/>
  <c r="AD204" i="52"/>
  <c r="AC204" i="52"/>
  <c r="AB204" i="52"/>
  <c r="X204" i="52"/>
  <c r="AD203" i="52"/>
  <c r="AC203" i="52"/>
  <c r="AB203" i="52"/>
  <c r="X203" i="52"/>
  <c r="AD202" i="52"/>
  <c r="AC202" i="52"/>
  <c r="AB202" i="52"/>
  <c r="X202" i="52"/>
  <c r="AD201" i="52"/>
  <c r="AC201" i="52"/>
  <c r="AB201" i="52"/>
  <c r="X201" i="52"/>
  <c r="AD200" i="52"/>
  <c r="AC200" i="52"/>
  <c r="AB200" i="52"/>
  <c r="X200" i="52"/>
  <c r="AD199" i="52"/>
  <c r="AC199" i="52"/>
  <c r="AB199" i="52"/>
  <c r="X199" i="52"/>
  <c r="AD198" i="52"/>
  <c r="AC198" i="52"/>
  <c r="AB198" i="52"/>
  <c r="X198" i="52"/>
  <c r="AD197" i="52"/>
  <c r="AC197" i="52"/>
  <c r="AB197" i="52"/>
  <c r="X197" i="52"/>
  <c r="AD196" i="52"/>
  <c r="AC196" i="52"/>
  <c r="AB196" i="52"/>
  <c r="X196" i="52"/>
  <c r="AD195" i="52"/>
  <c r="AC195" i="52"/>
  <c r="AB195" i="52"/>
  <c r="X195" i="52"/>
  <c r="AD194" i="52"/>
  <c r="AC194" i="52"/>
  <c r="AB194" i="52"/>
  <c r="X194" i="52"/>
  <c r="AD193" i="52"/>
  <c r="AC193" i="52"/>
  <c r="AB193" i="52"/>
  <c r="X193" i="52"/>
  <c r="AD192" i="52"/>
  <c r="AC192" i="52"/>
  <c r="AB192" i="52"/>
  <c r="X192" i="52"/>
  <c r="AD191" i="52"/>
  <c r="AC191" i="52"/>
  <c r="AB191" i="52"/>
  <c r="X191" i="52"/>
  <c r="AD190" i="52"/>
  <c r="AC190" i="52"/>
  <c r="AB190" i="52"/>
  <c r="X190" i="52"/>
  <c r="AD189" i="52"/>
  <c r="AC189" i="52"/>
  <c r="AB189" i="52"/>
  <c r="X189" i="52"/>
  <c r="AD188" i="52"/>
  <c r="AC188" i="52"/>
  <c r="AB188" i="52"/>
  <c r="X188" i="52"/>
  <c r="AD187" i="52"/>
  <c r="AC187" i="52"/>
  <c r="AB187" i="52"/>
  <c r="X187" i="52"/>
  <c r="AD186" i="52"/>
  <c r="AC186" i="52"/>
  <c r="AB186" i="52"/>
  <c r="X186" i="52"/>
  <c r="AD185" i="52"/>
  <c r="AC185" i="52"/>
  <c r="AB185" i="52"/>
  <c r="X185" i="52"/>
  <c r="AD184" i="52"/>
  <c r="AC184" i="52"/>
  <c r="AB184" i="52"/>
  <c r="X184" i="52"/>
  <c r="AD183" i="52"/>
  <c r="AC183" i="52"/>
  <c r="AB183" i="52"/>
  <c r="X183" i="52"/>
  <c r="AD182" i="52"/>
  <c r="AC182" i="52"/>
  <c r="AB182" i="52"/>
  <c r="X182" i="52"/>
  <c r="AD181" i="52"/>
  <c r="AC181" i="52"/>
  <c r="AB181" i="52"/>
  <c r="X181" i="52"/>
  <c r="AD180" i="52"/>
  <c r="AC180" i="52"/>
  <c r="AB180" i="52"/>
  <c r="X180" i="52"/>
  <c r="AD179" i="52"/>
  <c r="AC179" i="52"/>
  <c r="AB179" i="52"/>
  <c r="X179" i="52"/>
  <c r="AD178" i="52"/>
  <c r="AC178" i="52"/>
  <c r="AB178" i="52"/>
  <c r="X178" i="52"/>
  <c r="AD177" i="52"/>
  <c r="AC177" i="52"/>
  <c r="AB177" i="52"/>
  <c r="X177" i="52"/>
  <c r="AD176" i="52"/>
  <c r="AC176" i="52"/>
  <c r="AB176" i="52"/>
  <c r="X176" i="52"/>
  <c r="AD175" i="52"/>
  <c r="AC175" i="52"/>
  <c r="AB175" i="52"/>
  <c r="X175" i="52"/>
  <c r="AD174" i="52"/>
  <c r="AC174" i="52"/>
  <c r="AB174" i="52"/>
  <c r="X174" i="52"/>
  <c r="AD173" i="52"/>
  <c r="AC173" i="52"/>
  <c r="AB173" i="52"/>
  <c r="X173" i="52"/>
  <c r="AD172" i="52"/>
  <c r="AC172" i="52"/>
  <c r="AB172" i="52"/>
  <c r="X172" i="52"/>
  <c r="AD171" i="52"/>
  <c r="AC171" i="52"/>
  <c r="AB171" i="52"/>
  <c r="X171" i="52"/>
  <c r="AD170" i="52"/>
  <c r="AC170" i="52"/>
  <c r="AB170" i="52"/>
  <c r="X170" i="52"/>
  <c r="AD169" i="52"/>
  <c r="AC169" i="52"/>
  <c r="AB169" i="52"/>
  <c r="X169" i="52"/>
  <c r="AD168" i="52"/>
  <c r="AC168" i="52"/>
  <c r="AB168" i="52"/>
  <c r="X168" i="52"/>
  <c r="AD167" i="52"/>
  <c r="AC167" i="52"/>
  <c r="AB167" i="52"/>
  <c r="X167" i="52"/>
  <c r="AD166" i="52"/>
  <c r="AC166" i="52"/>
  <c r="AB166" i="52"/>
  <c r="X166" i="52"/>
  <c r="AD165" i="52"/>
  <c r="AC165" i="52"/>
  <c r="AB165" i="52"/>
  <c r="X165" i="52"/>
  <c r="AD164" i="52"/>
  <c r="AC164" i="52"/>
  <c r="AB164" i="52"/>
  <c r="X164" i="52"/>
  <c r="AD163" i="52"/>
  <c r="AC163" i="52"/>
  <c r="AB163" i="52"/>
  <c r="X163" i="52"/>
  <c r="AD162" i="52"/>
  <c r="AC162" i="52"/>
  <c r="AB162" i="52"/>
  <c r="X162" i="52"/>
  <c r="AD161" i="52"/>
  <c r="AC161" i="52"/>
  <c r="AB161" i="52"/>
  <c r="X161" i="52"/>
  <c r="AD160" i="52"/>
  <c r="AC160" i="52"/>
  <c r="AB160" i="52"/>
  <c r="X160" i="52"/>
  <c r="AD159" i="52"/>
  <c r="AC159" i="52"/>
  <c r="AB159" i="52"/>
  <c r="X159" i="52"/>
  <c r="AD158" i="52"/>
  <c r="AC158" i="52"/>
  <c r="AB158" i="52"/>
  <c r="X158" i="52"/>
  <c r="AD157" i="52"/>
  <c r="AC157" i="52"/>
  <c r="AB157" i="52"/>
  <c r="X157" i="52"/>
  <c r="AD156" i="52"/>
  <c r="AC156" i="52"/>
  <c r="AB156" i="52"/>
  <c r="X156" i="52"/>
  <c r="AD155" i="52"/>
  <c r="AC155" i="52"/>
  <c r="AB155" i="52"/>
  <c r="X155" i="52"/>
  <c r="AD154" i="52"/>
  <c r="AC154" i="52"/>
  <c r="AB154" i="52"/>
  <c r="X154" i="52"/>
  <c r="AD153" i="52"/>
  <c r="AC153" i="52"/>
  <c r="AB153" i="52"/>
  <c r="X153" i="52"/>
  <c r="AD152" i="52"/>
  <c r="AC152" i="52"/>
  <c r="AB152" i="52"/>
  <c r="X152" i="52"/>
  <c r="AD151" i="52"/>
  <c r="AC151" i="52"/>
  <c r="AB151" i="52"/>
  <c r="X151" i="52"/>
  <c r="AD150" i="52"/>
  <c r="AC150" i="52"/>
  <c r="AB150" i="52"/>
  <c r="X150" i="52"/>
  <c r="AD149" i="52"/>
  <c r="AC149" i="52"/>
  <c r="AB149" i="52"/>
  <c r="X149" i="52"/>
  <c r="AD148" i="52"/>
  <c r="AC148" i="52"/>
  <c r="AB148" i="52"/>
  <c r="X148" i="52"/>
  <c r="AD147" i="52"/>
  <c r="AC147" i="52"/>
  <c r="AB147" i="52"/>
  <c r="X147" i="52"/>
  <c r="AD146" i="52"/>
  <c r="AC146" i="52"/>
  <c r="AB146" i="52"/>
  <c r="X146" i="52"/>
  <c r="AD145" i="52"/>
  <c r="AC145" i="52"/>
  <c r="AB145" i="52"/>
  <c r="X145" i="52"/>
  <c r="AD144" i="52"/>
  <c r="AC144" i="52"/>
  <c r="AB144" i="52"/>
  <c r="X144" i="52"/>
  <c r="AD143" i="52"/>
  <c r="AC143" i="52"/>
  <c r="AB143" i="52"/>
  <c r="X143" i="52"/>
  <c r="AD142" i="52"/>
  <c r="AC142" i="52"/>
  <c r="AB142" i="52"/>
  <c r="X142" i="52"/>
  <c r="AD141" i="52"/>
  <c r="AC141" i="52"/>
  <c r="AB141" i="52"/>
  <c r="X141" i="52"/>
  <c r="AD140" i="52"/>
  <c r="AC140" i="52"/>
  <c r="AB140" i="52"/>
  <c r="X140" i="52"/>
  <c r="AD139" i="52"/>
  <c r="AC139" i="52"/>
  <c r="AB139" i="52"/>
  <c r="X139" i="52"/>
  <c r="AD138" i="52"/>
  <c r="AC138" i="52"/>
  <c r="AB138" i="52"/>
  <c r="X138" i="52"/>
  <c r="AD137" i="52"/>
  <c r="AC137" i="52"/>
  <c r="AB137" i="52"/>
  <c r="X137" i="52"/>
  <c r="AD136" i="52"/>
  <c r="AC136" i="52"/>
  <c r="AB136" i="52"/>
  <c r="X136" i="52"/>
  <c r="AD135" i="52"/>
  <c r="AC135" i="52"/>
  <c r="AB135" i="52"/>
  <c r="X135" i="52"/>
  <c r="AD134" i="52"/>
  <c r="AC134" i="52"/>
  <c r="AB134" i="52"/>
  <c r="X134" i="52"/>
  <c r="AD133" i="52"/>
  <c r="AC133" i="52"/>
  <c r="AB133" i="52"/>
  <c r="X133" i="52"/>
  <c r="AD132" i="52"/>
  <c r="AC132" i="52"/>
  <c r="AB132" i="52"/>
  <c r="X132" i="52"/>
  <c r="AD131" i="52"/>
  <c r="AC131" i="52"/>
  <c r="AB131" i="52"/>
  <c r="X131" i="52"/>
  <c r="AD130" i="52"/>
  <c r="AC130" i="52"/>
  <c r="AB130" i="52"/>
  <c r="X130" i="52"/>
  <c r="AD129" i="52"/>
  <c r="AC129" i="52"/>
  <c r="AB129" i="52"/>
  <c r="X129" i="52"/>
  <c r="AD128" i="52"/>
  <c r="AC128" i="52"/>
  <c r="AB128" i="52"/>
  <c r="X128" i="52"/>
  <c r="AD127" i="52"/>
  <c r="AC127" i="52"/>
  <c r="AB127" i="52"/>
  <c r="X127" i="52"/>
  <c r="AD126" i="52"/>
  <c r="AC126" i="52"/>
  <c r="AB126" i="52"/>
  <c r="X126" i="52"/>
  <c r="AD125" i="52"/>
  <c r="AC125" i="52"/>
  <c r="AB125" i="52"/>
  <c r="X125" i="52"/>
  <c r="AD124" i="52"/>
  <c r="AC124" i="52"/>
  <c r="AB124" i="52"/>
  <c r="X124" i="52"/>
  <c r="AD123" i="52"/>
  <c r="AC123" i="52"/>
  <c r="AB123" i="52"/>
  <c r="X123" i="52"/>
  <c r="AD122" i="52"/>
  <c r="AC122" i="52"/>
  <c r="AB122" i="52"/>
  <c r="X122" i="52"/>
  <c r="AD121" i="52"/>
  <c r="AC121" i="52"/>
  <c r="AB121" i="52"/>
  <c r="X121" i="52"/>
  <c r="AD120" i="52"/>
  <c r="AC120" i="52"/>
  <c r="AB120" i="52"/>
  <c r="X120" i="52"/>
  <c r="AD119" i="52"/>
  <c r="AC119" i="52"/>
  <c r="AB119" i="52"/>
  <c r="X119" i="52"/>
  <c r="AD118" i="52"/>
  <c r="AC118" i="52"/>
  <c r="AB118" i="52"/>
  <c r="X118" i="52"/>
  <c r="AD117" i="52"/>
  <c r="AC117" i="52"/>
  <c r="AB117" i="52"/>
  <c r="X117" i="52"/>
  <c r="AD116" i="52"/>
  <c r="AC116" i="52"/>
  <c r="AB116" i="52"/>
  <c r="X116" i="52"/>
  <c r="AD115" i="52"/>
  <c r="AC115" i="52"/>
  <c r="AB115" i="52"/>
  <c r="X115" i="52"/>
  <c r="AD114" i="52"/>
  <c r="AC114" i="52"/>
  <c r="AB114" i="52"/>
  <c r="X114" i="52"/>
  <c r="AD113" i="52"/>
  <c r="AC113" i="52"/>
  <c r="AB113" i="52"/>
  <c r="X113" i="52"/>
  <c r="AD112" i="52"/>
  <c r="AC112" i="52"/>
  <c r="AB112" i="52"/>
  <c r="X112" i="52"/>
  <c r="AD111" i="52"/>
  <c r="AC111" i="52"/>
  <c r="AB111" i="52"/>
  <c r="X111" i="52"/>
  <c r="AD110" i="52"/>
  <c r="AC110" i="52"/>
  <c r="AB110" i="52"/>
  <c r="X110" i="52"/>
  <c r="AD109" i="52"/>
  <c r="AC109" i="52"/>
  <c r="AB109" i="52"/>
  <c r="X109" i="52"/>
  <c r="AD108" i="52"/>
  <c r="AC108" i="52"/>
  <c r="AB108" i="52"/>
  <c r="X108" i="52"/>
  <c r="AD107" i="52"/>
  <c r="AC107" i="52"/>
  <c r="AB107" i="52"/>
  <c r="X107" i="52"/>
  <c r="AD106" i="52"/>
  <c r="AC106" i="52"/>
  <c r="AB106" i="52"/>
  <c r="X106" i="52"/>
  <c r="AD105" i="52"/>
  <c r="AC105" i="52"/>
  <c r="AB105" i="52"/>
  <c r="X105" i="52"/>
  <c r="AD104" i="52"/>
  <c r="AC104" i="52"/>
  <c r="AB104" i="52"/>
  <c r="X104" i="52"/>
  <c r="AD103" i="52"/>
  <c r="AC103" i="52"/>
  <c r="AB103" i="52"/>
  <c r="X103" i="52"/>
  <c r="AD102" i="52"/>
  <c r="AC102" i="52"/>
  <c r="AB102" i="52"/>
  <c r="X102" i="52"/>
  <c r="AD101" i="52"/>
  <c r="AC101" i="52"/>
  <c r="AB101" i="52"/>
  <c r="X101" i="52"/>
  <c r="AD100" i="52"/>
  <c r="AC100" i="52"/>
  <c r="AB100" i="52"/>
  <c r="X100" i="52"/>
  <c r="AD99" i="52"/>
  <c r="AC99" i="52"/>
  <c r="AB99" i="52"/>
  <c r="X99" i="52"/>
  <c r="AD98" i="52"/>
  <c r="AC98" i="52"/>
  <c r="AB98" i="52"/>
  <c r="X98" i="52"/>
  <c r="AD97" i="52"/>
  <c r="AC97" i="52"/>
  <c r="AB97" i="52"/>
  <c r="X97" i="52"/>
  <c r="AD96" i="52"/>
  <c r="AC96" i="52"/>
  <c r="AB96" i="52"/>
  <c r="X96" i="52"/>
  <c r="AD95" i="52"/>
  <c r="AC95" i="52"/>
  <c r="AB95" i="52"/>
  <c r="X95" i="52"/>
  <c r="AD94" i="52"/>
  <c r="AC94" i="52"/>
  <c r="AB94" i="52"/>
  <c r="X94" i="52"/>
  <c r="AD93" i="52"/>
  <c r="AC93" i="52"/>
  <c r="AB93" i="52"/>
  <c r="X93" i="52"/>
  <c r="AD92" i="52"/>
  <c r="AC92" i="52"/>
  <c r="AB92" i="52"/>
  <c r="X92" i="52"/>
  <c r="AD91" i="52"/>
  <c r="AC91" i="52"/>
  <c r="AB91" i="52"/>
  <c r="X91" i="52"/>
  <c r="AD90" i="52"/>
  <c r="AC90" i="52"/>
  <c r="AB90" i="52"/>
  <c r="X90" i="52"/>
  <c r="AD89" i="52"/>
  <c r="AC89" i="52"/>
  <c r="AB89" i="52"/>
  <c r="X89" i="52"/>
  <c r="AD88" i="52"/>
  <c r="AC88" i="52"/>
  <c r="AB88" i="52"/>
  <c r="X88" i="52"/>
  <c r="AD87" i="52"/>
  <c r="AC87" i="52"/>
  <c r="AB87" i="52"/>
  <c r="X87" i="52"/>
  <c r="AD86" i="52"/>
  <c r="AC86" i="52"/>
  <c r="AB86" i="52"/>
  <c r="X86" i="52"/>
  <c r="AD85" i="52"/>
  <c r="AC85" i="52"/>
  <c r="AB85" i="52"/>
  <c r="X85" i="52"/>
  <c r="AD84" i="52"/>
  <c r="AC84" i="52"/>
  <c r="AB84" i="52"/>
  <c r="X84" i="52"/>
  <c r="AD83" i="52"/>
  <c r="AC83" i="52"/>
  <c r="AB83" i="52"/>
  <c r="X83" i="52"/>
  <c r="AD82" i="52"/>
  <c r="AC82" i="52"/>
  <c r="AB82" i="52"/>
  <c r="X82" i="52"/>
  <c r="AD81" i="52"/>
  <c r="AC81" i="52"/>
  <c r="AB81" i="52"/>
  <c r="X81" i="52"/>
  <c r="AD80" i="52"/>
  <c r="AC80" i="52"/>
  <c r="AB80" i="52"/>
  <c r="X80" i="52"/>
  <c r="AD79" i="52"/>
  <c r="AC79" i="52"/>
  <c r="AB79" i="52"/>
  <c r="X79" i="52"/>
  <c r="AD78" i="52"/>
  <c r="AC78" i="52"/>
  <c r="AB78" i="52"/>
  <c r="X78" i="52"/>
  <c r="AD77" i="52"/>
  <c r="AC77" i="52"/>
  <c r="AB77" i="52"/>
  <c r="X77" i="52"/>
  <c r="AD76" i="52"/>
  <c r="AC76" i="52"/>
  <c r="AB76" i="52"/>
  <c r="X76" i="52"/>
  <c r="AD75" i="52"/>
  <c r="AC75" i="52"/>
  <c r="AB75" i="52"/>
  <c r="X75" i="52"/>
  <c r="AD74" i="52"/>
  <c r="AC74" i="52"/>
  <c r="AB74" i="52"/>
  <c r="X74" i="52"/>
  <c r="AD73" i="52"/>
  <c r="AC73" i="52"/>
  <c r="AB73" i="52"/>
  <c r="X73" i="52"/>
  <c r="AD72" i="52"/>
  <c r="AC72" i="52"/>
  <c r="AB72" i="52"/>
  <c r="X72" i="52"/>
  <c r="AD71" i="52"/>
  <c r="AC71" i="52"/>
  <c r="AB71" i="52"/>
  <c r="X71" i="52"/>
  <c r="AD70" i="52"/>
  <c r="AC70" i="52"/>
  <c r="AB70" i="52"/>
  <c r="X70" i="52"/>
  <c r="AD69" i="52"/>
  <c r="AC69" i="52"/>
  <c r="AB69" i="52"/>
  <c r="X69" i="52"/>
  <c r="AD68" i="52"/>
  <c r="AC68" i="52"/>
  <c r="AB68" i="52"/>
  <c r="X68" i="52"/>
  <c r="AD67" i="52"/>
  <c r="AC67" i="52"/>
  <c r="AB67" i="52"/>
  <c r="X67" i="52"/>
  <c r="AD66" i="52"/>
  <c r="AC66" i="52"/>
  <c r="AB66" i="52"/>
  <c r="X66" i="52"/>
  <c r="AD65" i="52"/>
  <c r="AC65" i="52"/>
  <c r="AB65" i="52"/>
  <c r="X65" i="52"/>
  <c r="AD64" i="52"/>
  <c r="AC64" i="52"/>
  <c r="AB64" i="52"/>
  <c r="X64" i="52"/>
  <c r="AD63" i="52"/>
  <c r="AC63" i="52"/>
  <c r="AB63" i="52"/>
  <c r="X63" i="52"/>
  <c r="AD62" i="52"/>
  <c r="AC62" i="52"/>
  <c r="AB62" i="52"/>
  <c r="X62" i="52"/>
  <c r="AD61" i="52"/>
  <c r="AC61" i="52"/>
  <c r="AB61" i="52"/>
  <c r="X61" i="52"/>
  <c r="AD60" i="52"/>
  <c r="AC60" i="52"/>
  <c r="AB60" i="52"/>
  <c r="X60" i="52"/>
  <c r="AD59" i="52"/>
  <c r="AC59" i="52"/>
  <c r="AB59" i="52"/>
  <c r="X59" i="52"/>
  <c r="AD58" i="52"/>
  <c r="AC58" i="52"/>
  <c r="AB58" i="52"/>
  <c r="X58" i="52"/>
  <c r="AD57" i="52"/>
  <c r="AC57" i="52"/>
  <c r="AB57" i="52"/>
  <c r="X57" i="52"/>
  <c r="AD56" i="52"/>
  <c r="AC56" i="52"/>
  <c r="AB56" i="52"/>
  <c r="X56" i="52"/>
  <c r="AD55" i="52"/>
  <c r="AC55" i="52"/>
  <c r="AB55" i="52"/>
  <c r="X55" i="52"/>
  <c r="AD54" i="52"/>
  <c r="AC54" i="52"/>
  <c r="AB54" i="52"/>
  <c r="X54" i="52"/>
  <c r="AD53" i="52"/>
  <c r="AC53" i="52"/>
  <c r="AB53" i="52"/>
  <c r="X53" i="52"/>
  <c r="AD52" i="52"/>
  <c r="AC52" i="52"/>
  <c r="AB52" i="52"/>
  <c r="X52" i="52"/>
  <c r="AD51" i="52"/>
  <c r="AC51" i="52"/>
  <c r="AB51" i="52"/>
  <c r="X51" i="52"/>
  <c r="AD50" i="52"/>
  <c r="AC50" i="52"/>
  <c r="AB50" i="52"/>
  <c r="X50" i="52"/>
  <c r="AD49" i="52"/>
  <c r="AC49" i="52"/>
  <c r="AB49" i="52"/>
  <c r="X49" i="52"/>
  <c r="AD48" i="52"/>
  <c r="AC48" i="52"/>
  <c r="AB48" i="52"/>
  <c r="X48" i="52"/>
  <c r="AD47" i="52"/>
  <c r="AC47" i="52"/>
  <c r="AB47" i="52"/>
  <c r="X47" i="52"/>
  <c r="AD46" i="52"/>
  <c r="AC46" i="52"/>
  <c r="AB46" i="52"/>
  <c r="X46" i="52"/>
  <c r="AD45" i="52"/>
  <c r="AC45" i="52"/>
  <c r="AB45" i="52"/>
  <c r="X45" i="52"/>
  <c r="AD44" i="52"/>
  <c r="AC44" i="52"/>
  <c r="AB44" i="52"/>
  <c r="X44" i="52"/>
  <c r="AD43" i="52"/>
  <c r="AC43" i="52"/>
  <c r="AB43" i="52"/>
  <c r="X43" i="52"/>
  <c r="AD42" i="52"/>
  <c r="AC42" i="52"/>
  <c r="AB42" i="52"/>
  <c r="X42" i="52"/>
  <c r="AD41" i="52"/>
  <c r="AC41" i="52"/>
  <c r="AB41" i="52"/>
  <c r="X41" i="52"/>
  <c r="AD40" i="52"/>
  <c r="AC40" i="52"/>
  <c r="AB40" i="52"/>
  <c r="X40" i="52"/>
  <c r="AD39" i="52"/>
  <c r="AC39" i="52"/>
  <c r="AB39" i="52"/>
  <c r="X39" i="52"/>
  <c r="AD38" i="52"/>
  <c r="AC38" i="52"/>
  <c r="AB38" i="52"/>
  <c r="X38" i="52"/>
  <c r="AD37" i="52"/>
  <c r="AC37" i="52"/>
  <c r="AB37" i="52"/>
  <c r="X37" i="52"/>
  <c r="AD36" i="52"/>
  <c r="AC36" i="52"/>
  <c r="AB36" i="52"/>
  <c r="X36" i="52"/>
  <c r="AD35" i="52"/>
  <c r="AC35" i="52"/>
  <c r="AB35" i="52"/>
  <c r="X35" i="52"/>
  <c r="AD34" i="52"/>
  <c r="AC34" i="52"/>
  <c r="AB34" i="52"/>
  <c r="X34" i="52"/>
  <c r="AD33" i="52"/>
  <c r="AC33" i="52"/>
  <c r="AB33" i="52"/>
  <c r="X33" i="52"/>
  <c r="AD32" i="52"/>
  <c r="AC32" i="52"/>
  <c r="AB32" i="52"/>
  <c r="X32" i="52"/>
  <c r="AD31" i="52"/>
  <c r="AC31" i="52"/>
  <c r="AB31" i="52"/>
  <c r="X31" i="52"/>
  <c r="AD30" i="52"/>
  <c r="AC30" i="52"/>
  <c r="AB30" i="52"/>
  <c r="X30" i="52"/>
  <c r="AD29" i="52"/>
  <c r="AC29" i="52"/>
  <c r="AB29" i="52"/>
  <c r="X29" i="52"/>
  <c r="AD28" i="52"/>
  <c r="AC28" i="52"/>
  <c r="AB28" i="52"/>
  <c r="X28" i="52"/>
  <c r="AD27" i="52"/>
  <c r="AC27" i="52"/>
  <c r="AB27" i="52"/>
  <c r="X27" i="52"/>
  <c r="AD26" i="52"/>
  <c r="AC26" i="52"/>
  <c r="AB26" i="52"/>
  <c r="X26" i="52"/>
  <c r="AD25" i="52"/>
  <c r="AC25" i="52"/>
  <c r="AB25" i="52"/>
  <c r="X25" i="52"/>
  <c r="AD24" i="52"/>
  <c r="AC24" i="52"/>
  <c r="AB24" i="52"/>
  <c r="X24" i="52"/>
  <c r="AD23" i="52"/>
  <c r="AC23" i="52"/>
  <c r="AB23" i="52"/>
  <c r="X23" i="52"/>
  <c r="AD22" i="52"/>
  <c r="AC22" i="52"/>
  <c r="AB22" i="52"/>
  <c r="X22" i="52"/>
  <c r="AD21" i="52"/>
  <c r="AC21" i="52"/>
  <c r="AB21" i="52"/>
  <c r="X21" i="52"/>
  <c r="AD20" i="52"/>
  <c r="AC20" i="52"/>
  <c r="AB20" i="52"/>
  <c r="X20" i="52"/>
  <c r="AD19" i="52"/>
  <c r="AC19" i="52"/>
  <c r="AB19" i="52"/>
  <c r="X19" i="52"/>
  <c r="AD18" i="52"/>
  <c r="AC18" i="52"/>
  <c r="AB18" i="52"/>
  <c r="X18" i="52"/>
  <c r="AD17" i="52"/>
  <c r="AC17" i="52"/>
  <c r="AB17" i="52"/>
  <c r="X17" i="52"/>
  <c r="AD16" i="52"/>
  <c r="AC16" i="52"/>
  <c r="AB16" i="52"/>
  <c r="X16" i="52"/>
  <c r="AD15" i="52"/>
  <c r="AC15" i="52"/>
  <c r="AB15" i="52"/>
  <c r="X15" i="52"/>
  <c r="AD14" i="52"/>
  <c r="AC14" i="52"/>
  <c r="AB14" i="52"/>
  <c r="X14" i="52"/>
  <c r="AD13" i="52"/>
  <c r="AC13" i="52"/>
  <c r="AB13" i="52"/>
  <c r="X13" i="52"/>
  <c r="AD12" i="52"/>
  <c r="AC12" i="52"/>
  <c r="AB12" i="52"/>
  <c r="X12" i="52"/>
  <c r="AD11" i="52"/>
  <c r="AC11" i="52"/>
  <c r="AB11" i="52"/>
  <c r="X11" i="52"/>
  <c r="AD10" i="52"/>
  <c r="AC10" i="52"/>
  <c r="AB10" i="52"/>
  <c r="X10" i="52"/>
  <c r="AD9" i="52"/>
  <c r="AC9" i="52"/>
  <c r="AB9" i="52"/>
  <c r="X9" i="52"/>
  <c r="AD8" i="52"/>
  <c r="AC8" i="52"/>
  <c r="AB8" i="52"/>
  <c r="X8" i="52"/>
  <c r="AD7" i="52"/>
  <c r="AC7" i="52"/>
  <c r="AB7" i="52"/>
  <c r="X7" i="52"/>
  <c r="AD6" i="52"/>
  <c r="AC6" i="52"/>
  <c r="AB6" i="52"/>
  <c r="X6" i="52"/>
  <c r="AD5" i="52"/>
  <c r="AC5" i="52"/>
  <c r="AB5" i="52"/>
  <c r="X5" i="52"/>
  <c r="AD4" i="52"/>
  <c r="AC4" i="52"/>
  <c r="AB4" i="52"/>
  <c r="X4" i="52"/>
  <c r="AD3" i="52"/>
  <c r="AC3" i="52"/>
  <c r="AB3" i="52"/>
  <c r="X3" i="52"/>
  <c r="AD2" i="52"/>
  <c r="AC2" i="52"/>
  <c r="AB2" i="52"/>
  <c r="X2" i="52"/>
  <c r="AE1" i="52"/>
  <c r="AB1" i="52"/>
  <c r="Y1" i="52"/>
  <c r="X2" i="10"/>
  <c r="AD699" i="49"/>
  <c r="AC699" i="49"/>
  <c r="AB699" i="49"/>
  <c r="X699" i="49"/>
  <c r="AD698" i="49"/>
  <c r="AC698" i="49"/>
  <c r="AB698" i="49"/>
  <c r="X698" i="49"/>
  <c r="AD697" i="49"/>
  <c r="AC697" i="49"/>
  <c r="AB697" i="49"/>
  <c r="X697" i="49"/>
  <c r="AD696" i="49"/>
  <c r="AC696" i="49"/>
  <c r="AB696" i="49"/>
  <c r="X696" i="49"/>
  <c r="AD695" i="49"/>
  <c r="AC695" i="49"/>
  <c r="AB695" i="49"/>
  <c r="X695" i="49"/>
  <c r="AD694" i="49"/>
  <c r="AC694" i="49"/>
  <c r="AB694" i="49"/>
  <c r="X694" i="49"/>
  <c r="AD693" i="49"/>
  <c r="AC693" i="49"/>
  <c r="AB693" i="49"/>
  <c r="X693" i="49"/>
  <c r="AD692" i="49"/>
  <c r="AC692" i="49"/>
  <c r="AB692" i="49"/>
  <c r="X692" i="49"/>
  <c r="AD691" i="49"/>
  <c r="AC691" i="49"/>
  <c r="AB691" i="49"/>
  <c r="X691" i="49"/>
  <c r="AD690" i="49"/>
  <c r="AC690" i="49"/>
  <c r="AB690" i="49"/>
  <c r="X690" i="49"/>
  <c r="AD689" i="49"/>
  <c r="AC689" i="49"/>
  <c r="AB689" i="49"/>
  <c r="X689" i="49"/>
  <c r="AD688" i="49"/>
  <c r="AC688" i="49"/>
  <c r="AB688" i="49"/>
  <c r="X688" i="49"/>
  <c r="AD687" i="49"/>
  <c r="AC687" i="49"/>
  <c r="AB687" i="49"/>
  <c r="X687" i="49"/>
  <c r="AD686" i="49"/>
  <c r="AC686" i="49"/>
  <c r="AB686" i="49"/>
  <c r="X686" i="49"/>
  <c r="AD685" i="49"/>
  <c r="AC685" i="49"/>
  <c r="AB685" i="49"/>
  <c r="X685" i="49"/>
  <c r="AD684" i="49"/>
  <c r="AC684" i="49"/>
  <c r="AB684" i="49"/>
  <c r="X684" i="49"/>
  <c r="AD683" i="49"/>
  <c r="AC683" i="49"/>
  <c r="AB683" i="49"/>
  <c r="X683" i="49"/>
  <c r="AD682" i="49"/>
  <c r="AC682" i="49"/>
  <c r="AB682" i="49"/>
  <c r="X682" i="49"/>
  <c r="AD681" i="49"/>
  <c r="AC681" i="49"/>
  <c r="AB681" i="49"/>
  <c r="X681" i="49"/>
  <c r="AD680" i="49"/>
  <c r="AC680" i="49"/>
  <c r="AB680" i="49"/>
  <c r="X680" i="49"/>
  <c r="AD679" i="49"/>
  <c r="AC679" i="49"/>
  <c r="AB679" i="49"/>
  <c r="X679" i="49"/>
  <c r="AD678" i="49"/>
  <c r="AC678" i="49"/>
  <c r="AB678" i="49"/>
  <c r="X678" i="49"/>
  <c r="AD677" i="49"/>
  <c r="AC677" i="49"/>
  <c r="AB677" i="49"/>
  <c r="X677" i="49"/>
  <c r="AD676" i="49"/>
  <c r="AC676" i="49"/>
  <c r="AB676" i="49"/>
  <c r="X676" i="49"/>
  <c r="AD675" i="49"/>
  <c r="AC675" i="49"/>
  <c r="AB675" i="49"/>
  <c r="X675" i="49"/>
  <c r="AD674" i="49"/>
  <c r="AC674" i="49"/>
  <c r="AB674" i="49"/>
  <c r="X674" i="49"/>
  <c r="AD673" i="49"/>
  <c r="AC673" i="49"/>
  <c r="AB673" i="49"/>
  <c r="X673" i="49"/>
  <c r="AD672" i="49"/>
  <c r="AC672" i="49"/>
  <c r="AB672" i="49"/>
  <c r="X672" i="49"/>
  <c r="AD671" i="49"/>
  <c r="AC671" i="49"/>
  <c r="AB671" i="49"/>
  <c r="X671" i="49"/>
  <c r="AD670" i="49"/>
  <c r="AC670" i="49"/>
  <c r="AB670" i="49"/>
  <c r="X670" i="49"/>
  <c r="AD669" i="49"/>
  <c r="AC669" i="49"/>
  <c r="AB669" i="49"/>
  <c r="X669" i="49"/>
  <c r="AD668" i="49"/>
  <c r="AC668" i="49"/>
  <c r="AB668" i="49"/>
  <c r="X668" i="49"/>
  <c r="AD667" i="49"/>
  <c r="AC667" i="49"/>
  <c r="AB667" i="49"/>
  <c r="X667" i="49"/>
  <c r="AD666" i="49"/>
  <c r="AC666" i="49"/>
  <c r="AB666" i="49"/>
  <c r="X666" i="49"/>
  <c r="AD665" i="49"/>
  <c r="AC665" i="49"/>
  <c r="AB665" i="49"/>
  <c r="X665" i="49"/>
  <c r="AD664" i="49"/>
  <c r="AC664" i="49"/>
  <c r="AB664" i="49"/>
  <c r="X664" i="49"/>
  <c r="AD663" i="49"/>
  <c r="AC663" i="49"/>
  <c r="AB663" i="49"/>
  <c r="X663" i="49"/>
  <c r="AD662" i="49"/>
  <c r="AC662" i="49"/>
  <c r="AB662" i="49"/>
  <c r="X662" i="49"/>
  <c r="AD661" i="49"/>
  <c r="AC661" i="49"/>
  <c r="AB661" i="49"/>
  <c r="X661" i="49"/>
  <c r="AD660" i="49"/>
  <c r="AC660" i="49"/>
  <c r="AB660" i="49"/>
  <c r="X660" i="49"/>
  <c r="AD659" i="49"/>
  <c r="AC659" i="49"/>
  <c r="AB659" i="49"/>
  <c r="X659" i="49"/>
  <c r="AD658" i="49"/>
  <c r="AC658" i="49"/>
  <c r="AB658" i="49"/>
  <c r="X658" i="49"/>
  <c r="AD657" i="49"/>
  <c r="AC657" i="49"/>
  <c r="AB657" i="49"/>
  <c r="X657" i="49"/>
  <c r="AD656" i="49"/>
  <c r="AC656" i="49"/>
  <c r="AB656" i="49"/>
  <c r="X656" i="49"/>
  <c r="AD655" i="49"/>
  <c r="AC655" i="49"/>
  <c r="AB655" i="49"/>
  <c r="X655" i="49"/>
  <c r="AD654" i="49"/>
  <c r="AC654" i="49"/>
  <c r="AB654" i="49"/>
  <c r="X654" i="49"/>
  <c r="AD653" i="49"/>
  <c r="AC653" i="49"/>
  <c r="AB653" i="49"/>
  <c r="X653" i="49"/>
  <c r="AD652" i="49"/>
  <c r="AC652" i="49"/>
  <c r="AB652" i="49"/>
  <c r="X652" i="49"/>
  <c r="AD651" i="49"/>
  <c r="AC651" i="49"/>
  <c r="AB651" i="49"/>
  <c r="X651" i="49"/>
  <c r="AD650" i="49"/>
  <c r="AC650" i="49"/>
  <c r="AB650" i="49"/>
  <c r="X650" i="49"/>
  <c r="AD649" i="49"/>
  <c r="AC649" i="49"/>
  <c r="AB649" i="49"/>
  <c r="X649" i="49"/>
  <c r="AD648" i="49"/>
  <c r="AC648" i="49"/>
  <c r="AB648" i="49"/>
  <c r="X648" i="49"/>
  <c r="AD647" i="49"/>
  <c r="AC647" i="49"/>
  <c r="AB647" i="49"/>
  <c r="X647" i="49"/>
  <c r="AD646" i="49"/>
  <c r="AC646" i="49"/>
  <c r="AB646" i="49"/>
  <c r="X646" i="49"/>
  <c r="AD645" i="49"/>
  <c r="AC645" i="49"/>
  <c r="AB645" i="49"/>
  <c r="X645" i="49"/>
  <c r="AD644" i="49"/>
  <c r="AC644" i="49"/>
  <c r="AB644" i="49"/>
  <c r="X644" i="49"/>
  <c r="AD643" i="49"/>
  <c r="AC643" i="49"/>
  <c r="AB643" i="49"/>
  <c r="X643" i="49"/>
  <c r="AD642" i="49"/>
  <c r="AC642" i="49"/>
  <c r="AB642" i="49"/>
  <c r="X642" i="49"/>
  <c r="AD641" i="49"/>
  <c r="AC641" i="49"/>
  <c r="AB641" i="49"/>
  <c r="X641" i="49"/>
  <c r="AD640" i="49"/>
  <c r="AC640" i="49"/>
  <c r="AB640" i="49"/>
  <c r="X640" i="49"/>
  <c r="AD639" i="49"/>
  <c r="AC639" i="49"/>
  <c r="AB639" i="49"/>
  <c r="X639" i="49"/>
  <c r="AD638" i="49"/>
  <c r="AC638" i="49"/>
  <c r="AB638" i="49"/>
  <c r="X638" i="49"/>
  <c r="AD637" i="49"/>
  <c r="AC637" i="49"/>
  <c r="AB637" i="49"/>
  <c r="X637" i="49"/>
  <c r="AD636" i="49"/>
  <c r="AC636" i="49"/>
  <c r="AB636" i="49"/>
  <c r="X636" i="49"/>
  <c r="AD635" i="49"/>
  <c r="AC635" i="49"/>
  <c r="AB635" i="49"/>
  <c r="X635" i="49"/>
  <c r="AD634" i="49"/>
  <c r="AC634" i="49"/>
  <c r="AB634" i="49"/>
  <c r="X634" i="49"/>
  <c r="AD633" i="49"/>
  <c r="AC633" i="49"/>
  <c r="AB633" i="49"/>
  <c r="X633" i="49"/>
  <c r="AD632" i="49"/>
  <c r="AC632" i="49"/>
  <c r="AB632" i="49"/>
  <c r="X632" i="49"/>
  <c r="AD631" i="49"/>
  <c r="AC631" i="49"/>
  <c r="AB631" i="49"/>
  <c r="X631" i="49"/>
  <c r="AD630" i="49"/>
  <c r="AC630" i="49"/>
  <c r="AB630" i="49"/>
  <c r="X630" i="49"/>
  <c r="AD629" i="49"/>
  <c r="AC629" i="49"/>
  <c r="AB629" i="49"/>
  <c r="X629" i="49"/>
  <c r="AD628" i="49"/>
  <c r="AC628" i="49"/>
  <c r="AB628" i="49"/>
  <c r="X628" i="49"/>
  <c r="AD627" i="49"/>
  <c r="AC627" i="49"/>
  <c r="AB627" i="49"/>
  <c r="X627" i="49"/>
  <c r="AD626" i="49"/>
  <c r="AC626" i="49"/>
  <c r="AB626" i="49"/>
  <c r="X626" i="49"/>
  <c r="AD625" i="49"/>
  <c r="AC625" i="49"/>
  <c r="AB625" i="49"/>
  <c r="X625" i="49"/>
  <c r="AD624" i="49"/>
  <c r="AC624" i="49"/>
  <c r="AB624" i="49"/>
  <c r="X624" i="49"/>
  <c r="AD623" i="49"/>
  <c r="AC623" i="49"/>
  <c r="AB623" i="49"/>
  <c r="X623" i="49"/>
  <c r="AD622" i="49"/>
  <c r="AC622" i="49"/>
  <c r="AB622" i="49"/>
  <c r="X622" i="49"/>
  <c r="AD621" i="49"/>
  <c r="AC621" i="49"/>
  <c r="AB621" i="49"/>
  <c r="X621" i="49"/>
  <c r="AD620" i="49"/>
  <c r="AC620" i="49"/>
  <c r="AB620" i="49"/>
  <c r="X620" i="49"/>
  <c r="AD619" i="49"/>
  <c r="AC619" i="49"/>
  <c r="AB619" i="49"/>
  <c r="X619" i="49"/>
  <c r="AD618" i="49"/>
  <c r="AC618" i="49"/>
  <c r="AB618" i="49"/>
  <c r="X618" i="49"/>
  <c r="AD617" i="49"/>
  <c r="AC617" i="49"/>
  <c r="AB617" i="49"/>
  <c r="X617" i="49"/>
  <c r="AD616" i="49"/>
  <c r="AC616" i="49"/>
  <c r="AB616" i="49"/>
  <c r="X616" i="49"/>
  <c r="AD615" i="49"/>
  <c r="AC615" i="49"/>
  <c r="AB615" i="49"/>
  <c r="X615" i="49"/>
  <c r="AD614" i="49"/>
  <c r="AC614" i="49"/>
  <c r="AB614" i="49"/>
  <c r="X614" i="49"/>
  <c r="AD613" i="49"/>
  <c r="AC613" i="49"/>
  <c r="AB613" i="49"/>
  <c r="X613" i="49"/>
  <c r="AD612" i="49"/>
  <c r="AC612" i="49"/>
  <c r="AB612" i="49"/>
  <c r="X612" i="49"/>
  <c r="AD611" i="49"/>
  <c r="AC611" i="49"/>
  <c r="AB611" i="49"/>
  <c r="X611" i="49"/>
  <c r="AD610" i="49"/>
  <c r="AC610" i="49"/>
  <c r="AB610" i="49"/>
  <c r="X610" i="49"/>
  <c r="AD609" i="49"/>
  <c r="AC609" i="49"/>
  <c r="AB609" i="49"/>
  <c r="X609" i="49"/>
  <c r="AD608" i="49"/>
  <c r="AC608" i="49"/>
  <c r="AB608" i="49"/>
  <c r="X608" i="49"/>
  <c r="AD607" i="49"/>
  <c r="AC607" i="49"/>
  <c r="AB607" i="49"/>
  <c r="X607" i="49"/>
  <c r="AD606" i="49"/>
  <c r="AC606" i="49"/>
  <c r="AB606" i="49"/>
  <c r="X606" i="49"/>
  <c r="AD605" i="49"/>
  <c r="AC605" i="49"/>
  <c r="AB605" i="49"/>
  <c r="X605" i="49"/>
  <c r="AD604" i="49"/>
  <c r="AC604" i="49"/>
  <c r="AB604" i="49"/>
  <c r="X604" i="49"/>
  <c r="AD603" i="49"/>
  <c r="AC603" i="49"/>
  <c r="AB603" i="49"/>
  <c r="X603" i="49"/>
  <c r="AD602" i="49"/>
  <c r="AC602" i="49"/>
  <c r="AB602" i="49"/>
  <c r="X602" i="49"/>
  <c r="AD601" i="49"/>
  <c r="AC601" i="49"/>
  <c r="AB601" i="49"/>
  <c r="X601" i="49"/>
  <c r="AD600" i="49"/>
  <c r="AC600" i="49"/>
  <c r="AB600" i="49"/>
  <c r="X600" i="49"/>
  <c r="AD599" i="49"/>
  <c r="AC599" i="49"/>
  <c r="AB599" i="49"/>
  <c r="X599" i="49"/>
  <c r="AD598" i="49"/>
  <c r="AC598" i="49"/>
  <c r="AB598" i="49"/>
  <c r="X598" i="49"/>
  <c r="AD597" i="49"/>
  <c r="AC597" i="49"/>
  <c r="AB597" i="49"/>
  <c r="X597" i="49"/>
  <c r="AD596" i="49"/>
  <c r="AC596" i="49"/>
  <c r="AB596" i="49"/>
  <c r="X596" i="49"/>
  <c r="AD595" i="49"/>
  <c r="AC595" i="49"/>
  <c r="AB595" i="49"/>
  <c r="X595" i="49"/>
  <c r="AD594" i="49"/>
  <c r="AC594" i="49"/>
  <c r="AB594" i="49"/>
  <c r="X594" i="49"/>
  <c r="AD593" i="49"/>
  <c r="AC593" i="49"/>
  <c r="AB593" i="49"/>
  <c r="X593" i="49"/>
  <c r="AD592" i="49"/>
  <c r="AC592" i="49"/>
  <c r="AB592" i="49"/>
  <c r="X592" i="49"/>
  <c r="AD591" i="49"/>
  <c r="AC591" i="49"/>
  <c r="AB591" i="49"/>
  <c r="X591" i="49"/>
  <c r="AD590" i="49"/>
  <c r="AC590" i="49"/>
  <c r="AB590" i="49"/>
  <c r="X590" i="49"/>
  <c r="AD589" i="49"/>
  <c r="AC589" i="49"/>
  <c r="AB589" i="49"/>
  <c r="X589" i="49"/>
  <c r="AD588" i="49"/>
  <c r="AC588" i="49"/>
  <c r="AB588" i="49"/>
  <c r="X588" i="49"/>
  <c r="AD587" i="49"/>
  <c r="AC587" i="49"/>
  <c r="AB587" i="49"/>
  <c r="X587" i="49"/>
  <c r="AD586" i="49"/>
  <c r="AC586" i="49"/>
  <c r="AB586" i="49"/>
  <c r="X586" i="49"/>
  <c r="AD585" i="49"/>
  <c r="AC585" i="49"/>
  <c r="AB585" i="49"/>
  <c r="X585" i="49"/>
  <c r="AD584" i="49"/>
  <c r="AC584" i="49"/>
  <c r="AB584" i="49"/>
  <c r="X584" i="49"/>
  <c r="AD583" i="49"/>
  <c r="AC583" i="49"/>
  <c r="AB583" i="49"/>
  <c r="X583" i="49"/>
  <c r="AD582" i="49"/>
  <c r="AC582" i="49"/>
  <c r="AB582" i="49"/>
  <c r="X582" i="49"/>
  <c r="AD581" i="49"/>
  <c r="AC581" i="49"/>
  <c r="AB581" i="49"/>
  <c r="X581" i="49"/>
  <c r="AD580" i="49"/>
  <c r="AC580" i="49"/>
  <c r="AB580" i="49"/>
  <c r="X580" i="49"/>
  <c r="AD579" i="49"/>
  <c r="AC579" i="49"/>
  <c r="AB579" i="49"/>
  <c r="X579" i="49"/>
  <c r="AD578" i="49"/>
  <c r="AC578" i="49"/>
  <c r="AB578" i="49"/>
  <c r="X578" i="49"/>
  <c r="AD577" i="49"/>
  <c r="AC577" i="49"/>
  <c r="AB577" i="49"/>
  <c r="X577" i="49"/>
  <c r="AD576" i="49"/>
  <c r="AC576" i="49"/>
  <c r="AB576" i="49"/>
  <c r="X576" i="49"/>
  <c r="AD575" i="49"/>
  <c r="AC575" i="49"/>
  <c r="AB575" i="49"/>
  <c r="X575" i="49"/>
  <c r="AD574" i="49"/>
  <c r="AC574" i="49"/>
  <c r="AB574" i="49"/>
  <c r="X574" i="49"/>
  <c r="AD573" i="49"/>
  <c r="AC573" i="49"/>
  <c r="AB573" i="49"/>
  <c r="X573" i="49"/>
  <c r="AD572" i="49"/>
  <c r="AC572" i="49"/>
  <c r="AB572" i="49"/>
  <c r="X572" i="49"/>
  <c r="AD571" i="49"/>
  <c r="AC571" i="49"/>
  <c r="AB571" i="49"/>
  <c r="X571" i="49"/>
  <c r="AD570" i="49"/>
  <c r="AC570" i="49"/>
  <c r="AB570" i="49"/>
  <c r="X570" i="49"/>
  <c r="AD569" i="49"/>
  <c r="AC569" i="49"/>
  <c r="AB569" i="49"/>
  <c r="X569" i="49"/>
  <c r="AD568" i="49"/>
  <c r="AC568" i="49"/>
  <c r="AB568" i="49"/>
  <c r="X568" i="49"/>
  <c r="AD567" i="49"/>
  <c r="AC567" i="49"/>
  <c r="AB567" i="49"/>
  <c r="X567" i="49"/>
  <c r="AD566" i="49"/>
  <c r="AC566" i="49"/>
  <c r="AB566" i="49"/>
  <c r="X566" i="49"/>
  <c r="AD565" i="49"/>
  <c r="AC565" i="49"/>
  <c r="AB565" i="49"/>
  <c r="X565" i="49"/>
  <c r="AD564" i="49"/>
  <c r="AC564" i="49"/>
  <c r="AB564" i="49"/>
  <c r="X564" i="49"/>
  <c r="AD563" i="49"/>
  <c r="AC563" i="49"/>
  <c r="AB563" i="49"/>
  <c r="X563" i="49"/>
  <c r="AD562" i="49"/>
  <c r="AC562" i="49"/>
  <c r="AB562" i="49"/>
  <c r="X562" i="49"/>
  <c r="AD561" i="49"/>
  <c r="AC561" i="49"/>
  <c r="AB561" i="49"/>
  <c r="X561" i="49"/>
  <c r="AD560" i="49"/>
  <c r="AC560" i="49"/>
  <c r="AB560" i="49"/>
  <c r="X560" i="49"/>
  <c r="AD559" i="49"/>
  <c r="AC559" i="49"/>
  <c r="AB559" i="49"/>
  <c r="X559" i="49"/>
  <c r="AD558" i="49"/>
  <c r="AC558" i="49"/>
  <c r="AB558" i="49"/>
  <c r="X558" i="49"/>
  <c r="AD557" i="49"/>
  <c r="AC557" i="49"/>
  <c r="AB557" i="49"/>
  <c r="X557" i="49"/>
  <c r="AD556" i="49"/>
  <c r="AC556" i="49"/>
  <c r="AB556" i="49"/>
  <c r="X556" i="49"/>
  <c r="AD555" i="49"/>
  <c r="AC555" i="49"/>
  <c r="AB555" i="49"/>
  <c r="X555" i="49"/>
  <c r="AD554" i="49"/>
  <c r="AC554" i="49"/>
  <c r="AB554" i="49"/>
  <c r="X554" i="49"/>
  <c r="AD553" i="49"/>
  <c r="AC553" i="49"/>
  <c r="AB553" i="49"/>
  <c r="X553" i="49"/>
  <c r="AD552" i="49"/>
  <c r="AC552" i="49"/>
  <c r="AB552" i="49"/>
  <c r="X552" i="49"/>
  <c r="AD551" i="49"/>
  <c r="AC551" i="49"/>
  <c r="AB551" i="49"/>
  <c r="X551" i="49"/>
  <c r="AD550" i="49"/>
  <c r="AC550" i="49"/>
  <c r="AB550" i="49"/>
  <c r="X550" i="49"/>
  <c r="AD549" i="49"/>
  <c r="AC549" i="49"/>
  <c r="AB549" i="49"/>
  <c r="X549" i="49"/>
  <c r="AD548" i="49"/>
  <c r="AC548" i="49"/>
  <c r="AB548" i="49"/>
  <c r="X548" i="49"/>
  <c r="AD547" i="49"/>
  <c r="AC547" i="49"/>
  <c r="AB547" i="49"/>
  <c r="X547" i="49"/>
  <c r="AD546" i="49"/>
  <c r="AC546" i="49"/>
  <c r="AB546" i="49"/>
  <c r="X546" i="49"/>
  <c r="AD545" i="49"/>
  <c r="AC545" i="49"/>
  <c r="AB545" i="49"/>
  <c r="X545" i="49"/>
  <c r="AD544" i="49"/>
  <c r="AC544" i="49"/>
  <c r="AB544" i="49"/>
  <c r="X544" i="49"/>
  <c r="AD543" i="49"/>
  <c r="AC543" i="49"/>
  <c r="AB543" i="49"/>
  <c r="X543" i="49"/>
  <c r="AD542" i="49"/>
  <c r="AC542" i="49"/>
  <c r="AB542" i="49"/>
  <c r="X542" i="49"/>
  <c r="AD541" i="49"/>
  <c r="AC541" i="49"/>
  <c r="AB541" i="49"/>
  <c r="X541" i="49"/>
  <c r="AD540" i="49"/>
  <c r="AC540" i="49"/>
  <c r="AB540" i="49"/>
  <c r="X540" i="49"/>
  <c r="AD539" i="49"/>
  <c r="AC539" i="49"/>
  <c r="AB539" i="49"/>
  <c r="X539" i="49"/>
  <c r="AD538" i="49"/>
  <c r="AC538" i="49"/>
  <c r="AB538" i="49"/>
  <c r="X538" i="49"/>
  <c r="AD537" i="49"/>
  <c r="AC537" i="49"/>
  <c r="AB537" i="49"/>
  <c r="X537" i="49"/>
  <c r="AD536" i="49"/>
  <c r="AC536" i="49"/>
  <c r="AB536" i="49"/>
  <c r="X536" i="49"/>
  <c r="AD535" i="49"/>
  <c r="AC535" i="49"/>
  <c r="AB535" i="49"/>
  <c r="X535" i="49"/>
  <c r="AD534" i="49"/>
  <c r="AC534" i="49"/>
  <c r="AB534" i="49"/>
  <c r="X534" i="49"/>
  <c r="AD533" i="49"/>
  <c r="AC533" i="49"/>
  <c r="AB533" i="49"/>
  <c r="X533" i="49"/>
  <c r="AD532" i="49"/>
  <c r="AC532" i="49"/>
  <c r="AB532" i="49"/>
  <c r="X532" i="49"/>
  <c r="AD531" i="49"/>
  <c r="AC531" i="49"/>
  <c r="AB531" i="49"/>
  <c r="X531" i="49"/>
  <c r="AD530" i="49"/>
  <c r="AC530" i="49"/>
  <c r="AB530" i="49"/>
  <c r="X530" i="49"/>
  <c r="AD529" i="49"/>
  <c r="AC529" i="49"/>
  <c r="AB529" i="49"/>
  <c r="X529" i="49"/>
  <c r="AD528" i="49"/>
  <c r="AC528" i="49"/>
  <c r="AB528" i="49"/>
  <c r="X528" i="49"/>
  <c r="AD527" i="49"/>
  <c r="AC527" i="49"/>
  <c r="AB527" i="49"/>
  <c r="X527" i="49"/>
  <c r="AD526" i="49"/>
  <c r="AC526" i="49"/>
  <c r="AB526" i="49"/>
  <c r="X526" i="49"/>
  <c r="AD525" i="49"/>
  <c r="AC525" i="49"/>
  <c r="AB525" i="49"/>
  <c r="X525" i="49"/>
  <c r="AD524" i="49"/>
  <c r="AC524" i="49"/>
  <c r="AB524" i="49"/>
  <c r="X524" i="49"/>
  <c r="AD523" i="49"/>
  <c r="AC523" i="49"/>
  <c r="AB523" i="49"/>
  <c r="X523" i="49"/>
  <c r="AD522" i="49"/>
  <c r="AC522" i="49"/>
  <c r="AB522" i="49"/>
  <c r="X522" i="49"/>
  <c r="AD521" i="49"/>
  <c r="AC521" i="49"/>
  <c r="AB521" i="49"/>
  <c r="X521" i="49"/>
  <c r="AD520" i="49"/>
  <c r="AC520" i="49"/>
  <c r="AB520" i="49"/>
  <c r="X520" i="49"/>
  <c r="AD519" i="49"/>
  <c r="AC519" i="49"/>
  <c r="AB519" i="49"/>
  <c r="X519" i="49"/>
  <c r="AD518" i="49"/>
  <c r="AC518" i="49"/>
  <c r="AB518" i="49"/>
  <c r="X518" i="49"/>
  <c r="AD517" i="49"/>
  <c r="AC517" i="49"/>
  <c r="AB517" i="49"/>
  <c r="X517" i="49"/>
  <c r="AD516" i="49"/>
  <c r="AC516" i="49"/>
  <c r="AB516" i="49"/>
  <c r="X516" i="49"/>
  <c r="AD515" i="49"/>
  <c r="AC515" i="49"/>
  <c r="AB515" i="49"/>
  <c r="X515" i="49"/>
  <c r="AD514" i="49"/>
  <c r="AC514" i="49"/>
  <c r="AB514" i="49"/>
  <c r="X514" i="49"/>
  <c r="AD513" i="49"/>
  <c r="AC513" i="49"/>
  <c r="AB513" i="49"/>
  <c r="X513" i="49"/>
  <c r="AD512" i="49"/>
  <c r="AC512" i="49"/>
  <c r="AB512" i="49"/>
  <c r="X512" i="49"/>
  <c r="AD511" i="49"/>
  <c r="AC511" i="49"/>
  <c r="AB511" i="49"/>
  <c r="X511" i="49"/>
  <c r="AD510" i="49"/>
  <c r="AC510" i="49"/>
  <c r="AB510" i="49"/>
  <c r="X510" i="49"/>
  <c r="AD509" i="49"/>
  <c r="AC509" i="49"/>
  <c r="AB509" i="49"/>
  <c r="X509" i="49"/>
  <c r="AD508" i="49"/>
  <c r="AC508" i="49"/>
  <c r="AB508" i="49"/>
  <c r="X508" i="49"/>
  <c r="AD507" i="49"/>
  <c r="AC507" i="49"/>
  <c r="AB507" i="49"/>
  <c r="X507" i="49"/>
  <c r="AD506" i="49"/>
  <c r="AC506" i="49"/>
  <c r="AB506" i="49"/>
  <c r="X506" i="49"/>
  <c r="AD505" i="49"/>
  <c r="AC505" i="49"/>
  <c r="AB505" i="49"/>
  <c r="X505" i="49"/>
  <c r="AD504" i="49"/>
  <c r="AC504" i="49"/>
  <c r="AB504" i="49"/>
  <c r="X504" i="49"/>
  <c r="AD503" i="49"/>
  <c r="AC503" i="49"/>
  <c r="AB503" i="49"/>
  <c r="X503" i="49"/>
  <c r="AD502" i="49"/>
  <c r="AC502" i="49"/>
  <c r="AB502" i="49"/>
  <c r="X502" i="49"/>
  <c r="AD501" i="49"/>
  <c r="AC501" i="49"/>
  <c r="AB501" i="49"/>
  <c r="X501" i="49"/>
  <c r="AD500" i="49"/>
  <c r="AC500" i="49"/>
  <c r="AB500" i="49"/>
  <c r="X500" i="49"/>
  <c r="AD499" i="49"/>
  <c r="AC499" i="49"/>
  <c r="AB499" i="49"/>
  <c r="X499" i="49"/>
  <c r="AD498" i="49"/>
  <c r="AC498" i="49"/>
  <c r="AB498" i="49"/>
  <c r="X498" i="49"/>
  <c r="AD497" i="49"/>
  <c r="AC497" i="49"/>
  <c r="AB497" i="49"/>
  <c r="X497" i="49"/>
  <c r="AD496" i="49"/>
  <c r="AC496" i="49"/>
  <c r="AB496" i="49"/>
  <c r="X496" i="49"/>
  <c r="AD495" i="49"/>
  <c r="AC495" i="49"/>
  <c r="AB495" i="49"/>
  <c r="X495" i="49"/>
  <c r="AD494" i="49"/>
  <c r="AC494" i="49"/>
  <c r="AB494" i="49"/>
  <c r="X494" i="49"/>
  <c r="AD493" i="49"/>
  <c r="AC493" i="49"/>
  <c r="AB493" i="49"/>
  <c r="X493" i="49"/>
  <c r="AD492" i="49"/>
  <c r="AC492" i="49"/>
  <c r="AB492" i="49"/>
  <c r="X492" i="49"/>
  <c r="AD491" i="49"/>
  <c r="AC491" i="49"/>
  <c r="AB491" i="49"/>
  <c r="X491" i="49"/>
  <c r="AD490" i="49"/>
  <c r="AC490" i="49"/>
  <c r="AB490" i="49"/>
  <c r="X490" i="49"/>
  <c r="AD489" i="49"/>
  <c r="AC489" i="49"/>
  <c r="AB489" i="49"/>
  <c r="X489" i="49"/>
  <c r="AD488" i="49"/>
  <c r="AC488" i="49"/>
  <c r="AB488" i="49"/>
  <c r="X488" i="49"/>
  <c r="AD487" i="49"/>
  <c r="AC487" i="49"/>
  <c r="AB487" i="49"/>
  <c r="X487" i="49"/>
  <c r="AD486" i="49"/>
  <c r="AC486" i="49"/>
  <c r="AB486" i="49"/>
  <c r="X486" i="49"/>
  <c r="AD485" i="49"/>
  <c r="AC485" i="49"/>
  <c r="AB485" i="49"/>
  <c r="X485" i="49"/>
  <c r="AD484" i="49"/>
  <c r="AC484" i="49"/>
  <c r="AB484" i="49"/>
  <c r="X484" i="49"/>
  <c r="AD483" i="49"/>
  <c r="AC483" i="49"/>
  <c r="AB483" i="49"/>
  <c r="X483" i="49"/>
  <c r="AD482" i="49"/>
  <c r="AC482" i="49"/>
  <c r="AB482" i="49"/>
  <c r="X482" i="49"/>
  <c r="AD481" i="49"/>
  <c r="AC481" i="49"/>
  <c r="AB481" i="49"/>
  <c r="X481" i="49"/>
  <c r="AD480" i="49"/>
  <c r="AC480" i="49"/>
  <c r="AB480" i="49"/>
  <c r="X480" i="49"/>
  <c r="AD479" i="49"/>
  <c r="AC479" i="49"/>
  <c r="AB479" i="49"/>
  <c r="X479" i="49"/>
  <c r="AD478" i="49"/>
  <c r="AC478" i="49"/>
  <c r="AB478" i="49"/>
  <c r="X478" i="49"/>
  <c r="AD477" i="49"/>
  <c r="AC477" i="49"/>
  <c r="AB477" i="49"/>
  <c r="X477" i="49"/>
  <c r="AD476" i="49"/>
  <c r="AC476" i="49"/>
  <c r="AB476" i="49"/>
  <c r="X476" i="49"/>
  <c r="AD475" i="49"/>
  <c r="AC475" i="49"/>
  <c r="AB475" i="49"/>
  <c r="X475" i="49"/>
  <c r="AD474" i="49"/>
  <c r="AC474" i="49"/>
  <c r="AB474" i="49"/>
  <c r="X474" i="49"/>
  <c r="AD473" i="49"/>
  <c r="AC473" i="49"/>
  <c r="AB473" i="49"/>
  <c r="X473" i="49"/>
  <c r="AD472" i="49"/>
  <c r="AC472" i="49"/>
  <c r="AB472" i="49"/>
  <c r="X472" i="49"/>
  <c r="AD471" i="49"/>
  <c r="AC471" i="49"/>
  <c r="AB471" i="49"/>
  <c r="X471" i="49"/>
  <c r="AD470" i="49"/>
  <c r="AC470" i="49"/>
  <c r="AB470" i="49"/>
  <c r="X470" i="49"/>
  <c r="AD469" i="49"/>
  <c r="AC469" i="49"/>
  <c r="AB469" i="49"/>
  <c r="X469" i="49"/>
  <c r="AD468" i="49"/>
  <c r="AC468" i="49"/>
  <c r="AB468" i="49"/>
  <c r="X468" i="49"/>
  <c r="AD467" i="49"/>
  <c r="AC467" i="49"/>
  <c r="AB467" i="49"/>
  <c r="X467" i="49"/>
  <c r="AD466" i="49"/>
  <c r="AC466" i="49"/>
  <c r="AB466" i="49"/>
  <c r="X466" i="49"/>
  <c r="AD465" i="49"/>
  <c r="AC465" i="49"/>
  <c r="AB465" i="49"/>
  <c r="X465" i="49"/>
  <c r="AD464" i="49"/>
  <c r="AC464" i="49"/>
  <c r="AB464" i="49"/>
  <c r="X464" i="49"/>
  <c r="AD463" i="49"/>
  <c r="AC463" i="49"/>
  <c r="AB463" i="49"/>
  <c r="X463" i="49"/>
  <c r="AD462" i="49"/>
  <c r="AC462" i="49"/>
  <c r="AB462" i="49"/>
  <c r="X462" i="49"/>
  <c r="AD461" i="49"/>
  <c r="AC461" i="49"/>
  <c r="AB461" i="49"/>
  <c r="X461" i="49"/>
  <c r="AD460" i="49"/>
  <c r="AC460" i="49"/>
  <c r="AB460" i="49"/>
  <c r="X460" i="49"/>
  <c r="AD459" i="49"/>
  <c r="AC459" i="49"/>
  <c r="AB459" i="49"/>
  <c r="X459" i="49"/>
  <c r="AD458" i="49"/>
  <c r="AC458" i="49"/>
  <c r="AB458" i="49"/>
  <c r="X458" i="49"/>
  <c r="AD457" i="49"/>
  <c r="AC457" i="49"/>
  <c r="AB457" i="49"/>
  <c r="X457" i="49"/>
  <c r="AD456" i="49"/>
  <c r="AC456" i="49"/>
  <c r="AB456" i="49"/>
  <c r="X456" i="49"/>
  <c r="AD455" i="49"/>
  <c r="AC455" i="49"/>
  <c r="AB455" i="49"/>
  <c r="X455" i="49"/>
  <c r="AD454" i="49"/>
  <c r="AC454" i="49"/>
  <c r="AB454" i="49"/>
  <c r="X454" i="49"/>
  <c r="AD453" i="49"/>
  <c r="AC453" i="49"/>
  <c r="AB453" i="49"/>
  <c r="X453" i="49"/>
  <c r="AD452" i="49"/>
  <c r="AC452" i="49"/>
  <c r="AB452" i="49"/>
  <c r="X452" i="49"/>
  <c r="AD451" i="49"/>
  <c r="AC451" i="49"/>
  <c r="AB451" i="49"/>
  <c r="X451" i="49"/>
  <c r="AD450" i="49"/>
  <c r="AC450" i="49"/>
  <c r="AB450" i="49"/>
  <c r="X450" i="49"/>
  <c r="AD449" i="49"/>
  <c r="AC449" i="49"/>
  <c r="AB449" i="49"/>
  <c r="X449" i="49"/>
  <c r="AD448" i="49"/>
  <c r="AC448" i="49"/>
  <c r="AB448" i="49"/>
  <c r="X448" i="49"/>
  <c r="AD447" i="49"/>
  <c r="AC447" i="49"/>
  <c r="AB447" i="49"/>
  <c r="X447" i="49"/>
  <c r="AD446" i="49"/>
  <c r="AC446" i="49"/>
  <c r="AB446" i="49"/>
  <c r="X446" i="49"/>
  <c r="AD445" i="49"/>
  <c r="AC445" i="49"/>
  <c r="AB445" i="49"/>
  <c r="X445" i="49"/>
  <c r="AD444" i="49"/>
  <c r="AC444" i="49"/>
  <c r="AB444" i="49"/>
  <c r="X444" i="49"/>
  <c r="AD443" i="49"/>
  <c r="AC443" i="49"/>
  <c r="AB443" i="49"/>
  <c r="X443" i="49"/>
  <c r="AD442" i="49"/>
  <c r="AC442" i="49"/>
  <c r="AB442" i="49"/>
  <c r="X442" i="49"/>
  <c r="AD441" i="49"/>
  <c r="AC441" i="49"/>
  <c r="AB441" i="49"/>
  <c r="X441" i="49"/>
  <c r="AD440" i="49"/>
  <c r="AC440" i="49"/>
  <c r="AB440" i="49"/>
  <c r="X440" i="49"/>
  <c r="AD439" i="49"/>
  <c r="AC439" i="49"/>
  <c r="AB439" i="49"/>
  <c r="X439" i="49"/>
  <c r="AD438" i="49"/>
  <c r="AC438" i="49"/>
  <c r="AB438" i="49"/>
  <c r="X438" i="49"/>
  <c r="AD437" i="49"/>
  <c r="AC437" i="49"/>
  <c r="AB437" i="49"/>
  <c r="X437" i="49"/>
  <c r="AD436" i="49"/>
  <c r="AC436" i="49"/>
  <c r="AB436" i="49"/>
  <c r="X436" i="49"/>
  <c r="AD435" i="49"/>
  <c r="AC435" i="49"/>
  <c r="AB435" i="49"/>
  <c r="X435" i="49"/>
  <c r="AD434" i="49"/>
  <c r="AC434" i="49"/>
  <c r="AB434" i="49"/>
  <c r="X434" i="49"/>
  <c r="AD433" i="49"/>
  <c r="AC433" i="49"/>
  <c r="AB433" i="49"/>
  <c r="X433" i="49"/>
  <c r="AD432" i="49"/>
  <c r="AC432" i="49"/>
  <c r="AB432" i="49"/>
  <c r="X432" i="49"/>
  <c r="AD431" i="49"/>
  <c r="AC431" i="49"/>
  <c r="AB431" i="49"/>
  <c r="X431" i="49"/>
  <c r="AD430" i="49"/>
  <c r="AC430" i="49"/>
  <c r="AB430" i="49"/>
  <c r="X430" i="49"/>
  <c r="AD429" i="49"/>
  <c r="AC429" i="49"/>
  <c r="AB429" i="49"/>
  <c r="X429" i="49"/>
  <c r="AD428" i="49"/>
  <c r="AC428" i="49"/>
  <c r="AB428" i="49"/>
  <c r="X428" i="49"/>
  <c r="AD427" i="49"/>
  <c r="AC427" i="49"/>
  <c r="AB427" i="49"/>
  <c r="X427" i="49"/>
  <c r="AD426" i="49"/>
  <c r="AC426" i="49"/>
  <c r="AB426" i="49"/>
  <c r="X426" i="49"/>
  <c r="AD425" i="49"/>
  <c r="AC425" i="49"/>
  <c r="AB425" i="49"/>
  <c r="X425" i="49"/>
  <c r="AD424" i="49"/>
  <c r="AC424" i="49"/>
  <c r="AB424" i="49"/>
  <c r="X424" i="49"/>
  <c r="AD423" i="49"/>
  <c r="AC423" i="49"/>
  <c r="AB423" i="49"/>
  <c r="X423" i="49"/>
  <c r="AD422" i="49"/>
  <c r="AC422" i="49"/>
  <c r="AB422" i="49"/>
  <c r="X422" i="49"/>
  <c r="AD421" i="49"/>
  <c r="AC421" i="49"/>
  <c r="AB421" i="49"/>
  <c r="X421" i="49"/>
  <c r="AD420" i="49"/>
  <c r="AC420" i="49"/>
  <c r="AB420" i="49"/>
  <c r="X420" i="49"/>
  <c r="AD419" i="49"/>
  <c r="AC419" i="49"/>
  <c r="AB419" i="49"/>
  <c r="X419" i="49"/>
  <c r="AD418" i="49"/>
  <c r="AC418" i="49"/>
  <c r="AB418" i="49"/>
  <c r="X418" i="49"/>
  <c r="AD417" i="49"/>
  <c r="AC417" i="49"/>
  <c r="AB417" i="49"/>
  <c r="X417" i="49"/>
  <c r="AD416" i="49"/>
  <c r="AC416" i="49"/>
  <c r="AB416" i="49"/>
  <c r="X416" i="49"/>
  <c r="AD415" i="49"/>
  <c r="AC415" i="49"/>
  <c r="AB415" i="49"/>
  <c r="X415" i="49"/>
  <c r="AD414" i="49"/>
  <c r="AC414" i="49"/>
  <c r="AB414" i="49"/>
  <c r="X414" i="49"/>
  <c r="AD413" i="49"/>
  <c r="AC413" i="49"/>
  <c r="AB413" i="49"/>
  <c r="X413" i="49"/>
  <c r="AD412" i="49"/>
  <c r="AC412" i="49"/>
  <c r="AB412" i="49"/>
  <c r="X412" i="49"/>
  <c r="AD411" i="49"/>
  <c r="AC411" i="49"/>
  <c r="AB411" i="49"/>
  <c r="X411" i="49"/>
  <c r="AD410" i="49"/>
  <c r="AC410" i="49"/>
  <c r="AB410" i="49"/>
  <c r="X410" i="49"/>
  <c r="AD409" i="49"/>
  <c r="AC409" i="49"/>
  <c r="AB409" i="49"/>
  <c r="X409" i="49"/>
  <c r="AD408" i="49"/>
  <c r="AC408" i="49"/>
  <c r="AB408" i="49"/>
  <c r="X408" i="49"/>
  <c r="AD407" i="49"/>
  <c r="AC407" i="49"/>
  <c r="AB407" i="49"/>
  <c r="X407" i="49"/>
  <c r="AD406" i="49"/>
  <c r="AC406" i="49"/>
  <c r="AB406" i="49"/>
  <c r="X406" i="49"/>
  <c r="AD405" i="49"/>
  <c r="AC405" i="49"/>
  <c r="AB405" i="49"/>
  <c r="X405" i="49"/>
  <c r="AD404" i="49"/>
  <c r="AC404" i="49"/>
  <c r="AB404" i="49"/>
  <c r="X404" i="49"/>
  <c r="AD403" i="49"/>
  <c r="AC403" i="49"/>
  <c r="AB403" i="49"/>
  <c r="X403" i="49"/>
  <c r="AD402" i="49"/>
  <c r="AC402" i="49"/>
  <c r="AB402" i="49"/>
  <c r="X402" i="49"/>
  <c r="AD401" i="49"/>
  <c r="AC401" i="49"/>
  <c r="AB401" i="49"/>
  <c r="X401" i="49"/>
  <c r="AD400" i="49"/>
  <c r="AC400" i="49"/>
  <c r="AB400" i="49"/>
  <c r="X400" i="49"/>
  <c r="AD399" i="49"/>
  <c r="AC399" i="49"/>
  <c r="AB399" i="49"/>
  <c r="X399" i="49"/>
  <c r="AD398" i="49"/>
  <c r="AC398" i="49"/>
  <c r="AB398" i="49"/>
  <c r="X398" i="49"/>
  <c r="AD397" i="49"/>
  <c r="AC397" i="49"/>
  <c r="AB397" i="49"/>
  <c r="X397" i="49"/>
  <c r="AD396" i="49"/>
  <c r="AC396" i="49"/>
  <c r="AB396" i="49"/>
  <c r="X396" i="49"/>
  <c r="AD395" i="49"/>
  <c r="AC395" i="49"/>
  <c r="AB395" i="49"/>
  <c r="X395" i="49"/>
  <c r="AD394" i="49"/>
  <c r="AC394" i="49"/>
  <c r="AB394" i="49"/>
  <c r="X394" i="49"/>
  <c r="AD393" i="49"/>
  <c r="AC393" i="49"/>
  <c r="AB393" i="49"/>
  <c r="X393" i="49"/>
  <c r="AD392" i="49"/>
  <c r="AC392" i="49"/>
  <c r="AB392" i="49"/>
  <c r="X392" i="49"/>
  <c r="AD391" i="49"/>
  <c r="AC391" i="49"/>
  <c r="AB391" i="49"/>
  <c r="X391" i="49"/>
  <c r="AD390" i="49"/>
  <c r="AC390" i="49"/>
  <c r="AB390" i="49"/>
  <c r="X390" i="49"/>
  <c r="AD389" i="49"/>
  <c r="AC389" i="49"/>
  <c r="AB389" i="49"/>
  <c r="X389" i="49"/>
  <c r="AD388" i="49"/>
  <c r="AC388" i="49"/>
  <c r="AB388" i="49"/>
  <c r="X388" i="49"/>
  <c r="AD387" i="49"/>
  <c r="AC387" i="49"/>
  <c r="AB387" i="49"/>
  <c r="X387" i="49"/>
  <c r="AD386" i="49"/>
  <c r="AC386" i="49"/>
  <c r="AB386" i="49"/>
  <c r="X386" i="49"/>
  <c r="AD385" i="49"/>
  <c r="AC385" i="49"/>
  <c r="AB385" i="49"/>
  <c r="X385" i="49"/>
  <c r="AD384" i="49"/>
  <c r="AC384" i="49"/>
  <c r="AB384" i="49"/>
  <c r="X384" i="49"/>
  <c r="AD383" i="49"/>
  <c r="AC383" i="49"/>
  <c r="AB383" i="49"/>
  <c r="X383" i="49"/>
  <c r="AD382" i="49"/>
  <c r="AC382" i="49"/>
  <c r="AB382" i="49"/>
  <c r="X382" i="49"/>
  <c r="AD381" i="49"/>
  <c r="AC381" i="49"/>
  <c r="AB381" i="49"/>
  <c r="X381" i="49"/>
  <c r="AD380" i="49"/>
  <c r="AC380" i="49"/>
  <c r="AB380" i="49"/>
  <c r="X380" i="49"/>
  <c r="AD379" i="49"/>
  <c r="AC379" i="49"/>
  <c r="AB379" i="49"/>
  <c r="X379" i="49"/>
  <c r="AD378" i="49"/>
  <c r="AC378" i="49"/>
  <c r="AB378" i="49"/>
  <c r="X378" i="49"/>
  <c r="AD377" i="49"/>
  <c r="AC377" i="49"/>
  <c r="AB377" i="49"/>
  <c r="X377" i="49"/>
  <c r="AD376" i="49"/>
  <c r="AC376" i="49"/>
  <c r="AB376" i="49"/>
  <c r="X376" i="49"/>
  <c r="AD375" i="49"/>
  <c r="AC375" i="49"/>
  <c r="AB375" i="49"/>
  <c r="X375" i="49"/>
  <c r="AD374" i="49"/>
  <c r="AC374" i="49"/>
  <c r="AB374" i="49"/>
  <c r="X374" i="49"/>
  <c r="AD373" i="49"/>
  <c r="AC373" i="49"/>
  <c r="AB373" i="49"/>
  <c r="X373" i="49"/>
  <c r="AD372" i="49"/>
  <c r="AC372" i="49"/>
  <c r="AB372" i="49"/>
  <c r="X372" i="49"/>
  <c r="AD371" i="49"/>
  <c r="AC371" i="49"/>
  <c r="AB371" i="49"/>
  <c r="X371" i="49"/>
  <c r="AD370" i="49"/>
  <c r="AC370" i="49"/>
  <c r="AB370" i="49"/>
  <c r="X370" i="49"/>
  <c r="AD369" i="49"/>
  <c r="AC369" i="49"/>
  <c r="AB369" i="49"/>
  <c r="X369" i="49"/>
  <c r="AD368" i="49"/>
  <c r="AC368" i="49"/>
  <c r="AB368" i="49"/>
  <c r="X368" i="49"/>
  <c r="AD367" i="49"/>
  <c r="AC367" i="49"/>
  <c r="AB367" i="49"/>
  <c r="X367" i="49"/>
  <c r="AD366" i="49"/>
  <c r="AC366" i="49"/>
  <c r="AB366" i="49"/>
  <c r="X366" i="49"/>
  <c r="AD365" i="49"/>
  <c r="AC365" i="49"/>
  <c r="AB365" i="49"/>
  <c r="X365" i="49"/>
  <c r="AD364" i="49"/>
  <c r="AC364" i="49"/>
  <c r="AB364" i="49"/>
  <c r="X364" i="49"/>
  <c r="AD363" i="49"/>
  <c r="AC363" i="49"/>
  <c r="AB363" i="49"/>
  <c r="X363" i="49"/>
  <c r="AD362" i="49"/>
  <c r="AC362" i="49"/>
  <c r="AB362" i="49"/>
  <c r="X362" i="49"/>
  <c r="AD361" i="49"/>
  <c r="AC361" i="49"/>
  <c r="AB361" i="49"/>
  <c r="X361" i="49"/>
  <c r="AD360" i="49"/>
  <c r="AC360" i="49"/>
  <c r="AB360" i="49"/>
  <c r="X360" i="49"/>
  <c r="AD359" i="49"/>
  <c r="AC359" i="49"/>
  <c r="AB359" i="49"/>
  <c r="X359" i="49"/>
  <c r="AD358" i="49"/>
  <c r="AC358" i="49"/>
  <c r="AB358" i="49"/>
  <c r="X358" i="49"/>
  <c r="AD357" i="49"/>
  <c r="AC357" i="49"/>
  <c r="AB357" i="49"/>
  <c r="X357" i="49"/>
  <c r="AD356" i="49"/>
  <c r="AC356" i="49"/>
  <c r="AB356" i="49"/>
  <c r="X356" i="49"/>
  <c r="AD355" i="49"/>
  <c r="AC355" i="49"/>
  <c r="AB355" i="49"/>
  <c r="X355" i="49"/>
  <c r="AD354" i="49"/>
  <c r="AC354" i="49"/>
  <c r="AB354" i="49"/>
  <c r="X354" i="49"/>
  <c r="AD353" i="49"/>
  <c r="AC353" i="49"/>
  <c r="AB353" i="49"/>
  <c r="X353" i="49"/>
  <c r="AD352" i="49"/>
  <c r="AC352" i="49"/>
  <c r="AB352" i="49"/>
  <c r="X352" i="49"/>
  <c r="AD351" i="49"/>
  <c r="AC351" i="49"/>
  <c r="AB351" i="49"/>
  <c r="X351" i="49"/>
  <c r="AD350" i="49"/>
  <c r="AC350" i="49"/>
  <c r="AB350" i="49"/>
  <c r="X350" i="49"/>
  <c r="AD349" i="49"/>
  <c r="AC349" i="49"/>
  <c r="AB349" i="49"/>
  <c r="X349" i="49"/>
  <c r="AD348" i="49"/>
  <c r="AC348" i="49"/>
  <c r="AB348" i="49"/>
  <c r="X348" i="49"/>
  <c r="AD347" i="49"/>
  <c r="AC347" i="49"/>
  <c r="AB347" i="49"/>
  <c r="X347" i="49"/>
  <c r="AD346" i="49"/>
  <c r="AC346" i="49"/>
  <c r="AB346" i="49"/>
  <c r="X346" i="49"/>
  <c r="AD345" i="49"/>
  <c r="AC345" i="49"/>
  <c r="AB345" i="49"/>
  <c r="X345" i="49"/>
  <c r="AD344" i="49"/>
  <c r="AC344" i="49"/>
  <c r="AB344" i="49"/>
  <c r="X344" i="49"/>
  <c r="AD343" i="49"/>
  <c r="AC343" i="49"/>
  <c r="AB343" i="49"/>
  <c r="X343" i="49"/>
  <c r="AD342" i="49"/>
  <c r="AC342" i="49"/>
  <c r="AB342" i="49"/>
  <c r="X342" i="49"/>
  <c r="AD341" i="49"/>
  <c r="AC341" i="49"/>
  <c r="AB341" i="49"/>
  <c r="X341" i="49"/>
  <c r="AD340" i="49"/>
  <c r="AC340" i="49"/>
  <c r="AB340" i="49"/>
  <c r="X340" i="49"/>
  <c r="AD339" i="49"/>
  <c r="AC339" i="49"/>
  <c r="AB339" i="49"/>
  <c r="X339" i="49"/>
  <c r="AD338" i="49"/>
  <c r="AC338" i="49"/>
  <c r="AB338" i="49"/>
  <c r="X338" i="49"/>
  <c r="AD337" i="49"/>
  <c r="AC337" i="49"/>
  <c r="AB337" i="49"/>
  <c r="X337" i="49"/>
  <c r="AD336" i="49"/>
  <c r="AC336" i="49"/>
  <c r="AB336" i="49"/>
  <c r="X336" i="49"/>
  <c r="AD335" i="49"/>
  <c r="AC335" i="49"/>
  <c r="AB335" i="49"/>
  <c r="X335" i="49"/>
  <c r="AD334" i="49"/>
  <c r="AC334" i="49"/>
  <c r="AB334" i="49"/>
  <c r="X334" i="49"/>
  <c r="AD333" i="49"/>
  <c r="AC333" i="49"/>
  <c r="AB333" i="49"/>
  <c r="X333" i="49"/>
  <c r="AD332" i="49"/>
  <c r="AC332" i="49"/>
  <c r="AB332" i="49"/>
  <c r="X332" i="49"/>
  <c r="AD331" i="49"/>
  <c r="AC331" i="49"/>
  <c r="AB331" i="49"/>
  <c r="X331" i="49"/>
  <c r="AD330" i="49"/>
  <c r="AC330" i="49"/>
  <c r="AB330" i="49"/>
  <c r="X330" i="49"/>
  <c r="AD329" i="49"/>
  <c r="AC329" i="49"/>
  <c r="AB329" i="49"/>
  <c r="X329" i="49"/>
  <c r="AD328" i="49"/>
  <c r="AC328" i="49"/>
  <c r="AB328" i="49"/>
  <c r="X328" i="49"/>
  <c r="AD327" i="49"/>
  <c r="AC327" i="49"/>
  <c r="AB327" i="49"/>
  <c r="X327" i="49"/>
  <c r="AD326" i="49"/>
  <c r="AC326" i="49"/>
  <c r="AB326" i="49"/>
  <c r="X326" i="49"/>
  <c r="AD325" i="49"/>
  <c r="AC325" i="49"/>
  <c r="AB325" i="49"/>
  <c r="X325" i="49"/>
  <c r="AD324" i="49"/>
  <c r="AC324" i="49"/>
  <c r="AB324" i="49"/>
  <c r="X324" i="49"/>
  <c r="AD323" i="49"/>
  <c r="AC323" i="49"/>
  <c r="AB323" i="49"/>
  <c r="X323" i="49"/>
  <c r="AD322" i="49"/>
  <c r="AC322" i="49"/>
  <c r="AB322" i="49"/>
  <c r="X322" i="49"/>
  <c r="AD321" i="49"/>
  <c r="AC321" i="49"/>
  <c r="AB321" i="49"/>
  <c r="X321" i="49"/>
  <c r="AD320" i="49"/>
  <c r="AC320" i="49"/>
  <c r="AB320" i="49"/>
  <c r="X320" i="49"/>
  <c r="AD319" i="49"/>
  <c r="AC319" i="49"/>
  <c r="AB319" i="49"/>
  <c r="X319" i="49"/>
  <c r="AD318" i="49"/>
  <c r="AC318" i="49"/>
  <c r="AB318" i="49"/>
  <c r="X318" i="49"/>
  <c r="AD317" i="49"/>
  <c r="AC317" i="49"/>
  <c r="AB317" i="49"/>
  <c r="X317" i="49"/>
  <c r="AD316" i="49"/>
  <c r="AC316" i="49"/>
  <c r="AB316" i="49"/>
  <c r="X316" i="49"/>
  <c r="AD315" i="49"/>
  <c r="AC315" i="49"/>
  <c r="AB315" i="49"/>
  <c r="X315" i="49"/>
  <c r="AD314" i="49"/>
  <c r="AC314" i="49"/>
  <c r="AB314" i="49"/>
  <c r="X314" i="49"/>
  <c r="AD313" i="49"/>
  <c r="AC313" i="49"/>
  <c r="AB313" i="49"/>
  <c r="X313" i="49"/>
  <c r="AD312" i="49"/>
  <c r="AC312" i="49"/>
  <c r="AB312" i="49"/>
  <c r="X312" i="49"/>
  <c r="AD311" i="49"/>
  <c r="AC311" i="49"/>
  <c r="AB311" i="49"/>
  <c r="X311" i="49"/>
  <c r="AD310" i="49"/>
  <c r="AC310" i="49"/>
  <c r="AB310" i="49"/>
  <c r="X310" i="49"/>
  <c r="AD309" i="49"/>
  <c r="AC309" i="49"/>
  <c r="AB309" i="49"/>
  <c r="X309" i="49"/>
  <c r="AD308" i="49"/>
  <c r="AC308" i="49"/>
  <c r="AB308" i="49"/>
  <c r="X308" i="49"/>
  <c r="AD307" i="49"/>
  <c r="AC307" i="49"/>
  <c r="AB307" i="49"/>
  <c r="X307" i="49"/>
  <c r="AD306" i="49"/>
  <c r="AC306" i="49"/>
  <c r="AB306" i="49"/>
  <c r="X306" i="49"/>
  <c r="AD305" i="49"/>
  <c r="AC305" i="49"/>
  <c r="AB305" i="49"/>
  <c r="X305" i="49"/>
  <c r="AD304" i="49"/>
  <c r="AC304" i="49"/>
  <c r="AB304" i="49"/>
  <c r="X304" i="49"/>
  <c r="AD303" i="49"/>
  <c r="AC303" i="49"/>
  <c r="AB303" i="49"/>
  <c r="X303" i="49"/>
  <c r="AD302" i="49"/>
  <c r="AC302" i="49"/>
  <c r="AB302" i="49"/>
  <c r="X302" i="49"/>
  <c r="AD301" i="49"/>
  <c r="AC301" i="49"/>
  <c r="AB301" i="49"/>
  <c r="X301" i="49"/>
  <c r="AD300" i="49"/>
  <c r="AC300" i="49"/>
  <c r="AB300" i="49"/>
  <c r="X300" i="49"/>
  <c r="AD299" i="49"/>
  <c r="AC299" i="49"/>
  <c r="AB299" i="49"/>
  <c r="X299" i="49"/>
  <c r="AD298" i="49"/>
  <c r="AC298" i="49"/>
  <c r="AB298" i="49"/>
  <c r="X298" i="49"/>
  <c r="AD297" i="49"/>
  <c r="AC297" i="49"/>
  <c r="AB297" i="49"/>
  <c r="X297" i="49"/>
  <c r="AD296" i="49"/>
  <c r="AC296" i="49"/>
  <c r="AB296" i="49"/>
  <c r="X296" i="49"/>
  <c r="AD295" i="49"/>
  <c r="AC295" i="49"/>
  <c r="AB295" i="49"/>
  <c r="X295" i="49"/>
  <c r="AD294" i="49"/>
  <c r="AC294" i="49"/>
  <c r="AB294" i="49"/>
  <c r="X294" i="49"/>
  <c r="AD293" i="49"/>
  <c r="AC293" i="49"/>
  <c r="AB293" i="49"/>
  <c r="X293" i="49"/>
  <c r="AD292" i="49"/>
  <c r="AC292" i="49"/>
  <c r="AB292" i="49"/>
  <c r="X292" i="49"/>
  <c r="AD291" i="49"/>
  <c r="AC291" i="49"/>
  <c r="AB291" i="49"/>
  <c r="X291" i="49"/>
  <c r="AD290" i="49"/>
  <c r="AC290" i="49"/>
  <c r="AB290" i="49"/>
  <c r="X290" i="49"/>
  <c r="AD289" i="49"/>
  <c r="AC289" i="49"/>
  <c r="AB289" i="49"/>
  <c r="X289" i="49"/>
  <c r="AD288" i="49"/>
  <c r="AC288" i="49"/>
  <c r="AB288" i="49"/>
  <c r="X288" i="49"/>
  <c r="AD287" i="49"/>
  <c r="AC287" i="49"/>
  <c r="AB287" i="49"/>
  <c r="X287" i="49"/>
  <c r="AD286" i="49"/>
  <c r="AC286" i="49"/>
  <c r="AB286" i="49"/>
  <c r="X286" i="49"/>
  <c r="AD285" i="49"/>
  <c r="AC285" i="49"/>
  <c r="AB285" i="49"/>
  <c r="X285" i="49"/>
  <c r="AD284" i="49"/>
  <c r="AC284" i="49"/>
  <c r="AB284" i="49"/>
  <c r="X284" i="49"/>
  <c r="AD283" i="49"/>
  <c r="AC283" i="49"/>
  <c r="AB283" i="49"/>
  <c r="X283" i="49"/>
  <c r="AD282" i="49"/>
  <c r="AC282" i="49"/>
  <c r="AB282" i="49"/>
  <c r="X282" i="49"/>
  <c r="AD281" i="49"/>
  <c r="AC281" i="49"/>
  <c r="AB281" i="49"/>
  <c r="X281" i="49"/>
  <c r="AD280" i="49"/>
  <c r="AC280" i="49"/>
  <c r="AB280" i="49"/>
  <c r="X280" i="49"/>
  <c r="AD279" i="49"/>
  <c r="AC279" i="49"/>
  <c r="AB279" i="49"/>
  <c r="X279" i="49"/>
  <c r="AD278" i="49"/>
  <c r="AC278" i="49"/>
  <c r="AB278" i="49"/>
  <c r="X278" i="49"/>
  <c r="AD277" i="49"/>
  <c r="AC277" i="49"/>
  <c r="AB277" i="49"/>
  <c r="X277" i="49"/>
  <c r="AD276" i="49"/>
  <c r="AC276" i="49"/>
  <c r="AB276" i="49"/>
  <c r="X276" i="49"/>
  <c r="AD275" i="49"/>
  <c r="AC275" i="49"/>
  <c r="AB275" i="49"/>
  <c r="X275" i="49"/>
  <c r="AD274" i="49"/>
  <c r="AC274" i="49"/>
  <c r="AB274" i="49"/>
  <c r="X274" i="49"/>
  <c r="AD273" i="49"/>
  <c r="AC273" i="49"/>
  <c r="AB273" i="49"/>
  <c r="X273" i="49"/>
  <c r="AD272" i="49"/>
  <c r="AC272" i="49"/>
  <c r="AB272" i="49"/>
  <c r="X272" i="49"/>
  <c r="AD271" i="49"/>
  <c r="AC271" i="49"/>
  <c r="AB271" i="49"/>
  <c r="X271" i="49"/>
  <c r="AD270" i="49"/>
  <c r="AC270" i="49"/>
  <c r="AB270" i="49"/>
  <c r="X270" i="49"/>
  <c r="AD269" i="49"/>
  <c r="AC269" i="49"/>
  <c r="AB269" i="49"/>
  <c r="X269" i="49"/>
  <c r="AD268" i="49"/>
  <c r="AC268" i="49"/>
  <c r="AB268" i="49"/>
  <c r="X268" i="49"/>
  <c r="AD267" i="49"/>
  <c r="AC267" i="49"/>
  <c r="AB267" i="49"/>
  <c r="X267" i="49"/>
  <c r="AD266" i="49"/>
  <c r="AC266" i="49"/>
  <c r="AB266" i="49"/>
  <c r="X266" i="49"/>
  <c r="AD265" i="49"/>
  <c r="AC265" i="49"/>
  <c r="AB265" i="49"/>
  <c r="X265" i="49"/>
  <c r="AD264" i="49"/>
  <c r="AC264" i="49"/>
  <c r="AB264" i="49"/>
  <c r="X264" i="49"/>
  <c r="AD263" i="49"/>
  <c r="AC263" i="49"/>
  <c r="AB263" i="49"/>
  <c r="X263" i="49"/>
  <c r="AD262" i="49"/>
  <c r="AC262" i="49"/>
  <c r="AB262" i="49"/>
  <c r="X262" i="49"/>
  <c r="AD261" i="49"/>
  <c r="AC261" i="49"/>
  <c r="AB261" i="49"/>
  <c r="X261" i="49"/>
  <c r="AD260" i="49"/>
  <c r="AC260" i="49"/>
  <c r="AB260" i="49"/>
  <c r="X260" i="49"/>
  <c r="AD259" i="49"/>
  <c r="AC259" i="49"/>
  <c r="AB259" i="49"/>
  <c r="X259" i="49"/>
  <c r="AD258" i="49"/>
  <c r="AC258" i="49"/>
  <c r="AB258" i="49"/>
  <c r="X258" i="49"/>
  <c r="AD257" i="49"/>
  <c r="AC257" i="49"/>
  <c r="AB257" i="49"/>
  <c r="X257" i="49"/>
  <c r="AD256" i="49"/>
  <c r="AC256" i="49"/>
  <c r="AB256" i="49"/>
  <c r="X256" i="49"/>
  <c r="AD255" i="49"/>
  <c r="AC255" i="49"/>
  <c r="AB255" i="49"/>
  <c r="X255" i="49"/>
  <c r="AD254" i="49"/>
  <c r="AC254" i="49"/>
  <c r="AB254" i="49"/>
  <c r="X254" i="49"/>
  <c r="AD253" i="49"/>
  <c r="AC253" i="49"/>
  <c r="AB253" i="49"/>
  <c r="X253" i="49"/>
  <c r="AD252" i="49"/>
  <c r="AC252" i="49"/>
  <c r="AB252" i="49"/>
  <c r="X252" i="49"/>
  <c r="AD251" i="49"/>
  <c r="AC251" i="49"/>
  <c r="AB251" i="49"/>
  <c r="X251" i="49"/>
  <c r="AD250" i="49"/>
  <c r="AC250" i="49"/>
  <c r="AB250" i="49"/>
  <c r="X250" i="49"/>
  <c r="AD249" i="49"/>
  <c r="AC249" i="49"/>
  <c r="AB249" i="49"/>
  <c r="X249" i="49"/>
  <c r="AD248" i="49"/>
  <c r="AC248" i="49"/>
  <c r="AB248" i="49"/>
  <c r="X248" i="49"/>
  <c r="AD247" i="49"/>
  <c r="AC247" i="49"/>
  <c r="AB247" i="49"/>
  <c r="X247" i="49"/>
  <c r="AD246" i="49"/>
  <c r="AC246" i="49"/>
  <c r="AB246" i="49"/>
  <c r="X246" i="49"/>
  <c r="AD245" i="49"/>
  <c r="AC245" i="49"/>
  <c r="AB245" i="49"/>
  <c r="X245" i="49"/>
  <c r="AD244" i="49"/>
  <c r="AC244" i="49"/>
  <c r="AB244" i="49"/>
  <c r="X244" i="49"/>
  <c r="AD243" i="49"/>
  <c r="AC243" i="49"/>
  <c r="AB243" i="49"/>
  <c r="X243" i="49"/>
  <c r="AD242" i="49"/>
  <c r="AC242" i="49"/>
  <c r="AB242" i="49"/>
  <c r="X242" i="49"/>
  <c r="AD241" i="49"/>
  <c r="AC241" i="49"/>
  <c r="AB241" i="49"/>
  <c r="X241" i="49"/>
  <c r="AD240" i="49"/>
  <c r="AC240" i="49"/>
  <c r="AB240" i="49"/>
  <c r="X240" i="49"/>
  <c r="AD239" i="49"/>
  <c r="AC239" i="49"/>
  <c r="AB239" i="49"/>
  <c r="X239" i="49"/>
  <c r="AD238" i="49"/>
  <c r="AC238" i="49"/>
  <c r="AB238" i="49"/>
  <c r="X238" i="49"/>
  <c r="AD237" i="49"/>
  <c r="AC237" i="49"/>
  <c r="AB237" i="49"/>
  <c r="X237" i="49"/>
  <c r="AD236" i="49"/>
  <c r="AC236" i="49"/>
  <c r="AB236" i="49"/>
  <c r="X236" i="49"/>
  <c r="AD235" i="49"/>
  <c r="AC235" i="49"/>
  <c r="AB235" i="49"/>
  <c r="X235" i="49"/>
  <c r="AD234" i="49"/>
  <c r="AC234" i="49"/>
  <c r="AB234" i="49"/>
  <c r="X234" i="49"/>
  <c r="AD233" i="49"/>
  <c r="AC233" i="49"/>
  <c r="AB233" i="49"/>
  <c r="X233" i="49"/>
  <c r="AD232" i="49"/>
  <c r="AC232" i="49"/>
  <c r="AB232" i="49"/>
  <c r="X232" i="49"/>
  <c r="AD231" i="49"/>
  <c r="AC231" i="49"/>
  <c r="AB231" i="49"/>
  <c r="X231" i="49"/>
  <c r="AD230" i="49"/>
  <c r="AC230" i="49"/>
  <c r="AB230" i="49"/>
  <c r="X230" i="49"/>
  <c r="AD229" i="49"/>
  <c r="AC229" i="49"/>
  <c r="AB229" i="49"/>
  <c r="X229" i="49"/>
  <c r="AD228" i="49"/>
  <c r="AC228" i="49"/>
  <c r="AB228" i="49"/>
  <c r="X228" i="49"/>
  <c r="AD227" i="49"/>
  <c r="AC227" i="49"/>
  <c r="AB227" i="49"/>
  <c r="X227" i="49"/>
  <c r="AD226" i="49"/>
  <c r="AC226" i="49"/>
  <c r="AB226" i="49"/>
  <c r="X226" i="49"/>
  <c r="AD225" i="49"/>
  <c r="AC225" i="49"/>
  <c r="AB225" i="49"/>
  <c r="X225" i="49"/>
  <c r="AD224" i="49"/>
  <c r="AC224" i="49"/>
  <c r="AB224" i="49"/>
  <c r="X224" i="49"/>
  <c r="AD223" i="49"/>
  <c r="AC223" i="49"/>
  <c r="AB223" i="49"/>
  <c r="X223" i="49"/>
  <c r="AD222" i="49"/>
  <c r="AC222" i="49"/>
  <c r="AB222" i="49"/>
  <c r="X222" i="49"/>
  <c r="AD221" i="49"/>
  <c r="AC221" i="49"/>
  <c r="AB221" i="49"/>
  <c r="X221" i="49"/>
  <c r="AD220" i="49"/>
  <c r="AC220" i="49"/>
  <c r="AB220" i="49"/>
  <c r="X220" i="49"/>
  <c r="AD219" i="49"/>
  <c r="AC219" i="49"/>
  <c r="AB219" i="49"/>
  <c r="X219" i="49"/>
  <c r="AD218" i="49"/>
  <c r="AC218" i="49"/>
  <c r="AB218" i="49"/>
  <c r="X218" i="49"/>
  <c r="AD217" i="49"/>
  <c r="AC217" i="49"/>
  <c r="AB217" i="49"/>
  <c r="X217" i="49"/>
  <c r="AD216" i="49"/>
  <c r="AC216" i="49"/>
  <c r="AB216" i="49"/>
  <c r="X216" i="49"/>
  <c r="AD215" i="49"/>
  <c r="AC215" i="49"/>
  <c r="AB215" i="49"/>
  <c r="X215" i="49"/>
  <c r="AD214" i="49"/>
  <c r="AC214" i="49"/>
  <c r="AB214" i="49"/>
  <c r="X214" i="49"/>
  <c r="AD213" i="49"/>
  <c r="AC213" i="49"/>
  <c r="AB213" i="49"/>
  <c r="X213" i="49"/>
  <c r="AD212" i="49"/>
  <c r="AC212" i="49"/>
  <c r="AB212" i="49"/>
  <c r="X212" i="49"/>
  <c r="AD211" i="49"/>
  <c r="AC211" i="49"/>
  <c r="AB211" i="49"/>
  <c r="X211" i="49"/>
  <c r="AD210" i="49"/>
  <c r="AC210" i="49"/>
  <c r="AB210" i="49"/>
  <c r="X210" i="49"/>
  <c r="AD209" i="49"/>
  <c r="AC209" i="49"/>
  <c r="AB209" i="49"/>
  <c r="X209" i="49"/>
  <c r="AD208" i="49"/>
  <c r="AC208" i="49"/>
  <c r="AB208" i="49"/>
  <c r="X208" i="49"/>
  <c r="AD207" i="49"/>
  <c r="AC207" i="49"/>
  <c r="AB207" i="49"/>
  <c r="X207" i="49"/>
  <c r="AD206" i="49"/>
  <c r="AC206" i="49"/>
  <c r="AB206" i="49"/>
  <c r="X206" i="49"/>
  <c r="AD205" i="49"/>
  <c r="AC205" i="49"/>
  <c r="AB205" i="49"/>
  <c r="X205" i="49"/>
  <c r="AD204" i="49"/>
  <c r="AC204" i="49"/>
  <c r="AB204" i="49"/>
  <c r="X204" i="49"/>
  <c r="AD203" i="49"/>
  <c r="AC203" i="49"/>
  <c r="AB203" i="49"/>
  <c r="X203" i="49"/>
  <c r="AD202" i="49"/>
  <c r="AC202" i="49"/>
  <c r="AB202" i="49"/>
  <c r="X202" i="49"/>
  <c r="AD201" i="49"/>
  <c r="AC201" i="49"/>
  <c r="AB201" i="49"/>
  <c r="X201" i="49"/>
  <c r="AD200" i="49"/>
  <c r="AC200" i="49"/>
  <c r="AB200" i="49"/>
  <c r="X200" i="49"/>
  <c r="AD199" i="49"/>
  <c r="AC199" i="49"/>
  <c r="AB199" i="49"/>
  <c r="X199" i="49"/>
  <c r="AD198" i="49"/>
  <c r="AC198" i="49"/>
  <c r="AB198" i="49"/>
  <c r="X198" i="49"/>
  <c r="AD197" i="49"/>
  <c r="AC197" i="49"/>
  <c r="AB197" i="49"/>
  <c r="X197" i="49"/>
  <c r="AD196" i="49"/>
  <c r="AC196" i="49"/>
  <c r="AB196" i="49"/>
  <c r="X196" i="49"/>
  <c r="AD195" i="49"/>
  <c r="AC195" i="49"/>
  <c r="AB195" i="49"/>
  <c r="X195" i="49"/>
  <c r="AD194" i="49"/>
  <c r="AC194" i="49"/>
  <c r="AB194" i="49"/>
  <c r="X194" i="49"/>
  <c r="AD193" i="49"/>
  <c r="AC193" i="49"/>
  <c r="AB193" i="49"/>
  <c r="X193" i="49"/>
  <c r="AD192" i="49"/>
  <c r="AC192" i="49"/>
  <c r="AB192" i="49"/>
  <c r="X192" i="49"/>
  <c r="AD191" i="49"/>
  <c r="AC191" i="49"/>
  <c r="AB191" i="49"/>
  <c r="X191" i="49"/>
  <c r="AD190" i="49"/>
  <c r="AC190" i="49"/>
  <c r="AB190" i="49"/>
  <c r="X190" i="49"/>
  <c r="AD189" i="49"/>
  <c r="AC189" i="49"/>
  <c r="AB189" i="49"/>
  <c r="X189" i="49"/>
  <c r="AD188" i="49"/>
  <c r="AC188" i="49"/>
  <c r="AB188" i="49"/>
  <c r="X188" i="49"/>
  <c r="AD187" i="49"/>
  <c r="AC187" i="49"/>
  <c r="AB187" i="49"/>
  <c r="X187" i="49"/>
  <c r="AD186" i="49"/>
  <c r="AC186" i="49"/>
  <c r="AB186" i="49"/>
  <c r="X186" i="49"/>
  <c r="AD185" i="49"/>
  <c r="AC185" i="49"/>
  <c r="AB185" i="49"/>
  <c r="X185" i="49"/>
  <c r="AD184" i="49"/>
  <c r="AC184" i="49"/>
  <c r="AB184" i="49"/>
  <c r="X184" i="49"/>
  <c r="AD183" i="49"/>
  <c r="AC183" i="49"/>
  <c r="AB183" i="49"/>
  <c r="X183" i="49"/>
  <c r="AD182" i="49"/>
  <c r="AC182" i="49"/>
  <c r="AB182" i="49"/>
  <c r="X182" i="49"/>
  <c r="AD181" i="49"/>
  <c r="AC181" i="49"/>
  <c r="AB181" i="49"/>
  <c r="X181" i="49"/>
  <c r="AD180" i="49"/>
  <c r="AC180" i="49"/>
  <c r="AB180" i="49"/>
  <c r="X180" i="49"/>
  <c r="AD179" i="49"/>
  <c r="AC179" i="49"/>
  <c r="AB179" i="49"/>
  <c r="X179" i="49"/>
  <c r="AD178" i="49"/>
  <c r="AC178" i="49"/>
  <c r="AB178" i="49"/>
  <c r="X178" i="49"/>
  <c r="AD177" i="49"/>
  <c r="AC177" i="49"/>
  <c r="AB177" i="49"/>
  <c r="X177" i="49"/>
  <c r="AD176" i="49"/>
  <c r="AC176" i="49"/>
  <c r="AB176" i="49"/>
  <c r="X176" i="49"/>
  <c r="AD175" i="49"/>
  <c r="AC175" i="49"/>
  <c r="AB175" i="49"/>
  <c r="X175" i="49"/>
  <c r="AD174" i="49"/>
  <c r="AC174" i="49"/>
  <c r="AB174" i="49"/>
  <c r="X174" i="49"/>
  <c r="AD173" i="49"/>
  <c r="AC173" i="49"/>
  <c r="AB173" i="49"/>
  <c r="X173" i="49"/>
  <c r="AD172" i="49"/>
  <c r="AC172" i="49"/>
  <c r="AB172" i="49"/>
  <c r="X172" i="49"/>
  <c r="AD171" i="49"/>
  <c r="AC171" i="49"/>
  <c r="AB171" i="49"/>
  <c r="X171" i="49"/>
  <c r="AD170" i="49"/>
  <c r="AC170" i="49"/>
  <c r="AB170" i="49"/>
  <c r="X170" i="49"/>
  <c r="AD169" i="49"/>
  <c r="AC169" i="49"/>
  <c r="AB169" i="49"/>
  <c r="X169" i="49"/>
  <c r="AD168" i="49"/>
  <c r="AC168" i="49"/>
  <c r="AB168" i="49"/>
  <c r="X168" i="49"/>
  <c r="AD167" i="49"/>
  <c r="AC167" i="49"/>
  <c r="AB167" i="49"/>
  <c r="X167" i="49"/>
  <c r="AD166" i="49"/>
  <c r="AC166" i="49"/>
  <c r="AB166" i="49"/>
  <c r="X166" i="49"/>
  <c r="AD165" i="49"/>
  <c r="AC165" i="49"/>
  <c r="AB165" i="49"/>
  <c r="X165" i="49"/>
  <c r="AD164" i="49"/>
  <c r="AC164" i="49"/>
  <c r="AB164" i="49"/>
  <c r="X164" i="49"/>
  <c r="AD163" i="49"/>
  <c r="AC163" i="49"/>
  <c r="AB163" i="49"/>
  <c r="X163" i="49"/>
  <c r="AD162" i="49"/>
  <c r="AC162" i="49"/>
  <c r="AB162" i="49"/>
  <c r="X162" i="49"/>
  <c r="AD161" i="49"/>
  <c r="AC161" i="49"/>
  <c r="AB161" i="49"/>
  <c r="X161" i="49"/>
  <c r="AD160" i="49"/>
  <c r="AC160" i="49"/>
  <c r="AB160" i="49"/>
  <c r="X160" i="49"/>
  <c r="AD159" i="49"/>
  <c r="AC159" i="49"/>
  <c r="AB159" i="49"/>
  <c r="X159" i="49"/>
  <c r="AD158" i="49"/>
  <c r="AC158" i="49"/>
  <c r="AB158" i="49"/>
  <c r="X158" i="49"/>
  <c r="AD157" i="49"/>
  <c r="AC157" i="49"/>
  <c r="AB157" i="49"/>
  <c r="X157" i="49"/>
  <c r="AD156" i="49"/>
  <c r="AC156" i="49"/>
  <c r="AB156" i="49"/>
  <c r="X156" i="49"/>
  <c r="AD155" i="49"/>
  <c r="AC155" i="49"/>
  <c r="AB155" i="49"/>
  <c r="X155" i="49"/>
  <c r="AD154" i="49"/>
  <c r="AC154" i="49"/>
  <c r="AB154" i="49"/>
  <c r="X154" i="49"/>
  <c r="AD153" i="49"/>
  <c r="AC153" i="49"/>
  <c r="AB153" i="49"/>
  <c r="X153" i="49"/>
  <c r="AD152" i="49"/>
  <c r="AC152" i="49"/>
  <c r="AB152" i="49"/>
  <c r="X152" i="49"/>
  <c r="AD151" i="49"/>
  <c r="AC151" i="49"/>
  <c r="AB151" i="49"/>
  <c r="X151" i="49"/>
  <c r="AD150" i="49"/>
  <c r="AC150" i="49"/>
  <c r="AB150" i="49"/>
  <c r="X150" i="49"/>
  <c r="AD149" i="49"/>
  <c r="AC149" i="49"/>
  <c r="AB149" i="49"/>
  <c r="X149" i="49"/>
  <c r="AD148" i="49"/>
  <c r="AC148" i="49"/>
  <c r="AB148" i="49"/>
  <c r="X148" i="49"/>
  <c r="AD147" i="49"/>
  <c r="AC147" i="49"/>
  <c r="AB147" i="49"/>
  <c r="X147" i="49"/>
  <c r="AD146" i="49"/>
  <c r="AC146" i="49"/>
  <c r="AB146" i="49"/>
  <c r="X146" i="49"/>
  <c r="AD145" i="49"/>
  <c r="AC145" i="49"/>
  <c r="AB145" i="49"/>
  <c r="X145" i="49"/>
  <c r="AD144" i="49"/>
  <c r="AC144" i="49"/>
  <c r="AB144" i="49"/>
  <c r="X144" i="49"/>
  <c r="AD143" i="49"/>
  <c r="AC143" i="49"/>
  <c r="AB143" i="49"/>
  <c r="X143" i="49"/>
  <c r="AD142" i="49"/>
  <c r="AC142" i="49"/>
  <c r="AB142" i="49"/>
  <c r="X142" i="49"/>
  <c r="AD141" i="49"/>
  <c r="AC141" i="49"/>
  <c r="AB141" i="49"/>
  <c r="X141" i="49"/>
  <c r="AD140" i="49"/>
  <c r="AC140" i="49"/>
  <c r="AB140" i="49"/>
  <c r="X140" i="49"/>
  <c r="AD139" i="49"/>
  <c r="AC139" i="49"/>
  <c r="AB139" i="49"/>
  <c r="X139" i="49"/>
  <c r="AD138" i="49"/>
  <c r="AC138" i="49"/>
  <c r="AB138" i="49"/>
  <c r="X138" i="49"/>
  <c r="AD137" i="49"/>
  <c r="AC137" i="49"/>
  <c r="AB137" i="49"/>
  <c r="X137" i="49"/>
  <c r="AD136" i="49"/>
  <c r="AC136" i="49"/>
  <c r="AB136" i="49"/>
  <c r="X136" i="49"/>
  <c r="AD135" i="49"/>
  <c r="AC135" i="49"/>
  <c r="AB135" i="49"/>
  <c r="X135" i="49"/>
  <c r="AD134" i="49"/>
  <c r="AC134" i="49"/>
  <c r="AB134" i="49"/>
  <c r="X134" i="49"/>
  <c r="AD133" i="49"/>
  <c r="AC133" i="49"/>
  <c r="AB133" i="49"/>
  <c r="X133" i="49"/>
  <c r="AD132" i="49"/>
  <c r="AC132" i="49"/>
  <c r="AB132" i="49"/>
  <c r="X132" i="49"/>
  <c r="AD131" i="49"/>
  <c r="AC131" i="49"/>
  <c r="AB131" i="49"/>
  <c r="X131" i="49"/>
  <c r="AD130" i="49"/>
  <c r="AC130" i="49"/>
  <c r="AB130" i="49"/>
  <c r="X130" i="49"/>
  <c r="AD129" i="49"/>
  <c r="AC129" i="49"/>
  <c r="AB129" i="49"/>
  <c r="X129" i="49"/>
  <c r="AD128" i="49"/>
  <c r="AC128" i="49"/>
  <c r="AB128" i="49"/>
  <c r="X128" i="49"/>
  <c r="AD127" i="49"/>
  <c r="AC127" i="49"/>
  <c r="AB127" i="49"/>
  <c r="X127" i="49"/>
  <c r="AD126" i="49"/>
  <c r="AC126" i="49"/>
  <c r="AB126" i="49"/>
  <c r="X126" i="49"/>
  <c r="AD125" i="49"/>
  <c r="AC125" i="49"/>
  <c r="AB125" i="49"/>
  <c r="X125" i="49"/>
  <c r="AD124" i="49"/>
  <c r="AC124" i="49"/>
  <c r="AB124" i="49"/>
  <c r="X124" i="49"/>
  <c r="AD123" i="49"/>
  <c r="AC123" i="49"/>
  <c r="AB123" i="49"/>
  <c r="X123" i="49"/>
  <c r="AD122" i="49"/>
  <c r="AC122" i="49"/>
  <c r="AB122" i="49"/>
  <c r="X122" i="49"/>
  <c r="AD121" i="49"/>
  <c r="AC121" i="49"/>
  <c r="AB121" i="49"/>
  <c r="X121" i="49"/>
  <c r="AD120" i="49"/>
  <c r="AC120" i="49"/>
  <c r="AB120" i="49"/>
  <c r="X120" i="49"/>
  <c r="AD119" i="49"/>
  <c r="AC119" i="49"/>
  <c r="AB119" i="49"/>
  <c r="X119" i="49"/>
  <c r="AD118" i="49"/>
  <c r="AC118" i="49"/>
  <c r="AB118" i="49"/>
  <c r="X118" i="49"/>
  <c r="AD117" i="49"/>
  <c r="AC117" i="49"/>
  <c r="AB117" i="49"/>
  <c r="X117" i="49"/>
  <c r="AD116" i="49"/>
  <c r="AC116" i="49"/>
  <c r="AB116" i="49"/>
  <c r="X116" i="49"/>
  <c r="AD115" i="49"/>
  <c r="AC115" i="49"/>
  <c r="AB115" i="49"/>
  <c r="X115" i="49"/>
  <c r="AD114" i="49"/>
  <c r="AC114" i="49"/>
  <c r="AB114" i="49"/>
  <c r="X114" i="49"/>
  <c r="AD113" i="49"/>
  <c r="AC113" i="49"/>
  <c r="AB113" i="49"/>
  <c r="X113" i="49"/>
  <c r="AD112" i="49"/>
  <c r="AC112" i="49"/>
  <c r="AB112" i="49"/>
  <c r="X112" i="49"/>
  <c r="AD111" i="49"/>
  <c r="AC111" i="49"/>
  <c r="AB111" i="49"/>
  <c r="X111" i="49"/>
  <c r="AD110" i="49"/>
  <c r="AC110" i="49"/>
  <c r="AB110" i="49"/>
  <c r="X110" i="49"/>
  <c r="AD109" i="49"/>
  <c r="AC109" i="49"/>
  <c r="AB109" i="49"/>
  <c r="X109" i="49"/>
  <c r="AD108" i="49"/>
  <c r="AC108" i="49"/>
  <c r="AB108" i="49"/>
  <c r="X108" i="49"/>
  <c r="AD107" i="49"/>
  <c r="AC107" i="49"/>
  <c r="AB107" i="49"/>
  <c r="X107" i="49"/>
  <c r="AD106" i="49"/>
  <c r="AC106" i="49"/>
  <c r="AB106" i="49"/>
  <c r="X106" i="49"/>
  <c r="AD105" i="49"/>
  <c r="AC105" i="49"/>
  <c r="AB105" i="49"/>
  <c r="X105" i="49"/>
  <c r="AD104" i="49"/>
  <c r="AC104" i="49"/>
  <c r="AB104" i="49"/>
  <c r="X104" i="49"/>
  <c r="AD103" i="49"/>
  <c r="AC103" i="49"/>
  <c r="AB103" i="49"/>
  <c r="X103" i="49"/>
  <c r="AD102" i="49"/>
  <c r="AC102" i="49"/>
  <c r="AB102" i="49"/>
  <c r="X102" i="49"/>
  <c r="AD101" i="49"/>
  <c r="AC101" i="49"/>
  <c r="AB101" i="49"/>
  <c r="X101" i="49"/>
  <c r="AD100" i="49"/>
  <c r="AC100" i="49"/>
  <c r="AB100" i="49"/>
  <c r="X100" i="49"/>
  <c r="AD99" i="49"/>
  <c r="AC99" i="49"/>
  <c r="AB99" i="49"/>
  <c r="X99" i="49"/>
  <c r="AD98" i="49"/>
  <c r="AC98" i="49"/>
  <c r="AB98" i="49"/>
  <c r="X98" i="49"/>
  <c r="AD97" i="49"/>
  <c r="AC97" i="49"/>
  <c r="AB97" i="49"/>
  <c r="X97" i="49"/>
  <c r="AD96" i="49"/>
  <c r="AC96" i="49"/>
  <c r="AB96" i="49"/>
  <c r="X96" i="49"/>
  <c r="AD95" i="49"/>
  <c r="AC95" i="49"/>
  <c r="AB95" i="49"/>
  <c r="X95" i="49"/>
  <c r="AD94" i="49"/>
  <c r="AC94" i="49"/>
  <c r="AB94" i="49"/>
  <c r="X94" i="49"/>
  <c r="AD93" i="49"/>
  <c r="AC93" i="49"/>
  <c r="AB93" i="49"/>
  <c r="X93" i="49"/>
  <c r="AD92" i="49"/>
  <c r="AC92" i="49"/>
  <c r="AB92" i="49"/>
  <c r="X92" i="49"/>
  <c r="AD91" i="49"/>
  <c r="AC91" i="49"/>
  <c r="AB91" i="49"/>
  <c r="X91" i="49"/>
  <c r="AD90" i="49"/>
  <c r="AC90" i="49"/>
  <c r="AB90" i="49"/>
  <c r="X90" i="49"/>
  <c r="AD89" i="49"/>
  <c r="AC89" i="49"/>
  <c r="AB89" i="49"/>
  <c r="X89" i="49"/>
  <c r="AD88" i="49"/>
  <c r="AC88" i="49"/>
  <c r="AB88" i="49"/>
  <c r="X88" i="49"/>
  <c r="AD87" i="49"/>
  <c r="AC87" i="49"/>
  <c r="AB87" i="49"/>
  <c r="X87" i="49"/>
  <c r="AD86" i="49"/>
  <c r="AC86" i="49"/>
  <c r="AB86" i="49"/>
  <c r="X86" i="49"/>
  <c r="AD85" i="49"/>
  <c r="AC85" i="49"/>
  <c r="AB85" i="49"/>
  <c r="X85" i="49"/>
  <c r="AD84" i="49"/>
  <c r="AC84" i="49"/>
  <c r="AB84" i="49"/>
  <c r="X84" i="49"/>
  <c r="AD83" i="49"/>
  <c r="AC83" i="49"/>
  <c r="AB83" i="49"/>
  <c r="X83" i="49"/>
  <c r="AD82" i="49"/>
  <c r="AC82" i="49"/>
  <c r="AB82" i="49"/>
  <c r="X82" i="49"/>
  <c r="AD81" i="49"/>
  <c r="AC81" i="49"/>
  <c r="AB81" i="49"/>
  <c r="X81" i="49"/>
  <c r="AD80" i="49"/>
  <c r="AC80" i="49"/>
  <c r="AB80" i="49"/>
  <c r="X80" i="49"/>
  <c r="AD79" i="49"/>
  <c r="AC79" i="49"/>
  <c r="AB79" i="49"/>
  <c r="X79" i="49"/>
  <c r="AD78" i="49"/>
  <c r="AC78" i="49"/>
  <c r="AB78" i="49"/>
  <c r="X78" i="49"/>
  <c r="AD77" i="49"/>
  <c r="AC77" i="49"/>
  <c r="AB77" i="49"/>
  <c r="X77" i="49"/>
  <c r="AD76" i="49"/>
  <c r="AC76" i="49"/>
  <c r="AB76" i="49"/>
  <c r="X76" i="49"/>
  <c r="AD75" i="49"/>
  <c r="AC75" i="49"/>
  <c r="AB75" i="49"/>
  <c r="X75" i="49"/>
  <c r="AD74" i="49"/>
  <c r="AC74" i="49"/>
  <c r="AB74" i="49"/>
  <c r="X74" i="49"/>
  <c r="AD73" i="49"/>
  <c r="AC73" i="49"/>
  <c r="AB73" i="49"/>
  <c r="X73" i="49"/>
  <c r="AD72" i="49"/>
  <c r="AC72" i="49"/>
  <c r="AB72" i="49"/>
  <c r="X72" i="49"/>
  <c r="AD71" i="49"/>
  <c r="AC71" i="49"/>
  <c r="AB71" i="49"/>
  <c r="X71" i="49"/>
  <c r="AD70" i="49"/>
  <c r="AC70" i="49"/>
  <c r="AB70" i="49"/>
  <c r="X70" i="49"/>
  <c r="AD69" i="49"/>
  <c r="AC69" i="49"/>
  <c r="AB69" i="49"/>
  <c r="X69" i="49"/>
  <c r="AD68" i="49"/>
  <c r="AC68" i="49"/>
  <c r="AB68" i="49"/>
  <c r="X68" i="49"/>
  <c r="AD67" i="49"/>
  <c r="AC67" i="49"/>
  <c r="AB67" i="49"/>
  <c r="X67" i="49"/>
  <c r="AD66" i="49"/>
  <c r="AC66" i="49"/>
  <c r="AB66" i="49"/>
  <c r="X66" i="49"/>
  <c r="AD65" i="49"/>
  <c r="AC65" i="49"/>
  <c r="AB65" i="49"/>
  <c r="X65" i="49"/>
  <c r="AD64" i="49"/>
  <c r="AC64" i="49"/>
  <c r="AB64" i="49"/>
  <c r="X64" i="49"/>
  <c r="AD63" i="49"/>
  <c r="AC63" i="49"/>
  <c r="AB63" i="49"/>
  <c r="X63" i="49"/>
  <c r="AD62" i="49"/>
  <c r="AC62" i="49"/>
  <c r="AB62" i="49"/>
  <c r="X62" i="49"/>
  <c r="AD61" i="49"/>
  <c r="AC61" i="49"/>
  <c r="AB61" i="49"/>
  <c r="X61" i="49"/>
  <c r="AD60" i="49"/>
  <c r="AC60" i="49"/>
  <c r="AB60" i="49"/>
  <c r="X60" i="49"/>
  <c r="AD59" i="49"/>
  <c r="AC59" i="49"/>
  <c r="AB59" i="49"/>
  <c r="X59" i="49"/>
  <c r="AD58" i="49"/>
  <c r="AC58" i="49"/>
  <c r="AB58" i="49"/>
  <c r="X58" i="49"/>
  <c r="AD57" i="49"/>
  <c r="AC57" i="49"/>
  <c r="AB57" i="49"/>
  <c r="X57" i="49"/>
  <c r="AD56" i="49"/>
  <c r="AC56" i="49"/>
  <c r="AB56" i="49"/>
  <c r="X56" i="49"/>
  <c r="AD55" i="49"/>
  <c r="AC55" i="49"/>
  <c r="AB55" i="49"/>
  <c r="X55" i="49"/>
  <c r="AD54" i="49"/>
  <c r="AC54" i="49"/>
  <c r="AB54" i="49"/>
  <c r="X54" i="49"/>
  <c r="AD53" i="49"/>
  <c r="AC53" i="49"/>
  <c r="AB53" i="49"/>
  <c r="X53" i="49"/>
  <c r="AD52" i="49"/>
  <c r="AC52" i="49"/>
  <c r="AB52" i="49"/>
  <c r="X52" i="49"/>
  <c r="AD51" i="49"/>
  <c r="AC51" i="49"/>
  <c r="AB51" i="49"/>
  <c r="X51" i="49"/>
  <c r="AD50" i="49"/>
  <c r="AC50" i="49"/>
  <c r="AB50" i="49"/>
  <c r="X50" i="49"/>
  <c r="AD49" i="49"/>
  <c r="AC49" i="49"/>
  <c r="AB49" i="49"/>
  <c r="X49" i="49"/>
  <c r="AD48" i="49"/>
  <c r="AC48" i="49"/>
  <c r="AB48" i="49"/>
  <c r="X48" i="49"/>
  <c r="AD47" i="49"/>
  <c r="AC47" i="49"/>
  <c r="AB47" i="49"/>
  <c r="X47" i="49"/>
  <c r="AD46" i="49"/>
  <c r="AC46" i="49"/>
  <c r="AB46" i="49"/>
  <c r="X46" i="49"/>
  <c r="AD45" i="49"/>
  <c r="AC45" i="49"/>
  <c r="AB45" i="49"/>
  <c r="X45" i="49"/>
  <c r="AD44" i="49"/>
  <c r="AC44" i="49"/>
  <c r="AB44" i="49"/>
  <c r="X44" i="49"/>
  <c r="AD43" i="49"/>
  <c r="AC43" i="49"/>
  <c r="AB43" i="49"/>
  <c r="X43" i="49"/>
  <c r="AD42" i="49"/>
  <c r="AC42" i="49"/>
  <c r="AB42" i="49"/>
  <c r="X42" i="49"/>
  <c r="AD41" i="49"/>
  <c r="AC41" i="49"/>
  <c r="AB41" i="49"/>
  <c r="X41" i="49"/>
  <c r="AD40" i="49"/>
  <c r="AC40" i="49"/>
  <c r="AB40" i="49"/>
  <c r="X40" i="49"/>
  <c r="AD39" i="49"/>
  <c r="AC39" i="49"/>
  <c r="AB39" i="49"/>
  <c r="X39" i="49"/>
  <c r="AD38" i="49"/>
  <c r="AC38" i="49"/>
  <c r="AB38" i="49"/>
  <c r="X38" i="49"/>
  <c r="AD37" i="49"/>
  <c r="AC37" i="49"/>
  <c r="AB37" i="49"/>
  <c r="X37" i="49"/>
  <c r="AD36" i="49"/>
  <c r="AC36" i="49"/>
  <c r="AB36" i="49"/>
  <c r="X36" i="49"/>
  <c r="AD35" i="49"/>
  <c r="AC35" i="49"/>
  <c r="AB35" i="49"/>
  <c r="X35" i="49"/>
  <c r="AD34" i="49"/>
  <c r="AC34" i="49"/>
  <c r="AB34" i="49"/>
  <c r="X34" i="49"/>
  <c r="AD33" i="49"/>
  <c r="AC33" i="49"/>
  <c r="AB33" i="49"/>
  <c r="X33" i="49"/>
  <c r="AD32" i="49"/>
  <c r="AC32" i="49"/>
  <c r="AB32" i="49"/>
  <c r="X32" i="49"/>
  <c r="AD31" i="49"/>
  <c r="AC31" i="49"/>
  <c r="AB31" i="49"/>
  <c r="X31" i="49"/>
  <c r="AD30" i="49"/>
  <c r="AC30" i="49"/>
  <c r="AB30" i="49"/>
  <c r="X30" i="49"/>
  <c r="AD29" i="49"/>
  <c r="AC29" i="49"/>
  <c r="AB29" i="49"/>
  <c r="X29" i="49"/>
  <c r="AD28" i="49"/>
  <c r="AC28" i="49"/>
  <c r="AB28" i="49"/>
  <c r="X28" i="49"/>
  <c r="AD27" i="49"/>
  <c r="AC27" i="49"/>
  <c r="AB27" i="49"/>
  <c r="X27" i="49"/>
  <c r="AD26" i="49"/>
  <c r="AC26" i="49"/>
  <c r="AB26" i="49"/>
  <c r="X26" i="49"/>
  <c r="AD25" i="49"/>
  <c r="AC25" i="49"/>
  <c r="AB25" i="49"/>
  <c r="X25" i="49"/>
  <c r="AD24" i="49"/>
  <c r="AC24" i="49"/>
  <c r="AB24" i="49"/>
  <c r="X24" i="49"/>
  <c r="AD23" i="49"/>
  <c r="AC23" i="49"/>
  <c r="AB23" i="49"/>
  <c r="X23" i="49"/>
  <c r="AD22" i="49"/>
  <c r="AC22" i="49"/>
  <c r="AB22" i="49"/>
  <c r="X22" i="49"/>
  <c r="AD21" i="49"/>
  <c r="AC21" i="49"/>
  <c r="AB21" i="49"/>
  <c r="X21" i="49"/>
  <c r="AD20" i="49"/>
  <c r="AC20" i="49"/>
  <c r="AB20" i="49"/>
  <c r="X20" i="49"/>
  <c r="AD19" i="49"/>
  <c r="AC19" i="49"/>
  <c r="AB19" i="49"/>
  <c r="X19" i="49"/>
  <c r="AD18" i="49"/>
  <c r="AC18" i="49"/>
  <c r="AB18" i="49"/>
  <c r="X18" i="49"/>
  <c r="AD17" i="49"/>
  <c r="AC17" i="49"/>
  <c r="AB17" i="49"/>
  <c r="X17" i="49"/>
  <c r="AD16" i="49"/>
  <c r="AC16" i="49"/>
  <c r="AB16" i="49"/>
  <c r="X16" i="49"/>
  <c r="AD15" i="49"/>
  <c r="AC15" i="49"/>
  <c r="AB15" i="49"/>
  <c r="X15" i="49"/>
  <c r="AD14" i="49"/>
  <c r="AC14" i="49"/>
  <c r="AB14" i="49"/>
  <c r="X14" i="49"/>
  <c r="AD13" i="49"/>
  <c r="AC13" i="49"/>
  <c r="AB13" i="49"/>
  <c r="X13" i="49"/>
  <c r="AD12" i="49"/>
  <c r="AC12" i="49"/>
  <c r="AB12" i="49"/>
  <c r="X12" i="49"/>
  <c r="AD11" i="49"/>
  <c r="AC11" i="49"/>
  <c r="AB11" i="49"/>
  <c r="X11" i="49"/>
  <c r="AD10" i="49"/>
  <c r="AC10" i="49"/>
  <c r="AB10" i="49"/>
  <c r="X10" i="49"/>
  <c r="AD9" i="49"/>
  <c r="AC9" i="49"/>
  <c r="AB9" i="49"/>
  <c r="X9" i="49"/>
  <c r="AD8" i="49"/>
  <c r="AC8" i="49"/>
  <c r="AB8" i="49"/>
  <c r="X8" i="49"/>
  <c r="AD7" i="49"/>
  <c r="AC7" i="49"/>
  <c r="AB7" i="49"/>
  <c r="X7" i="49"/>
  <c r="AD6" i="49"/>
  <c r="AC6" i="49"/>
  <c r="AB6" i="49"/>
  <c r="X6" i="49"/>
  <c r="AD5" i="49"/>
  <c r="AC5" i="49"/>
  <c r="AB5" i="49"/>
  <c r="X5" i="49"/>
  <c r="AD4" i="49"/>
  <c r="AC4" i="49"/>
  <c r="AB4" i="49"/>
  <c r="X4" i="49"/>
  <c r="AD3" i="49"/>
  <c r="AC3" i="49"/>
  <c r="AB3" i="49"/>
  <c r="X3" i="49"/>
  <c r="AD2" i="49"/>
  <c r="AC2" i="49"/>
  <c r="AB2" i="49"/>
  <c r="X2" i="49"/>
  <c r="AE1" i="49"/>
  <c r="AB1" i="49"/>
  <c r="Y1" i="49"/>
  <c r="AD699" i="47"/>
  <c r="AC699" i="47"/>
  <c r="AB699" i="47"/>
  <c r="AD698" i="47"/>
  <c r="AC698" i="47"/>
  <c r="AB698" i="47"/>
  <c r="AD697" i="47"/>
  <c r="AC697" i="47"/>
  <c r="AB697" i="47"/>
  <c r="AD696" i="47"/>
  <c r="AC696" i="47"/>
  <c r="AB696" i="47"/>
  <c r="AD695" i="47"/>
  <c r="AC695" i="47"/>
  <c r="AB695" i="47"/>
  <c r="AD694" i="47"/>
  <c r="AC694" i="47"/>
  <c r="AB694" i="47"/>
  <c r="AD693" i="47"/>
  <c r="AC693" i="47"/>
  <c r="AB693" i="47"/>
  <c r="AD692" i="47"/>
  <c r="AC692" i="47"/>
  <c r="AB692" i="47"/>
  <c r="AD691" i="47"/>
  <c r="AC691" i="47"/>
  <c r="AB691" i="47"/>
  <c r="AD690" i="47"/>
  <c r="AC690" i="47"/>
  <c r="AB690" i="47"/>
  <c r="AD689" i="47"/>
  <c r="AC689" i="47"/>
  <c r="AB689" i="47"/>
  <c r="AD688" i="47"/>
  <c r="AC688" i="47"/>
  <c r="AB688" i="47"/>
  <c r="AD687" i="47"/>
  <c r="AC687" i="47"/>
  <c r="AB687" i="47"/>
  <c r="AD686" i="47"/>
  <c r="AC686" i="47"/>
  <c r="AB686" i="47"/>
  <c r="AD685" i="47"/>
  <c r="AC685" i="47"/>
  <c r="AB685" i="47"/>
  <c r="AD684" i="47"/>
  <c r="AC684" i="47"/>
  <c r="AB684" i="47"/>
  <c r="AD683" i="47"/>
  <c r="AC683" i="47"/>
  <c r="AB683" i="47"/>
  <c r="AD682" i="47"/>
  <c r="AC682" i="47"/>
  <c r="AB682" i="47"/>
  <c r="AD681" i="47"/>
  <c r="AC681" i="47"/>
  <c r="AB681" i="47"/>
  <c r="AD680" i="47"/>
  <c r="AC680" i="47"/>
  <c r="AB680" i="47"/>
  <c r="AD679" i="47"/>
  <c r="AC679" i="47"/>
  <c r="AB679" i="47"/>
  <c r="AD678" i="47"/>
  <c r="AC678" i="47"/>
  <c r="AB678" i="47"/>
  <c r="AD677" i="47"/>
  <c r="AC677" i="47"/>
  <c r="AB677" i="47"/>
  <c r="AD676" i="47"/>
  <c r="AC676" i="47"/>
  <c r="AB676" i="47"/>
  <c r="AD675" i="47"/>
  <c r="AC675" i="47"/>
  <c r="AB675" i="47"/>
  <c r="AD674" i="47"/>
  <c r="AC674" i="47"/>
  <c r="AB674" i="47"/>
  <c r="AD673" i="47"/>
  <c r="AC673" i="47"/>
  <c r="AB673" i="47"/>
  <c r="AD672" i="47"/>
  <c r="AC672" i="47"/>
  <c r="AB672" i="47"/>
  <c r="AD671" i="47"/>
  <c r="AC671" i="47"/>
  <c r="AB671" i="47"/>
  <c r="AD670" i="47"/>
  <c r="AC670" i="47"/>
  <c r="AB670" i="47"/>
  <c r="AD669" i="47"/>
  <c r="AC669" i="47"/>
  <c r="AB669" i="47"/>
  <c r="AD668" i="47"/>
  <c r="AC668" i="47"/>
  <c r="AB668" i="47"/>
  <c r="AD667" i="47"/>
  <c r="AC667" i="47"/>
  <c r="AB667" i="47"/>
  <c r="AD666" i="47"/>
  <c r="AC666" i="47"/>
  <c r="AB666" i="47"/>
  <c r="AD665" i="47"/>
  <c r="AC665" i="47"/>
  <c r="AB665" i="47"/>
  <c r="AD664" i="47"/>
  <c r="AC664" i="47"/>
  <c r="AB664" i="47"/>
  <c r="AD663" i="47"/>
  <c r="AC663" i="47"/>
  <c r="AB663" i="47"/>
  <c r="AD662" i="47"/>
  <c r="AC662" i="47"/>
  <c r="AB662" i="47"/>
  <c r="AD661" i="47"/>
  <c r="AC661" i="47"/>
  <c r="AB661" i="47"/>
  <c r="AD660" i="47"/>
  <c r="AC660" i="47"/>
  <c r="AB660" i="47"/>
  <c r="AD659" i="47"/>
  <c r="AC659" i="47"/>
  <c r="AB659" i="47"/>
  <c r="AD658" i="47"/>
  <c r="AC658" i="47"/>
  <c r="AB658" i="47"/>
  <c r="AD657" i="47"/>
  <c r="AC657" i="47"/>
  <c r="AB657" i="47"/>
  <c r="AD656" i="47"/>
  <c r="AC656" i="47"/>
  <c r="AB656" i="47"/>
  <c r="AD655" i="47"/>
  <c r="AC655" i="47"/>
  <c r="AB655" i="47"/>
  <c r="AD654" i="47"/>
  <c r="AC654" i="47"/>
  <c r="AB654" i="47"/>
  <c r="AD653" i="47"/>
  <c r="AC653" i="47"/>
  <c r="AB653" i="47"/>
  <c r="AD652" i="47"/>
  <c r="AC652" i="47"/>
  <c r="AB652" i="47"/>
  <c r="AD651" i="47"/>
  <c r="AC651" i="47"/>
  <c r="AB651" i="47"/>
  <c r="AD650" i="47"/>
  <c r="AC650" i="47"/>
  <c r="AB650" i="47"/>
  <c r="AD649" i="47"/>
  <c r="AC649" i="47"/>
  <c r="AB649" i="47"/>
  <c r="AD648" i="47"/>
  <c r="AC648" i="47"/>
  <c r="AB648" i="47"/>
  <c r="AD647" i="47"/>
  <c r="AC647" i="47"/>
  <c r="AB647" i="47"/>
  <c r="AD646" i="47"/>
  <c r="AC646" i="47"/>
  <c r="AB646" i="47"/>
  <c r="AD645" i="47"/>
  <c r="AC645" i="47"/>
  <c r="AB645" i="47"/>
  <c r="AD644" i="47"/>
  <c r="AC644" i="47"/>
  <c r="AB644" i="47"/>
  <c r="AD643" i="47"/>
  <c r="AC643" i="47"/>
  <c r="AB643" i="47"/>
  <c r="AD642" i="47"/>
  <c r="AC642" i="47"/>
  <c r="AB642" i="47"/>
  <c r="AD641" i="47"/>
  <c r="AC641" i="47"/>
  <c r="AB641" i="47"/>
  <c r="AD640" i="47"/>
  <c r="AC640" i="47"/>
  <c r="AB640" i="47"/>
  <c r="AD639" i="47"/>
  <c r="AC639" i="47"/>
  <c r="AB639" i="47"/>
  <c r="AD638" i="47"/>
  <c r="AC638" i="47"/>
  <c r="AB638" i="47"/>
  <c r="AD637" i="47"/>
  <c r="AC637" i="47"/>
  <c r="AB637" i="47"/>
  <c r="AD636" i="47"/>
  <c r="AC636" i="47"/>
  <c r="AB636" i="47"/>
  <c r="AD635" i="47"/>
  <c r="AC635" i="47"/>
  <c r="AB635" i="47"/>
  <c r="AD634" i="47"/>
  <c r="AC634" i="47"/>
  <c r="AB634" i="47"/>
  <c r="AD633" i="47"/>
  <c r="AC633" i="47"/>
  <c r="AB633" i="47"/>
  <c r="AD632" i="47"/>
  <c r="AC632" i="47"/>
  <c r="AB632" i="47"/>
  <c r="AD631" i="47"/>
  <c r="AC631" i="47"/>
  <c r="AB631" i="47"/>
  <c r="AD630" i="47"/>
  <c r="AC630" i="47"/>
  <c r="AB630" i="47"/>
  <c r="AD629" i="47"/>
  <c r="AC629" i="47"/>
  <c r="AB629" i="47"/>
  <c r="AD628" i="47"/>
  <c r="AC628" i="47"/>
  <c r="AB628" i="47"/>
  <c r="AD627" i="47"/>
  <c r="AC627" i="47"/>
  <c r="AB627" i="47"/>
  <c r="AD626" i="47"/>
  <c r="AC626" i="47"/>
  <c r="AB626" i="47"/>
  <c r="AD625" i="47"/>
  <c r="AC625" i="47"/>
  <c r="AB625" i="47"/>
  <c r="AD624" i="47"/>
  <c r="AC624" i="47"/>
  <c r="AB624" i="47"/>
  <c r="AD623" i="47"/>
  <c r="AC623" i="47"/>
  <c r="AB623" i="47"/>
  <c r="AD622" i="47"/>
  <c r="AC622" i="47"/>
  <c r="AB622" i="47"/>
  <c r="AD621" i="47"/>
  <c r="AC621" i="47"/>
  <c r="AB621" i="47"/>
  <c r="AD620" i="47"/>
  <c r="AC620" i="47"/>
  <c r="AB620" i="47"/>
  <c r="AD619" i="47"/>
  <c r="AC619" i="47"/>
  <c r="AB619" i="47"/>
  <c r="AD618" i="47"/>
  <c r="AC618" i="47"/>
  <c r="AB618" i="47"/>
  <c r="AD617" i="47"/>
  <c r="AC617" i="47"/>
  <c r="AB617" i="47"/>
  <c r="AD616" i="47"/>
  <c r="AC616" i="47"/>
  <c r="AB616" i="47"/>
  <c r="AD615" i="47"/>
  <c r="AC615" i="47"/>
  <c r="AB615" i="47"/>
  <c r="AD614" i="47"/>
  <c r="AC614" i="47"/>
  <c r="AB614" i="47"/>
  <c r="AD613" i="47"/>
  <c r="AC613" i="47"/>
  <c r="AB613" i="47"/>
  <c r="AD612" i="47"/>
  <c r="AC612" i="47"/>
  <c r="AB612" i="47"/>
  <c r="AD611" i="47"/>
  <c r="AC611" i="47"/>
  <c r="AB611" i="47"/>
  <c r="AD610" i="47"/>
  <c r="AC610" i="47"/>
  <c r="AB610" i="47"/>
  <c r="AD609" i="47"/>
  <c r="AC609" i="47"/>
  <c r="AB609" i="47"/>
  <c r="AD608" i="47"/>
  <c r="AC608" i="47"/>
  <c r="AB608" i="47"/>
  <c r="AD607" i="47"/>
  <c r="AC607" i="47"/>
  <c r="AB607" i="47"/>
  <c r="AD606" i="47"/>
  <c r="AC606" i="47"/>
  <c r="AB606" i="47"/>
  <c r="AD605" i="47"/>
  <c r="AC605" i="47"/>
  <c r="AB605" i="47"/>
  <c r="AD604" i="47"/>
  <c r="AC604" i="47"/>
  <c r="AB604" i="47"/>
  <c r="AD603" i="47"/>
  <c r="AC603" i="47"/>
  <c r="AB603" i="47"/>
  <c r="AD602" i="47"/>
  <c r="AC602" i="47"/>
  <c r="AB602" i="47"/>
  <c r="AD601" i="47"/>
  <c r="AC601" i="47"/>
  <c r="AB601" i="47"/>
  <c r="AD600" i="47"/>
  <c r="AC600" i="47"/>
  <c r="AB600" i="47"/>
  <c r="AD599" i="47"/>
  <c r="AC599" i="47"/>
  <c r="AB599" i="47"/>
  <c r="AD598" i="47"/>
  <c r="AC598" i="47"/>
  <c r="AB598" i="47"/>
  <c r="AD597" i="47"/>
  <c r="AC597" i="47"/>
  <c r="AB597" i="47"/>
  <c r="AD596" i="47"/>
  <c r="AC596" i="47"/>
  <c r="AB596" i="47"/>
  <c r="AD595" i="47"/>
  <c r="AC595" i="47"/>
  <c r="AB595" i="47"/>
  <c r="AD594" i="47"/>
  <c r="AC594" i="47"/>
  <c r="AB594" i="47"/>
  <c r="AD593" i="47"/>
  <c r="AC593" i="47"/>
  <c r="AB593" i="47"/>
  <c r="AD592" i="47"/>
  <c r="AC592" i="47"/>
  <c r="AB592" i="47"/>
  <c r="AD591" i="47"/>
  <c r="AC591" i="47"/>
  <c r="AB591" i="47"/>
  <c r="AD590" i="47"/>
  <c r="AC590" i="47"/>
  <c r="AB590" i="47"/>
  <c r="AD589" i="47"/>
  <c r="AC589" i="47"/>
  <c r="AB589" i="47"/>
  <c r="AD588" i="47"/>
  <c r="AC588" i="47"/>
  <c r="AB588" i="47"/>
  <c r="AD587" i="47"/>
  <c r="AC587" i="47"/>
  <c r="AB587" i="47"/>
  <c r="AD586" i="47"/>
  <c r="AC586" i="47"/>
  <c r="AB586" i="47"/>
  <c r="AD585" i="47"/>
  <c r="AC585" i="47"/>
  <c r="AB585" i="47"/>
  <c r="AD584" i="47"/>
  <c r="AC584" i="47"/>
  <c r="AB584" i="47"/>
  <c r="AD583" i="47"/>
  <c r="AC583" i="47"/>
  <c r="AB583" i="47"/>
  <c r="AD582" i="47"/>
  <c r="AC582" i="47"/>
  <c r="AB582" i="47"/>
  <c r="AD581" i="47"/>
  <c r="AC581" i="47"/>
  <c r="AB581" i="47"/>
  <c r="AD580" i="47"/>
  <c r="AC580" i="47"/>
  <c r="AB580" i="47"/>
  <c r="AD579" i="47"/>
  <c r="AC579" i="47"/>
  <c r="AB579" i="47"/>
  <c r="AD578" i="47"/>
  <c r="AC578" i="47"/>
  <c r="AB578" i="47"/>
  <c r="AD577" i="47"/>
  <c r="AC577" i="47"/>
  <c r="AB577" i="47"/>
  <c r="AD576" i="47"/>
  <c r="AC576" i="47"/>
  <c r="AB576" i="47"/>
  <c r="AD575" i="47"/>
  <c r="AC575" i="47"/>
  <c r="AB575" i="47"/>
  <c r="AD574" i="47"/>
  <c r="AC574" i="47"/>
  <c r="AB574" i="47"/>
  <c r="AD573" i="47"/>
  <c r="AC573" i="47"/>
  <c r="AB573" i="47"/>
  <c r="AD572" i="47"/>
  <c r="AC572" i="47"/>
  <c r="AB572" i="47"/>
  <c r="AD571" i="47"/>
  <c r="AC571" i="47"/>
  <c r="AB571" i="47"/>
  <c r="AD570" i="47"/>
  <c r="AC570" i="47"/>
  <c r="AB570" i="47"/>
  <c r="AD569" i="47"/>
  <c r="AC569" i="47"/>
  <c r="AB569" i="47"/>
  <c r="AD568" i="47"/>
  <c r="AC568" i="47"/>
  <c r="AB568" i="47"/>
  <c r="AD567" i="47"/>
  <c r="AC567" i="47"/>
  <c r="AB567" i="47"/>
  <c r="AD566" i="47"/>
  <c r="AC566" i="47"/>
  <c r="AB566" i="47"/>
  <c r="AD565" i="47"/>
  <c r="AC565" i="47"/>
  <c r="AB565" i="47"/>
  <c r="AD564" i="47"/>
  <c r="AC564" i="47"/>
  <c r="AB564" i="47"/>
  <c r="AD563" i="47"/>
  <c r="AC563" i="47"/>
  <c r="AB563" i="47"/>
  <c r="AD562" i="47"/>
  <c r="AC562" i="47"/>
  <c r="AB562" i="47"/>
  <c r="AD561" i="47"/>
  <c r="AC561" i="47"/>
  <c r="AB561" i="47"/>
  <c r="AD560" i="47"/>
  <c r="AC560" i="47"/>
  <c r="AB560" i="47"/>
  <c r="AD559" i="47"/>
  <c r="AC559" i="47"/>
  <c r="AB559" i="47"/>
  <c r="AD558" i="47"/>
  <c r="AC558" i="47"/>
  <c r="AB558" i="47"/>
  <c r="AD557" i="47"/>
  <c r="AC557" i="47"/>
  <c r="AB557" i="47"/>
  <c r="AD556" i="47"/>
  <c r="AC556" i="47"/>
  <c r="AB556" i="47"/>
  <c r="AD555" i="47"/>
  <c r="AC555" i="47"/>
  <c r="AB555" i="47"/>
  <c r="AD554" i="47"/>
  <c r="AC554" i="47"/>
  <c r="AB554" i="47"/>
  <c r="AD553" i="47"/>
  <c r="AC553" i="47"/>
  <c r="AB553" i="47"/>
  <c r="AD552" i="47"/>
  <c r="AC552" i="47"/>
  <c r="AB552" i="47"/>
  <c r="AD551" i="47"/>
  <c r="AC551" i="47"/>
  <c r="AB551" i="47"/>
  <c r="AD550" i="47"/>
  <c r="AC550" i="47"/>
  <c r="AB550" i="47"/>
  <c r="AD549" i="47"/>
  <c r="AC549" i="47"/>
  <c r="AB549" i="47"/>
  <c r="AD548" i="47"/>
  <c r="AC548" i="47"/>
  <c r="AB548" i="47"/>
  <c r="AD547" i="47"/>
  <c r="AC547" i="47"/>
  <c r="AB547" i="47"/>
  <c r="AD546" i="47"/>
  <c r="AC546" i="47"/>
  <c r="AB546" i="47"/>
  <c r="AD545" i="47"/>
  <c r="AC545" i="47"/>
  <c r="AB545" i="47"/>
  <c r="AD544" i="47"/>
  <c r="AC544" i="47"/>
  <c r="AB544" i="47"/>
  <c r="AD543" i="47"/>
  <c r="AC543" i="47"/>
  <c r="AB543" i="47"/>
  <c r="AD542" i="47"/>
  <c r="AC542" i="47"/>
  <c r="AB542" i="47"/>
  <c r="AD541" i="47"/>
  <c r="AC541" i="47"/>
  <c r="AB541" i="47"/>
  <c r="AD540" i="47"/>
  <c r="AC540" i="47"/>
  <c r="AB540" i="47"/>
  <c r="AD539" i="47"/>
  <c r="AC539" i="47"/>
  <c r="AB539" i="47"/>
  <c r="AD538" i="47"/>
  <c r="AC538" i="47"/>
  <c r="AB538" i="47"/>
  <c r="AD537" i="47"/>
  <c r="AC537" i="47"/>
  <c r="AB537" i="47"/>
  <c r="AD536" i="47"/>
  <c r="AC536" i="47"/>
  <c r="AB536" i="47"/>
  <c r="AD535" i="47"/>
  <c r="AC535" i="47"/>
  <c r="AB535" i="47"/>
  <c r="AD534" i="47"/>
  <c r="AC534" i="47"/>
  <c r="AB534" i="47"/>
  <c r="AD533" i="47"/>
  <c r="AC533" i="47"/>
  <c r="AB533" i="47"/>
  <c r="AD532" i="47"/>
  <c r="AC532" i="47"/>
  <c r="AB532" i="47"/>
  <c r="AD531" i="47"/>
  <c r="AC531" i="47"/>
  <c r="AB531" i="47"/>
  <c r="AD530" i="47"/>
  <c r="AC530" i="47"/>
  <c r="AB530" i="47"/>
  <c r="AD529" i="47"/>
  <c r="AC529" i="47"/>
  <c r="AB529" i="47"/>
  <c r="AD528" i="47"/>
  <c r="AC528" i="47"/>
  <c r="AB528" i="47"/>
  <c r="AD527" i="47"/>
  <c r="AC527" i="47"/>
  <c r="AB527" i="47"/>
  <c r="AD526" i="47"/>
  <c r="AC526" i="47"/>
  <c r="AB526" i="47"/>
  <c r="AD525" i="47"/>
  <c r="AC525" i="47"/>
  <c r="AB525" i="47"/>
  <c r="AD524" i="47"/>
  <c r="AC524" i="47"/>
  <c r="AB524" i="47"/>
  <c r="AD523" i="47"/>
  <c r="AC523" i="47"/>
  <c r="AB523" i="47"/>
  <c r="AD522" i="47"/>
  <c r="AC522" i="47"/>
  <c r="AB522" i="47"/>
  <c r="AD521" i="47"/>
  <c r="AC521" i="47"/>
  <c r="AB521" i="47"/>
  <c r="AD520" i="47"/>
  <c r="AC520" i="47"/>
  <c r="AB520" i="47"/>
  <c r="AD519" i="47"/>
  <c r="AC519" i="47"/>
  <c r="AB519" i="47"/>
  <c r="AD518" i="47"/>
  <c r="AC518" i="47"/>
  <c r="AB518" i="47"/>
  <c r="AD517" i="47"/>
  <c r="AC517" i="47"/>
  <c r="AB517" i="47"/>
  <c r="AD516" i="47"/>
  <c r="AC516" i="47"/>
  <c r="AB516" i="47"/>
  <c r="AD515" i="47"/>
  <c r="AC515" i="47"/>
  <c r="AB515" i="47"/>
  <c r="AD514" i="47"/>
  <c r="AC514" i="47"/>
  <c r="AB514" i="47"/>
  <c r="AD513" i="47"/>
  <c r="AC513" i="47"/>
  <c r="AB513" i="47"/>
  <c r="AD512" i="47"/>
  <c r="AC512" i="47"/>
  <c r="AB512" i="47"/>
  <c r="AD511" i="47"/>
  <c r="AC511" i="47"/>
  <c r="AB511" i="47"/>
  <c r="AD510" i="47"/>
  <c r="AC510" i="47"/>
  <c r="AB510" i="47"/>
  <c r="AD509" i="47"/>
  <c r="AC509" i="47"/>
  <c r="AB509" i="47"/>
  <c r="AD508" i="47"/>
  <c r="AC508" i="47"/>
  <c r="AB508" i="47"/>
  <c r="AD507" i="47"/>
  <c r="AC507" i="47"/>
  <c r="AB507" i="47"/>
  <c r="AD506" i="47"/>
  <c r="AC506" i="47"/>
  <c r="AB506" i="47"/>
  <c r="AD505" i="47"/>
  <c r="AC505" i="47"/>
  <c r="AB505" i="47"/>
  <c r="AD504" i="47"/>
  <c r="AC504" i="47"/>
  <c r="AB504" i="47"/>
  <c r="AD503" i="47"/>
  <c r="AC503" i="47"/>
  <c r="AB503" i="47"/>
  <c r="AD502" i="47"/>
  <c r="AC502" i="47"/>
  <c r="AB502" i="47"/>
  <c r="AD501" i="47"/>
  <c r="AC501" i="47"/>
  <c r="AB501" i="47"/>
  <c r="AD500" i="47"/>
  <c r="AC500" i="47"/>
  <c r="AB500" i="47"/>
  <c r="AD499" i="47"/>
  <c r="AC499" i="47"/>
  <c r="AB499" i="47"/>
  <c r="AD498" i="47"/>
  <c r="AC498" i="47"/>
  <c r="AB498" i="47"/>
  <c r="AD497" i="47"/>
  <c r="AC497" i="47"/>
  <c r="AB497" i="47"/>
  <c r="AD496" i="47"/>
  <c r="AC496" i="47"/>
  <c r="AB496" i="47"/>
  <c r="AD495" i="47"/>
  <c r="AC495" i="47"/>
  <c r="AB495" i="47"/>
  <c r="AD494" i="47"/>
  <c r="AC494" i="47"/>
  <c r="AB494" i="47"/>
  <c r="AD493" i="47"/>
  <c r="AC493" i="47"/>
  <c r="AB493" i="47"/>
  <c r="AD492" i="47"/>
  <c r="AC492" i="47"/>
  <c r="AB492" i="47"/>
  <c r="AD491" i="47"/>
  <c r="AC491" i="47"/>
  <c r="AB491" i="47"/>
  <c r="AD490" i="47"/>
  <c r="AC490" i="47"/>
  <c r="AB490" i="47"/>
  <c r="AD489" i="47"/>
  <c r="AC489" i="47"/>
  <c r="AB489" i="47"/>
  <c r="AD488" i="47"/>
  <c r="AC488" i="47"/>
  <c r="AB488" i="47"/>
  <c r="AD487" i="47"/>
  <c r="AC487" i="47"/>
  <c r="AB487" i="47"/>
  <c r="AD486" i="47"/>
  <c r="AC486" i="47"/>
  <c r="AB486" i="47"/>
  <c r="AD485" i="47"/>
  <c r="AC485" i="47"/>
  <c r="AB485" i="47"/>
  <c r="AD484" i="47"/>
  <c r="AC484" i="47"/>
  <c r="AB484" i="47"/>
  <c r="AD483" i="47"/>
  <c r="AC483" i="47"/>
  <c r="AB483" i="47"/>
  <c r="AD482" i="47"/>
  <c r="AC482" i="47"/>
  <c r="AB482" i="47"/>
  <c r="AD481" i="47"/>
  <c r="AC481" i="47"/>
  <c r="AB481" i="47"/>
  <c r="AD480" i="47"/>
  <c r="AC480" i="47"/>
  <c r="AB480" i="47"/>
  <c r="AD479" i="47"/>
  <c r="AC479" i="47"/>
  <c r="AB479" i="47"/>
  <c r="AD478" i="47"/>
  <c r="AC478" i="47"/>
  <c r="AB478" i="47"/>
  <c r="AD477" i="47"/>
  <c r="AC477" i="47"/>
  <c r="AB477" i="47"/>
  <c r="AD476" i="47"/>
  <c r="AC476" i="47"/>
  <c r="AB476" i="47"/>
  <c r="AD475" i="47"/>
  <c r="AC475" i="47"/>
  <c r="AB475" i="47"/>
  <c r="AD474" i="47"/>
  <c r="AC474" i="47"/>
  <c r="AB474" i="47"/>
  <c r="AD473" i="47"/>
  <c r="AC473" i="47"/>
  <c r="AB473" i="47"/>
  <c r="AD472" i="47"/>
  <c r="AC472" i="47"/>
  <c r="AB472" i="47"/>
  <c r="AD471" i="47"/>
  <c r="AC471" i="47"/>
  <c r="AB471" i="47"/>
  <c r="AD470" i="47"/>
  <c r="AC470" i="47"/>
  <c r="AB470" i="47"/>
  <c r="AD469" i="47"/>
  <c r="AC469" i="47"/>
  <c r="AB469" i="47"/>
  <c r="AD468" i="47"/>
  <c r="AC468" i="47"/>
  <c r="AB468" i="47"/>
  <c r="AD467" i="47"/>
  <c r="AC467" i="47"/>
  <c r="AB467" i="47"/>
  <c r="AD466" i="47"/>
  <c r="AC466" i="47"/>
  <c r="AB466" i="47"/>
  <c r="AD465" i="47"/>
  <c r="AC465" i="47"/>
  <c r="AB465" i="47"/>
  <c r="AD464" i="47"/>
  <c r="AC464" i="47"/>
  <c r="AB464" i="47"/>
  <c r="AD463" i="47"/>
  <c r="AC463" i="47"/>
  <c r="AB463" i="47"/>
  <c r="AD462" i="47"/>
  <c r="AC462" i="47"/>
  <c r="AB462" i="47"/>
  <c r="AD461" i="47"/>
  <c r="AC461" i="47"/>
  <c r="AB461" i="47"/>
  <c r="AD460" i="47"/>
  <c r="AC460" i="47"/>
  <c r="AB460" i="47"/>
  <c r="AD459" i="47"/>
  <c r="AC459" i="47"/>
  <c r="AB459" i="47"/>
  <c r="AD458" i="47"/>
  <c r="AC458" i="47"/>
  <c r="AB458" i="47"/>
  <c r="AD457" i="47"/>
  <c r="AC457" i="47"/>
  <c r="AB457" i="47"/>
  <c r="AD456" i="47"/>
  <c r="AC456" i="47"/>
  <c r="AB456" i="47"/>
  <c r="AD455" i="47"/>
  <c r="AC455" i="47"/>
  <c r="AB455" i="47"/>
  <c r="AD454" i="47"/>
  <c r="AC454" i="47"/>
  <c r="AB454" i="47"/>
  <c r="AD453" i="47"/>
  <c r="AC453" i="47"/>
  <c r="AB453" i="47"/>
  <c r="AD452" i="47"/>
  <c r="AC452" i="47"/>
  <c r="AB452" i="47"/>
  <c r="AD451" i="47"/>
  <c r="AC451" i="47"/>
  <c r="AB451" i="47"/>
  <c r="AD450" i="47"/>
  <c r="AC450" i="47"/>
  <c r="AB450" i="47"/>
  <c r="AD449" i="47"/>
  <c r="AC449" i="47"/>
  <c r="AB449" i="47"/>
  <c r="AD448" i="47"/>
  <c r="AC448" i="47"/>
  <c r="AB448" i="47"/>
  <c r="AD447" i="47"/>
  <c r="AC447" i="47"/>
  <c r="AB447" i="47"/>
  <c r="AD446" i="47"/>
  <c r="AC446" i="47"/>
  <c r="AB446" i="47"/>
  <c r="AD445" i="47"/>
  <c r="AC445" i="47"/>
  <c r="AB445" i="47"/>
  <c r="AD444" i="47"/>
  <c r="AC444" i="47"/>
  <c r="AB444" i="47"/>
  <c r="AD443" i="47"/>
  <c r="AC443" i="47"/>
  <c r="AB443" i="47"/>
  <c r="AD442" i="47"/>
  <c r="AC442" i="47"/>
  <c r="AB442" i="47"/>
  <c r="AD441" i="47"/>
  <c r="AC441" i="47"/>
  <c r="AB441" i="47"/>
  <c r="AD440" i="47"/>
  <c r="AC440" i="47"/>
  <c r="AB440" i="47"/>
  <c r="AD439" i="47"/>
  <c r="AC439" i="47"/>
  <c r="AB439" i="47"/>
  <c r="AD438" i="47"/>
  <c r="AC438" i="47"/>
  <c r="AB438" i="47"/>
  <c r="AD437" i="47"/>
  <c r="AC437" i="47"/>
  <c r="AB437" i="47"/>
  <c r="AD436" i="47"/>
  <c r="AC436" i="47"/>
  <c r="AB436" i="47"/>
  <c r="AD435" i="47"/>
  <c r="AC435" i="47"/>
  <c r="AB435" i="47"/>
  <c r="AD434" i="47"/>
  <c r="AC434" i="47"/>
  <c r="AB434" i="47"/>
  <c r="AD433" i="47"/>
  <c r="AC433" i="47"/>
  <c r="AB433" i="47"/>
  <c r="AD432" i="47"/>
  <c r="AC432" i="47"/>
  <c r="AB432" i="47"/>
  <c r="AD431" i="47"/>
  <c r="AC431" i="47"/>
  <c r="AB431" i="47"/>
  <c r="AD430" i="47"/>
  <c r="AC430" i="47"/>
  <c r="AB430" i="47"/>
  <c r="AD429" i="47"/>
  <c r="AC429" i="47"/>
  <c r="AB429" i="47"/>
  <c r="AD428" i="47"/>
  <c r="AC428" i="47"/>
  <c r="AB428" i="47"/>
  <c r="AD427" i="47"/>
  <c r="AC427" i="47"/>
  <c r="AB427" i="47"/>
  <c r="AD426" i="47"/>
  <c r="AC426" i="47"/>
  <c r="AB426" i="47"/>
  <c r="AD425" i="47"/>
  <c r="AC425" i="47"/>
  <c r="AB425" i="47"/>
  <c r="AD424" i="47"/>
  <c r="AC424" i="47"/>
  <c r="AB424" i="47"/>
  <c r="AD423" i="47"/>
  <c r="AC423" i="47"/>
  <c r="AB423" i="47"/>
  <c r="AD422" i="47"/>
  <c r="AC422" i="47"/>
  <c r="AB422" i="47"/>
  <c r="AD421" i="47"/>
  <c r="AC421" i="47"/>
  <c r="AB421" i="47"/>
  <c r="AD420" i="47"/>
  <c r="AC420" i="47"/>
  <c r="AB420" i="47"/>
  <c r="AD419" i="47"/>
  <c r="AC419" i="47"/>
  <c r="AB419" i="47"/>
  <c r="AD418" i="47"/>
  <c r="AC418" i="47"/>
  <c r="AB418" i="47"/>
  <c r="AD417" i="47"/>
  <c r="AC417" i="47"/>
  <c r="AB417" i="47"/>
  <c r="AD416" i="47"/>
  <c r="AC416" i="47"/>
  <c r="AB416" i="47"/>
  <c r="AD415" i="47"/>
  <c r="AC415" i="47"/>
  <c r="AB415" i="47"/>
  <c r="AD414" i="47"/>
  <c r="AC414" i="47"/>
  <c r="AB414" i="47"/>
  <c r="AD413" i="47"/>
  <c r="AC413" i="47"/>
  <c r="AB413" i="47"/>
  <c r="AD412" i="47"/>
  <c r="AC412" i="47"/>
  <c r="AB412" i="47"/>
  <c r="AD411" i="47"/>
  <c r="AC411" i="47"/>
  <c r="AB411" i="47"/>
  <c r="AD410" i="47"/>
  <c r="AC410" i="47"/>
  <c r="AB410" i="47"/>
  <c r="AD409" i="47"/>
  <c r="AC409" i="47"/>
  <c r="AB409" i="47"/>
  <c r="AD408" i="47"/>
  <c r="AC408" i="47"/>
  <c r="AB408" i="47"/>
  <c r="AD407" i="47"/>
  <c r="AC407" i="47"/>
  <c r="AB407" i="47"/>
  <c r="AD406" i="47"/>
  <c r="AC406" i="47"/>
  <c r="AB406" i="47"/>
  <c r="AD405" i="47"/>
  <c r="AC405" i="47"/>
  <c r="AB405" i="47"/>
  <c r="AD404" i="47"/>
  <c r="AC404" i="47"/>
  <c r="AB404" i="47"/>
  <c r="AD403" i="47"/>
  <c r="AC403" i="47"/>
  <c r="AB403" i="47"/>
  <c r="AD402" i="47"/>
  <c r="AC402" i="47"/>
  <c r="AB402" i="47"/>
  <c r="AD401" i="47"/>
  <c r="AC401" i="47"/>
  <c r="AB401" i="47"/>
  <c r="AD400" i="47"/>
  <c r="AC400" i="47"/>
  <c r="AB400" i="47"/>
  <c r="AD399" i="47"/>
  <c r="AC399" i="47"/>
  <c r="AB399" i="47"/>
  <c r="AD398" i="47"/>
  <c r="AC398" i="47"/>
  <c r="AB398" i="47"/>
  <c r="AD397" i="47"/>
  <c r="AC397" i="47"/>
  <c r="AB397" i="47"/>
  <c r="AD396" i="47"/>
  <c r="AC396" i="47"/>
  <c r="AB396" i="47"/>
  <c r="AD395" i="47"/>
  <c r="AC395" i="47"/>
  <c r="AB395" i="47"/>
  <c r="AD394" i="47"/>
  <c r="AC394" i="47"/>
  <c r="AB394" i="47"/>
  <c r="AD393" i="47"/>
  <c r="AC393" i="47"/>
  <c r="AB393" i="47"/>
  <c r="AD392" i="47"/>
  <c r="AC392" i="47"/>
  <c r="AB392" i="47"/>
  <c r="AD391" i="47"/>
  <c r="AC391" i="47"/>
  <c r="AB391" i="47"/>
  <c r="AD390" i="47"/>
  <c r="AC390" i="47"/>
  <c r="AB390" i="47"/>
  <c r="AD389" i="47"/>
  <c r="AC389" i="47"/>
  <c r="AB389" i="47"/>
  <c r="AD388" i="47"/>
  <c r="AC388" i="47"/>
  <c r="AB388" i="47"/>
  <c r="AD387" i="47"/>
  <c r="AC387" i="47"/>
  <c r="AB387" i="47"/>
  <c r="AD386" i="47"/>
  <c r="AC386" i="47"/>
  <c r="AB386" i="47"/>
  <c r="AD385" i="47"/>
  <c r="AC385" i="47"/>
  <c r="AB385" i="47"/>
  <c r="AD384" i="47"/>
  <c r="AC384" i="47"/>
  <c r="AB384" i="47"/>
  <c r="AD383" i="47"/>
  <c r="AC383" i="47"/>
  <c r="AB383" i="47"/>
  <c r="AD382" i="47"/>
  <c r="AC382" i="47"/>
  <c r="AB382" i="47"/>
  <c r="AD381" i="47"/>
  <c r="AC381" i="47"/>
  <c r="AB381" i="47"/>
  <c r="AD380" i="47"/>
  <c r="AC380" i="47"/>
  <c r="AB380" i="47"/>
  <c r="AD379" i="47"/>
  <c r="AC379" i="47"/>
  <c r="AB379" i="47"/>
  <c r="AD378" i="47"/>
  <c r="AC378" i="47"/>
  <c r="AB378" i="47"/>
  <c r="AD377" i="47"/>
  <c r="AC377" i="47"/>
  <c r="AB377" i="47"/>
  <c r="AD376" i="47"/>
  <c r="AC376" i="47"/>
  <c r="AB376" i="47"/>
  <c r="AD375" i="47"/>
  <c r="AC375" i="47"/>
  <c r="AB375" i="47"/>
  <c r="AD374" i="47"/>
  <c r="AC374" i="47"/>
  <c r="AB374" i="47"/>
  <c r="AD373" i="47"/>
  <c r="AC373" i="47"/>
  <c r="AB373" i="47"/>
  <c r="AD372" i="47"/>
  <c r="AC372" i="47"/>
  <c r="AB372" i="47"/>
  <c r="AD371" i="47"/>
  <c r="AC371" i="47"/>
  <c r="AB371" i="47"/>
  <c r="AD370" i="47"/>
  <c r="AC370" i="47"/>
  <c r="AB370" i="47"/>
  <c r="AD369" i="47"/>
  <c r="AC369" i="47"/>
  <c r="AB369" i="47"/>
  <c r="AD368" i="47"/>
  <c r="AC368" i="47"/>
  <c r="AB368" i="47"/>
  <c r="AD367" i="47"/>
  <c r="AC367" i="47"/>
  <c r="AB367" i="47"/>
  <c r="AD366" i="47"/>
  <c r="AC366" i="47"/>
  <c r="AB366" i="47"/>
  <c r="AD365" i="47"/>
  <c r="AC365" i="47"/>
  <c r="AB365" i="47"/>
  <c r="AD364" i="47"/>
  <c r="AC364" i="47"/>
  <c r="AB364" i="47"/>
  <c r="AD363" i="47"/>
  <c r="AC363" i="47"/>
  <c r="AB363" i="47"/>
  <c r="AD362" i="47"/>
  <c r="AC362" i="47"/>
  <c r="AB362" i="47"/>
  <c r="AD361" i="47"/>
  <c r="AC361" i="47"/>
  <c r="AB361" i="47"/>
  <c r="AD360" i="47"/>
  <c r="AC360" i="47"/>
  <c r="AB360" i="47"/>
  <c r="AD359" i="47"/>
  <c r="AC359" i="47"/>
  <c r="AB359" i="47"/>
  <c r="AD358" i="47"/>
  <c r="AC358" i="47"/>
  <c r="AB358" i="47"/>
  <c r="AD357" i="47"/>
  <c r="AC357" i="47"/>
  <c r="AB357" i="47"/>
  <c r="AD356" i="47"/>
  <c r="AC356" i="47"/>
  <c r="AB356" i="47"/>
  <c r="AD355" i="47"/>
  <c r="AC355" i="47"/>
  <c r="AB355" i="47"/>
  <c r="AD354" i="47"/>
  <c r="AC354" i="47"/>
  <c r="AB354" i="47"/>
  <c r="AD353" i="47"/>
  <c r="AC353" i="47"/>
  <c r="AB353" i="47"/>
  <c r="AD352" i="47"/>
  <c r="AC352" i="47"/>
  <c r="AB352" i="47"/>
  <c r="AD351" i="47"/>
  <c r="AC351" i="47"/>
  <c r="AB351" i="47"/>
  <c r="AD350" i="47"/>
  <c r="AC350" i="47"/>
  <c r="AB350" i="47"/>
  <c r="AD349" i="47"/>
  <c r="AC349" i="47"/>
  <c r="AB349" i="47"/>
  <c r="AD348" i="47"/>
  <c r="AC348" i="47"/>
  <c r="AB348" i="47"/>
  <c r="AD347" i="47"/>
  <c r="AC347" i="47"/>
  <c r="AB347" i="47"/>
  <c r="AD346" i="47"/>
  <c r="AC346" i="47"/>
  <c r="AB346" i="47"/>
  <c r="AD345" i="47"/>
  <c r="AC345" i="47"/>
  <c r="AB345" i="47"/>
  <c r="AD344" i="47"/>
  <c r="AC344" i="47"/>
  <c r="AB344" i="47"/>
  <c r="AD343" i="47"/>
  <c r="AC343" i="47"/>
  <c r="AB343" i="47"/>
  <c r="AD342" i="47"/>
  <c r="AC342" i="47"/>
  <c r="AB342" i="47"/>
  <c r="AD341" i="47"/>
  <c r="AC341" i="47"/>
  <c r="AB341" i="47"/>
  <c r="AD340" i="47"/>
  <c r="AC340" i="47"/>
  <c r="AB340" i="47"/>
  <c r="AD339" i="47"/>
  <c r="AC339" i="47"/>
  <c r="AB339" i="47"/>
  <c r="AD338" i="47"/>
  <c r="AC338" i="47"/>
  <c r="AB338" i="47"/>
  <c r="AD337" i="47"/>
  <c r="AC337" i="47"/>
  <c r="AB337" i="47"/>
  <c r="AD336" i="47"/>
  <c r="AC336" i="47"/>
  <c r="AB336" i="47"/>
  <c r="AD335" i="47"/>
  <c r="AC335" i="47"/>
  <c r="AB335" i="47"/>
  <c r="AD334" i="47"/>
  <c r="AC334" i="47"/>
  <c r="AB334" i="47"/>
  <c r="AD333" i="47"/>
  <c r="AC333" i="47"/>
  <c r="AB333" i="47"/>
  <c r="AD332" i="47"/>
  <c r="AC332" i="47"/>
  <c r="AB332" i="47"/>
  <c r="AD331" i="47"/>
  <c r="AC331" i="47"/>
  <c r="AB331" i="47"/>
  <c r="AD330" i="47"/>
  <c r="AC330" i="47"/>
  <c r="AB330" i="47"/>
  <c r="AD329" i="47"/>
  <c r="AC329" i="47"/>
  <c r="AB329" i="47"/>
  <c r="AD328" i="47"/>
  <c r="AC328" i="47"/>
  <c r="AB328" i="47"/>
  <c r="AD327" i="47"/>
  <c r="AC327" i="47"/>
  <c r="AB327" i="47"/>
  <c r="AD326" i="47"/>
  <c r="AC326" i="47"/>
  <c r="AB326" i="47"/>
  <c r="AD325" i="47"/>
  <c r="AC325" i="47"/>
  <c r="AB325" i="47"/>
  <c r="AD324" i="47"/>
  <c r="AC324" i="47"/>
  <c r="AB324" i="47"/>
  <c r="AD323" i="47"/>
  <c r="AC323" i="47"/>
  <c r="AB323" i="47"/>
  <c r="AD322" i="47"/>
  <c r="AC322" i="47"/>
  <c r="AB322" i="47"/>
  <c r="AD321" i="47"/>
  <c r="AC321" i="47"/>
  <c r="AB321" i="47"/>
  <c r="AD320" i="47"/>
  <c r="AC320" i="47"/>
  <c r="AB320" i="47"/>
  <c r="AD319" i="47"/>
  <c r="AC319" i="47"/>
  <c r="AB319" i="47"/>
  <c r="AD318" i="47"/>
  <c r="AC318" i="47"/>
  <c r="AB318" i="47"/>
  <c r="AD317" i="47"/>
  <c r="AC317" i="47"/>
  <c r="AB317" i="47"/>
  <c r="AD316" i="47"/>
  <c r="AC316" i="47"/>
  <c r="AB316" i="47"/>
  <c r="AD315" i="47"/>
  <c r="AC315" i="47"/>
  <c r="AB315" i="47"/>
  <c r="AD314" i="47"/>
  <c r="AC314" i="47"/>
  <c r="AB314" i="47"/>
  <c r="AD313" i="47"/>
  <c r="AC313" i="47"/>
  <c r="AB313" i="47"/>
  <c r="AD312" i="47"/>
  <c r="AC312" i="47"/>
  <c r="AB312" i="47"/>
  <c r="AD311" i="47"/>
  <c r="AC311" i="47"/>
  <c r="AB311" i="47"/>
  <c r="AD310" i="47"/>
  <c r="AC310" i="47"/>
  <c r="AB310" i="47"/>
  <c r="AD309" i="47"/>
  <c r="AC309" i="47"/>
  <c r="AB309" i="47"/>
  <c r="AD308" i="47"/>
  <c r="AC308" i="47"/>
  <c r="AB308" i="47"/>
  <c r="AD307" i="47"/>
  <c r="AC307" i="47"/>
  <c r="AB307" i="47"/>
  <c r="AD306" i="47"/>
  <c r="AC306" i="47"/>
  <c r="AB306" i="47"/>
  <c r="AD305" i="47"/>
  <c r="AC305" i="47"/>
  <c r="AB305" i="47"/>
  <c r="AD304" i="47"/>
  <c r="AC304" i="47"/>
  <c r="AB304" i="47"/>
  <c r="AD303" i="47"/>
  <c r="AC303" i="47"/>
  <c r="AB303" i="47"/>
  <c r="AD302" i="47"/>
  <c r="AC302" i="47"/>
  <c r="AB302" i="47"/>
  <c r="AD301" i="47"/>
  <c r="AC301" i="47"/>
  <c r="AB301" i="47"/>
  <c r="AD300" i="47"/>
  <c r="AC300" i="47"/>
  <c r="AB300" i="47"/>
  <c r="AD299" i="47"/>
  <c r="AC299" i="47"/>
  <c r="AB299" i="47"/>
  <c r="AD298" i="47"/>
  <c r="AC298" i="47"/>
  <c r="AB298" i="47"/>
  <c r="AD297" i="47"/>
  <c r="AC297" i="47"/>
  <c r="AB297" i="47"/>
  <c r="AD296" i="47"/>
  <c r="AC296" i="47"/>
  <c r="AB296" i="47"/>
  <c r="AD295" i="47"/>
  <c r="AC295" i="47"/>
  <c r="AB295" i="47"/>
  <c r="AD294" i="47"/>
  <c r="AC294" i="47"/>
  <c r="AB294" i="47"/>
  <c r="AD293" i="47"/>
  <c r="AC293" i="47"/>
  <c r="AB293" i="47"/>
  <c r="AD292" i="47"/>
  <c r="AC292" i="47"/>
  <c r="AB292" i="47"/>
  <c r="AD291" i="47"/>
  <c r="AC291" i="47"/>
  <c r="AB291" i="47"/>
  <c r="AD290" i="47"/>
  <c r="AC290" i="47"/>
  <c r="AB290" i="47"/>
  <c r="AD289" i="47"/>
  <c r="AC289" i="47"/>
  <c r="AB289" i="47"/>
  <c r="AD288" i="47"/>
  <c r="AC288" i="47"/>
  <c r="AB288" i="47"/>
  <c r="AD287" i="47"/>
  <c r="AC287" i="47"/>
  <c r="AB287" i="47"/>
  <c r="AD286" i="47"/>
  <c r="AC286" i="47"/>
  <c r="AB286" i="47"/>
  <c r="AD285" i="47"/>
  <c r="AC285" i="47"/>
  <c r="AB285" i="47"/>
  <c r="AD284" i="47"/>
  <c r="AC284" i="47"/>
  <c r="AB284" i="47"/>
  <c r="AD283" i="47"/>
  <c r="AC283" i="47"/>
  <c r="AB283" i="47"/>
  <c r="AD282" i="47"/>
  <c r="AC282" i="47"/>
  <c r="AB282" i="47"/>
  <c r="AD281" i="47"/>
  <c r="AC281" i="47"/>
  <c r="AB281" i="47"/>
  <c r="AD280" i="47"/>
  <c r="AC280" i="47"/>
  <c r="AB280" i="47"/>
  <c r="AD279" i="47"/>
  <c r="AC279" i="47"/>
  <c r="AB279" i="47"/>
  <c r="AD278" i="47"/>
  <c r="AC278" i="47"/>
  <c r="AB278" i="47"/>
  <c r="AD277" i="47"/>
  <c r="AC277" i="47"/>
  <c r="AB277" i="47"/>
  <c r="AD276" i="47"/>
  <c r="AC276" i="47"/>
  <c r="AB276" i="47"/>
  <c r="AD275" i="47"/>
  <c r="AC275" i="47"/>
  <c r="AB275" i="47"/>
  <c r="AD274" i="47"/>
  <c r="AC274" i="47"/>
  <c r="AB274" i="47"/>
  <c r="AD273" i="47"/>
  <c r="AC273" i="47"/>
  <c r="AB273" i="47"/>
  <c r="AD272" i="47"/>
  <c r="AC272" i="47"/>
  <c r="AB272" i="47"/>
  <c r="AD271" i="47"/>
  <c r="AC271" i="47"/>
  <c r="AB271" i="47"/>
  <c r="AD270" i="47"/>
  <c r="AC270" i="47"/>
  <c r="AB270" i="47"/>
  <c r="AD269" i="47"/>
  <c r="AC269" i="47"/>
  <c r="AB269" i="47"/>
  <c r="AD268" i="47"/>
  <c r="AC268" i="47"/>
  <c r="AB268" i="47"/>
  <c r="AD267" i="47"/>
  <c r="AC267" i="47"/>
  <c r="AB267" i="47"/>
  <c r="AD266" i="47"/>
  <c r="AC266" i="47"/>
  <c r="AB266" i="47"/>
  <c r="AD265" i="47"/>
  <c r="AC265" i="47"/>
  <c r="AB265" i="47"/>
  <c r="AD264" i="47"/>
  <c r="AC264" i="47"/>
  <c r="AB264" i="47"/>
  <c r="AD263" i="47"/>
  <c r="AC263" i="47"/>
  <c r="AB263" i="47"/>
  <c r="AD262" i="47"/>
  <c r="AC262" i="47"/>
  <c r="AB262" i="47"/>
  <c r="AD261" i="47"/>
  <c r="AC261" i="47"/>
  <c r="AB261" i="47"/>
  <c r="AD260" i="47"/>
  <c r="AC260" i="47"/>
  <c r="AB260" i="47"/>
  <c r="AD259" i="47"/>
  <c r="AC259" i="47"/>
  <c r="AB259" i="47"/>
  <c r="AD258" i="47"/>
  <c r="AC258" i="47"/>
  <c r="AB258" i="47"/>
  <c r="AD257" i="47"/>
  <c r="AC257" i="47"/>
  <c r="AB257" i="47"/>
  <c r="AD256" i="47"/>
  <c r="AC256" i="47"/>
  <c r="AB256" i="47"/>
  <c r="AD255" i="47"/>
  <c r="AC255" i="47"/>
  <c r="AB255" i="47"/>
  <c r="AD254" i="47"/>
  <c r="AC254" i="47"/>
  <c r="AB254" i="47"/>
  <c r="AD253" i="47"/>
  <c r="AC253" i="47"/>
  <c r="AB253" i="47"/>
  <c r="AD252" i="47"/>
  <c r="AC252" i="47"/>
  <c r="AB252" i="47"/>
  <c r="AD251" i="47"/>
  <c r="AC251" i="47"/>
  <c r="AB251" i="47"/>
  <c r="AD250" i="47"/>
  <c r="AC250" i="47"/>
  <c r="AB250" i="47"/>
  <c r="AD249" i="47"/>
  <c r="AC249" i="47"/>
  <c r="AB249" i="47"/>
  <c r="AD248" i="47"/>
  <c r="AC248" i="47"/>
  <c r="AB248" i="47"/>
  <c r="AD247" i="47"/>
  <c r="AC247" i="47"/>
  <c r="AB247" i="47"/>
  <c r="AD246" i="47"/>
  <c r="AC246" i="47"/>
  <c r="AB246" i="47"/>
  <c r="AD245" i="47"/>
  <c r="AC245" i="47"/>
  <c r="AB245" i="47"/>
  <c r="AD244" i="47"/>
  <c r="AC244" i="47"/>
  <c r="AB244" i="47"/>
  <c r="AD243" i="47"/>
  <c r="AC243" i="47"/>
  <c r="AB243" i="47"/>
  <c r="AD242" i="47"/>
  <c r="AC242" i="47"/>
  <c r="AB242" i="47"/>
  <c r="AD241" i="47"/>
  <c r="AC241" i="47"/>
  <c r="AB241" i="47"/>
  <c r="AD240" i="47"/>
  <c r="AC240" i="47"/>
  <c r="AB240" i="47"/>
  <c r="AD239" i="47"/>
  <c r="AC239" i="47"/>
  <c r="AB239" i="47"/>
  <c r="AD238" i="47"/>
  <c r="AC238" i="47"/>
  <c r="AB238" i="47"/>
  <c r="AD237" i="47"/>
  <c r="AC237" i="47"/>
  <c r="AB237" i="47"/>
  <c r="AD236" i="47"/>
  <c r="AC236" i="47"/>
  <c r="AB236" i="47"/>
  <c r="AD235" i="47"/>
  <c r="AC235" i="47"/>
  <c r="AB235" i="47"/>
  <c r="AD234" i="47"/>
  <c r="AC234" i="47"/>
  <c r="AB234" i="47"/>
  <c r="AD233" i="47"/>
  <c r="AC233" i="47"/>
  <c r="AB233" i="47"/>
  <c r="AD232" i="47"/>
  <c r="AC232" i="47"/>
  <c r="AB232" i="47"/>
  <c r="AD231" i="47"/>
  <c r="AC231" i="47"/>
  <c r="AB231" i="47"/>
  <c r="AD230" i="47"/>
  <c r="AC230" i="47"/>
  <c r="AB230" i="47"/>
  <c r="AD229" i="47"/>
  <c r="AC229" i="47"/>
  <c r="AB229" i="47"/>
  <c r="AD228" i="47"/>
  <c r="AC228" i="47"/>
  <c r="AB228" i="47"/>
  <c r="AD227" i="47"/>
  <c r="AC227" i="47"/>
  <c r="AB227" i="47"/>
  <c r="AD226" i="47"/>
  <c r="AC226" i="47"/>
  <c r="AB226" i="47"/>
  <c r="AD225" i="47"/>
  <c r="AC225" i="47"/>
  <c r="AB225" i="47"/>
  <c r="AD224" i="47"/>
  <c r="AC224" i="47"/>
  <c r="AB224" i="47"/>
  <c r="AD223" i="47"/>
  <c r="AC223" i="47"/>
  <c r="AB223" i="47"/>
  <c r="AD222" i="47"/>
  <c r="AC222" i="47"/>
  <c r="AB222" i="47"/>
  <c r="AD221" i="47"/>
  <c r="AC221" i="47"/>
  <c r="AB221" i="47"/>
  <c r="AD220" i="47"/>
  <c r="AC220" i="47"/>
  <c r="AB220" i="47"/>
  <c r="AD219" i="47"/>
  <c r="AC219" i="47"/>
  <c r="AB219" i="47"/>
  <c r="AD218" i="47"/>
  <c r="AC218" i="47"/>
  <c r="AB218" i="47"/>
  <c r="AD217" i="47"/>
  <c r="AC217" i="47"/>
  <c r="AB217" i="47"/>
  <c r="AD216" i="47"/>
  <c r="AC216" i="47"/>
  <c r="AB216" i="47"/>
  <c r="AD215" i="47"/>
  <c r="AC215" i="47"/>
  <c r="AB215" i="47"/>
  <c r="AD214" i="47"/>
  <c r="AC214" i="47"/>
  <c r="AB214" i="47"/>
  <c r="AD213" i="47"/>
  <c r="AC213" i="47"/>
  <c r="AB213" i="47"/>
  <c r="AD212" i="47"/>
  <c r="AC212" i="47"/>
  <c r="AB212" i="47"/>
  <c r="AD211" i="47"/>
  <c r="AC211" i="47"/>
  <c r="AB211" i="47"/>
  <c r="AD210" i="47"/>
  <c r="AC210" i="47"/>
  <c r="AB210" i="47"/>
  <c r="AD209" i="47"/>
  <c r="AC209" i="47"/>
  <c r="AB209" i="47"/>
  <c r="AD208" i="47"/>
  <c r="AC208" i="47"/>
  <c r="AB208" i="47"/>
  <c r="AD207" i="47"/>
  <c r="AC207" i="47"/>
  <c r="AB207" i="47"/>
  <c r="AD206" i="47"/>
  <c r="AC206" i="47"/>
  <c r="AB206" i="47"/>
  <c r="AD205" i="47"/>
  <c r="AC205" i="47"/>
  <c r="AB205" i="47"/>
  <c r="AD204" i="47"/>
  <c r="AC204" i="47"/>
  <c r="AB204" i="47"/>
  <c r="AD203" i="47"/>
  <c r="AC203" i="47"/>
  <c r="AB203" i="47"/>
  <c r="AD202" i="47"/>
  <c r="AC202" i="47"/>
  <c r="AB202" i="47"/>
  <c r="AD201" i="47"/>
  <c r="AC201" i="47"/>
  <c r="AB201" i="47"/>
  <c r="AD200" i="47"/>
  <c r="AC200" i="47"/>
  <c r="AB200" i="47"/>
  <c r="AD199" i="47"/>
  <c r="AC199" i="47"/>
  <c r="AB199" i="47"/>
  <c r="AD198" i="47"/>
  <c r="AC198" i="47"/>
  <c r="AB198" i="47"/>
  <c r="AD197" i="47"/>
  <c r="AC197" i="47"/>
  <c r="AB197" i="47"/>
  <c r="AD196" i="47"/>
  <c r="AC196" i="47"/>
  <c r="AB196" i="47"/>
  <c r="AD195" i="47"/>
  <c r="AC195" i="47"/>
  <c r="AB195" i="47"/>
  <c r="AD194" i="47"/>
  <c r="AC194" i="47"/>
  <c r="AB194" i="47"/>
  <c r="AD193" i="47"/>
  <c r="AC193" i="47"/>
  <c r="AB193" i="47"/>
  <c r="AD192" i="47"/>
  <c r="AC192" i="47"/>
  <c r="AB192" i="47"/>
  <c r="AD191" i="47"/>
  <c r="AC191" i="47"/>
  <c r="AB191" i="47"/>
  <c r="AD190" i="47"/>
  <c r="AC190" i="47"/>
  <c r="AB190" i="47"/>
  <c r="AD189" i="47"/>
  <c r="AC189" i="47"/>
  <c r="AB189" i="47"/>
  <c r="AD188" i="47"/>
  <c r="AC188" i="47"/>
  <c r="AB188" i="47"/>
  <c r="AD187" i="47"/>
  <c r="AC187" i="47"/>
  <c r="AB187" i="47"/>
  <c r="AD186" i="47"/>
  <c r="AC186" i="47"/>
  <c r="AB186" i="47"/>
  <c r="AD185" i="47"/>
  <c r="AC185" i="47"/>
  <c r="AB185" i="47"/>
  <c r="AD184" i="47"/>
  <c r="AC184" i="47"/>
  <c r="AB184" i="47"/>
  <c r="AD183" i="47"/>
  <c r="AC183" i="47"/>
  <c r="AB183" i="47"/>
  <c r="AD182" i="47"/>
  <c r="AC182" i="47"/>
  <c r="AB182" i="47"/>
  <c r="AD181" i="47"/>
  <c r="AC181" i="47"/>
  <c r="AB181" i="47"/>
  <c r="AD180" i="47"/>
  <c r="AC180" i="47"/>
  <c r="AB180" i="47"/>
  <c r="AD179" i="47"/>
  <c r="AC179" i="47"/>
  <c r="AB179" i="47"/>
  <c r="AD178" i="47"/>
  <c r="AC178" i="47"/>
  <c r="AB178" i="47"/>
  <c r="AD177" i="47"/>
  <c r="AC177" i="47"/>
  <c r="AB177" i="47"/>
  <c r="AD176" i="47"/>
  <c r="AC176" i="47"/>
  <c r="AB176" i="47"/>
  <c r="AD175" i="47"/>
  <c r="AC175" i="47"/>
  <c r="AB175" i="47"/>
  <c r="AD174" i="47"/>
  <c r="AC174" i="47"/>
  <c r="AB174" i="47"/>
  <c r="AD173" i="47"/>
  <c r="AC173" i="47"/>
  <c r="AB173" i="47"/>
  <c r="AD172" i="47"/>
  <c r="AC172" i="47"/>
  <c r="AB172" i="47"/>
  <c r="AD171" i="47"/>
  <c r="AC171" i="47"/>
  <c r="AB171" i="47"/>
  <c r="AD170" i="47"/>
  <c r="AC170" i="47"/>
  <c r="AB170" i="47"/>
  <c r="AD169" i="47"/>
  <c r="AC169" i="47"/>
  <c r="AB169" i="47"/>
  <c r="AD168" i="47"/>
  <c r="AC168" i="47"/>
  <c r="AB168" i="47"/>
  <c r="AD167" i="47"/>
  <c r="AC167" i="47"/>
  <c r="AB167" i="47"/>
  <c r="AD166" i="47"/>
  <c r="AC166" i="47"/>
  <c r="AB166" i="47"/>
  <c r="AD165" i="47"/>
  <c r="AC165" i="47"/>
  <c r="AB165" i="47"/>
  <c r="AD164" i="47"/>
  <c r="AC164" i="47"/>
  <c r="AB164" i="47"/>
  <c r="AD163" i="47"/>
  <c r="AC163" i="47"/>
  <c r="AB163" i="47"/>
  <c r="AD162" i="47"/>
  <c r="AC162" i="47"/>
  <c r="AB162" i="47"/>
  <c r="AD161" i="47"/>
  <c r="AC161" i="47"/>
  <c r="AB161" i="47"/>
  <c r="AD160" i="47"/>
  <c r="AC160" i="47"/>
  <c r="AB160" i="47"/>
  <c r="AD159" i="47"/>
  <c r="AC159" i="47"/>
  <c r="AB159" i="47"/>
  <c r="AD158" i="47"/>
  <c r="AC158" i="47"/>
  <c r="AB158" i="47"/>
  <c r="AD157" i="47"/>
  <c r="AC157" i="47"/>
  <c r="AB157" i="47"/>
  <c r="AD156" i="47"/>
  <c r="AC156" i="47"/>
  <c r="AB156" i="47"/>
  <c r="AD155" i="47"/>
  <c r="AC155" i="47"/>
  <c r="AB155" i="47"/>
  <c r="AD154" i="47"/>
  <c r="AC154" i="47"/>
  <c r="AB154" i="47"/>
  <c r="AD153" i="47"/>
  <c r="AC153" i="47"/>
  <c r="AB153" i="47"/>
  <c r="AD152" i="47"/>
  <c r="AC152" i="47"/>
  <c r="AB152" i="47"/>
  <c r="AD151" i="47"/>
  <c r="AC151" i="47"/>
  <c r="AB151" i="47"/>
  <c r="AD150" i="47"/>
  <c r="AC150" i="47"/>
  <c r="AB150" i="47"/>
  <c r="AD149" i="47"/>
  <c r="AC149" i="47"/>
  <c r="AB149" i="47"/>
  <c r="AD148" i="47"/>
  <c r="AC148" i="47"/>
  <c r="AB148" i="47"/>
  <c r="AD147" i="47"/>
  <c r="AC147" i="47"/>
  <c r="AB147" i="47"/>
  <c r="AD146" i="47"/>
  <c r="AC146" i="47"/>
  <c r="AB146" i="47"/>
  <c r="AD145" i="47"/>
  <c r="AC145" i="47"/>
  <c r="AB145" i="47"/>
  <c r="AD144" i="47"/>
  <c r="AC144" i="47"/>
  <c r="AB144" i="47"/>
  <c r="AD143" i="47"/>
  <c r="AC143" i="47"/>
  <c r="AB143" i="47"/>
  <c r="AD142" i="47"/>
  <c r="AC142" i="47"/>
  <c r="AB142" i="47"/>
  <c r="AD141" i="47"/>
  <c r="AC141" i="47"/>
  <c r="AB141" i="47"/>
  <c r="AD140" i="47"/>
  <c r="AC140" i="47"/>
  <c r="AB140" i="47"/>
  <c r="AD139" i="47"/>
  <c r="AC139" i="47"/>
  <c r="AB139" i="47"/>
  <c r="AD138" i="47"/>
  <c r="AC138" i="47"/>
  <c r="AB138" i="47"/>
  <c r="AD137" i="47"/>
  <c r="AC137" i="47"/>
  <c r="AB137" i="47"/>
  <c r="AD136" i="47"/>
  <c r="AC136" i="47"/>
  <c r="AB136" i="47"/>
  <c r="AD135" i="47"/>
  <c r="AC135" i="47"/>
  <c r="AB135" i="47"/>
  <c r="AD134" i="47"/>
  <c r="AC134" i="47"/>
  <c r="AB134" i="47"/>
  <c r="AD133" i="47"/>
  <c r="AC133" i="47"/>
  <c r="AB133" i="47"/>
  <c r="AD132" i="47"/>
  <c r="AC132" i="47"/>
  <c r="AB132" i="47"/>
  <c r="AD131" i="47"/>
  <c r="AC131" i="47"/>
  <c r="AB131" i="47"/>
  <c r="AD130" i="47"/>
  <c r="AC130" i="47"/>
  <c r="AB130" i="47"/>
  <c r="AD129" i="47"/>
  <c r="AC129" i="47"/>
  <c r="AB129" i="47"/>
  <c r="AD128" i="47"/>
  <c r="AC128" i="47"/>
  <c r="AB128" i="47"/>
  <c r="AD127" i="47"/>
  <c r="AC127" i="47"/>
  <c r="AB127" i="47"/>
  <c r="AD126" i="47"/>
  <c r="AC126" i="47"/>
  <c r="AB126" i="47"/>
  <c r="AD125" i="47"/>
  <c r="AC125" i="47"/>
  <c r="AB125" i="47"/>
  <c r="AD124" i="47"/>
  <c r="AC124" i="47"/>
  <c r="AB124" i="47"/>
  <c r="AD123" i="47"/>
  <c r="AC123" i="47"/>
  <c r="AB123" i="47"/>
  <c r="AD122" i="47"/>
  <c r="AC122" i="47"/>
  <c r="AB122" i="47"/>
  <c r="AD121" i="47"/>
  <c r="AC121" i="47"/>
  <c r="AB121" i="47"/>
  <c r="AD120" i="47"/>
  <c r="AC120" i="47"/>
  <c r="AB120" i="47"/>
  <c r="AD119" i="47"/>
  <c r="AC119" i="47"/>
  <c r="AB119" i="47"/>
  <c r="AD118" i="47"/>
  <c r="AC118" i="47"/>
  <c r="AB118" i="47"/>
  <c r="AD117" i="47"/>
  <c r="AC117" i="47"/>
  <c r="AB117" i="47"/>
  <c r="AD116" i="47"/>
  <c r="AC116" i="47"/>
  <c r="AB116" i="47"/>
  <c r="AD115" i="47"/>
  <c r="AC115" i="47"/>
  <c r="AB115" i="47"/>
  <c r="AD114" i="47"/>
  <c r="AC114" i="47"/>
  <c r="AB114" i="47"/>
  <c r="AD113" i="47"/>
  <c r="AC113" i="47"/>
  <c r="AB113" i="47"/>
  <c r="AD112" i="47"/>
  <c r="AC112" i="47"/>
  <c r="AB112" i="47"/>
  <c r="AD111" i="47"/>
  <c r="AC111" i="47"/>
  <c r="AB111" i="47"/>
  <c r="AD110" i="47"/>
  <c r="AC110" i="47"/>
  <c r="AB110" i="47"/>
  <c r="AD109" i="47"/>
  <c r="AC109" i="47"/>
  <c r="AB109" i="47"/>
  <c r="AD108" i="47"/>
  <c r="AC108" i="47"/>
  <c r="AB108" i="47"/>
  <c r="AD107" i="47"/>
  <c r="AC107" i="47"/>
  <c r="AB107" i="47"/>
  <c r="AD106" i="47"/>
  <c r="AC106" i="47"/>
  <c r="AB106" i="47"/>
  <c r="AD105" i="47"/>
  <c r="AC105" i="47"/>
  <c r="AB105" i="47"/>
  <c r="AD104" i="47"/>
  <c r="AC104" i="47"/>
  <c r="AB104" i="47"/>
  <c r="AD103" i="47"/>
  <c r="AC103" i="47"/>
  <c r="AB103" i="47"/>
  <c r="AD102" i="47"/>
  <c r="AC102" i="47"/>
  <c r="AB102" i="47"/>
  <c r="AD101" i="47"/>
  <c r="AC101" i="47"/>
  <c r="AB101" i="47"/>
  <c r="AD100" i="47"/>
  <c r="AC100" i="47"/>
  <c r="AB100" i="47"/>
  <c r="AD99" i="47"/>
  <c r="AC99" i="47"/>
  <c r="AB99" i="47"/>
  <c r="AD98" i="47"/>
  <c r="AC98" i="47"/>
  <c r="AB98" i="47"/>
  <c r="AD97" i="47"/>
  <c r="AC97" i="47"/>
  <c r="AB97" i="47"/>
  <c r="AD96" i="47"/>
  <c r="AC96" i="47"/>
  <c r="AB96" i="47"/>
  <c r="AD95" i="47"/>
  <c r="AC95" i="47"/>
  <c r="AB95" i="47"/>
  <c r="AD94" i="47"/>
  <c r="AC94" i="47"/>
  <c r="AB94" i="47"/>
  <c r="AD93" i="47"/>
  <c r="AC93" i="47"/>
  <c r="AB93" i="47"/>
  <c r="AD92" i="47"/>
  <c r="AC92" i="47"/>
  <c r="AB92" i="47"/>
  <c r="AD91" i="47"/>
  <c r="AC91" i="47"/>
  <c r="AB91" i="47"/>
  <c r="AD90" i="47"/>
  <c r="AC90" i="47"/>
  <c r="AB90" i="47"/>
  <c r="AD89" i="47"/>
  <c r="AC89" i="47"/>
  <c r="AB89" i="47"/>
  <c r="AD88" i="47"/>
  <c r="AC88" i="47"/>
  <c r="AB88" i="47"/>
  <c r="AD87" i="47"/>
  <c r="AC87" i="47"/>
  <c r="AB87" i="47"/>
  <c r="AD86" i="47"/>
  <c r="AC86" i="47"/>
  <c r="AB86" i="47"/>
  <c r="AD85" i="47"/>
  <c r="AC85" i="47"/>
  <c r="AB85" i="47"/>
  <c r="AD84" i="47"/>
  <c r="AC84" i="47"/>
  <c r="AB84" i="47"/>
  <c r="AD83" i="47"/>
  <c r="AC83" i="47"/>
  <c r="AB83" i="47"/>
  <c r="AD82" i="47"/>
  <c r="AC82" i="47"/>
  <c r="AB82" i="47"/>
  <c r="AD81" i="47"/>
  <c r="AC81" i="47"/>
  <c r="AB81" i="47"/>
  <c r="AD80" i="47"/>
  <c r="AC80" i="47"/>
  <c r="AB80" i="47"/>
  <c r="AD79" i="47"/>
  <c r="AC79" i="47"/>
  <c r="AB79" i="47"/>
  <c r="AD78" i="47"/>
  <c r="AC78" i="47"/>
  <c r="AB78" i="47"/>
  <c r="AD77" i="47"/>
  <c r="AC77" i="47"/>
  <c r="AB77" i="47"/>
  <c r="AD76" i="47"/>
  <c r="AC76" i="47"/>
  <c r="AB76" i="47"/>
  <c r="AD75" i="47"/>
  <c r="AC75" i="47"/>
  <c r="AB75" i="47"/>
  <c r="AD74" i="47"/>
  <c r="AC74" i="47"/>
  <c r="AB74" i="47"/>
  <c r="AD73" i="47"/>
  <c r="AC73" i="47"/>
  <c r="AB73" i="47"/>
  <c r="AD72" i="47"/>
  <c r="AC72" i="47"/>
  <c r="AB72" i="47"/>
  <c r="AD71" i="47"/>
  <c r="AC71" i="47"/>
  <c r="AB71" i="47"/>
  <c r="AD70" i="47"/>
  <c r="AC70" i="47"/>
  <c r="AB70" i="47"/>
  <c r="AD69" i="47"/>
  <c r="AC69" i="47"/>
  <c r="AB69" i="47"/>
  <c r="AD68" i="47"/>
  <c r="AC68" i="47"/>
  <c r="AB68" i="47"/>
  <c r="AD67" i="47"/>
  <c r="AC67" i="47"/>
  <c r="AB67" i="47"/>
  <c r="AD66" i="47"/>
  <c r="AC66" i="47"/>
  <c r="AB66" i="47"/>
  <c r="AD65" i="47"/>
  <c r="AC65" i="47"/>
  <c r="AB65" i="47"/>
  <c r="AD64" i="47"/>
  <c r="AC64" i="47"/>
  <c r="AB64" i="47"/>
  <c r="AD63" i="47"/>
  <c r="AC63" i="47"/>
  <c r="AB63" i="47"/>
  <c r="AD62" i="47"/>
  <c r="AC62" i="47"/>
  <c r="AB62" i="47"/>
  <c r="AD61" i="47"/>
  <c r="AC61" i="47"/>
  <c r="AB61" i="47"/>
  <c r="AD60" i="47"/>
  <c r="AC60" i="47"/>
  <c r="AB60" i="47"/>
  <c r="AD59" i="47"/>
  <c r="AC59" i="47"/>
  <c r="AB59" i="47"/>
  <c r="AD58" i="47"/>
  <c r="AC58" i="47"/>
  <c r="AB58" i="47"/>
  <c r="AD57" i="47"/>
  <c r="AC57" i="47"/>
  <c r="AB57" i="47"/>
  <c r="AD56" i="47"/>
  <c r="AC56" i="47"/>
  <c r="AB56" i="47"/>
  <c r="AD55" i="47"/>
  <c r="AC55" i="47"/>
  <c r="AB55" i="47"/>
  <c r="AD54" i="47"/>
  <c r="AC54" i="47"/>
  <c r="AB54" i="47"/>
  <c r="AD53" i="47"/>
  <c r="AC53" i="47"/>
  <c r="AB53" i="47"/>
  <c r="AD52" i="47"/>
  <c r="AC52" i="47"/>
  <c r="AB52" i="47"/>
  <c r="AD51" i="47"/>
  <c r="AC51" i="47"/>
  <c r="AB51" i="47"/>
  <c r="AD50" i="47"/>
  <c r="AC50" i="47"/>
  <c r="AB50" i="47"/>
  <c r="AD49" i="47"/>
  <c r="AC49" i="47"/>
  <c r="AB49" i="47"/>
  <c r="AD48" i="47"/>
  <c r="AC48" i="47"/>
  <c r="AB48" i="47"/>
  <c r="AD47" i="47"/>
  <c r="AC47" i="47"/>
  <c r="AB47" i="47"/>
  <c r="AD46" i="47"/>
  <c r="AC46" i="47"/>
  <c r="AB46" i="47"/>
  <c r="AD45" i="47"/>
  <c r="AC45" i="47"/>
  <c r="AB45" i="47"/>
  <c r="AD44" i="47"/>
  <c r="AC44" i="47"/>
  <c r="AB44" i="47"/>
  <c r="AD43" i="47"/>
  <c r="AC43" i="47"/>
  <c r="AB43" i="47"/>
  <c r="AD42" i="47"/>
  <c r="AC42" i="47"/>
  <c r="AB42" i="47"/>
  <c r="AD41" i="47"/>
  <c r="AC41" i="47"/>
  <c r="AB41" i="47"/>
  <c r="AD40" i="47"/>
  <c r="AC40" i="47"/>
  <c r="AB40" i="47"/>
  <c r="AD39" i="47"/>
  <c r="AC39" i="47"/>
  <c r="AB39" i="47"/>
  <c r="AD38" i="47"/>
  <c r="AC38" i="47"/>
  <c r="AB38" i="47"/>
  <c r="AD37" i="47"/>
  <c r="AC37" i="47"/>
  <c r="AB37" i="47"/>
  <c r="AD36" i="47"/>
  <c r="AC36" i="47"/>
  <c r="AB36" i="47"/>
  <c r="AD35" i="47"/>
  <c r="AC35" i="47"/>
  <c r="AB35" i="47"/>
  <c r="AD34" i="47"/>
  <c r="AC34" i="47"/>
  <c r="AB34" i="47"/>
  <c r="AD33" i="47"/>
  <c r="AC33" i="47"/>
  <c r="AB33" i="47"/>
  <c r="AD32" i="47"/>
  <c r="AC32" i="47"/>
  <c r="AB32" i="47"/>
  <c r="AD31" i="47"/>
  <c r="AC31" i="47"/>
  <c r="AB31" i="47"/>
  <c r="AD30" i="47"/>
  <c r="AC30" i="47"/>
  <c r="AB30" i="47"/>
  <c r="AD29" i="47"/>
  <c r="AC29" i="47"/>
  <c r="AB29" i="47"/>
  <c r="AD28" i="47"/>
  <c r="AC28" i="47"/>
  <c r="AB28" i="47"/>
  <c r="AD27" i="47"/>
  <c r="AC27" i="47"/>
  <c r="AB27" i="47"/>
  <c r="AD26" i="47"/>
  <c r="AC26" i="47"/>
  <c r="AB26" i="47"/>
  <c r="AD25" i="47"/>
  <c r="AC25" i="47"/>
  <c r="AB25" i="47"/>
  <c r="AD24" i="47"/>
  <c r="AC24" i="47"/>
  <c r="AB24" i="47"/>
  <c r="AD23" i="47"/>
  <c r="AC23" i="47"/>
  <c r="AB23" i="47"/>
  <c r="AD22" i="47"/>
  <c r="AC22" i="47"/>
  <c r="AB22" i="47"/>
  <c r="AD21" i="47"/>
  <c r="AC21" i="47"/>
  <c r="AB21" i="47"/>
  <c r="AD20" i="47"/>
  <c r="AC20" i="47"/>
  <c r="AB20" i="47"/>
  <c r="AD19" i="47"/>
  <c r="AC19" i="47"/>
  <c r="AB19" i="47"/>
  <c r="AD18" i="47"/>
  <c r="AC18" i="47"/>
  <c r="AB18" i="47"/>
  <c r="AD17" i="47"/>
  <c r="AC17" i="47"/>
  <c r="AB17" i="47"/>
  <c r="AD16" i="47"/>
  <c r="AC16" i="47"/>
  <c r="AB16" i="47"/>
  <c r="AD15" i="47"/>
  <c r="AC15" i="47"/>
  <c r="AB15" i="47"/>
  <c r="AD14" i="47"/>
  <c r="AC14" i="47"/>
  <c r="AB14" i="47"/>
  <c r="AD13" i="47"/>
  <c r="AC13" i="47"/>
  <c r="AB13" i="47"/>
  <c r="AD12" i="47"/>
  <c r="AC12" i="47"/>
  <c r="AB12" i="47"/>
  <c r="AD11" i="47"/>
  <c r="AC11" i="47"/>
  <c r="AB11" i="47"/>
  <c r="AD10" i="47"/>
  <c r="AC10" i="47"/>
  <c r="AB10" i="47"/>
  <c r="AD9" i="47"/>
  <c r="AC9" i="47"/>
  <c r="AB9" i="47"/>
  <c r="AD8" i="47"/>
  <c r="AC8" i="47"/>
  <c r="AB8" i="47"/>
  <c r="AD7" i="47"/>
  <c r="AC7" i="47"/>
  <c r="AB7" i="47"/>
  <c r="AD6" i="47"/>
  <c r="AC6" i="47"/>
  <c r="AB6" i="47"/>
  <c r="AD5" i="47"/>
  <c r="AC5" i="47"/>
  <c r="AB5" i="47"/>
  <c r="AD4" i="47"/>
  <c r="AC4" i="47"/>
  <c r="AB4" i="47"/>
  <c r="AD3" i="47"/>
  <c r="AC3" i="47"/>
  <c r="AB3" i="47"/>
  <c r="AD2" i="47"/>
  <c r="AC2" i="47"/>
  <c r="AB2" i="47"/>
  <c r="AE1" i="47"/>
  <c r="AB1" i="47"/>
  <c r="Y1" i="47"/>
  <c r="AD1694" i="46"/>
  <c r="AC1694" i="46"/>
  <c r="AB1694" i="46"/>
  <c r="AD1691" i="46"/>
  <c r="AC1691" i="46"/>
  <c r="AB1691" i="46"/>
  <c r="AD1685" i="46"/>
  <c r="AC1685" i="46"/>
  <c r="AB1685" i="46"/>
  <c r="AD1675" i="46"/>
  <c r="AC1675" i="46"/>
  <c r="AB1675" i="46"/>
  <c r="AD1664" i="46"/>
  <c r="AC1664" i="46"/>
  <c r="AB1664" i="46"/>
  <c r="AD1662" i="46"/>
  <c r="AC1662" i="46"/>
  <c r="AB1662" i="46"/>
  <c r="AD1659" i="46"/>
  <c r="AC1659" i="46"/>
  <c r="AB1659" i="46"/>
  <c r="AD1655" i="46"/>
  <c r="AC1655" i="46"/>
  <c r="AB1655" i="46"/>
  <c r="AD1645" i="46"/>
  <c r="AC1645" i="46"/>
  <c r="AB1645" i="46"/>
  <c r="AD1642" i="46"/>
  <c r="AC1642" i="46"/>
  <c r="AB1642" i="46"/>
  <c r="AD1641" i="46"/>
  <c r="AC1641" i="46"/>
  <c r="AB1641" i="46"/>
  <c r="AD1637" i="46"/>
  <c r="AC1637" i="46"/>
  <c r="AB1637" i="46"/>
  <c r="AD1635" i="46"/>
  <c r="AC1635" i="46"/>
  <c r="AB1635" i="46"/>
  <c r="AD1634" i="46"/>
  <c r="AC1634" i="46"/>
  <c r="AB1634" i="46"/>
  <c r="AD1629" i="46"/>
  <c r="AC1629" i="46"/>
  <c r="AB1629" i="46"/>
  <c r="AD1623" i="46"/>
  <c r="AC1623" i="46"/>
  <c r="AB1623" i="46"/>
  <c r="AD1622" i="46"/>
  <c r="AC1622" i="46"/>
  <c r="AB1622" i="46"/>
  <c r="AD1620" i="46"/>
  <c r="AC1620" i="46"/>
  <c r="AB1620" i="46"/>
  <c r="AD1596" i="46"/>
  <c r="AC1596" i="46"/>
  <c r="AB1596" i="46"/>
  <c r="AD1593" i="46"/>
  <c r="AC1593" i="46"/>
  <c r="AB1593" i="46"/>
  <c r="AD1590" i="46"/>
  <c r="AC1590" i="46"/>
  <c r="AB1590" i="46"/>
  <c r="AD1587" i="46"/>
  <c r="AC1587" i="46"/>
  <c r="AB1587" i="46"/>
  <c r="AD1551" i="46"/>
  <c r="AC1551" i="46"/>
  <c r="AB1551" i="46"/>
  <c r="AD1544" i="46"/>
  <c r="AC1544" i="46"/>
  <c r="AB1544" i="46"/>
  <c r="AD1525" i="46"/>
  <c r="AC1525" i="46"/>
  <c r="AB1525" i="46"/>
  <c r="AD1520" i="46"/>
  <c r="AC1520" i="46"/>
  <c r="AB1520" i="46"/>
  <c r="AD1518" i="46"/>
  <c r="AC1518" i="46"/>
  <c r="AB1518" i="46"/>
  <c r="AD1517" i="46"/>
  <c r="AC1517" i="46"/>
  <c r="AB1517" i="46"/>
  <c r="AD1505" i="46"/>
  <c r="AC1505" i="46"/>
  <c r="AB1505" i="46"/>
  <c r="AD1501" i="46"/>
  <c r="AC1501" i="46"/>
  <c r="AB1501" i="46"/>
  <c r="AD1489" i="46"/>
  <c r="AC1489" i="46"/>
  <c r="AB1489" i="46"/>
  <c r="AD1488" i="46"/>
  <c r="AC1488" i="46"/>
  <c r="AB1488" i="46"/>
  <c r="AD1484" i="46"/>
  <c r="AC1484" i="46"/>
  <c r="AB1484" i="46"/>
  <c r="AD1480" i="46"/>
  <c r="AC1480" i="46"/>
  <c r="AB1480" i="46"/>
  <c r="AD1479" i="46"/>
  <c r="AC1479" i="46"/>
  <c r="AB1479" i="46"/>
  <c r="AD1471" i="46"/>
  <c r="AC1471" i="46"/>
  <c r="AB1471" i="46"/>
  <c r="AD1458" i="46"/>
  <c r="AC1458" i="46"/>
  <c r="AB1458" i="46"/>
  <c r="AD1455" i="46"/>
  <c r="AC1455" i="46"/>
  <c r="AB1455" i="46"/>
  <c r="AD1452" i="46"/>
  <c r="AC1452" i="46"/>
  <c r="AB1452" i="46"/>
  <c r="AD1434" i="46"/>
  <c r="AC1434" i="46"/>
  <c r="AB1434" i="46"/>
  <c r="AD1417" i="46"/>
  <c r="AC1417" i="46"/>
  <c r="AB1417" i="46"/>
  <c r="AD1414" i="46"/>
  <c r="AC1414" i="46"/>
  <c r="AB1414" i="46"/>
  <c r="AD1385" i="46"/>
  <c r="AC1385" i="46"/>
  <c r="AB1385" i="46"/>
  <c r="AD1382" i="46"/>
  <c r="AC1382" i="46"/>
  <c r="AB1382" i="46"/>
  <c r="AD1381" i="46"/>
  <c r="AC1381" i="46"/>
  <c r="AB1381" i="46"/>
  <c r="AD1379" i="46"/>
  <c r="AC1379" i="46"/>
  <c r="AB1379" i="46"/>
  <c r="AD1250" i="46"/>
  <c r="AC1250" i="46"/>
  <c r="AB1250" i="46"/>
  <c r="AD1241" i="46"/>
  <c r="AC1241" i="46"/>
  <c r="AB1241" i="46"/>
  <c r="AD1236" i="46"/>
  <c r="AC1236" i="46"/>
  <c r="AB1236" i="46"/>
  <c r="AD1233" i="46"/>
  <c r="AC1233" i="46"/>
  <c r="AB1233" i="46"/>
  <c r="AD1227" i="46"/>
  <c r="AC1227" i="46"/>
  <c r="AB1227" i="46"/>
  <c r="AD1226" i="46"/>
  <c r="AC1226" i="46"/>
  <c r="AB1226" i="46"/>
  <c r="AD1223" i="46"/>
  <c r="AC1223" i="46"/>
  <c r="AB1223" i="46"/>
  <c r="AD1221" i="46"/>
  <c r="AC1221" i="46"/>
  <c r="AB1221" i="46"/>
  <c r="AD1215" i="46"/>
  <c r="AC1215" i="46"/>
  <c r="AB1215" i="46"/>
  <c r="AD1214" i="46"/>
  <c r="AC1214" i="46"/>
  <c r="AB1214" i="46"/>
  <c r="AD1209" i="46"/>
  <c r="AC1209" i="46"/>
  <c r="AB1209" i="46"/>
  <c r="AD1206" i="46"/>
  <c r="AC1206" i="46"/>
  <c r="AB1206" i="46"/>
  <c r="X1694" i="46"/>
  <c r="X1691" i="46"/>
  <c r="X1685" i="46"/>
  <c r="X1675" i="46"/>
  <c r="X1664" i="46"/>
  <c r="X1662" i="46"/>
  <c r="X1659" i="46"/>
  <c r="X1655" i="46"/>
  <c r="X1645" i="46"/>
  <c r="X1642" i="46"/>
  <c r="X1641" i="46"/>
  <c r="X1637" i="46"/>
  <c r="X1635" i="46"/>
  <c r="X1634" i="46"/>
  <c r="X1629" i="46"/>
  <c r="X1623" i="46"/>
  <c r="X1622" i="46"/>
  <c r="X1620" i="46"/>
  <c r="X1596" i="46"/>
  <c r="X1593" i="46"/>
  <c r="X1590" i="46"/>
  <c r="X1587" i="46"/>
  <c r="X1551" i="46"/>
  <c r="X1544" i="46"/>
  <c r="X1525" i="46"/>
  <c r="X1520" i="46"/>
  <c r="X1518" i="46"/>
  <c r="X1517" i="46"/>
  <c r="X1505" i="46"/>
  <c r="X1501" i="46"/>
  <c r="X1489" i="46"/>
  <c r="X1488" i="46"/>
  <c r="X1484" i="46"/>
  <c r="X1480" i="46"/>
  <c r="X1479" i="46"/>
  <c r="X1471" i="46"/>
  <c r="X1458" i="46"/>
  <c r="X1455" i="46"/>
  <c r="X1452" i="46"/>
  <c r="X1434" i="46"/>
  <c r="X1417" i="46"/>
  <c r="X1414" i="46"/>
  <c r="X1385" i="46"/>
  <c r="X1382" i="46"/>
  <c r="X1381" i="46"/>
  <c r="X1379" i="46"/>
  <c r="X1250" i="46"/>
  <c r="X1241" i="46"/>
  <c r="X1236" i="46"/>
  <c r="X1233" i="46"/>
  <c r="X1227" i="46"/>
  <c r="X1226" i="46"/>
  <c r="X1223" i="46"/>
  <c r="X1221" i="46"/>
  <c r="X1215" i="46"/>
  <c r="X1214" i="46"/>
  <c r="X1209" i="46"/>
  <c r="X1206" i="46"/>
  <c r="C1610" i="46" a="1"/>
  <c r="C1610" i="46" s="1"/>
  <c r="AD699" i="46"/>
  <c r="AC699" i="46"/>
  <c r="AB699" i="46"/>
  <c r="X699" i="46"/>
  <c r="AD698" i="46"/>
  <c r="AC698" i="46"/>
  <c r="AB698" i="46"/>
  <c r="X698" i="46"/>
  <c r="AD697" i="46"/>
  <c r="AC697" i="46"/>
  <c r="AB697" i="46"/>
  <c r="X697" i="46"/>
  <c r="AD696" i="46"/>
  <c r="AC696" i="46"/>
  <c r="AB696" i="46"/>
  <c r="X696" i="46"/>
  <c r="AD695" i="46"/>
  <c r="AC695" i="46"/>
  <c r="AB695" i="46"/>
  <c r="X695" i="46"/>
  <c r="AD694" i="46"/>
  <c r="AC694" i="46"/>
  <c r="AB694" i="46"/>
  <c r="X694" i="46"/>
  <c r="AD693" i="46"/>
  <c r="AC693" i="46"/>
  <c r="AB693" i="46"/>
  <c r="X693" i="46"/>
  <c r="AD692" i="46"/>
  <c r="AC692" i="46"/>
  <c r="AB692" i="46"/>
  <c r="X692" i="46"/>
  <c r="AD691" i="46"/>
  <c r="AC691" i="46"/>
  <c r="AB691" i="46"/>
  <c r="X691" i="46"/>
  <c r="AD690" i="46"/>
  <c r="AC690" i="46"/>
  <c r="AB690" i="46"/>
  <c r="X690" i="46"/>
  <c r="AD689" i="46"/>
  <c r="AC689" i="46"/>
  <c r="AB689" i="46"/>
  <c r="X689" i="46"/>
  <c r="AD688" i="46"/>
  <c r="AC688" i="46"/>
  <c r="AB688" i="46"/>
  <c r="X688" i="46"/>
  <c r="AD687" i="46"/>
  <c r="AC687" i="46"/>
  <c r="AB687" i="46"/>
  <c r="X687" i="46"/>
  <c r="AD686" i="46"/>
  <c r="AC686" i="46"/>
  <c r="AB686" i="46"/>
  <c r="X686" i="46"/>
  <c r="AD685" i="46"/>
  <c r="AC685" i="46"/>
  <c r="AB685" i="46"/>
  <c r="X685" i="46"/>
  <c r="AD684" i="46"/>
  <c r="AC684" i="46"/>
  <c r="AB684" i="46"/>
  <c r="X684" i="46"/>
  <c r="AD683" i="46"/>
  <c r="AC683" i="46"/>
  <c r="AB683" i="46"/>
  <c r="X683" i="46"/>
  <c r="AD682" i="46"/>
  <c r="AC682" i="46"/>
  <c r="AB682" i="46"/>
  <c r="X682" i="46"/>
  <c r="AD681" i="46"/>
  <c r="AC681" i="46"/>
  <c r="AB681" i="46"/>
  <c r="X681" i="46"/>
  <c r="AD680" i="46"/>
  <c r="AC680" i="46"/>
  <c r="AB680" i="46"/>
  <c r="X680" i="46"/>
  <c r="AD679" i="46"/>
  <c r="AC679" i="46"/>
  <c r="AB679" i="46"/>
  <c r="X679" i="46"/>
  <c r="AD678" i="46"/>
  <c r="AC678" i="46"/>
  <c r="AB678" i="46"/>
  <c r="X678" i="46"/>
  <c r="AD677" i="46"/>
  <c r="AC677" i="46"/>
  <c r="AB677" i="46"/>
  <c r="X677" i="46"/>
  <c r="AD676" i="46"/>
  <c r="AC676" i="46"/>
  <c r="AB676" i="46"/>
  <c r="X676" i="46"/>
  <c r="AD675" i="46"/>
  <c r="AC675" i="46"/>
  <c r="AB675" i="46"/>
  <c r="X675" i="46"/>
  <c r="AD674" i="46"/>
  <c r="AC674" i="46"/>
  <c r="AB674" i="46"/>
  <c r="X674" i="46"/>
  <c r="AD673" i="46"/>
  <c r="AC673" i="46"/>
  <c r="AB673" i="46"/>
  <c r="X673" i="46"/>
  <c r="AD672" i="46"/>
  <c r="AC672" i="46"/>
  <c r="AB672" i="46"/>
  <c r="X672" i="46"/>
  <c r="AD671" i="46"/>
  <c r="AC671" i="46"/>
  <c r="AB671" i="46"/>
  <c r="X671" i="46"/>
  <c r="AD670" i="46"/>
  <c r="AC670" i="46"/>
  <c r="AB670" i="46"/>
  <c r="X670" i="46"/>
  <c r="AD669" i="46"/>
  <c r="AC669" i="46"/>
  <c r="AB669" i="46"/>
  <c r="X669" i="46"/>
  <c r="AD668" i="46"/>
  <c r="AC668" i="46"/>
  <c r="AB668" i="46"/>
  <c r="X668" i="46"/>
  <c r="AD667" i="46"/>
  <c r="AC667" i="46"/>
  <c r="AB667" i="46"/>
  <c r="X667" i="46"/>
  <c r="AD666" i="46"/>
  <c r="AC666" i="46"/>
  <c r="AB666" i="46"/>
  <c r="X666" i="46"/>
  <c r="AD665" i="46"/>
  <c r="AC665" i="46"/>
  <c r="AB665" i="46"/>
  <c r="X665" i="46"/>
  <c r="AD664" i="46"/>
  <c r="AC664" i="46"/>
  <c r="AB664" i="46"/>
  <c r="X664" i="46"/>
  <c r="AD663" i="46"/>
  <c r="AC663" i="46"/>
  <c r="AB663" i="46"/>
  <c r="X663" i="46"/>
  <c r="AD662" i="46"/>
  <c r="AC662" i="46"/>
  <c r="AB662" i="46"/>
  <c r="X662" i="46"/>
  <c r="AD661" i="46"/>
  <c r="AC661" i="46"/>
  <c r="AB661" i="46"/>
  <c r="X661" i="46"/>
  <c r="AD660" i="46"/>
  <c r="AC660" i="46"/>
  <c r="AB660" i="46"/>
  <c r="X660" i="46"/>
  <c r="AD659" i="46"/>
  <c r="AC659" i="46"/>
  <c r="AB659" i="46"/>
  <c r="X659" i="46"/>
  <c r="AD658" i="46"/>
  <c r="AC658" i="46"/>
  <c r="AB658" i="46"/>
  <c r="X658" i="46"/>
  <c r="AD657" i="46"/>
  <c r="AC657" i="46"/>
  <c r="AB657" i="46"/>
  <c r="X657" i="46"/>
  <c r="AD656" i="46"/>
  <c r="AC656" i="46"/>
  <c r="AB656" i="46"/>
  <c r="X656" i="46"/>
  <c r="AD655" i="46"/>
  <c r="AC655" i="46"/>
  <c r="AB655" i="46"/>
  <c r="X655" i="46"/>
  <c r="AD654" i="46"/>
  <c r="AC654" i="46"/>
  <c r="AB654" i="46"/>
  <c r="X654" i="46"/>
  <c r="AD653" i="46"/>
  <c r="AC653" i="46"/>
  <c r="AB653" i="46"/>
  <c r="X653" i="46"/>
  <c r="AD652" i="46"/>
  <c r="AC652" i="46"/>
  <c r="AB652" i="46"/>
  <c r="X652" i="46"/>
  <c r="AD651" i="46"/>
  <c r="AC651" i="46"/>
  <c r="AB651" i="46"/>
  <c r="X651" i="46"/>
  <c r="AD650" i="46"/>
  <c r="AC650" i="46"/>
  <c r="AB650" i="46"/>
  <c r="X650" i="46"/>
  <c r="AD649" i="46"/>
  <c r="AC649" i="46"/>
  <c r="AB649" i="46"/>
  <c r="X649" i="46"/>
  <c r="AD648" i="46"/>
  <c r="AC648" i="46"/>
  <c r="AB648" i="46"/>
  <c r="X648" i="46"/>
  <c r="AD647" i="46"/>
  <c r="AC647" i="46"/>
  <c r="AB647" i="46"/>
  <c r="X647" i="46"/>
  <c r="AD646" i="46"/>
  <c r="AC646" i="46"/>
  <c r="AB646" i="46"/>
  <c r="X646" i="46"/>
  <c r="AD645" i="46"/>
  <c r="AC645" i="46"/>
  <c r="AB645" i="46"/>
  <c r="X645" i="46"/>
  <c r="AD644" i="46"/>
  <c r="AC644" i="46"/>
  <c r="AB644" i="46"/>
  <c r="X644" i="46"/>
  <c r="AD643" i="46"/>
  <c r="AC643" i="46"/>
  <c r="AB643" i="46"/>
  <c r="X643" i="46"/>
  <c r="AD642" i="46"/>
  <c r="AC642" i="46"/>
  <c r="AB642" i="46"/>
  <c r="X642" i="46"/>
  <c r="AD641" i="46"/>
  <c r="AC641" i="46"/>
  <c r="AB641" i="46"/>
  <c r="X641" i="46"/>
  <c r="AD640" i="46"/>
  <c r="AC640" i="46"/>
  <c r="AB640" i="46"/>
  <c r="X640" i="46"/>
  <c r="AD639" i="46"/>
  <c r="AC639" i="46"/>
  <c r="AB639" i="46"/>
  <c r="X639" i="46"/>
  <c r="AD638" i="46"/>
  <c r="AC638" i="46"/>
  <c r="AB638" i="46"/>
  <c r="X638" i="46"/>
  <c r="AD637" i="46"/>
  <c r="AC637" i="46"/>
  <c r="AB637" i="46"/>
  <c r="X637" i="46"/>
  <c r="AD636" i="46"/>
  <c r="AC636" i="46"/>
  <c r="AB636" i="46"/>
  <c r="X636" i="46"/>
  <c r="AD635" i="46"/>
  <c r="AC635" i="46"/>
  <c r="AB635" i="46"/>
  <c r="X635" i="46"/>
  <c r="AD634" i="46"/>
  <c r="AC634" i="46"/>
  <c r="AB634" i="46"/>
  <c r="X634" i="46"/>
  <c r="AD633" i="46"/>
  <c r="AC633" i="46"/>
  <c r="AB633" i="46"/>
  <c r="X633" i="46"/>
  <c r="AD632" i="46"/>
  <c r="AC632" i="46"/>
  <c r="AB632" i="46"/>
  <c r="X632" i="46"/>
  <c r="AD631" i="46"/>
  <c r="AC631" i="46"/>
  <c r="AB631" i="46"/>
  <c r="X631" i="46"/>
  <c r="AD630" i="46"/>
  <c r="AC630" i="46"/>
  <c r="AB630" i="46"/>
  <c r="X630" i="46"/>
  <c r="AD629" i="46"/>
  <c r="AC629" i="46"/>
  <c r="AB629" i="46"/>
  <c r="X629" i="46"/>
  <c r="AD628" i="46"/>
  <c r="AC628" i="46"/>
  <c r="AB628" i="46"/>
  <c r="X628" i="46"/>
  <c r="AD627" i="46"/>
  <c r="AC627" i="46"/>
  <c r="AB627" i="46"/>
  <c r="X627" i="46"/>
  <c r="AD626" i="46"/>
  <c r="AC626" i="46"/>
  <c r="AB626" i="46"/>
  <c r="X626" i="46"/>
  <c r="AD625" i="46"/>
  <c r="AC625" i="46"/>
  <c r="AB625" i="46"/>
  <c r="X625" i="46"/>
  <c r="AD624" i="46"/>
  <c r="AC624" i="46"/>
  <c r="AB624" i="46"/>
  <c r="X624" i="46"/>
  <c r="AD623" i="46"/>
  <c r="AC623" i="46"/>
  <c r="AB623" i="46"/>
  <c r="X623" i="46"/>
  <c r="AD622" i="46"/>
  <c r="AC622" i="46"/>
  <c r="AB622" i="46"/>
  <c r="X622" i="46"/>
  <c r="AD621" i="46"/>
  <c r="AC621" i="46"/>
  <c r="AB621" i="46"/>
  <c r="X621" i="46"/>
  <c r="AD620" i="46"/>
  <c r="AC620" i="46"/>
  <c r="AB620" i="46"/>
  <c r="X620" i="46"/>
  <c r="AD619" i="46"/>
  <c r="AC619" i="46"/>
  <c r="AB619" i="46"/>
  <c r="X619" i="46"/>
  <c r="AD618" i="46"/>
  <c r="AC618" i="46"/>
  <c r="AB618" i="46"/>
  <c r="X618" i="46"/>
  <c r="AD617" i="46"/>
  <c r="AC617" i="46"/>
  <c r="AB617" i="46"/>
  <c r="X617" i="46"/>
  <c r="AD616" i="46"/>
  <c r="AC616" i="46"/>
  <c r="AB616" i="46"/>
  <c r="X616" i="46"/>
  <c r="AD615" i="46"/>
  <c r="AC615" i="46"/>
  <c r="AB615" i="46"/>
  <c r="X615" i="46"/>
  <c r="AD614" i="46"/>
  <c r="AC614" i="46"/>
  <c r="AB614" i="46"/>
  <c r="X614" i="46"/>
  <c r="AD613" i="46"/>
  <c r="AC613" i="46"/>
  <c r="AB613" i="46"/>
  <c r="X613" i="46"/>
  <c r="AD612" i="46"/>
  <c r="AC612" i="46"/>
  <c r="AB612" i="46"/>
  <c r="X612" i="46"/>
  <c r="AD611" i="46"/>
  <c r="AC611" i="46"/>
  <c r="AB611" i="46"/>
  <c r="X611" i="46"/>
  <c r="AD610" i="46"/>
  <c r="AC610" i="46"/>
  <c r="AB610" i="46"/>
  <c r="X610" i="46"/>
  <c r="AD609" i="46"/>
  <c r="AC609" i="46"/>
  <c r="AB609" i="46"/>
  <c r="X609" i="46"/>
  <c r="AD608" i="46"/>
  <c r="AC608" i="46"/>
  <c r="AB608" i="46"/>
  <c r="X608" i="46"/>
  <c r="AD607" i="46"/>
  <c r="AC607" i="46"/>
  <c r="AB607" i="46"/>
  <c r="X607" i="46"/>
  <c r="AD606" i="46"/>
  <c r="AC606" i="46"/>
  <c r="AB606" i="46"/>
  <c r="X606" i="46"/>
  <c r="AD605" i="46"/>
  <c r="AC605" i="46"/>
  <c r="AB605" i="46"/>
  <c r="X605" i="46"/>
  <c r="AD604" i="46"/>
  <c r="AC604" i="46"/>
  <c r="AB604" i="46"/>
  <c r="X604" i="46"/>
  <c r="AD603" i="46"/>
  <c r="AC603" i="46"/>
  <c r="AB603" i="46"/>
  <c r="X603" i="46"/>
  <c r="AD602" i="46"/>
  <c r="AC602" i="46"/>
  <c r="AB602" i="46"/>
  <c r="X602" i="46"/>
  <c r="AD601" i="46"/>
  <c r="AC601" i="46"/>
  <c r="AB601" i="46"/>
  <c r="X601" i="46"/>
  <c r="AD600" i="46"/>
  <c r="AC600" i="46"/>
  <c r="AB600" i="46"/>
  <c r="X600" i="46"/>
  <c r="AD599" i="46"/>
  <c r="AC599" i="46"/>
  <c r="AB599" i="46"/>
  <c r="X599" i="46"/>
  <c r="AD598" i="46"/>
  <c r="AC598" i="46"/>
  <c r="AB598" i="46"/>
  <c r="X598" i="46"/>
  <c r="AD597" i="46"/>
  <c r="AC597" i="46"/>
  <c r="AB597" i="46"/>
  <c r="X597" i="46"/>
  <c r="AD596" i="46"/>
  <c r="AC596" i="46"/>
  <c r="AB596" i="46"/>
  <c r="X596" i="46"/>
  <c r="AD595" i="46"/>
  <c r="AC595" i="46"/>
  <c r="AB595" i="46"/>
  <c r="X595" i="46"/>
  <c r="AD594" i="46"/>
  <c r="AC594" i="46"/>
  <c r="AB594" i="46"/>
  <c r="X594" i="46"/>
  <c r="AD593" i="46"/>
  <c r="AC593" i="46"/>
  <c r="AB593" i="46"/>
  <c r="X593" i="46"/>
  <c r="AD592" i="46"/>
  <c r="AC592" i="46"/>
  <c r="AB592" i="46"/>
  <c r="X592" i="46"/>
  <c r="AD591" i="46"/>
  <c r="AC591" i="46"/>
  <c r="AB591" i="46"/>
  <c r="X591" i="46"/>
  <c r="AD590" i="46"/>
  <c r="AC590" i="46"/>
  <c r="AB590" i="46"/>
  <c r="X590" i="46"/>
  <c r="AD589" i="46"/>
  <c r="AC589" i="46"/>
  <c r="AB589" i="46"/>
  <c r="X589" i="46"/>
  <c r="AD588" i="46"/>
  <c r="AC588" i="46"/>
  <c r="AB588" i="46"/>
  <c r="X588" i="46"/>
  <c r="AD587" i="46"/>
  <c r="AC587" i="46"/>
  <c r="AB587" i="46"/>
  <c r="X587" i="46"/>
  <c r="AD586" i="46"/>
  <c r="AC586" i="46"/>
  <c r="AB586" i="46"/>
  <c r="X586" i="46"/>
  <c r="AD585" i="46"/>
  <c r="AC585" i="46"/>
  <c r="AB585" i="46"/>
  <c r="X585" i="46"/>
  <c r="AD584" i="46"/>
  <c r="AC584" i="46"/>
  <c r="AB584" i="46"/>
  <c r="X584" i="46"/>
  <c r="AD583" i="46"/>
  <c r="AC583" i="46"/>
  <c r="AB583" i="46"/>
  <c r="X583" i="46"/>
  <c r="AD582" i="46"/>
  <c r="AC582" i="46"/>
  <c r="AB582" i="46"/>
  <c r="X582" i="46"/>
  <c r="AD581" i="46"/>
  <c r="AC581" i="46"/>
  <c r="AB581" i="46"/>
  <c r="X581" i="46"/>
  <c r="AD580" i="46"/>
  <c r="AC580" i="46"/>
  <c r="AB580" i="46"/>
  <c r="X580" i="46"/>
  <c r="AD579" i="46"/>
  <c r="AC579" i="46"/>
  <c r="AB579" i="46"/>
  <c r="X579" i="46"/>
  <c r="AD578" i="46"/>
  <c r="AC578" i="46"/>
  <c r="AB578" i="46"/>
  <c r="X578" i="46"/>
  <c r="AD577" i="46"/>
  <c r="AC577" i="46"/>
  <c r="AB577" i="46"/>
  <c r="X577" i="46"/>
  <c r="AD576" i="46"/>
  <c r="AC576" i="46"/>
  <c r="AB576" i="46"/>
  <c r="X576" i="46"/>
  <c r="AD575" i="46"/>
  <c r="AC575" i="46"/>
  <c r="AB575" i="46"/>
  <c r="X575" i="46"/>
  <c r="AD574" i="46"/>
  <c r="AC574" i="46"/>
  <c r="AB574" i="46"/>
  <c r="X574" i="46"/>
  <c r="AD573" i="46"/>
  <c r="AC573" i="46"/>
  <c r="AB573" i="46"/>
  <c r="X573" i="46"/>
  <c r="AD572" i="46"/>
  <c r="AC572" i="46"/>
  <c r="AB572" i="46"/>
  <c r="X572" i="46"/>
  <c r="AD571" i="46"/>
  <c r="AC571" i="46"/>
  <c r="AB571" i="46"/>
  <c r="X571" i="46"/>
  <c r="AD570" i="46"/>
  <c r="AC570" i="46"/>
  <c r="AB570" i="46"/>
  <c r="X570" i="46"/>
  <c r="AD569" i="46"/>
  <c r="AC569" i="46"/>
  <c r="AB569" i="46"/>
  <c r="X569" i="46"/>
  <c r="AD568" i="46"/>
  <c r="AC568" i="46"/>
  <c r="AB568" i="46"/>
  <c r="X568" i="46"/>
  <c r="AD567" i="46"/>
  <c r="AC567" i="46"/>
  <c r="AB567" i="46"/>
  <c r="X567" i="46"/>
  <c r="AD566" i="46"/>
  <c r="AC566" i="46"/>
  <c r="AB566" i="46"/>
  <c r="X566" i="46"/>
  <c r="AD565" i="46"/>
  <c r="AC565" i="46"/>
  <c r="AB565" i="46"/>
  <c r="X565" i="46"/>
  <c r="AD564" i="46"/>
  <c r="AC564" i="46"/>
  <c r="AB564" i="46"/>
  <c r="X564" i="46"/>
  <c r="AD563" i="46"/>
  <c r="AC563" i="46"/>
  <c r="AB563" i="46"/>
  <c r="X563" i="46"/>
  <c r="AD562" i="46"/>
  <c r="AC562" i="46"/>
  <c r="AB562" i="46"/>
  <c r="X562" i="46"/>
  <c r="AD561" i="46"/>
  <c r="AC561" i="46"/>
  <c r="AB561" i="46"/>
  <c r="X561" i="46"/>
  <c r="AD560" i="46"/>
  <c r="AC560" i="46"/>
  <c r="AB560" i="46"/>
  <c r="X560" i="46"/>
  <c r="AD559" i="46"/>
  <c r="AC559" i="46"/>
  <c r="AB559" i="46"/>
  <c r="X559" i="46"/>
  <c r="AD558" i="46"/>
  <c r="AC558" i="46"/>
  <c r="AB558" i="46"/>
  <c r="X558" i="46"/>
  <c r="AD557" i="46"/>
  <c r="AC557" i="46"/>
  <c r="AB557" i="46"/>
  <c r="X557" i="46"/>
  <c r="AD556" i="46"/>
  <c r="AC556" i="46"/>
  <c r="AB556" i="46"/>
  <c r="X556" i="46"/>
  <c r="AD555" i="46"/>
  <c r="AC555" i="46"/>
  <c r="AB555" i="46"/>
  <c r="X555" i="46"/>
  <c r="AD554" i="46"/>
  <c r="AC554" i="46"/>
  <c r="AB554" i="46"/>
  <c r="X554" i="46"/>
  <c r="AD553" i="46"/>
  <c r="AC553" i="46"/>
  <c r="AB553" i="46"/>
  <c r="X553" i="46"/>
  <c r="AD552" i="46"/>
  <c r="AC552" i="46"/>
  <c r="AB552" i="46"/>
  <c r="X552" i="46"/>
  <c r="AD551" i="46"/>
  <c r="AC551" i="46"/>
  <c r="AB551" i="46"/>
  <c r="X551" i="46"/>
  <c r="AD550" i="46"/>
  <c r="AC550" i="46"/>
  <c r="AB550" i="46"/>
  <c r="X550" i="46"/>
  <c r="AD549" i="46"/>
  <c r="AC549" i="46"/>
  <c r="AB549" i="46"/>
  <c r="X549" i="46"/>
  <c r="AD548" i="46"/>
  <c r="AC548" i="46"/>
  <c r="AB548" i="46"/>
  <c r="X548" i="46"/>
  <c r="AD547" i="46"/>
  <c r="AC547" i="46"/>
  <c r="AB547" i="46"/>
  <c r="X547" i="46"/>
  <c r="AD546" i="46"/>
  <c r="AC546" i="46"/>
  <c r="AB546" i="46"/>
  <c r="X546" i="46"/>
  <c r="AD545" i="46"/>
  <c r="AC545" i="46"/>
  <c r="AB545" i="46"/>
  <c r="X545" i="46"/>
  <c r="AD544" i="46"/>
  <c r="AC544" i="46"/>
  <c r="AB544" i="46"/>
  <c r="X544" i="46"/>
  <c r="AD543" i="46"/>
  <c r="AC543" i="46"/>
  <c r="AB543" i="46"/>
  <c r="X543" i="46"/>
  <c r="AD542" i="46"/>
  <c r="AC542" i="46"/>
  <c r="AB542" i="46"/>
  <c r="X542" i="46"/>
  <c r="AD541" i="46"/>
  <c r="AC541" i="46"/>
  <c r="AB541" i="46"/>
  <c r="X541" i="46"/>
  <c r="AD540" i="46"/>
  <c r="AC540" i="46"/>
  <c r="AB540" i="46"/>
  <c r="X540" i="46"/>
  <c r="AD539" i="46"/>
  <c r="AC539" i="46"/>
  <c r="AB539" i="46"/>
  <c r="X539" i="46"/>
  <c r="AD538" i="46"/>
  <c r="AC538" i="46"/>
  <c r="AB538" i="46"/>
  <c r="X538" i="46"/>
  <c r="AD537" i="46"/>
  <c r="AC537" i="46"/>
  <c r="AB537" i="46"/>
  <c r="X537" i="46"/>
  <c r="AD536" i="46"/>
  <c r="AC536" i="46"/>
  <c r="AB536" i="46"/>
  <c r="X536" i="46"/>
  <c r="AD535" i="46"/>
  <c r="AC535" i="46"/>
  <c r="AB535" i="46"/>
  <c r="X535" i="46"/>
  <c r="AD534" i="46"/>
  <c r="AC534" i="46"/>
  <c r="AB534" i="46"/>
  <c r="X534" i="46"/>
  <c r="AD533" i="46"/>
  <c r="AC533" i="46"/>
  <c r="AB533" i="46"/>
  <c r="X533" i="46"/>
  <c r="AD532" i="46"/>
  <c r="AC532" i="46"/>
  <c r="AB532" i="46"/>
  <c r="X532" i="46"/>
  <c r="AD531" i="46"/>
  <c r="AC531" i="46"/>
  <c r="AB531" i="46"/>
  <c r="X531" i="46"/>
  <c r="AD530" i="46"/>
  <c r="AC530" i="46"/>
  <c r="AB530" i="46"/>
  <c r="X530" i="46"/>
  <c r="AD529" i="46"/>
  <c r="AC529" i="46"/>
  <c r="AB529" i="46"/>
  <c r="X529" i="46"/>
  <c r="AD528" i="46"/>
  <c r="AC528" i="46"/>
  <c r="AB528" i="46"/>
  <c r="X528" i="46"/>
  <c r="AD527" i="46"/>
  <c r="AC527" i="46"/>
  <c r="AB527" i="46"/>
  <c r="X527" i="46"/>
  <c r="AD526" i="46"/>
  <c r="AC526" i="46"/>
  <c r="AB526" i="46"/>
  <c r="X526" i="46"/>
  <c r="AD525" i="46"/>
  <c r="AC525" i="46"/>
  <c r="AB525" i="46"/>
  <c r="X525" i="46"/>
  <c r="AD524" i="46"/>
  <c r="AC524" i="46"/>
  <c r="AB524" i="46"/>
  <c r="X524" i="46"/>
  <c r="AD523" i="46"/>
  <c r="AC523" i="46"/>
  <c r="AB523" i="46"/>
  <c r="X523" i="46"/>
  <c r="AD522" i="46"/>
  <c r="AC522" i="46"/>
  <c r="AB522" i="46"/>
  <c r="X522" i="46"/>
  <c r="AD521" i="46"/>
  <c r="AC521" i="46"/>
  <c r="AB521" i="46"/>
  <c r="X521" i="46"/>
  <c r="AD520" i="46"/>
  <c r="AC520" i="46"/>
  <c r="AB520" i="46"/>
  <c r="X520" i="46"/>
  <c r="AD519" i="46"/>
  <c r="AC519" i="46"/>
  <c r="AB519" i="46"/>
  <c r="X519" i="46"/>
  <c r="AD518" i="46"/>
  <c r="AC518" i="46"/>
  <c r="AB518" i="46"/>
  <c r="X518" i="46"/>
  <c r="AD517" i="46"/>
  <c r="AC517" i="46"/>
  <c r="AB517" i="46"/>
  <c r="X517" i="46"/>
  <c r="AD516" i="46"/>
  <c r="AC516" i="46"/>
  <c r="AB516" i="46"/>
  <c r="X516" i="46"/>
  <c r="AD515" i="46"/>
  <c r="AC515" i="46"/>
  <c r="AB515" i="46"/>
  <c r="X515" i="46"/>
  <c r="AD514" i="46"/>
  <c r="AC514" i="46"/>
  <c r="AB514" i="46"/>
  <c r="X514" i="46"/>
  <c r="AD513" i="46"/>
  <c r="AC513" i="46"/>
  <c r="AB513" i="46"/>
  <c r="X513" i="46"/>
  <c r="AD512" i="46"/>
  <c r="AC512" i="46"/>
  <c r="AB512" i="46"/>
  <c r="X512" i="46"/>
  <c r="AD511" i="46"/>
  <c r="AC511" i="46"/>
  <c r="AB511" i="46"/>
  <c r="X511" i="46"/>
  <c r="AD510" i="46"/>
  <c r="AC510" i="46"/>
  <c r="AB510" i="46"/>
  <c r="X510" i="46"/>
  <c r="AD509" i="46"/>
  <c r="AC509" i="46"/>
  <c r="AB509" i="46"/>
  <c r="X509" i="46"/>
  <c r="AD508" i="46"/>
  <c r="AC508" i="46"/>
  <c r="AB508" i="46"/>
  <c r="X508" i="46"/>
  <c r="AD507" i="46"/>
  <c r="AC507" i="46"/>
  <c r="AB507" i="46"/>
  <c r="X507" i="46"/>
  <c r="AD506" i="46"/>
  <c r="AC506" i="46"/>
  <c r="AB506" i="46"/>
  <c r="X506" i="46"/>
  <c r="AD505" i="46"/>
  <c r="AC505" i="46"/>
  <c r="AB505" i="46"/>
  <c r="X505" i="46"/>
  <c r="AD504" i="46"/>
  <c r="AC504" i="46"/>
  <c r="AB504" i="46"/>
  <c r="X504" i="46"/>
  <c r="AD503" i="46"/>
  <c r="AC503" i="46"/>
  <c r="AB503" i="46"/>
  <c r="X503" i="46"/>
  <c r="AD502" i="46"/>
  <c r="AC502" i="46"/>
  <c r="AB502" i="46"/>
  <c r="X502" i="46"/>
  <c r="AD501" i="46"/>
  <c r="AC501" i="46"/>
  <c r="AB501" i="46"/>
  <c r="X501" i="46"/>
  <c r="AD500" i="46"/>
  <c r="AC500" i="46"/>
  <c r="AB500" i="46"/>
  <c r="X500" i="46"/>
  <c r="AD499" i="46"/>
  <c r="AC499" i="46"/>
  <c r="AB499" i="46"/>
  <c r="X499" i="46"/>
  <c r="AD498" i="46"/>
  <c r="AC498" i="46"/>
  <c r="AB498" i="46"/>
  <c r="X498" i="46"/>
  <c r="AD497" i="46"/>
  <c r="AC497" i="46"/>
  <c r="AB497" i="46"/>
  <c r="X497" i="46"/>
  <c r="AD496" i="46"/>
  <c r="AC496" i="46"/>
  <c r="AB496" i="46"/>
  <c r="X496" i="46"/>
  <c r="AD495" i="46"/>
  <c r="AC495" i="46"/>
  <c r="AB495" i="46"/>
  <c r="X495" i="46"/>
  <c r="AD494" i="46"/>
  <c r="AC494" i="46"/>
  <c r="AB494" i="46"/>
  <c r="X494" i="46"/>
  <c r="AD493" i="46"/>
  <c r="AC493" i="46"/>
  <c r="AB493" i="46"/>
  <c r="X493" i="46"/>
  <c r="AD492" i="46"/>
  <c r="AC492" i="46"/>
  <c r="AB492" i="46"/>
  <c r="X492" i="46"/>
  <c r="AD491" i="46"/>
  <c r="AC491" i="46"/>
  <c r="AB491" i="46"/>
  <c r="X491" i="46"/>
  <c r="AD490" i="46"/>
  <c r="AC490" i="46"/>
  <c r="AB490" i="46"/>
  <c r="X490" i="46"/>
  <c r="AD489" i="46"/>
  <c r="AC489" i="46"/>
  <c r="AB489" i="46"/>
  <c r="X489" i="46"/>
  <c r="AD488" i="46"/>
  <c r="AC488" i="46"/>
  <c r="AB488" i="46"/>
  <c r="X488" i="46"/>
  <c r="AD487" i="46"/>
  <c r="AC487" i="46"/>
  <c r="AB487" i="46"/>
  <c r="X487" i="46"/>
  <c r="AD486" i="46"/>
  <c r="AC486" i="46"/>
  <c r="AB486" i="46"/>
  <c r="X486" i="46"/>
  <c r="AD485" i="46"/>
  <c r="AC485" i="46"/>
  <c r="AB485" i="46"/>
  <c r="X485" i="46"/>
  <c r="AD484" i="46"/>
  <c r="AC484" i="46"/>
  <c r="AB484" i="46"/>
  <c r="X484" i="46"/>
  <c r="AD483" i="46"/>
  <c r="AC483" i="46"/>
  <c r="AB483" i="46"/>
  <c r="X483" i="46"/>
  <c r="AD482" i="46"/>
  <c r="AC482" i="46"/>
  <c r="AB482" i="46"/>
  <c r="X482" i="46"/>
  <c r="AD481" i="46"/>
  <c r="AC481" i="46"/>
  <c r="AB481" i="46"/>
  <c r="X481" i="46"/>
  <c r="AD480" i="46"/>
  <c r="AC480" i="46"/>
  <c r="AB480" i="46"/>
  <c r="X480" i="46"/>
  <c r="AD479" i="46"/>
  <c r="AC479" i="46"/>
  <c r="AB479" i="46"/>
  <c r="X479" i="46"/>
  <c r="AD478" i="46"/>
  <c r="AC478" i="46"/>
  <c r="AB478" i="46"/>
  <c r="X478" i="46"/>
  <c r="AD477" i="46"/>
  <c r="AC477" i="46"/>
  <c r="AB477" i="46"/>
  <c r="X477" i="46"/>
  <c r="AD476" i="46"/>
  <c r="AC476" i="46"/>
  <c r="AB476" i="46"/>
  <c r="X476" i="46"/>
  <c r="AD475" i="46"/>
  <c r="AC475" i="46"/>
  <c r="AB475" i="46"/>
  <c r="X475" i="46"/>
  <c r="AD474" i="46"/>
  <c r="AC474" i="46"/>
  <c r="AB474" i="46"/>
  <c r="X474" i="46"/>
  <c r="AD473" i="46"/>
  <c r="AC473" i="46"/>
  <c r="AB473" i="46"/>
  <c r="X473" i="46"/>
  <c r="AD472" i="46"/>
  <c r="AC472" i="46"/>
  <c r="AB472" i="46"/>
  <c r="X472" i="46"/>
  <c r="AD471" i="46"/>
  <c r="AC471" i="46"/>
  <c r="AB471" i="46"/>
  <c r="X471" i="46"/>
  <c r="AD470" i="46"/>
  <c r="AC470" i="46"/>
  <c r="AB470" i="46"/>
  <c r="X470" i="46"/>
  <c r="AD469" i="46"/>
  <c r="AC469" i="46"/>
  <c r="AB469" i="46"/>
  <c r="X469" i="46"/>
  <c r="AD468" i="46"/>
  <c r="AC468" i="46"/>
  <c r="AB468" i="46"/>
  <c r="X468" i="46"/>
  <c r="AD467" i="46"/>
  <c r="AC467" i="46"/>
  <c r="AB467" i="46"/>
  <c r="X467" i="46"/>
  <c r="AD466" i="46"/>
  <c r="AC466" i="46"/>
  <c r="AB466" i="46"/>
  <c r="X466" i="46"/>
  <c r="AD465" i="46"/>
  <c r="AC465" i="46"/>
  <c r="AB465" i="46"/>
  <c r="X465" i="46"/>
  <c r="AD464" i="46"/>
  <c r="AC464" i="46"/>
  <c r="AB464" i="46"/>
  <c r="X464" i="46"/>
  <c r="AD463" i="46"/>
  <c r="AC463" i="46"/>
  <c r="AB463" i="46"/>
  <c r="X463" i="46"/>
  <c r="AD462" i="46"/>
  <c r="AC462" i="46"/>
  <c r="AB462" i="46"/>
  <c r="X462" i="46"/>
  <c r="AD461" i="46"/>
  <c r="AC461" i="46"/>
  <c r="AB461" i="46"/>
  <c r="X461" i="46"/>
  <c r="AD460" i="46"/>
  <c r="AC460" i="46"/>
  <c r="AB460" i="46"/>
  <c r="X460" i="46"/>
  <c r="AD459" i="46"/>
  <c r="AC459" i="46"/>
  <c r="AB459" i="46"/>
  <c r="X459" i="46"/>
  <c r="AD458" i="46"/>
  <c r="AC458" i="46"/>
  <c r="AB458" i="46"/>
  <c r="X458" i="46"/>
  <c r="AD457" i="46"/>
  <c r="AC457" i="46"/>
  <c r="AB457" i="46"/>
  <c r="X457" i="46"/>
  <c r="AD456" i="46"/>
  <c r="AC456" i="46"/>
  <c r="AB456" i="46"/>
  <c r="X456" i="46"/>
  <c r="AD455" i="46"/>
  <c r="AC455" i="46"/>
  <c r="AB455" i="46"/>
  <c r="X455" i="46"/>
  <c r="AD454" i="46"/>
  <c r="AC454" i="46"/>
  <c r="AB454" i="46"/>
  <c r="X454" i="46"/>
  <c r="AD453" i="46"/>
  <c r="AC453" i="46"/>
  <c r="AB453" i="46"/>
  <c r="X453" i="46"/>
  <c r="AD452" i="46"/>
  <c r="AC452" i="46"/>
  <c r="AB452" i="46"/>
  <c r="X452" i="46"/>
  <c r="AD451" i="46"/>
  <c r="AC451" i="46"/>
  <c r="AB451" i="46"/>
  <c r="X451" i="46"/>
  <c r="AD450" i="46"/>
  <c r="AC450" i="46"/>
  <c r="AB450" i="46"/>
  <c r="X450" i="46"/>
  <c r="AD449" i="46"/>
  <c r="AC449" i="46"/>
  <c r="AB449" i="46"/>
  <c r="X449" i="46"/>
  <c r="AD448" i="46"/>
  <c r="AC448" i="46"/>
  <c r="AB448" i="46"/>
  <c r="X448" i="46"/>
  <c r="AD447" i="46"/>
  <c r="AC447" i="46"/>
  <c r="AB447" i="46"/>
  <c r="X447" i="46"/>
  <c r="AD446" i="46"/>
  <c r="AC446" i="46"/>
  <c r="AB446" i="46"/>
  <c r="X446" i="46"/>
  <c r="AD445" i="46"/>
  <c r="AC445" i="46"/>
  <c r="AB445" i="46"/>
  <c r="X445" i="46"/>
  <c r="AD444" i="46"/>
  <c r="AC444" i="46"/>
  <c r="AB444" i="46"/>
  <c r="X444" i="46"/>
  <c r="AD443" i="46"/>
  <c r="AC443" i="46"/>
  <c r="AB443" i="46"/>
  <c r="X443" i="46"/>
  <c r="AD442" i="46"/>
  <c r="AC442" i="46"/>
  <c r="AB442" i="46"/>
  <c r="X442" i="46"/>
  <c r="AD441" i="46"/>
  <c r="AC441" i="46"/>
  <c r="AB441" i="46"/>
  <c r="X441" i="46"/>
  <c r="AD440" i="46"/>
  <c r="AC440" i="46"/>
  <c r="AB440" i="46"/>
  <c r="X440" i="46"/>
  <c r="AD439" i="46"/>
  <c r="AC439" i="46"/>
  <c r="AB439" i="46"/>
  <c r="X439" i="46"/>
  <c r="AD438" i="46"/>
  <c r="AC438" i="46"/>
  <c r="AB438" i="46"/>
  <c r="X438" i="46"/>
  <c r="AD437" i="46"/>
  <c r="AC437" i="46"/>
  <c r="AB437" i="46"/>
  <c r="X437" i="46"/>
  <c r="AD436" i="46"/>
  <c r="AC436" i="46"/>
  <c r="AB436" i="46"/>
  <c r="X436" i="46"/>
  <c r="AD435" i="46"/>
  <c r="AC435" i="46"/>
  <c r="AB435" i="46"/>
  <c r="X435" i="46"/>
  <c r="AD434" i="46"/>
  <c r="AC434" i="46"/>
  <c r="AB434" i="46"/>
  <c r="X434" i="46"/>
  <c r="AD433" i="46"/>
  <c r="AC433" i="46"/>
  <c r="AB433" i="46"/>
  <c r="X433" i="46"/>
  <c r="AD432" i="46"/>
  <c r="AC432" i="46"/>
  <c r="AB432" i="46"/>
  <c r="X432" i="46"/>
  <c r="AD431" i="46"/>
  <c r="AC431" i="46"/>
  <c r="AB431" i="46"/>
  <c r="X431" i="46"/>
  <c r="AD430" i="46"/>
  <c r="AC430" i="46"/>
  <c r="AB430" i="46"/>
  <c r="X430" i="46"/>
  <c r="AD429" i="46"/>
  <c r="AC429" i="46"/>
  <c r="AB429" i="46"/>
  <c r="X429" i="46"/>
  <c r="AD428" i="46"/>
  <c r="AC428" i="46"/>
  <c r="AB428" i="46"/>
  <c r="X428" i="46"/>
  <c r="AD427" i="46"/>
  <c r="AC427" i="46"/>
  <c r="AB427" i="46"/>
  <c r="X427" i="46"/>
  <c r="AD426" i="46"/>
  <c r="AC426" i="46"/>
  <c r="AB426" i="46"/>
  <c r="X426" i="46"/>
  <c r="AD425" i="46"/>
  <c r="AC425" i="46"/>
  <c r="AB425" i="46"/>
  <c r="X425" i="46"/>
  <c r="AD424" i="46"/>
  <c r="AC424" i="46"/>
  <c r="AB424" i="46"/>
  <c r="X424" i="46"/>
  <c r="AD423" i="46"/>
  <c r="AC423" i="46"/>
  <c r="AB423" i="46"/>
  <c r="X423" i="46"/>
  <c r="AD422" i="46"/>
  <c r="AC422" i="46"/>
  <c r="AB422" i="46"/>
  <c r="X422" i="46"/>
  <c r="AD421" i="46"/>
  <c r="AC421" i="46"/>
  <c r="AB421" i="46"/>
  <c r="X421" i="46"/>
  <c r="AD420" i="46"/>
  <c r="AC420" i="46"/>
  <c r="AB420" i="46"/>
  <c r="X420" i="46"/>
  <c r="AD419" i="46"/>
  <c r="AC419" i="46"/>
  <c r="AB419" i="46"/>
  <c r="X419" i="46"/>
  <c r="AD418" i="46"/>
  <c r="AC418" i="46"/>
  <c r="AB418" i="46"/>
  <c r="X418" i="46"/>
  <c r="AD417" i="46"/>
  <c r="AC417" i="46"/>
  <c r="AB417" i="46"/>
  <c r="X417" i="46"/>
  <c r="AD416" i="46"/>
  <c r="AC416" i="46"/>
  <c r="AB416" i="46"/>
  <c r="X416" i="46"/>
  <c r="AD415" i="46"/>
  <c r="AC415" i="46"/>
  <c r="AB415" i="46"/>
  <c r="X415" i="46"/>
  <c r="AD414" i="46"/>
  <c r="AC414" i="46"/>
  <c r="AB414" i="46"/>
  <c r="X414" i="46"/>
  <c r="AD413" i="46"/>
  <c r="AC413" i="46"/>
  <c r="AB413" i="46"/>
  <c r="X413" i="46"/>
  <c r="AD412" i="46"/>
  <c r="AC412" i="46"/>
  <c r="AB412" i="46"/>
  <c r="X412" i="46"/>
  <c r="AD411" i="46"/>
  <c r="AC411" i="46"/>
  <c r="AB411" i="46"/>
  <c r="X411" i="46"/>
  <c r="AD410" i="46"/>
  <c r="AC410" i="46"/>
  <c r="AB410" i="46"/>
  <c r="X410" i="46"/>
  <c r="AD409" i="46"/>
  <c r="AC409" i="46"/>
  <c r="AB409" i="46"/>
  <c r="X409" i="46"/>
  <c r="AD408" i="46"/>
  <c r="AC408" i="46"/>
  <c r="AB408" i="46"/>
  <c r="X408" i="46"/>
  <c r="AD407" i="46"/>
  <c r="AC407" i="46"/>
  <c r="AB407" i="46"/>
  <c r="X407" i="46"/>
  <c r="AD406" i="46"/>
  <c r="AC406" i="46"/>
  <c r="AB406" i="46"/>
  <c r="X406" i="46"/>
  <c r="AD405" i="46"/>
  <c r="AC405" i="46"/>
  <c r="AB405" i="46"/>
  <c r="X405" i="46"/>
  <c r="AD404" i="46"/>
  <c r="AC404" i="46"/>
  <c r="AB404" i="46"/>
  <c r="X404" i="46"/>
  <c r="AD403" i="46"/>
  <c r="AC403" i="46"/>
  <c r="AB403" i="46"/>
  <c r="X403" i="46"/>
  <c r="AD402" i="46"/>
  <c r="AC402" i="46"/>
  <c r="AB402" i="46"/>
  <c r="X402" i="46"/>
  <c r="AD401" i="46"/>
  <c r="AC401" i="46"/>
  <c r="AB401" i="46"/>
  <c r="X401" i="46"/>
  <c r="AD400" i="46"/>
  <c r="AC400" i="46"/>
  <c r="AB400" i="46"/>
  <c r="X400" i="46"/>
  <c r="AD399" i="46"/>
  <c r="AC399" i="46"/>
  <c r="AB399" i="46"/>
  <c r="X399" i="46"/>
  <c r="AD398" i="46"/>
  <c r="AC398" i="46"/>
  <c r="AB398" i="46"/>
  <c r="X398" i="46"/>
  <c r="AD397" i="46"/>
  <c r="AC397" i="46"/>
  <c r="AB397" i="46"/>
  <c r="X397" i="46"/>
  <c r="AD396" i="46"/>
  <c r="AC396" i="46"/>
  <c r="AB396" i="46"/>
  <c r="X396" i="46"/>
  <c r="AD395" i="46"/>
  <c r="AC395" i="46"/>
  <c r="AB395" i="46"/>
  <c r="X395" i="46"/>
  <c r="AD394" i="46"/>
  <c r="AC394" i="46"/>
  <c r="AB394" i="46"/>
  <c r="X394" i="46"/>
  <c r="AD393" i="46"/>
  <c r="AC393" i="46"/>
  <c r="AB393" i="46"/>
  <c r="X393" i="46"/>
  <c r="AD392" i="46"/>
  <c r="AC392" i="46"/>
  <c r="AB392" i="46"/>
  <c r="X392" i="46"/>
  <c r="AD391" i="46"/>
  <c r="AC391" i="46"/>
  <c r="AB391" i="46"/>
  <c r="X391" i="46"/>
  <c r="AD390" i="46"/>
  <c r="AC390" i="46"/>
  <c r="AB390" i="46"/>
  <c r="X390" i="46"/>
  <c r="AD389" i="46"/>
  <c r="AC389" i="46"/>
  <c r="AB389" i="46"/>
  <c r="X389" i="46"/>
  <c r="AD388" i="46"/>
  <c r="AC388" i="46"/>
  <c r="AB388" i="46"/>
  <c r="X388" i="46"/>
  <c r="AD387" i="46"/>
  <c r="AC387" i="46"/>
  <c r="AB387" i="46"/>
  <c r="X387" i="46"/>
  <c r="AD386" i="46"/>
  <c r="AC386" i="46"/>
  <c r="AB386" i="46"/>
  <c r="X386" i="46"/>
  <c r="AD385" i="46"/>
  <c r="AC385" i="46"/>
  <c r="AB385" i="46"/>
  <c r="X385" i="46"/>
  <c r="AD384" i="46"/>
  <c r="AC384" i="46"/>
  <c r="AB384" i="46"/>
  <c r="X384" i="46"/>
  <c r="AD383" i="46"/>
  <c r="AC383" i="46"/>
  <c r="AB383" i="46"/>
  <c r="X383" i="46"/>
  <c r="AD382" i="46"/>
  <c r="AC382" i="46"/>
  <c r="AB382" i="46"/>
  <c r="X382" i="46"/>
  <c r="AD381" i="46"/>
  <c r="AC381" i="46"/>
  <c r="AB381" i="46"/>
  <c r="X381" i="46"/>
  <c r="AD380" i="46"/>
  <c r="AC380" i="46"/>
  <c r="AB380" i="46"/>
  <c r="X380" i="46"/>
  <c r="AD379" i="46"/>
  <c r="AC379" i="46"/>
  <c r="AB379" i="46"/>
  <c r="X379" i="46"/>
  <c r="AD378" i="46"/>
  <c r="AC378" i="46"/>
  <c r="AB378" i="46"/>
  <c r="X378" i="46"/>
  <c r="AD377" i="46"/>
  <c r="AC377" i="46"/>
  <c r="AB377" i="46"/>
  <c r="X377" i="46"/>
  <c r="AD376" i="46"/>
  <c r="AC376" i="46"/>
  <c r="AB376" i="46"/>
  <c r="X376" i="46"/>
  <c r="AD375" i="46"/>
  <c r="AC375" i="46"/>
  <c r="AB375" i="46"/>
  <c r="X375" i="46"/>
  <c r="AD374" i="46"/>
  <c r="AC374" i="46"/>
  <c r="AB374" i="46"/>
  <c r="X374" i="46"/>
  <c r="AD373" i="46"/>
  <c r="AC373" i="46"/>
  <c r="AB373" i="46"/>
  <c r="X373" i="46"/>
  <c r="AD372" i="46"/>
  <c r="AC372" i="46"/>
  <c r="AB372" i="46"/>
  <c r="X372" i="46"/>
  <c r="AD371" i="46"/>
  <c r="AC371" i="46"/>
  <c r="AB371" i="46"/>
  <c r="X371" i="46"/>
  <c r="AD370" i="46"/>
  <c r="AC370" i="46"/>
  <c r="AB370" i="46"/>
  <c r="X370" i="46"/>
  <c r="AD369" i="46"/>
  <c r="AC369" i="46"/>
  <c r="AB369" i="46"/>
  <c r="X369" i="46"/>
  <c r="AD368" i="46"/>
  <c r="AC368" i="46"/>
  <c r="AB368" i="46"/>
  <c r="X368" i="46"/>
  <c r="AD367" i="46"/>
  <c r="AC367" i="46"/>
  <c r="AB367" i="46"/>
  <c r="X367" i="46"/>
  <c r="AD366" i="46"/>
  <c r="AC366" i="46"/>
  <c r="AB366" i="46"/>
  <c r="X366" i="46"/>
  <c r="AD365" i="46"/>
  <c r="AC365" i="46"/>
  <c r="AB365" i="46"/>
  <c r="X365" i="46"/>
  <c r="AD364" i="46"/>
  <c r="AC364" i="46"/>
  <c r="AB364" i="46"/>
  <c r="X364" i="46"/>
  <c r="AD363" i="46"/>
  <c r="AC363" i="46"/>
  <c r="AB363" i="46"/>
  <c r="X363" i="46"/>
  <c r="AD362" i="46"/>
  <c r="AC362" i="46"/>
  <c r="AB362" i="46"/>
  <c r="X362" i="46"/>
  <c r="AD361" i="46"/>
  <c r="AC361" i="46"/>
  <c r="AB361" i="46"/>
  <c r="X361" i="46"/>
  <c r="AD360" i="46"/>
  <c r="AC360" i="46"/>
  <c r="AB360" i="46"/>
  <c r="X360" i="46"/>
  <c r="AD359" i="46"/>
  <c r="AC359" i="46"/>
  <c r="AB359" i="46"/>
  <c r="X359" i="46"/>
  <c r="AD358" i="46"/>
  <c r="AC358" i="46"/>
  <c r="AB358" i="46"/>
  <c r="X358" i="46"/>
  <c r="AD357" i="46"/>
  <c r="AC357" i="46"/>
  <c r="AB357" i="46"/>
  <c r="X357" i="46"/>
  <c r="AD356" i="46"/>
  <c r="AC356" i="46"/>
  <c r="AB356" i="46"/>
  <c r="X356" i="46"/>
  <c r="AD355" i="46"/>
  <c r="AC355" i="46"/>
  <c r="AB355" i="46"/>
  <c r="X355" i="46"/>
  <c r="AD354" i="46"/>
  <c r="AC354" i="46"/>
  <c r="AB354" i="46"/>
  <c r="X354" i="46"/>
  <c r="AD353" i="46"/>
  <c r="AC353" i="46"/>
  <c r="AB353" i="46"/>
  <c r="X353" i="46"/>
  <c r="AD352" i="46"/>
  <c r="AC352" i="46"/>
  <c r="AB352" i="46"/>
  <c r="X352" i="46"/>
  <c r="AD351" i="46"/>
  <c r="AC351" i="46"/>
  <c r="AB351" i="46"/>
  <c r="X351" i="46"/>
  <c r="AD350" i="46"/>
  <c r="AC350" i="46"/>
  <c r="AB350" i="46"/>
  <c r="X350" i="46"/>
  <c r="AD349" i="46"/>
  <c r="AC349" i="46"/>
  <c r="AB349" i="46"/>
  <c r="X349" i="46"/>
  <c r="AD348" i="46"/>
  <c r="AC348" i="46"/>
  <c r="AB348" i="46"/>
  <c r="X348" i="46"/>
  <c r="AD347" i="46"/>
  <c r="AC347" i="46"/>
  <c r="AB347" i="46"/>
  <c r="X347" i="46"/>
  <c r="AD346" i="46"/>
  <c r="AC346" i="46"/>
  <c r="AB346" i="46"/>
  <c r="X346" i="46"/>
  <c r="AD345" i="46"/>
  <c r="AC345" i="46"/>
  <c r="AB345" i="46"/>
  <c r="X345" i="46"/>
  <c r="AD344" i="46"/>
  <c r="AC344" i="46"/>
  <c r="AB344" i="46"/>
  <c r="X344" i="46"/>
  <c r="AD343" i="46"/>
  <c r="AC343" i="46"/>
  <c r="AB343" i="46"/>
  <c r="X343" i="46"/>
  <c r="AD342" i="46"/>
  <c r="AC342" i="46"/>
  <c r="AB342" i="46"/>
  <c r="X342" i="46"/>
  <c r="AD341" i="46"/>
  <c r="AC341" i="46"/>
  <c r="AB341" i="46"/>
  <c r="X341" i="46"/>
  <c r="AD340" i="46"/>
  <c r="AC340" i="46"/>
  <c r="AB340" i="46"/>
  <c r="X340" i="46"/>
  <c r="AD339" i="46"/>
  <c r="AC339" i="46"/>
  <c r="AB339" i="46"/>
  <c r="X339" i="46"/>
  <c r="AD338" i="46"/>
  <c r="AC338" i="46"/>
  <c r="AB338" i="46"/>
  <c r="X338" i="46"/>
  <c r="AD337" i="46"/>
  <c r="AC337" i="46"/>
  <c r="AB337" i="46"/>
  <c r="X337" i="46"/>
  <c r="AD336" i="46"/>
  <c r="AC336" i="46"/>
  <c r="AB336" i="46"/>
  <c r="X336" i="46"/>
  <c r="AD335" i="46"/>
  <c r="AC335" i="46"/>
  <c r="AB335" i="46"/>
  <c r="X335" i="46"/>
  <c r="AD334" i="46"/>
  <c r="AC334" i="46"/>
  <c r="AB334" i="46"/>
  <c r="X334" i="46"/>
  <c r="AD333" i="46"/>
  <c r="AC333" i="46"/>
  <c r="AB333" i="46"/>
  <c r="X333" i="46"/>
  <c r="AD332" i="46"/>
  <c r="AC332" i="46"/>
  <c r="AB332" i="46"/>
  <c r="X332" i="46"/>
  <c r="AD331" i="46"/>
  <c r="AC331" i="46"/>
  <c r="AB331" i="46"/>
  <c r="X331" i="46"/>
  <c r="AD330" i="46"/>
  <c r="AC330" i="46"/>
  <c r="AB330" i="46"/>
  <c r="X330" i="46"/>
  <c r="AD329" i="46"/>
  <c r="AC329" i="46"/>
  <c r="AB329" i="46"/>
  <c r="X329" i="46"/>
  <c r="AD328" i="46"/>
  <c r="AC328" i="46"/>
  <c r="AB328" i="46"/>
  <c r="X328" i="46"/>
  <c r="AD327" i="46"/>
  <c r="AC327" i="46"/>
  <c r="AB327" i="46"/>
  <c r="X327" i="46"/>
  <c r="AD326" i="46"/>
  <c r="AC326" i="46"/>
  <c r="AB326" i="46"/>
  <c r="X326" i="46"/>
  <c r="AD325" i="46"/>
  <c r="AC325" i="46"/>
  <c r="AB325" i="46"/>
  <c r="X325" i="46"/>
  <c r="AD324" i="46"/>
  <c r="AC324" i="46"/>
  <c r="AB324" i="46"/>
  <c r="X324" i="46"/>
  <c r="AD323" i="46"/>
  <c r="AC323" i="46"/>
  <c r="AB323" i="46"/>
  <c r="X323" i="46"/>
  <c r="AD322" i="46"/>
  <c r="AC322" i="46"/>
  <c r="AB322" i="46"/>
  <c r="X322" i="46"/>
  <c r="AD321" i="46"/>
  <c r="AC321" i="46"/>
  <c r="AB321" i="46"/>
  <c r="X321" i="46"/>
  <c r="AD320" i="46"/>
  <c r="AC320" i="46"/>
  <c r="AB320" i="46"/>
  <c r="X320" i="46"/>
  <c r="AD319" i="46"/>
  <c r="AC319" i="46"/>
  <c r="AB319" i="46"/>
  <c r="X319" i="46"/>
  <c r="AD318" i="46"/>
  <c r="AC318" i="46"/>
  <c r="AB318" i="46"/>
  <c r="X318" i="46"/>
  <c r="AD317" i="46"/>
  <c r="AC317" i="46"/>
  <c r="AB317" i="46"/>
  <c r="X317" i="46"/>
  <c r="AD316" i="46"/>
  <c r="AC316" i="46"/>
  <c r="AB316" i="46"/>
  <c r="X316" i="46"/>
  <c r="AD315" i="46"/>
  <c r="AC315" i="46"/>
  <c r="AB315" i="46"/>
  <c r="X315" i="46"/>
  <c r="AD314" i="46"/>
  <c r="AC314" i="46"/>
  <c r="AB314" i="46"/>
  <c r="X314" i="46"/>
  <c r="AD313" i="46"/>
  <c r="AC313" i="46"/>
  <c r="AB313" i="46"/>
  <c r="X313" i="46"/>
  <c r="AD312" i="46"/>
  <c r="AC312" i="46"/>
  <c r="AB312" i="46"/>
  <c r="X312" i="46"/>
  <c r="AD311" i="46"/>
  <c r="AC311" i="46"/>
  <c r="AB311" i="46"/>
  <c r="X311" i="46"/>
  <c r="AD310" i="46"/>
  <c r="AC310" i="46"/>
  <c r="AB310" i="46"/>
  <c r="X310" i="46"/>
  <c r="AD309" i="46"/>
  <c r="AC309" i="46"/>
  <c r="AB309" i="46"/>
  <c r="X309" i="46"/>
  <c r="AD308" i="46"/>
  <c r="AC308" i="46"/>
  <c r="AB308" i="46"/>
  <c r="X308" i="46"/>
  <c r="AD307" i="46"/>
  <c r="AC307" i="46"/>
  <c r="AB307" i="46"/>
  <c r="X307" i="46"/>
  <c r="AD306" i="46"/>
  <c r="AC306" i="46"/>
  <c r="AB306" i="46"/>
  <c r="X306" i="46"/>
  <c r="AD305" i="46"/>
  <c r="AC305" i="46"/>
  <c r="AB305" i="46"/>
  <c r="X305" i="46"/>
  <c r="AD304" i="46"/>
  <c r="AC304" i="46"/>
  <c r="AB304" i="46"/>
  <c r="X304" i="46"/>
  <c r="AD303" i="46"/>
  <c r="AC303" i="46"/>
  <c r="AB303" i="46"/>
  <c r="X303" i="46"/>
  <c r="AD302" i="46"/>
  <c r="AC302" i="46"/>
  <c r="AB302" i="46"/>
  <c r="X302" i="46"/>
  <c r="AD301" i="46"/>
  <c r="AC301" i="46"/>
  <c r="AB301" i="46"/>
  <c r="X301" i="46"/>
  <c r="AD300" i="46"/>
  <c r="AC300" i="46"/>
  <c r="AB300" i="46"/>
  <c r="X300" i="46"/>
  <c r="AD299" i="46"/>
  <c r="AC299" i="46"/>
  <c r="AB299" i="46"/>
  <c r="X299" i="46"/>
  <c r="AD298" i="46"/>
  <c r="AC298" i="46"/>
  <c r="AB298" i="46"/>
  <c r="X298" i="46"/>
  <c r="AD297" i="46"/>
  <c r="AC297" i="46"/>
  <c r="AB297" i="46"/>
  <c r="X297" i="46"/>
  <c r="AD296" i="46"/>
  <c r="AC296" i="46"/>
  <c r="AB296" i="46"/>
  <c r="X296" i="46"/>
  <c r="AD295" i="46"/>
  <c r="AC295" i="46"/>
  <c r="AB295" i="46"/>
  <c r="X295" i="46"/>
  <c r="AD294" i="46"/>
  <c r="AC294" i="46"/>
  <c r="AB294" i="46"/>
  <c r="X294" i="46"/>
  <c r="AD293" i="46"/>
  <c r="AC293" i="46"/>
  <c r="AB293" i="46"/>
  <c r="X293" i="46"/>
  <c r="AD292" i="46"/>
  <c r="AC292" i="46"/>
  <c r="AB292" i="46"/>
  <c r="X292" i="46"/>
  <c r="AD291" i="46"/>
  <c r="AC291" i="46"/>
  <c r="AB291" i="46"/>
  <c r="X291" i="46"/>
  <c r="AD290" i="46"/>
  <c r="AC290" i="46"/>
  <c r="AB290" i="46"/>
  <c r="X290" i="46"/>
  <c r="AD289" i="46"/>
  <c r="AC289" i="46"/>
  <c r="AB289" i="46"/>
  <c r="X289" i="46"/>
  <c r="AD288" i="46"/>
  <c r="AC288" i="46"/>
  <c r="AB288" i="46"/>
  <c r="X288" i="46"/>
  <c r="AD287" i="46"/>
  <c r="AC287" i="46"/>
  <c r="AB287" i="46"/>
  <c r="X287" i="46"/>
  <c r="AD286" i="46"/>
  <c r="AC286" i="46"/>
  <c r="AB286" i="46"/>
  <c r="X286" i="46"/>
  <c r="AD285" i="46"/>
  <c r="AC285" i="46"/>
  <c r="AB285" i="46"/>
  <c r="X285" i="46"/>
  <c r="AD284" i="46"/>
  <c r="AC284" i="46"/>
  <c r="AB284" i="46"/>
  <c r="X284" i="46"/>
  <c r="AD283" i="46"/>
  <c r="AC283" i="46"/>
  <c r="AB283" i="46"/>
  <c r="X283" i="46"/>
  <c r="AD282" i="46"/>
  <c r="AC282" i="46"/>
  <c r="AB282" i="46"/>
  <c r="X282" i="46"/>
  <c r="AD281" i="46"/>
  <c r="AC281" i="46"/>
  <c r="AB281" i="46"/>
  <c r="X281" i="46"/>
  <c r="AD280" i="46"/>
  <c r="AC280" i="46"/>
  <c r="AB280" i="46"/>
  <c r="X280" i="46"/>
  <c r="AD279" i="46"/>
  <c r="AC279" i="46"/>
  <c r="AB279" i="46"/>
  <c r="X279" i="46"/>
  <c r="AD278" i="46"/>
  <c r="AC278" i="46"/>
  <c r="AB278" i="46"/>
  <c r="X278" i="46"/>
  <c r="AD277" i="46"/>
  <c r="AC277" i="46"/>
  <c r="AB277" i="46"/>
  <c r="X277" i="46"/>
  <c r="AD276" i="46"/>
  <c r="AC276" i="46"/>
  <c r="AB276" i="46"/>
  <c r="X276" i="46"/>
  <c r="AD275" i="46"/>
  <c r="AC275" i="46"/>
  <c r="AB275" i="46"/>
  <c r="X275" i="46"/>
  <c r="AD274" i="46"/>
  <c r="AC274" i="46"/>
  <c r="AB274" i="46"/>
  <c r="X274" i="46"/>
  <c r="AD273" i="46"/>
  <c r="AC273" i="46"/>
  <c r="AB273" i="46"/>
  <c r="X273" i="46"/>
  <c r="AD272" i="46"/>
  <c r="AC272" i="46"/>
  <c r="AB272" i="46"/>
  <c r="X272" i="46"/>
  <c r="AD271" i="46"/>
  <c r="AC271" i="46"/>
  <c r="AB271" i="46"/>
  <c r="X271" i="46"/>
  <c r="AD270" i="46"/>
  <c r="AC270" i="46"/>
  <c r="AB270" i="46"/>
  <c r="X270" i="46"/>
  <c r="AD269" i="46"/>
  <c r="AC269" i="46"/>
  <c r="AB269" i="46"/>
  <c r="X269" i="46"/>
  <c r="AD268" i="46"/>
  <c r="AC268" i="46"/>
  <c r="AB268" i="46"/>
  <c r="X268" i="46"/>
  <c r="AD267" i="46"/>
  <c r="AC267" i="46"/>
  <c r="AB267" i="46"/>
  <c r="X267" i="46"/>
  <c r="AD266" i="46"/>
  <c r="AC266" i="46"/>
  <c r="AB266" i="46"/>
  <c r="X266" i="46"/>
  <c r="AD265" i="46"/>
  <c r="AC265" i="46"/>
  <c r="AB265" i="46"/>
  <c r="X265" i="46"/>
  <c r="AD264" i="46"/>
  <c r="AC264" i="46"/>
  <c r="AB264" i="46"/>
  <c r="X264" i="46"/>
  <c r="AD263" i="46"/>
  <c r="AC263" i="46"/>
  <c r="AB263" i="46"/>
  <c r="X263" i="46"/>
  <c r="AD262" i="46"/>
  <c r="AC262" i="46"/>
  <c r="AB262" i="46"/>
  <c r="X262" i="46"/>
  <c r="AD261" i="46"/>
  <c r="AC261" i="46"/>
  <c r="AB261" i="46"/>
  <c r="X261" i="46"/>
  <c r="AD260" i="46"/>
  <c r="AC260" i="46"/>
  <c r="AB260" i="46"/>
  <c r="X260" i="46"/>
  <c r="AD259" i="46"/>
  <c r="AC259" i="46"/>
  <c r="AB259" i="46"/>
  <c r="X259" i="46"/>
  <c r="AD258" i="46"/>
  <c r="AC258" i="46"/>
  <c r="AB258" i="46"/>
  <c r="X258" i="46"/>
  <c r="AD257" i="46"/>
  <c r="AC257" i="46"/>
  <c r="AB257" i="46"/>
  <c r="X257" i="46"/>
  <c r="AD256" i="46"/>
  <c r="AC256" i="46"/>
  <c r="AB256" i="46"/>
  <c r="X256" i="46"/>
  <c r="AD255" i="46"/>
  <c r="AC255" i="46"/>
  <c r="AB255" i="46"/>
  <c r="X255" i="46"/>
  <c r="AD254" i="46"/>
  <c r="AC254" i="46"/>
  <c r="AB254" i="46"/>
  <c r="X254" i="46"/>
  <c r="AD253" i="46"/>
  <c r="AC253" i="46"/>
  <c r="AB253" i="46"/>
  <c r="X253" i="46"/>
  <c r="AD252" i="46"/>
  <c r="AC252" i="46"/>
  <c r="AB252" i="46"/>
  <c r="X252" i="46"/>
  <c r="AD251" i="46"/>
  <c r="AC251" i="46"/>
  <c r="AB251" i="46"/>
  <c r="X251" i="46"/>
  <c r="AD250" i="46"/>
  <c r="AC250" i="46"/>
  <c r="AB250" i="46"/>
  <c r="X250" i="46"/>
  <c r="AD249" i="46"/>
  <c r="AC249" i="46"/>
  <c r="AB249" i="46"/>
  <c r="X249" i="46"/>
  <c r="AD248" i="46"/>
  <c r="AC248" i="46"/>
  <c r="AB248" i="46"/>
  <c r="X248" i="46"/>
  <c r="AD247" i="46"/>
  <c r="AC247" i="46"/>
  <c r="AB247" i="46"/>
  <c r="X247" i="46"/>
  <c r="AD246" i="46"/>
  <c r="AC246" i="46"/>
  <c r="AB246" i="46"/>
  <c r="X246" i="46"/>
  <c r="AD245" i="46"/>
  <c r="AC245" i="46"/>
  <c r="AB245" i="46"/>
  <c r="X245" i="46"/>
  <c r="AD244" i="46"/>
  <c r="AC244" i="46"/>
  <c r="AB244" i="46"/>
  <c r="X244" i="46"/>
  <c r="AD243" i="46"/>
  <c r="AC243" i="46"/>
  <c r="AB243" i="46"/>
  <c r="X243" i="46"/>
  <c r="AD242" i="46"/>
  <c r="AC242" i="46"/>
  <c r="AB242" i="46"/>
  <c r="X242" i="46"/>
  <c r="AD241" i="46"/>
  <c r="AC241" i="46"/>
  <c r="AB241" i="46"/>
  <c r="X241" i="46"/>
  <c r="AD240" i="46"/>
  <c r="AC240" i="46"/>
  <c r="AB240" i="46"/>
  <c r="X240" i="46"/>
  <c r="AD239" i="46"/>
  <c r="AC239" i="46"/>
  <c r="AB239" i="46"/>
  <c r="X239" i="46"/>
  <c r="AD238" i="46"/>
  <c r="AC238" i="46"/>
  <c r="AB238" i="46"/>
  <c r="X238" i="46"/>
  <c r="AD237" i="46"/>
  <c r="AC237" i="46"/>
  <c r="AB237" i="46"/>
  <c r="X237" i="46"/>
  <c r="AD236" i="46"/>
  <c r="AC236" i="46"/>
  <c r="AB236" i="46"/>
  <c r="X236" i="46"/>
  <c r="AD235" i="46"/>
  <c r="AC235" i="46"/>
  <c r="AB235" i="46"/>
  <c r="X235" i="46"/>
  <c r="AD234" i="46"/>
  <c r="AC234" i="46"/>
  <c r="AB234" i="46"/>
  <c r="X234" i="46"/>
  <c r="AD233" i="46"/>
  <c r="AC233" i="46"/>
  <c r="AB233" i="46"/>
  <c r="X233" i="46"/>
  <c r="AD232" i="46"/>
  <c r="AC232" i="46"/>
  <c r="AB232" i="46"/>
  <c r="X232" i="46"/>
  <c r="AD231" i="46"/>
  <c r="AC231" i="46"/>
  <c r="AB231" i="46"/>
  <c r="X231" i="46"/>
  <c r="AD230" i="46"/>
  <c r="AC230" i="46"/>
  <c r="AB230" i="46"/>
  <c r="X230" i="46"/>
  <c r="AD229" i="46"/>
  <c r="AC229" i="46"/>
  <c r="AB229" i="46"/>
  <c r="X229" i="46"/>
  <c r="AD228" i="46"/>
  <c r="AC228" i="46"/>
  <c r="AB228" i="46"/>
  <c r="X228" i="46"/>
  <c r="AD227" i="46"/>
  <c r="AC227" i="46"/>
  <c r="AB227" i="46"/>
  <c r="X227" i="46"/>
  <c r="AD226" i="46"/>
  <c r="AC226" i="46"/>
  <c r="AB226" i="46"/>
  <c r="X226" i="46"/>
  <c r="AD225" i="46"/>
  <c r="AC225" i="46"/>
  <c r="AB225" i="46"/>
  <c r="X225" i="46"/>
  <c r="AD224" i="46"/>
  <c r="AC224" i="46"/>
  <c r="AB224" i="46"/>
  <c r="X224" i="46"/>
  <c r="AD223" i="46"/>
  <c r="AC223" i="46"/>
  <c r="AB223" i="46"/>
  <c r="X223" i="46"/>
  <c r="AD222" i="46"/>
  <c r="AC222" i="46"/>
  <c r="AB222" i="46"/>
  <c r="X222" i="46"/>
  <c r="AD221" i="46"/>
  <c r="AC221" i="46"/>
  <c r="AB221" i="46"/>
  <c r="X221" i="46"/>
  <c r="AD220" i="46"/>
  <c r="AC220" i="46"/>
  <c r="AB220" i="46"/>
  <c r="X220" i="46"/>
  <c r="AD219" i="46"/>
  <c r="AC219" i="46"/>
  <c r="AB219" i="46"/>
  <c r="X219" i="46"/>
  <c r="AD218" i="46"/>
  <c r="AC218" i="46"/>
  <c r="AB218" i="46"/>
  <c r="X218" i="46"/>
  <c r="AD217" i="46"/>
  <c r="AC217" i="46"/>
  <c r="AB217" i="46"/>
  <c r="X217" i="46"/>
  <c r="AD216" i="46"/>
  <c r="AC216" i="46"/>
  <c r="AB216" i="46"/>
  <c r="X216" i="46"/>
  <c r="AD215" i="46"/>
  <c r="AC215" i="46"/>
  <c r="AB215" i="46"/>
  <c r="X215" i="46"/>
  <c r="AD214" i="46"/>
  <c r="AC214" i="46"/>
  <c r="AB214" i="46"/>
  <c r="X214" i="46"/>
  <c r="AD213" i="46"/>
  <c r="AC213" i="46"/>
  <c r="AB213" i="46"/>
  <c r="X213" i="46"/>
  <c r="AD212" i="46"/>
  <c r="AC212" i="46"/>
  <c r="AB212" i="46"/>
  <c r="X212" i="46"/>
  <c r="AD211" i="46"/>
  <c r="AC211" i="46"/>
  <c r="AB211" i="46"/>
  <c r="X211" i="46"/>
  <c r="AD210" i="46"/>
  <c r="AC210" i="46"/>
  <c r="AB210" i="46"/>
  <c r="X210" i="46"/>
  <c r="AD209" i="46"/>
  <c r="AC209" i="46"/>
  <c r="AB209" i="46"/>
  <c r="X209" i="46"/>
  <c r="AD208" i="46"/>
  <c r="AC208" i="46"/>
  <c r="AB208" i="46"/>
  <c r="X208" i="46"/>
  <c r="AD207" i="46"/>
  <c r="AC207" i="46"/>
  <c r="AB207" i="46"/>
  <c r="X207" i="46"/>
  <c r="AD206" i="46"/>
  <c r="AC206" i="46"/>
  <c r="AB206" i="46"/>
  <c r="X206" i="46"/>
  <c r="AD205" i="46"/>
  <c r="AC205" i="46"/>
  <c r="AB205" i="46"/>
  <c r="X205" i="46"/>
  <c r="AD204" i="46"/>
  <c r="AC204" i="46"/>
  <c r="AB204" i="46"/>
  <c r="X204" i="46"/>
  <c r="AD203" i="46"/>
  <c r="AC203" i="46"/>
  <c r="AB203" i="46"/>
  <c r="X203" i="46"/>
  <c r="AD202" i="46"/>
  <c r="AC202" i="46"/>
  <c r="AB202" i="46"/>
  <c r="X202" i="46"/>
  <c r="AD201" i="46"/>
  <c r="AC201" i="46"/>
  <c r="AB201" i="46"/>
  <c r="X201" i="46"/>
  <c r="AD200" i="46"/>
  <c r="AC200" i="46"/>
  <c r="AB200" i="46"/>
  <c r="X200" i="46"/>
  <c r="AD199" i="46"/>
  <c r="AC199" i="46"/>
  <c r="AB199" i="46"/>
  <c r="X199" i="46"/>
  <c r="AD198" i="46"/>
  <c r="AC198" i="46"/>
  <c r="AB198" i="46"/>
  <c r="X198" i="46"/>
  <c r="AD197" i="46"/>
  <c r="AC197" i="46"/>
  <c r="AB197" i="46"/>
  <c r="X197" i="46"/>
  <c r="AD196" i="46"/>
  <c r="AC196" i="46"/>
  <c r="AB196" i="46"/>
  <c r="X196" i="46"/>
  <c r="AD195" i="46"/>
  <c r="AC195" i="46"/>
  <c r="AB195" i="46"/>
  <c r="X195" i="46"/>
  <c r="AD194" i="46"/>
  <c r="AC194" i="46"/>
  <c r="AB194" i="46"/>
  <c r="X194" i="46"/>
  <c r="AD193" i="46"/>
  <c r="AC193" i="46"/>
  <c r="AB193" i="46"/>
  <c r="X193" i="46"/>
  <c r="AD192" i="46"/>
  <c r="AC192" i="46"/>
  <c r="AB192" i="46"/>
  <c r="X192" i="46"/>
  <c r="AD191" i="46"/>
  <c r="AC191" i="46"/>
  <c r="AB191" i="46"/>
  <c r="X191" i="46"/>
  <c r="AD190" i="46"/>
  <c r="AC190" i="46"/>
  <c r="AB190" i="46"/>
  <c r="X190" i="46"/>
  <c r="AD189" i="46"/>
  <c r="AC189" i="46"/>
  <c r="AB189" i="46"/>
  <c r="X189" i="46"/>
  <c r="AD188" i="46"/>
  <c r="AC188" i="46"/>
  <c r="AB188" i="46"/>
  <c r="X188" i="46"/>
  <c r="AD187" i="46"/>
  <c r="AC187" i="46"/>
  <c r="AB187" i="46"/>
  <c r="X187" i="46"/>
  <c r="AD186" i="46"/>
  <c r="AC186" i="46"/>
  <c r="AB186" i="46"/>
  <c r="X186" i="46"/>
  <c r="AD185" i="46"/>
  <c r="AC185" i="46"/>
  <c r="AB185" i="46"/>
  <c r="X185" i="46"/>
  <c r="AD184" i="46"/>
  <c r="AC184" i="46"/>
  <c r="AB184" i="46"/>
  <c r="X184" i="46"/>
  <c r="AD183" i="46"/>
  <c r="AC183" i="46"/>
  <c r="AB183" i="46"/>
  <c r="X183" i="46"/>
  <c r="AD182" i="46"/>
  <c r="AC182" i="46"/>
  <c r="AB182" i="46"/>
  <c r="X182" i="46"/>
  <c r="AD181" i="46"/>
  <c r="AC181" i="46"/>
  <c r="AB181" i="46"/>
  <c r="X181" i="46"/>
  <c r="AD180" i="46"/>
  <c r="AC180" i="46"/>
  <c r="AB180" i="46"/>
  <c r="X180" i="46"/>
  <c r="AD179" i="46"/>
  <c r="AC179" i="46"/>
  <c r="AB179" i="46"/>
  <c r="X179" i="46"/>
  <c r="AD178" i="46"/>
  <c r="AC178" i="46"/>
  <c r="AB178" i="46"/>
  <c r="X178" i="46"/>
  <c r="AD177" i="46"/>
  <c r="AC177" i="46"/>
  <c r="AB177" i="46"/>
  <c r="X177" i="46"/>
  <c r="AD176" i="46"/>
  <c r="AC176" i="46"/>
  <c r="AB176" i="46"/>
  <c r="X176" i="46"/>
  <c r="AD175" i="46"/>
  <c r="AC175" i="46"/>
  <c r="AB175" i="46"/>
  <c r="X175" i="46"/>
  <c r="AD174" i="46"/>
  <c r="AC174" i="46"/>
  <c r="AB174" i="46"/>
  <c r="X174" i="46"/>
  <c r="AD173" i="46"/>
  <c r="AC173" i="46"/>
  <c r="AB173" i="46"/>
  <c r="X173" i="46"/>
  <c r="AD172" i="46"/>
  <c r="AC172" i="46"/>
  <c r="AB172" i="46"/>
  <c r="X172" i="46"/>
  <c r="AD171" i="46"/>
  <c r="AC171" i="46"/>
  <c r="AB171" i="46"/>
  <c r="X171" i="46"/>
  <c r="AD170" i="46"/>
  <c r="AC170" i="46"/>
  <c r="AB170" i="46"/>
  <c r="X170" i="46"/>
  <c r="AD169" i="46"/>
  <c r="AC169" i="46"/>
  <c r="AB169" i="46"/>
  <c r="X169" i="46"/>
  <c r="AD168" i="46"/>
  <c r="AC168" i="46"/>
  <c r="AB168" i="46"/>
  <c r="X168" i="46"/>
  <c r="AD167" i="46"/>
  <c r="AC167" i="46"/>
  <c r="AB167" i="46"/>
  <c r="X167" i="46"/>
  <c r="AD166" i="46"/>
  <c r="AC166" i="46"/>
  <c r="AB166" i="46"/>
  <c r="X166" i="46"/>
  <c r="AD165" i="46"/>
  <c r="AC165" i="46"/>
  <c r="AB165" i="46"/>
  <c r="X165" i="46"/>
  <c r="AD164" i="46"/>
  <c r="AC164" i="46"/>
  <c r="AB164" i="46"/>
  <c r="X164" i="46"/>
  <c r="AD163" i="46"/>
  <c r="AC163" i="46"/>
  <c r="AB163" i="46"/>
  <c r="X163" i="46"/>
  <c r="AD162" i="46"/>
  <c r="AC162" i="46"/>
  <c r="AB162" i="46"/>
  <c r="X162" i="46"/>
  <c r="AD161" i="46"/>
  <c r="AC161" i="46"/>
  <c r="AB161" i="46"/>
  <c r="X161" i="46"/>
  <c r="AD160" i="46"/>
  <c r="AC160" i="46"/>
  <c r="AB160" i="46"/>
  <c r="X160" i="46"/>
  <c r="AD159" i="46"/>
  <c r="AC159" i="46"/>
  <c r="AB159" i="46"/>
  <c r="X159" i="46"/>
  <c r="AD158" i="46"/>
  <c r="AC158" i="46"/>
  <c r="AB158" i="46"/>
  <c r="X158" i="46"/>
  <c r="AD157" i="46"/>
  <c r="AC157" i="46"/>
  <c r="AB157" i="46"/>
  <c r="X157" i="46"/>
  <c r="AD156" i="46"/>
  <c r="AC156" i="46"/>
  <c r="AB156" i="46"/>
  <c r="X156" i="46"/>
  <c r="AD155" i="46"/>
  <c r="AC155" i="46"/>
  <c r="AB155" i="46"/>
  <c r="X155" i="46"/>
  <c r="AD154" i="46"/>
  <c r="AC154" i="46"/>
  <c r="AB154" i="46"/>
  <c r="X154" i="46"/>
  <c r="AD153" i="46"/>
  <c r="AC153" i="46"/>
  <c r="AB153" i="46"/>
  <c r="X153" i="46"/>
  <c r="AD152" i="46"/>
  <c r="AC152" i="46"/>
  <c r="AB152" i="46"/>
  <c r="X152" i="46"/>
  <c r="AD151" i="46"/>
  <c r="AC151" i="46"/>
  <c r="AB151" i="46"/>
  <c r="X151" i="46"/>
  <c r="AD150" i="46"/>
  <c r="AC150" i="46"/>
  <c r="AB150" i="46"/>
  <c r="X150" i="46"/>
  <c r="AD149" i="46"/>
  <c r="AC149" i="46"/>
  <c r="AB149" i="46"/>
  <c r="X149" i="46"/>
  <c r="AD148" i="46"/>
  <c r="AC148" i="46"/>
  <c r="AB148" i="46"/>
  <c r="X148" i="46"/>
  <c r="AD147" i="46"/>
  <c r="AC147" i="46"/>
  <c r="AB147" i="46"/>
  <c r="X147" i="46"/>
  <c r="AD146" i="46"/>
  <c r="AC146" i="46"/>
  <c r="AB146" i="46"/>
  <c r="X146" i="46"/>
  <c r="AD145" i="46"/>
  <c r="AC145" i="46"/>
  <c r="AB145" i="46"/>
  <c r="X145" i="46"/>
  <c r="AD144" i="46"/>
  <c r="AC144" i="46"/>
  <c r="AB144" i="46"/>
  <c r="X144" i="46"/>
  <c r="AD143" i="46"/>
  <c r="AC143" i="46"/>
  <c r="AB143" i="46"/>
  <c r="X143" i="46"/>
  <c r="AD142" i="46"/>
  <c r="AC142" i="46"/>
  <c r="AB142" i="46"/>
  <c r="X142" i="46"/>
  <c r="AD141" i="46"/>
  <c r="AC141" i="46"/>
  <c r="AB141" i="46"/>
  <c r="X141" i="46"/>
  <c r="AD140" i="46"/>
  <c r="AC140" i="46"/>
  <c r="AB140" i="46"/>
  <c r="X140" i="46"/>
  <c r="AD139" i="46"/>
  <c r="AC139" i="46"/>
  <c r="AB139" i="46"/>
  <c r="X139" i="46"/>
  <c r="AD138" i="46"/>
  <c r="AC138" i="46"/>
  <c r="AB138" i="46"/>
  <c r="X138" i="46"/>
  <c r="AD137" i="46"/>
  <c r="AC137" i="46"/>
  <c r="AB137" i="46"/>
  <c r="X137" i="46"/>
  <c r="AD136" i="46"/>
  <c r="AC136" i="46"/>
  <c r="AB136" i="46"/>
  <c r="X136" i="46"/>
  <c r="AD135" i="46"/>
  <c r="AC135" i="46"/>
  <c r="AB135" i="46"/>
  <c r="X135" i="46"/>
  <c r="AD134" i="46"/>
  <c r="AC134" i="46"/>
  <c r="AB134" i="46"/>
  <c r="X134" i="46"/>
  <c r="AD133" i="46"/>
  <c r="AC133" i="46"/>
  <c r="AB133" i="46"/>
  <c r="X133" i="46"/>
  <c r="AD132" i="46"/>
  <c r="AC132" i="46"/>
  <c r="AB132" i="46"/>
  <c r="X132" i="46"/>
  <c r="AD131" i="46"/>
  <c r="AC131" i="46"/>
  <c r="AB131" i="46"/>
  <c r="X131" i="46"/>
  <c r="AD130" i="46"/>
  <c r="AC130" i="46"/>
  <c r="AB130" i="46"/>
  <c r="X130" i="46"/>
  <c r="AD129" i="46"/>
  <c r="AC129" i="46"/>
  <c r="AB129" i="46"/>
  <c r="X129" i="46"/>
  <c r="AD128" i="46"/>
  <c r="AC128" i="46"/>
  <c r="AB128" i="46"/>
  <c r="X128" i="46"/>
  <c r="AD127" i="46"/>
  <c r="AC127" i="46"/>
  <c r="AB127" i="46"/>
  <c r="X127" i="46"/>
  <c r="AD126" i="46"/>
  <c r="AC126" i="46"/>
  <c r="AB126" i="46"/>
  <c r="X126" i="46"/>
  <c r="AD125" i="46"/>
  <c r="AC125" i="46"/>
  <c r="AB125" i="46"/>
  <c r="X125" i="46"/>
  <c r="AD124" i="46"/>
  <c r="AC124" i="46"/>
  <c r="AB124" i="46"/>
  <c r="X124" i="46"/>
  <c r="AD123" i="46"/>
  <c r="AC123" i="46"/>
  <c r="AB123" i="46"/>
  <c r="X123" i="46"/>
  <c r="AD122" i="46"/>
  <c r="AC122" i="46"/>
  <c r="AB122" i="46"/>
  <c r="X122" i="46"/>
  <c r="AD121" i="46"/>
  <c r="AC121" i="46"/>
  <c r="AB121" i="46"/>
  <c r="X121" i="46"/>
  <c r="AD120" i="46"/>
  <c r="AC120" i="46"/>
  <c r="AB120" i="46"/>
  <c r="X120" i="46"/>
  <c r="AD119" i="46"/>
  <c r="AC119" i="46"/>
  <c r="AB119" i="46"/>
  <c r="X119" i="46"/>
  <c r="AD118" i="46"/>
  <c r="AC118" i="46"/>
  <c r="AB118" i="46"/>
  <c r="X118" i="46"/>
  <c r="AD117" i="46"/>
  <c r="AC117" i="46"/>
  <c r="AB117" i="46"/>
  <c r="X117" i="46"/>
  <c r="AD116" i="46"/>
  <c r="AC116" i="46"/>
  <c r="AB116" i="46"/>
  <c r="X116" i="46"/>
  <c r="AD115" i="46"/>
  <c r="AC115" i="46"/>
  <c r="AB115" i="46"/>
  <c r="X115" i="46"/>
  <c r="AD114" i="46"/>
  <c r="AC114" i="46"/>
  <c r="AB114" i="46"/>
  <c r="X114" i="46"/>
  <c r="AD113" i="46"/>
  <c r="AC113" i="46"/>
  <c r="AB113" i="46"/>
  <c r="X113" i="46"/>
  <c r="AD112" i="46"/>
  <c r="AC112" i="46"/>
  <c r="AB112" i="46"/>
  <c r="X112" i="46"/>
  <c r="AD111" i="46"/>
  <c r="AC111" i="46"/>
  <c r="AB111" i="46"/>
  <c r="X111" i="46"/>
  <c r="AD110" i="46"/>
  <c r="AC110" i="46"/>
  <c r="AB110" i="46"/>
  <c r="X110" i="46"/>
  <c r="AD109" i="46"/>
  <c r="AC109" i="46"/>
  <c r="AB109" i="46"/>
  <c r="X109" i="46"/>
  <c r="AD108" i="46"/>
  <c r="AC108" i="46"/>
  <c r="AB108" i="46"/>
  <c r="X108" i="46"/>
  <c r="AD107" i="46"/>
  <c r="AC107" i="46"/>
  <c r="AB107" i="46"/>
  <c r="X107" i="46"/>
  <c r="AD106" i="46"/>
  <c r="AC106" i="46"/>
  <c r="AB106" i="46"/>
  <c r="X106" i="46"/>
  <c r="AD105" i="46"/>
  <c r="AC105" i="46"/>
  <c r="AB105" i="46"/>
  <c r="X105" i="46"/>
  <c r="AD104" i="46"/>
  <c r="AC104" i="46"/>
  <c r="AB104" i="46"/>
  <c r="X104" i="46"/>
  <c r="AD103" i="46"/>
  <c r="AC103" i="46"/>
  <c r="AB103" i="46"/>
  <c r="X103" i="46"/>
  <c r="AD102" i="46"/>
  <c r="AC102" i="46"/>
  <c r="AB102" i="46"/>
  <c r="X102" i="46"/>
  <c r="AD101" i="46"/>
  <c r="AC101" i="46"/>
  <c r="AB101" i="46"/>
  <c r="X101" i="46"/>
  <c r="AD100" i="46"/>
  <c r="AC100" i="46"/>
  <c r="AB100" i="46"/>
  <c r="X100" i="46"/>
  <c r="AD99" i="46"/>
  <c r="AC99" i="46"/>
  <c r="AB99" i="46"/>
  <c r="X99" i="46"/>
  <c r="AD98" i="46"/>
  <c r="AC98" i="46"/>
  <c r="AB98" i="46"/>
  <c r="X98" i="46"/>
  <c r="AD97" i="46"/>
  <c r="AC97" i="46"/>
  <c r="AB97" i="46"/>
  <c r="X97" i="46"/>
  <c r="AD96" i="46"/>
  <c r="AC96" i="46"/>
  <c r="AB96" i="46"/>
  <c r="X96" i="46"/>
  <c r="AD95" i="46"/>
  <c r="AC95" i="46"/>
  <c r="AB95" i="46"/>
  <c r="X95" i="46"/>
  <c r="AD94" i="46"/>
  <c r="AC94" i="46"/>
  <c r="AB94" i="46"/>
  <c r="X94" i="46"/>
  <c r="AD93" i="46"/>
  <c r="AC93" i="46"/>
  <c r="AB93" i="46"/>
  <c r="X93" i="46"/>
  <c r="AD92" i="46"/>
  <c r="AC92" i="46"/>
  <c r="AB92" i="46"/>
  <c r="X92" i="46"/>
  <c r="AD91" i="46"/>
  <c r="AC91" i="46"/>
  <c r="AB91" i="46"/>
  <c r="X91" i="46"/>
  <c r="AD90" i="46"/>
  <c r="AC90" i="46"/>
  <c r="AB90" i="46"/>
  <c r="X90" i="46"/>
  <c r="AD89" i="46"/>
  <c r="AC89" i="46"/>
  <c r="AB89" i="46"/>
  <c r="X89" i="46"/>
  <c r="AD88" i="46"/>
  <c r="AC88" i="46"/>
  <c r="AB88" i="46"/>
  <c r="X88" i="46"/>
  <c r="AD87" i="46"/>
  <c r="AC87" i="46"/>
  <c r="AB87" i="46"/>
  <c r="X87" i="46"/>
  <c r="AD86" i="46"/>
  <c r="AC86" i="46"/>
  <c r="AB86" i="46"/>
  <c r="X86" i="46"/>
  <c r="AD85" i="46"/>
  <c r="AC85" i="46"/>
  <c r="AB85" i="46"/>
  <c r="X85" i="46"/>
  <c r="AD84" i="46"/>
  <c r="AC84" i="46"/>
  <c r="AB84" i="46"/>
  <c r="X84" i="46"/>
  <c r="AD83" i="46"/>
  <c r="AC83" i="46"/>
  <c r="AB83" i="46"/>
  <c r="X83" i="46"/>
  <c r="AD82" i="46"/>
  <c r="AC82" i="46"/>
  <c r="AB82" i="46"/>
  <c r="X82" i="46"/>
  <c r="AD81" i="46"/>
  <c r="AC81" i="46"/>
  <c r="AB81" i="46"/>
  <c r="X81" i="46"/>
  <c r="AD80" i="46"/>
  <c r="AC80" i="46"/>
  <c r="AB80" i="46"/>
  <c r="X80" i="46"/>
  <c r="AD79" i="46"/>
  <c r="AC79" i="46"/>
  <c r="AB79" i="46"/>
  <c r="X79" i="46"/>
  <c r="AD78" i="46"/>
  <c r="AC78" i="46"/>
  <c r="AB78" i="46"/>
  <c r="X78" i="46"/>
  <c r="AD77" i="46"/>
  <c r="AC77" i="46"/>
  <c r="AB77" i="46"/>
  <c r="X77" i="46"/>
  <c r="AD76" i="46"/>
  <c r="AC76" i="46"/>
  <c r="AB76" i="46"/>
  <c r="X76" i="46"/>
  <c r="AD75" i="46"/>
  <c r="AC75" i="46"/>
  <c r="AB75" i="46"/>
  <c r="X75" i="46"/>
  <c r="AD74" i="46"/>
  <c r="AC74" i="46"/>
  <c r="AB74" i="46"/>
  <c r="X74" i="46"/>
  <c r="AD73" i="46"/>
  <c r="AC73" i="46"/>
  <c r="AB73" i="46"/>
  <c r="X73" i="46"/>
  <c r="AD72" i="46"/>
  <c r="AC72" i="46"/>
  <c r="AB72" i="46"/>
  <c r="X72" i="46"/>
  <c r="AD71" i="46"/>
  <c r="AC71" i="46"/>
  <c r="AB71" i="46"/>
  <c r="X71" i="46"/>
  <c r="AD70" i="46"/>
  <c r="AC70" i="46"/>
  <c r="AB70" i="46"/>
  <c r="X70" i="46"/>
  <c r="AD69" i="46"/>
  <c r="AC69" i="46"/>
  <c r="AB69" i="46"/>
  <c r="X69" i="46"/>
  <c r="AD68" i="46"/>
  <c r="AC68" i="46"/>
  <c r="AB68" i="46"/>
  <c r="X68" i="46"/>
  <c r="AD67" i="46"/>
  <c r="AC67" i="46"/>
  <c r="AB67" i="46"/>
  <c r="X67" i="46"/>
  <c r="AD66" i="46"/>
  <c r="AC66" i="46"/>
  <c r="AB66" i="46"/>
  <c r="X66" i="46"/>
  <c r="AD65" i="46"/>
  <c r="AC65" i="46"/>
  <c r="AB65" i="46"/>
  <c r="X65" i="46"/>
  <c r="AD64" i="46"/>
  <c r="AC64" i="46"/>
  <c r="AB64" i="46"/>
  <c r="X64" i="46"/>
  <c r="AD63" i="46"/>
  <c r="AC63" i="46"/>
  <c r="AB63" i="46"/>
  <c r="X63" i="46"/>
  <c r="AD62" i="46"/>
  <c r="AC62" i="46"/>
  <c r="AB62" i="46"/>
  <c r="X62" i="46"/>
  <c r="AD61" i="46"/>
  <c r="AC61" i="46"/>
  <c r="AB61" i="46"/>
  <c r="X61" i="46"/>
  <c r="AD60" i="46"/>
  <c r="AC60" i="46"/>
  <c r="AB60" i="46"/>
  <c r="X60" i="46"/>
  <c r="AD59" i="46"/>
  <c r="AC59" i="46"/>
  <c r="AB59" i="46"/>
  <c r="X59" i="46"/>
  <c r="AD58" i="46"/>
  <c r="AC58" i="46"/>
  <c r="AB58" i="46"/>
  <c r="X58" i="46"/>
  <c r="AD57" i="46"/>
  <c r="AC57" i="46"/>
  <c r="AB57" i="46"/>
  <c r="X57" i="46"/>
  <c r="AD56" i="46"/>
  <c r="AC56" i="46"/>
  <c r="AB56" i="46"/>
  <c r="X56" i="46"/>
  <c r="AD55" i="46"/>
  <c r="AC55" i="46"/>
  <c r="AB55" i="46"/>
  <c r="X55" i="46"/>
  <c r="AD54" i="46"/>
  <c r="AC54" i="46"/>
  <c r="AB54" i="46"/>
  <c r="X54" i="46"/>
  <c r="AD53" i="46"/>
  <c r="AC53" i="46"/>
  <c r="AB53" i="46"/>
  <c r="X53" i="46"/>
  <c r="AD52" i="46"/>
  <c r="AC52" i="46"/>
  <c r="AB52" i="46"/>
  <c r="X52" i="46"/>
  <c r="AD51" i="46"/>
  <c r="AC51" i="46"/>
  <c r="AB51" i="46"/>
  <c r="X51" i="46"/>
  <c r="AD50" i="46"/>
  <c r="AC50" i="46"/>
  <c r="AB50" i="46"/>
  <c r="X50" i="46"/>
  <c r="AD49" i="46"/>
  <c r="AC49" i="46"/>
  <c r="AB49" i="46"/>
  <c r="X49" i="46"/>
  <c r="AD48" i="46"/>
  <c r="AC48" i="46"/>
  <c r="AB48" i="46"/>
  <c r="X48" i="46"/>
  <c r="AD47" i="46"/>
  <c r="AC47" i="46"/>
  <c r="AB47" i="46"/>
  <c r="X47" i="46"/>
  <c r="AD46" i="46"/>
  <c r="AC46" i="46"/>
  <c r="AB46" i="46"/>
  <c r="X46" i="46"/>
  <c r="AD45" i="46"/>
  <c r="AC45" i="46"/>
  <c r="AB45" i="46"/>
  <c r="X45" i="46"/>
  <c r="AD44" i="46"/>
  <c r="AC44" i="46"/>
  <c r="AB44" i="46"/>
  <c r="X44" i="46"/>
  <c r="AD43" i="46"/>
  <c r="AC43" i="46"/>
  <c r="AB43" i="46"/>
  <c r="X43" i="46"/>
  <c r="AD42" i="46"/>
  <c r="AC42" i="46"/>
  <c r="AB42" i="46"/>
  <c r="X42" i="46"/>
  <c r="AD41" i="46"/>
  <c r="AC41" i="46"/>
  <c r="AB41" i="46"/>
  <c r="X41" i="46"/>
  <c r="AD40" i="46"/>
  <c r="AC40" i="46"/>
  <c r="AB40" i="46"/>
  <c r="X40" i="46"/>
  <c r="AD39" i="46"/>
  <c r="AC39" i="46"/>
  <c r="AB39" i="46"/>
  <c r="X39" i="46"/>
  <c r="AD38" i="46"/>
  <c r="AC38" i="46"/>
  <c r="AB38" i="46"/>
  <c r="X38" i="46"/>
  <c r="AD37" i="46"/>
  <c r="AC37" i="46"/>
  <c r="AB37" i="46"/>
  <c r="X37" i="46"/>
  <c r="AD36" i="46"/>
  <c r="AC36" i="46"/>
  <c r="AB36" i="46"/>
  <c r="X36" i="46"/>
  <c r="AD35" i="46"/>
  <c r="AC35" i="46"/>
  <c r="AB35" i="46"/>
  <c r="X35" i="46"/>
  <c r="AD34" i="46"/>
  <c r="AC34" i="46"/>
  <c r="AB34" i="46"/>
  <c r="X34" i="46"/>
  <c r="AD33" i="46"/>
  <c r="AC33" i="46"/>
  <c r="AB33" i="46"/>
  <c r="X33" i="46"/>
  <c r="AD32" i="46"/>
  <c r="AC32" i="46"/>
  <c r="AB32" i="46"/>
  <c r="X32" i="46"/>
  <c r="AD31" i="46"/>
  <c r="AC31" i="46"/>
  <c r="AB31" i="46"/>
  <c r="X31" i="46"/>
  <c r="AD30" i="46"/>
  <c r="AC30" i="46"/>
  <c r="AB30" i="46"/>
  <c r="X30" i="46"/>
  <c r="AD29" i="46"/>
  <c r="AC29" i="46"/>
  <c r="AB29" i="46"/>
  <c r="X29" i="46"/>
  <c r="AD28" i="46"/>
  <c r="AC28" i="46"/>
  <c r="AB28" i="46"/>
  <c r="X28" i="46"/>
  <c r="AD27" i="46"/>
  <c r="AC27" i="46"/>
  <c r="AB27" i="46"/>
  <c r="X27" i="46"/>
  <c r="AD26" i="46"/>
  <c r="AC26" i="46"/>
  <c r="AB26" i="46"/>
  <c r="X26" i="46"/>
  <c r="AD25" i="46"/>
  <c r="AC25" i="46"/>
  <c r="AB25" i="46"/>
  <c r="X25" i="46"/>
  <c r="AD24" i="46"/>
  <c r="AC24" i="46"/>
  <c r="AB24" i="46"/>
  <c r="X24" i="46"/>
  <c r="AD23" i="46"/>
  <c r="AC23" i="46"/>
  <c r="AB23" i="46"/>
  <c r="X23" i="46"/>
  <c r="AD22" i="46"/>
  <c r="AC22" i="46"/>
  <c r="AB22" i="46"/>
  <c r="X22" i="46"/>
  <c r="AD21" i="46"/>
  <c r="AC21" i="46"/>
  <c r="AB21" i="46"/>
  <c r="X21" i="46"/>
  <c r="AD20" i="46"/>
  <c r="AC20" i="46"/>
  <c r="AB20" i="46"/>
  <c r="X20" i="46"/>
  <c r="AD19" i="46"/>
  <c r="AC19" i="46"/>
  <c r="AB19" i="46"/>
  <c r="X19" i="46"/>
  <c r="AD18" i="46"/>
  <c r="AC18" i="46"/>
  <c r="AB18" i="46"/>
  <c r="X18" i="46"/>
  <c r="AD17" i="46"/>
  <c r="AC17" i="46"/>
  <c r="AB17" i="46"/>
  <c r="X17" i="46"/>
  <c r="AD16" i="46"/>
  <c r="AC16" i="46"/>
  <c r="AB16" i="46"/>
  <c r="X16" i="46"/>
  <c r="AD15" i="46"/>
  <c r="AC15" i="46"/>
  <c r="AB15" i="46"/>
  <c r="X15" i="46"/>
  <c r="AD14" i="46"/>
  <c r="AC14" i="46"/>
  <c r="AB14" i="46"/>
  <c r="X14" i="46"/>
  <c r="AD13" i="46"/>
  <c r="AC13" i="46"/>
  <c r="AB13" i="46"/>
  <c r="X13" i="46"/>
  <c r="AD12" i="46"/>
  <c r="AC12" i="46"/>
  <c r="AB12" i="46"/>
  <c r="X12" i="46"/>
  <c r="AD11" i="46"/>
  <c r="AC11" i="46"/>
  <c r="AB11" i="46"/>
  <c r="X11" i="46"/>
  <c r="AD10" i="46"/>
  <c r="AC10" i="46"/>
  <c r="AB10" i="46"/>
  <c r="X10" i="46"/>
  <c r="AD9" i="46"/>
  <c r="AC9" i="46"/>
  <c r="AB9" i="46"/>
  <c r="X9" i="46"/>
  <c r="AD8" i="46"/>
  <c r="AC8" i="46"/>
  <c r="AB8" i="46"/>
  <c r="X8" i="46"/>
  <c r="AD7" i="46"/>
  <c r="AC7" i="46"/>
  <c r="AB7" i="46"/>
  <c r="X7" i="46"/>
  <c r="AD6" i="46"/>
  <c r="AC6" i="46"/>
  <c r="AB6" i="46"/>
  <c r="X6" i="46"/>
  <c r="AD5" i="46"/>
  <c r="AC5" i="46"/>
  <c r="AB5" i="46"/>
  <c r="X5" i="46"/>
  <c r="AD4" i="46"/>
  <c r="AC4" i="46"/>
  <c r="AB4" i="46"/>
  <c r="X4" i="46"/>
  <c r="AD3" i="46"/>
  <c r="AC3" i="46"/>
  <c r="AB3" i="46"/>
  <c r="X3" i="46"/>
  <c r="AD2" i="46"/>
  <c r="AC2" i="46"/>
  <c r="AB2" i="46"/>
  <c r="X2" i="46"/>
  <c r="AE1" i="46"/>
  <c r="AB1" i="46"/>
  <c r="Y1" i="46"/>
  <c r="AB1" i="10"/>
  <c r="AB1" i="7"/>
  <c r="AB1601" i="7"/>
  <c r="AC1601" i="7"/>
  <c r="AD1601" i="7"/>
  <c r="AB1602" i="7"/>
  <c r="AC1602" i="7"/>
  <c r="AD1602" i="7"/>
  <c r="AB1603" i="7"/>
  <c r="AC1603" i="7"/>
  <c r="AD1603" i="7"/>
  <c r="AB1604" i="7"/>
  <c r="AC1604" i="7"/>
  <c r="AD1604" i="7"/>
  <c r="AB1605" i="7"/>
  <c r="AC1605" i="7"/>
  <c r="AD1605" i="7"/>
  <c r="AB1606" i="7"/>
  <c r="AC1606" i="7"/>
  <c r="AD1606" i="7"/>
  <c r="AB1607" i="7"/>
  <c r="AC1607" i="7"/>
  <c r="AD1607" i="7"/>
  <c r="AB1608" i="7"/>
  <c r="AC1608" i="7"/>
  <c r="AD1608" i="7"/>
  <c r="AB1609" i="7"/>
  <c r="AC1609" i="7"/>
  <c r="AD1609" i="7"/>
  <c r="AB1610" i="7"/>
  <c r="AC1610" i="7"/>
  <c r="AD1610" i="7"/>
  <c r="AB1611" i="7"/>
  <c r="AC1611" i="7"/>
  <c r="AD1611" i="7"/>
  <c r="AB1612" i="7"/>
  <c r="AC1612" i="7"/>
  <c r="AD1612" i="7"/>
  <c r="AB1613" i="7"/>
  <c r="AC1613" i="7"/>
  <c r="AD1613" i="7"/>
  <c r="AB1614" i="7"/>
  <c r="AC1614" i="7"/>
  <c r="AD1614" i="7"/>
  <c r="AB1615" i="7"/>
  <c r="AC1615" i="7"/>
  <c r="AD1615" i="7"/>
  <c r="AB1616" i="7"/>
  <c r="AC1616" i="7"/>
  <c r="AD1616" i="7"/>
  <c r="AB1617" i="7"/>
  <c r="AC1617" i="7"/>
  <c r="AD1617" i="7"/>
  <c r="AB1618" i="7"/>
  <c r="AC1618" i="7"/>
  <c r="AD1618" i="7"/>
  <c r="AB1619" i="7"/>
  <c r="AC1619" i="7"/>
  <c r="AD1619" i="7"/>
  <c r="AB1620" i="7"/>
  <c r="AC1620" i="7"/>
  <c r="AD1620" i="7"/>
  <c r="AB1621" i="7"/>
  <c r="AC1621" i="7"/>
  <c r="AD1621" i="7"/>
  <c r="AB1622" i="7"/>
  <c r="AC1622" i="7"/>
  <c r="AD1622" i="7"/>
  <c r="AB1623" i="7"/>
  <c r="AC1623" i="7"/>
  <c r="AD1623" i="7"/>
  <c r="AB1624" i="7"/>
  <c r="AC1624" i="7"/>
  <c r="AD1624" i="7"/>
  <c r="AB1625" i="7"/>
  <c r="AC1625" i="7"/>
  <c r="AD1625" i="7"/>
  <c r="AB1563" i="7"/>
  <c r="AC1563" i="7"/>
  <c r="AD1563" i="7"/>
  <c r="AB1564" i="7"/>
  <c r="AC1564" i="7"/>
  <c r="AD1564" i="7"/>
  <c r="AB1565" i="7"/>
  <c r="AC1565" i="7"/>
  <c r="AD1565" i="7"/>
  <c r="AB1566" i="7"/>
  <c r="AC1566" i="7"/>
  <c r="AD1566" i="7"/>
  <c r="AB1567" i="7"/>
  <c r="AC1567" i="7"/>
  <c r="AD1567" i="7"/>
  <c r="AB1568" i="7"/>
  <c r="AC1568" i="7"/>
  <c r="AD1568" i="7"/>
  <c r="AB1569" i="7"/>
  <c r="AC1569" i="7"/>
  <c r="AD1569" i="7"/>
  <c r="AB1570" i="7"/>
  <c r="AC1570" i="7"/>
  <c r="AD1570" i="7"/>
  <c r="AB1571" i="7"/>
  <c r="AC1571" i="7"/>
  <c r="AD1571" i="7"/>
  <c r="AB1572" i="7"/>
  <c r="AC1572" i="7"/>
  <c r="AD1572" i="7"/>
  <c r="AB1573" i="7"/>
  <c r="AC1573" i="7"/>
  <c r="AD1573" i="7"/>
  <c r="AB1574" i="7"/>
  <c r="AC1574" i="7"/>
  <c r="AD1574" i="7"/>
  <c r="AB1575" i="7"/>
  <c r="AC1575" i="7"/>
  <c r="AD1575" i="7"/>
  <c r="AB1576" i="7"/>
  <c r="AC1576" i="7"/>
  <c r="AD1576" i="7"/>
  <c r="AB1577" i="7"/>
  <c r="AC1577" i="7"/>
  <c r="AD1577" i="7"/>
  <c r="AB1578" i="7"/>
  <c r="AC1578" i="7"/>
  <c r="AD1578" i="7"/>
  <c r="AB1579" i="7"/>
  <c r="AC1579" i="7"/>
  <c r="AD1579" i="7"/>
  <c r="AB1580" i="7"/>
  <c r="AC1580" i="7"/>
  <c r="AD1580" i="7"/>
  <c r="AB1581" i="7"/>
  <c r="AC1581" i="7"/>
  <c r="AD1581" i="7"/>
  <c r="AB1582" i="7"/>
  <c r="AC1582" i="7"/>
  <c r="AD1582" i="7"/>
  <c r="AB1583" i="7"/>
  <c r="AC1583" i="7"/>
  <c r="AD1583" i="7"/>
  <c r="AB1584" i="7"/>
  <c r="AC1584" i="7"/>
  <c r="AD1584" i="7"/>
  <c r="AB1585" i="7"/>
  <c r="AC1585" i="7"/>
  <c r="AD1585" i="7"/>
  <c r="AB1586" i="7"/>
  <c r="AC1586" i="7"/>
  <c r="AD1586" i="7"/>
  <c r="AB1587" i="7"/>
  <c r="AC1587" i="7"/>
  <c r="AD1587" i="7"/>
  <c r="AB1588" i="7"/>
  <c r="AC1588" i="7"/>
  <c r="AD1588" i="7"/>
  <c r="AB1589" i="7"/>
  <c r="AC1589" i="7"/>
  <c r="AD1589" i="7"/>
  <c r="AB1590" i="7"/>
  <c r="AC1590" i="7"/>
  <c r="AD1590" i="7"/>
  <c r="AB1591" i="7"/>
  <c r="AC1591" i="7"/>
  <c r="AD1591" i="7"/>
  <c r="AB1592" i="7"/>
  <c r="AC1592" i="7"/>
  <c r="AD1592" i="7"/>
  <c r="AB1593" i="7"/>
  <c r="AC1593" i="7"/>
  <c r="AD1593" i="7"/>
  <c r="AB1594" i="7"/>
  <c r="AC1594" i="7"/>
  <c r="AD1594" i="7"/>
  <c r="AB1595" i="7"/>
  <c r="AC1595" i="7"/>
  <c r="AD1595" i="7"/>
  <c r="AB1596" i="7"/>
  <c r="AC1596" i="7"/>
  <c r="AD1596" i="7"/>
  <c r="AB1597" i="7"/>
  <c r="AC1597" i="7"/>
  <c r="AD1597" i="7"/>
  <c r="AB1598" i="7"/>
  <c r="AC1598" i="7"/>
  <c r="AD1598" i="7"/>
  <c r="AB1599" i="7"/>
  <c r="AC1599" i="7"/>
  <c r="AD1599" i="7"/>
  <c r="AB1600" i="7"/>
  <c r="AC1600" i="7"/>
  <c r="AD1600" i="7"/>
  <c r="AB1551" i="7"/>
  <c r="AC1551" i="7"/>
  <c r="AD1551" i="7"/>
  <c r="AB1552" i="7"/>
  <c r="AC1552" i="7"/>
  <c r="AD1552" i="7"/>
  <c r="AB1553" i="7"/>
  <c r="AC1553" i="7"/>
  <c r="AD1553" i="7"/>
  <c r="AB1554" i="7"/>
  <c r="AC1554" i="7"/>
  <c r="AD1554" i="7"/>
  <c r="AB1555" i="7"/>
  <c r="AC1555" i="7"/>
  <c r="AD1555" i="7"/>
  <c r="AB1556" i="7"/>
  <c r="AC1556" i="7"/>
  <c r="AD1556" i="7"/>
  <c r="AB1557" i="7"/>
  <c r="AC1557" i="7"/>
  <c r="AD1557" i="7"/>
  <c r="AB1558" i="7"/>
  <c r="AC1558" i="7"/>
  <c r="AD1558" i="7"/>
  <c r="AB1559" i="7"/>
  <c r="AC1559" i="7"/>
  <c r="AD1559" i="7"/>
  <c r="AB1560" i="7"/>
  <c r="AC1560" i="7"/>
  <c r="AD1560" i="7"/>
  <c r="AB1561" i="7"/>
  <c r="AC1561" i="7"/>
  <c r="AD1561" i="7"/>
  <c r="AB1562" i="7"/>
  <c r="AC1562" i="7"/>
  <c r="AD1562" i="7"/>
  <c r="AC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211" i="7"/>
  <c r="AC212" i="7"/>
  <c r="AC213" i="7"/>
  <c r="AC214" i="7"/>
  <c r="AC215" i="7"/>
  <c r="AC216" i="7"/>
  <c r="AC217" i="7"/>
  <c r="AC218" i="7"/>
  <c r="AC219" i="7"/>
  <c r="AC220" i="7"/>
  <c r="AC221" i="7"/>
  <c r="AC222" i="7"/>
  <c r="AC223" i="7"/>
  <c r="AC224" i="7"/>
  <c r="AC225" i="7"/>
  <c r="AC226" i="7"/>
  <c r="AC227" i="7"/>
  <c r="AC228" i="7"/>
  <c r="AC229" i="7"/>
  <c r="AC230" i="7"/>
  <c r="AC231" i="7"/>
  <c r="AC232" i="7"/>
  <c r="AC233" i="7"/>
  <c r="AC234" i="7"/>
  <c r="AC235" i="7"/>
  <c r="AC236" i="7"/>
  <c r="AC237" i="7"/>
  <c r="AC238" i="7"/>
  <c r="AC239" i="7"/>
  <c r="AC240" i="7"/>
  <c r="AC241" i="7"/>
  <c r="AC242" i="7"/>
  <c r="AC243" i="7"/>
  <c r="AC244" i="7"/>
  <c r="AC245" i="7"/>
  <c r="AC246" i="7"/>
  <c r="AC247" i="7"/>
  <c r="AC248" i="7"/>
  <c r="AC249" i="7"/>
  <c r="AC250" i="7"/>
  <c r="AC251" i="7"/>
  <c r="AC252" i="7"/>
  <c r="AC253" i="7"/>
  <c r="AC254" i="7"/>
  <c r="AC255" i="7"/>
  <c r="AC256" i="7"/>
  <c r="AC257" i="7"/>
  <c r="AC258" i="7"/>
  <c r="AC259" i="7"/>
  <c r="AC260" i="7"/>
  <c r="AC261" i="7"/>
  <c r="AC262" i="7"/>
  <c r="AC263" i="7"/>
  <c r="AC264" i="7"/>
  <c r="AC265" i="7"/>
  <c r="AC266" i="7"/>
  <c r="AC267" i="7"/>
  <c r="AC268" i="7"/>
  <c r="AC269" i="7"/>
  <c r="AC270" i="7"/>
  <c r="AC271" i="7"/>
  <c r="AC272" i="7"/>
  <c r="AC273" i="7"/>
  <c r="AC274" i="7"/>
  <c r="AC275" i="7"/>
  <c r="AC276" i="7"/>
  <c r="AC277" i="7"/>
  <c r="AC278" i="7"/>
  <c r="AC279" i="7"/>
  <c r="AC280" i="7"/>
  <c r="AC281" i="7"/>
  <c r="AC282" i="7"/>
  <c r="AC283" i="7"/>
  <c r="AC284" i="7"/>
  <c r="AC285" i="7"/>
  <c r="AC286" i="7"/>
  <c r="AC287" i="7"/>
  <c r="AC288" i="7"/>
  <c r="AC289" i="7"/>
  <c r="AC290" i="7"/>
  <c r="AC291" i="7"/>
  <c r="AC292" i="7"/>
  <c r="AC293" i="7"/>
  <c r="AC294" i="7"/>
  <c r="AC295" i="7"/>
  <c r="AC296" i="7"/>
  <c r="AC297" i="7"/>
  <c r="AC298" i="7"/>
  <c r="AC299" i="7"/>
  <c r="AC300" i="7"/>
  <c r="AC301" i="7"/>
  <c r="AC302" i="7"/>
  <c r="AC303" i="7"/>
  <c r="AC304" i="7"/>
  <c r="AC305" i="7"/>
  <c r="AC306" i="7"/>
  <c r="AC307" i="7"/>
  <c r="AC308" i="7"/>
  <c r="AC309" i="7"/>
  <c r="AC310" i="7"/>
  <c r="AC311" i="7"/>
  <c r="AC312" i="7"/>
  <c r="AC313" i="7"/>
  <c r="AC314" i="7"/>
  <c r="AC315" i="7"/>
  <c r="AC316" i="7"/>
  <c r="AC317" i="7"/>
  <c r="AC318" i="7"/>
  <c r="AC319" i="7"/>
  <c r="AC320" i="7"/>
  <c r="AC321" i="7"/>
  <c r="AC322" i="7"/>
  <c r="AC323" i="7"/>
  <c r="AC324" i="7"/>
  <c r="AC325" i="7"/>
  <c r="AC326" i="7"/>
  <c r="AC327" i="7"/>
  <c r="AC328" i="7"/>
  <c r="AC329" i="7"/>
  <c r="AC330" i="7"/>
  <c r="AC331" i="7"/>
  <c r="AC332" i="7"/>
  <c r="AC333" i="7"/>
  <c r="AC334" i="7"/>
  <c r="AC335" i="7"/>
  <c r="AC336" i="7"/>
  <c r="AC337" i="7"/>
  <c r="AC338" i="7"/>
  <c r="AC339" i="7"/>
  <c r="AC340" i="7"/>
  <c r="AC341" i="7"/>
  <c r="AC342" i="7"/>
  <c r="AC343" i="7"/>
  <c r="AC344" i="7"/>
  <c r="AC345" i="7"/>
  <c r="AC346" i="7"/>
  <c r="AC347" i="7"/>
  <c r="AC348" i="7"/>
  <c r="AC349" i="7"/>
  <c r="AC350" i="7"/>
  <c r="AC351" i="7"/>
  <c r="AC352" i="7"/>
  <c r="AC353" i="7"/>
  <c r="AC354" i="7"/>
  <c r="AC355" i="7"/>
  <c r="AC356" i="7"/>
  <c r="AC357" i="7"/>
  <c r="AC358" i="7"/>
  <c r="AC359" i="7"/>
  <c r="AC360" i="7"/>
  <c r="AC361" i="7"/>
  <c r="AC362" i="7"/>
  <c r="AC363" i="7"/>
  <c r="AC364" i="7"/>
  <c r="AC365" i="7"/>
  <c r="AC366" i="7"/>
  <c r="AC367" i="7"/>
  <c r="AC368" i="7"/>
  <c r="AC369" i="7"/>
  <c r="AC370" i="7"/>
  <c r="AC371" i="7"/>
  <c r="AC372" i="7"/>
  <c r="AC373" i="7"/>
  <c r="AC374" i="7"/>
  <c r="AC375" i="7"/>
  <c r="AC376" i="7"/>
  <c r="AC377" i="7"/>
  <c r="AC378" i="7"/>
  <c r="AC379" i="7"/>
  <c r="AC380" i="7"/>
  <c r="AC381" i="7"/>
  <c r="AC382" i="7"/>
  <c r="AC383" i="7"/>
  <c r="AC384" i="7"/>
  <c r="AC385" i="7"/>
  <c r="AC386" i="7"/>
  <c r="AC387" i="7"/>
  <c r="AC388" i="7"/>
  <c r="AC389" i="7"/>
  <c r="AC390" i="7"/>
  <c r="AC391" i="7"/>
  <c r="AC392" i="7"/>
  <c r="AC393" i="7"/>
  <c r="AC394" i="7"/>
  <c r="AC395" i="7"/>
  <c r="AC396" i="7"/>
  <c r="AC397" i="7"/>
  <c r="AC398" i="7"/>
  <c r="AC399" i="7"/>
  <c r="AC400" i="7"/>
  <c r="AC401" i="7"/>
  <c r="AC402" i="7"/>
  <c r="AC403" i="7"/>
  <c r="AC404" i="7"/>
  <c r="AC405" i="7"/>
  <c r="AC406" i="7"/>
  <c r="AC407" i="7"/>
  <c r="AC408" i="7"/>
  <c r="AC409" i="7"/>
  <c r="AC410" i="7"/>
  <c r="AC411" i="7"/>
  <c r="AC412" i="7"/>
  <c r="AC413" i="7"/>
  <c r="AC414" i="7"/>
  <c r="AC415" i="7"/>
  <c r="AC416" i="7"/>
  <c r="AC417" i="7"/>
  <c r="AC418" i="7"/>
  <c r="AC419" i="7"/>
  <c r="AC420" i="7"/>
  <c r="AC421" i="7"/>
  <c r="AC422" i="7"/>
  <c r="AC423" i="7"/>
  <c r="AC424" i="7"/>
  <c r="AC425" i="7"/>
  <c r="AC426" i="7"/>
  <c r="AC427" i="7"/>
  <c r="AC428" i="7"/>
  <c r="AC429" i="7"/>
  <c r="AC430" i="7"/>
  <c r="AC431" i="7"/>
  <c r="AC432" i="7"/>
  <c r="AC433" i="7"/>
  <c r="AC434" i="7"/>
  <c r="AC435" i="7"/>
  <c r="AC436" i="7"/>
  <c r="AC437" i="7"/>
  <c r="AC438" i="7"/>
  <c r="AC439" i="7"/>
  <c r="AC440" i="7"/>
  <c r="AC441" i="7"/>
  <c r="AC442" i="7"/>
  <c r="AC443" i="7"/>
  <c r="AC444" i="7"/>
  <c r="AC445" i="7"/>
  <c r="AC446" i="7"/>
  <c r="AC447" i="7"/>
  <c r="AC448" i="7"/>
  <c r="AC449" i="7"/>
  <c r="AC450" i="7"/>
  <c r="AC451" i="7"/>
  <c r="AC452" i="7"/>
  <c r="AC453" i="7"/>
  <c r="AC454" i="7"/>
  <c r="AC455" i="7"/>
  <c r="AC456" i="7"/>
  <c r="AC457" i="7"/>
  <c r="AC458" i="7"/>
  <c r="AC459" i="7"/>
  <c r="AC460" i="7"/>
  <c r="AC461" i="7"/>
  <c r="AC462" i="7"/>
  <c r="AC463" i="7"/>
  <c r="AC464" i="7"/>
  <c r="AC465" i="7"/>
  <c r="AC466" i="7"/>
  <c r="AC467" i="7"/>
  <c r="AC468" i="7"/>
  <c r="AC469" i="7"/>
  <c r="AC470" i="7"/>
  <c r="AC471" i="7"/>
  <c r="AC472" i="7"/>
  <c r="AC473" i="7"/>
  <c r="AC474" i="7"/>
  <c r="AC475" i="7"/>
  <c r="AC476" i="7"/>
  <c r="AC477" i="7"/>
  <c r="AC478" i="7"/>
  <c r="AC479" i="7"/>
  <c r="AC480" i="7"/>
  <c r="AC481" i="7"/>
  <c r="AC482" i="7"/>
  <c r="AC483" i="7"/>
  <c r="AC484" i="7"/>
  <c r="AC485" i="7"/>
  <c r="AC486" i="7"/>
  <c r="AC487" i="7"/>
  <c r="AC488" i="7"/>
  <c r="AC489" i="7"/>
  <c r="AC490" i="7"/>
  <c r="AC491" i="7"/>
  <c r="AC492" i="7"/>
  <c r="AC493" i="7"/>
  <c r="AC494" i="7"/>
  <c r="AC495" i="7"/>
  <c r="AC496" i="7"/>
  <c r="AC497" i="7"/>
  <c r="AC498" i="7"/>
  <c r="AC499" i="7"/>
  <c r="AC500" i="7"/>
  <c r="AC501" i="7"/>
  <c r="AC502" i="7"/>
  <c r="AC503" i="7"/>
  <c r="AC504" i="7"/>
  <c r="AC505" i="7"/>
  <c r="AC506" i="7"/>
  <c r="AC507" i="7"/>
  <c r="AC508" i="7"/>
  <c r="AC509" i="7"/>
  <c r="AC510" i="7"/>
  <c r="AC511" i="7"/>
  <c r="AC512" i="7"/>
  <c r="AC513" i="7"/>
  <c r="AC514" i="7"/>
  <c r="AC515" i="7"/>
  <c r="AC516" i="7"/>
  <c r="AC517" i="7"/>
  <c r="AC518" i="7"/>
  <c r="AC519" i="7"/>
  <c r="AC520" i="7"/>
  <c r="AC521" i="7"/>
  <c r="AC522" i="7"/>
  <c r="AC523" i="7"/>
  <c r="AC524" i="7"/>
  <c r="AC525" i="7"/>
  <c r="AC526" i="7"/>
  <c r="AC527" i="7"/>
  <c r="AC528" i="7"/>
  <c r="AC529" i="7"/>
  <c r="AC530" i="7"/>
  <c r="AC531" i="7"/>
  <c r="AC532" i="7"/>
  <c r="AC533" i="7"/>
  <c r="AC534" i="7"/>
  <c r="AC535" i="7"/>
  <c r="AC536" i="7"/>
  <c r="AC537" i="7"/>
  <c r="AC538" i="7"/>
  <c r="AC539" i="7"/>
  <c r="AC540" i="7"/>
  <c r="AC541" i="7"/>
  <c r="AC542" i="7"/>
  <c r="AC543" i="7"/>
  <c r="AC544" i="7"/>
  <c r="AC545" i="7"/>
  <c r="AC546" i="7"/>
  <c r="AC547" i="7"/>
  <c r="AC548" i="7"/>
  <c r="AC549" i="7"/>
  <c r="AC550" i="7"/>
  <c r="AC551" i="7"/>
  <c r="AC552" i="7"/>
  <c r="AC553" i="7"/>
  <c r="AC554" i="7"/>
  <c r="AC555" i="7"/>
  <c r="AC556" i="7"/>
  <c r="AC557" i="7"/>
  <c r="AC558" i="7"/>
  <c r="AC559" i="7"/>
  <c r="AC560" i="7"/>
  <c r="AC561" i="7"/>
  <c r="AC562" i="7"/>
  <c r="AC563" i="7"/>
  <c r="AC564" i="7"/>
  <c r="AC565" i="7"/>
  <c r="AC566" i="7"/>
  <c r="AC567" i="7"/>
  <c r="AC568" i="7"/>
  <c r="AC569" i="7"/>
  <c r="AC570" i="7"/>
  <c r="AC571" i="7"/>
  <c r="AC572" i="7"/>
  <c r="AC573" i="7"/>
  <c r="AC574" i="7"/>
  <c r="AC575" i="7"/>
  <c r="AC576" i="7"/>
  <c r="AC577" i="7"/>
  <c r="AC578" i="7"/>
  <c r="AC579" i="7"/>
  <c r="AC580" i="7"/>
  <c r="AC581" i="7"/>
  <c r="AC582" i="7"/>
  <c r="AC583" i="7"/>
  <c r="AC584" i="7"/>
  <c r="AC585" i="7"/>
  <c r="AC586" i="7"/>
  <c r="AC587" i="7"/>
  <c r="AC588" i="7"/>
  <c r="AC589" i="7"/>
  <c r="AC590" i="7"/>
  <c r="AC591" i="7"/>
  <c r="AC592" i="7"/>
  <c r="AC593" i="7"/>
  <c r="AC594" i="7"/>
  <c r="AC595" i="7"/>
  <c r="AC596" i="7"/>
  <c r="AC597" i="7"/>
  <c r="AC598" i="7"/>
  <c r="AC599" i="7"/>
  <c r="AC600" i="7"/>
  <c r="AC601" i="7"/>
  <c r="AC602" i="7"/>
  <c r="AC603" i="7"/>
  <c r="AC604" i="7"/>
  <c r="AC605" i="7"/>
  <c r="AC606" i="7"/>
  <c r="AC607" i="7"/>
  <c r="AC608" i="7"/>
  <c r="AC609" i="7"/>
  <c r="AC610" i="7"/>
  <c r="AC611" i="7"/>
  <c r="AC612" i="7"/>
  <c r="AC613" i="7"/>
  <c r="AC614" i="7"/>
  <c r="AC615" i="7"/>
  <c r="AC616" i="7"/>
  <c r="AC617" i="7"/>
  <c r="AC618" i="7"/>
  <c r="AC619" i="7"/>
  <c r="AC620" i="7"/>
  <c r="AC621" i="7"/>
  <c r="AC622" i="7"/>
  <c r="AC623" i="7"/>
  <c r="AC624" i="7"/>
  <c r="AC625" i="7"/>
  <c r="AC626" i="7"/>
  <c r="AC627" i="7"/>
  <c r="AC628" i="7"/>
  <c r="AC629" i="7"/>
  <c r="AC630" i="7"/>
  <c r="AC631" i="7"/>
  <c r="AC632" i="7"/>
  <c r="AC633" i="7"/>
  <c r="AC634" i="7"/>
  <c r="AC635" i="7"/>
  <c r="AC636" i="7"/>
  <c r="AC637" i="7"/>
  <c r="AC638" i="7"/>
  <c r="AC639" i="7"/>
  <c r="AC640" i="7"/>
  <c r="AC641" i="7"/>
  <c r="AC642" i="7"/>
  <c r="AC643" i="7"/>
  <c r="AC644" i="7"/>
  <c r="AC645" i="7"/>
  <c r="AC646" i="7"/>
  <c r="AC647" i="7"/>
  <c r="AC648" i="7"/>
  <c r="AC649" i="7"/>
  <c r="AC650" i="7"/>
  <c r="AC651" i="7"/>
  <c r="AC652" i="7"/>
  <c r="AC653" i="7"/>
  <c r="AC654" i="7"/>
  <c r="AC655" i="7"/>
  <c r="AC656" i="7"/>
  <c r="AC657" i="7"/>
  <c r="AC658" i="7"/>
  <c r="AC659" i="7"/>
  <c r="AC660" i="7"/>
  <c r="AC661" i="7"/>
  <c r="AC662" i="7"/>
  <c r="AC663" i="7"/>
  <c r="AC664" i="7"/>
  <c r="AC665" i="7"/>
  <c r="AC666" i="7"/>
  <c r="AC667" i="7"/>
  <c r="AC668" i="7"/>
  <c r="AC669" i="7"/>
  <c r="AC670" i="7"/>
  <c r="AC671" i="7"/>
  <c r="AC672" i="7"/>
  <c r="AC673" i="7"/>
  <c r="AC674" i="7"/>
  <c r="AC675" i="7"/>
  <c r="AC676" i="7"/>
  <c r="AC677" i="7"/>
  <c r="AC678" i="7"/>
  <c r="AC679" i="7"/>
  <c r="AC680" i="7"/>
  <c r="AC681" i="7"/>
  <c r="AC682" i="7"/>
  <c r="AC683" i="7"/>
  <c r="AC684" i="7"/>
  <c r="AC685" i="7"/>
  <c r="AC686" i="7"/>
  <c r="AC687" i="7"/>
  <c r="AC688" i="7"/>
  <c r="AC689" i="7"/>
  <c r="AC690" i="7"/>
  <c r="AC691" i="7"/>
  <c r="AC692" i="7"/>
  <c r="AC693" i="7"/>
  <c r="AC694" i="7"/>
  <c r="AC695" i="7"/>
  <c r="AC696" i="7"/>
  <c r="AC697" i="7"/>
  <c r="AC698" i="7"/>
  <c r="AC699" i="7"/>
  <c r="AC700" i="7"/>
  <c r="AC701" i="7"/>
  <c r="AC702" i="7"/>
  <c r="AC703" i="7"/>
  <c r="AC704" i="7"/>
  <c r="AC705" i="7"/>
  <c r="AC706" i="7"/>
  <c r="AC707" i="7"/>
  <c r="AC708" i="7"/>
  <c r="AC709" i="7"/>
  <c r="AC710" i="7"/>
  <c r="AC711" i="7"/>
  <c r="AC712" i="7"/>
  <c r="AC713" i="7"/>
  <c r="AC714" i="7"/>
  <c r="AC715" i="7"/>
  <c r="AC716" i="7"/>
  <c r="AC717" i="7"/>
  <c r="AC718" i="7"/>
  <c r="AC719" i="7"/>
  <c r="AC720" i="7"/>
  <c r="AC721" i="7"/>
  <c r="AC722" i="7"/>
  <c r="AC723" i="7"/>
  <c r="AC724" i="7"/>
  <c r="AC725" i="7"/>
  <c r="AC726" i="7"/>
  <c r="AC727" i="7"/>
  <c r="AC728" i="7"/>
  <c r="AC729" i="7"/>
  <c r="AC730" i="7"/>
  <c r="AC731" i="7"/>
  <c r="AC732" i="7"/>
  <c r="AC733" i="7"/>
  <c r="AC734" i="7"/>
  <c r="AC735" i="7"/>
  <c r="AC736" i="7"/>
  <c r="AC737" i="7"/>
  <c r="AC738" i="7"/>
  <c r="AC739" i="7"/>
  <c r="AC740" i="7"/>
  <c r="AC741" i="7"/>
  <c r="AC742" i="7"/>
  <c r="AC743" i="7"/>
  <c r="AC744" i="7"/>
  <c r="AC745" i="7"/>
  <c r="AC746" i="7"/>
  <c r="AC747" i="7"/>
  <c r="AC748" i="7"/>
  <c r="AC749" i="7"/>
  <c r="AC750" i="7"/>
  <c r="AC751" i="7"/>
  <c r="AC752" i="7"/>
  <c r="AC753" i="7"/>
  <c r="AC754" i="7"/>
  <c r="AC755" i="7"/>
  <c r="AC756" i="7"/>
  <c r="AC757" i="7"/>
  <c r="AC758" i="7"/>
  <c r="AC759" i="7"/>
  <c r="AC760" i="7"/>
  <c r="AC761" i="7"/>
  <c r="AC762" i="7"/>
  <c r="AC763" i="7"/>
  <c r="AC764" i="7"/>
  <c r="AC765" i="7"/>
  <c r="AC766" i="7"/>
  <c r="AC767" i="7"/>
  <c r="AC768" i="7"/>
  <c r="AC769" i="7"/>
  <c r="AC770" i="7"/>
  <c r="AC771" i="7"/>
  <c r="AC772" i="7"/>
  <c r="AC773" i="7"/>
  <c r="AC774" i="7"/>
  <c r="AC775" i="7"/>
  <c r="AC776" i="7"/>
  <c r="AC777" i="7"/>
  <c r="AC778" i="7"/>
  <c r="AC779" i="7"/>
  <c r="AC780" i="7"/>
  <c r="AC781" i="7"/>
  <c r="AC782" i="7"/>
  <c r="AC783" i="7"/>
  <c r="AC784" i="7"/>
  <c r="AC785" i="7"/>
  <c r="AC786" i="7"/>
  <c r="AC787" i="7"/>
  <c r="AC788" i="7"/>
  <c r="AC789" i="7"/>
  <c r="AC790" i="7"/>
  <c r="AC791" i="7"/>
  <c r="AC792" i="7"/>
  <c r="AC793" i="7"/>
  <c r="AC794" i="7"/>
  <c r="AC795" i="7"/>
  <c r="AC796" i="7"/>
  <c r="AC797" i="7"/>
  <c r="AC798" i="7"/>
  <c r="AC799" i="7"/>
  <c r="AC800" i="7"/>
  <c r="AC801" i="7"/>
  <c r="AC802" i="7"/>
  <c r="AC803" i="7"/>
  <c r="AC804" i="7"/>
  <c r="AC805" i="7"/>
  <c r="AC806" i="7"/>
  <c r="AC807" i="7"/>
  <c r="AC808" i="7"/>
  <c r="AC809" i="7"/>
  <c r="AC810" i="7"/>
  <c r="AC811" i="7"/>
  <c r="AC812" i="7"/>
  <c r="AC813" i="7"/>
  <c r="AC814" i="7"/>
  <c r="AC815" i="7"/>
  <c r="AC816" i="7"/>
  <c r="AC817" i="7"/>
  <c r="AC818" i="7"/>
  <c r="AC819" i="7"/>
  <c r="AC820" i="7"/>
  <c r="AC821" i="7"/>
  <c r="AC822" i="7"/>
  <c r="AC823" i="7"/>
  <c r="AC824" i="7"/>
  <c r="AC825" i="7"/>
  <c r="AC826" i="7"/>
  <c r="AC827" i="7"/>
  <c r="AC828" i="7"/>
  <c r="AC829" i="7"/>
  <c r="AC830" i="7"/>
  <c r="AC831" i="7"/>
  <c r="AC832" i="7"/>
  <c r="AC833" i="7"/>
  <c r="AC834" i="7"/>
  <c r="AC835" i="7"/>
  <c r="AC836" i="7"/>
  <c r="AC837" i="7"/>
  <c r="AC838" i="7"/>
  <c r="AC839" i="7"/>
  <c r="AC840" i="7"/>
  <c r="AC841" i="7"/>
  <c r="AC842" i="7"/>
  <c r="AC843" i="7"/>
  <c r="AC844" i="7"/>
  <c r="AC845" i="7"/>
  <c r="AC846" i="7"/>
  <c r="AC847" i="7"/>
  <c r="AC848" i="7"/>
  <c r="AC849" i="7"/>
  <c r="AC850" i="7"/>
  <c r="AC851" i="7"/>
  <c r="AC852" i="7"/>
  <c r="AC853" i="7"/>
  <c r="AC854" i="7"/>
  <c r="AC855" i="7"/>
  <c r="AC856" i="7"/>
  <c r="AC857" i="7"/>
  <c r="AC858" i="7"/>
  <c r="AC859" i="7"/>
  <c r="AC860" i="7"/>
  <c r="AC861" i="7"/>
  <c r="AC862" i="7"/>
  <c r="AC863" i="7"/>
  <c r="AC864" i="7"/>
  <c r="AC865" i="7"/>
  <c r="AC866" i="7"/>
  <c r="AC867" i="7"/>
  <c r="AC868" i="7"/>
  <c r="AC869" i="7"/>
  <c r="AC870" i="7"/>
  <c r="AC871" i="7"/>
  <c r="AC872" i="7"/>
  <c r="AC873" i="7"/>
  <c r="AC874" i="7"/>
  <c r="AC875" i="7"/>
  <c r="AC876" i="7"/>
  <c r="AC877" i="7"/>
  <c r="AC878" i="7"/>
  <c r="AC879" i="7"/>
  <c r="AC880" i="7"/>
  <c r="AC881" i="7"/>
  <c r="AC882" i="7"/>
  <c r="AC883" i="7"/>
  <c r="AC884" i="7"/>
  <c r="AC885" i="7"/>
  <c r="AC886" i="7"/>
  <c r="AC887" i="7"/>
  <c r="AC888" i="7"/>
  <c r="AC889" i="7"/>
  <c r="AC890" i="7"/>
  <c r="AC891" i="7"/>
  <c r="AC892" i="7"/>
  <c r="AC893" i="7"/>
  <c r="AC894" i="7"/>
  <c r="AC895" i="7"/>
  <c r="AC896" i="7"/>
  <c r="AC897" i="7"/>
  <c r="AC898" i="7"/>
  <c r="AC899" i="7"/>
  <c r="AC900" i="7"/>
  <c r="AC901" i="7"/>
  <c r="AC902" i="7"/>
  <c r="AC903" i="7"/>
  <c r="AC904" i="7"/>
  <c r="AC905" i="7"/>
  <c r="AC906" i="7"/>
  <c r="AC907" i="7"/>
  <c r="AC908" i="7"/>
  <c r="AC909" i="7"/>
  <c r="AC910" i="7"/>
  <c r="AC911" i="7"/>
  <c r="AC912" i="7"/>
  <c r="AC913" i="7"/>
  <c r="AC914" i="7"/>
  <c r="AC915" i="7"/>
  <c r="AC916" i="7"/>
  <c r="AC917" i="7"/>
  <c r="AC918" i="7"/>
  <c r="AC919" i="7"/>
  <c r="AC920" i="7"/>
  <c r="AC921" i="7"/>
  <c r="AC922" i="7"/>
  <c r="AC923" i="7"/>
  <c r="AC924" i="7"/>
  <c r="AC925" i="7"/>
  <c r="AC926" i="7"/>
  <c r="AC927" i="7"/>
  <c r="AC928" i="7"/>
  <c r="AC929" i="7"/>
  <c r="AC930" i="7"/>
  <c r="AC931" i="7"/>
  <c r="AC932" i="7"/>
  <c r="AC933" i="7"/>
  <c r="AC934" i="7"/>
  <c r="AC935" i="7"/>
  <c r="AC936" i="7"/>
  <c r="AC937" i="7"/>
  <c r="AC938" i="7"/>
  <c r="AC939" i="7"/>
  <c r="AC940" i="7"/>
  <c r="AC941" i="7"/>
  <c r="AC942" i="7"/>
  <c r="AC943" i="7"/>
  <c r="AC944" i="7"/>
  <c r="AC945" i="7"/>
  <c r="AC946" i="7"/>
  <c r="AC947" i="7"/>
  <c r="AC948" i="7"/>
  <c r="AC949" i="7"/>
  <c r="AC950" i="7"/>
  <c r="AC951" i="7"/>
  <c r="AC952" i="7"/>
  <c r="AC953" i="7"/>
  <c r="AC954" i="7"/>
  <c r="AC955" i="7"/>
  <c r="AC956" i="7"/>
  <c r="AC957" i="7"/>
  <c r="AC958" i="7"/>
  <c r="AC959" i="7"/>
  <c r="AC960" i="7"/>
  <c r="AC961" i="7"/>
  <c r="AC962" i="7"/>
  <c r="AC963" i="7"/>
  <c r="AC964" i="7"/>
  <c r="AC965" i="7"/>
  <c r="AC966" i="7"/>
  <c r="AC967" i="7"/>
  <c r="AC968" i="7"/>
  <c r="AC969" i="7"/>
  <c r="AC970" i="7"/>
  <c r="AC971" i="7"/>
  <c r="AC972" i="7"/>
  <c r="AC973" i="7"/>
  <c r="AC974" i="7"/>
  <c r="AC975" i="7"/>
  <c r="AC976" i="7"/>
  <c r="AC977" i="7"/>
  <c r="AC978" i="7"/>
  <c r="AC979" i="7"/>
  <c r="AC980" i="7"/>
  <c r="AC981" i="7"/>
  <c r="AC982" i="7"/>
  <c r="AC983" i="7"/>
  <c r="AC984" i="7"/>
  <c r="AC985" i="7"/>
  <c r="AC986" i="7"/>
  <c r="AC987" i="7"/>
  <c r="AC988" i="7"/>
  <c r="AC989" i="7"/>
  <c r="AC990" i="7"/>
  <c r="AC991" i="7"/>
  <c r="AC992" i="7"/>
  <c r="AC993" i="7"/>
  <c r="AC994" i="7"/>
  <c r="AC995" i="7"/>
  <c r="AC996" i="7"/>
  <c r="AC997" i="7"/>
  <c r="AC998" i="7"/>
  <c r="AC999" i="7"/>
  <c r="AC1000" i="7"/>
  <c r="AC1001" i="7"/>
  <c r="AC1002" i="7"/>
  <c r="AC1003" i="7"/>
  <c r="AC1004" i="7"/>
  <c r="AC1005" i="7"/>
  <c r="AC1006" i="7"/>
  <c r="AC1007" i="7"/>
  <c r="AC1008" i="7"/>
  <c r="AC1009" i="7"/>
  <c r="AC1010" i="7"/>
  <c r="AC1011" i="7"/>
  <c r="AC1012" i="7"/>
  <c r="AC1013" i="7"/>
  <c r="AC1014" i="7"/>
  <c r="AC1015" i="7"/>
  <c r="AC1016" i="7"/>
  <c r="AC1017" i="7"/>
  <c r="AC1018" i="7"/>
  <c r="AC1019" i="7"/>
  <c r="AC1020" i="7"/>
  <c r="AC1021" i="7"/>
  <c r="AC1022" i="7"/>
  <c r="AC1023" i="7"/>
  <c r="AC1024" i="7"/>
  <c r="AC1025" i="7"/>
  <c r="AC1026" i="7"/>
  <c r="AC1027" i="7"/>
  <c r="AC1028" i="7"/>
  <c r="AC1029" i="7"/>
  <c r="AC1030" i="7"/>
  <c r="AC1031" i="7"/>
  <c r="AC1032" i="7"/>
  <c r="AC1033" i="7"/>
  <c r="AC1034" i="7"/>
  <c r="AC1035" i="7"/>
  <c r="AC1036" i="7"/>
  <c r="AC1037" i="7"/>
  <c r="AC1038" i="7"/>
  <c r="AC1039" i="7"/>
  <c r="AC1040" i="7"/>
  <c r="AC1041" i="7"/>
  <c r="AC1042" i="7"/>
  <c r="AC1043" i="7"/>
  <c r="AC1044" i="7"/>
  <c r="AC1045" i="7"/>
  <c r="AC1046" i="7"/>
  <c r="AC1047" i="7"/>
  <c r="AC1048" i="7"/>
  <c r="AC1049" i="7"/>
  <c r="AC1050" i="7"/>
  <c r="AC1051" i="7"/>
  <c r="AC1052" i="7"/>
  <c r="AC1053" i="7"/>
  <c r="AC1054" i="7"/>
  <c r="AC1055" i="7"/>
  <c r="AC1056" i="7"/>
  <c r="AC1057" i="7"/>
  <c r="AC1058" i="7"/>
  <c r="AC1059" i="7"/>
  <c r="AC1060" i="7"/>
  <c r="AC1061" i="7"/>
  <c r="AC1062" i="7"/>
  <c r="AC1063" i="7"/>
  <c r="AC1064" i="7"/>
  <c r="AC1065" i="7"/>
  <c r="AC1066" i="7"/>
  <c r="AC1067" i="7"/>
  <c r="AC1068" i="7"/>
  <c r="AC1069" i="7"/>
  <c r="AC1070" i="7"/>
  <c r="AC1071" i="7"/>
  <c r="AC1072" i="7"/>
  <c r="AC1073" i="7"/>
  <c r="AC1074" i="7"/>
  <c r="AC1075" i="7"/>
  <c r="AC1076" i="7"/>
  <c r="AC1077" i="7"/>
  <c r="AC1078" i="7"/>
  <c r="AC1079" i="7"/>
  <c r="AC1080" i="7"/>
  <c r="AC1081" i="7"/>
  <c r="AC1082" i="7"/>
  <c r="AC1083" i="7"/>
  <c r="AC1084" i="7"/>
  <c r="AC1085" i="7"/>
  <c r="AC1086" i="7"/>
  <c r="AC1087" i="7"/>
  <c r="AC1088" i="7"/>
  <c r="AC1089" i="7"/>
  <c r="AC1090" i="7"/>
  <c r="AC1091" i="7"/>
  <c r="AC1092" i="7"/>
  <c r="AC1093" i="7"/>
  <c r="AC1094" i="7"/>
  <c r="AC1095" i="7"/>
  <c r="AC1096" i="7"/>
  <c r="AC1097" i="7"/>
  <c r="AC1098" i="7"/>
  <c r="AC1099" i="7"/>
  <c r="AC1100" i="7"/>
  <c r="AC1101" i="7"/>
  <c r="AC1102" i="7"/>
  <c r="AC1103" i="7"/>
  <c r="AC1104" i="7"/>
  <c r="AC1105" i="7"/>
  <c r="AC1106" i="7"/>
  <c r="AC1107" i="7"/>
  <c r="AC1108" i="7"/>
  <c r="AC1109" i="7"/>
  <c r="AC1110" i="7"/>
  <c r="AC1111" i="7"/>
  <c r="AC1112" i="7"/>
  <c r="AC1113" i="7"/>
  <c r="AC1114" i="7"/>
  <c r="AC1115" i="7"/>
  <c r="AC1116" i="7"/>
  <c r="AC1117" i="7"/>
  <c r="AC1118" i="7"/>
  <c r="AC1119" i="7"/>
  <c r="AC1120" i="7"/>
  <c r="AC1121" i="7"/>
  <c r="AC1122" i="7"/>
  <c r="AC1123" i="7"/>
  <c r="AC1124" i="7"/>
  <c r="AC1125" i="7"/>
  <c r="AC1126" i="7"/>
  <c r="AC1127" i="7"/>
  <c r="AC1128" i="7"/>
  <c r="AC1129" i="7"/>
  <c r="AC1130" i="7"/>
  <c r="AC1131" i="7"/>
  <c r="AC1132" i="7"/>
  <c r="AC1133" i="7"/>
  <c r="AC1134" i="7"/>
  <c r="AC1135" i="7"/>
  <c r="AC1136" i="7"/>
  <c r="AC1137" i="7"/>
  <c r="AC1138" i="7"/>
  <c r="AC1139" i="7"/>
  <c r="AC1140" i="7"/>
  <c r="AC1141" i="7"/>
  <c r="AC1142" i="7"/>
  <c r="AC1143" i="7"/>
  <c r="AC1144" i="7"/>
  <c r="AC1145" i="7"/>
  <c r="AC1146" i="7"/>
  <c r="AC1147" i="7"/>
  <c r="AC1148" i="7"/>
  <c r="AC1149" i="7"/>
  <c r="AC1150" i="7"/>
  <c r="AC1151" i="7"/>
  <c r="AC1152" i="7"/>
  <c r="AC1153" i="7"/>
  <c r="AC1154" i="7"/>
  <c r="AC1155" i="7"/>
  <c r="AC1156" i="7"/>
  <c r="AC1157" i="7"/>
  <c r="AC1158" i="7"/>
  <c r="AC1159" i="7"/>
  <c r="AC1160" i="7"/>
  <c r="AC1161" i="7"/>
  <c r="AC1162" i="7"/>
  <c r="AC1163" i="7"/>
  <c r="AC1164" i="7"/>
  <c r="AC1165" i="7"/>
  <c r="AC1166" i="7"/>
  <c r="AC1167" i="7"/>
  <c r="AC1168" i="7"/>
  <c r="AC1169" i="7"/>
  <c r="AC1170" i="7"/>
  <c r="AC1171" i="7"/>
  <c r="AC1172" i="7"/>
  <c r="AC1173" i="7"/>
  <c r="AC1174" i="7"/>
  <c r="AC1175" i="7"/>
  <c r="AC1176" i="7"/>
  <c r="AC1177" i="7"/>
  <c r="AC1178" i="7"/>
  <c r="AC1179" i="7"/>
  <c r="AC1180" i="7"/>
  <c r="AC1181" i="7"/>
  <c r="AC1182" i="7"/>
  <c r="AC1183" i="7"/>
  <c r="AC1184" i="7"/>
  <c r="AC1185" i="7"/>
  <c r="AC1186" i="7"/>
  <c r="AC1187" i="7"/>
  <c r="AC1188" i="7"/>
  <c r="AC1189" i="7"/>
  <c r="AC1190" i="7"/>
  <c r="AC1191" i="7"/>
  <c r="AC1192" i="7"/>
  <c r="AC1193" i="7"/>
  <c r="AC1194" i="7"/>
  <c r="AC1195" i="7"/>
  <c r="AC1196" i="7"/>
  <c r="AC1197" i="7"/>
  <c r="AC1198" i="7"/>
  <c r="AC1199" i="7"/>
  <c r="AC1200" i="7"/>
  <c r="AC1201" i="7"/>
  <c r="AC1202" i="7"/>
  <c r="AC1203" i="7"/>
  <c r="AC1204" i="7"/>
  <c r="AC1205" i="7"/>
  <c r="AC1206" i="7"/>
  <c r="AC1207" i="7"/>
  <c r="AC1208" i="7"/>
  <c r="AC1209" i="7"/>
  <c r="AC1210" i="7"/>
  <c r="AC1211" i="7"/>
  <c r="AC1212" i="7"/>
  <c r="AC1213" i="7"/>
  <c r="AC1214" i="7"/>
  <c r="AC1215" i="7"/>
  <c r="AC1216" i="7"/>
  <c r="AC1217" i="7"/>
  <c r="AC1218" i="7"/>
  <c r="AC1219" i="7"/>
  <c r="AC1220" i="7"/>
  <c r="AC1221" i="7"/>
  <c r="AC1222" i="7"/>
  <c r="AC1223" i="7"/>
  <c r="AC1224" i="7"/>
  <c r="AC1225" i="7"/>
  <c r="AC1226" i="7"/>
  <c r="AC1227" i="7"/>
  <c r="AC1228" i="7"/>
  <c r="AC1229" i="7"/>
  <c r="AC1230" i="7"/>
  <c r="AC1231" i="7"/>
  <c r="AC1232" i="7"/>
  <c r="AC1233" i="7"/>
  <c r="AC1234" i="7"/>
  <c r="AC1235" i="7"/>
  <c r="AC1236" i="7"/>
  <c r="AC1237" i="7"/>
  <c r="AC1238" i="7"/>
  <c r="AC1239" i="7"/>
  <c r="AC1240" i="7"/>
  <c r="AC1241" i="7"/>
  <c r="AC1242" i="7"/>
  <c r="AC1243" i="7"/>
  <c r="AC1244" i="7"/>
  <c r="AC1245" i="7"/>
  <c r="AC1246" i="7"/>
  <c r="AC1247" i="7"/>
  <c r="AC1248" i="7"/>
  <c r="AC1249" i="7"/>
  <c r="AC1250" i="7"/>
  <c r="AC1251" i="7"/>
  <c r="AC1252" i="7"/>
  <c r="AC1253" i="7"/>
  <c r="AC1254" i="7"/>
  <c r="AC1255" i="7"/>
  <c r="AC1256" i="7"/>
  <c r="AC1257" i="7"/>
  <c r="AC1258" i="7"/>
  <c r="AC1259" i="7"/>
  <c r="AC1260" i="7"/>
  <c r="AC1261" i="7"/>
  <c r="AC1262" i="7"/>
  <c r="AC1263" i="7"/>
  <c r="AC1264" i="7"/>
  <c r="AC1265" i="7"/>
  <c r="AC1266" i="7"/>
  <c r="AC1267" i="7"/>
  <c r="AC1268" i="7"/>
  <c r="AC1269" i="7"/>
  <c r="AC1270" i="7"/>
  <c r="AC1271" i="7"/>
  <c r="AC1272" i="7"/>
  <c r="AC1273" i="7"/>
  <c r="AC1274" i="7"/>
  <c r="AC1275" i="7"/>
  <c r="AC1276" i="7"/>
  <c r="AC1277" i="7"/>
  <c r="AC1278" i="7"/>
  <c r="AC1279" i="7"/>
  <c r="AC1280" i="7"/>
  <c r="AC1281" i="7"/>
  <c r="AC1282" i="7"/>
  <c r="AC1283" i="7"/>
  <c r="AC1284" i="7"/>
  <c r="AC1285" i="7"/>
  <c r="AC1286" i="7"/>
  <c r="AC1287" i="7"/>
  <c r="AC1288" i="7"/>
  <c r="AC1289" i="7"/>
  <c r="AC1290" i="7"/>
  <c r="AC1291" i="7"/>
  <c r="AC1292" i="7"/>
  <c r="AC1293" i="7"/>
  <c r="AC1294" i="7"/>
  <c r="AC1295" i="7"/>
  <c r="AC1296" i="7"/>
  <c r="AC1297" i="7"/>
  <c r="AC1298" i="7"/>
  <c r="AC1299" i="7"/>
  <c r="AC1300" i="7"/>
  <c r="AC1301" i="7"/>
  <c r="AC1302" i="7"/>
  <c r="AC1303" i="7"/>
  <c r="AC1304" i="7"/>
  <c r="AC1305" i="7"/>
  <c r="AC1306" i="7"/>
  <c r="AC1307" i="7"/>
  <c r="AC1308" i="7"/>
  <c r="AC1309" i="7"/>
  <c r="AC1310" i="7"/>
  <c r="AC1311" i="7"/>
  <c r="AC1312" i="7"/>
  <c r="AC1313" i="7"/>
  <c r="AC1314" i="7"/>
  <c r="AC1315" i="7"/>
  <c r="AC1316" i="7"/>
  <c r="AC1317" i="7"/>
  <c r="AC1318" i="7"/>
  <c r="AC1319" i="7"/>
  <c r="AC1320" i="7"/>
  <c r="AC1321" i="7"/>
  <c r="AC1322" i="7"/>
  <c r="AC1323" i="7"/>
  <c r="AC1324" i="7"/>
  <c r="AC1325" i="7"/>
  <c r="AC1326" i="7"/>
  <c r="AC1327" i="7"/>
  <c r="AC1328" i="7"/>
  <c r="AC1329" i="7"/>
  <c r="AC1330" i="7"/>
  <c r="AC1331" i="7"/>
  <c r="AC1332" i="7"/>
  <c r="AC1333" i="7"/>
  <c r="AC1334" i="7"/>
  <c r="AC1335" i="7"/>
  <c r="AC1336" i="7"/>
  <c r="AC1337" i="7"/>
  <c r="AC1338" i="7"/>
  <c r="AC1339" i="7"/>
  <c r="AC1340" i="7"/>
  <c r="AC1341" i="7"/>
  <c r="AC1342" i="7"/>
  <c r="AC1343" i="7"/>
  <c r="AC1344" i="7"/>
  <c r="AC1345" i="7"/>
  <c r="AC1346" i="7"/>
  <c r="AC1347" i="7"/>
  <c r="AC1348" i="7"/>
  <c r="AC1349" i="7"/>
  <c r="AC1350" i="7"/>
  <c r="AC1351" i="7"/>
  <c r="AC1352" i="7"/>
  <c r="AC1353" i="7"/>
  <c r="AC1354" i="7"/>
  <c r="AC1355" i="7"/>
  <c r="AC1356" i="7"/>
  <c r="AC1357" i="7"/>
  <c r="AC1358" i="7"/>
  <c r="AC1359" i="7"/>
  <c r="AC1360" i="7"/>
  <c r="AC1361" i="7"/>
  <c r="AC1362" i="7"/>
  <c r="AC1363" i="7"/>
  <c r="AC1364" i="7"/>
  <c r="AC1365" i="7"/>
  <c r="AC1366" i="7"/>
  <c r="AC1367" i="7"/>
  <c r="AC1368" i="7"/>
  <c r="AC1369" i="7"/>
  <c r="AC1370" i="7"/>
  <c r="AC1371" i="7"/>
  <c r="AC1372" i="7"/>
  <c r="AC1373" i="7"/>
  <c r="AC1374" i="7"/>
  <c r="AC1375" i="7"/>
  <c r="AC1376" i="7"/>
  <c r="AC1377" i="7"/>
  <c r="AC1378" i="7"/>
  <c r="AC1379" i="7"/>
  <c r="AC1380" i="7"/>
  <c r="AC1381" i="7"/>
  <c r="AC1382" i="7"/>
  <c r="AC1383" i="7"/>
  <c r="AC1384" i="7"/>
  <c r="AC1385" i="7"/>
  <c r="AC1386" i="7"/>
  <c r="AC1387" i="7"/>
  <c r="AC1388" i="7"/>
  <c r="AC1389" i="7"/>
  <c r="AC1390" i="7"/>
  <c r="AC1391" i="7"/>
  <c r="AC1392" i="7"/>
  <c r="AC1393" i="7"/>
  <c r="AC1394" i="7"/>
  <c r="AC1395" i="7"/>
  <c r="AC1396" i="7"/>
  <c r="AC1397" i="7"/>
  <c r="AC1398" i="7"/>
  <c r="AC1399" i="7"/>
  <c r="AC1400" i="7"/>
  <c r="AC1401" i="7"/>
  <c r="AC1402" i="7"/>
  <c r="AC1403" i="7"/>
  <c r="AC1404" i="7"/>
  <c r="AC1405" i="7"/>
  <c r="AC1406" i="7"/>
  <c r="AC1407" i="7"/>
  <c r="AC1408" i="7"/>
  <c r="AC1409" i="7"/>
  <c r="AC1410" i="7"/>
  <c r="AC1411" i="7"/>
  <c r="AC1412" i="7"/>
  <c r="AC1413" i="7"/>
  <c r="AC1414" i="7"/>
  <c r="AC1415" i="7"/>
  <c r="AC1416" i="7"/>
  <c r="AC1417" i="7"/>
  <c r="AC1418" i="7"/>
  <c r="AC1419" i="7"/>
  <c r="AC1420" i="7"/>
  <c r="AC1421" i="7"/>
  <c r="AC1422" i="7"/>
  <c r="AC1423" i="7"/>
  <c r="AC1424" i="7"/>
  <c r="AC1425" i="7"/>
  <c r="AC1426" i="7"/>
  <c r="AC1427" i="7"/>
  <c r="AC1428" i="7"/>
  <c r="AC1429" i="7"/>
  <c r="AC1430" i="7"/>
  <c r="AC1431" i="7"/>
  <c r="AC1432" i="7"/>
  <c r="AC1433" i="7"/>
  <c r="AC1434" i="7"/>
  <c r="AC1435" i="7"/>
  <c r="AC1436" i="7"/>
  <c r="AC1437" i="7"/>
  <c r="AC1438" i="7"/>
  <c r="AC1439" i="7"/>
  <c r="AC1440" i="7"/>
  <c r="AC1441" i="7"/>
  <c r="AC1442" i="7"/>
  <c r="AC1443" i="7"/>
  <c r="AC1444" i="7"/>
  <c r="AC1445" i="7"/>
  <c r="AC1446" i="7"/>
  <c r="AC1447" i="7"/>
  <c r="AC1448" i="7"/>
  <c r="AC1449" i="7"/>
  <c r="AC1450" i="7"/>
  <c r="AC1451" i="7"/>
  <c r="AC1452" i="7"/>
  <c r="AC1453" i="7"/>
  <c r="AC1454" i="7"/>
  <c r="AC1455" i="7"/>
  <c r="AC1456" i="7"/>
  <c r="AC1457" i="7"/>
  <c r="AC1458" i="7"/>
  <c r="AC1459" i="7"/>
  <c r="AC1460" i="7"/>
  <c r="AC1461" i="7"/>
  <c r="AC1462" i="7"/>
  <c r="AC1463" i="7"/>
  <c r="AC1464" i="7"/>
  <c r="AC1465" i="7"/>
  <c r="AC1466" i="7"/>
  <c r="AC1467" i="7"/>
  <c r="AC1468" i="7"/>
  <c r="AC1469" i="7"/>
  <c r="AC1470" i="7"/>
  <c r="AC1471" i="7"/>
  <c r="AC1472" i="7"/>
  <c r="AC1473" i="7"/>
  <c r="AC1474" i="7"/>
  <c r="AC1475" i="7"/>
  <c r="AC1476" i="7"/>
  <c r="AC1477" i="7"/>
  <c r="AC1478" i="7"/>
  <c r="AC1479" i="7"/>
  <c r="AC1480" i="7"/>
  <c r="AC1481" i="7"/>
  <c r="AC1482" i="7"/>
  <c r="AC1483" i="7"/>
  <c r="AC1484" i="7"/>
  <c r="AC1485" i="7"/>
  <c r="AC1486" i="7"/>
  <c r="AC1487" i="7"/>
  <c r="AC1488" i="7"/>
  <c r="AC1489" i="7"/>
  <c r="AC1490" i="7"/>
  <c r="AC1491" i="7"/>
  <c r="AC1492" i="7"/>
  <c r="AC1493" i="7"/>
  <c r="AC1494" i="7"/>
  <c r="AC1495" i="7"/>
  <c r="AC1496" i="7"/>
  <c r="AC1497" i="7"/>
  <c r="AC1498" i="7"/>
  <c r="AC1499" i="7"/>
  <c r="AC1500" i="7"/>
  <c r="AC1501" i="7"/>
  <c r="AC1502" i="7"/>
  <c r="AC1503" i="7"/>
  <c r="AC1504" i="7"/>
  <c r="AC1505" i="7"/>
  <c r="AC1506" i="7"/>
  <c r="AC1507" i="7"/>
  <c r="AC1508" i="7"/>
  <c r="AC1509" i="7"/>
  <c r="AC1510" i="7"/>
  <c r="AC1511" i="7"/>
  <c r="AC1512" i="7"/>
  <c r="AC1513" i="7"/>
  <c r="AC1514" i="7"/>
  <c r="AC1515" i="7"/>
  <c r="AC1516" i="7"/>
  <c r="AC1517" i="7"/>
  <c r="AC1518" i="7"/>
  <c r="AC1519" i="7"/>
  <c r="AC1520" i="7"/>
  <c r="AC1521" i="7"/>
  <c r="AC1522" i="7"/>
  <c r="AC1523" i="7"/>
  <c r="AC1524" i="7"/>
  <c r="AC1525" i="7"/>
  <c r="AC1526" i="7"/>
  <c r="AC1527" i="7"/>
  <c r="AC1528" i="7"/>
  <c r="AC1529" i="7"/>
  <c r="AC1530" i="7"/>
  <c r="AC1531" i="7"/>
  <c r="AC1532" i="7"/>
  <c r="AC1533" i="7"/>
  <c r="AC1534" i="7"/>
  <c r="AC1535" i="7"/>
  <c r="AC1536" i="7"/>
  <c r="AC1537" i="7"/>
  <c r="AC1538" i="7"/>
  <c r="AC1539" i="7"/>
  <c r="AC1540" i="7"/>
  <c r="AC1541" i="7"/>
  <c r="AC1542" i="7"/>
  <c r="AC1543" i="7"/>
  <c r="AC1544" i="7"/>
  <c r="AC1545" i="7"/>
  <c r="AC1546" i="7"/>
  <c r="AC1547" i="7"/>
  <c r="AC1548" i="7"/>
  <c r="AC1549" i="7"/>
  <c r="AC1550" i="7"/>
  <c r="AC2" i="7"/>
  <c r="AC699" i="10"/>
  <c r="AC698" i="10"/>
  <c r="AC697" i="10"/>
  <c r="AC696" i="10"/>
  <c r="AC695" i="10"/>
  <c r="AC694" i="10"/>
  <c r="AC693" i="10"/>
  <c r="AC692" i="10"/>
  <c r="AC691" i="10"/>
  <c r="AC690" i="10"/>
  <c r="AC689" i="10"/>
  <c r="AC688" i="10"/>
  <c r="AC687" i="10"/>
  <c r="AC686" i="10"/>
  <c r="AC685" i="10"/>
  <c r="AC684" i="10"/>
  <c r="AC683" i="10"/>
  <c r="AC682" i="10"/>
  <c r="AC681" i="10"/>
  <c r="AC680" i="10"/>
  <c r="AC679" i="10"/>
  <c r="AC678" i="10"/>
  <c r="AC677" i="10"/>
  <c r="AC676" i="10"/>
  <c r="AC675" i="10"/>
  <c r="AC674" i="10"/>
  <c r="AC673" i="10"/>
  <c r="AC672" i="10"/>
  <c r="AC671" i="10"/>
  <c r="AC670" i="10"/>
  <c r="AC669" i="10"/>
  <c r="AC668" i="10"/>
  <c r="AC667" i="10"/>
  <c r="AC666" i="10"/>
  <c r="AC665" i="10"/>
  <c r="AC664" i="10"/>
  <c r="AC663" i="10"/>
  <c r="AC662" i="10"/>
  <c r="AC661" i="10"/>
  <c r="AC660" i="10"/>
  <c r="AC659" i="10"/>
  <c r="AC658" i="10"/>
  <c r="AC657" i="10"/>
  <c r="AC656" i="10"/>
  <c r="AC655" i="10"/>
  <c r="AC654" i="10"/>
  <c r="AC653" i="10"/>
  <c r="AC652" i="10"/>
  <c r="AC651" i="10"/>
  <c r="AC650" i="10"/>
  <c r="AC649" i="10"/>
  <c r="AC648" i="10"/>
  <c r="AC647" i="10"/>
  <c r="AC646" i="10"/>
  <c r="AC645" i="10"/>
  <c r="AC644" i="10"/>
  <c r="AC643" i="10"/>
  <c r="AC642" i="10"/>
  <c r="AC641" i="10"/>
  <c r="AC640" i="10"/>
  <c r="AC639" i="10"/>
  <c r="AC638" i="10"/>
  <c r="AC637" i="10"/>
  <c r="AC636" i="10"/>
  <c r="AC635" i="10"/>
  <c r="AC634" i="10"/>
  <c r="AC633" i="10"/>
  <c r="AC632" i="10"/>
  <c r="AC631" i="10"/>
  <c r="AC630" i="10"/>
  <c r="AC629" i="10"/>
  <c r="AC628" i="10"/>
  <c r="AC627" i="10"/>
  <c r="AC626" i="10"/>
  <c r="AC625" i="10"/>
  <c r="AC624" i="10"/>
  <c r="AC623" i="10"/>
  <c r="AC622" i="10"/>
  <c r="AC621" i="10"/>
  <c r="AC620" i="10"/>
  <c r="AC619" i="10"/>
  <c r="AC618" i="10"/>
  <c r="AC617" i="10"/>
  <c r="AC616" i="10"/>
  <c r="AC615" i="10"/>
  <c r="AC614" i="10"/>
  <c r="AC613" i="10"/>
  <c r="AC612" i="10"/>
  <c r="AC611" i="10"/>
  <c r="AC610" i="10"/>
  <c r="AC609" i="10"/>
  <c r="AC608" i="10"/>
  <c r="AC607" i="10"/>
  <c r="AC606" i="10"/>
  <c r="AC605" i="10"/>
  <c r="AC604" i="10"/>
  <c r="AC603" i="10"/>
  <c r="AC602" i="10"/>
  <c r="AC601" i="10"/>
  <c r="AC600" i="10"/>
  <c r="AC599" i="10"/>
  <c r="AC598" i="10"/>
  <c r="AC597" i="10"/>
  <c r="AC596" i="10"/>
  <c r="AC595" i="10"/>
  <c r="AC594" i="10"/>
  <c r="AC593" i="10"/>
  <c r="AC592" i="10"/>
  <c r="AC591" i="10"/>
  <c r="AC590" i="10"/>
  <c r="AC589" i="10"/>
  <c r="AC588" i="10"/>
  <c r="AC587" i="10"/>
  <c r="AC586" i="10"/>
  <c r="AC585" i="10"/>
  <c r="AC584" i="10"/>
  <c r="AC583" i="10"/>
  <c r="AC582" i="10"/>
  <c r="AC581" i="10"/>
  <c r="AC580" i="10"/>
  <c r="AC579" i="10"/>
  <c r="AC578" i="10"/>
  <c r="AC577" i="10"/>
  <c r="AC576" i="10"/>
  <c r="AC575" i="10"/>
  <c r="AC574" i="10"/>
  <c r="AC573" i="10"/>
  <c r="AC572" i="10"/>
  <c r="AC571" i="10"/>
  <c r="AC570" i="10"/>
  <c r="AC569" i="10"/>
  <c r="AC568" i="10"/>
  <c r="AC567" i="10"/>
  <c r="AC566" i="10"/>
  <c r="AC565" i="10"/>
  <c r="AC564" i="10"/>
  <c r="AC563" i="10"/>
  <c r="AC562" i="10"/>
  <c r="AC561" i="10"/>
  <c r="AC560" i="10"/>
  <c r="AC559" i="10"/>
  <c r="AC558" i="10"/>
  <c r="AC557" i="10"/>
  <c r="AC556" i="10"/>
  <c r="AC555" i="10"/>
  <c r="AC554" i="10"/>
  <c r="AC553" i="10"/>
  <c r="AC552" i="10"/>
  <c r="AC551" i="10"/>
  <c r="AC550" i="10"/>
  <c r="AC549" i="10"/>
  <c r="AC548" i="10"/>
  <c r="AC547" i="10"/>
  <c r="AC546" i="10"/>
  <c r="AC545" i="10"/>
  <c r="AC544" i="10"/>
  <c r="AC543" i="10"/>
  <c r="AC542" i="10"/>
  <c r="AC541" i="10"/>
  <c r="AC540" i="10"/>
  <c r="AC539" i="10"/>
  <c r="AC538" i="10"/>
  <c r="AC537" i="10"/>
  <c r="AC536" i="10"/>
  <c r="AC535" i="10"/>
  <c r="AC534" i="10"/>
  <c r="AC533" i="10"/>
  <c r="AC532" i="10"/>
  <c r="AC531" i="10"/>
  <c r="AC530" i="10"/>
  <c r="AC529" i="10"/>
  <c r="AC528" i="10"/>
  <c r="AC527" i="10"/>
  <c r="AC526" i="10"/>
  <c r="AC525" i="10"/>
  <c r="AC524" i="10"/>
  <c r="AC523" i="10"/>
  <c r="AC522" i="10"/>
  <c r="AC521" i="10"/>
  <c r="AC520" i="10"/>
  <c r="AC519" i="10"/>
  <c r="AC518" i="10"/>
  <c r="AC517" i="10"/>
  <c r="AC516" i="10"/>
  <c r="AC515" i="10"/>
  <c r="AC514" i="10"/>
  <c r="AC513" i="10"/>
  <c r="AC512" i="10"/>
  <c r="AC511" i="10"/>
  <c r="AC510" i="10"/>
  <c r="AC509" i="10"/>
  <c r="AC508" i="10"/>
  <c r="AC507" i="10"/>
  <c r="AC506" i="10"/>
  <c r="AC505" i="10"/>
  <c r="AC504" i="10"/>
  <c r="AC503" i="10"/>
  <c r="AC502" i="10"/>
  <c r="AC501" i="10"/>
  <c r="AC500" i="10"/>
  <c r="AC499" i="10"/>
  <c r="AC498" i="10"/>
  <c r="AC497" i="10"/>
  <c r="AC496" i="10"/>
  <c r="AC495" i="10"/>
  <c r="AC494" i="10"/>
  <c r="AC493" i="10"/>
  <c r="AC492" i="10"/>
  <c r="AC491" i="10"/>
  <c r="AC490" i="10"/>
  <c r="AC489" i="10"/>
  <c r="AC488" i="10"/>
  <c r="AC487" i="10"/>
  <c r="AC486" i="10"/>
  <c r="AC485" i="10"/>
  <c r="AC484" i="10"/>
  <c r="AC483" i="10"/>
  <c r="AC482" i="10"/>
  <c r="AC481" i="10"/>
  <c r="AC480" i="10"/>
  <c r="AC479" i="10"/>
  <c r="AC478" i="10"/>
  <c r="AC477" i="10"/>
  <c r="AC476" i="10"/>
  <c r="AC475" i="10"/>
  <c r="AC474" i="10"/>
  <c r="AC473" i="10"/>
  <c r="AC472" i="10"/>
  <c r="AC471" i="10"/>
  <c r="AC470" i="10"/>
  <c r="AC469" i="10"/>
  <c r="AC468" i="10"/>
  <c r="AC467" i="10"/>
  <c r="AC466" i="10"/>
  <c r="AC465" i="10"/>
  <c r="AC464" i="10"/>
  <c r="AC463" i="10"/>
  <c r="AC462" i="10"/>
  <c r="AC461" i="10"/>
  <c r="AC460" i="10"/>
  <c r="AC459" i="10"/>
  <c r="AC458" i="10"/>
  <c r="AC457" i="10"/>
  <c r="AC456" i="10"/>
  <c r="AC455" i="10"/>
  <c r="AC454" i="10"/>
  <c r="AC453" i="10"/>
  <c r="AC452" i="10"/>
  <c r="AC451" i="10"/>
  <c r="AC450" i="10"/>
  <c r="AC449" i="10"/>
  <c r="AC448" i="10"/>
  <c r="AC447" i="10"/>
  <c r="AC446" i="10"/>
  <c r="AC445" i="10"/>
  <c r="AC444" i="10"/>
  <c r="AC443" i="10"/>
  <c r="AC442" i="10"/>
  <c r="AC441" i="10"/>
  <c r="AC440" i="10"/>
  <c r="AC439" i="10"/>
  <c r="AC438" i="10"/>
  <c r="AC437" i="10"/>
  <c r="AC436" i="10"/>
  <c r="AC435" i="10"/>
  <c r="AC434" i="10"/>
  <c r="AC433" i="10"/>
  <c r="AC432" i="10"/>
  <c r="AC431" i="10"/>
  <c r="AC430" i="10"/>
  <c r="AC429" i="10"/>
  <c r="AC428" i="10"/>
  <c r="AC427" i="10"/>
  <c r="AC426" i="10"/>
  <c r="AC425" i="10"/>
  <c r="AC424" i="10"/>
  <c r="AC423" i="10"/>
  <c r="AC422" i="10"/>
  <c r="AC421" i="10"/>
  <c r="AC420" i="10"/>
  <c r="AC419" i="10"/>
  <c r="AC418" i="10"/>
  <c r="AC417" i="10"/>
  <c r="AC416" i="10"/>
  <c r="AC415" i="10"/>
  <c r="AC414" i="10"/>
  <c r="AC413" i="10"/>
  <c r="AC412" i="10"/>
  <c r="AC411" i="10"/>
  <c r="AC410" i="10"/>
  <c r="AC409" i="10"/>
  <c r="AC408" i="10"/>
  <c r="AC407" i="10"/>
  <c r="AC406" i="10"/>
  <c r="AC405" i="10"/>
  <c r="AC404" i="10"/>
  <c r="AC403" i="10"/>
  <c r="AC402" i="10"/>
  <c r="AC401" i="10"/>
  <c r="AC400" i="10"/>
  <c r="AC399" i="10"/>
  <c r="AC398" i="10"/>
  <c r="AC397" i="10"/>
  <c r="AC396" i="10"/>
  <c r="AC395" i="10"/>
  <c r="AC394" i="10"/>
  <c r="AC393" i="10"/>
  <c r="AC392" i="10"/>
  <c r="AC391" i="10"/>
  <c r="AC390" i="10"/>
  <c r="AC389" i="10"/>
  <c r="AC388" i="10"/>
  <c r="AC387" i="10"/>
  <c r="AC386" i="10"/>
  <c r="AC385" i="10"/>
  <c r="AC384" i="10"/>
  <c r="AC383" i="10"/>
  <c r="AC382" i="10"/>
  <c r="AC381" i="10"/>
  <c r="AC380" i="10"/>
  <c r="AC379" i="10"/>
  <c r="AC378" i="10"/>
  <c r="AC377" i="10"/>
  <c r="AC376" i="10"/>
  <c r="AC375" i="10"/>
  <c r="AC374" i="10"/>
  <c r="AC373" i="10"/>
  <c r="AC372" i="10"/>
  <c r="AC371" i="10"/>
  <c r="AC370" i="10"/>
  <c r="AC369" i="10"/>
  <c r="AC368" i="10"/>
  <c r="AC367" i="10"/>
  <c r="AC366" i="10"/>
  <c r="AC365" i="10"/>
  <c r="AC364" i="10"/>
  <c r="AC363" i="10"/>
  <c r="AC362" i="10"/>
  <c r="AC361" i="10"/>
  <c r="AC360" i="10"/>
  <c r="AC359" i="10"/>
  <c r="AC358" i="10"/>
  <c r="AC357" i="10"/>
  <c r="AC356" i="10"/>
  <c r="AC355" i="10"/>
  <c r="AC354" i="10"/>
  <c r="AC353" i="10"/>
  <c r="AC352" i="10"/>
  <c r="AC351" i="10"/>
  <c r="AC350" i="10"/>
  <c r="AC349" i="10"/>
  <c r="AC348" i="10"/>
  <c r="AC347" i="10"/>
  <c r="AC346" i="10"/>
  <c r="AC345" i="10"/>
  <c r="AC344" i="10"/>
  <c r="AC343" i="10"/>
  <c r="AC342" i="10"/>
  <c r="AC341" i="10"/>
  <c r="AC340" i="10"/>
  <c r="AC339" i="10"/>
  <c r="AC338" i="10"/>
  <c r="AC337" i="10"/>
  <c r="AC336" i="10"/>
  <c r="AC335" i="10"/>
  <c r="AC334" i="10"/>
  <c r="AC333" i="10"/>
  <c r="AC332" i="10"/>
  <c r="AC331" i="10"/>
  <c r="AC330" i="10"/>
  <c r="AC329" i="10"/>
  <c r="AC328" i="10"/>
  <c r="AC327" i="10"/>
  <c r="AC326" i="10"/>
  <c r="AC325" i="10"/>
  <c r="AC324" i="10"/>
  <c r="AC323" i="10"/>
  <c r="AC322" i="10"/>
  <c r="AC321" i="10"/>
  <c r="AC320" i="10"/>
  <c r="AC319" i="10"/>
  <c r="AC318" i="10"/>
  <c r="AC317" i="10"/>
  <c r="AC316" i="10"/>
  <c r="AC315" i="10"/>
  <c r="AC314" i="10"/>
  <c r="AC313" i="10"/>
  <c r="AC312" i="10"/>
  <c r="AC311" i="10"/>
  <c r="AC310" i="10"/>
  <c r="AC309" i="10"/>
  <c r="AC308" i="10"/>
  <c r="AC307" i="10"/>
  <c r="AC306" i="10"/>
  <c r="AC305" i="10"/>
  <c r="AC304" i="10"/>
  <c r="AC303" i="10"/>
  <c r="AC302" i="10"/>
  <c r="AC301" i="10"/>
  <c r="AC300" i="10"/>
  <c r="AC299" i="10"/>
  <c r="AC298" i="10"/>
  <c r="AC297" i="10"/>
  <c r="AC296" i="10"/>
  <c r="AC295" i="10"/>
  <c r="AC294" i="10"/>
  <c r="AC293" i="10"/>
  <c r="AC292" i="10"/>
  <c r="AC291" i="10"/>
  <c r="AC290" i="10"/>
  <c r="AC289" i="10"/>
  <c r="AC288" i="10"/>
  <c r="AC287" i="10"/>
  <c r="AC286" i="10"/>
  <c r="AC285" i="10"/>
  <c r="AC284" i="10"/>
  <c r="AC283" i="10"/>
  <c r="AC282" i="10"/>
  <c r="AC281" i="10"/>
  <c r="AC280" i="10"/>
  <c r="AC279" i="10"/>
  <c r="AC278" i="10"/>
  <c r="AC277" i="10"/>
  <c r="AC276" i="10"/>
  <c r="AC275" i="10"/>
  <c r="AC274" i="10"/>
  <c r="AC273" i="10"/>
  <c r="AC272" i="10"/>
  <c r="AC271" i="10"/>
  <c r="AC270" i="10"/>
  <c r="AC269" i="10"/>
  <c r="AC268" i="10"/>
  <c r="AC267" i="10"/>
  <c r="AC266" i="10"/>
  <c r="AC265" i="10"/>
  <c r="AC264" i="10"/>
  <c r="AC263" i="10"/>
  <c r="AC262" i="10"/>
  <c r="AC261" i="10"/>
  <c r="AC260" i="10"/>
  <c r="AC259" i="10"/>
  <c r="AC258" i="10"/>
  <c r="AC257" i="10"/>
  <c r="AC256" i="10"/>
  <c r="AC255" i="10"/>
  <c r="AC254" i="10"/>
  <c r="AC253" i="10"/>
  <c r="AC252" i="10"/>
  <c r="AC251" i="10"/>
  <c r="AC250" i="10"/>
  <c r="AC249" i="10"/>
  <c r="AC248" i="10"/>
  <c r="AC247" i="10"/>
  <c r="AC246" i="10"/>
  <c r="AC245" i="10"/>
  <c r="AC244" i="10"/>
  <c r="AC243" i="10"/>
  <c r="AC242" i="10"/>
  <c r="AC241" i="10"/>
  <c r="AC240" i="10"/>
  <c r="AC239" i="10"/>
  <c r="AC238" i="10"/>
  <c r="AC237" i="10"/>
  <c r="AC236" i="10"/>
  <c r="AC235" i="10"/>
  <c r="AC234" i="10"/>
  <c r="AC233" i="10"/>
  <c r="AC232" i="10"/>
  <c r="AC231" i="10"/>
  <c r="AC230" i="10"/>
  <c r="AC229" i="10"/>
  <c r="AC228" i="10"/>
  <c r="AC227" i="10"/>
  <c r="AC226" i="10"/>
  <c r="AC225" i="10"/>
  <c r="AC224" i="10"/>
  <c r="AC223" i="10"/>
  <c r="AC222" i="10"/>
  <c r="AC221" i="10"/>
  <c r="AC220" i="10"/>
  <c r="AC219" i="10"/>
  <c r="AC218" i="10"/>
  <c r="AC217" i="10"/>
  <c r="AC216" i="10"/>
  <c r="AC215" i="10"/>
  <c r="AC214" i="10"/>
  <c r="AC213" i="10"/>
  <c r="AC212" i="10"/>
  <c r="AC211" i="10"/>
  <c r="AC210" i="10"/>
  <c r="AC209" i="10"/>
  <c r="AC208" i="10"/>
  <c r="AC207" i="10"/>
  <c r="AC206" i="10"/>
  <c r="AC205" i="10"/>
  <c r="AC204" i="10"/>
  <c r="AC203" i="10"/>
  <c r="AC202" i="10"/>
  <c r="AC201" i="10"/>
  <c r="AC200" i="10"/>
  <c r="AC199" i="10"/>
  <c r="AC198" i="10"/>
  <c r="AC197" i="10"/>
  <c r="AC196" i="10"/>
  <c r="AC195" i="10"/>
  <c r="AC194" i="10"/>
  <c r="AC193" i="10"/>
  <c r="AC192" i="10"/>
  <c r="AC191" i="10"/>
  <c r="AC190" i="10"/>
  <c r="AC189" i="10"/>
  <c r="AC188" i="10"/>
  <c r="AC187" i="10"/>
  <c r="AC186" i="10"/>
  <c r="AC185" i="10"/>
  <c r="AC184" i="10"/>
  <c r="AC183" i="10"/>
  <c r="AC182" i="10"/>
  <c r="AC181" i="10"/>
  <c r="AC180" i="10"/>
  <c r="AC179" i="10"/>
  <c r="AC178" i="10"/>
  <c r="AC177" i="10"/>
  <c r="AC176" i="10"/>
  <c r="AC175" i="10"/>
  <c r="AC174" i="10"/>
  <c r="AC173" i="10"/>
  <c r="AC172" i="10"/>
  <c r="AC171" i="10"/>
  <c r="AC170" i="10"/>
  <c r="AC169" i="10"/>
  <c r="AC168" i="10"/>
  <c r="AC167" i="10"/>
  <c r="AC166" i="10"/>
  <c r="AC165" i="10"/>
  <c r="AC164" i="10"/>
  <c r="AC163" i="10"/>
  <c r="AC162" i="10"/>
  <c r="AC161" i="10"/>
  <c r="AC160" i="10"/>
  <c r="AC159" i="10"/>
  <c r="AC158" i="10"/>
  <c r="AC157" i="10"/>
  <c r="AC156" i="10"/>
  <c r="AC155" i="10"/>
  <c r="AC154" i="10"/>
  <c r="AC153" i="10"/>
  <c r="AC152" i="10"/>
  <c r="AC151" i="10"/>
  <c r="AC150" i="10"/>
  <c r="AC149" i="10"/>
  <c r="AC148" i="10"/>
  <c r="AC147" i="10"/>
  <c r="AC146" i="10"/>
  <c r="AC145" i="10"/>
  <c r="AC144" i="10"/>
  <c r="AC143" i="10"/>
  <c r="AC142" i="10"/>
  <c r="AC141" i="10"/>
  <c r="AC140" i="10"/>
  <c r="AC139" i="10"/>
  <c r="AC138" i="10"/>
  <c r="AC137" i="10"/>
  <c r="AC136" i="10"/>
  <c r="AC135" i="10"/>
  <c r="AC134" i="10"/>
  <c r="AC133" i="10"/>
  <c r="AC132" i="10"/>
  <c r="AC131" i="10"/>
  <c r="AC130" i="10"/>
  <c r="AC129" i="10"/>
  <c r="AC128" i="10"/>
  <c r="AC127" i="10"/>
  <c r="AC126" i="10"/>
  <c r="AC125" i="10"/>
  <c r="AC124" i="10"/>
  <c r="AC123" i="10"/>
  <c r="AC122" i="10"/>
  <c r="AC121" i="10"/>
  <c r="AC120" i="10"/>
  <c r="AC119" i="10"/>
  <c r="AC118" i="10"/>
  <c r="AC117" i="10"/>
  <c r="AC116" i="10"/>
  <c r="AC115" i="10"/>
  <c r="AC114" i="10"/>
  <c r="AC113" i="10"/>
  <c r="AC112" i="10"/>
  <c r="AC111" i="10"/>
  <c r="AC110" i="10"/>
  <c r="AC109" i="10"/>
  <c r="AC108" i="10"/>
  <c r="AC107" i="10"/>
  <c r="AC106" i="10"/>
  <c r="AC105" i="10"/>
  <c r="AC104" i="10"/>
  <c r="AC103" i="10"/>
  <c r="AC102" i="10"/>
  <c r="AC101" i="10"/>
  <c r="AC100" i="10"/>
  <c r="AC99" i="10"/>
  <c r="AC98" i="10"/>
  <c r="AC97" i="10"/>
  <c r="AC96" i="10"/>
  <c r="AC95" i="10"/>
  <c r="AC94" i="10"/>
  <c r="AC93" i="10"/>
  <c r="AC92" i="10"/>
  <c r="AC91" i="10"/>
  <c r="AC90" i="10"/>
  <c r="AC89" i="10"/>
  <c r="AC88" i="10"/>
  <c r="AC87" i="10"/>
  <c r="AC86" i="10"/>
  <c r="AC85" i="10"/>
  <c r="AC84" i="10"/>
  <c r="AC83" i="10"/>
  <c r="AC82" i="10"/>
  <c r="AC81" i="10"/>
  <c r="AC80" i="10"/>
  <c r="AC79" i="10"/>
  <c r="AC78" i="10"/>
  <c r="AC77" i="10"/>
  <c r="AC76" i="10"/>
  <c r="AC75" i="10"/>
  <c r="AC74" i="10"/>
  <c r="AC73" i="10"/>
  <c r="AC72" i="10"/>
  <c r="AC71" i="10"/>
  <c r="AC70" i="10"/>
  <c r="AC69" i="10"/>
  <c r="AC68" i="10"/>
  <c r="AC67" i="10"/>
  <c r="AC66" i="10"/>
  <c r="AC65" i="10"/>
  <c r="AC64" i="10"/>
  <c r="AC63" i="10"/>
  <c r="AC62" i="10"/>
  <c r="AC61" i="10"/>
  <c r="AC60" i="10"/>
  <c r="AC59" i="10"/>
  <c r="AC58" i="10"/>
  <c r="AC57" i="10"/>
  <c r="AC56" i="10"/>
  <c r="AC55" i="10"/>
  <c r="AC54" i="10"/>
  <c r="AC53" i="10"/>
  <c r="AC52" i="10"/>
  <c r="AC51" i="10"/>
  <c r="AC50" i="10"/>
  <c r="AC49" i="10"/>
  <c r="AC48" i="10"/>
  <c r="AC47" i="10"/>
  <c r="AC46" i="10"/>
  <c r="AC45" i="10"/>
  <c r="AC44" i="10"/>
  <c r="AC43" i="10"/>
  <c r="AC42" i="10"/>
  <c r="AC41" i="10"/>
  <c r="AC40" i="10"/>
  <c r="AC39" i="10"/>
  <c r="AC38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C6" i="10"/>
  <c r="AC5" i="10"/>
  <c r="AC4" i="10"/>
  <c r="AC3" i="10"/>
  <c r="AC2" i="10"/>
  <c r="AB1505" i="7"/>
  <c r="AD1505" i="7"/>
  <c r="AB1506" i="7"/>
  <c r="AD1506" i="7"/>
  <c r="AB1507" i="7"/>
  <c r="AD1507" i="7"/>
  <c r="AB1508" i="7"/>
  <c r="AD1508" i="7"/>
  <c r="AB1509" i="7"/>
  <c r="AD1509" i="7"/>
  <c r="AB1510" i="7"/>
  <c r="AD1510" i="7"/>
  <c r="AB1511" i="7"/>
  <c r="AD1511" i="7"/>
  <c r="AB1512" i="7"/>
  <c r="AD1512" i="7"/>
  <c r="AB1513" i="7"/>
  <c r="AD1513" i="7"/>
  <c r="AB1514" i="7"/>
  <c r="AD1514" i="7"/>
  <c r="AB1515" i="7"/>
  <c r="AD1515" i="7"/>
  <c r="AB1516" i="7"/>
  <c r="AD1516" i="7"/>
  <c r="AB1517" i="7"/>
  <c r="AD1517" i="7"/>
  <c r="AB1518" i="7"/>
  <c r="AD1518" i="7"/>
  <c r="AB1519" i="7"/>
  <c r="AD1519" i="7"/>
  <c r="AB1520" i="7"/>
  <c r="AD1520" i="7"/>
  <c r="AB1521" i="7"/>
  <c r="AD1521" i="7"/>
  <c r="AB1522" i="7"/>
  <c r="AD1522" i="7"/>
  <c r="AB1523" i="7"/>
  <c r="AD1523" i="7"/>
  <c r="AB1524" i="7"/>
  <c r="AD1524" i="7"/>
  <c r="AB1525" i="7"/>
  <c r="AD1525" i="7"/>
  <c r="AB1526" i="7"/>
  <c r="AD1526" i="7"/>
  <c r="AB1527" i="7"/>
  <c r="AD1527" i="7"/>
  <c r="AB1528" i="7"/>
  <c r="AD1528" i="7"/>
  <c r="AB1529" i="7"/>
  <c r="AD1529" i="7"/>
  <c r="AB1530" i="7"/>
  <c r="AD1530" i="7"/>
  <c r="AB1531" i="7"/>
  <c r="AD1531" i="7"/>
  <c r="AB1532" i="7"/>
  <c r="AD1532" i="7"/>
  <c r="AB1533" i="7"/>
  <c r="AD1533" i="7"/>
  <c r="AB1534" i="7"/>
  <c r="AD1534" i="7"/>
  <c r="AB1535" i="7"/>
  <c r="AD1535" i="7"/>
  <c r="AB1536" i="7"/>
  <c r="AD1536" i="7"/>
  <c r="AB1537" i="7"/>
  <c r="AD1537" i="7"/>
  <c r="AB1538" i="7"/>
  <c r="AD1538" i="7"/>
  <c r="AB1539" i="7"/>
  <c r="AD1539" i="7"/>
  <c r="AB1540" i="7"/>
  <c r="AD1540" i="7"/>
  <c r="AB1541" i="7"/>
  <c r="AD1541" i="7"/>
  <c r="AB1542" i="7"/>
  <c r="AD1542" i="7"/>
  <c r="AB1543" i="7"/>
  <c r="AD1543" i="7"/>
  <c r="AB1544" i="7"/>
  <c r="AD1544" i="7"/>
  <c r="AB1545" i="7"/>
  <c r="AD1545" i="7"/>
  <c r="AB1546" i="7"/>
  <c r="AD1546" i="7"/>
  <c r="AB1547" i="7"/>
  <c r="AD1547" i="7"/>
  <c r="AB1548" i="7"/>
  <c r="AD1548" i="7"/>
  <c r="AB1549" i="7"/>
  <c r="AD1549" i="7"/>
  <c r="AB1550" i="7"/>
  <c r="AD1550" i="7"/>
  <c r="AB1379" i="7"/>
  <c r="AD1379" i="7"/>
  <c r="AB1380" i="7"/>
  <c r="AD1380" i="7"/>
  <c r="AB1381" i="7"/>
  <c r="AD1381" i="7"/>
  <c r="AB1382" i="7"/>
  <c r="AD1382" i="7"/>
  <c r="AB1383" i="7"/>
  <c r="AD1383" i="7"/>
  <c r="AB1384" i="7"/>
  <c r="AD1384" i="7"/>
  <c r="AB1385" i="7"/>
  <c r="AD1385" i="7"/>
  <c r="AB1386" i="7"/>
  <c r="AD1386" i="7"/>
  <c r="AB1387" i="7"/>
  <c r="AD1387" i="7"/>
  <c r="AB1388" i="7"/>
  <c r="AD1388" i="7"/>
  <c r="AB1389" i="7"/>
  <c r="AD1389" i="7"/>
  <c r="AB1390" i="7"/>
  <c r="AD1390" i="7"/>
  <c r="AB1391" i="7"/>
  <c r="AD1391" i="7"/>
  <c r="AB1392" i="7"/>
  <c r="AD1392" i="7"/>
  <c r="AB1393" i="7"/>
  <c r="AD1393" i="7"/>
  <c r="AB1394" i="7"/>
  <c r="AD1394" i="7"/>
  <c r="AB1395" i="7"/>
  <c r="AD1395" i="7"/>
  <c r="AB1396" i="7"/>
  <c r="AD1396" i="7"/>
  <c r="AB1397" i="7"/>
  <c r="AD1397" i="7"/>
  <c r="AB1398" i="7"/>
  <c r="AD1398" i="7"/>
  <c r="AB1399" i="7"/>
  <c r="AD1399" i="7"/>
  <c r="AB1400" i="7"/>
  <c r="AD1400" i="7"/>
  <c r="AB1401" i="7"/>
  <c r="AD1401" i="7"/>
  <c r="AB1402" i="7"/>
  <c r="AD1402" i="7"/>
  <c r="AB1403" i="7"/>
  <c r="AD1403" i="7"/>
  <c r="AB1404" i="7"/>
  <c r="AD1404" i="7"/>
  <c r="AB1405" i="7"/>
  <c r="AD1405" i="7"/>
  <c r="AB1406" i="7"/>
  <c r="AD1406" i="7"/>
  <c r="AB1407" i="7"/>
  <c r="AD1407" i="7"/>
  <c r="AB1408" i="7"/>
  <c r="AD1408" i="7"/>
  <c r="AB1409" i="7"/>
  <c r="AD1409" i="7"/>
  <c r="AB1410" i="7"/>
  <c r="AD1410" i="7"/>
  <c r="AB1411" i="7"/>
  <c r="AD1411" i="7"/>
  <c r="AB1412" i="7"/>
  <c r="AD1412" i="7"/>
  <c r="AB1413" i="7"/>
  <c r="AD1413" i="7"/>
  <c r="AB1414" i="7"/>
  <c r="AD1414" i="7"/>
  <c r="AB1415" i="7"/>
  <c r="AD1415" i="7"/>
  <c r="AB1416" i="7"/>
  <c r="AD1416" i="7"/>
  <c r="AB1417" i="7"/>
  <c r="AD1417" i="7"/>
  <c r="AB1418" i="7"/>
  <c r="AD1418" i="7"/>
  <c r="AB1419" i="7"/>
  <c r="AD1419" i="7"/>
  <c r="AB1420" i="7"/>
  <c r="AD1420" i="7"/>
  <c r="AB1421" i="7"/>
  <c r="AD1421" i="7"/>
  <c r="AB1422" i="7"/>
  <c r="AD1422" i="7"/>
  <c r="AB1423" i="7"/>
  <c r="AD1423" i="7"/>
  <c r="AB1424" i="7"/>
  <c r="AD1424" i="7"/>
  <c r="AB1425" i="7"/>
  <c r="AD1425" i="7"/>
  <c r="AB1426" i="7"/>
  <c r="AD1426" i="7"/>
  <c r="AB1427" i="7"/>
  <c r="AD1427" i="7"/>
  <c r="AB1428" i="7"/>
  <c r="AD1428" i="7"/>
  <c r="AB1429" i="7"/>
  <c r="AD1429" i="7"/>
  <c r="AB1430" i="7"/>
  <c r="AD1430" i="7"/>
  <c r="AB1431" i="7"/>
  <c r="AD1431" i="7"/>
  <c r="AB1432" i="7"/>
  <c r="AD1432" i="7"/>
  <c r="AB1433" i="7"/>
  <c r="AD1433" i="7"/>
  <c r="AB1434" i="7"/>
  <c r="AD1434" i="7"/>
  <c r="AB1435" i="7"/>
  <c r="AD1435" i="7"/>
  <c r="AB1436" i="7"/>
  <c r="AD1436" i="7"/>
  <c r="AB1437" i="7"/>
  <c r="AD1437" i="7"/>
  <c r="AB1438" i="7"/>
  <c r="AD1438" i="7"/>
  <c r="AB1439" i="7"/>
  <c r="AD1439" i="7"/>
  <c r="AB1440" i="7"/>
  <c r="AD1440" i="7"/>
  <c r="AB1441" i="7"/>
  <c r="AD1441" i="7"/>
  <c r="AB1442" i="7"/>
  <c r="AD1442" i="7"/>
  <c r="AB1443" i="7"/>
  <c r="AD1443" i="7"/>
  <c r="AB1444" i="7"/>
  <c r="AD1444" i="7"/>
  <c r="AB1445" i="7"/>
  <c r="AD1445" i="7"/>
  <c r="AB1446" i="7"/>
  <c r="AD1446" i="7"/>
  <c r="AB1447" i="7"/>
  <c r="AD1447" i="7"/>
  <c r="AB1448" i="7"/>
  <c r="AD1448" i="7"/>
  <c r="AB1449" i="7"/>
  <c r="AD1449" i="7"/>
  <c r="AB1450" i="7"/>
  <c r="AD1450" i="7"/>
  <c r="AB1451" i="7"/>
  <c r="AD1451" i="7"/>
  <c r="AB1452" i="7"/>
  <c r="AD1452" i="7"/>
  <c r="AB1453" i="7"/>
  <c r="AD1453" i="7"/>
  <c r="AB1454" i="7"/>
  <c r="AD1454" i="7"/>
  <c r="AB1455" i="7"/>
  <c r="AD1455" i="7"/>
  <c r="AB1456" i="7"/>
  <c r="AD1456" i="7"/>
  <c r="AB1457" i="7"/>
  <c r="AD1457" i="7"/>
  <c r="AB1458" i="7"/>
  <c r="AD1458" i="7"/>
  <c r="AB1459" i="7"/>
  <c r="AD1459" i="7"/>
  <c r="AB1460" i="7"/>
  <c r="AD1460" i="7"/>
  <c r="AB1461" i="7"/>
  <c r="AD1461" i="7"/>
  <c r="AB1462" i="7"/>
  <c r="AD1462" i="7"/>
  <c r="AB1463" i="7"/>
  <c r="AD1463" i="7"/>
  <c r="AB1464" i="7"/>
  <c r="AD1464" i="7"/>
  <c r="AB1465" i="7"/>
  <c r="AD1465" i="7"/>
  <c r="AB1466" i="7"/>
  <c r="AD1466" i="7"/>
  <c r="AB1467" i="7"/>
  <c r="AD1467" i="7"/>
  <c r="AB1468" i="7"/>
  <c r="AD1468" i="7"/>
  <c r="AB1469" i="7"/>
  <c r="AD1469" i="7"/>
  <c r="AB1470" i="7"/>
  <c r="AD1470" i="7"/>
  <c r="AB1471" i="7"/>
  <c r="AD1471" i="7"/>
  <c r="AB1472" i="7"/>
  <c r="AD1472" i="7"/>
  <c r="AB1473" i="7"/>
  <c r="AD1473" i="7"/>
  <c r="AB1474" i="7"/>
  <c r="AD1474" i="7"/>
  <c r="AB1475" i="7"/>
  <c r="AD1475" i="7"/>
  <c r="AB1476" i="7"/>
  <c r="AD1476" i="7"/>
  <c r="AB1477" i="7"/>
  <c r="AD1477" i="7"/>
  <c r="AB1478" i="7"/>
  <c r="AD1478" i="7"/>
  <c r="AB1479" i="7"/>
  <c r="AD1479" i="7"/>
  <c r="AB1480" i="7"/>
  <c r="AD1480" i="7"/>
  <c r="AB1481" i="7"/>
  <c r="AD1481" i="7"/>
  <c r="AB1482" i="7"/>
  <c r="AD1482" i="7"/>
  <c r="AB1483" i="7"/>
  <c r="AD1483" i="7"/>
  <c r="AB1484" i="7"/>
  <c r="AD1484" i="7"/>
  <c r="AB1485" i="7"/>
  <c r="AD1485" i="7"/>
  <c r="AB1486" i="7"/>
  <c r="AD1486" i="7"/>
  <c r="AB1487" i="7"/>
  <c r="AD1487" i="7"/>
  <c r="AB1488" i="7"/>
  <c r="AD1488" i="7"/>
  <c r="AB1489" i="7"/>
  <c r="AD1489" i="7"/>
  <c r="AB1490" i="7"/>
  <c r="AD1490" i="7"/>
  <c r="AB1491" i="7"/>
  <c r="AD1491" i="7"/>
  <c r="AB1492" i="7"/>
  <c r="AD1492" i="7"/>
  <c r="AB1493" i="7"/>
  <c r="AD1493" i="7"/>
  <c r="AB1494" i="7"/>
  <c r="AD1494" i="7"/>
  <c r="AB1495" i="7"/>
  <c r="AD1495" i="7"/>
  <c r="AB1496" i="7"/>
  <c r="AD1496" i="7"/>
  <c r="AB1497" i="7"/>
  <c r="AD1497" i="7"/>
  <c r="AB1498" i="7"/>
  <c r="AD1498" i="7"/>
  <c r="AB1499" i="7"/>
  <c r="AD1499" i="7"/>
  <c r="AB1500" i="7"/>
  <c r="AD1500" i="7"/>
  <c r="AB1501" i="7"/>
  <c r="AD1501" i="7"/>
  <c r="AB1502" i="7"/>
  <c r="AD1502" i="7"/>
  <c r="AB1503" i="7"/>
  <c r="AD1503" i="7"/>
  <c r="AB1504" i="7"/>
  <c r="AD1504" i="7"/>
  <c r="AB1265" i="7"/>
  <c r="AD1265" i="7"/>
  <c r="AB1266" i="7"/>
  <c r="AD1266" i="7"/>
  <c r="AB1267" i="7"/>
  <c r="AD1267" i="7"/>
  <c r="AB1268" i="7"/>
  <c r="AD1268" i="7"/>
  <c r="AB1269" i="7"/>
  <c r="AD1269" i="7"/>
  <c r="AB1270" i="7"/>
  <c r="AD1270" i="7"/>
  <c r="AB1271" i="7"/>
  <c r="AD1271" i="7"/>
  <c r="B62" i="12"/>
  <c r="B61" i="12"/>
  <c r="C60" i="12"/>
  <c r="B57" i="12"/>
  <c r="B59" i="12" s="1"/>
  <c r="AD699" i="10"/>
  <c r="AB699" i="10"/>
  <c r="X699" i="10"/>
  <c r="AD698" i="10"/>
  <c r="AB698" i="10"/>
  <c r="X698" i="10"/>
  <c r="AD697" i="10"/>
  <c r="AB697" i="10"/>
  <c r="X697" i="10"/>
  <c r="AD696" i="10"/>
  <c r="AB696" i="10"/>
  <c r="X696" i="10"/>
  <c r="AD695" i="10"/>
  <c r="AB695" i="10"/>
  <c r="X695" i="10"/>
  <c r="AD694" i="10"/>
  <c r="AB694" i="10"/>
  <c r="X694" i="10"/>
  <c r="AD693" i="10"/>
  <c r="AB693" i="10"/>
  <c r="X693" i="10"/>
  <c r="AD692" i="10"/>
  <c r="AB692" i="10"/>
  <c r="X692" i="10"/>
  <c r="AD691" i="10"/>
  <c r="AB691" i="10"/>
  <c r="X691" i="10"/>
  <c r="AD690" i="10"/>
  <c r="AB690" i="10"/>
  <c r="X690" i="10"/>
  <c r="AD689" i="10"/>
  <c r="AB689" i="10"/>
  <c r="X689" i="10"/>
  <c r="AD688" i="10"/>
  <c r="AB688" i="10"/>
  <c r="X688" i="10"/>
  <c r="AD687" i="10"/>
  <c r="AB687" i="10"/>
  <c r="X687" i="10"/>
  <c r="AD686" i="10"/>
  <c r="AB686" i="10"/>
  <c r="X686" i="10"/>
  <c r="AD685" i="10"/>
  <c r="AB685" i="10"/>
  <c r="X685" i="10"/>
  <c r="AD684" i="10"/>
  <c r="AB684" i="10"/>
  <c r="X684" i="10"/>
  <c r="AD683" i="10"/>
  <c r="AB683" i="10"/>
  <c r="X683" i="10"/>
  <c r="AD682" i="10"/>
  <c r="AB682" i="10"/>
  <c r="X682" i="10"/>
  <c r="AD681" i="10"/>
  <c r="AB681" i="10"/>
  <c r="X681" i="10"/>
  <c r="AD680" i="10"/>
  <c r="AB680" i="10"/>
  <c r="X680" i="10"/>
  <c r="AD679" i="10"/>
  <c r="AB679" i="10"/>
  <c r="X679" i="10"/>
  <c r="AD678" i="10"/>
  <c r="AB678" i="10"/>
  <c r="X678" i="10"/>
  <c r="AD677" i="10"/>
  <c r="AB677" i="10"/>
  <c r="X677" i="10"/>
  <c r="AD676" i="10"/>
  <c r="AB676" i="10"/>
  <c r="X676" i="10"/>
  <c r="AD675" i="10"/>
  <c r="AB675" i="10"/>
  <c r="X675" i="10"/>
  <c r="AD674" i="10"/>
  <c r="AB674" i="10"/>
  <c r="X674" i="10"/>
  <c r="AD673" i="10"/>
  <c r="AB673" i="10"/>
  <c r="X673" i="10"/>
  <c r="AD672" i="10"/>
  <c r="AB672" i="10"/>
  <c r="X672" i="10"/>
  <c r="AD671" i="10"/>
  <c r="AB671" i="10"/>
  <c r="X671" i="10"/>
  <c r="AD670" i="10"/>
  <c r="AB670" i="10"/>
  <c r="X670" i="10"/>
  <c r="AD669" i="10"/>
  <c r="AB669" i="10"/>
  <c r="X669" i="10"/>
  <c r="AD668" i="10"/>
  <c r="AB668" i="10"/>
  <c r="X668" i="10"/>
  <c r="AD667" i="10"/>
  <c r="AB667" i="10"/>
  <c r="X667" i="10"/>
  <c r="AD666" i="10"/>
  <c r="AB666" i="10"/>
  <c r="X666" i="10"/>
  <c r="AD665" i="10"/>
  <c r="AB665" i="10"/>
  <c r="X665" i="10"/>
  <c r="AD664" i="10"/>
  <c r="AB664" i="10"/>
  <c r="X664" i="10"/>
  <c r="AD663" i="10"/>
  <c r="AB663" i="10"/>
  <c r="X663" i="10"/>
  <c r="AD662" i="10"/>
  <c r="AB662" i="10"/>
  <c r="X662" i="10"/>
  <c r="AD661" i="10"/>
  <c r="AB661" i="10"/>
  <c r="X661" i="10"/>
  <c r="AD660" i="10"/>
  <c r="AB660" i="10"/>
  <c r="X660" i="10"/>
  <c r="AD659" i="10"/>
  <c r="AB659" i="10"/>
  <c r="X659" i="10"/>
  <c r="AD658" i="10"/>
  <c r="AB658" i="10"/>
  <c r="X658" i="10"/>
  <c r="AD657" i="10"/>
  <c r="AB657" i="10"/>
  <c r="X657" i="10"/>
  <c r="AD656" i="10"/>
  <c r="AB656" i="10"/>
  <c r="X656" i="10"/>
  <c r="AD655" i="10"/>
  <c r="AB655" i="10"/>
  <c r="X655" i="10"/>
  <c r="AD654" i="10"/>
  <c r="AB654" i="10"/>
  <c r="X654" i="10"/>
  <c r="AD653" i="10"/>
  <c r="AB653" i="10"/>
  <c r="X653" i="10"/>
  <c r="AD652" i="10"/>
  <c r="AB652" i="10"/>
  <c r="X652" i="10"/>
  <c r="AD651" i="10"/>
  <c r="AB651" i="10"/>
  <c r="X651" i="10"/>
  <c r="AD650" i="10"/>
  <c r="AB650" i="10"/>
  <c r="X650" i="10"/>
  <c r="AD649" i="10"/>
  <c r="AB649" i="10"/>
  <c r="X649" i="10"/>
  <c r="AD648" i="10"/>
  <c r="AB648" i="10"/>
  <c r="X648" i="10"/>
  <c r="AD647" i="10"/>
  <c r="AB647" i="10"/>
  <c r="X647" i="10"/>
  <c r="AD646" i="10"/>
  <c r="AB646" i="10"/>
  <c r="X646" i="10"/>
  <c r="AD645" i="10"/>
  <c r="AB645" i="10"/>
  <c r="X645" i="10"/>
  <c r="AD644" i="10"/>
  <c r="AB644" i="10"/>
  <c r="X644" i="10"/>
  <c r="AD643" i="10"/>
  <c r="AB643" i="10"/>
  <c r="X643" i="10"/>
  <c r="AD642" i="10"/>
  <c r="AB642" i="10"/>
  <c r="X642" i="10"/>
  <c r="AD641" i="10"/>
  <c r="AB641" i="10"/>
  <c r="X641" i="10"/>
  <c r="AD640" i="10"/>
  <c r="AB640" i="10"/>
  <c r="X640" i="10"/>
  <c r="AD639" i="10"/>
  <c r="AB639" i="10"/>
  <c r="X639" i="10"/>
  <c r="AD638" i="10"/>
  <c r="AB638" i="10"/>
  <c r="X638" i="10"/>
  <c r="AD637" i="10"/>
  <c r="AB637" i="10"/>
  <c r="X637" i="10"/>
  <c r="AD636" i="10"/>
  <c r="AB636" i="10"/>
  <c r="X636" i="10"/>
  <c r="AD635" i="10"/>
  <c r="AB635" i="10"/>
  <c r="X635" i="10"/>
  <c r="AD634" i="10"/>
  <c r="AB634" i="10"/>
  <c r="X634" i="10"/>
  <c r="AD633" i="10"/>
  <c r="AB633" i="10"/>
  <c r="X633" i="10"/>
  <c r="AD632" i="10"/>
  <c r="AB632" i="10"/>
  <c r="X632" i="10"/>
  <c r="AD631" i="10"/>
  <c r="AB631" i="10"/>
  <c r="X631" i="10"/>
  <c r="AD630" i="10"/>
  <c r="AB630" i="10"/>
  <c r="X630" i="10"/>
  <c r="AD629" i="10"/>
  <c r="AB629" i="10"/>
  <c r="X629" i="10"/>
  <c r="AD628" i="10"/>
  <c r="AB628" i="10"/>
  <c r="X628" i="10"/>
  <c r="AD627" i="10"/>
  <c r="AB627" i="10"/>
  <c r="X627" i="10"/>
  <c r="AD626" i="10"/>
  <c r="AB626" i="10"/>
  <c r="X626" i="10"/>
  <c r="AD625" i="10"/>
  <c r="AB625" i="10"/>
  <c r="X625" i="10"/>
  <c r="AD624" i="10"/>
  <c r="AB624" i="10"/>
  <c r="X624" i="10"/>
  <c r="AD623" i="10"/>
  <c r="AB623" i="10"/>
  <c r="X623" i="10"/>
  <c r="AD622" i="10"/>
  <c r="AB622" i="10"/>
  <c r="X622" i="10"/>
  <c r="AD621" i="10"/>
  <c r="AB621" i="10"/>
  <c r="X621" i="10"/>
  <c r="AD620" i="10"/>
  <c r="AB620" i="10"/>
  <c r="X620" i="10"/>
  <c r="AD619" i="10"/>
  <c r="AB619" i="10"/>
  <c r="X619" i="10"/>
  <c r="AD618" i="10"/>
  <c r="AB618" i="10"/>
  <c r="X618" i="10"/>
  <c r="AD617" i="10"/>
  <c r="AB617" i="10"/>
  <c r="X617" i="10"/>
  <c r="AD616" i="10"/>
  <c r="AB616" i="10"/>
  <c r="X616" i="10"/>
  <c r="AD615" i="10"/>
  <c r="AB615" i="10"/>
  <c r="X615" i="10"/>
  <c r="AD614" i="10"/>
  <c r="AB614" i="10"/>
  <c r="X614" i="10"/>
  <c r="AD613" i="10"/>
  <c r="AB613" i="10"/>
  <c r="X613" i="10"/>
  <c r="AD612" i="10"/>
  <c r="AB612" i="10"/>
  <c r="X612" i="10"/>
  <c r="AD611" i="10"/>
  <c r="AB611" i="10"/>
  <c r="X611" i="10"/>
  <c r="AD610" i="10"/>
  <c r="AB610" i="10"/>
  <c r="X610" i="10"/>
  <c r="AD609" i="10"/>
  <c r="AB609" i="10"/>
  <c r="X609" i="10"/>
  <c r="AD608" i="10"/>
  <c r="AB608" i="10"/>
  <c r="X608" i="10"/>
  <c r="AD607" i="10"/>
  <c r="AB607" i="10"/>
  <c r="X607" i="10"/>
  <c r="AD606" i="10"/>
  <c r="AB606" i="10"/>
  <c r="X606" i="10"/>
  <c r="AD605" i="10"/>
  <c r="AB605" i="10"/>
  <c r="X605" i="10"/>
  <c r="AD604" i="10"/>
  <c r="AB604" i="10"/>
  <c r="X604" i="10"/>
  <c r="AD603" i="10"/>
  <c r="AB603" i="10"/>
  <c r="X603" i="10"/>
  <c r="AD602" i="10"/>
  <c r="AB602" i="10"/>
  <c r="X602" i="10"/>
  <c r="AD601" i="10"/>
  <c r="AB601" i="10"/>
  <c r="X601" i="10"/>
  <c r="AD600" i="10"/>
  <c r="AB600" i="10"/>
  <c r="X600" i="10"/>
  <c r="AD599" i="10"/>
  <c r="AB599" i="10"/>
  <c r="X599" i="10"/>
  <c r="AD598" i="10"/>
  <c r="AB598" i="10"/>
  <c r="X598" i="10"/>
  <c r="AD597" i="10"/>
  <c r="AB597" i="10"/>
  <c r="X597" i="10"/>
  <c r="AD596" i="10"/>
  <c r="AB596" i="10"/>
  <c r="X596" i="10"/>
  <c r="AD595" i="10"/>
  <c r="AB595" i="10"/>
  <c r="X595" i="10"/>
  <c r="AD594" i="10"/>
  <c r="AB594" i="10"/>
  <c r="X594" i="10"/>
  <c r="AD593" i="10"/>
  <c r="AB593" i="10"/>
  <c r="X593" i="10"/>
  <c r="AD592" i="10"/>
  <c r="AB592" i="10"/>
  <c r="X592" i="10"/>
  <c r="AD591" i="10"/>
  <c r="AB591" i="10"/>
  <c r="X591" i="10"/>
  <c r="AD590" i="10"/>
  <c r="AB590" i="10"/>
  <c r="X590" i="10"/>
  <c r="AD589" i="10"/>
  <c r="AB589" i="10"/>
  <c r="X589" i="10"/>
  <c r="AD588" i="10"/>
  <c r="AB588" i="10"/>
  <c r="X588" i="10"/>
  <c r="AD587" i="10"/>
  <c r="AB587" i="10"/>
  <c r="X587" i="10"/>
  <c r="AD586" i="10"/>
  <c r="AB586" i="10"/>
  <c r="X586" i="10"/>
  <c r="AD585" i="10"/>
  <c r="AB585" i="10"/>
  <c r="X585" i="10"/>
  <c r="AD584" i="10"/>
  <c r="AB584" i="10"/>
  <c r="X584" i="10"/>
  <c r="AD583" i="10"/>
  <c r="AB583" i="10"/>
  <c r="X583" i="10"/>
  <c r="AD582" i="10"/>
  <c r="AB582" i="10"/>
  <c r="X582" i="10"/>
  <c r="AD581" i="10"/>
  <c r="AB581" i="10"/>
  <c r="X581" i="10"/>
  <c r="AD580" i="10"/>
  <c r="AB580" i="10"/>
  <c r="X580" i="10"/>
  <c r="AD579" i="10"/>
  <c r="AB579" i="10"/>
  <c r="X579" i="10"/>
  <c r="AD578" i="10"/>
  <c r="AB578" i="10"/>
  <c r="X578" i="10"/>
  <c r="AD577" i="10"/>
  <c r="AB577" i="10"/>
  <c r="X577" i="10"/>
  <c r="AD576" i="10"/>
  <c r="AB576" i="10"/>
  <c r="X576" i="10"/>
  <c r="AD575" i="10"/>
  <c r="AB575" i="10"/>
  <c r="X575" i="10"/>
  <c r="AD574" i="10"/>
  <c r="AB574" i="10"/>
  <c r="X574" i="10"/>
  <c r="AD573" i="10"/>
  <c r="AB573" i="10"/>
  <c r="X573" i="10"/>
  <c r="AD572" i="10"/>
  <c r="AB572" i="10"/>
  <c r="X572" i="10"/>
  <c r="AD571" i="10"/>
  <c r="AB571" i="10"/>
  <c r="X571" i="10"/>
  <c r="AD570" i="10"/>
  <c r="AB570" i="10"/>
  <c r="X570" i="10"/>
  <c r="AD569" i="10"/>
  <c r="AB569" i="10"/>
  <c r="X569" i="10"/>
  <c r="AD568" i="10"/>
  <c r="AB568" i="10"/>
  <c r="X568" i="10"/>
  <c r="AD567" i="10"/>
  <c r="AB567" i="10"/>
  <c r="X567" i="10"/>
  <c r="AD566" i="10"/>
  <c r="AB566" i="10"/>
  <c r="X566" i="10"/>
  <c r="AD565" i="10"/>
  <c r="AB565" i="10"/>
  <c r="X565" i="10"/>
  <c r="AD564" i="10"/>
  <c r="AB564" i="10"/>
  <c r="X564" i="10"/>
  <c r="AD563" i="10"/>
  <c r="AB563" i="10"/>
  <c r="X563" i="10"/>
  <c r="AD562" i="10"/>
  <c r="AB562" i="10"/>
  <c r="X562" i="10"/>
  <c r="AD561" i="10"/>
  <c r="AB561" i="10"/>
  <c r="X561" i="10"/>
  <c r="AD560" i="10"/>
  <c r="AB560" i="10"/>
  <c r="X560" i="10"/>
  <c r="AD559" i="10"/>
  <c r="AB559" i="10"/>
  <c r="X559" i="10"/>
  <c r="AD558" i="10"/>
  <c r="AB558" i="10"/>
  <c r="X558" i="10"/>
  <c r="AD557" i="10"/>
  <c r="AB557" i="10"/>
  <c r="X557" i="10"/>
  <c r="AD556" i="10"/>
  <c r="AB556" i="10"/>
  <c r="X556" i="10"/>
  <c r="AD555" i="10"/>
  <c r="AB555" i="10"/>
  <c r="X555" i="10"/>
  <c r="AD554" i="10"/>
  <c r="AB554" i="10"/>
  <c r="X554" i="10"/>
  <c r="AD553" i="10"/>
  <c r="AB553" i="10"/>
  <c r="X553" i="10"/>
  <c r="AD552" i="10"/>
  <c r="AB552" i="10"/>
  <c r="X552" i="10"/>
  <c r="AD551" i="10"/>
  <c r="AB551" i="10"/>
  <c r="X551" i="10"/>
  <c r="AD550" i="10"/>
  <c r="AB550" i="10"/>
  <c r="X550" i="10"/>
  <c r="AD549" i="10"/>
  <c r="AB549" i="10"/>
  <c r="X549" i="10"/>
  <c r="AD548" i="10"/>
  <c r="AB548" i="10"/>
  <c r="X548" i="10"/>
  <c r="AD547" i="10"/>
  <c r="AB547" i="10"/>
  <c r="X547" i="10"/>
  <c r="AD546" i="10"/>
  <c r="AB546" i="10"/>
  <c r="X546" i="10"/>
  <c r="AD545" i="10"/>
  <c r="AB545" i="10"/>
  <c r="X545" i="10"/>
  <c r="AD544" i="10"/>
  <c r="AB544" i="10"/>
  <c r="X544" i="10"/>
  <c r="AD543" i="10"/>
  <c r="AB543" i="10"/>
  <c r="X543" i="10"/>
  <c r="AD542" i="10"/>
  <c r="AB542" i="10"/>
  <c r="X542" i="10"/>
  <c r="AD541" i="10"/>
  <c r="AB541" i="10"/>
  <c r="X541" i="10"/>
  <c r="AD540" i="10"/>
  <c r="AB540" i="10"/>
  <c r="X540" i="10"/>
  <c r="AD539" i="10"/>
  <c r="AB539" i="10"/>
  <c r="X539" i="10"/>
  <c r="AD538" i="10"/>
  <c r="AB538" i="10"/>
  <c r="X538" i="10"/>
  <c r="AD537" i="10"/>
  <c r="AB537" i="10"/>
  <c r="X537" i="10"/>
  <c r="AD536" i="10"/>
  <c r="AB536" i="10"/>
  <c r="X536" i="10"/>
  <c r="AD535" i="10"/>
  <c r="AB535" i="10"/>
  <c r="X535" i="10"/>
  <c r="AD534" i="10"/>
  <c r="AB534" i="10"/>
  <c r="X534" i="10"/>
  <c r="AD533" i="10"/>
  <c r="AB533" i="10"/>
  <c r="X533" i="10"/>
  <c r="AD532" i="10"/>
  <c r="AB532" i="10"/>
  <c r="X532" i="10"/>
  <c r="AD531" i="10"/>
  <c r="AB531" i="10"/>
  <c r="X531" i="10"/>
  <c r="AD530" i="10"/>
  <c r="AB530" i="10"/>
  <c r="X530" i="10"/>
  <c r="AD529" i="10"/>
  <c r="AB529" i="10"/>
  <c r="X529" i="10"/>
  <c r="AD528" i="10"/>
  <c r="AB528" i="10"/>
  <c r="X528" i="10"/>
  <c r="AD527" i="10"/>
  <c r="AB527" i="10"/>
  <c r="X527" i="10"/>
  <c r="AD526" i="10"/>
  <c r="AB526" i="10"/>
  <c r="X526" i="10"/>
  <c r="AD525" i="10"/>
  <c r="AB525" i="10"/>
  <c r="X525" i="10"/>
  <c r="AD524" i="10"/>
  <c r="AB524" i="10"/>
  <c r="X524" i="10"/>
  <c r="AD523" i="10"/>
  <c r="AB523" i="10"/>
  <c r="X523" i="10"/>
  <c r="AD522" i="10"/>
  <c r="AB522" i="10"/>
  <c r="X522" i="10"/>
  <c r="AD521" i="10"/>
  <c r="AB521" i="10"/>
  <c r="X521" i="10"/>
  <c r="AD520" i="10"/>
  <c r="AB520" i="10"/>
  <c r="X520" i="10"/>
  <c r="AD519" i="10"/>
  <c r="AB519" i="10"/>
  <c r="X519" i="10"/>
  <c r="AD518" i="10"/>
  <c r="AB518" i="10"/>
  <c r="X518" i="10"/>
  <c r="AD517" i="10"/>
  <c r="AB517" i="10"/>
  <c r="X517" i="10"/>
  <c r="AD516" i="10"/>
  <c r="AB516" i="10"/>
  <c r="X516" i="10"/>
  <c r="AD515" i="10"/>
  <c r="AB515" i="10"/>
  <c r="X515" i="10"/>
  <c r="AD514" i="10"/>
  <c r="AB514" i="10"/>
  <c r="X514" i="10"/>
  <c r="AD513" i="10"/>
  <c r="AB513" i="10"/>
  <c r="X513" i="10"/>
  <c r="AD512" i="10"/>
  <c r="AB512" i="10"/>
  <c r="X512" i="10"/>
  <c r="AD511" i="10"/>
  <c r="AB511" i="10"/>
  <c r="X511" i="10"/>
  <c r="AD510" i="10"/>
  <c r="AB510" i="10"/>
  <c r="X510" i="10"/>
  <c r="AD509" i="10"/>
  <c r="AB509" i="10"/>
  <c r="X509" i="10"/>
  <c r="AD508" i="10"/>
  <c r="AB508" i="10"/>
  <c r="X508" i="10"/>
  <c r="AD507" i="10"/>
  <c r="AB507" i="10"/>
  <c r="X507" i="10"/>
  <c r="AD506" i="10"/>
  <c r="AB506" i="10"/>
  <c r="X506" i="10"/>
  <c r="AD505" i="10"/>
  <c r="AB505" i="10"/>
  <c r="X505" i="10"/>
  <c r="AD504" i="10"/>
  <c r="AB504" i="10"/>
  <c r="X504" i="10"/>
  <c r="AD503" i="10"/>
  <c r="AB503" i="10"/>
  <c r="X503" i="10"/>
  <c r="AD502" i="10"/>
  <c r="AB502" i="10"/>
  <c r="X502" i="10"/>
  <c r="AD501" i="10"/>
  <c r="AB501" i="10"/>
  <c r="X501" i="10"/>
  <c r="AD500" i="10"/>
  <c r="AB500" i="10"/>
  <c r="X500" i="10"/>
  <c r="AD499" i="10"/>
  <c r="AB499" i="10"/>
  <c r="X499" i="10"/>
  <c r="AD498" i="10"/>
  <c r="AB498" i="10"/>
  <c r="X498" i="10"/>
  <c r="AD497" i="10"/>
  <c r="AB497" i="10"/>
  <c r="X497" i="10"/>
  <c r="AD496" i="10"/>
  <c r="AB496" i="10"/>
  <c r="X496" i="10"/>
  <c r="AD495" i="10"/>
  <c r="AB495" i="10"/>
  <c r="X495" i="10"/>
  <c r="AD494" i="10"/>
  <c r="AB494" i="10"/>
  <c r="X494" i="10"/>
  <c r="AD493" i="10"/>
  <c r="AB493" i="10"/>
  <c r="X493" i="10"/>
  <c r="AD492" i="10"/>
  <c r="AB492" i="10"/>
  <c r="X492" i="10"/>
  <c r="AD491" i="10"/>
  <c r="AB491" i="10"/>
  <c r="X491" i="10"/>
  <c r="AD490" i="10"/>
  <c r="AB490" i="10"/>
  <c r="X490" i="10"/>
  <c r="AD489" i="10"/>
  <c r="AB489" i="10"/>
  <c r="X489" i="10"/>
  <c r="AD488" i="10"/>
  <c r="AB488" i="10"/>
  <c r="X488" i="10"/>
  <c r="AD487" i="10"/>
  <c r="AB487" i="10"/>
  <c r="X487" i="10"/>
  <c r="AD486" i="10"/>
  <c r="AB486" i="10"/>
  <c r="X486" i="10"/>
  <c r="AD485" i="10"/>
  <c r="AB485" i="10"/>
  <c r="X485" i="10"/>
  <c r="AD484" i="10"/>
  <c r="AB484" i="10"/>
  <c r="X484" i="10"/>
  <c r="AD483" i="10"/>
  <c r="AB483" i="10"/>
  <c r="X483" i="10"/>
  <c r="AD482" i="10"/>
  <c r="AB482" i="10"/>
  <c r="X482" i="10"/>
  <c r="AD481" i="10"/>
  <c r="AB481" i="10"/>
  <c r="X481" i="10"/>
  <c r="AD480" i="10"/>
  <c r="AB480" i="10"/>
  <c r="X480" i="10"/>
  <c r="AD479" i="10"/>
  <c r="AB479" i="10"/>
  <c r="X479" i="10"/>
  <c r="AD478" i="10"/>
  <c r="AB478" i="10"/>
  <c r="X478" i="10"/>
  <c r="AD477" i="10"/>
  <c r="AB477" i="10"/>
  <c r="X477" i="10"/>
  <c r="AD476" i="10"/>
  <c r="AB476" i="10"/>
  <c r="X476" i="10"/>
  <c r="AD475" i="10"/>
  <c r="AB475" i="10"/>
  <c r="X475" i="10"/>
  <c r="AD474" i="10"/>
  <c r="AB474" i="10"/>
  <c r="X474" i="10"/>
  <c r="AD473" i="10"/>
  <c r="AB473" i="10"/>
  <c r="X473" i="10"/>
  <c r="AD472" i="10"/>
  <c r="AB472" i="10"/>
  <c r="X472" i="10"/>
  <c r="AD471" i="10"/>
  <c r="AB471" i="10"/>
  <c r="X471" i="10"/>
  <c r="AD470" i="10"/>
  <c r="AB470" i="10"/>
  <c r="X470" i="10"/>
  <c r="AD469" i="10"/>
  <c r="AB469" i="10"/>
  <c r="X469" i="10"/>
  <c r="AD468" i="10"/>
  <c r="AB468" i="10"/>
  <c r="X468" i="10"/>
  <c r="AD467" i="10"/>
  <c r="AB467" i="10"/>
  <c r="X467" i="10"/>
  <c r="AD466" i="10"/>
  <c r="AB466" i="10"/>
  <c r="X466" i="10"/>
  <c r="AD465" i="10"/>
  <c r="AB465" i="10"/>
  <c r="X465" i="10"/>
  <c r="AD464" i="10"/>
  <c r="AB464" i="10"/>
  <c r="X464" i="10"/>
  <c r="AD463" i="10"/>
  <c r="AB463" i="10"/>
  <c r="X463" i="10"/>
  <c r="AD462" i="10"/>
  <c r="AB462" i="10"/>
  <c r="X462" i="10"/>
  <c r="AD461" i="10"/>
  <c r="AB461" i="10"/>
  <c r="X461" i="10"/>
  <c r="AD460" i="10"/>
  <c r="AB460" i="10"/>
  <c r="X460" i="10"/>
  <c r="AD459" i="10"/>
  <c r="AB459" i="10"/>
  <c r="X459" i="10"/>
  <c r="AD458" i="10"/>
  <c r="AB458" i="10"/>
  <c r="X458" i="10"/>
  <c r="AD457" i="10"/>
  <c r="AB457" i="10"/>
  <c r="X457" i="10"/>
  <c r="AD456" i="10"/>
  <c r="AB456" i="10"/>
  <c r="X456" i="10"/>
  <c r="AD455" i="10"/>
  <c r="AB455" i="10"/>
  <c r="X455" i="10"/>
  <c r="AD454" i="10"/>
  <c r="AB454" i="10"/>
  <c r="X454" i="10"/>
  <c r="AD453" i="10"/>
  <c r="AB453" i="10"/>
  <c r="X453" i="10"/>
  <c r="AD452" i="10"/>
  <c r="AB452" i="10"/>
  <c r="X452" i="10"/>
  <c r="AD451" i="10"/>
  <c r="AB451" i="10"/>
  <c r="X451" i="10"/>
  <c r="AD450" i="10"/>
  <c r="AB450" i="10"/>
  <c r="X450" i="10"/>
  <c r="AD449" i="10"/>
  <c r="AB449" i="10"/>
  <c r="X449" i="10"/>
  <c r="AD448" i="10"/>
  <c r="AB448" i="10"/>
  <c r="X448" i="10"/>
  <c r="AD447" i="10"/>
  <c r="AB447" i="10"/>
  <c r="X447" i="10"/>
  <c r="AD446" i="10"/>
  <c r="AB446" i="10"/>
  <c r="X446" i="10"/>
  <c r="AD445" i="10"/>
  <c r="AB445" i="10"/>
  <c r="X445" i="10"/>
  <c r="AD444" i="10"/>
  <c r="AB444" i="10"/>
  <c r="X444" i="10"/>
  <c r="AD443" i="10"/>
  <c r="AB443" i="10"/>
  <c r="X443" i="10"/>
  <c r="AD442" i="10"/>
  <c r="AB442" i="10"/>
  <c r="X442" i="10"/>
  <c r="AD441" i="10"/>
  <c r="AB441" i="10"/>
  <c r="X441" i="10"/>
  <c r="AD440" i="10"/>
  <c r="AB440" i="10"/>
  <c r="X440" i="10"/>
  <c r="AD439" i="10"/>
  <c r="AB439" i="10"/>
  <c r="X439" i="10"/>
  <c r="AD438" i="10"/>
  <c r="AB438" i="10"/>
  <c r="X438" i="10"/>
  <c r="AD437" i="10"/>
  <c r="AB437" i="10"/>
  <c r="X437" i="10"/>
  <c r="AD436" i="10"/>
  <c r="AB436" i="10"/>
  <c r="X436" i="10"/>
  <c r="AD435" i="10"/>
  <c r="AB435" i="10"/>
  <c r="X435" i="10"/>
  <c r="AD434" i="10"/>
  <c r="AB434" i="10"/>
  <c r="X434" i="10"/>
  <c r="AD433" i="10"/>
  <c r="AB433" i="10"/>
  <c r="X433" i="10"/>
  <c r="AD432" i="10"/>
  <c r="AB432" i="10"/>
  <c r="X432" i="10"/>
  <c r="AD431" i="10"/>
  <c r="AB431" i="10"/>
  <c r="X431" i="10"/>
  <c r="AD430" i="10"/>
  <c r="AB430" i="10"/>
  <c r="X430" i="10"/>
  <c r="AD429" i="10"/>
  <c r="AB429" i="10"/>
  <c r="X429" i="10"/>
  <c r="AD428" i="10"/>
  <c r="AB428" i="10"/>
  <c r="X428" i="10"/>
  <c r="AD427" i="10"/>
  <c r="AB427" i="10"/>
  <c r="X427" i="10"/>
  <c r="AD426" i="10"/>
  <c r="AB426" i="10"/>
  <c r="X426" i="10"/>
  <c r="AD425" i="10"/>
  <c r="AB425" i="10"/>
  <c r="X425" i="10"/>
  <c r="AD424" i="10"/>
  <c r="AB424" i="10"/>
  <c r="X424" i="10"/>
  <c r="AD423" i="10"/>
  <c r="AB423" i="10"/>
  <c r="X423" i="10"/>
  <c r="AD422" i="10"/>
  <c r="AB422" i="10"/>
  <c r="X422" i="10"/>
  <c r="AD421" i="10"/>
  <c r="AB421" i="10"/>
  <c r="X421" i="10"/>
  <c r="AD420" i="10"/>
  <c r="AB420" i="10"/>
  <c r="X420" i="10"/>
  <c r="AD419" i="10"/>
  <c r="AB419" i="10"/>
  <c r="X419" i="10"/>
  <c r="AD418" i="10"/>
  <c r="AB418" i="10"/>
  <c r="X418" i="10"/>
  <c r="AD417" i="10"/>
  <c r="AB417" i="10"/>
  <c r="X417" i="10"/>
  <c r="AD416" i="10"/>
  <c r="AB416" i="10"/>
  <c r="X416" i="10"/>
  <c r="AD415" i="10"/>
  <c r="AB415" i="10"/>
  <c r="X415" i="10"/>
  <c r="AD414" i="10"/>
  <c r="AB414" i="10"/>
  <c r="X414" i="10"/>
  <c r="AD413" i="10"/>
  <c r="AB413" i="10"/>
  <c r="X413" i="10"/>
  <c r="AD412" i="10"/>
  <c r="AB412" i="10"/>
  <c r="X412" i="10"/>
  <c r="AD411" i="10"/>
  <c r="AB411" i="10"/>
  <c r="X411" i="10"/>
  <c r="AD410" i="10"/>
  <c r="AB410" i="10"/>
  <c r="X410" i="10"/>
  <c r="AD409" i="10"/>
  <c r="AB409" i="10"/>
  <c r="X409" i="10"/>
  <c r="AD408" i="10"/>
  <c r="AB408" i="10"/>
  <c r="X408" i="10"/>
  <c r="AD407" i="10"/>
  <c r="AB407" i="10"/>
  <c r="X407" i="10"/>
  <c r="AD406" i="10"/>
  <c r="AB406" i="10"/>
  <c r="X406" i="10"/>
  <c r="AD405" i="10"/>
  <c r="AB405" i="10"/>
  <c r="X405" i="10"/>
  <c r="AD404" i="10"/>
  <c r="AB404" i="10"/>
  <c r="X404" i="10"/>
  <c r="AD403" i="10"/>
  <c r="AB403" i="10"/>
  <c r="X403" i="10"/>
  <c r="AD402" i="10"/>
  <c r="AB402" i="10"/>
  <c r="X402" i="10"/>
  <c r="AD401" i="10"/>
  <c r="AB401" i="10"/>
  <c r="X401" i="10"/>
  <c r="AD400" i="10"/>
  <c r="AB400" i="10"/>
  <c r="X400" i="10"/>
  <c r="AD399" i="10"/>
  <c r="AB399" i="10"/>
  <c r="X399" i="10"/>
  <c r="AD398" i="10"/>
  <c r="AB398" i="10"/>
  <c r="X398" i="10"/>
  <c r="AD397" i="10"/>
  <c r="AB397" i="10"/>
  <c r="X397" i="10"/>
  <c r="AD396" i="10"/>
  <c r="AB396" i="10"/>
  <c r="X396" i="10"/>
  <c r="AD395" i="10"/>
  <c r="AB395" i="10"/>
  <c r="X395" i="10"/>
  <c r="AD394" i="10"/>
  <c r="AB394" i="10"/>
  <c r="X394" i="10"/>
  <c r="AD393" i="10"/>
  <c r="AB393" i="10"/>
  <c r="X393" i="10"/>
  <c r="AD392" i="10"/>
  <c r="AB392" i="10"/>
  <c r="X392" i="10"/>
  <c r="AD391" i="10"/>
  <c r="AB391" i="10"/>
  <c r="X391" i="10"/>
  <c r="AD390" i="10"/>
  <c r="AB390" i="10"/>
  <c r="X390" i="10"/>
  <c r="AD389" i="10"/>
  <c r="AB389" i="10"/>
  <c r="X389" i="10"/>
  <c r="AD388" i="10"/>
  <c r="AB388" i="10"/>
  <c r="X388" i="10"/>
  <c r="AD387" i="10"/>
  <c r="AB387" i="10"/>
  <c r="X387" i="10"/>
  <c r="AD386" i="10"/>
  <c r="AB386" i="10"/>
  <c r="X386" i="10"/>
  <c r="AD385" i="10"/>
  <c r="AB385" i="10"/>
  <c r="X385" i="10"/>
  <c r="AD384" i="10"/>
  <c r="AB384" i="10"/>
  <c r="X384" i="10"/>
  <c r="AD383" i="10"/>
  <c r="AB383" i="10"/>
  <c r="X383" i="10"/>
  <c r="AD382" i="10"/>
  <c r="AB382" i="10"/>
  <c r="X382" i="10"/>
  <c r="AD381" i="10"/>
  <c r="AB381" i="10"/>
  <c r="X381" i="10"/>
  <c r="AD380" i="10"/>
  <c r="AB380" i="10"/>
  <c r="X380" i="10"/>
  <c r="AD379" i="10"/>
  <c r="AB379" i="10"/>
  <c r="X379" i="10"/>
  <c r="AD378" i="10"/>
  <c r="AB378" i="10"/>
  <c r="X378" i="10"/>
  <c r="AD377" i="10"/>
  <c r="AB377" i="10"/>
  <c r="X377" i="10"/>
  <c r="AD376" i="10"/>
  <c r="AB376" i="10"/>
  <c r="X376" i="10"/>
  <c r="AD375" i="10"/>
  <c r="AB375" i="10"/>
  <c r="X375" i="10"/>
  <c r="AD374" i="10"/>
  <c r="AB374" i="10"/>
  <c r="X374" i="10"/>
  <c r="AD373" i="10"/>
  <c r="AB373" i="10"/>
  <c r="X373" i="10"/>
  <c r="AD372" i="10"/>
  <c r="AB372" i="10"/>
  <c r="X372" i="10"/>
  <c r="AD371" i="10"/>
  <c r="AB371" i="10"/>
  <c r="X371" i="10"/>
  <c r="AD370" i="10"/>
  <c r="AB370" i="10"/>
  <c r="X370" i="10"/>
  <c r="AD369" i="10"/>
  <c r="AB369" i="10"/>
  <c r="X369" i="10"/>
  <c r="AD368" i="10"/>
  <c r="AB368" i="10"/>
  <c r="X368" i="10"/>
  <c r="AD367" i="10"/>
  <c r="AB367" i="10"/>
  <c r="X367" i="10"/>
  <c r="AD366" i="10"/>
  <c r="AB366" i="10"/>
  <c r="X366" i="10"/>
  <c r="AD365" i="10"/>
  <c r="AB365" i="10"/>
  <c r="X365" i="10"/>
  <c r="AD364" i="10"/>
  <c r="AB364" i="10"/>
  <c r="X364" i="10"/>
  <c r="AD363" i="10"/>
  <c r="AB363" i="10"/>
  <c r="X363" i="10"/>
  <c r="AD362" i="10"/>
  <c r="AB362" i="10"/>
  <c r="X362" i="10"/>
  <c r="AD361" i="10"/>
  <c r="AB361" i="10"/>
  <c r="X361" i="10"/>
  <c r="AD360" i="10"/>
  <c r="AB360" i="10"/>
  <c r="X360" i="10"/>
  <c r="AD359" i="10"/>
  <c r="AB359" i="10"/>
  <c r="X359" i="10"/>
  <c r="AD358" i="10"/>
  <c r="AB358" i="10"/>
  <c r="X358" i="10"/>
  <c r="AD357" i="10"/>
  <c r="AB357" i="10"/>
  <c r="X357" i="10"/>
  <c r="AD356" i="10"/>
  <c r="AB356" i="10"/>
  <c r="X356" i="10"/>
  <c r="AD355" i="10"/>
  <c r="AB355" i="10"/>
  <c r="X355" i="10"/>
  <c r="AD354" i="10"/>
  <c r="AB354" i="10"/>
  <c r="X354" i="10"/>
  <c r="AD353" i="10"/>
  <c r="AB353" i="10"/>
  <c r="X353" i="10"/>
  <c r="AD352" i="10"/>
  <c r="AB352" i="10"/>
  <c r="X352" i="10"/>
  <c r="AD351" i="10"/>
  <c r="AB351" i="10"/>
  <c r="X351" i="10"/>
  <c r="AD350" i="10"/>
  <c r="AB350" i="10"/>
  <c r="X350" i="10"/>
  <c r="AD349" i="10"/>
  <c r="AB349" i="10"/>
  <c r="X349" i="10"/>
  <c r="AD348" i="10"/>
  <c r="AB348" i="10"/>
  <c r="X348" i="10"/>
  <c r="AD347" i="10"/>
  <c r="AB347" i="10"/>
  <c r="X347" i="10"/>
  <c r="AD346" i="10"/>
  <c r="AB346" i="10"/>
  <c r="X346" i="10"/>
  <c r="AD345" i="10"/>
  <c r="AB345" i="10"/>
  <c r="X345" i="10"/>
  <c r="AD344" i="10"/>
  <c r="AB344" i="10"/>
  <c r="X344" i="10"/>
  <c r="AD343" i="10"/>
  <c r="AB343" i="10"/>
  <c r="X343" i="10"/>
  <c r="AD342" i="10"/>
  <c r="AB342" i="10"/>
  <c r="X342" i="10"/>
  <c r="AD341" i="10"/>
  <c r="AB341" i="10"/>
  <c r="X341" i="10"/>
  <c r="AD340" i="10"/>
  <c r="AB340" i="10"/>
  <c r="X340" i="10"/>
  <c r="AD339" i="10"/>
  <c r="AB339" i="10"/>
  <c r="X339" i="10"/>
  <c r="AD338" i="10"/>
  <c r="AB338" i="10"/>
  <c r="X338" i="10"/>
  <c r="AD337" i="10"/>
  <c r="AB337" i="10"/>
  <c r="X337" i="10"/>
  <c r="AD336" i="10"/>
  <c r="AB336" i="10"/>
  <c r="X336" i="10"/>
  <c r="AD335" i="10"/>
  <c r="AB335" i="10"/>
  <c r="X335" i="10"/>
  <c r="AD334" i="10"/>
  <c r="AB334" i="10"/>
  <c r="X334" i="10"/>
  <c r="AD333" i="10"/>
  <c r="AB333" i="10"/>
  <c r="X333" i="10"/>
  <c r="AD332" i="10"/>
  <c r="AB332" i="10"/>
  <c r="X332" i="10"/>
  <c r="AD331" i="10"/>
  <c r="AB331" i="10"/>
  <c r="X331" i="10"/>
  <c r="AD330" i="10"/>
  <c r="AB330" i="10"/>
  <c r="X330" i="10"/>
  <c r="AD329" i="10"/>
  <c r="AB329" i="10"/>
  <c r="X329" i="10"/>
  <c r="AD328" i="10"/>
  <c r="AB328" i="10"/>
  <c r="X328" i="10"/>
  <c r="AD327" i="10"/>
  <c r="AB327" i="10"/>
  <c r="X327" i="10"/>
  <c r="AD326" i="10"/>
  <c r="AB326" i="10"/>
  <c r="X326" i="10"/>
  <c r="AD325" i="10"/>
  <c r="AB325" i="10"/>
  <c r="X325" i="10"/>
  <c r="AD324" i="10"/>
  <c r="AB324" i="10"/>
  <c r="X324" i="10"/>
  <c r="AD323" i="10"/>
  <c r="AB323" i="10"/>
  <c r="X323" i="10"/>
  <c r="AD322" i="10"/>
  <c r="AB322" i="10"/>
  <c r="X322" i="10"/>
  <c r="AD321" i="10"/>
  <c r="AB321" i="10"/>
  <c r="X321" i="10"/>
  <c r="AD320" i="10"/>
  <c r="AB320" i="10"/>
  <c r="X320" i="10"/>
  <c r="AD319" i="10"/>
  <c r="AB319" i="10"/>
  <c r="X319" i="10"/>
  <c r="AD318" i="10"/>
  <c r="AB318" i="10"/>
  <c r="X318" i="10"/>
  <c r="AD317" i="10"/>
  <c r="AB317" i="10"/>
  <c r="X317" i="10"/>
  <c r="AD316" i="10"/>
  <c r="AB316" i="10"/>
  <c r="X316" i="10"/>
  <c r="AD315" i="10"/>
  <c r="AB315" i="10"/>
  <c r="X315" i="10"/>
  <c r="AD314" i="10"/>
  <c r="AB314" i="10"/>
  <c r="X314" i="10"/>
  <c r="AD313" i="10"/>
  <c r="AB313" i="10"/>
  <c r="X313" i="10"/>
  <c r="AD312" i="10"/>
  <c r="AB312" i="10"/>
  <c r="X312" i="10"/>
  <c r="AD311" i="10"/>
  <c r="AB311" i="10"/>
  <c r="X311" i="10"/>
  <c r="AD310" i="10"/>
  <c r="AB310" i="10"/>
  <c r="X310" i="10"/>
  <c r="AD309" i="10"/>
  <c r="AB309" i="10"/>
  <c r="X309" i="10"/>
  <c r="AD308" i="10"/>
  <c r="AB308" i="10"/>
  <c r="X308" i="10"/>
  <c r="AD307" i="10"/>
  <c r="AB307" i="10"/>
  <c r="X307" i="10"/>
  <c r="AD306" i="10"/>
  <c r="AB306" i="10"/>
  <c r="X306" i="10"/>
  <c r="AD305" i="10"/>
  <c r="AB305" i="10"/>
  <c r="X305" i="10"/>
  <c r="AD304" i="10"/>
  <c r="AB304" i="10"/>
  <c r="X304" i="10"/>
  <c r="AD303" i="10"/>
  <c r="AB303" i="10"/>
  <c r="X303" i="10"/>
  <c r="AD302" i="10"/>
  <c r="AB302" i="10"/>
  <c r="X302" i="10"/>
  <c r="AD301" i="10"/>
  <c r="AB301" i="10"/>
  <c r="X301" i="10"/>
  <c r="AD300" i="10"/>
  <c r="AB300" i="10"/>
  <c r="X300" i="10"/>
  <c r="AD299" i="10"/>
  <c r="AB299" i="10"/>
  <c r="X299" i="10"/>
  <c r="AD298" i="10"/>
  <c r="AB298" i="10"/>
  <c r="X298" i="10"/>
  <c r="AD297" i="10"/>
  <c r="AB297" i="10"/>
  <c r="X297" i="10"/>
  <c r="AD296" i="10"/>
  <c r="AB296" i="10"/>
  <c r="X296" i="10"/>
  <c r="AD295" i="10"/>
  <c r="AB295" i="10"/>
  <c r="X295" i="10"/>
  <c r="AD294" i="10"/>
  <c r="AB294" i="10"/>
  <c r="X294" i="10"/>
  <c r="AD293" i="10"/>
  <c r="AB293" i="10"/>
  <c r="X293" i="10"/>
  <c r="AD292" i="10"/>
  <c r="AB292" i="10"/>
  <c r="X292" i="10"/>
  <c r="AD291" i="10"/>
  <c r="AB291" i="10"/>
  <c r="X291" i="10"/>
  <c r="AD290" i="10"/>
  <c r="AB290" i="10"/>
  <c r="X290" i="10"/>
  <c r="AD289" i="10"/>
  <c r="AB289" i="10"/>
  <c r="X289" i="10"/>
  <c r="AD288" i="10"/>
  <c r="AB288" i="10"/>
  <c r="X288" i="10"/>
  <c r="AD287" i="10"/>
  <c r="AB287" i="10"/>
  <c r="X287" i="10"/>
  <c r="AD286" i="10"/>
  <c r="AB286" i="10"/>
  <c r="X286" i="10"/>
  <c r="AD285" i="10"/>
  <c r="AB285" i="10"/>
  <c r="X285" i="10"/>
  <c r="AD284" i="10"/>
  <c r="AB284" i="10"/>
  <c r="X284" i="10"/>
  <c r="AD283" i="10"/>
  <c r="AB283" i="10"/>
  <c r="X283" i="10"/>
  <c r="AD282" i="10"/>
  <c r="AB282" i="10"/>
  <c r="X282" i="10"/>
  <c r="AD281" i="10"/>
  <c r="AB281" i="10"/>
  <c r="X281" i="10"/>
  <c r="AD280" i="10"/>
  <c r="AB280" i="10"/>
  <c r="X280" i="10"/>
  <c r="AD279" i="10"/>
  <c r="AB279" i="10"/>
  <c r="X279" i="10"/>
  <c r="AD278" i="10"/>
  <c r="AB278" i="10"/>
  <c r="X278" i="10"/>
  <c r="AD277" i="10"/>
  <c r="AB277" i="10"/>
  <c r="X277" i="10"/>
  <c r="AD276" i="10"/>
  <c r="AB276" i="10"/>
  <c r="X276" i="10"/>
  <c r="AD275" i="10"/>
  <c r="AB275" i="10"/>
  <c r="X275" i="10"/>
  <c r="AD274" i="10"/>
  <c r="AB274" i="10"/>
  <c r="X274" i="10"/>
  <c r="AD273" i="10"/>
  <c r="AB273" i="10"/>
  <c r="X273" i="10"/>
  <c r="AD272" i="10"/>
  <c r="AB272" i="10"/>
  <c r="X272" i="10"/>
  <c r="AD271" i="10"/>
  <c r="AB271" i="10"/>
  <c r="X271" i="10"/>
  <c r="AD270" i="10"/>
  <c r="AB270" i="10"/>
  <c r="X270" i="10"/>
  <c r="AD269" i="10"/>
  <c r="AB269" i="10"/>
  <c r="X269" i="10"/>
  <c r="AD268" i="10"/>
  <c r="AB268" i="10"/>
  <c r="X268" i="10"/>
  <c r="AD267" i="10"/>
  <c r="AB267" i="10"/>
  <c r="X267" i="10"/>
  <c r="AD266" i="10"/>
  <c r="AB266" i="10"/>
  <c r="X266" i="10"/>
  <c r="AD265" i="10"/>
  <c r="AB265" i="10"/>
  <c r="X265" i="10"/>
  <c r="AD264" i="10"/>
  <c r="AB264" i="10"/>
  <c r="X264" i="10"/>
  <c r="AD263" i="10"/>
  <c r="AB263" i="10"/>
  <c r="X263" i="10"/>
  <c r="AD262" i="10"/>
  <c r="AB262" i="10"/>
  <c r="X262" i="10"/>
  <c r="AD261" i="10"/>
  <c r="AB261" i="10"/>
  <c r="X261" i="10"/>
  <c r="AD260" i="10"/>
  <c r="AB260" i="10"/>
  <c r="X260" i="10"/>
  <c r="AD259" i="10"/>
  <c r="AB259" i="10"/>
  <c r="X259" i="10"/>
  <c r="AD258" i="10"/>
  <c r="AB258" i="10"/>
  <c r="X258" i="10"/>
  <c r="AD257" i="10"/>
  <c r="AB257" i="10"/>
  <c r="X257" i="10"/>
  <c r="AD256" i="10"/>
  <c r="AB256" i="10"/>
  <c r="X256" i="10"/>
  <c r="AD255" i="10"/>
  <c r="AB255" i="10"/>
  <c r="X255" i="10"/>
  <c r="AD254" i="10"/>
  <c r="AB254" i="10"/>
  <c r="X254" i="10"/>
  <c r="AD253" i="10"/>
  <c r="AB253" i="10"/>
  <c r="X253" i="10"/>
  <c r="AD252" i="10"/>
  <c r="AB252" i="10"/>
  <c r="X252" i="10"/>
  <c r="AD251" i="10"/>
  <c r="AB251" i="10"/>
  <c r="X251" i="10"/>
  <c r="AD250" i="10"/>
  <c r="AB250" i="10"/>
  <c r="X250" i="10"/>
  <c r="AD249" i="10"/>
  <c r="AB249" i="10"/>
  <c r="X249" i="10"/>
  <c r="AD248" i="10"/>
  <c r="AB248" i="10"/>
  <c r="X248" i="10"/>
  <c r="AD247" i="10"/>
  <c r="AB247" i="10"/>
  <c r="X247" i="10"/>
  <c r="AD246" i="10"/>
  <c r="AB246" i="10"/>
  <c r="X246" i="10"/>
  <c r="AD245" i="10"/>
  <c r="AB245" i="10"/>
  <c r="X245" i="10"/>
  <c r="AD244" i="10"/>
  <c r="AB244" i="10"/>
  <c r="X244" i="10"/>
  <c r="AD243" i="10"/>
  <c r="AB243" i="10"/>
  <c r="X243" i="10"/>
  <c r="AD242" i="10"/>
  <c r="AB242" i="10"/>
  <c r="X242" i="10"/>
  <c r="AD241" i="10"/>
  <c r="AB241" i="10"/>
  <c r="X241" i="10"/>
  <c r="AD240" i="10"/>
  <c r="AB240" i="10"/>
  <c r="X240" i="10"/>
  <c r="AD239" i="10"/>
  <c r="AB239" i="10"/>
  <c r="X239" i="10"/>
  <c r="AD238" i="10"/>
  <c r="AB238" i="10"/>
  <c r="X238" i="10"/>
  <c r="AD237" i="10"/>
  <c r="AB237" i="10"/>
  <c r="X237" i="10"/>
  <c r="AD236" i="10"/>
  <c r="AB236" i="10"/>
  <c r="X236" i="10"/>
  <c r="AD235" i="10"/>
  <c r="AB235" i="10"/>
  <c r="X235" i="10"/>
  <c r="AD234" i="10"/>
  <c r="AB234" i="10"/>
  <c r="X234" i="10"/>
  <c r="AD233" i="10"/>
  <c r="AB233" i="10"/>
  <c r="X233" i="10"/>
  <c r="AD232" i="10"/>
  <c r="AB232" i="10"/>
  <c r="X232" i="10"/>
  <c r="AD231" i="10"/>
  <c r="AB231" i="10"/>
  <c r="X231" i="10"/>
  <c r="AD230" i="10"/>
  <c r="AB230" i="10"/>
  <c r="X230" i="10"/>
  <c r="AD229" i="10"/>
  <c r="AB229" i="10"/>
  <c r="X229" i="10"/>
  <c r="AD228" i="10"/>
  <c r="AB228" i="10"/>
  <c r="X228" i="10"/>
  <c r="AD227" i="10"/>
  <c r="AB227" i="10"/>
  <c r="X227" i="10"/>
  <c r="AD226" i="10"/>
  <c r="AB226" i="10"/>
  <c r="X226" i="10"/>
  <c r="AD225" i="10"/>
  <c r="AB225" i="10"/>
  <c r="X225" i="10"/>
  <c r="AD224" i="10"/>
  <c r="AB224" i="10"/>
  <c r="X224" i="10"/>
  <c r="AD223" i="10"/>
  <c r="AB223" i="10"/>
  <c r="X223" i="10"/>
  <c r="AD222" i="10"/>
  <c r="AB222" i="10"/>
  <c r="X222" i="10"/>
  <c r="AD221" i="10"/>
  <c r="AB221" i="10"/>
  <c r="X221" i="10"/>
  <c r="AD220" i="10"/>
  <c r="AB220" i="10"/>
  <c r="X220" i="10"/>
  <c r="AD219" i="10"/>
  <c r="AB219" i="10"/>
  <c r="X219" i="10"/>
  <c r="AD218" i="10"/>
  <c r="AB218" i="10"/>
  <c r="X218" i="10"/>
  <c r="AD217" i="10"/>
  <c r="AB217" i="10"/>
  <c r="X217" i="10"/>
  <c r="AD216" i="10"/>
  <c r="AB216" i="10"/>
  <c r="X216" i="10"/>
  <c r="AD215" i="10"/>
  <c r="AB215" i="10"/>
  <c r="X215" i="10"/>
  <c r="AD214" i="10"/>
  <c r="AB214" i="10"/>
  <c r="X214" i="10"/>
  <c r="AD213" i="10"/>
  <c r="AB213" i="10"/>
  <c r="X213" i="10"/>
  <c r="AD212" i="10"/>
  <c r="AB212" i="10"/>
  <c r="X212" i="10"/>
  <c r="AD211" i="10"/>
  <c r="AB211" i="10"/>
  <c r="X211" i="10"/>
  <c r="AD210" i="10"/>
  <c r="AB210" i="10"/>
  <c r="X210" i="10"/>
  <c r="AD209" i="10"/>
  <c r="AB209" i="10"/>
  <c r="X209" i="10"/>
  <c r="AD208" i="10"/>
  <c r="AB208" i="10"/>
  <c r="X208" i="10"/>
  <c r="AD207" i="10"/>
  <c r="AB207" i="10"/>
  <c r="X207" i="10"/>
  <c r="AD206" i="10"/>
  <c r="AB206" i="10"/>
  <c r="X206" i="10"/>
  <c r="AD205" i="10"/>
  <c r="AB205" i="10"/>
  <c r="X205" i="10"/>
  <c r="AD204" i="10"/>
  <c r="AB204" i="10"/>
  <c r="X204" i="10"/>
  <c r="AD203" i="10"/>
  <c r="AB203" i="10"/>
  <c r="X203" i="10"/>
  <c r="AD202" i="10"/>
  <c r="AB202" i="10"/>
  <c r="X202" i="10"/>
  <c r="AD201" i="10"/>
  <c r="AB201" i="10"/>
  <c r="X201" i="10"/>
  <c r="AD200" i="10"/>
  <c r="AB200" i="10"/>
  <c r="X200" i="10"/>
  <c r="AD199" i="10"/>
  <c r="AB199" i="10"/>
  <c r="X199" i="10"/>
  <c r="AD198" i="10"/>
  <c r="AB198" i="10"/>
  <c r="X198" i="10"/>
  <c r="AD197" i="10"/>
  <c r="AB197" i="10"/>
  <c r="X197" i="10"/>
  <c r="AD196" i="10"/>
  <c r="AB196" i="10"/>
  <c r="X196" i="10"/>
  <c r="AD195" i="10"/>
  <c r="AB195" i="10"/>
  <c r="X195" i="10"/>
  <c r="AD194" i="10"/>
  <c r="AB194" i="10"/>
  <c r="X194" i="10"/>
  <c r="AD193" i="10"/>
  <c r="AB193" i="10"/>
  <c r="X193" i="10"/>
  <c r="AD192" i="10"/>
  <c r="AB192" i="10"/>
  <c r="X192" i="10"/>
  <c r="AD191" i="10"/>
  <c r="AB191" i="10"/>
  <c r="X191" i="10"/>
  <c r="AD190" i="10"/>
  <c r="AB190" i="10"/>
  <c r="X190" i="10"/>
  <c r="AD189" i="10"/>
  <c r="AB189" i="10"/>
  <c r="X189" i="10"/>
  <c r="AD188" i="10"/>
  <c r="AB188" i="10"/>
  <c r="X188" i="10"/>
  <c r="AD187" i="10"/>
  <c r="AB187" i="10"/>
  <c r="X187" i="10"/>
  <c r="AD186" i="10"/>
  <c r="AB186" i="10"/>
  <c r="X186" i="10"/>
  <c r="AD185" i="10"/>
  <c r="AB185" i="10"/>
  <c r="X185" i="10"/>
  <c r="AD184" i="10"/>
  <c r="AB184" i="10"/>
  <c r="X184" i="10"/>
  <c r="AD183" i="10"/>
  <c r="AB183" i="10"/>
  <c r="X183" i="10"/>
  <c r="AD182" i="10"/>
  <c r="AB182" i="10"/>
  <c r="X182" i="10"/>
  <c r="AD181" i="10"/>
  <c r="AB181" i="10"/>
  <c r="X181" i="10"/>
  <c r="AD180" i="10"/>
  <c r="AB180" i="10"/>
  <c r="X180" i="10"/>
  <c r="AD179" i="10"/>
  <c r="AB179" i="10"/>
  <c r="X179" i="10"/>
  <c r="AD178" i="10"/>
  <c r="AB178" i="10"/>
  <c r="X178" i="10"/>
  <c r="AD177" i="10"/>
  <c r="AB177" i="10"/>
  <c r="X177" i="10"/>
  <c r="AD176" i="10"/>
  <c r="AB176" i="10"/>
  <c r="X176" i="10"/>
  <c r="AD175" i="10"/>
  <c r="AB175" i="10"/>
  <c r="X175" i="10"/>
  <c r="AD174" i="10"/>
  <c r="AB174" i="10"/>
  <c r="X174" i="10"/>
  <c r="AD173" i="10"/>
  <c r="AB173" i="10"/>
  <c r="X173" i="10"/>
  <c r="AD172" i="10"/>
  <c r="AB172" i="10"/>
  <c r="X172" i="10"/>
  <c r="AD171" i="10"/>
  <c r="AB171" i="10"/>
  <c r="X171" i="10"/>
  <c r="AD170" i="10"/>
  <c r="AB170" i="10"/>
  <c r="X170" i="10"/>
  <c r="AD169" i="10"/>
  <c r="AB169" i="10"/>
  <c r="X169" i="10"/>
  <c r="AD168" i="10"/>
  <c r="AB168" i="10"/>
  <c r="X168" i="10"/>
  <c r="AD167" i="10"/>
  <c r="AB167" i="10"/>
  <c r="X167" i="10"/>
  <c r="AD166" i="10"/>
  <c r="AB166" i="10"/>
  <c r="X166" i="10"/>
  <c r="AD165" i="10"/>
  <c r="AB165" i="10"/>
  <c r="X165" i="10"/>
  <c r="AD164" i="10"/>
  <c r="AB164" i="10"/>
  <c r="X164" i="10"/>
  <c r="AD163" i="10"/>
  <c r="AB163" i="10"/>
  <c r="X163" i="10"/>
  <c r="AD162" i="10"/>
  <c r="AB162" i="10"/>
  <c r="X162" i="10"/>
  <c r="AD161" i="10"/>
  <c r="AB161" i="10"/>
  <c r="X161" i="10"/>
  <c r="AD160" i="10"/>
  <c r="AB160" i="10"/>
  <c r="X160" i="10"/>
  <c r="AD159" i="10"/>
  <c r="AB159" i="10"/>
  <c r="X159" i="10"/>
  <c r="AD158" i="10"/>
  <c r="AB158" i="10"/>
  <c r="X158" i="10"/>
  <c r="AD157" i="10"/>
  <c r="AB157" i="10"/>
  <c r="X157" i="10"/>
  <c r="AD156" i="10"/>
  <c r="AB156" i="10"/>
  <c r="X156" i="10"/>
  <c r="AD155" i="10"/>
  <c r="AB155" i="10"/>
  <c r="X155" i="10"/>
  <c r="AD154" i="10"/>
  <c r="AB154" i="10"/>
  <c r="X154" i="10"/>
  <c r="AD153" i="10"/>
  <c r="AB153" i="10"/>
  <c r="X153" i="10"/>
  <c r="AD152" i="10"/>
  <c r="AB152" i="10"/>
  <c r="X152" i="10"/>
  <c r="AD151" i="10"/>
  <c r="AB151" i="10"/>
  <c r="X151" i="10"/>
  <c r="AD150" i="10"/>
  <c r="AB150" i="10"/>
  <c r="X150" i="10"/>
  <c r="AD149" i="10"/>
  <c r="AB149" i="10"/>
  <c r="X149" i="10"/>
  <c r="AD148" i="10"/>
  <c r="AB148" i="10"/>
  <c r="X148" i="10"/>
  <c r="AD147" i="10"/>
  <c r="AB147" i="10"/>
  <c r="X147" i="10"/>
  <c r="AD146" i="10"/>
  <c r="AB146" i="10"/>
  <c r="X146" i="10"/>
  <c r="AD145" i="10"/>
  <c r="AB145" i="10"/>
  <c r="X145" i="10"/>
  <c r="AD144" i="10"/>
  <c r="AB144" i="10"/>
  <c r="X144" i="10"/>
  <c r="AD143" i="10"/>
  <c r="AB143" i="10"/>
  <c r="X143" i="10"/>
  <c r="AD142" i="10"/>
  <c r="AB142" i="10"/>
  <c r="X142" i="10"/>
  <c r="AD141" i="10"/>
  <c r="AB141" i="10"/>
  <c r="X141" i="10"/>
  <c r="AD140" i="10"/>
  <c r="AB140" i="10"/>
  <c r="X140" i="10"/>
  <c r="AD139" i="10"/>
  <c r="AB139" i="10"/>
  <c r="X139" i="10"/>
  <c r="AD138" i="10"/>
  <c r="AB138" i="10"/>
  <c r="X138" i="10"/>
  <c r="AD137" i="10"/>
  <c r="AB137" i="10"/>
  <c r="X137" i="10"/>
  <c r="AD136" i="10"/>
  <c r="AB136" i="10"/>
  <c r="X136" i="10"/>
  <c r="AD135" i="10"/>
  <c r="AB135" i="10"/>
  <c r="X135" i="10"/>
  <c r="AD134" i="10"/>
  <c r="AB134" i="10"/>
  <c r="X134" i="10"/>
  <c r="AD133" i="10"/>
  <c r="AB133" i="10"/>
  <c r="X133" i="10"/>
  <c r="AD132" i="10"/>
  <c r="AB132" i="10"/>
  <c r="X132" i="10"/>
  <c r="AD131" i="10"/>
  <c r="AB131" i="10"/>
  <c r="X131" i="10"/>
  <c r="AD130" i="10"/>
  <c r="AB130" i="10"/>
  <c r="X130" i="10"/>
  <c r="AD129" i="10"/>
  <c r="AB129" i="10"/>
  <c r="X129" i="10"/>
  <c r="AD128" i="10"/>
  <c r="AB128" i="10"/>
  <c r="X128" i="10"/>
  <c r="AD127" i="10"/>
  <c r="AB127" i="10"/>
  <c r="X127" i="10"/>
  <c r="AD126" i="10"/>
  <c r="AB126" i="10"/>
  <c r="X126" i="10"/>
  <c r="AD125" i="10"/>
  <c r="AB125" i="10"/>
  <c r="X125" i="10"/>
  <c r="AD124" i="10"/>
  <c r="AB124" i="10"/>
  <c r="X124" i="10"/>
  <c r="AD123" i="10"/>
  <c r="AB123" i="10"/>
  <c r="X123" i="10"/>
  <c r="AD122" i="10"/>
  <c r="AB122" i="10"/>
  <c r="X122" i="10"/>
  <c r="AD121" i="10"/>
  <c r="AB121" i="10"/>
  <c r="X121" i="10"/>
  <c r="AD120" i="10"/>
  <c r="AB120" i="10"/>
  <c r="X120" i="10"/>
  <c r="AD119" i="10"/>
  <c r="AB119" i="10"/>
  <c r="X119" i="10"/>
  <c r="AD118" i="10"/>
  <c r="AB118" i="10"/>
  <c r="X118" i="10"/>
  <c r="AD117" i="10"/>
  <c r="AB117" i="10"/>
  <c r="X117" i="10"/>
  <c r="AD116" i="10"/>
  <c r="AB116" i="10"/>
  <c r="X116" i="10"/>
  <c r="AD115" i="10"/>
  <c r="AB115" i="10"/>
  <c r="X115" i="10"/>
  <c r="AD114" i="10"/>
  <c r="AB114" i="10"/>
  <c r="X114" i="10"/>
  <c r="AD113" i="10"/>
  <c r="AB113" i="10"/>
  <c r="X113" i="10"/>
  <c r="AD112" i="10"/>
  <c r="AB112" i="10"/>
  <c r="X112" i="10"/>
  <c r="AD111" i="10"/>
  <c r="AB111" i="10"/>
  <c r="X111" i="10"/>
  <c r="AD110" i="10"/>
  <c r="AB110" i="10"/>
  <c r="X110" i="10"/>
  <c r="AD109" i="10"/>
  <c r="AB109" i="10"/>
  <c r="X109" i="10"/>
  <c r="AD108" i="10"/>
  <c r="AB108" i="10"/>
  <c r="X108" i="10"/>
  <c r="AD107" i="10"/>
  <c r="AB107" i="10"/>
  <c r="X107" i="10"/>
  <c r="AD106" i="10"/>
  <c r="AB106" i="10"/>
  <c r="X106" i="10"/>
  <c r="AD105" i="10"/>
  <c r="AB105" i="10"/>
  <c r="X105" i="10"/>
  <c r="AD104" i="10"/>
  <c r="AB104" i="10"/>
  <c r="X104" i="10"/>
  <c r="AD103" i="10"/>
  <c r="AB103" i="10"/>
  <c r="X103" i="10"/>
  <c r="AD102" i="10"/>
  <c r="AB102" i="10"/>
  <c r="X102" i="10"/>
  <c r="AD101" i="10"/>
  <c r="AB101" i="10"/>
  <c r="X101" i="10"/>
  <c r="AD100" i="10"/>
  <c r="AB100" i="10"/>
  <c r="X100" i="10"/>
  <c r="AD99" i="10"/>
  <c r="AB99" i="10"/>
  <c r="X99" i="10"/>
  <c r="AD98" i="10"/>
  <c r="AB98" i="10"/>
  <c r="X98" i="10"/>
  <c r="AD97" i="10"/>
  <c r="AB97" i="10"/>
  <c r="X97" i="10"/>
  <c r="AD96" i="10"/>
  <c r="AB96" i="10"/>
  <c r="X96" i="10"/>
  <c r="AD95" i="10"/>
  <c r="AB95" i="10"/>
  <c r="X95" i="10"/>
  <c r="AD94" i="10"/>
  <c r="AB94" i="10"/>
  <c r="X94" i="10"/>
  <c r="AD93" i="10"/>
  <c r="AB93" i="10"/>
  <c r="X93" i="10"/>
  <c r="AD92" i="10"/>
  <c r="AB92" i="10"/>
  <c r="X92" i="10"/>
  <c r="AD91" i="10"/>
  <c r="AB91" i="10"/>
  <c r="X91" i="10"/>
  <c r="AD90" i="10"/>
  <c r="AB90" i="10"/>
  <c r="X90" i="10"/>
  <c r="AD89" i="10"/>
  <c r="AB89" i="10"/>
  <c r="X89" i="10"/>
  <c r="AD88" i="10"/>
  <c r="AB88" i="10"/>
  <c r="X88" i="10"/>
  <c r="AD87" i="10"/>
  <c r="AB87" i="10"/>
  <c r="X87" i="10"/>
  <c r="AD86" i="10"/>
  <c r="AB86" i="10"/>
  <c r="X86" i="10"/>
  <c r="AD85" i="10"/>
  <c r="AB85" i="10"/>
  <c r="X85" i="10"/>
  <c r="AD84" i="10"/>
  <c r="AB84" i="10"/>
  <c r="X84" i="10"/>
  <c r="AD83" i="10"/>
  <c r="AB83" i="10"/>
  <c r="X83" i="10"/>
  <c r="AD82" i="10"/>
  <c r="AB82" i="10"/>
  <c r="X82" i="10"/>
  <c r="AD81" i="10"/>
  <c r="AB81" i="10"/>
  <c r="X81" i="10"/>
  <c r="AD80" i="10"/>
  <c r="AB80" i="10"/>
  <c r="X80" i="10"/>
  <c r="AD79" i="10"/>
  <c r="AB79" i="10"/>
  <c r="X79" i="10"/>
  <c r="AD78" i="10"/>
  <c r="AB78" i="10"/>
  <c r="X78" i="10"/>
  <c r="AD77" i="10"/>
  <c r="AB77" i="10"/>
  <c r="X77" i="10"/>
  <c r="AD76" i="10"/>
  <c r="AB76" i="10"/>
  <c r="X76" i="10"/>
  <c r="AD75" i="10"/>
  <c r="AB75" i="10"/>
  <c r="X75" i="10"/>
  <c r="AD74" i="10"/>
  <c r="AB74" i="10"/>
  <c r="X74" i="10"/>
  <c r="AD73" i="10"/>
  <c r="AB73" i="10"/>
  <c r="X73" i="10"/>
  <c r="AD72" i="10"/>
  <c r="AB72" i="10"/>
  <c r="X72" i="10"/>
  <c r="AD71" i="10"/>
  <c r="AB71" i="10"/>
  <c r="X71" i="10"/>
  <c r="AD70" i="10"/>
  <c r="AB70" i="10"/>
  <c r="X70" i="10"/>
  <c r="AD69" i="10"/>
  <c r="AB69" i="10"/>
  <c r="X69" i="10"/>
  <c r="AD68" i="10"/>
  <c r="AB68" i="10"/>
  <c r="X68" i="10"/>
  <c r="AD67" i="10"/>
  <c r="AB67" i="10"/>
  <c r="X67" i="10"/>
  <c r="AD66" i="10"/>
  <c r="AB66" i="10"/>
  <c r="X66" i="10"/>
  <c r="AD65" i="10"/>
  <c r="AB65" i="10"/>
  <c r="X65" i="10"/>
  <c r="AD64" i="10"/>
  <c r="AB64" i="10"/>
  <c r="X64" i="10"/>
  <c r="AD63" i="10"/>
  <c r="AB63" i="10"/>
  <c r="X63" i="10"/>
  <c r="AD62" i="10"/>
  <c r="AB62" i="10"/>
  <c r="X62" i="10"/>
  <c r="AD61" i="10"/>
  <c r="AB61" i="10"/>
  <c r="X61" i="10"/>
  <c r="AD60" i="10"/>
  <c r="AB60" i="10"/>
  <c r="X60" i="10"/>
  <c r="AD59" i="10"/>
  <c r="AB59" i="10"/>
  <c r="X59" i="10"/>
  <c r="AD58" i="10"/>
  <c r="AB58" i="10"/>
  <c r="X58" i="10"/>
  <c r="AD57" i="10"/>
  <c r="AB57" i="10"/>
  <c r="X57" i="10"/>
  <c r="AD56" i="10"/>
  <c r="AB56" i="10"/>
  <c r="X56" i="10"/>
  <c r="AD55" i="10"/>
  <c r="AB55" i="10"/>
  <c r="X55" i="10"/>
  <c r="AD54" i="10"/>
  <c r="AB54" i="10"/>
  <c r="X54" i="10"/>
  <c r="AD53" i="10"/>
  <c r="AB53" i="10"/>
  <c r="X53" i="10"/>
  <c r="AD52" i="10"/>
  <c r="AB52" i="10"/>
  <c r="X52" i="10"/>
  <c r="AD51" i="10"/>
  <c r="AB51" i="10"/>
  <c r="X51" i="10"/>
  <c r="AD50" i="10"/>
  <c r="AB50" i="10"/>
  <c r="X50" i="10"/>
  <c r="AD49" i="10"/>
  <c r="AB49" i="10"/>
  <c r="X49" i="10"/>
  <c r="AD48" i="10"/>
  <c r="AB48" i="10"/>
  <c r="X48" i="10"/>
  <c r="AD47" i="10"/>
  <c r="AB47" i="10"/>
  <c r="X47" i="10"/>
  <c r="AD46" i="10"/>
  <c r="AB46" i="10"/>
  <c r="X46" i="10"/>
  <c r="AD45" i="10"/>
  <c r="AB45" i="10"/>
  <c r="X45" i="10"/>
  <c r="AD44" i="10"/>
  <c r="AB44" i="10"/>
  <c r="X44" i="10"/>
  <c r="AD43" i="10"/>
  <c r="AB43" i="10"/>
  <c r="X43" i="10"/>
  <c r="AD42" i="10"/>
  <c r="AB42" i="10"/>
  <c r="X42" i="10"/>
  <c r="AD41" i="10"/>
  <c r="AB41" i="10"/>
  <c r="X41" i="10"/>
  <c r="AD40" i="10"/>
  <c r="AB40" i="10"/>
  <c r="X40" i="10"/>
  <c r="AD39" i="10"/>
  <c r="AB39" i="10"/>
  <c r="X39" i="10"/>
  <c r="AD38" i="10"/>
  <c r="AB38" i="10"/>
  <c r="X38" i="10"/>
  <c r="AD37" i="10"/>
  <c r="AB37" i="10"/>
  <c r="X37" i="10"/>
  <c r="AD36" i="10"/>
  <c r="AB36" i="10"/>
  <c r="X36" i="10"/>
  <c r="AD35" i="10"/>
  <c r="AB35" i="10"/>
  <c r="X35" i="10"/>
  <c r="AD34" i="10"/>
  <c r="AB34" i="10"/>
  <c r="X34" i="10"/>
  <c r="AD33" i="10"/>
  <c r="AB33" i="10"/>
  <c r="X33" i="10"/>
  <c r="AD32" i="10"/>
  <c r="AB32" i="10"/>
  <c r="X32" i="10"/>
  <c r="AD31" i="10"/>
  <c r="AB31" i="10"/>
  <c r="X31" i="10"/>
  <c r="AD30" i="10"/>
  <c r="AB30" i="10"/>
  <c r="X30" i="10"/>
  <c r="AD29" i="10"/>
  <c r="AB29" i="10"/>
  <c r="X29" i="10"/>
  <c r="AD28" i="10"/>
  <c r="AB28" i="10"/>
  <c r="X28" i="10"/>
  <c r="AD27" i="10"/>
  <c r="AB27" i="10"/>
  <c r="X27" i="10"/>
  <c r="AD26" i="10"/>
  <c r="AB26" i="10"/>
  <c r="X26" i="10"/>
  <c r="AD25" i="10"/>
  <c r="AB25" i="10"/>
  <c r="X25" i="10"/>
  <c r="AD24" i="10"/>
  <c r="AB24" i="10"/>
  <c r="X24" i="10"/>
  <c r="AD23" i="10"/>
  <c r="AB23" i="10"/>
  <c r="X23" i="10"/>
  <c r="AD22" i="10"/>
  <c r="AB22" i="10"/>
  <c r="X22" i="10"/>
  <c r="AD21" i="10"/>
  <c r="AB21" i="10"/>
  <c r="X21" i="10"/>
  <c r="AD20" i="10"/>
  <c r="AB20" i="10"/>
  <c r="X20" i="10"/>
  <c r="AD19" i="10"/>
  <c r="AB19" i="10"/>
  <c r="X19" i="10"/>
  <c r="AD18" i="10"/>
  <c r="AB18" i="10"/>
  <c r="X18" i="10"/>
  <c r="AD17" i="10"/>
  <c r="AB17" i="10"/>
  <c r="X17" i="10"/>
  <c r="AD16" i="10"/>
  <c r="AB16" i="10"/>
  <c r="X16" i="10"/>
  <c r="AD15" i="10"/>
  <c r="AB15" i="10"/>
  <c r="X15" i="10"/>
  <c r="AD14" i="10"/>
  <c r="AB14" i="10"/>
  <c r="X14" i="10"/>
  <c r="AD13" i="10"/>
  <c r="AB13" i="10"/>
  <c r="X13" i="10"/>
  <c r="AD12" i="10"/>
  <c r="AB12" i="10"/>
  <c r="X12" i="10"/>
  <c r="AD11" i="10"/>
  <c r="AB11" i="10"/>
  <c r="X11" i="10"/>
  <c r="AD10" i="10"/>
  <c r="AB10" i="10"/>
  <c r="X10" i="10"/>
  <c r="AD9" i="10"/>
  <c r="AB9" i="10"/>
  <c r="X9" i="10"/>
  <c r="AD8" i="10"/>
  <c r="AB8" i="10"/>
  <c r="X8" i="10"/>
  <c r="AD7" i="10"/>
  <c r="AB7" i="10"/>
  <c r="X7" i="10"/>
  <c r="AD6" i="10"/>
  <c r="AB6" i="10"/>
  <c r="X6" i="10"/>
  <c r="AD5" i="10"/>
  <c r="AB5" i="10"/>
  <c r="X5" i="10"/>
  <c r="AD4" i="10"/>
  <c r="AB4" i="10"/>
  <c r="X4" i="10"/>
  <c r="AD3" i="10"/>
  <c r="AB3" i="10"/>
  <c r="X3" i="10"/>
  <c r="AD2" i="10"/>
  <c r="AB2" i="10"/>
  <c r="AE1" i="10"/>
  <c r="Y1" i="10"/>
  <c r="F2" i="8" a="1"/>
  <c r="B2" i="8" a="1"/>
  <c r="B2" i="8"/>
  <c r="AD1378" i="7"/>
  <c r="AB1378" i="7"/>
  <c r="AD1377" i="7"/>
  <c r="AB1377" i="7"/>
  <c r="AD1376" i="7"/>
  <c r="AB1376" i="7"/>
  <c r="AD1375" i="7"/>
  <c r="AB1375" i="7"/>
  <c r="AD1374" i="7"/>
  <c r="AB1374" i="7"/>
  <c r="AD1373" i="7"/>
  <c r="AB1373" i="7"/>
  <c r="AD1372" i="7"/>
  <c r="AB1372" i="7"/>
  <c r="AD1371" i="7"/>
  <c r="AB1371" i="7"/>
  <c r="AD1370" i="7"/>
  <c r="AB1370" i="7"/>
  <c r="AD1369" i="7"/>
  <c r="AB1369" i="7"/>
  <c r="AD1368" i="7"/>
  <c r="AB1368" i="7"/>
  <c r="AD1367" i="7"/>
  <c r="AB1367" i="7"/>
  <c r="AD1366" i="7"/>
  <c r="AB1366" i="7"/>
  <c r="AD1365" i="7"/>
  <c r="AB1365" i="7"/>
  <c r="AD1364" i="7"/>
  <c r="AB1364" i="7"/>
  <c r="AD1363" i="7"/>
  <c r="AB1363" i="7"/>
  <c r="AD1362" i="7"/>
  <c r="AB1362" i="7"/>
  <c r="AD1361" i="7"/>
  <c r="AB1361" i="7"/>
  <c r="AD1360" i="7"/>
  <c r="AB1360" i="7"/>
  <c r="AD1359" i="7"/>
  <c r="AB1359" i="7"/>
  <c r="AD1358" i="7"/>
  <c r="AB1358" i="7"/>
  <c r="AD1357" i="7"/>
  <c r="AB1357" i="7"/>
  <c r="AD1356" i="7"/>
  <c r="AB1356" i="7"/>
  <c r="AD1355" i="7"/>
  <c r="AB1355" i="7"/>
  <c r="AD1354" i="7"/>
  <c r="AB1354" i="7"/>
  <c r="AD1353" i="7"/>
  <c r="AB1353" i="7"/>
  <c r="AD1352" i="7"/>
  <c r="AB1352" i="7"/>
  <c r="AD1351" i="7"/>
  <c r="AB1351" i="7"/>
  <c r="AD1350" i="7"/>
  <c r="AB1350" i="7"/>
  <c r="AD1349" i="7"/>
  <c r="AB1349" i="7"/>
  <c r="AD1348" i="7"/>
  <c r="AB1348" i="7"/>
  <c r="AD1347" i="7"/>
  <c r="AB1347" i="7"/>
  <c r="AD1346" i="7"/>
  <c r="AB1346" i="7"/>
  <c r="AD1345" i="7"/>
  <c r="AB1345" i="7"/>
  <c r="AD1344" i="7"/>
  <c r="AB1344" i="7"/>
  <c r="AD1343" i="7"/>
  <c r="AB1343" i="7"/>
  <c r="AD1342" i="7"/>
  <c r="AB1342" i="7"/>
  <c r="AD1341" i="7"/>
  <c r="AB1341" i="7"/>
  <c r="AD1340" i="7"/>
  <c r="AB1340" i="7"/>
  <c r="AD1339" i="7"/>
  <c r="AB1339" i="7"/>
  <c r="AD1338" i="7"/>
  <c r="AB1338" i="7"/>
  <c r="AD1337" i="7"/>
  <c r="AB1337" i="7"/>
  <c r="AD1336" i="7"/>
  <c r="AB1336" i="7"/>
  <c r="AD1335" i="7"/>
  <c r="AB1335" i="7"/>
  <c r="AD1334" i="7"/>
  <c r="AB1334" i="7"/>
  <c r="AD1333" i="7"/>
  <c r="AB1333" i="7"/>
  <c r="AD1332" i="7"/>
  <c r="AB1332" i="7"/>
  <c r="AD1331" i="7"/>
  <c r="AB1331" i="7"/>
  <c r="AD1330" i="7"/>
  <c r="AB1330" i="7"/>
  <c r="AD1329" i="7"/>
  <c r="AB1329" i="7"/>
  <c r="AD1328" i="7"/>
  <c r="AB1328" i="7"/>
  <c r="AD1327" i="7"/>
  <c r="AB1327" i="7"/>
  <c r="AD1326" i="7"/>
  <c r="AB1326" i="7"/>
  <c r="AD1325" i="7"/>
  <c r="AB1325" i="7"/>
  <c r="AD1324" i="7"/>
  <c r="AB1324" i="7"/>
  <c r="AD1323" i="7"/>
  <c r="AB1323" i="7"/>
  <c r="AD1322" i="7"/>
  <c r="AB1322" i="7"/>
  <c r="AD1321" i="7"/>
  <c r="AB1321" i="7"/>
  <c r="AD1320" i="7"/>
  <c r="AB1320" i="7"/>
  <c r="AD1319" i="7"/>
  <c r="AB1319" i="7"/>
  <c r="AD1318" i="7"/>
  <c r="AB1318" i="7"/>
  <c r="AD1317" i="7"/>
  <c r="AB1317" i="7"/>
  <c r="AD1316" i="7"/>
  <c r="AB1316" i="7"/>
  <c r="AD1315" i="7"/>
  <c r="AB1315" i="7"/>
  <c r="AD1314" i="7"/>
  <c r="AB1314" i="7"/>
  <c r="AD1313" i="7"/>
  <c r="AB1313" i="7"/>
  <c r="AD1312" i="7"/>
  <c r="AB1312" i="7"/>
  <c r="AD1311" i="7"/>
  <c r="AB1311" i="7"/>
  <c r="AD1310" i="7"/>
  <c r="AB1310" i="7"/>
  <c r="AD1309" i="7"/>
  <c r="AB1309" i="7"/>
  <c r="AD1308" i="7"/>
  <c r="AB1308" i="7"/>
  <c r="AD1307" i="7"/>
  <c r="AB1307" i="7"/>
  <c r="AD1306" i="7"/>
  <c r="AB1306" i="7"/>
  <c r="AD1305" i="7"/>
  <c r="AB1305" i="7"/>
  <c r="AD1304" i="7"/>
  <c r="AB1304" i="7"/>
  <c r="AD1303" i="7"/>
  <c r="AB1303" i="7"/>
  <c r="AD1302" i="7"/>
  <c r="AB1302" i="7"/>
  <c r="AD1301" i="7"/>
  <c r="AB1301" i="7"/>
  <c r="AD1300" i="7"/>
  <c r="AB1300" i="7"/>
  <c r="AD1299" i="7"/>
  <c r="AB1299" i="7"/>
  <c r="AD1298" i="7"/>
  <c r="AB1298" i="7"/>
  <c r="AD1297" i="7"/>
  <c r="AB1297" i="7"/>
  <c r="AD1296" i="7"/>
  <c r="AB1296" i="7"/>
  <c r="AD1295" i="7"/>
  <c r="AB1295" i="7"/>
  <c r="AD1294" i="7"/>
  <c r="AB1294" i="7"/>
  <c r="AD1293" i="7"/>
  <c r="AB1293" i="7"/>
  <c r="AD1292" i="7"/>
  <c r="AB1292" i="7"/>
  <c r="AD1291" i="7"/>
  <c r="AB1291" i="7"/>
  <c r="AD1290" i="7"/>
  <c r="AB1290" i="7"/>
  <c r="AD1289" i="7"/>
  <c r="AB1289" i="7"/>
  <c r="AD1288" i="7"/>
  <c r="AB1288" i="7"/>
  <c r="AD1287" i="7"/>
  <c r="AB1287" i="7"/>
  <c r="AD1286" i="7"/>
  <c r="AB1286" i="7"/>
  <c r="AD1285" i="7"/>
  <c r="AB1285" i="7"/>
  <c r="AD1284" i="7"/>
  <c r="AB1284" i="7"/>
  <c r="AD1283" i="7"/>
  <c r="AB1283" i="7"/>
  <c r="AD1282" i="7"/>
  <c r="AB1282" i="7"/>
  <c r="AD1281" i="7"/>
  <c r="AB1281" i="7"/>
  <c r="AD1280" i="7"/>
  <c r="AB1280" i="7"/>
  <c r="AD1279" i="7"/>
  <c r="AB1279" i="7"/>
  <c r="AD1278" i="7"/>
  <c r="AB1278" i="7"/>
  <c r="AD1277" i="7"/>
  <c r="AB1277" i="7"/>
  <c r="AD1276" i="7"/>
  <c r="AB1276" i="7"/>
  <c r="AD1275" i="7"/>
  <c r="AB1275" i="7"/>
  <c r="AD1274" i="7"/>
  <c r="AB1274" i="7"/>
  <c r="AD1273" i="7"/>
  <c r="AB1273" i="7"/>
  <c r="AD1272" i="7"/>
  <c r="AB1272" i="7"/>
  <c r="AD1264" i="7"/>
  <c r="AB1264" i="7"/>
  <c r="AD1263" i="7"/>
  <c r="AB1263" i="7"/>
  <c r="AD1262" i="7"/>
  <c r="AB1262" i="7"/>
  <c r="AD1261" i="7"/>
  <c r="AB1261" i="7"/>
  <c r="AD1260" i="7"/>
  <c r="AB1260" i="7"/>
  <c r="AD1259" i="7"/>
  <c r="AB1259" i="7"/>
  <c r="AD1258" i="7"/>
  <c r="AB1258" i="7"/>
  <c r="AD1257" i="7"/>
  <c r="AB1257" i="7"/>
  <c r="AD1256" i="7"/>
  <c r="AB1256" i="7"/>
  <c r="AD1255" i="7"/>
  <c r="AB1255" i="7"/>
  <c r="AD1254" i="7"/>
  <c r="AB1254" i="7"/>
  <c r="AD1253" i="7"/>
  <c r="AB1253" i="7"/>
  <c r="AD1252" i="7"/>
  <c r="AB1252" i="7"/>
  <c r="AD1251" i="7"/>
  <c r="AB1251" i="7"/>
  <c r="AD1250" i="7"/>
  <c r="AB1250" i="7"/>
  <c r="AD1249" i="7"/>
  <c r="AB1249" i="7"/>
  <c r="AD1248" i="7"/>
  <c r="AB1248" i="7"/>
  <c r="AD1247" i="7"/>
  <c r="AB1247" i="7"/>
  <c r="AD1246" i="7"/>
  <c r="AB1246" i="7"/>
  <c r="AD1245" i="7"/>
  <c r="AB1245" i="7"/>
  <c r="AD1244" i="7"/>
  <c r="AB1244" i="7"/>
  <c r="AD1243" i="7"/>
  <c r="AB1243" i="7"/>
  <c r="AD1242" i="7"/>
  <c r="AB1242" i="7"/>
  <c r="AD1241" i="7"/>
  <c r="AB1241" i="7"/>
  <c r="AD1240" i="7"/>
  <c r="AB1240" i="7"/>
  <c r="AD1239" i="7"/>
  <c r="AB1239" i="7"/>
  <c r="AD1238" i="7"/>
  <c r="AB1238" i="7"/>
  <c r="AD1237" i="7"/>
  <c r="AB1237" i="7"/>
  <c r="AD1236" i="7"/>
  <c r="AB1236" i="7"/>
  <c r="AD1235" i="7"/>
  <c r="AB1235" i="7"/>
  <c r="AD1234" i="7"/>
  <c r="AB1234" i="7"/>
  <c r="AD1233" i="7"/>
  <c r="AB1233" i="7"/>
  <c r="AD1232" i="7"/>
  <c r="AB1232" i="7"/>
  <c r="AD1231" i="7"/>
  <c r="AB1231" i="7"/>
  <c r="AD1230" i="7"/>
  <c r="AB1230" i="7"/>
  <c r="AD1229" i="7"/>
  <c r="AB1229" i="7"/>
  <c r="AD1228" i="7"/>
  <c r="AB1228" i="7"/>
  <c r="AD1227" i="7"/>
  <c r="AB1227" i="7"/>
  <c r="AD1226" i="7"/>
  <c r="AB1226" i="7"/>
  <c r="AD1225" i="7"/>
  <c r="AB1225" i="7"/>
  <c r="AD1224" i="7"/>
  <c r="AB1224" i="7"/>
  <c r="AD1223" i="7"/>
  <c r="AB1223" i="7"/>
  <c r="AD1222" i="7"/>
  <c r="AB1222" i="7"/>
  <c r="AD1221" i="7"/>
  <c r="AB1221" i="7"/>
  <c r="AD1220" i="7"/>
  <c r="AB1220" i="7"/>
  <c r="AD1219" i="7"/>
  <c r="AB1219" i="7"/>
  <c r="AD1218" i="7"/>
  <c r="AB1218" i="7"/>
  <c r="AD1217" i="7"/>
  <c r="AB1217" i="7"/>
  <c r="AD1216" i="7"/>
  <c r="AB1216" i="7"/>
  <c r="AD1215" i="7"/>
  <c r="AB1215" i="7"/>
  <c r="AD1214" i="7"/>
  <c r="AB1214" i="7"/>
  <c r="AD1213" i="7"/>
  <c r="AB1213" i="7"/>
  <c r="AD1212" i="7"/>
  <c r="AB1212" i="7"/>
  <c r="AD1211" i="7"/>
  <c r="AB1211" i="7"/>
  <c r="AD1210" i="7"/>
  <c r="AB1210" i="7"/>
  <c r="AD1209" i="7"/>
  <c r="AB1209" i="7"/>
  <c r="AD1208" i="7"/>
  <c r="AB1208" i="7"/>
  <c r="AD1207" i="7"/>
  <c r="AB1207" i="7"/>
  <c r="AD1206" i="7"/>
  <c r="AB1206" i="7"/>
  <c r="AD1205" i="7"/>
  <c r="AB1205" i="7"/>
  <c r="AD1204" i="7"/>
  <c r="AB1204" i="7"/>
  <c r="AD1203" i="7"/>
  <c r="AB1203" i="7"/>
  <c r="AD1202" i="7"/>
  <c r="AB1202" i="7"/>
  <c r="AD1201" i="7"/>
  <c r="AB1201" i="7"/>
  <c r="AD1200" i="7"/>
  <c r="AB1200" i="7"/>
  <c r="AD1199" i="7"/>
  <c r="AB1199" i="7"/>
  <c r="AD1198" i="7"/>
  <c r="AB1198" i="7"/>
  <c r="AD1197" i="7"/>
  <c r="AB1197" i="7"/>
  <c r="AD1196" i="7"/>
  <c r="AB1196" i="7"/>
  <c r="AD1195" i="7"/>
  <c r="AB1195" i="7"/>
  <c r="AD1194" i="7"/>
  <c r="AB1194" i="7"/>
  <c r="AD1193" i="7"/>
  <c r="AB1193" i="7"/>
  <c r="AD1192" i="7"/>
  <c r="AB1192" i="7"/>
  <c r="AD1191" i="7"/>
  <c r="AB1191" i="7"/>
  <c r="AD1190" i="7"/>
  <c r="AB1190" i="7"/>
  <c r="AD1189" i="7"/>
  <c r="AB1189" i="7"/>
  <c r="AD1188" i="7"/>
  <c r="AB1188" i="7"/>
  <c r="AD1187" i="7"/>
  <c r="AB1187" i="7"/>
  <c r="AD1186" i="7"/>
  <c r="AB1186" i="7"/>
  <c r="AD1185" i="7"/>
  <c r="AB1185" i="7"/>
  <c r="AD1184" i="7"/>
  <c r="AB1184" i="7"/>
  <c r="AD1183" i="7"/>
  <c r="AB1183" i="7"/>
  <c r="AD1182" i="7"/>
  <c r="AB1182" i="7"/>
  <c r="AD1181" i="7"/>
  <c r="AB1181" i="7"/>
  <c r="AD1180" i="7"/>
  <c r="AB1180" i="7"/>
  <c r="AD1179" i="7"/>
  <c r="AB1179" i="7"/>
  <c r="AD1178" i="7"/>
  <c r="AB1178" i="7"/>
  <c r="AD1177" i="7"/>
  <c r="AB1177" i="7"/>
  <c r="AD1176" i="7"/>
  <c r="AB1176" i="7"/>
  <c r="AD1175" i="7"/>
  <c r="AB1175" i="7"/>
  <c r="AD1174" i="7"/>
  <c r="AB1174" i="7"/>
  <c r="AD1173" i="7"/>
  <c r="AB1173" i="7"/>
  <c r="AD1172" i="7"/>
  <c r="AB1172" i="7"/>
  <c r="AD1171" i="7"/>
  <c r="AB1171" i="7"/>
  <c r="AD1170" i="7"/>
  <c r="AB1170" i="7"/>
  <c r="AD1169" i="7"/>
  <c r="AB1169" i="7"/>
  <c r="AD1168" i="7"/>
  <c r="AB1168" i="7"/>
  <c r="AD1167" i="7"/>
  <c r="AB1167" i="7"/>
  <c r="AD1166" i="7"/>
  <c r="AB1166" i="7"/>
  <c r="AD1165" i="7"/>
  <c r="AB1165" i="7"/>
  <c r="AD1164" i="7"/>
  <c r="AB1164" i="7"/>
  <c r="AD1163" i="7"/>
  <c r="AB1163" i="7"/>
  <c r="AD1162" i="7"/>
  <c r="AB1162" i="7"/>
  <c r="AD1161" i="7"/>
  <c r="AB1161" i="7"/>
  <c r="AD1160" i="7"/>
  <c r="AB1160" i="7"/>
  <c r="AD1159" i="7"/>
  <c r="AB1159" i="7"/>
  <c r="AD1158" i="7"/>
  <c r="AB1158" i="7"/>
  <c r="AD1157" i="7"/>
  <c r="AB1157" i="7"/>
  <c r="AD1156" i="7"/>
  <c r="AB1156" i="7"/>
  <c r="AD1155" i="7"/>
  <c r="AB1155" i="7"/>
  <c r="AD1154" i="7"/>
  <c r="AB1154" i="7"/>
  <c r="AD1153" i="7"/>
  <c r="AB1153" i="7"/>
  <c r="AD1152" i="7"/>
  <c r="AB1152" i="7"/>
  <c r="AD1151" i="7"/>
  <c r="AB1151" i="7"/>
  <c r="AD1150" i="7"/>
  <c r="AB1150" i="7"/>
  <c r="AD1149" i="7"/>
  <c r="AB1149" i="7"/>
  <c r="AD1148" i="7"/>
  <c r="AB1148" i="7"/>
  <c r="AD1147" i="7"/>
  <c r="AB1147" i="7"/>
  <c r="AD1146" i="7"/>
  <c r="AB1146" i="7"/>
  <c r="AD1145" i="7"/>
  <c r="AB1145" i="7"/>
  <c r="AD1144" i="7"/>
  <c r="AB1144" i="7"/>
  <c r="AD1143" i="7"/>
  <c r="AB1143" i="7"/>
  <c r="AD1142" i="7"/>
  <c r="AB1142" i="7"/>
  <c r="AD1141" i="7"/>
  <c r="AB1141" i="7"/>
  <c r="AD1140" i="7"/>
  <c r="AB1140" i="7"/>
  <c r="AD1139" i="7"/>
  <c r="AB1139" i="7"/>
  <c r="AD1138" i="7"/>
  <c r="AB1138" i="7"/>
  <c r="AD1137" i="7"/>
  <c r="AB1137" i="7"/>
  <c r="AD1136" i="7"/>
  <c r="AB1136" i="7"/>
  <c r="AD1135" i="7"/>
  <c r="AB1135" i="7"/>
  <c r="AD1134" i="7"/>
  <c r="AB1134" i="7"/>
  <c r="AD1133" i="7"/>
  <c r="AB1133" i="7"/>
  <c r="AD1132" i="7"/>
  <c r="AB1132" i="7"/>
  <c r="AD1131" i="7"/>
  <c r="AB1131" i="7"/>
  <c r="AD1130" i="7"/>
  <c r="AB1130" i="7"/>
  <c r="AD1129" i="7"/>
  <c r="AB1129" i="7"/>
  <c r="AD1128" i="7"/>
  <c r="AB1128" i="7"/>
  <c r="AD1127" i="7"/>
  <c r="AB1127" i="7"/>
  <c r="AD1126" i="7"/>
  <c r="AB1126" i="7"/>
  <c r="AD1125" i="7"/>
  <c r="AB1125" i="7"/>
  <c r="AD1124" i="7"/>
  <c r="AB1124" i="7"/>
  <c r="AD1123" i="7"/>
  <c r="AB1123" i="7"/>
  <c r="AD1122" i="7"/>
  <c r="AB1122" i="7"/>
  <c r="AD1121" i="7"/>
  <c r="AB1121" i="7"/>
  <c r="AD1120" i="7"/>
  <c r="AB1120" i="7"/>
  <c r="AD1119" i="7"/>
  <c r="AB1119" i="7"/>
  <c r="AD1118" i="7"/>
  <c r="AB1118" i="7"/>
  <c r="AD1117" i="7"/>
  <c r="AB1117" i="7"/>
  <c r="AD1116" i="7"/>
  <c r="AB1116" i="7"/>
  <c r="AD1115" i="7"/>
  <c r="AB1115" i="7"/>
  <c r="AD1114" i="7"/>
  <c r="AB1114" i="7"/>
  <c r="AD1113" i="7"/>
  <c r="AB1113" i="7"/>
  <c r="AD1112" i="7"/>
  <c r="AB1112" i="7"/>
  <c r="AD1111" i="7"/>
  <c r="AB1111" i="7"/>
  <c r="AD1110" i="7"/>
  <c r="AB1110" i="7"/>
  <c r="AD1109" i="7"/>
  <c r="AB1109" i="7"/>
  <c r="AD1108" i="7"/>
  <c r="AB1108" i="7"/>
  <c r="AD1107" i="7"/>
  <c r="AB1107" i="7"/>
  <c r="AD1106" i="7"/>
  <c r="AB1106" i="7"/>
  <c r="AD1105" i="7"/>
  <c r="AB1105" i="7"/>
  <c r="AD1104" i="7"/>
  <c r="AB1104" i="7"/>
  <c r="AD1103" i="7"/>
  <c r="AB1103" i="7"/>
  <c r="AD1102" i="7"/>
  <c r="AB1102" i="7"/>
  <c r="AD1101" i="7"/>
  <c r="AB1101" i="7"/>
  <c r="AD1100" i="7"/>
  <c r="AB1100" i="7"/>
  <c r="AD1099" i="7"/>
  <c r="AB1099" i="7"/>
  <c r="AD1098" i="7"/>
  <c r="AB1098" i="7"/>
  <c r="AD1097" i="7"/>
  <c r="AB1097" i="7"/>
  <c r="AD1096" i="7"/>
  <c r="AB1096" i="7"/>
  <c r="AD1095" i="7"/>
  <c r="AB1095" i="7"/>
  <c r="AD1094" i="7"/>
  <c r="AB1094" i="7"/>
  <c r="AD1093" i="7"/>
  <c r="AB1093" i="7"/>
  <c r="AD1092" i="7"/>
  <c r="AB1092" i="7"/>
  <c r="AD1091" i="7"/>
  <c r="AB1091" i="7"/>
  <c r="AD1090" i="7"/>
  <c r="AB1090" i="7"/>
  <c r="AD1089" i="7"/>
  <c r="AB1089" i="7"/>
  <c r="AD1088" i="7"/>
  <c r="AB1088" i="7"/>
  <c r="AD1087" i="7"/>
  <c r="AB1087" i="7"/>
  <c r="AD1086" i="7"/>
  <c r="AB1086" i="7"/>
  <c r="AD1085" i="7"/>
  <c r="AB1085" i="7"/>
  <c r="AD1084" i="7"/>
  <c r="AB1084" i="7"/>
  <c r="AD1083" i="7"/>
  <c r="AB1083" i="7"/>
  <c r="AD1082" i="7"/>
  <c r="AB1082" i="7"/>
  <c r="AD1081" i="7"/>
  <c r="AB1081" i="7"/>
  <c r="AD1080" i="7"/>
  <c r="AB1080" i="7"/>
  <c r="AD1079" i="7"/>
  <c r="AB1079" i="7"/>
  <c r="AD1078" i="7"/>
  <c r="AB1078" i="7"/>
  <c r="AD1077" i="7"/>
  <c r="AB1077" i="7"/>
  <c r="AD1076" i="7"/>
  <c r="AB1076" i="7"/>
  <c r="AD1075" i="7"/>
  <c r="AB1075" i="7"/>
  <c r="AD1074" i="7"/>
  <c r="AB1074" i="7"/>
  <c r="AD1073" i="7"/>
  <c r="AB1073" i="7"/>
  <c r="AD1072" i="7"/>
  <c r="AB1072" i="7"/>
  <c r="AD1071" i="7"/>
  <c r="AB1071" i="7"/>
  <c r="AD1070" i="7"/>
  <c r="AB1070" i="7"/>
  <c r="AD1069" i="7"/>
  <c r="AB1069" i="7"/>
  <c r="AD1068" i="7"/>
  <c r="AB1068" i="7"/>
  <c r="AD1067" i="7"/>
  <c r="AB1067" i="7"/>
  <c r="AD1066" i="7"/>
  <c r="AB1066" i="7"/>
  <c r="AD1065" i="7"/>
  <c r="AB1065" i="7"/>
  <c r="AD1064" i="7"/>
  <c r="AB1064" i="7"/>
  <c r="AD1063" i="7"/>
  <c r="AB1063" i="7"/>
  <c r="AD1062" i="7"/>
  <c r="AB1062" i="7"/>
  <c r="AD1061" i="7"/>
  <c r="AB1061" i="7"/>
  <c r="AD1060" i="7"/>
  <c r="AB1060" i="7"/>
  <c r="AD1059" i="7"/>
  <c r="AB1059" i="7"/>
  <c r="AD1058" i="7"/>
  <c r="AB1058" i="7"/>
  <c r="AD1057" i="7"/>
  <c r="AB1057" i="7"/>
  <c r="AD1056" i="7"/>
  <c r="AB1056" i="7"/>
  <c r="AD1055" i="7"/>
  <c r="AB1055" i="7"/>
  <c r="AD1054" i="7"/>
  <c r="AB1054" i="7"/>
  <c r="AD1053" i="7"/>
  <c r="AB1053" i="7"/>
  <c r="AD1052" i="7"/>
  <c r="AB1052" i="7"/>
  <c r="AD1051" i="7"/>
  <c r="AB1051" i="7"/>
  <c r="AD1050" i="7"/>
  <c r="AB1050" i="7"/>
  <c r="AD1049" i="7"/>
  <c r="AB1049" i="7"/>
  <c r="AD1048" i="7"/>
  <c r="AB1048" i="7"/>
  <c r="AD1047" i="7"/>
  <c r="AB1047" i="7"/>
  <c r="AD1046" i="7"/>
  <c r="AB1046" i="7"/>
  <c r="AD1045" i="7"/>
  <c r="AB1045" i="7"/>
  <c r="AD1044" i="7"/>
  <c r="AB1044" i="7"/>
  <c r="AD1043" i="7"/>
  <c r="AB1043" i="7"/>
  <c r="AD1042" i="7"/>
  <c r="AB1042" i="7"/>
  <c r="AD1041" i="7"/>
  <c r="AB1041" i="7"/>
  <c r="AD1040" i="7"/>
  <c r="AB1040" i="7"/>
  <c r="AD1039" i="7"/>
  <c r="AB1039" i="7"/>
  <c r="AD1038" i="7"/>
  <c r="AB1038" i="7"/>
  <c r="AD1037" i="7"/>
  <c r="AB1037" i="7"/>
  <c r="AD1036" i="7"/>
  <c r="AB1036" i="7"/>
  <c r="AD1035" i="7"/>
  <c r="AB1035" i="7"/>
  <c r="AD1034" i="7"/>
  <c r="AB1034" i="7"/>
  <c r="AD1033" i="7"/>
  <c r="AB1033" i="7"/>
  <c r="AD1032" i="7"/>
  <c r="AB1032" i="7"/>
  <c r="AD1031" i="7"/>
  <c r="AB1031" i="7"/>
  <c r="AD1030" i="7"/>
  <c r="AB1030" i="7"/>
  <c r="AD1029" i="7"/>
  <c r="AB1029" i="7"/>
  <c r="AD1028" i="7"/>
  <c r="AB1028" i="7"/>
  <c r="AD1027" i="7"/>
  <c r="AB1027" i="7"/>
  <c r="AD1026" i="7"/>
  <c r="AB1026" i="7"/>
  <c r="AD1025" i="7"/>
  <c r="AB1025" i="7"/>
  <c r="AD1024" i="7"/>
  <c r="AB1024" i="7"/>
  <c r="AD1023" i="7"/>
  <c r="AB1023" i="7"/>
  <c r="AD1022" i="7"/>
  <c r="AB1022" i="7"/>
  <c r="AD1021" i="7"/>
  <c r="AB1021" i="7"/>
  <c r="AD1020" i="7"/>
  <c r="AB1020" i="7"/>
  <c r="AD1019" i="7"/>
  <c r="AB1019" i="7"/>
  <c r="AD1018" i="7"/>
  <c r="AB1018" i="7"/>
  <c r="AD1017" i="7"/>
  <c r="AB1017" i="7"/>
  <c r="AD1016" i="7"/>
  <c r="AB1016" i="7"/>
  <c r="AD1015" i="7"/>
  <c r="AB1015" i="7"/>
  <c r="AD1014" i="7"/>
  <c r="AB1014" i="7"/>
  <c r="AD1013" i="7"/>
  <c r="AB1013" i="7"/>
  <c r="AD1012" i="7"/>
  <c r="AB1012" i="7"/>
  <c r="AD1011" i="7"/>
  <c r="AB1011" i="7"/>
  <c r="AD1010" i="7"/>
  <c r="AB1010" i="7"/>
  <c r="AD1009" i="7"/>
  <c r="AB1009" i="7"/>
  <c r="AD1008" i="7"/>
  <c r="AB1008" i="7"/>
  <c r="AD1007" i="7"/>
  <c r="AB1007" i="7"/>
  <c r="AD1006" i="7"/>
  <c r="AB1006" i="7"/>
  <c r="AD1005" i="7"/>
  <c r="AB1005" i="7"/>
  <c r="AD1004" i="7"/>
  <c r="AB1004" i="7"/>
  <c r="AD1003" i="7"/>
  <c r="AB1003" i="7"/>
  <c r="AD1002" i="7"/>
  <c r="AB1002" i="7"/>
  <c r="AD1001" i="7"/>
  <c r="AB1001" i="7"/>
  <c r="AD1000" i="7"/>
  <c r="AB1000" i="7"/>
  <c r="AD999" i="7"/>
  <c r="AB999" i="7"/>
  <c r="AD998" i="7"/>
  <c r="AB998" i="7"/>
  <c r="AD997" i="7"/>
  <c r="AB997" i="7"/>
  <c r="AD996" i="7"/>
  <c r="AB996" i="7"/>
  <c r="AD995" i="7"/>
  <c r="AB995" i="7"/>
  <c r="AD994" i="7"/>
  <c r="AB994" i="7"/>
  <c r="AD993" i="7"/>
  <c r="AB993" i="7"/>
  <c r="AD992" i="7"/>
  <c r="AB992" i="7"/>
  <c r="AD991" i="7"/>
  <c r="AB991" i="7"/>
  <c r="AD990" i="7"/>
  <c r="AB990" i="7"/>
  <c r="AD989" i="7"/>
  <c r="AB989" i="7"/>
  <c r="AD988" i="7"/>
  <c r="AB988" i="7"/>
  <c r="AD987" i="7"/>
  <c r="AB987" i="7"/>
  <c r="AD986" i="7"/>
  <c r="AB986" i="7"/>
  <c r="AD985" i="7"/>
  <c r="AB985" i="7"/>
  <c r="AD984" i="7"/>
  <c r="AB984" i="7"/>
  <c r="AD983" i="7"/>
  <c r="AB983" i="7"/>
  <c r="AD982" i="7"/>
  <c r="AB982" i="7"/>
  <c r="AD981" i="7"/>
  <c r="AB981" i="7"/>
  <c r="AD980" i="7"/>
  <c r="AB980" i="7"/>
  <c r="AD979" i="7"/>
  <c r="AB979" i="7"/>
  <c r="AD978" i="7"/>
  <c r="AB978" i="7"/>
  <c r="AD977" i="7"/>
  <c r="AB977" i="7"/>
  <c r="AD976" i="7"/>
  <c r="AB976" i="7"/>
  <c r="AD975" i="7"/>
  <c r="AB975" i="7"/>
  <c r="AD974" i="7"/>
  <c r="AB974" i="7"/>
  <c r="AD973" i="7"/>
  <c r="AB973" i="7"/>
  <c r="AD972" i="7"/>
  <c r="AB972" i="7"/>
  <c r="AD971" i="7"/>
  <c r="AB971" i="7"/>
  <c r="AD970" i="7"/>
  <c r="AB970" i="7"/>
  <c r="AD969" i="7"/>
  <c r="AB969" i="7"/>
  <c r="AD968" i="7"/>
  <c r="AB968" i="7"/>
  <c r="AD967" i="7"/>
  <c r="AB967" i="7"/>
  <c r="AD966" i="7"/>
  <c r="AB966" i="7"/>
  <c r="AD965" i="7"/>
  <c r="AB965" i="7"/>
  <c r="AD964" i="7"/>
  <c r="AB964" i="7"/>
  <c r="AD963" i="7"/>
  <c r="AB963" i="7"/>
  <c r="AD962" i="7"/>
  <c r="AB962" i="7"/>
  <c r="AD961" i="7"/>
  <c r="AB961" i="7"/>
  <c r="AD960" i="7"/>
  <c r="AB960" i="7"/>
  <c r="AD959" i="7"/>
  <c r="AB959" i="7"/>
  <c r="AD958" i="7"/>
  <c r="AB958" i="7"/>
  <c r="AD957" i="7"/>
  <c r="AB957" i="7"/>
  <c r="AD956" i="7"/>
  <c r="AB956" i="7"/>
  <c r="AD955" i="7"/>
  <c r="AB955" i="7"/>
  <c r="AD954" i="7"/>
  <c r="AB954" i="7"/>
  <c r="AD953" i="7"/>
  <c r="AB953" i="7"/>
  <c r="AD952" i="7"/>
  <c r="AB952" i="7"/>
  <c r="AD951" i="7"/>
  <c r="AB951" i="7"/>
  <c r="AD950" i="7"/>
  <c r="AB950" i="7"/>
  <c r="AD949" i="7"/>
  <c r="AB949" i="7"/>
  <c r="AD948" i="7"/>
  <c r="AB948" i="7"/>
  <c r="AD947" i="7"/>
  <c r="AB947" i="7"/>
  <c r="AD946" i="7"/>
  <c r="AB946" i="7"/>
  <c r="AD945" i="7"/>
  <c r="AB945" i="7"/>
  <c r="AD944" i="7"/>
  <c r="AB944" i="7"/>
  <c r="AD943" i="7"/>
  <c r="AB943" i="7"/>
  <c r="AD942" i="7"/>
  <c r="AB942" i="7"/>
  <c r="AD941" i="7"/>
  <c r="AB941" i="7"/>
  <c r="AD940" i="7"/>
  <c r="AB940" i="7"/>
  <c r="AD939" i="7"/>
  <c r="AB939" i="7"/>
  <c r="AD938" i="7"/>
  <c r="AB938" i="7"/>
  <c r="AD937" i="7"/>
  <c r="AB937" i="7"/>
  <c r="AD936" i="7"/>
  <c r="AB936" i="7"/>
  <c r="AD935" i="7"/>
  <c r="AB935" i="7"/>
  <c r="AD934" i="7"/>
  <c r="AB934" i="7"/>
  <c r="AD933" i="7"/>
  <c r="AB933" i="7"/>
  <c r="AD932" i="7"/>
  <c r="AB932" i="7"/>
  <c r="AD931" i="7"/>
  <c r="AB931" i="7"/>
  <c r="AD930" i="7"/>
  <c r="AB930" i="7"/>
  <c r="AD929" i="7"/>
  <c r="AB929" i="7"/>
  <c r="AD928" i="7"/>
  <c r="AB928" i="7"/>
  <c r="AD927" i="7"/>
  <c r="AB927" i="7"/>
  <c r="AD926" i="7"/>
  <c r="AB926" i="7"/>
  <c r="AD925" i="7"/>
  <c r="AB925" i="7"/>
  <c r="AD924" i="7"/>
  <c r="AB924" i="7"/>
  <c r="AD923" i="7"/>
  <c r="AB923" i="7"/>
  <c r="AD922" i="7"/>
  <c r="AB922" i="7"/>
  <c r="AD921" i="7"/>
  <c r="AB921" i="7"/>
  <c r="AD920" i="7"/>
  <c r="AB920" i="7"/>
  <c r="AD919" i="7"/>
  <c r="AB919" i="7"/>
  <c r="AD918" i="7"/>
  <c r="AB918" i="7"/>
  <c r="AD917" i="7"/>
  <c r="AB917" i="7"/>
  <c r="AD916" i="7"/>
  <c r="AB916" i="7"/>
  <c r="AD915" i="7"/>
  <c r="AB915" i="7"/>
  <c r="AD914" i="7"/>
  <c r="AB914" i="7"/>
  <c r="AD913" i="7"/>
  <c r="AB913" i="7"/>
  <c r="AD912" i="7"/>
  <c r="AB912" i="7"/>
  <c r="AD911" i="7"/>
  <c r="AB911" i="7"/>
  <c r="AD910" i="7"/>
  <c r="AB910" i="7"/>
  <c r="AD909" i="7"/>
  <c r="AB909" i="7"/>
  <c r="AD908" i="7"/>
  <c r="AB908" i="7"/>
  <c r="AD907" i="7"/>
  <c r="AB907" i="7"/>
  <c r="AD906" i="7"/>
  <c r="AB906" i="7"/>
  <c r="AD905" i="7"/>
  <c r="AB905" i="7"/>
  <c r="AD904" i="7"/>
  <c r="AB904" i="7"/>
  <c r="AD903" i="7"/>
  <c r="AB903" i="7"/>
  <c r="AD902" i="7"/>
  <c r="AB902" i="7"/>
  <c r="AD901" i="7"/>
  <c r="AB901" i="7"/>
  <c r="AD900" i="7"/>
  <c r="AB900" i="7"/>
  <c r="AD899" i="7"/>
  <c r="AB899" i="7"/>
  <c r="AD898" i="7"/>
  <c r="AB898" i="7"/>
  <c r="AD897" i="7"/>
  <c r="AB897" i="7"/>
  <c r="AD896" i="7"/>
  <c r="AB896" i="7"/>
  <c r="AD895" i="7"/>
  <c r="AB895" i="7"/>
  <c r="AD894" i="7"/>
  <c r="AB894" i="7"/>
  <c r="AD893" i="7"/>
  <c r="AB893" i="7"/>
  <c r="AD892" i="7"/>
  <c r="AB892" i="7"/>
  <c r="AD891" i="7"/>
  <c r="AB891" i="7"/>
  <c r="AD890" i="7"/>
  <c r="AB890" i="7"/>
  <c r="AD889" i="7"/>
  <c r="AB889" i="7"/>
  <c r="AD888" i="7"/>
  <c r="AB888" i="7"/>
  <c r="AD887" i="7"/>
  <c r="AB887" i="7"/>
  <c r="AD886" i="7"/>
  <c r="AB886" i="7"/>
  <c r="AD885" i="7"/>
  <c r="AB885" i="7"/>
  <c r="AD884" i="7"/>
  <c r="AB884" i="7"/>
  <c r="AD883" i="7"/>
  <c r="AB883" i="7"/>
  <c r="AD882" i="7"/>
  <c r="AB882" i="7"/>
  <c r="AD881" i="7"/>
  <c r="AB881" i="7"/>
  <c r="AD880" i="7"/>
  <c r="AB880" i="7"/>
  <c r="AD879" i="7"/>
  <c r="AB879" i="7"/>
  <c r="AD878" i="7"/>
  <c r="AB878" i="7"/>
  <c r="AD877" i="7"/>
  <c r="AB877" i="7"/>
  <c r="AD876" i="7"/>
  <c r="AB876" i="7"/>
  <c r="AD875" i="7"/>
  <c r="AB875" i="7"/>
  <c r="AD874" i="7"/>
  <c r="AB874" i="7"/>
  <c r="AD873" i="7"/>
  <c r="AB873" i="7"/>
  <c r="AD872" i="7"/>
  <c r="AB872" i="7"/>
  <c r="AD871" i="7"/>
  <c r="AB871" i="7"/>
  <c r="AD870" i="7"/>
  <c r="AB870" i="7"/>
  <c r="AD869" i="7"/>
  <c r="AB869" i="7"/>
  <c r="AD868" i="7"/>
  <c r="AB868" i="7"/>
  <c r="AD867" i="7"/>
  <c r="AB867" i="7"/>
  <c r="AD866" i="7"/>
  <c r="AB866" i="7"/>
  <c r="AD865" i="7"/>
  <c r="AB865" i="7"/>
  <c r="AD864" i="7"/>
  <c r="AB864" i="7"/>
  <c r="AD863" i="7"/>
  <c r="AB863" i="7"/>
  <c r="AD862" i="7"/>
  <c r="AB862" i="7"/>
  <c r="AD861" i="7"/>
  <c r="AB861" i="7"/>
  <c r="AD860" i="7"/>
  <c r="AB860" i="7"/>
  <c r="AD859" i="7"/>
  <c r="AB859" i="7"/>
  <c r="AD858" i="7"/>
  <c r="AB858" i="7"/>
  <c r="AD857" i="7"/>
  <c r="AB857" i="7"/>
  <c r="AD856" i="7"/>
  <c r="AB856" i="7"/>
  <c r="AD855" i="7"/>
  <c r="AB855" i="7"/>
  <c r="AD854" i="7"/>
  <c r="AB854" i="7"/>
  <c r="AD853" i="7"/>
  <c r="AB853" i="7"/>
  <c r="AD852" i="7"/>
  <c r="AB852" i="7"/>
  <c r="AD851" i="7"/>
  <c r="AB851" i="7"/>
  <c r="AD850" i="7"/>
  <c r="AB850" i="7"/>
  <c r="AD849" i="7"/>
  <c r="AB849" i="7"/>
  <c r="AD848" i="7"/>
  <c r="AB848" i="7"/>
  <c r="AD847" i="7"/>
  <c r="AB847" i="7"/>
  <c r="AD846" i="7"/>
  <c r="AB846" i="7"/>
  <c r="AD845" i="7"/>
  <c r="AB845" i="7"/>
  <c r="AD844" i="7"/>
  <c r="AB844" i="7"/>
  <c r="AD843" i="7"/>
  <c r="AB843" i="7"/>
  <c r="AD842" i="7"/>
  <c r="AB842" i="7"/>
  <c r="AD841" i="7"/>
  <c r="AB841" i="7"/>
  <c r="AD840" i="7"/>
  <c r="AB840" i="7"/>
  <c r="AD839" i="7"/>
  <c r="AB839" i="7"/>
  <c r="AD838" i="7"/>
  <c r="AB838" i="7"/>
  <c r="AD837" i="7"/>
  <c r="AB837" i="7"/>
  <c r="AD836" i="7"/>
  <c r="AB836" i="7"/>
  <c r="AD835" i="7"/>
  <c r="AB835" i="7"/>
  <c r="AD834" i="7"/>
  <c r="AB834" i="7"/>
  <c r="AD833" i="7"/>
  <c r="AB833" i="7"/>
  <c r="AD832" i="7"/>
  <c r="AB832" i="7"/>
  <c r="AD831" i="7"/>
  <c r="AB831" i="7"/>
  <c r="AD830" i="7"/>
  <c r="AB830" i="7"/>
  <c r="AD829" i="7"/>
  <c r="AB829" i="7"/>
  <c r="AD828" i="7"/>
  <c r="AB828" i="7"/>
  <c r="AD827" i="7"/>
  <c r="AB827" i="7"/>
  <c r="AD826" i="7"/>
  <c r="AB826" i="7"/>
  <c r="AD825" i="7"/>
  <c r="AB825" i="7"/>
  <c r="AD824" i="7"/>
  <c r="AB824" i="7"/>
  <c r="AD823" i="7"/>
  <c r="AB823" i="7"/>
  <c r="AD822" i="7"/>
  <c r="AB822" i="7"/>
  <c r="AD821" i="7"/>
  <c r="AB821" i="7"/>
  <c r="AD820" i="7"/>
  <c r="AB820" i="7"/>
  <c r="AD819" i="7"/>
  <c r="AB819" i="7"/>
  <c r="AD818" i="7"/>
  <c r="AB818" i="7"/>
  <c r="AD817" i="7"/>
  <c r="AB817" i="7"/>
  <c r="AD816" i="7"/>
  <c r="AB816" i="7"/>
  <c r="AD815" i="7"/>
  <c r="AB815" i="7"/>
  <c r="AD814" i="7"/>
  <c r="AB814" i="7"/>
  <c r="AD813" i="7"/>
  <c r="AB813" i="7"/>
  <c r="AD812" i="7"/>
  <c r="AB812" i="7"/>
  <c r="AD811" i="7"/>
  <c r="AB811" i="7"/>
  <c r="AD810" i="7"/>
  <c r="AB810" i="7"/>
  <c r="AD809" i="7"/>
  <c r="AB809" i="7"/>
  <c r="AD808" i="7"/>
  <c r="AB808" i="7"/>
  <c r="AD807" i="7"/>
  <c r="AB807" i="7"/>
  <c r="AD806" i="7"/>
  <c r="AB806" i="7"/>
  <c r="AD805" i="7"/>
  <c r="AB805" i="7"/>
  <c r="AD804" i="7"/>
  <c r="AB804" i="7"/>
  <c r="AD803" i="7"/>
  <c r="AB803" i="7"/>
  <c r="AD802" i="7"/>
  <c r="AB802" i="7"/>
  <c r="AD801" i="7"/>
  <c r="AB801" i="7"/>
  <c r="AD800" i="7"/>
  <c r="AB800" i="7"/>
  <c r="AD799" i="7"/>
  <c r="AB799" i="7"/>
  <c r="AD798" i="7"/>
  <c r="AB798" i="7"/>
  <c r="AD797" i="7"/>
  <c r="AB797" i="7"/>
  <c r="AD796" i="7"/>
  <c r="AB796" i="7"/>
  <c r="AD795" i="7"/>
  <c r="AB795" i="7"/>
  <c r="AD794" i="7"/>
  <c r="AB794" i="7"/>
  <c r="AD793" i="7"/>
  <c r="AB793" i="7"/>
  <c r="AD792" i="7"/>
  <c r="AB792" i="7"/>
  <c r="AD791" i="7"/>
  <c r="AB791" i="7"/>
  <c r="AD790" i="7"/>
  <c r="AB790" i="7"/>
  <c r="AD789" i="7"/>
  <c r="AB789" i="7"/>
  <c r="AD788" i="7"/>
  <c r="AB788" i="7"/>
  <c r="AD787" i="7"/>
  <c r="AB787" i="7"/>
  <c r="AD786" i="7"/>
  <c r="AB786" i="7"/>
  <c r="AD785" i="7"/>
  <c r="AB785" i="7"/>
  <c r="AD784" i="7"/>
  <c r="AB784" i="7"/>
  <c r="AD783" i="7"/>
  <c r="AB783" i="7"/>
  <c r="AD782" i="7"/>
  <c r="AB782" i="7"/>
  <c r="AD781" i="7"/>
  <c r="AB781" i="7"/>
  <c r="AD780" i="7"/>
  <c r="AB780" i="7"/>
  <c r="AD779" i="7"/>
  <c r="AB779" i="7"/>
  <c r="AD778" i="7"/>
  <c r="AB778" i="7"/>
  <c r="AD777" i="7"/>
  <c r="AB777" i="7"/>
  <c r="AD776" i="7"/>
  <c r="AB776" i="7"/>
  <c r="AD775" i="7"/>
  <c r="AB775" i="7"/>
  <c r="AD774" i="7"/>
  <c r="AB774" i="7"/>
  <c r="AD773" i="7"/>
  <c r="AB773" i="7"/>
  <c r="AD772" i="7"/>
  <c r="AB772" i="7"/>
  <c r="AD771" i="7"/>
  <c r="AB771" i="7"/>
  <c r="AD770" i="7"/>
  <c r="AB770" i="7"/>
  <c r="AD769" i="7"/>
  <c r="AB769" i="7"/>
  <c r="AD768" i="7"/>
  <c r="AB768" i="7"/>
  <c r="AD767" i="7"/>
  <c r="AB767" i="7"/>
  <c r="AD766" i="7"/>
  <c r="AB766" i="7"/>
  <c r="AD765" i="7"/>
  <c r="AB765" i="7"/>
  <c r="AD764" i="7"/>
  <c r="AB764" i="7"/>
  <c r="AD763" i="7"/>
  <c r="AB763" i="7"/>
  <c r="AD762" i="7"/>
  <c r="AB762" i="7"/>
  <c r="AD761" i="7"/>
  <c r="AB761" i="7"/>
  <c r="AD760" i="7"/>
  <c r="AB760" i="7"/>
  <c r="AD759" i="7"/>
  <c r="AB759" i="7"/>
  <c r="AD758" i="7"/>
  <c r="AB758" i="7"/>
  <c r="AD757" i="7"/>
  <c r="AB757" i="7"/>
  <c r="AD756" i="7"/>
  <c r="AB756" i="7"/>
  <c r="AD755" i="7"/>
  <c r="AB755" i="7"/>
  <c r="AD754" i="7"/>
  <c r="AB754" i="7"/>
  <c r="AD753" i="7"/>
  <c r="AB753" i="7"/>
  <c r="AD752" i="7"/>
  <c r="AB752" i="7"/>
  <c r="AD751" i="7"/>
  <c r="AB751" i="7"/>
  <c r="AD750" i="7"/>
  <c r="AB750" i="7"/>
  <c r="AD749" i="7"/>
  <c r="AB749" i="7"/>
  <c r="AD748" i="7"/>
  <c r="AB748" i="7"/>
  <c r="AD747" i="7"/>
  <c r="AB747" i="7"/>
  <c r="AD746" i="7"/>
  <c r="AB746" i="7"/>
  <c r="AD745" i="7"/>
  <c r="AB745" i="7"/>
  <c r="AD744" i="7"/>
  <c r="AB744" i="7"/>
  <c r="AD743" i="7"/>
  <c r="AB743" i="7"/>
  <c r="AD742" i="7"/>
  <c r="AB742" i="7"/>
  <c r="AD741" i="7"/>
  <c r="AB741" i="7"/>
  <c r="AD740" i="7"/>
  <c r="AB740" i="7"/>
  <c r="AD739" i="7"/>
  <c r="AB739" i="7"/>
  <c r="AD738" i="7"/>
  <c r="AB738" i="7"/>
  <c r="AD737" i="7"/>
  <c r="AB737" i="7"/>
  <c r="AD736" i="7"/>
  <c r="AB736" i="7"/>
  <c r="AD735" i="7"/>
  <c r="AB735" i="7"/>
  <c r="AD734" i="7"/>
  <c r="AB734" i="7"/>
  <c r="AD733" i="7"/>
  <c r="AB733" i="7"/>
  <c r="AD732" i="7"/>
  <c r="AB732" i="7"/>
  <c r="AD731" i="7"/>
  <c r="AB731" i="7"/>
  <c r="AD730" i="7"/>
  <c r="AB730" i="7"/>
  <c r="AD729" i="7"/>
  <c r="AB729" i="7"/>
  <c r="AD728" i="7"/>
  <c r="AB728" i="7"/>
  <c r="AD727" i="7"/>
  <c r="AB727" i="7"/>
  <c r="AD726" i="7"/>
  <c r="AB726" i="7"/>
  <c r="AD725" i="7"/>
  <c r="AB725" i="7"/>
  <c r="AD724" i="7"/>
  <c r="AB724" i="7"/>
  <c r="AD723" i="7"/>
  <c r="AB723" i="7"/>
  <c r="AD722" i="7"/>
  <c r="AB722" i="7"/>
  <c r="AD721" i="7"/>
  <c r="AB721" i="7"/>
  <c r="AD720" i="7"/>
  <c r="AB720" i="7"/>
  <c r="AD719" i="7"/>
  <c r="AB719" i="7"/>
  <c r="AD718" i="7"/>
  <c r="AB718" i="7"/>
  <c r="AD717" i="7"/>
  <c r="AB717" i="7"/>
  <c r="AD716" i="7"/>
  <c r="AB716" i="7"/>
  <c r="AD715" i="7"/>
  <c r="AB715" i="7"/>
  <c r="AD714" i="7"/>
  <c r="AB714" i="7"/>
  <c r="AD713" i="7"/>
  <c r="AB713" i="7"/>
  <c r="AD712" i="7"/>
  <c r="AB712" i="7"/>
  <c r="AD711" i="7"/>
  <c r="AB711" i="7"/>
  <c r="AD710" i="7"/>
  <c r="AB710" i="7"/>
  <c r="AD709" i="7"/>
  <c r="AB709" i="7"/>
  <c r="AD708" i="7"/>
  <c r="AB708" i="7"/>
  <c r="AD707" i="7"/>
  <c r="AB707" i="7"/>
  <c r="AD706" i="7"/>
  <c r="AB706" i="7"/>
  <c r="AD705" i="7"/>
  <c r="AB705" i="7"/>
  <c r="AD704" i="7"/>
  <c r="AB704" i="7"/>
  <c r="AD703" i="7"/>
  <c r="AB703" i="7"/>
  <c r="AD702" i="7"/>
  <c r="AB702" i="7"/>
  <c r="AD701" i="7"/>
  <c r="AB701" i="7"/>
  <c r="AD700" i="7"/>
  <c r="AB700" i="7"/>
  <c r="AD699" i="7"/>
  <c r="AB699" i="7"/>
  <c r="AD698" i="7"/>
  <c r="AB698" i="7"/>
  <c r="AD697" i="7"/>
  <c r="AB697" i="7"/>
  <c r="AD696" i="7"/>
  <c r="AB696" i="7"/>
  <c r="AD695" i="7"/>
  <c r="AB695" i="7"/>
  <c r="AD694" i="7"/>
  <c r="AB694" i="7"/>
  <c r="AD693" i="7"/>
  <c r="AB693" i="7"/>
  <c r="AD692" i="7"/>
  <c r="AB692" i="7"/>
  <c r="AD691" i="7"/>
  <c r="AB691" i="7"/>
  <c r="AD690" i="7"/>
  <c r="AB690" i="7"/>
  <c r="AD689" i="7"/>
  <c r="AB689" i="7"/>
  <c r="AD688" i="7"/>
  <c r="AB688" i="7"/>
  <c r="AD687" i="7"/>
  <c r="AB687" i="7"/>
  <c r="AD686" i="7"/>
  <c r="AB686" i="7"/>
  <c r="AD685" i="7"/>
  <c r="AB685" i="7"/>
  <c r="AD684" i="7"/>
  <c r="AB684" i="7"/>
  <c r="AD683" i="7"/>
  <c r="AB683" i="7"/>
  <c r="AD682" i="7"/>
  <c r="AB682" i="7"/>
  <c r="AD681" i="7"/>
  <c r="AB681" i="7"/>
  <c r="AD680" i="7"/>
  <c r="AB680" i="7"/>
  <c r="AD679" i="7"/>
  <c r="AB679" i="7"/>
  <c r="AD678" i="7"/>
  <c r="AB678" i="7"/>
  <c r="AD677" i="7"/>
  <c r="AB677" i="7"/>
  <c r="AD676" i="7"/>
  <c r="AB676" i="7"/>
  <c r="AD675" i="7"/>
  <c r="AB675" i="7"/>
  <c r="AD674" i="7"/>
  <c r="AB674" i="7"/>
  <c r="AD673" i="7"/>
  <c r="AB673" i="7"/>
  <c r="AD672" i="7"/>
  <c r="AB672" i="7"/>
  <c r="AD671" i="7"/>
  <c r="AB671" i="7"/>
  <c r="AD670" i="7"/>
  <c r="AB670" i="7"/>
  <c r="AD669" i="7"/>
  <c r="AB669" i="7"/>
  <c r="AD668" i="7"/>
  <c r="AB668" i="7"/>
  <c r="AD667" i="7"/>
  <c r="AB667" i="7"/>
  <c r="AD666" i="7"/>
  <c r="AB666" i="7"/>
  <c r="AD665" i="7"/>
  <c r="AB665" i="7"/>
  <c r="AD664" i="7"/>
  <c r="AB664" i="7"/>
  <c r="AD663" i="7"/>
  <c r="AB663" i="7"/>
  <c r="AD662" i="7"/>
  <c r="AB662" i="7"/>
  <c r="AD661" i="7"/>
  <c r="AB661" i="7"/>
  <c r="AD660" i="7"/>
  <c r="AB660" i="7"/>
  <c r="AD659" i="7"/>
  <c r="AB659" i="7"/>
  <c r="AD658" i="7"/>
  <c r="AB658" i="7"/>
  <c r="AD657" i="7"/>
  <c r="AB657" i="7"/>
  <c r="AD656" i="7"/>
  <c r="AB656" i="7"/>
  <c r="AD655" i="7"/>
  <c r="AB655" i="7"/>
  <c r="AD654" i="7"/>
  <c r="AB654" i="7"/>
  <c r="AD653" i="7"/>
  <c r="AB653" i="7"/>
  <c r="AD652" i="7"/>
  <c r="AB652" i="7"/>
  <c r="AD651" i="7"/>
  <c r="AB651" i="7"/>
  <c r="AD650" i="7"/>
  <c r="AB650" i="7"/>
  <c r="AD649" i="7"/>
  <c r="AB649" i="7"/>
  <c r="AD648" i="7"/>
  <c r="AB648" i="7"/>
  <c r="AD647" i="7"/>
  <c r="AB647" i="7"/>
  <c r="AD646" i="7"/>
  <c r="AB646" i="7"/>
  <c r="AD645" i="7"/>
  <c r="AB645" i="7"/>
  <c r="AD644" i="7"/>
  <c r="AB644" i="7"/>
  <c r="AD643" i="7"/>
  <c r="AB643" i="7"/>
  <c r="AD642" i="7"/>
  <c r="AB642" i="7"/>
  <c r="AD641" i="7"/>
  <c r="AB641" i="7"/>
  <c r="AD640" i="7"/>
  <c r="AB640" i="7"/>
  <c r="AD639" i="7"/>
  <c r="AB639" i="7"/>
  <c r="AD638" i="7"/>
  <c r="AB638" i="7"/>
  <c r="AD637" i="7"/>
  <c r="AB637" i="7"/>
  <c r="AD636" i="7"/>
  <c r="AB636" i="7"/>
  <c r="AD635" i="7"/>
  <c r="AB635" i="7"/>
  <c r="AD634" i="7"/>
  <c r="AB634" i="7"/>
  <c r="AD633" i="7"/>
  <c r="AB633" i="7"/>
  <c r="AD632" i="7"/>
  <c r="AB632" i="7"/>
  <c r="AD631" i="7"/>
  <c r="AB631" i="7"/>
  <c r="AD630" i="7"/>
  <c r="AB630" i="7"/>
  <c r="AD629" i="7"/>
  <c r="AB629" i="7"/>
  <c r="AD628" i="7"/>
  <c r="AB628" i="7"/>
  <c r="AD627" i="7"/>
  <c r="AB627" i="7"/>
  <c r="AD626" i="7"/>
  <c r="AB626" i="7"/>
  <c r="AD625" i="7"/>
  <c r="AB625" i="7"/>
  <c r="AD624" i="7"/>
  <c r="AB624" i="7"/>
  <c r="AD623" i="7"/>
  <c r="AB623" i="7"/>
  <c r="AD622" i="7"/>
  <c r="AB622" i="7"/>
  <c r="AD621" i="7"/>
  <c r="AB621" i="7"/>
  <c r="AD620" i="7"/>
  <c r="AB620" i="7"/>
  <c r="AD619" i="7"/>
  <c r="AB619" i="7"/>
  <c r="AD618" i="7"/>
  <c r="AB618" i="7"/>
  <c r="AD617" i="7"/>
  <c r="AB617" i="7"/>
  <c r="AD616" i="7"/>
  <c r="AB616" i="7"/>
  <c r="AD615" i="7"/>
  <c r="AB615" i="7"/>
  <c r="AD614" i="7"/>
  <c r="AB614" i="7"/>
  <c r="AD613" i="7"/>
  <c r="AB613" i="7"/>
  <c r="AD612" i="7"/>
  <c r="AB612" i="7"/>
  <c r="AD611" i="7"/>
  <c r="AB611" i="7"/>
  <c r="AD610" i="7"/>
  <c r="AB610" i="7"/>
  <c r="AD609" i="7"/>
  <c r="AB609" i="7"/>
  <c r="AD608" i="7"/>
  <c r="AB608" i="7"/>
  <c r="AD607" i="7"/>
  <c r="AB607" i="7"/>
  <c r="AD606" i="7"/>
  <c r="AB606" i="7"/>
  <c r="AD605" i="7"/>
  <c r="AB605" i="7"/>
  <c r="AD604" i="7"/>
  <c r="AB604" i="7"/>
  <c r="AD603" i="7"/>
  <c r="AB603" i="7"/>
  <c r="AD602" i="7"/>
  <c r="AB602" i="7"/>
  <c r="AD601" i="7"/>
  <c r="AB601" i="7"/>
  <c r="AD600" i="7"/>
  <c r="AB600" i="7"/>
  <c r="AD599" i="7"/>
  <c r="AB599" i="7"/>
  <c r="AD598" i="7"/>
  <c r="AB598" i="7"/>
  <c r="AD597" i="7"/>
  <c r="AB597" i="7"/>
  <c r="AD596" i="7"/>
  <c r="AB596" i="7"/>
  <c r="AD595" i="7"/>
  <c r="AB595" i="7"/>
  <c r="AD594" i="7"/>
  <c r="AB594" i="7"/>
  <c r="AD593" i="7"/>
  <c r="AB593" i="7"/>
  <c r="AD592" i="7"/>
  <c r="AB592" i="7"/>
  <c r="AD591" i="7"/>
  <c r="AB591" i="7"/>
  <c r="AD590" i="7"/>
  <c r="AB590" i="7"/>
  <c r="AD589" i="7"/>
  <c r="AB589" i="7"/>
  <c r="AD588" i="7"/>
  <c r="AB588" i="7"/>
  <c r="AD587" i="7"/>
  <c r="AB587" i="7"/>
  <c r="AD586" i="7"/>
  <c r="AB586" i="7"/>
  <c r="AD585" i="7"/>
  <c r="AB585" i="7"/>
  <c r="AD584" i="7"/>
  <c r="AB584" i="7"/>
  <c r="AD583" i="7"/>
  <c r="AB583" i="7"/>
  <c r="AD582" i="7"/>
  <c r="AB582" i="7"/>
  <c r="AD581" i="7"/>
  <c r="AB581" i="7"/>
  <c r="AD580" i="7"/>
  <c r="AB580" i="7"/>
  <c r="AD579" i="7"/>
  <c r="AB579" i="7"/>
  <c r="AD578" i="7"/>
  <c r="AB578" i="7"/>
  <c r="AD577" i="7"/>
  <c r="AB577" i="7"/>
  <c r="AD576" i="7"/>
  <c r="AB576" i="7"/>
  <c r="AD575" i="7"/>
  <c r="AB575" i="7"/>
  <c r="AD574" i="7"/>
  <c r="AB574" i="7"/>
  <c r="AD573" i="7"/>
  <c r="AB573" i="7"/>
  <c r="AD572" i="7"/>
  <c r="AB572" i="7"/>
  <c r="AD571" i="7"/>
  <c r="AB571" i="7"/>
  <c r="AD570" i="7"/>
  <c r="AB570" i="7"/>
  <c r="AD569" i="7"/>
  <c r="AB569" i="7"/>
  <c r="AD568" i="7"/>
  <c r="AB568" i="7"/>
  <c r="AD567" i="7"/>
  <c r="AB567" i="7"/>
  <c r="AD566" i="7"/>
  <c r="AB566" i="7"/>
  <c r="AD565" i="7"/>
  <c r="AB565" i="7"/>
  <c r="AD564" i="7"/>
  <c r="AB564" i="7"/>
  <c r="AD563" i="7"/>
  <c r="AB563" i="7"/>
  <c r="AD562" i="7"/>
  <c r="AB562" i="7"/>
  <c r="AD561" i="7"/>
  <c r="AB561" i="7"/>
  <c r="AD560" i="7"/>
  <c r="AB560" i="7"/>
  <c r="AD559" i="7"/>
  <c r="AB559" i="7"/>
  <c r="AD558" i="7"/>
  <c r="AB558" i="7"/>
  <c r="AD557" i="7"/>
  <c r="AB557" i="7"/>
  <c r="AD556" i="7"/>
  <c r="AB556" i="7"/>
  <c r="AD555" i="7"/>
  <c r="AB555" i="7"/>
  <c r="AD554" i="7"/>
  <c r="AB554" i="7"/>
  <c r="AD553" i="7"/>
  <c r="AB553" i="7"/>
  <c r="AD552" i="7"/>
  <c r="AB552" i="7"/>
  <c r="AD551" i="7"/>
  <c r="AB551" i="7"/>
  <c r="AD550" i="7"/>
  <c r="AB550" i="7"/>
  <c r="AD549" i="7"/>
  <c r="AB549" i="7"/>
  <c r="AD548" i="7"/>
  <c r="AB548" i="7"/>
  <c r="AD547" i="7"/>
  <c r="AB547" i="7"/>
  <c r="AD546" i="7"/>
  <c r="AB546" i="7"/>
  <c r="AD545" i="7"/>
  <c r="AB545" i="7"/>
  <c r="AD544" i="7"/>
  <c r="AB544" i="7"/>
  <c r="AD543" i="7"/>
  <c r="AB543" i="7"/>
  <c r="AD542" i="7"/>
  <c r="AB542" i="7"/>
  <c r="AD541" i="7"/>
  <c r="AB541" i="7"/>
  <c r="AD540" i="7"/>
  <c r="AB540" i="7"/>
  <c r="AD539" i="7"/>
  <c r="AB539" i="7"/>
  <c r="AD538" i="7"/>
  <c r="AB538" i="7"/>
  <c r="AD537" i="7"/>
  <c r="AB537" i="7"/>
  <c r="AD536" i="7"/>
  <c r="AB536" i="7"/>
  <c r="AD535" i="7"/>
  <c r="AB535" i="7"/>
  <c r="AD534" i="7"/>
  <c r="AB534" i="7"/>
  <c r="AD533" i="7"/>
  <c r="AB533" i="7"/>
  <c r="AD532" i="7"/>
  <c r="AB532" i="7"/>
  <c r="AD531" i="7"/>
  <c r="AB531" i="7"/>
  <c r="AD530" i="7"/>
  <c r="AB530" i="7"/>
  <c r="AD529" i="7"/>
  <c r="AB529" i="7"/>
  <c r="AD528" i="7"/>
  <c r="AB528" i="7"/>
  <c r="AD527" i="7"/>
  <c r="AB527" i="7"/>
  <c r="AD526" i="7"/>
  <c r="AB526" i="7"/>
  <c r="AD525" i="7"/>
  <c r="AB525" i="7"/>
  <c r="AD524" i="7"/>
  <c r="AB524" i="7"/>
  <c r="AD523" i="7"/>
  <c r="AB523" i="7"/>
  <c r="AD522" i="7"/>
  <c r="AB522" i="7"/>
  <c r="AD521" i="7"/>
  <c r="AB521" i="7"/>
  <c r="AD520" i="7"/>
  <c r="AB520" i="7"/>
  <c r="AD519" i="7"/>
  <c r="AB519" i="7"/>
  <c r="AD518" i="7"/>
  <c r="AB518" i="7"/>
  <c r="AD517" i="7"/>
  <c r="AB517" i="7"/>
  <c r="AD516" i="7"/>
  <c r="AB516" i="7"/>
  <c r="AD515" i="7"/>
  <c r="AB515" i="7"/>
  <c r="AD514" i="7"/>
  <c r="AB514" i="7"/>
  <c r="AD513" i="7"/>
  <c r="AB513" i="7"/>
  <c r="AD512" i="7"/>
  <c r="AB512" i="7"/>
  <c r="AD511" i="7"/>
  <c r="AB511" i="7"/>
  <c r="AD510" i="7"/>
  <c r="AB510" i="7"/>
  <c r="AD509" i="7"/>
  <c r="AB509" i="7"/>
  <c r="AD508" i="7"/>
  <c r="AB508" i="7"/>
  <c r="AD507" i="7"/>
  <c r="AB507" i="7"/>
  <c r="AD506" i="7"/>
  <c r="AB506" i="7"/>
  <c r="AD505" i="7"/>
  <c r="AB505" i="7"/>
  <c r="AD504" i="7"/>
  <c r="AB504" i="7"/>
  <c r="AD503" i="7"/>
  <c r="AB503" i="7"/>
  <c r="AD502" i="7"/>
  <c r="AB502" i="7"/>
  <c r="AD501" i="7"/>
  <c r="AB501" i="7"/>
  <c r="AD500" i="7"/>
  <c r="AB500" i="7"/>
  <c r="AD499" i="7"/>
  <c r="AB499" i="7"/>
  <c r="AD498" i="7"/>
  <c r="AB498" i="7"/>
  <c r="AD497" i="7"/>
  <c r="AB497" i="7"/>
  <c r="AD496" i="7"/>
  <c r="AB496" i="7"/>
  <c r="AD495" i="7"/>
  <c r="AB495" i="7"/>
  <c r="AD494" i="7"/>
  <c r="AB494" i="7"/>
  <c r="AD493" i="7"/>
  <c r="AB493" i="7"/>
  <c r="AD492" i="7"/>
  <c r="AB492" i="7"/>
  <c r="AD491" i="7"/>
  <c r="AB491" i="7"/>
  <c r="AD490" i="7"/>
  <c r="AB490" i="7"/>
  <c r="AD489" i="7"/>
  <c r="AB489" i="7"/>
  <c r="AD488" i="7"/>
  <c r="AB488" i="7"/>
  <c r="AD487" i="7"/>
  <c r="AB487" i="7"/>
  <c r="AD486" i="7"/>
  <c r="AB486" i="7"/>
  <c r="AD485" i="7"/>
  <c r="AB485" i="7"/>
  <c r="AD484" i="7"/>
  <c r="AB484" i="7"/>
  <c r="AD483" i="7"/>
  <c r="AB483" i="7"/>
  <c r="AD482" i="7"/>
  <c r="AB482" i="7"/>
  <c r="AD481" i="7"/>
  <c r="AB481" i="7"/>
  <c r="AD480" i="7"/>
  <c r="AB480" i="7"/>
  <c r="AD479" i="7"/>
  <c r="AB479" i="7"/>
  <c r="AD478" i="7"/>
  <c r="AB478" i="7"/>
  <c r="AD477" i="7"/>
  <c r="AB477" i="7"/>
  <c r="AD476" i="7"/>
  <c r="AB476" i="7"/>
  <c r="AD475" i="7"/>
  <c r="AB475" i="7"/>
  <c r="AD474" i="7"/>
  <c r="AB474" i="7"/>
  <c r="AD473" i="7"/>
  <c r="AB473" i="7"/>
  <c r="AD472" i="7"/>
  <c r="AB472" i="7"/>
  <c r="AD471" i="7"/>
  <c r="AB471" i="7"/>
  <c r="AD470" i="7"/>
  <c r="AB470" i="7"/>
  <c r="AD469" i="7"/>
  <c r="AB469" i="7"/>
  <c r="AD468" i="7"/>
  <c r="AB468" i="7"/>
  <c r="AD467" i="7"/>
  <c r="AB467" i="7"/>
  <c r="AD466" i="7"/>
  <c r="AB466" i="7"/>
  <c r="AD465" i="7"/>
  <c r="AB465" i="7"/>
  <c r="AD464" i="7"/>
  <c r="AB464" i="7"/>
  <c r="AD463" i="7"/>
  <c r="AB463" i="7"/>
  <c r="AD462" i="7"/>
  <c r="AB462" i="7"/>
  <c r="AD461" i="7"/>
  <c r="AB461" i="7"/>
  <c r="AD460" i="7"/>
  <c r="AB460" i="7"/>
  <c r="AD459" i="7"/>
  <c r="AB459" i="7"/>
  <c r="AD458" i="7"/>
  <c r="AB458" i="7"/>
  <c r="AD457" i="7"/>
  <c r="AB457" i="7"/>
  <c r="AD456" i="7"/>
  <c r="AB456" i="7"/>
  <c r="AD455" i="7"/>
  <c r="AB455" i="7"/>
  <c r="AD454" i="7"/>
  <c r="AB454" i="7"/>
  <c r="AD453" i="7"/>
  <c r="AB453" i="7"/>
  <c r="AD452" i="7"/>
  <c r="AB452" i="7"/>
  <c r="AD451" i="7"/>
  <c r="AB451" i="7"/>
  <c r="AD450" i="7"/>
  <c r="AB450" i="7"/>
  <c r="AD449" i="7"/>
  <c r="AB449" i="7"/>
  <c r="AD448" i="7"/>
  <c r="AB448" i="7"/>
  <c r="AD447" i="7"/>
  <c r="AB447" i="7"/>
  <c r="AD446" i="7"/>
  <c r="AB446" i="7"/>
  <c r="AD445" i="7"/>
  <c r="AB445" i="7"/>
  <c r="AD444" i="7"/>
  <c r="AB444" i="7"/>
  <c r="AD443" i="7"/>
  <c r="AB443" i="7"/>
  <c r="AD442" i="7"/>
  <c r="AB442" i="7"/>
  <c r="AD441" i="7"/>
  <c r="AB441" i="7"/>
  <c r="AD440" i="7"/>
  <c r="AB440" i="7"/>
  <c r="AD439" i="7"/>
  <c r="AB439" i="7"/>
  <c r="AD438" i="7"/>
  <c r="AB438" i="7"/>
  <c r="AD437" i="7"/>
  <c r="AB437" i="7"/>
  <c r="AD436" i="7"/>
  <c r="AB436" i="7"/>
  <c r="AD435" i="7"/>
  <c r="AB435" i="7"/>
  <c r="AD434" i="7"/>
  <c r="AB434" i="7"/>
  <c r="AD433" i="7"/>
  <c r="AB433" i="7"/>
  <c r="AD432" i="7"/>
  <c r="AB432" i="7"/>
  <c r="AD431" i="7"/>
  <c r="AB431" i="7"/>
  <c r="AD430" i="7"/>
  <c r="AB430" i="7"/>
  <c r="AD429" i="7"/>
  <c r="AB429" i="7"/>
  <c r="AD428" i="7"/>
  <c r="AB428" i="7"/>
  <c r="AD427" i="7"/>
  <c r="AB427" i="7"/>
  <c r="AD426" i="7"/>
  <c r="AB426" i="7"/>
  <c r="AD425" i="7"/>
  <c r="AB425" i="7"/>
  <c r="AD424" i="7"/>
  <c r="AB424" i="7"/>
  <c r="AD423" i="7"/>
  <c r="AB423" i="7"/>
  <c r="AD422" i="7"/>
  <c r="AB422" i="7"/>
  <c r="AD421" i="7"/>
  <c r="AB421" i="7"/>
  <c r="AD420" i="7"/>
  <c r="AB420" i="7"/>
  <c r="AD419" i="7"/>
  <c r="AB419" i="7"/>
  <c r="AD418" i="7"/>
  <c r="AB418" i="7"/>
  <c r="AD417" i="7"/>
  <c r="AB417" i="7"/>
  <c r="AD416" i="7"/>
  <c r="AB416" i="7"/>
  <c r="AD415" i="7"/>
  <c r="AB415" i="7"/>
  <c r="AD414" i="7"/>
  <c r="AB414" i="7"/>
  <c r="AD413" i="7"/>
  <c r="AB413" i="7"/>
  <c r="AD412" i="7"/>
  <c r="AB412" i="7"/>
  <c r="AD411" i="7"/>
  <c r="AB411" i="7"/>
  <c r="AD410" i="7"/>
  <c r="AB410" i="7"/>
  <c r="AD409" i="7"/>
  <c r="AB409" i="7"/>
  <c r="AD408" i="7"/>
  <c r="AB408" i="7"/>
  <c r="AD407" i="7"/>
  <c r="AB407" i="7"/>
  <c r="AD406" i="7"/>
  <c r="AB406" i="7"/>
  <c r="AD405" i="7"/>
  <c r="AB405" i="7"/>
  <c r="AD404" i="7"/>
  <c r="AB404" i="7"/>
  <c r="AD403" i="7"/>
  <c r="AB403" i="7"/>
  <c r="AD402" i="7"/>
  <c r="AB402" i="7"/>
  <c r="AD401" i="7"/>
  <c r="AB401" i="7"/>
  <c r="AD400" i="7"/>
  <c r="AB400" i="7"/>
  <c r="AD399" i="7"/>
  <c r="AB399" i="7"/>
  <c r="AD398" i="7"/>
  <c r="AB398" i="7"/>
  <c r="AD397" i="7"/>
  <c r="AB397" i="7"/>
  <c r="AD396" i="7"/>
  <c r="AB396" i="7"/>
  <c r="AD395" i="7"/>
  <c r="AB395" i="7"/>
  <c r="AD394" i="7"/>
  <c r="AB394" i="7"/>
  <c r="AD393" i="7"/>
  <c r="AB393" i="7"/>
  <c r="AD392" i="7"/>
  <c r="AB392" i="7"/>
  <c r="AD391" i="7"/>
  <c r="AB391" i="7"/>
  <c r="AD390" i="7"/>
  <c r="AB390" i="7"/>
  <c r="AD389" i="7"/>
  <c r="AB389" i="7"/>
  <c r="AD388" i="7"/>
  <c r="AB388" i="7"/>
  <c r="AD387" i="7"/>
  <c r="AB387" i="7"/>
  <c r="AD386" i="7"/>
  <c r="AB386" i="7"/>
  <c r="AD385" i="7"/>
  <c r="AB385" i="7"/>
  <c r="AD384" i="7"/>
  <c r="AB384" i="7"/>
  <c r="AD383" i="7"/>
  <c r="AB383" i="7"/>
  <c r="AD382" i="7"/>
  <c r="AB382" i="7"/>
  <c r="AD381" i="7"/>
  <c r="AB381" i="7"/>
  <c r="AD380" i="7"/>
  <c r="AB380" i="7"/>
  <c r="AD379" i="7"/>
  <c r="AB379" i="7"/>
  <c r="AD378" i="7"/>
  <c r="AB378" i="7"/>
  <c r="AD377" i="7"/>
  <c r="AB377" i="7"/>
  <c r="AD376" i="7"/>
  <c r="AB376" i="7"/>
  <c r="AD375" i="7"/>
  <c r="AB375" i="7"/>
  <c r="AD374" i="7"/>
  <c r="AB374" i="7"/>
  <c r="AD373" i="7"/>
  <c r="AB373" i="7"/>
  <c r="AD372" i="7"/>
  <c r="AB372" i="7"/>
  <c r="AD371" i="7"/>
  <c r="AB371" i="7"/>
  <c r="AD370" i="7"/>
  <c r="AB370" i="7"/>
  <c r="AD369" i="7"/>
  <c r="AB369" i="7"/>
  <c r="AD368" i="7"/>
  <c r="AB368" i="7"/>
  <c r="AD367" i="7"/>
  <c r="AB367" i="7"/>
  <c r="AD366" i="7"/>
  <c r="AB366" i="7"/>
  <c r="AD365" i="7"/>
  <c r="AB365" i="7"/>
  <c r="AD364" i="7"/>
  <c r="AB364" i="7"/>
  <c r="AD363" i="7"/>
  <c r="AB363" i="7"/>
  <c r="AD362" i="7"/>
  <c r="AB362" i="7"/>
  <c r="AD361" i="7"/>
  <c r="AB361" i="7"/>
  <c r="AD360" i="7"/>
  <c r="AB360" i="7"/>
  <c r="AD359" i="7"/>
  <c r="AB359" i="7"/>
  <c r="AD358" i="7"/>
  <c r="AB358" i="7"/>
  <c r="AD357" i="7"/>
  <c r="AB357" i="7"/>
  <c r="AD356" i="7"/>
  <c r="AB356" i="7"/>
  <c r="AD355" i="7"/>
  <c r="AB355" i="7"/>
  <c r="AD354" i="7"/>
  <c r="AB354" i="7"/>
  <c r="AD353" i="7"/>
  <c r="AB353" i="7"/>
  <c r="AD352" i="7"/>
  <c r="AB352" i="7"/>
  <c r="AD351" i="7"/>
  <c r="AB351" i="7"/>
  <c r="AD350" i="7"/>
  <c r="AB350" i="7"/>
  <c r="AD349" i="7"/>
  <c r="AB349" i="7"/>
  <c r="AD348" i="7"/>
  <c r="AB348" i="7"/>
  <c r="AD347" i="7"/>
  <c r="AB347" i="7"/>
  <c r="AD346" i="7"/>
  <c r="AB346" i="7"/>
  <c r="AD345" i="7"/>
  <c r="AB345" i="7"/>
  <c r="AD344" i="7"/>
  <c r="AB344" i="7"/>
  <c r="AD343" i="7"/>
  <c r="AB343" i="7"/>
  <c r="AD342" i="7"/>
  <c r="AB342" i="7"/>
  <c r="AD341" i="7"/>
  <c r="AB341" i="7"/>
  <c r="AD340" i="7"/>
  <c r="AB340" i="7"/>
  <c r="AD339" i="7"/>
  <c r="AB339" i="7"/>
  <c r="AD338" i="7"/>
  <c r="AB338" i="7"/>
  <c r="AD337" i="7"/>
  <c r="AB337" i="7"/>
  <c r="AD336" i="7"/>
  <c r="AB336" i="7"/>
  <c r="AD335" i="7"/>
  <c r="AB335" i="7"/>
  <c r="AD334" i="7"/>
  <c r="AB334" i="7"/>
  <c r="AD333" i="7"/>
  <c r="AB333" i="7"/>
  <c r="AD332" i="7"/>
  <c r="AB332" i="7"/>
  <c r="AD331" i="7"/>
  <c r="AB331" i="7"/>
  <c r="AD330" i="7"/>
  <c r="AB330" i="7"/>
  <c r="AD329" i="7"/>
  <c r="AB329" i="7"/>
  <c r="AD328" i="7"/>
  <c r="AB328" i="7"/>
  <c r="AD327" i="7"/>
  <c r="AB327" i="7"/>
  <c r="AD326" i="7"/>
  <c r="AB326" i="7"/>
  <c r="AD325" i="7"/>
  <c r="AB325" i="7"/>
  <c r="AD324" i="7"/>
  <c r="AB324" i="7"/>
  <c r="AD323" i="7"/>
  <c r="AB323" i="7"/>
  <c r="AD322" i="7"/>
  <c r="AB322" i="7"/>
  <c r="AD321" i="7"/>
  <c r="AB321" i="7"/>
  <c r="AD320" i="7"/>
  <c r="AB320" i="7"/>
  <c r="AD319" i="7"/>
  <c r="AB319" i="7"/>
  <c r="AD318" i="7"/>
  <c r="AB318" i="7"/>
  <c r="AD317" i="7"/>
  <c r="AB317" i="7"/>
  <c r="AD316" i="7"/>
  <c r="AB316" i="7"/>
  <c r="AD315" i="7"/>
  <c r="AB315" i="7"/>
  <c r="AD314" i="7"/>
  <c r="AB314" i="7"/>
  <c r="AD313" i="7"/>
  <c r="AB313" i="7"/>
  <c r="AD312" i="7"/>
  <c r="AB312" i="7"/>
  <c r="AD311" i="7"/>
  <c r="AB311" i="7"/>
  <c r="AD310" i="7"/>
  <c r="AB310" i="7"/>
  <c r="AD309" i="7"/>
  <c r="AB309" i="7"/>
  <c r="AD308" i="7"/>
  <c r="AB308" i="7"/>
  <c r="AD307" i="7"/>
  <c r="AB307" i="7"/>
  <c r="AD306" i="7"/>
  <c r="AB306" i="7"/>
  <c r="AD305" i="7"/>
  <c r="AB305" i="7"/>
  <c r="AD304" i="7"/>
  <c r="AB304" i="7"/>
  <c r="AD303" i="7"/>
  <c r="AB303" i="7"/>
  <c r="AD302" i="7"/>
  <c r="AB302" i="7"/>
  <c r="AD301" i="7"/>
  <c r="AB301" i="7"/>
  <c r="AD300" i="7"/>
  <c r="AB300" i="7"/>
  <c r="AD299" i="7"/>
  <c r="AB299" i="7"/>
  <c r="AD298" i="7"/>
  <c r="AB298" i="7"/>
  <c r="AD297" i="7"/>
  <c r="AB297" i="7"/>
  <c r="AD296" i="7"/>
  <c r="AB296" i="7"/>
  <c r="AD295" i="7"/>
  <c r="AB295" i="7"/>
  <c r="AD294" i="7"/>
  <c r="AB294" i="7"/>
  <c r="AD293" i="7"/>
  <c r="AB293" i="7"/>
  <c r="AD292" i="7"/>
  <c r="AB292" i="7"/>
  <c r="AD291" i="7"/>
  <c r="AB291" i="7"/>
  <c r="AD290" i="7"/>
  <c r="AB290" i="7"/>
  <c r="AD289" i="7"/>
  <c r="AB289" i="7"/>
  <c r="AD288" i="7"/>
  <c r="AB288" i="7"/>
  <c r="AD287" i="7"/>
  <c r="AB287" i="7"/>
  <c r="AD286" i="7"/>
  <c r="AB286" i="7"/>
  <c r="AD285" i="7"/>
  <c r="AB285" i="7"/>
  <c r="AD284" i="7"/>
  <c r="AB284" i="7"/>
  <c r="AD283" i="7"/>
  <c r="AB283" i="7"/>
  <c r="AD282" i="7"/>
  <c r="AB282" i="7"/>
  <c r="AD281" i="7"/>
  <c r="AB281" i="7"/>
  <c r="AD280" i="7"/>
  <c r="AB280" i="7"/>
  <c r="AD279" i="7"/>
  <c r="AB279" i="7"/>
  <c r="AD278" i="7"/>
  <c r="AB278" i="7"/>
  <c r="AD277" i="7"/>
  <c r="AB277" i="7"/>
  <c r="AD276" i="7"/>
  <c r="AB276" i="7"/>
  <c r="AD275" i="7"/>
  <c r="AB275" i="7"/>
  <c r="AD274" i="7"/>
  <c r="AB274" i="7"/>
  <c r="AD273" i="7"/>
  <c r="AB273" i="7"/>
  <c r="AD272" i="7"/>
  <c r="AB272" i="7"/>
  <c r="AD271" i="7"/>
  <c r="AB271" i="7"/>
  <c r="AD270" i="7"/>
  <c r="AB270" i="7"/>
  <c r="AD269" i="7"/>
  <c r="AB269" i="7"/>
  <c r="AD268" i="7"/>
  <c r="AB268" i="7"/>
  <c r="AD267" i="7"/>
  <c r="AB267" i="7"/>
  <c r="AD266" i="7"/>
  <c r="AB266" i="7"/>
  <c r="AD265" i="7"/>
  <c r="AB265" i="7"/>
  <c r="AD264" i="7"/>
  <c r="AB264" i="7"/>
  <c r="AD263" i="7"/>
  <c r="AB263" i="7"/>
  <c r="AD262" i="7"/>
  <c r="AB262" i="7"/>
  <c r="AD261" i="7"/>
  <c r="AB261" i="7"/>
  <c r="AD260" i="7"/>
  <c r="AB260" i="7"/>
  <c r="AD259" i="7"/>
  <c r="AB259" i="7"/>
  <c r="AD258" i="7"/>
  <c r="AB258" i="7"/>
  <c r="AD257" i="7"/>
  <c r="AB257" i="7"/>
  <c r="AD256" i="7"/>
  <c r="AB256" i="7"/>
  <c r="AD255" i="7"/>
  <c r="AB255" i="7"/>
  <c r="AD254" i="7"/>
  <c r="AB254" i="7"/>
  <c r="AD253" i="7"/>
  <c r="AB253" i="7"/>
  <c r="AD252" i="7"/>
  <c r="AB252" i="7"/>
  <c r="AD251" i="7"/>
  <c r="AB251" i="7"/>
  <c r="AD250" i="7"/>
  <c r="AB250" i="7"/>
  <c r="AD249" i="7"/>
  <c r="AB249" i="7"/>
  <c r="AD248" i="7"/>
  <c r="AB248" i="7"/>
  <c r="AD247" i="7"/>
  <c r="AB247" i="7"/>
  <c r="AD246" i="7"/>
  <c r="AB246" i="7"/>
  <c r="AD245" i="7"/>
  <c r="AB245" i="7"/>
  <c r="AD244" i="7"/>
  <c r="AB244" i="7"/>
  <c r="AD243" i="7"/>
  <c r="AB243" i="7"/>
  <c r="AD242" i="7"/>
  <c r="AB242" i="7"/>
  <c r="AD241" i="7"/>
  <c r="AB241" i="7"/>
  <c r="AD240" i="7"/>
  <c r="AB240" i="7"/>
  <c r="AD239" i="7"/>
  <c r="AB239" i="7"/>
  <c r="AD238" i="7"/>
  <c r="AB238" i="7"/>
  <c r="AD237" i="7"/>
  <c r="AB237" i="7"/>
  <c r="AD236" i="7"/>
  <c r="AB236" i="7"/>
  <c r="AD235" i="7"/>
  <c r="AB235" i="7"/>
  <c r="AD234" i="7"/>
  <c r="AB234" i="7"/>
  <c r="AD233" i="7"/>
  <c r="AB233" i="7"/>
  <c r="AD232" i="7"/>
  <c r="AB232" i="7"/>
  <c r="AD231" i="7"/>
  <c r="AB231" i="7"/>
  <c r="AD230" i="7"/>
  <c r="AB230" i="7"/>
  <c r="AD229" i="7"/>
  <c r="AB229" i="7"/>
  <c r="AD228" i="7"/>
  <c r="AB228" i="7"/>
  <c r="AD227" i="7"/>
  <c r="AB227" i="7"/>
  <c r="AD226" i="7"/>
  <c r="AB226" i="7"/>
  <c r="AD225" i="7"/>
  <c r="AB225" i="7"/>
  <c r="AD224" i="7"/>
  <c r="AB224" i="7"/>
  <c r="AD223" i="7"/>
  <c r="AB223" i="7"/>
  <c r="AD222" i="7"/>
  <c r="AB222" i="7"/>
  <c r="AD221" i="7"/>
  <c r="AB221" i="7"/>
  <c r="AD220" i="7"/>
  <c r="AB220" i="7"/>
  <c r="AD219" i="7"/>
  <c r="AB219" i="7"/>
  <c r="AD218" i="7"/>
  <c r="AB218" i="7"/>
  <c r="AD217" i="7"/>
  <c r="AB217" i="7"/>
  <c r="AD216" i="7"/>
  <c r="AB216" i="7"/>
  <c r="AD215" i="7"/>
  <c r="AB215" i="7"/>
  <c r="AD214" i="7"/>
  <c r="AB214" i="7"/>
  <c r="AD213" i="7"/>
  <c r="AB213" i="7"/>
  <c r="AD212" i="7"/>
  <c r="AB212" i="7"/>
  <c r="AD211" i="7"/>
  <c r="AB211" i="7"/>
  <c r="AD210" i="7"/>
  <c r="AB210" i="7"/>
  <c r="AD209" i="7"/>
  <c r="AB209" i="7"/>
  <c r="AD208" i="7"/>
  <c r="AB208" i="7"/>
  <c r="AD207" i="7"/>
  <c r="AB207" i="7"/>
  <c r="AD206" i="7"/>
  <c r="AB206" i="7"/>
  <c r="AD205" i="7"/>
  <c r="AB205" i="7"/>
  <c r="AD204" i="7"/>
  <c r="AB204" i="7"/>
  <c r="AD203" i="7"/>
  <c r="AB203" i="7"/>
  <c r="AD202" i="7"/>
  <c r="AB202" i="7"/>
  <c r="AD201" i="7"/>
  <c r="AB201" i="7"/>
  <c r="AD200" i="7"/>
  <c r="AB200" i="7"/>
  <c r="AD199" i="7"/>
  <c r="AB199" i="7"/>
  <c r="AD198" i="7"/>
  <c r="AB198" i="7"/>
  <c r="AD197" i="7"/>
  <c r="AB197" i="7"/>
  <c r="AD196" i="7"/>
  <c r="AB196" i="7"/>
  <c r="AD195" i="7"/>
  <c r="AB195" i="7"/>
  <c r="AD194" i="7"/>
  <c r="AB194" i="7"/>
  <c r="AD193" i="7"/>
  <c r="AB193" i="7"/>
  <c r="AD192" i="7"/>
  <c r="AB192" i="7"/>
  <c r="AD191" i="7"/>
  <c r="AB191" i="7"/>
  <c r="AD190" i="7"/>
  <c r="AB190" i="7"/>
  <c r="AD189" i="7"/>
  <c r="AB189" i="7"/>
  <c r="AD188" i="7"/>
  <c r="AB188" i="7"/>
  <c r="AD187" i="7"/>
  <c r="AB187" i="7"/>
  <c r="AD186" i="7"/>
  <c r="AB186" i="7"/>
  <c r="AD185" i="7"/>
  <c r="AB185" i="7"/>
  <c r="AD184" i="7"/>
  <c r="AB184" i="7"/>
  <c r="AD183" i="7"/>
  <c r="AB183" i="7"/>
  <c r="AD182" i="7"/>
  <c r="AB182" i="7"/>
  <c r="AD181" i="7"/>
  <c r="AB181" i="7"/>
  <c r="AD180" i="7"/>
  <c r="AB180" i="7"/>
  <c r="AD179" i="7"/>
  <c r="AB179" i="7"/>
  <c r="AD178" i="7"/>
  <c r="AB178" i="7"/>
  <c r="AD177" i="7"/>
  <c r="AB177" i="7"/>
  <c r="AD176" i="7"/>
  <c r="AB176" i="7"/>
  <c r="AD175" i="7"/>
  <c r="AB175" i="7"/>
  <c r="AD174" i="7"/>
  <c r="AB174" i="7"/>
  <c r="AD173" i="7"/>
  <c r="AB173" i="7"/>
  <c r="AD172" i="7"/>
  <c r="AB172" i="7"/>
  <c r="AD171" i="7"/>
  <c r="AB171" i="7"/>
  <c r="AD170" i="7"/>
  <c r="AB170" i="7"/>
  <c r="AD169" i="7"/>
  <c r="AB169" i="7"/>
  <c r="AD168" i="7"/>
  <c r="AB168" i="7"/>
  <c r="AD167" i="7"/>
  <c r="AB167" i="7"/>
  <c r="AD166" i="7"/>
  <c r="AB166" i="7"/>
  <c r="AD165" i="7"/>
  <c r="AB165" i="7"/>
  <c r="AD164" i="7"/>
  <c r="AB164" i="7"/>
  <c r="AD163" i="7"/>
  <c r="AB163" i="7"/>
  <c r="AD162" i="7"/>
  <c r="AB162" i="7"/>
  <c r="AD161" i="7"/>
  <c r="AB161" i="7"/>
  <c r="AD160" i="7"/>
  <c r="AB160" i="7"/>
  <c r="AD159" i="7"/>
  <c r="AB159" i="7"/>
  <c r="AD158" i="7"/>
  <c r="AB158" i="7"/>
  <c r="AD157" i="7"/>
  <c r="AB157" i="7"/>
  <c r="AD156" i="7"/>
  <c r="AB156" i="7"/>
  <c r="AD155" i="7"/>
  <c r="AB155" i="7"/>
  <c r="AD154" i="7"/>
  <c r="AB154" i="7"/>
  <c r="AD153" i="7"/>
  <c r="AB153" i="7"/>
  <c r="AD152" i="7"/>
  <c r="AB152" i="7"/>
  <c r="AD151" i="7"/>
  <c r="AB151" i="7"/>
  <c r="AD150" i="7"/>
  <c r="AB150" i="7"/>
  <c r="AD149" i="7"/>
  <c r="AB149" i="7"/>
  <c r="AD148" i="7"/>
  <c r="AB148" i="7"/>
  <c r="AD147" i="7"/>
  <c r="AB147" i="7"/>
  <c r="AD146" i="7"/>
  <c r="AB146" i="7"/>
  <c r="AD145" i="7"/>
  <c r="AB145" i="7"/>
  <c r="AD144" i="7"/>
  <c r="AB144" i="7"/>
  <c r="AD143" i="7"/>
  <c r="AB143" i="7"/>
  <c r="AD142" i="7"/>
  <c r="AB142" i="7"/>
  <c r="AD141" i="7"/>
  <c r="AB141" i="7"/>
  <c r="AD140" i="7"/>
  <c r="AB140" i="7"/>
  <c r="AD139" i="7"/>
  <c r="AB139" i="7"/>
  <c r="AD138" i="7"/>
  <c r="AB138" i="7"/>
  <c r="AD137" i="7"/>
  <c r="AB137" i="7"/>
  <c r="AD136" i="7"/>
  <c r="AB136" i="7"/>
  <c r="AD135" i="7"/>
  <c r="AB135" i="7"/>
  <c r="AD134" i="7"/>
  <c r="AB134" i="7"/>
  <c r="AD133" i="7"/>
  <c r="AB133" i="7"/>
  <c r="AD132" i="7"/>
  <c r="AB132" i="7"/>
  <c r="AD131" i="7"/>
  <c r="AB131" i="7"/>
  <c r="AD130" i="7"/>
  <c r="AB130" i="7"/>
  <c r="AD129" i="7"/>
  <c r="AB129" i="7"/>
  <c r="AD128" i="7"/>
  <c r="AB128" i="7"/>
  <c r="AD127" i="7"/>
  <c r="AB127" i="7"/>
  <c r="AD126" i="7"/>
  <c r="AB126" i="7"/>
  <c r="AD125" i="7"/>
  <c r="AB125" i="7"/>
  <c r="AD124" i="7"/>
  <c r="AB124" i="7"/>
  <c r="AD123" i="7"/>
  <c r="AB123" i="7"/>
  <c r="AD122" i="7"/>
  <c r="AB122" i="7"/>
  <c r="AD121" i="7"/>
  <c r="AB121" i="7"/>
  <c r="AD120" i="7"/>
  <c r="AB120" i="7"/>
  <c r="AD119" i="7"/>
  <c r="AB119" i="7"/>
  <c r="AD118" i="7"/>
  <c r="AB118" i="7"/>
  <c r="AD117" i="7"/>
  <c r="AB117" i="7"/>
  <c r="AD116" i="7"/>
  <c r="AB116" i="7"/>
  <c r="AD115" i="7"/>
  <c r="AB115" i="7"/>
  <c r="AD114" i="7"/>
  <c r="AB114" i="7"/>
  <c r="AD113" i="7"/>
  <c r="AB113" i="7"/>
  <c r="AD112" i="7"/>
  <c r="AB112" i="7"/>
  <c r="AD111" i="7"/>
  <c r="AB111" i="7"/>
  <c r="AD110" i="7"/>
  <c r="AB110" i="7"/>
  <c r="AD109" i="7"/>
  <c r="AB109" i="7"/>
  <c r="AD108" i="7"/>
  <c r="AB108" i="7"/>
  <c r="AD107" i="7"/>
  <c r="AB107" i="7"/>
  <c r="AD106" i="7"/>
  <c r="AB106" i="7"/>
  <c r="AD105" i="7"/>
  <c r="AB105" i="7"/>
  <c r="AD104" i="7"/>
  <c r="AB104" i="7"/>
  <c r="AD103" i="7"/>
  <c r="AB103" i="7"/>
  <c r="AD102" i="7"/>
  <c r="AB102" i="7"/>
  <c r="AD101" i="7"/>
  <c r="AB101" i="7"/>
  <c r="AD100" i="7"/>
  <c r="AB100" i="7"/>
  <c r="AD99" i="7"/>
  <c r="AB99" i="7"/>
  <c r="AD98" i="7"/>
  <c r="AB98" i="7"/>
  <c r="AD97" i="7"/>
  <c r="AB97" i="7"/>
  <c r="AD96" i="7"/>
  <c r="AB96" i="7"/>
  <c r="AD95" i="7"/>
  <c r="AB95" i="7"/>
  <c r="AD94" i="7"/>
  <c r="AB94" i="7"/>
  <c r="AD93" i="7"/>
  <c r="AB93" i="7"/>
  <c r="AD92" i="7"/>
  <c r="AB92" i="7"/>
  <c r="AD91" i="7"/>
  <c r="AB91" i="7"/>
  <c r="AD90" i="7"/>
  <c r="AB90" i="7"/>
  <c r="AD89" i="7"/>
  <c r="AB89" i="7"/>
  <c r="AD88" i="7"/>
  <c r="AB88" i="7"/>
  <c r="AD87" i="7"/>
  <c r="AB87" i="7"/>
  <c r="AD86" i="7"/>
  <c r="AB86" i="7"/>
  <c r="AD85" i="7"/>
  <c r="AB85" i="7"/>
  <c r="AD84" i="7"/>
  <c r="AB84" i="7"/>
  <c r="AD83" i="7"/>
  <c r="AB83" i="7"/>
  <c r="AD82" i="7"/>
  <c r="AB82" i="7"/>
  <c r="AD81" i="7"/>
  <c r="AB81" i="7"/>
  <c r="AD80" i="7"/>
  <c r="AB80" i="7"/>
  <c r="AD79" i="7"/>
  <c r="AB79" i="7"/>
  <c r="AD78" i="7"/>
  <c r="AB78" i="7"/>
  <c r="AD77" i="7"/>
  <c r="AB77" i="7"/>
  <c r="AD76" i="7"/>
  <c r="AB76" i="7"/>
  <c r="AD75" i="7"/>
  <c r="AB75" i="7"/>
  <c r="AD74" i="7"/>
  <c r="AB74" i="7"/>
  <c r="AD73" i="7"/>
  <c r="AB73" i="7"/>
  <c r="AD72" i="7"/>
  <c r="AB72" i="7"/>
  <c r="AD71" i="7"/>
  <c r="AB71" i="7"/>
  <c r="AD70" i="7"/>
  <c r="AB70" i="7"/>
  <c r="AD69" i="7"/>
  <c r="AB69" i="7"/>
  <c r="AD68" i="7"/>
  <c r="AB68" i="7"/>
  <c r="AD67" i="7"/>
  <c r="AB67" i="7"/>
  <c r="AD66" i="7"/>
  <c r="AB66" i="7"/>
  <c r="AD65" i="7"/>
  <c r="AB65" i="7"/>
  <c r="AD64" i="7"/>
  <c r="AB64" i="7"/>
  <c r="AD63" i="7"/>
  <c r="AB63" i="7"/>
  <c r="AD62" i="7"/>
  <c r="AB62" i="7"/>
  <c r="AD61" i="7"/>
  <c r="AB61" i="7"/>
  <c r="AD60" i="7"/>
  <c r="AB60" i="7"/>
  <c r="AD59" i="7"/>
  <c r="AB59" i="7"/>
  <c r="AD58" i="7"/>
  <c r="AB58" i="7"/>
  <c r="AD57" i="7"/>
  <c r="AB57" i="7"/>
  <c r="AD56" i="7"/>
  <c r="AB56" i="7"/>
  <c r="AD55" i="7"/>
  <c r="AB55" i="7"/>
  <c r="AD54" i="7"/>
  <c r="AB54" i="7"/>
  <c r="AD53" i="7"/>
  <c r="AB53" i="7"/>
  <c r="AD52" i="7"/>
  <c r="AB52" i="7"/>
  <c r="AD51" i="7"/>
  <c r="AB51" i="7"/>
  <c r="AD50" i="7"/>
  <c r="AB50" i="7"/>
  <c r="AD49" i="7"/>
  <c r="AB49" i="7"/>
  <c r="AD48" i="7"/>
  <c r="AB48" i="7"/>
  <c r="AD47" i="7"/>
  <c r="AB47" i="7"/>
  <c r="AD46" i="7"/>
  <c r="AB46" i="7"/>
  <c r="AD45" i="7"/>
  <c r="AB45" i="7"/>
  <c r="AD44" i="7"/>
  <c r="AB44" i="7"/>
  <c r="AD43" i="7"/>
  <c r="AB43" i="7"/>
  <c r="AD42" i="7"/>
  <c r="AB42" i="7"/>
  <c r="AD41" i="7"/>
  <c r="AB41" i="7"/>
  <c r="AD40" i="7"/>
  <c r="AB40" i="7"/>
  <c r="AD39" i="7"/>
  <c r="AB39" i="7"/>
  <c r="AD38" i="7"/>
  <c r="AB38" i="7"/>
  <c r="AD37" i="7"/>
  <c r="AB37" i="7"/>
  <c r="AD36" i="7"/>
  <c r="AB36" i="7"/>
  <c r="AD35" i="7"/>
  <c r="AB35" i="7"/>
  <c r="AD34" i="7"/>
  <c r="AB34" i="7"/>
  <c r="AD33" i="7"/>
  <c r="AB33" i="7"/>
  <c r="AD32" i="7"/>
  <c r="AB32" i="7"/>
  <c r="AD31" i="7"/>
  <c r="AB31" i="7"/>
  <c r="AD30" i="7"/>
  <c r="AB30" i="7"/>
  <c r="AD29" i="7"/>
  <c r="AB29" i="7"/>
  <c r="AD28" i="7"/>
  <c r="AB28" i="7"/>
  <c r="AD27" i="7"/>
  <c r="AB27" i="7"/>
  <c r="AD26" i="7"/>
  <c r="AB26" i="7"/>
  <c r="AD25" i="7"/>
  <c r="AB25" i="7"/>
  <c r="AD24" i="7"/>
  <c r="AB24" i="7"/>
  <c r="AD23" i="7"/>
  <c r="AB23" i="7"/>
  <c r="AD22" i="7"/>
  <c r="AB22" i="7"/>
  <c r="AD21" i="7"/>
  <c r="AB21" i="7"/>
  <c r="AD20" i="7"/>
  <c r="AB20" i="7"/>
  <c r="AD19" i="7"/>
  <c r="AB19" i="7"/>
  <c r="AD18" i="7"/>
  <c r="AB18" i="7"/>
  <c r="AH17" i="7"/>
  <c r="AD17" i="7"/>
  <c r="AB17" i="7"/>
  <c r="AH16" i="7"/>
  <c r="AD16" i="7"/>
  <c r="AB16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H15" i="7"/>
  <c r="AD15" i="7"/>
  <c r="AB15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H14" i="7"/>
  <c r="AD14" i="7"/>
  <c r="AB14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H13" i="7"/>
  <c r="AD13" i="7"/>
  <c r="AB13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H12" i="7"/>
  <c r="AD12" i="7"/>
  <c r="AB12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H11" i="7"/>
  <c r="AD11" i="7"/>
  <c r="AB11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H10" i="7"/>
  <c r="AD10" i="7"/>
  <c r="AB10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H9" i="7"/>
  <c r="AD9" i="7"/>
  <c r="AB9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H8" i="7"/>
  <c r="AD8" i="7"/>
  <c r="AB8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H7" i="7"/>
  <c r="AD7" i="7"/>
  <c r="AB7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H6" i="7"/>
  <c r="AD6" i="7"/>
  <c r="AB6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H5" i="7"/>
  <c r="AD5" i="7"/>
  <c r="AB5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H4" i="7"/>
  <c r="AD4" i="7"/>
  <c r="AB4" i="7"/>
  <c r="AK3" i="7"/>
  <c r="F2" i="8" s="1"/>
  <c r="AH3" i="7"/>
  <c r="AD3" i="7"/>
  <c r="AB3" i="7"/>
  <c r="AD2" i="7"/>
  <c r="AB2" i="7"/>
  <c r="AE1" i="7"/>
  <c r="Y1" i="7"/>
  <c r="Y699" i="58" l="1"/>
  <c r="Y698" i="58"/>
  <c r="Y697" i="58"/>
  <c r="Y696" i="58"/>
  <c r="Y695" i="58"/>
  <c r="Y694" i="58"/>
  <c r="Y693" i="58"/>
  <c r="Y692" i="58"/>
  <c r="Y691" i="58"/>
  <c r="Y690" i="58"/>
  <c r="Y689" i="58"/>
  <c r="Y688" i="58"/>
  <c r="Y687" i="58"/>
  <c r="Y686" i="58"/>
  <c r="Y685" i="58"/>
  <c r="Y684" i="58"/>
  <c r="Y683" i="58"/>
  <c r="Y682" i="58"/>
  <c r="Y681" i="58"/>
  <c r="Y680" i="58"/>
  <c r="Y679" i="58"/>
  <c r="Y678" i="58"/>
  <c r="Y677" i="58"/>
  <c r="Y676" i="58"/>
  <c r="Y675" i="58"/>
  <c r="Y674" i="58"/>
  <c r="Y673" i="58"/>
  <c r="Y672" i="58"/>
  <c r="Y671" i="58"/>
  <c r="Y670" i="58"/>
  <c r="Y669" i="58"/>
  <c r="Y668" i="58"/>
  <c r="Y667" i="58"/>
  <c r="Y666" i="58"/>
  <c r="Y665" i="58"/>
  <c r="Y664" i="58"/>
  <c r="Y663" i="58"/>
  <c r="Y662" i="58"/>
  <c r="Y661" i="58"/>
  <c r="Y660" i="58"/>
  <c r="Y659" i="58"/>
  <c r="Y658" i="58"/>
  <c r="Y657" i="58"/>
  <c r="Y656" i="58"/>
  <c r="Y655" i="58"/>
  <c r="Y654" i="58"/>
  <c r="Y653" i="58"/>
  <c r="Y652" i="58"/>
  <c r="Y651" i="58"/>
  <c r="Y650" i="58"/>
  <c r="Y649" i="58"/>
  <c r="Y648" i="58"/>
  <c r="Y647" i="58"/>
  <c r="Y646" i="58"/>
  <c r="Y645" i="58"/>
  <c r="Y644" i="58"/>
  <c r="Y643" i="58"/>
  <c r="Y642" i="58"/>
  <c r="Y641" i="58"/>
  <c r="Y640" i="58"/>
  <c r="Y639" i="58"/>
  <c r="Y638" i="58"/>
  <c r="Y637" i="58"/>
  <c r="Y636" i="58"/>
  <c r="Y635" i="58"/>
  <c r="Y634" i="58"/>
  <c r="Y633" i="58"/>
  <c r="Y632" i="58"/>
  <c r="Y631" i="58"/>
  <c r="Y630" i="58"/>
  <c r="Y629" i="58"/>
  <c r="Y628" i="58"/>
  <c r="Y627" i="58"/>
  <c r="Y626" i="58"/>
  <c r="Y625" i="58"/>
  <c r="Y624" i="58"/>
  <c r="Y623" i="58"/>
  <c r="Y622" i="58"/>
  <c r="Y621" i="58"/>
  <c r="Y620" i="58"/>
  <c r="Y619" i="58"/>
  <c r="Y618" i="58"/>
  <c r="Y617" i="58"/>
  <c r="Y616" i="58"/>
  <c r="Y615" i="58"/>
  <c r="Y614" i="58"/>
  <c r="Y613" i="58"/>
  <c r="Y612" i="58"/>
  <c r="Y611" i="58"/>
  <c r="Y610" i="58"/>
  <c r="Y609" i="58"/>
  <c r="Y608" i="58"/>
  <c r="Y607" i="58"/>
  <c r="Y606" i="58"/>
  <c r="Y605" i="58"/>
  <c r="Y604" i="58"/>
  <c r="Y603" i="58"/>
  <c r="Y602" i="58"/>
  <c r="Y601" i="58"/>
  <c r="Y600" i="58"/>
  <c r="Y599" i="58"/>
  <c r="Y598" i="58"/>
  <c r="Y597" i="58"/>
  <c r="Y596" i="58"/>
  <c r="Y595" i="58"/>
  <c r="Y594" i="58"/>
  <c r="Y593" i="58"/>
  <c r="Y592" i="58"/>
  <c r="Y591" i="58"/>
  <c r="Y590" i="58"/>
  <c r="Y589" i="58"/>
  <c r="Y588" i="58"/>
  <c r="Y587" i="58"/>
  <c r="Y586" i="58"/>
  <c r="Y585" i="58"/>
  <c r="Y584" i="58"/>
  <c r="Y583" i="58"/>
  <c r="Y582" i="58"/>
  <c r="Y581" i="58"/>
  <c r="Y580" i="58"/>
  <c r="Y579" i="58"/>
  <c r="Y578" i="58"/>
  <c r="Y577" i="58"/>
  <c r="Y576" i="58"/>
  <c r="Y575" i="58"/>
  <c r="Y574" i="58"/>
  <c r="Y573" i="58"/>
  <c r="Y572" i="58"/>
  <c r="Y571" i="58"/>
  <c r="Y570" i="58"/>
  <c r="Y569" i="58"/>
  <c r="Y568" i="58"/>
  <c r="Y567" i="58"/>
  <c r="Y566" i="58"/>
  <c r="Y565" i="58"/>
  <c r="Y564" i="58"/>
  <c r="Y563" i="58"/>
  <c r="Y562" i="58"/>
  <c r="Y561" i="58"/>
  <c r="Y560" i="58"/>
  <c r="Y559" i="58"/>
  <c r="Y558" i="58"/>
  <c r="Y557" i="58"/>
  <c r="Y556" i="58"/>
  <c r="Y555" i="58"/>
  <c r="Y554" i="58"/>
  <c r="Y553" i="58"/>
  <c r="Y552" i="58"/>
  <c r="Y551" i="58"/>
  <c r="Y550" i="58"/>
  <c r="Y549" i="58"/>
  <c r="Y548" i="58"/>
  <c r="Y547" i="58"/>
  <c r="Y546" i="58"/>
  <c r="Y545" i="58"/>
  <c r="Y544" i="58"/>
  <c r="Y543" i="58"/>
  <c r="Y542" i="58"/>
  <c r="Y541" i="58"/>
  <c r="Y540" i="58"/>
  <c r="Y539" i="58"/>
  <c r="Y538" i="58"/>
  <c r="Y537" i="58"/>
  <c r="Y536" i="58"/>
  <c r="Y535" i="58"/>
  <c r="Y534" i="58"/>
  <c r="Y533" i="58"/>
  <c r="Y532" i="58"/>
  <c r="Y531" i="58"/>
  <c r="Y530" i="58"/>
  <c r="Y529" i="58"/>
  <c r="Y528" i="58"/>
  <c r="Y527" i="58"/>
  <c r="Y526" i="58"/>
  <c r="Y525" i="58"/>
  <c r="Y524" i="58"/>
  <c r="Y523" i="58"/>
  <c r="Y522" i="58"/>
  <c r="Y521" i="58"/>
  <c r="Y520" i="58"/>
  <c r="Y519" i="58"/>
  <c r="Y518" i="58"/>
  <c r="Y517" i="58"/>
  <c r="Y516" i="58"/>
  <c r="Y515" i="58"/>
  <c r="Y514" i="58"/>
  <c r="Y513" i="58"/>
  <c r="Y512" i="58"/>
  <c r="Y511" i="58"/>
  <c r="Y510" i="58"/>
  <c r="Y509" i="58"/>
  <c r="Y508" i="58"/>
  <c r="Y507" i="58"/>
  <c r="Y506" i="58"/>
  <c r="Y505" i="58"/>
  <c r="Y504" i="58"/>
  <c r="Y503" i="58"/>
  <c r="Y502" i="58"/>
  <c r="Y501" i="58"/>
  <c r="Y500" i="58"/>
  <c r="Y499" i="58"/>
  <c r="Y498" i="58"/>
  <c r="Y497" i="58"/>
  <c r="Y496" i="58"/>
  <c r="Y495" i="58"/>
  <c r="Y494" i="58"/>
  <c r="Y493" i="58"/>
  <c r="Y492" i="58"/>
  <c r="Y491" i="58"/>
  <c r="Y490" i="58"/>
  <c r="Y489" i="58"/>
  <c r="Y488" i="58"/>
  <c r="Y487" i="58"/>
  <c r="Y486" i="58"/>
  <c r="Y485" i="58"/>
  <c r="Y484" i="58"/>
  <c r="Y483" i="58"/>
  <c r="Y482" i="58"/>
  <c r="Y481" i="58"/>
  <c r="Y480" i="58"/>
  <c r="Y479" i="58"/>
  <c r="Y478" i="58"/>
  <c r="Y477" i="58"/>
  <c r="Y476" i="58"/>
  <c r="Y475" i="58"/>
  <c r="Y474" i="58"/>
  <c r="Y473" i="58"/>
  <c r="Y472" i="58"/>
  <c r="Y471" i="58"/>
  <c r="Y470" i="58"/>
  <c r="Y469" i="58"/>
  <c r="Y468" i="58"/>
  <c r="Y467" i="58"/>
  <c r="Y466" i="58"/>
  <c r="Y465" i="58"/>
  <c r="Y464" i="58"/>
  <c r="Y463" i="58"/>
  <c r="Y462" i="58"/>
  <c r="Y461" i="58"/>
  <c r="Y460" i="58"/>
  <c r="Y459" i="58"/>
  <c r="Y458" i="58"/>
  <c r="Y457" i="58"/>
  <c r="Y456" i="58"/>
  <c r="Y455" i="58"/>
  <c r="Y454" i="58"/>
  <c r="Y453" i="58"/>
  <c r="Y452" i="58"/>
  <c r="Y451" i="58"/>
  <c r="Y450" i="58"/>
  <c r="Y449" i="58"/>
  <c r="Y448" i="58"/>
  <c r="Y447" i="58"/>
  <c r="Y446" i="58"/>
  <c r="Y445" i="58"/>
  <c r="Y444" i="58"/>
  <c r="Y443" i="58"/>
  <c r="Y442" i="58"/>
  <c r="Y441" i="58"/>
  <c r="Y440" i="58"/>
  <c r="Y439" i="58"/>
  <c r="Y438" i="58"/>
  <c r="Y437" i="58"/>
  <c r="Y436" i="58"/>
  <c r="Y435" i="58"/>
  <c r="Y434" i="58"/>
  <c r="Y433" i="58"/>
  <c r="Y432" i="58"/>
  <c r="Y431" i="58"/>
  <c r="Y430" i="58"/>
  <c r="Y429" i="58"/>
  <c r="Y428" i="58"/>
  <c r="Y427" i="58"/>
  <c r="Y426" i="58"/>
  <c r="Y425" i="58"/>
  <c r="Y424" i="58"/>
  <c r="Y423" i="58"/>
  <c r="Y422" i="58"/>
  <c r="Y421" i="58"/>
  <c r="Y420" i="58"/>
  <c r="Y419" i="58"/>
  <c r="Y418" i="58"/>
  <c r="Y417" i="58"/>
  <c r="Y416" i="58"/>
  <c r="Y415" i="58"/>
  <c r="Y414" i="58"/>
  <c r="Y413" i="58"/>
  <c r="Y412" i="58"/>
  <c r="Y411" i="58"/>
  <c r="Y410" i="58"/>
  <c r="Y409" i="58"/>
  <c r="Y408" i="58"/>
  <c r="Y407" i="58"/>
  <c r="Y406" i="58"/>
  <c r="Y405" i="58"/>
  <c r="Y404" i="58"/>
  <c r="Y403" i="58"/>
  <c r="Y402" i="58"/>
  <c r="Y401" i="58"/>
  <c r="Y400" i="58"/>
  <c r="Y399" i="58"/>
  <c r="Y398" i="58"/>
  <c r="Y397" i="58"/>
  <c r="Y396" i="58"/>
  <c r="Y395" i="58"/>
  <c r="Y394" i="58"/>
  <c r="Y393" i="58"/>
  <c r="Y392" i="58"/>
  <c r="Y391" i="58"/>
  <c r="Y390" i="58"/>
  <c r="Y389" i="58"/>
  <c r="Y388" i="58"/>
  <c r="Y387" i="58"/>
  <c r="Y386" i="58"/>
  <c r="Y385" i="58"/>
  <c r="Y384" i="58"/>
  <c r="Y383" i="58"/>
  <c r="Y382" i="58"/>
  <c r="Y381" i="58"/>
  <c r="Y380" i="58"/>
  <c r="Y379" i="58"/>
  <c r="Y378" i="58"/>
  <c r="Y377" i="58"/>
  <c r="Y376" i="58"/>
  <c r="Y375" i="58"/>
  <c r="Y374" i="58"/>
  <c r="Y373" i="58"/>
  <c r="Y372" i="58"/>
  <c r="Y371" i="58"/>
  <c r="Y370" i="58"/>
  <c r="Y369" i="58"/>
  <c r="Y368" i="58"/>
  <c r="Y367" i="58"/>
  <c r="Y366" i="58"/>
  <c r="Y365" i="58"/>
  <c r="Y364" i="58"/>
  <c r="Y363" i="58"/>
  <c r="Y362" i="58"/>
  <c r="Y361" i="58"/>
  <c r="Y360" i="58"/>
  <c r="Y359" i="58"/>
  <c r="Y358" i="58"/>
  <c r="Y357" i="58"/>
  <c r="Y356" i="58"/>
  <c r="Y355" i="58"/>
  <c r="Y354" i="58"/>
  <c r="Y353" i="58"/>
  <c r="Y352" i="58"/>
  <c r="Y351" i="58"/>
  <c r="Y350" i="58"/>
  <c r="Y349" i="58"/>
  <c r="Y348" i="58"/>
  <c r="Y347" i="58"/>
  <c r="Y346" i="58"/>
  <c r="Y345" i="58"/>
  <c r="Y344" i="58"/>
  <c r="Y343" i="58"/>
  <c r="Y342" i="58"/>
  <c r="Y341" i="58"/>
  <c r="Y340" i="58"/>
  <c r="Y339" i="58"/>
  <c r="Y338" i="58"/>
  <c r="Y337" i="58"/>
  <c r="Y336" i="58"/>
  <c r="Y335" i="58"/>
  <c r="Y334" i="58"/>
  <c r="Y333" i="58"/>
  <c r="Y332" i="58"/>
  <c r="Y331" i="58"/>
  <c r="Y330" i="58"/>
  <c r="Y329" i="58"/>
  <c r="Y328" i="58"/>
  <c r="Y327" i="58"/>
  <c r="Y326" i="58"/>
  <c r="Y325" i="58"/>
  <c r="Y324" i="58"/>
  <c r="Y323" i="58"/>
  <c r="Y322" i="58"/>
  <c r="Y321" i="58"/>
  <c r="Y320" i="58"/>
  <c r="Y319" i="58"/>
  <c r="Y318" i="58"/>
  <c r="Y317" i="58"/>
  <c r="Y316" i="58"/>
  <c r="Y315" i="58"/>
  <c r="Y314" i="58"/>
  <c r="Y313" i="58"/>
  <c r="Y312" i="58"/>
  <c r="Y311" i="58"/>
  <c r="Y310" i="58"/>
  <c r="Y309" i="58"/>
  <c r="Y308" i="58"/>
  <c r="Y307" i="58"/>
  <c r="Y306" i="58"/>
  <c r="Y305" i="58"/>
  <c r="Y304" i="58"/>
  <c r="Y303" i="58"/>
  <c r="Y302" i="58"/>
  <c r="Y301" i="58"/>
  <c r="Y300" i="58"/>
  <c r="Y299" i="58"/>
  <c r="Y298" i="58"/>
  <c r="Y297" i="58"/>
  <c r="Y296" i="58"/>
  <c r="Y295" i="58"/>
  <c r="Y294" i="58"/>
  <c r="Y293" i="58"/>
  <c r="Y292" i="58"/>
  <c r="Y291" i="58"/>
  <c r="Y290" i="58"/>
  <c r="Y289" i="58"/>
  <c r="Y288" i="58"/>
  <c r="Y287" i="58"/>
  <c r="Y286" i="58"/>
  <c r="Y285" i="58"/>
  <c r="Y284" i="58"/>
  <c r="Y283" i="58"/>
  <c r="Y282" i="58"/>
  <c r="Y281" i="58"/>
  <c r="Y280" i="58"/>
  <c r="Y279" i="58"/>
  <c r="Y278" i="58"/>
  <c r="Y277" i="58"/>
  <c r="Y276" i="58"/>
  <c r="Y275" i="58"/>
  <c r="Y274" i="58"/>
  <c r="Y273" i="58"/>
  <c r="Y272" i="58"/>
  <c r="Y271" i="58"/>
  <c r="Y270" i="58"/>
  <c r="Y269" i="58"/>
  <c r="Y268" i="58"/>
  <c r="Y267" i="58"/>
  <c r="Y266" i="58"/>
  <c r="Y265" i="58"/>
  <c r="Y264" i="58"/>
  <c r="Y263" i="58"/>
  <c r="Y262" i="58"/>
  <c r="Y261" i="58"/>
  <c r="Y260" i="58"/>
  <c r="Y259" i="58"/>
  <c r="Y258" i="58"/>
  <c r="Y257" i="58"/>
  <c r="Y256" i="58"/>
  <c r="Y255" i="58"/>
  <c r="Y254" i="58"/>
  <c r="Y253" i="58"/>
  <c r="Y252" i="58"/>
  <c r="Y251" i="58"/>
  <c r="Y250" i="58"/>
  <c r="Y249" i="58"/>
  <c r="Y248" i="58"/>
  <c r="Y247" i="58"/>
  <c r="Y246" i="58"/>
  <c r="Y245" i="58"/>
  <c r="Y244" i="58"/>
  <c r="Y243" i="58"/>
  <c r="Y242" i="58"/>
  <c r="Y241" i="58"/>
  <c r="Y240" i="58"/>
  <c r="Y239" i="58"/>
  <c r="Y238" i="58"/>
  <c r="Y237" i="58"/>
  <c r="Y236" i="58"/>
  <c r="Y235" i="58"/>
  <c r="Y234" i="58"/>
  <c r="Y233" i="58"/>
  <c r="Y232" i="58"/>
  <c r="Y231" i="58"/>
  <c r="Y230" i="58"/>
  <c r="Y229" i="58"/>
  <c r="Y228" i="58"/>
  <c r="Y227" i="58"/>
  <c r="Y226" i="58"/>
  <c r="Y225" i="58"/>
  <c r="Y224" i="58"/>
  <c r="Y223" i="58"/>
  <c r="Y222" i="58"/>
  <c r="Y221" i="58"/>
  <c r="Y220" i="58"/>
  <c r="Y219" i="58"/>
  <c r="Y218" i="58"/>
  <c r="Y217" i="58"/>
  <c r="Y216" i="58"/>
  <c r="Y215" i="58"/>
  <c r="Y214" i="58"/>
  <c r="Y213" i="58"/>
  <c r="Y212" i="58"/>
  <c r="Y211" i="58"/>
  <c r="Y210" i="58"/>
  <c r="Y209" i="58"/>
  <c r="Y208" i="58"/>
  <c r="Y207" i="58"/>
  <c r="Y206" i="58"/>
  <c r="Y205" i="58"/>
  <c r="Y204" i="58"/>
  <c r="Y203" i="58"/>
  <c r="Y202" i="58"/>
  <c r="Y201" i="58"/>
  <c r="Y200" i="58"/>
  <c r="Y199" i="58"/>
  <c r="Y198" i="58"/>
  <c r="Y197" i="58"/>
  <c r="Y196" i="58"/>
  <c r="Y195" i="58"/>
  <c r="Y194" i="58"/>
  <c r="Y193" i="58"/>
  <c r="Y192" i="58"/>
  <c r="Y191" i="58"/>
  <c r="Y190" i="58"/>
  <c r="Y189" i="58"/>
  <c r="Y188" i="58"/>
  <c r="Y187" i="58"/>
  <c r="Y186" i="58"/>
  <c r="Y185" i="58"/>
  <c r="Y184" i="58"/>
  <c r="Y183" i="58"/>
  <c r="Y182" i="58"/>
  <c r="Y181" i="58"/>
  <c r="Y180" i="58"/>
  <c r="Y179" i="58"/>
  <c r="Y178" i="58"/>
  <c r="Y177" i="58"/>
  <c r="Y176" i="58"/>
  <c r="Y175" i="58"/>
  <c r="Y174" i="58"/>
  <c r="Y173" i="58"/>
  <c r="Y172" i="58"/>
  <c r="Y171" i="58"/>
  <c r="Y170" i="58"/>
  <c r="Y169" i="58"/>
  <c r="Y168" i="58"/>
  <c r="Y167" i="58"/>
  <c r="Y166" i="58"/>
  <c r="Y165" i="58"/>
  <c r="Y164" i="58"/>
  <c r="Y163" i="58"/>
  <c r="Y162" i="58"/>
  <c r="Y161" i="58"/>
  <c r="Y160" i="58"/>
  <c r="Y159" i="58"/>
  <c r="Y158" i="58"/>
  <c r="Y157" i="58"/>
  <c r="Y156" i="58"/>
  <c r="Y155" i="58"/>
  <c r="Y154" i="58"/>
  <c r="Y153" i="58"/>
  <c r="Y152" i="58"/>
  <c r="Y151" i="58"/>
  <c r="Y150" i="58"/>
  <c r="Y149" i="58"/>
  <c r="Y148" i="58"/>
  <c r="Y147" i="58"/>
  <c r="Y146" i="58"/>
  <c r="Y145" i="58"/>
  <c r="Y144" i="58"/>
  <c r="Y143" i="58"/>
  <c r="Y142" i="58"/>
  <c r="Y141" i="58"/>
  <c r="Y140" i="58"/>
  <c r="Y139" i="58"/>
  <c r="Y138" i="58"/>
  <c r="Y137" i="58"/>
  <c r="Y136" i="58"/>
  <c r="Y135" i="58"/>
  <c r="Y134" i="58"/>
  <c r="Y133" i="58"/>
  <c r="Y132" i="58"/>
  <c r="Y131" i="58"/>
  <c r="Y130" i="58"/>
  <c r="Y129" i="58"/>
  <c r="Y128" i="58"/>
  <c r="Y127" i="58"/>
  <c r="Y126" i="58"/>
  <c r="Y125" i="58"/>
  <c r="Y124" i="58"/>
  <c r="Y123" i="58"/>
  <c r="Y122" i="58"/>
  <c r="Y121" i="58"/>
  <c r="Y120" i="58"/>
  <c r="Y119" i="58"/>
  <c r="Y118" i="58"/>
  <c r="Y117" i="58"/>
  <c r="Y116" i="58"/>
  <c r="Y115" i="58"/>
  <c r="Y114" i="58"/>
  <c r="Y113" i="58"/>
  <c r="Y112" i="58"/>
  <c r="Y111" i="58"/>
  <c r="Y110" i="58"/>
  <c r="Y109" i="58"/>
  <c r="Y108" i="58"/>
  <c r="Y107" i="58"/>
  <c r="Y106" i="58"/>
  <c r="Y105" i="58"/>
  <c r="Y104" i="58"/>
  <c r="Y103" i="58"/>
  <c r="Y102" i="58"/>
  <c r="Y101" i="58"/>
  <c r="Y100" i="58"/>
  <c r="Y99" i="58"/>
  <c r="Y98" i="58"/>
  <c r="Y97" i="58"/>
  <c r="Y96" i="58"/>
  <c r="Y95" i="58"/>
  <c r="Y94" i="58"/>
  <c r="Y93" i="58"/>
  <c r="Y92" i="58"/>
  <c r="Y91" i="58"/>
  <c r="Y90" i="58"/>
  <c r="Y89" i="58"/>
  <c r="Y88" i="58"/>
  <c r="Y87" i="58"/>
  <c r="Y86" i="58"/>
  <c r="Y85" i="58"/>
  <c r="Y84" i="58"/>
  <c r="Y83" i="58"/>
  <c r="Y82" i="58"/>
  <c r="Y81" i="58"/>
  <c r="Y80" i="58"/>
  <c r="Y79" i="58"/>
  <c r="Y78" i="58"/>
  <c r="Y77" i="58"/>
  <c r="Y76" i="58"/>
  <c r="Y75" i="58"/>
  <c r="Y74" i="58"/>
  <c r="Y73" i="58"/>
  <c r="Y72" i="58"/>
  <c r="Y71" i="58"/>
  <c r="Y70" i="58"/>
  <c r="Y69" i="58"/>
  <c r="Y68" i="58"/>
  <c r="Y67" i="58"/>
  <c r="Y66" i="58"/>
  <c r="Y65" i="58"/>
  <c r="Y64" i="58"/>
  <c r="Y63" i="58"/>
  <c r="Y62" i="58"/>
  <c r="Y61" i="58"/>
  <c r="Y60" i="58"/>
  <c r="Y59" i="58"/>
  <c r="Y58" i="58"/>
  <c r="Y57" i="58"/>
  <c r="Y56" i="58"/>
  <c r="Y55" i="58"/>
  <c r="Y54" i="58"/>
  <c r="Y53" i="58"/>
  <c r="Y52" i="58"/>
  <c r="Y51" i="58"/>
  <c r="Y50" i="58"/>
  <c r="Y49" i="58"/>
  <c r="Y48" i="58"/>
  <c r="Y47" i="58"/>
  <c r="Y46" i="58"/>
  <c r="Y45" i="58"/>
  <c r="Y44" i="58"/>
  <c r="Y43" i="58"/>
  <c r="Y42" i="58"/>
  <c r="Y41" i="58"/>
  <c r="Y40" i="58"/>
  <c r="Y39" i="58"/>
  <c r="Y38" i="58"/>
  <c r="Y37" i="58"/>
  <c r="Y36" i="58"/>
  <c r="Y35" i="58"/>
  <c r="Y34" i="58"/>
  <c r="Y33" i="58"/>
  <c r="Y32" i="58"/>
  <c r="Y31" i="58"/>
  <c r="Y30" i="58"/>
  <c r="Y29" i="58"/>
  <c r="Y28" i="58"/>
  <c r="Y27" i="58"/>
  <c r="Y26" i="58"/>
  <c r="Y25" i="58"/>
  <c r="Y24" i="58"/>
  <c r="Y23" i="58"/>
  <c r="Y22" i="58"/>
  <c r="Y21" i="58"/>
  <c r="Y20" i="58"/>
  <c r="Y19" i="58"/>
  <c r="Y18" i="58"/>
  <c r="Y17" i="58"/>
  <c r="Y16" i="58"/>
  <c r="Y15" i="58"/>
  <c r="Y14" i="58"/>
  <c r="Y13" i="58"/>
  <c r="Y12" i="58"/>
  <c r="Y11" i="58"/>
  <c r="Y10" i="58"/>
  <c r="Y9" i="58"/>
  <c r="Y8" i="58"/>
  <c r="Y7" i="58"/>
  <c r="Y6" i="58"/>
  <c r="Y5" i="58"/>
  <c r="Y4" i="58"/>
  <c r="Y3" i="58"/>
  <c r="Y2" i="58"/>
  <c r="AE699" i="58"/>
  <c r="AA699" i="58" s="1"/>
  <c r="AE698" i="58"/>
  <c r="AA698" i="58" s="1"/>
  <c r="AE697" i="58"/>
  <c r="AA697" i="58" s="1"/>
  <c r="AE696" i="58"/>
  <c r="AA696" i="58" s="1"/>
  <c r="AE695" i="58"/>
  <c r="AA695" i="58" s="1"/>
  <c r="AE694" i="58"/>
  <c r="AA694" i="58" s="1"/>
  <c r="AE693" i="58"/>
  <c r="AA693" i="58" s="1"/>
  <c r="AE692" i="58"/>
  <c r="AA692" i="58" s="1"/>
  <c r="AE691" i="58"/>
  <c r="AA691" i="58" s="1"/>
  <c r="AE690" i="58"/>
  <c r="AA690" i="58" s="1"/>
  <c r="AE689" i="58"/>
  <c r="AA689" i="58" s="1"/>
  <c r="AE688" i="58"/>
  <c r="AA688" i="58" s="1"/>
  <c r="AE687" i="58"/>
  <c r="AA687" i="58" s="1"/>
  <c r="AE686" i="58"/>
  <c r="AA686" i="58" s="1"/>
  <c r="AE685" i="58"/>
  <c r="AA685" i="58" s="1"/>
  <c r="AE684" i="58"/>
  <c r="AA684" i="58" s="1"/>
  <c r="AE683" i="58"/>
  <c r="AA683" i="58" s="1"/>
  <c r="AE682" i="58"/>
  <c r="AA682" i="58" s="1"/>
  <c r="AE681" i="58"/>
  <c r="AA681" i="58" s="1"/>
  <c r="AE680" i="58"/>
  <c r="AA680" i="58" s="1"/>
  <c r="AE679" i="58"/>
  <c r="AA679" i="58" s="1"/>
  <c r="AE678" i="58"/>
  <c r="AA678" i="58" s="1"/>
  <c r="AE677" i="58"/>
  <c r="AA677" i="58" s="1"/>
  <c r="AE676" i="58"/>
  <c r="AA676" i="58" s="1"/>
  <c r="AE675" i="58"/>
  <c r="AA675" i="58" s="1"/>
  <c r="AE674" i="58"/>
  <c r="AA674" i="58" s="1"/>
  <c r="AE673" i="58"/>
  <c r="AA673" i="58" s="1"/>
  <c r="AE672" i="58"/>
  <c r="AA672" i="58" s="1"/>
  <c r="AE671" i="58"/>
  <c r="AA671" i="58" s="1"/>
  <c r="AE670" i="58"/>
  <c r="AA670" i="58" s="1"/>
  <c r="AE669" i="58"/>
  <c r="AA669" i="58" s="1"/>
  <c r="AE668" i="58"/>
  <c r="AA668" i="58" s="1"/>
  <c r="AE667" i="58"/>
  <c r="AA667" i="58" s="1"/>
  <c r="AE666" i="58"/>
  <c r="AA666" i="58" s="1"/>
  <c r="AE665" i="58"/>
  <c r="AA665" i="58" s="1"/>
  <c r="AE664" i="58"/>
  <c r="AA664" i="58" s="1"/>
  <c r="AE663" i="58"/>
  <c r="AA663" i="58" s="1"/>
  <c r="AE662" i="58"/>
  <c r="AA662" i="58" s="1"/>
  <c r="AE661" i="58"/>
  <c r="AA661" i="58" s="1"/>
  <c r="AE660" i="58"/>
  <c r="AA660" i="58" s="1"/>
  <c r="AE659" i="58"/>
  <c r="AA659" i="58" s="1"/>
  <c r="AE658" i="58"/>
  <c r="AA658" i="58" s="1"/>
  <c r="AE657" i="58"/>
  <c r="AA657" i="58" s="1"/>
  <c r="AE656" i="58"/>
  <c r="AA656" i="58" s="1"/>
  <c r="AE655" i="58"/>
  <c r="AA655" i="58" s="1"/>
  <c r="AE654" i="58"/>
  <c r="AA654" i="58" s="1"/>
  <c r="AE653" i="58"/>
  <c r="AA653" i="58" s="1"/>
  <c r="AE652" i="58"/>
  <c r="AA652" i="58" s="1"/>
  <c r="AE651" i="58"/>
  <c r="AA651" i="58" s="1"/>
  <c r="AE650" i="58"/>
  <c r="AA650" i="58" s="1"/>
  <c r="AE649" i="58"/>
  <c r="AA649" i="58" s="1"/>
  <c r="AE648" i="58"/>
  <c r="AA648" i="58" s="1"/>
  <c r="AE647" i="58"/>
  <c r="AA647" i="58" s="1"/>
  <c r="AE646" i="58"/>
  <c r="AA646" i="58" s="1"/>
  <c r="AE645" i="58"/>
  <c r="AA645" i="58" s="1"/>
  <c r="AE644" i="58"/>
  <c r="AA644" i="58" s="1"/>
  <c r="AE643" i="58"/>
  <c r="AA643" i="58" s="1"/>
  <c r="AE642" i="58"/>
  <c r="AA642" i="58" s="1"/>
  <c r="AE641" i="58"/>
  <c r="AA641" i="58" s="1"/>
  <c r="AE640" i="58"/>
  <c r="AA640" i="58" s="1"/>
  <c r="AE639" i="58"/>
  <c r="AA639" i="58" s="1"/>
  <c r="AE638" i="58"/>
  <c r="AA638" i="58" s="1"/>
  <c r="AE637" i="58"/>
  <c r="AA637" i="58" s="1"/>
  <c r="AE636" i="58"/>
  <c r="AA636" i="58" s="1"/>
  <c r="AE635" i="58"/>
  <c r="AA635" i="58" s="1"/>
  <c r="AE634" i="58"/>
  <c r="AA634" i="58" s="1"/>
  <c r="AE633" i="58"/>
  <c r="AA633" i="58" s="1"/>
  <c r="AE632" i="58"/>
  <c r="AA632" i="58" s="1"/>
  <c r="AE631" i="58"/>
  <c r="AA631" i="58" s="1"/>
  <c r="AE630" i="58"/>
  <c r="AA630" i="58" s="1"/>
  <c r="AE629" i="58"/>
  <c r="AA629" i="58" s="1"/>
  <c r="AE628" i="58"/>
  <c r="AA628" i="58" s="1"/>
  <c r="AE627" i="58"/>
  <c r="AA627" i="58" s="1"/>
  <c r="AE626" i="58"/>
  <c r="AA626" i="58" s="1"/>
  <c r="AE625" i="58"/>
  <c r="AA625" i="58" s="1"/>
  <c r="AE624" i="58"/>
  <c r="AA624" i="58" s="1"/>
  <c r="AE623" i="58"/>
  <c r="AA623" i="58" s="1"/>
  <c r="AE622" i="58"/>
  <c r="AA622" i="58" s="1"/>
  <c r="AE621" i="58"/>
  <c r="AA621" i="58" s="1"/>
  <c r="AE620" i="58"/>
  <c r="AA620" i="58" s="1"/>
  <c r="AE619" i="58"/>
  <c r="AA619" i="58" s="1"/>
  <c r="AE618" i="58"/>
  <c r="AA618" i="58" s="1"/>
  <c r="AE617" i="58"/>
  <c r="AA617" i="58" s="1"/>
  <c r="AE616" i="58"/>
  <c r="AA616" i="58" s="1"/>
  <c r="AE615" i="58"/>
  <c r="AA615" i="58" s="1"/>
  <c r="AE614" i="58"/>
  <c r="AA614" i="58" s="1"/>
  <c r="AE613" i="58"/>
  <c r="AA613" i="58" s="1"/>
  <c r="AE612" i="58"/>
  <c r="AA612" i="58" s="1"/>
  <c r="AE611" i="58"/>
  <c r="AA611" i="58" s="1"/>
  <c r="AE610" i="58"/>
  <c r="AA610" i="58" s="1"/>
  <c r="AE609" i="58"/>
  <c r="AA609" i="58" s="1"/>
  <c r="AE608" i="58"/>
  <c r="AA608" i="58" s="1"/>
  <c r="AE607" i="58"/>
  <c r="AA607" i="58" s="1"/>
  <c r="AE606" i="58"/>
  <c r="AA606" i="58" s="1"/>
  <c r="AE605" i="58"/>
  <c r="AA605" i="58" s="1"/>
  <c r="AE604" i="58"/>
  <c r="AA604" i="58" s="1"/>
  <c r="AE603" i="58"/>
  <c r="AA603" i="58" s="1"/>
  <c r="AE602" i="58"/>
  <c r="AA602" i="58" s="1"/>
  <c r="AE601" i="58"/>
  <c r="AA601" i="58" s="1"/>
  <c r="AE600" i="58"/>
  <c r="AA600" i="58" s="1"/>
  <c r="AE599" i="58"/>
  <c r="AA599" i="58" s="1"/>
  <c r="AE598" i="58"/>
  <c r="AA598" i="58" s="1"/>
  <c r="AE597" i="58"/>
  <c r="AA597" i="58" s="1"/>
  <c r="AE596" i="58"/>
  <c r="AA596" i="58" s="1"/>
  <c r="AE595" i="58"/>
  <c r="AA595" i="58" s="1"/>
  <c r="AE594" i="58"/>
  <c r="AA594" i="58" s="1"/>
  <c r="AE593" i="58"/>
  <c r="AA593" i="58" s="1"/>
  <c r="AE592" i="58"/>
  <c r="AA592" i="58" s="1"/>
  <c r="AE591" i="58"/>
  <c r="AA591" i="58" s="1"/>
  <c r="AE590" i="58"/>
  <c r="AA590" i="58" s="1"/>
  <c r="AE589" i="58"/>
  <c r="AA589" i="58" s="1"/>
  <c r="AE588" i="58"/>
  <c r="AA588" i="58" s="1"/>
  <c r="AE587" i="58"/>
  <c r="AA587" i="58" s="1"/>
  <c r="AE586" i="58"/>
  <c r="AA586" i="58" s="1"/>
  <c r="AE585" i="58"/>
  <c r="AA585" i="58" s="1"/>
  <c r="AE584" i="58"/>
  <c r="AA584" i="58" s="1"/>
  <c r="AE583" i="58"/>
  <c r="AA583" i="58" s="1"/>
  <c r="AE582" i="58"/>
  <c r="AA582" i="58" s="1"/>
  <c r="AE581" i="58"/>
  <c r="AA581" i="58" s="1"/>
  <c r="AE580" i="58"/>
  <c r="AA580" i="58" s="1"/>
  <c r="AE579" i="58"/>
  <c r="AA579" i="58" s="1"/>
  <c r="AE578" i="58"/>
  <c r="AA578" i="58" s="1"/>
  <c r="AE577" i="58"/>
  <c r="AA577" i="58" s="1"/>
  <c r="AE576" i="58"/>
  <c r="AA576" i="58" s="1"/>
  <c r="AE575" i="58"/>
  <c r="AA575" i="58" s="1"/>
  <c r="AE574" i="58"/>
  <c r="AA574" i="58" s="1"/>
  <c r="AE573" i="58"/>
  <c r="AA573" i="58" s="1"/>
  <c r="AE572" i="58"/>
  <c r="AA572" i="58" s="1"/>
  <c r="AE571" i="58"/>
  <c r="AA571" i="58" s="1"/>
  <c r="AE570" i="58"/>
  <c r="AA570" i="58" s="1"/>
  <c r="AE569" i="58"/>
  <c r="AA569" i="58" s="1"/>
  <c r="AE568" i="58"/>
  <c r="AA568" i="58" s="1"/>
  <c r="AE567" i="58"/>
  <c r="AA567" i="58" s="1"/>
  <c r="AE566" i="58"/>
  <c r="AA566" i="58" s="1"/>
  <c r="AE565" i="58"/>
  <c r="AA565" i="58" s="1"/>
  <c r="AE564" i="58"/>
  <c r="AA564" i="58" s="1"/>
  <c r="AE563" i="58"/>
  <c r="AA563" i="58" s="1"/>
  <c r="AE562" i="58"/>
  <c r="AA562" i="58" s="1"/>
  <c r="AE561" i="58"/>
  <c r="AA561" i="58" s="1"/>
  <c r="AE560" i="58"/>
  <c r="AA560" i="58" s="1"/>
  <c r="AE559" i="58"/>
  <c r="AA559" i="58" s="1"/>
  <c r="AE558" i="58"/>
  <c r="AA558" i="58" s="1"/>
  <c r="AE557" i="58"/>
  <c r="AA557" i="58" s="1"/>
  <c r="AE556" i="58"/>
  <c r="AA556" i="58" s="1"/>
  <c r="AE555" i="58"/>
  <c r="AA555" i="58" s="1"/>
  <c r="AE554" i="58"/>
  <c r="AA554" i="58" s="1"/>
  <c r="AE553" i="58"/>
  <c r="AA553" i="58" s="1"/>
  <c r="AE552" i="58"/>
  <c r="AA552" i="58" s="1"/>
  <c r="AE551" i="58"/>
  <c r="AA551" i="58" s="1"/>
  <c r="AE550" i="58"/>
  <c r="AA550" i="58" s="1"/>
  <c r="AE549" i="58"/>
  <c r="AA549" i="58" s="1"/>
  <c r="AE548" i="58"/>
  <c r="AA548" i="58" s="1"/>
  <c r="AE547" i="58"/>
  <c r="AA547" i="58" s="1"/>
  <c r="AE546" i="58"/>
  <c r="AA546" i="58" s="1"/>
  <c r="AE545" i="58"/>
  <c r="AA545" i="58" s="1"/>
  <c r="AE544" i="58"/>
  <c r="AA544" i="58" s="1"/>
  <c r="AE543" i="58"/>
  <c r="AA543" i="58" s="1"/>
  <c r="AE542" i="58"/>
  <c r="AA542" i="58" s="1"/>
  <c r="AE541" i="58"/>
  <c r="AA541" i="58" s="1"/>
  <c r="AE540" i="58"/>
  <c r="AA540" i="58" s="1"/>
  <c r="AE539" i="58"/>
  <c r="AA539" i="58" s="1"/>
  <c r="AE538" i="58"/>
  <c r="AA538" i="58" s="1"/>
  <c r="AE537" i="58"/>
  <c r="AA537" i="58" s="1"/>
  <c r="AE536" i="58"/>
  <c r="AA536" i="58" s="1"/>
  <c r="AE535" i="58"/>
  <c r="AA535" i="58" s="1"/>
  <c r="AE534" i="58"/>
  <c r="AA534" i="58" s="1"/>
  <c r="AE533" i="58"/>
  <c r="AA533" i="58" s="1"/>
  <c r="AE532" i="58"/>
  <c r="AA532" i="58" s="1"/>
  <c r="AE531" i="58"/>
  <c r="AA531" i="58" s="1"/>
  <c r="AE530" i="58"/>
  <c r="AA530" i="58" s="1"/>
  <c r="AE529" i="58"/>
  <c r="AA529" i="58" s="1"/>
  <c r="AE528" i="58"/>
  <c r="AA528" i="58" s="1"/>
  <c r="AE527" i="58"/>
  <c r="AA527" i="58" s="1"/>
  <c r="AE526" i="58"/>
  <c r="AA526" i="58" s="1"/>
  <c r="AE525" i="58"/>
  <c r="AA525" i="58" s="1"/>
  <c r="AE524" i="58"/>
  <c r="AA524" i="58" s="1"/>
  <c r="AE523" i="58"/>
  <c r="AA523" i="58" s="1"/>
  <c r="AE522" i="58"/>
  <c r="AA522" i="58" s="1"/>
  <c r="AE521" i="58"/>
  <c r="AA521" i="58" s="1"/>
  <c r="AE520" i="58"/>
  <c r="AA520" i="58" s="1"/>
  <c r="AE519" i="58"/>
  <c r="AA519" i="58" s="1"/>
  <c r="AE518" i="58"/>
  <c r="AA518" i="58" s="1"/>
  <c r="AE517" i="58"/>
  <c r="AA517" i="58" s="1"/>
  <c r="AE516" i="58"/>
  <c r="AA516" i="58" s="1"/>
  <c r="AE515" i="58"/>
  <c r="AA515" i="58" s="1"/>
  <c r="AE514" i="58"/>
  <c r="AA514" i="58" s="1"/>
  <c r="AE513" i="58"/>
  <c r="AA513" i="58" s="1"/>
  <c r="AE512" i="58"/>
  <c r="AA512" i="58" s="1"/>
  <c r="AE511" i="58"/>
  <c r="AA511" i="58" s="1"/>
  <c r="AE510" i="58"/>
  <c r="AA510" i="58" s="1"/>
  <c r="AE509" i="58"/>
  <c r="AA509" i="58" s="1"/>
  <c r="AE508" i="58"/>
  <c r="AA508" i="58" s="1"/>
  <c r="AE507" i="58"/>
  <c r="AA507" i="58" s="1"/>
  <c r="AE506" i="58"/>
  <c r="AA506" i="58" s="1"/>
  <c r="AE505" i="58"/>
  <c r="AA505" i="58" s="1"/>
  <c r="AE504" i="58"/>
  <c r="AA504" i="58" s="1"/>
  <c r="AE503" i="58"/>
  <c r="AA503" i="58" s="1"/>
  <c r="AE502" i="58"/>
  <c r="AA502" i="58" s="1"/>
  <c r="AE501" i="58"/>
  <c r="AA501" i="58" s="1"/>
  <c r="AE500" i="58"/>
  <c r="AA500" i="58" s="1"/>
  <c r="AE499" i="58"/>
  <c r="AA499" i="58" s="1"/>
  <c r="AE498" i="58"/>
  <c r="AA498" i="58" s="1"/>
  <c r="AE497" i="58"/>
  <c r="AA497" i="58" s="1"/>
  <c r="AE496" i="58"/>
  <c r="AA496" i="58" s="1"/>
  <c r="AE495" i="58"/>
  <c r="AA495" i="58" s="1"/>
  <c r="AE494" i="58"/>
  <c r="AA494" i="58" s="1"/>
  <c r="AE493" i="58"/>
  <c r="AA493" i="58" s="1"/>
  <c r="AE492" i="58"/>
  <c r="AA492" i="58" s="1"/>
  <c r="AE491" i="58"/>
  <c r="AA491" i="58" s="1"/>
  <c r="AE490" i="58"/>
  <c r="AA490" i="58" s="1"/>
  <c r="AE489" i="58"/>
  <c r="AA489" i="58" s="1"/>
  <c r="AE488" i="58"/>
  <c r="AA488" i="58" s="1"/>
  <c r="AE487" i="58"/>
  <c r="AA487" i="58" s="1"/>
  <c r="AE486" i="58"/>
  <c r="AA486" i="58" s="1"/>
  <c r="AE485" i="58"/>
  <c r="AA485" i="58" s="1"/>
  <c r="AE484" i="58"/>
  <c r="AA484" i="58" s="1"/>
  <c r="AE483" i="58"/>
  <c r="AA483" i="58" s="1"/>
  <c r="AE482" i="58"/>
  <c r="AA482" i="58" s="1"/>
  <c r="AE481" i="58"/>
  <c r="AA481" i="58" s="1"/>
  <c r="AE480" i="58"/>
  <c r="AA480" i="58" s="1"/>
  <c r="AE479" i="58"/>
  <c r="AA479" i="58" s="1"/>
  <c r="AE478" i="58"/>
  <c r="AA478" i="58" s="1"/>
  <c r="AE477" i="58"/>
  <c r="AA477" i="58" s="1"/>
  <c r="AE476" i="58"/>
  <c r="AA476" i="58" s="1"/>
  <c r="AE475" i="58"/>
  <c r="AA475" i="58" s="1"/>
  <c r="AE474" i="58"/>
  <c r="AA474" i="58" s="1"/>
  <c r="AE473" i="58"/>
  <c r="AA473" i="58" s="1"/>
  <c r="AE472" i="58"/>
  <c r="AA472" i="58" s="1"/>
  <c r="AE471" i="58"/>
  <c r="AA471" i="58" s="1"/>
  <c r="AE470" i="58"/>
  <c r="AA470" i="58" s="1"/>
  <c r="AE469" i="58"/>
  <c r="AA469" i="58" s="1"/>
  <c r="AE468" i="58"/>
  <c r="AA468" i="58" s="1"/>
  <c r="AE467" i="58"/>
  <c r="AA467" i="58" s="1"/>
  <c r="AE466" i="58"/>
  <c r="AA466" i="58" s="1"/>
  <c r="AE465" i="58"/>
  <c r="AA465" i="58" s="1"/>
  <c r="AE464" i="58"/>
  <c r="AA464" i="58" s="1"/>
  <c r="AE463" i="58"/>
  <c r="AA463" i="58" s="1"/>
  <c r="AE462" i="58"/>
  <c r="AA462" i="58" s="1"/>
  <c r="AE461" i="58"/>
  <c r="AA461" i="58" s="1"/>
  <c r="AE460" i="58"/>
  <c r="AA460" i="58" s="1"/>
  <c r="AE459" i="58"/>
  <c r="AA459" i="58" s="1"/>
  <c r="AE458" i="58"/>
  <c r="AA458" i="58" s="1"/>
  <c r="AE457" i="58"/>
  <c r="AA457" i="58" s="1"/>
  <c r="AE456" i="58"/>
  <c r="AA456" i="58" s="1"/>
  <c r="AE455" i="58"/>
  <c r="AA455" i="58" s="1"/>
  <c r="AE454" i="58"/>
  <c r="AA454" i="58" s="1"/>
  <c r="AE453" i="58"/>
  <c r="AA453" i="58" s="1"/>
  <c r="AE452" i="58"/>
  <c r="AA452" i="58" s="1"/>
  <c r="AE451" i="58"/>
  <c r="AA451" i="58" s="1"/>
  <c r="AE450" i="58"/>
  <c r="AA450" i="58" s="1"/>
  <c r="AE449" i="58"/>
  <c r="AA449" i="58" s="1"/>
  <c r="AE448" i="58"/>
  <c r="AA448" i="58" s="1"/>
  <c r="AE447" i="58"/>
  <c r="AA447" i="58" s="1"/>
  <c r="AE446" i="58"/>
  <c r="AA446" i="58" s="1"/>
  <c r="AE445" i="58"/>
  <c r="AA445" i="58" s="1"/>
  <c r="AE444" i="58"/>
  <c r="AA444" i="58" s="1"/>
  <c r="AE443" i="58"/>
  <c r="AA443" i="58" s="1"/>
  <c r="AE442" i="58"/>
  <c r="AA442" i="58" s="1"/>
  <c r="AE441" i="58"/>
  <c r="AA441" i="58" s="1"/>
  <c r="AE440" i="58"/>
  <c r="AA440" i="58" s="1"/>
  <c r="AE439" i="58"/>
  <c r="AA439" i="58" s="1"/>
  <c r="AE438" i="58"/>
  <c r="AA438" i="58" s="1"/>
  <c r="AE437" i="58"/>
  <c r="AA437" i="58" s="1"/>
  <c r="AE436" i="58"/>
  <c r="AA436" i="58" s="1"/>
  <c r="AE435" i="58"/>
  <c r="AA435" i="58" s="1"/>
  <c r="AE434" i="58"/>
  <c r="AA434" i="58" s="1"/>
  <c r="AE433" i="58"/>
  <c r="AA433" i="58" s="1"/>
  <c r="AE432" i="58"/>
  <c r="AA432" i="58" s="1"/>
  <c r="AE431" i="58"/>
  <c r="AA431" i="58" s="1"/>
  <c r="AE430" i="58"/>
  <c r="AA430" i="58" s="1"/>
  <c r="AE429" i="58"/>
  <c r="AA429" i="58" s="1"/>
  <c r="AE428" i="58"/>
  <c r="AA428" i="58" s="1"/>
  <c r="AE427" i="58"/>
  <c r="AA427" i="58" s="1"/>
  <c r="AE426" i="58"/>
  <c r="AA426" i="58" s="1"/>
  <c r="AE425" i="58"/>
  <c r="AA425" i="58" s="1"/>
  <c r="AE424" i="58"/>
  <c r="AA424" i="58" s="1"/>
  <c r="AE423" i="58"/>
  <c r="AA423" i="58" s="1"/>
  <c r="AE422" i="58"/>
  <c r="AA422" i="58" s="1"/>
  <c r="AE421" i="58"/>
  <c r="AA421" i="58" s="1"/>
  <c r="AE420" i="58"/>
  <c r="AA420" i="58" s="1"/>
  <c r="AE419" i="58"/>
  <c r="AA419" i="58" s="1"/>
  <c r="AE418" i="58"/>
  <c r="AA418" i="58" s="1"/>
  <c r="AE417" i="58"/>
  <c r="AA417" i="58" s="1"/>
  <c r="AE416" i="58"/>
  <c r="AA416" i="58" s="1"/>
  <c r="AE415" i="58"/>
  <c r="AA415" i="58" s="1"/>
  <c r="AE414" i="58"/>
  <c r="AA414" i="58" s="1"/>
  <c r="AE413" i="58"/>
  <c r="AA413" i="58" s="1"/>
  <c r="AE412" i="58"/>
  <c r="AA412" i="58" s="1"/>
  <c r="AE411" i="58"/>
  <c r="AA411" i="58" s="1"/>
  <c r="AE410" i="58"/>
  <c r="AA410" i="58" s="1"/>
  <c r="AE409" i="58"/>
  <c r="AA409" i="58" s="1"/>
  <c r="AE408" i="58"/>
  <c r="AA408" i="58" s="1"/>
  <c r="AE407" i="58"/>
  <c r="AA407" i="58" s="1"/>
  <c r="AE406" i="58"/>
  <c r="AA406" i="58" s="1"/>
  <c r="AE405" i="58"/>
  <c r="AA405" i="58" s="1"/>
  <c r="AE404" i="58"/>
  <c r="AA404" i="58" s="1"/>
  <c r="AE403" i="58"/>
  <c r="AA403" i="58" s="1"/>
  <c r="AE402" i="58"/>
  <c r="AA402" i="58" s="1"/>
  <c r="AE401" i="58"/>
  <c r="AA401" i="58" s="1"/>
  <c r="AE400" i="58"/>
  <c r="AA400" i="58" s="1"/>
  <c r="AE399" i="58"/>
  <c r="AA399" i="58" s="1"/>
  <c r="AE398" i="58"/>
  <c r="AA398" i="58" s="1"/>
  <c r="AE397" i="58"/>
  <c r="AA397" i="58" s="1"/>
  <c r="AE396" i="58"/>
  <c r="AA396" i="58" s="1"/>
  <c r="AE395" i="58"/>
  <c r="AA395" i="58" s="1"/>
  <c r="AE394" i="58"/>
  <c r="AA394" i="58" s="1"/>
  <c r="AE393" i="58"/>
  <c r="AA393" i="58" s="1"/>
  <c r="AE392" i="58"/>
  <c r="AA392" i="58" s="1"/>
  <c r="AE391" i="58"/>
  <c r="AA391" i="58" s="1"/>
  <c r="AE390" i="58"/>
  <c r="AA390" i="58" s="1"/>
  <c r="AE389" i="58"/>
  <c r="AA389" i="58" s="1"/>
  <c r="AE388" i="58"/>
  <c r="AA388" i="58" s="1"/>
  <c r="AE387" i="58"/>
  <c r="AA387" i="58" s="1"/>
  <c r="AE386" i="58"/>
  <c r="AA386" i="58" s="1"/>
  <c r="AE385" i="58"/>
  <c r="AA385" i="58" s="1"/>
  <c r="AE384" i="58"/>
  <c r="AA384" i="58" s="1"/>
  <c r="AE383" i="58"/>
  <c r="AA383" i="58" s="1"/>
  <c r="AE382" i="58"/>
  <c r="AA382" i="58" s="1"/>
  <c r="AE381" i="58"/>
  <c r="AA381" i="58" s="1"/>
  <c r="AE380" i="58"/>
  <c r="AA380" i="58" s="1"/>
  <c r="AE379" i="58"/>
  <c r="AA379" i="58" s="1"/>
  <c r="AE378" i="58"/>
  <c r="AA378" i="58" s="1"/>
  <c r="AE377" i="58"/>
  <c r="AA377" i="58" s="1"/>
  <c r="AE376" i="58"/>
  <c r="AA376" i="58" s="1"/>
  <c r="AE375" i="58"/>
  <c r="AA375" i="58" s="1"/>
  <c r="AE374" i="58"/>
  <c r="AA374" i="58" s="1"/>
  <c r="AE373" i="58"/>
  <c r="AA373" i="58" s="1"/>
  <c r="AE372" i="58"/>
  <c r="AA372" i="58" s="1"/>
  <c r="AE371" i="58"/>
  <c r="AA371" i="58" s="1"/>
  <c r="AE370" i="58"/>
  <c r="AA370" i="58" s="1"/>
  <c r="AE369" i="58"/>
  <c r="AA369" i="58" s="1"/>
  <c r="AE368" i="58"/>
  <c r="AA368" i="58" s="1"/>
  <c r="AE367" i="58"/>
  <c r="AA367" i="58" s="1"/>
  <c r="AE366" i="58"/>
  <c r="AA366" i="58" s="1"/>
  <c r="AE365" i="58"/>
  <c r="AA365" i="58" s="1"/>
  <c r="AE364" i="58"/>
  <c r="AA364" i="58" s="1"/>
  <c r="AE363" i="58"/>
  <c r="AA363" i="58" s="1"/>
  <c r="AE362" i="58"/>
  <c r="AA362" i="58" s="1"/>
  <c r="AE361" i="58"/>
  <c r="AA361" i="58" s="1"/>
  <c r="AE360" i="58"/>
  <c r="AA360" i="58" s="1"/>
  <c r="AE359" i="58"/>
  <c r="AA359" i="58" s="1"/>
  <c r="AE358" i="58"/>
  <c r="AA358" i="58" s="1"/>
  <c r="AE357" i="58"/>
  <c r="AA357" i="58" s="1"/>
  <c r="AE356" i="58"/>
  <c r="AA356" i="58" s="1"/>
  <c r="AE355" i="58"/>
  <c r="AA355" i="58" s="1"/>
  <c r="AE354" i="58"/>
  <c r="AA354" i="58" s="1"/>
  <c r="AE353" i="58"/>
  <c r="AA353" i="58" s="1"/>
  <c r="AE352" i="58"/>
  <c r="AA352" i="58" s="1"/>
  <c r="AE351" i="58"/>
  <c r="AA351" i="58" s="1"/>
  <c r="AE350" i="58"/>
  <c r="AA350" i="58" s="1"/>
  <c r="AE349" i="58"/>
  <c r="AA349" i="58" s="1"/>
  <c r="AE348" i="58"/>
  <c r="AA348" i="58" s="1"/>
  <c r="AE347" i="58"/>
  <c r="AA347" i="58" s="1"/>
  <c r="AE346" i="58"/>
  <c r="AA346" i="58" s="1"/>
  <c r="AE345" i="58"/>
  <c r="AA345" i="58" s="1"/>
  <c r="AE344" i="58"/>
  <c r="AA344" i="58" s="1"/>
  <c r="AE343" i="58"/>
  <c r="AA343" i="58" s="1"/>
  <c r="AE342" i="58"/>
  <c r="AA342" i="58" s="1"/>
  <c r="AE341" i="58"/>
  <c r="AA341" i="58" s="1"/>
  <c r="AE340" i="58"/>
  <c r="AA340" i="58" s="1"/>
  <c r="AE339" i="58"/>
  <c r="AA339" i="58" s="1"/>
  <c r="AE338" i="58"/>
  <c r="AA338" i="58" s="1"/>
  <c r="AE337" i="58"/>
  <c r="AA337" i="58" s="1"/>
  <c r="AE336" i="58"/>
  <c r="AA336" i="58" s="1"/>
  <c r="AE335" i="58"/>
  <c r="AA335" i="58" s="1"/>
  <c r="AE334" i="58"/>
  <c r="AA334" i="58" s="1"/>
  <c r="AE333" i="58"/>
  <c r="AA333" i="58" s="1"/>
  <c r="AE332" i="58"/>
  <c r="AA332" i="58" s="1"/>
  <c r="AE331" i="58"/>
  <c r="AA331" i="58" s="1"/>
  <c r="AE330" i="58"/>
  <c r="AA330" i="58" s="1"/>
  <c r="AE329" i="58"/>
  <c r="AA329" i="58" s="1"/>
  <c r="AE328" i="58"/>
  <c r="AA328" i="58" s="1"/>
  <c r="AE327" i="58"/>
  <c r="AA327" i="58" s="1"/>
  <c r="AE326" i="58"/>
  <c r="AA326" i="58" s="1"/>
  <c r="AE325" i="58"/>
  <c r="AA325" i="58" s="1"/>
  <c r="AE324" i="58"/>
  <c r="AA324" i="58" s="1"/>
  <c r="AE323" i="58"/>
  <c r="AA323" i="58" s="1"/>
  <c r="AE322" i="58"/>
  <c r="AA322" i="58" s="1"/>
  <c r="AE321" i="58"/>
  <c r="AA321" i="58" s="1"/>
  <c r="AE320" i="58"/>
  <c r="AA320" i="58" s="1"/>
  <c r="AE319" i="58"/>
  <c r="AA319" i="58" s="1"/>
  <c r="AE318" i="58"/>
  <c r="AA318" i="58" s="1"/>
  <c r="AE317" i="58"/>
  <c r="AA317" i="58" s="1"/>
  <c r="AE316" i="58"/>
  <c r="AA316" i="58" s="1"/>
  <c r="AE315" i="58"/>
  <c r="AA315" i="58" s="1"/>
  <c r="AE314" i="58"/>
  <c r="AA314" i="58" s="1"/>
  <c r="AE313" i="58"/>
  <c r="AA313" i="58" s="1"/>
  <c r="AE312" i="58"/>
  <c r="AA312" i="58" s="1"/>
  <c r="AE311" i="58"/>
  <c r="AA311" i="58" s="1"/>
  <c r="AE310" i="58"/>
  <c r="AA310" i="58" s="1"/>
  <c r="AE309" i="58"/>
  <c r="AA309" i="58" s="1"/>
  <c r="AE308" i="58"/>
  <c r="AA308" i="58" s="1"/>
  <c r="AE307" i="58"/>
  <c r="AA307" i="58" s="1"/>
  <c r="AE306" i="58"/>
  <c r="AA306" i="58" s="1"/>
  <c r="AE305" i="58"/>
  <c r="AA305" i="58" s="1"/>
  <c r="AE304" i="58"/>
  <c r="AA304" i="58" s="1"/>
  <c r="AE303" i="58"/>
  <c r="AA303" i="58" s="1"/>
  <c r="AE302" i="58"/>
  <c r="AA302" i="58" s="1"/>
  <c r="AE301" i="58"/>
  <c r="AA301" i="58" s="1"/>
  <c r="AE300" i="58"/>
  <c r="AA300" i="58" s="1"/>
  <c r="AE299" i="58"/>
  <c r="AA299" i="58" s="1"/>
  <c r="AE298" i="58"/>
  <c r="AA298" i="58" s="1"/>
  <c r="AE297" i="58"/>
  <c r="AA297" i="58" s="1"/>
  <c r="AE296" i="58"/>
  <c r="AA296" i="58" s="1"/>
  <c r="AE295" i="58"/>
  <c r="AA295" i="58" s="1"/>
  <c r="AE294" i="58"/>
  <c r="AA294" i="58" s="1"/>
  <c r="AE293" i="58"/>
  <c r="AA293" i="58" s="1"/>
  <c r="AE292" i="58"/>
  <c r="AA292" i="58" s="1"/>
  <c r="AE291" i="58"/>
  <c r="AA291" i="58" s="1"/>
  <c r="AE290" i="58"/>
  <c r="AA290" i="58" s="1"/>
  <c r="AE289" i="58"/>
  <c r="AA289" i="58" s="1"/>
  <c r="AE288" i="58"/>
  <c r="AA288" i="58" s="1"/>
  <c r="AE287" i="58"/>
  <c r="AA287" i="58" s="1"/>
  <c r="AE286" i="58"/>
  <c r="AA286" i="58" s="1"/>
  <c r="AE285" i="58"/>
  <c r="AA285" i="58" s="1"/>
  <c r="AE284" i="58"/>
  <c r="AA284" i="58" s="1"/>
  <c r="AE283" i="58"/>
  <c r="AA283" i="58" s="1"/>
  <c r="AE282" i="58"/>
  <c r="AA282" i="58" s="1"/>
  <c r="AE281" i="58"/>
  <c r="AA281" i="58" s="1"/>
  <c r="AE280" i="58"/>
  <c r="AA280" i="58" s="1"/>
  <c r="AE279" i="58"/>
  <c r="AA279" i="58" s="1"/>
  <c r="AE278" i="58"/>
  <c r="AA278" i="58" s="1"/>
  <c r="AE277" i="58"/>
  <c r="AA277" i="58" s="1"/>
  <c r="AE276" i="58"/>
  <c r="AA276" i="58" s="1"/>
  <c r="AE275" i="58"/>
  <c r="AA275" i="58" s="1"/>
  <c r="AE274" i="58"/>
  <c r="AA274" i="58" s="1"/>
  <c r="AE273" i="58"/>
  <c r="AA273" i="58" s="1"/>
  <c r="AE272" i="58"/>
  <c r="AA272" i="58" s="1"/>
  <c r="AE271" i="58"/>
  <c r="AA271" i="58" s="1"/>
  <c r="AE270" i="58"/>
  <c r="AA270" i="58" s="1"/>
  <c r="AE269" i="58"/>
  <c r="AA269" i="58" s="1"/>
  <c r="AE268" i="58"/>
  <c r="AA268" i="58" s="1"/>
  <c r="AE267" i="58"/>
  <c r="AA267" i="58" s="1"/>
  <c r="AE266" i="58"/>
  <c r="AA266" i="58" s="1"/>
  <c r="AE265" i="58"/>
  <c r="AA265" i="58" s="1"/>
  <c r="AE264" i="58"/>
  <c r="AA264" i="58" s="1"/>
  <c r="AE263" i="58"/>
  <c r="AA263" i="58" s="1"/>
  <c r="AE262" i="58"/>
  <c r="AA262" i="58" s="1"/>
  <c r="AE261" i="58"/>
  <c r="AA261" i="58" s="1"/>
  <c r="AE260" i="58"/>
  <c r="AA260" i="58" s="1"/>
  <c r="AE259" i="58"/>
  <c r="AA259" i="58" s="1"/>
  <c r="AE258" i="58"/>
  <c r="AA258" i="58" s="1"/>
  <c r="AE257" i="58"/>
  <c r="AA257" i="58" s="1"/>
  <c r="AE256" i="58"/>
  <c r="AA256" i="58" s="1"/>
  <c r="AE255" i="58"/>
  <c r="AA255" i="58" s="1"/>
  <c r="AE254" i="58"/>
  <c r="AA254" i="58" s="1"/>
  <c r="AE253" i="58"/>
  <c r="AA253" i="58" s="1"/>
  <c r="AE252" i="58"/>
  <c r="AA252" i="58" s="1"/>
  <c r="AE251" i="58"/>
  <c r="AA251" i="58" s="1"/>
  <c r="AE250" i="58"/>
  <c r="AA250" i="58" s="1"/>
  <c r="AE249" i="58"/>
  <c r="AA249" i="58" s="1"/>
  <c r="AE248" i="58"/>
  <c r="AA248" i="58" s="1"/>
  <c r="AE247" i="58"/>
  <c r="AA247" i="58" s="1"/>
  <c r="AE246" i="58"/>
  <c r="AA246" i="58" s="1"/>
  <c r="AE245" i="58"/>
  <c r="AA245" i="58" s="1"/>
  <c r="AE244" i="58"/>
  <c r="AA244" i="58" s="1"/>
  <c r="AE243" i="58"/>
  <c r="AA243" i="58" s="1"/>
  <c r="AE242" i="58"/>
  <c r="AA242" i="58" s="1"/>
  <c r="AE241" i="58"/>
  <c r="AA241" i="58" s="1"/>
  <c r="AE240" i="58"/>
  <c r="AA240" i="58" s="1"/>
  <c r="AE239" i="58"/>
  <c r="AA239" i="58" s="1"/>
  <c r="AE238" i="58"/>
  <c r="AA238" i="58" s="1"/>
  <c r="AE237" i="58"/>
  <c r="AA237" i="58" s="1"/>
  <c r="AE236" i="58"/>
  <c r="AA236" i="58" s="1"/>
  <c r="AE235" i="58"/>
  <c r="AA235" i="58" s="1"/>
  <c r="AE234" i="58"/>
  <c r="AA234" i="58" s="1"/>
  <c r="AE233" i="58"/>
  <c r="AA233" i="58" s="1"/>
  <c r="AE232" i="58"/>
  <c r="AA232" i="58" s="1"/>
  <c r="AE231" i="58"/>
  <c r="AA231" i="58" s="1"/>
  <c r="AE230" i="58"/>
  <c r="AA230" i="58" s="1"/>
  <c r="AE229" i="58"/>
  <c r="AA229" i="58" s="1"/>
  <c r="AE228" i="58"/>
  <c r="AA228" i="58" s="1"/>
  <c r="AE227" i="58"/>
  <c r="AA227" i="58" s="1"/>
  <c r="AE226" i="58"/>
  <c r="AA226" i="58" s="1"/>
  <c r="AE225" i="58"/>
  <c r="AA225" i="58" s="1"/>
  <c r="AE224" i="58"/>
  <c r="AA224" i="58" s="1"/>
  <c r="AE223" i="58"/>
  <c r="AA223" i="58" s="1"/>
  <c r="AE222" i="58"/>
  <c r="AA222" i="58" s="1"/>
  <c r="AE221" i="58"/>
  <c r="AA221" i="58" s="1"/>
  <c r="AE220" i="58"/>
  <c r="AA220" i="58" s="1"/>
  <c r="AE219" i="58"/>
  <c r="AA219" i="58" s="1"/>
  <c r="AE218" i="58"/>
  <c r="AA218" i="58" s="1"/>
  <c r="AE217" i="58"/>
  <c r="AA217" i="58" s="1"/>
  <c r="AE216" i="58"/>
  <c r="AA216" i="58" s="1"/>
  <c r="AE215" i="58"/>
  <c r="AA215" i="58" s="1"/>
  <c r="AE214" i="58"/>
  <c r="AA214" i="58" s="1"/>
  <c r="AE213" i="58"/>
  <c r="AA213" i="58" s="1"/>
  <c r="AE212" i="58"/>
  <c r="AA212" i="58" s="1"/>
  <c r="AE211" i="58"/>
  <c r="AA211" i="58" s="1"/>
  <c r="AE210" i="58"/>
  <c r="AA210" i="58" s="1"/>
  <c r="AE209" i="58"/>
  <c r="AA209" i="58" s="1"/>
  <c r="AE208" i="58"/>
  <c r="AA208" i="58" s="1"/>
  <c r="AE207" i="58"/>
  <c r="AA207" i="58" s="1"/>
  <c r="AE206" i="58"/>
  <c r="AA206" i="58" s="1"/>
  <c r="AE205" i="58"/>
  <c r="AA205" i="58" s="1"/>
  <c r="AE204" i="58"/>
  <c r="AA204" i="58" s="1"/>
  <c r="AE203" i="58"/>
  <c r="AA203" i="58" s="1"/>
  <c r="AE202" i="58"/>
  <c r="AA202" i="58" s="1"/>
  <c r="AE201" i="58"/>
  <c r="AA201" i="58" s="1"/>
  <c r="AE200" i="58"/>
  <c r="AA200" i="58" s="1"/>
  <c r="AE199" i="58"/>
  <c r="AA199" i="58" s="1"/>
  <c r="AE198" i="58"/>
  <c r="AA198" i="58" s="1"/>
  <c r="AE197" i="58"/>
  <c r="AA197" i="58" s="1"/>
  <c r="AE196" i="58"/>
  <c r="AA196" i="58" s="1"/>
  <c r="AE195" i="58"/>
  <c r="AA195" i="58" s="1"/>
  <c r="AE194" i="58"/>
  <c r="AA194" i="58" s="1"/>
  <c r="AE193" i="58"/>
  <c r="AA193" i="58" s="1"/>
  <c r="AE192" i="58"/>
  <c r="AA192" i="58" s="1"/>
  <c r="AE191" i="58"/>
  <c r="AA191" i="58" s="1"/>
  <c r="AE190" i="58"/>
  <c r="AA190" i="58" s="1"/>
  <c r="AE189" i="58"/>
  <c r="AA189" i="58" s="1"/>
  <c r="AE188" i="58"/>
  <c r="AA188" i="58" s="1"/>
  <c r="AE187" i="58"/>
  <c r="AA187" i="58" s="1"/>
  <c r="AE186" i="58"/>
  <c r="AA186" i="58" s="1"/>
  <c r="AE185" i="58"/>
  <c r="AA185" i="58" s="1"/>
  <c r="AE184" i="58"/>
  <c r="AA184" i="58" s="1"/>
  <c r="AE183" i="58"/>
  <c r="AA183" i="58" s="1"/>
  <c r="AE182" i="58"/>
  <c r="AA182" i="58" s="1"/>
  <c r="AE181" i="58"/>
  <c r="AA181" i="58" s="1"/>
  <c r="AE180" i="58"/>
  <c r="AA180" i="58" s="1"/>
  <c r="AE179" i="58"/>
  <c r="AA179" i="58" s="1"/>
  <c r="AE178" i="58"/>
  <c r="AA178" i="58" s="1"/>
  <c r="AE177" i="58"/>
  <c r="AA177" i="58" s="1"/>
  <c r="AE176" i="58"/>
  <c r="AA176" i="58" s="1"/>
  <c r="AE175" i="58"/>
  <c r="AA175" i="58" s="1"/>
  <c r="AE174" i="58"/>
  <c r="AA174" i="58" s="1"/>
  <c r="AE173" i="58"/>
  <c r="AA173" i="58" s="1"/>
  <c r="AE172" i="58"/>
  <c r="AA172" i="58" s="1"/>
  <c r="AE171" i="58"/>
  <c r="AA171" i="58" s="1"/>
  <c r="AE170" i="58"/>
  <c r="AA170" i="58" s="1"/>
  <c r="AE169" i="58"/>
  <c r="AA169" i="58" s="1"/>
  <c r="AE168" i="58"/>
  <c r="AA168" i="58" s="1"/>
  <c r="AE167" i="58"/>
  <c r="AA167" i="58" s="1"/>
  <c r="AE166" i="58"/>
  <c r="AA166" i="58" s="1"/>
  <c r="AE165" i="58"/>
  <c r="AA165" i="58" s="1"/>
  <c r="AE164" i="58"/>
  <c r="AA164" i="58" s="1"/>
  <c r="AE163" i="58"/>
  <c r="AA163" i="58" s="1"/>
  <c r="AE162" i="58"/>
  <c r="AA162" i="58" s="1"/>
  <c r="AE161" i="58"/>
  <c r="AA161" i="58" s="1"/>
  <c r="AE160" i="58"/>
  <c r="AA160" i="58" s="1"/>
  <c r="AE159" i="58"/>
  <c r="AA159" i="58" s="1"/>
  <c r="AE158" i="58"/>
  <c r="AA158" i="58" s="1"/>
  <c r="AE157" i="58"/>
  <c r="AA157" i="58" s="1"/>
  <c r="AE156" i="58"/>
  <c r="AA156" i="58" s="1"/>
  <c r="AE155" i="58"/>
  <c r="AA155" i="58" s="1"/>
  <c r="AE154" i="58"/>
  <c r="AA154" i="58" s="1"/>
  <c r="AE153" i="58"/>
  <c r="AA153" i="58" s="1"/>
  <c r="AE152" i="58"/>
  <c r="AA152" i="58" s="1"/>
  <c r="AE151" i="58"/>
  <c r="AA151" i="58" s="1"/>
  <c r="AE150" i="58"/>
  <c r="AA150" i="58" s="1"/>
  <c r="AE149" i="58"/>
  <c r="AA149" i="58" s="1"/>
  <c r="AE148" i="58"/>
  <c r="AA148" i="58" s="1"/>
  <c r="AE147" i="58"/>
  <c r="AA147" i="58" s="1"/>
  <c r="AE146" i="58"/>
  <c r="AA146" i="58" s="1"/>
  <c r="AE145" i="58"/>
  <c r="AA145" i="58" s="1"/>
  <c r="AE144" i="58"/>
  <c r="AA144" i="58" s="1"/>
  <c r="AE143" i="58"/>
  <c r="AA143" i="58" s="1"/>
  <c r="AE142" i="58"/>
  <c r="AA142" i="58" s="1"/>
  <c r="AE141" i="58"/>
  <c r="AA141" i="58" s="1"/>
  <c r="AE140" i="58"/>
  <c r="AA140" i="58" s="1"/>
  <c r="AE139" i="58"/>
  <c r="AA139" i="58" s="1"/>
  <c r="AE138" i="58"/>
  <c r="AA138" i="58" s="1"/>
  <c r="AE137" i="58"/>
  <c r="AA137" i="58" s="1"/>
  <c r="AE136" i="58"/>
  <c r="AA136" i="58" s="1"/>
  <c r="AE135" i="58"/>
  <c r="AA135" i="58" s="1"/>
  <c r="AE134" i="58"/>
  <c r="AA134" i="58" s="1"/>
  <c r="AE133" i="58"/>
  <c r="AA133" i="58" s="1"/>
  <c r="AE132" i="58"/>
  <c r="AA132" i="58" s="1"/>
  <c r="AE131" i="58"/>
  <c r="AA131" i="58" s="1"/>
  <c r="AE130" i="58"/>
  <c r="AA130" i="58" s="1"/>
  <c r="AE129" i="58"/>
  <c r="AA129" i="58" s="1"/>
  <c r="AE128" i="58"/>
  <c r="AA128" i="58" s="1"/>
  <c r="AE127" i="58"/>
  <c r="AA127" i="58" s="1"/>
  <c r="AE126" i="58"/>
  <c r="AA126" i="58" s="1"/>
  <c r="AE125" i="58"/>
  <c r="AA125" i="58" s="1"/>
  <c r="AE124" i="58"/>
  <c r="AA124" i="58" s="1"/>
  <c r="AE123" i="58"/>
  <c r="AA123" i="58" s="1"/>
  <c r="AE122" i="58"/>
  <c r="AA122" i="58" s="1"/>
  <c r="AE121" i="58"/>
  <c r="AA121" i="58" s="1"/>
  <c r="AE120" i="58"/>
  <c r="AA120" i="58" s="1"/>
  <c r="AE119" i="58"/>
  <c r="AA119" i="58" s="1"/>
  <c r="AE118" i="58"/>
  <c r="AA118" i="58" s="1"/>
  <c r="AE117" i="58"/>
  <c r="AA117" i="58" s="1"/>
  <c r="AE116" i="58"/>
  <c r="AA116" i="58" s="1"/>
  <c r="AE115" i="58"/>
  <c r="AA115" i="58" s="1"/>
  <c r="AE114" i="58"/>
  <c r="AA114" i="58" s="1"/>
  <c r="AE113" i="58"/>
  <c r="AA113" i="58" s="1"/>
  <c r="AE112" i="58"/>
  <c r="AA112" i="58" s="1"/>
  <c r="AE111" i="58"/>
  <c r="AA111" i="58" s="1"/>
  <c r="AE110" i="58"/>
  <c r="AA110" i="58" s="1"/>
  <c r="AE109" i="58"/>
  <c r="AA109" i="58" s="1"/>
  <c r="AE108" i="58"/>
  <c r="AA108" i="58" s="1"/>
  <c r="AE107" i="58"/>
  <c r="AA107" i="58" s="1"/>
  <c r="AE106" i="58"/>
  <c r="AA106" i="58" s="1"/>
  <c r="AE105" i="58"/>
  <c r="AA105" i="58" s="1"/>
  <c r="AE104" i="58"/>
  <c r="AA104" i="58" s="1"/>
  <c r="AE103" i="58"/>
  <c r="AA103" i="58" s="1"/>
  <c r="AE102" i="58"/>
  <c r="AA102" i="58" s="1"/>
  <c r="AE101" i="58"/>
  <c r="AA101" i="58" s="1"/>
  <c r="AE100" i="58"/>
  <c r="AA100" i="58" s="1"/>
  <c r="AE99" i="58"/>
  <c r="AA99" i="58" s="1"/>
  <c r="AE98" i="58"/>
  <c r="AA98" i="58" s="1"/>
  <c r="AE97" i="58"/>
  <c r="AA97" i="58" s="1"/>
  <c r="AE96" i="58"/>
  <c r="AA96" i="58" s="1"/>
  <c r="AE95" i="58"/>
  <c r="AA95" i="58" s="1"/>
  <c r="AE94" i="58"/>
  <c r="AA94" i="58" s="1"/>
  <c r="AE93" i="58"/>
  <c r="AA93" i="58" s="1"/>
  <c r="AE92" i="58"/>
  <c r="AA92" i="58" s="1"/>
  <c r="AE91" i="58"/>
  <c r="AA91" i="58" s="1"/>
  <c r="AE90" i="58"/>
  <c r="AA90" i="58" s="1"/>
  <c r="AE89" i="58"/>
  <c r="AA89" i="58" s="1"/>
  <c r="AE88" i="58"/>
  <c r="AA88" i="58" s="1"/>
  <c r="AE87" i="58"/>
  <c r="AA87" i="58" s="1"/>
  <c r="AE86" i="58"/>
  <c r="AA86" i="58" s="1"/>
  <c r="AE85" i="58"/>
  <c r="AA85" i="58" s="1"/>
  <c r="AE84" i="58"/>
  <c r="AA84" i="58" s="1"/>
  <c r="AE83" i="58"/>
  <c r="AA83" i="58" s="1"/>
  <c r="AE82" i="58"/>
  <c r="AA82" i="58" s="1"/>
  <c r="AE81" i="58"/>
  <c r="AA81" i="58" s="1"/>
  <c r="AE80" i="58"/>
  <c r="AA80" i="58" s="1"/>
  <c r="AE79" i="58"/>
  <c r="AA79" i="58" s="1"/>
  <c r="AE78" i="58"/>
  <c r="AA78" i="58" s="1"/>
  <c r="AE77" i="58"/>
  <c r="AA77" i="58" s="1"/>
  <c r="AE76" i="58"/>
  <c r="AA76" i="58" s="1"/>
  <c r="AE75" i="58"/>
  <c r="AA75" i="58" s="1"/>
  <c r="AE74" i="58"/>
  <c r="AA74" i="58" s="1"/>
  <c r="AE73" i="58"/>
  <c r="AA73" i="58" s="1"/>
  <c r="AE72" i="58"/>
  <c r="AA72" i="58" s="1"/>
  <c r="AE71" i="58"/>
  <c r="AA71" i="58" s="1"/>
  <c r="AE70" i="58"/>
  <c r="AA70" i="58" s="1"/>
  <c r="AE69" i="58"/>
  <c r="AA69" i="58" s="1"/>
  <c r="AE68" i="58"/>
  <c r="AA68" i="58" s="1"/>
  <c r="AE67" i="58"/>
  <c r="AA67" i="58" s="1"/>
  <c r="AE66" i="58"/>
  <c r="AA66" i="58" s="1"/>
  <c r="AE65" i="58"/>
  <c r="AA65" i="58" s="1"/>
  <c r="AE64" i="58"/>
  <c r="AA64" i="58" s="1"/>
  <c r="AE63" i="58"/>
  <c r="AA63" i="58" s="1"/>
  <c r="AE62" i="58"/>
  <c r="AA62" i="58" s="1"/>
  <c r="AE61" i="58"/>
  <c r="AA61" i="58" s="1"/>
  <c r="AE60" i="58"/>
  <c r="AA60" i="58" s="1"/>
  <c r="AE59" i="58"/>
  <c r="AA59" i="58" s="1"/>
  <c r="AE58" i="58"/>
  <c r="AA58" i="58" s="1"/>
  <c r="AE57" i="58"/>
  <c r="AA57" i="58" s="1"/>
  <c r="AE56" i="58"/>
  <c r="AA56" i="58" s="1"/>
  <c r="AE55" i="58"/>
  <c r="AA55" i="58" s="1"/>
  <c r="AE54" i="58"/>
  <c r="AA54" i="58" s="1"/>
  <c r="AE53" i="58"/>
  <c r="AA53" i="58" s="1"/>
  <c r="AE52" i="58"/>
  <c r="AA52" i="58" s="1"/>
  <c r="AE51" i="58"/>
  <c r="AA51" i="58" s="1"/>
  <c r="AE50" i="58"/>
  <c r="AA50" i="58" s="1"/>
  <c r="AE49" i="58"/>
  <c r="AA49" i="58" s="1"/>
  <c r="AE48" i="58"/>
  <c r="AA48" i="58" s="1"/>
  <c r="AE47" i="58"/>
  <c r="AA47" i="58" s="1"/>
  <c r="AE46" i="58"/>
  <c r="AA46" i="58" s="1"/>
  <c r="AE45" i="58"/>
  <c r="AA45" i="58" s="1"/>
  <c r="AE44" i="58"/>
  <c r="AA44" i="58" s="1"/>
  <c r="AE43" i="58"/>
  <c r="AA43" i="58" s="1"/>
  <c r="AE42" i="58"/>
  <c r="AA42" i="58" s="1"/>
  <c r="AE41" i="58"/>
  <c r="AA41" i="58" s="1"/>
  <c r="AE40" i="58"/>
  <c r="AA40" i="58" s="1"/>
  <c r="AE39" i="58"/>
  <c r="AA39" i="58" s="1"/>
  <c r="AE38" i="58"/>
  <c r="AA38" i="58" s="1"/>
  <c r="AE37" i="58"/>
  <c r="AA37" i="58" s="1"/>
  <c r="AE36" i="58"/>
  <c r="AA36" i="58" s="1"/>
  <c r="AE35" i="58"/>
  <c r="AA35" i="58" s="1"/>
  <c r="AE34" i="58"/>
  <c r="AA34" i="58" s="1"/>
  <c r="AE33" i="58"/>
  <c r="AA33" i="58" s="1"/>
  <c r="AE32" i="58"/>
  <c r="AA32" i="58" s="1"/>
  <c r="AE31" i="58"/>
  <c r="AA31" i="58" s="1"/>
  <c r="AE30" i="58"/>
  <c r="AA30" i="58" s="1"/>
  <c r="AE29" i="58"/>
  <c r="AA29" i="58" s="1"/>
  <c r="AE28" i="58"/>
  <c r="AA28" i="58" s="1"/>
  <c r="AE27" i="58"/>
  <c r="AA27" i="58" s="1"/>
  <c r="AE26" i="58"/>
  <c r="AA26" i="58" s="1"/>
  <c r="AE25" i="58"/>
  <c r="AA25" i="58" s="1"/>
  <c r="AE24" i="58"/>
  <c r="AA24" i="58" s="1"/>
  <c r="AE23" i="58"/>
  <c r="AA23" i="58" s="1"/>
  <c r="AE22" i="58"/>
  <c r="AA22" i="58" s="1"/>
  <c r="AE21" i="58"/>
  <c r="AA21" i="58" s="1"/>
  <c r="AE20" i="58"/>
  <c r="AA20" i="58" s="1"/>
  <c r="AE19" i="58"/>
  <c r="AA19" i="58" s="1"/>
  <c r="AE18" i="58"/>
  <c r="AA18" i="58" s="1"/>
  <c r="AE17" i="58"/>
  <c r="AA17" i="58" s="1"/>
  <c r="AE16" i="58"/>
  <c r="AA16" i="58" s="1"/>
  <c r="AE15" i="58"/>
  <c r="AA15" i="58" s="1"/>
  <c r="AE14" i="58"/>
  <c r="AA14" i="58" s="1"/>
  <c r="AE13" i="58"/>
  <c r="AA13" i="58" s="1"/>
  <c r="AE12" i="58"/>
  <c r="AA12" i="58" s="1"/>
  <c r="AE11" i="58"/>
  <c r="AA11" i="58" s="1"/>
  <c r="AE10" i="58"/>
  <c r="AA10" i="58" s="1"/>
  <c r="AE9" i="58"/>
  <c r="AA9" i="58" s="1"/>
  <c r="AE8" i="58"/>
  <c r="AA8" i="58" s="1"/>
  <c r="AE7" i="58"/>
  <c r="AA7" i="58" s="1"/>
  <c r="AE6" i="58"/>
  <c r="AA6" i="58" s="1"/>
  <c r="AE5" i="58"/>
  <c r="AA5" i="58" s="1"/>
  <c r="AE4" i="58"/>
  <c r="AA4" i="58" s="1"/>
  <c r="AE3" i="58"/>
  <c r="AA3" i="58" s="1"/>
  <c r="AE2" i="58"/>
  <c r="AA2" i="58" s="1"/>
  <c r="Y699" i="57"/>
  <c r="Y698" i="57"/>
  <c r="Y697" i="57"/>
  <c r="Y696" i="57"/>
  <c r="Y695" i="57"/>
  <c r="Y694" i="57"/>
  <c r="Y693" i="57"/>
  <c r="Y692" i="57"/>
  <c r="Y691" i="57"/>
  <c r="Y690" i="57"/>
  <c r="Y689" i="57"/>
  <c r="Y688" i="57"/>
  <c r="Y687" i="57"/>
  <c r="Y686" i="57"/>
  <c r="Y685" i="57"/>
  <c r="Y684" i="57"/>
  <c r="Y683" i="57"/>
  <c r="Y682" i="57"/>
  <c r="Y681" i="57"/>
  <c r="Y680" i="57"/>
  <c r="Y679" i="57"/>
  <c r="Y678" i="57"/>
  <c r="Y677" i="57"/>
  <c r="Y676" i="57"/>
  <c r="Y675" i="57"/>
  <c r="Y674" i="57"/>
  <c r="Y673" i="57"/>
  <c r="Y672" i="57"/>
  <c r="Y671" i="57"/>
  <c r="Y670" i="57"/>
  <c r="Y669" i="57"/>
  <c r="Y668" i="57"/>
  <c r="Y667" i="57"/>
  <c r="Y666" i="57"/>
  <c r="Y665" i="57"/>
  <c r="Y664" i="57"/>
  <c r="Y663" i="57"/>
  <c r="Y662" i="57"/>
  <c r="Y661" i="57"/>
  <c r="Y660" i="57"/>
  <c r="Y659" i="57"/>
  <c r="Y658" i="57"/>
  <c r="Y657" i="57"/>
  <c r="Y656" i="57"/>
  <c r="Y655" i="57"/>
  <c r="Y654" i="57"/>
  <c r="Y653" i="57"/>
  <c r="Y652" i="57"/>
  <c r="Y651" i="57"/>
  <c r="Y650" i="57"/>
  <c r="Y649" i="57"/>
  <c r="Y648" i="57"/>
  <c r="Y647" i="57"/>
  <c r="Y646" i="57"/>
  <c r="Y645" i="57"/>
  <c r="Y644" i="57"/>
  <c r="Y643" i="57"/>
  <c r="Y642" i="57"/>
  <c r="Y641" i="57"/>
  <c r="Y640" i="57"/>
  <c r="Y639" i="57"/>
  <c r="Y638" i="57"/>
  <c r="Y637" i="57"/>
  <c r="Y636" i="57"/>
  <c r="Y635" i="57"/>
  <c r="Y634" i="57"/>
  <c r="Y633" i="57"/>
  <c r="Y632" i="57"/>
  <c r="Y631" i="57"/>
  <c r="Y630" i="57"/>
  <c r="Y629" i="57"/>
  <c r="Y628" i="57"/>
  <c r="Y627" i="57"/>
  <c r="Y626" i="57"/>
  <c r="Y625" i="57"/>
  <c r="Y624" i="57"/>
  <c r="Y623" i="57"/>
  <c r="Y622" i="57"/>
  <c r="Y621" i="57"/>
  <c r="Y620" i="57"/>
  <c r="Y619" i="57"/>
  <c r="Y618" i="57"/>
  <c r="Y617" i="57"/>
  <c r="Y616" i="57"/>
  <c r="Y615" i="57"/>
  <c r="Y614" i="57"/>
  <c r="Y613" i="57"/>
  <c r="Y612" i="57"/>
  <c r="Y611" i="57"/>
  <c r="Y610" i="57"/>
  <c r="Y609" i="57"/>
  <c r="Y608" i="57"/>
  <c r="Y607" i="57"/>
  <c r="Y606" i="57"/>
  <c r="Y605" i="57"/>
  <c r="Y604" i="57"/>
  <c r="Y603" i="57"/>
  <c r="Y602" i="57"/>
  <c r="Y601" i="57"/>
  <c r="Y600" i="57"/>
  <c r="Y599" i="57"/>
  <c r="Y598" i="57"/>
  <c r="Y597" i="57"/>
  <c r="Y596" i="57"/>
  <c r="Y595" i="57"/>
  <c r="Y594" i="57"/>
  <c r="Y593" i="57"/>
  <c r="Y592" i="57"/>
  <c r="Y591" i="57"/>
  <c r="Y590" i="57"/>
  <c r="Y589" i="57"/>
  <c r="Y588" i="57"/>
  <c r="Y587" i="57"/>
  <c r="Y586" i="57"/>
  <c r="Y585" i="57"/>
  <c r="Y584" i="57"/>
  <c r="Y583" i="57"/>
  <c r="Y582" i="57"/>
  <c r="Y581" i="57"/>
  <c r="Y580" i="57"/>
  <c r="Y579" i="57"/>
  <c r="Y578" i="57"/>
  <c r="Y577" i="57"/>
  <c r="Y576" i="57"/>
  <c r="Y575" i="57"/>
  <c r="Y574" i="57"/>
  <c r="Y573" i="57"/>
  <c r="Y572" i="57"/>
  <c r="Y571" i="57"/>
  <c r="Y570" i="57"/>
  <c r="Y569" i="57"/>
  <c r="Y568" i="57"/>
  <c r="Y567" i="57"/>
  <c r="Y566" i="57"/>
  <c r="Y565" i="57"/>
  <c r="Y564" i="57"/>
  <c r="Y563" i="57"/>
  <c r="Y562" i="57"/>
  <c r="Y561" i="57"/>
  <c r="Y560" i="57"/>
  <c r="Y559" i="57"/>
  <c r="Y558" i="57"/>
  <c r="Y557" i="57"/>
  <c r="Y556" i="57"/>
  <c r="Y555" i="57"/>
  <c r="Y554" i="57"/>
  <c r="Y553" i="57"/>
  <c r="Y552" i="57"/>
  <c r="Y551" i="57"/>
  <c r="Y550" i="57"/>
  <c r="Y549" i="57"/>
  <c r="Y548" i="57"/>
  <c r="Y547" i="57"/>
  <c r="Y546" i="57"/>
  <c r="Y545" i="57"/>
  <c r="Y544" i="57"/>
  <c r="Y543" i="57"/>
  <c r="Y542" i="57"/>
  <c r="Y541" i="57"/>
  <c r="Y540" i="57"/>
  <c r="Y539" i="57"/>
  <c r="Y538" i="57"/>
  <c r="Y537" i="57"/>
  <c r="Y536" i="57"/>
  <c r="Y535" i="57"/>
  <c r="Y534" i="57"/>
  <c r="Y533" i="57"/>
  <c r="Y532" i="57"/>
  <c r="Y531" i="57"/>
  <c r="Y530" i="57"/>
  <c r="Y529" i="57"/>
  <c r="Y528" i="57"/>
  <c r="Y527" i="57"/>
  <c r="Y526" i="57"/>
  <c r="Y525" i="57"/>
  <c r="Y524" i="57"/>
  <c r="Y523" i="57"/>
  <c r="Y522" i="57"/>
  <c r="Y521" i="57"/>
  <c r="Y520" i="57"/>
  <c r="Y519" i="57"/>
  <c r="Y518" i="57"/>
  <c r="Y517" i="57"/>
  <c r="Y516" i="57"/>
  <c r="Y515" i="57"/>
  <c r="Y514" i="57"/>
  <c r="Y513" i="57"/>
  <c r="Y512" i="57"/>
  <c r="Y511" i="57"/>
  <c r="Y510" i="57"/>
  <c r="Y509" i="57"/>
  <c r="Y508" i="57"/>
  <c r="Y507" i="57"/>
  <c r="Y506" i="57"/>
  <c r="Y505" i="57"/>
  <c r="Y504" i="57"/>
  <c r="Y503" i="57"/>
  <c r="Y502" i="57"/>
  <c r="Y501" i="57"/>
  <c r="Y500" i="57"/>
  <c r="Y499" i="57"/>
  <c r="Y498" i="57"/>
  <c r="Y497" i="57"/>
  <c r="Y496" i="57"/>
  <c r="Y495" i="57"/>
  <c r="Y494" i="57"/>
  <c r="Y493" i="57"/>
  <c r="Y492" i="57"/>
  <c r="Y491" i="57"/>
  <c r="Y490" i="57"/>
  <c r="Y489" i="57"/>
  <c r="Y488" i="57"/>
  <c r="Y487" i="57"/>
  <c r="Y486" i="57"/>
  <c r="Y485" i="57"/>
  <c r="Y484" i="57"/>
  <c r="Y483" i="57"/>
  <c r="Y482" i="57"/>
  <c r="Y481" i="57"/>
  <c r="Y480" i="57"/>
  <c r="Y479" i="57"/>
  <c r="Y478" i="57"/>
  <c r="Y477" i="57"/>
  <c r="Y476" i="57"/>
  <c r="Y475" i="57"/>
  <c r="Y474" i="57"/>
  <c r="Y473" i="57"/>
  <c r="Y472" i="57"/>
  <c r="Y471" i="57"/>
  <c r="Y470" i="57"/>
  <c r="Y469" i="57"/>
  <c r="Y468" i="57"/>
  <c r="Y467" i="57"/>
  <c r="Y466" i="57"/>
  <c r="Y465" i="57"/>
  <c r="Y464" i="57"/>
  <c r="Y463" i="57"/>
  <c r="Y462" i="57"/>
  <c r="Y461" i="57"/>
  <c r="Y460" i="57"/>
  <c r="Y459" i="57"/>
  <c r="Y458" i="57"/>
  <c r="Y457" i="57"/>
  <c r="Y456" i="57"/>
  <c r="Y455" i="57"/>
  <c r="Y454" i="57"/>
  <c r="Y453" i="57"/>
  <c r="Y452" i="57"/>
  <c r="Y451" i="57"/>
  <c r="Y450" i="57"/>
  <c r="Y449" i="57"/>
  <c r="Y448" i="57"/>
  <c r="Y447" i="57"/>
  <c r="Y446" i="57"/>
  <c r="Y445" i="57"/>
  <c r="Y444" i="57"/>
  <c r="Y443" i="57"/>
  <c r="Y442" i="57"/>
  <c r="Y441" i="57"/>
  <c r="Y440" i="57"/>
  <c r="Y439" i="57"/>
  <c r="Y438" i="57"/>
  <c r="Y437" i="57"/>
  <c r="Y436" i="57"/>
  <c r="Y435" i="57"/>
  <c r="Y434" i="57"/>
  <c r="Y433" i="57"/>
  <c r="Y432" i="57"/>
  <c r="Y431" i="57"/>
  <c r="Y430" i="57"/>
  <c r="Y429" i="57"/>
  <c r="Y428" i="57"/>
  <c r="Y427" i="57"/>
  <c r="Y426" i="57"/>
  <c r="Y425" i="57"/>
  <c r="Y424" i="57"/>
  <c r="Y423" i="57"/>
  <c r="Y422" i="57"/>
  <c r="Y421" i="57"/>
  <c r="Y420" i="57"/>
  <c r="Y419" i="57"/>
  <c r="Y418" i="57"/>
  <c r="Y417" i="57"/>
  <c r="Y416" i="57"/>
  <c r="Y415" i="57"/>
  <c r="Y414" i="57"/>
  <c r="Y413" i="57"/>
  <c r="Y412" i="57"/>
  <c r="Y411" i="57"/>
  <c r="Y410" i="57"/>
  <c r="Y409" i="57"/>
  <c r="Y408" i="57"/>
  <c r="Y407" i="57"/>
  <c r="Y406" i="57"/>
  <c r="Y405" i="57"/>
  <c r="Y404" i="57"/>
  <c r="Y403" i="57"/>
  <c r="Y402" i="57"/>
  <c r="Y401" i="57"/>
  <c r="Y400" i="57"/>
  <c r="Y399" i="57"/>
  <c r="Y398" i="57"/>
  <c r="Y397" i="57"/>
  <c r="Y396" i="57"/>
  <c r="Y395" i="57"/>
  <c r="Y394" i="57"/>
  <c r="Y393" i="57"/>
  <c r="Y392" i="57"/>
  <c r="Y391" i="57"/>
  <c r="Y390" i="57"/>
  <c r="Y389" i="57"/>
  <c r="Y388" i="57"/>
  <c r="Y387" i="57"/>
  <c r="Y386" i="57"/>
  <c r="Y385" i="57"/>
  <c r="Y384" i="57"/>
  <c r="Y383" i="57"/>
  <c r="Y382" i="57"/>
  <c r="Y381" i="57"/>
  <c r="Y380" i="57"/>
  <c r="Y379" i="57"/>
  <c r="Y378" i="57"/>
  <c r="Y377" i="57"/>
  <c r="Y376" i="57"/>
  <c r="Y375" i="57"/>
  <c r="Y374" i="57"/>
  <c r="Y373" i="57"/>
  <c r="Y372" i="57"/>
  <c r="Y371" i="57"/>
  <c r="Y370" i="57"/>
  <c r="Y369" i="57"/>
  <c r="Y368" i="57"/>
  <c r="Y367" i="57"/>
  <c r="Y366" i="57"/>
  <c r="Y365" i="57"/>
  <c r="Y364" i="57"/>
  <c r="Y363" i="57"/>
  <c r="Y362" i="57"/>
  <c r="Y361" i="57"/>
  <c r="Y360" i="57"/>
  <c r="Y359" i="57"/>
  <c r="Y358" i="57"/>
  <c r="Y357" i="57"/>
  <c r="Y356" i="57"/>
  <c r="Y355" i="57"/>
  <c r="Y354" i="57"/>
  <c r="Y353" i="57"/>
  <c r="Y352" i="57"/>
  <c r="Y351" i="57"/>
  <c r="Y350" i="57"/>
  <c r="Y349" i="57"/>
  <c r="Y348" i="57"/>
  <c r="Y347" i="57"/>
  <c r="Y346" i="57"/>
  <c r="Y345" i="57"/>
  <c r="Y344" i="57"/>
  <c r="Y343" i="57"/>
  <c r="Y342" i="57"/>
  <c r="Y341" i="57"/>
  <c r="Y340" i="57"/>
  <c r="Y339" i="57"/>
  <c r="Y338" i="57"/>
  <c r="Y337" i="57"/>
  <c r="Y336" i="57"/>
  <c r="Y335" i="57"/>
  <c r="Y334" i="57"/>
  <c r="Y333" i="57"/>
  <c r="Y332" i="57"/>
  <c r="Y331" i="57"/>
  <c r="Y330" i="57"/>
  <c r="Y329" i="57"/>
  <c r="Y328" i="57"/>
  <c r="Y327" i="57"/>
  <c r="Y326" i="57"/>
  <c r="Y325" i="57"/>
  <c r="Y324" i="57"/>
  <c r="Y323" i="57"/>
  <c r="Y322" i="57"/>
  <c r="Y321" i="57"/>
  <c r="Y320" i="57"/>
  <c r="Y319" i="57"/>
  <c r="Y318" i="57"/>
  <c r="Y317" i="57"/>
  <c r="Y316" i="57"/>
  <c r="Y315" i="57"/>
  <c r="Y314" i="57"/>
  <c r="Y313" i="57"/>
  <c r="Y312" i="57"/>
  <c r="Y311" i="57"/>
  <c r="Y310" i="57"/>
  <c r="Y309" i="57"/>
  <c r="Y308" i="57"/>
  <c r="Y307" i="57"/>
  <c r="Y306" i="57"/>
  <c r="Y305" i="57"/>
  <c r="Y304" i="57"/>
  <c r="Y303" i="57"/>
  <c r="Y302" i="57"/>
  <c r="Y301" i="57"/>
  <c r="Y300" i="57"/>
  <c r="Y299" i="57"/>
  <c r="Y298" i="57"/>
  <c r="Y297" i="57"/>
  <c r="Y296" i="57"/>
  <c r="Y295" i="57"/>
  <c r="Y294" i="57"/>
  <c r="Y293" i="57"/>
  <c r="Y292" i="57"/>
  <c r="Y291" i="57"/>
  <c r="Y290" i="57"/>
  <c r="Y289" i="57"/>
  <c r="Y288" i="57"/>
  <c r="Y287" i="57"/>
  <c r="Y286" i="57"/>
  <c r="Y285" i="57"/>
  <c r="Y284" i="57"/>
  <c r="Y283" i="57"/>
  <c r="Y282" i="57"/>
  <c r="Y281" i="57"/>
  <c r="Y280" i="57"/>
  <c r="Y279" i="57"/>
  <c r="Y278" i="57"/>
  <c r="Y277" i="57"/>
  <c r="Y276" i="57"/>
  <c r="Y275" i="57"/>
  <c r="Y274" i="57"/>
  <c r="Y273" i="57"/>
  <c r="Y272" i="57"/>
  <c r="Y271" i="57"/>
  <c r="Y270" i="57"/>
  <c r="Y269" i="57"/>
  <c r="Y268" i="57"/>
  <c r="Y267" i="57"/>
  <c r="Y266" i="57"/>
  <c r="Y265" i="57"/>
  <c r="Y264" i="57"/>
  <c r="Y263" i="57"/>
  <c r="Y262" i="57"/>
  <c r="Y261" i="57"/>
  <c r="Y260" i="57"/>
  <c r="Y259" i="57"/>
  <c r="Y258" i="57"/>
  <c r="Y257" i="57"/>
  <c r="Y256" i="57"/>
  <c r="Y255" i="57"/>
  <c r="Y254" i="57"/>
  <c r="Y253" i="57"/>
  <c r="Y252" i="57"/>
  <c r="Y251" i="57"/>
  <c r="Y250" i="57"/>
  <c r="Y249" i="57"/>
  <c r="Y248" i="57"/>
  <c r="Y247" i="57"/>
  <c r="Y246" i="57"/>
  <c r="Y245" i="57"/>
  <c r="Y244" i="57"/>
  <c r="Y243" i="57"/>
  <c r="Y242" i="57"/>
  <c r="Y241" i="57"/>
  <c r="Y240" i="57"/>
  <c r="Y239" i="57"/>
  <c r="Y238" i="57"/>
  <c r="Y237" i="57"/>
  <c r="Y236" i="57"/>
  <c r="Y235" i="57"/>
  <c r="Y234" i="57"/>
  <c r="Y233" i="57"/>
  <c r="Y232" i="57"/>
  <c r="Y231" i="57"/>
  <c r="Y230" i="57"/>
  <c r="Y229" i="57"/>
  <c r="Y228" i="57"/>
  <c r="Y227" i="57"/>
  <c r="Y226" i="57"/>
  <c r="Y225" i="57"/>
  <c r="Y224" i="57"/>
  <c r="Y223" i="57"/>
  <c r="Y222" i="57"/>
  <c r="Y221" i="57"/>
  <c r="Y220" i="57"/>
  <c r="Y219" i="57"/>
  <c r="Y218" i="57"/>
  <c r="Y217" i="57"/>
  <c r="Y216" i="57"/>
  <c r="Y215" i="57"/>
  <c r="Y214" i="57"/>
  <c r="Y213" i="57"/>
  <c r="Y212" i="57"/>
  <c r="Y211" i="57"/>
  <c r="Y210" i="57"/>
  <c r="Y209" i="57"/>
  <c r="Y208" i="57"/>
  <c r="Y207" i="57"/>
  <c r="Y206" i="57"/>
  <c r="Y205" i="57"/>
  <c r="Y204" i="57"/>
  <c r="Y203" i="57"/>
  <c r="Y202" i="57"/>
  <c r="Y201" i="57"/>
  <c r="Y200" i="57"/>
  <c r="Y199" i="57"/>
  <c r="Y198" i="57"/>
  <c r="Y197" i="57"/>
  <c r="Y196" i="57"/>
  <c r="Y195" i="57"/>
  <c r="Y194" i="57"/>
  <c r="Y193" i="57"/>
  <c r="Y192" i="57"/>
  <c r="Y191" i="57"/>
  <c r="Y190" i="57"/>
  <c r="Y189" i="57"/>
  <c r="Y188" i="57"/>
  <c r="Y187" i="57"/>
  <c r="Y186" i="57"/>
  <c r="Y185" i="57"/>
  <c r="Y184" i="57"/>
  <c r="Y183" i="57"/>
  <c r="Y182" i="57"/>
  <c r="Y181" i="57"/>
  <c r="Y180" i="57"/>
  <c r="Y179" i="57"/>
  <c r="Y178" i="57"/>
  <c r="Y177" i="57"/>
  <c r="Y176" i="57"/>
  <c r="Y175" i="57"/>
  <c r="Y174" i="57"/>
  <c r="Y173" i="57"/>
  <c r="Y172" i="57"/>
  <c r="Y171" i="57"/>
  <c r="Y170" i="57"/>
  <c r="Y169" i="57"/>
  <c r="Y168" i="57"/>
  <c r="Y167" i="57"/>
  <c r="Y166" i="57"/>
  <c r="Y165" i="57"/>
  <c r="Y164" i="57"/>
  <c r="Y163" i="57"/>
  <c r="Y162" i="57"/>
  <c r="Y161" i="57"/>
  <c r="Y160" i="57"/>
  <c r="Y159" i="57"/>
  <c r="Y158" i="57"/>
  <c r="Y157" i="57"/>
  <c r="Y156" i="57"/>
  <c r="Y155" i="57"/>
  <c r="Y154" i="57"/>
  <c r="Y153" i="57"/>
  <c r="Y152" i="57"/>
  <c r="Y151" i="57"/>
  <c r="Y150" i="57"/>
  <c r="Y149" i="57"/>
  <c r="Y148" i="57"/>
  <c r="Y147" i="57"/>
  <c r="Y146" i="57"/>
  <c r="Y145" i="57"/>
  <c r="Y144" i="57"/>
  <c r="Y143" i="57"/>
  <c r="Y142" i="57"/>
  <c r="Y141" i="57"/>
  <c r="Y140" i="57"/>
  <c r="Y139" i="57"/>
  <c r="Y138" i="57"/>
  <c r="Y137" i="57"/>
  <c r="Y136" i="57"/>
  <c r="Y135" i="57"/>
  <c r="Y134" i="57"/>
  <c r="Y133" i="57"/>
  <c r="Y132" i="57"/>
  <c r="Y131" i="57"/>
  <c r="Y130" i="57"/>
  <c r="Y129" i="57"/>
  <c r="Y128" i="57"/>
  <c r="Y127" i="57"/>
  <c r="Y126" i="57"/>
  <c r="Y125" i="57"/>
  <c r="Y124" i="57"/>
  <c r="Y123" i="57"/>
  <c r="Y122" i="57"/>
  <c r="Y121" i="57"/>
  <c r="Y120" i="57"/>
  <c r="Y119" i="57"/>
  <c r="Y118" i="57"/>
  <c r="Y117" i="57"/>
  <c r="Y116" i="57"/>
  <c r="Y115" i="57"/>
  <c r="Y114" i="57"/>
  <c r="Y113" i="57"/>
  <c r="Y112" i="57"/>
  <c r="Y111" i="57"/>
  <c r="Y110" i="57"/>
  <c r="Y109" i="57"/>
  <c r="Y108" i="57"/>
  <c r="Y107" i="57"/>
  <c r="Y106" i="57"/>
  <c r="Y105" i="57"/>
  <c r="Y104" i="57"/>
  <c r="Y103" i="57"/>
  <c r="Y102" i="57"/>
  <c r="Y101" i="57"/>
  <c r="Y100" i="57"/>
  <c r="Y99" i="57"/>
  <c r="Y98" i="57"/>
  <c r="Y97" i="57"/>
  <c r="Y96" i="57"/>
  <c r="Y95" i="57"/>
  <c r="Y94" i="57"/>
  <c r="Y93" i="57"/>
  <c r="Y92" i="57"/>
  <c r="Y91" i="57"/>
  <c r="Y90" i="57"/>
  <c r="Y89" i="57"/>
  <c r="Y88" i="57"/>
  <c r="Y87" i="57"/>
  <c r="Y86" i="57"/>
  <c r="Y85" i="57"/>
  <c r="Y84" i="57"/>
  <c r="Y83" i="57"/>
  <c r="Y82" i="57"/>
  <c r="Y81" i="57"/>
  <c r="Y80" i="57"/>
  <c r="Y79" i="57"/>
  <c r="Y78" i="57"/>
  <c r="Y77" i="57"/>
  <c r="Y76" i="57"/>
  <c r="Y75" i="57"/>
  <c r="Y74" i="57"/>
  <c r="Y73" i="57"/>
  <c r="Y72" i="57"/>
  <c r="Y71" i="57"/>
  <c r="Y70" i="57"/>
  <c r="Y69" i="57"/>
  <c r="Y68" i="57"/>
  <c r="Y67" i="57"/>
  <c r="Y66" i="57"/>
  <c r="Y65" i="57"/>
  <c r="Y64" i="57"/>
  <c r="Y63" i="57"/>
  <c r="Y62" i="57"/>
  <c r="Y61" i="57"/>
  <c r="Y60" i="57"/>
  <c r="Y59" i="57"/>
  <c r="Y58" i="57"/>
  <c r="Y57" i="57"/>
  <c r="Y56" i="57"/>
  <c r="Y55" i="57"/>
  <c r="Y54" i="57"/>
  <c r="Y53" i="57"/>
  <c r="Y52" i="57"/>
  <c r="Y51" i="57"/>
  <c r="Y50" i="57"/>
  <c r="Y49" i="57"/>
  <c r="Y48" i="57"/>
  <c r="Y47" i="57"/>
  <c r="Y46" i="57"/>
  <c r="Y45" i="57"/>
  <c r="Y44" i="57"/>
  <c r="Y43" i="57"/>
  <c r="Y42" i="57"/>
  <c r="Y41" i="57"/>
  <c r="Y40" i="57"/>
  <c r="Y39" i="57"/>
  <c r="Y38" i="57"/>
  <c r="Y37" i="57"/>
  <c r="Y36" i="57"/>
  <c r="Y35" i="57"/>
  <c r="Y34" i="57"/>
  <c r="Y33" i="57"/>
  <c r="Y32" i="57"/>
  <c r="Y31" i="57"/>
  <c r="Y30" i="57"/>
  <c r="Y29" i="57"/>
  <c r="Y28" i="57"/>
  <c r="Y27" i="57"/>
  <c r="Y26" i="57"/>
  <c r="Y25" i="57"/>
  <c r="Y24" i="57"/>
  <c r="Y23" i="57"/>
  <c r="Y22" i="57"/>
  <c r="Y21" i="57"/>
  <c r="Y20" i="57"/>
  <c r="Y19" i="57"/>
  <c r="Y18" i="57"/>
  <c r="Y17" i="57"/>
  <c r="Y16" i="57"/>
  <c r="Y15" i="57"/>
  <c r="Y14" i="57"/>
  <c r="Y13" i="57"/>
  <c r="Y12" i="57"/>
  <c r="Y11" i="57"/>
  <c r="Y10" i="57"/>
  <c r="Y9" i="57"/>
  <c r="Y8" i="57"/>
  <c r="Y7" i="57"/>
  <c r="Y6" i="57"/>
  <c r="Y5" i="57"/>
  <c r="Y4" i="57"/>
  <c r="Y3" i="57"/>
  <c r="Y2" i="57"/>
  <c r="AE699" i="57"/>
  <c r="AA699" i="57" s="1"/>
  <c r="AE698" i="57"/>
  <c r="AA698" i="57" s="1"/>
  <c r="AE697" i="57"/>
  <c r="AA697" i="57" s="1"/>
  <c r="AE696" i="57"/>
  <c r="AA696" i="57" s="1"/>
  <c r="AE695" i="57"/>
  <c r="AA695" i="57" s="1"/>
  <c r="AE694" i="57"/>
  <c r="AA694" i="57" s="1"/>
  <c r="AE693" i="57"/>
  <c r="AA693" i="57" s="1"/>
  <c r="AE692" i="57"/>
  <c r="AA692" i="57" s="1"/>
  <c r="AE691" i="57"/>
  <c r="AA691" i="57" s="1"/>
  <c r="AE690" i="57"/>
  <c r="AA690" i="57" s="1"/>
  <c r="AE689" i="57"/>
  <c r="AA689" i="57" s="1"/>
  <c r="AE688" i="57"/>
  <c r="AA688" i="57" s="1"/>
  <c r="AE687" i="57"/>
  <c r="AA687" i="57" s="1"/>
  <c r="AE686" i="57"/>
  <c r="AA686" i="57" s="1"/>
  <c r="AE685" i="57"/>
  <c r="AA685" i="57" s="1"/>
  <c r="AE684" i="57"/>
  <c r="AA684" i="57" s="1"/>
  <c r="AE683" i="57"/>
  <c r="AA683" i="57" s="1"/>
  <c r="AE682" i="57"/>
  <c r="AA682" i="57" s="1"/>
  <c r="AE681" i="57"/>
  <c r="AA681" i="57" s="1"/>
  <c r="AE680" i="57"/>
  <c r="AA680" i="57" s="1"/>
  <c r="AE679" i="57"/>
  <c r="AA679" i="57" s="1"/>
  <c r="AE678" i="57"/>
  <c r="AA678" i="57" s="1"/>
  <c r="AE677" i="57"/>
  <c r="AA677" i="57" s="1"/>
  <c r="AE676" i="57"/>
  <c r="AA676" i="57" s="1"/>
  <c r="AE675" i="57"/>
  <c r="AA675" i="57" s="1"/>
  <c r="AE674" i="57"/>
  <c r="AA674" i="57" s="1"/>
  <c r="AE673" i="57"/>
  <c r="AA673" i="57" s="1"/>
  <c r="AE672" i="57"/>
  <c r="AA672" i="57" s="1"/>
  <c r="AE671" i="57"/>
  <c r="AA671" i="57" s="1"/>
  <c r="AE670" i="57"/>
  <c r="AA670" i="57" s="1"/>
  <c r="AE669" i="57"/>
  <c r="AA669" i="57" s="1"/>
  <c r="AE668" i="57"/>
  <c r="AA668" i="57" s="1"/>
  <c r="AE667" i="57"/>
  <c r="AA667" i="57" s="1"/>
  <c r="AE666" i="57"/>
  <c r="AA666" i="57" s="1"/>
  <c r="AE665" i="57"/>
  <c r="AA665" i="57" s="1"/>
  <c r="AE664" i="57"/>
  <c r="AA664" i="57" s="1"/>
  <c r="AE663" i="57"/>
  <c r="AA663" i="57" s="1"/>
  <c r="AE662" i="57"/>
  <c r="AA662" i="57" s="1"/>
  <c r="AE661" i="57"/>
  <c r="AA661" i="57" s="1"/>
  <c r="AE660" i="57"/>
  <c r="AA660" i="57" s="1"/>
  <c r="AE659" i="57"/>
  <c r="AA659" i="57" s="1"/>
  <c r="AE658" i="57"/>
  <c r="AA658" i="57" s="1"/>
  <c r="AE657" i="57"/>
  <c r="AA657" i="57" s="1"/>
  <c r="AE656" i="57"/>
  <c r="AA656" i="57" s="1"/>
  <c r="AE655" i="57"/>
  <c r="AA655" i="57" s="1"/>
  <c r="AE654" i="57"/>
  <c r="AA654" i="57" s="1"/>
  <c r="AE653" i="57"/>
  <c r="AA653" i="57" s="1"/>
  <c r="AE652" i="57"/>
  <c r="AA652" i="57" s="1"/>
  <c r="AE651" i="57"/>
  <c r="AA651" i="57" s="1"/>
  <c r="AE650" i="57"/>
  <c r="AA650" i="57" s="1"/>
  <c r="AE649" i="57"/>
  <c r="AA649" i="57" s="1"/>
  <c r="AE648" i="57"/>
  <c r="AA648" i="57" s="1"/>
  <c r="AE647" i="57"/>
  <c r="AA647" i="57" s="1"/>
  <c r="AE646" i="57"/>
  <c r="AA646" i="57" s="1"/>
  <c r="AE645" i="57"/>
  <c r="AA645" i="57" s="1"/>
  <c r="AE644" i="57"/>
  <c r="AA644" i="57" s="1"/>
  <c r="AE643" i="57"/>
  <c r="AA643" i="57" s="1"/>
  <c r="AE642" i="57"/>
  <c r="AA642" i="57" s="1"/>
  <c r="AE641" i="57"/>
  <c r="AA641" i="57" s="1"/>
  <c r="AE640" i="57"/>
  <c r="AA640" i="57" s="1"/>
  <c r="AE639" i="57"/>
  <c r="AA639" i="57" s="1"/>
  <c r="AE638" i="57"/>
  <c r="AA638" i="57" s="1"/>
  <c r="AE637" i="57"/>
  <c r="AA637" i="57" s="1"/>
  <c r="AE636" i="57"/>
  <c r="AA636" i="57" s="1"/>
  <c r="AE635" i="57"/>
  <c r="AA635" i="57" s="1"/>
  <c r="AE634" i="57"/>
  <c r="AA634" i="57" s="1"/>
  <c r="AE633" i="57"/>
  <c r="AA633" i="57" s="1"/>
  <c r="AE632" i="57"/>
  <c r="AA632" i="57" s="1"/>
  <c r="AE631" i="57"/>
  <c r="AA631" i="57" s="1"/>
  <c r="AE630" i="57"/>
  <c r="AA630" i="57" s="1"/>
  <c r="AE629" i="57"/>
  <c r="AA629" i="57" s="1"/>
  <c r="AE628" i="57"/>
  <c r="AA628" i="57" s="1"/>
  <c r="AE627" i="57"/>
  <c r="AA627" i="57" s="1"/>
  <c r="AE626" i="57"/>
  <c r="AA626" i="57" s="1"/>
  <c r="AE625" i="57"/>
  <c r="AA625" i="57" s="1"/>
  <c r="AE624" i="57"/>
  <c r="AA624" i="57" s="1"/>
  <c r="AE623" i="57"/>
  <c r="AA623" i="57" s="1"/>
  <c r="AE622" i="57"/>
  <c r="AA622" i="57" s="1"/>
  <c r="AE621" i="57"/>
  <c r="AA621" i="57" s="1"/>
  <c r="AE620" i="57"/>
  <c r="AA620" i="57" s="1"/>
  <c r="AE619" i="57"/>
  <c r="AA619" i="57" s="1"/>
  <c r="AE618" i="57"/>
  <c r="AA618" i="57" s="1"/>
  <c r="AE617" i="57"/>
  <c r="AA617" i="57" s="1"/>
  <c r="AE616" i="57"/>
  <c r="AA616" i="57" s="1"/>
  <c r="AE615" i="57"/>
  <c r="AA615" i="57" s="1"/>
  <c r="AE614" i="57"/>
  <c r="AA614" i="57" s="1"/>
  <c r="AE613" i="57"/>
  <c r="AA613" i="57" s="1"/>
  <c r="AE612" i="57"/>
  <c r="AA612" i="57" s="1"/>
  <c r="AE611" i="57"/>
  <c r="AA611" i="57" s="1"/>
  <c r="AE610" i="57"/>
  <c r="AA610" i="57" s="1"/>
  <c r="AE609" i="57"/>
  <c r="AA609" i="57" s="1"/>
  <c r="AE608" i="57"/>
  <c r="AA608" i="57" s="1"/>
  <c r="AE607" i="57"/>
  <c r="AA607" i="57" s="1"/>
  <c r="AE606" i="57"/>
  <c r="AA606" i="57" s="1"/>
  <c r="AE605" i="57"/>
  <c r="AA605" i="57" s="1"/>
  <c r="AE604" i="57"/>
  <c r="AA604" i="57" s="1"/>
  <c r="AE603" i="57"/>
  <c r="AA603" i="57" s="1"/>
  <c r="AE602" i="57"/>
  <c r="AA602" i="57" s="1"/>
  <c r="AE601" i="57"/>
  <c r="AA601" i="57" s="1"/>
  <c r="AE600" i="57"/>
  <c r="AA600" i="57" s="1"/>
  <c r="AE599" i="57"/>
  <c r="AA599" i="57" s="1"/>
  <c r="AE598" i="57"/>
  <c r="AA598" i="57" s="1"/>
  <c r="AE597" i="57"/>
  <c r="AA597" i="57" s="1"/>
  <c r="AE596" i="57"/>
  <c r="AA596" i="57" s="1"/>
  <c r="AE595" i="57"/>
  <c r="AA595" i="57" s="1"/>
  <c r="AE594" i="57"/>
  <c r="AA594" i="57" s="1"/>
  <c r="AE593" i="57"/>
  <c r="AA593" i="57" s="1"/>
  <c r="AE592" i="57"/>
  <c r="AA592" i="57" s="1"/>
  <c r="AE591" i="57"/>
  <c r="AA591" i="57" s="1"/>
  <c r="AE590" i="57"/>
  <c r="AA590" i="57" s="1"/>
  <c r="AE589" i="57"/>
  <c r="AA589" i="57" s="1"/>
  <c r="AE588" i="57"/>
  <c r="AA588" i="57" s="1"/>
  <c r="AE587" i="57"/>
  <c r="AA587" i="57" s="1"/>
  <c r="AE586" i="57"/>
  <c r="AA586" i="57" s="1"/>
  <c r="AE585" i="57"/>
  <c r="AA585" i="57" s="1"/>
  <c r="AE584" i="57"/>
  <c r="AA584" i="57" s="1"/>
  <c r="AE583" i="57"/>
  <c r="AA583" i="57" s="1"/>
  <c r="AE582" i="57"/>
  <c r="AA582" i="57" s="1"/>
  <c r="AE581" i="57"/>
  <c r="AA581" i="57" s="1"/>
  <c r="AE580" i="57"/>
  <c r="AA580" i="57" s="1"/>
  <c r="AE579" i="57"/>
  <c r="AA579" i="57" s="1"/>
  <c r="AE578" i="57"/>
  <c r="AA578" i="57" s="1"/>
  <c r="AE577" i="57"/>
  <c r="AA577" i="57" s="1"/>
  <c r="AE576" i="57"/>
  <c r="AA576" i="57" s="1"/>
  <c r="AE575" i="57"/>
  <c r="AA575" i="57" s="1"/>
  <c r="AE574" i="57"/>
  <c r="AA574" i="57" s="1"/>
  <c r="AE573" i="57"/>
  <c r="AA573" i="57" s="1"/>
  <c r="AE572" i="57"/>
  <c r="AA572" i="57" s="1"/>
  <c r="AE571" i="57"/>
  <c r="AA571" i="57" s="1"/>
  <c r="AE570" i="57"/>
  <c r="AA570" i="57" s="1"/>
  <c r="AE569" i="57"/>
  <c r="AA569" i="57" s="1"/>
  <c r="AE568" i="57"/>
  <c r="AA568" i="57" s="1"/>
  <c r="AE567" i="57"/>
  <c r="AA567" i="57" s="1"/>
  <c r="AE566" i="57"/>
  <c r="AA566" i="57" s="1"/>
  <c r="AE565" i="57"/>
  <c r="AA565" i="57" s="1"/>
  <c r="AE564" i="57"/>
  <c r="AA564" i="57" s="1"/>
  <c r="AE563" i="57"/>
  <c r="AA563" i="57" s="1"/>
  <c r="AE562" i="57"/>
  <c r="AA562" i="57" s="1"/>
  <c r="AE561" i="57"/>
  <c r="AA561" i="57" s="1"/>
  <c r="AE560" i="57"/>
  <c r="AA560" i="57" s="1"/>
  <c r="AE559" i="57"/>
  <c r="AA559" i="57" s="1"/>
  <c r="AE558" i="57"/>
  <c r="AA558" i="57" s="1"/>
  <c r="AE557" i="57"/>
  <c r="AA557" i="57" s="1"/>
  <c r="AE556" i="57"/>
  <c r="AA556" i="57" s="1"/>
  <c r="AE555" i="57"/>
  <c r="AA555" i="57" s="1"/>
  <c r="AE554" i="57"/>
  <c r="AA554" i="57" s="1"/>
  <c r="AE553" i="57"/>
  <c r="AA553" i="57" s="1"/>
  <c r="AE552" i="57"/>
  <c r="AA552" i="57" s="1"/>
  <c r="AE551" i="57"/>
  <c r="AA551" i="57" s="1"/>
  <c r="AE550" i="57"/>
  <c r="AA550" i="57" s="1"/>
  <c r="AE549" i="57"/>
  <c r="AA549" i="57" s="1"/>
  <c r="AE548" i="57"/>
  <c r="AA548" i="57" s="1"/>
  <c r="AE547" i="57"/>
  <c r="AA547" i="57" s="1"/>
  <c r="AE546" i="57"/>
  <c r="AA546" i="57" s="1"/>
  <c r="AE545" i="57"/>
  <c r="AA545" i="57" s="1"/>
  <c r="AE544" i="57"/>
  <c r="AA544" i="57" s="1"/>
  <c r="AE543" i="57"/>
  <c r="AA543" i="57" s="1"/>
  <c r="AE542" i="57"/>
  <c r="AA542" i="57" s="1"/>
  <c r="AE541" i="57"/>
  <c r="AA541" i="57" s="1"/>
  <c r="AE540" i="57"/>
  <c r="AA540" i="57" s="1"/>
  <c r="AE539" i="57"/>
  <c r="AA539" i="57" s="1"/>
  <c r="AE538" i="57"/>
  <c r="AA538" i="57" s="1"/>
  <c r="AE537" i="57"/>
  <c r="AA537" i="57" s="1"/>
  <c r="AE536" i="57"/>
  <c r="AA536" i="57" s="1"/>
  <c r="AE535" i="57"/>
  <c r="AA535" i="57" s="1"/>
  <c r="AE534" i="57"/>
  <c r="AA534" i="57" s="1"/>
  <c r="AE533" i="57"/>
  <c r="AA533" i="57" s="1"/>
  <c r="AE532" i="57"/>
  <c r="AA532" i="57" s="1"/>
  <c r="AE531" i="57"/>
  <c r="AA531" i="57" s="1"/>
  <c r="AE530" i="57"/>
  <c r="AA530" i="57" s="1"/>
  <c r="AE529" i="57"/>
  <c r="AA529" i="57" s="1"/>
  <c r="AE528" i="57"/>
  <c r="AA528" i="57" s="1"/>
  <c r="AE527" i="57"/>
  <c r="AA527" i="57" s="1"/>
  <c r="AE526" i="57"/>
  <c r="AA526" i="57" s="1"/>
  <c r="AE525" i="57"/>
  <c r="AA525" i="57" s="1"/>
  <c r="AE524" i="57"/>
  <c r="AA524" i="57" s="1"/>
  <c r="AE523" i="57"/>
  <c r="AA523" i="57" s="1"/>
  <c r="AE522" i="57"/>
  <c r="AA522" i="57" s="1"/>
  <c r="AE521" i="57"/>
  <c r="AA521" i="57" s="1"/>
  <c r="AE520" i="57"/>
  <c r="AA520" i="57" s="1"/>
  <c r="AE519" i="57"/>
  <c r="AA519" i="57" s="1"/>
  <c r="AE518" i="57"/>
  <c r="AA518" i="57" s="1"/>
  <c r="AE517" i="57"/>
  <c r="AA517" i="57" s="1"/>
  <c r="AE516" i="57"/>
  <c r="AA516" i="57" s="1"/>
  <c r="AE515" i="57"/>
  <c r="AA515" i="57" s="1"/>
  <c r="AE514" i="57"/>
  <c r="AA514" i="57" s="1"/>
  <c r="AE513" i="57"/>
  <c r="AA513" i="57" s="1"/>
  <c r="AE512" i="57"/>
  <c r="AA512" i="57" s="1"/>
  <c r="AE511" i="57"/>
  <c r="AA511" i="57" s="1"/>
  <c r="AE510" i="57"/>
  <c r="AA510" i="57" s="1"/>
  <c r="AE509" i="57"/>
  <c r="AA509" i="57" s="1"/>
  <c r="AE508" i="57"/>
  <c r="AA508" i="57" s="1"/>
  <c r="AE507" i="57"/>
  <c r="AA507" i="57" s="1"/>
  <c r="AE506" i="57"/>
  <c r="AA506" i="57" s="1"/>
  <c r="AE505" i="57"/>
  <c r="AA505" i="57" s="1"/>
  <c r="AE504" i="57"/>
  <c r="AA504" i="57" s="1"/>
  <c r="AE503" i="57"/>
  <c r="AA503" i="57" s="1"/>
  <c r="AE502" i="57"/>
  <c r="AA502" i="57" s="1"/>
  <c r="AE501" i="57"/>
  <c r="AA501" i="57" s="1"/>
  <c r="AE500" i="57"/>
  <c r="AA500" i="57" s="1"/>
  <c r="AE499" i="57"/>
  <c r="AA499" i="57" s="1"/>
  <c r="AE498" i="57"/>
  <c r="AA498" i="57" s="1"/>
  <c r="AE497" i="57"/>
  <c r="AA497" i="57" s="1"/>
  <c r="AE496" i="57"/>
  <c r="AA496" i="57" s="1"/>
  <c r="AE495" i="57"/>
  <c r="AA495" i="57" s="1"/>
  <c r="AE494" i="57"/>
  <c r="AA494" i="57" s="1"/>
  <c r="AE493" i="57"/>
  <c r="AA493" i="57" s="1"/>
  <c r="AE492" i="57"/>
  <c r="AA492" i="57" s="1"/>
  <c r="AE491" i="57"/>
  <c r="AA491" i="57" s="1"/>
  <c r="AE490" i="57"/>
  <c r="AA490" i="57" s="1"/>
  <c r="AE489" i="57"/>
  <c r="AA489" i="57" s="1"/>
  <c r="AE488" i="57"/>
  <c r="AA488" i="57" s="1"/>
  <c r="AE487" i="57"/>
  <c r="AA487" i="57" s="1"/>
  <c r="AE486" i="57"/>
  <c r="AA486" i="57" s="1"/>
  <c r="AE485" i="57"/>
  <c r="AA485" i="57" s="1"/>
  <c r="AE484" i="57"/>
  <c r="AA484" i="57" s="1"/>
  <c r="AE483" i="57"/>
  <c r="AA483" i="57" s="1"/>
  <c r="AE482" i="57"/>
  <c r="AA482" i="57" s="1"/>
  <c r="AE481" i="57"/>
  <c r="AA481" i="57" s="1"/>
  <c r="AE480" i="57"/>
  <c r="AA480" i="57" s="1"/>
  <c r="AE479" i="57"/>
  <c r="AA479" i="57" s="1"/>
  <c r="AE478" i="57"/>
  <c r="AA478" i="57" s="1"/>
  <c r="AE477" i="57"/>
  <c r="AA477" i="57" s="1"/>
  <c r="AE476" i="57"/>
  <c r="AA476" i="57" s="1"/>
  <c r="AE475" i="57"/>
  <c r="AA475" i="57" s="1"/>
  <c r="AE474" i="57"/>
  <c r="AA474" i="57" s="1"/>
  <c r="AE473" i="57"/>
  <c r="AA473" i="57" s="1"/>
  <c r="AE472" i="57"/>
  <c r="AA472" i="57" s="1"/>
  <c r="AE471" i="57"/>
  <c r="AA471" i="57" s="1"/>
  <c r="AE470" i="57"/>
  <c r="AA470" i="57" s="1"/>
  <c r="AE469" i="57"/>
  <c r="AA469" i="57" s="1"/>
  <c r="AE468" i="57"/>
  <c r="AA468" i="57" s="1"/>
  <c r="AE467" i="57"/>
  <c r="AA467" i="57" s="1"/>
  <c r="AE466" i="57"/>
  <c r="AA466" i="57" s="1"/>
  <c r="AE465" i="57"/>
  <c r="AA465" i="57" s="1"/>
  <c r="AE464" i="57"/>
  <c r="AA464" i="57" s="1"/>
  <c r="AE463" i="57"/>
  <c r="AA463" i="57" s="1"/>
  <c r="AE462" i="57"/>
  <c r="AA462" i="57" s="1"/>
  <c r="AE461" i="57"/>
  <c r="AA461" i="57" s="1"/>
  <c r="AE460" i="57"/>
  <c r="AA460" i="57" s="1"/>
  <c r="AE459" i="57"/>
  <c r="AA459" i="57" s="1"/>
  <c r="AE458" i="57"/>
  <c r="AA458" i="57" s="1"/>
  <c r="AE457" i="57"/>
  <c r="AA457" i="57" s="1"/>
  <c r="AE456" i="57"/>
  <c r="AA456" i="57" s="1"/>
  <c r="AE455" i="57"/>
  <c r="AA455" i="57" s="1"/>
  <c r="AE454" i="57"/>
  <c r="AA454" i="57" s="1"/>
  <c r="AE453" i="57"/>
  <c r="AA453" i="57" s="1"/>
  <c r="AE452" i="57"/>
  <c r="AA452" i="57" s="1"/>
  <c r="AE451" i="57"/>
  <c r="AA451" i="57" s="1"/>
  <c r="AE450" i="57"/>
  <c r="AA450" i="57" s="1"/>
  <c r="AE449" i="57"/>
  <c r="AA449" i="57" s="1"/>
  <c r="AE448" i="57"/>
  <c r="AA448" i="57" s="1"/>
  <c r="AE447" i="57"/>
  <c r="AA447" i="57" s="1"/>
  <c r="AE446" i="57"/>
  <c r="AA446" i="57" s="1"/>
  <c r="AE445" i="57"/>
  <c r="AA445" i="57" s="1"/>
  <c r="AE444" i="57"/>
  <c r="AA444" i="57" s="1"/>
  <c r="AE443" i="57"/>
  <c r="AA443" i="57" s="1"/>
  <c r="AE442" i="57"/>
  <c r="AA442" i="57" s="1"/>
  <c r="AE441" i="57"/>
  <c r="AA441" i="57" s="1"/>
  <c r="AE440" i="57"/>
  <c r="AA440" i="57" s="1"/>
  <c r="AE439" i="57"/>
  <c r="AA439" i="57" s="1"/>
  <c r="AE438" i="57"/>
  <c r="AA438" i="57" s="1"/>
  <c r="AE437" i="57"/>
  <c r="AA437" i="57" s="1"/>
  <c r="AE436" i="57"/>
  <c r="AA436" i="57" s="1"/>
  <c r="AE435" i="57"/>
  <c r="AA435" i="57" s="1"/>
  <c r="AE434" i="57"/>
  <c r="AA434" i="57" s="1"/>
  <c r="AE433" i="57"/>
  <c r="AA433" i="57" s="1"/>
  <c r="AE432" i="57"/>
  <c r="AA432" i="57" s="1"/>
  <c r="AE431" i="57"/>
  <c r="AA431" i="57" s="1"/>
  <c r="AE430" i="57"/>
  <c r="AA430" i="57" s="1"/>
  <c r="AE429" i="57"/>
  <c r="AA429" i="57" s="1"/>
  <c r="AE428" i="57"/>
  <c r="AA428" i="57" s="1"/>
  <c r="AE427" i="57"/>
  <c r="AA427" i="57" s="1"/>
  <c r="AE426" i="57"/>
  <c r="AA426" i="57" s="1"/>
  <c r="AE425" i="57"/>
  <c r="AA425" i="57" s="1"/>
  <c r="AE424" i="57"/>
  <c r="AA424" i="57" s="1"/>
  <c r="AE423" i="57"/>
  <c r="AA423" i="57" s="1"/>
  <c r="AE422" i="57"/>
  <c r="AA422" i="57" s="1"/>
  <c r="AE421" i="57"/>
  <c r="AA421" i="57" s="1"/>
  <c r="AE420" i="57"/>
  <c r="AA420" i="57" s="1"/>
  <c r="AE419" i="57"/>
  <c r="AA419" i="57" s="1"/>
  <c r="AE418" i="57"/>
  <c r="AA418" i="57" s="1"/>
  <c r="AE417" i="57"/>
  <c r="AA417" i="57" s="1"/>
  <c r="AE416" i="57"/>
  <c r="AA416" i="57" s="1"/>
  <c r="AE415" i="57"/>
  <c r="AA415" i="57" s="1"/>
  <c r="AE414" i="57"/>
  <c r="AA414" i="57" s="1"/>
  <c r="AE413" i="57"/>
  <c r="AA413" i="57" s="1"/>
  <c r="AE412" i="57"/>
  <c r="AA412" i="57" s="1"/>
  <c r="AE411" i="57"/>
  <c r="AA411" i="57" s="1"/>
  <c r="AE410" i="57"/>
  <c r="AA410" i="57" s="1"/>
  <c r="AE409" i="57"/>
  <c r="AA409" i="57" s="1"/>
  <c r="AE408" i="57"/>
  <c r="AA408" i="57" s="1"/>
  <c r="AE407" i="57"/>
  <c r="AA407" i="57" s="1"/>
  <c r="AE406" i="57"/>
  <c r="AA406" i="57" s="1"/>
  <c r="AE405" i="57"/>
  <c r="AA405" i="57" s="1"/>
  <c r="AE404" i="57"/>
  <c r="AA404" i="57" s="1"/>
  <c r="AE403" i="57"/>
  <c r="AA403" i="57" s="1"/>
  <c r="AE402" i="57"/>
  <c r="AA402" i="57" s="1"/>
  <c r="AE401" i="57"/>
  <c r="AA401" i="57" s="1"/>
  <c r="AE400" i="57"/>
  <c r="AA400" i="57" s="1"/>
  <c r="AE399" i="57"/>
  <c r="AA399" i="57" s="1"/>
  <c r="AE398" i="57"/>
  <c r="AA398" i="57" s="1"/>
  <c r="AE397" i="57"/>
  <c r="AA397" i="57" s="1"/>
  <c r="AE396" i="57"/>
  <c r="AA396" i="57" s="1"/>
  <c r="AE395" i="57"/>
  <c r="AA395" i="57" s="1"/>
  <c r="AE394" i="57"/>
  <c r="AA394" i="57" s="1"/>
  <c r="AE393" i="57"/>
  <c r="AA393" i="57" s="1"/>
  <c r="AE392" i="57"/>
  <c r="AA392" i="57" s="1"/>
  <c r="AE391" i="57"/>
  <c r="AA391" i="57" s="1"/>
  <c r="AE390" i="57"/>
  <c r="AA390" i="57" s="1"/>
  <c r="AE389" i="57"/>
  <c r="AA389" i="57" s="1"/>
  <c r="AE388" i="57"/>
  <c r="AA388" i="57" s="1"/>
  <c r="AE387" i="57"/>
  <c r="AA387" i="57" s="1"/>
  <c r="AE386" i="57"/>
  <c r="AA386" i="57" s="1"/>
  <c r="AE385" i="57"/>
  <c r="AA385" i="57" s="1"/>
  <c r="AE384" i="57"/>
  <c r="AA384" i="57" s="1"/>
  <c r="AE383" i="57"/>
  <c r="AA383" i="57" s="1"/>
  <c r="AE382" i="57"/>
  <c r="AA382" i="57" s="1"/>
  <c r="AE381" i="57"/>
  <c r="AA381" i="57" s="1"/>
  <c r="AE380" i="57"/>
  <c r="AA380" i="57" s="1"/>
  <c r="AE379" i="57"/>
  <c r="AA379" i="57" s="1"/>
  <c r="AE378" i="57"/>
  <c r="AA378" i="57" s="1"/>
  <c r="AE377" i="57"/>
  <c r="AA377" i="57" s="1"/>
  <c r="AE376" i="57"/>
  <c r="AA376" i="57" s="1"/>
  <c r="AE375" i="57"/>
  <c r="AA375" i="57" s="1"/>
  <c r="AE374" i="57"/>
  <c r="AA374" i="57" s="1"/>
  <c r="AE373" i="57"/>
  <c r="AA373" i="57" s="1"/>
  <c r="AE372" i="57"/>
  <c r="AA372" i="57" s="1"/>
  <c r="AE371" i="57"/>
  <c r="AA371" i="57" s="1"/>
  <c r="AE370" i="57"/>
  <c r="AA370" i="57" s="1"/>
  <c r="AE369" i="57"/>
  <c r="AA369" i="57" s="1"/>
  <c r="AE368" i="57"/>
  <c r="AA368" i="57" s="1"/>
  <c r="AE367" i="57"/>
  <c r="AA367" i="57" s="1"/>
  <c r="AE366" i="57"/>
  <c r="AA366" i="57" s="1"/>
  <c r="AE365" i="57"/>
  <c r="AA365" i="57" s="1"/>
  <c r="AE364" i="57"/>
  <c r="AA364" i="57" s="1"/>
  <c r="AE363" i="57"/>
  <c r="AA363" i="57" s="1"/>
  <c r="AE362" i="57"/>
  <c r="AA362" i="57" s="1"/>
  <c r="AE361" i="57"/>
  <c r="AA361" i="57" s="1"/>
  <c r="AE360" i="57"/>
  <c r="AA360" i="57" s="1"/>
  <c r="AE359" i="57"/>
  <c r="AA359" i="57" s="1"/>
  <c r="AE358" i="57"/>
  <c r="AA358" i="57" s="1"/>
  <c r="AE357" i="57"/>
  <c r="AA357" i="57" s="1"/>
  <c r="AE356" i="57"/>
  <c r="AA356" i="57" s="1"/>
  <c r="AE355" i="57"/>
  <c r="AA355" i="57" s="1"/>
  <c r="AE354" i="57"/>
  <c r="AA354" i="57" s="1"/>
  <c r="AE353" i="57"/>
  <c r="AA353" i="57" s="1"/>
  <c r="AE352" i="57"/>
  <c r="AA352" i="57" s="1"/>
  <c r="AE351" i="57"/>
  <c r="AA351" i="57" s="1"/>
  <c r="AE350" i="57"/>
  <c r="AA350" i="57" s="1"/>
  <c r="AE349" i="57"/>
  <c r="AA349" i="57" s="1"/>
  <c r="AE348" i="57"/>
  <c r="AA348" i="57" s="1"/>
  <c r="AE347" i="57"/>
  <c r="AA347" i="57" s="1"/>
  <c r="AE346" i="57"/>
  <c r="AA346" i="57" s="1"/>
  <c r="AE345" i="57"/>
  <c r="AA345" i="57" s="1"/>
  <c r="AE344" i="57"/>
  <c r="AA344" i="57" s="1"/>
  <c r="AE343" i="57"/>
  <c r="AA343" i="57" s="1"/>
  <c r="AE342" i="57"/>
  <c r="AA342" i="57" s="1"/>
  <c r="AE341" i="57"/>
  <c r="AA341" i="57" s="1"/>
  <c r="AE340" i="57"/>
  <c r="AA340" i="57" s="1"/>
  <c r="AE339" i="57"/>
  <c r="AA339" i="57" s="1"/>
  <c r="AE338" i="57"/>
  <c r="AA338" i="57" s="1"/>
  <c r="AE337" i="57"/>
  <c r="AA337" i="57" s="1"/>
  <c r="AE336" i="57"/>
  <c r="AA336" i="57" s="1"/>
  <c r="AE335" i="57"/>
  <c r="AA335" i="57" s="1"/>
  <c r="AE334" i="57"/>
  <c r="AA334" i="57" s="1"/>
  <c r="AE333" i="57"/>
  <c r="AA333" i="57" s="1"/>
  <c r="AE332" i="57"/>
  <c r="AA332" i="57" s="1"/>
  <c r="AE331" i="57"/>
  <c r="AA331" i="57" s="1"/>
  <c r="AE330" i="57"/>
  <c r="AA330" i="57" s="1"/>
  <c r="AE329" i="57"/>
  <c r="AA329" i="57" s="1"/>
  <c r="AE328" i="57"/>
  <c r="AA328" i="57" s="1"/>
  <c r="AE327" i="57"/>
  <c r="AA327" i="57" s="1"/>
  <c r="AE326" i="57"/>
  <c r="AA326" i="57" s="1"/>
  <c r="AE325" i="57"/>
  <c r="AA325" i="57" s="1"/>
  <c r="AE324" i="57"/>
  <c r="AA324" i="57" s="1"/>
  <c r="AE323" i="57"/>
  <c r="AA323" i="57" s="1"/>
  <c r="AE322" i="57"/>
  <c r="AA322" i="57" s="1"/>
  <c r="AE321" i="57"/>
  <c r="AA321" i="57" s="1"/>
  <c r="AE320" i="57"/>
  <c r="AA320" i="57" s="1"/>
  <c r="AE319" i="57"/>
  <c r="AA319" i="57" s="1"/>
  <c r="AE318" i="57"/>
  <c r="AA318" i="57" s="1"/>
  <c r="AE317" i="57"/>
  <c r="AA317" i="57" s="1"/>
  <c r="AE316" i="57"/>
  <c r="AA316" i="57" s="1"/>
  <c r="AE315" i="57"/>
  <c r="AA315" i="57" s="1"/>
  <c r="AE314" i="57"/>
  <c r="AA314" i="57" s="1"/>
  <c r="AE313" i="57"/>
  <c r="AA313" i="57" s="1"/>
  <c r="AE312" i="57"/>
  <c r="AA312" i="57" s="1"/>
  <c r="AE311" i="57"/>
  <c r="AA311" i="57" s="1"/>
  <c r="AE310" i="57"/>
  <c r="AA310" i="57" s="1"/>
  <c r="AE309" i="57"/>
  <c r="AA309" i="57" s="1"/>
  <c r="AE308" i="57"/>
  <c r="AA308" i="57" s="1"/>
  <c r="AE307" i="57"/>
  <c r="AA307" i="57" s="1"/>
  <c r="AE306" i="57"/>
  <c r="AA306" i="57" s="1"/>
  <c r="AE305" i="57"/>
  <c r="AA305" i="57" s="1"/>
  <c r="AE304" i="57"/>
  <c r="AA304" i="57" s="1"/>
  <c r="AE303" i="57"/>
  <c r="AA303" i="57" s="1"/>
  <c r="AE302" i="57"/>
  <c r="AA302" i="57" s="1"/>
  <c r="AE301" i="57"/>
  <c r="AA301" i="57" s="1"/>
  <c r="AE300" i="57"/>
  <c r="AA300" i="57" s="1"/>
  <c r="AE299" i="57"/>
  <c r="AA299" i="57" s="1"/>
  <c r="AE298" i="57"/>
  <c r="AA298" i="57" s="1"/>
  <c r="AE297" i="57"/>
  <c r="AA297" i="57" s="1"/>
  <c r="AE296" i="57"/>
  <c r="AA296" i="57" s="1"/>
  <c r="AE295" i="57"/>
  <c r="AA295" i="57" s="1"/>
  <c r="AE294" i="57"/>
  <c r="AA294" i="57" s="1"/>
  <c r="AE293" i="57"/>
  <c r="AA293" i="57" s="1"/>
  <c r="AE292" i="57"/>
  <c r="AA292" i="57" s="1"/>
  <c r="AE291" i="57"/>
  <c r="AA291" i="57" s="1"/>
  <c r="AE290" i="57"/>
  <c r="AA290" i="57" s="1"/>
  <c r="AE289" i="57"/>
  <c r="AA289" i="57" s="1"/>
  <c r="AE288" i="57"/>
  <c r="AA288" i="57" s="1"/>
  <c r="AE287" i="57"/>
  <c r="AA287" i="57" s="1"/>
  <c r="AE286" i="57"/>
  <c r="AA286" i="57" s="1"/>
  <c r="AE285" i="57"/>
  <c r="AA285" i="57" s="1"/>
  <c r="AE284" i="57"/>
  <c r="AA284" i="57" s="1"/>
  <c r="AE283" i="57"/>
  <c r="AA283" i="57" s="1"/>
  <c r="AE282" i="57"/>
  <c r="AA282" i="57" s="1"/>
  <c r="AE281" i="57"/>
  <c r="AA281" i="57" s="1"/>
  <c r="AE280" i="57"/>
  <c r="AA280" i="57" s="1"/>
  <c r="AE279" i="57"/>
  <c r="AA279" i="57" s="1"/>
  <c r="AE278" i="57"/>
  <c r="AA278" i="57" s="1"/>
  <c r="AE277" i="57"/>
  <c r="AA277" i="57" s="1"/>
  <c r="AE276" i="57"/>
  <c r="AA276" i="57" s="1"/>
  <c r="AE275" i="57"/>
  <c r="AA275" i="57" s="1"/>
  <c r="AE274" i="57"/>
  <c r="AA274" i="57" s="1"/>
  <c r="AE273" i="57"/>
  <c r="AA273" i="57" s="1"/>
  <c r="AE272" i="57"/>
  <c r="AA272" i="57" s="1"/>
  <c r="AE271" i="57"/>
  <c r="AA271" i="57" s="1"/>
  <c r="AE270" i="57"/>
  <c r="AA270" i="57" s="1"/>
  <c r="AE269" i="57"/>
  <c r="AA269" i="57" s="1"/>
  <c r="AE268" i="57"/>
  <c r="AA268" i="57" s="1"/>
  <c r="AE267" i="57"/>
  <c r="AA267" i="57" s="1"/>
  <c r="AE266" i="57"/>
  <c r="AA266" i="57" s="1"/>
  <c r="AE265" i="57"/>
  <c r="AA265" i="57" s="1"/>
  <c r="AE264" i="57"/>
  <c r="AA264" i="57" s="1"/>
  <c r="AE263" i="57"/>
  <c r="AA263" i="57" s="1"/>
  <c r="AE262" i="57"/>
  <c r="AA262" i="57" s="1"/>
  <c r="AE261" i="57"/>
  <c r="AA261" i="57" s="1"/>
  <c r="AE260" i="57"/>
  <c r="AA260" i="57" s="1"/>
  <c r="AE259" i="57"/>
  <c r="AA259" i="57" s="1"/>
  <c r="AE258" i="57"/>
  <c r="AA258" i="57" s="1"/>
  <c r="AE257" i="57"/>
  <c r="AA257" i="57" s="1"/>
  <c r="AE256" i="57"/>
  <c r="AA256" i="57" s="1"/>
  <c r="AE255" i="57"/>
  <c r="AA255" i="57" s="1"/>
  <c r="AE254" i="57"/>
  <c r="AA254" i="57" s="1"/>
  <c r="AE253" i="57"/>
  <c r="AA253" i="57" s="1"/>
  <c r="AE252" i="57"/>
  <c r="AA252" i="57" s="1"/>
  <c r="AE251" i="57"/>
  <c r="AA251" i="57" s="1"/>
  <c r="AE250" i="57"/>
  <c r="AA250" i="57" s="1"/>
  <c r="AE249" i="57"/>
  <c r="AA249" i="57" s="1"/>
  <c r="AE248" i="57"/>
  <c r="AA248" i="57" s="1"/>
  <c r="AE247" i="57"/>
  <c r="AA247" i="57" s="1"/>
  <c r="AE246" i="57"/>
  <c r="AA246" i="57" s="1"/>
  <c r="AE245" i="57"/>
  <c r="AA245" i="57" s="1"/>
  <c r="AE244" i="57"/>
  <c r="AA244" i="57" s="1"/>
  <c r="AE243" i="57"/>
  <c r="AA243" i="57" s="1"/>
  <c r="AE242" i="57"/>
  <c r="AA242" i="57" s="1"/>
  <c r="AE241" i="57"/>
  <c r="AA241" i="57" s="1"/>
  <c r="AE240" i="57"/>
  <c r="AA240" i="57" s="1"/>
  <c r="AE239" i="57"/>
  <c r="AA239" i="57" s="1"/>
  <c r="AE238" i="57"/>
  <c r="AA238" i="57" s="1"/>
  <c r="AE237" i="57"/>
  <c r="AA237" i="57" s="1"/>
  <c r="AE236" i="57"/>
  <c r="AA236" i="57" s="1"/>
  <c r="AE235" i="57"/>
  <c r="AA235" i="57" s="1"/>
  <c r="AE234" i="57"/>
  <c r="AA234" i="57" s="1"/>
  <c r="AE233" i="57"/>
  <c r="AA233" i="57" s="1"/>
  <c r="AE232" i="57"/>
  <c r="AA232" i="57" s="1"/>
  <c r="AE231" i="57"/>
  <c r="AA231" i="57" s="1"/>
  <c r="AE230" i="57"/>
  <c r="AA230" i="57" s="1"/>
  <c r="AE229" i="57"/>
  <c r="AA229" i="57" s="1"/>
  <c r="AE228" i="57"/>
  <c r="AA228" i="57" s="1"/>
  <c r="AE227" i="57"/>
  <c r="AA227" i="57" s="1"/>
  <c r="AE226" i="57"/>
  <c r="AA226" i="57" s="1"/>
  <c r="AE225" i="57"/>
  <c r="AA225" i="57" s="1"/>
  <c r="AE224" i="57"/>
  <c r="AA224" i="57" s="1"/>
  <c r="AE223" i="57"/>
  <c r="AA223" i="57" s="1"/>
  <c r="AE222" i="57"/>
  <c r="AA222" i="57" s="1"/>
  <c r="AE221" i="57"/>
  <c r="AA221" i="57" s="1"/>
  <c r="AE220" i="57"/>
  <c r="AA220" i="57" s="1"/>
  <c r="AE219" i="57"/>
  <c r="AA219" i="57" s="1"/>
  <c r="AE218" i="57"/>
  <c r="AA218" i="57" s="1"/>
  <c r="AE217" i="57"/>
  <c r="AA217" i="57" s="1"/>
  <c r="AE216" i="57"/>
  <c r="AA216" i="57" s="1"/>
  <c r="AE215" i="57"/>
  <c r="AA215" i="57" s="1"/>
  <c r="AE214" i="57"/>
  <c r="AA214" i="57" s="1"/>
  <c r="AE213" i="57"/>
  <c r="AA213" i="57" s="1"/>
  <c r="AE212" i="57"/>
  <c r="AA212" i="57" s="1"/>
  <c r="AE211" i="57"/>
  <c r="AA211" i="57" s="1"/>
  <c r="AE210" i="57"/>
  <c r="AA210" i="57" s="1"/>
  <c r="AE209" i="57"/>
  <c r="AA209" i="57" s="1"/>
  <c r="AE208" i="57"/>
  <c r="AA208" i="57" s="1"/>
  <c r="AE207" i="57"/>
  <c r="AA207" i="57" s="1"/>
  <c r="AE206" i="57"/>
  <c r="AA206" i="57" s="1"/>
  <c r="AE205" i="57"/>
  <c r="AA205" i="57" s="1"/>
  <c r="AE204" i="57"/>
  <c r="AA204" i="57" s="1"/>
  <c r="AE203" i="57"/>
  <c r="AA203" i="57" s="1"/>
  <c r="AE202" i="57"/>
  <c r="AA202" i="57" s="1"/>
  <c r="AE201" i="57"/>
  <c r="AA201" i="57" s="1"/>
  <c r="AE200" i="57"/>
  <c r="AA200" i="57" s="1"/>
  <c r="AE199" i="57"/>
  <c r="AA199" i="57" s="1"/>
  <c r="AE198" i="57"/>
  <c r="AA198" i="57" s="1"/>
  <c r="AE197" i="57"/>
  <c r="AA197" i="57" s="1"/>
  <c r="AE196" i="57"/>
  <c r="AA196" i="57" s="1"/>
  <c r="AE195" i="57"/>
  <c r="AA195" i="57" s="1"/>
  <c r="AE194" i="57"/>
  <c r="AA194" i="57" s="1"/>
  <c r="AE193" i="57"/>
  <c r="AA193" i="57" s="1"/>
  <c r="AE192" i="57"/>
  <c r="AA192" i="57" s="1"/>
  <c r="AE191" i="57"/>
  <c r="AA191" i="57" s="1"/>
  <c r="AE190" i="57"/>
  <c r="AA190" i="57" s="1"/>
  <c r="AE189" i="57"/>
  <c r="AA189" i="57" s="1"/>
  <c r="AE188" i="57"/>
  <c r="AA188" i="57" s="1"/>
  <c r="AE187" i="57"/>
  <c r="AA187" i="57" s="1"/>
  <c r="AE186" i="57"/>
  <c r="AA186" i="57" s="1"/>
  <c r="AE185" i="57"/>
  <c r="AA185" i="57" s="1"/>
  <c r="AE184" i="57"/>
  <c r="AA184" i="57" s="1"/>
  <c r="AE183" i="57"/>
  <c r="AA183" i="57" s="1"/>
  <c r="AE182" i="57"/>
  <c r="AA182" i="57" s="1"/>
  <c r="AE181" i="57"/>
  <c r="AA181" i="57" s="1"/>
  <c r="AE180" i="57"/>
  <c r="AA180" i="57" s="1"/>
  <c r="AE179" i="57"/>
  <c r="AA179" i="57" s="1"/>
  <c r="AE178" i="57"/>
  <c r="AA178" i="57" s="1"/>
  <c r="AE177" i="57"/>
  <c r="AA177" i="57" s="1"/>
  <c r="AE176" i="57"/>
  <c r="AA176" i="57" s="1"/>
  <c r="AE175" i="57"/>
  <c r="AA175" i="57" s="1"/>
  <c r="AE174" i="57"/>
  <c r="AA174" i="57" s="1"/>
  <c r="AE173" i="57"/>
  <c r="AA173" i="57" s="1"/>
  <c r="AE172" i="57"/>
  <c r="AA172" i="57" s="1"/>
  <c r="AE171" i="57"/>
  <c r="AA171" i="57" s="1"/>
  <c r="AE170" i="57"/>
  <c r="AA170" i="57" s="1"/>
  <c r="AE169" i="57"/>
  <c r="AA169" i="57" s="1"/>
  <c r="AE168" i="57"/>
  <c r="AA168" i="57" s="1"/>
  <c r="AE167" i="57"/>
  <c r="AA167" i="57" s="1"/>
  <c r="AE166" i="57"/>
  <c r="AA166" i="57" s="1"/>
  <c r="AE165" i="57"/>
  <c r="AA165" i="57" s="1"/>
  <c r="AE164" i="57"/>
  <c r="AA164" i="57" s="1"/>
  <c r="AE163" i="57"/>
  <c r="AA163" i="57" s="1"/>
  <c r="AE162" i="57"/>
  <c r="AA162" i="57" s="1"/>
  <c r="AE161" i="57"/>
  <c r="AA161" i="57" s="1"/>
  <c r="AE160" i="57"/>
  <c r="AA160" i="57" s="1"/>
  <c r="AE159" i="57"/>
  <c r="AA159" i="57" s="1"/>
  <c r="AE158" i="57"/>
  <c r="AA158" i="57" s="1"/>
  <c r="AE157" i="57"/>
  <c r="AA157" i="57" s="1"/>
  <c r="AE156" i="57"/>
  <c r="AA156" i="57" s="1"/>
  <c r="AE155" i="57"/>
  <c r="AA155" i="57" s="1"/>
  <c r="AE154" i="57"/>
  <c r="AA154" i="57" s="1"/>
  <c r="AE153" i="57"/>
  <c r="AA153" i="57" s="1"/>
  <c r="AE152" i="57"/>
  <c r="AA152" i="57" s="1"/>
  <c r="AE151" i="57"/>
  <c r="AA151" i="57" s="1"/>
  <c r="AE150" i="57"/>
  <c r="AA150" i="57" s="1"/>
  <c r="AE149" i="57"/>
  <c r="AA149" i="57" s="1"/>
  <c r="AE148" i="57"/>
  <c r="AA148" i="57" s="1"/>
  <c r="AE147" i="57"/>
  <c r="AA147" i="57" s="1"/>
  <c r="AE146" i="57"/>
  <c r="AA146" i="57" s="1"/>
  <c r="AE145" i="57"/>
  <c r="AA145" i="57" s="1"/>
  <c r="AE144" i="57"/>
  <c r="AA144" i="57" s="1"/>
  <c r="AE143" i="57"/>
  <c r="AA143" i="57" s="1"/>
  <c r="AE142" i="57"/>
  <c r="AA142" i="57" s="1"/>
  <c r="AE141" i="57"/>
  <c r="AA141" i="57" s="1"/>
  <c r="AE140" i="57"/>
  <c r="AA140" i="57" s="1"/>
  <c r="AE139" i="57"/>
  <c r="AA139" i="57" s="1"/>
  <c r="AE138" i="57"/>
  <c r="AA138" i="57" s="1"/>
  <c r="AE137" i="57"/>
  <c r="AA137" i="57" s="1"/>
  <c r="AE136" i="57"/>
  <c r="AA136" i="57" s="1"/>
  <c r="AE135" i="57"/>
  <c r="AA135" i="57" s="1"/>
  <c r="AE134" i="57"/>
  <c r="AA134" i="57" s="1"/>
  <c r="AE133" i="57"/>
  <c r="AA133" i="57" s="1"/>
  <c r="AE132" i="57"/>
  <c r="AA132" i="57" s="1"/>
  <c r="AE131" i="57"/>
  <c r="AA131" i="57" s="1"/>
  <c r="AE130" i="57"/>
  <c r="AA130" i="57" s="1"/>
  <c r="AE129" i="57"/>
  <c r="AA129" i="57" s="1"/>
  <c r="AE128" i="57"/>
  <c r="AA128" i="57" s="1"/>
  <c r="AE127" i="57"/>
  <c r="AA127" i="57" s="1"/>
  <c r="AE126" i="57"/>
  <c r="AA126" i="57" s="1"/>
  <c r="AE125" i="57"/>
  <c r="AA125" i="57" s="1"/>
  <c r="AE124" i="57"/>
  <c r="AA124" i="57" s="1"/>
  <c r="AE123" i="57"/>
  <c r="AA123" i="57" s="1"/>
  <c r="AE122" i="57"/>
  <c r="AA122" i="57" s="1"/>
  <c r="AE121" i="57"/>
  <c r="AA121" i="57" s="1"/>
  <c r="AE120" i="57"/>
  <c r="AA120" i="57" s="1"/>
  <c r="AE119" i="57"/>
  <c r="AA119" i="57" s="1"/>
  <c r="AE118" i="57"/>
  <c r="AA118" i="57" s="1"/>
  <c r="AE117" i="57"/>
  <c r="AA117" i="57" s="1"/>
  <c r="AE116" i="57"/>
  <c r="AA116" i="57" s="1"/>
  <c r="AE115" i="57"/>
  <c r="AA115" i="57" s="1"/>
  <c r="AE114" i="57"/>
  <c r="AA114" i="57" s="1"/>
  <c r="AE113" i="57"/>
  <c r="AA113" i="57" s="1"/>
  <c r="AE112" i="57"/>
  <c r="AA112" i="57" s="1"/>
  <c r="AE111" i="57"/>
  <c r="AA111" i="57" s="1"/>
  <c r="AE110" i="57"/>
  <c r="AA110" i="57" s="1"/>
  <c r="AE109" i="57"/>
  <c r="AA109" i="57" s="1"/>
  <c r="AE108" i="57"/>
  <c r="AA108" i="57" s="1"/>
  <c r="AE107" i="57"/>
  <c r="AA107" i="57" s="1"/>
  <c r="AE106" i="57"/>
  <c r="AA106" i="57" s="1"/>
  <c r="AE105" i="57"/>
  <c r="AA105" i="57" s="1"/>
  <c r="AE104" i="57"/>
  <c r="AA104" i="57" s="1"/>
  <c r="AE103" i="57"/>
  <c r="AA103" i="57" s="1"/>
  <c r="AE102" i="57"/>
  <c r="AA102" i="57" s="1"/>
  <c r="AE101" i="57"/>
  <c r="AA101" i="57" s="1"/>
  <c r="AE100" i="57"/>
  <c r="AA100" i="57" s="1"/>
  <c r="AE99" i="57"/>
  <c r="AA99" i="57" s="1"/>
  <c r="AE98" i="57"/>
  <c r="AA98" i="57" s="1"/>
  <c r="AE97" i="57"/>
  <c r="AA97" i="57" s="1"/>
  <c r="AE96" i="57"/>
  <c r="AA96" i="57" s="1"/>
  <c r="AE95" i="57"/>
  <c r="AA95" i="57" s="1"/>
  <c r="AE94" i="57"/>
  <c r="AA94" i="57" s="1"/>
  <c r="AE93" i="57"/>
  <c r="AA93" i="57" s="1"/>
  <c r="AE92" i="57"/>
  <c r="AA92" i="57" s="1"/>
  <c r="AE91" i="57"/>
  <c r="AA91" i="57" s="1"/>
  <c r="AE90" i="57"/>
  <c r="AA90" i="57" s="1"/>
  <c r="AE89" i="57"/>
  <c r="AA89" i="57" s="1"/>
  <c r="AE88" i="57"/>
  <c r="AA88" i="57" s="1"/>
  <c r="AE87" i="57"/>
  <c r="AA87" i="57" s="1"/>
  <c r="AE86" i="57"/>
  <c r="AA86" i="57" s="1"/>
  <c r="AE85" i="57"/>
  <c r="AA85" i="57" s="1"/>
  <c r="AE84" i="57"/>
  <c r="AA84" i="57" s="1"/>
  <c r="AE83" i="57"/>
  <c r="AA83" i="57" s="1"/>
  <c r="AE82" i="57"/>
  <c r="AA82" i="57" s="1"/>
  <c r="AE81" i="57"/>
  <c r="AA81" i="57" s="1"/>
  <c r="AE80" i="57"/>
  <c r="AA80" i="57" s="1"/>
  <c r="AE79" i="57"/>
  <c r="AA79" i="57" s="1"/>
  <c r="AE78" i="57"/>
  <c r="AA78" i="57" s="1"/>
  <c r="AE77" i="57"/>
  <c r="AA77" i="57" s="1"/>
  <c r="AE76" i="57"/>
  <c r="AA76" i="57" s="1"/>
  <c r="AE75" i="57"/>
  <c r="AA75" i="57" s="1"/>
  <c r="AE74" i="57"/>
  <c r="AA74" i="57" s="1"/>
  <c r="AE73" i="57"/>
  <c r="AA73" i="57" s="1"/>
  <c r="AE72" i="57"/>
  <c r="AA72" i="57" s="1"/>
  <c r="AE71" i="57"/>
  <c r="AA71" i="57" s="1"/>
  <c r="AE70" i="57"/>
  <c r="AA70" i="57" s="1"/>
  <c r="AE69" i="57"/>
  <c r="AA69" i="57" s="1"/>
  <c r="AE68" i="57"/>
  <c r="AA68" i="57" s="1"/>
  <c r="AE67" i="57"/>
  <c r="AA67" i="57" s="1"/>
  <c r="AE66" i="57"/>
  <c r="AA66" i="57" s="1"/>
  <c r="AE65" i="57"/>
  <c r="AA65" i="57" s="1"/>
  <c r="AE64" i="57"/>
  <c r="AA64" i="57" s="1"/>
  <c r="AE63" i="57"/>
  <c r="AA63" i="57" s="1"/>
  <c r="AE62" i="57"/>
  <c r="AA62" i="57" s="1"/>
  <c r="AE61" i="57"/>
  <c r="AA61" i="57" s="1"/>
  <c r="AE60" i="57"/>
  <c r="AA60" i="57" s="1"/>
  <c r="AE59" i="57"/>
  <c r="AA59" i="57" s="1"/>
  <c r="AE58" i="57"/>
  <c r="AA58" i="57" s="1"/>
  <c r="AE57" i="57"/>
  <c r="AA57" i="57" s="1"/>
  <c r="AE56" i="57"/>
  <c r="AA56" i="57" s="1"/>
  <c r="AE55" i="57"/>
  <c r="AA55" i="57" s="1"/>
  <c r="AE54" i="57"/>
  <c r="AA54" i="57" s="1"/>
  <c r="AE53" i="57"/>
  <c r="AA53" i="57" s="1"/>
  <c r="AE52" i="57"/>
  <c r="AA52" i="57" s="1"/>
  <c r="AE51" i="57"/>
  <c r="AA51" i="57" s="1"/>
  <c r="AE50" i="57"/>
  <c r="AA50" i="57" s="1"/>
  <c r="AE49" i="57"/>
  <c r="AA49" i="57" s="1"/>
  <c r="AE48" i="57"/>
  <c r="AA48" i="57" s="1"/>
  <c r="AE47" i="57"/>
  <c r="AA47" i="57" s="1"/>
  <c r="AE46" i="57"/>
  <c r="AA46" i="57" s="1"/>
  <c r="AE45" i="57"/>
  <c r="AA45" i="57" s="1"/>
  <c r="AE44" i="57"/>
  <c r="AA44" i="57" s="1"/>
  <c r="AE43" i="57"/>
  <c r="AA43" i="57" s="1"/>
  <c r="AE42" i="57"/>
  <c r="AA42" i="57" s="1"/>
  <c r="AE41" i="57"/>
  <c r="AA41" i="57" s="1"/>
  <c r="AE40" i="57"/>
  <c r="AA40" i="57" s="1"/>
  <c r="AE39" i="57"/>
  <c r="AA39" i="57" s="1"/>
  <c r="AE38" i="57"/>
  <c r="AA38" i="57" s="1"/>
  <c r="AE37" i="57"/>
  <c r="AA37" i="57" s="1"/>
  <c r="AE36" i="57"/>
  <c r="AA36" i="57" s="1"/>
  <c r="AE35" i="57"/>
  <c r="AA35" i="57" s="1"/>
  <c r="AE34" i="57"/>
  <c r="AA34" i="57" s="1"/>
  <c r="AE33" i="57"/>
  <c r="AA33" i="57" s="1"/>
  <c r="AE32" i="57"/>
  <c r="AA32" i="57" s="1"/>
  <c r="AE31" i="57"/>
  <c r="AA31" i="57" s="1"/>
  <c r="AE30" i="57"/>
  <c r="AA30" i="57" s="1"/>
  <c r="AE29" i="57"/>
  <c r="AA29" i="57" s="1"/>
  <c r="AE28" i="57"/>
  <c r="AA28" i="57" s="1"/>
  <c r="AE27" i="57"/>
  <c r="AA27" i="57" s="1"/>
  <c r="AE26" i="57"/>
  <c r="AA26" i="57" s="1"/>
  <c r="AE25" i="57"/>
  <c r="AA25" i="57" s="1"/>
  <c r="AE24" i="57"/>
  <c r="AA24" i="57" s="1"/>
  <c r="AE23" i="57"/>
  <c r="AA23" i="57" s="1"/>
  <c r="AE22" i="57"/>
  <c r="AA22" i="57" s="1"/>
  <c r="AE21" i="57"/>
  <c r="AA21" i="57" s="1"/>
  <c r="AE20" i="57"/>
  <c r="AA20" i="57" s="1"/>
  <c r="AE19" i="57"/>
  <c r="AA19" i="57" s="1"/>
  <c r="AE18" i="57"/>
  <c r="AA18" i="57" s="1"/>
  <c r="AE17" i="57"/>
  <c r="AA17" i="57" s="1"/>
  <c r="AE16" i="57"/>
  <c r="AA16" i="57" s="1"/>
  <c r="AE15" i="57"/>
  <c r="AA15" i="57" s="1"/>
  <c r="AE14" i="57"/>
  <c r="AA14" i="57" s="1"/>
  <c r="AE13" i="57"/>
  <c r="AA13" i="57" s="1"/>
  <c r="AE12" i="57"/>
  <c r="AA12" i="57" s="1"/>
  <c r="AE11" i="57"/>
  <c r="AA11" i="57" s="1"/>
  <c r="AE10" i="57"/>
  <c r="AA10" i="57" s="1"/>
  <c r="AE9" i="57"/>
  <c r="AA9" i="57" s="1"/>
  <c r="AE8" i="57"/>
  <c r="AA8" i="57" s="1"/>
  <c r="AE7" i="57"/>
  <c r="AA7" i="57" s="1"/>
  <c r="AE6" i="57"/>
  <c r="AA6" i="57" s="1"/>
  <c r="AE5" i="57"/>
  <c r="AA5" i="57" s="1"/>
  <c r="AE4" i="57"/>
  <c r="AA4" i="57" s="1"/>
  <c r="AE3" i="57"/>
  <c r="AA3" i="57" s="1"/>
  <c r="AE2" i="57"/>
  <c r="AA2" i="57" s="1"/>
  <c r="Y698" i="56"/>
  <c r="Y699" i="56"/>
  <c r="Y700" i="56"/>
  <c r="Y701" i="56"/>
  <c r="Y702" i="56"/>
  <c r="Y703" i="56"/>
  <c r="Y704" i="56"/>
  <c r="Y705" i="56"/>
  <c r="Y706" i="56"/>
  <c r="Y707" i="56"/>
  <c r="Y708" i="56"/>
  <c r="Y709" i="56"/>
  <c r="Y710" i="56"/>
  <c r="Y711" i="56"/>
  <c r="Y712" i="56"/>
  <c r="Y713" i="56"/>
  <c r="Y714" i="56"/>
  <c r="Y715" i="56"/>
  <c r="Y716" i="56"/>
  <c r="Y717" i="56"/>
  <c r="Y718" i="56"/>
  <c r="Y719" i="56"/>
  <c r="Y720" i="56"/>
  <c r="Y721" i="56"/>
  <c r="Y722" i="56"/>
  <c r="Y723" i="56"/>
  <c r="Y724" i="56"/>
  <c r="Y725" i="56"/>
  <c r="Y726" i="56"/>
  <c r="Y727" i="56"/>
  <c r="Y728" i="56"/>
  <c r="Y729" i="56"/>
  <c r="Y730" i="56"/>
  <c r="Y731" i="56"/>
  <c r="Y732" i="56"/>
  <c r="Y733" i="56"/>
  <c r="Y734" i="56"/>
  <c r="Y735" i="56"/>
  <c r="Y736" i="56"/>
  <c r="Y737" i="56"/>
  <c r="Y738" i="56"/>
  <c r="Y739" i="56"/>
  <c r="Y740" i="56"/>
  <c r="Y741" i="56"/>
  <c r="Y742" i="56"/>
  <c r="Y743" i="56"/>
  <c r="Y744" i="56"/>
  <c r="Y745" i="56"/>
  <c r="Y746" i="56"/>
  <c r="Y747" i="56"/>
  <c r="Y748" i="56"/>
  <c r="Y749" i="56"/>
  <c r="Y750" i="56"/>
  <c r="Y751" i="56"/>
  <c r="Y752" i="56"/>
  <c r="Y753" i="56"/>
  <c r="Y754" i="56"/>
  <c r="Y755" i="56"/>
  <c r="Y756" i="56"/>
  <c r="Y757" i="56"/>
  <c r="Y758" i="56"/>
  <c r="Y759" i="56"/>
  <c r="Y760" i="56"/>
  <c r="Y761" i="56"/>
  <c r="Y762" i="56"/>
  <c r="Y763" i="56"/>
  <c r="Y764" i="56"/>
  <c r="Y765" i="56"/>
  <c r="Y766" i="56"/>
  <c r="Y767" i="56"/>
  <c r="Y768" i="56"/>
  <c r="Y769" i="56"/>
  <c r="Y770" i="56"/>
  <c r="Y771" i="56"/>
  <c r="Y772" i="56"/>
  <c r="Y773" i="56"/>
  <c r="Y774" i="56"/>
  <c r="Y775" i="56"/>
  <c r="Y776" i="56"/>
  <c r="Y777" i="56"/>
  <c r="Y778" i="56"/>
  <c r="Y779" i="56"/>
  <c r="Y780" i="56"/>
  <c r="Y781" i="56"/>
  <c r="Y782" i="56"/>
  <c r="Y783" i="56"/>
  <c r="Y784" i="56"/>
  <c r="Y785" i="56"/>
  <c r="Y786" i="56"/>
  <c r="Y787" i="56"/>
  <c r="Y788" i="56"/>
  <c r="Y789" i="56"/>
  <c r="Y790" i="56"/>
  <c r="Y791" i="56"/>
  <c r="Y792" i="56"/>
  <c r="Y793" i="56"/>
  <c r="Y794" i="56"/>
  <c r="Y795" i="56"/>
  <c r="Y796" i="56"/>
  <c r="Y797" i="56"/>
  <c r="Y798" i="56"/>
  <c r="Y799" i="56"/>
  <c r="Y800" i="56"/>
  <c r="Y801" i="56"/>
  <c r="Y802" i="56"/>
  <c r="Y803" i="56"/>
  <c r="Y804" i="56"/>
  <c r="Y805" i="56"/>
  <c r="Y806" i="56"/>
  <c r="Y807" i="56"/>
  <c r="Y808" i="56"/>
  <c r="Y809" i="56"/>
  <c r="Y810" i="56"/>
  <c r="Y811" i="56"/>
  <c r="Y812" i="56"/>
  <c r="Y813" i="56"/>
  <c r="Y814" i="56"/>
  <c r="Y815" i="56"/>
  <c r="Y816" i="56"/>
  <c r="Y817" i="56"/>
  <c r="Y818" i="56"/>
  <c r="Y819" i="56"/>
  <c r="Y820" i="56"/>
  <c r="Y821" i="56"/>
  <c r="Y822" i="56"/>
  <c r="Y823" i="56"/>
  <c r="Y824" i="56"/>
  <c r="Y825" i="56"/>
  <c r="Y826" i="56"/>
  <c r="Y827" i="56"/>
  <c r="Y828" i="56"/>
  <c r="Y829" i="56"/>
  <c r="Y830" i="56"/>
  <c r="Y831" i="56"/>
  <c r="Y832" i="56"/>
  <c r="Y833" i="56"/>
  <c r="Y834" i="56"/>
  <c r="Y835" i="56"/>
  <c r="Y836" i="56"/>
  <c r="Y837" i="56"/>
  <c r="Y838" i="56"/>
  <c r="Y839" i="56"/>
  <c r="Y840" i="56"/>
  <c r="Y841" i="56"/>
  <c r="Y842" i="56"/>
  <c r="Y843" i="56"/>
  <c r="Y844" i="56"/>
  <c r="Y845" i="56"/>
  <c r="Y846" i="56"/>
  <c r="Y847" i="56"/>
  <c r="Y848" i="56"/>
  <c r="Y849" i="56"/>
  <c r="Y850" i="56"/>
  <c r="Y851" i="56"/>
  <c r="Y852" i="56"/>
  <c r="Y853" i="56"/>
  <c r="Y854" i="56"/>
  <c r="Y855" i="56"/>
  <c r="Y856" i="56"/>
  <c r="Y857" i="56"/>
  <c r="Y858" i="56"/>
  <c r="Y859" i="56"/>
  <c r="Y860" i="56"/>
  <c r="Y861" i="56"/>
  <c r="Y862" i="56"/>
  <c r="Y863" i="56"/>
  <c r="Y864" i="56"/>
  <c r="Y865" i="56"/>
  <c r="Y866" i="56"/>
  <c r="Y867" i="56"/>
  <c r="Y868" i="56"/>
  <c r="Y869" i="56"/>
  <c r="Y870" i="56"/>
  <c r="Y871" i="56"/>
  <c r="Y872" i="56"/>
  <c r="Y873" i="56"/>
  <c r="Y874" i="56"/>
  <c r="Y875" i="56"/>
  <c r="Y876" i="56"/>
  <c r="Y877" i="56"/>
  <c r="Y878" i="56"/>
  <c r="Y879" i="56"/>
  <c r="Y880" i="56"/>
  <c r="Y881" i="56"/>
  <c r="Y882" i="56"/>
  <c r="Y883" i="56"/>
  <c r="Y884" i="56"/>
  <c r="Y885" i="56"/>
  <c r="Y886" i="56"/>
  <c r="Y887" i="56"/>
  <c r="Y888" i="56"/>
  <c r="Y889" i="56"/>
  <c r="Y890" i="56"/>
  <c r="Y891" i="56"/>
  <c r="Y892" i="56"/>
  <c r="Y893" i="56"/>
  <c r="Y894" i="56"/>
  <c r="Y895" i="56"/>
  <c r="Y896" i="56"/>
  <c r="Y897" i="56"/>
  <c r="Y898" i="56"/>
  <c r="Y899" i="56"/>
  <c r="Y900" i="56"/>
  <c r="Y901" i="56"/>
  <c r="Y902" i="56"/>
  <c r="Y903" i="56"/>
  <c r="Y904" i="56"/>
  <c r="Y905" i="56"/>
  <c r="Y906" i="56"/>
  <c r="Y907" i="56"/>
  <c r="Y908" i="56"/>
  <c r="Y909" i="56"/>
  <c r="Y910" i="56"/>
  <c r="Y911" i="56"/>
  <c r="Y912" i="56"/>
  <c r="Y913" i="56"/>
  <c r="Y914" i="56"/>
  <c r="Y915" i="56"/>
  <c r="Y916" i="56"/>
  <c r="Y917" i="56"/>
  <c r="Y918" i="56"/>
  <c r="Y919" i="56"/>
  <c r="Y920" i="56"/>
  <c r="Y921" i="56"/>
  <c r="Y922" i="56"/>
  <c r="Y923" i="56"/>
  <c r="Y924" i="56"/>
  <c r="Y925" i="56"/>
  <c r="Y926" i="56"/>
  <c r="Y927" i="56"/>
  <c r="Y928" i="56"/>
  <c r="Y929" i="56"/>
  <c r="Y930" i="56"/>
  <c r="Y931" i="56"/>
  <c r="Y932" i="56"/>
  <c r="Y933" i="56"/>
  <c r="Y934" i="56"/>
  <c r="Y935" i="56"/>
  <c r="Y936" i="56"/>
  <c r="Y937" i="56"/>
  <c r="Y938" i="56"/>
  <c r="Y939" i="56"/>
  <c r="Y940" i="56"/>
  <c r="Y941" i="56"/>
  <c r="Y942" i="56"/>
  <c r="Y943" i="56"/>
  <c r="Y944" i="56"/>
  <c r="Y945" i="56"/>
  <c r="Y946" i="56"/>
  <c r="Y947" i="56"/>
  <c r="Y948" i="56"/>
  <c r="Y949" i="56"/>
  <c r="Y950" i="56"/>
  <c r="Y951" i="56"/>
  <c r="Y952" i="56"/>
  <c r="Y953" i="56"/>
  <c r="Y954" i="56"/>
  <c r="Y955" i="56"/>
  <c r="Y956" i="56"/>
  <c r="Y957" i="56"/>
  <c r="Y958" i="56"/>
  <c r="Y959" i="56"/>
  <c r="Y960" i="56"/>
  <c r="Y961" i="56"/>
  <c r="Y962" i="56"/>
  <c r="Y963" i="56"/>
  <c r="Y964" i="56"/>
  <c r="Y965" i="56"/>
  <c r="Y966" i="56"/>
  <c r="Y967" i="56"/>
  <c r="Y968" i="56"/>
  <c r="Y969" i="56"/>
  <c r="Y970" i="56"/>
  <c r="Y971" i="56"/>
  <c r="Y972" i="56"/>
  <c r="Y973" i="56"/>
  <c r="Y974" i="56"/>
  <c r="Y975" i="56"/>
  <c r="Y976" i="56"/>
  <c r="Y977" i="56"/>
  <c r="Y978" i="56"/>
  <c r="Y979" i="56"/>
  <c r="Y980" i="56"/>
  <c r="Y981" i="56"/>
  <c r="Y982" i="56"/>
  <c r="Y983" i="56"/>
  <c r="Y984" i="56"/>
  <c r="Y985" i="56"/>
  <c r="Y986" i="56"/>
  <c r="Y987" i="56"/>
  <c r="Y988" i="56"/>
  <c r="Y989" i="56"/>
  <c r="Y990" i="56"/>
  <c r="Y991" i="56"/>
  <c r="Y992" i="56"/>
  <c r="Y993" i="56"/>
  <c r="Y994" i="56"/>
  <c r="Y995" i="56"/>
  <c r="Y996" i="56"/>
  <c r="Y997" i="56"/>
  <c r="Y998" i="56"/>
  <c r="Y999" i="56"/>
  <c r="Y1000" i="56"/>
  <c r="Y1001" i="56"/>
  <c r="Y1002" i="56"/>
  <c r="Y1003" i="56"/>
  <c r="Y1004" i="56"/>
  <c r="Y1005" i="56"/>
  <c r="Y1006" i="56"/>
  <c r="Y1007" i="56"/>
  <c r="Y1008" i="56"/>
  <c r="Y1009" i="56"/>
  <c r="Y1010" i="56"/>
  <c r="Y1011" i="56"/>
  <c r="Y1012" i="56"/>
  <c r="Y1013" i="56"/>
  <c r="Y1014" i="56"/>
  <c r="Y1015" i="56"/>
  <c r="Y1016" i="56"/>
  <c r="Y1017" i="56"/>
  <c r="Y1018" i="56"/>
  <c r="Y1019" i="56"/>
  <c r="Y1020" i="56"/>
  <c r="Y1021" i="56"/>
  <c r="Y1022" i="56"/>
  <c r="Y1023" i="56"/>
  <c r="Y1024" i="56"/>
  <c r="Y1025" i="56"/>
  <c r="Y1026" i="56"/>
  <c r="Y1027" i="56"/>
  <c r="Y1028" i="56"/>
  <c r="Y1029" i="56"/>
  <c r="Y1030" i="56"/>
  <c r="Y1031" i="56"/>
  <c r="Y1032" i="56"/>
  <c r="Y1033" i="56"/>
  <c r="Y1034" i="56"/>
  <c r="Y1035" i="56"/>
  <c r="Y1036" i="56"/>
  <c r="Y1037" i="56"/>
  <c r="Y1038" i="56"/>
  <c r="Y1039" i="56"/>
  <c r="Y1040" i="56"/>
  <c r="Y1041" i="56"/>
  <c r="Y1042" i="56"/>
  <c r="Y1043" i="56"/>
  <c r="Y1044" i="56"/>
  <c r="Y1045" i="56"/>
  <c r="Y1046" i="56"/>
  <c r="Y1047" i="56"/>
  <c r="Y1048" i="56"/>
  <c r="Y1049" i="56"/>
  <c r="Y1050" i="56"/>
  <c r="Y1051" i="56"/>
  <c r="Y1052" i="56"/>
  <c r="Y1053" i="56"/>
  <c r="Y1054" i="56"/>
  <c r="Y1055" i="56"/>
  <c r="Y1056" i="56"/>
  <c r="Y1057" i="56"/>
  <c r="Y1058" i="56"/>
  <c r="Y1059" i="56"/>
  <c r="Y1060" i="56"/>
  <c r="Y1061" i="56"/>
  <c r="Y1062" i="56"/>
  <c r="Y1063" i="56"/>
  <c r="Y1064" i="56"/>
  <c r="Y1065" i="56"/>
  <c r="Y1066" i="56"/>
  <c r="Y1067" i="56"/>
  <c r="Y1068" i="56"/>
  <c r="Y1069" i="56"/>
  <c r="Y1070" i="56"/>
  <c r="Y1071" i="56"/>
  <c r="Y1072" i="56"/>
  <c r="Y1073" i="56"/>
  <c r="Y1074" i="56"/>
  <c r="Y1075" i="56"/>
  <c r="Y1076" i="56"/>
  <c r="Y1077" i="56"/>
  <c r="Y1078" i="56"/>
  <c r="Y1079" i="56"/>
  <c r="Y1080" i="56"/>
  <c r="Y1081" i="56"/>
  <c r="Y1082" i="56"/>
  <c r="Y1083" i="56"/>
  <c r="Y1084" i="56"/>
  <c r="Y1085" i="56"/>
  <c r="Y1086" i="56"/>
  <c r="Y1087" i="56"/>
  <c r="Y1088" i="56"/>
  <c r="Y1089" i="56"/>
  <c r="Y1090" i="56"/>
  <c r="Y1091" i="56"/>
  <c r="Y1092" i="56"/>
  <c r="Y1093" i="56"/>
  <c r="Y1094" i="56"/>
  <c r="Y1095" i="56"/>
  <c r="Y1096" i="56"/>
  <c r="Y1097" i="56"/>
  <c r="Y1098" i="56"/>
  <c r="Y1099" i="56"/>
  <c r="Y1100" i="56"/>
  <c r="Y1101" i="56"/>
  <c r="Y1102" i="56"/>
  <c r="Y1103" i="56"/>
  <c r="Y1104" i="56"/>
  <c r="Y1105" i="56"/>
  <c r="Y1106" i="56"/>
  <c r="Y1107" i="56"/>
  <c r="Y1108" i="56"/>
  <c r="Y1109" i="56"/>
  <c r="Y1110" i="56"/>
  <c r="Y1111" i="56"/>
  <c r="Y1112" i="56"/>
  <c r="Y1113" i="56"/>
  <c r="Y1114" i="56"/>
  <c r="Y1115" i="56"/>
  <c r="Y1116" i="56"/>
  <c r="Y1117" i="56"/>
  <c r="Y1118" i="56"/>
  <c r="Y1119" i="56"/>
  <c r="Y1120" i="56"/>
  <c r="Y1121" i="56"/>
  <c r="Y1122" i="56"/>
  <c r="Y1123" i="56"/>
  <c r="Y1124" i="56"/>
  <c r="Y1125" i="56"/>
  <c r="Y1126" i="56"/>
  <c r="Y1127" i="56"/>
  <c r="Y1128" i="56"/>
  <c r="Y1129" i="56"/>
  <c r="Y1130" i="56"/>
  <c r="Y1131" i="56"/>
  <c r="Y1132" i="56"/>
  <c r="Y1133" i="56"/>
  <c r="Y1134" i="56"/>
  <c r="Y1135" i="56"/>
  <c r="Y1136" i="56"/>
  <c r="Y1137" i="56"/>
  <c r="Y1138" i="56"/>
  <c r="Y1139" i="56"/>
  <c r="Y1140" i="56"/>
  <c r="Y1141" i="56"/>
  <c r="Y1142" i="56"/>
  <c r="Y1143" i="56"/>
  <c r="Y1144" i="56"/>
  <c r="Y1145" i="56"/>
  <c r="Y1146" i="56"/>
  <c r="Y1147" i="56"/>
  <c r="Y1148" i="56"/>
  <c r="Y1149" i="56"/>
  <c r="Y1150" i="56"/>
  <c r="Y1151" i="56"/>
  <c r="Y1152" i="56"/>
  <c r="Y1153" i="56"/>
  <c r="Y1154" i="56"/>
  <c r="Y1155" i="56"/>
  <c r="Y1156" i="56"/>
  <c r="Y1157" i="56"/>
  <c r="Y1158" i="56"/>
  <c r="Y1159" i="56"/>
  <c r="Y1160" i="56"/>
  <c r="Y1161" i="56"/>
  <c r="Y1162" i="56"/>
  <c r="Y1163" i="56"/>
  <c r="Y1164" i="56"/>
  <c r="Y1165" i="56"/>
  <c r="Y1166" i="56"/>
  <c r="Y1167" i="56"/>
  <c r="Y1168" i="56"/>
  <c r="Y1169" i="56"/>
  <c r="Y1170" i="56"/>
  <c r="Y1171" i="56"/>
  <c r="Y1172" i="56"/>
  <c r="Y1173" i="56"/>
  <c r="Y1174" i="56"/>
  <c r="Y1175" i="56"/>
  <c r="Y1176" i="56"/>
  <c r="Y1177" i="56"/>
  <c r="Y1178" i="56"/>
  <c r="Y1179" i="56"/>
  <c r="Y1180" i="56"/>
  <c r="Y1181" i="56"/>
  <c r="Y1182" i="56"/>
  <c r="Y1183" i="56"/>
  <c r="Y1184" i="56"/>
  <c r="Y1185" i="56"/>
  <c r="Y1186" i="56"/>
  <c r="Y1187" i="56"/>
  <c r="Y1188" i="56"/>
  <c r="Y1189" i="56"/>
  <c r="Y1190" i="56"/>
  <c r="Y1191" i="56"/>
  <c r="Y1192" i="56"/>
  <c r="Y1193" i="56"/>
  <c r="Y1194" i="56"/>
  <c r="Y1195" i="56"/>
  <c r="Y1196" i="56"/>
  <c r="Y1197" i="56"/>
  <c r="Y1198" i="56"/>
  <c r="Y1199" i="56"/>
  <c r="Y1200" i="56"/>
  <c r="Y1201" i="56"/>
  <c r="Y1202" i="56"/>
  <c r="Y1203" i="56"/>
  <c r="Y1204" i="56"/>
  <c r="Y1205" i="56"/>
  <c r="Y1206" i="56"/>
  <c r="Y1207" i="56"/>
  <c r="Y1208" i="56"/>
  <c r="Y1209" i="56"/>
  <c r="Y1210" i="56"/>
  <c r="Y1211" i="56"/>
  <c r="Y1212" i="56"/>
  <c r="Y1213" i="56"/>
  <c r="Y1214" i="56"/>
  <c r="Y1215" i="56"/>
  <c r="Y1216" i="56"/>
  <c r="Y1217" i="56"/>
  <c r="Y1218" i="56"/>
  <c r="Y1219" i="56"/>
  <c r="Y1220" i="56"/>
  <c r="Y1221" i="56"/>
  <c r="Y1222" i="56"/>
  <c r="Y1223" i="56"/>
  <c r="Y1224" i="56"/>
  <c r="Y1225" i="56"/>
  <c r="Y1226" i="56"/>
  <c r="Y1227" i="56"/>
  <c r="Y1228" i="56"/>
  <c r="Y1229" i="56"/>
  <c r="Y1230" i="56"/>
  <c r="Y1231" i="56"/>
  <c r="Y1232" i="56"/>
  <c r="Y1233" i="56"/>
  <c r="Y1234" i="56"/>
  <c r="Y1235" i="56"/>
  <c r="Y1236" i="56"/>
  <c r="Y1237" i="56"/>
  <c r="Y1238" i="56"/>
  <c r="Y1239" i="56"/>
  <c r="Y1240" i="56"/>
  <c r="Y1241" i="56"/>
  <c r="Y1242" i="56"/>
  <c r="Y1243" i="56"/>
  <c r="Y1244" i="56"/>
  <c r="Y1245" i="56"/>
  <c r="Y1246" i="56"/>
  <c r="Y1247" i="56"/>
  <c r="Y1248" i="56"/>
  <c r="Y1249" i="56"/>
  <c r="Y1250" i="56"/>
  <c r="Y1251" i="56"/>
  <c r="Y1252" i="56"/>
  <c r="Y1253" i="56"/>
  <c r="Y1254" i="56"/>
  <c r="Y1255" i="56"/>
  <c r="Y1256" i="56"/>
  <c r="Y1257" i="56"/>
  <c r="Y1258" i="56"/>
  <c r="Y1259" i="56"/>
  <c r="Y1260" i="56"/>
  <c r="Y1261" i="56"/>
  <c r="Y1262" i="56"/>
  <c r="Y1263" i="56"/>
  <c r="Y1264" i="56"/>
  <c r="Y1265" i="56"/>
  <c r="Y1266" i="56"/>
  <c r="Y1267" i="56"/>
  <c r="Y1268" i="56"/>
  <c r="Y1269" i="56"/>
  <c r="Y1270" i="56"/>
  <c r="Y1271" i="56"/>
  <c r="Y1272" i="56"/>
  <c r="Y1273" i="56"/>
  <c r="Y1274" i="56"/>
  <c r="Y1275" i="56"/>
  <c r="Y1276" i="56"/>
  <c r="Y1277" i="56"/>
  <c r="Y1278" i="56"/>
  <c r="Y1279" i="56"/>
  <c r="Y1280" i="56"/>
  <c r="Y1281" i="56"/>
  <c r="Y1282" i="56"/>
  <c r="Y1283" i="56"/>
  <c r="Y1284" i="56"/>
  <c r="Y1285" i="56"/>
  <c r="Y1286" i="56"/>
  <c r="Y1287" i="56"/>
  <c r="Y1288" i="56"/>
  <c r="Y1289" i="56"/>
  <c r="Y1290" i="56"/>
  <c r="Y1291" i="56"/>
  <c r="Y1292" i="56"/>
  <c r="Y1293" i="56"/>
  <c r="Y1294" i="56"/>
  <c r="Y1295" i="56"/>
  <c r="Y1296" i="56"/>
  <c r="Y1297" i="56"/>
  <c r="Y1298" i="56"/>
  <c r="Y1299" i="56"/>
  <c r="Y1300" i="56"/>
  <c r="Y1301" i="56"/>
  <c r="Y1302" i="56"/>
  <c r="Y1303" i="56"/>
  <c r="Y1304" i="56"/>
  <c r="Y1305" i="56"/>
  <c r="Y1306" i="56"/>
  <c r="Y1307" i="56"/>
  <c r="Y1308" i="56"/>
  <c r="Y1309" i="56"/>
  <c r="Y1310" i="56"/>
  <c r="Y1311" i="56"/>
  <c r="Y1312" i="56"/>
  <c r="Y1313" i="56"/>
  <c r="Y1314" i="56"/>
  <c r="Y1315" i="56"/>
  <c r="Y1316" i="56"/>
  <c r="Y1317" i="56"/>
  <c r="Y1318" i="56"/>
  <c r="Y1319" i="56"/>
  <c r="Y1320" i="56"/>
  <c r="Y1321" i="56"/>
  <c r="Y1322" i="56"/>
  <c r="Y1323" i="56"/>
  <c r="Y1324" i="56"/>
  <c r="Y1325" i="56"/>
  <c r="Y1326" i="56"/>
  <c r="Y1327" i="56"/>
  <c r="Y1328" i="56"/>
  <c r="Y1329" i="56"/>
  <c r="Y1330" i="56"/>
  <c r="Y1331" i="56"/>
  <c r="Y1332" i="56"/>
  <c r="Y1333" i="56"/>
  <c r="Y1334" i="56"/>
  <c r="Y1335" i="56"/>
  <c r="Y1336" i="56"/>
  <c r="Y1337" i="56"/>
  <c r="Y1338" i="56"/>
  <c r="Y1339" i="56"/>
  <c r="Y1340" i="56"/>
  <c r="Y1341" i="56"/>
  <c r="Y1342" i="56"/>
  <c r="Y1343" i="56"/>
  <c r="Y1344" i="56"/>
  <c r="Y1345" i="56"/>
  <c r="Y1346" i="56"/>
  <c r="Y1347" i="56"/>
  <c r="Y1348" i="56"/>
  <c r="Y1349" i="56"/>
  <c r="Y1350" i="56"/>
  <c r="Y1351" i="56"/>
  <c r="Y1352" i="56"/>
  <c r="Y1353" i="56"/>
  <c r="Y1354" i="56"/>
  <c r="Y1355" i="56"/>
  <c r="Y1356" i="56"/>
  <c r="Y1357" i="56"/>
  <c r="Y1358" i="56"/>
  <c r="Y1359" i="56"/>
  <c r="Y1360" i="56"/>
  <c r="Y1361" i="56"/>
  <c r="Y1362" i="56"/>
  <c r="Y1363" i="56"/>
  <c r="Y1364" i="56"/>
  <c r="Y1365" i="56"/>
  <c r="Y1366" i="56"/>
  <c r="Y1367" i="56"/>
  <c r="Y1368" i="56"/>
  <c r="Y1369" i="56"/>
  <c r="Y1370" i="56"/>
  <c r="Y1371" i="56"/>
  <c r="Y1372" i="56"/>
  <c r="Y1373" i="56"/>
  <c r="Y1374" i="56"/>
  <c r="Y1375" i="56"/>
  <c r="Y1376" i="56"/>
  <c r="Y1377" i="56"/>
  <c r="Y1378" i="56"/>
  <c r="Y1379" i="56"/>
  <c r="Y1380" i="56"/>
  <c r="Y1381" i="56"/>
  <c r="Y1382" i="56"/>
  <c r="Y1383" i="56"/>
  <c r="Y1384" i="56"/>
  <c r="Y1385" i="56"/>
  <c r="Y1386" i="56"/>
  <c r="Y1387" i="56"/>
  <c r="Y1388" i="56"/>
  <c r="Y1389" i="56"/>
  <c r="Y1390" i="56"/>
  <c r="Y1391" i="56"/>
  <c r="Y1392" i="56"/>
  <c r="Y1393" i="56"/>
  <c r="Y1394" i="56"/>
  <c r="Y1395" i="56"/>
  <c r="Y1396" i="56"/>
  <c r="Y1397" i="56"/>
  <c r="Y1398" i="56"/>
  <c r="Y1399" i="56"/>
  <c r="Y1400" i="56"/>
  <c r="Y1401" i="56"/>
  <c r="Y1402" i="56"/>
  <c r="Y1403" i="56"/>
  <c r="Y1404" i="56"/>
  <c r="Y1405" i="56"/>
  <c r="Y1406" i="56"/>
  <c r="Y1407" i="56"/>
  <c r="Y1408" i="56"/>
  <c r="Y1409" i="56"/>
  <c r="Y1410" i="56"/>
  <c r="Y1411" i="56"/>
  <c r="Y1412" i="56"/>
  <c r="Y1413" i="56"/>
  <c r="Y1414" i="56"/>
  <c r="Y1415" i="56"/>
  <c r="Y1416" i="56"/>
  <c r="Y1417" i="56"/>
  <c r="Y1418" i="56"/>
  <c r="Y1419" i="56"/>
  <c r="Y1420" i="56"/>
  <c r="Y1421" i="56"/>
  <c r="Y1422" i="56"/>
  <c r="Y1423" i="56"/>
  <c r="Y1424" i="56"/>
  <c r="Y1425" i="56"/>
  <c r="Y1426" i="56"/>
  <c r="Y1427" i="56"/>
  <c r="Y1428" i="56"/>
  <c r="Y1429" i="56"/>
  <c r="Y1430" i="56"/>
  <c r="Y1431" i="56"/>
  <c r="Y1432" i="56"/>
  <c r="Y1433" i="56"/>
  <c r="Y1434" i="56"/>
  <c r="Y1435" i="56"/>
  <c r="Y1436" i="56"/>
  <c r="Y1437" i="56"/>
  <c r="Y1438" i="56"/>
  <c r="Y1439" i="56"/>
  <c r="Y1440" i="56"/>
  <c r="Y1441" i="56"/>
  <c r="Y1442" i="56"/>
  <c r="Y1443" i="56"/>
  <c r="Y1444" i="56"/>
  <c r="Y1445" i="56"/>
  <c r="Y1446" i="56"/>
  <c r="Y1447" i="56"/>
  <c r="Y1448" i="56"/>
  <c r="Y1449" i="56"/>
  <c r="Y1450" i="56"/>
  <c r="Y1451" i="56"/>
  <c r="Y1452" i="56"/>
  <c r="Y1453" i="56"/>
  <c r="Y1454" i="56"/>
  <c r="Y1455" i="56"/>
  <c r="Y1456" i="56"/>
  <c r="Y1457" i="56"/>
  <c r="Y1458" i="56"/>
  <c r="Y1459" i="56"/>
  <c r="Y1460" i="56"/>
  <c r="Y1461" i="56"/>
  <c r="Y1462" i="56"/>
  <c r="Y1463" i="56"/>
  <c r="Y1464" i="56"/>
  <c r="Y1465" i="56"/>
  <c r="Y1466" i="56"/>
  <c r="Y1467" i="56"/>
  <c r="Y1468" i="56"/>
  <c r="Y1469" i="56"/>
  <c r="Y1470" i="56"/>
  <c r="Y1471" i="56"/>
  <c r="Y1472" i="56"/>
  <c r="Y1473" i="56"/>
  <c r="Y1474" i="56"/>
  <c r="Y1475" i="56"/>
  <c r="Y1476" i="56"/>
  <c r="Y1477" i="56"/>
  <c r="Y1478" i="56"/>
  <c r="Y1479" i="56"/>
  <c r="Y1480" i="56"/>
  <c r="Y1481" i="56"/>
  <c r="Y1482" i="56"/>
  <c r="Y1483" i="56"/>
  <c r="Y1484" i="56"/>
  <c r="Y1485" i="56"/>
  <c r="Y1486" i="56"/>
  <c r="Y1487" i="56"/>
  <c r="Y1488" i="56"/>
  <c r="Y1489" i="56"/>
  <c r="Y1490" i="56"/>
  <c r="Y1491" i="56"/>
  <c r="Y1492" i="56"/>
  <c r="Y1493" i="56"/>
  <c r="Y1494" i="56"/>
  <c r="Y1495" i="56"/>
  <c r="Y1496" i="56"/>
  <c r="Y1497" i="56"/>
  <c r="Y1498" i="56"/>
  <c r="Y1499" i="56"/>
  <c r="Y1500" i="56"/>
  <c r="Y1501" i="56"/>
  <c r="Y1502" i="56"/>
  <c r="Y1503" i="56"/>
  <c r="Y1504" i="56"/>
  <c r="Y1505" i="56"/>
  <c r="Y1506" i="56"/>
  <c r="Y1507" i="56"/>
  <c r="Y1508" i="56"/>
  <c r="Y1509" i="56"/>
  <c r="Y1510" i="56"/>
  <c r="Y1511" i="56"/>
  <c r="Y1512" i="56"/>
  <c r="Y1513" i="56"/>
  <c r="Y1514" i="56"/>
  <c r="Y1515" i="56"/>
  <c r="Y1516" i="56"/>
  <c r="Y1517" i="56"/>
  <c r="Y1518" i="56"/>
  <c r="Y1519" i="56"/>
  <c r="Y1520" i="56"/>
  <c r="Y1521" i="56"/>
  <c r="Y1522" i="56"/>
  <c r="Y1523" i="56"/>
  <c r="Y1524" i="56"/>
  <c r="Y1525" i="56"/>
  <c r="Y1526" i="56"/>
  <c r="Y1527" i="56"/>
  <c r="Y1528" i="56"/>
  <c r="Y1529" i="56"/>
  <c r="Y1530" i="56"/>
  <c r="Y1531" i="56"/>
  <c r="Y1532" i="56"/>
  <c r="Y1533" i="56"/>
  <c r="Y1534" i="56"/>
  <c r="Y1535" i="56"/>
  <c r="Y1536" i="56"/>
  <c r="Y1537" i="56"/>
  <c r="Y1538" i="56"/>
  <c r="Y1539" i="56"/>
  <c r="Y1540" i="56"/>
  <c r="Y1541" i="56"/>
  <c r="Y1542" i="56"/>
  <c r="Y1543" i="56"/>
  <c r="Y1544" i="56"/>
  <c r="Y1545" i="56"/>
  <c r="Y1546" i="56"/>
  <c r="Y1547" i="56"/>
  <c r="Y1548" i="56"/>
  <c r="Y1549" i="56"/>
  <c r="Y1550" i="56"/>
  <c r="Y1551" i="56"/>
  <c r="Y1552" i="56"/>
  <c r="Y1553" i="56"/>
  <c r="Y1554" i="56"/>
  <c r="Y1555" i="56"/>
  <c r="Y1556" i="56"/>
  <c r="Y1557" i="56"/>
  <c r="Y1558" i="56"/>
  <c r="Y1559" i="56"/>
  <c r="Y1560" i="56"/>
  <c r="Y1561" i="56"/>
  <c r="Y1562" i="56"/>
  <c r="Y1563" i="56"/>
  <c r="Y1564" i="56"/>
  <c r="Y1565" i="56"/>
  <c r="Y1566" i="56"/>
  <c r="Y1567" i="56"/>
  <c r="Y1568" i="56"/>
  <c r="Y1569" i="56"/>
  <c r="Y1570" i="56"/>
  <c r="Y1571" i="56"/>
  <c r="Y1572" i="56"/>
  <c r="Y1573" i="56"/>
  <c r="Y1574" i="56"/>
  <c r="Y1575" i="56"/>
  <c r="Y1576" i="56"/>
  <c r="Y1577" i="56"/>
  <c r="Y1578" i="56"/>
  <c r="Y1579" i="56"/>
  <c r="Y1580" i="56"/>
  <c r="Y1581" i="56"/>
  <c r="Y1582" i="56"/>
  <c r="Y1583" i="56"/>
  <c r="Y1584" i="56"/>
  <c r="Y1585" i="56"/>
  <c r="Y1586" i="56"/>
  <c r="Y1587" i="56"/>
  <c r="Y1588" i="56"/>
  <c r="Y1589" i="56"/>
  <c r="Y1590" i="56"/>
  <c r="Y1591" i="56"/>
  <c r="Y1592" i="56"/>
  <c r="Y1593" i="56"/>
  <c r="Y1594" i="56"/>
  <c r="Y1595" i="56"/>
  <c r="Y1596" i="56"/>
  <c r="Y1597" i="56"/>
  <c r="Y1598" i="56"/>
  <c r="Y1599" i="56"/>
  <c r="Y1600" i="56"/>
  <c r="Y1601" i="56"/>
  <c r="Y1602" i="56"/>
  <c r="Y1603" i="56"/>
  <c r="Y1604" i="56"/>
  <c r="Y1605" i="56"/>
  <c r="Y1606" i="56"/>
  <c r="Y1607" i="56"/>
  <c r="Y1608" i="56"/>
  <c r="Y1609" i="56"/>
  <c r="Y1610" i="56"/>
  <c r="Y1611" i="56"/>
  <c r="Y1612" i="56"/>
  <c r="Y1613" i="56"/>
  <c r="Y1614" i="56"/>
  <c r="Y1615" i="56"/>
  <c r="Y1616" i="56"/>
  <c r="Y1617" i="56"/>
  <c r="Y1618" i="56"/>
  <c r="Y1619" i="56"/>
  <c r="Y1620" i="56"/>
  <c r="Y1621" i="56"/>
  <c r="Y1622" i="56"/>
  <c r="Y1623" i="56"/>
  <c r="Y1624" i="56"/>
  <c r="Y1625" i="56"/>
  <c r="Y1626" i="56"/>
  <c r="Y1627" i="56"/>
  <c r="Y1628" i="56"/>
  <c r="Y1629" i="56"/>
  <c r="Y1630" i="56"/>
  <c r="Y1631" i="56"/>
  <c r="Y1632" i="56"/>
  <c r="Y1633" i="56"/>
  <c r="Y1634" i="56"/>
  <c r="Y1635" i="56"/>
  <c r="Y1636" i="56"/>
  <c r="Y1637" i="56"/>
  <c r="Y1638" i="56"/>
  <c r="Y1639" i="56"/>
  <c r="Y1640" i="56"/>
  <c r="Y1641" i="56"/>
  <c r="Y1642" i="56"/>
  <c r="Y1643" i="56"/>
  <c r="Y1644" i="56"/>
  <c r="Y1645" i="56"/>
  <c r="Y1646" i="56"/>
  <c r="Y1647" i="56"/>
  <c r="Y1648" i="56"/>
  <c r="Y1649" i="56"/>
  <c r="Y1650" i="56"/>
  <c r="Y1651" i="56"/>
  <c r="Y1652" i="56"/>
  <c r="Y1653" i="56"/>
  <c r="Y1654" i="56"/>
  <c r="Y1655" i="56"/>
  <c r="Y1656" i="56"/>
  <c r="Y1657" i="56"/>
  <c r="Y1658" i="56"/>
  <c r="Y1659" i="56"/>
  <c r="Y1660" i="56"/>
  <c r="Y1661" i="56"/>
  <c r="Y1662" i="56"/>
  <c r="Y1663" i="56"/>
  <c r="Y1664" i="56"/>
  <c r="Y1665" i="56"/>
  <c r="Y1666" i="56"/>
  <c r="Y1667" i="56"/>
  <c r="Y1668" i="56"/>
  <c r="Y1669" i="56"/>
  <c r="Y1670" i="56"/>
  <c r="Y1671" i="56"/>
  <c r="Y1672" i="56"/>
  <c r="Y1673" i="56"/>
  <c r="Y1674" i="56"/>
  <c r="Y1675" i="56"/>
  <c r="Y1676" i="56"/>
  <c r="Y1677" i="56"/>
  <c r="Y1678" i="56"/>
  <c r="Y1679" i="56"/>
  <c r="Y1680" i="56"/>
  <c r="Y1681" i="56"/>
  <c r="Y1682" i="56"/>
  <c r="Y1683" i="56"/>
  <c r="Y1684" i="56"/>
  <c r="Y1685" i="56"/>
  <c r="Y1686" i="56"/>
  <c r="Y1687" i="56"/>
  <c r="Y1688" i="56"/>
  <c r="Y1689" i="56"/>
  <c r="Y1690" i="56"/>
  <c r="Y1691" i="56"/>
  <c r="Y1692" i="56"/>
  <c r="Y1693" i="56"/>
  <c r="Y1694" i="56"/>
  <c r="Y1695" i="56"/>
  <c r="Y1696" i="56"/>
  <c r="Y1697" i="56"/>
  <c r="Y1698" i="56"/>
  <c r="Y1699" i="56"/>
  <c r="Y1700" i="56"/>
  <c r="Y1701" i="56"/>
  <c r="Y1702" i="56"/>
  <c r="Y1703" i="56"/>
  <c r="Y1704" i="56"/>
  <c r="Y1705" i="56"/>
  <c r="Y1706" i="56"/>
  <c r="Y1707" i="56"/>
  <c r="Y1708" i="56"/>
  <c r="Y1709" i="56"/>
  <c r="Y1710" i="56"/>
  <c r="Y1711" i="56"/>
  <c r="Y1712" i="56"/>
  <c r="Y1713" i="56"/>
  <c r="Y1714" i="56"/>
  <c r="Y1715" i="56"/>
  <c r="Y1716" i="56"/>
  <c r="Y1717" i="56"/>
  <c r="Y1718" i="56"/>
  <c r="Y1719" i="56"/>
  <c r="Y1720" i="56"/>
  <c r="Y1721" i="56"/>
  <c r="Y1722" i="56"/>
  <c r="Y1723" i="56"/>
  <c r="Y1724" i="56"/>
  <c r="Y1725" i="56"/>
  <c r="Y1726" i="56"/>
  <c r="Y1727" i="56"/>
  <c r="Y1728" i="56"/>
  <c r="Y1729" i="56"/>
  <c r="Y1730" i="56"/>
  <c r="Y1731" i="56"/>
  <c r="Y1732" i="56"/>
  <c r="Y1733" i="56"/>
  <c r="Y1734" i="56"/>
  <c r="Y1735" i="56"/>
  <c r="Y1736" i="56"/>
  <c r="Y1737" i="56"/>
  <c r="Y1738" i="56"/>
  <c r="Y1739" i="56"/>
  <c r="Y1740" i="56"/>
  <c r="Y1741" i="56"/>
  <c r="Y1742" i="56"/>
  <c r="Y1743" i="56"/>
  <c r="Y1744" i="56"/>
  <c r="Y1745" i="56"/>
  <c r="Y1746" i="56"/>
  <c r="Y1747" i="56"/>
  <c r="Y1748" i="56"/>
  <c r="Y1749" i="56"/>
  <c r="Y1750" i="56"/>
  <c r="Y697" i="56"/>
  <c r="Y696" i="56"/>
  <c r="Y695" i="56"/>
  <c r="Y694" i="56"/>
  <c r="Y693" i="56"/>
  <c r="Y692" i="56"/>
  <c r="Y691" i="56"/>
  <c r="Y690" i="56"/>
  <c r="Y689" i="56"/>
  <c r="Y688" i="56"/>
  <c r="Y687" i="56"/>
  <c r="Y686" i="56"/>
  <c r="Y685" i="56"/>
  <c r="Y684" i="56"/>
  <c r="Y683" i="56"/>
  <c r="Y682" i="56"/>
  <c r="Y681" i="56"/>
  <c r="Y680" i="56"/>
  <c r="Y679" i="56"/>
  <c r="Y678" i="56"/>
  <c r="Y677" i="56"/>
  <c r="Y676" i="56"/>
  <c r="Y675" i="56"/>
  <c r="Y674" i="56"/>
  <c r="Y673" i="56"/>
  <c r="Y672" i="56"/>
  <c r="Y671" i="56"/>
  <c r="Y670" i="56"/>
  <c r="Y669" i="56"/>
  <c r="Y668" i="56"/>
  <c r="Y667" i="56"/>
  <c r="Y666" i="56"/>
  <c r="Y665" i="56"/>
  <c r="Y664" i="56"/>
  <c r="Y663" i="56"/>
  <c r="Y662" i="56"/>
  <c r="Y661" i="56"/>
  <c r="Y660" i="56"/>
  <c r="Y659" i="56"/>
  <c r="Y658" i="56"/>
  <c r="Y657" i="56"/>
  <c r="Y656" i="56"/>
  <c r="Y655" i="56"/>
  <c r="Y654" i="56"/>
  <c r="Y653" i="56"/>
  <c r="Y652" i="56"/>
  <c r="Y651" i="56"/>
  <c r="Y650" i="56"/>
  <c r="Y649" i="56"/>
  <c r="Y648" i="56"/>
  <c r="Y647" i="56"/>
  <c r="Y646" i="56"/>
  <c r="Y645" i="56"/>
  <c r="Y644" i="56"/>
  <c r="Y643" i="56"/>
  <c r="Y642" i="56"/>
  <c r="Y641" i="56"/>
  <c r="Y640" i="56"/>
  <c r="Y639" i="56"/>
  <c r="Y638" i="56"/>
  <c r="Y637" i="56"/>
  <c r="Y636" i="56"/>
  <c r="Y635" i="56"/>
  <c r="Y634" i="56"/>
  <c r="Y633" i="56"/>
  <c r="Y632" i="56"/>
  <c r="Y631" i="56"/>
  <c r="Y630" i="56"/>
  <c r="Y629" i="56"/>
  <c r="Y628" i="56"/>
  <c r="Y627" i="56"/>
  <c r="Y626" i="56"/>
  <c r="Y625" i="56"/>
  <c r="Y624" i="56"/>
  <c r="Y623" i="56"/>
  <c r="Y622" i="56"/>
  <c r="Y621" i="56"/>
  <c r="Y620" i="56"/>
  <c r="Y619" i="56"/>
  <c r="Y618" i="56"/>
  <c r="Y617" i="56"/>
  <c r="Y616" i="56"/>
  <c r="Y615" i="56"/>
  <c r="Y614" i="56"/>
  <c r="Y613" i="56"/>
  <c r="Y612" i="56"/>
  <c r="Y611" i="56"/>
  <c r="Y610" i="56"/>
  <c r="Y609" i="56"/>
  <c r="Y608" i="56"/>
  <c r="Y607" i="56"/>
  <c r="Y606" i="56"/>
  <c r="Y605" i="56"/>
  <c r="Y604" i="56"/>
  <c r="Y603" i="56"/>
  <c r="Y602" i="56"/>
  <c r="Y601" i="56"/>
  <c r="Y600" i="56"/>
  <c r="Y599" i="56"/>
  <c r="Y598" i="56"/>
  <c r="Y597" i="56"/>
  <c r="Y596" i="56"/>
  <c r="Y595" i="56"/>
  <c r="Y594" i="56"/>
  <c r="Y593" i="56"/>
  <c r="Y592" i="56"/>
  <c r="Y591" i="56"/>
  <c r="Y590" i="56"/>
  <c r="Y589" i="56"/>
  <c r="Y588" i="56"/>
  <c r="Y587" i="56"/>
  <c r="Y586" i="56"/>
  <c r="Y585" i="56"/>
  <c r="Y584" i="56"/>
  <c r="Y583" i="56"/>
  <c r="Y582" i="56"/>
  <c r="Y581" i="56"/>
  <c r="Y580" i="56"/>
  <c r="Y579" i="56"/>
  <c r="Y578" i="56"/>
  <c r="Y577" i="56"/>
  <c r="Y576" i="56"/>
  <c r="Y575" i="56"/>
  <c r="Y574" i="56"/>
  <c r="Y573" i="56"/>
  <c r="Y572" i="56"/>
  <c r="Y571" i="56"/>
  <c r="Y570" i="56"/>
  <c r="Y569" i="56"/>
  <c r="Y568" i="56"/>
  <c r="Y567" i="56"/>
  <c r="Y566" i="56"/>
  <c r="Y565" i="56"/>
  <c r="Y564" i="56"/>
  <c r="Y563" i="56"/>
  <c r="Y562" i="56"/>
  <c r="Y561" i="56"/>
  <c r="Y560" i="56"/>
  <c r="Y559" i="56"/>
  <c r="Y558" i="56"/>
  <c r="Y557" i="56"/>
  <c r="Y556" i="56"/>
  <c r="Y555" i="56"/>
  <c r="Y554" i="56"/>
  <c r="Y553" i="56"/>
  <c r="Y552" i="56"/>
  <c r="Y551" i="56"/>
  <c r="Y550" i="56"/>
  <c r="Y549" i="56"/>
  <c r="Y548" i="56"/>
  <c r="Y547" i="56"/>
  <c r="Y546" i="56"/>
  <c r="Y545" i="56"/>
  <c r="Y544" i="56"/>
  <c r="Y543" i="56"/>
  <c r="Y542" i="56"/>
  <c r="Y541" i="56"/>
  <c r="Y540" i="56"/>
  <c r="Y539" i="56"/>
  <c r="Y538" i="56"/>
  <c r="Y537" i="56"/>
  <c r="Y536" i="56"/>
  <c r="Y535" i="56"/>
  <c r="Y534" i="56"/>
  <c r="Y533" i="56"/>
  <c r="Y532" i="56"/>
  <c r="Y531" i="56"/>
  <c r="Y530" i="56"/>
  <c r="Y529" i="56"/>
  <c r="Y528" i="56"/>
  <c r="Y527" i="56"/>
  <c r="Y526" i="56"/>
  <c r="Y525" i="56"/>
  <c r="Y524" i="56"/>
  <c r="Y523" i="56"/>
  <c r="Y522" i="56"/>
  <c r="Y521" i="56"/>
  <c r="Y520" i="56"/>
  <c r="Y519" i="56"/>
  <c r="Y518" i="56"/>
  <c r="Y517" i="56"/>
  <c r="Y516" i="56"/>
  <c r="Y515" i="56"/>
  <c r="Y514" i="56"/>
  <c r="Y513" i="56"/>
  <c r="Y512" i="56"/>
  <c r="Y511" i="56"/>
  <c r="Y510" i="56"/>
  <c r="Y509" i="56"/>
  <c r="Y508" i="56"/>
  <c r="Y507" i="56"/>
  <c r="Y506" i="56"/>
  <c r="Y505" i="56"/>
  <c r="Y504" i="56"/>
  <c r="Y503" i="56"/>
  <c r="Y502" i="56"/>
  <c r="Y501" i="56"/>
  <c r="Y500" i="56"/>
  <c r="Y499" i="56"/>
  <c r="Y498" i="56"/>
  <c r="Y497" i="56"/>
  <c r="Y496" i="56"/>
  <c r="Y495" i="56"/>
  <c r="Y494" i="56"/>
  <c r="Y493" i="56"/>
  <c r="Y492" i="56"/>
  <c r="Y491" i="56"/>
  <c r="Y490" i="56"/>
  <c r="Y489" i="56"/>
  <c r="Y488" i="56"/>
  <c r="Y487" i="56"/>
  <c r="Y486" i="56"/>
  <c r="Y485" i="56"/>
  <c r="Y484" i="56"/>
  <c r="Y483" i="56"/>
  <c r="Y482" i="56"/>
  <c r="Y481" i="56"/>
  <c r="Y480" i="56"/>
  <c r="Y479" i="56"/>
  <c r="Y478" i="56"/>
  <c r="Y477" i="56"/>
  <c r="Y476" i="56"/>
  <c r="Y475" i="56"/>
  <c r="Y474" i="56"/>
  <c r="Y473" i="56"/>
  <c r="Y472" i="56"/>
  <c r="Y471" i="56"/>
  <c r="Y470" i="56"/>
  <c r="Y469" i="56"/>
  <c r="Y468" i="56"/>
  <c r="Y467" i="56"/>
  <c r="Y466" i="56"/>
  <c r="Y465" i="56"/>
  <c r="Y464" i="56"/>
  <c r="Y463" i="56"/>
  <c r="Y462" i="56"/>
  <c r="Y461" i="56"/>
  <c r="Y460" i="56"/>
  <c r="Y459" i="56"/>
  <c r="Y458" i="56"/>
  <c r="Y457" i="56"/>
  <c r="Y456" i="56"/>
  <c r="Y455" i="56"/>
  <c r="Y454" i="56"/>
  <c r="Y453" i="56"/>
  <c r="Y452" i="56"/>
  <c r="Y451" i="56"/>
  <c r="Y450" i="56"/>
  <c r="Y449" i="56"/>
  <c r="Y448" i="56"/>
  <c r="Y447" i="56"/>
  <c r="Y446" i="56"/>
  <c r="Y445" i="56"/>
  <c r="Y444" i="56"/>
  <c r="Y443" i="56"/>
  <c r="Y442" i="56"/>
  <c r="Y441" i="56"/>
  <c r="Y440" i="56"/>
  <c r="Y439" i="56"/>
  <c r="Y438" i="56"/>
  <c r="Y437" i="56"/>
  <c r="Y436" i="56"/>
  <c r="Y435" i="56"/>
  <c r="Y434" i="56"/>
  <c r="Y433" i="56"/>
  <c r="Y432" i="56"/>
  <c r="Y431" i="56"/>
  <c r="Y430" i="56"/>
  <c r="Y429" i="56"/>
  <c r="Y428" i="56"/>
  <c r="Y427" i="56"/>
  <c r="Y426" i="56"/>
  <c r="Y425" i="56"/>
  <c r="Y424" i="56"/>
  <c r="Y423" i="56"/>
  <c r="Y422" i="56"/>
  <c r="Y421" i="56"/>
  <c r="Y420" i="56"/>
  <c r="Y419" i="56"/>
  <c r="Y418" i="56"/>
  <c r="Y417" i="56"/>
  <c r="Y416" i="56"/>
  <c r="Y415" i="56"/>
  <c r="Y414" i="56"/>
  <c r="Y413" i="56"/>
  <c r="Y412" i="56"/>
  <c r="Y411" i="56"/>
  <c r="Y410" i="56"/>
  <c r="Y409" i="56"/>
  <c r="Y408" i="56"/>
  <c r="Y407" i="56"/>
  <c r="Y406" i="56"/>
  <c r="Y405" i="56"/>
  <c r="Y404" i="56"/>
  <c r="Y403" i="56"/>
  <c r="Y402" i="56"/>
  <c r="Y401" i="56"/>
  <c r="Y400" i="56"/>
  <c r="Y399" i="56"/>
  <c r="Y398" i="56"/>
  <c r="Y397" i="56"/>
  <c r="Y396" i="56"/>
  <c r="Y395" i="56"/>
  <c r="Y394" i="56"/>
  <c r="Y393" i="56"/>
  <c r="Y392" i="56"/>
  <c r="Y391" i="56"/>
  <c r="Y390" i="56"/>
  <c r="Y389" i="56"/>
  <c r="Y388" i="56"/>
  <c r="Y387" i="56"/>
  <c r="Y386" i="56"/>
  <c r="Y385" i="56"/>
  <c r="Y384" i="56"/>
  <c r="Y383" i="56"/>
  <c r="Y382" i="56"/>
  <c r="Y381" i="56"/>
  <c r="Y380" i="56"/>
  <c r="Y379" i="56"/>
  <c r="Y378" i="56"/>
  <c r="Y377" i="56"/>
  <c r="Y376" i="56"/>
  <c r="Y375" i="56"/>
  <c r="Y374" i="56"/>
  <c r="Y373" i="56"/>
  <c r="Y372" i="56"/>
  <c r="Y371" i="56"/>
  <c r="Y370" i="56"/>
  <c r="Y369" i="56"/>
  <c r="Y368" i="56"/>
  <c r="Y367" i="56"/>
  <c r="Y366" i="56"/>
  <c r="Y365" i="56"/>
  <c r="Y364" i="56"/>
  <c r="Y363" i="56"/>
  <c r="Y362" i="56"/>
  <c r="Y361" i="56"/>
  <c r="Y360" i="56"/>
  <c r="Y359" i="56"/>
  <c r="Y358" i="56"/>
  <c r="Y357" i="56"/>
  <c r="Y356" i="56"/>
  <c r="Y355" i="56"/>
  <c r="Y354" i="56"/>
  <c r="Y353" i="56"/>
  <c r="Y352" i="56"/>
  <c r="Y351" i="56"/>
  <c r="Y350" i="56"/>
  <c r="Y349" i="56"/>
  <c r="Y348" i="56"/>
  <c r="Y347" i="56"/>
  <c r="Y346" i="56"/>
  <c r="Y345" i="56"/>
  <c r="Y344" i="56"/>
  <c r="Y343" i="56"/>
  <c r="Y342" i="56"/>
  <c r="Y341" i="56"/>
  <c r="Y340" i="56"/>
  <c r="Y339" i="56"/>
  <c r="Y338" i="56"/>
  <c r="Y337" i="56"/>
  <c r="Y336" i="56"/>
  <c r="Y335" i="56"/>
  <c r="Y334" i="56"/>
  <c r="Y333" i="56"/>
  <c r="Y332" i="56"/>
  <c r="Y331" i="56"/>
  <c r="Y330" i="56"/>
  <c r="Y329" i="56"/>
  <c r="Y328" i="56"/>
  <c r="Y327" i="56"/>
  <c r="Y326" i="56"/>
  <c r="Y325" i="56"/>
  <c r="Y324" i="56"/>
  <c r="Y323" i="56"/>
  <c r="Y322" i="56"/>
  <c r="Y321" i="56"/>
  <c r="Y320" i="56"/>
  <c r="Y319" i="56"/>
  <c r="Y318" i="56"/>
  <c r="Y317" i="56"/>
  <c r="Y316" i="56"/>
  <c r="Y315" i="56"/>
  <c r="Y314" i="56"/>
  <c r="Y313" i="56"/>
  <c r="Y312" i="56"/>
  <c r="Y311" i="56"/>
  <c r="Y310" i="56"/>
  <c r="Y309" i="56"/>
  <c r="Y308" i="56"/>
  <c r="Y307" i="56"/>
  <c r="Y306" i="56"/>
  <c r="Y305" i="56"/>
  <c r="Y304" i="56"/>
  <c r="Y303" i="56"/>
  <c r="Y302" i="56"/>
  <c r="Y301" i="56"/>
  <c r="Y300" i="56"/>
  <c r="Y299" i="56"/>
  <c r="Y298" i="56"/>
  <c r="Y297" i="56"/>
  <c r="Y296" i="56"/>
  <c r="Y295" i="56"/>
  <c r="Y294" i="56"/>
  <c r="Y293" i="56"/>
  <c r="Y292" i="56"/>
  <c r="Y291" i="56"/>
  <c r="Y290" i="56"/>
  <c r="Y289" i="56"/>
  <c r="Y288" i="56"/>
  <c r="Y287" i="56"/>
  <c r="Y286" i="56"/>
  <c r="Y285" i="56"/>
  <c r="Y284" i="56"/>
  <c r="Y283" i="56"/>
  <c r="Y282" i="56"/>
  <c r="Y281" i="56"/>
  <c r="Y280" i="56"/>
  <c r="Y279" i="56"/>
  <c r="Y278" i="56"/>
  <c r="Y277" i="56"/>
  <c r="Y276" i="56"/>
  <c r="Y275" i="56"/>
  <c r="Y274" i="56"/>
  <c r="Y273" i="56"/>
  <c r="Y272" i="56"/>
  <c r="Y271" i="56"/>
  <c r="Y270" i="56"/>
  <c r="Y269" i="56"/>
  <c r="Y268" i="56"/>
  <c r="Y267" i="56"/>
  <c r="Y266" i="56"/>
  <c r="Y265" i="56"/>
  <c r="Y264" i="56"/>
  <c r="Y263" i="56"/>
  <c r="Y262" i="56"/>
  <c r="Y261" i="56"/>
  <c r="Y260" i="56"/>
  <c r="Y259" i="56"/>
  <c r="Y258" i="56"/>
  <c r="Y257" i="56"/>
  <c r="Y256" i="56"/>
  <c r="Y255" i="56"/>
  <c r="Y254" i="56"/>
  <c r="Y253" i="56"/>
  <c r="Y252" i="56"/>
  <c r="Y251" i="56"/>
  <c r="Y250" i="56"/>
  <c r="Y249" i="56"/>
  <c r="Y248" i="56"/>
  <c r="Y247" i="56"/>
  <c r="Y246" i="56"/>
  <c r="Y245" i="56"/>
  <c r="Y244" i="56"/>
  <c r="Y243" i="56"/>
  <c r="Y242" i="56"/>
  <c r="Y241" i="56"/>
  <c r="Y240" i="56"/>
  <c r="Y239" i="56"/>
  <c r="Y238" i="56"/>
  <c r="Y237" i="56"/>
  <c r="Y236" i="56"/>
  <c r="Y235" i="56"/>
  <c r="Y234" i="56"/>
  <c r="Y233" i="56"/>
  <c r="Y232" i="56"/>
  <c r="Y231" i="56"/>
  <c r="Y230" i="56"/>
  <c r="Y229" i="56"/>
  <c r="Y228" i="56"/>
  <c r="Y227" i="56"/>
  <c r="Y226" i="56"/>
  <c r="Y225" i="56"/>
  <c r="Y224" i="56"/>
  <c r="Y223" i="56"/>
  <c r="Y222" i="56"/>
  <c r="Y221" i="56"/>
  <c r="Y220" i="56"/>
  <c r="Y219" i="56"/>
  <c r="Y218" i="56"/>
  <c r="Y217" i="56"/>
  <c r="Y216" i="56"/>
  <c r="Y215" i="56"/>
  <c r="Y214" i="56"/>
  <c r="Y213" i="56"/>
  <c r="Y212" i="56"/>
  <c r="Y211" i="56"/>
  <c r="Y210" i="56"/>
  <c r="Y209" i="56"/>
  <c r="Y208" i="56"/>
  <c r="Y207" i="56"/>
  <c r="Y206" i="56"/>
  <c r="Y205" i="56"/>
  <c r="Y204" i="56"/>
  <c r="Y203" i="56"/>
  <c r="Y202" i="56"/>
  <c r="Y201" i="56"/>
  <c r="Y200" i="56"/>
  <c r="Y199" i="56"/>
  <c r="Y198" i="56"/>
  <c r="Y197" i="56"/>
  <c r="Y196" i="56"/>
  <c r="Y195" i="56"/>
  <c r="Y194" i="56"/>
  <c r="Y193" i="56"/>
  <c r="Y192" i="56"/>
  <c r="Y191" i="56"/>
  <c r="Y190" i="56"/>
  <c r="Y189" i="56"/>
  <c r="Y188" i="56"/>
  <c r="Y187" i="56"/>
  <c r="Y186" i="56"/>
  <c r="Y185" i="56"/>
  <c r="Y184" i="56"/>
  <c r="Y183" i="56"/>
  <c r="Y182" i="56"/>
  <c r="Y181" i="56"/>
  <c r="Y180" i="56"/>
  <c r="Y179" i="56"/>
  <c r="Y178" i="56"/>
  <c r="Y177" i="56"/>
  <c r="Y176" i="56"/>
  <c r="Y175" i="56"/>
  <c r="Y174" i="56"/>
  <c r="Y173" i="56"/>
  <c r="Y172" i="56"/>
  <c r="Y171" i="56"/>
  <c r="Y170" i="56"/>
  <c r="Y169" i="56"/>
  <c r="Y168" i="56"/>
  <c r="Y167" i="56"/>
  <c r="Y166" i="56"/>
  <c r="Y165" i="56"/>
  <c r="Y164" i="56"/>
  <c r="Y163" i="56"/>
  <c r="Y162" i="56"/>
  <c r="Y161" i="56"/>
  <c r="Y160" i="56"/>
  <c r="Y159" i="56"/>
  <c r="Y158" i="56"/>
  <c r="Y157" i="56"/>
  <c r="Y156" i="56"/>
  <c r="Y155" i="56"/>
  <c r="Y154" i="56"/>
  <c r="Y153" i="56"/>
  <c r="Y152" i="56"/>
  <c r="Y151" i="56"/>
  <c r="Y150" i="56"/>
  <c r="Y149" i="56"/>
  <c r="Y148" i="56"/>
  <c r="Y147" i="56"/>
  <c r="Y146" i="56"/>
  <c r="Y145" i="56"/>
  <c r="Y144" i="56"/>
  <c r="Y143" i="56"/>
  <c r="Y142" i="56"/>
  <c r="Y141" i="56"/>
  <c r="Y140" i="56"/>
  <c r="Y139" i="56"/>
  <c r="Y138" i="56"/>
  <c r="Y137" i="56"/>
  <c r="Y136" i="56"/>
  <c r="Y135" i="56"/>
  <c r="Y134" i="56"/>
  <c r="Y133" i="56"/>
  <c r="Y132" i="56"/>
  <c r="Y131" i="56"/>
  <c r="Y130" i="56"/>
  <c r="Y129" i="56"/>
  <c r="Y128" i="56"/>
  <c r="Y127" i="56"/>
  <c r="Y126" i="56"/>
  <c r="Y125" i="56"/>
  <c r="Y124" i="56"/>
  <c r="Y123" i="56"/>
  <c r="Y122" i="56"/>
  <c r="Y121" i="56"/>
  <c r="Y120" i="56"/>
  <c r="Y119" i="56"/>
  <c r="Y118" i="56"/>
  <c r="Y117" i="56"/>
  <c r="Y116" i="56"/>
  <c r="Y115" i="56"/>
  <c r="Y114" i="56"/>
  <c r="Y113" i="56"/>
  <c r="Y112" i="56"/>
  <c r="Y111" i="56"/>
  <c r="Y110" i="56"/>
  <c r="Y109" i="56"/>
  <c r="Y108" i="56"/>
  <c r="Y107" i="56"/>
  <c r="Y106" i="56"/>
  <c r="Y105" i="56"/>
  <c r="Y104" i="56"/>
  <c r="Y103" i="56"/>
  <c r="Y102" i="56"/>
  <c r="Y101" i="56"/>
  <c r="Y100" i="56"/>
  <c r="Y99" i="56"/>
  <c r="Y98" i="56"/>
  <c r="Y97" i="56"/>
  <c r="Y96" i="56"/>
  <c r="Y95" i="56"/>
  <c r="Y94" i="56"/>
  <c r="Y93" i="56"/>
  <c r="Y92" i="56"/>
  <c r="Y91" i="56"/>
  <c r="Y90" i="56"/>
  <c r="Y89" i="56"/>
  <c r="Y88" i="56"/>
  <c r="Y87" i="56"/>
  <c r="Y86" i="56"/>
  <c r="Y85" i="56"/>
  <c r="Y84" i="56"/>
  <c r="Y83" i="56"/>
  <c r="Y82" i="56"/>
  <c r="Y81" i="56"/>
  <c r="Y80" i="56"/>
  <c r="Y79" i="56"/>
  <c r="Y78" i="56"/>
  <c r="Y77" i="56"/>
  <c r="Y76" i="56"/>
  <c r="Y75" i="56"/>
  <c r="Y74" i="56"/>
  <c r="Y73" i="56"/>
  <c r="Y72" i="56"/>
  <c r="Y71" i="56"/>
  <c r="Y70" i="56"/>
  <c r="Y69" i="56"/>
  <c r="Y68" i="56"/>
  <c r="Y67" i="56"/>
  <c r="Y66" i="56"/>
  <c r="Y65" i="56"/>
  <c r="Y64" i="56"/>
  <c r="Y63" i="56"/>
  <c r="Y62" i="56"/>
  <c r="Y61" i="56"/>
  <c r="Y60" i="56"/>
  <c r="Y59" i="56"/>
  <c r="Y58" i="56"/>
  <c r="Y57" i="56"/>
  <c r="Y56" i="56"/>
  <c r="Y55" i="56"/>
  <c r="Y54" i="56"/>
  <c r="Y53" i="56"/>
  <c r="Y52" i="56"/>
  <c r="Y51" i="56"/>
  <c r="Y50" i="56"/>
  <c r="Y49" i="56"/>
  <c r="Y48" i="56"/>
  <c r="Y47" i="56"/>
  <c r="Y46" i="56"/>
  <c r="Y45" i="56"/>
  <c r="Y44" i="56"/>
  <c r="Y43" i="56"/>
  <c r="Y42" i="56"/>
  <c r="Y41" i="56"/>
  <c r="Y40" i="56"/>
  <c r="Y39" i="56"/>
  <c r="Y38" i="56"/>
  <c r="Y37" i="56"/>
  <c r="Y36" i="56"/>
  <c r="Y35" i="56"/>
  <c r="Y34" i="56"/>
  <c r="Y33" i="56"/>
  <c r="Y32" i="56"/>
  <c r="Y31" i="56"/>
  <c r="Y30" i="56"/>
  <c r="Y29" i="56"/>
  <c r="Y28" i="56"/>
  <c r="Y27" i="56"/>
  <c r="Y26" i="56"/>
  <c r="Y25" i="56"/>
  <c r="Y24" i="56"/>
  <c r="Y23" i="56"/>
  <c r="Y22" i="56"/>
  <c r="Y21" i="56"/>
  <c r="Y20" i="56"/>
  <c r="Y19" i="56"/>
  <c r="Y18" i="56"/>
  <c r="Y17" i="56"/>
  <c r="Y16" i="56"/>
  <c r="Y15" i="56"/>
  <c r="Y14" i="56"/>
  <c r="Y13" i="56"/>
  <c r="Y12" i="56"/>
  <c r="Y11" i="56"/>
  <c r="Y10" i="56"/>
  <c r="Y9" i="56"/>
  <c r="Y8" i="56"/>
  <c r="Y7" i="56"/>
  <c r="Y6" i="56"/>
  <c r="Y5" i="56"/>
  <c r="Y4" i="56"/>
  <c r="Y3" i="56"/>
  <c r="Y2" i="56"/>
  <c r="AE699" i="56"/>
  <c r="AA699" i="56" s="1"/>
  <c r="AE698" i="56"/>
  <c r="AA698" i="56" s="1"/>
  <c r="AE697" i="56"/>
  <c r="AA697" i="56" s="1"/>
  <c r="AE696" i="56"/>
  <c r="AA696" i="56" s="1"/>
  <c r="AE695" i="56"/>
  <c r="AA695" i="56" s="1"/>
  <c r="AE694" i="56"/>
  <c r="AA694" i="56" s="1"/>
  <c r="AE693" i="56"/>
  <c r="AA693" i="56" s="1"/>
  <c r="AE692" i="56"/>
  <c r="AA692" i="56" s="1"/>
  <c r="AE691" i="56"/>
  <c r="AA691" i="56" s="1"/>
  <c r="AE690" i="56"/>
  <c r="AA690" i="56" s="1"/>
  <c r="AE689" i="56"/>
  <c r="AA689" i="56" s="1"/>
  <c r="AE688" i="56"/>
  <c r="AA688" i="56" s="1"/>
  <c r="AE687" i="56"/>
  <c r="AA687" i="56" s="1"/>
  <c r="AE686" i="56"/>
  <c r="AA686" i="56" s="1"/>
  <c r="AE685" i="56"/>
  <c r="AA685" i="56" s="1"/>
  <c r="AE684" i="56"/>
  <c r="AA684" i="56" s="1"/>
  <c r="AE683" i="56"/>
  <c r="AA683" i="56" s="1"/>
  <c r="AE682" i="56"/>
  <c r="AA682" i="56" s="1"/>
  <c r="AE681" i="56"/>
  <c r="AA681" i="56" s="1"/>
  <c r="AE680" i="56"/>
  <c r="AA680" i="56" s="1"/>
  <c r="AE679" i="56"/>
  <c r="AA679" i="56" s="1"/>
  <c r="AE678" i="56"/>
  <c r="AA678" i="56" s="1"/>
  <c r="AE677" i="56"/>
  <c r="AA677" i="56" s="1"/>
  <c r="AE676" i="56"/>
  <c r="AA676" i="56" s="1"/>
  <c r="AE675" i="56"/>
  <c r="AA675" i="56" s="1"/>
  <c r="AE674" i="56"/>
  <c r="AA674" i="56" s="1"/>
  <c r="AE673" i="56"/>
  <c r="AA673" i="56" s="1"/>
  <c r="AE672" i="56"/>
  <c r="AA672" i="56" s="1"/>
  <c r="AE671" i="56"/>
  <c r="AA671" i="56" s="1"/>
  <c r="AE670" i="56"/>
  <c r="AA670" i="56" s="1"/>
  <c r="AE669" i="56"/>
  <c r="AA669" i="56" s="1"/>
  <c r="AE668" i="56"/>
  <c r="AA668" i="56" s="1"/>
  <c r="AE667" i="56"/>
  <c r="AA667" i="56" s="1"/>
  <c r="AE666" i="56"/>
  <c r="AA666" i="56" s="1"/>
  <c r="AE665" i="56"/>
  <c r="AA665" i="56" s="1"/>
  <c r="AE664" i="56"/>
  <c r="AA664" i="56" s="1"/>
  <c r="AE663" i="56"/>
  <c r="AA663" i="56" s="1"/>
  <c r="AE662" i="56"/>
  <c r="AA662" i="56" s="1"/>
  <c r="AE661" i="56"/>
  <c r="AA661" i="56" s="1"/>
  <c r="AE660" i="56"/>
  <c r="AA660" i="56" s="1"/>
  <c r="AE659" i="56"/>
  <c r="AA659" i="56" s="1"/>
  <c r="AE658" i="56"/>
  <c r="AA658" i="56" s="1"/>
  <c r="AE657" i="56"/>
  <c r="AA657" i="56" s="1"/>
  <c r="AE656" i="56"/>
  <c r="AA656" i="56" s="1"/>
  <c r="AE655" i="56"/>
  <c r="AA655" i="56" s="1"/>
  <c r="AE654" i="56"/>
  <c r="AA654" i="56" s="1"/>
  <c r="AE653" i="56"/>
  <c r="AA653" i="56" s="1"/>
  <c r="AE652" i="56"/>
  <c r="AA652" i="56" s="1"/>
  <c r="AE651" i="56"/>
  <c r="AA651" i="56" s="1"/>
  <c r="AE650" i="56"/>
  <c r="AA650" i="56" s="1"/>
  <c r="AE649" i="56"/>
  <c r="AA649" i="56" s="1"/>
  <c r="AE648" i="56"/>
  <c r="AA648" i="56" s="1"/>
  <c r="AE647" i="56"/>
  <c r="AA647" i="56" s="1"/>
  <c r="AE646" i="56"/>
  <c r="AA646" i="56" s="1"/>
  <c r="AE645" i="56"/>
  <c r="AA645" i="56" s="1"/>
  <c r="AE644" i="56"/>
  <c r="AA644" i="56" s="1"/>
  <c r="AE643" i="56"/>
  <c r="AA643" i="56" s="1"/>
  <c r="AE642" i="56"/>
  <c r="AA642" i="56" s="1"/>
  <c r="AE641" i="56"/>
  <c r="AA641" i="56" s="1"/>
  <c r="AE640" i="56"/>
  <c r="AA640" i="56" s="1"/>
  <c r="AE639" i="56"/>
  <c r="AA639" i="56" s="1"/>
  <c r="AE638" i="56"/>
  <c r="AA638" i="56" s="1"/>
  <c r="AE637" i="56"/>
  <c r="AA637" i="56" s="1"/>
  <c r="AE636" i="56"/>
  <c r="AA636" i="56" s="1"/>
  <c r="AE635" i="56"/>
  <c r="AA635" i="56" s="1"/>
  <c r="AE634" i="56"/>
  <c r="AA634" i="56" s="1"/>
  <c r="AE633" i="56"/>
  <c r="AA633" i="56" s="1"/>
  <c r="AE632" i="56"/>
  <c r="AA632" i="56" s="1"/>
  <c r="AE631" i="56"/>
  <c r="AA631" i="56" s="1"/>
  <c r="AE630" i="56"/>
  <c r="AA630" i="56" s="1"/>
  <c r="AE629" i="56"/>
  <c r="AA629" i="56" s="1"/>
  <c r="AE628" i="56"/>
  <c r="AA628" i="56" s="1"/>
  <c r="AE627" i="56"/>
  <c r="AA627" i="56" s="1"/>
  <c r="AE626" i="56"/>
  <c r="AA626" i="56" s="1"/>
  <c r="AE625" i="56"/>
  <c r="AA625" i="56" s="1"/>
  <c r="AE624" i="56"/>
  <c r="AA624" i="56" s="1"/>
  <c r="AE623" i="56"/>
  <c r="AA623" i="56" s="1"/>
  <c r="AE622" i="56"/>
  <c r="AA622" i="56" s="1"/>
  <c r="AE621" i="56"/>
  <c r="AA621" i="56" s="1"/>
  <c r="AE620" i="56"/>
  <c r="AA620" i="56" s="1"/>
  <c r="AE619" i="56"/>
  <c r="AA619" i="56" s="1"/>
  <c r="AE618" i="56"/>
  <c r="AA618" i="56" s="1"/>
  <c r="AE617" i="56"/>
  <c r="AA617" i="56" s="1"/>
  <c r="AE616" i="56"/>
  <c r="AA616" i="56" s="1"/>
  <c r="AE615" i="56"/>
  <c r="AA615" i="56" s="1"/>
  <c r="AE614" i="56"/>
  <c r="AA614" i="56" s="1"/>
  <c r="AE613" i="56"/>
  <c r="AA613" i="56" s="1"/>
  <c r="AE612" i="56"/>
  <c r="AA612" i="56" s="1"/>
  <c r="AE611" i="56"/>
  <c r="AA611" i="56" s="1"/>
  <c r="AE610" i="56"/>
  <c r="AA610" i="56" s="1"/>
  <c r="AE609" i="56"/>
  <c r="AA609" i="56" s="1"/>
  <c r="AE608" i="56"/>
  <c r="AA608" i="56" s="1"/>
  <c r="AE607" i="56"/>
  <c r="AA607" i="56" s="1"/>
  <c r="AE606" i="56"/>
  <c r="AA606" i="56" s="1"/>
  <c r="AE605" i="56"/>
  <c r="AA605" i="56" s="1"/>
  <c r="AE604" i="56"/>
  <c r="AA604" i="56" s="1"/>
  <c r="AE603" i="56"/>
  <c r="AA603" i="56" s="1"/>
  <c r="AE602" i="56"/>
  <c r="AA602" i="56" s="1"/>
  <c r="AE601" i="56"/>
  <c r="AA601" i="56" s="1"/>
  <c r="AE600" i="56"/>
  <c r="AA600" i="56" s="1"/>
  <c r="AE599" i="56"/>
  <c r="AA599" i="56" s="1"/>
  <c r="AE598" i="56"/>
  <c r="AA598" i="56" s="1"/>
  <c r="AE597" i="56"/>
  <c r="AA597" i="56" s="1"/>
  <c r="AE596" i="56"/>
  <c r="AA596" i="56" s="1"/>
  <c r="AE595" i="56"/>
  <c r="AA595" i="56" s="1"/>
  <c r="AE594" i="56"/>
  <c r="AA594" i="56" s="1"/>
  <c r="AE593" i="56"/>
  <c r="AA593" i="56" s="1"/>
  <c r="AE592" i="56"/>
  <c r="AA592" i="56" s="1"/>
  <c r="AE591" i="56"/>
  <c r="AA591" i="56" s="1"/>
  <c r="AE590" i="56"/>
  <c r="AA590" i="56" s="1"/>
  <c r="AE589" i="56"/>
  <c r="AA589" i="56" s="1"/>
  <c r="AE588" i="56"/>
  <c r="AA588" i="56" s="1"/>
  <c r="AE587" i="56"/>
  <c r="AA587" i="56" s="1"/>
  <c r="AE586" i="56"/>
  <c r="AA586" i="56" s="1"/>
  <c r="AE585" i="56"/>
  <c r="AA585" i="56" s="1"/>
  <c r="AE584" i="56"/>
  <c r="AA584" i="56" s="1"/>
  <c r="AE583" i="56"/>
  <c r="AA583" i="56" s="1"/>
  <c r="AE582" i="56"/>
  <c r="AA582" i="56" s="1"/>
  <c r="AE581" i="56"/>
  <c r="AA581" i="56" s="1"/>
  <c r="AE580" i="56"/>
  <c r="AA580" i="56" s="1"/>
  <c r="AE579" i="56"/>
  <c r="AA579" i="56" s="1"/>
  <c r="AE578" i="56"/>
  <c r="AA578" i="56" s="1"/>
  <c r="AE577" i="56"/>
  <c r="AA577" i="56" s="1"/>
  <c r="AE576" i="56"/>
  <c r="AA576" i="56" s="1"/>
  <c r="AE575" i="56"/>
  <c r="AA575" i="56" s="1"/>
  <c r="AE574" i="56"/>
  <c r="AA574" i="56" s="1"/>
  <c r="AE573" i="56"/>
  <c r="AA573" i="56" s="1"/>
  <c r="AE572" i="56"/>
  <c r="AA572" i="56" s="1"/>
  <c r="AE571" i="56"/>
  <c r="AA571" i="56" s="1"/>
  <c r="AE570" i="56"/>
  <c r="AA570" i="56" s="1"/>
  <c r="AE569" i="56"/>
  <c r="AA569" i="56" s="1"/>
  <c r="AE568" i="56"/>
  <c r="AA568" i="56" s="1"/>
  <c r="AE567" i="56"/>
  <c r="AA567" i="56" s="1"/>
  <c r="AE566" i="56"/>
  <c r="AA566" i="56" s="1"/>
  <c r="AE565" i="56"/>
  <c r="AA565" i="56" s="1"/>
  <c r="AE564" i="56"/>
  <c r="AA564" i="56" s="1"/>
  <c r="AE563" i="56"/>
  <c r="AA563" i="56" s="1"/>
  <c r="AE562" i="56"/>
  <c r="AA562" i="56" s="1"/>
  <c r="AE561" i="56"/>
  <c r="AA561" i="56" s="1"/>
  <c r="AE560" i="56"/>
  <c r="AA560" i="56" s="1"/>
  <c r="AE559" i="56"/>
  <c r="AA559" i="56" s="1"/>
  <c r="AE558" i="56"/>
  <c r="AA558" i="56" s="1"/>
  <c r="AE557" i="56"/>
  <c r="AA557" i="56" s="1"/>
  <c r="AE556" i="56"/>
  <c r="AA556" i="56" s="1"/>
  <c r="AE555" i="56"/>
  <c r="AA555" i="56" s="1"/>
  <c r="AE554" i="56"/>
  <c r="AA554" i="56" s="1"/>
  <c r="AE553" i="56"/>
  <c r="AA553" i="56" s="1"/>
  <c r="AE552" i="56"/>
  <c r="AA552" i="56" s="1"/>
  <c r="AE551" i="56"/>
  <c r="AA551" i="56" s="1"/>
  <c r="AE550" i="56"/>
  <c r="AA550" i="56" s="1"/>
  <c r="AE549" i="56"/>
  <c r="AA549" i="56" s="1"/>
  <c r="AE548" i="56"/>
  <c r="AA548" i="56" s="1"/>
  <c r="AE547" i="56"/>
  <c r="AA547" i="56" s="1"/>
  <c r="AE546" i="56"/>
  <c r="AA546" i="56" s="1"/>
  <c r="AE545" i="56"/>
  <c r="AA545" i="56" s="1"/>
  <c r="AE544" i="56"/>
  <c r="AA544" i="56" s="1"/>
  <c r="AE543" i="56"/>
  <c r="AA543" i="56" s="1"/>
  <c r="AE542" i="56"/>
  <c r="AA542" i="56" s="1"/>
  <c r="AE541" i="56"/>
  <c r="AA541" i="56" s="1"/>
  <c r="AE540" i="56"/>
  <c r="AA540" i="56" s="1"/>
  <c r="AE539" i="56"/>
  <c r="AA539" i="56" s="1"/>
  <c r="AE538" i="56"/>
  <c r="AA538" i="56" s="1"/>
  <c r="AE537" i="56"/>
  <c r="AA537" i="56" s="1"/>
  <c r="AE536" i="56"/>
  <c r="AA536" i="56" s="1"/>
  <c r="AE535" i="56"/>
  <c r="AA535" i="56" s="1"/>
  <c r="AE534" i="56"/>
  <c r="AA534" i="56" s="1"/>
  <c r="AE533" i="56"/>
  <c r="AA533" i="56" s="1"/>
  <c r="AE532" i="56"/>
  <c r="AA532" i="56" s="1"/>
  <c r="AE531" i="56"/>
  <c r="AA531" i="56" s="1"/>
  <c r="AE530" i="56"/>
  <c r="AA530" i="56" s="1"/>
  <c r="AE529" i="56"/>
  <c r="AA529" i="56" s="1"/>
  <c r="AE528" i="56"/>
  <c r="AA528" i="56" s="1"/>
  <c r="AE527" i="56"/>
  <c r="AA527" i="56" s="1"/>
  <c r="AE526" i="56"/>
  <c r="AA526" i="56" s="1"/>
  <c r="AE525" i="56"/>
  <c r="AA525" i="56" s="1"/>
  <c r="AE524" i="56"/>
  <c r="AA524" i="56" s="1"/>
  <c r="AE523" i="56"/>
  <c r="AA523" i="56" s="1"/>
  <c r="AE522" i="56"/>
  <c r="AA522" i="56" s="1"/>
  <c r="AE521" i="56"/>
  <c r="AA521" i="56" s="1"/>
  <c r="AE520" i="56"/>
  <c r="AA520" i="56" s="1"/>
  <c r="AE519" i="56"/>
  <c r="AA519" i="56" s="1"/>
  <c r="AE518" i="56"/>
  <c r="AA518" i="56" s="1"/>
  <c r="AE517" i="56"/>
  <c r="AA517" i="56" s="1"/>
  <c r="AE516" i="56"/>
  <c r="AA516" i="56" s="1"/>
  <c r="AE515" i="56"/>
  <c r="AA515" i="56" s="1"/>
  <c r="AE514" i="56"/>
  <c r="AA514" i="56" s="1"/>
  <c r="AE513" i="56"/>
  <c r="AA513" i="56" s="1"/>
  <c r="AE512" i="56"/>
  <c r="AA512" i="56" s="1"/>
  <c r="AE511" i="56"/>
  <c r="AA511" i="56" s="1"/>
  <c r="AE510" i="56"/>
  <c r="AA510" i="56" s="1"/>
  <c r="AE509" i="56"/>
  <c r="AA509" i="56" s="1"/>
  <c r="AE508" i="56"/>
  <c r="AA508" i="56" s="1"/>
  <c r="AE507" i="56"/>
  <c r="AA507" i="56" s="1"/>
  <c r="AE506" i="56"/>
  <c r="AA506" i="56" s="1"/>
  <c r="AE505" i="56"/>
  <c r="AA505" i="56" s="1"/>
  <c r="AE504" i="56"/>
  <c r="AA504" i="56" s="1"/>
  <c r="AE503" i="56"/>
  <c r="AA503" i="56" s="1"/>
  <c r="AE502" i="56"/>
  <c r="AA502" i="56" s="1"/>
  <c r="AE501" i="56"/>
  <c r="AA501" i="56" s="1"/>
  <c r="AE500" i="56"/>
  <c r="AA500" i="56" s="1"/>
  <c r="AE499" i="56"/>
  <c r="AA499" i="56" s="1"/>
  <c r="AE498" i="56"/>
  <c r="AA498" i="56" s="1"/>
  <c r="AE497" i="56"/>
  <c r="AA497" i="56" s="1"/>
  <c r="AE496" i="56"/>
  <c r="AA496" i="56" s="1"/>
  <c r="AE495" i="56"/>
  <c r="AA495" i="56" s="1"/>
  <c r="AE494" i="56"/>
  <c r="AA494" i="56" s="1"/>
  <c r="AE493" i="56"/>
  <c r="AA493" i="56" s="1"/>
  <c r="AE492" i="56"/>
  <c r="AA492" i="56" s="1"/>
  <c r="AE491" i="56"/>
  <c r="AA491" i="56" s="1"/>
  <c r="AE490" i="56"/>
  <c r="AA490" i="56" s="1"/>
  <c r="AE489" i="56"/>
  <c r="AA489" i="56" s="1"/>
  <c r="AE488" i="56"/>
  <c r="AA488" i="56" s="1"/>
  <c r="AE487" i="56"/>
  <c r="AA487" i="56" s="1"/>
  <c r="AE486" i="56"/>
  <c r="AA486" i="56" s="1"/>
  <c r="AE485" i="56"/>
  <c r="AA485" i="56" s="1"/>
  <c r="AE484" i="56"/>
  <c r="AA484" i="56" s="1"/>
  <c r="AE483" i="56"/>
  <c r="AA483" i="56" s="1"/>
  <c r="AE482" i="56"/>
  <c r="AA482" i="56" s="1"/>
  <c r="AE481" i="56"/>
  <c r="AA481" i="56" s="1"/>
  <c r="AE480" i="56"/>
  <c r="AA480" i="56" s="1"/>
  <c r="AE479" i="56"/>
  <c r="AA479" i="56" s="1"/>
  <c r="AE478" i="56"/>
  <c r="AA478" i="56" s="1"/>
  <c r="AE477" i="56"/>
  <c r="AA477" i="56" s="1"/>
  <c r="AE476" i="56"/>
  <c r="AA476" i="56" s="1"/>
  <c r="AE475" i="56"/>
  <c r="AA475" i="56" s="1"/>
  <c r="AE474" i="56"/>
  <c r="AA474" i="56" s="1"/>
  <c r="AE473" i="56"/>
  <c r="AA473" i="56" s="1"/>
  <c r="AE472" i="56"/>
  <c r="AA472" i="56" s="1"/>
  <c r="AE471" i="56"/>
  <c r="AA471" i="56" s="1"/>
  <c r="AE470" i="56"/>
  <c r="AA470" i="56" s="1"/>
  <c r="AE469" i="56"/>
  <c r="AA469" i="56" s="1"/>
  <c r="AE468" i="56"/>
  <c r="AA468" i="56" s="1"/>
  <c r="AE467" i="56"/>
  <c r="AA467" i="56" s="1"/>
  <c r="AE466" i="56"/>
  <c r="AA466" i="56" s="1"/>
  <c r="AE465" i="56"/>
  <c r="AA465" i="56" s="1"/>
  <c r="AE464" i="56"/>
  <c r="AA464" i="56" s="1"/>
  <c r="AE463" i="56"/>
  <c r="AA463" i="56" s="1"/>
  <c r="AE462" i="56"/>
  <c r="AA462" i="56" s="1"/>
  <c r="AE461" i="56"/>
  <c r="AA461" i="56" s="1"/>
  <c r="AE460" i="56"/>
  <c r="AA460" i="56" s="1"/>
  <c r="AE459" i="56"/>
  <c r="AA459" i="56" s="1"/>
  <c r="AE458" i="56"/>
  <c r="AA458" i="56" s="1"/>
  <c r="AE457" i="56"/>
  <c r="AA457" i="56" s="1"/>
  <c r="AE456" i="56"/>
  <c r="AA456" i="56" s="1"/>
  <c r="AE455" i="56"/>
  <c r="AA455" i="56" s="1"/>
  <c r="AE454" i="56"/>
  <c r="AA454" i="56" s="1"/>
  <c r="AE453" i="56"/>
  <c r="AA453" i="56" s="1"/>
  <c r="AE452" i="56"/>
  <c r="AA452" i="56" s="1"/>
  <c r="AE451" i="56"/>
  <c r="AA451" i="56" s="1"/>
  <c r="AE450" i="56"/>
  <c r="AA450" i="56" s="1"/>
  <c r="AE449" i="56"/>
  <c r="AA449" i="56" s="1"/>
  <c r="AE448" i="56"/>
  <c r="AA448" i="56" s="1"/>
  <c r="AE447" i="56"/>
  <c r="AA447" i="56" s="1"/>
  <c r="AE446" i="56"/>
  <c r="AA446" i="56" s="1"/>
  <c r="AE445" i="56"/>
  <c r="AA445" i="56" s="1"/>
  <c r="AE444" i="56"/>
  <c r="AA444" i="56" s="1"/>
  <c r="AE443" i="56"/>
  <c r="AA443" i="56" s="1"/>
  <c r="AE442" i="56"/>
  <c r="AA442" i="56" s="1"/>
  <c r="AE441" i="56"/>
  <c r="AA441" i="56" s="1"/>
  <c r="AE440" i="56"/>
  <c r="AA440" i="56" s="1"/>
  <c r="AE439" i="56"/>
  <c r="AA439" i="56" s="1"/>
  <c r="AE438" i="56"/>
  <c r="AA438" i="56" s="1"/>
  <c r="AE437" i="56"/>
  <c r="AA437" i="56" s="1"/>
  <c r="AE436" i="56"/>
  <c r="AA436" i="56" s="1"/>
  <c r="AE435" i="56"/>
  <c r="AA435" i="56" s="1"/>
  <c r="AE434" i="56"/>
  <c r="AA434" i="56" s="1"/>
  <c r="AE433" i="56"/>
  <c r="AA433" i="56" s="1"/>
  <c r="AE432" i="56"/>
  <c r="AA432" i="56" s="1"/>
  <c r="AE431" i="56"/>
  <c r="AA431" i="56" s="1"/>
  <c r="AE430" i="56"/>
  <c r="AA430" i="56" s="1"/>
  <c r="AE429" i="56"/>
  <c r="AA429" i="56" s="1"/>
  <c r="AE428" i="56"/>
  <c r="AA428" i="56" s="1"/>
  <c r="AE427" i="56"/>
  <c r="AA427" i="56" s="1"/>
  <c r="AE426" i="56"/>
  <c r="AA426" i="56" s="1"/>
  <c r="AE425" i="56"/>
  <c r="AA425" i="56" s="1"/>
  <c r="AE424" i="56"/>
  <c r="AA424" i="56" s="1"/>
  <c r="AE423" i="56"/>
  <c r="AA423" i="56" s="1"/>
  <c r="AE422" i="56"/>
  <c r="AA422" i="56" s="1"/>
  <c r="AE421" i="56"/>
  <c r="AA421" i="56" s="1"/>
  <c r="AE420" i="56"/>
  <c r="AA420" i="56" s="1"/>
  <c r="AE419" i="56"/>
  <c r="AA419" i="56" s="1"/>
  <c r="AE418" i="56"/>
  <c r="AA418" i="56" s="1"/>
  <c r="AE417" i="56"/>
  <c r="AA417" i="56" s="1"/>
  <c r="AE416" i="56"/>
  <c r="AA416" i="56" s="1"/>
  <c r="AE415" i="56"/>
  <c r="AA415" i="56" s="1"/>
  <c r="AE414" i="56"/>
  <c r="AA414" i="56" s="1"/>
  <c r="AE413" i="56"/>
  <c r="AA413" i="56" s="1"/>
  <c r="AE412" i="56"/>
  <c r="AA412" i="56" s="1"/>
  <c r="AE411" i="56"/>
  <c r="AA411" i="56" s="1"/>
  <c r="AE410" i="56"/>
  <c r="AA410" i="56" s="1"/>
  <c r="AE409" i="56"/>
  <c r="AA409" i="56" s="1"/>
  <c r="AE408" i="56"/>
  <c r="AA408" i="56" s="1"/>
  <c r="AE407" i="56"/>
  <c r="AA407" i="56" s="1"/>
  <c r="AE406" i="56"/>
  <c r="AA406" i="56" s="1"/>
  <c r="AE405" i="56"/>
  <c r="AA405" i="56" s="1"/>
  <c r="AE404" i="56"/>
  <c r="AA404" i="56" s="1"/>
  <c r="AE403" i="56"/>
  <c r="AA403" i="56" s="1"/>
  <c r="AE402" i="56"/>
  <c r="AA402" i="56" s="1"/>
  <c r="AE401" i="56"/>
  <c r="AA401" i="56" s="1"/>
  <c r="AE400" i="56"/>
  <c r="AA400" i="56" s="1"/>
  <c r="AE399" i="56"/>
  <c r="AA399" i="56" s="1"/>
  <c r="AE398" i="56"/>
  <c r="AA398" i="56" s="1"/>
  <c r="AE397" i="56"/>
  <c r="AA397" i="56" s="1"/>
  <c r="AE396" i="56"/>
  <c r="AA396" i="56" s="1"/>
  <c r="AE395" i="56"/>
  <c r="AA395" i="56" s="1"/>
  <c r="AE394" i="56"/>
  <c r="AA394" i="56" s="1"/>
  <c r="AE393" i="56"/>
  <c r="AA393" i="56" s="1"/>
  <c r="AE392" i="56"/>
  <c r="AA392" i="56" s="1"/>
  <c r="AE391" i="56"/>
  <c r="AA391" i="56" s="1"/>
  <c r="AE390" i="56"/>
  <c r="AA390" i="56" s="1"/>
  <c r="AE389" i="56"/>
  <c r="AA389" i="56" s="1"/>
  <c r="AE388" i="56"/>
  <c r="AA388" i="56" s="1"/>
  <c r="AE387" i="56"/>
  <c r="AA387" i="56" s="1"/>
  <c r="AE386" i="56"/>
  <c r="AA386" i="56" s="1"/>
  <c r="AE385" i="56"/>
  <c r="AA385" i="56" s="1"/>
  <c r="AE384" i="56"/>
  <c r="AA384" i="56" s="1"/>
  <c r="AE383" i="56"/>
  <c r="AA383" i="56" s="1"/>
  <c r="AE382" i="56"/>
  <c r="AA382" i="56" s="1"/>
  <c r="AE381" i="56"/>
  <c r="AA381" i="56" s="1"/>
  <c r="AE380" i="56"/>
  <c r="AA380" i="56" s="1"/>
  <c r="AE379" i="56"/>
  <c r="AA379" i="56" s="1"/>
  <c r="AE378" i="56"/>
  <c r="AA378" i="56" s="1"/>
  <c r="AE377" i="56"/>
  <c r="AA377" i="56" s="1"/>
  <c r="AE376" i="56"/>
  <c r="AA376" i="56" s="1"/>
  <c r="AE375" i="56"/>
  <c r="AA375" i="56" s="1"/>
  <c r="AE374" i="56"/>
  <c r="AA374" i="56" s="1"/>
  <c r="AE373" i="56"/>
  <c r="AA373" i="56" s="1"/>
  <c r="AE372" i="56"/>
  <c r="AA372" i="56" s="1"/>
  <c r="AE371" i="56"/>
  <c r="AA371" i="56" s="1"/>
  <c r="AE370" i="56"/>
  <c r="AA370" i="56" s="1"/>
  <c r="AE369" i="56"/>
  <c r="AA369" i="56" s="1"/>
  <c r="AE368" i="56"/>
  <c r="AA368" i="56" s="1"/>
  <c r="AE367" i="56"/>
  <c r="AA367" i="56" s="1"/>
  <c r="AE366" i="56"/>
  <c r="AA366" i="56" s="1"/>
  <c r="AE365" i="56"/>
  <c r="AA365" i="56" s="1"/>
  <c r="AE364" i="56"/>
  <c r="AA364" i="56" s="1"/>
  <c r="AE363" i="56"/>
  <c r="AA363" i="56" s="1"/>
  <c r="AE362" i="56"/>
  <c r="AA362" i="56" s="1"/>
  <c r="AE361" i="56"/>
  <c r="AA361" i="56" s="1"/>
  <c r="AE360" i="56"/>
  <c r="AA360" i="56" s="1"/>
  <c r="AE359" i="56"/>
  <c r="AA359" i="56" s="1"/>
  <c r="AE358" i="56"/>
  <c r="AA358" i="56" s="1"/>
  <c r="AE357" i="56"/>
  <c r="AA357" i="56" s="1"/>
  <c r="AE356" i="56"/>
  <c r="AA356" i="56" s="1"/>
  <c r="AE355" i="56"/>
  <c r="AA355" i="56" s="1"/>
  <c r="AE354" i="56"/>
  <c r="AA354" i="56" s="1"/>
  <c r="AE353" i="56"/>
  <c r="AA353" i="56" s="1"/>
  <c r="AE352" i="56"/>
  <c r="AA352" i="56" s="1"/>
  <c r="AE351" i="56"/>
  <c r="AA351" i="56" s="1"/>
  <c r="AE350" i="56"/>
  <c r="AA350" i="56" s="1"/>
  <c r="AE349" i="56"/>
  <c r="AA349" i="56" s="1"/>
  <c r="AE348" i="56"/>
  <c r="AA348" i="56" s="1"/>
  <c r="AE347" i="56"/>
  <c r="AA347" i="56" s="1"/>
  <c r="AE346" i="56"/>
  <c r="AA346" i="56" s="1"/>
  <c r="AE345" i="56"/>
  <c r="AA345" i="56" s="1"/>
  <c r="AE344" i="56"/>
  <c r="AA344" i="56" s="1"/>
  <c r="AE343" i="56"/>
  <c r="AA343" i="56" s="1"/>
  <c r="AE342" i="56"/>
  <c r="AA342" i="56" s="1"/>
  <c r="AE341" i="56"/>
  <c r="AA341" i="56" s="1"/>
  <c r="AE340" i="56"/>
  <c r="AA340" i="56" s="1"/>
  <c r="AE339" i="56"/>
  <c r="AA339" i="56" s="1"/>
  <c r="AE338" i="56"/>
  <c r="AA338" i="56" s="1"/>
  <c r="AE337" i="56"/>
  <c r="AA337" i="56" s="1"/>
  <c r="AE336" i="56"/>
  <c r="AA336" i="56" s="1"/>
  <c r="AE335" i="56"/>
  <c r="AA335" i="56" s="1"/>
  <c r="AE334" i="56"/>
  <c r="AA334" i="56" s="1"/>
  <c r="AE333" i="56"/>
  <c r="AA333" i="56" s="1"/>
  <c r="AE332" i="56"/>
  <c r="AA332" i="56" s="1"/>
  <c r="AE331" i="56"/>
  <c r="AA331" i="56" s="1"/>
  <c r="AE330" i="56"/>
  <c r="AA330" i="56" s="1"/>
  <c r="AE329" i="56"/>
  <c r="AA329" i="56" s="1"/>
  <c r="AE328" i="56"/>
  <c r="AA328" i="56" s="1"/>
  <c r="AE327" i="56"/>
  <c r="AA327" i="56" s="1"/>
  <c r="AE326" i="56"/>
  <c r="AA326" i="56" s="1"/>
  <c r="AE325" i="56"/>
  <c r="AA325" i="56" s="1"/>
  <c r="AE324" i="56"/>
  <c r="AA324" i="56" s="1"/>
  <c r="AE323" i="56"/>
  <c r="AA323" i="56" s="1"/>
  <c r="AE322" i="56"/>
  <c r="AA322" i="56" s="1"/>
  <c r="AE321" i="56"/>
  <c r="AA321" i="56" s="1"/>
  <c r="AE320" i="56"/>
  <c r="AA320" i="56" s="1"/>
  <c r="AE319" i="56"/>
  <c r="AA319" i="56" s="1"/>
  <c r="AE318" i="56"/>
  <c r="AA318" i="56" s="1"/>
  <c r="AE317" i="56"/>
  <c r="AA317" i="56" s="1"/>
  <c r="AE316" i="56"/>
  <c r="AA316" i="56" s="1"/>
  <c r="AE315" i="56"/>
  <c r="AA315" i="56" s="1"/>
  <c r="AE314" i="56"/>
  <c r="AA314" i="56" s="1"/>
  <c r="AE313" i="56"/>
  <c r="AA313" i="56" s="1"/>
  <c r="AE312" i="56"/>
  <c r="AA312" i="56" s="1"/>
  <c r="AE311" i="56"/>
  <c r="AA311" i="56" s="1"/>
  <c r="AE310" i="56"/>
  <c r="AA310" i="56" s="1"/>
  <c r="AE309" i="56"/>
  <c r="AA309" i="56" s="1"/>
  <c r="AE308" i="56"/>
  <c r="AA308" i="56" s="1"/>
  <c r="AE307" i="56"/>
  <c r="AA307" i="56" s="1"/>
  <c r="AE306" i="56"/>
  <c r="AA306" i="56" s="1"/>
  <c r="AE305" i="56"/>
  <c r="AA305" i="56" s="1"/>
  <c r="AE304" i="56"/>
  <c r="AA304" i="56" s="1"/>
  <c r="AE303" i="56"/>
  <c r="AA303" i="56" s="1"/>
  <c r="AE302" i="56"/>
  <c r="AA302" i="56" s="1"/>
  <c r="AE301" i="56"/>
  <c r="AA301" i="56" s="1"/>
  <c r="AE300" i="56"/>
  <c r="AA300" i="56" s="1"/>
  <c r="AE299" i="56"/>
  <c r="AA299" i="56" s="1"/>
  <c r="AE298" i="56"/>
  <c r="AA298" i="56" s="1"/>
  <c r="AE297" i="56"/>
  <c r="AA297" i="56" s="1"/>
  <c r="AE296" i="56"/>
  <c r="AA296" i="56" s="1"/>
  <c r="AE295" i="56"/>
  <c r="AA295" i="56" s="1"/>
  <c r="AE294" i="56"/>
  <c r="AA294" i="56" s="1"/>
  <c r="AE293" i="56"/>
  <c r="AA293" i="56" s="1"/>
  <c r="AE292" i="56"/>
  <c r="AA292" i="56" s="1"/>
  <c r="AE291" i="56"/>
  <c r="AA291" i="56" s="1"/>
  <c r="AE290" i="56"/>
  <c r="AA290" i="56" s="1"/>
  <c r="AE289" i="56"/>
  <c r="AA289" i="56" s="1"/>
  <c r="AE288" i="56"/>
  <c r="AA288" i="56" s="1"/>
  <c r="AE287" i="56"/>
  <c r="AA287" i="56" s="1"/>
  <c r="AE286" i="56"/>
  <c r="AA286" i="56" s="1"/>
  <c r="AE285" i="56"/>
  <c r="AA285" i="56" s="1"/>
  <c r="AE284" i="56"/>
  <c r="AA284" i="56" s="1"/>
  <c r="AE283" i="56"/>
  <c r="AA283" i="56" s="1"/>
  <c r="AE282" i="56"/>
  <c r="AA282" i="56" s="1"/>
  <c r="AE281" i="56"/>
  <c r="AA281" i="56" s="1"/>
  <c r="AE280" i="56"/>
  <c r="AA280" i="56" s="1"/>
  <c r="AE279" i="56"/>
  <c r="AA279" i="56" s="1"/>
  <c r="AE278" i="56"/>
  <c r="AA278" i="56" s="1"/>
  <c r="AE277" i="56"/>
  <c r="AA277" i="56" s="1"/>
  <c r="AE276" i="56"/>
  <c r="AA276" i="56" s="1"/>
  <c r="AE275" i="56"/>
  <c r="AA275" i="56" s="1"/>
  <c r="AE274" i="56"/>
  <c r="AA274" i="56" s="1"/>
  <c r="AE273" i="56"/>
  <c r="AA273" i="56" s="1"/>
  <c r="AE272" i="56"/>
  <c r="AA272" i="56" s="1"/>
  <c r="AE271" i="56"/>
  <c r="AA271" i="56" s="1"/>
  <c r="AE270" i="56"/>
  <c r="AA270" i="56" s="1"/>
  <c r="AE269" i="56"/>
  <c r="AA269" i="56" s="1"/>
  <c r="AE268" i="56"/>
  <c r="AA268" i="56" s="1"/>
  <c r="AE267" i="56"/>
  <c r="AA267" i="56" s="1"/>
  <c r="AE266" i="56"/>
  <c r="AA266" i="56" s="1"/>
  <c r="AE265" i="56"/>
  <c r="AA265" i="56" s="1"/>
  <c r="AE264" i="56"/>
  <c r="AA264" i="56" s="1"/>
  <c r="AE263" i="56"/>
  <c r="AA263" i="56" s="1"/>
  <c r="AE262" i="56"/>
  <c r="AA262" i="56" s="1"/>
  <c r="AE261" i="56"/>
  <c r="AA261" i="56" s="1"/>
  <c r="AE260" i="56"/>
  <c r="AA260" i="56" s="1"/>
  <c r="AE259" i="56"/>
  <c r="AA259" i="56" s="1"/>
  <c r="AE258" i="56"/>
  <c r="AA258" i="56" s="1"/>
  <c r="AE257" i="56"/>
  <c r="AA257" i="56" s="1"/>
  <c r="AE256" i="56"/>
  <c r="AA256" i="56" s="1"/>
  <c r="AE255" i="56"/>
  <c r="AA255" i="56" s="1"/>
  <c r="AE254" i="56"/>
  <c r="AA254" i="56" s="1"/>
  <c r="AE253" i="56"/>
  <c r="AA253" i="56" s="1"/>
  <c r="AE252" i="56"/>
  <c r="AA252" i="56" s="1"/>
  <c r="AE251" i="56"/>
  <c r="AA251" i="56" s="1"/>
  <c r="AE250" i="56"/>
  <c r="AA250" i="56" s="1"/>
  <c r="AE249" i="56"/>
  <c r="AA249" i="56" s="1"/>
  <c r="AE248" i="56"/>
  <c r="AA248" i="56" s="1"/>
  <c r="AE247" i="56"/>
  <c r="AA247" i="56" s="1"/>
  <c r="AE246" i="56"/>
  <c r="AA246" i="56" s="1"/>
  <c r="AE245" i="56"/>
  <c r="AA245" i="56" s="1"/>
  <c r="AE244" i="56"/>
  <c r="AA244" i="56" s="1"/>
  <c r="AE243" i="56"/>
  <c r="AA243" i="56" s="1"/>
  <c r="AE242" i="56"/>
  <c r="AA242" i="56" s="1"/>
  <c r="AE241" i="56"/>
  <c r="AA241" i="56" s="1"/>
  <c r="AE240" i="56"/>
  <c r="AA240" i="56" s="1"/>
  <c r="AE239" i="56"/>
  <c r="AA239" i="56" s="1"/>
  <c r="AE238" i="56"/>
  <c r="AA238" i="56" s="1"/>
  <c r="AE237" i="56"/>
  <c r="AA237" i="56" s="1"/>
  <c r="AE236" i="56"/>
  <c r="AA236" i="56" s="1"/>
  <c r="AE235" i="56"/>
  <c r="AA235" i="56" s="1"/>
  <c r="AE234" i="56"/>
  <c r="AA234" i="56" s="1"/>
  <c r="AE233" i="56"/>
  <c r="AA233" i="56" s="1"/>
  <c r="AE232" i="56"/>
  <c r="AA232" i="56" s="1"/>
  <c r="AE231" i="56"/>
  <c r="AA231" i="56" s="1"/>
  <c r="AE230" i="56"/>
  <c r="AA230" i="56" s="1"/>
  <c r="AE229" i="56"/>
  <c r="AA229" i="56" s="1"/>
  <c r="AE228" i="56"/>
  <c r="AA228" i="56" s="1"/>
  <c r="AE227" i="56"/>
  <c r="AA227" i="56" s="1"/>
  <c r="AE226" i="56"/>
  <c r="AA226" i="56" s="1"/>
  <c r="AE225" i="56"/>
  <c r="AA225" i="56" s="1"/>
  <c r="AE224" i="56"/>
  <c r="AA224" i="56" s="1"/>
  <c r="AE223" i="56"/>
  <c r="AA223" i="56" s="1"/>
  <c r="AE222" i="56"/>
  <c r="AA222" i="56" s="1"/>
  <c r="AE221" i="56"/>
  <c r="AA221" i="56" s="1"/>
  <c r="AE220" i="56"/>
  <c r="AA220" i="56" s="1"/>
  <c r="AE219" i="56"/>
  <c r="AA219" i="56" s="1"/>
  <c r="AE218" i="56"/>
  <c r="AA218" i="56" s="1"/>
  <c r="AE217" i="56"/>
  <c r="AA217" i="56" s="1"/>
  <c r="AE216" i="56"/>
  <c r="AA216" i="56" s="1"/>
  <c r="AE215" i="56"/>
  <c r="AA215" i="56" s="1"/>
  <c r="AE214" i="56"/>
  <c r="AA214" i="56" s="1"/>
  <c r="AE213" i="56"/>
  <c r="AA213" i="56" s="1"/>
  <c r="AE212" i="56"/>
  <c r="AA212" i="56" s="1"/>
  <c r="AE211" i="56"/>
  <c r="AA211" i="56" s="1"/>
  <c r="AE210" i="56"/>
  <c r="AA210" i="56" s="1"/>
  <c r="AE209" i="56"/>
  <c r="AA209" i="56" s="1"/>
  <c r="AE208" i="56"/>
  <c r="AA208" i="56" s="1"/>
  <c r="AE207" i="56"/>
  <c r="AA207" i="56" s="1"/>
  <c r="AE206" i="56"/>
  <c r="AA206" i="56" s="1"/>
  <c r="AE205" i="56"/>
  <c r="AA205" i="56" s="1"/>
  <c r="AE204" i="56"/>
  <c r="AA204" i="56" s="1"/>
  <c r="AE203" i="56"/>
  <c r="AA203" i="56" s="1"/>
  <c r="AE202" i="56"/>
  <c r="AA202" i="56" s="1"/>
  <c r="AE201" i="56"/>
  <c r="AA201" i="56" s="1"/>
  <c r="AE200" i="56"/>
  <c r="AA200" i="56" s="1"/>
  <c r="AE199" i="56"/>
  <c r="AA199" i="56" s="1"/>
  <c r="AE198" i="56"/>
  <c r="AA198" i="56" s="1"/>
  <c r="AE197" i="56"/>
  <c r="AA197" i="56" s="1"/>
  <c r="AE196" i="56"/>
  <c r="AA196" i="56" s="1"/>
  <c r="AE195" i="56"/>
  <c r="AA195" i="56" s="1"/>
  <c r="AE194" i="56"/>
  <c r="AA194" i="56" s="1"/>
  <c r="AE193" i="56"/>
  <c r="AA193" i="56" s="1"/>
  <c r="AE192" i="56"/>
  <c r="AA192" i="56" s="1"/>
  <c r="AE191" i="56"/>
  <c r="AA191" i="56" s="1"/>
  <c r="AE190" i="56"/>
  <c r="AA190" i="56" s="1"/>
  <c r="AE189" i="56"/>
  <c r="AA189" i="56" s="1"/>
  <c r="AE188" i="56"/>
  <c r="AA188" i="56" s="1"/>
  <c r="AE187" i="56"/>
  <c r="AA187" i="56" s="1"/>
  <c r="AE186" i="56"/>
  <c r="AA186" i="56" s="1"/>
  <c r="AE185" i="56"/>
  <c r="AA185" i="56" s="1"/>
  <c r="AE184" i="56"/>
  <c r="AA184" i="56" s="1"/>
  <c r="AE183" i="56"/>
  <c r="AA183" i="56" s="1"/>
  <c r="AE182" i="56"/>
  <c r="AA182" i="56" s="1"/>
  <c r="AE181" i="56"/>
  <c r="AA181" i="56" s="1"/>
  <c r="AE180" i="56"/>
  <c r="AA180" i="56" s="1"/>
  <c r="AE179" i="56"/>
  <c r="AA179" i="56" s="1"/>
  <c r="AE178" i="56"/>
  <c r="AA178" i="56" s="1"/>
  <c r="AE177" i="56"/>
  <c r="AA177" i="56" s="1"/>
  <c r="AE176" i="56"/>
  <c r="AA176" i="56" s="1"/>
  <c r="AE175" i="56"/>
  <c r="AA175" i="56" s="1"/>
  <c r="AE174" i="56"/>
  <c r="AA174" i="56" s="1"/>
  <c r="AE173" i="56"/>
  <c r="AA173" i="56" s="1"/>
  <c r="AE172" i="56"/>
  <c r="AA172" i="56" s="1"/>
  <c r="AE171" i="56"/>
  <c r="AA171" i="56" s="1"/>
  <c r="AE170" i="56"/>
  <c r="AA170" i="56" s="1"/>
  <c r="AE169" i="56"/>
  <c r="AA169" i="56" s="1"/>
  <c r="AE168" i="56"/>
  <c r="AA168" i="56" s="1"/>
  <c r="AE167" i="56"/>
  <c r="AA167" i="56" s="1"/>
  <c r="AE166" i="56"/>
  <c r="AA166" i="56" s="1"/>
  <c r="AE165" i="56"/>
  <c r="AA165" i="56" s="1"/>
  <c r="AE164" i="56"/>
  <c r="AA164" i="56" s="1"/>
  <c r="AE163" i="56"/>
  <c r="AA163" i="56" s="1"/>
  <c r="AE162" i="56"/>
  <c r="AA162" i="56" s="1"/>
  <c r="AE161" i="56"/>
  <c r="AA161" i="56" s="1"/>
  <c r="AE160" i="56"/>
  <c r="AA160" i="56" s="1"/>
  <c r="AE159" i="56"/>
  <c r="AA159" i="56" s="1"/>
  <c r="AE158" i="56"/>
  <c r="AA158" i="56" s="1"/>
  <c r="AE157" i="56"/>
  <c r="AA157" i="56" s="1"/>
  <c r="AE156" i="56"/>
  <c r="AA156" i="56" s="1"/>
  <c r="AE155" i="56"/>
  <c r="AA155" i="56" s="1"/>
  <c r="AE154" i="56"/>
  <c r="AA154" i="56" s="1"/>
  <c r="AE153" i="56"/>
  <c r="AA153" i="56" s="1"/>
  <c r="AE152" i="56"/>
  <c r="AA152" i="56" s="1"/>
  <c r="AE151" i="56"/>
  <c r="AA151" i="56" s="1"/>
  <c r="AE150" i="56"/>
  <c r="AA150" i="56" s="1"/>
  <c r="AE149" i="56"/>
  <c r="AA149" i="56" s="1"/>
  <c r="AE148" i="56"/>
  <c r="AA148" i="56" s="1"/>
  <c r="AE147" i="56"/>
  <c r="AA147" i="56" s="1"/>
  <c r="AE146" i="56"/>
  <c r="AA146" i="56" s="1"/>
  <c r="AE145" i="56"/>
  <c r="AA145" i="56" s="1"/>
  <c r="AE144" i="56"/>
  <c r="AA144" i="56" s="1"/>
  <c r="AE143" i="56"/>
  <c r="AA143" i="56" s="1"/>
  <c r="AE142" i="56"/>
  <c r="AA142" i="56" s="1"/>
  <c r="AE141" i="56"/>
  <c r="AA141" i="56" s="1"/>
  <c r="AE140" i="56"/>
  <c r="AA140" i="56" s="1"/>
  <c r="AE139" i="56"/>
  <c r="AA139" i="56" s="1"/>
  <c r="AE138" i="56"/>
  <c r="AA138" i="56" s="1"/>
  <c r="AE137" i="56"/>
  <c r="AA137" i="56" s="1"/>
  <c r="AE136" i="56"/>
  <c r="AA136" i="56" s="1"/>
  <c r="AE135" i="56"/>
  <c r="AA135" i="56" s="1"/>
  <c r="AE134" i="56"/>
  <c r="AA134" i="56" s="1"/>
  <c r="AE133" i="56"/>
  <c r="AA133" i="56" s="1"/>
  <c r="AE132" i="56"/>
  <c r="AA132" i="56" s="1"/>
  <c r="AE131" i="56"/>
  <c r="AA131" i="56" s="1"/>
  <c r="AE130" i="56"/>
  <c r="AA130" i="56" s="1"/>
  <c r="AE129" i="56"/>
  <c r="AA129" i="56" s="1"/>
  <c r="AE128" i="56"/>
  <c r="AA128" i="56" s="1"/>
  <c r="AE127" i="56"/>
  <c r="AA127" i="56" s="1"/>
  <c r="AE126" i="56"/>
  <c r="AA126" i="56" s="1"/>
  <c r="AE125" i="56"/>
  <c r="AA125" i="56" s="1"/>
  <c r="AE124" i="56"/>
  <c r="AA124" i="56" s="1"/>
  <c r="AE123" i="56"/>
  <c r="AA123" i="56" s="1"/>
  <c r="AE122" i="56"/>
  <c r="AA122" i="56" s="1"/>
  <c r="AE121" i="56"/>
  <c r="AA121" i="56" s="1"/>
  <c r="AE120" i="56"/>
  <c r="AA120" i="56" s="1"/>
  <c r="AE119" i="56"/>
  <c r="AA119" i="56" s="1"/>
  <c r="AE118" i="56"/>
  <c r="AA118" i="56" s="1"/>
  <c r="AE117" i="56"/>
  <c r="AA117" i="56" s="1"/>
  <c r="AE116" i="56"/>
  <c r="AA116" i="56" s="1"/>
  <c r="AE115" i="56"/>
  <c r="AA115" i="56" s="1"/>
  <c r="AE114" i="56"/>
  <c r="AA114" i="56" s="1"/>
  <c r="AE113" i="56"/>
  <c r="AA113" i="56" s="1"/>
  <c r="AE112" i="56"/>
  <c r="AA112" i="56" s="1"/>
  <c r="AE111" i="56"/>
  <c r="AA111" i="56" s="1"/>
  <c r="AE110" i="56"/>
  <c r="AA110" i="56" s="1"/>
  <c r="AE109" i="56"/>
  <c r="AA109" i="56" s="1"/>
  <c r="AE108" i="56"/>
  <c r="AA108" i="56" s="1"/>
  <c r="AE107" i="56"/>
  <c r="AA107" i="56" s="1"/>
  <c r="AE106" i="56"/>
  <c r="AA106" i="56" s="1"/>
  <c r="AE105" i="56"/>
  <c r="AA105" i="56" s="1"/>
  <c r="AE104" i="56"/>
  <c r="AA104" i="56" s="1"/>
  <c r="AE103" i="56"/>
  <c r="AA103" i="56" s="1"/>
  <c r="AE102" i="56"/>
  <c r="AA102" i="56" s="1"/>
  <c r="AE101" i="56"/>
  <c r="AA101" i="56" s="1"/>
  <c r="AE100" i="56"/>
  <c r="AA100" i="56" s="1"/>
  <c r="AE99" i="56"/>
  <c r="AA99" i="56" s="1"/>
  <c r="AE98" i="56"/>
  <c r="AA98" i="56" s="1"/>
  <c r="AE97" i="56"/>
  <c r="AA97" i="56" s="1"/>
  <c r="AE96" i="56"/>
  <c r="AA96" i="56" s="1"/>
  <c r="AE95" i="56"/>
  <c r="AA95" i="56" s="1"/>
  <c r="AE94" i="56"/>
  <c r="AA94" i="56" s="1"/>
  <c r="AE93" i="56"/>
  <c r="AA93" i="56" s="1"/>
  <c r="AE92" i="56"/>
  <c r="AA92" i="56" s="1"/>
  <c r="AE91" i="56"/>
  <c r="AA91" i="56" s="1"/>
  <c r="AE90" i="56"/>
  <c r="AA90" i="56" s="1"/>
  <c r="AE89" i="56"/>
  <c r="AA89" i="56" s="1"/>
  <c r="AE88" i="56"/>
  <c r="AA88" i="56" s="1"/>
  <c r="AE87" i="56"/>
  <c r="AA87" i="56" s="1"/>
  <c r="AE86" i="56"/>
  <c r="AA86" i="56" s="1"/>
  <c r="AE85" i="56"/>
  <c r="AA85" i="56" s="1"/>
  <c r="AE84" i="56"/>
  <c r="AA84" i="56" s="1"/>
  <c r="AE83" i="56"/>
  <c r="AA83" i="56" s="1"/>
  <c r="AE82" i="56"/>
  <c r="AA82" i="56" s="1"/>
  <c r="AE81" i="56"/>
  <c r="AA81" i="56" s="1"/>
  <c r="AE80" i="56"/>
  <c r="AA80" i="56" s="1"/>
  <c r="AE79" i="56"/>
  <c r="AA79" i="56" s="1"/>
  <c r="AE78" i="56"/>
  <c r="AA78" i="56" s="1"/>
  <c r="AE77" i="56"/>
  <c r="AA77" i="56" s="1"/>
  <c r="AE76" i="56"/>
  <c r="AA76" i="56" s="1"/>
  <c r="AE75" i="56"/>
  <c r="AA75" i="56" s="1"/>
  <c r="AE74" i="56"/>
  <c r="AA74" i="56" s="1"/>
  <c r="AE73" i="56"/>
  <c r="AA73" i="56" s="1"/>
  <c r="AE72" i="56"/>
  <c r="AA72" i="56" s="1"/>
  <c r="AE71" i="56"/>
  <c r="AA71" i="56" s="1"/>
  <c r="AE70" i="56"/>
  <c r="AA70" i="56" s="1"/>
  <c r="AE69" i="56"/>
  <c r="AA69" i="56" s="1"/>
  <c r="AE68" i="56"/>
  <c r="AA68" i="56" s="1"/>
  <c r="AE67" i="56"/>
  <c r="AA67" i="56" s="1"/>
  <c r="AE66" i="56"/>
  <c r="AA66" i="56" s="1"/>
  <c r="AE65" i="56"/>
  <c r="AA65" i="56" s="1"/>
  <c r="AE64" i="56"/>
  <c r="AA64" i="56" s="1"/>
  <c r="AE63" i="56"/>
  <c r="AA63" i="56" s="1"/>
  <c r="AE62" i="56"/>
  <c r="AA62" i="56" s="1"/>
  <c r="AE61" i="56"/>
  <c r="AA61" i="56" s="1"/>
  <c r="AE60" i="56"/>
  <c r="AA60" i="56" s="1"/>
  <c r="AE59" i="56"/>
  <c r="AA59" i="56" s="1"/>
  <c r="AE58" i="56"/>
  <c r="AA58" i="56" s="1"/>
  <c r="AE57" i="56"/>
  <c r="AA57" i="56" s="1"/>
  <c r="AE56" i="56"/>
  <c r="AA56" i="56" s="1"/>
  <c r="AE55" i="56"/>
  <c r="AA55" i="56" s="1"/>
  <c r="AE54" i="56"/>
  <c r="AA54" i="56" s="1"/>
  <c r="AE53" i="56"/>
  <c r="AA53" i="56" s="1"/>
  <c r="AE52" i="56"/>
  <c r="AA52" i="56" s="1"/>
  <c r="AE51" i="56"/>
  <c r="AA51" i="56" s="1"/>
  <c r="AE50" i="56"/>
  <c r="AA50" i="56" s="1"/>
  <c r="AE49" i="56"/>
  <c r="AA49" i="56" s="1"/>
  <c r="AE48" i="56"/>
  <c r="AA48" i="56" s="1"/>
  <c r="AE47" i="56"/>
  <c r="AA47" i="56" s="1"/>
  <c r="AE46" i="56"/>
  <c r="AA46" i="56" s="1"/>
  <c r="AE45" i="56"/>
  <c r="AA45" i="56" s="1"/>
  <c r="AE44" i="56"/>
  <c r="AA44" i="56" s="1"/>
  <c r="AE43" i="56"/>
  <c r="AA43" i="56" s="1"/>
  <c r="AE42" i="56"/>
  <c r="AA42" i="56" s="1"/>
  <c r="AE41" i="56"/>
  <c r="AA41" i="56" s="1"/>
  <c r="AE40" i="56"/>
  <c r="AA40" i="56" s="1"/>
  <c r="AE39" i="56"/>
  <c r="AA39" i="56" s="1"/>
  <c r="AE38" i="56"/>
  <c r="AA38" i="56" s="1"/>
  <c r="AE37" i="56"/>
  <c r="AA37" i="56" s="1"/>
  <c r="AE36" i="56"/>
  <c r="AA36" i="56" s="1"/>
  <c r="AE35" i="56"/>
  <c r="AA35" i="56" s="1"/>
  <c r="AE34" i="56"/>
  <c r="AA34" i="56" s="1"/>
  <c r="AE33" i="56"/>
  <c r="AA33" i="56" s="1"/>
  <c r="AE32" i="56"/>
  <c r="AA32" i="56" s="1"/>
  <c r="AE31" i="56"/>
  <c r="AA31" i="56" s="1"/>
  <c r="AE30" i="56"/>
  <c r="AA30" i="56" s="1"/>
  <c r="AE29" i="56"/>
  <c r="AA29" i="56" s="1"/>
  <c r="AE28" i="56"/>
  <c r="AA28" i="56" s="1"/>
  <c r="AE27" i="56"/>
  <c r="AA27" i="56" s="1"/>
  <c r="AE26" i="56"/>
  <c r="AA26" i="56" s="1"/>
  <c r="AE25" i="56"/>
  <c r="AA25" i="56" s="1"/>
  <c r="AE24" i="56"/>
  <c r="AA24" i="56" s="1"/>
  <c r="AE23" i="56"/>
  <c r="AA23" i="56" s="1"/>
  <c r="AE22" i="56"/>
  <c r="AA22" i="56" s="1"/>
  <c r="AE21" i="56"/>
  <c r="AA21" i="56" s="1"/>
  <c r="AE20" i="56"/>
  <c r="AA20" i="56" s="1"/>
  <c r="AE19" i="56"/>
  <c r="AA19" i="56" s="1"/>
  <c r="AE18" i="56"/>
  <c r="AA18" i="56" s="1"/>
  <c r="AE17" i="56"/>
  <c r="AA17" i="56" s="1"/>
  <c r="AE16" i="56"/>
  <c r="AA16" i="56" s="1"/>
  <c r="AE15" i="56"/>
  <c r="AA15" i="56" s="1"/>
  <c r="AE14" i="56"/>
  <c r="AA14" i="56" s="1"/>
  <c r="AE13" i="56"/>
  <c r="AA13" i="56" s="1"/>
  <c r="AE12" i="56"/>
  <c r="AA12" i="56" s="1"/>
  <c r="AE11" i="56"/>
  <c r="AA11" i="56" s="1"/>
  <c r="AE10" i="56"/>
  <c r="AA10" i="56" s="1"/>
  <c r="AE9" i="56"/>
  <c r="AA9" i="56" s="1"/>
  <c r="AE8" i="56"/>
  <c r="AA8" i="56" s="1"/>
  <c r="AE7" i="56"/>
  <c r="AA7" i="56" s="1"/>
  <c r="AE6" i="56"/>
  <c r="AA6" i="56" s="1"/>
  <c r="AE5" i="56"/>
  <c r="AA5" i="56" s="1"/>
  <c r="AE4" i="56"/>
  <c r="AA4" i="56" s="1"/>
  <c r="AE3" i="56"/>
  <c r="AA3" i="56" s="1"/>
  <c r="AE2" i="56"/>
  <c r="AA2" i="56" s="1"/>
  <c r="AE1626" i="7"/>
  <c r="AA1626" i="7" s="1"/>
  <c r="AE1627" i="7"/>
  <c r="AA1627" i="7" s="1"/>
  <c r="AE1628" i="7"/>
  <c r="AA1628" i="7" s="1"/>
  <c r="AE1629" i="7"/>
  <c r="AA1629" i="7" s="1"/>
  <c r="AE1630" i="7"/>
  <c r="AA1630" i="7" s="1"/>
  <c r="AE1631" i="7"/>
  <c r="AA1631" i="7" s="1"/>
  <c r="AE1632" i="7"/>
  <c r="AA1632" i="7" s="1"/>
  <c r="AE1633" i="7"/>
  <c r="AA1633" i="7" s="1"/>
  <c r="AE1634" i="7"/>
  <c r="AA1634" i="7" s="1"/>
  <c r="AE1635" i="7"/>
  <c r="AA1635" i="7" s="1"/>
  <c r="AE1636" i="7"/>
  <c r="AA1636" i="7" s="1"/>
  <c r="AE1637" i="7"/>
  <c r="AA1637" i="7" s="1"/>
  <c r="AE1638" i="7"/>
  <c r="AA1638" i="7" s="1"/>
  <c r="AE1639" i="7"/>
  <c r="AA1639" i="7" s="1"/>
  <c r="AE1640" i="7"/>
  <c r="AA1640" i="7" s="1"/>
  <c r="AE1641" i="7"/>
  <c r="AA1641" i="7" s="1"/>
  <c r="AE1642" i="7"/>
  <c r="AA1642" i="7" s="1"/>
  <c r="AE1643" i="7"/>
  <c r="AA1643" i="7" s="1"/>
  <c r="AE1644" i="7"/>
  <c r="AA1644" i="7" s="1"/>
  <c r="AE1645" i="7"/>
  <c r="AA1645" i="7" s="1"/>
  <c r="AE1646" i="7"/>
  <c r="AA1646" i="7" s="1"/>
  <c r="AE1647" i="7"/>
  <c r="AA1647" i="7" s="1"/>
  <c r="AE1648" i="7"/>
  <c r="AA1648" i="7" s="1"/>
  <c r="AE1649" i="7"/>
  <c r="AA1649" i="7" s="1"/>
  <c r="AE1650" i="7"/>
  <c r="AA1650" i="7" s="1"/>
  <c r="AE1651" i="7"/>
  <c r="AA1651" i="7" s="1"/>
  <c r="AE1652" i="7"/>
  <c r="AA1652" i="7" s="1"/>
  <c r="AE1653" i="7"/>
  <c r="AA1653" i="7" s="1"/>
  <c r="AE1654" i="7"/>
  <c r="AA1654" i="7" s="1"/>
  <c r="AE1655" i="7"/>
  <c r="AA1655" i="7" s="1"/>
  <c r="AE1656" i="7"/>
  <c r="AA1656" i="7" s="1"/>
  <c r="AE1657" i="7"/>
  <c r="AA1657" i="7" s="1"/>
  <c r="AE1658" i="7"/>
  <c r="AA1658" i="7" s="1"/>
  <c r="AE1659" i="7"/>
  <c r="AA1659" i="7" s="1"/>
  <c r="AE1660" i="7"/>
  <c r="AA1660" i="7" s="1"/>
  <c r="AE1661" i="7"/>
  <c r="AA1661" i="7" s="1"/>
  <c r="AE1662" i="7"/>
  <c r="AA1662" i="7" s="1"/>
  <c r="AE1663" i="7"/>
  <c r="AA1663" i="7" s="1"/>
  <c r="AE1664" i="7"/>
  <c r="AA1664" i="7" s="1"/>
  <c r="AE1665" i="7"/>
  <c r="AA1665" i="7" s="1"/>
  <c r="AE1666" i="7"/>
  <c r="AA1666" i="7" s="1"/>
  <c r="AE1667" i="7"/>
  <c r="AA1667" i="7" s="1"/>
  <c r="AE1668" i="7"/>
  <c r="AA1668" i="7" s="1"/>
  <c r="AE1669" i="7"/>
  <c r="AA1669" i="7" s="1"/>
  <c r="AE1670" i="7"/>
  <c r="AA1670" i="7" s="1"/>
  <c r="AE1671" i="7"/>
  <c r="AA1671" i="7" s="1"/>
  <c r="AE1672" i="7"/>
  <c r="AA1672" i="7" s="1"/>
  <c r="AE1673" i="7"/>
  <c r="AA1673" i="7" s="1"/>
  <c r="AE1674" i="7"/>
  <c r="AA1674" i="7" s="1"/>
  <c r="AE1675" i="7"/>
  <c r="AA1675" i="7" s="1"/>
  <c r="AE1676" i="7"/>
  <c r="AA1676" i="7" s="1"/>
  <c r="AE1677" i="7"/>
  <c r="AA1677" i="7" s="1"/>
  <c r="AE1678" i="7"/>
  <c r="AA1678" i="7" s="1"/>
  <c r="AE1679" i="7"/>
  <c r="AA1679" i="7" s="1"/>
  <c r="AE1680" i="7"/>
  <c r="AA1680" i="7" s="1"/>
  <c r="AE1681" i="7"/>
  <c r="AA1681" i="7" s="1"/>
  <c r="AE1682" i="7"/>
  <c r="AA1682" i="7" s="1"/>
  <c r="AE1683" i="7"/>
  <c r="AA1683" i="7" s="1"/>
  <c r="AE1684" i="7"/>
  <c r="AA1684" i="7" s="1"/>
  <c r="AE1685" i="7"/>
  <c r="AA1685" i="7" s="1"/>
  <c r="AE1686" i="7"/>
  <c r="AA1686" i="7" s="1"/>
  <c r="AE1687" i="7"/>
  <c r="AA1687" i="7" s="1"/>
  <c r="AE1688" i="7"/>
  <c r="AA1688" i="7" s="1"/>
  <c r="AE1689" i="7"/>
  <c r="AA1689" i="7" s="1"/>
  <c r="AE1690" i="7"/>
  <c r="AA1690" i="7" s="1"/>
  <c r="AE1691" i="7"/>
  <c r="AA1691" i="7" s="1"/>
  <c r="AE1692" i="7"/>
  <c r="AA1692" i="7" s="1"/>
  <c r="AE1693" i="7"/>
  <c r="AA1693" i="7" s="1"/>
  <c r="AE1694" i="7"/>
  <c r="AA1694" i="7" s="1"/>
  <c r="AE1695" i="7"/>
  <c r="AA1695" i="7" s="1"/>
  <c r="AE1696" i="7"/>
  <c r="AA1696" i="7" s="1"/>
  <c r="AE1697" i="7"/>
  <c r="AA1697" i="7" s="1"/>
  <c r="AE1698" i="7"/>
  <c r="AA1698" i="7" s="1"/>
  <c r="AE1699" i="7"/>
  <c r="AA1699" i="7" s="1"/>
  <c r="AE1700" i="7"/>
  <c r="AA1700" i="7" s="1"/>
  <c r="AE1701" i="7"/>
  <c r="AA1701" i="7" s="1"/>
  <c r="AE1702" i="7"/>
  <c r="AA1702" i="7" s="1"/>
  <c r="AE1703" i="7"/>
  <c r="AA1703" i="7" s="1"/>
  <c r="AE1704" i="7"/>
  <c r="AA1704" i="7" s="1"/>
  <c r="AE1705" i="7"/>
  <c r="AA1705" i="7" s="1"/>
  <c r="AE1706" i="7"/>
  <c r="AA1706" i="7" s="1"/>
  <c r="AE1707" i="7"/>
  <c r="AA1707" i="7" s="1"/>
  <c r="AE1708" i="7"/>
  <c r="AA1708" i="7" s="1"/>
  <c r="AE1709" i="7"/>
  <c r="AA1709" i="7" s="1"/>
  <c r="AE1710" i="7"/>
  <c r="AA1710" i="7" s="1"/>
  <c r="AE1711" i="7"/>
  <c r="AA1711" i="7" s="1"/>
  <c r="AE1712" i="7"/>
  <c r="AA1712" i="7" s="1"/>
  <c r="AE1713" i="7"/>
  <c r="AA1713" i="7" s="1"/>
  <c r="AE1714" i="7"/>
  <c r="AA1714" i="7" s="1"/>
  <c r="AE1715" i="7"/>
  <c r="AA1715" i="7" s="1"/>
  <c r="AE1716" i="7"/>
  <c r="AA1716" i="7" s="1"/>
  <c r="AE1717" i="7"/>
  <c r="AA1717" i="7" s="1"/>
  <c r="AE1718" i="7"/>
  <c r="AA1718" i="7" s="1"/>
  <c r="AE1719" i="7"/>
  <c r="AA1719" i="7" s="1"/>
  <c r="AE1720" i="7"/>
  <c r="AA1720" i="7" s="1"/>
  <c r="AE1721" i="7"/>
  <c r="AA1721" i="7" s="1"/>
  <c r="AE1722" i="7"/>
  <c r="AA1722" i="7" s="1"/>
  <c r="AE1723" i="7"/>
  <c r="AA1723" i="7" s="1"/>
  <c r="AE1724" i="7"/>
  <c r="AA1724" i="7" s="1"/>
  <c r="AE1725" i="7"/>
  <c r="AA1725" i="7" s="1"/>
  <c r="AE1726" i="7"/>
  <c r="AA1726" i="7" s="1"/>
  <c r="AE1727" i="7"/>
  <c r="AA1727" i="7" s="1"/>
  <c r="AE1728" i="7"/>
  <c r="AA1728" i="7" s="1"/>
  <c r="AE1729" i="7"/>
  <c r="AA1729" i="7" s="1"/>
  <c r="AE1730" i="7"/>
  <c r="AA1730" i="7" s="1"/>
  <c r="AE1731" i="7"/>
  <c r="AA1731" i="7" s="1"/>
  <c r="AE1732" i="7"/>
  <c r="AA1732" i="7" s="1"/>
  <c r="AE1733" i="7"/>
  <c r="AA1733" i="7" s="1"/>
  <c r="AE1734" i="7"/>
  <c r="AA1734" i="7" s="1"/>
  <c r="AE1735" i="7"/>
  <c r="AA1735" i="7" s="1"/>
  <c r="AE1736" i="7"/>
  <c r="AA1736" i="7" s="1"/>
  <c r="AE1737" i="7"/>
  <c r="AA1737" i="7" s="1"/>
  <c r="AE1738" i="7"/>
  <c r="AA1738" i="7" s="1"/>
  <c r="AE1739" i="7"/>
  <c r="AA1739" i="7" s="1"/>
  <c r="AE1740" i="7"/>
  <c r="AA1740" i="7" s="1"/>
  <c r="AE1741" i="7"/>
  <c r="AA1741" i="7" s="1"/>
  <c r="AE1742" i="7"/>
  <c r="AA1742" i="7" s="1"/>
  <c r="AE1743" i="7"/>
  <c r="AA1743" i="7" s="1"/>
  <c r="AE1744" i="7"/>
  <c r="AA1744" i="7" s="1"/>
  <c r="AE1745" i="7"/>
  <c r="AA1745" i="7" s="1"/>
  <c r="AE1746" i="7"/>
  <c r="AA1746" i="7" s="1"/>
  <c r="AE1747" i="7"/>
  <c r="AA1747" i="7" s="1"/>
  <c r="AE1748" i="7"/>
  <c r="AA1748" i="7" s="1"/>
  <c r="AE1749" i="7"/>
  <c r="AA1749" i="7" s="1"/>
  <c r="AE1750" i="7"/>
  <c r="AA1750" i="7" s="1"/>
  <c r="Y1476" i="7"/>
  <c r="Y1477" i="7"/>
  <c r="Y1478" i="7"/>
  <c r="Y1479" i="7"/>
  <c r="Y1480" i="7"/>
  <c r="Y1481" i="7"/>
  <c r="Y1482" i="7"/>
  <c r="Y1483" i="7"/>
  <c r="Y1484" i="7"/>
  <c r="Y1485" i="7"/>
  <c r="Y1486" i="7"/>
  <c r="Y1487" i="7"/>
  <c r="Y1488" i="7"/>
  <c r="Y1489" i="7"/>
  <c r="Y1490" i="7"/>
  <c r="Y1491" i="7"/>
  <c r="Y1492" i="7"/>
  <c r="Y1493" i="7"/>
  <c r="Y1494" i="7"/>
  <c r="Y1495" i="7"/>
  <c r="Y1496" i="7"/>
  <c r="Y1497" i="7"/>
  <c r="Y1498" i="7"/>
  <c r="Y1499" i="7"/>
  <c r="Y1500" i="7"/>
  <c r="Y1501" i="7"/>
  <c r="Y1502" i="7"/>
  <c r="Y1503" i="7"/>
  <c r="Y1504" i="7"/>
  <c r="Y1505" i="7"/>
  <c r="Y1506" i="7"/>
  <c r="Y1507" i="7"/>
  <c r="Y1508" i="7"/>
  <c r="Y1509" i="7"/>
  <c r="Y1510" i="7"/>
  <c r="Y1511" i="7"/>
  <c r="Y1512" i="7"/>
  <c r="Y1513" i="7"/>
  <c r="Y1514" i="7"/>
  <c r="Y1515" i="7"/>
  <c r="Y1516" i="7"/>
  <c r="Y1517" i="7"/>
  <c r="Y1518" i="7"/>
  <c r="Y1519" i="7"/>
  <c r="Y1520" i="7"/>
  <c r="Y1521" i="7"/>
  <c r="Y1522" i="7"/>
  <c r="Y1523" i="7"/>
  <c r="Y1524" i="7"/>
  <c r="Y1525" i="7"/>
  <c r="Y1526" i="7"/>
  <c r="Y1527" i="7"/>
  <c r="Y1528" i="7"/>
  <c r="Y1529" i="7"/>
  <c r="Y1530" i="7"/>
  <c r="Y1531" i="7"/>
  <c r="Y1532" i="7"/>
  <c r="Y1533" i="7"/>
  <c r="Y1734" i="7"/>
  <c r="Y1733" i="7"/>
  <c r="Y1711" i="7"/>
  <c r="Y1712" i="7"/>
  <c r="Y1713" i="7"/>
  <c r="Y1714" i="7"/>
  <c r="Y1715" i="7"/>
  <c r="Y1716" i="7"/>
  <c r="Y1717" i="7"/>
  <c r="Y1718" i="7"/>
  <c r="Y1719" i="7"/>
  <c r="Y1720" i="7"/>
  <c r="Y1721" i="7"/>
  <c r="Y1722" i="7"/>
  <c r="Y1723" i="7"/>
  <c r="Y1724" i="7"/>
  <c r="Y1725" i="7"/>
  <c r="Y1726" i="7"/>
  <c r="Y1727" i="7"/>
  <c r="Y1728" i="7"/>
  <c r="Y1729" i="7"/>
  <c r="Y1730" i="7"/>
  <c r="Y1731" i="7"/>
  <c r="Y1732" i="7"/>
  <c r="Y1708" i="7"/>
  <c r="Y1709" i="7"/>
  <c r="Y1710" i="7"/>
  <c r="Y1707" i="7"/>
  <c r="Y1703" i="7"/>
  <c r="Y1704" i="7"/>
  <c r="Y1705" i="7"/>
  <c r="Y1706" i="7"/>
  <c r="Y1696" i="7"/>
  <c r="Y1697" i="7"/>
  <c r="Y1698" i="7"/>
  <c r="Y1699" i="7"/>
  <c r="Y1700" i="7"/>
  <c r="Y1701" i="7"/>
  <c r="Y1702" i="7"/>
  <c r="Y1695" i="7"/>
  <c r="Y1692" i="7"/>
  <c r="Y1693" i="7"/>
  <c r="Y1694" i="7"/>
  <c r="Y1691" i="7"/>
  <c r="Y1690" i="7"/>
  <c r="Y1683" i="7"/>
  <c r="Y1684" i="7"/>
  <c r="Y1685" i="7"/>
  <c r="Y1686" i="7"/>
  <c r="Y1687" i="7"/>
  <c r="Y1688" i="7"/>
  <c r="Y1689" i="7"/>
  <c r="Y1679" i="7"/>
  <c r="Y1680" i="7"/>
  <c r="Y1681" i="7"/>
  <c r="Y1682" i="7"/>
  <c r="Y1676" i="7"/>
  <c r="Y1677" i="7"/>
  <c r="Y1678" i="7"/>
  <c r="Y1675" i="7"/>
  <c r="Y1747" i="7"/>
  <c r="Y1746" i="7"/>
  <c r="Y1744" i="7"/>
  <c r="Y1745" i="7"/>
  <c r="Y1743" i="7"/>
  <c r="Y1742" i="7"/>
  <c r="Y1741" i="7"/>
  <c r="Y1740" i="7"/>
  <c r="Y699" i="54"/>
  <c r="Y698" i="54"/>
  <c r="Y697" i="54"/>
  <c r="Y696" i="54"/>
  <c r="Y695" i="54"/>
  <c r="Y694" i="54"/>
  <c r="Y693" i="54"/>
  <c r="Y692" i="54"/>
  <c r="Y691" i="54"/>
  <c r="Y690" i="54"/>
  <c r="Y689" i="54"/>
  <c r="Y688" i="54"/>
  <c r="Y687" i="54"/>
  <c r="Y686" i="54"/>
  <c r="Y685" i="54"/>
  <c r="Y684" i="54"/>
  <c r="Y683" i="54"/>
  <c r="Y682" i="54"/>
  <c r="Y681" i="54"/>
  <c r="Y680" i="54"/>
  <c r="Y679" i="54"/>
  <c r="Y678" i="54"/>
  <c r="Y677" i="54"/>
  <c r="Y676" i="54"/>
  <c r="Y675" i="54"/>
  <c r="Y674" i="54"/>
  <c r="Y673" i="54"/>
  <c r="Y672" i="54"/>
  <c r="Y671" i="54"/>
  <c r="Y670" i="54"/>
  <c r="Y669" i="54"/>
  <c r="Y668" i="54"/>
  <c r="Y667" i="54"/>
  <c r="Y666" i="54"/>
  <c r="Y665" i="54"/>
  <c r="Y664" i="54"/>
  <c r="Y663" i="54"/>
  <c r="Y662" i="54"/>
  <c r="Y661" i="54"/>
  <c r="Y660" i="54"/>
  <c r="Y659" i="54"/>
  <c r="Y658" i="54"/>
  <c r="Y657" i="54"/>
  <c r="Y656" i="54"/>
  <c r="Y655" i="54"/>
  <c r="Y654" i="54"/>
  <c r="Y653" i="54"/>
  <c r="Y652" i="54"/>
  <c r="Y651" i="54"/>
  <c r="Y650" i="54"/>
  <c r="Y649" i="54"/>
  <c r="Y648" i="54"/>
  <c r="Y647" i="54"/>
  <c r="Y646" i="54"/>
  <c r="Y645" i="54"/>
  <c r="Y644" i="54"/>
  <c r="Y643" i="54"/>
  <c r="Y642" i="54"/>
  <c r="Y641" i="54"/>
  <c r="Y640" i="54"/>
  <c r="Y639" i="54"/>
  <c r="Y638" i="54"/>
  <c r="Y637" i="54"/>
  <c r="Y636" i="54"/>
  <c r="Y635" i="54"/>
  <c r="Y634" i="54"/>
  <c r="Y633" i="54"/>
  <c r="Y632" i="54"/>
  <c r="Y631" i="54"/>
  <c r="Y630" i="54"/>
  <c r="Y629" i="54"/>
  <c r="Y628" i="54"/>
  <c r="Y627" i="54"/>
  <c r="Y626" i="54"/>
  <c r="Y625" i="54"/>
  <c r="Y624" i="54"/>
  <c r="Y623" i="54"/>
  <c r="Y622" i="54"/>
  <c r="Y621" i="54"/>
  <c r="Y620" i="54"/>
  <c r="Y619" i="54"/>
  <c r="Y618" i="54"/>
  <c r="Y617" i="54"/>
  <c r="Y616" i="54"/>
  <c r="Y615" i="54"/>
  <c r="Y614" i="54"/>
  <c r="Y613" i="54"/>
  <c r="Y612" i="54"/>
  <c r="Y611" i="54"/>
  <c r="Y610" i="54"/>
  <c r="Y609" i="54"/>
  <c r="Y608" i="54"/>
  <c r="Y607" i="54"/>
  <c r="Y606" i="54"/>
  <c r="Y605" i="54"/>
  <c r="Y604" i="54"/>
  <c r="Y603" i="54"/>
  <c r="Y602" i="54"/>
  <c r="Y601" i="54"/>
  <c r="Y600" i="54"/>
  <c r="Y599" i="54"/>
  <c r="Y598" i="54"/>
  <c r="Y597" i="54"/>
  <c r="Y596" i="54"/>
  <c r="Y595" i="54"/>
  <c r="Y594" i="54"/>
  <c r="Y593" i="54"/>
  <c r="Y592" i="54"/>
  <c r="Y591" i="54"/>
  <c r="Y590" i="54"/>
  <c r="Y589" i="54"/>
  <c r="Y588" i="54"/>
  <c r="Y587" i="54"/>
  <c r="Y586" i="54"/>
  <c r="Y585" i="54"/>
  <c r="Y584" i="54"/>
  <c r="Y583" i="54"/>
  <c r="Y582" i="54"/>
  <c r="Y581" i="54"/>
  <c r="Y580" i="54"/>
  <c r="Y579" i="54"/>
  <c r="Y578" i="54"/>
  <c r="Y577" i="54"/>
  <c r="Y576" i="54"/>
  <c r="Y575" i="54"/>
  <c r="Y574" i="54"/>
  <c r="Y573" i="54"/>
  <c r="Y572" i="54"/>
  <c r="Y571" i="54"/>
  <c r="Y570" i="54"/>
  <c r="Y569" i="54"/>
  <c r="Y568" i="54"/>
  <c r="Y567" i="54"/>
  <c r="Y566" i="54"/>
  <c r="Y565" i="54"/>
  <c r="Y564" i="54"/>
  <c r="Y563" i="54"/>
  <c r="Y562" i="54"/>
  <c r="Y561" i="54"/>
  <c r="Y560" i="54"/>
  <c r="Y559" i="54"/>
  <c r="Y558" i="54"/>
  <c r="Y557" i="54"/>
  <c r="Y556" i="54"/>
  <c r="Y555" i="54"/>
  <c r="Y554" i="54"/>
  <c r="Y553" i="54"/>
  <c r="Y552" i="54"/>
  <c r="Y551" i="54"/>
  <c r="Y550" i="54"/>
  <c r="Y549" i="54"/>
  <c r="Y548" i="54"/>
  <c r="Y547" i="54"/>
  <c r="Y546" i="54"/>
  <c r="Y545" i="54"/>
  <c r="Y544" i="54"/>
  <c r="Y543" i="54"/>
  <c r="Y542" i="54"/>
  <c r="Y541" i="54"/>
  <c r="Y540" i="54"/>
  <c r="Y539" i="54"/>
  <c r="Y538" i="54"/>
  <c r="Y537" i="54"/>
  <c r="Y536" i="54"/>
  <c r="Y535" i="54"/>
  <c r="Y534" i="54"/>
  <c r="Y533" i="54"/>
  <c r="Y532" i="54"/>
  <c r="Y531" i="54"/>
  <c r="Y530" i="54"/>
  <c r="Y529" i="54"/>
  <c r="Y528" i="54"/>
  <c r="Y527" i="54"/>
  <c r="Y526" i="54"/>
  <c r="Y525" i="54"/>
  <c r="Y524" i="54"/>
  <c r="Y523" i="54"/>
  <c r="Y522" i="54"/>
  <c r="Y521" i="54"/>
  <c r="Y520" i="54"/>
  <c r="Y519" i="54"/>
  <c r="Y518" i="54"/>
  <c r="Y517" i="54"/>
  <c r="Y516" i="54"/>
  <c r="Y515" i="54"/>
  <c r="Y514" i="54"/>
  <c r="Y513" i="54"/>
  <c r="Y512" i="54"/>
  <c r="Y511" i="54"/>
  <c r="Y510" i="54"/>
  <c r="Y509" i="54"/>
  <c r="Y508" i="54"/>
  <c r="Y507" i="54"/>
  <c r="Y506" i="54"/>
  <c r="Y505" i="54"/>
  <c r="Y504" i="54"/>
  <c r="Y503" i="54"/>
  <c r="Y502" i="54"/>
  <c r="Y501" i="54"/>
  <c r="Y500" i="54"/>
  <c r="Y499" i="54"/>
  <c r="Y498" i="54"/>
  <c r="Y497" i="54"/>
  <c r="Y496" i="54"/>
  <c r="Y495" i="54"/>
  <c r="Y494" i="54"/>
  <c r="Y493" i="54"/>
  <c r="Y492" i="54"/>
  <c r="Y491" i="54"/>
  <c r="Y490" i="54"/>
  <c r="Y489" i="54"/>
  <c r="Y488" i="54"/>
  <c r="Y487" i="54"/>
  <c r="Y486" i="54"/>
  <c r="Y485" i="54"/>
  <c r="Y484" i="54"/>
  <c r="Y483" i="54"/>
  <c r="Y482" i="54"/>
  <c r="Y481" i="54"/>
  <c r="Y480" i="54"/>
  <c r="Y479" i="54"/>
  <c r="Y478" i="54"/>
  <c r="Y477" i="54"/>
  <c r="Y476" i="54"/>
  <c r="Y475" i="54"/>
  <c r="Y474" i="54"/>
  <c r="Y473" i="54"/>
  <c r="Y472" i="54"/>
  <c r="Y471" i="54"/>
  <c r="Y470" i="54"/>
  <c r="Y469" i="54"/>
  <c r="Y468" i="54"/>
  <c r="Y467" i="54"/>
  <c r="Y466" i="54"/>
  <c r="Y465" i="54"/>
  <c r="Y464" i="54"/>
  <c r="Y463" i="54"/>
  <c r="Y462" i="54"/>
  <c r="Y461" i="54"/>
  <c r="Y460" i="54"/>
  <c r="Y459" i="54"/>
  <c r="Y458" i="54"/>
  <c r="Y457" i="54"/>
  <c r="Y456" i="54"/>
  <c r="Y455" i="54"/>
  <c r="Y454" i="54"/>
  <c r="Y453" i="54"/>
  <c r="Y452" i="54"/>
  <c r="Y451" i="54"/>
  <c r="Y450" i="54"/>
  <c r="Y449" i="54"/>
  <c r="Y448" i="54"/>
  <c r="Y447" i="54"/>
  <c r="Y446" i="54"/>
  <c r="Y445" i="54"/>
  <c r="Y444" i="54"/>
  <c r="Y443" i="54"/>
  <c r="Y442" i="54"/>
  <c r="Y441" i="54"/>
  <c r="Y440" i="54"/>
  <c r="Y439" i="54"/>
  <c r="Y438" i="54"/>
  <c r="Y437" i="54"/>
  <c r="Y436" i="54"/>
  <c r="Y435" i="54"/>
  <c r="Y434" i="54"/>
  <c r="Y433" i="54"/>
  <c r="Y432" i="54"/>
  <c r="Y431" i="54"/>
  <c r="Y430" i="54"/>
  <c r="Y429" i="54"/>
  <c r="Y428" i="54"/>
  <c r="Y427" i="54"/>
  <c r="Y426" i="54"/>
  <c r="Y425" i="54"/>
  <c r="Y424" i="54"/>
  <c r="Y423" i="54"/>
  <c r="Y422" i="54"/>
  <c r="Y421" i="54"/>
  <c r="Y420" i="54"/>
  <c r="Y419" i="54"/>
  <c r="Y418" i="54"/>
  <c r="Y417" i="54"/>
  <c r="Y416" i="54"/>
  <c r="Y415" i="54"/>
  <c r="Y414" i="54"/>
  <c r="Y413" i="54"/>
  <c r="Y412" i="54"/>
  <c r="Y411" i="54"/>
  <c r="Y410" i="54"/>
  <c r="Y409" i="54"/>
  <c r="Y408" i="54"/>
  <c r="Y407" i="54"/>
  <c r="Y406" i="54"/>
  <c r="Y405" i="54"/>
  <c r="Y404" i="54"/>
  <c r="Y403" i="54"/>
  <c r="Y402" i="54"/>
  <c r="Y401" i="54"/>
  <c r="Y400" i="54"/>
  <c r="Y399" i="54"/>
  <c r="Y398" i="54"/>
  <c r="Y397" i="54"/>
  <c r="Y396" i="54"/>
  <c r="Y395" i="54"/>
  <c r="Y394" i="54"/>
  <c r="Y393" i="54"/>
  <c r="Y392" i="54"/>
  <c r="Y391" i="54"/>
  <c r="Y390" i="54"/>
  <c r="Y389" i="54"/>
  <c r="Y388" i="54"/>
  <c r="Y387" i="54"/>
  <c r="Y386" i="54"/>
  <c r="Y385" i="54"/>
  <c r="Y384" i="54"/>
  <c r="Y383" i="54"/>
  <c r="Y382" i="54"/>
  <c r="Y381" i="54"/>
  <c r="Y380" i="54"/>
  <c r="Y379" i="54"/>
  <c r="Y378" i="54"/>
  <c r="Y377" i="54"/>
  <c r="Y376" i="54"/>
  <c r="Y375" i="54"/>
  <c r="Y374" i="54"/>
  <c r="Y373" i="54"/>
  <c r="Y372" i="54"/>
  <c r="Y371" i="54"/>
  <c r="Y370" i="54"/>
  <c r="Y369" i="54"/>
  <c r="Y368" i="54"/>
  <c r="Y367" i="54"/>
  <c r="Y366" i="54"/>
  <c r="Y365" i="54"/>
  <c r="Y364" i="54"/>
  <c r="Y363" i="54"/>
  <c r="Y362" i="54"/>
  <c r="Y361" i="54"/>
  <c r="Y360" i="54"/>
  <c r="Y359" i="54"/>
  <c r="Y358" i="54"/>
  <c r="Y357" i="54"/>
  <c r="Y356" i="54"/>
  <c r="Y355" i="54"/>
  <c r="Y354" i="54"/>
  <c r="Y353" i="54"/>
  <c r="Y352" i="54"/>
  <c r="Y351" i="54"/>
  <c r="Y350" i="54"/>
  <c r="Y349" i="54"/>
  <c r="Y348" i="54"/>
  <c r="Y347" i="54"/>
  <c r="Y346" i="54"/>
  <c r="Y345" i="54"/>
  <c r="Y344" i="54"/>
  <c r="Y343" i="54"/>
  <c r="Y342" i="54"/>
  <c r="Y341" i="54"/>
  <c r="Y340" i="54"/>
  <c r="Y339" i="54"/>
  <c r="Y338" i="54"/>
  <c r="Y337" i="54"/>
  <c r="Y336" i="54"/>
  <c r="Y335" i="54"/>
  <c r="Y334" i="54"/>
  <c r="Y333" i="54"/>
  <c r="Y332" i="54"/>
  <c r="Y331" i="54"/>
  <c r="Y330" i="54"/>
  <c r="Y329" i="54"/>
  <c r="Y328" i="54"/>
  <c r="Y327" i="54"/>
  <c r="Y326" i="54"/>
  <c r="Y325" i="54"/>
  <c r="Y324" i="54"/>
  <c r="Y323" i="54"/>
  <c r="Y322" i="54"/>
  <c r="Y321" i="54"/>
  <c r="Y320" i="54"/>
  <c r="Y319" i="54"/>
  <c r="Y318" i="54"/>
  <c r="Y317" i="54"/>
  <c r="Y316" i="54"/>
  <c r="Y315" i="54"/>
  <c r="Y314" i="54"/>
  <c r="Y313" i="54"/>
  <c r="Y312" i="54"/>
  <c r="Y311" i="54"/>
  <c r="Y310" i="54"/>
  <c r="Y309" i="54"/>
  <c r="Y308" i="54"/>
  <c r="Y307" i="54"/>
  <c r="Y306" i="54"/>
  <c r="Y305" i="54"/>
  <c r="Y304" i="54"/>
  <c r="Y303" i="54"/>
  <c r="Y302" i="54"/>
  <c r="Y301" i="54"/>
  <c r="Y300" i="54"/>
  <c r="Y299" i="54"/>
  <c r="Y298" i="54"/>
  <c r="Y297" i="54"/>
  <c r="Y296" i="54"/>
  <c r="Y295" i="54"/>
  <c r="Y294" i="54"/>
  <c r="Y293" i="54"/>
  <c r="Y292" i="54"/>
  <c r="Y291" i="54"/>
  <c r="Y290" i="54"/>
  <c r="Y289" i="54"/>
  <c r="Y288" i="54"/>
  <c r="Y287" i="54"/>
  <c r="Y286" i="54"/>
  <c r="Y285" i="54"/>
  <c r="Y284" i="54"/>
  <c r="Y283" i="54"/>
  <c r="Y282" i="54"/>
  <c r="Y281" i="54"/>
  <c r="Y280" i="54"/>
  <c r="Y279" i="54"/>
  <c r="Y278" i="54"/>
  <c r="Y277" i="54"/>
  <c r="Y276" i="54"/>
  <c r="Y275" i="54"/>
  <c r="Y274" i="54"/>
  <c r="Y273" i="54"/>
  <c r="Y272" i="54"/>
  <c r="Y271" i="54"/>
  <c r="Y270" i="54"/>
  <c r="Y269" i="54"/>
  <c r="Y268" i="54"/>
  <c r="Y267" i="54"/>
  <c r="Y266" i="54"/>
  <c r="Y265" i="54"/>
  <c r="Y264" i="54"/>
  <c r="Y263" i="54"/>
  <c r="Y262" i="54"/>
  <c r="Y261" i="54"/>
  <c r="Y260" i="54"/>
  <c r="Y259" i="54"/>
  <c r="Y258" i="54"/>
  <c r="Y257" i="54"/>
  <c r="Y256" i="54"/>
  <c r="Y255" i="54"/>
  <c r="Y254" i="54"/>
  <c r="Y253" i="54"/>
  <c r="Y252" i="54"/>
  <c r="Y251" i="54"/>
  <c r="Y250" i="54"/>
  <c r="Y249" i="54"/>
  <c r="Y248" i="54"/>
  <c r="Y247" i="54"/>
  <c r="Y246" i="54"/>
  <c r="Y245" i="54"/>
  <c r="Y244" i="54"/>
  <c r="Y243" i="54"/>
  <c r="Y242" i="54"/>
  <c r="Y241" i="54"/>
  <c r="Y240" i="54"/>
  <c r="Y239" i="54"/>
  <c r="Y238" i="54"/>
  <c r="Y237" i="54"/>
  <c r="Y236" i="54"/>
  <c r="Y235" i="54"/>
  <c r="Y234" i="54"/>
  <c r="Y233" i="54"/>
  <c r="Y232" i="54"/>
  <c r="Y231" i="54"/>
  <c r="Y230" i="54"/>
  <c r="Y229" i="54"/>
  <c r="Y228" i="54"/>
  <c r="Y227" i="54"/>
  <c r="Y226" i="54"/>
  <c r="Y225" i="54"/>
  <c r="Y224" i="54"/>
  <c r="Y223" i="54"/>
  <c r="Y222" i="54"/>
  <c r="Y221" i="54"/>
  <c r="Y220" i="54"/>
  <c r="Y219" i="54"/>
  <c r="Y218" i="54"/>
  <c r="Y217" i="54"/>
  <c r="Y216" i="54"/>
  <c r="Y215" i="54"/>
  <c r="Y214" i="54"/>
  <c r="Y213" i="54"/>
  <c r="Y212" i="54"/>
  <c r="Y211" i="54"/>
  <c r="Y210" i="54"/>
  <c r="Y209" i="54"/>
  <c r="Y208" i="54"/>
  <c r="Y207" i="54"/>
  <c r="Y206" i="54"/>
  <c r="Y205" i="54"/>
  <c r="Y204" i="54"/>
  <c r="Y203" i="54"/>
  <c r="Y202" i="54"/>
  <c r="Y201" i="54"/>
  <c r="Y200" i="54"/>
  <c r="Y199" i="54"/>
  <c r="Y198" i="54"/>
  <c r="Y197" i="54"/>
  <c r="Y196" i="54"/>
  <c r="Y195" i="54"/>
  <c r="Y194" i="54"/>
  <c r="Y193" i="54"/>
  <c r="Y192" i="54"/>
  <c r="Y191" i="54"/>
  <c r="Y190" i="54"/>
  <c r="Y189" i="54"/>
  <c r="Y188" i="54"/>
  <c r="Y187" i="54"/>
  <c r="Y186" i="54"/>
  <c r="Y185" i="54"/>
  <c r="Y184" i="54"/>
  <c r="Y183" i="54"/>
  <c r="Y182" i="54"/>
  <c r="Y181" i="54"/>
  <c r="Y180" i="54"/>
  <c r="Y179" i="54"/>
  <c r="Y178" i="54"/>
  <c r="Y177" i="54"/>
  <c r="Y176" i="54"/>
  <c r="Y175" i="54"/>
  <c r="Y174" i="54"/>
  <c r="Y173" i="54"/>
  <c r="Y172" i="54"/>
  <c r="Y171" i="54"/>
  <c r="Y170" i="54"/>
  <c r="Y169" i="54"/>
  <c r="Y168" i="54"/>
  <c r="Y167" i="54"/>
  <c r="Y166" i="54"/>
  <c r="Y165" i="54"/>
  <c r="Y164" i="54"/>
  <c r="Y163" i="54"/>
  <c r="Y162" i="54"/>
  <c r="Y161" i="54"/>
  <c r="Y160" i="54"/>
  <c r="Y159" i="54"/>
  <c r="Y158" i="54"/>
  <c r="Y157" i="54"/>
  <c r="Y156" i="54"/>
  <c r="Y155" i="54"/>
  <c r="Y154" i="54"/>
  <c r="Y153" i="54"/>
  <c r="Y152" i="54"/>
  <c r="Y151" i="54"/>
  <c r="Y150" i="54"/>
  <c r="Y149" i="54"/>
  <c r="Y148" i="54"/>
  <c r="Y147" i="54"/>
  <c r="Y146" i="54"/>
  <c r="Y145" i="54"/>
  <c r="Y144" i="54"/>
  <c r="Y143" i="54"/>
  <c r="Y142" i="54"/>
  <c r="Y141" i="54"/>
  <c r="Y140" i="54"/>
  <c r="Y139" i="54"/>
  <c r="Y138" i="54"/>
  <c r="Y137" i="54"/>
  <c r="Y136" i="54"/>
  <c r="Y135" i="54"/>
  <c r="Y134" i="54"/>
  <c r="Y133" i="54"/>
  <c r="Y132" i="54"/>
  <c r="Y131" i="54"/>
  <c r="Y130" i="54"/>
  <c r="Y129" i="54"/>
  <c r="Y128" i="54"/>
  <c r="Y127" i="54"/>
  <c r="Y126" i="54"/>
  <c r="Y125" i="54"/>
  <c r="Y124" i="54"/>
  <c r="Y123" i="54"/>
  <c r="Y122" i="54"/>
  <c r="Y121" i="54"/>
  <c r="Y120" i="54"/>
  <c r="Y119" i="54"/>
  <c r="Y118" i="54"/>
  <c r="Y117" i="54"/>
  <c r="Y116" i="54"/>
  <c r="Y115" i="54"/>
  <c r="Y114" i="54"/>
  <c r="Y113" i="54"/>
  <c r="Y112" i="54"/>
  <c r="Y111" i="54"/>
  <c r="Y110" i="54"/>
  <c r="Y109" i="54"/>
  <c r="Y108" i="54"/>
  <c r="Y107" i="54"/>
  <c r="Y106" i="54"/>
  <c r="Y105" i="54"/>
  <c r="Y104" i="54"/>
  <c r="Y103" i="54"/>
  <c r="Y102" i="54"/>
  <c r="Y101" i="54"/>
  <c r="Y100" i="54"/>
  <c r="Y99" i="54"/>
  <c r="Y98" i="54"/>
  <c r="Y97" i="54"/>
  <c r="Y96" i="54"/>
  <c r="Y95" i="54"/>
  <c r="Y94" i="54"/>
  <c r="Y93" i="54"/>
  <c r="Y92" i="54"/>
  <c r="Y91" i="54"/>
  <c r="Y90" i="54"/>
  <c r="Y89" i="54"/>
  <c r="Y88" i="54"/>
  <c r="Y87" i="54"/>
  <c r="Y86" i="54"/>
  <c r="Y85" i="54"/>
  <c r="Y84" i="54"/>
  <c r="Y83" i="54"/>
  <c r="Y82" i="54"/>
  <c r="Y81" i="54"/>
  <c r="Y80" i="54"/>
  <c r="Y79" i="54"/>
  <c r="Y78" i="54"/>
  <c r="Y77" i="54"/>
  <c r="Y76" i="54"/>
  <c r="Y75" i="54"/>
  <c r="Y74" i="54"/>
  <c r="Y73" i="54"/>
  <c r="Y72" i="54"/>
  <c r="Y71" i="54"/>
  <c r="Y70" i="54"/>
  <c r="Y69" i="54"/>
  <c r="Y68" i="54"/>
  <c r="Y67" i="54"/>
  <c r="Y66" i="54"/>
  <c r="Y65" i="54"/>
  <c r="Y64" i="54"/>
  <c r="Y63" i="54"/>
  <c r="Y62" i="54"/>
  <c r="Y61" i="54"/>
  <c r="Y60" i="54"/>
  <c r="Y59" i="54"/>
  <c r="Y58" i="54"/>
  <c r="Y57" i="54"/>
  <c r="Y56" i="54"/>
  <c r="Y55" i="54"/>
  <c r="Y54" i="54"/>
  <c r="Y53" i="54"/>
  <c r="Y52" i="54"/>
  <c r="Y51" i="54"/>
  <c r="Y50" i="54"/>
  <c r="Y49" i="54"/>
  <c r="Y48" i="54"/>
  <c r="Y47" i="54"/>
  <c r="Y46" i="54"/>
  <c r="Y45" i="54"/>
  <c r="Y44" i="54"/>
  <c r="Y43" i="54"/>
  <c r="Y42" i="54"/>
  <c r="Y41" i="54"/>
  <c r="Y40" i="54"/>
  <c r="Y39" i="54"/>
  <c r="Y38" i="54"/>
  <c r="Y37" i="54"/>
  <c r="Y36" i="54"/>
  <c r="Y35" i="54"/>
  <c r="Y34" i="54"/>
  <c r="Y33" i="54"/>
  <c r="Y32" i="54"/>
  <c r="Y31" i="54"/>
  <c r="Y30" i="54"/>
  <c r="Y29" i="54"/>
  <c r="Y28" i="54"/>
  <c r="Y27" i="54"/>
  <c r="Y26" i="54"/>
  <c r="Y25" i="54"/>
  <c r="Y24" i="54"/>
  <c r="Y23" i="54"/>
  <c r="Y22" i="54"/>
  <c r="Y21" i="54"/>
  <c r="Y20" i="54"/>
  <c r="Y19" i="54"/>
  <c r="Y18" i="54"/>
  <c r="Y17" i="54"/>
  <c r="Y16" i="54"/>
  <c r="Y15" i="54"/>
  <c r="Y14" i="54"/>
  <c r="Y13" i="54"/>
  <c r="Y12" i="54"/>
  <c r="Y11" i="54"/>
  <c r="Y10" i="54"/>
  <c r="Y9" i="54"/>
  <c r="Y8" i="54"/>
  <c r="Y7" i="54"/>
  <c r="Y6" i="54"/>
  <c r="Y5" i="54"/>
  <c r="Y4" i="54"/>
  <c r="Y3" i="54"/>
  <c r="Y2" i="54"/>
  <c r="AE699" i="54"/>
  <c r="AA699" i="54" s="1"/>
  <c r="AE698" i="54"/>
  <c r="AA698" i="54" s="1"/>
  <c r="AE697" i="54"/>
  <c r="AA697" i="54" s="1"/>
  <c r="AE696" i="54"/>
  <c r="AA696" i="54" s="1"/>
  <c r="AE695" i="54"/>
  <c r="AA695" i="54" s="1"/>
  <c r="AE694" i="54"/>
  <c r="AA694" i="54" s="1"/>
  <c r="AE693" i="54"/>
  <c r="AA693" i="54" s="1"/>
  <c r="AE692" i="54"/>
  <c r="AA692" i="54" s="1"/>
  <c r="AE691" i="54"/>
  <c r="AA691" i="54" s="1"/>
  <c r="AE690" i="54"/>
  <c r="AA690" i="54" s="1"/>
  <c r="AE689" i="54"/>
  <c r="AA689" i="54" s="1"/>
  <c r="AE688" i="54"/>
  <c r="AA688" i="54" s="1"/>
  <c r="AE687" i="54"/>
  <c r="AA687" i="54" s="1"/>
  <c r="AE686" i="54"/>
  <c r="AA686" i="54" s="1"/>
  <c r="AE685" i="54"/>
  <c r="AA685" i="54" s="1"/>
  <c r="AE684" i="54"/>
  <c r="AA684" i="54" s="1"/>
  <c r="AE683" i="54"/>
  <c r="AA683" i="54" s="1"/>
  <c r="AE682" i="54"/>
  <c r="AA682" i="54" s="1"/>
  <c r="AE681" i="54"/>
  <c r="AA681" i="54" s="1"/>
  <c r="AE680" i="54"/>
  <c r="AA680" i="54" s="1"/>
  <c r="AE679" i="54"/>
  <c r="AA679" i="54" s="1"/>
  <c r="AE678" i="54"/>
  <c r="AA678" i="54" s="1"/>
  <c r="AE677" i="54"/>
  <c r="AA677" i="54" s="1"/>
  <c r="AE676" i="54"/>
  <c r="AA676" i="54" s="1"/>
  <c r="AE675" i="54"/>
  <c r="AA675" i="54" s="1"/>
  <c r="AE674" i="54"/>
  <c r="AA674" i="54" s="1"/>
  <c r="AE673" i="54"/>
  <c r="AA673" i="54" s="1"/>
  <c r="AE672" i="54"/>
  <c r="AA672" i="54" s="1"/>
  <c r="AE671" i="54"/>
  <c r="AA671" i="54" s="1"/>
  <c r="AE670" i="54"/>
  <c r="AA670" i="54" s="1"/>
  <c r="AE669" i="54"/>
  <c r="AA669" i="54" s="1"/>
  <c r="AE668" i="54"/>
  <c r="AA668" i="54" s="1"/>
  <c r="AE667" i="54"/>
  <c r="AA667" i="54" s="1"/>
  <c r="AE666" i="54"/>
  <c r="AA666" i="54" s="1"/>
  <c r="AE665" i="54"/>
  <c r="AA665" i="54" s="1"/>
  <c r="AE664" i="54"/>
  <c r="AA664" i="54" s="1"/>
  <c r="AE663" i="54"/>
  <c r="AA663" i="54" s="1"/>
  <c r="AE662" i="54"/>
  <c r="AA662" i="54" s="1"/>
  <c r="AE661" i="54"/>
  <c r="AA661" i="54" s="1"/>
  <c r="AE660" i="54"/>
  <c r="AA660" i="54" s="1"/>
  <c r="AE659" i="54"/>
  <c r="AA659" i="54" s="1"/>
  <c r="AE658" i="54"/>
  <c r="AA658" i="54" s="1"/>
  <c r="AE657" i="54"/>
  <c r="AA657" i="54" s="1"/>
  <c r="AE656" i="54"/>
  <c r="AA656" i="54" s="1"/>
  <c r="AE655" i="54"/>
  <c r="AA655" i="54" s="1"/>
  <c r="AE654" i="54"/>
  <c r="AA654" i="54" s="1"/>
  <c r="AE653" i="54"/>
  <c r="AA653" i="54" s="1"/>
  <c r="AE652" i="54"/>
  <c r="AA652" i="54" s="1"/>
  <c r="AE651" i="54"/>
  <c r="AA651" i="54" s="1"/>
  <c r="AE650" i="54"/>
  <c r="AA650" i="54" s="1"/>
  <c r="AE649" i="54"/>
  <c r="AA649" i="54" s="1"/>
  <c r="AE648" i="54"/>
  <c r="AA648" i="54" s="1"/>
  <c r="AE647" i="54"/>
  <c r="AA647" i="54" s="1"/>
  <c r="AE646" i="54"/>
  <c r="AA646" i="54" s="1"/>
  <c r="AE645" i="54"/>
  <c r="AA645" i="54" s="1"/>
  <c r="AE644" i="54"/>
  <c r="AA644" i="54" s="1"/>
  <c r="AE643" i="54"/>
  <c r="AA643" i="54" s="1"/>
  <c r="AE642" i="54"/>
  <c r="AA642" i="54" s="1"/>
  <c r="AE641" i="54"/>
  <c r="AA641" i="54" s="1"/>
  <c r="AE640" i="54"/>
  <c r="AA640" i="54" s="1"/>
  <c r="AE639" i="54"/>
  <c r="AA639" i="54" s="1"/>
  <c r="AE638" i="54"/>
  <c r="AA638" i="54" s="1"/>
  <c r="AE637" i="54"/>
  <c r="AA637" i="54" s="1"/>
  <c r="AE636" i="54"/>
  <c r="AA636" i="54" s="1"/>
  <c r="AE635" i="54"/>
  <c r="AA635" i="54" s="1"/>
  <c r="AE634" i="54"/>
  <c r="AA634" i="54" s="1"/>
  <c r="AE633" i="54"/>
  <c r="AA633" i="54" s="1"/>
  <c r="AE632" i="54"/>
  <c r="AA632" i="54" s="1"/>
  <c r="AE631" i="54"/>
  <c r="AA631" i="54" s="1"/>
  <c r="AE630" i="54"/>
  <c r="AA630" i="54" s="1"/>
  <c r="AE629" i="54"/>
  <c r="AA629" i="54" s="1"/>
  <c r="AE628" i="54"/>
  <c r="AA628" i="54" s="1"/>
  <c r="AE627" i="54"/>
  <c r="AA627" i="54" s="1"/>
  <c r="AE626" i="54"/>
  <c r="AA626" i="54" s="1"/>
  <c r="AE625" i="54"/>
  <c r="AA625" i="54" s="1"/>
  <c r="AE624" i="54"/>
  <c r="AA624" i="54" s="1"/>
  <c r="AE623" i="54"/>
  <c r="AA623" i="54" s="1"/>
  <c r="AE622" i="54"/>
  <c r="AA622" i="54" s="1"/>
  <c r="AE621" i="54"/>
  <c r="AA621" i="54" s="1"/>
  <c r="AE620" i="54"/>
  <c r="AA620" i="54" s="1"/>
  <c r="AE619" i="54"/>
  <c r="AA619" i="54" s="1"/>
  <c r="AE618" i="54"/>
  <c r="AA618" i="54" s="1"/>
  <c r="AE617" i="54"/>
  <c r="AA617" i="54" s="1"/>
  <c r="AE616" i="54"/>
  <c r="AA616" i="54" s="1"/>
  <c r="AE615" i="54"/>
  <c r="AA615" i="54" s="1"/>
  <c r="AE614" i="54"/>
  <c r="AA614" i="54" s="1"/>
  <c r="AE613" i="54"/>
  <c r="AA613" i="54" s="1"/>
  <c r="AE612" i="54"/>
  <c r="AA612" i="54" s="1"/>
  <c r="AE611" i="54"/>
  <c r="AA611" i="54" s="1"/>
  <c r="AE610" i="54"/>
  <c r="AA610" i="54" s="1"/>
  <c r="AE609" i="54"/>
  <c r="AA609" i="54" s="1"/>
  <c r="AE608" i="54"/>
  <c r="AA608" i="54" s="1"/>
  <c r="AE607" i="54"/>
  <c r="AA607" i="54" s="1"/>
  <c r="AE606" i="54"/>
  <c r="AA606" i="54" s="1"/>
  <c r="AE605" i="54"/>
  <c r="AA605" i="54" s="1"/>
  <c r="AE604" i="54"/>
  <c r="AA604" i="54" s="1"/>
  <c r="AE603" i="54"/>
  <c r="AA603" i="54" s="1"/>
  <c r="AE602" i="54"/>
  <c r="AA602" i="54" s="1"/>
  <c r="AE601" i="54"/>
  <c r="AA601" i="54" s="1"/>
  <c r="AE600" i="54"/>
  <c r="AA600" i="54" s="1"/>
  <c r="AE599" i="54"/>
  <c r="AA599" i="54" s="1"/>
  <c r="AE598" i="54"/>
  <c r="AA598" i="54" s="1"/>
  <c r="AE597" i="54"/>
  <c r="AA597" i="54" s="1"/>
  <c r="AE596" i="54"/>
  <c r="AA596" i="54" s="1"/>
  <c r="AE595" i="54"/>
  <c r="AA595" i="54" s="1"/>
  <c r="AE594" i="54"/>
  <c r="AA594" i="54" s="1"/>
  <c r="AE593" i="54"/>
  <c r="AA593" i="54" s="1"/>
  <c r="AE592" i="54"/>
  <c r="AA592" i="54" s="1"/>
  <c r="AE591" i="54"/>
  <c r="AA591" i="54" s="1"/>
  <c r="AE590" i="54"/>
  <c r="AA590" i="54" s="1"/>
  <c r="AE589" i="54"/>
  <c r="AA589" i="54" s="1"/>
  <c r="AE588" i="54"/>
  <c r="AA588" i="54" s="1"/>
  <c r="AE587" i="54"/>
  <c r="AA587" i="54" s="1"/>
  <c r="AE586" i="54"/>
  <c r="AA586" i="54" s="1"/>
  <c r="AE585" i="54"/>
  <c r="AA585" i="54" s="1"/>
  <c r="AE584" i="54"/>
  <c r="AA584" i="54" s="1"/>
  <c r="AE583" i="54"/>
  <c r="AA583" i="54" s="1"/>
  <c r="AE582" i="54"/>
  <c r="AA582" i="54" s="1"/>
  <c r="AE581" i="54"/>
  <c r="AA581" i="54" s="1"/>
  <c r="AE580" i="54"/>
  <c r="AA580" i="54" s="1"/>
  <c r="AE579" i="54"/>
  <c r="AA579" i="54" s="1"/>
  <c r="AE578" i="54"/>
  <c r="AA578" i="54" s="1"/>
  <c r="AE577" i="54"/>
  <c r="AA577" i="54" s="1"/>
  <c r="AE576" i="54"/>
  <c r="AA576" i="54" s="1"/>
  <c r="AE575" i="54"/>
  <c r="AA575" i="54" s="1"/>
  <c r="AE574" i="54"/>
  <c r="AA574" i="54" s="1"/>
  <c r="AE573" i="54"/>
  <c r="AA573" i="54" s="1"/>
  <c r="AE572" i="54"/>
  <c r="AA572" i="54" s="1"/>
  <c r="AE571" i="54"/>
  <c r="AA571" i="54" s="1"/>
  <c r="AE570" i="54"/>
  <c r="AA570" i="54" s="1"/>
  <c r="AE569" i="54"/>
  <c r="AA569" i="54" s="1"/>
  <c r="AE568" i="54"/>
  <c r="AA568" i="54" s="1"/>
  <c r="AE567" i="54"/>
  <c r="AA567" i="54" s="1"/>
  <c r="AE566" i="54"/>
  <c r="AA566" i="54" s="1"/>
  <c r="AE565" i="54"/>
  <c r="AA565" i="54" s="1"/>
  <c r="AE564" i="54"/>
  <c r="AA564" i="54" s="1"/>
  <c r="AE563" i="54"/>
  <c r="AA563" i="54" s="1"/>
  <c r="AE562" i="54"/>
  <c r="AA562" i="54" s="1"/>
  <c r="AE561" i="54"/>
  <c r="AA561" i="54" s="1"/>
  <c r="AE560" i="54"/>
  <c r="AA560" i="54" s="1"/>
  <c r="AE559" i="54"/>
  <c r="AA559" i="54" s="1"/>
  <c r="AE558" i="54"/>
  <c r="AA558" i="54" s="1"/>
  <c r="AE557" i="54"/>
  <c r="AA557" i="54" s="1"/>
  <c r="AE556" i="54"/>
  <c r="AA556" i="54" s="1"/>
  <c r="AE555" i="54"/>
  <c r="AA555" i="54" s="1"/>
  <c r="AE554" i="54"/>
  <c r="AA554" i="54" s="1"/>
  <c r="AE553" i="54"/>
  <c r="AA553" i="54" s="1"/>
  <c r="AE552" i="54"/>
  <c r="AA552" i="54" s="1"/>
  <c r="AE551" i="54"/>
  <c r="AA551" i="54" s="1"/>
  <c r="AE550" i="54"/>
  <c r="AA550" i="54" s="1"/>
  <c r="AE549" i="54"/>
  <c r="AA549" i="54" s="1"/>
  <c r="AE548" i="54"/>
  <c r="AA548" i="54" s="1"/>
  <c r="AE547" i="54"/>
  <c r="AA547" i="54" s="1"/>
  <c r="AE546" i="54"/>
  <c r="AA546" i="54" s="1"/>
  <c r="AE545" i="54"/>
  <c r="AA545" i="54" s="1"/>
  <c r="AE544" i="54"/>
  <c r="AA544" i="54" s="1"/>
  <c r="AE543" i="54"/>
  <c r="AA543" i="54" s="1"/>
  <c r="AE542" i="54"/>
  <c r="AA542" i="54" s="1"/>
  <c r="AE541" i="54"/>
  <c r="AA541" i="54" s="1"/>
  <c r="AE540" i="54"/>
  <c r="AA540" i="54" s="1"/>
  <c r="AE539" i="54"/>
  <c r="AA539" i="54" s="1"/>
  <c r="AE538" i="54"/>
  <c r="AA538" i="54" s="1"/>
  <c r="AE537" i="54"/>
  <c r="AA537" i="54" s="1"/>
  <c r="AE536" i="54"/>
  <c r="AA536" i="54" s="1"/>
  <c r="AE535" i="54"/>
  <c r="AA535" i="54" s="1"/>
  <c r="AE534" i="54"/>
  <c r="AA534" i="54" s="1"/>
  <c r="AE533" i="54"/>
  <c r="AA533" i="54" s="1"/>
  <c r="AE532" i="54"/>
  <c r="AA532" i="54" s="1"/>
  <c r="AE531" i="54"/>
  <c r="AA531" i="54" s="1"/>
  <c r="AE530" i="54"/>
  <c r="AA530" i="54" s="1"/>
  <c r="AE529" i="54"/>
  <c r="AA529" i="54" s="1"/>
  <c r="AE528" i="54"/>
  <c r="AA528" i="54" s="1"/>
  <c r="AE527" i="54"/>
  <c r="AA527" i="54" s="1"/>
  <c r="AE526" i="54"/>
  <c r="AA526" i="54" s="1"/>
  <c r="AE525" i="54"/>
  <c r="AA525" i="54" s="1"/>
  <c r="AE524" i="54"/>
  <c r="AA524" i="54" s="1"/>
  <c r="AE523" i="54"/>
  <c r="AA523" i="54" s="1"/>
  <c r="AE522" i="54"/>
  <c r="AA522" i="54" s="1"/>
  <c r="AE521" i="54"/>
  <c r="AA521" i="54" s="1"/>
  <c r="AE520" i="54"/>
  <c r="AA520" i="54" s="1"/>
  <c r="AE519" i="54"/>
  <c r="AA519" i="54" s="1"/>
  <c r="AE518" i="54"/>
  <c r="AA518" i="54" s="1"/>
  <c r="AE517" i="54"/>
  <c r="AA517" i="54" s="1"/>
  <c r="AE516" i="54"/>
  <c r="AA516" i="54" s="1"/>
  <c r="AE515" i="54"/>
  <c r="AA515" i="54" s="1"/>
  <c r="AE514" i="54"/>
  <c r="AA514" i="54" s="1"/>
  <c r="AE513" i="54"/>
  <c r="AA513" i="54" s="1"/>
  <c r="AE512" i="54"/>
  <c r="AA512" i="54" s="1"/>
  <c r="AE511" i="54"/>
  <c r="AA511" i="54" s="1"/>
  <c r="AE510" i="54"/>
  <c r="AA510" i="54" s="1"/>
  <c r="AE509" i="54"/>
  <c r="AA509" i="54" s="1"/>
  <c r="AE508" i="54"/>
  <c r="AA508" i="54" s="1"/>
  <c r="AE507" i="54"/>
  <c r="AA507" i="54" s="1"/>
  <c r="AE506" i="54"/>
  <c r="AA506" i="54" s="1"/>
  <c r="AE505" i="54"/>
  <c r="AA505" i="54" s="1"/>
  <c r="AE504" i="54"/>
  <c r="AA504" i="54" s="1"/>
  <c r="AE503" i="54"/>
  <c r="AA503" i="54" s="1"/>
  <c r="AE502" i="54"/>
  <c r="AA502" i="54" s="1"/>
  <c r="AE501" i="54"/>
  <c r="AA501" i="54" s="1"/>
  <c r="AE500" i="54"/>
  <c r="AA500" i="54" s="1"/>
  <c r="AE499" i="54"/>
  <c r="AA499" i="54" s="1"/>
  <c r="AE498" i="54"/>
  <c r="AA498" i="54" s="1"/>
  <c r="AE497" i="54"/>
  <c r="AA497" i="54" s="1"/>
  <c r="AE496" i="54"/>
  <c r="AA496" i="54" s="1"/>
  <c r="AE495" i="54"/>
  <c r="AA495" i="54" s="1"/>
  <c r="AE494" i="54"/>
  <c r="AA494" i="54" s="1"/>
  <c r="AE493" i="54"/>
  <c r="AA493" i="54" s="1"/>
  <c r="AE492" i="54"/>
  <c r="AA492" i="54" s="1"/>
  <c r="AE491" i="54"/>
  <c r="AA491" i="54" s="1"/>
  <c r="AE490" i="54"/>
  <c r="AA490" i="54" s="1"/>
  <c r="AE489" i="54"/>
  <c r="AA489" i="54" s="1"/>
  <c r="AE488" i="54"/>
  <c r="AA488" i="54" s="1"/>
  <c r="AE487" i="54"/>
  <c r="AA487" i="54" s="1"/>
  <c r="AE486" i="54"/>
  <c r="AA486" i="54" s="1"/>
  <c r="AE485" i="54"/>
  <c r="AA485" i="54" s="1"/>
  <c r="AE484" i="54"/>
  <c r="AA484" i="54" s="1"/>
  <c r="AE483" i="54"/>
  <c r="AA483" i="54" s="1"/>
  <c r="AE482" i="54"/>
  <c r="AA482" i="54" s="1"/>
  <c r="AE481" i="54"/>
  <c r="AA481" i="54" s="1"/>
  <c r="AE480" i="54"/>
  <c r="AA480" i="54" s="1"/>
  <c r="AE479" i="54"/>
  <c r="AA479" i="54" s="1"/>
  <c r="AE478" i="54"/>
  <c r="AA478" i="54" s="1"/>
  <c r="AE477" i="54"/>
  <c r="AA477" i="54" s="1"/>
  <c r="AE476" i="54"/>
  <c r="AA476" i="54" s="1"/>
  <c r="AE475" i="54"/>
  <c r="AA475" i="54" s="1"/>
  <c r="AE474" i="54"/>
  <c r="AA474" i="54" s="1"/>
  <c r="AE473" i="54"/>
  <c r="AA473" i="54" s="1"/>
  <c r="AE472" i="54"/>
  <c r="AA472" i="54" s="1"/>
  <c r="AE471" i="54"/>
  <c r="AA471" i="54" s="1"/>
  <c r="AE470" i="54"/>
  <c r="AA470" i="54" s="1"/>
  <c r="AE469" i="54"/>
  <c r="AA469" i="54" s="1"/>
  <c r="AE468" i="54"/>
  <c r="AA468" i="54" s="1"/>
  <c r="AE467" i="54"/>
  <c r="AA467" i="54" s="1"/>
  <c r="AE466" i="54"/>
  <c r="AA466" i="54" s="1"/>
  <c r="AE465" i="54"/>
  <c r="AA465" i="54" s="1"/>
  <c r="AE464" i="54"/>
  <c r="AA464" i="54" s="1"/>
  <c r="AE463" i="54"/>
  <c r="AA463" i="54" s="1"/>
  <c r="AE462" i="54"/>
  <c r="AA462" i="54" s="1"/>
  <c r="AE461" i="54"/>
  <c r="AA461" i="54" s="1"/>
  <c r="AE460" i="54"/>
  <c r="AA460" i="54" s="1"/>
  <c r="AE459" i="54"/>
  <c r="AA459" i="54" s="1"/>
  <c r="AE458" i="54"/>
  <c r="AA458" i="54" s="1"/>
  <c r="AE457" i="54"/>
  <c r="AA457" i="54" s="1"/>
  <c r="AE456" i="54"/>
  <c r="AA456" i="54" s="1"/>
  <c r="AE455" i="54"/>
  <c r="AA455" i="54" s="1"/>
  <c r="AE454" i="54"/>
  <c r="AA454" i="54" s="1"/>
  <c r="AE453" i="54"/>
  <c r="AA453" i="54" s="1"/>
  <c r="AE452" i="54"/>
  <c r="AA452" i="54" s="1"/>
  <c r="AE451" i="54"/>
  <c r="AA451" i="54" s="1"/>
  <c r="AE450" i="54"/>
  <c r="AA450" i="54" s="1"/>
  <c r="AE449" i="54"/>
  <c r="AA449" i="54" s="1"/>
  <c r="AE448" i="54"/>
  <c r="AA448" i="54" s="1"/>
  <c r="AE447" i="54"/>
  <c r="AA447" i="54" s="1"/>
  <c r="AE446" i="54"/>
  <c r="AA446" i="54" s="1"/>
  <c r="AE445" i="54"/>
  <c r="AA445" i="54" s="1"/>
  <c r="AE444" i="54"/>
  <c r="AA444" i="54" s="1"/>
  <c r="AE443" i="54"/>
  <c r="AA443" i="54" s="1"/>
  <c r="AE442" i="54"/>
  <c r="AA442" i="54" s="1"/>
  <c r="AE441" i="54"/>
  <c r="AA441" i="54" s="1"/>
  <c r="AE440" i="54"/>
  <c r="AA440" i="54" s="1"/>
  <c r="AE439" i="54"/>
  <c r="AA439" i="54" s="1"/>
  <c r="AE438" i="54"/>
  <c r="AA438" i="54" s="1"/>
  <c r="AE437" i="54"/>
  <c r="AA437" i="54" s="1"/>
  <c r="AE436" i="54"/>
  <c r="AA436" i="54" s="1"/>
  <c r="AE435" i="54"/>
  <c r="AA435" i="54" s="1"/>
  <c r="AE434" i="54"/>
  <c r="AA434" i="54" s="1"/>
  <c r="AE433" i="54"/>
  <c r="AA433" i="54" s="1"/>
  <c r="AE432" i="54"/>
  <c r="AA432" i="54" s="1"/>
  <c r="AE431" i="54"/>
  <c r="AA431" i="54" s="1"/>
  <c r="AE430" i="54"/>
  <c r="AA430" i="54" s="1"/>
  <c r="AE429" i="54"/>
  <c r="AA429" i="54" s="1"/>
  <c r="AE428" i="54"/>
  <c r="AA428" i="54" s="1"/>
  <c r="AE427" i="54"/>
  <c r="AA427" i="54" s="1"/>
  <c r="AE426" i="54"/>
  <c r="AA426" i="54" s="1"/>
  <c r="AE425" i="54"/>
  <c r="AA425" i="54" s="1"/>
  <c r="AE424" i="54"/>
  <c r="AA424" i="54" s="1"/>
  <c r="AE423" i="54"/>
  <c r="AA423" i="54" s="1"/>
  <c r="AE422" i="54"/>
  <c r="AA422" i="54" s="1"/>
  <c r="AE421" i="54"/>
  <c r="AA421" i="54" s="1"/>
  <c r="AE420" i="54"/>
  <c r="AA420" i="54" s="1"/>
  <c r="AE419" i="54"/>
  <c r="AA419" i="54" s="1"/>
  <c r="AE418" i="54"/>
  <c r="AA418" i="54" s="1"/>
  <c r="AE417" i="54"/>
  <c r="AA417" i="54" s="1"/>
  <c r="AE416" i="54"/>
  <c r="AA416" i="54" s="1"/>
  <c r="AE415" i="54"/>
  <c r="AA415" i="54" s="1"/>
  <c r="AE414" i="54"/>
  <c r="AA414" i="54" s="1"/>
  <c r="AE413" i="54"/>
  <c r="AA413" i="54" s="1"/>
  <c r="AE412" i="54"/>
  <c r="AA412" i="54" s="1"/>
  <c r="AE411" i="54"/>
  <c r="AA411" i="54" s="1"/>
  <c r="AE410" i="54"/>
  <c r="AA410" i="54" s="1"/>
  <c r="AE409" i="54"/>
  <c r="AA409" i="54" s="1"/>
  <c r="AE408" i="54"/>
  <c r="AA408" i="54" s="1"/>
  <c r="AE407" i="54"/>
  <c r="AA407" i="54" s="1"/>
  <c r="AE406" i="54"/>
  <c r="AA406" i="54" s="1"/>
  <c r="AE405" i="54"/>
  <c r="AA405" i="54" s="1"/>
  <c r="AE404" i="54"/>
  <c r="AA404" i="54" s="1"/>
  <c r="AE403" i="54"/>
  <c r="AA403" i="54" s="1"/>
  <c r="AE402" i="54"/>
  <c r="AA402" i="54" s="1"/>
  <c r="AE401" i="54"/>
  <c r="AA401" i="54" s="1"/>
  <c r="AE400" i="54"/>
  <c r="AA400" i="54" s="1"/>
  <c r="AE399" i="54"/>
  <c r="AA399" i="54" s="1"/>
  <c r="AE398" i="54"/>
  <c r="AA398" i="54" s="1"/>
  <c r="AE397" i="54"/>
  <c r="AA397" i="54" s="1"/>
  <c r="AE396" i="54"/>
  <c r="AA396" i="54" s="1"/>
  <c r="AE395" i="54"/>
  <c r="AA395" i="54" s="1"/>
  <c r="AE394" i="54"/>
  <c r="AA394" i="54" s="1"/>
  <c r="AE393" i="54"/>
  <c r="AA393" i="54" s="1"/>
  <c r="AE392" i="54"/>
  <c r="AA392" i="54" s="1"/>
  <c r="AE391" i="54"/>
  <c r="AA391" i="54" s="1"/>
  <c r="AE390" i="54"/>
  <c r="AA390" i="54" s="1"/>
  <c r="AE389" i="54"/>
  <c r="AA389" i="54" s="1"/>
  <c r="AE388" i="54"/>
  <c r="AA388" i="54" s="1"/>
  <c r="AE387" i="54"/>
  <c r="AA387" i="54" s="1"/>
  <c r="AE386" i="54"/>
  <c r="AA386" i="54" s="1"/>
  <c r="AE385" i="54"/>
  <c r="AA385" i="54" s="1"/>
  <c r="AE384" i="54"/>
  <c r="AA384" i="54" s="1"/>
  <c r="AE383" i="54"/>
  <c r="AA383" i="54" s="1"/>
  <c r="AE382" i="54"/>
  <c r="AA382" i="54" s="1"/>
  <c r="AE381" i="54"/>
  <c r="AA381" i="54" s="1"/>
  <c r="AE380" i="54"/>
  <c r="AA380" i="54" s="1"/>
  <c r="AE379" i="54"/>
  <c r="AA379" i="54" s="1"/>
  <c r="AE378" i="54"/>
  <c r="AA378" i="54" s="1"/>
  <c r="AE377" i="54"/>
  <c r="AA377" i="54" s="1"/>
  <c r="AE376" i="54"/>
  <c r="AA376" i="54" s="1"/>
  <c r="AE375" i="54"/>
  <c r="AA375" i="54" s="1"/>
  <c r="AE374" i="54"/>
  <c r="AA374" i="54" s="1"/>
  <c r="AE373" i="54"/>
  <c r="AA373" i="54" s="1"/>
  <c r="AE372" i="54"/>
  <c r="AA372" i="54" s="1"/>
  <c r="AE371" i="54"/>
  <c r="AA371" i="54" s="1"/>
  <c r="AE370" i="54"/>
  <c r="AA370" i="54" s="1"/>
  <c r="AE369" i="54"/>
  <c r="AA369" i="54" s="1"/>
  <c r="AE368" i="54"/>
  <c r="AA368" i="54" s="1"/>
  <c r="AE367" i="54"/>
  <c r="AA367" i="54" s="1"/>
  <c r="AE366" i="54"/>
  <c r="AA366" i="54" s="1"/>
  <c r="AE365" i="54"/>
  <c r="AA365" i="54" s="1"/>
  <c r="AE364" i="54"/>
  <c r="AA364" i="54" s="1"/>
  <c r="AE363" i="54"/>
  <c r="AA363" i="54" s="1"/>
  <c r="AE362" i="54"/>
  <c r="AA362" i="54" s="1"/>
  <c r="AE361" i="54"/>
  <c r="AA361" i="54" s="1"/>
  <c r="AE360" i="54"/>
  <c r="AA360" i="54" s="1"/>
  <c r="AE359" i="54"/>
  <c r="AA359" i="54" s="1"/>
  <c r="AE358" i="54"/>
  <c r="AA358" i="54" s="1"/>
  <c r="AE357" i="54"/>
  <c r="AA357" i="54" s="1"/>
  <c r="AE356" i="54"/>
  <c r="AA356" i="54" s="1"/>
  <c r="AE355" i="54"/>
  <c r="AA355" i="54" s="1"/>
  <c r="AE354" i="54"/>
  <c r="AA354" i="54" s="1"/>
  <c r="AE353" i="54"/>
  <c r="AA353" i="54" s="1"/>
  <c r="AE352" i="54"/>
  <c r="AA352" i="54" s="1"/>
  <c r="AE351" i="54"/>
  <c r="AA351" i="54" s="1"/>
  <c r="AE350" i="54"/>
  <c r="AA350" i="54" s="1"/>
  <c r="AE349" i="54"/>
  <c r="AA349" i="54" s="1"/>
  <c r="AE348" i="54"/>
  <c r="AA348" i="54" s="1"/>
  <c r="AE347" i="54"/>
  <c r="AA347" i="54" s="1"/>
  <c r="AE346" i="54"/>
  <c r="AA346" i="54" s="1"/>
  <c r="AE345" i="54"/>
  <c r="AA345" i="54" s="1"/>
  <c r="AE344" i="54"/>
  <c r="AA344" i="54" s="1"/>
  <c r="AE343" i="54"/>
  <c r="AA343" i="54" s="1"/>
  <c r="AE342" i="54"/>
  <c r="AA342" i="54" s="1"/>
  <c r="AE341" i="54"/>
  <c r="AA341" i="54" s="1"/>
  <c r="AE340" i="54"/>
  <c r="AA340" i="54" s="1"/>
  <c r="AE339" i="54"/>
  <c r="AA339" i="54" s="1"/>
  <c r="AE338" i="54"/>
  <c r="AA338" i="54" s="1"/>
  <c r="AE337" i="54"/>
  <c r="AA337" i="54" s="1"/>
  <c r="AE336" i="54"/>
  <c r="AA336" i="54" s="1"/>
  <c r="AE335" i="54"/>
  <c r="AA335" i="54" s="1"/>
  <c r="AE334" i="54"/>
  <c r="AA334" i="54" s="1"/>
  <c r="AE333" i="54"/>
  <c r="AA333" i="54" s="1"/>
  <c r="AE332" i="54"/>
  <c r="AA332" i="54" s="1"/>
  <c r="AE331" i="54"/>
  <c r="AA331" i="54" s="1"/>
  <c r="AE330" i="54"/>
  <c r="AA330" i="54" s="1"/>
  <c r="AE329" i="54"/>
  <c r="AA329" i="54" s="1"/>
  <c r="AE328" i="54"/>
  <c r="AA328" i="54" s="1"/>
  <c r="AE327" i="54"/>
  <c r="AA327" i="54" s="1"/>
  <c r="AE326" i="54"/>
  <c r="AA326" i="54" s="1"/>
  <c r="AE325" i="54"/>
  <c r="AA325" i="54" s="1"/>
  <c r="AE324" i="54"/>
  <c r="AA324" i="54" s="1"/>
  <c r="AE323" i="54"/>
  <c r="AA323" i="54" s="1"/>
  <c r="AE322" i="54"/>
  <c r="AA322" i="54" s="1"/>
  <c r="AE321" i="54"/>
  <c r="AA321" i="54" s="1"/>
  <c r="AE320" i="54"/>
  <c r="AA320" i="54" s="1"/>
  <c r="AE319" i="54"/>
  <c r="AA319" i="54" s="1"/>
  <c r="AE318" i="54"/>
  <c r="AA318" i="54" s="1"/>
  <c r="AE317" i="54"/>
  <c r="AA317" i="54" s="1"/>
  <c r="AE316" i="54"/>
  <c r="AA316" i="54" s="1"/>
  <c r="AE315" i="54"/>
  <c r="AA315" i="54" s="1"/>
  <c r="AE314" i="54"/>
  <c r="AA314" i="54" s="1"/>
  <c r="AE313" i="54"/>
  <c r="AA313" i="54" s="1"/>
  <c r="AE312" i="54"/>
  <c r="AA312" i="54" s="1"/>
  <c r="AE311" i="54"/>
  <c r="AA311" i="54" s="1"/>
  <c r="AE310" i="54"/>
  <c r="AA310" i="54" s="1"/>
  <c r="AE309" i="54"/>
  <c r="AA309" i="54" s="1"/>
  <c r="AE308" i="54"/>
  <c r="AA308" i="54" s="1"/>
  <c r="AE307" i="54"/>
  <c r="AA307" i="54" s="1"/>
  <c r="AE306" i="54"/>
  <c r="AA306" i="54" s="1"/>
  <c r="AE305" i="54"/>
  <c r="AA305" i="54" s="1"/>
  <c r="AE304" i="54"/>
  <c r="AA304" i="54" s="1"/>
  <c r="AE303" i="54"/>
  <c r="AA303" i="54" s="1"/>
  <c r="AE302" i="54"/>
  <c r="AA302" i="54" s="1"/>
  <c r="AE301" i="54"/>
  <c r="AA301" i="54" s="1"/>
  <c r="AE300" i="54"/>
  <c r="AA300" i="54" s="1"/>
  <c r="AE299" i="54"/>
  <c r="AA299" i="54" s="1"/>
  <c r="AE298" i="54"/>
  <c r="AA298" i="54" s="1"/>
  <c r="AE297" i="54"/>
  <c r="AA297" i="54" s="1"/>
  <c r="AE296" i="54"/>
  <c r="AA296" i="54" s="1"/>
  <c r="AE295" i="54"/>
  <c r="AA295" i="54" s="1"/>
  <c r="AE294" i="54"/>
  <c r="AA294" i="54" s="1"/>
  <c r="AE293" i="54"/>
  <c r="AA293" i="54" s="1"/>
  <c r="AE292" i="54"/>
  <c r="AA292" i="54" s="1"/>
  <c r="AE291" i="54"/>
  <c r="AA291" i="54" s="1"/>
  <c r="AE290" i="54"/>
  <c r="AA290" i="54" s="1"/>
  <c r="AE289" i="54"/>
  <c r="AA289" i="54" s="1"/>
  <c r="AE288" i="54"/>
  <c r="AA288" i="54" s="1"/>
  <c r="AE287" i="54"/>
  <c r="AA287" i="54" s="1"/>
  <c r="AE286" i="54"/>
  <c r="AA286" i="54" s="1"/>
  <c r="AE285" i="54"/>
  <c r="AA285" i="54" s="1"/>
  <c r="AE284" i="54"/>
  <c r="AA284" i="54" s="1"/>
  <c r="AE283" i="54"/>
  <c r="AA283" i="54" s="1"/>
  <c r="AE282" i="54"/>
  <c r="AA282" i="54" s="1"/>
  <c r="AE281" i="54"/>
  <c r="AA281" i="54" s="1"/>
  <c r="AE280" i="54"/>
  <c r="AA280" i="54" s="1"/>
  <c r="AE279" i="54"/>
  <c r="AA279" i="54" s="1"/>
  <c r="AE278" i="54"/>
  <c r="AA278" i="54" s="1"/>
  <c r="AE277" i="54"/>
  <c r="AA277" i="54" s="1"/>
  <c r="AE276" i="54"/>
  <c r="AA276" i="54" s="1"/>
  <c r="AE275" i="54"/>
  <c r="AA275" i="54" s="1"/>
  <c r="AE274" i="54"/>
  <c r="AA274" i="54" s="1"/>
  <c r="AE273" i="54"/>
  <c r="AA273" i="54" s="1"/>
  <c r="AE272" i="54"/>
  <c r="AA272" i="54" s="1"/>
  <c r="AE271" i="54"/>
  <c r="AA271" i="54" s="1"/>
  <c r="AE270" i="54"/>
  <c r="AA270" i="54" s="1"/>
  <c r="AE269" i="54"/>
  <c r="AA269" i="54" s="1"/>
  <c r="AE268" i="54"/>
  <c r="AA268" i="54" s="1"/>
  <c r="AE267" i="54"/>
  <c r="AA267" i="54" s="1"/>
  <c r="AE266" i="54"/>
  <c r="AA266" i="54" s="1"/>
  <c r="AE265" i="54"/>
  <c r="AA265" i="54" s="1"/>
  <c r="AE264" i="54"/>
  <c r="AA264" i="54" s="1"/>
  <c r="AE263" i="54"/>
  <c r="AA263" i="54" s="1"/>
  <c r="AE262" i="54"/>
  <c r="AA262" i="54" s="1"/>
  <c r="AE261" i="54"/>
  <c r="AA261" i="54" s="1"/>
  <c r="AE260" i="54"/>
  <c r="AA260" i="54" s="1"/>
  <c r="AE259" i="54"/>
  <c r="AA259" i="54" s="1"/>
  <c r="AE258" i="54"/>
  <c r="AA258" i="54" s="1"/>
  <c r="AE257" i="54"/>
  <c r="AA257" i="54" s="1"/>
  <c r="AE256" i="54"/>
  <c r="AA256" i="54" s="1"/>
  <c r="AE255" i="54"/>
  <c r="AA255" i="54" s="1"/>
  <c r="AE254" i="54"/>
  <c r="AA254" i="54" s="1"/>
  <c r="AE253" i="54"/>
  <c r="AA253" i="54" s="1"/>
  <c r="AE252" i="54"/>
  <c r="AA252" i="54" s="1"/>
  <c r="AE251" i="54"/>
  <c r="AA251" i="54" s="1"/>
  <c r="AE250" i="54"/>
  <c r="AA250" i="54" s="1"/>
  <c r="AE249" i="54"/>
  <c r="AA249" i="54" s="1"/>
  <c r="AE248" i="54"/>
  <c r="AA248" i="54" s="1"/>
  <c r="AE247" i="54"/>
  <c r="AA247" i="54" s="1"/>
  <c r="AE246" i="54"/>
  <c r="AA246" i="54" s="1"/>
  <c r="AE245" i="54"/>
  <c r="AA245" i="54" s="1"/>
  <c r="AE244" i="54"/>
  <c r="AA244" i="54" s="1"/>
  <c r="AE243" i="54"/>
  <c r="AA243" i="54" s="1"/>
  <c r="AE242" i="54"/>
  <c r="AA242" i="54" s="1"/>
  <c r="AE241" i="54"/>
  <c r="AA241" i="54" s="1"/>
  <c r="AE240" i="54"/>
  <c r="AA240" i="54" s="1"/>
  <c r="AE239" i="54"/>
  <c r="AA239" i="54" s="1"/>
  <c r="AE238" i="54"/>
  <c r="AA238" i="54" s="1"/>
  <c r="AE237" i="54"/>
  <c r="AA237" i="54" s="1"/>
  <c r="AE236" i="54"/>
  <c r="AA236" i="54" s="1"/>
  <c r="AE235" i="54"/>
  <c r="AA235" i="54" s="1"/>
  <c r="AE234" i="54"/>
  <c r="AA234" i="54" s="1"/>
  <c r="AE233" i="54"/>
  <c r="AA233" i="54" s="1"/>
  <c r="AE232" i="54"/>
  <c r="AA232" i="54" s="1"/>
  <c r="AE231" i="54"/>
  <c r="AA231" i="54" s="1"/>
  <c r="AE230" i="54"/>
  <c r="AA230" i="54" s="1"/>
  <c r="AE229" i="54"/>
  <c r="AA229" i="54" s="1"/>
  <c r="AE228" i="54"/>
  <c r="AA228" i="54" s="1"/>
  <c r="AE227" i="54"/>
  <c r="AA227" i="54" s="1"/>
  <c r="AE226" i="54"/>
  <c r="AA226" i="54" s="1"/>
  <c r="AE225" i="54"/>
  <c r="AA225" i="54" s="1"/>
  <c r="AE224" i="54"/>
  <c r="AA224" i="54" s="1"/>
  <c r="AE223" i="54"/>
  <c r="AA223" i="54" s="1"/>
  <c r="AE222" i="54"/>
  <c r="AA222" i="54" s="1"/>
  <c r="AE221" i="54"/>
  <c r="AA221" i="54" s="1"/>
  <c r="AE220" i="54"/>
  <c r="AA220" i="54" s="1"/>
  <c r="AE219" i="54"/>
  <c r="AA219" i="54" s="1"/>
  <c r="AE218" i="54"/>
  <c r="AA218" i="54" s="1"/>
  <c r="AE217" i="54"/>
  <c r="AA217" i="54" s="1"/>
  <c r="AE216" i="54"/>
  <c r="AA216" i="54" s="1"/>
  <c r="AE215" i="54"/>
  <c r="AA215" i="54" s="1"/>
  <c r="AE214" i="54"/>
  <c r="AA214" i="54" s="1"/>
  <c r="AE213" i="54"/>
  <c r="AA213" i="54" s="1"/>
  <c r="AE212" i="54"/>
  <c r="AA212" i="54" s="1"/>
  <c r="AE211" i="54"/>
  <c r="AA211" i="54" s="1"/>
  <c r="AE210" i="54"/>
  <c r="AA210" i="54" s="1"/>
  <c r="AE209" i="54"/>
  <c r="AA209" i="54" s="1"/>
  <c r="AE208" i="54"/>
  <c r="AA208" i="54" s="1"/>
  <c r="AE207" i="54"/>
  <c r="AA207" i="54" s="1"/>
  <c r="AE206" i="54"/>
  <c r="AA206" i="54" s="1"/>
  <c r="AE205" i="54"/>
  <c r="AA205" i="54" s="1"/>
  <c r="AE204" i="54"/>
  <c r="AA204" i="54" s="1"/>
  <c r="AE203" i="54"/>
  <c r="AA203" i="54" s="1"/>
  <c r="AE202" i="54"/>
  <c r="AA202" i="54" s="1"/>
  <c r="AE201" i="54"/>
  <c r="AA201" i="54" s="1"/>
  <c r="AE200" i="54"/>
  <c r="AA200" i="54" s="1"/>
  <c r="AE199" i="54"/>
  <c r="AA199" i="54" s="1"/>
  <c r="AE198" i="54"/>
  <c r="AA198" i="54" s="1"/>
  <c r="AE197" i="54"/>
  <c r="AA197" i="54" s="1"/>
  <c r="AE196" i="54"/>
  <c r="AA196" i="54" s="1"/>
  <c r="AE195" i="54"/>
  <c r="AA195" i="54" s="1"/>
  <c r="AE194" i="54"/>
  <c r="AA194" i="54" s="1"/>
  <c r="AE193" i="54"/>
  <c r="AA193" i="54" s="1"/>
  <c r="AE192" i="54"/>
  <c r="AA192" i="54" s="1"/>
  <c r="AE191" i="54"/>
  <c r="AA191" i="54" s="1"/>
  <c r="AE190" i="54"/>
  <c r="AA190" i="54" s="1"/>
  <c r="AE189" i="54"/>
  <c r="AA189" i="54" s="1"/>
  <c r="AE188" i="54"/>
  <c r="AA188" i="54" s="1"/>
  <c r="AE187" i="54"/>
  <c r="AA187" i="54" s="1"/>
  <c r="AE186" i="54"/>
  <c r="AA186" i="54" s="1"/>
  <c r="AE185" i="54"/>
  <c r="AA185" i="54" s="1"/>
  <c r="AE184" i="54"/>
  <c r="AA184" i="54" s="1"/>
  <c r="AE183" i="54"/>
  <c r="AA183" i="54" s="1"/>
  <c r="AE182" i="54"/>
  <c r="AA182" i="54" s="1"/>
  <c r="AE181" i="54"/>
  <c r="AA181" i="54" s="1"/>
  <c r="AE180" i="54"/>
  <c r="AA180" i="54" s="1"/>
  <c r="AE179" i="54"/>
  <c r="AA179" i="54" s="1"/>
  <c r="AE178" i="54"/>
  <c r="AA178" i="54" s="1"/>
  <c r="AE177" i="54"/>
  <c r="AA177" i="54" s="1"/>
  <c r="AE176" i="54"/>
  <c r="AA176" i="54" s="1"/>
  <c r="AE175" i="54"/>
  <c r="AA175" i="54" s="1"/>
  <c r="AE174" i="54"/>
  <c r="AA174" i="54" s="1"/>
  <c r="AE173" i="54"/>
  <c r="AA173" i="54" s="1"/>
  <c r="AE172" i="54"/>
  <c r="AA172" i="54" s="1"/>
  <c r="AE171" i="54"/>
  <c r="AA171" i="54" s="1"/>
  <c r="AE170" i="54"/>
  <c r="AA170" i="54" s="1"/>
  <c r="AE169" i="54"/>
  <c r="AA169" i="54" s="1"/>
  <c r="AE168" i="54"/>
  <c r="AA168" i="54" s="1"/>
  <c r="AE167" i="54"/>
  <c r="AA167" i="54" s="1"/>
  <c r="AE166" i="54"/>
  <c r="AA166" i="54" s="1"/>
  <c r="AE165" i="54"/>
  <c r="AA165" i="54" s="1"/>
  <c r="AE164" i="54"/>
  <c r="AA164" i="54" s="1"/>
  <c r="AE163" i="54"/>
  <c r="AA163" i="54" s="1"/>
  <c r="AE162" i="54"/>
  <c r="AA162" i="54" s="1"/>
  <c r="AE161" i="54"/>
  <c r="AA161" i="54" s="1"/>
  <c r="AE160" i="54"/>
  <c r="AA160" i="54" s="1"/>
  <c r="AE159" i="54"/>
  <c r="AA159" i="54" s="1"/>
  <c r="AE158" i="54"/>
  <c r="AA158" i="54" s="1"/>
  <c r="AE157" i="54"/>
  <c r="AA157" i="54" s="1"/>
  <c r="AE156" i="54"/>
  <c r="AA156" i="54" s="1"/>
  <c r="AE155" i="54"/>
  <c r="AA155" i="54" s="1"/>
  <c r="AE154" i="54"/>
  <c r="AA154" i="54" s="1"/>
  <c r="AE153" i="54"/>
  <c r="AA153" i="54" s="1"/>
  <c r="AE152" i="54"/>
  <c r="AA152" i="54" s="1"/>
  <c r="AE151" i="54"/>
  <c r="AA151" i="54" s="1"/>
  <c r="AE150" i="54"/>
  <c r="AA150" i="54" s="1"/>
  <c r="AE149" i="54"/>
  <c r="AA149" i="54" s="1"/>
  <c r="AE148" i="54"/>
  <c r="AA148" i="54" s="1"/>
  <c r="AE147" i="54"/>
  <c r="AA147" i="54" s="1"/>
  <c r="AE146" i="54"/>
  <c r="AA146" i="54" s="1"/>
  <c r="AE145" i="54"/>
  <c r="AA145" i="54" s="1"/>
  <c r="AE144" i="54"/>
  <c r="AA144" i="54" s="1"/>
  <c r="AE143" i="54"/>
  <c r="AA143" i="54" s="1"/>
  <c r="AE142" i="54"/>
  <c r="AA142" i="54" s="1"/>
  <c r="AE141" i="54"/>
  <c r="AA141" i="54" s="1"/>
  <c r="AE140" i="54"/>
  <c r="AA140" i="54" s="1"/>
  <c r="AE139" i="54"/>
  <c r="AA139" i="54" s="1"/>
  <c r="AE138" i="54"/>
  <c r="AA138" i="54" s="1"/>
  <c r="AE137" i="54"/>
  <c r="AA137" i="54" s="1"/>
  <c r="AE136" i="54"/>
  <c r="AA136" i="54" s="1"/>
  <c r="AE135" i="54"/>
  <c r="AA135" i="54" s="1"/>
  <c r="AE134" i="54"/>
  <c r="AA134" i="54" s="1"/>
  <c r="AE133" i="54"/>
  <c r="AA133" i="54" s="1"/>
  <c r="AE132" i="54"/>
  <c r="AA132" i="54" s="1"/>
  <c r="AE131" i="54"/>
  <c r="AA131" i="54" s="1"/>
  <c r="AE130" i="54"/>
  <c r="AA130" i="54" s="1"/>
  <c r="AE129" i="54"/>
  <c r="AA129" i="54" s="1"/>
  <c r="AE128" i="54"/>
  <c r="AA128" i="54" s="1"/>
  <c r="AE127" i="54"/>
  <c r="AA127" i="54" s="1"/>
  <c r="AE126" i="54"/>
  <c r="AA126" i="54" s="1"/>
  <c r="AE125" i="54"/>
  <c r="AA125" i="54" s="1"/>
  <c r="AE124" i="54"/>
  <c r="AA124" i="54" s="1"/>
  <c r="AE123" i="54"/>
  <c r="AA123" i="54" s="1"/>
  <c r="AE122" i="54"/>
  <c r="AA122" i="54" s="1"/>
  <c r="AE121" i="54"/>
  <c r="AA121" i="54" s="1"/>
  <c r="AE120" i="54"/>
  <c r="AA120" i="54" s="1"/>
  <c r="AE119" i="54"/>
  <c r="AA119" i="54" s="1"/>
  <c r="AE118" i="54"/>
  <c r="AA118" i="54" s="1"/>
  <c r="AE117" i="54"/>
  <c r="AA117" i="54" s="1"/>
  <c r="AE116" i="54"/>
  <c r="AA116" i="54" s="1"/>
  <c r="AE115" i="54"/>
  <c r="AA115" i="54" s="1"/>
  <c r="AE114" i="54"/>
  <c r="AA114" i="54" s="1"/>
  <c r="AE113" i="54"/>
  <c r="AA113" i="54" s="1"/>
  <c r="AE112" i="54"/>
  <c r="AA112" i="54" s="1"/>
  <c r="AE111" i="54"/>
  <c r="AA111" i="54" s="1"/>
  <c r="AE110" i="54"/>
  <c r="AA110" i="54" s="1"/>
  <c r="AE109" i="54"/>
  <c r="AA109" i="54" s="1"/>
  <c r="AE108" i="54"/>
  <c r="AA108" i="54" s="1"/>
  <c r="AE107" i="54"/>
  <c r="AA107" i="54" s="1"/>
  <c r="AE106" i="54"/>
  <c r="AA106" i="54" s="1"/>
  <c r="AE105" i="54"/>
  <c r="AA105" i="54" s="1"/>
  <c r="AE104" i="54"/>
  <c r="AA104" i="54" s="1"/>
  <c r="AE103" i="54"/>
  <c r="AA103" i="54" s="1"/>
  <c r="AE102" i="54"/>
  <c r="AA102" i="54" s="1"/>
  <c r="AE101" i="54"/>
  <c r="AA101" i="54" s="1"/>
  <c r="AE100" i="54"/>
  <c r="AA100" i="54" s="1"/>
  <c r="AE99" i="54"/>
  <c r="AA99" i="54" s="1"/>
  <c r="AE98" i="54"/>
  <c r="AA98" i="54" s="1"/>
  <c r="AE97" i="54"/>
  <c r="AA97" i="54" s="1"/>
  <c r="AE96" i="54"/>
  <c r="AA96" i="54" s="1"/>
  <c r="AE95" i="54"/>
  <c r="AA95" i="54" s="1"/>
  <c r="AE94" i="54"/>
  <c r="AA94" i="54" s="1"/>
  <c r="AE93" i="54"/>
  <c r="AA93" i="54" s="1"/>
  <c r="AE92" i="54"/>
  <c r="AA92" i="54" s="1"/>
  <c r="AE91" i="54"/>
  <c r="AA91" i="54" s="1"/>
  <c r="AE90" i="54"/>
  <c r="AA90" i="54" s="1"/>
  <c r="AE89" i="54"/>
  <c r="AA89" i="54" s="1"/>
  <c r="AE88" i="54"/>
  <c r="AA88" i="54" s="1"/>
  <c r="AE87" i="54"/>
  <c r="AA87" i="54" s="1"/>
  <c r="AE86" i="54"/>
  <c r="AA86" i="54" s="1"/>
  <c r="AE85" i="54"/>
  <c r="AA85" i="54" s="1"/>
  <c r="AE84" i="54"/>
  <c r="AA84" i="54" s="1"/>
  <c r="AE83" i="54"/>
  <c r="AA83" i="54" s="1"/>
  <c r="AE82" i="54"/>
  <c r="AA82" i="54" s="1"/>
  <c r="AE81" i="54"/>
  <c r="AA81" i="54" s="1"/>
  <c r="AE80" i="54"/>
  <c r="AA80" i="54" s="1"/>
  <c r="AE79" i="54"/>
  <c r="AA79" i="54" s="1"/>
  <c r="AE78" i="54"/>
  <c r="AA78" i="54" s="1"/>
  <c r="AE77" i="54"/>
  <c r="AA77" i="54" s="1"/>
  <c r="AE76" i="54"/>
  <c r="AA76" i="54" s="1"/>
  <c r="AE75" i="54"/>
  <c r="AA75" i="54" s="1"/>
  <c r="AE74" i="54"/>
  <c r="AA74" i="54" s="1"/>
  <c r="AE73" i="54"/>
  <c r="AA73" i="54" s="1"/>
  <c r="AE72" i="54"/>
  <c r="AA72" i="54" s="1"/>
  <c r="AE71" i="54"/>
  <c r="AA71" i="54" s="1"/>
  <c r="AE70" i="54"/>
  <c r="AA70" i="54" s="1"/>
  <c r="AE69" i="54"/>
  <c r="AA69" i="54" s="1"/>
  <c r="AE68" i="54"/>
  <c r="AA68" i="54" s="1"/>
  <c r="AE67" i="54"/>
  <c r="AA67" i="54" s="1"/>
  <c r="AE66" i="54"/>
  <c r="AA66" i="54" s="1"/>
  <c r="AE65" i="54"/>
  <c r="AA65" i="54" s="1"/>
  <c r="AE64" i="54"/>
  <c r="AA64" i="54" s="1"/>
  <c r="AE63" i="54"/>
  <c r="AA63" i="54" s="1"/>
  <c r="AE62" i="54"/>
  <c r="AA62" i="54" s="1"/>
  <c r="AE61" i="54"/>
  <c r="AA61" i="54" s="1"/>
  <c r="AE60" i="54"/>
  <c r="AA60" i="54" s="1"/>
  <c r="AE59" i="54"/>
  <c r="AA59" i="54" s="1"/>
  <c r="AE58" i="54"/>
  <c r="AA58" i="54" s="1"/>
  <c r="AE57" i="54"/>
  <c r="AA57" i="54" s="1"/>
  <c r="AE56" i="54"/>
  <c r="AA56" i="54" s="1"/>
  <c r="AE55" i="54"/>
  <c r="AA55" i="54" s="1"/>
  <c r="AE54" i="54"/>
  <c r="AA54" i="54" s="1"/>
  <c r="AE53" i="54"/>
  <c r="AA53" i="54" s="1"/>
  <c r="AE52" i="54"/>
  <c r="AA52" i="54" s="1"/>
  <c r="AE51" i="54"/>
  <c r="AA51" i="54" s="1"/>
  <c r="AE50" i="54"/>
  <c r="AA50" i="54" s="1"/>
  <c r="AE49" i="54"/>
  <c r="AA49" i="54" s="1"/>
  <c r="AE48" i="54"/>
  <c r="AA48" i="54" s="1"/>
  <c r="AE47" i="54"/>
  <c r="AA47" i="54" s="1"/>
  <c r="AE46" i="54"/>
  <c r="AA46" i="54" s="1"/>
  <c r="AE45" i="54"/>
  <c r="AA45" i="54" s="1"/>
  <c r="AE44" i="54"/>
  <c r="AA44" i="54" s="1"/>
  <c r="AE43" i="54"/>
  <c r="AA43" i="54" s="1"/>
  <c r="AE42" i="54"/>
  <c r="AA42" i="54" s="1"/>
  <c r="AE41" i="54"/>
  <c r="AA41" i="54" s="1"/>
  <c r="AE40" i="54"/>
  <c r="AA40" i="54" s="1"/>
  <c r="AE39" i="54"/>
  <c r="AA39" i="54" s="1"/>
  <c r="AE38" i="54"/>
  <c r="AA38" i="54" s="1"/>
  <c r="AE37" i="54"/>
  <c r="AA37" i="54" s="1"/>
  <c r="AE36" i="54"/>
  <c r="AA36" i="54" s="1"/>
  <c r="AE35" i="54"/>
  <c r="AA35" i="54" s="1"/>
  <c r="AE34" i="54"/>
  <c r="AA34" i="54" s="1"/>
  <c r="AE33" i="54"/>
  <c r="AA33" i="54" s="1"/>
  <c r="AE32" i="54"/>
  <c r="AA32" i="54" s="1"/>
  <c r="AE31" i="54"/>
  <c r="AA31" i="54" s="1"/>
  <c r="AE30" i="54"/>
  <c r="AA30" i="54" s="1"/>
  <c r="AE29" i="54"/>
  <c r="AA29" i="54" s="1"/>
  <c r="AE28" i="54"/>
  <c r="AA28" i="54" s="1"/>
  <c r="AE27" i="54"/>
  <c r="AA27" i="54" s="1"/>
  <c r="AE26" i="54"/>
  <c r="AA26" i="54" s="1"/>
  <c r="AE25" i="54"/>
  <c r="AA25" i="54" s="1"/>
  <c r="AE24" i="54"/>
  <c r="AA24" i="54" s="1"/>
  <c r="AE23" i="54"/>
  <c r="AA23" i="54" s="1"/>
  <c r="AE22" i="54"/>
  <c r="AA22" i="54" s="1"/>
  <c r="AE21" i="54"/>
  <c r="AA21" i="54" s="1"/>
  <c r="AE20" i="54"/>
  <c r="AA20" i="54" s="1"/>
  <c r="AE19" i="54"/>
  <c r="AA19" i="54" s="1"/>
  <c r="AE18" i="54"/>
  <c r="AA18" i="54" s="1"/>
  <c r="AE17" i="54"/>
  <c r="AA17" i="54" s="1"/>
  <c r="AE16" i="54"/>
  <c r="AA16" i="54" s="1"/>
  <c r="AE15" i="54"/>
  <c r="AA15" i="54" s="1"/>
  <c r="AE14" i="54"/>
  <c r="AA14" i="54" s="1"/>
  <c r="AE13" i="54"/>
  <c r="AA13" i="54" s="1"/>
  <c r="AE12" i="54"/>
  <c r="AA12" i="54" s="1"/>
  <c r="AE11" i="54"/>
  <c r="AA11" i="54" s="1"/>
  <c r="AE10" i="54"/>
  <c r="AA10" i="54" s="1"/>
  <c r="AE9" i="54"/>
  <c r="AA9" i="54" s="1"/>
  <c r="AE8" i="54"/>
  <c r="AA8" i="54" s="1"/>
  <c r="AE7" i="54"/>
  <c r="AA7" i="54" s="1"/>
  <c r="AE6" i="54"/>
  <c r="AA6" i="54" s="1"/>
  <c r="AE5" i="54"/>
  <c r="AA5" i="54" s="1"/>
  <c r="AE4" i="54"/>
  <c r="AA4" i="54" s="1"/>
  <c r="AE3" i="54"/>
  <c r="AA3" i="54" s="1"/>
  <c r="AE2" i="54"/>
  <c r="AA2" i="54" s="1"/>
  <c r="AE700" i="52"/>
  <c r="AA700" i="52" s="1"/>
  <c r="AE701" i="52"/>
  <c r="AA701" i="52" s="1"/>
  <c r="AE702" i="52"/>
  <c r="AA702" i="52" s="1"/>
  <c r="AE703" i="52"/>
  <c r="AA703" i="52" s="1"/>
  <c r="AE704" i="52"/>
  <c r="AA704" i="52" s="1"/>
  <c r="AE705" i="52"/>
  <c r="AA705" i="52" s="1"/>
  <c r="AE706" i="52"/>
  <c r="AA706" i="52" s="1"/>
  <c r="AE707" i="52"/>
  <c r="AA707" i="52" s="1"/>
  <c r="AE708" i="52"/>
  <c r="AA708" i="52" s="1"/>
  <c r="AE709" i="52"/>
  <c r="AA709" i="52" s="1"/>
  <c r="AE710" i="52"/>
  <c r="AA710" i="52" s="1"/>
  <c r="AE711" i="52"/>
  <c r="AA711" i="52" s="1"/>
  <c r="AE712" i="52"/>
  <c r="AA712" i="52" s="1"/>
  <c r="AE713" i="52"/>
  <c r="AA713" i="52" s="1"/>
  <c r="AE714" i="52"/>
  <c r="AA714" i="52" s="1"/>
  <c r="AE715" i="52"/>
  <c r="AA715" i="52" s="1"/>
  <c r="AE716" i="52"/>
  <c r="AA716" i="52" s="1"/>
  <c r="AE717" i="52"/>
  <c r="AA717" i="52" s="1"/>
  <c r="AE718" i="52"/>
  <c r="AA718" i="52" s="1"/>
  <c r="AE719" i="52"/>
  <c r="AA719" i="52" s="1"/>
  <c r="AE720" i="52"/>
  <c r="AA720" i="52" s="1"/>
  <c r="AE721" i="52"/>
  <c r="AA721" i="52" s="1"/>
  <c r="AE722" i="52"/>
  <c r="AA722" i="52" s="1"/>
  <c r="AE723" i="52"/>
  <c r="AA723" i="52" s="1"/>
  <c r="AE724" i="52"/>
  <c r="AA724" i="52" s="1"/>
  <c r="AE725" i="52"/>
  <c r="AA725" i="52" s="1"/>
  <c r="AE726" i="52"/>
  <c r="AA726" i="52" s="1"/>
  <c r="AE727" i="52"/>
  <c r="AA727" i="52" s="1"/>
  <c r="AE728" i="52"/>
  <c r="AA728" i="52" s="1"/>
  <c r="AE729" i="52"/>
  <c r="AA729" i="52" s="1"/>
  <c r="AE730" i="52"/>
  <c r="AA730" i="52" s="1"/>
  <c r="AE731" i="52"/>
  <c r="AA731" i="52" s="1"/>
  <c r="AE732" i="52"/>
  <c r="AA732" i="52" s="1"/>
  <c r="AE733" i="52"/>
  <c r="AA733" i="52" s="1"/>
  <c r="AE734" i="52"/>
  <c r="AA734" i="52" s="1"/>
  <c r="AE735" i="52"/>
  <c r="AA735" i="52" s="1"/>
  <c r="AE736" i="52"/>
  <c r="AA736" i="52" s="1"/>
  <c r="AE737" i="52"/>
  <c r="AA737" i="52" s="1"/>
  <c r="AE738" i="52"/>
  <c r="AA738" i="52" s="1"/>
  <c r="AE739" i="52"/>
  <c r="AA739" i="52" s="1"/>
  <c r="AE740" i="52"/>
  <c r="AA740" i="52" s="1"/>
  <c r="AE741" i="52"/>
  <c r="AA741" i="52" s="1"/>
  <c r="AE742" i="52"/>
  <c r="AA742" i="52" s="1"/>
  <c r="AE743" i="52"/>
  <c r="AA743" i="52" s="1"/>
  <c r="AE744" i="52"/>
  <c r="AA744" i="52" s="1"/>
  <c r="AE745" i="52"/>
  <c r="AA745" i="52" s="1"/>
  <c r="AE746" i="52"/>
  <c r="AA746" i="52" s="1"/>
  <c r="AE747" i="52"/>
  <c r="AA747" i="52" s="1"/>
  <c r="AE748" i="52"/>
  <c r="AA748" i="52" s="1"/>
  <c r="AE749" i="52"/>
  <c r="AA749" i="52" s="1"/>
  <c r="AE750" i="52"/>
  <c r="AA750" i="52" s="1"/>
  <c r="AE751" i="52"/>
  <c r="AA751" i="52" s="1"/>
  <c r="AE752" i="52"/>
  <c r="AA752" i="52" s="1"/>
  <c r="AE753" i="52"/>
  <c r="AA753" i="52" s="1"/>
  <c r="AE754" i="52"/>
  <c r="AA754" i="52" s="1"/>
  <c r="AE755" i="52"/>
  <c r="AA755" i="52" s="1"/>
  <c r="AE756" i="52"/>
  <c r="AA756" i="52" s="1"/>
  <c r="AE757" i="52"/>
  <c r="AA757" i="52" s="1"/>
  <c r="AE758" i="52"/>
  <c r="AA758" i="52" s="1"/>
  <c r="AE759" i="52"/>
  <c r="AA759" i="52" s="1"/>
  <c r="AE760" i="52"/>
  <c r="AA760" i="52" s="1"/>
  <c r="AE761" i="52"/>
  <c r="AA761" i="52" s="1"/>
  <c r="AE762" i="52"/>
  <c r="AA762" i="52" s="1"/>
  <c r="AE763" i="52"/>
  <c r="AA763" i="52" s="1"/>
  <c r="AE764" i="52"/>
  <c r="AA764" i="52" s="1"/>
  <c r="AE765" i="52"/>
  <c r="AA765" i="52" s="1"/>
  <c r="AE766" i="52"/>
  <c r="AA766" i="52" s="1"/>
  <c r="AE767" i="52"/>
  <c r="AA767" i="52" s="1"/>
  <c r="AE768" i="52"/>
  <c r="AA768" i="52" s="1"/>
  <c r="AE769" i="52"/>
  <c r="AA769" i="52" s="1"/>
  <c r="AE770" i="52"/>
  <c r="AA770" i="52" s="1"/>
  <c r="AE771" i="52"/>
  <c r="AA771" i="52" s="1"/>
  <c r="AE772" i="52"/>
  <c r="AA772" i="52" s="1"/>
  <c r="AE773" i="52"/>
  <c r="AA773" i="52" s="1"/>
  <c r="AE774" i="52"/>
  <c r="AA774" i="52" s="1"/>
  <c r="AE775" i="52"/>
  <c r="AA775" i="52" s="1"/>
  <c r="AE776" i="52"/>
  <c r="AA776" i="52" s="1"/>
  <c r="AE777" i="52"/>
  <c r="AA777" i="52" s="1"/>
  <c r="AE778" i="52"/>
  <c r="AA778" i="52" s="1"/>
  <c r="AE779" i="52"/>
  <c r="AA779" i="52" s="1"/>
  <c r="AE780" i="52"/>
  <c r="AA780" i="52" s="1"/>
  <c r="AE781" i="52"/>
  <c r="AA781" i="52" s="1"/>
  <c r="AE782" i="52"/>
  <c r="AA782" i="52" s="1"/>
  <c r="AE783" i="52"/>
  <c r="AA783" i="52" s="1"/>
  <c r="AE784" i="52"/>
  <c r="AA784" i="52" s="1"/>
  <c r="AE785" i="52"/>
  <c r="AA785" i="52" s="1"/>
  <c r="AE786" i="52"/>
  <c r="AA786" i="52" s="1"/>
  <c r="AE787" i="52"/>
  <c r="AA787" i="52" s="1"/>
  <c r="AE788" i="52"/>
  <c r="AA788" i="52" s="1"/>
  <c r="AE789" i="52"/>
  <c r="AA789" i="52" s="1"/>
  <c r="AE790" i="52"/>
  <c r="AA790" i="52" s="1"/>
  <c r="AE791" i="52"/>
  <c r="AA791" i="52" s="1"/>
  <c r="AE792" i="52"/>
  <c r="AA792" i="52" s="1"/>
  <c r="AE793" i="52"/>
  <c r="AA793" i="52" s="1"/>
  <c r="AE794" i="52"/>
  <c r="AA794" i="52" s="1"/>
  <c r="AE795" i="52"/>
  <c r="AA795" i="52" s="1"/>
  <c r="AE796" i="52"/>
  <c r="AA796" i="52" s="1"/>
  <c r="AE797" i="52"/>
  <c r="AA797" i="52" s="1"/>
  <c r="AE798" i="52"/>
  <c r="AA798" i="52" s="1"/>
  <c r="AE799" i="52"/>
  <c r="AA799" i="52" s="1"/>
  <c r="AE800" i="52"/>
  <c r="AA800" i="52" s="1"/>
  <c r="AE801" i="52"/>
  <c r="AA801" i="52" s="1"/>
  <c r="AE802" i="52"/>
  <c r="AA802" i="52" s="1"/>
  <c r="AE803" i="52"/>
  <c r="AA803" i="52" s="1"/>
  <c r="AE804" i="52"/>
  <c r="AA804" i="52" s="1"/>
  <c r="AE805" i="52"/>
  <c r="AA805" i="52" s="1"/>
  <c r="AE806" i="52"/>
  <c r="AA806" i="52" s="1"/>
  <c r="AE807" i="52"/>
  <c r="AA807" i="52" s="1"/>
  <c r="AE808" i="52"/>
  <c r="AA808" i="52" s="1"/>
  <c r="AE809" i="52"/>
  <c r="AA809" i="52" s="1"/>
  <c r="AE810" i="52"/>
  <c r="AA810" i="52" s="1"/>
  <c r="AE811" i="52"/>
  <c r="AA811" i="52" s="1"/>
  <c r="AE812" i="52"/>
  <c r="AA812" i="52" s="1"/>
  <c r="AE813" i="52"/>
  <c r="AA813" i="52" s="1"/>
  <c r="AE814" i="52"/>
  <c r="AA814" i="52" s="1"/>
  <c r="AE815" i="52"/>
  <c r="AA815" i="52" s="1"/>
  <c r="AE816" i="52"/>
  <c r="AA816" i="52" s="1"/>
  <c r="AE817" i="52"/>
  <c r="AA817" i="52" s="1"/>
  <c r="AE818" i="52"/>
  <c r="AA818" i="52" s="1"/>
  <c r="AE819" i="52"/>
  <c r="AA819" i="52" s="1"/>
  <c r="AE820" i="52"/>
  <c r="AA820" i="52" s="1"/>
  <c r="AE821" i="52"/>
  <c r="AA821" i="52" s="1"/>
  <c r="AE822" i="52"/>
  <c r="AA822" i="52" s="1"/>
  <c r="AE823" i="52"/>
  <c r="AA823" i="52" s="1"/>
  <c r="AE824" i="52"/>
  <c r="AA824" i="52" s="1"/>
  <c r="AE825" i="52"/>
  <c r="AA825" i="52" s="1"/>
  <c r="AE826" i="52"/>
  <c r="AA826" i="52" s="1"/>
  <c r="AE827" i="52"/>
  <c r="AA827" i="52" s="1"/>
  <c r="AE828" i="52"/>
  <c r="AA828" i="52" s="1"/>
  <c r="AE829" i="52"/>
  <c r="AA829" i="52" s="1"/>
  <c r="AE830" i="52"/>
  <c r="AA830" i="52" s="1"/>
  <c r="AE831" i="52"/>
  <c r="AA831" i="52" s="1"/>
  <c r="AE832" i="52"/>
  <c r="AA832" i="52" s="1"/>
  <c r="AE833" i="52"/>
  <c r="AA833" i="52" s="1"/>
  <c r="AE834" i="52"/>
  <c r="AA834" i="52" s="1"/>
  <c r="AE835" i="52"/>
  <c r="AA835" i="52" s="1"/>
  <c r="AE836" i="52"/>
  <c r="AA836" i="52" s="1"/>
  <c r="AE837" i="52"/>
  <c r="AA837" i="52" s="1"/>
  <c r="AE838" i="52"/>
  <c r="AA838" i="52" s="1"/>
  <c r="AE839" i="52"/>
  <c r="AA839" i="52" s="1"/>
  <c r="AE840" i="52"/>
  <c r="AA840" i="52" s="1"/>
  <c r="AE841" i="52"/>
  <c r="AA841" i="52" s="1"/>
  <c r="AE842" i="52"/>
  <c r="AA842" i="52" s="1"/>
  <c r="AE843" i="52"/>
  <c r="AA843" i="52" s="1"/>
  <c r="AE844" i="52"/>
  <c r="AA844" i="52" s="1"/>
  <c r="AE845" i="52"/>
  <c r="AA845" i="52" s="1"/>
  <c r="AE846" i="52"/>
  <c r="AA846" i="52" s="1"/>
  <c r="AE847" i="52"/>
  <c r="AA847" i="52" s="1"/>
  <c r="AE848" i="52"/>
  <c r="AA848" i="52" s="1"/>
  <c r="AE849" i="52"/>
  <c r="AA849" i="52" s="1"/>
  <c r="AE850" i="52"/>
  <c r="AA850" i="52" s="1"/>
  <c r="AE851" i="52"/>
  <c r="AA851" i="52" s="1"/>
  <c r="AE852" i="52"/>
  <c r="AA852" i="52" s="1"/>
  <c r="AE853" i="52"/>
  <c r="AA853" i="52" s="1"/>
  <c r="AE854" i="52"/>
  <c r="AA854" i="52" s="1"/>
  <c r="AE855" i="52"/>
  <c r="AA855" i="52" s="1"/>
  <c r="AE856" i="52"/>
  <c r="AA856" i="52" s="1"/>
  <c r="AE857" i="52"/>
  <c r="AA857" i="52" s="1"/>
  <c r="AE858" i="52"/>
  <c r="AA858" i="52" s="1"/>
  <c r="AE859" i="52"/>
  <c r="AA859" i="52" s="1"/>
  <c r="AE860" i="52"/>
  <c r="AA860" i="52" s="1"/>
  <c r="AE861" i="52"/>
  <c r="AA861" i="52" s="1"/>
  <c r="AE862" i="52"/>
  <c r="AA862" i="52" s="1"/>
  <c r="AE863" i="52"/>
  <c r="AA863" i="52" s="1"/>
  <c r="AE864" i="52"/>
  <c r="AA864" i="52" s="1"/>
  <c r="AE865" i="52"/>
  <c r="AA865" i="52" s="1"/>
  <c r="AE866" i="52"/>
  <c r="AA866" i="52" s="1"/>
  <c r="AE867" i="52"/>
  <c r="AA867" i="52" s="1"/>
  <c r="AE868" i="52"/>
  <c r="AA868" i="52" s="1"/>
  <c r="AE869" i="52"/>
  <c r="AA869" i="52" s="1"/>
  <c r="AE870" i="52"/>
  <c r="AA870" i="52" s="1"/>
  <c r="AE871" i="52"/>
  <c r="AA871" i="52" s="1"/>
  <c r="AE872" i="52"/>
  <c r="AA872" i="52" s="1"/>
  <c r="AE873" i="52"/>
  <c r="AA873" i="52" s="1"/>
  <c r="AE874" i="52"/>
  <c r="AA874" i="52" s="1"/>
  <c r="AE875" i="52"/>
  <c r="AA875" i="52" s="1"/>
  <c r="AE876" i="52"/>
  <c r="AA876" i="52" s="1"/>
  <c r="AE877" i="52"/>
  <c r="AA877" i="52" s="1"/>
  <c r="AE878" i="52"/>
  <c r="AA878" i="52" s="1"/>
  <c r="AE879" i="52"/>
  <c r="AA879" i="52" s="1"/>
  <c r="AE880" i="52"/>
  <c r="AA880" i="52" s="1"/>
  <c r="AE881" i="52"/>
  <c r="AA881" i="52" s="1"/>
  <c r="AE882" i="52"/>
  <c r="AA882" i="52" s="1"/>
  <c r="AE883" i="52"/>
  <c r="AA883" i="52" s="1"/>
  <c r="AE884" i="52"/>
  <c r="AA884" i="52" s="1"/>
  <c r="AE885" i="52"/>
  <c r="AA885" i="52" s="1"/>
  <c r="AE886" i="52"/>
  <c r="AA886" i="52" s="1"/>
  <c r="AE887" i="52"/>
  <c r="AA887" i="52" s="1"/>
  <c r="AE888" i="52"/>
  <c r="AA888" i="52" s="1"/>
  <c r="AE889" i="52"/>
  <c r="AA889" i="52" s="1"/>
  <c r="AE890" i="52"/>
  <c r="AA890" i="52" s="1"/>
  <c r="AE891" i="52"/>
  <c r="AA891" i="52" s="1"/>
  <c r="AE892" i="52"/>
  <c r="AA892" i="52" s="1"/>
  <c r="AE893" i="52"/>
  <c r="AA893" i="52" s="1"/>
  <c r="AE894" i="52"/>
  <c r="AA894" i="52" s="1"/>
  <c r="AE895" i="52"/>
  <c r="AA895" i="52" s="1"/>
  <c r="AE896" i="52"/>
  <c r="AA896" i="52" s="1"/>
  <c r="AE897" i="52"/>
  <c r="AA897" i="52" s="1"/>
  <c r="AE898" i="52"/>
  <c r="AA898" i="52" s="1"/>
  <c r="AE899" i="52"/>
  <c r="AA899" i="52" s="1"/>
  <c r="AE900" i="52"/>
  <c r="AA900" i="52" s="1"/>
  <c r="AE901" i="52"/>
  <c r="AA901" i="52" s="1"/>
  <c r="AE902" i="52"/>
  <c r="AA902" i="52" s="1"/>
  <c r="AE903" i="52"/>
  <c r="AA903" i="52" s="1"/>
  <c r="AE904" i="52"/>
  <c r="AA904" i="52" s="1"/>
  <c r="AE905" i="52"/>
  <c r="AA905" i="52" s="1"/>
  <c r="AE906" i="52"/>
  <c r="AA906" i="52" s="1"/>
  <c r="AE907" i="52"/>
  <c r="AA907" i="52" s="1"/>
  <c r="AE908" i="52"/>
  <c r="AA908" i="52" s="1"/>
  <c r="AE909" i="52"/>
  <c r="AA909" i="52" s="1"/>
  <c r="AE910" i="52"/>
  <c r="AA910" i="52" s="1"/>
  <c r="AE911" i="52"/>
  <c r="AA911" i="52" s="1"/>
  <c r="AE912" i="52"/>
  <c r="AA912" i="52" s="1"/>
  <c r="AE913" i="52"/>
  <c r="AA913" i="52" s="1"/>
  <c r="AE914" i="52"/>
  <c r="AA914" i="52" s="1"/>
  <c r="AE915" i="52"/>
  <c r="AA915" i="52" s="1"/>
  <c r="AE916" i="52"/>
  <c r="AA916" i="52" s="1"/>
  <c r="AE917" i="52"/>
  <c r="AA917" i="52" s="1"/>
  <c r="AE918" i="52"/>
  <c r="AA918" i="52" s="1"/>
  <c r="AE919" i="52"/>
  <c r="AA919" i="52" s="1"/>
  <c r="AE920" i="52"/>
  <c r="AA920" i="52" s="1"/>
  <c r="AE921" i="52"/>
  <c r="AA921" i="52" s="1"/>
  <c r="AE922" i="52"/>
  <c r="AA922" i="52" s="1"/>
  <c r="AE923" i="52"/>
  <c r="AA923" i="52" s="1"/>
  <c r="AE924" i="52"/>
  <c r="AA924" i="52" s="1"/>
  <c r="AE925" i="52"/>
  <c r="AA925" i="52" s="1"/>
  <c r="AE926" i="52"/>
  <c r="AA926" i="52" s="1"/>
  <c r="AE927" i="52"/>
  <c r="AA927" i="52" s="1"/>
  <c r="AE928" i="52"/>
  <c r="AA928" i="52" s="1"/>
  <c r="AE929" i="52"/>
  <c r="AA929" i="52" s="1"/>
  <c r="AE930" i="52"/>
  <c r="AA930" i="52" s="1"/>
  <c r="AE931" i="52"/>
  <c r="AA931" i="52" s="1"/>
  <c r="AE932" i="52"/>
  <c r="AA932" i="52" s="1"/>
  <c r="AE933" i="52"/>
  <c r="AA933" i="52" s="1"/>
  <c r="AE934" i="52"/>
  <c r="AA934" i="52" s="1"/>
  <c r="AE935" i="52"/>
  <c r="AA935" i="52" s="1"/>
  <c r="AE936" i="52"/>
  <c r="AA936" i="52" s="1"/>
  <c r="AE937" i="52"/>
  <c r="AA937" i="52" s="1"/>
  <c r="AE938" i="52"/>
  <c r="AA938" i="52" s="1"/>
  <c r="AE939" i="52"/>
  <c r="AA939" i="52" s="1"/>
  <c r="AE940" i="52"/>
  <c r="AA940" i="52" s="1"/>
  <c r="AE941" i="52"/>
  <c r="AA941" i="52" s="1"/>
  <c r="AE942" i="52"/>
  <c r="AA942" i="52" s="1"/>
  <c r="AE943" i="52"/>
  <c r="AA943" i="52" s="1"/>
  <c r="AE944" i="52"/>
  <c r="AA944" i="52" s="1"/>
  <c r="AE945" i="52"/>
  <c r="AA945" i="52" s="1"/>
  <c r="AE946" i="52"/>
  <c r="AA946" i="52" s="1"/>
  <c r="AE947" i="52"/>
  <c r="AA947" i="52" s="1"/>
  <c r="AE948" i="52"/>
  <c r="AA948" i="52" s="1"/>
  <c r="AE949" i="52"/>
  <c r="AA949" i="52" s="1"/>
  <c r="AE950" i="52"/>
  <c r="AA950" i="52" s="1"/>
  <c r="AE951" i="52"/>
  <c r="AA951" i="52" s="1"/>
  <c r="AE952" i="52"/>
  <c r="AA952" i="52" s="1"/>
  <c r="AE953" i="52"/>
  <c r="AA953" i="52" s="1"/>
  <c r="AE954" i="52"/>
  <c r="AA954" i="52" s="1"/>
  <c r="AE955" i="52"/>
  <c r="AA955" i="52" s="1"/>
  <c r="AE956" i="52"/>
  <c r="AA956" i="52" s="1"/>
  <c r="AE957" i="52"/>
  <c r="AA957" i="52" s="1"/>
  <c r="AE958" i="52"/>
  <c r="AA958" i="52" s="1"/>
  <c r="AE959" i="52"/>
  <c r="AA959" i="52" s="1"/>
  <c r="AE960" i="52"/>
  <c r="AA960" i="52" s="1"/>
  <c r="AE961" i="52"/>
  <c r="AA961" i="52" s="1"/>
  <c r="AE962" i="52"/>
  <c r="AA962" i="52" s="1"/>
  <c r="AE963" i="52"/>
  <c r="AA963" i="52" s="1"/>
  <c r="AE964" i="52"/>
  <c r="AA964" i="52" s="1"/>
  <c r="AE965" i="52"/>
  <c r="AA965" i="52" s="1"/>
  <c r="AE966" i="52"/>
  <c r="AA966" i="52" s="1"/>
  <c r="AE967" i="52"/>
  <c r="AA967" i="52" s="1"/>
  <c r="AE968" i="52"/>
  <c r="AA968" i="52" s="1"/>
  <c r="AE969" i="52"/>
  <c r="AA969" i="52" s="1"/>
  <c r="AE970" i="52"/>
  <c r="AA970" i="52" s="1"/>
  <c r="AE971" i="52"/>
  <c r="AA971" i="52" s="1"/>
  <c r="AE972" i="52"/>
  <c r="AA972" i="52" s="1"/>
  <c r="AE973" i="52"/>
  <c r="AA973" i="52" s="1"/>
  <c r="AE974" i="52"/>
  <c r="AA974" i="52" s="1"/>
  <c r="AE975" i="52"/>
  <c r="AA975" i="52" s="1"/>
  <c r="AE976" i="52"/>
  <c r="AA976" i="52" s="1"/>
  <c r="AE977" i="52"/>
  <c r="AA977" i="52" s="1"/>
  <c r="AE978" i="52"/>
  <c r="AA978" i="52" s="1"/>
  <c r="AE979" i="52"/>
  <c r="AA979" i="52" s="1"/>
  <c r="AE980" i="52"/>
  <c r="AA980" i="52" s="1"/>
  <c r="AE981" i="52"/>
  <c r="AA981" i="52" s="1"/>
  <c r="AE982" i="52"/>
  <c r="AA982" i="52" s="1"/>
  <c r="AE983" i="52"/>
  <c r="AA983" i="52" s="1"/>
  <c r="AE984" i="52"/>
  <c r="AA984" i="52" s="1"/>
  <c r="AE985" i="52"/>
  <c r="AA985" i="52" s="1"/>
  <c r="AE986" i="52"/>
  <c r="AA986" i="52" s="1"/>
  <c r="AE987" i="52"/>
  <c r="AA987" i="52" s="1"/>
  <c r="AE988" i="52"/>
  <c r="AA988" i="52" s="1"/>
  <c r="AE989" i="52"/>
  <c r="AA989" i="52" s="1"/>
  <c r="AE990" i="52"/>
  <c r="AA990" i="52" s="1"/>
  <c r="AE991" i="52"/>
  <c r="AA991" i="52" s="1"/>
  <c r="AE992" i="52"/>
  <c r="AA992" i="52" s="1"/>
  <c r="AE993" i="52"/>
  <c r="AA993" i="52" s="1"/>
  <c r="AE994" i="52"/>
  <c r="AA994" i="52" s="1"/>
  <c r="AE995" i="52"/>
  <c r="AA995" i="52" s="1"/>
  <c r="AE996" i="52"/>
  <c r="AA996" i="52" s="1"/>
  <c r="AE997" i="52"/>
  <c r="AA997" i="52" s="1"/>
  <c r="AE998" i="52"/>
  <c r="AA998" i="52" s="1"/>
  <c r="AE999" i="52"/>
  <c r="AA999" i="52" s="1"/>
  <c r="AE1000" i="52"/>
  <c r="AA1000" i="52" s="1"/>
  <c r="AE1001" i="52"/>
  <c r="AA1001" i="52" s="1"/>
  <c r="AE1002" i="52"/>
  <c r="AA1002" i="52" s="1"/>
  <c r="AE1003" i="52"/>
  <c r="AA1003" i="52" s="1"/>
  <c r="AE1004" i="52"/>
  <c r="AA1004" i="52" s="1"/>
  <c r="AE1005" i="52"/>
  <c r="AA1005" i="52" s="1"/>
  <c r="AE1006" i="52"/>
  <c r="AA1006" i="52" s="1"/>
  <c r="AE1007" i="52"/>
  <c r="AA1007" i="52" s="1"/>
  <c r="AE1008" i="52"/>
  <c r="AA1008" i="52" s="1"/>
  <c r="AE1009" i="52"/>
  <c r="AA1009" i="52" s="1"/>
  <c r="AE1010" i="52"/>
  <c r="AA1010" i="52" s="1"/>
  <c r="AE1011" i="52"/>
  <c r="AA1011" i="52" s="1"/>
  <c r="AE1012" i="52"/>
  <c r="AA1012" i="52" s="1"/>
  <c r="AE1013" i="52"/>
  <c r="AA1013" i="52" s="1"/>
  <c r="AE1014" i="52"/>
  <c r="AA1014" i="52" s="1"/>
  <c r="AE1015" i="52"/>
  <c r="AA1015" i="52" s="1"/>
  <c r="AE1016" i="52"/>
  <c r="AA1016" i="52" s="1"/>
  <c r="AE1017" i="52"/>
  <c r="AA1017" i="52" s="1"/>
  <c r="AE1018" i="52"/>
  <c r="AA1018" i="52" s="1"/>
  <c r="AE1019" i="52"/>
  <c r="AA1019" i="52" s="1"/>
  <c r="AE1020" i="52"/>
  <c r="AA1020" i="52" s="1"/>
  <c r="AE1021" i="52"/>
  <c r="AA1021" i="52" s="1"/>
  <c r="AE1022" i="52"/>
  <c r="AA1022" i="52" s="1"/>
  <c r="AE1023" i="52"/>
  <c r="AA1023" i="52" s="1"/>
  <c r="AE1024" i="52"/>
  <c r="AA1024" i="52" s="1"/>
  <c r="AE1025" i="52"/>
  <c r="AA1025" i="52" s="1"/>
  <c r="AE1026" i="52"/>
  <c r="AA1026" i="52" s="1"/>
  <c r="AE1027" i="52"/>
  <c r="AA1027" i="52" s="1"/>
  <c r="AE1028" i="52"/>
  <c r="AA1028" i="52" s="1"/>
  <c r="AE1029" i="52"/>
  <c r="AA1029" i="52" s="1"/>
  <c r="AE1030" i="52"/>
  <c r="AA1030" i="52" s="1"/>
  <c r="AE1031" i="52"/>
  <c r="AA1031" i="52" s="1"/>
  <c r="AE1032" i="52"/>
  <c r="AA1032" i="52" s="1"/>
  <c r="AE1033" i="52"/>
  <c r="AA1033" i="52" s="1"/>
  <c r="AE1034" i="52"/>
  <c r="AA1034" i="52" s="1"/>
  <c r="AE1035" i="52"/>
  <c r="AA1035" i="52" s="1"/>
  <c r="AE1036" i="52"/>
  <c r="AA1036" i="52" s="1"/>
  <c r="AE1037" i="52"/>
  <c r="AA1037" i="52" s="1"/>
  <c r="AE1038" i="52"/>
  <c r="AA1038" i="52" s="1"/>
  <c r="AE1039" i="52"/>
  <c r="AA1039" i="52" s="1"/>
  <c r="AE1040" i="52"/>
  <c r="AA1040" i="52" s="1"/>
  <c r="AE1041" i="52"/>
  <c r="AA1041" i="52" s="1"/>
  <c r="AE1042" i="52"/>
  <c r="AA1042" i="52" s="1"/>
  <c r="AE1043" i="52"/>
  <c r="AA1043" i="52" s="1"/>
  <c r="AE1044" i="52"/>
  <c r="AA1044" i="52" s="1"/>
  <c r="AE1045" i="52"/>
  <c r="AA1045" i="52" s="1"/>
  <c r="AE1046" i="52"/>
  <c r="AA1046" i="52" s="1"/>
  <c r="AE1047" i="52"/>
  <c r="AA1047" i="52" s="1"/>
  <c r="AE1048" i="52"/>
  <c r="AA1048" i="52" s="1"/>
  <c r="AE1049" i="52"/>
  <c r="AA1049" i="52" s="1"/>
  <c r="AE1050" i="52"/>
  <c r="AA1050" i="52" s="1"/>
  <c r="AE1051" i="52"/>
  <c r="AA1051" i="52" s="1"/>
  <c r="AE1052" i="52"/>
  <c r="AA1052" i="52" s="1"/>
  <c r="AE1053" i="52"/>
  <c r="AA1053" i="52" s="1"/>
  <c r="AE1054" i="52"/>
  <c r="AA1054" i="52" s="1"/>
  <c r="AE1055" i="52"/>
  <c r="AA1055" i="52" s="1"/>
  <c r="AE1056" i="52"/>
  <c r="AA1056" i="52" s="1"/>
  <c r="AE1057" i="52"/>
  <c r="AA1057" i="52" s="1"/>
  <c r="AE1058" i="52"/>
  <c r="AA1058" i="52" s="1"/>
  <c r="AE1059" i="52"/>
  <c r="AA1059" i="52" s="1"/>
  <c r="AE1060" i="52"/>
  <c r="AA1060" i="52" s="1"/>
  <c r="AE1061" i="52"/>
  <c r="AA1061" i="52" s="1"/>
  <c r="AE1062" i="52"/>
  <c r="AA1062" i="52" s="1"/>
  <c r="AE1063" i="52"/>
  <c r="AA1063" i="52" s="1"/>
  <c r="AE1064" i="52"/>
  <c r="AA1064" i="52" s="1"/>
  <c r="AE1065" i="52"/>
  <c r="AA1065" i="52" s="1"/>
  <c r="AE1066" i="52"/>
  <c r="AA1066" i="52" s="1"/>
  <c r="AE1067" i="52"/>
  <c r="AA1067" i="52" s="1"/>
  <c r="AE1068" i="52"/>
  <c r="AA1068" i="52" s="1"/>
  <c r="AE1069" i="52"/>
  <c r="AA1069" i="52" s="1"/>
  <c r="AE1070" i="52"/>
  <c r="AA1070" i="52" s="1"/>
  <c r="AE1071" i="52"/>
  <c r="AA1071" i="52" s="1"/>
  <c r="AE1072" i="52"/>
  <c r="AA1072" i="52" s="1"/>
  <c r="AE1073" i="52"/>
  <c r="AA1073" i="52" s="1"/>
  <c r="AE1074" i="52"/>
  <c r="AA1074" i="52" s="1"/>
  <c r="AE1075" i="52"/>
  <c r="AA1075" i="52" s="1"/>
  <c r="AE1076" i="52"/>
  <c r="AA1076" i="52" s="1"/>
  <c r="AE1077" i="52"/>
  <c r="AA1077" i="52" s="1"/>
  <c r="AE1078" i="52"/>
  <c r="AA1078" i="52" s="1"/>
  <c r="AE1079" i="52"/>
  <c r="AA1079" i="52" s="1"/>
  <c r="AE1080" i="52"/>
  <c r="AA1080" i="52" s="1"/>
  <c r="AE1081" i="52"/>
  <c r="AA1081" i="52" s="1"/>
  <c r="AE1082" i="52"/>
  <c r="AA1082" i="52" s="1"/>
  <c r="AE1083" i="52"/>
  <c r="AA1083" i="52" s="1"/>
  <c r="AE1084" i="52"/>
  <c r="AA1084" i="52" s="1"/>
  <c r="AE1085" i="52"/>
  <c r="AA1085" i="52" s="1"/>
  <c r="AE1086" i="52"/>
  <c r="AA1086" i="52" s="1"/>
  <c r="AE1087" i="52"/>
  <c r="AA1087" i="52" s="1"/>
  <c r="AE1088" i="52"/>
  <c r="AA1088" i="52" s="1"/>
  <c r="AE1089" i="52"/>
  <c r="AA1089" i="52" s="1"/>
  <c r="AE1090" i="52"/>
  <c r="AA1090" i="52" s="1"/>
  <c r="AE1091" i="52"/>
  <c r="AA1091" i="52" s="1"/>
  <c r="AE1092" i="52"/>
  <c r="AA1092" i="52" s="1"/>
  <c r="AE1093" i="52"/>
  <c r="AA1093" i="52" s="1"/>
  <c r="AE1094" i="52"/>
  <c r="AA1094" i="52" s="1"/>
  <c r="AE1095" i="52"/>
  <c r="AA1095" i="52" s="1"/>
  <c r="AE1096" i="52"/>
  <c r="AA1096" i="52" s="1"/>
  <c r="AE1097" i="52"/>
  <c r="AA1097" i="52" s="1"/>
  <c r="AE1098" i="52"/>
  <c r="AA1098" i="52" s="1"/>
  <c r="AE1099" i="52"/>
  <c r="AA1099" i="52" s="1"/>
  <c r="AE1100" i="52"/>
  <c r="AA1100" i="52" s="1"/>
  <c r="AE1101" i="52"/>
  <c r="AA1101" i="52" s="1"/>
  <c r="AE1102" i="52"/>
  <c r="AA1102" i="52" s="1"/>
  <c r="AE1103" i="52"/>
  <c r="AA1103" i="52" s="1"/>
  <c r="AE1104" i="52"/>
  <c r="AA1104" i="52" s="1"/>
  <c r="AE1105" i="52"/>
  <c r="AA1105" i="52" s="1"/>
  <c r="AE1106" i="52"/>
  <c r="AA1106" i="52" s="1"/>
  <c r="AE1107" i="52"/>
  <c r="AA1107" i="52" s="1"/>
  <c r="AE1108" i="52"/>
  <c r="AA1108" i="52" s="1"/>
  <c r="AE1109" i="52"/>
  <c r="AA1109" i="52" s="1"/>
  <c r="AE1110" i="52"/>
  <c r="AA1110" i="52" s="1"/>
  <c r="AE1111" i="52"/>
  <c r="AA1111" i="52" s="1"/>
  <c r="AE1112" i="52"/>
  <c r="AA1112" i="52" s="1"/>
  <c r="AE1113" i="52"/>
  <c r="AA1113" i="52" s="1"/>
  <c r="AE1114" i="52"/>
  <c r="AA1114" i="52" s="1"/>
  <c r="AE1115" i="52"/>
  <c r="AA1115" i="52" s="1"/>
  <c r="AE1116" i="52"/>
  <c r="AA1116" i="52" s="1"/>
  <c r="AE1117" i="52"/>
  <c r="AA1117" i="52" s="1"/>
  <c r="AE1118" i="52"/>
  <c r="AA1118" i="52" s="1"/>
  <c r="AE1119" i="52"/>
  <c r="AA1119" i="52" s="1"/>
  <c r="AE1120" i="52"/>
  <c r="AA1120" i="52" s="1"/>
  <c r="AE1121" i="52"/>
  <c r="AA1121" i="52" s="1"/>
  <c r="AE1122" i="52"/>
  <c r="AA1122" i="52" s="1"/>
  <c r="AE1123" i="52"/>
  <c r="AA1123" i="52" s="1"/>
  <c r="AE1124" i="52"/>
  <c r="AA1124" i="52" s="1"/>
  <c r="AE1125" i="52"/>
  <c r="AA1125" i="52" s="1"/>
  <c r="AE1126" i="52"/>
  <c r="AA1126" i="52" s="1"/>
  <c r="AE1127" i="52"/>
  <c r="AA1127" i="52" s="1"/>
  <c r="AE1128" i="52"/>
  <c r="AA1128" i="52" s="1"/>
  <c r="AE1129" i="52"/>
  <c r="AA1129" i="52" s="1"/>
  <c r="AE1130" i="52"/>
  <c r="AA1130" i="52" s="1"/>
  <c r="AE1131" i="52"/>
  <c r="AA1131" i="52" s="1"/>
  <c r="AE1132" i="52"/>
  <c r="AA1132" i="52" s="1"/>
  <c r="AE1133" i="52"/>
  <c r="AA1133" i="52" s="1"/>
  <c r="AE1134" i="52"/>
  <c r="AA1134" i="52" s="1"/>
  <c r="AE1135" i="52"/>
  <c r="AA1135" i="52" s="1"/>
  <c r="AE1136" i="52"/>
  <c r="AA1136" i="52" s="1"/>
  <c r="AE1137" i="52"/>
  <c r="AA1137" i="52" s="1"/>
  <c r="AE1138" i="52"/>
  <c r="AA1138" i="52" s="1"/>
  <c r="AE1139" i="52"/>
  <c r="AA1139" i="52" s="1"/>
  <c r="AE1140" i="52"/>
  <c r="AA1140" i="52" s="1"/>
  <c r="AE1141" i="52"/>
  <c r="AA1141" i="52" s="1"/>
  <c r="AE1142" i="52"/>
  <c r="AA1142" i="52" s="1"/>
  <c r="AE1143" i="52"/>
  <c r="AA1143" i="52" s="1"/>
  <c r="AE1144" i="52"/>
  <c r="AA1144" i="52" s="1"/>
  <c r="AE1145" i="52"/>
  <c r="AA1145" i="52" s="1"/>
  <c r="AE1146" i="52"/>
  <c r="AA1146" i="52" s="1"/>
  <c r="AE1147" i="52"/>
  <c r="AA1147" i="52" s="1"/>
  <c r="AE1148" i="52"/>
  <c r="AA1148" i="52" s="1"/>
  <c r="AE1149" i="52"/>
  <c r="AA1149" i="52" s="1"/>
  <c r="AE1150" i="52"/>
  <c r="AA1150" i="52" s="1"/>
  <c r="AE1151" i="52"/>
  <c r="AA1151" i="52" s="1"/>
  <c r="AE1152" i="52"/>
  <c r="AA1152" i="52" s="1"/>
  <c r="AE1153" i="52"/>
  <c r="AA1153" i="52" s="1"/>
  <c r="AE1154" i="52"/>
  <c r="AA1154" i="52" s="1"/>
  <c r="AE1155" i="52"/>
  <c r="AA1155" i="52" s="1"/>
  <c r="AE1156" i="52"/>
  <c r="AA1156" i="52" s="1"/>
  <c r="AE1157" i="52"/>
  <c r="AA1157" i="52" s="1"/>
  <c r="AE1158" i="52"/>
  <c r="AA1158" i="52" s="1"/>
  <c r="AE1159" i="52"/>
  <c r="AA1159" i="52" s="1"/>
  <c r="AE1160" i="52"/>
  <c r="AA1160" i="52" s="1"/>
  <c r="AE1161" i="52"/>
  <c r="AA1161" i="52" s="1"/>
  <c r="AE1162" i="52"/>
  <c r="AA1162" i="52" s="1"/>
  <c r="AE1163" i="52"/>
  <c r="AA1163" i="52" s="1"/>
  <c r="AE1164" i="52"/>
  <c r="AA1164" i="52" s="1"/>
  <c r="AE1165" i="52"/>
  <c r="AA1165" i="52" s="1"/>
  <c r="AE1166" i="52"/>
  <c r="AA1166" i="52" s="1"/>
  <c r="AE1167" i="52"/>
  <c r="AA1167" i="52" s="1"/>
  <c r="AE1168" i="52"/>
  <c r="AA1168" i="52" s="1"/>
  <c r="AE1169" i="52"/>
  <c r="AA1169" i="52" s="1"/>
  <c r="AE1170" i="52"/>
  <c r="AA1170" i="52" s="1"/>
  <c r="AE1171" i="52"/>
  <c r="AA1171" i="52" s="1"/>
  <c r="AE1172" i="52"/>
  <c r="AA1172" i="52" s="1"/>
  <c r="AE1173" i="52"/>
  <c r="AA1173" i="52" s="1"/>
  <c r="AE1174" i="52"/>
  <c r="AA1174" i="52" s="1"/>
  <c r="AE1175" i="52"/>
  <c r="AA1175" i="52" s="1"/>
  <c r="AE1176" i="52"/>
  <c r="AA1176" i="52" s="1"/>
  <c r="AE1177" i="52"/>
  <c r="AA1177" i="52" s="1"/>
  <c r="AE1178" i="52"/>
  <c r="AA1178" i="52" s="1"/>
  <c r="AE1179" i="52"/>
  <c r="AA1179" i="52" s="1"/>
  <c r="AE1180" i="52"/>
  <c r="AA1180" i="52" s="1"/>
  <c r="AE1181" i="52"/>
  <c r="AA1181" i="52" s="1"/>
  <c r="AE1182" i="52"/>
  <c r="AA1182" i="52" s="1"/>
  <c r="AE1183" i="52"/>
  <c r="AA1183" i="52" s="1"/>
  <c r="AE1184" i="52"/>
  <c r="AA1184" i="52" s="1"/>
  <c r="AE1185" i="52"/>
  <c r="AA1185" i="52" s="1"/>
  <c r="AE1186" i="52"/>
  <c r="AA1186" i="52" s="1"/>
  <c r="AE1187" i="52"/>
  <c r="AA1187" i="52" s="1"/>
  <c r="AE1188" i="52"/>
  <c r="AA1188" i="52" s="1"/>
  <c r="AE1189" i="52"/>
  <c r="AA1189" i="52" s="1"/>
  <c r="AE1190" i="52"/>
  <c r="AA1190" i="52" s="1"/>
  <c r="AE1191" i="52"/>
  <c r="AA1191" i="52" s="1"/>
  <c r="AE1192" i="52"/>
  <c r="AA1192" i="52" s="1"/>
  <c r="AE1193" i="52"/>
  <c r="AA1193" i="52" s="1"/>
  <c r="AE1194" i="52"/>
  <c r="AA1194" i="52" s="1"/>
  <c r="AE1195" i="52"/>
  <c r="AA1195" i="52" s="1"/>
  <c r="AE1196" i="52"/>
  <c r="AA1196" i="52" s="1"/>
  <c r="AE1197" i="52"/>
  <c r="AA1197" i="52" s="1"/>
  <c r="AE1198" i="52"/>
  <c r="AA1198" i="52" s="1"/>
  <c r="AE1199" i="52"/>
  <c r="AA1199" i="52" s="1"/>
  <c r="AE1200" i="52"/>
  <c r="AA1200" i="52" s="1"/>
  <c r="AE1201" i="52"/>
  <c r="AA1201" i="52" s="1"/>
  <c r="AE1202" i="52"/>
  <c r="AA1202" i="52" s="1"/>
  <c r="AE1203" i="52"/>
  <c r="AA1203" i="52" s="1"/>
  <c r="AE1204" i="52"/>
  <c r="AA1204" i="52" s="1"/>
  <c r="AE1205" i="52"/>
  <c r="AA1205" i="52" s="1"/>
  <c r="AE1206" i="52"/>
  <c r="AA1206" i="52" s="1"/>
  <c r="AE1207" i="52"/>
  <c r="AA1207" i="52" s="1"/>
  <c r="AE1208" i="52"/>
  <c r="AA1208" i="52" s="1"/>
  <c r="AE1209" i="52"/>
  <c r="AA1209" i="52" s="1"/>
  <c r="AE1210" i="52"/>
  <c r="AA1210" i="52" s="1"/>
  <c r="AE1211" i="52"/>
  <c r="AA1211" i="52" s="1"/>
  <c r="AE1212" i="52"/>
  <c r="AA1212" i="52" s="1"/>
  <c r="AE1213" i="52"/>
  <c r="AA1213" i="52" s="1"/>
  <c r="AE1214" i="52"/>
  <c r="AA1214" i="52" s="1"/>
  <c r="AE1215" i="52"/>
  <c r="AA1215" i="52" s="1"/>
  <c r="AE1216" i="52"/>
  <c r="AA1216" i="52" s="1"/>
  <c r="AE1217" i="52"/>
  <c r="AA1217" i="52" s="1"/>
  <c r="AE1218" i="52"/>
  <c r="AA1218" i="52" s="1"/>
  <c r="AE1219" i="52"/>
  <c r="AA1219" i="52" s="1"/>
  <c r="AE1220" i="52"/>
  <c r="AA1220" i="52" s="1"/>
  <c r="AE1221" i="52"/>
  <c r="AA1221" i="52" s="1"/>
  <c r="AE1222" i="52"/>
  <c r="AA1222" i="52" s="1"/>
  <c r="AE1223" i="52"/>
  <c r="AA1223" i="52" s="1"/>
  <c r="AE1224" i="52"/>
  <c r="AA1224" i="52" s="1"/>
  <c r="AE1225" i="52"/>
  <c r="AA1225" i="52" s="1"/>
  <c r="AE1226" i="52"/>
  <c r="AA1226" i="52" s="1"/>
  <c r="AE1227" i="52"/>
  <c r="AA1227" i="52" s="1"/>
  <c r="AE1228" i="52"/>
  <c r="AA1228" i="52" s="1"/>
  <c r="AE1229" i="52"/>
  <c r="AA1229" i="52" s="1"/>
  <c r="AE1230" i="52"/>
  <c r="AA1230" i="52" s="1"/>
  <c r="AE1231" i="52"/>
  <c r="AA1231" i="52" s="1"/>
  <c r="AE1232" i="52"/>
  <c r="AA1232" i="52" s="1"/>
  <c r="AE1233" i="52"/>
  <c r="AA1233" i="52" s="1"/>
  <c r="AE1234" i="52"/>
  <c r="AA1234" i="52" s="1"/>
  <c r="AE1235" i="52"/>
  <c r="AA1235" i="52" s="1"/>
  <c r="AE1236" i="52"/>
  <c r="AA1236" i="52" s="1"/>
  <c r="AE1237" i="52"/>
  <c r="AA1237" i="52" s="1"/>
  <c r="AE1238" i="52"/>
  <c r="AA1238" i="52" s="1"/>
  <c r="AE1239" i="52"/>
  <c r="AA1239" i="52" s="1"/>
  <c r="AE1240" i="52"/>
  <c r="AA1240" i="52" s="1"/>
  <c r="AE1241" i="52"/>
  <c r="AA1241" i="52" s="1"/>
  <c r="AE1242" i="52"/>
  <c r="AA1242" i="52" s="1"/>
  <c r="AE1243" i="52"/>
  <c r="AA1243" i="52" s="1"/>
  <c r="AE1244" i="52"/>
  <c r="AA1244" i="52" s="1"/>
  <c r="AE1245" i="52"/>
  <c r="AA1245" i="52" s="1"/>
  <c r="AE1246" i="52"/>
  <c r="AA1246" i="52" s="1"/>
  <c r="AE1247" i="52"/>
  <c r="AA1247" i="52" s="1"/>
  <c r="AE1248" i="52"/>
  <c r="AA1248" i="52" s="1"/>
  <c r="AE1249" i="52"/>
  <c r="AA1249" i="52" s="1"/>
  <c r="AE1250" i="52"/>
  <c r="AA1250" i="52" s="1"/>
  <c r="AE1251" i="52"/>
  <c r="AA1251" i="52" s="1"/>
  <c r="AE1252" i="52"/>
  <c r="AA1252" i="52" s="1"/>
  <c r="AE1253" i="52"/>
  <c r="AA1253" i="52" s="1"/>
  <c r="AE1254" i="52"/>
  <c r="AA1254" i="52" s="1"/>
  <c r="AE1255" i="52"/>
  <c r="AA1255" i="52" s="1"/>
  <c r="AE1256" i="52"/>
  <c r="AA1256" i="52" s="1"/>
  <c r="AE1257" i="52"/>
  <c r="AA1257" i="52" s="1"/>
  <c r="AE1258" i="52"/>
  <c r="AA1258" i="52" s="1"/>
  <c r="AE1259" i="52"/>
  <c r="AA1259" i="52" s="1"/>
  <c r="AE1260" i="52"/>
  <c r="AA1260" i="52" s="1"/>
  <c r="AE1261" i="52"/>
  <c r="AA1261" i="52" s="1"/>
  <c r="AE1262" i="52"/>
  <c r="AA1262" i="52" s="1"/>
  <c r="AE1263" i="52"/>
  <c r="AA1263" i="52" s="1"/>
  <c r="AE1264" i="52"/>
  <c r="AA1264" i="52" s="1"/>
  <c r="AE1265" i="52"/>
  <c r="AA1265" i="52" s="1"/>
  <c r="AE1266" i="52"/>
  <c r="AA1266" i="52" s="1"/>
  <c r="AE1267" i="52"/>
  <c r="AA1267" i="52" s="1"/>
  <c r="AE1268" i="52"/>
  <c r="AA1268" i="52" s="1"/>
  <c r="AE1269" i="52"/>
  <c r="AA1269" i="52" s="1"/>
  <c r="AE1270" i="52"/>
  <c r="AA1270" i="52" s="1"/>
  <c r="AE1271" i="52"/>
  <c r="AA1271" i="52" s="1"/>
  <c r="AE1272" i="52"/>
  <c r="AA1272" i="52" s="1"/>
  <c r="AE1273" i="52"/>
  <c r="AA1273" i="52" s="1"/>
  <c r="AE1274" i="52"/>
  <c r="AA1274" i="52" s="1"/>
  <c r="AE1275" i="52"/>
  <c r="AA1275" i="52" s="1"/>
  <c r="AE1276" i="52"/>
  <c r="AA1276" i="52" s="1"/>
  <c r="AE1277" i="52"/>
  <c r="AA1277" i="52" s="1"/>
  <c r="AE1278" i="52"/>
  <c r="AA1278" i="52" s="1"/>
  <c r="AE1279" i="52"/>
  <c r="AA1279" i="52" s="1"/>
  <c r="AE1280" i="52"/>
  <c r="AA1280" i="52" s="1"/>
  <c r="AE1281" i="52"/>
  <c r="AA1281" i="52" s="1"/>
  <c r="AE1282" i="52"/>
  <c r="AA1282" i="52" s="1"/>
  <c r="AE1283" i="52"/>
  <c r="AA1283" i="52" s="1"/>
  <c r="AE1284" i="52"/>
  <c r="AA1284" i="52" s="1"/>
  <c r="AE1285" i="52"/>
  <c r="AA1285" i="52" s="1"/>
  <c r="AE1286" i="52"/>
  <c r="AA1286" i="52" s="1"/>
  <c r="AE1287" i="52"/>
  <c r="AA1287" i="52" s="1"/>
  <c r="AE1288" i="52"/>
  <c r="AA1288" i="52" s="1"/>
  <c r="AE1289" i="52"/>
  <c r="AA1289" i="52" s="1"/>
  <c r="AE1290" i="52"/>
  <c r="AA1290" i="52" s="1"/>
  <c r="AE1291" i="52"/>
  <c r="AA1291" i="52" s="1"/>
  <c r="AE1292" i="52"/>
  <c r="AA1292" i="52" s="1"/>
  <c r="AE1293" i="52"/>
  <c r="AA1293" i="52" s="1"/>
  <c r="AE1294" i="52"/>
  <c r="AA1294" i="52" s="1"/>
  <c r="AE1295" i="52"/>
  <c r="AA1295" i="52" s="1"/>
  <c r="AE1296" i="52"/>
  <c r="AA1296" i="52" s="1"/>
  <c r="AE1297" i="52"/>
  <c r="AA1297" i="52" s="1"/>
  <c r="AE1298" i="52"/>
  <c r="AA1298" i="52" s="1"/>
  <c r="AE1299" i="52"/>
  <c r="AA1299" i="52" s="1"/>
  <c r="AE1300" i="52"/>
  <c r="AA1300" i="52" s="1"/>
  <c r="AE1301" i="52"/>
  <c r="AA1301" i="52" s="1"/>
  <c r="AE1302" i="52"/>
  <c r="AA1302" i="52" s="1"/>
  <c r="AE1303" i="52"/>
  <c r="AA1303" i="52" s="1"/>
  <c r="AE1304" i="52"/>
  <c r="AA1304" i="52" s="1"/>
  <c r="AE1305" i="52"/>
  <c r="AA1305" i="52" s="1"/>
  <c r="AE1306" i="52"/>
  <c r="AA1306" i="52" s="1"/>
  <c r="AE1307" i="52"/>
  <c r="AA1307" i="52" s="1"/>
  <c r="AE1308" i="52"/>
  <c r="AA1308" i="52" s="1"/>
  <c r="AE1309" i="52"/>
  <c r="AA1309" i="52" s="1"/>
  <c r="AE1310" i="52"/>
  <c r="AA1310" i="52" s="1"/>
  <c r="AE1311" i="52"/>
  <c r="AA1311" i="52" s="1"/>
  <c r="AE1312" i="52"/>
  <c r="AA1312" i="52" s="1"/>
  <c r="AE1313" i="52"/>
  <c r="AA1313" i="52" s="1"/>
  <c r="AE1314" i="52"/>
  <c r="AA1314" i="52" s="1"/>
  <c r="AE1315" i="52"/>
  <c r="AA1315" i="52" s="1"/>
  <c r="AE1316" i="52"/>
  <c r="AA1316" i="52" s="1"/>
  <c r="AE1317" i="52"/>
  <c r="AA1317" i="52" s="1"/>
  <c r="AE1318" i="52"/>
  <c r="AA1318" i="52" s="1"/>
  <c r="AE1319" i="52"/>
  <c r="AA1319" i="52" s="1"/>
  <c r="AE1320" i="52"/>
  <c r="AA1320" i="52" s="1"/>
  <c r="AE1321" i="52"/>
  <c r="AA1321" i="52" s="1"/>
  <c r="AE1322" i="52"/>
  <c r="AA1322" i="52" s="1"/>
  <c r="AE1323" i="52"/>
  <c r="AA1323" i="52" s="1"/>
  <c r="AE1324" i="52"/>
  <c r="AA1324" i="52" s="1"/>
  <c r="AE1325" i="52"/>
  <c r="AA1325" i="52" s="1"/>
  <c r="AE1326" i="52"/>
  <c r="AA1326" i="52" s="1"/>
  <c r="AE1327" i="52"/>
  <c r="AA1327" i="52" s="1"/>
  <c r="AE1328" i="52"/>
  <c r="AA1328" i="52" s="1"/>
  <c r="AE1329" i="52"/>
  <c r="AA1329" i="52" s="1"/>
  <c r="AE1330" i="52"/>
  <c r="AA1330" i="52" s="1"/>
  <c r="AE1331" i="52"/>
  <c r="AA1331" i="52" s="1"/>
  <c r="AE1332" i="52"/>
  <c r="AA1332" i="52" s="1"/>
  <c r="AE1333" i="52"/>
  <c r="AA1333" i="52" s="1"/>
  <c r="AE1334" i="52"/>
  <c r="AA1334" i="52" s="1"/>
  <c r="AE1335" i="52"/>
  <c r="AA1335" i="52" s="1"/>
  <c r="AE1336" i="52"/>
  <c r="AA1336" i="52" s="1"/>
  <c r="AE1337" i="52"/>
  <c r="AA1337" i="52" s="1"/>
  <c r="AE1338" i="52"/>
  <c r="AA1338" i="52" s="1"/>
  <c r="AE1339" i="52"/>
  <c r="AA1339" i="52" s="1"/>
  <c r="AE1340" i="52"/>
  <c r="AA1340" i="52" s="1"/>
  <c r="AE1341" i="52"/>
  <c r="AA1341" i="52" s="1"/>
  <c r="AE1342" i="52"/>
  <c r="AA1342" i="52" s="1"/>
  <c r="AE1343" i="52"/>
  <c r="AA1343" i="52" s="1"/>
  <c r="AE1344" i="52"/>
  <c r="AA1344" i="52" s="1"/>
  <c r="AE1345" i="52"/>
  <c r="AA1345" i="52" s="1"/>
  <c r="AE1346" i="52"/>
  <c r="AA1346" i="52" s="1"/>
  <c r="AE1347" i="52"/>
  <c r="AA1347" i="52" s="1"/>
  <c r="AE1348" i="52"/>
  <c r="AA1348" i="52" s="1"/>
  <c r="AE1349" i="52"/>
  <c r="AA1349" i="52" s="1"/>
  <c r="AE1350" i="52"/>
  <c r="AA1350" i="52" s="1"/>
  <c r="AE1351" i="52"/>
  <c r="AA1351" i="52" s="1"/>
  <c r="AE1352" i="52"/>
  <c r="AA1352" i="52" s="1"/>
  <c r="AE1353" i="52"/>
  <c r="AA1353" i="52" s="1"/>
  <c r="AE1354" i="52"/>
  <c r="AA1354" i="52" s="1"/>
  <c r="AE1355" i="52"/>
  <c r="AA1355" i="52" s="1"/>
  <c r="AE1356" i="52"/>
  <c r="AA1356" i="52" s="1"/>
  <c r="AE1357" i="52"/>
  <c r="AA1357" i="52" s="1"/>
  <c r="AE1358" i="52"/>
  <c r="AA1358" i="52" s="1"/>
  <c r="AE1359" i="52"/>
  <c r="AA1359" i="52" s="1"/>
  <c r="AE1360" i="52"/>
  <c r="AA1360" i="52" s="1"/>
  <c r="AE1361" i="52"/>
  <c r="AA1361" i="52" s="1"/>
  <c r="AE1362" i="52"/>
  <c r="AA1362" i="52" s="1"/>
  <c r="AE1363" i="52"/>
  <c r="AA1363" i="52" s="1"/>
  <c r="AE1364" i="52"/>
  <c r="AA1364" i="52" s="1"/>
  <c r="AE1365" i="52"/>
  <c r="AA1365" i="52" s="1"/>
  <c r="AE1366" i="52"/>
  <c r="AA1366" i="52" s="1"/>
  <c r="AE1367" i="52"/>
  <c r="AA1367" i="52" s="1"/>
  <c r="AE1368" i="52"/>
  <c r="AA1368" i="52" s="1"/>
  <c r="AE1369" i="52"/>
  <c r="AA1369" i="52" s="1"/>
  <c r="AE1370" i="52"/>
  <c r="AA1370" i="52" s="1"/>
  <c r="AE1371" i="52"/>
  <c r="AA1371" i="52" s="1"/>
  <c r="AE1372" i="52"/>
  <c r="AA1372" i="52" s="1"/>
  <c r="AE1373" i="52"/>
  <c r="AA1373" i="52" s="1"/>
  <c r="AE1374" i="52"/>
  <c r="AA1374" i="52" s="1"/>
  <c r="AE1375" i="52"/>
  <c r="AA1375" i="52" s="1"/>
  <c r="AE1376" i="52"/>
  <c r="AA1376" i="52" s="1"/>
  <c r="AE1377" i="52"/>
  <c r="AA1377" i="52" s="1"/>
  <c r="AE1378" i="52"/>
  <c r="AA1378" i="52" s="1"/>
  <c r="AE1379" i="52"/>
  <c r="AA1379" i="52" s="1"/>
  <c r="AE1380" i="52"/>
  <c r="AA1380" i="52" s="1"/>
  <c r="AE1381" i="52"/>
  <c r="AA1381" i="52" s="1"/>
  <c r="AE1382" i="52"/>
  <c r="AA1382" i="52" s="1"/>
  <c r="AE1383" i="52"/>
  <c r="AA1383" i="52" s="1"/>
  <c r="AE1384" i="52"/>
  <c r="AA1384" i="52" s="1"/>
  <c r="AE1385" i="52"/>
  <c r="AA1385" i="52" s="1"/>
  <c r="AE1386" i="52"/>
  <c r="AA1386" i="52" s="1"/>
  <c r="AE1387" i="52"/>
  <c r="AA1387" i="52" s="1"/>
  <c r="AE1388" i="52"/>
  <c r="AA1388" i="52" s="1"/>
  <c r="AE1389" i="52"/>
  <c r="AA1389" i="52" s="1"/>
  <c r="AE1390" i="52"/>
  <c r="AA1390" i="52" s="1"/>
  <c r="AE1391" i="52"/>
  <c r="AA1391" i="52" s="1"/>
  <c r="AE1392" i="52"/>
  <c r="AA1392" i="52" s="1"/>
  <c r="AE1393" i="52"/>
  <c r="AA1393" i="52" s="1"/>
  <c r="AE1394" i="52"/>
  <c r="AA1394" i="52" s="1"/>
  <c r="AE1395" i="52"/>
  <c r="AA1395" i="52" s="1"/>
  <c r="AE1396" i="52"/>
  <c r="AA1396" i="52" s="1"/>
  <c r="AE1397" i="52"/>
  <c r="AA1397" i="52" s="1"/>
  <c r="AE1398" i="52"/>
  <c r="AA1398" i="52" s="1"/>
  <c r="AE1399" i="52"/>
  <c r="AA1399" i="52" s="1"/>
  <c r="AE1400" i="52"/>
  <c r="AA1400" i="52" s="1"/>
  <c r="AE1401" i="52"/>
  <c r="AA1401" i="52" s="1"/>
  <c r="AE1402" i="52"/>
  <c r="AA1402" i="52" s="1"/>
  <c r="AE1403" i="52"/>
  <c r="AA1403" i="52" s="1"/>
  <c r="AE1404" i="52"/>
  <c r="AA1404" i="52" s="1"/>
  <c r="AE1405" i="52"/>
  <c r="AA1405" i="52" s="1"/>
  <c r="AE1406" i="52"/>
  <c r="AA1406" i="52" s="1"/>
  <c r="AE1407" i="52"/>
  <c r="AA1407" i="52" s="1"/>
  <c r="AE1408" i="52"/>
  <c r="AA1408" i="52" s="1"/>
  <c r="AE1409" i="52"/>
  <c r="AA1409" i="52" s="1"/>
  <c r="AE1410" i="52"/>
  <c r="AA1410" i="52" s="1"/>
  <c r="AE1411" i="52"/>
  <c r="AA1411" i="52" s="1"/>
  <c r="AE1412" i="52"/>
  <c r="AA1412" i="52" s="1"/>
  <c r="AE1413" i="52"/>
  <c r="AA1413" i="52" s="1"/>
  <c r="AE1414" i="52"/>
  <c r="AA1414" i="52" s="1"/>
  <c r="AE1415" i="52"/>
  <c r="AA1415" i="52" s="1"/>
  <c r="AE1416" i="52"/>
  <c r="AA1416" i="52" s="1"/>
  <c r="AE1417" i="52"/>
  <c r="AA1417" i="52" s="1"/>
  <c r="AE1418" i="52"/>
  <c r="AA1418" i="52" s="1"/>
  <c r="AE1419" i="52"/>
  <c r="AA1419" i="52" s="1"/>
  <c r="AE1420" i="52"/>
  <c r="AA1420" i="52" s="1"/>
  <c r="AE1421" i="52"/>
  <c r="AA1421" i="52" s="1"/>
  <c r="AE1422" i="52"/>
  <c r="AA1422" i="52" s="1"/>
  <c r="AE1423" i="52"/>
  <c r="AA1423" i="52" s="1"/>
  <c r="AE1424" i="52"/>
  <c r="AA1424" i="52" s="1"/>
  <c r="AE1425" i="52"/>
  <c r="AA1425" i="52" s="1"/>
  <c r="AE1426" i="52"/>
  <c r="AA1426" i="52" s="1"/>
  <c r="AE1427" i="52"/>
  <c r="AA1427" i="52" s="1"/>
  <c r="AE1428" i="52"/>
  <c r="AA1428" i="52" s="1"/>
  <c r="AE1429" i="52"/>
  <c r="AA1429" i="52" s="1"/>
  <c r="AE1430" i="52"/>
  <c r="AA1430" i="52" s="1"/>
  <c r="AE1431" i="52"/>
  <c r="AA1431" i="52" s="1"/>
  <c r="AE1432" i="52"/>
  <c r="AA1432" i="52" s="1"/>
  <c r="AE1433" i="52"/>
  <c r="AA1433" i="52" s="1"/>
  <c r="AE1434" i="52"/>
  <c r="AA1434" i="52" s="1"/>
  <c r="AE1435" i="52"/>
  <c r="AA1435" i="52" s="1"/>
  <c r="AE1436" i="52"/>
  <c r="AA1436" i="52" s="1"/>
  <c r="AE1437" i="52"/>
  <c r="AA1437" i="52" s="1"/>
  <c r="AE1438" i="52"/>
  <c r="AA1438" i="52" s="1"/>
  <c r="AE1439" i="52"/>
  <c r="AA1439" i="52" s="1"/>
  <c r="AE1440" i="52"/>
  <c r="AA1440" i="52" s="1"/>
  <c r="AE1441" i="52"/>
  <c r="AA1441" i="52" s="1"/>
  <c r="AE1442" i="52"/>
  <c r="AA1442" i="52" s="1"/>
  <c r="AE1443" i="52"/>
  <c r="AA1443" i="52" s="1"/>
  <c r="AE1444" i="52"/>
  <c r="AA1444" i="52" s="1"/>
  <c r="AE1445" i="52"/>
  <c r="AA1445" i="52" s="1"/>
  <c r="AE1446" i="52"/>
  <c r="AA1446" i="52" s="1"/>
  <c r="AE1447" i="52"/>
  <c r="AA1447" i="52" s="1"/>
  <c r="AE1448" i="52"/>
  <c r="AA1448" i="52" s="1"/>
  <c r="AE1449" i="52"/>
  <c r="AA1449" i="52" s="1"/>
  <c r="AE1450" i="52"/>
  <c r="AA1450" i="52" s="1"/>
  <c r="AE1451" i="52"/>
  <c r="AA1451" i="52" s="1"/>
  <c r="AE1452" i="52"/>
  <c r="AA1452" i="52" s="1"/>
  <c r="AE1453" i="52"/>
  <c r="AA1453" i="52" s="1"/>
  <c r="AE1454" i="52"/>
  <c r="AA1454" i="52" s="1"/>
  <c r="AE1455" i="52"/>
  <c r="AA1455" i="52" s="1"/>
  <c r="AE1456" i="52"/>
  <c r="AA1456" i="52" s="1"/>
  <c r="AE1457" i="52"/>
  <c r="AA1457" i="52" s="1"/>
  <c r="AE1458" i="52"/>
  <c r="AA1458" i="52" s="1"/>
  <c r="AE1459" i="52"/>
  <c r="AA1459" i="52" s="1"/>
  <c r="AE1460" i="52"/>
  <c r="AA1460" i="52" s="1"/>
  <c r="AE1461" i="52"/>
  <c r="AA1461" i="52" s="1"/>
  <c r="AE1462" i="52"/>
  <c r="AA1462" i="52" s="1"/>
  <c r="AE1463" i="52"/>
  <c r="AA1463" i="52" s="1"/>
  <c r="AE1464" i="52"/>
  <c r="AA1464" i="52" s="1"/>
  <c r="AE1465" i="52"/>
  <c r="AA1465" i="52" s="1"/>
  <c r="AE1466" i="52"/>
  <c r="AA1466" i="52" s="1"/>
  <c r="AE1467" i="52"/>
  <c r="AA1467" i="52" s="1"/>
  <c r="AE1468" i="52"/>
  <c r="AA1468" i="52" s="1"/>
  <c r="AE1469" i="52"/>
  <c r="AA1469" i="52" s="1"/>
  <c r="AE1470" i="52"/>
  <c r="AA1470" i="52" s="1"/>
  <c r="AE1471" i="52"/>
  <c r="AA1471" i="52" s="1"/>
  <c r="AE1472" i="52"/>
  <c r="AA1472" i="52" s="1"/>
  <c r="AE1473" i="52"/>
  <c r="AA1473" i="52" s="1"/>
  <c r="AE1474" i="52"/>
  <c r="AA1474" i="52" s="1"/>
  <c r="AE1475" i="52"/>
  <c r="AA1475" i="52" s="1"/>
  <c r="AE1476" i="52"/>
  <c r="AA1476" i="52" s="1"/>
  <c r="AE1477" i="52"/>
  <c r="AA1477" i="52" s="1"/>
  <c r="AE1478" i="52"/>
  <c r="AA1478" i="52" s="1"/>
  <c r="AE1479" i="52"/>
  <c r="AA1479" i="52" s="1"/>
  <c r="AE1480" i="52"/>
  <c r="AA1480" i="52" s="1"/>
  <c r="AE1481" i="52"/>
  <c r="AA1481" i="52" s="1"/>
  <c r="AE1482" i="52"/>
  <c r="AA1482" i="52" s="1"/>
  <c r="AE1483" i="52"/>
  <c r="AA1483" i="52" s="1"/>
  <c r="AE1484" i="52"/>
  <c r="AA1484" i="52" s="1"/>
  <c r="AE1485" i="52"/>
  <c r="AA1485" i="52" s="1"/>
  <c r="AE1486" i="52"/>
  <c r="AA1486" i="52" s="1"/>
  <c r="AE1487" i="52"/>
  <c r="AA1487" i="52" s="1"/>
  <c r="AE1488" i="52"/>
  <c r="AA1488" i="52" s="1"/>
  <c r="AE1489" i="52"/>
  <c r="AA1489" i="52" s="1"/>
  <c r="AE1490" i="52"/>
  <c r="AA1490" i="52" s="1"/>
  <c r="AE1491" i="52"/>
  <c r="AA1491" i="52" s="1"/>
  <c r="AE1492" i="52"/>
  <c r="AA1492" i="52" s="1"/>
  <c r="AE1493" i="52"/>
  <c r="AA1493" i="52" s="1"/>
  <c r="AE1494" i="52"/>
  <c r="AA1494" i="52" s="1"/>
  <c r="AE1495" i="52"/>
  <c r="AA1495" i="52" s="1"/>
  <c r="AE1496" i="52"/>
  <c r="AA1496" i="52" s="1"/>
  <c r="AE1497" i="52"/>
  <c r="AA1497" i="52" s="1"/>
  <c r="AE1498" i="52"/>
  <c r="AA1498" i="52" s="1"/>
  <c r="AE1499" i="52"/>
  <c r="AA1499" i="52" s="1"/>
  <c r="AE1500" i="52"/>
  <c r="AA1500" i="52" s="1"/>
  <c r="AE1501" i="52"/>
  <c r="AA1501" i="52" s="1"/>
  <c r="AE1502" i="52"/>
  <c r="AA1502" i="52" s="1"/>
  <c r="AE1503" i="52"/>
  <c r="AA1503" i="52" s="1"/>
  <c r="AE1504" i="52"/>
  <c r="AA1504" i="52" s="1"/>
  <c r="AE1505" i="52"/>
  <c r="AA1505" i="52" s="1"/>
  <c r="AE1506" i="52"/>
  <c r="AA1506" i="52" s="1"/>
  <c r="AE1507" i="52"/>
  <c r="AA1507" i="52" s="1"/>
  <c r="AE1508" i="52"/>
  <c r="AA1508" i="52" s="1"/>
  <c r="AE1509" i="52"/>
  <c r="AA1509" i="52" s="1"/>
  <c r="AE1510" i="52"/>
  <c r="AA1510" i="52" s="1"/>
  <c r="AE1511" i="52"/>
  <c r="AA1511" i="52" s="1"/>
  <c r="AE1512" i="52"/>
  <c r="AA1512" i="52" s="1"/>
  <c r="AE1513" i="52"/>
  <c r="AA1513" i="52" s="1"/>
  <c r="AE1514" i="52"/>
  <c r="AA1514" i="52" s="1"/>
  <c r="AE1515" i="52"/>
  <c r="AA1515" i="52" s="1"/>
  <c r="AE1516" i="52"/>
  <c r="AA1516" i="52" s="1"/>
  <c r="AE1517" i="52"/>
  <c r="AA1517" i="52" s="1"/>
  <c r="AE1518" i="52"/>
  <c r="AA1518" i="52" s="1"/>
  <c r="AE1519" i="52"/>
  <c r="AA1519" i="52" s="1"/>
  <c r="AE1520" i="52"/>
  <c r="AA1520" i="52" s="1"/>
  <c r="AE1521" i="52"/>
  <c r="AA1521" i="52" s="1"/>
  <c r="AE1522" i="52"/>
  <c r="AA1522" i="52" s="1"/>
  <c r="AE1523" i="52"/>
  <c r="AA1523" i="52" s="1"/>
  <c r="AE1524" i="52"/>
  <c r="AA1524" i="52" s="1"/>
  <c r="AE1525" i="52"/>
  <c r="AA1525" i="52" s="1"/>
  <c r="AE1526" i="52"/>
  <c r="AA1526" i="52" s="1"/>
  <c r="AE1527" i="52"/>
  <c r="AA1527" i="52" s="1"/>
  <c r="AE1528" i="52"/>
  <c r="AA1528" i="52" s="1"/>
  <c r="AE1529" i="52"/>
  <c r="AA1529" i="52" s="1"/>
  <c r="AE1530" i="52"/>
  <c r="AA1530" i="52" s="1"/>
  <c r="AE1531" i="52"/>
  <c r="AA1531" i="52" s="1"/>
  <c r="AE1532" i="52"/>
  <c r="AA1532" i="52" s="1"/>
  <c r="AE1533" i="52"/>
  <c r="AA1533" i="52" s="1"/>
  <c r="AE1534" i="52"/>
  <c r="AA1534" i="52" s="1"/>
  <c r="AE1535" i="52"/>
  <c r="AA1535" i="52" s="1"/>
  <c r="AE1536" i="52"/>
  <c r="AA1536" i="52" s="1"/>
  <c r="AE1537" i="52"/>
  <c r="AA1537" i="52" s="1"/>
  <c r="AE1538" i="52"/>
  <c r="AA1538" i="52" s="1"/>
  <c r="AE1539" i="52"/>
  <c r="AA1539" i="52" s="1"/>
  <c r="AE1540" i="52"/>
  <c r="AA1540" i="52" s="1"/>
  <c r="AE1541" i="52"/>
  <c r="AA1541" i="52" s="1"/>
  <c r="AE1542" i="52"/>
  <c r="AA1542" i="52" s="1"/>
  <c r="AE1543" i="52"/>
  <c r="AA1543" i="52" s="1"/>
  <c r="AE1544" i="52"/>
  <c r="AA1544" i="52" s="1"/>
  <c r="AE1545" i="52"/>
  <c r="AA1545" i="52" s="1"/>
  <c r="AE1546" i="52"/>
  <c r="AA1546" i="52" s="1"/>
  <c r="AE1547" i="52"/>
  <c r="AA1547" i="52" s="1"/>
  <c r="AE1548" i="52"/>
  <c r="AA1548" i="52" s="1"/>
  <c r="AE1549" i="52"/>
  <c r="AA1549" i="52" s="1"/>
  <c r="AE1550" i="52"/>
  <c r="AA1550" i="52" s="1"/>
  <c r="AE1551" i="52"/>
  <c r="AA1551" i="52" s="1"/>
  <c r="AE1552" i="52"/>
  <c r="AA1552" i="52" s="1"/>
  <c r="AE1553" i="52"/>
  <c r="AA1553" i="52" s="1"/>
  <c r="AE1554" i="52"/>
  <c r="AA1554" i="52" s="1"/>
  <c r="AE1555" i="52"/>
  <c r="AA1555" i="52" s="1"/>
  <c r="AE1556" i="52"/>
  <c r="AA1556" i="52" s="1"/>
  <c r="AE1557" i="52"/>
  <c r="AA1557" i="52" s="1"/>
  <c r="AE1558" i="52"/>
  <c r="AA1558" i="52" s="1"/>
  <c r="AE1559" i="52"/>
  <c r="AA1559" i="52" s="1"/>
  <c r="AE1560" i="52"/>
  <c r="AA1560" i="52" s="1"/>
  <c r="AE1561" i="52"/>
  <c r="AA1561" i="52" s="1"/>
  <c r="AE1562" i="52"/>
  <c r="AA1562" i="52" s="1"/>
  <c r="AE1563" i="52"/>
  <c r="AA1563" i="52" s="1"/>
  <c r="AE1564" i="52"/>
  <c r="AA1564" i="52" s="1"/>
  <c r="AE1565" i="52"/>
  <c r="AA1565" i="52" s="1"/>
  <c r="AE1566" i="52"/>
  <c r="AA1566" i="52" s="1"/>
  <c r="AE1567" i="52"/>
  <c r="AA1567" i="52" s="1"/>
  <c r="AE1568" i="52"/>
  <c r="AA1568" i="52" s="1"/>
  <c r="AE1569" i="52"/>
  <c r="AA1569" i="52" s="1"/>
  <c r="AE1570" i="52"/>
  <c r="AA1570" i="52" s="1"/>
  <c r="AE1571" i="52"/>
  <c r="AA1571" i="52" s="1"/>
  <c r="AE1572" i="52"/>
  <c r="AA1572" i="52" s="1"/>
  <c r="AE1573" i="52"/>
  <c r="AA1573" i="52" s="1"/>
  <c r="AE1574" i="52"/>
  <c r="AA1574" i="52" s="1"/>
  <c r="AE1575" i="52"/>
  <c r="AA1575" i="52" s="1"/>
  <c r="AE1576" i="52"/>
  <c r="AA1576" i="52" s="1"/>
  <c r="AE1577" i="52"/>
  <c r="AA1577" i="52" s="1"/>
  <c r="AE1578" i="52"/>
  <c r="AA1578" i="52" s="1"/>
  <c r="AE1579" i="52"/>
  <c r="AA1579" i="52" s="1"/>
  <c r="AE1580" i="52"/>
  <c r="AA1580" i="52" s="1"/>
  <c r="AE1581" i="52"/>
  <c r="AA1581" i="52" s="1"/>
  <c r="AE1582" i="52"/>
  <c r="AA1582" i="52" s="1"/>
  <c r="AE1583" i="52"/>
  <c r="AA1583" i="52" s="1"/>
  <c r="AE1584" i="52"/>
  <c r="AA1584" i="52" s="1"/>
  <c r="AE1585" i="52"/>
  <c r="AA1585" i="52" s="1"/>
  <c r="AE1586" i="52"/>
  <c r="AA1586" i="52" s="1"/>
  <c r="AE1587" i="52"/>
  <c r="AA1587" i="52" s="1"/>
  <c r="AE1588" i="52"/>
  <c r="AA1588" i="52" s="1"/>
  <c r="AE1589" i="52"/>
  <c r="AA1589" i="52" s="1"/>
  <c r="AE1590" i="52"/>
  <c r="AA1590" i="52" s="1"/>
  <c r="AE1591" i="52"/>
  <c r="AA1591" i="52" s="1"/>
  <c r="AE1592" i="52"/>
  <c r="AA1592" i="52" s="1"/>
  <c r="AE1593" i="52"/>
  <c r="AA1593" i="52" s="1"/>
  <c r="AE1594" i="52"/>
  <c r="AA1594" i="52" s="1"/>
  <c r="AE1595" i="52"/>
  <c r="AA1595" i="52" s="1"/>
  <c r="AE1596" i="52"/>
  <c r="AA1596" i="52" s="1"/>
  <c r="AE1597" i="52"/>
  <c r="AA1597" i="52" s="1"/>
  <c r="AE1598" i="52"/>
  <c r="AA1598" i="52" s="1"/>
  <c r="AE1599" i="52"/>
  <c r="AA1599" i="52" s="1"/>
  <c r="AE1600" i="52"/>
  <c r="AA1600" i="52" s="1"/>
  <c r="AE1601" i="52"/>
  <c r="AA1601" i="52" s="1"/>
  <c r="AE1602" i="52"/>
  <c r="AA1602" i="52" s="1"/>
  <c r="AE1603" i="52"/>
  <c r="AA1603" i="52" s="1"/>
  <c r="AE1604" i="52"/>
  <c r="AA1604" i="52" s="1"/>
  <c r="AE1605" i="52"/>
  <c r="AA1605" i="52" s="1"/>
  <c r="AE1606" i="52"/>
  <c r="AA1606" i="52" s="1"/>
  <c r="AE1607" i="52"/>
  <c r="AA1607" i="52" s="1"/>
  <c r="AE1608" i="52"/>
  <c r="AA1608" i="52" s="1"/>
  <c r="AE1609" i="52"/>
  <c r="AA1609" i="52" s="1"/>
  <c r="AE1610" i="52"/>
  <c r="AA1610" i="52" s="1"/>
  <c r="AE1611" i="52"/>
  <c r="AA1611" i="52" s="1"/>
  <c r="AE1612" i="52"/>
  <c r="AA1612" i="52" s="1"/>
  <c r="AE1613" i="52"/>
  <c r="AA1613" i="52" s="1"/>
  <c r="AE1614" i="52"/>
  <c r="AA1614" i="52" s="1"/>
  <c r="AE1615" i="52"/>
  <c r="AA1615" i="52" s="1"/>
  <c r="AE1616" i="52"/>
  <c r="AA1616" i="52" s="1"/>
  <c r="AE1617" i="52"/>
  <c r="AA1617" i="52" s="1"/>
  <c r="AE1618" i="52"/>
  <c r="AA1618" i="52" s="1"/>
  <c r="AE1619" i="52"/>
  <c r="AA1619" i="52" s="1"/>
  <c r="AE1620" i="52"/>
  <c r="AA1620" i="52" s="1"/>
  <c r="AE1621" i="52"/>
  <c r="AA1621" i="52" s="1"/>
  <c r="AE1622" i="52"/>
  <c r="AA1622" i="52" s="1"/>
  <c r="AE1623" i="52"/>
  <c r="AA1623" i="52" s="1"/>
  <c r="AE1624" i="52"/>
  <c r="AA1624" i="52" s="1"/>
  <c r="AE1625" i="52"/>
  <c r="AA1625" i="52" s="1"/>
  <c r="AE1626" i="52"/>
  <c r="AA1626" i="52" s="1"/>
  <c r="AE1627" i="52"/>
  <c r="AA1627" i="52" s="1"/>
  <c r="AE1628" i="52"/>
  <c r="AA1628" i="52" s="1"/>
  <c r="AE1629" i="52"/>
  <c r="AA1629" i="52" s="1"/>
  <c r="AE1630" i="52"/>
  <c r="AA1630" i="52" s="1"/>
  <c r="AE1631" i="52"/>
  <c r="AA1631" i="52" s="1"/>
  <c r="AE1632" i="52"/>
  <c r="AA1632" i="52" s="1"/>
  <c r="AE1633" i="52"/>
  <c r="AA1633" i="52" s="1"/>
  <c r="AE1634" i="52"/>
  <c r="AA1634" i="52" s="1"/>
  <c r="AE1635" i="52"/>
  <c r="AA1635" i="52" s="1"/>
  <c r="AE1636" i="52"/>
  <c r="AA1636" i="52" s="1"/>
  <c r="AE1637" i="52"/>
  <c r="AA1637" i="52" s="1"/>
  <c r="AE1638" i="52"/>
  <c r="AA1638" i="52" s="1"/>
  <c r="AE1639" i="52"/>
  <c r="AA1639" i="52" s="1"/>
  <c r="AE1640" i="52"/>
  <c r="AA1640" i="52" s="1"/>
  <c r="AE1641" i="52"/>
  <c r="AA1641" i="52" s="1"/>
  <c r="AE1642" i="52"/>
  <c r="AA1642" i="52" s="1"/>
  <c r="AE1643" i="52"/>
  <c r="AA1643" i="52" s="1"/>
  <c r="AE1644" i="52"/>
  <c r="AA1644" i="52" s="1"/>
  <c r="AE1645" i="52"/>
  <c r="AA1645" i="52" s="1"/>
  <c r="AE1646" i="52"/>
  <c r="AA1646" i="52" s="1"/>
  <c r="AE1647" i="52"/>
  <c r="AA1647" i="52" s="1"/>
  <c r="AE1648" i="52"/>
  <c r="AA1648" i="52" s="1"/>
  <c r="AE1649" i="52"/>
  <c r="AA1649" i="52" s="1"/>
  <c r="AE1650" i="52"/>
  <c r="AA1650" i="52" s="1"/>
  <c r="AE1651" i="52"/>
  <c r="AA1651" i="52" s="1"/>
  <c r="AE1652" i="52"/>
  <c r="AA1652" i="52" s="1"/>
  <c r="AE1653" i="52"/>
  <c r="AA1653" i="52" s="1"/>
  <c r="AE1654" i="52"/>
  <c r="AA1654" i="52" s="1"/>
  <c r="AE1655" i="52"/>
  <c r="AA1655" i="52" s="1"/>
  <c r="AE1656" i="52"/>
  <c r="AA1656" i="52" s="1"/>
  <c r="AE1657" i="52"/>
  <c r="AA1657" i="52" s="1"/>
  <c r="AE1658" i="52"/>
  <c r="AA1658" i="52" s="1"/>
  <c r="AE1659" i="52"/>
  <c r="AA1659" i="52" s="1"/>
  <c r="AE1660" i="52"/>
  <c r="AA1660" i="52" s="1"/>
  <c r="AE1661" i="52"/>
  <c r="AA1661" i="52" s="1"/>
  <c r="AE1662" i="52"/>
  <c r="AA1662" i="52" s="1"/>
  <c r="AE1663" i="52"/>
  <c r="AA1663" i="52" s="1"/>
  <c r="AE1664" i="52"/>
  <c r="AA1664" i="52" s="1"/>
  <c r="AE1665" i="52"/>
  <c r="AA1665" i="52" s="1"/>
  <c r="AE1666" i="52"/>
  <c r="AA1666" i="52" s="1"/>
  <c r="AE1667" i="52"/>
  <c r="AA1667" i="52" s="1"/>
  <c r="AE1668" i="52"/>
  <c r="AA1668" i="52" s="1"/>
  <c r="AE1669" i="52"/>
  <c r="AA1669" i="52" s="1"/>
  <c r="AE1670" i="52"/>
  <c r="AA1670" i="52" s="1"/>
  <c r="AE1671" i="52"/>
  <c r="AA1671" i="52" s="1"/>
  <c r="AE1672" i="52"/>
  <c r="AA1672" i="52" s="1"/>
  <c r="AE1673" i="52"/>
  <c r="AA1673" i="52" s="1"/>
  <c r="AE1674" i="52"/>
  <c r="AA1674" i="52" s="1"/>
  <c r="AE1675" i="52"/>
  <c r="AA1675" i="52" s="1"/>
  <c r="AE1676" i="52"/>
  <c r="AA1676" i="52" s="1"/>
  <c r="AE1677" i="52"/>
  <c r="AA1677" i="52" s="1"/>
  <c r="Y604" i="52"/>
  <c r="Y605" i="52"/>
  <c r="Y606" i="52"/>
  <c r="Y607" i="52"/>
  <c r="Y608" i="52"/>
  <c r="Y609" i="52"/>
  <c r="Y610" i="52"/>
  <c r="Y611" i="52"/>
  <c r="Y612" i="52"/>
  <c r="Y613" i="52"/>
  <c r="Y614" i="52"/>
  <c r="Y615" i="52"/>
  <c r="Y616" i="52"/>
  <c r="Y617" i="52"/>
  <c r="Y618" i="52"/>
  <c r="Y619" i="52"/>
  <c r="Y620" i="52"/>
  <c r="Y621" i="52"/>
  <c r="Y622" i="52"/>
  <c r="Y623" i="52"/>
  <c r="Y624" i="52"/>
  <c r="Y625" i="52"/>
  <c r="Y626" i="52"/>
  <c r="Y627" i="52"/>
  <c r="Y628" i="52"/>
  <c r="Y629" i="52"/>
  <c r="Y630" i="52"/>
  <c r="Y631" i="52"/>
  <c r="Y632" i="52"/>
  <c r="Y633" i="52"/>
  <c r="Y634" i="52"/>
  <c r="Y635" i="52"/>
  <c r="Y636" i="52"/>
  <c r="Y637" i="52"/>
  <c r="Y638" i="52"/>
  <c r="Y639" i="52"/>
  <c r="Y640" i="52"/>
  <c r="Y641" i="52"/>
  <c r="Y642" i="52"/>
  <c r="Y643" i="52"/>
  <c r="Y644" i="52"/>
  <c r="Y645" i="52"/>
  <c r="Y646" i="52"/>
  <c r="Y647" i="52"/>
  <c r="Y648" i="52"/>
  <c r="Y649" i="52"/>
  <c r="Y650" i="52"/>
  <c r="Y651" i="52"/>
  <c r="Y652" i="52"/>
  <c r="Y653" i="52"/>
  <c r="Y654" i="52"/>
  <c r="Y655" i="52"/>
  <c r="Y656" i="52"/>
  <c r="Y657" i="52"/>
  <c r="Y658" i="52"/>
  <c r="Y659" i="52"/>
  <c r="Y660" i="52"/>
  <c r="Y661" i="52"/>
  <c r="Y662" i="52"/>
  <c r="Y663" i="52"/>
  <c r="Y664" i="52"/>
  <c r="Y665" i="52"/>
  <c r="Y666" i="52"/>
  <c r="Y667" i="52"/>
  <c r="Y668" i="52"/>
  <c r="Y669" i="52"/>
  <c r="Y670" i="52"/>
  <c r="Y671" i="52"/>
  <c r="Y672" i="52"/>
  <c r="Y673" i="52"/>
  <c r="Y674" i="52"/>
  <c r="Y675" i="52"/>
  <c r="Y676" i="52"/>
  <c r="Y677" i="52"/>
  <c r="Y678" i="52"/>
  <c r="Y679" i="52"/>
  <c r="Y680" i="52"/>
  <c r="Y681" i="52"/>
  <c r="Y682" i="52"/>
  <c r="Y683" i="52"/>
  <c r="Y684" i="52"/>
  <c r="Y685" i="52"/>
  <c r="Y686" i="52"/>
  <c r="Y687" i="52"/>
  <c r="Y688" i="52"/>
  <c r="Y689" i="52"/>
  <c r="Y690" i="52"/>
  <c r="Y691" i="52"/>
  <c r="Y692" i="52"/>
  <c r="Y693" i="52"/>
  <c r="Y694" i="52"/>
  <c r="Y695" i="52"/>
  <c r="Y696" i="52"/>
  <c r="Y697" i="52"/>
  <c r="Y698" i="52"/>
  <c r="Y699" i="52"/>
  <c r="Y700" i="52"/>
  <c r="Y701" i="52"/>
  <c r="Y702" i="52"/>
  <c r="Y703" i="52"/>
  <c r="Y704" i="52"/>
  <c r="Y705" i="52"/>
  <c r="Y706" i="52"/>
  <c r="Y707" i="52"/>
  <c r="Y708" i="52"/>
  <c r="Y709" i="52"/>
  <c r="Y710" i="52"/>
  <c r="Y711" i="52"/>
  <c r="Y712" i="52"/>
  <c r="Y713" i="52"/>
  <c r="Y714" i="52"/>
  <c r="Y715" i="52"/>
  <c r="Y716" i="52"/>
  <c r="Y717" i="52"/>
  <c r="Y718" i="52"/>
  <c r="Y719" i="52"/>
  <c r="Y720" i="52"/>
  <c r="Y721" i="52"/>
  <c r="Y722" i="52"/>
  <c r="Y723" i="52"/>
  <c r="Y724" i="52"/>
  <c r="Y725" i="52"/>
  <c r="Y726" i="52"/>
  <c r="Y727" i="52"/>
  <c r="Y728" i="52"/>
  <c r="Y729" i="52"/>
  <c r="Y730" i="52"/>
  <c r="Y731" i="52"/>
  <c r="Y732" i="52"/>
  <c r="Y733" i="52"/>
  <c r="Y734" i="52"/>
  <c r="Y735" i="52"/>
  <c r="Y736" i="52"/>
  <c r="Y737" i="52"/>
  <c r="Y738" i="52"/>
  <c r="Y739" i="52"/>
  <c r="Y740" i="52"/>
  <c r="Y741" i="52"/>
  <c r="Y742" i="52"/>
  <c r="Y743" i="52"/>
  <c r="Y744" i="52"/>
  <c r="Y745" i="52"/>
  <c r="Y746" i="52"/>
  <c r="Y747" i="52"/>
  <c r="Y748" i="52"/>
  <c r="Y749" i="52"/>
  <c r="Y750" i="52"/>
  <c r="Y751" i="52"/>
  <c r="Y752" i="52"/>
  <c r="Y753" i="52"/>
  <c r="Y754" i="52"/>
  <c r="Y755" i="52"/>
  <c r="Y756" i="52"/>
  <c r="Y757" i="52"/>
  <c r="Y758" i="52"/>
  <c r="Y759" i="52"/>
  <c r="Y760" i="52"/>
  <c r="Y761" i="52"/>
  <c r="Y762" i="52"/>
  <c r="Y763" i="52"/>
  <c r="Y764" i="52"/>
  <c r="Y765" i="52"/>
  <c r="Y766" i="52"/>
  <c r="Y767" i="52"/>
  <c r="Y768" i="52"/>
  <c r="Y769" i="52"/>
  <c r="Y770" i="52"/>
  <c r="Y771" i="52"/>
  <c r="Y772" i="52"/>
  <c r="Y773" i="52"/>
  <c r="Y774" i="52"/>
  <c r="Y775" i="52"/>
  <c r="Y776" i="52"/>
  <c r="Y777" i="52"/>
  <c r="Y778" i="52"/>
  <c r="Y779" i="52"/>
  <c r="Y780" i="52"/>
  <c r="Y781" i="52"/>
  <c r="Y782" i="52"/>
  <c r="Y783" i="52"/>
  <c r="Y784" i="52"/>
  <c r="Y785" i="52"/>
  <c r="Y786" i="52"/>
  <c r="Y787" i="52"/>
  <c r="Y788" i="52"/>
  <c r="Y789" i="52"/>
  <c r="Y790" i="52"/>
  <c r="Y791" i="52"/>
  <c r="Y792" i="52"/>
  <c r="Y793" i="52"/>
  <c r="Y794" i="52"/>
  <c r="Y795" i="52"/>
  <c r="Y796" i="52"/>
  <c r="Y797" i="52"/>
  <c r="Y798" i="52"/>
  <c r="Y799" i="52"/>
  <c r="Y800" i="52"/>
  <c r="Y801" i="52"/>
  <c r="Y802" i="52"/>
  <c r="Y803" i="52"/>
  <c r="Y804" i="52"/>
  <c r="Y805" i="52"/>
  <c r="Y806" i="52"/>
  <c r="Y807" i="52"/>
  <c r="Y808" i="52"/>
  <c r="Y809" i="52"/>
  <c r="Y810" i="52"/>
  <c r="Y811" i="52"/>
  <c r="Y812" i="52"/>
  <c r="Y813" i="52"/>
  <c r="Y814" i="52"/>
  <c r="Y815" i="52"/>
  <c r="Y816" i="52"/>
  <c r="Y817" i="52"/>
  <c r="Y818" i="52"/>
  <c r="Y819" i="52"/>
  <c r="Y820" i="52"/>
  <c r="Y821" i="52"/>
  <c r="Y822" i="52"/>
  <c r="Y823" i="52"/>
  <c r="Y824" i="52"/>
  <c r="Y825" i="52"/>
  <c r="Y826" i="52"/>
  <c r="Y827" i="52"/>
  <c r="Y828" i="52"/>
  <c r="Y829" i="52"/>
  <c r="Y830" i="52"/>
  <c r="Y831" i="52"/>
  <c r="Y832" i="52"/>
  <c r="Y833" i="52"/>
  <c r="Y834" i="52"/>
  <c r="Y835" i="52"/>
  <c r="Y836" i="52"/>
  <c r="Y837" i="52"/>
  <c r="Y838" i="52"/>
  <c r="Y839" i="52"/>
  <c r="Y840" i="52"/>
  <c r="Y841" i="52"/>
  <c r="Y842" i="52"/>
  <c r="Y843" i="52"/>
  <c r="Y844" i="52"/>
  <c r="Y845" i="52"/>
  <c r="Y846" i="52"/>
  <c r="Y847" i="52"/>
  <c r="Y848" i="52"/>
  <c r="Y849" i="52"/>
  <c r="Y850" i="52"/>
  <c r="Y851" i="52"/>
  <c r="Y852" i="52"/>
  <c r="Y853" i="52"/>
  <c r="Y854" i="52"/>
  <c r="Y855" i="52"/>
  <c r="Y856" i="52"/>
  <c r="Y857" i="52"/>
  <c r="Y858" i="52"/>
  <c r="Y859" i="52"/>
  <c r="Y860" i="52"/>
  <c r="Y861" i="52"/>
  <c r="Y862" i="52"/>
  <c r="Y863" i="52"/>
  <c r="Y864" i="52"/>
  <c r="Y865" i="52"/>
  <c r="Y866" i="52"/>
  <c r="Y867" i="52"/>
  <c r="Y868" i="52"/>
  <c r="Y869" i="52"/>
  <c r="Y870" i="52"/>
  <c r="Y871" i="52"/>
  <c r="Y872" i="52"/>
  <c r="Y873" i="52"/>
  <c r="Y874" i="52"/>
  <c r="Y875" i="52"/>
  <c r="Y876" i="52"/>
  <c r="Y877" i="52"/>
  <c r="Y878" i="52"/>
  <c r="Y879" i="52"/>
  <c r="Y880" i="52"/>
  <c r="Y881" i="52"/>
  <c r="Y882" i="52"/>
  <c r="Y883" i="52"/>
  <c r="Y884" i="52"/>
  <c r="Y885" i="52"/>
  <c r="Y886" i="52"/>
  <c r="Y887" i="52"/>
  <c r="Y888" i="52"/>
  <c r="Y889" i="52"/>
  <c r="Y890" i="52"/>
  <c r="Y891" i="52"/>
  <c r="Y892" i="52"/>
  <c r="Y893" i="52"/>
  <c r="Y894" i="52"/>
  <c r="Y895" i="52"/>
  <c r="Y896" i="52"/>
  <c r="Y897" i="52"/>
  <c r="Y898" i="52"/>
  <c r="Y899" i="52"/>
  <c r="Y900" i="52"/>
  <c r="Y901" i="52"/>
  <c r="Y902" i="52"/>
  <c r="Y903" i="52"/>
  <c r="Y904" i="52"/>
  <c r="Y905" i="52"/>
  <c r="Y906" i="52"/>
  <c r="Y907" i="52"/>
  <c r="Y908" i="52"/>
  <c r="Y909" i="52"/>
  <c r="Y910" i="52"/>
  <c r="Y911" i="52"/>
  <c r="Y912" i="52"/>
  <c r="Y913" i="52"/>
  <c r="Y914" i="52"/>
  <c r="Y915" i="52"/>
  <c r="Y916" i="52"/>
  <c r="Y917" i="52"/>
  <c r="Y918" i="52"/>
  <c r="Y919" i="52"/>
  <c r="Y920" i="52"/>
  <c r="Y921" i="52"/>
  <c r="Y922" i="52"/>
  <c r="Y923" i="52"/>
  <c r="Y924" i="52"/>
  <c r="Y925" i="52"/>
  <c r="Y926" i="52"/>
  <c r="Y927" i="52"/>
  <c r="Y928" i="52"/>
  <c r="Y929" i="52"/>
  <c r="Y930" i="52"/>
  <c r="Y931" i="52"/>
  <c r="Y932" i="52"/>
  <c r="Y933" i="52"/>
  <c r="Y934" i="52"/>
  <c r="Y935" i="52"/>
  <c r="Y936" i="52"/>
  <c r="Y937" i="52"/>
  <c r="Y938" i="52"/>
  <c r="Y939" i="52"/>
  <c r="Y940" i="52"/>
  <c r="Y941" i="52"/>
  <c r="Y942" i="52"/>
  <c r="Y943" i="52"/>
  <c r="Y944" i="52"/>
  <c r="Y945" i="52"/>
  <c r="Y946" i="52"/>
  <c r="Y947" i="52"/>
  <c r="Y948" i="52"/>
  <c r="Y949" i="52"/>
  <c r="Y950" i="52"/>
  <c r="Y951" i="52"/>
  <c r="Y952" i="52"/>
  <c r="Y953" i="52"/>
  <c r="Y954" i="52"/>
  <c r="Y955" i="52"/>
  <c r="Y956" i="52"/>
  <c r="Y957" i="52"/>
  <c r="Y958" i="52"/>
  <c r="Y959" i="52"/>
  <c r="Y960" i="52"/>
  <c r="Y961" i="52"/>
  <c r="Y962" i="52"/>
  <c r="Y963" i="52"/>
  <c r="Y964" i="52"/>
  <c r="Y965" i="52"/>
  <c r="Y966" i="52"/>
  <c r="Y967" i="52"/>
  <c r="Y968" i="52"/>
  <c r="Y969" i="52"/>
  <c r="Y970" i="52"/>
  <c r="Y971" i="52"/>
  <c r="Y972" i="52"/>
  <c r="Y973" i="52"/>
  <c r="Y974" i="52"/>
  <c r="Y975" i="52"/>
  <c r="Y976" i="52"/>
  <c r="Y977" i="52"/>
  <c r="Y978" i="52"/>
  <c r="Y979" i="52"/>
  <c r="Y980" i="52"/>
  <c r="Y981" i="52"/>
  <c r="Y982" i="52"/>
  <c r="Y983" i="52"/>
  <c r="Y984" i="52"/>
  <c r="Y985" i="52"/>
  <c r="Y986" i="52"/>
  <c r="Y987" i="52"/>
  <c r="Y988" i="52"/>
  <c r="Y989" i="52"/>
  <c r="Y990" i="52"/>
  <c r="Y991" i="52"/>
  <c r="Y992" i="52"/>
  <c r="Y993" i="52"/>
  <c r="Y994" i="52"/>
  <c r="Y995" i="52"/>
  <c r="Y996" i="52"/>
  <c r="Y997" i="52"/>
  <c r="Y998" i="52"/>
  <c r="Y999" i="52"/>
  <c r="Y1000" i="52"/>
  <c r="Y1001" i="52"/>
  <c r="Y1002" i="52"/>
  <c r="Y1003" i="52"/>
  <c r="Y1004" i="52"/>
  <c r="Y1005" i="52"/>
  <c r="Y1006" i="52"/>
  <c r="Y1007" i="52"/>
  <c r="Y1008" i="52"/>
  <c r="Y1009" i="52"/>
  <c r="Y1010" i="52"/>
  <c r="Y1011" i="52"/>
  <c r="Y1012" i="52"/>
  <c r="Y1013" i="52"/>
  <c r="Y1014" i="52"/>
  <c r="Y1015" i="52"/>
  <c r="Y1016" i="52"/>
  <c r="Y1017" i="52"/>
  <c r="Y1018" i="52"/>
  <c r="Y1019" i="52"/>
  <c r="Y1020" i="52"/>
  <c r="Y1021" i="52"/>
  <c r="Y1022" i="52"/>
  <c r="Y1023" i="52"/>
  <c r="Y1024" i="52"/>
  <c r="Y1025" i="52"/>
  <c r="Y1026" i="52"/>
  <c r="Y1027" i="52"/>
  <c r="Y1028" i="52"/>
  <c r="Y1029" i="52"/>
  <c r="Y1030" i="52"/>
  <c r="Y1031" i="52"/>
  <c r="Y1032" i="52"/>
  <c r="Y1033" i="52"/>
  <c r="Y1034" i="52"/>
  <c r="Y1035" i="52"/>
  <c r="Y1036" i="52"/>
  <c r="Y1037" i="52"/>
  <c r="Y1038" i="52"/>
  <c r="Y1039" i="52"/>
  <c r="Y1040" i="52"/>
  <c r="Y1041" i="52"/>
  <c r="Y1042" i="52"/>
  <c r="Y1043" i="52"/>
  <c r="Y1044" i="52"/>
  <c r="Y1045" i="52"/>
  <c r="Y1046" i="52"/>
  <c r="Y1047" i="52"/>
  <c r="Y1048" i="52"/>
  <c r="Y1049" i="52"/>
  <c r="Y1050" i="52"/>
  <c r="Y1051" i="52"/>
  <c r="Y1052" i="52"/>
  <c r="Y1053" i="52"/>
  <c r="Y1054" i="52"/>
  <c r="Y1055" i="52"/>
  <c r="Y1056" i="52"/>
  <c r="Y1057" i="52"/>
  <c r="Y1058" i="52"/>
  <c r="Y1059" i="52"/>
  <c r="Y1060" i="52"/>
  <c r="Y1061" i="52"/>
  <c r="Y1062" i="52"/>
  <c r="Y1063" i="52"/>
  <c r="Y1064" i="52"/>
  <c r="Y1065" i="52"/>
  <c r="Y1066" i="52"/>
  <c r="Y1067" i="52"/>
  <c r="Y1068" i="52"/>
  <c r="Y1069" i="52"/>
  <c r="Y1070" i="52"/>
  <c r="Y1071" i="52"/>
  <c r="Y1072" i="52"/>
  <c r="Y1073" i="52"/>
  <c r="Y1074" i="52"/>
  <c r="Y1075" i="52"/>
  <c r="Y1076" i="52"/>
  <c r="Y1077" i="52"/>
  <c r="Y1078" i="52"/>
  <c r="Y1079" i="52"/>
  <c r="Y1080" i="52"/>
  <c r="Y1081" i="52"/>
  <c r="Y1082" i="52"/>
  <c r="Y1083" i="52"/>
  <c r="Y1084" i="52"/>
  <c r="Y1085" i="52"/>
  <c r="Y1086" i="52"/>
  <c r="Y1087" i="52"/>
  <c r="Y1088" i="52"/>
  <c r="Y1089" i="52"/>
  <c r="Y1090" i="52"/>
  <c r="Y1091" i="52"/>
  <c r="Y1092" i="52"/>
  <c r="Y1093" i="52"/>
  <c r="Y1094" i="52"/>
  <c r="Y1095" i="52"/>
  <c r="Y1096" i="52"/>
  <c r="Y1097" i="52"/>
  <c r="Y1098" i="52"/>
  <c r="Y1099" i="52"/>
  <c r="Y1100" i="52"/>
  <c r="Y1101" i="52"/>
  <c r="Y1102" i="52"/>
  <c r="Y1103" i="52"/>
  <c r="Y1104" i="52"/>
  <c r="Y1105" i="52"/>
  <c r="Y1106" i="52"/>
  <c r="Y1107" i="52"/>
  <c r="Y1108" i="52"/>
  <c r="Y1109" i="52"/>
  <c r="Y1110" i="52"/>
  <c r="Y1111" i="52"/>
  <c r="Y1112" i="52"/>
  <c r="Y1113" i="52"/>
  <c r="Y1114" i="52"/>
  <c r="Y1115" i="52"/>
  <c r="Y1116" i="52"/>
  <c r="Y1117" i="52"/>
  <c r="Y1118" i="52"/>
  <c r="Y1119" i="52"/>
  <c r="Y1120" i="52"/>
  <c r="Y1121" i="52"/>
  <c r="Y1122" i="52"/>
  <c r="Y1123" i="52"/>
  <c r="Y1124" i="52"/>
  <c r="Y1125" i="52"/>
  <c r="Y1126" i="52"/>
  <c r="Y1127" i="52"/>
  <c r="Y1128" i="52"/>
  <c r="Y1129" i="52"/>
  <c r="Y1130" i="52"/>
  <c r="Y1131" i="52"/>
  <c r="Y1132" i="52"/>
  <c r="Y1133" i="52"/>
  <c r="Y1134" i="52"/>
  <c r="Y1135" i="52"/>
  <c r="Y1136" i="52"/>
  <c r="Y1137" i="52"/>
  <c r="Y1138" i="52"/>
  <c r="Y1139" i="52"/>
  <c r="Y1140" i="52"/>
  <c r="Y1141" i="52"/>
  <c r="Y1142" i="52"/>
  <c r="Y1143" i="52"/>
  <c r="Y1144" i="52"/>
  <c r="Y1145" i="52"/>
  <c r="Y1146" i="52"/>
  <c r="Y1147" i="52"/>
  <c r="Y1148" i="52"/>
  <c r="Y1149" i="52"/>
  <c r="Y1150" i="52"/>
  <c r="Y1151" i="52"/>
  <c r="Y1152" i="52"/>
  <c r="Y1153" i="52"/>
  <c r="Y1154" i="52"/>
  <c r="Y1155" i="52"/>
  <c r="Y1156" i="52"/>
  <c r="Y1157" i="52"/>
  <c r="Y1158" i="52"/>
  <c r="Y1159" i="52"/>
  <c r="Y1160" i="52"/>
  <c r="Y1161" i="52"/>
  <c r="Y1162" i="52"/>
  <c r="Y1163" i="52"/>
  <c r="Y1164" i="52"/>
  <c r="Y1165" i="52"/>
  <c r="Y1166" i="52"/>
  <c r="Y1167" i="52"/>
  <c r="Y1168" i="52"/>
  <c r="Y1169" i="52"/>
  <c r="Y1170" i="52"/>
  <c r="Y1171" i="52"/>
  <c r="Y1172" i="52"/>
  <c r="Y1173" i="52"/>
  <c r="Y1174" i="52"/>
  <c r="Y1175" i="52"/>
  <c r="Y1176" i="52"/>
  <c r="Y1177" i="52"/>
  <c r="Y1178" i="52"/>
  <c r="Y1179" i="52"/>
  <c r="Y1180" i="52"/>
  <c r="Y1181" i="52"/>
  <c r="Y1182" i="52"/>
  <c r="Y1183" i="52"/>
  <c r="Y1184" i="52"/>
  <c r="Y1185" i="52"/>
  <c r="Y1186" i="52"/>
  <c r="Y1187" i="52"/>
  <c r="Y1188" i="52"/>
  <c r="Y1189" i="52"/>
  <c r="Y1190" i="52"/>
  <c r="Y1191" i="52"/>
  <c r="Y1192" i="52"/>
  <c r="Y1193" i="52"/>
  <c r="Y1194" i="52"/>
  <c r="Y1195" i="52"/>
  <c r="Y1196" i="52"/>
  <c r="Y1197" i="52"/>
  <c r="Y1198" i="52"/>
  <c r="Y1199" i="52"/>
  <c r="Y1200" i="52"/>
  <c r="Y1201" i="52"/>
  <c r="Y1202" i="52"/>
  <c r="Y1203" i="52"/>
  <c r="Y1204" i="52"/>
  <c r="Y1205" i="52"/>
  <c r="Y1206" i="52"/>
  <c r="Y1207" i="52"/>
  <c r="Y1208" i="52"/>
  <c r="Y1209" i="52"/>
  <c r="Y1210" i="52"/>
  <c r="Y1211" i="52"/>
  <c r="Y1212" i="52"/>
  <c r="Y1213" i="52"/>
  <c r="Y1214" i="52"/>
  <c r="Y1215" i="52"/>
  <c r="Y1216" i="52"/>
  <c r="Y1217" i="52"/>
  <c r="Y1218" i="52"/>
  <c r="Y1219" i="52"/>
  <c r="Y1220" i="52"/>
  <c r="Y1221" i="52"/>
  <c r="Y1222" i="52"/>
  <c r="Y1223" i="52"/>
  <c r="Y1224" i="52"/>
  <c r="Y1225" i="52"/>
  <c r="Y1226" i="52"/>
  <c r="Y1227" i="52"/>
  <c r="Y1228" i="52"/>
  <c r="Y1229" i="52"/>
  <c r="Y1230" i="52"/>
  <c r="Y1231" i="52"/>
  <c r="Y1232" i="52"/>
  <c r="Y1233" i="52"/>
  <c r="Y1234" i="52"/>
  <c r="Y1235" i="52"/>
  <c r="Y1236" i="52"/>
  <c r="Y1237" i="52"/>
  <c r="Y1238" i="52"/>
  <c r="Y1239" i="52"/>
  <c r="Y1240" i="52"/>
  <c r="Y1241" i="52"/>
  <c r="Y1242" i="52"/>
  <c r="Y1243" i="52"/>
  <c r="Y1244" i="52"/>
  <c r="Y1245" i="52"/>
  <c r="Y1246" i="52"/>
  <c r="Y1247" i="52"/>
  <c r="Y1248" i="52"/>
  <c r="Y1249" i="52"/>
  <c r="Y1250" i="52"/>
  <c r="Y1251" i="52"/>
  <c r="Y1252" i="52"/>
  <c r="Y1253" i="52"/>
  <c r="Y1254" i="52"/>
  <c r="Y1255" i="52"/>
  <c r="Y1256" i="52"/>
  <c r="Y1257" i="52"/>
  <c r="Y1258" i="52"/>
  <c r="Y1259" i="52"/>
  <c r="Y1260" i="52"/>
  <c r="Y1261" i="52"/>
  <c r="Y1262" i="52"/>
  <c r="Y1263" i="52"/>
  <c r="Y1264" i="52"/>
  <c r="Y1265" i="52"/>
  <c r="Y1266" i="52"/>
  <c r="Y1267" i="52"/>
  <c r="Y1268" i="52"/>
  <c r="Y1269" i="52"/>
  <c r="Y1270" i="52"/>
  <c r="Y1271" i="52"/>
  <c r="Y1272" i="52"/>
  <c r="Y1273" i="52"/>
  <c r="Y1274" i="52"/>
  <c r="Y1275" i="52"/>
  <c r="Y1276" i="52"/>
  <c r="Y1277" i="52"/>
  <c r="Y1278" i="52"/>
  <c r="Y1279" i="52"/>
  <c r="Y1280" i="52"/>
  <c r="Y1281" i="52"/>
  <c r="Y1282" i="52"/>
  <c r="Y1283" i="52"/>
  <c r="Y1284" i="52"/>
  <c r="Y1285" i="52"/>
  <c r="Y1286" i="52"/>
  <c r="Y1287" i="52"/>
  <c r="Y1288" i="52"/>
  <c r="Y1289" i="52"/>
  <c r="Y1290" i="52"/>
  <c r="Y1291" i="52"/>
  <c r="Y1292" i="52"/>
  <c r="Y1293" i="52"/>
  <c r="Y1294" i="52"/>
  <c r="Y1295" i="52"/>
  <c r="Y1296" i="52"/>
  <c r="Y1297" i="52"/>
  <c r="Y1298" i="52"/>
  <c r="Y1299" i="52"/>
  <c r="Y1300" i="52"/>
  <c r="Y1301" i="52"/>
  <c r="Y1302" i="52"/>
  <c r="Y1303" i="52"/>
  <c r="Y1304" i="52"/>
  <c r="Y1305" i="52"/>
  <c r="Y1306" i="52"/>
  <c r="Y1307" i="52"/>
  <c r="Y1308" i="52"/>
  <c r="Y1309" i="52"/>
  <c r="Y1310" i="52"/>
  <c r="Y1311" i="52"/>
  <c r="Y1312" i="52"/>
  <c r="Y1313" i="52"/>
  <c r="Y1314" i="52"/>
  <c r="Y1315" i="52"/>
  <c r="Y1316" i="52"/>
  <c r="Y1317" i="52"/>
  <c r="Y1318" i="52"/>
  <c r="Y1319" i="52"/>
  <c r="Y1320" i="52"/>
  <c r="Y1321" i="52"/>
  <c r="Y1322" i="52"/>
  <c r="Y1323" i="52"/>
  <c r="Y1324" i="52"/>
  <c r="Y1325" i="52"/>
  <c r="Y1326" i="52"/>
  <c r="Y1327" i="52"/>
  <c r="Y1328" i="52"/>
  <c r="Y1329" i="52"/>
  <c r="Y1330" i="52"/>
  <c r="Y1331" i="52"/>
  <c r="Y1332" i="52"/>
  <c r="Y1333" i="52"/>
  <c r="Y1334" i="52"/>
  <c r="Y1335" i="52"/>
  <c r="Y1336" i="52"/>
  <c r="Y1337" i="52"/>
  <c r="Y1338" i="52"/>
  <c r="Y1339" i="52"/>
  <c r="Y1340" i="52"/>
  <c r="Y1341" i="52"/>
  <c r="Y1342" i="52"/>
  <c r="Y1343" i="52"/>
  <c r="Y1344" i="52"/>
  <c r="Y1345" i="52"/>
  <c r="Y1346" i="52"/>
  <c r="Y1347" i="52"/>
  <c r="Y1348" i="52"/>
  <c r="Y1349" i="52"/>
  <c r="Y1350" i="52"/>
  <c r="Y1351" i="52"/>
  <c r="Y1352" i="52"/>
  <c r="Y1353" i="52"/>
  <c r="Y1354" i="52"/>
  <c r="Y1355" i="52"/>
  <c r="Y1356" i="52"/>
  <c r="Y1357" i="52"/>
  <c r="Y1358" i="52"/>
  <c r="Y1359" i="52"/>
  <c r="Y1360" i="52"/>
  <c r="Y1361" i="52"/>
  <c r="Y1362" i="52"/>
  <c r="Y1363" i="52"/>
  <c r="Y1364" i="52"/>
  <c r="Y1365" i="52"/>
  <c r="Y1366" i="52"/>
  <c r="Y1367" i="52"/>
  <c r="Y1368" i="52"/>
  <c r="Y1369" i="52"/>
  <c r="Y1370" i="52"/>
  <c r="Y1371" i="52"/>
  <c r="Y1372" i="52"/>
  <c r="Y1373" i="52"/>
  <c r="Y1374" i="52"/>
  <c r="Y1375" i="52"/>
  <c r="Y1376" i="52"/>
  <c r="Y1377" i="52"/>
  <c r="Y1378" i="52"/>
  <c r="Y1379" i="52"/>
  <c r="Y1380" i="52"/>
  <c r="Y1381" i="52"/>
  <c r="Y1382" i="52"/>
  <c r="Y1383" i="52"/>
  <c r="Y1384" i="52"/>
  <c r="Y1385" i="52"/>
  <c r="Y1386" i="52"/>
  <c r="Y1387" i="52"/>
  <c r="Y1388" i="52"/>
  <c r="Y1389" i="52"/>
  <c r="Y1390" i="52"/>
  <c r="Y1391" i="52"/>
  <c r="Y1392" i="52"/>
  <c r="Y1393" i="52"/>
  <c r="Y1394" i="52"/>
  <c r="Y1395" i="52"/>
  <c r="Y1396" i="52"/>
  <c r="Y1397" i="52"/>
  <c r="Y1398" i="52"/>
  <c r="Y1399" i="52"/>
  <c r="Y1400" i="52"/>
  <c r="Y1401" i="52"/>
  <c r="Y1402" i="52"/>
  <c r="Y1403" i="52"/>
  <c r="Y1404" i="52"/>
  <c r="Y1405" i="52"/>
  <c r="Y1406" i="52"/>
  <c r="Y1407" i="52"/>
  <c r="Y1408" i="52"/>
  <c r="Y1409" i="52"/>
  <c r="Y1410" i="52"/>
  <c r="Y1411" i="52"/>
  <c r="Y1412" i="52"/>
  <c r="Y1413" i="52"/>
  <c r="Y1414" i="52"/>
  <c r="Y1415" i="52"/>
  <c r="Y1416" i="52"/>
  <c r="Y1417" i="52"/>
  <c r="Y1418" i="52"/>
  <c r="Y1419" i="52"/>
  <c r="Y1420" i="52"/>
  <c r="Y1421" i="52"/>
  <c r="Y1422" i="52"/>
  <c r="Y1423" i="52"/>
  <c r="Y1424" i="52"/>
  <c r="Y1425" i="52"/>
  <c r="Y1426" i="52"/>
  <c r="Y1427" i="52"/>
  <c r="Y1428" i="52"/>
  <c r="Y1429" i="52"/>
  <c r="Y1430" i="52"/>
  <c r="Y1431" i="52"/>
  <c r="Y1432" i="52"/>
  <c r="Y1433" i="52"/>
  <c r="Y1434" i="52"/>
  <c r="Y1435" i="52"/>
  <c r="Y1436" i="52"/>
  <c r="Y1437" i="52"/>
  <c r="Y1438" i="52"/>
  <c r="Y1439" i="52"/>
  <c r="Y1440" i="52"/>
  <c r="Y1441" i="52"/>
  <c r="Y1442" i="52"/>
  <c r="Y1443" i="52"/>
  <c r="Y1444" i="52"/>
  <c r="Y1445" i="52"/>
  <c r="Y1446" i="52"/>
  <c r="Y1447" i="52"/>
  <c r="Y1448" i="52"/>
  <c r="Y1449" i="52"/>
  <c r="Y1450" i="52"/>
  <c r="Y1451" i="52"/>
  <c r="Y1452" i="52"/>
  <c r="Y1453" i="52"/>
  <c r="Y1454" i="52"/>
  <c r="Y1455" i="52"/>
  <c r="Y1456" i="52"/>
  <c r="Y1457" i="52"/>
  <c r="Y1458" i="52"/>
  <c r="Y1459" i="52"/>
  <c r="Y1460" i="52"/>
  <c r="Y1461" i="52"/>
  <c r="Y1462" i="52"/>
  <c r="Y1463" i="52"/>
  <c r="Y1464" i="52"/>
  <c r="Y1465" i="52"/>
  <c r="Y1466" i="52"/>
  <c r="Y1467" i="52"/>
  <c r="Y1468" i="52"/>
  <c r="Y1469" i="52"/>
  <c r="Y1470" i="52"/>
  <c r="Y1471" i="52"/>
  <c r="Y1472" i="52"/>
  <c r="Y1473" i="52"/>
  <c r="Y1474" i="52"/>
  <c r="Y1475" i="52"/>
  <c r="Y1476" i="52"/>
  <c r="Y1477" i="52"/>
  <c r="Y1478" i="52"/>
  <c r="Y1479" i="52"/>
  <c r="Y1480" i="52"/>
  <c r="Y1481" i="52"/>
  <c r="Y1482" i="52"/>
  <c r="Y1483" i="52"/>
  <c r="Y1484" i="52"/>
  <c r="Y1485" i="52"/>
  <c r="Y1486" i="52"/>
  <c r="Y1487" i="52"/>
  <c r="Y1488" i="52"/>
  <c r="Y1489" i="52"/>
  <c r="Y1490" i="52"/>
  <c r="Y1491" i="52"/>
  <c r="Y1492" i="52"/>
  <c r="Y1493" i="52"/>
  <c r="Y1494" i="52"/>
  <c r="Y1495" i="52"/>
  <c r="Y1496" i="52"/>
  <c r="Y1497" i="52"/>
  <c r="Y1498" i="52"/>
  <c r="Y1499" i="52"/>
  <c r="Y1500" i="52"/>
  <c r="Y1501" i="52"/>
  <c r="Y1502" i="52"/>
  <c r="Y1503" i="52"/>
  <c r="Y1504" i="52"/>
  <c r="Y1505" i="52"/>
  <c r="Y1506" i="52"/>
  <c r="Y1507" i="52"/>
  <c r="Y1508" i="52"/>
  <c r="Y1509" i="52"/>
  <c r="Y1510" i="52"/>
  <c r="Y1511" i="52"/>
  <c r="Y1512" i="52"/>
  <c r="Y1513" i="52"/>
  <c r="Y1514" i="52"/>
  <c r="Y1515" i="52"/>
  <c r="Y1516" i="52"/>
  <c r="Y1517" i="52"/>
  <c r="Y1518" i="52"/>
  <c r="Y1519" i="52"/>
  <c r="Y1520" i="52"/>
  <c r="Y1521" i="52"/>
  <c r="Y1522" i="52"/>
  <c r="Y1523" i="52"/>
  <c r="Y1524" i="52"/>
  <c r="Y1525" i="52"/>
  <c r="Y1526" i="52"/>
  <c r="Y1527" i="52"/>
  <c r="Y1528" i="52"/>
  <c r="Y1529" i="52"/>
  <c r="Y1530" i="52"/>
  <c r="Y1531" i="52"/>
  <c r="Y1532" i="52"/>
  <c r="Y1533" i="52"/>
  <c r="Y1534" i="52"/>
  <c r="Y1535" i="52"/>
  <c r="Y1536" i="52"/>
  <c r="Y1537" i="52"/>
  <c r="Y1538" i="52"/>
  <c r="Y1539" i="52"/>
  <c r="Y1540" i="52"/>
  <c r="Y1541" i="52"/>
  <c r="Y1542" i="52"/>
  <c r="Y1543" i="52"/>
  <c r="Y1544" i="52"/>
  <c r="Y1545" i="52"/>
  <c r="Y1546" i="52"/>
  <c r="Y1547" i="52"/>
  <c r="Y1548" i="52"/>
  <c r="Y1549" i="52"/>
  <c r="Y1550" i="52"/>
  <c r="Y1551" i="52"/>
  <c r="Y1552" i="52"/>
  <c r="Y1553" i="52"/>
  <c r="Y1554" i="52"/>
  <c r="Y1555" i="52"/>
  <c r="Y1556" i="52"/>
  <c r="Y1557" i="52"/>
  <c r="Y1558" i="52"/>
  <c r="Y1559" i="52"/>
  <c r="Y1560" i="52"/>
  <c r="Y1561" i="52"/>
  <c r="Y1562" i="52"/>
  <c r="Y1563" i="52"/>
  <c r="Y1564" i="52"/>
  <c r="Y1565" i="52"/>
  <c r="Y1566" i="52"/>
  <c r="Y1567" i="52"/>
  <c r="Y1568" i="52"/>
  <c r="Y1569" i="52"/>
  <c r="Y1570" i="52"/>
  <c r="Y1571" i="52"/>
  <c r="Y1572" i="52"/>
  <c r="Y1573" i="52"/>
  <c r="Y1574" i="52"/>
  <c r="Y1575" i="52"/>
  <c r="Y1576" i="52"/>
  <c r="Y1577" i="52"/>
  <c r="Y1578" i="52"/>
  <c r="Y1579" i="52"/>
  <c r="Y1580" i="52"/>
  <c r="Y1581" i="52"/>
  <c r="Y1582" i="52"/>
  <c r="Y1583" i="52"/>
  <c r="Y1584" i="52"/>
  <c r="Y1585" i="52"/>
  <c r="Y1586" i="52"/>
  <c r="Y1587" i="52"/>
  <c r="Y1588" i="52"/>
  <c r="Y1589" i="52"/>
  <c r="Y1590" i="52"/>
  <c r="Y1591" i="52"/>
  <c r="Y1592" i="52"/>
  <c r="Y1593" i="52"/>
  <c r="Y1594" i="52"/>
  <c r="Y1595" i="52"/>
  <c r="Y1596" i="52"/>
  <c r="Y1597" i="52"/>
  <c r="Y1598" i="52"/>
  <c r="Y1599" i="52"/>
  <c r="Y1600" i="52"/>
  <c r="Y1601" i="52"/>
  <c r="Y1602" i="52"/>
  <c r="Y1603" i="52"/>
  <c r="Y1604" i="52"/>
  <c r="Y1605" i="52"/>
  <c r="Y1606" i="52"/>
  <c r="Y1607" i="52"/>
  <c r="Y1608" i="52"/>
  <c r="Y1609" i="52"/>
  <c r="Y1610" i="52"/>
  <c r="Y1611" i="52"/>
  <c r="Y1612" i="52"/>
  <c r="Y1613" i="52"/>
  <c r="Y1614" i="52"/>
  <c r="Y1615" i="52"/>
  <c r="Y1616" i="52"/>
  <c r="Y1617" i="52"/>
  <c r="Y1618" i="52"/>
  <c r="Y1619" i="52"/>
  <c r="Y1620" i="52"/>
  <c r="Y1621" i="52"/>
  <c r="Y1622" i="52"/>
  <c r="Y1623" i="52"/>
  <c r="Y1624" i="52"/>
  <c r="Y1625" i="52"/>
  <c r="Y1626" i="52"/>
  <c r="Y1627" i="52"/>
  <c r="Y1628" i="52"/>
  <c r="Y1629" i="52"/>
  <c r="Y1630" i="52"/>
  <c r="Y1631" i="52"/>
  <c r="Y1632" i="52"/>
  <c r="Y1633" i="52"/>
  <c r="Y1634" i="52"/>
  <c r="Y1635" i="52"/>
  <c r="Y1636" i="52"/>
  <c r="Y1637" i="52"/>
  <c r="Y1638" i="52"/>
  <c r="Y1639" i="52"/>
  <c r="Y1640" i="52"/>
  <c r="Y1641" i="52"/>
  <c r="Y1642" i="52"/>
  <c r="Y1643" i="52"/>
  <c r="Y1644" i="52"/>
  <c r="Y1645" i="52"/>
  <c r="Y1646" i="52"/>
  <c r="Y1647" i="52"/>
  <c r="Y1648" i="52"/>
  <c r="Y1649" i="52"/>
  <c r="Y1650" i="52"/>
  <c r="Y1651" i="52"/>
  <c r="Y1652" i="52"/>
  <c r="Y1653" i="52"/>
  <c r="Y1654" i="52"/>
  <c r="Y1655" i="52"/>
  <c r="Y1656" i="52"/>
  <c r="Y1657" i="52"/>
  <c r="Y1658" i="52"/>
  <c r="Y1659" i="52"/>
  <c r="Y1660" i="52"/>
  <c r="Y1661" i="52"/>
  <c r="Y1662" i="52"/>
  <c r="Y1663" i="52"/>
  <c r="Y1664" i="52"/>
  <c r="Y1665" i="52"/>
  <c r="Y1666" i="52"/>
  <c r="Y1667" i="52"/>
  <c r="Y1668" i="52"/>
  <c r="Y1669" i="52"/>
  <c r="Y1670" i="52"/>
  <c r="Y1671" i="52"/>
  <c r="Y1672" i="52"/>
  <c r="Y1673" i="52"/>
  <c r="Y1674" i="52"/>
  <c r="Y1675" i="52"/>
  <c r="Y1676" i="52"/>
  <c r="Y1677" i="52"/>
  <c r="Y603" i="52"/>
  <c r="Y602" i="52"/>
  <c r="Y601" i="52"/>
  <c r="Y600" i="52"/>
  <c r="Y599" i="52"/>
  <c r="Y598" i="52"/>
  <c r="Y597" i="52"/>
  <c r="Y596" i="52"/>
  <c r="Y595" i="52"/>
  <c r="Y594" i="52"/>
  <c r="Y593" i="52"/>
  <c r="Y592" i="52"/>
  <c r="Y591" i="52"/>
  <c r="Y590" i="52"/>
  <c r="Y589" i="52"/>
  <c r="Y588" i="52"/>
  <c r="Y587" i="52"/>
  <c r="Y586" i="52"/>
  <c r="Y585" i="52"/>
  <c r="Y584" i="52"/>
  <c r="Y583" i="52"/>
  <c r="Y582" i="52"/>
  <c r="Y581" i="52"/>
  <c r="Y580" i="52"/>
  <c r="Y579" i="52"/>
  <c r="Y578" i="52"/>
  <c r="Y577" i="52"/>
  <c r="Y576" i="52"/>
  <c r="Y575" i="52"/>
  <c r="Y574" i="52"/>
  <c r="Y573" i="52"/>
  <c r="Y572" i="52"/>
  <c r="Y571" i="52"/>
  <c r="Y570" i="52"/>
  <c r="Y569" i="52"/>
  <c r="Y568" i="52"/>
  <c r="Y567" i="52"/>
  <c r="Y566" i="52"/>
  <c r="Y565" i="52"/>
  <c r="Y564" i="52"/>
  <c r="Y563" i="52"/>
  <c r="Y562" i="52"/>
  <c r="Y561" i="52"/>
  <c r="Y560" i="52"/>
  <c r="Y559" i="52"/>
  <c r="Y558" i="52"/>
  <c r="Y557" i="52"/>
  <c r="Y556" i="52"/>
  <c r="Y555" i="52"/>
  <c r="Y554" i="52"/>
  <c r="Y553" i="52"/>
  <c r="Y552" i="52"/>
  <c r="Y551" i="52"/>
  <c r="Y550" i="52"/>
  <c r="Y549" i="52"/>
  <c r="Y548" i="52"/>
  <c r="Y547" i="52"/>
  <c r="Y546" i="52"/>
  <c r="Y545" i="52"/>
  <c r="Y544" i="52"/>
  <c r="Y543" i="52"/>
  <c r="Y542" i="52"/>
  <c r="Y541" i="52"/>
  <c r="Y540" i="52"/>
  <c r="Y539" i="52"/>
  <c r="Y538" i="52"/>
  <c r="Y537" i="52"/>
  <c r="Y536" i="52"/>
  <c r="Y535" i="52"/>
  <c r="Y534" i="52"/>
  <c r="Y533" i="52"/>
  <c r="Y532" i="52"/>
  <c r="Y531" i="52"/>
  <c r="Y530" i="52"/>
  <c r="Y529" i="52"/>
  <c r="Y528" i="52"/>
  <c r="Y527" i="52"/>
  <c r="Y526" i="52"/>
  <c r="Y525" i="52"/>
  <c r="Y524" i="52"/>
  <c r="Y523" i="52"/>
  <c r="Y522" i="52"/>
  <c r="Y521" i="52"/>
  <c r="Y520" i="52"/>
  <c r="Y519" i="52"/>
  <c r="Y518" i="52"/>
  <c r="Y517" i="52"/>
  <c r="Y516" i="52"/>
  <c r="Y515" i="52"/>
  <c r="Y514" i="52"/>
  <c r="Y513" i="52"/>
  <c r="Y512" i="52"/>
  <c r="Y511" i="52"/>
  <c r="Y510" i="52"/>
  <c r="Y509" i="52"/>
  <c r="Y508" i="52"/>
  <c r="Y507" i="52"/>
  <c r="Y506" i="52"/>
  <c r="Y505" i="52"/>
  <c r="Y504" i="52"/>
  <c r="Y503" i="52"/>
  <c r="Y502" i="52"/>
  <c r="Y501" i="52"/>
  <c r="Y500" i="52"/>
  <c r="Y499" i="52"/>
  <c r="Y498" i="52"/>
  <c r="Y497" i="52"/>
  <c r="Y496" i="52"/>
  <c r="Y495" i="52"/>
  <c r="Y494" i="52"/>
  <c r="Y493" i="52"/>
  <c r="Y492" i="52"/>
  <c r="Y491" i="52"/>
  <c r="Y490" i="52"/>
  <c r="Y489" i="52"/>
  <c r="Y488" i="52"/>
  <c r="Y487" i="52"/>
  <c r="Y486" i="52"/>
  <c r="Y485" i="52"/>
  <c r="Y484" i="52"/>
  <c r="Y483" i="52"/>
  <c r="Y482" i="52"/>
  <c r="Y481" i="52"/>
  <c r="Y480" i="52"/>
  <c r="Y479" i="52"/>
  <c r="Y478" i="52"/>
  <c r="Y477" i="52"/>
  <c r="Y476" i="52"/>
  <c r="Y475" i="52"/>
  <c r="Y474" i="52"/>
  <c r="Y473" i="52"/>
  <c r="Y472" i="52"/>
  <c r="Y471" i="52"/>
  <c r="Y470" i="52"/>
  <c r="Y469" i="52"/>
  <c r="Y468" i="52"/>
  <c r="Y467" i="52"/>
  <c r="Y466" i="52"/>
  <c r="Y465" i="52"/>
  <c r="Y464" i="52"/>
  <c r="Y463" i="52"/>
  <c r="Y462" i="52"/>
  <c r="Y461" i="52"/>
  <c r="Y460" i="52"/>
  <c r="Y459" i="52"/>
  <c r="Y458" i="52"/>
  <c r="Y457" i="52"/>
  <c r="Y456" i="52"/>
  <c r="Y455" i="52"/>
  <c r="Y454" i="52"/>
  <c r="Y453" i="52"/>
  <c r="Y452" i="52"/>
  <c r="Y451" i="52"/>
  <c r="Y450" i="52"/>
  <c r="Y449" i="52"/>
  <c r="Y448" i="52"/>
  <c r="Y447" i="52"/>
  <c r="Y446" i="52"/>
  <c r="Y445" i="52"/>
  <c r="Y444" i="52"/>
  <c r="Y443" i="52"/>
  <c r="Y442" i="52"/>
  <c r="Y441" i="52"/>
  <c r="Y440" i="52"/>
  <c r="Y439" i="52"/>
  <c r="Y438" i="52"/>
  <c r="Y437" i="52"/>
  <c r="Y436" i="52"/>
  <c r="Y435" i="52"/>
  <c r="Y434" i="52"/>
  <c r="Y433" i="52"/>
  <c r="Y432" i="52"/>
  <c r="Y431" i="52"/>
  <c r="Y430" i="52"/>
  <c r="Y429" i="52"/>
  <c r="Y428" i="52"/>
  <c r="Y427" i="52"/>
  <c r="Y426" i="52"/>
  <c r="Y425" i="52"/>
  <c r="Y424" i="52"/>
  <c r="Y423" i="52"/>
  <c r="Y422" i="52"/>
  <c r="Y421" i="52"/>
  <c r="Y420" i="52"/>
  <c r="Y419" i="52"/>
  <c r="Y418" i="52"/>
  <c r="Y417" i="52"/>
  <c r="Y416" i="52"/>
  <c r="Y415" i="52"/>
  <c r="Y414" i="52"/>
  <c r="Y413" i="52"/>
  <c r="Y412" i="52"/>
  <c r="Y411" i="52"/>
  <c r="Y410" i="52"/>
  <c r="Y409" i="52"/>
  <c r="Y408" i="52"/>
  <c r="Y407" i="52"/>
  <c r="Y406" i="52"/>
  <c r="Y405" i="52"/>
  <c r="Y404" i="52"/>
  <c r="Y403" i="52"/>
  <c r="Y402" i="52"/>
  <c r="Y401" i="52"/>
  <c r="Y400" i="52"/>
  <c r="Y399" i="52"/>
  <c r="Y398" i="52"/>
  <c r="Y397" i="52"/>
  <c r="Y396" i="52"/>
  <c r="Y395" i="52"/>
  <c r="Y394" i="52"/>
  <c r="Y393" i="52"/>
  <c r="Y392" i="52"/>
  <c r="Y391" i="52"/>
  <c r="Y390" i="52"/>
  <c r="Y389" i="52"/>
  <c r="Y388" i="52"/>
  <c r="Y387" i="52"/>
  <c r="Y386" i="52"/>
  <c r="Y385" i="52"/>
  <c r="Y384" i="52"/>
  <c r="Y383" i="52"/>
  <c r="Y382" i="52"/>
  <c r="Y381" i="52"/>
  <c r="Y380" i="52"/>
  <c r="Y379" i="52"/>
  <c r="Y378" i="52"/>
  <c r="Y377" i="52"/>
  <c r="Y376" i="52"/>
  <c r="Y375" i="52"/>
  <c r="Y374" i="52"/>
  <c r="Y373" i="52"/>
  <c r="Y372" i="52"/>
  <c r="Y371" i="52"/>
  <c r="Y370" i="52"/>
  <c r="Y369" i="52"/>
  <c r="Y368" i="52"/>
  <c r="Y367" i="52"/>
  <c r="Y366" i="52"/>
  <c r="Y365" i="52"/>
  <c r="Y364" i="52"/>
  <c r="Y363" i="52"/>
  <c r="Y362" i="52"/>
  <c r="Y361" i="52"/>
  <c r="Y360" i="52"/>
  <c r="Y359" i="52"/>
  <c r="Y358" i="52"/>
  <c r="Y357" i="52"/>
  <c r="Y356" i="52"/>
  <c r="Y355" i="52"/>
  <c r="Y354" i="52"/>
  <c r="Y353" i="52"/>
  <c r="Y352" i="52"/>
  <c r="Y351" i="52"/>
  <c r="Y350" i="52"/>
  <c r="Y349" i="52"/>
  <c r="Y348" i="52"/>
  <c r="Y347" i="52"/>
  <c r="Y346" i="52"/>
  <c r="Y345" i="52"/>
  <c r="Y344" i="52"/>
  <c r="Y343" i="52"/>
  <c r="Y342" i="52"/>
  <c r="Y341" i="52"/>
  <c r="Y340" i="52"/>
  <c r="Y339" i="52"/>
  <c r="Y338" i="52"/>
  <c r="Y337" i="52"/>
  <c r="Y336" i="52"/>
  <c r="Y335" i="52"/>
  <c r="Y334" i="52"/>
  <c r="Y333" i="52"/>
  <c r="Y332" i="52"/>
  <c r="Y331" i="52"/>
  <c r="Y330" i="52"/>
  <c r="Y329" i="52"/>
  <c r="Y328" i="52"/>
  <c r="Y327" i="52"/>
  <c r="Y326" i="52"/>
  <c r="Y325" i="52"/>
  <c r="Y324" i="52"/>
  <c r="Y323" i="52"/>
  <c r="Y322" i="52"/>
  <c r="Y321" i="52"/>
  <c r="Y320" i="52"/>
  <c r="Y319" i="52"/>
  <c r="Y318" i="52"/>
  <c r="Y317" i="52"/>
  <c r="Y316" i="52"/>
  <c r="Y315" i="52"/>
  <c r="Y314" i="52"/>
  <c r="Y313" i="52"/>
  <c r="Y312" i="52"/>
  <c r="Y311" i="52"/>
  <c r="Y310" i="52"/>
  <c r="Y309" i="52"/>
  <c r="Y308" i="52"/>
  <c r="Y307" i="52"/>
  <c r="Y306" i="52"/>
  <c r="Y305" i="52"/>
  <c r="Y304" i="52"/>
  <c r="Y303" i="52"/>
  <c r="Y302" i="52"/>
  <c r="Y301" i="52"/>
  <c r="Y300" i="52"/>
  <c r="Y299" i="52"/>
  <c r="Y298" i="52"/>
  <c r="Y297" i="52"/>
  <c r="Y296" i="52"/>
  <c r="Y295" i="52"/>
  <c r="Y294" i="52"/>
  <c r="Y293" i="52"/>
  <c r="Y292" i="52"/>
  <c r="Y291" i="52"/>
  <c r="Y290" i="52"/>
  <c r="Y289" i="52"/>
  <c r="Y288" i="52"/>
  <c r="Y287" i="52"/>
  <c r="Y286" i="52"/>
  <c r="Y285" i="52"/>
  <c r="Y284" i="52"/>
  <c r="Y283" i="52"/>
  <c r="Y282" i="52"/>
  <c r="Y281" i="52"/>
  <c r="Y280" i="52"/>
  <c r="Y279" i="52"/>
  <c r="Y278" i="52"/>
  <c r="Y277" i="52"/>
  <c r="Y276" i="52"/>
  <c r="Y275" i="52"/>
  <c r="Y274" i="52"/>
  <c r="Y273" i="52"/>
  <c r="Y272" i="52"/>
  <c r="Y271" i="52"/>
  <c r="Y270" i="52"/>
  <c r="Y269" i="52"/>
  <c r="Y268" i="52"/>
  <c r="Y267" i="52"/>
  <c r="Y266" i="52"/>
  <c r="Y265" i="52"/>
  <c r="Y264" i="52"/>
  <c r="Y263" i="52"/>
  <c r="Y262" i="52"/>
  <c r="Y261" i="52"/>
  <c r="Y260" i="52"/>
  <c r="Y259" i="52"/>
  <c r="Y258" i="52"/>
  <c r="Y257" i="52"/>
  <c r="Y256" i="52"/>
  <c r="Y255" i="52"/>
  <c r="Y254" i="52"/>
  <c r="Y253" i="52"/>
  <c r="Y252" i="52"/>
  <c r="Y251" i="52"/>
  <c r="Y250" i="52"/>
  <c r="Y249" i="52"/>
  <c r="Y248" i="52"/>
  <c r="Y247" i="52"/>
  <c r="Y246" i="52"/>
  <c r="Y245" i="52"/>
  <c r="Y244" i="52"/>
  <c r="Y243" i="52"/>
  <c r="Y242" i="52"/>
  <c r="Y241" i="52"/>
  <c r="Y240" i="52"/>
  <c r="Y239" i="52"/>
  <c r="Y238" i="52"/>
  <c r="Y237" i="52"/>
  <c r="Y236" i="52"/>
  <c r="Y235" i="52"/>
  <c r="Y234" i="52"/>
  <c r="Y233" i="52"/>
  <c r="Y232" i="52"/>
  <c r="Y231" i="52"/>
  <c r="Y230" i="52"/>
  <c r="Y229" i="52"/>
  <c r="Y228" i="52"/>
  <c r="Y227" i="52"/>
  <c r="Y226" i="52"/>
  <c r="Y225" i="52"/>
  <c r="Y224" i="52"/>
  <c r="Y223" i="52"/>
  <c r="Y222" i="52"/>
  <c r="Y221" i="52"/>
  <c r="Y220" i="52"/>
  <c r="Y219" i="52"/>
  <c r="Y218" i="52"/>
  <c r="Y217" i="52"/>
  <c r="Y216" i="52"/>
  <c r="Y215" i="52"/>
  <c r="Y214" i="52"/>
  <c r="Y213" i="52"/>
  <c r="Y212" i="52"/>
  <c r="Y211" i="52"/>
  <c r="Y210" i="52"/>
  <c r="Y209" i="52"/>
  <c r="Y208" i="52"/>
  <c r="Y207" i="52"/>
  <c r="Y206" i="52"/>
  <c r="Y205" i="52"/>
  <c r="Y204" i="52"/>
  <c r="Y203" i="52"/>
  <c r="Y202" i="52"/>
  <c r="Y201" i="52"/>
  <c r="Y200" i="52"/>
  <c r="Y199" i="52"/>
  <c r="Y198" i="52"/>
  <c r="Y197" i="52"/>
  <c r="Y196" i="52"/>
  <c r="Y195" i="52"/>
  <c r="Y194" i="52"/>
  <c r="Y193" i="52"/>
  <c r="Y192" i="52"/>
  <c r="Y191" i="52"/>
  <c r="Y190" i="52"/>
  <c r="Y189" i="52"/>
  <c r="Y188" i="52"/>
  <c r="Y187" i="52"/>
  <c r="Y186" i="52"/>
  <c r="Y185" i="52"/>
  <c r="Y184" i="52"/>
  <c r="Y183" i="52"/>
  <c r="Y182" i="52"/>
  <c r="Y181" i="52"/>
  <c r="Y180" i="52"/>
  <c r="Y179" i="52"/>
  <c r="Y178" i="52"/>
  <c r="Y177" i="52"/>
  <c r="Y176" i="52"/>
  <c r="Y175" i="52"/>
  <c r="Y174" i="52"/>
  <c r="Y173" i="52"/>
  <c r="Y172" i="52"/>
  <c r="Y171" i="52"/>
  <c r="Y170" i="52"/>
  <c r="Y169" i="52"/>
  <c r="Y168" i="52"/>
  <c r="Y167" i="52"/>
  <c r="Y166" i="52"/>
  <c r="Y165" i="52"/>
  <c r="Y164" i="52"/>
  <c r="Y163" i="52"/>
  <c r="Y162" i="52"/>
  <c r="Y161" i="52"/>
  <c r="Y160" i="52"/>
  <c r="Y159" i="52"/>
  <c r="Y158" i="52"/>
  <c r="Y157" i="52"/>
  <c r="Y156" i="52"/>
  <c r="Y155" i="52"/>
  <c r="Y154" i="52"/>
  <c r="Y153" i="52"/>
  <c r="Y152" i="52"/>
  <c r="Y151" i="52"/>
  <c r="Y150" i="52"/>
  <c r="Y149" i="52"/>
  <c r="Y148" i="52"/>
  <c r="Y147" i="52"/>
  <c r="Y146" i="52"/>
  <c r="Y145" i="52"/>
  <c r="Y144" i="52"/>
  <c r="Y143" i="52"/>
  <c r="Y142" i="52"/>
  <c r="Y141" i="52"/>
  <c r="Y140" i="52"/>
  <c r="Y139" i="52"/>
  <c r="Y138" i="52"/>
  <c r="Y137" i="52"/>
  <c r="Y136" i="52"/>
  <c r="Y135" i="52"/>
  <c r="Y134" i="52"/>
  <c r="Y133" i="52"/>
  <c r="Y132" i="52"/>
  <c r="Y131" i="52"/>
  <c r="Y130" i="52"/>
  <c r="Y129" i="52"/>
  <c r="Y128" i="52"/>
  <c r="Y127" i="52"/>
  <c r="Y126" i="52"/>
  <c r="Y125" i="52"/>
  <c r="Y124" i="52"/>
  <c r="Y123" i="52"/>
  <c r="Y122" i="52"/>
  <c r="Y121" i="52"/>
  <c r="Y120" i="52"/>
  <c r="Y119" i="52"/>
  <c r="Y118" i="52"/>
  <c r="Y117" i="52"/>
  <c r="Y116" i="52"/>
  <c r="Y115" i="52"/>
  <c r="Y114" i="52"/>
  <c r="Y113" i="52"/>
  <c r="Y112" i="52"/>
  <c r="Y111" i="52"/>
  <c r="Y110" i="52"/>
  <c r="Y109" i="52"/>
  <c r="Y108" i="52"/>
  <c r="Y107" i="52"/>
  <c r="Y106" i="52"/>
  <c r="Y105" i="52"/>
  <c r="Y104" i="52"/>
  <c r="Y103" i="52"/>
  <c r="Y102" i="52"/>
  <c r="Y101" i="52"/>
  <c r="Y100" i="52"/>
  <c r="Y99" i="52"/>
  <c r="Y98" i="52"/>
  <c r="Y97" i="52"/>
  <c r="Y96" i="52"/>
  <c r="Y95" i="52"/>
  <c r="Y94" i="52"/>
  <c r="Y93" i="52"/>
  <c r="Y92" i="52"/>
  <c r="Y91" i="52"/>
  <c r="Y90" i="52"/>
  <c r="Y89" i="52"/>
  <c r="Y88" i="52"/>
  <c r="Y87" i="52"/>
  <c r="Y86" i="52"/>
  <c r="Y85" i="52"/>
  <c r="Y84" i="52"/>
  <c r="Y83" i="52"/>
  <c r="Y82" i="52"/>
  <c r="Y81" i="52"/>
  <c r="Y80" i="52"/>
  <c r="Y79" i="52"/>
  <c r="Y78" i="52"/>
  <c r="Y77" i="52"/>
  <c r="Y76" i="52"/>
  <c r="Y75" i="52"/>
  <c r="Y74" i="52"/>
  <c r="Y73" i="52"/>
  <c r="Y72" i="52"/>
  <c r="Y71" i="52"/>
  <c r="Y70" i="52"/>
  <c r="Y69" i="52"/>
  <c r="Y68" i="52"/>
  <c r="Y67" i="52"/>
  <c r="Y66" i="52"/>
  <c r="Y65" i="52"/>
  <c r="Y64" i="52"/>
  <c r="Y63" i="52"/>
  <c r="Y62" i="52"/>
  <c r="Y61" i="52"/>
  <c r="Y60" i="52"/>
  <c r="Y59" i="52"/>
  <c r="Y58" i="52"/>
  <c r="Y57" i="52"/>
  <c r="Y56" i="52"/>
  <c r="Y55" i="52"/>
  <c r="Y54" i="52"/>
  <c r="Y53" i="52"/>
  <c r="Y52" i="52"/>
  <c r="Y51" i="52"/>
  <c r="Y50" i="52"/>
  <c r="Y49" i="52"/>
  <c r="Y48" i="52"/>
  <c r="Y47" i="52"/>
  <c r="Y46" i="52"/>
  <c r="Y45" i="52"/>
  <c r="Y44" i="52"/>
  <c r="Y43" i="52"/>
  <c r="Y42" i="52"/>
  <c r="Y41" i="52"/>
  <c r="Y40" i="52"/>
  <c r="Y39" i="52"/>
  <c r="Y38" i="52"/>
  <c r="Y37" i="52"/>
  <c r="Y36" i="52"/>
  <c r="Y35" i="52"/>
  <c r="Y34" i="52"/>
  <c r="Y33" i="52"/>
  <c r="Y32" i="52"/>
  <c r="Y31" i="52"/>
  <c r="Y30" i="52"/>
  <c r="Y29" i="52"/>
  <c r="Y28" i="52"/>
  <c r="Y27" i="52"/>
  <c r="Y26" i="52"/>
  <c r="Y25" i="52"/>
  <c r="Y24" i="52"/>
  <c r="Y23" i="52"/>
  <c r="Y22" i="52"/>
  <c r="Y21" i="52"/>
  <c r="Y20" i="52"/>
  <c r="Y19" i="52"/>
  <c r="Y18" i="52"/>
  <c r="Y17" i="52"/>
  <c r="Y16" i="52"/>
  <c r="Y15" i="52"/>
  <c r="Y14" i="52"/>
  <c r="Y13" i="52"/>
  <c r="Y12" i="52"/>
  <c r="Y11" i="52"/>
  <c r="Y10" i="52"/>
  <c r="Y9" i="52"/>
  <c r="Y8" i="52"/>
  <c r="Y7" i="52"/>
  <c r="Y6" i="52"/>
  <c r="Y5" i="52"/>
  <c r="Y4" i="52"/>
  <c r="Y3" i="52"/>
  <c r="Y2" i="52"/>
  <c r="AE699" i="52"/>
  <c r="AA699" i="52" s="1"/>
  <c r="AE698" i="52"/>
  <c r="AA698" i="52" s="1"/>
  <c r="AE697" i="52"/>
  <c r="AA697" i="52" s="1"/>
  <c r="AE696" i="52"/>
  <c r="AA696" i="52" s="1"/>
  <c r="AE695" i="52"/>
  <c r="AA695" i="52" s="1"/>
  <c r="AE694" i="52"/>
  <c r="AA694" i="52" s="1"/>
  <c r="AE693" i="52"/>
  <c r="AA693" i="52" s="1"/>
  <c r="AE692" i="52"/>
  <c r="AA692" i="52" s="1"/>
  <c r="AE691" i="52"/>
  <c r="AA691" i="52" s="1"/>
  <c r="AE690" i="52"/>
  <c r="AA690" i="52" s="1"/>
  <c r="AE689" i="52"/>
  <c r="AA689" i="52" s="1"/>
  <c r="AE688" i="52"/>
  <c r="AA688" i="52" s="1"/>
  <c r="AE687" i="52"/>
  <c r="AA687" i="52" s="1"/>
  <c r="AE686" i="52"/>
  <c r="AA686" i="52" s="1"/>
  <c r="AE685" i="52"/>
  <c r="AA685" i="52" s="1"/>
  <c r="AE684" i="52"/>
  <c r="AA684" i="52" s="1"/>
  <c r="AE683" i="52"/>
  <c r="AA683" i="52" s="1"/>
  <c r="AE682" i="52"/>
  <c r="AA682" i="52" s="1"/>
  <c r="AE681" i="52"/>
  <c r="AA681" i="52" s="1"/>
  <c r="AE680" i="52"/>
  <c r="AA680" i="52" s="1"/>
  <c r="AE679" i="52"/>
  <c r="AA679" i="52" s="1"/>
  <c r="AE678" i="52"/>
  <c r="AA678" i="52" s="1"/>
  <c r="AE677" i="52"/>
  <c r="AA677" i="52" s="1"/>
  <c r="AE676" i="52"/>
  <c r="AA676" i="52" s="1"/>
  <c r="AE675" i="52"/>
  <c r="AA675" i="52" s="1"/>
  <c r="AE674" i="52"/>
  <c r="AA674" i="52" s="1"/>
  <c r="AE673" i="52"/>
  <c r="AA673" i="52" s="1"/>
  <c r="AE672" i="52"/>
  <c r="AA672" i="52" s="1"/>
  <c r="AE671" i="52"/>
  <c r="AA671" i="52" s="1"/>
  <c r="AE670" i="52"/>
  <c r="AA670" i="52" s="1"/>
  <c r="AE669" i="52"/>
  <c r="AA669" i="52" s="1"/>
  <c r="AE668" i="52"/>
  <c r="AA668" i="52" s="1"/>
  <c r="AE667" i="52"/>
  <c r="AA667" i="52" s="1"/>
  <c r="AE666" i="52"/>
  <c r="AA666" i="52" s="1"/>
  <c r="AE665" i="52"/>
  <c r="AA665" i="52" s="1"/>
  <c r="AE664" i="52"/>
  <c r="AA664" i="52" s="1"/>
  <c r="AE663" i="52"/>
  <c r="AA663" i="52" s="1"/>
  <c r="AE662" i="52"/>
  <c r="AA662" i="52" s="1"/>
  <c r="AE661" i="52"/>
  <c r="AA661" i="52" s="1"/>
  <c r="AE660" i="52"/>
  <c r="AA660" i="52" s="1"/>
  <c r="AE659" i="52"/>
  <c r="AA659" i="52" s="1"/>
  <c r="AE658" i="52"/>
  <c r="AA658" i="52" s="1"/>
  <c r="AE657" i="52"/>
  <c r="AA657" i="52" s="1"/>
  <c r="AE656" i="52"/>
  <c r="AA656" i="52" s="1"/>
  <c r="AE655" i="52"/>
  <c r="AA655" i="52" s="1"/>
  <c r="AE654" i="52"/>
  <c r="AA654" i="52" s="1"/>
  <c r="AE653" i="52"/>
  <c r="AA653" i="52" s="1"/>
  <c r="AE652" i="52"/>
  <c r="AA652" i="52" s="1"/>
  <c r="AE651" i="52"/>
  <c r="AA651" i="52" s="1"/>
  <c r="AE650" i="52"/>
  <c r="AA650" i="52" s="1"/>
  <c r="AE649" i="52"/>
  <c r="AA649" i="52" s="1"/>
  <c r="AE648" i="52"/>
  <c r="AA648" i="52" s="1"/>
  <c r="AE647" i="52"/>
  <c r="AA647" i="52" s="1"/>
  <c r="AE646" i="52"/>
  <c r="AA646" i="52" s="1"/>
  <c r="AE645" i="52"/>
  <c r="AA645" i="52" s="1"/>
  <c r="AE644" i="52"/>
  <c r="AA644" i="52" s="1"/>
  <c r="AE643" i="52"/>
  <c r="AA643" i="52" s="1"/>
  <c r="AE642" i="52"/>
  <c r="AA642" i="52" s="1"/>
  <c r="AE641" i="52"/>
  <c r="AA641" i="52" s="1"/>
  <c r="AE640" i="52"/>
  <c r="AA640" i="52" s="1"/>
  <c r="AE639" i="52"/>
  <c r="AA639" i="52" s="1"/>
  <c r="AE638" i="52"/>
  <c r="AA638" i="52" s="1"/>
  <c r="AE637" i="52"/>
  <c r="AA637" i="52" s="1"/>
  <c r="AE636" i="52"/>
  <c r="AA636" i="52" s="1"/>
  <c r="AE635" i="52"/>
  <c r="AA635" i="52" s="1"/>
  <c r="AE634" i="52"/>
  <c r="AA634" i="52" s="1"/>
  <c r="AE633" i="52"/>
  <c r="AA633" i="52" s="1"/>
  <c r="AE632" i="52"/>
  <c r="AA632" i="52" s="1"/>
  <c r="AE631" i="52"/>
  <c r="AA631" i="52" s="1"/>
  <c r="AE630" i="52"/>
  <c r="AA630" i="52" s="1"/>
  <c r="AE629" i="52"/>
  <c r="AA629" i="52" s="1"/>
  <c r="AE628" i="52"/>
  <c r="AA628" i="52" s="1"/>
  <c r="AE627" i="52"/>
  <c r="AA627" i="52" s="1"/>
  <c r="AE626" i="52"/>
  <c r="AA626" i="52" s="1"/>
  <c r="AE625" i="52"/>
  <c r="AA625" i="52" s="1"/>
  <c r="AE624" i="52"/>
  <c r="AA624" i="52" s="1"/>
  <c r="AE623" i="52"/>
  <c r="AA623" i="52" s="1"/>
  <c r="AE622" i="52"/>
  <c r="AA622" i="52" s="1"/>
  <c r="AE621" i="52"/>
  <c r="AA621" i="52" s="1"/>
  <c r="AE620" i="52"/>
  <c r="AA620" i="52" s="1"/>
  <c r="AE619" i="52"/>
  <c r="AA619" i="52" s="1"/>
  <c r="AE618" i="52"/>
  <c r="AA618" i="52" s="1"/>
  <c r="AE617" i="52"/>
  <c r="AA617" i="52" s="1"/>
  <c r="AE616" i="52"/>
  <c r="AA616" i="52" s="1"/>
  <c r="AE615" i="52"/>
  <c r="AA615" i="52" s="1"/>
  <c r="AE614" i="52"/>
  <c r="AA614" i="52" s="1"/>
  <c r="AE613" i="52"/>
  <c r="AA613" i="52" s="1"/>
  <c r="AE612" i="52"/>
  <c r="AA612" i="52" s="1"/>
  <c r="AE611" i="52"/>
  <c r="AA611" i="52" s="1"/>
  <c r="AE610" i="52"/>
  <c r="AA610" i="52" s="1"/>
  <c r="AE609" i="52"/>
  <c r="AA609" i="52" s="1"/>
  <c r="AE608" i="52"/>
  <c r="AA608" i="52" s="1"/>
  <c r="AE607" i="52"/>
  <c r="AA607" i="52" s="1"/>
  <c r="AE606" i="52"/>
  <c r="AA606" i="52" s="1"/>
  <c r="AE605" i="52"/>
  <c r="AA605" i="52" s="1"/>
  <c r="AE604" i="52"/>
  <c r="AA604" i="52" s="1"/>
  <c r="AE603" i="52"/>
  <c r="AA603" i="52" s="1"/>
  <c r="AE602" i="52"/>
  <c r="AA602" i="52" s="1"/>
  <c r="AE601" i="52"/>
  <c r="AA601" i="52" s="1"/>
  <c r="AE600" i="52"/>
  <c r="AA600" i="52" s="1"/>
  <c r="AE599" i="52"/>
  <c r="AA599" i="52" s="1"/>
  <c r="AE598" i="52"/>
  <c r="AA598" i="52" s="1"/>
  <c r="AE597" i="52"/>
  <c r="AA597" i="52" s="1"/>
  <c r="AE596" i="52"/>
  <c r="AA596" i="52" s="1"/>
  <c r="AE595" i="52"/>
  <c r="AA595" i="52" s="1"/>
  <c r="AE594" i="52"/>
  <c r="AA594" i="52" s="1"/>
  <c r="AE593" i="52"/>
  <c r="AA593" i="52" s="1"/>
  <c r="AE592" i="52"/>
  <c r="AA592" i="52" s="1"/>
  <c r="AE591" i="52"/>
  <c r="AA591" i="52" s="1"/>
  <c r="AE590" i="52"/>
  <c r="AA590" i="52" s="1"/>
  <c r="AE589" i="52"/>
  <c r="AA589" i="52" s="1"/>
  <c r="AE588" i="52"/>
  <c r="AA588" i="52" s="1"/>
  <c r="AE587" i="52"/>
  <c r="AA587" i="52" s="1"/>
  <c r="AE586" i="52"/>
  <c r="AA586" i="52" s="1"/>
  <c r="AE585" i="52"/>
  <c r="AA585" i="52" s="1"/>
  <c r="AE584" i="52"/>
  <c r="AA584" i="52" s="1"/>
  <c r="AE583" i="52"/>
  <c r="AA583" i="52" s="1"/>
  <c r="AE582" i="52"/>
  <c r="AA582" i="52" s="1"/>
  <c r="AE581" i="52"/>
  <c r="AA581" i="52" s="1"/>
  <c r="AE580" i="52"/>
  <c r="AA580" i="52" s="1"/>
  <c r="AE579" i="52"/>
  <c r="AA579" i="52" s="1"/>
  <c r="AE578" i="52"/>
  <c r="AA578" i="52" s="1"/>
  <c r="AE577" i="52"/>
  <c r="AA577" i="52" s="1"/>
  <c r="AE576" i="52"/>
  <c r="AA576" i="52" s="1"/>
  <c r="AE575" i="52"/>
  <c r="AA575" i="52" s="1"/>
  <c r="AE574" i="52"/>
  <c r="AA574" i="52" s="1"/>
  <c r="AE573" i="52"/>
  <c r="AA573" i="52" s="1"/>
  <c r="AE572" i="52"/>
  <c r="AA572" i="52" s="1"/>
  <c r="AE571" i="52"/>
  <c r="AA571" i="52" s="1"/>
  <c r="AE570" i="52"/>
  <c r="AA570" i="52" s="1"/>
  <c r="AE569" i="52"/>
  <c r="AA569" i="52" s="1"/>
  <c r="AE568" i="52"/>
  <c r="AA568" i="52" s="1"/>
  <c r="AE567" i="52"/>
  <c r="AA567" i="52" s="1"/>
  <c r="AE566" i="52"/>
  <c r="AA566" i="52" s="1"/>
  <c r="AE565" i="52"/>
  <c r="AA565" i="52" s="1"/>
  <c r="AE564" i="52"/>
  <c r="AA564" i="52" s="1"/>
  <c r="AE563" i="52"/>
  <c r="AA563" i="52" s="1"/>
  <c r="AE562" i="52"/>
  <c r="AA562" i="52" s="1"/>
  <c r="AE561" i="52"/>
  <c r="AA561" i="52" s="1"/>
  <c r="AE560" i="52"/>
  <c r="AA560" i="52" s="1"/>
  <c r="AE559" i="52"/>
  <c r="AA559" i="52" s="1"/>
  <c r="AE558" i="52"/>
  <c r="AA558" i="52" s="1"/>
  <c r="AE557" i="52"/>
  <c r="AA557" i="52" s="1"/>
  <c r="AE556" i="52"/>
  <c r="AA556" i="52" s="1"/>
  <c r="AE555" i="52"/>
  <c r="AA555" i="52" s="1"/>
  <c r="AE554" i="52"/>
  <c r="AA554" i="52" s="1"/>
  <c r="AE553" i="52"/>
  <c r="AA553" i="52" s="1"/>
  <c r="AE552" i="52"/>
  <c r="AA552" i="52" s="1"/>
  <c r="AE551" i="52"/>
  <c r="AA551" i="52" s="1"/>
  <c r="AE550" i="52"/>
  <c r="AA550" i="52" s="1"/>
  <c r="AE549" i="52"/>
  <c r="AA549" i="52" s="1"/>
  <c r="AE548" i="52"/>
  <c r="AA548" i="52" s="1"/>
  <c r="AE547" i="52"/>
  <c r="AA547" i="52" s="1"/>
  <c r="AE546" i="52"/>
  <c r="AA546" i="52" s="1"/>
  <c r="AE545" i="52"/>
  <c r="AA545" i="52" s="1"/>
  <c r="AE544" i="52"/>
  <c r="AA544" i="52" s="1"/>
  <c r="AE543" i="52"/>
  <c r="AA543" i="52" s="1"/>
  <c r="AE542" i="52"/>
  <c r="AA542" i="52" s="1"/>
  <c r="AE541" i="52"/>
  <c r="AA541" i="52" s="1"/>
  <c r="AE540" i="52"/>
  <c r="AA540" i="52" s="1"/>
  <c r="AE539" i="52"/>
  <c r="AA539" i="52" s="1"/>
  <c r="AE538" i="52"/>
  <c r="AA538" i="52" s="1"/>
  <c r="AE537" i="52"/>
  <c r="AA537" i="52" s="1"/>
  <c r="AE536" i="52"/>
  <c r="AA536" i="52" s="1"/>
  <c r="AE535" i="52"/>
  <c r="AA535" i="52" s="1"/>
  <c r="AE534" i="52"/>
  <c r="AA534" i="52" s="1"/>
  <c r="AE533" i="52"/>
  <c r="AA533" i="52" s="1"/>
  <c r="AE532" i="52"/>
  <c r="AA532" i="52" s="1"/>
  <c r="AE531" i="52"/>
  <c r="AA531" i="52" s="1"/>
  <c r="AE530" i="52"/>
  <c r="AA530" i="52" s="1"/>
  <c r="AE529" i="52"/>
  <c r="AA529" i="52" s="1"/>
  <c r="AE528" i="52"/>
  <c r="AA528" i="52" s="1"/>
  <c r="AE527" i="52"/>
  <c r="AA527" i="52" s="1"/>
  <c r="AE526" i="52"/>
  <c r="AA526" i="52" s="1"/>
  <c r="AE525" i="52"/>
  <c r="AA525" i="52" s="1"/>
  <c r="AE524" i="52"/>
  <c r="AA524" i="52" s="1"/>
  <c r="AE523" i="52"/>
  <c r="AA523" i="52" s="1"/>
  <c r="AE522" i="52"/>
  <c r="AA522" i="52" s="1"/>
  <c r="AE521" i="52"/>
  <c r="AA521" i="52" s="1"/>
  <c r="AE520" i="52"/>
  <c r="AA520" i="52" s="1"/>
  <c r="AE519" i="52"/>
  <c r="AA519" i="52" s="1"/>
  <c r="AE518" i="52"/>
  <c r="AA518" i="52" s="1"/>
  <c r="AE517" i="52"/>
  <c r="AA517" i="52" s="1"/>
  <c r="AE516" i="52"/>
  <c r="AA516" i="52" s="1"/>
  <c r="AE515" i="52"/>
  <c r="AA515" i="52" s="1"/>
  <c r="AE514" i="52"/>
  <c r="AA514" i="52" s="1"/>
  <c r="AE513" i="52"/>
  <c r="AA513" i="52" s="1"/>
  <c r="AE512" i="52"/>
  <c r="AA512" i="52" s="1"/>
  <c r="AE511" i="52"/>
  <c r="AA511" i="52" s="1"/>
  <c r="AE510" i="52"/>
  <c r="AA510" i="52" s="1"/>
  <c r="AE509" i="52"/>
  <c r="AA509" i="52" s="1"/>
  <c r="AE508" i="52"/>
  <c r="AA508" i="52" s="1"/>
  <c r="AE507" i="52"/>
  <c r="AA507" i="52" s="1"/>
  <c r="AE506" i="52"/>
  <c r="AA506" i="52" s="1"/>
  <c r="AE505" i="52"/>
  <c r="AA505" i="52" s="1"/>
  <c r="AE504" i="52"/>
  <c r="AA504" i="52" s="1"/>
  <c r="AE503" i="52"/>
  <c r="AA503" i="52" s="1"/>
  <c r="AE502" i="52"/>
  <c r="AA502" i="52" s="1"/>
  <c r="AE501" i="52"/>
  <c r="AA501" i="52" s="1"/>
  <c r="AE500" i="52"/>
  <c r="AA500" i="52" s="1"/>
  <c r="AE499" i="52"/>
  <c r="AA499" i="52" s="1"/>
  <c r="AE498" i="52"/>
  <c r="AA498" i="52" s="1"/>
  <c r="AE497" i="52"/>
  <c r="AA497" i="52" s="1"/>
  <c r="AE496" i="52"/>
  <c r="AA496" i="52" s="1"/>
  <c r="AE495" i="52"/>
  <c r="AA495" i="52" s="1"/>
  <c r="AE494" i="52"/>
  <c r="AA494" i="52" s="1"/>
  <c r="AE493" i="52"/>
  <c r="AA493" i="52" s="1"/>
  <c r="AE492" i="52"/>
  <c r="AA492" i="52" s="1"/>
  <c r="AE491" i="52"/>
  <c r="AA491" i="52" s="1"/>
  <c r="AE490" i="52"/>
  <c r="AA490" i="52" s="1"/>
  <c r="AE489" i="52"/>
  <c r="AA489" i="52" s="1"/>
  <c r="AE488" i="52"/>
  <c r="AA488" i="52" s="1"/>
  <c r="AE487" i="52"/>
  <c r="AA487" i="52" s="1"/>
  <c r="AE486" i="52"/>
  <c r="AA486" i="52" s="1"/>
  <c r="AE485" i="52"/>
  <c r="AA485" i="52" s="1"/>
  <c r="AE484" i="52"/>
  <c r="AA484" i="52" s="1"/>
  <c r="AE483" i="52"/>
  <c r="AA483" i="52" s="1"/>
  <c r="AE482" i="52"/>
  <c r="AA482" i="52" s="1"/>
  <c r="AE481" i="52"/>
  <c r="AA481" i="52" s="1"/>
  <c r="AE480" i="52"/>
  <c r="AA480" i="52" s="1"/>
  <c r="AE479" i="52"/>
  <c r="AA479" i="52" s="1"/>
  <c r="AE478" i="52"/>
  <c r="AA478" i="52" s="1"/>
  <c r="AE477" i="52"/>
  <c r="AA477" i="52" s="1"/>
  <c r="AE476" i="52"/>
  <c r="AA476" i="52" s="1"/>
  <c r="AE475" i="52"/>
  <c r="AA475" i="52" s="1"/>
  <c r="AE474" i="52"/>
  <c r="AA474" i="52" s="1"/>
  <c r="AE473" i="52"/>
  <c r="AA473" i="52" s="1"/>
  <c r="AE472" i="52"/>
  <c r="AA472" i="52" s="1"/>
  <c r="AE471" i="52"/>
  <c r="AA471" i="52" s="1"/>
  <c r="AE470" i="52"/>
  <c r="AA470" i="52" s="1"/>
  <c r="AE469" i="52"/>
  <c r="AA469" i="52" s="1"/>
  <c r="AE468" i="52"/>
  <c r="AA468" i="52" s="1"/>
  <c r="AE467" i="52"/>
  <c r="AA467" i="52" s="1"/>
  <c r="AE466" i="52"/>
  <c r="AA466" i="52" s="1"/>
  <c r="AE465" i="52"/>
  <c r="AA465" i="52" s="1"/>
  <c r="AE464" i="52"/>
  <c r="AA464" i="52" s="1"/>
  <c r="AE463" i="52"/>
  <c r="AA463" i="52" s="1"/>
  <c r="AE462" i="52"/>
  <c r="AA462" i="52" s="1"/>
  <c r="AE461" i="52"/>
  <c r="AA461" i="52" s="1"/>
  <c r="AE460" i="52"/>
  <c r="AA460" i="52" s="1"/>
  <c r="AE459" i="52"/>
  <c r="AA459" i="52" s="1"/>
  <c r="AE458" i="52"/>
  <c r="AA458" i="52" s="1"/>
  <c r="AE457" i="52"/>
  <c r="AA457" i="52" s="1"/>
  <c r="AE456" i="52"/>
  <c r="AA456" i="52" s="1"/>
  <c r="AE455" i="52"/>
  <c r="AA455" i="52" s="1"/>
  <c r="AE454" i="52"/>
  <c r="AA454" i="52" s="1"/>
  <c r="AE453" i="52"/>
  <c r="AA453" i="52" s="1"/>
  <c r="AE452" i="52"/>
  <c r="AA452" i="52" s="1"/>
  <c r="AE451" i="52"/>
  <c r="AA451" i="52" s="1"/>
  <c r="AE450" i="52"/>
  <c r="AA450" i="52" s="1"/>
  <c r="AE449" i="52"/>
  <c r="AA449" i="52" s="1"/>
  <c r="AE448" i="52"/>
  <c r="AA448" i="52" s="1"/>
  <c r="AE447" i="52"/>
  <c r="AA447" i="52" s="1"/>
  <c r="AE446" i="52"/>
  <c r="AA446" i="52" s="1"/>
  <c r="AE445" i="52"/>
  <c r="AA445" i="52" s="1"/>
  <c r="AE444" i="52"/>
  <c r="AA444" i="52" s="1"/>
  <c r="AE443" i="52"/>
  <c r="AA443" i="52" s="1"/>
  <c r="AE442" i="52"/>
  <c r="AA442" i="52" s="1"/>
  <c r="AE441" i="52"/>
  <c r="AA441" i="52" s="1"/>
  <c r="AE440" i="52"/>
  <c r="AA440" i="52" s="1"/>
  <c r="AE439" i="52"/>
  <c r="AA439" i="52" s="1"/>
  <c r="AE438" i="52"/>
  <c r="AA438" i="52" s="1"/>
  <c r="AE437" i="52"/>
  <c r="AA437" i="52" s="1"/>
  <c r="AE436" i="52"/>
  <c r="AA436" i="52" s="1"/>
  <c r="AE435" i="52"/>
  <c r="AA435" i="52" s="1"/>
  <c r="AE434" i="52"/>
  <c r="AA434" i="52" s="1"/>
  <c r="AE433" i="52"/>
  <c r="AA433" i="52" s="1"/>
  <c r="AE432" i="52"/>
  <c r="AA432" i="52" s="1"/>
  <c r="AE431" i="52"/>
  <c r="AA431" i="52" s="1"/>
  <c r="AE430" i="52"/>
  <c r="AA430" i="52" s="1"/>
  <c r="AE429" i="52"/>
  <c r="AA429" i="52" s="1"/>
  <c r="AE428" i="52"/>
  <c r="AA428" i="52" s="1"/>
  <c r="AE427" i="52"/>
  <c r="AA427" i="52" s="1"/>
  <c r="AE426" i="52"/>
  <c r="AA426" i="52" s="1"/>
  <c r="AE425" i="52"/>
  <c r="AA425" i="52" s="1"/>
  <c r="AE424" i="52"/>
  <c r="AA424" i="52" s="1"/>
  <c r="AE423" i="52"/>
  <c r="AA423" i="52" s="1"/>
  <c r="AE422" i="52"/>
  <c r="AA422" i="52" s="1"/>
  <c r="AE421" i="52"/>
  <c r="AA421" i="52" s="1"/>
  <c r="AE420" i="52"/>
  <c r="AA420" i="52" s="1"/>
  <c r="AE419" i="52"/>
  <c r="AA419" i="52" s="1"/>
  <c r="AE418" i="52"/>
  <c r="AA418" i="52" s="1"/>
  <c r="AE417" i="52"/>
  <c r="AA417" i="52" s="1"/>
  <c r="AE416" i="52"/>
  <c r="AA416" i="52" s="1"/>
  <c r="AE415" i="52"/>
  <c r="AA415" i="52" s="1"/>
  <c r="AE414" i="52"/>
  <c r="AA414" i="52" s="1"/>
  <c r="AE413" i="52"/>
  <c r="AA413" i="52" s="1"/>
  <c r="AE412" i="52"/>
  <c r="AA412" i="52" s="1"/>
  <c r="AE411" i="52"/>
  <c r="AA411" i="52" s="1"/>
  <c r="AE410" i="52"/>
  <c r="AA410" i="52" s="1"/>
  <c r="AE409" i="52"/>
  <c r="AA409" i="52" s="1"/>
  <c r="AE408" i="52"/>
  <c r="AA408" i="52" s="1"/>
  <c r="AE407" i="52"/>
  <c r="AA407" i="52" s="1"/>
  <c r="AE406" i="52"/>
  <c r="AA406" i="52" s="1"/>
  <c r="AE405" i="52"/>
  <c r="AA405" i="52" s="1"/>
  <c r="AE404" i="52"/>
  <c r="AA404" i="52" s="1"/>
  <c r="AE403" i="52"/>
  <c r="AA403" i="52" s="1"/>
  <c r="AE402" i="52"/>
  <c r="AA402" i="52" s="1"/>
  <c r="AE401" i="52"/>
  <c r="AA401" i="52" s="1"/>
  <c r="AE400" i="52"/>
  <c r="AA400" i="52" s="1"/>
  <c r="AE399" i="52"/>
  <c r="AA399" i="52" s="1"/>
  <c r="AE398" i="52"/>
  <c r="AA398" i="52" s="1"/>
  <c r="AE397" i="52"/>
  <c r="AA397" i="52" s="1"/>
  <c r="AE396" i="52"/>
  <c r="AA396" i="52" s="1"/>
  <c r="AE395" i="52"/>
  <c r="AA395" i="52" s="1"/>
  <c r="AE394" i="52"/>
  <c r="AA394" i="52" s="1"/>
  <c r="AE393" i="52"/>
  <c r="AA393" i="52" s="1"/>
  <c r="AE392" i="52"/>
  <c r="AA392" i="52" s="1"/>
  <c r="AE391" i="52"/>
  <c r="AA391" i="52" s="1"/>
  <c r="AE390" i="52"/>
  <c r="AA390" i="52" s="1"/>
  <c r="AE389" i="52"/>
  <c r="AA389" i="52" s="1"/>
  <c r="AE388" i="52"/>
  <c r="AA388" i="52" s="1"/>
  <c r="AE387" i="52"/>
  <c r="AA387" i="52" s="1"/>
  <c r="AE386" i="52"/>
  <c r="AA386" i="52" s="1"/>
  <c r="AE385" i="52"/>
  <c r="AA385" i="52" s="1"/>
  <c r="AE384" i="52"/>
  <c r="AA384" i="52" s="1"/>
  <c r="AE383" i="52"/>
  <c r="AA383" i="52" s="1"/>
  <c r="AE382" i="52"/>
  <c r="AA382" i="52" s="1"/>
  <c r="AE381" i="52"/>
  <c r="AA381" i="52" s="1"/>
  <c r="AE380" i="52"/>
  <c r="AA380" i="52" s="1"/>
  <c r="AE379" i="52"/>
  <c r="AA379" i="52" s="1"/>
  <c r="AE378" i="52"/>
  <c r="AA378" i="52" s="1"/>
  <c r="AE377" i="52"/>
  <c r="AA377" i="52" s="1"/>
  <c r="AE376" i="52"/>
  <c r="AA376" i="52" s="1"/>
  <c r="AE375" i="52"/>
  <c r="AA375" i="52" s="1"/>
  <c r="AE374" i="52"/>
  <c r="AA374" i="52" s="1"/>
  <c r="AE373" i="52"/>
  <c r="AA373" i="52" s="1"/>
  <c r="AE372" i="52"/>
  <c r="AA372" i="52" s="1"/>
  <c r="AE371" i="52"/>
  <c r="AA371" i="52" s="1"/>
  <c r="AE370" i="52"/>
  <c r="AA370" i="52" s="1"/>
  <c r="AE369" i="52"/>
  <c r="AA369" i="52" s="1"/>
  <c r="AE368" i="52"/>
  <c r="AA368" i="52" s="1"/>
  <c r="AE367" i="52"/>
  <c r="AA367" i="52" s="1"/>
  <c r="AE366" i="52"/>
  <c r="AA366" i="52" s="1"/>
  <c r="AE365" i="52"/>
  <c r="AA365" i="52" s="1"/>
  <c r="AE364" i="52"/>
  <c r="AA364" i="52" s="1"/>
  <c r="AE363" i="52"/>
  <c r="AA363" i="52" s="1"/>
  <c r="AE362" i="52"/>
  <c r="AA362" i="52" s="1"/>
  <c r="AE361" i="52"/>
  <c r="AA361" i="52" s="1"/>
  <c r="AE360" i="52"/>
  <c r="AA360" i="52" s="1"/>
  <c r="AE359" i="52"/>
  <c r="AA359" i="52" s="1"/>
  <c r="AE358" i="52"/>
  <c r="AA358" i="52" s="1"/>
  <c r="AE357" i="52"/>
  <c r="AA357" i="52" s="1"/>
  <c r="AE356" i="52"/>
  <c r="AA356" i="52" s="1"/>
  <c r="AE355" i="52"/>
  <c r="AA355" i="52" s="1"/>
  <c r="AE354" i="52"/>
  <c r="AA354" i="52" s="1"/>
  <c r="AE353" i="52"/>
  <c r="AA353" i="52" s="1"/>
  <c r="AE352" i="52"/>
  <c r="AA352" i="52" s="1"/>
  <c r="AE351" i="52"/>
  <c r="AA351" i="52" s="1"/>
  <c r="AE350" i="52"/>
  <c r="AA350" i="52" s="1"/>
  <c r="AE349" i="52"/>
  <c r="AA349" i="52" s="1"/>
  <c r="AE348" i="52"/>
  <c r="AA348" i="52" s="1"/>
  <c r="AE347" i="52"/>
  <c r="AA347" i="52" s="1"/>
  <c r="AE346" i="52"/>
  <c r="AA346" i="52" s="1"/>
  <c r="AE345" i="52"/>
  <c r="AA345" i="52" s="1"/>
  <c r="AE344" i="52"/>
  <c r="AA344" i="52" s="1"/>
  <c r="AE343" i="52"/>
  <c r="AA343" i="52" s="1"/>
  <c r="AE342" i="52"/>
  <c r="AA342" i="52" s="1"/>
  <c r="AE341" i="52"/>
  <c r="AA341" i="52" s="1"/>
  <c r="AE340" i="52"/>
  <c r="AA340" i="52" s="1"/>
  <c r="AE339" i="52"/>
  <c r="AA339" i="52" s="1"/>
  <c r="AE338" i="52"/>
  <c r="AA338" i="52" s="1"/>
  <c r="AE337" i="52"/>
  <c r="AA337" i="52" s="1"/>
  <c r="AE336" i="52"/>
  <c r="AA336" i="52" s="1"/>
  <c r="AE335" i="52"/>
  <c r="AA335" i="52" s="1"/>
  <c r="AE334" i="52"/>
  <c r="AA334" i="52" s="1"/>
  <c r="AE333" i="52"/>
  <c r="AA333" i="52" s="1"/>
  <c r="AE332" i="52"/>
  <c r="AA332" i="52" s="1"/>
  <c r="AE331" i="52"/>
  <c r="AA331" i="52" s="1"/>
  <c r="AE330" i="52"/>
  <c r="AA330" i="52" s="1"/>
  <c r="AE329" i="52"/>
  <c r="AA329" i="52" s="1"/>
  <c r="AE328" i="52"/>
  <c r="AA328" i="52" s="1"/>
  <c r="AE327" i="52"/>
  <c r="AA327" i="52" s="1"/>
  <c r="AE326" i="52"/>
  <c r="AA326" i="52" s="1"/>
  <c r="AE325" i="52"/>
  <c r="AA325" i="52" s="1"/>
  <c r="AE324" i="52"/>
  <c r="AA324" i="52" s="1"/>
  <c r="AE323" i="52"/>
  <c r="AA323" i="52" s="1"/>
  <c r="AE322" i="52"/>
  <c r="AA322" i="52" s="1"/>
  <c r="AE321" i="52"/>
  <c r="AA321" i="52" s="1"/>
  <c r="AE320" i="52"/>
  <c r="AA320" i="52" s="1"/>
  <c r="AE319" i="52"/>
  <c r="AA319" i="52" s="1"/>
  <c r="AE318" i="52"/>
  <c r="AA318" i="52" s="1"/>
  <c r="AE317" i="52"/>
  <c r="AA317" i="52" s="1"/>
  <c r="AE316" i="52"/>
  <c r="AA316" i="52" s="1"/>
  <c r="AE315" i="52"/>
  <c r="AA315" i="52" s="1"/>
  <c r="AE314" i="52"/>
  <c r="AA314" i="52" s="1"/>
  <c r="AE313" i="52"/>
  <c r="AA313" i="52" s="1"/>
  <c r="AE312" i="52"/>
  <c r="AA312" i="52" s="1"/>
  <c r="AE311" i="52"/>
  <c r="AA311" i="52" s="1"/>
  <c r="AE310" i="52"/>
  <c r="AA310" i="52" s="1"/>
  <c r="AE309" i="52"/>
  <c r="AA309" i="52" s="1"/>
  <c r="AE308" i="52"/>
  <c r="AA308" i="52" s="1"/>
  <c r="AE307" i="52"/>
  <c r="AA307" i="52" s="1"/>
  <c r="AE306" i="52"/>
  <c r="AA306" i="52" s="1"/>
  <c r="AE305" i="52"/>
  <c r="AA305" i="52" s="1"/>
  <c r="AE304" i="52"/>
  <c r="AA304" i="52" s="1"/>
  <c r="AE303" i="52"/>
  <c r="AA303" i="52" s="1"/>
  <c r="AE302" i="52"/>
  <c r="AA302" i="52" s="1"/>
  <c r="AE301" i="52"/>
  <c r="AA301" i="52" s="1"/>
  <c r="AE300" i="52"/>
  <c r="AA300" i="52" s="1"/>
  <c r="AE299" i="52"/>
  <c r="AA299" i="52" s="1"/>
  <c r="AE298" i="52"/>
  <c r="AA298" i="52" s="1"/>
  <c r="AE297" i="52"/>
  <c r="AA297" i="52" s="1"/>
  <c r="AE296" i="52"/>
  <c r="AA296" i="52" s="1"/>
  <c r="AE295" i="52"/>
  <c r="AA295" i="52" s="1"/>
  <c r="AE294" i="52"/>
  <c r="AA294" i="52" s="1"/>
  <c r="AE293" i="52"/>
  <c r="AA293" i="52" s="1"/>
  <c r="AE292" i="52"/>
  <c r="AA292" i="52" s="1"/>
  <c r="AE291" i="52"/>
  <c r="AA291" i="52" s="1"/>
  <c r="AE290" i="52"/>
  <c r="AA290" i="52" s="1"/>
  <c r="AE289" i="52"/>
  <c r="AA289" i="52" s="1"/>
  <c r="AE288" i="52"/>
  <c r="AA288" i="52" s="1"/>
  <c r="AE287" i="52"/>
  <c r="AA287" i="52" s="1"/>
  <c r="AE286" i="52"/>
  <c r="AA286" i="52" s="1"/>
  <c r="AE285" i="52"/>
  <c r="AA285" i="52" s="1"/>
  <c r="AE284" i="52"/>
  <c r="AA284" i="52" s="1"/>
  <c r="AE283" i="52"/>
  <c r="AA283" i="52" s="1"/>
  <c r="AE282" i="52"/>
  <c r="AA282" i="52" s="1"/>
  <c r="AE281" i="52"/>
  <c r="AA281" i="52" s="1"/>
  <c r="AE280" i="52"/>
  <c r="AA280" i="52" s="1"/>
  <c r="AE279" i="52"/>
  <c r="AA279" i="52" s="1"/>
  <c r="AE278" i="52"/>
  <c r="AA278" i="52" s="1"/>
  <c r="AE277" i="52"/>
  <c r="AA277" i="52" s="1"/>
  <c r="AE276" i="52"/>
  <c r="AA276" i="52" s="1"/>
  <c r="AE275" i="52"/>
  <c r="AA275" i="52" s="1"/>
  <c r="AE274" i="52"/>
  <c r="AA274" i="52" s="1"/>
  <c r="AE273" i="52"/>
  <c r="AA273" i="52" s="1"/>
  <c r="AE272" i="52"/>
  <c r="AA272" i="52" s="1"/>
  <c r="AE271" i="52"/>
  <c r="AA271" i="52" s="1"/>
  <c r="AE270" i="52"/>
  <c r="AA270" i="52" s="1"/>
  <c r="AE269" i="52"/>
  <c r="AA269" i="52" s="1"/>
  <c r="AE268" i="52"/>
  <c r="AA268" i="52" s="1"/>
  <c r="AE267" i="52"/>
  <c r="AA267" i="52" s="1"/>
  <c r="AE266" i="52"/>
  <c r="AA266" i="52" s="1"/>
  <c r="AE265" i="52"/>
  <c r="AA265" i="52" s="1"/>
  <c r="AE264" i="52"/>
  <c r="AA264" i="52" s="1"/>
  <c r="AE263" i="52"/>
  <c r="AA263" i="52" s="1"/>
  <c r="AE262" i="52"/>
  <c r="AA262" i="52" s="1"/>
  <c r="AE261" i="52"/>
  <c r="AA261" i="52" s="1"/>
  <c r="AE260" i="52"/>
  <c r="AA260" i="52" s="1"/>
  <c r="AE259" i="52"/>
  <c r="AA259" i="52" s="1"/>
  <c r="AE258" i="52"/>
  <c r="AA258" i="52" s="1"/>
  <c r="AE257" i="52"/>
  <c r="AA257" i="52" s="1"/>
  <c r="AE256" i="52"/>
  <c r="AA256" i="52" s="1"/>
  <c r="AE255" i="52"/>
  <c r="AA255" i="52" s="1"/>
  <c r="AE254" i="52"/>
  <c r="AA254" i="52" s="1"/>
  <c r="AE253" i="52"/>
  <c r="AA253" i="52" s="1"/>
  <c r="AE252" i="52"/>
  <c r="AA252" i="52" s="1"/>
  <c r="AE251" i="52"/>
  <c r="AA251" i="52" s="1"/>
  <c r="AE250" i="52"/>
  <c r="AA250" i="52" s="1"/>
  <c r="AE249" i="52"/>
  <c r="AA249" i="52" s="1"/>
  <c r="AE248" i="52"/>
  <c r="AA248" i="52" s="1"/>
  <c r="AE247" i="52"/>
  <c r="AA247" i="52" s="1"/>
  <c r="AE246" i="52"/>
  <c r="AA246" i="52" s="1"/>
  <c r="AE245" i="52"/>
  <c r="AA245" i="52" s="1"/>
  <c r="AE244" i="52"/>
  <c r="AA244" i="52" s="1"/>
  <c r="AE243" i="52"/>
  <c r="AA243" i="52" s="1"/>
  <c r="AE242" i="52"/>
  <c r="AA242" i="52" s="1"/>
  <c r="AE241" i="52"/>
  <c r="AA241" i="52" s="1"/>
  <c r="AE240" i="52"/>
  <c r="AA240" i="52" s="1"/>
  <c r="AE239" i="52"/>
  <c r="AA239" i="52" s="1"/>
  <c r="AE238" i="52"/>
  <c r="AA238" i="52" s="1"/>
  <c r="AE237" i="52"/>
  <c r="AA237" i="52" s="1"/>
  <c r="AE236" i="52"/>
  <c r="AA236" i="52" s="1"/>
  <c r="AE235" i="52"/>
  <c r="AA235" i="52" s="1"/>
  <c r="AE234" i="52"/>
  <c r="AA234" i="52" s="1"/>
  <c r="AE233" i="52"/>
  <c r="AA233" i="52" s="1"/>
  <c r="AE232" i="52"/>
  <c r="AA232" i="52" s="1"/>
  <c r="AE231" i="52"/>
  <c r="AA231" i="52" s="1"/>
  <c r="AE230" i="52"/>
  <c r="AA230" i="52" s="1"/>
  <c r="AE229" i="52"/>
  <c r="AA229" i="52" s="1"/>
  <c r="AE228" i="52"/>
  <c r="AA228" i="52" s="1"/>
  <c r="AE227" i="52"/>
  <c r="AA227" i="52" s="1"/>
  <c r="AE226" i="52"/>
  <c r="AA226" i="52" s="1"/>
  <c r="AE225" i="52"/>
  <c r="AA225" i="52" s="1"/>
  <c r="AE224" i="52"/>
  <c r="AA224" i="52" s="1"/>
  <c r="AE223" i="52"/>
  <c r="AA223" i="52" s="1"/>
  <c r="AE222" i="52"/>
  <c r="AA222" i="52" s="1"/>
  <c r="AE221" i="52"/>
  <c r="AA221" i="52" s="1"/>
  <c r="AE220" i="52"/>
  <c r="AA220" i="52" s="1"/>
  <c r="AE219" i="52"/>
  <c r="AA219" i="52" s="1"/>
  <c r="AE218" i="52"/>
  <c r="AA218" i="52" s="1"/>
  <c r="AE217" i="52"/>
  <c r="AA217" i="52" s="1"/>
  <c r="AE216" i="52"/>
  <c r="AA216" i="52" s="1"/>
  <c r="AE215" i="52"/>
  <c r="AA215" i="52" s="1"/>
  <c r="AE214" i="52"/>
  <c r="AA214" i="52" s="1"/>
  <c r="AE213" i="52"/>
  <c r="AA213" i="52" s="1"/>
  <c r="AE212" i="52"/>
  <c r="AA212" i="52" s="1"/>
  <c r="AE211" i="52"/>
  <c r="AA211" i="52" s="1"/>
  <c r="AE210" i="52"/>
  <c r="AA210" i="52" s="1"/>
  <c r="AE209" i="52"/>
  <c r="AA209" i="52" s="1"/>
  <c r="AE208" i="52"/>
  <c r="AA208" i="52" s="1"/>
  <c r="AE207" i="52"/>
  <c r="AA207" i="52" s="1"/>
  <c r="AE206" i="52"/>
  <c r="AA206" i="52" s="1"/>
  <c r="AE205" i="52"/>
  <c r="AA205" i="52" s="1"/>
  <c r="AE204" i="52"/>
  <c r="AA204" i="52" s="1"/>
  <c r="AE203" i="52"/>
  <c r="AA203" i="52" s="1"/>
  <c r="AE202" i="52"/>
  <c r="AA202" i="52" s="1"/>
  <c r="AE201" i="52"/>
  <c r="AA201" i="52" s="1"/>
  <c r="AE200" i="52"/>
  <c r="AA200" i="52" s="1"/>
  <c r="AE199" i="52"/>
  <c r="AA199" i="52" s="1"/>
  <c r="AE198" i="52"/>
  <c r="AA198" i="52" s="1"/>
  <c r="AE197" i="52"/>
  <c r="AA197" i="52" s="1"/>
  <c r="AE196" i="52"/>
  <c r="AA196" i="52" s="1"/>
  <c r="AE195" i="52"/>
  <c r="AA195" i="52" s="1"/>
  <c r="AE194" i="52"/>
  <c r="AA194" i="52" s="1"/>
  <c r="AE193" i="52"/>
  <c r="AA193" i="52" s="1"/>
  <c r="AE192" i="52"/>
  <c r="AA192" i="52" s="1"/>
  <c r="AE191" i="52"/>
  <c r="AA191" i="52" s="1"/>
  <c r="AE190" i="52"/>
  <c r="AA190" i="52" s="1"/>
  <c r="AE189" i="52"/>
  <c r="AA189" i="52" s="1"/>
  <c r="AE188" i="52"/>
  <c r="AA188" i="52" s="1"/>
  <c r="AE187" i="52"/>
  <c r="AA187" i="52" s="1"/>
  <c r="AE186" i="52"/>
  <c r="AA186" i="52" s="1"/>
  <c r="AE185" i="52"/>
  <c r="AA185" i="52" s="1"/>
  <c r="AE184" i="52"/>
  <c r="AA184" i="52" s="1"/>
  <c r="AE183" i="52"/>
  <c r="AA183" i="52" s="1"/>
  <c r="AE182" i="52"/>
  <c r="AA182" i="52" s="1"/>
  <c r="AE181" i="52"/>
  <c r="AA181" i="52" s="1"/>
  <c r="AE180" i="52"/>
  <c r="AA180" i="52" s="1"/>
  <c r="AE179" i="52"/>
  <c r="AA179" i="52" s="1"/>
  <c r="AE178" i="52"/>
  <c r="AA178" i="52" s="1"/>
  <c r="AE177" i="52"/>
  <c r="AA177" i="52" s="1"/>
  <c r="AE176" i="52"/>
  <c r="AA176" i="52" s="1"/>
  <c r="AE175" i="52"/>
  <c r="AA175" i="52" s="1"/>
  <c r="AE174" i="52"/>
  <c r="AA174" i="52" s="1"/>
  <c r="AE173" i="52"/>
  <c r="AA173" i="52" s="1"/>
  <c r="AE172" i="52"/>
  <c r="AA172" i="52" s="1"/>
  <c r="AE171" i="52"/>
  <c r="AA171" i="52" s="1"/>
  <c r="AE170" i="52"/>
  <c r="AA170" i="52" s="1"/>
  <c r="AE169" i="52"/>
  <c r="AA169" i="52" s="1"/>
  <c r="AE168" i="52"/>
  <c r="AA168" i="52" s="1"/>
  <c r="AE167" i="52"/>
  <c r="AA167" i="52" s="1"/>
  <c r="AE166" i="52"/>
  <c r="AA166" i="52" s="1"/>
  <c r="AE165" i="52"/>
  <c r="AA165" i="52" s="1"/>
  <c r="AE164" i="52"/>
  <c r="AA164" i="52" s="1"/>
  <c r="AE163" i="52"/>
  <c r="AA163" i="52" s="1"/>
  <c r="AE162" i="52"/>
  <c r="AA162" i="52" s="1"/>
  <c r="AE161" i="52"/>
  <c r="AA161" i="52" s="1"/>
  <c r="AE160" i="52"/>
  <c r="AA160" i="52" s="1"/>
  <c r="AE159" i="52"/>
  <c r="AA159" i="52" s="1"/>
  <c r="AE158" i="52"/>
  <c r="AA158" i="52" s="1"/>
  <c r="AE157" i="52"/>
  <c r="AA157" i="52" s="1"/>
  <c r="AE156" i="52"/>
  <c r="AA156" i="52" s="1"/>
  <c r="AE155" i="52"/>
  <c r="AA155" i="52" s="1"/>
  <c r="AE154" i="52"/>
  <c r="AA154" i="52" s="1"/>
  <c r="AE153" i="52"/>
  <c r="AA153" i="52" s="1"/>
  <c r="AE152" i="52"/>
  <c r="AA152" i="52" s="1"/>
  <c r="AE151" i="52"/>
  <c r="AA151" i="52" s="1"/>
  <c r="AE150" i="52"/>
  <c r="AA150" i="52" s="1"/>
  <c r="AE149" i="52"/>
  <c r="AA149" i="52" s="1"/>
  <c r="AE148" i="52"/>
  <c r="AA148" i="52" s="1"/>
  <c r="AE147" i="52"/>
  <c r="AA147" i="52" s="1"/>
  <c r="AE146" i="52"/>
  <c r="AA146" i="52" s="1"/>
  <c r="AE145" i="52"/>
  <c r="AA145" i="52" s="1"/>
  <c r="AE144" i="52"/>
  <c r="AA144" i="52" s="1"/>
  <c r="AE143" i="52"/>
  <c r="AA143" i="52" s="1"/>
  <c r="AE142" i="52"/>
  <c r="AA142" i="52" s="1"/>
  <c r="AE141" i="52"/>
  <c r="AA141" i="52" s="1"/>
  <c r="AE140" i="52"/>
  <c r="AA140" i="52" s="1"/>
  <c r="AE139" i="52"/>
  <c r="AA139" i="52" s="1"/>
  <c r="AE138" i="52"/>
  <c r="AA138" i="52" s="1"/>
  <c r="AE137" i="52"/>
  <c r="AA137" i="52" s="1"/>
  <c r="AE136" i="52"/>
  <c r="AA136" i="52" s="1"/>
  <c r="AE135" i="52"/>
  <c r="AA135" i="52" s="1"/>
  <c r="AE134" i="52"/>
  <c r="AA134" i="52" s="1"/>
  <c r="AE133" i="52"/>
  <c r="AA133" i="52" s="1"/>
  <c r="AE132" i="52"/>
  <c r="AA132" i="52" s="1"/>
  <c r="AE131" i="52"/>
  <c r="AA131" i="52" s="1"/>
  <c r="AE130" i="52"/>
  <c r="AA130" i="52" s="1"/>
  <c r="AE129" i="52"/>
  <c r="AA129" i="52" s="1"/>
  <c r="AE128" i="52"/>
  <c r="AA128" i="52" s="1"/>
  <c r="AE127" i="52"/>
  <c r="AA127" i="52" s="1"/>
  <c r="AE126" i="52"/>
  <c r="AA126" i="52" s="1"/>
  <c r="AE125" i="52"/>
  <c r="AA125" i="52" s="1"/>
  <c r="AE124" i="52"/>
  <c r="AA124" i="52" s="1"/>
  <c r="AE123" i="52"/>
  <c r="AA123" i="52" s="1"/>
  <c r="AE122" i="52"/>
  <c r="AA122" i="52" s="1"/>
  <c r="AE121" i="52"/>
  <c r="AA121" i="52" s="1"/>
  <c r="AE120" i="52"/>
  <c r="AA120" i="52" s="1"/>
  <c r="AE119" i="52"/>
  <c r="AA119" i="52" s="1"/>
  <c r="AE118" i="52"/>
  <c r="AA118" i="52" s="1"/>
  <c r="AE117" i="52"/>
  <c r="AA117" i="52" s="1"/>
  <c r="AE116" i="52"/>
  <c r="AA116" i="52" s="1"/>
  <c r="AE115" i="52"/>
  <c r="AA115" i="52" s="1"/>
  <c r="AE114" i="52"/>
  <c r="AA114" i="52" s="1"/>
  <c r="AE113" i="52"/>
  <c r="AA113" i="52" s="1"/>
  <c r="AE112" i="52"/>
  <c r="AA112" i="52" s="1"/>
  <c r="AE111" i="52"/>
  <c r="AA111" i="52" s="1"/>
  <c r="AE110" i="52"/>
  <c r="AA110" i="52" s="1"/>
  <c r="AE109" i="52"/>
  <c r="AA109" i="52" s="1"/>
  <c r="AE108" i="52"/>
  <c r="AA108" i="52" s="1"/>
  <c r="AE107" i="52"/>
  <c r="AA107" i="52" s="1"/>
  <c r="AE106" i="52"/>
  <c r="AA106" i="52" s="1"/>
  <c r="AE105" i="52"/>
  <c r="AA105" i="52" s="1"/>
  <c r="AE104" i="52"/>
  <c r="AA104" i="52" s="1"/>
  <c r="AE103" i="52"/>
  <c r="AA103" i="52" s="1"/>
  <c r="AE102" i="52"/>
  <c r="AA102" i="52" s="1"/>
  <c r="AE101" i="52"/>
  <c r="AA101" i="52" s="1"/>
  <c r="AE100" i="52"/>
  <c r="AA100" i="52" s="1"/>
  <c r="AE99" i="52"/>
  <c r="AA99" i="52" s="1"/>
  <c r="AE98" i="52"/>
  <c r="AA98" i="52" s="1"/>
  <c r="AE97" i="52"/>
  <c r="AA97" i="52" s="1"/>
  <c r="AE96" i="52"/>
  <c r="AA96" i="52" s="1"/>
  <c r="AE95" i="52"/>
  <c r="AA95" i="52" s="1"/>
  <c r="AE94" i="52"/>
  <c r="AA94" i="52" s="1"/>
  <c r="AE93" i="52"/>
  <c r="AA93" i="52" s="1"/>
  <c r="AE92" i="52"/>
  <c r="AA92" i="52" s="1"/>
  <c r="AE91" i="52"/>
  <c r="AA91" i="52" s="1"/>
  <c r="AE90" i="52"/>
  <c r="AA90" i="52" s="1"/>
  <c r="AE89" i="52"/>
  <c r="AA89" i="52" s="1"/>
  <c r="AE88" i="52"/>
  <c r="AA88" i="52" s="1"/>
  <c r="AE87" i="52"/>
  <c r="AA87" i="52" s="1"/>
  <c r="AE86" i="52"/>
  <c r="AA86" i="52" s="1"/>
  <c r="AE85" i="52"/>
  <c r="AA85" i="52" s="1"/>
  <c r="AE84" i="52"/>
  <c r="AA84" i="52" s="1"/>
  <c r="AE83" i="52"/>
  <c r="AA83" i="52" s="1"/>
  <c r="AE82" i="52"/>
  <c r="AA82" i="52" s="1"/>
  <c r="AE81" i="52"/>
  <c r="AA81" i="52" s="1"/>
  <c r="AE80" i="52"/>
  <c r="AA80" i="52" s="1"/>
  <c r="AE79" i="52"/>
  <c r="AA79" i="52" s="1"/>
  <c r="AE78" i="52"/>
  <c r="AA78" i="52" s="1"/>
  <c r="AE77" i="52"/>
  <c r="AA77" i="52" s="1"/>
  <c r="AE76" i="52"/>
  <c r="AA76" i="52" s="1"/>
  <c r="AE75" i="52"/>
  <c r="AA75" i="52" s="1"/>
  <c r="AE74" i="52"/>
  <c r="AA74" i="52" s="1"/>
  <c r="AE73" i="52"/>
  <c r="AA73" i="52" s="1"/>
  <c r="AE72" i="52"/>
  <c r="AA72" i="52" s="1"/>
  <c r="AE71" i="52"/>
  <c r="AA71" i="52" s="1"/>
  <c r="AE70" i="52"/>
  <c r="AA70" i="52" s="1"/>
  <c r="AE69" i="52"/>
  <c r="AA69" i="52" s="1"/>
  <c r="AE68" i="52"/>
  <c r="AA68" i="52" s="1"/>
  <c r="AE67" i="52"/>
  <c r="AA67" i="52" s="1"/>
  <c r="AE66" i="52"/>
  <c r="AA66" i="52" s="1"/>
  <c r="AE65" i="52"/>
  <c r="AA65" i="52" s="1"/>
  <c r="AE64" i="52"/>
  <c r="AA64" i="52" s="1"/>
  <c r="AE63" i="52"/>
  <c r="AA63" i="52" s="1"/>
  <c r="AE62" i="52"/>
  <c r="AA62" i="52" s="1"/>
  <c r="AE61" i="52"/>
  <c r="AA61" i="52" s="1"/>
  <c r="AE60" i="52"/>
  <c r="AA60" i="52" s="1"/>
  <c r="AE59" i="52"/>
  <c r="AA59" i="52" s="1"/>
  <c r="AE58" i="52"/>
  <c r="AA58" i="52" s="1"/>
  <c r="AE57" i="52"/>
  <c r="AA57" i="52" s="1"/>
  <c r="AE56" i="52"/>
  <c r="AA56" i="52" s="1"/>
  <c r="AE55" i="52"/>
  <c r="AA55" i="52" s="1"/>
  <c r="AE54" i="52"/>
  <c r="AA54" i="52" s="1"/>
  <c r="AE53" i="52"/>
  <c r="AA53" i="52" s="1"/>
  <c r="AE52" i="52"/>
  <c r="AA52" i="52" s="1"/>
  <c r="AE51" i="52"/>
  <c r="AA51" i="52" s="1"/>
  <c r="AE50" i="52"/>
  <c r="AA50" i="52" s="1"/>
  <c r="AE49" i="52"/>
  <c r="AA49" i="52" s="1"/>
  <c r="AE48" i="52"/>
  <c r="AA48" i="52" s="1"/>
  <c r="AE47" i="52"/>
  <c r="AA47" i="52" s="1"/>
  <c r="AE46" i="52"/>
  <c r="AA46" i="52" s="1"/>
  <c r="AE45" i="52"/>
  <c r="AA45" i="52" s="1"/>
  <c r="AE44" i="52"/>
  <c r="AA44" i="52" s="1"/>
  <c r="AE43" i="52"/>
  <c r="AA43" i="52" s="1"/>
  <c r="AE42" i="52"/>
  <c r="AA42" i="52" s="1"/>
  <c r="AE41" i="52"/>
  <c r="AA41" i="52" s="1"/>
  <c r="AE40" i="52"/>
  <c r="AA40" i="52" s="1"/>
  <c r="AE39" i="52"/>
  <c r="AA39" i="52" s="1"/>
  <c r="AE38" i="52"/>
  <c r="AA38" i="52" s="1"/>
  <c r="AE37" i="52"/>
  <c r="AA37" i="52" s="1"/>
  <c r="AE36" i="52"/>
  <c r="AA36" i="52" s="1"/>
  <c r="AE35" i="52"/>
  <c r="AA35" i="52" s="1"/>
  <c r="AE34" i="52"/>
  <c r="AA34" i="52" s="1"/>
  <c r="AE33" i="52"/>
  <c r="AA33" i="52" s="1"/>
  <c r="AE32" i="52"/>
  <c r="AA32" i="52" s="1"/>
  <c r="AE31" i="52"/>
  <c r="AA31" i="52" s="1"/>
  <c r="AE30" i="52"/>
  <c r="AA30" i="52" s="1"/>
  <c r="AE29" i="52"/>
  <c r="AA29" i="52" s="1"/>
  <c r="AE28" i="52"/>
  <c r="AA28" i="52" s="1"/>
  <c r="AE27" i="52"/>
  <c r="AA27" i="52" s="1"/>
  <c r="AE26" i="52"/>
  <c r="AA26" i="52" s="1"/>
  <c r="AE25" i="52"/>
  <c r="AA25" i="52" s="1"/>
  <c r="AE24" i="52"/>
  <c r="AA24" i="52" s="1"/>
  <c r="AE23" i="52"/>
  <c r="AA23" i="52" s="1"/>
  <c r="AE22" i="52"/>
  <c r="AA22" i="52" s="1"/>
  <c r="AE21" i="52"/>
  <c r="AA21" i="52" s="1"/>
  <c r="AE20" i="52"/>
  <c r="AA20" i="52" s="1"/>
  <c r="AE19" i="52"/>
  <c r="AA19" i="52" s="1"/>
  <c r="AE18" i="52"/>
  <c r="AA18" i="52" s="1"/>
  <c r="AE17" i="52"/>
  <c r="AA17" i="52" s="1"/>
  <c r="AE16" i="52"/>
  <c r="AA16" i="52" s="1"/>
  <c r="AE15" i="52"/>
  <c r="AA15" i="52" s="1"/>
  <c r="AE14" i="52"/>
  <c r="AA14" i="52" s="1"/>
  <c r="AE13" i="52"/>
  <c r="AA13" i="52" s="1"/>
  <c r="AE12" i="52"/>
  <c r="AA12" i="52" s="1"/>
  <c r="AE11" i="52"/>
  <c r="AA11" i="52" s="1"/>
  <c r="AE10" i="52"/>
  <c r="AA10" i="52" s="1"/>
  <c r="AE9" i="52"/>
  <c r="AA9" i="52" s="1"/>
  <c r="AE8" i="52"/>
  <c r="AA8" i="52" s="1"/>
  <c r="AE7" i="52"/>
  <c r="AA7" i="52" s="1"/>
  <c r="AE6" i="52"/>
  <c r="AA6" i="52" s="1"/>
  <c r="AE5" i="52"/>
  <c r="AA5" i="52" s="1"/>
  <c r="AE4" i="52"/>
  <c r="AA4" i="52" s="1"/>
  <c r="AE3" i="52"/>
  <c r="AA3" i="52" s="1"/>
  <c r="AE2" i="52"/>
  <c r="AA2" i="52" s="1"/>
  <c r="Y699" i="49"/>
  <c r="Y698" i="49"/>
  <c r="Y697" i="49"/>
  <c r="Y696" i="49"/>
  <c r="Y695" i="49"/>
  <c r="Y694" i="49"/>
  <c r="Y693" i="49"/>
  <c r="Y692" i="49"/>
  <c r="Y691" i="49"/>
  <c r="Y690" i="49"/>
  <c r="Y689" i="49"/>
  <c r="Y688" i="49"/>
  <c r="Y687" i="49"/>
  <c r="Y686" i="49"/>
  <c r="Y685" i="49"/>
  <c r="Y684" i="49"/>
  <c r="Y683" i="49"/>
  <c r="Y682" i="49"/>
  <c r="Y681" i="49"/>
  <c r="Y680" i="49"/>
  <c r="Y679" i="49"/>
  <c r="Y678" i="49"/>
  <c r="Y677" i="49"/>
  <c r="Y676" i="49"/>
  <c r="Y675" i="49"/>
  <c r="Y674" i="49"/>
  <c r="Y673" i="49"/>
  <c r="Y672" i="49"/>
  <c r="Y671" i="49"/>
  <c r="Y670" i="49"/>
  <c r="Y669" i="49"/>
  <c r="Y668" i="49"/>
  <c r="Y667" i="49"/>
  <c r="Y666" i="49"/>
  <c r="Y665" i="49"/>
  <c r="Y664" i="49"/>
  <c r="Y663" i="49"/>
  <c r="Y662" i="49"/>
  <c r="Y661" i="49"/>
  <c r="Y660" i="49"/>
  <c r="Y659" i="49"/>
  <c r="Y658" i="49"/>
  <c r="Y657" i="49"/>
  <c r="Y656" i="49"/>
  <c r="Y655" i="49"/>
  <c r="Y654" i="49"/>
  <c r="Y653" i="49"/>
  <c r="Y652" i="49"/>
  <c r="Y651" i="49"/>
  <c r="Y650" i="49"/>
  <c r="Y649" i="49"/>
  <c r="Y648" i="49"/>
  <c r="Y647" i="49"/>
  <c r="Y646" i="49"/>
  <c r="Y645" i="49"/>
  <c r="Y644" i="49"/>
  <c r="Y643" i="49"/>
  <c r="Y642" i="49"/>
  <c r="Y641" i="49"/>
  <c r="Y640" i="49"/>
  <c r="Y639" i="49"/>
  <c r="Y638" i="49"/>
  <c r="Y637" i="49"/>
  <c r="Y636" i="49"/>
  <c r="Y635" i="49"/>
  <c r="Y634" i="49"/>
  <c r="Y633" i="49"/>
  <c r="Y632" i="49"/>
  <c r="Y631" i="49"/>
  <c r="Y630" i="49"/>
  <c r="Y629" i="49"/>
  <c r="Y628" i="49"/>
  <c r="Y627" i="49"/>
  <c r="Y626" i="49"/>
  <c r="Y625" i="49"/>
  <c r="Y624" i="49"/>
  <c r="Y623" i="49"/>
  <c r="Y622" i="49"/>
  <c r="Y621" i="49"/>
  <c r="Y620" i="49"/>
  <c r="Y619" i="49"/>
  <c r="Y618" i="49"/>
  <c r="Y617" i="49"/>
  <c r="Y616" i="49"/>
  <c r="Y615" i="49"/>
  <c r="Y614" i="49"/>
  <c r="Y613" i="49"/>
  <c r="Y612" i="49"/>
  <c r="Y611" i="49"/>
  <c r="Y610" i="49"/>
  <c r="Y609" i="49"/>
  <c r="Y608" i="49"/>
  <c r="Y607" i="49"/>
  <c r="Y606" i="49"/>
  <c r="Y605" i="49"/>
  <c r="Y604" i="49"/>
  <c r="Y603" i="49"/>
  <c r="Y602" i="49"/>
  <c r="Y601" i="49"/>
  <c r="Y600" i="49"/>
  <c r="Y599" i="49"/>
  <c r="Y598" i="49"/>
  <c r="Y597" i="49"/>
  <c r="Y596" i="49"/>
  <c r="Y595" i="49"/>
  <c r="Y594" i="49"/>
  <c r="Y593" i="49"/>
  <c r="Y592" i="49"/>
  <c r="Y591" i="49"/>
  <c r="Y590" i="49"/>
  <c r="Y589" i="49"/>
  <c r="Y588" i="49"/>
  <c r="Y587" i="49"/>
  <c r="Y586" i="49"/>
  <c r="Y585" i="49"/>
  <c r="Y584" i="49"/>
  <c r="Y583" i="49"/>
  <c r="Y582" i="49"/>
  <c r="Y581" i="49"/>
  <c r="Y580" i="49"/>
  <c r="Y579" i="49"/>
  <c r="Y578" i="49"/>
  <c r="Y577" i="49"/>
  <c r="Y576" i="49"/>
  <c r="Y575" i="49"/>
  <c r="Y574" i="49"/>
  <c r="Y573" i="49"/>
  <c r="Y572" i="49"/>
  <c r="Y571" i="49"/>
  <c r="Y570" i="49"/>
  <c r="Y569" i="49"/>
  <c r="Y568" i="49"/>
  <c r="Y567" i="49"/>
  <c r="Y566" i="49"/>
  <c r="Y565" i="49"/>
  <c r="Y564" i="49"/>
  <c r="Y563" i="49"/>
  <c r="Y562" i="49"/>
  <c r="Y561" i="49"/>
  <c r="Y560" i="49"/>
  <c r="Y559" i="49"/>
  <c r="Y558" i="49"/>
  <c r="Y557" i="49"/>
  <c r="Y556" i="49"/>
  <c r="Y555" i="49"/>
  <c r="Y554" i="49"/>
  <c r="Y553" i="49"/>
  <c r="Y552" i="49"/>
  <c r="Y551" i="49"/>
  <c r="Y550" i="49"/>
  <c r="Y549" i="49"/>
  <c r="Y548" i="49"/>
  <c r="Y547" i="49"/>
  <c r="Y546" i="49"/>
  <c r="Y545" i="49"/>
  <c r="Y544" i="49"/>
  <c r="Y543" i="49"/>
  <c r="Y542" i="49"/>
  <c r="Y541" i="49"/>
  <c r="Y540" i="49"/>
  <c r="Y539" i="49"/>
  <c r="Y538" i="49"/>
  <c r="Y537" i="49"/>
  <c r="Y536" i="49"/>
  <c r="Y535" i="49"/>
  <c r="Y534" i="49"/>
  <c r="Y533" i="49"/>
  <c r="Y532" i="49"/>
  <c r="Y531" i="49"/>
  <c r="Y530" i="49"/>
  <c r="Y529" i="49"/>
  <c r="Y528" i="49"/>
  <c r="Y527" i="49"/>
  <c r="Y526" i="49"/>
  <c r="Y525" i="49"/>
  <c r="Y524" i="49"/>
  <c r="Y523" i="49"/>
  <c r="Y522" i="49"/>
  <c r="Y521" i="49"/>
  <c r="Y520" i="49"/>
  <c r="Y519" i="49"/>
  <c r="Y518" i="49"/>
  <c r="Y517" i="49"/>
  <c r="Y516" i="49"/>
  <c r="Y515" i="49"/>
  <c r="Y514" i="49"/>
  <c r="Y513" i="49"/>
  <c r="Y512" i="49"/>
  <c r="Y511" i="49"/>
  <c r="Y510" i="49"/>
  <c r="Y509" i="49"/>
  <c r="Y508" i="49"/>
  <c r="Y507" i="49"/>
  <c r="Y506" i="49"/>
  <c r="Y505" i="49"/>
  <c r="Y504" i="49"/>
  <c r="Y503" i="49"/>
  <c r="Y502" i="49"/>
  <c r="Y501" i="49"/>
  <c r="Y500" i="49"/>
  <c r="Y499" i="49"/>
  <c r="Y498" i="49"/>
  <c r="Y497" i="49"/>
  <c r="Y496" i="49"/>
  <c r="Y495" i="49"/>
  <c r="Y494" i="49"/>
  <c r="Y493" i="49"/>
  <c r="Y492" i="49"/>
  <c r="Y491" i="49"/>
  <c r="Y490" i="49"/>
  <c r="Y489" i="49"/>
  <c r="Y488" i="49"/>
  <c r="Y487" i="49"/>
  <c r="Y486" i="49"/>
  <c r="Y485" i="49"/>
  <c r="Y484" i="49"/>
  <c r="Y483" i="49"/>
  <c r="Y482" i="49"/>
  <c r="Y481" i="49"/>
  <c r="Y480" i="49"/>
  <c r="Y479" i="49"/>
  <c r="Y478" i="49"/>
  <c r="Y477" i="49"/>
  <c r="Y476" i="49"/>
  <c r="Y475" i="49"/>
  <c r="Y474" i="49"/>
  <c r="Y473" i="49"/>
  <c r="Y472" i="49"/>
  <c r="Y471" i="49"/>
  <c r="Y470" i="49"/>
  <c r="Y469" i="49"/>
  <c r="Y468" i="49"/>
  <c r="Y467" i="49"/>
  <c r="Y466" i="49"/>
  <c r="Y465" i="49"/>
  <c r="Y464" i="49"/>
  <c r="Y463" i="49"/>
  <c r="Y462" i="49"/>
  <c r="Y461" i="49"/>
  <c r="Y460" i="49"/>
  <c r="Y459" i="49"/>
  <c r="Y458" i="49"/>
  <c r="Y457" i="49"/>
  <c r="Y456" i="49"/>
  <c r="Y455" i="49"/>
  <c r="Y454" i="49"/>
  <c r="Y453" i="49"/>
  <c r="Y452" i="49"/>
  <c r="Y451" i="49"/>
  <c r="Y450" i="49"/>
  <c r="Y449" i="49"/>
  <c r="Y448" i="49"/>
  <c r="Y447" i="49"/>
  <c r="Y446" i="49"/>
  <c r="Y445" i="49"/>
  <c r="Y444" i="49"/>
  <c r="Y443" i="49"/>
  <c r="Y442" i="49"/>
  <c r="Y441" i="49"/>
  <c r="Y440" i="49"/>
  <c r="Y439" i="49"/>
  <c r="Y438" i="49"/>
  <c r="Y437" i="49"/>
  <c r="Y436" i="49"/>
  <c r="Y435" i="49"/>
  <c r="Y434" i="49"/>
  <c r="Y433" i="49"/>
  <c r="Y432" i="49"/>
  <c r="Y431" i="49"/>
  <c r="Y430" i="49"/>
  <c r="Y429" i="49"/>
  <c r="Y428" i="49"/>
  <c r="Y427" i="49"/>
  <c r="Y426" i="49"/>
  <c r="Y425" i="49"/>
  <c r="Y424" i="49"/>
  <c r="Y423" i="49"/>
  <c r="Y422" i="49"/>
  <c r="Y421" i="49"/>
  <c r="Y420" i="49"/>
  <c r="Y419" i="49"/>
  <c r="Y418" i="49"/>
  <c r="Y417" i="49"/>
  <c r="Y416" i="49"/>
  <c r="Y415" i="49"/>
  <c r="Y414" i="49"/>
  <c r="Y413" i="49"/>
  <c r="Y412" i="49"/>
  <c r="Y411" i="49"/>
  <c r="Y410" i="49"/>
  <c r="Y409" i="49"/>
  <c r="Y408" i="49"/>
  <c r="Y407" i="49"/>
  <c r="Y406" i="49"/>
  <c r="Y405" i="49"/>
  <c r="Y404" i="49"/>
  <c r="Y403" i="49"/>
  <c r="Y402" i="49"/>
  <c r="Y401" i="49"/>
  <c r="Y400" i="49"/>
  <c r="Y399" i="49"/>
  <c r="Y398" i="49"/>
  <c r="Y397" i="49"/>
  <c r="Y396" i="49"/>
  <c r="Y395" i="49"/>
  <c r="Y394" i="49"/>
  <c r="Y393" i="49"/>
  <c r="Y392" i="49"/>
  <c r="Y391" i="49"/>
  <c r="Y390" i="49"/>
  <c r="Y389" i="49"/>
  <c r="Y388" i="49"/>
  <c r="Y387" i="49"/>
  <c r="Y386" i="49"/>
  <c r="Y385" i="49"/>
  <c r="Y384" i="49"/>
  <c r="Y383" i="49"/>
  <c r="Y382" i="49"/>
  <c r="Y381" i="49"/>
  <c r="Y380" i="49"/>
  <c r="Y379" i="49"/>
  <c r="Y378" i="49"/>
  <c r="Y377" i="49"/>
  <c r="Y376" i="49"/>
  <c r="Y375" i="49"/>
  <c r="Y374" i="49"/>
  <c r="Y373" i="49"/>
  <c r="Y372" i="49"/>
  <c r="Y371" i="49"/>
  <c r="Y370" i="49"/>
  <c r="Y369" i="49"/>
  <c r="Y368" i="49"/>
  <c r="Y367" i="49"/>
  <c r="Y366" i="49"/>
  <c r="Y365" i="49"/>
  <c r="Y364" i="49"/>
  <c r="Y363" i="49"/>
  <c r="Y362" i="49"/>
  <c r="Y361" i="49"/>
  <c r="Y360" i="49"/>
  <c r="Y359" i="49"/>
  <c r="Y358" i="49"/>
  <c r="Y357" i="49"/>
  <c r="Y356" i="49"/>
  <c r="Y355" i="49"/>
  <c r="Y354" i="49"/>
  <c r="Y353" i="49"/>
  <c r="Y352" i="49"/>
  <c r="Y351" i="49"/>
  <c r="Y350" i="49"/>
  <c r="Y349" i="49"/>
  <c r="Y348" i="49"/>
  <c r="Y347" i="49"/>
  <c r="Y346" i="49"/>
  <c r="Y345" i="49"/>
  <c r="Y344" i="49"/>
  <c r="Y343" i="49"/>
  <c r="Y342" i="49"/>
  <c r="Y341" i="49"/>
  <c r="Y340" i="49"/>
  <c r="Y339" i="49"/>
  <c r="Y338" i="49"/>
  <c r="Y337" i="49"/>
  <c r="Y336" i="49"/>
  <c r="Y335" i="49"/>
  <c r="Y334" i="49"/>
  <c r="Y333" i="49"/>
  <c r="Y332" i="49"/>
  <c r="Y331" i="49"/>
  <c r="Y330" i="49"/>
  <c r="Y329" i="49"/>
  <c r="Y328" i="49"/>
  <c r="Y327" i="49"/>
  <c r="Y326" i="49"/>
  <c r="Y325" i="49"/>
  <c r="Y324" i="49"/>
  <c r="Y323" i="49"/>
  <c r="Y322" i="49"/>
  <c r="Y321" i="49"/>
  <c r="Y320" i="49"/>
  <c r="Y319" i="49"/>
  <c r="Y318" i="49"/>
  <c r="Y317" i="49"/>
  <c r="Y316" i="49"/>
  <c r="Y315" i="49"/>
  <c r="Y314" i="49"/>
  <c r="Y313" i="49"/>
  <c r="Y312" i="49"/>
  <c r="Y311" i="49"/>
  <c r="Y310" i="49"/>
  <c r="Y309" i="49"/>
  <c r="Y308" i="49"/>
  <c r="Y307" i="49"/>
  <c r="Y306" i="49"/>
  <c r="Y305" i="49"/>
  <c r="Y304" i="49"/>
  <c r="Y303" i="49"/>
  <c r="Y302" i="49"/>
  <c r="Y301" i="49"/>
  <c r="Y300" i="49"/>
  <c r="Y299" i="49"/>
  <c r="Y298" i="49"/>
  <c r="Y297" i="49"/>
  <c r="Y296" i="49"/>
  <c r="Y295" i="49"/>
  <c r="Y294" i="49"/>
  <c r="Y293" i="49"/>
  <c r="Y292" i="49"/>
  <c r="Y291" i="49"/>
  <c r="Y290" i="49"/>
  <c r="Y289" i="49"/>
  <c r="Y288" i="49"/>
  <c r="Y287" i="49"/>
  <c r="Y286" i="49"/>
  <c r="Y285" i="49"/>
  <c r="Y284" i="49"/>
  <c r="Y283" i="49"/>
  <c r="Y282" i="49"/>
  <c r="Y281" i="49"/>
  <c r="Y280" i="49"/>
  <c r="Y279" i="49"/>
  <c r="Y278" i="49"/>
  <c r="Y277" i="49"/>
  <c r="Y276" i="49"/>
  <c r="Y275" i="49"/>
  <c r="Y274" i="49"/>
  <c r="Y273" i="49"/>
  <c r="Y272" i="49"/>
  <c r="Y271" i="49"/>
  <c r="Y270" i="49"/>
  <c r="Y269" i="49"/>
  <c r="Y268" i="49"/>
  <c r="Y267" i="49"/>
  <c r="Y266" i="49"/>
  <c r="Y265" i="49"/>
  <c r="Y264" i="49"/>
  <c r="Y263" i="49"/>
  <c r="Y262" i="49"/>
  <c r="Y261" i="49"/>
  <c r="Y260" i="49"/>
  <c r="Y259" i="49"/>
  <c r="Y258" i="49"/>
  <c r="Y257" i="49"/>
  <c r="Y256" i="49"/>
  <c r="Y255" i="49"/>
  <c r="Y254" i="49"/>
  <c r="Y253" i="49"/>
  <c r="Y252" i="49"/>
  <c r="Y251" i="49"/>
  <c r="Y250" i="49"/>
  <c r="Y249" i="49"/>
  <c r="Y248" i="49"/>
  <c r="Y247" i="49"/>
  <c r="Y246" i="49"/>
  <c r="Y245" i="49"/>
  <c r="Y244" i="49"/>
  <c r="Y243" i="49"/>
  <c r="Y242" i="49"/>
  <c r="Y241" i="49"/>
  <c r="Y240" i="49"/>
  <c r="Y239" i="49"/>
  <c r="Y238" i="49"/>
  <c r="Y237" i="49"/>
  <c r="Y236" i="49"/>
  <c r="Y235" i="49"/>
  <c r="Y234" i="49"/>
  <c r="Y233" i="49"/>
  <c r="Y232" i="49"/>
  <c r="Y231" i="49"/>
  <c r="Y230" i="49"/>
  <c r="Y229" i="49"/>
  <c r="Y228" i="49"/>
  <c r="Y227" i="49"/>
  <c r="Y226" i="49"/>
  <c r="Y225" i="49"/>
  <c r="Y224" i="49"/>
  <c r="Y223" i="49"/>
  <c r="Y222" i="49"/>
  <c r="Y221" i="49"/>
  <c r="Y220" i="49"/>
  <c r="Y219" i="49"/>
  <c r="Y218" i="49"/>
  <c r="Y217" i="49"/>
  <c r="Y216" i="49"/>
  <c r="Y215" i="49"/>
  <c r="Y214" i="49"/>
  <c r="Y213" i="49"/>
  <c r="Y212" i="49"/>
  <c r="Y211" i="49"/>
  <c r="Y210" i="49"/>
  <c r="Y209" i="49"/>
  <c r="Y208" i="49"/>
  <c r="Y207" i="49"/>
  <c r="Y206" i="49"/>
  <c r="Y205" i="49"/>
  <c r="Y204" i="49"/>
  <c r="Y203" i="49"/>
  <c r="Y202" i="49"/>
  <c r="Y201" i="49"/>
  <c r="Y200" i="49"/>
  <c r="Y199" i="49"/>
  <c r="Y198" i="49"/>
  <c r="Y197" i="49"/>
  <c r="Y196" i="49"/>
  <c r="Y195" i="49"/>
  <c r="Y194" i="49"/>
  <c r="Y193" i="49"/>
  <c r="Y192" i="49"/>
  <c r="Y191" i="49"/>
  <c r="Y190" i="49"/>
  <c r="Y189" i="49"/>
  <c r="Y188" i="49"/>
  <c r="Y187" i="49"/>
  <c r="Y186" i="49"/>
  <c r="Y185" i="49"/>
  <c r="Y184" i="49"/>
  <c r="Y183" i="49"/>
  <c r="Y182" i="49"/>
  <c r="Y181" i="49"/>
  <c r="Y180" i="49"/>
  <c r="Y179" i="49"/>
  <c r="Y178" i="49"/>
  <c r="Y177" i="49"/>
  <c r="Y176" i="49"/>
  <c r="Y175" i="49"/>
  <c r="Y174" i="49"/>
  <c r="Y173" i="49"/>
  <c r="Y172" i="49"/>
  <c r="Y171" i="49"/>
  <c r="Y170" i="49"/>
  <c r="Y169" i="49"/>
  <c r="Y168" i="49"/>
  <c r="Y167" i="49"/>
  <c r="Y166" i="49"/>
  <c r="Y165" i="49"/>
  <c r="Y164" i="49"/>
  <c r="Y163" i="49"/>
  <c r="Y162" i="49"/>
  <c r="Y161" i="49"/>
  <c r="Y160" i="49"/>
  <c r="Y159" i="49"/>
  <c r="Y158" i="49"/>
  <c r="Y157" i="49"/>
  <c r="Y156" i="49"/>
  <c r="Y155" i="49"/>
  <c r="Y154" i="49"/>
  <c r="Y153" i="49"/>
  <c r="Y152" i="49"/>
  <c r="Y151" i="49"/>
  <c r="Y150" i="49"/>
  <c r="Y149" i="49"/>
  <c r="Y148" i="49"/>
  <c r="Y147" i="49"/>
  <c r="Y146" i="49"/>
  <c r="Y145" i="49"/>
  <c r="Y144" i="49"/>
  <c r="Y143" i="49"/>
  <c r="Y142" i="49"/>
  <c r="Y141" i="49"/>
  <c r="Y140" i="49"/>
  <c r="Y139" i="49"/>
  <c r="Y138" i="49"/>
  <c r="Y137" i="49"/>
  <c r="Y136" i="49"/>
  <c r="Y135" i="49"/>
  <c r="Y134" i="49"/>
  <c r="Y133" i="49"/>
  <c r="Y132" i="49"/>
  <c r="Y131" i="49"/>
  <c r="Y130" i="49"/>
  <c r="Y129" i="49"/>
  <c r="Y128" i="49"/>
  <c r="Y127" i="49"/>
  <c r="Y126" i="49"/>
  <c r="Y125" i="49"/>
  <c r="Y124" i="49"/>
  <c r="Y123" i="49"/>
  <c r="Y122" i="49"/>
  <c r="Y121" i="49"/>
  <c r="Y120" i="49"/>
  <c r="Y119" i="49"/>
  <c r="Y118" i="49"/>
  <c r="Y117" i="49"/>
  <c r="Y116" i="49"/>
  <c r="Y115" i="49"/>
  <c r="Y114" i="49"/>
  <c r="Y113" i="49"/>
  <c r="Y112" i="49"/>
  <c r="Y111" i="49"/>
  <c r="Y110" i="49"/>
  <c r="Y109" i="49"/>
  <c r="Y108" i="49"/>
  <c r="Y107" i="49"/>
  <c r="Y106" i="49"/>
  <c r="Y105" i="49"/>
  <c r="Y104" i="49"/>
  <c r="Y103" i="49"/>
  <c r="Y102" i="49"/>
  <c r="Y101" i="49"/>
  <c r="Y100" i="49"/>
  <c r="Y99" i="49"/>
  <c r="Y98" i="49"/>
  <c r="Y97" i="49"/>
  <c r="Y96" i="49"/>
  <c r="Y95" i="49"/>
  <c r="Y94" i="49"/>
  <c r="Y93" i="49"/>
  <c r="Y92" i="49"/>
  <c r="Y91" i="49"/>
  <c r="Y90" i="49"/>
  <c r="Y89" i="49"/>
  <c r="Y88" i="49"/>
  <c r="Y87" i="49"/>
  <c r="Y86" i="49"/>
  <c r="Y85" i="49"/>
  <c r="Y84" i="49"/>
  <c r="Y83" i="49"/>
  <c r="Y82" i="49"/>
  <c r="Y81" i="49"/>
  <c r="Y80" i="49"/>
  <c r="Y79" i="49"/>
  <c r="Y78" i="49"/>
  <c r="Y77" i="49"/>
  <c r="Y76" i="49"/>
  <c r="Y75" i="49"/>
  <c r="Y74" i="49"/>
  <c r="Y73" i="49"/>
  <c r="Y72" i="49"/>
  <c r="Y71" i="49"/>
  <c r="Y70" i="49"/>
  <c r="Y69" i="49"/>
  <c r="Y68" i="49"/>
  <c r="Y67" i="49"/>
  <c r="Y66" i="49"/>
  <c r="Y65" i="49"/>
  <c r="Y64" i="49"/>
  <c r="Y63" i="49"/>
  <c r="Y62" i="49"/>
  <c r="Y61" i="49"/>
  <c r="Y60" i="49"/>
  <c r="Y59" i="49"/>
  <c r="Y58" i="49"/>
  <c r="Y57" i="49"/>
  <c r="Y56" i="49"/>
  <c r="Y55" i="49"/>
  <c r="Y54" i="49"/>
  <c r="Y53" i="49"/>
  <c r="Y52" i="49"/>
  <c r="Y51" i="49"/>
  <c r="Y50" i="49"/>
  <c r="Y49" i="49"/>
  <c r="Y48" i="49"/>
  <c r="Y47" i="49"/>
  <c r="Y46" i="49"/>
  <c r="Y45" i="49"/>
  <c r="Y44" i="49"/>
  <c r="Y43" i="49"/>
  <c r="Y42" i="49"/>
  <c r="Y41" i="49"/>
  <c r="Y40" i="49"/>
  <c r="Y39" i="49"/>
  <c r="Y38" i="49"/>
  <c r="Y37" i="49"/>
  <c r="Y36" i="49"/>
  <c r="Y35" i="49"/>
  <c r="Y34" i="49"/>
  <c r="Y33" i="49"/>
  <c r="Y32" i="49"/>
  <c r="Y31" i="49"/>
  <c r="Y30" i="49"/>
  <c r="Y29" i="49"/>
  <c r="Y28" i="49"/>
  <c r="Y27" i="49"/>
  <c r="Y26" i="49"/>
  <c r="Y25" i="49"/>
  <c r="Y24" i="49"/>
  <c r="Y23" i="49"/>
  <c r="Y22" i="49"/>
  <c r="Y21" i="49"/>
  <c r="Y20" i="49"/>
  <c r="Y19" i="49"/>
  <c r="Y18" i="49"/>
  <c r="Y17" i="49"/>
  <c r="Y16" i="49"/>
  <c r="Y15" i="49"/>
  <c r="Y14" i="49"/>
  <c r="Y13" i="49"/>
  <c r="Y12" i="49"/>
  <c r="Y11" i="49"/>
  <c r="Y10" i="49"/>
  <c r="Y9" i="49"/>
  <c r="Y8" i="49"/>
  <c r="Y7" i="49"/>
  <c r="Y6" i="49"/>
  <c r="Y5" i="49"/>
  <c r="Y4" i="49"/>
  <c r="Y3" i="49"/>
  <c r="Y2" i="49"/>
  <c r="AE699" i="49"/>
  <c r="AA699" i="49" s="1"/>
  <c r="AE698" i="49"/>
  <c r="AA698" i="49" s="1"/>
  <c r="AE697" i="49"/>
  <c r="AA697" i="49" s="1"/>
  <c r="AE696" i="49"/>
  <c r="AA696" i="49" s="1"/>
  <c r="AE695" i="49"/>
  <c r="AA695" i="49" s="1"/>
  <c r="AE694" i="49"/>
  <c r="AA694" i="49" s="1"/>
  <c r="AE693" i="49"/>
  <c r="AA693" i="49" s="1"/>
  <c r="AE692" i="49"/>
  <c r="AA692" i="49" s="1"/>
  <c r="AE691" i="49"/>
  <c r="AA691" i="49" s="1"/>
  <c r="AE690" i="49"/>
  <c r="AA690" i="49" s="1"/>
  <c r="AE689" i="49"/>
  <c r="AA689" i="49" s="1"/>
  <c r="AE688" i="49"/>
  <c r="AA688" i="49" s="1"/>
  <c r="AE687" i="49"/>
  <c r="AA687" i="49" s="1"/>
  <c r="AE686" i="49"/>
  <c r="AA686" i="49" s="1"/>
  <c r="AE685" i="49"/>
  <c r="AA685" i="49" s="1"/>
  <c r="AE684" i="49"/>
  <c r="AA684" i="49" s="1"/>
  <c r="AE683" i="49"/>
  <c r="AA683" i="49" s="1"/>
  <c r="AE682" i="49"/>
  <c r="AA682" i="49" s="1"/>
  <c r="AE681" i="49"/>
  <c r="AA681" i="49" s="1"/>
  <c r="AE680" i="49"/>
  <c r="AA680" i="49" s="1"/>
  <c r="AE679" i="49"/>
  <c r="AA679" i="49" s="1"/>
  <c r="AE678" i="49"/>
  <c r="AA678" i="49" s="1"/>
  <c r="AE677" i="49"/>
  <c r="AA677" i="49" s="1"/>
  <c r="AE676" i="49"/>
  <c r="AA676" i="49" s="1"/>
  <c r="AE675" i="49"/>
  <c r="AA675" i="49" s="1"/>
  <c r="AE674" i="49"/>
  <c r="AA674" i="49" s="1"/>
  <c r="AE673" i="49"/>
  <c r="AA673" i="49" s="1"/>
  <c r="AE672" i="49"/>
  <c r="AA672" i="49" s="1"/>
  <c r="AE671" i="49"/>
  <c r="AA671" i="49" s="1"/>
  <c r="AE670" i="49"/>
  <c r="AA670" i="49" s="1"/>
  <c r="AE669" i="49"/>
  <c r="AA669" i="49" s="1"/>
  <c r="AE668" i="49"/>
  <c r="AA668" i="49" s="1"/>
  <c r="AE667" i="49"/>
  <c r="AA667" i="49" s="1"/>
  <c r="AE666" i="49"/>
  <c r="AA666" i="49" s="1"/>
  <c r="AE665" i="49"/>
  <c r="AA665" i="49" s="1"/>
  <c r="AE664" i="49"/>
  <c r="AA664" i="49" s="1"/>
  <c r="AE663" i="49"/>
  <c r="AA663" i="49" s="1"/>
  <c r="AE662" i="49"/>
  <c r="AA662" i="49" s="1"/>
  <c r="AE661" i="49"/>
  <c r="AA661" i="49" s="1"/>
  <c r="AE660" i="49"/>
  <c r="AA660" i="49" s="1"/>
  <c r="AE659" i="49"/>
  <c r="AA659" i="49" s="1"/>
  <c r="AE658" i="49"/>
  <c r="AA658" i="49" s="1"/>
  <c r="AE657" i="49"/>
  <c r="AA657" i="49" s="1"/>
  <c r="AE656" i="49"/>
  <c r="AA656" i="49" s="1"/>
  <c r="AE655" i="49"/>
  <c r="AA655" i="49" s="1"/>
  <c r="AE654" i="49"/>
  <c r="AA654" i="49" s="1"/>
  <c r="AE653" i="49"/>
  <c r="AA653" i="49" s="1"/>
  <c r="AE652" i="49"/>
  <c r="AA652" i="49" s="1"/>
  <c r="AE651" i="49"/>
  <c r="AA651" i="49" s="1"/>
  <c r="AE650" i="49"/>
  <c r="AA650" i="49" s="1"/>
  <c r="AE649" i="49"/>
  <c r="AA649" i="49" s="1"/>
  <c r="AE648" i="49"/>
  <c r="AA648" i="49" s="1"/>
  <c r="AE647" i="49"/>
  <c r="AA647" i="49" s="1"/>
  <c r="AE646" i="49"/>
  <c r="AA646" i="49" s="1"/>
  <c r="AE645" i="49"/>
  <c r="AA645" i="49" s="1"/>
  <c r="AE644" i="49"/>
  <c r="AA644" i="49" s="1"/>
  <c r="AE643" i="49"/>
  <c r="AA643" i="49" s="1"/>
  <c r="AE642" i="49"/>
  <c r="AA642" i="49" s="1"/>
  <c r="AE641" i="49"/>
  <c r="AA641" i="49" s="1"/>
  <c r="AE640" i="49"/>
  <c r="AA640" i="49" s="1"/>
  <c r="AE639" i="49"/>
  <c r="AA639" i="49" s="1"/>
  <c r="AE638" i="49"/>
  <c r="AA638" i="49" s="1"/>
  <c r="AE637" i="49"/>
  <c r="AA637" i="49" s="1"/>
  <c r="AE636" i="49"/>
  <c r="AA636" i="49" s="1"/>
  <c r="AE635" i="49"/>
  <c r="AA635" i="49" s="1"/>
  <c r="AE634" i="49"/>
  <c r="AA634" i="49" s="1"/>
  <c r="AE633" i="49"/>
  <c r="AA633" i="49" s="1"/>
  <c r="AE632" i="49"/>
  <c r="AA632" i="49" s="1"/>
  <c r="AE631" i="49"/>
  <c r="AA631" i="49" s="1"/>
  <c r="AE630" i="49"/>
  <c r="AA630" i="49" s="1"/>
  <c r="AE629" i="49"/>
  <c r="AA629" i="49" s="1"/>
  <c r="AE628" i="49"/>
  <c r="AA628" i="49" s="1"/>
  <c r="AE627" i="49"/>
  <c r="AA627" i="49" s="1"/>
  <c r="AE626" i="49"/>
  <c r="AA626" i="49" s="1"/>
  <c r="AE625" i="49"/>
  <c r="AA625" i="49" s="1"/>
  <c r="AE624" i="49"/>
  <c r="AA624" i="49" s="1"/>
  <c r="AE623" i="49"/>
  <c r="AA623" i="49" s="1"/>
  <c r="AE622" i="49"/>
  <c r="AA622" i="49" s="1"/>
  <c r="AE621" i="49"/>
  <c r="AA621" i="49" s="1"/>
  <c r="AE620" i="49"/>
  <c r="AA620" i="49" s="1"/>
  <c r="AE619" i="49"/>
  <c r="AA619" i="49" s="1"/>
  <c r="AE618" i="49"/>
  <c r="AA618" i="49" s="1"/>
  <c r="AE617" i="49"/>
  <c r="AA617" i="49" s="1"/>
  <c r="AE616" i="49"/>
  <c r="AA616" i="49" s="1"/>
  <c r="AE615" i="49"/>
  <c r="AA615" i="49" s="1"/>
  <c r="AE614" i="49"/>
  <c r="AA614" i="49" s="1"/>
  <c r="AE613" i="49"/>
  <c r="AA613" i="49" s="1"/>
  <c r="AE612" i="49"/>
  <c r="AA612" i="49" s="1"/>
  <c r="AE611" i="49"/>
  <c r="AA611" i="49" s="1"/>
  <c r="AE610" i="49"/>
  <c r="AA610" i="49" s="1"/>
  <c r="AE609" i="49"/>
  <c r="AA609" i="49" s="1"/>
  <c r="AE608" i="49"/>
  <c r="AA608" i="49" s="1"/>
  <c r="AE607" i="49"/>
  <c r="AA607" i="49" s="1"/>
  <c r="AE606" i="49"/>
  <c r="AA606" i="49" s="1"/>
  <c r="AE605" i="49"/>
  <c r="AA605" i="49" s="1"/>
  <c r="AE604" i="49"/>
  <c r="AA604" i="49" s="1"/>
  <c r="AE603" i="49"/>
  <c r="AA603" i="49" s="1"/>
  <c r="AE602" i="49"/>
  <c r="AA602" i="49" s="1"/>
  <c r="AE601" i="49"/>
  <c r="AA601" i="49" s="1"/>
  <c r="AE600" i="49"/>
  <c r="AA600" i="49" s="1"/>
  <c r="AE599" i="49"/>
  <c r="AA599" i="49" s="1"/>
  <c r="AE598" i="49"/>
  <c r="AA598" i="49" s="1"/>
  <c r="AE597" i="49"/>
  <c r="AA597" i="49" s="1"/>
  <c r="AE596" i="49"/>
  <c r="AA596" i="49" s="1"/>
  <c r="AE595" i="49"/>
  <c r="AA595" i="49" s="1"/>
  <c r="AE594" i="49"/>
  <c r="AA594" i="49" s="1"/>
  <c r="AE593" i="49"/>
  <c r="AA593" i="49" s="1"/>
  <c r="AE592" i="49"/>
  <c r="AA592" i="49" s="1"/>
  <c r="AE591" i="49"/>
  <c r="AA591" i="49" s="1"/>
  <c r="AE590" i="49"/>
  <c r="AA590" i="49" s="1"/>
  <c r="AE589" i="49"/>
  <c r="AA589" i="49" s="1"/>
  <c r="AE588" i="49"/>
  <c r="AA588" i="49" s="1"/>
  <c r="AE587" i="49"/>
  <c r="AA587" i="49" s="1"/>
  <c r="AE586" i="49"/>
  <c r="AA586" i="49" s="1"/>
  <c r="AE585" i="49"/>
  <c r="AA585" i="49" s="1"/>
  <c r="AE584" i="49"/>
  <c r="AA584" i="49" s="1"/>
  <c r="AE583" i="49"/>
  <c r="AA583" i="49" s="1"/>
  <c r="AE582" i="49"/>
  <c r="AA582" i="49" s="1"/>
  <c r="AE581" i="49"/>
  <c r="AA581" i="49" s="1"/>
  <c r="AE580" i="49"/>
  <c r="AA580" i="49" s="1"/>
  <c r="AE579" i="49"/>
  <c r="AA579" i="49" s="1"/>
  <c r="AE578" i="49"/>
  <c r="AA578" i="49" s="1"/>
  <c r="AE577" i="49"/>
  <c r="AA577" i="49" s="1"/>
  <c r="AE576" i="49"/>
  <c r="AA576" i="49" s="1"/>
  <c r="AE575" i="49"/>
  <c r="AA575" i="49" s="1"/>
  <c r="AE574" i="49"/>
  <c r="AA574" i="49" s="1"/>
  <c r="AE573" i="49"/>
  <c r="AA573" i="49" s="1"/>
  <c r="AE572" i="49"/>
  <c r="AA572" i="49" s="1"/>
  <c r="AE571" i="49"/>
  <c r="AA571" i="49" s="1"/>
  <c r="AE570" i="49"/>
  <c r="AA570" i="49" s="1"/>
  <c r="AE569" i="49"/>
  <c r="AA569" i="49" s="1"/>
  <c r="AE568" i="49"/>
  <c r="AA568" i="49" s="1"/>
  <c r="AE567" i="49"/>
  <c r="AA567" i="49" s="1"/>
  <c r="AE566" i="49"/>
  <c r="AA566" i="49" s="1"/>
  <c r="AE565" i="49"/>
  <c r="AA565" i="49" s="1"/>
  <c r="AE564" i="49"/>
  <c r="AA564" i="49" s="1"/>
  <c r="AE563" i="49"/>
  <c r="AA563" i="49" s="1"/>
  <c r="AE562" i="49"/>
  <c r="AA562" i="49" s="1"/>
  <c r="AE561" i="49"/>
  <c r="AA561" i="49" s="1"/>
  <c r="AE560" i="49"/>
  <c r="AA560" i="49" s="1"/>
  <c r="AE559" i="49"/>
  <c r="AA559" i="49" s="1"/>
  <c r="AE558" i="49"/>
  <c r="AA558" i="49" s="1"/>
  <c r="AE557" i="49"/>
  <c r="AA557" i="49" s="1"/>
  <c r="AE556" i="49"/>
  <c r="AA556" i="49" s="1"/>
  <c r="AE555" i="49"/>
  <c r="AA555" i="49" s="1"/>
  <c r="AE554" i="49"/>
  <c r="AA554" i="49" s="1"/>
  <c r="AE553" i="49"/>
  <c r="AA553" i="49" s="1"/>
  <c r="AE552" i="49"/>
  <c r="AA552" i="49" s="1"/>
  <c r="AE551" i="49"/>
  <c r="AA551" i="49" s="1"/>
  <c r="AE550" i="49"/>
  <c r="AA550" i="49" s="1"/>
  <c r="AE549" i="49"/>
  <c r="AA549" i="49" s="1"/>
  <c r="AE548" i="49"/>
  <c r="AA548" i="49" s="1"/>
  <c r="AE547" i="49"/>
  <c r="AA547" i="49" s="1"/>
  <c r="AE546" i="49"/>
  <c r="AA546" i="49" s="1"/>
  <c r="AE545" i="49"/>
  <c r="AA545" i="49" s="1"/>
  <c r="AE544" i="49"/>
  <c r="AA544" i="49" s="1"/>
  <c r="AE543" i="49"/>
  <c r="AA543" i="49" s="1"/>
  <c r="AE542" i="49"/>
  <c r="AA542" i="49" s="1"/>
  <c r="AE541" i="49"/>
  <c r="AA541" i="49" s="1"/>
  <c r="AE540" i="49"/>
  <c r="AA540" i="49" s="1"/>
  <c r="AE539" i="49"/>
  <c r="AA539" i="49" s="1"/>
  <c r="AE538" i="49"/>
  <c r="AA538" i="49" s="1"/>
  <c r="AE537" i="49"/>
  <c r="AA537" i="49" s="1"/>
  <c r="AE536" i="49"/>
  <c r="AA536" i="49" s="1"/>
  <c r="AE535" i="49"/>
  <c r="AA535" i="49" s="1"/>
  <c r="AE534" i="49"/>
  <c r="AA534" i="49" s="1"/>
  <c r="AE533" i="49"/>
  <c r="AA533" i="49" s="1"/>
  <c r="AE532" i="49"/>
  <c r="AA532" i="49" s="1"/>
  <c r="AE531" i="49"/>
  <c r="AA531" i="49" s="1"/>
  <c r="AE530" i="49"/>
  <c r="AA530" i="49" s="1"/>
  <c r="AE529" i="49"/>
  <c r="AA529" i="49" s="1"/>
  <c r="AE528" i="49"/>
  <c r="AA528" i="49" s="1"/>
  <c r="AE527" i="49"/>
  <c r="AA527" i="49" s="1"/>
  <c r="AE526" i="49"/>
  <c r="AA526" i="49" s="1"/>
  <c r="AE525" i="49"/>
  <c r="AA525" i="49" s="1"/>
  <c r="AE524" i="49"/>
  <c r="AA524" i="49" s="1"/>
  <c r="AE523" i="49"/>
  <c r="AA523" i="49" s="1"/>
  <c r="AE522" i="49"/>
  <c r="AA522" i="49" s="1"/>
  <c r="AE521" i="49"/>
  <c r="AA521" i="49" s="1"/>
  <c r="AE520" i="49"/>
  <c r="AA520" i="49" s="1"/>
  <c r="AE519" i="49"/>
  <c r="AA519" i="49" s="1"/>
  <c r="AE518" i="49"/>
  <c r="AA518" i="49" s="1"/>
  <c r="AE517" i="49"/>
  <c r="AA517" i="49" s="1"/>
  <c r="AE516" i="49"/>
  <c r="AA516" i="49" s="1"/>
  <c r="AE515" i="49"/>
  <c r="AA515" i="49" s="1"/>
  <c r="AE514" i="49"/>
  <c r="AA514" i="49" s="1"/>
  <c r="AE513" i="49"/>
  <c r="AA513" i="49" s="1"/>
  <c r="AE512" i="49"/>
  <c r="AA512" i="49" s="1"/>
  <c r="AE511" i="49"/>
  <c r="AA511" i="49" s="1"/>
  <c r="AE510" i="49"/>
  <c r="AA510" i="49" s="1"/>
  <c r="AE509" i="49"/>
  <c r="AA509" i="49" s="1"/>
  <c r="AE508" i="49"/>
  <c r="AA508" i="49" s="1"/>
  <c r="AE507" i="49"/>
  <c r="AA507" i="49" s="1"/>
  <c r="AE506" i="49"/>
  <c r="AA506" i="49" s="1"/>
  <c r="AE505" i="49"/>
  <c r="AA505" i="49" s="1"/>
  <c r="AE504" i="49"/>
  <c r="AA504" i="49" s="1"/>
  <c r="AE503" i="49"/>
  <c r="AA503" i="49" s="1"/>
  <c r="AE502" i="49"/>
  <c r="AA502" i="49" s="1"/>
  <c r="AE501" i="49"/>
  <c r="AA501" i="49" s="1"/>
  <c r="AE500" i="49"/>
  <c r="AA500" i="49" s="1"/>
  <c r="AE499" i="49"/>
  <c r="AA499" i="49" s="1"/>
  <c r="AE498" i="49"/>
  <c r="AA498" i="49" s="1"/>
  <c r="AE497" i="49"/>
  <c r="AA497" i="49" s="1"/>
  <c r="AE496" i="49"/>
  <c r="AA496" i="49" s="1"/>
  <c r="AE495" i="49"/>
  <c r="AA495" i="49" s="1"/>
  <c r="AE494" i="49"/>
  <c r="AA494" i="49" s="1"/>
  <c r="AE493" i="49"/>
  <c r="AA493" i="49" s="1"/>
  <c r="AE492" i="49"/>
  <c r="AA492" i="49" s="1"/>
  <c r="AE491" i="49"/>
  <c r="AA491" i="49" s="1"/>
  <c r="AE490" i="49"/>
  <c r="AA490" i="49" s="1"/>
  <c r="AE489" i="49"/>
  <c r="AA489" i="49" s="1"/>
  <c r="AE488" i="49"/>
  <c r="AA488" i="49" s="1"/>
  <c r="AE487" i="49"/>
  <c r="AA487" i="49" s="1"/>
  <c r="AE486" i="49"/>
  <c r="AA486" i="49" s="1"/>
  <c r="AE485" i="49"/>
  <c r="AA485" i="49" s="1"/>
  <c r="AE484" i="49"/>
  <c r="AA484" i="49" s="1"/>
  <c r="AE483" i="49"/>
  <c r="AA483" i="49" s="1"/>
  <c r="AE482" i="49"/>
  <c r="AA482" i="49" s="1"/>
  <c r="AE481" i="49"/>
  <c r="AA481" i="49" s="1"/>
  <c r="AE480" i="49"/>
  <c r="AA480" i="49" s="1"/>
  <c r="AE479" i="49"/>
  <c r="AA479" i="49" s="1"/>
  <c r="AE478" i="49"/>
  <c r="AA478" i="49" s="1"/>
  <c r="AE477" i="49"/>
  <c r="AA477" i="49" s="1"/>
  <c r="AE476" i="49"/>
  <c r="AA476" i="49" s="1"/>
  <c r="AE475" i="49"/>
  <c r="AA475" i="49" s="1"/>
  <c r="AE474" i="49"/>
  <c r="AA474" i="49" s="1"/>
  <c r="AE473" i="49"/>
  <c r="AA473" i="49" s="1"/>
  <c r="AE472" i="49"/>
  <c r="AA472" i="49" s="1"/>
  <c r="AE471" i="49"/>
  <c r="AA471" i="49" s="1"/>
  <c r="AE470" i="49"/>
  <c r="AA470" i="49" s="1"/>
  <c r="AE469" i="49"/>
  <c r="AA469" i="49" s="1"/>
  <c r="AE468" i="49"/>
  <c r="AA468" i="49" s="1"/>
  <c r="AE467" i="49"/>
  <c r="AA467" i="49" s="1"/>
  <c r="AE466" i="49"/>
  <c r="AA466" i="49" s="1"/>
  <c r="AE465" i="49"/>
  <c r="AA465" i="49" s="1"/>
  <c r="AE464" i="49"/>
  <c r="AA464" i="49" s="1"/>
  <c r="AE463" i="49"/>
  <c r="AA463" i="49" s="1"/>
  <c r="AE462" i="49"/>
  <c r="AA462" i="49" s="1"/>
  <c r="AE461" i="49"/>
  <c r="AA461" i="49" s="1"/>
  <c r="AE460" i="49"/>
  <c r="AA460" i="49" s="1"/>
  <c r="AE459" i="49"/>
  <c r="AA459" i="49" s="1"/>
  <c r="AE458" i="49"/>
  <c r="AA458" i="49" s="1"/>
  <c r="AE457" i="49"/>
  <c r="AA457" i="49" s="1"/>
  <c r="AE456" i="49"/>
  <c r="AA456" i="49" s="1"/>
  <c r="AE455" i="49"/>
  <c r="AA455" i="49" s="1"/>
  <c r="AE454" i="49"/>
  <c r="AA454" i="49" s="1"/>
  <c r="AE453" i="49"/>
  <c r="AA453" i="49" s="1"/>
  <c r="AE452" i="49"/>
  <c r="AA452" i="49" s="1"/>
  <c r="AE451" i="49"/>
  <c r="AA451" i="49" s="1"/>
  <c r="AE450" i="49"/>
  <c r="AA450" i="49" s="1"/>
  <c r="AE449" i="49"/>
  <c r="AA449" i="49" s="1"/>
  <c r="AE448" i="49"/>
  <c r="AA448" i="49" s="1"/>
  <c r="AE447" i="49"/>
  <c r="AA447" i="49" s="1"/>
  <c r="AE446" i="49"/>
  <c r="AA446" i="49" s="1"/>
  <c r="AE445" i="49"/>
  <c r="AA445" i="49" s="1"/>
  <c r="AE444" i="49"/>
  <c r="AA444" i="49" s="1"/>
  <c r="AE443" i="49"/>
  <c r="AA443" i="49" s="1"/>
  <c r="AE442" i="49"/>
  <c r="AA442" i="49" s="1"/>
  <c r="AE441" i="49"/>
  <c r="AA441" i="49" s="1"/>
  <c r="AE440" i="49"/>
  <c r="AA440" i="49" s="1"/>
  <c r="AE439" i="49"/>
  <c r="AA439" i="49" s="1"/>
  <c r="AE438" i="49"/>
  <c r="AA438" i="49" s="1"/>
  <c r="AE437" i="49"/>
  <c r="AA437" i="49" s="1"/>
  <c r="AE436" i="49"/>
  <c r="AA436" i="49" s="1"/>
  <c r="AE435" i="49"/>
  <c r="AA435" i="49" s="1"/>
  <c r="AE434" i="49"/>
  <c r="AA434" i="49" s="1"/>
  <c r="AE433" i="49"/>
  <c r="AA433" i="49" s="1"/>
  <c r="AE432" i="49"/>
  <c r="AA432" i="49" s="1"/>
  <c r="AE431" i="49"/>
  <c r="AA431" i="49" s="1"/>
  <c r="AE430" i="49"/>
  <c r="AA430" i="49" s="1"/>
  <c r="AE429" i="49"/>
  <c r="AA429" i="49" s="1"/>
  <c r="AE428" i="49"/>
  <c r="AA428" i="49" s="1"/>
  <c r="AE427" i="49"/>
  <c r="AA427" i="49" s="1"/>
  <c r="AE426" i="49"/>
  <c r="AA426" i="49" s="1"/>
  <c r="AE425" i="49"/>
  <c r="AA425" i="49" s="1"/>
  <c r="AE424" i="49"/>
  <c r="AA424" i="49" s="1"/>
  <c r="AE423" i="49"/>
  <c r="AA423" i="49" s="1"/>
  <c r="AE422" i="49"/>
  <c r="AA422" i="49" s="1"/>
  <c r="AE421" i="49"/>
  <c r="AA421" i="49" s="1"/>
  <c r="AE420" i="49"/>
  <c r="AA420" i="49" s="1"/>
  <c r="AE419" i="49"/>
  <c r="AA419" i="49" s="1"/>
  <c r="AE418" i="49"/>
  <c r="AA418" i="49" s="1"/>
  <c r="AE417" i="49"/>
  <c r="AA417" i="49" s="1"/>
  <c r="AE416" i="49"/>
  <c r="AA416" i="49" s="1"/>
  <c r="AE415" i="49"/>
  <c r="AA415" i="49" s="1"/>
  <c r="AE414" i="49"/>
  <c r="AA414" i="49" s="1"/>
  <c r="AE413" i="49"/>
  <c r="AA413" i="49" s="1"/>
  <c r="AE412" i="49"/>
  <c r="AA412" i="49" s="1"/>
  <c r="AE411" i="49"/>
  <c r="AA411" i="49" s="1"/>
  <c r="AE410" i="49"/>
  <c r="AA410" i="49" s="1"/>
  <c r="AE409" i="49"/>
  <c r="AA409" i="49" s="1"/>
  <c r="AE408" i="49"/>
  <c r="AA408" i="49" s="1"/>
  <c r="AE407" i="49"/>
  <c r="AA407" i="49" s="1"/>
  <c r="AE406" i="49"/>
  <c r="AA406" i="49" s="1"/>
  <c r="AE405" i="49"/>
  <c r="AA405" i="49" s="1"/>
  <c r="AE404" i="49"/>
  <c r="AA404" i="49" s="1"/>
  <c r="AE403" i="49"/>
  <c r="AA403" i="49" s="1"/>
  <c r="AE402" i="49"/>
  <c r="AA402" i="49" s="1"/>
  <c r="AE401" i="49"/>
  <c r="AA401" i="49" s="1"/>
  <c r="AE400" i="49"/>
  <c r="AA400" i="49" s="1"/>
  <c r="AE399" i="49"/>
  <c r="AA399" i="49" s="1"/>
  <c r="AE398" i="49"/>
  <c r="AA398" i="49" s="1"/>
  <c r="AE397" i="49"/>
  <c r="AA397" i="49" s="1"/>
  <c r="AE396" i="49"/>
  <c r="AA396" i="49" s="1"/>
  <c r="AE395" i="49"/>
  <c r="AA395" i="49" s="1"/>
  <c r="AE394" i="49"/>
  <c r="AA394" i="49" s="1"/>
  <c r="AE393" i="49"/>
  <c r="AA393" i="49" s="1"/>
  <c r="AE392" i="49"/>
  <c r="AA392" i="49" s="1"/>
  <c r="AE391" i="49"/>
  <c r="AA391" i="49" s="1"/>
  <c r="AE390" i="49"/>
  <c r="AA390" i="49" s="1"/>
  <c r="AE389" i="49"/>
  <c r="AA389" i="49" s="1"/>
  <c r="AE388" i="49"/>
  <c r="AA388" i="49" s="1"/>
  <c r="AE387" i="49"/>
  <c r="AA387" i="49" s="1"/>
  <c r="AE386" i="49"/>
  <c r="AA386" i="49" s="1"/>
  <c r="AE385" i="49"/>
  <c r="AA385" i="49" s="1"/>
  <c r="AE384" i="49"/>
  <c r="AA384" i="49" s="1"/>
  <c r="AE383" i="49"/>
  <c r="AA383" i="49" s="1"/>
  <c r="AE382" i="49"/>
  <c r="AA382" i="49" s="1"/>
  <c r="AE381" i="49"/>
  <c r="AA381" i="49" s="1"/>
  <c r="AE380" i="49"/>
  <c r="AA380" i="49" s="1"/>
  <c r="AE379" i="49"/>
  <c r="AA379" i="49" s="1"/>
  <c r="AE378" i="49"/>
  <c r="AA378" i="49" s="1"/>
  <c r="AE377" i="49"/>
  <c r="AA377" i="49" s="1"/>
  <c r="AE376" i="49"/>
  <c r="AA376" i="49" s="1"/>
  <c r="AE375" i="49"/>
  <c r="AA375" i="49" s="1"/>
  <c r="AE374" i="49"/>
  <c r="AA374" i="49" s="1"/>
  <c r="AE373" i="49"/>
  <c r="AA373" i="49" s="1"/>
  <c r="AE372" i="49"/>
  <c r="AA372" i="49" s="1"/>
  <c r="AE371" i="49"/>
  <c r="AA371" i="49" s="1"/>
  <c r="AE370" i="49"/>
  <c r="AA370" i="49" s="1"/>
  <c r="AE369" i="49"/>
  <c r="AA369" i="49" s="1"/>
  <c r="AE368" i="49"/>
  <c r="AA368" i="49" s="1"/>
  <c r="AE367" i="49"/>
  <c r="AA367" i="49" s="1"/>
  <c r="AE366" i="49"/>
  <c r="AA366" i="49" s="1"/>
  <c r="AE365" i="49"/>
  <c r="AA365" i="49" s="1"/>
  <c r="AE364" i="49"/>
  <c r="AA364" i="49" s="1"/>
  <c r="AE363" i="49"/>
  <c r="AA363" i="49" s="1"/>
  <c r="AE362" i="49"/>
  <c r="AA362" i="49" s="1"/>
  <c r="AE361" i="49"/>
  <c r="AA361" i="49" s="1"/>
  <c r="AE360" i="49"/>
  <c r="AA360" i="49" s="1"/>
  <c r="AE359" i="49"/>
  <c r="AA359" i="49" s="1"/>
  <c r="AE358" i="49"/>
  <c r="AA358" i="49" s="1"/>
  <c r="AE357" i="49"/>
  <c r="AA357" i="49" s="1"/>
  <c r="AE356" i="49"/>
  <c r="AA356" i="49" s="1"/>
  <c r="AE355" i="49"/>
  <c r="AA355" i="49" s="1"/>
  <c r="AE354" i="49"/>
  <c r="AA354" i="49" s="1"/>
  <c r="AE353" i="49"/>
  <c r="AA353" i="49" s="1"/>
  <c r="AE352" i="49"/>
  <c r="AA352" i="49" s="1"/>
  <c r="AE351" i="49"/>
  <c r="AA351" i="49" s="1"/>
  <c r="AE350" i="49"/>
  <c r="AA350" i="49" s="1"/>
  <c r="AE349" i="49"/>
  <c r="AA349" i="49" s="1"/>
  <c r="AE348" i="49"/>
  <c r="AA348" i="49" s="1"/>
  <c r="AE347" i="49"/>
  <c r="AA347" i="49" s="1"/>
  <c r="AE346" i="49"/>
  <c r="AA346" i="49" s="1"/>
  <c r="AE345" i="49"/>
  <c r="AA345" i="49" s="1"/>
  <c r="AE344" i="49"/>
  <c r="AA344" i="49" s="1"/>
  <c r="AE343" i="49"/>
  <c r="AA343" i="49" s="1"/>
  <c r="AE342" i="49"/>
  <c r="AA342" i="49" s="1"/>
  <c r="AE341" i="49"/>
  <c r="AA341" i="49" s="1"/>
  <c r="AE340" i="49"/>
  <c r="AA340" i="49" s="1"/>
  <c r="AE339" i="49"/>
  <c r="AA339" i="49" s="1"/>
  <c r="AE338" i="49"/>
  <c r="AA338" i="49" s="1"/>
  <c r="AE337" i="49"/>
  <c r="AA337" i="49" s="1"/>
  <c r="AE336" i="49"/>
  <c r="AA336" i="49" s="1"/>
  <c r="AE335" i="49"/>
  <c r="AA335" i="49" s="1"/>
  <c r="AE334" i="49"/>
  <c r="AA334" i="49" s="1"/>
  <c r="AE333" i="49"/>
  <c r="AA333" i="49" s="1"/>
  <c r="AE332" i="49"/>
  <c r="AA332" i="49" s="1"/>
  <c r="AE331" i="49"/>
  <c r="AA331" i="49" s="1"/>
  <c r="AE330" i="49"/>
  <c r="AA330" i="49" s="1"/>
  <c r="AE329" i="49"/>
  <c r="AA329" i="49" s="1"/>
  <c r="AE328" i="49"/>
  <c r="AA328" i="49" s="1"/>
  <c r="AE327" i="49"/>
  <c r="AA327" i="49" s="1"/>
  <c r="AE326" i="49"/>
  <c r="AA326" i="49" s="1"/>
  <c r="AE325" i="49"/>
  <c r="AA325" i="49" s="1"/>
  <c r="AE324" i="49"/>
  <c r="AA324" i="49" s="1"/>
  <c r="AE323" i="49"/>
  <c r="AA323" i="49" s="1"/>
  <c r="AE322" i="49"/>
  <c r="AA322" i="49" s="1"/>
  <c r="AE321" i="49"/>
  <c r="AA321" i="49" s="1"/>
  <c r="AE320" i="49"/>
  <c r="AA320" i="49" s="1"/>
  <c r="AE319" i="49"/>
  <c r="AA319" i="49" s="1"/>
  <c r="AE318" i="49"/>
  <c r="AA318" i="49" s="1"/>
  <c r="AE317" i="49"/>
  <c r="AA317" i="49" s="1"/>
  <c r="AE316" i="49"/>
  <c r="AA316" i="49" s="1"/>
  <c r="AE315" i="49"/>
  <c r="AA315" i="49" s="1"/>
  <c r="AE314" i="49"/>
  <c r="AA314" i="49" s="1"/>
  <c r="AE313" i="49"/>
  <c r="AA313" i="49" s="1"/>
  <c r="AE312" i="49"/>
  <c r="AA312" i="49" s="1"/>
  <c r="AE311" i="49"/>
  <c r="AA311" i="49" s="1"/>
  <c r="AE310" i="49"/>
  <c r="AA310" i="49" s="1"/>
  <c r="AE309" i="49"/>
  <c r="AA309" i="49" s="1"/>
  <c r="AE308" i="49"/>
  <c r="AA308" i="49" s="1"/>
  <c r="AE307" i="49"/>
  <c r="AA307" i="49" s="1"/>
  <c r="AE306" i="49"/>
  <c r="AA306" i="49" s="1"/>
  <c r="AE305" i="49"/>
  <c r="AA305" i="49" s="1"/>
  <c r="AE304" i="49"/>
  <c r="AA304" i="49" s="1"/>
  <c r="AE303" i="49"/>
  <c r="AA303" i="49" s="1"/>
  <c r="AE302" i="49"/>
  <c r="AA302" i="49" s="1"/>
  <c r="AE301" i="49"/>
  <c r="AA301" i="49" s="1"/>
  <c r="AE300" i="49"/>
  <c r="AA300" i="49" s="1"/>
  <c r="AE299" i="49"/>
  <c r="AA299" i="49" s="1"/>
  <c r="AE298" i="49"/>
  <c r="AA298" i="49" s="1"/>
  <c r="AE297" i="49"/>
  <c r="AA297" i="49" s="1"/>
  <c r="AE296" i="49"/>
  <c r="AA296" i="49" s="1"/>
  <c r="AE295" i="49"/>
  <c r="AA295" i="49" s="1"/>
  <c r="AE294" i="49"/>
  <c r="AA294" i="49" s="1"/>
  <c r="AE293" i="49"/>
  <c r="AA293" i="49" s="1"/>
  <c r="AE292" i="49"/>
  <c r="AA292" i="49" s="1"/>
  <c r="AE291" i="49"/>
  <c r="AA291" i="49" s="1"/>
  <c r="AE290" i="49"/>
  <c r="AA290" i="49" s="1"/>
  <c r="AE289" i="49"/>
  <c r="AA289" i="49" s="1"/>
  <c r="AE288" i="49"/>
  <c r="AA288" i="49" s="1"/>
  <c r="AE287" i="49"/>
  <c r="AA287" i="49" s="1"/>
  <c r="AE286" i="49"/>
  <c r="AA286" i="49" s="1"/>
  <c r="AE285" i="49"/>
  <c r="AA285" i="49" s="1"/>
  <c r="AE284" i="49"/>
  <c r="AA284" i="49" s="1"/>
  <c r="AE283" i="49"/>
  <c r="AA283" i="49" s="1"/>
  <c r="AE282" i="49"/>
  <c r="AA282" i="49" s="1"/>
  <c r="AE281" i="49"/>
  <c r="AA281" i="49" s="1"/>
  <c r="AE280" i="49"/>
  <c r="AA280" i="49" s="1"/>
  <c r="AE279" i="49"/>
  <c r="AA279" i="49" s="1"/>
  <c r="AE278" i="49"/>
  <c r="AA278" i="49" s="1"/>
  <c r="AE277" i="49"/>
  <c r="AA277" i="49" s="1"/>
  <c r="AE276" i="49"/>
  <c r="AA276" i="49" s="1"/>
  <c r="AE275" i="49"/>
  <c r="AA275" i="49" s="1"/>
  <c r="AE274" i="49"/>
  <c r="AA274" i="49" s="1"/>
  <c r="AE273" i="49"/>
  <c r="AA273" i="49" s="1"/>
  <c r="AE272" i="49"/>
  <c r="AA272" i="49" s="1"/>
  <c r="AE271" i="49"/>
  <c r="AA271" i="49" s="1"/>
  <c r="AE270" i="49"/>
  <c r="AA270" i="49" s="1"/>
  <c r="AE269" i="49"/>
  <c r="AA269" i="49" s="1"/>
  <c r="AE268" i="49"/>
  <c r="AA268" i="49" s="1"/>
  <c r="AE267" i="49"/>
  <c r="AA267" i="49" s="1"/>
  <c r="AE266" i="49"/>
  <c r="AA266" i="49" s="1"/>
  <c r="AE265" i="49"/>
  <c r="AA265" i="49" s="1"/>
  <c r="AE264" i="49"/>
  <c r="AA264" i="49" s="1"/>
  <c r="AE263" i="49"/>
  <c r="AA263" i="49" s="1"/>
  <c r="AE262" i="49"/>
  <c r="AA262" i="49" s="1"/>
  <c r="AE261" i="49"/>
  <c r="AA261" i="49" s="1"/>
  <c r="AE260" i="49"/>
  <c r="AA260" i="49" s="1"/>
  <c r="AE259" i="49"/>
  <c r="AA259" i="49" s="1"/>
  <c r="AE258" i="49"/>
  <c r="AA258" i="49" s="1"/>
  <c r="AE257" i="49"/>
  <c r="AA257" i="49" s="1"/>
  <c r="AE256" i="49"/>
  <c r="AA256" i="49" s="1"/>
  <c r="AE255" i="49"/>
  <c r="AA255" i="49" s="1"/>
  <c r="AE254" i="49"/>
  <c r="AA254" i="49" s="1"/>
  <c r="AE253" i="49"/>
  <c r="AA253" i="49" s="1"/>
  <c r="AE252" i="49"/>
  <c r="AA252" i="49" s="1"/>
  <c r="AE251" i="49"/>
  <c r="AA251" i="49" s="1"/>
  <c r="AE250" i="49"/>
  <c r="AA250" i="49" s="1"/>
  <c r="AE249" i="49"/>
  <c r="AA249" i="49" s="1"/>
  <c r="AE248" i="49"/>
  <c r="AA248" i="49" s="1"/>
  <c r="AE247" i="49"/>
  <c r="AA247" i="49" s="1"/>
  <c r="AE246" i="49"/>
  <c r="AA246" i="49" s="1"/>
  <c r="AE245" i="49"/>
  <c r="AA245" i="49" s="1"/>
  <c r="AE244" i="49"/>
  <c r="AA244" i="49" s="1"/>
  <c r="AE243" i="49"/>
  <c r="AA243" i="49" s="1"/>
  <c r="AE242" i="49"/>
  <c r="AA242" i="49" s="1"/>
  <c r="AE241" i="49"/>
  <c r="AA241" i="49" s="1"/>
  <c r="AE240" i="49"/>
  <c r="AA240" i="49" s="1"/>
  <c r="AE239" i="49"/>
  <c r="AA239" i="49" s="1"/>
  <c r="AE238" i="49"/>
  <c r="AA238" i="49" s="1"/>
  <c r="AE237" i="49"/>
  <c r="AA237" i="49" s="1"/>
  <c r="AE236" i="49"/>
  <c r="AA236" i="49" s="1"/>
  <c r="AE235" i="49"/>
  <c r="AA235" i="49" s="1"/>
  <c r="AE234" i="49"/>
  <c r="AA234" i="49" s="1"/>
  <c r="AE233" i="49"/>
  <c r="AA233" i="49" s="1"/>
  <c r="AE232" i="49"/>
  <c r="AA232" i="49" s="1"/>
  <c r="AE231" i="49"/>
  <c r="AA231" i="49" s="1"/>
  <c r="AE230" i="49"/>
  <c r="AA230" i="49" s="1"/>
  <c r="AE229" i="49"/>
  <c r="AA229" i="49" s="1"/>
  <c r="AE228" i="49"/>
  <c r="AA228" i="49" s="1"/>
  <c r="AE227" i="49"/>
  <c r="AA227" i="49" s="1"/>
  <c r="AE226" i="49"/>
  <c r="AA226" i="49" s="1"/>
  <c r="AE225" i="49"/>
  <c r="AA225" i="49" s="1"/>
  <c r="AE224" i="49"/>
  <c r="AA224" i="49" s="1"/>
  <c r="AE223" i="49"/>
  <c r="AA223" i="49" s="1"/>
  <c r="AE222" i="49"/>
  <c r="AA222" i="49" s="1"/>
  <c r="AE221" i="49"/>
  <c r="AA221" i="49" s="1"/>
  <c r="AE220" i="49"/>
  <c r="AA220" i="49" s="1"/>
  <c r="AE219" i="49"/>
  <c r="AA219" i="49" s="1"/>
  <c r="AE218" i="49"/>
  <c r="AA218" i="49" s="1"/>
  <c r="AE217" i="49"/>
  <c r="AA217" i="49" s="1"/>
  <c r="AE216" i="49"/>
  <c r="AA216" i="49" s="1"/>
  <c r="AE215" i="49"/>
  <c r="AA215" i="49" s="1"/>
  <c r="AE214" i="49"/>
  <c r="AA214" i="49" s="1"/>
  <c r="AE213" i="49"/>
  <c r="AA213" i="49" s="1"/>
  <c r="AE212" i="49"/>
  <c r="AA212" i="49" s="1"/>
  <c r="AE211" i="49"/>
  <c r="AA211" i="49" s="1"/>
  <c r="AE210" i="49"/>
  <c r="AA210" i="49" s="1"/>
  <c r="AE209" i="49"/>
  <c r="AA209" i="49" s="1"/>
  <c r="AE208" i="49"/>
  <c r="AA208" i="49" s="1"/>
  <c r="AE207" i="49"/>
  <c r="AA207" i="49" s="1"/>
  <c r="AE206" i="49"/>
  <c r="AA206" i="49" s="1"/>
  <c r="AE205" i="49"/>
  <c r="AA205" i="49" s="1"/>
  <c r="AE204" i="49"/>
  <c r="AA204" i="49" s="1"/>
  <c r="AE203" i="49"/>
  <c r="AA203" i="49" s="1"/>
  <c r="AE202" i="49"/>
  <c r="AA202" i="49" s="1"/>
  <c r="AE201" i="49"/>
  <c r="AA201" i="49" s="1"/>
  <c r="AE200" i="49"/>
  <c r="AA200" i="49" s="1"/>
  <c r="AE199" i="49"/>
  <c r="AA199" i="49" s="1"/>
  <c r="AE198" i="49"/>
  <c r="AA198" i="49" s="1"/>
  <c r="AE197" i="49"/>
  <c r="AA197" i="49" s="1"/>
  <c r="AE196" i="49"/>
  <c r="AA196" i="49" s="1"/>
  <c r="AE195" i="49"/>
  <c r="AA195" i="49" s="1"/>
  <c r="AE194" i="49"/>
  <c r="AA194" i="49" s="1"/>
  <c r="AE193" i="49"/>
  <c r="AA193" i="49" s="1"/>
  <c r="AE192" i="49"/>
  <c r="AA192" i="49" s="1"/>
  <c r="AE191" i="49"/>
  <c r="AA191" i="49" s="1"/>
  <c r="AE190" i="49"/>
  <c r="AA190" i="49" s="1"/>
  <c r="AE189" i="49"/>
  <c r="AA189" i="49" s="1"/>
  <c r="AE188" i="49"/>
  <c r="AA188" i="49" s="1"/>
  <c r="AE187" i="49"/>
  <c r="AA187" i="49" s="1"/>
  <c r="AE186" i="49"/>
  <c r="AA186" i="49" s="1"/>
  <c r="AE185" i="49"/>
  <c r="AA185" i="49" s="1"/>
  <c r="AE184" i="49"/>
  <c r="AA184" i="49" s="1"/>
  <c r="AE183" i="49"/>
  <c r="AA183" i="49" s="1"/>
  <c r="AE182" i="49"/>
  <c r="AA182" i="49" s="1"/>
  <c r="AE181" i="49"/>
  <c r="AA181" i="49" s="1"/>
  <c r="AE180" i="49"/>
  <c r="AA180" i="49" s="1"/>
  <c r="AE179" i="49"/>
  <c r="AA179" i="49" s="1"/>
  <c r="AE178" i="49"/>
  <c r="AA178" i="49" s="1"/>
  <c r="AE177" i="49"/>
  <c r="AA177" i="49" s="1"/>
  <c r="AE176" i="49"/>
  <c r="AA176" i="49" s="1"/>
  <c r="AE175" i="49"/>
  <c r="AA175" i="49" s="1"/>
  <c r="AE174" i="49"/>
  <c r="AA174" i="49" s="1"/>
  <c r="AE173" i="49"/>
  <c r="AA173" i="49" s="1"/>
  <c r="AE172" i="49"/>
  <c r="AA172" i="49" s="1"/>
  <c r="AE171" i="49"/>
  <c r="AA171" i="49" s="1"/>
  <c r="AE170" i="49"/>
  <c r="AA170" i="49" s="1"/>
  <c r="AE169" i="49"/>
  <c r="AA169" i="49" s="1"/>
  <c r="AE168" i="49"/>
  <c r="AA168" i="49" s="1"/>
  <c r="AE167" i="49"/>
  <c r="AA167" i="49" s="1"/>
  <c r="AE166" i="49"/>
  <c r="AA166" i="49" s="1"/>
  <c r="AE165" i="49"/>
  <c r="AA165" i="49" s="1"/>
  <c r="AE164" i="49"/>
  <c r="AA164" i="49" s="1"/>
  <c r="AE163" i="49"/>
  <c r="AA163" i="49" s="1"/>
  <c r="AE162" i="49"/>
  <c r="AA162" i="49" s="1"/>
  <c r="AE161" i="49"/>
  <c r="AA161" i="49" s="1"/>
  <c r="AE160" i="49"/>
  <c r="AA160" i="49" s="1"/>
  <c r="AE159" i="49"/>
  <c r="AA159" i="49" s="1"/>
  <c r="AE158" i="49"/>
  <c r="AA158" i="49" s="1"/>
  <c r="AE157" i="49"/>
  <c r="AA157" i="49" s="1"/>
  <c r="AE156" i="49"/>
  <c r="AA156" i="49" s="1"/>
  <c r="AE155" i="49"/>
  <c r="AA155" i="49" s="1"/>
  <c r="AE154" i="49"/>
  <c r="AA154" i="49" s="1"/>
  <c r="AE153" i="49"/>
  <c r="AA153" i="49" s="1"/>
  <c r="AE152" i="49"/>
  <c r="AA152" i="49" s="1"/>
  <c r="AE151" i="49"/>
  <c r="AA151" i="49" s="1"/>
  <c r="AE150" i="49"/>
  <c r="AA150" i="49" s="1"/>
  <c r="AE149" i="49"/>
  <c r="AA149" i="49" s="1"/>
  <c r="AE148" i="49"/>
  <c r="AA148" i="49" s="1"/>
  <c r="AE147" i="49"/>
  <c r="AA147" i="49" s="1"/>
  <c r="AE146" i="49"/>
  <c r="AA146" i="49" s="1"/>
  <c r="AE145" i="49"/>
  <c r="AA145" i="49" s="1"/>
  <c r="AE144" i="49"/>
  <c r="AA144" i="49" s="1"/>
  <c r="AE143" i="49"/>
  <c r="AA143" i="49" s="1"/>
  <c r="AE142" i="49"/>
  <c r="AA142" i="49" s="1"/>
  <c r="AE141" i="49"/>
  <c r="AA141" i="49" s="1"/>
  <c r="AE140" i="49"/>
  <c r="AA140" i="49" s="1"/>
  <c r="AE139" i="49"/>
  <c r="AA139" i="49" s="1"/>
  <c r="AE138" i="49"/>
  <c r="AA138" i="49" s="1"/>
  <c r="AE137" i="49"/>
  <c r="AA137" i="49" s="1"/>
  <c r="AE136" i="49"/>
  <c r="AA136" i="49" s="1"/>
  <c r="AE135" i="49"/>
  <c r="AA135" i="49" s="1"/>
  <c r="AE134" i="49"/>
  <c r="AA134" i="49" s="1"/>
  <c r="AE133" i="49"/>
  <c r="AA133" i="49" s="1"/>
  <c r="AE132" i="49"/>
  <c r="AA132" i="49" s="1"/>
  <c r="AE131" i="49"/>
  <c r="AA131" i="49" s="1"/>
  <c r="AE130" i="49"/>
  <c r="AA130" i="49" s="1"/>
  <c r="AE129" i="49"/>
  <c r="AA129" i="49" s="1"/>
  <c r="AE128" i="49"/>
  <c r="AA128" i="49" s="1"/>
  <c r="AE127" i="49"/>
  <c r="AA127" i="49" s="1"/>
  <c r="AE126" i="49"/>
  <c r="AA126" i="49" s="1"/>
  <c r="AE125" i="49"/>
  <c r="AA125" i="49" s="1"/>
  <c r="AE124" i="49"/>
  <c r="AA124" i="49" s="1"/>
  <c r="AE123" i="49"/>
  <c r="AA123" i="49" s="1"/>
  <c r="AE122" i="49"/>
  <c r="AA122" i="49" s="1"/>
  <c r="AE121" i="49"/>
  <c r="AA121" i="49" s="1"/>
  <c r="AE120" i="49"/>
  <c r="AA120" i="49" s="1"/>
  <c r="AE119" i="49"/>
  <c r="AA119" i="49" s="1"/>
  <c r="AE118" i="49"/>
  <c r="AA118" i="49" s="1"/>
  <c r="AE117" i="49"/>
  <c r="AA117" i="49" s="1"/>
  <c r="AE116" i="49"/>
  <c r="AA116" i="49" s="1"/>
  <c r="AE115" i="49"/>
  <c r="AA115" i="49" s="1"/>
  <c r="AE114" i="49"/>
  <c r="AA114" i="49" s="1"/>
  <c r="AE113" i="49"/>
  <c r="AA113" i="49" s="1"/>
  <c r="AE112" i="49"/>
  <c r="AA112" i="49" s="1"/>
  <c r="AE111" i="49"/>
  <c r="AA111" i="49" s="1"/>
  <c r="AE110" i="49"/>
  <c r="AA110" i="49" s="1"/>
  <c r="AE109" i="49"/>
  <c r="AA109" i="49" s="1"/>
  <c r="AE108" i="49"/>
  <c r="AA108" i="49" s="1"/>
  <c r="AE107" i="49"/>
  <c r="AA107" i="49" s="1"/>
  <c r="AE106" i="49"/>
  <c r="AA106" i="49" s="1"/>
  <c r="AE105" i="49"/>
  <c r="AA105" i="49" s="1"/>
  <c r="AE104" i="49"/>
  <c r="AA104" i="49" s="1"/>
  <c r="AE103" i="49"/>
  <c r="AA103" i="49" s="1"/>
  <c r="AE102" i="49"/>
  <c r="AA102" i="49" s="1"/>
  <c r="AE101" i="49"/>
  <c r="AA101" i="49" s="1"/>
  <c r="AE100" i="49"/>
  <c r="AA100" i="49" s="1"/>
  <c r="AE99" i="49"/>
  <c r="AA99" i="49" s="1"/>
  <c r="AE98" i="49"/>
  <c r="AA98" i="49" s="1"/>
  <c r="AE97" i="49"/>
  <c r="AA97" i="49" s="1"/>
  <c r="AE96" i="49"/>
  <c r="AA96" i="49" s="1"/>
  <c r="AE95" i="49"/>
  <c r="AA95" i="49" s="1"/>
  <c r="AE94" i="49"/>
  <c r="AA94" i="49" s="1"/>
  <c r="AE93" i="49"/>
  <c r="AA93" i="49" s="1"/>
  <c r="AE92" i="49"/>
  <c r="AA92" i="49" s="1"/>
  <c r="AE91" i="49"/>
  <c r="AA91" i="49" s="1"/>
  <c r="AE90" i="49"/>
  <c r="AA90" i="49" s="1"/>
  <c r="AE89" i="49"/>
  <c r="AA89" i="49" s="1"/>
  <c r="AE88" i="49"/>
  <c r="AA88" i="49" s="1"/>
  <c r="AE87" i="49"/>
  <c r="AA87" i="49" s="1"/>
  <c r="AE86" i="49"/>
  <c r="AA86" i="49" s="1"/>
  <c r="AE85" i="49"/>
  <c r="AA85" i="49" s="1"/>
  <c r="AE84" i="49"/>
  <c r="AA84" i="49" s="1"/>
  <c r="AE83" i="49"/>
  <c r="AA83" i="49" s="1"/>
  <c r="AE82" i="49"/>
  <c r="AA82" i="49" s="1"/>
  <c r="AE81" i="49"/>
  <c r="AA81" i="49" s="1"/>
  <c r="AE80" i="49"/>
  <c r="AA80" i="49" s="1"/>
  <c r="AE79" i="49"/>
  <c r="AA79" i="49" s="1"/>
  <c r="AE78" i="49"/>
  <c r="AA78" i="49" s="1"/>
  <c r="AE77" i="49"/>
  <c r="AA77" i="49" s="1"/>
  <c r="AE76" i="49"/>
  <c r="AA76" i="49" s="1"/>
  <c r="AE75" i="49"/>
  <c r="AA75" i="49" s="1"/>
  <c r="AE74" i="49"/>
  <c r="AA74" i="49" s="1"/>
  <c r="AE73" i="49"/>
  <c r="AA73" i="49" s="1"/>
  <c r="AE72" i="49"/>
  <c r="AA72" i="49" s="1"/>
  <c r="AE71" i="49"/>
  <c r="AA71" i="49" s="1"/>
  <c r="AE70" i="49"/>
  <c r="AA70" i="49" s="1"/>
  <c r="AE69" i="49"/>
  <c r="AA69" i="49" s="1"/>
  <c r="AE68" i="49"/>
  <c r="AA68" i="49" s="1"/>
  <c r="AE67" i="49"/>
  <c r="AA67" i="49" s="1"/>
  <c r="AE66" i="49"/>
  <c r="AA66" i="49" s="1"/>
  <c r="AE65" i="49"/>
  <c r="AA65" i="49" s="1"/>
  <c r="AE64" i="49"/>
  <c r="AA64" i="49" s="1"/>
  <c r="AE63" i="49"/>
  <c r="AA63" i="49" s="1"/>
  <c r="AE62" i="49"/>
  <c r="AA62" i="49" s="1"/>
  <c r="AE61" i="49"/>
  <c r="AA61" i="49" s="1"/>
  <c r="AE60" i="49"/>
  <c r="AA60" i="49" s="1"/>
  <c r="AE59" i="49"/>
  <c r="AA59" i="49" s="1"/>
  <c r="AE58" i="49"/>
  <c r="AA58" i="49" s="1"/>
  <c r="AE57" i="49"/>
  <c r="AA57" i="49" s="1"/>
  <c r="AE56" i="49"/>
  <c r="AA56" i="49" s="1"/>
  <c r="AE55" i="49"/>
  <c r="AA55" i="49" s="1"/>
  <c r="AE54" i="49"/>
  <c r="AA54" i="49" s="1"/>
  <c r="AE53" i="49"/>
  <c r="AA53" i="49" s="1"/>
  <c r="AE52" i="49"/>
  <c r="AA52" i="49" s="1"/>
  <c r="AE51" i="49"/>
  <c r="AA51" i="49" s="1"/>
  <c r="AE50" i="49"/>
  <c r="AA50" i="49" s="1"/>
  <c r="AE49" i="49"/>
  <c r="AA49" i="49" s="1"/>
  <c r="AE48" i="49"/>
  <c r="AA48" i="49" s="1"/>
  <c r="AE47" i="49"/>
  <c r="AA47" i="49" s="1"/>
  <c r="AE46" i="49"/>
  <c r="AA46" i="49" s="1"/>
  <c r="AE45" i="49"/>
  <c r="AA45" i="49" s="1"/>
  <c r="AE44" i="49"/>
  <c r="AA44" i="49" s="1"/>
  <c r="AE43" i="49"/>
  <c r="AA43" i="49" s="1"/>
  <c r="AE42" i="49"/>
  <c r="AA42" i="49" s="1"/>
  <c r="AE41" i="49"/>
  <c r="AA41" i="49" s="1"/>
  <c r="AE40" i="49"/>
  <c r="AA40" i="49" s="1"/>
  <c r="AE39" i="49"/>
  <c r="AA39" i="49" s="1"/>
  <c r="AE38" i="49"/>
  <c r="AA38" i="49" s="1"/>
  <c r="AE37" i="49"/>
  <c r="AA37" i="49" s="1"/>
  <c r="AE36" i="49"/>
  <c r="AA36" i="49" s="1"/>
  <c r="AE35" i="49"/>
  <c r="AA35" i="49" s="1"/>
  <c r="AE34" i="49"/>
  <c r="AA34" i="49" s="1"/>
  <c r="AE33" i="49"/>
  <c r="AA33" i="49" s="1"/>
  <c r="AE32" i="49"/>
  <c r="AA32" i="49" s="1"/>
  <c r="AE31" i="49"/>
  <c r="AA31" i="49" s="1"/>
  <c r="AE30" i="49"/>
  <c r="AA30" i="49" s="1"/>
  <c r="AE29" i="49"/>
  <c r="AA29" i="49" s="1"/>
  <c r="AE28" i="49"/>
  <c r="AA28" i="49" s="1"/>
  <c r="AE27" i="49"/>
  <c r="AA27" i="49" s="1"/>
  <c r="AE26" i="49"/>
  <c r="AA26" i="49" s="1"/>
  <c r="AE25" i="49"/>
  <c r="AA25" i="49" s="1"/>
  <c r="AE24" i="49"/>
  <c r="AA24" i="49" s="1"/>
  <c r="AE23" i="49"/>
  <c r="AA23" i="49" s="1"/>
  <c r="AE22" i="49"/>
  <c r="AA22" i="49" s="1"/>
  <c r="AE21" i="49"/>
  <c r="AA21" i="49" s="1"/>
  <c r="AE20" i="49"/>
  <c r="AA20" i="49" s="1"/>
  <c r="AE19" i="49"/>
  <c r="AA19" i="49" s="1"/>
  <c r="AE18" i="49"/>
  <c r="AA18" i="49" s="1"/>
  <c r="AE17" i="49"/>
  <c r="AA17" i="49" s="1"/>
  <c r="AE16" i="49"/>
  <c r="AA16" i="49" s="1"/>
  <c r="AE15" i="49"/>
  <c r="AA15" i="49" s="1"/>
  <c r="AE14" i="49"/>
  <c r="AA14" i="49" s="1"/>
  <c r="AE13" i="49"/>
  <c r="AA13" i="49" s="1"/>
  <c r="AE12" i="49"/>
  <c r="AA12" i="49" s="1"/>
  <c r="AE11" i="49"/>
  <c r="AA11" i="49" s="1"/>
  <c r="AE10" i="49"/>
  <c r="AA10" i="49" s="1"/>
  <c r="AE9" i="49"/>
  <c r="AA9" i="49" s="1"/>
  <c r="AE8" i="49"/>
  <c r="AA8" i="49" s="1"/>
  <c r="AE7" i="49"/>
  <c r="AA7" i="49" s="1"/>
  <c r="AE6" i="49"/>
  <c r="AA6" i="49" s="1"/>
  <c r="AE5" i="49"/>
  <c r="AA5" i="49" s="1"/>
  <c r="AE4" i="49"/>
  <c r="AA4" i="49" s="1"/>
  <c r="AE3" i="49"/>
  <c r="AA3" i="49" s="1"/>
  <c r="AE2" i="49"/>
  <c r="AA2" i="49" s="1"/>
  <c r="Y699" i="47"/>
  <c r="Y698" i="47"/>
  <c r="Y697" i="47"/>
  <c r="Y696" i="47"/>
  <c r="Y695" i="47"/>
  <c r="Y694" i="47"/>
  <c r="Y693" i="47"/>
  <c r="Y692" i="47"/>
  <c r="Y691" i="47"/>
  <c r="Y690" i="47"/>
  <c r="Y689" i="47"/>
  <c r="Y688" i="47"/>
  <c r="Y687" i="47"/>
  <c r="Y686" i="47"/>
  <c r="Y685" i="47"/>
  <c r="Y684" i="47"/>
  <c r="Y683" i="47"/>
  <c r="Y682" i="47"/>
  <c r="Y681" i="47"/>
  <c r="Y680" i="47"/>
  <c r="Y679" i="47"/>
  <c r="Y678" i="47"/>
  <c r="Y677" i="47"/>
  <c r="Y676" i="47"/>
  <c r="Y675" i="47"/>
  <c r="Y674" i="47"/>
  <c r="Y673" i="47"/>
  <c r="Y672" i="47"/>
  <c r="Y671" i="47"/>
  <c r="Y670" i="47"/>
  <c r="Y669" i="47"/>
  <c r="Y668" i="47"/>
  <c r="Y667" i="47"/>
  <c r="Y666" i="47"/>
  <c r="Y665" i="47"/>
  <c r="Y664" i="47"/>
  <c r="Y663" i="47"/>
  <c r="Y662" i="47"/>
  <c r="Y661" i="47"/>
  <c r="Y660" i="47"/>
  <c r="Y659" i="47"/>
  <c r="Y658" i="47"/>
  <c r="Y657" i="47"/>
  <c r="Y656" i="47"/>
  <c r="Y655" i="47"/>
  <c r="Y654" i="47"/>
  <c r="Y653" i="47"/>
  <c r="Y652" i="47"/>
  <c r="Y651" i="47"/>
  <c r="Y650" i="47"/>
  <c r="Y649" i="47"/>
  <c r="Y648" i="47"/>
  <c r="Y647" i="47"/>
  <c r="Y646" i="47"/>
  <c r="Y645" i="47"/>
  <c r="Y644" i="47"/>
  <c r="Y643" i="47"/>
  <c r="Y642" i="47"/>
  <c r="Y641" i="47"/>
  <c r="Y640" i="47"/>
  <c r="Y639" i="47"/>
  <c r="Y638" i="47"/>
  <c r="Y637" i="47"/>
  <c r="Y636" i="47"/>
  <c r="Y635" i="47"/>
  <c r="Y634" i="47"/>
  <c r="Y633" i="47"/>
  <c r="Y632" i="47"/>
  <c r="Y631" i="47"/>
  <c r="Y630" i="47"/>
  <c r="Y629" i="47"/>
  <c r="Y628" i="47"/>
  <c r="Y627" i="47"/>
  <c r="Y626" i="47"/>
  <c r="Y625" i="47"/>
  <c r="Y624" i="47"/>
  <c r="Y623" i="47"/>
  <c r="Y622" i="47"/>
  <c r="Y621" i="47"/>
  <c r="Y620" i="47"/>
  <c r="Y619" i="47"/>
  <c r="Y618" i="47"/>
  <c r="Y617" i="47"/>
  <c r="Y616" i="47"/>
  <c r="Y615" i="47"/>
  <c r="Y614" i="47"/>
  <c r="Y613" i="47"/>
  <c r="Y612" i="47"/>
  <c r="Y611" i="47"/>
  <c r="Y610" i="47"/>
  <c r="Y609" i="47"/>
  <c r="Y608" i="47"/>
  <c r="Y607" i="47"/>
  <c r="Y606" i="47"/>
  <c r="Y605" i="47"/>
  <c r="Y604" i="47"/>
  <c r="Y603" i="47"/>
  <c r="Y602" i="47"/>
  <c r="Y601" i="47"/>
  <c r="Y600" i="47"/>
  <c r="Y599" i="47"/>
  <c r="Y598" i="47"/>
  <c r="Y597" i="47"/>
  <c r="Y596" i="47"/>
  <c r="Y595" i="47"/>
  <c r="Y594" i="47"/>
  <c r="Y593" i="47"/>
  <c r="Y592" i="47"/>
  <c r="Y591" i="47"/>
  <c r="Y590" i="47"/>
  <c r="Y589" i="47"/>
  <c r="Y588" i="47"/>
  <c r="Y587" i="47"/>
  <c r="Y586" i="47"/>
  <c r="Y585" i="47"/>
  <c r="Y584" i="47"/>
  <c r="Y583" i="47"/>
  <c r="Y582" i="47"/>
  <c r="Y581" i="47"/>
  <c r="Y580" i="47"/>
  <c r="Y579" i="47"/>
  <c r="Y578" i="47"/>
  <c r="Y577" i="47"/>
  <c r="Y576" i="47"/>
  <c r="Y575" i="47"/>
  <c r="Y574" i="47"/>
  <c r="Y573" i="47"/>
  <c r="Y572" i="47"/>
  <c r="Y571" i="47"/>
  <c r="Y570" i="47"/>
  <c r="Y569" i="47"/>
  <c r="Y568" i="47"/>
  <c r="Y567" i="47"/>
  <c r="Y566" i="47"/>
  <c r="Y565" i="47"/>
  <c r="Y564" i="47"/>
  <c r="Y563" i="47"/>
  <c r="Y562" i="47"/>
  <c r="Y561" i="47"/>
  <c r="Y560" i="47"/>
  <c r="Y559" i="47"/>
  <c r="Y558" i="47"/>
  <c r="Y557" i="47"/>
  <c r="Y556" i="47"/>
  <c r="Y555" i="47"/>
  <c r="Y554" i="47"/>
  <c r="Y553" i="47"/>
  <c r="Y552" i="47"/>
  <c r="Y551" i="47"/>
  <c r="Y550" i="47"/>
  <c r="Y549" i="47"/>
  <c r="Y548" i="47"/>
  <c r="Y547" i="47"/>
  <c r="Y546" i="47"/>
  <c r="Y545" i="47"/>
  <c r="Y544" i="47"/>
  <c r="Y543" i="47"/>
  <c r="Y542" i="47"/>
  <c r="Y541" i="47"/>
  <c r="Y540" i="47"/>
  <c r="Y539" i="47"/>
  <c r="Y538" i="47"/>
  <c r="Y537" i="47"/>
  <c r="Y536" i="47"/>
  <c r="Y535" i="47"/>
  <c r="Y534" i="47"/>
  <c r="Y533" i="47"/>
  <c r="Y532" i="47"/>
  <c r="Y531" i="47"/>
  <c r="Y530" i="47"/>
  <c r="Y529" i="47"/>
  <c r="Y528" i="47"/>
  <c r="Y527" i="47"/>
  <c r="Y526" i="47"/>
  <c r="Y525" i="47"/>
  <c r="Y524" i="47"/>
  <c r="Y523" i="47"/>
  <c r="Y522" i="47"/>
  <c r="Y521" i="47"/>
  <c r="Y520" i="47"/>
  <c r="Y519" i="47"/>
  <c r="Y518" i="47"/>
  <c r="Y517" i="47"/>
  <c r="Y516" i="47"/>
  <c r="Y515" i="47"/>
  <c r="Y514" i="47"/>
  <c r="Y513" i="47"/>
  <c r="Y512" i="47"/>
  <c r="Y511" i="47"/>
  <c r="Y510" i="47"/>
  <c r="Y509" i="47"/>
  <c r="Y508" i="47"/>
  <c r="Y507" i="47"/>
  <c r="Y506" i="47"/>
  <c r="Y505" i="47"/>
  <c r="Y504" i="47"/>
  <c r="Y503" i="47"/>
  <c r="Y502" i="47"/>
  <c r="Y501" i="47"/>
  <c r="Y500" i="47"/>
  <c r="Y499" i="47"/>
  <c r="Y498" i="47"/>
  <c r="Y497" i="47"/>
  <c r="Y496" i="47"/>
  <c r="Y495" i="47"/>
  <c r="Y494" i="47"/>
  <c r="Y493" i="47"/>
  <c r="Y492" i="47"/>
  <c r="Y491" i="47"/>
  <c r="Y490" i="47"/>
  <c r="Y489" i="47"/>
  <c r="Y488" i="47"/>
  <c r="Y487" i="47"/>
  <c r="Y486" i="47"/>
  <c r="Y485" i="47"/>
  <c r="Y484" i="47"/>
  <c r="Y483" i="47"/>
  <c r="Y482" i="47"/>
  <c r="Y481" i="47"/>
  <c r="Y480" i="47"/>
  <c r="Y479" i="47"/>
  <c r="Y478" i="47"/>
  <c r="Y477" i="47"/>
  <c r="Y476" i="47"/>
  <c r="Y475" i="47"/>
  <c r="Y474" i="47"/>
  <c r="Y473" i="47"/>
  <c r="Y472" i="47"/>
  <c r="Y471" i="47"/>
  <c r="Y470" i="47"/>
  <c r="Y469" i="47"/>
  <c r="Y468" i="47"/>
  <c r="Y467" i="47"/>
  <c r="Y466" i="47"/>
  <c r="Y465" i="47"/>
  <c r="Y464" i="47"/>
  <c r="Y463" i="47"/>
  <c r="Y462" i="47"/>
  <c r="Y461" i="47"/>
  <c r="Y460" i="47"/>
  <c r="Y459" i="47"/>
  <c r="Y458" i="47"/>
  <c r="Y457" i="47"/>
  <c r="Y456" i="47"/>
  <c r="Y455" i="47"/>
  <c r="Y454" i="47"/>
  <c r="Y453" i="47"/>
  <c r="Y452" i="47"/>
  <c r="Y451" i="47"/>
  <c r="Y450" i="47"/>
  <c r="Y449" i="47"/>
  <c r="Y448" i="47"/>
  <c r="Y447" i="47"/>
  <c r="Y446" i="47"/>
  <c r="Y445" i="47"/>
  <c r="Y444" i="47"/>
  <c r="Y443" i="47"/>
  <c r="Y442" i="47"/>
  <c r="Y441" i="47"/>
  <c r="Y440" i="47"/>
  <c r="Y439" i="47"/>
  <c r="Y438" i="47"/>
  <c r="Y437" i="47"/>
  <c r="Y436" i="47"/>
  <c r="Y435" i="47"/>
  <c r="Y434" i="47"/>
  <c r="Y433" i="47"/>
  <c r="Y432" i="47"/>
  <c r="Y431" i="47"/>
  <c r="Y430" i="47"/>
  <c r="Y429" i="47"/>
  <c r="Y428" i="47"/>
  <c r="Y427" i="47"/>
  <c r="Y426" i="47"/>
  <c r="Y425" i="47"/>
  <c r="Y424" i="47"/>
  <c r="Y423" i="47"/>
  <c r="Y422" i="47"/>
  <c r="Y421" i="47"/>
  <c r="Y420" i="47"/>
  <c r="Y419" i="47"/>
  <c r="Y418" i="47"/>
  <c r="Y417" i="47"/>
  <c r="Y416" i="47"/>
  <c r="Y415" i="47"/>
  <c r="Y414" i="47"/>
  <c r="Y413" i="47"/>
  <c r="Y412" i="47"/>
  <c r="Y411" i="47"/>
  <c r="Y410" i="47"/>
  <c r="Y409" i="47"/>
  <c r="Y408" i="47"/>
  <c r="Y407" i="47"/>
  <c r="Y406" i="47"/>
  <c r="Y405" i="47"/>
  <c r="Y404" i="47"/>
  <c r="Y403" i="47"/>
  <c r="Y402" i="47"/>
  <c r="Y401" i="47"/>
  <c r="Y400" i="47"/>
  <c r="Y399" i="47"/>
  <c r="Y398" i="47"/>
  <c r="Y397" i="47"/>
  <c r="Y396" i="47"/>
  <c r="Y395" i="47"/>
  <c r="Y394" i="47"/>
  <c r="Y393" i="47"/>
  <c r="Y392" i="47"/>
  <c r="Y391" i="47"/>
  <c r="Y390" i="47"/>
  <c r="Y389" i="47"/>
  <c r="Y388" i="47"/>
  <c r="Y387" i="47"/>
  <c r="Y386" i="47"/>
  <c r="Y385" i="47"/>
  <c r="Y384" i="47"/>
  <c r="Y383" i="47"/>
  <c r="Y382" i="47"/>
  <c r="Y381" i="47"/>
  <c r="Y380" i="47"/>
  <c r="Y379" i="47"/>
  <c r="Y378" i="47"/>
  <c r="Y377" i="47"/>
  <c r="Y376" i="47"/>
  <c r="Y375" i="47"/>
  <c r="Y374" i="47"/>
  <c r="Y373" i="47"/>
  <c r="Y372" i="47"/>
  <c r="Y371" i="47"/>
  <c r="Y370" i="47"/>
  <c r="Y369" i="47"/>
  <c r="Y368" i="47"/>
  <c r="Y367" i="47"/>
  <c r="Y366" i="47"/>
  <c r="Y365" i="47"/>
  <c r="Y364" i="47"/>
  <c r="Y363" i="47"/>
  <c r="Y362" i="47"/>
  <c r="Y361" i="47"/>
  <c r="Y360" i="47"/>
  <c r="Y359" i="47"/>
  <c r="Y358" i="47"/>
  <c r="Y357" i="47"/>
  <c r="Y356" i="47"/>
  <c r="Y355" i="47"/>
  <c r="Y354" i="47"/>
  <c r="Y353" i="47"/>
  <c r="Y352" i="47"/>
  <c r="Y351" i="47"/>
  <c r="Y350" i="47"/>
  <c r="Y349" i="47"/>
  <c r="Y348" i="47"/>
  <c r="Y347" i="47"/>
  <c r="Y346" i="47"/>
  <c r="Y345" i="47"/>
  <c r="Y344" i="47"/>
  <c r="Y343" i="47"/>
  <c r="Y342" i="47"/>
  <c r="Y341" i="47"/>
  <c r="Y340" i="47"/>
  <c r="Y339" i="47"/>
  <c r="Y338" i="47"/>
  <c r="Y337" i="47"/>
  <c r="Y336" i="47"/>
  <c r="Y335" i="47"/>
  <c r="Y334" i="47"/>
  <c r="Y333" i="47"/>
  <c r="Y332" i="47"/>
  <c r="Y331" i="47"/>
  <c r="Y330" i="47"/>
  <c r="Y329" i="47"/>
  <c r="Y328" i="47"/>
  <c r="Y327" i="47"/>
  <c r="Y326" i="47"/>
  <c r="Y325" i="47"/>
  <c r="Y324" i="47"/>
  <c r="Y323" i="47"/>
  <c r="Y322" i="47"/>
  <c r="Y321" i="47"/>
  <c r="Y320" i="47"/>
  <c r="Y319" i="47"/>
  <c r="Y318" i="47"/>
  <c r="Y317" i="47"/>
  <c r="Y316" i="47"/>
  <c r="Y315" i="47"/>
  <c r="Y314" i="47"/>
  <c r="Y313" i="47"/>
  <c r="Y312" i="47"/>
  <c r="Y311" i="47"/>
  <c r="Y310" i="47"/>
  <c r="Y309" i="47"/>
  <c r="Y308" i="47"/>
  <c r="Y307" i="47"/>
  <c r="Y306" i="47"/>
  <c r="Y305" i="47"/>
  <c r="Y304" i="47"/>
  <c r="Y303" i="47"/>
  <c r="Y302" i="47"/>
  <c r="Y301" i="47"/>
  <c r="Y300" i="47"/>
  <c r="Y299" i="47"/>
  <c r="Y298" i="47"/>
  <c r="Y297" i="47"/>
  <c r="Y296" i="47"/>
  <c r="Y295" i="47"/>
  <c r="Y294" i="47"/>
  <c r="Y293" i="47"/>
  <c r="Y292" i="47"/>
  <c r="Y291" i="47"/>
  <c r="Y290" i="47"/>
  <c r="Y289" i="47"/>
  <c r="Y288" i="47"/>
  <c r="Y287" i="47"/>
  <c r="Y286" i="47"/>
  <c r="Y285" i="47"/>
  <c r="Y284" i="47"/>
  <c r="Y283" i="47"/>
  <c r="Y282" i="47"/>
  <c r="Y281" i="47"/>
  <c r="Y280" i="47"/>
  <c r="Y279" i="47"/>
  <c r="Y278" i="47"/>
  <c r="Y277" i="47"/>
  <c r="Y276" i="47"/>
  <c r="Y275" i="47"/>
  <c r="Y274" i="47"/>
  <c r="Y273" i="47"/>
  <c r="Y272" i="47"/>
  <c r="Y271" i="47"/>
  <c r="Y270" i="47"/>
  <c r="Y269" i="47"/>
  <c r="Y268" i="47"/>
  <c r="Y267" i="47"/>
  <c r="Y266" i="47"/>
  <c r="Y265" i="47"/>
  <c r="Y264" i="47"/>
  <c r="Y263" i="47"/>
  <c r="Y262" i="47"/>
  <c r="Y261" i="47"/>
  <c r="Y260" i="47"/>
  <c r="Y259" i="47"/>
  <c r="Y258" i="47"/>
  <c r="Y257" i="47"/>
  <c r="Y256" i="47"/>
  <c r="Y255" i="47"/>
  <c r="Y254" i="47"/>
  <c r="Y253" i="47"/>
  <c r="Y252" i="47"/>
  <c r="Y251" i="47"/>
  <c r="Y250" i="47"/>
  <c r="Y249" i="47"/>
  <c r="Y248" i="47"/>
  <c r="Y247" i="47"/>
  <c r="Y246" i="47"/>
  <c r="Y245" i="47"/>
  <c r="Y244" i="47"/>
  <c r="Y243" i="47"/>
  <c r="Y242" i="47"/>
  <c r="Y241" i="47"/>
  <c r="Y240" i="47"/>
  <c r="Y239" i="47"/>
  <c r="Y238" i="47"/>
  <c r="Y237" i="47"/>
  <c r="Y236" i="47"/>
  <c r="Y235" i="47"/>
  <c r="Y234" i="47"/>
  <c r="Y233" i="47"/>
  <c r="Y232" i="47"/>
  <c r="Y231" i="47"/>
  <c r="Y230" i="47"/>
  <c r="Y229" i="47"/>
  <c r="Y228" i="47"/>
  <c r="Y227" i="47"/>
  <c r="Y226" i="47"/>
  <c r="Y225" i="47"/>
  <c r="Y224" i="47"/>
  <c r="Y223" i="47"/>
  <c r="Y222" i="47"/>
  <c r="Y221" i="47"/>
  <c r="Y220" i="47"/>
  <c r="Y219" i="47"/>
  <c r="Y218" i="47"/>
  <c r="Y217" i="47"/>
  <c r="Y216" i="47"/>
  <c r="Y215" i="47"/>
  <c r="Y214" i="47"/>
  <c r="Y213" i="47"/>
  <c r="Y212" i="47"/>
  <c r="Y211" i="47"/>
  <c r="Y210" i="47"/>
  <c r="Y209" i="47"/>
  <c r="Y208" i="47"/>
  <c r="Y207" i="47"/>
  <c r="Y206" i="47"/>
  <c r="Y205" i="47"/>
  <c r="Y204" i="47"/>
  <c r="Y203" i="47"/>
  <c r="Y202" i="47"/>
  <c r="Y201" i="47"/>
  <c r="Y200" i="47"/>
  <c r="Y199" i="47"/>
  <c r="Y198" i="47"/>
  <c r="Y197" i="47"/>
  <c r="Y196" i="47"/>
  <c r="Y195" i="47"/>
  <c r="Y194" i="47"/>
  <c r="Y193" i="47"/>
  <c r="Y192" i="47"/>
  <c r="Y191" i="47"/>
  <c r="Y190" i="47"/>
  <c r="Y189" i="47"/>
  <c r="Y188" i="47"/>
  <c r="Y187" i="47"/>
  <c r="Y186" i="47"/>
  <c r="Y185" i="47"/>
  <c r="Y184" i="47"/>
  <c r="Y183" i="47"/>
  <c r="Y182" i="47"/>
  <c r="Y181" i="47"/>
  <c r="Y180" i="47"/>
  <c r="Y179" i="47"/>
  <c r="Y178" i="47"/>
  <c r="Y177" i="47"/>
  <c r="Y176" i="47"/>
  <c r="Y175" i="47"/>
  <c r="Y174" i="47"/>
  <c r="Y173" i="47"/>
  <c r="Y172" i="47"/>
  <c r="Y171" i="47"/>
  <c r="Y170" i="47"/>
  <c r="Y169" i="47"/>
  <c r="Y168" i="47"/>
  <c r="Y167" i="47"/>
  <c r="Y166" i="47"/>
  <c r="Y165" i="47"/>
  <c r="Y164" i="47"/>
  <c r="Y163" i="47"/>
  <c r="Y162" i="47"/>
  <c r="Y161" i="47"/>
  <c r="Y160" i="47"/>
  <c r="Y159" i="47"/>
  <c r="Y158" i="47"/>
  <c r="Y157" i="47"/>
  <c r="Y156" i="47"/>
  <c r="Y155" i="47"/>
  <c r="Y154" i="47"/>
  <c r="Y153" i="47"/>
  <c r="Y152" i="47"/>
  <c r="Y151" i="47"/>
  <c r="Y150" i="47"/>
  <c r="Y149" i="47"/>
  <c r="Y148" i="47"/>
  <c r="Y147" i="47"/>
  <c r="Y146" i="47"/>
  <c r="Y145" i="47"/>
  <c r="Y144" i="47"/>
  <c r="Y143" i="47"/>
  <c r="Y142" i="47"/>
  <c r="Y141" i="47"/>
  <c r="Y140" i="47"/>
  <c r="Y139" i="47"/>
  <c r="Y138" i="47"/>
  <c r="Y137" i="47"/>
  <c r="Y136" i="47"/>
  <c r="Y135" i="47"/>
  <c r="Y134" i="47"/>
  <c r="Y133" i="47"/>
  <c r="Y132" i="47"/>
  <c r="Y131" i="47"/>
  <c r="Y130" i="47"/>
  <c r="Y129" i="47"/>
  <c r="Y128" i="47"/>
  <c r="Y127" i="47"/>
  <c r="Y126" i="47"/>
  <c r="Y125" i="47"/>
  <c r="Y124" i="47"/>
  <c r="Y123" i="47"/>
  <c r="Y122" i="47"/>
  <c r="Y121" i="47"/>
  <c r="Y120" i="47"/>
  <c r="Y119" i="47"/>
  <c r="Y118" i="47"/>
  <c r="Y117" i="47"/>
  <c r="Y116" i="47"/>
  <c r="Y115" i="47"/>
  <c r="Y114" i="47"/>
  <c r="Y113" i="47"/>
  <c r="Y112" i="47"/>
  <c r="Y111" i="47"/>
  <c r="Y110" i="47"/>
  <c r="Y109" i="47"/>
  <c r="Y108" i="47"/>
  <c r="Y107" i="47"/>
  <c r="Y106" i="47"/>
  <c r="Y105" i="47"/>
  <c r="Y104" i="47"/>
  <c r="Y103" i="47"/>
  <c r="Y102" i="47"/>
  <c r="Y101" i="47"/>
  <c r="Y100" i="47"/>
  <c r="Y99" i="47"/>
  <c r="Y98" i="47"/>
  <c r="Y97" i="47"/>
  <c r="Y96" i="47"/>
  <c r="Y95" i="47"/>
  <c r="Y94" i="47"/>
  <c r="Y93" i="47"/>
  <c r="Y92" i="47"/>
  <c r="Y91" i="47"/>
  <c r="Y90" i="47"/>
  <c r="Y89" i="47"/>
  <c r="Y88" i="47"/>
  <c r="Y87" i="47"/>
  <c r="Y86" i="47"/>
  <c r="Y85" i="47"/>
  <c r="Y84" i="47"/>
  <c r="Y83" i="47"/>
  <c r="Y82" i="47"/>
  <c r="Y81" i="47"/>
  <c r="Y80" i="47"/>
  <c r="Y79" i="47"/>
  <c r="Y78" i="47"/>
  <c r="Y77" i="47"/>
  <c r="Y76" i="47"/>
  <c r="Y75" i="47"/>
  <c r="Y74" i="47"/>
  <c r="Y73" i="47"/>
  <c r="Y72" i="47"/>
  <c r="Y71" i="47"/>
  <c r="Y70" i="47"/>
  <c r="Y69" i="47"/>
  <c r="Y68" i="47"/>
  <c r="Y67" i="47"/>
  <c r="Y66" i="47"/>
  <c r="Y65" i="47"/>
  <c r="Y64" i="47"/>
  <c r="Y63" i="47"/>
  <c r="Y62" i="47"/>
  <c r="Y61" i="47"/>
  <c r="Y60" i="47"/>
  <c r="Y59" i="47"/>
  <c r="Y58" i="47"/>
  <c r="Y57" i="47"/>
  <c r="Y56" i="47"/>
  <c r="Y55" i="47"/>
  <c r="Y54" i="47"/>
  <c r="Y53" i="47"/>
  <c r="Y52" i="47"/>
  <c r="Y51" i="47"/>
  <c r="Y50" i="47"/>
  <c r="Y49" i="47"/>
  <c r="Y48" i="47"/>
  <c r="Y47" i="47"/>
  <c r="Y46" i="47"/>
  <c r="Y45" i="47"/>
  <c r="Y44" i="47"/>
  <c r="Y43" i="47"/>
  <c r="Y42" i="47"/>
  <c r="Y41" i="47"/>
  <c r="Y40" i="47"/>
  <c r="Y39" i="47"/>
  <c r="Y38" i="47"/>
  <c r="Y37" i="47"/>
  <c r="Y36" i="47"/>
  <c r="Y35" i="47"/>
  <c r="Y34" i="47"/>
  <c r="Y33" i="47"/>
  <c r="Y32" i="47"/>
  <c r="Y31" i="47"/>
  <c r="Y30" i="47"/>
  <c r="Y29" i="47"/>
  <c r="Y28" i="47"/>
  <c r="Y27" i="47"/>
  <c r="Y26" i="47"/>
  <c r="Y25" i="47"/>
  <c r="Y24" i="47"/>
  <c r="Y23" i="47"/>
  <c r="Y22" i="47"/>
  <c r="Y21" i="47"/>
  <c r="Y20" i="47"/>
  <c r="Y19" i="47"/>
  <c r="Y18" i="47"/>
  <c r="Y17" i="47"/>
  <c r="Y16" i="47"/>
  <c r="Y15" i="47"/>
  <c r="Y14" i="47"/>
  <c r="Y13" i="47"/>
  <c r="Y12" i="47"/>
  <c r="Y11" i="47"/>
  <c r="Y10" i="47"/>
  <c r="Y9" i="47"/>
  <c r="Y8" i="47"/>
  <c r="Y7" i="47"/>
  <c r="Y6" i="47"/>
  <c r="Y5" i="47"/>
  <c r="Y4" i="47"/>
  <c r="Y3" i="47"/>
  <c r="Y2" i="47"/>
  <c r="AE699" i="47"/>
  <c r="AA699" i="47" s="1"/>
  <c r="AE698" i="47"/>
  <c r="AA698" i="47" s="1"/>
  <c r="AE697" i="47"/>
  <c r="AA697" i="47" s="1"/>
  <c r="AE696" i="47"/>
  <c r="AA696" i="47" s="1"/>
  <c r="AE695" i="47"/>
  <c r="AA695" i="47" s="1"/>
  <c r="AE694" i="47"/>
  <c r="AA694" i="47" s="1"/>
  <c r="AE693" i="47"/>
  <c r="AA693" i="47" s="1"/>
  <c r="AE692" i="47"/>
  <c r="AA692" i="47" s="1"/>
  <c r="AE691" i="47"/>
  <c r="AA691" i="47" s="1"/>
  <c r="AE690" i="47"/>
  <c r="AA690" i="47" s="1"/>
  <c r="AE689" i="47"/>
  <c r="AA689" i="47" s="1"/>
  <c r="AE688" i="47"/>
  <c r="AA688" i="47" s="1"/>
  <c r="AE687" i="47"/>
  <c r="AA687" i="47" s="1"/>
  <c r="AE686" i="47"/>
  <c r="AA686" i="47" s="1"/>
  <c r="AE685" i="47"/>
  <c r="AA685" i="47" s="1"/>
  <c r="AE684" i="47"/>
  <c r="AA684" i="47" s="1"/>
  <c r="AE683" i="47"/>
  <c r="AA683" i="47" s="1"/>
  <c r="AE682" i="47"/>
  <c r="AA682" i="47" s="1"/>
  <c r="AE681" i="47"/>
  <c r="AA681" i="47" s="1"/>
  <c r="AE680" i="47"/>
  <c r="AA680" i="47" s="1"/>
  <c r="AE679" i="47"/>
  <c r="AA679" i="47" s="1"/>
  <c r="AE678" i="47"/>
  <c r="AA678" i="47" s="1"/>
  <c r="AE677" i="47"/>
  <c r="AA677" i="47" s="1"/>
  <c r="AE676" i="47"/>
  <c r="AA676" i="47" s="1"/>
  <c r="AE675" i="47"/>
  <c r="AA675" i="47" s="1"/>
  <c r="AE674" i="47"/>
  <c r="AA674" i="47" s="1"/>
  <c r="AE673" i="47"/>
  <c r="AA673" i="47" s="1"/>
  <c r="AE672" i="47"/>
  <c r="AA672" i="47" s="1"/>
  <c r="AE671" i="47"/>
  <c r="AA671" i="47" s="1"/>
  <c r="AE670" i="47"/>
  <c r="AA670" i="47" s="1"/>
  <c r="AE669" i="47"/>
  <c r="AA669" i="47" s="1"/>
  <c r="AE668" i="47"/>
  <c r="AA668" i="47" s="1"/>
  <c r="AE667" i="47"/>
  <c r="AA667" i="47" s="1"/>
  <c r="AE666" i="47"/>
  <c r="AA666" i="47" s="1"/>
  <c r="AE665" i="47"/>
  <c r="AA665" i="47" s="1"/>
  <c r="AE664" i="47"/>
  <c r="AA664" i="47" s="1"/>
  <c r="AE663" i="47"/>
  <c r="AA663" i="47" s="1"/>
  <c r="AE662" i="47"/>
  <c r="AA662" i="47" s="1"/>
  <c r="AE661" i="47"/>
  <c r="AA661" i="47" s="1"/>
  <c r="AE660" i="47"/>
  <c r="AA660" i="47" s="1"/>
  <c r="AE659" i="47"/>
  <c r="AA659" i="47" s="1"/>
  <c r="AE658" i="47"/>
  <c r="AA658" i="47" s="1"/>
  <c r="AE657" i="47"/>
  <c r="AA657" i="47" s="1"/>
  <c r="AE656" i="47"/>
  <c r="AA656" i="47" s="1"/>
  <c r="AE655" i="47"/>
  <c r="AA655" i="47" s="1"/>
  <c r="AE654" i="47"/>
  <c r="AA654" i="47" s="1"/>
  <c r="AE653" i="47"/>
  <c r="AA653" i="47" s="1"/>
  <c r="AE652" i="47"/>
  <c r="AA652" i="47" s="1"/>
  <c r="AE651" i="47"/>
  <c r="AA651" i="47" s="1"/>
  <c r="AE650" i="47"/>
  <c r="AA650" i="47" s="1"/>
  <c r="AE649" i="47"/>
  <c r="AA649" i="47" s="1"/>
  <c r="AE648" i="47"/>
  <c r="AA648" i="47" s="1"/>
  <c r="AE647" i="47"/>
  <c r="AA647" i="47" s="1"/>
  <c r="AE646" i="47"/>
  <c r="AA646" i="47" s="1"/>
  <c r="AE645" i="47"/>
  <c r="AA645" i="47" s="1"/>
  <c r="AE644" i="47"/>
  <c r="AA644" i="47" s="1"/>
  <c r="AE643" i="47"/>
  <c r="AA643" i="47" s="1"/>
  <c r="AE642" i="47"/>
  <c r="AA642" i="47" s="1"/>
  <c r="AE641" i="47"/>
  <c r="AA641" i="47" s="1"/>
  <c r="AE640" i="47"/>
  <c r="AA640" i="47" s="1"/>
  <c r="AE639" i="47"/>
  <c r="AA639" i="47" s="1"/>
  <c r="AE638" i="47"/>
  <c r="AA638" i="47" s="1"/>
  <c r="AE637" i="47"/>
  <c r="AA637" i="47" s="1"/>
  <c r="AE636" i="47"/>
  <c r="AA636" i="47" s="1"/>
  <c r="AE635" i="47"/>
  <c r="AA635" i="47" s="1"/>
  <c r="AE634" i="47"/>
  <c r="AA634" i="47" s="1"/>
  <c r="AE633" i="47"/>
  <c r="AA633" i="47" s="1"/>
  <c r="AE632" i="47"/>
  <c r="AA632" i="47" s="1"/>
  <c r="AE631" i="47"/>
  <c r="AA631" i="47" s="1"/>
  <c r="AE630" i="47"/>
  <c r="AA630" i="47" s="1"/>
  <c r="AE629" i="47"/>
  <c r="AA629" i="47" s="1"/>
  <c r="AE628" i="47"/>
  <c r="AA628" i="47" s="1"/>
  <c r="AE627" i="47"/>
  <c r="AA627" i="47" s="1"/>
  <c r="AE626" i="47"/>
  <c r="AA626" i="47" s="1"/>
  <c r="AE625" i="47"/>
  <c r="AA625" i="47" s="1"/>
  <c r="AE624" i="47"/>
  <c r="AA624" i="47" s="1"/>
  <c r="AE623" i="47"/>
  <c r="AA623" i="47" s="1"/>
  <c r="AE622" i="47"/>
  <c r="AA622" i="47" s="1"/>
  <c r="AE621" i="47"/>
  <c r="AA621" i="47" s="1"/>
  <c r="AE620" i="47"/>
  <c r="AA620" i="47" s="1"/>
  <c r="AE619" i="47"/>
  <c r="AA619" i="47" s="1"/>
  <c r="AE618" i="47"/>
  <c r="AA618" i="47" s="1"/>
  <c r="AE617" i="47"/>
  <c r="AA617" i="47" s="1"/>
  <c r="AE616" i="47"/>
  <c r="AA616" i="47" s="1"/>
  <c r="AE615" i="47"/>
  <c r="AA615" i="47" s="1"/>
  <c r="AE614" i="47"/>
  <c r="AA614" i="47" s="1"/>
  <c r="AE613" i="47"/>
  <c r="AA613" i="47" s="1"/>
  <c r="AE612" i="47"/>
  <c r="AA612" i="47" s="1"/>
  <c r="AE611" i="47"/>
  <c r="AA611" i="47" s="1"/>
  <c r="AE610" i="47"/>
  <c r="AA610" i="47" s="1"/>
  <c r="AE609" i="47"/>
  <c r="AA609" i="47" s="1"/>
  <c r="AE608" i="47"/>
  <c r="AA608" i="47" s="1"/>
  <c r="AE607" i="47"/>
  <c r="AA607" i="47" s="1"/>
  <c r="AE606" i="47"/>
  <c r="AA606" i="47" s="1"/>
  <c r="AE605" i="47"/>
  <c r="AA605" i="47" s="1"/>
  <c r="AE604" i="47"/>
  <c r="AA604" i="47" s="1"/>
  <c r="AE603" i="47"/>
  <c r="AA603" i="47" s="1"/>
  <c r="AE602" i="47"/>
  <c r="AA602" i="47" s="1"/>
  <c r="AE601" i="47"/>
  <c r="AA601" i="47" s="1"/>
  <c r="AE600" i="47"/>
  <c r="AA600" i="47" s="1"/>
  <c r="AE599" i="47"/>
  <c r="AA599" i="47" s="1"/>
  <c r="AE598" i="47"/>
  <c r="AA598" i="47" s="1"/>
  <c r="AE597" i="47"/>
  <c r="AA597" i="47" s="1"/>
  <c r="AE596" i="47"/>
  <c r="AA596" i="47" s="1"/>
  <c r="AE595" i="47"/>
  <c r="AA595" i="47" s="1"/>
  <c r="AE594" i="47"/>
  <c r="AA594" i="47" s="1"/>
  <c r="AE593" i="47"/>
  <c r="AA593" i="47" s="1"/>
  <c r="AE592" i="47"/>
  <c r="AA592" i="47" s="1"/>
  <c r="AE591" i="47"/>
  <c r="AA591" i="47" s="1"/>
  <c r="AE590" i="47"/>
  <c r="AA590" i="47" s="1"/>
  <c r="AE589" i="47"/>
  <c r="AA589" i="47" s="1"/>
  <c r="AE588" i="47"/>
  <c r="AA588" i="47" s="1"/>
  <c r="AE587" i="47"/>
  <c r="AA587" i="47" s="1"/>
  <c r="AE586" i="47"/>
  <c r="AA586" i="47" s="1"/>
  <c r="AE585" i="47"/>
  <c r="AA585" i="47" s="1"/>
  <c r="AE584" i="47"/>
  <c r="AA584" i="47" s="1"/>
  <c r="AE583" i="47"/>
  <c r="AA583" i="47" s="1"/>
  <c r="AE582" i="47"/>
  <c r="AA582" i="47" s="1"/>
  <c r="AE581" i="47"/>
  <c r="AA581" i="47" s="1"/>
  <c r="AE580" i="47"/>
  <c r="AA580" i="47" s="1"/>
  <c r="AE579" i="47"/>
  <c r="AA579" i="47" s="1"/>
  <c r="AE578" i="47"/>
  <c r="AA578" i="47" s="1"/>
  <c r="AE577" i="47"/>
  <c r="AA577" i="47" s="1"/>
  <c r="AE576" i="47"/>
  <c r="AA576" i="47" s="1"/>
  <c r="AE575" i="47"/>
  <c r="AA575" i="47" s="1"/>
  <c r="AE574" i="47"/>
  <c r="AA574" i="47" s="1"/>
  <c r="AE573" i="47"/>
  <c r="AA573" i="47" s="1"/>
  <c r="AE572" i="47"/>
  <c r="AA572" i="47" s="1"/>
  <c r="AE571" i="47"/>
  <c r="AA571" i="47" s="1"/>
  <c r="AE570" i="47"/>
  <c r="AA570" i="47" s="1"/>
  <c r="AE569" i="47"/>
  <c r="AA569" i="47" s="1"/>
  <c r="AE568" i="47"/>
  <c r="AA568" i="47" s="1"/>
  <c r="AE567" i="47"/>
  <c r="AA567" i="47" s="1"/>
  <c r="AE566" i="47"/>
  <c r="AA566" i="47" s="1"/>
  <c r="AE565" i="47"/>
  <c r="AA565" i="47" s="1"/>
  <c r="AE564" i="47"/>
  <c r="AA564" i="47" s="1"/>
  <c r="AE563" i="47"/>
  <c r="AA563" i="47" s="1"/>
  <c r="AE562" i="47"/>
  <c r="AA562" i="47" s="1"/>
  <c r="AE561" i="47"/>
  <c r="AA561" i="47" s="1"/>
  <c r="AE560" i="47"/>
  <c r="AA560" i="47" s="1"/>
  <c r="AE559" i="47"/>
  <c r="AA559" i="47" s="1"/>
  <c r="AE558" i="47"/>
  <c r="AA558" i="47" s="1"/>
  <c r="AE557" i="47"/>
  <c r="AA557" i="47" s="1"/>
  <c r="AE556" i="47"/>
  <c r="AA556" i="47" s="1"/>
  <c r="AE555" i="47"/>
  <c r="AA555" i="47" s="1"/>
  <c r="AE554" i="47"/>
  <c r="AA554" i="47" s="1"/>
  <c r="AE553" i="47"/>
  <c r="AA553" i="47" s="1"/>
  <c r="AE552" i="47"/>
  <c r="AA552" i="47" s="1"/>
  <c r="AE551" i="47"/>
  <c r="AA551" i="47" s="1"/>
  <c r="AE550" i="47"/>
  <c r="AA550" i="47" s="1"/>
  <c r="AE549" i="47"/>
  <c r="AA549" i="47" s="1"/>
  <c r="AE548" i="47"/>
  <c r="AA548" i="47" s="1"/>
  <c r="AE547" i="47"/>
  <c r="AA547" i="47" s="1"/>
  <c r="AE546" i="47"/>
  <c r="AA546" i="47" s="1"/>
  <c r="AE545" i="47"/>
  <c r="AA545" i="47" s="1"/>
  <c r="AE544" i="47"/>
  <c r="AA544" i="47" s="1"/>
  <c r="AE543" i="47"/>
  <c r="AA543" i="47" s="1"/>
  <c r="AE542" i="47"/>
  <c r="AA542" i="47" s="1"/>
  <c r="AE541" i="47"/>
  <c r="AA541" i="47" s="1"/>
  <c r="AE540" i="47"/>
  <c r="AA540" i="47" s="1"/>
  <c r="AE539" i="47"/>
  <c r="AA539" i="47" s="1"/>
  <c r="AE538" i="47"/>
  <c r="AA538" i="47" s="1"/>
  <c r="AE537" i="47"/>
  <c r="AA537" i="47" s="1"/>
  <c r="AE536" i="47"/>
  <c r="AA536" i="47" s="1"/>
  <c r="AE535" i="47"/>
  <c r="AA535" i="47" s="1"/>
  <c r="AE534" i="47"/>
  <c r="AA534" i="47" s="1"/>
  <c r="AE533" i="47"/>
  <c r="AA533" i="47" s="1"/>
  <c r="AE532" i="47"/>
  <c r="AA532" i="47" s="1"/>
  <c r="AE531" i="47"/>
  <c r="AA531" i="47" s="1"/>
  <c r="AE530" i="47"/>
  <c r="AA530" i="47" s="1"/>
  <c r="AE529" i="47"/>
  <c r="AA529" i="47" s="1"/>
  <c r="AE528" i="47"/>
  <c r="AA528" i="47" s="1"/>
  <c r="AE527" i="47"/>
  <c r="AA527" i="47" s="1"/>
  <c r="AE526" i="47"/>
  <c r="AA526" i="47" s="1"/>
  <c r="AE525" i="47"/>
  <c r="AA525" i="47" s="1"/>
  <c r="AE524" i="47"/>
  <c r="AA524" i="47" s="1"/>
  <c r="AE523" i="47"/>
  <c r="AA523" i="47" s="1"/>
  <c r="AE522" i="47"/>
  <c r="AA522" i="47" s="1"/>
  <c r="AE521" i="47"/>
  <c r="AA521" i="47" s="1"/>
  <c r="AE520" i="47"/>
  <c r="AA520" i="47" s="1"/>
  <c r="AE519" i="47"/>
  <c r="AA519" i="47" s="1"/>
  <c r="AE518" i="47"/>
  <c r="AA518" i="47" s="1"/>
  <c r="AE517" i="47"/>
  <c r="AA517" i="47" s="1"/>
  <c r="AE516" i="47"/>
  <c r="AA516" i="47" s="1"/>
  <c r="AE515" i="47"/>
  <c r="AA515" i="47" s="1"/>
  <c r="AE514" i="47"/>
  <c r="AA514" i="47" s="1"/>
  <c r="AE513" i="47"/>
  <c r="AA513" i="47" s="1"/>
  <c r="AE512" i="47"/>
  <c r="AA512" i="47" s="1"/>
  <c r="AE511" i="47"/>
  <c r="AA511" i="47" s="1"/>
  <c r="AE510" i="47"/>
  <c r="AA510" i="47" s="1"/>
  <c r="AE509" i="47"/>
  <c r="AA509" i="47" s="1"/>
  <c r="AE508" i="47"/>
  <c r="AA508" i="47" s="1"/>
  <c r="AE507" i="47"/>
  <c r="AA507" i="47" s="1"/>
  <c r="AE506" i="47"/>
  <c r="AA506" i="47" s="1"/>
  <c r="AE505" i="47"/>
  <c r="AA505" i="47" s="1"/>
  <c r="AE504" i="47"/>
  <c r="AA504" i="47" s="1"/>
  <c r="AE503" i="47"/>
  <c r="AA503" i="47" s="1"/>
  <c r="AE502" i="47"/>
  <c r="AA502" i="47" s="1"/>
  <c r="AE501" i="47"/>
  <c r="AA501" i="47" s="1"/>
  <c r="AE500" i="47"/>
  <c r="AA500" i="47" s="1"/>
  <c r="AE499" i="47"/>
  <c r="AA499" i="47" s="1"/>
  <c r="AE498" i="47"/>
  <c r="AA498" i="47" s="1"/>
  <c r="AE497" i="47"/>
  <c r="AA497" i="47" s="1"/>
  <c r="AE496" i="47"/>
  <c r="AA496" i="47" s="1"/>
  <c r="AE495" i="47"/>
  <c r="AA495" i="47" s="1"/>
  <c r="AE494" i="47"/>
  <c r="AA494" i="47" s="1"/>
  <c r="AE493" i="47"/>
  <c r="AA493" i="47" s="1"/>
  <c r="AE492" i="47"/>
  <c r="AA492" i="47" s="1"/>
  <c r="AE491" i="47"/>
  <c r="AA491" i="47" s="1"/>
  <c r="AE490" i="47"/>
  <c r="AA490" i="47" s="1"/>
  <c r="AE489" i="47"/>
  <c r="AA489" i="47" s="1"/>
  <c r="AE488" i="47"/>
  <c r="AA488" i="47" s="1"/>
  <c r="AE487" i="47"/>
  <c r="AA487" i="47" s="1"/>
  <c r="AE486" i="47"/>
  <c r="AA486" i="47" s="1"/>
  <c r="AE485" i="47"/>
  <c r="AA485" i="47" s="1"/>
  <c r="AE484" i="47"/>
  <c r="AA484" i="47" s="1"/>
  <c r="AE483" i="47"/>
  <c r="AA483" i="47" s="1"/>
  <c r="AE482" i="47"/>
  <c r="AA482" i="47" s="1"/>
  <c r="AE481" i="47"/>
  <c r="AA481" i="47" s="1"/>
  <c r="AE480" i="47"/>
  <c r="AA480" i="47" s="1"/>
  <c r="AE479" i="47"/>
  <c r="AA479" i="47" s="1"/>
  <c r="AE478" i="47"/>
  <c r="AA478" i="47" s="1"/>
  <c r="AE477" i="47"/>
  <c r="AA477" i="47" s="1"/>
  <c r="AE476" i="47"/>
  <c r="AA476" i="47" s="1"/>
  <c r="AE475" i="47"/>
  <c r="AA475" i="47" s="1"/>
  <c r="AE474" i="47"/>
  <c r="AA474" i="47" s="1"/>
  <c r="AE473" i="47"/>
  <c r="AA473" i="47" s="1"/>
  <c r="AE472" i="47"/>
  <c r="AA472" i="47" s="1"/>
  <c r="AE471" i="47"/>
  <c r="AA471" i="47" s="1"/>
  <c r="AE470" i="47"/>
  <c r="AA470" i="47" s="1"/>
  <c r="AE469" i="47"/>
  <c r="AA469" i="47" s="1"/>
  <c r="AE468" i="47"/>
  <c r="AA468" i="47" s="1"/>
  <c r="AE467" i="47"/>
  <c r="AA467" i="47" s="1"/>
  <c r="AE466" i="47"/>
  <c r="AA466" i="47" s="1"/>
  <c r="AE465" i="47"/>
  <c r="AA465" i="47" s="1"/>
  <c r="AE464" i="47"/>
  <c r="AA464" i="47" s="1"/>
  <c r="AE463" i="47"/>
  <c r="AA463" i="47" s="1"/>
  <c r="AE462" i="47"/>
  <c r="AA462" i="47" s="1"/>
  <c r="AE461" i="47"/>
  <c r="AA461" i="47" s="1"/>
  <c r="AE460" i="47"/>
  <c r="AA460" i="47" s="1"/>
  <c r="AE459" i="47"/>
  <c r="AA459" i="47" s="1"/>
  <c r="AE458" i="47"/>
  <c r="AA458" i="47" s="1"/>
  <c r="AE457" i="47"/>
  <c r="AA457" i="47" s="1"/>
  <c r="AE456" i="47"/>
  <c r="AA456" i="47" s="1"/>
  <c r="AE455" i="47"/>
  <c r="AA455" i="47" s="1"/>
  <c r="AE454" i="47"/>
  <c r="AA454" i="47" s="1"/>
  <c r="AE453" i="47"/>
  <c r="AA453" i="47" s="1"/>
  <c r="AE452" i="47"/>
  <c r="AA452" i="47" s="1"/>
  <c r="AE451" i="47"/>
  <c r="AA451" i="47" s="1"/>
  <c r="AE450" i="47"/>
  <c r="AA450" i="47" s="1"/>
  <c r="AE449" i="47"/>
  <c r="AA449" i="47" s="1"/>
  <c r="AE448" i="47"/>
  <c r="AA448" i="47" s="1"/>
  <c r="AE447" i="47"/>
  <c r="AA447" i="47" s="1"/>
  <c r="AE446" i="47"/>
  <c r="AA446" i="47" s="1"/>
  <c r="AE445" i="47"/>
  <c r="AA445" i="47" s="1"/>
  <c r="AE444" i="47"/>
  <c r="AA444" i="47" s="1"/>
  <c r="AE443" i="47"/>
  <c r="AA443" i="47" s="1"/>
  <c r="AE442" i="47"/>
  <c r="AA442" i="47" s="1"/>
  <c r="AE441" i="47"/>
  <c r="AA441" i="47" s="1"/>
  <c r="AE440" i="47"/>
  <c r="AA440" i="47" s="1"/>
  <c r="AE439" i="47"/>
  <c r="AA439" i="47" s="1"/>
  <c r="AE438" i="47"/>
  <c r="AA438" i="47" s="1"/>
  <c r="AE437" i="47"/>
  <c r="AA437" i="47" s="1"/>
  <c r="AE436" i="47"/>
  <c r="AA436" i="47" s="1"/>
  <c r="AE435" i="47"/>
  <c r="AA435" i="47" s="1"/>
  <c r="AE434" i="47"/>
  <c r="AA434" i="47" s="1"/>
  <c r="AE433" i="47"/>
  <c r="AA433" i="47" s="1"/>
  <c r="AE432" i="47"/>
  <c r="AA432" i="47" s="1"/>
  <c r="AE431" i="47"/>
  <c r="AA431" i="47" s="1"/>
  <c r="AE430" i="47"/>
  <c r="AA430" i="47" s="1"/>
  <c r="AE429" i="47"/>
  <c r="AA429" i="47" s="1"/>
  <c r="AE428" i="47"/>
  <c r="AA428" i="47" s="1"/>
  <c r="AE427" i="47"/>
  <c r="AA427" i="47" s="1"/>
  <c r="AE426" i="47"/>
  <c r="AA426" i="47" s="1"/>
  <c r="AE425" i="47"/>
  <c r="AA425" i="47" s="1"/>
  <c r="AE424" i="47"/>
  <c r="AA424" i="47" s="1"/>
  <c r="AE423" i="47"/>
  <c r="AA423" i="47" s="1"/>
  <c r="AE422" i="47"/>
  <c r="AA422" i="47" s="1"/>
  <c r="AE421" i="47"/>
  <c r="AA421" i="47" s="1"/>
  <c r="AE420" i="47"/>
  <c r="AA420" i="47" s="1"/>
  <c r="AE419" i="47"/>
  <c r="AA419" i="47" s="1"/>
  <c r="AE418" i="47"/>
  <c r="AA418" i="47" s="1"/>
  <c r="AE417" i="47"/>
  <c r="AA417" i="47" s="1"/>
  <c r="AE416" i="47"/>
  <c r="AA416" i="47" s="1"/>
  <c r="AE415" i="47"/>
  <c r="AA415" i="47" s="1"/>
  <c r="AE414" i="47"/>
  <c r="AA414" i="47" s="1"/>
  <c r="AE413" i="47"/>
  <c r="AA413" i="47" s="1"/>
  <c r="AE412" i="47"/>
  <c r="AA412" i="47" s="1"/>
  <c r="AE411" i="47"/>
  <c r="AA411" i="47" s="1"/>
  <c r="AE410" i="47"/>
  <c r="AA410" i="47" s="1"/>
  <c r="AE409" i="47"/>
  <c r="AA409" i="47" s="1"/>
  <c r="AE408" i="47"/>
  <c r="AA408" i="47" s="1"/>
  <c r="AE407" i="47"/>
  <c r="AA407" i="47" s="1"/>
  <c r="AE406" i="47"/>
  <c r="AA406" i="47" s="1"/>
  <c r="AE405" i="47"/>
  <c r="AA405" i="47" s="1"/>
  <c r="AE404" i="47"/>
  <c r="AA404" i="47" s="1"/>
  <c r="AE403" i="47"/>
  <c r="AA403" i="47" s="1"/>
  <c r="AE402" i="47"/>
  <c r="AA402" i="47" s="1"/>
  <c r="AE401" i="47"/>
  <c r="AA401" i="47" s="1"/>
  <c r="AE400" i="47"/>
  <c r="AA400" i="47" s="1"/>
  <c r="AE399" i="47"/>
  <c r="AA399" i="47" s="1"/>
  <c r="AE398" i="47"/>
  <c r="AA398" i="47" s="1"/>
  <c r="AE397" i="47"/>
  <c r="AA397" i="47" s="1"/>
  <c r="AE396" i="47"/>
  <c r="AA396" i="47" s="1"/>
  <c r="AE395" i="47"/>
  <c r="AA395" i="47" s="1"/>
  <c r="AE394" i="47"/>
  <c r="AA394" i="47" s="1"/>
  <c r="AE393" i="47"/>
  <c r="AA393" i="47" s="1"/>
  <c r="AE392" i="47"/>
  <c r="AA392" i="47" s="1"/>
  <c r="AE391" i="47"/>
  <c r="AA391" i="47" s="1"/>
  <c r="AE390" i="47"/>
  <c r="AA390" i="47" s="1"/>
  <c r="AE389" i="47"/>
  <c r="AA389" i="47" s="1"/>
  <c r="AE388" i="47"/>
  <c r="AA388" i="47" s="1"/>
  <c r="AE387" i="47"/>
  <c r="AA387" i="47" s="1"/>
  <c r="AE386" i="47"/>
  <c r="AA386" i="47" s="1"/>
  <c r="AE385" i="47"/>
  <c r="AA385" i="47" s="1"/>
  <c r="AE384" i="47"/>
  <c r="AA384" i="47" s="1"/>
  <c r="AE383" i="47"/>
  <c r="AA383" i="47" s="1"/>
  <c r="AE382" i="47"/>
  <c r="AA382" i="47" s="1"/>
  <c r="AE381" i="47"/>
  <c r="AA381" i="47" s="1"/>
  <c r="AE380" i="47"/>
  <c r="AA380" i="47" s="1"/>
  <c r="AE379" i="47"/>
  <c r="AA379" i="47" s="1"/>
  <c r="AE378" i="47"/>
  <c r="AA378" i="47" s="1"/>
  <c r="AE377" i="47"/>
  <c r="AA377" i="47" s="1"/>
  <c r="AE376" i="47"/>
  <c r="AA376" i="47" s="1"/>
  <c r="AE375" i="47"/>
  <c r="AA375" i="47" s="1"/>
  <c r="AE374" i="47"/>
  <c r="AA374" i="47" s="1"/>
  <c r="AE373" i="47"/>
  <c r="AA373" i="47" s="1"/>
  <c r="AE372" i="47"/>
  <c r="AA372" i="47" s="1"/>
  <c r="AE371" i="47"/>
  <c r="AA371" i="47" s="1"/>
  <c r="AE370" i="47"/>
  <c r="AA370" i="47" s="1"/>
  <c r="AE369" i="47"/>
  <c r="AA369" i="47" s="1"/>
  <c r="AE368" i="47"/>
  <c r="AA368" i="47" s="1"/>
  <c r="AE367" i="47"/>
  <c r="AA367" i="47" s="1"/>
  <c r="AE366" i="47"/>
  <c r="AA366" i="47" s="1"/>
  <c r="AE365" i="47"/>
  <c r="AA365" i="47" s="1"/>
  <c r="AE364" i="47"/>
  <c r="AA364" i="47" s="1"/>
  <c r="AE363" i="47"/>
  <c r="AA363" i="47" s="1"/>
  <c r="AE362" i="47"/>
  <c r="AA362" i="47" s="1"/>
  <c r="AE361" i="47"/>
  <c r="AA361" i="47" s="1"/>
  <c r="AE360" i="47"/>
  <c r="AA360" i="47" s="1"/>
  <c r="AE359" i="47"/>
  <c r="AA359" i="47" s="1"/>
  <c r="AE358" i="47"/>
  <c r="AA358" i="47" s="1"/>
  <c r="AE357" i="47"/>
  <c r="AA357" i="47" s="1"/>
  <c r="AE356" i="47"/>
  <c r="AA356" i="47" s="1"/>
  <c r="AE355" i="47"/>
  <c r="AA355" i="47" s="1"/>
  <c r="AE354" i="47"/>
  <c r="AA354" i="47" s="1"/>
  <c r="AE353" i="47"/>
  <c r="AA353" i="47" s="1"/>
  <c r="AE352" i="47"/>
  <c r="AA352" i="47" s="1"/>
  <c r="AE351" i="47"/>
  <c r="AA351" i="47" s="1"/>
  <c r="AE350" i="47"/>
  <c r="AA350" i="47" s="1"/>
  <c r="AE349" i="47"/>
  <c r="AA349" i="47" s="1"/>
  <c r="AE348" i="47"/>
  <c r="AA348" i="47" s="1"/>
  <c r="AE347" i="47"/>
  <c r="AA347" i="47" s="1"/>
  <c r="AE346" i="47"/>
  <c r="AA346" i="47" s="1"/>
  <c r="AE345" i="47"/>
  <c r="AA345" i="47" s="1"/>
  <c r="AE344" i="47"/>
  <c r="AA344" i="47" s="1"/>
  <c r="AE343" i="47"/>
  <c r="AA343" i="47" s="1"/>
  <c r="AE342" i="47"/>
  <c r="AA342" i="47" s="1"/>
  <c r="AE341" i="47"/>
  <c r="AA341" i="47" s="1"/>
  <c r="AE340" i="47"/>
  <c r="AA340" i="47" s="1"/>
  <c r="AE339" i="47"/>
  <c r="AA339" i="47" s="1"/>
  <c r="AE338" i="47"/>
  <c r="AA338" i="47" s="1"/>
  <c r="AE337" i="47"/>
  <c r="AA337" i="47" s="1"/>
  <c r="AE336" i="47"/>
  <c r="AA336" i="47" s="1"/>
  <c r="AE335" i="47"/>
  <c r="AA335" i="47" s="1"/>
  <c r="AE334" i="47"/>
  <c r="AA334" i="47" s="1"/>
  <c r="AE333" i="47"/>
  <c r="AA333" i="47" s="1"/>
  <c r="AE332" i="47"/>
  <c r="AA332" i="47" s="1"/>
  <c r="AE331" i="47"/>
  <c r="AA331" i="47" s="1"/>
  <c r="AE330" i="47"/>
  <c r="AA330" i="47" s="1"/>
  <c r="AE329" i="47"/>
  <c r="AA329" i="47" s="1"/>
  <c r="AE328" i="47"/>
  <c r="AA328" i="47" s="1"/>
  <c r="AE327" i="47"/>
  <c r="AA327" i="47" s="1"/>
  <c r="AE326" i="47"/>
  <c r="AA326" i="47" s="1"/>
  <c r="AE325" i="47"/>
  <c r="AA325" i="47" s="1"/>
  <c r="AE324" i="47"/>
  <c r="AA324" i="47" s="1"/>
  <c r="AE323" i="47"/>
  <c r="AA323" i="47" s="1"/>
  <c r="AE322" i="47"/>
  <c r="AA322" i="47" s="1"/>
  <c r="AE321" i="47"/>
  <c r="AA321" i="47" s="1"/>
  <c r="AE320" i="47"/>
  <c r="AA320" i="47" s="1"/>
  <c r="AE319" i="47"/>
  <c r="AA319" i="47" s="1"/>
  <c r="AE318" i="47"/>
  <c r="AA318" i="47" s="1"/>
  <c r="AE317" i="47"/>
  <c r="AA317" i="47" s="1"/>
  <c r="AE316" i="47"/>
  <c r="AA316" i="47" s="1"/>
  <c r="AE315" i="47"/>
  <c r="AA315" i="47" s="1"/>
  <c r="AE314" i="47"/>
  <c r="AA314" i="47" s="1"/>
  <c r="AE313" i="47"/>
  <c r="AA313" i="47" s="1"/>
  <c r="AE312" i="47"/>
  <c r="AA312" i="47" s="1"/>
  <c r="AE311" i="47"/>
  <c r="AA311" i="47" s="1"/>
  <c r="AE310" i="47"/>
  <c r="AA310" i="47" s="1"/>
  <c r="AE309" i="47"/>
  <c r="AA309" i="47" s="1"/>
  <c r="AE308" i="47"/>
  <c r="AA308" i="47" s="1"/>
  <c r="AE307" i="47"/>
  <c r="AA307" i="47" s="1"/>
  <c r="AE306" i="47"/>
  <c r="AA306" i="47" s="1"/>
  <c r="AE305" i="47"/>
  <c r="AA305" i="47" s="1"/>
  <c r="AE304" i="47"/>
  <c r="AA304" i="47" s="1"/>
  <c r="AE303" i="47"/>
  <c r="AA303" i="47" s="1"/>
  <c r="AE302" i="47"/>
  <c r="AA302" i="47" s="1"/>
  <c r="AE301" i="47"/>
  <c r="AA301" i="47" s="1"/>
  <c r="AE300" i="47"/>
  <c r="AA300" i="47" s="1"/>
  <c r="AE299" i="47"/>
  <c r="AA299" i="47" s="1"/>
  <c r="AE298" i="47"/>
  <c r="AA298" i="47" s="1"/>
  <c r="AE297" i="47"/>
  <c r="AA297" i="47" s="1"/>
  <c r="AE296" i="47"/>
  <c r="AA296" i="47" s="1"/>
  <c r="AE295" i="47"/>
  <c r="AA295" i="47" s="1"/>
  <c r="AE294" i="47"/>
  <c r="AA294" i="47" s="1"/>
  <c r="AE293" i="47"/>
  <c r="AA293" i="47" s="1"/>
  <c r="AE292" i="47"/>
  <c r="AA292" i="47" s="1"/>
  <c r="AE291" i="47"/>
  <c r="AA291" i="47" s="1"/>
  <c r="AE290" i="47"/>
  <c r="AA290" i="47" s="1"/>
  <c r="AE289" i="47"/>
  <c r="AA289" i="47" s="1"/>
  <c r="AE288" i="47"/>
  <c r="AA288" i="47" s="1"/>
  <c r="AE287" i="47"/>
  <c r="AA287" i="47" s="1"/>
  <c r="AE286" i="47"/>
  <c r="AA286" i="47" s="1"/>
  <c r="AE285" i="47"/>
  <c r="AA285" i="47" s="1"/>
  <c r="AE284" i="47"/>
  <c r="AA284" i="47" s="1"/>
  <c r="AE283" i="47"/>
  <c r="AA283" i="47" s="1"/>
  <c r="AE282" i="47"/>
  <c r="AA282" i="47" s="1"/>
  <c r="AE281" i="47"/>
  <c r="AA281" i="47" s="1"/>
  <c r="AE280" i="47"/>
  <c r="AA280" i="47" s="1"/>
  <c r="AE279" i="47"/>
  <c r="AA279" i="47" s="1"/>
  <c r="AE278" i="47"/>
  <c r="AA278" i="47" s="1"/>
  <c r="AE277" i="47"/>
  <c r="AA277" i="47" s="1"/>
  <c r="AE276" i="47"/>
  <c r="AA276" i="47" s="1"/>
  <c r="AE275" i="47"/>
  <c r="AA275" i="47" s="1"/>
  <c r="AE274" i="47"/>
  <c r="AA274" i="47" s="1"/>
  <c r="AE273" i="47"/>
  <c r="AA273" i="47" s="1"/>
  <c r="AE272" i="47"/>
  <c r="AA272" i="47" s="1"/>
  <c r="AE271" i="47"/>
  <c r="AA271" i="47" s="1"/>
  <c r="AE270" i="47"/>
  <c r="AA270" i="47" s="1"/>
  <c r="AE269" i="47"/>
  <c r="AA269" i="47" s="1"/>
  <c r="AE268" i="47"/>
  <c r="AA268" i="47" s="1"/>
  <c r="AE267" i="47"/>
  <c r="AA267" i="47" s="1"/>
  <c r="AE266" i="47"/>
  <c r="AA266" i="47" s="1"/>
  <c r="AE265" i="47"/>
  <c r="AA265" i="47" s="1"/>
  <c r="AE264" i="47"/>
  <c r="AA264" i="47" s="1"/>
  <c r="AE263" i="47"/>
  <c r="AA263" i="47" s="1"/>
  <c r="AE262" i="47"/>
  <c r="AA262" i="47" s="1"/>
  <c r="AE261" i="47"/>
  <c r="AA261" i="47" s="1"/>
  <c r="AE260" i="47"/>
  <c r="AA260" i="47" s="1"/>
  <c r="AE259" i="47"/>
  <c r="AA259" i="47" s="1"/>
  <c r="AE258" i="47"/>
  <c r="AA258" i="47" s="1"/>
  <c r="AE257" i="47"/>
  <c r="AA257" i="47" s="1"/>
  <c r="AE256" i="47"/>
  <c r="AA256" i="47" s="1"/>
  <c r="AE255" i="47"/>
  <c r="AA255" i="47" s="1"/>
  <c r="AE254" i="47"/>
  <c r="AA254" i="47" s="1"/>
  <c r="AE253" i="47"/>
  <c r="AA253" i="47" s="1"/>
  <c r="AE252" i="47"/>
  <c r="AA252" i="47" s="1"/>
  <c r="AE251" i="47"/>
  <c r="AA251" i="47" s="1"/>
  <c r="AE250" i="47"/>
  <c r="AA250" i="47" s="1"/>
  <c r="AE249" i="47"/>
  <c r="AA249" i="47" s="1"/>
  <c r="AE248" i="47"/>
  <c r="AA248" i="47" s="1"/>
  <c r="AE247" i="47"/>
  <c r="AA247" i="47" s="1"/>
  <c r="AE246" i="47"/>
  <c r="AA246" i="47" s="1"/>
  <c r="AE245" i="47"/>
  <c r="AA245" i="47" s="1"/>
  <c r="AE244" i="47"/>
  <c r="AA244" i="47" s="1"/>
  <c r="AE243" i="47"/>
  <c r="AA243" i="47" s="1"/>
  <c r="AE242" i="47"/>
  <c r="AA242" i="47" s="1"/>
  <c r="AE241" i="47"/>
  <c r="AA241" i="47" s="1"/>
  <c r="AE240" i="47"/>
  <c r="AA240" i="47" s="1"/>
  <c r="AE239" i="47"/>
  <c r="AA239" i="47" s="1"/>
  <c r="AE238" i="47"/>
  <c r="AA238" i="47" s="1"/>
  <c r="AE237" i="47"/>
  <c r="AA237" i="47" s="1"/>
  <c r="AE236" i="47"/>
  <c r="AA236" i="47" s="1"/>
  <c r="AE235" i="47"/>
  <c r="AA235" i="47" s="1"/>
  <c r="AE234" i="47"/>
  <c r="AA234" i="47" s="1"/>
  <c r="AE233" i="47"/>
  <c r="AA233" i="47" s="1"/>
  <c r="AE232" i="47"/>
  <c r="AA232" i="47" s="1"/>
  <c r="AE231" i="47"/>
  <c r="AA231" i="47" s="1"/>
  <c r="AE230" i="47"/>
  <c r="AA230" i="47" s="1"/>
  <c r="AE229" i="47"/>
  <c r="AA229" i="47" s="1"/>
  <c r="AE228" i="47"/>
  <c r="AA228" i="47" s="1"/>
  <c r="AE227" i="47"/>
  <c r="AA227" i="47" s="1"/>
  <c r="AE226" i="47"/>
  <c r="AA226" i="47" s="1"/>
  <c r="AE225" i="47"/>
  <c r="AA225" i="47" s="1"/>
  <c r="AE224" i="47"/>
  <c r="AA224" i="47" s="1"/>
  <c r="AE223" i="47"/>
  <c r="AA223" i="47" s="1"/>
  <c r="AE222" i="47"/>
  <c r="AA222" i="47" s="1"/>
  <c r="AE221" i="47"/>
  <c r="AA221" i="47" s="1"/>
  <c r="AE220" i="47"/>
  <c r="AA220" i="47" s="1"/>
  <c r="AE219" i="47"/>
  <c r="AA219" i="47" s="1"/>
  <c r="AE218" i="47"/>
  <c r="AA218" i="47" s="1"/>
  <c r="AE217" i="47"/>
  <c r="AA217" i="47" s="1"/>
  <c r="AE216" i="47"/>
  <c r="AA216" i="47" s="1"/>
  <c r="AE215" i="47"/>
  <c r="AA215" i="47" s="1"/>
  <c r="AE214" i="47"/>
  <c r="AA214" i="47" s="1"/>
  <c r="AE213" i="47"/>
  <c r="AA213" i="47" s="1"/>
  <c r="AE212" i="47"/>
  <c r="AA212" i="47" s="1"/>
  <c r="AE211" i="47"/>
  <c r="AA211" i="47" s="1"/>
  <c r="AE210" i="47"/>
  <c r="AA210" i="47" s="1"/>
  <c r="AE209" i="47"/>
  <c r="AA209" i="47" s="1"/>
  <c r="AE208" i="47"/>
  <c r="AA208" i="47" s="1"/>
  <c r="AE207" i="47"/>
  <c r="AA207" i="47" s="1"/>
  <c r="AE206" i="47"/>
  <c r="AA206" i="47" s="1"/>
  <c r="AE205" i="47"/>
  <c r="AA205" i="47" s="1"/>
  <c r="AE204" i="47"/>
  <c r="AA204" i="47" s="1"/>
  <c r="AE203" i="47"/>
  <c r="AA203" i="47" s="1"/>
  <c r="AE202" i="47"/>
  <c r="AA202" i="47" s="1"/>
  <c r="AE201" i="47"/>
  <c r="AA201" i="47" s="1"/>
  <c r="AE200" i="47"/>
  <c r="AA200" i="47" s="1"/>
  <c r="AE199" i="47"/>
  <c r="AA199" i="47" s="1"/>
  <c r="AE198" i="47"/>
  <c r="AA198" i="47" s="1"/>
  <c r="AE197" i="47"/>
  <c r="AA197" i="47" s="1"/>
  <c r="AE196" i="47"/>
  <c r="AA196" i="47" s="1"/>
  <c r="AE195" i="47"/>
  <c r="AA195" i="47" s="1"/>
  <c r="AE194" i="47"/>
  <c r="AA194" i="47" s="1"/>
  <c r="AE193" i="47"/>
  <c r="AA193" i="47" s="1"/>
  <c r="AE192" i="47"/>
  <c r="AA192" i="47" s="1"/>
  <c r="AE191" i="47"/>
  <c r="AA191" i="47" s="1"/>
  <c r="AE190" i="47"/>
  <c r="AA190" i="47" s="1"/>
  <c r="AE189" i="47"/>
  <c r="AA189" i="47" s="1"/>
  <c r="AE188" i="47"/>
  <c r="AA188" i="47" s="1"/>
  <c r="AE187" i="47"/>
  <c r="AA187" i="47" s="1"/>
  <c r="AE186" i="47"/>
  <c r="AA186" i="47" s="1"/>
  <c r="AE185" i="47"/>
  <c r="AA185" i="47" s="1"/>
  <c r="AE184" i="47"/>
  <c r="AA184" i="47" s="1"/>
  <c r="AE183" i="47"/>
  <c r="AA183" i="47" s="1"/>
  <c r="AE182" i="47"/>
  <c r="AA182" i="47" s="1"/>
  <c r="AE181" i="47"/>
  <c r="AA181" i="47" s="1"/>
  <c r="AE180" i="47"/>
  <c r="AA180" i="47" s="1"/>
  <c r="AE179" i="47"/>
  <c r="AA179" i="47" s="1"/>
  <c r="AE178" i="47"/>
  <c r="AA178" i="47" s="1"/>
  <c r="AE177" i="47"/>
  <c r="AA177" i="47" s="1"/>
  <c r="AE176" i="47"/>
  <c r="AA176" i="47" s="1"/>
  <c r="AE175" i="47"/>
  <c r="AA175" i="47" s="1"/>
  <c r="AE174" i="47"/>
  <c r="AA174" i="47" s="1"/>
  <c r="AE173" i="47"/>
  <c r="AA173" i="47" s="1"/>
  <c r="AE172" i="47"/>
  <c r="AA172" i="47" s="1"/>
  <c r="AE171" i="47"/>
  <c r="AA171" i="47" s="1"/>
  <c r="AE170" i="47"/>
  <c r="AA170" i="47" s="1"/>
  <c r="AE169" i="47"/>
  <c r="AA169" i="47" s="1"/>
  <c r="AE168" i="47"/>
  <c r="AA168" i="47" s="1"/>
  <c r="AE167" i="47"/>
  <c r="AA167" i="47" s="1"/>
  <c r="AE166" i="47"/>
  <c r="AA166" i="47" s="1"/>
  <c r="AE165" i="47"/>
  <c r="AA165" i="47" s="1"/>
  <c r="AE164" i="47"/>
  <c r="AA164" i="47" s="1"/>
  <c r="AE163" i="47"/>
  <c r="AA163" i="47" s="1"/>
  <c r="AE162" i="47"/>
  <c r="AA162" i="47" s="1"/>
  <c r="AE161" i="47"/>
  <c r="AA161" i="47" s="1"/>
  <c r="AE160" i="47"/>
  <c r="AA160" i="47" s="1"/>
  <c r="AE159" i="47"/>
  <c r="AA159" i="47" s="1"/>
  <c r="AE158" i="47"/>
  <c r="AA158" i="47" s="1"/>
  <c r="AE157" i="47"/>
  <c r="AA157" i="47" s="1"/>
  <c r="AE156" i="47"/>
  <c r="AA156" i="47" s="1"/>
  <c r="AE155" i="47"/>
  <c r="AA155" i="47" s="1"/>
  <c r="AE154" i="47"/>
  <c r="AA154" i="47" s="1"/>
  <c r="AE153" i="47"/>
  <c r="AA153" i="47" s="1"/>
  <c r="AE152" i="47"/>
  <c r="AA152" i="47" s="1"/>
  <c r="AE151" i="47"/>
  <c r="AA151" i="47" s="1"/>
  <c r="AE150" i="47"/>
  <c r="AA150" i="47" s="1"/>
  <c r="AE149" i="47"/>
  <c r="AA149" i="47" s="1"/>
  <c r="AE148" i="47"/>
  <c r="AA148" i="47" s="1"/>
  <c r="AE147" i="47"/>
  <c r="AA147" i="47" s="1"/>
  <c r="AE146" i="47"/>
  <c r="AA146" i="47" s="1"/>
  <c r="AE145" i="47"/>
  <c r="AA145" i="47" s="1"/>
  <c r="AE144" i="47"/>
  <c r="AA144" i="47" s="1"/>
  <c r="AE143" i="47"/>
  <c r="AA143" i="47" s="1"/>
  <c r="AE142" i="47"/>
  <c r="AA142" i="47" s="1"/>
  <c r="AE141" i="47"/>
  <c r="AA141" i="47" s="1"/>
  <c r="AE140" i="47"/>
  <c r="AA140" i="47" s="1"/>
  <c r="AE139" i="47"/>
  <c r="AA139" i="47" s="1"/>
  <c r="AE138" i="47"/>
  <c r="AA138" i="47" s="1"/>
  <c r="AE137" i="47"/>
  <c r="AA137" i="47" s="1"/>
  <c r="AE136" i="47"/>
  <c r="AA136" i="47" s="1"/>
  <c r="AE135" i="47"/>
  <c r="AA135" i="47" s="1"/>
  <c r="AE134" i="47"/>
  <c r="AA134" i="47" s="1"/>
  <c r="AE133" i="47"/>
  <c r="AA133" i="47" s="1"/>
  <c r="AE132" i="47"/>
  <c r="AA132" i="47" s="1"/>
  <c r="AE131" i="47"/>
  <c r="AA131" i="47" s="1"/>
  <c r="AE130" i="47"/>
  <c r="AA130" i="47" s="1"/>
  <c r="AE129" i="47"/>
  <c r="AA129" i="47" s="1"/>
  <c r="AE128" i="47"/>
  <c r="AA128" i="47" s="1"/>
  <c r="AE127" i="47"/>
  <c r="AA127" i="47" s="1"/>
  <c r="AE126" i="47"/>
  <c r="AA126" i="47" s="1"/>
  <c r="AE125" i="47"/>
  <c r="AA125" i="47" s="1"/>
  <c r="AE124" i="47"/>
  <c r="AA124" i="47" s="1"/>
  <c r="AE123" i="47"/>
  <c r="AA123" i="47" s="1"/>
  <c r="AE122" i="47"/>
  <c r="AA122" i="47" s="1"/>
  <c r="AE121" i="47"/>
  <c r="AA121" i="47" s="1"/>
  <c r="AE120" i="47"/>
  <c r="AA120" i="47" s="1"/>
  <c r="AE119" i="47"/>
  <c r="AA119" i="47" s="1"/>
  <c r="AE118" i="47"/>
  <c r="AA118" i="47" s="1"/>
  <c r="AE117" i="47"/>
  <c r="AA117" i="47" s="1"/>
  <c r="AE116" i="47"/>
  <c r="AA116" i="47" s="1"/>
  <c r="AE115" i="47"/>
  <c r="AA115" i="47" s="1"/>
  <c r="AE114" i="47"/>
  <c r="AA114" i="47" s="1"/>
  <c r="AE113" i="47"/>
  <c r="AA113" i="47" s="1"/>
  <c r="AE112" i="47"/>
  <c r="AA112" i="47" s="1"/>
  <c r="AE111" i="47"/>
  <c r="AA111" i="47" s="1"/>
  <c r="AE110" i="47"/>
  <c r="AA110" i="47" s="1"/>
  <c r="AE109" i="47"/>
  <c r="AA109" i="47" s="1"/>
  <c r="AE108" i="47"/>
  <c r="AA108" i="47" s="1"/>
  <c r="AE107" i="47"/>
  <c r="AA107" i="47" s="1"/>
  <c r="AE106" i="47"/>
  <c r="AA106" i="47" s="1"/>
  <c r="AE105" i="47"/>
  <c r="AA105" i="47" s="1"/>
  <c r="AE104" i="47"/>
  <c r="AA104" i="47" s="1"/>
  <c r="AE103" i="47"/>
  <c r="AA103" i="47" s="1"/>
  <c r="AE102" i="47"/>
  <c r="AA102" i="47" s="1"/>
  <c r="AE101" i="47"/>
  <c r="AA101" i="47" s="1"/>
  <c r="AE100" i="47"/>
  <c r="AA100" i="47" s="1"/>
  <c r="AE99" i="47"/>
  <c r="AA99" i="47" s="1"/>
  <c r="AE98" i="47"/>
  <c r="AA98" i="47" s="1"/>
  <c r="AE97" i="47"/>
  <c r="AA97" i="47" s="1"/>
  <c r="AE96" i="47"/>
  <c r="AA96" i="47" s="1"/>
  <c r="AE95" i="47"/>
  <c r="AA95" i="47" s="1"/>
  <c r="AE94" i="47"/>
  <c r="AA94" i="47" s="1"/>
  <c r="AE93" i="47"/>
  <c r="AA93" i="47" s="1"/>
  <c r="AE92" i="47"/>
  <c r="AA92" i="47" s="1"/>
  <c r="AE91" i="47"/>
  <c r="AA91" i="47" s="1"/>
  <c r="AE90" i="47"/>
  <c r="AA90" i="47" s="1"/>
  <c r="AE89" i="47"/>
  <c r="AA89" i="47" s="1"/>
  <c r="AE88" i="47"/>
  <c r="AA88" i="47" s="1"/>
  <c r="AE87" i="47"/>
  <c r="AA87" i="47" s="1"/>
  <c r="AE86" i="47"/>
  <c r="AA86" i="47" s="1"/>
  <c r="AE85" i="47"/>
  <c r="AA85" i="47" s="1"/>
  <c r="AE84" i="47"/>
  <c r="AA84" i="47" s="1"/>
  <c r="AE83" i="47"/>
  <c r="AA83" i="47" s="1"/>
  <c r="AE82" i="47"/>
  <c r="AA82" i="47" s="1"/>
  <c r="AE81" i="47"/>
  <c r="AA81" i="47" s="1"/>
  <c r="AE80" i="47"/>
  <c r="AA80" i="47" s="1"/>
  <c r="AE79" i="47"/>
  <c r="AA79" i="47" s="1"/>
  <c r="AE78" i="47"/>
  <c r="AA78" i="47" s="1"/>
  <c r="AE77" i="47"/>
  <c r="AA77" i="47" s="1"/>
  <c r="AE76" i="47"/>
  <c r="AA76" i="47" s="1"/>
  <c r="AE75" i="47"/>
  <c r="AA75" i="47" s="1"/>
  <c r="AE74" i="47"/>
  <c r="AA74" i="47" s="1"/>
  <c r="AE73" i="47"/>
  <c r="AA73" i="47" s="1"/>
  <c r="AE72" i="47"/>
  <c r="AA72" i="47" s="1"/>
  <c r="AE71" i="47"/>
  <c r="AA71" i="47" s="1"/>
  <c r="AE70" i="47"/>
  <c r="AA70" i="47" s="1"/>
  <c r="AE69" i="47"/>
  <c r="AA69" i="47" s="1"/>
  <c r="AE68" i="47"/>
  <c r="AA68" i="47" s="1"/>
  <c r="AE67" i="47"/>
  <c r="AA67" i="47" s="1"/>
  <c r="AE66" i="47"/>
  <c r="AA66" i="47" s="1"/>
  <c r="AE65" i="47"/>
  <c r="AA65" i="47" s="1"/>
  <c r="AE64" i="47"/>
  <c r="AA64" i="47" s="1"/>
  <c r="AE63" i="47"/>
  <c r="AA63" i="47" s="1"/>
  <c r="AE62" i="47"/>
  <c r="AA62" i="47" s="1"/>
  <c r="AE61" i="47"/>
  <c r="AA61" i="47" s="1"/>
  <c r="AE60" i="47"/>
  <c r="AA60" i="47" s="1"/>
  <c r="AE59" i="47"/>
  <c r="AA59" i="47" s="1"/>
  <c r="AE58" i="47"/>
  <c r="AA58" i="47" s="1"/>
  <c r="AE57" i="47"/>
  <c r="AA57" i="47" s="1"/>
  <c r="AE56" i="47"/>
  <c r="AA56" i="47" s="1"/>
  <c r="AE55" i="47"/>
  <c r="AA55" i="47" s="1"/>
  <c r="AE54" i="47"/>
  <c r="AA54" i="47" s="1"/>
  <c r="AE53" i="47"/>
  <c r="AA53" i="47" s="1"/>
  <c r="AE52" i="47"/>
  <c r="AA52" i="47" s="1"/>
  <c r="AE51" i="47"/>
  <c r="AA51" i="47" s="1"/>
  <c r="AE50" i="47"/>
  <c r="AA50" i="47" s="1"/>
  <c r="AE49" i="47"/>
  <c r="AA49" i="47" s="1"/>
  <c r="AE48" i="47"/>
  <c r="AA48" i="47" s="1"/>
  <c r="AE47" i="47"/>
  <c r="AA47" i="47" s="1"/>
  <c r="AE46" i="47"/>
  <c r="AA46" i="47" s="1"/>
  <c r="AE45" i="47"/>
  <c r="AA45" i="47" s="1"/>
  <c r="AE44" i="47"/>
  <c r="AA44" i="47" s="1"/>
  <c r="AE43" i="47"/>
  <c r="AA43" i="47" s="1"/>
  <c r="AE42" i="47"/>
  <c r="AA42" i="47" s="1"/>
  <c r="AE41" i="47"/>
  <c r="AA41" i="47" s="1"/>
  <c r="AE40" i="47"/>
  <c r="AA40" i="47" s="1"/>
  <c r="AE39" i="47"/>
  <c r="AA39" i="47" s="1"/>
  <c r="AE38" i="47"/>
  <c r="AA38" i="47" s="1"/>
  <c r="AE37" i="47"/>
  <c r="AA37" i="47" s="1"/>
  <c r="AE36" i="47"/>
  <c r="AA36" i="47" s="1"/>
  <c r="AE35" i="47"/>
  <c r="AA35" i="47" s="1"/>
  <c r="AE34" i="47"/>
  <c r="AA34" i="47" s="1"/>
  <c r="AE33" i="47"/>
  <c r="AA33" i="47" s="1"/>
  <c r="AE32" i="47"/>
  <c r="AA32" i="47" s="1"/>
  <c r="AE31" i="47"/>
  <c r="AA31" i="47" s="1"/>
  <c r="AE30" i="47"/>
  <c r="AA30" i="47" s="1"/>
  <c r="AE29" i="47"/>
  <c r="AA29" i="47" s="1"/>
  <c r="AE28" i="47"/>
  <c r="AA28" i="47" s="1"/>
  <c r="AE27" i="47"/>
  <c r="AA27" i="47" s="1"/>
  <c r="AE26" i="47"/>
  <c r="AA26" i="47" s="1"/>
  <c r="AE25" i="47"/>
  <c r="AA25" i="47" s="1"/>
  <c r="AE24" i="47"/>
  <c r="AA24" i="47" s="1"/>
  <c r="AE23" i="47"/>
  <c r="AA23" i="47" s="1"/>
  <c r="AE22" i="47"/>
  <c r="AA22" i="47" s="1"/>
  <c r="AE21" i="47"/>
  <c r="AA21" i="47" s="1"/>
  <c r="AE20" i="47"/>
  <c r="AA20" i="47" s="1"/>
  <c r="AE19" i="47"/>
  <c r="AA19" i="47" s="1"/>
  <c r="AE18" i="47"/>
  <c r="AA18" i="47" s="1"/>
  <c r="AE17" i="47"/>
  <c r="AA17" i="47" s="1"/>
  <c r="AE16" i="47"/>
  <c r="AA16" i="47" s="1"/>
  <c r="AE15" i="47"/>
  <c r="AA15" i="47" s="1"/>
  <c r="AE14" i="47"/>
  <c r="AA14" i="47" s="1"/>
  <c r="AE13" i="47"/>
  <c r="AA13" i="47" s="1"/>
  <c r="AE12" i="47"/>
  <c r="AA12" i="47" s="1"/>
  <c r="AE11" i="47"/>
  <c r="AA11" i="47" s="1"/>
  <c r="AE10" i="47"/>
  <c r="AA10" i="47" s="1"/>
  <c r="AE9" i="47"/>
  <c r="AA9" i="47" s="1"/>
  <c r="AE8" i="47"/>
  <c r="AA8" i="47" s="1"/>
  <c r="AE7" i="47"/>
  <c r="AA7" i="47" s="1"/>
  <c r="AE6" i="47"/>
  <c r="AA6" i="47" s="1"/>
  <c r="AE5" i="47"/>
  <c r="AA5" i="47" s="1"/>
  <c r="AE4" i="47"/>
  <c r="AA4" i="47" s="1"/>
  <c r="AE3" i="47"/>
  <c r="AA3" i="47" s="1"/>
  <c r="AE2" i="47"/>
  <c r="AA2" i="47" s="1"/>
  <c r="AE1694" i="46"/>
  <c r="AA1694" i="46" s="1"/>
  <c r="AE1691" i="46"/>
  <c r="AA1691" i="46" s="1"/>
  <c r="AE1685" i="46"/>
  <c r="AA1685" i="46" s="1"/>
  <c r="AE1675" i="46"/>
  <c r="AA1675" i="46" s="1"/>
  <c r="AE1664" i="46"/>
  <c r="AA1664" i="46" s="1"/>
  <c r="AE1662" i="46"/>
  <c r="AA1662" i="46" s="1"/>
  <c r="AE1659" i="46"/>
  <c r="AA1659" i="46" s="1"/>
  <c r="AE1655" i="46"/>
  <c r="AA1655" i="46" s="1"/>
  <c r="AE1645" i="46"/>
  <c r="AA1645" i="46" s="1"/>
  <c r="AE1642" i="46"/>
  <c r="AA1642" i="46" s="1"/>
  <c r="AE1641" i="46"/>
  <c r="AA1641" i="46" s="1"/>
  <c r="AE1637" i="46"/>
  <c r="AA1637" i="46" s="1"/>
  <c r="AE1635" i="46"/>
  <c r="AA1635" i="46" s="1"/>
  <c r="AE1634" i="46"/>
  <c r="AA1634" i="46" s="1"/>
  <c r="AE1629" i="46"/>
  <c r="AA1629" i="46" s="1"/>
  <c r="AE1623" i="46"/>
  <c r="AA1623" i="46" s="1"/>
  <c r="AE1622" i="46"/>
  <c r="AA1622" i="46" s="1"/>
  <c r="AE1620" i="46"/>
  <c r="AA1620" i="46" s="1"/>
  <c r="AE1596" i="46"/>
  <c r="AA1596" i="46" s="1"/>
  <c r="AE1593" i="46"/>
  <c r="AA1593" i="46" s="1"/>
  <c r="AE1590" i="46"/>
  <c r="AA1590" i="46" s="1"/>
  <c r="AE1587" i="46"/>
  <c r="AA1587" i="46" s="1"/>
  <c r="AE1551" i="46"/>
  <c r="AA1551" i="46" s="1"/>
  <c r="AE1544" i="46"/>
  <c r="AA1544" i="46" s="1"/>
  <c r="AE1525" i="46"/>
  <c r="AA1525" i="46" s="1"/>
  <c r="AE1520" i="46"/>
  <c r="AA1520" i="46" s="1"/>
  <c r="AE1518" i="46"/>
  <c r="AA1518" i="46" s="1"/>
  <c r="AE1517" i="46"/>
  <c r="AA1517" i="46" s="1"/>
  <c r="AE1505" i="46"/>
  <c r="AA1505" i="46" s="1"/>
  <c r="AE1501" i="46"/>
  <c r="AA1501" i="46" s="1"/>
  <c r="AE1489" i="46"/>
  <c r="AA1489" i="46" s="1"/>
  <c r="AE1488" i="46"/>
  <c r="AA1488" i="46" s="1"/>
  <c r="AE1484" i="46"/>
  <c r="AA1484" i="46" s="1"/>
  <c r="AE1480" i="46"/>
  <c r="AA1480" i="46" s="1"/>
  <c r="AE1479" i="46"/>
  <c r="AA1479" i="46" s="1"/>
  <c r="AE1471" i="46"/>
  <c r="AA1471" i="46" s="1"/>
  <c r="AE1458" i="46"/>
  <c r="AA1458" i="46" s="1"/>
  <c r="AE1455" i="46"/>
  <c r="AA1455" i="46" s="1"/>
  <c r="AE1452" i="46"/>
  <c r="AA1452" i="46" s="1"/>
  <c r="AE1434" i="46"/>
  <c r="AA1434" i="46" s="1"/>
  <c r="AE1417" i="46"/>
  <c r="AA1417" i="46" s="1"/>
  <c r="AE1414" i="46"/>
  <c r="AA1414" i="46" s="1"/>
  <c r="AE1385" i="46"/>
  <c r="AA1385" i="46" s="1"/>
  <c r="AE1382" i="46"/>
  <c r="AA1382" i="46" s="1"/>
  <c r="AE1381" i="46"/>
  <c r="AA1381" i="46" s="1"/>
  <c r="AE1379" i="46"/>
  <c r="AA1379" i="46" s="1"/>
  <c r="AE1250" i="46"/>
  <c r="AA1250" i="46" s="1"/>
  <c r="AE1241" i="46"/>
  <c r="AA1241" i="46" s="1"/>
  <c r="AE1236" i="46"/>
  <c r="AA1236" i="46" s="1"/>
  <c r="AE1233" i="46"/>
  <c r="AA1233" i="46" s="1"/>
  <c r="AE1227" i="46"/>
  <c r="AA1227" i="46" s="1"/>
  <c r="AE1226" i="46"/>
  <c r="AA1226" i="46" s="1"/>
  <c r="AE1223" i="46"/>
  <c r="AA1223" i="46" s="1"/>
  <c r="AE1221" i="46"/>
  <c r="AA1221" i="46" s="1"/>
  <c r="AE1215" i="46"/>
  <c r="AA1215" i="46" s="1"/>
  <c r="AE1214" i="46"/>
  <c r="AA1214" i="46" s="1"/>
  <c r="AE1209" i="46"/>
  <c r="AA1209" i="46" s="1"/>
  <c r="AE1206" i="46"/>
  <c r="AA1206" i="46" s="1"/>
  <c r="Y1694" i="46"/>
  <c r="Y1691" i="46"/>
  <c r="Y1685" i="46"/>
  <c r="Y1675" i="46"/>
  <c r="Y1664" i="46"/>
  <c r="Y1662" i="46"/>
  <c r="Y1659" i="46"/>
  <c r="Y1655" i="46"/>
  <c r="Y1645" i="46"/>
  <c r="Y1642" i="46"/>
  <c r="Y1641" i="46"/>
  <c r="Y1637" i="46"/>
  <c r="Y1635" i="46"/>
  <c r="Y1634" i="46"/>
  <c r="Y1629" i="46"/>
  <c r="Y1623" i="46"/>
  <c r="Y1622" i="46"/>
  <c r="Y1620" i="46"/>
  <c r="Y1596" i="46"/>
  <c r="Y1593" i="46"/>
  <c r="Y1590" i="46"/>
  <c r="Y1587" i="46"/>
  <c r="Y1551" i="46"/>
  <c r="Y1544" i="46"/>
  <c r="Y1525" i="46"/>
  <c r="Y1520" i="46"/>
  <c r="Y1518" i="46"/>
  <c r="Y1517" i="46"/>
  <c r="Y1505" i="46"/>
  <c r="Y1501" i="46"/>
  <c r="Y1489" i="46"/>
  <c r="Y1488" i="46"/>
  <c r="Y1484" i="46"/>
  <c r="Y1480" i="46"/>
  <c r="Y1479" i="46"/>
  <c r="Y1471" i="46"/>
  <c r="Y1458" i="46"/>
  <c r="Y1455" i="46"/>
  <c r="Y1452" i="46"/>
  <c r="Y1434" i="46"/>
  <c r="Y1417" i="46"/>
  <c r="Y1414" i="46"/>
  <c r="Y1385" i="46"/>
  <c r="Y1382" i="46"/>
  <c r="Y1381" i="46"/>
  <c r="Y1379" i="46"/>
  <c r="Y1250" i="46"/>
  <c r="Y1241" i="46"/>
  <c r="Y1236" i="46"/>
  <c r="Y1233" i="46"/>
  <c r="Y1227" i="46"/>
  <c r="Y1226" i="46"/>
  <c r="Y1223" i="46"/>
  <c r="Y1221" i="46"/>
  <c r="Y1215" i="46"/>
  <c r="Y1214" i="46"/>
  <c r="Y1209" i="46"/>
  <c r="Y1206" i="46"/>
  <c r="Y699" i="46"/>
  <c r="Y698" i="46"/>
  <c r="Y697" i="46"/>
  <c r="Y696" i="46"/>
  <c r="Y695" i="46"/>
  <c r="Y694" i="46"/>
  <c r="Y693" i="46"/>
  <c r="Y692" i="46"/>
  <c r="Y691" i="46"/>
  <c r="Y690" i="46"/>
  <c r="Y689" i="46"/>
  <c r="Y688" i="46"/>
  <c r="Y687" i="46"/>
  <c r="Y686" i="46"/>
  <c r="Y685" i="46"/>
  <c r="Y684" i="46"/>
  <c r="Y683" i="46"/>
  <c r="Y682" i="46"/>
  <c r="Y681" i="46"/>
  <c r="Y680" i="46"/>
  <c r="Y679" i="46"/>
  <c r="Y678" i="46"/>
  <c r="Y677" i="46"/>
  <c r="Y676" i="46"/>
  <c r="Y675" i="46"/>
  <c r="Y674" i="46"/>
  <c r="Y673" i="46"/>
  <c r="Y672" i="46"/>
  <c r="Y671" i="46"/>
  <c r="Y670" i="46"/>
  <c r="Y669" i="46"/>
  <c r="Y668" i="46"/>
  <c r="Y667" i="46"/>
  <c r="Y666" i="46"/>
  <c r="Y665" i="46"/>
  <c r="Y664" i="46"/>
  <c r="Y663" i="46"/>
  <c r="Y662" i="46"/>
  <c r="Y661" i="46"/>
  <c r="Y660" i="46"/>
  <c r="Y659" i="46"/>
  <c r="Y658" i="46"/>
  <c r="Y657" i="46"/>
  <c r="Y656" i="46"/>
  <c r="Y655" i="46"/>
  <c r="Y654" i="46"/>
  <c r="Y653" i="46"/>
  <c r="Y652" i="46"/>
  <c r="Y651" i="46"/>
  <c r="Y650" i="46"/>
  <c r="Y649" i="46"/>
  <c r="Y648" i="46"/>
  <c r="Y647" i="46"/>
  <c r="Y646" i="46"/>
  <c r="Y645" i="46"/>
  <c r="Y644" i="46"/>
  <c r="Y643" i="46"/>
  <c r="Y642" i="46"/>
  <c r="Y641" i="46"/>
  <c r="Y640" i="46"/>
  <c r="Y639" i="46"/>
  <c r="Y638" i="46"/>
  <c r="Y637" i="46"/>
  <c r="Y636" i="46"/>
  <c r="Y635" i="46"/>
  <c r="Y634" i="46"/>
  <c r="Y633" i="46"/>
  <c r="Y632" i="46"/>
  <c r="Y631" i="46"/>
  <c r="Y630" i="46"/>
  <c r="Y629" i="46"/>
  <c r="Y628" i="46"/>
  <c r="Y627" i="46"/>
  <c r="Y626" i="46"/>
  <c r="Y625" i="46"/>
  <c r="Y624" i="46"/>
  <c r="Y623" i="46"/>
  <c r="Y622" i="46"/>
  <c r="Y621" i="46"/>
  <c r="Y620" i="46"/>
  <c r="Y619" i="46"/>
  <c r="Y618" i="46"/>
  <c r="Y617" i="46"/>
  <c r="Y616" i="46"/>
  <c r="Y615" i="46"/>
  <c r="Y614" i="46"/>
  <c r="Y613" i="46"/>
  <c r="Y612" i="46"/>
  <c r="Y611" i="46"/>
  <c r="Y610" i="46"/>
  <c r="Y609" i="46"/>
  <c r="Y608" i="46"/>
  <c r="Y607" i="46"/>
  <c r="Y606" i="46"/>
  <c r="Y605" i="46"/>
  <c r="Y604" i="46"/>
  <c r="Y603" i="46"/>
  <c r="Y602" i="46"/>
  <c r="Y601" i="46"/>
  <c r="Y600" i="46"/>
  <c r="Y599" i="46"/>
  <c r="Y598" i="46"/>
  <c r="Y597" i="46"/>
  <c r="Y596" i="46"/>
  <c r="Y595" i="46"/>
  <c r="Y594" i="46"/>
  <c r="Y593" i="46"/>
  <c r="Y592" i="46"/>
  <c r="Y591" i="46"/>
  <c r="Y590" i="46"/>
  <c r="Y589" i="46"/>
  <c r="Y588" i="46"/>
  <c r="Y587" i="46"/>
  <c r="Y586" i="46"/>
  <c r="Y585" i="46"/>
  <c r="Y584" i="46"/>
  <c r="Y583" i="46"/>
  <c r="Y582" i="46"/>
  <c r="Y581" i="46"/>
  <c r="Y580" i="46"/>
  <c r="Y579" i="46"/>
  <c r="Y578" i="46"/>
  <c r="Y577" i="46"/>
  <c r="Y576" i="46"/>
  <c r="Y575" i="46"/>
  <c r="Y574" i="46"/>
  <c r="Y573" i="46"/>
  <c r="Y572" i="46"/>
  <c r="Y571" i="46"/>
  <c r="Y570" i="46"/>
  <c r="Y569" i="46"/>
  <c r="Y568" i="46"/>
  <c r="Y567" i="46"/>
  <c r="Y566" i="46"/>
  <c r="Y565" i="46"/>
  <c r="Y564" i="46"/>
  <c r="Y563" i="46"/>
  <c r="Y562" i="46"/>
  <c r="Y561" i="46"/>
  <c r="Y560" i="46"/>
  <c r="Y559" i="46"/>
  <c r="Y558" i="46"/>
  <c r="Y557" i="46"/>
  <c r="Y556" i="46"/>
  <c r="Y555" i="46"/>
  <c r="Y554" i="46"/>
  <c r="Y553" i="46"/>
  <c r="Y552" i="46"/>
  <c r="Y551" i="46"/>
  <c r="Y550" i="46"/>
  <c r="Y549" i="46"/>
  <c r="Y548" i="46"/>
  <c r="Y547" i="46"/>
  <c r="Y546" i="46"/>
  <c r="Y545" i="46"/>
  <c r="Y544" i="46"/>
  <c r="Y543" i="46"/>
  <c r="Y542" i="46"/>
  <c r="Y541" i="46"/>
  <c r="Y540" i="46"/>
  <c r="Y539" i="46"/>
  <c r="Y538" i="46"/>
  <c r="Y537" i="46"/>
  <c r="Y536" i="46"/>
  <c r="Y535" i="46"/>
  <c r="Y534" i="46"/>
  <c r="Y533" i="46"/>
  <c r="Y532" i="46"/>
  <c r="Y531" i="46"/>
  <c r="Y530" i="46"/>
  <c r="Y529" i="46"/>
  <c r="Y528" i="46"/>
  <c r="Y527" i="46"/>
  <c r="Y526" i="46"/>
  <c r="Y525" i="46"/>
  <c r="Y524" i="46"/>
  <c r="Y523" i="46"/>
  <c r="Y522" i="46"/>
  <c r="Y521" i="46"/>
  <c r="Y520" i="46"/>
  <c r="Y519" i="46"/>
  <c r="Y518" i="46"/>
  <c r="Y517" i="46"/>
  <c r="Y516" i="46"/>
  <c r="Y515" i="46"/>
  <c r="Y514" i="46"/>
  <c r="Y513" i="46"/>
  <c r="Y512" i="46"/>
  <c r="Y511" i="46"/>
  <c r="Y510" i="46"/>
  <c r="Y509" i="46"/>
  <c r="Y508" i="46"/>
  <c r="Y507" i="46"/>
  <c r="Y506" i="46"/>
  <c r="Y505" i="46"/>
  <c r="Y504" i="46"/>
  <c r="Y503" i="46"/>
  <c r="Y502" i="46"/>
  <c r="Y501" i="46"/>
  <c r="Y500" i="46"/>
  <c r="Y499" i="46"/>
  <c r="Y498" i="46"/>
  <c r="Y497" i="46"/>
  <c r="Y496" i="46"/>
  <c r="Y495" i="46"/>
  <c r="Y494" i="46"/>
  <c r="Y493" i="46"/>
  <c r="Y492" i="46"/>
  <c r="Y491" i="46"/>
  <c r="Y490" i="46"/>
  <c r="Y489" i="46"/>
  <c r="Y488" i="46"/>
  <c r="Y487" i="46"/>
  <c r="Y486" i="46"/>
  <c r="Y485" i="46"/>
  <c r="Y484" i="46"/>
  <c r="Y483" i="46"/>
  <c r="Y482" i="46"/>
  <c r="Y481" i="46"/>
  <c r="Y480" i="46"/>
  <c r="Y479" i="46"/>
  <c r="Y478" i="46"/>
  <c r="Y477" i="46"/>
  <c r="Y476" i="46"/>
  <c r="Y475" i="46"/>
  <c r="Y474" i="46"/>
  <c r="Y473" i="46"/>
  <c r="Y472" i="46"/>
  <c r="Y471" i="46"/>
  <c r="Y470" i="46"/>
  <c r="Y469" i="46"/>
  <c r="Y468" i="46"/>
  <c r="Y467" i="46"/>
  <c r="Y466" i="46"/>
  <c r="Y465" i="46"/>
  <c r="Y464" i="46"/>
  <c r="Y463" i="46"/>
  <c r="Y462" i="46"/>
  <c r="Y461" i="46"/>
  <c r="Y460" i="46"/>
  <c r="Y459" i="46"/>
  <c r="Y458" i="46"/>
  <c r="Y457" i="46"/>
  <c r="Y456" i="46"/>
  <c r="Y455" i="46"/>
  <c r="Y454" i="46"/>
  <c r="Y453" i="46"/>
  <c r="Y452" i="46"/>
  <c r="Y451" i="46"/>
  <c r="Y450" i="46"/>
  <c r="Y449" i="46"/>
  <c r="Y448" i="46"/>
  <c r="Y447" i="46"/>
  <c r="Y446" i="46"/>
  <c r="Y445" i="46"/>
  <c r="Y444" i="46"/>
  <c r="Y443" i="46"/>
  <c r="Y442" i="46"/>
  <c r="Y441" i="46"/>
  <c r="Y440" i="46"/>
  <c r="Y439" i="46"/>
  <c r="Y438" i="46"/>
  <c r="Y437" i="46"/>
  <c r="Y436" i="46"/>
  <c r="Y435" i="46"/>
  <c r="Y434" i="46"/>
  <c r="Y433" i="46"/>
  <c r="Y432" i="46"/>
  <c r="Y431" i="46"/>
  <c r="Y430" i="46"/>
  <c r="Y429" i="46"/>
  <c r="Y428" i="46"/>
  <c r="Y427" i="46"/>
  <c r="Y426" i="46"/>
  <c r="Y425" i="46"/>
  <c r="Y424" i="46"/>
  <c r="Y423" i="46"/>
  <c r="Y422" i="46"/>
  <c r="Y421" i="46"/>
  <c r="Y420" i="46"/>
  <c r="Y419" i="46"/>
  <c r="Y418" i="46"/>
  <c r="Y417" i="46"/>
  <c r="Y416" i="46"/>
  <c r="Y415" i="46"/>
  <c r="Y414" i="46"/>
  <c r="Y413" i="46"/>
  <c r="Y412" i="46"/>
  <c r="Y411" i="46"/>
  <c r="Y410" i="46"/>
  <c r="Y409" i="46"/>
  <c r="Y408" i="46"/>
  <c r="Y407" i="46"/>
  <c r="Y406" i="46"/>
  <c r="Y405" i="46"/>
  <c r="Y404" i="46"/>
  <c r="Y403" i="46"/>
  <c r="Y402" i="46"/>
  <c r="Y401" i="46"/>
  <c r="Y400" i="46"/>
  <c r="Y399" i="46"/>
  <c r="Y398" i="46"/>
  <c r="Y397" i="46"/>
  <c r="Y396" i="46"/>
  <c r="Y395" i="46"/>
  <c r="Y394" i="46"/>
  <c r="Y393" i="46"/>
  <c r="Y392" i="46"/>
  <c r="Y391" i="46"/>
  <c r="Y390" i="46"/>
  <c r="Y389" i="46"/>
  <c r="Y388" i="46"/>
  <c r="Y387" i="46"/>
  <c r="Y386" i="46"/>
  <c r="Y385" i="46"/>
  <c r="Y384" i="46"/>
  <c r="Y383" i="46"/>
  <c r="Y382" i="46"/>
  <c r="Y381" i="46"/>
  <c r="Y380" i="46"/>
  <c r="Y379" i="46"/>
  <c r="Y378" i="46"/>
  <c r="Y377" i="46"/>
  <c r="Y376" i="46"/>
  <c r="Y375" i="46"/>
  <c r="Y374" i="46"/>
  <c r="Y373" i="46"/>
  <c r="Y372" i="46"/>
  <c r="Y371" i="46"/>
  <c r="Y370" i="46"/>
  <c r="Y369" i="46"/>
  <c r="Y368" i="46"/>
  <c r="Y367" i="46"/>
  <c r="Y366" i="46"/>
  <c r="Y365" i="46"/>
  <c r="Y364" i="46"/>
  <c r="Y363" i="46"/>
  <c r="Y362" i="46"/>
  <c r="Y361" i="46"/>
  <c r="Y360" i="46"/>
  <c r="Y359" i="46"/>
  <c r="Y358" i="46"/>
  <c r="Y357" i="46"/>
  <c r="Y356" i="46"/>
  <c r="Y355" i="46"/>
  <c r="Y354" i="46"/>
  <c r="Y353" i="46"/>
  <c r="Y352" i="46"/>
  <c r="Y351" i="46"/>
  <c r="Y350" i="46"/>
  <c r="Y349" i="46"/>
  <c r="Y348" i="46"/>
  <c r="Y347" i="46"/>
  <c r="Y346" i="46"/>
  <c r="Y345" i="46"/>
  <c r="Y344" i="46"/>
  <c r="Y343" i="46"/>
  <c r="Y342" i="46"/>
  <c r="Y341" i="46"/>
  <c r="Y340" i="46"/>
  <c r="Y339" i="46"/>
  <c r="Y338" i="46"/>
  <c r="Y337" i="46"/>
  <c r="Y336" i="46"/>
  <c r="Y335" i="46"/>
  <c r="Y334" i="46"/>
  <c r="Y333" i="46"/>
  <c r="Y332" i="46"/>
  <c r="Y331" i="46"/>
  <c r="Y330" i="46"/>
  <c r="Y329" i="46"/>
  <c r="Y328" i="46"/>
  <c r="Y327" i="46"/>
  <c r="Y326" i="46"/>
  <c r="Y325" i="46"/>
  <c r="Y324" i="46"/>
  <c r="Y323" i="46"/>
  <c r="Y322" i="46"/>
  <c r="Y321" i="46"/>
  <c r="Y320" i="46"/>
  <c r="Y319" i="46"/>
  <c r="Y318" i="46"/>
  <c r="Y317" i="46"/>
  <c r="Y316" i="46"/>
  <c r="Y315" i="46"/>
  <c r="Y314" i="46"/>
  <c r="Y313" i="46"/>
  <c r="Y312" i="46"/>
  <c r="Y311" i="46"/>
  <c r="Y310" i="46"/>
  <c r="Y309" i="46"/>
  <c r="Y308" i="46"/>
  <c r="Y307" i="46"/>
  <c r="Y306" i="46"/>
  <c r="Y305" i="46"/>
  <c r="Y304" i="46"/>
  <c r="Y303" i="46"/>
  <c r="Y302" i="46"/>
  <c r="Y301" i="46"/>
  <c r="Y300" i="46"/>
  <c r="Y299" i="46"/>
  <c r="Y298" i="46"/>
  <c r="Y297" i="46"/>
  <c r="Y296" i="46"/>
  <c r="Y295" i="46"/>
  <c r="Y294" i="46"/>
  <c r="Y293" i="46"/>
  <c r="Y292" i="46"/>
  <c r="Y291" i="46"/>
  <c r="Y290" i="46"/>
  <c r="Y289" i="46"/>
  <c r="Y288" i="46"/>
  <c r="Y287" i="46"/>
  <c r="Y286" i="46"/>
  <c r="Y285" i="46"/>
  <c r="Y284" i="46"/>
  <c r="Y283" i="46"/>
  <c r="Y282" i="46"/>
  <c r="Y281" i="46"/>
  <c r="Y280" i="46"/>
  <c r="Y279" i="46"/>
  <c r="Y278" i="46"/>
  <c r="Y277" i="46"/>
  <c r="Y276" i="46"/>
  <c r="Y275" i="46"/>
  <c r="Y274" i="46"/>
  <c r="Y273" i="46"/>
  <c r="Y272" i="46"/>
  <c r="Y271" i="46"/>
  <c r="Y270" i="46"/>
  <c r="Y269" i="46"/>
  <c r="Y268" i="46"/>
  <c r="Y267" i="46"/>
  <c r="Y266" i="46"/>
  <c r="Y265" i="46"/>
  <c r="Y264" i="46"/>
  <c r="Y263" i="46"/>
  <c r="Y262" i="46"/>
  <c r="Y261" i="46"/>
  <c r="Y260" i="46"/>
  <c r="Y259" i="46"/>
  <c r="Y258" i="46"/>
  <c r="Y257" i="46"/>
  <c r="Y256" i="46"/>
  <c r="Y255" i="46"/>
  <c r="Y254" i="46"/>
  <c r="Y253" i="46"/>
  <c r="Y252" i="46"/>
  <c r="Y251" i="46"/>
  <c r="Y250" i="46"/>
  <c r="Y249" i="46"/>
  <c r="Y248" i="46"/>
  <c r="Y247" i="46"/>
  <c r="Y246" i="46"/>
  <c r="Y245" i="46"/>
  <c r="Y244" i="46"/>
  <c r="Y243" i="46"/>
  <c r="Y242" i="46"/>
  <c r="Y241" i="46"/>
  <c r="Y240" i="46"/>
  <c r="Y239" i="46"/>
  <c r="Y238" i="46"/>
  <c r="Y237" i="46"/>
  <c r="Y236" i="46"/>
  <c r="Y235" i="46"/>
  <c r="Y234" i="46"/>
  <c r="Y233" i="46"/>
  <c r="Y232" i="46"/>
  <c r="Y231" i="46"/>
  <c r="Y230" i="46"/>
  <c r="Y229" i="46"/>
  <c r="Y228" i="46"/>
  <c r="Y227" i="46"/>
  <c r="Y226" i="46"/>
  <c r="Y225" i="46"/>
  <c r="Y224" i="46"/>
  <c r="Y223" i="46"/>
  <c r="Y222" i="46"/>
  <c r="Y221" i="46"/>
  <c r="Y220" i="46"/>
  <c r="Y219" i="46"/>
  <c r="Y218" i="46"/>
  <c r="Y217" i="46"/>
  <c r="Y216" i="46"/>
  <c r="Y215" i="46"/>
  <c r="Y214" i="46"/>
  <c r="Y213" i="46"/>
  <c r="Y212" i="46"/>
  <c r="Y211" i="46"/>
  <c r="Y210" i="46"/>
  <c r="Y209" i="46"/>
  <c r="Y208" i="46"/>
  <c r="Y207" i="46"/>
  <c r="Y206" i="46"/>
  <c r="Y205" i="46"/>
  <c r="Y204" i="46"/>
  <c r="Y203" i="46"/>
  <c r="Y202" i="46"/>
  <c r="Y201" i="46"/>
  <c r="Y200" i="46"/>
  <c r="Y199" i="46"/>
  <c r="Y198" i="46"/>
  <c r="Y197" i="46"/>
  <c r="Y196" i="46"/>
  <c r="Y195" i="46"/>
  <c r="Y194" i="46"/>
  <c r="Y193" i="46"/>
  <c r="Y192" i="46"/>
  <c r="Y191" i="46"/>
  <c r="Y190" i="46"/>
  <c r="Y189" i="46"/>
  <c r="Y188" i="46"/>
  <c r="Y187" i="46"/>
  <c r="Y186" i="46"/>
  <c r="Y185" i="46"/>
  <c r="Y184" i="46"/>
  <c r="Y183" i="46"/>
  <c r="Y182" i="46"/>
  <c r="Y181" i="46"/>
  <c r="Y180" i="46"/>
  <c r="Y179" i="46"/>
  <c r="Y178" i="46"/>
  <c r="Y177" i="46"/>
  <c r="Y176" i="46"/>
  <c r="Y175" i="46"/>
  <c r="Y174" i="46"/>
  <c r="Y173" i="46"/>
  <c r="Y172" i="46"/>
  <c r="Y171" i="46"/>
  <c r="Y170" i="46"/>
  <c r="Y169" i="46"/>
  <c r="Y168" i="46"/>
  <c r="Y167" i="46"/>
  <c r="Y166" i="46"/>
  <c r="Y165" i="46"/>
  <c r="Y164" i="46"/>
  <c r="Y163" i="46"/>
  <c r="Y162" i="46"/>
  <c r="Y161" i="46"/>
  <c r="Y160" i="46"/>
  <c r="Y159" i="46"/>
  <c r="Y158" i="46"/>
  <c r="Y157" i="46"/>
  <c r="Y156" i="46"/>
  <c r="Y155" i="46"/>
  <c r="Y154" i="46"/>
  <c r="Y153" i="46"/>
  <c r="Y152" i="46"/>
  <c r="Y151" i="46"/>
  <c r="Y150" i="46"/>
  <c r="Y149" i="46"/>
  <c r="Y148" i="46"/>
  <c r="Y147" i="46"/>
  <c r="Y146" i="46"/>
  <c r="Y145" i="46"/>
  <c r="Y144" i="46"/>
  <c r="Y143" i="46"/>
  <c r="Y142" i="46"/>
  <c r="Y141" i="46"/>
  <c r="Y140" i="46"/>
  <c r="Y139" i="46"/>
  <c r="Y138" i="46"/>
  <c r="Y137" i="46"/>
  <c r="Y136" i="46"/>
  <c r="Y135" i="46"/>
  <c r="Y134" i="46"/>
  <c r="Y133" i="46"/>
  <c r="Y132" i="46"/>
  <c r="Y131" i="46"/>
  <c r="Y130" i="46"/>
  <c r="Y129" i="46"/>
  <c r="Y128" i="46"/>
  <c r="Y127" i="46"/>
  <c r="Y126" i="46"/>
  <c r="Y125" i="46"/>
  <c r="Y124" i="46"/>
  <c r="Y123" i="46"/>
  <c r="Y122" i="46"/>
  <c r="Y121" i="46"/>
  <c r="Y120" i="46"/>
  <c r="Y119" i="46"/>
  <c r="Y118" i="46"/>
  <c r="Y117" i="46"/>
  <c r="Y116" i="46"/>
  <c r="Y115" i="46"/>
  <c r="Y114" i="46"/>
  <c r="Y113" i="46"/>
  <c r="Y112" i="46"/>
  <c r="Y111" i="46"/>
  <c r="Y110" i="46"/>
  <c r="Y109" i="46"/>
  <c r="Y108" i="46"/>
  <c r="Y107" i="46"/>
  <c r="Y106" i="46"/>
  <c r="Y105" i="46"/>
  <c r="Y104" i="46"/>
  <c r="Y103" i="46"/>
  <c r="Y102" i="46"/>
  <c r="Y101" i="46"/>
  <c r="Y100" i="46"/>
  <c r="Y99" i="46"/>
  <c r="Y98" i="46"/>
  <c r="Y97" i="46"/>
  <c r="Y96" i="46"/>
  <c r="Y95" i="46"/>
  <c r="Y94" i="46"/>
  <c r="Y93" i="46"/>
  <c r="Y92" i="46"/>
  <c r="Y91" i="46"/>
  <c r="Y90" i="46"/>
  <c r="Y89" i="46"/>
  <c r="Y88" i="46"/>
  <c r="Y87" i="46"/>
  <c r="Y86" i="46"/>
  <c r="Y85" i="46"/>
  <c r="Y84" i="46"/>
  <c r="Y83" i="46"/>
  <c r="Y82" i="46"/>
  <c r="Y81" i="46"/>
  <c r="Y80" i="46"/>
  <c r="Y79" i="46"/>
  <c r="Y78" i="46"/>
  <c r="Y77" i="46"/>
  <c r="Y76" i="46"/>
  <c r="Y75" i="46"/>
  <c r="Y74" i="46"/>
  <c r="Y73" i="46"/>
  <c r="Y72" i="46"/>
  <c r="Y71" i="46"/>
  <c r="Y70" i="46"/>
  <c r="Y69" i="46"/>
  <c r="Y68" i="46"/>
  <c r="Y67" i="46"/>
  <c r="Y66" i="46"/>
  <c r="Y65" i="46"/>
  <c r="Y64" i="46"/>
  <c r="Y63" i="46"/>
  <c r="Y62" i="46"/>
  <c r="Y61" i="46"/>
  <c r="Y60" i="46"/>
  <c r="Y59" i="46"/>
  <c r="Y58" i="46"/>
  <c r="Y57" i="46"/>
  <c r="Y56" i="46"/>
  <c r="Y55" i="46"/>
  <c r="Y54" i="46"/>
  <c r="Y53" i="46"/>
  <c r="Y52" i="46"/>
  <c r="Y51" i="46"/>
  <c r="Y50" i="46"/>
  <c r="Y49" i="46"/>
  <c r="Y48" i="46"/>
  <c r="Y47" i="46"/>
  <c r="Y46" i="46"/>
  <c r="Y45" i="46"/>
  <c r="Y44" i="46"/>
  <c r="Y43" i="46"/>
  <c r="Y42" i="46"/>
  <c r="Y41" i="46"/>
  <c r="Y40" i="46"/>
  <c r="Y39" i="46"/>
  <c r="Y38" i="46"/>
  <c r="Y37" i="46"/>
  <c r="Y36" i="46"/>
  <c r="Y35" i="46"/>
  <c r="Y34" i="46"/>
  <c r="Y33" i="46"/>
  <c r="Y32" i="46"/>
  <c r="Y31" i="46"/>
  <c r="Y30" i="46"/>
  <c r="Y29" i="46"/>
  <c r="Y28" i="46"/>
  <c r="Y27" i="46"/>
  <c r="Y26" i="46"/>
  <c r="Y25" i="46"/>
  <c r="Y24" i="46"/>
  <c r="Y23" i="46"/>
  <c r="Y22" i="46"/>
  <c r="Y21" i="46"/>
  <c r="Y20" i="46"/>
  <c r="Y19" i="46"/>
  <c r="Y18" i="46"/>
  <c r="Y17" i="46"/>
  <c r="Y16" i="46"/>
  <c r="Y15" i="46"/>
  <c r="Y14" i="46"/>
  <c r="Y13" i="46"/>
  <c r="Y12" i="46"/>
  <c r="Y11" i="46"/>
  <c r="Y10" i="46"/>
  <c r="Y9" i="46"/>
  <c r="Y8" i="46"/>
  <c r="Y7" i="46"/>
  <c r="Y6" i="46"/>
  <c r="Y5" i="46"/>
  <c r="Y4" i="46"/>
  <c r="Y3" i="46"/>
  <c r="Y2" i="46"/>
  <c r="AE699" i="46"/>
  <c r="AA699" i="46" s="1"/>
  <c r="AE698" i="46"/>
  <c r="AA698" i="46" s="1"/>
  <c r="AE697" i="46"/>
  <c r="AA697" i="46" s="1"/>
  <c r="AE696" i="46"/>
  <c r="AA696" i="46" s="1"/>
  <c r="AE695" i="46"/>
  <c r="AA695" i="46" s="1"/>
  <c r="AE694" i="46"/>
  <c r="AA694" i="46" s="1"/>
  <c r="AE693" i="46"/>
  <c r="AA693" i="46" s="1"/>
  <c r="AE692" i="46"/>
  <c r="AA692" i="46" s="1"/>
  <c r="AE691" i="46"/>
  <c r="AA691" i="46" s="1"/>
  <c r="AE690" i="46"/>
  <c r="AA690" i="46" s="1"/>
  <c r="AE689" i="46"/>
  <c r="AA689" i="46" s="1"/>
  <c r="AE688" i="46"/>
  <c r="AA688" i="46" s="1"/>
  <c r="AE687" i="46"/>
  <c r="AA687" i="46" s="1"/>
  <c r="AE686" i="46"/>
  <c r="AA686" i="46" s="1"/>
  <c r="AE685" i="46"/>
  <c r="AA685" i="46" s="1"/>
  <c r="AE684" i="46"/>
  <c r="AA684" i="46" s="1"/>
  <c r="AE683" i="46"/>
  <c r="AA683" i="46" s="1"/>
  <c r="AE682" i="46"/>
  <c r="AA682" i="46" s="1"/>
  <c r="AE681" i="46"/>
  <c r="AA681" i="46" s="1"/>
  <c r="AE680" i="46"/>
  <c r="AA680" i="46" s="1"/>
  <c r="AE679" i="46"/>
  <c r="AA679" i="46" s="1"/>
  <c r="AE678" i="46"/>
  <c r="AA678" i="46" s="1"/>
  <c r="AE677" i="46"/>
  <c r="AA677" i="46" s="1"/>
  <c r="AE676" i="46"/>
  <c r="AA676" i="46" s="1"/>
  <c r="AE675" i="46"/>
  <c r="AA675" i="46" s="1"/>
  <c r="AE674" i="46"/>
  <c r="AA674" i="46" s="1"/>
  <c r="AE673" i="46"/>
  <c r="AA673" i="46" s="1"/>
  <c r="AE672" i="46"/>
  <c r="AA672" i="46" s="1"/>
  <c r="AE671" i="46"/>
  <c r="AA671" i="46" s="1"/>
  <c r="AE670" i="46"/>
  <c r="AA670" i="46" s="1"/>
  <c r="AE669" i="46"/>
  <c r="AA669" i="46" s="1"/>
  <c r="AE668" i="46"/>
  <c r="AA668" i="46" s="1"/>
  <c r="AE667" i="46"/>
  <c r="AA667" i="46" s="1"/>
  <c r="AE666" i="46"/>
  <c r="AA666" i="46" s="1"/>
  <c r="AE665" i="46"/>
  <c r="AA665" i="46" s="1"/>
  <c r="AE664" i="46"/>
  <c r="AA664" i="46" s="1"/>
  <c r="AE663" i="46"/>
  <c r="AA663" i="46" s="1"/>
  <c r="AE662" i="46"/>
  <c r="AA662" i="46" s="1"/>
  <c r="AE661" i="46"/>
  <c r="AA661" i="46" s="1"/>
  <c r="AE660" i="46"/>
  <c r="AA660" i="46" s="1"/>
  <c r="AE659" i="46"/>
  <c r="AA659" i="46" s="1"/>
  <c r="AE658" i="46"/>
  <c r="AA658" i="46" s="1"/>
  <c r="AE657" i="46"/>
  <c r="AA657" i="46" s="1"/>
  <c r="AE656" i="46"/>
  <c r="AA656" i="46" s="1"/>
  <c r="AE655" i="46"/>
  <c r="AA655" i="46" s="1"/>
  <c r="AE654" i="46"/>
  <c r="AA654" i="46" s="1"/>
  <c r="AE653" i="46"/>
  <c r="AA653" i="46" s="1"/>
  <c r="AE652" i="46"/>
  <c r="AA652" i="46" s="1"/>
  <c r="AE651" i="46"/>
  <c r="AA651" i="46" s="1"/>
  <c r="AE650" i="46"/>
  <c r="AA650" i="46" s="1"/>
  <c r="AE649" i="46"/>
  <c r="AA649" i="46" s="1"/>
  <c r="AE648" i="46"/>
  <c r="AA648" i="46" s="1"/>
  <c r="AE647" i="46"/>
  <c r="AA647" i="46" s="1"/>
  <c r="AE646" i="46"/>
  <c r="AA646" i="46" s="1"/>
  <c r="AE645" i="46"/>
  <c r="AA645" i="46" s="1"/>
  <c r="AE644" i="46"/>
  <c r="AA644" i="46" s="1"/>
  <c r="AE643" i="46"/>
  <c r="AA643" i="46" s="1"/>
  <c r="AE642" i="46"/>
  <c r="AA642" i="46" s="1"/>
  <c r="AE641" i="46"/>
  <c r="AA641" i="46" s="1"/>
  <c r="AE640" i="46"/>
  <c r="AA640" i="46" s="1"/>
  <c r="AE639" i="46"/>
  <c r="AA639" i="46" s="1"/>
  <c r="AE638" i="46"/>
  <c r="AA638" i="46" s="1"/>
  <c r="AE637" i="46"/>
  <c r="AA637" i="46" s="1"/>
  <c r="AE636" i="46"/>
  <c r="AA636" i="46" s="1"/>
  <c r="AE635" i="46"/>
  <c r="AA635" i="46" s="1"/>
  <c r="AE634" i="46"/>
  <c r="AA634" i="46" s="1"/>
  <c r="AE633" i="46"/>
  <c r="AA633" i="46" s="1"/>
  <c r="AE632" i="46"/>
  <c r="AA632" i="46" s="1"/>
  <c r="AE631" i="46"/>
  <c r="AA631" i="46" s="1"/>
  <c r="AE630" i="46"/>
  <c r="AA630" i="46" s="1"/>
  <c r="AE629" i="46"/>
  <c r="AA629" i="46" s="1"/>
  <c r="AE628" i="46"/>
  <c r="AA628" i="46" s="1"/>
  <c r="AE627" i="46"/>
  <c r="AA627" i="46" s="1"/>
  <c r="AE626" i="46"/>
  <c r="AA626" i="46" s="1"/>
  <c r="AE625" i="46"/>
  <c r="AA625" i="46" s="1"/>
  <c r="AE624" i="46"/>
  <c r="AA624" i="46" s="1"/>
  <c r="AE623" i="46"/>
  <c r="AA623" i="46" s="1"/>
  <c r="AE622" i="46"/>
  <c r="AA622" i="46" s="1"/>
  <c r="AE621" i="46"/>
  <c r="AA621" i="46" s="1"/>
  <c r="AE620" i="46"/>
  <c r="AA620" i="46" s="1"/>
  <c r="AE619" i="46"/>
  <c r="AA619" i="46" s="1"/>
  <c r="AE618" i="46"/>
  <c r="AA618" i="46" s="1"/>
  <c r="AE617" i="46"/>
  <c r="AA617" i="46" s="1"/>
  <c r="AE616" i="46"/>
  <c r="AA616" i="46" s="1"/>
  <c r="AE615" i="46"/>
  <c r="AA615" i="46" s="1"/>
  <c r="AE614" i="46"/>
  <c r="AA614" i="46" s="1"/>
  <c r="AE613" i="46"/>
  <c r="AA613" i="46" s="1"/>
  <c r="AE612" i="46"/>
  <c r="AA612" i="46" s="1"/>
  <c r="AE611" i="46"/>
  <c r="AA611" i="46" s="1"/>
  <c r="AE610" i="46"/>
  <c r="AA610" i="46" s="1"/>
  <c r="AE609" i="46"/>
  <c r="AA609" i="46" s="1"/>
  <c r="AE608" i="46"/>
  <c r="AA608" i="46" s="1"/>
  <c r="AE607" i="46"/>
  <c r="AA607" i="46" s="1"/>
  <c r="AE606" i="46"/>
  <c r="AA606" i="46" s="1"/>
  <c r="AE605" i="46"/>
  <c r="AA605" i="46" s="1"/>
  <c r="AE604" i="46"/>
  <c r="AA604" i="46" s="1"/>
  <c r="AE603" i="46"/>
  <c r="AA603" i="46" s="1"/>
  <c r="AE602" i="46"/>
  <c r="AA602" i="46" s="1"/>
  <c r="AE601" i="46"/>
  <c r="AA601" i="46" s="1"/>
  <c r="AE600" i="46"/>
  <c r="AA600" i="46" s="1"/>
  <c r="AE599" i="46"/>
  <c r="AA599" i="46" s="1"/>
  <c r="AE598" i="46"/>
  <c r="AA598" i="46" s="1"/>
  <c r="AE597" i="46"/>
  <c r="AA597" i="46" s="1"/>
  <c r="AE596" i="46"/>
  <c r="AA596" i="46" s="1"/>
  <c r="AE595" i="46"/>
  <c r="AA595" i="46" s="1"/>
  <c r="AE594" i="46"/>
  <c r="AA594" i="46" s="1"/>
  <c r="AE593" i="46"/>
  <c r="AA593" i="46" s="1"/>
  <c r="AE592" i="46"/>
  <c r="AA592" i="46" s="1"/>
  <c r="AE591" i="46"/>
  <c r="AA591" i="46" s="1"/>
  <c r="AE590" i="46"/>
  <c r="AA590" i="46" s="1"/>
  <c r="AE589" i="46"/>
  <c r="AA589" i="46" s="1"/>
  <c r="AE588" i="46"/>
  <c r="AA588" i="46" s="1"/>
  <c r="AE587" i="46"/>
  <c r="AA587" i="46" s="1"/>
  <c r="AE586" i="46"/>
  <c r="AA586" i="46" s="1"/>
  <c r="AE585" i="46"/>
  <c r="AA585" i="46" s="1"/>
  <c r="AE584" i="46"/>
  <c r="AA584" i="46" s="1"/>
  <c r="AE583" i="46"/>
  <c r="AA583" i="46" s="1"/>
  <c r="AE582" i="46"/>
  <c r="AA582" i="46" s="1"/>
  <c r="AE581" i="46"/>
  <c r="AA581" i="46" s="1"/>
  <c r="AE580" i="46"/>
  <c r="AA580" i="46" s="1"/>
  <c r="AE579" i="46"/>
  <c r="AA579" i="46" s="1"/>
  <c r="AE578" i="46"/>
  <c r="AA578" i="46" s="1"/>
  <c r="AE577" i="46"/>
  <c r="AA577" i="46" s="1"/>
  <c r="AE576" i="46"/>
  <c r="AA576" i="46" s="1"/>
  <c r="AE575" i="46"/>
  <c r="AA575" i="46" s="1"/>
  <c r="AE574" i="46"/>
  <c r="AA574" i="46" s="1"/>
  <c r="AE573" i="46"/>
  <c r="AA573" i="46" s="1"/>
  <c r="AE572" i="46"/>
  <c r="AA572" i="46" s="1"/>
  <c r="AE571" i="46"/>
  <c r="AA571" i="46" s="1"/>
  <c r="AE570" i="46"/>
  <c r="AA570" i="46" s="1"/>
  <c r="AE569" i="46"/>
  <c r="AA569" i="46" s="1"/>
  <c r="AE568" i="46"/>
  <c r="AA568" i="46" s="1"/>
  <c r="AE567" i="46"/>
  <c r="AA567" i="46" s="1"/>
  <c r="AE566" i="46"/>
  <c r="AA566" i="46" s="1"/>
  <c r="AE565" i="46"/>
  <c r="AA565" i="46" s="1"/>
  <c r="AE564" i="46"/>
  <c r="AA564" i="46" s="1"/>
  <c r="AE563" i="46"/>
  <c r="AA563" i="46" s="1"/>
  <c r="AE562" i="46"/>
  <c r="AA562" i="46" s="1"/>
  <c r="AE561" i="46"/>
  <c r="AA561" i="46" s="1"/>
  <c r="AE560" i="46"/>
  <c r="AA560" i="46" s="1"/>
  <c r="AE559" i="46"/>
  <c r="AA559" i="46" s="1"/>
  <c r="AE558" i="46"/>
  <c r="AA558" i="46" s="1"/>
  <c r="AE557" i="46"/>
  <c r="AA557" i="46" s="1"/>
  <c r="AE556" i="46"/>
  <c r="AA556" i="46" s="1"/>
  <c r="AE555" i="46"/>
  <c r="AA555" i="46" s="1"/>
  <c r="AE554" i="46"/>
  <c r="AA554" i="46" s="1"/>
  <c r="AE553" i="46"/>
  <c r="AA553" i="46" s="1"/>
  <c r="AE552" i="46"/>
  <c r="AA552" i="46" s="1"/>
  <c r="AE551" i="46"/>
  <c r="AA551" i="46" s="1"/>
  <c r="AE550" i="46"/>
  <c r="AA550" i="46" s="1"/>
  <c r="AE549" i="46"/>
  <c r="AA549" i="46" s="1"/>
  <c r="AE548" i="46"/>
  <c r="AA548" i="46" s="1"/>
  <c r="AE547" i="46"/>
  <c r="AA547" i="46" s="1"/>
  <c r="AE546" i="46"/>
  <c r="AA546" i="46" s="1"/>
  <c r="AE545" i="46"/>
  <c r="AA545" i="46" s="1"/>
  <c r="AE544" i="46"/>
  <c r="AA544" i="46" s="1"/>
  <c r="AE543" i="46"/>
  <c r="AA543" i="46" s="1"/>
  <c r="AE542" i="46"/>
  <c r="AA542" i="46" s="1"/>
  <c r="AE541" i="46"/>
  <c r="AA541" i="46" s="1"/>
  <c r="AE540" i="46"/>
  <c r="AA540" i="46" s="1"/>
  <c r="AE539" i="46"/>
  <c r="AA539" i="46" s="1"/>
  <c r="AE538" i="46"/>
  <c r="AA538" i="46" s="1"/>
  <c r="AE537" i="46"/>
  <c r="AA537" i="46" s="1"/>
  <c r="AE536" i="46"/>
  <c r="AA536" i="46" s="1"/>
  <c r="AE535" i="46"/>
  <c r="AA535" i="46" s="1"/>
  <c r="AE534" i="46"/>
  <c r="AA534" i="46" s="1"/>
  <c r="AE533" i="46"/>
  <c r="AA533" i="46" s="1"/>
  <c r="AE532" i="46"/>
  <c r="AA532" i="46" s="1"/>
  <c r="AE531" i="46"/>
  <c r="AA531" i="46" s="1"/>
  <c r="AE530" i="46"/>
  <c r="AA530" i="46" s="1"/>
  <c r="AE529" i="46"/>
  <c r="AA529" i="46" s="1"/>
  <c r="AE528" i="46"/>
  <c r="AA528" i="46" s="1"/>
  <c r="AE527" i="46"/>
  <c r="AA527" i="46" s="1"/>
  <c r="AE526" i="46"/>
  <c r="AA526" i="46" s="1"/>
  <c r="AE525" i="46"/>
  <c r="AA525" i="46" s="1"/>
  <c r="AE524" i="46"/>
  <c r="AA524" i="46" s="1"/>
  <c r="AE523" i="46"/>
  <c r="AA523" i="46" s="1"/>
  <c r="AE522" i="46"/>
  <c r="AA522" i="46" s="1"/>
  <c r="AE521" i="46"/>
  <c r="AA521" i="46" s="1"/>
  <c r="AE520" i="46"/>
  <c r="AA520" i="46" s="1"/>
  <c r="AE519" i="46"/>
  <c r="AA519" i="46" s="1"/>
  <c r="AE518" i="46"/>
  <c r="AA518" i="46" s="1"/>
  <c r="AE517" i="46"/>
  <c r="AA517" i="46" s="1"/>
  <c r="AE516" i="46"/>
  <c r="AA516" i="46" s="1"/>
  <c r="AE515" i="46"/>
  <c r="AA515" i="46" s="1"/>
  <c r="AE514" i="46"/>
  <c r="AA514" i="46" s="1"/>
  <c r="AE513" i="46"/>
  <c r="AA513" i="46" s="1"/>
  <c r="AE512" i="46"/>
  <c r="AA512" i="46" s="1"/>
  <c r="AE511" i="46"/>
  <c r="AA511" i="46" s="1"/>
  <c r="AE510" i="46"/>
  <c r="AA510" i="46" s="1"/>
  <c r="AE509" i="46"/>
  <c r="AA509" i="46" s="1"/>
  <c r="AE508" i="46"/>
  <c r="AA508" i="46" s="1"/>
  <c r="AE507" i="46"/>
  <c r="AA507" i="46" s="1"/>
  <c r="AE506" i="46"/>
  <c r="AA506" i="46" s="1"/>
  <c r="AE505" i="46"/>
  <c r="AA505" i="46" s="1"/>
  <c r="AE504" i="46"/>
  <c r="AA504" i="46" s="1"/>
  <c r="AE503" i="46"/>
  <c r="AA503" i="46" s="1"/>
  <c r="AE502" i="46"/>
  <c r="AA502" i="46" s="1"/>
  <c r="AE501" i="46"/>
  <c r="AA501" i="46" s="1"/>
  <c r="AE500" i="46"/>
  <c r="AA500" i="46" s="1"/>
  <c r="AE499" i="46"/>
  <c r="AA499" i="46" s="1"/>
  <c r="AE498" i="46"/>
  <c r="AA498" i="46" s="1"/>
  <c r="AE497" i="46"/>
  <c r="AA497" i="46" s="1"/>
  <c r="AE496" i="46"/>
  <c r="AA496" i="46" s="1"/>
  <c r="AE495" i="46"/>
  <c r="AA495" i="46" s="1"/>
  <c r="AE494" i="46"/>
  <c r="AA494" i="46" s="1"/>
  <c r="AE493" i="46"/>
  <c r="AA493" i="46" s="1"/>
  <c r="AE492" i="46"/>
  <c r="AA492" i="46" s="1"/>
  <c r="AE491" i="46"/>
  <c r="AA491" i="46" s="1"/>
  <c r="AE490" i="46"/>
  <c r="AA490" i="46" s="1"/>
  <c r="AE489" i="46"/>
  <c r="AA489" i="46" s="1"/>
  <c r="AE488" i="46"/>
  <c r="AA488" i="46" s="1"/>
  <c r="AE487" i="46"/>
  <c r="AA487" i="46" s="1"/>
  <c r="AE486" i="46"/>
  <c r="AA486" i="46" s="1"/>
  <c r="AE485" i="46"/>
  <c r="AA485" i="46" s="1"/>
  <c r="AE484" i="46"/>
  <c r="AA484" i="46" s="1"/>
  <c r="AE483" i="46"/>
  <c r="AA483" i="46" s="1"/>
  <c r="AE482" i="46"/>
  <c r="AA482" i="46" s="1"/>
  <c r="AE481" i="46"/>
  <c r="AA481" i="46" s="1"/>
  <c r="AE480" i="46"/>
  <c r="AA480" i="46" s="1"/>
  <c r="AE479" i="46"/>
  <c r="AA479" i="46" s="1"/>
  <c r="AE478" i="46"/>
  <c r="AA478" i="46" s="1"/>
  <c r="AE477" i="46"/>
  <c r="AA477" i="46" s="1"/>
  <c r="AE476" i="46"/>
  <c r="AA476" i="46" s="1"/>
  <c r="AE475" i="46"/>
  <c r="AA475" i="46" s="1"/>
  <c r="AE474" i="46"/>
  <c r="AA474" i="46" s="1"/>
  <c r="AE473" i="46"/>
  <c r="AA473" i="46" s="1"/>
  <c r="AE472" i="46"/>
  <c r="AA472" i="46" s="1"/>
  <c r="AE471" i="46"/>
  <c r="AA471" i="46" s="1"/>
  <c r="AE470" i="46"/>
  <c r="AA470" i="46" s="1"/>
  <c r="AE469" i="46"/>
  <c r="AA469" i="46" s="1"/>
  <c r="AE468" i="46"/>
  <c r="AA468" i="46" s="1"/>
  <c r="AE467" i="46"/>
  <c r="AA467" i="46" s="1"/>
  <c r="AE466" i="46"/>
  <c r="AA466" i="46" s="1"/>
  <c r="AE465" i="46"/>
  <c r="AA465" i="46" s="1"/>
  <c r="AE464" i="46"/>
  <c r="AA464" i="46" s="1"/>
  <c r="AE463" i="46"/>
  <c r="AA463" i="46" s="1"/>
  <c r="AE462" i="46"/>
  <c r="AA462" i="46" s="1"/>
  <c r="AE461" i="46"/>
  <c r="AA461" i="46" s="1"/>
  <c r="AE460" i="46"/>
  <c r="AA460" i="46" s="1"/>
  <c r="AE459" i="46"/>
  <c r="AA459" i="46" s="1"/>
  <c r="AE458" i="46"/>
  <c r="AA458" i="46" s="1"/>
  <c r="AE457" i="46"/>
  <c r="AA457" i="46" s="1"/>
  <c r="AE456" i="46"/>
  <c r="AA456" i="46" s="1"/>
  <c r="AE455" i="46"/>
  <c r="AA455" i="46" s="1"/>
  <c r="AE454" i="46"/>
  <c r="AA454" i="46" s="1"/>
  <c r="AE453" i="46"/>
  <c r="AA453" i="46" s="1"/>
  <c r="AE452" i="46"/>
  <c r="AA452" i="46" s="1"/>
  <c r="AE451" i="46"/>
  <c r="AA451" i="46" s="1"/>
  <c r="AE450" i="46"/>
  <c r="AA450" i="46" s="1"/>
  <c r="AE449" i="46"/>
  <c r="AA449" i="46" s="1"/>
  <c r="AE448" i="46"/>
  <c r="AA448" i="46" s="1"/>
  <c r="AE447" i="46"/>
  <c r="AA447" i="46" s="1"/>
  <c r="AE446" i="46"/>
  <c r="AA446" i="46" s="1"/>
  <c r="AE445" i="46"/>
  <c r="AA445" i="46" s="1"/>
  <c r="AE444" i="46"/>
  <c r="AA444" i="46" s="1"/>
  <c r="AE443" i="46"/>
  <c r="AA443" i="46" s="1"/>
  <c r="AE442" i="46"/>
  <c r="AA442" i="46" s="1"/>
  <c r="AE441" i="46"/>
  <c r="AA441" i="46" s="1"/>
  <c r="AE440" i="46"/>
  <c r="AA440" i="46" s="1"/>
  <c r="AE439" i="46"/>
  <c r="AA439" i="46" s="1"/>
  <c r="AE438" i="46"/>
  <c r="AA438" i="46" s="1"/>
  <c r="AE437" i="46"/>
  <c r="AA437" i="46" s="1"/>
  <c r="AE436" i="46"/>
  <c r="AA436" i="46" s="1"/>
  <c r="AE435" i="46"/>
  <c r="AA435" i="46" s="1"/>
  <c r="AE434" i="46"/>
  <c r="AA434" i="46" s="1"/>
  <c r="AE433" i="46"/>
  <c r="AA433" i="46" s="1"/>
  <c r="AE432" i="46"/>
  <c r="AA432" i="46" s="1"/>
  <c r="AE431" i="46"/>
  <c r="AA431" i="46" s="1"/>
  <c r="AE430" i="46"/>
  <c r="AA430" i="46" s="1"/>
  <c r="AE429" i="46"/>
  <c r="AA429" i="46" s="1"/>
  <c r="AE428" i="46"/>
  <c r="AA428" i="46" s="1"/>
  <c r="AE427" i="46"/>
  <c r="AA427" i="46" s="1"/>
  <c r="AE426" i="46"/>
  <c r="AA426" i="46" s="1"/>
  <c r="AE425" i="46"/>
  <c r="AA425" i="46" s="1"/>
  <c r="AE424" i="46"/>
  <c r="AA424" i="46" s="1"/>
  <c r="AE423" i="46"/>
  <c r="AA423" i="46" s="1"/>
  <c r="AE422" i="46"/>
  <c r="AA422" i="46" s="1"/>
  <c r="AE421" i="46"/>
  <c r="AA421" i="46" s="1"/>
  <c r="AE420" i="46"/>
  <c r="AA420" i="46" s="1"/>
  <c r="AE419" i="46"/>
  <c r="AA419" i="46" s="1"/>
  <c r="AE418" i="46"/>
  <c r="AA418" i="46" s="1"/>
  <c r="AE417" i="46"/>
  <c r="AA417" i="46" s="1"/>
  <c r="AE416" i="46"/>
  <c r="AA416" i="46" s="1"/>
  <c r="AE415" i="46"/>
  <c r="AA415" i="46" s="1"/>
  <c r="AE414" i="46"/>
  <c r="AA414" i="46" s="1"/>
  <c r="AE413" i="46"/>
  <c r="AA413" i="46" s="1"/>
  <c r="AE412" i="46"/>
  <c r="AA412" i="46" s="1"/>
  <c r="AE411" i="46"/>
  <c r="AA411" i="46" s="1"/>
  <c r="AE410" i="46"/>
  <c r="AA410" i="46" s="1"/>
  <c r="AE409" i="46"/>
  <c r="AA409" i="46" s="1"/>
  <c r="AE408" i="46"/>
  <c r="AA408" i="46" s="1"/>
  <c r="AE407" i="46"/>
  <c r="AA407" i="46" s="1"/>
  <c r="AE406" i="46"/>
  <c r="AA406" i="46" s="1"/>
  <c r="AE405" i="46"/>
  <c r="AA405" i="46" s="1"/>
  <c r="AE404" i="46"/>
  <c r="AA404" i="46" s="1"/>
  <c r="AE403" i="46"/>
  <c r="AA403" i="46" s="1"/>
  <c r="AE402" i="46"/>
  <c r="AA402" i="46" s="1"/>
  <c r="AE401" i="46"/>
  <c r="AA401" i="46" s="1"/>
  <c r="AE400" i="46"/>
  <c r="AA400" i="46" s="1"/>
  <c r="AE399" i="46"/>
  <c r="AA399" i="46" s="1"/>
  <c r="AE398" i="46"/>
  <c r="AA398" i="46" s="1"/>
  <c r="AE397" i="46"/>
  <c r="AA397" i="46" s="1"/>
  <c r="AE396" i="46"/>
  <c r="AA396" i="46" s="1"/>
  <c r="AE395" i="46"/>
  <c r="AA395" i="46" s="1"/>
  <c r="AE394" i="46"/>
  <c r="AA394" i="46" s="1"/>
  <c r="AE393" i="46"/>
  <c r="AA393" i="46" s="1"/>
  <c r="AE392" i="46"/>
  <c r="AA392" i="46" s="1"/>
  <c r="AE391" i="46"/>
  <c r="AA391" i="46" s="1"/>
  <c r="AE390" i="46"/>
  <c r="AA390" i="46" s="1"/>
  <c r="AE389" i="46"/>
  <c r="AA389" i="46" s="1"/>
  <c r="AE388" i="46"/>
  <c r="AA388" i="46" s="1"/>
  <c r="AE387" i="46"/>
  <c r="AA387" i="46" s="1"/>
  <c r="AE386" i="46"/>
  <c r="AA386" i="46" s="1"/>
  <c r="AE385" i="46"/>
  <c r="AA385" i="46" s="1"/>
  <c r="AE384" i="46"/>
  <c r="AA384" i="46" s="1"/>
  <c r="AE383" i="46"/>
  <c r="AA383" i="46" s="1"/>
  <c r="AE382" i="46"/>
  <c r="AA382" i="46" s="1"/>
  <c r="AE381" i="46"/>
  <c r="AA381" i="46" s="1"/>
  <c r="AE380" i="46"/>
  <c r="AA380" i="46" s="1"/>
  <c r="AE379" i="46"/>
  <c r="AA379" i="46" s="1"/>
  <c r="AE378" i="46"/>
  <c r="AA378" i="46" s="1"/>
  <c r="AE377" i="46"/>
  <c r="AA377" i="46" s="1"/>
  <c r="AE376" i="46"/>
  <c r="AA376" i="46" s="1"/>
  <c r="AE375" i="46"/>
  <c r="AA375" i="46" s="1"/>
  <c r="AE374" i="46"/>
  <c r="AA374" i="46" s="1"/>
  <c r="AE373" i="46"/>
  <c r="AA373" i="46" s="1"/>
  <c r="AE372" i="46"/>
  <c r="AA372" i="46" s="1"/>
  <c r="AE371" i="46"/>
  <c r="AA371" i="46" s="1"/>
  <c r="AE370" i="46"/>
  <c r="AA370" i="46" s="1"/>
  <c r="AE369" i="46"/>
  <c r="AA369" i="46" s="1"/>
  <c r="AE368" i="46"/>
  <c r="AA368" i="46" s="1"/>
  <c r="AE367" i="46"/>
  <c r="AA367" i="46" s="1"/>
  <c r="AE366" i="46"/>
  <c r="AA366" i="46" s="1"/>
  <c r="AE365" i="46"/>
  <c r="AA365" i="46" s="1"/>
  <c r="AE364" i="46"/>
  <c r="AA364" i="46" s="1"/>
  <c r="AE363" i="46"/>
  <c r="AA363" i="46" s="1"/>
  <c r="AE362" i="46"/>
  <c r="AA362" i="46" s="1"/>
  <c r="AE361" i="46"/>
  <c r="AA361" i="46" s="1"/>
  <c r="AE360" i="46"/>
  <c r="AA360" i="46" s="1"/>
  <c r="AE359" i="46"/>
  <c r="AA359" i="46" s="1"/>
  <c r="AE358" i="46"/>
  <c r="AA358" i="46" s="1"/>
  <c r="AE357" i="46"/>
  <c r="AA357" i="46" s="1"/>
  <c r="AE356" i="46"/>
  <c r="AA356" i="46" s="1"/>
  <c r="AE355" i="46"/>
  <c r="AA355" i="46" s="1"/>
  <c r="AE354" i="46"/>
  <c r="AA354" i="46" s="1"/>
  <c r="AE353" i="46"/>
  <c r="AA353" i="46" s="1"/>
  <c r="AE352" i="46"/>
  <c r="AA352" i="46" s="1"/>
  <c r="AE351" i="46"/>
  <c r="AA351" i="46" s="1"/>
  <c r="AE350" i="46"/>
  <c r="AA350" i="46" s="1"/>
  <c r="AE349" i="46"/>
  <c r="AA349" i="46" s="1"/>
  <c r="AE348" i="46"/>
  <c r="AA348" i="46" s="1"/>
  <c r="AE347" i="46"/>
  <c r="AA347" i="46" s="1"/>
  <c r="AE346" i="46"/>
  <c r="AA346" i="46" s="1"/>
  <c r="AE345" i="46"/>
  <c r="AA345" i="46" s="1"/>
  <c r="AE344" i="46"/>
  <c r="AA344" i="46" s="1"/>
  <c r="AE343" i="46"/>
  <c r="AA343" i="46" s="1"/>
  <c r="AE342" i="46"/>
  <c r="AA342" i="46" s="1"/>
  <c r="AE341" i="46"/>
  <c r="AA341" i="46" s="1"/>
  <c r="AE340" i="46"/>
  <c r="AA340" i="46" s="1"/>
  <c r="AE339" i="46"/>
  <c r="AA339" i="46" s="1"/>
  <c r="AE338" i="46"/>
  <c r="AA338" i="46" s="1"/>
  <c r="AE337" i="46"/>
  <c r="AA337" i="46" s="1"/>
  <c r="AE336" i="46"/>
  <c r="AA336" i="46" s="1"/>
  <c r="AE335" i="46"/>
  <c r="AA335" i="46" s="1"/>
  <c r="AE334" i="46"/>
  <c r="AA334" i="46" s="1"/>
  <c r="AE333" i="46"/>
  <c r="AA333" i="46" s="1"/>
  <c r="AE332" i="46"/>
  <c r="AA332" i="46" s="1"/>
  <c r="AE331" i="46"/>
  <c r="AA331" i="46" s="1"/>
  <c r="AE330" i="46"/>
  <c r="AA330" i="46" s="1"/>
  <c r="AE329" i="46"/>
  <c r="AA329" i="46" s="1"/>
  <c r="AE328" i="46"/>
  <c r="AA328" i="46" s="1"/>
  <c r="AE327" i="46"/>
  <c r="AA327" i="46" s="1"/>
  <c r="AE326" i="46"/>
  <c r="AA326" i="46" s="1"/>
  <c r="AE325" i="46"/>
  <c r="AA325" i="46" s="1"/>
  <c r="AE324" i="46"/>
  <c r="AA324" i="46" s="1"/>
  <c r="AE323" i="46"/>
  <c r="AA323" i="46" s="1"/>
  <c r="AE322" i="46"/>
  <c r="AA322" i="46" s="1"/>
  <c r="AE321" i="46"/>
  <c r="AA321" i="46" s="1"/>
  <c r="AE320" i="46"/>
  <c r="AA320" i="46" s="1"/>
  <c r="AE319" i="46"/>
  <c r="AA319" i="46" s="1"/>
  <c r="AE318" i="46"/>
  <c r="AA318" i="46" s="1"/>
  <c r="AE317" i="46"/>
  <c r="AA317" i="46" s="1"/>
  <c r="AE316" i="46"/>
  <c r="AA316" i="46" s="1"/>
  <c r="AE315" i="46"/>
  <c r="AA315" i="46" s="1"/>
  <c r="AE314" i="46"/>
  <c r="AA314" i="46" s="1"/>
  <c r="AE313" i="46"/>
  <c r="AA313" i="46" s="1"/>
  <c r="AE312" i="46"/>
  <c r="AA312" i="46" s="1"/>
  <c r="AE311" i="46"/>
  <c r="AA311" i="46" s="1"/>
  <c r="AE310" i="46"/>
  <c r="AA310" i="46" s="1"/>
  <c r="AE309" i="46"/>
  <c r="AA309" i="46" s="1"/>
  <c r="AE308" i="46"/>
  <c r="AA308" i="46" s="1"/>
  <c r="AE307" i="46"/>
  <c r="AA307" i="46" s="1"/>
  <c r="AE306" i="46"/>
  <c r="AA306" i="46" s="1"/>
  <c r="AE305" i="46"/>
  <c r="AA305" i="46" s="1"/>
  <c r="AE304" i="46"/>
  <c r="AA304" i="46" s="1"/>
  <c r="AE303" i="46"/>
  <c r="AA303" i="46" s="1"/>
  <c r="AE302" i="46"/>
  <c r="AA302" i="46" s="1"/>
  <c r="AE301" i="46"/>
  <c r="AA301" i="46" s="1"/>
  <c r="AE300" i="46"/>
  <c r="AA300" i="46" s="1"/>
  <c r="AE299" i="46"/>
  <c r="AA299" i="46" s="1"/>
  <c r="AE298" i="46"/>
  <c r="AA298" i="46" s="1"/>
  <c r="AE297" i="46"/>
  <c r="AA297" i="46" s="1"/>
  <c r="AE296" i="46"/>
  <c r="AA296" i="46" s="1"/>
  <c r="AE295" i="46"/>
  <c r="AA295" i="46" s="1"/>
  <c r="AE294" i="46"/>
  <c r="AA294" i="46" s="1"/>
  <c r="AE293" i="46"/>
  <c r="AA293" i="46" s="1"/>
  <c r="AE292" i="46"/>
  <c r="AA292" i="46" s="1"/>
  <c r="AE291" i="46"/>
  <c r="AA291" i="46" s="1"/>
  <c r="AE290" i="46"/>
  <c r="AA290" i="46" s="1"/>
  <c r="AE289" i="46"/>
  <c r="AA289" i="46" s="1"/>
  <c r="AE288" i="46"/>
  <c r="AA288" i="46" s="1"/>
  <c r="AE287" i="46"/>
  <c r="AA287" i="46" s="1"/>
  <c r="AE286" i="46"/>
  <c r="AA286" i="46" s="1"/>
  <c r="AE285" i="46"/>
  <c r="AA285" i="46" s="1"/>
  <c r="AE284" i="46"/>
  <c r="AA284" i="46" s="1"/>
  <c r="AE283" i="46"/>
  <c r="AA283" i="46" s="1"/>
  <c r="AE282" i="46"/>
  <c r="AA282" i="46" s="1"/>
  <c r="AE281" i="46"/>
  <c r="AA281" i="46" s="1"/>
  <c r="AE280" i="46"/>
  <c r="AA280" i="46" s="1"/>
  <c r="AE279" i="46"/>
  <c r="AA279" i="46" s="1"/>
  <c r="AE278" i="46"/>
  <c r="AA278" i="46" s="1"/>
  <c r="AE277" i="46"/>
  <c r="AA277" i="46" s="1"/>
  <c r="AE276" i="46"/>
  <c r="AA276" i="46" s="1"/>
  <c r="AE275" i="46"/>
  <c r="AA275" i="46" s="1"/>
  <c r="AE274" i="46"/>
  <c r="AA274" i="46" s="1"/>
  <c r="AE273" i="46"/>
  <c r="AA273" i="46" s="1"/>
  <c r="AE272" i="46"/>
  <c r="AA272" i="46" s="1"/>
  <c r="AE271" i="46"/>
  <c r="AA271" i="46" s="1"/>
  <c r="AE270" i="46"/>
  <c r="AA270" i="46" s="1"/>
  <c r="AE269" i="46"/>
  <c r="AA269" i="46" s="1"/>
  <c r="AE268" i="46"/>
  <c r="AA268" i="46" s="1"/>
  <c r="AE267" i="46"/>
  <c r="AA267" i="46" s="1"/>
  <c r="AE266" i="46"/>
  <c r="AA266" i="46" s="1"/>
  <c r="AE265" i="46"/>
  <c r="AA265" i="46" s="1"/>
  <c r="AE264" i="46"/>
  <c r="AA264" i="46" s="1"/>
  <c r="AE263" i="46"/>
  <c r="AA263" i="46" s="1"/>
  <c r="AE262" i="46"/>
  <c r="AA262" i="46" s="1"/>
  <c r="AE261" i="46"/>
  <c r="AA261" i="46" s="1"/>
  <c r="AE260" i="46"/>
  <c r="AA260" i="46" s="1"/>
  <c r="AE259" i="46"/>
  <c r="AA259" i="46" s="1"/>
  <c r="AE258" i="46"/>
  <c r="AA258" i="46" s="1"/>
  <c r="AE257" i="46"/>
  <c r="AA257" i="46" s="1"/>
  <c r="AE256" i="46"/>
  <c r="AA256" i="46" s="1"/>
  <c r="AE255" i="46"/>
  <c r="AA255" i="46" s="1"/>
  <c r="AE254" i="46"/>
  <c r="AA254" i="46" s="1"/>
  <c r="AE253" i="46"/>
  <c r="AA253" i="46" s="1"/>
  <c r="AE252" i="46"/>
  <c r="AA252" i="46" s="1"/>
  <c r="AE251" i="46"/>
  <c r="AA251" i="46" s="1"/>
  <c r="AE250" i="46"/>
  <c r="AA250" i="46" s="1"/>
  <c r="AE249" i="46"/>
  <c r="AA249" i="46" s="1"/>
  <c r="AE248" i="46"/>
  <c r="AA248" i="46" s="1"/>
  <c r="AE247" i="46"/>
  <c r="AA247" i="46" s="1"/>
  <c r="AE246" i="46"/>
  <c r="AA246" i="46" s="1"/>
  <c r="AE245" i="46"/>
  <c r="AA245" i="46" s="1"/>
  <c r="AE244" i="46"/>
  <c r="AA244" i="46" s="1"/>
  <c r="AE243" i="46"/>
  <c r="AA243" i="46" s="1"/>
  <c r="AE242" i="46"/>
  <c r="AA242" i="46" s="1"/>
  <c r="AE241" i="46"/>
  <c r="AA241" i="46" s="1"/>
  <c r="AE240" i="46"/>
  <c r="AA240" i="46" s="1"/>
  <c r="AE239" i="46"/>
  <c r="AA239" i="46" s="1"/>
  <c r="AE238" i="46"/>
  <c r="AA238" i="46" s="1"/>
  <c r="AE237" i="46"/>
  <c r="AA237" i="46" s="1"/>
  <c r="AE236" i="46"/>
  <c r="AA236" i="46" s="1"/>
  <c r="AE235" i="46"/>
  <c r="AA235" i="46" s="1"/>
  <c r="AE234" i="46"/>
  <c r="AA234" i="46" s="1"/>
  <c r="AE233" i="46"/>
  <c r="AA233" i="46" s="1"/>
  <c r="AE232" i="46"/>
  <c r="AA232" i="46" s="1"/>
  <c r="AE231" i="46"/>
  <c r="AA231" i="46" s="1"/>
  <c r="AE230" i="46"/>
  <c r="AA230" i="46" s="1"/>
  <c r="AE229" i="46"/>
  <c r="AA229" i="46" s="1"/>
  <c r="AE228" i="46"/>
  <c r="AA228" i="46" s="1"/>
  <c r="AE227" i="46"/>
  <c r="AA227" i="46" s="1"/>
  <c r="AE226" i="46"/>
  <c r="AA226" i="46" s="1"/>
  <c r="AE225" i="46"/>
  <c r="AA225" i="46" s="1"/>
  <c r="AE224" i="46"/>
  <c r="AA224" i="46" s="1"/>
  <c r="AE223" i="46"/>
  <c r="AA223" i="46" s="1"/>
  <c r="AE222" i="46"/>
  <c r="AA222" i="46" s="1"/>
  <c r="AE221" i="46"/>
  <c r="AA221" i="46" s="1"/>
  <c r="AE220" i="46"/>
  <c r="AA220" i="46" s="1"/>
  <c r="AE219" i="46"/>
  <c r="AA219" i="46" s="1"/>
  <c r="AE218" i="46"/>
  <c r="AA218" i="46" s="1"/>
  <c r="AE217" i="46"/>
  <c r="AA217" i="46" s="1"/>
  <c r="AE216" i="46"/>
  <c r="AA216" i="46" s="1"/>
  <c r="AE215" i="46"/>
  <c r="AA215" i="46" s="1"/>
  <c r="AE214" i="46"/>
  <c r="AA214" i="46" s="1"/>
  <c r="AE213" i="46"/>
  <c r="AA213" i="46" s="1"/>
  <c r="AE212" i="46"/>
  <c r="AA212" i="46" s="1"/>
  <c r="AE211" i="46"/>
  <c r="AA211" i="46" s="1"/>
  <c r="AE210" i="46"/>
  <c r="AA210" i="46" s="1"/>
  <c r="AE209" i="46"/>
  <c r="AA209" i="46" s="1"/>
  <c r="AE208" i="46"/>
  <c r="AA208" i="46" s="1"/>
  <c r="AE207" i="46"/>
  <c r="AA207" i="46" s="1"/>
  <c r="AE206" i="46"/>
  <c r="AA206" i="46" s="1"/>
  <c r="AE205" i="46"/>
  <c r="AA205" i="46" s="1"/>
  <c r="AE204" i="46"/>
  <c r="AA204" i="46" s="1"/>
  <c r="AE203" i="46"/>
  <c r="AA203" i="46" s="1"/>
  <c r="AE202" i="46"/>
  <c r="AA202" i="46" s="1"/>
  <c r="AE201" i="46"/>
  <c r="AA201" i="46" s="1"/>
  <c r="AE200" i="46"/>
  <c r="AA200" i="46" s="1"/>
  <c r="AE199" i="46"/>
  <c r="AA199" i="46" s="1"/>
  <c r="AE198" i="46"/>
  <c r="AA198" i="46" s="1"/>
  <c r="AE197" i="46"/>
  <c r="AA197" i="46" s="1"/>
  <c r="AE196" i="46"/>
  <c r="AA196" i="46" s="1"/>
  <c r="AE195" i="46"/>
  <c r="AA195" i="46" s="1"/>
  <c r="AE194" i="46"/>
  <c r="AA194" i="46" s="1"/>
  <c r="AE193" i="46"/>
  <c r="AA193" i="46" s="1"/>
  <c r="AE192" i="46"/>
  <c r="AA192" i="46" s="1"/>
  <c r="AE191" i="46"/>
  <c r="AA191" i="46" s="1"/>
  <c r="AE190" i="46"/>
  <c r="AA190" i="46" s="1"/>
  <c r="AE189" i="46"/>
  <c r="AA189" i="46" s="1"/>
  <c r="AE188" i="46"/>
  <c r="AA188" i="46" s="1"/>
  <c r="AE187" i="46"/>
  <c r="AA187" i="46" s="1"/>
  <c r="AE186" i="46"/>
  <c r="AA186" i="46" s="1"/>
  <c r="AE185" i="46"/>
  <c r="AA185" i="46" s="1"/>
  <c r="AE184" i="46"/>
  <c r="AA184" i="46" s="1"/>
  <c r="AE183" i="46"/>
  <c r="AA183" i="46" s="1"/>
  <c r="AE182" i="46"/>
  <c r="AA182" i="46" s="1"/>
  <c r="AE181" i="46"/>
  <c r="AA181" i="46" s="1"/>
  <c r="AE180" i="46"/>
  <c r="AA180" i="46" s="1"/>
  <c r="AE179" i="46"/>
  <c r="AA179" i="46" s="1"/>
  <c r="AE178" i="46"/>
  <c r="AA178" i="46" s="1"/>
  <c r="AE177" i="46"/>
  <c r="AA177" i="46" s="1"/>
  <c r="AE176" i="46"/>
  <c r="AA176" i="46" s="1"/>
  <c r="AE175" i="46"/>
  <c r="AA175" i="46" s="1"/>
  <c r="AE174" i="46"/>
  <c r="AA174" i="46" s="1"/>
  <c r="AE173" i="46"/>
  <c r="AA173" i="46" s="1"/>
  <c r="AE172" i="46"/>
  <c r="AA172" i="46" s="1"/>
  <c r="AE171" i="46"/>
  <c r="AA171" i="46" s="1"/>
  <c r="AE170" i="46"/>
  <c r="AA170" i="46" s="1"/>
  <c r="AE169" i="46"/>
  <c r="AA169" i="46" s="1"/>
  <c r="AE168" i="46"/>
  <c r="AA168" i="46" s="1"/>
  <c r="AE167" i="46"/>
  <c r="AA167" i="46" s="1"/>
  <c r="AE166" i="46"/>
  <c r="AA166" i="46" s="1"/>
  <c r="AE165" i="46"/>
  <c r="AA165" i="46" s="1"/>
  <c r="AE164" i="46"/>
  <c r="AA164" i="46" s="1"/>
  <c r="AE163" i="46"/>
  <c r="AA163" i="46" s="1"/>
  <c r="AE162" i="46"/>
  <c r="AA162" i="46" s="1"/>
  <c r="AE161" i="46"/>
  <c r="AA161" i="46" s="1"/>
  <c r="AE160" i="46"/>
  <c r="AA160" i="46" s="1"/>
  <c r="AE159" i="46"/>
  <c r="AA159" i="46" s="1"/>
  <c r="AE158" i="46"/>
  <c r="AA158" i="46" s="1"/>
  <c r="AE157" i="46"/>
  <c r="AA157" i="46" s="1"/>
  <c r="AE156" i="46"/>
  <c r="AA156" i="46" s="1"/>
  <c r="AE155" i="46"/>
  <c r="AA155" i="46" s="1"/>
  <c r="AE154" i="46"/>
  <c r="AA154" i="46" s="1"/>
  <c r="AE153" i="46"/>
  <c r="AA153" i="46" s="1"/>
  <c r="AE152" i="46"/>
  <c r="AA152" i="46" s="1"/>
  <c r="AE151" i="46"/>
  <c r="AA151" i="46" s="1"/>
  <c r="AE150" i="46"/>
  <c r="AA150" i="46" s="1"/>
  <c r="AE149" i="46"/>
  <c r="AA149" i="46" s="1"/>
  <c r="AE148" i="46"/>
  <c r="AA148" i="46" s="1"/>
  <c r="AE147" i="46"/>
  <c r="AA147" i="46" s="1"/>
  <c r="AE146" i="46"/>
  <c r="AA146" i="46" s="1"/>
  <c r="AE145" i="46"/>
  <c r="AA145" i="46" s="1"/>
  <c r="AE144" i="46"/>
  <c r="AA144" i="46" s="1"/>
  <c r="AE143" i="46"/>
  <c r="AA143" i="46" s="1"/>
  <c r="AE142" i="46"/>
  <c r="AA142" i="46" s="1"/>
  <c r="AE141" i="46"/>
  <c r="AA141" i="46" s="1"/>
  <c r="AE140" i="46"/>
  <c r="AA140" i="46" s="1"/>
  <c r="AE139" i="46"/>
  <c r="AA139" i="46" s="1"/>
  <c r="AE138" i="46"/>
  <c r="AA138" i="46" s="1"/>
  <c r="AE137" i="46"/>
  <c r="AA137" i="46" s="1"/>
  <c r="AE136" i="46"/>
  <c r="AA136" i="46" s="1"/>
  <c r="AE135" i="46"/>
  <c r="AA135" i="46" s="1"/>
  <c r="AE134" i="46"/>
  <c r="AA134" i="46" s="1"/>
  <c r="AE133" i="46"/>
  <c r="AA133" i="46" s="1"/>
  <c r="AE132" i="46"/>
  <c r="AA132" i="46" s="1"/>
  <c r="AE131" i="46"/>
  <c r="AA131" i="46" s="1"/>
  <c r="AE130" i="46"/>
  <c r="AA130" i="46" s="1"/>
  <c r="AE129" i="46"/>
  <c r="AA129" i="46" s="1"/>
  <c r="AE128" i="46"/>
  <c r="AA128" i="46" s="1"/>
  <c r="AE127" i="46"/>
  <c r="AA127" i="46" s="1"/>
  <c r="AE126" i="46"/>
  <c r="AA126" i="46" s="1"/>
  <c r="AE125" i="46"/>
  <c r="AA125" i="46" s="1"/>
  <c r="AE124" i="46"/>
  <c r="AA124" i="46" s="1"/>
  <c r="AE123" i="46"/>
  <c r="AA123" i="46" s="1"/>
  <c r="AE122" i="46"/>
  <c r="AA122" i="46" s="1"/>
  <c r="AE121" i="46"/>
  <c r="AA121" i="46" s="1"/>
  <c r="AE120" i="46"/>
  <c r="AA120" i="46" s="1"/>
  <c r="AE119" i="46"/>
  <c r="AA119" i="46" s="1"/>
  <c r="AE118" i="46"/>
  <c r="AA118" i="46" s="1"/>
  <c r="AE117" i="46"/>
  <c r="AA117" i="46" s="1"/>
  <c r="AE116" i="46"/>
  <c r="AA116" i="46" s="1"/>
  <c r="AE115" i="46"/>
  <c r="AA115" i="46" s="1"/>
  <c r="AE114" i="46"/>
  <c r="AA114" i="46" s="1"/>
  <c r="AE113" i="46"/>
  <c r="AA113" i="46" s="1"/>
  <c r="AE112" i="46"/>
  <c r="AA112" i="46" s="1"/>
  <c r="AE111" i="46"/>
  <c r="AA111" i="46" s="1"/>
  <c r="AE110" i="46"/>
  <c r="AA110" i="46" s="1"/>
  <c r="AE109" i="46"/>
  <c r="AA109" i="46" s="1"/>
  <c r="AE108" i="46"/>
  <c r="AA108" i="46" s="1"/>
  <c r="AE107" i="46"/>
  <c r="AA107" i="46" s="1"/>
  <c r="AE106" i="46"/>
  <c r="AA106" i="46" s="1"/>
  <c r="AE105" i="46"/>
  <c r="AA105" i="46" s="1"/>
  <c r="AE104" i="46"/>
  <c r="AA104" i="46" s="1"/>
  <c r="AE103" i="46"/>
  <c r="AA103" i="46" s="1"/>
  <c r="AE102" i="46"/>
  <c r="AA102" i="46" s="1"/>
  <c r="AE101" i="46"/>
  <c r="AA101" i="46" s="1"/>
  <c r="AE100" i="46"/>
  <c r="AA100" i="46" s="1"/>
  <c r="AE99" i="46"/>
  <c r="AA99" i="46" s="1"/>
  <c r="AE98" i="46"/>
  <c r="AA98" i="46" s="1"/>
  <c r="AE97" i="46"/>
  <c r="AA97" i="46" s="1"/>
  <c r="AE96" i="46"/>
  <c r="AA96" i="46" s="1"/>
  <c r="AE95" i="46"/>
  <c r="AA95" i="46" s="1"/>
  <c r="AE94" i="46"/>
  <c r="AA94" i="46" s="1"/>
  <c r="AE93" i="46"/>
  <c r="AA93" i="46" s="1"/>
  <c r="AE92" i="46"/>
  <c r="AA92" i="46" s="1"/>
  <c r="AE91" i="46"/>
  <c r="AA91" i="46" s="1"/>
  <c r="AE90" i="46"/>
  <c r="AA90" i="46" s="1"/>
  <c r="AE89" i="46"/>
  <c r="AA89" i="46" s="1"/>
  <c r="AE88" i="46"/>
  <c r="AA88" i="46" s="1"/>
  <c r="AE87" i="46"/>
  <c r="AA87" i="46" s="1"/>
  <c r="AE86" i="46"/>
  <c r="AA86" i="46" s="1"/>
  <c r="AE85" i="46"/>
  <c r="AA85" i="46" s="1"/>
  <c r="AE84" i="46"/>
  <c r="AA84" i="46" s="1"/>
  <c r="AE83" i="46"/>
  <c r="AA83" i="46" s="1"/>
  <c r="AE82" i="46"/>
  <c r="AA82" i="46" s="1"/>
  <c r="AE81" i="46"/>
  <c r="AA81" i="46" s="1"/>
  <c r="AE80" i="46"/>
  <c r="AA80" i="46" s="1"/>
  <c r="AE79" i="46"/>
  <c r="AA79" i="46" s="1"/>
  <c r="AE78" i="46"/>
  <c r="AA78" i="46" s="1"/>
  <c r="AE77" i="46"/>
  <c r="AA77" i="46" s="1"/>
  <c r="AE76" i="46"/>
  <c r="AA76" i="46" s="1"/>
  <c r="AE75" i="46"/>
  <c r="AA75" i="46" s="1"/>
  <c r="AE74" i="46"/>
  <c r="AA74" i="46" s="1"/>
  <c r="AE73" i="46"/>
  <c r="AA73" i="46" s="1"/>
  <c r="AE72" i="46"/>
  <c r="AA72" i="46" s="1"/>
  <c r="AE71" i="46"/>
  <c r="AA71" i="46" s="1"/>
  <c r="AE70" i="46"/>
  <c r="AA70" i="46" s="1"/>
  <c r="AE69" i="46"/>
  <c r="AA69" i="46" s="1"/>
  <c r="AE68" i="46"/>
  <c r="AA68" i="46" s="1"/>
  <c r="AE67" i="46"/>
  <c r="AA67" i="46" s="1"/>
  <c r="AE66" i="46"/>
  <c r="AA66" i="46" s="1"/>
  <c r="AE65" i="46"/>
  <c r="AA65" i="46" s="1"/>
  <c r="AE64" i="46"/>
  <c r="AA64" i="46" s="1"/>
  <c r="AE63" i="46"/>
  <c r="AA63" i="46" s="1"/>
  <c r="AE62" i="46"/>
  <c r="AA62" i="46" s="1"/>
  <c r="AE61" i="46"/>
  <c r="AA61" i="46" s="1"/>
  <c r="AE60" i="46"/>
  <c r="AA60" i="46" s="1"/>
  <c r="AE59" i="46"/>
  <c r="AA59" i="46" s="1"/>
  <c r="AE58" i="46"/>
  <c r="AA58" i="46" s="1"/>
  <c r="AE57" i="46"/>
  <c r="AA57" i="46" s="1"/>
  <c r="AE56" i="46"/>
  <c r="AA56" i="46" s="1"/>
  <c r="AE55" i="46"/>
  <c r="AA55" i="46" s="1"/>
  <c r="AE54" i="46"/>
  <c r="AA54" i="46" s="1"/>
  <c r="AE53" i="46"/>
  <c r="AA53" i="46" s="1"/>
  <c r="AE52" i="46"/>
  <c r="AA52" i="46" s="1"/>
  <c r="AE51" i="46"/>
  <c r="AA51" i="46" s="1"/>
  <c r="AE50" i="46"/>
  <c r="AA50" i="46" s="1"/>
  <c r="AE49" i="46"/>
  <c r="AA49" i="46" s="1"/>
  <c r="AE48" i="46"/>
  <c r="AA48" i="46" s="1"/>
  <c r="AE47" i="46"/>
  <c r="AA47" i="46" s="1"/>
  <c r="AE46" i="46"/>
  <c r="AA46" i="46" s="1"/>
  <c r="AE45" i="46"/>
  <c r="AA45" i="46" s="1"/>
  <c r="AE44" i="46"/>
  <c r="AA44" i="46" s="1"/>
  <c r="AE43" i="46"/>
  <c r="AA43" i="46" s="1"/>
  <c r="AE42" i="46"/>
  <c r="AA42" i="46" s="1"/>
  <c r="AE41" i="46"/>
  <c r="AA41" i="46" s="1"/>
  <c r="AE40" i="46"/>
  <c r="AA40" i="46" s="1"/>
  <c r="AE39" i="46"/>
  <c r="AA39" i="46" s="1"/>
  <c r="AE38" i="46"/>
  <c r="AA38" i="46" s="1"/>
  <c r="AE37" i="46"/>
  <c r="AA37" i="46" s="1"/>
  <c r="AE36" i="46"/>
  <c r="AA36" i="46" s="1"/>
  <c r="AE35" i="46"/>
  <c r="AA35" i="46" s="1"/>
  <c r="AE34" i="46"/>
  <c r="AA34" i="46" s="1"/>
  <c r="AE33" i="46"/>
  <c r="AA33" i="46" s="1"/>
  <c r="AE32" i="46"/>
  <c r="AA32" i="46" s="1"/>
  <c r="AE31" i="46"/>
  <c r="AA31" i="46" s="1"/>
  <c r="AE30" i="46"/>
  <c r="AA30" i="46" s="1"/>
  <c r="AE29" i="46"/>
  <c r="AA29" i="46" s="1"/>
  <c r="AE28" i="46"/>
  <c r="AA28" i="46" s="1"/>
  <c r="AE27" i="46"/>
  <c r="AA27" i="46" s="1"/>
  <c r="AE26" i="46"/>
  <c r="AA26" i="46" s="1"/>
  <c r="AE25" i="46"/>
  <c r="AA25" i="46" s="1"/>
  <c r="AE24" i="46"/>
  <c r="AA24" i="46" s="1"/>
  <c r="AE23" i="46"/>
  <c r="AA23" i="46" s="1"/>
  <c r="AE22" i="46"/>
  <c r="AA22" i="46" s="1"/>
  <c r="AE21" i="46"/>
  <c r="AA21" i="46" s="1"/>
  <c r="AE20" i="46"/>
  <c r="AA20" i="46" s="1"/>
  <c r="AE19" i="46"/>
  <c r="AA19" i="46" s="1"/>
  <c r="AE18" i="46"/>
  <c r="AA18" i="46" s="1"/>
  <c r="AE17" i="46"/>
  <c r="AA17" i="46" s="1"/>
  <c r="AE16" i="46"/>
  <c r="AA16" i="46" s="1"/>
  <c r="AE15" i="46"/>
  <c r="AA15" i="46" s="1"/>
  <c r="AE14" i="46"/>
  <c r="AA14" i="46" s="1"/>
  <c r="AE13" i="46"/>
  <c r="AA13" i="46" s="1"/>
  <c r="AE12" i="46"/>
  <c r="AA12" i="46" s="1"/>
  <c r="AE11" i="46"/>
  <c r="AA11" i="46" s="1"/>
  <c r="AE10" i="46"/>
  <c r="AA10" i="46" s="1"/>
  <c r="AE9" i="46"/>
  <c r="AA9" i="46" s="1"/>
  <c r="AE8" i="46"/>
  <c r="AA8" i="46" s="1"/>
  <c r="AE7" i="46"/>
  <c r="AA7" i="46" s="1"/>
  <c r="AE6" i="46"/>
  <c r="AA6" i="46" s="1"/>
  <c r="AE5" i="46"/>
  <c r="AA5" i="46" s="1"/>
  <c r="AE4" i="46"/>
  <c r="AA4" i="46" s="1"/>
  <c r="AE3" i="46"/>
  <c r="AA3" i="46" s="1"/>
  <c r="AE2" i="46"/>
  <c r="AA2" i="46" s="1"/>
  <c r="Y1442" i="7"/>
  <c r="Y1443" i="7"/>
  <c r="Y1444" i="7"/>
  <c r="Y1563" i="7"/>
  <c r="Y1564" i="7"/>
  <c r="Y1565" i="7"/>
  <c r="Y1562" i="7"/>
  <c r="Y1558" i="7"/>
  <c r="Y1559" i="7"/>
  <c r="Y1560" i="7"/>
  <c r="Y1561" i="7"/>
  <c r="Y1551" i="7"/>
  <c r="Y1552" i="7"/>
  <c r="Y1553" i="7"/>
  <c r="Y1606" i="7"/>
  <c r="Y1555" i="7"/>
  <c r="Y1554" i="7"/>
  <c r="Y1605" i="7"/>
  <c r="Y1602" i="7"/>
  <c r="Y1603" i="7"/>
  <c r="Y1604" i="7"/>
  <c r="Y1652" i="7"/>
  <c r="Y1154" i="7"/>
  <c r="Y1155" i="7"/>
  <c r="Y1447" i="7"/>
  <c r="Y1448" i="7"/>
  <c r="Y1449" i="7"/>
  <c r="Y1450" i="7"/>
  <c r="Y63" i="7"/>
  <c r="Y64" i="7"/>
  <c r="Y61" i="7"/>
  <c r="Y59" i="7"/>
  <c r="Y60" i="7"/>
  <c r="Y62" i="7"/>
  <c r="Y23" i="7"/>
  <c r="Y43" i="7"/>
  <c r="Y67" i="7"/>
  <c r="Y290" i="7"/>
  <c r="Y218" i="7"/>
  <c r="Y219" i="7"/>
  <c r="Y220" i="7"/>
  <c r="Y221" i="7"/>
  <c r="Y225" i="7"/>
  <c r="Y224" i="7"/>
  <c r="Y217" i="7"/>
  <c r="Y15" i="7"/>
  <c r="Y11" i="7"/>
  <c r="Y17" i="7"/>
  <c r="Y266" i="7"/>
  <c r="Y16" i="7"/>
  <c r="Y265" i="7"/>
  <c r="Y264" i="7"/>
  <c r="Y263" i="7"/>
  <c r="Y262" i="7"/>
  <c r="AE1601" i="7"/>
  <c r="AA1601" i="7" s="1"/>
  <c r="AE1602" i="7"/>
  <c r="AA1602" i="7" s="1"/>
  <c r="AE1603" i="7"/>
  <c r="AA1603" i="7" s="1"/>
  <c r="AE1604" i="7"/>
  <c r="AA1604" i="7" s="1"/>
  <c r="AE1605" i="7"/>
  <c r="AA1605" i="7" s="1"/>
  <c r="AE1606" i="7"/>
  <c r="AA1606" i="7" s="1"/>
  <c r="AE1607" i="7"/>
  <c r="AA1607" i="7" s="1"/>
  <c r="AE1608" i="7"/>
  <c r="AA1608" i="7" s="1"/>
  <c r="AE1609" i="7"/>
  <c r="AA1609" i="7" s="1"/>
  <c r="AE1610" i="7"/>
  <c r="AA1610" i="7" s="1"/>
  <c r="AE1611" i="7"/>
  <c r="AA1611" i="7" s="1"/>
  <c r="AE1612" i="7"/>
  <c r="AA1612" i="7" s="1"/>
  <c r="AE1613" i="7"/>
  <c r="AA1613" i="7" s="1"/>
  <c r="AE1614" i="7"/>
  <c r="AA1614" i="7" s="1"/>
  <c r="AE1615" i="7"/>
  <c r="AA1615" i="7" s="1"/>
  <c r="AE1616" i="7"/>
  <c r="AA1616" i="7" s="1"/>
  <c r="AE1617" i="7"/>
  <c r="AA1617" i="7" s="1"/>
  <c r="AE1618" i="7"/>
  <c r="AA1618" i="7" s="1"/>
  <c r="AE1619" i="7"/>
  <c r="AA1619" i="7" s="1"/>
  <c r="AE1620" i="7"/>
  <c r="AA1620" i="7" s="1"/>
  <c r="AE1621" i="7"/>
  <c r="AA1621" i="7" s="1"/>
  <c r="AE1622" i="7"/>
  <c r="AA1622" i="7" s="1"/>
  <c r="AE1623" i="7"/>
  <c r="AA1623" i="7" s="1"/>
  <c r="AE1624" i="7"/>
  <c r="AA1624" i="7" s="1"/>
  <c r="AE1625" i="7"/>
  <c r="AA1625" i="7" s="1"/>
  <c r="Y618" i="7"/>
  <c r="Y620" i="7"/>
  <c r="Y1117" i="7"/>
  <c r="Y616" i="7"/>
  <c r="Y617" i="7"/>
  <c r="Y304" i="7"/>
  <c r="Y303" i="7"/>
  <c r="Y609" i="7"/>
  <c r="Y608" i="7"/>
  <c r="Y613" i="7"/>
  <c r="Y612" i="7"/>
  <c r="Y715" i="7"/>
  <c r="Y716" i="7"/>
  <c r="Y717" i="7"/>
  <c r="Y718" i="7"/>
  <c r="Y719" i="7"/>
  <c r="Y720" i="7"/>
  <c r="Y256" i="7"/>
  <c r="Y83" i="7"/>
  <c r="Y84" i="7"/>
  <c r="Y36" i="7"/>
  <c r="Y35" i="7"/>
  <c r="Y239" i="7"/>
  <c r="Y240" i="7"/>
  <c r="Y94" i="7"/>
  <c r="Y100" i="7"/>
  <c r="Y99" i="7"/>
  <c r="Y98" i="7"/>
  <c r="Y96" i="7"/>
  <c r="Y97" i="7"/>
  <c r="Y95" i="7"/>
  <c r="Y107" i="7"/>
  <c r="Y106" i="7"/>
  <c r="Y269" i="7"/>
  <c r="Y270" i="7"/>
  <c r="Y195" i="7"/>
  <c r="Y277" i="7"/>
  <c r="Y226" i="7"/>
  <c r="Y82" i="7"/>
  <c r="Y1750" i="7"/>
  <c r="Y3" i="7"/>
  <c r="Y2" i="7"/>
  <c r="Y1748" i="7"/>
  <c r="Y1749" i="7"/>
  <c r="Y10" i="7"/>
  <c r="Y9" i="7"/>
  <c r="Y8" i="7"/>
  <c r="Y6" i="7"/>
  <c r="Y7" i="7"/>
  <c r="Y5" i="7"/>
  <c r="Y4" i="7"/>
  <c r="Y13" i="7"/>
  <c r="Y289" i="7"/>
  <c r="Y267" i="7"/>
  <c r="Y12" i="7"/>
  <c r="Y288" i="7"/>
  <c r="Y287" i="7"/>
  <c r="Y230" i="7"/>
  <c r="Y231" i="7"/>
  <c r="Y242" i="7"/>
  <c r="Y241" i="7"/>
  <c r="Y187" i="7"/>
  <c r="Y188" i="7"/>
  <c r="Y286" i="7"/>
  <c r="Y232" i="7"/>
  <c r="Y229" i="7"/>
  <c r="Y228" i="7"/>
  <c r="Y27" i="7"/>
  <c r="Y30" i="7"/>
  <c r="Y227" i="7"/>
  <c r="Y233" i="7"/>
  <c r="AE1563" i="7"/>
  <c r="AA1563" i="7" s="1"/>
  <c r="AE1564" i="7"/>
  <c r="AA1564" i="7" s="1"/>
  <c r="AE1565" i="7"/>
  <c r="AA1565" i="7" s="1"/>
  <c r="AE1566" i="7"/>
  <c r="AA1566" i="7" s="1"/>
  <c r="AE1567" i="7"/>
  <c r="AA1567" i="7" s="1"/>
  <c r="AE1568" i="7"/>
  <c r="AA1568" i="7" s="1"/>
  <c r="AE1569" i="7"/>
  <c r="AA1569" i="7" s="1"/>
  <c r="AE1570" i="7"/>
  <c r="AA1570" i="7" s="1"/>
  <c r="AE1571" i="7"/>
  <c r="AA1571" i="7" s="1"/>
  <c r="AE1572" i="7"/>
  <c r="AA1572" i="7" s="1"/>
  <c r="AE1573" i="7"/>
  <c r="AA1573" i="7" s="1"/>
  <c r="AE1574" i="7"/>
  <c r="AA1574" i="7" s="1"/>
  <c r="AE1575" i="7"/>
  <c r="AA1575" i="7" s="1"/>
  <c r="AE1576" i="7"/>
  <c r="AA1576" i="7" s="1"/>
  <c r="AE1577" i="7"/>
  <c r="AA1577" i="7" s="1"/>
  <c r="AE1578" i="7"/>
  <c r="AA1578" i="7" s="1"/>
  <c r="AE1579" i="7"/>
  <c r="AA1579" i="7" s="1"/>
  <c r="AE1580" i="7"/>
  <c r="AA1580" i="7" s="1"/>
  <c r="AE1581" i="7"/>
  <c r="AA1581" i="7" s="1"/>
  <c r="AE1582" i="7"/>
  <c r="AA1582" i="7" s="1"/>
  <c r="AE1583" i="7"/>
  <c r="AA1583" i="7" s="1"/>
  <c r="AE1584" i="7"/>
  <c r="AA1584" i="7" s="1"/>
  <c r="AE1585" i="7"/>
  <c r="AA1585" i="7" s="1"/>
  <c r="AE1586" i="7"/>
  <c r="AA1586" i="7" s="1"/>
  <c r="AE1587" i="7"/>
  <c r="AA1587" i="7" s="1"/>
  <c r="AE1588" i="7"/>
  <c r="AA1588" i="7" s="1"/>
  <c r="AE1589" i="7"/>
  <c r="AA1589" i="7" s="1"/>
  <c r="AE1590" i="7"/>
  <c r="AA1590" i="7" s="1"/>
  <c r="AE1591" i="7"/>
  <c r="AA1591" i="7" s="1"/>
  <c r="AE1592" i="7"/>
  <c r="AA1592" i="7" s="1"/>
  <c r="AE1593" i="7"/>
  <c r="AA1593" i="7" s="1"/>
  <c r="AE1594" i="7"/>
  <c r="AA1594" i="7" s="1"/>
  <c r="AE1595" i="7"/>
  <c r="AA1595" i="7" s="1"/>
  <c r="AE1596" i="7"/>
  <c r="AA1596" i="7" s="1"/>
  <c r="AE1597" i="7"/>
  <c r="AA1597" i="7" s="1"/>
  <c r="AE1598" i="7"/>
  <c r="AA1598" i="7" s="1"/>
  <c r="AE1599" i="7"/>
  <c r="AA1599" i="7" s="1"/>
  <c r="AE1600" i="7"/>
  <c r="AA1600" i="7" s="1"/>
  <c r="Y1414" i="7"/>
  <c r="Y638" i="7"/>
  <c r="Y636" i="7"/>
  <c r="Y637" i="7"/>
  <c r="Y640" i="7"/>
  <c r="Y641" i="7"/>
  <c r="Y1134" i="7"/>
  <c r="Y1131" i="7"/>
  <c r="Y1136" i="7"/>
  <c r="Y1133" i="7"/>
  <c r="Y1140" i="7"/>
  <c r="Y639" i="7"/>
  <c r="Y648" i="7"/>
  <c r="Y647" i="7"/>
  <c r="Y643" i="7"/>
  <c r="Y1320" i="7"/>
  <c r="Y1539" i="7"/>
  <c r="Y1538" i="7"/>
  <c r="Y1286" i="7"/>
  <c r="AE1551" i="7"/>
  <c r="AA1551" i="7" s="1"/>
  <c r="AE1552" i="7"/>
  <c r="AA1552" i="7" s="1"/>
  <c r="AE1553" i="7"/>
  <c r="AA1553" i="7" s="1"/>
  <c r="AE1554" i="7"/>
  <c r="AA1554" i="7" s="1"/>
  <c r="AE1555" i="7"/>
  <c r="AA1555" i="7" s="1"/>
  <c r="AE1556" i="7"/>
  <c r="AA1556" i="7" s="1"/>
  <c r="AE1557" i="7"/>
  <c r="AA1557" i="7" s="1"/>
  <c r="AE1558" i="7"/>
  <c r="AA1558" i="7" s="1"/>
  <c r="AE1559" i="7"/>
  <c r="AA1559" i="7" s="1"/>
  <c r="AE1560" i="7"/>
  <c r="AA1560" i="7" s="1"/>
  <c r="AE1561" i="7"/>
  <c r="AA1561" i="7" s="1"/>
  <c r="AE1562" i="7"/>
  <c r="AA1562" i="7" s="1"/>
  <c r="Y20" i="7"/>
  <c r="Y19" i="7"/>
  <c r="Y18" i="7"/>
  <c r="Y37" i="7"/>
  <c r="Y21" i="7"/>
  <c r="Y223" i="7"/>
  <c r="Y222" i="7"/>
  <c r="Y48" i="7"/>
  <c r="Y25" i="7"/>
  <c r="Y191" i="7"/>
  <c r="Y587" i="7"/>
  <c r="Y45" i="7"/>
  <c r="Y1673" i="7"/>
  <c r="Y1280" i="7"/>
  <c r="AE1505" i="7"/>
  <c r="AA1505" i="7" s="1"/>
  <c r="AE1506" i="7"/>
  <c r="AA1506" i="7" s="1"/>
  <c r="AE1507" i="7"/>
  <c r="AA1507" i="7" s="1"/>
  <c r="AE1508" i="7"/>
  <c r="AA1508" i="7" s="1"/>
  <c r="AE1509" i="7"/>
  <c r="AA1509" i="7" s="1"/>
  <c r="AE1510" i="7"/>
  <c r="AA1510" i="7" s="1"/>
  <c r="AE1511" i="7"/>
  <c r="AA1511" i="7" s="1"/>
  <c r="AE1512" i="7"/>
  <c r="AA1512" i="7" s="1"/>
  <c r="AE1513" i="7"/>
  <c r="AA1513" i="7" s="1"/>
  <c r="AE1514" i="7"/>
  <c r="AA1514" i="7" s="1"/>
  <c r="AE1515" i="7"/>
  <c r="AA1515" i="7" s="1"/>
  <c r="AE1516" i="7"/>
  <c r="AA1516" i="7" s="1"/>
  <c r="AE1517" i="7"/>
  <c r="AA1517" i="7" s="1"/>
  <c r="AE1518" i="7"/>
  <c r="AA1518" i="7" s="1"/>
  <c r="AE1519" i="7"/>
  <c r="AA1519" i="7" s="1"/>
  <c r="AE1520" i="7"/>
  <c r="AA1520" i="7" s="1"/>
  <c r="AE1521" i="7"/>
  <c r="AA1521" i="7" s="1"/>
  <c r="AE1522" i="7"/>
  <c r="AA1522" i="7" s="1"/>
  <c r="AE1523" i="7"/>
  <c r="AA1523" i="7" s="1"/>
  <c r="AE1524" i="7"/>
  <c r="AA1524" i="7" s="1"/>
  <c r="AE1525" i="7"/>
  <c r="AA1525" i="7" s="1"/>
  <c r="AE1526" i="7"/>
  <c r="AA1526" i="7" s="1"/>
  <c r="AE1527" i="7"/>
  <c r="AA1527" i="7" s="1"/>
  <c r="AE1528" i="7"/>
  <c r="AA1528" i="7" s="1"/>
  <c r="AE1529" i="7"/>
  <c r="AA1529" i="7" s="1"/>
  <c r="AE1530" i="7"/>
  <c r="AA1530" i="7" s="1"/>
  <c r="AE1531" i="7"/>
  <c r="AA1531" i="7" s="1"/>
  <c r="AE1532" i="7"/>
  <c r="AA1532" i="7" s="1"/>
  <c r="AE1533" i="7"/>
  <c r="AA1533" i="7" s="1"/>
  <c r="AE1534" i="7"/>
  <c r="AA1534" i="7" s="1"/>
  <c r="AE1535" i="7"/>
  <c r="AA1535" i="7" s="1"/>
  <c r="AE1536" i="7"/>
  <c r="AA1536" i="7" s="1"/>
  <c r="AE1537" i="7"/>
  <c r="AA1537" i="7" s="1"/>
  <c r="AE1538" i="7"/>
  <c r="AA1538" i="7" s="1"/>
  <c r="AE1539" i="7"/>
  <c r="AA1539" i="7" s="1"/>
  <c r="AE1540" i="7"/>
  <c r="AA1540" i="7" s="1"/>
  <c r="AE1541" i="7"/>
  <c r="AA1541" i="7" s="1"/>
  <c r="AE1542" i="7"/>
  <c r="AA1542" i="7" s="1"/>
  <c r="AE1543" i="7"/>
  <c r="AA1543" i="7" s="1"/>
  <c r="AE1544" i="7"/>
  <c r="AA1544" i="7" s="1"/>
  <c r="AE1545" i="7"/>
  <c r="AA1545" i="7" s="1"/>
  <c r="AE1546" i="7"/>
  <c r="AA1546" i="7" s="1"/>
  <c r="AE1547" i="7"/>
  <c r="AA1547" i="7" s="1"/>
  <c r="AE1548" i="7"/>
  <c r="AA1548" i="7" s="1"/>
  <c r="AE1549" i="7"/>
  <c r="AA1549" i="7" s="1"/>
  <c r="AE1550" i="7"/>
  <c r="AA1550" i="7" s="1"/>
  <c r="Y499" i="7"/>
  <c r="Y590" i="7"/>
  <c r="Y495" i="7"/>
  <c r="Y497" i="7"/>
  <c r="Y589" i="7"/>
  <c r="Y283" i="7"/>
  <c r="Y103" i="7"/>
  <c r="Y498" i="7"/>
  <c r="Y413" i="7"/>
  <c r="Y156" i="7"/>
  <c r="Y500" i="7"/>
  <c r="Y408" i="7"/>
  <c r="Y54" i="7"/>
  <c r="Y684" i="7"/>
  <c r="Y780" i="7"/>
  <c r="Y33" i="7"/>
  <c r="Y32" i="7"/>
  <c r="Y52" i="7"/>
  <c r="Y53" i="7"/>
  <c r="Y672" i="7"/>
  <c r="Y34" i="7"/>
  <c r="Y419" i="7"/>
  <c r="Y385" i="7"/>
  <c r="Y190" i="7"/>
  <c r="Y192" i="7"/>
  <c r="Y784" i="7"/>
  <c r="Y51" i="7"/>
  <c r="Y415" i="7"/>
  <c r="Y414" i="7"/>
  <c r="Y409" i="7"/>
  <c r="Y410" i="7"/>
  <c r="Y406" i="7"/>
  <c r="Y404" i="7"/>
  <c r="Y405" i="7"/>
  <c r="Y47" i="7"/>
  <c r="Y50" i="7"/>
  <c r="Y285" i="7"/>
  <c r="Y104" i="7"/>
  <c r="Y105" i="7"/>
  <c r="Y412" i="7"/>
  <c r="Y102" i="7"/>
  <c r="Y284" i="7"/>
  <c r="Y387" i="7"/>
  <c r="Y411" i="7"/>
  <c r="AE1379" i="7"/>
  <c r="AA1379" i="7" s="1"/>
  <c r="AE1380" i="7"/>
  <c r="AA1380" i="7" s="1"/>
  <c r="AE1381" i="7"/>
  <c r="AA1381" i="7" s="1"/>
  <c r="AE1382" i="7"/>
  <c r="AA1382" i="7" s="1"/>
  <c r="AE1383" i="7"/>
  <c r="AA1383" i="7" s="1"/>
  <c r="AE1384" i="7"/>
  <c r="AA1384" i="7" s="1"/>
  <c r="AE1385" i="7"/>
  <c r="AA1385" i="7" s="1"/>
  <c r="AE1386" i="7"/>
  <c r="AA1386" i="7" s="1"/>
  <c r="AE1387" i="7"/>
  <c r="AA1387" i="7" s="1"/>
  <c r="AE1388" i="7"/>
  <c r="AA1388" i="7" s="1"/>
  <c r="AE1389" i="7"/>
  <c r="AA1389" i="7" s="1"/>
  <c r="AE1390" i="7"/>
  <c r="AA1390" i="7" s="1"/>
  <c r="AE1391" i="7"/>
  <c r="AA1391" i="7" s="1"/>
  <c r="AE1392" i="7"/>
  <c r="AA1392" i="7" s="1"/>
  <c r="AE1393" i="7"/>
  <c r="AA1393" i="7" s="1"/>
  <c r="AE1394" i="7"/>
  <c r="AA1394" i="7" s="1"/>
  <c r="AE1395" i="7"/>
  <c r="AA1395" i="7" s="1"/>
  <c r="AE1396" i="7"/>
  <c r="AA1396" i="7" s="1"/>
  <c r="AE1397" i="7"/>
  <c r="AA1397" i="7" s="1"/>
  <c r="AE1398" i="7"/>
  <c r="AA1398" i="7" s="1"/>
  <c r="AE1399" i="7"/>
  <c r="AA1399" i="7" s="1"/>
  <c r="AE1400" i="7"/>
  <c r="AA1400" i="7" s="1"/>
  <c r="AE1401" i="7"/>
  <c r="AA1401" i="7" s="1"/>
  <c r="AE1402" i="7"/>
  <c r="AA1402" i="7" s="1"/>
  <c r="AE1403" i="7"/>
  <c r="AA1403" i="7" s="1"/>
  <c r="AE1404" i="7"/>
  <c r="AA1404" i="7" s="1"/>
  <c r="AE1405" i="7"/>
  <c r="AA1405" i="7" s="1"/>
  <c r="AE1406" i="7"/>
  <c r="AA1406" i="7" s="1"/>
  <c r="AE1407" i="7"/>
  <c r="AA1407" i="7" s="1"/>
  <c r="AE1408" i="7"/>
  <c r="AA1408" i="7" s="1"/>
  <c r="AE1409" i="7"/>
  <c r="AA1409" i="7" s="1"/>
  <c r="AE1410" i="7"/>
  <c r="AA1410" i="7" s="1"/>
  <c r="AE1411" i="7"/>
  <c r="AA1411" i="7" s="1"/>
  <c r="AE1412" i="7"/>
  <c r="AA1412" i="7" s="1"/>
  <c r="AE1413" i="7"/>
  <c r="AA1413" i="7" s="1"/>
  <c r="AE1414" i="7"/>
  <c r="AA1414" i="7" s="1"/>
  <c r="AE1415" i="7"/>
  <c r="AA1415" i="7" s="1"/>
  <c r="AE1416" i="7"/>
  <c r="AA1416" i="7" s="1"/>
  <c r="AE1417" i="7"/>
  <c r="AA1417" i="7" s="1"/>
  <c r="AE1418" i="7"/>
  <c r="AA1418" i="7" s="1"/>
  <c r="AE1419" i="7"/>
  <c r="AA1419" i="7" s="1"/>
  <c r="AE1420" i="7"/>
  <c r="AA1420" i="7" s="1"/>
  <c r="AE1421" i="7"/>
  <c r="AA1421" i="7" s="1"/>
  <c r="AE1422" i="7"/>
  <c r="AA1422" i="7" s="1"/>
  <c r="AE1423" i="7"/>
  <c r="AA1423" i="7" s="1"/>
  <c r="AE1424" i="7"/>
  <c r="AA1424" i="7" s="1"/>
  <c r="AE1425" i="7"/>
  <c r="AA1425" i="7" s="1"/>
  <c r="AE1426" i="7"/>
  <c r="AA1426" i="7" s="1"/>
  <c r="AE1427" i="7"/>
  <c r="AA1427" i="7" s="1"/>
  <c r="AE1428" i="7"/>
  <c r="AA1428" i="7" s="1"/>
  <c r="AE1429" i="7"/>
  <c r="AA1429" i="7" s="1"/>
  <c r="AE1430" i="7"/>
  <c r="AA1430" i="7" s="1"/>
  <c r="AE1431" i="7"/>
  <c r="AA1431" i="7" s="1"/>
  <c r="AE1432" i="7"/>
  <c r="AA1432" i="7" s="1"/>
  <c r="AE1433" i="7"/>
  <c r="AA1433" i="7" s="1"/>
  <c r="AE1434" i="7"/>
  <c r="AA1434" i="7" s="1"/>
  <c r="AE1435" i="7"/>
  <c r="AA1435" i="7" s="1"/>
  <c r="AE1436" i="7"/>
  <c r="AA1436" i="7" s="1"/>
  <c r="AE1437" i="7"/>
  <c r="AA1437" i="7" s="1"/>
  <c r="AE1438" i="7"/>
  <c r="AA1438" i="7" s="1"/>
  <c r="AE1439" i="7"/>
  <c r="AA1439" i="7" s="1"/>
  <c r="AE1440" i="7"/>
  <c r="AA1440" i="7" s="1"/>
  <c r="AE1441" i="7"/>
  <c r="AA1441" i="7" s="1"/>
  <c r="AE1442" i="7"/>
  <c r="AA1442" i="7" s="1"/>
  <c r="AE1443" i="7"/>
  <c r="AA1443" i="7" s="1"/>
  <c r="AE1444" i="7"/>
  <c r="AA1444" i="7" s="1"/>
  <c r="AE1445" i="7"/>
  <c r="AA1445" i="7" s="1"/>
  <c r="AE1446" i="7"/>
  <c r="AA1446" i="7" s="1"/>
  <c r="AE1447" i="7"/>
  <c r="AA1447" i="7" s="1"/>
  <c r="AE1448" i="7"/>
  <c r="AA1448" i="7" s="1"/>
  <c r="AE1449" i="7"/>
  <c r="AA1449" i="7" s="1"/>
  <c r="AE1450" i="7"/>
  <c r="AA1450" i="7" s="1"/>
  <c r="AE1451" i="7"/>
  <c r="AA1451" i="7" s="1"/>
  <c r="AE1452" i="7"/>
  <c r="AA1452" i="7" s="1"/>
  <c r="AE1453" i="7"/>
  <c r="AA1453" i="7" s="1"/>
  <c r="AE1454" i="7"/>
  <c r="AA1454" i="7" s="1"/>
  <c r="AE1455" i="7"/>
  <c r="AA1455" i="7" s="1"/>
  <c r="AE1456" i="7"/>
  <c r="AA1456" i="7" s="1"/>
  <c r="AE1457" i="7"/>
  <c r="AA1457" i="7" s="1"/>
  <c r="AE1458" i="7"/>
  <c r="AA1458" i="7" s="1"/>
  <c r="AE1459" i="7"/>
  <c r="AA1459" i="7" s="1"/>
  <c r="AE1460" i="7"/>
  <c r="AA1460" i="7" s="1"/>
  <c r="AE1461" i="7"/>
  <c r="AA1461" i="7" s="1"/>
  <c r="AE1462" i="7"/>
  <c r="AA1462" i="7" s="1"/>
  <c r="AE1463" i="7"/>
  <c r="AA1463" i="7" s="1"/>
  <c r="AE1464" i="7"/>
  <c r="AA1464" i="7" s="1"/>
  <c r="AE1465" i="7"/>
  <c r="AA1465" i="7" s="1"/>
  <c r="AE1466" i="7"/>
  <c r="AA1466" i="7" s="1"/>
  <c r="AE1467" i="7"/>
  <c r="AA1467" i="7" s="1"/>
  <c r="AE1468" i="7"/>
  <c r="AA1468" i="7" s="1"/>
  <c r="AE1469" i="7"/>
  <c r="AA1469" i="7" s="1"/>
  <c r="AE1470" i="7"/>
  <c r="AA1470" i="7" s="1"/>
  <c r="AE1471" i="7"/>
  <c r="AA1471" i="7" s="1"/>
  <c r="AE1472" i="7"/>
  <c r="AA1472" i="7" s="1"/>
  <c r="AE1473" i="7"/>
  <c r="AA1473" i="7" s="1"/>
  <c r="AE1474" i="7"/>
  <c r="AA1474" i="7" s="1"/>
  <c r="AE1475" i="7"/>
  <c r="AA1475" i="7" s="1"/>
  <c r="AE1476" i="7"/>
  <c r="AA1476" i="7" s="1"/>
  <c r="AE1477" i="7"/>
  <c r="AA1477" i="7" s="1"/>
  <c r="AE1478" i="7"/>
  <c r="AA1478" i="7" s="1"/>
  <c r="AE1479" i="7"/>
  <c r="AA1479" i="7" s="1"/>
  <c r="AE1480" i="7"/>
  <c r="AA1480" i="7" s="1"/>
  <c r="AE1481" i="7"/>
  <c r="AA1481" i="7" s="1"/>
  <c r="AE1482" i="7"/>
  <c r="AA1482" i="7" s="1"/>
  <c r="AE1483" i="7"/>
  <c r="AA1483" i="7" s="1"/>
  <c r="AE1484" i="7"/>
  <c r="AA1484" i="7" s="1"/>
  <c r="AE1485" i="7"/>
  <c r="AA1485" i="7" s="1"/>
  <c r="AE1486" i="7"/>
  <c r="AA1486" i="7" s="1"/>
  <c r="AE1487" i="7"/>
  <c r="AA1487" i="7" s="1"/>
  <c r="AE1488" i="7"/>
  <c r="AA1488" i="7" s="1"/>
  <c r="AE1489" i="7"/>
  <c r="AA1489" i="7" s="1"/>
  <c r="AE1490" i="7"/>
  <c r="AA1490" i="7" s="1"/>
  <c r="AE1491" i="7"/>
  <c r="AA1491" i="7" s="1"/>
  <c r="AE1492" i="7"/>
  <c r="AA1492" i="7" s="1"/>
  <c r="AE1493" i="7"/>
  <c r="AA1493" i="7" s="1"/>
  <c r="AE1494" i="7"/>
  <c r="AA1494" i="7" s="1"/>
  <c r="AE1495" i="7"/>
  <c r="AA1495" i="7" s="1"/>
  <c r="AE1496" i="7"/>
  <c r="AA1496" i="7" s="1"/>
  <c r="AE1497" i="7"/>
  <c r="AA1497" i="7" s="1"/>
  <c r="AE1498" i="7"/>
  <c r="AA1498" i="7" s="1"/>
  <c r="AE1499" i="7"/>
  <c r="AA1499" i="7" s="1"/>
  <c r="AE1500" i="7"/>
  <c r="AA1500" i="7" s="1"/>
  <c r="AE1501" i="7"/>
  <c r="AA1501" i="7" s="1"/>
  <c r="AE1502" i="7"/>
  <c r="AA1502" i="7" s="1"/>
  <c r="AE1503" i="7"/>
  <c r="AA1503" i="7" s="1"/>
  <c r="AE1504" i="7"/>
  <c r="AA1504" i="7" s="1"/>
  <c r="AE1265" i="7"/>
  <c r="AA1265" i="7" s="1"/>
  <c r="AE1266" i="7"/>
  <c r="AA1266" i="7" s="1"/>
  <c r="AE1267" i="7"/>
  <c r="AA1267" i="7" s="1"/>
  <c r="AE1268" i="7"/>
  <c r="AA1268" i="7" s="1"/>
  <c r="AE1269" i="7"/>
  <c r="AA1269" i="7" s="1"/>
  <c r="AE1270" i="7"/>
  <c r="AA1270" i="7" s="1"/>
  <c r="AE1271" i="7"/>
  <c r="AA1271" i="7" s="1"/>
  <c r="Y698" i="7"/>
  <c r="Y701" i="7"/>
  <c r="Y702" i="7"/>
  <c r="Y703" i="7"/>
  <c r="Y699" i="7"/>
  <c r="Y1013" i="7"/>
  <c r="Y995" i="7"/>
  <c r="Y1034" i="7"/>
  <c r="Y1064" i="7"/>
  <c r="Y1070" i="7"/>
  <c r="Y1061" i="7"/>
  <c r="Y1268" i="7"/>
  <c r="Y1269" i="7"/>
  <c r="Y1641" i="7"/>
  <c r="Y1063" i="7"/>
  <c r="Y1062" i="7"/>
  <c r="Y929" i="7"/>
  <c r="Y1349" i="7"/>
  <c r="Y1350" i="7"/>
  <c r="Y1351" i="7"/>
  <c r="Y1260" i="7"/>
  <c r="Y1261" i="7"/>
  <c r="Y838" i="7"/>
  <c r="Y1617" i="7"/>
  <c r="Y837" i="7"/>
  <c r="Y1616" i="7"/>
  <c r="Y1418" i="7"/>
  <c r="Y321" i="7"/>
  <c r="Y1316" i="7"/>
  <c r="Y1323" i="7"/>
  <c r="Y1611" i="7"/>
  <c r="Y1467" i="7"/>
  <c r="Y1474" i="7"/>
  <c r="Y1738" i="7"/>
  <c r="Y1352" i="7"/>
  <c r="Y1419" i="7"/>
  <c r="Y764" i="7"/>
  <c r="Y767" i="7"/>
  <c r="Y763" i="7"/>
  <c r="Y438" i="7"/>
  <c r="Y768" i="7"/>
  <c r="Y765" i="7"/>
  <c r="Y1599" i="7"/>
  <c r="Y1600" i="7"/>
  <c r="Y1607" i="7"/>
  <c r="Y1608" i="7"/>
  <c r="Y1609" i="7"/>
  <c r="Y829" i="7"/>
  <c r="Y828" i="7"/>
  <c r="Y827" i="7"/>
  <c r="Y840" i="7"/>
  <c r="Y1287" i="7"/>
  <c r="Y1412" i="7"/>
  <c r="Y1672" i="7"/>
  <c r="Y1441" i="7"/>
  <c r="Y1440" i="7"/>
  <c r="Y923" i="7"/>
  <c r="Y1277" i="7"/>
  <c r="Y1282" i="7"/>
  <c r="Y1317" i="7"/>
  <c r="Y1619" i="7"/>
  <c r="Y1319" i="7"/>
  <c r="Y1547" i="7"/>
  <c r="Y1653" i="7"/>
  <c r="Y1654" i="7"/>
  <c r="Y1655" i="7"/>
  <c r="Y1656" i="7"/>
  <c r="Y1657" i="7"/>
  <c r="Y1658" i="7"/>
  <c r="Y1659" i="7"/>
  <c r="Y1660" i="7"/>
  <c r="Y1366" i="7"/>
  <c r="Y1342" i="7"/>
  <c r="Y1363" i="7"/>
  <c r="Y1364" i="7"/>
  <c r="Y917" i="7"/>
  <c r="Y918" i="7"/>
  <c r="Y932" i="7"/>
  <c r="Y933" i="7"/>
  <c r="Y924" i="7"/>
  <c r="Y1648" i="7"/>
  <c r="Y1248" i="7"/>
  <c r="Y1254" i="7"/>
  <c r="Y1255" i="7"/>
  <c r="Y1536" i="7"/>
  <c r="Y1573" i="7"/>
  <c r="Y1569" i="7"/>
  <c r="Y1570" i="7"/>
  <c r="Y1571" i="7"/>
  <c r="Y1572" i="7"/>
  <c r="Y1150" i="7"/>
  <c r="Y1151" i="7"/>
  <c r="Y1446" i="7"/>
  <c r="Y1647" i="7"/>
  <c r="Y1595" i="7"/>
  <c r="Y1596" i="7"/>
  <c r="Y1284" i="7"/>
  <c r="Y1420" i="7"/>
  <c r="Y1410" i="7"/>
  <c r="Y1411" i="7"/>
  <c r="Y1036" i="7"/>
  <c r="Y1011" i="7"/>
  <c r="Y733" i="7"/>
  <c r="Y734" i="7"/>
  <c r="Y735" i="7"/>
  <c r="Y691" i="7"/>
  <c r="Y694" i="7"/>
  <c r="Y695" i="7"/>
  <c r="Y692" i="7"/>
  <c r="Y693" i="7"/>
  <c r="Y690" i="7"/>
  <c r="Y697" i="7"/>
  <c r="Y696" i="7"/>
  <c r="Y747" i="7"/>
  <c r="Y746" i="7"/>
  <c r="Y1065" i="7"/>
  <c r="Y736" i="7"/>
  <c r="Y737" i="7"/>
  <c r="Y1067" i="7"/>
  <c r="Y708" i="7"/>
  <c r="Y709" i="7"/>
  <c r="Y1060" i="7"/>
  <c r="Y1033" i="7"/>
  <c r="Y731" i="7"/>
  <c r="Y742" i="7"/>
  <c r="Y741" i="7"/>
  <c r="Y748" i="7"/>
  <c r="Y1071" i="7"/>
  <c r="Y732" i="7"/>
  <c r="Y1066" i="7"/>
  <c r="Y313" i="7"/>
  <c r="Y301" i="7"/>
  <c r="Y1651" i="7"/>
  <c r="Y1650" i="7"/>
  <c r="Y1649" i="7"/>
  <c r="Y1601" i="7"/>
  <c r="Y469" i="7"/>
  <c r="Y743" i="7"/>
  <c r="Y745" i="7"/>
  <c r="Y744" i="7"/>
  <c r="Y1068" i="7"/>
  <c r="Y1632" i="7"/>
  <c r="Y1633" i="7"/>
  <c r="Y1634" i="7"/>
  <c r="Y1635" i="7"/>
  <c r="Y1636" i="7"/>
  <c r="Y450" i="7"/>
  <c r="Y458" i="7"/>
  <c r="Y72" i="7"/>
  <c r="Y78" i="7"/>
  <c r="Y79" i="7"/>
  <c r="Y68" i="7"/>
  <c r="Y238" i="7"/>
  <c r="Y1663" i="7"/>
  <c r="Y1024" i="7"/>
  <c r="Y541" i="7"/>
  <c r="Y1278" i="7"/>
  <c r="Y1646" i="7"/>
  <c r="Y1156" i="7"/>
  <c r="Y1460" i="7"/>
  <c r="Y1615" i="7"/>
  <c r="Y1643" i="7"/>
  <c r="Y1644" i="7"/>
  <c r="Y1645" i="7"/>
  <c r="Y1263" i="7"/>
  <c r="Y1465" i="7"/>
  <c r="Y1463" i="7"/>
  <c r="Y1466" i="7"/>
  <c r="Y1353" i="7"/>
  <c r="Y1461" i="7"/>
  <c r="Y1262" i="7"/>
  <c r="Y1305" i="7"/>
  <c r="Y1464" i="7"/>
  <c r="Y1664" i="7"/>
  <c r="Y1610" i="7"/>
  <c r="Y1458" i="7"/>
  <c r="Y1101" i="7"/>
  <c r="Y783" i="7"/>
  <c r="Y622" i="7"/>
  <c r="Y1304" i="7"/>
  <c r="Y1191" i="7"/>
  <c r="Y1190" i="7"/>
  <c r="Y925" i="7"/>
  <c r="Y825" i="7"/>
  <c r="Y1120" i="7"/>
  <c r="Y722" i="7"/>
  <c r="Y555" i="7"/>
  <c r="Y554" i="7"/>
  <c r="Y573" i="7"/>
  <c r="Y561" i="7"/>
  <c r="Y356" i="7"/>
  <c r="Y944" i="7"/>
  <c r="Y623" i="7"/>
  <c r="Y824" i="7"/>
  <c r="Y819" i="7"/>
  <c r="Y942" i="7"/>
  <c r="Y947" i="7"/>
  <c r="Y360" i="7"/>
  <c r="Y557" i="7"/>
  <c r="Y558" i="7"/>
  <c r="Y423" i="7"/>
  <c r="Y422" i="7"/>
  <c r="Y236" i="7"/>
  <c r="Y427" i="7"/>
  <c r="Y426" i="7"/>
  <c r="Y425" i="7"/>
  <c r="Y424" i="7"/>
  <c r="Y1329" i="7"/>
  <c r="Y1328" i="7"/>
  <c r="Y1327" i="7"/>
  <c r="Y1326" i="7"/>
  <c r="Y1272" i="7"/>
  <c r="Y235" i="7"/>
  <c r="Y403" i="7"/>
  <c r="Y432" i="7"/>
  <c r="Y69" i="7"/>
  <c r="Y247" i="7"/>
  <c r="Y649" i="7"/>
  <c r="Y689" i="7"/>
  <c r="Y833" i="7"/>
  <c r="Y165" i="7"/>
  <c r="Y593" i="7"/>
  <c r="Y166" i="7"/>
  <c r="Y591" i="7"/>
  <c r="Y650" i="7"/>
  <c r="Y676" i="7"/>
  <c r="Y601" i="7"/>
  <c r="Y660" i="7"/>
  <c r="Y661" i="7"/>
  <c r="Y1027" i="7"/>
  <c r="Y1043" i="7"/>
  <c r="Y1022" i="7"/>
  <c r="Y677" i="7"/>
  <c r="Y440" i="7"/>
  <c r="Y1546" i="7"/>
  <c r="Y1028" i="7"/>
  <c r="Y1026" i="7"/>
  <c r="Y1050" i="7"/>
  <c r="Y1049" i="7"/>
  <c r="Y1031" i="7"/>
  <c r="Y1159" i="7"/>
  <c r="Y635" i="7"/>
  <c r="Y128" i="7"/>
  <c r="Y1415" i="7"/>
  <c r="Y1416" i="7"/>
  <c r="Y328" i="7"/>
  <c r="Y1079" i="7"/>
  <c r="Y528" i="7"/>
  <c r="Y529" i="7"/>
  <c r="Y1359" i="7"/>
  <c r="Y1358" i="7"/>
  <c r="Y1073" i="7"/>
  <c r="Y700" i="7"/>
  <c r="Y1012" i="7"/>
  <c r="Y1014" i="7"/>
  <c r="Y1161" i="7"/>
  <c r="Y1622" i="7"/>
  <c r="Y318" i="7"/>
  <c r="Y533" i="7"/>
  <c r="Y1029" i="7"/>
  <c r="Y1021" i="7"/>
  <c r="Y740" i="7"/>
  <c r="Y586" i="7"/>
  <c r="Y835" i="7"/>
  <c r="Y625" i="7"/>
  <c r="Y624" i="7"/>
  <c r="Y594" i="7"/>
  <c r="Y655" i="7"/>
  <c r="Y539" i="7"/>
  <c r="Y1023" i="7"/>
  <c r="Y1019" i="7"/>
  <c r="Y1017" i="7"/>
  <c r="Y1015" i="7"/>
  <c r="Y1030" i="7"/>
  <c r="Y1025" i="7"/>
  <c r="Y457" i="7"/>
  <c r="Y433" i="7"/>
  <c r="Y434" i="7"/>
  <c r="Y756" i="7"/>
  <c r="Y755" i="7"/>
  <c r="Y117" i="7"/>
  <c r="Y1310" i="7"/>
  <c r="Y1535" i="7"/>
  <c r="Y1394" i="7"/>
  <c r="Y1160" i="7"/>
  <c r="Y1637" i="7"/>
  <c r="Y1076" i="7"/>
  <c r="Y1638" i="7"/>
  <c r="Y1545" i="7"/>
  <c r="Y147" i="7"/>
  <c r="Y1629" i="7"/>
  <c r="Y1471" i="7"/>
  <c r="Y1126" i="7"/>
  <c r="Y604" i="7"/>
  <c r="Y603" i="7"/>
  <c r="Y602" i="7"/>
  <c r="Y1301" i="7"/>
  <c r="Y138" i="7"/>
  <c r="Y132" i="7"/>
  <c r="Y1072" i="7"/>
  <c r="Y1300" i="7"/>
  <c r="Y123" i="7"/>
  <c r="Y1008" i="7"/>
  <c r="Y1074" i="7"/>
  <c r="Y1075" i="7"/>
  <c r="Y441" i="7"/>
  <c r="Y751" i="7"/>
  <c r="Y757" i="7"/>
  <c r="Y928" i="7"/>
  <c r="Y831" i="7"/>
  <c r="Y1242" i="7"/>
  <c r="Y931" i="7"/>
  <c r="Y566" i="7"/>
  <c r="Y836" i="7"/>
  <c r="Y202" i="7"/>
  <c r="Y536" i="7"/>
  <c r="Y535" i="7"/>
  <c r="Y121" i="7"/>
  <c r="Y1295" i="7"/>
  <c r="Y324" i="7"/>
  <c r="Y319" i="7"/>
  <c r="Y320" i="7"/>
  <c r="Y1018" i="7"/>
  <c r="Y1020" i="7"/>
  <c r="Y921" i="7"/>
  <c r="Y920" i="7"/>
  <c r="Y439" i="7"/>
  <c r="Y1459" i="7"/>
  <c r="Y1462" i="7"/>
  <c r="Y1257" i="7"/>
  <c r="Y1314" i="7"/>
  <c r="Y1313" i="7"/>
  <c r="Y1266" i="7"/>
  <c r="Y646" i="7"/>
  <c r="Y1258" i="7"/>
  <c r="Y1259" i="7"/>
  <c r="Y1249" i="7"/>
  <c r="Y626" i="7"/>
  <c r="Y759" i="7"/>
  <c r="Y1625" i="7"/>
  <c r="Y1360" i="7"/>
  <c r="Y1102" i="7"/>
  <c r="Y1621" i="7"/>
  <c r="Y567" i="7"/>
  <c r="Y524" i="7"/>
  <c r="Y1294" i="7"/>
  <c r="Y1623" i="7"/>
  <c r="Y323" i="7"/>
  <c r="Y325" i="7"/>
  <c r="Y1543" i="7"/>
  <c r="Y739" i="7"/>
  <c r="Y1662" i="7"/>
  <c r="Y762" i="7"/>
  <c r="Y761" i="7"/>
  <c r="Y122" i="7"/>
  <c r="Y1469" i="7"/>
  <c r="Y834" i="7"/>
  <c r="Y832" i="7"/>
  <c r="Y1078" i="7"/>
  <c r="Y502" i="7"/>
  <c r="Y738" i="7"/>
  <c r="Y160" i="7"/>
  <c r="Y157" i="7"/>
  <c r="Y159" i="7"/>
  <c r="Y504" i="7"/>
  <c r="Y705" i="7"/>
  <c r="Y670" i="7"/>
  <c r="Y506" i="7"/>
  <c r="Y505" i="7"/>
  <c r="Y143" i="7"/>
  <c r="Y144" i="7"/>
  <c r="Y145" i="7"/>
  <c r="Y599" i="7"/>
  <c r="Y150" i="7"/>
  <c r="Y149" i="7"/>
  <c r="Y148" i="7"/>
  <c r="Y605" i="7"/>
  <c r="Y592" i="7"/>
  <c r="Y315" i="7"/>
  <c r="Y598" i="7"/>
  <c r="Y316" i="7"/>
  <c r="Y443" i="7"/>
  <c r="Y322" i="7"/>
  <c r="Y758" i="7"/>
  <c r="Y654" i="7"/>
  <c r="Y806" i="7"/>
  <c r="Y656" i="7"/>
  <c r="Y710" i="7"/>
  <c r="Y435" i="7"/>
  <c r="Y442" i="7"/>
  <c r="Y445" i="7"/>
  <c r="Y444" i="7"/>
  <c r="Y754" i="7"/>
  <c r="Y1627" i="7"/>
  <c r="Y1470" i="7"/>
  <c r="Y503" i="7"/>
  <c r="Y154" i="7"/>
  <c r="Y153" i="7"/>
  <c r="Y151" i="7"/>
  <c r="Y809" i="7"/>
  <c r="Y807" i="7"/>
  <c r="Y808" i="7"/>
  <c r="Y1661" i="7"/>
  <c r="Y704" i="7"/>
  <c r="Y810" i="7"/>
  <c r="Y152" i="7"/>
  <c r="Y314" i="7"/>
  <c r="Y155" i="7"/>
  <c r="Y1069" i="7"/>
  <c r="Y1620" i="7"/>
  <c r="Y1598" i="7"/>
  <c r="Y1568" i="7"/>
  <c r="Y141" i="7"/>
  <c r="Y164" i="7"/>
  <c r="Y158" i="7"/>
  <c r="Y668" i="7"/>
  <c r="Y659" i="7"/>
  <c r="Y675" i="7"/>
  <c r="Y844" i="7"/>
  <c r="Y142" i="7"/>
  <c r="Y1253" i="7"/>
  <c r="Y1252" i="7"/>
  <c r="Y1590" i="7"/>
  <c r="Y1221" i="7"/>
  <c r="Y1376" i="7"/>
  <c r="Y146" i="7"/>
  <c r="Y162" i="7"/>
  <c r="Y163" i="7"/>
  <c r="Y706" i="7"/>
  <c r="Y161" i="7"/>
  <c r="Y501" i="7"/>
  <c r="Y1250" i="7"/>
  <c r="Y1439" i="7"/>
  <c r="Y1318" i="7"/>
  <c r="Y1455" i="7"/>
  <c r="Y1149" i="7"/>
  <c r="Y1270" i="7"/>
  <c r="Y1239" i="7"/>
  <c r="Y1141" i="7"/>
  <c r="Y1390" i="7"/>
  <c r="Y317" i="7"/>
  <c r="Y1630" i="7"/>
  <c r="Y120" i="7"/>
  <c r="Y1132" i="7"/>
  <c r="Y1436" i="7"/>
  <c r="Y1119" i="7"/>
  <c r="Y1123" i="7"/>
  <c r="Y1229" i="7"/>
  <c r="Y1231" i="7"/>
  <c r="Y1146" i="7"/>
  <c r="Y1135" i="7"/>
  <c r="Y1367" i="7"/>
  <c r="Y1145" i="7"/>
  <c r="Y1116" i="7"/>
  <c r="Y1451" i="7"/>
  <c r="Y1457" i="7"/>
  <c r="Y1267" i="7"/>
  <c r="Y1542" i="7"/>
  <c r="Y1288" i="7"/>
  <c r="Y1642" i="7"/>
  <c r="Y812" i="7"/>
  <c r="Y811" i="7"/>
  <c r="Y58" i="7"/>
  <c r="Y1567" i="7"/>
  <c r="Y1148" i="7"/>
  <c r="Y1593" i="7"/>
  <c r="Y1276" i="7"/>
  <c r="Y1739" i="7"/>
  <c r="Y1251" i="7"/>
  <c r="Y1614" i="7"/>
  <c r="Y766" i="7"/>
  <c r="Y1417" i="7"/>
  <c r="Y1356" i="7"/>
  <c r="Y1256" i="7"/>
  <c r="Y839" i="7"/>
  <c r="Y1540" i="7"/>
  <c r="Y1194" i="7"/>
  <c r="Y1235" i="7"/>
  <c r="Y913" i="7"/>
  <c r="Y906" i="7"/>
  <c r="Y908" i="7"/>
  <c r="Y777" i="7"/>
  <c r="Y126" i="7"/>
  <c r="Y137" i="7"/>
  <c r="Y472" i="7"/>
  <c r="Y209" i="7"/>
  <c r="Y208" i="7"/>
  <c r="Y456" i="7"/>
  <c r="Y466" i="7"/>
  <c r="Y467" i="7"/>
  <c r="Y116" i="7"/>
  <c r="Y169" i="7"/>
  <c r="Y1628" i="7"/>
  <c r="Y1626" i="7"/>
  <c r="Y1472" i="7"/>
  <c r="Y1129" i="7"/>
  <c r="Y1666" i="7"/>
  <c r="Y760" i="7"/>
  <c r="Y1631" i="7"/>
  <c r="Y526" i="7"/>
  <c r="Y527" i="7"/>
  <c r="Y537" i="7"/>
  <c r="Y538" i="7"/>
  <c r="Y568" i="7"/>
  <c r="Y994" i="7"/>
  <c r="Y993" i="7"/>
  <c r="Y996" i="7"/>
  <c r="Y753" i="7"/>
  <c r="Y563" i="7"/>
  <c r="Y564" i="7"/>
  <c r="Y565" i="7"/>
  <c r="Y629" i="7"/>
  <c r="Y119" i="7"/>
  <c r="Y118" i="7"/>
  <c r="Y71" i="7"/>
  <c r="Y77" i="7"/>
  <c r="Y76" i="7"/>
  <c r="Y75" i="7"/>
  <c r="Y74" i="7"/>
  <c r="Y73" i="7"/>
  <c r="Y170" i="7"/>
  <c r="Y1219" i="7"/>
  <c r="Y627" i="7"/>
  <c r="Y628" i="7"/>
  <c r="Y1217" i="7"/>
  <c r="Y1218" i="7"/>
  <c r="Y1202" i="7"/>
  <c r="Y611" i="7"/>
  <c r="Y610" i="7"/>
  <c r="Y131" i="7"/>
  <c r="Y1045" i="7"/>
  <c r="Y1037" i="7"/>
  <c r="Y1038" i="7"/>
  <c r="Y1041" i="7"/>
  <c r="Y1035" i="7"/>
  <c r="Y1042" i="7"/>
  <c r="Y1032" i="7"/>
  <c r="Y1044" i="7"/>
  <c r="Y1048" i="7"/>
  <c r="Y1047" i="7"/>
  <c r="Y1052" i="7"/>
  <c r="Y1051" i="7"/>
  <c r="Y1054" i="7"/>
  <c r="Y1053" i="7"/>
  <c r="Y1046" i="7"/>
  <c r="Y1058" i="7"/>
  <c r="Y1056" i="7"/>
  <c r="Y1059" i="7"/>
  <c r="Y1055" i="7"/>
  <c r="Y1039" i="7"/>
  <c r="Y1040" i="7"/>
  <c r="Y1057" i="7"/>
  <c r="Y707" i="7"/>
  <c r="Y1640" i="7"/>
  <c r="Y172" i="7"/>
  <c r="Y173" i="7"/>
  <c r="Y70" i="7"/>
  <c r="Y530" i="7"/>
  <c r="Y900" i="7"/>
  <c r="Y1456" i="7"/>
  <c r="Y1544" i="7"/>
  <c r="Y171" i="7"/>
  <c r="Y459" i="7"/>
  <c r="Y749" i="7"/>
  <c r="Y57" i="7"/>
  <c r="Y752" i="7"/>
  <c r="Y1355" i="7"/>
  <c r="Y1409" i="7"/>
  <c r="Y1408" i="7"/>
  <c r="Y1674" i="7"/>
  <c r="Y1283" i="7"/>
  <c r="Y1454" i="7"/>
  <c r="Y1671" i="7"/>
  <c r="Y1670" i="7"/>
  <c r="Y1413" i="7"/>
  <c r="Y1453" i="7"/>
  <c r="Y1665" i="7"/>
  <c r="Y1285" i="7"/>
  <c r="Y1613" i="7"/>
  <c r="Y1315" i="7"/>
  <c r="Y645" i="7"/>
  <c r="Y1452" i="7"/>
  <c r="Y1667" i="7"/>
  <c r="Y1139" i="7"/>
  <c r="Y1275" i="7"/>
  <c r="Y642" i="7"/>
  <c r="Y1321" i="7"/>
  <c r="Y1322" i="7"/>
  <c r="Y1324" i="7"/>
  <c r="Y1281" i="7"/>
  <c r="Y1279" i="7"/>
  <c r="Y1737" i="7"/>
  <c r="Y1736" i="7"/>
  <c r="Y1735" i="7"/>
  <c r="Y1537" i="7"/>
  <c r="Y1534" i="7"/>
  <c r="Y1592" i="7"/>
  <c r="Y1588" i="7"/>
  <c r="Y1589" i="7"/>
  <c r="Y1338" i="7"/>
  <c r="Y1307" i="7"/>
  <c r="Y1587" i="7"/>
  <c r="Y1308" i="7"/>
  <c r="Y474" i="7"/>
  <c r="Y1377" i="7"/>
  <c r="Y476" i="7"/>
  <c r="Y863" i="7"/>
  <c r="Y167" i="7"/>
  <c r="Y168" i="7"/>
  <c r="Y257" i="7"/>
  <c r="Y473" i="7"/>
  <c r="Y475" i="7"/>
  <c r="Y258" i="7"/>
  <c r="Y785" i="7"/>
  <c r="Y364" i="7"/>
  <c r="Y864" i="7"/>
  <c r="Y868" i="7"/>
  <c r="Y866" i="7"/>
  <c r="Y399" i="7"/>
  <c r="Y368" i="7"/>
  <c r="Y349" i="7"/>
  <c r="Y416" i="7"/>
  <c r="Y1108" i="7"/>
  <c r="Y465" i="7"/>
  <c r="Y377" i="7"/>
  <c r="Y376" i="7"/>
  <c r="Y353" i="7"/>
  <c r="Y417" i="7"/>
  <c r="Y373" i="7"/>
  <c r="Y1246" i="7"/>
  <c r="Y1624" i="7"/>
  <c r="Y1475" i="7"/>
  <c r="Y1158" i="7"/>
  <c r="Y1157" i="7"/>
  <c r="Y1273" i="7"/>
  <c r="Y1105" i="7"/>
  <c r="Y1193" i="7"/>
  <c r="Y1238" i="7"/>
  <c r="Y1397" i="7"/>
  <c r="Y1396" i="7"/>
  <c r="Y1395" i="7"/>
  <c r="Y632" i="7"/>
  <c r="Y634" i="7"/>
  <c r="Y633" i="7"/>
  <c r="Y1138" i="7"/>
  <c r="Y1557" i="7"/>
  <c r="Y1550" i="7"/>
  <c r="Y1274" i="7"/>
  <c r="Y1153" i="7"/>
  <c r="Y1152" i="7"/>
  <c r="Y1585" i="7"/>
  <c r="Y1224" i="7"/>
  <c r="Y1198" i="7"/>
  <c r="Y1584" i="7"/>
  <c r="Y1583" i="7"/>
  <c r="Y1586" i="7"/>
  <c r="Y1594" i="7"/>
  <c r="Y1445" i="7"/>
  <c r="Y1566" i="7"/>
  <c r="Y350" i="7"/>
  <c r="Y619" i="7"/>
  <c r="Y1226" i="7"/>
  <c r="Y1179" i="7"/>
  <c r="Y1241" i="7"/>
  <c r="Y1375" i="7"/>
  <c r="Y1180" i="7"/>
  <c r="Y905" i="7"/>
  <c r="Y1435" i="7"/>
  <c r="Y525" i="7"/>
  <c r="Y665" i="7"/>
  <c r="Y378" i="7"/>
  <c r="Y1181" i="7"/>
  <c r="Y379" i="7"/>
  <c r="Y1347" i="7"/>
  <c r="Y1368" i="7"/>
  <c r="Y1225" i="7"/>
  <c r="Y1346" i="7"/>
  <c r="Y463" i="7"/>
  <c r="Y860" i="7"/>
  <c r="Y1227" i="7"/>
  <c r="Y865" i="7"/>
  <c r="Y843" i="7"/>
  <c r="Y1378" i="7"/>
  <c r="Y867" i="7"/>
  <c r="Y382" i="7"/>
  <c r="Y869" i="7"/>
  <c r="Y207" i="7"/>
  <c r="Y914" i="7"/>
  <c r="Y1434" i="7"/>
  <c r="Y664" i="7"/>
  <c r="Y302" i="7"/>
  <c r="Y1399" i="7"/>
  <c r="Y897" i="7"/>
  <c r="Y576" i="7"/>
  <c r="Y522" i="7"/>
  <c r="Y579" i="7"/>
  <c r="Y578" i="7"/>
  <c r="Y577" i="7"/>
  <c r="Y1400" i="7"/>
  <c r="Y1437" i="7"/>
  <c r="Y904" i="7"/>
  <c r="Y1438" i="7"/>
  <c r="Y1407" i="7"/>
  <c r="Y1009" i="7"/>
  <c r="Y1357" i="7"/>
  <c r="Y1192" i="7"/>
  <c r="Y574" i="7"/>
  <c r="Y300" i="7"/>
  <c r="Y1128" i="7"/>
  <c r="Y1230" i="7"/>
  <c r="Y1228" i="7"/>
  <c r="Y1137" i="7"/>
  <c r="Y1143" i="7"/>
  <c r="Y1147" i="7"/>
  <c r="Y383" i="7"/>
  <c r="Y1388" i="7"/>
  <c r="Y468" i="7"/>
  <c r="Y903" i="7"/>
  <c r="Y1406" i="7"/>
  <c r="Y523" i="7"/>
  <c r="Y1197" i="7"/>
  <c r="Y901" i="7"/>
  <c r="Y907" i="7"/>
  <c r="Y380" i="7"/>
  <c r="Y1337" i="7"/>
  <c r="Y805" i="7"/>
  <c r="Y669" i="7"/>
  <c r="Y666" i="7"/>
  <c r="Y135" i="7"/>
  <c r="Y841" i="7"/>
  <c r="Y1668" i="7"/>
  <c r="Y1222" i="7"/>
  <c r="Y1223" i="7"/>
  <c r="Y519" i="7"/>
  <c r="Y507" i="7"/>
  <c r="Y804" i="7"/>
  <c r="Y510" i="7"/>
  <c r="Y509" i="7"/>
  <c r="Y508" i="7"/>
  <c r="Y384" i="7"/>
  <c r="Y347" i="7"/>
  <c r="Y348" i="7"/>
  <c r="Y667" i="7"/>
  <c r="Y663" i="7"/>
  <c r="Y630" i="7"/>
  <c r="Y773" i="7"/>
  <c r="Y521" i="7"/>
  <c r="Y775" i="7"/>
  <c r="Y299" i="7"/>
  <c r="Y80" i="7"/>
  <c r="Y771" i="7"/>
  <c r="Y491" i="7"/>
  <c r="Y492" i="7"/>
  <c r="Y769" i="7"/>
  <c r="Y470" i="7"/>
  <c r="Y354" i="7"/>
  <c r="Y483" i="7"/>
  <c r="Y139" i="7"/>
  <c r="Y81" i="7"/>
  <c r="Y770" i="7"/>
  <c r="Y471" i="7"/>
  <c r="Y480" i="7"/>
  <c r="Y772" i="7"/>
  <c r="Y514" i="7"/>
  <c r="Y482" i="7"/>
  <c r="Y794" i="7"/>
  <c r="Y842" i="7"/>
  <c r="Y520" i="7"/>
  <c r="Y462" i="7"/>
  <c r="Y712" i="7"/>
  <c r="Y793" i="7"/>
  <c r="Y114" i="7"/>
  <c r="Y711" i="7"/>
  <c r="Y713" i="7"/>
  <c r="Y714" i="7"/>
  <c r="Y1334" i="7"/>
  <c r="Y776" i="7"/>
  <c r="Y1335" i="7"/>
  <c r="Y488" i="7"/>
  <c r="Y484" i="7"/>
  <c r="Y486" i="7"/>
  <c r="Y485" i="7"/>
  <c r="Y481" i="7"/>
  <c r="Y490" i="7"/>
  <c r="Y489" i="7"/>
  <c r="Y515" i="7"/>
  <c r="Y487" i="7"/>
  <c r="Y518" i="7"/>
  <c r="Y513" i="7"/>
  <c r="Y512" i="7"/>
  <c r="Y298" i="7"/>
  <c r="Y516" i="7"/>
  <c r="Y1581" i="7"/>
  <c r="Y517" i="7"/>
  <c r="Y113" i="7"/>
  <c r="Y1580" i="7"/>
  <c r="Y1582" i="7"/>
  <c r="Y1247" i="7"/>
  <c r="Y1220" i="7"/>
  <c r="Y1336" i="7"/>
  <c r="Y511" i="7"/>
  <c r="Y1306" i="7"/>
  <c r="Y803" i="7"/>
  <c r="Y802" i="7"/>
  <c r="Y1433" i="7"/>
  <c r="Y1591" i="7"/>
  <c r="Y1391" i="7"/>
  <c r="Y493" i="7"/>
  <c r="Y460" i="7"/>
  <c r="Y461" i="7"/>
  <c r="Y115" i="7"/>
  <c r="Y1196" i="7"/>
  <c r="Y136" i="7"/>
  <c r="Y130" i="7"/>
  <c r="Y1548" i="7"/>
  <c r="Y1549" i="7"/>
  <c r="Y453" i="7"/>
  <c r="Y449" i="7"/>
  <c r="Y1164" i="7"/>
  <c r="Y1169" i="7"/>
  <c r="Y1168" i="7"/>
  <c r="Y1178" i="7"/>
  <c r="Y1176" i="7"/>
  <c r="Y1195" i="7"/>
  <c r="Y1244" i="7"/>
  <c r="Y133" i="7"/>
  <c r="Y1389" i="7"/>
  <c r="Y1245" i="7"/>
  <c r="Y631" i="7"/>
  <c r="Y774" i="7"/>
  <c r="Y1597" i="7"/>
  <c r="Y1171" i="7"/>
  <c r="Y1172" i="7"/>
  <c r="Y1240" i="7"/>
  <c r="Y1185" i="7"/>
  <c r="Y1348" i="7"/>
  <c r="Y1163" i="7"/>
  <c r="Y1387" i="7"/>
  <c r="Y448" i="7"/>
  <c r="Y1142" i="7"/>
  <c r="Y372" i="7"/>
  <c r="Y1175" i="7"/>
  <c r="Y1174" i="7"/>
  <c r="Y1173" i="7"/>
  <c r="Y447" i="7"/>
  <c r="Y1187" i="7"/>
  <c r="Y1186" i="7"/>
  <c r="Y205" i="7"/>
  <c r="Y454" i="7"/>
  <c r="Y134" i="7"/>
  <c r="Y455" i="7"/>
  <c r="Y1121" i="7"/>
  <c r="Y206" i="7"/>
  <c r="Y204" i="7"/>
  <c r="Y125" i="7"/>
  <c r="Y1125" i="7"/>
  <c r="Y1122" i="7"/>
  <c r="Y124" i="7"/>
  <c r="Y1118" i="7"/>
  <c r="Y1236" i="7"/>
  <c r="Y451" i="7"/>
  <c r="Y203" i="7"/>
  <c r="Y1144" i="7"/>
  <c r="Y375" i="7"/>
  <c r="Y452" i="7"/>
  <c r="Y1112" i="7"/>
  <c r="Y1124" i="7"/>
  <c r="Y1237" i="7"/>
  <c r="Y1207" i="7"/>
  <c r="Y1114" i="7"/>
  <c r="Y1233" i="7"/>
  <c r="Y1109" i="7"/>
  <c r="Y374" i="7"/>
  <c r="Y1111" i="7"/>
  <c r="Y464" i="7"/>
  <c r="Y1232" i="7"/>
  <c r="Y1115" i="7"/>
  <c r="Y1113" i="7"/>
  <c r="Y381" i="7"/>
  <c r="Y1204" i="7"/>
  <c r="Y1106" i="7"/>
  <c r="Y1107" i="7"/>
  <c r="Y1201" i="7"/>
  <c r="Y1110" i="7"/>
  <c r="Y1234" i="7"/>
  <c r="Y1369" i="7"/>
  <c r="Y1183" i="7"/>
  <c r="Y989" i="7"/>
  <c r="Y1203" i="7"/>
  <c r="Y957" i="7"/>
  <c r="Y956" i="7"/>
  <c r="Y400" i="7"/>
  <c r="Y968" i="7"/>
  <c r="Y248" i="7"/>
  <c r="Y948" i="7"/>
  <c r="Y949" i="7"/>
  <c r="Y955" i="7"/>
  <c r="Y365" i="7"/>
  <c r="Y251" i="7"/>
  <c r="Y392" i="7"/>
  <c r="Y210" i="7"/>
  <c r="Y936" i="7"/>
  <c r="Y937" i="7"/>
  <c r="Y366" i="7"/>
  <c r="Y969" i="7"/>
  <c r="Y397" i="7"/>
  <c r="Y237" i="7"/>
  <c r="Y651" i="7"/>
  <c r="Y935" i="7"/>
  <c r="Y941" i="7"/>
  <c r="Y1426" i="7"/>
  <c r="Y254" i="7"/>
  <c r="Y970" i="7"/>
  <c r="Y821" i="7"/>
  <c r="Y1421" i="7"/>
  <c r="Y724" i="7"/>
  <c r="Y26" i="7"/>
  <c r="Y781" i="7"/>
  <c r="Y688" i="7"/>
  <c r="Y345" i="7"/>
  <c r="Y335" i="7"/>
  <c r="Y334" i="7"/>
  <c r="Y333" i="7"/>
  <c r="Y945" i="7"/>
  <c r="Y1425" i="7"/>
  <c r="Y871" i="7"/>
  <c r="Y983" i="7"/>
  <c r="Y984" i="7"/>
  <c r="Y982" i="7"/>
  <c r="Y723" i="7"/>
  <c r="Y856" i="7"/>
  <c r="Y813" i="7"/>
  <c r="Y212" i="7"/>
  <c r="Y934" i="7"/>
  <c r="Y234" i="7"/>
  <c r="Y243" i="7"/>
  <c r="Y585" i="7"/>
  <c r="Y896" i="7"/>
  <c r="Y887" i="7"/>
  <c r="Y981" i="7"/>
  <c r="Y964" i="7"/>
  <c r="Y963" i="7"/>
  <c r="Y987" i="7"/>
  <c r="Y346" i="7"/>
  <c r="Y1398" i="7"/>
  <c r="Y909" i="7"/>
  <c r="Y912" i="7"/>
  <c r="Y1393" i="7"/>
  <c r="Y910" i="7"/>
  <c r="Y911" i="7"/>
  <c r="Y1088" i="7"/>
  <c r="Y1083" i="7"/>
  <c r="Y915" i="7"/>
  <c r="Y1082" i="7"/>
  <c r="Y1081" i="7"/>
  <c r="Y1087" i="7"/>
  <c r="Y1086" i="7"/>
  <c r="Y1085" i="7"/>
  <c r="Y1084" i="7"/>
  <c r="Y311" i="7"/>
  <c r="Y1080" i="7"/>
  <c r="Y312" i="7"/>
  <c r="Y309" i="7"/>
  <c r="Y310" i="7"/>
  <c r="Y597" i="7"/>
  <c r="Y308" i="7"/>
  <c r="Y797" i="7"/>
  <c r="Y790" i="7"/>
  <c r="Y305" i="7"/>
  <c r="Y596" i="7"/>
  <c r="Y29" i="7"/>
  <c r="Y293" i="7"/>
  <c r="Y294" i="7"/>
  <c r="Y14" i="7"/>
  <c r="Y193" i="7"/>
  <c r="Y681" i="7"/>
  <c r="Y332" i="7"/>
  <c r="Y990" i="7"/>
  <c r="Y337" i="7"/>
  <c r="Y1096" i="7"/>
  <c r="Y1208" i="7"/>
  <c r="Y1209" i="7"/>
  <c r="Y1215" i="7"/>
  <c r="Y1214" i="7"/>
  <c r="Y1213" i="7"/>
  <c r="Y1212" i="7"/>
  <c r="Y1211" i="7"/>
  <c r="Y1210" i="7"/>
  <c r="Y1216" i="7"/>
  <c r="Y307" i="7"/>
  <c r="Y795" i="7"/>
  <c r="Y789" i="7"/>
  <c r="Y791" i="7"/>
  <c r="Y792" i="7"/>
  <c r="Y801" i="7"/>
  <c r="Y800" i="7"/>
  <c r="Y796" i="7"/>
  <c r="Y1296" i="7"/>
  <c r="Y1402" i="7"/>
  <c r="Y1379" i="7"/>
  <c r="Y1384" i="7"/>
  <c r="Y1383" i="7"/>
  <c r="Y1385" i="7"/>
  <c r="Y1386" i="7"/>
  <c r="Y1401" i="7"/>
  <c r="Y1405" i="7"/>
  <c r="Y1404" i="7"/>
  <c r="Y1403" i="7"/>
  <c r="Y1127" i="7"/>
  <c r="Y1130" i="7"/>
  <c r="Y1392" i="7"/>
  <c r="Y779" i="7"/>
  <c r="Y778" i="7"/>
  <c r="Y112" i="7"/>
  <c r="Y111" i="7"/>
  <c r="Y279" i="7"/>
  <c r="Y861" i="7"/>
  <c r="Y953" i="7"/>
  <c r="Y872" i="7"/>
  <c r="Y875" i="7"/>
  <c r="Y878" i="7"/>
  <c r="Y884" i="7"/>
  <c r="Y879" i="7"/>
  <c r="Y1170" i="7"/>
  <c r="Y1189" i="7"/>
  <c r="Y1188" i="7"/>
  <c r="Y571" i="7"/>
  <c r="Y569" i="7"/>
  <c r="Y998" i="7"/>
  <c r="Y273" i="7"/>
  <c r="Y959" i="7"/>
  <c r="Y1000" i="7"/>
  <c r="Y1005" i="7"/>
  <c r="Y1004" i="7"/>
  <c r="Y1003" i="7"/>
  <c r="Y1002" i="7"/>
  <c r="Y999" i="7"/>
  <c r="Y1001" i="7"/>
  <c r="Y1578" i="7"/>
  <c r="Y1184" i="7"/>
  <c r="Y1182" i="7"/>
  <c r="Y965" i="7"/>
  <c r="Y977" i="7"/>
  <c r="Y976" i="7"/>
  <c r="Y975" i="7"/>
  <c r="Y980" i="7"/>
  <c r="Y979" i="7"/>
  <c r="Y978" i="7"/>
  <c r="Y974" i="7"/>
  <c r="Y973" i="7"/>
  <c r="Y958" i="7"/>
  <c r="Y570" i="7"/>
  <c r="Y1339" i="7"/>
  <c r="Y972" i="7"/>
  <c r="Y971" i="7"/>
  <c r="Y967" i="7"/>
  <c r="Y1579" i="7"/>
  <c r="Y1340" i="7"/>
  <c r="Y1372" i="7"/>
  <c r="Y848" i="7"/>
  <c r="Y898" i="7"/>
  <c r="Y1373" i="7"/>
  <c r="Y895" i="7"/>
  <c r="Y1199" i="7"/>
  <c r="Y391" i="7"/>
  <c r="Y1205" i="7"/>
  <c r="Y1206" i="7"/>
  <c r="Y351" i="7"/>
  <c r="Y1165" i="7"/>
  <c r="Y352" i="7"/>
  <c r="Y1669" i="7"/>
  <c r="Y1365" i="7"/>
  <c r="Y1167" i="7"/>
  <c r="Y1166" i="7"/>
  <c r="Y1162" i="7"/>
  <c r="Y1344" i="7"/>
  <c r="Y1345" i="7"/>
  <c r="Y1343" i="7"/>
  <c r="Y1177" i="7"/>
  <c r="Y961" i="7"/>
  <c r="Y213" i="7"/>
  <c r="Y962" i="7"/>
  <c r="Y252" i="7"/>
  <c r="Y545" i="7"/>
  <c r="Y446" i="7"/>
  <c r="Y988" i="7"/>
  <c r="Y986" i="7"/>
  <c r="Y857" i="7"/>
  <c r="Y847" i="7"/>
  <c r="Y877" i="7"/>
  <c r="Y939" i="7"/>
  <c r="Y960" i="7"/>
  <c r="Y249" i="7"/>
  <c r="Y398" i="7"/>
  <c r="Y954" i="7"/>
  <c r="Y544" i="7"/>
  <c r="Y174" i="7"/>
  <c r="Y390" i="7"/>
  <c r="Y394" i="7"/>
  <c r="Y542" i="7"/>
  <c r="Y369" i="7"/>
  <c r="Y395" i="7"/>
  <c r="Y250" i="7"/>
  <c r="Y402" i="7"/>
  <c r="Y367" i="7"/>
  <c r="Y388" i="7"/>
  <c r="Y326" i="7"/>
  <c r="Y889" i="7"/>
  <c r="Y393" i="7"/>
  <c r="Y396" i="7"/>
  <c r="Y370" i="7"/>
  <c r="Y543" i="7"/>
  <c r="Y886" i="7"/>
  <c r="Y371" i="7"/>
  <c r="Y1200" i="7"/>
  <c r="Y211" i="7"/>
  <c r="Y401" i="7"/>
  <c r="Y389" i="7"/>
  <c r="Y938" i="7"/>
  <c r="Y950" i="7"/>
  <c r="Y583" i="7"/>
  <c r="Y582" i="7"/>
  <c r="Y42" i="7"/>
  <c r="Y682" i="7"/>
  <c r="Y683" i="7"/>
  <c r="Y261" i="7"/>
  <c r="Y822" i="7"/>
  <c r="Y253" i="7"/>
  <c r="Y991" i="7"/>
  <c r="Y992" i="7"/>
  <c r="Y997" i="7"/>
  <c r="Y331" i="7"/>
  <c r="Y339" i="7"/>
  <c r="Y336" i="7"/>
  <c r="Y888" i="7"/>
  <c r="Y246" i="7"/>
  <c r="Y946" i="7"/>
  <c r="Y927" i="7"/>
  <c r="Y548" i="7"/>
  <c r="Y1099" i="7"/>
  <c r="Y245" i="7"/>
  <c r="Y580" i="7"/>
  <c r="Y281" i="7"/>
  <c r="Y674" i="7"/>
  <c r="Y678" i="7"/>
  <c r="Y644" i="7"/>
  <c r="Y1092" i="7"/>
  <c r="Y551" i="7"/>
  <c r="Y550" i="7"/>
  <c r="Y1422" i="7"/>
  <c r="Y845" i="7"/>
  <c r="Y581" i="7"/>
  <c r="Y1361" i="7"/>
  <c r="Y1100" i="7"/>
  <c r="Y853" i="7"/>
  <c r="Y1097" i="7"/>
  <c r="Y584" i="7"/>
  <c r="Y966" i="7"/>
  <c r="Y189" i="7"/>
  <c r="Y1089" i="7"/>
  <c r="Y926" i="7"/>
  <c r="Y823" i="7"/>
  <c r="Y199" i="7"/>
  <c r="Y572" i="7"/>
  <c r="Y1291" i="7"/>
  <c r="Y38" i="7"/>
  <c r="Y28" i="7"/>
  <c r="Y200" i="7"/>
  <c r="Y244" i="7"/>
  <c r="Y431" i="7"/>
  <c r="Y673" i="7"/>
  <c r="Y1380" i="7"/>
  <c r="Y1354" i="7"/>
  <c r="Y560" i="7"/>
  <c r="Y1371" i="7"/>
  <c r="Y1370" i="7"/>
  <c r="Y621" i="7"/>
  <c r="Y782" i="7"/>
  <c r="Y197" i="7"/>
  <c r="Y985" i="7"/>
  <c r="Y1290" i="7"/>
  <c r="Y140" i="7"/>
  <c r="Y818" i="7"/>
  <c r="Y55" i="7"/>
  <c r="Y260" i="7"/>
  <c r="Y671" i="7"/>
  <c r="Y216" i="7"/>
  <c r="Y66" i="7"/>
  <c r="Y817" i="7"/>
  <c r="Y420" i="7"/>
  <c r="Y421" i="7"/>
  <c r="Y854" i="7"/>
  <c r="Y268" i="7"/>
  <c r="Y215" i="7"/>
  <c r="Y198" i="7"/>
  <c r="Y826" i="7"/>
  <c r="Y820" i="7"/>
  <c r="Y814" i="7"/>
  <c r="Y429" i="7"/>
  <c r="Y428" i="7"/>
  <c r="Y874" i="7"/>
  <c r="Y940" i="7"/>
  <c r="Y291" i="7"/>
  <c r="Y292" i="7"/>
  <c r="Y892" i="7"/>
  <c r="Y1382" i="7"/>
  <c r="Y1374" i="7"/>
  <c r="Y1381" i="7"/>
  <c r="Y559" i="7"/>
  <c r="Y1577" i="7"/>
  <c r="Y194" i="7"/>
  <c r="Y607" i="7"/>
  <c r="Y44" i="7"/>
  <c r="Y496" i="7"/>
  <c r="Y1271" i="7"/>
  <c r="Y1325" i="7"/>
  <c r="Y1289" i="7"/>
  <c r="Y259" i="7"/>
  <c r="Y1302" i="7"/>
  <c r="Y721" i="7"/>
  <c r="Y890" i="7"/>
  <c r="Y687" i="7"/>
  <c r="Y686" i="7"/>
  <c r="Y685" i="7"/>
  <c r="Y196" i="7"/>
  <c r="Y851" i="7"/>
  <c r="Y850" i="7"/>
  <c r="Y943" i="7"/>
  <c r="Y1427" i="7"/>
  <c r="Y815" i="7"/>
  <c r="Y1423" i="7"/>
  <c r="Y1424" i="7"/>
  <c r="Y870" i="7"/>
  <c r="Y916" i="7"/>
  <c r="Y1091" i="7"/>
  <c r="Y1362" i="7"/>
  <c r="Y109" i="7"/>
  <c r="Y110" i="7"/>
  <c r="Y184" i="7"/>
  <c r="Y183" i="7"/>
  <c r="Y182" i="7"/>
  <c r="Y181" i="7"/>
  <c r="Y180" i="7"/>
  <c r="Y185" i="7"/>
  <c r="Y186" i="7"/>
  <c r="Y179" i="7"/>
  <c r="Y178" i="7"/>
  <c r="Y883" i="7"/>
  <c r="Y882" i="7"/>
  <c r="Y880" i="7"/>
  <c r="Y1575" i="7"/>
  <c r="Y893" i="7"/>
  <c r="Y175" i="7"/>
  <c r="Y177" i="7"/>
  <c r="Y85" i="7"/>
  <c r="Y275" i="7"/>
  <c r="Y274" i="7"/>
  <c r="Y176" i="7"/>
  <c r="Y86" i="7"/>
  <c r="Y87" i="7"/>
  <c r="Y295" i="7"/>
  <c r="Y297" i="7"/>
  <c r="Y296" i="7"/>
  <c r="Y89" i="7"/>
  <c r="Y91" i="7"/>
  <c r="Y90" i="7"/>
  <c r="Y92" i="7"/>
  <c r="Y93" i="7"/>
  <c r="Y255" i="7"/>
  <c r="Y88" i="7"/>
  <c r="Y338" i="7"/>
  <c r="Y358" i="7"/>
  <c r="Y357" i="7"/>
  <c r="Y852" i="7"/>
  <c r="Y1090" i="7"/>
  <c r="Y727" i="7"/>
  <c r="Y726" i="7"/>
  <c r="Y725" i="7"/>
  <c r="Y24" i="7"/>
  <c r="Y65" i="7"/>
  <c r="Y22" i="7"/>
  <c r="Y31" i="7"/>
  <c r="Y41" i="7"/>
  <c r="Y129" i="7"/>
  <c r="Y101" i="7"/>
  <c r="Y552" i="7"/>
  <c r="Y562" i="7"/>
  <c r="Y355" i="7"/>
  <c r="Y556" i="7"/>
  <c r="Y553" i="7"/>
  <c r="Y280" i="7"/>
  <c r="Y614" i="7"/>
  <c r="Y40" i="7"/>
  <c r="Y39" i="7"/>
  <c r="Y952" i="7"/>
  <c r="Y951" i="7"/>
  <c r="Y894" i="7"/>
  <c r="Y862" i="7"/>
  <c r="Y418" i="7"/>
  <c r="Y386" i="7"/>
  <c r="Y306" i="7"/>
  <c r="Y606" i="7"/>
  <c r="Y49" i="7"/>
  <c r="Y846" i="7"/>
  <c r="Y276" i="7"/>
  <c r="Y282" i="7"/>
  <c r="Y1428" i="7"/>
  <c r="Y1432" i="7"/>
  <c r="Y1431" i="7"/>
  <c r="Y1430" i="7"/>
  <c r="Y1429" i="7"/>
  <c r="Y201" i="7"/>
  <c r="Y1333" i="7"/>
  <c r="Y1332" i="7"/>
  <c r="Y1331" i="7"/>
  <c r="Y680" i="7"/>
  <c r="Y1330" i="7"/>
  <c r="Y341" i="7"/>
  <c r="Y344" i="7"/>
  <c r="Y343" i="7"/>
  <c r="Y214" i="7"/>
  <c r="Y478" i="7"/>
  <c r="Y477" i="7"/>
  <c r="Y108" i="7"/>
  <c r="Y272" i="7"/>
  <c r="Y271" i="7"/>
  <c r="Y479" i="7"/>
  <c r="Y1095" i="7"/>
  <c r="Y662" i="7"/>
  <c r="Y798" i="7"/>
  <c r="Y786" i="7"/>
  <c r="Y788" i="7"/>
  <c r="Y799" i="7"/>
  <c r="Y787" i="7"/>
  <c r="Y1094" i="7"/>
  <c r="Y1098" i="7"/>
  <c r="Y1299" i="7"/>
  <c r="Y1293" i="7"/>
  <c r="Y1292" i="7"/>
  <c r="Y658" i="7"/>
  <c r="Y859" i="7"/>
  <c r="Y858" i="7"/>
  <c r="Y876" i="7"/>
  <c r="Y1574" i="7"/>
  <c r="Y1576" i="7"/>
  <c r="Y1093" i="7"/>
  <c r="Y1298" i="7"/>
  <c r="Y1297" i="7"/>
  <c r="Y46" i="7"/>
  <c r="Y340" i="7"/>
  <c r="Y430" i="7"/>
  <c r="Y855" i="7"/>
  <c r="Y363" i="7"/>
  <c r="Y881" i="7"/>
  <c r="Y885" i="7"/>
  <c r="Y891" i="7"/>
  <c r="Y359" i="7"/>
  <c r="Y873" i="7"/>
  <c r="Y1303" i="7"/>
  <c r="Y588" i="7"/>
  <c r="Y679" i="7"/>
  <c r="Y730" i="7"/>
  <c r="Y729" i="7"/>
  <c r="Y728" i="7"/>
  <c r="Y547" i="7"/>
  <c r="Y1007" i="7"/>
  <c r="Y1006" i="7"/>
  <c r="Y1264" i="7"/>
  <c r="Y1265" i="7"/>
  <c r="Y1104" i="7"/>
  <c r="Y1103" i="7"/>
  <c r="Y849" i="7"/>
  <c r="Y342" i="7"/>
  <c r="Y278" i="7"/>
  <c r="Y652" i="7"/>
  <c r="Y362" i="7"/>
  <c r="Y361" i="7"/>
  <c r="Y816" i="7"/>
  <c r="Y407" i="7"/>
  <c r="Y600" i="7"/>
  <c r="Y1016" i="7"/>
  <c r="Y657" i="7"/>
  <c r="Y615" i="7"/>
  <c r="Y750" i="7"/>
  <c r="Y595" i="7"/>
  <c r="Y1473" i="7"/>
  <c r="Y540" i="7"/>
  <c r="Y1341" i="7"/>
  <c r="Y1639" i="7"/>
  <c r="Y1311" i="7"/>
  <c r="Y1309" i="7"/>
  <c r="Y1556" i="7"/>
  <c r="Y330" i="7"/>
  <c r="Y329" i="7"/>
  <c r="Y1077" i="7"/>
  <c r="Y575" i="7"/>
  <c r="Y546" i="7"/>
  <c r="Y127" i="7"/>
  <c r="Y1010" i="7"/>
  <c r="Y922" i="7"/>
  <c r="Y830" i="7"/>
  <c r="Y1468" i="7"/>
  <c r="Y899" i="7"/>
  <c r="Y902" i="7"/>
  <c r="Y534" i="7"/>
  <c r="Y549" i="7"/>
  <c r="Y532" i="7"/>
  <c r="Y531" i="7"/>
  <c r="Y653" i="7"/>
  <c r="Y1243" i="7"/>
  <c r="Y919" i="7"/>
  <c r="Y930" i="7"/>
  <c r="Y327" i="7"/>
  <c r="Y494" i="7"/>
  <c r="Y56" i="7"/>
  <c r="Y437" i="7"/>
  <c r="Y436" i="7"/>
  <c r="Y1612" i="7"/>
  <c r="Y1618" i="7"/>
  <c r="Y1541" i="7"/>
  <c r="Y1312" i="7"/>
  <c r="AE1378" i="7"/>
  <c r="AA1378" i="7" s="1"/>
  <c r="AE1377" i="7"/>
  <c r="AA1377" i="7" s="1"/>
  <c r="AE1376" i="7"/>
  <c r="AA1376" i="7" s="1"/>
  <c r="AE1375" i="7"/>
  <c r="AA1375" i="7" s="1"/>
  <c r="AE1374" i="7"/>
  <c r="AA1374" i="7" s="1"/>
  <c r="AE1373" i="7"/>
  <c r="AA1373" i="7" s="1"/>
  <c r="AE1372" i="7"/>
  <c r="AA1372" i="7" s="1"/>
  <c r="AE1371" i="7"/>
  <c r="AA1371" i="7" s="1"/>
  <c r="AE1370" i="7"/>
  <c r="AA1370" i="7" s="1"/>
  <c r="AE1369" i="7"/>
  <c r="AA1369" i="7" s="1"/>
  <c r="AE1368" i="7"/>
  <c r="AA1368" i="7" s="1"/>
  <c r="AE1367" i="7"/>
  <c r="AA1367" i="7" s="1"/>
  <c r="AE1366" i="7"/>
  <c r="AA1366" i="7" s="1"/>
  <c r="AE1365" i="7"/>
  <c r="AA1365" i="7" s="1"/>
  <c r="AE1364" i="7"/>
  <c r="AA1364" i="7" s="1"/>
  <c r="AE1363" i="7"/>
  <c r="AA1363" i="7" s="1"/>
  <c r="AE1362" i="7"/>
  <c r="AA1362" i="7" s="1"/>
  <c r="AE1361" i="7"/>
  <c r="AA1361" i="7" s="1"/>
  <c r="AE1360" i="7"/>
  <c r="AA1360" i="7" s="1"/>
  <c r="AE1359" i="7"/>
  <c r="AA1359" i="7" s="1"/>
  <c r="AE1358" i="7"/>
  <c r="AA1358" i="7" s="1"/>
  <c r="AE1357" i="7"/>
  <c r="AA1357" i="7" s="1"/>
  <c r="AE1356" i="7"/>
  <c r="AA1356" i="7" s="1"/>
  <c r="AE1355" i="7"/>
  <c r="AA1355" i="7" s="1"/>
  <c r="AE1354" i="7"/>
  <c r="AA1354" i="7" s="1"/>
  <c r="AE1353" i="7"/>
  <c r="AA1353" i="7" s="1"/>
  <c r="AE1352" i="7"/>
  <c r="AA1352" i="7" s="1"/>
  <c r="AE1351" i="7"/>
  <c r="AA1351" i="7" s="1"/>
  <c r="AE1350" i="7"/>
  <c r="AA1350" i="7" s="1"/>
  <c r="AE1349" i="7"/>
  <c r="AA1349" i="7" s="1"/>
  <c r="AE1348" i="7"/>
  <c r="AA1348" i="7" s="1"/>
  <c r="AE1347" i="7"/>
  <c r="AA1347" i="7" s="1"/>
  <c r="AE1346" i="7"/>
  <c r="AA1346" i="7" s="1"/>
  <c r="AE1345" i="7"/>
  <c r="AA1345" i="7" s="1"/>
  <c r="AE1344" i="7"/>
  <c r="AA1344" i="7" s="1"/>
  <c r="AE1343" i="7"/>
  <c r="AA1343" i="7" s="1"/>
  <c r="AE1342" i="7"/>
  <c r="AA1342" i="7" s="1"/>
  <c r="AE1341" i="7"/>
  <c r="AA1341" i="7" s="1"/>
  <c r="AE1340" i="7"/>
  <c r="AA1340" i="7" s="1"/>
  <c r="AE1339" i="7"/>
  <c r="AA1339" i="7" s="1"/>
  <c r="AE1338" i="7"/>
  <c r="AA1338" i="7" s="1"/>
  <c r="AE1337" i="7"/>
  <c r="AA1337" i="7" s="1"/>
  <c r="AE1336" i="7"/>
  <c r="AA1336" i="7" s="1"/>
  <c r="AE1335" i="7"/>
  <c r="AA1335" i="7" s="1"/>
  <c r="AE1334" i="7"/>
  <c r="AA1334" i="7" s="1"/>
  <c r="AE1333" i="7"/>
  <c r="AA1333" i="7" s="1"/>
  <c r="AE1332" i="7"/>
  <c r="AA1332" i="7" s="1"/>
  <c r="AE1331" i="7"/>
  <c r="AA1331" i="7" s="1"/>
  <c r="AE1330" i="7"/>
  <c r="AA1330" i="7" s="1"/>
  <c r="AE1329" i="7"/>
  <c r="AA1329" i="7" s="1"/>
  <c r="AE1328" i="7"/>
  <c r="AA1328" i="7" s="1"/>
  <c r="AE1327" i="7"/>
  <c r="AA1327" i="7" s="1"/>
  <c r="AE1326" i="7"/>
  <c r="AA1326" i="7" s="1"/>
  <c r="AE1325" i="7"/>
  <c r="AA1325" i="7" s="1"/>
  <c r="AE1324" i="7"/>
  <c r="AA1324" i="7" s="1"/>
  <c r="AE1323" i="7"/>
  <c r="AA1323" i="7" s="1"/>
  <c r="AE1322" i="7"/>
  <c r="AA1322" i="7" s="1"/>
  <c r="AE1321" i="7"/>
  <c r="AA1321" i="7" s="1"/>
  <c r="AE1320" i="7"/>
  <c r="AA1320" i="7" s="1"/>
  <c r="AE1319" i="7"/>
  <c r="AA1319" i="7" s="1"/>
  <c r="AE1318" i="7"/>
  <c r="AA1318" i="7" s="1"/>
  <c r="AE1317" i="7"/>
  <c r="AA1317" i="7" s="1"/>
  <c r="AE1316" i="7"/>
  <c r="AA1316" i="7" s="1"/>
  <c r="AE1315" i="7"/>
  <c r="AA1315" i="7" s="1"/>
  <c r="AE1314" i="7"/>
  <c r="AA1314" i="7" s="1"/>
  <c r="AE1313" i="7"/>
  <c r="AA1313" i="7" s="1"/>
  <c r="AE1312" i="7"/>
  <c r="AA1312" i="7" s="1"/>
  <c r="AE1311" i="7"/>
  <c r="AA1311" i="7" s="1"/>
  <c r="AE1310" i="7"/>
  <c r="AA1310" i="7" s="1"/>
  <c r="AE1309" i="7"/>
  <c r="AA1309" i="7" s="1"/>
  <c r="AE1308" i="7"/>
  <c r="AA1308" i="7" s="1"/>
  <c r="AE1307" i="7"/>
  <c r="AA1307" i="7" s="1"/>
  <c r="AE1306" i="7"/>
  <c r="AA1306" i="7" s="1"/>
  <c r="AE1305" i="7"/>
  <c r="AA1305" i="7" s="1"/>
  <c r="AE1304" i="7"/>
  <c r="AA1304" i="7" s="1"/>
  <c r="AE1303" i="7"/>
  <c r="AA1303" i="7" s="1"/>
  <c r="AE1302" i="7"/>
  <c r="AA1302" i="7" s="1"/>
  <c r="AE1301" i="7"/>
  <c r="AA1301" i="7" s="1"/>
  <c r="AE1300" i="7"/>
  <c r="AA1300" i="7" s="1"/>
  <c r="AE1299" i="7"/>
  <c r="AA1299" i="7" s="1"/>
  <c r="AE1298" i="7"/>
  <c r="AA1298" i="7" s="1"/>
  <c r="AE1297" i="7"/>
  <c r="AA1297" i="7" s="1"/>
  <c r="AE1296" i="7"/>
  <c r="AA1296" i="7" s="1"/>
  <c r="AE1295" i="7"/>
  <c r="AA1295" i="7" s="1"/>
  <c r="AE1294" i="7"/>
  <c r="AA1294" i="7" s="1"/>
  <c r="AE1293" i="7"/>
  <c r="AA1293" i="7" s="1"/>
  <c r="AE1292" i="7"/>
  <c r="AA1292" i="7" s="1"/>
  <c r="AE1291" i="7"/>
  <c r="AA1291" i="7" s="1"/>
  <c r="AE1290" i="7"/>
  <c r="AA1290" i="7" s="1"/>
  <c r="AE1289" i="7"/>
  <c r="AA1289" i="7" s="1"/>
  <c r="AE1288" i="7"/>
  <c r="AA1288" i="7" s="1"/>
  <c r="AE1287" i="7"/>
  <c r="AA1287" i="7" s="1"/>
  <c r="AE1286" i="7"/>
  <c r="AA1286" i="7" s="1"/>
  <c r="AE1285" i="7"/>
  <c r="AA1285" i="7" s="1"/>
  <c r="AE1284" i="7"/>
  <c r="AA1284" i="7" s="1"/>
  <c r="AE1283" i="7"/>
  <c r="AA1283" i="7" s="1"/>
  <c r="AE1282" i="7"/>
  <c r="AA1282" i="7" s="1"/>
  <c r="AE1281" i="7"/>
  <c r="AA1281" i="7" s="1"/>
  <c r="AE1280" i="7"/>
  <c r="AA1280" i="7" s="1"/>
  <c r="AE1279" i="7"/>
  <c r="AA1279" i="7" s="1"/>
  <c r="AE1278" i="7"/>
  <c r="AA1278" i="7" s="1"/>
  <c r="AE1277" i="7"/>
  <c r="AA1277" i="7" s="1"/>
  <c r="AE1276" i="7"/>
  <c r="AA1276" i="7" s="1"/>
  <c r="AE1275" i="7"/>
  <c r="AA1275" i="7" s="1"/>
  <c r="AE1274" i="7"/>
  <c r="AA1274" i="7" s="1"/>
  <c r="AE1273" i="7"/>
  <c r="AA1273" i="7" s="1"/>
  <c r="AE1272" i="7"/>
  <c r="AA1272" i="7" s="1"/>
  <c r="AE1264" i="7"/>
  <c r="AA1264" i="7" s="1"/>
  <c r="AE1263" i="7"/>
  <c r="AA1263" i="7" s="1"/>
  <c r="AE1262" i="7"/>
  <c r="AA1262" i="7" s="1"/>
  <c r="AE1261" i="7"/>
  <c r="AA1261" i="7" s="1"/>
  <c r="AE1260" i="7"/>
  <c r="AA1260" i="7" s="1"/>
  <c r="AE1259" i="7"/>
  <c r="AA1259" i="7" s="1"/>
  <c r="AE1258" i="7"/>
  <c r="AA1258" i="7" s="1"/>
  <c r="AE1257" i="7"/>
  <c r="AA1257" i="7" s="1"/>
  <c r="AE1256" i="7"/>
  <c r="AA1256" i="7" s="1"/>
  <c r="AE1255" i="7"/>
  <c r="AA1255" i="7" s="1"/>
  <c r="AE1254" i="7"/>
  <c r="AA1254" i="7" s="1"/>
  <c r="AE1253" i="7"/>
  <c r="AA1253" i="7" s="1"/>
  <c r="AE1252" i="7"/>
  <c r="AA1252" i="7" s="1"/>
  <c r="AE1251" i="7"/>
  <c r="AA1251" i="7" s="1"/>
  <c r="AE1250" i="7"/>
  <c r="AA1250" i="7" s="1"/>
  <c r="AE1249" i="7"/>
  <c r="AA1249" i="7" s="1"/>
  <c r="AE1248" i="7"/>
  <c r="AA1248" i="7" s="1"/>
  <c r="AE1247" i="7"/>
  <c r="AA1247" i="7" s="1"/>
  <c r="AE1246" i="7"/>
  <c r="AA1246" i="7" s="1"/>
  <c r="AE1245" i="7"/>
  <c r="AA1245" i="7" s="1"/>
  <c r="AE1244" i="7"/>
  <c r="AA1244" i="7" s="1"/>
  <c r="AE1243" i="7"/>
  <c r="AA1243" i="7" s="1"/>
  <c r="AE1242" i="7"/>
  <c r="AA1242" i="7" s="1"/>
  <c r="AE1241" i="7"/>
  <c r="AA1241" i="7" s="1"/>
  <c r="AE1240" i="7"/>
  <c r="AA1240" i="7" s="1"/>
  <c r="AE1239" i="7"/>
  <c r="AA1239" i="7" s="1"/>
  <c r="AE1238" i="7"/>
  <c r="AA1238" i="7" s="1"/>
  <c r="AE1237" i="7"/>
  <c r="AA1237" i="7" s="1"/>
  <c r="AE1236" i="7"/>
  <c r="AA1236" i="7" s="1"/>
  <c r="AE1235" i="7"/>
  <c r="AA1235" i="7" s="1"/>
  <c r="AE1234" i="7"/>
  <c r="AA1234" i="7" s="1"/>
  <c r="AE1233" i="7"/>
  <c r="AA1233" i="7" s="1"/>
  <c r="AE1232" i="7"/>
  <c r="AA1232" i="7" s="1"/>
  <c r="AE1231" i="7"/>
  <c r="AA1231" i="7" s="1"/>
  <c r="AE1230" i="7"/>
  <c r="AA1230" i="7" s="1"/>
  <c r="AE1229" i="7"/>
  <c r="AA1229" i="7" s="1"/>
  <c r="AE1228" i="7"/>
  <c r="AA1228" i="7" s="1"/>
  <c r="AE1227" i="7"/>
  <c r="AA1227" i="7" s="1"/>
  <c r="AE1226" i="7"/>
  <c r="AA1226" i="7" s="1"/>
  <c r="AE1225" i="7"/>
  <c r="AA1225" i="7" s="1"/>
  <c r="AE1224" i="7"/>
  <c r="AA1224" i="7" s="1"/>
  <c r="AE1223" i="7"/>
  <c r="AA1223" i="7" s="1"/>
  <c r="AE1222" i="7"/>
  <c r="AA1222" i="7" s="1"/>
  <c r="AE1221" i="7"/>
  <c r="AA1221" i="7" s="1"/>
  <c r="AE1220" i="7"/>
  <c r="AA1220" i="7" s="1"/>
  <c r="AE1219" i="7"/>
  <c r="AA1219" i="7" s="1"/>
  <c r="AE1218" i="7"/>
  <c r="AA1218" i="7" s="1"/>
  <c r="AE1217" i="7"/>
  <c r="AA1217" i="7" s="1"/>
  <c r="AE1216" i="7"/>
  <c r="AA1216" i="7" s="1"/>
  <c r="AE1215" i="7"/>
  <c r="AA1215" i="7" s="1"/>
  <c r="AE1214" i="7"/>
  <c r="AA1214" i="7" s="1"/>
  <c r="AE1213" i="7"/>
  <c r="AA1213" i="7" s="1"/>
  <c r="AE1212" i="7"/>
  <c r="AA1212" i="7" s="1"/>
  <c r="AE1211" i="7"/>
  <c r="AA1211" i="7" s="1"/>
  <c r="AE1210" i="7"/>
  <c r="AA1210" i="7" s="1"/>
  <c r="AE1209" i="7"/>
  <c r="AA1209" i="7" s="1"/>
  <c r="AE1208" i="7"/>
  <c r="AA1208" i="7" s="1"/>
  <c r="AE1207" i="7"/>
  <c r="AA1207" i="7" s="1"/>
  <c r="AE1206" i="7"/>
  <c r="AA1206" i="7" s="1"/>
  <c r="AE1205" i="7"/>
  <c r="AA1205" i="7" s="1"/>
  <c r="AE1204" i="7"/>
  <c r="AA1204" i="7" s="1"/>
  <c r="AE1203" i="7"/>
  <c r="AA1203" i="7" s="1"/>
  <c r="AE1202" i="7"/>
  <c r="AA1202" i="7" s="1"/>
  <c r="AE1201" i="7"/>
  <c r="AA1201" i="7" s="1"/>
  <c r="AE1200" i="7"/>
  <c r="AA1200" i="7" s="1"/>
  <c r="AE1199" i="7"/>
  <c r="AA1199" i="7" s="1"/>
  <c r="AE1198" i="7"/>
  <c r="AA1198" i="7" s="1"/>
  <c r="AE1197" i="7"/>
  <c r="AA1197" i="7" s="1"/>
  <c r="AE1196" i="7"/>
  <c r="AA1196" i="7" s="1"/>
  <c r="AE1195" i="7"/>
  <c r="AA1195" i="7" s="1"/>
  <c r="AE1194" i="7"/>
  <c r="AA1194" i="7" s="1"/>
  <c r="AE1193" i="7"/>
  <c r="AA1193" i="7" s="1"/>
  <c r="AE1192" i="7"/>
  <c r="AA1192" i="7" s="1"/>
  <c r="AE1191" i="7"/>
  <c r="AA1191" i="7" s="1"/>
  <c r="AE1190" i="7"/>
  <c r="AA1190" i="7" s="1"/>
  <c r="AE1189" i="7"/>
  <c r="AA1189" i="7" s="1"/>
  <c r="AE1188" i="7"/>
  <c r="AA1188" i="7" s="1"/>
  <c r="AE1187" i="7"/>
  <c r="AA1187" i="7" s="1"/>
  <c r="AE1186" i="7"/>
  <c r="AA1186" i="7" s="1"/>
  <c r="AE1185" i="7"/>
  <c r="AA1185" i="7" s="1"/>
  <c r="AE1184" i="7"/>
  <c r="AA1184" i="7" s="1"/>
  <c r="AE1183" i="7"/>
  <c r="AA1183" i="7" s="1"/>
  <c r="AE1182" i="7"/>
  <c r="AA1182" i="7" s="1"/>
  <c r="AE1181" i="7"/>
  <c r="AA1181" i="7" s="1"/>
  <c r="AE1180" i="7"/>
  <c r="AA1180" i="7" s="1"/>
  <c r="AE1179" i="7"/>
  <c r="AA1179" i="7" s="1"/>
  <c r="AE1178" i="7"/>
  <c r="AA1178" i="7" s="1"/>
  <c r="AE1177" i="7"/>
  <c r="AA1177" i="7" s="1"/>
  <c r="AE1176" i="7"/>
  <c r="AA1176" i="7" s="1"/>
  <c r="AE1175" i="7"/>
  <c r="AA1175" i="7" s="1"/>
  <c r="AE1174" i="7"/>
  <c r="AA1174" i="7" s="1"/>
  <c r="AE1173" i="7"/>
  <c r="AA1173" i="7" s="1"/>
  <c r="AE1172" i="7"/>
  <c r="AA1172" i="7" s="1"/>
  <c r="AE1171" i="7"/>
  <c r="AA1171" i="7" s="1"/>
  <c r="AE1170" i="7"/>
  <c r="AA1170" i="7" s="1"/>
  <c r="AE1169" i="7"/>
  <c r="AA1169" i="7" s="1"/>
  <c r="AE1168" i="7"/>
  <c r="AA1168" i="7" s="1"/>
  <c r="AE1167" i="7"/>
  <c r="AA1167" i="7" s="1"/>
  <c r="AE1166" i="7"/>
  <c r="AA1166" i="7" s="1"/>
  <c r="AE1165" i="7"/>
  <c r="AA1165" i="7" s="1"/>
  <c r="AE1164" i="7"/>
  <c r="AA1164" i="7" s="1"/>
  <c r="AE1163" i="7"/>
  <c r="AA1163" i="7" s="1"/>
  <c r="AE1162" i="7"/>
  <c r="AA1162" i="7" s="1"/>
  <c r="AE1161" i="7"/>
  <c r="AA1161" i="7" s="1"/>
  <c r="AE1160" i="7"/>
  <c r="AA1160" i="7" s="1"/>
  <c r="AE1159" i="7"/>
  <c r="AA1159" i="7" s="1"/>
  <c r="AE1158" i="7"/>
  <c r="AA1158" i="7" s="1"/>
  <c r="AE1157" i="7"/>
  <c r="AA1157" i="7" s="1"/>
  <c r="AE1156" i="7"/>
  <c r="AA1156" i="7" s="1"/>
  <c r="AE1155" i="7"/>
  <c r="AA1155" i="7" s="1"/>
  <c r="AE1154" i="7"/>
  <c r="AA1154" i="7" s="1"/>
  <c r="AE1153" i="7"/>
  <c r="AA1153" i="7" s="1"/>
  <c r="AE1152" i="7"/>
  <c r="AA1152" i="7" s="1"/>
  <c r="AE1151" i="7"/>
  <c r="AA1151" i="7" s="1"/>
  <c r="AE1150" i="7"/>
  <c r="AA1150" i="7" s="1"/>
  <c r="AE1149" i="7"/>
  <c r="AA1149" i="7" s="1"/>
  <c r="AE1148" i="7"/>
  <c r="AA1148" i="7" s="1"/>
  <c r="AE1147" i="7"/>
  <c r="AA1147" i="7" s="1"/>
  <c r="AE1146" i="7"/>
  <c r="AA1146" i="7" s="1"/>
  <c r="AE1145" i="7"/>
  <c r="AA1145" i="7" s="1"/>
  <c r="AE1144" i="7"/>
  <c r="AA1144" i="7" s="1"/>
  <c r="AE1143" i="7"/>
  <c r="AA1143" i="7" s="1"/>
  <c r="AE1142" i="7"/>
  <c r="AA1142" i="7" s="1"/>
  <c r="AE1141" i="7"/>
  <c r="AA1141" i="7" s="1"/>
  <c r="AE1140" i="7"/>
  <c r="AA1140" i="7" s="1"/>
  <c r="AE1139" i="7"/>
  <c r="AA1139" i="7" s="1"/>
  <c r="AE1138" i="7"/>
  <c r="AA1138" i="7" s="1"/>
  <c r="AE1137" i="7"/>
  <c r="AA1137" i="7" s="1"/>
  <c r="AE1136" i="7"/>
  <c r="AA1136" i="7" s="1"/>
  <c r="AE1135" i="7"/>
  <c r="AA1135" i="7" s="1"/>
  <c r="AE1134" i="7"/>
  <c r="AA1134" i="7" s="1"/>
  <c r="AE1133" i="7"/>
  <c r="AA1133" i="7" s="1"/>
  <c r="AE1132" i="7"/>
  <c r="AA1132" i="7" s="1"/>
  <c r="AE1131" i="7"/>
  <c r="AA1131" i="7" s="1"/>
  <c r="AE1130" i="7"/>
  <c r="AA1130" i="7" s="1"/>
  <c r="AE1129" i="7"/>
  <c r="AA1129" i="7" s="1"/>
  <c r="AE1128" i="7"/>
  <c r="AA1128" i="7" s="1"/>
  <c r="AE1127" i="7"/>
  <c r="AA1127" i="7" s="1"/>
  <c r="AE1126" i="7"/>
  <c r="AA1126" i="7" s="1"/>
  <c r="AE1125" i="7"/>
  <c r="AA1125" i="7" s="1"/>
  <c r="AE1124" i="7"/>
  <c r="AA1124" i="7" s="1"/>
  <c r="AE1123" i="7"/>
  <c r="AA1123" i="7" s="1"/>
  <c r="AE1122" i="7"/>
  <c r="AA1122" i="7" s="1"/>
  <c r="AE1121" i="7"/>
  <c r="AA1121" i="7" s="1"/>
  <c r="AE1120" i="7"/>
  <c r="AA1120" i="7" s="1"/>
  <c r="AE1119" i="7"/>
  <c r="AA1119" i="7" s="1"/>
  <c r="AE1118" i="7"/>
  <c r="AA1118" i="7" s="1"/>
  <c r="AE1117" i="7"/>
  <c r="AA1117" i="7" s="1"/>
  <c r="AE1116" i="7"/>
  <c r="AA1116" i="7" s="1"/>
  <c r="AE1115" i="7"/>
  <c r="AA1115" i="7" s="1"/>
  <c r="AE1114" i="7"/>
  <c r="AA1114" i="7" s="1"/>
  <c r="AE1113" i="7"/>
  <c r="AA1113" i="7" s="1"/>
  <c r="AE1112" i="7"/>
  <c r="AA1112" i="7" s="1"/>
  <c r="AE1111" i="7"/>
  <c r="AA1111" i="7" s="1"/>
  <c r="AE1110" i="7"/>
  <c r="AA1110" i="7" s="1"/>
  <c r="AE1109" i="7"/>
  <c r="AA1109" i="7" s="1"/>
  <c r="AE1108" i="7"/>
  <c r="AA1108" i="7" s="1"/>
  <c r="AE1107" i="7"/>
  <c r="AA1107" i="7" s="1"/>
  <c r="AE1106" i="7"/>
  <c r="AA1106" i="7" s="1"/>
  <c r="AE1105" i="7"/>
  <c r="AA1105" i="7" s="1"/>
  <c r="AE1104" i="7"/>
  <c r="AA1104" i="7" s="1"/>
  <c r="AE1103" i="7"/>
  <c r="AA1103" i="7" s="1"/>
  <c r="AE1102" i="7"/>
  <c r="AA1102" i="7" s="1"/>
  <c r="AE1101" i="7"/>
  <c r="AA1101" i="7" s="1"/>
  <c r="AE1100" i="7"/>
  <c r="AA1100" i="7" s="1"/>
  <c r="AE1099" i="7"/>
  <c r="AA1099" i="7" s="1"/>
  <c r="AE1098" i="7"/>
  <c r="AA1098" i="7" s="1"/>
  <c r="AE1097" i="7"/>
  <c r="AA1097" i="7" s="1"/>
  <c r="AE1096" i="7"/>
  <c r="AA1096" i="7" s="1"/>
  <c r="AE1095" i="7"/>
  <c r="AA1095" i="7" s="1"/>
  <c r="AE1094" i="7"/>
  <c r="AA1094" i="7" s="1"/>
  <c r="AE1093" i="7"/>
  <c r="AA1093" i="7" s="1"/>
  <c r="AE1092" i="7"/>
  <c r="AA1092" i="7" s="1"/>
  <c r="AE1091" i="7"/>
  <c r="AA1091" i="7" s="1"/>
  <c r="AE1090" i="7"/>
  <c r="AA1090" i="7" s="1"/>
  <c r="AE1089" i="7"/>
  <c r="AA1089" i="7" s="1"/>
  <c r="AE1088" i="7"/>
  <c r="AA1088" i="7" s="1"/>
  <c r="AE1087" i="7"/>
  <c r="AA1087" i="7" s="1"/>
  <c r="AE1086" i="7"/>
  <c r="AA1086" i="7" s="1"/>
  <c r="AE1085" i="7"/>
  <c r="AA1085" i="7" s="1"/>
  <c r="AE1084" i="7"/>
  <c r="AA1084" i="7" s="1"/>
  <c r="AE1083" i="7"/>
  <c r="AA1083" i="7" s="1"/>
  <c r="AE1082" i="7"/>
  <c r="AA1082" i="7" s="1"/>
  <c r="AE1081" i="7"/>
  <c r="AA1081" i="7" s="1"/>
  <c r="AE1080" i="7"/>
  <c r="AA1080" i="7" s="1"/>
  <c r="AE1079" i="7"/>
  <c r="AA1079" i="7" s="1"/>
  <c r="AE1078" i="7"/>
  <c r="AA1078" i="7" s="1"/>
  <c r="AE1077" i="7"/>
  <c r="AA1077" i="7" s="1"/>
  <c r="AE1076" i="7"/>
  <c r="AA1076" i="7" s="1"/>
  <c r="AE1075" i="7"/>
  <c r="AA1075" i="7" s="1"/>
  <c r="AE1074" i="7"/>
  <c r="AA1074" i="7" s="1"/>
  <c r="AE1073" i="7"/>
  <c r="AA1073" i="7" s="1"/>
  <c r="AE1072" i="7"/>
  <c r="AA1072" i="7" s="1"/>
  <c r="AE1071" i="7"/>
  <c r="AA1071" i="7" s="1"/>
  <c r="AE1070" i="7"/>
  <c r="AA1070" i="7" s="1"/>
  <c r="AE1069" i="7"/>
  <c r="AA1069" i="7" s="1"/>
  <c r="AE1068" i="7"/>
  <c r="AA1068" i="7" s="1"/>
  <c r="AE1067" i="7"/>
  <c r="AA1067" i="7" s="1"/>
  <c r="AE1066" i="7"/>
  <c r="AA1066" i="7" s="1"/>
  <c r="AE1065" i="7"/>
  <c r="AA1065" i="7" s="1"/>
  <c r="AE1064" i="7"/>
  <c r="AA1064" i="7" s="1"/>
  <c r="AE1063" i="7"/>
  <c r="AA1063" i="7" s="1"/>
  <c r="AE1062" i="7"/>
  <c r="AA1062" i="7" s="1"/>
  <c r="AE1061" i="7"/>
  <c r="AA1061" i="7" s="1"/>
  <c r="AE1060" i="7"/>
  <c r="AA1060" i="7" s="1"/>
  <c r="AE1059" i="7"/>
  <c r="AA1059" i="7" s="1"/>
  <c r="AE1058" i="7"/>
  <c r="AA1058" i="7" s="1"/>
  <c r="AE1057" i="7"/>
  <c r="AA1057" i="7" s="1"/>
  <c r="AE1056" i="7"/>
  <c r="AA1056" i="7" s="1"/>
  <c r="AE1055" i="7"/>
  <c r="AA1055" i="7" s="1"/>
  <c r="AE1054" i="7"/>
  <c r="AA1054" i="7" s="1"/>
  <c r="AE1053" i="7"/>
  <c r="AA1053" i="7" s="1"/>
  <c r="AE1052" i="7"/>
  <c r="AA1052" i="7" s="1"/>
  <c r="AE1051" i="7"/>
  <c r="AA1051" i="7" s="1"/>
  <c r="AE1050" i="7"/>
  <c r="AA1050" i="7" s="1"/>
  <c r="AE1049" i="7"/>
  <c r="AA1049" i="7" s="1"/>
  <c r="AE1048" i="7"/>
  <c r="AA1048" i="7" s="1"/>
  <c r="AE1047" i="7"/>
  <c r="AA1047" i="7" s="1"/>
  <c r="AE1046" i="7"/>
  <c r="AA1046" i="7" s="1"/>
  <c r="AE1045" i="7"/>
  <c r="AA1045" i="7" s="1"/>
  <c r="AE1044" i="7"/>
  <c r="AA1044" i="7" s="1"/>
  <c r="AE1043" i="7"/>
  <c r="AA1043" i="7" s="1"/>
  <c r="AE1042" i="7"/>
  <c r="AA1042" i="7" s="1"/>
  <c r="AE1041" i="7"/>
  <c r="AA1041" i="7" s="1"/>
  <c r="AE1040" i="7"/>
  <c r="AA1040" i="7" s="1"/>
  <c r="AE1039" i="7"/>
  <c r="AA1039" i="7" s="1"/>
  <c r="AE1038" i="7"/>
  <c r="AA1038" i="7" s="1"/>
  <c r="AE1037" i="7"/>
  <c r="AA1037" i="7" s="1"/>
  <c r="AE1036" i="7"/>
  <c r="AA1036" i="7" s="1"/>
  <c r="AE1035" i="7"/>
  <c r="AA1035" i="7" s="1"/>
  <c r="AE1034" i="7"/>
  <c r="AA1034" i="7" s="1"/>
  <c r="AE1033" i="7"/>
  <c r="AA1033" i="7" s="1"/>
  <c r="AE1032" i="7"/>
  <c r="AA1032" i="7" s="1"/>
  <c r="AE1031" i="7"/>
  <c r="AA1031" i="7" s="1"/>
  <c r="AE1030" i="7"/>
  <c r="AA1030" i="7" s="1"/>
  <c r="AE1029" i="7"/>
  <c r="AA1029" i="7" s="1"/>
  <c r="AE1028" i="7"/>
  <c r="AA1028" i="7" s="1"/>
  <c r="AE1027" i="7"/>
  <c r="AA1027" i="7" s="1"/>
  <c r="AE1026" i="7"/>
  <c r="AA1026" i="7" s="1"/>
  <c r="AE1025" i="7"/>
  <c r="AA1025" i="7" s="1"/>
  <c r="AE1024" i="7"/>
  <c r="AA1024" i="7" s="1"/>
  <c r="AE1023" i="7"/>
  <c r="AA1023" i="7" s="1"/>
  <c r="AE1022" i="7"/>
  <c r="AA1022" i="7" s="1"/>
  <c r="AE1021" i="7"/>
  <c r="AA1021" i="7" s="1"/>
  <c r="AE1020" i="7"/>
  <c r="AA1020" i="7" s="1"/>
  <c r="AE1019" i="7"/>
  <c r="AA1019" i="7" s="1"/>
  <c r="AE1018" i="7"/>
  <c r="AA1018" i="7" s="1"/>
  <c r="AE1017" i="7"/>
  <c r="AA1017" i="7" s="1"/>
  <c r="AE1016" i="7"/>
  <c r="AA1016" i="7" s="1"/>
  <c r="AE1015" i="7"/>
  <c r="AA1015" i="7" s="1"/>
  <c r="AE1014" i="7"/>
  <c r="AA1014" i="7" s="1"/>
  <c r="AE1013" i="7"/>
  <c r="AA1013" i="7" s="1"/>
  <c r="AE1012" i="7"/>
  <c r="AA1012" i="7" s="1"/>
  <c r="AE1011" i="7"/>
  <c r="AA1011" i="7" s="1"/>
  <c r="AE1010" i="7"/>
  <c r="AA1010" i="7" s="1"/>
  <c r="AE1009" i="7"/>
  <c r="AA1009" i="7" s="1"/>
  <c r="AE1008" i="7"/>
  <c r="AA1008" i="7" s="1"/>
  <c r="AE1007" i="7"/>
  <c r="AA1007" i="7" s="1"/>
  <c r="AE1006" i="7"/>
  <c r="AA1006" i="7" s="1"/>
  <c r="AE1005" i="7"/>
  <c r="AA1005" i="7" s="1"/>
  <c r="AE1004" i="7"/>
  <c r="AA1004" i="7" s="1"/>
  <c r="AE1003" i="7"/>
  <c r="AA1003" i="7" s="1"/>
  <c r="AE1002" i="7"/>
  <c r="AA1002" i="7" s="1"/>
  <c r="AE1001" i="7"/>
  <c r="AA1001" i="7" s="1"/>
  <c r="AE1000" i="7"/>
  <c r="AA1000" i="7" s="1"/>
  <c r="AE999" i="7"/>
  <c r="AA999" i="7" s="1"/>
  <c r="AE998" i="7"/>
  <c r="AA998" i="7" s="1"/>
  <c r="AE997" i="7"/>
  <c r="AA997" i="7" s="1"/>
  <c r="AE996" i="7"/>
  <c r="AA996" i="7" s="1"/>
  <c r="AE995" i="7"/>
  <c r="AA995" i="7" s="1"/>
  <c r="AE994" i="7"/>
  <c r="AA994" i="7" s="1"/>
  <c r="AE993" i="7"/>
  <c r="AA993" i="7" s="1"/>
  <c r="AE992" i="7"/>
  <c r="AA992" i="7" s="1"/>
  <c r="AE991" i="7"/>
  <c r="AA991" i="7" s="1"/>
  <c r="AE990" i="7"/>
  <c r="AA990" i="7" s="1"/>
  <c r="AE989" i="7"/>
  <c r="AA989" i="7" s="1"/>
  <c r="AE988" i="7"/>
  <c r="AA988" i="7" s="1"/>
  <c r="AE987" i="7"/>
  <c r="AA987" i="7" s="1"/>
  <c r="AE986" i="7"/>
  <c r="AA986" i="7" s="1"/>
  <c r="AE985" i="7"/>
  <c r="AA985" i="7" s="1"/>
  <c r="AE984" i="7"/>
  <c r="AA984" i="7" s="1"/>
  <c r="AE983" i="7"/>
  <c r="AA983" i="7" s="1"/>
  <c r="AE982" i="7"/>
  <c r="AA982" i="7" s="1"/>
  <c r="AE981" i="7"/>
  <c r="AA981" i="7" s="1"/>
  <c r="AE980" i="7"/>
  <c r="AA980" i="7" s="1"/>
  <c r="AE979" i="7"/>
  <c r="AA979" i="7" s="1"/>
  <c r="AE978" i="7"/>
  <c r="AA978" i="7" s="1"/>
  <c r="AE977" i="7"/>
  <c r="AA977" i="7" s="1"/>
  <c r="AE976" i="7"/>
  <c r="AA976" i="7" s="1"/>
  <c r="AE975" i="7"/>
  <c r="AA975" i="7" s="1"/>
  <c r="AE974" i="7"/>
  <c r="AA974" i="7" s="1"/>
  <c r="AE973" i="7"/>
  <c r="AA973" i="7" s="1"/>
  <c r="AE972" i="7"/>
  <c r="AA972" i="7" s="1"/>
  <c r="AE971" i="7"/>
  <c r="AA971" i="7" s="1"/>
  <c r="AE970" i="7"/>
  <c r="AA970" i="7" s="1"/>
  <c r="AE969" i="7"/>
  <c r="AA969" i="7" s="1"/>
  <c r="AE968" i="7"/>
  <c r="AA968" i="7" s="1"/>
  <c r="AE967" i="7"/>
  <c r="AA967" i="7" s="1"/>
  <c r="AE966" i="7"/>
  <c r="AA966" i="7" s="1"/>
  <c r="AE965" i="7"/>
  <c r="AA965" i="7" s="1"/>
  <c r="AE964" i="7"/>
  <c r="AA964" i="7" s="1"/>
  <c r="AE963" i="7"/>
  <c r="AA963" i="7" s="1"/>
  <c r="AE962" i="7"/>
  <c r="AA962" i="7" s="1"/>
  <c r="AE961" i="7"/>
  <c r="AA961" i="7" s="1"/>
  <c r="AE960" i="7"/>
  <c r="AA960" i="7" s="1"/>
  <c r="AE959" i="7"/>
  <c r="AA959" i="7" s="1"/>
  <c r="AE958" i="7"/>
  <c r="AA958" i="7" s="1"/>
  <c r="AE957" i="7"/>
  <c r="AA957" i="7" s="1"/>
  <c r="AE956" i="7"/>
  <c r="AA956" i="7" s="1"/>
  <c r="AE955" i="7"/>
  <c r="AA955" i="7" s="1"/>
  <c r="AE954" i="7"/>
  <c r="AA954" i="7" s="1"/>
  <c r="AE953" i="7"/>
  <c r="AA953" i="7" s="1"/>
  <c r="AE952" i="7"/>
  <c r="AA952" i="7" s="1"/>
  <c r="AE951" i="7"/>
  <c r="AA951" i="7" s="1"/>
  <c r="AE950" i="7"/>
  <c r="AA950" i="7" s="1"/>
  <c r="AE949" i="7"/>
  <c r="AA949" i="7" s="1"/>
  <c r="AE948" i="7"/>
  <c r="AA948" i="7" s="1"/>
  <c r="AE947" i="7"/>
  <c r="AA947" i="7" s="1"/>
  <c r="AE946" i="7"/>
  <c r="AA946" i="7" s="1"/>
  <c r="AE945" i="7"/>
  <c r="AA945" i="7" s="1"/>
  <c r="AE944" i="7"/>
  <c r="AA944" i="7" s="1"/>
  <c r="AE943" i="7"/>
  <c r="AA943" i="7" s="1"/>
  <c r="AE942" i="7"/>
  <c r="AA942" i="7" s="1"/>
  <c r="AE941" i="7"/>
  <c r="AA941" i="7" s="1"/>
  <c r="AE940" i="7"/>
  <c r="AA940" i="7" s="1"/>
  <c r="AE939" i="7"/>
  <c r="AA939" i="7" s="1"/>
  <c r="AE938" i="7"/>
  <c r="AA938" i="7" s="1"/>
  <c r="AE937" i="7"/>
  <c r="AA937" i="7" s="1"/>
  <c r="AE936" i="7"/>
  <c r="AA936" i="7" s="1"/>
  <c r="AE935" i="7"/>
  <c r="AA935" i="7" s="1"/>
  <c r="AE934" i="7"/>
  <c r="AA934" i="7" s="1"/>
  <c r="AE933" i="7"/>
  <c r="AA933" i="7" s="1"/>
  <c r="AE932" i="7"/>
  <c r="AA932" i="7" s="1"/>
  <c r="AE931" i="7"/>
  <c r="AA931" i="7" s="1"/>
  <c r="AE930" i="7"/>
  <c r="AA930" i="7" s="1"/>
  <c r="AE929" i="7"/>
  <c r="AA929" i="7" s="1"/>
  <c r="AE928" i="7"/>
  <c r="AA928" i="7" s="1"/>
  <c r="AE927" i="7"/>
  <c r="AA927" i="7" s="1"/>
  <c r="AE926" i="7"/>
  <c r="AA926" i="7" s="1"/>
  <c r="AE925" i="7"/>
  <c r="AA925" i="7" s="1"/>
  <c r="AE924" i="7"/>
  <c r="AA924" i="7" s="1"/>
  <c r="AE923" i="7"/>
  <c r="AA923" i="7" s="1"/>
  <c r="AE922" i="7"/>
  <c r="AA922" i="7" s="1"/>
  <c r="AE921" i="7"/>
  <c r="AA921" i="7" s="1"/>
  <c r="AE920" i="7"/>
  <c r="AA920" i="7" s="1"/>
  <c r="AE919" i="7"/>
  <c r="AA919" i="7" s="1"/>
  <c r="AE918" i="7"/>
  <c r="AA918" i="7" s="1"/>
  <c r="AE917" i="7"/>
  <c r="AA917" i="7" s="1"/>
  <c r="AE916" i="7"/>
  <c r="AA916" i="7" s="1"/>
  <c r="AE915" i="7"/>
  <c r="AA915" i="7" s="1"/>
  <c r="AE914" i="7"/>
  <c r="AA914" i="7" s="1"/>
  <c r="AE913" i="7"/>
  <c r="AA913" i="7" s="1"/>
  <c r="AE912" i="7"/>
  <c r="AA912" i="7" s="1"/>
  <c r="AE911" i="7"/>
  <c r="AA911" i="7" s="1"/>
  <c r="AE910" i="7"/>
  <c r="AA910" i="7" s="1"/>
  <c r="AE909" i="7"/>
  <c r="AA909" i="7" s="1"/>
  <c r="AE908" i="7"/>
  <c r="AA908" i="7" s="1"/>
  <c r="AE907" i="7"/>
  <c r="AA907" i="7" s="1"/>
  <c r="AE906" i="7"/>
  <c r="AA906" i="7" s="1"/>
  <c r="AE905" i="7"/>
  <c r="AA905" i="7" s="1"/>
  <c r="AE904" i="7"/>
  <c r="AA904" i="7" s="1"/>
  <c r="AE903" i="7"/>
  <c r="AA903" i="7" s="1"/>
  <c r="AE902" i="7"/>
  <c r="AA902" i="7" s="1"/>
  <c r="AE901" i="7"/>
  <c r="AA901" i="7" s="1"/>
  <c r="AE900" i="7"/>
  <c r="AA900" i="7" s="1"/>
  <c r="AE899" i="7"/>
  <c r="AA899" i="7" s="1"/>
  <c r="AE898" i="7"/>
  <c r="AA898" i="7" s="1"/>
  <c r="AE897" i="7"/>
  <c r="AA897" i="7" s="1"/>
  <c r="AE896" i="7"/>
  <c r="AA896" i="7" s="1"/>
  <c r="AE895" i="7"/>
  <c r="AA895" i="7" s="1"/>
  <c r="AE894" i="7"/>
  <c r="AA894" i="7" s="1"/>
  <c r="AE893" i="7"/>
  <c r="AA893" i="7" s="1"/>
  <c r="AE892" i="7"/>
  <c r="AA892" i="7" s="1"/>
  <c r="AE891" i="7"/>
  <c r="AA891" i="7" s="1"/>
  <c r="AE890" i="7"/>
  <c r="AA890" i="7" s="1"/>
  <c r="AE889" i="7"/>
  <c r="AA889" i="7" s="1"/>
  <c r="AE888" i="7"/>
  <c r="AA888" i="7" s="1"/>
  <c r="AE887" i="7"/>
  <c r="AA887" i="7" s="1"/>
  <c r="AE886" i="7"/>
  <c r="AA886" i="7" s="1"/>
  <c r="AE885" i="7"/>
  <c r="AA885" i="7" s="1"/>
  <c r="AE884" i="7"/>
  <c r="AA884" i="7" s="1"/>
  <c r="AE883" i="7"/>
  <c r="AA883" i="7" s="1"/>
  <c r="AE882" i="7"/>
  <c r="AA882" i="7" s="1"/>
  <c r="AE881" i="7"/>
  <c r="AA881" i="7" s="1"/>
  <c r="AE880" i="7"/>
  <c r="AA880" i="7" s="1"/>
  <c r="AE879" i="7"/>
  <c r="AA879" i="7" s="1"/>
  <c r="AE878" i="7"/>
  <c r="AA878" i="7" s="1"/>
  <c r="AE877" i="7"/>
  <c r="AA877" i="7" s="1"/>
  <c r="AE876" i="7"/>
  <c r="AA876" i="7" s="1"/>
  <c r="AE875" i="7"/>
  <c r="AA875" i="7" s="1"/>
  <c r="AE874" i="7"/>
  <c r="AA874" i="7" s="1"/>
  <c r="AE873" i="7"/>
  <c r="AA873" i="7" s="1"/>
  <c r="AE872" i="7"/>
  <c r="AA872" i="7" s="1"/>
  <c r="AE871" i="7"/>
  <c r="AA871" i="7" s="1"/>
  <c r="AE870" i="7"/>
  <c r="AA870" i="7" s="1"/>
  <c r="AE869" i="7"/>
  <c r="AA869" i="7" s="1"/>
  <c r="AE868" i="7"/>
  <c r="AA868" i="7" s="1"/>
  <c r="AE867" i="7"/>
  <c r="AA867" i="7" s="1"/>
  <c r="AE866" i="7"/>
  <c r="AA866" i="7" s="1"/>
  <c r="AE865" i="7"/>
  <c r="AA865" i="7" s="1"/>
  <c r="AE864" i="7"/>
  <c r="AA864" i="7" s="1"/>
  <c r="AE863" i="7"/>
  <c r="AA863" i="7" s="1"/>
  <c r="AE862" i="7"/>
  <c r="AA862" i="7" s="1"/>
  <c r="AE861" i="7"/>
  <c r="AA861" i="7" s="1"/>
  <c r="AE860" i="7"/>
  <c r="AA860" i="7" s="1"/>
  <c r="AE859" i="7"/>
  <c r="AA859" i="7" s="1"/>
  <c r="AE858" i="7"/>
  <c r="AA858" i="7" s="1"/>
  <c r="AE857" i="7"/>
  <c r="AA857" i="7" s="1"/>
  <c r="AE856" i="7"/>
  <c r="AA856" i="7" s="1"/>
  <c r="AE855" i="7"/>
  <c r="AA855" i="7" s="1"/>
  <c r="AE854" i="7"/>
  <c r="AA854" i="7" s="1"/>
  <c r="AE853" i="7"/>
  <c r="AA853" i="7" s="1"/>
  <c r="AE852" i="7"/>
  <c r="AA852" i="7" s="1"/>
  <c r="AE851" i="7"/>
  <c r="AA851" i="7" s="1"/>
  <c r="AE850" i="7"/>
  <c r="AA850" i="7" s="1"/>
  <c r="AE849" i="7"/>
  <c r="AA849" i="7" s="1"/>
  <c r="AE848" i="7"/>
  <c r="AA848" i="7" s="1"/>
  <c r="AE847" i="7"/>
  <c r="AA847" i="7" s="1"/>
  <c r="AE846" i="7"/>
  <c r="AA846" i="7" s="1"/>
  <c r="AE845" i="7"/>
  <c r="AA845" i="7" s="1"/>
  <c r="AE844" i="7"/>
  <c r="AA844" i="7" s="1"/>
  <c r="AE843" i="7"/>
  <c r="AA843" i="7" s="1"/>
  <c r="AE842" i="7"/>
  <c r="AA842" i="7" s="1"/>
  <c r="AE841" i="7"/>
  <c r="AA841" i="7" s="1"/>
  <c r="AE840" i="7"/>
  <c r="AA840" i="7" s="1"/>
  <c r="AE839" i="7"/>
  <c r="AA839" i="7" s="1"/>
  <c r="AE838" i="7"/>
  <c r="AA838" i="7" s="1"/>
  <c r="AE837" i="7"/>
  <c r="AA837" i="7" s="1"/>
  <c r="AE836" i="7"/>
  <c r="AA836" i="7" s="1"/>
  <c r="AE835" i="7"/>
  <c r="AA835" i="7" s="1"/>
  <c r="AE834" i="7"/>
  <c r="AA834" i="7" s="1"/>
  <c r="AE833" i="7"/>
  <c r="AA833" i="7" s="1"/>
  <c r="AE832" i="7"/>
  <c r="AA832" i="7" s="1"/>
  <c r="AE831" i="7"/>
  <c r="AA831" i="7" s="1"/>
  <c r="AE830" i="7"/>
  <c r="AA830" i="7" s="1"/>
  <c r="AE829" i="7"/>
  <c r="AA829" i="7" s="1"/>
  <c r="AE828" i="7"/>
  <c r="AA828" i="7" s="1"/>
  <c r="AE827" i="7"/>
  <c r="AA827" i="7" s="1"/>
  <c r="AE826" i="7"/>
  <c r="AA826" i="7" s="1"/>
  <c r="AE825" i="7"/>
  <c r="AA825" i="7" s="1"/>
  <c r="AE824" i="7"/>
  <c r="AA824" i="7" s="1"/>
  <c r="AE823" i="7"/>
  <c r="AA823" i="7" s="1"/>
  <c r="AE822" i="7"/>
  <c r="AA822" i="7" s="1"/>
  <c r="AE821" i="7"/>
  <c r="AA821" i="7" s="1"/>
  <c r="AE820" i="7"/>
  <c r="AA820" i="7" s="1"/>
  <c r="AE819" i="7"/>
  <c r="AA819" i="7" s="1"/>
  <c r="AE818" i="7"/>
  <c r="AA818" i="7" s="1"/>
  <c r="AE817" i="7"/>
  <c r="AA817" i="7" s="1"/>
  <c r="AE816" i="7"/>
  <c r="AA816" i="7" s="1"/>
  <c r="AE815" i="7"/>
  <c r="AA815" i="7" s="1"/>
  <c r="AE814" i="7"/>
  <c r="AA814" i="7" s="1"/>
  <c r="AE813" i="7"/>
  <c r="AA813" i="7" s="1"/>
  <c r="AE812" i="7"/>
  <c r="AA812" i="7" s="1"/>
  <c r="AE811" i="7"/>
  <c r="AA811" i="7" s="1"/>
  <c r="AE810" i="7"/>
  <c r="AA810" i="7" s="1"/>
  <c r="AE809" i="7"/>
  <c r="AA809" i="7" s="1"/>
  <c r="AE808" i="7"/>
  <c r="AA808" i="7" s="1"/>
  <c r="AE807" i="7"/>
  <c r="AA807" i="7" s="1"/>
  <c r="AE806" i="7"/>
  <c r="AA806" i="7" s="1"/>
  <c r="AE805" i="7"/>
  <c r="AA805" i="7" s="1"/>
  <c r="AE804" i="7"/>
  <c r="AA804" i="7" s="1"/>
  <c r="AE803" i="7"/>
  <c r="AA803" i="7" s="1"/>
  <c r="AE802" i="7"/>
  <c r="AA802" i="7" s="1"/>
  <c r="AE801" i="7"/>
  <c r="AA801" i="7" s="1"/>
  <c r="AE800" i="7"/>
  <c r="AA800" i="7" s="1"/>
  <c r="AE799" i="7"/>
  <c r="AA799" i="7" s="1"/>
  <c r="AE798" i="7"/>
  <c r="AA798" i="7" s="1"/>
  <c r="AE797" i="7"/>
  <c r="AA797" i="7" s="1"/>
  <c r="AE796" i="7"/>
  <c r="AA796" i="7" s="1"/>
  <c r="AE795" i="7"/>
  <c r="AA795" i="7" s="1"/>
  <c r="AE794" i="7"/>
  <c r="AA794" i="7" s="1"/>
  <c r="AE793" i="7"/>
  <c r="AA793" i="7" s="1"/>
  <c r="AE792" i="7"/>
  <c r="AA792" i="7" s="1"/>
  <c r="AE791" i="7"/>
  <c r="AA791" i="7" s="1"/>
  <c r="AE790" i="7"/>
  <c r="AA790" i="7" s="1"/>
  <c r="AE789" i="7"/>
  <c r="AA789" i="7" s="1"/>
  <c r="AE788" i="7"/>
  <c r="AA788" i="7" s="1"/>
  <c r="AE787" i="7"/>
  <c r="AA787" i="7" s="1"/>
  <c r="AE786" i="7"/>
  <c r="AA786" i="7" s="1"/>
  <c r="AE785" i="7"/>
  <c r="AA785" i="7" s="1"/>
  <c r="AE784" i="7"/>
  <c r="AA784" i="7" s="1"/>
  <c r="AE783" i="7"/>
  <c r="AA783" i="7" s="1"/>
  <c r="AE782" i="7"/>
  <c r="AA782" i="7" s="1"/>
  <c r="AE781" i="7"/>
  <c r="AA781" i="7" s="1"/>
  <c r="AE780" i="7"/>
  <c r="AA780" i="7" s="1"/>
  <c r="AE779" i="7"/>
  <c r="AA779" i="7" s="1"/>
  <c r="AE778" i="7"/>
  <c r="AA778" i="7" s="1"/>
  <c r="AE777" i="7"/>
  <c r="AA777" i="7" s="1"/>
  <c r="AE776" i="7"/>
  <c r="AA776" i="7" s="1"/>
  <c r="AE775" i="7"/>
  <c r="AA775" i="7" s="1"/>
  <c r="AE774" i="7"/>
  <c r="AA774" i="7" s="1"/>
  <c r="AE773" i="7"/>
  <c r="AA773" i="7" s="1"/>
  <c r="AE772" i="7"/>
  <c r="AA772" i="7" s="1"/>
  <c r="AE771" i="7"/>
  <c r="AA771" i="7" s="1"/>
  <c r="AE770" i="7"/>
  <c r="AA770" i="7" s="1"/>
  <c r="AE769" i="7"/>
  <c r="AA769" i="7" s="1"/>
  <c r="AE768" i="7"/>
  <c r="AA768" i="7" s="1"/>
  <c r="AE767" i="7"/>
  <c r="AA767" i="7" s="1"/>
  <c r="AE766" i="7"/>
  <c r="AA766" i="7" s="1"/>
  <c r="AE765" i="7"/>
  <c r="AA765" i="7" s="1"/>
  <c r="AE764" i="7"/>
  <c r="AA764" i="7" s="1"/>
  <c r="AE763" i="7"/>
  <c r="AA763" i="7" s="1"/>
  <c r="AE762" i="7"/>
  <c r="AA762" i="7" s="1"/>
  <c r="AE761" i="7"/>
  <c r="AA761" i="7" s="1"/>
  <c r="AE760" i="7"/>
  <c r="AA760" i="7" s="1"/>
  <c r="AE759" i="7"/>
  <c r="AA759" i="7" s="1"/>
  <c r="AE758" i="7"/>
  <c r="AA758" i="7" s="1"/>
  <c r="AE757" i="7"/>
  <c r="AA757" i="7" s="1"/>
  <c r="AE756" i="7"/>
  <c r="AA756" i="7" s="1"/>
  <c r="AE755" i="7"/>
  <c r="AA755" i="7" s="1"/>
  <c r="AE754" i="7"/>
  <c r="AA754" i="7" s="1"/>
  <c r="AE753" i="7"/>
  <c r="AA753" i="7" s="1"/>
  <c r="AE752" i="7"/>
  <c r="AA752" i="7" s="1"/>
  <c r="AE751" i="7"/>
  <c r="AA751" i="7" s="1"/>
  <c r="AE750" i="7"/>
  <c r="AA750" i="7" s="1"/>
  <c r="AE749" i="7"/>
  <c r="AA749" i="7" s="1"/>
  <c r="AE748" i="7"/>
  <c r="AA748" i="7" s="1"/>
  <c r="AE747" i="7"/>
  <c r="AA747" i="7" s="1"/>
  <c r="AE746" i="7"/>
  <c r="AA746" i="7" s="1"/>
  <c r="AE745" i="7"/>
  <c r="AA745" i="7" s="1"/>
  <c r="AE744" i="7"/>
  <c r="AA744" i="7" s="1"/>
  <c r="AE743" i="7"/>
  <c r="AA743" i="7" s="1"/>
  <c r="AE742" i="7"/>
  <c r="AA742" i="7" s="1"/>
  <c r="AE741" i="7"/>
  <c r="AA741" i="7" s="1"/>
  <c r="AE740" i="7"/>
  <c r="AA740" i="7" s="1"/>
  <c r="AE739" i="7"/>
  <c r="AA739" i="7" s="1"/>
  <c r="AE738" i="7"/>
  <c r="AA738" i="7" s="1"/>
  <c r="AE737" i="7"/>
  <c r="AA737" i="7" s="1"/>
  <c r="AE736" i="7"/>
  <c r="AA736" i="7" s="1"/>
  <c r="AE735" i="7"/>
  <c r="AA735" i="7" s="1"/>
  <c r="AE734" i="7"/>
  <c r="AA734" i="7" s="1"/>
  <c r="AE733" i="7"/>
  <c r="AA733" i="7" s="1"/>
  <c r="AE732" i="7"/>
  <c r="AA732" i="7" s="1"/>
  <c r="AE731" i="7"/>
  <c r="AA731" i="7" s="1"/>
  <c r="AE730" i="7"/>
  <c r="AA730" i="7" s="1"/>
  <c r="AE729" i="7"/>
  <c r="AA729" i="7" s="1"/>
  <c r="AE728" i="7"/>
  <c r="AA728" i="7" s="1"/>
  <c r="AE727" i="7"/>
  <c r="AA727" i="7" s="1"/>
  <c r="AE726" i="7"/>
  <c r="AA726" i="7" s="1"/>
  <c r="AE725" i="7"/>
  <c r="AA725" i="7" s="1"/>
  <c r="AE724" i="7"/>
  <c r="AA724" i="7" s="1"/>
  <c r="AE723" i="7"/>
  <c r="AA723" i="7" s="1"/>
  <c r="AE722" i="7"/>
  <c r="AA722" i="7" s="1"/>
  <c r="AE721" i="7"/>
  <c r="AA721" i="7" s="1"/>
  <c r="AE720" i="7"/>
  <c r="AA720" i="7" s="1"/>
  <c r="AE719" i="7"/>
  <c r="AA719" i="7" s="1"/>
  <c r="AE718" i="7"/>
  <c r="AA718" i="7" s="1"/>
  <c r="AE717" i="7"/>
  <c r="AA717" i="7" s="1"/>
  <c r="AE716" i="7"/>
  <c r="AA716" i="7" s="1"/>
  <c r="AE715" i="7"/>
  <c r="AA715" i="7" s="1"/>
  <c r="AE714" i="7"/>
  <c r="AA714" i="7" s="1"/>
  <c r="AE713" i="7"/>
  <c r="AA713" i="7" s="1"/>
  <c r="AE712" i="7"/>
  <c r="AA712" i="7" s="1"/>
  <c r="AE711" i="7"/>
  <c r="AA711" i="7" s="1"/>
  <c r="AE710" i="7"/>
  <c r="AA710" i="7" s="1"/>
  <c r="AE709" i="7"/>
  <c r="AA709" i="7" s="1"/>
  <c r="AE708" i="7"/>
  <c r="AA708" i="7" s="1"/>
  <c r="AE707" i="7"/>
  <c r="AA707" i="7" s="1"/>
  <c r="AE706" i="7"/>
  <c r="AA706" i="7" s="1"/>
  <c r="AE705" i="7"/>
  <c r="AA705" i="7" s="1"/>
  <c r="AE704" i="7"/>
  <c r="AA704" i="7" s="1"/>
  <c r="AE703" i="7"/>
  <c r="AA703" i="7" s="1"/>
  <c r="AE702" i="7"/>
  <c r="AA702" i="7" s="1"/>
  <c r="AE701" i="7"/>
  <c r="AA701" i="7" s="1"/>
  <c r="AE700" i="7"/>
  <c r="AA700" i="7" s="1"/>
  <c r="AE699" i="7"/>
  <c r="AA699" i="7" s="1"/>
  <c r="AE698" i="7"/>
  <c r="AA698" i="7" s="1"/>
  <c r="AE697" i="7"/>
  <c r="AA697" i="7" s="1"/>
  <c r="AE696" i="7"/>
  <c r="AA696" i="7" s="1"/>
  <c r="AE695" i="7"/>
  <c r="AA695" i="7" s="1"/>
  <c r="AE694" i="7"/>
  <c r="AA694" i="7" s="1"/>
  <c r="AE693" i="7"/>
  <c r="AA693" i="7" s="1"/>
  <c r="AE692" i="7"/>
  <c r="AA692" i="7" s="1"/>
  <c r="AE691" i="7"/>
  <c r="AA691" i="7" s="1"/>
  <c r="AE690" i="7"/>
  <c r="AA690" i="7" s="1"/>
  <c r="AE689" i="7"/>
  <c r="AA689" i="7" s="1"/>
  <c r="AE688" i="7"/>
  <c r="AA688" i="7" s="1"/>
  <c r="AE687" i="7"/>
  <c r="AA687" i="7" s="1"/>
  <c r="AE686" i="7"/>
  <c r="AA686" i="7" s="1"/>
  <c r="AE685" i="7"/>
  <c r="AA685" i="7" s="1"/>
  <c r="AE684" i="7"/>
  <c r="AA684" i="7" s="1"/>
  <c r="AE683" i="7"/>
  <c r="AA683" i="7" s="1"/>
  <c r="AE682" i="7"/>
  <c r="AA682" i="7" s="1"/>
  <c r="AE681" i="7"/>
  <c r="AA681" i="7" s="1"/>
  <c r="AE680" i="7"/>
  <c r="AA680" i="7" s="1"/>
  <c r="AE679" i="7"/>
  <c r="AA679" i="7" s="1"/>
  <c r="AE678" i="7"/>
  <c r="AA678" i="7" s="1"/>
  <c r="AE677" i="7"/>
  <c r="AA677" i="7" s="1"/>
  <c r="AE676" i="7"/>
  <c r="AA676" i="7" s="1"/>
  <c r="AE675" i="7"/>
  <c r="AA675" i="7" s="1"/>
  <c r="AE674" i="7"/>
  <c r="AA674" i="7" s="1"/>
  <c r="AE673" i="7"/>
  <c r="AA673" i="7" s="1"/>
  <c r="AE672" i="7"/>
  <c r="AA672" i="7" s="1"/>
  <c r="AE671" i="7"/>
  <c r="AA671" i="7" s="1"/>
  <c r="AE670" i="7"/>
  <c r="AA670" i="7" s="1"/>
  <c r="AE669" i="7"/>
  <c r="AA669" i="7" s="1"/>
  <c r="AE668" i="7"/>
  <c r="AA668" i="7" s="1"/>
  <c r="AE667" i="7"/>
  <c r="AA667" i="7" s="1"/>
  <c r="AE666" i="7"/>
  <c r="AA666" i="7" s="1"/>
  <c r="AE665" i="7"/>
  <c r="AA665" i="7" s="1"/>
  <c r="AE664" i="7"/>
  <c r="AA664" i="7" s="1"/>
  <c r="AE663" i="7"/>
  <c r="AA663" i="7" s="1"/>
  <c r="AE662" i="7"/>
  <c r="AA662" i="7" s="1"/>
  <c r="AE661" i="7"/>
  <c r="AA661" i="7" s="1"/>
  <c r="AE660" i="7"/>
  <c r="AA660" i="7" s="1"/>
  <c r="AE659" i="7"/>
  <c r="AA659" i="7" s="1"/>
  <c r="AE658" i="7"/>
  <c r="AA658" i="7" s="1"/>
  <c r="AE657" i="7"/>
  <c r="AA657" i="7" s="1"/>
  <c r="AE656" i="7"/>
  <c r="AA656" i="7" s="1"/>
  <c r="AE655" i="7"/>
  <c r="AA655" i="7" s="1"/>
  <c r="AE654" i="7"/>
  <c r="AA654" i="7" s="1"/>
  <c r="AE653" i="7"/>
  <c r="AA653" i="7" s="1"/>
  <c r="AE652" i="7"/>
  <c r="AA652" i="7" s="1"/>
  <c r="AE651" i="7"/>
  <c r="AA651" i="7" s="1"/>
  <c r="AE650" i="7"/>
  <c r="AA650" i="7" s="1"/>
  <c r="AE649" i="7"/>
  <c r="AA649" i="7" s="1"/>
  <c r="AE648" i="7"/>
  <c r="AA648" i="7" s="1"/>
  <c r="AE647" i="7"/>
  <c r="AA647" i="7" s="1"/>
  <c r="AE646" i="7"/>
  <c r="AA646" i="7" s="1"/>
  <c r="AE645" i="7"/>
  <c r="AA645" i="7" s="1"/>
  <c r="AE644" i="7"/>
  <c r="AA644" i="7" s="1"/>
  <c r="AE643" i="7"/>
  <c r="AA643" i="7" s="1"/>
  <c r="AE642" i="7"/>
  <c r="AA642" i="7" s="1"/>
  <c r="AE641" i="7"/>
  <c r="AA641" i="7" s="1"/>
  <c r="AE640" i="7"/>
  <c r="AA640" i="7" s="1"/>
  <c r="AE639" i="7"/>
  <c r="AA639" i="7" s="1"/>
  <c r="AE638" i="7"/>
  <c r="AA638" i="7" s="1"/>
  <c r="AE637" i="7"/>
  <c r="AA637" i="7" s="1"/>
  <c r="AE636" i="7"/>
  <c r="AA636" i="7" s="1"/>
  <c r="AE635" i="7"/>
  <c r="AA635" i="7" s="1"/>
  <c r="AE634" i="7"/>
  <c r="AA634" i="7" s="1"/>
  <c r="AE633" i="7"/>
  <c r="AA633" i="7" s="1"/>
  <c r="AE632" i="7"/>
  <c r="AA632" i="7" s="1"/>
  <c r="AE631" i="7"/>
  <c r="AA631" i="7" s="1"/>
  <c r="AE630" i="7"/>
  <c r="AA630" i="7" s="1"/>
  <c r="AE629" i="7"/>
  <c r="AA629" i="7" s="1"/>
  <c r="AE628" i="7"/>
  <c r="AA628" i="7" s="1"/>
  <c r="AE627" i="7"/>
  <c r="AA627" i="7" s="1"/>
  <c r="AE626" i="7"/>
  <c r="AA626" i="7" s="1"/>
  <c r="AE625" i="7"/>
  <c r="AA625" i="7" s="1"/>
  <c r="AE624" i="7"/>
  <c r="AA624" i="7" s="1"/>
  <c r="AE623" i="7"/>
  <c r="AA623" i="7" s="1"/>
  <c r="AE622" i="7"/>
  <c r="AA622" i="7" s="1"/>
  <c r="AE621" i="7"/>
  <c r="AA621" i="7" s="1"/>
  <c r="AE620" i="7"/>
  <c r="AA620" i="7" s="1"/>
  <c r="AE619" i="7"/>
  <c r="AA619" i="7" s="1"/>
  <c r="AE618" i="7"/>
  <c r="AA618" i="7" s="1"/>
  <c r="AE617" i="7"/>
  <c r="AA617" i="7" s="1"/>
  <c r="AE616" i="7"/>
  <c r="AA616" i="7" s="1"/>
  <c r="AE615" i="7"/>
  <c r="AA615" i="7" s="1"/>
  <c r="AE614" i="7"/>
  <c r="AA614" i="7" s="1"/>
  <c r="AE613" i="7"/>
  <c r="AA613" i="7" s="1"/>
  <c r="AE612" i="7"/>
  <c r="AA612" i="7" s="1"/>
  <c r="AE611" i="7"/>
  <c r="AA611" i="7" s="1"/>
  <c r="AE610" i="7"/>
  <c r="AA610" i="7" s="1"/>
  <c r="AE609" i="7"/>
  <c r="AA609" i="7" s="1"/>
  <c r="AE608" i="7"/>
  <c r="AA608" i="7" s="1"/>
  <c r="AE607" i="7"/>
  <c r="AA607" i="7" s="1"/>
  <c r="AE606" i="7"/>
  <c r="AA606" i="7" s="1"/>
  <c r="AE605" i="7"/>
  <c r="AA605" i="7" s="1"/>
  <c r="AE604" i="7"/>
  <c r="AA604" i="7" s="1"/>
  <c r="AE603" i="7"/>
  <c r="AA603" i="7" s="1"/>
  <c r="AE602" i="7"/>
  <c r="AA602" i="7" s="1"/>
  <c r="AE601" i="7"/>
  <c r="AA601" i="7" s="1"/>
  <c r="AE600" i="7"/>
  <c r="AA600" i="7" s="1"/>
  <c r="AE599" i="7"/>
  <c r="AA599" i="7" s="1"/>
  <c r="AE598" i="7"/>
  <c r="AA598" i="7" s="1"/>
  <c r="AE597" i="7"/>
  <c r="AA597" i="7" s="1"/>
  <c r="AE596" i="7"/>
  <c r="AA596" i="7" s="1"/>
  <c r="AE595" i="7"/>
  <c r="AA595" i="7" s="1"/>
  <c r="AE594" i="7"/>
  <c r="AA594" i="7" s="1"/>
  <c r="AE593" i="7"/>
  <c r="AA593" i="7" s="1"/>
  <c r="AE592" i="7"/>
  <c r="AA592" i="7" s="1"/>
  <c r="AE591" i="7"/>
  <c r="AA591" i="7" s="1"/>
  <c r="AE590" i="7"/>
  <c r="AA590" i="7" s="1"/>
  <c r="AE589" i="7"/>
  <c r="AA589" i="7" s="1"/>
  <c r="AE588" i="7"/>
  <c r="AA588" i="7" s="1"/>
  <c r="AE587" i="7"/>
  <c r="AA587" i="7" s="1"/>
  <c r="AE586" i="7"/>
  <c r="AA586" i="7" s="1"/>
  <c r="AE585" i="7"/>
  <c r="AA585" i="7" s="1"/>
  <c r="AE584" i="7"/>
  <c r="AA584" i="7" s="1"/>
  <c r="AE583" i="7"/>
  <c r="AA583" i="7" s="1"/>
  <c r="AE582" i="7"/>
  <c r="AA582" i="7" s="1"/>
  <c r="AE581" i="7"/>
  <c r="AA581" i="7" s="1"/>
  <c r="AE580" i="7"/>
  <c r="AA580" i="7" s="1"/>
  <c r="AE579" i="7"/>
  <c r="AA579" i="7" s="1"/>
  <c r="AE578" i="7"/>
  <c r="AA578" i="7" s="1"/>
  <c r="AE577" i="7"/>
  <c r="AA577" i="7" s="1"/>
  <c r="AE576" i="7"/>
  <c r="AA576" i="7" s="1"/>
  <c r="AE575" i="7"/>
  <c r="AA575" i="7" s="1"/>
  <c r="AE574" i="7"/>
  <c r="AA574" i="7" s="1"/>
  <c r="AE573" i="7"/>
  <c r="AA573" i="7" s="1"/>
  <c r="AE572" i="7"/>
  <c r="AA572" i="7" s="1"/>
  <c r="AE571" i="7"/>
  <c r="AA571" i="7" s="1"/>
  <c r="AE570" i="7"/>
  <c r="AA570" i="7" s="1"/>
  <c r="AE569" i="7"/>
  <c r="AA569" i="7" s="1"/>
  <c r="AE568" i="7"/>
  <c r="AA568" i="7" s="1"/>
  <c r="AE567" i="7"/>
  <c r="AA567" i="7" s="1"/>
  <c r="AE566" i="7"/>
  <c r="AA566" i="7" s="1"/>
  <c r="AE565" i="7"/>
  <c r="AA565" i="7" s="1"/>
  <c r="AE564" i="7"/>
  <c r="AA564" i="7" s="1"/>
  <c r="AE563" i="7"/>
  <c r="AA563" i="7" s="1"/>
  <c r="AE562" i="7"/>
  <c r="AA562" i="7" s="1"/>
  <c r="AE561" i="7"/>
  <c r="AA561" i="7" s="1"/>
  <c r="AE560" i="7"/>
  <c r="AA560" i="7" s="1"/>
  <c r="AE559" i="7"/>
  <c r="AA559" i="7" s="1"/>
  <c r="AE558" i="7"/>
  <c r="AA558" i="7" s="1"/>
  <c r="AE557" i="7"/>
  <c r="AA557" i="7" s="1"/>
  <c r="AE556" i="7"/>
  <c r="AA556" i="7" s="1"/>
  <c r="AE555" i="7"/>
  <c r="AA555" i="7" s="1"/>
  <c r="AE554" i="7"/>
  <c r="AA554" i="7" s="1"/>
  <c r="AE553" i="7"/>
  <c r="AA553" i="7" s="1"/>
  <c r="AE552" i="7"/>
  <c r="AA552" i="7" s="1"/>
  <c r="AE551" i="7"/>
  <c r="AA551" i="7" s="1"/>
  <c r="AE550" i="7"/>
  <c r="AA550" i="7" s="1"/>
  <c r="AE549" i="7"/>
  <c r="AA549" i="7" s="1"/>
  <c r="AE548" i="7"/>
  <c r="AA548" i="7" s="1"/>
  <c r="AE547" i="7"/>
  <c r="AA547" i="7" s="1"/>
  <c r="AE546" i="7"/>
  <c r="AA546" i="7" s="1"/>
  <c r="AE545" i="7"/>
  <c r="AA545" i="7" s="1"/>
  <c r="AE544" i="7"/>
  <c r="AA544" i="7" s="1"/>
  <c r="AE543" i="7"/>
  <c r="AA543" i="7" s="1"/>
  <c r="AE542" i="7"/>
  <c r="AA542" i="7" s="1"/>
  <c r="AE541" i="7"/>
  <c r="AA541" i="7" s="1"/>
  <c r="AE540" i="7"/>
  <c r="AA540" i="7" s="1"/>
  <c r="AE539" i="7"/>
  <c r="AA539" i="7" s="1"/>
  <c r="AE538" i="7"/>
  <c r="AA538" i="7" s="1"/>
  <c r="AE537" i="7"/>
  <c r="AA537" i="7" s="1"/>
  <c r="AE536" i="7"/>
  <c r="AA536" i="7" s="1"/>
  <c r="AE535" i="7"/>
  <c r="AA535" i="7" s="1"/>
  <c r="AE534" i="7"/>
  <c r="AA534" i="7" s="1"/>
  <c r="AE533" i="7"/>
  <c r="AA533" i="7" s="1"/>
  <c r="AE532" i="7"/>
  <c r="AA532" i="7" s="1"/>
  <c r="AE531" i="7"/>
  <c r="AA531" i="7" s="1"/>
  <c r="AE530" i="7"/>
  <c r="AA530" i="7" s="1"/>
  <c r="AE529" i="7"/>
  <c r="AA529" i="7" s="1"/>
  <c r="AE528" i="7"/>
  <c r="AA528" i="7" s="1"/>
  <c r="AE527" i="7"/>
  <c r="AA527" i="7" s="1"/>
  <c r="AE526" i="7"/>
  <c r="AA526" i="7" s="1"/>
  <c r="AE525" i="7"/>
  <c r="AA525" i="7" s="1"/>
  <c r="AE524" i="7"/>
  <c r="AA524" i="7" s="1"/>
  <c r="AE523" i="7"/>
  <c r="AA523" i="7" s="1"/>
  <c r="AE522" i="7"/>
  <c r="AA522" i="7" s="1"/>
  <c r="AE521" i="7"/>
  <c r="AA521" i="7" s="1"/>
  <c r="AE520" i="7"/>
  <c r="AA520" i="7" s="1"/>
  <c r="AE519" i="7"/>
  <c r="AA519" i="7" s="1"/>
  <c r="AE518" i="7"/>
  <c r="AA518" i="7" s="1"/>
  <c r="AE517" i="7"/>
  <c r="AA517" i="7" s="1"/>
  <c r="AE516" i="7"/>
  <c r="AA516" i="7" s="1"/>
  <c r="AE515" i="7"/>
  <c r="AA515" i="7" s="1"/>
  <c r="AE514" i="7"/>
  <c r="AA514" i="7" s="1"/>
  <c r="AE513" i="7"/>
  <c r="AA513" i="7" s="1"/>
  <c r="AE512" i="7"/>
  <c r="AA512" i="7" s="1"/>
  <c r="AE511" i="7"/>
  <c r="AA511" i="7" s="1"/>
  <c r="AE510" i="7"/>
  <c r="AA510" i="7" s="1"/>
  <c r="AE509" i="7"/>
  <c r="AA509" i="7" s="1"/>
  <c r="AE508" i="7"/>
  <c r="AA508" i="7" s="1"/>
  <c r="AE507" i="7"/>
  <c r="AA507" i="7" s="1"/>
  <c r="AE506" i="7"/>
  <c r="AA506" i="7" s="1"/>
  <c r="AE505" i="7"/>
  <c r="AA505" i="7" s="1"/>
  <c r="AE504" i="7"/>
  <c r="AA504" i="7" s="1"/>
  <c r="AE503" i="7"/>
  <c r="AA503" i="7" s="1"/>
  <c r="AE502" i="7"/>
  <c r="AA502" i="7" s="1"/>
  <c r="AE501" i="7"/>
  <c r="AA501" i="7" s="1"/>
  <c r="AE500" i="7"/>
  <c r="AA500" i="7" s="1"/>
  <c r="AE499" i="7"/>
  <c r="AA499" i="7" s="1"/>
  <c r="AE498" i="7"/>
  <c r="AA498" i="7" s="1"/>
  <c r="AE497" i="7"/>
  <c r="AA497" i="7" s="1"/>
  <c r="AE496" i="7"/>
  <c r="AA496" i="7" s="1"/>
  <c r="AE495" i="7"/>
  <c r="AA495" i="7" s="1"/>
  <c r="AE494" i="7"/>
  <c r="AA494" i="7" s="1"/>
  <c r="AE493" i="7"/>
  <c r="AA493" i="7" s="1"/>
  <c r="AE492" i="7"/>
  <c r="AA492" i="7" s="1"/>
  <c r="AE491" i="7"/>
  <c r="AA491" i="7" s="1"/>
  <c r="AE490" i="7"/>
  <c r="AA490" i="7" s="1"/>
  <c r="AE489" i="7"/>
  <c r="AA489" i="7" s="1"/>
  <c r="AE488" i="7"/>
  <c r="AA488" i="7" s="1"/>
  <c r="AE487" i="7"/>
  <c r="AA487" i="7" s="1"/>
  <c r="AE486" i="7"/>
  <c r="AA486" i="7" s="1"/>
  <c r="AE485" i="7"/>
  <c r="AA485" i="7" s="1"/>
  <c r="AE484" i="7"/>
  <c r="AA484" i="7" s="1"/>
  <c r="AE483" i="7"/>
  <c r="AA483" i="7" s="1"/>
  <c r="AE482" i="7"/>
  <c r="AA482" i="7" s="1"/>
  <c r="AE481" i="7"/>
  <c r="AA481" i="7" s="1"/>
  <c r="AE480" i="7"/>
  <c r="AA480" i="7" s="1"/>
  <c r="AE479" i="7"/>
  <c r="AA479" i="7" s="1"/>
  <c r="AE478" i="7"/>
  <c r="AA478" i="7" s="1"/>
  <c r="AE477" i="7"/>
  <c r="AA477" i="7" s="1"/>
  <c r="AE476" i="7"/>
  <c r="AA476" i="7" s="1"/>
  <c r="AE475" i="7"/>
  <c r="AA475" i="7" s="1"/>
  <c r="AE474" i="7"/>
  <c r="AA474" i="7" s="1"/>
  <c r="AE473" i="7"/>
  <c r="AA473" i="7" s="1"/>
  <c r="AE472" i="7"/>
  <c r="AA472" i="7" s="1"/>
  <c r="AE471" i="7"/>
  <c r="AA471" i="7" s="1"/>
  <c r="AE470" i="7"/>
  <c r="AA470" i="7" s="1"/>
  <c r="AE469" i="7"/>
  <c r="AA469" i="7" s="1"/>
  <c r="AE468" i="7"/>
  <c r="AA468" i="7" s="1"/>
  <c r="AE467" i="7"/>
  <c r="AA467" i="7" s="1"/>
  <c r="AE466" i="7"/>
  <c r="AA466" i="7" s="1"/>
  <c r="AE465" i="7"/>
  <c r="AA465" i="7" s="1"/>
  <c r="AE464" i="7"/>
  <c r="AA464" i="7" s="1"/>
  <c r="AE463" i="7"/>
  <c r="AA463" i="7" s="1"/>
  <c r="AE462" i="7"/>
  <c r="AA462" i="7" s="1"/>
  <c r="AE461" i="7"/>
  <c r="AA461" i="7" s="1"/>
  <c r="AE460" i="7"/>
  <c r="AA460" i="7" s="1"/>
  <c r="AE459" i="7"/>
  <c r="AA459" i="7" s="1"/>
  <c r="AE458" i="7"/>
  <c r="AA458" i="7" s="1"/>
  <c r="AE457" i="7"/>
  <c r="AA457" i="7" s="1"/>
  <c r="AE456" i="7"/>
  <c r="AA456" i="7" s="1"/>
  <c r="AE455" i="7"/>
  <c r="AA455" i="7" s="1"/>
  <c r="AE454" i="7"/>
  <c r="AA454" i="7" s="1"/>
  <c r="AE453" i="7"/>
  <c r="AA453" i="7" s="1"/>
  <c r="AE452" i="7"/>
  <c r="AA452" i="7" s="1"/>
  <c r="AE451" i="7"/>
  <c r="AA451" i="7" s="1"/>
  <c r="AE450" i="7"/>
  <c r="AA450" i="7" s="1"/>
  <c r="AE449" i="7"/>
  <c r="AA449" i="7" s="1"/>
  <c r="AE448" i="7"/>
  <c r="AA448" i="7" s="1"/>
  <c r="AE447" i="7"/>
  <c r="AA447" i="7" s="1"/>
  <c r="AE446" i="7"/>
  <c r="AA446" i="7" s="1"/>
  <c r="AE445" i="7"/>
  <c r="AA445" i="7" s="1"/>
  <c r="AE444" i="7"/>
  <c r="AA444" i="7" s="1"/>
  <c r="AE443" i="7"/>
  <c r="AA443" i="7" s="1"/>
  <c r="AE442" i="7"/>
  <c r="AA442" i="7" s="1"/>
  <c r="AE441" i="7"/>
  <c r="AA441" i="7" s="1"/>
  <c r="AE440" i="7"/>
  <c r="AA440" i="7" s="1"/>
  <c r="AE439" i="7"/>
  <c r="AA439" i="7" s="1"/>
  <c r="AE438" i="7"/>
  <c r="AA438" i="7" s="1"/>
  <c r="AE437" i="7"/>
  <c r="AA437" i="7" s="1"/>
  <c r="AE436" i="7"/>
  <c r="AA436" i="7" s="1"/>
  <c r="AE435" i="7"/>
  <c r="AA435" i="7" s="1"/>
  <c r="AE434" i="7"/>
  <c r="AA434" i="7" s="1"/>
  <c r="AE433" i="7"/>
  <c r="AA433" i="7" s="1"/>
  <c r="AE432" i="7"/>
  <c r="AA432" i="7" s="1"/>
  <c r="AE431" i="7"/>
  <c r="AA431" i="7" s="1"/>
  <c r="AE430" i="7"/>
  <c r="AA430" i="7" s="1"/>
  <c r="AE429" i="7"/>
  <c r="AA429" i="7" s="1"/>
  <c r="AE428" i="7"/>
  <c r="AA428" i="7" s="1"/>
  <c r="AE427" i="7"/>
  <c r="AA427" i="7" s="1"/>
  <c r="AE426" i="7"/>
  <c r="AA426" i="7" s="1"/>
  <c r="AE425" i="7"/>
  <c r="AA425" i="7" s="1"/>
  <c r="AE424" i="7"/>
  <c r="AA424" i="7" s="1"/>
  <c r="AE423" i="7"/>
  <c r="AA423" i="7" s="1"/>
  <c r="AE422" i="7"/>
  <c r="AA422" i="7" s="1"/>
  <c r="AE421" i="7"/>
  <c r="AA421" i="7" s="1"/>
  <c r="AE420" i="7"/>
  <c r="AA420" i="7" s="1"/>
  <c r="AE419" i="7"/>
  <c r="AA419" i="7" s="1"/>
  <c r="AE418" i="7"/>
  <c r="AA418" i="7" s="1"/>
  <c r="AE417" i="7"/>
  <c r="AA417" i="7" s="1"/>
  <c r="AE416" i="7"/>
  <c r="AA416" i="7" s="1"/>
  <c r="AE415" i="7"/>
  <c r="AA415" i="7" s="1"/>
  <c r="AE414" i="7"/>
  <c r="AA414" i="7" s="1"/>
  <c r="AE413" i="7"/>
  <c r="AA413" i="7" s="1"/>
  <c r="AE412" i="7"/>
  <c r="AA412" i="7" s="1"/>
  <c r="AE411" i="7"/>
  <c r="AA411" i="7" s="1"/>
  <c r="AE410" i="7"/>
  <c r="AA410" i="7" s="1"/>
  <c r="AE409" i="7"/>
  <c r="AA409" i="7" s="1"/>
  <c r="AE408" i="7"/>
  <c r="AA408" i="7" s="1"/>
  <c r="AE407" i="7"/>
  <c r="AA407" i="7" s="1"/>
  <c r="AE406" i="7"/>
  <c r="AA406" i="7" s="1"/>
  <c r="AE405" i="7"/>
  <c r="AA405" i="7" s="1"/>
  <c r="AE404" i="7"/>
  <c r="AA404" i="7" s="1"/>
  <c r="AE403" i="7"/>
  <c r="AA403" i="7" s="1"/>
  <c r="AE402" i="7"/>
  <c r="AA402" i="7" s="1"/>
  <c r="AE401" i="7"/>
  <c r="AA401" i="7" s="1"/>
  <c r="AE400" i="7"/>
  <c r="AA400" i="7" s="1"/>
  <c r="AE399" i="7"/>
  <c r="AA399" i="7" s="1"/>
  <c r="AE398" i="7"/>
  <c r="AA398" i="7" s="1"/>
  <c r="AE397" i="7"/>
  <c r="AA397" i="7" s="1"/>
  <c r="AE396" i="7"/>
  <c r="AA396" i="7" s="1"/>
  <c r="AE395" i="7"/>
  <c r="AA395" i="7" s="1"/>
  <c r="AE394" i="7"/>
  <c r="AA394" i="7" s="1"/>
  <c r="AE393" i="7"/>
  <c r="AA393" i="7" s="1"/>
  <c r="AE392" i="7"/>
  <c r="AA392" i="7" s="1"/>
  <c r="AE391" i="7"/>
  <c r="AA391" i="7" s="1"/>
  <c r="AE390" i="7"/>
  <c r="AA390" i="7" s="1"/>
  <c r="AE389" i="7"/>
  <c r="AA389" i="7" s="1"/>
  <c r="AE388" i="7"/>
  <c r="AA388" i="7" s="1"/>
  <c r="AE387" i="7"/>
  <c r="AA387" i="7" s="1"/>
  <c r="AE386" i="7"/>
  <c r="AA386" i="7" s="1"/>
  <c r="AE385" i="7"/>
  <c r="AA385" i="7" s="1"/>
  <c r="AE384" i="7"/>
  <c r="AA384" i="7" s="1"/>
  <c r="AE383" i="7"/>
  <c r="AA383" i="7" s="1"/>
  <c r="AE382" i="7"/>
  <c r="AA382" i="7" s="1"/>
  <c r="AE381" i="7"/>
  <c r="AA381" i="7" s="1"/>
  <c r="AE380" i="7"/>
  <c r="AA380" i="7" s="1"/>
  <c r="AE379" i="7"/>
  <c r="AA379" i="7" s="1"/>
  <c r="AE378" i="7"/>
  <c r="AA378" i="7" s="1"/>
  <c r="AE377" i="7"/>
  <c r="AA377" i="7" s="1"/>
  <c r="AE376" i="7"/>
  <c r="AA376" i="7" s="1"/>
  <c r="AE375" i="7"/>
  <c r="AA375" i="7" s="1"/>
  <c r="AE374" i="7"/>
  <c r="AA374" i="7" s="1"/>
  <c r="AE373" i="7"/>
  <c r="AA373" i="7" s="1"/>
  <c r="AE372" i="7"/>
  <c r="AA372" i="7" s="1"/>
  <c r="AE371" i="7"/>
  <c r="AA371" i="7" s="1"/>
  <c r="AE370" i="7"/>
  <c r="AA370" i="7" s="1"/>
  <c r="AE369" i="7"/>
  <c r="AA369" i="7" s="1"/>
  <c r="AE368" i="7"/>
  <c r="AA368" i="7" s="1"/>
  <c r="AE367" i="7"/>
  <c r="AA367" i="7" s="1"/>
  <c r="AE366" i="7"/>
  <c r="AA366" i="7" s="1"/>
  <c r="AE365" i="7"/>
  <c r="AA365" i="7" s="1"/>
  <c r="AE364" i="7"/>
  <c r="AA364" i="7" s="1"/>
  <c r="AE363" i="7"/>
  <c r="AA363" i="7" s="1"/>
  <c r="AE362" i="7"/>
  <c r="AA362" i="7" s="1"/>
  <c r="AE361" i="7"/>
  <c r="AA361" i="7" s="1"/>
  <c r="AE360" i="7"/>
  <c r="AA360" i="7" s="1"/>
  <c r="AE359" i="7"/>
  <c r="AA359" i="7" s="1"/>
  <c r="AE358" i="7"/>
  <c r="AA358" i="7" s="1"/>
  <c r="AE357" i="7"/>
  <c r="AA357" i="7" s="1"/>
  <c r="AE356" i="7"/>
  <c r="AA356" i="7" s="1"/>
  <c r="AE355" i="7"/>
  <c r="AA355" i="7" s="1"/>
  <c r="AE354" i="7"/>
  <c r="AA354" i="7" s="1"/>
  <c r="AE353" i="7"/>
  <c r="AA353" i="7" s="1"/>
  <c r="AE352" i="7"/>
  <c r="AA352" i="7" s="1"/>
  <c r="AE351" i="7"/>
  <c r="AA351" i="7" s="1"/>
  <c r="AE350" i="7"/>
  <c r="AA350" i="7" s="1"/>
  <c r="AE349" i="7"/>
  <c r="AA349" i="7" s="1"/>
  <c r="AE348" i="7"/>
  <c r="AA348" i="7" s="1"/>
  <c r="AE347" i="7"/>
  <c r="AA347" i="7" s="1"/>
  <c r="AE346" i="7"/>
  <c r="AA346" i="7" s="1"/>
  <c r="AE345" i="7"/>
  <c r="AA345" i="7" s="1"/>
  <c r="AE344" i="7"/>
  <c r="AA344" i="7" s="1"/>
  <c r="AE343" i="7"/>
  <c r="AA343" i="7" s="1"/>
  <c r="AE342" i="7"/>
  <c r="AA342" i="7" s="1"/>
  <c r="AE341" i="7"/>
  <c r="AA341" i="7" s="1"/>
  <c r="AE340" i="7"/>
  <c r="AA340" i="7" s="1"/>
  <c r="AE339" i="7"/>
  <c r="AA339" i="7" s="1"/>
  <c r="AE338" i="7"/>
  <c r="AA338" i="7" s="1"/>
  <c r="AE337" i="7"/>
  <c r="AA337" i="7" s="1"/>
  <c r="AE336" i="7"/>
  <c r="AA336" i="7" s="1"/>
  <c r="AE335" i="7"/>
  <c r="AA335" i="7" s="1"/>
  <c r="AE334" i="7"/>
  <c r="AA334" i="7" s="1"/>
  <c r="AE333" i="7"/>
  <c r="AA333" i="7" s="1"/>
  <c r="AE332" i="7"/>
  <c r="AA332" i="7" s="1"/>
  <c r="AE331" i="7"/>
  <c r="AA331" i="7" s="1"/>
  <c r="AE330" i="7"/>
  <c r="AA330" i="7" s="1"/>
  <c r="AE329" i="7"/>
  <c r="AA329" i="7" s="1"/>
  <c r="AE328" i="7"/>
  <c r="AA328" i="7" s="1"/>
  <c r="AE327" i="7"/>
  <c r="AA327" i="7" s="1"/>
  <c r="AE326" i="7"/>
  <c r="AA326" i="7" s="1"/>
  <c r="AE325" i="7"/>
  <c r="AA325" i="7" s="1"/>
  <c r="AE324" i="7"/>
  <c r="AA324" i="7" s="1"/>
  <c r="AE323" i="7"/>
  <c r="AA323" i="7" s="1"/>
  <c r="AE322" i="7"/>
  <c r="AA322" i="7" s="1"/>
  <c r="AE321" i="7"/>
  <c r="AA321" i="7" s="1"/>
  <c r="AE320" i="7"/>
  <c r="AA320" i="7" s="1"/>
  <c r="AE319" i="7"/>
  <c r="AA319" i="7" s="1"/>
  <c r="AE318" i="7"/>
  <c r="AA318" i="7" s="1"/>
  <c r="AE317" i="7"/>
  <c r="AA317" i="7" s="1"/>
  <c r="AE316" i="7"/>
  <c r="AA316" i="7" s="1"/>
  <c r="AE315" i="7"/>
  <c r="AA315" i="7" s="1"/>
  <c r="AE314" i="7"/>
  <c r="AA314" i="7" s="1"/>
  <c r="AE313" i="7"/>
  <c r="AA313" i="7" s="1"/>
  <c r="AE312" i="7"/>
  <c r="AA312" i="7" s="1"/>
  <c r="AE311" i="7"/>
  <c r="AA311" i="7" s="1"/>
  <c r="AE310" i="7"/>
  <c r="AA310" i="7" s="1"/>
  <c r="AE309" i="7"/>
  <c r="AA309" i="7" s="1"/>
  <c r="AE308" i="7"/>
  <c r="AA308" i="7" s="1"/>
  <c r="AE307" i="7"/>
  <c r="AA307" i="7" s="1"/>
  <c r="AE306" i="7"/>
  <c r="AA306" i="7" s="1"/>
  <c r="AE305" i="7"/>
  <c r="AA305" i="7" s="1"/>
  <c r="AE304" i="7"/>
  <c r="AA304" i="7" s="1"/>
  <c r="AE303" i="7"/>
  <c r="AA303" i="7" s="1"/>
  <c r="AE302" i="7"/>
  <c r="AA302" i="7" s="1"/>
  <c r="AE301" i="7"/>
  <c r="AA301" i="7" s="1"/>
  <c r="AE300" i="7"/>
  <c r="AA300" i="7" s="1"/>
  <c r="AE299" i="7"/>
  <c r="AA299" i="7" s="1"/>
  <c r="AE298" i="7"/>
  <c r="AA298" i="7" s="1"/>
  <c r="AE297" i="7"/>
  <c r="AA297" i="7" s="1"/>
  <c r="AE296" i="7"/>
  <c r="AA296" i="7" s="1"/>
  <c r="AE295" i="7"/>
  <c r="AA295" i="7" s="1"/>
  <c r="AE294" i="7"/>
  <c r="AA294" i="7" s="1"/>
  <c r="AE293" i="7"/>
  <c r="AA293" i="7" s="1"/>
  <c r="AE292" i="7"/>
  <c r="AA292" i="7" s="1"/>
  <c r="AE291" i="7"/>
  <c r="AA291" i="7" s="1"/>
  <c r="AE290" i="7"/>
  <c r="AA290" i="7" s="1"/>
  <c r="AE289" i="7"/>
  <c r="AA289" i="7" s="1"/>
  <c r="AE288" i="7"/>
  <c r="AA288" i="7" s="1"/>
  <c r="AE287" i="7"/>
  <c r="AA287" i="7" s="1"/>
  <c r="AE286" i="7"/>
  <c r="AA286" i="7" s="1"/>
  <c r="AE285" i="7"/>
  <c r="AA285" i="7" s="1"/>
  <c r="AE284" i="7"/>
  <c r="AA284" i="7" s="1"/>
  <c r="AE283" i="7"/>
  <c r="AA283" i="7" s="1"/>
  <c r="AE282" i="7"/>
  <c r="AA282" i="7" s="1"/>
  <c r="AE281" i="7"/>
  <c r="AA281" i="7" s="1"/>
  <c r="AE280" i="7"/>
  <c r="AA280" i="7" s="1"/>
  <c r="AE279" i="7"/>
  <c r="AA279" i="7" s="1"/>
  <c r="AE278" i="7"/>
  <c r="AA278" i="7" s="1"/>
  <c r="AE277" i="7"/>
  <c r="AA277" i="7" s="1"/>
  <c r="AE276" i="7"/>
  <c r="AA276" i="7" s="1"/>
  <c r="AE275" i="7"/>
  <c r="AA275" i="7" s="1"/>
  <c r="AE274" i="7"/>
  <c r="AA274" i="7" s="1"/>
  <c r="AE273" i="7"/>
  <c r="AA273" i="7" s="1"/>
  <c r="AE272" i="7"/>
  <c r="AA272" i="7" s="1"/>
  <c r="AE271" i="7"/>
  <c r="AA271" i="7" s="1"/>
  <c r="AE270" i="7"/>
  <c r="AA270" i="7" s="1"/>
  <c r="AE269" i="7"/>
  <c r="AA269" i="7" s="1"/>
  <c r="AE268" i="7"/>
  <c r="AA268" i="7" s="1"/>
  <c r="AE267" i="7"/>
  <c r="AA267" i="7" s="1"/>
  <c r="AE266" i="7"/>
  <c r="AA266" i="7" s="1"/>
  <c r="AE265" i="7"/>
  <c r="AA265" i="7" s="1"/>
  <c r="AE264" i="7"/>
  <c r="AA264" i="7" s="1"/>
  <c r="AE263" i="7"/>
  <c r="AA263" i="7" s="1"/>
  <c r="AE262" i="7"/>
  <c r="AA262" i="7" s="1"/>
  <c r="AE261" i="7"/>
  <c r="AA261" i="7" s="1"/>
  <c r="AE260" i="7"/>
  <c r="AA260" i="7" s="1"/>
  <c r="AE259" i="7"/>
  <c r="AA259" i="7" s="1"/>
  <c r="AE258" i="7"/>
  <c r="AA258" i="7" s="1"/>
  <c r="AE257" i="7"/>
  <c r="AA257" i="7" s="1"/>
  <c r="AE256" i="7"/>
  <c r="AA256" i="7" s="1"/>
  <c r="AE255" i="7"/>
  <c r="AA255" i="7" s="1"/>
  <c r="AE254" i="7"/>
  <c r="AA254" i="7" s="1"/>
  <c r="AE253" i="7"/>
  <c r="AA253" i="7" s="1"/>
  <c r="AE252" i="7"/>
  <c r="AA252" i="7" s="1"/>
  <c r="AE251" i="7"/>
  <c r="AA251" i="7" s="1"/>
  <c r="AE250" i="7"/>
  <c r="AA250" i="7" s="1"/>
  <c r="AE249" i="7"/>
  <c r="AA249" i="7" s="1"/>
  <c r="AE248" i="7"/>
  <c r="AA248" i="7" s="1"/>
  <c r="AE247" i="7"/>
  <c r="AA247" i="7" s="1"/>
  <c r="AE246" i="7"/>
  <c r="AA246" i="7" s="1"/>
  <c r="AE245" i="7"/>
  <c r="AA245" i="7" s="1"/>
  <c r="AE244" i="7"/>
  <c r="AA244" i="7" s="1"/>
  <c r="AE243" i="7"/>
  <c r="AA243" i="7" s="1"/>
  <c r="AE242" i="7"/>
  <c r="AA242" i="7" s="1"/>
  <c r="AE241" i="7"/>
  <c r="AA241" i="7" s="1"/>
  <c r="AE240" i="7"/>
  <c r="AA240" i="7" s="1"/>
  <c r="AE239" i="7"/>
  <c r="AA239" i="7" s="1"/>
  <c r="AE238" i="7"/>
  <c r="AA238" i="7" s="1"/>
  <c r="AE237" i="7"/>
  <c r="AA237" i="7" s="1"/>
  <c r="AE236" i="7"/>
  <c r="AA236" i="7" s="1"/>
  <c r="AE235" i="7"/>
  <c r="AA235" i="7" s="1"/>
  <c r="AE234" i="7"/>
  <c r="AA234" i="7" s="1"/>
  <c r="AE233" i="7"/>
  <c r="AA233" i="7" s="1"/>
  <c r="AE232" i="7"/>
  <c r="AA232" i="7" s="1"/>
  <c r="AE231" i="7"/>
  <c r="AA231" i="7" s="1"/>
  <c r="AE230" i="7"/>
  <c r="AA230" i="7" s="1"/>
  <c r="AE229" i="7"/>
  <c r="AA229" i="7" s="1"/>
  <c r="AE228" i="7"/>
  <c r="AA228" i="7" s="1"/>
  <c r="AE227" i="7"/>
  <c r="AA227" i="7" s="1"/>
  <c r="AE226" i="7"/>
  <c r="AA226" i="7" s="1"/>
  <c r="AE225" i="7"/>
  <c r="AA225" i="7" s="1"/>
  <c r="AE224" i="7"/>
  <c r="AA224" i="7" s="1"/>
  <c r="AE223" i="7"/>
  <c r="AA223" i="7" s="1"/>
  <c r="AE222" i="7"/>
  <c r="AA222" i="7" s="1"/>
  <c r="AE221" i="7"/>
  <c r="AA221" i="7" s="1"/>
  <c r="AE220" i="7"/>
  <c r="AA220" i="7" s="1"/>
  <c r="AE219" i="7"/>
  <c r="AA219" i="7" s="1"/>
  <c r="AE218" i="7"/>
  <c r="AA218" i="7" s="1"/>
  <c r="AE217" i="7"/>
  <c r="AA217" i="7" s="1"/>
  <c r="AE216" i="7"/>
  <c r="AA216" i="7" s="1"/>
  <c r="AE215" i="7"/>
  <c r="AA215" i="7" s="1"/>
  <c r="AE214" i="7"/>
  <c r="AA214" i="7" s="1"/>
  <c r="AE213" i="7"/>
  <c r="AA213" i="7" s="1"/>
  <c r="AE212" i="7"/>
  <c r="AA212" i="7" s="1"/>
  <c r="AE211" i="7"/>
  <c r="AA211" i="7" s="1"/>
  <c r="AE210" i="7"/>
  <c r="AA210" i="7" s="1"/>
  <c r="AE209" i="7"/>
  <c r="AA209" i="7" s="1"/>
  <c r="AE208" i="7"/>
  <c r="AA208" i="7" s="1"/>
  <c r="AE207" i="7"/>
  <c r="AA207" i="7" s="1"/>
  <c r="AE206" i="7"/>
  <c r="AA206" i="7" s="1"/>
  <c r="AE205" i="7"/>
  <c r="AA205" i="7" s="1"/>
  <c r="AE204" i="7"/>
  <c r="AA204" i="7" s="1"/>
  <c r="AE203" i="7"/>
  <c r="AA203" i="7" s="1"/>
  <c r="AE202" i="7"/>
  <c r="AA202" i="7" s="1"/>
  <c r="AE201" i="7"/>
  <c r="AA201" i="7" s="1"/>
  <c r="AE200" i="7"/>
  <c r="AA200" i="7" s="1"/>
  <c r="AE199" i="7"/>
  <c r="AA199" i="7" s="1"/>
  <c r="AE198" i="7"/>
  <c r="AA198" i="7" s="1"/>
  <c r="AE197" i="7"/>
  <c r="AA197" i="7" s="1"/>
  <c r="AE196" i="7"/>
  <c r="AA196" i="7" s="1"/>
  <c r="AE195" i="7"/>
  <c r="AA195" i="7" s="1"/>
  <c r="AE194" i="7"/>
  <c r="AA194" i="7" s="1"/>
  <c r="AE193" i="7"/>
  <c r="AA193" i="7" s="1"/>
  <c r="AE192" i="7"/>
  <c r="AA192" i="7" s="1"/>
  <c r="AE191" i="7"/>
  <c r="AA191" i="7" s="1"/>
  <c r="AE190" i="7"/>
  <c r="AA190" i="7" s="1"/>
  <c r="AE189" i="7"/>
  <c r="AA189" i="7" s="1"/>
  <c r="AE188" i="7"/>
  <c r="AA188" i="7" s="1"/>
  <c r="AE187" i="7"/>
  <c r="AA187" i="7" s="1"/>
  <c r="AE186" i="7"/>
  <c r="AA186" i="7" s="1"/>
  <c r="AE185" i="7"/>
  <c r="AA185" i="7" s="1"/>
  <c r="AE184" i="7"/>
  <c r="AA184" i="7" s="1"/>
  <c r="AE183" i="7"/>
  <c r="AA183" i="7" s="1"/>
  <c r="AE182" i="7"/>
  <c r="AA182" i="7" s="1"/>
  <c r="AE181" i="7"/>
  <c r="AA181" i="7" s="1"/>
  <c r="AE180" i="7"/>
  <c r="AA180" i="7" s="1"/>
  <c r="AE179" i="7"/>
  <c r="AA179" i="7" s="1"/>
  <c r="AE178" i="7"/>
  <c r="AA178" i="7" s="1"/>
  <c r="AE177" i="7"/>
  <c r="AA177" i="7" s="1"/>
  <c r="AE176" i="7"/>
  <c r="AA176" i="7" s="1"/>
  <c r="AE175" i="7"/>
  <c r="AA175" i="7" s="1"/>
  <c r="AE174" i="7"/>
  <c r="AA174" i="7" s="1"/>
  <c r="AE173" i="7"/>
  <c r="AA173" i="7" s="1"/>
  <c r="AE172" i="7"/>
  <c r="AA172" i="7" s="1"/>
  <c r="AE171" i="7"/>
  <c r="AA171" i="7" s="1"/>
  <c r="AE170" i="7"/>
  <c r="AA170" i="7" s="1"/>
  <c r="AE169" i="7"/>
  <c r="AA169" i="7" s="1"/>
  <c r="AE168" i="7"/>
  <c r="AA168" i="7" s="1"/>
  <c r="AE167" i="7"/>
  <c r="AA167" i="7" s="1"/>
  <c r="AE166" i="7"/>
  <c r="AA166" i="7" s="1"/>
  <c r="AE165" i="7"/>
  <c r="AA165" i="7" s="1"/>
  <c r="AE164" i="7"/>
  <c r="AA164" i="7" s="1"/>
  <c r="AE163" i="7"/>
  <c r="AA163" i="7" s="1"/>
  <c r="AE162" i="7"/>
  <c r="AA162" i="7" s="1"/>
  <c r="AE161" i="7"/>
  <c r="AA161" i="7" s="1"/>
  <c r="AE160" i="7"/>
  <c r="AA160" i="7" s="1"/>
  <c r="AE159" i="7"/>
  <c r="AA159" i="7" s="1"/>
  <c r="AE158" i="7"/>
  <c r="AA158" i="7" s="1"/>
  <c r="AE157" i="7"/>
  <c r="AA157" i="7" s="1"/>
  <c r="AE156" i="7"/>
  <c r="AA156" i="7" s="1"/>
  <c r="AE155" i="7"/>
  <c r="AA155" i="7" s="1"/>
  <c r="AE154" i="7"/>
  <c r="AA154" i="7" s="1"/>
  <c r="AE153" i="7"/>
  <c r="AA153" i="7" s="1"/>
  <c r="AE152" i="7"/>
  <c r="AA152" i="7" s="1"/>
  <c r="AE151" i="7"/>
  <c r="AA151" i="7" s="1"/>
  <c r="AE150" i="7"/>
  <c r="AA150" i="7" s="1"/>
  <c r="AE149" i="7"/>
  <c r="AA149" i="7" s="1"/>
  <c r="AE148" i="7"/>
  <c r="AA148" i="7" s="1"/>
  <c r="AE147" i="7"/>
  <c r="AA147" i="7" s="1"/>
  <c r="AE146" i="7"/>
  <c r="AA146" i="7" s="1"/>
  <c r="AE145" i="7"/>
  <c r="AA145" i="7" s="1"/>
  <c r="AE144" i="7"/>
  <c r="AA144" i="7" s="1"/>
  <c r="AE143" i="7"/>
  <c r="AA143" i="7" s="1"/>
  <c r="AE142" i="7"/>
  <c r="AA142" i="7" s="1"/>
  <c r="AE141" i="7"/>
  <c r="AA141" i="7" s="1"/>
  <c r="AE140" i="7"/>
  <c r="AA140" i="7" s="1"/>
  <c r="AE139" i="7"/>
  <c r="AA139" i="7" s="1"/>
  <c r="AE138" i="7"/>
  <c r="AA138" i="7" s="1"/>
  <c r="AE137" i="7"/>
  <c r="AA137" i="7" s="1"/>
  <c r="AE136" i="7"/>
  <c r="AA136" i="7" s="1"/>
  <c r="AE135" i="7"/>
  <c r="AA135" i="7" s="1"/>
  <c r="AE134" i="7"/>
  <c r="AA134" i="7" s="1"/>
  <c r="AE133" i="7"/>
  <c r="AA133" i="7" s="1"/>
  <c r="AE132" i="7"/>
  <c r="AA132" i="7" s="1"/>
  <c r="AE131" i="7"/>
  <c r="AA131" i="7" s="1"/>
  <c r="AE130" i="7"/>
  <c r="AA130" i="7" s="1"/>
  <c r="AE129" i="7"/>
  <c r="AA129" i="7" s="1"/>
  <c r="AE128" i="7"/>
  <c r="AA128" i="7" s="1"/>
  <c r="AE127" i="7"/>
  <c r="AA127" i="7" s="1"/>
  <c r="AE126" i="7"/>
  <c r="AA126" i="7" s="1"/>
  <c r="AE125" i="7"/>
  <c r="AA125" i="7" s="1"/>
  <c r="AE124" i="7"/>
  <c r="AA124" i="7" s="1"/>
  <c r="AE123" i="7"/>
  <c r="AA123" i="7" s="1"/>
  <c r="AE122" i="7"/>
  <c r="AA122" i="7" s="1"/>
  <c r="AE121" i="7"/>
  <c r="AA121" i="7" s="1"/>
  <c r="AE120" i="7"/>
  <c r="AA120" i="7" s="1"/>
  <c r="AE119" i="7"/>
  <c r="AA119" i="7" s="1"/>
  <c r="AE118" i="7"/>
  <c r="AA118" i="7" s="1"/>
  <c r="AE117" i="7"/>
  <c r="AA117" i="7" s="1"/>
  <c r="AE116" i="7"/>
  <c r="AA116" i="7" s="1"/>
  <c r="AE115" i="7"/>
  <c r="AA115" i="7" s="1"/>
  <c r="AE114" i="7"/>
  <c r="AA114" i="7" s="1"/>
  <c r="AE113" i="7"/>
  <c r="AA113" i="7" s="1"/>
  <c r="AE112" i="7"/>
  <c r="AA112" i="7" s="1"/>
  <c r="AE111" i="7"/>
  <c r="AA111" i="7" s="1"/>
  <c r="AE110" i="7"/>
  <c r="AA110" i="7" s="1"/>
  <c r="AE109" i="7"/>
  <c r="AA109" i="7" s="1"/>
  <c r="AE108" i="7"/>
  <c r="AA108" i="7" s="1"/>
  <c r="AE107" i="7"/>
  <c r="AA107" i="7" s="1"/>
  <c r="AE106" i="7"/>
  <c r="AA106" i="7" s="1"/>
  <c r="AE105" i="7"/>
  <c r="AA105" i="7" s="1"/>
  <c r="AE104" i="7"/>
  <c r="AA104" i="7" s="1"/>
  <c r="AE103" i="7"/>
  <c r="AA103" i="7" s="1"/>
  <c r="AE102" i="7"/>
  <c r="AA102" i="7" s="1"/>
  <c r="AE101" i="7"/>
  <c r="AA101" i="7" s="1"/>
  <c r="AE100" i="7"/>
  <c r="AA100" i="7" s="1"/>
  <c r="AE99" i="7"/>
  <c r="AA99" i="7" s="1"/>
  <c r="AE98" i="7"/>
  <c r="AA98" i="7" s="1"/>
  <c r="AE97" i="7"/>
  <c r="AA97" i="7" s="1"/>
  <c r="AE96" i="7"/>
  <c r="AA96" i="7" s="1"/>
  <c r="AE95" i="7"/>
  <c r="AA95" i="7" s="1"/>
  <c r="AE94" i="7"/>
  <c r="AA94" i="7" s="1"/>
  <c r="AE93" i="7"/>
  <c r="AA93" i="7" s="1"/>
  <c r="AE92" i="7"/>
  <c r="AA92" i="7" s="1"/>
  <c r="AE91" i="7"/>
  <c r="AA91" i="7" s="1"/>
  <c r="AE90" i="7"/>
  <c r="AA90" i="7" s="1"/>
  <c r="AE89" i="7"/>
  <c r="AA89" i="7" s="1"/>
  <c r="AE88" i="7"/>
  <c r="AA88" i="7" s="1"/>
  <c r="AE87" i="7"/>
  <c r="AA87" i="7" s="1"/>
  <c r="AE86" i="7"/>
  <c r="AA86" i="7" s="1"/>
  <c r="AE85" i="7"/>
  <c r="AA85" i="7" s="1"/>
  <c r="AE84" i="7"/>
  <c r="AA84" i="7" s="1"/>
  <c r="AE83" i="7"/>
  <c r="AA83" i="7" s="1"/>
  <c r="AE82" i="7"/>
  <c r="AA82" i="7" s="1"/>
  <c r="AE81" i="7"/>
  <c r="AA81" i="7" s="1"/>
  <c r="AE80" i="7"/>
  <c r="AA80" i="7" s="1"/>
  <c r="AE79" i="7"/>
  <c r="AA79" i="7" s="1"/>
  <c r="AE78" i="7"/>
  <c r="AA78" i="7" s="1"/>
  <c r="AE77" i="7"/>
  <c r="AA77" i="7" s="1"/>
  <c r="AE76" i="7"/>
  <c r="AA76" i="7" s="1"/>
  <c r="AE75" i="7"/>
  <c r="AA75" i="7" s="1"/>
  <c r="AE74" i="7"/>
  <c r="AA74" i="7" s="1"/>
  <c r="AE73" i="7"/>
  <c r="AA73" i="7" s="1"/>
  <c r="AE72" i="7"/>
  <c r="AA72" i="7" s="1"/>
  <c r="AE71" i="7"/>
  <c r="AA71" i="7" s="1"/>
  <c r="AE70" i="7"/>
  <c r="AA70" i="7" s="1"/>
  <c r="AE69" i="7"/>
  <c r="AA69" i="7" s="1"/>
  <c r="AE68" i="7"/>
  <c r="AA68" i="7" s="1"/>
  <c r="AE67" i="7"/>
  <c r="AA67" i="7" s="1"/>
  <c r="AE66" i="7"/>
  <c r="AA66" i="7" s="1"/>
  <c r="AE65" i="7"/>
  <c r="AA65" i="7" s="1"/>
  <c r="AE64" i="7"/>
  <c r="AA64" i="7" s="1"/>
  <c r="AE63" i="7"/>
  <c r="AA63" i="7" s="1"/>
  <c r="AE62" i="7"/>
  <c r="AA62" i="7" s="1"/>
  <c r="AE61" i="7"/>
  <c r="AA61" i="7" s="1"/>
  <c r="AE60" i="7"/>
  <c r="AA60" i="7" s="1"/>
  <c r="AE59" i="7"/>
  <c r="AA59" i="7" s="1"/>
  <c r="AE58" i="7"/>
  <c r="AA58" i="7" s="1"/>
  <c r="AE57" i="7"/>
  <c r="AA57" i="7" s="1"/>
  <c r="AE56" i="7"/>
  <c r="AA56" i="7" s="1"/>
  <c r="AE55" i="7"/>
  <c r="AA55" i="7" s="1"/>
  <c r="AE54" i="7"/>
  <c r="AA54" i="7" s="1"/>
  <c r="AE53" i="7"/>
  <c r="AA53" i="7" s="1"/>
  <c r="AE52" i="7"/>
  <c r="AA52" i="7" s="1"/>
  <c r="AE51" i="7"/>
  <c r="AA51" i="7" s="1"/>
  <c r="AE50" i="7"/>
  <c r="AA50" i="7" s="1"/>
  <c r="AE49" i="7"/>
  <c r="AA49" i="7" s="1"/>
  <c r="AE48" i="7"/>
  <c r="AA48" i="7" s="1"/>
  <c r="AE47" i="7"/>
  <c r="AA47" i="7" s="1"/>
  <c r="AE46" i="7"/>
  <c r="AA46" i="7" s="1"/>
  <c r="AE45" i="7"/>
  <c r="AA45" i="7" s="1"/>
  <c r="AE44" i="7"/>
  <c r="AA44" i="7" s="1"/>
  <c r="AE43" i="7"/>
  <c r="AA43" i="7" s="1"/>
  <c r="AE42" i="7"/>
  <c r="AA42" i="7" s="1"/>
  <c r="AE41" i="7"/>
  <c r="AA41" i="7" s="1"/>
  <c r="AE40" i="7"/>
  <c r="AA40" i="7" s="1"/>
  <c r="AE39" i="7"/>
  <c r="AA39" i="7" s="1"/>
  <c r="AE38" i="7"/>
  <c r="AA38" i="7" s="1"/>
  <c r="AE37" i="7"/>
  <c r="AA37" i="7" s="1"/>
  <c r="AE36" i="7"/>
  <c r="AA36" i="7" s="1"/>
  <c r="AE35" i="7"/>
  <c r="AA35" i="7" s="1"/>
  <c r="AE34" i="7"/>
  <c r="AA34" i="7" s="1"/>
  <c r="AE33" i="7"/>
  <c r="AA33" i="7" s="1"/>
  <c r="AE32" i="7"/>
  <c r="AA32" i="7" s="1"/>
  <c r="AE31" i="7"/>
  <c r="AA31" i="7" s="1"/>
  <c r="AE30" i="7"/>
  <c r="AA30" i="7" s="1"/>
  <c r="AE29" i="7"/>
  <c r="AA29" i="7" s="1"/>
  <c r="AE28" i="7"/>
  <c r="AA28" i="7" s="1"/>
  <c r="AE27" i="7"/>
  <c r="AA27" i="7" s="1"/>
  <c r="AE26" i="7"/>
  <c r="AA26" i="7" s="1"/>
  <c r="AE25" i="7"/>
  <c r="AA25" i="7" s="1"/>
  <c r="AE24" i="7"/>
  <c r="AA24" i="7" s="1"/>
  <c r="AE23" i="7"/>
  <c r="AA23" i="7" s="1"/>
  <c r="AE22" i="7"/>
  <c r="AA22" i="7" s="1"/>
  <c r="AE21" i="7"/>
  <c r="AA21" i="7" s="1"/>
  <c r="AE20" i="7"/>
  <c r="AA20" i="7" s="1"/>
  <c r="AE19" i="7"/>
  <c r="AA19" i="7" s="1"/>
  <c r="AE18" i="7"/>
  <c r="AA18" i="7" s="1"/>
  <c r="AE17" i="7"/>
  <c r="AA17" i="7" s="1"/>
  <c r="AE16" i="7"/>
  <c r="AA16" i="7" s="1"/>
  <c r="AE15" i="7"/>
  <c r="AA15" i="7" s="1"/>
  <c r="AE14" i="7"/>
  <c r="AA14" i="7" s="1"/>
  <c r="AE13" i="7"/>
  <c r="AA13" i="7" s="1"/>
  <c r="AE12" i="7"/>
  <c r="AA12" i="7" s="1"/>
  <c r="AE11" i="7"/>
  <c r="AA11" i="7" s="1"/>
  <c r="AE10" i="7"/>
  <c r="AA10" i="7" s="1"/>
  <c r="AE9" i="7"/>
  <c r="AA9" i="7" s="1"/>
  <c r="AE8" i="7"/>
  <c r="AA8" i="7" s="1"/>
  <c r="AE7" i="7"/>
  <c r="AA7" i="7" s="1"/>
  <c r="AE6" i="7"/>
  <c r="AA6" i="7" s="1"/>
  <c r="AE5" i="7"/>
  <c r="AA5" i="7" s="1"/>
  <c r="AE4" i="7"/>
  <c r="AA4" i="7" s="1"/>
  <c r="AE3" i="7"/>
  <c r="AA3" i="7" s="1"/>
  <c r="AE2" i="7"/>
  <c r="AA2" i="7" s="1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D16" i="8"/>
  <c r="C16" i="8"/>
  <c r="B16" i="8"/>
  <c r="D15" i="8"/>
  <c r="C15" i="8"/>
  <c r="B15" i="8"/>
  <c r="D14" i="8"/>
  <c r="C14" i="8"/>
  <c r="B14" i="8"/>
  <c r="D13" i="8"/>
  <c r="C13" i="8"/>
  <c r="B13" i="8"/>
  <c r="D12" i="8"/>
  <c r="C12" i="8"/>
  <c r="B12" i="8"/>
  <c r="D11" i="8"/>
  <c r="C11" i="8"/>
  <c r="B11" i="8"/>
  <c r="D10" i="8"/>
  <c r="C10" i="8"/>
  <c r="B10" i="8"/>
  <c r="D9" i="8"/>
  <c r="C9" i="8"/>
  <c r="B9" i="8"/>
  <c r="D8" i="8"/>
  <c r="C8" i="8"/>
  <c r="B8" i="8"/>
  <c r="D7" i="8"/>
  <c r="C7" i="8"/>
  <c r="B7" i="8"/>
  <c r="D6" i="8"/>
  <c r="C6" i="8"/>
  <c r="B6" i="8"/>
  <c r="D5" i="8"/>
  <c r="C5" i="8"/>
  <c r="B5" i="8"/>
  <c r="D4" i="8"/>
  <c r="C4" i="8"/>
  <c r="B4" i="8"/>
  <c r="D3" i="8"/>
  <c r="C3" i="8"/>
  <c r="B3" i="8"/>
  <c r="C2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T3" i="8"/>
  <c r="T17" i="8" s="1"/>
  <c r="S3" i="8"/>
  <c r="S17" i="8" s="1"/>
  <c r="R3" i="8"/>
  <c r="R17" i="8" s="1"/>
  <c r="Q3" i="8"/>
  <c r="Q17" i="8" s="1"/>
  <c r="P3" i="8"/>
  <c r="P17" i="8" s="1"/>
  <c r="O3" i="8"/>
  <c r="O17" i="8" s="1"/>
  <c r="N3" i="8"/>
  <c r="N17" i="8" s="1"/>
  <c r="M3" i="8"/>
  <c r="M17" i="8" s="1"/>
  <c r="L3" i="8"/>
  <c r="L17" i="8" s="1"/>
  <c r="K3" i="8"/>
  <c r="K17" i="8" s="1"/>
  <c r="J3" i="8"/>
  <c r="J17" i="8" s="1"/>
  <c r="I3" i="8"/>
  <c r="I17" i="8" s="1"/>
  <c r="H3" i="8"/>
  <c r="H17" i="8" s="1"/>
  <c r="G3" i="8"/>
  <c r="G17" i="8" s="1"/>
  <c r="G18" i="8" s="1"/>
  <c r="F3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Y699" i="10"/>
  <c r="Y698" i="10"/>
  <c r="Y697" i="10"/>
  <c r="Y696" i="10"/>
  <c r="Y695" i="10"/>
  <c r="Y694" i="10"/>
  <c r="Y693" i="10"/>
  <c r="Y692" i="10"/>
  <c r="Y691" i="10"/>
  <c r="Y690" i="10"/>
  <c r="Y689" i="10"/>
  <c r="Y688" i="10"/>
  <c r="Y687" i="10"/>
  <c r="Y686" i="10"/>
  <c r="Y685" i="10"/>
  <c r="Y684" i="10"/>
  <c r="Y683" i="10"/>
  <c r="Y682" i="10"/>
  <c r="Y681" i="10"/>
  <c r="Y680" i="10"/>
  <c r="Y679" i="10"/>
  <c r="Y678" i="10"/>
  <c r="Y677" i="10"/>
  <c r="Y676" i="10"/>
  <c r="Y675" i="10"/>
  <c r="Y674" i="10"/>
  <c r="Y673" i="10"/>
  <c r="Y672" i="10"/>
  <c r="Y671" i="10"/>
  <c r="Y670" i="10"/>
  <c r="Y669" i="10"/>
  <c r="Y668" i="10"/>
  <c r="Y667" i="10"/>
  <c r="Y666" i="10"/>
  <c r="Y665" i="10"/>
  <c r="Y664" i="10"/>
  <c r="Y663" i="10"/>
  <c r="Y662" i="10"/>
  <c r="Y661" i="10"/>
  <c r="Y660" i="10"/>
  <c r="Y659" i="10"/>
  <c r="Y658" i="10"/>
  <c r="Y657" i="10"/>
  <c r="Y656" i="10"/>
  <c r="Y655" i="10"/>
  <c r="Y654" i="10"/>
  <c r="Y653" i="10"/>
  <c r="Y652" i="10"/>
  <c r="Y651" i="10"/>
  <c r="Y650" i="10"/>
  <c r="Y649" i="10"/>
  <c r="Y648" i="10"/>
  <c r="Y647" i="10"/>
  <c r="Y646" i="10"/>
  <c r="Y645" i="10"/>
  <c r="Y644" i="10"/>
  <c r="Y643" i="10"/>
  <c r="Y642" i="10"/>
  <c r="Y641" i="10"/>
  <c r="Y640" i="10"/>
  <c r="Y639" i="10"/>
  <c r="Y638" i="10"/>
  <c r="Y637" i="10"/>
  <c r="Y636" i="10"/>
  <c r="Y635" i="10"/>
  <c r="Y634" i="10"/>
  <c r="Y633" i="10"/>
  <c r="Y632" i="10"/>
  <c r="Y631" i="10"/>
  <c r="Y630" i="10"/>
  <c r="Y629" i="10"/>
  <c r="Y628" i="10"/>
  <c r="Y627" i="10"/>
  <c r="Y626" i="10"/>
  <c r="Y625" i="10"/>
  <c r="Y624" i="10"/>
  <c r="Y623" i="10"/>
  <c r="Y622" i="10"/>
  <c r="Y621" i="10"/>
  <c r="Y620" i="10"/>
  <c r="Y619" i="10"/>
  <c r="Y618" i="10"/>
  <c r="Y617" i="10"/>
  <c r="Y616" i="10"/>
  <c r="Y615" i="10"/>
  <c r="Y614" i="10"/>
  <c r="Y613" i="10"/>
  <c r="Y612" i="10"/>
  <c r="Y611" i="10"/>
  <c r="Y610" i="10"/>
  <c r="Y609" i="10"/>
  <c r="Y608" i="10"/>
  <c r="Y607" i="10"/>
  <c r="Y606" i="10"/>
  <c r="Y605" i="10"/>
  <c r="Y604" i="10"/>
  <c r="Y603" i="10"/>
  <c r="Y602" i="10"/>
  <c r="Y601" i="10"/>
  <c r="Y600" i="10"/>
  <c r="Y599" i="10"/>
  <c r="Y598" i="10"/>
  <c r="Y597" i="10"/>
  <c r="Y596" i="10"/>
  <c r="Y595" i="10"/>
  <c r="Y594" i="10"/>
  <c r="Y593" i="10"/>
  <c r="Y592" i="10"/>
  <c r="Y591" i="10"/>
  <c r="Y590" i="10"/>
  <c r="Y589" i="10"/>
  <c r="Y588" i="10"/>
  <c r="Y587" i="10"/>
  <c r="Y586" i="10"/>
  <c r="Y585" i="10"/>
  <c r="Y584" i="10"/>
  <c r="Y583" i="10"/>
  <c r="Y582" i="10"/>
  <c r="Y581" i="10"/>
  <c r="Y580" i="10"/>
  <c r="Y579" i="10"/>
  <c r="Y578" i="10"/>
  <c r="Y577" i="10"/>
  <c r="Y576" i="10"/>
  <c r="Y575" i="10"/>
  <c r="Y574" i="10"/>
  <c r="Y573" i="10"/>
  <c r="Y572" i="10"/>
  <c r="Y571" i="10"/>
  <c r="Y570" i="10"/>
  <c r="Y569" i="10"/>
  <c r="Y568" i="10"/>
  <c r="Y567" i="10"/>
  <c r="Y566" i="10"/>
  <c r="Y565" i="10"/>
  <c r="Y564" i="10"/>
  <c r="Y563" i="10"/>
  <c r="Y562" i="10"/>
  <c r="Y561" i="10"/>
  <c r="Y560" i="10"/>
  <c r="Y559" i="10"/>
  <c r="Y558" i="10"/>
  <c r="Y557" i="10"/>
  <c r="Y556" i="10"/>
  <c r="Y555" i="10"/>
  <c r="Y554" i="10"/>
  <c r="Y553" i="10"/>
  <c r="Y552" i="10"/>
  <c r="Y551" i="10"/>
  <c r="Y550" i="10"/>
  <c r="Y549" i="10"/>
  <c r="Y548" i="10"/>
  <c r="Y547" i="10"/>
  <c r="Y546" i="10"/>
  <c r="Y545" i="10"/>
  <c r="Y544" i="10"/>
  <c r="Y543" i="10"/>
  <c r="Y542" i="10"/>
  <c r="Y541" i="10"/>
  <c r="Y540" i="10"/>
  <c r="Y539" i="10"/>
  <c r="Y538" i="10"/>
  <c r="Y537" i="10"/>
  <c r="Y536" i="10"/>
  <c r="Y535" i="10"/>
  <c r="Y534" i="10"/>
  <c r="Y533" i="10"/>
  <c r="Y532" i="10"/>
  <c r="Y531" i="10"/>
  <c r="Y530" i="10"/>
  <c r="Y529" i="10"/>
  <c r="Y528" i="10"/>
  <c r="Y527" i="10"/>
  <c r="Y526" i="10"/>
  <c r="Y525" i="10"/>
  <c r="Y524" i="10"/>
  <c r="Y523" i="10"/>
  <c r="Y522" i="10"/>
  <c r="Y521" i="10"/>
  <c r="Y520" i="10"/>
  <c r="Y519" i="10"/>
  <c r="Y518" i="10"/>
  <c r="Y517" i="10"/>
  <c r="Y516" i="10"/>
  <c r="Y515" i="10"/>
  <c r="Y514" i="10"/>
  <c r="Y513" i="10"/>
  <c r="Y512" i="10"/>
  <c r="Y511" i="10"/>
  <c r="Y510" i="10"/>
  <c r="Y509" i="10"/>
  <c r="Y508" i="10"/>
  <c r="Y507" i="10"/>
  <c r="Y506" i="10"/>
  <c r="Y505" i="10"/>
  <c r="Y504" i="10"/>
  <c r="Y503" i="10"/>
  <c r="Y502" i="10"/>
  <c r="Y501" i="10"/>
  <c r="Y500" i="10"/>
  <c r="Y499" i="10"/>
  <c r="Y498" i="10"/>
  <c r="Y497" i="10"/>
  <c r="Y496" i="10"/>
  <c r="Y495" i="10"/>
  <c r="Y494" i="10"/>
  <c r="Y493" i="10"/>
  <c r="Y492" i="10"/>
  <c r="Y491" i="10"/>
  <c r="Y490" i="10"/>
  <c r="Y489" i="10"/>
  <c r="Y488" i="10"/>
  <c r="Y487" i="10"/>
  <c r="Y486" i="10"/>
  <c r="Y485" i="10"/>
  <c r="Y484" i="10"/>
  <c r="Y483" i="10"/>
  <c r="Y482" i="10"/>
  <c r="Y481" i="10"/>
  <c r="Y480" i="10"/>
  <c r="Y479" i="10"/>
  <c r="Y478" i="10"/>
  <c r="Y477" i="10"/>
  <c r="Y476" i="10"/>
  <c r="Y475" i="10"/>
  <c r="Y474" i="10"/>
  <c r="Y473" i="10"/>
  <c r="Y472" i="10"/>
  <c r="Y471" i="10"/>
  <c r="Y470" i="10"/>
  <c r="Y469" i="10"/>
  <c r="Y468" i="10"/>
  <c r="Y467" i="10"/>
  <c r="Y466" i="10"/>
  <c r="Y465" i="10"/>
  <c r="Y464" i="10"/>
  <c r="Y463" i="10"/>
  <c r="Y462" i="10"/>
  <c r="Y461" i="10"/>
  <c r="Y460" i="10"/>
  <c r="Y459" i="10"/>
  <c r="Y458" i="10"/>
  <c r="Y457" i="10"/>
  <c r="Y456" i="10"/>
  <c r="Y455" i="10"/>
  <c r="Y454" i="10"/>
  <c r="Y453" i="10"/>
  <c r="Y452" i="10"/>
  <c r="Y451" i="10"/>
  <c r="Y450" i="10"/>
  <c r="Y449" i="10"/>
  <c r="Y448" i="10"/>
  <c r="Y447" i="10"/>
  <c r="Y446" i="10"/>
  <c r="Y445" i="10"/>
  <c r="Y444" i="10"/>
  <c r="Y443" i="10"/>
  <c r="Y442" i="10"/>
  <c r="Y441" i="10"/>
  <c r="Y440" i="10"/>
  <c r="Y439" i="10"/>
  <c r="Y438" i="10"/>
  <c r="Y437" i="10"/>
  <c r="Y436" i="10"/>
  <c r="Y435" i="10"/>
  <c r="Y434" i="10"/>
  <c r="Y433" i="10"/>
  <c r="Y432" i="10"/>
  <c r="Y431" i="10"/>
  <c r="Y430" i="10"/>
  <c r="Y429" i="10"/>
  <c r="Y428" i="10"/>
  <c r="Y427" i="10"/>
  <c r="Y426" i="10"/>
  <c r="Y425" i="10"/>
  <c r="Y424" i="10"/>
  <c r="Y423" i="10"/>
  <c r="Y422" i="10"/>
  <c r="Y421" i="10"/>
  <c r="Y420" i="10"/>
  <c r="Y419" i="10"/>
  <c r="Y418" i="10"/>
  <c r="Y417" i="10"/>
  <c r="Y416" i="10"/>
  <c r="Y415" i="10"/>
  <c r="Y414" i="10"/>
  <c r="Y413" i="10"/>
  <c r="Y412" i="10"/>
  <c r="Y411" i="10"/>
  <c r="Y410" i="10"/>
  <c r="Y409" i="10"/>
  <c r="Y408" i="10"/>
  <c r="Y407" i="10"/>
  <c r="Y406" i="10"/>
  <c r="Y405" i="10"/>
  <c r="Y404" i="10"/>
  <c r="Y403" i="10"/>
  <c r="Y402" i="10"/>
  <c r="Y401" i="10"/>
  <c r="Y400" i="10"/>
  <c r="Y399" i="10"/>
  <c r="Y398" i="10"/>
  <c r="Y397" i="10"/>
  <c r="Y396" i="10"/>
  <c r="Y395" i="10"/>
  <c r="Y394" i="10"/>
  <c r="Y393" i="10"/>
  <c r="Y392" i="10"/>
  <c r="Y391" i="10"/>
  <c r="Y390" i="10"/>
  <c r="Y389" i="10"/>
  <c r="Y388" i="10"/>
  <c r="Y387" i="10"/>
  <c r="Y386" i="10"/>
  <c r="Y385" i="10"/>
  <c r="Y384" i="10"/>
  <c r="Y383" i="10"/>
  <c r="Y382" i="10"/>
  <c r="Y381" i="10"/>
  <c r="Y380" i="10"/>
  <c r="Y379" i="10"/>
  <c r="Y378" i="10"/>
  <c r="Y377" i="10"/>
  <c r="Y376" i="10"/>
  <c r="Y375" i="10"/>
  <c r="Y374" i="10"/>
  <c r="Y373" i="10"/>
  <c r="Y372" i="10"/>
  <c r="Y371" i="10"/>
  <c r="Y370" i="10"/>
  <c r="Y369" i="10"/>
  <c r="Y368" i="10"/>
  <c r="Y367" i="10"/>
  <c r="Y366" i="10"/>
  <c r="Y365" i="10"/>
  <c r="Y364" i="10"/>
  <c r="Y363" i="10"/>
  <c r="Y362" i="10"/>
  <c r="Y361" i="10"/>
  <c r="Y360" i="10"/>
  <c r="Y359" i="10"/>
  <c r="Y358" i="10"/>
  <c r="Y357" i="10"/>
  <c r="Y356" i="10"/>
  <c r="Y355" i="10"/>
  <c r="Y354" i="10"/>
  <c r="Y353" i="10"/>
  <c r="Y352" i="10"/>
  <c r="Y351" i="10"/>
  <c r="Y350" i="10"/>
  <c r="Y349" i="10"/>
  <c r="Y348" i="10"/>
  <c r="Y347" i="10"/>
  <c r="Y346" i="10"/>
  <c r="Y345" i="10"/>
  <c r="Y344" i="10"/>
  <c r="Y343" i="10"/>
  <c r="Y342" i="10"/>
  <c r="Y341" i="10"/>
  <c r="Y340" i="10"/>
  <c r="Y339" i="10"/>
  <c r="Y338" i="10"/>
  <c r="Y337" i="10"/>
  <c r="Y336" i="10"/>
  <c r="Y335" i="10"/>
  <c r="Y334" i="10"/>
  <c r="Y333" i="10"/>
  <c r="Y332" i="10"/>
  <c r="Y331" i="10"/>
  <c r="Y330" i="10"/>
  <c r="Y329" i="10"/>
  <c r="Y328" i="10"/>
  <c r="Y327" i="10"/>
  <c r="Y326" i="10"/>
  <c r="Y325" i="10"/>
  <c r="Y324" i="10"/>
  <c r="Y323" i="10"/>
  <c r="Y322" i="10"/>
  <c r="Y321" i="10"/>
  <c r="Y320" i="10"/>
  <c r="Y319" i="10"/>
  <c r="Y318" i="10"/>
  <c r="Y317" i="10"/>
  <c r="Y316" i="10"/>
  <c r="Y315" i="10"/>
  <c r="Y314" i="10"/>
  <c r="Y313" i="10"/>
  <c r="Y312" i="10"/>
  <c r="Y311" i="10"/>
  <c r="Y310" i="10"/>
  <c r="Y309" i="10"/>
  <c r="Y308" i="10"/>
  <c r="Y307" i="10"/>
  <c r="Y306" i="10"/>
  <c r="Y305" i="10"/>
  <c r="Y304" i="10"/>
  <c r="Y303" i="10"/>
  <c r="Y302" i="10"/>
  <c r="Y301" i="10"/>
  <c r="Y300" i="10"/>
  <c r="Y299" i="10"/>
  <c r="Y298" i="10"/>
  <c r="Y297" i="10"/>
  <c r="Y296" i="10"/>
  <c r="Y295" i="10"/>
  <c r="Y294" i="10"/>
  <c r="Y293" i="10"/>
  <c r="Y292" i="10"/>
  <c r="Y291" i="10"/>
  <c r="Y290" i="10"/>
  <c r="Y289" i="10"/>
  <c r="Y288" i="10"/>
  <c r="Y287" i="10"/>
  <c r="Y286" i="10"/>
  <c r="Y285" i="10"/>
  <c r="Y284" i="10"/>
  <c r="Y283" i="10"/>
  <c r="Y282" i="10"/>
  <c r="Y281" i="10"/>
  <c r="Y280" i="10"/>
  <c r="Y279" i="10"/>
  <c r="Y278" i="10"/>
  <c r="Y277" i="10"/>
  <c r="Y276" i="10"/>
  <c r="Y275" i="10"/>
  <c r="Y274" i="10"/>
  <c r="Y273" i="10"/>
  <c r="Y272" i="10"/>
  <c r="Y271" i="10"/>
  <c r="Y270" i="10"/>
  <c r="Y269" i="10"/>
  <c r="Y268" i="10"/>
  <c r="Y267" i="10"/>
  <c r="Y266" i="10"/>
  <c r="Y265" i="10"/>
  <c r="Y264" i="10"/>
  <c r="Y263" i="10"/>
  <c r="Y262" i="10"/>
  <c r="Y261" i="10"/>
  <c r="Y260" i="10"/>
  <c r="Y259" i="10"/>
  <c r="Y258" i="10"/>
  <c r="Y257" i="10"/>
  <c r="Y256" i="10"/>
  <c r="Y255" i="10"/>
  <c r="Y254" i="10"/>
  <c r="Y253" i="10"/>
  <c r="Y252" i="10"/>
  <c r="Y251" i="10"/>
  <c r="Y250" i="10"/>
  <c r="Y249" i="10"/>
  <c r="Y248" i="10"/>
  <c r="Y247" i="10"/>
  <c r="Y246" i="10"/>
  <c r="Y245" i="10"/>
  <c r="Y244" i="10"/>
  <c r="Y243" i="10"/>
  <c r="Y242" i="10"/>
  <c r="Y241" i="10"/>
  <c r="Y240" i="10"/>
  <c r="Y239" i="10"/>
  <c r="Y238" i="10"/>
  <c r="Y237" i="10"/>
  <c r="Y236" i="10"/>
  <c r="Y235" i="10"/>
  <c r="Y234" i="10"/>
  <c r="Y233" i="10"/>
  <c r="Y232" i="10"/>
  <c r="Y231" i="10"/>
  <c r="Y230" i="10"/>
  <c r="Y229" i="10"/>
  <c r="Y228" i="10"/>
  <c r="Y227" i="10"/>
  <c r="Y226" i="10"/>
  <c r="Y225" i="10"/>
  <c r="Y224" i="10"/>
  <c r="Y223" i="10"/>
  <c r="Y222" i="10"/>
  <c r="Y221" i="10"/>
  <c r="Y220" i="10"/>
  <c r="Y219" i="10"/>
  <c r="Y218" i="10"/>
  <c r="Y217" i="10"/>
  <c r="Y216" i="10"/>
  <c r="Y215" i="10"/>
  <c r="Y214" i="10"/>
  <c r="Y213" i="10"/>
  <c r="Y212" i="10"/>
  <c r="Y211" i="10"/>
  <c r="Y210" i="10"/>
  <c r="Y209" i="10"/>
  <c r="Y208" i="10"/>
  <c r="Y207" i="10"/>
  <c r="Y206" i="10"/>
  <c r="Y205" i="10"/>
  <c r="Y204" i="10"/>
  <c r="Y203" i="10"/>
  <c r="Y202" i="10"/>
  <c r="Y201" i="10"/>
  <c r="Y200" i="10"/>
  <c r="Y199" i="10"/>
  <c r="Y198" i="10"/>
  <c r="Y197" i="10"/>
  <c r="Y196" i="10"/>
  <c r="Y195" i="10"/>
  <c r="Y194" i="10"/>
  <c r="Y193" i="10"/>
  <c r="Y192" i="10"/>
  <c r="Y191" i="10"/>
  <c r="Y190" i="10"/>
  <c r="Y189" i="10"/>
  <c r="Y188" i="10"/>
  <c r="Y187" i="10"/>
  <c r="Y186" i="10"/>
  <c r="Y185" i="10"/>
  <c r="Y184" i="10"/>
  <c r="Y183" i="10"/>
  <c r="Y182" i="10"/>
  <c r="Y181" i="10"/>
  <c r="Y180" i="10"/>
  <c r="Y179" i="10"/>
  <c r="Y178" i="10"/>
  <c r="Y177" i="10"/>
  <c r="Y176" i="10"/>
  <c r="Y175" i="10"/>
  <c r="Y174" i="10"/>
  <c r="Y173" i="10"/>
  <c r="Y172" i="10"/>
  <c r="Y171" i="10"/>
  <c r="Y170" i="10"/>
  <c r="Y169" i="10"/>
  <c r="Y168" i="10"/>
  <c r="Y167" i="10"/>
  <c r="Y166" i="10"/>
  <c r="Y165" i="10"/>
  <c r="Y164" i="10"/>
  <c r="Y163" i="10"/>
  <c r="Y162" i="10"/>
  <c r="Y161" i="10"/>
  <c r="Y160" i="10"/>
  <c r="Y159" i="10"/>
  <c r="Y158" i="10"/>
  <c r="Y157" i="10"/>
  <c r="Y156" i="10"/>
  <c r="Y155" i="10"/>
  <c r="Y154" i="10"/>
  <c r="Y153" i="10"/>
  <c r="Y152" i="10"/>
  <c r="Y151" i="10"/>
  <c r="Y150" i="10"/>
  <c r="Y149" i="10"/>
  <c r="Y148" i="10"/>
  <c r="Y147" i="10"/>
  <c r="Y146" i="10"/>
  <c r="Y145" i="10"/>
  <c r="Y144" i="10"/>
  <c r="Y143" i="10"/>
  <c r="Y142" i="10"/>
  <c r="Y141" i="10"/>
  <c r="Y140" i="10"/>
  <c r="Y139" i="10"/>
  <c r="Y138" i="10"/>
  <c r="Y137" i="10"/>
  <c r="Y136" i="10"/>
  <c r="Y135" i="10"/>
  <c r="Y134" i="10"/>
  <c r="Y133" i="10"/>
  <c r="Y132" i="10"/>
  <c r="Y131" i="10"/>
  <c r="Y130" i="10"/>
  <c r="Y129" i="10"/>
  <c r="Y128" i="10"/>
  <c r="Y127" i="10"/>
  <c r="Y126" i="10"/>
  <c r="Y125" i="10"/>
  <c r="Y124" i="10"/>
  <c r="Y123" i="10"/>
  <c r="Y122" i="10"/>
  <c r="Y121" i="10"/>
  <c r="Y120" i="10"/>
  <c r="Y119" i="10"/>
  <c r="Y118" i="10"/>
  <c r="Y117" i="10"/>
  <c r="Y116" i="10"/>
  <c r="Y115" i="10"/>
  <c r="Y114" i="10"/>
  <c r="Y113" i="10"/>
  <c r="Y112" i="10"/>
  <c r="Y111" i="10"/>
  <c r="Y110" i="10"/>
  <c r="Y109" i="10"/>
  <c r="Y108" i="10"/>
  <c r="Y107" i="10"/>
  <c r="Y106" i="10"/>
  <c r="Y105" i="10"/>
  <c r="Y104" i="10"/>
  <c r="Y103" i="10"/>
  <c r="Y102" i="10"/>
  <c r="Y101" i="10"/>
  <c r="Y100" i="10"/>
  <c r="Y99" i="10"/>
  <c r="Y98" i="10"/>
  <c r="Y97" i="10"/>
  <c r="Y96" i="10"/>
  <c r="Y95" i="10"/>
  <c r="Y94" i="10"/>
  <c r="Y93" i="10"/>
  <c r="Y92" i="10"/>
  <c r="Y91" i="10"/>
  <c r="Y90" i="10"/>
  <c r="Y89" i="10"/>
  <c r="Y88" i="10"/>
  <c r="Y87" i="10"/>
  <c r="Y86" i="10"/>
  <c r="Y85" i="10"/>
  <c r="Y84" i="10"/>
  <c r="Y83" i="10"/>
  <c r="Y82" i="10"/>
  <c r="Y81" i="10"/>
  <c r="Y80" i="10"/>
  <c r="Y79" i="10"/>
  <c r="Y78" i="10"/>
  <c r="Y77" i="10"/>
  <c r="Y76" i="10"/>
  <c r="Y75" i="10"/>
  <c r="Y74" i="10"/>
  <c r="Y73" i="10"/>
  <c r="Y72" i="10"/>
  <c r="Y71" i="10"/>
  <c r="Y70" i="10"/>
  <c r="Y69" i="10"/>
  <c r="Y68" i="10"/>
  <c r="Y67" i="10"/>
  <c r="Y66" i="10"/>
  <c r="Y65" i="10"/>
  <c r="Y64" i="10"/>
  <c r="Y63" i="10"/>
  <c r="Y62" i="10"/>
  <c r="Y61" i="10"/>
  <c r="Y60" i="10"/>
  <c r="Y59" i="10"/>
  <c r="Y58" i="10"/>
  <c r="Y57" i="10"/>
  <c r="Y56" i="10"/>
  <c r="Y55" i="10"/>
  <c r="Y54" i="10"/>
  <c r="Y53" i="10"/>
  <c r="Y52" i="10"/>
  <c r="Y51" i="10"/>
  <c r="Y50" i="10"/>
  <c r="Y49" i="10"/>
  <c r="Y48" i="10"/>
  <c r="Y47" i="10"/>
  <c r="Y46" i="10"/>
  <c r="Y45" i="10"/>
  <c r="Y44" i="10"/>
  <c r="Y43" i="10"/>
  <c r="Y42" i="10"/>
  <c r="Y41" i="10"/>
  <c r="Y40" i="10"/>
  <c r="Y39" i="10"/>
  <c r="Y38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Y5" i="10"/>
  <c r="Y4" i="10"/>
  <c r="Y3" i="10"/>
  <c r="Y2" i="10"/>
  <c r="AE699" i="10"/>
  <c r="AA699" i="10" s="1"/>
  <c r="AE698" i="10"/>
  <c r="AA698" i="10" s="1"/>
  <c r="AE697" i="10"/>
  <c r="AA697" i="10" s="1"/>
  <c r="AE696" i="10"/>
  <c r="AA696" i="10" s="1"/>
  <c r="AE695" i="10"/>
  <c r="AA695" i="10" s="1"/>
  <c r="AE694" i="10"/>
  <c r="AA694" i="10" s="1"/>
  <c r="AE693" i="10"/>
  <c r="AA693" i="10" s="1"/>
  <c r="AE692" i="10"/>
  <c r="AA692" i="10" s="1"/>
  <c r="AE691" i="10"/>
  <c r="AA691" i="10" s="1"/>
  <c r="AE690" i="10"/>
  <c r="AA690" i="10" s="1"/>
  <c r="AE689" i="10"/>
  <c r="AA689" i="10" s="1"/>
  <c r="AE688" i="10"/>
  <c r="AA688" i="10" s="1"/>
  <c r="AE687" i="10"/>
  <c r="AA687" i="10" s="1"/>
  <c r="AE686" i="10"/>
  <c r="AA686" i="10" s="1"/>
  <c r="AE685" i="10"/>
  <c r="AA685" i="10" s="1"/>
  <c r="AE684" i="10"/>
  <c r="AA684" i="10" s="1"/>
  <c r="AE683" i="10"/>
  <c r="AA683" i="10" s="1"/>
  <c r="AE682" i="10"/>
  <c r="AA682" i="10" s="1"/>
  <c r="AE681" i="10"/>
  <c r="AA681" i="10" s="1"/>
  <c r="AE680" i="10"/>
  <c r="AA680" i="10" s="1"/>
  <c r="AE679" i="10"/>
  <c r="AA679" i="10" s="1"/>
  <c r="AE678" i="10"/>
  <c r="AA678" i="10" s="1"/>
  <c r="AE677" i="10"/>
  <c r="AA677" i="10" s="1"/>
  <c r="AE676" i="10"/>
  <c r="AA676" i="10" s="1"/>
  <c r="AE675" i="10"/>
  <c r="AA675" i="10" s="1"/>
  <c r="AE674" i="10"/>
  <c r="AA674" i="10" s="1"/>
  <c r="AE673" i="10"/>
  <c r="AA673" i="10" s="1"/>
  <c r="AE672" i="10"/>
  <c r="AA672" i="10" s="1"/>
  <c r="AE671" i="10"/>
  <c r="AA671" i="10" s="1"/>
  <c r="AE670" i="10"/>
  <c r="AA670" i="10" s="1"/>
  <c r="AE669" i="10"/>
  <c r="AA669" i="10" s="1"/>
  <c r="AE668" i="10"/>
  <c r="AA668" i="10" s="1"/>
  <c r="AE667" i="10"/>
  <c r="AA667" i="10" s="1"/>
  <c r="AE666" i="10"/>
  <c r="AA666" i="10" s="1"/>
  <c r="AE665" i="10"/>
  <c r="AA665" i="10" s="1"/>
  <c r="AE664" i="10"/>
  <c r="AA664" i="10" s="1"/>
  <c r="AE663" i="10"/>
  <c r="AA663" i="10" s="1"/>
  <c r="AE662" i="10"/>
  <c r="AA662" i="10" s="1"/>
  <c r="AE661" i="10"/>
  <c r="AA661" i="10" s="1"/>
  <c r="AE660" i="10"/>
  <c r="AA660" i="10" s="1"/>
  <c r="AE659" i="10"/>
  <c r="AA659" i="10" s="1"/>
  <c r="AE658" i="10"/>
  <c r="AA658" i="10" s="1"/>
  <c r="AE657" i="10"/>
  <c r="AA657" i="10" s="1"/>
  <c r="AE656" i="10"/>
  <c r="AA656" i="10" s="1"/>
  <c r="AE655" i="10"/>
  <c r="AA655" i="10" s="1"/>
  <c r="AE654" i="10"/>
  <c r="AA654" i="10" s="1"/>
  <c r="AE653" i="10"/>
  <c r="AA653" i="10" s="1"/>
  <c r="AE652" i="10"/>
  <c r="AA652" i="10" s="1"/>
  <c r="AE651" i="10"/>
  <c r="AA651" i="10" s="1"/>
  <c r="AE650" i="10"/>
  <c r="AA650" i="10" s="1"/>
  <c r="AE649" i="10"/>
  <c r="AA649" i="10" s="1"/>
  <c r="AE648" i="10"/>
  <c r="AA648" i="10" s="1"/>
  <c r="AE647" i="10"/>
  <c r="AA647" i="10" s="1"/>
  <c r="AE646" i="10"/>
  <c r="AA646" i="10" s="1"/>
  <c r="AE645" i="10"/>
  <c r="AA645" i="10" s="1"/>
  <c r="AE644" i="10"/>
  <c r="AA644" i="10" s="1"/>
  <c r="AE643" i="10"/>
  <c r="AA643" i="10" s="1"/>
  <c r="AE642" i="10"/>
  <c r="AA642" i="10" s="1"/>
  <c r="AE641" i="10"/>
  <c r="AA641" i="10" s="1"/>
  <c r="AE640" i="10"/>
  <c r="AA640" i="10" s="1"/>
  <c r="AE639" i="10"/>
  <c r="AA639" i="10" s="1"/>
  <c r="AE638" i="10"/>
  <c r="AA638" i="10" s="1"/>
  <c r="AE637" i="10"/>
  <c r="AA637" i="10" s="1"/>
  <c r="AE636" i="10"/>
  <c r="AA636" i="10" s="1"/>
  <c r="AE635" i="10"/>
  <c r="AA635" i="10" s="1"/>
  <c r="AE634" i="10"/>
  <c r="AA634" i="10" s="1"/>
  <c r="AE633" i="10"/>
  <c r="AA633" i="10" s="1"/>
  <c r="AE632" i="10"/>
  <c r="AA632" i="10" s="1"/>
  <c r="AE631" i="10"/>
  <c r="AA631" i="10" s="1"/>
  <c r="AE630" i="10"/>
  <c r="AA630" i="10" s="1"/>
  <c r="AE629" i="10"/>
  <c r="AA629" i="10" s="1"/>
  <c r="AE628" i="10"/>
  <c r="AA628" i="10" s="1"/>
  <c r="AE627" i="10"/>
  <c r="AA627" i="10" s="1"/>
  <c r="AE626" i="10"/>
  <c r="AA626" i="10" s="1"/>
  <c r="AE625" i="10"/>
  <c r="AA625" i="10" s="1"/>
  <c r="AE624" i="10"/>
  <c r="AA624" i="10" s="1"/>
  <c r="AE623" i="10"/>
  <c r="AA623" i="10" s="1"/>
  <c r="AE622" i="10"/>
  <c r="AA622" i="10" s="1"/>
  <c r="AE621" i="10"/>
  <c r="AA621" i="10" s="1"/>
  <c r="AE620" i="10"/>
  <c r="AA620" i="10" s="1"/>
  <c r="AE619" i="10"/>
  <c r="AA619" i="10" s="1"/>
  <c r="AE618" i="10"/>
  <c r="AA618" i="10" s="1"/>
  <c r="AE617" i="10"/>
  <c r="AA617" i="10" s="1"/>
  <c r="AE616" i="10"/>
  <c r="AA616" i="10" s="1"/>
  <c r="AE615" i="10"/>
  <c r="AA615" i="10" s="1"/>
  <c r="AE614" i="10"/>
  <c r="AA614" i="10" s="1"/>
  <c r="AE613" i="10"/>
  <c r="AA613" i="10" s="1"/>
  <c r="AE612" i="10"/>
  <c r="AA612" i="10" s="1"/>
  <c r="AE611" i="10"/>
  <c r="AA611" i="10" s="1"/>
  <c r="AE610" i="10"/>
  <c r="AA610" i="10" s="1"/>
  <c r="AE609" i="10"/>
  <c r="AA609" i="10" s="1"/>
  <c r="AE608" i="10"/>
  <c r="AA608" i="10" s="1"/>
  <c r="AE607" i="10"/>
  <c r="AA607" i="10" s="1"/>
  <c r="AE606" i="10"/>
  <c r="AA606" i="10" s="1"/>
  <c r="AE605" i="10"/>
  <c r="AA605" i="10" s="1"/>
  <c r="AE604" i="10"/>
  <c r="AA604" i="10" s="1"/>
  <c r="AE603" i="10"/>
  <c r="AA603" i="10" s="1"/>
  <c r="AE602" i="10"/>
  <c r="AA602" i="10" s="1"/>
  <c r="AE601" i="10"/>
  <c r="AA601" i="10" s="1"/>
  <c r="AE600" i="10"/>
  <c r="AA600" i="10" s="1"/>
  <c r="AE599" i="10"/>
  <c r="AA599" i="10" s="1"/>
  <c r="AE598" i="10"/>
  <c r="AA598" i="10" s="1"/>
  <c r="AE597" i="10"/>
  <c r="AA597" i="10" s="1"/>
  <c r="AE596" i="10"/>
  <c r="AA596" i="10" s="1"/>
  <c r="AE595" i="10"/>
  <c r="AA595" i="10" s="1"/>
  <c r="AE594" i="10"/>
  <c r="AA594" i="10" s="1"/>
  <c r="AE593" i="10"/>
  <c r="AA593" i="10" s="1"/>
  <c r="AE592" i="10"/>
  <c r="AA592" i="10" s="1"/>
  <c r="AE591" i="10"/>
  <c r="AA591" i="10" s="1"/>
  <c r="AE590" i="10"/>
  <c r="AA590" i="10" s="1"/>
  <c r="AE589" i="10"/>
  <c r="AA589" i="10" s="1"/>
  <c r="AE588" i="10"/>
  <c r="AA588" i="10" s="1"/>
  <c r="AE587" i="10"/>
  <c r="AA587" i="10" s="1"/>
  <c r="AE586" i="10"/>
  <c r="AA586" i="10" s="1"/>
  <c r="AE585" i="10"/>
  <c r="AA585" i="10" s="1"/>
  <c r="AE584" i="10"/>
  <c r="AA584" i="10" s="1"/>
  <c r="AE583" i="10"/>
  <c r="AA583" i="10" s="1"/>
  <c r="AE582" i="10"/>
  <c r="AA582" i="10" s="1"/>
  <c r="AE581" i="10"/>
  <c r="AA581" i="10" s="1"/>
  <c r="AE580" i="10"/>
  <c r="AA580" i="10" s="1"/>
  <c r="AE579" i="10"/>
  <c r="AA579" i="10" s="1"/>
  <c r="AE578" i="10"/>
  <c r="AA578" i="10" s="1"/>
  <c r="AE577" i="10"/>
  <c r="AA577" i="10" s="1"/>
  <c r="AE576" i="10"/>
  <c r="AA576" i="10" s="1"/>
  <c r="AE575" i="10"/>
  <c r="AA575" i="10" s="1"/>
  <c r="AE574" i="10"/>
  <c r="AA574" i="10" s="1"/>
  <c r="AE573" i="10"/>
  <c r="AA573" i="10" s="1"/>
  <c r="AE572" i="10"/>
  <c r="AA572" i="10" s="1"/>
  <c r="AE571" i="10"/>
  <c r="AA571" i="10" s="1"/>
  <c r="AE570" i="10"/>
  <c r="AA570" i="10" s="1"/>
  <c r="AE569" i="10"/>
  <c r="AA569" i="10" s="1"/>
  <c r="AE568" i="10"/>
  <c r="AA568" i="10" s="1"/>
  <c r="AE567" i="10"/>
  <c r="AA567" i="10" s="1"/>
  <c r="AE566" i="10"/>
  <c r="AA566" i="10" s="1"/>
  <c r="AE565" i="10"/>
  <c r="AA565" i="10" s="1"/>
  <c r="AE564" i="10"/>
  <c r="AA564" i="10" s="1"/>
  <c r="AE563" i="10"/>
  <c r="AA563" i="10" s="1"/>
  <c r="AE562" i="10"/>
  <c r="AA562" i="10" s="1"/>
  <c r="AE561" i="10"/>
  <c r="AA561" i="10" s="1"/>
  <c r="AE560" i="10"/>
  <c r="AA560" i="10" s="1"/>
  <c r="AE559" i="10"/>
  <c r="AA559" i="10" s="1"/>
  <c r="AE558" i="10"/>
  <c r="AA558" i="10" s="1"/>
  <c r="AE557" i="10"/>
  <c r="AA557" i="10" s="1"/>
  <c r="AE556" i="10"/>
  <c r="AA556" i="10" s="1"/>
  <c r="AE555" i="10"/>
  <c r="AA555" i="10" s="1"/>
  <c r="AE554" i="10"/>
  <c r="AA554" i="10" s="1"/>
  <c r="AE553" i="10"/>
  <c r="AA553" i="10" s="1"/>
  <c r="AE552" i="10"/>
  <c r="AA552" i="10" s="1"/>
  <c r="AE551" i="10"/>
  <c r="AA551" i="10" s="1"/>
  <c r="AE550" i="10"/>
  <c r="AA550" i="10" s="1"/>
  <c r="AE549" i="10"/>
  <c r="AA549" i="10" s="1"/>
  <c r="AE548" i="10"/>
  <c r="AA548" i="10" s="1"/>
  <c r="AE547" i="10"/>
  <c r="AA547" i="10" s="1"/>
  <c r="AE546" i="10"/>
  <c r="AA546" i="10" s="1"/>
  <c r="AE545" i="10"/>
  <c r="AA545" i="10" s="1"/>
  <c r="AE544" i="10"/>
  <c r="AA544" i="10" s="1"/>
  <c r="AE543" i="10"/>
  <c r="AA543" i="10" s="1"/>
  <c r="AE542" i="10"/>
  <c r="AA542" i="10" s="1"/>
  <c r="AE541" i="10"/>
  <c r="AA541" i="10" s="1"/>
  <c r="AE540" i="10"/>
  <c r="AA540" i="10" s="1"/>
  <c r="AE539" i="10"/>
  <c r="AA539" i="10" s="1"/>
  <c r="AE538" i="10"/>
  <c r="AA538" i="10" s="1"/>
  <c r="AE537" i="10"/>
  <c r="AA537" i="10" s="1"/>
  <c r="AE536" i="10"/>
  <c r="AA536" i="10" s="1"/>
  <c r="AE535" i="10"/>
  <c r="AA535" i="10" s="1"/>
  <c r="AE534" i="10"/>
  <c r="AA534" i="10" s="1"/>
  <c r="AE533" i="10"/>
  <c r="AA533" i="10" s="1"/>
  <c r="AE532" i="10"/>
  <c r="AA532" i="10" s="1"/>
  <c r="AE531" i="10"/>
  <c r="AA531" i="10" s="1"/>
  <c r="AE530" i="10"/>
  <c r="AA530" i="10" s="1"/>
  <c r="AE529" i="10"/>
  <c r="AA529" i="10" s="1"/>
  <c r="AE528" i="10"/>
  <c r="AA528" i="10" s="1"/>
  <c r="AE527" i="10"/>
  <c r="AA527" i="10" s="1"/>
  <c r="AE526" i="10"/>
  <c r="AA526" i="10" s="1"/>
  <c r="AE525" i="10"/>
  <c r="AA525" i="10" s="1"/>
  <c r="AE524" i="10"/>
  <c r="AA524" i="10" s="1"/>
  <c r="AE523" i="10"/>
  <c r="AA523" i="10" s="1"/>
  <c r="AE522" i="10"/>
  <c r="AA522" i="10" s="1"/>
  <c r="AE521" i="10"/>
  <c r="AA521" i="10" s="1"/>
  <c r="AE520" i="10"/>
  <c r="AA520" i="10" s="1"/>
  <c r="AE519" i="10"/>
  <c r="AA519" i="10" s="1"/>
  <c r="AE518" i="10"/>
  <c r="AA518" i="10" s="1"/>
  <c r="AE517" i="10"/>
  <c r="AA517" i="10" s="1"/>
  <c r="AE516" i="10"/>
  <c r="AA516" i="10" s="1"/>
  <c r="AE515" i="10"/>
  <c r="AA515" i="10" s="1"/>
  <c r="AE514" i="10"/>
  <c r="AA514" i="10" s="1"/>
  <c r="AE513" i="10"/>
  <c r="AA513" i="10" s="1"/>
  <c r="AE512" i="10"/>
  <c r="AA512" i="10" s="1"/>
  <c r="AE511" i="10"/>
  <c r="AA511" i="10" s="1"/>
  <c r="AE510" i="10"/>
  <c r="AA510" i="10" s="1"/>
  <c r="AE509" i="10"/>
  <c r="AA509" i="10" s="1"/>
  <c r="AE508" i="10"/>
  <c r="AA508" i="10" s="1"/>
  <c r="AE507" i="10"/>
  <c r="AA507" i="10" s="1"/>
  <c r="AE506" i="10"/>
  <c r="AA506" i="10" s="1"/>
  <c r="AE505" i="10"/>
  <c r="AA505" i="10" s="1"/>
  <c r="AE504" i="10"/>
  <c r="AA504" i="10" s="1"/>
  <c r="AE503" i="10"/>
  <c r="AA503" i="10" s="1"/>
  <c r="AE502" i="10"/>
  <c r="AA502" i="10" s="1"/>
  <c r="AE501" i="10"/>
  <c r="AA501" i="10" s="1"/>
  <c r="AE500" i="10"/>
  <c r="AA500" i="10" s="1"/>
  <c r="AE499" i="10"/>
  <c r="AA499" i="10" s="1"/>
  <c r="AE498" i="10"/>
  <c r="AA498" i="10" s="1"/>
  <c r="AE497" i="10"/>
  <c r="AA497" i="10" s="1"/>
  <c r="AE496" i="10"/>
  <c r="AA496" i="10" s="1"/>
  <c r="AE495" i="10"/>
  <c r="AA495" i="10" s="1"/>
  <c r="AE494" i="10"/>
  <c r="AA494" i="10" s="1"/>
  <c r="AE493" i="10"/>
  <c r="AA493" i="10" s="1"/>
  <c r="AE492" i="10"/>
  <c r="AA492" i="10" s="1"/>
  <c r="AE491" i="10"/>
  <c r="AA491" i="10" s="1"/>
  <c r="AE490" i="10"/>
  <c r="AA490" i="10" s="1"/>
  <c r="AE489" i="10"/>
  <c r="AA489" i="10" s="1"/>
  <c r="AE488" i="10"/>
  <c r="AA488" i="10" s="1"/>
  <c r="AE487" i="10"/>
  <c r="AA487" i="10" s="1"/>
  <c r="AE486" i="10"/>
  <c r="AA486" i="10" s="1"/>
  <c r="AE485" i="10"/>
  <c r="AA485" i="10" s="1"/>
  <c r="AE484" i="10"/>
  <c r="AA484" i="10" s="1"/>
  <c r="AE483" i="10"/>
  <c r="AA483" i="10" s="1"/>
  <c r="AE482" i="10"/>
  <c r="AA482" i="10" s="1"/>
  <c r="AE481" i="10"/>
  <c r="AA481" i="10" s="1"/>
  <c r="AE480" i="10"/>
  <c r="AA480" i="10" s="1"/>
  <c r="AE479" i="10"/>
  <c r="AA479" i="10" s="1"/>
  <c r="AE478" i="10"/>
  <c r="AA478" i="10" s="1"/>
  <c r="AE477" i="10"/>
  <c r="AA477" i="10" s="1"/>
  <c r="AE476" i="10"/>
  <c r="AA476" i="10" s="1"/>
  <c r="AE475" i="10"/>
  <c r="AA475" i="10" s="1"/>
  <c r="AE474" i="10"/>
  <c r="AA474" i="10" s="1"/>
  <c r="AE473" i="10"/>
  <c r="AA473" i="10" s="1"/>
  <c r="AE472" i="10"/>
  <c r="AA472" i="10" s="1"/>
  <c r="AE471" i="10"/>
  <c r="AA471" i="10" s="1"/>
  <c r="AE470" i="10"/>
  <c r="AA470" i="10" s="1"/>
  <c r="AE469" i="10"/>
  <c r="AA469" i="10" s="1"/>
  <c r="AE468" i="10"/>
  <c r="AA468" i="10" s="1"/>
  <c r="AE467" i="10"/>
  <c r="AA467" i="10" s="1"/>
  <c r="AE466" i="10"/>
  <c r="AA466" i="10" s="1"/>
  <c r="AE465" i="10"/>
  <c r="AA465" i="10" s="1"/>
  <c r="AE464" i="10"/>
  <c r="AA464" i="10" s="1"/>
  <c r="AE463" i="10"/>
  <c r="AA463" i="10" s="1"/>
  <c r="AE462" i="10"/>
  <c r="AA462" i="10" s="1"/>
  <c r="AE461" i="10"/>
  <c r="AA461" i="10" s="1"/>
  <c r="AE460" i="10"/>
  <c r="AA460" i="10" s="1"/>
  <c r="AE459" i="10"/>
  <c r="AA459" i="10" s="1"/>
  <c r="AE458" i="10"/>
  <c r="AA458" i="10" s="1"/>
  <c r="AE457" i="10"/>
  <c r="AA457" i="10" s="1"/>
  <c r="AE456" i="10"/>
  <c r="AA456" i="10" s="1"/>
  <c r="AE455" i="10"/>
  <c r="AA455" i="10" s="1"/>
  <c r="AE454" i="10"/>
  <c r="AA454" i="10" s="1"/>
  <c r="AE453" i="10"/>
  <c r="AA453" i="10" s="1"/>
  <c r="AE452" i="10"/>
  <c r="AA452" i="10" s="1"/>
  <c r="AE451" i="10"/>
  <c r="AA451" i="10" s="1"/>
  <c r="AE450" i="10"/>
  <c r="AA450" i="10" s="1"/>
  <c r="AE449" i="10"/>
  <c r="AA449" i="10" s="1"/>
  <c r="AE448" i="10"/>
  <c r="AA448" i="10" s="1"/>
  <c r="AE447" i="10"/>
  <c r="AA447" i="10" s="1"/>
  <c r="AE446" i="10"/>
  <c r="AA446" i="10" s="1"/>
  <c r="AE445" i="10"/>
  <c r="AA445" i="10" s="1"/>
  <c r="AE444" i="10"/>
  <c r="AA444" i="10" s="1"/>
  <c r="AE443" i="10"/>
  <c r="AA443" i="10" s="1"/>
  <c r="AE442" i="10"/>
  <c r="AA442" i="10" s="1"/>
  <c r="AE441" i="10"/>
  <c r="AA441" i="10" s="1"/>
  <c r="AE440" i="10"/>
  <c r="AA440" i="10" s="1"/>
  <c r="AE439" i="10"/>
  <c r="AA439" i="10" s="1"/>
  <c r="AE438" i="10"/>
  <c r="AA438" i="10" s="1"/>
  <c r="AE437" i="10"/>
  <c r="AA437" i="10" s="1"/>
  <c r="AE436" i="10"/>
  <c r="AA436" i="10" s="1"/>
  <c r="AE435" i="10"/>
  <c r="AA435" i="10" s="1"/>
  <c r="AE434" i="10"/>
  <c r="AA434" i="10" s="1"/>
  <c r="AE433" i="10"/>
  <c r="AA433" i="10" s="1"/>
  <c r="AE432" i="10"/>
  <c r="AA432" i="10" s="1"/>
  <c r="AE431" i="10"/>
  <c r="AA431" i="10" s="1"/>
  <c r="AE430" i="10"/>
  <c r="AA430" i="10" s="1"/>
  <c r="AE429" i="10"/>
  <c r="AA429" i="10" s="1"/>
  <c r="AE428" i="10"/>
  <c r="AA428" i="10" s="1"/>
  <c r="AE427" i="10"/>
  <c r="AA427" i="10" s="1"/>
  <c r="AE426" i="10"/>
  <c r="AA426" i="10" s="1"/>
  <c r="AE425" i="10"/>
  <c r="AA425" i="10" s="1"/>
  <c r="AE424" i="10"/>
  <c r="AA424" i="10" s="1"/>
  <c r="AE423" i="10"/>
  <c r="AA423" i="10" s="1"/>
  <c r="AE422" i="10"/>
  <c r="AA422" i="10" s="1"/>
  <c r="AE421" i="10"/>
  <c r="AA421" i="10" s="1"/>
  <c r="AE420" i="10"/>
  <c r="AA420" i="10" s="1"/>
  <c r="AE419" i="10"/>
  <c r="AA419" i="10" s="1"/>
  <c r="AE418" i="10"/>
  <c r="AA418" i="10" s="1"/>
  <c r="AE417" i="10"/>
  <c r="AA417" i="10" s="1"/>
  <c r="AE416" i="10"/>
  <c r="AA416" i="10" s="1"/>
  <c r="AE415" i="10"/>
  <c r="AA415" i="10" s="1"/>
  <c r="AE414" i="10"/>
  <c r="AA414" i="10" s="1"/>
  <c r="AE413" i="10"/>
  <c r="AA413" i="10" s="1"/>
  <c r="AE412" i="10"/>
  <c r="AA412" i="10" s="1"/>
  <c r="AE411" i="10"/>
  <c r="AA411" i="10" s="1"/>
  <c r="AE410" i="10"/>
  <c r="AA410" i="10" s="1"/>
  <c r="AE409" i="10"/>
  <c r="AA409" i="10" s="1"/>
  <c r="AE408" i="10"/>
  <c r="AA408" i="10" s="1"/>
  <c r="AE407" i="10"/>
  <c r="AA407" i="10" s="1"/>
  <c r="AE406" i="10"/>
  <c r="AA406" i="10" s="1"/>
  <c r="AE405" i="10"/>
  <c r="AA405" i="10" s="1"/>
  <c r="AE404" i="10"/>
  <c r="AA404" i="10" s="1"/>
  <c r="AE403" i="10"/>
  <c r="AA403" i="10" s="1"/>
  <c r="AE402" i="10"/>
  <c r="AA402" i="10" s="1"/>
  <c r="AE401" i="10"/>
  <c r="AA401" i="10" s="1"/>
  <c r="AE400" i="10"/>
  <c r="AA400" i="10" s="1"/>
  <c r="AE399" i="10"/>
  <c r="AA399" i="10" s="1"/>
  <c r="AE398" i="10"/>
  <c r="AA398" i="10" s="1"/>
  <c r="AE397" i="10"/>
  <c r="AA397" i="10" s="1"/>
  <c r="AE396" i="10"/>
  <c r="AA396" i="10" s="1"/>
  <c r="AE395" i="10"/>
  <c r="AA395" i="10" s="1"/>
  <c r="AE394" i="10"/>
  <c r="AA394" i="10" s="1"/>
  <c r="AE393" i="10"/>
  <c r="AA393" i="10" s="1"/>
  <c r="AE392" i="10"/>
  <c r="AA392" i="10" s="1"/>
  <c r="AE391" i="10"/>
  <c r="AA391" i="10" s="1"/>
  <c r="AE390" i="10"/>
  <c r="AA390" i="10" s="1"/>
  <c r="AE389" i="10"/>
  <c r="AA389" i="10" s="1"/>
  <c r="AE388" i="10"/>
  <c r="AA388" i="10" s="1"/>
  <c r="AE387" i="10"/>
  <c r="AA387" i="10" s="1"/>
  <c r="AE386" i="10"/>
  <c r="AA386" i="10" s="1"/>
  <c r="AE385" i="10"/>
  <c r="AA385" i="10" s="1"/>
  <c r="AE384" i="10"/>
  <c r="AA384" i="10" s="1"/>
  <c r="AE383" i="10"/>
  <c r="AA383" i="10" s="1"/>
  <c r="AE382" i="10"/>
  <c r="AA382" i="10" s="1"/>
  <c r="AE381" i="10"/>
  <c r="AA381" i="10" s="1"/>
  <c r="AE380" i="10"/>
  <c r="AA380" i="10" s="1"/>
  <c r="AE379" i="10"/>
  <c r="AA379" i="10" s="1"/>
  <c r="AE378" i="10"/>
  <c r="AA378" i="10" s="1"/>
  <c r="AE377" i="10"/>
  <c r="AA377" i="10" s="1"/>
  <c r="AE376" i="10"/>
  <c r="AA376" i="10" s="1"/>
  <c r="AE375" i="10"/>
  <c r="AA375" i="10" s="1"/>
  <c r="AE374" i="10"/>
  <c r="AA374" i="10" s="1"/>
  <c r="AE373" i="10"/>
  <c r="AA373" i="10" s="1"/>
  <c r="AE372" i="10"/>
  <c r="AA372" i="10" s="1"/>
  <c r="AE371" i="10"/>
  <c r="AA371" i="10" s="1"/>
  <c r="AE370" i="10"/>
  <c r="AA370" i="10" s="1"/>
  <c r="AE369" i="10"/>
  <c r="AA369" i="10" s="1"/>
  <c r="AE368" i="10"/>
  <c r="AA368" i="10" s="1"/>
  <c r="AE367" i="10"/>
  <c r="AA367" i="10" s="1"/>
  <c r="AE366" i="10"/>
  <c r="AA366" i="10" s="1"/>
  <c r="AE365" i="10"/>
  <c r="AA365" i="10" s="1"/>
  <c r="AE364" i="10"/>
  <c r="AA364" i="10" s="1"/>
  <c r="AE363" i="10"/>
  <c r="AA363" i="10" s="1"/>
  <c r="AE362" i="10"/>
  <c r="AA362" i="10" s="1"/>
  <c r="AE361" i="10"/>
  <c r="AA361" i="10" s="1"/>
  <c r="AE360" i="10"/>
  <c r="AA360" i="10" s="1"/>
  <c r="AE359" i="10"/>
  <c r="AA359" i="10" s="1"/>
  <c r="AE358" i="10"/>
  <c r="AA358" i="10" s="1"/>
  <c r="AE357" i="10"/>
  <c r="AA357" i="10" s="1"/>
  <c r="AE356" i="10"/>
  <c r="AA356" i="10" s="1"/>
  <c r="AE355" i="10"/>
  <c r="AA355" i="10" s="1"/>
  <c r="AE354" i="10"/>
  <c r="AA354" i="10" s="1"/>
  <c r="AE353" i="10"/>
  <c r="AA353" i="10" s="1"/>
  <c r="AE352" i="10"/>
  <c r="AA352" i="10" s="1"/>
  <c r="AE351" i="10"/>
  <c r="AA351" i="10" s="1"/>
  <c r="AE350" i="10"/>
  <c r="AA350" i="10" s="1"/>
  <c r="AE349" i="10"/>
  <c r="AA349" i="10" s="1"/>
  <c r="AE348" i="10"/>
  <c r="AA348" i="10" s="1"/>
  <c r="AE347" i="10"/>
  <c r="AA347" i="10" s="1"/>
  <c r="AE346" i="10"/>
  <c r="AA346" i="10" s="1"/>
  <c r="AE345" i="10"/>
  <c r="AA345" i="10" s="1"/>
  <c r="AE344" i="10"/>
  <c r="AA344" i="10" s="1"/>
  <c r="AE343" i="10"/>
  <c r="AA343" i="10" s="1"/>
  <c r="AE342" i="10"/>
  <c r="AA342" i="10" s="1"/>
  <c r="AE341" i="10"/>
  <c r="AA341" i="10" s="1"/>
  <c r="AE340" i="10"/>
  <c r="AA340" i="10" s="1"/>
  <c r="AE339" i="10"/>
  <c r="AA339" i="10" s="1"/>
  <c r="AE338" i="10"/>
  <c r="AA338" i="10" s="1"/>
  <c r="AE337" i="10"/>
  <c r="AA337" i="10" s="1"/>
  <c r="AE336" i="10"/>
  <c r="AA336" i="10" s="1"/>
  <c r="AE335" i="10"/>
  <c r="AA335" i="10" s="1"/>
  <c r="AE334" i="10"/>
  <c r="AA334" i="10" s="1"/>
  <c r="AE333" i="10"/>
  <c r="AA333" i="10" s="1"/>
  <c r="AE332" i="10"/>
  <c r="AA332" i="10" s="1"/>
  <c r="AE331" i="10"/>
  <c r="AA331" i="10" s="1"/>
  <c r="AE330" i="10"/>
  <c r="AA330" i="10" s="1"/>
  <c r="AE329" i="10"/>
  <c r="AA329" i="10" s="1"/>
  <c r="AE328" i="10"/>
  <c r="AA328" i="10" s="1"/>
  <c r="AE327" i="10"/>
  <c r="AA327" i="10" s="1"/>
  <c r="AE326" i="10"/>
  <c r="AA326" i="10" s="1"/>
  <c r="AE325" i="10"/>
  <c r="AA325" i="10" s="1"/>
  <c r="AE324" i="10"/>
  <c r="AA324" i="10" s="1"/>
  <c r="AE323" i="10"/>
  <c r="AA323" i="10" s="1"/>
  <c r="AE322" i="10"/>
  <c r="AA322" i="10" s="1"/>
  <c r="AE321" i="10"/>
  <c r="AA321" i="10" s="1"/>
  <c r="AE320" i="10"/>
  <c r="AA320" i="10" s="1"/>
  <c r="AE319" i="10"/>
  <c r="AA319" i="10" s="1"/>
  <c r="AE318" i="10"/>
  <c r="AA318" i="10" s="1"/>
  <c r="AE317" i="10"/>
  <c r="AA317" i="10" s="1"/>
  <c r="AE316" i="10"/>
  <c r="AA316" i="10" s="1"/>
  <c r="AE315" i="10"/>
  <c r="AA315" i="10" s="1"/>
  <c r="AE314" i="10"/>
  <c r="AA314" i="10" s="1"/>
  <c r="AE313" i="10"/>
  <c r="AA313" i="10" s="1"/>
  <c r="AE312" i="10"/>
  <c r="AA312" i="10" s="1"/>
  <c r="AE311" i="10"/>
  <c r="AA311" i="10" s="1"/>
  <c r="AE310" i="10"/>
  <c r="AA310" i="10" s="1"/>
  <c r="AE309" i="10"/>
  <c r="AA309" i="10" s="1"/>
  <c r="AE308" i="10"/>
  <c r="AA308" i="10" s="1"/>
  <c r="AE307" i="10"/>
  <c r="AA307" i="10" s="1"/>
  <c r="AE306" i="10"/>
  <c r="AA306" i="10" s="1"/>
  <c r="AE305" i="10"/>
  <c r="AA305" i="10" s="1"/>
  <c r="AE304" i="10"/>
  <c r="AA304" i="10" s="1"/>
  <c r="AE303" i="10"/>
  <c r="AA303" i="10" s="1"/>
  <c r="AE302" i="10"/>
  <c r="AA302" i="10" s="1"/>
  <c r="AE301" i="10"/>
  <c r="AA301" i="10" s="1"/>
  <c r="AE300" i="10"/>
  <c r="AA300" i="10" s="1"/>
  <c r="AE299" i="10"/>
  <c r="AA299" i="10" s="1"/>
  <c r="AE298" i="10"/>
  <c r="AA298" i="10" s="1"/>
  <c r="AE297" i="10"/>
  <c r="AA297" i="10" s="1"/>
  <c r="AE296" i="10"/>
  <c r="AA296" i="10" s="1"/>
  <c r="AE295" i="10"/>
  <c r="AA295" i="10" s="1"/>
  <c r="AE294" i="10"/>
  <c r="AA294" i="10" s="1"/>
  <c r="AE293" i="10"/>
  <c r="AA293" i="10" s="1"/>
  <c r="AE292" i="10"/>
  <c r="AA292" i="10" s="1"/>
  <c r="AE291" i="10"/>
  <c r="AA291" i="10" s="1"/>
  <c r="AE290" i="10"/>
  <c r="AA290" i="10" s="1"/>
  <c r="AE289" i="10"/>
  <c r="AA289" i="10" s="1"/>
  <c r="AE288" i="10"/>
  <c r="AA288" i="10" s="1"/>
  <c r="AE287" i="10"/>
  <c r="AA287" i="10" s="1"/>
  <c r="AE286" i="10"/>
  <c r="AA286" i="10" s="1"/>
  <c r="AE285" i="10"/>
  <c r="AA285" i="10" s="1"/>
  <c r="AE284" i="10"/>
  <c r="AA284" i="10" s="1"/>
  <c r="AE283" i="10"/>
  <c r="AA283" i="10" s="1"/>
  <c r="AE282" i="10"/>
  <c r="AA282" i="10" s="1"/>
  <c r="AE281" i="10"/>
  <c r="AA281" i="10" s="1"/>
  <c r="AE280" i="10"/>
  <c r="AA280" i="10" s="1"/>
  <c r="AE279" i="10"/>
  <c r="AA279" i="10" s="1"/>
  <c r="AE278" i="10"/>
  <c r="AA278" i="10" s="1"/>
  <c r="AE277" i="10"/>
  <c r="AA277" i="10" s="1"/>
  <c r="AE276" i="10"/>
  <c r="AA276" i="10" s="1"/>
  <c r="AE275" i="10"/>
  <c r="AA275" i="10" s="1"/>
  <c r="AE274" i="10"/>
  <c r="AA274" i="10" s="1"/>
  <c r="AE273" i="10"/>
  <c r="AA273" i="10" s="1"/>
  <c r="AE272" i="10"/>
  <c r="AA272" i="10" s="1"/>
  <c r="AE271" i="10"/>
  <c r="AA271" i="10" s="1"/>
  <c r="AE270" i="10"/>
  <c r="AA270" i="10" s="1"/>
  <c r="AE269" i="10"/>
  <c r="AA269" i="10" s="1"/>
  <c r="AE268" i="10"/>
  <c r="AA268" i="10" s="1"/>
  <c r="AE267" i="10"/>
  <c r="AA267" i="10" s="1"/>
  <c r="AE266" i="10"/>
  <c r="AA266" i="10" s="1"/>
  <c r="AE265" i="10"/>
  <c r="AA265" i="10" s="1"/>
  <c r="AE264" i="10"/>
  <c r="AA264" i="10" s="1"/>
  <c r="AE263" i="10"/>
  <c r="AA263" i="10" s="1"/>
  <c r="AE262" i="10"/>
  <c r="AA262" i="10" s="1"/>
  <c r="AE261" i="10"/>
  <c r="AA261" i="10" s="1"/>
  <c r="AE260" i="10"/>
  <c r="AA260" i="10" s="1"/>
  <c r="AE259" i="10"/>
  <c r="AA259" i="10" s="1"/>
  <c r="AE258" i="10"/>
  <c r="AA258" i="10" s="1"/>
  <c r="AE257" i="10"/>
  <c r="AA257" i="10" s="1"/>
  <c r="AE256" i="10"/>
  <c r="AA256" i="10" s="1"/>
  <c r="AE255" i="10"/>
  <c r="AA255" i="10" s="1"/>
  <c r="AE254" i="10"/>
  <c r="AA254" i="10" s="1"/>
  <c r="AE253" i="10"/>
  <c r="AA253" i="10" s="1"/>
  <c r="AE252" i="10"/>
  <c r="AA252" i="10" s="1"/>
  <c r="AE251" i="10"/>
  <c r="AA251" i="10" s="1"/>
  <c r="AE250" i="10"/>
  <c r="AA250" i="10" s="1"/>
  <c r="AE249" i="10"/>
  <c r="AA249" i="10" s="1"/>
  <c r="AE248" i="10"/>
  <c r="AA248" i="10" s="1"/>
  <c r="AE247" i="10"/>
  <c r="AA247" i="10" s="1"/>
  <c r="AE246" i="10"/>
  <c r="AA246" i="10" s="1"/>
  <c r="AE245" i="10"/>
  <c r="AA245" i="10" s="1"/>
  <c r="AE244" i="10"/>
  <c r="AA244" i="10" s="1"/>
  <c r="AE243" i="10"/>
  <c r="AA243" i="10" s="1"/>
  <c r="AE242" i="10"/>
  <c r="AA242" i="10" s="1"/>
  <c r="AE241" i="10"/>
  <c r="AA241" i="10" s="1"/>
  <c r="AE240" i="10"/>
  <c r="AA240" i="10" s="1"/>
  <c r="AE239" i="10"/>
  <c r="AA239" i="10" s="1"/>
  <c r="AE238" i="10"/>
  <c r="AA238" i="10" s="1"/>
  <c r="AE237" i="10"/>
  <c r="AA237" i="10" s="1"/>
  <c r="AE236" i="10"/>
  <c r="AA236" i="10" s="1"/>
  <c r="AE235" i="10"/>
  <c r="AA235" i="10" s="1"/>
  <c r="AE234" i="10"/>
  <c r="AA234" i="10" s="1"/>
  <c r="AE233" i="10"/>
  <c r="AA233" i="10" s="1"/>
  <c r="AE232" i="10"/>
  <c r="AA232" i="10" s="1"/>
  <c r="AE231" i="10"/>
  <c r="AA231" i="10" s="1"/>
  <c r="AE230" i="10"/>
  <c r="AA230" i="10" s="1"/>
  <c r="AE229" i="10"/>
  <c r="AA229" i="10" s="1"/>
  <c r="AE228" i="10"/>
  <c r="AA228" i="10" s="1"/>
  <c r="AE227" i="10"/>
  <c r="AA227" i="10" s="1"/>
  <c r="AE226" i="10"/>
  <c r="AA226" i="10" s="1"/>
  <c r="AE225" i="10"/>
  <c r="AA225" i="10" s="1"/>
  <c r="AE224" i="10"/>
  <c r="AA224" i="10" s="1"/>
  <c r="AE223" i="10"/>
  <c r="AA223" i="10" s="1"/>
  <c r="AE222" i="10"/>
  <c r="AA222" i="10" s="1"/>
  <c r="AE221" i="10"/>
  <c r="AA221" i="10" s="1"/>
  <c r="AE220" i="10"/>
  <c r="AA220" i="10" s="1"/>
  <c r="AE219" i="10"/>
  <c r="AA219" i="10" s="1"/>
  <c r="AE218" i="10"/>
  <c r="AA218" i="10" s="1"/>
  <c r="AE217" i="10"/>
  <c r="AA217" i="10" s="1"/>
  <c r="AE216" i="10"/>
  <c r="AA216" i="10" s="1"/>
  <c r="AE215" i="10"/>
  <c r="AA215" i="10" s="1"/>
  <c r="AE214" i="10"/>
  <c r="AA214" i="10" s="1"/>
  <c r="AE213" i="10"/>
  <c r="AA213" i="10" s="1"/>
  <c r="AE212" i="10"/>
  <c r="AA212" i="10" s="1"/>
  <c r="AE211" i="10"/>
  <c r="AA211" i="10" s="1"/>
  <c r="AE210" i="10"/>
  <c r="AA210" i="10" s="1"/>
  <c r="AE209" i="10"/>
  <c r="AA209" i="10" s="1"/>
  <c r="AE208" i="10"/>
  <c r="AA208" i="10" s="1"/>
  <c r="AE207" i="10"/>
  <c r="AA207" i="10" s="1"/>
  <c r="AE206" i="10"/>
  <c r="AA206" i="10" s="1"/>
  <c r="AE205" i="10"/>
  <c r="AA205" i="10" s="1"/>
  <c r="AE204" i="10"/>
  <c r="AA204" i="10" s="1"/>
  <c r="AE203" i="10"/>
  <c r="AA203" i="10" s="1"/>
  <c r="AE202" i="10"/>
  <c r="AA202" i="10" s="1"/>
  <c r="AE201" i="10"/>
  <c r="AA201" i="10" s="1"/>
  <c r="AE200" i="10"/>
  <c r="AA200" i="10" s="1"/>
  <c r="AE199" i="10"/>
  <c r="AA199" i="10" s="1"/>
  <c r="AE198" i="10"/>
  <c r="AA198" i="10" s="1"/>
  <c r="AE197" i="10"/>
  <c r="AA197" i="10" s="1"/>
  <c r="AE196" i="10"/>
  <c r="AA196" i="10" s="1"/>
  <c r="AE195" i="10"/>
  <c r="AA195" i="10" s="1"/>
  <c r="AE194" i="10"/>
  <c r="AA194" i="10" s="1"/>
  <c r="AE193" i="10"/>
  <c r="AA193" i="10" s="1"/>
  <c r="AE192" i="10"/>
  <c r="AA192" i="10" s="1"/>
  <c r="AE191" i="10"/>
  <c r="AA191" i="10" s="1"/>
  <c r="AE190" i="10"/>
  <c r="AA190" i="10" s="1"/>
  <c r="AE189" i="10"/>
  <c r="AA189" i="10" s="1"/>
  <c r="AE188" i="10"/>
  <c r="AA188" i="10" s="1"/>
  <c r="AE187" i="10"/>
  <c r="AA187" i="10" s="1"/>
  <c r="AE186" i="10"/>
  <c r="AA186" i="10" s="1"/>
  <c r="AE185" i="10"/>
  <c r="AA185" i="10" s="1"/>
  <c r="AE184" i="10"/>
  <c r="AA184" i="10" s="1"/>
  <c r="AE183" i="10"/>
  <c r="AA183" i="10" s="1"/>
  <c r="AE182" i="10"/>
  <c r="AA182" i="10" s="1"/>
  <c r="AE181" i="10"/>
  <c r="AA181" i="10" s="1"/>
  <c r="AE180" i="10"/>
  <c r="AA180" i="10" s="1"/>
  <c r="AE179" i="10"/>
  <c r="AA179" i="10" s="1"/>
  <c r="AE178" i="10"/>
  <c r="AA178" i="10" s="1"/>
  <c r="AE177" i="10"/>
  <c r="AA177" i="10" s="1"/>
  <c r="AE176" i="10"/>
  <c r="AA176" i="10" s="1"/>
  <c r="AE175" i="10"/>
  <c r="AA175" i="10" s="1"/>
  <c r="AE174" i="10"/>
  <c r="AA174" i="10" s="1"/>
  <c r="AE173" i="10"/>
  <c r="AA173" i="10" s="1"/>
  <c r="AE172" i="10"/>
  <c r="AA172" i="10" s="1"/>
  <c r="AE171" i="10"/>
  <c r="AA171" i="10" s="1"/>
  <c r="AE170" i="10"/>
  <c r="AA170" i="10" s="1"/>
  <c r="AE169" i="10"/>
  <c r="AA169" i="10" s="1"/>
  <c r="AE168" i="10"/>
  <c r="AA168" i="10" s="1"/>
  <c r="AE167" i="10"/>
  <c r="AA167" i="10" s="1"/>
  <c r="AE166" i="10"/>
  <c r="AA166" i="10" s="1"/>
  <c r="AE165" i="10"/>
  <c r="AA165" i="10" s="1"/>
  <c r="AE164" i="10"/>
  <c r="AA164" i="10" s="1"/>
  <c r="AE163" i="10"/>
  <c r="AA163" i="10" s="1"/>
  <c r="AE162" i="10"/>
  <c r="AA162" i="10" s="1"/>
  <c r="AE161" i="10"/>
  <c r="AA161" i="10" s="1"/>
  <c r="AE160" i="10"/>
  <c r="AA160" i="10" s="1"/>
  <c r="AE159" i="10"/>
  <c r="AA159" i="10" s="1"/>
  <c r="AE158" i="10"/>
  <c r="AA158" i="10" s="1"/>
  <c r="AE157" i="10"/>
  <c r="AA157" i="10" s="1"/>
  <c r="AE156" i="10"/>
  <c r="AA156" i="10" s="1"/>
  <c r="AE155" i="10"/>
  <c r="AA155" i="10" s="1"/>
  <c r="AE154" i="10"/>
  <c r="AA154" i="10" s="1"/>
  <c r="AE153" i="10"/>
  <c r="AA153" i="10" s="1"/>
  <c r="AE152" i="10"/>
  <c r="AA152" i="10" s="1"/>
  <c r="AE151" i="10"/>
  <c r="AA151" i="10" s="1"/>
  <c r="AE150" i="10"/>
  <c r="AA150" i="10" s="1"/>
  <c r="AE149" i="10"/>
  <c r="AA149" i="10" s="1"/>
  <c r="AE148" i="10"/>
  <c r="AA148" i="10" s="1"/>
  <c r="AE147" i="10"/>
  <c r="AA147" i="10" s="1"/>
  <c r="AE146" i="10"/>
  <c r="AA146" i="10" s="1"/>
  <c r="AE145" i="10"/>
  <c r="AA145" i="10" s="1"/>
  <c r="AE144" i="10"/>
  <c r="AA144" i="10" s="1"/>
  <c r="AE143" i="10"/>
  <c r="AA143" i="10" s="1"/>
  <c r="AE142" i="10"/>
  <c r="AA142" i="10" s="1"/>
  <c r="AE141" i="10"/>
  <c r="AA141" i="10" s="1"/>
  <c r="AE140" i="10"/>
  <c r="AA140" i="10" s="1"/>
  <c r="AE139" i="10"/>
  <c r="AA139" i="10" s="1"/>
  <c r="AE138" i="10"/>
  <c r="AA138" i="10" s="1"/>
  <c r="AE137" i="10"/>
  <c r="AA137" i="10" s="1"/>
  <c r="AE136" i="10"/>
  <c r="AA136" i="10" s="1"/>
  <c r="AE135" i="10"/>
  <c r="AA135" i="10" s="1"/>
  <c r="AE134" i="10"/>
  <c r="AA134" i="10" s="1"/>
  <c r="AE133" i="10"/>
  <c r="AA133" i="10" s="1"/>
  <c r="AE132" i="10"/>
  <c r="AA132" i="10" s="1"/>
  <c r="AE131" i="10"/>
  <c r="AA131" i="10" s="1"/>
  <c r="AE130" i="10"/>
  <c r="AA130" i="10" s="1"/>
  <c r="AE129" i="10"/>
  <c r="AA129" i="10" s="1"/>
  <c r="AE128" i="10"/>
  <c r="AA128" i="10" s="1"/>
  <c r="AE127" i="10"/>
  <c r="AA127" i="10" s="1"/>
  <c r="AE126" i="10"/>
  <c r="AA126" i="10" s="1"/>
  <c r="AE125" i="10"/>
  <c r="AA125" i="10" s="1"/>
  <c r="AE124" i="10"/>
  <c r="AA124" i="10" s="1"/>
  <c r="AE123" i="10"/>
  <c r="AA123" i="10" s="1"/>
  <c r="AE122" i="10"/>
  <c r="AA122" i="10" s="1"/>
  <c r="AE121" i="10"/>
  <c r="AA121" i="10" s="1"/>
  <c r="AE120" i="10"/>
  <c r="AA120" i="10" s="1"/>
  <c r="AE119" i="10"/>
  <c r="AA119" i="10" s="1"/>
  <c r="AE118" i="10"/>
  <c r="AA118" i="10" s="1"/>
  <c r="AE117" i="10"/>
  <c r="AA117" i="10" s="1"/>
  <c r="AE116" i="10"/>
  <c r="AA116" i="10" s="1"/>
  <c r="AE115" i="10"/>
  <c r="AA115" i="10" s="1"/>
  <c r="AE114" i="10"/>
  <c r="AA114" i="10" s="1"/>
  <c r="AE113" i="10"/>
  <c r="AA113" i="10" s="1"/>
  <c r="AE112" i="10"/>
  <c r="AA112" i="10" s="1"/>
  <c r="AE111" i="10"/>
  <c r="AA111" i="10" s="1"/>
  <c r="AE110" i="10"/>
  <c r="AA110" i="10" s="1"/>
  <c r="AE109" i="10"/>
  <c r="AA109" i="10" s="1"/>
  <c r="AE108" i="10"/>
  <c r="AA108" i="10" s="1"/>
  <c r="AE107" i="10"/>
  <c r="AA107" i="10" s="1"/>
  <c r="AE106" i="10"/>
  <c r="AA106" i="10" s="1"/>
  <c r="AE105" i="10"/>
  <c r="AA105" i="10" s="1"/>
  <c r="AE104" i="10"/>
  <c r="AA104" i="10" s="1"/>
  <c r="AE103" i="10"/>
  <c r="AA103" i="10" s="1"/>
  <c r="AE102" i="10"/>
  <c r="AA102" i="10" s="1"/>
  <c r="AE101" i="10"/>
  <c r="AA101" i="10" s="1"/>
  <c r="AE100" i="10"/>
  <c r="AA100" i="10" s="1"/>
  <c r="AE99" i="10"/>
  <c r="AA99" i="10" s="1"/>
  <c r="AE98" i="10"/>
  <c r="AA98" i="10" s="1"/>
  <c r="AE97" i="10"/>
  <c r="AA97" i="10" s="1"/>
  <c r="AE96" i="10"/>
  <c r="AA96" i="10" s="1"/>
  <c r="AE95" i="10"/>
  <c r="AA95" i="10" s="1"/>
  <c r="AE94" i="10"/>
  <c r="AA94" i="10" s="1"/>
  <c r="AE93" i="10"/>
  <c r="AA93" i="10" s="1"/>
  <c r="AE92" i="10"/>
  <c r="AA92" i="10" s="1"/>
  <c r="AE91" i="10"/>
  <c r="AA91" i="10" s="1"/>
  <c r="AE90" i="10"/>
  <c r="AA90" i="10" s="1"/>
  <c r="AE89" i="10"/>
  <c r="AA89" i="10" s="1"/>
  <c r="AE88" i="10"/>
  <c r="AA88" i="10" s="1"/>
  <c r="AE87" i="10"/>
  <c r="AA87" i="10" s="1"/>
  <c r="AE86" i="10"/>
  <c r="AA86" i="10" s="1"/>
  <c r="AE85" i="10"/>
  <c r="AA85" i="10" s="1"/>
  <c r="AE84" i="10"/>
  <c r="AA84" i="10" s="1"/>
  <c r="AE83" i="10"/>
  <c r="AA83" i="10" s="1"/>
  <c r="AE82" i="10"/>
  <c r="AA82" i="10" s="1"/>
  <c r="AE81" i="10"/>
  <c r="AA81" i="10" s="1"/>
  <c r="AE80" i="10"/>
  <c r="AA80" i="10" s="1"/>
  <c r="AE79" i="10"/>
  <c r="AA79" i="10" s="1"/>
  <c r="AE78" i="10"/>
  <c r="AA78" i="10" s="1"/>
  <c r="AE77" i="10"/>
  <c r="AA77" i="10" s="1"/>
  <c r="AE76" i="10"/>
  <c r="AA76" i="10" s="1"/>
  <c r="AE75" i="10"/>
  <c r="AA75" i="10" s="1"/>
  <c r="AE74" i="10"/>
  <c r="AA74" i="10" s="1"/>
  <c r="AE73" i="10"/>
  <c r="AA73" i="10" s="1"/>
  <c r="AE72" i="10"/>
  <c r="AA72" i="10" s="1"/>
  <c r="AE71" i="10"/>
  <c r="AA71" i="10" s="1"/>
  <c r="AE70" i="10"/>
  <c r="AA70" i="10" s="1"/>
  <c r="AE69" i="10"/>
  <c r="AA69" i="10" s="1"/>
  <c r="AE68" i="10"/>
  <c r="AA68" i="10" s="1"/>
  <c r="AE67" i="10"/>
  <c r="AA67" i="10" s="1"/>
  <c r="AE66" i="10"/>
  <c r="AA66" i="10" s="1"/>
  <c r="AE65" i="10"/>
  <c r="AA65" i="10" s="1"/>
  <c r="AE64" i="10"/>
  <c r="AA64" i="10" s="1"/>
  <c r="AE63" i="10"/>
  <c r="AA63" i="10" s="1"/>
  <c r="AE62" i="10"/>
  <c r="AA62" i="10" s="1"/>
  <c r="AE61" i="10"/>
  <c r="AA61" i="10" s="1"/>
  <c r="AE60" i="10"/>
  <c r="AA60" i="10" s="1"/>
  <c r="AE59" i="10"/>
  <c r="AA59" i="10" s="1"/>
  <c r="AE58" i="10"/>
  <c r="AA58" i="10" s="1"/>
  <c r="AE57" i="10"/>
  <c r="AA57" i="10" s="1"/>
  <c r="AE56" i="10"/>
  <c r="AA56" i="10" s="1"/>
  <c r="AE55" i="10"/>
  <c r="AA55" i="10" s="1"/>
  <c r="AE54" i="10"/>
  <c r="AA54" i="10" s="1"/>
  <c r="AE53" i="10"/>
  <c r="AA53" i="10" s="1"/>
  <c r="AE52" i="10"/>
  <c r="AA52" i="10" s="1"/>
  <c r="AE51" i="10"/>
  <c r="AA51" i="10" s="1"/>
  <c r="AE50" i="10"/>
  <c r="AA50" i="10" s="1"/>
  <c r="AE49" i="10"/>
  <c r="AA49" i="10" s="1"/>
  <c r="AE48" i="10"/>
  <c r="AA48" i="10" s="1"/>
  <c r="AE47" i="10"/>
  <c r="AA47" i="10" s="1"/>
  <c r="AE46" i="10"/>
  <c r="AA46" i="10" s="1"/>
  <c r="AE45" i="10"/>
  <c r="AA45" i="10" s="1"/>
  <c r="AE44" i="10"/>
  <c r="AA44" i="10" s="1"/>
  <c r="AE43" i="10"/>
  <c r="AA43" i="10" s="1"/>
  <c r="AE42" i="10"/>
  <c r="AA42" i="10" s="1"/>
  <c r="AE41" i="10"/>
  <c r="AA41" i="10" s="1"/>
  <c r="AE40" i="10"/>
  <c r="AA40" i="10" s="1"/>
  <c r="AE39" i="10"/>
  <c r="AA39" i="10" s="1"/>
  <c r="AE38" i="10"/>
  <c r="AA38" i="10" s="1"/>
  <c r="AE37" i="10"/>
  <c r="AA37" i="10" s="1"/>
  <c r="AE36" i="10"/>
  <c r="AA36" i="10" s="1"/>
  <c r="AE35" i="10"/>
  <c r="AA35" i="10" s="1"/>
  <c r="AE34" i="10"/>
  <c r="AA34" i="10" s="1"/>
  <c r="AE33" i="10"/>
  <c r="AA33" i="10" s="1"/>
  <c r="AE32" i="10"/>
  <c r="AA32" i="10" s="1"/>
  <c r="AE31" i="10"/>
  <c r="AA31" i="10" s="1"/>
  <c r="AE30" i="10"/>
  <c r="AA30" i="10" s="1"/>
  <c r="AE29" i="10"/>
  <c r="AA29" i="10" s="1"/>
  <c r="AE28" i="10"/>
  <c r="AA28" i="10" s="1"/>
  <c r="AE27" i="10"/>
  <c r="AA27" i="10" s="1"/>
  <c r="AE26" i="10"/>
  <c r="AA26" i="10" s="1"/>
  <c r="AE25" i="10"/>
  <c r="AA25" i="10" s="1"/>
  <c r="AE24" i="10"/>
  <c r="AA24" i="10" s="1"/>
  <c r="AE23" i="10"/>
  <c r="AA23" i="10" s="1"/>
  <c r="AE22" i="10"/>
  <c r="AA22" i="10" s="1"/>
  <c r="AE21" i="10"/>
  <c r="AA21" i="10" s="1"/>
  <c r="AE20" i="10"/>
  <c r="AA20" i="10" s="1"/>
  <c r="AE19" i="10"/>
  <c r="AA19" i="10" s="1"/>
  <c r="AE18" i="10"/>
  <c r="AA18" i="10" s="1"/>
  <c r="AE17" i="10"/>
  <c r="AA17" i="10" s="1"/>
  <c r="AE16" i="10"/>
  <c r="AA16" i="10" s="1"/>
  <c r="AE15" i="10"/>
  <c r="AA15" i="10" s="1"/>
  <c r="AE14" i="10"/>
  <c r="AA14" i="10" s="1"/>
  <c r="AE13" i="10"/>
  <c r="AA13" i="10" s="1"/>
  <c r="AE12" i="10"/>
  <c r="AA12" i="10" s="1"/>
  <c r="AE11" i="10"/>
  <c r="AA11" i="10" s="1"/>
  <c r="AE10" i="10"/>
  <c r="AA10" i="10" s="1"/>
  <c r="AE9" i="10"/>
  <c r="AA9" i="10" s="1"/>
  <c r="AE8" i="10"/>
  <c r="AA8" i="10" s="1"/>
  <c r="AE7" i="10"/>
  <c r="AA7" i="10" s="1"/>
  <c r="AE6" i="10"/>
  <c r="AA6" i="10" s="1"/>
  <c r="AE5" i="10"/>
  <c r="AA5" i="10" s="1"/>
  <c r="AE4" i="10"/>
  <c r="AA4" i="10" s="1"/>
  <c r="AE3" i="10"/>
  <c r="AA3" i="10" s="1"/>
  <c r="AE2" i="10"/>
  <c r="AA2" i="10" s="1"/>
  <c r="AI3" i="7" l="1"/>
  <c r="D2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<sst xmlns="http://schemas.openxmlformats.org/spreadsheetml/2006/main" count="170326" uniqueCount="5668">
  <si>
    <t>Solicitação</t>
  </si>
  <si>
    <t>Tipo Solicitação</t>
  </si>
  <si>
    <t>Problema</t>
  </si>
  <si>
    <t>Número OS BB</t>
  </si>
  <si>
    <t>Bem</t>
  </si>
  <si>
    <t>Item</t>
  </si>
  <si>
    <t>Situação Equip.</t>
  </si>
  <si>
    <t>Ag. SAG</t>
  </si>
  <si>
    <t>Nome Local</t>
  </si>
  <si>
    <t>LAT</t>
  </si>
  <si>
    <t>Descrição Item</t>
  </si>
  <si>
    <t>Número de Série</t>
  </si>
  <si>
    <t>Cliente</t>
  </si>
  <si>
    <t>Conta</t>
  </si>
  <si>
    <t>Status</t>
  </si>
  <si>
    <t>Data Abertura</t>
  </si>
  <si>
    <t>Data Fechamento</t>
  </si>
  <si>
    <t>Criticidade</t>
  </si>
  <si>
    <t>SEMAT</t>
  </si>
  <si>
    <t>Contrato</t>
  </si>
  <si>
    <t>Data Resolução</t>
  </si>
  <si>
    <t>Grupo</t>
  </si>
  <si>
    <t>UF</t>
  </si>
  <si>
    <t>Prefixo</t>
  </si>
  <si>
    <t>SITUAÇÃO</t>
  </si>
  <si>
    <t>CONTROLADOR</t>
  </si>
  <si>
    <t>D. Cobertos</t>
  </si>
  <si>
    <t>Ativação</t>
  </si>
  <si>
    <t>DOSA - LIGAÇÃO DO RAMAL DIGITAL (CENTRAL TELEFOMICA INTELBRÁS) NA CENTRAL DE ALARME - Senha:~Tec:9617~Mast1:6167~Mast2:6168</t>
  </si>
  <si>
    <t>GRPE-900022</t>
  </si>
  <si>
    <t>N?o contratado</t>
  </si>
  <si>
    <t>9661.00</t>
  </si>
  <si>
    <t>SERET JUAZEIRO</t>
  </si>
  <si>
    <t>TR-PETROLINA</t>
  </si>
  <si>
    <t>T-99 CENTRAIS DE ALARME BBTS OUTSOURCINCG DE SISTEMAS DE ALARME</t>
  </si>
  <si>
    <t>COBRA TECNOLOGIA SA</t>
  </si>
  <si>
    <t>Suspenso</t>
  </si>
  <si>
    <t>06/02/2019 11:48:12</t>
  </si>
  <si>
    <t>S1</t>
  </si>
  <si>
    <t>00007/2015</t>
  </si>
  <si>
    <t>04/04/2019 18:00:00</t>
  </si>
  <si>
    <t>REC</t>
  </si>
  <si>
    <t>BA</t>
  </si>
  <si>
    <t>DOSA - LIGAÇÃO DO RAMAL DIGITAL (CENTRAL PVV) NA CENTRAL DE ALARME -Senha: Tec:5513 Mast1:5186 Mast2:5187</t>
  </si>
  <si>
    <t>2811.00</t>
  </si>
  <si>
    <t>CONSELHEIRO AGUIAR</t>
  </si>
  <si>
    <t>CAT-RECIFE</t>
  </si>
  <si>
    <t>27/09/2019 16:04:59</t>
  </si>
  <si>
    <t>22/11/2019 18:00:00</t>
  </si>
  <si>
    <t>PE</t>
  </si>
  <si>
    <t>Destinação Final</t>
  </si>
  <si>
    <t>DESTINAÇÃO FINAL</t>
  </si>
  <si>
    <t>EQPT-075318</t>
  </si>
  <si>
    <t>Contratado</t>
  </si>
  <si>
    <t>1761.91</t>
  </si>
  <si>
    <t>SAA-CATENDE</t>
  </si>
  <si>
    <t>TR-RIBEIRAO</t>
  </si>
  <si>
    <t>T-10 TERMINAL DO OPERADOR - TOP DARUMA TOPDRM01 (AT7300/03 TOP100) 2015 PE204/07603</t>
  </si>
  <si>
    <t>BANCO DO BRASIL S.A</t>
  </si>
  <si>
    <t>30/09/2019 12:18:57</t>
  </si>
  <si>
    <t>00157/2016</t>
  </si>
  <si>
    <t>09/10/2019 23:59:00</t>
  </si>
  <si>
    <t>Instalação</t>
  </si>
  <si>
    <t>EXPANSAO PILOTO AUDIO BIDIRECIONAL - INSTALACAO E ATIVACAO . LEVAR EQUIPAMENTOS DE AUDIO BIDIRECIONAL E FERRAMENTAL PARA FIXACAO. CONTACTAR EQUIPE SUPORTE PVV: (61) 3104-7600</t>
  </si>
  <si>
    <t>GRPE-900025</t>
  </si>
  <si>
    <t>0697.00</t>
  </si>
  <si>
    <t>SETE DE SETEMBRO</t>
  </si>
  <si>
    <t>T-99 CENTRAIS DE TELEFONIA BBTS OUTSOURCINCG DE TELEFONIA</t>
  </si>
  <si>
    <t>27/04/2020 16:48:06</t>
  </si>
  <si>
    <t>00190/2016</t>
  </si>
  <si>
    <t>DOSA - LIGAÇÃO DO RAMAL DIGITAL DDR (CENTRAL INTELBRAS) NA CENTRAL DE ALARME</t>
  </si>
  <si>
    <t>4118.00</t>
  </si>
  <si>
    <t>CAVALEIRO</t>
  </si>
  <si>
    <t>28/07/2020 10:06:17</t>
  </si>
  <si>
    <t>00206/2019</t>
  </si>
  <si>
    <t>28/07/2020 18:00:00</t>
  </si>
  <si>
    <t>DOSA - LIGAÇÃO DO RAMAL DIGITAL DDR (PVV) NA CENTRAL DE ALARME</t>
  </si>
  <si>
    <t>0711.00</t>
  </si>
  <si>
    <t>STA.CRUZ CAPIBARIBE</t>
  </si>
  <si>
    <t>TR-CARUARU</t>
  </si>
  <si>
    <t>28/07/2020 10:05:53</t>
  </si>
  <si>
    <t>Vistoria</t>
  </si>
  <si>
    <t>DOSA - Substituição de chip SMP por Chip M2M</t>
  </si>
  <si>
    <t>0917.00</t>
  </si>
  <si>
    <t>CUSTODIA</t>
  </si>
  <si>
    <t>TR-SERRA TALHADA</t>
  </si>
  <si>
    <t>04/08/2020 11:39:34</t>
  </si>
  <si>
    <t xml:space="preserve">DOSA - INSTALAÇÃO COMPLEMENTAR - SENSOR SISMICO </t>
  </si>
  <si>
    <t>1059.00</t>
  </si>
  <si>
    <t>EXU</t>
  </si>
  <si>
    <t>TR-SALGUEIRO</t>
  </si>
  <si>
    <t>25/09/2020 15:22:11</t>
  </si>
  <si>
    <t>09/11/2020 18:00:00</t>
  </si>
  <si>
    <t>DOSA - INSTALAÇÃO DO SISTEMA DE ALARME</t>
  </si>
  <si>
    <t>25/11/2020 18:48:59</t>
  </si>
  <si>
    <t>08/01/2021 18:00:00</t>
  </si>
  <si>
    <t>DODR - Instalação de Luz Estroboscópica</t>
  </si>
  <si>
    <t>27/11/2020 17:35:57</t>
  </si>
  <si>
    <t>12/01/2021 18:00:00</t>
  </si>
  <si>
    <t>27/11/2020 17:35:54</t>
  </si>
  <si>
    <t>27/11/2020 17:35:48</t>
  </si>
  <si>
    <t>Manutenção Preventiva</t>
  </si>
  <si>
    <t>DODR - MANUTENÇÃO PREVENTIVA DO SISTEMA DE ALARME - 1ºSEM/2021</t>
  </si>
  <si>
    <t>GRPE-000029</t>
  </si>
  <si>
    <t>T-99 SISTEMA DE GERADOR DE NEBLINA - ALARMETEK</t>
  </si>
  <si>
    <t>Aberto</t>
  </si>
  <si>
    <t>29/01/2021 17:26:27</t>
  </si>
  <si>
    <t>01/02/2021 18:00:00</t>
  </si>
  <si>
    <t>1363.00</t>
  </si>
  <si>
    <t>VICENCIA</t>
  </si>
  <si>
    <t>TR-GOIANA</t>
  </si>
  <si>
    <t>29/01/2021 17:26:26</t>
  </si>
  <si>
    <t>29/01/2021 17:26:12</t>
  </si>
  <si>
    <t>ATOS-006363</t>
  </si>
  <si>
    <t>9406.00</t>
  </si>
  <si>
    <t>VALORES RECIFE</t>
  </si>
  <si>
    <t>T-99 LUZ ESTROBOSCOPICA DE LED</t>
  </si>
  <si>
    <t>29/01/2021 17:25:39</t>
  </si>
  <si>
    <t>REESTRUTURAÇÃO - Check list da infra e do TAA para remanejamento</t>
  </si>
  <si>
    <t>EQPT-046224</t>
  </si>
  <si>
    <t>8889.03</t>
  </si>
  <si>
    <t>SOP-SHOP.AG.CENTER</t>
  </si>
  <si>
    <t>T-10 TAA TAADC DEPOSITO CHEQUE TRASEIRO PERTO TDC-2100 2010</t>
  </si>
  <si>
    <t>EQPT-069963</t>
  </si>
  <si>
    <t>4561.91</t>
  </si>
  <si>
    <t>SAA-VILA PILAR</t>
  </si>
  <si>
    <t>T-10 TAA TAAMC FULL TRASEIRO PERTO TMD-2100V13 C/ENTINTAMENTO</t>
  </si>
  <si>
    <t>09/04/2021 10:14:01</t>
  </si>
  <si>
    <t>EQPT-069962</t>
  </si>
  <si>
    <t>T-10 TAA TAAMT SAQUE DEPOSITO TRASEIRO PERTO TMF2100V13 2014 C/ENTINTAMENTO</t>
  </si>
  <si>
    <t>09/04/2021 10:13:01</t>
  </si>
  <si>
    <t>EQPT-079049</t>
  </si>
  <si>
    <t>T-10 TAA TAAMC FULL TRASEIRO OKI ATM FULL 1502 MT001 2015 C/ENTINTAMENTO</t>
  </si>
  <si>
    <t>09/04/2021 10:12:49</t>
  </si>
  <si>
    <t xml:space="preserve">DODR - INTERLIGAÇÕES DOS ARMÁRIOS INUTILIZADORES DE CEDULAS </t>
  </si>
  <si>
    <t>DOSA - INSTALAÇÃO DE MODULO DE COMUNICAÇÃO 4G.</t>
  </si>
  <si>
    <t>1291.00</t>
  </si>
  <si>
    <t>UAUA</t>
  </si>
  <si>
    <t xml:space="preserve">DODR - INSTALAÇÃO DO MÓDULO DE SUPERVISÃO </t>
  </si>
  <si>
    <t>0582.00</t>
  </si>
  <si>
    <t>SURUBIM</t>
  </si>
  <si>
    <t>TR-LIMOEIRO</t>
  </si>
  <si>
    <t>13/05/2021 23:40:13</t>
  </si>
  <si>
    <t>25/06/2021 18:00:00</t>
  </si>
  <si>
    <t xml:space="preserve">DODR - INSTALAÇÃO GERADOR DE NEBLINA </t>
  </si>
  <si>
    <t>DOSA - INSTALACAO DE MODULO DE EXPANSAO 4G ELSYS</t>
  </si>
  <si>
    <t>1754.00</t>
  </si>
  <si>
    <t>CARNAIBA</t>
  </si>
  <si>
    <t>TR-CARNAIBA</t>
  </si>
  <si>
    <t>27/07/2021 18:59:07</t>
  </si>
  <si>
    <t>08/09/2021 18:00:00</t>
  </si>
  <si>
    <t>DOSI - Instalação do Sistema de Imagem #lote1</t>
  </si>
  <si>
    <t>GRPE-000036</t>
  </si>
  <si>
    <t>3924.00</t>
  </si>
  <si>
    <t>TAMANDARE</t>
  </si>
  <si>
    <t>BBTS OUTSOURCING DE SISTEMA DE IMAGEM</t>
  </si>
  <si>
    <t>12/08/2021 19:29:40</t>
  </si>
  <si>
    <t>00203/2020</t>
  </si>
  <si>
    <t>17/09/2021 18:00:00</t>
  </si>
  <si>
    <t>2365.00</t>
  </si>
  <si>
    <t>OLINDA</t>
  </si>
  <si>
    <t>12/08/2021 19:29:29</t>
  </si>
  <si>
    <t>1739.00</t>
  </si>
  <si>
    <t>CAPOEIRAS</t>
  </si>
  <si>
    <t>TR-GARANHUNS</t>
  </si>
  <si>
    <t>12/08/2021 19:29:21</t>
  </si>
  <si>
    <t>1061.00</t>
  </si>
  <si>
    <t>FLORESTA-PE</t>
  </si>
  <si>
    <t>12/08/2021 19:29:13</t>
  </si>
  <si>
    <t>1049.00</t>
  </si>
  <si>
    <t>CORRENTES</t>
  </si>
  <si>
    <t>12/08/2021 19:29:12</t>
  </si>
  <si>
    <t>1012.00</t>
  </si>
  <si>
    <t>AGUAS BELAS</t>
  </si>
  <si>
    <t>12/08/2021 19:29:11</t>
  </si>
  <si>
    <t>0899.00</t>
  </si>
  <si>
    <t>BODOCO</t>
  </si>
  <si>
    <t>1732.00</t>
  </si>
  <si>
    <t>CANHOTINHO</t>
  </si>
  <si>
    <t>1421.00</t>
  </si>
  <si>
    <t>ALTINHO</t>
  </si>
  <si>
    <t>1120.00</t>
  </si>
  <si>
    <t>QUIPAPA</t>
  </si>
  <si>
    <t>0870.00</t>
  </si>
  <si>
    <t>SALGUEIRO</t>
  </si>
  <si>
    <t>13/08/2021 09:28:28</t>
  </si>
  <si>
    <t>DOSA - LIGAÇÃO DO SISTEMA DE ALARME NA REDE TCP/IP</t>
  </si>
  <si>
    <t>0007.74</t>
  </si>
  <si>
    <t>TRF-PE</t>
  </si>
  <si>
    <t>18/08/2021 20:33:03</t>
  </si>
  <si>
    <t>19/08/2021 18:00:00</t>
  </si>
  <si>
    <t>2326.00</t>
  </si>
  <si>
    <t>MORENO</t>
  </si>
  <si>
    <t>19/08/2021 16:24:21</t>
  </si>
  <si>
    <t>2335.00</t>
  </si>
  <si>
    <t>NAZARE DA MATA</t>
  </si>
  <si>
    <t>19/08/2021 16:23:43</t>
  </si>
  <si>
    <t>4357.01</t>
  </si>
  <si>
    <t>FACHESF</t>
  </si>
  <si>
    <t>DODR - MANUTENÇÃO PREVENTIVA DO GERADOR DE NEBLINA - 2ºSEM/2021</t>
  </si>
  <si>
    <t>26/08/2021 09:41:48</t>
  </si>
  <si>
    <t>26/08/2021 18:00:00</t>
  </si>
  <si>
    <t>26/08/2021 09:41:40</t>
  </si>
  <si>
    <t>DODR - MANUTENÇÃO PREVENTIVA DA LUZ ESTROBO - 2ºSEM/2021</t>
  </si>
  <si>
    <t>9705.00</t>
  </si>
  <si>
    <t>SERET SALGUEIRO</t>
  </si>
  <si>
    <t>26/08/2021 09:41:08</t>
  </si>
  <si>
    <t>DODR - MANUTENÇÃO PREVENTIVA DO RASTREADOR - 2ºSEM/2021</t>
  </si>
  <si>
    <t>ATOS-000224</t>
  </si>
  <si>
    <t>9700.00</t>
  </si>
  <si>
    <t>SERET ARCOVERDE</t>
  </si>
  <si>
    <t>TR-ARCOVERDE</t>
  </si>
  <si>
    <t>T-99 MINI DISPOSITIVO PARA RASTREAMENTO DE VEICULOS, MODELO GL505 EXTRA POWER</t>
  </si>
  <si>
    <t>26/08/2021 09:38:51</t>
  </si>
  <si>
    <t>26/08/2021 09:37:54</t>
  </si>
  <si>
    <t>26/08/2021 09:36:35</t>
  </si>
  <si>
    <t>26/08/2021 09:35:56</t>
  </si>
  <si>
    <t>26/08/2021 09:35:15</t>
  </si>
  <si>
    <t>26/08/2021 09:33:17</t>
  </si>
  <si>
    <t>26/08/2021 09:32:50</t>
  </si>
  <si>
    <t>26/08/2021 09:32:39</t>
  </si>
  <si>
    <t>26/08/2021 09:31:13</t>
  </si>
  <si>
    <t>26/08/2021 09:29:42</t>
  </si>
  <si>
    <t>26/08/2021 09:29:01</t>
  </si>
  <si>
    <t>26/08/2021 09:27:51</t>
  </si>
  <si>
    <t>26/08/2021 09:27:15</t>
  </si>
  <si>
    <t>Remanejamento</t>
  </si>
  <si>
    <t xml:space="preserve">Defeito: solicita remanejamento interno do modulo do alarme  Nome/Matricula: George Rabelo F396819  Tel: 81 989593210  E-mail:georgerabelo@bb.com  OBS: solicita que entre em contato antes do atendimento apartir 09/09/2021 </t>
  </si>
  <si>
    <t>0007.71</t>
  </si>
  <si>
    <t>BACEN-DEREC</t>
  </si>
  <si>
    <t>01/09/2021 09:51:23</t>
  </si>
  <si>
    <t>14/10/2021 18:00:00</t>
  </si>
  <si>
    <t>Vistoria de Ambiencia - Preencher no CMA3 o CHECK LIST DE AMBIÊNCIA PAE E QUIOSQUE BB</t>
  </si>
  <si>
    <t>EQPT-052181</t>
  </si>
  <si>
    <t>0069.16</t>
  </si>
  <si>
    <t>PREF.MUN.JUAZEIRO</t>
  </si>
  <si>
    <t>T-10 TAA TAASF SAQUE FRONTAL PERTO TS2111 2011</t>
  </si>
  <si>
    <t>16/09/2021 14:07:47</t>
  </si>
  <si>
    <t>00119/2021</t>
  </si>
  <si>
    <t>17/09/2021 14:07:47</t>
  </si>
  <si>
    <t>DOSA/DOSI - Vistoria de Fragilidades de Segurança - Preencher a Vistoria CHECKLIST FRAGILIDADES DE AMBIENTES - DOSA/DOSI no CMA3 #fragilidades</t>
  </si>
  <si>
    <t>2988.91</t>
  </si>
  <si>
    <t>SAA-SHOP.GUARARAPES</t>
  </si>
  <si>
    <t>20/09/2021 13:13:28</t>
  </si>
  <si>
    <t>21/09/2021 13:13:28</t>
  </si>
  <si>
    <t>8259.00</t>
  </si>
  <si>
    <t>S.JOSE COROA GRANDE</t>
  </si>
  <si>
    <t>20/09/2021 13:10:36</t>
  </si>
  <si>
    <t>21/09/2021 13:10:36</t>
  </si>
  <si>
    <t>2855.00</t>
  </si>
  <si>
    <t>BELEM DE MARIA</t>
  </si>
  <si>
    <t>20/09/2021 13:10:35</t>
  </si>
  <si>
    <t>21/09/2021 13:10:35</t>
  </si>
  <si>
    <t>2693.00</t>
  </si>
  <si>
    <t>SIRINHAEM</t>
  </si>
  <si>
    <t>2564.00</t>
  </si>
  <si>
    <t>SALOA</t>
  </si>
  <si>
    <t>20/09/2021 13:10:34</t>
  </si>
  <si>
    <t>21/09/2021 13:10:34</t>
  </si>
  <si>
    <t>2559.00</t>
  </si>
  <si>
    <t>SAIRE</t>
  </si>
  <si>
    <t>TR-GRAVATA</t>
  </si>
  <si>
    <t>2107.00</t>
  </si>
  <si>
    <t>IATI</t>
  </si>
  <si>
    <t>1943.00</t>
  </si>
  <si>
    <t>GAMELEIRA</t>
  </si>
  <si>
    <t>20/09/2021 13:10:33</t>
  </si>
  <si>
    <t>21/09/2021 13:10:33</t>
  </si>
  <si>
    <t>1362.00</t>
  </si>
  <si>
    <t>IPUBI</t>
  </si>
  <si>
    <t>1359.00</t>
  </si>
  <si>
    <t>CUMARU</t>
  </si>
  <si>
    <t>1011.00</t>
  </si>
  <si>
    <t>AFRANIO</t>
  </si>
  <si>
    <t>20/09/2021 13:10:32</t>
  </si>
  <si>
    <t>21/09/2021 13:10:32</t>
  </si>
  <si>
    <t>2683.00</t>
  </si>
  <si>
    <t>SERRITA</t>
  </si>
  <si>
    <t>2156.00</t>
  </si>
  <si>
    <t>ITAIBA</t>
  </si>
  <si>
    <t>1162.00</t>
  </si>
  <si>
    <t>TUPANATINGA</t>
  </si>
  <si>
    <t>3243.00</t>
  </si>
  <si>
    <t>AGAMENON MAGALHAES</t>
  </si>
  <si>
    <t>1060.00</t>
  </si>
  <si>
    <t>FLORES</t>
  </si>
  <si>
    <t>20/09/2021 13:10:31</t>
  </si>
  <si>
    <t>3237.00</t>
  </si>
  <si>
    <t>ESTILO RECIFE</t>
  </si>
  <si>
    <t>1058.00</t>
  </si>
  <si>
    <t>ESCADA</t>
  </si>
  <si>
    <t>4235.00</t>
  </si>
  <si>
    <t>FAB-2.COM A R</t>
  </si>
  <si>
    <t>8634.00</t>
  </si>
  <si>
    <t>ESTILO RECIFE ANTIGO</t>
  </si>
  <si>
    <t>1108.00</t>
  </si>
  <si>
    <t>PARNAMIRIM</t>
  </si>
  <si>
    <t>4119.00</t>
  </si>
  <si>
    <t>BUIQUE</t>
  </si>
  <si>
    <t>2388.00</t>
  </si>
  <si>
    <t>PANELAS</t>
  </si>
  <si>
    <t>20/09/2021 13:10:30</t>
  </si>
  <si>
    <t>21/09/2021 13:10:30</t>
  </si>
  <si>
    <t>1360.00</t>
  </si>
  <si>
    <t>FEIRA NOVA</t>
  </si>
  <si>
    <t>1835.00</t>
  </si>
  <si>
    <t>CAXANGA</t>
  </si>
  <si>
    <t>1664.00</t>
  </si>
  <si>
    <t>BREJAO</t>
  </si>
  <si>
    <t>1361.00</t>
  </si>
  <si>
    <t>IGARASSU</t>
  </si>
  <si>
    <t>2737.00</t>
  </si>
  <si>
    <t>TRINDADE</t>
  </si>
  <si>
    <t>0244.00</t>
  </si>
  <si>
    <t>AGUA PRETA</t>
  </si>
  <si>
    <t>1146.00</t>
  </si>
  <si>
    <t>SERTANIA</t>
  </si>
  <si>
    <t>2625.00</t>
  </si>
  <si>
    <t>SAO JOAO</t>
  </si>
  <si>
    <t>3802.00</t>
  </si>
  <si>
    <t>TUPARETAMA</t>
  </si>
  <si>
    <t>3258.00</t>
  </si>
  <si>
    <t>PRAIA DE BOA VIAGEM</t>
  </si>
  <si>
    <t>20/09/2021 13:10:27</t>
  </si>
  <si>
    <t>21/09/2021 13:10:27</t>
  </si>
  <si>
    <t>3108.00</t>
  </si>
  <si>
    <t>ESPINHEIRO</t>
  </si>
  <si>
    <t>1710.00</t>
  </si>
  <si>
    <t>CAMOCIM DE SAO FELIX</t>
  </si>
  <si>
    <t>1052.00</t>
  </si>
  <si>
    <t>CUPIRA</t>
  </si>
  <si>
    <t>0159.00</t>
  </si>
  <si>
    <t>CARUARU</t>
  </si>
  <si>
    <t>2239.00</t>
  </si>
  <si>
    <t>LAGOA DO ITAENGA</t>
  </si>
  <si>
    <t>20/09/2021 13:10:26</t>
  </si>
  <si>
    <t>21/09/2021 13:10:26</t>
  </si>
  <si>
    <t>0550.00</t>
  </si>
  <si>
    <t>BOM CONSELHO</t>
  </si>
  <si>
    <t>2229.00</t>
  </si>
  <si>
    <t>ALAGOINHA</t>
  </si>
  <si>
    <t>20/09/2021 13:10:25</t>
  </si>
  <si>
    <t>21/09/2021 13:10:25</t>
  </si>
  <si>
    <t>3699.00</t>
  </si>
  <si>
    <t>AV.DOMINGOS FERREIRA</t>
  </si>
  <si>
    <t>0325.00</t>
  </si>
  <si>
    <t>DANTAS BARRETO</t>
  </si>
  <si>
    <t>2699.00</t>
  </si>
  <si>
    <t>TABIRA</t>
  </si>
  <si>
    <t>4012.00</t>
  </si>
  <si>
    <t>SAO JOAQUIM DO MONTE</t>
  </si>
  <si>
    <t>1264.00</t>
  </si>
  <si>
    <t>ALIANCA</t>
  </si>
  <si>
    <t>1069.00</t>
  </si>
  <si>
    <t>IBIMIRIM</t>
  </si>
  <si>
    <t>2529.00</t>
  </si>
  <si>
    <t>RIBEIRAO</t>
  </si>
  <si>
    <t>1838.00</t>
  </si>
  <si>
    <t>AFOGADOS</t>
  </si>
  <si>
    <t>2739.00</t>
  </si>
  <si>
    <t>TRIUNFO-PE</t>
  </si>
  <si>
    <t>1643.00</t>
  </si>
  <si>
    <t>BEZERROS</t>
  </si>
  <si>
    <t>20/09/2021 13:10:23</t>
  </si>
  <si>
    <t>21/09/2021 13:10:23</t>
  </si>
  <si>
    <t>5898.00</t>
  </si>
  <si>
    <t>HELIOPOLIS</t>
  </si>
  <si>
    <t>0834.00</t>
  </si>
  <si>
    <t>BONITO-PE</t>
  </si>
  <si>
    <t>1833.00</t>
  </si>
  <si>
    <t>BENFICA-PE</t>
  </si>
  <si>
    <t>3250.00</t>
  </si>
  <si>
    <t>SHOPPING RECIFE</t>
  </si>
  <si>
    <t>20/09/2021 13:10:22</t>
  </si>
  <si>
    <t>21/09/2021 13:10:22</t>
  </si>
  <si>
    <t>1761.00</t>
  </si>
  <si>
    <t>CATENDE</t>
  </si>
  <si>
    <t>0714.00</t>
  </si>
  <si>
    <t>CABO</t>
  </si>
  <si>
    <t>2138.00</t>
  </si>
  <si>
    <t>IPOJUCA</t>
  </si>
  <si>
    <t>2257.00</t>
  </si>
  <si>
    <t>MACAPARANA</t>
  </si>
  <si>
    <t>0007.00</t>
  </si>
  <si>
    <t>RECIFE</t>
  </si>
  <si>
    <t>20/09/2021 13:10:21</t>
  </si>
  <si>
    <t>4274.00</t>
  </si>
  <si>
    <t>MARIM DOS CAETES</t>
  </si>
  <si>
    <t>2802.00</t>
  </si>
  <si>
    <t>CASA AMARELA</t>
  </si>
  <si>
    <t>0710.00</t>
  </si>
  <si>
    <t>BARREIROS</t>
  </si>
  <si>
    <t>20/09/2021 13:10:20</t>
  </si>
  <si>
    <t>21/09/2021 13:10:20</t>
  </si>
  <si>
    <t>2590.00</t>
  </si>
  <si>
    <t>SANTA TEREZINHA</t>
  </si>
  <si>
    <t>1814.00</t>
  </si>
  <si>
    <t>SHOPPING TACARUNA</t>
  </si>
  <si>
    <t>3503.00</t>
  </si>
  <si>
    <t>ABREU E LIMA</t>
  </si>
  <si>
    <t>20/09/2021 13:10:19</t>
  </si>
  <si>
    <t>21/09/2021 13:10:19</t>
  </si>
  <si>
    <t>1620.00</t>
  </si>
  <si>
    <t>TAMARINEIRA</t>
  </si>
  <si>
    <t>0067.00</t>
  </si>
  <si>
    <t>GARANHUNS</t>
  </si>
  <si>
    <t>4997.00</t>
  </si>
  <si>
    <t>PRINCESA DO AGRESTE</t>
  </si>
  <si>
    <t>1245.00</t>
  </si>
  <si>
    <t>BARAO DE SOUZA LEAO</t>
  </si>
  <si>
    <t>0981.00</t>
  </si>
  <si>
    <t>SAO JOSE DO BELMONTE</t>
  </si>
  <si>
    <t>5816.00</t>
  </si>
  <si>
    <t>IPUTINGA</t>
  </si>
  <si>
    <t>1666.00</t>
  </si>
  <si>
    <t>BREJO MADRE DE DEUS</t>
  </si>
  <si>
    <t>2437.00</t>
  </si>
  <si>
    <t>PESQUEIRA</t>
  </si>
  <si>
    <t>2889.00</t>
  </si>
  <si>
    <t>CEASA-RECIFE</t>
  </si>
  <si>
    <t>0605.00</t>
  </si>
  <si>
    <t>CABROBO</t>
  </si>
  <si>
    <t>0721.00</t>
  </si>
  <si>
    <t>BELO JARDIM</t>
  </si>
  <si>
    <t>0233.00</t>
  </si>
  <si>
    <t>VITORIA SANTO ANTAO</t>
  </si>
  <si>
    <t>4076.00</t>
  </si>
  <si>
    <t>SAO CAITANO</t>
  </si>
  <si>
    <t>0934.00</t>
  </si>
  <si>
    <t>JABOATAO GUARARAPES</t>
  </si>
  <si>
    <t>5742.00</t>
  </si>
  <si>
    <t>SHOPPING DIFUSORA</t>
  </si>
  <si>
    <t>0446.00</t>
  </si>
  <si>
    <t>TIMBAUBA</t>
  </si>
  <si>
    <t>0570.00</t>
  </si>
  <si>
    <t>AFOGADOS INGAZEIRA</t>
  </si>
  <si>
    <t>20/09/2021 13:10:15</t>
  </si>
  <si>
    <t>21/09/2021 13:10:15</t>
  </si>
  <si>
    <t>0608.00</t>
  </si>
  <si>
    <t>SAO JOSE DO EGITO</t>
  </si>
  <si>
    <t>20/09/2021 13:10:14</t>
  </si>
  <si>
    <t>21/09/2021 13:10:14</t>
  </si>
  <si>
    <t>0537.00</t>
  </si>
  <si>
    <t>SAO BENTO DO UNA</t>
  </si>
  <si>
    <t>0594.00</t>
  </si>
  <si>
    <t>REMANSO</t>
  </si>
  <si>
    <t>20/09/2021 13:10:13</t>
  </si>
  <si>
    <t>21/09/2021 13:10:13</t>
  </si>
  <si>
    <t>2830.00</t>
  </si>
  <si>
    <t>CURACA</t>
  </si>
  <si>
    <t xml:space="preserve">DODR - ASSUNÇÃO DO GERADOR DE NEBLINA </t>
  </si>
  <si>
    <t>27/09/2021 19:16:41</t>
  </si>
  <si>
    <t>28/09/2021 19:16:41</t>
  </si>
  <si>
    <t>#DOSI SUPRIMENTOS INSTALAÇÃO DE CÂMERA [ATOS-006658]</t>
  </si>
  <si>
    <t>GRPE-000038</t>
  </si>
  <si>
    <t>1836.00</t>
  </si>
  <si>
    <t>EMPRESA RECIFE</t>
  </si>
  <si>
    <t>T-99 DOSI BB LEGADO</t>
  </si>
  <si>
    <t>30/09/2021 23:23:16</t>
  </si>
  <si>
    <t>08/11/2021 18:00:00</t>
  </si>
  <si>
    <t>30/09/2021 23:23:15</t>
  </si>
  <si>
    <t>3242.00</t>
  </si>
  <si>
    <t>PREF.MUN.RECIFE</t>
  </si>
  <si>
    <t>30/09/2021 23:23:07</t>
  </si>
  <si>
    <t>30/09/2021 23:23:06</t>
  </si>
  <si>
    <t>30/09/2021 20:34:30</t>
  </si>
  <si>
    <t>30/09/2021 20:34:29</t>
  </si>
  <si>
    <t>1792.00</t>
  </si>
  <si>
    <t>CONDADO</t>
  </si>
  <si>
    <t>30/09/2021 20:34:19</t>
  </si>
  <si>
    <t>DOSA - CONEXÃO DO RAMAL DIGITAL (PVV OU INTELBRAS) NA CENTRAL DE ALARME.</t>
  </si>
  <si>
    <t>05/10/2021 16:17:47</t>
  </si>
  <si>
    <t>05/10/2021 18:00:00</t>
  </si>
  <si>
    <t>11/10/2021 16:30:03</t>
  </si>
  <si>
    <t>11/10/2021 18:00:00</t>
  </si>
  <si>
    <t>DOSI - INSTALAÇÃO COMPLEMENTAR</t>
  </si>
  <si>
    <t>DOSA - ATIVAÇÃO DE RAMAL DIGITAL (PVV) NA CENTRAL DE ALARME</t>
  </si>
  <si>
    <t>2170.00</t>
  </si>
  <si>
    <t>ITAPETIM</t>
  </si>
  <si>
    <t>13/10/2021 12:06:50</t>
  </si>
  <si>
    <t>13/10/2021 18:00:00</t>
  </si>
  <si>
    <t>Instalação de câmera</t>
  </si>
  <si>
    <t>14/10/2021 15:43:18</t>
  </si>
  <si>
    <t>19/11/2021 18:00:00</t>
  </si>
  <si>
    <t>DOSI - INSTALAÇÃO COMPLEMENTAR DO SISTEMA DE IMAGENS</t>
  </si>
  <si>
    <t>16/10/2021 15:36:53</t>
  </si>
  <si>
    <t>23/11/2021 18:00:00</t>
  </si>
  <si>
    <t>Switch POE para instalar o equipamento novo e a mesa controladora</t>
  </si>
  <si>
    <t>9704.00</t>
  </si>
  <si>
    <t>SERET GARANHUNS</t>
  </si>
  <si>
    <t>19/10/2021 15:37:45</t>
  </si>
  <si>
    <t>24/11/2021 18:00:00</t>
  </si>
  <si>
    <t>20/10/2021 16:18:40</t>
  </si>
  <si>
    <t>21/10/2021 16:18:40</t>
  </si>
  <si>
    <t>9703.00</t>
  </si>
  <si>
    <t>SERET CARUARU</t>
  </si>
  <si>
    <t>3613.20</t>
  </si>
  <si>
    <t>20/10/2021 16:17:19</t>
  </si>
  <si>
    <t>21/10/2021 16:17:19</t>
  </si>
  <si>
    <t>3234.16</t>
  </si>
  <si>
    <t>FORUM RECIFE</t>
  </si>
  <si>
    <t>20/10/2021 16:17:04</t>
  </si>
  <si>
    <t>21/10/2021 16:17:04</t>
  </si>
  <si>
    <t>3108.01</t>
  </si>
  <si>
    <t>TRE-PE</t>
  </si>
  <si>
    <t>2413.00</t>
  </si>
  <si>
    <t>PASSIRA</t>
  </si>
  <si>
    <t>20/10/2021 16:16:37</t>
  </si>
  <si>
    <t>21/10/2021 16:16:37</t>
  </si>
  <si>
    <t>20/10/2021 16:15:05</t>
  </si>
  <si>
    <t>21/10/2021 16:15:05</t>
  </si>
  <si>
    <t xml:space="preserve">DODR -  #INSTALAÇÃO GN - GERADOR DE NEBLINA </t>
  </si>
  <si>
    <t>25/10/2021 16:33:03</t>
  </si>
  <si>
    <t>07/12/2021 18:00:00</t>
  </si>
  <si>
    <t>INSTALAÇÃO DE 02 NOVOS SENSORES - APÓS VISTORIA DE FRAGILIDADES</t>
  </si>
  <si>
    <t>INSTALAÇÃO DE 02 NOVOS SENSORES APÓS A VISTORIA DE FRAGILIDADE</t>
  </si>
  <si>
    <t>19/11/2021 17:12:26</t>
  </si>
  <si>
    <t>31/12/2021 18:00:00</t>
  </si>
  <si>
    <t>CHECKLIST DA INFRA E DO TAA PARA REMANEJAMENTO - Preenchimento no link do PORTAL MONITORA.</t>
  </si>
  <si>
    <t>0870.91</t>
  </si>
  <si>
    <t>SAA-SALGUEIRO</t>
  </si>
  <si>
    <t>24/11/2021 00:29:32</t>
  </si>
  <si>
    <t>25/11/2021 00:29:32</t>
  </si>
  <si>
    <t>24/11/2021 00:29:30</t>
  </si>
  <si>
    <t>25/11/2021 00:29:30</t>
  </si>
  <si>
    <t>#AUDIOBIDIRECIONAL - INSTALAR 02 ATOS-008092. Problemas de INFRA BB, suspender chamado com cód. 601. Problemas com ALTURA, CAT acionar equipe de apoio e suspender chamado com 105 até a solução BBTS. NF nº 70296</t>
  </si>
  <si>
    <t>04/01/2022 10:50:31</t>
  </si>
  <si>
    <t>05/01/2022 10:50:31</t>
  </si>
  <si>
    <t>04/01/2022 10:50:30</t>
  </si>
  <si>
    <t>05/01/2022 10:50:30</t>
  </si>
  <si>
    <t>DOSI - Instalação do Sistema de Imagem #lote2 - Instalação de 01 NVR ATOS-006431, 01 câmera IP ATOS-6427 no SAA e o ATOS-006426 nas demais partições</t>
  </si>
  <si>
    <t>0963.00</t>
  </si>
  <si>
    <t>PETROLINA</t>
  </si>
  <si>
    <t>19/01/2022 11:10:53</t>
  </si>
  <si>
    <t>22/02/2022 18:00:00</t>
  </si>
  <si>
    <t>19/01/2022 11:10:49</t>
  </si>
  <si>
    <t>2988.00</t>
  </si>
  <si>
    <t>SHOPPING GUARARAPES</t>
  </si>
  <si>
    <t>19/01/2022 11:10:41</t>
  </si>
  <si>
    <t>1185.00</t>
  </si>
  <si>
    <t>CASA NOVA</t>
  </si>
  <si>
    <t>19/01/2022 11:10:25</t>
  </si>
  <si>
    <t>0115.00</t>
  </si>
  <si>
    <t>PALMARES</t>
  </si>
  <si>
    <t>19/01/2022 11:10:24</t>
  </si>
  <si>
    <t>19/01/2022 11:10:21</t>
  </si>
  <si>
    <t>19/01/2022 11:10:09</t>
  </si>
  <si>
    <t>19/01/2022 11:10:03</t>
  </si>
  <si>
    <t>1138.00</t>
  </si>
  <si>
    <t>SAO LOURENCO DA MATA</t>
  </si>
  <si>
    <t>19/01/2022 11:09:52</t>
  </si>
  <si>
    <t>instalação das 26 câmeras e 02 CFTV digital</t>
  </si>
  <si>
    <t>03/02/2022 14:28:30</t>
  </si>
  <si>
    <t>25/04/2022 18:00:00</t>
  </si>
  <si>
    <t>Instalação de GN - troca de tablet</t>
  </si>
  <si>
    <t>14/02/2022 12:15:38</t>
  </si>
  <si>
    <t>29/03/2022 18:00:00</t>
  </si>
  <si>
    <t>2069.00</t>
  </si>
  <si>
    <t>MOREILANDIA</t>
  </si>
  <si>
    <t>14/03/2022 11:50:54</t>
  </si>
  <si>
    <t>18/04/2022 18:00:00</t>
  </si>
  <si>
    <t>2669.00</t>
  </si>
  <si>
    <t>SAO VICENTE FERRER</t>
  </si>
  <si>
    <t>18/03/2022 10:03:07</t>
  </si>
  <si>
    <t>#AUDIOBIDIRECIONAL - INSTALAR 02 ATOS-008092. PROBLEMAS DE INFRA BB, SUSPENDER CHM. COM 601. PROBLEMAS COM ALTURA, CAT ACIONAR EQUIPE DE APOIO E SUSPENDER CHM. COM 105 ATÉ A SOLUÇÃO BBTS.  NF Nº 72546</t>
  </si>
  <si>
    <t>04/04/2022 15:25:02</t>
  </si>
  <si>
    <t>05/04/2022 15:25:02</t>
  </si>
  <si>
    <t xml:space="preserve">#INSTALAÇÃO   Gentileza fazer a instalação na agência 1924-0   DORMENTES , NF 72781  e enviar termo de aceite </t>
  </si>
  <si>
    <t>1924.00</t>
  </si>
  <si>
    <t>DORMENTES</t>
  </si>
  <si>
    <t>05/04/2022 08:37:35</t>
  </si>
  <si>
    <t>C2</t>
  </si>
  <si>
    <t>14/04/2022 09:00:00</t>
  </si>
  <si>
    <t>DODR - MANUTENÇÃO PREVENTIVA DO GERADOR DE NEBLINA - 1º SEM/2022</t>
  </si>
  <si>
    <t>02/05/2022 17:26:24</t>
  </si>
  <si>
    <t>03/05/2022 18:00:00</t>
  </si>
  <si>
    <t>02/05/2022 17:25:16</t>
  </si>
  <si>
    <t>DOSA - substituição dos chips da operadora OI</t>
  </si>
  <si>
    <t xml:space="preserve">A dependência possui três cofres, se faz necessário passagem de cabos e instalação de mais uma câmera para cobertura da tesouraria.   </t>
  </si>
  <si>
    <t>30/05/2022 15:44:07</t>
  </si>
  <si>
    <t>30/05/2022 18:00:00</t>
  </si>
  <si>
    <t>0673.00</t>
  </si>
  <si>
    <t>CARPINA</t>
  </si>
  <si>
    <t>30/05/2022 15:43:54</t>
  </si>
  <si>
    <t>30/05/2022 15:43:53</t>
  </si>
  <si>
    <t>3504.00</t>
  </si>
  <si>
    <t>CAMARAGIBE</t>
  </si>
  <si>
    <t>30/05/2022 15:43:43</t>
  </si>
  <si>
    <t>0220.00</t>
  </si>
  <si>
    <t>GOIANA</t>
  </si>
  <si>
    <t>2081.00</t>
  </si>
  <si>
    <t>GLORIA DO GOITA</t>
  </si>
  <si>
    <t>30/05/2022 15:43:34</t>
  </si>
  <si>
    <t>1358.00</t>
  </si>
  <si>
    <t>AMARAJI</t>
  </si>
  <si>
    <t>30/05/2022 15:43:21</t>
  </si>
  <si>
    <t>30/05/2022 15:43:15</t>
  </si>
  <si>
    <t>30/05/2022 15:43:02</t>
  </si>
  <si>
    <t>2018.00</t>
  </si>
  <si>
    <t>JUREMA</t>
  </si>
  <si>
    <t>30/05/2022 15:43:00</t>
  </si>
  <si>
    <t>30/05/2022 15:42:43</t>
  </si>
  <si>
    <t>30/05/2022 15:42:37</t>
  </si>
  <si>
    <t>30/05/2022 15:42:35</t>
  </si>
  <si>
    <t>30/05/2022 15:42:30</t>
  </si>
  <si>
    <t>30/05/2022 15:42:29</t>
  </si>
  <si>
    <t>30/05/2022 15:42:24</t>
  </si>
  <si>
    <t>30/05/2022 15:42:23</t>
  </si>
  <si>
    <t>30/05/2022 15:42:21</t>
  </si>
  <si>
    <t>30/05/2022 15:42:18</t>
  </si>
  <si>
    <t>30/05/2022 15:42:15</t>
  </si>
  <si>
    <t>30/05/2022 15:42:14</t>
  </si>
  <si>
    <t>30/05/2022 15:42:08</t>
  </si>
  <si>
    <t>30/05/2022 15:41:58</t>
  </si>
  <si>
    <t>30/05/2022 15:41:55</t>
  </si>
  <si>
    <t>1771.00</t>
  </si>
  <si>
    <t>CHA GRANDE</t>
  </si>
  <si>
    <t>30/05/2022 15:41:53</t>
  </si>
  <si>
    <t>30/05/2022 15:41:51</t>
  </si>
  <si>
    <t>30/05/2022 15:41:19</t>
  </si>
  <si>
    <t>1650.00</t>
  </si>
  <si>
    <t>BOM JARDIM-PE</t>
  </si>
  <si>
    <t>30/05/2022 15:41:17</t>
  </si>
  <si>
    <t>30/05/2022 15:41:16</t>
  </si>
  <si>
    <t>30/05/2022 15:41:15</t>
  </si>
  <si>
    <t>30/05/2022 15:41:14</t>
  </si>
  <si>
    <t>5740.00</t>
  </si>
  <si>
    <t>ENCRUZILHADA</t>
  </si>
  <si>
    <t>30/05/2022 15:41:11</t>
  </si>
  <si>
    <t>3234.15</t>
  </si>
  <si>
    <t>TRT-PE</t>
  </si>
  <si>
    <t>30/05/2022 15:40:39</t>
  </si>
  <si>
    <t>30/05/2022 15:40:33</t>
  </si>
  <si>
    <t>4357.00</t>
  </si>
  <si>
    <t>CHESF</t>
  </si>
  <si>
    <t>30/05/2022 15:40:29</t>
  </si>
  <si>
    <t>30/05/2022 15:40:03</t>
  </si>
  <si>
    <t>ATIVAÇÃO DE 21 RASTREADORES, APÓS TROCA DE CHIPS (8127, 7547, 7716, 7449, 7565, 7450, 6967, 7372, 6736, 6764, 6708, 8505, 6660, 6941, 6749, 5798, 5753, 5751, 5739, 5741)</t>
  </si>
  <si>
    <t>31/05/2022 16:49:42</t>
  </si>
  <si>
    <t>31/05/2022 18:00:00</t>
  </si>
  <si>
    <t>#AUDIOBIDIRECIONAL - INSTALAR 02 ATOS-8092 (NF:75166) PROBLEMAS DE INFRA BB, SUSP. COM 601 e PREENCHER CMA3(TEYA-VISTORIA DE INFRA...).PROBLEMAS COM ALTURA OU OUTRA DE RESP. BBTS, SUSP. COM 105.NÃO DEIXAR EQPT. ATIVO FORA DO LOCAL PREVISTO.</t>
  </si>
  <si>
    <t>31/05/2022 14:57:35</t>
  </si>
  <si>
    <t>01/06/2022 14:57:35</t>
  </si>
  <si>
    <t>Preventiva semestral.    OS para acompanhamento da manutenção preventiva, conforme cronograma da dependência e Relação de Serviços Preventivos do Contrato. Após conclusão do atendimento, preencher RAC/Lista de Conferência digital c/ os serv</t>
  </si>
  <si>
    <t>GRPE-000004</t>
  </si>
  <si>
    <t>EQUIPAMENTOS DE REDE DA SALA ONLINE</t>
  </si>
  <si>
    <t>00037/2018</t>
  </si>
  <si>
    <t>GRPE-000003</t>
  </si>
  <si>
    <t>1120.01</t>
  </si>
  <si>
    <t>SAO BENEDITO DO SUL</t>
  </si>
  <si>
    <t>EQUIPAMENTOS NO-BREAK</t>
  </si>
  <si>
    <t>01/06/2022 10:13:30</t>
  </si>
  <si>
    <t>02/06/2022 10:13:31</t>
  </si>
  <si>
    <t>Cadastro de Equipamentos</t>
  </si>
  <si>
    <t>#CADASTRO DE EQPTOS: REALIZAR O CADASTRO DA QTDE DE TOMADAS LÓGICAS DOS PATCH PANELS DE DADOS, VOZ E SEGURANÇA DOS RACS DA SALA ONLINE E SUA DATA DE INSTALAÇÃO. ALIMENTAR INFORMAÇÕES E FOTOS DO Nº DO BEM (SE HOUVER) NO CMA3.0</t>
  </si>
  <si>
    <t>01/06/2022 10:12:14</t>
  </si>
  <si>
    <t>02/06/2022 10:12:14</t>
  </si>
  <si>
    <t>8573.00</t>
  </si>
  <si>
    <t>EMPRESA VS FRANCISCO</t>
  </si>
  <si>
    <t>01/06/2022 10:12:07</t>
  </si>
  <si>
    <t>02/06/2022 10:12:07</t>
  </si>
  <si>
    <t>8973.00</t>
  </si>
  <si>
    <t>PRIVATE RECIFE</t>
  </si>
  <si>
    <t>01/06/2022 10:12:01</t>
  </si>
  <si>
    <t>02/06/2022 10:12:01</t>
  </si>
  <si>
    <t>01/06/2022 10:09:52</t>
  </si>
  <si>
    <t>02/06/2022 10:09:52</t>
  </si>
  <si>
    <t>01/06/2022 10:09:13</t>
  </si>
  <si>
    <t>02/06/2022 10:09:13</t>
  </si>
  <si>
    <t>4623.00</t>
  </si>
  <si>
    <t>SOBRADINHO-BA</t>
  </si>
  <si>
    <t>01/06/2022 10:06:30</t>
  </si>
  <si>
    <t>02/06/2022 10:06:30</t>
  </si>
  <si>
    <t>01/06/2022 10:06:10</t>
  </si>
  <si>
    <t>02/06/2022 10:06:10</t>
  </si>
  <si>
    <t>01/06/2022 10:05:46</t>
  </si>
  <si>
    <t>02/06/2022 10:05:46</t>
  </si>
  <si>
    <t>01/06/2022 10:04:23</t>
  </si>
  <si>
    <t>02/06/2022 10:04:23</t>
  </si>
  <si>
    <t>3613.00</t>
  </si>
  <si>
    <t>CID.UNIVERSITARIA-PE</t>
  </si>
  <si>
    <t>01/06/2022 10:03:56</t>
  </si>
  <si>
    <t>02/06/2022 10:03:56</t>
  </si>
  <si>
    <t>3612.00</t>
  </si>
  <si>
    <t>AEROP.GUARARAPES</t>
  </si>
  <si>
    <t>01/06/2022 10:03:45</t>
  </si>
  <si>
    <t>02/06/2022 10:03:45</t>
  </si>
  <si>
    <t>01/06/2022 10:02:29</t>
  </si>
  <si>
    <t>02/06/2022 10:02:29</t>
  </si>
  <si>
    <t>01/06/2022 10:02:26</t>
  </si>
  <si>
    <t>02/06/2022 10:02:26</t>
  </si>
  <si>
    <t>01/06/2022 10:01:16</t>
  </si>
  <si>
    <t>02/06/2022 10:01:16</t>
  </si>
  <si>
    <t>01/06/2022 10:00:45</t>
  </si>
  <si>
    <t>02/06/2022 10:00:45</t>
  </si>
  <si>
    <t>01/06/2022 10:00:37</t>
  </si>
  <si>
    <t>02/06/2022 10:00:37</t>
  </si>
  <si>
    <t>01/06/2022 10:00:36</t>
  </si>
  <si>
    <t>02/06/2022 10:00:36</t>
  </si>
  <si>
    <t>01/06/2022 09:59:59</t>
  </si>
  <si>
    <t>02/06/2022 09:59:59</t>
  </si>
  <si>
    <t>2369.00</t>
  </si>
  <si>
    <t>OROBO</t>
  </si>
  <si>
    <t>01/06/2022 09:58:03</t>
  </si>
  <si>
    <t>02/06/2022 09:58:03</t>
  </si>
  <si>
    <t>01/06/2022 09:57:45</t>
  </si>
  <si>
    <t>02/06/2022 09:57:45</t>
  </si>
  <si>
    <t>2238.00</t>
  </si>
  <si>
    <t>LAGOA DOS GATOS</t>
  </si>
  <si>
    <t>01/06/2022 09:56:40</t>
  </si>
  <si>
    <t>02/06/2022 09:56:41</t>
  </si>
  <si>
    <t>01/06/2022 09:56:36</t>
  </si>
  <si>
    <t>02/06/2022 09:56:36</t>
  </si>
  <si>
    <t>01/06/2022 09:56:14</t>
  </si>
  <si>
    <t>02/06/2022 09:56:14</t>
  </si>
  <si>
    <t>01/06/2022 09:56:07</t>
  </si>
  <si>
    <t>02/06/2022 09:56:07</t>
  </si>
  <si>
    <t>01/06/2022 09:56:06</t>
  </si>
  <si>
    <t>02/06/2022 09:56:06</t>
  </si>
  <si>
    <t>1814.03</t>
  </si>
  <si>
    <t>01/06/2022 09:56:04</t>
  </si>
  <si>
    <t>02/06/2022 09:56:04</t>
  </si>
  <si>
    <t>1764.00</t>
  </si>
  <si>
    <t>CEDRO</t>
  </si>
  <si>
    <t>01/06/2022 09:55:41</t>
  </si>
  <si>
    <t>01/06/2022 09:55:37</t>
  </si>
  <si>
    <t>02/06/2022 09:55:38</t>
  </si>
  <si>
    <t>01/06/2022 09:55:17</t>
  </si>
  <si>
    <t>02/06/2022 09:55:17</t>
  </si>
  <si>
    <t>01/06/2022 09:55:14</t>
  </si>
  <si>
    <t>02/06/2022 09:55:14</t>
  </si>
  <si>
    <t>1509.00</t>
  </si>
  <si>
    <t>CASA FORTE</t>
  </si>
  <si>
    <t>01/06/2022 09:54:41</t>
  </si>
  <si>
    <t>02/06/2022 09:54:41</t>
  </si>
  <si>
    <t>01/06/2022 09:53:56</t>
  </si>
  <si>
    <t>02/06/2022 09:53:56</t>
  </si>
  <si>
    <t>01/06/2022 09:52:28</t>
  </si>
  <si>
    <t>02/06/2022 09:52:28</t>
  </si>
  <si>
    <t>01/06/2022 09:52:27</t>
  </si>
  <si>
    <t>02/06/2022 09:52:27</t>
  </si>
  <si>
    <t>01/06/2022 09:51:58</t>
  </si>
  <si>
    <t>02/06/2022 09:51:58</t>
  </si>
  <si>
    <t>01/06/2022 09:50:52</t>
  </si>
  <si>
    <t>02/06/2022 09:50:52</t>
  </si>
  <si>
    <t>01/06/2022 09:49:54</t>
  </si>
  <si>
    <t>01/06/2022 09:49:53</t>
  </si>
  <si>
    <t>02/06/2022 09:49:53</t>
  </si>
  <si>
    <t>01/06/2022 09:49:25</t>
  </si>
  <si>
    <t>02/06/2022 09:49:26</t>
  </si>
  <si>
    <t>01/06/2022 09:47:42</t>
  </si>
  <si>
    <t>02/06/2022 09:47:42</t>
  </si>
  <si>
    <t>#CADASTRO DE EQPTOS: REALIZAR CADASTRO DOS BEM DOS EQPTOS NO-BREAKS ATÉ 2KVA E SEUS RESPECTIVOS BANCOS DE BATERIAS. ALIMENTAR INFORMAÇÕES E FOTOS DO Nº DO BEM (SE HOUVER) NO CMA3.0</t>
  </si>
  <si>
    <t>7802.34</t>
  </si>
  <si>
    <t>CORREIOS BONGI</t>
  </si>
  <si>
    <t>01/06/2022 09:46:01</t>
  </si>
  <si>
    <t>02/06/2022 09:46:01</t>
  </si>
  <si>
    <t>7802.28</t>
  </si>
  <si>
    <t>MEX-C P O R-PE</t>
  </si>
  <si>
    <t>7802.22</t>
  </si>
  <si>
    <t>MINISTERIO PUBLICO</t>
  </si>
  <si>
    <t>7802.21</t>
  </si>
  <si>
    <t>PROCURADORIA REG.</t>
  </si>
  <si>
    <t>7802.19</t>
  </si>
  <si>
    <t>PROCURADORIA II</t>
  </si>
  <si>
    <t>01/06/2022 09:46:00</t>
  </si>
  <si>
    <t>7802.18</t>
  </si>
  <si>
    <t>PROCURADORIA JUSTICA</t>
  </si>
  <si>
    <t>02/06/2022 09:46:00</t>
  </si>
  <si>
    <t>7802.17</t>
  </si>
  <si>
    <t>TCE-PE</t>
  </si>
  <si>
    <t>7802.05</t>
  </si>
  <si>
    <t>AABB-RECIFE</t>
  </si>
  <si>
    <t>7802.04</t>
  </si>
  <si>
    <t>ETC-EXECUTIVE TRADE</t>
  </si>
  <si>
    <t>7802.02</t>
  </si>
  <si>
    <t>HOSP.GETULIO VARGAS</t>
  </si>
  <si>
    <t>7802.01</t>
  </si>
  <si>
    <t>SERPRO-RECIFE</t>
  </si>
  <si>
    <t>4890.08</t>
  </si>
  <si>
    <t>ALT-CHESF</t>
  </si>
  <si>
    <t>01/06/2022 09:45:31</t>
  </si>
  <si>
    <t>02/06/2022 09:45:31</t>
  </si>
  <si>
    <t>4890.07</t>
  </si>
  <si>
    <t>ALT-CID.UNIVERSITARI</t>
  </si>
  <si>
    <t>4890.06</t>
  </si>
  <si>
    <t>ALT-ESPINHEIRO</t>
  </si>
  <si>
    <t>4890.05</t>
  </si>
  <si>
    <t>ALT-TAMARINEIRA</t>
  </si>
  <si>
    <t>01/06/2022 09:45:30</t>
  </si>
  <si>
    <t>02/06/2022 09:45:30</t>
  </si>
  <si>
    <t>4890.04</t>
  </si>
  <si>
    <t>ALT-CASA AMARELA</t>
  </si>
  <si>
    <t>4890.03</t>
  </si>
  <si>
    <t>ALT-CAXANGA</t>
  </si>
  <si>
    <t>3237.01</t>
  </si>
  <si>
    <t>ALT-DANTAS BARRETO</t>
  </si>
  <si>
    <t>01/06/2022 09:44:47</t>
  </si>
  <si>
    <t>02/06/2022 09:44:47</t>
  </si>
  <si>
    <t>3234.17</t>
  </si>
  <si>
    <t>TRT-PE-FORUM TRAB</t>
  </si>
  <si>
    <t>2889.03</t>
  </si>
  <si>
    <t>MEX-C M NE</t>
  </si>
  <si>
    <t>01/06/2022 09:44:41</t>
  </si>
  <si>
    <t>02/06/2022 09:44:42</t>
  </si>
  <si>
    <t>2889.01</t>
  </si>
  <si>
    <t>CONAB-PE</t>
  </si>
  <si>
    <t>2365.13</t>
  </si>
  <si>
    <t>MEX-7.G A C</t>
  </si>
  <si>
    <t>01/06/2022 09:44:26</t>
  </si>
  <si>
    <t>02/06/2022 09:44:26</t>
  </si>
  <si>
    <t>1833.04</t>
  </si>
  <si>
    <t>CBTU-AREIAS</t>
  </si>
  <si>
    <t>01/06/2022 09:44:20</t>
  </si>
  <si>
    <t>02/06/2022 09:44:20</t>
  </si>
  <si>
    <t>01/06/2022 09:43:58</t>
  </si>
  <si>
    <t>02/06/2022 09:43:58</t>
  </si>
  <si>
    <t>0821.07</t>
  </si>
  <si>
    <t>FORUM PAULISTA</t>
  </si>
  <si>
    <t>01/06/2022 09:43:54</t>
  </si>
  <si>
    <t>02/06/2022 09:43:54</t>
  </si>
  <si>
    <t>0325.09</t>
  </si>
  <si>
    <t>INSS-PE-TANCREDO NEV</t>
  </si>
  <si>
    <t>01/06/2022 09:43:24</t>
  </si>
  <si>
    <t>02/06/2022 09:43:24</t>
  </si>
  <si>
    <t>01/06/2022 09:42:57</t>
  </si>
  <si>
    <t>02/06/2022 09:42:57</t>
  </si>
  <si>
    <t>0007.65</t>
  </si>
  <si>
    <t>DEL.MIN.FAZENDA-PE</t>
  </si>
  <si>
    <t>01/06/2022 09:42:53</t>
  </si>
  <si>
    <t>02/06/2022 09:42:53</t>
  </si>
  <si>
    <t>01/06/2022 09:42:35</t>
  </si>
  <si>
    <t>02/06/2022 09:42:35</t>
  </si>
  <si>
    <t>01/06/2022 09:42:31</t>
  </si>
  <si>
    <t>02/06/2022 09:42:32</t>
  </si>
  <si>
    <t>8633.00</t>
  </si>
  <si>
    <t>ESTILO PARNAMIRIM</t>
  </si>
  <si>
    <t>01/06/2022 09:42:29</t>
  </si>
  <si>
    <t>02/06/2022 09:42:30</t>
  </si>
  <si>
    <t>01/06/2022 09:40:24</t>
  </si>
  <si>
    <t>02/06/2022 09:40:24</t>
  </si>
  <si>
    <t>5755.00</t>
  </si>
  <si>
    <t>ESTILO ILHA DO LEITE</t>
  </si>
  <si>
    <t>01/06/2022 09:40:09</t>
  </si>
  <si>
    <t>02/06/2022 09:40:09</t>
  </si>
  <si>
    <t>01/06/2022 09:40:08</t>
  </si>
  <si>
    <t>01/06/2022 09:39:21</t>
  </si>
  <si>
    <t>02/06/2022 09:39:21</t>
  </si>
  <si>
    <t>4637.00</t>
  </si>
  <si>
    <t>TORITAMA</t>
  </si>
  <si>
    <t>01/06/2022 09:38:50</t>
  </si>
  <si>
    <t>02/06/2022 09:38:50</t>
  </si>
  <si>
    <t>01/06/2022 09:38:49</t>
  </si>
  <si>
    <t>02/06/2022 09:38:49</t>
  </si>
  <si>
    <t>01/06/2022 09:37:36</t>
  </si>
  <si>
    <t>02/06/2022 09:37:36</t>
  </si>
  <si>
    <t>01/06/2022 09:37:05</t>
  </si>
  <si>
    <t>02/06/2022 09:37:05</t>
  </si>
  <si>
    <t>3918.00</t>
  </si>
  <si>
    <t>LAGOA GRANDE</t>
  </si>
  <si>
    <t>01/06/2022 09:36:08</t>
  </si>
  <si>
    <t>02/06/2022 09:36:09</t>
  </si>
  <si>
    <t>01/06/2022 09:35:25</t>
  </si>
  <si>
    <t>02/06/2022 09:35:25</t>
  </si>
  <si>
    <t>01/06/2022 09:35:16</t>
  </si>
  <si>
    <t>02/06/2022 09:35:16</t>
  </si>
  <si>
    <t>01/06/2022 09:34:58</t>
  </si>
  <si>
    <t>02/06/2022 09:34:58</t>
  </si>
  <si>
    <t>01/06/2022 09:34:21</t>
  </si>
  <si>
    <t>02/06/2022 09:34:21</t>
  </si>
  <si>
    <t>01/06/2022 09:34:20</t>
  </si>
  <si>
    <t>02/06/2022 09:34:20</t>
  </si>
  <si>
    <t>01/06/2022 09:34:19</t>
  </si>
  <si>
    <t>02/06/2022 09:34:19</t>
  </si>
  <si>
    <t>01/06/2022 09:33:37</t>
  </si>
  <si>
    <t>02/06/2022 09:33:38</t>
  </si>
  <si>
    <t>01/06/2022 09:33:02</t>
  </si>
  <si>
    <t>02/06/2022 09:33:02</t>
  </si>
  <si>
    <t>01/06/2022 09:33:01</t>
  </si>
  <si>
    <t>02/06/2022 09:33:01</t>
  </si>
  <si>
    <t>01/06/2022 09:33:00</t>
  </si>
  <si>
    <t>02/06/2022 09:33:00</t>
  </si>
  <si>
    <t>01/06/2022 09:32:31</t>
  </si>
  <si>
    <t>02/06/2022 09:32:31</t>
  </si>
  <si>
    <t>01/06/2022 09:31:49</t>
  </si>
  <si>
    <t>02/06/2022 09:31:49</t>
  </si>
  <si>
    <t>01/06/2022 09:31:47</t>
  </si>
  <si>
    <t>02/06/2022 09:31:47</t>
  </si>
  <si>
    <t>01/06/2022 09:31:46</t>
  </si>
  <si>
    <t>01/06/2022 09:31:42</t>
  </si>
  <si>
    <t>02/06/2022 09:31:42</t>
  </si>
  <si>
    <t>01/06/2022 09:31:24</t>
  </si>
  <si>
    <t>02/06/2022 09:31:25</t>
  </si>
  <si>
    <t>2219.00</t>
  </si>
  <si>
    <t>JOAO ALFREDO</t>
  </si>
  <si>
    <t>01/06/2022 09:31:23</t>
  </si>
  <si>
    <t>02/06/2022 09:31:23</t>
  </si>
  <si>
    <t>01/06/2022 09:31:07</t>
  </si>
  <si>
    <t>02/06/2022 09:31:07</t>
  </si>
  <si>
    <t>01/06/2022 09:30:54</t>
  </si>
  <si>
    <t>02/06/2022 09:30:54</t>
  </si>
  <si>
    <t>01/06/2022 09:30:49</t>
  </si>
  <si>
    <t>02/06/2022 09:30:49</t>
  </si>
  <si>
    <t>01/06/2022 09:30:32</t>
  </si>
  <si>
    <t>02/06/2022 09:30:32</t>
  </si>
  <si>
    <t>01/06/2022 09:30:31</t>
  </si>
  <si>
    <t>01/06/2022 09:30:25</t>
  </si>
  <si>
    <t>02/06/2022 09:30:25</t>
  </si>
  <si>
    <t>01/06/2022 09:30:14</t>
  </si>
  <si>
    <t>02/06/2022 09:30:15</t>
  </si>
  <si>
    <t>01/06/2022 09:30:07</t>
  </si>
  <si>
    <t>02/06/2022 09:30:07</t>
  </si>
  <si>
    <t>01/06/2022 09:29:55</t>
  </si>
  <si>
    <t>02/06/2022 09:29:55</t>
  </si>
  <si>
    <t>01/06/2022 09:29:45</t>
  </si>
  <si>
    <t>02/06/2022 09:29:46</t>
  </si>
  <si>
    <t>01/06/2022 09:29:16</t>
  </si>
  <si>
    <t>01/06/2022 09:29:15</t>
  </si>
  <si>
    <t>02/06/2022 09:29:16</t>
  </si>
  <si>
    <t>01/06/2022 09:28:29</t>
  </si>
  <si>
    <t>02/06/2022 09:28:29</t>
  </si>
  <si>
    <t>01/06/2022 09:28:28</t>
  </si>
  <si>
    <t>02/06/2022 09:28:28</t>
  </si>
  <si>
    <t>01/06/2022 09:28:07</t>
  </si>
  <si>
    <t>02/06/2022 09:28:07</t>
  </si>
  <si>
    <t>01/06/2022 09:27:29</t>
  </si>
  <si>
    <t>02/06/2022 09:27:29</t>
  </si>
  <si>
    <t>01/06/2022 09:27:28</t>
  </si>
  <si>
    <t>02/06/2022 09:27:28</t>
  </si>
  <si>
    <t>01/06/2022 09:26:56</t>
  </si>
  <si>
    <t>02/06/2022 09:26:56</t>
  </si>
  <si>
    <t>01/06/2022 09:26:40</t>
  </si>
  <si>
    <t>02/06/2022 09:26:40</t>
  </si>
  <si>
    <t>01/06/2022 09:26:04</t>
  </si>
  <si>
    <t>02/06/2022 09:26:04</t>
  </si>
  <si>
    <t>#CADASTRO DE EQPTOS: REALIZAR CADASTRO DO CONTROLE DE ACESSO DOS BEM DOS EQPTOS PGDM, PSDM, ECLUSA, E QNDO HOUVER, INTERTRAVAMENTO DE PORTAS E CONTROLE INDIVIDUAL DA SALA ONLINE. ALIMENTAR INFORMAÇÕES E FOTOS DO Nº DO BEM NO CMA3.0</t>
  </si>
  <si>
    <t>GRPE-000002</t>
  </si>
  <si>
    <t>EQUIPAMENTOS PGDM/PEDM</t>
  </si>
  <si>
    <t>01/06/2022 09:25:36</t>
  </si>
  <si>
    <t>02/06/2022 09:25:36</t>
  </si>
  <si>
    <t>01/06/2022 09:25:19</t>
  </si>
  <si>
    <t>02/06/2022 09:25:19</t>
  </si>
  <si>
    <t>01/06/2022 09:25:17</t>
  </si>
  <si>
    <t>02/06/2022 09:25:17</t>
  </si>
  <si>
    <t>01/06/2022 09:22:28</t>
  </si>
  <si>
    <t>02/06/2022 09:22:28</t>
  </si>
  <si>
    <t>01/06/2022 09:22:25</t>
  </si>
  <si>
    <t>02/06/2022 09:22:25</t>
  </si>
  <si>
    <t>01/06/2022 09:22:20</t>
  </si>
  <si>
    <t>02/06/2022 09:22:20</t>
  </si>
  <si>
    <t>01/06/2022 09:21:45</t>
  </si>
  <si>
    <t>02/06/2022 09:21:45</t>
  </si>
  <si>
    <t>01/06/2022 09:21:12</t>
  </si>
  <si>
    <t>02/06/2022 09:21:13</t>
  </si>
  <si>
    <t>01/06/2022 09:21:11</t>
  </si>
  <si>
    <t>02/06/2022 09:21:11</t>
  </si>
  <si>
    <t>01/06/2022 09:20:36</t>
  </si>
  <si>
    <t>02/06/2022 09:20:36</t>
  </si>
  <si>
    <t>01/06/2022 09:20:28</t>
  </si>
  <si>
    <t>02/06/2022 09:20:28</t>
  </si>
  <si>
    <t>01/06/2022 09:20:11</t>
  </si>
  <si>
    <t>02/06/2022 09:20:11</t>
  </si>
  <si>
    <t>01/06/2022 09:19:39</t>
  </si>
  <si>
    <t>02/06/2022 09:19:39</t>
  </si>
  <si>
    <t>01/06/2022 09:19:14</t>
  </si>
  <si>
    <t>02/06/2022 09:19:14</t>
  </si>
  <si>
    <t>01/06/2022 09:18:58</t>
  </si>
  <si>
    <t>02/06/2022 09:18:58</t>
  </si>
  <si>
    <t>01/06/2022 09:18:43</t>
  </si>
  <si>
    <t>02/06/2022 09:18:43</t>
  </si>
  <si>
    <t>01/06/2022 09:18:21</t>
  </si>
  <si>
    <t>02/06/2022 09:18:21</t>
  </si>
  <si>
    <t>01/06/2022 09:18:20</t>
  </si>
  <si>
    <t>02/06/2022 09:18:20</t>
  </si>
  <si>
    <t>01/06/2022 09:18:19</t>
  </si>
  <si>
    <t>02/06/2022 09:18:19</t>
  </si>
  <si>
    <t>01/06/2022 09:18:18</t>
  </si>
  <si>
    <t>02/06/2022 09:18:18</t>
  </si>
  <si>
    <t>01/06/2022 09:18:04</t>
  </si>
  <si>
    <t>02/06/2022 09:18:04</t>
  </si>
  <si>
    <t>01/06/2022 09:17:48</t>
  </si>
  <si>
    <t>02/06/2022 09:17:49</t>
  </si>
  <si>
    <t>01/06/2022 09:17:35</t>
  </si>
  <si>
    <t>02/06/2022 09:17:35</t>
  </si>
  <si>
    <t>01/06/2022 09:17:31</t>
  </si>
  <si>
    <t>02/06/2022 09:17:31</t>
  </si>
  <si>
    <t>01/06/2022 09:17:29</t>
  </si>
  <si>
    <t>02/06/2022 09:17:29</t>
  </si>
  <si>
    <t>01/06/2022 09:17:23</t>
  </si>
  <si>
    <t>02/06/2022 09:17:23</t>
  </si>
  <si>
    <t>01/06/2022 09:17:07</t>
  </si>
  <si>
    <t>02/06/2022 09:17:07</t>
  </si>
  <si>
    <t>2678.00</t>
  </si>
  <si>
    <t>SENTO SE</t>
  </si>
  <si>
    <t>01/06/2022 09:17:03</t>
  </si>
  <si>
    <t>02/06/2022 09:17:03</t>
  </si>
  <si>
    <t>01/06/2022 09:16:56</t>
  </si>
  <si>
    <t>02/06/2022 09:16:56</t>
  </si>
  <si>
    <t>01/06/2022 09:16:45</t>
  </si>
  <si>
    <t>02/06/2022 09:16:45</t>
  </si>
  <si>
    <t>2371.00</t>
  </si>
  <si>
    <t>OURICURI</t>
  </si>
  <si>
    <t>01/06/2022 09:16:42</t>
  </si>
  <si>
    <t>02/06/2022 09:16:42</t>
  </si>
  <si>
    <t>01/06/2022 09:16:41</t>
  </si>
  <si>
    <t>02/06/2022 09:16:41</t>
  </si>
  <si>
    <t>01/06/2022 09:16:38</t>
  </si>
  <si>
    <t>02/06/2022 09:16:38</t>
  </si>
  <si>
    <t>01/06/2022 09:16:27</t>
  </si>
  <si>
    <t>02/06/2022 09:16:27</t>
  </si>
  <si>
    <t>01/06/2022 09:16:19</t>
  </si>
  <si>
    <t>02/06/2022 09:16:19</t>
  </si>
  <si>
    <t>01/06/2022 09:16:17</t>
  </si>
  <si>
    <t>02/06/2022 09:16:17</t>
  </si>
  <si>
    <t>01/06/2022 09:16:14</t>
  </si>
  <si>
    <t>02/06/2022 09:16:14</t>
  </si>
  <si>
    <t>01/06/2022 09:16:02</t>
  </si>
  <si>
    <t>02/06/2022 09:16:02</t>
  </si>
  <si>
    <t>01/06/2022 09:15:53</t>
  </si>
  <si>
    <t>02/06/2022 09:15:53</t>
  </si>
  <si>
    <t>01/06/2022 09:15:46</t>
  </si>
  <si>
    <t>02/06/2022 09:15:46</t>
  </si>
  <si>
    <t>01/06/2022 09:15:44</t>
  </si>
  <si>
    <t>02/06/2022 09:15:44</t>
  </si>
  <si>
    <t>01/06/2022 09:15:42</t>
  </si>
  <si>
    <t>02/06/2022 09:15:42</t>
  </si>
  <si>
    <t>01/06/2022 09:15:32</t>
  </si>
  <si>
    <t>01/06/2022 09:15:22</t>
  </si>
  <si>
    <t>02/06/2022 09:15:22</t>
  </si>
  <si>
    <t>01/06/2022 09:15:16</t>
  </si>
  <si>
    <t>02/06/2022 09:15:16</t>
  </si>
  <si>
    <t>1153.00</t>
  </si>
  <si>
    <t>TAQUARITINGA NORTE</t>
  </si>
  <si>
    <t>01/06/2022 09:14:53</t>
  </si>
  <si>
    <t>02/06/2022 09:14:53</t>
  </si>
  <si>
    <t>Com Leo em 15/02/2023  == &gt; &gt;     #CADASTRO DE EQPTOS: REALIZAR CADASTRO DO CONTROLE DE ACESSO DOS BEM DOS EQPTOS PGDM, PSDM, ECLUSA, E QNDO HOUVER, INTERTRAVAMENTO DE PORTAS E CONTROLE INDIVIDUAL DA SALA ONLINE. ALIMENTAR INFORMAÇÕES E FOTOS DO Nº DO BEM NO CMA3.0</t>
  </si>
  <si>
    <t>01/06/2022 09:14:52</t>
  </si>
  <si>
    <t>02/06/2022 09:14:52</t>
  </si>
  <si>
    <t>01/06/2022 09:14:48</t>
  </si>
  <si>
    <t>02/06/2022 09:14:48</t>
  </si>
  <si>
    <t>01/06/2022 09:14:46</t>
  </si>
  <si>
    <t>02/06/2022 09:14:46</t>
  </si>
  <si>
    <t>01/06/2022 09:14:36</t>
  </si>
  <si>
    <t>02/06/2022 09:14:37</t>
  </si>
  <si>
    <t>01/06/2022 09:14:33</t>
  </si>
  <si>
    <t>02/06/2022 09:14:33</t>
  </si>
  <si>
    <t>01/06/2022 09:14:15</t>
  </si>
  <si>
    <t>02/06/2022 09:14:15</t>
  </si>
  <si>
    <t>01/06/2022 09:14:14</t>
  </si>
  <si>
    <t>02/06/2022 09:14:14</t>
  </si>
  <si>
    <t>01/06/2022 09:13:59</t>
  </si>
  <si>
    <t>02/06/2022 09:14:00</t>
  </si>
  <si>
    <t>01/06/2022 09:13:58</t>
  </si>
  <si>
    <t>02/06/2022 09:13:58</t>
  </si>
  <si>
    <t>01/06/2022 09:13:49</t>
  </si>
  <si>
    <t>02/06/2022 09:13:49</t>
  </si>
  <si>
    <t>01/06/2022 09:13:37</t>
  </si>
  <si>
    <t>02/06/2022 09:13:37</t>
  </si>
  <si>
    <t>01/06/2022 09:13:27</t>
  </si>
  <si>
    <t>02/06/2022 09:13:27</t>
  </si>
  <si>
    <t>0196.00</t>
  </si>
  <si>
    <t>AGRESTINA</t>
  </si>
  <si>
    <t>01/06/2022 09:13:24</t>
  </si>
  <si>
    <t>02/06/2022 09:13:24</t>
  </si>
  <si>
    <t>01/06/2022 09:13:08</t>
  </si>
  <si>
    <t>02/06/2022 09:13:08</t>
  </si>
  <si>
    <t>01/06/2022 09:03:54</t>
  </si>
  <si>
    <t>02/06/2022 09:03:54</t>
  </si>
  <si>
    <t>01/06/2022 08:58:03</t>
  </si>
  <si>
    <t>02/06/2022 08:58:04</t>
  </si>
  <si>
    <t>01/06/2022 07:33:35</t>
  </si>
  <si>
    <t>02/06/2022 07:33:35</t>
  </si>
  <si>
    <t>01/06/2022 07:24:56</t>
  </si>
  <si>
    <t>02/06/2022 07:24:56</t>
  </si>
  <si>
    <t xml:space="preserve">Instalação de câmera suplementar para a sala online   </t>
  </si>
  <si>
    <t>Aquisição de equipamentos de CFTV para adequação do 09° Andar-Ed Capiba.  Projeto Flexy BB.</t>
  </si>
  <si>
    <t>7420.00</t>
  </si>
  <si>
    <t>CESUP PLAT RECIFE</t>
  </si>
  <si>
    <t xml:space="preserve">Câmeras obsoletas. Necessário substituição das mesmas.   </t>
  </si>
  <si>
    <t>1028.00</t>
  </si>
  <si>
    <t>BELEM SAO FRANCISCO</t>
  </si>
  <si>
    <t>07/07/2022 15:34:27</t>
  </si>
  <si>
    <t>10/08/2022 18:00:00</t>
  </si>
  <si>
    <t>DOSI - complementacao - instalacao de 01(um) ATOS-006426 - cofre</t>
  </si>
  <si>
    <t>0600.00</t>
  </si>
  <si>
    <t>ARARIPINA</t>
  </si>
  <si>
    <t>Instalação da bateria 12v do GN</t>
  </si>
  <si>
    <t>Configuração</t>
  </si>
  <si>
    <t xml:space="preserve">O teste do GN da Tesouraria/Cofre não sinalizou com êxito.   </t>
  </si>
  <si>
    <t>Reinstalação do sistema de câmeras após reforma na dependência</t>
  </si>
  <si>
    <t>18/07/2022 09:20:53</t>
  </si>
  <si>
    <t>29/09/2022 18:00:00</t>
  </si>
  <si>
    <t xml:space="preserve">DOSI - INSTALAÇÃO PARCIAL DOSI - 01 NVR (ATOS-006431) E 01 CÂMERA IP TIPO 2 (006427) </t>
  </si>
  <si>
    <t>25/07/2022 17:10:56</t>
  </si>
  <si>
    <t>26/08/2022 18:00:00</t>
  </si>
  <si>
    <t>concluir instalação dosi - 05 câmeras ATOS-6426</t>
  </si>
  <si>
    <t>01/08/2022 09:27:13</t>
  </si>
  <si>
    <t>02/09/2022 18:00:00</t>
  </si>
  <si>
    <t>01/08/2022 07:17:32</t>
  </si>
  <si>
    <t>02/08/2022 07:17:32</t>
  </si>
  <si>
    <t>01/08/2022 06:00:17</t>
  </si>
  <si>
    <t>02/08/2022 06:00:18</t>
  </si>
  <si>
    <t>01/08/2022 05:26:31</t>
  </si>
  <si>
    <t>02/08/2022 05:26:31</t>
  </si>
  <si>
    <t>01/08/2022 04:41:42</t>
  </si>
  <si>
    <t>02/08/2022 04:41:42</t>
  </si>
  <si>
    <t>01/08/2022 04:34:26</t>
  </si>
  <si>
    <t>02/08/2022 04:34:26</t>
  </si>
  <si>
    <t>01/08/2022 03:37:06</t>
  </si>
  <si>
    <t>02/08/2022 03:37:07</t>
  </si>
  <si>
    <t>01/08/2022 03:36:13</t>
  </si>
  <si>
    <t>02/08/2022 03:36:13</t>
  </si>
  <si>
    <t>01/08/2022 02:17:29</t>
  </si>
  <si>
    <t>02/08/2022 02:17:29</t>
  </si>
  <si>
    <t>DOSA - SUBSTITUIÇÃO DO CHIP DA OPERADORA OI DO MÓDULO GPRS</t>
  </si>
  <si>
    <t>04/08/2022 12:37:36</t>
  </si>
  <si>
    <t>15/09/2022 18:00:00</t>
  </si>
  <si>
    <t>04/08/2022 12:37:27</t>
  </si>
  <si>
    <t>04/08/2022 12:37:26</t>
  </si>
  <si>
    <t>04/08/2022 12:37:23</t>
  </si>
  <si>
    <t>04/08/2022 12:37:19</t>
  </si>
  <si>
    <t>04/08/2022 12:37:10</t>
  </si>
  <si>
    <t>04/08/2022 12:37:06</t>
  </si>
  <si>
    <t>04/08/2022 12:36:47</t>
  </si>
  <si>
    <t>04/08/2022 12:36:44</t>
  </si>
  <si>
    <t>DOSA - MANUTENÇÃO PREVENTIVA DO SISTEMA DE ALARME - 2ºSEM/2022</t>
  </si>
  <si>
    <t>08/08/2022 18:14:07</t>
  </si>
  <si>
    <t>09/08/2022 18:00:00</t>
  </si>
  <si>
    <t>08/08/2022 18:09:36</t>
  </si>
  <si>
    <t>08/08/2022 18:08:21</t>
  </si>
  <si>
    <t>08/08/2022 18:07:51</t>
  </si>
  <si>
    <t>08/08/2022 18:07:09</t>
  </si>
  <si>
    <t>08/08/2022 18:07:06</t>
  </si>
  <si>
    <t>08/08/2022 18:07:03</t>
  </si>
  <si>
    <t>DODR - MANUTENÇÃO PREVENTIVA DO GERADOR DE NEBLINA - 2º SEM/2022</t>
  </si>
  <si>
    <t>08/08/2022 12:08:48</t>
  </si>
  <si>
    <t>08/08/2022 18:00:00</t>
  </si>
  <si>
    <t>08/08/2022 12:08:47</t>
  </si>
  <si>
    <t>08/08/2022 12:07:32</t>
  </si>
  <si>
    <t>08/08/2022 12:06:15</t>
  </si>
  <si>
    <t>08/08/2022 12:05:43</t>
  </si>
  <si>
    <t>08/08/2022 12:05:42</t>
  </si>
  <si>
    <t>08/08/2022 12:05:13</t>
  </si>
  <si>
    <t>08/08/2022 12:05:03</t>
  </si>
  <si>
    <t>08/08/2022 12:05:02</t>
  </si>
  <si>
    <t>08/08/2022 12:05:01</t>
  </si>
  <si>
    <t>08/08/2022 12:04:57</t>
  </si>
  <si>
    <t>08/08/2022 12:04:56</t>
  </si>
  <si>
    <t>CÂMERA OSCILANDO E COM FALHA.  NECESSÁRIO INSTALAÇÃO DE CÂMERA NOVA E FONTE. ATOS-006658 E ATOS-006565</t>
  </si>
  <si>
    <t>10/08/2022 15:03:09</t>
  </si>
  <si>
    <t>14/09/2022 18:00:00</t>
  </si>
  <si>
    <t xml:space="preserve">Câmera não funciona corretamente, oscila nas imagens. Necessário de substituição de câmera e fonte. ATOS-006658 e ATOS-006565   </t>
  </si>
  <si>
    <t>10/08/2022 09:06:56</t>
  </si>
  <si>
    <t>Manutenção Corretiva</t>
  </si>
  <si>
    <t>PROBLEMA NA PLACA MAEN</t>
  </si>
  <si>
    <t>EQPT-080332</t>
  </si>
  <si>
    <t>8489.00</t>
  </si>
  <si>
    <t>SUPER VAREJO PE</t>
  </si>
  <si>
    <t>T-10 MICRO TMF DG DATEN DC2D-S PE 2017-00149 LOTE 01</t>
  </si>
  <si>
    <t>11/08/2022 14:28:47</t>
  </si>
  <si>
    <t>00118/2021</t>
  </si>
  <si>
    <t>16/08/2022 10:28:47</t>
  </si>
  <si>
    <t>Nome/ chave- Marcos Fonteles/ F6813094-5  - Instalação do  alarme ( sala on line), devido troca do hack e infra estrutura pronta.  Tel- 81 997620713  Email- age3108@bb.com.br</t>
  </si>
  <si>
    <t>15/08/2022 10:59:14</t>
  </si>
  <si>
    <t>26/09/2022 18:00:00</t>
  </si>
  <si>
    <t>Aquisição de equipamentos de CFTV para adequação do 07° Andar-Ed Capiba.  Projeto Flexy BB - FT 2021/213747  Solicitação anterior indeferida, mas reavaliamos e regravamos</t>
  </si>
  <si>
    <t>7420.38</t>
  </si>
  <si>
    <t>CESUP PLAT REC/PRED</t>
  </si>
  <si>
    <t>17/08/2022 11:41:34</t>
  </si>
  <si>
    <t>21/09/2022 18:00:00</t>
  </si>
  <si>
    <t xml:space="preserve">Nome/chave- Davi Cavalcante/ F2315754-2  - instalação completa do cftv, acompanhar conclusão da infra após obras . Obs: atendimento dia 22/08.  tel-81 998311540  Email- davicsilva@bb.com.br/age0714@bb.com.br                   </t>
  </si>
  <si>
    <t>19/08/2022 09:40:19</t>
  </si>
  <si>
    <t>23/09/2022 18:00:00</t>
  </si>
  <si>
    <t xml:space="preserve">Nome/chave- Davi Cavalcante/ F2315754-2  - instalação completa do alarme, acompanhar conclusão da infra. Obs: atendimento dia 22/08.  tel-81 998311540  Email- davicsilva@bb.com.br/age0714@bb.com.br                   </t>
  </si>
  <si>
    <t>19/08/2022 09:39:24</t>
  </si>
  <si>
    <t>30/09/2022 18:00:00</t>
  </si>
  <si>
    <t>DODR - MANUTENÇÃO PREVENTIVA DA LUZ ESTROBO - 2ºSEM/2022</t>
  </si>
  <si>
    <t>22/08/2022 18:28:44</t>
  </si>
  <si>
    <t>23/08/2022 18:00:00</t>
  </si>
  <si>
    <t>22/08/2022 18:28:15</t>
  </si>
  <si>
    <t>22/08/2022 18:28:14</t>
  </si>
  <si>
    <t xml:space="preserve">Agência foi sinistrada e várias câmeras foram roubadas, cliente solicita reposição das mesmas.   </t>
  </si>
  <si>
    <t xml:space="preserve"> Solicitação de ATOS-000122 para ATIVACAO DE RAMAL DIGITAL (PVV) NA CENTRAL DE ALARME</t>
  </si>
  <si>
    <t xml:space="preserve"> Em substituição à OS 8869766, de manutenção corretiva, aberta pelo cliente para: "Solicitamos realização de orçamento e relatório fotográfico para infraestrutura de 16 câmeras. Os vinculada a modernização do sistema CFVT.</t>
  </si>
  <si>
    <t>30/08/2022 11:47:25</t>
  </si>
  <si>
    <t>04/10/2022 18:00:00</t>
  </si>
  <si>
    <t>#AUDIOBIDIRECIONAL - INSTALAR 02 ATOS-8092 (NF:77681) PROBLEMAS DE INFRA BB, SUSP. COM 601 E PREENCHER CMA3(TEYA-VISTORIA DE INFRA...).PROBLEMAS COM ALTURA OU OUTRA DE RESP. BBTS, SUSP. COM 105.NÃO DEIXAR EQPT. ATIVO FORA DO LOCAL PREVISTO.</t>
  </si>
  <si>
    <t>31/08/2022 13:36:37</t>
  </si>
  <si>
    <t>01/09/2022 13:36:37</t>
  </si>
  <si>
    <t>31/08/2022 13:36:36</t>
  </si>
  <si>
    <t>01/09/2022 13:36:36</t>
  </si>
  <si>
    <t>1128.00</t>
  </si>
  <si>
    <t>STA.MARIA BOA VISTA</t>
  </si>
  <si>
    <t>0246.00</t>
  </si>
  <si>
    <t>SERRA TALHADA</t>
  </si>
  <si>
    <t xml:space="preserve">Instalação de 20 câmeras retiradas durante a reforma da agencia 2365- Olinda/PE   </t>
  </si>
  <si>
    <t>02/09/2022 15:39:02</t>
  </si>
  <si>
    <t>07/10/2022 18:00:00</t>
  </si>
  <si>
    <t>INSTALAÇÃO DE CÂMERAS APÓS REFORMA DE AGÊNCIA.</t>
  </si>
  <si>
    <t>02/09/2022 11:02:27</t>
  </si>
  <si>
    <t>Encaminhado para abertura de chamado de instalação de alarme conforme orientações do CEMAN.</t>
  </si>
  <si>
    <t>09/09/2022 13:47:27</t>
  </si>
  <si>
    <t>21/10/2022 18:00:00</t>
  </si>
  <si>
    <t>ATIVAÇÃO DE RAMAL DIGITAL (PVV) NA CENTRAL DE ALARME</t>
  </si>
  <si>
    <t>09/09/2022 13:45:26</t>
  </si>
  <si>
    <t xml:space="preserve">Solicita um remanejamento do sistema completo de alarme. Mesmo ambiente porém em parede diferente.  Nome: Arlete de Oliveira  Matrícula: F1234213  Telefone: (87)999941092  E-mail:age0069@bb.com.br </t>
  </si>
  <si>
    <t>0069.00</t>
  </si>
  <si>
    <t>JUAZEIRO</t>
  </si>
  <si>
    <t>12/09/2022 11:21:36</t>
  </si>
  <si>
    <t>24/10/2022 18:00:00</t>
  </si>
  <si>
    <t>Vistoria para remanejamento.</t>
  </si>
  <si>
    <t>13/09/2022 17:30:54</t>
  </si>
  <si>
    <t>14/09/2022 17:32:00</t>
  </si>
  <si>
    <t>EQPT-086206</t>
  </si>
  <si>
    <t>T-10 TERMINAL RECICLADOR TAART DIEBOLD V19</t>
  </si>
  <si>
    <t>13/09/2022 17:25:23</t>
  </si>
  <si>
    <t>14/09/2022 17:27:24</t>
  </si>
  <si>
    <t>EQPT-078245</t>
  </si>
  <si>
    <t>T-10 TAA TAAST SAQUE TRASEIRO DIEBOLD CD-4500-235/237 2015 V15</t>
  </si>
  <si>
    <t>13/09/2022 17:20:11</t>
  </si>
  <si>
    <t>14/09/2022 17:21:21</t>
  </si>
  <si>
    <t>Vistoria para remanejamento</t>
  </si>
  <si>
    <t>EQPT-071457</t>
  </si>
  <si>
    <t>T-10 TAA TAAST SAQUE DEPOSITO TRASEIRO DIEBOLD CD4500ST 2014 C/ENTINTAMENTO</t>
  </si>
  <si>
    <t>13/09/2022 17:13:01</t>
  </si>
  <si>
    <t>14/09/2022 17:14:06</t>
  </si>
  <si>
    <t>INSTALAÇÃO DE CÂMERAS APÓS REFORMA DA AGÊNCIA.</t>
  </si>
  <si>
    <t>15/09/2022 10:49:15</t>
  </si>
  <si>
    <t>20/10/2022 18:00:00</t>
  </si>
  <si>
    <t>19/09/2022 10:26:24</t>
  </si>
  <si>
    <t>31/10/2022 18:00:00</t>
  </si>
  <si>
    <t>Câmera da tesouraria, fora do enquadramento incorreto, não identificado o cofre por inteiro, nesse caso e necessário acrescentar uma nova câmera no ambiente.</t>
  </si>
  <si>
    <t>29/09/2022 09:15:09</t>
  </si>
  <si>
    <t>04/11/2022 18:00:00</t>
  </si>
  <si>
    <t>03/10/2022 06:16:18</t>
  </si>
  <si>
    <t>04/10/2022 06:16:18</t>
  </si>
  <si>
    <t>03/10/2022 05:07:35</t>
  </si>
  <si>
    <t>04/10/2022 05:07:36</t>
  </si>
  <si>
    <t>03/10/2022 02:28:14</t>
  </si>
  <si>
    <t>04/10/2022 02:28:14</t>
  </si>
  <si>
    <t xml:space="preserve"> Vistoria com o intuito de verificação/manutenção da infraestrutura para posterior instalação dos novos equipamentos do contrato DOSA/DODR - 2019/8558-0096 (gerador de neblina, alarme e/ou sensores sísmicos)</t>
  </si>
  <si>
    <t>06/10/2022 15:44:14</t>
  </si>
  <si>
    <t>07/10/2022 15:44:14</t>
  </si>
  <si>
    <t>EQUIPAMENTO LIGA MAS NAO DISPARA.N</t>
  </si>
  <si>
    <t>8362.00</t>
  </si>
  <si>
    <t>GESIN PERNAMBUCO</t>
  </si>
  <si>
    <t>07/10/2022 09:33:50</t>
  </si>
  <si>
    <t>11/10/2022 14:33:50</t>
  </si>
  <si>
    <t>COMPUTADOR INTERMINTENTE, AS VEZES PEGA E AS VEZES DA ERRO DE SO CORROMPIDA.N</t>
  </si>
  <si>
    <t>10/10/2022 15:55:32</t>
  </si>
  <si>
    <t>14/10/2022 11:55:32</t>
  </si>
  <si>
    <t>DODR - VISTORIAS DA INFRAESTRUTURA PARA INSTALAÇÕES GN - DETALHADA COM FOTOS NO CMA 3.0</t>
  </si>
  <si>
    <t>2196.00</t>
  </si>
  <si>
    <t>JAGUARARI-BA</t>
  </si>
  <si>
    <t>14/10/2022 15:26:33</t>
  </si>
  <si>
    <t>15/10/2022 15:26:33</t>
  </si>
  <si>
    <t>#prioridade4 DOSI - INSTALAÇÃO DO KIT DOSI 2º SEMESTRE 2022 (1 NVR ATOS-006431, 02 UNIDADES CÂMERAS IP TIPO 2 ATOS-006427 E 02 UNIDADE CÂMERA TIPO 1 ATOS-006426 PRIORIZANDO SAA)</t>
  </si>
  <si>
    <t>8074.00</t>
  </si>
  <si>
    <t>AV.DA INTEGRACAO</t>
  </si>
  <si>
    <t>19/10/2022 12:26:22</t>
  </si>
  <si>
    <t>24/11/2022 18:00:00</t>
  </si>
  <si>
    <t>#prioridade2 DOSI - INSTALAÇÃO DO KIT DOSI 2º SEMESTRE 2022 (02 UNIDADES CÂMERAS IP TIPO 2 ATOS-006427 E 02 UNIDADE CÂMERA TIPO 1 ATOS-006426 PRIORIZANDO SAA) NVR já instalado</t>
  </si>
  <si>
    <t>19/10/2022 12:25:53</t>
  </si>
  <si>
    <t xml:space="preserve">DODR - INSTALAÇÃO DO MODULO DE SUPERVISÃO- ATOS-000221 </t>
  </si>
  <si>
    <t>21/10/2022 18:10:08</t>
  </si>
  <si>
    <t>06/12/2022 18:00:00</t>
  </si>
  <si>
    <t xml:space="preserve">DODR - INSTALAÇÃO DO GERADOR DE NEBLINA - ATOS-000222 </t>
  </si>
  <si>
    <t>21/10/2022 18:09:42</t>
  </si>
  <si>
    <t>21/10/2022 18:09:16</t>
  </si>
  <si>
    <t>21/10/2022 18:08:48</t>
  </si>
  <si>
    <t>NOBREAK BEM 741719506687 NAO SEGURA CARGA</t>
  </si>
  <si>
    <t>25/10/2022 12:23:40</t>
  </si>
  <si>
    <t>26/10/2022 12:53:40</t>
  </si>
  <si>
    <t>PLACA MAE QUEIMADAN</t>
  </si>
  <si>
    <t>26/10/2022 15:27:53</t>
  </si>
  <si>
    <t>31/10/2022 11:27:53</t>
  </si>
  <si>
    <t>TROCA DA PLACA MAEN</t>
  </si>
  <si>
    <t>Instalação de Câmeras de CFTV para o 08º andar do Edifício Capiba para atendermos Demanda do Projeto Flexy BB. Solicitação Cesup Plat. Urgente. Realizar a pendência dos equipamentos necessários</t>
  </si>
  <si>
    <t>28/10/2022 14:35:55</t>
  </si>
  <si>
    <t>05/12/2022 18:00:00</t>
  </si>
  <si>
    <t>Segundo No Break entregue pela atual mantenedora em menos de três meses está queimado. No processo, levou junto a fonte que alimenta o cftv. Prejuízo para o BB e retrabalho.</t>
  </si>
  <si>
    <t>28/10/2022 11:23:41</t>
  </si>
  <si>
    <t>08/11/2022 15:05:00</t>
  </si>
  <si>
    <t>equipamento com defeito, sem funcionamento.</t>
  </si>
  <si>
    <t>31/10/2022 13:33:11</t>
  </si>
  <si>
    <t>01/11/2022 14:03:11</t>
  </si>
  <si>
    <t>Equipamento com defeito, sem funcionamento.</t>
  </si>
  <si>
    <t>31/10/2022 13:33:06</t>
  </si>
  <si>
    <t>01/11/2022 14:03:06</t>
  </si>
  <si>
    <t>Equipamento com defeito, sem funcionamento</t>
  </si>
  <si>
    <t>Equipamento com defeito, sem funcionar.</t>
  </si>
  <si>
    <t>31/10/2022 13:32:43</t>
  </si>
  <si>
    <t>01/11/2022 14:02:43</t>
  </si>
  <si>
    <t>equipamento com defeitos, sem funcionar.</t>
  </si>
  <si>
    <t>31/10/2022 13:23:48</t>
  </si>
  <si>
    <t>01/11/2022 13:53:48</t>
  </si>
  <si>
    <t>Instalação de uma câmera nova em substituição de uma que não apresenta cor na imagem</t>
  </si>
  <si>
    <t>03/11/2022 14:51:27</t>
  </si>
  <si>
    <t>08/12/2022 18:00:00</t>
  </si>
  <si>
    <t>instalação de câmera anal´pgica na área do cofre, infra realizada conforme e-mail de jamedavid@bb.com.br , em 03/11/2022: "Informamos que a fiação necessária para instalação da câmera já está disponível, podendo assim a tecno comparecer pa</t>
  </si>
  <si>
    <t>03/11/2022 10:34:22</t>
  </si>
  <si>
    <t xml:space="preserve">#INSTALACAO DE 2 AUDIOBIRECIONAL - 0899-00 BODOCO - R.DR.JOAO PESSOA, 77 - CENTRO - BODOCO - PE - CEP: 56220000 </t>
  </si>
  <si>
    <t>07/11/2022 12:06:29</t>
  </si>
  <si>
    <t>16/11/2022 12:06:29</t>
  </si>
  <si>
    <t>instalação de câmeras (DOSI). Continuidade dos serviços diante da conclusão da obra. Solicitação Cesup para o dia 16/11/22.</t>
  </si>
  <si>
    <t>07/11/2022 09:45:51</t>
  </si>
  <si>
    <t>12/12/2022 18:00:00</t>
  </si>
  <si>
    <t>reinstalações dos equipamentos sistema gerador de neblina (quatro geradores de neblina) sob responsabilidade da BBTS.</t>
  </si>
  <si>
    <t>08/11/2022 09:25:47</t>
  </si>
  <si>
    <t>20/12/2022 18:00:00</t>
  </si>
  <si>
    <t>reinstalações dos equipamentos sistema de alarme (31 sensores de presença, 8 acionadores,1 sirene interna, 1 sirene externa, 8 teclados, 8 sensores sísmicos,3 antenas de receptor/acionadores).</t>
  </si>
  <si>
    <t>08/11/2022 09:15:08</t>
  </si>
  <si>
    <t>Atualização do Layout de partição e zonas.</t>
  </si>
  <si>
    <t>EQPT-083401</t>
  </si>
  <si>
    <t>1049.91</t>
  </si>
  <si>
    <t>SAA-CORRENTES</t>
  </si>
  <si>
    <t>T-10 TERMINAL RECICLADOR TAART DIEBOLD V17</t>
  </si>
  <si>
    <t>09/11/2022 11:39:19</t>
  </si>
  <si>
    <t>10/11/2022 11:45:26</t>
  </si>
  <si>
    <t xml:space="preserve">Nome: Amofelix  Chave: F0716694  Tel: (81) 995782784 (Rogério)  Def: Instalação de sistema de alarme Obs: infraestrutura pronta.  e-mail: age0159@bb.com.br   </t>
  </si>
  <si>
    <t>11/11/2022 14:50:15</t>
  </si>
  <si>
    <t>23/12/2022 18:00:00</t>
  </si>
  <si>
    <t>nobreak 7417212170245 não liga.</t>
  </si>
  <si>
    <t>14/11/2022 16:50:52</t>
  </si>
  <si>
    <t>Falha no banco de baterias no break bem 7417202669097</t>
  </si>
  <si>
    <t>23/11/2022 16:15:01</t>
  </si>
  <si>
    <t>30/11/2022 11:45:01</t>
  </si>
  <si>
    <t xml:space="preserve">Instalação de uma câmera frente ao cofre.   </t>
  </si>
  <si>
    <t>23/11/2022 15:44:04</t>
  </si>
  <si>
    <t>02/01/2023 18:00:00</t>
  </si>
  <si>
    <t>0068.00</t>
  </si>
  <si>
    <t>ARCOVERDE</t>
  </si>
  <si>
    <t>23/11/2022 08:24:34</t>
  </si>
  <si>
    <t>24/11/2022 08:24:34</t>
  </si>
  <si>
    <t>23/11/2022 08:24:29</t>
  </si>
  <si>
    <t>24/11/2022 08:24:29</t>
  </si>
  <si>
    <t>SCAP 74182258359  Modernização com incremento de novas posições cftv na dependência  conforme layout proposto pelo engenharia</t>
  </si>
  <si>
    <t>28/11/2022 11:52:24</t>
  </si>
  <si>
    <t>30/12/2022 18:00:00</t>
  </si>
  <si>
    <t>DODR - INSTALAÇÃO DO MÓDULO DE SUPERVISÃO.</t>
  </si>
  <si>
    <t>28/11/2022 10:13:16</t>
  </si>
  <si>
    <t>06/01/2023 18:00:00</t>
  </si>
  <si>
    <t>DODR - INSTALAÇÃO DO GERADOR DE NEBLINA</t>
  </si>
  <si>
    <t>28/11/2022 10:11:17</t>
  </si>
  <si>
    <t>28/11/2022 10:10:12</t>
  </si>
  <si>
    <t>28/11/2022 10:09:21</t>
  </si>
  <si>
    <t>DOSI - INSTALAÇÃO DO GERADOR DE NEBLINA</t>
  </si>
  <si>
    <t>28/11/2022 10:08:18</t>
  </si>
  <si>
    <t>NO-BREAK NÃO LIGA</t>
  </si>
  <si>
    <t>30/11/2022 13:14:55</t>
  </si>
  <si>
    <t>01/12/2022 13:44:55</t>
  </si>
  <si>
    <t>0821.00</t>
  </si>
  <si>
    <t>PAULISTA</t>
  </si>
  <si>
    <t>01/12/2022 16:38:54</t>
  </si>
  <si>
    <t>02/12/2022 16:38:55</t>
  </si>
  <si>
    <t>01/12/2022 16:26:17</t>
  </si>
  <si>
    <t>02/12/2022 16:26:18</t>
  </si>
  <si>
    <t>01/12/2022 16:22:23</t>
  </si>
  <si>
    <t>02/12/2022 16:22:23</t>
  </si>
  <si>
    <t>01/12/2022 16:16:55</t>
  </si>
  <si>
    <t>02/12/2022 16:16:56</t>
  </si>
  <si>
    <t>01/12/2022 16:16:31</t>
  </si>
  <si>
    <t>02/12/2022 16:16:31</t>
  </si>
  <si>
    <t>0232.00</t>
  </si>
  <si>
    <t>LIMOEIRO</t>
  </si>
  <si>
    <t>01/12/2022 16:13:40</t>
  </si>
  <si>
    <t>02/12/2022 16:13:41</t>
  </si>
  <si>
    <t>01/12/2022 16:10:32</t>
  </si>
  <si>
    <t>02/12/2022 16:10:32</t>
  </si>
  <si>
    <t>01/12/2022 16:08:53</t>
  </si>
  <si>
    <t>02/12/2022 16:08:53</t>
  </si>
  <si>
    <t>01/12/2022 16:08:17</t>
  </si>
  <si>
    <t>02/12/2022 16:08:17</t>
  </si>
  <si>
    <t>01/12/2022 16:05:42</t>
  </si>
  <si>
    <t>02/12/2022 16:05:42</t>
  </si>
  <si>
    <t>0922.00</t>
  </si>
  <si>
    <t>GRAVATA</t>
  </si>
  <si>
    <t>01/12/2022 16:02:33</t>
  </si>
  <si>
    <t>02/12/2022 16:02:34</t>
  </si>
  <si>
    <t>01/12/2022 16:02:18</t>
  </si>
  <si>
    <t>02/12/2022 16:02:18</t>
  </si>
  <si>
    <t>01/12/2022 16:01:52</t>
  </si>
  <si>
    <t>02/12/2022 16:01:52</t>
  </si>
  <si>
    <t>01/12/2022 16:00:43</t>
  </si>
  <si>
    <t>02/12/2022 16:00:44</t>
  </si>
  <si>
    <t>01/12/2022 15:54:52</t>
  </si>
  <si>
    <t>02/12/2022 15:54:53</t>
  </si>
  <si>
    <t>01/12/2022 15:54:41</t>
  </si>
  <si>
    <t>02/12/2022 15:54:41</t>
  </si>
  <si>
    <t>01/12/2022 15:48:42</t>
  </si>
  <si>
    <t>02/12/2022 15:48:42</t>
  </si>
  <si>
    <t>01/12/2022 15:47:17</t>
  </si>
  <si>
    <t>02/12/2022 15:47:17</t>
  </si>
  <si>
    <t>01/12/2022 15:46:17</t>
  </si>
  <si>
    <t>02/12/2022 15:46:18</t>
  </si>
  <si>
    <t>01/12/2022 15:43:49</t>
  </si>
  <si>
    <t>02/12/2022 15:43:49</t>
  </si>
  <si>
    <t>01/12/2022 15:43:15</t>
  </si>
  <si>
    <t>02/12/2022 15:43:16</t>
  </si>
  <si>
    <t>2125.00</t>
  </si>
  <si>
    <t>VENTUROSA</t>
  </si>
  <si>
    <t>01/12/2022 15:30:45</t>
  </si>
  <si>
    <t>02/12/2022 15:30:45</t>
  </si>
  <si>
    <t>01/12/2022 15:17:05</t>
  </si>
  <si>
    <t>02/12/2022 15:17:05</t>
  </si>
  <si>
    <t>01/12/2022 15:07:31</t>
  </si>
  <si>
    <t>02/12/2022 15:07:31</t>
  </si>
  <si>
    <t>01/12/2022 15:07:04</t>
  </si>
  <si>
    <t>02/12/2022 15:07:04</t>
  </si>
  <si>
    <t>01/12/2022 15:03:40</t>
  </si>
  <si>
    <t>02/12/2022 15:03:41</t>
  </si>
  <si>
    <t>01/12/2022 14:58:04</t>
  </si>
  <si>
    <t>02/12/2022 14:58:04</t>
  </si>
  <si>
    <t>01/12/2022 14:57:54</t>
  </si>
  <si>
    <t>02/12/2022 14:57:54</t>
  </si>
  <si>
    <t>01/12/2022 14:55:27</t>
  </si>
  <si>
    <t>02/12/2022 14:55:27</t>
  </si>
  <si>
    <t>01/12/2022 14:50:56</t>
  </si>
  <si>
    <t>02/12/2022 14:50:56</t>
  </si>
  <si>
    <t>01/12/2022 14:46:30</t>
  </si>
  <si>
    <t>02/12/2022 14:46:30</t>
  </si>
  <si>
    <t>01/12/2022 14:45:53</t>
  </si>
  <si>
    <t>02/12/2022 14:45:53</t>
  </si>
  <si>
    <t>01/12/2022 14:43:19</t>
  </si>
  <si>
    <t>01/12/2022 14:42:48</t>
  </si>
  <si>
    <t>02/12/2022 14:42:48</t>
  </si>
  <si>
    <t>01/12/2022 14:40:11</t>
  </si>
  <si>
    <t>02/12/2022 14:40:11</t>
  </si>
  <si>
    <t>01/12/2022 14:31:27</t>
  </si>
  <si>
    <t>02/12/2022 14:31:28</t>
  </si>
  <si>
    <t>01/12/2022 14:31:07</t>
  </si>
  <si>
    <t>02/12/2022 14:31:07</t>
  </si>
  <si>
    <t>01/12/2022 14:27:31</t>
  </si>
  <si>
    <t>02/12/2022 14:27:32</t>
  </si>
  <si>
    <t>01/12/2022 14:22:58</t>
  </si>
  <si>
    <t>02/12/2022 14:22:58</t>
  </si>
  <si>
    <t>01/12/2022 14:22:43</t>
  </si>
  <si>
    <t>02/12/2022 14:22:44</t>
  </si>
  <si>
    <t>01/12/2022 14:08:06</t>
  </si>
  <si>
    <t>02/12/2022 14:08:06</t>
  </si>
  <si>
    <t>01/12/2022 14:06:52</t>
  </si>
  <si>
    <t>02/12/2022 14:06:53</t>
  </si>
  <si>
    <t>01/12/2022 14:03:30</t>
  </si>
  <si>
    <t>02/12/2022 14:03:31</t>
  </si>
  <si>
    <t>01/12/2022 14:02:56</t>
  </si>
  <si>
    <t>02/12/2022 14:02:56</t>
  </si>
  <si>
    <t>01/12/2022 14:00:14</t>
  </si>
  <si>
    <t>02/12/2022 14:00:15</t>
  </si>
  <si>
    <t>01/12/2022 13:55:50</t>
  </si>
  <si>
    <t>02/12/2022 13:55:51</t>
  </si>
  <si>
    <t>01/12/2022 13:54:35</t>
  </si>
  <si>
    <t>02/12/2022 13:54:36</t>
  </si>
  <si>
    <t>01/12/2022 13:35:14</t>
  </si>
  <si>
    <t>02/12/2022 13:35:15</t>
  </si>
  <si>
    <t>01/12/2022 13:32:35</t>
  </si>
  <si>
    <t>01/12/2022 13:31:17</t>
  </si>
  <si>
    <t>02/12/2022 13:31:17</t>
  </si>
  <si>
    <t>01/12/2022 13:23:44</t>
  </si>
  <si>
    <t>02/12/2022 13:23:44</t>
  </si>
  <si>
    <t>2473.00</t>
  </si>
  <si>
    <t>POMBOS</t>
  </si>
  <si>
    <t>01/12/2022 13:21:59</t>
  </si>
  <si>
    <t>02/12/2022 13:21:59</t>
  </si>
  <si>
    <t>01/12/2022 13:20:28</t>
  </si>
  <si>
    <t>02/12/2022 13:20:29</t>
  </si>
  <si>
    <t>01/12/2022 13:19:26</t>
  </si>
  <si>
    <t>02/12/2022 13:19:26</t>
  </si>
  <si>
    <t>01/12/2022 13:17:34</t>
  </si>
  <si>
    <t>02/12/2022 13:17:35</t>
  </si>
  <si>
    <t>01/12/2022 13:16:25</t>
  </si>
  <si>
    <t>01/12/2022 13:13:57</t>
  </si>
  <si>
    <t>02/12/2022 13:13:57</t>
  </si>
  <si>
    <t>01/12/2022 13:13:22</t>
  </si>
  <si>
    <t>02/12/2022 13:13:22</t>
  </si>
  <si>
    <t>01/12/2022 13:12:47</t>
  </si>
  <si>
    <t>02/12/2022 13:12:48</t>
  </si>
  <si>
    <t>01/12/2022 13:08:35</t>
  </si>
  <si>
    <t>02/12/2022 13:08:36</t>
  </si>
  <si>
    <t>01/12/2022 13:08:04</t>
  </si>
  <si>
    <t>02/12/2022 13:08:04</t>
  </si>
  <si>
    <t>01/12/2022 13:01:02</t>
  </si>
  <si>
    <t>02/12/2022 13:01:02</t>
  </si>
  <si>
    <t>01/12/2022 12:55:52</t>
  </si>
  <si>
    <t>02/12/2022 12:55:52</t>
  </si>
  <si>
    <t>01/12/2022 12:39:47</t>
  </si>
  <si>
    <t>02/12/2022 12:39:47</t>
  </si>
  <si>
    <t>01/12/2022 12:38:09</t>
  </si>
  <si>
    <t>02/12/2022 12:38:09</t>
  </si>
  <si>
    <t>01/12/2022 12:30:38</t>
  </si>
  <si>
    <t>02/12/2022 12:30:38</t>
  </si>
  <si>
    <t>01/12/2022 12:29:26</t>
  </si>
  <si>
    <t>02/12/2022 12:29:26</t>
  </si>
  <si>
    <t>01/12/2022 12:28:28</t>
  </si>
  <si>
    <t>02/12/2022 12:28:29</t>
  </si>
  <si>
    <t>01/12/2022 12:26:14</t>
  </si>
  <si>
    <t>02/12/2022 12:26:14</t>
  </si>
  <si>
    <t>01/12/2022 12:25:40</t>
  </si>
  <si>
    <t>02/12/2022 12:25:41</t>
  </si>
  <si>
    <t>01/12/2022 12:23:07</t>
  </si>
  <si>
    <t>02/12/2022 12:23:07</t>
  </si>
  <si>
    <t>01/12/2022 12:19:05</t>
  </si>
  <si>
    <t>02/12/2022 12:19:05</t>
  </si>
  <si>
    <t>01/12/2022 12:16:45</t>
  </si>
  <si>
    <t>02/12/2022 12:16:45</t>
  </si>
  <si>
    <t>01/12/2022 12:12:46</t>
  </si>
  <si>
    <t>02/12/2022 12:12:46</t>
  </si>
  <si>
    <t>01/12/2022 11:50:54</t>
  </si>
  <si>
    <t>02/12/2022 11:50:54</t>
  </si>
  <si>
    <t>01/12/2022 11:47:42</t>
  </si>
  <si>
    <t>02/12/2022 11:47:42</t>
  </si>
  <si>
    <t>01/12/2022 11:29:21</t>
  </si>
  <si>
    <t>02/12/2022 11:29:21</t>
  </si>
  <si>
    <t>01/12/2022 11:22:36</t>
  </si>
  <si>
    <t>02/12/2022 11:22:36</t>
  </si>
  <si>
    <t>01/12/2022 11:18:46</t>
  </si>
  <si>
    <t>02/12/2022 11:18:47</t>
  </si>
  <si>
    <t>01/12/2022 11:14:36</t>
  </si>
  <si>
    <t>02/12/2022 11:14:36</t>
  </si>
  <si>
    <t>01/12/2022 11:12:57</t>
  </si>
  <si>
    <t>02/12/2022 11:12:57</t>
  </si>
  <si>
    <t>01/12/2022 11:11:20</t>
  </si>
  <si>
    <t>02/12/2022 11:11:21</t>
  </si>
  <si>
    <t>01/12/2022 11:09:51</t>
  </si>
  <si>
    <t>02/12/2022 11:09:52</t>
  </si>
  <si>
    <t>01/12/2022 11:06:24</t>
  </si>
  <si>
    <t>02/12/2022 11:06:25</t>
  </si>
  <si>
    <t>01/12/2022 11:06:12</t>
  </si>
  <si>
    <t>02/12/2022 11:06:13</t>
  </si>
  <si>
    <t>01/12/2022 11:06:06</t>
  </si>
  <si>
    <t>02/12/2022 11:06:06</t>
  </si>
  <si>
    <t>01/12/2022 11:04:06</t>
  </si>
  <si>
    <t>02/12/2022 11:04:07</t>
  </si>
  <si>
    <t>01/12/2022 10:59:01</t>
  </si>
  <si>
    <t>02/12/2022 10:59:02</t>
  </si>
  <si>
    <t>01/12/2022 10:56:55</t>
  </si>
  <si>
    <t>02/12/2022 10:56:55</t>
  </si>
  <si>
    <t>01/12/2022 10:54:42</t>
  </si>
  <si>
    <t>02/12/2022 10:54:42</t>
  </si>
  <si>
    <t>01/12/2022 10:54:24</t>
  </si>
  <si>
    <t>02/12/2022 10:54:25</t>
  </si>
  <si>
    <t>01/12/2022 10:51:40</t>
  </si>
  <si>
    <t>02/12/2022 10:51:41</t>
  </si>
  <si>
    <t>01/12/2022 10:48:59</t>
  </si>
  <si>
    <t>02/12/2022 10:48:59</t>
  </si>
  <si>
    <t>01/12/2022 10:44:37</t>
  </si>
  <si>
    <t>02/12/2022 10:44:37</t>
  </si>
  <si>
    <t>01/12/2022 10:43:26</t>
  </si>
  <si>
    <t>02/12/2022 10:43:26</t>
  </si>
  <si>
    <t>01/12/2022 10:41:42</t>
  </si>
  <si>
    <t>02/12/2022 10:41:43</t>
  </si>
  <si>
    <t>01/12/2022 10:40:50</t>
  </si>
  <si>
    <t>01/12/2022 10:39:12</t>
  </si>
  <si>
    <t>02/12/2022 10:39:12</t>
  </si>
  <si>
    <t>01/12/2022 10:35:18</t>
  </si>
  <si>
    <t>02/12/2022 10:35:18</t>
  </si>
  <si>
    <t>01/12/2022 10:25:46</t>
  </si>
  <si>
    <t>02/12/2022 10:25:46</t>
  </si>
  <si>
    <t>01/12/2022 10:24:40</t>
  </si>
  <si>
    <t>02/12/2022 10:24:40</t>
  </si>
  <si>
    <t>01/12/2022 10:24:28</t>
  </si>
  <si>
    <t>02/12/2022 10:24:28</t>
  </si>
  <si>
    <t>01/12/2022 10:07:08</t>
  </si>
  <si>
    <t>02/12/2022 10:07:08</t>
  </si>
  <si>
    <t>01/12/2022 10:06:44</t>
  </si>
  <si>
    <t>02/12/2022 10:06:45</t>
  </si>
  <si>
    <t>01/12/2022 10:01:39</t>
  </si>
  <si>
    <t>02/12/2022 10:01:39</t>
  </si>
  <si>
    <t>01/12/2022 09:49:19</t>
  </si>
  <si>
    <t>02/12/2022 09:49:19</t>
  </si>
  <si>
    <t>01/12/2022 09:47:40</t>
  </si>
  <si>
    <t>02/12/2022 09:47:40</t>
  </si>
  <si>
    <t>01/12/2022 09:44:56</t>
  </si>
  <si>
    <t>02/12/2022 09:44:56</t>
  </si>
  <si>
    <t>01/12/2022 09:43:52</t>
  </si>
  <si>
    <t>02/12/2022 09:43:52</t>
  </si>
  <si>
    <t>0068.05</t>
  </si>
  <si>
    <t>BONANZA SUPERMERCADO</t>
  </si>
  <si>
    <t>01/12/2022 09:41:25</t>
  </si>
  <si>
    <t>02/12/2022 09:41:25</t>
  </si>
  <si>
    <t>01/12/2022 09:32:59</t>
  </si>
  <si>
    <t>02/12/2022 09:32:59</t>
  </si>
  <si>
    <t>01/12/2022 09:32:14</t>
  </si>
  <si>
    <t>02/12/2022 09:32:14</t>
  </si>
  <si>
    <t>01/12/2022 09:31:48</t>
  </si>
  <si>
    <t>02/12/2022 09:31:48</t>
  </si>
  <si>
    <t>01/12/2022 09:29:07</t>
  </si>
  <si>
    <t>02/12/2022 09:29:07</t>
  </si>
  <si>
    <t>01/12/2022 09:26:00</t>
  </si>
  <si>
    <t>02/12/2022 09:26:00</t>
  </si>
  <si>
    <t>01/12/2022 09:22:37</t>
  </si>
  <si>
    <t>02/12/2022 09:22:38</t>
  </si>
  <si>
    <t>01/12/2022 09:18:33</t>
  </si>
  <si>
    <t>02/12/2022 09:18:33</t>
  </si>
  <si>
    <t>01/12/2022 09:12:47</t>
  </si>
  <si>
    <t>02/12/2022 09:12:47</t>
  </si>
  <si>
    <t>01/12/2022 09:11:35</t>
  </si>
  <si>
    <t>02/12/2022 09:11:35</t>
  </si>
  <si>
    <t>01/12/2022 09:09:18</t>
  </si>
  <si>
    <t>02/12/2022 09:09:18</t>
  </si>
  <si>
    <t>01/12/2022 09:08:45</t>
  </si>
  <si>
    <t>02/12/2022 09:08:45</t>
  </si>
  <si>
    <t>01/12/2022 09:07:18</t>
  </si>
  <si>
    <t>02/12/2022 09:07:18</t>
  </si>
  <si>
    <t>01/12/2022 09:05:01</t>
  </si>
  <si>
    <t>02/12/2022 09:05:01</t>
  </si>
  <si>
    <t>01/12/2022 09:02:56</t>
  </si>
  <si>
    <t>02/12/2022 09:02:56</t>
  </si>
  <si>
    <t>01/12/2022 09:01:28</t>
  </si>
  <si>
    <t>02/12/2022 09:01:28</t>
  </si>
  <si>
    <t>01/12/2022 08:58:47</t>
  </si>
  <si>
    <t>02/12/2022 08:58:47</t>
  </si>
  <si>
    <t>01/12/2022 08:58:37</t>
  </si>
  <si>
    <t>02/12/2022 08:58:37</t>
  </si>
  <si>
    <t>01/12/2022 08:56:25</t>
  </si>
  <si>
    <t>02/12/2022 08:56:25</t>
  </si>
  <si>
    <t>01/12/2022 08:54:30</t>
  </si>
  <si>
    <t>02/12/2022 08:54:30</t>
  </si>
  <si>
    <t>01/12/2022 08:52:04</t>
  </si>
  <si>
    <t>02/12/2022 08:52:04</t>
  </si>
  <si>
    <t>01/12/2022 08:51:07</t>
  </si>
  <si>
    <t>02/12/2022 08:51:08</t>
  </si>
  <si>
    <t>01/12/2022 08:49:18</t>
  </si>
  <si>
    <t>02/12/2022 08:49:18</t>
  </si>
  <si>
    <t>01/12/2022 08:46:59</t>
  </si>
  <si>
    <t>02/12/2022 08:46:59</t>
  </si>
  <si>
    <t>01/12/2022 08:42:12</t>
  </si>
  <si>
    <t>02/12/2022 08:42:12</t>
  </si>
  <si>
    <t>01/12/2022 08:13:41</t>
  </si>
  <si>
    <t>02/12/2022 08:13:42</t>
  </si>
  <si>
    <t>01/12/2022 08:13:03</t>
  </si>
  <si>
    <t>02/12/2022 08:13:03</t>
  </si>
  <si>
    <t>01/12/2022 07:57:12</t>
  </si>
  <si>
    <t>02/12/2022 07:57:12</t>
  </si>
  <si>
    <t>01/12/2022 07:51:08</t>
  </si>
  <si>
    <t>02/12/2022 07:51:08</t>
  </si>
  <si>
    <t>01/12/2022 07:49:26</t>
  </si>
  <si>
    <t>02/12/2022 07:49:27</t>
  </si>
  <si>
    <t>01/12/2022 07:46:32</t>
  </si>
  <si>
    <t>02/12/2022 07:46:32</t>
  </si>
  <si>
    <t>01/12/2022 07:45:29</t>
  </si>
  <si>
    <t>02/12/2022 07:45:29</t>
  </si>
  <si>
    <t>01/12/2022 07:43:39</t>
  </si>
  <si>
    <t>02/12/2022 07:43:39</t>
  </si>
  <si>
    <t>01/12/2022 07:42:08</t>
  </si>
  <si>
    <t>02/12/2022 07:42:08</t>
  </si>
  <si>
    <t>01/12/2022 07:37:46</t>
  </si>
  <si>
    <t>02/12/2022 07:37:46</t>
  </si>
  <si>
    <t>01/12/2022 07:33:40</t>
  </si>
  <si>
    <t>02/12/2022 07:33:41</t>
  </si>
  <si>
    <t>01/12/2022 07:31:58</t>
  </si>
  <si>
    <t>02/12/2022 07:31:58</t>
  </si>
  <si>
    <t>01/12/2022 07:27:31</t>
  </si>
  <si>
    <t>02/12/2022 07:27:31</t>
  </si>
  <si>
    <t>01/12/2022 07:27:26</t>
  </si>
  <si>
    <t>02/12/2022 07:27:26</t>
  </si>
  <si>
    <t>01/12/2022 07:27:21</t>
  </si>
  <si>
    <t>02/12/2022 07:27:21</t>
  </si>
  <si>
    <t>01/12/2022 07:27:16</t>
  </si>
  <si>
    <t>02/12/2022 07:27:16</t>
  </si>
  <si>
    <t>01/12/2022 07:24:03</t>
  </si>
  <si>
    <t>02/12/2022 07:24:03</t>
  </si>
  <si>
    <t>01/12/2022 07:16:35</t>
  </si>
  <si>
    <t>02/12/2022 07:16:35</t>
  </si>
  <si>
    <t>01/12/2022 07:16:25</t>
  </si>
  <si>
    <t>02/12/2022 07:16:25</t>
  </si>
  <si>
    <t>01/12/2022 07:15:45</t>
  </si>
  <si>
    <t>02/12/2022 07:15:45</t>
  </si>
  <si>
    <t>01/12/2022 07:14:09</t>
  </si>
  <si>
    <t>02/12/2022 07:14:09</t>
  </si>
  <si>
    <t>01/12/2022 07:12:32</t>
  </si>
  <si>
    <t>02/12/2022 07:12:33</t>
  </si>
  <si>
    <t>01/12/2022 07:12:04</t>
  </si>
  <si>
    <t>02/12/2022 07:12:05</t>
  </si>
  <si>
    <t>01/12/2022 07:06:54</t>
  </si>
  <si>
    <t>02/12/2022 07:06:54</t>
  </si>
  <si>
    <t>01/12/2022 07:03:38</t>
  </si>
  <si>
    <t>02/12/2022 07:03:38</t>
  </si>
  <si>
    <t>01/12/2022 07:03:04</t>
  </si>
  <si>
    <t>01/12/2022 07:00:32</t>
  </si>
  <si>
    <t>02/12/2022 07:00:32</t>
  </si>
  <si>
    <t>01/12/2022 06:58:16</t>
  </si>
  <si>
    <t>02/12/2022 06:58:16</t>
  </si>
  <si>
    <t>01/12/2022 06:52:34</t>
  </si>
  <si>
    <t>02/12/2022 06:52:35</t>
  </si>
  <si>
    <t>01/12/2022 06:51:51</t>
  </si>
  <si>
    <t>02/12/2022 06:51:51</t>
  </si>
  <si>
    <t xml:space="preserve">Instalação de +2 luzes estro na PSV Caruaru/PE - após reforma   </t>
  </si>
  <si>
    <t>02/12/2022 12:40:48</t>
  </si>
  <si>
    <t>12/01/2023 18:00:00</t>
  </si>
  <si>
    <t>Instalação de fonte ATOS-006565</t>
  </si>
  <si>
    <t>02/12/2022 09:17:41</t>
  </si>
  <si>
    <t>05/01/2023 18:00:00</t>
  </si>
  <si>
    <t xml:space="preserve">Instalação de 3 sensores, infra pronta, data agendada p/ 08/12 CAT REC.   Obs : trata-se da subordinada 13-fica cerca de 20KM da sub 00 ( IPOJUCA )    Nome :  Amós Félix  Chave : f0716694   Telefone : 51 997121742 - Conrado     </t>
  </si>
  <si>
    <t>06/12/2022 14:17:55</t>
  </si>
  <si>
    <t>16/01/2023 18:00:00</t>
  </si>
  <si>
    <t xml:space="preserve">#AUDIOBIDIRECIONAL INSTALACAO 2 EQPTS ATOS-008092 - 2081-00   GLORIA DO GOITA - R.CLETO CAMPELO,98 - CENTRO - GLORIA DO GOITA - PE - CEP: 55620000 </t>
  </si>
  <si>
    <t>06/12/2022 11:10:01</t>
  </si>
  <si>
    <t>15/12/2022 11:10:01</t>
  </si>
  <si>
    <t>Instalar 3 ATOS-006658</t>
  </si>
  <si>
    <t>#prioridade DOSI - INSTALAÇÃO DO KIT DOSI 2º SEMESTRE 2022 (1 NVR ATOS-006431, 02 UNIDADES CÂMERAS IP TIPO 2 ATOS-006427 E 02 UNIDADE CÂMERA TIPO 1 ATOS-006426 PRIORIZANDO SAA)</t>
  </si>
  <si>
    <t>07/12/2022 11:32:31</t>
  </si>
  <si>
    <t>10/01/2023 18:00:00</t>
  </si>
  <si>
    <t>07/12/2022 11:32:28</t>
  </si>
  <si>
    <t>07/12/2022 11:32:25</t>
  </si>
  <si>
    <t>07/12/2022 11:32:22</t>
  </si>
  <si>
    <t>INSTALAÇÃO DO KIT DOSI 2º SEMESTRE 2022 (1 NVR ATOS-006431, 02 UNIDADES CÂMERAS IP TIPO 2 ATOS-006427 E 02 UNIDADE CÂMERA TIPO 1 ATOS-006426 PRIORIZANDO SAA)</t>
  </si>
  <si>
    <t>Instalação de uma câmera ATOS-006426 tesouraria</t>
  </si>
  <si>
    <t xml:space="preserve">#AUDIOBIDIRECIONAL INSTALACAO 2 EQPTS ATOS-008092 - 0068-00   ARCOVERDE - R.ALCIDES CURSINO,68 - CENTRO - ARCOVERDE - PE - CEP: 56506907 </t>
  </si>
  <si>
    <t>Remanajemento Externo prefixo 1792-00 CONDADO - PVV +03 aparelhos DE: Av 15 Novembro  309A Centro- PARA: Av 7 de setembro 470 Centro Condado - Gte Milena</t>
  </si>
  <si>
    <t>#AUDIOBIDIRECIONAL INSTALACAO 2 EQPTS ATOS-008092 --- 2988-00 SHOPPING GUARARAPES</t>
  </si>
  <si>
    <t>14/12/2022 09:37:45</t>
  </si>
  <si>
    <t>23/12/2022 09:37:45</t>
  </si>
  <si>
    <t>#AUDIOBIDIRECIONAL INSTALACAO 2 EQPTS ATOS-008092 --- 0870-00 SALGUEIRO</t>
  </si>
  <si>
    <t>#AUDIOBIDIRECIONAL INSTALACAO 2 EQPTS ATOS-008092 --- 0067-00 GARANHUNS</t>
  </si>
  <si>
    <t>No break não liga, não tem carga, so temos esse que fica na bateria de caixa. Urgente</t>
  </si>
  <si>
    <t>22/12/2022 10:05:45</t>
  </si>
  <si>
    <t>23/12/2022 10:35:45</t>
  </si>
  <si>
    <t>Cota</t>
  </si>
  <si>
    <t>COTA 100 - APARELHO NãO LIGA</t>
  </si>
  <si>
    <t>EQPT-083730</t>
  </si>
  <si>
    <t>T-10 NOTEBOOK POSITIVO MASTER N6240 BLACKSTONE 14POL FULL HD INTEL CORE I5-8250U 8GB 2.400MHZ 128GB SSD 16GB INTEL OPTANE WINDOWS 10 PRO PORTUGUES BRASIL</t>
  </si>
  <si>
    <t>29/12/2022 12:35:20</t>
  </si>
  <si>
    <t>30/12/2022 12:36:07</t>
  </si>
  <si>
    <t>COTA 100 - AO LIGAR O NOTEBOOK APARECE TELA AZUL "APTIO SETUP UTILITY"  HELTON (74) 98806-2009</t>
  </si>
  <si>
    <t>29/12/2022 11:09:31</t>
  </si>
  <si>
    <t>30/12/2022 11:18:55</t>
  </si>
  <si>
    <t>BOTAO DE LIGA/DESLIGA NAO FUNCIONA, SENDO NECESSARIO "ABRIR" A   CPU PARA PODER LIGAR O TERMINALN</t>
  </si>
  <si>
    <t>EQPT-084892</t>
  </si>
  <si>
    <t>T-10 MICRO TMF AG POSITIVO PE 2018/04269</t>
  </si>
  <si>
    <t>02/01/2023 10:27:57</t>
  </si>
  <si>
    <t>04/01/2023 15:27:57</t>
  </si>
  <si>
    <t>02/01/2023 00:07:11</t>
  </si>
  <si>
    <t>03/01/2023 00:07:12</t>
  </si>
  <si>
    <t>02/01/2023 00:06:30</t>
  </si>
  <si>
    <t>03/01/2023 00:06:30</t>
  </si>
  <si>
    <t>02/01/2023 00:06:15</t>
  </si>
  <si>
    <t>03/01/2023 00:06:15</t>
  </si>
  <si>
    <t>No break ficou com um barulho estranho e logo em seguida começou a exalar um cheiro de queimado</t>
  </si>
  <si>
    <t>03/01/2023 15:59:44</t>
  </si>
  <si>
    <t>11/01/2023 17:30:00</t>
  </si>
  <si>
    <t>CHAMADO PREVENTIVO PARA TROCA DA BATERIA DO TECLADO CRIPTOGRÁFICO</t>
  </si>
  <si>
    <t>EQPT-078767</t>
  </si>
  <si>
    <t>2413.91</t>
  </si>
  <si>
    <t>SAA-PASSIRA</t>
  </si>
  <si>
    <t>T-10 TAA LEVE PERTO TC-5150</t>
  </si>
  <si>
    <t>04/01/2023 16:16:56</t>
  </si>
  <si>
    <t>EQUIPAMENTO SEM SEGURAR A CARGA DE FORÇA</t>
  </si>
  <si>
    <t>TERMINAL INDISPONIVEL PARA SAQIESN</t>
  </si>
  <si>
    <t>4924.02</t>
  </si>
  <si>
    <t>SOP-PRINCESA AGRESTE</t>
  </si>
  <si>
    <t>05/01/2023 13:56:42</t>
  </si>
  <si>
    <t>DODR - MANUTENÇÕES PREVENTIVAS NOS DISPOSITIVOS RASTREADORES - 1º SEMESTRE/2023</t>
  </si>
  <si>
    <t>06/01/2023 16:20:40</t>
  </si>
  <si>
    <t>06/01/2023 16:20:39</t>
  </si>
  <si>
    <t>06/01/2023 16:20:35</t>
  </si>
  <si>
    <t>06/01/2023 16:20:30</t>
  </si>
  <si>
    <t>DODR - MANUTENÇÃO PREVENTIVA LUZ ESTROBOSCOPICA - 1º SEMESTRE/2023</t>
  </si>
  <si>
    <t>06/01/2023 14:57:59</t>
  </si>
  <si>
    <t>06/01/2023 14:57:58</t>
  </si>
  <si>
    <t>06/01/2023 14:57:27</t>
  </si>
  <si>
    <t>06/01/2023 14:57:26</t>
  </si>
  <si>
    <t>DODR - MANUTENÇÃO PREVENTIVA DO GERADOR DE NEBLINA - 1º SEMESTRE/2023</t>
  </si>
  <si>
    <t>06/01/2023 11:32:38</t>
  </si>
  <si>
    <t>06/01/2023 11:32:37</t>
  </si>
  <si>
    <t>06/01/2023 11:32:25</t>
  </si>
  <si>
    <t>06/01/2023 11:32:04</t>
  </si>
  <si>
    <t>06/01/2023 11:32:03</t>
  </si>
  <si>
    <t>06/01/2023 11:31:13</t>
  </si>
  <si>
    <t>06/01/2023 11:31:06</t>
  </si>
  <si>
    <t>06/01/2023 11:31:05</t>
  </si>
  <si>
    <t>06/01/2023 11:30:37</t>
  </si>
  <si>
    <t>06/01/2023 11:30:01</t>
  </si>
  <si>
    <t>3056.00</t>
  </si>
  <si>
    <t>MONTE GUARARAPES</t>
  </si>
  <si>
    <t>06/01/2023 11:29:49</t>
  </si>
  <si>
    <t>06/01/2023 11:29:31</t>
  </si>
  <si>
    <t>06/01/2023 11:29:23</t>
  </si>
  <si>
    <t>06/01/2023 11:29:22</t>
  </si>
  <si>
    <t>06/01/2023 11:29:20</t>
  </si>
  <si>
    <t>06/01/2023 11:29:19</t>
  </si>
  <si>
    <t>06/01/2023 11:29:17</t>
  </si>
  <si>
    <t>06/01/2023 11:29:14</t>
  </si>
  <si>
    <t>06/01/2023 11:29:10</t>
  </si>
  <si>
    <t>06/01/2023 11:29:02</t>
  </si>
  <si>
    <t>06/01/2023 11:28:58</t>
  </si>
  <si>
    <t>1837.00</t>
  </si>
  <si>
    <t>PRAZERES</t>
  </si>
  <si>
    <t>06/01/2023 11:28:48</t>
  </si>
  <si>
    <t>06/01/2023 11:28:47</t>
  </si>
  <si>
    <t>06/01/2023 11:28:44</t>
  </si>
  <si>
    <t>06/01/2023 11:28:43</t>
  </si>
  <si>
    <t>06/01/2023 11:28:37</t>
  </si>
  <si>
    <t>06/01/2023 11:28:17</t>
  </si>
  <si>
    <t>06/01/2023 11:28:13</t>
  </si>
  <si>
    <t>06/01/2023 11:28:11</t>
  </si>
  <si>
    <t>06/01/2023 11:28:04</t>
  </si>
  <si>
    <t>06/01/2023 11:28:02</t>
  </si>
  <si>
    <t>06/01/2023 11:27:57</t>
  </si>
  <si>
    <t>06/01/2023 11:27:56</t>
  </si>
  <si>
    <t>06/01/2023 11:27:50</t>
  </si>
  <si>
    <t>06/01/2023 11:27:43</t>
  </si>
  <si>
    <t>06/01/2023 11:27:40</t>
  </si>
  <si>
    <t>06/01/2023 11:27:33</t>
  </si>
  <si>
    <t>06/01/2023 11:27:26</t>
  </si>
  <si>
    <t>06/01/2023 11:27:25</t>
  </si>
  <si>
    <t>06/01/2023 11:27:24</t>
  </si>
  <si>
    <t>06/01/2023 11:27:22</t>
  </si>
  <si>
    <t>06/01/2023 11:27:15</t>
  </si>
  <si>
    <t>06/01/2023 11:26:57</t>
  </si>
  <si>
    <t>06/01/2023 11:26:56</t>
  </si>
  <si>
    <t>DOSA - MANUTENÇÃO PREVENTIVA DO SISTEMA DE ALARME - 1º SEMESTRE/2023</t>
  </si>
  <si>
    <t>5749.00</t>
  </si>
  <si>
    <t>RIO SAO FRANCISCO</t>
  </si>
  <si>
    <t>4930.00</t>
  </si>
  <si>
    <t>GECOR EST RECIFE</t>
  </si>
  <si>
    <t>4844.92</t>
  </si>
  <si>
    <t>PSO RECIFE N/MALOTE</t>
  </si>
  <si>
    <t>06/01/2023 10:25:25</t>
  </si>
  <si>
    <t>06/01/2023 10:25:18</t>
  </si>
  <si>
    <t>06/01/2023 10:25:08</t>
  </si>
  <si>
    <t>06/01/2023 10:25:07</t>
  </si>
  <si>
    <t>Com Francisco em 15/02/2023  == &gt; &gt;     DOSA - MANUTENÇÃO PREVENTIVA DO SISTEMA DE ALARME - 1º SEMESTRE/2023</t>
  </si>
  <si>
    <t>06/01/2023 10:24:54</t>
  </si>
  <si>
    <t>06/01/2023 10:24:35</t>
  </si>
  <si>
    <t>06/01/2023 10:24:18</t>
  </si>
  <si>
    <t>3434.00</t>
  </si>
  <si>
    <t>CORP BANK NORDESTE</t>
  </si>
  <si>
    <t>06/01/2023 10:24:12</t>
  </si>
  <si>
    <t>06/01/2023 10:23:46</t>
  </si>
  <si>
    <t>06/01/2023 10:23:44</t>
  </si>
  <si>
    <t>3234.00</t>
  </si>
  <si>
    <t>SETOR PUBLICO PE</t>
  </si>
  <si>
    <t>06/01/2023 10:23:31</t>
  </si>
  <si>
    <t>06/01/2023 10:23:18</t>
  </si>
  <si>
    <t>2802.08</t>
  </si>
  <si>
    <t>06/01/2023 10:22:44</t>
  </si>
  <si>
    <t>06/01/2023 10:22:43</t>
  </si>
  <si>
    <t>06/01/2023 10:22:42</t>
  </si>
  <si>
    <t>Com Francisco  em  15/02/2023  == &gt; &gt;    DOSA - MANUTENÇÃO PREVENTIVA DO SISTEMA DE ALARME - 1º SEMESTRE/2023</t>
  </si>
  <si>
    <t>06/01/2023 10:22:34</t>
  </si>
  <si>
    <t>06/01/2023 10:22:30</t>
  </si>
  <si>
    <t>06/01/2023 10:22:27</t>
  </si>
  <si>
    <t>06/01/2023 10:22:22</t>
  </si>
  <si>
    <t>06/01/2023 10:22:17</t>
  </si>
  <si>
    <t>2422.00</t>
  </si>
  <si>
    <t>PEDRA</t>
  </si>
  <si>
    <t>06/01/2023 10:22:15</t>
  </si>
  <si>
    <t>06/01/2023 10:22:14</t>
  </si>
  <si>
    <t>06/01/2023 10:22:12</t>
  </si>
  <si>
    <t>06/01/2023 10:22:10</t>
  </si>
  <si>
    <t>06/01/2023 10:22:06</t>
  </si>
  <si>
    <t>06/01/2023 10:22:05</t>
  </si>
  <si>
    <t>06/01/2023 10:21:58</t>
  </si>
  <si>
    <t>2244.00</t>
  </si>
  <si>
    <t>LAJEDO</t>
  </si>
  <si>
    <t>06/01/2023 10:21:57</t>
  </si>
  <si>
    <t>06/01/2023 10:21:56</t>
  </si>
  <si>
    <t>06/01/2023 10:21:55</t>
  </si>
  <si>
    <t>06/01/2023 10:21:54</t>
  </si>
  <si>
    <t>06/01/2023 10:21:47</t>
  </si>
  <si>
    <t>06/01/2023 10:21:43</t>
  </si>
  <si>
    <t>06/01/2023 10:21:41</t>
  </si>
  <si>
    <t>06/01/2023 10:21:38</t>
  </si>
  <si>
    <t>06/01/2023 10:21:37</t>
  </si>
  <si>
    <t>06/01/2023 10:21:30</t>
  </si>
  <si>
    <t>06/01/2023 10:21:26</t>
  </si>
  <si>
    <t>06/01/2023 10:21:25</t>
  </si>
  <si>
    <t>1903.22</t>
  </si>
  <si>
    <t>CENOP S BSB/GP4 ARCO</t>
  </si>
  <si>
    <t>06/01/2023 10:21:24</t>
  </si>
  <si>
    <t>06/01/2023 10:21:18</t>
  </si>
  <si>
    <t>06/01/2023 10:21:17</t>
  </si>
  <si>
    <t>06/01/2023 10:21:16</t>
  </si>
  <si>
    <t>06/01/2023 10:21:13</t>
  </si>
  <si>
    <t>06/01/2023 10:21:10</t>
  </si>
  <si>
    <t>06/01/2023 10:21:07</t>
  </si>
  <si>
    <t>06/01/2023 10:21:04</t>
  </si>
  <si>
    <t>06/01/2023 10:20:57</t>
  </si>
  <si>
    <t>06/01/2023 10:20:55</t>
  </si>
  <si>
    <t>06/01/2023 10:20:53</t>
  </si>
  <si>
    <t>06/01/2023 10:20:35</t>
  </si>
  <si>
    <t>06/01/2023 10:20:19</t>
  </si>
  <si>
    <t>06/01/2023 10:20:09</t>
  </si>
  <si>
    <t>06/01/2023 10:19:55</t>
  </si>
  <si>
    <t>06/01/2023 10:19:52</t>
  </si>
  <si>
    <t>06/01/2023 10:19:43</t>
  </si>
  <si>
    <t>06/01/2023 10:19:40</t>
  </si>
  <si>
    <t>06/01/2023 10:19:39</t>
  </si>
  <si>
    <t>06/01/2023 10:19:37</t>
  </si>
  <si>
    <t>06/01/2023 10:19:36</t>
  </si>
  <si>
    <t>06/01/2023 10:19:35</t>
  </si>
  <si>
    <t>Com Leo em 15/02/2023  == &gt; &gt;     DOSA - MANUTENÇÃO PREVENTIVA DO SISTEMA DE ALARME - 1º SEMESTRE/2023</t>
  </si>
  <si>
    <t>06/01/2023 10:19:34</t>
  </si>
  <si>
    <t>06/01/2023 10:19:30</t>
  </si>
  <si>
    <t>06/01/2023 10:19:29</t>
  </si>
  <si>
    <t>06/01/2023 10:19:27</t>
  </si>
  <si>
    <t>06/01/2023 10:19:25</t>
  </si>
  <si>
    <t>06/01/2023 10:19:24</t>
  </si>
  <si>
    <t>06/01/2023 10:19:19</t>
  </si>
  <si>
    <t>06/01/2023 10:19:16</t>
  </si>
  <si>
    <t>06/01/2023 10:19:12</t>
  </si>
  <si>
    <t>06/01/2023 10:19:11</t>
  </si>
  <si>
    <t>06/01/2023 10:19:07</t>
  </si>
  <si>
    <t>06/01/2023 10:19:04</t>
  </si>
  <si>
    <t>06/01/2023 10:18:58</t>
  </si>
  <si>
    <t>06/01/2023 10:18:56</t>
  </si>
  <si>
    <t>06/01/2023 10:18:43</t>
  </si>
  <si>
    <t>06/01/2023 10:18:42</t>
  </si>
  <si>
    <t>06/01/2023 10:18:41</t>
  </si>
  <si>
    <t>06/01/2023 10:18:26</t>
  </si>
  <si>
    <t>06/01/2023 10:18:25</t>
  </si>
  <si>
    <t>06/01/2023 10:18:22</t>
  </si>
  <si>
    <t>06/01/2023 10:18:20</t>
  </si>
  <si>
    <t>06/01/2023 10:18:17</t>
  </si>
  <si>
    <t>06/01/2023 10:18:16</t>
  </si>
  <si>
    <t>06/01/2023 10:18:02</t>
  </si>
  <si>
    <t>06/01/2023 10:17:28</t>
  </si>
  <si>
    <t>06/01/2023 10:17:27</t>
  </si>
  <si>
    <t>06/01/2023 10:17:23</t>
  </si>
  <si>
    <t>06/01/2023 10:17:10</t>
  </si>
  <si>
    <t>06/01/2023 10:17:02</t>
  </si>
  <si>
    <t>0007.75</t>
  </si>
  <si>
    <t>06/01/2023 10:16:52</t>
  </si>
  <si>
    <t>06/01/2023 10:16:51</t>
  </si>
  <si>
    <t>Abertura/Reparo de Cofre</t>
  </si>
  <si>
    <t>480, 778, 783, 794, 796, 838, 841, 842, 843, 844, 845, TAATI- DEFEITO NO PAINEL DA FECHADURA DO COFRE / 75 99849-338120234623000001                                                                                     N</t>
  </si>
  <si>
    <t>4623.91</t>
  </si>
  <si>
    <t>SAA-SOBRADINHO</t>
  </si>
  <si>
    <t>09/01/2023 16:00:21</t>
  </si>
  <si>
    <t>11/01/2023 23:59:00</t>
  </si>
  <si>
    <t>NOTEBOOK SEM LIGAR. AO ACIONAR A TECLA ELE APITA ALGUMAS VEZES E VOLTA A DESLIGAR.N</t>
  </si>
  <si>
    <t>1850.00</t>
  </si>
  <si>
    <t xml:space="preserve"> EMPRESA MARCO ZERO</t>
  </si>
  <si>
    <t>09/01/2023 10:09:59</t>
  </si>
  <si>
    <t>11/01/2023 15:09:59</t>
  </si>
  <si>
    <t>PREENCHIMENTO DE CHECKLIST PARA REMANEJAMENTO</t>
  </si>
  <si>
    <t>EQPT-087381</t>
  </si>
  <si>
    <t>2069.91</t>
  </si>
  <si>
    <t>SAA-MOREILANDIA</t>
  </si>
  <si>
    <t>T-10 TAA TAAMC SUPERFULL TRASEIRO PERTO TMD 2100 V 20</t>
  </si>
  <si>
    <t>11/01/2023 16:17:35</t>
  </si>
  <si>
    <t>12/01/2023 16:19:11</t>
  </si>
  <si>
    <t>Instalação DOSI após conclusão de adequação de infraestrutura</t>
  </si>
  <si>
    <t>2039.00</t>
  </si>
  <si>
    <t>MACHADOS</t>
  </si>
  <si>
    <t>12/01/2023 15:15:14</t>
  </si>
  <si>
    <t>15/02/2023 18:00:00</t>
  </si>
  <si>
    <t>checklist para descarte de TAA</t>
  </si>
  <si>
    <t>0721.08</t>
  </si>
  <si>
    <t>A.C.SANHARO</t>
  </si>
  <si>
    <t>16/01/2023 17:24:30</t>
  </si>
  <si>
    <t>17/01/2023 17:25:37</t>
  </si>
  <si>
    <t xml:space="preserve"> INSTALAÇÃO DE SIRENE, PEDIDO DERIVADO DE MANUTENÇÃO CORRETIVA CHAMADO 9248077 - ATOS-000040   </t>
  </si>
  <si>
    <t>17/01/2023 13:22:47</t>
  </si>
  <si>
    <t>01/03/2023 18:00:00</t>
  </si>
  <si>
    <t>instalação: Derivado de manutenção corretiva  Observação:  Necessário substituição da câmera externa.</t>
  </si>
  <si>
    <t>2442.00</t>
  </si>
  <si>
    <t>PILAO ARCADO</t>
  </si>
  <si>
    <t>17/01/2023 12:23:50</t>
  </si>
  <si>
    <t>22/02/2023 18:00:00</t>
  </si>
  <si>
    <t>UMA CÂMERA SEM IMAGEM, NÃO IDENTIFIQUEI QUAL O LOCAL</t>
  </si>
  <si>
    <t>GRPE-000001</t>
  </si>
  <si>
    <t>EQUIPAMENTOS CFTV</t>
  </si>
  <si>
    <t>17/01/2023 11:01:15</t>
  </si>
  <si>
    <t>24/01/2023 11:30:00</t>
  </si>
  <si>
    <t>NAO FOI POSS­VEL OBTER O SALDO DO CASSETE RECICLADOR. VERIFIQUE SE O TERMINAL ESTA SEM COMUNICACAO.CASSETE E SEM RECONHECER NO TAA                                                                    N</t>
  </si>
  <si>
    <t>4923.01</t>
  </si>
  <si>
    <t>SOP-PAULISTA</t>
  </si>
  <si>
    <t>17/01/2023 09:15:12</t>
  </si>
  <si>
    <t>17/01/2023 09:30:00</t>
  </si>
  <si>
    <t>Manutenção Gerencial</t>
  </si>
  <si>
    <t>ORDEM DE SERVI¸O GERENCIAL - PARA VERIFICA¸AO DESTE TAA E SUA INFN</t>
  </si>
  <si>
    <t>1059.91</t>
  </si>
  <si>
    <t>SAA-EXU</t>
  </si>
  <si>
    <t>18/01/2023 14:57:49</t>
  </si>
  <si>
    <t>19/01/2023 15:24:52</t>
  </si>
  <si>
    <t>18/01/2023 14:53:58</t>
  </si>
  <si>
    <t>19/01/2023 15:09:12</t>
  </si>
  <si>
    <t>ORDEM DE SERVICO PREVENTIVAN</t>
  </si>
  <si>
    <t>EQPT-078246</t>
  </si>
  <si>
    <t>2219.91</t>
  </si>
  <si>
    <t>SAA-JOAO ALFREDO</t>
  </si>
  <si>
    <t>T-10 TAA TAADC CHEQUE DEPOSITO TRASEIRO DIEBOLD ATMC 4500-355 362 V15</t>
  </si>
  <si>
    <t>18/01/2023 14:43:56</t>
  </si>
  <si>
    <t>BIOMETRIA NAO FUNCIONA. NECESSARIO A TROCAN</t>
  </si>
  <si>
    <t>0605.91</t>
  </si>
  <si>
    <t>SAA-CABROBO</t>
  </si>
  <si>
    <t>18/01/2023 13:54:15</t>
  </si>
  <si>
    <t>PAROU DE FUNCIONAR.N</t>
  </si>
  <si>
    <t>EQPT-081755</t>
  </si>
  <si>
    <t>T-10 TMF AG POSITIVO MASTER D210 PE 2017/00350</t>
  </si>
  <si>
    <t>18/01/2023 10:44:11</t>
  </si>
  <si>
    <t>20/01/2023 15:44:11</t>
  </si>
  <si>
    <t xml:space="preserve"> Instalar uma câmera em substituição de câmera com defeito de chamado corretivo</t>
  </si>
  <si>
    <t>19/01/2023 16:48:07</t>
  </si>
  <si>
    <t>24/02/2023 18:00:00</t>
  </si>
  <si>
    <t>EQSB-059235 (1)  OV  1706931  Saiu 15/02/2023    /    LABO-000599 (1)  OV  1703909  NF 90868  saiu 01/02/2023  /  EQSB-059235 (1)  OV  1703762  NF 90862 em 01/02/23     /   EQSB-059235 (1)  OV  1695720   NF 90813  em  31/01/2023  == &gt; &gt;       IMPRESSORA DESLIGANDO E COM EXCESSO DE ATOLAMENTO, OU COM MENSAGEM DE ATOLAMENTO SEM PAPEL ATOLADO.N</t>
  </si>
  <si>
    <t>EQPT-059235</t>
  </si>
  <si>
    <t>8257.00</t>
  </si>
  <si>
    <t>SANHARO</t>
  </si>
  <si>
    <t>T-10 IMPRESSORA LASER MONOCROMATICA MICR OKIDATA B4600 27 PPM</t>
  </si>
  <si>
    <t>19/01/2023 15:49:57</t>
  </si>
  <si>
    <t>23/01/2023 17:49:57</t>
  </si>
  <si>
    <t>TAA PRENDENDO C©DULAS NO MECANISMO DE LIBERACAO DAS C©DULAS, FICANDO PRESAS NA PORTA DE SA­DA OU MESMO ENTRE AS CORREIAS.N</t>
  </si>
  <si>
    <t>4637.91</t>
  </si>
  <si>
    <t>SAA-TORITAMA</t>
  </si>
  <si>
    <t>19/01/2023 12:12:16</t>
  </si>
  <si>
    <t>FALHA ENTINTAMENTO, K7-C COM LEDS APAGADOS.N</t>
  </si>
  <si>
    <t>2529.91</t>
  </si>
  <si>
    <t>SAA-RIBEIRAO</t>
  </si>
  <si>
    <t>19/01/2023 11:13:33</t>
  </si>
  <si>
    <t>Pedido Cesup - Prioridade - Troca das câmeras que apresentam defeito</t>
  </si>
  <si>
    <t>19/01/2023 10:18:23</t>
  </si>
  <si>
    <t xml:space="preserve">Solicitaremos uma receptora de pânico (ATOS-29)       </t>
  </si>
  <si>
    <t>23/01/2023 17:15:43</t>
  </si>
  <si>
    <t>08/03/2023 18:00:00</t>
  </si>
  <si>
    <t xml:space="preserve">SOBR-006688 (1) OV 1699051     == &gt; &gt;       Defeito: Fluido do gerador de neblina 2 baixo.  Gerente: Giovany  Matricula: F5529219  Telefone: 87 3871 0668  E-mail: psv9705@bb.com.br </t>
  </si>
  <si>
    <t>23/01/2023 14:15:57</t>
  </si>
  <si>
    <t>16/02/2023 14:35:00</t>
  </si>
  <si>
    <t>902-VERSAO DE FIRMWARE INCORRETA (BIOMETRIA)                     912-DISPOSITIVO INOPERANTE (BIOMETRIA)N</t>
  </si>
  <si>
    <t>23/01/2023 10:05:38</t>
  </si>
  <si>
    <t>Gerador de Neblina com defeito.Reposição de fluído.Acionando indevidamente.Verificar sensores P03 Z06 Z07 e Z08 .</t>
  </si>
  <si>
    <t>22/01/2023 10:44:18</t>
  </si>
  <si>
    <t>28/02/2023 17:00:00</t>
  </si>
  <si>
    <t>controles da porta giratoria estar com defeito peço a troca do mesmo</t>
  </si>
  <si>
    <t>24/01/2023 15:50:33</t>
  </si>
  <si>
    <t>24/02/2023 16:30:00</t>
  </si>
  <si>
    <t>câmera do autoatendimento é muito antiga, necessita instalação de ATOS-006658</t>
  </si>
  <si>
    <t>24/01/2023 12:27:20</t>
  </si>
  <si>
    <t>CASSETE A COM DEFEITON</t>
  </si>
  <si>
    <t>0220.91</t>
  </si>
  <si>
    <t>SAA-GOIANA</t>
  </si>
  <si>
    <t>ALTO INDICE DE REJEICAON</t>
  </si>
  <si>
    <t>25/01/2023 14:58:01</t>
  </si>
  <si>
    <t>Seguiu por fora  Dois controles e Receptora em 14/02/2023  /  SOBR-001777 (2)  SOBR-004810 (1) SOBR-002913 (1)  OV 1698627  NF 90805  Saiu 31/01/2023  == &gt; &gt;     Porta não esta funcionando na ausência de energia elétrica e controles totalmente quebrados.</t>
  </si>
  <si>
    <t>25/01/2023 13:14:00</t>
  </si>
  <si>
    <t>16/02/2023 14:05:00</t>
  </si>
  <si>
    <t>Defeito: Falha Geral de Comunicação</t>
  </si>
  <si>
    <t>25/01/2023 11:00:19</t>
  </si>
  <si>
    <t>16/02/2023 17:00:00</t>
  </si>
  <si>
    <t>GERADOR DE NEBLINA COM VÁRIOS DISPAROS.</t>
  </si>
  <si>
    <t>25/01/2023 09:45:06</t>
  </si>
  <si>
    <t>16/02/2023 15:35:00</t>
  </si>
  <si>
    <t>Mascaramento de sensor partição 05 zona 03 corredor de abastecimento.</t>
  </si>
  <si>
    <t>25/01/2023 08:14:30</t>
  </si>
  <si>
    <t>solicitamos o serviço de instalação do DVR 2 da agência.</t>
  </si>
  <si>
    <t>27/01/2023 15:41:11</t>
  </si>
  <si>
    <t>03/02/2023 16:11:11</t>
  </si>
  <si>
    <t>FDIE-000462 (1)  OV  1706030  saiu  06/02/2023    == &gt; &gt;    PODEM HAVER CEDULAS PRESAS NO SCROLLN</t>
  </si>
  <si>
    <t>1069.91</t>
  </si>
  <si>
    <t>SAA-IBIMIRIM</t>
  </si>
  <si>
    <t>27/01/2023 15:09:59</t>
  </si>
  <si>
    <t xml:space="preserve"> FDIE-000456 (1)  FDIE-000466 (1)  OV  1715123  saiu  15/02/2023    / FDIE-000466 (1)  OV  1701656  NF  90899 saiu  02/02/2023    /  FDIE-000466 (1)  OV  1701656   Saiu  em  30/01/2023   == &gt; &gt;      FITAS SOLTAS NO SCROLL, APØS ENROSCOS.N</t>
  </si>
  <si>
    <t>4119.91</t>
  </si>
  <si>
    <t>SAA-BUIQUE</t>
  </si>
  <si>
    <t>instalação:  Observação:  INSTALACAO 01 ATOS-006363 LUZ ESTROBOSCOPICA DE LED</t>
  </si>
  <si>
    <t>27/01/2023 10:36:50</t>
  </si>
  <si>
    <t>13/03/2023 18:00:00</t>
  </si>
  <si>
    <t>EQPT-069964</t>
  </si>
  <si>
    <t>4844.35</t>
  </si>
  <si>
    <t>SOP-AFOGADOS</t>
  </si>
  <si>
    <t>T-10 TAA TAADC CHEQUE DEPOSITO TRASEIRO PERTO TDC-2100 V13</t>
  </si>
  <si>
    <t>27/01/2023 10:20:29</t>
  </si>
  <si>
    <t>checklist para remanejamento de TAA entre agências</t>
  </si>
  <si>
    <t>2473.91</t>
  </si>
  <si>
    <t>SAA-POMBOS</t>
  </si>
  <si>
    <t>27/01/2023 08:44:39</t>
  </si>
  <si>
    <t>28/01/2023 08:46:42</t>
  </si>
  <si>
    <t>Link e-1 não alinha.  Possível falha da placa E-1.   Se possível, levar um pvv digital para eventual troca.</t>
  </si>
  <si>
    <t>FALHA NO SISTEMA DE ENTINTAMENTON</t>
  </si>
  <si>
    <t>2699.91</t>
  </si>
  <si>
    <t>SAA-TABIRA</t>
  </si>
  <si>
    <t xml:space="preserve">Defeito: Gerador de neblina 01 com fluído esgotado;  Gerente: ANDRE LOPES - F0738987;  Telefone: (87) 3762-9998;  E-mail: psv9704@bb.com.br  </t>
  </si>
  <si>
    <t>30/01/2023 12:30:29</t>
  </si>
  <si>
    <t>FALHA DE ALIMENTACAO CASSETE D. PROBLEMA RECORRENTE.N</t>
  </si>
  <si>
    <t>30/01/2023 11:12:13</t>
  </si>
  <si>
    <t>Com Ernandes  em 16/02/2023   == &gt; &gt;      TERMINAL COM ERRO RECICLADOR DE CEDULASN</t>
  </si>
  <si>
    <t>1162.91</t>
  </si>
  <si>
    <t>SAA-TUPANATINGA</t>
  </si>
  <si>
    <t>PGDM está travando mesmo sem metal,  e ainda não indica o local do possível metal detectado.</t>
  </si>
  <si>
    <t>31/01/2023 13:32:00</t>
  </si>
  <si>
    <t>15/02/2023 14:30:00</t>
  </si>
  <si>
    <t>990-BATERIA DA PLACA DE SENSORES EM NIVEL BAIXO (SENSORES EXTERNOS)N</t>
  </si>
  <si>
    <t>4844.39</t>
  </si>
  <si>
    <t>SOP-CONS. AGUIAR</t>
  </si>
  <si>
    <t>31/01/2023 12:50:11</t>
  </si>
  <si>
    <t>PROBLEMA NA BATERIA DE UM CASSETEN</t>
  </si>
  <si>
    <t>4844.13</t>
  </si>
  <si>
    <t>SOP CAXANGA</t>
  </si>
  <si>
    <t>31/01/2023 11:30:10</t>
  </si>
  <si>
    <t>PODE HAVER CEDULAS PRESAS NO MECANISMO (DISPENSADORA DE CEDULAS), NAO FORAM LOCALIZADAS EM LOCAIS DE FACIL ACESSO.N</t>
  </si>
  <si>
    <t>0067.91</t>
  </si>
  <si>
    <t>SAA-GARANHUNS</t>
  </si>
  <si>
    <t>31/01/2023 10:34:24</t>
  </si>
  <si>
    <t>Com Inaldo em 13/02/2023 SOBR-004911 (2)  SOBR-006329 (1)  OV  1709412  saiu 09/02/2023   FALHA DO GERADOR DE NEBLINA  NA PARTIÇÃO 4 SAA.   == &gt; &gt;     FALHA DO GERADOR DE NEBLINA  NA PARTIÇÃO 4 SAA.</t>
  </si>
  <si>
    <t>Equipamento apresentando voltagem acima do permitido</t>
  </si>
  <si>
    <t>01/02/2023 17:48:31</t>
  </si>
  <si>
    <t>02/02/2023 17:48:31</t>
  </si>
  <si>
    <t>01/02/2023 17:44:46</t>
  </si>
  <si>
    <t>02/02/2023 17:44:47</t>
  </si>
  <si>
    <t>01/02/2023 17:29:17</t>
  </si>
  <si>
    <t>01/02/2023 17:29:08</t>
  </si>
  <si>
    <t>02/02/2023 17:29:08</t>
  </si>
  <si>
    <t>01/02/2023 17:20:03</t>
  </si>
  <si>
    <t>02/02/2023 17:20:03</t>
  </si>
  <si>
    <t>01/02/2023 17:19:49</t>
  </si>
  <si>
    <t>SOBR-005588 (1) SOBR-001044 (2) SOBR-001046 (1) SOBR-001047 (2) SOBR-001048 (1)  SOBR-005595 (1) SOBR-005591 (2) SOBR-005565 (1)  OV  1710360  saiu  09/02/2023   == &gt; &gt;     TAA COM FALHA NO MOTOR PRINCIPAL, POSSIVEL ENROSCAMENTO DE CEDULAS, NAO ESTAO VISIVEIS PARA RETIRAR. REQUER URGENCIA.N</t>
  </si>
  <si>
    <t>1028.91</t>
  </si>
  <si>
    <t>SAA-BELEM S.FRANCISC</t>
  </si>
  <si>
    <t>01/02/2023 16:32:17</t>
  </si>
  <si>
    <t>No break deixou de funcionar e deixou rack de telefonia indisponível. Rack foi ligado direto a rede elétrica para agência voltar a funcionar.</t>
  </si>
  <si>
    <t>01/02/2023 17:14:45</t>
  </si>
  <si>
    <t>02/02/2023 17:44:45</t>
  </si>
  <si>
    <t>01/02/2023 17:09:08</t>
  </si>
  <si>
    <t>02/02/2023 17:09:08</t>
  </si>
  <si>
    <t>01/02/2023 17:07:11</t>
  </si>
  <si>
    <t>02/02/2023 17:07:11</t>
  </si>
  <si>
    <t>1689.00</t>
  </si>
  <si>
    <t>CACHOEIRINHA-PE</t>
  </si>
  <si>
    <t>01/02/2023 17:05:26</t>
  </si>
  <si>
    <t>01/02/2023 17:02:30</t>
  </si>
  <si>
    <t>02/02/2023 17:02:30</t>
  </si>
  <si>
    <t>01/02/2023 16:26:42</t>
  </si>
  <si>
    <t>02/02/2023 16:26:42</t>
  </si>
  <si>
    <t>01/02/2023 16:26:29</t>
  </si>
  <si>
    <t>02/02/2023 16:26:29</t>
  </si>
  <si>
    <t>01/02/2023 16:26:20</t>
  </si>
  <si>
    <t>02/02/2023 16:26:21</t>
  </si>
  <si>
    <t>01/02/2023 16:23:00</t>
  </si>
  <si>
    <t>02/02/2023 16:23:01</t>
  </si>
  <si>
    <t>NOTAS ENROSCADAS NO MODULO DE PAGAMENTO. TERMINAL INDISPON­VEL PARA SAQUE.N</t>
  </si>
  <si>
    <t>1689.91</t>
  </si>
  <si>
    <t>SAA-CACHOEIRINHA</t>
  </si>
  <si>
    <t>01/02/2023 14:54:13</t>
  </si>
  <si>
    <t>01/02/2023 15:15:07</t>
  </si>
  <si>
    <t>02/02/2023 15:15:07</t>
  </si>
  <si>
    <t>01/02/2023 15:14:59</t>
  </si>
  <si>
    <t>02/02/2023 15:14:59</t>
  </si>
  <si>
    <t>01/02/2023 15:14:51</t>
  </si>
  <si>
    <t>02/02/2023 15:14:51</t>
  </si>
  <si>
    <t>01/02/2023 15:14:43</t>
  </si>
  <si>
    <t>02/02/2023 15:14:43</t>
  </si>
  <si>
    <t>01/02/2023 15:14:35</t>
  </si>
  <si>
    <t>02/02/2023 15:14:35</t>
  </si>
  <si>
    <t>01/02/2023 15:14:27</t>
  </si>
  <si>
    <t>02/02/2023 15:14:27</t>
  </si>
  <si>
    <t>01/02/2023 15:13:32</t>
  </si>
  <si>
    <t>02/02/2023 15:13:33</t>
  </si>
  <si>
    <t>01/02/2023 15:13:23</t>
  </si>
  <si>
    <t>02/02/2023 15:13:23</t>
  </si>
  <si>
    <t>01/02/2023 14:48:23</t>
  </si>
  <si>
    <t>02/02/2023 14:48:23</t>
  </si>
  <si>
    <t>01/02/2023 14:46:50</t>
  </si>
  <si>
    <t>02/02/2023 14:46:50</t>
  </si>
  <si>
    <t>01/02/2023 14:44:13</t>
  </si>
  <si>
    <t>02/02/2023 14:44:13</t>
  </si>
  <si>
    <t>01/02/2023 14:43:22</t>
  </si>
  <si>
    <t>02/02/2023 14:43:22</t>
  </si>
  <si>
    <t>01/02/2023 14:33:42</t>
  </si>
  <si>
    <t>02/02/2023 14:33:42</t>
  </si>
  <si>
    <t>01/02/2023 13:53:15</t>
  </si>
  <si>
    <t>02/02/2023 13:53:15</t>
  </si>
  <si>
    <t>01/02/2023 13:43:37</t>
  </si>
  <si>
    <t>02/02/2023 13:43:38</t>
  </si>
  <si>
    <t>01/02/2023 13:37:42</t>
  </si>
  <si>
    <t>02/02/2023 13:37:42</t>
  </si>
  <si>
    <t>01/02/2023 13:33:47</t>
  </si>
  <si>
    <t>02/02/2023 13:33:47</t>
  </si>
  <si>
    <t>01/02/2023 13:25:13</t>
  </si>
  <si>
    <t>02/02/2023 13:25:13</t>
  </si>
  <si>
    <t>01/02/2023 13:22:05</t>
  </si>
  <si>
    <t>02/02/2023 13:22:05</t>
  </si>
  <si>
    <t>01/02/2023 13:15:45</t>
  </si>
  <si>
    <t>02/02/2023 13:15:46</t>
  </si>
  <si>
    <t>01/02/2023 13:15:30</t>
  </si>
  <si>
    <t>01/02/2023 13:12:01</t>
  </si>
  <si>
    <t>02/02/2023 13:12:01</t>
  </si>
  <si>
    <t>01/02/2023 13:11:37</t>
  </si>
  <si>
    <t>02/02/2023 13:11:37</t>
  </si>
  <si>
    <t>Com Leo em 15/02/2023  == &gt; &gt;     Preventiva semestral.    OS para acompanhamento da manutenção preventiva, conforme cronograma da dependência e Relação de Serviços Preventivos do Contrato. Após conclusão do atendimento, preencher RAC/Lista de Conferência digital c/ os serv</t>
  </si>
  <si>
    <t>01/02/2023 13:11:05</t>
  </si>
  <si>
    <t>02/02/2023 13:11:06</t>
  </si>
  <si>
    <t>01/02/2023 13:08:13</t>
  </si>
  <si>
    <t>02/02/2023 13:08:13</t>
  </si>
  <si>
    <t>01/02/2023 13:08:05</t>
  </si>
  <si>
    <t>02/02/2023 13:08:05</t>
  </si>
  <si>
    <t>01/02/2023 13:05:54</t>
  </si>
  <si>
    <t>02/02/2023 13:05:54</t>
  </si>
  <si>
    <t>01/02/2023 12:57:50</t>
  </si>
  <si>
    <t>02/02/2023 12:57:50</t>
  </si>
  <si>
    <t>01/02/2023 12:51:46</t>
  </si>
  <si>
    <t>02/02/2023 12:51:47</t>
  </si>
  <si>
    <t>01/02/2023 12:43:16</t>
  </si>
  <si>
    <t>02/02/2023 12:43:16</t>
  </si>
  <si>
    <t>01/02/2023 12:39:27</t>
  </si>
  <si>
    <t>02/02/2023 12:39:27</t>
  </si>
  <si>
    <t>01/02/2023 12:36:54</t>
  </si>
  <si>
    <t>02/02/2023 12:36:54</t>
  </si>
  <si>
    <t>01/02/2023 12:36:22</t>
  </si>
  <si>
    <t>02/02/2023 12:36:23</t>
  </si>
  <si>
    <t>01/02/2023 12:35:25</t>
  </si>
  <si>
    <t>02/02/2023 12:35:25</t>
  </si>
  <si>
    <t>01/02/2023 12:35:08</t>
  </si>
  <si>
    <t>02/02/2023 12:35:08</t>
  </si>
  <si>
    <t>01/02/2023 12:30:19</t>
  </si>
  <si>
    <t>02/02/2023 12:30:19</t>
  </si>
  <si>
    <t>01/02/2023 12:29:19</t>
  </si>
  <si>
    <t>02/02/2023 12:29:20</t>
  </si>
  <si>
    <t>01/02/2023 12:21:49</t>
  </si>
  <si>
    <t>02/02/2023 12:21:49</t>
  </si>
  <si>
    <t>01/02/2023 12:19:20</t>
  </si>
  <si>
    <t>02/02/2023 12:19:20</t>
  </si>
  <si>
    <t>01/02/2023 12:04:38</t>
  </si>
  <si>
    <t>02/02/2023 12:04:38</t>
  </si>
  <si>
    <t>01/02/2023 12:00:04</t>
  </si>
  <si>
    <t>02/02/2023 12:00:04</t>
  </si>
  <si>
    <t>01/02/2023 11:56:17</t>
  </si>
  <si>
    <t>02/02/2023 11:56:17</t>
  </si>
  <si>
    <t>01/02/2023 11:53:10</t>
  </si>
  <si>
    <t>02/02/2023 11:53:11</t>
  </si>
  <si>
    <t>01/02/2023 11:36:06</t>
  </si>
  <si>
    <t>02/02/2023 11:36:06</t>
  </si>
  <si>
    <t>01/02/2023 11:34:22</t>
  </si>
  <si>
    <t>02/02/2023 11:34:22</t>
  </si>
  <si>
    <t>01/02/2023 11:32:32</t>
  </si>
  <si>
    <t>02/02/2023 11:32:32</t>
  </si>
  <si>
    <t>01/02/2023 11:27:02</t>
  </si>
  <si>
    <t>02/02/2023 11:27:03</t>
  </si>
  <si>
    <t>01/02/2023 11:26:54</t>
  </si>
  <si>
    <t>02/02/2023 11:26:54</t>
  </si>
  <si>
    <t>01/02/2023 11:26:37</t>
  </si>
  <si>
    <t>02/02/2023 11:26:37</t>
  </si>
  <si>
    <t>01/02/2023 11:26:28</t>
  </si>
  <si>
    <t>02/02/2023 11:26:28</t>
  </si>
  <si>
    <t>01/02/2023 11:26:19</t>
  </si>
  <si>
    <t>02/02/2023 11:26:19</t>
  </si>
  <si>
    <t>01/02/2023 11:25:01</t>
  </si>
  <si>
    <t>02/02/2023 11:25:01</t>
  </si>
  <si>
    <t>01/02/2023 11:24:52</t>
  </si>
  <si>
    <t>02/02/2023 11:24:52</t>
  </si>
  <si>
    <t>01/02/2023 11:07:43</t>
  </si>
  <si>
    <t>02/02/2023 11:07:43</t>
  </si>
  <si>
    <t>01/02/2023 10:59:52</t>
  </si>
  <si>
    <t>02/02/2023 10:59:52</t>
  </si>
  <si>
    <t>01/02/2023 10:58:05</t>
  </si>
  <si>
    <t>02/02/2023 10:58:05</t>
  </si>
  <si>
    <t>01/02/2023 10:54:50</t>
  </si>
  <si>
    <t>02/02/2023 10:54:51</t>
  </si>
  <si>
    <t>01/02/2023 10:45:56</t>
  </si>
  <si>
    <t>02/02/2023 10:45:56</t>
  </si>
  <si>
    <t>01/02/2023 10:43:54</t>
  </si>
  <si>
    <t>Com Inaldo em 15/02/2023  == &gt; &gt;    Preventiva semestral.    OS para acompanhamento da manutenção preventiva, conforme cronograma da dependência e Relação de Serviços Preventivos do Contrato. Após conclusão do atendimento, preencher RAC/Lista de Conferência digital c/ os serv</t>
  </si>
  <si>
    <t>01/02/2023 09:56:05</t>
  </si>
  <si>
    <t>02/02/2023 09:56:05</t>
  </si>
  <si>
    <t>01/02/2023 09:56:00</t>
  </si>
  <si>
    <t>02/02/2023 09:56:01</t>
  </si>
  <si>
    <t>01/02/2023 09:55:07</t>
  </si>
  <si>
    <t>01/02/2023 09:35:36</t>
  </si>
  <si>
    <t>01/02/2023 09:34:44</t>
  </si>
  <si>
    <t>02/02/2023 09:34:44</t>
  </si>
  <si>
    <t>01/02/2023 09:32:42</t>
  </si>
  <si>
    <t>02/02/2023 09:32:42</t>
  </si>
  <si>
    <t>01/02/2023 09:30:29</t>
  </si>
  <si>
    <t>02/02/2023 09:30:29</t>
  </si>
  <si>
    <t>01/02/2023 09:28:27</t>
  </si>
  <si>
    <t>02/02/2023 09:28:27</t>
  </si>
  <si>
    <t>Com Francisco  em  15/02/2023  == &gt; &gt;    Preventiva semestral.    OS para acompanhamento da manutenção preventiva, conforme cronograma da dependência e Relação de Serviços Preventivos do Contrato. Após conclusão do atendimento, preencher RAC/Lista de Conferência digital c/ os serv</t>
  </si>
  <si>
    <t>01/02/2023 09:17:34</t>
  </si>
  <si>
    <t>02/02/2023 09:17:34</t>
  </si>
  <si>
    <t>O.S para disparos recorrente na partição 1 zona 9 (ATENDIMENTO), causando falso positivo que prejudicam o grid de alarma na detecção de eventos reais.</t>
  </si>
  <si>
    <t>01/02/2023 08:47:46</t>
  </si>
  <si>
    <t>02/02/2023 08:47:46</t>
  </si>
  <si>
    <t>01/02/2023 08:46:15</t>
  </si>
  <si>
    <t>02/02/2023 08:46:16</t>
  </si>
  <si>
    <t>01/02/2023 08:43:10</t>
  </si>
  <si>
    <t>02/02/2023 08:43:10</t>
  </si>
  <si>
    <t>01/02/2023 08:41:10</t>
  </si>
  <si>
    <t>02/02/2023 08:41:10</t>
  </si>
  <si>
    <t>01/02/2023 08:33:20</t>
  </si>
  <si>
    <t>02/02/2023 08:33:21</t>
  </si>
  <si>
    <t>01/02/2023 08:19:25</t>
  </si>
  <si>
    <t>02/02/2023 08:19:25</t>
  </si>
  <si>
    <t>01/02/2023 07:39:54</t>
  </si>
  <si>
    <t>02/02/2023 07:39:54</t>
  </si>
  <si>
    <t>01/02/2023 07:34:14</t>
  </si>
  <si>
    <t>02/02/2023 07:34:14</t>
  </si>
  <si>
    <t>01/02/2023 07:30:14</t>
  </si>
  <si>
    <t>02/02/2023 07:30:14</t>
  </si>
  <si>
    <t>01/02/2023 07:24:51</t>
  </si>
  <si>
    <t>02/02/2023 07:24:51</t>
  </si>
  <si>
    <t>01/02/2023 07:20:44</t>
  </si>
  <si>
    <t>02/02/2023 07:20:44</t>
  </si>
  <si>
    <t>01/02/2023 07:20:38</t>
  </si>
  <si>
    <t>02/02/2023 07:20:38</t>
  </si>
  <si>
    <t>01/02/2023 07:20:33</t>
  </si>
  <si>
    <t>02/02/2023 07:20:33</t>
  </si>
  <si>
    <t>01/02/2023 07:20:29</t>
  </si>
  <si>
    <t>02/02/2023 07:20:29</t>
  </si>
  <si>
    <t>01/02/2023 07:20:20</t>
  </si>
  <si>
    <t>02/02/2023 07:20:20</t>
  </si>
  <si>
    <t>01/02/2023 07:18:24</t>
  </si>
  <si>
    <t>02/02/2023 07:18:24</t>
  </si>
  <si>
    <t>02/02/2023 07:17:44</t>
  </si>
  <si>
    <t>01/02/2023 07:16:49</t>
  </si>
  <si>
    <t>01/02/2023 07:15:50</t>
  </si>
  <si>
    <t>02/02/2023 07:15:50</t>
  </si>
  <si>
    <t>01/02/2023 07:15:08</t>
  </si>
  <si>
    <t>02/02/2023 07:15:08</t>
  </si>
  <si>
    <t>01/02/2023 07:09:08</t>
  </si>
  <si>
    <t>02/02/2023 07:09:09</t>
  </si>
  <si>
    <t>01/02/2023 07:05:54</t>
  </si>
  <si>
    <t>02/02/2023 07:05:54</t>
  </si>
  <si>
    <t>01/02/2023 07:04:46</t>
  </si>
  <si>
    <t>02/02/2023 07:04:46</t>
  </si>
  <si>
    <t>01/02/2023 06:59:45</t>
  </si>
  <si>
    <t>02/02/2023 06:59:46</t>
  </si>
  <si>
    <t>01/02/2023 06:52:58</t>
  </si>
  <si>
    <t>02/02/2023 06:52:58</t>
  </si>
  <si>
    <t>01/02/2023 06:44:26</t>
  </si>
  <si>
    <t>02/02/2023 06:44:26</t>
  </si>
  <si>
    <t>Com Inaldo em 15/02/2023  == &gt; &gt;    TAA INDIPONIVEL PARA SAQUE. CEDULAS PRESAS.N</t>
  </si>
  <si>
    <t>0246.91</t>
  </si>
  <si>
    <t>SAA-SERRA TALHADA</t>
  </si>
  <si>
    <t>02/02/2023 17:27:14</t>
  </si>
  <si>
    <t>03/02/2023 09:30:00</t>
  </si>
  <si>
    <t>TAA INOPERANTE. VERIFICAR CABOS, PLACAS, FONTES E SENSORES. / 81 99568068820232257000009                                                                                     N</t>
  </si>
  <si>
    <t>2257.91</t>
  </si>
  <si>
    <t>SAA-MACAPARANA</t>
  </si>
  <si>
    <t>02/02/2023 17:00:19</t>
  </si>
  <si>
    <t>06/02/2023 23:59:00</t>
  </si>
  <si>
    <t>SOBR-005138  OV  1706826   == &gt; &gt;    Com Francisco  em  13/02/2023   == &gt; &gt;     MASCARAMENTO P5 - CORR_ABAST.   Z2 - CORREDOR DE ABASTECIMENTO</t>
  </si>
  <si>
    <t>SOBR-005603 (1)  OV  1705054  saiu  15/02/2023   == &gt; &gt;     FALHA NO TECLADO CRIPOGRAFICON</t>
  </si>
  <si>
    <t>TERMINAL CONTINUA APRESENTANDO ENROSCOS COM FREQUENCIA, NO MESMO MODULO. MODULO SUPERIOR ENTRE O SCROLL E SHUTTER.N</t>
  </si>
  <si>
    <t>4844.25</t>
  </si>
  <si>
    <t>SOP CEASA RECIFE</t>
  </si>
  <si>
    <t>MASCARAMENTO SENSOR   02/02/2023 11:08:00   1 - AGÊNCIA   11 - CORREDOR INTERNO     FALHA DE SIRENE # 02 DO GABINETE PRINCIPAL (001)   02/02/2023 11:34:00   , solicito visita técnica</t>
  </si>
  <si>
    <t xml:space="preserve">Acionador de pânico móvel nº 204 sem sinal, provável bateria baixa. Sugerimos que além deste, realize preventivamente a substituição da bateria de todos os acionadores móveis.    </t>
  </si>
  <si>
    <t>02/02/2023 10:00:35</t>
  </si>
  <si>
    <t>15/02/2023 14:35:00</t>
  </si>
  <si>
    <t>NECESSIDADE DE USO DO EQUIPAMENTO, PARA TANTO PRECISA DE UMA     FONTE DE ENERGIA, MONITOR, TECLADO, MOUSE.N</t>
  </si>
  <si>
    <t>02/02/2023 09:31:05</t>
  </si>
  <si>
    <t>06/02/2023 14:31:05</t>
  </si>
  <si>
    <t>CEDULA PRESAN</t>
  </si>
  <si>
    <t>1710.91</t>
  </si>
  <si>
    <t>SAA-CAMOCIM S.FELIX</t>
  </si>
  <si>
    <t>03/02/2023 18:18:49</t>
  </si>
  <si>
    <t>06/02/2023 09:30:00</t>
  </si>
  <si>
    <t>CASSETE C ENTINTOU.N</t>
  </si>
  <si>
    <t>4844.33</t>
  </si>
  <si>
    <t>SOP-BOA VIAGEM</t>
  </si>
  <si>
    <t>03/02/2023 17:52:51</t>
  </si>
  <si>
    <t>CASSETE C DILACERANDO NOTAS.N</t>
  </si>
  <si>
    <t>03/02/2023 17:27:41</t>
  </si>
  <si>
    <t>CONTROLES DA PGDM COM PROBLEMA</t>
  </si>
  <si>
    <t>03/02/2023 17:05:00</t>
  </si>
  <si>
    <t>22/02/2023 10:30:00</t>
  </si>
  <si>
    <t>LEITORA DE CARTIESN</t>
  </si>
  <si>
    <t>4844.12</t>
  </si>
  <si>
    <t>SOP SHOP.GUARARAPES</t>
  </si>
  <si>
    <t>03/02/2023 16:31:53</t>
  </si>
  <si>
    <t>PROBLEMA NO DEPOSITARIO, CORREIAS SOLTAS.N</t>
  </si>
  <si>
    <t>1732.91</t>
  </si>
  <si>
    <t>SAA-CANHOTINHO</t>
  </si>
  <si>
    <t>03/02/2023 16:09:19</t>
  </si>
  <si>
    <t>TERMINAL INDISPONIVEL PARA SAQUE, PROBLEMA NO MOTOR E NO MECANIS-MON</t>
  </si>
  <si>
    <t>03/02/2023 16:09:51</t>
  </si>
  <si>
    <t>NAO LIGAN</t>
  </si>
  <si>
    <t>Gentiliza, trocar a central analógica do prefixo 1792-00 por dia digital. Já existe link e1 no local e o pvv analógico está apresentando problema. Chave: 8136420500</t>
  </si>
  <si>
    <t>03/02/2023 15:31:32</t>
  </si>
  <si>
    <t>07/02/2023 15:31:32</t>
  </si>
  <si>
    <t>CASSETE "C" COM DEFEITO. TAA RASGANDO CEDULAS                    CEDULAS ENROSCADAS NO SCROOLN</t>
  </si>
  <si>
    <t>03/02/2023 15:10:04</t>
  </si>
  <si>
    <t xml:space="preserve"> Cabeamento rompido - aguardando tratamento - infra BB - referente ao chamado de manutenção corretiva 9396669   </t>
  </si>
  <si>
    <t>TERMINAL COM PROBLEMAS DE ACIONAMENTO DA FECHADURAN</t>
  </si>
  <si>
    <t>03/02/2023 11:41:55</t>
  </si>
  <si>
    <t>Problemas no rolamento da porta segundo o tecnico da BBTS Alexandre Cesar. PGDM com dificuldade de girar, risco de quebra do vidro com a pressao dos clientes ao empurrar a porta.</t>
  </si>
  <si>
    <t>03/02/2023 11:50:00</t>
  </si>
  <si>
    <t>16/02/2023 16:30:00</t>
  </si>
  <si>
    <t>NOTEBOOK NAO ESTA LIGANDO- APRESENTA SOM (BIP'S) NAO LIGA        LED BATERIA CONSTANTEMENTE ACESOTESTAMOS DEIXAR ELE CARREGANDO, POR©M NAO RESOLVE.                                                 S</t>
  </si>
  <si>
    <t>7712.00</t>
  </si>
  <si>
    <t>ESCR.EST.CAPIBARIBE</t>
  </si>
  <si>
    <t>03/02/2023 09:55:22</t>
  </si>
  <si>
    <t>07/02/2023 14:55:22</t>
  </si>
  <si>
    <t>NOTEBOOK NAO ESTA LIGANDO- APRESENTA SOM ( BIP'S) -  NAO LIGA    LED BATERIA CONSTANTEMENTE ACESSO -TESTAMOS DEIXAR ELE CARREGANDO, POR©M NAO RESOLVE.                                                 S</t>
  </si>
  <si>
    <t>03/02/2023 09:44:07</t>
  </si>
  <si>
    <t>07/02/2023 14:44:07</t>
  </si>
  <si>
    <t>EQUIPAMENTO INOPERANTE. NAO INICIALIZA O SISTEMA DO BANCO.N</t>
  </si>
  <si>
    <t>2559.91</t>
  </si>
  <si>
    <t>SAA-SAIRE</t>
  </si>
  <si>
    <t>03/02/2023 08:20:36</t>
  </si>
  <si>
    <t xml:space="preserve"> Instalação de sistema de alarme pós reforma, em substituição ao chamado de manutenção corretiva 9426262</t>
  </si>
  <si>
    <t>NO BREAK parou de funcionar devido faltas/quedas de energia na cidade, foram desligados dos equipamentos. Os terminais de autoatendimento estão ligados direto na tomada. Ou seja, sem nenhuma proteção</t>
  </si>
  <si>
    <t>FALHA NO MOTOR DE ROTACAON</t>
  </si>
  <si>
    <t>06/02/2023 16:43:09</t>
  </si>
  <si>
    <t>FALHA DE ALIMENTACAO DO CASSETE B (DISPENSADORA DE CEDULAS), INDISPONIVEL;FALHA NO MOTOR PRINCIPAL (DISPENSADORA DE CEDULAS)TERMINAL INDISPONIVEL PARA SAQUES (DISPENSADORA DE CEDULAS)                                              N</t>
  </si>
  <si>
    <t>4844.08</t>
  </si>
  <si>
    <t>SOP-CASA AMARELA</t>
  </si>
  <si>
    <t>06/02/2023 16:36:41</t>
  </si>
  <si>
    <t>TERMINAL INDISPONIVEL PARA SAQUE.                                ATENDIMENTO AO TECNICO DAS 08:00 AS 14HN</t>
  </si>
  <si>
    <t>1153.91</t>
  </si>
  <si>
    <t>SAA-TAQUARITINGA NOR</t>
  </si>
  <si>
    <t>06/02/2023 16:46:25</t>
  </si>
  <si>
    <t>Favor acionar técnico de campo para verificar alguns ramais que estão indisponíveis. INT20230034900</t>
  </si>
  <si>
    <t>06/02/2023 16:31:11</t>
  </si>
  <si>
    <t>08/02/2023 16:31:11</t>
  </si>
  <si>
    <t>CASSETE D DILACERANDO CEDULASN</t>
  </si>
  <si>
    <t>06/02/2023 15:45:21</t>
  </si>
  <si>
    <t>FALHA NO MOTOR PRINCIPAL. TERMINAL INDISPONIVEL PARA SAQUES.N</t>
  </si>
  <si>
    <t>06/02/2023 14:45:52</t>
  </si>
  <si>
    <t>TERMINAL AMASSANDO C©DULAS DE 10 E 20 EM SEQUENCIAN</t>
  </si>
  <si>
    <t>0922.91</t>
  </si>
  <si>
    <t>SAA-GRAVATA</t>
  </si>
  <si>
    <t>06/02/2023 14:39:33</t>
  </si>
  <si>
    <t>DISPOSITIVO INOPERANTE (BIOMETRIA)N</t>
  </si>
  <si>
    <t>: #INFRA: Recuperação de dependência sinistrada (Inundação)  Prefixo 2156 - Itaiba/PE. Fluxo de Trabalho: 2022/259148.  Solicitação de suprimentos para recomposição dos itens danificados no  Sinistro.</t>
  </si>
  <si>
    <t>06/02/2023 14:28:12</t>
  </si>
  <si>
    <t>14/03/2023 18:00:00</t>
  </si>
  <si>
    <t>SOBR-004792 (3)  SOBR-004879 (1) NSPP-003808 (3)  OV 1708917  saiu  15/02/2023    == &gt; &gt;     TECLADO CRIPTOGRAFICO INOPERANTE                                 'N</t>
  </si>
  <si>
    <t>2437.91</t>
  </si>
  <si>
    <t>SAA-PESQUEIRA</t>
  </si>
  <si>
    <t>06/02/2023 14:06:28</t>
  </si>
  <si>
    <t>TAA INDISPONIVEL P SAQUES. ERRO NO SENSOR DO BOCALN</t>
  </si>
  <si>
    <t>4844.05</t>
  </si>
  <si>
    <t>SOP JABOA.GUARARAPES</t>
  </si>
  <si>
    <t>06/02/2023 13:31:47</t>
  </si>
  <si>
    <t>TERMINAL COM INDICE DE REJEI¸AO DE CEDULAS DE 100 MUITO ALTAN</t>
  </si>
  <si>
    <t>0721.91</t>
  </si>
  <si>
    <t>SAA-BELO JARDIM</t>
  </si>
  <si>
    <t>06/02/2023 13:24:32</t>
  </si>
  <si>
    <t xml:space="preserve">Com Ernandes  em 16/02/2023   == &gt; &gt;      Disparos P2 - SL_ON_LINE   Z7 - SALA ONLINE   </t>
  </si>
  <si>
    <t>06/02/2023 12:45:44</t>
  </si>
  <si>
    <t>TAA COM PROBLEMA NA BIOMETRIAN</t>
  </si>
  <si>
    <t>4844.06</t>
  </si>
  <si>
    <t>SOP IPUTINGA</t>
  </si>
  <si>
    <t>06/02/2023 11:50:26</t>
  </si>
  <si>
    <t>FALHA NO MOTOR PRINCIPAL (DISPENSADORA DE CEDULAS), SENSOR DE ESPESSURA - LIMITE DO GANHO (DISPENSADORA DE CEDULAS).N</t>
  </si>
  <si>
    <t>06/02/2023 11:40:56</t>
  </si>
  <si>
    <t>PROBLEMA NO FIRMWARE DA BIOMETRIALN</t>
  </si>
  <si>
    <t>TERMINAL SEM RESPOSTA.N</t>
  </si>
  <si>
    <t>06/02/2023 10:56:25</t>
  </si>
  <si>
    <t>COMPUTADOR NAO LIGAN</t>
  </si>
  <si>
    <t>06/02/2023 10:57:49</t>
  </si>
  <si>
    <t>08/02/2023 15:57:49</t>
  </si>
  <si>
    <t>PROBEMA COM A LEITORA DE CARTAON</t>
  </si>
  <si>
    <t>4844.80</t>
  </si>
  <si>
    <t>SOP-CAMARAGIBE PE</t>
  </si>
  <si>
    <t>06/02/2023 10:41:31</t>
  </si>
  <si>
    <t>Solicito vistoria técnica GERADOR DE NEBLINA - DISPARO (PGM_2)</t>
  </si>
  <si>
    <t>06/02/2023 10:00:51</t>
  </si>
  <si>
    <t>24/02/2023 17:00:00</t>
  </si>
  <si>
    <t>DODR - ASSUNÇÃO DO GERADOR DE NEBLINA</t>
  </si>
  <si>
    <t>06/02/2023 09:29:32</t>
  </si>
  <si>
    <t>06/02/2023 18:00:00</t>
  </si>
  <si>
    <t>Defeito: disparo indevido P01Z12.</t>
  </si>
  <si>
    <t>06/02/2023 09:15:27</t>
  </si>
  <si>
    <t>15/02/2023 11:00:00</t>
  </si>
  <si>
    <t xml:space="preserve">Disparos sem causa aparente P1 - AGÊNCIA Z11 - ATENDIMENTO.  P1 - AGÊNCIA   Z16 - ATENDIMENTO PESSOA FISICA  </t>
  </si>
  <si>
    <t>06/02/2023 09:01:33</t>
  </si>
  <si>
    <t>16/02/2023 14:00:00</t>
  </si>
  <si>
    <t>DVR PERMANECE OFFLINE, SOLICITO MANUTENÇÃO URGENTE.</t>
  </si>
  <si>
    <t>05/02/2023 15:00:28</t>
  </si>
  <si>
    <t>06/02/2023 15:00:28</t>
  </si>
  <si>
    <t>DVR2 IDS-7716NXI-I4/16P/X NVR-2 ESTÁ OFF_LINE onde encontrasse imagens de partição críticas.</t>
  </si>
  <si>
    <t>05/02/2023 12:30:28</t>
  </si>
  <si>
    <t>06/02/2023 12:30:28</t>
  </si>
  <si>
    <t xml:space="preserve">MASCARAMENTO SENSOR   04/02/2023 15:34:00   1 - AGÊNCIA   </t>
  </si>
  <si>
    <t>05/02/2023 11:31:38</t>
  </si>
  <si>
    <t>MASCARAMENTO SENSOR   04/02/2023 13:33:00   4 - SAA.   5 - SAA ENTRADA, solicito visita técnica</t>
  </si>
  <si>
    <t>05/02/2023 11:30:50</t>
  </si>
  <si>
    <t xml:space="preserve"> Disparos sem causa aparente P1 Z5 gerencia.</t>
  </si>
  <si>
    <t>05/02/2023 11:15:53</t>
  </si>
  <si>
    <t>15/02/2023 15:00:00</t>
  </si>
  <si>
    <t>DVRs sem conexão por favor verificar.</t>
  </si>
  <si>
    <t>05/02/2023 10:15:51</t>
  </si>
  <si>
    <t>06/02/2023 10:15:52</t>
  </si>
  <si>
    <t>Com Ernandes  em 16/02/2023   == &gt; &gt;      PARTIÇÃO 02 - ZONA 07 COM DISPAROS INDEVIDOS.</t>
  </si>
  <si>
    <t>05/02/2023 10:00:33</t>
  </si>
  <si>
    <t>PRBLEMA NO MODULO PAGADORN</t>
  </si>
  <si>
    <t>4844.38</t>
  </si>
  <si>
    <t>SOP-SHOP.TACARUNA</t>
  </si>
  <si>
    <t>TERMINAL NAO ESTA ACEITANDO DEPOSITOS, PROVAVEL LIMPEZAN</t>
  </si>
  <si>
    <t>1012.91</t>
  </si>
  <si>
    <t>SAA-AGUAS BELAS</t>
  </si>
  <si>
    <t>07/02/2023 17:25:05</t>
  </si>
  <si>
    <t>08/02/2023 10:00:00</t>
  </si>
  <si>
    <t>732-PROBLEMA MECANICO NO CONTATO DE SMARTCARD (LEITORA DE CARTOES)N</t>
  </si>
  <si>
    <t>NAO RECONHECE OP CASSETE AN</t>
  </si>
  <si>
    <t>07/02/2023 16:29:01</t>
  </si>
  <si>
    <t>591-( I ) SENSOR DE ESPESSURA - LIMITE DO GANHO (DISPENSADORA DE CEDULAS) - VARIAS QUEDAS DE ENERGIA NA AGENCIA, TERMINAIS APRESENTANDO ERROS E PROBLEMAS                                                                            N</t>
  </si>
  <si>
    <t>2442.91</t>
  </si>
  <si>
    <t>SAA-PILAO ARCADO</t>
  </si>
  <si>
    <t>07/02/2023 16:24:25</t>
  </si>
  <si>
    <t>SISTEMA DE ENTINTAMENTO DO CASSETE C INDISPONIVEL - BDU INOPERANTE (SENSORES EXTERNOS).N</t>
  </si>
  <si>
    <t>4844.10</t>
  </si>
  <si>
    <t>SOP-ESPINHEIRO</t>
  </si>
  <si>
    <t>07/02/2023 16:05:28</t>
  </si>
  <si>
    <t>PROBLEMA NO MØDULO PAGADOR. TERMINAL INDISPONIVEL PARA SAQUE.N</t>
  </si>
  <si>
    <t>Desinstalação</t>
  </si>
  <si>
    <t xml:space="preserve">Desinstalação do alarme para início das obras.  Desinstalação : 10/02/2023 a partir das 14 hs.   Instalação  : 03/03/2023 a partir das 16 hs.  Nome : Denise Tavares    Matrícula : f2384256  Telefone : 41 9 88914729   </t>
  </si>
  <si>
    <t>TAA INOPRANTE. DEVOLVENDO TODOS OS DEPOSITOS E GERANDO CTRS.     DEVOLVE, APENAS, PARTE DO VALOR DEPOSITADO PELO CLIENTEN</t>
  </si>
  <si>
    <t>1185.91</t>
  </si>
  <si>
    <t>SAA-CASA NOVA</t>
  </si>
  <si>
    <t>07/02/2023 14:36:13</t>
  </si>
  <si>
    <t>NOTEBOOK COM PROBLEMA NA BATERIA (SO FUNCIONA LIGADO NO CARREGA- DOR).N</t>
  </si>
  <si>
    <t>07/02/2023 14:22:48</t>
  </si>
  <si>
    <t>10/02/2023 10:22:48</t>
  </si>
  <si>
    <t>FALHA COMUNICACAO TRANSACAO MF DE VERIF/TROCA CHAVE. TERMINAL IN-DISPON­VEL PARA SAQUES E DEPOSITOS.N</t>
  </si>
  <si>
    <t>0537.91</t>
  </si>
  <si>
    <t>SAA-SAO BENTO DO UNA</t>
  </si>
  <si>
    <t>07/02/2023 14:03:42</t>
  </si>
  <si>
    <t>TERMINAL COM ENROSCOS FREQUENTESN</t>
  </si>
  <si>
    <t>0582.91</t>
  </si>
  <si>
    <t>SAA-SURUBIM</t>
  </si>
  <si>
    <t>07/02/2023 13:41:31</t>
  </si>
  <si>
    <t xml:space="preserve">Defeito : Tablet do gerador de neblina inoperante.  Nome : Fagner Lima   Matrícula : f9572833-3  Telefone : 81 34257230  e-mail : psv9406@bb.com.br </t>
  </si>
  <si>
    <t>07/02/2023 13:32:38</t>
  </si>
  <si>
    <t>22/02/2023 17:00:00</t>
  </si>
  <si>
    <t>TAA IMOPERANTEN</t>
  </si>
  <si>
    <t>07/02/2023 12:20:38</t>
  </si>
  <si>
    <t>COMPUTADOR NAO LIGA. SINAL SONORO QUANDO TENTA LIGAR.S</t>
  </si>
  <si>
    <t>3433.00</t>
  </si>
  <si>
    <t>CORP BANK PERNAMBUCO</t>
  </si>
  <si>
    <t>07/02/2023 12:22:52</t>
  </si>
  <si>
    <t>09/02/2023 17:22:52</t>
  </si>
  <si>
    <t>NOTEBOOK, LOCALIZADO EM PETROLINA, PLATAFORMA VALE DO SAO FRANCISCO, NAO LIGA. E ABERTADO O BOTAO LIGAR E NAO APARECE NADA NA TE-LA.                                                                                                N</t>
  </si>
  <si>
    <t>07/02/2023 12:20:41</t>
  </si>
  <si>
    <t>09/02/2023 17:20:41</t>
  </si>
  <si>
    <t>TERMINAL INOPERANTEN</t>
  </si>
  <si>
    <t>1120.91</t>
  </si>
  <si>
    <t>SAA-QUIPAPA</t>
  </si>
  <si>
    <t>07/02/2023 12:06:04</t>
  </si>
  <si>
    <t>Transbordo Aprovado  FDIE-000462 (1) FDIE-000459 (1)  FDIE-000460 (1)  OV  1713963   == &gt; &gt;      TAA INS PARA SAQUE E DEPOSITO, PODE HAVER CEDULAS PRESAS.N</t>
  </si>
  <si>
    <t>07/02/2023 12:04:15</t>
  </si>
  <si>
    <t>EQPT-074290</t>
  </si>
  <si>
    <t>4981.00</t>
  </si>
  <si>
    <t>GECOR ING RECIFE</t>
  </si>
  <si>
    <t>T-10 TMF DG POSITIVO MASTER D380 ANO 2015</t>
  </si>
  <si>
    <t>07/02/2023 10:50:15</t>
  </si>
  <si>
    <t>09/02/2023 15:50:15</t>
  </si>
  <si>
    <t>PROBLEMA NA TELA DE TOQUE E OS BOTIES.N</t>
  </si>
  <si>
    <t>4844.04</t>
  </si>
  <si>
    <t>SOP-CASA FORTE</t>
  </si>
  <si>
    <t>07/02/2023 10:31:25</t>
  </si>
  <si>
    <t>SOBR-001048 (1)  OV  1711160   saiu   10/02/2023   == &gt; &gt;      ERRO DE HARDWAREN</t>
  </si>
  <si>
    <t>2737.91</t>
  </si>
  <si>
    <t>SAA-TRINDADE</t>
  </si>
  <si>
    <t>07/02/2023 10:21:48</t>
  </si>
  <si>
    <t>Defeito: Mascaramento de sensor na zona  12 copa .</t>
  </si>
  <si>
    <t>07/02/2023 10:30:23</t>
  </si>
  <si>
    <t>DISPOSITIVO INOPERANTE (BIOMETRIA)                               VERSAO DE FIRMWARE INCORRETA (BIOMETRIA)TERMINAL INDISPONIVEL                                                                              N</t>
  </si>
  <si>
    <t>4844.19</t>
  </si>
  <si>
    <t>SOP SHOP RECIFE</t>
  </si>
  <si>
    <t>07/02/2023 10:07:37</t>
  </si>
  <si>
    <t xml:space="preserve">Com Francisco  em  15/02/2023  == &gt; &gt;    Câmera da tesouraria fora do enquadramento dificultando o monitoramento efetivo, no caso a câmera precisa ser reposicionada ou acrescentar outra no ambiente.   </t>
  </si>
  <si>
    <t>07/02/2023 10:16:18</t>
  </si>
  <si>
    <t>MECANISMO DISPENSADOR DE C©DULAS DO CASSETE B, INOPERANTE. CASSETE B DANIFICADO.N</t>
  </si>
  <si>
    <t>0710.91</t>
  </si>
  <si>
    <t>SAA-BARREIROS</t>
  </si>
  <si>
    <t>07/02/2023 09:52:13</t>
  </si>
  <si>
    <t>PROBLEMAS NA CAMERA FOTOGRAFICA , FALHA GERAL NO SISTEMA DE ENTINTAMENTON</t>
  </si>
  <si>
    <t>1052.91</t>
  </si>
  <si>
    <t>SAA-CUPIRA</t>
  </si>
  <si>
    <t>07/02/2023 09:20:52</t>
  </si>
  <si>
    <t>07/02/2023 09:30:00</t>
  </si>
  <si>
    <t>ERROSCO DE CEDULASN</t>
  </si>
  <si>
    <t>07/02/2023 09:10:20</t>
  </si>
  <si>
    <t>Gerador de neblina da Tesouraria ativado.</t>
  </si>
  <si>
    <t>ATOS-000222</t>
  </si>
  <si>
    <t>T-99 GERADOR DE NEBLINA ATK3000</t>
  </si>
  <si>
    <t>07/02/2023 08:38:45</t>
  </si>
  <si>
    <t>ERRO AO EXECUTAR BAIXA MATRIZ. PC SEM SISTEMA OPERACIONALN</t>
  </si>
  <si>
    <t>5846.00</t>
  </si>
  <si>
    <t>ESCR.EXC.RECIFE</t>
  </si>
  <si>
    <t>SAQUE INDISPONIVEL                                               403-SISTEMA DE ENTINTAMENTO DO CASSETE D INDISPONIVEL - BDU INOPERANTE (SENSORES EXTERNOS), SOLICITO O ENVIO DO TECNICO DIOGENES.                                   N</t>
  </si>
  <si>
    <t>4844.43</t>
  </si>
  <si>
    <t>SOP-AV.DOM.FERREIRA</t>
  </si>
  <si>
    <t>08/02/2023 18:09:32</t>
  </si>
  <si>
    <t>09/02/2023 09:30:00</t>
  </si>
  <si>
    <t>LEITORA DE CARTIES COM DEFEITO. NAO ESTA LENDO CARTOESN</t>
  </si>
  <si>
    <t>0244.91</t>
  </si>
  <si>
    <t>SAA-AGUA PRETA</t>
  </si>
  <si>
    <t>08/02/2023 16:54:42</t>
  </si>
  <si>
    <t xml:space="preserve"> Instalar receptor e acionadores móveis V2</t>
  </si>
  <si>
    <t>08/02/2023 16:57:25</t>
  </si>
  <si>
    <t>23/03/2023 18:00:00</t>
  </si>
  <si>
    <t>DISPAROS GERADOR DE NEBLINA - DISPARO - EXPEDIENTE (PGM_2)</t>
  </si>
  <si>
    <t>08/02/2023 16:15:53</t>
  </si>
  <si>
    <t>16/02/2023 15:00:00</t>
  </si>
  <si>
    <t>CASSETE C INOPERANTE.N</t>
  </si>
  <si>
    <t>08/02/2023 15:09:55</t>
  </si>
  <si>
    <t>LEITORA DE CARTAO COM PROBLEMAS.N</t>
  </si>
  <si>
    <t>0115.91</t>
  </si>
  <si>
    <t>SAA-PALMARES</t>
  </si>
  <si>
    <t>08/02/2023 13:43:17</t>
  </si>
  <si>
    <t>TERMINAL INSIPON­VEL PARA SAQUES E DEPOSITOS                     CASSETE D COM PROBLEMASN</t>
  </si>
  <si>
    <t>SOBR-004911 (2)  SOBR-006329 (1)  OV  1713598  saiu  14/02/2023  == &gt; &gt;     DODR - troca da bateria do gerador de neblina</t>
  </si>
  <si>
    <t>Defeito: Disparos Intermitentes e Violação de Tamper da partição 4 zona 8</t>
  </si>
  <si>
    <t>08/02/2023 12:00:39</t>
  </si>
  <si>
    <t>TAA COM PROBLEMAS NO MODULO DE PAGAMENTO, REJEITANDO/PRENDENDO   EXCESSIVAMENTE MUITAS C©DULAS E DEPOSITARIO PRENDENDO TODO ENVELOPE QUE © REGISTRADO NO TAA.                                                                        N</t>
  </si>
  <si>
    <t>08/02/2023 10:56:48</t>
  </si>
  <si>
    <t>Disparos sem causa aparente P5 - CORR_ABAST.   Z2 - CORREDOR DE ABAST. ENTRADA</t>
  </si>
  <si>
    <t>08/02/2023 11:00:39</t>
  </si>
  <si>
    <t>TAA NAO INICIALIZAN</t>
  </si>
  <si>
    <t>08/02/2023 10:15:05</t>
  </si>
  <si>
    <t>NOTEBOOK DA PJ NAO ESTA FUNCIONANDON</t>
  </si>
  <si>
    <t>CASSETE B INOPERANTEN</t>
  </si>
  <si>
    <t>4844.28</t>
  </si>
  <si>
    <t>SOP CABO</t>
  </si>
  <si>
    <t>08/02/2023 09:16:38</t>
  </si>
  <si>
    <t>08/02/2023 09:30:00</t>
  </si>
  <si>
    <t>Câmera da tesouraria com enquadramento incorreto impedindo a visualização total do cofre.</t>
  </si>
  <si>
    <t>08/02/2023 09:30:49</t>
  </si>
  <si>
    <t>17/02/2023 11:00:00</t>
  </si>
  <si>
    <t>1 - AGÊNCIA   11 - WC MASC.  Disparo de alarme sem causa aparente. Reaberta ordem de serviço, pois manutenção não solucionou problema. Solicito troca do sensor.</t>
  </si>
  <si>
    <t>08/02/2023 09:30:44</t>
  </si>
  <si>
    <t>22/02/2023 14:35:00</t>
  </si>
  <si>
    <t>SOBR-004911 (2)  SOBR-006329 (1)  OV  1713253  saiu 13/02/2023   == &gt; &gt;      FALHA GERAL DA COMUNICAÇÃO ALARME - REGRA 541</t>
  </si>
  <si>
    <t>08/02/2023 09:16:31</t>
  </si>
  <si>
    <t>PGDM com problemas. travando e destravando sozinha, várias vezes seguidas. Passa de 5 a 10 min travando e destravando seguidamente, várias vezes no decorrer do dia. Favor enviar o técnico Fernando da BBTS</t>
  </si>
  <si>
    <t xml:space="preserve">Disparos indevidos sem causa aparente P01 / Z12.  </t>
  </si>
  <si>
    <t>1 - AGÊNCIA   15 - COPA. Disparo intermitente de sensor sem causa aparente.</t>
  </si>
  <si>
    <t>08/02/2023 08:16:23</t>
  </si>
  <si>
    <t>SOBR-004792 (6) SOBR-004879 (4) SOBR-004935 (4)  NSPP-003808 (3) NSPP-003848 (4)  OV  1712130  saiu 15/02/2023    == &gt; &gt;     FIOS DE SENSORES DE SEGURANCA DA PORTA DO COFRE QUEBRADOS.N</t>
  </si>
  <si>
    <t>0068.91</t>
  </si>
  <si>
    <t>SAA-ARCOVERDE</t>
  </si>
  <si>
    <t>09/02/2023 18:34:34</t>
  </si>
  <si>
    <t>EQUIPAMENTO DO SUPERINTENDENTE COMERCIAL  - TRAVA EM EXCESSON</t>
  </si>
  <si>
    <t>8489.04</t>
  </si>
  <si>
    <t>EXT-SUPER PETROLINA</t>
  </si>
  <si>
    <t>09/02/2023 17:19:40</t>
  </si>
  <si>
    <t>14/02/2023 13:19:40</t>
  </si>
  <si>
    <t>ERRO NO SENSOR DE ALIMENTACAON</t>
  </si>
  <si>
    <t>4844.20</t>
  </si>
  <si>
    <t>SOP.CID.UNIVERS</t>
  </si>
  <si>
    <t>09/02/2023 17:17:31</t>
  </si>
  <si>
    <t>BIOMETRIA COM VERSAO DE FIRMWARE INCORRETAN</t>
  </si>
  <si>
    <t>09/02/2023 17:16:41</t>
  </si>
  <si>
    <t>10/02/2023 09:30:00</t>
  </si>
  <si>
    <t>SOBR-004911 (2)  SOBR-006329 (1)  OV  1713586  saiu   14/02/2023   == &gt; &gt;    DODR - substituições do fluído e bateria</t>
  </si>
  <si>
    <t>09/02/2023 17:29:07</t>
  </si>
  <si>
    <t xml:space="preserve">Disparo de alarme e mascaramento de sensor com violação de tamper na Zona 3 - SAA.  </t>
  </si>
  <si>
    <t>09/02/2023 17:15:22</t>
  </si>
  <si>
    <t>TAA ENROSCANDO NOTAS. CORREIA DANIFICADA.                        TAA INDISPONIVELN</t>
  </si>
  <si>
    <t>2335.91</t>
  </si>
  <si>
    <t>SAA-NAZARE DA MATA</t>
  </si>
  <si>
    <t>ENROSCO DE CEDULAS                                               ERRO DE HARDWAREN</t>
  </si>
  <si>
    <t>ENROSCANDO FORMULARION</t>
  </si>
  <si>
    <t>09/02/2023 16:16:43</t>
  </si>
  <si>
    <t>14/02/2023 09:16:43</t>
  </si>
  <si>
    <t>Solicito troca da receptora dos acionadores de pânicos móveis. Não houve comunicação após o teste preventivo.</t>
  </si>
  <si>
    <t>09/02/2023 16:15:28</t>
  </si>
  <si>
    <t>Vistoria  de PVV - prefixo 1360-00 Feira Nova para verificar instalaçao, funcionamento e quantidade aparelhos e confeccionar novo termo de aceite conf.solicitado faturamento BB.</t>
  </si>
  <si>
    <t>09/02/2023 15:58:02</t>
  </si>
  <si>
    <t>10/02/2023 15:58:02</t>
  </si>
  <si>
    <t>C©DULAS PRESAS NO TRANSPORTADOR, TERMINAL INDISPONIVEL PARA      SAQUEN</t>
  </si>
  <si>
    <t>4844.01</t>
  </si>
  <si>
    <t>SOP-AG.RECIFE</t>
  </si>
  <si>
    <t>09/02/2023 15:32:31</t>
  </si>
  <si>
    <t xml:space="preserve"> Ponto sem câmera. Cliente solicita uma.   </t>
  </si>
  <si>
    <t>09/02/2023 15:28:36</t>
  </si>
  <si>
    <t>17/03/2023 18:00:00</t>
  </si>
  <si>
    <t>DESINST,TRANSP MAIS 100KG,REINST. REMANEJ. NRO.:1209711 TOTAL DE INTEMS:1. MINUTA DE DESPACHO:692304055872</t>
  </si>
  <si>
    <t>TECLAS LATERAIS SEM FUNCIONARN</t>
  </si>
  <si>
    <t>4844.75</t>
  </si>
  <si>
    <t>SOP ESTILO PARNAMIRI</t>
  </si>
  <si>
    <t>09/02/2023 14:18:47</t>
  </si>
  <si>
    <t>2 cameras externas com defeito.</t>
  </si>
  <si>
    <t>09/02/2023 14:23:10</t>
  </si>
  <si>
    <t>FALHA NO MOTOR PRINCIPAL (DISPENSADORA DE CEDULAS)N</t>
  </si>
  <si>
    <t>09/02/2023 13:33:17</t>
  </si>
  <si>
    <t>CLIENTE REALIZA O SAQUE E CEDULAS NAO S~AO ENTREGUES.N</t>
  </si>
  <si>
    <t>09/02/2023 13:17:10</t>
  </si>
  <si>
    <t>Unidade com falha geral de comunicação.</t>
  </si>
  <si>
    <t>Camera do corredor interno apagada.</t>
  </si>
  <si>
    <t>Unidade não tem imagens da tesouraria;</t>
  </si>
  <si>
    <t>Partição 5 zona 3 com disparos indevidos.</t>
  </si>
  <si>
    <t>PGDM, girando rapido demais, não apresenta resistência ao avançar, podendo ocorrer acidente com idosos.</t>
  </si>
  <si>
    <t>DVR OFFLINE</t>
  </si>
  <si>
    <t>TERMINAL ESTA ENROSCANDO CEDULAS NO MOMENTO DOS DEPOSITOS, PROVO CANDO MUITOS PROCEDIMENTOS DE CTR E INSATISFACAO DOS CLIENTES.N</t>
  </si>
  <si>
    <t>1666.91</t>
  </si>
  <si>
    <t>SAA-BREJO MADRE DEUS</t>
  </si>
  <si>
    <t>TRAVA DA PORTA DE SEGURANCA DOS CASSETE CONSTANTEMENTE(LUZ AZUL) ACIONADA NA ABERTURA DO TAAN</t>
  </si>
  <si>
    <t>4923.02</t>
  </si>
  <si>
    <t>SOP-IGARASSU</t>
  </si>
  <si>
    <t>TECLADO DO COFRE APRESENTANDO A MENSAGEM "TECLADO VIOLADO" NAO   CONSEGUIMOS ABRIR O COFRE DO EQUIPAMENTO. O TECLADO DO EQUIPA-MENTO FOI TROCADO PELO MESMO DEFEITO A CERCA DE APENAS 15        DIAS                              N</t>
  </si>
  <si>
    <t>4923.03</t>
  </si>
  <si>
    <t>SOP-OLINDA</t>
  </si>
  <si>
    <t>Disparo de alarme sem causa aparente Partição 1 Zona 18 (ATENDIMENTO ENTRADA).</t>
  </si>
  <si>
    <t>09/02/2023 10:30:53</t>
  </si>
  <si>
    <t>TAA NAO INICIA - FICA EM MODO DE TELA BIOS CONFIGN</t>
  </si>
  <si>
    <t>4844.16</t>
  </si>
  <si>
    <t>SOP ENCRUZILHADA</t>
  </si>
  <si>
    <t>09/02/2023 09:59:47</t>
  </si>
  <si>
    <t>NAO CARREGA O SISTEMA. PEDE PARA PRECIONAR CTRL-D, MAS NAO FUNCIONAS</t>
  </si>
  <si>
    <t>912-DISPOSITIVO INOPERANTE (BIOMETRIA)                           901-DISPOSITIVO NAO RESPONDE (BIOMETRIA)N</t>
  </si>
  <si>
    <t>09/02/2023 09:11:44</t>
  </si>
  <si>
    <t>09/02/2023 10:00:00</t>
  </si>
  <si>
    <t>595, 608, 610, 611, 612, 613, 774, TAA INDISP P/SAQUE/CASSETES A,B,C,D,INDISP/DESV 2 FORA DE POSIC/71170/13/PRT/B / 41 996852011</t>
  </si>
  <si>
    <t>EQPT-085660</t>
  </si>
  <si>
    <t>4357.03</t>
  </si>
  <si>
    <t>CHESF-ED.SEDE</t>
  </si>
  <si>
    <t>T-10 TAA SAQUE FRONTAL PERTO COM ENTINTAMENTO TSF 2100 V 19</t>
  </si>
  <si>
    <t>09/02/2023 08:45:51</t>
  </si>
  <si>
    <t>Mascaramento P3 - TESOURARIA Z6 - COFRE</t>
  </si>
  <si>
    <t>QUEIMADO.</t>
  </si>
  <si>
    <t>10/02/2023 19:14:00</t>
  </si>
  <si>
    <t>15/02/2023 17:00:00</t>
  </si>
  <si>
    <t>10/02/2023 19:05:00</t>
  </si>
  <si>
    <t>NObreak bem final 0006 está aparentemente inoperante e fazendo um barulho alto Pedimos reparo</t>
  </si>
  <si>
    <t>10/02/2023 17:32:00</t>
  </si>
  <si>
    <t>16/02/2023 17:30:00</t>
  </si>
  <si>
    <t>2304.00</t>
  </si>
  <si>
    <t>MIRANDIBA</t>
  </si>
  <si>
    <t>10/02/2023 16:45:46</t>
  </si>
  <si>
    <t>CFTV sem comunicação com a central</t>
  </si>
  <si>
    <t>NIVEL BAIXO DA BATERIA DA PLACA DE SENSORESN</t>
  </si>
  <si>
    <t>0233.91</t>
  </si>
  <si>
    <t>SAA-VITORIA S.ANTAO</t>
  </si>
  <si>
    <t>DISPAROS SEM CAUSA APARENTE   48 - PANICO FIXO WC MASC. 1° ANDAR.  CHAMADO ANTERIOR CANCELADO SEM RESOLVER PROBLEMA</t>
  </si>
  <si>
    <t>577-( E ) ERRO NO SENSOR DE BOCAL (DN</t>
  </si>
  <si>
    <t>Defeito: 201 - GERENTE - COFRE e 211 - GERENTE - PASSA MILHEIRO - não sinalizaram.   Funcionário: Giovany F5529219  Telefone: (87) 3871-0668  E-mail: psv9705@bb.com.br</t>
  </si>
  <si>
    <t>PGDM inoperante, risco de segurança da agência</t>
  </si>
  <si>
    <t>10/02/2023 16:14:00</t>
  </si>
  <si>
    <t>17/02/2023 10:44:00</t>
  </si>
  <si>
    <t>Travada e acusando metal sem haver e com as luzes vermelhas do painel acesas.  Sistema em curto circuito.</t>
  </si>
  <si>
    <t>Câmera EXTERNA_2 sem sinal</t>
  </si>
  <si>
    <t>PGDM nao esta travando</t>
  </si>
  <si>
    <t>TECLADO INOPERANTEN</t>
  </si>
  <si>
    <t>TERMINAL NAO INICIALIZAN</t>
  </si>
  <si>
    <t>DSU DO CASSETE B DILACERANDO AS CEDULASN</t>
  </si>
  <si>
    <t>0232.91</t>
  </si>
  <si>
    <t>SAA-LIMOEIRO</t>
  </si>
  <si>
    <t>10/02/2023 14:17:31</t>
  </si>
  <si>
    <t>DODR - VISTORIA DE INFRAESTRUTURA PARA A INSTALAÇÃO DO GERADOR DE NEBLINA #vistoriaGN2023</t>
  </si>
  <si>
    <t>10/02/2023 14:09:51</t>
  </si>
  <si>
    <t>11/02/2023 14:09:51</t>
  </si>
  <si>
    <t>10/02/2023 14:09:29</t>
  </si>
  <si>
    <t>11/02/2023 14:09:30</t>
  </si>
  <si>
    <t>10/02/2023 14:09:20</t>
  </si>
  <si>
    <t>11/02/2023 14:09:20</t>
  </si>
  <si>
    <t>DVR OFFLINE.</t>
  </si>
  <si>
    <t>10/02/2023 14:00:33</t>
  </si>
  <si>
    <t>11/02/2023 14:00:34</t>
  </si>
  <si>
    <t>EQUIPAMENTO INICIALIZANDO (TELA PRETA)N</t>
  </si>
  <si>
    <t>EQPT-075686</t>
  </si>
  <si>
    <t>T-10 TMF AG POSITIVO MASTER D380 2015</t>
  </si>
  <si>
    <t>10/02/2023 13:33:39</t>
  </si>
  <si>
    <t>15/02/2023 09:33:39</t>
  </si>
  <si>
    <t>TAART INOPERANTE. CEDULAS ENROSCADASN</t>
  </si>
  <si>
    <t>10/02/2023 13:26:10</t>
  </si>
  <si>
    <t>TECLADO ALFANUMERICO COM PROBLEMAS.N</t>
  </si>
  <si>
    <t>10/02/2023 12:54:33</t>
  </si>
  <si>
    <t>14/02/2023 17:54:33</t>
  </si>
  <si>
    <t>OS FECHADA INDEVIDAMENTE POIS O TAA ENTINTOU E CONTINUA COMPLETAMENTE INDISPONIVELN</t>
  </si>
  <si>
    <t>10/02/2023 12:38:24</t>
  </si>
  <si>
    <t>IMPRESSORA DO TERMINAL COM DEFEITO ENROSCANDO, REALIZAMOS        DIVERSAS TENTATIVAS DE CONSERTO NAO CONSEGUIMOS.N</t>
  </si>
  <si>
    <t>2855.91</t>
  </si>
  <si>
    <t>SAA-BELEM DE MARIA</t>
  </si>
  <si>
    <t>10/02/2023 12:45:12</t>
  </si>
  <si>
    <t>SCANNER DIGITALIZA C MANCHA NA FRENTE E CORTA A IMAGEM DE VERSON</t>
  </si>
  <si>
    <t>EQPT-085600</t>
  </si>
  <si>
    <t>T-10 SCANNER KODAK I 1190 COM MESA DIGITALIZADORA TAMANHO OFICIO</t>
  </si>
  <si>
    <t>10/02/2023 12:14:13</t>
  </si>
  <si>
    <t>14/02/2023 17:14:13</t>
  </si>
  <si>
    <t>SOBR-005549 (1)  OV 1712336  saiu  16/02/2023   == &gt; &gt;     TERMINAL NAO LIGA.N</t>
  </si>
  <si>
    <t>10/02/2023 12:14:25</t>
  </si>
  <si>
    <t>11/02/2023 12:26:37</t>
  </si>
  <si>
    <t>10/02/2023 11:51:40</t>
  </si>
  <si>
    <t>14/02/2023 16:51:40</t>
  </si>
  <si>
    <t>BLOQUEADON</t>
  </si>
  <si>
    <t>EQPT-077775</t>
  </si>
  <si>
    <t>T-10 TECLADO PIN PAD USB C/CRIPTOGRAFIA FIRMWARE 01.48 GERTEC PPC910</t>
  </si>
  <si>
    <t>10/02/2023 11:48:46</t>
  </si>
  <si>
    <t>16/02/2023 11:48:46</t>
  </si>
  <si>
    <t>480, 778, 783, 794, 838, 841, TERMINAL INDISPONIVEL PARA SAQUE E DEPØSITO, ENROSCANDO C©DULAS. / 87981829373</t>
  </si>
  <si>
    <t>2107.91</t>
  </si>
  <si>
    <t>SAA-IATI</t>
  </si>
  <si>
    <t>COMPUDADOR VOLTOU APRESENTAR PROBLEMA NAO ESTA INICIALIZANDO     MESMO REINSTALANDO A MATRIZN</t>
  </si>
  <si>
    <t>COMPUTADOR NAO ESTA ABRINDO APLICATIVOS E REINICIALIZA CONSTANTE-MENTE. MATRIZ JA FOI REINSTALADA VARIAS VEZES E PROBLEMA PERSISTEN</t>
  </si>
  <si>
    <t>10/02/2023 11:43:34</t>
  </si>
  <si>
    <t>14/02/2023 16:43:34</t>
  </si>
  <si>
    <t>TERMINAL NAO INICIA.N</t>
  </si>
  <si>
    <t>10/02/2023 11:25:08</t>
  </si>
  <si>
    <t>14/02/2023 16:25:08</t>
  </si>
  <si>
    <t>O PC NAO FUNCIONA - PROBLEMA DE DOMINIO - NAO ACESSA A REDE.N</t>
  </si>
  <si>
    <t>8660.00</t>
  </si>
  <si>
    <t>AJURE PERNAMBUCO</t>
  </si>
  <si>
    <t>10/02/2023 11:21:43</t>
  </si>
  <si>
    <t>14/02/2023 16:21:43</t>
  </si>
  <si>
    <t>O PC NAO ESTA DANDO REDE COM O SISTEMA DO BANCO - ERRO DE DOMINION</t>
  </si>
  <si>
    <t>DEFEITO: Sinalizações recorrente no pânico FIXO 76  PORTA 20  GERENTE : MARCELO DA SILVA  TELEFONE: (81) 3425-7501  EMAIL: psv9406@bb.com.br</t>
  </si>
  <si>
    <t>SCANNER NAO LIGAN</t>
  </si>
  <si>
    <t>EQPT-078223</t>
  </si>
  <si>
    <t>T-10 SCANNER COMPACTO KODAK SCANMATE I940</t>
  </si>
  <si>
    <t>COMPUTADOR NAO ESTA LIGANDO, NEM AO MENOS ENTRANDO NA BIOS.      UMA MENSAGEM DANDO CONTA DE UM POSSIVEL PROBLEMA COM O DISCORIGIDO DO COMPUTADOR                                                                               N</t>
  </si>
  <si>
    <t>CASSETE D INDISPON­VEL. C©DULAS SENDO TOTALMENTE REJEITADAS E    SOBRECARREGANDO CESSETE E (REJEICAO)N</t>
  </si>
  <si>
    <t>4844.30</t>
  </si>
  <si>
    <t>SOP IPOJUCA</t>
  </si>
  <si>
    <t>10/02/2023 10:13:46</t>
  </si>
  <si>
    <t>MODULO DEPOSITARIO COM PROBLEMA. CORREIAS GIRAM MAS NAO PUXAM O  ENVELOPE. TERMINAL INDISPON­VEL PARA DEPOSITO.N</t>
  </si>
  <si>
    <t>10/02/2023 10:25:03</t>
  </si>
  <si>
    <t>DISPAROS SEM CAUSA APARENTE 2 - SL_ON_LINE   7 - SALA ONLINE</t>
  </si>
  <si>
    <t>10/02/2023 09:46:24</t>
  </si>
  <si>
    <t>Prezados(as),               Informamos que a PGDM, voltou a dar problemas de detecção, pedimos retorno de técnico.</t>
  </si>
  <si>
    <t>10/02/2023 09:41:00</t>
  </si>
  <si>
    <t>15/02/2023 10:30:00</t>
  </si>
  <si>
    <t>MØDULO COM ENROSCO DE CEDULASN</t>
  </si>
  <si>
    <t>10/02/2023 08:56:12</t>
  </si>
  <si>
    <t>TERMINAL COM ALTO INDICE DE REJEICAO DE CEDULAS NAS TRANSACIES DEDEPOSITO. CEDULAS REJEITADAS POR ESTE TERMINAL SAO ACEITAS PELOOUTRO RECICLADOR                                                                                   N</t>
  </si>
  <si>
    <t>2369.91</t>
  </si>
  <si>
    <t>SAA-OROBO</t>
  </si>
  <si>
    <t>10/02/2023 08:29:18</t>
  </si>
  <si>
    <t>1 - AGÊNCIA   5 - GERENCIA. Disparo intermitente de sensor sem causa aparente.</t>
  </si>
  <si>
    <t>10/02/2023 08:31:08</t>
  </si>
  <si>
    <t>2678.91</t>
  </si>
  <si>
    <t>SAA-SENTO SE</t>
  </si>
  <si>
    <t>4844.64</t>
  </si>
  <si>
    <t>SOP TAMARINEIRA PE</t>
  </si>
  <si>
    <t>MOUSE NAO FUNCIONA - REPOSICAO DE MOUSEN</t>
  </si>
  <si>
    <t>EQPT-084567</t>
  </si>
  <si>
    <t>T-10 TERMINAL DE MULTIPLAS FUNCOES PARA DIRECAO GERAL- DATEN DC3D-U</t>
  </si>
  <si>
    <t>4844.17</t>
  </si>
  <si>
    <t>SOP PRAZERES</t>
  </si>
  <si>
    <t>CEDULAS PRESAS NO MODULO SUPERIOR QUE TRAVOU TOTALMENTE.N</t>
  </si>
  <si>
    <t>2244.91</t>
  </si>
  <si>
    <t>SAA-LAJEDO</t>
  </si>
  <si>
    <t>13/02/2023 17:14:08</t>
  </si>
  <si>
    <t>14/02/2023 17:33:52</t>
  </si>
  <si>
    <t>DVR OFF-LINE  CÂMERAS NÃO COMUNICAM COM A CENTRAL</t>
  </si>
  <si>
    <t>13/02/2023 17:30:36</t>
  </si>
  <si>
    <t>14/02/2023 17:30:36</t>
  </si>
  <si>
    <t>camera com problema, substituir</t>
  </si>
  <si>
    <t>13/02/2023 17:23:00</t>
  </si>
  <si>
    <t>14/02/2023 17:53:00</t>
  </si>
  <si>
    <t>TAA REJEITANDO MUITAS CEDULASN</t>
  </si>
  <si>
    <t>13/02/2023 17:05:04</t>
  </si>
  <si>
    <t>14/02/2023 09:30:00</t>
  </si>
  <si>
    <t>TERMINAL INDISPONIVEL PARA SAQUE; IMPOSSIVEL EFETUAR O ABASTECI  MENTO; FALHA NO SENSOR DE ALIMENTA¸AO DO CASSETE C.N</t>
  </si>
  <si>
    <t>2239.91</t>
  </si>
  <si>
    <t>SAA-LAGOA DO ITAENGA</t>
  </si>
  <si>
    <t>IMPRESSORA DE RECIBOS COM DEFEITO;                               TECLADO CRIPTOGRAFICO DEFEITUOSO;E LEITORA DE CARTAO INOPERANTE.                                                                    N</t>
  </si>
  <si>
    <t>13/02/2023 16:28:01</t>
  </si>
  <si>
    <t>MICRO SEM FUNCIONAR.N</t>
  </si>
  <si>
    <t>13/02/2023 16:15:10</t>
  </si>
  <si>
    <t>16/02/2023 12:15:10</t>
  </si>
  <si>
    <t>Chamado de Instalação para baixa de matriz</t>
  </si>
  <si>
    <t>1363.91</t>
  </si>
  <si>
    <t>SAA-VICENCIA</t>
  </si>
  <si>
    <t>SOBR-004911 (2)  SOBR-006329 (1)  OV  1713995  == &gt; &gt;    DODR - SUBSTITUIÇÃO DA BATERIA</t>
  </si>
  <si>
    <t>BATERIA DA PLACA DE SENSORES EM NIVEL BAIXO . SIRENE DISPARADAN</t>
  </si>
  <si>
    <t>4844.02</t>
  </si>
  <si>
    <t>SOP-DANTAS BARRETO</t>
  </si>
  <si>
    <t>13/02/2023 15:20:52</t>
  </si>
  <si>
    <t>FALHA GERAL NO SISTEMA DE ENTINTAMENTO DO CASSETE A - BDU INOPERANTEN</t>
  </si>
  <si>
    <t>1421.91</t>
  </si>
  <si>
    <t>SAA-ALTINHO</t>
  </si>
  <si>
    <t>PLACA ANALÓGICA COM PROBLEMAS REALIZAR LIMPEZA,REMANEJAMENTO E AJUSTE E POSSÍVEL TROCA.  WILLIANS JAMES  (87) 996176360 INT20230043561</t>
  </si>
  <si>
    <t>TAA INDISPONIVEL PARA SAQUE E DEPOSITOSN</t>
  </si>
  <si>
    <t>0711.91</t>
  </si>
  <si>
    <t>SAA-STA.CRUZ CAPIBAR</t>
  </si>
  <si>
    <t>NAO INICIALIZAN</t>
  </si>
  <si>
    <t>PROBLEMA DE ENTINTAMENTO CASSETE DN</t>
  </si>
  <si>
    <t>CÂMERAS NÃO LIGAM. CONECTOR DA FONTE E CABO DA CÂMERA COM DEFEITO. TÉCNICO FERNANDO ESTÁ COM A PEÇA.</t>
  </si>
  <si>
    <t>TERMINAL INOPERANTE.N</t>
  </si>
  <si>
    <t>CASSETE C NAO ABREN</t>
  </si>
  <si>
    <t>MODULO DE PAGAMENTO COM PROBLEMA, ENROSCO DE CEDULAS E NA GAVETA 'C' CORREIA PLASTICA SOLTA.N</t>
  </si>
  <si>
    <t>8074.91</t>
  </si>
  <si>
    <t>SAA-AV DA INTEGRACAO</t>
  </si>
  <si>
    <t>Mascaramento e violação de tamper Z10 intermitente.</t>
  </si>
  <si>
    <t>TERMINAL COM ENTINTAMENTO ARMADO CASSETE DN</t>
  </si>
  <si>
    <t>4923.04</t>
  </si>
  <si>
    <t>SOP-ABREU E LIMA</t>
  </si>
  <si>
    <t>COMPUTADOR TRAVANDO ININTERRUPITAMENTE]N</t>
  </si>
  <si>
    <t>4845.14</t>
  </si>
  <si>
    <t>SOP-CAXANGA</t>
  </si>
  <si>
    <t>EQUIPAMENTO INOPERANTE.N</t>
  </si>
  <si>
    <t>13/02/2023 12:53:13</t>
  </si>
  <si>
    <t>17/02/2023 12:53:13</t>
  </si>
  <si>
    <t>13/02/2023 12:52:05</t>
  </si>
  <si>
    <t>17/02/2023 12:52:05</t>
  </si>
  <si>
    <t>MAQUINA SEM LIGAR E QUANDO LIGAR APARECE PROBLEMA NO HARDWAREN</t>
  </si>
  <si>
    <t>13/02/2023 12:31:33</t>
  </si>
  <si>
    <t>IMPRESSORA DE RECIBO SEM FUNCIONAR.N</t>
  </si>
  <si>
    <t>4844.11</t>
  </si>
  <si>
    <t>SOP-PREF.DO RECIFE</t>
  </si>
  <si>
    <t>FALHA GERAL NOS SENSORES DE SEGURANCA (SISTEMA DE ENTINTAMENTO).N</t>
  </si>
  <si>
    <t xml:space="preserve">Defeito: tem uma câmera oscilando nas imagens   Nome/ Matr: Marcilene Andrade F6773745-5  Tel: 87 99513535  Email: age1732@bb.com.br </t>
  </si>
  <si>
    <t>OBSTRUCAO NA ENTRADA DE CARTAO, E SISTEMA DE ENTINTAMENTO ATIVO SSEMPREN</t>
  </si>
  <si>
    <t>Acionador de pânico móvel nº 203 sem sinal, provável bateria baixa. Sugerimos que além deste, realize preventivamente a substituição da bateria de todos os acionadores móveis.</t>
  </si>
  <si>
    <t>FITA DO SCRULL ENROSCADA COM DINHEIRO, A FITA ARREBENTOU.N</t>
  </si>
  <si>
    <t>PROBLEMA MECANISMO DE PAGAMENTON</t>
  </si>
  <si>
    <t>1739.91</t>
  </si>
  <si>
    <t>SAA-CAPOEIRAS</t>
  </si>
  <si>
    <t>562-( I ) ERRO EXTRACAO DE NOTAS-CASSETE B (DISPENSADORA DE CEDUL609-( I ) PODE HAVER CEDULAS PRESAS NO MECANISMO (DISPENSADORA DECEDULAS)                                                                                          N</t>
  </si>
  <si>
    <t>TERMINAL COM NOTAS ENROSCADASN</t>
  </si>
  <si>
    <t>13/02/2023 11:24:28</t>
  </si>
  <si>
    <t>PROBLEMAS NO SKROLL, CEDULAS SENDO RETIDA NO MESMO.N</t>
  </si>
  <si>
    <t>13/02/2023 10:31:38</t>
  </si>
  <si>
    <t>TMF NAO LIGA COM APITO SONORON</t>
  </si>
  <si>
    <t>TAA COM MUITAS CEDULAS DE 100,00, CASSETE D, NA REJEI¸AO, CAUSAN-DO INDISPONIBILIDADEN</t>
  </si>
  <si>
    <t>1108.91</t>
  </si>
  <si>
    <t>SAA-PARNAMIRIM</t>
  </si>
  <si>
    <t>13/02/2023 10:28:17</t>
  </si>
  <si>
    <t>PGDM não está travando, mesmo com sinalização de travamento, não há travamento.</t>
  </si>
  <si>
    <t>13/02/2023 10:41:42</t>
  </si>
  <si>
    <t>16/02/2023 15:30:00</t>
  </si>
  <si>
    <t>NAO INICIALIZA PROVAVEL PROBLEMA NA PLACA DE VIDEO.N</t>
  </si>
  <si>
    <t>13/02/2023 10:18:35</t>
  </si>
  <si>
    <t>15/02/2023 15:18:35</t>
  </si>
  <si>
    <t>SOBR-004920 (1)  OV  1715673  saiu 16/02/2023  == &gt; &gt;       CHAMADO PREVENTIVO PARA TROCA DA BATERIA DO TECLADO CRIPTOGRÁFICO</t>
  </si>
  <si>
    <t>1362.91</t>
  </si>
  <si>
    <t>SAA-IPUBI</t>
  </si>
  <si>
    <t>13/02/2023 10:18:38</t>
  </si>
  <si>
    <t>546-( I ) NOTAS ENROSCADAS (DISPENSADORA DE CEDULAS)             577-( E ) ERRO NO SENSOR DE BOCAL (DISPENSADORA DE CEDULAS)925-FALHA COMUNICACAO TRANSACAO MF DE VERIF/TROCA CHAVE (DISPENSADORA DE CEDULAS)                  N</t>
  </si>
  <si>
    <t>13/02/2023 09:55:05</t>
  </si>
  <si>
    <t>DINHEIRO PRESON</t>
  </si>
  <si>
    <t>CONSTANTES ATOLAMENTOS NO SENSOR DE DUPLA DETECCAO.N</t>
  </si>
  <si>
    <t>8889.02</t>
  </si>
  <si>
    <t>SOP-PETROLINA</t>
  </si>
  <si>
    <t>LEITOR BIOMETRICO DO CLIENTE DANIFICADO.N</t>
  </si>
  <si>
    <t>13/02/2023 10:01:57</t>
  </si>
  <si>
    <t>COMPUTADOR NAO ESTA LIGANDO.                                     DEMANDA URGENTE DEVIDO A DOIS TERMINAIS ESTAREM INOPERANTES NOATENDIMENTO.                                                                                       N</t>
  </si>
  <si>
    <t>13/02/2023 10:08:24</t>
  </si>
  <si>
    <t>15/02/2023 15:08:24</t>
  </si>
  <si>
    <t>TERMINAL COM MENSAGEM DE ERRO NA FECHADURA, INDISPONIVEL PARA SAQUE E DEPOSITON</t>
  </si>
  <si>
    <t>2388.91</t>
  </si>
  <si>
    <t>SAA-PANELAS</t>
  </si>
  <si>
    <t>TERMINAL FOI REMANEJADO DE OUTRO PREFIXO, POSSUINDO APENAS 01 CHAVE DO COFRE PARA TERCEIRIZACAO, SOLICITAMOS TROCA DA FECHADURA.N</t>
  </si>
  <si>
    <t>Disparos intermitente Móvel 203. Favor verificar.</t>
  </si>
  <si>
    <t>Com Leo em 15/02/2023  == &gt; &gt;     NÃO ESTÁ SEGURANDO OS EQUIPAMENTOS EM QUEDA DE ENERGIA E APITANDO</t>
  </si>
  <si>
    <t>câmera da SAA_1 está com posicionamento incorreto.</t>
  </si>
  <si>
    <t>Partição 01 zona 19</t>
  </si>
  <si>
    <t>13/02/2023 08:30:45</t>
  </si>
  <si>
    <t>SOBR-004476  (1)  OV  1714798   saiu  15/02/2023   == &gt; &gt;      Porta detectora de metais não liga ao ser acionada. risco de interrupção do atendimento ao público.</t>
  </si>
  <si>
    <t>13/02/2023 08:23:18</t>
  </si>
  <si>
    <t>Central inoperante. Não completa nenhum tipo de chamada e estamos sem acesso remoto.</t>
  </si>
  <si>
    <t>13/02/2023 08:16:14</t>
  </si>
  <si>
    <t>C1</t>
  </si>
  <si>
    <t>13/02/2023 17:00:00</t>
  </si>
  <si>
    <t xml:space="preserve">Falha no DVR_DH-XVR7816S-4KL-X-LP DVR-2 onde encontra-se imagens de partição críticas  </t>
  </si>
  <si>
    <t>828, 838, 844, TAA INDISP P/SAQUE E DEPOSITO/CASSETE C INOPER/INDISP/72672/13/PROC/PRES/SOP-AGAM.MAGALHAES/PE / 41 996852011</t>
  </si>
  <si>
    <t>4844.53</t>
  </si>
  <si>
    <t>SOP-AGAM.MAGALHAES</t>
  </si>
  <si>
    <t>13/02/2023 07:50:55</t>
  </si>
  <si>
    <t>13/02/2023 09:30:00</t>
  </si>
  <si>
    <t>Falha geral da comunicação alarme</t>
  </si>
  <si>
    <t>12/02/2023 16:30:32</t>
  </si>
  <si>
    <t>BATERIA BAIXA SENSOR 203 MÓVEL.</t>
  </si>
  <si>
    <t>12/02/2023 16:15:28</t>
  </si>
  <si>
    <t>22/02/2023 15:35:00</t>
  </si>
  <si>
    <t>Falha de energia intermitente do alarme.</t>
  </si>
  <si>
    <t>Defeito: Disparos indevido na part. 01 zona 11 corredor interno.</t>
  </si>
  <si>
    <t>12/02/2023 12:30:40</t>
  </si>
  <si>
    <t>Com Francisco em 15/02/2023  == &gt; &gt;      Acionador de pânico móvel nº 204 sem sinal, provável bateria baixa. Sugerimos que além deste, realize preventivamente a substituição da bateria de todos os acionadores móveis</t>
  </si>
  <si>
    <t>12/02/2023 12:15:41</t>
  </si>
  <si>
    <t>Acionador de pânico móvel nº 203, sem sinal, provável bateria baixa. Sugerimos que além deste, realize preventivamente a substituição da bateria de todos os acionadores móveis</t>
  </si>
  <si>
    <t>Acionador de pânico móvel nº 204 sem sinal, provável bateria baixa. Sugerimos que além deste, realize preventivamente a substituição da bateria de todos os acionadores móveis</t>
  </si>
  <si>
    <t>Acionador de pânico móvel nº 205 sem sinal, provável bateria baixa. Sugerimos que além deste, realize preventivamente a substituição da bateria de todos os acionadores móveis.</t>
  </si>
  <si>
    <t>Acionador de pânico móvel nº 202 sem sinal, provável bateria baixa. Sugerimos que além deste, realize preventivamente a substituição da bateria de todos os acionadores móveis</t>
  </si>
  <si>
    <t>Acionador de pânico móvel nº 205 sem sinal, provável bateria baixa. Sugerimos que além deste, realize preventivamente a substituição da bateria de todos os acionadores móveis</t>
  </si>
  <si>
    <t>Defeito: Disparos indevido na part.02 zona  5 sala online.</t>
  </si>
  <si>
    <t>Verificado em pacotes de dados que o disparos e mascaramento em questão está ocorrendo na P1 Z4, portando no cadastro a Z4 esta cadastrada na P4. Solicitado O.S.</t>
  </si>
  <si>
    <t>Disparos intermitente Z7.</t>
  </si>
  <si>
    <t>Disparos e mascaramento de sensor intermitente Z2.</t>
  </si>
  <si>
    <t>Disparo de alarme sem causa aparente Partição 1 Zona 24 (ALMOXARIFADO).</t>
  </si>
  <si>
    <t>Partição 01 zona 14</t>
  </si>
  <si>
    <t>Câmera da tesouraria fora do enquadramento dificultando o monitoramento efetivo, no caso a câmera precisa ser reposicionada ou acrescentar outra no ambiente.</t>
  </si>
  <si>
    <t>12/02/2023 10:15:22</t>
  </si>
  <si>
    <t>12/02/2023 10:01:20</t>
  </si>
  <si>
    <t>13/02/2023 10:01:21</t>
  </si>
  <si>
    <t>12/02/2023 10:00:58</t>
  </si>
  <si>
    <t>13/02/2023 10:00:58</t>
  </si>
  <si>
    <t>12/02/2023 10:00:48</t>
  </si>
  <si>
    <t>13/02/2023 10:00:48</t>
  </si>
  <si>
    <t>Vence em 17/02/2023  11:00  SOBR-006565 (1)  OV 1714950  saiu  15/02/2023   Chamado de Instalação 9483056.    == &gt; &gt;     Câmera da tesouraria fora do enquadramento dificultando o monitoramento efetivo, no caso a câmera precisa ser reposicionada ou acrescentar outra no ambiente.</t>
  </si>
  <si>
    <t>12/02/2023 09:46:27</t>
  </si>
  <si>
    <t>13/02/2023 09:46:27</t>
  </si>
  <si>
    <t>12/02/2023 09:46:22</t>
  </si>
  <si>
    <t>13/02/2023 09:46:22</t>
  </si>
  <si>
    <t>partição 01 zona 17 alarme intermitente</t>
  </si>
  <si>
    <t>12/02/2023 09:45:27</t>
  </si>
  <si>
    <t>Sem conexão das imagens no DVR 2 (NVR).</t>
  </si>
  <si>
    <t>12/02/2023 09:01:36</t>
  </si>
  <si>
    <t>13/02/2023 09:01:36</t>
  </si>
  <si>
    <t>FALHA GERAL DA COMUNICAÇÃO ALARME - REGRA 541 ALARME_INTRUSAO 10/02/23 18:30 3349903971   SALA ONLINE.</t>
  </si>
  <si>
    <t>12/02/2023 08:45:23</t>
  </si>
  <si>
    <t>Defeito:  ALARME TAMPER TECLADO PRINCIPAL (VIAWEB-032).</t>
  </si>
  <si>
    <t>APOS LONGO PERIODO DESLIGADO, A CPU AO SER LIGADA, PASSA PELA    BIOS, CARREGA O S.O, MAS AO TENTARMOS LOGAR ELE NAO ACEITA A SE-NHA DE NENHUM FUNCIONARIO E APARENTEMENTE ESTA CONECTADA A REDE. PROVAVEL REINSTALACAO DE MATRIZ.  N</t>
  </si>
  <si>
    <t>4845.21</t>
  </si>
  <si>
    <t>SOP-FAB-2.COM A R</t>
  </si>
  <si>
    <t>MODULO DE PAGAMENTO COM PROBLEMAN</t>
  </si>
  <si>
    <t>TERMINAL INOPERANTE, PROBLEMAS NO MODULO PAGADORN</t>
  </si>
  <si>
    <t>4844.03</t>
  </si>
  <si>
    <t>SOP-SETE DE SETEMBRO</t>
  </si>
  <si>
    <t>GAVETA 2 SEM FUNCIONARN</t>
  </si>
  <si>
    <t>EQPT-042727</t>
  </si>
  <si>
    <t>T-10 IMPRESSORA LASER MONOCROMATICA MICR DUPLEX HP P2055DN 33 PPM</t>
  </si>
  <si>
    <t>Controle de acionamento da PGDM está sem funcionamento, solicitamos com urgência envio de novo controle visto que tem prejudicado o atendimento na agência.</t>
  </si>
  <si>
    <t>AO LIGARMOS O COMPUTADOR APARECE A MENSAGEM: "REBOOT AND SELECT  PROPER BOOT DEVICE FOR INSERT BOOT MEDIA IN SELECTED BOOT DEVICEAND PRESS A KEY" COMPUTADOR NAO ESTA DANDO BOOT PELO DISCO R­GIDOE PEDE DISCO DE BOOT PARA INICIAR.N</t>
  </si>
  <si>
    <t>Instalação de gabinete estruturado 16 zonas geração 3, ref ao chamado de manut corretiva 9386321.</t>
  </si>
  <si>
    <t>Disparos indevidos pânico fixo P1 Z24. Necessita de intervenção técnica.</t>
  </si>
  <si>
    <t>TECLADO DE FUNCAO LADO DIREITO INOPERANTE INVIABILIZANDO OPERACIEN</t>
  </si>
  <si>
    <t>4844.73</t>
  </si>
  <si>
    <t>SOP ESTILO RECIFE</t>
  </si>
  <si>
    <t>EQUIPAMENTO NOVO , NAO ESTA SEGURANDO CARGA E EMITINDO SONS DE ALERTA.</t>
  </si>
  <si>
    <t>AO LIGAR SOA UM BIP INTERMITENTE E NAO SEGUE PARA ABRIR O TERMINAL.N</t>
  </si>
  <si>
    <t>PROBLEMAS NA ENTREGA DO DINHEIRO. O NUMERARIO NAO © APRESENTADO  NORMALMENTE FICANDO CEDULAS RETIDAS.N</t>
  </si>
  <si>
    <t>NOTEBOOK NAO INICIALIZA, DANDO UM BIP LONGO NO INICIO E          5 BIPS CURTOS DEPOIS.N</t>
  </si>
  <si>
    <t>TERMINAL NAO REALIZA SAQUE NEM DEPOSITO.N</t>
  </si>
  <si>
    <t>PROBLEMA NA IMPRESSORA DE CHEQUESN</t>
  </si>
  <si>
    <t>TUNEL DO MODULO DEPOSITARIO BLOQUEADO. FALHA DURANTE A REJEICAO. NOTAS PRESAS.N</t>
  </si>
  <si>
    <t>CASSETE A NAO TRAVA.N</t>
  </si>
  <si>
    <t>609-( I ) PODE HAVER CEDULAS PRESAS NO MECANISMO (DISPENSADORA DE CEDULAS)N</t>
  </si>
  <si>
    <t>CÂMERA ESTÁ PENDURADA. PROVAVELMENTE FOI VANDALIZADA</t>
  </si>
  <si>
    <t>IMPRESSORA DE RECIBO INOPERANTEN</t>
  </si>
  <si>
    <t>Alarme apresentando falha de autenticação da central.</t>
  </si>
  <si>
    <t>CORREIAS EXPOSTAS NO COMPARTIMENTO DE ENTREGA DE CEDULAS AO CLIENTE. PROVAVELMENTE CEDULAS PRESAS E CLIENTE PUXOU DANIFICANDO.N</t>
  </si>
  <si>
    <t>PARTIÇÃO 05 - ZONA 03 COM DISPAROS INDEVIDOS.</t>
  </si>
  <si>
    <t>Com Leo em 15/02/2023  == &gt; &gt;     Disparos indevidos sem causa aparente P01 / Z13.</t>
  </si>
  <si>
    <t>14/02/2023 08:45:45</t>
  </si>
  <si>
    <t>PARTIÇÃO 01 - ZONA 12 DISPAROS INDEVIDOS.</t>
  </si>
  <si>
    <t>14/02/2023 08:31:40</t>
  </si>
  <si>
    <t>406, 407, 408, 409, 473, 702, 990, TAA COM SISTEMA ENTINTAMENTO ARMADO/SIRENE DISPARADA/72763/13/PROC/PRES/SOP-AG / 41 996852011</t>
  </si>
  <si>
    <t>14/02/2023 08:03:17</t>
  </si>
  <si>
    <t>FALHA GERAL DA COMUNICAÇÃO ALARME - RECORRENTE - REGRA 522.  Srª NADIA GRACIELLE TORRES UCHOA ciente.</t>
  </si>
  <si>
    <t xml:space="preserve">Defeito: Problema na sirene .   Gerente MATHEUS LUIZ COSTA RIBEIRO ciente.   </t>
  </si>
  <si>
    <t>Falha de comunicação do alarme.</t>
  </si>
  <si>
    <t>Solicitação de ATOS-000122 para ATIVACAO DE RAMAL DIGITAL (PVV) NA CENTRAL DE ALARME</t>
  </si>
  <si>
    <t>Em substituição à OS 8869766, de manutenção corretiva, aberta pelo cliente para: "Solicitamos realização de orçamento e relatório fotográfico para infraestrutura de 16 câmeras. Os vinculada a modernização do sistema CFVT.</t>
  </si>
  <si>
    <t xml:space="preserve"> INSTALAÇÃO DE CÂMERAS APÓS REFORMA DA AGÊNCIA.</t>
  </si>
  <si>
    <t xml:space="preserve"> Instalação de uma câmera frente ao cofre.   </t>
  </si>
  <si>
    <t>06/01/2023 11:30:43</t>
  </si>
  <si>
    <t>06/01/2023 11:28:03</t>
  </si>
  <si>
    <t>06/01/2023 11:27:54</t>
  </si>
  <si>
    <t>06/01/2023 11:27:21</t>
  </si>
  <si>
    <t>SOBR-004910 (1)  OV  1713170  NF  91097  saiu  13/02/2023  == &gt; &gt;       DOSA - MANUTENÇÃO PREVENTIVA DO SISTEMA DE ALARME - 1º SEMESTRE/2023</t>
  </si>
  <si>
    <t>IMPRESSORA DESLIGANDO E COM EXCESSO DE ATOLAMENTO, OU COM MENSAGEM DE ATOLAMENTO SEM PAPEL ATOLADO.N</t>
  </si>
  <si>
    <t>27/01/2023 10:40:14</t>
  </si>
  <si>
    <t>27/01/2023 10:37:30</t>
  </si>
  <si>
    <t>30/01/2023 17:33:18</t>
  </si>
  <si>
    <t>08/02/2023 11:00:00</t>
  </si>
  <si>
    <t>22/02/2023 14:00:00</t>
  </si>
  <si>
    <t>TERMINAL COM ERRO RECICLADOR DE CEDULASN</t>
  </si>
  <si>
    <t>31/01/2023 13:57:08</t>
  </si>
  <si>
    <t>27/02/2023 17:00:00</t>
  </si>
  <si>
    <t>31/01/2023 10:45:51</t>
  </si>
  <si>
    <t>31/01/2023 10:32:25</t>
  </si>
  <si>
    <t>08/02/2023 15:30:00</t>
  </si>
  <si>
    <t>02/02/2023 17:29:17</t>
  </si>
  <si>
    <t>02/02/2023 17:19:49</t>
  </si>
  <si>
    <t>02/02/2023 13:15:30</t>
  </si>
  <si>
    <t>01/02/2023 10:41:25</t>
  </si>
  <si>
    <t>01/02/2023 10:34:08</t>
  </si>
  <si>
    <t>01/02/2023 10:22:20</t>
  </si>
  <si>
    <t>01/02/2023 10:00:12</t>
  </si>
  <si>
    <t>02/02/2023 09:55:08</t>
  </si>
  <si>
    <t>02/02/2023 09:35:36</t>
  </si>
  <si>
    <t>01/02/2023 09:02:43</t>
  </si>
  <si>
    <t>02/02/2023 09:02:43</t>
  </si>
  <si>
    <t>01/02/2023 08:59:55</t>
  </si>
  <si>
    <t>02/02/2023 08:59:55</t>
  </si>
  <si>
    <t>01/02/2023 08:49:51</t>
  </si>
  <si>
    <t>02/02/2023 08:49:51</t>
  </si>
  <si>
    <t>01/02/2023 08:49:02</t>
  </si>
  <si>
    <t>01/02/2023 08:45:05</t>
  </si>
  <si>
    <t>01/02/2023 08:36:45</t>
  </si>
  <si>
    <t>02/02/2023 08:36:45</t>
  </si>
  <si>
    <t>01/02/2023 08:21:20</t>
  </si>
  <si>
    <t>02/02/2023 08:21:20</t>
  </si>
  <si>
    <t>01/02/2023 07:57:19</t>
  </si>
  <si>
    <t>01/02/2023 07:57:15</t>
  </si>
  <si>
    <t>01/02/2023 07:20:24</t>
  </si>
  <si>
    <t>01/02/2023 07:19:48</t>
  </si>
  <si>
    <t>01/02/2023 07:19:44</t>
  </si>
  <si>
    <t>01/02/2023 07:17:44</t>
  </si>
  <si>
    <t>01/02/2023 07:05:50</t>
  </si>
  <si>
    <t>02/02/2023 07:05:50</t>
  </si>
  <si>
    <t>01/02/2023 07:02:49</t>
  </si>
  <si>
    <t>02/02/2023 07:02:49</t>
  </si>
  <si>
    <t>01/02/2023 06:52:03</t>
  </si>
  <si>
    <t>02/02/2023 06:52:03</t>
  </si>
  <si>
    <t>01/02/2023 06:51:50</t>
  </si>
  <si>
    <t>02/02/2023 06:51:50</t>
  </si>
  <si>
    <t>01/02/2023 06:46:40</t>
  </si>
  <si>
    <t>02/02/2023 06:46:41</t>
  </si>
  <si>
    <t>01/02/2023 06:44:21</t>
  </si>
  <si>
    <t>02/02/2023 06:44:22</t>
  </si>
  <si>
    <t>01/02/2023 06:42:01</t>
  </si>
  <si>
    <t>02/02/2023 06:42:01</t>
  </si>
  <si>
    <t>TAA INDIPONIVEL PARA SAQUE. CEDULAS PRESAS.N</t>
  </si>
  <si>
    <t xml:space="preserve">SOBR-005138 (1)  OV  1706826  == &gt; &gt;     problema na receptora da central .  </t>
  </si>
  <si>
    <t>02/02/2023 15:00:35</t>
  </si>
  <si>
    <t>23/02/2023 15:35:00</t>
  </si>
  <si>
    <t>02/02/2023 14:02:51</t>
  </si>
  <si>
    <t>02/02/2023 13:32:06</t>
  </si>
  <si>
    <t>02/02/2023 13:16:05</t>
  </si>
  <si>
    <t>17/02/2023 14:00:00</t>
  </si>
  <si>
    <t>03/02/2023 15:17:09</t>
  </si>
  <si>
    <t>08/02/2023 11:17:09</t>
  </si>
  <si>
    <t>03/02/2023 13:05:00</t>
  </si>
  <si>
    <t>20/03/2023 18:00:00</t>
  </si>
  <si>
    <t>03/02/2023 08:12:56</t>
  </si>
  <si>
    <t>06/02/2023 17:05:27</t>
  </si>
  <si>
    <t>13/02/2023 17:30:00</t>
  </si>
  <si>
    <t xml:space="preserve">Disparos P2 - SL_ON_LINE   Z7 - SALA ONLINE   </t>
  </si>
  <si>
    <t>22/02/2023 15:00:00</t>
  </si>
  <si>
    <t>PARTIÇÃO 02 - ZONA 07 COM DISPAROS INDEVIDOS.</t>
  </si>
  <si>
    <t>07/02/2023 15:51:29</t>
  </si>
  <si>
    <t>TAA INS PARA SAQUE E DEPOSITO, PODE HAVER CEDULAS PRESAS.N</t>
  </si>
  <si>
    <t>08/02/2023 18:20:44</t>
  </si>
  <si>
    <t>08/02/2023 13:47:03</t>
  </si>
  <si>
    <t>08/02/2023 13:50:51</t>
  </si>
  <si>
    <t>08/02/2023 08:16:29</t>
  </si>
  <si>
    <t>09/02/2023 16:29:08</t>
  </si>
  <si>
    <t>09/02/2023 16:15:14</t>
  </si>
  <si>
    <t>09/02/2023 12:15:28</t>
  </si>
  <si>
    <t>09/02/2023 12:14:00</t>
  </si>
  <si>
    <t>09/02/2023 12:01:13</t>
  </si>
  <si>
    <t>09/02/2023 11:46:07</t>
  </si>
  <si>
    <t>09/02/2023 11:41:14</t>
  </si>
  <si>
    <t>09/02/2023 10:22:38</t>
  </si>
  <si>
    <t>09/02/2023 10:22:37</t>
  </si>
  <si>
    <t>09/02/2023 09:30:42</t>
  </si>
  <si>
    <t>09/02/2023 08:01:29</t>
  </si>
  <si>
    <t>10/02/2023 16:45:33</t>
  </si>
  <si>
    <t>10/02/2023 16:11:13</t>
  </si>
  <si>
    <t>10/02/2023 15:54:14</t>
  </si>
  <si>
    <t>10/02/2023 16:15:28</t>
  </si>
  <si>
    <t>10/02/2023 15:46:05</t>
  </si>
  <si>
    <t>10/02/2023 15:14:00</t>
  </si>
  <si>
    <t>10/02/2023 15:02:49</t>
  </si>
  <si>
    <t>10/02/2023 14:30:37</t>
  </si>
  <si>
    <t>10/02/2023 14:09:50</t>
  </si>
  <si>
    <t>10/02/2023 14:09:48</t>
  </si>
  <si>
    <t>10/02/2023 14:09:37</t>
  </si>
  <si>
    <t>10/02/2023 14:09:30</t>
  </si>
  <si>
    <t>TERMINAL NAO LIGA.N</t>
  </si>
  <si>
    <t>10/02/2023 11:50:30</t>
  </si>
  <si>
    <t>10/02/2023 11:59:05</t>
  </si>
  <si>
    <t>10/02/2023 11:47:32</t>
  </si>
  <si>
    <t>10/02/2023 11:30:23</t>
  </si>
  <si>
    <t>10/02/2023 10:35:54</t>
  </si>
  <si>
    <t>13/02/2023 18:22:51</t>
  </si>
  <si>
    <t>13/02/2023 18:14:56</t>
  </si>
  <si>
    <t>13/02/2023 18:09:17</t>
  </si>
  <si>
    <t>13/02/2023 18:01:02</t>
  </si>
  <si>
    <t>13/02/2023 18:01:01</t>
  </si>
  <si>
    <t>13/02/2023 17:58:16</t>
  </si>
  <si>
    <t>13/02/2023 17:48:14</t>
  </si>
  <si>
    <t>13/02/2023 17:46:03</t>
  </si>
  <si>
    <t>13/02/2023 17:41:01</t>
  </si>
  <si>
    <t>14/02/2023 17:54:36</t>
  </si>
  <si>
    <t>13/02/2023 17:30:14</t>
  </si>
  <si>
    <t>14/02/2023 17:54:25</t>
  </si>
  <si>
    <t>13/02/2023 17:30:12</t>
  </si>
  <si>
    <t>13/02/2023 17:27:37</t>
  </si>
  <si>
    <t>14/02/2023 17:38:47</t>
  </si>
  <si>
    <t>13/02/2023 17:25:23</t>
  </si>
  <si>
    <t>14/02/2023 17:38:45</t>
  </si>
  <si>
    <t>13/02/2023 16:26:56</t>
  </si>
  <si>
    <t>17/02/2023 23:59:00</t>
  </si>
  <si>
    <t>DODR - SUBSTITUIÇÃO DA BATERIA</t>
  </si>
  <si>
    <t>13/02/2023 15:53:36</t>
  </si>
  <si>
    <t>13/02/2023 15:17:08</t>
  </si>
  <si>
    <t>13/02/2023 14:45:42</t>
  </si>
  <si>
    <t>13/02/2023 14:29:39</t>
  </si>
  <si>
    <t>16/02/2023 10:29:39</t>
  </si>
  <si>
    <t>13/02/2023 14:23:00</t>
  </si>
  <si>
    <t>22/02/2023 12:30:00</t>
  </si>
  <si>
    <t>13/02/2023 13:45:38</t>
  </si>
  <si>
    <t>13/02/2023 13:40:56</t>
  </si>
  <si>
    <t>13/02/2023 13:09:39</t>
  </si>
  <si>
    <t>13/02/2023 12:45:32</t>
  </si>
  <si>
    <t>13/02/2023 12:56:38</t>
  </si>
  <si>
    <t>15/02/2023 17:56:38</t>
  </si>
  <si>
    <t>SKIMMING DETECTADON</t>
  </si>
  <si>
    <t>13/02/2023 12:33:29</t>
  </si>
  <si>
    <t>13/02/2023 12:23:09</t>
  </si>
  <si>
    <t>13/02/2023 12:25:21</t>
  </si>
  <si>
    <t>14/02/2023 12:25:21</t>
  </si>
  <si>
    <t>13/02/2023 12:00:24</t>
  </si>
  <si>
    <t>13/02/2023 12:15:36</t>
  </si>
  <si>
    <t>22/02/2023 11:00:00</t>
  </si>
  <si>
    <t>13/02/2023 11:44:22</t>
  </si>
  <si>
    <t>13/02/2023 11:34:35</t>
  </si>
  <si>
    <t>13/02/2023 10:24:42</t>
  </si>
  <si>
    <t>15/02/2023 15:24:42</t>
  </si>
  <si>
    <t>13/02/2023 09:57:45</t>
  </si>
  <si>
    <t>13/02/2023 10:07:11</t>
  </si>
  <si>
    <t>13/02/2023 09:52:09</t>
  </si>
  <si>
    <t>13/02/2023 09:36:37</t>
  </si>
  <si>
    <t>13/02/2023 10:00:00</t>
  </si>
  <si>
    <t>13/02/2023 09:46:17</t>
  </si>
  <si>
    <t>NÃO ESTÁ SEGURANDO OS EQUIPAMENTOS EM QUEDA DE ENERGIA E APITANDO</t>
  </si>
  <si>
    <t>13/02/2023 09:14:21</t>
  </si>
  <si>
    <t>13/02/2023 09:00:25</t>
  </si>
  <si>
    <t>14/02/2023 09:00:25</t>
  </si>
  <si>
    <t>Porta detectora de metais não liga ao ser acionada. risco de interrupção do atendimento ao público.</t>
  </si>
  <si>
    <t>12/02/2023 12:31:00</t>
  </si>
  <si>
    <t>12/02/2023 12:01:51</t>
  </si>
  <si>
    <t>12/02/2023 12:01:24</t>
  </si>
  <si>
    <t>12/02/2023 11:16:15</t>
  </si>
  <si>
    <t>12/02/2023 11:15:54</t>
  </si>
  <si>
    <t>12/02/2023 11:00:49</t>
  </si>
  <si>
    <t>12/02/2023 10:46:35</t>
  </si>
  <si>
    <t>Troca de piso da agência com inicio na sexta feira 10/02/2023 e conclusão 12/02/2023.</t>
  </si>
  <si>
    <t>14/02/2023 20:14:00</t>
  </si>
  <si>
    <t>EQUIPAMENTO PRECISA DE REPARO.                                   BOLETIM DE OCORR¼NCIA NÌ. 23I0319021654N</t>
  </si>
  <si>
    <t>14/02/2023 17:51:26</t>
  </si>
  <si>
    <t>LEITORA DE CARTAO COM DEFEITO.N</t>
  </si>
  <si>
    <t>14/02/2023 17:26:27</t>
  </si>
  <si>
    <t xml:space="preserve"> Necessário fonte sobr-6565 ou mesmo a atos-6565 para adequação da câmera do cofre e demais ambientes.</t>
  </si>
  <si>
    <t>14/02/2023 17:35:37</t>
  </si>
  <si>
    <t>Existe uma câmera com a nomenclatura de ATEND_1 sem sinal.</t>
  </si>
  <si>
    <t>14/02/2023 17:30:51</t>
  </si>
  <si>
    <t>Solicito vistoria técnica Partição:01 Zona:10 SUPORTE.</t>
  </si>
  <si>
    <t>14/02/2023 17:30:40</t>
  </si>
  <si>
    <t>TAA NAO LIGA                                                     201-TERMINAL SEM RESPOSTA (ERROS DO SISTEMA, INCLUIDO O SOFTWARE)N</t>
  </si>
  <si>
    <t>14/02/2023 16:47:53</t>
  </si>
  <si>
    <t>ERRO NA ESTEIRA DO DISPENSER/ERRO ESTAGIO LIBERACAO DE CEDULA P/CASSETE REJEICAO/ERRO CONTAGEM DE NOTAS-CASSETE C/ERRO CONTAGEM DENOTAS-CASSETE B/ERRO CONTAGEM DE NOTAS-CASSETE A/FALHA DE ALIMENTACAO DO CASSETE D                N</t>
  </si>
  <si>
    <t>14/02/2023 16:29:39</t>
  </si>
  <si>
    <t>DVR sem conexão de imagens para o monitoramento.</t>
  </si>
  <si>
    <t>14/02/2023 16:45:47</t>
  </si>
  <si>
    <t>TERMINAL INDISPONIVEL PARA CHEQUES (IMPRESSORA DE FORMULARIOS    -FOLHA IMPRESSA NAO CHEGOU NO PRESENTER (NAO CONSEGUE LER DOCUMENTO - 5 ERROS SEGUIDOS                                                      N</t>
  </si>
  <si>
    <t>14/02/2023 16:13:59</t>
  </si>
  <si>
    <t>MODULO EM ESTADO DE ERRO (MODULO RECICLADOR DE C©DULAS)          DISPOSITIVO PRESENTE E LIGADO MAS INOPERANTE DEVIDO A UM ERRO DEHARDWARE (MODULO RECICLADOR DE C©DULAS)                                                            N</t>
  </si>
  <si>
    <t>14/02/2023 15:45:21</t>
  </si>
  <si>
    <t>TERMINAL INDISPONIVEL PARA SAQUE E DEPOSITOSN</t>
  </si>
  <si>
    <t>14/02/2023 15:54:21</t>
  </si>
  <si>
    <t>SENSORES DE ALARME ATIVADOS. TAA INDISPON­VEL PARA SAQUEN</t>
  </si>
  <si>
    <t>14/02/2023 15:51:44</t>
  </si>
  <si>
    <t>MODULO EM ESTADO DE ERRO/PODEM HAVER CEDULAS PRESAS NO MECANISMON</t>
  </si>
  <si>
    <t>14/02/2023 15:50:13</t>
  </si>
  <si>
    <t>NOTEBOOK ENAO ESTA LIGANDO.                                      OBS.: O NOTEBOOK ESTA SEM CARREGADOR.N</t>
  </si>
  <si>
    <t>14/02/2023 15:49:45</t>
  </si>
  <si>
    <t>TERMINAL NAO RECONHECE CASSETE A. GRANDE REJEICAO NO CASSETE C,  COLOCANDO C©DULAS DE VALORES DIFERENTES NOS CASSETES C E D (20 NODE 50 E 50 NO DE 100)                                                                              N</t>
  </si>
  <si>
    <t>2326.91</t>
  </si>
  <si>
    <t>SAA-MORENO</t>
  </si>
  <si>
    <t>14/02/2023 15:23:25</t>
  </si>
  <si>
    <t>TMF NAO INICIALIZAN</t>
  </si>
  <si>
    <t>14/02/2023 15:20:17</t>
  </si>
  <si>
    <t>FALHA DE ALIMENTACAO CASSETE C, INDISPONIVEL PARA SAQUEN</t>
  </si>
  <si>
    <t>14/02/2023 15:20:37</t>
  </si>
  <si>
    <t>Defeito: RASTREADORES 3781, 3823, 5562, 5596, 5625, 7195 e 8180 com BATERIA BAIXA. Gerente:VINICIO CARDOSO F9537570. Telefone:(87) 3762-9998. E-mail:psv9704@bb.com.br</t>
  </si>
  <si>
    <t>14/02/2023 15:30:45</t>
  </si>
  <si>
    <t>TERMINAL INOPERANTE - BIOMETRIAN</t>
  </si>
  <si>
    <t>14/02/2023 15:00:37</t>
  </si>
  <si>
    <t>IMPRESSORA DE CHEQUES NAO ESTA PUXANDO FOLHAS DA GAVETA 01N</t>
  </si>
  <si>
    <t>14/02/2023 14:17:21</t>
  </si>
  <si>
    <t>16/02/2023 16:17:21</t>
  </si>
  <si>
    <t>14/02/2023 13:50:37</t>
  </si>
  <si>
    <t>17/02/2023 09:50:37</t>
  </si>
  <si>
    <t>14/02/2023 13:49:58</t>
  </si>
  <si>
    <t>17/02/2023 09:49:58</t>
  </si>
  <si>
    <t>PROBLEMA COM O SENSOR DE PORTA SUPERIORN</t>
  </si>
  <si>
    <t>14/02/2023 13:53:50</t>
  </si>
  <si>
    <t>MASCARAMENTO SENSOR   14/02/2023 13:37:00   1 - AGÊNCIA   12 - COPA</t>
  </si>
  <si>
    <t>14/02/2023 14:15:43</t>
  </si>
  <si>
    <t>CASSETE B QUEBRADO.N</t>
  </si>
  <si>
    <t>14/02/2023 13:17:40</t>
  </si>
  <si>
    <t>14/02/2023 13:30:36</t>
  </si>
  <si>
    <t>14/02/2023 12:57:51</t>
  </si>
  <si>
    <t>14/02/2023 12:49:11</t>
  </si>
  <si>
    <t>14/02/2023 12:46:18</t>
  </si>
  <si>
    <t>16/02/2023 14:46:18</t>
  </si>
  <si>
    <t>14/02/2023 13:05:00</t>
  </si>
  <si>
    <t>23/02/2023 11:35:00</t>
  </si>
  <si>
    <t>14/02/2023 12:45:33</t>
  </si>
  <si>
    <t>29/03/2023 18:00:00</t>
  </si>
  <si>
    <t>14/02/2023 12:31:07</t>
  </si>
  <si>
    <t>14/02/2023 11:18:16</t>
  </si>
  <si>
    <t>14/02/2023 11:32:05</t>
  </si>
  <si>
    <t>23/02/2023 15:00:00</t>
  </si>
  <si>
    <t>14/02/2023 11:11:05</t>
  </si>
  <si>
    <t>14/02/2023 10:52:01</t>
  </si>
  <si>
    <t>16/02/2023 15:52:01</t>
  </si>
  <si>
    <t>14/02/2023 10:38:19</t>
  </si>
  <si>
    <t>14/02/2023 10:27:19</t>
  </si>
  <si>
    <t>14/02/2023 10:27:15</t>
  </si>
  <si>
    <t>14/02/2023 10:28:20</t>
  </si>
  <si>
    <t>14/02/2023 10:23:20</t>
  </si>
  <si>
    <t>28/02/2023 17:30:00</t>
  </si>
  <si>
    <t>14/02/2023 09:28:56</t>
  </si>
  <si>
    <t>14/02/2023 08:55:00</t>
  </si>
  <si>
    <t>14/02/2023 09:15:30</t>
  </si>
  <si>
    <t>14/02/2023 08:01:28</t>
  </si>
  <si>
    <t>14/02/2023 08:00:35</t>
  </si>
  <si>
    <t>CPU NAO LIGAN</t>
  </si>
  <si>
    <t>15/02/2023 16:05:10</t>
  </si>
  <si>
    <t>22/02/2023 12:05:10</t>
  </si>
  <si>
    <t>PROBLEMA NA PLACA DE SENSORESN</t>
  </si>
  <si>
    <t>15/02/2023 15:33:18</t>
  </si>
  <si>
    <t>471-FALHA GERAL NO SISTEMA DE ENTINTAMENTO DO CASSETE E - MODULO DE PAGAMENTO INOPERANTE (SENSORES EXTERNOS)698-TERMINAL EM MANUTENCAO PARA ASSISTENCIA TECNICA (ERROS DO SISTEMA, INCLUIDO O SOFTWARE)        N</t>
  </si>
  <si>
    <t>1664.91</t>
  </si>
  <si>
    <t>SAA-BREJAO</t>
  </si>
  <si>
    <t>15/02/2023 15:17:27</t>
  </si>
  <si>
    <t>TERMINAL ESTA AMASSANDO AS C©DULAS DO CASSETE CN</t>
  </si>
  <si>
    <t>15/02/2023 14:48:25</t>
  </si>
  <si>
    <t>Manutenção Eventual</t>
  </si>
  <si>
    <t>EVENTUAL NOTEBOOK TIPO 02 - NOTEBOOK APRESENTA DEFEITO NA TELA (COM MANCHAS) E A POSITIVO RE-CUSOU O ATENDIMENTO EM GARANTIA.</t>
  </si>
  <si>
    <t>EQPT-087049</t>
  </si>
  <si>
    <t>T-10 NOTEBOOK ULTRAFINO POSITIVO</t>
  </si>
  <si>
    <t>EQSB-077775 (1)  OV 1716016  saiu  16/02/2023  == &gt; &gt;     COM ERROS, TRAVANDON</t>
  </si>
  <si>
    <t>23/02/2023 14:29:25</t>
  </si>
  <si>
    <t>TAA INOPERANTE PARA SAQUES: SISTEMA DE ENTINTAMENTO DOS CASSETES C E D NAO ARMADOS. JA FIZEMOS VARIAS CHECAGEM DOS DISPOSITIVOS,MAS O TAA NAO LIBERA PARA SAQUES.                                                                  N</t>
  </si>
  <si>
    <t>15/02/2023 14:34:36</t>
  </si>
  <si>
    <t>GAVETA C DILACERANDO CEDULAS E GAVETA D LANCANDO AS CEDULAS PARA O CASSETE EN</t>
  </si>
  <si>
    <t>15/02/2023 14:30:42</t>
  </si>
  <si>
    <t>Acrescentar um câmera na tesouraria.</t>
  </si>
  <si>
    <t>TERMINAL INOPERANTE. TECLADO CRIPTOGRAFICO INOPERANTE.N</t>
  </si>
  <si>
    <t>15/02/2023 14:10:16</t>
  </si>
  <si>
    <t>TERMINAL COM PROBLEMAS NA IMPRESSORA DE PAPELN</t>
  </si>
  <si>
    <t>15/02/2023 14:06:27</t>
  </si>
  <si>
    <t>FALHA NA REJEI¸AO - TAA INDISPONIVEL PARA SAQUESN</t>
  </si>
  <si>
    <t>15/02/2023 14:03:38</t>
  </si>
  <si>
    <t>TAA INOPERANTE PARA SAQUES: FALHA DE ALIMENTA¸AO CASSETE D, CASSETE D INDISPONIVEL PARA SAQUES. ENTRETANTO, O TERMINAL FICA INDIS-PONIVEL PARA SAQUES DE QUALQUER CEDULAS.                                                           N</t>
  </si>
  <si>
    <t>15/02/2023 13:58:03</t>
  </si>
  <si>
    <t>Acionador de pânico móvel nº 203   sem sinal, provável bateria baixa. Sugerimos que além deste, realize preventivamente a substituição da bateria de todos os acionadores móveis.</t>
  </si>
  <si>
    <t>16/02/2023 14:16:01</t>
  </si>
  <si>
    <t>22/02/2023 16:15:44</t>
  </si>
  <si>
    <t>no break sem segurar carga, deixando agência sem sistema, tendo em vista estar localizado na sala on line</t>
  </si>
  <si>
    <t>16/02/2023 14:35:15</t>
  </si>
  <si>
    <t>ainda aguardando resolução do problema. OS anterior não atendida.</t>
  </si>
  <si>
    <t>NOTE FEED CASSETE "C" COM DEFEITO. CASSETE "D" QUEBRADO.N</t>
  </si>
  <si>
    <t>0446.91</t>
  </si>
  <si>
    <t>SAA-TIMBAUBA</t>
  </si>
  <si>
    <t>15/02/2023 13:13:02</t>
  </si>
  <si>
    <t>FALHA NA LEITORA SMARTCARDN</t>
  </si>
  <si>
    <t>4924.01</t>
  </si>
  <si>
    <t>SOP-CARUARU</t>
  </si>
  <si>
    <t>15/02/2023 12:47:01</t>
  </si>
  <si>
    <t>TERMINAL INDISPON­VEL PARA SAQUE                                 POSS­VEL ENROSCON</t>
  </si>
  <si>
    <t>15/02/2023 12:44:41</t>
  </si>
  <si>
    <t>562-( I ) ERRO EXTRACAO DE NOTAS-CASSETE B (DISPENSADORA DE CEDUL609-( I ) PODE HAVER CEDULAS PRESAS NO MECANISMO (DISPENSADORA DEN</t>
  </si>
  <si>
    <t>15/02/2023 12:28:57</t>
  </si>
  <si>
    <t>Defeito: 36 - Pânico fixo sala de triagem, acionamento aleatório;  Gerente: VINICIO CARDOSO DE FARIAS F9537570;  E-mail: psv9704@bb.com.br;  Telefone: (87) 3762-9998.</t>
  </si>
  <si>
    <t>16/02/2023 12:31:21</t>
  </si>
  <si>
    <t>ENROSCO CONSTANTEN</t>
  </si>
  <si>
    <t>15/02/2023 12:14:17</t>
  </si>
  <si>
    <t>FALHA DE COMUNICACAO TRANSACAO MF / TERMINAL INDISPONIVEL PARA SAQUES...N</t>
  </si>
  <si>
    <t>15/02/2023 11:24:59</t>
  </si>
  <si>
    <t>868, NIVEL BATERIA BAIXO (TECLADO CRIPTOGRAFICO) / 81986964519</t>
  </si>
  <si>
    <t>15/02/2023 11:14:28</t>
  </si>
  <si>
    <t>C©DULA PRESA. INOPERANTE PARA SAQUE E DEPOSITON</t>
  </si>
  <si>
    <t>15/02/2023 11:29:49</t>
  </si>
  <si>
    <t>NAO ESTA INICIANDO O SISTEMA OPERACIONAL.N</t>
  </si>
  <si>
    <t>8240.00</t>
  </si>
  <si>
    <t>EMPRESA ZONA NORTE</t>
  </si>
  <si>
    <t>15/02/2023 11:12:22</t>
  </si>
  <si>
    <t>17/02/2023 16:12:22</t>
  </si>
  <si>
    <t>IMPRESSORA NAO FUNCIONA.N</t>
  </si>
  <si>
    <t>15/02/2023 10:44:39</t>
  </si>
  <si>
    <t>17/02/2023 12:44:39</t>
  </si>
  <si>
    <t>Câmera com imagem inlegivel</t>
  </si>
  <si>
    <t>15/02/2023 10:59:11</t>
  </si>
  <si>
    <t>16/02/2023 11:29:11</t>
  </si>
  <si>
    <t>PROBLEMAS NO MODULO PAGADOR, SISTEMA DE ENTINTAMENTO E SEGURANCA.N</t>
  </si>
  <si>
    <t>15/02/2023 10:29:29</t>
  </si>
  <si>
    <t>no break sem funcionar. não segura carga</t>
  </si>
  <si>
    <t>15/02/2023 10:50:00</t>
  </si>
  <si>
    <t>16/02/2023 11:20:00</t>
  </si>
  <si>
    <t>TERMINAL PARADO JA FAZ UM TEMPO PRECISO QUE ATENDAM LOGO POIS    OS FUNCIONARIOS DA RECEITA FEDERAL ESTAO ME LIGANDO.N</t>
  </si>
  <si>
    <t>15/02/2023 10:18:06</t>
  </si>
  <si>
    <t>COMPITADOR NAO FUNCIONA, PRECISAMOS DE ATENDIMENTO COM           URGENCIA.N</t>
  </si>
  <si>
    <t>15/02/2023 10:12:31</t>
  </si>
  <si>
    <t>17/02/2023 15:12:31</t>
  </si>
  <si>
    <t>Disparo de alarme sem causa aparente Partição 1 Zona 15 (SUPORTE 1° ANDAR).</t>
  </si>
  <si>
    <t>15/02/2023 10:31:42</t>
  </si>
  <si>
    <t xml:space="preserve">Defeito: Track 3581, apresentando bateria baixa.   Gerente: Giovany Sobreira (F5529219)  Tel.: (87) 3871-0668  E-mail: psv9705@bb.com.br  </t>
  </si>
  <si>
    <t>15/02/2023 10:31:11</t>
  </si>
  <si>
    <t>PROBLEMAS NO MODULO DEPOSITARION</t>
  </si>
  <si>
    <t>15/02/2023 10:08:30</t>
  </si>
  <si>
    <t>TERMINAL AMASSANDO C©DULAS E GERANDO CONTESTACIES DE DEPOSITON</t>
  </si>
  <si>
    <t>15/02/2023 10:07:02</t>
  </si>
  <si>
    <t>CASSETE C INDISPONIVELN</t>
  </si>
  <si>
    <t>15/02/2023 09:46:03</t>
  </si>
  <si>
    <t>DIVERSAS OCORRªNCIAS DE ATOLAMENTON</t>
  </si>
  <si>
    <t>15/02/2023 09:47:08</t>
  </si>
  <si>
    <t>Disparo de alarme sem causa aparente Partição 1 Zona 7 (ALMOXARIFADO).</t>
  </si>
  <si>
    <t>15/02/2023 09:45:47</t>
  </si>
  <si>
    <t xml:space="preserve">Vence  em 16/02/2023  == &gt; &gt;     Câmera da Tesouraria sem sinal  </t>
  </si>
  <si>
    <t>15/02/2023 09:31:34</t>
  </si>
  <si>
    <t>MODULO COM ENROSCO DE C©DULASN</t>
  </si>
  <si>
    <t>15/02/2023 09:02:16</t>
  </si>
  <si>
    <t>608-( I ) TERMINAL INDISPONIVEL PARA SAQUES (DISPENSADORA DE CEDULAS)585-( I ) ERRO NO SENSOR DE ALIMENTACAO (DISPENSADORA DE CEDULAS)                                  N</t>
  </si>
  <si>
    <t>15/02/2023 09:00:07</t>
  </si>
  <si>
    <t xml:space="preserve">Foi verificado em relatório sintético onde a partição P- 1 Z- 6 onde segue com recorrência, contudo foi realizado uma ordem de serviço para que a BBTS averigue o sensor acima relatado.   </t>
  </si>
  <si>
    <t>15/02/2023 09:16:04</t>
  </si>
  <si>
    <t>partição 01 zona 18</t>
  </si>
  <si>
    <t>15/02/2023 09:01:11</t>
  </si>
  <si>
    <t>CASETE D INOPERANTE DBU, TODO MODULO SEM FUNCIONAR DEVIDO CASETEN</t>
  </si>
  <si>
    <t>15/02/2023 08:30:32</t>
  </si>
  <si>
    <t>15/02/2023 09:30:00</t>
  </si>
  <si>
    <t>09/04/2021 10:13:34</t>
  </si>
  <si>
    <t>12/08/2021 19:29:08</t>
  </si>
  <si>
    <t>13/08/2021 09:28:46</t>
  </si>
  <si>
    <t>13/08/2021 09:28:30</t>
  </si>
  <si>
    <t>13/08/2021 09:28:29</t>
  </si>
  <si>
    <t>19/08/2021 11:43:25</t>
  </si>
  <si>
    <t>21/09/2021 13:10:31</t>
  </si>
  <si>
    <t>20/09/2021 13:10:29</t>
  </si>
  <si>
    <t>21/09/2021 13:10:29</t>
  </si>
  <si>
    <t>20/09/2021 13:10:28</t>
  </si>
  <si>
    <t>21/09/2021 13:10:28</t>
  </si>
  <si>
    <t>20/09/2021 13:10:24</t>
  </si>
  <si>
    <t>21/09/2021 13:10:21</t>
  </si>
  <si>
    <t>20/09/2021 13:10:18</t>
  </si>
  <si>
    <t>21/09/2021 13:10:18</t>
  </si>
  <si>
    <t>20/09/2021 13:10:17</t>
  </si>
  <si>
    <t>21/09/2021 13:10:17</t>
  </si>
  <si>
    <t>20/09/2021 13:10:16</t>
  </si>
  <si>
    <t>21/09/2021 13:10:16</t>
  </si>
  <si>
    <t>27/09/2021 19:27:00</t>
  </si>
  <si>
    <t>28/09/2021 19:27:00</t>
  </si>
  <si>
    <t>27/09/2021 19:17:07</t>
  </si>
  <si>
    <t>28/09/2021 19:17:07</t>
  </si>
  <si>
    <t>27/09/2021 19:16:09</t>
  </si>
  <si>
    <t>28/09/2021 19:16:09</t>
  </si>
  <si>
    <t>30/09/2021 20:34:28</t>
  </si>
  <si>
    <t>30/09/2021 20:34:20</t>
  </si>
  <si>
    <t>30/09/2021 20:34:17</t>
  </si>
  <si>
    <t>13/10/2021 12:54:13</t>
  </si>
  <si>
    <t>20/10/2021 16:17:01</t>
  </si>
  <si>
    <t>18/11/2021 17:21:30</t>
  </si>
  <si>
    <t>02/05/2022 17:26:32</t>
  </si>
  <si>
    <t>02/05/2022 17:26:23</t>
  </si>
  <si>
    <t>16/05/2022 13:08:32</t>
  </si>
  <si>
    <t>19/05/2022 16:29:31</t>
  </si>
  <si>
    <t>30/05/2022 15:42:22</t>
  </si>
  <si>
    <t>30/05/2022 15:40:08</t>
  </si>
  <si>
    <t>30/05/2022 15:40:04</t>
  </si>
  <si>
    <t>30/05/2022 15:39:59</t>
  </si>
  <si>
    <t>01/06/2022 09:57:34</t>
  </si>
  <si>
    <t>02/06/2022 09:57:34</t>
  </si>
  <si>
    <t>01/06/2022 09:57:14</t>
  </si>
  <si>
    <t>02/06/2022 09:57:14</t>
  </si>
  <si>
    <t>02/06/2022 09:55:41</t>
  </si>
  <si>
    <t>02/06/2022 09:49:54</t>
  </si>
  <si>
    <t>01/06/2022 09:40:27</t>
  </si>
  <si>
    <t>02/06/2022 09:40:27</t>
  </si>
  <si>
    <t>01/06/2022 09:36:41</t>
  </si>
  <si>
    <t>02/06/2022 09:36:41</t>
  </si>
  <si>
    <t>01/06/2022 09:30:05</t>
  </si>
  <si>
    <t>01/06/2022 09:26:57</t>
  </si>
  <si>
    <t>01/06/2022 09:16:00</t>
  </si>
  <si>
    <t>02/06/2022 09:16:00</t>
  </si>
  <si>
    <t>02/06/2022 09:15:32</t>
  </si>
  <si>
    <t>01/06/2022 09:14:56</t>
  </si>
  <si>
    <t>02/06/2022 09:14:57</t>
  </si>
  <si>
    <t>Com Francisco em 17/02/2023   == &gt; &gt;   DOSA - MANUTENÇÃO PREVENTIVA DO SISTEMA DE ALARME - 2ºSEM/2022</t>
  </si>
  <si>
    <t>(350) Equipamento em Garantia   == &gt; &gt;      NOBREAK BEM 741719506687 NAO SEGURA CARGA</t>
  </si>
  <si>
    <t>(350) Equipamento em Garantia   == &gt; &gt;     equipamento com defeito, sem funcionamento.</t>
  </si>
  <si>
    <t>(350) Equipamento em Garantia  == &gt; &gt;      Equipamento com defeito, sem funcionamento.</t>
  </si>
  <si>
    <t>(350) Equipamento em Garantia  == &gt; &gt;     Equipamento com defeito, sem funcionamento</t>
  </si>
  <si>
    <t>(350) Equipamento em Garantia  == &gt; &gt;     Equipamento com defeito, sem funcionar.</t>
  </si>
  <si>
    <t>(350) Equipamento em Garantia  == &gt; &gt;     equipamento com defeitos, sem funcionar.</t>
  </si>
  <si>
    <t>09/11/2022 17:09:40</t>
  </si>
  <si>
    <t>10/11/2022 18:00:00</t>
  </si>
  <si>
    <t>22/11/2022 11:30:00</t>
  </si>
  <si>
    <t>(350) Equipamento em Garantia  == &gt; &gt;     NO-BREAK NÃO LIGA</t>
  </si>
  <si>
    <t>01/12/2022 13:04:05</t>
  </si>
  <si>
    <t>02/12/2022 13:04:05</t>
  </si>
  <si>
    <t>01/12/2022 12:45:57</t>
  </si>
  <si>
    <t>02/12/2022 12:45:58</t>
  </si>
  <si>
    <t>01/12/2022 12:34:07</t>
  </si>
  <si>
    <t>02/12/2022 12:34:07</t>
  </si>
  <si>
    <t>01/12/2022 12:33:49</t>
  </si>
  <si>
    <t>02/12/2022 12:33:49</t>
  </si>
  <si>
    <t>01/12/2022 12:24:13</t>
  </si>
  <si>
    <t>02/12/2022 12:24:14</t>
  </si>
  <si>
    <t>01/12/2022 11:31:51</t>
  </si>
  <si>
    <t>02/12/2022 11:31:51</t>
  </si>
  <si>
    <t>01/12/2022 11:16:15</t>
  </si>
  <si>
    <t>02/12/2022 11:16:16</t>
  </si>
  <si>
    <t>01/12/2022 11:15:40</t>
  </si>
  <si>
    <t>02/12/2022 11:15:40</t>
  </si>
  <si>
    <t>01/12/2022 11:06:18</t>
  </si>
  <si>
    <t>02/12/2022 11:06:18</t>
  </si>
  <si>
    <t>02/12/2022 10:40:50</t>
  </si>
  <si>
    <t>01/12/2022 10:08:22</t>
  </si>
  <si>
    <t>02/12/2022 10:08:22</t>
  </si>
  <si>
    <t>02/12/2022 07:03:04</t>
  </si>
  <si>
    <t>Com Macio  22/02/2023  == &gt; &gt;     DOSA - MANUTENÇÃO PREVENTIVA DO SISTEMA DE ALARME - 1º SEMESTRE/2023</t>
  </si>
  <si>
    <t>Com Francisco em 17/02/2023   == &gt; &gt;   DOSA - MANUTENÇÃO PREVENTIVA DO SISTEMA DE ALARME - 1º SEMESTRE/2023</t>
  </si>
  <si>
    <t xml:space="preserve"> SOBR-005604 (1)  OV  1702692   /  PEDIDO INDEVIDO - SEM SAC  SOBR-005604 (1)  OV  1695660    == &gt; &gt;        BIOMETRIA NAO FUNCIONA. NECESSARIO A TROCAN</t>
  </si>
  <si>
    <t>EQSB-059235 (1)  OV  1706931    /    LABO-000599 (1)  OV  1703909  NF 90868  saiu 01/02/2023  /  EQSB-059235 (1)  OV  1703762  NF 90862 em 01/02/23     /   EQSB-059235 (1)  OV  1695720   NF 90813  em  31/01/2023  == &gt; &gt;       IMPRESSORA DESLIGANDO E COM EXCESSO DE ATOLAMENTO, OU COM MENSAGEM DE ATOLAMENTO SEM PAPEL ATOLADO.N</t>
  </si>
  <si>
    <t xml:space="preserve">Com Macio  22/02/2023  SOBR-006688 (1) OV 1699051  NF 91197  saiu 17/02/2023    == &gt; &gt;       Defeito: Fluido do gerador de neblina 2 baixo.  Gerente: Giovany  Matricula: F5529219  Telefone: 87 3871 0668  E-mail: psv9705@bb.com.br </t>
  </si>
  <si>
    <t>SOBR-004918 (1)  OV 1696011    == &gt; &gt;      902-VERSAO DE FIRMWARE INCORRETA (BIOMETRIA)  912-DISPOSITIVO INOPERANTE (BIOMETRIA)N</t>
  </si>
  <si>
    <t>SOBR-004385 (1)  OV  1705736   == &gt; &gt;       GERADOR DE NEBLINA COM VÁRIOS DISPAROS.</t>
  </si>
  <si>
    <t>Com Magno em  22/02/2023  FDIE-000462 (1)  OV  1706030  saiu  06/02/2023    == &gt; &gt;    PODEM HAVER CEDULAS PRESAS NO SCROLLN</t>
  </si>
  <si>
    <t>FDIE-000466 (1)  FDIE-000468 (1)  OV  1718124  saiu  22/02/2023  /  FDIE-000456 (1)  FDIE-000466 (1)  OV  1715123  saiu  15/02/2023    / FDIE-000466 (1)  OV  1701656  NF  90899 saiu  02/02/2023    /  FDIE-000466 (1)  OV  1701656   Saiu  em  30/01/2023   == &gt; &gt;      FITAS SOLTAS NO SCROLL, APØS ENROSCOS.N</t>
  </si>
  <si>
    <t xml:space="preserve">NSPP-010878 (1)  OV 1714478   saiu  17/02/2023   == &gt; &gt;     Acionador de pânico móvel nº 204 sem sinal, provável bateria baixa. Sugerimos que além deste, realize preventivamente a substituição da bateria de todos os acionadores móveis.    </t>
  </si>
  <si>
    <t>ATOS-008419 (1)  OV 1717640   saiu 17/02/2023    == &gt; &gt;     : #INFRA: Recuperação de dependência sinistrada (Inundação)  Prefixo 2156 - Itaiba/PE. Fluxo de Trabalho: 2022/259148.  Solicitação de suprimentos para recomposição dos itens danificados no  Sinistro.</t>
  </si>
  <si>
    <t>Com Leo 17/02/2023    SOBR-001048 (1)  OV  1711160   saiu   10/02/2023   == &gt; &gt;      ERRO DE HARDWAREN</t>
  </si>
  <si>
    <t xml:space="preserve">Com Magno em   22/02/2023  == &gt; &gt;     Disparo de alarme e mascaramento de sensor com violação de tamper na Zona 3 - SAA.  </t>
  </si>
  <si>
    <t>(350) Equipamento em Garantia  Equipamento bem 741719507651 não liga twr ciente do defeito para substituição  == &gt; &gt;     QUEIMADO.</t>
  </si>
  <si>
    <t>(350) Equipamento em Garantia  Equipamento bem 741719507656 não liga twr ciente do defeito para substituição == &gt; &gt;    QUEIMADO.</t>
  </si>
  <si>
    <t>Com Macio  22/02/2023  == &gt; &gt;     Defeito: 201 - GERENTE - COFRE e 211 - GERENTE - PASSA MILHEIRO - não sinalizaram.   Funcionário: Giovany F5529219  Telefone: (87) 3871-0668  E-mail: psv9705@bb.com.br</t>
  </si>
  <si>
    <t>Com Ernandes em 17/02/2023   SOBR-005549 (1)  OV  1712336  NF  91174  saiu 16/02/2023    == &gt; &gt;     TERMINAL NAO LIGA.N</t>
  </si>
  <si>
    <t>Com Ernandes  17/02/2023   == &gt; &gt;       ORDEM DE SERVICO PREVENTIVAN</t>
  </si>
  <si>
    <t>Com Magno em   22/02/2023  == &gt; &gt;     camera com problema, substituir</t>
  </si>
  <si>
    <t>SOBR-004911 (2)  SOBR-006329 (1)  OV  1713995  == &gt; &gt;      DODR - SUBSTITUIÇÃO DA BATERIA</t>
  </si>
  <si>
    <t>Com Ernandes em 17/02/2023   == &gt; &gt;    PROBLEMAS NO SKROLL, CEDULAS SENDO RETIDA NO MESMO.N</t>
  </si>
  <si>
    <t>(122) Relatório de Irrecuperabilidade em elaboração Laudo no Site do CESUP == &gt; &gt;    NÃO ESTÁ SEGURANDO OS EQUIPAMENTOS EM QUEDA DE ENERGIA E APITANDO</t>
  </si>
  <si>
    <t>Vence  em 24/02/2023  == &gt; &gt;     câmera da SAA_1 está com posicionamento incorreto.</t>
  </si>
  <si>
    <t>SOBR-004848 (1)  OV  1714798  == &gt; &gt;     Porta detectora de metais não liga ao ser acionada. risco de interrupção do atendimento ao público.</t>
  </si>
  <si>
    <t>Com Magno em   22/02/2023  == &gt; &gt;     Falha geral da comunicação alarme</t>
  </si>
  <si>
    <t>Com Francisco em 17/02/2023   == &gt; &gt;   BATERIA BAIXA SENSOR 203 MÓVEL.</t>
  </si>
  <si>
    <t>SOBR-004395 (1)  OV  1714930  == &gt; &gt;      Disparos e mascaramento de sensor intermitente Z2.</t>
  </si>
  <si>
    <t>SOBR-006565 (1)  OV  1714950  NF 91160  saiu 15/02/2023    == &gt; &gt;     Câmera da tesouraria fora do enquadramento dificultando o monitoramento efetivo, no caso a câmera precisa ser reposicionada ou acrescentar outra no ambiente.</t>
  </si>
  <si>
    <t>Com Ernandes  17/02/2023   ==&gt; &gt;      NAO LIGAN</t>
  </si>
  <si>
    <t>Com Leo  17/02/2023   == &gt; &gt;       609-( I ) PODE HAVER CEDULAS PRESAS NO MECANISMO (DISPENSADORA DE CEDULAS)N</t>
  </si>
  <si>
    <t>Com Leo  17/02/2023   == &gt; &gt;     FALHA GERAL DA COMUNICAÇÃO ALARME - RECORRENTE - REGRA 522.  Srª NADIA GRACIELLE TORRES UCHOA ciente.</t>
  </si>
  <si>
    <t>TRANSPORTE INOPERANTE DEVIDO A UM ERRO DE HARDWARE OU ATOLAMENTO (MODULO RECICLADOR DE C©DULAS); TERMINAL INDISPONIVEL PARA SAQUEE DEPOSITO; CASSETE A INOPERANTE                                                                   N</t>
  </si>
  <si>
    <t>TAA ENROSCANDO C©DULASN</t>
  </si>
  <si>
    <t>TERMINAL ENTINTOU NOVAMENTE PRECISO DE NOVO CASSETE "C".N</t>
  </si>
  <si>
    <t>INFORMA QUE O SENSOR INTERMEDIARIO 1 ENTRE OS COFRES ESTA COM PROBLEMAN</t>
  </si>
  <si>
    <t>MAQUINA APRESENTANDO ENROSCO CONSTANTE NA ENTRADA DO NUMERARIO   MAQUINA COM DIFERENCAN</t>
  </si>
  <si>
    <t>ENROSCO CONSTANTE DE C©DULAS NA SA­DAN</t>
  </si>
  <si>
    <t>ERRO CONSTANTE NO SENSOR DEPOSITARION</t>
  </si>
  <si>
    <t>4 câmeras inoperantes, sendo elas: SAA entrada, corredor de abastecimento 01, tesouraria entrada, PGDM entrada.</t>
  </si>
  <si>
    <t>Apenas 4 câmeras operantes e 9 inoperantes. Dentre as inoperantes: bateria de caixa, suporte, corredor interno 1 e 2, pgdm, atendimento, sala online, e câmera externa.</t>
  </si>
  <si>
    <t>Imagens não comunicam com a central</t>
  </si>
  <si>
    <t>ESTACAO SEMPRE FICA LENTA NO DECORRER DO DIA, SENDO NECESSARIO   REINICIAR POR DIVERSAS VEZES.OBS: FORMATAR NAO © A SOLUCAO. JA FOI FEITO E NAO TEVE JEITO.    PROBLEMA DE SUJEIRA E/OU MEMORIA  N</t>
  </si>
  <si>
    <t>TERMINAL OFF LINE. SEM RESPOSTAN</t>
  </si>
  <si>
    <t>2678.01</t>
  </si>
  <si>
    <t>PREF.MUN.SENTO SE</t>
  </si>
  <si>
    <t>ERRO DE HARDWAREN</t>
  </si>
  <si>
    <t>4012.91</t>
  </si>
  <si>
    <t>SAA-S.JOAQUIM MONTE</t>
  </si>
  <si>
    <t>ALGUMAS CAMERAS ESTÃO INOPERANTES. PEDIMOS ATENDER O MAIS BREVE POSSÍVEL.</t>
  </si>
  <si>
    <t>Imagens não comunicam com a central, DVR OFFLINE</t>
  </si>
  <si>
    <t>TERMINAL INDISPONIVEL PARA SAQUE E DEPØSITO, VARIOS DEPØSITOS E  SAQUES COM ERROS, TERMINAL REINICIANDO, CEDULAS ENROSCADAS.N</t>
  </si>
  <si>
    <t>1146.91</t>
  </si>
  <si>
    <t>SAA-SERTANIA</t>
  </si>
  <si>
    <t>LEITOR NAO REALIZA A LEITURA DOS CHEQUES.N</t>
  </si>
  <si>
    <t>EQPT-077297</t>
  </si>
  <si>
    <t>T-10 LEITOR OTICO CODIGO DE BARRAS/MAGNETICO DE CHEQUES NONUS HANDBANK ECO 10 USB ALIMENTACAO USB FIRMWARE BB</t>
  </si>
  <si>
    <t>APARELHO NAO FAZ A LEITURA DOS CARTIES. APARELHO NAO CHEGA SEQUERA APRESENTAR OS CARACTERES APRESENTADOS NO OUTRO APARELHO EM FUNCIONAMENTO.                                                                                         N</t>
  </si>
  <si>
    <t>CÂMERAS NÃO COMUNICAM COM A CENTRAL</t>
  </si>
  <si>
    <t>CHEQUES DESTRUIDOSN</t>
  </si>
  <si>
    <t>Organização</t>
  </si>
  <si>
    <t>REORGANIZAÇÃO DE SALA ONLINE: ORGANIZAÇÕES DOS RACKS (ON LINE, CFTV, ALARME ) DA SALA TC,IDENTIFICAÇÕES DE PONTOS LÓGICOS E ELÉTRICOS, CERTIFICAÇÕES DE PONTOS LÓGICOS. DIA: 25/02/2023 ÀS 08H00 ATÉ 25/02/2023 ÀS 18H00 RST20230017083</t>
  </si>
  <si>
    <t>EQPT-078699</t>
  </si>
  <si>
    <t>T-10 SERVIDOR DE AGENCIA 1U SRVUP XEON 2X4GB DE MEMORIA 1TB DE HD SATA 3 SUPERMICRO/DIEBOLD CSE-811I350B/TW9150</t>
  </si>
  <si>
    <t>EQSB-077775 (1)  OV  1716016   NF  91181  saiu 16/02/2023   == &gt; &gt;       COM ERROS, TRAVANDON</t>
  </si>
  <si>
    <t xml:space="preserve">Com Macio  22/02/2023  == &gt; &gt;     Defeito: Track 3581, apresentando bateria baixa.   Gerente: Giovany Sobreira (F5529219)  Tel.: (87) 3871-0668  E-mail: psv9705@bb.com.br  </t>
  </si>
  <si>
    <t xml:space="preserve">Vence  em 24/02/2023  == &gt; &gt;     Câmera da Tesouraria sem sinal  </t>
  </si>
  <si>
    <t>Com Leo  17/02/2023   == &gt; &gt;      608-( I ) TERMINAL INDISPONIVEL PARA SAQUES (DISPENSADORA DE CEDULAS)585-( I ) ERRO NO SENSOR DE ALIMENTACAO (DISPENSADORA DE CEDULAS)                                  N</t>
  </si>
  <si>
    <t>SOBR-004790 (1)  OV  1716036    saiu  23/02/2023  == &gt; &gt;        CASETE D INOPERANTE DBU, TODO MODULO SEM FUNCIONAR DEVIDO CASETEN</t>
  </si>
  <si>
    <t>NAO REALIZA BAIXA DE MATRIZN</t>
  </si>
  <si>
    <t>9134.00</t>
  </si>
  <si>
    <t>ESCR.EXC.AV.R.BRANCO</t>
  </si>
  <si>
    <t>COMPUTADOR REINICIANDO CONSTANTEMENTE.N</t>
  </si>
  <si>
    <t>ESTRUTURA DA MARQUISE CAIU E COM ELA AS CÂMERAS EXTERNAS. ESTAMOS SEM MONITORAÇÃO EXTERNA NA AGÊNCIA.</t>
  </si>
  <si>
    <t>NECESSARIO NOVA BAIXA DE MATRIZ  / 81973420493</t>
  </si>
  <si>
    <t>2039.91</t>
  </si>
  <si>
    <t>SAA-MACHADOS</t>
  </si>
  <si>
    <t>TELA DA FECHADURA DO COFRE ESTA APAGANDO, COMO SE ESTIVESSE SEM BATERIA.N</t>
  </si>
  <si>
    <t>TERMINAL APRESENTANDO ERROS CONSTANTES DE HARDWARE , FICANDO INDISPONIVELN</t>
  </si>
  <si>
    <t>TERMINAL COM TELA PRETA E INDISPONIVEL NO TOPN</t>
  </si>
  <si>
    <t>SCANNER KODAK I2600. FONTE QUEIMADA APOS PICO DE ENERGIA NO PREFIXO.N</t>
  </si>
  <si>
    <t>Disparos indevidos sem causa aparente P01 / Z14.</t>
  </si>
  <si>
    <t>EMITE BITE DEPOIS DESLIGAN</t>
  </si>
  <si>
    <t>PGDM - APRESENTA DANOS ESTRUTURAIS - TETO COM RACHADURAS E PRESTES A RUIR.</t>
  </si>
  <si>
    <t>TERMINAL INOPERANTE PARA DEPOSITO E SAQUE; MODULO EM ESTADO DE ERRO; ERRO DE RARDWARE; REQUISI¸AO ILEGAL; TERMINAL APRESENTE OCORRENCIA DE CEDULAS PRESAS SEM CAUSA AOBSERVAL PELO OPERADOR.                                         N</t>
  </si>
  <si>
    <t>COMPUTADOR REINICIA LOGO DEPOIS QUE LIGA, E NAO SE MANTEM LIGADO,FICANDO CONSTANTEMENTE REINICIANDON</t>
  </si>
  <si>
    <t>SOBR-004395 (3)  OV  1716558  == &gt; &gt;    PARTIÇÃO 03 - ZONA 06 DISPAROS INDEVIDOS.</t>
  </si>
  <si>
    <t>Disparos indevidos sem causa aparente P01 / Z12.</t>
  </si>
  <si>
    <t>PVV não está detectando nenhuma linha, gentiliza, analisar.   INT20230046291</t>
  </si>
  <si>
    <t>838, TAA INIDISP P/SAQUE E DEPOSITO/VERIF DISPOSITIVO/70459/13/PROC/PRES/SOP MARIM DOS CAETES- / 41 996852011</t>
  </si>
  <si>
    <t>4923.05</t>
  </si>
  <si>
    <t>SOP MARIM DOS CAETES</t>
  </si>
  <si>
    <t>Com Macio  em 23/02/2023  == &gt; &gt;      DODR - MANUTENÇÃO PREVENTIVA DA LUZ ESTROBO - 2ºSEM/2021</t>
  </si>
  <si>
    <t>DOSI SUPRIMENTOS INSTALAÇÃO DE CÂMERA [ATOS-006658]</t>
  </si>
  <si>
    <t>AUDIOBIDIRECIONAL - INSTALAR 02 ATOS-008092. Problemas de INFRA BB, suspender chamado com cód. 601. Problemas com ALTURA, CAT acionar equipe de apoio e suspender chamado com 105 até a solução BBTS. NF nº 70296</t>
  </si>
  <si>
    <t>AUDIOBIDIRECIONAL - INSTALAR 02 ATOS-008092. PROBLEMAS DE INFRA BB, SUSPENDER CHM. COM 601. PROBLEMAS COM ALTURA, CAT ACIONAR EQUIPE DE APOIO E SUSPENDER CHM. COM 105 ATÉ A SOLUÇÃO BBTS.  NF Nº 72546</t>
  </si>
  <si>
    <t xml:space="preserve">INSTALAÇÃO   Gentileza fazer a instalação na agência 1924-0   DORMENTES , NF 72781  e enviar termo de aceite </t>
  </si>
  <si>
    <t>AUDIOBIDIRECIONAL - INSTALAR 02 ATOS-8092 (NF:75166) PROBLEMAS DE INFRA BB, SUSP. COM 601 e PREENCHER CMA3(TEYA-VISTORIA DE INFRA...).PROBLEMAS COM ALTURA OU OUTRA DE RESP. BBTS, SUSP. COM 105.NÃO DEIXAR EQPT. ATIVO FORA DO LOCAL PREVISTO.</t>
  </si>
  <si>
    <t>CADASTRO DE EQPTOS: REALIZAR O CADASTRO DA QTDE DE TOMADAS LÓGICAS DOS PATCH PANELS DE DADOS, VOZ E SEGURANÇA DOS RACS DA SALA ONLINE E SUA DATA DE INSTALAÇÃO. ALIMENTAR INFORMAÇÕES E FOTOS DO Nº DO BEM (SE HOUVER) NO CMA3.0</t>
  </si>
  <si>
    <t>CADASTRO DE EQPTOS: REALIZAR CADASTRO DOS BEM DOS EQPTOS NO-BREAKS ATÉ 2KVA E SEUS RESPECTIVOS BANCOS DE BATERIAS. ALIMENTAR INFORMAÇÕES E FOTOS DO Nº DO BEM (SE HOUVER) NO CMA3.0</t>
  </si>
  <si>
    <t>CADASTRO DE EQPTOS: REALIZAR CADASTRO DO CONTROLE DE ACESSO DOS BEM DOS EQPTOS PGDM, PSDM, ECLUSA, E QNDO HOUVER, INTERTRAVAMENTO DE PORTAS E CONTROLE INDIVIDUAL DA SALA ONLINE. ALIMENTAR INFORMAÇÕES E FOTOS DO Nº DO BEM NO CMA3.0</t>
  </si>
  <si>
    <t>Com Macio  em 23/02/2023  == &gt; &gt;      DOSA - MANUTENÇÃO PREVENTIVA DO SISTEMA DE ALARME - 2ºSEM/2022</t>
  </si>
  <si>
    <t>Com Macio  em 23/02/2023  == &gt; &gt;      DODR - MANUTENÇÃO PREVENTIVA DO GERADOR DE NEBLINA - 2º SEM/2022</t>
  </si>
  <si>
    <t>Com Macio  em 23/02/2023  == &gt; &gt;      DODR - MANUTENÇÃO PREVENTIVA DA LUZ ESTROBO - 2ºSEM/2022</t>
  </si>
  <si>
    <t>AUDIOBIDIRECIONAL - INSTALAR 02 ATOS-8092 (NF:77681) PROBLEMAS DE INFRA BB, SUSP. COM 601 E PREENCHER CMA3(TEYA-VISTORIA DE INFRA...).PROBLEMAS COM ALTURA OU OUTRA DE RESP. BBTS, SUSP. COM 105.NÃO DEIXAR EQPT. ATIVO FORA DO LOCAL PREVISTO.</t>
  </si>
  <si>
    <t>Vistoria com o intuito de verificação/manutenção da infraestrutura para posterior instalação dos novos equipamentos do contrato DOSA/DODR - 2019/8558-0096 (gerador de neblina, alarme e/ou sensores sísmicos)</t>
  </si>
  <si>
    <t>prioridade4 DOSI - INSTALAÇÃO DO KIT DOSI 2º SEMESTRE 2022 (1 NVR ATOS-006431, 02 UNIDADES CÂMERAS IP TIPO 2 ATOS-006427 E 02 UNIDADE CÂMERA TIPO 1 ATOS-006426 PRIORIZANDO SAA)</t>
  </si>
  <si>
    <t>prioridade2 DOSI - INSTALAÇÃO DO KIT DOSI 2º SEMESTRE 2022 (02 UNIDADES CÂMERAS IP TIPO 2 ATOS-006427 E 02 UNIDADE CÂMERA TIPO 1 ATOS-006426 PRIORIZANDO SAA) NVR já instalado</t>
  </si>
  <si>
    <t xml:space="preserve">INSTALACAO DE 2 AUDIOBIRECIONAL - 0899-00 BODOCO - R.DR.JOAO PESSOA, 77 - CENTRO - BODOCO - PE - CEP: 56220000 </t>
  </si>
  <si>
    <t xml:space="preserve">AUDIOBIDIRECIONAL INSTALACAO 2 EQPTS ATOS-008092 - 2081-00   GLORIA DO GOITA - R.CLETO CAMPELO,98 - CENTRO - GLORIA DO GOITA - PE - CEP: 55620000 </t>
  </si>
  <si>
    <t>prioridade DOSI - INSTALAÇÃO DO KIT DOSI 2º SEMESTRE 2022 (1 NVR ATOS-006431, 02 UNIDADES CÂMERAS IP TIPO 2 ATOS-006427 E 02 UNIDADE CÂMERA TIPO 1 ATOS-006426 PRIORIZANDO SAA)</t>
  </si>
  <si>
    <t xml:space="preserve">AUDIOBIDIRECIONAL INSTALACAO 2 EQPTS ATOS-008092 - 0068-00   ARCOVERDE - R.ALCIDES CURSINO,68 - CENTRO - ARCOVERDE - PE - CEP: 56506907 </t>
  </si>
  <si>
    <t>AUDIOBIDIRECIONAL INSTALACAO 2 EQPTS ATOS-008092 --- 2988-00 SHOPPING GUARARAPES</t>
  </si>
  <si>
    <t>AUDIOBIDIRECIONAL INSTALACAO 2 EQPTS ATOS-008092 --- 0870-00 SALGUEIRO</t>
  </si>
  <si>
    <t>AUDIOBIDIRECIONAL INSTALACAO 2 EQPTS ATOS-008092 --- 0067-00 GARANHUNS</t>
  </si>
  <si>
    <t>Com Macio  em 23/02/2023  == &gt; &gt;      DODR - MANUTENÇÕES PREVENTIVAS NOS DISPOSITIVOS RASTREADORES - 1º SEMESTRE/2023</t>
  </si>
  <si>
    <t>Com Macio  em 23/02/2023  == &gt; &gt;      DODR - MANUTENÇÃO PREVENTIVA LUZ ESTROBOSCOPICA - 1º SEMESTRE/2023</t>
  </si>
  <si>
    <t>Com Macio  em 23/02/2023  == &gt; &gt;      DODR - MANUTENÇÃO PREVENTIVA DO GERADOR DE NEBLINA - 1º SEMESTRE/2023</t>
  </si>
  <si>
    <t>06/01/2023 11:26:54</t>
  </si>
  <si>
    <t>Com Macio  em 23/02/2023  == &gt; &gt;      DOSA - MANUTENÇÃO PREVENTIVA DO SISTEMA DE ALARME - 1º SEMESTRE/2023</t>
  </si>
  <si>
    <t>06/01/2023 10:30:22</t>
  </si>
  <si>
    <t>06/01/2023 10:30:17</t>
  </si>
  <si>
    <t>06/01/2023 10:30:11</t>
  </si>
  <si>
    <t>06/01/2023 10:30:05</t>
  </si>
  <si>
    <t>06/01/2023 10:30:04</t>
  </si>
  <si>
    <t>06/01/2023 10:29:41</t>
  </si>
  <si>
    <t>06/01/2023 10:29:37</t>
  </si>
  <si>
    <t>06/01/2023 10:28:10</t>
  </si>
  <si>
    <t>06/01/2023 10:28:01</t>
  </si>
  <si>
    <t>06/01/2023 10:27:56</t>
  </si>
  <si>
    <t>06/01/2023 10:27:55</t>
  </si>
  <si>
    <t>06/01/2023 10:27:18</t>
  </si>
  <si>
    <t>06/01/2023 10:27:17</t>
  </si>
  <si>
    <t>06/01/2023 10:27:12</t>
  </si>
  <si>
    <t>06/01/2023 10:26:45</t>
  </si>
  <si>
    <t>06/01/2023 10:26:43</t>
  </si>
  <si>
    <t>06/01/2023 10:25:52</t>
  </si>
  <si>
    <t>06/01/2023 10:25:34</t>
  </si>
  <si>
    <t>06/01/2023 10:23:45</t>
  </si>
  <si>
    <t xml:space="preserve">INSTALAÇÃO DE SIRENE, PEDIDO DERIVADO DE MANUTENÇÃO CORRETIVA CHAMADO 9248077 - ATOS-000040   </t>
  </si>
  <si>
    <t>Instalar uma câmera em substituição de câmera com defeito de chamado corretivo</t>
  </si>
  <si>
    <t xml:space="preserve">Com Macio  23/02/2023  SOBR-006688 (1) OV 1699051  NF 91197  saiu 17/02/2023    == &gt; &gt;       Defeito: Fluido do gerador de neblina 2 baixo.  Gerente: Giovany  Matricula: F5529219  Telefone: 87 3871 0668  E-mail: psv9705@bb.com.br </t>
  </si>
  <si>
    <t>Com Ernandes  em 24/02/2023  == &gt; &gt;      Seguiu por fora  Dois controles e Receptora em 14/02/2023  /  SOBR-001777 (2)  SOBR-004810 (1) SOBR-002913 (1)  OV 1698627  NF 90805  Saiu 31/01/2023  == &gt; &gt;     Porta não esta funcionando na ausência de energia elétrica e controles totalmente quebrados.</t>
  </si>
  <si>
    <t>D. Carol  irá  separar os KIT's  FERR-000273 (1)  Item não encontrado na árvore do equipamento EQPT-086206  //  FDIE-000462 (1)  OV 1706030  NF 90951 saiu 06/02/2023   == &gt; &gt;       PODEM HAVER CEDULAS PRESAS NO SCROLLN</t>
  </si>
  <si>
    <t>FDIE-000459 (1)  FDIE-000460 (1)  OV 1721274  saiu  27/02/2023   /  FERR-000296 (1)  OV 1718125  / FDIE-000466 (1)  FDIE-000468 (1)  OV  1718124  NF 91232  saiu  22/02/2023  /  FDIE-000456 (1)  FDIE-000466 (1)  OV  1715123  NF  91149 saiu  15/02/2023    / FDIE-000466 (1)  OV  1701656  NF  90899 saiu  02/02/2023    /  FDIE-000466 (1)  OV  1701656   Saiu  em  30/01/2023   == &gt; &gt;      FITAS SOLTAS NO SCROLL, APØS ENROSCOS.N</t>
  </si>
  <si>
    <t>Com Ernandes  em 24/02/2023   == &gt; &gt;     TERMINAL COM ERRO RECICLADOR DE CEDULASN</t>
  </si>
  <si>
    <t>INFRA: Recuperação de dependência sinistrada (Inundação)  Prefixo 2156 - Itaiba/PE. Fluxo de Trabalho: 2022/259148.  Solicitação de suprimentos para recomposição dos itens danificados no  Sinistro.</t>
  </si>
  <si>
    <t xml:space="preserve">Com Magno  em 23/02/2023  == &gt; &gt;     Disparos P2 - SL_ON_LINE   Z7 - SALA ONLINE   </t>
  </si>
  <si>
    <t>27/02/2023 14:35:00</t>
  </si>
  <si>
    <t>Com Magno  em 23/02/2023  == &gt; &gt;     PARTIÇÃO 02 - ZONA 07 COM DISPAROS INDEVIDOS.</t>
  </si>
  <si>
    <t>22/03/2023 18:00:00</t>
  </si>
  <si>
    <t>SOBR-005591 (1)  SOBR-005593 (1)  OV 1717437       / SOBR-001048 (1)  OV  1711160   saiu   10/02/2023   == &gt; &gt;      ERRO DE HARDWAREN</t>
  </si>
  <si>
    <t>13/02/2023 14:00:00</t>
  </si>
  <si>
    <t>Com Inaldo em 28/02/2023  SOBR-004911 (2)  SOBR-006329 (1)  OV  1713598   NF  91128  14/02/2023  == &gt; &gt;     DODR - troca da bateria do gerador de neblina</t>
  </si>
  <si>
    <t>27/02/2023 14:00:00</t>
  </si>
  <si>
    <t>22/02/2023 15:30:00</t>
  </si>
  <si>
    <t>Com Inaldo em 28/02/2023  SOBR-004911 (2)  SOBR-006329 (1)  OV  1713586  NF  91127  14/02/2023   == &gt; &gt;    DODR - substituições do fluído e bateria</t>
  </si>
  <si>
    <t>27/02/2023 15:35:00</t>
  </si>
  <si>
    <t>27/02/2023 09:30:00</t>
  </si>
  <si>
    <t>10/02/2023 12:01:13</t>
  </si>
  <si>
    <t>23/02/2023 14:35:00</t>
  </si>
  <si>
    <t>13/02/2023 14:30:42</t>
  </si>
  <si>
    <t>02/03/2023 14:30:00</t>
  </si>
  <si>
    <t>11/02/2023 15:46:05</t>
  </si>
  <si>
    <t>Com Ernandes em 24/02/2023   SOBR-005549 (1)  OV  1712336  NF  91174  saiu 16/02/2023    == &gt; &gt;     TERMINAL NAO LIGA.N</t>
  </si>
  <si>
    <t>28/02/2023 14:05:00</t>
  </si>
  <si>
    <t>27/02/2023 11:00:00</t>
  </si>
  <si>
    <t>SOBR-004395 (1)  OV  1714930  saiu 23/02/2023    == &gt; &gt;      Disparos e mascaramento de sensor intermitente Z2.</t>
  </si>
  <si>
    <t>28/02/2023 14:35:00</t>
  </si>
  <si>
    <t>Com Huber  em  23/02/2023   == &gt; &gt;       partição 01 zona 17 alarme intermitente</t>
  </si>
  <si>
    <t>15/02/2023 17:30:51</t>
  </si>
  <si>
    <t>17/02/2023 11:49:45</t>
  </si>
  <si>
    <t>Com  Leo em 23/02/2023   == &gt; &gt;      FALHA GERAL DA COMUNICAÇÃO ALARME - RECORRENTE - REGRA 522.  Srª NADIA GRACIELLE TORRES UCHOA ciente.</t>
  </si>
  <si>
    <t>Com Francisco em 24/02/2023  == &gt; &gt;      Acionador de pânico móvel nº 205 sem sinal, provável bateria baixa. Sugerimos que além deste, realize preventivamente a substituição da bateria de todos os acionadores móveis.</t>
  </si>
  <si>
    <t xml:space="preserve">Com Macio em 23/02/2023  == &gt; &gt;     Defeito: Track 3581, apresentando bateria baixa.   Gerente: Giovany Sobreira (F5529219)  Tel.: (87) 3871-0668  E-mail: psv9705@bb.com.br  </t>
  </si>
  <si>
    <t>Com Magno em 23/02/2023  == &gt; &gt;     IMPRESSORA DE RECIBOS COM DEFEITO.N</t>
  </si>
  <si>
    <t>TERMINAL PAGANDO COM DIFERENCAN</t>
  </si>
  <si>
    <t>Disparos recorrentes GERADOR DE NEBLINA</t>
  </si>
  <si>
    <t>TERMINAL COM CEDULAS PRESASN</t>
  </si>
  <si>
    <t>1058.91</t>
  </si>
  <si>
    <t>SAA-ESCADA</t>
  </si>
  <si>
    <t>TECLADO COM DEFEITON</t>
  </si>
  <si>
    <t>Câmeras off-line do DVR</t>
  </si>
  <si>
    <t xml:space="preserve">Acionamentos indevido P1Z44 - PANICO WC PNE  </t>
  </si>
  <si>
    <t>583-( I ) ERRO NO SENSOR DE DUPLA DETECCAO (DISPENSADORA DE CEDULAS)TAA INOPERANTE                                                                                     N</t>
  </si>
  <si>
    <t>PROBLEMAS NO MODULO PAGAMENTO, C©DULAS ENROSCANDO, SENSOR DUPLA DETECCAON</t>
  </si>
  <si>
    <t>1291.91</t>
  </si>
  <si>
    <t>SAA-UAUA</t>
  </si>
  <si>
    <t>TAA NAO IMPRIMINDO SOMENTE OS RECIBOS DE DEPOSITOS.              BEM COMO TBEM, NAO REGISTRA NA FITA DE RECLHIMENTO.N</t>
  </si>
  <si>
    <t>0594.91</t>
  </si>
  <si>
    <t>SAA-REMANSO</t>
  </si>
  <si>
    <t>435, EXCESSO DE ERROS NA RETIRADA DE CEDULAS (MODULO RECICLADOR DE C©DULAS) / 41 999880935</t>
  </si>
  <si>
    <t>TECLADO CRIPTOGRAFICO INOPERANTE; JA REALIZAMOS OS COMANDOS DO   MATERIAL 32 E REINICIAMOS A MAQUINA, MAS NAO RESOLVEU O PROBLEMA.N</t>
  </si>
  <si>
    <t>1061.91</t>
  </si>
  <si>
    <t>SAA-FLORESTA</t>
  </si>
  <si>
    <t>MAQUINA COM NUMERO ELEVADO DE REJEITO, OBRIGANDO A PARA LA MAIS DE UMA VEZ PARA LIMPAR O CASSETE REFERIDO.N</t>
  </si>
  <si>
    <t>CASSETE B INOPERANTE PARA SAQUE; TERMINAL COM MUITA FREQUENCIA   FICA INOPPERATE TOTALMENTE PARA SAQUE.N</t>
  </si>
  <si>
    <t>TERMINAL INOPERANTE PARA SAQUE; ERRO NO SENSOR DE ALIMENTA¸AO;   TAA NAO ESTA LIBERANTO O CASSETE D PARA ABASTECIMENTO/RECOLHILMENTO DE NUMERARIO (CASSETE PRESO).                                                                   N</t>
  </si>
  <si>
    <t xml:space="preserve">Defeito: o alarme esta disparando indevidamente  Nome: Alexandre da Silva F0435994-1  Matrícula: F  Telefone: (81)993070433  E-mail:age1643@bb.com.br </t>
  </si>
  <si>
    <t>TERMINAL ENTINTOU.N</t>
  </si>
  <si>
    <t>TECLADO CRIPTOGRAFICO VIOLADO, FALHA DE COMUNICACAO TRANSACAO MF VERIFICAR TROCA DE CHAVE E OBJETO SUSPEITO DETECTADO SOBRE O SHUTTER. INDISPON­VEL PARA SAQUES.                                                                     N</t>
  </si>
  <si>
    <t>TAA COM A FITA DO SKROOL PARTIDA,TAA SEM FUNCIONAMENTO.N</t>
  </si>
  <si>
    <t>5898.91</t>
  </si>
  <si>
    <t>SAA-HELIOPOLIS</t>
  </si>
  <si>
    <t>583-( I ) ERRO NO SENSOR DE DUPLA DETECCAO (DISPENSADORA DE CEDULTERMINAL ENROSCANDO C©DULAS NO MODULON</t>
  </si>
  <si>
    <t>Com Magno em 23/02/2023  == &gt; &gt;     EMITE BITE DEPOIS DESLIGAN</t>
  </si>
  <si>
    <t>SOBR-004395 (3)  OV  1716558  saiu  23/02/2023  == &gt; &gt;    PARTIÇÃO 03 - ZONA 06 DISPAROS INDEVIDOS.</t>
  </si>
  <si>
    <t>SOBR-006565 (1)  Item não encontrado na árvore do equipamento GRPE-000001   == &gt; &gt;      Fonte de equipamento queimou, indisponibilidade total, agência sem monitoramento por câmeras.</t>
  </si>
  <si>
    <t>17/02/2023 23:32:00</t>
  </si>
  <si>
    <t>IMPRESSORA DESTRUINDO TODOS OS CHEQUES IMPRESSOSN</t>
  </si>
  <si>
    <t>2125.91</t>
  </si>
  <si>
    <t>SAA-VENTUROSA</t>
  </si>
  <si>
    <t>17/02/2023 18:03:35</t>
  </si>
  <si>
    <t>22/02/2023 09:30:00</t>
  </si>
  <si>
    <t>GAVETA B ENROSCANDO CEDULA NA SAIDAN</t>
  </si>
  <si>
    <t>17/02/2023 18:01:30</t>
  </si>
  <si>
    <t>TAA NAO INICIALIZA.N</t>
  </si>
  <si>
    <t>17/02/2023 17:44:59</t>
  </si>
  <si>
    <t>COSTANTES ATOLAMENTOS NO MODULO PAGADOR.N</t>
  </si>
  <si>
    <t>17/02/2023 17:25:07</t>
  </si>
  <si>
    <t>CAMERA NÃO ESTA IDENTIFICADA</t>
  </si>
  <si>
    <t>17/02/2023 17:30:28</t>
  </si>
  <si>
    <t>18/02/2023 17:30:28</t>
  </si>
  <si>
    <t>ERRO NO SENSOR DE CONTAGEM (DISPENSADORA DE CEDULAS);            SENSOR DE FINAL DE CURSO NAO ACIONADO (DISPENSADORA DE CEDULAS);ERRO NO SENSOR DE BOCAL (DISPENSADORA DE CEDULAS);               TERMINAL INDISPONIVEL PARA SAQUES N</t>
  </si>
  <si>
    <t>17/02/2023 17:01:57</t>
  </si>
  <si>
    <t>CAMERA SALA ON LINE</t>
  </si>
  <si>
    <t>17/02/2023 17:15:41</t>
  </si>
  <si>
    <t>18/02/2023 17:15:41</t>
  </si>
  <si>
    <t>CAMERA SAA ENT, SAA ENT 02, SAA 01, SAA 02</t>
  </si>
  <si>
    <t>17/02/2023 17:15:34</t>
  </si>
  <si>
    <t>18/02/2023 17:15:34</t>
  </si>
  <si>
    <t>CASSETE D COM BATERIA BAIXA.N</t>
  </si>
  <si>
    <t>17/02/2023 16:43:01</t>
  </si>
  <si>
    <t>CAMERA SALA ON LINE 02</t>
  </si>
  <si>
    <t>CAMERA EXTERNA 03</t>
  </si>
  <si>
    <t>Defeito: Disparos indevido no pânico  204 - VIGILANTE</t>
  </si>
  <si>
    <t>TERMINAL PARA CONSTANTEMENTE POR ERRO DE HARDWARE/REQUISICAO     ILEGAL. TAA INDISPON­VEL PARA SAQUE/DEPOSITO.N</t>
  </si>
  <si>
    <t>TAA DESATIVA A FUNCAO DE SAQUE/DEPOSITO E APRESENTA A MSG DE     PROBLEMAS NO SENSOR DE ENTINTAMENTO, DE FORMA INTERMITENTE.N</t>
  </si>
  <si>
    <t>TERMINAL NAO INICIA - SEM COMUNICACAO = MESMO APOS A TROCA DO HDN</t>
  </si>
  <si>
    <t>EQUIPAMENTO INDISPON­VEL PARA SAQUE. PROBLEMAS NO MECANISMO DE   REJEICAO.N</t>
  </si>
  <si>
    <t>6 Câmeras externas sem funcionar. Sem imagens no DVR</t>
  </si>
  <si>
    <t>TROCAR HD CONFORME ORIENTA¸AO DA DITEC, CONFORME SOLICITA¸AO     INT20230046952 ABERTA NO SUPORTE TECNICO.N</t>
  </si>
  <si>
    <t>Disparo de alarme indevido na Zona 17 - PANICO FIXO WC MASCULINO 1 AND, evento reincidente.</t>
  </si>
  <si>
    <t>ERRO NO SENSOR DA BALANCA (DISPENSADORA DE CEDULAS), PORTA OBSTRUIDA - DURANTE FECHAMENTO (DISPENSADORA DE CEDULAS).N</t>
  </si>
  <si>
    <t>LED COM EXCLAMACAO DO CASSETE "C" (ENTINTAMENTO) PISCANDO CONSTANTEMENTE. TAA INDISPON­VEL PARA SAQUES.N</t>
  </si>
  <si>
    <t>CASSETE D INOPERANTEN</t>
  </si>
  <si>
    <t>2196.91</t>
  </si>
  <si>
    <t>SAA-JAGUARARI</t>
  </si>
  <si>
    <t>PROBLEMA NO MECANISMO DE PAGAMENTON</t>
  </si>
  <si>
    <t>HA NOTAS NO TRANSPORTADOR , PROBLEMA MECANICO, AUTO INDICE DE    NOTAS NA REJEICAO.N</t>
  </si>
  <si>
    <t>Com  Francisco  em 23/02/2023   == &gt; &gt;       CPU POSITIVO QUE ESTA APRESENTANDO MUITA LENTIDAO NA SUA INICIA- LIZACAO E DURANTE SEU USO. TRAVANDO MUITO A CADA PROCESSAMENTO.N</t>
  </si>
  <si>
    <t>ENRSOCO DE CEDULAS NO MODULO PAGADORN</t>
  </si>
  <si>
    <t>APARELHO NAO LIGA.N</t>
  </si>
  <si>
    <t>480, 778, 794, 812, 842, 843, 844, 845, TAA INDISP P/SAQUE/CASSETE A,B,C,D INDISP/MOD INOP/70640-/13/PROC/PRES/SO / 41 996852011</t>
  </si>
  <si>
    <t>TAA ESTA TRITURANDO ALGUMAS CEDULAS E ESTA SEM FUNCIONAR NO MO-  MENTO. GOSTARIAMOS TAMBEM QUE VIESSE UM TECNICO PARA FAZER UMAPREVENTIVA PARA A PORTA DO COFRE, ONDE ONTEM E HOJE A ALAVANCA   NAO GIROU, MAS DEPOIS FUNCIONOU.  N</t>
  </si>
  <si>
    <t>1359.91</t>
  </si>
  <si>
    <t>SAA-CUMARU</t>
  </si>
  <si>
    <t>TAA COM OS CASSETES A E B SEM PAGAR611-( I ) CASSETE B INDISPONIVEL PARA SAQUE (DISPENSADORA DE CEDULAS)N</t>
  </si>
  <si>
    <t>PROBLEMAS NA LEITORA DE CARTAO, PROVAVEL SUBSTITUICAON</t>
  </si>
  <si>
    <t>FALHA DURANTE A REJEICAO. TAA INDISPONIVEL PARA SAQUESN</t>
  </si>
  <si>
    <t>Sem imagens da câmera externa  01 é 02.</t>
  </si>
  <si>
    <t>foi identificado que todas as imagens estão escuras</t>
  </si>
  <si>
    <t>Câmera fora de posição, não tendo visualização do cofre</t>
  </si>
  <si>
    <t>FALHA DE SIRENE # 02 DO GABINETE PRINCIPAL (001)   20/02/2023 06:25:00  DISPARO ALARME DE ZONA   20/02/2023 06:24:00  3 - TESOURARIA   5 - TESOURARIA, solicito uma visita técnica</t>
  </si>
  <si>
    <t>20/02/2023 17:20:22</t>
  </si>
  <si>
    <t>Defeito: Disparos Intermitentes da partição 3 zona 6</t>
  </si>
  <si>
    <t>20/02/2023 13:05:14</t>
  </si>
  <si>
    <t>Disparos sem causa aparente P3 - TESOURARIA   Z5 - COFRE</t>
  </si>
  <si>
    <t>20/02/2023 10:20:09</t>
  </si>
  <si>
    <t xml:space="preserve">Disparos sem causa aparente P1 - AGÊNCIA   Z16 - BANHEIRO MASCULINO   </t>
  </si>
  <si>
    <t>20/02/2023 09:35:08</t>
  </si>
  <si>
    <t>DISPAROS RECORRENTES P1 - AGÊNCIA   Z25 - ARQUIVO</t>
  </si>
  <si>
    <t>20/02/2023 09:20:26</t>
  </si>
  <si>
    <t>Disparos sem causa aparente P1 - AGÊNCIA Z11 - ATENDIMENTO PESSOA FÍSICA</t>
  </si>
  <si>
    <t>20/02/2023 09:20:13</t>
  </si>
  <si>
    <t xml:space="preserve">FALHA DE SIRENE # 03 DO GABINETE EXPANSÃO (#001)   20/02/2023 08:03:00   </t>
  </si>
  <si>
    <t>20/02/2023 09:06:10</t>
  </si>
  <si>
    <t>Disparos indevidos sem causa aparente P03 / Z05.</t>
  </si>
  <si>
    <t>20/02/2023 09:05:07</t>
  </si>
  <si>
    <t>Disparos indevidos sem causa aparente P05/Z04.</t>
  </si>
  <si>
    <t>20/02/2023 08:51:04</t>
  </si>
  <si>
    <t>DVR não conecta as imagens.</t>
  </si>
  <si>
    <t>20/02/2023 08:35:06</t>
  </si>
  <si>
    <t>21/02/2023 08:35:07</t>
  </si>
  <si>
    <t>Defeito:  disparos indevidos na zona 14.</t>
  </si>
  <si>
    <t>19/02/2023 15:41:45</t>
  </si>
  <si>
    <t>DVR 02 OFFLINE</t>
  </si>
  <si>
    <t>19/02/2023 13:57:46</t>
  </si>
  <si>
    <t>20/02/2023 13:57:47</t>
  </si>
  <si>
    <t>Sem imagens  do SUPORTE.</t>
  </si>
  <si>
    <t>19/02/2023 12:57:28</t>
  </si>
  <si>
    <t>20/02/2023 12:57:28</t>
  </si>
  <si>
    <t xml:space="preserve">Unidade com os dois DVR sem comunicação : DS-9016HWI-ST DVR-1 e iDS-7716NXI-I4/16P/X NVR-2 estão OFF-LINE  </t>
  </si>
  <si>
    <t>19/02/2023 12:13:00</t>
  </si>
  <si>
    <t>20/02/2023 12:13:00</t>
  </si>
  <si>
    <t>falha no DVR_ DS-9016HWI-ST DVR-1, onde encontra-se imagens de partição críticas</t>
  </si>
  <si>
    <t>19/02/2023 12:12:54</t>
  </si>
  <si>
    <t>20/02/2023 12:12:54</t>
  </si>
  <si>
    <t>Com Francisco em 24/02/2023  == &gt; &gt;      MASCARAMENTO SENSOR   18/02/2023 14:36:00   5 - CORR_ABAST.   2 - CORREDOR DE ABASTECIMENTO, solicito visita técnica</t>
  </si>
  <si>
    <t>19/02/2023 12:11:51</t>
  </si>
  <si>
    <t xml:space="preserve">1 - AGÊNCIA   19 - SALA DE TERAPIA, DISPAROS INTERMITENTE                                       </t>
  </si>
  <si>
    <t>19/02/2023 11:56:56</t>
  </si>
  <si>
    <t>Defeito: Disparos Intermitentes do Pânico 203</t>
  </si>
  <si>
    <t>19/02/2023 11:27:43</t>
  </si>
  <si>
    <t>19/02/2023 11:27:26</t>
  </si>
  <si>
    <t>Defeito: Disparos Intermitentes da partição 1 zona 6</t>
  </si>
  <si>
    <t>19/02/2023 11:27:15</t>
  </si>
  <si>
    <t>1 - AGÊNCIA   18 - INTERNA disparos intermitente</t>
  </si>
  <si>
    <t>19/02/2023 11:12:59</t>
  </si>
  <si>
    <t>FALHA GERAL DA COMUNICAÇÃO ALARME - REGRA 541</t>
  </si>
  <si>
    <t>19/02/2023 10:57:39</t>
  </si>
  <si>
    <t>2 - SL_ON_LINE   4 - SALA ONLINE.  Disparo de sensor sem causa aparente.</t>
  </si>
  <si>
    <t>19/02/2023 09:42:00</t>
  </si>
  <si>
    <t>Defeito: Violação  de tamper na 23 não cadastrada, mascaramento de sensor na zona   17 WC  feminino .</t>
  </si>
  <si>
    <t>19/02/2023 09:26:42</t>
  </si>
  <si>
    <t>Com Francisco em 24/02/2023  == &gt; &gt;      Falha de comunicação do alarme.</t>
  </si>
  <si>
    <t>19/02/2023 09:12:11</t>
  </si>
  <si>
    <t>27/02/2023 10:00:00</t>
  </si>
  <si>
    <t>CAMERA SAA 02</t>
  </si>
  <si>
    <t>19/02/2023 09:11:54</t>
  </si>
  <si>
    <t>20/02/2023 09:11:54</t>
  </si>
  <si>
    <t>CAMERA SAA  02</t>
  </si>
  <si>
    <t>19/02/2023 09:11:42</t>
  </si>
  <si>
    <t>20/02/2023 09:11:42</t>
  </si>
  <si>
    <t>CAMERA CORREDOR DE ABASTECIMENTO 03</t>
  </si>
  <si>
    <t>19/02/2023 08:56:35</t>
  </si>
  <si>
    <t>20/02/2023 08:56:36</t>
  </si>
  <si>
    <t>Defeito :FALHA GERAL DA COMUNICAÇÃO ALARME .</t>
  </si>
  <si>
    <t>21/02/2023 15:33:06</t>
  </si>
  <si>
    <t>Evento recorrente. Disparos  P 1 - AGÊNCIA Z- 15 - SALA DE REUNIÃO.</t>
  </si>
  <si>
    <t>21/02/2023 10:32:52</t>
  </si>
  <si>
    <t>Disparo constante P 1 zona 1- Tamper da central</t>
  </si>
  <si>
    <t>21/02/2023 08:33:46</t>
  </si>
  <si>
    <t>28/02/2023 13:00:00</t>
  </si>
  <si>
    <t>1 - AGÊNCIA   11 - BANHEIRO disparos intermitente</t>
  </si>
  <si>
    <t>21/02/2023 08:01:34</t>
  </si>
  <si>
    <t>TAA NAO RECONHECE CARTAO OPERACIONAL PARA TENTARMOS VERIFICACAO DE DISPOSITIVO.N</t>
  </si>
  <si>
    <t>22/02/2023 18:38:10</t>
  </si>
  <si>
    <t>23/02/2023 09:30:00</t>
  </si>
  <si>
    <t>CASSETE "D" APRESENTANDO SINAL AMARELO DE ENTINTAMENTO.N</t>
  </si>
  <si>
    <t>22/02/2023 17:46:22</t>
  </si>
  <si>
    <t>TAA APENAS CONSULTA, SEM NOTAS ENRROSCADAS (APARENTEMENTE)N</t>
  </si>
  <si>
    <t>22/02/2023 17:20:30</t>
  </si>
  <si>
    <t>TAA APENAS EM CONSULTA; PROVAVELMENTE C©DUALS ENROSCADASN</t>
  </si>
  <si>
    <t>22/02/2023 17:19:32</t>
  </si>
  <si>
    <t>DVR INOPERANTE.</t>
  </si>
  <si>
    <t>22/02/2023 17:50:05</t>
  </si>
  <si>
    <t>23/02/2023 18:00:00</t>
  </si>
  <si>
    <t>CAMERA FOTOGRAFICA INOPERANTE (CAMARA FOTOGRAFICA);              DISPOSITIVO NAO RESPONDE (CAMARA FOTOGRAFICA);TECLADO CRIPTOGRAFICO/ERRO DE CONFIGURACAO.                                                        N</t>
  </si>
  <si>
    <t>22/02/2023 16:51:06</t>
  </si>
  <si>
    <t>SISTEMA DE ENTINTAMENTO DO CASSETE D INDISPONIVEL - BDU INOPERANTE (SENSORES EXTERNOS); SISTEMA DE ENTINTAMENTO DO CASSETE C INDISPONIVEL - BDU INOPERANTE (SENSORES EXTERNOS).                                                      N</t>
  </si>
  <si>
    <t>22/02/2023 16:41:52</t>
  </si>
  <si>
    <t>SISTEMA DE ENTINTAMENTO DO CASSETE D INDISPONIVEL - BDU INOPERANTE (SENSORES EXTERNOS); ERRO NA LEITURA DO CODIGO DE BARRAS OU DOCUMENTO NAO INSERIDO (LEITORA DE CODIGO DE BARRAS)                                                  N</t>
  </si>
  <si>
    <t>22/02/2023 16:40:01</t>
  </si>
  <si>
    <t>TECLADO CRIPTOGRAFICO INOPERANTE.N</t>
  </si>
  <si>
    <t>22/02/2023 16:37:40</t>
  </si>
  <si>
    <t>587-( I ) ERRO ESTAGIO LIBERACAO DE CEDULA P/CASSETE REJEICAO (DISPENSADORA DE CEDULAS); 577-( E ) ERRO NO SENSOR DE BOCAL (DISPENSADORA DE CEDULAS); 578-( I ) ERRO NO SENSOR DE CONTAGEM (DISPENSADORA DE CEDULAS)                 N</t>
  </si>
  <si>
    <t>22/02/2023 16:29:57</t>
  </si>
  <si>
    <t>TAA NAO INICIALIZA. TERMINAL COM TELA PRETA. ESTA TRAVADO COM    A CHAVE PRESA NO TAA.N</t>
  </si>
  <si>
    <t>22/02/2023 16:29:06</t>
  </si>
  <si>
    <t>Com  Leo em 23/02/2023   == &gt; &gt;      COMPUTADOR OM RECORRENTES DEFEITOS NA INICIALIZACAO E MUITO LENTOIPACTO DIRETO NO RENDIMENTO DO ATENDIMENTO PRESENCIAL.N</t>
  </si>
  <si>
    <t>22/02/2023 16:11:57</t>
  </si>
  <si>
    <t>27/02/2023 12:11:57</t>
  </si>
  <si>
    <t>TERMINAL APRESENTANDO MENSAGEM "DESVIADOR 1 FORA DE POPSI¸AO"    MAQUINA ENTRANDO SEMPRE EM DISPNIBILIDADE DE SAQUE E COM GRANDEQUANTIDADE DE REJEI¸AO                                           RECORR¼NCIA                       N</t>
  </si>
  <si>
    <t>22/02/2023 15:47:23</t>
  </si>
  <si>
    <t>TERMINAL INOPERANTE; TERMINAL FORA DO AR.N</t>
  </si>
  <si>
    <t>22/02/2023 15:49:20</t>
  </si>
  <si>
    <t>990-BATERIA DA PLACA DE SENSORES EM NIVEL BAIXO (SENSORES EXTERNOS); 702-SIRENE DISPARADA (SENSORES EXTERNOS)N</t>
  </si>
  <si>
    <t>22/02/2023 15:46:28</t>
  </si>
  <si>
    <t>FALHA NO MOTOR PRINCIPAL - TAA INDISPON­VEL PARA SAQUESN</t>
  </si>
  <si>
    <t>22/02/2023 15:37:17</t>
  </si>
  <si>
    <t>TAA CONSTANTEMENTE ESTA ENROSCANDO CEDULASN</t>
  </si>
  <si>
    <t>22/02/2023 15:44:04</t>
  </si>
  <si>
    <t>Com  Francisco  em  23/02/2023  == &gt; &gt;      775, 820, 843, TAATI - GERENTE SOLICITA READEQUACAO DE CONFIGURACAO DE CASSETE A PARA NOTAS DE 50 / (87)999064699</t>
  </si>
  <si>
    <t>1060.91</t>
  </si>
  <si>
    <t>SAA-FLORES</t>
  </si>
  <si>
    <t>22/02/2023 15:39:34</t>
  </si>
  <si>
    <t>Solicito vistoria técnica Mascaramento Partição:01 Zona:10</t>
  </si>
  <si>
    <t>22/02/2023 17:14:38</t>
  </si>
  <si>
    <t>23/02/2023 17:00:00</t>
  </si>
  <si>
    <t>FALHA DE SIRENE # 01 DO GABINETE PRINCIPAL (#001)   22/02/2023 16:14:00  DISPAROS DE ALARME DE ZONA 2 - SL_ON_LINE   4 - SALA ONLINE</t>
  </si>
  <si>
    <t>22/02/2023 17:14:35</t>
  </si>
  <si>
    <t>COMPUTADOR NAO SE INCIAN</t>
  </si>
  <si>
    <t>22/02/2023 15:18:05</t>
  </si>
  <si>
    <t>27/02/2023 11:18:05</t>
  </si>
  <si>
    <t>TERMINAL APRESENTANDO FALHAS NO SENSOR DE FECHAMENTO DA PORTA IN FERIOR DO COFRE, ERRO NO TRANSPORTE DE ENVELOPES (DEPOSITATRIO) EREJEICAO MUITO ALTA DE NUMERARIO (ENCHENDO O CASSETE DE REJEICAO MUITO RAPIDAMENTE).               N</t>
  </si>
  <si>
    <t>22/02/2023 15:14:48</t>
  </si>
  <si>
    <t>TERMINAL APRESENTANDO ERRO FREQUENTE NO SENSOR DA PORTA INFERIOR,ACUSANDO SEMPRE QUE A MESMA ESTA ABERTA E COM A SIRENE DISPARANDOVARIAS VEZES POR DIA EM FUNCAO DESTE ERRO.                                                         N</t>
  </si>
  <si>
    <t>22/02/2023 15:11:42</t>
  </si>
  <si>
    <t>FALHA GERAL NOS SENSORES DO MECANISMO DE PAGAMENTO. SISTEMA DE   ENTINTAMENTO NAO ESTA ARMANDO. BIOMETRIA NAO RESPONDE. TERMINALINDISPON­VEL PARA MOVIMENTACAO.                                                                    N</t>
  </si>
  <si>
    <t>22/02/2023 14:52:32</t>
  </si>
  <si>
    <t>22/02/2023 17:02:28</t>
  </si>
  <si>
    <t>MODULO EM ESTADO DE ERRO / REQUISICAO ILEGAL / TERMINAL INDISPONIVEL PARA SAQUES E DEPOSITOS.N</t>
  </si>
  <si>
    <t>22/02/2023 14:19:46</t>
  </si>
  <si>
    <t>CORREIA PARTIDA DA GAVETA DE REJEICAO                            HA NOTAS ENROSCADASN</t>
  </si>
  <si>
    <t>22/02/2023 14:11:50</t>
  </si>
  <si>
    <t>Rodrigo    Telefone Responsável Acompanhamento:  (81) 99775-6895    Observação: Recomposição de sinistro - Furto de 02 Câmeras Externas.</t>
  </si>
  <si>
    <t>22/02/2023 16:51:27</t>
  </si>
  <si>
    <t>28/03/2023 18:00:00</t>
  </si>
  <si>
    <t>pgdm com defeito no sistema de travamento</t>
  </si>
  <si>
    <t>22/02/2023 16:12:35</t>
  </si>
  <si>
    <t>23/02/2023 15:42:35</t>
  </si>
  <si>
    <t>CFTV DO CORREDOR DE ABASTECIMENTO COM PROBLEMA. PEDIMOS ATENDER O MAIS BREVE POSSÍVEL.</t>
  </si>
  <si>
    <t>22/02/2023 16:03:02</t>
  </si>
  <si>
    <t>23/02/2023 16:33:02</t>
  </si>
  <si>
    <t>TROCA DE BATERIA DO CONTROLE DOS VIGILANTES DA PGDM.</t>
  </si>
  <si>
    <t>22/02/2023 15:54:56</t>
  </si>
  <si>
    <t>23/02/2023 15:24:56</t>
  </si>
  <si>
    <t>porta aparentemente foi forçada no feriado. Está com passagem livre/solta.</t>
  </si>
  <si>
    <t>22/02/2023 15:51:04</t>
  </si>
  <si>
    <t>23/02/2023 15:21:04</t>
  </si>
  <si>
    <t>câmera do autoatendimento (entrada) sem imagem.</t>
  </si>
  <si>
    <t>22/02/2023 15:41:14</t>
  </si>
  <si>
    <t>23/02/2023 16:11:14</t>
  </si>
  <si>
    <t>CÂMERA EXTERNA DESFOCADA</t>
  </si>
  <si>
    <t>22/02/2023 15:38:16</t>
  </si>
  <si>
    <t>23/02/2023 16:08:16</t>
  </si>
  <si>
    <t>IMPRESSORA DE CHEQUES COM PROBLEMASN</t>
  </si>
  <si>
    <t>22/02/2023 13:24:20</t>
  </si>
  <si>
    <t>PROBLEMA COM O SISTEMA DE ENTINTAMENTO DOS CASSETESN</t>
  </si>
  <si>
    <t>22/02/2023 13:07:59</t>
  </si>
  <si>
    <t>TAA INOPERANTE. CSE ATIVADON</t>
  </si>
  <si>
    <t>22/02/2023 13:01:29</t>
  </si>
  <si>
    <t>22/02/2023 13:01:00</t>
  </si>
  <si>
    <t>DISPOSITIVO NAO RESPONDE TECLADO CRIPTOGRAFICON</t>
  </si>
  <si>
    <t>22/02/2023 12:49:34</t>
  </si>
  <si>
    <t>201-TERMINAL SEM RESPOSTA (ERROS DO SISTEMA, INCLUIDO O SOFTWARE)N</t>
  </si>
  <si>
    <t>22/02/2023 12:17:59</t>
  </si>
  <si>
    <t>PROBLEMAS NA REINICIALIZA¸AO DO SISTEMAN</t>
  </si>
  <si>
    <t>22/02/2023 12:00:49</t>
  </si>
  <si>
    <t>PROBLEMAS NO MØDULON</t>
  </si>
  <si>
    <t>22/02/2023 11:56:31</t>
  </si>
  <si>
    <t>PROBLEMAS NO MODULO.N</t>
  </si>
  <si>
    <t>22/02/2023 11:55:38</t>
  </si>
  <si>
    <t>TERMINAL NAO INICIAN</t>
  </si>
  <si>
    <t>EQPT-082704</t>
  </si>
  <si>
    <t>T-10 MICRO TMF AG DATEN DC2D-S PE 2017-00350 LOTE 02</t>
  </si>
  <si>
    <t>22/02/2023 11:59:48</t>
  </si>
  <si>
    <t>24/02/2023 16:59:48</t>
  </si>
  <si>
    <t>ERROS DISPOSITIVOS/BIOMETRIA DESCONECTADO/LEITORA CARD.N</t>
  </si>
  <si>
    <t>22/02/2023 11:47:19</t>
  </si>
  <si>
    <t>22/02/2023 11:45:09</t>
  </si>
  <si>
    <t>23/02/2023 12:35:38</t>
  </si>
  <si>
    <t>COMPUTADOR COM DEFEITO, NAO LIGA.N</t>
  </si>
  <si>
    <t>22/02/2023 11:31:25</t>
  </si>
  <si>
    <t>24/02/2023 16:31:25</t>
  </si>
  <si>
    <t>ERRO: HA NOTAS NO TRANSPORTADOR (DISPENSADORA DE CEDULAS)N</t>
  </si>
  <si>
    <t>22/02/2023 11:36:12</t>
  </si>
  <si>
    <t>PROBLEMA COM MØDULO PAGADORN</t>
  </si>
  <si>
    <t>22/02/2023 11:31:14</t>
  </si>
  <si>
    <t>TERMINAL SEM LIGAR E FICA PARADO EM TELA DE LOGIN, TODA PRETA.N</t>
  </si>
  <si>
    <t>22/02/2023 11:28:48</t>
  </si>
  <si>
    <t>24/02/2023 16:28:48</t>
  </si>
  <si>
    <t>FALHA DE COMUNICACAO TRANSACAO MFN</t>
  </si>
  <si>
    <t>22/02/2023 10:18:00</t>
  </si>
  <si>
    <t>4 - SAA.   3 - SAA.  Disparo intermitente de sensor. Solicito remanejamento de sensor pois o mesmo dispara com movimentação na parte externa da agencia.</t>
  </si>
  <si>
    <t>22/02/2023 08:45:02</t>
  </si>
  <si>
    <t>22/02/2023 17:45:02</t>
  </si>
  <si>
    <t>PARTIÇÃO 01 - ZONA 14 COM DISPAROS INDEVIDOS.</t>
  </si>
  <si>
    <t>22/02/2023 08:29:51</t>
  </si>
  <si>
    <t>22/02/2023 17:29:51</t>
  </si>
  <si>
    <t>Disparos de alarme indevidos na partição 01 zona 25.</t>
  </si>
  <si>
    <t>22/02/2023 08:29:46</t>
  </si>
  <si>
    <t>22/02/2023 17:29:46</t>
  </si>
  <si>
    <t>TAA NAO LIGA APØS QUEDA DE ENERGIA NA NOITE ANTERIOR.N</t>
  </si>
  <si>
    <t>4844.82</t>
  </si>
  <si>
    <t>SOP-S.LOURENCO MATA</t>
  </si>
  <si>
    <t>23/02/2023 08:38:13</t>
  </si>
  <si>
    <t>23/02/2023 08:37:01</t>
  </si>
  <si>
    <t>23/02/2023 08:34:54</t>
  </si>
  <si>
    <t>23/02/2023 08:34:33</t>
  </si>
  <si>
    <t>Com Francisco em 23/02/2023  == &gt; &gt;       Disparos sem causa aparente    1 - AGÊNCIA   10 - CORREDOR INTERNO    1 - AGÊNCIA 13-SUPORTE.</t>
  </si>
  <si>
    <t>23/02/2023 08:25:40</t>
  </si>
  <si>
    <t>24/02/2023 09:25:40</t>
  </si>
  <si>
    <t>578, 587, 608, 610, 611, 612, 613, TAA INDISP P/SAQUE/ERRO SENS CONT/ERRO EST LIB CED/73217/12/PRT/BRINKS/ECT-PE / 41 996852011</t>
  </si>
  <si>
    <t>0325.18</t>
  </si>
  <si>
    <t>ECT-PE-DIR.REGIONAL</t>
  </si>
  <si>
    <t>23/02/2023 07:57:19</t>
  </si>
  <si>
    <t>23/02/2023 08:00:00</t>
  </si>
  <si>
    <t>09/04/2021 10:14:16</t>
  </si>
  <si>
    <t>09/04/2021 10:14:15</t>
  </si>
  <si>
    <t>22/04/2021 14:17:55</t>
  </si>
  <si>
    <t>22/04/2021 18:00:00</t>
  </si>
  <si>
    <t>05/05/2021 18:47:33</t>
  </si>
  <si>
    <t>17/06/2021 18:00:00</t>
  </si>
  <si>
    <t>13/05/2021 23:39:48</t>
  </si>
  <si>
    <t>13/05/2021 23:39:24</t>
  </si>
  <si>
    <t>21/09/2021 13:10:24</t>
  </si>
  <si>
    <t>21/10/2021 16:17:01</t>
  </si>
  <si>
    <t>30/12/2021 18:00:00</t>
  </si>
  <si>
    <t>23/06/2022 18:00:00</t>
  </si>
  <si>
    <t>02/06/2022 09:30:05</t>
  </si>
  <si>
    <t>08/08/2022 18:08:12</t>
  </si>
  <si>
    <t>23/08/2022 15:27:18</t>
  </si>
  <si>
    <t>27/09/2022 18:00:00</t>
  </si>
  <si>
    <t>01/09/2022 13:36:35</t>
  </si>
  <si>
    <t>27/10/2022 09:25:39</t>
  </si>
  <si>
    <t>31/10/2022 14:25:39</t>
  </si>
  <si>
    <t>31/10/2022 13:33:00</t>
  </si>
  <si>
    <t>01/11/2022 14:03:00</t>
  </si>
  <si>
    <t>SOBR-006672 (1)  OV  1696011   saiu  01/03/2023   /   SOBR-004918 (1)  OV 1696011 saiu  28/02/2023   == &gt; &gt;      902-VERSAO DE FIRMWARE INCORRETA (BIOMETRIA)  912-DISPOSITIVO INOPERANTE (BIOMETRIA)N</t>
  </si>
  <si>
    <t>Com Huber  em 28/02/2023    D. Carol  irá  separar os KIT's  FERR-000273 (1)  Item não encontrado na árvore do equipamento EQPT-086206  //  FDIE-000462 (1)  OV 1706030  NF 90951 saiu 06/02/2023   == &gt; &gt;       PODEM HAVER CEDULAS PRESAS NO SCROLLN</t>
  </si>
  <si>
    <t>FDIE-000459 (1)  FDIE-000460 (1)  OV 1721274  NF 91313  saiu  27/02/2023   /  FERR-000296 (1)  OV 1718125  / FDIE-000466 (1)  FDIE-000468 (1)  OV  1718124  NF 91232  saiu  22/02/2023  /  FDIE-000456 (1)  FDIE-000466 (1)  OV  1715123  NF  91149 saiu  15/02/2023    / FDIE-000466 (1)  OV  1701656  NF  90899 saiu  02/02/2023    /  FDIE-000466 (1)  OV  1701656   Saiu  em  30/01/2023   == &gt; &gt;      FITAS SOLTAS NO SCROLL, APØS ENROSCOS.N</t>
  </si>
  <si>
    <t>SOBR-004395 (1)  OV 1722446  saiu  28/02/2023   == &gt; &gt;      1 - AGÊNCIA   11 - WC MASC.  Disparo de alarme sem causa aparente. Reaberta ordem de serviço, pois manutenção não solucionou problema. Solicito troca do sensor.</t>
  </si>
  <si>
    <t>SOBR-005113 (1)  OV  1721018  saiu  28/02/2023  /  SOBR-005549 (1)  OV  1712336  NF  91174  saiu 16/02/2023    == &gt; &gt;     TERMINAL NAO LIGA.N</t>
  </si>
  <si>
    <t>Com Huber  em 28/02/2023   == &gt; &gt;      Câmera da tesouraria fora do enquadramento dificultando o monitoramento efetivo, no caso a câmera precisa ser reposicionada ou acrescentar outra no ambiente.</t>
  </si>
  <si>
    <t>SOBR-005313 (1)  OV 1717899  NF 91230  Saiu 22/02/23  == &gt; &gt;      FALHA GERAL DA COMUNICAÇÃO ALARME - RECORRENTE - REGRA 522.  Srª NADIA GRACIELLE TORRES UCHOA ciente.</t>
  </si>
  <si>
    <t xml:space="preserve">SOBR-006367 (20)  OV  1722771   saiu 28/02/2023   /  SOBR-006367 (1)  OV 1720088  NF 91296  saiu  24/02/2023  == &gt; &gt;        Defeito: Track 3581, apresentando bateria baixa.   Gerente: Giovany Sobreira (F5529219)  Tel.: (87) 3871-0668  E-mail: psv9705@bb.com.br  </t>
  </si>
  <si>
    <t>SOBR-004425 (1)  OV 1721328   == &gt; &gt;       TECLADO COM DEFEITON</t>
  </si>
  <si>
    <t>SOBR-004425 (1)  OV  1721327  == &gt; &gt;       TECLADO COM DEFEITON</t>
  </si>
  <si>
    <t>SOBR-004920 (1)  OV  1721019   saiu  28/02/2023  == &gt; &gt;        TECLADO CRIPTOGRAFICO INOPERANTE; JA REALIZAMOS OS COMANDOS DO   MATERIAL 32 E REINICIAMOS A MAQUINA, MAS NAO RESOLVEU O PROBLEMA.N</t>
  </si>
  <si>
    <t>PARTIÇÃO 03 - ZONA 06 DISPAROS INDEVIDOS.</t>
  </si>
  <si>
    <t>SOBR-006565 (1)  OV  1721022  NF 91308  saiu  27/02/2023  chegou  28/02/2023   /  SOBR-006565 (1)  Item não encontrado na árvore do equipamento GRPE-000001   == &gt; &gt;      Fonte de equipamento queimou, indisponibilidade total, agência sem monitoramento por câmeras.</t>
  </si>
  <si>
    <t>Com Ernandes em  27/02/2023  == &gt; &gt;      IMPRESSORA DESTRUINDO TODOS OS CHEQUES IMPRESSOSN</t>
  </si>
  <si>
    <t>Com Ernandes em  27/02/2023  == &gt; &gt;      GAVETA B ENROSCANDO CEDULA NA SAIDAN</t>
  </si>
  <si>
    <t>SOBR-001719 (1)  OV  1720919   saiu  28/02/2023   == &gt; &gt;        TROCAR HD CONFORME ORIENTA¸AO DA DITEC, CONFORME SOLICITA¸AO     INT20230046952 ABERTA NO SUPORTE TECNICO.N</t>
  </si>
  <si>
    <t>SOBR-005125 (2) NSPP-003766 (8)  OV  1723408   == &gt; &gt;        TAA COM OS CASSETES A E B SEM PAGAR611-( I ) CASSETE B INDISPONIVEL PARA SAQUE (DISPENSADORA DE CEDULAS)N</t>
  </si>
  <si>
    <t>Com Leo em 28/02/2023  == &gt; &gt;      Disparos indevidos sem causa aparente P03 / Z05.</t>
  </si>
  <si>
    <t>SOBR-004395 (2)  OV 1720577 saiu em 28/02/2023  == &gt; &gt;        MASCARAMENTO SENSOR   18/02/2023 14:36:00   5 - CORR_ABAST.   2 - CORREDOR DE ABASTECIMENTO, solicito visita técnica</t>
  </si>
  <si>
    <t>Com Huber em 27/02/2023  == &gt; &gt;      2 - SL_ON_LINE   4 - SALA ONLINE.  Disparo de sensor sem causa aparente.</t>
  </si>
  <si>
    <t>SEM CONEXAO A INTERNETN</t>
  </si>
  <si>
    <t>APARECEU UMA MENSAGEM NA TELA QUE ESTAVA SEM SINAL E O MONITOR   ENTRARIA NO MODO DE ECONOMIA DE ENERGIA.NAO VOLTOU A FUNCIONAR, MESMO DELIGANDO E ELIGANDO NOVAMENTE.                                      N</t>
  </si>
  <si>
    <t>8896.00</t>
  </si>
  <si>
    <t>DISIN-SEGUR.INST.</t>
  </si>
  <si>
    <t>DF</t>
  </si>
  <si>
    <t>DVR OFFLINE, LOCAL NÃO COMUNICA COM A CENTRAL</t>
  </si>
  <si>
    <t>PROBLEMA NO MODULO DE PAGAMENTON</t>
  </si>
  <si>
    <t>SIRENE DISPARADA , BATERIA BAIXAN</t>
  </si>
  <si>
    <t>TRANSPORTE INOPERANTE DEVIDO A ERRO DE HARDWAREN</t>
  </si>
  <si>
    <t>1764.91</t>
  </si>
  <si>
    <t>SAA-CEDRO</t>
  </si>
  <si>
    <t>608-( I ) TERMINAL INDISPONIVEL PARA SAQUES (DISPENSADORA DE CEDU591-( I ) SENSOR DE ESPESSURA - LIMITE DO GANHO (DISPENSADORA DE585-( I ) ERRO NO SENSOR DE ALIMENTACAO (DISPENSADORA DE CEDULAS)                                  N</t>
  </si>
  <si>
    <t>8889.01</t>
  </si>
  <si>
    <t>SOP-JUAZEIRO</t>
  </si>
  <si>
    <t>SOBR-001780 (1)  Item não encontrado na árvore do equipamento GRPE-900022  == &gt; &gt;      Defeito: Sensor sísmico zona 18 inoperante (necessário trocar o sensor/técnico Sr. Ernandes);  Gerente: JOAO PAULO - F4956816;  Telefone: (87) 3821-1157  psv9700@bb.com.br</t>
  </si>
  <si>
    <t>NOTEBOOK NAO LIGA. DAR 1 BIP E APOS 1 SEGUNDO MAIS 5 RAPIDOS.N</t>
  </si>
  <si>
    <t>ATOLAMENTO, MODULO EM ESTADO DE ERRO, REQUISICAO ILEGAL,         C©DULAS PRESAS E INDISPON­VEL PARA SAQUE.N</t>
  </si>
  <si>
    <t>câmeras com imagens com problemas</t>
  </si>
  <si>
    <t>PROBLEMA COM O TECLADON</t>
  </si>
  <si>
    <t>8935.01</t>
  </si>
  <si>
    <t>GEPES PE/GRUPO</t>
  </si>
  <si>
    <t>DESTRUINDO AS CEDULAS DA GAVETA D. ATOLA CONSTANTEMENTE.N</t>
  </si>
  <si>
    <t>IMPRESSAO DOS CHEQUES COM MUITAS FALHAS , TONER TROCADO POR UM   NOVO E CONTINUA AS FALHAS...SENDO IMPOSSIVEL LER O CODIGO DEBARRAS DO MESMO.                                                                                   N</t>
  </si>
  <si>
    <t>PORTA DE ENTITAMENTO APRESENTANDO DIFICULDADES PARA FECHARN</t>
  </si>
  <si>
    <t>TERMINAL RASGANDO DIVERSAS C©DULAS DO CASSETE C.                 CASSETE D COM FOLGA PARA ENCAIXAR A TAMPA.N</t>
  </si>
  <si>
    <t>ERRO CONSTANTE NO SENSOR DE DEPOSITARION</t>
  </si>
  <si>
    <t>Disparo de alarme indevido do acionador 205 - VIGILANTE.</t>
  </si>
  <si>
    <t>DVR OFFILINE, IMAGENS INDISPONÍVEIS</t>
  </si>
  <si>
    <t>TAA INDISP P/SAQUE/VERIFIC REDE MAN/CABOS/DISPOS/71540/13/PRT/BRINKS/AABB-RECIFE/PE / 41 996852011</t>
  </si>
  <si>
    <t>PROBLEMAS NO CASSETE C - AMASSANDO C©DULASN</t>
  </si>
  <si>
    <t>PROBLEMAS NO CASSETE B - AMASSANDO C©DULASN</t>
  </si>
  <si>
    <t>546-( I ) NOTAS ENROSCADAS (DISPENSADORA DE CEDULAS)N</t>
  </si>
  <si>
    <t>TERMINAL INOPERANTE                                              BIOMETRIA INOPERANTEVERSAO DE FIRWARE INCORRETA                                                                        N</t>
  </si>
  <si>
    <t>-DISPOSITIVO INOPERANTE (BIOMETRIA                               901-DISPOSITIVO NAO RESPONDE (BIOMETRIA)N</t>
  </si>
  <si>
    <t>MAQUINA INOPERANTE, NAO FUNCIONANDO NENHUM SISTEMA.              AFETANDO A DISPONIBILIDADE.N</t>
  </si>
  <si>
    <t>4844.29</t>
  </si>
  <si>
    <t>SOP-TRE-TRIB.ELEIT</t>
  </si>
  <si>
    <t>DSU DO CASSETE D DILACERANDO AS NOTASN</t>
  </si>
  <si>
    <t>Com Macio em 28/02/2023   == &gt; &gt;      Defeito: Geradores de neblina, 01,02 e 03 estão com fluídos esgotados;  Gerente: JOSE GIOVANY DA LUZ SOBREIRA F5529219;  E-mail: psv9705@bb.com.br;  Telefone: (87) 3871-0668</t>
  </si>
  <si>
    <t>TERMINAL DE CAIXA NAO ESTA INICIALIZANDO.N</t>
  </si>
  <si>
    <t>MONITOR NAO LIGOUN</t>
  </si>
  <si>
    <t>TMF COM PROBLEMA DE COMUNICA¸AO. DEPOIS QUE UM TECNICO COMPARECEUPARA TROCA DE SWICTH 2 COMPUTADORES FICARAM SEM FUNCIONAR.N</t>
  </si>
  <si>
    <t>Solicitamos atendimento ao(s) no-break(s) da sala online (frequente oscilações no sistema). Priorizar a instalação e o funcionamento dos no-breks da sala on-line e, caso necessário, realizar a mudança do equipamento de locais menos críticos</t>
  </si>
  <si>
    <t>TERMINAL COM MONITOR APAGADON</t>
  </si>
  <si>
    <t>C©DULAS DE 50,00 ENROSCADAS NAO PROCESSA OS DEPOSITOS DOS CLIENTES. EQUIPAMENTO APRESENTANDO ABERTURA DE VARIOS CTRS EM FUNCAO DOSTRANSTORNOS CAUSADOS AOS CLIENTES                                                                  N</t>
  </si>
  <si>
    <t>DVR 1 OFFLINE, E NVR 2 4 IMAGENS APENAS.</t>
  </si>
  <si>
    <t>Com Francisco em  28/02/2023  == &gt; &gt;       TECLADO CRIPTOGRAFICON</t>
  </si>
  <si>
    <t>Com Francisco em  28/02/2023  == &gt; &gt;       TERMINAL INDISPONIVEL PARA SAQUE E DEPOSITO, C©DULAS RETIDAS CONSTANTEMENTE, C©DULA ENROSCADA.N</t>
  </si>
  <si>
    <t>NAO ESTA LIGANDON</t>
  </si>
  <si>
    <t>PVV sem acesso remoto. Gentiliza , analisar.  INT20230053037</t>
  </si>
  <si>
    <t>PERF-000052 (1)  OV  1721264  /  SOBR-004792 (3) SOBR-004879 (1)  SOBR-008122 (1)  OV 1722614  saiu  28/02/2023   == &gt; &gt;         IMPRESSORA ATOLANDO PAPEL.N</t>
  </si>
  <si>
    <t>IMPRESSORA DE CHEQUE FATIANDO AS FOLHA E ATOLANDO CONSTANTEMENTE.N</t>
  </si>
  <si>
    <t>TERMINAL INDISPONIVEL PARA SAQUES E DEPØSITOS:                   =&gt; PROBLEMA NO MØDULO SUPERIOR.N</t>
  </si>
  <si>
    <t>FALHA GERAL NO SISTEMA DE ENTINTAMENTO DO CASSETE D - BDU INOPERANTE (SENSORES EXTERNOS);PROXIMIDADE DE TERMINO DE CEDULAS - CASSETE D (MODULO RECICLADOR DE C©DULAS); TROCA DA GAVETA                                               N</t>
  </si>
  <si>
    <t>Instalação de teclado auxiliar para uso do acesso a tesouraria. obs: infraestrutura não  ajustada.  Nome: Dero Ribeiro   Chave:F2406177-8  Telefone:(87)30359126  Email: pso8889@bb.com.br</t>
  </si>
  <si>
    <t xml:space="preserve">Sensor de presença com disparos indevidos na tesouraria.Obs: solicita revisão.   Nome: Dero Ribeiro   Chave:F2406177-8  Telefone:(87)30359126  Email: pso8889@bb.com.br </t>
  </si>
  <si>
    <t>FDIE-000395 (1)  OV  1722424  == &gt; &gt;     GAVETA "C" NAO ESTA PAGANDON</t>
  </si>
  <si>
    <t>EQUIPAMENTO TRAVANDO FREQUENTEMENTE, TOUCHE ESCREEN MUITO RUIMN</t>
  </si>
  <si>
    <t>COMPUTADOR NAO INICIAN</t>
  </si>
  <si>
    <t xml:space="preserve">Solicita ajuste de foco / reposicionamento  em todas as câmeras após reforma.  Nome : Suzete Motta   Matrícula : f8626129-0  Telefone : 74 9 91098499  e - mail : age5749@bb.com.br </t>
  </si>
  <si>
    <t>EQPT-081284</t>
  </si>
  <si>
    <t>4845.23</t>
  </si>
  <si>
    <t>SOP-CHESF</t>
  </si>
  <si>
    <t>T-10 TOP TERMINAL DO OPERADOR PERTO TC-1000 PE 2016-05482</t>
  </si>
  <si>
    <t>698, TERMINAL COM ERRO DE HARDWARE, MODULO EM ESTADO DE ERRO, INDISPONIVEL PARA SAQUE E DEPOSITO.               / 81 991520903</t>
  </si>
  <si>
    <t>SIRENE DO SENSOR EXTERNO DISPARANDO A TODO MOMENTO.N</t>
  </si>
  <si>
    <t>APOS REESTABELECIMENTO DA PARTE EL©TRICA O MODULO ENTROU EM ESTADO DE ERRON</t>
  </si>
  <si>
    <t>TERMINAL COM POSS­VEL ENROSCO NAO IDENTIFICADO SOBRE OS TRILHO,  PROVAVELMENTE NAS ENGRENAGENS.N</t>
  </si>
  <si>
    <t>CEDULAS PRESAS NO MECANISMO.N</t>
  </si>
  <si>
    <t>CASSETE C COM FALHA NO SISTEMA DE ENTINTAMENTO;                  CASSETE B NAO ENCAIXA DIREITON</t>
  </si>
  <si>
    <t>TAA COM CARTAO PRESO DENTRO DA LEITORAN</t>
  </si>
  <si>
    <t>4844.71</t>
  </si>
  <si>
    <t>SOP-BENFICA-PE</t>
  </si>
  <si>
    <t>ESCAANNER COM PROBLEMAS PARA PUXAR O PAPEL E FAZENDO BARULHO.N</t>
  </si>
  <si>
    <t>TAA RECICLADORA INDISPON­VEL PARA SAQUES/DEPOSITOS. CASSETES A, BE C COM LUZES VERDES, MAS A INDICACAO NA PORTA LATERAL FICA COMLUZES VERMELHAS PISCANDO RAPIDO. E LUZ AZUL PISCANDO RAPIDO DO   CLS.                              N</t>
  </si>
  <si>
    <t>MAQUINA ESTA PAGANDO VALOR A MAIOR PARA CLIENTE.N</t>
  </si>
  <si>
    <t>Nome/ chave- Abner Santos/ F0038229  Defeito- alarme com disparos indevidos, mascaramentos, verificar configuração arme e desarme e sirene ( tesouraria).  Tel-81 998319181  Email- age0233@bb.com.br</t>
  </si>
  <si>
    <t xml:space="preserve">Defeito: 87 - SISMICO PISO COFRE LADO ESQUERDO - sinaliza com atraso (necessita ajuste em sensibilidade).   Funcionário: Marcelo F6771081  Tel: (81) 3425-7501  E-mail: psv9406@bb.com.br  </t>
  </si>
  <si>
    <t>COMPUTADOR NAO ESTA LIGANDON</t>
  </si>
  <si>
    <t>COMPUTADOR NAO REINICIALIZAN</t>
  </si>
  <si>
    <t>TERMINAL FOI REMANEJADO DE OUTRO PREFIXO, POSSUINDO APENAS 01 CHAVE DO COFRE PARA TERCEIRIZACAO, SOLICITAMOS TROCA DO MIOLO DAS CHAVES.                                                                                              N</t>
  </si>
  <si>
    <t>GAVETA "A" COM DEFEITO, ENROSCO CONSTANTE.N</t>
  </si>
  <si>
    <t>GAVETA "D" COM DEFEITO.N</t>
  </si>
  <si>
    <t>Disparos indevidos sem causa aparente P03 / Z08.</t>
  </si>
  <si>
    <t>Disparos indevidos sem causa aparente P01 /Z34.</t>
  </si>
  <si>
    <t>1 - AGÊNCIA ZONA (INEXISTENTE) 01.  Disparo com inconformidade em zona inexistente.</t>
  </si>
  <si>
    <t>CPU NAO PERMITE LOGAR - NAO INICIAN</t>
  </si>
  <si>
    <t>TAA NECESSITANDO DE LIMPEZA/MANUTENCAO PREVENTIVA.N</t>
  </si>
  <si>
    <t>0834.91</t>
  </si>
  <si>
    <t>SAA-BONITO</t>
  </si>
  <si>
    <t>MECANISMO DE PAGAMENTO COM PROBLEMAS (DISPENSADORA DE CEDULAS)   PEDIMOS URGªNCIA EM VIRTUDE DO PAGAMENTO DA FOPAG DA PREFEITURALOCAL                                                                                              N</t>
  </si>
  <si>
    <t>TAA INDISPONIVEL PARA SAQUE. FITA DA CAIXA DE REJEI¸AO DO MODULO SUPERIOR ESTA SOLTA.N</t>
  </si>
  <si>
    <t xml:space="preserve">Agencia está gerando falsos disparos na partição 4 zona 04.   </t>
  </si>
  <si>
    <t xml:space="preserve">FALHA GERAL DA COMUNICAÇÃO ALARME - REGRA 541  </t>
  </si>
  <si>
    <t>câmera da saa 3 (no vídeo).</t>
  </si>
  <si>
    <t>1 - AGÊNCIA 23 - SALA QVT.  Disparo intermitente de sensor sem causa aparente.</t>
  </si>
  <si>
    <t>Disparos indevidos sem causa aparente P01/ Z12.</t>
  </si>
  <si>
    <t xml:space="preserve">Com Macio em 28/02/2023   == &gt; &gt;      Defeito: Zona 7 wc feminino sala de contagem com disparo intermitente (GN acionado);  Gerente: GIOVANY SOBREIRA - F5529219;  Telefone: (87) 3871-0668  psv9705@bb.com.br  </t>
  </si>
  <si>
    <t>Disparo de alarme e mascaramento de sensor indevido e reincidente na zona 4 - BATERIA DE CAIXA.   contato co gerente Sr. SEVERINO JOSE DA SILVA</t>
  </si>
  <si>
    <t xml:space="preserve">Defeito: o  alarme esta com falha de comunicação  Nome/ Matr: Flavio Barros F3314549  Tel: 81 991289999  Email: age3250@bb.com.br </t>
  </si>
  <si>
    <t>608, TAA INDISP P/SAQUE/CEDULAS NAO RETIRADAS/VERIF DISPOS/71487/13/PRT/BRINKS/PORTO DO RECIFE/PE / 41 996852011</t>
  </si>
  <si>
    <t>7802.55</t>
  </si>
  <si>
    <t>PORTO DO RECIFE</t>
  </si>
  <si>
    <t>FALHA GERAL DA COMUNICAÇÃO ALARME - REGRA 541 ALARME_INTRUSAO   26/02/23 21:46 3375122802   SALA ONLINE.</t>
  </si>
  <si>
    <t>Sinalização frequente nos sensores 12 SAO e 25 WC PNE.</t>
  </si>
  <si>
    <t>câmera da tesouraria sem sinal, bateria de caixa e alto atendimento_1</t>
  </si>
  <si>
    <t>DVR 1 UMA IMAGAGEM, NVR 2 SEM IMAGEM DA SALA ONLINE, IMAGEM DA TESSOURARIA SEM VISUALIZAÇÃO DO COFRE.</t>
  </si>
  <si>
    <t>Câmeras da SAA_1 , SAA_entrada , PGDM _1 e 2 , bateria de caixa e sala online estão sem sinal</t>
  </si>
  <si>
    <t>FALHA DE SIRENE # 02 DO GABINETE PRINCIPAL (001)   26/02/2023 18:15:00  DISPARO DE ZONA AMB NEG - EXPEDIENTE - REGRA 762   26/02/2023 18:14:00   3 - TESOURARIA   8 - TESOURARIA</t>
  </si>
  <si>
    <t>Disparos sem causa aparente P1 - AGÊNCIA   Z12 - ENTRADA PGDM   -</t>
  </si>
  <si>
    <t xml:space="preserve">P1 - AGÊNCIA   Z7 - ESPERA SAO   </t>
  </si>
  <si>
    <t>GERADOR DE NEBLINA TESOURARIA.</t>
  </si>
  <si>
    <t>Solicito uma vistoria técnica partição:04 zona:06 SAA DIREITA</t>
  </si>
  <si>
    <t xml:space="preserve">NAO RESTAUROU FALHA DE ENERGIA (ALARME) solicito visita técnica  </t>
  </si>
  <si>
    <t>Aberto Chamados de Instalação  9522103 -  9524505  em 28/02/2023  ATOS-008419 (1)  OV 1723662  saiu  01/03/2023    == &gt; &gt;      DVR possui um canal com a nomenclatura CORRE_ABAST_1 sem sinal.</t>
  </si>
  <si>
    <t>GERADOR DE NEBLINA - FALHA - FORA DO EXPEDIENTE.</t>
  </si>
  <si>
    <t>Inconformidade Partição 4 - SAA. Zona 023.</t>
  </si>
  <si>
    <t>FALHA DE ENERGIA (ALARME).</t>
  </si>
  <si>
    <t>Defeito: disparos indevido na zona 13  GERENCIA.</t>
  </si>
  <si>
    <t>Disparo de alarme indevido na Zona 9 - SUPORTE</t>
  </si>
  <si>
    <t>DVR 01 Off line</t>
  </si>
  <si>
    <t>Defeito: Mascaramento de sensor na zona 10 copa, fazer a troca do sensor .  Gerente THIAGO ELIAQUIM MONTEIRO PEREIRA ciente.</t>
  </si>
  <si>
    <t>Disparo de alarme sem causa aparente Partição 4 Zona 7 (SAA).</t>
  </si>
  <si>
    <t>Disparo de alarme sem causa aparente Partição 1 Zona 28 (SALA DE AR COND EXTERNO).</t>
  </si>
  <si>
    <t>Câmera da Sala Online encontra-se sem sinal</t>
  </si>
  <si>
    <t>MASCARAMENTO SENSOR   24/02/2023 17:58:00   1 - AGÊNCIA   15 - ADM WC</t>
  </si>
  <si>
    <t>Defeito: Apos o arme do funcionário, disparos nas zonas 09, 26, 30 e 35 constantes.   Gerente: CESANILDO DA SILVA FARIAS  Email: csf@bb.com.br</t>
  </si>
  <si>
    <t>06/01/2023 10:23:02</t>
  </si>
  <si>
    <t>06/01/2023 10:22:57</t>
  </si>
  <si>
    <t>06/01/2023 10:22:56</t>
  </si>
  <si>
    <t>06/01/2023 10:22:49</t>
  </si>
  <si>
    <t>06/01/2023 10:22:38</t>
  </si>
  <si>
    <t>06/01/2023 10:22:31</t>
  </si>
  <si>
    <t>06/01/2023 10:21:51</t>
  </si>
  <si>
    <t>06/01/2023 10:21:44</t>
  </si>
  <si>
    <t>06/01/2023 10:20:51</t>
  </si>
  <si>
    <t>Porta não esta funcionando na ausência de energia elétrica e controles totalmente quebrados.</t>
  </si>
  <si>
    <t>07/03/2023 14:05:00</t>
  </si>
  <si>
    <t>PODEM HAVER CEDULAS PRESAS NO SCROLLN</t>
  </si>
  <si>
    <t>02/02/2023 10:41:25</t>
  </si>
  <si>
    <t>02/02/2023 10:34:09</t>
  </si>
  <si>
    <t>02/02/2023 10:22:21</t>
  </si>
  <si>
    <t>02/02/2023 07:16:49</t>
  </si>
  <si>
    <t xml:space="preserve">problema na receptora da central .  </t>
  </si>
  <si>
    <t>03/03/2023 15:35:00</t>
  </si>
  <si>
    <t>02/03/2023 14:00:00</t>
  </si>
  <si>
    <t>TECLADO CRIPTOGRAFICO INOPERANTE                                 'N</t>
  </si>
  <si>
    <t>10/03/2023 17:00:00</t>
  </si>
  <si>
    <t>06/03/2023 11:00:00</t>
  </si>
  <si>
    <t>AGÊNCIA   11 - WC MASC.  Disparo de alarme sem causa aparente. Reaberta ordem de serviço, pois manutenção não solucionou problema. Solicito troca do sensor.</t>
  </si>
  <si>
    <t>TAA INDISP P/SAQUE/CASSETES A,B,C,D,INDISP/DESV 2 FORA DE POSIC/71170/13/PRT/B / 41 996852011</t>
  </si>
  <si>
    <t>TERMINAL INDISPONIVEL PARA SAQUE E DEPØSITO, ENROSCANDO C©DULAS. / 87981829373</t>
  </si>
  <si>
    <t>01/03/2023 15:00:00</t>
  </si>
  <si>
    <t>06/03/2023 12:30:00</t>
  </si>
  <si>
    <t>15/02/2023 19:04:02</t>
  </si>
  <si>
    <t>16/02/2023 09:30:00</t>
  </si>
  <si>
    <t>15/02/2023 18:07:33</t>
  </si>
  <si>
    <t>15/02/2023 17:31:12</t>
  </si>
  <si>
    <t>16/02/2023 17:31:12</t>
  </si>
  <si>
    <t>15/02/2023 17:11:17</t>
  </si>
  <si>
    <t>16/02/2023 10:00:00</t>
  </si>
  <si>
    <t>15/02/2023 14:56:01</t>
  </si>
  <si>
    <t>16/02/2023 15:04:08</t>
  </si>
  <si>
    <t>15/02/2023 14:42:36</t>
  </si>
  <si>
    <t>NIVEL BATERIA BAIXO (TECLADO CRIPTOGRAFICO) / 81986964519</t>
  </si>
  <si>
    <t>09/03/2023 17:30:00</t>
  </si>
  <si>
    <t>03/03/2023 14:35:00</t>
  </si>
  <si>
    <t>16/02/2023 16:59:53</t>
  </si>
  <si>
    <t>23/02/2023 12:59:53</t>
  </si>
  <si>
    <t>16/02/2023 16:59:18</t>
  </si>
  <si>
    <t>23/02/2023 12:59:18</t>
  </si>
  <si>
    <t>16/02/2023 15:20:53</t>
  </si>
  <si>
    <t>16/02/2023 14:54:05</t>
  </si>
  <si>
    <t>16/02/2023 14:21:47</t>
  </si>
  <si>
    <t>16/02/2023 12:52:50</t>
  </si>
  <si>
    <t>16/02/2023 11:14:08</t>
  </si>
  <si>
    <t>16/02/2023 11:16:11</t>
  </si>
  <si>
    <t>16/02/2023 11:13:42</t>
  </si>
  <si>
    <t>16/02/2023 10:32:33</t>
  </si>
  <si>
    <t>16/02/2023 10:00:34</t>
  </si>
  <si>
    <t>16/02/2023 09:40:49</t>
  </si>
  <si>
    <t>22/02/2023 14:40:49</t>
  </si>
  <si>
    <t>16/02/2023 08:27:35</t>
  </si>
  <si>
    <t>Fonte de equipamento queimou, indisponibilidade total, agência sem monitoramento por câmeras.</t>
  </si>
  <si>
    <t>17/02/2023 16:45:28</t>
  </si>
  <si>
    <t>17/02/2023 15:30:03</t>
  </si>
  <si>
    <t>17/02/2023 14:32:33</t>
  </si>
  <si>
    <t>17/02/2023 14:45:28</t>
  </si>
  <si>
    <t>17/02/2023 14:29:37</t>
  </si>
  <si>
    <t>17/02/2023 13:42:32</t>
  </si>
  <si>
    <t>17/02/2023 10:50:38</t>
  </si>
  <si>
    <t>SOBR-005125 (2) NSPP-003766 (8)  OV  1723408   saiu 01/03/2023   == &gt; &gt;        TAA COM OS CASSETES A E B SEM PAGAR611-( I ) CASSETE B INDISPONIVEL PARA SAQUE (DISPENSADORA DE CEDULAS)N</t>
  </si>
  <si>
    <t>17/02/2023 10:50:30</t>
  </si>
  <si>
    <t>17/02/2023 10:46:54</t>
  </si>
  <si>
    <t>17/02/2023 10:46:45</t>
  </si>
  <si>
    <t>17/02/2023 10:45:29</t>
  </si>
  <si>
    <t>17/02/2023 08:46:22</t>
  </si>
  <si>
    <t>MASCARAMENTO SENSOR   18/02/2023 14:36:00   5 - CORR_ABAST.   2 - CORREDOR DE ABASTECIMENTO, solicito visita técnica</t>
  </si>
  <si>
    <t>SL_ON_LINE   4 - SALA ONLINE.  Disparo de sensor sem causa aparente.</t>
  </si>
  <si>
    <t>Defeito: Sensor sísmico zona 18 inoperante (necessário trocar o sensor/técnico Sr. Ernandes);  Gerente: JOAO PAULO - F4956816;  Telefone: (87) 3821-1157  psv9700@bb.com.br</t>
  </si>
  <si>
    <t>DISPOSITIVO INOPERANTE (BIOMETRIA                               901-DISPOSITIVO NAO RESPONDE (BIOMETRIA)N</t>
  </si>
  <si>
    <t>Defeito: Geradores de neblina, 01,02 e 03 estão com fluídos esgotados;  Gerente: JOSE GIOVANY DA LUZ SOBREIRA F5529219;  E-mail: psv9705@bb.com.br;  Telefone: (87) 3871-0668</t>
  </si>
  <si>
    <t>24/02/2023 17:18:49</t>
  </si>
  <si>
    <t>01/03/2023 09:18:49</t>
  </si>
  <si>
    <t>IMPRESSORA ATOLANDO PAPEL.N</t>
  </si>
  <si>
    <t>GAVETA "C" NAO ESTA PAGANDON</t>
  </si>
  <si>
    <t xml:space="preserve">Defeito: Zona 7 wc feminino sala de contagem com disparo intermitente (GN acionado);  Gerente: GIOVANY SOBREIRA - F5529219;  Telefone: (87) 3871-0668  psv9705@bb.com.br  </t>
  </si>
  <si>
    <t>TERMINAL INDISPONIVEL PARA SAQUES E DEPOSITOS, OPERAAO FALHOU; PODEM HAVER C©DULAR PRESAS.N</t>
  </si>
  <si>
    <t>CORREIAS SOLTAS. INDISPONIVEL P SAQUESN</t>
  </si>
  <si>
    <t>INVENTARIO DE ATIVOS DE SEGURANÇA BBTS - 1°SEMESTRE DE 2023.</t>
  </si>
  <si>
    <t>27/02/2023 17:22:56</t>
  </si>
  <si>
    <t>28/02/2023 17:22:56</t>
  </si>
  <si>
    <t>27/02/2023 17:22:49</t>
  </si>
  <si>
    <t>28/02/2023 17:22:49</t>
  </si>
  <si>
    <t>27/02/2023 17:22:46</t>
  </si>
  <si>
    <t>27/02/2023 17:21:46</t>
  </si>
  <si>
    <t>28/02/2023 17:21:46</t>
  </si>
  <si>
    <t>27/02/2023 17:21:42</t>
  </si>
  <si>
    <t>28/02/2023 17:21:42</t>
  </si>
  <si>
    <t>27/02/2023 17:21:38</t>
  </si>
  <si>
    <t>28/02/2023 17:21:38</t>
  </si>
  <si>
    <t>27/02/2023 17:21:37</t>
  </si>
  <si>
    <t>28/02/2023 17:21:37</t>
  </si>
  <si>
    <t>27/02/2023 17:21:12</t>
  </si>
  <si>
    <t>28/02/2023 17:21:13</t>
  </si>
  <si>
    <t>27/02/2023 17:21:11</t>
  </si>
  <si>
    <t>28/02/2023 17:21:11</t>
  </si>
  <si>
    <t>27/02/2023 17:21:05</t>
  </si>
  <si>
    <t>28/02/2023 17:21:05</t>
  </si>
  <si>
    <t>27/02/2023 17:20:50</t>
  </si>
  <si>
    <t>27/02/2023 17:20:48</t>
  </si>
  <si>
    <t>27/02/2023 17:20:15</t>
  </si>
  <si>
    <t>27/02/2023 17:20:12</t>
  </si>
  <si>
    <t>27/02/2023 17:20:00</t>
  </si>
  <si>
    <t>27/02/2023 17:17:34</t>
  </si>
  <si>
    <t>28/02/2023 17:17:34</t>
  </si>
  <si>
    <t>27/02/2023 17:17:30</t>
  </si>
  <si>
    <t>28/02/2023 17:17:30</t>
  </si>
  <si>
    <t>27/02/2023 17:17:27</t>
  </si>
  <si>
    <t>28/02/2023 17:17:27</t>
  </si>
  <si>
    <t>27/02/2023 17:17:26</t>
  </si>
  <si>
    <t>28/02/2023 17:17:26</t>
  </si>
  <si>
    <t>27/02/2023 17:17:23</t>
  </si>
  <si>
    <t>28/02/2023 17:17:23</t>
  </si>
  <si>
    <t>27/02/2023 17:17:18</t>
  </si>
  <si>
    <t>28/02/2023 17:17:18</t>
  </si>
  <si>
    <t>27/02/2023 17:17:14</t>
  </si>
  <si>
    <t>28/02/2023 17:17:15</t>
  </si>
  <si>
    <t>28/02/2023 17:17:14</t>
  </si>
  <si>
    <t>27/02/2023 17:17:12</t>
  </si>
  <si>
    <t>28/02/2023 17:17:12</t>
  </si>
  <si>
    <t>27/02/2023 17:17:11</t>
  </si>
  <si>
    <t>28/02/2023 17:17:11</t>
  </si>
  <si>
    <t>27/02/2023 17:16:11</t>
  </si>
  <si>
    <t>28/02/2023 17:16:11</t>
  </si>
  <si>
    <t>27/02/2023 17:16:08</t>
  </si>
  <si>
    <t>28/02/2023 17:16:08</t>
  </si>
  <si>
    <t>27/02/2023 17:16:07</t>
  </si>
  <si>
    <t>28/02/2023 17:16:07</t>
  </si>
  <si>
    <t>27/02/2023 17:16:06</t>
  </si>
  <si>
    <t>28/02/2023 17:16:06</t>
  </si>
  <si>
    <t>27/02/2023 17:16:05</t>
  </si>
  <si>
    <t>28/02/2023 17:16:05</t>
  </si>
  <si>
    <t>27/02/2023 17:16:04</t>
  </si>
  <si>
    <t>28/02/2023 17:16:04</t>
  </si>
  <si>
    <t>27/02/2023 17:16:01</t>
  </si>
  <si>
    <t>28/02/2023 17:16:01</t>
  </si>
  <si>
    <t>27/02/2023 17:15:58</t>
  </si>
  <si>
    <t>28/02/2023 17:15:59</t>
  </si>
  <si>
    <t>27/02/2023 17:15:55</t>
  </si>
  <si>
    <t>28/02/2023 17:15:55</t>
  </si>
  <si>
    <t>27/02/2023 17:15:53</t>
  </si>
  <si>
    <t>28/02/2023 17:15:53</t>
  </si>
  <si>
    <t>27/02/2023 17:15:52</t>
  </si>
  <si>
    <t>28/02/2023 17:15:52</t>
  </si>
  <si>
    <t>27/02/2023 17:15:49</t>
  </si>
  <si>
    <t>28/02/2023 17:15:50</t>
  </si>
  <si>
    <t>27/02/2023 17:15:36</t>
  </si>
  <si>
    <t>27/02/2023 17:15:24</t>
  </si>
  <si>
    <t>27/02/2023 17:15:17</t>
  </si>
  <si>
    <t>28/02/2023 17:15:17</t>
  </si>
  <si>
    <t>27/02/2023 17:15:16</t>
  </si>
  <si>
    <t>27/02/2023 17:15:08</t>
  </si>
  <si>
    <t>27/02/2023 17:15:06</t>
  </si>
  <si>
    <t>28/02/2023 17:15:06</t>
  </si>
  <si>
    <t>27/02/2023 17:15:03</t>
  </si>
  <si>
    <t>28/02/2023 17:15:03</t>
  </si>
  <si>
    <t>27/02/2023 17:14:56</t>
  </si>
  <si>
    <t>28/02/2023 17:14:56</t>
  </si>
  <si>
    <t>27/02/2023 17:14:54</t>
  </si>
  <si>
    <t>28/02/2023 17:14:54</t>
  </si>
  <si>
    <t>27/02/2023 17:14:52</t>
  </si>
  <si>
    <t>27/02/2023 17:14:51</t>
  </si>
  <si>
    <t>28/02/2023 17:14:51</t>
  </si>
  <si>
    <t>27/02/2023 17:14:50</t>
  </si>
  <si>
    <t>28/02/2023 17:14:50</t>
  </si>
  <si>
    <t>27/02/2023 17:14:49</t>
  </si>
  <si>
    <t>28/02/2023 17:14:49</t>
  </si>
  <si>
    <t>27/02/2023 17:14:48</t>
  </si>
  <si>
    <t>28/02/2023 17:14:48</t>
  </si>
  <si>
    <t>27/02/2023 17:14:47</t>
  </si>
  <si>
    <t>28/02/2023 17:14:47</t>
  </si>
  <si>
    <t>27/02/2023 17:14:43</t>
  </si>
  <si>
    <t>27/02/2023 17:14:42</t>
  </si>
  <si>
    <t>28/02/2023 17:14:42</t>
  </si>
  <si>
    <t>27/02/2023 17:14:41</t>
  </si>
  <si>
    <t>28/02/2023 17:14:41</t>
  </si>
  <si>
    <t>27/02/2023 17:14:39</t>
  </si>
  <si>
    <t>28/02/2023 17:14:39</t>
  </si>
  <si>
    <t>27/02/2023 17:14:37</t>
  </si>
  <si>
    <t>28/02/2023 17:14:38</t>
  </si>
  <si>
    <t>28/02/2023 17:14:37</t>
  </si>
  <si>
    <t>27/02/2023 17:14:34</t>
  </si>
  <si>
    <t>28/02/2023 17:14:34</t>
  </si>
  <si>
    <t>27/02/2023 17:14:31</t>
  </si>
  <si>
    <t>28/02/2023 17:14:31</t>
  </si>
  <si>
    <t>27/02/2023 17:14:27</t>
  </si>
  <si>
    <t>28/02/2023 17:14:27</t>
  </si>
  <si>
    <t>27/02/2023 17:14:25</t>
  </si>
  <si>
    <t>28/02/2023 17:14:25</t>
  </si>
  <si>
    <t>27/02/2023 17:14:24</t>
  </si>
  <si>
    <t>28/02/2023 17:14:24</t>
  </si>
  <si>
    <t>27/02/2023 17:14:22</t>
  </si>
  <si>
    <t>28/02/2023 17:14:22</t>
  </si>
  <si>
    <t>27/02/2023 17:14:18</t>
  </si>
  <si>
    <t>28/02/2023 17:14:19</t>
  </si>
  <si>
    <t>27/02/2023 17:14:13</t>
  </si>
  <si>
    <t>28/02/2023 17:14:13</t>
  </si>
  <si>
    <t>27/02/2023 17:14:11</t>
  </si>
  <si>
    <t>27/02/2023 17:13:57</t>
  </si>
  <si>
    <t>27/02/2023 17:13:56</t>
  </si>
  <si>
    <t>28/02/2023 17:13:56</t>
  </si>
  <si>
    <t>27/02/2023 17:13:55</t>
  </si>
  <si>
    <t>28/02/2023 17:13:55</t>
  </si>
  <si>
    <t>27/02/2023 17:13:53</t>
  </si>
  <si>
    <t>28/02/2023 17:13:53</t>
  </si>
  <si>
    <t>27/02/2023 17:13:49</t>
  </si>
  <si>
    <t>28/02/2023 17:13:49</t>
  </si>
  <si>
    <t>27/02/2023 17:13:38</t>
  </si>
  <si>
    <t>28/02/2023 17:13:38</t>
  </si>
  <si>
    <t>27/02/2023 17:13:37</t>
  </si>
  <si>
    <t>28/02/2023 17:13:37</t>
  </si>
  <si>
    <t>27/02/2023 17:13:35</t>
  </si>
  <si>
    <t>28/02/2023 17:13:35</t>
  </si>
  <si>
    <t>27/02/2023 17:13:33</t>
  </si>
  <si>
    <t>28/02/2023 17:13:33</t>
  </si>
  <si>
    <t>27/02/2023 17:13:31</t>
  </si>
  <si>
    <t>28/02/2023 17:13:32</t>
  </si>
  <si>
    <t>27/02/2023 17:13:28</t>
  </si>
  <si>
    <t>28/02/2023 17:13:29</t>
  </si>
  <si>
    <t>27/02/2023 17:13:27</t>
  </si>
  <si>
    <t>28/02/2023 17:13:27</t>
  </si>
  <si>
    <t>27/02/2023 17:13:13</t>
  </si>
  <si>
    <t>28/02/2023 17:13:13</t>
  </si>
  <si>
    <t>27/02/2023 17:12:52</t>
  </si>
  <si>
    <t>28/02/2023 17:12:52</t>
  </si>
  <si>
    <t>27/02/2023 17:12:38</t>
  </si>
  <si>
    <t>27/02/2023 17:12:36</t>
  </si>
  <si>
    <t>27/02/2023 17:12:35</t>
  </si>
  <si>
    <t>27/02/2023 17:12:31</t>
  </si>
  <si>
    <t>27/02/2023 17:12:25</t>
  </si>
  <si>
    <t>27/02/2023 17:12:16</t>
  </si>
  <si>
    <t>27/02/2023 17:12:09</t>
  </si>
  <si>
    <t>27/02/2023 17:12:08</t>
  </si>
  <si>
    <t>27/02/2023 17:11:57</t>
  </si>
  <si>
    <t>EQUIPAMENTO NAO RELIGA AO FALTAR ENERGIA. EQUIPAMENTO COM PROBLE-MAS NO MODULO DEPOSITARIO. PROBLEMA RECORRENTE. MAQUINA NA SEXTA24/02 FOI REPARADA DOS MESMOS DEFEITOS                                                             N</t>
  </si>
  <si>
    <t>27/02/2023 16:51:11</t>
  </si>
  <si>
    <t>PROBLEMAS NO CASSETE C (NAO RECONHECE O CASSETE).N</t>
  </si>
  <si>
    <t>0570.91</t>
  </si>
  <si>
    <t>SAA-AFOGADOS INGAZEI</t>
  </si>
  <si>
    <t>27/02/2023 16:30:28</t>
  </si>
  <si>
    <t>PROBLEMA NO CASSETE DE REJEI¸AO ENROSCON</t>
  </si>
  <si>
    <t>1650.91</t>
  </si>
  <si>
    <t>SAA-BOM JARDIM</t>
  </si>
  <si>
    <t>27/02/2023 16:13:57</t>
  </si>
  <si>
    <t>TELA DO TCC NAO LIGAN</t>
  </si>
  <si>
    <t>EQPT-070783</t>
  </si>
  <si>
    <t>T-10 TCC DARUMA DRM04 2013</t>
  </si>
  <si>
    <t>27/02/2023 16:21:00</t>
  </si>
  <si>
    <t>EQUIPAMENTO NAO FAZ LEITURA DOS CODIGOS DE BARRASN</t>
  </si>
  <si>
    <t>27/02/2023 16:07:32</t>
  </si>
  <si>
    <t>CASSETE B MOENDO CEDULAS, INDISPONIVEL PARA SAQUEN</t>
  </si>
  <si>
    <t>2304.91</t>
  </si>
  <si>
    <t>SAA-MIRANDIBA</t>
  </si>
  <si>
    <t>27/02/2023 16:01:16</t>
  </si>
  <si>
    <t>DISPOSITIVO INOPERANTE (BIOMETRIA)                               DISPOSITIVO NAO RESPONDE (BIOMETRIA)N</t>
  </si>
  <si>
    <t>27/02/2023 15:53:13</t>
  </si>
  <si>
    <t>TAA COM CASSETE "E" TRAVADON</t>
  </si>
  <si>
    <t>27/02/2023 15:11:24</t>
  </si>
  <si>
    <t>TERMINAL SEM RESPOSTA, TELA PRETAN</t>
  </si>
  <si>
    <t>0673.91</t>
  </si>
  <si>
    <t>SAA-CARPINA</t>
  </si>
  <si>
    <t>27/02/2023 14:42:58</t>
  </si>
  <si>
    <t>Disparo de alarme reincidente e indevido na Zona 9 - TESOURARIA.  Sr. AUGUSTO FELIPE DA SILVA MYRA F1468659</t>
  </si>
  <si>
    <t>27/02/2023 14:54:28</t>
  </si>
  <si>
    <t>28/02/2023 14:54:28</t>
  </si>
  <si>
    <t>CEDULAS PRESAS NO CAMINHO DO DISPENSERN</t>
  </si>
  <si>
    <t>27/02/2023 14:29:52</t>
  </si>
  <si>
    <t>LEITORA DE CARTOES INDISPONIVEL.                                 ALGO PRESO NA LEITORA.N</t>
  </si>
  <si>
    <t>27/02/2023 14:07:21</t>
  </si>
  <si>
    <t>PROBLEMA COM O MØDULO PAGADORN</t>
  </si>
  <si>
    <t>27/02/2023 14:08:28</t>
  </si>
  <si>
    <t>TAA APRESENTA POSS­VEL ENROSCO DE C©DULAS.N</t>
  </si>
  <si>
    <t>27/02/2023 14:03:08</t>
  </si>
  <si>
    <t>TAA COM PROBREMA NA IMPRESSOSA DE RECIBOSN</t>
  </si>
  <si>
    <t>27/02/2023 14:03:43</t>
  </si>
  <si>
    <t>TMF NAO INICIAN</t>
  </si>
  <si>
    <t>27/02/2023 14:02:08</t>
  </si>
  <si>
    <t>02/03/2023 10:02:08</t>
  </si>
  <si>
    <t>APARELHO NAO CONCRETIZA LEITURA DE CARTAO.N</t>
  </si>
  <si>
    <t>27/02/2023 13:40:34</t>
  </si>
  <si>
    <t>03/03/2023 13:40:34</t>
  </si>
  <si>
    <t>LEITOR DE CARTAO NAO IDENTIFICADO, PROBLEMA NO SKIN              C©DULAS PRESAS NO ENTREGADORN</t>
  </si>
  <si>
    <t>0981.91</t>
  </si>
  <si>
    <t>SAA-S.JOSE BELMONTE</t>
  </si>
  <si>
    <t>27/02/2023 13:32:25</t>
  </si>
  <si>
    <t>IMPRESSORA DE CHEQUES NAO FUNCIONAN</t>
  </si>
  <si>
    <t>27/02/2023 13:28:58</t>
  </si>
  <si>
    <t>IMPRESSORA DE RECIBOS NAO GUILHOTINA.                            TAA INDISPONIVEL PARA COMPROVANTES.N</t>
  </si>
  <si>
    <t>27/02/2023 12:00:59</t>
  </si>
  <si>
    <t>Motivo da preventiva: verificar e reconfigurar a comunicação, configurar a REDE ETHERNET como rede primaria e o GPRS como rede secundária, verificar o reposicionar o GPRS ou instalação de antena para melhorar o sinal do GPRS.</t>
  </si>
  <si>
    <t>27/02/2023 12:24:32</t>
  </si>
  <si>
    <t>08/03/2023 17:00:00</t>
  </si>
  <si>
    <t>TERMINAL COM SIRENE DISPARADA, PROBLEMAS DE SISTEMA PARA SUBIR A IMAGEM E CASSETES FICANDO COM LUZES VERMELHAS TODOS OS DIASN</t>
  </si>
  <si>
    <t>27/02/2023 11:54:30</t>
  </si>
  <si>
    <t>ENROSCANDO CEDULUA NA CORREIA DO TERMINALN</t>
  </si>
  <si>
    <t>27/02/2023 11:51:10</t>
  </si>
  <si>
    <t>TERMINAL INOPERANTE PARA SAQUE; CEDULAS ENROSCADAS NAS INGRENAGENS AO FUNDO DA GAVETA SEM POSSIBILIDADE DE REMO¸AO PE O OPERADORN</t>
  </si>
  <si>
    <t>27/02/2023 11:17:56</t>
  </si>
  <si>
    <t>CORREIAS E ROLETES QUEBRADOS.N</t>
  </si>
  <si>
    <t>27/02/2023 11:12:49</t>
  </si>
  <si>
    <t>TESOURARIA. DISPARO REFERENTE AO GERADOR DE NEBLINA, O MESMO DISPARA RECORRENTE SEM CAUSA APARENTE</t>
  </si>
  <si>
    <t>27/02/2023 11:26:09</t>
  </si>
  <si>
    <t>02/03/2023 15:00:00</t>
  </si>
  <si>
    <t>ERRO SENSOR BALANCAN</t>
  </si>
  <si>
    <t>27/02/2023 11:02:15</t>
  </si>
  <si>
    <t>SUCESSIVOS ENROSCOS.                                             TAA CONSTANTEMENTE INDISPONIVEL POR CEDULAS PRESAS.N</t>
  </si>
  <si>
    <t>27/02/2023 11:10:04</t>
  </si>
  <si>
    <t xml:space="preserve">Solicito técnico no local para a troca da fonte do PVV que se encontra queimada.  Interação: INT20230053959 </t>
  </si>
  <si>
    <t>27/02/2023 10:59:12</t>
  </si>
  <si>
    <t>01/03/2023 10:59:12</t>
  </si>
  <si>
    <t>DISPOSITIVO PRESENTE E LIGADO MAS INOPERANTE DEVIDO A UM ERRO DE HARDWARE. PODEM HAVER CEDULAS PRESAS NO MECANISMON</t>
  </si>
  <si>
    <t>27/02/2023 10:35:45</t>
  </si>
  <si>
    <t>TERMINAL INDISPONIVEL POIS O SISTEMA DSP ENCONTRA-SE FORA DO AR. O TAA ENCONTR-ASE PARADA POR ABASTECIMENTO.N</t>
  </si>
  <si>
    <t>27/02/2023 10:26:39</t>
  </si>
  <si>
    <t>PORTA DE TRAVAMENTO DAS GAVETAS NAO ABRE. EMPERRADAN</t>
  </si>
  <si>
    <t>27/02/2023 10:22:53</t>
  </si>
  <si>
    <t>CÂMERAS SEM IMAGENS</t>
  </si>
  <si>
    <t>27/02/2023 10:25:27</t>
  </si>
  <si>
    <t>28/02/2023 10:25:27</t>
  </si>
  <si>
    <t>Defeito: Disparos indevido na part. 1 zona  15 WC MASCULINO   .  Gerente JOSE JAIR DO NASCIMENTO PEREIRA ciente.</t>
  </si>
  <si>
    <t>27/02/2023 10:09:20</t>
  </si>
  <si>
    <t>08/03/2023 15:35:00</t>
  </si>
  <si>
    <t>DODR - manutenção do gerador de neblina</t>
  </si>
  <si>
    <t>27/02/2023 09:31:46</t>
  </si>
  <si>
    <t>28/02/2023 09:31:46</t>
  </si>
  <si>
    <t>27/02/2023 09:17:42</t>
  </si>
  <si>
    <t>06/03/2023 15:00:00</t>
  </si>
  <si>
    <t>27/02/2023 08:10:07</t>
  </si>
  <si>
    <t>27/02/2023 08:54:55</t>
  </si>
  <si>
    <t>27/02/2023 17:54:55</t>
  </si>
  <si>
    <t>27/02/2023 08:54:50</t>
  </si>
  <si>
    <t>09/03/2023 17:00:00</t>
  </si>
  <si>
    <t>27/02/2023 08:39:48</t>
  </si>
  <si>
    <t>28/02/2023 08:39:48</t>
  </si>
  <si>
    <t>27/02/2023 08:39:30</t>
  </si>
  <si>
    <t>28/02/2023 08:39:30</t>
  </si>
  <si>
    <t>27/02/2023 08:39:20</t>
  </si>
  <si>
    <t>28/02/2023 08:39:20</t>
  </si>
  <si>
    <t>27/02/2023 08:24:24</t>
  </si>
  <si>
    <t>27/02/2023 17:24:24</t>
  </si>
  <si>
    <t>27/02/2023 08:09:47</t>
  </si>
  <si>
    <t>26/02/2023 17:10:19</t>
  </si>
  <si>
    <t>26/02/2023 11:55:54</t>
  </si>
  <si>
    <t>26/02/2023 11:26:10</t>
  </si>
  <si>
    <t>07/03/2023 14:35:00</t>
  </si>
  <si>
    <t>26/02/2023 10:55:21</t>
  </si>
  <si>
    <t>26/02/2023 10:40:51</t>
  </si>
  <si>
    <t>27/02/2023 10:40:52</t>
  </si>
  <si>
    <t>26/02/2023 10:26:10</t>
  </si>
  <si>
    <t>26/02/2023 09:55:07</t>
  </si>
  <si>
    <t>26/02/2023 09:25:37</t>
  </si>
  <si>
    <t>06/03/2023 15:30:00</t>
  </si>
  <si>
    <t>26/02/2023 09:25:12</t>
  </si>
  <si>
    <t>27/02/2023 09:25:12</t>
  </si>
  <si>
    <t>26/02/2023 08:25:01</t>
  </si>
  <si>
    <t>26/02/2023 08:10:44</t>
  </si>
  <si>
    <t>MONITOR NAO FUNCIONA. NECESSITA TROCAR LEITOR DE CARTAON</t>
  </si>
  <si>
    <t>28/02/2023 15:56:15</t>
  </si>
  <si>
    <t>CORREIA DE TRACAO CASSETE A QUEBRADA.N</t>
  </si>
  <si>
    <t>28/02/2023 15:46:58</t>
  </si>
  <si>
    <t>Enviar um técnico para realizar conjunta com operadora no dia 02/03/2023 às 10 horas.</t>
  </si>
  <si>
    <t>28/02/2023 15:58:08</t>
  </si>
  <si>
    <t>02/03/2023 15:58:08</t>
  </si>
  <si>
    <t>MODULO PAGADOR COM CONSTANTES PROBLEMAS NO MODULO PAGADOR.       NOTAMOS DIFICULDADE NA EXTRACAO DO NUMERARIO NO CASSTE DN</t>
  </si>
  <si>
    <t>28/02/2023 15:35:55</t>
  </si>
  <si>
    <t>LED DO CASSETE C E D APITANDO E PISCANDO LARANJAN</t>
  </si>
  <si>
    <t>28/02/2023 15:25:22</t>
  </si>
  <si>
    <t>LEITORA COM PROBLEMAN</t>
  </si>
  <si>
    <t>28/02/2023 15:16:21</t>
  </si>
  <si>
    <t>06/03/2023 15:16:21</t>
  </si>
  <si>
    <t>MASCARAMENTO SENSOR   28/02/2023 13:41:00   4 - SAA.   3 - SAA COLUNA   -</t>
  </si>
  <si>
    <t>28/02/2023 15:24:51</t>
  </si>
  <si>
    <t>01/03/2023 15:24:51</t>
  </si>
  <si>
    <t>MASCARAMENTO SENSOR   28/02/2023 12:08:00   1 - AGÊNCIA   12 - SENSOR DML, evento recorrente , solicito visita técnica</t>
  </si>
  <si>
    <t>28/02/2023 15:24:29</t>
  </si>
  <si>
    <t>01/03/2023 15:24:29</t>
  </si>
  <si>
    <t>TÒNEL DO MODULO DEPOSITARIO BLOQUEADO, NAO ENCONTRAMOS NADA QUE  ESTEJA GERANDO ESTE PROBLEMA.N</t>
  </si>
  <si>
    <t>28/02/2023 15:10:58</t>
  </si>
  <si>
    <t>TERMINAL INOPERANTE PARA SAQUE; PROBLEMAS NO MECANISMO DE PAGAMENTO; CASSETE D PRESO; IMPOSSIVEL REALIZAR ABASTECIMENTO/RECOLHIMENTO.                                                                                                N</t>
  </si>
  <si>
    <t>28/02/2023 14:56:44</t>
  </si>
  <si>
    <t xml:space="preserve">Defeito : disparos indevidos na madrugada, segundo denúncia feita ao BACEN.   Nome : Robson De Araújo   Matrícula :f8698713-5  Telefone : 81 9 88545614  e-mail : age2365@bb.com.br </t>
  </si>
  <si>
    <t>28/02/2023 15:16:26</t>
  </si>
  <si>
    <t>01/03/2023 15:16:26</t>
  </si>
  <si>
    <t xml:space="preserve">Câmera não liga, será necessário troca da câmera do Corredor de Abastecimento  ATOS-008419   </t>
  </si>
  <si>
    <t>28/02/2023 15:15:02</t>
  </si>
  <si>
    <t>03/04/2023 18:00:00</t>
  </si>
  <si>
    <t>Acionador de pânico móvel nº 204 sem sinal, provável bateria baixa. Sugerimos que além deste, realize preventivamente a substituição da bateria de todos.</t>
  </si>
  <si>
    <t>28/02/2023 14:24:27</t>
  </si>
  <si>
    <t>01/03/2023 14:24:27</t>
  </si>
  <si>
    <t>TAA COM PROBLEMAS NO DEPOSITARIO DE ENVELOPES: OBSERVAMOS QUE HA FIOS SOLTOS ATRAS DO CASSETE DE DEPOSITO.N</t>
  </si>
  <si>
    <t>28/02/2023 13:55:40</t>
  </si>
  <si>
    <t>668-IMPRESSORA NAO RESPONDE (IMPRESSORA DE FORMULARIOS)N</t>
  </si>
  <si>
    <t>28/02/2023 14:01:03</t>
  </si>
  <si>
    <t>TAA INDISPONIVEL PARA SAQUES E DEPOSITOSN</t>
  </si>
  <si>
    <t>28/02/2023 13:43:01</t>
  </si>
  <si>
    <t>TAA NAO ESTA IMPRIMINDO CHEQUES. FOLHAS ATOLANDON</t>
  </si>
  <si>
    <t>28/02/2023 13:19:30</t>
  </si>
  <si>
    <t>REABERTO EM VIRTUDE BAIXA EQUIVOCADA PELA BBTS.N</t>
  </si>
  <si>
    <t>28/02/2023 12:51:54</t>
  </si>
  <si>
    <t>DISPOSITIVO INOPERANTE,VERSAO DE FIRMWARE INCORRETAN</t>
  </si>
  <si>
    <t>28/02/2023 12:41:38</t>
  </si>
  <si>
    <t>TAA INOPERANTE, NAO INICIALIZA E QUANDO INICIALIZA FICA OFF LINEN</t>
  </si>
  <si>
    <t>0600.91</t>
  </si>
  <si>
    <t>SAA-ARARIPINA</t>
  </si>
  <si>
    <t>28/02/2023 12:18:43</t>
  </si>
  <si>
    <t>CASSETE A INDISPONIVEL, COM DEFEITO.N</t>
  </si>
  <si>
    <t>28/02/2023 12:07:39</t>
  </si>
  <si>
    <t>SIRENE DISPARANDO CONSTANTEMENTE.N</t>
  </si>
  <si>
    <t>28/02/2023 12:06:16</t>
  </si>
  <si>
    <t>MODULO DE PAGAMENTO SE SOLTOU DA CORREIAN</t>
  </si>
  <si>
    <t>28/02/2023 12:12:52</t>
  </si>
  <si>
    <t>FALHA NO CASSETE A, E IMPRESSORA DE RECIBOS NAO RESPONDE.N</t>
  </si>
  <si>
    <t>28/02/2023 12:07:17</t>
  </si>
  <si>
    <t>DVR da unidade possui um canal com a nomenclatura SL_ONLINE_1 sem sinal, caso não possuir câmera para o mesmo, por favor renomear o canal corretamente.</t>
  </si>
  <si>
    <t>28/02/2023 12:24:24</t>
  </si>
  <si>
    <t>01/03/2023 12:24:24</t>
  </si>
  <si>
    <t>721, 775, SEM SENHA SUPERVISOR. NECESSARIO PARA TERCEIRIZAR / (81) 99978569620231792000007                                                                                     N</t>
  </si>
  <si>
    <t>1792.91</t>
  </si>
  <si>
    <t>SAA-CONDADO</t>
  </si>
  <si>
    <t>28/02/2023 12:00:17</t>
  </si>
  <si>
    <t>02/03/2023 23:59:00</t>
  </si>
  <si>
    <t>LED DO CASSETE DE 50 E 100 NA COR AMARELAN</t>
  </si>
  <si>
    <t>28/02/2023 11:52:55</t>
  </si>
  <si>
    <t>TAA BLOQUEADO PARA ABASTECIMENTO/RECOLHIMENTO, POR©M NAO ACEITA O COMANDO DE RECOLHIMENTO TOTAL. "PROBLEMAS NO MODULO DE CONTAGEM,DISPON­VEL PARA RECOLHIMENTO TOTAL". SENDO QUE FOI REGISTRADO NODSP RECOLHIMENTO TOTAL.           N</t>
  </si>
  <si>
    <t>3924.91</t>
  </si>
  <si>
    <t>SAA-TAMANDARE</t>
  </si>
  <si>
    <t>28/02/2023 11:55:36</t>
  </si>
  <si>
    <t>IMPRESSORA COM PROBLEMA. ATOLAMENTO DE PAPEL BANDEJA 2.N</t>
  </si>
  <si>
    <t>28/02/2023 11:47:16</t>
  </si>
  <si>
    <t>02/03/2023 13:47:16</t>
  </si>
  <si>
    <t>DVR da unidade possui um canal com a nomenclatura SAA_2, a mesma está com problema no sinal da câmera.</t>
  </si>
  <si>
    <t>28/02/2023 12:09:46</t>
  </si>
  <si>
    <t>01/03/2023 12:09:46</t>
  </si>
  <si>
    <t>TERMINAL INDISPONIVEL PARA SAQUE E DEPOSITO (MODULO RECICLADOR DEC©DULAS);FALHA GERAL NO SISTEMA DE ENTINTAMENTO DO CASSETE A,B,C,D E E.                                                                                             N</t>
  </si>
  <si>
    <t>28/02/2023 11:45:16</t>
  </si>
  <si>
    <t>IMPRESSORA NAO ESTA SE COMUNICANDO COM A REDE.N</t>
  </si>
  <si>
    <t>28/02/2023 11:15:27</t>
  </si>
  <si>
    <t>02/03/2023 13:15:27</t>
  </si>
  <si>
    <t>SENSOR INTERMEDIARIO 1 ENTRE OS COFRES (SENSORES EXTERNOS)N</t>
  </si>
  <si>
    <t>28/02/2023 11:19:19</t>
  </si>
  <si>
    <t>ERRO NO SENSOR DO BOCAL/NOTAS ENROSCADAS                         CASSETE "D" COM DEFEITON</t>
  </si>
  <si>
    <t>28/02/2023 11:12:25</t>
  </si>
  <si>
    <t>TERMINAL INDISPONIVEL PARA SAQUE E DEPOSITO (MODULO RECICLADOR DEC©DULAS); PODEM HAVER CEDULAS PRESAS NO MECANISMO; SENSOR DE POSICIONAMENTO DO MODULO SUPERIOR.                                                                     N</t>
  </si>
  <si>
    <t>28/02/2023 10:58:07</t>
  </si>
  <si>
    <t>230027043.1</t>
  </si>
  <si>
    <t>28/02/2023 11:05:00</t>
  </si>
  <si>
    <t>01/03/2023 14:35:00</t>
  </si>
  <si>
    <t xml:space="preserve"> Realizado troca da fonte. Será aberto chamado de instalação para substituição de três câmeras que apresentou defeito.   </t>
  </si>
  <si>
    <t>28/02/2023 11:01:10</t>
  </si>
  <si>
    <t>Disparos/Mascaramentos indevidos P3 Z6.  Necessita de intervenção técnica.</t>
  </si>
  <si>
    <t>28/02/2023 10:39:21</t>
  </si>
  <si>
    <t>08/03/2023 14:35:00</t>
  </si>
  <si>
    <t>COMPUTADOR LIGA MAS NAO INICIA SISTEMA.N</t>
  </si>
  <si>
    <t>28/02/2023 10:18:33</t>
  </si>
  <si>
    <t>02/03/2023 15:18:33</t>
  </si>
  <si>
    <t>MICRO NAO INICIA,TELA PRETAN</t>
  </si>
  <si>
    <t>28/02/2023 10:16:49</t>
  </si>
  <si>
    <t>02/03/2023 15:16:49</t>
  </si>
  <si>
    <t>MICRO NAO INICIA . TELA PRETAN</t>
  </si>
  <si>
    <t>Sensores da partição 1 disparando sem causa aparente;    10 - ATENDIMENTO, 11 - ESCADA  e 17 - ATENDIMENTO.</t>
  </si>
  <si>
    <t>Defeito: Zona 29 - PANICO FIXO CASA FORTE gerando VIOLAÇÃO DE TAMPER. Gerente:JOAO PAULO F4956816. Telefone:(87) 3821-1157. E-mail:psv9700@bb.com.br</t>
  </si>
  <si>
    <t>TERMINAL APRESENTANDO FALHAS NAS ALIMENTACIES DOS CASSETES.      TAA INDISPON­VEL.N</t>
  </si>
  <si>
    <t>ERRO NOS SAQUESN</t>
  </si>
  <si>
    <t>CABO FONTE NAO FUNCIONAN</t>
  </si>
  <si>
    <t xml:space="preserve">Agencia está gerando falsos disparos na partição 5 zona 03.  </t>
  </si>
  <si>
    <t>AGÊNCIA 12 - ARQUIVOS. Disparo recorrente de sensor sem causa aparente.</t>
  </si>
  <si>
    <t>EQUIPAMENTO NAO TRACIONA FOLHAS.N</t>
  </si>
  <si>
    <t>EQPT-083633</t>
  </si>
  <si>
    <t>T-10 SCANNER DE MESA AUTOMATICO DE DOCUMENTO AVISION AD215L</t>
  </si>
  <si>
    <t>AGÊNCIA   10 - DML. Disparo de sensor sem causa aparente.</t>
  </si>
  <si>
    <t>Inconformidade Partição 4 - SAA Zona 05.</t>
  </si>
  <si>
    <t>608, TAA INDISP P/SAQUE/CAIXA DE REJ CHEIA/VERIF DISPOS/72528/13/PROC/BRINKS/SOP-FORUM RECIFE/PE / 41 996852011</t>
  </si>
  <si>
    <t>4844.59</t>
  </si>
  <si>
    <t>SOP-FORUM VAREJO</t>
  </si>
  <si>
    <t>608, 610, 611, 612, 613, 773, TAA INDISP P/SAQUE/CASSETE A,B,C,DINDISP/DESV 1 FORA DE POS/71530/13/PRT/PRES/CONAB / 41 996852011</t>
  </si>
  <si>
    <t>927-DISPOSITIVO NAO RESPONDE (TOUCH SCREEN);                     602-FALHA DE ALIMENTACAO DO CASSETE C (DISPENSADORA DE CEDULAS);N</t>
  </si>
  <si>
    <t xml:space="preserve">Solicitação de ATOS-008419 para substituir câmera SAA após um tempo ligada apresenta falha na imagem, derivado do chamado 9504030   </t>
  </si>
  <si>
    <t xml:space="preserve">  Solicitação de ATOS-000029, derivado do chamado de manut corretiva 9453117</t>
  </si>
  <si>
    <t>Sirene não funciona.</t>
  </si>
  <si>
    <t>Total de Chamados</t>
  </si>
  <si>
    <t>Retrofit</t>
  </si>
  <si>
    <t>Plantão Técnico</t>
  </si>
  <si>
    <t>L</t>
  </si>
  <si>
    <t>02/02/2023 07:57:15</t>
  </si>
  <si>
    <t>02/02/2023 07:19:44</t>
  </si>
  <si>
    <t>11/02/2023 14:09:50</t>
  </si>
  <si>
    <t>11/02/2023 14:09:38</t>
  </si>
  <si>
    <t>11/02/2023 14:09:29</t>
  </si>
  <si>
    <t>06/03/2023 10:30:00</t>
  </si>
  <si>
    <t>09/03/2023 15:35:00</t>
  </si>
  <si>
    <t>03/03/2311 17:00:00</t>
  </si>
  <si>
    <t>Com Macio  em  01/03/2023   SOBR-005313 (1)  OV 1717899  NF 91230  Saiu 22/02/23  == &gt; &gt;      FALHA GERAL DA COMUNICAÇÃO ALARME - RECORRENTE - REGRA 522.  Srª NADIA GRACIELLE TORRES UCHOA ciente.</t>
  </si>
  <si>
    <t>09/03/2023 15:05:00</t>
  </si>
  <si>
    <t>24/02/2023 10:32:33</t>
  </si>
  <si>
    <t>06/03/2023 14:30:00</t>
  </si>
  <si>
    <t>03/03/2023 15:00:00</t>
  </si>
  <si>
    <t>22/02/2023 15:51:01</t>
  </si>
  <si>
    <t>27/02/2023 11:51:01</t>
  </si>
  <si>
    <t>24/03/2023 14:35:00</t>
  </si>
  <si>
    <t>23/02/2023 16:18:04</t>
  </si>
  <si>
    <t>23/02/2023 15:54:37</t>
  </si>
  <si>
    <t>23/02/2023 15:54:12</t>
  </si>
  <si>
    <t>23/02/2023 15:55:43</t>
  </si>
  <si>
    <t>06/03/2023 17:00:00</t>
  </si>
  <si>
    <t>23/02/2023 14:32:00</t>
  </si>
  <si>
    <t>23/02/2023 13:47:35</t>
  </si>
  <si>
    <t>23/02/2023 12:53:38</t>
  </si>
  <si>
    <t>23/02/2023 12:14:17</t>
  </si>
  <si>
    <t>23/02/2023 12:00:51</t>
  </si>
  <si>
    <t>23/02/2023 10:58:03</t>
  </si>
  <si>
    <t>23/02/2023 10:57:02</t>
  </si>
  <si>
    <t>23/02/2023 10:48:18</t>
  </si>
  <si>
    <t>23/02/2023 10:47:21</t>
  </si>
  <si>
    <t>23/02/2023 10:56:40</t>
  </si>
  <si>
    <t>23/02/2023 10:44:31</t>
  </si>
  <si>
    <t>27/02/2023 15:44:31</t>
  </si>
  <si>
    <t>23/02/2023 10:33:41</t>
  </si>
  <si>
    <t>27/02/2023 15:33:41</t>
  </si>
  <si>
    <t>23/02/2023 10:41:48</t>
  </si>
  <si>
    <t>23/02/2023 10:41:00</t>
  </si>
  <si>
    <t>24/02/2023 11:11:00</t>
  </si>
  <si>
    <t>23/02/2023 10:15:59</t>
  </si>
  <si>
    <t>24/02/2023 16:35:09</t>
  </si>
  <si>
    <t>24/02/2023 15:46:08</t>
  </si>
  <si>
    <t>24/02/2023 15:32:38</t>
  </si>
  <si>
    <t>24/02/2023 15:27:23</t>
  </si>
  <si>
    <t>24/02/2023 15:30:48</t>
  </si>
  <si>
    <t>24/02/2023 15:27:15</t>
  </si>
  <si>
    <t>24/02/2023 15:03:20</t>
  </si>
  <si>
    <t>24/02/2023 15:05:52</t>
  </si>
  <si>
    <t>24/02/2023 14:47:25</t>
  </si>
  <si>
    <t>24/02/2023 15:10:25</t>
  </si>
  <si>
    <t>24/02/2023 15:04:49</t>
  </si>
  <si>
    <t>24/02/2023 14:00:24</t>
  </si>
  <si>
    <t>24/02/2023 13:33:02</t>
  </si>
  <si>
    <t>01/03/2023 09:33:02</t>
  </si>
  <si>
    <t>24/02/2023 13:20:20</t>
  </si>
  <si>
    <t>24/02/2023 13:19:11</t>
  </si>
  <si>
    <t>24/02/2023 12:57:11</t>
  </si>
  <si>
    <t>24/02/2023 11:12:32</t>
  </si>
  <si>
    <t>24/02/2023 11:16:02</t>
  </si>
  <si>
    <t>24/02/2023 11:18:07</t>
  </si>
  <si>
    <t>24/02/2023 11:09:25</t>
  </si>
  <si>
    <t>24/02/2023 09:34:10</t>
  </si>
  <si>
    <t>24/02/2023 09:55:14</t>
  </si>
  <si>
    <t>24/02/2023 09:55:01</t>
  </si>
  <si>
    <t>24/02/2023 09:09:34</t>
  </si>
  <si>
    <t>24/02/2023 09:30:00</t>
  </si>
  <si>
    <t>24/02/2023 09:05:59</t>
  </si>
  <si>
    <t>24/02/2023 09:05:06</t>
  </si>
  <si>
    <t>24/02/2023 09:04:18</t>
  </si>
  <si>
    <t>24/02/2023 08:54:26</t>
  </si>
  <si>
    <t>25/02/2023 08:54:26</t>
  </si>
  <si>
    <t>24/02/2023 08:10:10</t>
  </si>
  <si>
    <t>24/02/2023 08:09:39</t>
  </si>
  <si>
    <t>27/02/2023 17:34:16</t>
  </si>
  <si>
    <t>27/02/2023 17:01:22</t>
  </si>
  <si>
    <t>28/02/2023 09:30:00</t>
  </si>
  <si>
    <t>27/02/2023 17:23:21</t>
  </si>
  <si>
    <t>28/02/2023 17:23:21</t>
  </si>
  <si>
    <t>27/02/2023 17:23:17</t>
  </si>
  <si>
    <t>28/02/2023 17:23:17</t>
  </si>
  <si>
    <t>27/02/2023 17:23:12</t>
  </si>
  <si>
    <t>28/02/2023 17:23:12</t>
  </si>
  <si>
    <t>27/02/2023 17:23:07</t>
  </si>
  <si>
    <t>28/02/2023 17:23:07</t>
  </si>
  <si>
    <t>28/02/2023 17:22:46</t>
  </si>
  <si>
    <t>28/02/2023 17:20:50</t>
  </si>
  <si>
    <t>28/02/2023 17:20:48</t>
  </si>
  <si>
    <t>28/02/2023 17:20:15</t>
  </si>
  <si>
    <t>28/02/2023 17:20:12</t>
  </si>
  <si>
    <t>28/02/2023 17:20:00</t>
  </si>
  <si>
    <t>27/02/2023 17:19:57</t>
  </si>
  <si>
    <t>28/02/2023 17:19:57</t>
  </si>
  <si>
    <t>27/02/2023 17:19:50</t>
  </si>
  <si>
    <t>28/02/2023 17:19:50</t>
  </si>
  <si>
    <t>27/02/2023 17:19:41</t>
  </si>
  <si>
    <t>28/02/2023 17:19:41</t>
  </si>
  <si>
    <t>27/02/2023 17:19:29</t>
  </si>
  <si>
    <t>28/02/2023 17:19:29</t>
  </si>
  <si>
    <t>27/02/2023 17:19:20</t>
  </si>
  <si>
    <t>28/02/2023 17:19:20</t>
  </si>
  <si>
    <t>27/02/2023 17:19:11</t>
  </si>
  <si>
    <t>28/02/2023 17:19:11</t>
  </si>
  <si>
    <t>27/02/2023 17:19:01</t>
  </si>
  <si>
    <t>28/02/2023 17:19:01</t>
  </si>
  <si>
    <t>27/02/2023 17:18:56</t>
  </si>
  <si>
    <t>28/02/2023 17:18:56</t>
  </si>
  <si>
    <t>27/02/2023 17:18:39</t>
  </si>
  <si>
    <t>28/02/2023 17:18:39</t>
  </si>
  <si>
    <t>27/02/2023 17:18:37</t>
  </si>
  <si>
    <t>28/02/2023 17:18:38</t>
  </si>
  <si>
    <t>28/02/2023 17:18:37</t>
  </si>
  <si>
    <t>27/02/2023 17:18:36</t>
  </si>
  <si>
    <t>28/02/2023 17:18:36</t>
  </si>
  <si>
    <t>27/02/2023 17:18:23</t>
  </si>
  <si>
    <t>28/02/2023 17:18:23</t>
  </si>
  <si>
    <t>27/02/2023 17:18:12</t>
  </si>
  <si>
    <t>28/02/2023 17:18:12</t>
  </si>
  <si>
    <t>27/02/2023 17:18:02</t>
  </si>
  <si>
    <t>28/02/2023 17:18:02</t>
  </si>
  <si>
    <t>27/02/2023 17:17:58</t>
  </si>
  <si>
    <t>28/02/2023 17:17:58</t>
  </si>
  <si>
    <t>27/02/2023 17:17:56</t>
  </si>
  <si>
    <t>28/02/2023 17:17:56</t>
  </si>
  <si>
    <t>27/02/2023 17:17:54</t>
  </si>
  <si>
    <t>28/02/2023 17:17:54</t>
  </si>
  <si>
    <t>27/02/2023 17:17:53</t>
  </si>
  <si>
    <t>28/02/2023 17:17:53</t>
  </si>
  <si>
    <t>27/02/2023 17:17:46</t>
  </si>
  <si>
    <t>28/02/2023 17:17:46</t>
  </si>
  <si>
    <t>27/02/2023 17:17:45</t>
  </si>
  <si>
    <t>27/02/2023 17:17:41</t>
  </si>
  <si>
    <t>28/02/2023 17:17:42</t>
  </si>
  <si>
    <t>28/02/2023 17:17:41</t>
  </si>
  <si>
    <t>27/02/2023 17:17:40</t>
  </si>
  <si>
    <t>28/02/2023 17:17:40</t>
  </si>
  <si>
    <t>27/02/2023 17:17:39</t>
  </si>
  <si>
    <t>28/02/2023 17:17:39</t>
  </si>
  <si>
    <t>27/02/2023 17:17:38</t>
  </si>
  <si>
    <t>27/02/2023 17:17:09</t>
  </si>
  <si>
    <t>28/02/2023 17:17:09</t>
  </si>
  <si>
    <t>27/02/2023 17:17:07</t>
  </si>
  <si>
    <t>28/02/2023 17:17:07</t>
  </si>
  <si>
    <t>27/02/2023 17:17:06</t>
  </si>
  <si>
    <t>27/02/2023 17:17:03</t>
  </si>
  <si>
    <t>28/02/2023 17:17:03</t>
  </si>
  <si>
    <t>27/02/2023 17:17:02</t>
  </si>
  <si>
    <t>28/02/2023 17:17:02</t>
  </si>
  <si>
    <t>27/02/2023 17:17:00</t>
  </si>
  <si>
    <t>28/02/2023 17:17:00</t>
  </si>
  <si>
    <t>27/02/2023 17:16:55</t>
  </si>
  <si>
    <t>28/02/2023 17:16:55</t>
  </si>
  <si>
    <t>27/02/2023 17:16:53</t>
  </si>
  <si>
    <t>28/02/2023 17:16:53</t>
  </si>
  <si>
    <t>27/02/2023 17:16:52</t>
  </si>
  <si>
    <t>28/02/2023 17:16:52</t>
  </si>
  <si>
    <t>27/02/2023 17:16:51</t>
  </si>
  <si>
    <t>28/02/2023 17:16:51</t>
  </si>
  <si>
    <t>27/02/2023 17:16:50</t>
  </si>
  <si>
    <t>27/02/2023 17:16:47</t>
  </si>
  <si>
    <t>28/02/2023 17:16:47</t>
  </si>
  <si>
    <t>27/02/2023 17:16:43</t>
  </si>
  <si>
    <t>28/02/2023 17:16:43</t>
  </si>
  <si>
    <t>27/02/2023 17:16:41</t>
  </si>
  <si>
    <t>28/02/2023 17:16:42</t>
  </si>
  <si>
    <t>27/02/2023 17:16:40</t>
  </si>
  <si>
    <t>28/02/2023 17:16:40</t>
  </si>
  <si>
    <t>27/02/2023 17:16:38</t>
  </si>
  <si>
    <t>27/02/2023 17:16:37</t>
  </si>
  <si>
    <t>27/02/2023 17:16:34</t>
  </si>
  <si>
    <t>27/02/2023 17:16:33</t>
  </si>
  <si>
    <t>27/02/2023 17:16:29</t>
  </si>
  <si>
    <t>27/02/2023 17:16:27</t>
  </si>
  <si>
    <t>27/02/2023 17:16:23</t>
  </si>
  <si>
    <t>27/02/2023 17:16:21</t>
  </si>
  <si>
    <t>27/02/2023 17:16:15</t>
  </si>
  <si>
    <t>27/02/2023 17:16:13</t>
  </si>
  <si>
    <t>Com Inaldo em  02/03/2023  == &gt; &gt;       LEITOR DE CARTAO NAO IDENTIFICADO, PROBLEMA NO SKIN              C©DULAS PRESAS NO ENTREGADORN</t>
  </si>
  <si>
    <t>Com Inaldo  em 01/03/2023   == &gt; &gt;      3 - TESOURARIA. DISPARO REFERENTE AO GERADOR DE NEBLINA, O MESMO DISPARA RECORRENTE SEM CAUSA APARENTE</t>
  </si>
  <si>
    <t>Com Inaldo em  02/03/2023  == &gt; &gt;       PORTA DE TRAVAMENTO DAS GAVETAS NAO ABRE. EMPERRADAN</t>
  </si>
  <si>
    <t>Com Inaldo em  02/03/2023  == &gt; &gt;       FALHA DE ENERGIA (ALARME).</t>
  </si>
  <si>
    <t>PVV- INSTALAÇÃO- INSTALAR E ATIVAR CENTRAL E TELEFONES. P/ ATIVAÇÃO CONTATAR SUPORTE CEREM. PREENCHER ERAC E TERMO DE ACEITE AO CONCLUIR</t>
  </si>
  <si>
    <t>448, 480, 778, 794, 838, 841, 01/03-11H30-ERRO DE HARDWARE-TERCEIRIZADO 28/02 / (11) 941460830</t>
  </si>
  <si>
    <t>01/03/2023 09:30:00</t>
  </si>
  <si>
    <t>DVR possui dois canais com a nomenclatura ATEND_4 e INTERNO_2 sem sinal das câmeras, caso não possuir câmera para o mesmo, por favor renomear o canal corretamente.</t>
  </si>
  <si>
    <t>01/03/2023 17:54:39</t>
  </si>
  <si>
    <t>TAA INOPERANTE, SEM COMUNICACAON</t>
  </si>
  <si>
    <t>0196.91</t>
  </si>
  <si>
    <t>SAA-AGRESTINA</t>
  </si>
  <si>
    <t>28/02/2023 16:56:26</t>
  </si>
  <si>
    <t xml:space="preserve"> SOLICITAMOS INSTALAÇÃO SIRENE, CABO DANIFICADO.</t>
  </si>
  <si>
    <t>07/03/2023 11:00:00</t>
  </si>
  <si>
    <t>SIRENE DEFEITO SOLICITAR CABEAMENTO ABRIR O.S CARRO OFICINA.</t>
  </si>
  <si>
    <t>07/03/2023 10:54:50</t>
  </si>
  <si>
    <t>SUCESSIVAS FALHAS LOGICAS NO FECHAMENTO ONLINE DO TAA GERANDO DESCONCILIA¸AO DO SALDO FISICO X SALDO LØGICON</t>
  </si>
  <si>
    <t>28/02/2023 16:22:47</t>
  </si>
  <si>
    <t>TERMINAL INOPERANTE PARA SAQUE E DEPOSITO; OPERA¸AO FALHOU.N</t>
  </si>
  <si>
    <t>28/02/2023 16:21:42</t>
  </si>
  <si>
    <t>Disparos recorrentes P3 - TESOURARIA   Z6 - COFRE</t>
  </si>
  <si>
    <t>STAKER PRESENTER QUEBRADO DO MODULO PAGADORN</t>
  </si>
  <si>
    <t>28/02/2023 16:04:19</t>
  </si>
  <si>
    <t>28/02/2023 10:16:00</t>
  </si>
  <si>
    <t>28/02/2023 10:10:27</t>
  </si>
  <si>
    <t>28/02/2023 10:09:25</t>
  </si>
  <si>
    <t>28/02/2023 09:29:32</t>
  </si>
  <si>
    <t>28/02/2023 09:15:37</t>
  </si>
  <si>
    <t>28/02/2023 08:58:51</t>
  </si>
  <si>
    <t>28/02/2023 09:10:01</t>
  </si>
  <si>
    <t>1 - AGÊNCIA 12 - ARQUIVOS. Disparo recorrente de sensor sem causa aparente.</t>
  </si>
  <si>
    <t>28/02/2023 09:09:49</t>
  </si>
  <si>
    <t>28/02/2023 08:42:12</t>
  </si>
  <si>
    <t>1 - AGÊNCIA   10 - DML. Disparo de sensor sem causa aparente.</t>
  </si>
  <si>
    <t>28/02/2023 08:55:10</t>
  </si>
  <si>
    <t>28/02/2023 08:54:58</t>
  </si>
  <si>
    <t>28/02/2023 08:24:36</t>
  </si>
  <si>
    <t>28/02/2023 08:22:32</t>
  </si>
  <si>
    <t>28/02/2023 08:39:57</t>
  </si>
  <si>
    <t>03/03/2023 09:39:57</t>
  </si>
  <si>
    <t>28/02/2023 08:18:32</t>
  </si>
  <si>
    <t>28/02/2023 08:26:48</t>
  </si>
  <si>
    <t>28/02/2023 08:26:03</t>
  </si>
  <si>
    <t>28/02/2023 08:10:00</t>
  </si>
  <si>
    <t>defeito: p3 z10 passa milheiro ocasionando acionamento da PGM_2  funcionário: Giovany Sobreira F5529219  E-mail: psv9705@bb.com.br  telefone: (87) 3871-0668</t>
  </si>
  <si>
    <t>01/03/2023 10:10:31</t>
  </si>
  <si>
    <t>02/03/2023 10:10:31</t>
  </si>
  <si>
    <t>TAA COM TELA ESCURA,MATRIZ.N</t>
  </si>
  <si>
    <t>01/03/2023 09:26:35</t>
  </si>
  <si>
    <t>TERMINAL VEM APRESENTANDO FALHAS NO SISTEMA DE ENTINTAMENTO,     DE FORMA CONTUMAZ.N</t>
  </si>
  <si>
    <t>01/03/2023 09:29:14</t>
  </si>
  <si>
    <t>SUBSTIUI¸AO DA GAVETA "B". PUXADOR QUEBRADO.N</t>
  </si>
  <si>
    <t>01/03/2023 09:22:34</t>
  </si>
  <si>
    <t>CASSETE "C" COM PROBLEMA, DESABILITANDO PARA SAQUES.             FALHA DE ALIMENTACAO DO CASSETE C (DISPENSADORA DE CEDULAS)N</t>
  </si>
  <si>
    <t>Defeito: mascaramento sensores e disparo alarme partição 1  zona 13 e 30.</t>
  </si>
  <si>
    <t>MASCARAMENTO SENSOR   28/02/2023 17:00:00   1 - AGÊNCIA   18 - WC MASCULINO 1 ANDAR</t>
  </si>
  <si>
    <t>01/03/2023 17:54:23</t>
  </si>
  <si>
    <t>480, 778, 783, 838, 841, 842, TAA INDISP P/SAQUE/MODULO INOPERANTE/CEDULAS PRESAS/70640/13/PROC/PRES/SOP MARIM DO / 41 996852011</t>
  </si>
  <si>
    <t>PREFIXOS</t>
  </si>
  <si>
    <t>AGENCIA</t>
  </si>
  <si>
    <t>FUNCIONÁRIOS</t>
  </si>
  <si>
    <t>SENHAS</t>
  </si>
  <si>
    <t>Agendado com Sr. George Rabelo - F3596819 por adequação de horário.</t>
  </si>
  <si>
    <t>TÉC 0025 | M1 0252 | M2 0253</t>
  </si>
  <si>
    <t>Agendado com Sra. Gidaine Silva   F3742109  por adequação de horário.</t>
  </si>
  <si>
    <t>TÉC 2590 | M1 5924 | M2 5925</t>
  </si>
  <si>
    <t>Agendado com Sr. Marcelo Bayma F6769129 por adequação de horário.</t>
  </si>
  <si>
    <t>TÉC 3091 | M1 9493 | M2 9494</t>
  </si>
  <si>
    <t xml:space="preserve">( T20 )  NSPP-003757 /3848 / 3766 </t>
  </si>
  <si>
    <t>Agendado com Sr. David Cavalcante F235754 por adequação de horário.</t>
  </si>
  <si>
    <t>TÉC 3113 | M1 1162 | M2 1163</t>
  </si>
  <si>
    <t>Agendado com Sr. Andre dos Anjos F0360975 por adequação de horário.</t>
  </si>
  <si>
    <t>TÉC 3248 | M1 2416 | M2 3248</t>
  </si>
  <si>
    <t>Agendado com Sr. Marcus Almeida - F6818873 por adequação de horário.</t>
  </si>
  <si>
    <t>TÉC 3398 | M1 3912 | M2 3913</t>
  </si>
  <si>
    <t>Agendado com Sr. Aluisio Martins F0584009 por adequação de horário.</t>
  </si>
  <si>
    <t>TÉC 3616 | M1 6197 | M2 6198</t>
  </si>
  <si>
    <t>Agendado com Sr. Luiz Maia F6525144 por adequação de horário.</t>
  </si>
  <si>
    <t>TÉC 0148 | M1 8242 | M2 7589</t>
  </si>
  <si>
    <t>Agendado com Sr. Edneu Uchoa F2638829 por adequação de horário.</t>
  </si>
  <si>
    <t>TÉC 3899 | M1 8927 | M2 8928</t>
  </si>
  <si>
    <t>Agendado com Sr. Claudio Cesar F2072659 por adequação de horário.</t>
  </si>
  <si>
    <t>TÉC 0035 | M1 0353 | M2 0354</t>
  </si>
  <si>
    <t>Agendado com Sr. Jean Jaques 4679704 por adequação de horário.</t>
  </si>
  <si>
    <t>TÉC 4236 | M1 2305 | M2 2306</t>
  </si>
  <si>
    <t>Agendado com Sr. Antonio Borges F1000709 por adequação de horário.</t>
  </si>
  <si>
    <t>TÉC 4464 | M1 4680 | M2 4681</t>
  </si>
  <si>
    <t>Agendado com Sr. Joaquim Lopes F5042600 por adequação de horário.</t>
  </si>
  <si>
    <t>TÉC 4484 | M1 4882 | M2 4883</t>
  </si>
  <si>
    <t>Agendado com Sr. Inocencio Geronimo F4391579 por adequação de horário.</t>
  </si>
  <si>
    <t>TÉC 4489 | M1 4832 | M2 4833</t>
  </si>
  <si>
    <t>Agendado com Sra. Elaine Cristina F2788550 por adequação de horário.</t>
  </si>
  <si>
    <t>TÉC 4490 | M1 4943 | M2 4944</t>
  </si>
  <si>
    <t>Agendado com Sr. Jose Oliveira F5745773 por adequação de horário.</t>
  </si>
  <si>
    <t>TÉC 4491 | M1 4953 | M2 4954</t>
  </si>
  <si>
    <t>TÉC 4552 | M1 0503 | M2 4819</t>
  </si>
  <si>
    <t>Agendado com Sra. Silvia de Carvalho F9159621 por adequação de horário.</t>
  </si>
  <si>
    <t>TÉC 4780 | M1 7845 | M2 7846</t>
  </si>
  <si>
    <t>Agendado com Sra. Denise Melo F2384301 por adequação de horário.</t>
  </si>
  <si>
    <t>TÉC 4979 | M1 9736 | M2 9737</t>
  </si>
  <si>
    <t>Agendado com Sr. Paulo Silva F8196828 por adequação de horário.</t>
  </si>
  <si>
    <t>TÉC 5023 | M1 0282 | M2 0283</t>
  </si>
  <si>
    <t>AVENIDA NORTE</t>
  </si>
  <si>
    <t>Agendado com Sr.Lecio Costa F6175539 por adequação de horário.</t>
  </si>
  <si>
    <t>TÉC 5505 | M1 5005 | M2 5006</t>
  </si>
  <si>
    <t>Agendado com Sr. Rodrigo Moura - F8712758 por adequação de horário.</t>
  </si>
  <si>
    <t>TÉC 5513 | M1 5186 | M2 5187</t>
  </si>
  <si>
    <t>Agendado com Sr. Carlos Carvalho F19023109 por adequação de horário.</t>
  </si>
  <si>
    <t>TÉC 5607 | M1 6026 | M2 6027</t>
  </si>
  <si>
    <t>Agendado com Sr. Carlos Andre F1765155 por adequação de horário.</t>
  </si>
  <si>
    <t>TÉC 5741 | M1 7461 | M2 7462</t>
  </si>
  <si>
    <t>Agendado com Sr. Luiz Duarte F6484227 por adequação de horário.</t>
  </si>
  <si>
    <t>TÉC 8387 | M1 3851 | M2 3852</t>
  </si>
  <si>
    <t>Agendado com Sr. Marcos Fonteles F6813094 por adequação de horário.</t>
  </si>
  <si>
    <t>TÉC 5908 | M1 9039 | M2 9030</t>
  </si>
  <si>
    <t>Agendado com Sra. Marcia Lopes F6771339 por adequação de horário.</t>
  </si>
  <si>
    <t>TÉC 6083 | M1 0898 | M2 0899</t>
  </si>
  <si>
    <t>Agendado com Sra. Nathalia Lima F7340233 por adequação de horário.</t>
  </si>
  <si>
    <t>TÉC 6086 | M1 0828 | M2 0829</t>
  </si>
  <si>
    <t>Agendado com Sr. Agamenon A. M. Filho F0211379 por adequação de horário.</t>
  </si>
  <si>
    <t>TÉC 6090 | M1 0905 | M2 0906</t>
  </si>
  <si>
    <t>Agendado com Sr. Jose Giovane F5529219 por adequação de horário.</t>
  </si>
  <si>
    <t>TÉC 0336 | M1 3366 | M2 3367</t>
  </si>
  <si>
    <t>Agendado com Sr. Julio Cesar - F6013950 por adequação de horário.</t>
  </si>
  <si>
    <t>TÉC 6100 | M1 1061 | M2 1062</t>
  </si>
  <si>
    <t>Agendado com Sr. Igor Leal F4352954 por adequação de horário.</t>
  </si>
  <si>
    <t>TÉC 6117 | M1 1132 | M2 1133</t>
  </si>
  <si>
    <t>Agendado com Sra. Cintia Lima F2202331 por adequação de horário.</t>
  </si>
  <si>
    <t>TÉC 6420 | M1 4266 | M2 4267</t>
  </si>
  <si>
    <t>Agendado com Sr. Jailson Oliveira F4579078 por adequação de horário.</t>
  </si>
  <si>
    <t>TÉC 6570 | M1 5762 | M2 5763</t>
  </si>
  <si>
    <t>Agendado com Sra. Cláudia Souza F2064282 por adequação de horário.</t>
  </si>
  <si>
    <t>TÉC 0342 | M1 3427 | M2 3428</t>
  </si>
  <si>
    <t>Agendado com Sr. Marcelo França F6769269 por adequação de horário.</t>
  </si>
  <si>
    <t>TÉC 7101 | M1 1081 | M2 0517</t>
  </si>
  <si>
    <t>Agendado com Sr. Silvio Cavalcante F9164079 por adequação de horário.</t>
  </si>
  <si>
    <t>TÉC 7230 | M1 2375 | M2 2376</t>
  </si>
  <si>
    <t>Agendado com Sr. Artur Lima F1353734 por adequação de horário.</t>
  </si>
  <si>
    <t>TÉC 9916 | M1 1113 | M2 8318</t>
  </si>
  <si>
    <t>Agendado com Sra. Juliana F6002677 por adequação de horário.</t>
  </si>
  <si>
    <t>TÉC 7945 | M1 9423 | M2 9424</t>
  </si>
  <si>
    <t>Agendado com Sr. Romero F8732866 por adequação de horário.</t>
  </si>
  <si>
    <t>TÉC 8284 | M1 2820 | M2 2821</t>
  </si>
  <si>
    <t>Agendado com Sr. Asas Cavalcante F1422018 por adequação de horário.</t>
  </si>
  <si>
    <t>TÉC 0378 | M1 3780 | M2 3780</t>
  </si>
  <si>
    <t>Agendado com Sr. Luiz Antonio Soares F6387679 por adequação de horário.</t>
  </si>
  <si>
    <t>TÉC 8339 | M1 3376 | M2 3377</t>
  </si>
  <si>
    <t>Agendado com Sra. Renata Bastos F8527881 por adequação de horário.</t>
  </si>
  <si>
    <t>TÉC 0385 | M1 3851 | M2 3852</t>
  </si>
  <si>
    <t>Agendado com Sr. Fausto Mendes -F3173479 por adequação de horário.</t>
  </si>
  <si>
    <t>TÉC 9516 | M1 5156 | M2 5157</t>
  </si>
  <si>
    <t>Agendado com Sr. Marcelo Luz F6771081 por adequação de horário.</t>
  </si>
  <si>
    <t>TÉC 9548 | M1 5479 | M2 5470</t>
  </si>
  <si>
    <t>Agendado com Sr. Saulo Pereira F8966598 por adequação de horário.</t>
  </si>
  <si>
    <t>Agendado com Sr. José Claudio  F5400431 por adequação de horário.</t>
  </si>
  <si>
    <t>TÉC 2161 | M1 1637 | M2 1638</t>
  </si>
  <si>
    <t>Agendado com Sr. Eduardo Silva F274195 por adequação de horário.</t>
  </si>
  <si>
    <t>TÉC 0175 | M1 1758 | M2 1759</t>
  </si>
  <si>
    <t>Agendado com Sr. Josian Marques - F4679664  por adequação de horário.</t>
  </si>
  <si>
    <t>TÉC 0258 | M1 2589 | M2 2588</t>
  </si>
  <si>
    <t>Agendado com Sr. Wagner Nunes F9574152 por adequação de horário.</t>
  </si>
  <si>
    <t>TÉC 0271 | M1 2719 | M2 2710</t>
  </si>
  <si>
    <t>Agendado com Sr. Cesanildo Farias F1990649 por adequação de horário.</t>
  </si>
  <si>
    <t>TÉC 0381 | M1 3811 | M2 3812</t>
  </si>
  <si>
    <t>Agendado com Sr. Jorge Eduardo F5143076 por adequação de horário.</t>
  </si>
  <si>
    <t>TÉC 0302 | M1 3023 | M2 3024</t>
  </si>
  <si>
    <t>Agendado com Sr. Gabriel Santos F3547359 por adequação de horário.</t>
  </si>
  <si>
    <t>TÉC 4796 | M1 7906 | M2 7907</t>
  </si>
  <si>
    <t>Agendado com Sr. Claudemar Soares F2064135 por adequação de horário.</t>
  </si>
  <si>
    <t>TÉC 0306 | M1 3063 | M2 3064</t>
  </si>
  <si>
    <t>Agendado com Sr. Jose Cavalcante F5906439 por adequação de horário.</t>
  </si>
  <si>
    <t>TÉC 0323 | M1 3235 | M2 3236</t>
  </si>
  <si>
    <t>Agendado com Sr. Paulo Sodre F8177189 por adequação de horário.</t>
  </si>
  <si>
    <t>TÉC 5097 | M1 0929 | M2 0920</t>
  </si>
  <si>
    <t>Agendado com Sr. Elias F2813200 por adequação de horário.</t>
  </si>
  <si>
    <t>TÉC 7102 | M1 1091 | M2 1092</t>
  </si>
  <si>
    <t>Agendado com Sra. Geane Cristina F3564492 por adequação de horário.</t>
  </si>
  <si>
    <t>TÉC 6884 | M1 8806 | M2 8807</t>
  </si>
  <si>
    <t>Agendado com Sr. Joao Paulo F4956816 Local com acesso e horário restritos.</t>
  </si>
  <si>
    <t>TÉC 0392 | M1 3922 | M2 3923</t>
  </si>
  <si>
    <t>AFOGADOS DA INGAZEIRA</t>
  </si>
  <si>
    <t>Agendado com Sr. José Luciano F5616944  por adequação de horário.</t>
  </si>
  <si>
    <t>TÉC 2917 | M1 9190 | M2 9191</t>
  </si>
  <si>
    <t>Agendado com Sr. Balbino Eduardo F1555979 por adequação de horário.</t>
  </si>
  <si>
    <t>TÉC 2972 | M1 9746 | M2 9747</t>
  </si>
  <si>
    <t>Agendado com Sra. Priscila Ferraz F8350598 por adequação de horário.</t>
  </si>
  <si>
    <t>TÉC 3542 | M1 5459 | M2 5460</t>
  </si>
  <si>
    <t>Agendado com Sr. Milton Filho F7169835 por adequação de horário.</t>
  </si>
  <si>
    <t>TÉC 3625 | M1 6288 | M2 3625</t>
  </si>
  <si>
    <t>Agendado com Sra. Robelia Oliveira F8626479 por adequação de horário.</t>
  </si>
  <si>
    <t>TÉC 4398 | M1 3922 | M2 3923</t>
  </si>
  <si>
    <t>Agendado com Sr. Givanildo José F3801542 por adequação de horário.</t>
  </si>
  <si>
    <t>TÉC 4809 | M1 8038 | M2 4809</t>
  </si>
  <si>
    <t>Agendado com Sr. Emerson Ferraz - F2897601 por adequação de horário.</t>
  </si>
  <si>
    <t>TÉC 5262 | M1 2678 | M2 2679</t>
  </si>
  <si>
    <t>Agendado com Sra. Elaine Galindo F2788496 por adequação de horário.</t>
  </si>
  <si>
    <t>TÉC 5384 | M1 3891 | M2 3892</t>
  </si>
  <si>
    <t>Agendado com Sra. Tereza Menezes F9304141 por adequação de horário.</t>
  </si>
  <si>
    <t>TÉC 6767 | M1 6309 | M2 6310</t>
  </si>
  <si>
    <t>Agendado com Sra. Fernanda Marinho F3207473 por adequação de horário.</t>
  </si>
  <si>
    <t>TÉC 2319 | M1 3114 | M2 2319</t>
  </si>
  <si>
    <t>SAO BENTO DO UMA</t>
  </si>
  <si>
    <t>Agendado com Sr. Paulo Lopes F8176196 por adequação de horário.</t>
  </si>
  <si>
    <t>TÉC 0144 | M1 1445 | M2 1446</t>
  </si>
  <si>
    <t>Agendado com Sra. Renata Remigio F8527816 por adequação de horário.</t>
  </si>
  <si>
    <t>TÉC 3109 | M1 1021 | M2 1022</t>
  </si>
  <si>
    <t>Agendado com Sra. Patricia Maciel  F8028598  - por adequação de horário.</t>
  </si>
  <si>
    <t>TÉC 0152 | M1 1526 | M2 1527</t>
  </si>
  <si>
    <t>Agendado com Sra. Dayse Veras - F2414696 por adequação de horário.</t>
  </si>
  <si>
    <t>TÉC 0173 | M1 1738 | M2 1739</t>
  </si>
  <si>
    <t>Agendado com Sr. Andre Queiroz F0743606 por adequação de horário.</t>
  </si>
  <si>
    <t>TÉC 3632 | M1 6359 | M2 6350</t>
  </si>
  <si>
    <t>Agendado com Sr. Marconi Carlos Ferreira F2604418 por adequação de horário.</t>
  </si>
  <si>
    <t>TÉC 3966 | M1 9695 | M2 9696</t>
  </si>
  <si>
    <t>Agendado com Sr. Clebys Cleiton F2102697  por adequação de horário.</t>
  </si>
  <si>
    <t>TÉC 4305 | M1 3093  | M2 3094</t>
  </si>
  <si>
    <t>Agendado com Sr. Cleber Santos F3090308 por adequação de horário.</t>
  </si>
  <si>
    <t>TÉC 4328 | M1 3225 | M2 3226</t>
  </si>
  <si>
    <t>Agendado com Sra. Ana Paula  - F0723285 por adequação de horário.</t>
  </si>
  <si>
    <t>TÉC 4987 | M1 9817 | M2 4987</t>
  </si>
  <si>
    <t>Agendado com Sr. Elmo Luiz F2853229 por adequação de horário.</t>
  </si>
  <si>
    <t>TÉC 0308 | M1 1491 | M2 1492</t>
  </si>
  <si>
    <t>Agendado com Sra. Carina Ramos F1725581 por adequação de horário.</t>
  </si>
  <si>
    <t>TÉC 5055 | M1 0505 | M2 0506</t>
  </si>
  <si>
    <t>Agendado com Sr. Samuel Lucena - F8936938 por adequação de horário.</t>
  </si>
  <si>
    <t>TÉC 0352 | M1 3528 | M2 3529</t>
  </si>
  <si>
    <t>Agendado com Sr. Claudio de Lima F5400634 por adequação de horário.</t>
  </si>
  <si>
    <t>TÉC 7703 | M1 7007 | M2 7008</t>
  </si>
  <si>
    <t>Agendado com Sr. Carlos Alberto F1751471 por adequação de horário.</t>
  </si>
  <si>
    <t>TÉC 7972 | M1 9769 | M2 0000</t>
  </si>
  <si>
    <t>Agendado com Sr. Marcos Souza F6797668 por adequação de horário.</t>
  </si>
  <si>
    <t>TÉC 8286 | M1 2841 | M2 8286</t>
  </si>
  <si>
    <t>Agendado com Sr. José Wagner F5937329 Local com acesso e horário restritos.</t>
  </si>
  <si>
    <t>TÉC 9657 | M1 6561 | M2 6562</t>
  </si>
  <si>
    <t>Agendado com Sra. Silvia Nathalia - F9222106 por adequação de horário.</t>
  </si>
  <si>
    <t>TÉC 0088 | M1 0888 | M2 0889</t>
  </si>
  <si>
    <t>Agendado com Sr. Warley Alves - F9803651 por adequação de horário.</t>
  </si>
  <si>
    <t>TÉC 0146 | M1 1465 | M2 1466</t>
  </si>
  <si>
    <t>Agendado com Sr. Felipe Araujo F3288642 por adequação de horário.</t>
  </si>
  <si>
    <t>TÉC 3491 | M1 4943 | M2 4944</t>
  </si>
  <si>
    <t>TÉC 0172 | M1 1728 | M2 1729</t>
  </si>
  <si>
    <t>Agendado com Sr. Eliabe Silva F2804338 por adequação de horário.</t>
  </si>
  <si>
    <t>TÉC 4303 | M1 3073 | M2 3074</t>
  </si>
  <si>
    <t>Agendado com Sr. Jose da Silva F55907024 por adequação de horário.</t>
  </si>
  <si>
    <t>TÉC 0290 | M1 2901 | M2 2902</t>
  </si>
  <si>
    <t>Agendado com Sr. José Severino F5876251 por adequação de horário.</t>
  </si>
  <si>
    <t>TÉC 5229 | M1 2244 | M2 2245</t>
  </si>
  <si>
    <t>Agendado com Sr. Joao Regino F4882759 por adequação de horário.</t>
  </si>
  <si>
    <t>TÉC 5303 | M1 3083 | M2 3084</t>
  </si>
  <si>
    <t>Agendado com Sr. José Sérgio F5875688 por adequação de horário.</t>
  </si>
  <si>
    <t>TÉC 8381 | M1 3891 | M2 8381</t>
  </si>
  <si>
    <t>Agendado com Sr. Robson F8698852 Local com acesso e horário restritos.</t>
  </si>
  <si>
    <t>TÉC 3658 | M1 6571 | M2 6572</t>
  </si>
  <si>
    <t>Agendado com Sr. Tulio da Nobrega F9368801 por adequação de horário.</t>
  </si>
  <si>
    <t>TÉC 2413 | M1 4155 | M2 4156</t>
  </si>
  <si>
    <t>Agendado com Sr. Luiz Guedes F6519319 por adequação de horário.</t>
  </si>
  <si>
    <t>TÉC 2763 | M1 7653 | M2 7654</t>
  </si>
  <si>
    <t>Agendado com Sra. Karla Soares F6066427 por adequação de horário.</t>
  </si>
  <si>
    <t>TÉC 3060 | M1 0636 | M2 0637</t>
  </si>
  <si>
    <t>Agendado com Sr. Marcos Antonio F6806135 por adequação de horário.</t>
  </si>
  <si>
    <t>TÉC 3801 | M1 8048 | M2 8049</t>
  </si>
  <si>
    <t>Agendado com Sr. Daniel Rabelo - F2253597 por adequação de horário.</t>
  </si>
  <si>
    <t>TÉC 5567 | M1 5621 | M2 5622</t>
  </si>
  <si>
    <t>BUENOS AIRES</t>
  </si>
  <si>
    <t>Agendado com Sr. Bruno Jacinto F1693392 por adequação de horário.</t>
  </si>
  <si>
    <t>TÉC 4311 | M1 3154 | M2 3155</t>
  </si>
  <si>
    <t>Agendado com Sra. Milena Melo F7149488  por adequação de horário.</t>
  </si>
  <si>
    <t>TÉC 4431 | M1 4357 | M2 4358</t>
  </si>
  <si>
    <t>Agendado com Sra. Elisangela Luduvico F283717 por adequação de horário.</t>
  </si>
  <si>
    <t>TÉC 4688 | M1 6824 | M2 4688</t>
  </si>
  <si>
    <t>Agendado com Sr. Chrisropher Melo F2021804 por adequação de horário.</t>
  </si>
  <si>
    <t>TÉC 4902 | M1 9069 | M2 9060</t>
  </si>
  <si>
    <t>Agendado com Sr. Dario Silva F2306639 por adequação de horário.</t>
  </si>
  <si>
    <t>TÉC 0810 | M1 5945 | M2 9953</t>
  </si>
  <si>
    <t>Agendado com Sra. Gelma Silva F3567597 por adequação de horário.</t>
  </si>
  <si>
    <t>TÉC 5352 | M1 3578 | M2 3579</t>
  </si>
  <si>
    <t>Agendado com Sr. Abner  Santos F0038229 por adequação de horário.</t>
  </si>
  <si>
    <t>TÉC 2429 | M1 4216 | M2 4217</t>
  </si>
  <si>
    <t>Agendado com Sr. Francisco Asfora F3429319 por adequação de horário.</t>
  </si>
  <si>
    <t>TÉC 3262 | M1 2658 | M2 2659</t>
  </si>
  <si>
    <t>Agendado com Sr.  André Menezes F0738557 por adequação de horário.</t>
  </si>
  <si>
    <t>TÉC 3375 | M1 7835 | M2 3781</t>
  </si>
  <si>
    <t>Agendado com Sr. Hélio Freitas F4052218  por adequação de horário.</t>
  </si>
  <si>
    <t>TÉC 3896 | M1 8997 | M2 3896</t>
  </si>
  <si>
    <t>Agendado com Sr. Edmar Rodrigues F2666343 por adequação de horário.</t>
  </si>
  <si>
    <t>TÉC 3898 | M1 8917 | M2 8918</t>
  </si>
  <si>
    <t>Agendado com Sr. Alexandre Da Silva F0435994 por adequação de horário.</t>
  </si>
  <si>
    <t>TÉC 4279 | M1 2739 | M2 2740</t>
  </si>
  <si>
    <t>Agendado com Sr. Fábio Andrade F3155287 por adequação de horário.</t>
  </si>
  <si>
    <t>TÉC 0287 | M1 2870 | M2 2871</t>
  </si>
  <si>
    <t>Agendado com Sr. Fernando da Silva F3229118 por adequação de horário.</t>
  </si>
  <si>
    <t>TÉC 4415 | M1 5144 | M2 4415</t>
  </si>
  <si>
    <t>Agendado com Sr. Adam Soares F0085608  por adequação de horário.</t>
  </si>
  <si>
    <t>TÉC 4724 | M1 7289 | M2 7280</t>
  </si>
  <si>
    <t>Agendado com Sr. Espedito Nunes F3027789 por adequação de horário.</t>
  </si>
  <si>
    <t>TÉC 4883 | M1 8876 | M2 8877</t>
  </si>
  <si>
    <t>Agendado com Sr. Lailson Torres F6120637 por adequação de horário.</t>
  </si>
  <si>
    <t>TÉC 5132 | M1 1384 | M2 1385</t>
  </si>
  <si>
    <t>Agendado com Sra. Deyanne Cavalcante F2413998 por adequação de horário.</t>
  </si>
  <si>
    <t>TÉC 5225 | M1 2204 | M2 2205</t>
  </si>
  <si>
    <t>Agendado com Sr. Jan Carlos  F4619864 por adequação de horário.</t>
  </si>
  <si>
    <t>TÉC 0349 | M1 3497 | M2 3498</t>
  </si>
  <si>
    <t>Agendado com Sr. Emanoel Gomes F2892074 por adequação de horário.</t>
  </si>
  <si>
    <t>TÉC 2428 | M1 4206 | M2 4207</t>
  </si>
  <si>
    <t>Agendado com Sr.  José Pacífico F5756319 por adequação de horário.</t>
  </si>
  <si>
    <t>TÉC 2931 | M1 1026 | M2 9333</t>
  </si>
  <si>
    <t>Agendado com Sr. Patrick Pires F8029545 por adequação de horário.</t>
  </si>
  <si>
    <t>TÉC 3897 | M1 8907 | M2 8908</t>
  </si>
  <si>
    <t>Agendado com Sr. Geraldo Grariston F3646491 por adequação de horário.</t>
  </si>
  <si>
    <t>TÉC 9958 | M1 9574 | M2 9575</t>
  </si>
  <si>
    <t>Agendado com Sra. Vansa Iasbeck F9460355 por adequação de horário.</t>
  </si>
  <si>
    <t>TÉC 4860 | M1 8644 | M2 8645</t>
  </si>
  <si>
    <t>Agendado com Sr. Assis Rodrigues F1428119 por adequação de horário.</t>
  </si>
  <si>
    <t>TÉC 8333 | M1 3316 | M2 3317</t>
  </si>
  <si>
    <t>Agendado com Sr. Robson Dias F8698882 por adequação de horário.</t>
  </si>
  <si>
    <t>TÉC 5073 | M1 0787 | M2 5073</t>
  </si>
  <si>
    <t>LAGOA DO CARRO</t>
  </si>
  <si>
    <t>Agendado com Sr. Wulker Mendoça F9838499 por adequação de horário.</t>
  </si>
  <si>
    <t>TÉC 9431 | M1 1349 | M2 9431</t>
  </si>
  <si>
    <t>Agendado com Sra. Marcia Queiroz F6771241 por adequação de horário.</t>
  </si>
  <si>
    <t>TÉC 2162 | M1 1647 | M2 1648</t>
  </si>
  <si>
    <t>Agendado com Sr. Quelson Lima F8358444 por adequação de horário.</t>
  </si>
  <si>
    <t>TÉC 2949 | M1 9413 | M2 9414</t>
  </si>
  <si>
    <t>Agendado com Sra. Marta Betania F6771241 por adequação de horário.</t>
  </si>
  <si>
    <t>TÉC 3430 | M1 4337 | M2 4338</t>
  </si>
  <si>
    <t>Agendado com Sr. Italo Lino F4463798 por adequação de horário.</t>
  </si>
  <si>
    <t>TÉC 3668 | M1 6612 | M2 6613</t>
  </si>
  <si>
    <t>Agendado com Sr. Jose Edimilson F5438281 por adequação de horário.</t>
  </si>
  <si>
    <t>TÉC 3829 | M1 8220 | M2 8221</t>
  </si>
  <si>
    <t>Agendado com Sr. Alexandre Francisco F0436153 por adequação de horário.</t>
  </si>
  <si>
    <t>TÉC 0197 | M1 1612 | M2 1608</t>
  </si>
  <si>
    <t>Agendado com Sr. Ronilton F8772687 por adequação de horário.</t>
  </si>
  <si>
    <t>TÉC 5360 | M1 3659 | M2 3650</t>
  </si>
  <si>
    <t>Agendado com Sra. Ranielia Lima F8430877 por adequação de horário.</t>
  </si>
  <si>
    <t>TÉC 0347 | M1 3477 | M2 3402</t>
  </si>
  <si>
    <t>SHOP.AGUAS CENTER</t>
  </si>
  <si>
    <t>Agendado com Sr. Fernando Barreto F3261199 por adequação de horário.</t>
  </si>
  <si>
    <t>TÉC 7268 | M1 2658 | M2 2659</t>
  </si>
  <si>
    <t>VILA PILAR</t>
  </si>
  <si>
    <t>Agendado com Sra. Ana Souza - F0720965 por adequação de horário.</t>
  </si>
  <si>
    <t>TÉC 7608 | M1 6056 | M2 5667</t>
  </si>
  <si>
    <t>Agendado com Sra. Catiuscia  Brito  F1926285  por adequação de horário.</t>
  </si>
  <si>
    <t>TÉC 7688 | M1 6854  | M2 6855</t>
  </si>
  <si>
    <t>Agendado com Sra. Rizeth Duarte F8626129 por adequação de horário.</t>
  </si>
  <si>
    <t>TÉC 8293 | M1 2911 | M2 2912</t>
  </si>
  <si>
    <t>CORONEL AMORIM</t>
  </si>
  <si>
    <t>Agendado com Sra. Angela Nathalia F0751598 por adequação de horário.</t>
  </si>
  <si>
    <t>TÉC 3622 | M1 6258 | M2 6259</t>
  </si>
  <si>
    <t>Agendado com Sr. Augusto Souza F1481948 por adequação de horário.</t>
  </si>
  <si>
    <t>TÉC 9312 | M1 3114 | M2 3115</t>
  </si>
  <si>
    <t>Agendado com Sr. Paulo Roberto F8176434 por adequação de horário.</t>
  </si>
  <si>
    <t>TÉC 2258 | M1 2507 | M2 2508</t>
  </si>
  <si>
    <t>Agendado com Sr. Gilberto Gomes  F3759783 por adequação de horário.</t>
  </si>
  <si>
    <t>TÉC 2442 | M1 4448 | M2 4449</t>
  </si>
  <si>
    <t>TÉC 3108 | M1 1011 | M2 1012</t>
  </si>
  <si>
    <t>Agendado com Sra. Maria Graciete F6848129 por adequação de horário.</t>
  </si>
  <si>
    <t>TÉC 3540 | M1 5439 | M2 5430</t>
  </si>
  <si>
    <t>Agendado com Sr. Marco Brandão F6794769  por adequação de horário.</t>
  </si>
  <si>
    <t>TÉC 0292 | M1 2921 | M2 2922</t>
  </si>
  <si>
    <t>Agendado com Sr. Gidson Melo F3742292  por adequação de horário.</t>
  </si>
  <si>
    <t>TÉC 4601 | M1 1064 | M2 1065</t>
  </si>
  <si>
    <t>Agendado com Sr. Severino Jose F9121212 por adequação de horário.</t>
  </si>
  <si>
    <t>TÉC 5186 | M1 6815 | M2 6816</t>
  </si>
  <si>
    <t>Agendado com Sr. Jucimar Barboza F5999482 por adequação de horário.</t>
  </si>
  <si>
    <t>TÉC 5376 | M1 3710 | M2 3711</t>
  </si>
  <si>
    <t>Agendado com Sr.  Perez Luiz F8303279  por adequação de horário.</t>
  </si>
  <si>
    <t>TÉC 5560 | M1 5651 | M2 5652</t>
  </si>
  <si>
    <t>Agendado com Sr. Armando Joaquim F1276259 por adequação de horário.</t>
  </si>
  <si>
    <t>TÉC 0348 | M1 3487 | M2 3488</t>
  </si>
  <si>
    <t>Agendado com Sr. Arthur Lima F1353734 por adequação de horário.</t>
  </si>
  <si>
    <t>TÉC 9430 | M1 4397 | M2 4398</t>
  </si>
  <si>
    <t>Agendado com Sr. Francisco da Luz F3339518 por adequação de horário.</t>
  </si>
  <si>
    <t>TÉC 2963 | M1 9655 | M2 9656</t>
  </si>
  <si>
    <t>Agendado com Sr. Guaraci Batista F3836581 por adequação de horário.</t>
  </si>
  <si>
    <t>TÉC 2969 | M1 9615 | M2 9616</t>
  </si>
  <si>
    <t>Agendado com Sra. Nadia Gracielle  F7303867  por adequação de horário.</t>
  </si>
  <si>
    <t>TÉC 3312 | M1 3154 | M2 2134</t>
  </si>
  <si>
    <t>Agendado com Sr. Marcos Sousa F6805354 por adequação de horário.</t>
  </si>
  <si>
    <t>TÉC 3346 | M1 3497 | M2 3346</t>
  </si>
  <si>
    <t>Agendado com Sr. John Galdino F5119861 por adequação de horário.</t>
  </si>
  <si>
    <t>TÉC 3541 | M1 5449 | M2 5440</t>
  </si>
  <si>
    <t>Agendado com Sr. Elder de Macedo F3980228 por adequação de horário.</t>
  </si>
  <si>
    <t>TÉC 3586 | M1 5893 | M2 3586</t>
  </si>
  <si>
    <t>Agendado com Sr. Vlademir Castro F9563403 por adequação de horário.</t>
  </si>
  <si>
    <t>TÉC 6813 | M1 8199 | M2 8190</t>
  </si>
  <si>
    <t>Agendado com Sra. Patricia Lopes F8028157 por adequação de horário.</t>
  </si>
  <si>
    <t>TÉC 4408 | M1 4024 | M2 4025</t>
  </si>
  <si>
    <t>Agendado com Sr. Uanderson Roberto F9377858 por adequação de horário.</t>
  </si>
  <si>
    <t>TÉC 4714 | M1 7188 | M2 7189</t>
  </si>
  <si>
    <t>Agendado com Sra. Jaiane Nascimento F4578829 por adequação de horário.</t>
  </si>
  <si>
    <t>TÉC 5031 | M1 0363 | M2 0364</t>
  </si>
  <si>
    <t>Agendado com Sr. Willian Martins F984326 por adequação de horário.</t>
  </si>
  <si>
    <t>TÉC 6862 | M1 8684 | M2 8685</t>
  </si>
  <si>
    <t>Agendado com Sr. Thiago Barros F9329270  por adequação de horário.</t>
  </si>
  <si>
    <t>TÉC 5421 | M1 4266 | M2 5421</t>
  </si>
  <si>
    <t>Agendado com Sr. Giovany Sobreira - F5529219 Local com acesso e horário restritos.</t>
  </si>
  <si>
    <t>TÉC 9659 | M1 6581 | M2 6582</t>
  </si>
  <si>
    <t>Agendado com Sra. Rosangela Barboza F8783717 por adequação de horário.</t>
  </si>
  <si>
    <t>TÉC 2444 | M1 4468 | M2 4469</t>
  </si>
  <si>
    <t>Agendado com Sr. João Aureliano F4743189 por adequação de horário.</t>
  </si>
  <si>
    <t>TÉC 3369 | M1 3629 | M2 3620</t>
  </si>
  <si>
    <t>Agendado com Sr. Andre Paulo F0741173  por adequação de horário.</t>
  </si>
  <si>
    <t>TÉC 3448 | M1 4418 | M2 4419</t>
  </si>
  <si>
    <t>Agendado com Sr. Marcos Madeiro F6806299 por adequação de horário.</t>
  </si>
  <si>
    <t>TÉC 0171 | M1 1718 | M2 1719</t>
  </si>
  <si>
    <t>Agendado com Sr. Ivanilson Dos Santos F4505913-6 por adequação de horário.</t>
  </si>
  <si>
    <t>TÉC 3543 | M1 5469 | M2 5460</t>
  </si>
  <si>
    <t>Agendado com Sr. Jonas Junior F5113473 por adequação de horário.</t>
  </si>
  <si>
    <t>TÉC 5423 | M1 4286 | M2 4287</t>
  </si>
  <si>
    <t>Agendado com Sr. Mateus Gabriel  F7021268  por adequação de horário.</t>
  </si>
  <si>
    <t>TÉC 4954 | M1 9584 | M2 4954</t>
  </si>
  <si>
    <t>Roberio</t>
  </si>
  <si>
    <t>R. Alina Saraiva de Oliveira - Gramame, João Pessoa - PB, 58067-256</t>
  </si>
  <si>
    <t>Geraldo</t>
  </si>
  <si>
    <t>Av. Goiana, 247 - Tejucopapo, Goiana - PE, 55900-000</t>
  </si>
  <si>
    <t>André</t>
  </si>
  <si>
    <t>R. Dr. José Augusto, 560 - Matriz, Vitória de Santo Antão - PE, 55612-510</t>
  </si>
  <si>
    <t>Marcos Paz</t>
  </si>
  <si>
    <t>R. Carneiro de Campos, 555 - Agamenon Magalhães, Caruaru - PE, 55032-370</t>
  </si>
  <si>
    <t>Priscila</t>
  </si>
  <si>
    <t>R. Regina Célia Ramos da Costa, 12, Carpina - PE</t>
  </si>
  <si>
    <t>Jonatas</t>
  </si>
  <si>
    <t>55730-000, Bom Jardim – PE</t>
  </si>
  <si>
    <t>Freire</t>
  </si>
  <si>
    <t>R. Profa. Cláudia de Barros - Palmares, PE, 55540-000</t>
  </si>
  <si>
    <t xml:space="preserve"> T-99 GERADOR DE NEBLINA ATK3000 -  DOSA</t>
  </si>
  <si>
    <t xml:space="preserve"> T-99 MINI DISPOSITIVO PARA RASTREAMENTO DE VEICULOS, MODELO GL505 EXTRA POWER  -  DOSA</t>
  </si>
  <si>
    <t xml:space="preserve"> T-99 LUZ ESTROBOSCOPICA DE LED -  DOSA</t>
  </si>
  <si>
    <t>EQPT-031354</t>
  </si>
  <si>
    <t xml:space="preserve"> T-10 TDS ELGIN FASE 4 TDSBB001 2007  -   Demais Bens</t>
  </si>
  <si>
    <t>EQPT-037926</t>
  </si>
  <si>
    <t xml:space="preserve"> T-10 TAA TAACT CHEQUE TRASEIRO PROCOMP ATMTCH3675T 2008</t>
  </si>
  <si>
    <t>EQPT-043415</t>
  </si>
  <si>
    <t xml:space="preserve"> T-10 TAA TAAST SAQUE TRASEIRO DIEBOLD ATMCD3675T 2008</t>
  </si>
  <si>
    <t>EQPT-044527</t>
  </si>
  <si>
    <t xml:space="preserve"> T-10 TAA TAACT CHEQUE TRASEIRO DIEBOLD ATMTCH3675TA/TB 2009</t>
  </si>
  <si>
    <t>EQPT-045296</t>
  </si>
  <si>
    <t xml:space="preserve"> T-10 TAA TAAMC FULL TRASEIRO PERTO TMD-2100 2010</t>
  </si>
  <si>
    <t xml:space="preserve"> T-10 TAA TAADC DEPOSITO CHEQUE TRASEIRO PERTO TDC-2100 2010</t>
  </si>
  <si>
    <t xml:space="preserve"> T-10 TAA TAASF SAQUE FRONTAL PERTO TS2111 2011</t>
  </si>
  <si>
    <t>EQPT-052182</t>
  </si>
  <si>
    <t xml:space="preserve"> T-10 TAA TAAST SAQUE TRASEIRO ITAUTEC ATM4102TR 2011</t>
  </si>
  <si>
    <t>EQPT-052183</t>
  </si>
  <si>
    <t xml:space="preserve"> T-10 TAA TAAMT SAQUE DEPOSITO TRASEIRO ITAUTEC ATM4501TR 2011</t>
  </si>
  <si>
    <t xml:space="preserve"> T-10 TAA TAAMT SAQUE DEPOSITO TRASEIRO PERTO TMF2100V13 2014 C/ENTINTAMENTO</t>
  </si>
  <si>
    <t xml:space="preserve"> T-10 TAA TAAMC FULL TRASEIRO PERTO TMD-2100V13 C/ENTINTAMENTO</t>
  </si>
  <si>
    <t xml:space="preserve"> T-10 TAA TAADC CHEQUE DEPOSITO TRASEIRO PERTO TDC-2100 V13</t>
  </si>
  <si>
    <t xml:space="preserve"> T-10 TAA TAAST SAQUE DEPOSITO TRASEIRO DIEBOLD CD4500ST 2014 C/ENTINTAMENTO</t>
  </si>
  <si>
    <t xml:space="preserve"> T-10 TAA TAAST SAQUE TRASEIRO DIEBOLD CD-4500-235/237 2015 V15</t>
  </si>
  <si>
    <t xml:space="preserve"> T-10 TAA TAADC CHEQUE DEPOSITO TRASEIRO DIEBOLD ATMC 4500-355 362 V15</t>
  </si>
  <si>
    <t xml:space="preserve"> T-10 TAA TAAMC FULL TRASEIRO OKI ATM FULL 1502 MT001 2015 C/ENTINTAMENTO</t>
  </si>
  <si>
    <t xml:space="preserve"> T-10 TAA SAQUE FRONTAL PERTO COM ENTINTAMENTO TSF 2100 V 19</t>
  </si>
  <si>
    <t xml:space="preserve"> T-10 TERMINAL RECICLADOR TAART DIEBOLD V17 -   TAA</t>
  </si>
  <si>
    <t xml:space="preserve"> T-10 TERMINAL RECICLADOR TAART DIEBOLD V19  - TAA</t>
  </si>
  <si>
    <t xml:space="preserve"> T-10 TERMINAL DE MULTIPLAS FUNCOES PARA DIRECAO GERAL- DATEN DC3D-U  -  Demais Bens</t>
  </si>
  <si>
    <t xml:space="preserve"> T-10 TERMINAL DO OPERADOR - TOP DARUMA TOPDRM01 (AT7300/03 TOP100) 2015 PE204/07603  -  Demais Bens</t>
  </si>
  <si>
    <t xml:space="preserve"> T-10 TECLADO PIN PAD USB C/CRIPTOGRAFIA FIRMWARE 01.48 GERTEC PPC910  -   Demais Bens</t>
  </si>
  <si>
    <t xml:space="preserve"> T-10 IMPRESSORA LASER MONOCROMATICA MICR DUPLEX HP P2055DN 33 PPM  -  Demais Bens</t>
  </si>
  <si>
    <t>EQPT-074544</t>
  </si>
  <si>
    <t xml:space="preserve"> T-10 IMPRESSORA LASER MONOCROMATICA MICR OKIDATA B4600 27 PPM  -   Demais Bens</t>
  </si>
  <si>
    <t>EQPT-076998</t>
  </si>
  <si>
    <t xml:space="preserve"> T-10 IMPRESSORA DE CAIXA DIEBOLD IM453H USB  -   Demais Bens</t>
  </si>
  <si>
    <t xml:space="preserve"> T-10 SCANNER COMPACTO KODAK SCANMATE I940  -   Demais Bens</t>
  </si>
  <si>
    <t>EQPT-081768</t>
  </si>
  <si>
    <t xml:space="preserve"> T-10 SCANNER AUTOMATICO KODAK I1190 COM MESA OFICIO  -   Demais Bens</t>
  </si>
  <si>
    <t xml:space="preserve"> T-10 SCANNER KODAK I 1190 COM MESA DIGITALIZADORA TAMANHO OFICIO  -   Demais Bens</t>
  </si>
  <si>
    <t>EQPT-058810</t>
  </si>
  <si>
    <t xml:space="preserve"> T-10 SWITCH ETHERNET CAMADA 2 GERENCIAVEL D-LINK DES-3200-28P 24 PORTAS POE -  Demais Bens</t>
  </si>
  <si>
    <t>EQPT-082457</t>
  </si>
  <si>
    <t xml:space="preserve"> T-10 ROTEADOR MULTIACESSO ¿ HUAWEI AR2220E -  Demais Bens</t>
  </si>
  <si>
    <t>T-10 SERVIDOR DE AGENCIA 1U SRVUP XEON 2X4GB DE MEMORIA 1TB DE HD SATA 3 SUPERMICRO/DIEBOLD CSE-811I350B/TW9150  -   Demais Bens</t>
  </si>
  <si>
    <t>EQPT-063517</t>
  </si>
  <si>
    <t xml:space="preserve"> T-10 TMF AG POSITIVO POS-SLIM 2013 PREGAO 2013/08167  -   Demais Bens</t>
  </si>
  <si>
    <t xml:space="preserve"> T-10 TMF DG POSITIVO MASTER D380 ANO 2015  -   Demais Bens</t>
  </si>
  <si>
    <t xml:space="preserve"> T-10 TMF AG POSITIVO MASTER D380 2015  -   Demais Bens</t>
  </si>
  <si>
    <t xml:space="preserve"> T-10 MICRO TMF DG DATEN DC2D-S PE 2017-00149 LOTE 01  -   Demais Bens</t>
  </si>
  <si>
    <t>T-10 TMF AG POSITIVO MASTER D210 PE 2017/00350  -   Demais Bens</t>
  </si>
  <si>
    <t>T-10 MICRO TMF AG DATEN DC2D-S PE 2017-00350 LOTE 02  -   Demais Bens</t>
  </si>
  <si>
    <t>T-10 MICRO TMF AG POSITIVO PE 2018/04269  -   Demais Bens</t>
  </si>
  <si>
    <t xml:space="preserve"> EQUIPAMENTOS CFTV  - DOSI</t>
  </si>
  <si>
    <t xml:space="preserve"> BBTS OUTSOURCING DE SISTEMA DE IMAGEM - DOSI</t>
  </si>
  <si>
    <t xml:space="preserve"> DOSI BB LEGADO</t>
  </si>
  <si>
    <t xml:space="preserve"> EQUIPAMENTOS PGDM/PEDM - Contrato 14</t>
  </si>
  <si>
    <t xml:space="preserve"> EQUIPAMENTOS NO-BREAK  -  Contrato 14</t>
  </si>
  <si>
    <t>EQUIPAMENTOS DE REDE DA SALA ONLINE  - Demais Bens</t>
  </si>
  <si>
    <t>CENTRAIS DE TELEFONIA BBTS OUTSOURCINCG DE TELEFONIA  - Contrato 190</t>
  </si>
  <si>
    <t xml:space="preserve"> SISTEMA DE GERADOR DE NEBLINA - ALARMETEK  -  DOSA  </t>
  </si>
  <si>
    <t>TÉC 0203 | M1 3023 | M2 3024</t>
  </si>
  <si>
    <t>CURAÇA</t>
  </si>
  <si>
    <t>Agendado com Sr. Leandro Silva F6173748  por adequação de horário.</t>
  </si>
  <si>
    <t>TÉC 5540 | M1 5459 | M2 5450</t>
  </si>
  <si>
    <t>Agendado com Sr. Matheus Ribeiro  F7282970 por adequação de horário.</t>
  </si>
  <si>
    <t>TÉC 9438 | M1 5065 | M2 2558</t>
  </si>
  <si>
    <t xml:space="preserve">LOCALIDADE </t>
  </si>
  <si>
    <t>MATRICULA</t>
  </si>
  <si>
    <t>NOME</t>
  </si>
  <si>
    <t>LOGIN REDE</t>
  </si>
  <si>
    <t>CPF</t>
  </si>
  <si>
    <t>RG</t>
  </si>
  <si>
    <t>Nº CELULAR</t>
  </si>
  <si>
    <t>DATA NASC.</t>
  </si>
  <si>
    <t>PLACA</t>
  </si>
  <si>
    <t>TAA - PERTO</t>
  </si>
  <si>
    <t>TAA - OKI - ANTES DE 2016</t>
  </si>
  <si>
    <t>TAA - OKI 2016</t>
  </si>
  <si>
    <t>TAA - DIEBOLD</t>
  </si>
  <si>
    <t>TMF</t>
  </si>
  <si>
    <t>TDS</t>
  </si>
  <si>
    <t>TCC</t>
  </si>
  <si>
    <t>IMPRESSORA</t>
  </si>
  <si>
    <t>ALARME</t>
  </si>
  <si>
    <t>CFTV</t>
  </si>
  <si>
    <t>NOBREAK</t>
  </si>
  <si>
    <t>PGDM</t>
  </si>
  <si>
    <t>PVV</t>
  </si>
  <si>
    <t>SERVIDOR</t>
  </si>
  <si>
    <t>SALA ONLINE</t>
  </si>
  <si>
    <t>TR LIMOERO</t>
  </si>
  <si>
    <t>JONATAS SANTOS</t>
  </si>
  <si>
    <t>jonatas.santos</t>
  </si>
  <si>
    <t>744.614-8</t>
  </si>
  <si>
    <t>81 99838 – 0763</t>
  </si>
  <si>
    <t>OYN-7464</t>
  </si>
  <si>
    <t>PRISCILA TAVARES SOUTO MAIOR</t>
  </si>
  <si>
    <t>priscila.maior</t>
  </si>
  <si>
    <t>696.674-8</t>
  </si>
  <si>
    <t>81 99838 – 2132</t>
  </si>
  <si>
    <t>PGO-2960</t>
  </si>
  <si>
    <t>TR RIBEIRÃO</t>
  </si>
  <si>
    <t>ALEXANDRE FREIRE CARNEIRO JUNIOR</t>
  </si>
  <si>
    <t>alexandre.carneiro</t>
  </si>
  <si>
    <t>723.491-9</t>
  </si>
  <si>
    <t>81 99838 – 2042</t>
  </si>
  <si>
    <t>KKS-0911</t>
  </si>
  <si>
    <t>TR ARCOVERDE</t>
  </si>
  <si>
    <t xml:space="preserve">ALEXSANDRO MAGNO DE ALMEIDA  </t>
  </si>
  <si>
    <t>alexsandro.almeida</t>
  </si>
  <si>
    <t>819.049.594-15</t>
  </si>
  <si>
    <t>440-212-8</t>
  </si>
  <si>
    <t>81 99791-0064</t>
  </si>
  <si>
    <t>PGW-8925</t>
  </si>
  <si>
    <t xml:space="preserve">ERNANDES FERREIRA DE AGUIAR </t>
  </si>
  <si>
    <t>ernandes.aguiar</t>
  </si>
  <si>
    <t>507.540.334-49</t>
  </si>
  <si>
    <t>313.736-1</t>
  </si>
  <si>
    <t>81 99791-0019</t>
  </si>
  <si>
    <t>FFR-6302</t>
  </si>
  <si>
    <t>TR GRAVATÁ</t>
  </si>
  <si>
    <t>ANDRE MARCIO DA SILVA</t>
  </si>
  <si>
    <t>andre.silva</t>
  </si>
  <si>
    <t>032.923.834-55</t>
  </si>
  <si>
    <t>542.938-7</t>
  </si>
  <si>
    <t>81 99838 – 0520</t>
  </si>
  <si>
    <t>PDK-5847</t>
  </si>
  <si>
    <t>MARCOS JOSE BARBOZA DA PAZ JUNIOR</t>
  </si>
  <si>
    <t>marcos.paz</t>
  </si>
  <si>
    <t>044.369.104-58</t>
  </si>
  <si>
    <t>562.906-4</t>
  </si>
  <si>
    <t>81 99838 – 0984</t>
  </si>
  <si>
    <t>PDN-2939</t>
  </si>
  <si>
    <t>TR SALGUEIRO</t>
  </si>
  <si>
    <t>MACIO REGIS CAMPOS SILVA</t>
  </si>
  <si>
    <t>macio.silva</t>
  </si>
  <si>
    <t>995.567.825-91</t>
  </si>
  <si>
    <t>84.112.433-7</t>
  </si>
  <si>
    <t>81 99838 – 0217</t>
  </si>
  <si>
    <t>OYS-1778</t>
  </si>
  <si>
    <t>LEONARDO PETERSON HIPOLITO DE OLIVEIRA</t>
  </si>
  <si>
    <t>87 99117 - 2252</t>
  </si>
  <si>
    <t>TR CARUARU</t>
  </si>
  <si>
    <t>ARY CLEBER DA SILVA CORDEIRO</t>
  </si>
  <si>
    <t>ary.cordeiro</t>
  </si>
  <si>
    <t>553.343-6</t>
  </si>
  <si>
    <t>81 99838 – 1311</t>
  </si>
  <si>
    <t>PFY-6098</t>
  </si>
  <si>
    <t>CARLOS EDUARDO DA SILVA PACHECO</t>
  </si>
  <si>
    <t>carlos.pacheco</t>
  </si>
  <si>
    <t>059.636.854-27</t>
  </si>
  <si>
    <t>200.100.119.806-2</t>
  </si>
  <si>
    <t>81 99838 – 1435</t>
  </si>
  <si>
    <t>PEF-3761</t>
  </si>
  <si>
    <t>MOISES EFIGENIO PEREIRA DE OLIVEIRA</t>
  </si>
  <si>
    <t>moises.oliveira</t>
  </si>
  <si>
    <t>853.515.044-72</t>
  </si>
  <si>
    <t>157.313-7</t>
  </si>
  <si>
    <t>81 99838 – 1335</t>
  </si>
  <si>
    <t>MOL-7273</t>
  </si>
  <si>
    <t>MARCOS VICTOR PEIXOTO</t>
  </si>
  <si>
    <t>marcos.peixoto</t>
  </si>
  <si>
    <t>542.942-5</t>
  </si>
  <si>
    <t>81 99838 – 1448</t>
  </si>
  <si>
    <t>KKZ-6240</t>
  </si>
  <si>
    <t>TR GARANHUNS</t>
  </si>
  <si>
    <t>FERNANDO JONATHAN GOMES DA SILVA</t>
  </si>
  <si>
    <t>fjonathan.silva</t>
  </si>
  <si>
    <t>200.200.603.627-3</t>
  </si>
  <si>
    <t>81 99838 – 0016</t>
  </si>
  <si>
    <t>PCV-1137</t>
  </si>
  <si>
    <t>NEIRLES SERGIO BEZERRA CAVALCANTI</t>
  </si>
  <si>
    <t>neirles.cavalcanti</t>
  </si>
  <si>
    <t>27.313.238-6</t>
  </si>
  <si>
    <t>81 9 9419-2823</t>
  </si>
  <si>
    <t>NÃO</t>
  </si>
  <si>
    <t>TR GOIANA</t>
  </si>
  <si>
    <t xml:space="preserve">GERALDO GOMES DA SILVA JUNIOR </t>
  </si>
  <si>
    <t>geraldo.silva</t>
  </si>
  <si>
    <t>716.892-7</t>
  </si>
  <si>
    <t>81 99791-0025</t>
  </si>
  <si>
    <t>OFX-1430</t>
  </si>
  <si>
    <t xml:space="preserve">ROBERIO ALVES NOBREGA </t>
  </si>
  <si>
    <t>roberio.nobrega</t>
  </si>
  <si>
    <t>193.478-9</t>
  </si>
  <si>
    <t>81 99791-0080</t>
  </si>
  <si>
    <t>KHM-5781</t>
  </si>
  <si>
    <t>TR SERRA TALHADA</t>
  </si>
  <si>
    <t>HUBERLEIDSON BARROS NOGUEIRA</t>
  </si>
  <si>
    <t>Huberleidson</t>
  </si>
  <si>
    <t>037.432.374-74</t>
  </si>
  <si>
    <t>565.837-9</t>
  </si>
  <si>
    <t>81 99838-0276</t>
  </si>
  <si>
    <t>KLA-2833</t>
  </si>
  <si>
    <t>INALDO DE CARVALHO SILVA</t>
  </si>
  <si>
    <t>inaldo.silva</t>
  </si>
  <si>
    <t>706.717.884-34</t>
  </si>
  <si>
    <t>432.512-6</t>
  </si>
  <si>
    <t>81 99838-0892</t>
  </si>
  <si>
    <t>KKT-0851</t>
  </si>
  <si>
    <t>TR CARNAIBA</t>
  </si>
  <si>
    <t>FRANCISCO NUNES DE BARROS</t>
  </si>
  <si>
    <t>francisco.barros</t>
  </si>
  <si>
    <t>007.468.374-88</t>
  </si>
  <si>
    <t>200.805.907-8</t>
  </si>
  <si>
    <t>81 99838-0734</t>
  </si>
  <si>
    <t>NQO-6935</t>
  </si>
  <si>
    <t>TR PETROLINA</t>
  </si>
  <si>
    <t>ATAIDE TENORIO DE ALBUQUERQUE FILHO</t>
  </si>
  <si>
    <t>ataide.albuquerque</t>
  </si>
  <si>
    <t>296.236.424-15</t>
  </si>
  <si>
    <t>138.377-7</t>
  </si>
  <si>
    <t>81 9983 - 80928</t>
  </si>
  <si>
    <t>PDO-1453</t>
  </si>
  <si>
    <t>DAVID ROGERS NOBREGA CAMPOS</t>
  </si>
  <si>
    <t>david.campos</t>
  </si>
  <si>
    <t>000.577.065-30</t>
  </si>
  <si>
    <t>68.433.700-2</t>
  </si>
  <si>
    <t>81 99838 – 1129</t>
  </si>
  <si>
    <t>PCJ-9181</t>
  </si>
  <si>
    <t>EVANDRO DA SILVA SOUZA</t>
  </si>
  <si>
    <t>evandro.souza</t>
  </si>
  <si>
    <t>192.678.168-61</t>
  </si>
  <si>
    <t> 27.722.147-X</t>
  </si>
  <si>
    <t>89 9 9447-2679</t>
  </si>
  <si>
    <t>FOF-6437</t>
  </si>
  <si>
    <t>LUCAS ALVES DA LUZ</t>
  </si>
  <si>
    <t>fernando.soares</t>
  </si>
  <si>
    <t>094.160.504-31</t>
  </si>
  <si>
    <t>819.912-2</t>
  </si>
  <si>
    <t>81 99838 – 1151</t>
  </si>
  <si>
    <t>OYT-5526</t>
  </si>
  <si>
    <t>FERNANDO FERREIRA SOARES</t>
  </si>
  <si>
    <t>lucas.luz</t>
  </si>
  <si>
    <t>643.534.435-34</t>
  </si>
  <si>
    <t>72.976.601-9</t>
  </si>
  <si>
    <t>81 99838 – 1148</t>
  </si>
  <si>
    <t>OUJ-4831</t>
  </si>
  <si>
    <t>ADEILSON DE OLIVEIRA SILVA</t>
  </si>
  <si>
    <t>aoliveira.silva</t>
  </si>
  <si>
    <t>054.316.024-62</t>
  </si>
  <si>
    <t>702.272-1</t>
  </si>
  <si>
    <t>81 99838 - 2497</t>
  </si>
  <si>
    <t>KGZ-8850</t>
  </si>
  <si>
    <t>X</t>
  </si>
  <si>
    <t>ALEXANDRE ANDRADE DOS SANTOS</t>
  </si>
  <si>
    <t>alexandre.santos</t>
  </si>
  <si>
    <t>81 99838 - 2040</t>
  </si>
  <si>
    <t>PDJ-9708</t>
  </si>
  <si>
    <t>ALEXANDRE CESAR FRAGOSO CORREIA</t>
  </si>
  <si>
    <t>alexandre.correia</t>
  </si>
  <si>
    <t>490.803.424-91</t>
  </si>
  <si>
    <t>307.293-6</t>
  </si>
  <si>
    <t>81 99838 - 0628</t>
  </si>
  <si>
    <t>OYN-9374</t>
  </si>
  <si>
    <t>ALEXSANDRO SANTOS DO NASCIMENTO</t>
  </si>
  <si>
    <t>asantos.nascimento</t>
  </si>
  <si>
    <t>038.298.324-60</t>
  </si>
  <si>
    <t>594.545-5</t>
  </si>
  <si>
    <t>81 99838 - 0653</t>
  </si>
  <si>
    <t>OYW-3387</t>
  </si>
  <si>
    <t>ANDRE LUIZ BENTO DE MORAIS</t>
  </si>
  <si>
    <t>andreluiz.morais</t>
  </si>
  <si>
    <t>038.861.974-09</t>
  </si>
  <si>
    <t>598.128-6</t>
  </si>
  <si>
    <t>81 99838 - 1749</t>
  </si>
  <si>
    <t>PCJ-9014</t>
  </si>
  <si>
    <t>ANTONIO JOSE DOS SANTOS JUNIOR</t>
  </si>
  <si>
    <t>asantos</t>
  </si>
  <si>
    <t>029.839.284-46</t>
  </si>
  <si>
    <t>546.356-1</t>
  </si>
  <si>
    <t>81 99838 - 2338</t>
  </si>
  <si>
    <t>PDQ-0860</t>
  </si>
  <si>
    <t>ANTONIO PEREIRA URTIGA</t>
  </si>
  <si>
    <t>antoniourtiga</t>
  </si>
  <si>
    <t>341.501.294-87</t>
  </si>
  <si>
    <t>78.661-3</t>
  </si>
  <si>
    <t>81 98718-1411</t>
  </si>
  <si>
    <t>PCF-2585</t>
  </si>
  <si>
    <t>ELENILDO DE ANDRADE SANTOS</t>
  </si>
  <si>
    <t>elenildo.santos</t>
  </si>
  <si>
    <t>632.792.154-04</t>
  </si>
  <si>
    <t>322.045-4</t>
  </si>
  <si>
    <t>81 99838 - 1227</t>
  </si>
  <si>
    <t>KLS-1475</t>
  </si>
  <si>
    <t>ERICO FABIO CIRNE</t>
  </si>
  <si>
    <t>erico.cirne</t>
  </si>
  <si>
    <t>672.049.705-78</t>
  </si>
  <si>
    <t>474.418-1</t>
  </si>
  <si>
    <t>81 99838 - 2078</t>
  </si>
  <si>
    <t>PWO-2369</t>
  </si>
  <si>
    <t>ESTEFANIO WILLIAMS SILVA</t>
  </si>
  <si>
    <t>estefanio.silva</t>
  </si>
  <si>
    <t>057.928.494-80</t>
  </si>
  <si>
    <t>630.268-4</t>
  </si>
  <si>
    <t>81 99838 - 1853</t>
  </si>
  <si>
    <t>EVERSON PASSOS DA ROCHA</t>
  </si>
  <si>
    <t>everson.rocha</t>
  </si>
  <si>
    <t>087.257.207-24</t>
  </si>
  <si>
    <t>1169.833-9</t>
  </si>
  <si>
    <t>81 99838 - 1265</t>
  </si>
  <si>
    <t>PGC-6551</t>
  </si>
  <si>
    <t>ISAAC JOSE BASTOS DE SOUZA</t>
  </si>
  <si>
    <t>isaac.souza</t>
  </si>
  <si>
    <t>479.017.804-87</t>
  </si>
  <si>
    <t>232.167-4</t>
  </si>
  <si>
    <t>81 99838 - 2168</t>
  </si>
  <si>
    <t>PCV-4918</t>
  </si>
  <si>
    <t>IVSON SOARES PEREIRA</t>
  </si>
  <si>
    <t>ivson.pereira</t>
  </si>
  <si>
    <t>593.259.254-00</t>
  </si>
  <si>
    <t>346.141-7</t>
  </si>
  <si>
    <t>81 99838 - 1080</t>
  </si>
  <si>
    <t>KJO-7994</t>
  </si>
  <si>
    <t>JANILSON SILVA DE OLIVEIRA</t>
  </si>
  <si>
    <t>janilson.oliveira</t>
  </si>
  <si>
    <t>099.186.814-54</t>
  </si>
  <si>
    <t>813.608-7</t>
  </si>
  <si>
    <t>81 99838 - 1896</t>
  </si>
  <si>
    <t>PEC-5559</t>
  </si>
  <si>
    <t>JOSE EDUARDO ALEXANDRE BELO</t>
  </si>
  <si>
    <t>jose.belo</t>
  </si>
  <si>
    <t>676.739.454-87</t>
  </si>
  <si>
    <t>131.992-9</t>
  </si>
  <si>
    <t>81 99838 - 0624</t>
  </si>
  <si>
    <t>PGL-1060</t>
  </si>
  <si>
    <t>JOSE ROGERIO DA SILVA</t>
  </si>
  <si>
    <t>joserogerio.silva</t>
  </si>
  <si>
    <t>518.689.384-68</t>
  </si>
  <si>
    <t>113.133-3</t>
  </si>
  <si>
    <t>81 99838 - 1395</t>
  </si>
  <si>
    <t>AYR-6724</t>
  </si>
  <si>
    <t>JULIO CEZAR DA SILVA</t>
  </si>
  <si>
    <t>julio.silva</t>
  </si>
  <si>
    <t>070.327.164-40</t>
  </si>
  <si>
    <t>666.296-6</t>
  </si>
  <si>
    <t>81 99838 - 2051</t>
  </si>
  <si>
    <t>PED-4723</t>
  </si>
  <si>
    <t>LEONARDO DE OLIVEIRA XAVIER</t>
  </si>
  <si>
    <t>xavier</t>
  </si>
  <si>
    <t>167.805-7</t>
  </si>
  <si>
    <t>81 99838 - 2605</t>
  </si>
  <si>
    <t>PFY-9310</t>
  </si>
  <si>
    <t>LIDIANE RIBEIRO ALVES</t>
  </si>
  <si>
    <t>lidiane.alves</t>
  </si>
  <si>
    <t>045.152.124-27</t>
  </si>
  <si>
    <t>631.723-6</t>
  </si>
  <si>
    <t>81 99838 - 2079</t>
  </si>
  <si>
    <t>PGV-5209</t>
  </si>
  <si>
    <t>LUIZ HENRIQUE RESENDE MACIEL</t>
  </si>
  <si>
    <t>luiz.maciel</t>
  </si>
  <si>
    <t>037.157.314-94</t>
  </si>
  <si>
    <t>615.280-0</t>
  </si>
  <si>
    <t>81 99838 - 2448</t>
  </si>
  <si>
    <t>PGG-2063</t>
  </si>
  <si>
    <t>NATANAEL JAMERSON DE SOUZA MAGALHAES</t>
  </si>
  <si>
    <t>natanael.magalhaes</t>
  </si>
  <si>
    <t>018.404.224-08</t>
  </si>
  <si>
    <t>397.484-5</t>
  </si>
  <si>
    <t>81 99838 - 1651</t>
  </si>
  <si>
    <t>PCF-5155</t>
  </si>
  <si>
    <t>RICARDO LUIZ DA SILVA FERREIRA</t>
  </si>
  <si>
    <t>ricardo.ferreira</t>
  </si>
  <si>
    <t>477.410.824-34</t>
  </si>
  <si>
    <t>206.513-6</t>
  </si>
  <si>
    <t>81 99838 - 0621</t>
  </si>
  <si>
    <t>PFF-1170</t>
  </si>
  <si>
    <t>WYDSON ALBERTO DOS SANTOS</t>
  </si>
  <si>
    <t>wydson.santos</t>
  </si>
  <si>
    <t>391.527.584-00</t>
  </si>
  <si>
    <t>279.299-5</t>
  </si>
  <si>
    <t>81 99838 - 1597</t>
  </si>
  <si>
    <t>KIE-0163</t>
  </si>
  <si>
    <t>LABORATÓRIO</t>
  </si>
  <si>
    <t>VALDEREZ  HONORIO MARINHO</t>
  </si>
  <si>
    <t>valderez.marinho</t>
  </si>
  <si>
    <t>432.974.044-34</t>
  </si>
  <si>
    <t>261.921-0</t>
  </si>
  <si>
    <t>81 99838 - 1389</t>
  </si>
  <si>
    <t>AYRTON JONATHAN ALVES G DE FRANÇA</t>
  </si>
  <si>
    <t>ayrton.franca</t>
  </si>
  <si>
    <t>81 3510</t>
  </si>
  <si>
    <t>LIDIANE MARIA DE BARROS LIMA</t>
  </si>
  <si>
    <t xml:space="preserve">
lidiane.lima</t>
  </si>
  <si>
    <t>81 99766-4929</t>
  </si>
  <si>
    <t>WALTER JOSE DE OLIVEIRA</t>
  </si>
  <si>
    <t xml:space="preserve">
wjose.oliveira</t>
  </si>
  <si>
    <t>Hoje:</t>
  </si>
  <si>
    <t>Data de Inst. do BEM:</t>
  </si>
  <si>
    <t>Anos de Uso :</t>
  </si>
  <si>
    <t>Anos</t>
  </si>
  <si>
    <t>Dias em Garantia</t>
  </si>
  <si>
    <t>Ano(s)</t>
  </si>
  <si>
    <t>Fim da Garantia</t>
  </si>
  <si>
    <t>10 Anos</t>
  </si>
  <si>
    <t>CONTRATOS</t>
  </si>
  <si>
    <t>ITEM</t>
  </si>
  <si>
    <t>DESCRIÇÃO</t>
  </si>
  <si>
    <t>00158/2016</t>
  </si>
  <si>
    <t>T-10 TDS ELGIN FASE 4 TDSBB001 2007</t>
  </si>
  <si>
    <t>EQPT-037967</t>
  </si>
  <si>
    <t>T-10 TAA TAAMT SAQUE DEPOSITO PERTO TF-400 MULTIPLOS</t>
  </si>
  <si>
    <t>EQUIPAMENTOS</t>
  </si>
  <si>
    <t>FECHAR ATÉ ↓ DIAS</t>
  </si>
  <si>
    <t>EQPT-039758</t>
  </si>
  <si>
    <t>T-10 EQPT-043771 IMPRESSORA MULTIFUNCIONAL LASER MONOCROMATICA HP M4345X MFP 45 PMM</t>
  </si>
  <si>
    <t>SALA ON-LINE</t>
  </si>
  <si>
    <t>GRPE-000021</t>
  </si>
  <si>
    <t xml:space="preserve">ALARME BB </t>
  </si>
  <si>
    <t>EQPT-042488</t>
  </si>
  <si>
    <t>T-10 TAA TAAMT SAQUE DEPOSITO TRASEIRO ITAUTEC ATM-3501TR/TR2 PREGAO 2009/2010/2011</t>
  </si>
  <si>
    <t xml:space="preserve">ALARME BBTS </t>
  </si>
  <si>
    <t>EQPT-043771</t>
  </si>
  <si>
    <t>T-10 IMPRESSORA MULTIFUNCIONAL LASER MONOCROMATICA HP M4345X MFP 45 PMM</t>
  </si>
  <si>
    <t>TELEFONIA BBTS PVV</t>
  </si>
  <si>
    <t>T-10 TAA TAAMC FULL TRASEIRO PERTO TMD-2100 2010</t>
  </si>
  <si>
    <t>EQPT-045386</t>
  </si>
  <si>
    <t>T-10 TCC DARUMA AT7300 TCC30</t>
  </si>
  <si>
    <t>PGDM/PEDM</t>
  </si>
  <si>
    <t>EQPT-048868</t>
  </si>
  <si>
    <t>T-10 TMF AG POSITIVO POS-AT SERIES O PREGAO 2010/02536</t>
  </si>
  <si>
    <t>NO-BREAK</t>
  </si>
  <si>
    <t>EQPT-049742</t>
  </si>
  <si>
    <t>T-10 TMF DG POSITIVO MASTER D360 2011</t>
  </si>
  <si>
    <t>GRPE-000028</t>
  </si>
  <si>
    <t>EQPT-049823</t>
  </si>
  <si>
    <t>T-10 TMF GED DARUMA PC-4100 2011</t>
  </si>
  <si>
    <t>EQPT-??????</t>
  </si>
  <si>
    <t>TAA-MT-MC-SF-DC-ST</t>
  </si>
  <si>
    <t>TDS-TMF-TCC-MIC-IMP-SER</t>
  </si>
  <si>
    <t>T-10 TAA TAAST SAQUE TRASEIRO ITAUTEC ATM4102TR 2011</t>
  </si>
  <si>
    <t>T-10 TAA TAAMT SAQUE DEPOSITO TRASEIRO ITAUTEC ATM4501TR 2011</t>
  </si>
  <si>
    <t>EQPT-052401</t>
  </si>
  <si>
    <t>T-10 IMPRESSORA MULTIFUNCIONAL LASER MONOCROMATICA ADF DUPLEX SAMSUNG SCX-6555NX 55 PPM</t>
  </si>
  <si>
    <t>EQPT-053054</t>
  </si>
  <si>
    <t>T-10 IMPRESSORA MULTIFUNCIONAL LASER MONOCROMATICA ADF DUPLEX SAMSUNG SCX-5835NX 33 PPM</t>
  </si>
  <si>
    <t>EQPT-058979</t>
  </si>
  <si>
    <t>T-10 TMF DG POSITIVO MASTER D360 2012</t>
  </si>
  <si>
    <t>CONTROLADORES</t>
  </si>
  <si>
    <t>Cleiton</t>
  </si>
  <si>
    <t>EQPT-070976</t>
  </si>
  <si>
    <t>T-10 IMPRESSORA LASER COLORIDA DUPLEX SAMSUNG CLP-775ND 35 PPM</t>
  </si>
  <si>
    <t>Rinaldo</t>
  </si>
  <si>
    <t>EQPT-073107</t>
  </si>
  <si>
    <t>T-10 EQPT-052401 IMPRESSORA MULTIFUNCIONAL LASER MONOCROMATICA ADF DUPLEX SAMSUNG SCX-6555NX 55 PPM</t>
  </si>
  <si>
    <t>Adriana - Cris - Rose</t>
  </si>
  <si>
    <t xml:space="preserve">  Transfer + 81 + Ramal #  /  \\DSN019373 / SISBB 11-99-01 _03 ; 40-99-02 ou 03</t>
  </si>
  <si>
    <t>CENTRAIS DE ALARME BB LEGADAS OUTSOURCING DE SISTEMAS DE ALARME</t>
  </si>
  <si>
    <t>CENTRAIS DE ALARME BBTS OUTSOURCINCG DE SISTEMAS DE ALARME</t>
  </si>
  <si>
    <t>CENTRAIS DE TELEFONIA BBTS OUTSOURCINCG DE TELEFONIA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</si>
</sst>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&quot;R$ &quot;* #,##0.00_-;&quot;-R$ &quot;* #,##0.00_-;_-&quot;R$ &quot;* \-??_-;_-@_-"/>
    <numFmt numFmtId="165" formatCode="d/mmm"/>
    <numFmt numFmtId="166" formatCode="d/m/yyyy\ hh:mm"/>
    <numFmt numFmtId="167" formatCode="#,##0_ ;[Red]\-#,##0\ "/>
    <numFmt numFmtId="168" formatCode=";;;"/>
    <numFmt numFmtId="169" formatCode="_-[$R$-416]\ * #,##0.00_-;\-[$R$-416]\ * #,##0.00_-;_-[$R$-416]\ * \-??_-;_-@_-"/>
    <numFmt numFmtId="170" formatCode="[$-416]d;@"/>
    <numFmt numFmtId="171" formatCode="d/m/yyyy"/>
    <numFmt numFmtId="172" formatCode="_-* #,##0.00_-;\-* #,##0.00_-;_-* \-??_-;_-@_-"/>
    <numFmt numFmtId="173" formatCode="dd/mm/yy"/>
    <numFmt numFmtId="174" formatCode="00,000,000,0\-00"/>
    <numFmt numFmtId="175" formatCode="0,000,000,00\-0"/>
  </numFmts>
  <fonts count="34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  <charset val="1"/>
    </font>
    <font>
      <sz val="11"/>
      <name val="Calibri"/>
      <charset val="1"/>
    </font>
    <font>
      <sz val="10"/>
      <name val="Calibri"/>
      <charset val="1"/>
    </font>
    <font>
      <b/>
      <sz val="11"/>
      <color rgb="FFF60622"/>
      <name val="Calibri"/>
      <family val="2"/>
      <charset val="1"/>
    </font>
    <font>
      <b/>
      <sz val="11"/>
      <color rgb="FFC9211E"/>
      <name val="Calibri"/>
      <family val="2"/>
      <charset val="1"/>
    </font>
    <font>
      <b/>
      <sz val="14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/>
      <sz val="16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sz val="11"/>
      <color rgb="FF1A1816"/>
      <name val="Calibri"/>
      <charset val="1"/>
    </font>
    <font>
      <sz val="11"/>
      <color rgb="FF1A1816"/>
      <name val="Segoe UI"/>
      <family val="2"/>
      <charset val="1"/>
    </font>
    <font>
      <sz val="11"/>
      <color rgb="FF1E395B"/>
      <name val="Calibri"/>
      <family val="2"/>
      <charset val="1"/>
    </font>
    <font>
      <b/>
      <u/>
      <sz val="11"/>
      <color rgb="FF0563C1"/>
      <name val="Calibri"/>
      <family val="2"/>
      <charset val="1"/>
    </font>
    <font>
      <sz val="10"/>
      <color rgb="FF000000"/>
      <name val="Apple-System"/>
      <charset val="1"/>
    </font>
    <font>
      <sz val="12"/>
      <color rgb="FF000000"/>
      <name val="Calibri"/>
      <family val="2"/>
      <charset val="1"/>
    </font>
    <font>
      <sz val="12"/>
      <color rgb="FF333333"/>
      <name val="Arial"/>
      <family val="2"/>
      <charset val="1"/>
    </font>
    <font>
      <sz val="12"/>
      <color rgb="FF333333"/>
      <name val="Calibri"/>
      <family val="2"/>
      <charset val="1"/>
    </font>
    <font>
      <b/>
      <sz val="12"/>
      <color rgb="FF92D050"/>
      <name val="Calibri"/>
      <family val="2"/>
      <charset val="1"/>
    </font>
    <font>
      <sz val="11"/>
      <color rgb="FF000000"/>
      <name val="Arial"/>
      <charset val="1"/>
    </font>
    <font>
      <b/>
      <sz val="12"/>
      <color rgb="FFFF0000"/>
      <name val="Calibri"/>
      <family val="2"/>
      <charset val="1"/>
    </font>
    <font>
      <b/>
      <sz val="12"/>
      <color rgb="FF2E75B6"/>
      <name val="Calibri"/>
      <family val="2"/>
      <charset val="1"/>
    </font>
    <font>
      <b/>
      <sz val="12"/>
      <color rgb="FFBF9000"/>
      <name val="Calibri"/>
      <family val="2"/>
      <charset val="1"/>
    </font>
    <font>
      <b/>
      <sz val="11"/>
      <color rgb="FFFFFFFF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-Apple-System"/>
      <charset val="1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rgb="FFFFFF00"/>
        <bgColor rgb="FFE9F50F"/>
      </patternFill>
    </fill>
    <fill>
      <patternFill patternType="solid">
        <fgColor rgb="FFD9D9D9"/>
        <bgColor rgb="FFD6DCE5"/>
      </patternFill>
    </fill>
    <fill>
      <patternFill patternType="solid">
        <fgColor rgb="FFE9F50F"/>
        <bgColor rgb="FFFFFF00"/>
      </patternFill>
    </fill>
    <fill>
      <patternFill patternType="solid">
        <fgColor rgb="FFFFF2CC"/>
        <bgColor rgb="FFE2F0D9"/>
      </patternFill>
    </fill>
    <fill>
      <patternFill patternType="solid">
        <fgColor rgb="FFC5E0B4"/>
        <bgColor rgb="FFC6E0B4"/>
      </patternFill>
    </fill>
    <fill>
      <patternFill patternType="solid">
        <fgColor rgb="FFFFFFFF"/>
        <bgColor rgb="FFFFF2CC"/>
      </patternFill>
    </fill>
    <fill>
      <patternFill patternType="solid">
        <fgColor rgb="FFFFFF99"/>
        <bgColor rgb="FFFFE699"/>
      </patternFill>
    </fill>
    <fill>
      <patternFill patternType="solid">
        <fgColor rgb="FFFF0000"/>
        <bgColor rgb="FFF60622"/>
      </patternFill>
    </fill>
    <fill>
      <patternFill patternType="solid">
        <fgColor rgb="FFFFC000"/>
        <bgColor rgb="FFE9F50F"/>
      </patternFill>
    </fill>
    <fill>
      <patternFill patternType="solid">
        <fgColor rgb="FFBFBFBF"/>
        <bgColor rgb="FF9BC2E6"/>
      </patternFill>
    </fill>
    <fill>
      <patternFill patternType="solid">
        <fgColor rgb="FFFF9966"/>
        <bgColor rgb="FFFFC000"/>
      </patternFill>
    </fill>
    <fill>
      <patternFill patternType="solid">
        <fgColor rgb="FF99FF66"/>
        <bgColor rgb="FF92D050"/>
      </patternFill>
    </fill>
    <fill>
      <patternFill patternType="solid">
        <fgColor rgb="FF92D050"/>
        <bgColor rgb="FF99FF66"/>
      </patternFill>
    </fill>
    <fill>
      <patternFill patternType="solid">
        <fgColor rgb="FFD6DCE5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D96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5">
    <xf numFmtId="0" fontId="0" fillId="0" borderId="0"/>
    <xf numFmtId="0" fontId="15" fillId="0" borderId="0" applyBorder="0" applyProtection="0"/>
    <xf numFmtId="164" fontId="30" fillId="0" borderId="0"/>
    <xf numFmtId="0" fontId="30" fillId="0" borderId="0"/>
    <xf numFmtId="0" fontId="1" fillId="0" borderId="0"/>
  </cellStyleXfs>
  <cellXfs count="223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1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3" fontId="3" fillId="2" borderId="0" xfId="0" applyNumberFormat="1" applyFont="1" applyFill="1" applyAlignment="1">
      <alignment horizontal="center"/>
    </xf>
    <xf numFmtId="166" fontId="2" fillId="2" borderId="0" xfId="0" applyNumberFormat="1" applyFont="1" applyFill="1" applyAlignment="1">
      <alignment horizontal="center"/>
    </xf>
    <xf numFmtId="167" fontId="2" fillId="2" borderId="0" xfId="0" applyNumberFormat="1" applyFont="1" applyFill="1"/>
    <xf numFmtId="4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70" fontId="0" fillId="0" borderId="0" xfId="0" applyNumberFormat="1" applyAlignment="1">
      <alignment horizontal="center"/>
    </xf>
    <xf numFmtId="166" fontId="0" fillId="0" borderId="0" xfId="0" applyNumberFormat="1"/>
    <xf numFmtId="4" fontId="0" fillId="0" borderId="0" xfId="0" applyNumberForma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0" xfId="0" applyFont="1" applyFill="1"/>
    <xf numFmtId="1" fontId="6" fillId="4" borderId="0" xfId="0" applyNumberFormat="1" applyFont="1" applyFill="1" applyAlignment="1">
      <alignment horizontal="center"/>
    </xf>
    <xf numFmtId="165" fontId="6" fillId="4" borderId="0" xfId="0" applyNumberFormat="1" applyFont="1" applyFill="1" applyAlignment="1">
      <alignment horizontal="center"/>
    </xf>
    <xf numFmtId="3" fontId="7" fillId="4" borderId="0" xfId="0" applyNumberFormat="1" applyFont="1" applyFill="1" applyAlignment="1">
      <alignment horizontal="center"/>
    </xf>
    <xf numFmtId="166" fontId="6" fillId="4" borderId="0" xfId="0" applyNumberFormat="1" applyFont="1" applyFill="1" applyAlignment="1">
      <alignment horizontal="center"/>
    </xf>
    <xf numFmtId="167" fontId="6" fillId="4" borderId="0" xfId="0" applyNumberFormat="1" applyFont="1" applyFill="1"/>
    <xf numFmtId="168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9" fillId="0" borderId="0" xfId="0" applyFont="1"/>
    <xf numFmtId="3" fontId="9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0" fontId="5" fillId="0" borderId="0" xfId="0" applyNumberFormat="1" applyFont="1" applyAlignment="1">
      <alignment horizontal="center"/>
    </xf>
    <xf numFmtId="3" fontId="2" fillId="2" borderId="0" xfId="0" applyNumberFormat="1" applyFont="1" applyFill="1" applyAlignment="1">
      <alignment horizontal="center"/>
    </xf>
    <xf numFmtId="10" fontId="2" fillId="2" borderId="0" xfId="0" applyNumberFormat="1" applyFont="1" applyFill="1" applyAlignment="1">
      <alignment horizontal="center"/>
    </xf>
    <xf numFmtId="10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2" fillId="2" borderId="0" xfId="0" applyFont="1" applyFill="1" applyAlignment="1">
      <alignment horizontal="center" wrapText="1"/>
    </xf>
    <xf numFmtId="0" fontId="13" fillId="2" borderId="0" xfId="0" applyFont="1" applyFill="1" applyAlignment="1">
      <alignment horizontal="center" wrapText="1"/>
    </xf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center" wrapText="1"/>
    </xf>
    <xf numFmtId="0" fontId="1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/>
    </xf>
    <xf numFmtId="0" fontId="15" fillId="0" borderId="0" xfId="1" applyBorder="1" applyProtection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1" applyBorder="1" applyAlignment="1" applyProtection="1">
      <alignment horizontal="left" vertical="center"/>
    </xf>
    <xf numFmtId="0" fontId="15" fillId="0" borderId="0" xfId="1" applyBorder="1" applyAlignment="1" applyProtection="1">
      <alignment horizontal="left"/>
    </xf>
    <xf numFmtId="0" fontId="17" fillId="0" borderId="0" xfId="0" applyFont="1"/>
    <xf numFmtId="0" fontId="12" fillId="5" borderId="0" xfId="0" applyFont="1" applyFill="1" applyAlignment="1">
      <alignment horizontal="center" wrapText="1"/>
    </xf>
    <xf numFmtId="0" fontId="13" fillId="5" borderId="0" xfId="0" applyFont="1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15" fillId="0" borderId="0" xfId="1" applyBorder="1" applyAlignment="1" applyProtection="1">
      <alignment vertical="center" wrapText="1"/>
    </xf>
    <xf numFmtId="0" fontId="19" fillId="0" borderId="0" xfId="1" applyFont="1" applyBorder="1" applyAlignment="1" applyProtection="1">
      <alignment horizontal="center" vertical="center" wrapText="1"/>
    </xf>
    <xf numFmtId="0" fontId="20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21" fillId="0" borderId="0" xfId="0" applyFont="1" applyAlignment="1">
      <alignment horizontal="center" vertical="center" wrapText="1"/>
    </xf>
    <xf numFmtId="174" fontId="21" fillId="0" borderId="0" xfId="0" applyNumberFormat="1" applyFont="1" applyAlignment="1">
      <alignment horizontal="center" vertical="center" wrapText="1"/>
    </xf>
    <xf numFmtId="175" fontId="21" fillId="0" borderId="0" xfId="0" applyNumberFormat="1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 wrapText="1"/>
    </xf>
    <xf numFmtId="174" fontId="21" fillId="6" borderId="0" xfId="0" applyNumberFormat="1" applyFont="1" applyFill="1" applyAlignment="1">
      <alignment horizontal="center" vertical="center" wrapText="1"/>
    </xf>
    <xf numFmtId="175" fontId="21" fillId="6" borderId="0" xfId="0" applyNumberFormat="1" applyFont="1" applyFill="1" applyAlignment="1">
      <alignment horizontal="center" vertical="center" wrapText="1"/>
    </xf>
    <xf numFmtId="171" fontId="21" fillId="6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174" fontId="21" fillId="6" borderId="0" xfId="0" applyNumberFormat="1" applyFont="1" applyFill="1" applyAlignment="1">
      <alignment horizontal="center" vertical="center"/>
    </xf>
    <xf numFmtId="175" fontId="21" fillId="6" borderId="0" xfId="0" applyNumberFormat="1" applyFont="1" applyFill="1" applyAlignment="1">
      <alignment horizontal="center" vertical="center"/>
    </xf>
    <xf numFmtId="174" fontId="21" fillId="0" borderId="0" xfId="0" applyNumberFormat="1" applyFont="1" applyAlignment="1">
      <alignment horizontal="center" vertical="center"/>
    </xf>
    <xf numFmtId="175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shrinkToFit="1"/>
    </xf>
    <xf numFmtId="0" fontId="21" fillId="6" borderId="0" xfId="0" applyFont="1" applyFill="1" applyAlignment="1">
      <alignment horizontal="center" vertical="center" shrinkToFit="1"/>
    </xf>
    <xf numFmtId="0" fontId="21" fillId="0" borderId="0" xfId="0" applyFont="1" applyAlignment="1">
      <alignment horizontal="center" vertical="center" readingOrder="2"/>
    </xf>
    <xf numFmtId="2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6" borderId="0" xfId="0" applyFont="1" applyFill="1" applyAlignment="1">
      <alignment horizontal="center" vertical="center" readingOrder="2"/>
    </xf>
    <xf numFmtId="2" fontId="21" fillId="6" borderId="0" xfId="0" applyNumberFormat="1" applyFont="1" applyFill="1" applyAlignment="1">
      <alignment horizontal="center" vertical="center"/>
    </xf>
    <xf numFmtId="171" fontId="21" fillId="6" borderId="0" xfId="0" applyNumberFormat="1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wrapText="1"/>
    </xf>
    <xf numFmtId="0" fontId="21" fillId="0" borderId="0" xfId="0" applyFont="1" applyAlignment="1">
      <alignment horizontal="center" wrapText="1"/>
    </xf>
    <xf numFmtId="1" fontId="21" fillId="0" borderId="0" xfId="0" applyNumberFormat="1" applyFont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0" fillId="0" borderId="2" xfId="0" applyBorder="1" applyAlignment="1">
      <alignment horizontal="right" vertical="center"/>
    </xf>
    <xf numFmtId="171" fontId="21" fillId="0" borderId="3" xfId="0" applyNumberFormat="1" applyFont="1" applyBorder="1" applyAlignment="1">
      <alignment horizontal="center" vertical="center"/>
    </xf>
    <xf numFmtId="1" fontId="21" fillId="7" borderId="0" xfId="0" applyNumberFormat="1" applyFont="1" applyFill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0" fillId="0" borderId="4" xfId="0" applyBorder="1" applyAlignment="1">
      <alignment horizontal="right" vertical="center"/>
    </xf>
    <xf numFmtId="171" fontId="25" fillId="0" borderId="5" xfId="0" applyNumberFormat="1" applyFont="1" applyBorder="1" applyAlignment="1">
      <alignment horizontal="center" readingOrder="1"/>
    </xf>
    <xf numFmtId="0" fontId="4" fillId="0" borderId="6" xfId="0" applyFont="1" applyBorder="1" applyAlignment="1">
      <alignment horizontal="right" vertical="center"/>
    </xf>
    <xf numFmtId="1" fontId="26" fillId="0" borderId="7" xfId="0" applyNumberFormat="1" applyFont="1" applyBorder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3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6" fillId="0" borderId="4" xfId="0" applyFont="1" applyBorder="1" applyAlignment="1">
      <alignment horizontal="center" vertical="center"/>
    </xf>
    <xf numFmtId="171" fontId="26" fillId="0" borderId="5" xfId="0" applyNumberFormat="1" applyFont="1" applyBorder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1" fontId="3" fillId="0" borderId="5" xfId="0" applyNumberFormat="1" applyFont="1" applyBorder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7" borderId="0" xfId="0" applyFill="1"/>
    <xf numFmtId="0" fontId="2" fillId="7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7" borderId="8" xfId="0" applyFill="1" applyBorder="1"/>
    <xf numFmtId="0" fontId="2" fillId="7" borderId="8" xfId="0" applyFont="1" applyFill="1" applyBorder="1" applyAlignment="1">
      <alignment horizontal="center"/>
    </xf>
    <xf numFmtId="0" fontId="0" fillId="7" borderId="9" xfId="0" applyFill="1" applyBorder="1"/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9" fillId="9" borderId="12" xfId="0" applyFont="1" applyFill="1" applyBorder="1" applyAlignment="1">
      <alignment horizontal="center"/>
    </xf>
    <xf numFmtId="0" fontId="29" fillId="9" borderId="13" xfId="0" applyFont="1" applyFill="1" applyBorder="1" applyAlignment="1">
      <alignment horizontal="center"/>
    </xf>
    <xf numFmtId="0" fontId="29" fillId="9" borderId="14" xfId="0" applyFont="1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  <xf numFmtId="0" fontId="2" fillId="10" borderId="16" xfId="0" applyFont="1" applyFill="1" applyBorder="1" applyAlignment="1">
      <alignment horizontal="center"/>
    </xf>
    <xf numFmtId="0" fontId="2" fillId="11" borderId="15" xfId="0" applyFont="1" applyFill="1" applyBorder="1" applyAlignment="1">
      <alignment horizontal="center"/>
    </xf>
    <xf numFmtId="0" fontId="2" fillId="11" borderId="16" xfId="0" applyFont="1" applyFill="1" applyBorder="1" applyAlignment="1">
      <alignment horizontal="center"/>
    </xf>
    <xf numFmtId="0" fontId="2" fillId="12" borderId="15" xfId="0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2" fillId="13" borderId="15" xfId="0" applyFont="1" applyFill="1" applyBorder="1" applyAlignment="1">
      <alignment horizontal="center"/>
    </xf>
    <xf numFmtId="0" fontId="2" fillId="13" borderId="16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2" fillId="13" borderId="18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5" fillId="7" borderId="0" xfId="0" applyFont="1" applyFill="1"/>
    <xf numFmtId="0" fontId="6" fillId="7" borderId="0" xfId="0" applyFont="1" applyFill="1" applyAlignment="1">
      <alignment horizontal="center"/>
    </xf>
    <xf numFmtId="0" fontId="5" fillId="7" borderId="8" xfId="0" applyFont="1" applyFill="1" applyBorder="1"/>
    <xf numFmtId="0" fontId="6" fillId="7" borderId="8" xfId="0" applyFont="1" applyFill="1" applyBorder="1" applyAlignment="1">
      <alignment horizontal="center"/>
    </xf>
    <xf numFmtId="0" fontId="5" fillId="7" borderId="9" xfId="0" applyFont="1" applyFill="1" applyBorder="1"/>
    <xf numFmtId="0" fontId="6" fillId="7" borderId="10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11" borderId="12" xfId="0" applyFont="1" applyFill="1" applyBorder="1" applyAlignment="1">
      <alignment horizontal="center"/>
    </xf>
    <xf numFmtId="0" fontId="6" fillId="11" borderId="13" xfId="0" applyFont="1" applyFill="1" applyBorder="1" applyAlignment="1">
      <alignment horizontal="center"/>
    </xf>
    <xf numFmtId="0" fontId="6" fillId="11" borderId="14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1" xfId="0" applyFill="1" applyBorder="1"/>
    <xf numFmtId="0" fontId="6" fillId="7" borderId="19" xfId="0" applyFont="1" applyFill="1" applyBorder="1" applyAlignment="1">
      <alignment horizontal="left"/>
    </xf>
    <xf numFmtId="0" fontId="6" fillId="7" borderId="20" xfId="0" applyFon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5" borderId="1" xfId="0" applyFill="1" applyBorder="1"/>
    <xf numFmtId="0" fontId="5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16" borderId="0" xfId="0" applyFill="1" applyAlignment="1">
      <alignment horizontal="center"/>
    </xf>
    <xf numFmtId="1" fontId="0" fillId="16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/>
    <xf numFmtId="1" fontId="0" fillId="17" borderId="0" xfId="0" applyNumberFormat="1" applyFill="1" applyAlignment="1">
      <alignment horizontal="center"/>
    </xf>
    <xf numFmtId="0" fontId="4" fillId="16" borderId="0" xfId="0" applyFont="1" applyFill="1"/>
    <xf numFmtId="0" fontId="31" fillId="0" borderId="0" xfId="0" applyFont="1" applyAlignment="1">
      <alignment horizontal="center"/>
    </xf>
    <xf numFmtId="0" fontId="31" fillId="0" borderId="0" xfId="0" applyFont="1"/>
    <xf numFmtId="0" fontId="0" fillId="18" borderId="0" xfId="0" applyFill="1" applyAlignment="1">
      <alignment horizontal="center"/>
    </xf>
    <xf numFmtId="0" fontId="4" fillId="18" borderId="0" xfId="0" applyFont="1" applyFill="1"/>
    <xf numFmtId="1" fontId="0" fillId="18" borderId="0" xfId="0" applyNumberFormat="1" applyFill="1" applyAlignment="1">
      <alignment horizontal="center"/>
    </xf>
    <xf numFmtId="0" fontId="4" fillId="17" borderId="0" xfId="0" applyFont="1" applyFill="1"/>
    <xf numFmtId="0" fontId="0" fillId="18" borderId="0" xfId="0" applyFill="1"/>
    <xf numFmtId="22" fontId="0" fillId="0" borderId="0" xfId="0" applyNumberFormat="1" applyAlignment="1">
      <alignment horizontal="center"/>
    </xf>
    <xf numFmtId="0" fontId="20" fillId="0" borderId="0" xfId="0" applyFont="1" applyAlignment="1">
      <alignment horizontal="center" readingOrder="1"/>
    </xf>
    <xf numFmtId="171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19" borderId="0" xfId="0" applyFill="1" applyAlignment="1">
      <alignment horizontal="center"/>
    </xf>
    <xf numFmtId="1" fontId="0" fillId="19" borderId="0" xfId="0" applyNumberFormat="1" applyFill="1" applyAlignment="1">
      <alignment horizontal="center"/>
    </xf>
    <xf numFmtId="1" fontId="0" fillId="0" borderId="0" xfId="0" applyNumberFormat="1" applyAlignment="1">
      <alignment horizontal="left"/>
    </xf>
    <xf numFmtId="0" fontId="32" fillId="0" borderId="0" xfId="0" applyFont="1"/>
    <xf numFmtId="1" fontId="16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2" fillId="0" borderId="0" xfId="0" applyFont="1"/>
    <xf numFmtId="0" fontId="0" fillId="0" borderId="0" xfId="0" quotePrefix="1"/>
    <xf numFmtId="22" fontId="5" fillId="0" borderId="0" xfId="0" applyNumberFormat="1" applyFont="1" applyAlignment="1">
      <alignment horizontal="center"/>
    </xf>
    <xf numFmtId="0" fontId="4" fillId="18" borderId="0" xfId="0" applyFont="1" applyFill="1" applyAlignment="1">
      <alignment horizontal="left"/>
    </xf>
    <xf numFmtId="0" fontId="0" fillId="19" borderId="0" xfId="0" applyFill="1"/>
    <xf numFmtId="0" fontId="33" fillId="0" borderId="0" xfId="0" applyFont="1"/>
    <xf numFmtId="0" fontId="4" fillId="16" borderId="0" xfId="0" applyFont="1" applyFill="1" applyAlignment="1">
      <alignment horizontal="left"/>
    </xf>
    <xf numFmtId="22" fontId="0" fillId="16" borderId="0" xfId="0" applyNumberFormat="1" applyFill="1" applyAlignment="1">
      <alignment horizontal="center"/>
    </xf>
    <xf numFmtId="0" fontId="33" fillId="19" borderId="0" xfId="0" applyFont="1" applyFill="1"/>
    <xf numFmtId="0" fontId="4" fillId="17" borderId="0" xfId="0" applyFont="1" applyFill="1" applyAlignment="1">
      <alignment horizontal="left"/>
    </xf>
    <xf numFmtId="0" fontId="23" fillId="7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center"/>
    </xf>
    <xf numFmtId="173" fontId="0" fillId="0" borderId="0" xfId="0" applyNumberFormat="1" applyFont="1" applyFill="1" applyAlignment="1">
      <alignment horizontal="center"/>
    </xf>
    <xf numFmtId="22" fontId="0" fillId="0" borderId="0" xfId="0" applyNumberFormat="1" applyFont="1" applyFill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Fill="1" applyAlignment="1">
      <alignment horizontal="center"/>
    </xf>
    <xf numFmtId="0" fontId="0" fillId="18" borderId="0" xfId="0" applyFont="1" applyFill="1" applyAlignment="1">
      <alignment horizontal="center"/>
    </xf>
    <xf numFmtId="1" fontId="0" fillId="18" borderId="0" xfId="0" applyNumberFormat="1" applyFont="1" applyFill="1" applyAlignment="1">
      <alignment horizontal="center"/>
    </xf>
    <xf numFmtId="0" fontId="0" fillId="17" borderId="0" xfId="0" applyFont="1" applyFill="1" applyAlignment="1">
      <alignment horizontal="center"/>
    </xf>
    <xf numFmtId="0" fontId="0" fillId="17" borderId="0" xfId="0" applyFont="1" applyFill="1"/>
    <xf numFmtId="1" fontId="0" fillId="17" borderId="0" xfId="0" applyNumberFormat="1" applyFont="1" applyFill="1" applyAlignment="1">
      <alignment horizontal="center"/>
    </xf>
    <xf numFmtId="0" fontId="0" fillId="16" borderId="0" xfId="0" applyFont="1" applyFill="1" applyAlignment="1">
      <alignment horizontal="center"/>
    </xf>
    <xf numFmtId="1" fontId="0" fillId="16" borderId="0" xfId="0" applyNumberFormat="1" applyFont="1" applyFill="1" applyAlignment="1">
      <alignment horizontal="center"/>
    </xf>
  </cellXfs>
  <cellStyles count="5">
    <cellStyle name="Hiperlink" xfId="1" builtinId="8"/>
    <cellStyle name="Moeda 2" xfId="2" xr:uid="{00000000-0005-0000-0000-000006000000}"/>
    <cellStyle name="Normal" xfId="0" builtinId="0"/>
    <cellStyle name="Normal 2" xfId="3" xr:uid="{00000000-0005-0000-0000-000007000000}"/>
    <cellStyle name="TableStyleLight1" xfId="4" xr:uid="{00000000-0005-0000-0000-000008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F60622"/>
      <rgbColor rgb="FFFFF2CC"/>
      <rgbColor rgb="FFE2EFDA"/>
      <rgbColor rgb="FF660066"/>
      <rgbColor rgb="FFFF9966"/>
      <rgbColor rgb="FF0563C1"/>
      <rgbColor rgb="FFBDD7EE"/>
      <rgbColor rgb="FF000080"/>
      <rgbColor rgb="FFFF00FF"/>
      <rgbColor rgb="FFE9F50F"/>
      <rgbColor rgb="FF00FFFF"/>
      <rgbColor rgb="FF800080"/>
      <rgbColor rgb="FF800000"/>
      <rgbColor rgb="FF008080"/>
      <rgbColor rgb="FF0000FF"/>
      <rgbColor rgb="FF00CCFF"/>
      <rgbColor rgb="FFD6DCE5"/>
      <rgbColor rgb="FFE2F0D9"/>
      <rgbColor rgb="FFFFFF99"/>
      <rgbColor rgb="FF9BC2E6"/>
      <rgbColor rgb="FFC6E0B4"/>
      <rgbColor rgb="FFD9D9D9"/>
      <rgbColor rgb="FFFFE699"/>
      <rgbColor rgb="FF2E75B6"/>
      <rgbColor rgb="FF99FF66"/>
      <rgbColor rgb="FF92D050"/>
      <rgbColor rgb="FFFFC000"/>
      <rgbColor rgb="FFBF9000"/>
      <rgbColor rgb="FFFF6600"/>
      <rgbColor rgb="FF666699"/>
      <rgbColor rgb="FFC5E0B4"/>
      <rgbColor rgb="FF1E395B"/>
      <rgbColor rgb="FF00A933"/>
      <rgbColor rgb="FF161513"/>
      <rgbColor rgb="FF1A1816"/>
      <rgbColor rgb="FFC9211E"/>
      <rgbColor rgb="FF993366"/>
      <rgbColor rgb="FF444444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54</xdr:row>
      <xdr:rowOff>219075</xdr:rowOff>
    </xdr:from>
    <xdr:to>
      <xdr:col>10</xdr:col>
      <xdr:colOff>800100</xdr:colOff>
      <xdr:row>68</xdr:row>
      <xdr:rowOff>200025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CAAA356-FB50-4521-A1D7-252905CAF4B3}"/>
            </a:ext>
            <a:ext uri="{147F2762-F138-4A5C-976F-8EAC2B608ADB}">
              <a16:predDERef xmlns:a16="http://schemas.microsoft.com/office/drawing/2014/main" pred="{5930FE40-5B53-4682-A389-0F8894CAC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2152650"/>
          <a:ext cx="4572000" cy="33147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74</xdr:row>
      <xdr:rowOff>0</xdr:rowOff>
    </xdr:from>
    <xdr:to>
      <xdr:col>10</xdr:col>
      <xdr:colOff>838200</xdr:colOff>
      <xdr:row>165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B379C9C-8D19-4101-BA4A-AA25CA511B34}"/>
            </a:ext>
            <a:ext uri="{147F2762-F138-4A5C-976F-8EAC2B608ADB}">
              <a16:predDERef xmlns:a16="http://schemas.microsoft.com/office/drawing/2014/main" pred="{4CAAA356-FB50-4521-A1D7-252905CAF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30250" y="5257800"/>
          <a:ext cx="4572000" cy="28575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263</xdr:row>
      <xdr:rowOff>114300</xdr:rowOff>
    </xdr:from>
    <xdr:to>
      <xdr:col>11</xdr:col>
      <xdr:colOff>733425</xdr:colOff>
      <xdr:row>275</xdr:row>
      <xdr:rowOff>114300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3C02419-6D0D-435F-825E-5B8B8DC7D8B4}"/>
            </a:ext>
            <a:ext uri="{147F2762-F138-4A5C-976F-8EAC2B608ADB}">
              <a16:predDERef xmlns:a16="http://schemas.microsoft.com/office/drawing/2014/main" pred="{7B379C9C-8D19-4101-BA4A-AA25CA511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97050" y="31803975"/>
          <a:ext cx="4572000" cy="2857500"/>
        </a:xfrm>
        <a:prstGeom prst="rect">
          <a:avLst/>
        </a:prstGeom>
      </xdr:spPr>
    </xdr:pic>
    <xdr:clientData/>
  </xdr:twoCellAnchor>
  <xdr:twoCellAnchor editAs="oneCell">
    <xdr:from>
      <xdr:col>6</xdr:col>
      <xdr:colOff>1038225</xdr:colOff>
      <xdr:row>249</xdr:row>
      <xdr:rowOff>95250</xdr:rowOff>
    </xdr:from>
    <xdr:to>
      <xdr:col>11</xdr:col>
      <xdr:colOff>704850</xdr:colOff>
      <xdr:row>263</xdr:row>
      <xdr:rowOff>76200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7A55CBC-D8AC-42EE-A248-D516DC3C0F12}"/>
            </a:ext>
            <a:ext uri="{147F2762-F138-4A5C-976F-8EAC2B608ADB}">
              <a16:predDERef xmlns:a16="http://schemas.microsoft.com/office/drawing/2014/main" pred="{63C02419-6D0D-435F-825E-5B8B8DC7D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8475" y="28451175"/>
          <a:ext cx="4572000" cy="33147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47</xdr:row>
      <xdr:rowOff>228600</xdr:rowOff>
    </xdr:from>
    <xdr:to>
      <xdr:col>15</xdr:col>
      <xdr:colOff>390525</xdr:colOff>
      <xdr:row>54</xdr:row>
      <xdr:rowOff>114300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F1076B1-B070-D960-8DE6-ACA2108A5A88}"/>
            </a:ext>
            <a:ext uri="{147F2762-F138-4A5C-976F-8EAC2B608ADB}">
              <a16:predDERef xmlns:a16="http://schemas.microsoft.com/office/drawing/2014/main" pred="{D7A55CBC-D8AC-42EE-A248-D516DC3C0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39775" y="4295775"/>
          <a:ext cx="9944100" cy="1552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19</xdr:row>
      <xdr:rowOff>209550</xdr:rowOff>
    </xdr:from>
    <xdr:to>
      <xdr:col>10</xdr:col>
      <xdr:colOff>895350</xdr:colOff>
      <xdr:row>81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90CA9FF-E019-FD6A-4E0D-F71A58DBF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06450" y="4762500"/>
          <a:ext cx="4572000" cy="285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4</xdr:row>
      <xdr:rowOff>19050</xdr:rowOff>
    </xdr:from>
    <xdr:to>
      <xdr:col>10</xdr:col>
      <xdr:colOff>866775</xdr:colOff>
      <xdr:row>81</xdr:row>
      <xdr:rowOff>219075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5ADB560-3559-5781-C746-2FE9B9974438}"/>
            </a:ext>
            <a:ext uri="{147F2762-F138-4A5C-976F-8EAC2B608ADB}">
              <a16:predDERef xmlns:a16="http://schemas.microsoft.com/office/drawing/2014/main" pred="{B90CA9FF-E019-FD6A-4E0D-F71A58DBF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77875" y="1000125"/>
          <a:ext cx="4572000" cy="3314700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81</xdr:row>
      <xdr:rowOff>219075</xdr:rowOff>
    </xdr:from>
    <xdr:to>
      <xdr:col>11</xdr:col>
      <xdr:colOff>66675</xdr:colOff>
      <xdr:row>131</xdr:row>
      <xdr:rowOff>200025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DA02AFE-ADBB-8376-376F-99760114B505}"/>
            </a:ext>
            <a:ext uri="{147F2762-F138-4A5C-976F-8EAC2B608ADB}">
              <a16:predDERef xmlns:a16="http://schemas.microsoft.com/office/drawing/2014/main" pred="{C5ADB560-3559-5781-C746-2FE9B9974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49350" y="19516725"/>
          <a:ext cx="4572000" cy="3076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8A00-13D0-4BB7-A844-BE832ABC7879}">
  <sheetPr filterMode="1"/>
  <dimension ref="A1:AH1696"/>
  <sheetViews>
    <sheetView zoomScale="90" zoomScaleNormal="90" workbookViewId="0">
      <pane xSplit="10" ySplit="1" topLeftCell="K1593" activePane="bottomRight" state="frozen"/>
      <selection pane="bottomRight" activeCell="B1698" sqref="B1698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353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 hidden="1">
      <c r="A2" s="1">
        <v>178166</v>
      </c>
      <c r="B2" s="1" t="s">
        <v>27</v>
      </c>
      <c r="C2" t="s">
        <v>28</v>
      </c>
      <c r="E2" s="2">
        <v>9661000000000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t="s">
        <v>34</v>
      </c>
      <c r="M2" s="1" t="s">
        <v>35</v>
      </c>
      <c r="N2" s="1">
        <v>42318949</v>
      </c>
      <c r="O2" s="1" t="s">
        <v>36</v>
      </c>
      <c r="P2" s="11" t="s">
        <v>37</v>
      </c>
      <c r="R2" s="1" t="s">
        <v>38</v>
      </c>
      <c r="T2" s="1" t="s">
        <v>39</v>
      </c>
      <c r="U2" s="11" t="s">
        <v>40</v>
      </c>
      <c r="V2" s="1" t="s">
        <v>41</v>
      </c>
      <c r="W2" s="1" t="s">
        <v>42</v>
      </c>
      <c r="X2" s="13" t="str">
        <f>IF(RIGHT(H2,2)&lt;&gt;"00",H2,"")</f>
        <v/>
      </c>
      <c r="Y2" s="2">
        <f t="shared" ref="Y2:Y65" ca="1" si="0">NETWORKDAYS(P2,$Y$1)</f>
        <v>1061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Dosa</v>
      </c>
      <c r="AC2" s="2" t="str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 xml:space="preserve"> ROSEMERE 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5</v>
      </c>
      <c r="AE2" s="2">
        <f t="shared" ref="AE2:AE65" ca="1" si="4">IF(U2=$AE$1,"",U2-$AE$1)</f>
        <v>-1426.9262716435187</v>
      </c>
      <c r="AF2" s="15"/>
      <c r="AH2" s="16"/>
    </row>
    <row r="3" spans="1:34" hidden="1">
      <c r="A3" s="1">
        <v>524537</v>
      </c>
      <c r="B3" s="1" t="s">
        <v>27</v>
      </c>
      <c r="C3" t="s">
        <v>43</v>
      </c>
      <c r="E3" s="2">
        <v>2811000000000</v>
      </c>
      <c r="F3" s="1" t="s">
        <v>29</v>
      </c>
      <c r="G3" s="1" t="s">
        <v>30</v>
      </c>
      <c r="H3" s="1" t="s">
        <v>44</v>
      </c>
      <c r="I3" s="1" t="s">
        <v>45</v>
      </c>
      <c r="J3" s="1" t="s">
        <v>46</v>
      </c>
      <c r="K3" t="s">
        <v>34</v>
      </c>
      <c r="M3" s="1" t="s">
        <v>35</v>
      </c>
      <c r="N3" s="1">
        <v>42318949</v>
      </c>
      <c r="O3" s="1" t="s">
        <v>36</v>
      </c>
      <c r="P3" s="11" t="s">
        <v>47</v>
      </c>
      <c r="R3" s="1" t="s">
        <v>38</v>
      </c>
      <c r="T3" s="1" t="s">
        <v>39</v>
      </c>
      <c r="U3" s="11" t="s">
        <v>48</v>
      </c>
      <c r="V3" s="1" t="s">
        <v>41</v>
      </c>
      <c r="W3" s="1" t="s">
        <v>49</v>
      </c>
      <c r="X3" s="13" t="str">
        <f t="shared" ref="X3:X66" si="5">IF(RIGHT(H3,2)&lt;&gt;"00",H3,"")</f>
        <v/>
      </c>
      <c r="Y3" s="2">
        <f t="shared" ca="1" si="0"/>
        <v>894</v>
      </c>
      <c r="Z3" s="14">
        <v>1</v>
      </c>
      <c r="AA3" s="1" t="str">
        <f t="shared" ca="1" si="1"/>
        <v>VENCIDO</v>
      </c>
      <c r="AB3" s="1" t="str">
        <f t="shared" si="2"/>
        <v>Dosa</v>
      </c>
      <c r="AC3" s="2" t="str">
        <f t="shared" ref="AC3:AC66" si="6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 xml:space="preserve"> CLEITON </v>
      </c>
      <c r="AD3" s="2">
        <f t="shared" si="3"/>
        <v>5</v>
      </c>
      <c r="AE3" s="2">
        <f t="shared" ca="1" si="4"/>
        <v>-1194.9262716435187</v>
      </c>
      <c r="AF3" s="15"/>
      <c r="AH3" s="17"/>
    </row>
    <row r="4" spans="1:34" hidden="1">
      <c r="A4" s="1">
        <v>526434</v>
      </c>
      <c r="B4" s="1" t="s">
        <v>50</v>
      </c>
      <c r="C4" t="s">
        <v>51</v>
      </c>
      <c r="E4" s="2">
        <v>7419152172059</v>
      </c>
      <c r="F4" s="1" t="s">
        <v>52</v>
      </c>
      <c r="G4" s="1" t="s">
        <v>53</v>
      </c>
      <c r="H4" s="1" t="s">
        <v>54</v>
      </c>
      <c r="I4" s="1" t="s">
        <v>55</v>
      </c>
      <c r="J4" s="1" t="s">
        <v>56</v>
      </c>
      <c r="K4" t="s">
        <v>57</v>
      </c>
      <c r="M4" s="1" t="s">
        <v>58</v>
      </c>
      <c r="N4" s="1">
        <v>0</v>
      </c>
      <c r="O4" s="1" t="s">
        <v>36</v>
      </c>
      <c r="P4" s="11" t="s">
        <v>59</v>
      </c>
      <c r="R4" s="1">
        <v>9</v>
      </c>
      <c r="T4" s="1" t="s">
        <v>60</v>
      </c>
      <c r="U4" s="11" t="s">
        <v>61</v>
      </c>
      <c r="V4" s="1" t="s">
        <v>41</v>
      </c>
      <c r="W4" s="1" t="s">
        <v>49</v>
      </c>
      <c r="X4" s="13" t="str">
        <f t="shared" si="5"/>
        <v>1761.91</v>
      </c>
      <c r="Y4" s="2">
        <f t="shared" ca="1" si="0"/>
        <v>893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 t="str">
        <f t="shared" si="6"/>
        <v xml:space="preserve"> CRISTINA </v>
      </c>
      <c r="AD4" s="2">
        <f t="shared" si="3"/>
        <v>8</v>
      </c>
      <c r="AE4" s="2">
        <f t="shared" ca="1" si="4"/>
        <v>-1238.6769660879654</v>
      </c>
      <c r="AF4" s="15"/>
      <c r="AH4" s="16"/>
    </row>
    <row r="5" spans="1:34" hidden="1">
      <c r="A5" s="1">
        <v>811950</v>
      </c>
      <c r="B5" s="1" t="s">
        <v>62</v>
      </c>
      <c r="C5" t="s">
        <v>63</v>
      </c>
      <c r="E5" s="2">
        <v>1902016069700</v>
      </c>
      <c r="F5" s="1" t="s">
        <v>64</v>
      </c>
      <c r="G5" s="1" t="s">
        <v>53</v>
      </c>
      <c r="H5" s="1" t="s">
        <v>65</v>
      </c>
      <c r="I5" s="1" t="s">
        <v>66</v>
      </c>
      <c r="J5" s="1" t="s">
        <v>46</v>
      </c>
      <c r="K5" t="s">
        <v>67</v>
      </c>
      <c r="M5" s="1" t="s">
        <v>35</v>
      </c>
      <c r="N5" s="1">
        <v>42318949</v>
      </c>
      <c r="O5" s="1" t="s">
        <v>36</v>
      </c>
      <c r="P5" s="11" t="s">
        <v>68</v>
      </c>
      <c r="R5" s="1">
        <v>1</v>
      </c>
      <c r="T5" s="1" t="s">
        <v>69</v>
      </c>
      <c r="U5" s="11"/>
      <c r="V5" s="1" t="s">
        <v>41</v>
      </c>
      <c r="W5" s="1" t="s">
        <v>49</v>
      </c>
      <c r="X5" s="13" t="str">
        <f t="shared" si="5"/>
        <v/>
      </c>
      <c r="Y5" s="2">
        <f t="shared" ca="1" si="0"/>
        <v>743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 t="str">
        <f t="shared" si="6"/>
        <v xml:space="preserve"> CLEITON 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 hidden="1">
      <c r="A6" s="1">
        <v>937455</v>
      </c>
      <c r="B6" s="1" t="s">
        <v>27</v>
      </c>
      <c r="C6" s="199" t="s">
        <v>70</v>
      </c>
      <c r="E6" s="2">
        <v>4118000206001</v>
      </c>
      <c r="F6" s="1" t="s">
        <v>29</v>
      </c>
      <c r="G6" s="1" t="s">
        <v>53</v>
      </c>
      <c r="H6" s="1" t="s">
        <v>71</v>
      </c>
      <c r="I6" s="1" t="s">
        <v>72</v>
      </c>
      <c r="J6" s="1" t="s">
        <v>46</v>
      </c>
      <c r="K6" t="s">
        <v>34</v>
      </c>
      <c r="M6" s="1" t="s">
        <v>35</v>
      </c>
      <c r="N6" s="1">
        <v>42318949</v>
      </c>
      <c r="O6" s="1" t="s">
        <v>36</v>
      </c>
      <c r="P6" s="11" t="s">
        <v>73</v>
      </c>
      <c r="R6" s="1" t="s">
        <v>38</v>
      </c>
      <c r="T6" s="1" t="s">
        <v>74</v>
      </c>
      <c r="U6" s="11" t="s">
        <v>75</v>
      </c>
      <c r="V6" s="1" t="s">
        <v>41</v>
      </c>
      <c r="W6" s="1" t="s">
        <v>49</v>
      </c>
      <c r="X6" s="13" t="str">
        <f t="shared" si="5"/>
        <v/>
      </c>
      <c r="Y6" s="2">
        <f t="shared" ca="1" si="0"/>
        <v>677</v>
      </c>
      <c r="Z6" s="14">
        <v>1</v>
      </c>
      <c r="AA6" s="1" t="str">
        <f t="shared" ca="1" si="1"/>
        <v>VENCIDO</v>
      </c>
      <c r="AB6" s="1" t="str">
        <f t="shared" si="2"/>
        <v>Dosa</v>
      </c>
      <c r="AC6" s="2" t="str">
        <f t="shared" si="6"/>
        <v xml:space="preserve"> CLEITON </v>
      </c>
      <c r="AD6" s="2">
        <f t="shared" si="3"/>
        <v>5</v>
      </c>
      <c r="AE6" s="2">
        <f t="shared" ca="1" si="4"/>
        <v>-945.9262716435187</v>
      </c>
      <c r="AF6" s="15"/>
      <c r="AH6" s="16"/>
    </row>
    <row r="7" spans="1:34" hidden="1">
      <c r="A7" s="1">
        <v>937269</v>
      </c>
      <c r="B7" s="1" t="s">
        <v>27</v>
      </c>
      <c r="C7" t="s">
        <v>76</v>
      </c>
      <c r="E7" s="2">
        <v>711000206001</v>
      </c>
      <c r="F7" s="1" t="s">
        <v>29</v>
      </c>
      <c r="G7" s="1" t="s">
        <v>53</v>
      </c>
      <c r="H7" s="1" t="s">
        <v>77</v>
      </c>
      <c r="I7" s="1" t="s">
        <v>78</v>
      </c>
      <c r="J7" s="1" t="s">
        <v>79</v>
      </c>
      <c r="K7" t="s">
        <v>34</v>
      </c>
      <c r="M7" s="1" t="s">
        <v>35</v>
      </c>
      <c r="N7" s="1">
        <v>42318949</v>
      </c>
      <c r="O7" s="1" t="s">
        <v>36</v>
      </c>
      <c r="P7" s="11" t="s">
        <v>80</v>
      </c>
      <c r="R7" s="1" t="s">
        <v>38</v>
      </c>
      <c r="T7" s="1" t="s">
        <v>74</v>
      </c>
      <c r="U7" s="11" t="s">
        <v>75</v>
      </c>
      <c r="V7" s="1" t="s">
        <v>41</v>
      </c>
      <c r="W7" s="1" t="s">
        <v>49</v>
      </c>
      <c r="X7" s="13" t="str">
        <f t="shared" si="5"/>
        <v/>
      </c>
      <c r="Y7" s="2">
        <f t="shared" ca="1" si="0"/>
        <v>677</v>
      </c>
      <c r="Z7" s="14">
        <v>1</v>
      </c>
      <c r="AA7" s="1" t="str">
        <f t="shared" ca="1" si="1"/>
        <v>VENCIDO</v>
      </c>
      <c r="AB7" s="1" t="str">
        <f t="shared" si="2"/>
        <v>Dosa</v>
      </c>
      <c r="AC7" s="2" t="str">
        <f t="shared" si="6"/>
        <v xml:space="preserve"> ROSEMERE </v>
      </c>
      <c r="AD7" s="2">
        <f t="shared" si="3"/>
        <v>5</v>
      </c>
      <c r="AE7" s="2">
        <f t="shared" ca="1" si="4"/>
        <v>-945.9262716435187</v>
      </c>
      <c r="AF7" s="15"/>
      <c r="AH7" s="16"/>
    </row>
    <row r="8" spans="1:34">
      <c r="A8" s="1">
        <v>945945</v>
      </c>
      <c r="B8" s="1" t="s">
        <v>81</v>
      </c>
      <c r="C8" t="s">
        <v>82</v>
      </c>
      <c r="E8" s="2">
        <v>917000206001</v>
      </c>
      <c r="F8" s="1" t="s">
        <v>29</v>
      </c>
      <c r="G8" s="1" t="s">
        <v>53</v>
      </c>
      <c r="H8" s="1" t="s">
        <v>83</v>
      </c>
      <c r="I8" s="1" t="s">
        <v>84</v>
      </c>
      <c r="J8" s="1" t="s">
        <v>85</v>
      </c>
      <c r="K8" t="s">
        <v>34</v>
      </c>
      <c r="M8" s="1" t="s">
        <v>35</v>
      </c>
      <c r="N8" s="1">
        <v>42318949</v>
      </c>
      <c r="O8" s="1" t="s">
        <v>36</v>
      </c>
      <c r="P8" s="11" t="s">
        <v>86</v>
      </c>
      <c r="R8" s="1" t="s">
        <v>38</v>
      </c>
      <c r="T8" s="1" t="s">
        <v>74</v>
      </c>
      <c r="U8" s="11"/>
      <c r="V8" s="1" t="s">
        <v>41</v>
      </c>
      <c r="W8" s="1" t="s">
        <v>49</v>
      </c>
      <c r="X8" s="13" t="str">
        <f t="shared" si="5"/>
        <v/>
      </c>
      <c r="Y8" s="2">
        <f t="shared" ca="1" si="0"/>
        <v>672</v>
      </c>
      <c r="Z8" s="14">
        <v>1</v>
      </c>
      <c r="AA8" s="1" t="str">
        <f t="shared" ca="1" si="1"/>
        <v>VENCIDO</v>
      </c>
      <c r="AB8" s="1" t="str">
        <f t="shared" si="2"/>
        <v>Dosa</v>
      </c>
      <c r="AC8" s="2" t="str">
        <f t="shared" si="6"/>
        <v xml:space="preserve"> RINALDO </v>
      </c>
      <c r="AD8" s="2">
        <f t="shared" si="3"/>
        <v>5</v>
      </c>
      <c r="AE8" s="2">
        <f t="shared" ca="1" si="4"/>
        <v>-44986.676271643519</v>
      </c>
      <c r="AF8" s="15"/>
      <c r="AH8" s="16"/>
    </row>
    <row r="9" spans="1:34">
      <c r="A9" s="1">
        <v>1007606</v>
      </c>
      <c r="B9" s="1" t="s">
        <v>62</v>
      </c>
      <c r="C9" t="s">
        <v>87</v>
      </c>
      <c r="E9" s="2">
        <v>1059000206001</v>
      </c>
      <c r="F9" s="1" t="s">
        <v>29</v>
      </c>
      <c r="G9" s="1" t="s">
        <v>53</v>
      </c>
      <c r="H9" s="1" t="s">
        <v>88</v>
      </c>
      <c r="I9" s="1" t="s">
        <v>89</v>
      </c>
      <c r="J9" s="1" t="s">
        <v>90</v>
      </c>
      <c r="K9" t="s">
        <v>34</v>
      </c>
      <c r="M9" s="1" t="s">
        <v>35</v>
      </c>
      <c r="N9" s="1">
        <v>42318949</v>
      </c>
      <c r="O9" s="1" t="s">
        <v>36</v>
      </c>
      <c r="P9" s="11" t="s">
        <v>91</v>
      </c>
      <c r="R9" s="1" t="s">
        <v>38</v>
      </c>
      <c r="T9" s="1" t="s">
        <v>74</v>
      </c>
      <c r="U9" s="11" t="s">
        <v>92</v>
      </c>
      <c r="V9" s="1" t="s">
        <v>41</v>
      </c>
      <c r="W9" s="1" t="s">
        <v>49</v>
      </c>
      <c r="X9" s="13" t="str">
        <f t="shared" si="5"/>
        <v/>
      </c>
      <c r="Y9" s="2">
        <f t="shared" ca="1" si="0"/>
        <v>634</v>
      </c>
      <c r="Z9" s="14">
        <v>1</v>
      </c>
      <c r="AA9" s="1" t="str">
        <f t="shared" ca="1" si="1"/>
        <v>VENCIDO</v>
      </c>
      <c r="AB9" s="1" t="str">
        <f t="shared" si="2"/>
        <v>Dosa</v>
      </c>
      <c r="AC9" s="2" t="str">
        <f t="shared" si="6"/>
        <v xml:space="preserve"> RINALDO </v>
      </c>
      <c r="AD9" s="2">
        <f t="shared" si="3"/>
        <v>5</v>
      </c>
      <c r="AE9" s="2">
        <f t="shared" ca="1" si="4"/>
        <v>-841.9262716435187</v>
      </c>
      <c r="AF9" s="15"/>
      <c r="AH9" s="16"/>
    </row>
    <row r="10" spans="1:34" hidden="1">
      <c r="A10" s="1">
        <v>1739574</v>
      </c>
      <c r="B10" s="1" t="s">
        <v>62</v>
      </c>
      <c r="C10" t="s">
        <v>93</v>
      </c>
      <c r="E10" s="2">
        <v>9661000206001</v>
      </c>
      <c r="F10" s="1" t="s">
        <v>29</v>
      </c>
      <c r="G10" s="1" t="s">
        <v>53</v>
      </c>
      <c r="H10" s="1" t="s">
        <v>31</v>
      </c>
      <c r="I10" s="1" t="s">
        <v>32</v>
      </c>
      <c r="J10" s="1" t="s">
        <v>33</v>
      </c>
      <c r="K10" t="s">
        <v>34</v>
      </c>
      <c r="M10" s="1" t="s">
        <v>35</v>
      </c>
      <c r="N10" s="1">
        <v>42318949</v>
      </c>
      <c r="O10" s="1" t="s">
        <v>36</v>
      </c>
      <c r="P10" s="11" t="s">
        <v>94</v>
      </c>
      <c r="R10" s="1" t="s">
        <v>38</v>
      </c>
      <c r="T10" s="1" t="s">
        <v>74</v>
      </c>
      <c r="U10" s="11" t="s">
        <v>95</v>
      </c>
      <c r="V10" s="1" t="s">
        <v>41</v>
      </c>
      <c r="W10" s="1" t="s">
        <v>42</v>
      </c>
      <c r="X10" s="13" t="str">
        <f t="shared" si="5"/>
        <v/>
      </c>
      <c r="Y10" s="2">
        <f t="shared" ca="1" si="0"/>
        <v>591</v>
      </c>
      <c r="Z10" s="14">
        <v>1</v>
      </c>
      <c r="AA10" s="1" t="str">
        <f t="shared" ca="1" si="1"/>
        <v>VENCIDO</v>
      </c>
      <c r="AB10" s="1" t="str">
        <f t="shared" si="2"/>
        <v>Dosa</v>
      </c>
      <c r="AC10" s="2" t="str">
        <f t="shared" si="6"/>
        <v xml:space="preserve"> ROSEMERE </v>
      </c>
      <c r="AD10" s="2">
        <f t="shared" si="3"/>
        <v>5</v>
      </c>
      <c r="AE10" s="2">
        <f t="shared" ca="1" si="4"/>
        <v>-781.9262716435187</v>
      </c>
      <c r="AF10" s="15"/>
    </row>
    <row r="11" spans="1:34" hidden="1">
      <c r="A11" s="1">
        <v>1769469</v>
      </c>
      <c r="B11" s="1" t="s">
        <v>62</v>
      </c>
      <c r="C11" t="s">
        <v>96</v>
      </c>
      <c r="E11" s="2">
        <v>9661000206001</v>
      </c>
      <c r="F11" s="1" t="s">
        <v>29</v>
      </c>
      <c r="G11" s="1" t="s">
        <v>53</v>
      </c>
      <c r="H11" s="1" t="s">
        <v>31</v>
      </c>
      <c r="I11" s="1" t="s">
        <v>32</v>
      </c>
      <c r="J11" s="1" t="s">
        <v>33</v>
      </c>
      <c r="K11" t="s">
        <v>34</v>
      </c>
      <c r="M11" s="1" t="s">
        <v>35</v>
      </c>
      <c r="N11" s="1">
        <v>42318949</v>
      </c>
      <c r="O11" s="1" t="s">
        <v>36</v>
      </c>
      <c r="P11" s="11" t="s">
        <v>97</v>
      </c>
      <c r="R11" s="1" t="s">
        <v>38</v>
      </c>
      <c r="T11" s="1" t="s">
        <v>74</v>
      </c>
      <c r="U11" s="11" t="s">
        <v>98</v>
      </c>
      <c r="V11" s="1" t="s">
        <v>41</v>
      </c>
      <c r="W11" s="1" t="s">
        <v>42</v>
      </c>
      <c r="X11" s="13" t="str">
        <f t="shared" si="5"/>
        <v/>
      </c>
      <c r="Y11" s="2">
        <f t="shared" ca="1" si="0"/>
        <v>589</v>
      </c>
      <c r="Z11" s="14">
        <v>1</v>
      </c>
      <c r="AA11" s="1" t="str">
        <f t="shared" ca="1" si="1"/>
        <v>VENCIDO</v>
      </c>
      <c r="AB11" s="1" t="str">
        <f t="shared" si="2"/>
        <v>Dosa</v>
      </c>
      <c r="AC11" s="2" t="str">
        <f t="shared" si="6"/>
        <v xml:space="preserve"> ROSEMERE </v>
      </c>
      <c r="AD11" s="2">
        <f t="shared" si="3"/>
        <v>5</v>
      </c>
      <c r="AE11" s="2">
        <f t="shared" ca="1" si="4"/>
        <v>-777.9262716435187</v>
      </c>
      <c r="AF11" s="15"/>
    </row>
    <row r="12" spans="1:34" hidden="1">
      <c r="A12" s="1">
        <v>1769442</v>
      </c>
      <c r="B12" s="1" t="s">
        <v>62</v>
      </c>
      <c r="C12" t="s">
        <v>96</v>
      </c>
      <c r="E12" s="2">
        <v>9661000206001</v>
      </c>
      <c r="F12" s="1" t="s">
        <v>29</v>
      </c>
      <c r="G12" s="1" t="s">
        <v>53</v>
      </c>
      <c r="H12" s="1" t="s">
        <v>31</v>
      </c>
      <c r="I12" s="1" t="s">
        <v>32</v>
      </c>
      <c r="J12" s="1" t="s">
        <v>33</v>
      </c>
      <c r="K12" t="s">
        <v>34</v>
      </c>
      <c r="M12" s="1" t="s">
        <v>35</v>
      </c>
      <c r="N12" s="1">
        <v>42318949</v>
      </c>
      <c r="O12" s="1" t="s">
        <v>36</v>
      </c>
      <c r="P12" s="11" t="s">
        <v>99</v>
      </c>
      <c r="R12" s="1" t="s">
        <v>38</v>
      </c>
      <c r="T12" s="1" t="s">
        <v>74</v>
      </c>
      <c r="U12" s="11" t="s">
        <v>98</v>
      </c>
      <c r="V12" s="1" t="s">
        <v>41</v>
      </c>
      <c r="W12" s="1" t="s">
        <v>42</v>
      </c>
      <c r="X12" s="13" t="str">
        <f>IF(RIGHT(H12,2)&lt;&gt;"00",H12,"")</f>
        <v/>
      </c>
      <c r="Y12" s="2">
        <f t="shared" ca="1" si="0"/>
        <v>589</v>
      </c>
      <c r="Z12" s="14">
        <v>1</v>
      </c>
      <c r="AA12" s="1" t="str">
        <f t="shared" ca="1" si="1"/>
        <v>VENCIDO</v>
      </c>
      <c r="AB12" s="1" t="str">
        <f t="shared" si="2"/>
        <v>Dosa</v>
      </c>
      <c r="AC12" s="2" t="str">
        <f t="shared" si="6"/>
        <v xml:space="preserve"> ROSEMERE </v>
      </c>
      <c r="AD12" s="2">
        <f t="shared" si="3"/>
        <v>5</v>
      </c>
      <c r="AE12" s="2">
        <f t="shared" ca="1" si="4"/>
        <v>-777.9262716435187</v>
      </c>
      <c r="AF12" s="15"/>
    </row>
    <row r="13" spans="1:34" hidden="1">
      <c r="A13" s="1">
        <v>1769406</v>
      </c>
      <c r="B13" s="1" t="s">
        <v>62</v>
      </c>
      <c r="C13" t="s">
        <v>96</v>
      </c>
      <c r="E13" s="2">
        <v>9661000206001</v>
      </c>
      <c r="F13" s="1" t="s">
        <v>29</v>
      </c>
      <c r="G13" s="1" t="s">
        <v>53</v>
      </c>
      <c r="H13" s="1" t="s">
        <v>31</v>
      </c>
      <c r="I13" s="1" t="s">
        <v>32</v>
      </c>
      <c r="J13" s="1" t="s">
        <v>33</v>
      </c>
      <c r="K13" t="s">
        <v>34</v>
      </c>
      <c r="M13" s="1" t="s">
        <v>35</v>
      </c>
      <c r="N13" s="1">
        <v>42318949</v>
      </c>
      <c r="O13" s="1" t="s">
        <v>36</v>
      </c>
      <c r="P13" s="11" t="s">
        <v>100</v>
      </c>
      <c r="R13" s="1" t="s">
        <v>38</v>
      </c>
      <c r="T13" s="1" t="s">
        <v>74</v>
      </c>
      <c r="U13" s="11" t="s">
        <v>98</v>
      </c>
      <c r="V13" s="1" t="s">
        <v>41</v>
      </c>
      <c r="W13" s="1" t="s">
        <v>42</v>
      </c>
      <c r="X13" s="13" t="str">
        <f t="shared" si="5"/>
        <v/>
      </c>
      <c r="Y13" s="2">
        <f t="shared" ca="1" si="0"/>
        <v>589</v>
      </c>
      <c r="Z13" s="14">
        <v>1</v>
      </c>
      <c r="AA13" s="1" t="str">
        <f t="shared" ca="1" si="1"/>
        <v>VENCIDO</v>
      </c>
      <c r="AB13" s="1" t="str">
        <f t="shared" si="2"/>
        <v>Dosa</v>
      </c>
      <c r="AC13" s="2" t="str">
        <f t="shared" si="6"/>
        <v xml:space="preserve"> ROSEMERE </v>
      </c>
      <c r="AD13" s="2">
        <f t="shared" si="3"/>
        <v>5</v>
      </c>
      <c r="AE13" s="2">
        <f t="shared" ca="1" si="4"/>
        <v>-777.9262716435187</v>
      </c>
      <c r="AF13" s="15"/>
    </row>
    <row r="14" spans="1:34">
      <c r="A14" s="1">
        <v>2852304</v>
      </c>
      <c r="B14" s="1" t="s">
        <v>101</v>
      </c>
      <c r="C14" t="s">
        <v>102</v>
      </c>
      <c r="E14" s="2">
        <v>1059000202021</v>
      </c>
      <c r="F14" s="1" t="s">
        <v>103</v>
      </c>
      <c r="G14" s="1" t="s">
        <v>53</v>
      </c>
      <c r="H14" s="1" t="s">
        <v>88</v>
      </c>
      <c r="I14" s="1" t="s">
        <v>89</v>
      </c>
      <c r="J14" s="1" t="s">
        <v>90</v>
      </c>
      <c r="K14" t="s">
        <v>104</v>
      </c>
      <c r="M14" s="1" t="s">
        <v>58</v>
      </c>
      <c r="N14" s="1">
        <v>0</v>
      </c>
      <c r="O14" s="1" t="s">
        <v>105</v>
      </c>
      <c r="P14" s="11" t="s">
        <v>106</v>
      </c>
      <c r="R14" s="1" t="s">
        <v>38</v>
      </c>
      <c r="T14" s="1" t="s">
        <v>74</v>
      </c>
      <c r="U14" s="11" t="s">
        <v>107</v>
      </c>
      <c r="V14" s="1" t="s">
        <v>41</v>
      </c>
      <c r="W14" s="1" t="s">
        <v>49</v>
      </c>
      <c r="X14" s="13" t="str">
        <f t="shared" si="5"/>
        <v/>
      </c>
      <c r="Y14" s="2">
        <f t="shared" ca="1" si="0"/>
        <v>544</v>
      </c>
      <c r="Z14" s="14">
        <v>1</v>
      </c>
      <c r="AA14" s="1" t="str">
        <f t="shared" ca="1" si="1"/>
        <v>VENCIDO</v>
      </c>
      <c r="AB14" s="1" t="str">
        <f t="shared" si="2"/>
        <v>Dosa</v>
      </c>
      <c r="AC14" s="2" t="str">
        <f t="shared" si="6"/>
        <v xml:space="preserve"> RINALDO </v>
      </c>
      <c r="AD14" s="2">
        <f t="shared" si="3"/>
        <v>5</v>
      </c>
      <c r="AE14" s="2">
        <f t="shared" ca="1" si="4"/>
        <v>-757.9262716435187</v>
      </c>
      <c r="AF14" s="15"/>
    </row>
    <row r="15" spans="1:34" hidden="1">
      <c r="A15" s="1">
        <v>2852303</v>
      </c>
      <c r="B15" s="1" t="s">
        <v>101</v>
      </c>
      <c r="C15" t="s">
        <v>102</v>
      </c>
      <c r="E15" s="2">
        <v>1363000202022</v>
      </c>
      <c r="F15" s="1" t="s">
        <v>103</v>
      </c>
      <c r="G15" s="1" t="s">
        <v>53</v>
      </c>
      <c r="H15" s="1" t="s">
        <v>108</v>
      </c>
      <c r="I15" s="1" t="s">
        <v>109</v>
      </c>
      <c r="J15" s="1" t="s">
        <v>110</v>
      </c>
      <c r="K15" t="s">
        <v>104</v>
      </c>
      <c r="M15" s="1" t="s">
        <v>58</v>
      </c>
      <c r="N15" s="1">
        <v>0</v>
      </c>
      <c r="O15" s="1" t="s">
        <v>36</v>
      </c>
      <c r="P15" s="11" t="s">
        <v>111</v>
      </c>
      <c r="R15" s="1" t="s">
        <v>38</v>
      </c>
      <c r="T15" s="1" t="s">
        <v>74</v>
      </c>
      <c r="U15" s="11" t="s">
        <v>107</v>
      </c>
      <c r="V15" s="1" t="s">
        <v>41</v>
      </c>
      <c r="W15" s="1" t="s">
        <v>49</v>
      </c>
      <c r="X15" s="13" t="str">
        <f t="shared" si="5"/>
        <v/>
      </c>
      <c r="Y15" s="2">
        <f t="shared" ca="1" si="0"/>
        <v>544</v>
      </c>
      <c r="Z15" s="14">
        <v>1</v>
      </c>
      <c r="AA15" s="1" t="str">
        <f t="shared" ca="1" si="1"/>
        <v>VENCIDO</v>
      </c>
      <c r="AB15" s="1" t="str">
        <f t="shared" si="2"/>
        <v>Dosa</v>
      </c>
      <c r="AC15" s="2" t="str">
        <f t="shared" si="6"/>
        <v xml:space="preserve"> CRISTINA </v>
      </c>
      <c r="AD15" s="2">
        <f t="shared" si="3"/>
        <v>5</v>
      </c>
      <c r="AE15" s="2">
        <f t="shared" ca="1" si="4"/>
        <v>-757.9262716435187</v>
      </c>
      <c r="AF15" s="15"/>
    </row>
    <row r="16" spans="1:34" hidden="1">
      <c r="A16" s="1">
        <v>2852205</v>
      </c>
      <c r="B16" s="1" t="s">
        <v>101</v>
      </c>
      <c r="C16" t="s">
        <v>102</v>
      </c>
      <c r="E16" s="2">
        <v>711002060022</v>
      </c>
      <c r="F16" s="1" t="s">
        <v>103</v>
      </c>
      <c r="G16" s="1" t="s">
        <v>53</v>
      </c>
      <c r="H16" s="1" t="s">
        <v>77</v>
      </c>
      <c r="I16" s="1" t="s">
        <v>78</v>
      </c>
      <c r="J16" s="1" t="s">
        <v>79</v>
      </c>
      <c r="K16" t="s">
        <v>104</v>
      </c>
      <c r="M16" s="1" t="s">
        <v>58</v>
      </c>
      <c r="N16" s="1">
        <v>0</v>
      </c>
      <c r="O16" s="1" t="s">
        <v>105</v>
      </c>
      <c r="P16" s="11" t="s">
        <v>112</v>
      </c>
      <c r="R16" s="1" t="s">
        <v>38</v>
      </c>
      <c r="T16" s="1" t="s">
        <v>74</v>
      </c>
      <c r="U16" s="11" t="s">
        <v>107</v>
      </c>
      <c r="V16" s="1" t="s">
        <v>41</v>
      </c>
      <c r="W16" s="1" t="s">
        <v>49</v>
      </c>
      <c r="X16" s="13" t="str">
        <f t="shared" si="5"/>
        <v/>
      </c>
      <c r="Y16" s="2">
        <f t="shared" ca="1" si="0"/>
        <v>544</v>
      </c>
      <c r="Z16" s="14">
        <v>1</v>
      </c>
      <c r="AA16" s="1" t="str">
        <f t="shared" ca="1" si="1"/>
        <v>VENCIDO</v>
      </c>
      <c r="AB16" s="1" t="str">
        <f t="shared" si="2"/>
        <v>Dosa</v>
      </c>
      <c r="AC16" s="2" t="str">
        <f t="shared" si="6"/>
        <v xml:space="preserve"> ROSEMERE </v>
      </c>
      <c r="AD16" s="2">
        <f t="shared" si="3"/>
        <v>5</v>
      </c>
      <c r="AE16" s="2">
        <f t="shared" ca="1" si="4"/>
        <v>-757.9262716435187</v>
      </c>
      <c r="AF16" s="15"/>
    </row>
    <row r="17" spans="1:32" hidden="1">
      <c r="A17" s="1">
        <v>2851942</v>
      </c>
      <c r="B17" s="1" t="s">
        <v>101</v>
      </c>
      <c r="C17" t="s">
        <v>102</v>
      </c>
      <c r="E17" s="2">
        <v>9406000206054</v>
      </c>
      <c r="F17" s="1" t="s">
        <v>113</v>
      </c>
      <c r="G17" s="1" t="s">
        <v>53</v>
      </c>
      <c r="H17" s="1" t="s">
        <v>114</v>
      </c>
      <c r="I17" s="1" t="s">
        <v>115</v>
      </c>
      <c r="J17" s="1" t="s">
        <v>46</v>
      </c>
      <c r="K17" t="s">
        <v>116</v>
      </c>
      <c r="M17" s="1" t="s">
        <v>35</v>
      </c>
      <c r="N17" s="1">
        <v>42318949</v>
      </c>
      <c r="O17" s="1" t="s">
        <v>36</v>
      </c>
      <c r="P17" s="11" t="s">
        <v>117</v>
      </c>
      <c r="R17" s="1" t="s">
        <v>38</v>
      </c>
      <c r="T17" s="1" t="s">
        <v>74</v>
      </c>
      <c r="U17" s="11" t="s">
        <v>107</v>
      </c>
      <c r="V17" s="1" t="s">
        <v>41</v>
      </c>
      <c r="W17" s="1" t="s">
        <v>49</v>
      </c>
      <c r="X17" s="13" t="str">
        <f t="shared" si="5"/>
        <v/>
      </c>
      <c r="Y17" s="2">
        <f t="shared" ca="1" si="0"/>
        <v>544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 t="str">
        <f t="shared" si="6"/>
        <v xml:space="preserve"> CLEITON </v>
      </c>
      <c r="AD17" s="2">
        <f t="shared" si="3"/>
        <v>8</v>
      </c>
      <c r="AE17" s="2">
        <f t="shared" ca="1" si="4"/>
        <v>-757.9262716435187</v>
      </c>
      <c r="AF17" s="15"/>
    </row>
    <row r="18" spans="1:32" hidden="1">
      <c r="A18" s="1">
        <v>4298266</v>
      </c>
      <c r="B18" s="1" t="s">
        <v>81</v>
      </c>
      <c r="C18" t="s">
        <v>118</v>
      </c>
      <c r="E18" s="2">
        <v>9600102981128</v>
      </c>
      <c r="F18" s="1" t="s">
        <v>119</v>
      </c>
      <c r="G18" s="1" t="s">
        <v>30</v>
      </c>
      <c r="H18" s="1" t="s">
        <v>120</v>
      </c>
      <c r="I18" s="1" t="s">
        <v>121</v>
      </c>
      <c r="J18" s="1" t="s">
        <v>33</v>
      </c>
      <c r="K18" t="s">
        <v>122</v>
      </c>
      <c r="M18" s="1" t="s">
        <v>58</v>
      </c>
      <c r="N18" s="1">
        <v>0</v>
      </c>
      <c r="O18" s="1" t="s">
        <v>105</v>
      </c>
      <c r="P18" s="186">
        <v>44295.426574074074</v>
      </c>
      <c r="R18" s="1">
        <v>14</v>
      </c>
      <c r="T18" s="1" t="s">
        <v>60</v>
      </c>
      <c r="U18" s="186"/>
      <c r="V18" s="1" t="s">
        <v>41</v>
      </c>
      <c r="W18" s="1" t="s">
        <v>42</v>
      </c>
      <c r="X18" s="13" t="str">
        <f t="shared" si="5"/>
        <v>8889.03</v>
      </c>
      <c r="Y18" s="2">
        <f t="shared" ca="1" si="0"/>
        <v>494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 t="str">
        <f t="shared" si="6"/>
        <v xml:space="preserve"> ROSEMERE </v>
      </c>
      <c r="AD18" s="2">
        <f t="shared" si="3"/>
        <v>8</v>
      </c>
      <c r="AE18" s="2">
        <f t="shared" ca="1" si="4"/>
        <v>-44986.676271643519</v>
      </c>
      <c r="AF18" s="15"/>
    </row>
    <row r="19" spans="1:32" hidden="1">
      <c r="A19" s="1">
        <v>4298261</v>
      </c>
      <c r="B19" s="1" t="s">
        <v>81</v>
      </c>
      <c r="C19" t="s">
        <v>118</v>
      </c>
      <c r="E19" s="2">
        <v>9600102980984</v>
      </c>
      <c r="F19" s="1" t="s">
        <v>119</v>
      </c>
      <c r="G19" s="1" t="s">
        <v>30</v>
      </c>
      <c r="H19" s="1" t="s">
        <v>120</v>
      </c>
      <c r="I19" s="1" t="s">
        <v>121</v>
      </c>
      <c r="J19" s="1" t="s">
        <v>33</v>
      </c>
      <c r="K19" t="s">
        <v>122</v>
      </c>
      <c r="M19" s="1" t="s">
        <v>58</v>
      </c>
      <c r="N19" s="1">
        <v>0</v>
      </c>
      <c r="O19" s="1" t="s">
        <v>105</v>
      </c>
      <c r="P19" s="186">
        <v>44295.426562499997</v>
      </c>
      <c r="R19" s="1">
        <v>14</v>
      </c>
      <c r="T19" s="1" t="s">
        <v>60</v>
      </c>
      <c r="U19" s="186"/>
      <c r="V19" s="1" t="s">
        <v>41</v>
      </c>
      <c r="W19" s="1" t="s">
        <v>42</v>
      </c>
      <c r="X19" s="13" t="str">
        <f t="shared" si="5"/>
        <v>8889.03</v>
      </c>
      <c r="Y19" s="2">
        <f t="shared" ca="1" si="0"/>
        <v>494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 t="str">
        <f t="shared" si="6"/>
        <v xml:space="preserve"> ROSEMERE </v>
      </c>
      <c r="AD19" s="2">
        <f t="shared" si="3"/>
        <v>8</v>
      </c>
      <c r="AE19" s="2">
        <f t="shared" ca="1" si="4"/>
        <v>-44986.676271643519</v>
      </c>
      <c r="AF19" s="15"/>
    </row>
    <row r="20" spans="1:32" hidden="1">
      <c r="A20" s="1">
        <v>4298189</v>
      </c>
      <c r="B20" s="1" t="s">
        <v>81</v>
      </c>
      <c r="C20" t="s">
        <v>118</v>
      </c>
      <c r="E20" s="2">
        <v>7419151141007</v>
      </c>
      <c r="F20" s="1" t="s">
        <v>123</v>
      </c>
      <c r="G20" s="1" t="s">
        <v>53</v>
      </c>
      <c r="H20" s="1" t="s">
        <v>124</v>
      </c>
      <c r="I20" s="1" t="s">
        <v>125</v>
      </c>
      <c r="J20" s="1" t="s">
        <v>33</v>
      </c>
      <c r="K20" t="s">
        <v>126</v>
      </c>
      <c r="M20" s="1" t="s">
        <v>58</v>
      </c>
      <c r="N20" s="1">
        <v>0</v>
      </c>
      <c r="O20" s="1" t="s">
        <v>105</v>
      </c>
      <c r="P20" s="11" t="s">
        <v>127</v>
      </c>
      <c r="R20" s="1">
        <v>14</v>
      </c>
      <c r="T20" s="1" t="s">
        <v>60</v>
      </c>
      <c r="U20" s="11"/>
      <c r="V20" s="1" t="s">
        <v>41</v>
      </c>
      <c r="W20" s="1" t="s">
        <v>42</v>
      </c>
      <c r="X20" s="13" t="str">
        <f t="shared" si="5"/>
        <v>4561.91</v>
      </c>
      <c r="Y20" s="2">
        <f t="shared" ca="1" si="0"/>
        <v>494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 t="str">
        <f t="shared" si="6"/>
        <v xml:space="preserve"> ROSEMERE </v>
      </c>
      <c r="AD20" s="2">
        <f t="shared" si="3"/>
        <v>8</v>
      </c>
      <c r="AE20" s="2">
        <f t="shared" ca="1" si="4"/>
        <v>-44986.676271643519</v>
      </c>
      <c r="AF20" s="15"/>
    </row>
    <row r="21" spans="1:32" hidden="1">
      <c r="A21" s="1">
        <v>4298074</v>
      </c>
      <c r="B21" s="1" t="s">
        <v>81</v>
      </c>
      <c r="C21" t="s">
        <v>118</v>
      </c>
      <c r="E21" s="2">
        <v>7419141892457</v>
      </c>
      <c r="F21" s="1" t="s">
        <v>128</v>
      </c>
      <c r="G21" s="1" t="s">
        <v>53</v>
      </c>
      <c r="H21" s="1" t="s">
        <v>124</v>
      </c>
      <c r="I21" s="1" t="s">
        <v>125</v>
      </c>
      <c r="J21" s="1" t="s">
        <v>33</v>
      </c>
      <c r="K21" t="s">
        <v>129</v>
      </c>
      <c r="M21" s="1" t="s">
        <v>58</v>
      </c>
      <c r="N21" s="1">
        <v>0</v>
      </c>
      <c r="O21" s="1" t="s">
        <v>105</v>
      </c>
      <c r="P21" s="186">
        <v>44295.426087962966</v>
      </c>
      <c r="R21" s="1">
        <v>14</v>
      </c>
      <c r="T21" s="1" t="s">
        <v>60</v>
      </c>
      <c r="U21" s="186"/>
      <c r="V21" s="1" t="s">
        <v>41</v>
      </c>
      <c r="W21" s="1" t="s">
        <v>42</v>
      </c>
      <c r="X21" s="13" t="str">
        <f t="shared" si="5"/>
        <v>4561.91</v>
      </c>
      <c r="Y21" s="2">
        <f t="shared" ca="1" si="0"/>
        <v>494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 t="str">
        <f t="shared" si="6"/>
        <v xml:space="preserve"> ROSEMERE </v>
      </c>
      <c r="AD21" s="2">
        <f t="shared" si="3"/>
        <v>8</v>
      </c>
      <c r="AE21" s="2">
        <f t="shared" ca="1" si="4"/>
        <v>-44986.676271643519</v>
      </c>
      <c r="AF21" s="15"/>
    </row>
    <row r="22" spans="1:32" hidden="1">
      <c r="A22" s="1">
        <v>4298073</v>
      </c>
      <c r="B22" s="1" t="s">
        <v>81</v>
      </c>
      <c r="C22" t="s">
        <v>118</v>
      </c>
      <c r="E22" s="2">
        <v>7419141892456</v>
      </c>
      <c r="F22" s="1" t="s">
        <v>128</v>
      </c>
      <c r="G22" s="1" t="s">
        <v>53</v>
      </c>
      <c r="H22" s="1" t="s">
        <v>124</v>
      </c>
      <c r="I22" s="1" t="s">
        <v>125</v>
      </c>
      <c r="J22" s="1" t="s">
        <v>33</v>
      </c>
      <c r="K22" t="s">
        <v>129</v>
      </c>
      <c r="M22" s="1" t="s">
        <v>58</v>
      </c>
      <c r="N22" s="1">
        <v>0</v>
      </c>
      <c r="O22" s="1" t="s">
        <v>105</v>
      </c>
      <c r="P22" s="186">
        <v>44295.426087962966</v>
      </c>
      <c r="R22" s="1">
        <v>14</v>
      </c>
      <c r="T22" s="1" t="s">
        <v>60</v>
      </c>
      <c r="U22" s="186"/>
      <c r="V22" s="1" t="s">
        <v>41</v>
      </c>
      <c r="W22" s="1" t="s">
        <v>42</v>
      </c>
      <c r="X22" s="13" t="str">
        <f t="shared" si="5"/>
        <v>4561.91</v>
      </c>
      <c r="Y22" s="2">
        <f t="shared" ca="1" si="0"/>
        <v>494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 t="str">
        <f t="shared" si="6"/>
        <v xml:space="preserve"> ROSEMERE </v>
      </c>
      <c r="AD22" s="2">
        <f t="shared" si="3"/>
        <v>8</v>
      </c>
      <c r="AE22" s="2">
        <f t="shared" ca="1" si="4"/>
        <v>-44986.676271643519</v>
      </c>
      <c r="AF22" s="15"/>
    </row>
    <row r="23" spans="1:32" hidden="1">
      <c r="A23" s="1">
        <v>4297923</v>
      </c>
      <c r="B23" s="1" t="s">
        <v>81</v>
      </c>
      <c r="C23" t="s">
        <v>118</v>
      </c>
      <c r="E23" s="2">
        <v>7417172142561</v>
      </c>
      <c r="F23" s="1" t="s">
        <v>52</v>
      </c>
      <c r="G23" s="1" t="s">
        <v>53</v>
      </c>
      <c r="H23" s="1" t="s">
        <v>120</v>
      </c>
      <c r="I23" s="1" t="s">
        <v>121</v>
      </c>
      <c r="J23" s="1" t="s">
        <v>33</v>
      </c>
      <c r="K23" t="s">
        <v>57</v>
      </c>
      <c r="M23" s="1" t="s">
        <v>58</v>
      </c>
      <c r="N23" s="1">
        <v>0</v>
      </c>
      <c r="O23" s="1" t="s">
        <v>105</v>
      </c>
      <c r="P23" s="11" t="s">
        <v>130</v>
      </c>
      <c r="R23" s="1">
        <v>9</v>
      </c>
      <c r="T23" s="1" t="s">
        <v>60</v>
      </c>
      <c r="U23" s="11"/>
      <c r="V23" s="1" t="s">
        <v>41</v>
      </c>
      <c r="W23" s="1" t="s">
        <v>42</v>
      </c>
      <c r="X23" s="13" t="str">
        <f t="shared" si="5"/>
        <v>8889.03</v>
      </c>
      <c r="Y23" s="2">
        <f t="shared" ca="1" si="0"/>
        <v>494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 t="str">
        <f t="shared" si="6"/>
        <v xml:space="preserve"> ROSEMERE </v>
      </c>
      <c r="AD23" s="2">
        <f t="shared" si="3"/>
        <v>8</v>
      </c>
      <c r="AE23" s="2">
        <f t="shared" ca="1" si="4"/>
        <v>-44986.676271643519</v>
      </c>
      <c r="AF23" s="15"/>
    </row>
    <row r="24" spans="1:32" hidden="1">
      <c r="A24" s="1">
        <v>4297890</v>
      </c>
      <c r="B24" s="1" t="s">
        <v>81</v>
      </c>
      <c r="C24" t="s">
        <v>118</v>
      </c>
      <c r="E24" s="2">
        <v>7417163285126</v>
      </c>
      <c r="F24" s="1" t="s">
        <v>131</v>
      </c>
      <c r="G24" s="1" t="s">
        <v>53</v>
      </c>
      <c r="H24" s="1" t="s">
        <v>120</v>
      </c>
      <c r="I24" s="1" t="s">
        <v>121</v>
      </c>
      <c r="J24" s="1" t="s">
        <v>33</v>
      </c>
      <c r="K24" t="s">
        <v>132</v>
      </c>
      <c r="M24" s="1" t="s">
        <v>58</v>
      </c>
      <c r="N24" s="1">
        <v>0</v>
      </c>
      <c r="O24" s="1" t="s">
        <v>105</v>
      </c>
      <c r="P24" s="11" t="s">
        <v>133</v>
      </c>
      <c r="R24" s="1">
        <v>14</v>
      </c>
      <c r="T24" s="1" t="s">
        <v>60</v>
      </c>
      <c r="U24" s="11"/>
      <c r="V24" s="1" t="s">
        <v>41</v>
      </c>
      <c r="W24" s="1" t="s">
        <v>42</v>
      </c>
      <c r="X24" s="13" t="str">
        <f t="shared" si="5"/>
        <v>8889.03</v>
      </c>
      <c r="Y24" s="2">
        <f t="shared" ca="1" si="0"/>
        <v>494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 t="str">
        <f t="shared" si="6"/>
        <v xml:space="preserve"> ROSEMERE </v>
      </c>
      <c r="AD24" s="2">
        <f t="shared" si="3"/>
        <v>8</v>
      </c>
      <c r="AE24" s="2">
        <f t="shared" ca="1" si="4"/>
        <v>-44986.676271643519</v>
      </c>
      <c r="AF24" s="15"/>
    </row>
    <row r="25" spans="1:32" hidden="1">
      <c r="A25" s="1">
        <v>4544244</v>
      </c>
      <c r="B25" s="1" t="s">
        <v>27</v>
      </c>
      <c r="C25" t="s">
        <v>134</v>
      </c>
      <c r="E25" s="2">
        <v>9661000206001</v>
      </c>
      <c r="F25" s="1" t="s">
        <v>29</v>
      </c>
      <c r="G25" s="1" t="s">
        <v>53</v>
      </c>
      <c r="H25" s="1" t="s">
        <v>31</v>
      </c>
      <c r="I25" s="1" t="s">
        <v>32</v>
      </c>
      <c r="J25" s="1" t="s">
        <v>33</v>
      </c>
      <c r="K25" t="s">
        <v>34</v>
      </c>
      <c r="M25" s="1" t="s">
        <v>35</v>
      </c>
      <c r="N25" s="1">
        <v>42318949</v>
      </c>
      <c r="O25" s="1" t="s">
        <v>105</v>
      </c>
      <c r="P25" s="12">
        <v>44308.595775462964</v>
      </c>
      <c r="R25" s="1" t="s">
        <v>38</v>
      </c>
      <c r="T25" s="1" t="s">
        <v>74</v>
      </c>
      <c r="U25" s="12">
        <v>44308.75</v>
      </c>
      <c r="V25" s="1" t="s">
        <v>41</v>
      </c>
      <c r="W25" s="1" t="s">
        <v>42</v>
      </c>
      <c r="X25" s="13" t="str">
        <f t="shared" si="5"/>
        <v/>
      </c>
      <c r="Y25" s="2">
        <f t="shared" ca="1" si="0"/>
        <v>485</v>
      </c>
      <c r="Z25" s="14">
        <v>1</v>
      </c>
      <c r="AA25" s="1" t="str">
        <f t="shared" ca="1" si="1"/>
        <v>VENCIDO</v>
      </c>
      <c r="AB25" s="1" t="str">
        <f t="shared" si="2"/>
        <v>Dosa</v>
      </c>
      <c r="AC25" s="2" t="str">
        <f t="shared" si="6"/>
        <v xml:space="preserve"> ROSEMERE </v>
      </c>
      <c r="AD25" s="2">
        <f t="shared" si="3"/>
        <v>5</v>
      </c>
      <c r="AE25" s="2">
        <f t="shared" ca="1" si="4"/>
        <v>-677.9262716435187</v>
      </c>
      <c r="AF25" s="15"/>
    </row>
    <row r="26" spans="1:32" hidden="1">
      <c r="A26" s="1">
        <v>4796975</v>
      </c>
      <c r="B26" s="1" t="s">
        <v>62</v>
      </c>
      <c r="C26" t="s">
        <v>135</v>
      </c>
      <c r="E26" s="2">
        <v>1291000206001</v>
      </c>
      <c r="F26" s="1" t="s">
        <v>29</v>
      </c>
      <c r="G26" s="1" t="s">
        <v>53</v>
      </c>
      <c r="H26" s="1" t="s">
        <v>136</v>
      </c>
      <c r="I26" s="1" t="s">
        <v>137</v>
      </c>
      <c r="J26" s="1" t="s">
        <v>33</v>
      </c>
      <c r="K26" t="s">
        <v>34</v>
      </c>
      <c r="M26" s="1" t="s">
        <v>35</v>
      </c>
      <c r="N26" s="1">
        <v>42318949</v>
      </c>
      <c r="O26" s="1" t="s">
        <v>36</v>
      </c>
      <c r="P26" s="12">
        <v>44321.783020833333</v>
      </c>
      <c r="R26" s="1" t="s">
        <v>38</v>
      </c>
      <c r="T26" s="1" t="s">
        <v>74</v>
      </c>
      <c r="U26" s="12">
        <v>44364.75</v>
      </c>
      <c r="V26" s="1" t="s">
        <v>41</v>
      </c>
      <c r="W26" s="1" t="s">
        <v>42</v>
      </c>
      <c r="X26" s="13" t="str">
        <f t="shared" si="5"/>
        <v/>
      </c>
      <c r="Y26" s="2">
        <f t="shared" ca="1" si="0"/>
        <v>476</v>
      </c>
      <c r="Z26" s="14">
        <v>1</v>
      </c>
      <c r="AA26" s="1" t="str">
        <f t="shared" ca="1" si="1"/>
        <v>VENCIDO</v>
      </c>
      <c r="AB26" s="1" t="str">
        <f t="shared" si="2"/>
        <v>Dosa</v>
      </c>
      <c r="AC26" s="2" t="str">
        <f t="shared" si="6"/>
        <v xml:space="preserve"> ROSEMERE </v>
      </c>
      <c r="AD26" s="2">
        <f t="shared" si="3"/>
        <v>5</v>
      </c>
      <c r="AE26" s="2">
        <f t="shared" ca="1" si="4"/>
        <v>-621.9262716435187</v>
      </c>
      <c r="AF26" s="15"/>
    </row>
    <row r="27" spans="1:32" hidden="1">
      <c r="A27" s="1">
        <v>4968022</v>
      </c>
      <c r="B27" s="1" t="s">
        <v>62</v>
      </c>
      <c r="C27" t="s">
        <v>138</v>
      </c>
      <c r="E27" s="2">
        <v>582000206001</v>
      </c>
      <c r="F27" s="1" t="s">
        <v>29</v>
      </c>
      <c r="G27" s="1" t="s">
        <v>53</v>
      </c>
      <c r="H27" s="1" t="s">
        <v>139</v>
      </c>
      <c r="I27" s="1" t="s">
        <v>140</v>
      </c>
      <c r="J27" s="1" t="s">
        <v>141</v>
      </c>
      <c r="K27" t="s">
        <v>34</v>
      </c>
      <c r="M27" s="1" t="s">
        <v>35</v>
      </c>
      <c r="N27" s="1">
        <v>42318949</v>
      </c>
      <c r="O27" s="1" t="s">
        <v>36</v>
      </c>
      <c r="P27" s="11" t="s">
        <v>142</v>
      </c>
      <c r="R27" s="1" t="s">
        <v>38</v>
      </c>
      <c r="T27" s="1" t="s">
        <v>74</v>
      </c>
      <c r="U27" s="11" t="s">
        <v>143</v>
      </c>
      <c r="V27" s="1" t="s">
        <v>41</v>
      </c>
      <c r="W27" s="1" t="s">
        <v>49</v>
      </c>
      <c r="X27" s="13" t="str">
        <f t="shared" si="5"/>
        <v/>
      </c>
      <c r="Y27" s="2">
        <f t="shared" ca="1" si="0"/>
        <v>470</v>
      </c>
      <c r="Z27" s="14">
        <v>1</v>
      </c>
      <c r="AA27" s="1" t="str">
        <f t="shared" ca="1" si="1"/>
        <v>VENCIDO</v>
      </c>
      <c r="AB27" s="1" t="str">
        <f t="shared" si="2"/>
        <v>Dosa</v>
      </c>
      <c r="AC27" s="2" t="str">
        <f t="shared" si="6"/>
        <v xml:space="preserve"> CRISTINA </v>
      </c>
      <c r="AD27" s="2">
        <f t="shared" si="3"/>
        <v>5</v>
      </c>
      <c r="AE27" s="2">
        <f t="shared" ca="1" si="4"/>
        <v>-613.9262716435187</v>
      </c>
      <c r="AF27" s="15"/>
    </row>
    <row r="28" spans="1:32" hidden="1">
      <c r="A28" s="1">
        <v>4968021</v>
      </c>
      <c r="B28" s="1" t="s">
        <v>62</v>
      </c>
      <c r="C28" t="s">
        <v>144</v>
      </c>
      <c r="E28" s="2">
        <v>582000206001</v>
      </c>
      <c r="F28" s="1" t="s">
        <v>29</v>
      </c>
      <c r="G28" s="1" t="s">
        <v>53</v>
      </c>
      <c r="H28" s="1" t="s">
        <v>139</v>
      </c>
      <c r="I28" s="1" t="s">
        <v>140</v>
      </c>
      <c r="J28" s="1" t="s">
        <v>141</v>
      </c>
      <c r="K28" t="s">
        <v>34</v>
      </c>
      <c r="M28" s="1" t="s">
        <v>35</v>
      </c>
      <c r="N28" s="1">
        <v>42318949</v>
      </c>
      <c r="O28" s="1" t="s">
        <v>36</v>
      </c>
      <c r="P28" s="12">
        <v>44329.985972222225</v>
      </c>
      <c r="R28" s="1" t="s">
        <v>38</v>
      </c>
      <c r="T28" s="1" t="s">
        <v>74</v>
      </c>
      <c r="U28" s="12">
        <v>44372.75</v>
      </c>
      <c r="V28" s="1" t="s">
        <v>41</v>
      </c>
      <c r="W28" s="1" t="s">
        <v>49</v>
      </c>
      <c r="X28" s="13" t="str">
        <f t="shared" si="5"/>
        <v/>
      </c>
      <c r="Y28" s="2">
        <f t="shared" ca="1" si="0"/>
        <v>470</v>
      </c>
      <c r="Z28" s="14">
        <v>1</v>
      </c>
      <c r="AA28" s="1" t="str">
        <f t="shared" ca="1" si="1"/>
        <v>VENCIDO</v>
      </c>
      <c r="AB28" s="1" t="str">
        <f t="shared" si="2"/>
        <v>Dosa</v>
      </c>
      <c r="AC28" s="2" t="str">
        <f t="shared" si="6"/>
        <v xml:space="preserve"> CRISTINA </v>
      </c>
      <c r="AD28" s="2">
        <f t="shared" si="3"/>
        <v>5</v>
      </c>
      <c r="AE28" s="2">
        <f t="shared" ca="1" si="4"/>
        <v>-613.9262716435187</v>
      </c>
      <c r="AF28" s="15"/>
    </row>
    <row r="29" spans="1:32" hidden="1">
      <c r="A29" s="1">
        <v>4967954</v>
      </c>
      <c r="B29" s="1" t="s">
        <v>62</v>
      </c>
      <c r="C29" t="s">
        <v>144</v>
      </c>
      <c r="E29" s="2">
        <v>582000206001</v>
      </c>
      <c r="F29" s="1" t="s">
        <v>29</v>
      </c>
      <c r="G29" s="1" t="s">
        <v>53</v>
      </c>
      <c r="H29" s="1" t="s">
        <v>139</v>
      </c>
      <c r="I29" s="1" t="s">
        <v>140</v>
      </c>
      <c r="J29" s="1" t="s">
        <v>141</v>
      </c>
      <c r="K29" t="s">
        <v>34</v>
      </c>
      <c r="M29" s="1" t="s">
        <v>35</v>
      </c>
      <c r="N29" s="1">
        <v>42318949</v>
      </c>
      <c r="O29" s="1" t="s">
        <v>36</v>
      </c>
      <c r="P29" s="12">
        <v>44329.985694444447</v>
      </c>
      <c r="R29" s="1" t="s">
        <v>38</v>
      </c>
      <c r="T29" s="1" t="s">
        <v>74</v>
      </c>
      <c r="U29" s="12">
        <v>44372.75</v>
      </c>
      <c r="V29" s="1" t="s">
        <v>41</v>
      </c>
      <c r="W29" s="1" t="s">
        <v>49</v>
      </c>
      <c r="X29" s="13" t="str">
        <f t="shared" si="5"/>
        <v/>
      </c>
      <c r="Y29" s="2">
        <f t="shared" ca="1" si="0"/>
        <v>470</v>
      </c>
      <c r="Z29" s="14">
        <v>1</v>
      </c>
      <c r="AA29" s="1" t="str">
        <f t="shared" ca="1" si="1"/>
        <v>VENCIDO</v>
      </c>
      <c r="AB29" s="1" t="str">
        <f t="shared" si="2"/>
        <v>Dosa</v>
      </c>
      <c r="AC29" s="2" t="str">
        <f t="shared" si="6"/>
        <v xml:space="preserve"> CRISTINA </v>
      </c>
      <c r="AD29" s="2">
        <f t="shared" si="3"/>
        <v>5</v>
      </c>
      <c r="AE29" s="2">
        <f t="shared" ca="1" si="4"/>
        <v>-613.9262716435187</v>
      </c>
      <c r="AF29" s="15"/>
    </row>
    <row r="30" spans="1:32">
      <c r="A30" s="1">
        <v>6477850</v>
      </c>
      <c r="B30" s="1" t="s">
        <v>62</v>
      </c>
      <c r="C30" t="s">
        <v>145</v>
      </c>
      <c r="E30" s="2">
        <v>1754000206001</v>
      </c>
      <c r="F30" s="1" t="s">
        <v>29</v>
      </c>
      <c r="G30" s="1" t="s">
        <v>53</v>
      </c>
      <c r="H30" s="1" t="s">
        <v>146</v>
      </c>
      <c r="I30" s="1" t="s">
        <v>147</v>
      </c>
      <c r="J30" s="1" t="s">
        <v>148</v>
      </c>
      <c r="K30" t="s">
        <v>34</v>
      </c>
      <c r="M30" s="1" t="s">
        <v>35</v>
      </c>
      <c r="N30" s="1">
        <v>42318949</v>
      </c>
      <c r="O30" s="1" t="s">
        <v>105</v>
      </c>
      <c r="P30" s="11" t="s">
        <v>149</v>
      </c>
      <c r="R30" s="1" t="s">
        <v>38</v>
      </c>
      <c r="T30" s="1" t="s">
        <v>74</v>
      </c>
      <c r="U30" s="11" t="s">
        <v>150</v>
      </c>
      <c r="V30" s="1" t="s">
        <v>41</v>
      </c>
      <c r="W30" s="1" t="s">
        <v>49</v>
      </c>
      <c r="X30" s="13" t="str">
        <f t="shared" si="5"/>
        <v/>
      </c>
      <c r="Y30" s="2">
        <f t="shared" ca="1" si="0"/>
        <v>417</v>
      </c>
      <c r="Z30" s="14">
        <v>1</v>
      </c>
      <c r="AA30" s="1" t="str">
        <f t="shared" ca="1" si="1"/>
        <v>VENCIDO</v>
      </c>
      <c r="AB30" s="1" t="str">
        <f t="shared" si="2"/>
        <v>Dosa</v>
      </c>
      <c r="AC30" s="2" t="str">
        <f t="shared" si="6"/>
        <v xml:space="preserve"> RINALDO </v>
      </c>
      <c r="AD30" s="2">
        <f t="shared" si="3"/>
        <v>5</v>
      </c>
      <c r="AE30" s="2">
        <f t="shared" ca="1" si="4"/>
        <v>-538.9262716435187</v>
      </c>
      <c r="AF30" s="15"/>
    </row>
    <row r="31" spans="1:32" hidden="1">
      <c r="A31" s="1">
        <v>6829400</v>
      </c>
      <c r="B31" s="1" t="s">
        <v>62</v>
      </c>
      <c r="C31" t="s">
        <v>151</v>
      </c>
      <c r="E31" s="2">
        <v>3924000203010</v>
      </c>
      <c r="F31" s="1" t="s">
        <v>152</v>
      </c>
      <c r="G31" s="1" t="s">
        <v>53</v>
      </c>
      <c r="H31" s="1" t="s">
        <v>153</v>
      </c>
      <c r="I31" s="1" t="s">
        <v>154</v>
      </c>
      <c r="J31" s="1" t="s">
        <v>56</v>
      </c>
      <c r="K31" t="s">
        <v>155</v>
      </c>
      <c r="M31" s="1" t="s">
        <v>35</v>
      </c>
      <c r="N31" s="1">
        <v>42318949</v>
      </c>
      <c r="O31" s="1" t="s">
        <v>36</v>
      </c>
      <c r="P31" s="11" t="s">
        <v>156</v>
      </c>
      <c r="R31" s="1" t="s">
        <v>38</v>
      </c>
      <c r="T31" s="1" t="s">
        <v>157</v>
      </c>
      <c r="U31" s="11" t="s">
        <v>158</v>
      </c>
      <c r="V31" s="1" t="s">
        <v>41</v>
      </c>
      <c r="W31" s="1" t="s">
        <v>49</v>
      </c>
      <c r="X31" s="13" t="str">
        <f t="shared" si="5"/>
        <v/>
      </c>
      <c r="Y31" s="2">
        <f t="shared" ca="1" si="0"/>
        <v>405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 t="str">
        <f t="shared" si="6"/>
        <v xml:space="preserve"> CRISTINA </v>
      </c>
      <c r="AD31" s="2">
        <f t="shared" si="3"/>
        <v>8</v>
      </c>
      <c r="AE31" s="2">
        <f t="shared" ca="1" si="4"/>
        <v>-529.9262716435187</v>
      </c>
      <c r="AF31" s="15"/>
    </row>
    <row r="32" spans="1:32" hidden="1">
      <c r="A32" s="1">
        <v>6829307</v>
      </c>
      <c r="B32" s="1" t="s">
        <v>62</v>
      </c>
      <c r="C32" t="s">
        <v>151</v>
      </c>
      <c r="E32" s="2">
        <v>2365000203010</v>
      </c>
      <c r="F32" s="1" t="s">
        <v>152</v>
      </c>
      <c r="G32" s="1" t="s">
        <v>53</v>
      </c>
      <c r="H32" s="1" t="s">
        <v>159</v>
      </c>
      <c r="I32" s="1" t="s">
        <v>160</v>
      </c>
      <c r="J32" s="1" t="s">
        <v>46</v>
      </c>
      <c r="K32" t="s">
        <v>155</v>
      </c>
      <c r="M32" s="1" t="s">
        <v>35</v>
      </c>
      <c r="N32" s="1">
        <v>42318949</v>
      </c>
      <c r="O32" s="1" t="s">
        <v>36</v>
      </c>
      <c r="P32" s="11" t="s">
        <v>161</v>
      </c>
      <c r="R32" s="1" t="s">
        <v>38</v>
      </c>
      <c r="T32" s="1" t="s">
        <v>157</v>
      </c>
      <c r="U32" s="11" t="s">
        <v>158</v>
      </c>
      <c r="V32" s="1" t="s">
        <v>41</v>
      </c>
      <c r="W32" s="1" t="s">
        <v>49</v>
      </c>
      <c r="X32" s="13" t="str">
        <f t="shared" si="5"/>
        <v/>
      </c>
      <c r="Y32" s="2">
        <f t="shared" ca="1" si="0"/>
        <v>405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 t="str">
        <f t="shared" si="6"/>
        <v xml:space="preserve"> CLEITON </v>
      </c>
      <c r="AD32" s="2">
        <f t="shared" si="3"/>
        <v>8</v>
      </c>
      <c r="AE32" s="2">
        <f t="shared" ca="1" si="4"/>
        <v>-529.9262716435187</v>
      </c>
      <c r="AF32" s="15"/>
    </row>
    <row r="33" spans="1:32" hidden="1">
      <c r="A33" s="1">
        <v>6829259</v>
      </c>
      <c r="B33" s="1" t="s">
        <v>62</v>
      </c>
      <c r="C33" t="s">
        <v>151</v>
      </c>
      <c r="E33" s="2">
        <v>1739000203010</v>
      </c>
      <c r="F33" s="1" t="s">
        <v>152</v>
      </c>
      <c r="G33" s="1" t="s">
        <v>53</v>
      </c>
      <c r="H33" s="1" t="s">
        <v>162</v>
      </c>
      <c r="I33" s="1" t="s">
        <v>163</v>
      </c>
      <c r="J33" s="1" t="s">
        <v>164</v>
      </c>
      <c r="K33" t="s">
        <v>155</v>
      </c>
      <c r="M33" s="1" t="s">
        <v>35</v>
      </c>
      <c r="N33" s="1">
        <v>42318949</v>
      </c>
      <c r="O33" s="1" t="s">
        <v>36</v>
      </c>
      <c r="P33" s="11" t="s">
        <v>165</v>
      </c>
      <c r="R33" s="1" t="s">
        <v>38</v>
      </c>
      <c r="T33" s="1" t="s">
        <v>157</v>
      </c>
      <c r="U33" s="11" t="s">
        <v>158</v>
      </c>
      <c r="V33" s="1" t="s">
        <v>41</v>
      </c>
      <c r="W33" s="1" t="s">
        <v>49</v>
      </c>
      <c r="X33" s="13" t="str">
        <f t="shared" si="5"/>
        <v/>
      </c>
      <c r="Y33" s="2">
        <f t="shared" ca="1" si="0"/>
        <v>405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 t="str">
        <f t="shared" si="6"/>
        <v xml:space="preserve"> ROSEMERE </v>
      </c>
      <c r="AD33" s="2">
        <f t="shared" si="3"/>
        <v>8</v>
      </c>
      <c r="AE33" s="2">
        <f t="shared" ca="1" si="4"/>
        <v>-529.9262716435187</v>
      </c>
      <c r="AF33" s="15"/>
    </row>
    <row r="34" spans="1:32">
      <c r="A34" s="1">
        <v>6829206</v>
      </c>
      <c r="B34" s="1" t="s">
        <v>62</v>
      </c>
      <c r="C34" t="s">
        <v>151</v>
      </c>
      <c r="E34" s="2">
        <v>1061000203010</v>
      </c>
      <c r="F34" s="1" t="s">
        <v>152</v>
      </c>
      <c r="G34" s="1" t="s">
        <v>53</v>
      </c>
      <c r="H34" s="1" t="s">
        <v>166</v>
      </c>
      <c r="I34" s="1" t="s">
        <v>167</v>
      </c>
      <c r="J34" s="1" t="s">
        <v>85</v>
      </c>
      <c r="K34" t="s">
        <v>155</v>
      </c>
      <c r="M34" s="1" t="s">
        <v>35</v>
      </c>
      <c r="N34" s="1">
        <v>42318949</v>
      </c>
      <c r="O34" s="1" t="s">
        <v>36</v>
      </c>
      <c r="P34" s="11" t="s">
        <v>168</v>
      </c>
      <c r="R34" s="1" t="s">
        <v>38</v>
      </c>
      <c r="T34" s="1" t="s">
        <v>157</v>
      </c>
      <c r="U34" s="11" t="s">
        <v>158</v>
      </c>
      <c r="V34" s="1" t="s">
        <v>41</v>
      </c>
      <c r="W34" s="1" t="s">
        <v>49</v>
      </c>
      <c r="X34" s="13" t="str">
        <f t="shared" si="5"/>
        <v/>
      </c>
      <c r="Y34" s="2">
        <f t="shared" ca="1" si="0"/>
        <v>405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 t="str">
        <f t="shared" si="6"/>
        <v xml:space="preserve"> RINALDO </v>
      </c>
      <c r="AD34" s="2">
        <f t="shared" si="3"/>
        <v>8</v>
      </c>
      <c r="AE34" s="2">
        <f t="shared" ca="1" si="4"/>
        <v>-529.9262716435187</v>
      </c>
      <c r="AF34" s="15"/>
    </row>
    <row r="35" spans="1:32" hidden="1">
      <c r="A35" s="1">
        <v>6829203</v>
      </c>
      <c r="B35" s="1" t="s">
        <v>62</v>
      </c>
      <c r="C35" t="s">
        <v>151</v>
      </c>
      <c r="E35" s="2">
        <v>1049000203010</v>
      </c>
      <c r="F35" s="1" t="s">
        <v>152</v>
      </c>
      <c r="G35" s="1" t="s">
        <v>53</v>
      </c>
      <c r="H35" s="1" t="s">
        <v>169</v>
      </c>
      <c r="I35" s="1" t="s">
        <v>170</v>
      </c>
      <c r="J35" s="1" t="s">
        <v>164</v>
      </c>
      <c r="K35" t="s">
        <v>155</v>
      </c>
      <c r="M35" s="1" t="s">
        <v>35</v>
      </c>
      <c r="N35" s="1">
        <v>42318949</v>
      </c>
      <c r="O35" s="1" t="s">
        <v>36</v>
      </c>
      <c r="P35" s="11" t="s">
        <v>171</v>
      </c>
      <c r="R35" s="1" t="s">
        <v>38</v>
      </c>
      <c r="T35" s="1" t="s">
        <v>157</v>
      </c>
      <c r="U35" s="11" t="s">
        <v>158</v>
      </c>
      <c r="V35" s="1" t="s">
        <v>41</v>
      </c>
      <c r="W35" s="1" t="s">
        <v>49</v>
      </c>
      <c r="X35" s="13" t="str">
        <f t="shared" si="5"/>
        <v/>
      </c>
      <c r="Y35" s="2">
        <f t="shared" ca="1" si="0"/>
        <v>405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 t="str">
        <f t="shared" si="6"/>
        <v xml:space="preserve"> ROSEMERE </v>
      </c>
      <c r="AD35" s="2">
        <f t="shared" si="3"/>
        <v>8</v>
      </c>
      <c r="AE35" s="2">
        <f t="shared" ca="1" si="4"/>
        <v>-529.9262716435187</v>
      </c>
      <c r="AF35" s="15"/>
    </row>
    <row r="36" spans="1:32" hidden="1">
      <c r="A36" s="1">
        <v>6829198</v>
      </c>
      <c r="B36" s="1" t="s">
        <v>62</v>
      </c>
      <c r="C36" t="s">
        <v>151</v>
      </c>
      <c r="E36" s="2">
        <v>1012000203010</v>
      </c>
      <c r="F36" s="1" t="s">
        <v>152</v>
      </c>
      <c r="G36" s="1" t="s">
        <v>53</v>
      </c>
      <c r="H36" s="1" t="s">
        <v>172</v>
      </c>
      <c r="I36" s="1" t="s">
        <v>173</v>
      </c>
      <c r="J36" s="1" t="s">
        <v>164</v>
      </c>
      <c r="K36" t="s">
        <v>155</v>
      </c>
      <c r="M36" s="1" t="s">
        <v>35</v>
      </c>
      <c r="N36" s="1">
        <v>42318949</v>
      </c>
      <c r="O36" s="1" t="s">
        <v>36</v>
      </c>
      <c r="P36" s="11" t="s">
        <v>174</v>
      </c>
      <c r="R36" s="1" t="s">
        <v>38</v>
      </c>
      <c r="T36" s="1" t="s">
        <v>157</v>
      </c>
      <c r="U36" s="11" t="s">
        <v>158</v>
      </c>
      <c r="V36" s="1" t="s">
        <v>41</v>
      </c>
      <c r="W36" s="1" t="s">
        <v>49</v>
      </c>
      <c r="X36" s="13" t="str">
        <f t="shared" si="5"/>
        <v/>
      </c>
      <c r="Y36" s="2">
        <f t="shared" ca="1" si="0"/>
        <v>405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 t="str">
        <f t="shared" si="6"/>
        <v xml:space="preserve"> ROSEMERE </v>
      </c>
      <c r="AD36" s="2">
        <f t="shared" si="3"/>
        <v>8</v>
      </c>
      <c r="AE36" s="2">
        <f t="shared" ca="1" si="4"/>
        <v>-529.9262716435187</v>
      </c>
      <c r="AF36" s="15"/>
    </row>
    <row r="37" spans="1:32">
      <c r="A37" s="1">
        <v>6829184</v>
      </c>
      <c r="B37" s="1" t="s">
        <v>62</v>
      </c>
      <c r="C37" t="s">
        <v>151</v>
      </c>
      <c r="E37" s="2">
        <v>899000203010</v>
      </c>
      <c r="F37" s="1" t="s">
        <v>152</v>
      </c>
      <c r="G37" s="1" t="s">
        <v>53</v>
      </c>
      <c r="H37" s="1" t="s">
        <v>175</v>
      </c>
      <c r="I37" s="1" t="s">
        <v>176</v>
      </c>
      <c r="J37" s="1" t="s">
        <v>90</v>
      </c>
      <c r="K37" t="s">
        <v>155</v>
      </c>
      <c r="M37" s="1" t="s">
        <v>35</v>
      </c>
      <c r="N37" s="1">
        <v>42318949</v>
      </c>
      <c r="O37" s="1" t="s">
        <v>36</v>
      </c>
      <c r="P37" s="186">
        <v>44420.811898148146</v>
      </c>
      <c r="R37" s="1" t="s">
        <v>38</v>
      </c>
      <c r="T37" s="1" t="s">
        <v>157</v>
      </c>
      <c r="U37" s="186">
        <v>44456.75</v>
      </c>
      <c r="V37" s="1" t="s">
        <v>41</v>
      </c>
      <c r="W37" s="1" t="s">
        <v>49</v>
      </c>
      <c r="X37" s="13" t="str">
        <f t="shared" si="5"/>
        <v/>
      </c>
      <c r="Y37" s="2">
        <f t="shared" ca="1" si="0"/>
        <v>405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 t="str">
        <f t="shared" si="6"/>
        <v xml:space="preserve"> RINALDO </v>
      </c>
      <c r="AD37" s="2">
        <f t="shared" si="3"/>
        <v>8</v>
      </c>
      <c r="AE37" s="2">
        <f t="shared" ca="1" si="4"/>
        <v>-529.9262716435187</v>
      </c>
      <c r="AF37" s="15"/>
    </row>
    <row r="38" spans="1:32" hidden="1">
      <c r="A38" s="1">
        <v>6842502</v>
      </c>
      <c r="B38" s="1" t="s">
        <v>62</v>
      </c>
      <c r="C38" t="s">
        <v>151</v>
      </c>
      <c r="E38" s="2">
        <v>1732000203010</v>
      </c>
      <c r="F38" s="1" t="s">
        <v>152</v>
      </c>
      <c r="G38" s="1" t="s">
        <v>53</v>
      </c>
      <c r="H38" s="1" t="s">
        <v>177</v>
      </c>
      <c r="I38" s="1" t="s">
        <v>178</v>
      </c>
      <c r="J38" s="1" t="s">
        <v>164</v>
      </c>
      <c r="K38" t="s">
        <v>155</v>
      </c>
      <c r="M38" s="1" t="s">
        <v>35</v>
      </c>
      <c r="N38" s="1">
        <v>42318949</v>
      </c>
      <c r="O38" s="1" t="s">
        <v>36</v>
      </c>
      <c r="P38" s="186">
        <v>44421.394976851851</v>
      </c>
      <c r="R38" s="1" t="s">
        <v>38</v>
      </c>
      <c r="T38" s="1" t="s">
        <v>157</v>
      </c>
      <c r="U38" s="186">
        <v>44456.75</v>
      </c>
      <c r="V38" s="1" t="s">
        <v>41</v>
      </c>
      <c r="W38" s="1" t="s">
        <v>49</v>
      </c>
      <c r="X38" s="13" t="str">
        <f t="shared" si="5"/>
        <v/>
      </c>
      <c r="Y38" s="2">
        <f t="shared" ca="1" si="0"/>
        <v>404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 t="str">
        <f t="shared" si="6"/>
        <v xml:space="preserve"> ROSEMERE </v>
      </c>
      <c r="AD38" s="2">
        <f t="shared" si="3"/>
        <v>8</v>
      </c>
      <c r="AE38" s="2">
        <f t="shared" ca="1" si="4"/>
        <v>-529.9262716435187</v>
      </c>
      <c r="AF38" s="15"/>
    </row>
    <row r="39" spans="1:32" hidden="1">
      <c r="A39" s="1">
        <v>6842406</v>
      </c>
      <c r="B39" s="1" t="s">
        <v>62</v>
      </c>
      <c r="C39" t="s">
        <v>151</v>
      </c>
      <c r="E39" s="2">
        <v>1421000203010</v>
      </c>
      <c r="F39" s="1" t="s">
        <v>152</v>
      </c>
      <c r="G39" s="1" t="s">
        <v>53</v>
      </c>
      <c r="H39" s="1" t="s">
        <v>179</v>
      </c>
      <c r="I39" s="1" t="s">
        <v>180</v>
      </c>
      <c r="J39" s="1" t="s">
        <v>79</v>
      </c>
      <c r="K39" t="s">
        <v>155</v>
      </c>
      <c r="M39" s="1" t="s">
        <v>35</v>
      </c>
      <c r="N39" s="1">
        <v>42318949</v>
      </c>
      <c r="O39" s="1" t="s">
        <v>36</v>
      </c>
      <c r="P39" s="12">
        <v>44421.394791666666</v>
      </c>
      <c r="R39" s="1" t="s">
        <v>38</v>
      </c>
      <c r="T39" s="1" t="s">
        <v>157</v>
      </c>
      <c r="U39" s="12">
        <v>44456.75</v>
      </c>
      <c r="V39" s="1" t="s">
        <v>41</v>
      </c>
      <c r="W39" s="1" t="s">
        <v>49</v>
      </c>
      <c r="X39" s="13" t="str">
        <f t="shared" si="5"/>
        <v/>
      </c>
      <c r="Y39" s="2">
        <f t="shared" ca="1" si="0"/>
        <v>404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 t="str">
        <f t="shared" si="6"/>
        <v xml:space="preserve"> ROSEMERE </v>
      </c>
      <c r="AD39" s="2">
        <f t="shared" si="3"/>
        <v>8</v>
      </c>
      <c r="AE39" s="2">
        <f t="shared" ca="1" si="4"/>
        <v>-529.9262716435187</v>
      </c>
      <c r="AF39" s="15"/>
    </row>
    <row r="40" spans="1:32" hidden="1">
      <c r="A40" s="1">
        <v>6842400</v>
      </c>
      <c r="B40" s="1" t="s">
        <v>62</v>
      </c>
      <c r="C40" t="s">
        <v>151</v>
      </c>
      <c r="E40" s="2">
        <v>1120000203010</v>
      </c>
      <c r="F40" s="1" t="s">
        <v>152</v>
      </c>
      <c r="G40" s="1" t="s">
        <v>53</v>
      </c>
      <c r="H40" s="1" t="s">
        <v>181</v>
      </c>
      <c r="I40" s="1" t="s">
        <v>182</v>
      </c>
      <c r="J40" s="1" t="s">
        <v>164</v>
      </c>
      <c r="K40" t="s">
        <v>155</v>
      </c>
      <c r="M40" s="1" t="s">
        <v>35</v>
      </c>
      <c r="N40" s="1">
        <v>42318949</v>
      </c>
      <c r="O40" s="1" t="s">
        <v>36</v>
      </c>
      <c r="P40" s="186">
        <v>44421.394780092596</v>
      </c>
      <c r="R40" s="1" t="s">
        <v>38</v>
      </c>
      <c r="T40" s="1" t="s">
        <v>157</v>
      </c>
      <c r="U40" s="186">
        <v>44456.75</v>
      </c>
      <c r="V40" s="1" t="s">
        <v>41</v>
      </c>
      <c r="W40" s="1" t="s">
        <v>49</v>
      </c>
      <c r="X40" s="13" t="str">
        <f t="shared" si="5"/>
        <v/>
      </c>
      <c r="Y40" s="2">
        <f t="shared" ca="1" si="0"/>
        <v>404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 t="str">
        <f t="shared" si="6"/>
        <v xml:space="preserve"> ROSEMERE </v>
      </c>
      <c r="AD40" s="2">
        <f t="shared" si="3"/>
        <v>8</v>
      </c>
      <c r="AE40" s="2">
        <f t="shared" ca="1" si="4"/>
        <v>-529.9262716435187</v>
      </c>
      <c r="AF40" s="15"/>
    </row>
    <row r="41" spans="1:32">
      <c r="A41" s="1">
        <v>6842393</v>
      </c>
      <c r="B41" s="1" t="s">
        <v>62</v>
      </c>
      <c r="C41" t="s">
        <v>151</v>
      </c>
      <c r="E41" s="2">
        <v>870000203010</v>
      </c>
      <c r="F41" s="1" t="s">
        <v>152</v>
      </c>
      <c r="G41" s="1" t="s">
        <v>53</v>
      </c>
      <c r="H41" s="1" t="s">
        <v>183</v>
      </c>
      <c r="I41" s="1" t="s">
        <v>184</v>
      </c>
      <c r="J41" s="1" t="s">
        <v>90</v>
      </c>
      <c r="K41" t="s">
        <v>155</v>
      </c>
      <c r="M41" s="1" t="s">
        <v>35</v>
      </c>
      <c r="N41" s="1">
        <v>42318949</v>
      </c>
      <c r="O41" s="1" t="s">
        <v>36</v>
      </c>
      <c r="P41" s="11" t="s">
        <v>185</v>
      </c>
      <c r="R41" s="1" t="s">
        <v>38</v>
      </c>
      <c r="T41" s="1" t="s">
        <v>157</v>
      </c>
      <c r="U41" s="11" t="s">
        <v>158</v>
      </c>
      <c r="V41" s="1" t="s">
        <v>41</v>
      </c>
      <c r="W41" s="1" t="s">
        <v>49</v>
      </c>
      <c r="X41" s="13" t="str">
        <f t="shared" si="5"/>
        <v/>
      </c>
      <c r="Y41" s="2">
        <f t="shared" ca="1" si="0"/>
        <v>404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 t="str">
        <f t="shared" si="6"/>
        <v xml:space="preserve"> RINALDO </v>
      </c>
      <c r="AD41" s="2">
        <f t="shared" si="3"/>
        <v>8</v>
      </c>
      <c r="AE41" s="2">
        <f t="shared" ca="1" si="4"/>
        <v>-529.9262716435187</v>
      </c>
      <c r="AF41" s="15"/>
    </row>
    <row r="42" spans="1:32" hidden="1">
      <c r="A42" s="1">
        <v>6966972</v>
      </c>
      <c r="B42" s="1" t="s">
        <v>27</v>
      </c>
      <c r="C42" t="s">
        <v>186</v>
      </c>
      <c r="E42" s="2">
        <v>7740206001</v>
      </c>
      <c r="F42" s="1" t="s">
        <v>29</v>
      </c>
      <c r="G42" s="1" t="s">
        <v>53</v>
      </c>
      <c r="H42" s="1" t="s">
        <v>187</v>
      </c>
      <c r="I42" s="1" t="s">
        <v>188</v>
      </c>
      <c r="J42" s="1" t="s">
        <v>46</v>
      </c>
      <c r="K42" t="s">
        <v>34</v>
      </c>
      <c r="M42" s="1" t="s">
        <v>35</v>
      </c>
      <c r="N42" s="1">
        <v>42318949</v>
      </c>
      <c r="O42" s="1" t="s">
        <v>105</v>
      </c>
      <c r="P42" s="11" t="s">
        <v>189</v>
      </c>
      <c r="R42" s="1" t="s">
        <v>38</v>
      </c>
      <c r="T42" s="1" t="s">
        <v>74</v>
      </c>
      <c r="U42" s="11" t="s">
        <v>190</v>
      </c>
      <c r="V42" s="1" t="s">
        <v>41</v>
      </c>
      <c r="W42" s="1" t="s">
        <v>49</v>
      </c>
      <c r="X42" s="13" t="str">
        <f t="shared" si="5"/>
        <v>0007.74</v>
      </c>
      <c r="Y42" s="2">
        <f t="shared" ca="1" si="0"/>
        <v>401</v>
      </c>
      <c r="Z42" s="14">
        <v>1</v>
      </c>
      <c r="AA42" s="1" t="str">
        <f t="shared" ca="1" si="1"/>
        <v>VENCIDO</v>
      </c>
      <c r="AB42" s="1" t="str">
        <f t="shared" si="2"/>
        <v>Dosa</v>
      </c>
      <c r="AC42" s="2" t="str">
        <f t="shared" si="6"/>
        <v xml:space="preserve"> CLEITON </v>
      </c>
      <c r="AD42" s="2">
        <f t="shared" si="3"/>
        <v>5</v>
      </c>
      <c r="AE42" s="2">
        <f t="shared" ca="1" si="4"/>
        <v>-558.9262716435187</v>
      </c>
      <c r="AF42" s="15"/>
    </row>
    <row r="43" spans="1:32" hidden="1">
      <c r="A43" s="1">
        <v>6986331</v>
      </c>
      <c r="B43" s="1" t="s">
        <v>27</v>
      </c>
      <c r="C43" t="s">
        <v>186</v>
      </c>
      <c r="E43" s="2">
        <v>2326000206001</v>
      </c>
      <c r="F43" s="1" t="s">
        <v>29</v>
      </c>
      <c r="G43" s="1" t="s">
        <v>53</v>
      </c>
      <c r="H43" s="1" t="s">
        <v>191</v>
      </c>
      <c r="I43" s="1" t="s">
        <v>192</v>
      </c>
      <c r="J43" s="1" t="s">
        <v>46</v>
      </c>
      <c r="K43" t="s">
        <v>34</v>
      </c>
      <c r="M43" s="1" t="s">
        <v>35</v>
      </c>
      <c r="N43" s="1">
        <v>42318949</v>
      </c>
      <c r="O43" s="1" t="s">
        <v>105</v>
      </c>
      <c r="P43" s="11" t="s">
        <v>193</v>
      </c>
      <c r="R43" s="1" t="s">
        <v>38</v>
      </c>
      <c r="T43" s="1" t="s">
        <v>74</v>
      </c>
      <c r="U43" s="11" t="s">
        <v>190</v>
      </c>
      <c r="V43" s="1" t="s">
        <v>41</v>
      </c>
      <c r="W43" s="1" t="s">
        <v>49</v>
      </c>
      <c r="X43" s="13" t="str">
        <f t="shared" si="5"/>
        <v/>
      </c>
      <c r="Y43" s="2">
        <f t="shared" ca="1" si="0"/>
        <v>400</v>
      </c>
      <c r="Z43" s="14">
        <v>1</v>
      </c>
      <c r="AA43" s="1" t="str">
        <f t="shared" ca="1" si="1"/>
        <v>VENCIDO</v>
      </c>
      <c r="AB43" s="1" t="str">
        <f t="shared" si="2"/>
        <v>Dosa</v>
      </c>
      <c r="AC43" s="2" t="str">
        <f t="shared" si="6"/>
        <v xml:space="preserve"> CLEITON </v>
      </c>
      <c r="AD43" s="2">
        <f t="shared" si="3"/>
        <v>5</v>
      </c>
      <c r="AE43" s="2">
        <f t="shared" ca="1" si="4"/>
        <v>-558.9262716435187</v>
      </c>
      <c r="AF43" s="15"/>
    </row>
    <row r="44" spans="1:32" hidden="1">
      <c r="A44" s="1">
        <v>6986330</v>
      </c>
      <c r="B44" s="1" t="s">
        <v>27</v>
      </c>
      <c r="C44" t="s">
        <v>186</v>
      </c>
      <c r="E44" s="2">
        <v>2335000206001</v>
      </c>
      <c r="F44" s="1" t="s">
        <v>29</v>
      </c>
      <c r="G44" s="1" t="s">
        <v>53</v>
      </c>
      <c r="H44" s="1" t="s">
        <v>194</v>
      </c>
      <c r="I44" s="1" t="s">
        <v>195</v>
      </c>
      <c r="J44" s="1" t="s">
        <v>110</v>
      </c>
      <c r="K44" t="s">
        <v>34</v>
      </c>
      <c r="M44" s="1" t="s">
        <v>35</v>
      </c>
      <c r="N44" s="1">
        <v>42318949</v>
      </c>
      <c r="O44" s="1" t="s">
        <v>36</v>
      </c>
      <c r="P44" s="11" t="s">
        <v>196</v>
      </c>
      <c r="R44" s="1" t="s">
        <v>38</v>
      </c>
      <c r="T44" s="1" t="s">
        <v>74</v>
      </c>
      <c r="U44" s="11" t="s">
        <v>190</v>
      </c>
      <c r="V44" s="1" t="s">
        <v>41</v>
      </c>
      <c r="W44" s="1" t="s">
        <v>49</v>
      </c>
      <c r="X44" s="13" t="str">
        <f t="shared" si="5"/>
        <v/>
      </c>
      <c r="Y44" s="2">
        <f t="shared" ca="1" si="0"/>
        <v>400</v>
      </c>
      <c r="Z44" s="14">
        <v>1</v>
      </c>
      <c r="AA44" s="1" t="str">
        <f t="shared" ca="1" si="1"/>
        <v>VENCIDO</v>
      </c>
      <c r="AB44" s="1" t="str">
        <f t="shared" si="2"/>
        <v>Dosa</v>
      </c>
      <c r="AC44" s="2" t="str">
        <f t="shared" si="6"/>
        <v xml:space="preserve"> CRISTINA </v>
      </c>
      <c r="AD44" s="2">
        <f t="shared" si="3"/>
        <v>5</v>
      </c>
      <c r="AE44" s="2">
        <f t="shared" ca="1" si="4"/>
        <v>-558.9262716435187</v>
      </c>
      <c r="AF44" s="15"/>
    </row>
    <row r="45" spans="1:32" hidden="1">
      <c r="A45" s="1">
        <v>6981314</v>
      </c>
      <c r="B45" s="1" t="s">
        <v>27</v>
      </c>
      <c r="C45" t="s">
        <v>186</v>
      </c>
      <c r="E45" s="2">
        <v>4357010206001</v>
      </c>
      <c r="F45" s="1" t="s">
        <v>29</v>
      </c>
      <c r="G45" s="1" t="s">
        <v>53</v>
      </c>
      <c r="H45" s="1" t="s">
        <v>197</v>
      </c>
      <c r="I45" s="1" t="s">
        <v>198</v>
      </c>
      <c r="J45" s="1" t="s">
        <v>46</v>
      </c>
      <c r="K45" t="s">
        <v>34</v>
      </c>
      <c r="M45" s="1" t="s">
        <v>35</v>
      </c>
      <c r="N45" s="1">
        <v>42318949</v>
      </c>
      <c r="O45" s="1" t="s">
        <v>36</v>
      </c>
      <c r="P45" s="186">
        <v>44427.488483796296</v>
      </c>
      <c r="R45" s="1" t="s">
        <v>38</v>
      </c>
      <c r="T45" s="1" t="s">
        <v>74</v>
      </c>
      <c r="U45" s="186">
        <v>44427.75</v>
      </c>
      <c r="V45" s="1" t="s">
        <v>41</v>
      </c>
      <c r="W45" s="1" t="s">
        <v>49</v>
      </c>
      <c r="X45" s="13" t="str">
        <f t="shared" si="5"/>
        <v>4357.01</v>
      </c>
      <c r="Y45" s="2">
        <f t="shared" ca="1" si="0"/>
        <v>400</v>
      </c>
      <c r="Z45" s="14">
        <v>1</v>
      </c>
      <c r="AA45" s="1" t="str">
        <f t="shared" ca="1" si="1"/>
        <v>VENCIDO</v>
      </c>
      <c r="AB45" s="1" t="str">
        <f t="shared" si="2"/>
        <v>Dosa</v>
      </c>
      <c r="AC45" s="2" t="str">
        <f t="shared" si="6"/>
        <v xml:space="preserve"> CLEITON </v>
      </c>
      <c r="AD45" s="2">
        <f t="shared" si="3"/>
        <v>5</v>
      </c>
      <c r="AE45" s="2">
        <f t="shared" ca="1" si="4"/>
        <v>-558.9262716435187</v>
      </c>
      <c r="AF45" s="15"/>
    </row>
    <row r="46" spans="1:32">
      <c r="A46" s="1">
        <v>7150745</v>
      </c>
      <c r="B46" s="1" t="s">
        <v>101</v>
      </c>
      <c r="C46" t="s">
        <v>199</v>
      </c>
      <c r="E46" s="2">
        <v>1059002060021</v>
      </c>
      <c r="F46" s="1" t="s">
        <v>103</v>
      </c>
      <c r="G46" s="1" t="s">
        <v>53</v>
      </c>
      <c r="H46" s="1" t="s">
        <v>88</v>
      </c>
      <c r="I46" s="1" t="s">
        <v>89</v>
      </c>
      <c r="J46" s="1" t="s">
        <v>90</v>
      </c>
      <c r="K46" t="s">
        <v>104</v>
      </c>
      <c r="M46" s="1" t="s">
        <v>58</v>
      </c>
      <c r="N46" s="1">
        <v>0</v>
      </c>
      <c r="O46" s="1" t="s">
        <v>36</v>
      </c>
      <c r="P46" s="11" t="s">
        <v>200</v>
      </c>
      <c r="R46" s="1" t="s">
        <v>38</v>
      </c>
      <c r="T46" s="1" t="s">
        <v>74</v>
      </c>
      <c r="U46" s="11" t="s">
        <v>201</v>
      </c>
      <c r="V46" s="1" t="s">
        <v>41</v>
      </c>
      <c r="W46" s="1" t="s">
        <v>49</v>
      </c>
      <c r="X46" s="13" t="str">
        <f t="shared" si="5"/>
        <v/>
      </c>
      <c r="Y46" s="2">
        <f t="shared" ca="1" si="0"/>
        <v>395</v>
      </c>
      <c r="Z46" s="14">
        <v>1</v>
      </c>
      <c r="AA46" s="1" t="str">
        <f t="shared" ca="1" si="1"/>
        <v>VENCIDO</v>
      </c>
      <c r="AB46" s="1" t="str">
        <f t="shared" si="2"/>
        <v>Dosa</v>
      </c>
      <c r="AC46" s="2" t="str">
        <f t="shared" si="6"/>
        <v xml:space="preserve"> RINALDO </v>
      </c>
      <c r="AD46" s="2">
        <f t="shared" si="3"/>
        <v>5</v>
      </c>
      <c r="AE46" s="2">
        <f t="shared" ca="1" si="4"/>
        <v>-551.9262716435187</v>
      </c>
      <c r="AF46" s="15"/>
    </row>
    <row r="47" spans="1:32" hidden="1">
      <c r="A47" s="1">
        <v>7150715</v>
      </c>
      <c r="B47" s="1" t="s">
        <v>101</v>
      </c>
      <c r="C47" t="s">
        <v>199</v>
      </c>
      <c r="E47" s="2">
        <v>711002060021</v>
      </c>
      <c r="F47" s="1" t="s">
        <v>103</v>
      </c>
      <c r="G47" s="1" t="s">
        <v>53</v>
      </c>
      <c r="H47" s="1" t="s">
        <v>77</v>
      </c>
      <c r="I47" s="1" t="s">
        <v>78</v>
      </c>
      <c r="J47" s="1" t="s">
        <v>79</v>
      </c>
      <c r="K47" t="s">
        <v>104</v>
      </c>
      <c r="M47" s="1" t="s">
        <v>58</v>
      </c>
      <c r="N47" s="1">
        <v>0</v>
      </c>
      <c r="O47" s="1" t="s">
        <v>105</v>
      </c>
      <c r="P47" s="11" t="s">
        <v>202</v>
      </c>
      <c r="R47" s="1" t="s">
        <v>38</v>
      </c>
      <c r="T47" s="1" t="s">
        <v>74</v>
      </c>
      <c r="U47" s="11" t="s">
        <v>201</v>
      </c>
      <c r="V47" s="1" t="s">
        <v>41</v>
      </c>
      <c r="W47" s="1" t="s">
        <v>49</v>
      </c>
      <c r="X47" s="13" t="str">
        <f t="shared" si="5"/>
        <v/>
      </c>
      <c r="Y47" s="2">
        <f t="shared" ca="1" si="0"/>
        <v>395</v>
      </c>
      <c r="Z47" s="14">
        <v>1</v>
      </c>
      <c r="AA47" s="1" t="str">
        <f t="shared" ca="1" si="1"/>
        <v>VENCIDO</v>
      </c>
      <c r="AB47" s="1" t="str">
        <f t="shared" si="2"/>
        <v>Dosa</v>
      </c>
      <c r="AC47" s="2" t="str">
        <f t="shared" si="6"/>
        <v xml:space="preserve"> ROSEMERE </v>
      </c>
      <c r="AD47" s="2">
        <f t="shared" si="3"/>
        <v>5</v>
      </c>
      <c r="AE47" s="2">
        <f t="shared" ca="1" si="4"/>
        <v>-551.9262716435187</v>
      </c>
      <c r="AF47" s="15"/>
    </row>
    <row r="48" spans="1:32">
      <c r="A48" s="1">
        <v>7150500</v>
      </c>
      <c r="B48" s="1" t="s">
        <v>101</v>
      </c>
      <c r="C48" t="s">
        <v>203</v>
      </c>
      <c r="E48" s="2">
        <v>9705000206121</v>
      </c>
      <c r="F48" s="1" t="s">
        <v>113</v>
      </c>
      <c r="G48" s="1" t="s">
        <v>53</v>
      </c>
      <c r="H48" s="1" t="s">
        <v>204</v>
      </c>
      <c r="I48" s="1" t="s">
        <v>205</v>
      </c>
      <c r="J48" s="1" t="s">
        <v>90</v>
      </c>
      <c r="K48" t="s">
        <v>116</v>
      </c>
      <c r="M48" s="1" t="s">
        <v>35</v>
      </c>
      <c r="N48" s="1">
        <v>42318949</v>
      </c>
      <c r="O48" s="1" t="s">
        <v>105</v>
      </c>
      <c r="P48" s="11" t="s">
        <v>206</v>
      </c>
      <c r="R48" s="1" t="s">
        <v>38</v>
      </c>
      <c r="T48" s="1" t="s">
        <v>74</v>
      </c>
      <c r="U48" s="11" t="s">
        <v>201</v>
      </c>
      <c r="V48" s="1" t="s">
        <v>41</v>
      </c>
      <c r="W48" s="1" t="s">
        <v>49</v>
      </c>
      <c r="X48" s="13" t="str">
        <f t="shared" si="5"/>
        <v/>
      </c>
      <c r="Y48" s="2">
        <f t="shared" ca="1" si="0"/>
        <v>395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 t="str">
        <f t="shared" si="6"/>
        <v xml:space="preserve"> RINALDO </v>
      </c>
      <c r="AD48" s="2">
        <f t="shared" si="3"/>
        <v>8</v>
      </c>
      <c r="AE48" s="2">
        <f t="shared" ca="1" si="4"/>
        <v>-551.9262716435187</v>
      </c>
      <c r="AF48" s="15"/>
    </row>
    <row r="49" spans="1:32">
      <c r="A49" s="1">
        <v>7149319</v>
      </c>
      <c r="B49" s="1" t="s">
        <v>101</v>
      </c>
      <c r="C49" t="s">
        <v>207</v>
      </c>
      <c r="E49" s="2">
        <v>9700000206215</v>
      </c>
      <c r="F49" s="1" t="s">
        <v>208</v>
      </c>
      <c r="G49" s="1" t="s">
        <v>53</v>
      </c>
      <c r="H49" s="1" t="s">
        <v>209</v>
      </c>
      <c r="I49" s="1" t="s">
        <v>210</v>
      </c>
      <c r="J49" s="1" t="s">
        <v>211</v>
      </c>
      <c r="K49" t="s">
        <v>212</v>
      </c>
      <c r="M49" s="1" t="s">
        <v>35</v>
      </c>
      <c r="N49" s="1">
        <v>42318949</v>
      </c>
      <c r="O49" s="1" t="s">
        <v>105</v>
      </c>
      <c r="P49" s="11" t="s">
        <v>213</v>
      </c>
      <c r="R49" s="1" t="s">
        <v>38</v>
      </c>
      <c r="T49" s="1" t="s">
        <v>74</v>
      </c>
      <c r="U49" s="11" t="s">
        <v>201</v>
      </c>
      <c r="V49" s="1" t="s">
        <v>41</v>
      </c>
      <c r="W49" s="1" t="s">
        <v>49</v>
      </c>
      <c r="X49" s="13" t="str">
        <f t="shared" si="5"/>
        <v/>
      </c>
      <c r="Y49" s="2">
        <f t="shared" ca="1" si="0"/>
        <v>395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 t="str">
        <f t="shared" si="6"/>
        <v xml:space="preserve"> RINALDO </v>
      </c>
      <c r="AD49" s="2">
        <f t="shared" si="3"/>
        <v>8</v>
      </c>
      <c r="AE49" s="2">
        <f t="shared" ca="1" si="4"/>
        <v>-551.9262716435187</v>
      </c>
      <c r="AF49" s="15"/>
    </row>
    <row r="50" spans="1:32">
      <c r="A50" s="1">
        <v>7148873</v>
      </c>
      <c r="B50" s="1" t="s">
        <v>101</v>
      </c>
      <c r="C50" t="s">
        <v>207</v>
      </c>
      <c r="E50" s="2">
        <v>9700000206206</v>
      </c>
      <c r="F50" s="1" t="s">
        <v>208</v>
      </c>
      <c r="G50" s="1" t="s">
        <v>53</v>
      </c>
      <c r="H50" s="1" t="s">
        <v>209</v>
      </c>
      <c r="I50" s="1" t="s">
        <v>210</v>
      </c>
      <c r="J50" s="1" t="s">
        <v>211</v>
      </c>
      <c r="K50" t="s">
        <v>212</v>
      </c>
      <c r="M50" s="1" t="s">
        <v>35</v>
      </c>
      <c r="N50" s="1">
        <v>42318949</v>
      </c>
      <c r="O50" s="1" t="s">
        <v>105</v>
      </c>
      <c r="P50" s="11" t="s">
        <v>214</v>
      </c>
      <c r="R50" s="1" t="s">
        <v>38</v>
      </c>
      <c r="T50" s="1" t="s">
        <v>74</v>
      </c>
      <c r="U50" s="11" t="s">
        <v>201</v>
      </c>
      <c r="V50" s="1" t="s">
        <v>41</v>
      </c>
      <c r="W50" s="1" t="s">
        <v>49</v>
      </c>
      <c r="X50" s="13" t="str">
        <f t="shared" si="5"/>
        <v/>
      </c>
      <c r="Y50" s="2">
        <f t="shared" ca="1" si="0"/>
        <v>395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 t="str">
        <f t="shared" si="6"/>
        <v xml:space="preserve"> RINALDO </v>
      </c>
      <c r="AD50" s="2">
        <f t="shared" si="3"/>
        <v>8</v>
      </c>
      <c r="AE50" s="2">
        <f t="shared" ca="1" si="4"/>
        <v>-551.9262716435187</v>
      </c>
      <c r="AF50" s="15"/>
    </row>
    <row r="51" spans="1:32">
      <c r="A51" s="1">
        <v>7148559</v>
      </c>
      <c r="B51" s="1" t="s">
        <v>101</v>
      </c>
      <c r="C51" t="s">
        <v>207</v>
      </c>
      <c r="E51" s="2">
        <v>9700000206208</v>
      </c>
      <c r="F51" s="1" t="s">
        <v>208</v>
      </c>
      <c r="G51" s="1" t="s">
        <v>53</v>
      </c>
      <c r="H51" s="1" t="s">
        <v>209</v>
      </c>
      <c r="I51" s="1" t="s">
        <v>210</v>
      </c>
      <c r="J51" s="1" t="s">
        <v>211</v>
      </c>
      <c r="K51" t="s">
        <v>212</v>
      </c>
      <c r="M51" s="1" t="s">
        <v>35</v>
      </c>
      <c r="N51" s="1">
        <v>42318949</v>
      </c>
      <c r="O51" s="1" t="s">
        <v>105</v>
      </c>
      <c r="P51" s="186">
        <v>44434.400891203702</v>
      </c>
      <c r="R51" s="1" t="s">
        <v>38</v>
      </c>
      <c r="T51" s="1" t="s">
        <v>74</v>
      </c>
      <c r="U51" s="186">
        <v>44434.75</v>
      </c>
      <c r="V51" s="1" t="s">
        <v>41</v>
      </c>
      <c r="W51" s="1" t="s">
        <v>49</v>
      </c>
      <c r="X51" s="13" t="str">
        <f t="shared" si="5"/>
        <v/>
      </c>
      <c r="Y51" s="2">
        <f t="shared" ca="1" si="0"/>
        <v>395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 t="str">
        <f t="shared" si="6"/>
        <v xml:space="preserve"> RINALDO </v>
      </c>
      <c r="AD51" s="2">
        <f t="shared" si="3"/>
        <v>8</v>
      </c>
      <c r="AE51" s="2">
        <f t="shared" ca="1" si="4"/>
        <v>-551.9262716435187</v>
      </c>
      <c r="AF51" s="15"/>
    </row>
    <row r="52" spans="1:32">
      <c r="A52" s="1">
        <v>7148259</v>
      </c>
      <c r="B52" s="1" t="s">
        <v>101</v>
      </c>
      <c r="C52" t="s">
        <v>207</v>
      </c>
      <c r="E52" s="2">
        <v>9700000206202</v>
      </c>
      <c r="F52" s="1" t="s">
        <v>208</v>
      </c>
      <c r="G52" s="1" t="s">
        <v>53</v>
      </c>
      <c r="H52" s="1" t="s">
        <v>209</v>
      </c>
      <c r="I52" s="1" t="s">
        <v>210</v>
      </c>
      <c r="J52" s="1" t="s">
        <v>211</v>
      </c>
      <c r="K52" t="s">
        <v>212</v>
      </c>
      <c r="M52" s="1" t="s">
        <v>35</v>
      </c>
      <c r="N52" s="1">
        <v>42318949</v>
      </c>
      <c r="O52" s="1" t="s">
        <v>105</v>
      </c>
      <c r="P52" s="12">
        <v>44434.400416666664</v>
      </c>
      <c r="R52" s="1" t="s">
        <v>38</v>
      </c>
      <c r="T52" s="1" t="s">
        <v>74</v>
      </c>
      <c r="U52" s="12">
        <v>44434.75</v>
      </c>
      <c r="V52" s="1" t="s">
        <v>41</v>
      </c>
      <c r="W52" s="1" t="s">
        <v>49</v>
      </c>
      <c r="X52" s="13" t="str">
        <f t="shared" si="5"/>
        <v/>
      </c>
      <c r="Y52" s="2">
        <f t="shared" ca="1" si="0"/>
        <v>395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 t="str">
        <f t="shared" si="6"/>
        <v xml:space="preserve"> RINALDO </v>
      </c>
      <c r="AD52" s="2">
        <f t="shared" si="3"/>
        <v>8</v>
      </c>
      <c r="AE52" s="2">
        <f t="shared" ca="1" si="4"/>
        <v>-551.9262716435187</v>
      </c>
      <c r="AF52" s="15"/>
    </row>
    <row r="53" spans="1:32">
      <c r="A53" s="1">
        <v>7148258</v>
      </c>
      <c r="B53" s="1" t="s">
        <v>101</v>
      </c>
      <c r="C53" t="s">
        <v>207</v>
      </c>
      <c r="E53" s="2">
        <v>9700000206200</v>
      </c>
      <c r="F53" s="1" t="s">
        <v>208</v>
      </c>
      <c r="G53" s="1" t="s">
        <v>53</v>
      </c>
      <c r="H53" s="1" t="s">
        <v>209</v>
      </c>
      <c r="I53" s="1" t="s">
        <v>210</v>
      </c>
      <c r="J53" s="1" t="s">
        <v>211</v>
      </c>
      <c r="K53" t="s">
        <v>212</v>
      </c>
      <c r="M53" s="1" t="s">
        <v>35</v>
      </c>
      <c r="N53" s="1">
        <v>42318949</v>
      </c>
      <c r="O53" s="1" t="s">
        <v>105</v>
      </c>
      <c r="P53" s="11" t="s">
        <v>215</v>
      </c>
      <c r="R53" s="1" t="s">
        <v>38</v>
      </c>
      <c r="T53" s="1" t="s">
        <v>74</v>
      </c>
      <c r="U53" s="11" t="s">
        <v>201</v>
      </c>
      <c r="V53" s="1" t="s">
        <v>41</v>
      </c>
      <c r="W53" s="1" t="s">
        <v>49</v>
      </c>
      <c r="X53" s="13" t="str">
        <f t="shared" si="5"/>
        <v/>
      </c>
      <c r="Y53" s="2">
        <f t="shared" ca="1" si="0"/>
        <v>395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 t="str">
        <f t="shared" si="6"/>
        <v xml:space="preserve"> RINALDO </v>
      </c>
      <c r="AD53" s="2">
        <f t="shared" si="3"/>
        <v>8</v>
      </c>
      <c r="AE53" s="2">
        <f t="shared" ca="1" si="4"/>
        <v>-551.9262716435187</v>
      </c>
      <c r="AF53" s="15"/>
    </row>
    <row r="54" spans="1:32">
      <c r="A54" s="1">
        <v>7148018</v>
      </c>
      <c r="B54" s="1" t="s">
        <v>101</v>
      </c>
      <c r="C54" t="s">
        <v>207</v>
      </c>
      <c r="E54" s="2">
        <v>9700000206214</v>
      </c>
      <c r="F54" s="1" t="s">
        <v>208</v>
      </c>
      <c r="G54" s="1" t="s">
        <v>53</v>
      </c>
      <c r="H54" s="1" t="s">
        <v>209</v>
      </c>
      <c r="I54" s="1" t="s">
        <v>210</v>
      </c>
      <c r="J54" s="1" t="s">
        <v>211</v>
      </c>
      <c r="K54" t="s">
        <v>212</v>
      </c>
      <c r="M54" s="1" t="s">
        <v>35</v>
      </c>
      <c r="N54" s="1">
        <v>42318949</v>
      </c>
      <c r="O54" s="1" t="s">
        <v>105</v>
      </c>
      <c r="P54" s="11" t="s">
        <v>216</v>
      </c>
      <c r="R54" s="1" t="s">
        <v>38</v>
      </c>
      <c r="T54" s="1" t="s">
        <v>74</v>
      </c>
      <c r="U54" s="11" t="s">
        <v>201</v>
      </c>
      <c r="V54" s="1" t="s">
        <v>41</v>
      </c>
      <c r="W54" s="1" t="s">
        <v>49</v>
      </c>
      <c r="X54" s="13" t="str">
        <f t="shared" si="5"/>
        <v/>
      </c>
      <c r="Y54" s="2">
        <f t="shared" ca="1" si="0"/>
        <v>395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 t="str">
        <f t="shared" si="6"/>
        <v xml:space="preserve"> RINALDO </v>
      </c>
      <c r="AD54" s="2">
        <f t="shared" si="3"/>
        <v>8</v>
      </c>
      <c r="AE54" s="2">
        <f t="shared" ca="1" si="4"/>
        <v>-551.9262716435187</v>
      </c>
      <c r="AF54" s="15"/>
    </row>
    <row r="55" spans="1:32">
      <c r="A55" s="1">
        <v>7147788</v>
      </c>
      <c r="B55" s="1" t="s">
        <v>101</v>
      </c>
      <c r="C55" t="s">
        <v>207</v>
      </c>
      <c r="E55" s="2">
        <v>9700000206219</v>
      </c>
      <c r="F55" s="1" t="s">
        <v>208</v>
      </c>
      <c r="G55" s="1" t="s">
        <v>53</v>
      </c>
      <c r="H55" s="1" t="s">
        <v>209</v>
      </c>
      <c r="I55" s="1" t="s">
        <v>210</v>
      </c>
      <c r="J55" s="1" t="s">
        <v>211</v>
      </c>
      <c r="K55" t="s">
        <v>212</v>
      </c>
      <c r="M55" s="1" t="s">
        <v>35</v>
      </c>
      <c r="N55" s="1">
        <v>42318949</v>
      </c>
      <c r="O55" s="1" t="s">
        <v>105</v>
      </c>
      <c r="P55" s="11" t="s">
        <v>217</v>
      </c>
      <c r="R55" s="1" t="s">
        <v>38</v>
      </c>
      <c r="T55" s="1" t="s">
        <v>74</v>
      </c>
      <c r="U55" s="11" t="s">
        <v>201</v>
      </c>
      <c r="V55" s="1" t="s">
        <v>41</v>
      </c>
      <c r="W55" s="1" t="s">
        <v>49</v>
      </c>
      <c r="X55" s="13" t="str">
        <f t="shared" si="5"/>
        <v/>
      </c>
      <c r="Y55" s="2">
        <f t="shared" ca="1" si="0"/>
        <v>395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 t="str">
        <f t="shared" si="6"/>
        <v xml:space="preserve"> RINALDO </v>
      </c>
      <c r="AD55" s="2">
        <f t="shared" si="3"/>
        <v>8</v>
      </c>
      <c r="AE55" s="2">
        <f t="shared" ca="1" si="4"/>
        <v>-551.9262716435187</v>
      </c>
      <c r="AF55" s="15"/>
    </row>
    <row r="56" spans="1:32">
      <c r="A56" s="1">
        <v>7147787</v>
      </c>
      <c r="B56" s="1" t="s">
        <v>101</v>
      </c>
      <c r="C56" t="s">
        <v>207</v>
      </c>
      <c r="E56" s="2">
        <v>9700000206210</v>
      </c>
      <c r="F56" s="1" t="s">
        <v>208</v>
      </c>
      <c r="G56" s="1" t="s">
        <v>53</v>
      </c>
      <c r="H56" s="1" t="s">
        <v>209</v>
      </c>
      <c r="I56" s="1" t="s">
        <v>210</v>
      </c>
      <c r="J56" s="1" t="s">
        <v>211</v>
      </c>
      <c r="K56" t="s">
        <v>212</v>
      </c>
      <c r="M56" s="1" t="s">
        <v>35</v>
      </c>
      <c r="N56" s="1">
        <v>42318949</v>
      </c>
      <c r="O56" s="1" t="s">
        <v>105</v>
      </c>
      <c r="P56" s="11" t="s">
        <v>217</v>
      </c>
      <c r="R56" s="1" t="s">
        <v>38</v>
      </c>
      <c r="T56" s="1" t="s">
        <v>74</v>
      </c>
      <c r="U56" s="11" t="s">
        <v>201</v>
      </c>
      <c r="V56" s="1" t="s">
        <v>41</v>
      </c>
      <c r="W56" s="1" t="s">
        <v>49</v>
      </c>
      <c r="X56" s="13" t="str">
        <f t="shared" si="5"/>
        <v/>
      </c>
      <c r="Y56" s="2">
        <f t="shared" ca="1" si="0"/>
        <v>395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 t="str">
        <f t="shared" si="6"/>
        <v xml:space="preserve"> RINALDO </v>
      </c>
      <c r="AD56" s="2">
        <f t="shared" si="3"/>
        <v>8</v>
      </c>
      <c r="AE56" s="2">
        <f t="shared" ca="1" si="4"/>
        <v>-551.9262716435187</v>
      </c>
      <c r="AF56" s="15"/>
    </row>
    <row r="57" spans="1:32">
      <c r="A57" s="1">
        <v>7146947</v>
      </c>
      <c r="B57" s="1" t="s">
        <v>101</v>
      </c>
      <c r="C57" t="s">
        <v>207</v>
      </c>
      <c r="E57" s="2">
        <v>9700000206218</v>
      </c>
      <c r="F57" s="1" t="s">
        <v>208</v>
      </c>
      <c r="G57" s="1" t="s">
        <v>53</v>
      </c>
      <c r="H57" s="1" t="s">
        <v>209</v>
      </c>
      <c r="I57" s="1" t="s">
        <v>210</v>
      </c>
      <c r="J57" s="1" t="s">
        <v>211</v>
      </c>
      <c r="K57" t="s">
        <v>212</v>
      </c>
      <c r="M57" s="1" t="s">
        <v>35</v>
      </c>
      <c r="N57" s="1">
        <v>42318949</v>
      </c>
      <c r="O57" s="1" t="s">
        <v>105</v>
      </c>
      <c r="P57" s="11" t="s">
        <v>218</v>
      </c>
      <c r="R57" s="1" t="s">
        <v>38</v>
      </c>
      <c r="T57" s="1" t="s">
        <v>74</v>
      </c>
      <c r="U57" s="11" t="s">
        <v>201</v>
      </c>
      <c r="V57" s="1" t="s">
        <v>41</v>
      </c>
      <c r="W57" s="1" t="s">
        <v>49</v>
      </c>
      <c r="X57" s="13" t="str">
        <f t="shared" si="5"/>
        <v/>
      </c>
      <c r="Y57" s="2">
        <f t="shared" ca="1" si="0"/>
        <v>395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 t="str">
        <f t="shared" si="6"/>
        <v xml:space="preserve"> RINALDO </v>
      </c>
      <c r="AD57" s="2">
        <f t="shared" si="3"/>
        <v>8</v>
      </c>
      <c r="AE57" s="2">
        <f t="shared" ca="1" si="4"/>
        <v>-551.9262716435187</v>
      </c>
      <c r="AF57" s="15"/>
    </row>
    <row r="58" spans="1:32">
      <c r="A58" s="1">
        <v>7146818</v>
      </c>
      <c r="B58" s="1" t="s">
        <v>101</v>
      </c>
      <c r="C58" t="s">
        <v>207</v>
      </c>
      <c r="E58" s="2">
        <v>9700000206203</v>
      </c>
      <c r="F58" s="1" t="s">
        <v>208</v>
      </c>
      <c r="G58" s="1" t="s">
        <v>53</v>
      </c>
      <c r="H58" s="1" t="s">
        <v>209</v>
      </c>
      <c r="I58" s="1" t="s">
        <v>210</v>
      </c>
      <c r="J58" s="1" t="s">
        <v>211</v>
      </c>
      <c r="K58" t="s">
        <v>212</v>
      </c>
      <c r="M58" s="1" t="s">
        <v>35</v>
      </c>
      <c r="N58" s="1">
        <v>42318949</v>
      </c>
      <c r="O58" s="1" t="s">
        <v>105</v>
      </c>
      <c r="P58" s="11" t="s">
        <v>219</v>
      </c>
      <c r="R58" s="1" t="s">
        <v>38</v>
      </c>
      <c r="T58" s="1" t="s">
        <v>74</v>
      </c>
      <c r="U58" s="11" t="s">
        <v>201</v>
      </c>
      <c r="V58" s="1" t="s">
        <v>41</v>
      </c>
      <c r="W58" s="1" t="s">
        <v>49</v>
      </c>
      <c r="X58" s="13" t="str">
        <f t="shared" si="5"/>
        <v/>
      </c>
      <c r="Y58" s="2">
        <f t="shared" ca="1" si="0"/>
        <v>395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 t="str">
        <f t="shared" si="6"/>
        <v xml:space="preserve"> RINALDO </v>
      </c>
      <c r="AD58" s="2">
        <f t="shared" si="3"/>
        <v>8</v>
      </c>
      <c r="AE58" s="2">
        <f t="shared" ca="1" si="4"/>
        <v>-551.9262716435187</v>
      </c>
      <c r="AF58" s="15"/>
    </row>
    <row r="59" spans="1:32">
      <c r="A59" s="1">
        <v>7146758</v>
      </c>
      <c r="B59" s="1" t="s">
        <v>101</v>
      </c>
      <c r="C59" t="s">
        <v>207</v>
      </c>
      <c r="E59" s="2">
        <v>9700000206201</v>
      </c>
      <c r="F59" s="1" t="s">
        <v>208</v>
      </c>
      <c r="G59" s="1" t="s">
        <v>53</v>
      </c>
      <c r="H59" s="1" t="s">
        <v>209</v>
      </c>
      <c r="I59" s="1" t="s">
        <v>210</v>
      </c>
      <c r="J59" s="1" t="s">
        <v>211</v>
      </c>
      <c r="K59" t="s">
        <v>212</v>
      </c>
      <c r="M59" s="1" t="s">
        <v>35</v>
      </c>
      <c r="N59" s="1">
        <v>42318949</v>
      </c>
      <c r="O59" s="1" t="s">
        <v>105</v>
      </c>
      <c r="P59" s="11" t="s">
        <v>220</v>
      </c>
      <c r="R59" s="1" t="s">
        <v>38</v>
      </c>
      <c r="T59" s="1" t="s">
        <v>74</v>
      </c>
      <c r="U59" s="11" t="s">
        <v>201</v>
      </c>
      <c r="V59" s="1" t="s">
        <v>41</v>
      </c>
      <c r="W59" s="1" t="s">
        <v>49</v>
      </c>
      <c r="X59" s="13" t="str">
        <f t="shared" si="5"/>
        <v/>
      </c>
      <c r="Y59" s="2">
        <f t="shared" ca="1" si="0"/>
        <v>395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 t="str">
        <f t="shared" si="6"/>
        <v xml:space="preserve"> RINALDO </v>
      </c>
      <c r="AD59" s="2">
        <f t="shared" si="3"/>
        <v>8</v>
      </c>
      <c r="AE59" s="2">
        <f t="shared" ca="1" si="4"/>
        <v>-551.9262716435187</v>
      </c>
      <c r="AF59" s="15"/>
    </row>
    <row r="60" spans="1:32">
      <c r="A60" s="1">
        <v>7146156</v>
      </c>
      <c r="B60" s="1" t="s">
        <v>101</v>
      </c>
      <c r="C60" t="s">
        <v>207</v>
      </c>
      <c r="E60" s="2">
        <v>9700000206205</v>
      </c>
      <c r="F60" s="1" t="s">
        <v>208</v>
      </c>
      <c r="G60" s="1" t="s">
        <v>53</v>
      </c>
      <c r="H60" s="1" t="s">
        <v>209</v>
      </c>
      <c r="I60" s="1" t="s">
        <v>210</v>
      </c>
      <c r="J60" s="1" t="s">
        <v>211</v>
      </c>
      <c r="K60" t="s">
        <v>212</v>
      </c>
      <c r="M60" s="1" t="s">
        <v>35</v>
      </c>
      <c r="N60" s="1">
        <v>42318949</v>
      </c>
      <c r="O60" s="1" t="s">
        <v>105</v>
      </c>
      <c r="P60" s="11" t="s">
        <v>221</v>
      </c>
      <c r="R60" s="1" t="s">
        <v>38</v>
      </c>
      <c r="T60" s="1" t="s">
        <v>74</v>
      </c>
      <c r="U60" s="11" t="s">
        <v>201</v>
      </c>
      <c r="V60" s="1" t="s">
        <v>41</v>
      </c>
      <c r="W60" s="1" t="s">
        <v>49</v>
      </c>
      <c r="X60" s="13" t="str">
        <f t="shared" si="5"/>
        <v/>
      </c>
      <c r="Y60" s="2">
        <f t="shared" ca="1" si="0"/>
        <v>395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 t="str">
        <f t="shared" si="6"/>
        <v xml:space="preserve"> RINALDO </v>
      </c>
      <c r="AD60" s="2">
        <f t="shared" si="3"/>
        <v>8</v>
      </c>
      <c r="AE60" s="2">
        <f t="shared" ca="1" si="4"/>
        <v>-551.9262716435187</v>
      </c>
      <c r="AF60" s="15"/>
    </row>
    <row r="61" spans="1:32">
      <c r="A61" s="1">
        <v>7145602</v>
      </c>
      <c r="B61" s="1" t="s">
        <v>101</v>
      </c>
      <c r="C61" t="s">
        <v>207</v>
      </c>
      <c r="E61" s="2">
        <v>9700000206207</v>
      </c>
      <c r="F61" s="1" t="s">
        <v>208</v>
      </c>
      <c r="G61" s="1" t="s">
        <v>53</v>
      </c>
      <c r="H61" s="1" t="s">
        <v>209</v>
      </c>
      <c r="I61" s="1" t="s">
        <v>210</v>
      </c>
      <c r="J61" s="1" t="s">
        <v>211</v>
      </c>
      <c r="K61" t="s">
        <v>212</v>
      </c>
      <c r="M61" s="1" t="s">
        <v>35</v>
      </c>
      <c r="N61" s="1">
        <v>42318949</v>
      </c>
      <c r="O61" s="1" t="s">
        <v>105</v>
      </c>
      <c r="P61" s="11" t="s">
        <v>222</v>
      </c>
      <c r="R61" s="1" t="s">
        <v>38</v>
      </c>
      <c r="T61" s="1" t="s">
        <v>74</v>
      </c>
      <c r="U61" s="11" t="s">
        <v>201</v>
      </c>
      <c r="V61" s="1" t="s">
        <v>41</v>
      </c>
      <c r="W61" s="1" t="s">
        <v>49</v>
      </c>
      <c r="X61" s="13" t="str">
        <f t="shared" si="5"/>
        <v/>
      </c>
      <c r="Y61" s="2">
        <f t="shared" ca="1" si="0"/>
        <v>395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 t="str">
        <f t="shared" si="6"/>
        <v xml:space="preserve"> RINALDO </v>
      </c>
      <c r="AD61" s="2">
        <f t="shared" si="3"/>
        <v>8</v>
      </c>
      <c r="AE61" s="2">
        <f t="shared" ca="1" si="4"/>
        <v>-551.9262716435187</v>
      </c>
      <c r="AF61" s="15"/>
    </row>
    <row r="62" spans="1:32">
      <c r="A62" s="1">
        <v>7145601</v>
      </c>
      <c r="B62" s="1" t="s">
        <v>101</v>
      </c>
      <c r="C62" t="s">
        <v>207</v>
      </c>
      <c r="E62" s="2">
        <v>9700000206204</v>
      </c>
      <c r="F62" s="1" t="s">
        <v>208</v>
      </c>
      <c r="G62" s="1" t="s">
        <v>53</v>
      </c>
      <c r="H62" s="1" t="s">
        <v>209</v>
      </c>
      <c r="I62" s="1" t="s">
        <v>210</v>
      </c>
      <c r="J62" s="1" t="s">
        <v>211</v>
      </c>
      <c r="K62" t="s">
        <v>212</v>
      </c>
      <c r="M62" s="1" t="s">
        <v>35</v>
      </c>
      <c r="N62" s="1">
        <v>42318949</v>
      </c>
      <c r="O62" s="1" t="s">
        <v>105</v>
      </c>
      <c r="P62" s="11" t="s">
        <v>222</v>
      </c>
      <c r="R62" s="1" t="s">
        <v>38</v>
      </c>
      <c r="T62" s="1" t="s">
        <v>74</v>
      </c>
      <c r="U62" s="11" t="s">
        <v>201</v>
      </c>
      <c r="V62" s="1" t="s">
        <v>41</v>
      </c>
      <c r="W62" s="1" t="s">
        <v>49</v>
      </c>
      <c r="X62" s="13" t="str">
        <f t="shared" si="5"/>
        <v/>
      </c>
      <c r="Y62" s="2">
        <f t="shared" ca="1" si="0"/>
        <v>395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 t="str">
        <f t="shared" si="6"/>
        <v xml:space="preserve"> RINALDO </v>
      </c>
      <c r="AD62" s="2">
        <f t="shared" si="3"/>
        <v>8</v>
      </c>
      <c r="AE62" s="2">
        <f t="shared" ca="1" si="4"/>
        <v>-551.9262716435187</v>
      </c>
      <c r="AF62" s="15"/>
    </row>
    <row r="63" spans="1:32">
      <c r="A63" s="1">
        <v>7145296</v>
      </c>
      <c r="B63" s="1" t="s">
        <v>101</v>
      </c>
      <c r="C63" t="s">
        <v>207</v>
      </c>
      <c r="E63" s="2">
        <v>9700000206213</v>
      </c>
      <c r="F63" s="1" t="s">
        <v>208</v>
      </c>
      <c r="G63" s="1" t="s">
        <v>53</v>
      </c>
      <c r="H63" s="1" t="s">
        <v>209</v>
      </c>
      <c r="I63" s="1" t="s">
        <v>210</v>
      </c>
      <c r="J63" s="1" t="s">
        <v>211</v>
      </c>
      <c r="K63" t="s">
        <v>212</v>
      </c>
      <c r="M63" s="1" t="s">
        <v>35</v>
      </c>
      <c r="N63" s="1">
        <v>42318949</v>
      </c>
      <c r="O63" s="1" t="s">
        <v>105</v>
      </c>
      <c r="P63" s="11" t="s">
        <v>223</v>
      </c>
      <c r="R63" s="1" t="s">
        <v>38</v>
      </c>
      <c r="T63" s="1" t="s">
        <v>74</v>
      </c>
      <c r="U63" s="11" t="s">
        <v>201</v>
      </c>
      <c r="V63" s="1" t="s">
        <v>41</v>
      </c>
      <c r="W63" s="1" t="s">
        <v>49</v>
      </c>
      <c r="X63" s="13" t="str">
        <f t="shared" si="5"/>
        <v/>
      </c>
      <c r="Y63" s="2">
        <f t="shared" ca="1" si="0"/>
        <v>395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 t="str">
        <f t="shared" si="6"/>
        <v xml:space="preserve"> RINALDO </v>
      </c>
      <c r="AD63" s="2">
        <f t="shared" si="3"/>
        <v>8</v>
      </c>
      <c r="AE63" s="2">
        <f t="shared" ca="1" si="4"/>
        <v>-551.9262716435187</v>
      </c>
      <c r="AF63" s="15"/>
    </row>
    <row r="64" spans="1:32">
      <c r="A64" s="1">
        <v>7144762</v>
      </c>
      <c r="B64" s="1" t="s">
        <v>101</v>
      </c>
      <c r="C64" t="s">
        <v>207</v>
      </c>
      <c r="E64" s="2">
        <v>9700000206212</v>
      </c>
      <c r="F64" s="1" t="s">
        <v>208</v>
      </c>
      <c r="G64" s="1" t="s">
        <v>53</v>
      </c>
      <c r="H64" s="1" t="s">
        <v>209</v>
      </c>
      <c r="I64" s="1" t="s">
        <v>210</v>
      </c>
      <c r="J64" s="1" t="s">
        <v>211</v>
      </c>
      <c r="K64" t="s">
        <v>212</v>
      </c>
      <c r="M64" s="1" t="s">
        <v>35</v>
      </c>
      <c r="N64" s="1">
        <v>42318949</v>
      </c>
      <c r="O64" s="1" t="s">
        <v>105</v>
      </c>
      <c r="P64" s="11" t="s">
        <v>224</v>
      </c>
      <c r="R64" s="1" t="s">
        <v>38</v>
      </c>
      <c r="T64" s="1" t="s">
        <v>74</v>
      </c>
      <c r="U64" s="11" t="s">
        <v>201</v>
      </c>
      <c r="V64" s="1" t="s">
        <v>41</v>
      </c>
      <c r="W64" s="1" t="s">
        <v>49</v>
      </c>
      <c r="X64" s="13" t="str">
        <f t="shared" si="5"/>
        <v/>
      </c>
      <c r="Y64" s="2">
        <f t="shared" ca="1" si="0"/>
        <v>395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 t="str">
        <f t="shared" si="6"/>
        <v xml:space="preserve"> RINALDO </v>
      </c>
      <c r="AD64" s="2">
        <f t="shared" si="3"/>
        <v>8</v>
      </c>
      <c r="AE64" s="2">
        <f t="shared" ca="1" si="4"/>
        <v>-551.9262716435187</v>
      </c>
      <c r="AF64" s="15"/>
    </row>
    <row r="65" spans="1:32">
      <c r="A65" s="1">
        <v>7144761</v>
      </c>
      <c r="B65" s="1" t="s">
        <v>101</v>
      </c>
      <c r="C65" t="s">
        <v>207</v>
      </c>
      <c r="E65" s="2">
        <v>9700000206209</v>
      </c>
      <c r="F65" s="1" t="s">
        <v>208</v>
      </c>
      <c r="G65" s="1" t="s">
        <v>53</v>
      </c>
      <c r="H65" s="1" t="s">
        <v>209</v>
      </c>
      <c r="I65" s="1" t="s">
        <v>210</v>
      </c>
      <c r="J65" s="1" t="s">
        <v>211</v>
      </c>
      <c r="K65" t="s">
        <v>212</v>
      </c>
      <c r="M65" s="1" t="s">
        <v>35</v>
      </c>
      <c r="N65" s="1">
        <v>42318949</v>
      </c>
      <c r="O65" s="1" t="s">
        <v>105</v>
      </c>
      <c r="P65" s="11" t="s">
        <v>224</v>
      </c>
      <c r="R65" s="1" t="s">
        <v>38</v>
      </c>
      <c r="T65" s="1" t="s">
        <v>74</v>
      </c>
      <c r="U65" s="11" t="s">
        <v>201</v>
      </c>
      <c r="V65" s="1" t="s">
        <v>41</v>
      </c>
      <c r="W65" s="1" t="s">
        <v>49</v>
      </c>
      <c r="X65" s="13" t="str">
        <f t="shared" si="5"/>
        <v/>
      </c>
      <c r="Y65" s="2">
        <f t="shared" ca="1" si="0"/>
        <v>395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 t="str">
        <f t="shared" si="6"/>
        <v xml:space="preserve"> RINALDO </v>
      </c>
      <c r="AD65" s="2">
        <f t="shared" si="3"/>
        <v>8</v>
      </c>
      <c r="AE65" s="2">
        <f t="shared" ca="1" si="4"/>
        <v>-551.9262716435187</v>
      </c>
      <c r="AF65" s="15"/>
    </row>
    <row r="66" spans="1:32">
      <c r="A66" s="1">
        <v>7144466</v>
      </c>
      <c r="B66" s="1" t="s">
        <v>101</v>
      </c>
      <c r="C66" t="s">
        <v>207</v>
      </c>
      <c r="E66" s="2">
        <v>9700000206217</v>
      </c>
      <c r="F66" s="1" t="s">
        <v>208</v>
      </c>
      <c r="G66" s="1" t="s">
        <v>53</v>
      </c>
      <c r="H66" s="1" t="s">
        <v>209</v>
      </c>
      <c r="I66" s="1" t="s">
        <v>210</v>
      </c>
      <c r="J66" s="1" t="s">
        <v>211</v>
      </c>
      <c r="K66" t="s">
        <v>212</v>
      </c>
      <c r="M66" s="1" t="s">
        <v>35</v>
      </c>
      <c r="N66" s="1">
        <v>42318949</v>
      </c>
      <c r="O66" s="1" t="s">
        <v>105</v>
      </c>
      <c r="P66" s="11" t="s">
        <v>225</v>
      </c>
      <c r="R66" s="1" t="s">
        <v>38</v>
      </c>
      <c r="T66" s="1" t="s">
        <v>74</v>
      </c>
      <c r="U66" s="11" t="s">
        <v>201</v>
      </c>
      <c r="V66" s="1" t="s">
        <v>41</v>
      </c>
      <c r="W66" s="1" t="s">
        <v>49</v>
      </c>
      <c r="X66" s="13" t="str">
        <f t="shared" si="5"/>
        <v/>
      </c>
      <c r="Y66" s="2">
        <f t="shared" ref="Y66:Y129" ca="1" si="7">NETWORKDAYS(P66,$Y$1)</f>
        <v>395</v>
      </c>
      <c r="Z66" s="14">
        <v>1</v>
      </c>
      <c r="AA66" s="1" t="str">
        <f t="shared" ref="AA66:AA129" ca="1" si="8">IF(AE66=0,"HOJE",IF(AE66&gt;0,"A VENCER",IF(AE66&lt;0,"VENCIDO")))</f>
        <v>VENCIDO</v>
      </c>
      <c r="AB66" s="1" t="str">
        <f t="shared" ref="AB66:AB129" si="9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 t="str">
        <f t="shared" si="6"/>
        <v xml:space="preserve"> RINALDO </v>
      </c>
      <c r="AD66" s="2">
        <f t="shared" ref="AD66:AD129" si="10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1">IF(U66=$AE$1,"",U66-$AE$1)</f>
        <v>-551.9262716435187</v>
      </c>
      <c r="AF66" s="15"/>
    </row>
    <row r="67" spans="1:32">
      <c r="A67" s="1">
        <v>7144465</v>
      </c>
      <c r="B67" s="1" t="s">
        <v>101</v>
      </c>
      <c r="C67" t="s">
        <v>207</v>
      </c>
      <c r="E67" s="2">
        <v>9700000206216</v>
      </c>
      <c r="F67" s="1" t="s">
        <v>208</v>
      </c>
      <c r="G67" s="1" t="s">
        <v>53</v>
      </c>
      <c r="H67" s="1" t="s">
        <v>209</v>
      </c>
      <c r="I67" s="1" t="s">
        <v>210</v>
      </c>
      <c r="J67" s="1" t="s">
        <v>211</v>
      </c>
      <c r="K67" t="s">
        <v>212</v>
      </c>
      <c r="M67" s="1" t="s">
        <v>35</v>
      </c>
      <c r="N67" s="1">
        <v>42318949</v>
      </c>
      <c r="O67" s="1" t="s">
        <v>105</v>
      </c>
      <c r="P67" s="12">
        <v>44434.393923611111</v>
      </c>
      <c r="R67" s="1" t="s">
        <v>38</v>
      </c>
      <c r="T67" s="1" t="s">
        <v>74</v>
      </c>
      <c r="U67" s="12">
        <v>44434.75</v>
      </c>
      <c r="V67" s="1" t="s">
        <v>41</v>
      </c>
      <c r="W67" s="1" t="s">
        <v>49</v>
      </c>
      <c r="X67" s="13" t="str">
        <f t="shared" ref="X67:X130" si="12">IF(RIGHT(H67,2)&lt;&gt;"00",H67,"")</f>
        <v/>
      </c>
      <c r="Y67" s="2">
        <f t="shared" ca="1" si="7"/>
        <v>395</v>
      </c>
      <c r="Z67" s="14">
        <v>1</v>
      </c>
      <c r="AA67" s="1" t="str">
        <f t="shared" ca="1" si="8"/>
        <v>VENCIDO</v>
      </c>
      <c r="AB67" s="1" t="str">
        <f t="shared" si="9"/>
        <v>TAAe+</v>
      </c>
      <c r="AC67" s="2" t="str">
        <f t="shared" ref="AC67:AC130" si="13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 xml:space="preserve"> RINALDO </v>
      </c>
      <c r="AD67" s="2">
        <f t="shared" si="10"/>
        <v>8</v>
      </c>
      <c r="AE67" s="2">
        <f t="shared" ca="1" si="11"/>
        <v>-551.9262716435187</v>
      </c>
      <c r="AF67" s="15"/>
    </row>
    <row r="68" spans="1:32">
      <c r="A68" s="1">
        <v>7144464</v>
      </c>
      <c r="B68" s="1" t="s">
        <v>101</v>
      </c>
      <c r="C68" t="s">
        <v>207</v>
      </c>
      <c r="E68" s="2">
        <v>9700000206211</v>
      </c>
      <c r="F68" s="1" t="s">
        <v>208</v>
      </c>
      <c r="G68" s="1" t="s">
        <v>53</v>
      </c>
      <c r="H68" s="1" t="s">
        <v>209</v>
      </c>
      <c r="I68" s="1" t="s">
        <v>210</v>
      </c>
      <c r="J68" s="1" t="s">
        <v>211</v>
      </c>
      <c r="K68" t="s">
        <v>212</v>
      </c>
      <c r="M68" s="1" t="s">
        <v>35</v>
      </c>
      <c r="N68" s="1">
        <v>42318949</v>
      </c>
      <c r="O68" s="1" t="s">
        <v>105</v>
      </c>
      <c r="P68" s="186">
        <v>44434.393923611111</v>
      </c>
      <c r="R68" s="1" t="s">
        <v>38</v>
      </c>
      <c r="T68" s="1" t="s">
        <v>74</v>
      </c>
      <c r="U68" s="186">
        <v>44434.75</v>
      </c>
      <c r="V68" s="1" t="s">
        <v>41</v>
      </c>
      <c r="W68" s="1" t="s">
        <v>49</v>
      </c>
      <c r="X68" s="13" t="str">
        <f t="shared" si="12"/>
        <v/>
      </c>
      <c r="Y68" s="2">
        <f t="shared" ca="1" si="7"/>
        <v>395</v>
      </c>
      <c r="Z68" s="14">
        <v>1</v>
      </c>
      <c r="AA68" s="1" t="str">
        <f t="shared" ca="1" si="8"/>
        <v>VENCIDO</v>
      </c>
      <c r="AB68" s="1" t="str">
        <f t="shared" si="9"/>
        <v>TAAe+</v>
      </c>
      <c r="AC68" s="2" t="str">
        <f t="shared" si="13"/>
        <v xml:space="preserve"> RINALDO </v>
      </c>
      <c r="AD68" s="2">
        <f t="shared" si="10"/>
        <v>8</v>
      </c>
      <c r="AE68" s="2">
        <f t="shared" ca="1" si="11"/>
        <v>-551.9262716435187</v>
      </c>
      <c r="AF68" s="15"/>
    </row>
    <row r="69" spans="1:32" hidden="1">
      <c r="A69" s="1">
        <v>7280202</v>
      </c>
      <c r="B69" s="1" t="s">
        <v>226</v>
      </c>
      <c r="C69" t="s">
        <v>227</v>
      </c>
      <c r="E69" s="2">
        <v>7710206001</v>
      </c>
      <c r="F69" s="1" t="s">
        <v>29</v>
      </c>
      <c r="G69" s="1" t="s">
        <v>53</v>
      </c>
      <c r="H69" s="1" t="s">
        <v>228</v>
      </c>
      <c r="I69" s="1" t="s">
        <v>229</v>
      </c>
      <c r="J69" s="1" t="s">
        <v>46</v>
      </c>
      <c r="K69" t="s">
        <v>34</v>
      </c>
      <c r="M69" s="1" t="s">
        <v>35</v>
      </c>
      <c r="N69" s="1">
        <v>42318949</v>
      </c>
      <c r="O69" s="1" t="s">
        <v>105</v>
      </c>
      <c r="P69" s="11" t="s">
        <v>230</v>
      </c>
      <c r="R69" s="1" t="s">
        <v>38</v>
      </c>
      <c r="T69" s="1" t="s">
        <v>74</v>
      </c>
      <c r="U69" s="11" t="s">
        <v>231</v>
      </c>
      <c r="V69" s="1" t="s">
        <v>41</v>
      </c>
      <c r="W69" s="1" t="s">
        <v>49</v>
      </c>
      <c r="X69" s="13" t="str">
        <f t="shared" si="12"/>
        <v>0007.71</v>
      </c>
      <c r="Y69" s="2">
        <f t="shared" ca="1" si="7"/>
        <v>391</v>
      </c>
      <c r="Z69" s="14">
        <v>1</v>
      </c>
      <c r="AA69" s="1" t="str">
        <f t="shared" ca="1" si="8"/>
        <v>VENCIDO</v>
      </c>
      <c r="AB69" s="1" t="str">
        <f t="shared" si="9"/>
        <v>Dosa</v>
      </c>
      <c r="AC69" s="2" t="str">
        <f t="shared" si="13"/>
        <v xml:space="preserve"> CLEITON </v>
      </c>
      <c r="AD69" s="2">
        <f t="shared" si="10"/>
        <v>5</v>
      </c>
      <c r="AE69" s="2">
        <f t="shared" ca="1" si="11"/>
        <v>-502.9262716435187</v>
      </c>
      <c r="AF69" s="15"/>
    </row>
    <row r="70" spans="1:32" hidden="1">
      <c r="A70" s="1">
        <v>7633015</v>
      </c>
      <c r="B70" s="1" t="s">
        <v>81</v>
      </c>
      <c r="C70" t="s">
        <v>232</v>
      </c>
      <c r="E70" s="2">
        <v>9600113560766</v>
      </c>
      <c r="F70" s="1" t="s">
        <v>233</v>
      </c>
      <c r="G70" s="1" t="s">
        <v>30</v>
      </c>
      <c r="H70" s="1" t="s">
        <v>234</v>
      </c>
      <c r="I70" s="1" t="s">
        <v>235</v>
      </c>
      <c r="J70" s="1" t="s">
        <v>33</v>
      </c>
      <c r="K70" t="s">
        <v>236</v>
      </c>
      <c r="M70" s="1" t="s">
        <v>58</v>
      </c>
      <c r="N70" s="1">
        <v>0</v>
      </c>
      <c r="O70" s="1" t="s">
        <v>105</v>
      </c>
      <c r="P70" s="11" t="s">
        <v>237</v>
      </c>
      <c r="R70" s="1">
        <v>12</v>
      </c>
      <c r="S70" s="1">
        <v>4804</v>
      </c>
      <c r="T70" s="1" t="s">
        <v>238</v>
      </c>
      <c r="U70" s="11" t="s">
        <v>239</v>
      </c>
      <c r="V70" s="1" t="s">
        <v>41</v>
      </c>
      <c r="W70" s="1" t="s">
        <v>42</v>
      </c>
      <c r="X70" s="13" t="str">
        <f t="shared" si="12"/>
        <v>0069.16</v>
      </c>
      <c r="Y70" s="2">
        <f t="shared" ca="1" si="7"/>
        <v>380</v>
      </c>
      <c r="Z70" s="14">
        <v>1</v>
      </c>
      <c r="AA70" s="1" t="str">
        <f t="shared" ca="1" si="8"/>
        <v>VENCIDO</v>
      </c>
      <c r="AB70" s="1" t="str">
        <f t="shared" si="9"/>
        <v>TAAe+</v>
      </c>
      <c r="AC70" s="2" t="str">
        <f t="shared" si="13"/>
        <v xml:space="preserve"> ROSEMERE </v>
      </c>
      <c r="AD70" s="2">
        <f t="shared" si="10"/>
        <v>8</v>
      </c>
      <c r="AE70" s="2">
        <f t="shared" ca="1" si="11"/>
        <v>-530.08753321759286</v>
      </c>
      <c r="AF70" s="15"/>
    </row>
    <row r="71" spans="1:32" hidden="1">
      <c r="A71" s="1">
        <v>7727803</v>
      </c>
      <c r="B71" s="1" t="s">
        <v>81</v>
      </c>
      <c r="C71" t="s">
        <v>240</v>
      </c>
      <c r="E71" s="2">
        <v>3478000206001</v>
      </c>
      <c r="F71" s="1" t="s">
        <v>29</v>
      </c>
      <c r="G71" s="1" t="s">
        <v>53</v>
      </c>
      <c r="H71" s="1" t="s">
        <v>241</v>
      </c>
      <c r="I71" s="1" t="s">
        <v>242</v>
      </c>
      <c r="J71" s="1" t="s">
        <v>46</v>
      </c>
      <c r="K71" t="s">
        <v>34</v>
      </c>
      <c r="M71" s="1" t="s">
        <v>35</v>
      </c>
      <c r="N71" s="1">
        <v>42318949</v>
      </c>
      <c r="O71" s="1" t="s">
        <v>36</v>
      </c>
      <c r="P71" s="11" t="s">
        <v>243</v>
      </c>
      <c r="R71" s="1" t="s">
        <v>38</v>
      </c>
      <c r="T71" s="1" t="s">
        <v>74</v>
      </c>
      <c r="U71" s="11" t="s">
        <v>244</v>
      </c>
      <c r="V71" s="1" t="s">
        <v>41</v>
      </c>
      <c r="W71" s="1" t="s">
        <v>49</v>
      </c>
      <c r="X71" s="13" t="str">
        <f t="shared" si="12"/>
        <v>2988.91</v>
      </c>
      <c r="Y71" s="2">
        <f t="shared" ca="1" si="7"/>
        <v>378</v>
      </c>
      <c r="Z71" s="14">
        <v>1</v>
      </c>
      <c r="AA71" s="1" t="str">
        <f t="shared" ca="1" si="8"/>
        <v>VENCIDO</v>
      </c>
      <c r="AB71" s="1" t="str">
        <f t="shared" si="9"/>
        <v>Dosa</v>
      </c>
      <c r="AC71" s="2" t="str">
        <f t="shared" si="13"/>
        <v xml:space="preserve"> CLEITON </v>
      </c>
      <c r="AD71" s="2">
        <f t="shared" si="10"/>
        <v>5</v>
      </c>
      <c r="AE71" s="2">
        <f t="shared" ca="1" si="11"/>
        <v>-526.12525312499929</v>
      </c>
      <c r="AF71" s="15"/>
    </row>
    <row r="72" spans="1:32" hidden="1">
      <c r="A72" s="1">
        <v>7726669</v>
      </c>
      <c r="B72" s="1" t="s">
        <v>81</v>
      </c>
      <c r="C72" t="s">
        <v>240</v>
      </c>
      <c r="E72" s="2">
        <v>8259000206001</v>
      </c>
      <c r="F72" s="1" t="s">
        <v>29</v>
      </c>
      <c r="G72" s="1" t="s">
        <v>53</v>
      </c>
      <c r="H72" s="1" t="s">
        <v>245</v>
      </c>
      <c r="I72" s="1" t="s">
        <v>246</v>
      </c>
      <c r="J72" s="1" t="s">
        <v>141</v>
      </c>
      <c r="K72" t="s">
        <v>34</v>
      </c>
      <c r="M72" s="1" t="s">
        <v>35</v>
      </c>
      <c r="N72" s="1">
        <v>42318949</v>
      </c>
      <c r="O72" s="1" t="s">
        <v>36</v>
      </c>
      <c r="P72" s="11" t="s">
        <v>247</v>
      </c>
      <c r="R72" s="1" t="s">
        <v>38</v>
      </c>
      <c r="T72" s="1" t="s">
        <v>74</v>
      </c>
      <c r="U72" s="11" t="s">
        <v>248</v>
      </c>
      <c r="V72" s="1" t="s">
        <v>41</v>
      </c>
      <c r="W72" s="1" t="s">
        <v>49</v>
      </c>
      <c r="X72" s="13" t="str">
        <f t="shared" si="12"/>
        <v/>
      </c>
      <c r="Y72" s="2">
        <f t="shared" ca="1" si="7"/>
        <v>378</v>
      </c>
      <c r="Z72" s="14">
        <v>1</v>
      </c>
      <c r="AA72" s="1" t="str">
        <f t="shared" ca="1" si="8"/>
        <v>VENCIDO</v>
      </c>
      <c r="AB72" s="1" t="str">
        <f t="shared" si="9"/>
        <v>Dosa</v>
      </c>
      <c r="AC72" s="2" t="str">
        <f t="shared" si="13"/>
        <v xml:space="preserve"> CRISTINA </v>
      </c>
      <c r="AD72" s="2">
        <f t="shared" si="10"/>
        <v>5</v>
      </c>
      <c r="AE72" s="2">
        <f t="shared" ca="1" si="11"/>
        <v>-526.12724386573973</v>
      </c>
      <c r="AF72" s="15"/>
    </row>
    <row r="73" spans="1:32" hidden="1">
      <c r="A73" s="1">
        <v>7726664</v>
      </c>
      <c r="B73" s="1" t="s">
        <v>81</v>
      </c>
      <c r="C73" t="s">
        <v>240</v>
      </c>
      <c r="E73" s="2">
        <v>2855000206001</v>
      </c>
      <c r="F73" s="1" t="s">
        <v>29</v>
      </c>
      <c r="G73" s="1" t="s">
        <v>53</v>
      </c>
      <c r="H73" s="1" t="s">
        <v>249</v>
      </c>
      <c r="I73" s="1" t="s">
        <v>250</v>
      </c>
      <c r="J73" s="1" t="s">
        <v>56</v>
      </c>
      <c r="K73" t="s">
        <v>34</v>
      </c>
      <c r="M73" s="1" t="s">
        <v>35</v>
      </c>
      <c r="N73" s="1">
        <v>42318949</v>
      </c>
      <c r="O73" s="1" t="s">
        <v>36</v>
      </c>
      <c r="P73" s="11" t="s">
        <v>251</v>
      </c>
      <c r="R73" s="1" t="s">
        <v>38</v>
      </c>
      <c r="T73" s="1" t="s">
        <v>74</v>
      </c>
      <c r="U73" s="11" t="s">
        <v>252</v>
      </c>
      <c r="V73" s="1" t="s">
        <v>41</v>
      </c>
      <c r="W73" s="1" t="s">
        <v>49</v>
      </c>
      <c r="X73" s="13" t="str">
        <f t="shared" si="12"/>
        <v/>
      </c>
      <c r="Y73" s="2">
        <f t="shared" ca="1" si="7"/>
        <v>378</v>
      </c>
      <c r="Z73" s="14">
        <v>1</v>
      </c>
      <c r="AA73" s="1" t="str">
        <f t="shared" ca="1" si="8"/>
        <v>VENCIDO</v>
      </c>
      <c r="AB73" s="1" t="str">
        <f t="shared" si="9"/>
        <v>Dosa</v>
      </c>
      <c r="AC73" s="2" t="str">
        <f t="shared" si="13"/>
        <v xml:space="preserve"> CRISTINA </v>
      </c>
      <c r="AD73" s="2">
        <f t="shared" si="10"/>
        <v>5</v>
      </c>
      <c r="AE73" s="2">
        <f t="shared" ca="1" si="11"/>
        <v>-526.12725543981651</v>
      </c>
      <c r="AF73" s="15"/>
    </row>
    <row r="74" spans="1:32" hidden="1">
      <c r="A74" s="1">
        <v>7726663</v>
      </c>
      <c r="B74" s="1" t="s">
        <v>81</v>
      </c>
      <c r="C74" t="s">
        <v>240</v>
      </c>
      <c r="E74" s="2">
        <v>2693000206001</v>
      </c>
      <c r="F74" s="1" t="s">
        <v>29</v>
      </c>
      <c r="G74" s="1" t="s">
        <v>53</v>
      </c>
      <c r="H74" s="1" t="s">
        <v>253</v>
      </c>
      <c r="I74" s="1" t="s">
        <v>254</v>
      </c>
      <c r="J74" s="1" t="s">
        <v>56</v>
      </c>
      <c r="K74" t="s">
        <v>34</v>
      </c>
      <c r="M74" s="1" t="s">
        <v>35</v>
      </c>
      <c r="N74" s="1">
        <v>42318949</v>
      </c>
      <c r="O74" s="1" t="s">
        <v>36</v>
      </c>
      <c r="P74" s="12">
        <v>44459.549016203702</v>
      </c>
      <c r="R74" s="1" t="s">
        <v>38</v>
      </c>
      <c r="T74" s="1" t="s">
        <v>74</v>
      </c>
      <c r="U74" s="12">
        <v>44460.549016203702</v>
      </c>
      <c r="V74" s="1" t="s">
        <v>41</v>
      </c>
      <c r="W74" s="1" t="s">
        <v>49</v>
      </c>
      <c r="X74" s="13" t="str">
        <f t="shared" si="12"/>
        <v/>
      </c>
      <c r="Y74" s="2">
        <f t="shared" ca="1" si="7"/>
        <v>378</v>
      </c>
      <c r="Z74" s="14">
        <v>1</v>
      </c>
      <c r="AA74" s="1" t="str">
        <f t="shared" ca="1" si="8"/>
        <v>VENCIDO</v>
      </c>
      <c r="AB74" s="1" t="str">
        <f t="shared" si="9"/>
        <v>Dosa</v>
      </c>
      <c r="AC74" s="2" t="str">
        <f t="shared" si="13"/>
        <v xml:space="preserve"> CRISTINA </v>
      </c>
      <c r="AD74" s="2">
        <f t="shared" si="10"/>
        <v>5</v>
      </c>
      <c r="AE74" s="2">
        <f t="shared" ca="1" si="11"/>
        <v>-526.12725543981651</v>
      </c>
      <c r="AF74" s="15"/>
    </row>
    <row r="75" spans="1:32" hidden="1">
      <c r="A75" s="1">
        <v>7726661</v>
      </c>
      <c r="B75" s="1" t="s">
        <v>81</v>
      </c>
      <c r="C75" t="s">
        <v>240</v>
      </c>
      <c r="E75" s="2">
        <v>2564000206001</v>
      </c>
      <c r="F75" s="1" t="s">
        <v>29</v>
      </c>
      <c r="G75" s="1" t="s">
        <v>53</v>
      </c>
      <c r="H75" s="1" t="s">
        <v>255</v>
      </c>
      <c r="I75" s="1" t="s">
        <v>256</v>
      </c>
      <c r="J75" s="1" t="s">
        <v>164</v>
      </c>
      <c r="K75" t="s">
        <v>34</v>
      </c>
      <c r="M75" s="1" t="s">
        <v>35</v>
      </c>
      <c r="N75" s="1">
        <v>42318949</v>
      </c>
      <c r="O75" s="1" t="s">
        <v>36</v>
      </c>
      <c r="P75" s="11" t="s">
        <v>257</v>
      </c>
      <c r="R75" s="1" t="s">
        <v>38</v>
      </c>
      <c r="T75" s="1" t="s">
        <v>74</v>
      </c>
      <c r="U75" s="11" t="s">
        <v>258</v>
      </c>
      <c r="V75" s="1" t="s">
        <v>41</v>
      </c>
      <c r="W75" s="1" t="s">
        <v>49</v>
      </c>
      <c r="X75" s="13" t="str">
        <f t="shared" si="12"/>
        <v/>
      </c>
      <c r="Y75" s="2">
        <f t="shared" ca="1" si="7"/>
        <v>378</v>
      </c>
      <c r="Z75" s="14">
        <v>1</v>
      </c>
      <c r="AA75" s="1" t="str">
        <f t="shared" ca="1" si="8"/>
        <v>VENCIDO</v>
      </c>
      <c r="AB75" s="1" t="str">
        <f t="shared" si="9"/>
        <v>Dosa</v>
      </c>
      <c r="AC75" s="2" t="str">
        <f t="shared" si="13"/>
        <v xml:space="preserve"> ROSEMERE </v>
      </c>
      <c r="AD75" s="2">
        <f t="shared" si="10"/>
        <v>5</v>
      </c>
      <c r="AE75" s="2">
        <f t="shared" ca="1" si="11"/>
        <v>-526.12726701388601</v>
      </c>
      <c r="AF75" s="15"/>
    </row>
    <row r="76" spans="1:32" hidden="1">
      <c r="A76" s="1">
        <v>7726660</v>
      </c>
      <c r="B76" s="1" t="s">
        <v>81</v>
      </c>
      <c r="C76" t="s">
        <v>240</v>
      </c>
      <c r="E76" s="2">
        <v>2559000206001</v>
      </c>
      <c r="F76" s="1" t="s">
        <v>29</v>
      </c>
      <c r="G76" s="1" t="s">
        <v>53</v>
      </c>
      <c r="H76" s="1" t="s">
        <v>259</v>
      </c>
      <c r="I76" s="1" t="s">
        <v>260</v>
      </c>
      <c r="J76" s="1" t="s">
        <v>261</v>
      </c>
      <c r="K76" t="s">
        <v>34</v>
      </c>
      <c r="M76" s="1" t="s">
        <v>35</v>
      </c>
      <c r="N76" s="1">
        <v>42318949</v>
      </c>
      <c r="O76" s="1" t="s">
        <v>36</v>
      </c>
      <c r="P76" s="12">
        <v>44459.549004629633</v>
      </c>
      <c r="R76" s="1" t="s">
        <v>38</v>
      </c>
      <c r="T76" s="1" t="s">
        <v>74</v>
      </c>
      <c r="U76" s="12">
        <v>44460.549004629633</v>
      </c>
      <c r="V76" s="1" t="s">
        <v>41</v>
      </c>
      <c r="W76" s="1" t="s">
        <v>49</v>
      </c>
      <c r="X76" s="13" t="str">
        <f t="shared" si="12"/>
        <v/>
      </c>
      <c r="Y76" s="2">
        <f t="shared" ca="1" si="7"/>
        <v>378</v>
      </c>
      <c r="Z76" s="14">
        <v>1</v>
      </c>
      <c r="AA76" s="1" t="str">
        <f t="shared" ca="1" si="8"/>
        <v>VENCIDO</v>
      </c>
      <c r="AB76" s="1" t="str">
        <f t="shared" si="9"/>
        <v>Dosa</v>
      </c>
      <c r="AC76" s="2" t="str">
        <f t="shared" si="13"/>
        <v xml:space="preserve"> CRISTINA </v>
      </c>
      <c r="AD76" s="2">
        <f t="shared" si="10"/>
        <v>5</v>
      </c>
      <c r="AE76" s="2">
        <f t="shared" ca="1" si="11"/>
        <v>-526.12726701388601</v>
      </c>
      <c r="AF76" s="15"/>
    </row>
    <row r="77" spans="1:32" hidden="1">
      <c r="A77" s="1">
        <v>7726658</v>
      </c>
      <c r="B77" s="1" t="s">
        <v>81</v>
      </c>
      <c r="C77" t="s">
        <v>240</v>
      </c>
      <c r="E77" s="2">
        <v>2107000206001</v>
      </c>
      <c r="F77" s="18" t="s">
        <v>29</v>
      </c>
      <c r="G77" s="1" t="s">
        <v>53</v>
      </c>
      <c r="H77" s="1" t="s">
        <v>262</v>
      </c>
      <c r="I77" s="1" t="s">
        <v>263</v>
      </c>
      <c r="J77" s="1" t="s">
        <v>164</v>
      </c>
      <c r="K77" t="s">
        <v>34</v>
      </c>
      <c r="M77" s="1" t="s">
        <v>35</v>
      </c>
      <c r="N77" s="1">
        <v>42318949</v>
      </c>
      <c r="O77" s="1" t="s">
        <v>36</v>
      </c>
      <c r="P77" s="12">
        <v>44459.549004629633</v>
      </c>
      <c r="R77" s="1" t="s">
        <v>38</v>
      </c>
      <c r="T77" s="1" t="s">
        <v>74</v>
      </c>
      <c r="U77" s="12">
        <v>44460.549004629633</v>
      </c>
      <c r="V77" s="1" t="s">
        <v>41</v>
      </c>
      <c r="W77" s="1" t="s">
        <v>49</v>
      </c>
      <c r="X77" s="13" t="str">
        <f t="shared" si="12"/>
        <v/>
      </c>
      <c r="Y77" s="2">
        <f t="shared" ca="1" si="7"/>
        <v>378</v>
      </c>
      <c r="Z77" s="14">
        <v>1</v>
      </c>
      <c r="AA77" s="1" t="str">
        <f t="shared" ca="1" si="8"/>
        <v>VENCIDO</v>
      </c>
      <c r="AB77" s="1" t="str">
        <f t="shared" si="9"/>
        <v>Dosa</v>
      </c>
      <c r="AC77" s="2" t="str">
        <f t="shared" si="13"/>
        <v xml:space="preserve"> ROSEMERE </v>
      </c>
      <c r="AD77" s="2">
        <f t="shared" si="10"/>
        <v>5</v>
      </c>
      <c r="AE77" s="2">
        <f t="shared" ca="1" si="11"/>
        <v>-526.12726701388601</v>
      </c>
      <c r="AF77" s="15"/>
    </row>
    <row r="78" spans="1:32" hidden="1">
      <c r="A78" s="1">
        <v>7726655</v>
      </c>
      <c r="B78" s="1" t="s">
        <v>81</v>
      </c>
      <c r="C78" t="s">
        <v>240</v>
      </c>
      <c r="E78" s="2">
        <v>1943000206001</v>
      </c>
      <c r="F78" s="1" t="s">
        <v>29</v>
      </c>
      <c r="G78" s="1" t="s">
        <v>53</v>
      </c>
      <c r="H78" s="1" t="s">
        <v>264</v>
      </c>
      <c r="I78" s="1" t="s">
        <v>265</v>
      </c>
      <c r="J78" s="1" t="s">
        <v>56</v>
      </c>
      <c r="K78" t="s">
        <v>34</v>
      </c>
      <c r="M78" s="1" t="s">
        <v>35</v>
      </c>
      <c r="N78" s="1">
        <v>42318949</v>
      </c>
      <c r="O78" s="1" t="s">
        <v>36</v>
      </c>
      <c r="P78" s="11" t="s">
        <v>266</v>
      </c>
      <c r="R78" s="1" t="s">
        <v>38</v>
      </c>
      <c r="T78" s="1" t="s">
        <v>74</v>
      </c>
      <c r="U78" s="11" t="s">
        <v>267</v>
      </c>
      <c r="V78" s="1" t="s">
        <v>41</v>
      </c>
      <c r="W78" s="1" t="s">
        <v>49</v>
      </c>
      <c r="X78" s="13" t="str">
        <f t="shared" si="12"/>
        <v/>
      </c>
      <c r="Y78" s="2">
        <f t="shared" ca="1" si="7"/>
        <v>378</v>
      </c>
      <c r="Z78" s="14">
        <v>1</v>
      </c>
      <c r="AA78" s="1" t="str">
        <f t="shared" ca="1" si="8"/>
        <v>VENCIDO</v>
      </c>
      <c r="AB78" s="1" t="str">
        <f t="shared" si="9"/>
        <v>Dosa</v>
      </c>
      <c r="AC78" s="2" t="str">
        <f t="shared" si="13"/>
        <v xml:space="preserve"> CRISTINA </v>
      </c>
      <c r="AD78" s="2">
        <f t="shared" si="10"/>
        <v>5</v>
      </c>
      <c r="AE78" s="2">
        <f t="shared" ca="1" si="11"/>
        <v>-526.12727858796279</v>
      </c>
      <c r="AF78" s="15"/>
    </row>
    <row r="79" spans="1:32">
      <c r="A79" s="1">
        <v>7726652</v>
      </c>
      <c r="B79" s="1" t="s">
        <v>81</v>
      </c>
      <c r="C79" s="19" t="s">
        <v>240</v>
      </c>
      <c r="E79" s="2">
        <v>1754000206001</v>
      </c>
      <c r="F79" s="18" t="s">
        <v>29</v>
      </c>
      <c r="G79" s="1" t="s">
        <v>53</v>
      </c>
      <c r="H79" s="1" t="s">
        <v>146</v>
      </c>
      <c r="I79" s="1" t="s">
        <v>147</v>
      </c>
      <c r="J79" s="1" t="s">
        <v>148</v>
      </c>
      <c r="K79" t="s">
        <v>34</v>
      </c>
      <c r="M79" s="1" t="s">
        <v>35</v>
      </c>
      <c r="N79" s="1">
        <v>42318949</v>
      </c>
      <c r="O79" s="1" t="s">
        <v>36</v>
      </c>
      <c r="P79" s="12">
        <v>44459.548993055556</v>
      </c>
      <c r="R79" s="1" t="s">
        <v>38</v>
      </c>
      <c r="T79" s="1" t="s">
        <v>74</v>
      </c>
      <c r="U79" s="12">
        <v>44460.548993055556</v>
      </c>
      <c r="V79" s="1" t="s">
        <v>41</v>
      </c>
      <c r="W79" s="1" t="s">
        <v>49</v>
      </c>
      <c r="X79" s="13" t="str">
        <f t="shared" si="12"/>
        <v/>
      </c>
      <c r="Y79" s="2">
        <f t="shared" ca="1" si="7"/>
        <v>378</v>
      </c>
      <c r="Z79" s="14">
        <v>1</v>
      </c>
      <c r="AA79" s="1" t="str">
        <f t="shared" ca="1" si="8"/>
        <v>VENCIDO</v>
      </c>
      <c r="AB79" s="1" t="str">
        <f t="shared" si="9"/>
        <v>Dosa</v>
      </c>
      <c r="AC79" s="2" t="str">
        <f t="shared" si="13"/>
        <v xml:space="preserve"> RINALDO </v>
      </c>
      <c r="AD79" s="2">
        <f t="shared" si="10"/>
        <v>5</v>
      </c>
      <c r="AE79" s="2">
        <f t="shared" ca="1" si="11"/>
        <v>-526.12727858796279</v>
      </c>
      <c r="AF79" s="15"/>
    </row>
    <row r="80" spans="1:32">
      <c r="A80" s="1">
        <v>7726651</v>
      </c>
      <c r="B80" s="1" t="s">
        <v>81</v>
      </c>
      <c r="C80" t="s">
        <v>240</v>
      </c>
      <c r="E80" s="2">
        <v>1362000206001</v>
      </c>
      <c r="F80" s="1" t="s">
        <v>29</v>
      </c>
      <c r="G80" s="1" t="s">
        <v>53</v>
      </c>
      <c r="H80" s="1" t="s">
        <v>268</v>
      </c>
      <c r="I80" s="1" t="s">
        <v>269</v>
      </c>
      <c r="J80" s="1" t="s">
        <v>90</v>
      </c>
      <c r="K80" t="s">
        <v>34</v>
      </c>
      <c r="M80" s="1" t="s">
        <v>35</v>
      </c>
      <c r="N80" s="1">
        <v>42318949</v>
      </c>
      <c r="O80" s="1" t="s">
        <v>36</v>
      </c>
      <c r="P80" s="11" t="s">
        <v>266</v>
      </c>
      <c r="R80" s="1" t="s">
        <v>38</v>
      </c>
      <c r="T80" s="1" t="s">
        <v>74</v>
      </c>
      <c r="U80" s="12">
        <v>44460.548993055556</v>
      </c>
      <c r="V80" s="1" t="s">
        <v>41</v>
      </c>
      <c r="W80" s="1" t="s">
        <v>49</v>
      </c>
      <c r="X80" s="13" t="str">
        <f t="shared" si="12"/>
        <v/>
      </c>
      <c r="Y80" s="2">
        <f t="shared" ca="1" si="7"/>
        <v>378</v>
      </c>
      <c r="Z80" s="14">
        <v>1</v>
      </c>
      <c r="AA80" s="1" t="str">
        <f t="shared" ca="1" si="8"/>
        <v>VENCIDO</v>
      </c>
      <c r="AB80" s="1" t="str">
        <f t="shared" si="9"/>
        <v>Dosa</v>
      </c>
      <c r="AC80" s="2" t="str">
        <f t="shared" si="13"/>
        <v xml:space="preserve"> RINALDO </v>
      </c>
      <c r="AD80" s="2">
        <f t="shared" si="10"/>
        <v>5</v>
      </c>
      <c r="AE80" s="2">
        <f t="shared" ca="1" si="11"/>
        <v>-526.12727858796279</v>
      </c>
      <c r="AF80" s="15"/>
    </row>
    <row r="81" spans="1:32" hidden="1">
      <c r="A81" s="1">
        <v>7726650</v>
      </c>
      <c r="B81" s="1" t="s">
        <v>81</v>
      </c>
      <c r="C81" t="s">
        <v>240</v>
      </c>
      <c r="E81" s="2">
        <v>1359000206001</v>
      </c>
      <c r="F81" s="1" t="s">
        <v>29</v>
      </c>
      <c r="G81" s="1" t="s">
        <v>53</v>
      </c>
      <c r="H81" s="1" t="s">
        <v>270</v>
      </c>
      <c r="I81" s="1" t="s">
        <v>271</v>
      </c>
      <c r="J81" s="1" t="s">
        <v>141</v>
      </c>
      <c r="K81" t="s">
        <v>34</v>
      </c>
      <c r="M81" s="1" t="s">
        <v>35</v>
      </c>
      <c r="N81" s="1">
        <v>42318949</v>
      </c>
      <c r="O81" s="1" t="s">
        <v>36</v>
      </c>
      <c r="P81" s="11" t="s">
        <v>266</v>
      </c>
      <c r="R81" s="1" t="s">
        <v>38</v>
      </c>
      <c r="T81" s="1" t="s">
        <v>74</v>
      </c>
      <c r="U81" s="11" t="s">
        <v>267</v>
      </c>
      <c r="V81" s="1" t="s">
        <v>41</v>
      </c>
      <c r="W81" s="1" t="s">
        <v>49</v>
      </c>
      <c r="X81" s="13" t="str">
        <f t="shared" si="12"/>
        <v/>
      </c>
      <c r="Y81" s="2">
        <f t="shared" ca="1" si="7"/>
        <v>378</v>
      </c>
      <c r="Z81" s="14">
        <v>1</v>
      </c>
      <c r="AA81" s="1" t="str">
        <f t="shared" ca="1" si="8"/>
        <v>VENCIDO</v>
      </c>
      <c r="AB81" s="1" t="str">
        <f t="shared" si="9"/>
        <v>Dosa</v>
      </c>
      <c r="AC81" s="2" t="str">
        <f t="shared" si="13"/>
        <v xml:space="preserve"> CRISTINA </v>
      </c>
      <c r="AD81" s="2">
        <f t="shared" si="10"/>
        <v>5</v>
      </c>
      <c r="AE81" s="2">
        <f t="shared" ca="1" si="11"/>
        <v>-526.12727858796279</v>
      </c>
      <c r="AF81" s="15"/>
    </row>
    <row r="82" spans="1:32" hidden="1">
      <c r="A82" s="1">
        <v>7726648</v>
      </c>
      <c r="B82" s="1" t="s">
        <v>81</v>
      </c>
      <c r="C82" t="s">
        <v>240</v>
      </c>
      <c r="E82" s="2">
        <v>1011000206001</v>
      </c>
      <c r="F82" s="1" t="s">
        <v>29</v>
      </c>
      <c r="G82" s="1" t="s">
        <v>53</v>
      </c>
      <c r="H82" s="1" t="s">
        <v>272</v>
      </c>
      <c r="I82" s="1" t="s">
        <v>273</v>
      </c>
      <c r="J82" s="1" t="s">
        <v>33</v>
      </c>
      <c r="K82" t="s">
        <v>34</v>
      </c>
      <c r="M82" s="1" t="s">
        <v>35</v>
      </c>
      <c r="N82" s="1">
        <v>42318949</v>
      </c>
      <c r="O82" s="1" t="s">
        <v>36</v>
      </c>
      <c r="P82" s="12">
        <v>44459.548981481479</v>
      </c>
      <c r="R82" s="1" t="s">
        <v>38</v>
      </c>
      <c r="T82" s="1" t="s">
        <v>74</v>
      </c>
      <c r="U82" s="12">
        <v>44460.548981481479</v>
      </c>
      <c r="V82" s="1" t="s">
        <v>41</v>
      </c>
      <c r="W82" s="1" t="s">
        <v>49</v>
      </c>
      <c r="X82" s="13" t="str">
        <f t="shared" si="12"/>
        <v/>
      </c>
      <c r="Y82" s="2">
        <f t="shared" ca="1" si="7"/>
        <v>378</v>
      </c>
      <c r="Z82" s="14">
        <v>1</v>
      </c>
      <c r="AA82" s="1" t="str">
        <f t="shared" ca="1" si="8"/>
        <v>VENCIDO</v>
      </c>
      <c r="AB82" s="1" t="str">
        <f t="shared" si="9"/>
        <v>Dosa</v>
      </c>
      <c r="AC82" s="2" t="str">
        <f t="shared" si="13"/>
        <v xml:space="preserve"> ROSEMERE </v>
      </c>
      <c r="AD82" s="2">
        <f t="shared" si="10"/>
        <v>5</v>
      </c>
      <c r="AE82" s="2">
        <f t="shared" ca="1" si="11"/>
        <v>-526.12729016203957</v>
      </c>
      <c r="AF82" s="15"/>
    </row>
    <row r="83" spans="1:32" hidden="1">
      <c r="A83" s="1">
        <v>7726647</v>
      </c>
      <c r="B83" s="1" t="s">
        <v>81</v>
      </c>
      <c r="C83" t="s">
        <v>240</v>
      </c>
      <c r="E83" s="2">
        <v>1049000206001</v>
      </c>
      <c r="F83" s="1" t="s">
        <v>29</v>
      </c>
      <c r="G83" s="1" t="s">
        <v>53</v>
      </c>
      <c r="H83" s="1" t="s">
        <v>169</v>
      </c>
      <c r="I83" s="1" t="s">
        <v>170</v>
      </c>
      <c r="J83" s="1" t="s">
        <v>164</v>
      </c>
      <c r="K83" t="s">
        <v>34</v>
      </c>
      <c r="M83" s="1" t="s">
        <v>35</v>
      </c>
      <c r="N83" s="1">
        <v>42318949</v>
      </c>
      <c r="O83" s="1" t="s">
        <v>36</v>
      </c>
      <c r="P83" s="11" t="s">
        <v>274</v>
      </c>
      <c r="R83" s="1" t="s">
        <v>38</v>
      </c>
      <c r="T83" s="1" t="s">
        <v>74</v>
      </c>
      <c r="U83" s="11" t="s">
        <v>275</v>
      </c>
      <c r="V83" s="1" t="s">
        <v>41</v>
      </c>
      <c r="W83" s="1" t="s">
        <v>49</v>
      </c>
      <c r="X83" s="13" t="str">
        <f t="shared" si="12"/>
        <v/>
      </c>
      <c r="Y83" s="2">
        <f t="shared" ca="1" si="7"/>
        <v>378</v>
      </c>
      <c r="Z83" s="14">
        <v>1</v>
      </c>
      <c r="AA83" s="1" t="str">
        <f t="shared" ca="1" si="8"/>
        <v>VENCIDO</v>
      </c>
      <c r="AB83" s="1" t="str">
        <f t="shared" si="9"/>
        <v>Dosa</v>
      </c>
      <c r="AC83" s="2" t="str">
        <f t="shared" si="13"/>
        <v xml:space="preserve"> ROSEMERE </v>
      </c>
      <c r="AD83" s="2">
        <f t="shared" si="10"/>
        <v>5</v>
      </c>
      <c r="AE83" s="2">
        <f t="shared" ca="1" si="11"/>
        <v>-526.12729016203957</v>
      </c>
      <c r="AF83" s="15"/>
    </row>
    <row r="84" spans="1:32">
      <c r="A84" s="1">
        <v>7726645</v>
      </c>
      <c r="B84" s="1" t="s">
        <v>81</v>
      </c>
      <c r="C84" t="s">
        <v>240</v>
      </c>
      <c r="E84" s="2">
        <v>2683000206001</v>
      </c>
      <c r="F84" s="1" t="s">
        <v>29</v>
      </c>
      <c r="G84" s="1" t="s">
        <v>53</v>
      </c>
      <c r="H84" s="1" t="s">
        <v>276</v>
      </c>
      <c r="I84" s="1" t="s">
        <v>277</v>
      </c>
      <c r="J84" s="1" t="s">
        <v>90</v>
      </c>
      <c r="K84" t="s">
        <v>34</v>
      </c>
      <c r="M84" s="1" t="s">
        <v>35</v>
      </c>
      <c r="N84" s="1">
        <v>42318949</v>
      </c>
      <c r="O84" s="1" t="s">
        <v>36</v>
      </c>
      <c r="P84" s="11" t="s">
        <v>274</v>
      </c>
      <c r="R84" s="1" t="s">
        <v>38</v>
      </c>
      <c r="T84" s="1" t="s">
        <v>74</v>
      </c>
      <c r="U84" s="11" t="s">
        <v>275</v>
      </c>
      <c r="V84" s="1" t="s">
        <v>41</v>
      </c>
      <c r="W84" s="1" t="s">
        <v>49</v>
      </c>
      <c r="X84" s="13" t="str">
        <f t="shared" si="12"/>
        <v/>
      </c>
      <c r="Y84" s="2">
        <f t="shared" ca="1" si="7"/>
        <v>378</v>
      </c>
      <c r="Z84" s="14">
        <v>1</v>
      </c>
      <c r="AA84" s="1" t="str">
        <f t="shared" ca="1" si="8"/>
        <v>VENCIDO</v>
      </c>
      <c r="AB84" s="1" t="str">
        <f t="shared" si="9"/>
        <v>Dosa</v>
      </c>
      <c r="AC84" s="2" t="str">
        <f t="shared" si="13"/>
        <v xml:space="preserve"> RINALDO </v>
      </c>
      <c r="AD84" s="2">
        <f t="shared" si="10"/>
        <v>5</v>
      </c>
      <c r="AE84" s="2">
        <f t="shared" ca="1" si="11"/>
        <v>-526.12729016203957</v>
      </c>
      <c r="AF84" s="15"/>
    </row>
    <row r="85" spans="1:32">
      <c r="A85" s="1">
        <v>7726643</v>
      </c>
      <c r="B85" s="1" t="s">
        <v>81</v>
      </c>
      <c r="C85" t="s">
        <v>240</v>
      </c>
      <c r="E85" s="2">
        <v>2156000206001</v>
      </c>
      <c r="F85" s="1" t="s">
        <v>29</v>
      </c>
      <c r="G85" s="1" t="s">
        <v>53</v>
      </c>
      <c r="H85" s="1" t="s">
        <v>278</v>
      </c>
      <c r="I85" s="1" t="s">
        <v>279</v>
      </c>
      <c r="J85" s="1" t="s">
        <v>211</v>
      </c>
      <c r="K85" t="s">
        <v>34</v>
      </c>
      <c r="M85" s="1" t="s">
        <v>35</v>
      </c>
      <c r="N85" s="1">
        <v>42318949</v>
      </c>
      <c r="O85" s="1" t="s">
        <v>36</v>
      </c>
      <c r="P85" s="12">
        <v>44459.548981481479</v>
      </c>
      <c r="R85" s="1" t="s">
        <v>38</v>
      </c>
      <c r="T85" s="1" t="s">
        <v>74</v>
      </c>
      <c r="U85" s="12">
        <v>44460.548981481479</v>
      </c>
      <c r="V85" s="1" t="s">
        <v>41</v>
      </c>
      <c r="W85" s="1" t="s">
        <v>49</v>
      </c>
      <c r="X85" s="13" t="str">
        <f t="shared" si="12"/>
        <v/>
      </c>
      <c r="Y85" s="2">
        <f t="shared" ca="1" si="7"/>
        <v>378</v>
      </c>
      <c r="Z85" s="14">
        <v>1</v>
      </c>
      <c r="AA85" s="1" t="str">
        <f t="shared" ca="1" si="8"/>
        <v>VENCIDO</v>
      </c>
      <c r="AB85" s="1" t="str">
        <f t="shared" si="9"/>
        <v>Dosa</v>
      </c>
      <c r="AC85" s="2" t="str">
        <f t="shared" si="13"/>
        <v xml:space="preserve"> RINALDO </v>
      </c>
      <c r="AD85" s="2">
        <f t="shared" si="10"/>
        <v>5</v>
      </c>
      <c r="AE85" s="2">
        <f t="shared" ca="1" si="11"/>
        <v>-526.12729016203957</v>
      </c>
      <c r="AF85" s="15"/>
    </row>
    <row r="86" spans="1:32">
      <c r="A86" s="1">
        <v>7726642</v>
      </c>
      <c r="B86" s="1" t="s">
        <v>81</v>
      </c>
      <c r="C86" t="s">
        <v>240</v>
      </c>
      <c r="E86" s="2">
        <v>1162000206001</v>
      </c>
      <c r="F86" s="1" t="s">
        <v>29</v>
      </c>
      <c r="G86" s="1" t="s">
        <v>53</v>
      </c>
      <c r="H86" s="1" t="s">
        <v>280</v>
      </c>
      <c r="I86" s="1" t="s">
        <v>281</v>
      </c>
      <c r="J86" s="1" t="s">
        <v>211</v>
      </c>
      <c r="K86" t="s">
        <v>34</v>
      </c>
      <c r="M86" s="1" t="s">
        <v>35</v>
      </c>
      <c r="N86" s="1">
        <v>42318949</v>
      </c>
      <c r="O86" s="1" t="s">
        <v>36</v>
      </c>
      <c r="P86" s="11" t="s">
        <v>274</v>
      </c>
      <c r="R86" s="1" t="s">
        <v>38</v>
      </c>
      <c r="T86" s="1" t="s">
        <v>74</v>
      </c>
      <c r="U86" s="11" t="s">
        <v>275</v>
      </c>
      <c r="V86" s="1" t="s">
        <v>41</v>
      </c>
      <c r="W86" s="1" t="s">
        <v>49</v>
      </c>
      <c r="X86" s="13" t="str">
        <f t="shared" si="12"/>
        <v/>
      </c>
      <c r="Y86" s="2">
        <f t="shared" ca="1" si="7"/>
        <v>378</v>
      </c>
      <c r="Z86" s="14">
        <v>1</v>
      </c>
      <c r="AA86" s="1" t="str">
        <f t="shared" ca="1" si="8"/>
        <v>VENCIDO</v>
      </c>
      <c r="AB86" s="1" t="str">
        <f t="shared" si="9"/>
        <v>Dosa</v>
      </c>
      <c r="AC86" s="2" t="str">
        <f t="shared" si="13"/>
        <v xml:space="preserve"> RINALDO </v>
      </c>
      <c r="AD86" s="2">
        <f t="shared" si="10"/>
        <v>5</v>
      </c>
      <c r="AE86" s="2">
        <f t="shared" ca="1" si="11"/>
        <v>-526.12729016203957</v>
      </c>
      <c r="AF86" s="15"/>
    </row>
    <row r="87" spans="1:32" hidden="1">
      <c r="A87" s="1">
        <v>7726640</v>
      </c>
      <c r="B87" s="1" t="s">
        <v>81</v>
      </c>
      <c r="C87" t="s">
        <v>240</v>
      </c>
      <c r="E87" s="2">
        <v>3243000206001</v>
      </c>
      <c r="F87" s="1" t="s">
        <v>29</v>
      </c>
      <c r="G87" s="1" t="s">
        <v>53</v>
      </c>
      <c r="H87" s="1" t="s">
        <v>282</v>
      </c>
      <c r="I87" s="1" t="s">
        <v>283</v>
      </c>
      <c r="J87" s="1" t="s">
        <v>46</v>
      </c>
      <c r="K87" t="s">
        <v>34</v>
      </c>
      <c r="M87" s="1" t="s">
        <v>35</v>
      </c>
      <c r="N87" s="1">
        <v>42318949</v>
      </c>
      <c r="O87" s="1" t="s">
        <v>36</v>
      </c>
      <c r="P87" s="12">
        <v>44459.54896990741</v>
      </c>
      <c r="R87" s="1" t="s">
        <v>38</v>
      </c>
      <c r="T87" s="1" t="s">
        <v>74</v>
      </c>
      <c r="U87" s="12">
        <v>44460.54896990741</v>
      </c>
      <c r="V87" s="1" t="s">
        <v>41</v>
      </c>
      <c r="W87" s="1" t="s">
        <v>49</v>
      </c>
      <c r="X87" s="13" t="str">
        <f t="shared" si="12"/>
        <v/>
      </c>
      <c r="Y87" s="2">
        <f t="shared" ca="1" si="7"/>
        <v>378</v>
      </c>
      <c r="Z87" s="14">
        <v>1</v>
      </c>
      <c r="AA87" s="1" t="str">
        <f t="shared" ca="1" si="8"/>
        <v>VENCIDO</v>
      </c>
      <c r="AB87" s="1" t="str">
        <f t="shared" si="9"/>
        <v>Dosa</v>
      </c>
      <c r="AC87" s="2" t="str">
        <f t="shared" si="13"/>
        <v xml:space="preserve"> CLEITON </v>
      </c>
      <c r="AD87" s="2">
        <f t="shared" si="10"/>
        <v>5</v>
      </c>
      <c r="AE87" s="2">
        <f t="shared" ca="1" si="11"/>
        <v>-526.12730173610908</v>
      </c>
      <c r="AF87" s="15"/>
    </row>
    <row r="88" spans="1:32">
      <c r="A88" s="1">
        <v>7726639</v>
      </c>
      <c r="B88" s="1" t="s">
        <v>81</v>
      </c>
      <c r="C88" t="s">
        <v>240</v>
      </c>
      <c r="E88" s="2">
        <v>1060000206001</v>
      </c>
      <c r="F88" s="1" t="s">
        <v>29</v>
      </c>
      <c r="G88" s="1" t="s">
        <v>53</v>
      </c>
      <c r="H88" s="1" t="s">
        <v>284</v>
      </c>
      <c r="I88" s="1" t="s">
        <v>285</v>
      </c>
      <c r="J88" s="1" t="s">
        <v>148</v>
      </c>
      <c r="K88" t="s">
        <v>34</v>
      </c>
      <c r="M88" s="1" t="s">
        <v>35</v>
      </c>
      <c r="N88" s="1">
        <v>42318949</v>
      </c>
      <c r="O88" s="1" t="s">
        <v>36</v>
      </c>
      <c r="P88" s="11" t="s">
        <v>286</v>
      </c>
      <c r="R88" s="1" t="s">
        <v>38</v>
      </c>
      <c r="T88" s="1" t="s">
        <v>74</v>
      </c>
      <c r="U88" s="12">
        <v>44460.54896990741</v>
      </c>
      <c r="V88" s="1" t="s">
        <v>41</v>
      </c>
      <c r="W88" s="1" t="s">
        <v>49</v>
      </c>
      <c r="X88" s="13" t="str">
        <f t="shared" si="12"/>
        <v/>
      </c>
      <c r="Y88" s="2">
        <f t="shared" ca="1" si="7"/>
        <v>378</v>
      </c>
      <c r="Z88" s="14">
        <v>1</v>
      </c>
      <c r="AA88" s="1" t="str">
        <f t="shared" ca="1" si="8"/>
        <v>VENCIDO</v>
      </c>
      <c r="AB88" s="1" t="str">
        <f t="shared" si="9"/>
        <v>Dosa</v>
      </c>
      <c r="AC88" s="2" t="str">
        <f t="shared" si="13"/>
        <v xml:space="preserve"> RINALDO </v>
      </c>
      <c r="AD88" s="2">
        <f t="shared" si="10"/>
        <v>5</v>
      </c>
      <c r="AE88" s="2">
        <f t="shared" ca="1" si="11"/>
        <v>-526.12730173610908</v>
      </c>
      <c r="AF88" s="15"/>
    </row>
    <row r="89" spans="1:32" hidden="1">
      <c r="A89" s="1">
        <v>7726637</v>
      </c>
      <c r="B89" s="1" t="s">
        <v>81</v>
      </c>
      <c r="C89" t="s">
        <v>240</v>
      </c>
      <c r="E89" s="2">
        <v>3237000206001</v>
      </c>
      <c r="F89" s="1" t="s">
        <v>29</v>
      </c>
      <c r="G89" s="1" t="s">
        <v>53</v>
      </c>
      <c r="H89" s="1" t="s">
        <v>287</v>
      </c>
      <c r="I89" s="1" t="s">
        <v>288</v>
      </c>
      <c r="J89" s="1" t="s">
        <v>46</v>
      </c>
      <c r="K89" t="s">
        <v>34</v>
      </c>
      <c r="M89" s="1" t="s">
        <v>35</v>
      </c>
      <c r="N89" s="1">
        <v>42318949</v>
      </c>
      <c r="O89" s="1" t="s">
        <v>36</v>
      </c>
      <c r="P89" s="186">
        <v>44459.54896990741</v>
      </c>
      <c r="R89" s="1" t="s">
        <v>38</v>
      </c>
      <c r="T89" s="1" t="s">
        <v>74</v>
      </c>
      <c r="U89" s="186">
        <v>44460.54896990741</v>
      </c>
      <c r="V89" s="1" t="s">
        <v>41</v>
      </c>
      <c r="W89" s="1" t="s">
        <v>49</v>
      </c>
      <c r="X89" s="13" t="str">
        <f t="shared" si="12"/>
        <v/>
      </c>
      <c r="Y89" s="2">
        <f t="shared" ca="1" si="7"/>
        <v>378</v>
      </c>
      <c r="Z89" s="14">
        <v>1</v>
      </c>
      <c r="AA89" s="1" t="str">
        <f t="shared" ca="1" si="8"/>
        <v>VENCIDO</v>
      </c>
      <c r="AB89" s="1" t="str">
        <f t="shared" si="9"/>
        <v>Dosa</v>
      </c>
      <c r="AC89" s="2" t="str">
        <f t="shared" si="13"/>
        <v xml:space="preserve"> CLEITON </v>
      </c>
      <c r="AD89" s="2">
        <f t="shared" si="10"/>
        <v>5</v>
      </c>
      <c r="AE89" s="2">
        <f t="shared" ca="1" si="11"/>
        <v>-526.12730173610908</v>
      </c>
      <c r="AF89" s="15"/>
    </row>
    <row r="90" spans="1:32" hidden="1">
      <c r="A90" s="1">
        <v>7726636</v>
      </c>
      <c r="B90" s="1" t="s">
        <v>81</v>
      </c>
      <c r="C90" t="s">
        <v>240</v>
      </c>
      <c r="E90" s="2">
        <v>1058000206001</v>
      </c>
      <c r="F90" s="1" t="s">
        <v>29</v>
      </c>
      <c r="G90" s="1" t="s">
        <v>53</v>
      </c>
      <c r="H90" s="1" t="s">
        <v>289</v>
      </c>
      <c r="I90" s="1" t="s">
        <v>290</v>
      </c>
      <c r="J90" s="1" t="s">
        <v>56</v>
      </c>
      <c r="K90" t="s">
        <v>34</v>
      </c>
      <c r="M90" s="1" t="s">
        <v>35</v>
      </c>
      <c r="N90" s="1">
        <v>42318949</v>
      </c>
      <c r="O90" s="1" t="s">
        <v>36</v>
      </c>
      <c r="P90" s="186">
        <v>44459.54896990741</v>
      </c>
      <c r="R90" s="1" t="s">
        <v>38</v>
      </c>
      <c r="T90" s="1" t="s">
        <v>74</v>
      </c>
      <c r="U90" s="186">
        <v>44460.54896990741</v>
      </c>
      <c r="V90" s="1" t="s">
        <v>41</v>
      </c>
      <c r="W90" s="1" t="s">
        <v>49</v>
      </c>
      <c r="X90" s="13" t="str">
        <f t="shared" si="12"/>
        <v/>
      </c>
      <c r="Y90" s="2">
        <f t="shared" ca="1" si="7"/>
        <v>378</v>
      </c>
      <c r="Z90" s="14">
        <v>1</v>
      </c>
      <c r="AA90" s="1" t="str">
        <f t="shared" ca="1" si="8"/>
        <v>VENCIDO</v>
      </c>
      <c r="AB90" s="1" t="str">
        <f t="shared" si="9"/>
        <v>Dosa</v>
      </c>
      <c r="AC90" s="2" t="str">
        <f t="shared" si="13"/>
        <v xml:space="preserve"> CRISTINA </v>
      </c>
      <c r="AD90" s="2">
        <f t="shared" si="10"/>
        <v>5</v>
      </c>
      <c r="AE90" s="2">
        <f t="shared" ca="1" si="11"/>
        <v>-526.12730173610908</v>
      </c>
      <c r="AF90" s="15"/>
    </row>
    <row r="91" spans="1:32" hidden="1">
      <c r="A91" s="1">
        <v>7726635</v>
      </c>
      <c r="B91" s="1" t="s">
        <v>81</v>
      </c>
      <c r="C91" t="s">
        <v>240</v>
      </c>
      <c r="E91" s="2">
        <v>4235000206001</v>
      </c>
      <c r="F91" s="1" t="s">
        <v>29</v>
      </c>
      <c r="G91" s="1" t="s">
        <v>53</v>
      </c>
      <c r="H91" s="1" t="s">
        <v>291</v>
      </c>
      <c r="I91" s="1" t="s">
        <v>292</v>
      </c>
      <c r="J91" s="1" t="s">
        <v>46</v>
      </c>
      <c r="K91" t="s">
        <v>34</v>
      </c>
      <c r="M91" s="1" t="s">
        <v>35</v>
      </c>
      <c r="N91" s="1">
        <v>42318949</v>
      </c>
      <c r="O91" s="1" t="s">
        <v>36</v>
      </c>
      <c r="P91" s="186">
        <v>44459.54896990741</v>
      </c>
      <c r="R91" s="1" t="s">
        <v>38</v>
      </c>
      <c r="T91" s="1" t="s">
        <v>74</v>
      </c>
      <c r="U91" s="186">
        <v>44460.54896990741</v>
      </c>
      <c r="V91" s="1" t="s">
        <v>41</v>
      </c>
      <c r="W91" s="1" t="s">
        <v>49</v>
      </c>
      <c r="X91" s="13" t="str">
        <f t="shared" si="12"/>
        <v/>
      </c>
      <c r="Y91" s="2">
        <f t="shared" ca="1" si="7"/>
        <v>378</v>
      </c>
      <c r="Z91" s="14">
        <v>1</v>
      </c>
      <c r="AA91" s="1" t="str">
        <f t="shared" ca="1" si="8"/>
        <v>VENCIDO</v>
      </c>
      <c r="AB91" s="1" t="str">
        <f t="shared" si="9"/>
        <v>Dosa</v>
      </c>
      <c r="AC91" s="2" t="str">
        <f t="shared" si="13"/>
        <v xml:space="preserve"> CLEITON </v>
      </c>
      <c r="AD91" s="2">
        <f t="shared" si="10"/>
        <v>5</v>
      </c>
      <c r="AE91" s="2">
        <f t="shared" ca="1" si="11"/>
        <v>-526.12730173610908</v>
      </c>
      <c r="AF91" s="15"/>
    </row>
    <row r="92" spans="1:32" hidden="1">
      <c r="A92" s="1">
        <v>7726633</v>
      </c>
      <c r="B92" s="1" t="s">
        <v>81</v>
      </c>
      <c r="C92" t="s">
        <v>240</v>
      </c>
      <c r="E92" s="2">
        <v>8634000206001</v>
      </c>
      <c r="F92" s="1" t="s">
        <v>29</v>
      </c>
      <c r="G92" s="1" t="s">
        <v>53</v>
      </c>
      <c r="H92" s="1" t="s">
        <v>293</v>
      </c>
      <c r="I92" s="1" t="s">
        <v>294</v>
      </c>
      <c r="J92" s="1" t="s">
        <v>46</v>
      </c>
      <c r="K92" t="s">
        <v>34</v>
      </c>
      <c r="M92" s="1" t="s">
        <v>35</v>
      </c>
      <c r="N92" s="1">
        <v>42318949</v>
      </c>
      <c r="O92" s="1" t="s">
        <v>36</v>
      </c>
      <c r="P92" s="186">
        <v>44459.54896990741</v>
      </c>
      <c r="R92" s="1" t="s">
        <v>38</v>
      </c>
      <c r="T92" s="1" t="s">
        <v>74</v>
      </c>
      <c r="U92" s="186">
        <v>44460.54896990741</v>
      </c>
      <c r="V92" s="1" t="s">
        <v>41</v>
      </c>
      <c r="W92" s="1" t="s">
        <v>49</v>
      </c>
      <c r="X92" s="13" t="str">
        <f t="shared" si="12"/>
        <v/>
      </c>
      <c r="Y92" s="2">
        <f t="shared" ca="1" si="7"/>
        <v>378</v>
      </c>
      <c r="Z92" s="14">
        <v>1</v>
      </c>
      <c r="AA92" s="1" t="str">
        <f t="shared" ca="1" si="8"/>
        <v>VENCIDO</v>
      </c>
      <c r="AB92" s="1" t="str">
        <f t="shared" si="9"/>
        <v>Dosa</v>
      </c>
      <c r="AC92" s="2" t="str">
        <f t="shared" si="13"/>
        <v xml:space="preserve"> CLEITON </v>
      </c>
      <c r="AD92" s="2">
        <f t="shared" si="10"/>
        <v>5</v>
      </c>
      <c r="AE92" s="2">
        <f t="shared" ca="1" si="11"/>
        <v>-526.12730173610908</v>
      </c>
      <c r="AF92" s="15"/>
    </row>
    <row r="93" spans="1:32">
      <c r="A93" s="1">
        <v>7726632</v>
      </c>
      <c r="B93" s="1" t="s">
        <v>81</v>
      </c>
      <c r="C93" t="s">
        <v>240</v>
      </c>
      <c r="E93" s="2">
        <v>1108000206001</v>
      </c>
      <c r="F93" s="1" t="s">
        <v>29</v>
      </c>
      <c r="G93" s="1" t="s">
        <v>53</v>
      </c>
      <c r="H93" s="1" t="s">
        <v>295</v>
      </c>
      <c r="I93" s="1" t="s">
        <v>296</v>
      </c>
      <c r="J93" s="1" t="s">
        <v>90</v>
      </c>
      <c r="K93" t="s">
        <v>34</v>
      </c>
      <c r="M93" s="1" t="s">
        <v>35</v>
      </c>
      <c r="N93" s="1">
        <v>42318949</v>
      </c>
      <c r="O93" s="1" t="s">
        <v>36</v>
      </c>
      <c r="P93" s="186">
        <v>44459.54896990741</v>
      </c>
      <c r="R93" s="1" t="s">
        <v>38</v>
      </c>
      <c r="T93" s="1" t="s">
        <v>74</v>
      </c>
      <c r="U93" s="186">
        <v>44460.54896990741</v>
      </c>
      <c r="V93" s="1" t="s">
        <v>41</v>
      </c>
      <c r="W93" s="1" t="s">
        <v>49</v>
      </c>
      <c r="X93" s="13" t="str">
        <f t="shared" si="12"/>
        <v/>
      </c>
      <c r="Y93" s="2">
        <f t="shared" ca="1" si="7"/>
        <v>378</v>
      </c>
      <c r="Z93" s="14">
        <v>1</v>
      </c>
      <c r="AA93" s="1" t="str">
        <f t="shared" ca="1" si="8"/>
        <v>VENCIDO</v>
      </c>
      <c r="AB93" s="1" t="str">
        <f t="shared" si="9"/>
        <v>Dosa</v>
      </c>
      <c r="AC93" s="2" t="str">
        <f t="shared" si="13"/>
        <v xml:space="preserve"> RINALDO </v>
      </c>
      <c r="AD93" s="2">
        <f t="shared" si="10"/>
        <v>5</v>
      </c>
      <c r="AE93" s="2">
        <f t="shared" ca="1" si="11"/>
        <v>-526.12730173610908</v>
      </c>
      <c r="AF93" s="15"/>
    </row>
    <row r="94" spans="1:32">
      <c r="A94" s="1">
        <v>7726631</v>
      </c>
      <c r="B94" s="1" t="s">
        <v>81</v>
      </c>
      <c r="C94" t="s">
        <v>240</v>
      </c>
      <c r="E94" s="2">
        <v>4119000206001</v>
      </c>
      <c r="F94" s="1" t="s">
        <v>29</v>
      </c>
      <c r="G94" s="1" t="s">
        <v>53</v>
      </c>
      <c r="H94" s="1" t="s">
        <v>297</v>
      </c>
      <c r="I94" s="1" t="s">
        <v>298</v>
      </c>
      <c r="J94" s="1" t="s">
        <v>211</v>
      </c>
      <c r="K94" t="s">
        <v>34</v>
      </c>
      <c r="M94" s="1" t="s">
        <v>35</v>
      </c>
      <c r="N94" s="1">
        <v>42318949</v>
      </c>
      <c r="O94" s="1" t="s">
        <v>36</v>
      </c>
      <c r="P94" s="186">
        <v>44459.548958333333</v>
      </c>
      <c r="R94" s="1" t="s">
        <v>38</v>
      </c>
      <c r="T94" s="1" t="s">
        <v>74</v>
      </c>
      <c r="U94" s="186">
        <v>44460.548958333333</v>
      </c>
      <c r="V94" s="1" t="s">
        <v>41</v>
      </c>
      <c r="W94" s="1" t="s">
        <v>49</v>
      </c>
      <c r="X94" s="13" t="str">
        <f t="shared" si="12"/>
        <v/>
      </c>
      <c r="Y94" s="2">
        <f t="shared" ca="1" si="7"/>
        <v>378</v>
      </c>
      <c r="Z94" s="14">
        <v>1</v>
      </c>
      <c r="AA94" s="1" t="str">
        <f t="shared" ca="1" si="8"/>
        <v>VENCIDO</v>
      </c>
      <c r="AB94" s="1" t="str">
        <f t="shared" si="9"/>
        <v>Dosa</v>
      </c>
      <c r="AC94" s="2" t="str">
        <f t="shared" si="13"/>
        <v xml:space="preserve"> RINALDO </v>
      </c>
      <c r="AD94" s="2">
        <f t="shared" si="10"/>
        <v>5</v>
      </c>
      <c r="AE94" s="2">
        <f t="shared" ca="1" si="11"/>
        <v>-526.12731331018585</v>
      </c>
      <c r="AF94" s="15"/>
    </row>
    <row r="95" spans="1:32" hidden="1">
      <c r="A95" s="1">
        <v>7726630</v>
      </c>
      <c r="B95" s="1" t="s">
        <v>81</v>
      </c>
      <c r="C95" t="s">
        <v>240</v>
      </c>
      <c r="E95" s="2">
        <v>2388000206001</v>
      </c>
      <c r="F95" s="1" t="s">
        <v>29</v>
      </c>
      <c r="G95" s="1" t="s">
        <v>53</v>
      </c>
      <c r="H95" s="1" t="s">
        <v>299</v>
      </c>
      <c r="I95" s="1" t="s">
        <v>300</v>
      </c>
      <c r="J95" s="1" t="s">
        <v>79</v>
      </c>
      <c r="K95" t="s">
        <v>34</v>
      </c>
      <c r="M95" s="1" t="s">
        <v>35</v>
      </c>
      <c r="N95" s="1">
        <v>42318949</v>
      </c>
      <c r="O95" s="1" t="s">
        <v>36</v>
      </c>
      <c r="P95" s="11" t="s">
        <v>301</v>
      </c>
      <c r="R95" s="1" t="s">
        <v>38</v>
      </c>
      <c r="T95" s="1" t="s">
        <v>74</v>
      </c>
      <c r="U95" s="11" t="s">
        <v>302</v>
      </c>
      <c r="V95" s="1" t="s">
        <v>41</v>
      </c>
      <c r="W95" s="1" t="s">
        <v>49</v>
      </c>
      <c r="X95" s="13" t="str">
        <f t="shared" si="12"/>
        <v/>
      </c>
      <c r="Y95" s="2">
        <f t="shared" ca="1" si="7"/>
        <v>378</v>
      </c>
      <c r="Z95" s="14">
        <v>1</v>
      </c>
      <c r="AA95" s="1" t="str">
        <f t="shared" ca="1" si="8"/>
        <v>VENCIDO</v>
      </c>
      <c r="AB95" s="1" t="str">
        <f t="shared" si="9"/>
        <v>Dosa</v>
      </c>
      <c r="AC95" s="2" t="str">
        <f t="shared" si="13"/>
        <v xml:space="preserve"> ROSEMERE </v>
      </c>
      <c r="AD95" s="2">
        <f t="shared" si="10"/>
        <v>5</v>
      </c>
      <c r="AE95" s="2">
        <f t="shared" ca="1" si="11"/>
        <v>-526.12731331018585</v>
      </c>
      <c r="AF95" s="15"/>
    </row>
    <row r="96" spans="1:32" hidden="1">
      <c r="A96" s="1">
        <v>7726629</v>
      </c>
      <c r="B96" s="1" t="s">
        <v>81</v>
      </c>
      <c r="C96" t="s">
        <v>240</v>
      </c>
      <c r="E96" s="2">
        <v>2326000206001</v>
      </c>
      <c r="F96" s="1" t="s">
        <v>29</v>
      </c>
      <c r="G96" s="1" t="s">
        <v>53</v>
      </c>
      <c r="H96" s="1" t="s">
        <v>191</v>
      </c>
      <c r="I96" s="1" t="s">
        <v>192</v>
      </c>
      <c r="J96" s="1" t="s">
        <v>46</v>
      </c>
      <c r="K96" t="s">
        <v>34</v>
      </c>
      <c r="M96" s="1" t="s">
        <v>35</v>
      </c>
      <c r="N96" s="1">
        <v>42318949</v>
      </c>
      <c r="O96" s="1" t="s">
        <v>36</v>
      </c>
      <c r="P96" s="186">
        <v>44459.548958333333</v>
      </c>
      <c r="R96" s="1" t="s">
        <v>38</v>
      </c>
      <c r="T96" s="1" t="s">
        <v>74</v>
      </c>
      <c r="U96" s="186">
        <v>44460.548958333333</v>
      </c>
      <c r="V96" s="1" t="s">
        <v>41</v>
      </c>
      <c r="W96" s="1" t="s">
        <v>49</v>
      </c>
      <c r="X96" s="13" t="str">
        <f t="shared" si="12"/>
        <v/>
      </c>
      <c r="Y96" s="2">
        <f t="shared" ca="1" si="7"/>
        <v>378</v>
      </c>
      <c r="Z96" s="14">
        <v>1</v>
      </c>
      <c r="AA96" s="1" t="str">
        <f t="shared" ca="1" si="8"/>
        <v>VENCIDO</v>
      </c>
      <c r="AB96" s="1" t="str">
        <f t="shared" si="9"/>
        <v>Dosa</v>
      </c>
      <c r="AC96" s="2" t="str">
        <f t="shared" si="13"/>
        <v xml:space="preserve"> CLEITON </v>
      </c>
      <c r="AD96" s="2">
        <f t="shared" si="10"/>
        <v>5</v>
      </c>
      <c r="AE96" s="2">
        <f t="shared" ca="1" si="11"/>
        <v>-526.12731331018585</v>
      </c>
      <c r="AF96" s="15"/>
    </row>
    <row r="97" spans="1:32" hidden="1">
      <c r="A97" s="1">
        <v>7726628</v>
      </c>
      <c r="B97" s="1" t="s">
        <v>81</v>
      </c>
      <c r="C97" t="s">
        <v>240</v>
      </c>
      <c r="E97" s="2">
        <v>1360000206001</v>
      </c>
      <c r="F97" s="1" t="s">
        <v>29</v>
      </c>
      <c r="G97" s="1" t="s">
        <v>53</v>
      </c>
      <c r="H97" s="1" t="s">
        <v>303</v>
      </c>
      <c r="I97" s="1" t="s">
        <v>304</v>
      </c>
      <c r="J97" s="1" t="s">
        <v>261</v>
      </c>
      <c r="K97" t="s">
        <v>34</v>
      </c>
      <c r="M97" s="1" t="s">
        <v>35</v>
      </c>
      <c r="N97" s="1">
        <v>42318949</v>
      </c>
      <c r="O97" s="1" t="s">
        <v>36</v>
      </c>
      <c r="P97" s="186">
        <v>44459.548958333333</v>
      </c>
      <c r="R97" s="1" t="s">
        <v>38</v>
      </c>
      <c r="T97" s="1" t="s">
        <v>74</v>
      </c>
      <c r="U97" s="186">
        <v>44460.548958333333</v>
      </c>
      <c r="V97" s="1" t="s">
        <v>41</v>
      </c>
      <c r="W97" s="1" t="s">
        <v>49</v>
      </c>
      <c r="X97" s="13" t="str">
        <f t="shared" si="12"/>
        <v/>
      </c>
      <c r="Y97" s="2">
        <f t="shared" ca="1" si="7"/>
        <v>378</v>
      </c>
      <c r="Z97" s="14">
        <v>1</v>
      </c>
      <c r="AA97" s="1" t="str">
        <f t="shared" ca="1" si="8"/>
        <v>VENCIDO</v>
      </c>
      <c r="AB97" s="1" t="str">
        <f t="shared" si="9"/>
        <v>Dosa</v>
      </c>
      <c r="AC97" s="2" t="str">
        <f t="shared" si="13"/>
        <v xml:space="preserve"> CRISTINA </v>
      </c>
      <c r="AD97" s="2">
        <f t="shared" si="10"/>
        <v>5</v>
      </c>
      <c r="AE97" s="2">
        <f t="shared" ca="1" si="11"/>
        <v>-526.12731331018585</v>
      </c>
      <c r="AF97" s="15"/>
    </row>
    <row r="98" spans="1:32" hidden="1">
      <c r="A98" s="1">
        <v>7726627</v>
      </c>
      <c r="B98" s="1" t="s">
        <v>81</v>
      </c>
      <c r="C98" t="s">
        <v>240</v>
      </c>
      <c r="E98" s="2">
        <v>1835000206001</v>
      </c>
      <c r="F98" s="1" t="s">
        <v>29</v>
      </c>
      <c r="G98" s="1" t="s">
        <v>53</v>
      </c>
      <c r="H98" s="1" t="s">
        <v>305</v>
      </c>
      <c r="I98" s="1" t="s">
        <v>306</v>
      </c>
      <c r="J98" s="1" t="s">
        <v>46</v>
      </c>
      <c r="K98" t="s">
        <v>34</v>
      </c>
      <c r="M98" s="1" t="s">
        <v>35</v>
      </c>
      <c r="N98" s="1">
        <v>42318949</v>
      </c>
      <c r="O98" s="1" t="s">
        <v>36</v>
      </c>
      <c r="P98" s="186">
        <v>44459.548958333333</v>
      </c>
      <c r="R98" s="1" t="s">
        <v>38</v>
      </c>
      <c r="T98" s="1" t="s">
        <v>74</v>
      </c>
      <c r="U98" s="186">
        <v>44460.548958333333</v>
      </c>
      <c r="V98" s="1" t="s">
        <v>41</v>
      </c>
      <c r="W98" s="1" t="s">
        <v>49</v>
      </c>
      <c r="X98" s="13" t="str">
        <f t="shared" si="12"/>
        <v/>
      </c>
      <c r="Y98" s="2">
        <f t="shared" ca="1" si="7"/>
        <v>378</v>
      </c>
      <c r="Z98" s="14">
        <v>1</v>
      </c>
      <c r="AA98" s="1" t="str">
        <f t="shared" ca="1" si="8"/>
        <v>VENCIDO</v>
      </c>
      <c r="AB98" s="1" t="str">
        <f t="shared" si="9"/>
        <v>Dosa</v>
      </c>
      <c r="AC98" s="2" t="str">
        <f t="shared" si="13"/>
        <v xml:space="preserve"> CLEITON </v>
      </c>
      <c r="AD98" s="2">
        <f t="shared" si="10"/>
        <v>5</v>
      </c>
      <c r="AE98" s="2">
        <f t="shared" ca="1" si="11"/>
        <v>-526.12731331018585</v>
      </c>
      <c r="AF98" s="15"/>
    </row>
    <row r="99" spans="1:32" hidden="1">
      <c r="A99" s="1">
        <v>7726626</v>
      </c>
      <c r="B99" s="1" t="s">
        <v>81</v>
      </c>
      <c r="C99" t="s">
        <v>240</v>
      </c>
      <c r="E99" s="2">
        <v>1664000206001</v>
      </c>
      <c r="F99" s="1" t="s">
        <v>29</v>
      </c>
      <c r="G99" s="1" t="s">
        <v>53</v>
      </c>
      <c r="H99" s="1" t="s">
        <v>307</v>
      </c>
      <c r="I99" s="1" t="s">
        <v>308</v>
      </c>
      <c r="J99" s="1" t="s">
        <v>164</v>
      </c>
      <c r="K99" t="s">
        <v>34</v>
      </c>
      <c r="M99" s="1" t="s">
        <v>35</v>
      </c>
      <c r="N99" s="1">
        <v>42318949</v>
      </c>
      <c r="O99" s="1" t="s">
        <v>36</v>
      </c>
      <c r="P99" s="186">
        <v>44459.548958333333</v>
      </c>
      <c r="R99" s="1" t="s">
        <v>38</v>
      </c>
      <c r="T99" s="1" t="s">
        <v>74</v>
      </c>
      <c r="U99" s="186">
        <v>44460.548958333333</v>
      </c>
      <c r="V99" s="1" t="s">
        <v>41</v>
      </c>
      <c r="W99" s="1" t="s">
        <v>49</v>
      </c>
      <c r="X99" s="13" t="str">
        <f t="shared" si="12"/>
        <v/>
      </c>
      <c r="Y99" s="2">
        <f t="shared" ca="1" si="7"/>
        <v>378</v>
      </c>
      <c r="Z99" s="14">
        <v>1</v>
      </c>
      <c r="AA99" s="1" t="str">
        <f t="shared" ca="1" si="8"/>
        <v>VENCIDO</v>
      </c>
      <c r="AB99" s="1" t="str">
        <f t="shared" si="9"/>
        <v>Dosa</v>
      </c>
      <c r="AC99" s="2" t="str">
        <f t="shared" si="13"/>
        <v xml:space="preserve"> ROSEMERE </v>
      </c>
      <c r="AD99" s="2">
        <f t="shared" si="10"/>
        <v>5</v>
      </c>
      <c r="AE99" s="2">
        <f t="shared" ca="1" si="11"/>
        <v>-526.12731331018585</v>
      </c>
      <c r="AF99" s="15"/>
    </row>
    <row r="100" spans="1:32" hidden="1">
      <c r="A100" s="1">
        <v>7726624</v>
      </c>
      <c r="B100" s="1" t="s">
        <v>81</v>
      </c>
      <c r="C100" t="s">
        <v>240</v>
      </c>
      <c r="E100" s="2">
        <v>1732000206001</v>
      </c>
      <c r="F100" s="1" t="s">
        <v>29</v>
      </c>
      <c r="G100" s="1" t="s">
        <v>53</v>
      </c>
      <c r="H100" s="1" t="s">
        <v>177</v>
      </c>
      <c r="I100" s="1" t="s">
        <v>178</v>
      </c>
      <c r="J100" s="1" t="s">
        <v>164</v>
      </c>
      <c r="K100" t="s">
        <v>34</v>
      </c>
      <c r="M100" s="1" t="s">
        <v>35</v>
      </c>
      <c r="N100" s="1">
        <v>42318949</v>
      </c>
      <c r="O100" s="1" t="s">
        <v>36</v>
      </c>
      <c r="P100" s="186">
        <v>44459.548958333333</v>
      </c>
      <c r="R100" s="1" t="s">
        <v>38</v>
      </c>
      <c r="T100" s="1" t="s">
        <v>74</v>
      </c>
      <c r="U100" s="186">
        <v>44460.548958333333</v>
      </c>
      <c r="V100" s="1" t="s">
        <v>41</v>
      </c>
      <c r="W100" s="1" t="s">
        <v>49</v>
      </c>
      <c r="X100" s="13" t="str">
        <f t="shared" si="12"/>
        <v/>
      </c>
      <c r="Y100" s="2">
        <f t="shared" ca="1" si="7"/>
        <v>378</v>
      </c>
      <c r="Z100" s="14">
        <v>1</v>
      </c>
      <c r="AA100" s="1" t="str">
        <f t="shared" ca="1" si="8"/>
        <v>VENCIDO</v>
      </c>
      <c r="AB100" s="1" t="str">
        <f t="shared" si="9"/>
        <v>Dosa</v>
      </c>
      <c r="AC100" s="2" t="str">
        <f t="shared" si="13"/>
        <v xml:space="preserve"> ROSEMERE </v>
      </c>
      <c r="AD100" s="2">
        <f t="shared" si="10"/>
        <v>5</v>
      </c>
      <c r="AE100" s="2">
        <f t="shared" ca="1" si="11"/>
        <v>-526.12731331018585</v>
      </c>
      <c r="AF100" s="15"/>
    </row>
    <row r="101" spans="1:32" hidden="1">
      <c r="A101" s="1">
        <v>7726620</v>
      </c>
      <c r="B101" s="1" t="s">
        <v>81</v>
      </c>
      <c r="C101" t="s">
        <v>240</v>
      </c>
      <c r="E101" s="2">
        <v>3924000206001</v>
      </c>
      <c r="F101" s="1" t="s">
        <v>29</v>
      </c>
      <c r="G101" s="1" t="s">
        <v>53</v>
      </c>
      <c r="H101" s="1" t="s">
        <v>153</v>
      </c>
      <c r="I101" s="1" t="s">
        <v>154</v>
      </c>
      <c r="J101" s="1" t="s">
        <v>56</v>
      </c>
      <c r="K101" t="s">
        <v>34</v>
      </c>
      <c r="M101" s="1" t="s">
        <v>35</v>
      </c>
      <c r="N101" s="1">
        <v>42318949</v>
      </c>
      <c r="O101" s="1" t="s">
        <v>36</v>
      </c>
      <c r="P101" s="186">
        <v>44459.548946759256</v>
      </c>
      <c r="R101" s="1" t="s">
        <v>38</v>
      </c>
      <c r="T101" s="1" t="s">
        <v>74</v>
      </c>
      <c r="U101" s="186">
        <v>44460.548946759256</v>
      </c>
      <c r="V101" s="1" t="s">
        <v>41</v>
      </c>
      <c r="W101" s="1" t="s">
        <v>49</v>
      </c>
      <c r="X101" s="13" t="str">
        <f t="shared" si="12"/>
        <v/>
      </c>
      <c r="Y101" s="2">
        <f t="shared" ca="1" si="7"/>
        <v>378</v>
      </c>
      <c r="Z101" s="14">
        <v>1</v>
      </c>
      <c r="AA101" s="1" t="str">
        <f t="shared" ca="1" si="8"/>
        <v>VENCIDO</v>
      </c>
      <c r="AB101" s="1" t="str">
        <f t="shared" si="9"/>
        <v>Dosa</v>
      </c>
      <c r="AC101" s="2" t="str">
        <f t="shared" si="13"/>
        <v xml:space="preserve"> CRISTINA </v>
      </c>
      <c r="AD101" s="2">
        <f t="shared" si="10"/>
        <v>5</v>
      </c>
      <c r="AE101" s="2">
        <f t="shared" ca="1" si="11"/>
        <v>-526.12732488426263</v>
      </c>
      <c r="AF101" s="15"/>
    </row>
    <row r="102" spans="1:32" hidden="1">
      <c r="A102" s="1">
        <v>7726617</v>
      </c>
      <c r="B102" s="1" t="s">
        <v>81</v>
      </c>
      <c r="C102" t="s">
        <v>240</v>
      </c>
      <c r="E102" s="2">
        <v>1361000206001</v>
      </c>
      <c r="F102" s="1" t="s">
        <v>29</v>
      </c>
      <c r="G102" s="1" t="s">
        <v>53</v>
      </c>
      <c r="H102" s="1" t="s">
        <v>309</v>
      </c>
      <c r="I102" s="1" t="s">
        <v>310</v>
      </c>
      <c r="J102" s="1" t="s">
        <v>46</v>
      </c>
      <c r="K102" t="s">
        <v>34</v>
      </c>
      <c r="M102" s="1" t="s">
        <v>35</v>
      </c>
      <c r="N102" s="1">
        <v>42318949</v>
      </c>
      <c r="O102" s="1" t="s">
        <v>36</v>
      </c>
      <c r="P102" s="186">
        <v>44459.548946759256</v>
      </c>
      <c r="R102" s="1" t="s">
        <v>38</v>
      </c>
      <c r="T102" s="1" t="s">
        <v>74</v>
      </c>
      <c r="U102" s="186">
        <v>44460.548946759256</v>
      </c>
      <c r="V102" s="1" t="s">
        <v>41</v>
      </c>
      <c r="W102" s="1" t="s">
        <v>49</v>
      </c>
      <c r="X102" s="13" t="str">
        <f t="shared" si="12"/>
        <v/>
      </c>
      <c r="Y102" s="2">
        <f t="shared" ca="1" si="7"/>
        <v>378</v>
      </c>
      <c r="Z102" s="14">
        <v>1</v>
      </c>
      <c r="AA102" s="1" t="str">
        <f t="shared" ca="1" si="8"/>
        <v>VENCIDO</v>
      </c>
      <c r="AB102" s="1" t="str">
        <f t="shared" si="9"/>
        <v>Dosa</v>
      </c>
      <c r="AC102" s="2" t="str">
        <f t="shared" si="13"/>
        <v xml:space="preserve"> CLEITON </v>
      </c>
      <c r="AD102" s="2">
        <f t="shared" si="10"/>
        <v>5</v>
      </c>
      <c r="AE102" s="2">
        <f t="shared" ca="1" si="11"/>
        <v>-526.12732488426263</v>
      </c>
      <c r="AF102" s="15"/>
    </row>
    <row r="103" spans="1:32">
      <c r="A103" s="1">
        <v>7726616</v>
      </c>
      <c r="B103" s="1" t="s">
        <v>81</v>
      </c>
      <c r="C103" t="s">
        <v>240</v>
      </c>
      <c r="E103" s="2">
        <v>2737000206001</v>
      </c>
      <c r="F103" s="1" t="s">
        <v>29</v>
      </c>
      <c r="G103" s="1" t="s">
        <v>53</v>
      </c>
      <c r="H103" s="1" t="s">
        <v>311</v>
      </c>
      <c r="I103" s="1" t="s">
        <v>312</v>
      </c>
      <c r="J103" s="1" t="s">
        <v>90</v>
      </c>
      <c r="K103" t="s">
        <v>34</v>
      </c>
      <c r="M103" s="1" t="s">
        <v>35</v>
      </c>
      <c r="N103" s="1">
        <v>42318949</v>
      </c>
      <c r="O103" s="1" t="s">
        <v>36</v>
      </c>
      <c r="P103" s="186">
        <v>44459.548935185187</v>
      </c>
      <c r="R103" s="1" t="s">
        <v>38</v>
      </c>
      <c r="T103" s="1" t="s">
        <v>74</v>
      </c>
      <c r="U103" s="186">
        <v>44460.548935185187</v>
      </c>
      <c r="V103" s="1" t="s">
        <v>41</v>
      </c>
      <c r="W103" s="1" t="s">
        <v>49</v>
      </c>
      <c r="X103" s="13" t="str">
        <f t="shared" si="12"/>
        <v/>
      </c>
      <c r="Y103" s="2">
        <f t="shared" ca="1" si="7"/>
        <v>378</v>
      </c>
      <c r="Z103" s="14">
        <v>1</v>
      </c>
      <c r="AA103" s="1" t="str">
        <f t="shared" ca="1" si="8"/>
        <v>VENCIDO</v>
      </c>
      <c r="AB103" s="1" t="str">
        <f t="shared" si="9"/>
        <v>Dosa</v>
      </c>
      <c r="AC103" s="2" t="str">
        <f t="shared" si="13"/>
        <v xml:space="preserve"> RINALDO </v>
      </c>
      <c r="AD103" s="2">
        <f t="shared" si="10"/>
        <v>5</v>
      </c>
      <c r="AE103" s="2">
        <f t="shared" ca="1" si="11"/>
        <v>-526.12733645833214</v>
      </c>
      <c r="AF103" s="15"/>
    </row>
    <row r="104" spans="1:32" hidden="1">
      <c r="A104" s="1">
        <v>7726614</v>
      </c>
      <c r="B104" s="1" t="s">
        <v>81</v>
      </c>
      <c r="C104" t="s">
        <v>240</v>
      </c>
      <c r="E104" s="2">
        <v>244000206001</v>
      </c>
      <c r="F104" s="1" t="s">
        <v>29</v>
      </c>
      <c r="G104" s="1" t="s">
        <v>53</v>
      </c>
      <c r="H104" s="1" t="s">
        <v>313</v>
      </c>
      <c r="I104" s="1" t="s">
        <v>314</v>
      </c>
      <c r="J104" s="1" t="s">
        <v>56</v>
      </c>
      <c r="K104" t="s">
        <v>34</v>
      </c>
      <c r="M104" s="1" t="s">
        <v>35</v>
      </c>
      <c r="N104" s="1">
        <v>42318949</v>
      </c>
      <c r="O104" s="1" t="s">
        <v>36</v>
      </c>
      <c r="P104" s="186">
        <v>44459.548935185187</v>
      </c>
      <c r="R104" s="1" t="s">
        <v>38</v>
      </c>
      <c r="T104" s="1" t="s">
        <v>74</v>
      </c>
      <c r="U104" s="186">
        <v>44460.548935185187</v>
      </c>
      <c r="V104" s="1" t="s">
        <v>41</v>
      </c>
      <c r="W104" s="1" t="s">
        <v>49</v>
      </c>
      <c r="X104" s="13" t="str">
        <f t="shared" si="12"/>
        <v/>
      </c>
      <c r="Y104" s="2">
        <f t="shared" ca="1" si="7"/>
        <v>378</v>
      </c>
      <c r="Z104" s="14">
        <v>1</v>
      </c>
      <c r="AA104" s="1" t="str">
        <f t="shared" ca="1" si="8"/>
        <v>VENCIDO</v>
      </c>
      <c r="AB104" s="1" t="str">
        <f t="shared" si="9"/>
        <v>Dosa</v>
      </c>
      <c r="AC104" s="2" t="str">
        <f t="shared" si="13"/>
        <v xml:space="preserve"> CRISTINA </v>
      </c>
      <c r="AD104" s="2">
        <f t="shared" si="10"/>
        <v>5</v>
      </c>
      <c r="AE104" s="2">
        <f t="shared" ca="1" si="11"/>
        <v>-526.12733645833214</v>
      </c>
      <c r="AF104" s="15"/>
    </row>
    <row r="105" spans="1:32">
      <c r="A105" s="1">
        <v>7726613</v>
      </c>
      <c r="B105" s="1" t="s">
        <v>81</v>
      </c>
      <c r="C105" t="s">
        <v>240</v>
      </c>
      <c r="E105" s="2">
        <v>1146000206001</v>
      </c>
      <c r="F105" s="1" t="s">
        <v>29</v>
      </c>
      <c r="G105" s="1" t="s">
        <v>53</v>
      </c>
      <c r="H105" s="1" t="s">
        <v>315</v>
      </c>
      <c r="I105" s="1" t="s">
        <v>316</v>
      </c>
      <c r="J105" s="1" t="s">
        <v>148</v>
      </c>
      <c r="K105" t="s">
        <v>34</v>
      </c>
      <c r="M105" s="1" t="s">
        <v>35</v>
      </c>
      <c r="N105" s="1">
        <v>42318949</v>
      </c>
      <c r="O105" s="1" t="s">
        <v>36</v>
      </c>
      <c r="P105" s="186">
        <v>44459.548935185187</v>
      </c>
      <c r="R105" s="1" t="s">
        <v>38</v>
      </c>
      <c r="T105" s="1" t="s">
        <v>74</v>
      </c>
      <c r="U105" s="186">
        <v>44460.548935185187</v>
      </c>
      <c r="V105" s="1" t="s">
        <v>41</v>
      </c>
      <c r="W105" s="1" t="s">
        <v>49</v>
      </c>
      <c r="X105" s="13" t="str">
        <f t="shared" si="12"/>
        <v/>
      </c>
      <c r="Y105" s="2">
        <f t="shared" ca="1" si="7"/>
        <v>378</v>
      </c>
      <c r="Z105" s="14">
        <v>1</v>
      </c>
      <c r="AA105" s="1" t="str">
        <f t="shared" ca="1" si="8"/>
        <v>VENCIDO</v>
      </c>
      <c r="AB105" s="1" t="str">
        <f t="shared" si="9"/>
        <v>Dosa</v>
      </c>
      <c r="AC105" s="2" t="str">
        <f t="shared" si="13"/>
        <v xml:space="preserve"> RINALDO </v>
      </c>
      <c r="AD105" s="2">
        <f t="shared" si="10"/>
        <v>5</v>
      </c>
      <c r="AE105" s="2">
        <f t="shared" ca="1" si="11"/>
        <v>-526.12733645833214</v>
      </c>
      <c r="AF105" s="15"/>
    </row>
    <row r="106" spans="1:32" hidden="1">
      <c r="A106" s="1">
        <v>7726612</v>
      </c>
      <c r="B106" s="1" t="s">
        <v>81</v>
      </c>
      <c r="C106" t="s">
        <v>240</v>
      </c>
      <c r="E106" s="2">
        <v>1012000206001</v>
      </c>
      <c r="F106" s="1" t="s">
        <v>29</v>
      </c>
      <c r="G106" s="1" t="s">
        <v>53</v>
      </c>
      <c r="H106" s="1" t="s">
        <v>172</v>
      </c>
      <c r="I106" s="1" t="s">
        <v>173</v>
      </c>
      <c r="J106" s="1" t="s">
        <v>164</v>
      </c>
      <c r="K106" t="s">
        <v>34</v>
      </c>
      <c r="M106" s="1" t="s">
        <v>35</v>
      </c>
      <c r="N106" s="1">
        <v>42318949</v>
      </c>
      <c r="O106" s="1" t="s">
        <v>36</v>
      </c>
      <c r="P106" s="186">
        <v>44459.548935185187</v>
      </c>
      <c r="R106" s="1" t="s">
        <v>38</v>
      </c>
      <c r="T106" s="1" t="s">
        <v>74</v>
      </c>
      <c r="U106" s="186">
        <v>44460.548935185187</v>
      </c>
      <c r="V106" s="1" t="s">
        <v>41</v>
      </c>
      <c r="W106" s="1" t="s">
        <v>49</v>
      </c>
      <c r="X106" s="13" t="str">
        <f t="shared" si="12"/>
        <v/>
      </c>
      <c r="Y106" s="2">
        <f t="shared" ca="1" si="7"/>
        <v>378</v>
      </c>
      <c r="Z106" s="14">
        <v>1</v>
      </c>
      <c r="AA106" s="1" t="str">
        <f t="shared" ca="1" si="8"/>
        <v>VENCIDO</v>
      </c>
      <c r="AB106" s="1" t="str">
        <f t="shared" si="9"/>
        <v>Dosa</v>
      </c>
      <c r="AC106" s="2" t="str">
        <f t="shared" si="13"/>
        <v xml:space="preserve"> ROSEMERE </v>
      </c>
      <c r="AD106" s="2">
        <f t="shared" si="10"/>
        <v>5</v>
      </c>
      <c r="AE106" s="2">
        <f t="shared" ca="1" si="11"/>
        <v>-526.12733645833214</v>
      </c>
      <c r="AF106" s="15"/>
    </row>
    <row r="107" spans="1:32" hidden="1">
      <c r="A107" s="1">
        <v>7726611</v>
      </c>
      <c r="B107" s="1" t="s">
        <v>81</v>
      </c>
      <c r="C107" t="s">
        <v>240</v>
      </c>
      <c r="E107" s="2">
        <v>2625000206001</v>
      </c>
      <c r="F107" s="1" t="s">
        <v>29</v>
      </c>
      <c r="G107" s="1" t="s">
        <v>53</v>
      </c>
      <c r="H107" s="1" t="s">
        <v>317</v>
      </c>
      <c r="I107" s="1" t="s">
        <v>318</v>
      </c>
      <c r="J107" s="1" t="s">
        <v>164</v>
      </c>
      <c r="K107" t="s">
        <v>34</v>
      </c>
      <c r="M107" s="1" t="s">
        <v>35</v>
      </c>
      <c r="N107" s="1">
        <v>42318949</v>
      </c>
      <c r="O107" s="1" t="s">
        <v>36</v>
      </c>
      <c r="P107" s="186">
        <v>44459.548935185187</v>
      </c>
      <c r="R107" s="1" t="s">
        <v>38</v>
      </c>
      <c r="T107" s="1" t="s">
        <v>74</v>
      </c>
      <c r="U107" s="186">
        <v>44460.548935185187</v>
      </c>
      <c r="V107" s="1" t="s">
        <v>41</v>
      </c>
      <c r="W107" s="1" t="s">
        <v>49</v>
      </c>
      <c r="X107" s="13" t="str">
        <f t="shared" si="12"/>
        <v/>
      </c>
      <c r="Y107" s="2">
        <f t="shared" ca="1" si="7"/>
        <v>378</v>
      </c>
      <c r="Z107" s="14">
        <v>1</v>
      </c>
      <c r="AA107" s="1" t="str">
        <f t="shared" ca="1" si="8"/>
        <v>VENCIDO</v>
      </c>
      <c r="AB107" s="1" t="str">
        <f t="shared" si="9"/>
        <v>Dosa</v>
      </c>
      <c r="AC107" s="2" t="str">
        <f t="shared" si="13"/>
        <v xml:space="preserve"> ROSEMERE </v>
      </c>
      <c r="AD107" s="2">
        <f t="shared" si="10"/>
        <v>5</v>
      </c>
      <c r="AE107" s="2">
        <f t="shared" ca="1" si="11"/>
        <v>-526.12733645833214</v>
      </c>
      <c r="AF107" s="15"/>
    </row>
    <row r="108" spans="1:32">
      <c r="A108" s="1">
        <v>7726608</v>
      </c>
      <c r="B108" s="1" t="s">
        <v>81</v>
      </c>
      <c r="C108" t="s">
        <v>240</v>
      </c>
      <c r="E108" s="2">
        <v>3802000206001</v>
      </c>
      <c r="F108" s="1" t="s">
        <v>29</v>
      </c>
      <c r="G108" s="1" t="s">
        <v>53</v>
      </c>
      <c r="H108" s="1" t="s">
        <v>319</v>
      </c>
      <c r="I108" s="1" t="s">
        <v>320</v>
      </c>
      <c r="J108" s="1" t="s">
        <v>148</v>
      </c>
      <c r="K108" t="s">
        <v>34</v>
      </c>
      <c r="M108" s="1" t="s">
        <v>35</v>
      </c>
      <c r="N108" s="1">
        <v>42318949</v>
      </c>
      <c r="O108" s="1" t="s">
        <v>36</v>
      </c>
      <c r="P108" s="186">
        <v>44459.54892361111</v>
      </c>
      <c r="R108" s="1" t="s">
        <v>38</v>
      </c>
      <c r="T108" s="1" t="s">
        <v>74</v>
      </c>
      <c r="U108" s="186">
        <v>44460.54892361111</v>
      </c>
      <c r="V108" s="1" t="s">
        <v>41</v>
      </c>
      <c r="W108" s="1" t="s">
        <v>49</v>
      </c>
      <c r="X108" s="13" t="str">
        <f t="shared" si="12"/>
        <v/>
      </c>
      <c r="Y108" s="2">
        <f t="shared" ca="1" si="7"/>
        <v>378</v>
      </c>
      <c r="Z108" s="14">
        <v>1</v>
      </c>
      <c r="AA108" s="1" t="str">
        <f t="shared" ca="1" si="8"/>
        <v>VENCIDO</v>
      </c>
      <c r="AB108" s="1" t="str">
        <f t="shared" si="9"/>
        <v>Dosa</v>
      </c>
      <c r="AC108" s="2" t="str">
        <f t="shared" si="13"/>
        <v xml:space="preserve"> RINALDO </v>
      </c>
      <c r="AD108" s="2">
        <f t="shared" si="10"/>
        <v>5</v>
      </c>
      <c r="AE108" s="2">
        <f t="shared" ca="1" si="11"/>
        <v>-526.12734803240892</v>
      </c>
      <c r="AF108" s="15"/>
    </row>
    <row r="109" spans="1:32" hidden="1">
      <c r="A109" s="1">
        <v>7726607</v>
      </c>
      <c r="B109" s="1" t="s">
        <v>81</v>
      </c>
      <c r="C109" s="15" t="s">
        <v>240</v>
      </c>
      <c r="E109" s="2">
        <v>3258000206001</v>
      </c>
      <c r="F109" s="18" t="s">
        <v>29</v>
      </c>
      <c r="G109" s="1" t="s">
        <v>53</v>
      </c>
      <c r="H109" s="1" t="s">
        <v>321</v>
      </c>
      <c r="I109" s="1" t="s">
        <v>322</v>
      </c>
      <c r="J109" s="1" t="s">
        <v>46</v>
      </c>
      <c r="K109" t="s">
        <v>34</v>
      </c>
      <c r="M109" s="1" t="s">
        <v>35</v>
      </c>
      <c r="N109" s="1">
        <v>42318949</v>
      </c>
      <c r="O109" s="1" t="s">
        <v>36</v>
      </c>
      <c r="P109" s="11" t="s">
        <v>323</v>
      </c>
      <c r="R109" s="1" t="s">
        <v>38</v>
      </c>
      <c r="T109" s="1" t="s">
        <v>74</v>
      </c>
      <c r="U109" s="11" t="s">
        <v>324</v>
      </c>
      <c r="V109" s="1" t="s">
        <v>41</v>
      </c>
      <c r="W109" s="1" t="s">
        <v>49</v>
      </c>
      <c r="X109" s="13" t="str">
        <f t="shared" si="12"/>
        <v/>
      </c>
      <c r="Y109" s="2">
        <f t="shared" ca="1" si="7"/>
        <v>378</v>
      </c>
      <c r="Z109" s="14">
        <v>1</v>
      </c>
      <c r="AA109" s="1" t="str">
        <f t="shared" ca="1" si="8"/>
        <v>VENCIDO</v>
      </c>
      <c r="AB109" s="1" t="str">
        <f t="shared" si="9"/>
        <v>Dosa</v>
      </c>
      <c r="AC109" s="2" t="str">
        <f t="shared" si="13"/>
        <v xml:space="preserve"> CLEITON </v>
      </c>
      <c r="AD109" s="2">
        <f t="shared" si="10"/>
        <v>5</v>
      </c>
      <c r="AE109" s="2">
        <f t="shared" ca="1" si="11"/>
        <v>-526.12734803240892</v>
      </c>
      <c r="AF109" s="15"/>
    </row>
    <row r="110" spans="1:32" hidden="1">
      <c r="A110" s="1">
        <v>7726606</v>
      </c>
      <c r="B110" s="1" t="s">
        <v>81</v>
      </c>
      <c r="C110" t="s">
        <v>240</v>
      </c>
      <c r="E110" s="2">
        <v>1120000206001</v>
      </c>
      <c r="F110" s="1" t="s">
        <v>29</v>
      </c>
      <c r="G110" s="1" t="s">
        <v>53</v>
      </c>
      <c r="H110" s="1" t="s">
        <v>181</v>
      </c>
      <c r="I110" s="1" t="s">
        <v>182</v>
      </c>
      <c r="J110" s="1" t="s">
        <v>164</v>
      </c>
      <c r="K110" t="s">
        <v>34</v>
      </c>
      <c r="M110" s="1" t="s">
        <v>35</v>
      </c>
      <c r="N110" s="1">
        <v>42318949</v>
      </c>
      <c r="O110" s="1" t="s">
        <v>36</v>
      </c>
      <c r="P110" s="11" t="s">
        <v>323</v>
      </c>
      <c r="R110" s="1" t="s">
        <v>38</v>
      </c>
      <c r="T110" s="1" t="s">
        <v>74</v>
      </c>
      <c r="U110" s="11" t="s">
        <v>324</v>
      </c>
      <c r="V110" s="1" t="s">
        <v>41</v>
      </c>
      <c r="W110" s="1" t="s">
        <v>49</v>
      </c>
      <c r="X110" s="13" t="str">
        <f t="shared" si="12"/>
        <v/>
      </c>
      <c r="Y110" s="2">
        <f t="shared" ca="1" si="7"/>
        <v>378</v>
      </c>
      <c r="Z110" s="14">
        <v>1</v>
      </c>
      <c r="AA110" s="1" t="str">
        <f t="shared" ca="1" si="8"/>
        <v>VENCIDO</v>
      </c>
      <c r="AB110" s="1" t="str">
        <f t="shared" si="9"/>
        <v>Dosa</v>
      </c>
      <c r="AC110" s="2" t="str">
        <f t="shared" si="13"/>
        <v xml:space="preserve"> ROSEMERE </v>
      </c>
      <c r="AD110" s="2">
        <f t="shared" si="10"/>
        <v>5</v>
      </c>
      <c r="AE110" s="2">
        <f t="shared" ca="1" si="11"/>
        <v>-526.12734803240892</v>
      </c>
      <c r="AF110" s="15"/>
    </row>
    <row r="111" spans="1:32" hidden="1">
      <c r="A111" s="1">
        <v>7726605</v>
      </c>
      <c r="B111" s="1" t="s">
        <v>81</v>
      </c>
      <c r="C111" t="s">
        <v>240</v>
      </c>
      <c r="E111" s="2">
        <v>3108000206001</v>
      </c>
      <c r="F111" s="1" t="s">
        <v>29</v>
      </c>
      <c r="G111" s="1" t="s">
        <v>53</v>
      </c>
      <c r="H111" s="1" t="s">
        <v>325</v>
      </c>
      <c r="I111" s="1" t="s">
        <v>326</v>
      </c>
      <c r="J111" s="1" t="s">
        <v>46</v>
      </c>
      <c r="K111" t="s">
        <v>34</v>
      </c>
      <c r="M111" s="1" t="s">
        <v>35</v>
      </c>
      <c r="N111" s="1">
        <v>42318949</v>
      </c>
      <c r="O111" s="1" t="s">
        <v>36</v>
      </c>
      <c r="P111" s="11" t="s">
        <v>323</v>
      </c>
      <c r="R111" s="1" t="s">
        <v>38</v>
      </c>
      <c r="T111" s="1" t="s">
        <v>74</v>
      </c>
      <c r="U111" s="11" t="s">
        <v>324</v>
      </c>
      <c r="V111" s="1" t="s">
        <v>41</v>
      </c>
      <c r="W111" s="1" t="s">
        <v>49</v>
      </c>
      <c r="X111" s="13" t="str">
        <f t="shared" si="12"/>
        <v/>
      </c>
      <c r="Y111" s="2">
        <f t="shared" ca="1" si="7"/>
        <v>378</v>
      </c>
      <c r="Z111" s="14">
        <v>1</v>
      </c>
      <c r="AA111" s="1" t="str">
        <f t="shared" ca="1" si="8"/>
        <v>VENCIDO</v>
      </c>
      <c r="AB111" s="1" t="str">
        <f t="shared" si="9"/>
        <v>Dosa</v>
      </c>
      <c r="AC111" s="2" t="str">
        <f t="shared" si="13"/>
        <v xml:space="preserve"> CLEITON </v>
      </c>
      <c r="AD111" s="2">
        <f t="shared" si="10"/>
        <v>5</v>
      </c>
      <c r="AE111" s="2">
        <f t="shared" ca="1" si="11"/>
        <v>-526.12734803240892</v>
      </c>
      <c r="AF111" s="15"/>
    </row>
    <row r="112" spans="1:32" hidden="1">
      <c r="A112" s="1">
        <v>7726604</v>
      </c>
      <c r="B112" s="1" t="s">
        <v>81</v>
      </c>
      <c r="C112" t="s">
        <v>240</v>
      </c>
      <c r="E112" s="2">
        <v>1710000206001</v>
      </c>
      <c r="F112" s="1" t="s">
        <v>29</v>
      </c>
      <c r="G112" s="1" t="s">
        <v>53</v>
      </c>
      <c r="H112" s="1" t="s">
        <v>327</v>
      </c>
      <c r="I112" s="1" t="s">
        <v>328</v>
      </c>
      <c r="J112" s="1" t="s">
        <v>261</v>
      </c>
      <c r="K112" t="s">
        <v>34</v>
      </c>
      <c r="M112" s="1" t="s">
        <v>35</v>
      </c>
      <c r="N112" s="1">
        <v>42318949</v>
      </c>
      <c r="O112" s="1" t="s">
        <v>36</v>
      </c>
      <c r="P112" s="11" t="s">
        <v>323</v>
      </c>
      <c r="R112" s="1" t="s">
        <v>38</v>
      </c>
      <c r="T112" s="1" t="s">
        <v>74</v>
      </c>
      <c r="U112" s="11" t="s">
        <v>324</v>
      </c>
      <c r="V112" s="1" t="s">
        <v>41</v>
      </c>
      <c r="W112" s="1" t="s">
        <v>49</v>
      </c>
      <c r="X112" s="13" t="str">
        <f t="shared" si="12"/>
        <v/>
      </c>
      <c r="Y112" s="2">
        <f t="shared" ca="1" si="7"/>
        <v>378</v>
      </c>
      <c r="Z112" s="14">
        <v>1</v>
      </c>
      <c r="AA112" s="1" t="str">
        <f t="shared" ca="1" si="8"/>
        <v>VENCIDO</v>
      </c>
      <c r="AB112" s="1" t="str">
        <f t="shared" si="9"/>
        <v>Dosa</v>
      </c>
      <c r="AC112" s="2" t="str">
        <f t="shared" si="13"/>
        <v xml:space="preserve"> CRISTINA </v>
      </c>
      <c r="AD112" s="2">
        <f t="shared" si="10"/>
        <v>5</v>
      </c>
      <c r="AE112" s="2">
        <f t="shared" ca="1" si="11"/>
        <v>-526.12734803240892</v>
      </c>
      <c r="AF112" s="15"/>
    </row>
    <row r="113" spans="1:32" hidden="1">
      <c r="A113" s="1">
        <v>7726603</v>
      </c>
      <c r="B113" s="1" t="s">
        <v>81</v>
      </c>
      <c r="C113" t="s">
        <v>240</v>
      </c>
      <c r="E113" s="2">
        <v>1052000206001</v>
      </c>
      <c r="F113" s="1" t="s">
        <v>29</v>
      </c>
      <c r="G113" s="1" t="s">
        <v>53</v>
      </c>
      <c r="H113" s="1" t="s">
        <v>329</v>
      </c>
      <c r="I113" s="1" t="s">
        <v>330</v>
      </c>
      <c r="J113" s="1" t="s">
        <v>79</v>
      </c>
      <c r="K113" t="s">
        <v>34</v>
      </c>
      <c r="M113" s="1" t="s">
        <v>35</v>
      </c>
      <c r="N113" s="1">
        <v>42318949</v>
      </c>
      <c r="O113" s="1" t="s">
        <v>36</v>
      </c>
      <c r="P113" s="12">
        <v>44459.54891203704</v>
      </c>
      <c r="R113" s="1" t="s">
        <v>38</v>
      </c>
      <c r="T113" s="1" t="s">
        <v>74</v>
      </c>
      <c r="U113" s="12">
        <v>44460.54891203704</v>
      </c>
      <c r="V113" s="1" t="s">
        <v>41</v>
      </c>
      <c r="W113" s="1" t="s">
        <v>49</v>
      </c>
      <c r="X113" s="13" t="str">
        <f t="shared" si="12"/>
        <v/>
      </c>
      <c r="Y113" s="2">
        <f t="shared" ca="1" si="7"/>
        <v>378</v>
      </c>
      <c r="Z113" s="14">
        <v>1</v>
      </c>
      <c r="AA113" s="1" t="str">
        <f t="shared" ca="1" si="8"/>
        <v>VENCIDO</v>
      </c>
      <c r="AB113" s="1" t="str">
        <f t="shared" si="9"/>
        <v>Dosa</v>
      </c>
      <c r="AC113" s="2" t="str">
        <f t="shared" si="13"/>
        <v xml:space="preserve"> ROSEMERE </v>
      </c>
      <c r="AD113" s="2">
        <f t="shared" si="10"/>
        <v>5</v>
      </c>
      <c r="AE113" s="2">
        <f t="shared" ca="1" si="11"/>
        <v>-526.12735960647842</v>
      </c>
      <c r="AF113" s="15"/>
    </row>
    <row r="114" spans="1:32">
      <c r="A114" s="1">
        <v>7726602</v>
      </c>
      <c r="B114" s="1" t="s">
        <v>81</v>
      </c>
      <c r="C114" t="s">
        <v>240</v>
      </c>
      <c r="E114" s="2">
        <v>899000206001</v>
      </c>
      <c r="F114" s="1" t="s">
        <v>29</v>
      </c>
      <c r="G114" s="1" t="s">
        <v>53</v>
      </c>
      <c r="H114" s="1" t="s">
        <v>175</v>
      </c>
      <c r="I114" s="1" t="s">
        <v>176</v>
      </c>
      <c r="J114" s="1" t="s">
        <v>90</v>
      </c>
      <c r="K114" t="s">
        <v>34</v>
      </c>
      <c r="M114" s="1" t="s">
        <v>35</v>
      </c>
      <c r="N114" s="1">
        <v>42318949</v>
      </c>
      <c r="O114" s="1" t="s">
        <v>36</v>
      </c>
      <c r="P114" s="12">
        <v>44459.54891203704</v>
      </c>
      <c r="R114" s="1" t="s">
        <v>38</v>
      </c>
      <c r="T114" s="1" t="s">
        <v>74</v>
      </c>
      <c r="U114" s="12">
        <v>44460.54891203704</v>
      </c>
      <c r="V114" s="1" t="s">
        <v>41</v>
      </c>
      <c r="W114" s="1" t="s">
        <v>49</v>
      </c>
      <c r="X114" s="13" t="str">
        <f t="shared" si="12"/>
        <v/>
      </c>
      <c r="Y114" s="2">
        <f t="shared" ca="1" si="7"/>
        <v>378</v>
      </c>
      <c r="Z114" s="14">
        <v>1</v>
      </c>
      <c r="AA114" s="1" t="str">
        <f t="shared" ca="1" si="8"/>
        <v>VENCIDO</v>
      </c>
      <c r="AB114" s="1" t="str">
        <f t="shared" si="9"/>
        <v>Dosa</v>
      </c>
      <c r="AC114" s="2" t="str">
        <f t="shared" si="13"/>
        <v xml:space="preserve"> RINALDO </v>
      </c>
      <c r="AD114" s="2">
        <f t="shared" si="10"/>
        <v>5</v>
      </c>
      <c r="AE114" s="2">
        <f t="shared" ca="1" si="11"/>
        <v>-526.12735960647842</v>
      </c>
      <c r="AF114" s="15"/>
    </row>
    <row r="115" spans="1:32" hidden="1">
      <c r="A115" s="1">
        <v>7726601</v>
      </c>
      <c r="B115" s="1" t="s">
        <v>81</v>
      </c>
      <c r="C115" t="s">
        <v>240</v>
      </c>
      <c r="E115" s="2">
        <v>159000206001</v>
      </c>
      <c r="F115" s="1" t="s">
        <v>29</v>
      </c>
      <c r="G115" s="1" t="s">
        <v>53</v>
      </c>
      <c r="H115" s="1" t="s">
        <v>331</v>
      </c>
      <c r="I115" s="1" t="s">
        <v>332</v>
      </c>
      <c r="J115" s="1" t="s">
        <v>79</v>
      </c>
      <c r="K115" t="s">
        <v>34</v>
      </c>
      <c r="M115" s="1" t="s">
        <v>35</v>
      </c>
      <c r="N115" s="1">
        <v>42318949</v>
      </c>
      <c r="O115" s="1" t="s">
        <v>36</v>
      </c>
      <c r="P115" s="186">
        <v>44459.54891203704</v>
      </c>
      <c r="R115" s="1" t="s">
        <v>38</v>
      </c>
      <c r="T115" s="1" t="s">
        <v>74</v>
      </c>
      <c r="U115" s="186">
        <v>44460.54891203704</v>
      </c>
      <c r="V115" s="1" t="s">
        <v>41</v>
      </c>
      <c r="W115" s="1" t="s">
        <v>49</v>
      </c>
      <c r="X115" s="13" t="str">
        <f t="shared" si="12"/>
        <v/>
      </c>
      <c r="Y115" s="2">
        <f t="shared" ca="1" si="7"/>
        <v>378</v>
      </c>
      <c r="Z115" s="14">
        <v>1</v>
      </c>
      <c r="AA115" s="1" t="str">
        <f t="shared" ca="1" si="8"/>
        <v>VENCIDO</v>
      </c>
      <c r="AB115" s="1" t="str">
        <f t="shared" si="9"/>
        <v>Dosa</v>
      </c>
      <c r="AC115" s="2" t="str">
        <f t="shared" si="13"/>
        <v xml:space="preserve"> ROSEMERE </v>
      </c>
      <c r="AD115" s="2">
        <f t="shared" si="10"/>
        <v>5</v>
      </c>
      <c r="AE115" s="2">
        <f t="shared" ca="1" si="11"/>
        <v>-526.12735960647842</v>
      </c>
      <c r="AF115" s="15"/>
    </row>
    <row r="116" spans="1:32" hidden="1">
      <c r="A116" s="1">
        <v>7726600</v>
      </c>
      <c r="B116" s="1" t="s">
        <v>81</v>
      </c>
      <c r="C116" t="s">
        <v>240</v>
      </c>
      <c r="E116" s="2">
        <v>2239000206001</v>
      </c>
      <c r="F116" s="1" t="s">
        <v>29</v>
      </c>
      <c r="G116" s="1" t="s">
        <v>53</v>
      </c>
      <c r="H116" s="1" t="s">
        <v>333</v>
      </c>
      <c r="I116" s="1" t="s">
        <v>334</v>
      </c>
      <c r="J116" s="1" t="s">
        <v>261</v>
      </c>
      <c r="K116" t="s">
        <v>34</v>
      </c>
      <c r="M116" s="1" t="s">
        <v>35</v>
      </c>
      <c r="N116" s="1">
        <v>42318949</v>
      </c>
      <c r="O116" s="1" t="s">
        <v>36</v>
      </c>
      <c r="P116" s="11" t="s">
        <v>335</v>
      </c>
      <c r="R116" s="1" t="s">
        <v>38</v>
      </c>
      <c r="T116" s="1" t="s">
        <v>74</v>
      </c>
      <c r="U116" s="11" t="s">
        <v>336</v>
      </c>
      <c r="V116" s="1" t="s">
        <v>41</v>
      </c>
      <c r="W116" s="1" t="s">
        <v>49</v>
      </c>
      <c r="X116" s="13" t="str">
        <f t="shared" si="12"/>
        <v/>
      </c>
      <c r="Y116" s="2">
        <f t="shared" ca="1" si="7"/>
        <v>378</v>
      </c>
      <c r="Z116" s="14">
        <v>1</v>
      </c>
      <c r="AA116" s="1" t="str">
        <f t="shared" ca="1" si="8"/>
        <v>VENCIDO</v>
      </c>
      <c r="AB116" s="1" t="str">
        <f t="shared" si="9"/>
        <v>Dosa</v>
      </c>
      <c r="AC116" s="2" t="str">
        <f t="shared" si="13"/>
        <v xml:space="preserve"> CRISTINA </v>
      </c>
      <c r="AD116" s="2">
        <f t="shared" si="10"/>
        <v>5</v>
      </c>
      <c r="AE116" s="2">
        <f t="shared" ca="1" si="11"/>
        <v>-526.12735960647842</v>
      </c>
      <c r="AF116" s="15"/>
    </row>
    <row r="117" spans="1:32" hidden="1">
      <c r="A117" s="1">
        <v>7726599</v>
      </c>
      <c r="B117" s="1" t="s">
        <v>81</v>
      </c>
      <c r="C117" t="s">
        <v>240</v>
      </c>
      <c r="E117" s="2">
        <v>550000206001</v>
      </c>
      <c r="F117" s="1" t="s">
        <v>29</v>
      </c>
      <c r="G117" s="1" t="s">
        <v>53</v>
      </c>
      <c r="H117" s="1" t="s">
        <v>337</v>
      </c>
      <c r="I117" s="1" t="s">
        <v>338</v>
      </c>
      <c r="J117" s="1" t="s">
        <v>164</v>
      </c>
      <c r="K117" t="s">
        <v>34</v>
      </c>
      <c r="M117" s="1" t="s">
        <v>35</v>
      </c>
      <c r="N117" s="1">
        <v>42318949</v>
      </c>
      <c r="O117" s="1" t="s">
        <v>36</v>
      </c>
      <c r="P117" s="12">
        <v>44459.54891203704</v>
      </c>
      <c r="R117" s="1" t="s">
        <v>38</v>
      </c>
      <c r="T117" s="1" t="s">
        <v>74</v>
      </c>
      <c r="U117" s="12">
        <v>44460.54891203704</v>
      </c>
      <c r="V117" s="1" t="s">
        <v>41</v>
      </c>
      <c r="W117" s="1" t="s">
        <v>49</v>
      </c>
      <c r="X117" s="13" t="str">
        <f t="shared" si="12"/>
        <v/>
      </c>
      <c r="Y117" s="2">
        <f t="shared" ca="1" si="7"/>
        <v>378</v>
      </c>
      <c r="Z117" s="14">
        <v>1</v>
      </c>
      <c r="AA117" s="1" t="str">
        <f t="shared" ca="1" si="8"/>
        <v>VENCIDO</v>
      </c>
      <c r="AB117" s="1" t="str">
        <f t="shared" si="9"/>
        <v>Dosa</v>
      </c>
      <c r="AC117" s="2" t="str">
        <f t="shared" si="13"/>
        <v xml:space="preserve"> ROSEMERE </v>
      </c>
      <c r="AD117" s="2">
        <f t="shared" si="10"/>
        <v>5</v>
      </c>
      <c r="AE117" s="2">
        <f t="shared" ca="1" si="11"/>
        <v>-526.12735960647842</v>
      </c>
      <c r="AF117" s="15"/>
    </row>
    <row r="118" spans="1:32" hidden="1">
      <c r="A118" s="1">
        <v>7726598</v>
      </c>
      <c r="B118" s="1" t="s">
        <v>81</v>
      </c>
      <c r="C118" t="s">
        <v>240</v>
      </c>
      <c r="E118" s="2">
        <v>2811000206001</v>
      </c>
      <c r="F118" s="1" t="s">
        <v>29</v>
      </c>
      <c r="G118" s="1" t="s">
        <v>53</v>
      </c>
      <c r="H118" s="1" t="s">
        <v>44</v>
      </c>
      <c r="I118" s="1" t="s">
        <v>45</v>
      </c>
      <c r="J118" s="1" t="s">
        <v>46</v>
      </c>
      <c r="K118" t="s">
        <v>34</v>
      </c>
      <c r="M118" s="1" t="s">
        <v>35</v>
      </c>
      <c r="N118" s="1">
        <v>42318949</v>
      </c>
      <c r="O118" s="1" t="s">
        <v>36</v>
      </c>
      <c r="P118" s="186">
        <v>44459.548900462964</v>
      </c>
      <c r="R118" s="1" t="s">
        <v>38</v>
      </c>
      <c r="T118" s="1" t="s">
        <v>74</v>
      </c>
      <c r="U118" s="186">
        <v>44460.548900462964</v>
      </c>
      <c r="V118" s="1" t="s">
        <v>41</v>
      </c>
      <c r="W118" s="1" t="s">
        <v>49</v>
      </c>
      <c r="X118" s="13" t="str">
        <f t="shared" si="12"/>
        <v/>
      </c>
      <c r="Y118" s="2">
        <f t="shared" ca="1" si="7"/>
        <v>378</v>
      </c>
      <c r="Z118" s="14">
        <v>1</v>
      </c>
      <c r="AA118" s="1" t="str">
        <f t="shared" ca="1" si="8"/>
        <v>VENCIDO</v>
      </c>
      <c r="AB118" s="1" t="str">
        <f t="shared" si="9"/>
        <v>Dosa</v>
      </c>
      <c r="AC118" s="2" t="str">
        <f t="shared" si="13"/>
        <v xml:space="preserve"> CLEITON </v>
      </c>
      <c r="AD118" s="2">
        <f t="shared" si="10"/>
        <v>5</v>
      </c>
      <c r="AE118" s="2">
        <f t="shared" ca="1" si="11"/>
        <v>-526.1273711805552</v>
      </c>
      <c r="AF118" s="15"/>
    </row>
    <row r="119" spans="1:32">
      <c r="A119" s="1">
        <v>7726597</v>
      </c>
      <c r="B119" s="1" t="s">
        <v>81</v>
      </c>
      <c r="C119" t="s">
        <v>240</v>
      </c>
      <c r="E119" s="2">
        <v>2229000206001</v>
      </c>
      <c r="F119" s="1" t="s">
        <v>29</v>
      </c>
      <c r="G119" s="1" t="s">
        <v>53</v>
      </c>
      <c r="H119" s="1" t="s">
        <v>339</v>
      </c>
      <c r="I119" s="1" t="s">
        <v>340</v>
      </c>
      <c r="J119" s="1" t="s">
        <v>211</v>
      </c>
      <c r="K119" t="s">
        <v>34</v>
      </c>
      <c r="M119" s="1" t="s">
        <v>35</v>
      </c>
      <c r="N119" s="1">
        <v>42318949</v>
      </c>
      <c r="O119" s="1" t="s">
        <v>36</v>
      </c>
      <c r="P119" s="11" t="s">
        <v>341</v>
      </c>
      <c r="R119" s="1" t="s">
        <v>38</v>
      </c>
      <c r="T119" s="1" t="s">
        <v>74</v>
      </c>
      <c r="U119" s="11" t="s">
        <v>342</v>
      </c>
      <c r="V119" s="1" t="s">
        <v>41</v>
      </c>
      <c r="W119" s="1" t="s">
        <v>49</v>
      </c>
      <c r="X119" s="13" t="str">
        <f t="shared" si="12"/>
        <v/>
      </c>
      <c r="Y119" s="2">
        <f t="shared" ca="1" si="7"/>
        <v>378</v>
      </c>
      <c r="Z119" s="14">
        <v>1</v>
      </c>
      <c r="AA119" s="1" t="str">
        <f t="shared" ca="1" si="8"/>
        <v>VENCIDO</v>
      </c>
      <c r="AB119" s="1" t="str">
        <f t="shared" si="9"/>
        <v>Dosa</v>
      </c>
      <c r="AC119" s="2" t="str">
        <f t="shared" si="13"/>
        <v xml:space="preserve"> RINALDO </v>
      </c>
      <c r="AD119" s="2">
        <f t="shared" si="10"/>
        <v>5</v>
      </c>
      <c r="AE119" s="2">
        <f t="shared" ca="1" si="11"/>
        <v>-526.1273711805552</v>
      </c>
      <c r="AF119" s="15"/>
    </row>
    <row r="120" spans="1:32" hidden="1">
      <c r="A120" s="1">
        <v>7726596</v>
      </c>
      <c r="B120" s="1" t="s">
        <v>81</v>
      </c>
      <c r="C120" t="s">
        <v>240</v>
      </c>
      <c r="E120" s="2">
        <v>3699000206001</v>
      </c>
      <c r="F120" s="1" t="s">
        <v>29</v>
      </c>
      <c r="G120" s="1" t="s">
        <v>53</v>
      </c>
      <c r="H120" s="1" t="s">
        <v>343</v>
      </c>
      <c r="I120" s="1" t="s">
        <v>344</v>
      </c>
      <c r="J120" s="1" t="s">
        <v>46</v>
      </c>
      <c r="K120" t="s">
        <v>34</v>
      </c>
      <c r="M120" s="1" t="s">
        <v>35</v>
      </c>
      <c r="N120" s="1">
        <v>42318949</v>
      </c>
      <c r="O120" s="1" t="s">
        <v>36</v>
      </c>
      <c r="P120" s="11" t="s">
        <v>341</v>
      </c>
      <c r="R120" s="1" t="s">
        <v>38</v>
      </c>
      <c r="T120" s="1" t="s">
        <v>74</v>
      </c>
      <c r="U120" s="11" t="s">
        <v>342</v>
      </c>
      <c r="V120" s="1" t="s">
        <v>41</v>
      </c>
      <c r="W120" s="1" t="s">
        <v>49</v>
      </c>
      <c r="X120" s="13" t="str">
        <f t="shared" si="12"/>
        <v/>
      </c>
      <c r="Y120" s="2">
        <f t="shared" ca="1" si="7"/>
        <v>378</v>
      </c>
      <c r="Z120" s="14">
        <v>1</v>
      </c>
      <c r="AA120" s="1" t="str">
        <f t="shared" ca="1" si="8"/>
        <v>VENCIDO</v>
      </c>
      <c r="AB120" s="1" t="str">
        <f t="shared" si="9"/>
        <v>Dosa</v>
      </c>
      <c r="AC120" s="2" t="str">
        <f t="shared" si="13"/>
        <v xml:space="preserve"> CLEITON </v>
      </c>
      <c r="AD120" s="2">
        <f t="shared" si="10"/>
        <v>5</v>
      </c>
      <c r="AE120" s="2">
        <f t="shared" ca="1" si="11"/>
        <v>-526.1273711805552</v>
      </c>
      <c r="AF120" s="15"/>
    </row>
    <row r="121" spans="1:32" hidden="1">
      <c r="A121" s="1">
        <v>7726594</v>
      </c>
      <c r="B121" s="1" t="s">
        <v>81</v>
      </c>
      <c r="C121" t="s">
        <v>240</v>
      </c>
      <c r="E121" s="2">
        <v>325000206001</v>
      </c>
      <c r="F121" s="1" t="s">
        <v>29</v>
      </c>
      <c r="G121" s="1" t="s">
        <v>53</v>
      </c>
      <c r="H121" s="1" t="s">
        <v>345</v>
      </c>
      <c r="I121" s="1" t="s">
        <v>346</v>
      </c>
      <c r="J121" s="1" t="s">
        <v>46</v>
      </c>
      <c r="K121" t="s">
        <v>34</v>
      </c>
      <c r="M121" s="1" t="s">
        <v>35</v>
      </c>
      <c r="N121" s="1">
        <v>42318949</v>
      </c>
      <c r="O121" s="1" t="s">
        <v>36</v>
      </c>
      <c r="P121" s="186">
        <v>44459.548900462964</v>
      </c>
      <c r="R121" s="1" t="s">
        <v>38</v>
      </c>
      <c r="T121" s="1" t="s">
        <v>74</v>
      </c>
      <c r="U121" s="186">
        <v>44460.548900462964</v>
      </c>
      <c r="V121" s="1" t="s">
        <v>41</v>
      </c>
      <c r="W121" s="1" t="s">
        <v>49</v>
      </c>
      <c r="X121" s="13" t="str">
        <f t="shared" si="12"/>
        <v/>
      </c>
      <c r="Y121" s="2">
        <f t="shared" ca="1" si="7"/>
        <v>378</v>
      </c>
      <c r="Z121" s="14">
        <v>1</v>
      </c>
      <c r="AA121" s="1" t="str">
        <f t="shared" ca="1" si="8"/>
        <v>VENCIDO</v>
      </c>
      <c r="AB121" s="1" t="str">
        <f t="shared" si="9"/>
        <v>Dosa</v>
      </c>
      <c r="AC121" s="2" t="str">
        <f t="shared" si="13"/>
        <v xml:space="preserve"> CLEITON </v>
      </c>
      <c r="AD121" s="2">
        <f t="shared" si="10"/>
        <v>5</v>
      </c>
      <c r="AE121" s="2">
        <f t="shared" ca="1" si="11"/>
        <v>-526.1273711805552</v>
      </c>
      <c r="AF121" s="15"/>
    </row>
    <row r="122" spans="1:32">
      <c r="A122" s="1">
        <v>7726593</v>
      </c>
      <c r="B122" s="1" t="s">
        <v>81</v>
      </c>
      <c r="C122" t="s">
        <v>240</v>
      </c>
      <c r="E122" s="2">
        <v>2699000206001</v>
      </c>
      <c r="F122" s="1" t="s">
        <v>29</v>
      </c>
      <c r="G122" s="1" t="s">
        <v>53</v>
      </c>
      <c r="H122" s="1" t="s">
        <v>347</v>
      </c>
      <c r="I122" s="1" t="s">
        <v>348</v>
      </c>
      <c r="J122" s="1" t="s">
        <v>148</v>
      </c>
      <c r="K122" t="s">
        <v>34</v>
      </c>
      <c r="M122" s="1" t="s">
        <v>35</v>
      </c>
      <c r="N122" s="1">
        <v>42318949</v>
      </c>
      <c r="O122" s="1" t="s">
        <v>36</v>
      </c>
      <c r="P122" s="11" t="s">
        <v>341</v>
      </c>
      <c r="R122" s="1" t="s">
        <v>38</v>
      </c>
      <c r="T122" s="1" t="s">
        <v>74</v>
      </c>
      <c r="U122" s="11" t="s">
        <v>342</v>
      </c>
      <c r="V122" s="1" t="s">
        <v>41</v>
      </c>
      <c r="W122" s="1" t="s">
        <v>49</v>
      </c>
      <c r="X122" s="13" t="str">
        <f t="shared" si="12"/>
        <v/>
      </c>
      <c r="Y122" s="2">
        <f t="shared" ca="1" si="7"/>
        <v>378</v>
      </c>
      <c r="Z122" s="14">
        <v>1</v>
      </c>
      <c r="AA122" s="1" t="str">
        <f t="shared" ca="1" si="8"/>
        <v>VENCIDO</v>
      </c>
      <c r="AB122" s="1" t="str">
        <f t="shared" si="9"/>
        <v>Dosa</v>
      </c>
      <c r="AC122" s="2" t="str">
        <f t="shared" si="13"/>
        <v xml:space="preserve"> RINALDO </v>
      </c>
      <c r="AD122" s="2">
        <f t="shared" si="10"/>
        <v>5</v>
      </c>
      <c r="AE122" s="2">
        <f t="shared" ca="1" si="11"/>
        <v>-526.1273711805552</v>
      </c>
      <c r="AF122" s="15"/>
    </row>
    <row r="123" spans="1:32" hidden="1">
      <c r="A123" s="1">
        <v>7726592</v>
      </c>
      <c r="B123" s="1" t="s">
        <v>81</v>
      </c>
      <c r="C123" t="s">
        <v>240</v>
      </c>
      <c r="E123" s="2">
        <v>4012000206001</v>
      </c>
      <c r="F123" s="1" t="s">
        <v>29</v>
      </c>
      <c r="G123" s="1" t="s">
        <v>53</v>
      </c>
      <c r="H123" s="1" t="s">
        <v>349</v>
      </c>
      <c r="I123" s="1" t="s">
        <v>350</v>
      </c>
      <c r="J123" s="1" t="s">
        <v>261</v>
      </c>
      <c r="K123" t="s">
        <v>34</v>
      </c>
      <c r="M123" s="1" t="s">
        <v>35</v>
      </c>
      <c r="N123" s="1">
        <v>42318949</v>
      </c>
      <c r="O123" s="1" t="s">
        <v>36</v>
      </c>
      <c r="P123" s="186">
        <v>44459.548888888887</v>
      </c>
      <c r="R123" s="1" t="s">
        <v>38</v>
      </c>
      <c r="T123" s="1" t="s">
        <v>74</v>
      </c>
      <c r="U123" s="186">
        <v>44460.548888888887</v>
      </c>
      <c r="V123" s="1" t="s">
        <v>41</v>
      </c>
      <c r="W123" s="1" t="s">
        <v>49</v>
      </c>
      <c r="X123" s="13" t="str">
        <f t="shared" si="12"/>
        <v/>
      </c>
      <c r="Y123" s="2">
        <f t="shared" ca="1" si="7"/>
        <v>378</v>
      </c>
      <c r="Z123" s="14">
        <v>1</v>
      </c>
      <c r="AA123" s="1" t="str">
        <f t="shared" ca="1" si="8"/>
        <v>VENCIDO</v>
      </c>
      <c r="AB123" s="1" t="str">
        <f t="shared" si="9"/>
        <v>Dosa</v>
      </c>
      <c r="AC123" s="2" t="str">
        <f t="shared" si="13"/>
        <v xml:space="preserve"> CRISTINA </v>
      </c>
      <c r="AD123" s="2">
        <f t="shared" si="10"/>
        <v>5</v>
      </c>
      <c r="AE123" s="2">
        <f t="shared" ca="1" si="11"/>
        <v>-526.12738275463198</v>
      </c>
      <c r="AF123" s="15"/>
    </row>
    <row r="124" spans="1:32" hidden="1">
      <c r="A124" s="1">
        <v>7726589</v>
      </c>
      <c r="B124" s="1" t="s">
        <v>81</v>
      </c>
      <c r="C124" t="s">
        <v>240</v>
      </c>
      <c r="E124" s="2">
        <v>2365000206001</v>
      </c>
      <c r="F124" s="1" t="s">
        <v>29</v>
      </c>
      <c r="G124" s="1" t="s">
        <v>53</v>
      </c>
      <c r="H124" s="1" t="s">
        <v>159</v>
      </c>
      <c r="I124" s="1" t="s">
        <v>160</v>
      </c>
      <c r="J124" s="1" t="s">
        <v>46</v>
      </c>
      <c r="K124" t="s">
        <v>34</v>
      </c>
      <c r="M124" s="1" t="s">
        <v>35</v>
      </c>
      <c r="N124" s="1">
        <v>42318949</v>
      </c>
      <c r="O124" s="1" t="s">
        <v>36</v>
      </c>
      <c r="P124" s="186">
        <v>44459.548888888887</v>
      </c>
      <c r="R124" s="1" t="s">
        <v>38</v>
      </c>
      <c r="T124" s="1" t="s">
        <v>74</v>
      </c>
      <c r="U124" s="186">
        <v>44460.548888888887</v>
      </c>
      <c r="V124" s="1" t="s">
        <v>41</v>
      </c>
      <c r="W124" s="1" t="s">
        <v>49</v>
      </c>
      <c r="X124" s="13" t="str">
        <f t="shared" si="12"/>
        <v/>
      </c>
      <c r="Y124" s="2">
        <f t="shared" ca="1" si="7"/>
        <v>378</v>
      </c>
      <c r="Z124" s="14">
        <v>1</v>
      </c>
      <c r="AA124" s="1" t="str">
        <f t="shared" ca="1" si="8"/>
        <v>VENCIDO</v>
      </c>
      <c r="AB124" s="1" t="str">
        <f t="shared" si="9"/>
        <v>Dosa</v>
      </c>
      <c r="AC124" s="2" t="str">
        <f t="shared" si="13"/>
        <v xml:space="preserve"> CLEITON </v>
      </c>
      <c r="AD124" s="2">
        <f t="shared" si="10"/>
        <v>5</v>
      </c>
      <c r="AE124" s="2">
        <f t="shared" ca="1" si="11"/>
        <v>-526.12738275463198</v>
      </c>
      <c r="AF124" s="15"/>
    </row>
    <row r="125" spans="1:32" hidden="1">
      <c r="A125" s="1">
        <v>7726588</v>
      </c>
      <c r="B125" s="1" t="s">
        <v>81</v>
      </c>
      <c r="C125" t="s">
        <v>240</v>
      </c>
      <c r="E125" s="2">
        <v>1264000206001</v>
      </c>
      <c r="F125" s="1" t="s">
        <v>29</v>
      </c>
      <c r="G125" s="1" t="s">
        <v>53</v>
      </c>
      <c r="H125" s="1" t="s">
        <v>351</v>
      </c>
      <c r="I125" s="1" t="s">
        <v>352</v>
      </c>
      <c r="J125" s="1" t="s">
        <v>110</v>
      </c>
      <c r="K125" t="s">
        <v>34</v>
      </c>
      <c r="M125" s="1" t="s">
        <v>35</v>
      </c>
      <c r="N125" s="1">
        <v>42318949</v>
      </c>
      <c r="O125" s="1" t="s">
        <v>36</v>
      </c>
      <c r="P125" s="186">
        <v>44459.548888888887</v>
      </c>
      <c r="R125" s="1" t="s">
        <v>38</v>
      </c>
      <c r="T125" s="1" t="s">
        <v>74</v>
      </c>
      <c r="U125" s="186">
        <v>44460.548888888887</v>
      </c>
      <c r="V125" s="1" t="s">
        <v>41</v>
      </c>
      <c r="W125" s="1" t="s">
        <v>49</v>
      </c>
      <c r="X125" s="13" t="str">
        <f t="shared" si="12"/>
        <v/>
      </c>
      <c r="Y125" s="2">
        <f t="shared" ca="1" si="7"/>
        <v>378</v>
      </c>
      <c r="Z125" s="14">
        <v>1</v>
      </c>
      <c r="AA125" s="1" t="str">
        <f t="shared" ca="1" si="8"/>
        <v>VENCIDO</v>
      </c>
      <c r="AB125" s="1" t="str">
        <f t="shared" si="9"/>
        <v>Dosa</v>
      </c>
      <c r="AC125" s="2" t="str">
        <f t="shared" si="13"/>
        <v xml:space="preserve"> CRISTINA </v>
      </c>
      <c r="AD125" s="2">
        <f t="shared" si="10"/>
        <v>5</v>
      </c>
      <c r="AE125" s="2">
        <f t="shared" ca="1" si="11"/>
        <v>-526.12738275463198</v>
      </c>
      <c r="AF125" s="15"/>
    </row>
    <row r="126" spans="1:32">
      <c r="A126" s="1">
        <v>7726587</v>
      </c>
      <c r="B126" s="1" t="s">
        <v>81</v>
      </c>
      <c r="C126" t="s">
        <v>240</v>
      </c>
      <c r="E126" s="2">
        <v>1069000206001</v>
      </c>
      <c r="F126" s="1" t="s">
        <v>29</v>
      </c>
      <c r="G126" s="1" t="s">
        <v>53</v>
      </c>
      <c r="H126" s="1" t="s">
        <v>353</v>
      </c>
      <c r="I126" s="1" t="s">
        <v>354</v>
      </c>
      <c r="J126" s="1" t="s">
        <v>211</v>
      </c>
      <c r="K126" t="s">
        <v>34</v>
      </c>
      <c r="M126" s="1" t="s">
        <v>35</v>
      </c>
      <c r="N126" s="1">
        <v>42318949</v>
      </c>
      <c r="O126" s="1" t="s">
        <v>36</v>
      </c>
      <c r="P126" s="186">
        <v>44459.548888888887</v>
      </c>
      <c r="R126" s="1" t="s">
        <v>38</v>
      </c>
      <c r="T126" s="1" t="s">
        <v>74</v>
      </c>
      <c r="U126" s="186">
        <v>44460.548888888887</v>
      </c>
      <c r="V126" s="1" t="s">
        <v>41</v>
      </c>
      <c r="W126" s="1" t="s">
        <v>49</v>
      </c>
      <c r="X126" s="13" t="str">
        <f t="shared" si="12"/>
        <v/>
      </c>
      <c r="Y126" s="2">
        <f t="shared" ca="1" si="7"/>
        <v>378</v>
      </c>
      <c r="Z126" s="14">
        <v>1</v>
      </c>
      <c r="AA126" s="1" t="str">
        <f t="shared" ca="1" si="8"/>
        <v>VENCIDO</v>
      </c>
      <c r="AB126" s="1" t="str">
        <f t="shared" si="9"/>
        <v>Dosa</v>
      </c>
      <c r="AC126" s="2" t="str">
        <f t="shared" si="13"/>
        <v xml:space="preserve"> RINALDO </v>
      </c>
      <c r="AD126" s="2">
        <f t="shared" si="10"/>
        <v>5</v>
      </c>
      <c r="AE126" s="2">
        <f t="shared" ca="1" si="11"/>
        <v>-526.12738275463198</v>
      </c>
      <c r="AF126" s="15"/>
    </row>
    <row r="127" spans="1:32" hidden="1">
      <c r="A127" s="1">
        <v>7726586</v>
      </c>
      <c r="B127" s="1" t="s">
        <v>81</v>
      </c>
      <c r="C127" t="s">
        <v>240</v>
      </c>
      <c r="E127" s="2">
        <v>2529000206001</v>
      </c>
      <c r="F127" s="1" t="s">
        <v>29</v>
      </c>
      <c r="G127" s="1" t="s">
        <v>53</v>
      </c>
      <c r="H127" s="1" t="s">
        <v>355</v>
      </c>
      <c r="I127" s="1" t="s">
        <v>356</v>
      </c>
      <c r="J127" s="1" t="s">
        <v>56</v>
      </c>
      <c r="K127" t="s">
        <v>34</v>
      </c>
      <c r="M127" s="1" t="s">
        <v>35</v>
      </c>
      <c r="N127" s="1">
        <v>42318949</v>
      </c>
      <c r="O127" s="1" t="s">
        <v>36</v>
      </c>
      <c r="P127" s="186">
        <v>44459.548888888887</v>
      </c>
      <c r="R127" s="1" t="s">
        <v>38</v>
      </c>
      <c r="T127" s="1" t="s">
        <v>74</v>
      </c>
      <c r="U127" s="186">
        <v>44460.548888888887</v>
      </c>
      <c r="V127" s="1" t="s">
        <v>41</v>
      </c>
      <c r="W127" s="1" t="s">
        <v>49</v>
      </c>
      <c r="X127" s="13" t="str">
        <f t="shared" si="12"/>
        <v/>
      </c>
      <c r="Y127" s="2">
        <f t="shared" ca="1" si="7"/>
        <v>378</v>
      </c>
      <c r="Z127" s="14">
        <v>1</v>
      </c>
      <c r="AA127" s="1" t="str">
        <f t="shared" ca="1" si="8"/>
        <v>VENCIDO</v>
      </c>
      <c r="AB127" s="1" t="str">
        <f t="shared" si="9"/>
        <v>Dosa</v>
      </c>
      <c r="AC127" s="2" t="str">
        <f t="shared" si="13"/>
        <v xml:space="preserve"> CRISTINA </v>
      </c>
      <c r="AD127" s="2">
        <f t="shared" si="10"/>
        <v>5</v>
      </c>
      <c r="AE127" s="2">
        <f t="shared" ca="1" si="11"/>
        <v>-526.12738275463198</v>
      </c>
      <c r="AF127" s="15"/>
    </row>
    <row r="128" spans="1:32" hidden="1">
      <c r="A128" s="1">
        <v>7726584</v>
      </c>
      <c r="B128" s="1" t="s">
        <v>81</v>
      </c>
      <c r="C128" t="s">
        <v>240</v>
      </c>
      <c r="E128" s="2">
        <v>1838000206001</v>
      </c>
      <c r="F128" s="1" t="s">
        <v>29</v>
      </c>
      <c r="G128" s="1" t="s">
        <v>53</v>
      </c>
      <c r="H128" s="1" t="s">
        <v>357</v>
      </c>
      <c r="I128" s="1" t="s">
        <v>358</v>
      </c>
      <c r="J128" s="1" t="s">
        <v>46</v>
      </c>
      <c r="K128" t="s">
        <v>34</v>
      </c>
      <c r="M128" s="1" t="s">
        <v>35</v>
      </c>
      <c r="N128" s="1">
        <v>42318949</v>
      </c>
      <c r="O128" s="1" t="s">
        <v>36</v>
      </c>
      <c r="P128" s="12">
        <v>44459.548877314817</v>
      </c>
      <c r="R128" s="1" t="s">
        <v>38</v>
      </c>
      <c r="T128" s="1" t="s">
        <v>74</v>
      </c>
      <c r="U128" s="12">
        <v>44460.548877314817</v>
      </c>
      <c r="V128" s="1" t="s">
        <v>41</v>
      </c>
      <c r="W128" s="1" t="s">
        <v>49</v>
      </c>
      <c r="X128" s="13" t="str">
        <f t="shared" si="12"/>
        <v/>
      </c>
      <c r="Y128" s="2">
        <f t="shared" ca="1" si="7"/>
        <v>378</v>
      </c>
      <c r="Z128" s="14">
        <v>1</v>
      </c>
      <c r="AA128" s="1" t="str">
        <f t="shared" ca="1" si="8"/>
        <v>VENCIDO</v>
      </c>
      <c r="AB128" s="1" t="str">
        <f t="shared" si="9"/>
        <v>Dosa</v>
      </c>
      <c r="AC128" s="2" t="str">
        <f t="shared" si="13"/>
        <v xml:space="preserve"> CLEITON </v>
      </c>
      <c r="AD128" s="2">
        <f t="shared" si="10"/>
        <v>5</v>
      </c>
      <c r="AE128" s="2">
        <f t="shared" ca="1" si="11"/>
        <v>-526.12739432870148</v>
      </c>
      <c r="AF128" s="15"/>
    </row>
    <row r="129" spans="1:32">
      <c r="A129" s="1">
        <v>7726583</v>
      </c>
      <c r="B129" s="1" t="s">
        <v>81</v>
      </c>
      <c r="C129" t="s">
        <v>240</v>
      </c>
      <c r="E129" s="2">
        <v>2739000206001</v>
      </c>
      <c r="F129" s="1" t="s">
        <v>29</v>
      </c>
      <c r="G129" s="1" t="s">
        <v>53</v>
      </c>
      <c r="H129" s="1" t="s">
        <v>359</v>
      </c>
      <c r="I129" s="1" t="s">
        <v>360</v>
      </c>
      <c r="J129" s="1" t="s">
        <v>85</v>
      </c>
      <c r="K129" t="s">
        <v>34</v>
      </c>
      <c r="M129" s="1" t="s">
        <v>35</v>
      </c>
      <c r="N129" s="1">
        <v>42318949</v>
      </c>
      <c r="O129" s="1" t="s">
        <v>36</v>
      </c>
      <c r="P129" s="12">
        <v>44459.548877314817</v>
      </c>
      <c r="R129" s="1" t="s">
        <v>38</v>
      </c>
      <c r="T129" s="1" t="s">
        <v>74</v>
      </c>
      <c r="U129" s="12">
        <v>44460.548877314817</v>
      </c>
      <c r="V129" s="1" t="s">
        <v>41</v>
      </c>
      <c r="W129" s="1" t="s">
        <v>49</v>
      </c>
      <c r="X129" s="13" t="str">
        <f t="shared" si="12"/>
        <v/>
      </c>
      <c r="Y129" s="2">
        <f t="shared" ca="1" si="7"/>
        <v>378</v>
      </c>
      <c r="Z129" s="14">
        <v>1</v>
      </c>
      <c r="AA129" s="1" t="str">
        <f t="shared" ca="1" si="8"/>
        <v>VENCIDO</v>
      </c>
      <c r="AB129" s="1" t="str">
        <f t="shared" si="9"/>
        <v>Dosa</v>
      </c>
      <c r="AC129" s="2" t="str">
        <f t="shared" si="13"/>
        <v xml:space="preserve"> RINALDO </v>
      </c>
      <c r="AD129" s="2">
        <f t="shared" si="10"/>
        <v>5</v>
      </c>
      <c r="AE129" s="2">
        <f t="shared" ca="1" si="11"/>
        <v>-526.12739432870148</v>
      </c>
      <c r="AF129" s="15"/>
    </row>
    <row r="130" spans="1:32" hidden="1">
      <c r="A130" s="1">
        <v>7726582</v>
      </c>
      <c r="B130" s="1" t="s">
        <v>81</v>
      </c>
      <c r="C130" t="s">
        <v>240</v>
      </c>
      <c r="E130" s="2">
        <v>1643000206001</v>
      </c>
      <c r="F130" s="1" t="s">
        <v>29</v>
      </c>
      <c r="G130" s="1" t="s">
        <v>53</v>
      </c>
      <c r="H130" s="1" t="s">
        <v>361</v>
      </c>
      <c r="I130" s="1" t="s">
        <v>362</v>
      </c>
      <c r="J130" s="1" t="s">
        <v>261</v>
      </c>
      <c r="K130" t="s">
        <v>34</v>
      </c>
      <c r="M130" s="1" t="s">
        <v>35</v>
      </c>
      <c r="N130" s="1">
        <v>42318949</v>
      </c>
      <c r="O130" s="1" t="s">
        <v>36</v>
      </c>
      <c r="P130" s="11" t="s">
        <v>363</v>
      </c>
      <c r="R130" s="1" t="s">
        <v>38</v>
      </c>
      <c r="T130" s="1" t="s">
        <v>74</v>
      </c>
      <c r="U130" s="11" t="s">
        <v>364</v>
      </c>
      <c r="V130" s="1" t="s">
        <v>41</v>
      </c>
      <c r="W130" s="1" t="s">
        <v>49</v>
      </c>
      <c r="X130" s="13" t="str">
        <f t="shared" si="12"/>
        <v/>
      </c>
      <c r="Y130" s="2">
        <f t="shared" ref="Y130:Y193" ca="1" si="14">NETWORKDAYS(P130,$Y$1)</f>
        <v>378</v>
      </c>
      <c r="Z130" s="14">
        <v>1</v>
      </c>
      <c r="AA130" s="1" t="str">
        <f t="shared" ref="AA130:AA193" ca="1" si="15">IF(AE130=0,"HOJE",IF(AE130&gt;0,"A VENCER",IF(AE130&lt;0,"VENCIDO")))</f>
        <v>VENCIDO</v>
      </c>
      <c r="AB130" s="1" t="str">
        <f t="shared" ref="AB130:AB193" si="16">IF(F130="GRPE-000001","C-14",IF(F130="GRPE-000002","C-14",IF(F130="GRPE-000003","C-14",IF(F130="GRPE-000004","SL-On",IF(F130="GRPE-000038","C-14",IF(F130="GRPE-900022","Dosa",IF(F130="GRPE-000029","Dosa",IF(F130="ATOS-000222","Dose","TAAe+"))))))))</f>
        <v>Dosa</v>
      </c>
      <c r="AC130" s="2" t="str">
        <f t="shared" si="13"/>
        <v xml:space="preserve"> CRISTINA </v>
      </c>
      <c r="AD130" s="2">
        <f t="shared" ref="AD130:AD193" si="17">IF(F130="GRPE-000001",5,IF(F130="GRPE-000002",5,IF(F130="GRPE-000003",15,IF(F130="GRPE-000004",1,IF(F130="GRPE-000038",5,IF(F130="GRPE-900022",5,IF(F130="GRPE-000029",5,IF(F130="ATOS-000222",5,8))))))))</f>
        <v>5</v>
      </c>
      <c r="AE130" s="2">
        <f t="shared" ref="AE130:AE193" ca="1" si="18">IF(U130=$AE$1,"",U130-$AE$1)</f>
        <v>-526.12739432870148</v>
      </c>
      <c r="AF130" s="15"/>
    </row>
    <row r="131" spans="1:32" hidden="1">
      <c r="A131" s="1">
        <v>7726581</v>
      </c>
      <c r="B131" s="1" t="s">
        <v>81</v>
      </c>
      <c r="C131" t="s">
        <v>240</v>
      </c>
      <c r="E131" s="2">
        <v>5898000206001</v>
      </c>
      <c r="F131" s="1" t="s">
        <v>29</v>
      </c>
      <c r="G131" s="1" t="s">
        <v>53</v>
      </c>
      <c r="H131" s="1" t="s">
        <v>365</v>
      </c>
      <c r="I131" s="1" t="s">
        <v>366</v>
      </c>
      <c r="J131" s="1" t="s">
        <v>164</v>
      </c>
      <c r="K131" t="s">
        <v>34</v>
      </c>
      <c r="M131" s="1" t="s">
        <v>35</v>
      </c>
      <c r="N131" s="1">
        <v>42318949</v>
      </c>
      <c r="O131" s="1" t="s">
        <v>36</v>
      </c>
      <c r="P131" s="11" t="s">
        <v>363</v>
      </c>
      <c r="R131" s="1" t="s">
        <v>38</v>
      </c>
      <c r="T131" s="1" t="s">
        <v>74</v>
      </c>
      <c r="U131" s="11" t="s">
        <v>364</v>
      </c>
      <c r="V131" s="1" t="s">
        <v>41</v>
      </c>
      <c r="W131" s="1" t="s">
        <v>49</v>
      </c>
      <c r="X131" s="13" t="str">
        <f t="shared" ref="X131:X194" si="19">IF(RIGHT(H131,2)&lt;&gt;"00",H131,"")</f>
        <v/>
      </c>
      <c r="Y131" s="2">
        <f t="shared" ca="1" si="14"/>
        <v>378</v>
      </c>
      <c r="Z131" s="14">
        <v>1</v>
      </c>
      <c r="AA131" s="1" t="str">
        <f t="shared" ca="1" si="15"/>
        <v>VENCIDO</v>
      </c>
      <c r="AB131" s="1" t="str">
        <f t="shared" si="16"/>
        <v>Dosa</v>
      </c>
      <c r="AC131" s="2" t="str">
        <f t="shared" ref="AC131:AC194" si="20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 xml:space="preserve"> ROSEMERE </v>
      </c>
      <c r="AD131" s="2">
        <f t="shared" si="17"/>
        <v>5</v>
      </c>
      <c r="AE131" s="2">
        <f t="shared" ca="1" si="18"/>
        <v>-526.12739432870148</v>
      </c>
      <c r="AF131" s="15"/>
    </row>
    <row r="132" spans="1:32" hidden="1">
      <c r="A132" s="1">
        <v>7726580</v>
      </c>
      <c r="B132" s="1" t="s">
        <v>81</v>
      </c>
      <c r="C132" t="s">
        <v>240</v>
      </c>
      <c r="E132" s="2">
        <v>834000206001</v>
      </c>
      <c r="F132" s="1" t="s">
        <v>29</v>
      </c>
      <c r="G132" s="1" t="s">
        <v>53</v>
      </c>
      <c r="H132" s="1" t="s">
        <v>367</v>
      </c>
      <c r="I132" s="1" t="s">
        <v>368</v>
      </c>
      <c r="J132" s="1" t="s">
        <v>261</v>
      </c>
      <c r="K132" t="s">
        <v>34</v>
      </c>
      <c r="M132" s="1" t="s">
        <v>35</v>
      </c>
      <c r="N132" s="1">
        <v>42318949</v>
      </c>
      <c r="O132" s="1" t="s">
        <v>36</v>
      </c>
      <c r="P132" s="12">
        <v>44459.548877314817</v>
      </c>
      <c r="R132" s="1" t="s">
        <v>38</v>
      </c>
      <c r="T132" s="1" t="s">
        <v>74</v>
      </c>
      <c r="U132" s="12">
        <v>44460.548877314817</v>
      </c>
      <c r="V132" s="1" t="s">
        <v>41</v>
      </c>
      <c r="W132" s="1" t="s">
        <v>49</v>
      </c>
      <c r="X132" s="13" t="str">
        <f t="shared" si="19"/>
        <v/>
      </c>
      <c r="Y132" s="2">
        <f t="shared" ca="1" si="14"/>
        <v>378</v>
      </c>
      <c r="Z132" s="14">
        <v>1</v>
      </c>
      <c r="AA132" s="1" t="str">
        <f t="shared" ca="1" si="15"/>
        <v>VENCIDO</v>
      </c>
      <c r="AB132" s="1" t="str">
        <f t="shared" si="16"/>
        <v>Dosa</v>
      </c>
      <c r="AC132" s="2" t="str">
        <f t="shared" si="20"/>
        <v xml:space="preserve"> CRISTINA </v>
      </c>
      <c r="AD132" s="2">
        <f t="shared" si="17"/>
        <v>5</v>
      </c>
      <c r="AE132" s="2">
        <f t="shared" ca="1" si="18"/>
        <v>-526.12739432870148</v>
      </c>
      <c r="AF132" s="15"/>
    </row>
    <row r="133" spans="1:32" hidden="1">
      <c r="A133" s="1">
        <v>7726579</v>
      </c>
      <c r="B133" s="1" t="s">
        <v>81</v>
      </c>
      <c r="C133" t="s">
        <v>240</v>
      </c>
      <c r="E133" s="2">
        <v>1833000206001</v>
      </c>
      <c r="F133" s="1" t="s">
        <v>29</v>
      </c>
      <c r="G133" s="1" t="s">
        <v>53</v>
      </c>
      <c r="H133" s="1" t="s">
        <v>369</v>
      </c>
      <c r="I133" s="1" t="s">
        <v>370</v>
      </c>
      <c r="J133" s="1" t="s">
        <v>46</v>
      </c>
      <c r="K133" t="s">
        <v>34</v>
      </c>
      <c r="M133" s="1" t="s">
        <v>35</v>
      </c>
      <c r="N133" s="1">
        <v>42318949</v>
      </c>
      <c r="O133" s="1" t="s">
        <v>36</v>
      </c>
      <c r="P133" s="12">
        <v>44459.54886574074</v>
      </c>
      <c r="R133" s="1" t="s">
        <v>38</v>
      </c>
      <c r="T133" s="1" t="s">
        <v>74</v>
      </c>
      <c r="U133" s="12">
        <v>44460.54886574074</v>
      </c>
      <c r="V133" s="1" t="s">
        <v>41</v>
      </c>
      <c r="W133" s="1" t="s">
        <v>49</v>
      </c>
      <c r="X133" s="13" t="str">
        <f t="shared" si="19"/>
        <v/>
      </c>
      <c r="Y133" s="2">
        <f t="shared" ca="1" si="14"/>
        <v>378</v>
      </c>
      <c r="Z133" s="14">
        <v>1</v>
      </c>
      <c r="AA133" s="1" t="str">
        <f t="shared" ca="1" si="15"/>
        <v>VENCIDO</v>
      </c>
      <c r="AB133" s="1" t="str">
        <f t="shared" si="16"/>
        <v>Dosa</v>
      </c>
      <c r="AC133" s="2" t="str">
        <f t="shared" si="20"/>
        <v xml:space="preserve"> CLEITON </v>
      </c>
      <c r="AD133" s="2">
        <f t="shared" si="17"/>
        <v>5</v>
      </c>
      <c r="AE133" s="2">
        <f t="shared" ca="1" si="18"/>
        <v>-526.12740590277826</v>
      </c>
      <c r="AF133" s="15"/>
    </row>
    <row r="134" spans="1:32" hidden="1">
      <c r="A134" s="1">
        <v>7726578</v>
      </c>
      <c r="B134" s="1" t="s">
        <v>81</v>
      </c>
      <c r="C134" t="s">
        <v>240</v>
      </c>
      <c r="E134" s="2">
        <v>3250000206001</v>
      </c>
      <c r="F134" s="1" t="s">
        <v>29</v>
      </c>
      <c r="G134" s="1" t="s">
        <v>53</v>
      </c>
      <c r="H134" s="1" t="s">
        <v>371</v>
      </c>
      <c r="I134" s="1" t="s">
        <v>372</v>
      </c>
      <c r="J134" s="1" t="s">
        <v>46</v>
      </c>
      <c r="K134" t="s">
        <v>34</v>
      </c>
      <c r="M134" s="1" t="s">
        <v>35</v>
      </c>
      <c r="N134" s="1">
        <v>42318949</v>
      </c>
      <c r="O134" s="1" t="s">
        <v>36</v>
      </c>
      <c r="P134" s="186">
        <v>44459.54886574074</v>
      </c>
      <c r="R134" s="1" t="s">
        <v>38</v>
      </c>
      <c r="T134" s="1" t="s">
        <v>74</v>
      </c>
      <c r="U134" s="186">
        <v>44460.54886574074</v>
      </c>
      <c r="V134" s="1" t="s">
        <v>41</v>
      </c>
      <c r="W134" s="1" t="s">
        <v>49</v>
      </c>
      <c r="X134" s="13" t="str">
        <f t="shared" si="19"/>
        <v/>
      </c>
      <c r="Y134" s="2">
        <f t="shared" ca="1" si="14"/>
        <v>378</v>
      </c>
      <c r="Z134" s="14">
        <v>1</v>
      </c>
      <c r="AA134" s="1" t="str">
        <f t="shared" ca="1" si="15"/>
        <v>VENCIDO</v>
      </c>
      <c r="AB134" s="1" t="str">
        <f t="shared" si="16"/>
        <v>Dosa</v>
      </c>
      <c r="AC134" s="2" t="str">
        <f t="shared" si="20"/>
        <v xml:space="preserve"> CLEITON </v>
      </c>
      <c r="AD134" s="2">
        <f t="shared" si="17"/>
        <v>5</v>
      </c>
      <c r="AE134" s="2">
        <f t="shared" ca="1" si="18"/>
        <v>-526.12740590277826</v>
      </c>
      <c r="AF134" s="15"/>
    </row>
    <row r="135" spans="1:32">
      <c r="A135" s="1">
        <v>7726576</v>
      </c>
      <c r="B135" s="1" t="s">
        <v>81</v>
      </c>
      <c r="C135" t="s">
        <v>240</v>
      </c>
      <c r="E135" s="2">
        <v>1059000206001</v>
      </c>
      <c r="F135" s="1" t="s">
        <v>29</v>
      </c>
      <c r="G135" s="1" t="s">
        <v>53</v>
      </c>
      <c r="H135" s="1" t="s">
        <v>88</v>
      </c>
      <c r="I135" s="1" t="s">
        <v>89</v>
      </c>
      <c r="J135" s="1" t="s">
        <v>90</v>
      </c>
      <c r="K135" t="s">
        <v>34</v>
      </c>
      <c r="M135" s="1" t="s">
        <v>35</v>
      </c>
      <c r="N135" s="1">
        <v>42318949</v>
      </c>
      <c r="O135" s="1" t="s">
        <v>36</v>
      </c>
      <c r="P135" s="11" t="s">
        <v>373</v>
      </c>
      <c r="R135" s="1" t="s">
        <v>38</v>
      </c>
      <c r="T135" s="1" t="s">
        <v>74</v>
      </c>
      <c r="U135" s="11" t="s">
        <v>374</v>
      </c>
      <c r="V135" s="1" t="s">
        <v>41</v>
      </c>
      <c r="W135" s="1" t="s">
        <v>49</v>
      </c>
      <c r="X135" s="13" t="str">
        <f t="shared" si="19"/>
        <v/>
      </c>
      <c r="Y135" s="2">
        <f t="shared" ca="1" si="14"/>
        <v>378</v>
      </c>
      <c r="Z135" s="14">
        <v>1</v>
      </c>
      <c r="AA135" s="1" t="str">
        <f t="shared" ca="1" si="15"/>
        <v>VENCIDO</v>
      </c>
      <c r="AB135" s="1" t="str">
        <f t="shared" si="16"/>
        <v>Dosa</v>
      </c>
      <c r="AC135" s="2" t="str">
        <f t="shared" si="20"/>
        <v xml:space="preserve"> RINALDO </v>
      </c>
      <c r="AD135" s="2">
        <f t="shared" si="17"/>
        <v>5</v>
      </c>
      <c r="AE135" s="2">
        <f t="shared" ca="1" si="18"/>
        <v>-526.12740590277826</v>
      </c>
      <c r="AF135" s="15"/>
    </row>
    <row r="136" spans="1:32" hidden="1">
      <c r="A136" s="1">
        <v>7726575</v>
      </c>
      <c r="B136" s="1" t="s">
        <v>81</v>
      </c>
      <c r="C136" t="s">
        <v>240</v>
      </c>
      <c r="E136" s="2">
        <v>1761000206001</v>
      </c>
      <c r="F136" s="1" t="s">
        <v>29</v>
      </c>
      <c r="G136" s="1" t="s">
        <v>53</v>
      </c>
      <c r="H136" s="1" t="s">
        <v>375</v>
      </c>
      <c r="I136" s="1" t="s">
        <v>376</v>
      </c>
      <c r="J136" s="1" t="s">
        <v>56</v>
      </c>
      <c r="K136" t="s">
        <v>34</v>
      </c>
      <c r="M136" s="1" t="s">
        <v>35</v>
      </c>
      <c r="N136" s="1">
        <v>42318949</v>
      </c>
      <c r="O136" s="1" t="s">
        <v>36</v>
      </c>
      <c r="P136" s="12">
        <v>44459.54886574074</v>
      </c>
      <c r="R136" s="1" t="s">
        <v>38</v>
      </c>
      <c r="T136" s="1" t="s">
        <v>74</v>
      </c>
      <c r="U136" s="12">
        <v>44460.54886574074</v>
      </c>
      <c r="V136" s="1" t="s">
        <v>41</v>
      </c>
      <c r="W136" s="1" t="s">
        <v>49</v>
      </c>
      <c r="X136" s="13" t="str">
        <f t="shared" si="19"/>
        <v/>
      </c>
      <c r="Y136" s="2">
        <f t="shared" ca="1" si="14"/>
        <v>378</v>
      </c>
      <c r="Z136" s="14">
        <v>1</v>
      </c>
      <c r="AA136" s="1" t="str">
        <f t="shared" ca="1" si="15"/>
        <v>VENCIDO</v>
      </c>
      <c r="AB136" s="1" t="str">
        <f t="shared" si="16"/>
        <v>Dosa</v>
      </c>
      <c r="AC136" s="2" t="str">
        <f t="shared" si="20"/>
        <v xml:space="preserve"> CRISTINA </v>
      </c>
      <c r="AD136" s="2">
        <f t="shared" si="17"/>
        <v>5</v>
      </c>
      <c r="AE136" s="2">
        <f t="shared" ca="1" si="18"/>
        <v>-526.12740590277826</v>
      </c>
      <c r="AF136" s="15"/>
    </row>
    <row r="137" spans="1:32" hidden="1">
      <c r="A137" s="1">
        <v>7726574</v>
      </c>
      <c r="B137" s="1" t="s">
        <v>81</v>
      </c>
      <c r="C137" t="s">
        <v>240</v>
      </c>
      <c r="E137" s="2">
        <v>714000206001</v>
      </c>
      <c r="F137" s="1" t="s">
        <v>29</v>
      </c>
      <c r="G137" s="1" t="s">
        <v>53</v>
      </c>
      <c r="H137" s="1" t="s">
        <v>377</v>
      </c>
      <c r="I137" s="1" t="s">
        <v>378</v>
      </c>
      <c r="J137" s="1" t="s">
        <v>46</v>
      </c>
      <c r="K137" t="s">
        <v>34</v>
      </c>
      <c r="M137" s="1" t="s">
        <v>35</v>
      </c>
      <c r="N137" s="1">
        <v>42318949</v>
      </c>
      <c r="O137" s="1" t="s">
        <v>36</v>
      </c>
      <c r="P137" s="11" t="s">
        <v>373</v>
      </c>
      <c r="R137" s="1" t="s">
        <v>38</v>
      </c>
      <c r="T137" s="1" t="s">
        <v>74</v>
      </c>
      <c r="U137" s="11" t="s">
        <v>374</v>
      </c>
      <c r="V137" s="1" t="s">
        <v>41</v>
      </c>
      <c r="W137" s="1" t="s">
        <v>49</v>
      </c>
      <c r="X137" s="13" t="str">
        <f t="shared" si="19"/>
        <v/>
      </c>
      <c r="Y137" s="2">
        <f t="shared" ca="1" si="14"/>
        <v>378</v>
      </c>
      <c r="Z137" s="14">
        <v>1</v>
      </c>
      <c r="AA137" s="1" t="str">
        <f t="shared" ca="1" si="15"/>
        <v>VENCIDO</v>
      </c>
      <c r="AB137" s="1" t="str">
        <f t="shared" si="16"/>
        <v>Dosa</v>
      </c>
      <c r="AC137" s="2" t="str">
        <f t="shared" si="20"/>
        <v xml:space="preserve"> CLEITON </v>
      </c>
      <c r="AD137" s="2">
        <f t="shared" si="17"/>
        <v>5</v>
      </c>
      <c r="AE137" s="2">
        <f t="shared" ca="1" si="18"/>
        <v>-526.12740590277826</v>
      </c>
      <c r="AF137" s="15"/>
    </row>
    <row r="138" spans="1:32" hidden="1">
      <c r="A138" s="1">
        <v>7726573</v>
      </c>
      <c r="B138" s="1" t="s">
        <v>81</v>
      </c>
      <c r="C138" t="s">
        <v>240</v>
      </c>
      <c r="E138" s="2">
        <v>2138000206001</v>
      </c>
      <c r="F138" s="1" t="s">
        <v>29</v>
      </c>
      <c r="G138" s="1" t="s">
        <v>53</v>
      </c>
      <c r="H138" s="1" t="s">
        <v>379</v>
      </c>
      <c r="I138" s="1" t="s">
        <v>380</v>
      </c>
      <c r="J138" s="1" t="s">
        <v>46</v>
      </c>
      <c r="K138" t="s">
        <v>34</v>
      </c>
      <c r="M138" s="1" t="s">
        <v>35</v>
      </c>
      <c r="N138" s="1">
        <v>42318949</v>
      </c>
      <c r="O138" s="1" t="s">
        <v>36</v>
      </c>
      <c r="P138" s="11" t="s">
        <v>373</v>
      </c>
      <c r="R138" s="1" t="s">
        <v>38</v>
      </c>
      <c r="T138" s="1" t="s">
        <v>74</v>
      </c>
      <c r="U138" s="11" t="s">
        <v>374</v>
      </c>
      <c r="V138" s="1" t="s">
        <v>41</v>
      </c>
      <c r="W138" s="1" t="s">
        <v>49</v>
      </c>
      <c r="X138" s="13" t="str">
        <f t="shared" si="19"/>
        <v/>
      </c>
      <c r="Y138" s="2">
        <f t="shared" ca="1" si="14"/>
        <v>378</v>
      </c>
      <c r="Z138" s="14">
        <v>1</v>
      </c>
      <c r="AA138" s="1" t="str">
        <f t="shared" ca="1" si="15"/>
        <v>VENCIDO</v>
      </c>
      <c r="AB138" s="1" t="str">
        <f t="shared" si="16"/>
        <v>Dosa</v>
      </c>
      <c r="AC138" s="2" t="str">
        <f t="shared" si="20"/>
        <v xml:space="preserve"> CLEITON </v>
      </c>
      <c r="AD138" s="2">
        <f t="shared" si="17"/>
        <v>5</v>
      </c>
      <c r="AE138" s="2">
        <f t="shared" ca="1" si="18"/>
        <v>-526.12740590277826</v>
      </c>
      <c r="AF138" s="15"/>
    </row>
    <row r="139" spans="1:32" hidden="1">
      <c r="A139" s="1">
        <v>7726572</v>
      </c>
      <c r="B139" s="1" t="s">
        <v>81</v>
      </c>
      <c r="C139" t="s">
        <v>240</v>
      </c>
      <c r="E139" s="2">
        <v>2257000206001</v>
      </c>
      <c r="F139" s="1" t="s">
        <v>29</v>
      </c>
      <c r="G139" s="1" t="s">
        <v>53</v>
      </c>
      <c r="H139" s="1" t="s">
        <v>381</v>
      </c>
      <c r="I139" s="1" t="s">
        <v>382</v>
      </c>
      <c r="J139" s="1" t="s">
        <v>110</v>
      </c>
      <c r="K139" t="s">
        <v>34</v>
      </c>
      <c r="M139" s="1" t="s">
        <v>35</v>
      </c>
      <c r="N139" s="1">
        <v>42318949</v>
      </c>
      <c r="O139" s="1" t="s">
        <v>36</v>
      </c>
      <c r="P139" s="11" t="s">
        <v>373</v>
      </c>
      <c r="R139" s="1" t="s">
        <v>38</v>
      </c>
      <c r="T139" s="1" t="s">
        <v>74</v>
      </c>
      <c r="U139" s="11" t="s">
        <v>374</v>
      </c>
      <c r="V139" s="1" t="s">
        <v>41</v>
      </c>
      <c r="W139" s="1" t="s">
        <v>49</v>
      </c>
      <c r="X139" s="13" t="str">
        <f t="shared" si="19"/>
        <v/>
      </c>
      <c r="Y139" s="2">
        <f t="shared" ca="1" si="14"/>
        <v>378</v>
      </c>
      <c r="Z139" s="14">
        <v>1</v>
      </c>
      <c r="AA139" s="1" t="str">
        <f t="shared" ca="1" si="15"/>
        <v>VENCIDO</v>
      </c>
      <c r="AB139" s="1" t="str">
        <f t="shared" si="16"/>
        <v>Dosa</v>
      </c>
      <c r="AC139" s="2" t="str">
        <f t="shared" si="20"/>
        <v xml:space="preserve"> CRISTINA </v>
      </c>
      <c r="AD139" s="2">
        <f t="shared" si="17"/>
        <v>5</v>
      </c>
      <c r="AE139" s="2">
        <f t="shared" ca="1" si="18"/>
        <v>-526.12740590277826</v>
      </c>
      <c r="AF139" s="15"/>
    </row>
    <row r="140" spans="1:32" hidden="1">
      <c r="A140" s="1">
        <v>7726571</v>
      </c>
      <c r="B140" s="1" t="s">
        <v>81</v>
      </c>
      <c r="C140" s="193" t="s">
        <v>240</v>
      </c>
      <c r="E140" s="2">
        <v>7000206001</v>
      </c>
      <c r="F140" s="18" t="s">
        <v>29</v>
      </c>
      <c r="G140" s="1" t="s">
        <v>53</v>
      </c>
      <c r="H140" s="1" t="s">
        <v>383</v>
      </c>
      <c r="I140" s="1" t="s">
        <v>384</v>
      </c>
      <c r="J140" s="1" t="s">
        <v>46</v>
      </c>
      <c r="K140" t="s">
        <v>34</v>
      </c>
      <c r="M140" s="1" t="s">
        <v>35</v>
      </c>
      <c r="N140" s="1">
        <v>42318949</v>
      </c>
      <c r="O140" s="1" t="s">
        <v>36</v>
      </c>
      <c r="P140" s="11" t="s">
        <v>385</v>
      </c>
      <c r="R140" s="1" t="s">
        <v>38</v>
      </c>
      <c r="T140" s="1" t="s">
        <v>74</v>
      </c>
      <c r="U140" s="12">
        <v>44460.548854166664</v>
      </c>
      <c r="V140" s="1" t="s">
        <v>41</v>
      </c>
      <c r="W140" s="1" t="s">
        <v>49</v>
      </c>
      <c r="X140" s="13" t="str">
        <f t="shared" si="19"/>
        <v/>
      </c>
      <c r="Y140" s="2">
        <f t="shared" ca="1" si="14"/>
        <v>378</v>
      </c>
      <c r="Z140" s="14">
        <v>1</v>
      </c>
      <c r="AA140" s="1" t="str">
        <f t="shared" ca="1" si="15"/>
        <v>VENCIDO</v>
      </c>
      <c r="AB140" s="1" t="str">
        <f t="shared" si="16"/>
        <v>Dosa</v>
      </c>
      <c r="AC140" s="2" t="str">
        <f t="shared" si="20"/>
        <v xml:space="preserve"> CLEITON </v>
      </c>
      <c r="AD140" s="2">
        <f t="shared" si="17"/>
        <v>5</v>
      </c>
      <c r="AE140" s="2">
        <f t="shared" ca="1" si="18"/>
        <v>-526.12741747685504</v>
      </c>
      <c r="AF140" s="15"/>
    </row>
    <row r="141" spans="1:32" hidden="1">
      <c r="A141" s="1">
        <v>7726569</v>
      </c>
      <c r="B141" s="1" t="s">
        <v>81</v>
      </c>
      <c r="C141" t="s">
        <v>240</v>
      </c>
      <c r="E141" s="2">
        <v>4274000206001</v>
      </c>
      <c r="F141" s="1" t="s">
        <v>29</v>
      </c>
      <c r="G141" s="1" t="s">
        <v>53</v>
      </c>
      <c r="H141" s="1" t="s">
        <v>386</v>
      </c>
      <c r="I141" s="1" t="s">
        <v>387</v>
      </c>
      <c r="J141" s="1" t="s">
        <v>46</v>
      </c>
      <c r="K141" t="s">
        <v>34</v>
      </c>
      <c r="M141" s="1" t="s">
        <v>35</v>
      </c>
      <c r="N141" s="1">
        <v>42318949</v>
      </c>
      <c r="O141" s="1" t="s">
        <v>36</v>
      </c>
      <c r="P141" s="12">
        <v>44459.548854166664</v>
      </c>
      <c r="R141" s="1" t="s">
        <v>38</v>
      </c>
      <c r="T141" s="1" t="s">
        <v>74</v>
      </c>
      <c r="U141" s="12">
        <v>44460.548854166664</v>
      </c>
      <c r="V141" s="1" t="s">
        <v>41</v>
      </c>
      <c r="W141" s="1" t="s">
        <v>49</v>
      </c>
      <c r="X141" s="13" t="str">
        <f t="shared" si="19"/>
        <v/>
      </c>
      <c r="Y141" s="2">
        <f t="shared" ca="1" si="14"/>
        <v>378</v>
      </c>
      <c r="Z141" s="14">
        <v>1</v>
      </c>
      <c r="AA141" s="1" t="str">
        <f t="shared" ca="1" si="15"/>
        <v>VENCIDO</v>
      </c>
      <c r="AB141" s="1" t="str">
        <f t="shared" si="16"/>
        <v>Dosa</v>
      </c>
      <c r="AC141" s="2" t="str">
        <f t="shared" si="20"/>
        <v xml:space="preserve"> CLEITON </v>
      </c>
      <c r="AD141" s="2">
        <f t="shared" si="17"/>
        <v>5</v>
      </c>
      <c r="AE141" s="2">
        <f t="shared" ca="1" si="18"/>
        <v>-526.12741747685504</v>
      </c>
      <c r="AF141" s="15"/>
    </row>
    <row r="142" spans="1:32" hidden="1">
      <c r="A142" s="1">
        <v>7726567</v>
      </c>
      <c r="B142" s="1" t="s">
        <v>81</v>
      </c>
      <c r="C142" s="15" t="s">
        <v>240</v>
      </c>
      <c r="E142" s="2">
        <v>2802000206001</v>
      </c>
      <c r="F142" s="18" t="s">
        <v>29</v>
      </c>
      <c r="G142" s="1" t="s">
        <v>53</v>
      </c>
      <c r="H142" s="1" t="s">
        <v>388</v>
      </c>
      <c r="I142" s="1" t="s">
        <v>389</v>
      </c>
      <c r="J142" s="1" t="s">
        <v>46</v>
      </c>
      <c r="K142" t="s">
        <v>34</v>
      </c>
      <c r="M142" s="1" t="s">
        <v>35</v>
      </c>
      <c r="N142" s="1">
        <v>42318949</v>
      </c>
      <c r="O142" s="1" t="s">
        <v>36</v>
      </c>
      <c r="P142" s="12">
        <v>44459.548854166664</v>
      </c>
      <c r="R142" s="1" t="s">
        <v>38</v>
      </c>
      <c r="T142" s="1" t="s">
        <v>74</v>
      </c>
      <c r="U142" s="12">
        <v>44460.548854166664</v>
      </c>
      <c r="V142" s="1" t="s">
        <v>41</v>
      </c>
      <c r="W142" s="1" t="s">
        <v>49</v>
      </c>
      <c r="X142" s="13" t="str">
        <f t="shared" si="19"/>
        <v/>
      </c>
      <c r="Y142" s="2">
        <f t="shared" ca="1" si="14"/>
        <v>378</v>
      </c>
      <c r="Z142" s="14">
        <v>1</v>
      </c>
      <c r="AA142" s="1" t="str">
        <f t="shared" ca="1" si="15"/>
        <v>VENCIDO</v>
      </c>
      <c r="AB142" s="1" t="str">
        <f t="shared" si="16"/>
        <v>Dosa</v>
      </c>
      <c r="AC142" s="2" t="str">
        <f t="shared" si="20"/>
        <v xml:space="preserve"> CLEITON </v>
      </c>
      <c r="AD142" s="2">
        <f t="shared" si="17"/>
        <v>5</v>
      </c>
      <c r="AE142" s="2">
        <f t="shared" ca="1" si="18"/>
        <v>-526.12741747685504</v>
      </c>
      <c r="AF142" s="15"/>
    </row>
    <row r="143" spans="1:32" hidden="1">
      <c r="A143" s="1">
        <v>7726563</v>
      </c>
      <c r="B143" s="1" t="s">
        <v>81</v>
      </c>
      <c r="C143" t="s">
        <v>240</v>
      </c>
      <c r="E143" s="2">
        <v>710000206001</v>
      </c>
      <c r="F143" s="1" t="s">
        <v>29</v>
      </c>
      <c r="G143" s="1" t="s">
        <v>53</v>
      </c>
      <c r="H143" s="1" t="s">
        <v>390</v>
      </c>
      <c r="I143" s="1" t="s">
        <v>391</v>
      </c>
      <c r="J143" s="1" t="s">
        <v>56</v>
      </c>
      <c r="K143" t="s">
        <v>34</v>
      </c>
      <c r="M143" s="1" t="s">
        <v>35</v>
      </c>
      <c r="N143" s="1">
        <v>42318949</v>
      </c>
      <c r="O143" s="1" t="s">
        <v>36</v>
      </c>
      <c r="P143" s="11" t="s">
        <v>392</v>
      </c>
      <c r="R143" s="1" t="s">
        <v>38</v>
      </c>
      <c r="T143" s="1" t="s">
        <v>74</v>
      </c>
      <c r="U143" s="11" t="s">
        <v>393</v>
      </c>
      <c r="V143" s="1" t="s">
        <v>41</v>
      </c>
      <c r="W143" s="1" t="s">
        <v>49</v>
      </c>
      <c r="X143" s="13" t="str">
        <f t="shared" si="19"/>
        <v/>
      </c>
      <c r="Y143" s="2">
        <f t="shared" ca="1" si="14"/>
        <v>378</v>
      </c>
      <c r="Z143" s="14">
        <v>1</v>
      </c>
      <c r="AA143" s="1" t="str">
        <f t="shared" ca="1" si="15"/>
        <v>VENCIDO</v>
      </c>
      <c r="AB143" s="1" t="str">
        <f t="shared" si="16"/>
        <v>Dosa</v>
      </c>
      <c r="AC143" s="2" t="str">
        <f t="shared" si="20"/>
        <v xml:space="preserve"> CRISTINA </v>
      </c>
      <c r="AD143" s="2">
        <f t="shared" si="17"/>
        <v>5</v>
      </c>
      <c r="AE143" s="2">
        <f t="shared" ca="1" si="18"/>
        <v>-526.12742905092455</v>
      </c>
      <c r="AF143" s="15"/>
    </row>
    <row r="144" spans="1:32">
      <c r="A144" s="1">
        <v>7726562</v>
      </c>
      <c r="B144" s="1" t="s">
        <v>81</v>
      </c>
      <c r="C144" t="s">
        <v>240</v>
      </c>
      <c r="E144" s="2">
        <v>2590000206001</v>
      </c>
      <c r="F144" s="1" t="s">
        <v>29</v>
      </c>
      <c r="G144" s="1" t="s">
        <v>53</v>
      </c>
      <c r="H144" s="1" t="s">
        <v>394</v>
      </c>
      <c r="I144" s="1" t="s">
        <v>395</v>
      </c>
      <c r="J144" s="1" t="s">
        <v>148</v>
      </c>
      <c r="K144" t="s">
        <v>34</v>
      </c>
      <c r="M144" s="1" t="s">
        <v>35</v>
      </c>
      <c r="N144" s="1">
        <v>42318949</v>
      </c>
      <c r="O144" s="1" t="s">
        <v>36</v>
      </c>
      <c r="P144" s="11" t="s">
        <v>392</v>
      </c>
      <c r="R144" s="1" t="s">
        <v>38</v>
      </c>
      <c r="T144" s="1" t="s">
        <v>74</v>
      </c>
      <c r="U144" s="11" t="s">
        <v>393</v>
      </c>
      <c r="V144" s="1" t="s">
        <v>41</v>
      </c>
      <c r="W144" s="1" t="s">
        <v>49</v>
      </c>
      <c r="X144" s="13" t="str">
        <f t="shared" si="19"/>
        <v/>
      </c>
      <c r="Y144" s="2">
        <f t="shared" ca="1" si="14"/>
        <v>378</v>
      </c>
      <c r="Z144" s="14">
        <v>1</v>
      </c>
      <c r="AA144" s="1" t="str">
        <f t="shared" ca="1" si="15"/>
        <v>VENCIDO</v>
      </c>
      <c r="AB144" s="1" t="str">
        <f t="shared" si="16"/>
        <v>Dosa</v>
      </c>
      <c r="AC144" s="2" t="str">
        <f t="shared" si="20"/>
        <v xml:space="preserve"> RINALDO </v>
      </c>
      <c r="AD144" s="2">
        <f t="shared" si="17"/>
        <v>5</v>
      </c>
      <c r="AE144" s="2">
        <f t="shared" ca="1" si="18"/>
        <v>-526.12742905092455</v>
      </c>
      <c r="AF144" s="15"/>
    </row>
    <row r="145" spans="1:32" hidden="1">
      <c r="A145" s="1">
        <v>7726561</v>
      </c>
      <c r="B145" s="1" t="s">
        <v>81</v>
      </c>
      <c r="C145" t="s">
        <v>240</v>
      </c>
      <c r="E145" s="2">
        <v>1814000206001</v>
      </c>
      <c r="F145" s="1" t="s">
        <v>29</v>
      </c>
      <c r="G145" s="1" t="s">
        <v>53</v>
      </c>
      <c r="H145" s="1" t="s">
        <v>396</v>
      </c>
      <c r="I145" s="1" t="s">
        <v>397</v>
      </c>
      <c r="J145" s="1" t="s">
        <v>46</v>
      </c>
      <c r="K145" t="s">
        <v>34</v>
      </c>
      <c r="M145" s="1" t="s">
        <v>35</v>
      </c>
      <c r="N145" s="1">
        <v>42318949</v>
      </c>
      <c r="O145" s="1" t="s">
        <v>36</v>
      </c>
      <c r="P145" s="186">
        <v>44459.548842592594</v>
      </c>
      <c r="R145" s="1" t="s">
        <v>38</v>
      </c>
      <c r="T145" s="1" t="s">
        <v>74</v>
      </c>
      <c r="U145" s="186">
        <v>44460.548842592594</v>
      </c>
      <c r="V145" s="1" t="s">
        <v>41</v>
      </c>
      <c r="W145" s="1" t="s">
        <v>49</v>
      </c>
      <c r="X145" s="13" t="str">
        <f t="shared" si="19"/>
        <v/>
      </c>
      <c r="Y145" s="2">
        <f t="shared" ca="1" si="14"/>
        <v>378</v>
      </c>
      <c r="Z145" s="14">
        <v>1</v>
      </c>
      <c r="AA145" s="1" t="str">
        <f t="shared" ca="1" si="15"/>
        <v>VENCIDO</v>
      </c>
      <c r="AB145" s="1" t="str">
        <f t="shared" si="16"/>
        <v>Dosa</v>
      </c>
      <c r="AC145" s="2" t="str">
        <f t="shared" si="20"/>
        <v xml:space="preserve"> CLEITON </v>
      </c>
      <c r="AD145" s="2">
        <f t="shared" si="17"/>
        <v>5</v>
      </c>
      <c r="AE145" s="2">
        <f t="shared" ca="1" si="18"/>
        <v>-526.12742905092455</v>
      </c>
      <c r="AF145" s="15"/>
    </row>
    <row r="146" spans="1:32" hidden="1">
      <c r="A146" s="1">
        <v>7726556</v>
      </c>
      <c r="B146" s="1" t="s">
        <v>81</v>
      </c>
      <c r="C146" t="s">
        <v>240</v>
      </c>
      <c r="E146" s="2">
        <v>3503000206001</v>
      </c>
      <c r="F146" s="1" t="s">
        <v>29</v>
      </c>
      <c r="G146" s="1" t="s">
        <v>53</v>
      </c>
      <c r="H146" s="1" t="s">
        <v>398</v>
      </c>
      <c r="I146" s="1" t="s">
        <v>399</v>
      </c>
      <c r="J146" s="1" t="s">
        <v>46</v>
      </c>
      <c r="K146" t="s">
        <v>34</v>
      </c>
      <c r="M146" s="1" t="s">
        <v>35</v>
      </c>
      <c r="N146" s="1">
        <v>42318949</v>
      </c>
      <c r="O146" s="1" t="s">
        <v>36</v>
      </c>
      <c r="P146" s="11" t="s">
        <v>400</v>
      </c>
      <c r="R146" s="1" t="s">
        <v>38</v>
      </c>
      <c r="T146" s="1" t="s">
        <v>74</v>
      </c>
      <c r="U146" s="11" t="s">
        <v>401</v>
      </c>
      <c r="V146" s="1" t="s">
        <v>41</v>
      </c>
      <c r="W146" s="1" t="s">
        <v>49</v>
      </c>
      <c r="X146" s="13" t="str">
        <f t="shared" si="19"/>
        <v/>
      </c>
      <c r="Y146" s="2">
        <f t="shared" ca="1" si="14"/>
        <v>378</v>
      </c>
      <c r="Z146" s="14">
        <v>1</v>
      </c>
      <c r="AA146" s="1" t="str">
        <f t="shared" ca="1" si="15"/>
        <v>VENCIDO</v>
      </c>
      <c r="AB146" s="1" t="str">
        <f t="shared" si="16"/>
        <v>Dosa</v>
      </c>
      <c r="AC146" s="2" t="str">
        <f t="shared" si="20"/>
        <v xml:space="preserve"> CLEITON </v>
      </c>
      <c r="AD146" s="2">
        <f t="shared" si="17"/>
        <v>5</v>
      </c>
      <c r="AE146" s="2">
        <f t="shared" ca="1" si="18"/>
        <v>-526.12744062500133</v>
      </c>
      <c r="AF146" s="15"/>
    </row>
    <row r="147" spans="1:32" hidden="1">
      <c r="A147" s="1">
        <v>7726555</v>
      </c>
      <c r="B147" s="1" t="s">
        <v>81</v>
      </c>
      <c r="C147" t="s">
        <v>240</v>
      </c>
      <c r="E147" s="2">
        <v>1620000206001</v>
      </c>
      <c r="F147" s="1" t="s">
        <v>29</v>
      </c>
      <c r="G147" s="1" t="s">
        <v>53</v>
      </c>
      <c r="H147" s="1" t="s">
        <v>402</v>
      </c>
      <c r="I147" s="1" t="s">
        <v>403</v>
      </c>
      <c r="J147" s="1" t="s">
        <v>46</v>
      </c>
      <c r="K147" t="s">
        <v>34</v>
      </c>
      <c r="M147" s="1" t="s">
        <v>35</v>
      </c>
      <c r="N147" s="1">
        <v>42318949</v>
      </c>
      <c r="O147" s="1" t="s">
        <v>36</v>
      </c>
      <c r="P147" s="11" t="s">
        <v>400</v>
      </c>
      <c r="R147" s="1" t="s">
        <v>38</v>
      </c>
      <c r="T147" s="1" t="s">
        <v>74</v>
      </c>
      <c r="U147" s="11" t="s">
        <v>401</v>
      </c>
      <c r="V147" s="1" t="s">
        <v>41</v>
      </c>
      <c r="W147" s="1" t="s">
        <v>49</v>
      </c>
      <c r="X147" s="13" t="str">
        <f t="shared" si="19"/>
        <v/>
      </c>
      <c r="Y147" s="2">
        <f t="shared" ca="1" si="14"/>
        <v>378</v>
      </c>
      <c r="Z147" s="14">
        <v>1</v>
      </c>
      <c r="AA147" s="1" t="str">
        <f t="shared" ca="1" si="15"/>
        <v>VENCIDO</v>
      </c>
      <c r="AB147" s="1" t="str">
        <f t="shared" si="16"/>
        <v>Dosa</v>
      </c>
      <c r="AC147" s="2" t="str">
        <f t="shared" si="20"/>
        <v xml:space="preserve"> CLEITON </v>
      </c>
      <c r="AD147" s="2">
        <f t="shared" si="17"/>
        <v>5</v>
      </c>
      <c r="AE147" s="2">
        <f t="shared" ca="1" si="18"/>
        <v>-526.12744062500133</v>
      </c>
      <c r="AF147" s="15"/>
    </row>
    <row r="148" spans="1:32" hidden="1">
      <c r="A148" s="1">
        <v>7726553</v>
      </c>
      <c r="B148" s="1" t="s">
        <v>81</v>
      </c>
      <c r="C148" t="s">
        <v>240</v>
      </c>
      <c r="E148" s="2">
        <v>67000206001</v>
      </c>
      <c r="F148" s="1" t="s">
        <v>29</v>
      </c>
      <c r="G148" s="1" t="s">
        <v>53</v>
      </c>
      <c r="H148" s="1" t="s">
        <v>404</v>
      </c>
      <c r="I148" s="1" t="s">
        <v>405</v>
      </c>
      <c r="J148" s="1" t="s">
        <v>164</v>
      </c>
      <c r="K148" t="s">
        <v>34</v>
      </c>
      <c r="M148" s="1" t="s">
        <v>35</v>
      </c>
      <c r="N148" s="1">
        <v>42318949</v>
      </c>
      <c r="O148" s="1" t="s">
        <v>36</v>
      </c>
      <c r="P148" s="11" t="s">
        <v>400</v>
      </c>
      <c r="R148" s="1" t="s">
        <v>38</v>
      </c>
      <c r="T148" s="1" t="s">
        <v>74</v>
      </c>
      <c r="U148" s="11" t="s">
        <v>401</v>
      </c>
      <c r="V148" s="1" t="s">
        <v>41</v>
      </c>
      <c r="W148" s="1" t="s">
        <v>49</v>
      </c>
      <c r="X148" s="13" t="str">
        <f t="shared" si="19"/>
        <v/>
      </c>
      <c r="Y148" s="2">
        <f t="shared" ca="1" si="14"/>
        <v>378</v>
      </c>
      <c r="Z148" s="14">
        <v>1</v>
      </c>
      <c r="AA148" s="1" t="str">
        <f t="shared" ca="1" si="15"/>
        <v>VENCIDO</v>
      </c>
      <c r="AB148" s="1" t="str">
        <f t="shared" si="16"/>
        <v>Dosa</v>
      </c>
      <c r="AC148" s="2" t="str">
        <f t="shared" si="20"/>
        <v xml:space="preserve"> ROSEMERE </v>
      </c>
      <c r="AD148" s="2">
        <f t="shared" si="17"/>
        <v>5</v>
      </c>
      <c r="AE148" s="2">
        <f t="shared" ca="1" si="18"/>
        <v>-526.12744062500133</v>
      </c>
      <c r="AF148" s="15"/>
    </row>
    <row r="149" spans="1:32" hidden="1">
      <c r="A149" s="1">
        <v>7726552</v>
      </c>
      <c r="B149" s="1" t="s">
        <v>81</v>
      </c>
      <c r="C149" t="s">
        <v>240</v>
      </c>
      <c r="E149" s="2">
        <v>4997000206001</v>
      </c>
      <c r="F149" s="1" t="s">
        <v>29</v>
      </c>
      <c r="G149" s="1" t="s">
        <v>53</v>
      </c>
      <c r="H149" s="1" t="s">
        <v>406</v>
      </c>
      <c r="I149" s="1" t="s">
        <v>407</v>
      </c>
      <c r="J149" s="1" t="s">
        <v>79</v>
      </c>
      <c r="K149" t="s">
        <v>34</v>
      </c>
      <c r="M149" s="1" t="s">
        <v>35</v>
      </c>
      <c r="N149" s="1">
        <v>42318949</v>
      </c>
      <c r="O149" s="1" t="s">
        <v>36</v>
      </c>
      <c r="P149" s="186">
        <v>44459.548831018517</v>
      </c>
      <c r="R149" s="1" t="s">
        <v>38</v>
      </c>
      <c r="T149" s="1" t="s">
        <v>74</v>
      </c>
      <c r="U149" s="186">
        <v>44460.548831018517</v>
      </c>
      <c r="V149" s="1" t="s">
        <v>41</v>
      </c>
      <c r="W149" s="1" t="s">
        <v>49</v>
      </c>
      <c r="X149" s="13" t="str">
        <f t="shared" si="19"/>
        <v/>
      </c>
      <c r="Y149" s="2">
        <f t="shared" ca="1" si="14"/>
        <v>378</v>
      </c>
      <c r="Z149" s="14">
        <v>1</v>
      </c>
      <c r="AA149" s="1" t="str">
        <f t="shared" ca="1" si="15"/>
        <v>VENCIDO</v>
      </c>
      <c r="AB149" s="1" t="str">
        <f t="shared" si="16"/>
        <v>Dosa</v>
      </c>
      <c r="AC149" s="2" t="str">
        <f t="shared" si="20"/>
        <v xml:space="preserve"> ROSEMERE </v>
      </c>
      <c r="AD149" s="2">
        <f t="shared" si="17"/>
        <v>5</v>
      </c>
      <c r="AE149" s="2">
        <f t="shared" ca="1" si="18"/>
        <v>-526.12744062500133</v>
      </c>
      <c r="AF149" s="15"/>
    </row>
    <row r="150" spans="1:32" hidden="1">
      <c r="A150" s="1">
        <v>7726550</v>
      </c>
      <c r="B150" s="1" t="s">
        <v>81</v>
      </c>
      <c r="C150" t="s">
        <v>240</v>
      </c>
      <c r="E150" s="2">
        <v>4118000206001</v>
      </c>
      <c r="F150" s="1" t="s">
        <v>29</v>
      </c>
      <c r="G150" s="1" t="s">
        <v>53</v>
      </c>
      <c r="H150" s="1" t="s">
        <v>71</v>
      </c>
      <c r="I150" s="1" t="s">
        <v>72</v>
      </c>
      <c r="J150" s="1" t="s">
        <v>46</v>
      </c>
      <c r="K150" t="s">
        <v>34</v>
      </c>
      <c r="M150" s="1" t="s">
        <v>35</v>
      </c>
      <c r="N150" s="1">
        <v>42318949</v>
      </c>
      <c r="O150" s="1" t="s">
        <v>36</v>
      </c>
      <c r="P150" s="186">
        <v>44459.548831018517</v>
      </c>
      <c r="R150" s="1" t="s">
        <v>38</v>
      </c>
      <c r="T150" s="1" t="s">
        <v>74</v>
      </c>
      <c r="U150" s="186">
        <v>44460.548831018517</v>
      </c>
      <c r="V150" s="1" t="s">
        <v>41</v>
      </c>
      <c r="W150" s="1" t="s">
        <v>49</v>
      </c>
      <c r="X150" s="13" t="str">
        <f t="shared" si="19"/>
        <v/>
      </c>
      <c r="Y150" s="2">
        <f t="shared" ca="1" si="14"/>
        <v>378</v>
      </c>
      <c r="Z150" s="14">
        <v>1</v>
      </c>
      <c r="AA150" s="1" t="str">
        <f t="shared" ca="1" si="15"/>
        <v>VENCIDO</v>
      </c>
      <c r="AB150" s="1" t="str">
        <f t="shared" si="16"/>
        <v>Dosa</v>
      </c>
      <c r="AC150" s="2" t="str">
        <f t="shared" si="20"/>
        <v xml:space="preserve"> CLEITON </v>
      </c>
      <c r="AD150" s="2">
        <f t="shared" si="17"/>
        <v>5</v>
      </c>
      <c r="AE150" s="2">
        <f t="shared" ca="1" si="18"/>
        <v>-526.12744062500133</v>
      </c>
      <c r="AF150" s="15"/>
    </row>
    <row r="151" spans="1:32" hidden="1">
      <c r="A151" s="1">
        <v>7726549</v>
      </c>
      <c r="B151" s="1" t="s">
        <v>81</v>
      </c>
      <c r="C151" t="s">
        <v>240</v>
      </c>
      <c r="E151" s="2">
        <v>1245000206001</v>
      </c>
      <c r="F151" s="1" t="s">
        <v>29</v>
      </c>
      <c r="G151" s="1" t="s">
        <v>53</v>
      </c>
      <c r="H151" s="1" t="s">
        <v>408</v>
      </c>
      <c r="I151" s="1" t="s">
        <v>409</v>
      </c>
      <c r="J151" s="1" t="s">
        <v>46</v>
      </c>
      <c r="K151" t="s">
        <v>34</v>
      </c>
      <c r="M151" s="1" t="s">
        <v>35</v>
      </c>
      <c r="N151" s="1">
        <v>42318949</v>
      </c>
      <c r="O151" s="1" t="s">
        <v>36</v>
      </c>
      <c r="P151" s="186">
        <v>44459.548819444448</v>
      </c>
      <c r="R151" s="1" t="s">
        <v>38</v>
      </c>
      <c r="T151" s="1" t="s">
        <v>74</v>
      </c>
      <c r="U151" s="186">
        <v>44460.548819444448</v>
      </c>
      <c r="V151" s="1" t="s">
        <v>41</v>
      </c>
      <c r="W151" s="1" t="s">
        <v>49</v>
      </c>
      <c r="X151" s="13" t="str">
        <f t="shared" si="19"/>
        <v/>
      </c>
      <c r="Y151" s="2">
        <f t="shared" ca="1" si="14"/>
        <v>378</v>
      </c>
      <c r="Z151" s="14">
        <v>1</v>
      </c>
      <c r="AA151" s="1" t="str">
        <f t="shared" ca="1" si="15"/>
        <v>VENCIDO</v>
      </c>
      <c r="AB151" s="1" t="str">
        <f t="shared" si="16"/>
        <v>Dosa</v>
      </c>
      <c r="AC151" s="2" t="str">
        <f t="shared" si="20"/>
        <v xml:space="preserve"> CLEITON </v>
      </c>
      <c r="AD151" s="2">
        <f t="shared" si="17"/>
        <v>5</v>
      </c>
      <c r="AE151" s="2">
        <f t="shared" ca="1" si="18"/>
        <v>-526.12745219907083</v>
      </c>
      <c r="AF151" s="15"/>
    </row>
    <row r="152" spans="1:32">
      <c r="A152" s="1">
        <v>7726548</v>
      </c>
      <c r="B152" s="1" t="s">
        <v>81</v>
      </c>
      <c r="C152" t="s">
        <v>240</v>
      </c>
      <c r="E152" s="2">
        <v>981000206001</v>
      </c>
      <c r="F152" s="1" t="s">
        <v>29</v>
      </c>
      <c r="G152" s="1" t="s">
        <v>53</v>
      </c>
      <c r="H152" s="1" t="s">
        <v>410</v>
      </c>
      <c r="I152" s="1" t="s">
        <v>411</v>
      </c>
      <c r="J152" s="1" t="s">
        <v>85</v>
      </c>
      <c r="K152" t="s">
        <v>34</v>
      </c>
      <c r="M152" s="1" t="s">
        <v>35</v>
      </c>
      <c r="N152" s="1">
        <v>42318949</v>
      </c>
      <c r="O152" s="1" t="s">
        <v>36</v>
      </c>
      <c r="P152" s="186">
        <v>44459.548819444448</v>
      </c>
      <c r="R152" s="1" t="s">
        <v>38</v>
      </c>
      <c r="T152" s="1" t="s">
        <v>74</v>
      </c>
      <c r="U152" s="186">
        <v>44460.548819444448</v>
      </c>
      <c r="V152" s="1" t="s">
        <v>41</v>
      </c>
      <c r="W152" s="1" t="s">
        <v>49</v>
      </c>
      <c r="X152" s="13" t="str">
        <f t="shared" si="19"/>
        <v/>
      </c>
      <c r="Y152" s="2">
        <f t="shared" ca="1" si="14"/>
        <v>378</v>
      </c>
      <c r="Z152" s="14">
        <v>1</v>
      </c>
      <c r="AA152" s="1" t="str">
        <f t="shared" ca="1" si="15"/>
        <v>VENCIDO</v>
      </c>
      <c r="AB152" s="1" t="str">
        <f t="shared" si="16"/>
        <v>Dosa</v>
      </c>
      <c r="AC152" s="2" t="str">
        <f t="shared" si="20"/>
        <v xml:space="preserve"> RINALDO </v>
      </c>
      <c r="AD152" s="2">
        <f t="shared" si="17"/>
        <v>5</v>
      </c>
      <c r="AE152" s="2">
        <f t="shared" ca="1" si="18"/>
        <v>-526.12745219907083</v>
      </c>
      <c r="AF152" s="15"/>
    </row>
    <row r="153" spans="1:32" hidden="1">
      <c r="A153" s="1">
        <v>7726545</v>
      </c>
      <c r="B153" s="1" t="s">
        <v>81</v>
      </c>
      <c r="C153" t="s">
        <v>240</v>
      </c>
      <c r="E153" s="2">
        <v>5816000206001</v>
      </c>
      <c r="F153" s="1" t="s">
        <v>29</v>
      </c>
      <c r="G153" s="1" t="s">
        <v>53</v>
      </c>
      <c r="H153" s="1" t="s">
        <v>412</v>
      </c>
      <c r="I153" s="1" t="s">
        <v>413</v>
      </c>
      <c r="J153" s="1" t="s">
        <v>46</v>
      </c>
      <c r="K153" t="s">
        <v>34</v>
      </c>
      <c r="M153" s="1" t="s">
        <v>35</v>
      </c>
      <c r="N153" s="1">
        <v>42318949</v>
      </c>
      <c r="O153" s="1" t="s">
        <v>36</v>
      </c>
      <c r="P153" s="186">
        <v>44459.548819444448</v>
      </c>
      <c r="R153" s="1" t="s">
        <v>38</v>
      </c>
      <c r="T153" s="1" t="s">
        <v>74</v>
      </c>
      <c r="U153" s="186">
        <v>44460.548819444448</v>
      </c>
      <c r="V153" s="1" t="s">
        <v>41</v>
      </c>
      <c r="W153" s="1" t="s">
        <v>49</v>
      </c>
      <c r="X153" s="13" t="str">
        <f t="shared" si="19"/>
        <v/>
      </c>
      <c r="Y153" s="2">
        <f t="shared" ca="1" si="14"/>
        <v>378</v>
      </c>
      <c r="Z153" s="14">
        <v>1</v>
      </c>
      <c r="AA153" s="1" t="str">
        <f t="shared" ca="1" si="15"/>
        <v>VENCIDO</v>
      </c>
      <c r="AB153" s="1" t="str">
        <f t="shared" si="16"/>
        <v>Dosa</v>
      </c>
      <c r="AC153" s="2" t="str">
        <f t="shared" si="20"/>
        <v xml:space="preserve"> CLEITON </v>
      </c>
      <c r="AD153" s="2">
        <f t="shared" si="17"/>
        <v>5</v>
      </c>
      <c r="AE153" s="2">
        <f t="shared" ca="1" si="18"/>
        <v>-526.12745219907083</v>
      </c>
      <c r="AF153" s="15"/>
    </row>
    <row r="154" spans="1:32" hidden="1">
      <c r="A154" s="1">
        <v>7726543</v>
      </c>
      <c r="B154" s="1" t="s">
        <v>81</v>
      </c>
      <c r="C154" t="s">
        <v>240</v>
      </c>
      <c r="E154" s="2">
        <v>1666000206001</v>
      </c>
      <c r="F154" s="1" t="s">
        <v>29</v>
      </c>
      <c r="G154" s="1" t="s">
        <v>53</v>
      </c>
      <c r="H154" s="1" t="s">
        <v>414</v>
      </c>
      <c r="I154" s="1" t="s">
        <v>415</v>
      </c>
      <c r="J154" s="1" t="s">
        <v>79</v>
      </c>
      <c r="K154" t="s">
        <v>34</v>
      </c>
      <c r="M154" s="1" t="s">
        <v>35</v>
      </c>
      <c r="N154" s="1">
        <v>42318949</v>
      </c>
      <c r="O154" s="1" t="s">
        <v>36</v>
      </c>
      <c r="P154" s="186">
        <v>44459.548819444448</v>
      </c>
      <c r="R154" s="1" t="s">
        <v>38</v>
      </c>
      <c r="T154" s="1" t="s">
        <v>74</v>
      </c>
      <c r="U154" s="186">
        <v>44460.548819444448</v>
      </c>
      <c r="V154" s="1" t="s">
        <v>41</v>
      </c>
      <c r="W154" s="1" t="s">
        <v>49</v>
      </c>
      <c r="X154" s="13" t="str">
        <f t="shared" si="19"/>
        <v/>
      </c>
      <c r="Y154" s="2">
        <f t="shared" ca="1" si="14"/>
        <v>378</v>
      </c>
      <c r="Z154" s="14">
        <v>1</v>
      </c>
      <c r="AA154" s="1" t="str">
        <f t="shared" ca="1" si="15"/>
        <v>VENCIDO</v>
      </c>
      <c r="AB154" s="1" t="str">
        <f t="shared" si="16"/>
        <v>Dosa</v>
      </c>
      <c r="AC154" s="2" t="str">
        <f t="shared" si="20"/>
        <v xml:space="preserve"> ROSEMERE </v>
      </c>
      <c r="AD154" s="2">
        <f t="shared" si="17"/>
        <v>5</v>
      </c>
      <c r="AE154" s="2">
        <f t="shared" ca="1" si="18"/>
        <v>-526.12745219907083</v>
      </c>
      <c r="AF154" s="15"/>
    </row>
    <row r="155" spans="1:32" hidden="1">
      <c r="A155" s="1">
        <v>7726541</v>
      </c>
      <c r="B155" s="1" t="s">
        <v>81</v>
      </c>
      <c r="C155" t="s">
        <v>240</v>
      </c>
      <c r="E155" s="2">
        <v>1739000206001</v>
      </c>
      <c r="F155" s="1" t="s">
        <v>29</v>
      </c>
      <c r="G155" s="1" t="s">
        <v>53</v>
      </c>
      <c r="H155" s="1" t="s">
        <v>162</v>
      </c>
      <c r="I155" s="1" t="s">
        <v>163</v>
      </c>
      <c r="J155" s="1" t="s">
        <v>164</v>
      </c>
      <c r="K155" t="s">
        <v>34</v>
      </c>
      <c r="M155" s="1" t="s">
        <v>35</v>
      </c>
      <c r="N155" s="1">
        <v>42318949</v>
      </c>
      <c r="O155" s="1" t="s">
        <v>36</v>
      </c>
      <c r="P155" s="186">
        <v>44459.548807870371</v>
      </c>
      <c r="R155" s="1" t="s">
        <v>38</v>
      </c>
      <c r="T155" s="1" t="s">
        <v>74</v>
      </c>
      <c r="U155" s="186">
        <v>44460.548807870371</v>
      </c>
      <c r="V155" s="1" t="s">
        <v>41</v>
      </c>
      <c r="W155" s="1" t="s">
        <v>49</v>
      </c>
      <c r="X155" s="13" t="str">
        <f t="shared" si="19"/>
        <v/>
      </c>
      <c r="Y155" s="2">
        <f t="shared" ca="1" si="14"/>
        <v>378</v>
      </c>
      <c r="Z155" s="14">
        <v>1</v>
      </c>
      <c r="AA155" s="1" t="str">
        <f t="shared" ca="1" si="15"/>
        <v>VENCIDO</v>
      </c>
      <c r="AB155" s="1" t="str">
        <f t="shared" si="16"/>
        <v>Dosa</v>
      </c>
      <c r="AC155" s="2" t="str">
        <f t="shared" si="20"/>
        <v xml:space="preserve"> ROSEMERE </v>
      </c>
      <c r="AD155" s="2">
        <f t="shared" si="17"/>
        <v>5</v>
      </c>
      <c r="AE155" s="2">
        <f t="shared" ca="1" si="18"/>
        <v>-526.12746377314761</v>
      </c>
      <c r="AF155" s="15"/>
    </row>
    <row r="156" spans="1:32">
      <c r="A156" s="1">
        <v>7726540</v>
      </c>
      <c r="B156" s="1" t="s">
        <v>81</v>
      </c>
      <c r="C156" t="s">
        <v>240</v>
      </c>
      <c r="E156" s="2">
        <v>2437000206001</v>
      </c>
      <c r="F156" s="1" t="s">
        <v>29</v>
      </c>
      <c r="G156" s="1" t="s">
        <v>53</v>
      </c>
      <c r="H156" s="1" t="s">
        <v>416</v>
      </c>
      <c r="I156" s="1" t="s">
        <v>417</v>
      </c>
      <c r="J156" s="1" t="s">
        <v>211</v>
      </c>
      <c r="K156" t="s">
        <v>34</v>
      </c>
      <c r="M156" s="1" t="s">
        <v>35</v>
      </c>
      <c r="N156" s="1">
        <v>42318949</v>
      </c>
      <c r="O156" s="1" t="s">
        <v>36</v>
      </c>
      <c r="P156" s="186">
        <v>44459.548807870371</v>
      </c>
      <c r="R156" s="1" t="s">
        <v>38</v>
      </c>
      <c r="T156" s="1" t="s">
        <v>74</v>
      </c>
      <c r="U156" s="186">
        <v>44460.548807870371</v>
      </c>
      <c r="V156" s="1" t="s">
        <v>41</v>
      </c>
      <c r="W156" s="1" t="s">
        <v>49</v>
      </c>
      <c r="X156" s="13" t="str">
        <f t="shared" si="19"/>
        <v/>
      </c>
      <c r="Y156" s="2">
        <f t="shared" ca="1" si="14"/>
        <v>378</v>
      </c>
      <c r="Z156" s="14">
        <v>1</v>
      </c>
      <c r="AA156" s="1" t="str">
        <f t="shared" ca="1" si="15"/>
        <v>VENCIDO</v>
      </c>
      <c r="AB156" s="1" t="str">
        <f t="shared" si="16"/>
        <v>Dosa</v>
      </c>
      <c r="AC156" s="2" t="str">
        <f t="shared" si="20"/>
        <v xml:space="preserve"> RINALDO </v>
      </c>
      <c r="AD156" s="2">
        <f t="shared" si="17"/>
        <v>5</v>
      </c>
      <c r="AE156" s="2">
        <f t="shared" ca="1" si="18"/>
        <v>-526.12746377314761</v>
      </c>
      <c r="AF156" s="15"/>
    </row>
    <row r="157" spans="1:32" hidden="1">
      <c r="A157" s="1">
        <v>7726539</v>
      </c>
      <c r="B157" s="1" t="s">
        <v>81</v>
      </c>
      <c r="C157" t="s">
        <v>240</v>
      </c>
      <c r="E157" s="2">
        <v>2889000206001</v>
      </c>
      <c r="F157" s="1" t="s">
        <v>29</v>
      </c>
      <c r="G157" s="1" t="s">
        <v>53</v>
      </c>
      <c r="H157" s="1" t="s">
        <v>418</v>
      </c>
      <c r="I157" s="1" t="s">
        <v>419</v>
      </c>
      <c r="J157" s="1" t="s">
        <v>46</v>
      </c>
      <c r="K157" t="s">
        <v>34</v>
      </c>
      <c r="M157" s="1" t="s">
        <v>35</v>
      </c>
      <c r="N157" s="1">
        <v>42318949</v>
      </c>
      <c r="O157" s="1" t="s">
        <v>36</v>
      </c>
      <c r="P157" s="186">
        <v>44459.548807870371</v>
      </c>
      <c r="R157" s="1" t="s">
        <v>38</v>
      </c>
      <c r="T157" s="1" t="s">
        <v>74</v>
      </c>
      <c r="U157" s="186">
        <v>44460.548807870371</v>
      </c>
      <c r="V157" s="1" t="s">
        <v>41</v>
      </c>
      <c r="W157" s="1" t="s">
        <v>49</v>
      </c>
      <c r="X157" s="13" t="str">
        <f t="shared" si="19"/>
        <v/>
      </c>
      <c r="Y157" s="2">
        <f t="shared" ca="1" si="14"/>
        <v>378</v>
      </c>
      <c r="Z157" s="14">
        <v>1</v>
      </c>
      <c r="AA157" s="1" t="str">
        <f t="shared" ca="1" si="15"/>
        <v>VENCIDO</v>
      </c>
      <c r="AB157" s="1" t="str">
        <f t="shared" si="16"/>
        <v>Dosa</v>
      </c>
      <c r="AC157" s="2" t="str">
        <f t="shared" si="20"/>
        <v xml:space="preserve"> CLEITON </v>
      </c>
      <c r="AD157" s="2">
        <f t="shared" si="17"/>
        <v>5</v>
      </c>
      <c r="AE157" s="2">
        <f t="shared" ca="1" si="18"/>
        <v>-526.12746377314761</v>
      </c>
      <c r="AF157" s="15"/>
    </row>
    <row r="158" spans="1:32">
      <c r="A158" s="1">
        <v>7726538</v>
      </c>
      <c r="B158" s="1" t="s">
        <v>81</v>
      </c>
      <c r="C158" t="s">
        <v>240</v>
      </c>
      <c r="E158" s="2">
        <v>605000206001</v>
      </c>
      <c r="F158" s="1" t="s">
        <v>29</v>
      </c>
      <c r="G158" s="1" t="s">
        <v>53</v>
      </c>
      <c r="H158" s="1" t="s">
        <v>420</v>
      </c>
      <c r="I158" s="1" t="s">
        <v>421</v>
      </c>
      <c r="J158" s="1" t="s">
        <v>90</v>
      </c>
      <c r="K158" t="s">
        <v>34</v>
      </c>
      <c r="M158" s="1" t="s">
        <v>35</v>
      </c>
      <c r="N158" s="1">
        <v>42318949</v>
      </c>
      <c r="O158" s="1" t="s">
        <v>36</v>
      </c>
      <c r="P158" s="186">
        <v>44459.548807870371</v>
      </c>
      <c r="R158" s="1" t="s">
        <v>38</v>
      </c>
      <c r="T158" s="1" t="s">
        <v>74</v>
      </c>
      <c r="U158" s="186">
        <v>44460.548807870371</v>
      </c>
      <c r="V158" s="1" t="s">
        <v>41</v>
      </c>
      <c r="W158" s="1" t="s">
        <v>49</v>
      </c>
      <c r="X158" s="13" t="str">
        <f t="shared" si="19"/>
        <v/>
      </c>
      <c r="Y158" s="2">
        <f t="shared" ca="1" si="14"/>
        <v>378</v>
      </c>
      <c r="Z158" s="14">
        <v>1</v>
      </c>
      <c r="AA158" s="1" t="str">
        <f t="shared" ca="1" si="15"/>
        <v>VENCIDO</v>
      </c>
      <c r="AB158" s="1" t="str">
        <f t="shared" si="16"/>
        <v>Dosa</v>
      </c>
      <c r="AC158" s="2" t="str">
        <f t="shared" si="20"/>
        <v xml:space="preserve"> RINALDO </v>
      </c>
      <c r="AD158" s="2">
        <f t="shared" si="17"/>
        <v>5</v>
      </c>
      <c r="AE158" s="2">
        <f t="shared" ca="1" si="18"/>
        <v>-526.12746377314761</v>
      </c>
      <c r="AF158" s="15"/>
    </row>
    <row r="159" spans="1:32" hidden="1">
      <c r="A159" s="1">
        <v>7726534</v>
      </c>
      <c r="B159" s="1" t="s">
        <v>81</v>
      </c>
      <c r="C159" t="s">
        <v>240</v>
      </c>
      <c r="E159" s="2">
        <v>721000206001</v>
      </c>
      <c r="F159" s="1" t="s">
        <v>29</v>
      </c>
      <c r="G159" s="1" t="s">
        <v>53</v>
      </c>
      <c r="H159" s="1" t="s">
        <v>422</v>
      </c>
      <c r="I159" s="1" t="s">
        <v>423</v>
      </c>
      <c r="J159" s="1" t="s">
        <v>79</v>
      </c>
      <c r="K159" t="s">
        <v>34</v>
      </c>
      <c r="M159" s="1" t="s">
        <v>35</v>
      </c>
      <c r="N159" s="1">
        <v>42318949</v>
      </c>
      <c r="O159" s="1" t="s">
        <v>36</v>
      </c>
      <c r="P159" s="186">
        <v>44459.548796296294</v>
      </c>
      <c r="R159" s="1" t="s">
        <v>38</v>
      </c>
      <c r="T159" s="1" t="s">
        <v>74</v>
      </c>
      <c r="U159" s="186">
        <v>44460.548796296294</v>
      </c>
      <c r="V159" s="1" t="s">
        <v>41</v>
      </c>
      <c r="W159" s="1" t="s">
        <v>49</v>
      </c>
      <c r="X159" s="13" t="str">
        <f t="shared" si="19"/>
        <v/>
      </c>
      <c r="Y159" s="2">
        <f t="shared" ca="1" si="14"/>
        <v>378</v>
      </c>
      <c r="Z159" s="14">
        <v>1</v>
      </c>
      <c r="AA159" s="1" t="str">
        <f t="shared" ca="1" si="15"/>
        <v>VENCIDO</v>
      </c>
      <c r="AB159" s="1" t="str">
        <f t="shared" si="16"/>
        <v>Dosa</v>
      </c>
      <c r="AC159" s="2" t="str">
        <f t="shared" si="20"/>
        <v xml:space="preserve"> ROSEMERE </v>
      </c>
      <c r="AD159" s="2">
        <f t="shared" si="17"/>
        <v>5</v>
      </c>
      <c r="AE159" s="2">
        <f t="shared" ca="1" si="18"/>
        <v>-526.12747534722439</v>
      </c>
      <c r="AF159" s="15"/>
    </row>
    <row r="160" spans="1:32" hidden="1">
      <c r="A160" s="1">
        <v>7726532</v>
      </c>
      <c r="B160" s="1" t="s">
        <v>81</v>
      </c>
      <c r="C160" t="s">
        <v>240</v>
      </c>
      <c r="E160" s="2">
        <v>233000206001</v>
      </c>
      <c r="F160" s="1" t="s">
        <v>29</v>
      </c>
      <c r="G160" s="1" t="s">
        <v>53</v>
      </c>
      <c r="H160" s="1" t="s">
        <v>424</v>
      </c>
      <c r="I160" s="1" t="s">
        <v>425</v>
      </c>
      <c r="J160" s="1" t="s">
        <v>261</v>
      </c>
      <c r="K160" t="s">
        <v>34</v>
      </c>
      <c r="M160" s="1" t="s">
        <v>35</v>
      </c>
      <c r="N160" s="1">
        <v>42318949</v>
      </c>
      <c r="O160" s="1" t="s">
        <v>36</v>
      </c>
      <c r="P160" s="186">
        <v>44459.548796296294</v>
      </c>
      <c r="R160" s="1" t="s">
        <v>38</v>
      </c>
      <c r="T160" s="1" t="s">
        <v>74</v>
      </c>
      <c r="U160" s="186">
        <v>44460.548796296294</v>
      </c>
      <c r="V160" s="1" t="s">
        <v>41</v>
      </c>
      <c r="W160" s="1" t="s">
        <v>49</v>
      </c>
      <c r="X160" s="13" t="str">
        <f t="shared" si="19"/>
        <v/>
      </c>
      <c r="Y160" s="2">
        <f t="shared" ca="1" si="14"/>
        <v>378</v>
      </c>
      <c r="Z160" s="14">
        <v>1</v>
      </c>
      <c r="AA160" s="1" t="str">
        <f t="shared" ca="1" si="15"/>
        <v>VENCIDO</v>
      </c>
      <c r="AB160" s="1" t="str">
        <f t="shared" si="16"/>
        <v>Dosa</v>
      </c>
      <c r="AC160" s="2" t="str">
        <f t="shared" si="20"/>
        <v xml:space="preserve"> CRISTINA </v>
      </c>
      <c r="AD160" s="2">
        <f t="shared" si="17"/>
        <v>5</v>
      </c>
      <c r="AE160" s="2">
        <f t="shared" ca="1" si="18"/>
        <v>-526.12747534722439</v>
      </c>
      <c r="AF160" s="15"/>
    </row>
    <row r="161" spans="1:32" hidden="1">
      <c r="A161" s="1">
        <v>7726531</v>
      </c>
      <c r="B161" s="1" t="s">
        <v>81</v>
      </c>
      <c r="C161" t="s">
        <v>240</v>
      </c>
      <c r="E161" s="2">
        <v>4076000206001</v>
      </c>
      <c r="F161" s="1" t="s">
        <v>29</v>
      </c>
      <c r="G161" s="1" t="s">
        <v>53</v>
      </c>
      <c r="H161" s="1" t="s">
        <v>426</v>
      </c>
      <c r="I161" s="1" t="s">
        <v>427</v>
      </c>
      <c r="J161" s="1" t="s">
        <v>79</v>
      </c>
      <c r="K161" t="s">
        <v>34</v>
      </c>
      <c r="M161" s="1" t="s">
        <v>35</v>
      </c>
      <c r="N161" s="1">
        <v>42318949</v>
      </c>
      <c r="O161" s="1" t="s">
        <v>36</v>
      </c>
      <c r="P161" s="186">
        <v>44459.548796296294</v>
      </c>
      <c r="R161" s="1" t="s">
        <v>38</v>
      </c>
      <c r="T161" s="1" t="s">
        <v>74</v>
      </c>
      <c r="U161" s="186">
        <v>44460.548796296294</v>
      </c>
      <c r="V161" s="1" t="s">
        <v>41</v>
      </c>
      <c r="W161" s="1" t="s">
        <v>49</v>
      </c>
      <c r="X161" s="13" t="str">
        <f t="shared" si="19"/>
        <v/>
      </c>
      <c r="Y161" s="2">
        <f t="shared" ca="1" si="14"/>
        <v>378</v>
      </c>
      <c r="Z161" s="14">
        <v>1</v>
      </c>
      <c r="AA161" s="1" t="str">
        <f t="shared" ca="1" si="15"/>
        <v>VENCIDO</v>
      </c>
      <c r="AB161" s="1" t="str">
        <f t="shared" si="16"/>
        <v>Dosa</v>
      </c>
      <c r="AC161" s="2" t="str">
        <f t="shared" si="20"/>
        <v xml:space="preserve"> ROSEMERE </v>
      </c>
      <c r="AD161" s="2">
        <f t="shared" si="17"/>
        <v>5</v>
      </c>
      <c r="AE161" s="2">
        <f t="shared" ca="1" si="18"/>
        <v>-526.12747534722439</v>
      </c>
      <c r="AF161" s="15"/>
    </row>
    <row r="162" spans="1:32" hidden="1">
      <c r="A162" s="1">
        <v>7726528</v>
      </c>
      <c r="B162" s="1" t="s">
        <v>81</v>
      </c>
      <c r="C162" t="s">
        <v>240</v>
      </c>
      <c r="E162" s="2">
        <v>934000206001</v>
      </c>
      <c r="F162" s="1" t="s">
        <v>29</v>
      </c>
      <c r="G162" s="1" t="s">
        <v>53</v>
      </c>
      <c r="H162" s="1" t="s">
        <v>428</v>
      </c>
      <c r="I162" s="1" t="s">
        <v>429</v>
      </c>
      <c r="J162" s="1" t="s">
        <v>46</v>
      </c>
      <c r="K162" t="s">
        <v>34</v>
      </c>
      <c r="M162" s="1" t="s">
        <v>35</v>
      </c>
      <c r="N162" s="1">
        <v>42318949</v>
      </c>
      <c r="O162" s="1" t="s">
        <v>36</v>
      </c>
      <c r="P162" s="186">
        <v>44459.548784722225</v>
      </c>
      <c r="R162" s="1" t="s">
        <v>38</v>
      </c>
      <c r="T162" s="1" t="s">
        <v>74</v>
      </c>
      <c r="U162" s="186">
        <v>44460.548784722225</v>
      </c>
      <c r="V162" s="1" t="s">
        <v>41</v>
      </c>
      <c r="W162" s="1" t="s">
        <v>49</v>
      </c>
      <c r="X162" s="13" t="str">
        <f t="shared" si="19"/>
        <v/>
      </c>
      <c r="Y162" s="2">
        <f t="shared" ca="1" si="14"/>
        <v>378</v>
      </c>
      <c r="Z162" s="14">
        <v>1</v>
      </c>
      <c r="AA162" s="1" t="str">
        <f t="shared" ca="1" si="15"/>
        <v>VENCIDO</v>
      </c>
      <c r="AB162" s="1" t="str">
        <f t="shared" si="16"/>
        <v>Dosa</v>
      </c>
      <c r="AC162" s="2" t="str">
        <f t="shared" si="20"/>
        <v xml:space="preserve"> CLEITON </v>
      </c>
      <c r="AD162" s="2">
        <f t="shared" si="17"/>
        <v>5</v>
      </c>
      <c r="AE162" s="2">
        <f t="shared" ca="1" si="18"/>
        <v>-526.12748692129389</v>
      </c>
      <c r="AF162" s="15"/>
    </row>
    <row r="163" spans="1:32" hidden="1">
      <c r="A163" s="1">
        <v>7726527</v>
      </c>
      <c r="B163" s="1" t="s">
        <v>81</v>
      </c>
      <c r="C163" t="s">
        <v>240</v>
      </c>
      <c r="E163" s="2">
        <v>5742000206001</v>
      </c>
      <c r="F163" s="1" t="s">
        <v>29</v>
      </c>
      <c r="G163" s="1" t="s">
        <v>53</v>
      </c>
      <c r="H163" s="1" t="s">
        <v>430</v>
      </c>
      <c r="I163" s="1" t="s">
        <v>431</v>
      </c>
      <c r="J163" s="1" t="s">
        <v>79</v>
      </c>
      <c r="K163" t="s">
        <v>34</v>
      </c>
      <c r="M163" s="1" t="s">
        <v>35</v>
      </c>
      <c r="N163" s="1">
        <v>42318949</v>
      </c>
      <c r="O163" s="1" t="s">
        <v>36</v>
      </c>
      <c r="P163" s="186">
        <v>44459.548784722225</v>
      </c>
      <c r="R163" s="1" t="s">
        <v>38</v>
      </c>
      <c r="T163" s="1" t="s">
        <v>74</v>
      </c>
      <c r="U163" s="186">
        <v>44460.548784722225</v>
      </c>
      <c r="V163" s="1" t="s">
        <v>41</v>
      </c>
      <c r="W163" s="1" t="s">
        <v>49</v>
      </c>
      <c r="X163" s="13" t="str">
        <f t="shared" si="19"/>
        <v/>
      </c>
      <c r="Y163" s="2">
        <f t="shared" ca="1" si="14"/>
        <v>378</v>
      </c>
      <c r="Z163" s="14">
        <v>1</v>
      </c>
      <c r="AA163" s="1" t="str">
        <f t="shared" ca="1" si="15"/>
        <v>VENCIDO</v>
      </c>
      <c r="AB163" s="1" t="str">
        <f t="shared" si="16"/>
        <v>Dosa</v>
      </c>
      <c r="AC163" s="2" t="str">
        <f t="shared" si="20"/>
        <v xml:space="preserve"> ROSEMERE </v>
      </c>
      <c r="AD163" s="2">
        <f t="shared" si="17"/>
        <v>5</v>
      </c>
      <c r="AE163" s="2">
        <f t="shared" ca="1" si="18"/>
        <v>-526.12748692129389</v>
      </c>
      <c r="AF163" s="15"/>
    </row>
    <row r="164" spans="1:32" hidden="1">
      <c r="A164" s="1">
        <v>7726525</v>
      </c>
      <c r="B164" s="1" t="s">
        <v>81</v>
      </c>
      <c r="C164" t="s">
        <v>240</v>
      </c>
      <c r="E164" s="2">
        <v>446000206001</v>
      </c>
      <c r="F164" s="1" t="s">
        <v>29</v>
      </c>
      <c r="G164" s="1" t="s">
        <v>53</v>
      </c>
      <c r="H164" s="1" t="s">
        <v>432</v>
      </c>
      <c r="I164" s="1" t="s">
        <v>433</v>
      </c>
      <c r="J164" s="1" t="s">
        <v>110</v>
      </c>
      <c r="K164" t="s">
        <v>34</v>
      </c>
      <c r="M164" s="1" t="s">
        <v>35</v>
      </c>
      <c r="N164" s="1">
        <v>42318949</v>
      </c>
      <c r="O164" s="1" t="s">
        <v>36</v>
      </c>
      <c r="P164" s="186">
        <v>44459.548784722225</v>
      </c>
      <c r="R164" s="1" t="s">
        <v>38</v>
      </c>
      <c r="T164" s="1" t="s">
        <v>74</v>
      </c>
      <c r="U164" s="186">
        <v>44460.548784722225</v>
      </c>
      <c r="V164" s="1" t="s">
        <v>41</v>
      </c>
      <c r="W164" s="1" t="s">
        <v>49</v>
      </c>
      <c r="X164" s="13" t="str">
        <f t="shared" si="19"/>
        <v/>
      </c>
      <c r="Y164" s="2">
        <f t="shared" ca="1" si="14"/>
        <v>378</v>
      </c>
      <c r="Z164" s="14">
        <v>1</v>
      </c>
      <c r="AA164" s="1" t="str">
        <f t="shared" ca="1" si="15"/>
        <v>VENCIDO</v>
      </c>
      <c r="AB164" s="1" t="str">
        <f t="shared" si="16"/>
        <v>Dosa</v>
      </c>
      <c r="AC164" s="2" t="str">
        <f t="shared" si="20"/>
        <v xml:space="preserve"> CRISTINA </v>
      </c>
      <c r="AD164" s="2">
        <f t="shared" si="17"/>
        <v>5</v>
      </c>
      <c r="AE164" s="2">
        <f t="shared" ca="1" si="18"/>
        <v>-526.12748692129389</v>
      </c>
      <c r="AF164" s="15"/>
    </row>
    <row r="165" spans="1:32">
      <c r="A165" s="1">
        <v>7726524</v>
      </c>
      <c r="B165" s="1" t="s">
        <v>81</v>
      </c>
      <c r="C165" s="19" t="s">
        <v>240</v>
      </c>
      <c r="E165" s="2">
        <v>570000206001</v>
      </c>
      <c r="F165" s="18" t="s">
        <v>29</v>
      </c>
      <c r="G165" s="1" t="s">
        <v>53</v>
      </c>
      <c r="H165" s="1" t="s">
        <v>434</v>
      </c>
      <c r="I165" s="1" t="s">
        <v>435</v>
      </c>
      <c r="J165" s="1" t="s">
        <v>148</v>
      </c>
      <c r="K165" t="s">
        <v>34</v>
      </c>
      <c r="M165" s="1" t="s">
        <v>35</v>
      </c>
      <c r="N165" s="1">
        <v>42318949</v>
      </c>
      <c r="O165" s="1" t="s">
        <v>36</v>
      </c>
      <c r="P165" s="11" t="s">
        <v>436</v>
      </c>
      <c r="R165" s="1" t="s">
        <v>38</v>
      </c>
      <c r="T165" s="1" t="s">
        <v>74</v>
      </c>
      <c r="U165" s="11" t="s">
        <v>437</v>
      </c>
      <c r="V165" s="1" t="s">
        <v>41</v>
      </c>
      <c r="W165" s="1" t="s">
        <v>49</v>
      </c>
      <c r="X165" s="13" t="str">
        <f t="shared" si="19"/>
        <v/>
      </c>
      <c r="Y165" s="2">
        <f t="shared" ca="1" si="14"/>
        <v>378</v>
      </c>
      <c r="Z165" s="14">
        <v>1</v>
      </c>
      <c r="AA165" s="1" t="str">
        <f t="shared" ca="1" si="15"/>
        <v>VENCIDO</v>
      </c>
      <c r="AB165" s="1" t="str">
        <f t="shared" si="16"/>
        <v>Dosa</v>
      </c>
      <c r="AC165" s="2" t="str">
        <f t="shared" si="20"/>
        <v xml:space="preserve"> RINALDO </v>
      </c>
      <c r="AD165" s="2">
        <f t="shared" si="17"/>
        <v>5</v>
      </c>
      <c r="AE165" s="2">
        <f t="shared" ca="1" si="18"/>
        <v>-526.12748692129389</v>
      </c>
      <c r="AF165" s="15"/>
    </row>
    <row r="166" spans="1:32">
      <c r="A166" s="1">
        <v>7726522</v>
      </c>
      <c r="B166" s="1" t="s">
        <v>81</v>
      </c>
      <c r="C166" t="s">
        <v>240</v>
      </c>
      <c r="E166" s="2">
        <v>917000206001</v>
      </c>
      <c r="F166" s="1" t="s">
        <v>29</v>
      </c>
      <c r="G166" s="1" t="s">
        <v>53</v>
      </c>
      <c r="H166" s="1" t="s">
        <v>83</v>
      </c>
      <c r="I166" s="1" t="s">
        <v>84</v>
      </c>
      <c r="J166" s="1" t="s">
        <v>85</v>
      </c>
      <c r="K166" t="s">
        <v>34</v>
      </c>
      <c r="M166" s="1" t="s">
        <v>35</v>
      </c>
      <c r="N166" s="1">
        <v>42318949</v>
      </c>
      <c r="O166" s="1" t="s">
        <v>36</v>
      </c>
      <c r="P166" s="11" t="s">
        <v>436</v>
      </c>
      <c r="R166" s="1" t="s">
        <v>38</v>
      </c>
      <c r="T166" s="1" t="s">
        <v>74</v>
      </c>
      <c r="U166" s="11" t="s">
        <v>437</v>
      </c>
      <c r="V166" s="1" t="s">
        <v>41</v>
      </c>
      <c r="W166" s="1" t="s">
        <v>49</v>
      </c>
      <c r="X166" s="13" t="str">
        <f t="shared" si="19"/>
        <v/>
      </c>
      <c r="Y166" s="2">
        <f t="shared" ca="1" si="14"/>
        <v>378</v>
      </c>
      <c r="Z166" s="14">
        <v>1</v>
      </c>
      <c r="AA166" s="1" t="str">
        <f t="shared" ca="1" si="15"/>
        <v>VENCIDO</v>
      </c>
      <c r="AB166" s="1" t="str">
        <f t="shared" si="16"/>
        <v>Dosa</v>
      </c>
      <c r="AC166" s="2" t="str">
        <f t="shared" si="20"/>
        <v xml:space="preserve"> RINALDO </v>
      </c>
      <c r="AD166" s="2">
        <f t="shared" si="17"/>
        <v>5</v>
      </c>
      <c r="AE166" s="2">
        <f t="shared" ca="1" si="18"/>
        <v>-526.12748692129389</v>
      </c>
      <c r="AF166" s="15"/>
    </row>
    <row r="167" spans="1:32">
      <c r="A167" s="1">
        <v>7726519</v>
      </c>
      <c r="B167" s="1" t="s">
        <v>81</v>
      </c>
      <c r="C167" t="s">
        <v>240</v>
      </c>
      <c r="E167" s="2">
        <v>608000206001</v>
      </c>
      <c r="F167" s="1" t="s">
        <v>29</v>
      </c>
      <c r="G167" s="1" t="s">
        <v>53</v>
      </c>
      <c r="H167" s="1" t="s">
        <v>438</v>
      </c>
      <c r="I167" s="1" t="s">
        <v>439</v>
      </c>
      <c r="J167" s="1" t="s">
        <v>148</v>
      </c>
      <c r="K167" t="s">
        <v>34</v>
      </c>
      <c r="M167" s="1" t="s">
        <v>35</v>
      </c>
      <c r="N167" s="1">
        <v>42318949</v>
      </c>
      <c r="O167" s="1" t="s">
        <v>36</v>
      </c>
      <c r="P167" s="11" t="s">
        <v>440</v>
      </c>
      <c r="R167" s="1" t="s">
        <v>38</v>
      </c>
      <c r="T167" s="1" t="s">
        <v>74</v>
      </c>
      <c r="U167" s="11" t="s">
        <v>441</v>
      </c>
      <c r="V167" s="1" t="s">
        <v>41</v>
      </c>
      <c r="W167" s="1" t="s">
        <v>49</v>
      </c>
      <c r="X167" s="13" t="str">
        <f t="shared" si="19"/>
        <v/>
      </c>
      <c r="Y167" s="2">
        <f t="shared" ca="1" si="14"/>
        <v>378</v>
      </c>
      <c r="Z167" s="14">
        <v>1</v>
      </c>
      <c r="AA167" s="1" t="str">
        <f t="shared" ca="1" si="15"/>
        <v>VENCIDO</v>
      </c>
      <c r="AB167" s="1" t="str">
        <f t="shared" si="16"/>
        <v>Dosa</v>
      </c>
      <c r="AC167" s="2" t="str">
        <f t="shared" si="20"/>
        <v xml:space="preserve"> RINALDO </v>
      </c>
      <c r="AD167" s="2">
        <f t="shared" si="17"/>
        <v>5</v>
      </c>
      <c r="AE167" s="2">
        <f t="shared" ca="1" si="18"/>
        <v>-526.12749849537067</v>
      </c>
      <c r="AF167" s="15"/>
    </row>
    <row r="168" spans="1:32" hidden="1">
      <c r="A168" s="1">
        <v>7726518</v>
      </c>
      <c r="B168" s="1" t="s">
        <v>81</v>
      </c>
      <c r="C168" t="s">
        <v>240</v>
      </c>
      <c r="E168" s="2">
        <v>537000206001</v>
      </c>
      <c r="F168" s="1" t="s">
        <v>29</v>
      </c>
      <c r="G168" s="1" t="s">
        <v>53</v>
      </c>
      <c r="H168" s="1" t="s">
        <v>442</v>
      </c>
      <c r="I168" s="1" t="s">
        <v>443</v>
      </c>
      <c r="J168" s="1" t="s">
        <v>79</v>
      </c>
      <c r="K168" t="s">
        <v>34</v>
      </c>
      <c r="M168" s="1" t="s">
        <v>35</v>
      </c>
      <c r="N168" s="1">
        <v>42318949</v>
      </c>
      <c r="O168" s="1" t="s">
        <v>36</v>
      </c>
      <c r="P168" s="11" t="s">
        <v>440</v>
      </c>
      <c r="R168" s="1" t="s">
        <v>38</v>
      </c>
      <c r="T168" s="1" t="s">
        <v>74</v>
      </c>
      <c r="U168" s="11" t="s">
        <v>441</v>
      </c>
      <c r="V168" s="1" t="s">
        <v>41</v>
      </c>
      <c r="W168" s="1" t="s">
        <v>49</v>
      </c>
      <c r="X168" s="13" t="str">
        <f t="shared" si="19"/>
        <v/>
      </c>
      <c r="Y168" s="2">
        <f t="shared" ca="1" si="14"/>
        <v>378</v>
      </c>
      <c r="Z168" s="14">
        <v>1</v>
      </c>
      <c r="AA168" s="1" t="str">
        <f t="shared" ca="1" si="15"/>
        <v>VENCIDO</v>
      </c>
      <c r="AB168" s="1" t="str">
        <f t="shared" si="16"/>
        <v>Dosa</v>
      </c>
      <c r="AC168" s="2" t="str">
        <f t="shared" si="20"/>
        <v xml:space="preserve"> ROSEMERE </v>
      </c>
      <c r="AD168" s="2">
        <f t="shared" si="17"/>
        <v>5</v>
      </c>
      <c r="AE168" s="2">
        <f t="shared" ca="1" si="18"/>
        <v>-526.12749849537067</v>
      </c>
      <c r="AF168" s="15"/>
    </row>
    <row r="169" spans="1:32" hidden="1">
      <c r="A169" s="1">
        <v>7726511</v>
      </c>
      <c r="B169" s="1" t="s">
        <v>81</v>
      </c>
      <c r="C169" t="s">
        <v>240</v>
      </c>
      <c r="E169" s="2">
        <v>594000206001</v>
      </c>
      <c r="F169" s="1" t="s">
        <v>29</v>
      </c>
      <c r="G169" s="1" t="s">
        <v>53</v>
      </c>
      <c r="H169" s="1" t="s">
        <v>444</v>
      </c>
      <c r="I169" s="1" t="s">
        <v>445</v>
      </c>
      <c r="J169" s="1" t="s">
        <v>33</v>
      </c>
      <c r="K169" t="s">
        <v>34</v>
      </c>
      <c r="M169" s="1" t="s">
        <v>35</v>
      </c>
      <c r="N169" s="1">
        <v>42318949</v>
      </c>
      <c r="O169" s="1" t="s">
        <v>36</v>
      </c>
      <c r="P169" s="11" t="s">
        <v>446</v>
      </c>
      <c r="R169" s="1" t="s">
        <v>38</v>
      </c>
      <c r="T169" s="1" t="s">
        <v>74</v>
      </c>
      <c r="U169" s="11" t="s">
        <v>447</v>
      </c>
      <c r="V169" s="1" t="s">
        <v>41</v>
      </c>
      <c r="W169" s="1" t="s">
        <v>42</v>
      </c>
      <c r="X169" s="13" t="str">
        <f t="shared" si="19"/>
        <v/>
      </c>
      <c r="Y169" s="2">
        <f t="shared" ca="1" si="14"/>
        <v>378</v>
      </c>
      <c r="Z169" s="14">
        <v>1</v>
      </c>
      <c r="AA169" s="1" t="str">
        <f t="shared" ca="1" si="15"/>
        <v>VENCIDO</v>
      </c>
      <c r="AB169" s="1" t="str">
        <f t="shared" si="16"/>
        <v>Dosa</v>
      </c>
      <c r="AC169" s="2" t="str">
        <f t="shared" si="20"/>
        <v xml:space="preserve"> ROSEMERE </v>
      </c>
      <c r="AD169" s="2">
        <f t="shared" si="17"/>
        <v>5</v>
      </c>
      <c r="AE169" s="2">
        <f t="shared" ca="1" si="18"/>
        <v>-526.12751006944745</v>
      </c>
      <c r="AF169" s="15"/>
    </row>
    <row r="170" spans="1:32" hidden="1">
      <c r="A170" s="1">
        <v>7726505</v>
      </c>
      <c r="B170" s="1" t="s">
        <v>81</v>
      </c>
      <c r="C170" t="s">
        <v>240</v>
      </c>
      <c r="E170" s="2">
        <v>2830000206001</v>
      </c>
      <c r="F170" s="1" t="s">
        <v>29</v>
      </c>
      <c r="G170" s="1" t="s">
        <v>53</v>
      </c>
      <c r="H170" s="1" t="s">
        <v>448</v>
      </c>
      <c r="I170" s="1" t="s">
        <v>449</v>
      </c>
      <c r="J170" s="1" t="s">
        <v>33</v>
      </c>
      <c r="K170" t="s">
        <v>34</v>
      </c>
      <c r="M170" s="1" t="s">
        <v>35</v>
      </c>
      <c r="N170" s="1">
        <v>42318949</v>
      </c>
      <c r="O170" s="1" t="s">
        <v>36</v>
      </c>
      <c r="P170" s="11" t="s">
        <v>446</v>
      </c>
      <c r="R170" s="1" t="s">
        <v>38</v>
      </c>
      <c r="T170" s="1" t="s">
        <v>74</v>
      </c>
      <c r="U170" s="11" t="s">
        <v>447</v>
      </c>
      <c r="V170" s="1" t="s">
        <v>41</v>
      </c>
      <c r="W170" s="1" t="s">
        <v>42</v>
      </c>
      <c r="X170" s="13" t="str">
        <f t="shared" si="19"/>
        <v/>
      </c>
      <c r="Y170" s="2">
        <f t="shared" ca="1" si="14"/>
        <v>378</v>
      </c>
      <c r="Z170" s="14">
        <v>1</v>
      </c>
      <c r="AA170" s="1" t="str">
        <f t="shared" ca="1" si="15"/>
        <v>VENCIDO</v>
      </c>
      <c r="AB170" s="1" t="str">
        <f t="shared" si="16"/>
        <v>Dosa</v>
      </c>
      <c r="AC170" s="2" t="str">
        <f t="shared" si="20"/>
        <v xml:space="preserve"> ROSEMERE </v>
      </c>
      <c r="AD170" s="2">
        <f t="shared" si="17"/>
        <v>5</v>
      </c>
      <c r="AE170" s="2">
        <f t="shared" ca="1" si="18"/>
        <v>-526.12751006944745</v>
      </c>
      <c r="AF170" s="15"/>
    </row>
    <row r="171" spans="1:32" hidden="1">
      <c r="A171" s="1">
        <v>7898328</v>
      </c>
      <c r="B171" s="1" t="s">
        <v>81</v>
      </c>
      <c r="C171" t="s">
        <v>450</v>
      </c>
      <c r="E171" s="2">
        <v>1664000206001</v>
      </c>
      <c r="F171" s="1" t="s">
        <v>29</v>
      </c>
      <c r="G171" s="1" t="s">
        <v>53</v>
      </c>
      <c r="H171" s="1" t="s">
        <v>307</v>
      </c>
      <c r="I171" s="1" t="s">
        <v>308</v>
      </c>
      <c r="J171" s="1" t="s">
        <v>164</v>
      </c>
      <c r="K171" t="s">
        <v>34</v>
      </c>
      <c r="M171" s="1" t="s">
        <v>35</v>
      </c>
      <c r="N171" s="1">
        <v>42318949</v>
      </c>
      <c r="O171" s="1" t="s">
        <v>36</v>
      </c>
      <c r="P171" s="186">
        <v>44466.810416666667</v>
      </c>
      <c r="R171" s="1" t="s">
        <v>38</v>
      </c>
      <c r="T171" s="1" t="s">
        <v>74</v>
      </c>
      <c r="U171" s="186">
        <v>44467.810416666667</v>
      </c>
      <c r="V171" s="1" t="s">
        <v>41</v>
      </c>
      <c r="W171" s="1" t="s">
        <v>49</v>
      </c>
      <c r="X171" s="13" t="str">
        <f t="shared" si="19"/>
        <v/>
      </c>
      <c r="Y171" s="2">
        <f t="shared" ca="1" si="14"/>
        <v>373</v>
      </c>
      <c r="Z171" s="14">
        <v>1</v>
      </c>
      <c r="AA171" s="1" t="str">
        <f t="shared" ca="1" si="15"/>
        <v>VENCIDO</v>
      </c>
      <c r="AB171" s="1" t="str">
        <f t="shared" si="16"/>
        <v>Dosa</v>
      </c>
      <c r="AC171" s="2" t="str">
        <f t="shared" si="20"/>
        <v xml:space="preserve"> ROSEMERE </v>
      </c>
      <c r="AD171" s="2">
        <f t="shared" si="17"/>
        <v>5</v>
      </c>
      <c r="AE171" s="2">
        <f t="shared" ca="1" si="18"/>
        <v>-518.86585497685155</v>
      </c>
      <c r="AF171" s="15"/>
    </row>
    <row r="172" spans="1:32" hidden="1">
      <c r="A172" s="1">
        <v>7898195</v>
      </c>
      <c r="B172" s="1" t="s">
        <v>81</v>
      </c>
      <c r="C172" t="s">
        <v>450</v>
      </c>
      <c r="E172" s="2">
        <v>2107000206001</v>
      </c>
      <c r="F172" s="1" t="s">
        <v>29</v>
      </c>
      <c r="G172" s="1" t="s">
        <v>53</v>
      </c>
      <c r="H172" s="1" t="s">
        <v>262</v>
      </c>
      <c r="I172" s="1" t="s">
        <v>263</v>
      </c>
      <c r="J172" s="1" t="s">
        <v>164</v>
      </c>
      <c r="K172" t="s">
        <v>34</v>
      </c>
      <c r="M172" s="1" t="s">
        <v>35</v>
      </c>
      <c r="N172" s="1">
        <v>42318949</v>
      </c>
      <c r="O172" s="1" t="s">
        <v>36</v>
      </c>
      <c r="P172" s="186">
        <v>44466.803553240738</v>
      </c>
      <c r="R172" s="1" t="s">
        <v>38</v>
      </c>
      <c r="T172" s="1" t="s">
        <v>74</v>
      </c>
      <c r="U172" s="186">
        <v>44467.803553240738</v>
      </c>
      <c r="V172" s="1" t="s">
        <v>41</v>
      </c>
      <c r="W172" s="1" t="s">
        <v>49</v>
      </c>
      <c r="X172" s="13" t="str">
        <f t="shared" si="19"/>
        <v/>
      </c>
      <c r="Y172" s="2">
        <f t="shared" ca="1" si="14"/>
        <v>373</v>
      </c>
      <c r="Z172" s="14">
        <v>1</v>
      </c>
      <c r="AA172" s="1" t="str">
        <f t="shared" ca="1" si="15"/>
        <v>VENCIDO</v>
      </c>
      <c r="AB172" s="1" t="str">
        <f t="shared" si="16"/>
        <v>Dosa</v>
      </c>
      <c r="AC172" s="2" t="str">
        <f t="shared" si="20"/>
        <v xml:space="preserve"> ROSEMERE </v>
      </c>
      <c r="AD172" s="2">
        <f t="shared" si="17"/>
        <v>5</v>
      </c>
      <c r="AE172" s="2">
        <f t="shared" ca="1" si="18"/>
        <v>-518.87271840278117</v>
      </c>
      <c r="AF172" s="15"/>
    </row>
    <row r="173" spans="1:32" hidden="1">
      <c r="A173" s="1">
        <v>7898176</v>
      </c>
      <c r="B173" s="1" t="s">
        <v>81</v>
      </c>
      <c r="C173" t="s">
        <v>450</v>
      </c>
      <c r="E173" s="2">
        <v>2559000206001</v>
      </c>
      <c r="F173" s="1" t="s">
        <v>29</v>
      </c>
      <c r="G173" s="1" t="s">
        <v>53</v>
      </c>
      <c r="H173" s="1" t="s">
        <v>259</v>
      </c>
      <c r="I173" s="1" t="s">
        <v>260</v>
      </c>
      <c r="J173" s="1" t="s">
        <v>261</v>
      </c>
      <c r="K173" t="s">
        <v>34</v>
      </c>
      <c r="M173" s="1" t="s">
        <v>35</v>
      </c>
      <c r="N173" s="1">
        <v>42318949</v>
      </c>
      <c r="O173" s="1" t="s">
        <v>36</v>
      </c>
      <c r="P173" s="11" t="s">
        <v>451</v>
      </c>
      <c r="R173" s="1" t="s">
        <v>38</v>
      </c>
      <c r="T173" s="1" t="s">
        <v>74</v>
      </c>
      <c r="U173" s="11" t="s">
        <v>452</v>
      </c>
      <c r="V173" s="1" t="s">
        <v>41</v>
      </c>
      <c r="W173" s="1" t="s">
        <v>49</v>
      </c>
      <c r="X173" s="13" t="str">
        <f t="shared" si="19"/>
        <v/>
      </c>
      <c r="Y173" s="2">
        <f t="shared" ca="1" si="14"/>
        <v>373</v>
      </c>
      <c r="Z173" s="14">
        <v>1</v>
      </c>
      <c r="AA173" s="1" t="str">
        <f t="shared" ca="1" si="15"/>
        <v>VENCIDO</v>
      </c>
      <c r="AB173" s="1" t="str">
        <f t="shared" si="16"/>
        <v>Dosa</v>
      </c>
      <c r="AC173" s="2" t="str">
        <f t="shared" si="20"/>
        <v xml:space="preserve"> CRISTINA </v>
      </c>
      <c r="AD173" s="2">
        <f t="shared" si="17"/>
        <v>5</v>
      </c>
      <c r="AE173" s="2">
        <f t="shared" ca="1" si="18"/>
        <v>-518.87301932870469</v>
      </c>
      <c r="AF173" s="15"/>
    </row>
    <row r="174" spans="1:32" hidden="1">
      <c r="A174" s="1">
        <v>7897993</v>
      </c>
      <c r="B174" s="1" t="s">
        <v>81</v>
      </c>
      <c r="C174" t="s">
        <v>450</v>
      </c>
      <c r="E174" s="2">
        <v>2564000206001</v>
      </c>
      <c r="F174" s="1" t="s">
        <v>29</v>
      </c>
      <c r="G174" s="1" t="s">
        <v>53</v>
      </c>
      <c r="H174" s="1" t="s">
        <v>255</v>
      </c>
      <c r="I174" s="1" t="s">
        <v>256</v>
      </c>
      <c r="J174" s="1" t="s">
        <v>164</v>
      </c>
      <c r="K174" t="s">
        <v>34</v>
      </c>
      <c r="M174" s="1" t="s">
        <v>35</v>
      </c>
      <c r="N174" s="1">
        <v>42318949</v>
      </c>
      <c r="O174" s="1" t="s">
        <v>36</v>
      </c>
      <c r="P174" s="12">
        <v>44466.802881944444</v>
      </c>
      <c r="R174" s="1" t="s">
        <v>38</v>
      </c>
      <c r="T174" s="1" t="s">
        <v>74</v>
      </c>
      <c r="U174" s="12">
        <v>44467.802881944444</v>
      </c>
      <c r="V174" s="1" t="s">
        <v>41</v>
      </c>
      <c r="W174" s="1" t="s">
        <v>49</v>
      </c>
      <c r="X174" s="13" t="str">
        <f t="shared" si="19"/>
        <v/>
      </c>
      <c r="Y174" s="2">
        <f t="shared" ca="1" si="14"/>
        <v>373</v>
      </c>
      <c r="Z174" s="14">
        <v>1</v>
      </c>
      <c r="AA174" s="1" t="str">
        <f t="shared" ca="1" si="15"/>
        <v>VENCIDO</v>
      </c>
      <c r="AB174" s="1" t="str">
        <f t="shared" si="16"/>
        <v>Dosa</v>
      </c>
      <c r="AC174" s="2" t="str">
        <f t="shared" si="20"/>
        <v xml:space="preserve"> ROSEMERE </v>
      </c>
      <c r="AD174" s="2">
        <f t="shared" si="17"/>
        <v>5</v>
      </c>
      <c r="AE174" s="2">
        <f t="shared" ca="1" si="18"/>
        <v>-518.87338969907432</v>
      </c>
      <c r="AF174" s="15"/>
    </row>
    <row r="175" spans="1:32" hidden="1">
      <c r="A175" s="1">
        <v>7973155</v>
      </c>
      <c r="B175" s="1" t="s">
        <v>62</v>
      </c>
      <c r="C175" t="s">
        <v>453</v>
      </c>
      <c r="E175" s="2">
        <v>1836000203000</v>
      </c>
      <c r="F175" s="1" t="s">
        <v>454</v>
      </c>
      <c r="G175" s="1" t="s">
        <v>53</v>
      </c>
      <c r="H175" s="1" t="s">
        <v>455</v>
      </c>
      <c r="I175" s="1" t="s">
        <v>456</v>
      </c>
      <c r="J175" s="1" t="s">
        <v>46</v>
      </c>
      <c r="K175" t="s">
        <v>457</v>
      </c>
      <c r="M175" s="1" t="s">
        <v>58</v>
      </c>
      <c r="N175" s="1">
        <v>0</v>
      </c>
      <c r="O175" s="1" t="s">
        <v>105</v>
      </c>
      <c r="P175" s="11" t="s">
        <v>458</v>
      </c>
      <c r="R175" s="1" t="s">
        <v>38</v>
      </c>
      <c r="T175" s="1" t="s">
        <v>157</v>
      </c>
      <c r="U175" s="11" t="s">
        <v>459</v>
      </c>
      <c r="V175" s="1" t="s">
        <v>41</v>
      </c>
      <c r="W175" s="1" t="s">
        <v>49</v>
      </c>
      <c r="X175" s="13" t="str">
        <f t="shared" si="19"/>
        <v/>
      </c>
      <c r="Y175" s="2">
        <f t="shared" ca="1" si="14"/>
        <v>370</v>
      </c>
      <c r="Z175" s="14">
        <v>1</v>
      </c>
      <c r="AA175" s="1" t="str">
        <f t="shared" ca="1" si="15"/>
        <v>VENCIDO</v>
      </c>
      <c r="AB175" s="1" t="str">
        <f t="shared" si="16"/>
        <v>C-14</v>
      </c>
      <c r="AC175" s="2" t="str">
        <f t="shared" si="20"/>
        <v xml:space="preserve"> CLEITON </v>
      </c>
      <c r="AD175" s="2">
        <f t="shared" si="17"/>
        <v>5</v>
      </c>
      <c r="AE175" s="2">
        <f t="shared" ca="1" si="18"/>
        <v>-477.9262716435187</v>
      </c>
      <c r="AF175" s="15"/>
    </row>
    <row r="176" spans="1:32" hidden="1">
      <c r="A176" s="1">
        <v>7973154</v>
      </c>
      <c r="B176" s="1" t="s">
        <v>62</v>
      </c>
      <c r="C176" t="s">
        <v>453</v>
      </c>
      <c r="E176" s="2">
        <v>1836000203000</v>
      </c>
      <c r="F176" s="1" t="s">
        <v>454</v>
      </c>
      <c r="G176" s="1" t="s">
        <v>53</v>
      </c>
      <c r="H176" s="1" t="s">
        <v>455</v>
      </c>
      <c r="I176" s="1" t="s">
        <v>456</v>
      </c>
      <c r="J176" s="1" t="s">
        <v>46</v>
      </c>
      <c r="K176" t="s">
        <v>457</v>
      </c>
      <c r="M176" s="1" t="s">
        <v>58</v>
      </c>
      <c r="N176" s="1">
        <v>0</v>
      </c>
      <c r="O176" s="1" t="s">
        <v>105</v>
      </c>
      <c r="P176" s="11" t="s">
        <v>458</v>
      </c>
      <c r="R176" s="1" t="s">
        <v>38</v>
      </c>
      <c r="T176" s="1" t="s">
        <v>157</v>
      </c>
      <c r="U176" s="11" t="s">
        <v>459</v>
      </c>
      <c r="V176" s="1" t="s">
        <v>41</v>
      </c>
      <c r="W176" s="1" t="s">
        <v>49</v>
      </c>
      <c r="X176" s="13" t="str">
        <f t="shared" si="19"/>
        <v/>
      </c>
      <c r="Y176" s="2">
        <f t="shared" ca="1" si="14"/>
        <v>370</v>
      </c>
      <c r="Z176" s="14">
        <v>1</v>
      </c>
      <c r="AA176" s="1" t="str">
        <f t="shared" ca="1" si="15"/>
        <v>VENCIDO</v>
      </c>
      <c r="AB176" s="1" t="str">
        <f t="shared" si="16"/>
        <v>C-14</v>
      </c>
      <c r="AC176" s="2" t="str">
        <f t="shared" si="20"/>
        <v xml:space="preserve"> CLEITON </v>
      </c>
      <c r="AD176" s="2">
        <f t="shared" si="17"/>
        <v>5</v>
      </c>
      <c r="AE176" s="2">
        <f t="shared" ca="1" si="18"/>
        <v>-477.9262716435187</v>
      </c>
      <c r="AF176" s="15"/>
    </row>
    <row r="177" spans="1:32" hidden="1">
      <c r="A177" s="1">
        <v>7973153</v>
      </c>
      <c r="B177" s="1" t="s">
        <v>62</v>
      </c>
      <c r="C177" t="s">
        <v>453</v>
      </c>
      <c r="E177" s="2">
        <v>1836000203000</v>
      </c>
      <c r="F177" s="1" t="s">
        <v>454</v>
      </c>
      <c r="G177" s="1" t="s">
        <v>53</v>
      </c>
      <c r="H177" s="1" t="s">
        <v>455</v>
      </c>
      <c r="I177" s="1" t="s">
        <v>456</v>
      </c>
      <c r="J177" s="1" t="s">
        <v>46</v>
      </c>
      <c r="K177" t="s">
        <v>457</v>
      </c>
      <c r="M177" s="1" t="s">
        <v>58</v>
      </c>
      <c r="N177" s="1">
        <v>0</v>
      </c>
      <c r="O177" s="1" t="s">
        <v>105</v>
      </c>
      <c r="P177" s="11" t="s">
        <v>458</v>
      </c>
      <c r="R177" s="1" t="s">
        <v>38</v>
      </c>
      <c r="T177" s="1" t="s">
        <v>157</v>
      </c>
      <c r="U177" s="11" t="s">
        <v>459</v>
      </c>
      <c r="V177" s="1" t="s">
        <v>41</v>
      </c>
      <c r="W177" s="1" t="s">
        <v>49</v>
      </c>
      <c r="X177" s="13" t="str">
        <f t="shared" si="19"/>
        <v/>
      </c>
      <c r="Y177" s="2">
        <f t="shared" ca="1" si="14"/>
        <v>370</v>
      </c>
      <c r="Z177" s="14">
        <v>1</v>
      </c>
      <c r="AA177" s="1" t="str">
        <f t="shared" ca="1" si="15"/>
        <v>VENCIDO</v>
      </c>
      <c r="AB177" s="1" t="str">
        <f t="shared" si="16"/>
        <v>C-14</v>
      </c>
      <c r="AC177" s="2" t="str">
        <f t="shared" si="20"/>
        <v xml:space="preserve"> CLEITON </v>
      </c>
      <c r="AD177" s="2">
        <f t="shared" si="17"/>
        <v>5</v>
      </c>
      <c r="AE177" s="2">
        <f t="shared" ca="1" si="18"/>
        <v>-477.9262716435187</v>
      </c>
      <c r="AF177" s="15"/>
    </row>
    <row r="178" spans="1:32" hidden="1">
      <c r="A178" s="1">
        <v>7973152</v>
      </c>
      <c r="B178" s="1" t="s">
        <v>62</v>
      </c>
      <c r="C178" t="s">
        <v>453</v>
      </c>
      <c r="E178" s="2">
        <v>1836000203000</v>
      </c>
      <c r="F178" s="1" t="s">
        <v>454</v>
      </c>
      <c r="G178" s="1" t="s">
        <v>53</v>
      </c>
      <c r="H178" s="1" t="s">
        <v>455</v>
      </c>
      <c r="I178" s="1" t="s">
        <v>456</v>
      </c>
      <c r="J178" s="1" t="s">
        <v>46</v>
      </c>
      <c r="K178" t="s">
        <v>457</v>
      </c>
      <c r="M178" s="1" t="s">
        <v>58</v>
      </c>
      <c r="N178" s="1">
        <v>0</v>
      </c>
      <c r="O178" s="1" t="s">
        <v>105</v>
      </c>
      <c r="P178" s="11" t="s">
        <v>458</v>
      </c>
      <c r="R178" s="1" t="s">
        <v>38</v>
      </c>
      <c r="T178" s="1" t="s">
        <v>157</v>
      </c>
      <c r="U178" s="11" t="s">
        <v>459</v>
      </c>
      <c r="V178" s="1" t="s">
        <v>41</v>
      </c>
      <c r="W178" s="1" t="s">
        <v>49</v>
      </c>
      <c r="X178" s="13" t="str">
        <f t="shared" si="19"/>
        <v/>
      </c>
      <c r="Y178" s="2">
        <f t="shared" ca="1" si="14"/>
        <v>370</v>
      </c>
      <c r="Z178" s="14">
        <v>1</v>
      </c>
      <c r="AA178" s="1" t="str">
        <f t="shared" ca="1" si="15"/>
        <v>VENCIDO</v>
      </c>
      <c r="AB178" s="1" t="str">
        <f t="shared" si="16"/>
        <v>C-14</v>
      </c>
      <c r="AC178" s="2" t="str">
        <f t="shared" si="20"/>
        <v xml:space="preserve"> CLEITON </v>
      </c>
      <c r="AD178" s="2">
        <f t="shared" si="17"/>
        <v>5</v>
      </c>
      <c r="AE178" s="2">
        <f t="shared" ca="1" si="18"/>
        <v>-477.9262716435187</v>
      </c>
      <c r="AF178" s="15"/>
    </row>
    <row r="179" spans="1:32" hidden="1">
      <c r="A179" s="1">
        <v>7973151</v>
      </c>
      <c r="B179" s="1" t="s">
        <v>62</v>
      </c>
      <c r="C179" t="s">
        <v>453</v>
      </c>
      <c r="E179" s="2">
        <v>1836000203000</v>
      </c>
      <c r="F179" s="1" t="s">
        <v>454</v>
      </c>
      <c r="G179" s="1" t="s">
        <v>53</v>
      </c>
      <c r="H179" s="1" t="s">
        <v>455</v>
      </c>
      <c r="I179" s="1" t="s">
        <v>456</v>
      </c>
      <c r="J179" s="1" t="s">
        <v>46</v>
      </c>
      <c r="K179" t="s">
        <v>457</v>
      </c>
      <c r="M179" s="1" t="s">
        <v>58</v>
      </c>
      <c r="N179" s="1">
        <v>0</v>
      </c>
      <c r="O179" s="1" t="s">
        <v>105</v>
      </c>
      <c r="P179" s="11" t="s">
        <v>458</v>
      </c>
      <c r="R179" s="1" t="s">
        <v>38</v>
      </c>
      <c r="T179" s="1" t="s">
        <v>157</v>
      </c>
      <c r="U179" s="11" t="s">
        <v>459</v>
      </c>
      <c r="V179" s="1" t="s">
        <v>41</v>
      </c>
      <c r="W179" s="1" t="s">
        <v>49</v>
      </c>
      <c r="X179" s="13" t="str">
        <f t="shared" si="19"/>
        <v/>
      </c>
      <c r="Y179" s="2">
        <f t="shared" ca="1" si="14"/>
        <v>370</v>
      </c>
      <c r="Z179" s="14">
        <v>1</v>
      </c>
      <c r="AA179" s="1" t="str">
        <f t="shared" ca="1" si="15"/>
        <v>VENCIDO</v>
      </c>
      <c r="AB179" s="1" t="str">
        <f t="shared" si="16"/>
        <v>C-14</v>
      </c>
      <c r="AC179" s="2" t="str">
        <f t="shared" si="20"/>
        <v xml:space="preserve"> CLEITON </v>
      </c>
      <c r="AD179" s="2">
        <f t="shared" si="17"/>
        <v>5</v>
      </c>
      <c r="AE179" s="2">
        <f t="shared" ca="1" si="18"/>
        <v>-477.9262716435187</v>
      </c>
      <c r="AF179" s="15"/>
    </row>
    <row r="180" spans="1:32" hidden="1">
      <c r="A180" s="1">
        <v>7973150</v>
      </c>
      <c r="B180" s="1" t="s">
        <v>62</v>
      </c>
      <c r="C180" t="s">
        <v>453</v>
      </c>
      <c r="E180" s="2">
        <v>1836000203000</v>
      </c>
      <c r="F180" s="1" t="s">
        <v>454</v>
      </c>
      <c r="G180" s="1" t="s">
        <v>53</v>
      </c>
      <c r="H180" s="1" t="s">
        <v>455</v>
      </c>
      <c r="I180" s="1" t="s">
        <v>456</v>
      </c>
      <c r="J180" s="1" t="s">
        <v>46</v>
      </c>
      <c r="K180" t="s">
        <v>457</v>
      </c>
      <c r="M180" s="1" t="s">
        <v>58</v>
      </c>
      <c r="N180" s="1">
        <v>0</v>
      </c>
      <c r="O180" s="1" t="s">
        <v>105</v>
      </c>
      <c r="P180" s="11" t="s">
        <v>460</v>
      </c>
      <c r="R180" s="1" t="s">
        <v>38</v>
      </c>
      <c r="T180" s="1" t="s">
        <v>157</v>
      </c>
      <c r="U180" s="11" t="s">
        <v>459</v>
      </c>
      <c r="V180" s="1" t="s">
        <v>41</v>
      </c>
      <c r="W180" s="1" t="s">
        <v>49</v>
      </c>
      <c r="X180" s="13" t="str">
        <f t="shared" si="19"/>
        <v/>
      </c>
      <c r="Y180" s="2">
        <f t="shared" ca="1" si="14"/>
        <v>370</v>
      </c>
      <c r="Z180" s="14">
        <v>1</v>
      </c>
      <c r="AA180" s="1" t="str">
        <f t="shared" ca="1" si="15"/>
        <v>VENCIDO</v>
      </c>
      <c r="AB180" s="1" t="str">
        <f t="shared" si="16"/>
        <v>C-14</v>
      </c>
      <c r="AC180" s="2" t="str">
        <f t="shared" si="20"/>
        <v xml:space="preserve"> CLEITON </v>
      </c>
      <c r="AD180" s="2">
        <f t="shared" si="17"/>
        <v>5</v>
      </c>
      <c r="AE180" s="2">
        <f t="shared" ca="1" si="18"/>
        <v>-477.9262716435187</v>
      </c>
      <c r="AF180" s="15"/>
    </row>
    <row r="181" spans="1:32" hidden="1">
      <c r="A181" s="1">
        <v>7973149</v>
      </c>
      <c r="B181" s="1" t="s">
        <v>62</v>
      </c>
      <c r="C181" t="s">
        <v>453</v>
      </c>
      <c r="E181" s="2">
        <v>1836000203000</v>
      </c>
      <c r="F181" s="1" t="s">
        <v>454</v>
      </c>
      <c r="G181" s="1" t="s">
        <v>53</v>
      </c>
      <c r="H181" s="1" t="s">
        <v>455</v>
      </c>
      <c r="I181" s="1" t="s">
        <v>456</v>
      </c>
      <c r="J181" s="1" t="s">
        <v>46</v>
      </c>
      <c r="K181" t="s">
        <v>457</v>
      </c>
      <c r="M181" s="1" t="s">
        <v>58</v>
      </c>
      <c r="N181" s="1">
        <v>0</v>
      </c>
      <c r="O181" s="1" t="s">
        <v>105</v>
      </c>
      <c r="P181" s="11" t="s">
        <v>460</v>
      </c>
      <c r="R181" s="1" t="s">
        <v>38</v>
      </c>
      <c r="T181" s="1" t="s">
        <v>157</v>
      </c>
      <c r="U181" s="11" t="s">
        <v>459</v>
      </c>
      <c r="V181" s="1" t="s">
        <v>41</v>
      </c>
      <c r="W181" s="1" t="s">
        <v>49</v>
      </c>
      <c r="X181" s="13" t="str">
        <f t="shared" si="19"/>
        <v/>
      </c>
      <c r="Y181" s="2">
        <f t="shared" ca="1" si="14"/>
        <v>370</v>
      </c>
      <c r="Z181" s="14">
        <v>1</v>
      </c>
      <c r="AA181" s="1" t="str">
        <f t="shared" ca="1" si="15"/>
        <v>VENCIDO</v>
      </c>
      <c r="AB181" s="1" t="str">
        <f t="shared" si="16"/>
        <v>C-14</v>
      </c>
      <c r="AC181" s="2" t="str">
        <f t="shared" si="20"/>
        <v xml:space="preserve"> CLEITON </v>
      </c>
      <c r="AD181" s="2">
        <f t="shared" si="17"/>
        <v>5</v>
      </c>
      <c r="AE181" s="2">
        <f t="shared" ca="1" si="18"/>
        <v>-477.9262716435187</v>
      </c>
      <c r="AF181" s="15"/>
    </row>
    <row r="182" spans="1:32" hidden="1">
      <c r="A182" s="1">
        <v>7973089</v>
      </c>
      <c r="B182" s="1" t="s">
        <v>62</v>
      </c>
      <c r="C182" t="s">
        <v>453</v>
      </c>
      <c r="E182" s="2">
        <v>3242000203000</v>
      </c>
      <c r="F182" s="1" t="s">
        <v>454</v>
      </c>
      <c r="G182" s="1" t="s">
        <v>53</v>
      </c>
      <c r="H182" s="1" t="s">
        <v>461</v>
      </c>
      <c r="I182" s="1" t="s">
        <v>462</v>
      </c>
      <c r="J182" s="1" t="s">
        <v>46</v>
      </c>
      <c r="K182" t="s">
        <v>457</v>
      </c>
      <c r="M182" s="1" t="s">
        <v>58</v>
      </c>
      <c r="N182" s="1">
        <v>0</v>
      </c>
      <c r="O182" s="1" t="s">
        <v>105</v>
      </c>
      <c r="P182" s="11" t="s">
        <v>463</v>
      </c>
      <c r="R182" s="1" t="s">
        <v>38</v>
      </c>
      <c r="T182" s="1" t="s">
        <v>157</v>
      </c>
      <c r="U182" s="11" t="s">
        <v>459</v>
      </c>
      <c r="V182" s="1" t="s">
        <v>41</v>
      </c>
      <c r="W182" s="1" t="s">
        <v>49</v>
      </c>
      <c r="X182" s="13" t="str">
        <f t="shared" si="19"/>
        <v/>
      </c>
      <c r="Y182" s="2">
        <f t="shared" ca="1" si="14"/>
        <v>370</v>
      </c>
      <c r="Z182" s="14">
        <v>1</v>
      </c>
      <c r="AA182" s="1" t="str">
        <f t="shared" ca="1" si="15"/>
        <v>VENCIDO</v>
      </c>
      <c r="AB182" s="1" t="str">
        <f t="shared" si="16"/>
        <v>C-14</v>
      </c>
      <c r="AC182" s="2" t="str">
        <f t="shared" si="20"/>
        <v xml:space="preserve"> CLEITON </v>
      </c>
      <c r="AD182" s="2">
        <f t="shared" si="17"/>
        <v>5</v>
      </c>
      <c r="AE182" s="2">
        <f t="shared" ca="1" si="18"/>
        <v>-477.9262716435187</v>
      </c>
      <c r="AF182" s="15"/>
    </row>
    <row r="183" spans="1:32" hidden="1">
      <c r="A183" s="1">
        <v>7973088</v>
      </c>
      <c r="B183" s="1" t="s">
        <v>62</v>
      </c>
      <c r="C183" t="s">
        <v>453</v>
      </c>
      <c r="E183" s="2">
        <v>3242000203000</v>
      </c>
      <c r="F183" s="1" t="s">
        <v>454</v>
      </c>
      <c r="G183" s="1" t="s">
        <v>53</v>
      </c>
      <c r="H183" s="1" t="s">
        <v>461</v>
      </c>
      <c r="I183" s="1" t="s">
        <v>462</v>
      </c>
      <c r="J183" s="1" t="s">
        <v>46</v>
      </c>
      <c r="K183" t="s">
        <v>457</v>
      </c>
      <c r="M183" s="1" t="s">
        <v>58</v>
      </c>
      <c r="N183" s="1">
        <v>0</v>
      </c>
      <c r="O183" s="1" t="s">
        <v>105</v>
      </c>
      <c r="P183" s="11" t="s">
        <v>463</v>
      </c>
      <c r="R183" s="1" t="s">
        <v>38</v>
      </c>
      <c r="T183" s="1" t="s">
        <v>157</v>
      </c>
      <c r="U183" s="11" t="s">
        <v>459</v>
      </c>
      <c r="V183" s="1" t="s">
        <v>41</v>
      </c>
      <c r="W183" s="1" t="s">
        <v>49</v>
      </c>
      <c r="X183" s="13" t="str">
        <f t="shared" si="19"/>
        <v/>
      </c>
      <c r="Y183" s="2">
        <f t="shared" ca="1" si="14"/>
        <v>370</v>
      </c>
      <c r="Z183" s="14">
        <v>1</v>
      </c>
      <c r="AA183" s="1" t="str">
        <f t="shared" ca="1" si="15"/>
        <v>VENCIDO</v>
      </c>
      <c r="AB183" s="1" t="str">
        <f t="shared" si="16"/>
        <v>C-14</v>
      </c>
      <c r="AC183" s="2" t="str">
        <f t="shared" si="20"/>
        <v xml:space="preserve"> CLEITON </v>
      </c>
      <c r="AD183" s="2">
        <f t="shared" si="17"/>
        <v>5</v>
      </c>
      <c r="AE183" s="2">
        <f t="shared" ca="1" si="18"/>
        <v>-477.9262716435187</v>
      </c>
      <c r="AF183" s="15"/>
    </row>
    <row r="184" spans="1:32" hidden="1">
      <c r="A184" s="1">
        <v>7973087</v>
      </c>
      <c r="B184" s="1" t="s">
        <v>62</v>
      </c>
      <c r="C184" t="s">
        <v>453</v>
      </c>
      <c r="E184" s="2">
        <v>3242000203000</v>
      </c>
      <c r="F184" s="1" t="s">
        <v>454</v>
      </c>
      <c r="G184" s="1" t="s">
        <v>53</v>
      </c>
      <c r="H184" s="1" t="s">
        <v>461</v>
      </c>
      <c r="I184" s="1" t="s">
        <v>462</v>
      </c>
      <c r="J184" s="1" t="s">
        <v>46</v>
      </c>
      <c r="K184" t="s">
        <v>457</v>
      </c>
      <c r="M184" s="1" t="s">
        <v>58</v>
      </c>
      <c r="N184" s="1">
        <v>0</v>
      </c>
      <c r="O184" s="1" t="s">
        <v>105</v>
      </c>
      <c r="P184" s="11" t="s">
        <v>464</v>
      </c>
      <c r="R184" s="1" t="s">
        <v>38</v>
      </c>
      <c r="T184" s="1" t="s">
        <v>157</v>
      </c>
      <c r="U184" s="12">
        <v>44508.75</v>
      </c>
      <c r="V184" s="1" t="s">
        <v>41</v>
      </c>
      <c r="W184" s="1" t="s">
        <v>49</v>
      </c>
      <c r="X184" s="13" t="str">
        <f t="shared" si="19"/>
        <v/>
      </c>
      <c r="Y184" s="2">
        <f t="shared" ca="1" si="14"/>
        <v>370</v>
      </c>
      <c r="Z184" s="14">
        <v>1</v>
      </c>
      <c r="AA184" s="1" t="str">
        <f t="shared" ca="1" si="15"/>
        <v>VENCIDO</v>
      </c>
      <c r="AB184" s="1" t="str">
        <f t="shared" si="16"/>
        <v>C-14</v>
      </c>
      <c r="AC184" s="2" t="str">
        <f t="shared" si="20"/>
        <v xml:space="preserve"> CLEITON </v>
      </c>
      <c r="AD184" s="2">
        <f t="shared" si="17"/>
        <v>5</v>
      </c>
      <c r="AE184" s="2">
        <f t="shared" ca="1" si="18"/>
        <v>-477.9262716435187</v>
      </c>
      <c r="AF184" s="15"/>
    </row>
    <row r="185" spans="1:32" hidden="1">
      <c r="A185" s="1">
        <v>7973086</v>
      </c>
      <c r="B185" s="1" t="s">
        <v>62</v>
      </c>
      <c r="C185" t="s">
        <v>453</v>
      </c>
      <c r="E185" s="2">
        <v>3242000203000</v>
      </c>
      <c r="F185" s="1" t="s">
        <v>454</v>
      </c>
      <c r="G185" s="1" t="s">
        <v>53</v>
      </c>
      <c r="H185" s="1" t="s">
        <v>461</v>
      </c>
      <c r="I185" s="1" t="s">
        <v>462</v>
      </c>
      <c r="J185" s="1" t="s">
        <v>46</v>
      </c>
      <c r="K185" t="s">
        <v>457</v>
      </c>
      <c r="M185" s="1" t="s">
        <v>58</v>
      </c>
      <c r="N185" s="1">
        <v>0</v>
      </c>
      <c r="O185" s="1" t="s">
        <v>105</v>
      </c>
      <c r="P185" s="11" t="s">
        <v>464</v>
      </c>
      <c r="R185" s="1" t="s">
        <v>38</v>
      </c>
      <c r="T185" s="1" t="s">
        <v>157</v>
      </c>
      <c r="U185" s="11" t="s">
        <v>459</v>
      </c>
      <c r="V185" s="1" t="s">
        <v>41</v>
      </c>
      <c r="W185" s="1" t="s">
        <v>49</v>
      </c>
      <c r="X185" s="13" t="str">
        <f t="shared" si="19"/>
        <v/>
      </c>
      <c r="Y185" s="2">
        <f t="shared" ca="1" si="14"/>
        <v>370</v>
      </c>
      <c r="Z185" s="14">
        <v>1</v>
      </c>
      <c r="AA185" s="1" t="str">
        <f t="shared" ca="1" si="15"/>
        <v>VENCIDO</v>
      </c>
      <c r="AB185" s="1" t="str">
        <f t="shared" si="16"/>
        <v>C-14</v>
      </c>
      <c r="AC185" s="2" t="str">
        <f t="shared" si="20"/>
        <v xml:space="preserve"> CLEITON </v>
      </c>
      <c r="AD185" s="2">
        <f t="shared" si="17"/>
        <v>5</v>
      </c>
      <c r="AE185" s="2">
        <f t="shared" ca="1" si="18"/>
        <v>-477.9262716435187</v>
      </c>
      <c r="AF185" s="15"/>
    </row>
    <row r="186" spans="1:32" hidden="1">
      <c r="A186" s="1">
        <v>7973085</v>
      </c>
      <c r="B186" s="1" t="s">
        <v>62</v>
      </c>
      <c r="C186" t="s">
        <v>453</v>
      </c>
      <c r="E186" s="2">
        <v>3242000203000</v>
      </c>
      <c r="F186" s="1" t="s">
        <v>454</v>
      </c>
      <c r="G186" s="1" t="s">
        <v>53</v>
      </c>
      <c r="H186" s="1" t="s">
        <v>461</v>
      </c>
      <c r="I186" s="1" t="s">
        <v>462</v>
      </c>
      <c r="J186" s="1" t="s">
        <v>46</v>
      </c>
      <c r="K186" t="s">
        <v>457</v>
      </c>
      <c r="M186" s="1" t="s">
        <v>58</v>
      </c>
      <c r="N186" s="1">
        <v>0</v>
      </c>
      <c r="O186" s="1" t="s">
        <v>105</v>
      </c>
      <c r="P186" s="11" t="s">
        <v>464</v>
      </c>
      <c r="R186" s="1" t="s">
        <v>38</v>
      </c>
      <c r="T186" s="1" t="s">
        <v>157</v>
      </c>
      <c r="U186" s="11" t="s">
        <v>459</v>
      </c>
      <c r="V186" s="1" t="s">
        <v>41</v>
      </c>
      <c r="W186" s="1" t="s">
        <v>49</v>
      </c>
      <c r="X186" s="13" t="str">
        <f t="shared" si="19"/>
        <v/>
      </c>
      <c r="Y186" s="2">
        <f t="shared" ca="1" si="14"/>
        <v>370</v>
      </c>
      <c r="Z186" s="14">
        <v>1</v>
      </c>
      <c r="AA186" s="1" t="str">
        <f t="shared" ca="1" si="15"/>
        <v>VENCIDO</v>
      </c>
      <c r="AB186" s="1" t="str">
        <f t="shared" si="16"/>
        <v>C-14</v>
      </c>
      <c r="AC186" s="2" t="str">
        <f t="shared" si="20"/>
        <v xml:space="preserve"> CLEITON </v>
      </c>
      <c r="AD186" s="2">
        <f t="shared" si="17"/>
        <v>5</v>
      </c>
      <c r="AE186" s="2">
        <f t="shared" ca="1" si="18"/>
        <v>-477.9262716435187</v>
      </c>
      <c r="AF186" s="15"/>
    </row>
    <row r="187" spans="1:32" hidden="1">
      <c r="A187" s="1">
        <v>7970313</v>
      </c>
      <c r="B187" s="1" t="s">
        <v>62</v>
      </c>
      <c r="C187" t="s">
        <v>453</v>
      </c>
      <c r="E187" s="2">
        <v>1833000203000</v>
      </c>
      <c r="F187" s="1" t="s">
        <v>454</v>
      </c>
      <c r="G187" s="1" t="s">
        <v>53</v>
      </c>
      <c r="H187" s="1" t="s">
        <v>369</v>
      </c>
      <c r="I187" s="1" t="s">
        <v>370</v>
      </c>
      <c r="J187" s="1" t="s">
        <v>46</v>
      </c>
      <c r="K187" t="s">
        <v>457</v>
      </c>
      <c r="M187" s="1" t="s">
        <v>58</v>
      </c>
      <c r="N187" s="1">
        <v>0</v>
      </c>
      <c r="O187" s="1" t="s">
        <v>105</v>
      </c>
      <c r="P187" s="11" t="s">
        <v>465</v>
      </c>
      <c r="R187" s="1" t="s">
        <v>38</v>
      </c>
      <c r="T187" s="1" t="s">
        <v>157</v>
      </c>
      <c r="U187" s="11" t="s">
        <v>459</v>
      </c>
      <c r="V187" s="1" t="s">
        <v>41</v>
      </c>
      <c r="W187" s="1" t="s">
        <v>49</v>
      </c>
      <c r="X187" s="13" t="str">
        <f t="shared" si="19"/>
        <v/>
      </c>
      <c r="Y187" s="2">
        <f t="shared" ca="1" si="14"/>
        <v>370</v>
      </c>
      <c r="Z187" s="14">
        <v>1</v>
      </c>
      <c r="AA187" s="1" t="str">
        <f t="shared" ca="1" si="15"/>
        <v>VENCIDO</v>
      </c>
      <c r="AB187" s="1" t="str">
        <f t="shared" si="16"/>
        <v>C-14</v>
      </c>
      <c r="AC187" s="2" t="str">
        <f t="shared" si="20"/>
        <v xml:space="preserve"> CLEITON </v>
      </c>
      <c r="AD187" s="2">
        <f t="shared" si="17"/>
        <v>5</v>
      </c>
      <c r="AE187" s="2">
        <f t="shared" ca="1" si="18"/>
        <v>-477.9262716435187</v>
      </c>
      <c r="AF187" s="15"/>
    </row>
    <row r="188" spans="1:32" hidden="1">
      <c r="A188" s="1">
        <v>7970312</v>
      </c>
      <c r="B188" s="1" t="s">
        <v>62</v>
      </c>
      <c r="C188" t="s">
        <v>453</v>
      </c>
      <c r="E188" s="2">
        <v>1833000203000</v>
      </c>
      <c r="F188" s="1" t="s">
        <v>454</v>
      </c>
      <c r="G188" s="1" t="s">
        <v>53</v>
      </c>
      <c r="H188" s="1" t="s">
        <v>369</v>
      </c>
      <c r="I188" s="1" t="s">
        <v>370</v>
      </c>
      <c r="J188" s="1" t="s">
        <v>46</v>
      </c>
      <c r="K188" t="s">
        <v>457</v>
      </c>
      <c r="M188" s="1" t="s">
        <v>58</v>
      </c>
      <c r="N188" s="1">
        <v>0</v>
      </c>
      <c r="O188" s="1" t="s">
        <v>105</v>
      </c>
      <c r="P188" s="11" t="s">
        <v>465</v>
      </c>
      <c r="R188" s="1" t="s">
        <v>38</v>
      </c>
      <c r="T188" s="1" t="s">
        <v>157</v>
      </c>
      <c r="U188" s="11" t="s">
        <v>459</v>
      </c>
      <c r="V188" s="1" t="s">
        <v>41</v>
      </c>
      <c r="W188" s="1" t="s">
        <v>49</v>
      </c>
      <c r="X188" s="13" t="str">
        <f t="shared" si="19"/>
        <v/>
      </c>
      <c r="Y188" s="2">
        <f t="shared" ca="1" si="14"/>
        <v>370</v>
      </c>
      <c r="Z188" s="14">
        <v>1</v>
      </c>
      <c r="AA188" s="1" t="str">
        <f t="shared" ca="1" si="15"/>
        <v>VENCIDO</v>
      </c>
      <c r="AB188" s="1" t="str">
        <f t="shared" si="16"/>
        <v>C-14</v>
      </c>
      <c r="AC188" s="2" t="str">
        <f t="shared" si="20"/>
        <v xml:space="preserve"> CLEITON </v>
      </c>
      <c r="AD188" s="2">
        <f t="shared" si="17"/>
        <v>5</v>
      </c>
      <c r="AE188" s="2">
        <f t="shared" ca="1" si="18"/>
        <v>-477.9262716435187</v>
      </c>
      <c r="AF188" s="15"/>
    </row>
    <row r="189" spans="1:32" hidden="1">
      <c r="A189" s="1">
        <v>7970311</v>
      </c>
      <c r="B189" s="1" t="s">
        <v>62</v>
      </c>
      <c r="C189" t="s">
        <v>453</v>
      </c>
      <c r="E189" s="2">
        <v>1833000203000</v>
      </c>
      <c r="F189" s="1" t="s">
        <v>454</v>
      </c>
      <c r="G189" s="1" t="s">
        <v>53</v>
      </c>
      <c r="H189" s="1" t="s">
        <v>369</v>
      </c>
      <c r="I189" s="1" t="s">
        <v>370</v>
      </c>
      <c r="J189" s="1" t="s">
        <v>46</v>
      </c>
      <c r="K189" t="s">
        <v>457</v>
      </c>
      <c r="M189" s="1" t="s">
        <v>58</v>
      </c>
      <c r="N189" s="1">
        <v>0</v>
      </c>
      <c r="O189" s="1" t="s">
        <v>105</v>
      </c>
      <c r="P189" s="11" t="s">
        <v>465</v>
      </c>
      <c r="R189" s="1" t="s">
        <v>38</v>
      </c>
      <c r="T189" s="1" t="s">
        <v>157</v>
      </c>
      <c r="U189" s="11" t="s">
        <v>459</v>
      </c>
      <c r="V189" s="1" t="s">
        <v>41</v>
      </c>
      <c r="W189" s="1" t="s">
        <v>49</v>
      </c>
      <c r="X189" s="13" t="str">
        <f t="shared" si="19"/>
        <v/>
      </c>
      <c r="Y189" s="2">
        <f t="shared" ca="1" si="14"/>
        <v>370</v>
      </c>
      <c r="Z189" s="14">
        <v>1</v>
      </c>
      <c r="AA189" s="1" t="str">
        <f t="shared" ca="1" si="15"/>
        <v>VENCIDO</v>
      </c>
      <c r="AB189" s="1" t="str">
        <f t="shared" si="16"/>
        <v>C-14</v>
      </c>
      <c r="AC189" s="2" t="str">
        <f t="shared" si="20"/>
        <v xml:space="preserve"> CLEITON </v>
      </c>
      <c r="AD189" s="2">
        <f t="shared" si="17"/>
        <v>5</v>
      </c>
      <c r="AE189" s="2">
        <f t="shared" ca="1" si="18"/>
        <v>-477.9262716435187</v>
      </c>
      <c r="AF189" s="15"/>
    </row>
    <row r="190" spans="1:32" hidden="1">
      <c r="A190" s="1">
        <v>7970310</v>
      </c>
      <c r="B190" s="1" t="s">
        <v>62</v>
      </c>
      <c r="C190" t="s">
        <v>453</v>
      </c>
      <c r="E190" s="2">
        <v>1833000203000</v>
      </c>
      <c r="F190" s="1" t="s">
        <v>454</v>
      </c>
      <c r="G190" s="1" t="s">
        <v>53</v>
      </c>
      <c r="H190" s="1" t="s">
        <v>369</v>
      </c>
      <c r="I190" s="1" t="s">
        <v>370</v>
      </c>
      <c r="J190" s="1" t="s">
        <v>46</v>
      </c>
      <c r="K190" t="s">
        <v>457</v>
      </c>
      <c r="M190" s="1" t="s">
        <v>58</v>
      </c>
      <c r="N190" s="1">
        <v>0</v>
      </c>
      <c r="O190" s="1" t="s">
        <v>105</v>
      </c>
      <c r="P190" s="11" t="s">
        <v>465</v>
      </c>
      <c r="R190" s="1" t="s">
        <v>38</v>
      </c>
      <c r="T190" s="1" t="s">
        <v>157</v>
      </c>
      <c r="U190" s="11" t="s">
        <v>459</v>
      </c>
      <c r="V190" s="1" t="s">
        <v>41</v>
      </c>
      <c r="W190" s="1" t="s">
        <v>49</v>
      </c>
      <c r="X190" s="13" t="str">
        <f t="shared" si="19"/>
        <v/>
      </c>
      <c r="Y190" s="2">
        <f t="shared" ca="1" si="14"/>
        <v>370</v>
      </c>
      <c r="Z190" s="14">
        <v>1</v>
      </c>
      <c r="AA190" s="1" t="str">
        <f t="shared" ca="1" si="15"/>
        <v>VENCIDO</v>
      </c>
      <c r="AB190" s="1" t="str">
        <f t="shared" si="16"/>
        <v>C-14</v>
      </c>
      <c r="AC190" s="2" t="str">
        <f t="shared" si="20"/>
        <v xml:space="preserve"> CLEITON </v>
      </c>
      <c r="AD190" s="2">
        <f t="shared" si="17"/>
        <v>5</v>
      </c>
      <c r="AE190" s="2">
        <f t="shared" ca="1" si="18"/>
        <v>-477.9262716435187</v>
      </c>
      <c r="AF190" s="15"/>
    </row>
    <row r="191" spans="1:32" hidden="1">
      <c r="A191" s="1">
        <v>7970309</v>
      </c>
      <c r="B191" s="1" t="s">
        <v>62</v>
      </c>
      <c r="C191" t="s">
        <v>453</v>
      </c>
      <c r="E191" s="2">
        <v>1833000203000</v>
      </c>
      <c r="F191" s="1" t="s">
        <v>454</v>
      </c>
      <c r="G191" s="1" t="s">
        <v>53</v>
      </c>
      <c r="H191" s="1" t="s">
        <v>369</v>
      </c>
      <c r="I191" s="1" t="s">
        <v>370</v>
      </c>
      <c r="J191" s="1" t="s">
        <v>46</v>
      </c>
      <c r="K191" t="s">
        <v>457</v>
      </c>
      <c r="M191" s="1" t="s">
        <v>58</v>
      </c>
      <c r="N191" s="1">
        <v>0</v>
      </c>
      <c r="O191" s="1" t="s">
        <v>105</v>
      </c>
      <c r="P191" s="11" t="s">
        <v>466</v>
      </c>
      <c r="R191" s="1" t="s">
        <v>38</v>
      </c>
      <c r="T191" s="1" t="s">
        <v>157</v>
      </c>
      <c r="U191" s="11" t="s">
        <v>459</v>
      </c>
      <c r="V191" s="1" t="s">
        <v>41</v>
      </c>
      <c r="W191" s="1" t="s">
        <v>49</v>
      </c>
      <c r="X191" s="13" t="str">
        <f t="shared" si="19"/>
        <v/>
      </c>
      <c r="Y191" s="2">
        <f t="shared" ca="1" si="14"/>
        <v>370</v>
      </c>
      <c r="Z191" s="14">
        <v>1</v>
      </c>
      <c r="AA191" s="1" t="str">
        <f t="shared" ca="1" si="15"/>
        <v>VENCIDO</v>
      </c>
      <c r="AB191" s="1" t="str">
        <f t="shared" si="16"/>
        <v>C-14</v>
      </c>
      <c r="AC191" s="2" t="str">
        <f t="shared" si="20"/>
        <v xml:space="preserve"> CLEITON </v>
      </c>
      <c r="AD191" s="2">
        <f t="shared" si="17"/>
        <v>5</v>
      </c>
      <c r="AE191" s="2">
        <f t="shared" ca="1" si="18"/>
        <v>-477.9262716435187</v>
      </c>
      <c r="AF191" s="15"/>
    </row>
    <row r="192" spans="1:32" hidden="1">
      <c r="A192" s="1">
        <v>7970308</v>
      </c>
      <c r="B192" s="1" t="s">
        <v>62</v>
      </c>
      <c r="C192" t="s">
        <v>453</v>
      </c>
      <c r="E192" s="2">
        <v>1833000203000</v>
      </c>
      <c r="F192" s="1" t="s">
        <v>454</v>
      </c>
      <c r="G192" s="1" t="s">
        <v>53</v>
      </c>
      <c r="H192" s="1" t="s">
        <v>369</v>
      </c>
      <c r="I192" s="1" t="s">
        <v>370</v>
      </c>
      <c r="J192" s="1" t="s">
        <v>46</v>
      </c>
      <c r="K192" t="s">
        <v>457</v>
      </c>
      <c r="M192" s="1" t="s">
        <v>58</v>
      </c>
      <c r="N192" s="1">
        <v>0</v>
      </c>
      <c r="O192" s="1" t="s">
        <v>105</v>
      </c>
      <c r="P192" s="11" t="s">
        <v>466</v>
      </c>
      <c r="R192" s="1" t="s">
        <v>38</v>
      </c>
      <c r="T192" s="1" t="s">
        <v>157</v>
      </c>
      <c r="U192" s="11" t="s">
        <v>459</v>
      </c>
      <c r="V192" s="1" t="s">
        <v>41</v>
      </c>
      <c r="W192" s="1" t="s">
        <v>49</v>
      </c>
      <c r="X192" s="13" t="str">
        <f t="shared" si="19"/>
        <v/>
      </c>
      <c r="Y192" s="2">
        <f t="shared" ca="1" si="14"/>
        <v>370</v>
      </c>
      <c r="Z192" s="14">
        <v>1</v>
      </c>
      <c r="AA192" s="1" t="str">
        <f t="shared" ca="1" si="15"/>
        <v>VENCIDO</v>
      </c>
      <c r="AB192" s="1" t="str">
        <f t="shared" si="16"/>
        <v>C-14</v>
      </c>
      <c r="AC192" s="2" t="str">
        <f t="shared" si="20"/>
        <v xml:space="preserve"> CLEITON </v>
      </c>
      <c r="AD192" s="2">
        <f t="shared" si="17"/>
        <v>5</v>
      </c>
      <c r="AE192" s="2">
        <f t="shared" ca="1" si="18"/>
        <v>-477.9262716435187</v>
      </c>
      <c r="AF192" s="15"/>
    </row>
    <row r="193" spans="1:32" hidden="1">
      <c r="A193" s="1">
        <v>7970307</v>
      </c>
      <c r="B193" s="1" t="s">
        <v>62</v>
      </c>
      <c r="C193" t="s">
        <v>453</v>
      </c>
      <c r="E193" s="2">
        <v>1833000203000</v>
      </c>
      <c r="F193" s="1" t="s">
        <v>454</v>
      </c>
      <c r="G193" s="1" t="s">
        <v>53</v>
      </c>
      <c r="H193" s="1" t="s">
        <v>369</v>
      </c>
      <c r="I193" s="1" t="s">
        <v>370</v>
      </c>
      <c r="J193" s="1" t="s">
        <v>46</v>
      </c>
      <c r="K193" t="s">
        <v>457</v>
      </c>
      <c r="M193" s="1" t="s">
        <v>58</v>
      </c>
      <c r="N193" s="1">
        <v>0</v>
      </c>
      <c r="O193" s="1" t="s">
        <v>105</v>
      </c>
      <c r="P193" s="11" t="s">
        <v>466</v>
      </c>
      <c r="R193" s="1" t="s">
        <v>38</v>
      </c>
      <c r="T193" s="1" t="s">
        <v>157</v>
      </c>
      <c r="U193" s="11" t="s">
        <v>459</v>
      </c>
      <c r="V193" s="1" t="s">
        <v>41</v>
      </c>
      <c r="W193" s="1" t="s">
        <v>49</v>
      </c>
      <c r="X193" s="13" t="str">
        <f t="shared" si="19"/>
        <v/>
      </c>
      <c r="Y193" s="2">
        <f t="shared" ca="1" si="14"/>
        <v>370</v>
      </c>
      <c r="Z193" s="14">
        <v>1</v>
      </c>
      <c r="AA193" s="1" t="str">
        <f t="shared" ca="1" si="15"/>
        <v>VENCIDO</v>
      </c>
      <c r="AB193" s="1" t="str">
        <f t="shared" si="16"/>
        <v>C-14</v>
      </c>
      <c r="AC193" s="2" t="str">
        <f t="shared" si="20"/>
        <v xml:space="preserve"> CLEITON </v>
      </c>
      <c r="AD193" s="2">
        <f t="shared" si="17"/>
        <v>5</v>
      </c>
      <c r="AE193" s="2">
        <f t="shared" ca="1" si="18"/>
        <v>-477.9262716435187</v>
      </c>
      <c r="AF193" s="15"/>
    </row>
    <row r="194" spans="1:32" hidden="1">
      <c r="A194" s="1">
        <v>7970306</v>
      </c>
      <c r="B194" s="1" t="s">
        <v>62</v>
      </c>
      <c r="C194" t="s">
        <v>453</v>
      </c>
      <c r="E194" s="2">
        <v>1833000203000</v>
      </c>
      <c r="F194" s="1" t="s">
        <v>454</v>
      </c>
      <c r="G194" s="1" t="s">
        <v>53</v>
      </c>
      <c r="H194" s="1" t="s">
        <v>369</v>
      </c>
      <c r="I194" s="1" t="s">
        <v>370</v>
      </c>
      <c r="J194" s="1" t="s">
        <v>46</v>
      </c>
      <c r="K194" t="s">
        <v>457</v>
      </c>
      <c r="M194" s="1" t="s">
        <v>58</v>
      </c>
      <c r="N194" s="1">
        <v>0</v>
      </c>
      <c r="O194" s="1" t="s">
        <v>105</v>
      </c>
      <c r="P194" s="11" t="s">
        <v>466</v>
      </c>
      <c r="R194" s="1" t="s">
        <v>38</v>
      </c>
      <c r="T194" s="1" t="s">
        <v>157</v>
      </c>
      <c r="U194" s="11" t="s">
        <v>459</v>
      </c>
      <c r="V194" s="1" t="s">
        <v>41</v>
      </c>
      <c r="W194" s="1" t="s">
        <v>49</v>
      </c>
      <c r="X194" s="13" t="str">
        <f t="shared" si="19"/>
        <v/>
      </c>
      <c r="Y194" s="2">
        <f t="shared" ref="Y194:Y257" ca="1" si="21">NETWORKDAYS(P194,$Y$1)</f>
        <v>370</v>
      </c>
      <c r="Z194" s="14">
        <v>1</v>
      </c>
      <c r="AA194" s="1" t="str">
        <f t="shared" ref="AA194:AA257" ca="1" si="22">IF(AE194=0,"HOJE",IF(AE194&gt;0,"A VENCER",IF(AE194&lt;0,"VENCIDO")))</f>
        <v>VENCIDO</v>
      </c>
      <c r="AB194" s="1" t="str">
        <f t="shared" ref="AB194:AB257" si="23">IF(F194="GRPE-000001","C-14",IF(F194="GRPE-000002","C-14",IF(F194="GRPE-000003","C-14",IF(F194="GRPE-000004","SL-On",IF(F194="GRPE-000038","C-14",IF(F194="GRPE-900022","Dosa",IF(F194="GRPE-000029","Dosa",IF(F194="ATOS-000222","Dose","TAAe+"))))))))</f>
        <v>C-14</v>
      </c>
      <c r="AC194" s="2" t="str">
        <f t="shared" si="20"/>
        <v xml:space="preserve"> CLEITON </v>
      </c>
      <c r="AD194" s="2">
        <f t="shared" ref="AD194:AD257" si="24">IF(F194="GRPE-000001",5,IF(F194="GRPE-000002",5,IF(F194="GRPE-000003",15,IF(F194="GRPE-000004",1,IF(F194="GRPE-000038",5,IF(F194="GRPE-900022",5,IF(F194="GRPE-000029",5,IF(F194="ATOS-000222",5,8))))))))</f>
        <v>5</v>
      </c>
      <c r="AE194" s="2">
        <f t="shared" ref="AE194:AE257" ca="1" si="25">IF(U194=$AE$1,"",U194-$AE$1)</f>
        <v>-477.9262716435187</v>
      </c>
      <c r="AF194" s="15"/>
    </row>
    <row r="195" spans="1:32" hidden="1">
      <c r="A195" s="1">
        <v>7970305</v>
      </c>
      <c r="B195" s="1" t="s">
        <v>62</v>
      </c>
      <c r="C195" t="s">
        <v>453</v>
      </c>
      <c r="E195" s="2">
        <v>1833000203000</v>
      </c>
      <c r="F195" s="1" t="s">
        <v>454</v>
      </c>
      <c r="G195" s="1" t="s">
        <v>53</v>
      </c>
      <c r="H195" s="1" t="s">
        <v>369</v>
      </c>
      <c r="I195" s="1" t="s">
        <v>370</v>
      </c>
      <c r="J195" s="1" t="s">
        <v>46</v>
      </c>
      <c r="K195" t="s">
        <v>457</v>
      </c>
      <c r="M195" s="1" t="s">
        <v>58</v>
      </c>
      <c r="N195" s="1">
        <v>0</v>
      </c>
      <c r="O195" s="1" t="s">
        <v>105</v>
      </c>
      <c r="P195" s="11" t="s">
        <v>466</v>
      </c>
      <c r="R195" s="1" t="s">
        <v>38</v>
      </c>
      <c r="T195" s="1" t="s">
        <v>157</v>
      </c>
      <c r="U195" s="11" t="s">
        <v>459</v>
      </c>
      <c r="V195" s="1" t="s">
        <v>41</v>
      </c>
      <c r="W195" s="1" t="s">
        <v>49</v>
      </c>
      <c r="X195" s="13" t="str">
        <f t="shared" ref="X195:X258" si="26">IF(RIGHT(H195,2)&lt;&gt;"00",H195,"")</f>
        <v/>
      </c>
      <c r="Y195" s="2">
        <f t="shared" ca="1" si="21"/>
        <v>370</v>
      </c>
      <c r="Z195" s="14">
        <v>1</v>
      </c>
      <c r="AA195" s="1" t="str">
        <f t="shared" ca="1" si="22"/>
        <v>VENCIDO</v>
      </c>
      <c r="AB195" s="1" t="str">
        <f t="shared" si="23"/>
        <v>C-14</v>
      </c>
      <c r="AC195" s="2" t="str">
        <f t="shared" ref="AC195:AC258" si="27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 xml:space="preserve"> CLEITON </v>
      </c>
      <c r="AD195" s="2">
        <f t="shared" si="24"/>
        <v>5</v>
      </c>
      <c r="AE195" s="2">
        <f t="shared" ca="1" si="25"/>
        <v>-477.9262716435187</v>
      </c>
      <c r="AF195" s="15"/>
    </row>
    <row r="196" spans="1:32" hidden="1">
      <c r="A196" s="1">
        <v>7970304</v>
      </c>
      <c r="B196" s="1" t="s">
        <v>62</v>
      </c>
      <c r="C196" t="s">
        <v>453</v>
      </c>
      <c r="E196" s="2">
        <v>1833000203000</v>
      </c>
      <c r="F196" s="1" t="s">
        <v>454</v>
      </c>
      <c r="G196" s="1" t="s">
        <v>53</v>
      </c>
      <c r="H196" s="1" t="s">
        <v>369</v>
      </c>
      <c r="I196" s="1" t="s">
        <v>370</v>
      </c>
      <c r="J196" s="1" t="s">
        <v>46</v>
      </c>
      <c r="K196" t="s">
        <v>457</v>
      </c>
      <c r="M196" s="1" t="s">
        <v>58</v>
      </c>
      <c r="N196" s="1">
        <v>0</v>
      </c>
      <c r="O196" s="1" t="s">
        <v>105</v>
      </c>
      <c r="P196" s="11" t="s">
        <v>466</v>
      </c>
      <c r="R196" s="1" t="s">
        <v>38</v>
      </c>
      <c r="T196" s="1" t="s">
        <v>157</v>
      </c>
      <c r="U196" s="11" t="s">
        <v>459</v>
      </c>
      <c r="V196" s="1" t="s">
        <v>41</v>
      </c>
      <c r="W196" s="1" t="s">
        <v>49</v>
      </c>
      <c r="X196" s="13" t="str">
        <f t="shared" si="26"/>
        <v/>
      </c>
      <c r="Y196" s="2">
        <f t="shared" ca="1" si="21"/>
        <v>370</v>
      </c>
      <c r="Z196" s="14">
        <v>1</v>
      </c>
      <c r="AA196" s="1" t="str">
        <f t="shared" ca="1" si="22"/>
        <v>VENCIDO</v>
      </c>
      <c r="AB196" s="1" t="str">
        <f t="shared" si="23"/>
        <v>C-14</v>
      </c>
      <c r="AC196" s="2" t="str">
        <f t="shared" si="27"/>
        <v xml:space="preserve"> CLEITON </v>
      </c>
      <c r="AD196" s="2">
        <f t="shared" si="24"/>
        <v>5</v>
      </c>
      <c r="AE196" s="2">
        <f t="shared" ca="1" si="25"/>
        <v>-477.9262716435187</v>
      </c>
      <c r="AF196" s="15"/>
    </row>
    <row r="197" spans="1:32" hidden="1">
      <c r="A197" s="1">
        <v>7970303</v>
      </c>
      <c r="B197" s="1" t="s">
        <v>62</v>
      </c>
      <c r="C197" t="s">
        <v>453</v>
      </c>
      <c r="E197" s="2">
        <v>1833000203000</v>
      </c>
      <c r="F197" s="1" t="s">
        <v>454</v>
      </c>
      <c r="G197" s="1" t="s">
        <v>53</v>
      </c>
      <c r="H197" s="1" t="s">
        <v>369</v>
      </c>
      <c r="I197" s="1" t="s">
        <v>370</v>
      </c>
      <c r="J197" s="1" t="s">
        <v>46</v>
      </c>
      <c r="K197" t="s">
        <v>457</v>
      </c>
      <c r="M197" s="1" t="s">
        <v>58</v>
      </c>
      <c r="N197" s="1">
        <v>0</v>
      </c>
      <c r="O197" s="1" t="s">
        <v>105</v>
      </c>
      <c r="P197" s="11" t="s">
        <v>466</v>
      </c>
      <c r="R197" s="1" t="s">
        <v>38</v>
      </c>
      <c r="T197" s="1" t="s">
        <v>157</v>
      </c>
      <c r="U197" s="12">
        <v>44508.75</v>
      </c>
      <c r="V197" s="1" t="s">
        <v>41</v>
      </c>
      <c r="W197" s="1" t="s">
        <v>49</v>
      </c>
      <c r="X197" s="13" t="str">
        <f t="shared" si="26"/>
        <v/>
      </c>
      <c r="Y197" s="2">
        <f t="shared" ca="1" si="21"/>
        <v>370</v>
      </c>
      <c r="Z197" s="14">
        <v>1</v>
      </c>
      <c r="AA197" s="1" t="str">
        <f t="shared" ca="1" si="22"/>
        <v>VENCIDO</v>
      </c>
      <c r="AB197" s="1" t="str">
        <f t="shared" si="23"/>
        <v>C-14</v>
      </c>
      <c r="AC197" s="2" t="str">
        <f t="shared" si="27"/>
        <v xml:space="preserve"> CLEITON </v>
      </c>
      <c r="AD197" s="2">
        <f t="shared" si="24"/>
        <v>5</v>
      </c>
      <c r="AE197" s="2">
        <f t="shared" ca="1" si="25"/>
        <v>-477.9262716435187</v>
      </c>
      <c r="AF197" s="15"/>
    </row>
    <row r="198" spans="1:32" hidden="1">
      <c r="A198" s="1">
        <v>7970302</v>
      </c>
      <c r="B198" s="1" t="s">
        <v>62</v>
      </c>
      <c r="C198" t="s">
        <v>453</v>
      </c>
      <c r="E198" s="2">
        <v>1833000203000</v>
      </c>
      <c r="F198" s="1" t="s">
        <v>454</v>
      </c>
      <c r="G198" s="1" t="s">
        <v>53</v>
      </c>
      <c r="H198" s="1" t="s">
        <v>369</v>
      </c>
      <c r="I198" s="1" t="s">
        <v>370</v>
      </c>
      <c r="J198" s="1" t="s">
        <v>46</v>
      </c>
      <c r="K198" t="s">
        <v>457</v>
      </c>
      <c r="M198" s="1" t="s">
        <v>58</v>
      </c>
      <c r="N198" s="1">
        <v>0</v>
      </c>
      <c r="O198" s="1" t="s">
        <v>105</v>
      </c>
      <c r="P198" s="11" t="s">
        <v>466</v>
      </c>
      <c r="R198" s="1" t="s">
        <v>38</v>
      </c>
      <c r="T198" s="1" t="s">
        <v>157</v>
      </c>
      <c r="U198" s="11" t="s">
        <v>459</v>
      </c>
      <c r="V198" s="1" t="s">
        <v>41</v>
      </c>
      <c r="W198" s="1" t="s">
        <v>49</v>
      </c>
      <c r="X198" s="13" t="str">
        <f t="shared" si="26"/>
        <v/>
      </c>
      <c r="Y198" s="2">
        <f t="shared" ca="1" si="21"/>
        <v>370</v>
      </c>
      <c r="Z198" s="14">
        <v>1</v>
      </c>
      <c r="AA198" s="1" t="str">
        <f t="shared" ca="1" si="22"/>
        <v>VENCIDO</v>
      </c>
      <c r="AB198" s="1" t="str">
        <f t="shared" si="23"/>
        <v>C-14</v>
      </c>
      <c r="AC198" s="2" t="str">
        <f t="shared" si="27"/>
        <v xml:space="preserve"> CLEITON </v>
      </c>
      <c r="AD198" s="2">
        <f t="shared" si="24"/>
        <v>5</v>
      </c>
      <c r="AE198" s="2">
        <f t="shared" ca="1" si="25"/>
        <v>-477.9262716435187</v>
      </c>
      <c r="AF198" s="15"/>
    </row>
    <row r="199" spans="1:32" hidden="1">
      <c r="A199" s="1">
        <v>7970301</v>
      </c>
      <c r="B199" s="1" t="s">
        <v>62</v>
      </c>
      <c r="C199" t="s">
        <v>453</v>
      </c>
      <c r="E199" s="2">
        <v>1833000203000</v>
      </c>
      <c r="F199" s="1" t="s">
        <v>454</v>
      </c>
      <c r="G199" s="1" t="s">
        <v>53</v>
      </c>
      <c r="H199" s="1" t="s">
        <v>369</v>
      </c>
      <c r="I199" s="1" t="s">
        <v>370</v>
      </c>
      <c r="J199" s="1" t="s">
        <v>46</v>
      </c>
      <c r="K199" t="s">
        <v>457</v>
      </c>
      <c r="M199" s="1" t="s">
        <v>58</v>
      </c>
      <c r="N199" s="1">
        <v>0</v>
      </c>
      <c r="O199" s="1" t="s">
        <v>105</v>
      </c>
      <c r="P199" s="186">
        <v>44469.857268518521</v>
      </c>
      <c r="R199" s="1" t="s">
        <v>38</v>
      </c>
      <c r="T199" s="1" t="s">
        <v>157</v>
      </c>
      <c r="U199" s="186">
        <v>44508.75</v>
      </c>
      <c r="V199" s="1" t="s">
        <v>41</v>
      </c>
      <c r="W199" s="1" t="s">
        <v>49</v>
      </c>
      <c r="X199" s="13" t="str">
        <f t="shared" si="26"/>
        <v/>
      </c>
      <c r="Y199" s="2">
        <f t="shared" ca="1" si="21"/>
        <v>370</v>
      </c>
      <c r="Z199" s="14">
        <v>1</v>
      </c>
      <c r="AA199" s="1" t="str">
        <f t="shared" ca="1" si="22"/>
        <v>VENCIDO</v>
      </c>
      <c r="AB199" s="1" t="str">
        <f t="shared" si="23"/>
        <v>C-14</v>
      </c>
      <c r="AC199" s="2" t="str">
        <f t="shared" si="27"/>
        <v xml:space="preserve"> CLEITON </v>
      </c>
      <c r="AD199" s="2">
        <f t="shared" si="24"/>
        <v>5</v>
      </c>
      <c r="AE199" s="2">
        <f t="shared" ca="1" si="25"/>
        <v>-477.9262716435187</v>
      </c>
      <c r="AF199" s="15"/>
    </row>
    <row r="200" spans="1:32" hidden="1">
      <c r="A200" s="1">
        <v>7970300</v>
      </c>
      <c r="B200" s="1" t="s">
        <v>62</v>
      </c>
      <c r="C200" t="s">
        <v>453</v>
      </c>
      <c r="E200" s="2">
        <v>1833000203000</v>
      </c>
      <c r="F200" s="1" t="s">
        <v>454</v>
      </c>
      <c r="G200" s="1" t="s">
        <v>53</v>
      </c>
      <c r="H200" s="1" t="s">
        <v>369</v>
      </c>
      <c r="I200" s="1" t="s">
        <v>370</v>
      </c>
      <c r="J200" s="1" t="s">
        <v>46</v>
      </c>
      <c r="K200" t="s">
        <v>457</v>
      </c>
      <c r="M200" s="1" t="s">
        <v>58</v>
      </c>
      <c r="N200" s="1">
        <v>0</v>
      </c>
      <c r="O200" s="1" t="s">
        <v>105</v>
      </c>
      <c r="P200" s="186">
        <v>44469.857268518521</v>
      </c>
      <c r="R200" s="1" t="s">
        <v>38</v>
      </c>
      <c r="T200" s="1" t="s">
        <v>157</v>
      </c>
      <c r="U200" s="186">
        <v>44508.75</v>
      </c>
      <c r="V200" s="1" t="s">
        <v>41</v>
      </c>
      <c r="W200" s="1" t="s">
        <v>49</v>
      </c>
      <c r="X200" s="13" t="str">
        <f t="shared" si="26"/>
        <v/>
      </c>
      <c r="Y200" s="2">
        <f t="shared" ca="1" si="21"/>
        <v>370</v>
      </c>
      <c r="Z200" s="14">
        <v>1</v>
      </c>
      <c r="AA200" s="1" t="str">
        <f t="shared" ca="1" si="22"/>
        <v>VENCIDO</v>
      </c>
      <c r="AB200" s="1" t="str">
        <f t="shared" si="23"/>
        <v>C-14</v>
      </c>
      <c r="AC200" s="2" t="str">
        <f t="shared" si="27"/>
        <v xml:space="preserve"> CLEITON </v>
      </c>
      <c r="AD200" s="2">
        <f t="shared" si="24"/>
        <v>5</v>
      </c>
      <c r="AE200" s="2">
        <f t="shared" ca="1" si="25"/>
        <v>-477.9262716435187</v>
      </c>
      <c r="AF200" s="15"/>
    </row>
    <row r="201" spans="1:32" hidden="1">
      <c r="A201" s="1">
        <v>7970299</v>
      </c>
      <c r="B201" s="1" t="s">
        <v>62</v>
      </c>
      <c r="C201" t="s">
        <v>453</v>
      </c>
      <c r="E201" s="2">
        <v>1833000203000</v>
      </c>
      <c r="F201" s="1" t="s">
        <v>454</v>
      </c>
      <c r="G201" s="1" t="s">
        <v>53</v>
      </c>
      <c r="H201" s="1" t="s">
        <v>369</v>
      </c>
      <c r="I201" s="1" t="s">
        <v>370</v>
      </c>
      <c r="J201" s="1" t="s">
        <v>46</v>
      </c>
      <c r="K201" t="s">
        <v>457</v>
      </c>
      <c r="M201" s="1" t="s">
        <v>58</v>
      </c>
      <c r="N201" s="1">
        <v>0</v>
      </c>
      <c r="O201" s="1" t="s">
        <v>105</v>
      </c>
      <c r="P201" s="186">
        <v>44469.857268518521</v>
      </c>
      <c r="R201" s="1" t="s">
        <v>38</v>
      </c>
      <c r="T201" s="1" t="s">
        <v>157</v>
      </c>
      <c r="U201" s="186">
        <v>44508.75</v>
      </c>
      <c r="V201" s="1" t="s">
        <v>41</v>
      </c>
      <c r="W201" s="1" t="s">
        <v>49</v>
      </c>
      <c r="X201" s="13" t="str">
        <f t="shared" si="26"/>
        <v/>
      </c>
      <c r="Y201" s="2">
        <f t="shared" ca="1" si="21"/>
        <v>370</v>
      </c>
      <c r="Z201" s="14">
        <v>1</v>
      </c>
      <c r="AA201" s="1" t="str">
        <f t="shared" ca="1" si="22"/>
        <v>VENCIDO</v>
      </c>
      <c r="AB201" s="1" t="str">
        <f t="shared" si="23"/>
        <v>C-14</v>
      </c>
      <c r="AC201" s="2" t="str">
        <f t="shared" si="27"/>
        <v xml:space="preserve"> CLEITON </v>
      </c>
      <c r="AD201" s="2">
        <f t="shared" si="24"/>
        <v>5</v>
      </c>
      <c r="AE201" s="2">
        <f t="shared" ca="1" si="25"/>
        <v>-477.9262716435187</v>
      </c>
      <c r="AF201" s="15"/>
    </row>
    <row r="202" spans="1:32" hidden="1">
      <c r="A202" s="1">
        <v>7970298</v>
      </c>
      <c r="B202" s="1" t="s">
        <v>62</v>
      </c>
      <c r="C202" t="s">
        <v>453</v>
      </c>
      <c r="E202" s="2">
        <v>1833000203000</v>
      </c>
      <c r="F202" s="1" t="s">
        <v>454</v>
      </c>
      <c r="G202" s="1" t="s">
        <v>53</v>
      </c>
      <c r="H202" s="1" t="s">
        <v>369</v>
      </c>
      <c r="I202" s="1" t="s">
        <v>370</v>
      </c>
      <c r="J202" s="1" t="s">
        <v>46</v>
      </c>
      <c r="K202" t="s">
        <v>457</v>
      </c>
      <c r="M202" s="1" t="s">
        <v>58</v>
      </c>
      <c r="N202" s="1">
        <v>0</v>
      </c>
      <c r="O202" s="1" t="s">
        <v>105</v>
      </c>
      <c r="P202" s="186">
        <v>44469.857268518521</v>
      </c>
      <c r="R202" s="1" t="s">
        <v>38</v>
      </c>
      <c r="T202" s="1" t="s">
        <v>157</v>
      </c>
      <c r="U202" s="186">
        <v>44508.75</v>
      </c>
      <c r="V202" s="1" t="s">
        <v>41</v>
      </c>
      <c r="W202" s="1" t="s">
        <v>49</v>
      </c>
      <c r="X202" s="13" t="str">
        <f t="shared" si="26"/>
        <v/>
      </c>
      <c r="Y202" s="2">
        <f t="shared" ca="1" si="21"/>
        <v>370</v>
      </c>
      <c r="Z202" s="14">
        <v>1</v>
      </c>
      <c r="AA202" s="1" t="str">
        <f t="shared" ca="1" si="22"/>
        <v>VENCIDO</v>
      </c>
      <c r="AB202" s="1" t="str">
        <f t="shared" si="23"/>
        <v>C-14</v>
      </c>
      <c r="AC202" s="2" t="str">
        <f t="shared" si="27"/>
        <v xml:space="preserve"> CLEITON </v>
      </c>
      <c r="AD202" s="2">
        <f t="shared" si="24"/>
        <v>5</v>
      </c>
      <c r="AE202" s="2">
        <f t="shared" ca="1" si="25"/>
        <v>-477.9262716435187</v>
      </c>
      <c r="AF202" s="15"/>
    </row>
    <row r="203" spans="1:32" hidden="1">
      <c r="A203" s="1">
        <v>7970297</v>
      </c>
      <c r="B203" s="1" t="s">
        <v>62</v>
      </c>
      <c r="C203" t="s">
        <v>453</v>
      </c>
      <c r="E203" s="2">
        <v>1833000203000</v>
      </c>
      <c r="F203" s="1" t="s">
        <v>454</v>
      </c>
      <c r="G203" s="1" t="s">
        <v>53</v>
      </c>
      <c r="H203" s="1" t="s">
        <v>369</v>
      </c>
      <c r="I203" s="1" t="s">
        <v>370</v>
      </c>
      <c r="J203" s="1" t="s">
        <v>46</v>
      </c>
      <c r="K203" t="s">
        <v>457</v>
      </c>
      <c r="M203" s="1" t="s">
        <v>58</v>
      </c>
      <c r="N203" s="1">
        <v>0</v>
      </c>
      <c r="O203" s="1" t="s">
        <v>105</v>
      </c>
      <c r="P203" s="186">
        <v>44469.857268518521</v>
      </c>
      <c r="R203" s="1" t="s">
        <v>38</v>
      </c>
      <c r="T203" s="1" t="s">
        <v>157</v>
      </c>
      <c r="U203" s="186">
        <v>44508.75</v>
      </c>
      <c r="V203" s="1" t="s">
        <v>41</v>
      </c>
      <c r="W203" s="1" t="s">
        <v>49</v>
      </c>
      <c r="X203" s="13" t="str">
        <f t="shared" si="26"/>
        <v/>
      </c>
      <c r="Y203" s="2">
        <f t="shared" ca="1" si="21"/>
        <v>370</v>
      </c>
      <c r="Z203" s="14">
        <v>1</v>
      </c>
      <c r="AA203" s="1" t="str">
        <f t="shared" ca="1" si="22"/>
        <v>VENCIDO</v>
      </c>
      <c r="AB203" s="1" t="str">
        <f t="shared" si="23"/>
        <v>C-14</v>
      </c>
      <c r="AC203" s="2" t="str">
        <f t="shared" si="27"/>
        <v xml:space="preserve"> CLEITON </v>
      </c>
      <c r="AD203" s="2">
        <f t="shared" si="24"/>
        <v>5</v>
      </c>
      <c r="AE203" s="2">
        <f t="shared" ca="1" si="25"/>
        <v>-477.9262716435187</v>
      </c>
      <c r="AF203" s="15"/>
    </row>
    <row r="204" spans="1:32" hidden="1">
      <c r="A204" s="1">
        <v>7970296</v>
      </c>
      <c r="B204" s="1" t="s">
        <v>62</v>
      </c>
      <c r="C204" t="s">
        <v>453</v>
      </c>
      <c r="E204" s="2">
        <v>1833000203000</v>
      </c>
      <c r="F204" s="1" t="s">
        <v>454</v>
      </c>
      <c r="G204" s="1" t="s">
        <v>53</v>
      </c>
      <c r="H204" s="1" t="s">
        <v>369</v>
      </c>
      <c r="I204" s="1" t="s">
        <v>370</v>
      </c>
      <c r="J204" s="1" t="s">
        <v>46</v>
      </c>
      <c r="K204" t="s">
        <v>457</v>
      </c>
      <c r="M204" s="1" t="s">
        <v>58</v>
      </c>
      <c r="N204" s="1">
        <v>0</v>
      </c>
      <c r="O204" s="1" t="s">
        <v>105</v>
      </c>
      <c r="P204" s="186">
        <v>44469.857268518521</v>
      </c>
      <c r="R204" s="1" t="s">
        <v>38</v>
      </c>
      <c r="T204" s="1" t="s">
        <v>157</v>
      </c>
      <c r="U204" s="186">
        <v>44508.75</v>
      </c>
      <c r="V204" s="1" t="s">
        <v>41</v>
      </c>
      <c r="W204" s="1" t="s">
        <v>49</v>
      </c>
      <c r="X204" s="13" t="str">
        <f t="shared" si="26"/>
        <v/>
      </c>
      <c r="Y204" s="2">
        <f t="shared" ca="1" si="21"/>
        <v>370</v>
      </c>
      <c r="Z204" s="14">
        <v>1</v>
      </c>
      <c r="AA204" s="1" t="str">
        <f t="shared" ca="1" si="22"/>
        <v>VENCIDO</v>
      </c>
      <c r="AB204" s="1" t="str">
        <f t="shared" si="23"/>
        <v>C-14</v>
      </c>
      <c r="AC204" s="2" t="str">
        <f t="shared" si="27"/>
        <v xml:space="preserve"> CLEITON </v>
      </c>
      <c r="AD204" s="2">
        <f t="shared" si="24"/>
        <v>5</v>
      </c>
      <c r="AE204" s="2">
        <f t="shared" ca="1" si="25"/>
        <v>-477.9262716435187</v>
      </c>
      <c r="AF204" s="15"/>
    </row>
    <row r="205" spans="1:32" hidden="1">
      <c r="A205" s="1">
        <v>7970241</v>
      </c>
      <c r="B205" s="1" t="s">
        <v>62</v>
      </c>
      <c r="C205" t="s">
        <v>453</v>
      </c>
      <c r="E205" s="2">
        <v>1792000203000</v>
      </c>
      <c r="F205" s="1" t="s">
        <v>454</v>
      </c>
      <c r="G205" s="1" t="s">
        <v>53</v>
      </c>
      <c r="H205" s="1" t="s">
        <v>467</v>
      </c>
      <c r="I205" s="1" t="s">
        <v>468</v>
      </c>
      <c r="J205" s="1" t="s">
        <v>110</v>
      </c>
      <c r="K205" t="s">
        <v>457</v>
      </c>
      <c r="M205" s="1" t="s">
        <v>58</v>
      </c>
      <c r="N205" s="1">
        <v>0</v>
      </c>
      <c r="O205" s="1" t="s">
        <v>105</v>
      </c>
      <c r="P205" s="186">
        <v>44469.857175925928</v>
      </c>
      <c r="R205" s="1" t="s">
        <v>38</v>
      </c>
      <c r="T205" s="1" t="s">
        <v>157</v>
      </c>
      <c r="U205" s="186">
        <v>44508.75</v>
      </c>
      <c r="V205" s="1" t="s">
        <v>41</v>
      </c>
      <c r="W205" s="1" t="s">
        <v>49</v>
      </c>
      <c r="X205" s="13" t="str">
        <f t="shared" si="26"/>
        <v/>
      </c>
      <c r="Y205" s="2">
        <f t="shared" ca="1" si="21"/>
        <v>370</v>
      </c>
      <c r="Z205" s="14">
        <v>1</v>
      </c>
      <c r="AA205" s="1" t="str">
        <f t="shared" ca="1" si="22"/>
        <v>VENCIDO</v>
      </c>
      <c r="AB205" s="1" t="str">
        <f t="shared" si="23"/>
        <v>C-14</v>
      </c>
      <c r="AC205" s="2" t="str">
        <f t="shared" si="27"/>
        <v xml:space="preserve"> CRISTINA </v>
      </c>
      <c r="AD205" s="2">
        <f t="shared" si="24"/>
        <v>5</v>
      </c>
      <c r="AE205" s="2">
        <f t="shared" ca="1" si="25"/>
        <v>-477.9262716435187</v>
      </c>
      <c r="AF205" s="15"/>
    </row>
    <row r="206" spans="1:32" hidden="1">
      <c r="A206" s="1">
        <v>7970240</v>
      </c>
      <c r="B206" s="1" t="s">
        <v>62</v>
      </c>
      <c r="C206" t="s">
        <v>453</v>
      </c>
      <c r="E206" s="2">
        <v>1792000203000</v>
      </c>
      <c r="F206" s="1" t="s">
        <v>454</v>
      </c>
      <c r="G206" s="1" t="s">
        <v>53</v>
      </c>
      <c r="H206" s="1" t="s">
        <v>467</v>
      </c>
      <c r="I206" s="1" t="s">
        <v>468</v>
      </c>
      <c r="J206" s="1" t="s">
        <v>110</v>
      </c>
      <c r="K206" t="s">
        <v>457</v>
      </c>
      <c r="M206" s="1" t="s">
        <v>58</v>
      </c>
      <c r="N206" s="1">
        <v>0</v>
      </c>
      <c r="O206" s="1" t="s">
        <v>105</v>
      </c>
      <c r="P206" s="186">
        <v>44469.857164351852</v>
      </c>
      <c r="R206" s="1" t="s">
        <v>38</v>
      </c>
      <c r="T206" s="1" t="s">
        <v>157</v>
      </c>
      <c r="U206" s="186">
        <v>44508.75</v>
      </c>
      <c r="V206" s="1" t="s">
        <v>41</v>
      </c>
      <c r="W206" s="1" t="s">
        <v>49</v>
      </c>
      <c r="X206" s="13" t="str">
        <f t="shared" si="26"/>
        <v/>
      </c>
      <c r="Y206" s="2">
        <f t="shared" ca="1" si="21"/>
        <v>370</v>
      </c>
      <c r="Z206" s="14">
        <v>1</v>
      </c>
      <c r="AA206" s="1" t="str">
        <f t="shared" ca="1" si="22"/>
        <v>VENCIDO</v>
      </c>
      <c r="AB206" s="1" t="str">
        <f t="shared" si="23"/>
        <v>C-14</v>
      </c>
      <c r="AC206" s="2" t="str">
        <f t="shared" si="27"/>
        <v xml:space="preserve"> CRISTINA </v>
      </c>
      <c r="AD206" s="2">
        <f t="shared" si="24"/>
        <v>5</v>
      </c>
      <c r="AE206" s="2">
        <f t="shared" ca="1" si="25"/>
        <v>-477.9262716435187</v>
      </c>
      <c r="AF206" s="15"/>
    </row>
    <row r="207" spans="1:32" hidden="1">
      <c r="A207" s="1">
        <v>7970239</v>
      </c>
      <c r="B207" s="1" t="s">
        <v>62</v>
      </c>
      <c r="C207" t="s">
        <v>453</v>
      </c>
      <c r="E207" s="2">
        <v>1792000203000</v>
      </c>
      <c r="F207" s="1" t="s">
        <v>454</v>
      </c>
      <c r="G207" s="1" t="s">
        <v>53</v>
      </c>
      <c r="H207" s="1" t="s">
        <v>467</v>
      </c>
      <c r="I207" s="1" t="s">
        <v>468</v>
      </c>
      <c r="J207" s="1" t="s">
        <v>110</v>
      </c>
      <c r="K207" t="s">
        <v>457</v>
      </c>
      <c r="M207" s="1" t="s">
        <v>58</v>
      </c>
      <c r="N207" s="1">
        <v>0</v>
      </c>
      <c r="O207" s="1" t="s">
        <v>105</v>
      </c>
      <c r="P207" s="11" t="s">
        <v>469</v>
      </c>
      <c r="R207" s="1" t="s">
        <v>38</v>
      </c>
      <c r="T207" s="1" t="s">
        <v>157</v>
      </c>
      <c r="U207" s="11" t="s">
        <v>459</v>
      </c>
      <c r="V207" s="1" t="s">
        <v>41</v>
      </c>
      <c r="W207" s="1" t="s">
        <v>49</v>
      </c>
      <c r="X207" s="13" t="str">
        <f t="shared" si="26"/>
        <v/>
      </c>
      <c r="Y207" s="2">
        <f t="shared" ca="1" si="21"/>
        <v>370</v>
      </c>
      <c r="Z207" s="14">
        <v>1</v>
      </c>
      <c r="AA207" s="1" t="str">
        <f t="shared" ca="1" si="22"/>
        <v>VENCIDO</v>
      </c>
      <c r="AB207" s="1" t="str">
        <f t="shared" si="23"/>
        <v>C-14</v>
      </c>
      <c r="AC207" s="2" t="str">
        <f t="shared" si="27"/>
        <v xml:space="preserve"> CRISTINA </v>
      </c>
      <c r="AD207" s="2">
        <f t="shared" si="24"/>
        <v>5</v>
      </c>
      <c r="AE207" s="2">
        <f t="shared" ca="1" si="25"/>
        <v>-477.9262716435187</v>
      </c>
      <c r="AF207" s="15"/>
    </row>
    <row r="208" spans="1:32" hidden="1">
      <c r="A208" s="1">
        <v>7970238</v>
      </c>
      <c r="B208" s="1" t="s">
        <v>62</v>
      </c>
      <c r="C208" t="s">
        <v>453</v>
      </c>
      <c r="E208" s="2">
        <v>1792000203000</v>
      </c>
      <c r="F208" s="1" t="s">
        <v>454</v>
      </c>
      <c r="G208" s="1" t="s">
        <v>53</v>
      </c>
      <c r="H208" s="1" t="s">
        <v>467</v>
      </c>
      <c r="I208" s="1" t="s">
        <v>468</v>
      </c>
      <c r="J208" s="1" t="s">
        <v>110</v>
      </c>
      <c r="K208" t="s">
        <v>457</v>
      </c>
      <c r="M208" s="1" t="s">
        <v>58</v>
      </c>
      <c r="N208" s="1">
        <v>0</v>
      </c>
      <c r="O208" s="1" t="s">
        <v>105</v>
      </c>
      <c r="P208" s="11" t="s">
        <v>469</v>
      </c>
      <c r="R208" s="1" t="s">
        <v>38</v>
      </c>
      <c r="T208" s="1" t="s">
        <v>157</v>
      </c>
      <c r="U208" s="11" t="s">
        <v>459</v>
      </c>
      <c r="V208" s="1" t="s">
        <v>41</v>
      </c>
      <c r="W208" s="1" t="s">
        <v>49</v>
      </c>
      <c r="X208" s="13" t="str">
        <f t="shared" si="26"/>
        <v/>
      </c>
      <c r="Y208" s="2">
        <f t="shared" ca="1" si="21"/>
        <v>370</v>
      </c>
      <c r="Z208" s="14">
        <v>1</v>
      </c>
      <c r="AA208" s="1" t="str">
        <f t="shared" ca="1" si="22"/>
        <v>VENCIDO</v>
      </c>
      <c r="AB208" s="1" t="str">
        <f t="shared" si="23"/>
        <v>C-14</v>
      </c>
      <c r="AC208" s="2" t="str">
        <f t="shared" si="27"/>
        <v xml:space="preserve"> CRISTINA </v>
      </c>
      <c r="AD208" s="2">
        <f t="shared" si="24"/>
        <v>5</v>
      </c>
      <c r="AE208" s="2">
        <f t="shared" ca="1" si="25"/>
        <v>-477.9262716435187</v>
      </c>
      <c r="AF208" s="15"/>
    </row>
    <row r="209" spans="1:32" hidden="1">
      <c r="A209" s="1">
        <v>7970237</v>
      </c>
      <c r="B209" s="1" t="s">
        <v>62</v>
      </c>
      <c r="C209" t="s">
        <v>453</v>
      </c>
      <c r="E209" s="2">
        <v>1792000203000</v>
      </c>
      <c r="F209" s="1" t="s">
        <v>454</v>
      </c>
      <c r="G209" s="1" t="s">
        <v>53</v>
      </c>
      <c r="H209" s="1" t="s">
        <v>467</v>
      </c>
      <c r="I209" s="1" t="s">
        <v>468</v>
      </c>
      <c r="J209" s="1" t="s">
        <v>110</v>
      </c>
      <c r="K209" t="s">
        <v>457</v>
      </c>
      <c r="M209" s="1" t="s">
        <v>58</v>
      </c>
      <c r="N209" s="1">
        <v>0</v>
      </c>
      <c r="O209" s="1" t="s">
        <v>105</v>
      </c>
      <c r="P209" s="186">
        <v>44469.857164351852</v>
      </c>
      <c r="R209" s="1" t="s">
        <v>38</v>
      </c>
      <c r="T209" s="1" t="s">
        <v>157</v>
      </c>
      <c r="U209" s="186">
        <v>44508.75</v>
      </c>
      <c r="V209" s="1" t="s">
        <v>41</v>
      </c>
      <c r="W209" s="1" t="s">
        <v>49</v>
      </c>
      <c r="X209" s="13" t="str">
        <f t="shared" si="26"/>
        <v/>
      </c>
      <c r="Y209" s="2">
        <f t="shared" ca="1" si="21"/>
        <v>370</v>
      </c>
      <c r="Z209" s="14">
        <v>1</v>
      </c>
      <c r="AA209" s="1" t="str">
        <f t="shared" ca="1" si="22"/>
        <v>VENCIDO</v>
      </c>
      <c r="AB209" s="1" t="str">
        <f t="shared" si="23"/>
        <v>C-14</v>
      </c>
      <c r="AC209" s="2" t="str">
        <f t="shared" si="27"/>
        <v xml:space="preserve"> CRISTINA </v>
      </c>
      <c r="AD209" s="2">
        <f t="shared" si="24"/>
        <v>5</v>
      </c>
      <c r="AE209" s="2">
        <f t="shared" ca="1" si="25"/>
        <v>-477.9262716435187</v>
      </c>
      <c r="AF209" s="15"/>
    </row>
    <row r="210" spans="1:32" hidden="1">
      <c r="A210" s="1">
        <v>7970218</v>
      </c>
      <c r="B210" s="1" t="s">
        <v>62</v>
      </c>
      <c r="C210" t="s">
        <v>453</v>
      </c>
      <c r="E210" s="2">
        <v>1363000203000</v>
      </c>
      <c r="F210" s="1" t="s">
        <v>454</v>
      </c>
      <c r="G210" s="1" t="s">
        <v>53</v>
      </c>
      <c r="H210" s="1" t="s">
        <v>108</v>
      </c>
      <c r="I210" s="1" t="s">
        <v>109</v>
      </c>
      <c r="J210" s="1" t="s">
        <v>110</v>
      </c>
      <c r="K210" t="s">
        <v>457</v>
      </c>
      <c r="M210" s="1" t="s">
        <v>58</v>
      </c>
      <c r="N210" s="1">
        <v>0</v>
      </c>
      <c r="O210" s="1" t="s">
        <v>36</v>
      </c>
      <c r="P210" s="186">
        <v>44469.857141203705</v>
      </c>
      <c r="R210" s="1" t="s">
        <v>38</v>
      </c>
      <c r="T210" s="1" t="s">
        <v>157</v>
      </c>
      <c r="U210" s="186">
        <v>44508.75</v>
      </c>
      <c r="V210" s="1" t="s">
        <v>41</v>
      </c>
      <c r="W210" s="1" t="s">
        <v>49</v>
      </c>
      <c r="X210" s="13" t="str">
        <f t="shared" si="26"/>
        <v/>
      </c>
      <c r="Y210" s="2">
        <f t="shared" ca="1" si="21"/>
        <v>370</v>
      </c>
      <c r="Z210" s="14">
        <v>1</v>
      </c>
      <c r="AA210" s="1" t="str">
        <f t="shared" ca="1" si="22"/>
        <v>VENCIDO</v>
      </c>
      <c r="AB210" s="1" t="str">
        <f t="shared" si="23"/>
        <v>C-14</v>
      </c>
      <c r="AC210" s="2" t="str">
        <f t="shared" si="27"/>
        <v xml:space="preserve"> CRISTINA </v>
      </c>
      <c r="AD210" s="2">
        <f t="shared" si="24"/>
        <v>5</v>
      </c>
      <c r="AE210" s="2">
        <f t="shared" ca="1" si="25"/>
        <v>-477.9262716435187</v>
      </c>
      <c r="AF210" s="15"/>
    </row>
    <row r="211" spans="1:32">
      <c r="A211" s="1">
        <v>7998831</v>
      </c>
      <c r="B211" s="1" t="s">
        <v>27</v>
      </c>
      <c r="C211" t="s">
        <v>470</v>
      </c>
      <c r="E211" s="2">
        <v>2229000206001</v>
      </c>
      <c r="F211" s="1" t="s">
        <v>29</v>
      </c>
      <c r="G211" s="1" t="s">
        <v>53</v>
      </c>
      <c r="H211" s="1" t="s">
        <v>339</v>
      </c>
      <c r="I211" s="1" t="s">
        <v>340</v>
      </c>
      <c r="J211" s="1" t="s">
        <v>211</v>
      </c>
      <c r="K211" t="s">
        <v>34</v>
      </c>
      <c r="M211" s="1" t="s">
        <v>35</v>
      </c>
      <c r="N211" s="1">
        <v>42318949</v>
      </c>
      <c r="O211" s="1" t="s">
        <v>105</v>
      </c>
      <c r="P211" s="11" t="s">
        <v>471</v>
      </c>
      <c r="R211" s="1" t="s">
        <v>38</v>
      </c>
      <c r="T211" s="1" t="s">
        <v>74</v>
      </c>
      <c r="U211" s="11" t="s">
        <v>472</v>
      </c>
      <c r="V211" s="1" t="s">
        <v>41</v>
      </c>
      <c r="W211" s="1" t="s">
        <v>49</v>
      </c>
      <c r="X211" s="13" t="str">
        <f t="shared" si="26"/>
        <v/>
      </c>
      <c r="Y211" s="2">
        <f t="shared" ca="1" si="21"/>
        <v>367</v>
      </c>
      <c r="Z211" s="14">
        <v>1</v>
      </c>
      <c r="AA211" s="1" t="str">
        <f t="shared" ca="1" si="22"/>
        <v>VENCIDO</v>
      </c>
      <c r="AB211" s="1" t="str">
        <f t="shared" si="23"/>
        <v>Dosa</v>
      </c>
      <c r="AC211" s="2" t="str">
        <f t="shared" si="27"/>
        <v xml:space="preserve"> RINALDO </v>
      </c>
      <c r="AD211" s="2">
        <f t="shared" si="24"/>
        <v>5</v>
      </c>
      <c r="AE211" s="2">
        <f t="shared" ca="1" si="25"/>
        <v>-511.9262716435187</v>
      </c>
      <c r="AF211" s="15"/>
    </row>
    <row r="212" spans="1:32">
      <c r="A212" s="1">
        <v>8014132</v>
      </c>
      <c r="B212" s="1" t="s">
        <v>27</v>
      </c>
      <c r="C212" t="s">
        <v>470</v>
      </c>
      <c r="E212" s="2">
        <v>1069000206001</v>
      </c>
      <c r="F212" s="1" t="s">
        <v>29</v>
      </c>
      <c r="G212" s="1" t="s">
        <v>53</v>
      </c>
      <c r="H212" s="1" t="s">
        <v>353</v>
      </c>
      <c r="I212" s="1" t="s">
        <v>354</v>
      </c>
      <c r="J212" s="1" t="s">
        <v>211</v>
      </c>
      <c r="K212" t="s">
        <v>34</v>
      </c>
      <c r="M212" s="1" t="s">
        <v>35</v>
      </c>
      <c r="N212" s="1">
        <v>42318949</v>
      </c>
      <c r="O212" s="1" t="s">
        <v>105</v>
      </c>
      <c r="P212" s="11" t="s">
        <v>473</v>
      </c>
      <c r="R212" s="1" t="s">
        <v>38</v>
      </c>
      <c r="T212" s="1" t="s">
        <v>74</v>
      </c>
      <c r="U212" s="11" t="s">
        <v>474</v>
      </c>
      <c r="V212" s="1" t="s">
        <v>41</v>
      </c>
      <c r="W212" s="1" t="s">
        <v>49</v>
      </c>
      <c r="X212" s="13" t="str">
        <f t="shared" si="26"/>
        <v/>
      </c>
      <c r="Y212" s="2">
        <f t="shared" ca="1" si="21"/>
        <v>363</v>
      </c>
      <c r="Z212" s="14">
        <v>1</v>
      </c>
      <c r="AA212" s="1" t="str">
        <f t="shared" ca="1" si="22"/>
        <v>VENCIDO</v>
      </c>
      <c r="AB212" s="1" t="str">
        <f t="shared" si="23"/>
        <v>Dosa</v>
      </c>
      <c r="AC212" s="2" t="str">
        <f t="shared" si="27"/>
        <v xml:space="preserve"> RINALDO </v>
      </c>
      <c r="AD212" s="2">
        <f t="shared" si="24"/>
        <v>5</v>
      </c>
      <c r="AE212" s="2">
        <f t="shared" ca="1" si="25"/>
        <v>-505.9262716435187</v>
      </c>
      <c r="AF212" s="15"/>
    </row>
    <row r="213" spans="1:32" hidden="1">
      <c r="A213" s="1">
        <v>8018140</v>
      </c>
      <c r="B213" s="1" t="s">
        <v>62</v>
      </c>
      <c r="C213" t="s">
        <v>475</v>
      </c>
      <c r="E213" s="2">
        <v>1664000203000</v>
      </c>
      <c r="F213" s="1" t="s">
        <v>454</v>
      </c>
      <c r="G213" s="1" t="s">
        <v>53</v>
      </c>
      <c r="H213" s="1" t="s">
        <v>307</v>
      </c>
      <c r="I213" s="1" t="s">
        <v>308</v>
      </c>
      <c r="J213" s="1" t="s">
        <v>164</v>
      </c>
      <c r="K213" t="s">
        <v>457</v>
      </c>
      <c r="M213" s="1" t="s">
        <v>58</v>
      </c>
      <c r="N213" s="1">
        <v>0</v>
      </c>
      <c r="O213" s="1" t="s">
        <v>36</v>
      </c>
      <c r="P213" s="186">
        <v>44482.53765046296</v>
      </c>
      <c r="R213" s="1" t="s">
        <v>38</v>
      </c>
      <c r="T213" s="1" t="s">
        <v>157</v>
      </c>
      <c r="U213" s="186">
        <v>44518.75</v>
      </c>
      <c r="V213" s="1" t="s">
        <v>41</v>
      </c>
      <c r="W213" s="1" t="s">
        <v>49</v>
      </c>
      <c r="X213" s="13" t="str">
        <f t="shared" si="26"/>
        <v/>
      </c>
      <c r="Y213" s="2">
        <f t="shared" ca="1" si="21"/>
        <v>361</v>
      </c>
      <c r="Z213" s="14">
        <v>1</v>
      </c>
      <c r="AA213" s="1" t="str">
        <f t="shared" ca="1" si="22"/>
        <v>VENCIDO</v>
      </c>
      <c r="AB213" s="1" t="str">
        <f t="shared" si="23"/>
        <v>C-14</v>
      </c>
      <c r="AC213" s="2" t="str">
        <f t="shared" si="27"/>
        <v xml:space="preserve"> ROSEMERE </v>
      </c>
      <c r="AD213" s="2">
        <f t="shared" si="24"/>
        <v>5</v>
      </c>
      <c r="AE213" s="2">
        <f t="shared" ca="1" si="25"/>
        <v>-467.9262716435187</v>
      </c>
      <c r="AF213" s="15"/>
    </row>
    <row r="214" spans="1:32">
      <c r="A214" s="1">
        <v>8017996</v>
      </c>
      <c r="B214" s="1" t="s">
        <v>27</v>
      </c>
      <c r="C214" t="s">
        <v>476</v>
      </c>
      <c r="E214" s="2">
        <v>2170000206001</v>
      </c>
      <c r="F214" s="1" t="s">
        <v>29</v>
      </c>
      <c r="G214" s="1" t="s">
        <v>53</v>
      </c>
      <c r="H214" s="1" t="s">
        <v>477</v>
      </c>
      <c r="I214" s="1" t="s">
        <v>478</v>
      </c>
      <c r="J214" s="1" t="s">
        <v>148</v>
      </c>
      <c r="K214" t="s">
        <v>34</v>
      </c>
      <c r="M214" s="1" t="s">
        <v>35</v>
      </c>
      <c r="N214" s="1">
        <v>42318949</v>
      </c>
      <c r="O214" s="1" t="s">
        <v>36</v>
      </c>
      <c r="P214" s="11" t="s">
        <v>479</v>
      </c>
      <c r="R214" s="1" t="s">
        <v>38</v>
      </c>
      <c r="T214" s="1" t="s">
        <v>74</v>
      </c>
      <c r="U214" s="11" t="s">
        <v>480</v>
      </c>
      <c r="V214" s="1" t="s">
        <v>41</v>
      </c>
      <c r="W214" s="1" t="s">
        <v>49</v>
      </c>
      <c r="X214" s="13" t="str">
        <f t="shared" si="26"/>
        <v/>
      </c>
      <c r="Y214" s="2">
        <f t="shared" ca="1" si="21"/>
        <v>361</v>
      </c>
      <c r="Z214" s="14">
        <v>1</v>
      </c>
      <c r="AA214" s="1" t="str">
        <f t="shared" ca="1" si="22"/>
        <v>VENCIDO</v>
      </c>
      <c r="AB214" s="1" t="str">
        <f t="shared" si="23"/>
        <v>Dosa</v>
      </c>
      <c r="AC214" s="2" t="str">
        <f t="shared" si="27"/>
        <v xml:space="preserve"> RINALDO </v>
      </c>
      <c r="AD214" s="2">
        <f t="shared" si="24"/>
        <v>5</v>
      </c>
      <c r="AE214" s="2">
        <f t="shared" ca="1" si="25"/>
        <v>-503.9262716435187</v>
      </c>
      <c r="AF214" s="15"/>
    </row>
    <row r="215" spans="1:32">
      <c r="A215" s="1">
        <v>8021722</v>
      </c>
      <c r="B215" s="1" t="s">
        <v>62</v>
      </c>
      <c r="C215" t="s">
        <v>481</v>
      </c>
      <c r="E215" s="2">
        <v>2170000203010</v>
      </c>
      <c r="F215" s="1" t="s">
        <v>152</v>
      </c>
      <c r="G215" s="1" t="s">
        <v>53</v>
      </c>
      <c r="H215" s="1" t="s">
        <v>477</v>
      </c>
      <c r="I215" s="1" t="s">
        <v>478</v>
      </c>
      <c r="J215" s="1" t="s">
        <v>148</v>
      </c>
      <c r="K215" t="s">
        <v>155</v>
      </c>
      <c r="M215" s="1" t="s">
        <v>35</v>
      </c>
      <c r="N215" s="1">
        <v>42318949</v>
      </c>
      <c r="O215" s="1" t="s">
        <v>36</v>
      </c>
      <c r="P215" s="11" t="s">
        <v>482</v>
      </c>
      <c r="R215" s="1" t="s">
        <v>38</v>
      </c>
      <c r="T215" s="1" t="s">
        <v>157</v>
      </c>
      <c r="U215" s="11" t="s">
        <v>483</v>
      </c>
      <c r="V215" s="1" t="s">
        <v>41</v>
      </c>
      <c r="W215" s="1" t="s">
        <v>49</v>
      </c>
      <c r="X215" s="13" t="str">
        <f t="shared" si="26"/>
        <v/>
      </c>
      <c r="Y215" s="2">
        <f t="shared" ca="1" si="21"/>
        <v>360</v>
      </c>
      <c r="Z215" s="14">
        <v>1</v>
      </c>
      <c r="AA215" s="1" t="str">
        <f t="shared" ca="1" si="22"/>
        <v>VENCIDO</v>
      </c>
      <c r="AB215" s="1" t="str">
        <f t="shared" si="23"/>
        <v>TAAe+</v>
      </c>
      <c r="AC215" s="2" t="str">
        <f t="shared" si="27"/>
        <v xml:space="preserve"> RINALDO </v>
      </c>
      <c r="AD215" s="2">
        <f t="shared" si="24"/>
        <v>8</v>
      </c>
      <c r="AE215" s="2">
        <f t="shared" ca="1" si="25"/>
        <v>-466.9262716435187</v>
      </c>
      <c r="AF215" s="15"/>
    </row>
    <row r="216" spans="1:32">
      <c r="A216" s="1">
        <v>8026505</v>
      </c>
      <c r="B216" s="1" t="s">
        <v>62</v>
      </c>
      <c r="C216" t="s">
        <v>484</v>
      </c>
      <c r="E216" s="2">
        <v>4119000203000</v>
      </c>
      <c r="F216" s="1" t="s">
        <v>454</v>
      </c>
      <c r="G216" s="1" t="s">
        <v>53</v>
      </c>
      <c r="H216" s="1" t="s">
        <v>297</v>
      </c>
      <c r="I216" s="1" t="s">
        <v>298</v>
      </c>
      <c r="J216" s="1" t="s">
        <v>211</v>
      </c>
      <c r="K216" t="s">
        <v>457</v>
      </c>
      <c r="M216" s="1" t="s">
        <v>58</v>
      </c>
      <c r="N216" s="1">
        <v>0</v>
      </c>
      <c r="O216" s="1" t="s">
        <v>36</v>
      </c>
      <c r="P216" s="11" t="s">
        <v>485</v>
      </c>
      <c r="R216" s="1" t="s">
        <v>38</v>
      </c>
      <c r="T216" s="1" t="s">
        <v>157</v>
      </c>
      <c r="U216" s="11" t="s">
        <v>486</v>
      </c>
      <c r="V216" s="1" t="s">
        <v>41</v>
      </c>
      <c r="W216" s="1" t="s">
        <v>49</v>
      </c>
      <c r="X216" s="13" t="str">
        <f t="shared" si="26"/>
        <v/>
      </c>
      <c r="Y216" s="2">
        <f t="shared" ca="1" si="21"/>
        <v>358</v>
      </c>
      <c r="Z216" s="14">
        <v>1</v>
      </c>
      <c r="AA216" s="1" t="str">
        <f t="shared" ca="1" si="22"/>
        <v>VENCIDO</v>
      </c>
      <c r="AB216" s="1" t="str">
        <f t="shared" si="23"/>
        <v>C-14</v>
      </c>
      <c r="AC216" s="2" t="str">
        <f t="shared" si="27"/>
        <v xml:space="preserve"> RINALDO </v>
      </c>
      <c r="AD216" s="2">
        <f t="shared" si="24"/>
        <v>5</v>
      </c>
      <c r="AE216" s="2">
        <f t="shared" ca="1" si="25"/>
        <v>-462.9262716435187</v>
      </c>
      <c r="AF216" s="15"/>
    </row>
    <row r="217" spans="1:32" hidden="1">
      <c r="A217" s="1">
        <v>8034031</v>
      </c>
      <c r="B217" s="1" t="s">
        <v>62</v>
      </c>
      <c r="C217" t="s">
        <v>487</v>
      </c>
      <c r="E217" s="2">
        <v>9704000203000</v>
      </c>
      <c r="F217" s="1" t="s">
        <v>454</v>
      </c>
      <c r="G217" s="1" t="s">
        <v>53</v>
      </c>
      <c r="H217" s="1" t="s">
        <v>488</v>
      </c>
      <c r="I217" s="1" t="s">
        <v>489</v>
      </c>
      <c r="J217" s="1" t="s">
        <v>164</v>
      </c>
      <c r="K217" t="s">
        <v>457</v>
      </c>
      <c r="M217" s="1" t="s">
        <v>58</v>
      </c>
      <c r="N217" s="1">
        <v>0</v>
      </c>
      <c r="O217" s="1" t="s">
        <v>36</v>
      </c>
      <c r="P217" s="11" t="s">
        <v>490</v>
      </c>
      <c r="R217" s="1" t="s">
        <v>38</v>
      </c>
      <c r="T217" s="1" t="s">
        <v>157</v>
      </c>
      <c r="U217" s="11" t="s">
        <v>491</v>
      </c>
      <c r="V217" s="1" t="s">
        <v>41</v>
      </c>
      <c r="W217" s="1" t="s">
        <v>49</v>
      </c>
      <c r="X217" s="13" t="str">
        <f t="shared" si="26"/>
        <v/>
      </c>
      <c r="Y217" s="2">
        <f t="shared" ca="1" si="21"/>
        <v>357</v>
      </c>
      <c r="Z217" s="14">
        <v>1</v>
      </c>
      <c r="AA217" s="1" t="str">
        <f t="shared" ca="1" si="22"/>
        <v>VENCIDO</v>
      </c>
      <c r="AB217" s="1" t="str">
        <f t="shared" si="23"/>
        <v>C-14</v>
      </c>
      <c r="AC217" s="2" t="str">
        <f t="shared" si="27"/>
        <v xml:space="preserve"> ROSEMERE </v>
      </c>
      <c r="AD217" s="2">
        <f t="shared" si="24"/>
        <v>5</v>
      </c>
      <c r="AE217" s="2">
        <f t="shared" ca="1" si="25"/>
        <v>-461.9262716435187</v>
      </c>
      <c r="AF217" s="15"/>
    </row>
    <row r="218" spans="1:32" hidden="1">
      <c r="A218" s="1">
        <v>8038627</v>
      </c>
      <c r="B218" s="1" t="s">
        <v>81</v>
      </c>
      <c r="C218" t="s">
        <v>240</v>
      </c>
      <c r="E218" s="2">
        <v>9704000206001</v>
      </c>
      <c r="F218" s="1" t="s">
        <v>29</v>
      </c>
      <c r="G218" s="1" t="s">
        <v>53</v>
      </c>
      <c r="H218" s="1" t="s">
        <v>488</v>
      </c>
      <c r="I218" s="1" t="s">
        <v>489</v>
      </c>
      <c r="J218" s="1" t="s">
        <v>164</v>
      </c>
      <c r="K218" t="s">
        <v>34</v>
      </c>
      <c r="M218" s="1" t="s">
        <v>35</v>
      </c>
      <c r="N218" s="1">
        <v>42318949</v>
      </c>
      <c r="O218" s="1" t="s">
        <v>36</v>
      </c>
      <c r="P218" s="11" t="s">
        <v>492</v>
      </c>
      <c r="R218" s="1" t="s">
        <v>38</v>
      </c>
      <c r="T218" s="1" t="s">
        <v>74</v>
      </c>
      <c r="U218" s="11" t="s">
        <v>493</v>
      </c>
      <c r="V218" s="1" t="s">
        <v>41</v>
      </c>
      <c r="W218" s="1" t="s">
        <v>49</v>
      </c>
      <c r="X218" s="13" t="str">
        <f t="shared" si="26"/>
        <v/>
      </c>
      <c r="Y218" s="2">
        <f t="shared" ca="1" si="21"/>
        <v>356</v>
      </c>
      <c r="Z218" s="14">
        <v>1</v>
      </c>
      <c r="AA218" s="1" t="str">
        <f t="shared" ca="1" si="22"/>
        <v>VENCIDO</v>
      </c>
      <c r="AB218" s="1" t="str">
        <f t="shared" si="23"/>
        <v>Dosa</v>
      </c>
      <c r="AC218" s="2" t="str">
        <f t="shared" si="27"/>
        <v xml:space="preserve"> ROSEMERE </v>
      </c>
      <c r="AD218" s="2">
        <f t="shared" si="24"/>
        <v>5</v>
      </c>
      <c r="AE218" s="2">
        <f t="shared" ca="1" si="25"/>
        <v>-495.99664201388805</v>
      </c>
      <c r="AF218" s="15"/>
    </row>
    <row r="219" spans="1:32" hidden="1">
      <c r="A219" s="1">
        <v>8038626</v>
      </c>
      <c r="B219" s="1" t="s">
        <v>81</v>
      </c>
      <c r="C219" t="s">
        <v>240</v>
      </c>
      <c r="E219" s="2">
        <v>9703000206001</v>
      </c>
      <c r="F219" s="1" t="s">
        <v>29</v>
      </c>
      <c r="G219" s="1" t="s">
        <v>53</v>
      </c>
      <c r="H219" s="1" t="s">
        <v>494</v>
      </c>
      <c r="I219" s="1" t="s">
        <v>495</v>
      </c>
      <c r="J219" s="1" t="s">
        <v>79</v>
      </c>
      <c r="K219" t="s">
        <v>34</v>
      </c>
      <c r="M219" s="1" t="s">
        <v>35</v>
      </c>
      <c r="N219" s="1">
        <v>42318949</v>
      </c>
      <c r="O219" s="1" t="s">
        <v>36</v>
      </c>
      <c r="P219" s="11" t="s">
        <v>492</v>
      </c>
      <c r="R219" s="1" t="s">
        <v>38</v>
      </c>
      <c r="T219" s="1" t="s">
        <v>74</v>
      </c>
      <c r="U219" s="11" t="s">
        <v>493</v>
      </c>
      <c r="V219" s="1" t="s">
        <v>41</v>
      </c>
      <c r="W219" s="1" t="s">
        <v>49</v>
      </c>
      <c r="X219" s="13" t="str">
        <f t="shared" si="26"/>
        <v/>
      </c>
      <c r="Y219" s="2">
        <f t="shared" ca="1" si="21"/>
        <v>356</v>
      </c>
      <c r="Z219" s="14">
        <v>1</v>
      </c>
      <c r="AA219" s="1" t="str">
        <f t="shared" ca="1" si="22"/>
        <v>VENCIDO</v>
      </c>
      <c r="AB219" s="1" t="str">
        <f t="shared" si="23"/>
        <v>Dosa</v>
      </c>
      <c r="AC219" s="2" t="str">
        <f t="shared" si="27"/>
        <v xml:space="preserve"> ROSEMERE </v>
      </c>
      <c r="AD219" s="2">
        <f t="shared" si="24"/>
        <v>5</v>
      </c>
      <c r="AE219" s="2">
        <f t="shared" ca="1" si="25"/>
        <v>-495.99664201388805</v>
      </c>
      <c r="AF219" s="15"/>
    </row>
    <row r="220" spans="1:32" hidden="1">
      <c r="A220" s="1">
        <v>8038016</v>
      </c>
      <c r="B220" s="1" t="s">
        <v>81</v>
      </c>
      <c r="C220" t="s">
        <v>240</v>
      </c>
      <c r="E220" s="2">
        <v>3613200206001</v>
      </c>
      <c r="F220" s="1" t="s">
        <v>29</v>
      </c>
      <c r="G220" s="1" t="s">
        <v>53</v>
      </c>
      <c r="H220" s="1" t="s">
        <v>496</v>
      </c>
      <c r="I220" s="1" t="s">
        <v>198</v>
      </c>
      <c r="J220" s="1" t="s">
        <v>46</v>
      </c>
      <c r="K220" t="s">
        <v>34</v>
      </c>
      <c r="M220" s="1" t="s">
        <v>35</v>
      </c>
      <c r="N220" s="1">
        <v>42318949</v>
      </c>
      <c r="O220" s="1" t="s">
        <v>36</v>
      </c>
      <c r="P220" s="11" t="s">
        <v>497</v>
      </c>
      <c r="R220" s="1" t="s">
        <v>38</v>
      </c>
      <c r="T220" s="1" t="s">
        <v>74</v>
      </c>
      <c r="U220" s="11" t="s">
        <v>498</v>
      </c>
      <c r="V220" s="1" t="s">
        <v>41</v>
      </c>
      <c r="W220" s="1" t="s">
        <v>49</v>
      </c>
      <c r="X220" s="13" t="str">
        <f t="shared" si="26"/>
        <v>3613.20</v>
      </c>
      <c r="Y220" s="2">
        <f t="shared" ca="1" si="21"/>
        <v>356</v>
      </c>
      <c r="Z220" s="14">
        <v>1</v>
      </c>
      <c r="AA220" s="1" t="str">
        <f t="shared" ca="1" si="22"/>
        <v>VENCIDO</v>
      </c>
      <c r="AB220" s="1" t="str">
        <f t="shared" si="23"/>
        <v>Dosa</v>
      </c>
      <c r="AC220" s="2" t="str">
        <f t="shared" si="27"/>
        <v xml:space="preserve"> CLEITON </v>
      </c>
      <c r="AD220" s="2">
        <f t="shared" si="24"/>
        <v>5</v>
      </c>
      <c r="AE220" s="2">
        <f t="shared" ca="1" si="25"/>
        <v>-495.99757951388892</v>
      </c>
      <c r="AF220" s="15"/>
    </row>
    <row r="221" spans="1:32" hidden="1">
      <c r="A221" s="1">
        <v>8037912</v>
      </c>
      <c r="B221" s="1" t="s">
        <v>81</v>
      </c>
      <c r="C221" t="s">
        <v>240</v>
      </c>
      <c r="E221" s="2">
        <v>3234160206001</v>
      </c>
      <c r="F221" s="1" t="s">
        <v>29</v>
      </c>
      <c r="G221" s="1" t="s">
        <v>53</v>
      </c>
      <c r="H221" s="1" t="s">
        <v>499</v>
      </c>
      <c r="I221" s="1" t="s">
        <v>500</v>
      </c>
      <c r="J221" s="1" t="s">
        <v>46</v>
      </c>
      <c r="K221" t="s">
        <v>34</v>
      </c>
      <c r="M221" s="1" t="s">
        <v>35</v>
      </c>
      <c r="N221" s="1">
        <v>42318949</v>
      </c>
      <c r="O221" s="1" t="s">
        <v>36</v>
      </c>
      <c r="P221" s="11" t="s">
        <v>501</v>
      </c>
      <c r="R221" s="1" t="s">
        <v>38</v>
      </c>
      <c r="T221" s="1" t="s">
        <v>74</v>
      </c>
      <c r="U221" s="11" t="s">
        <v>502</v>
      </c>
      <c r="V221" s="1" t="s">
        <v>41</v>
      </c>
      <c r="W221" s="1" t="s">
        <v>49</v>
      </c>
      <c r="X221" s="13" t="str">
        <f t="shared" si="26"/>
        <v>3234.16</v>
      </c>
      <c r="Y221" s="2">
        <f t="shared" ca="1" si="21"/>
        <v>356</v>
      </c>
      <c r="Z221" s="14">
        <v>1</v>
      </c>
      <c r="AA221" s="1" t="str">
        <f t="shared" ca="1" si="22"/>
        <v>VENCIDO</v>
      </c>
      <c r="AB221" s="1" t="str">
        <f t="shared" si="23"/>
        <v>Dosa</v>
      </c>
      <c r="AC221" s="2" t="str">
        <f t="shared" si="27"/>
        <v xml:space="preserve"> CLEITON </v>
      </c>
      <c r="AD221" s="2">
        <f t="shared" si="24"/>
        <v>5</v>
      </c>
      <c r="AE221" s="2">
        <f t="shared" ca="1" si="25"/>
        <v>-495.99775312499696</v>
      </c>
      <c r="AF221" s="15"/>
    </row>
    <row r="222" spans="1:32" hidden="1">
      <c r="A222" s="1">
        <v>8037881</v>
      </c>
      <c r="B222" s="1" t="s">
        <v>81</v>
      </c>
      <c r="C222" t="s">
        <v>240</v>
      </c>
      <c r="E222" s="2">
        <v>3108010206001</v>
      </c>
      <c r="F222" s="1" t="s">
        <v>29</v>
      </c>
      <c r="G222" s="1" t="s">
        <v>53</v>
      </c>
      <c r="H222" s="1" t="s">
        <v>503</v>
      </c>
      <c r="I222" s="1" t="s">
        <v>504</v>
      </c>
      <c r="J222" s="1" t="s">
        <v>46</v>
      </c>
      <c r="K222" t="s">
        <v>34</v>
      </c>
      <c r="M222" s="1" t="s">
        <v>35</v>
      </c>
      <c r="N222" s="1">
        <v>42318949</v>
      </c>
      <c r="O222" s="1" t="s">
        <v>36</v>
      </c>
      <c r="P222" s="12">
        <v>44489.678483796299</v>
      </c>
      <c r="R222" s="1" t="s">
        <v>38</v>
      </c>
      <c r="T222" s="1" t="s">
        <v>74</v>
      </c>
      <c r="U222" s="12">
        <v>44490.678483796299</v>
      </c>
      <c r="V222" s="1" t="s">
        <v>41</v>
      </c>
      <c r="W222" s="1" t="s">
        <v>49</v>
      </c>
      <c r="X222" s="13" t="str">
        <f t="shared" si="26"/>
        <v>3108.01</v>
      </c>
      <c r="Y222" s="2">
        <f t="shared" ca="1" si="21"/>
        <v>356</v>
      </c>
      <c r="Z222" s="14">
        <v>1</v>
      </c>
      <c r="AA222" s="1" t="str">
        <f t="shared" ca="1" si="22"/>
        <v>VENCIDO</v>
      </c>
      <c r="AB222" s="1" t="str">
        <f t="shared" si="23"/>
        <v>Dosa</v>
      </c>
      <c r="AC222" s="2" t="str">
        <f t="shared" si="27"/>
        <v xml:space="preserve"> CLEITON </v>
      </c>
      <c r="AD222" s="2">
        <f t="shared" si="24"/>
        <v>5</v>
      </c>
      <c r="AE222" s="2">
        <f t="shared" ca="1" si="25"/>
        <v>-495.99778784722002</v>
      </c>
      <c r="AF222" s="15"/>
    </row>
    <row r="223" spans="1:32" hidden="1">
      <c r="A223" s="1">
        <v>8037734</v>
      </c>
      <c r="B223" s="1" t="s">
        <v>81</v>
      </c>
      <c r="C223" t="s">
        <v>240</v>
      </c>
      <c r="E223" s="2">
        <v>2413000206001</v>
      </c>
      <c r="F223" s="1" t="s">
        <v>29</v>
      </c>
      <c r="G223" s="1" t="s">
        <v>53</v>
      </c>
      <c r="H223" s="1" t="s">
        <v>505</v>
      </c>
      <c r="I223" s="1" t="s">
        <v>506</v>
      </c>
      <c r="J223" s="1" t="s">
        <v>141</v>
      </c>
      <c r="K223" t="s">
        <v>34</v>
      </c>
      <c r="M223" s="1" t="s">
        <v>35</v>
      </c>
      <c r="N223" s="1">
        <v>42318949</v>
      </c>
      <c r="O223" s="1" t="s">
        <v>36</v>
      </c>
      <c r="P223" s="11" t="s">
        <v>507</v>
      </c>
      <c r="R223" s="1" t="s">
        <v>38</v>
      </c>
      <c r="T223" s="1" t="s">
        <v>74</v>
      </c>
      <c r="U223" s="11" t="s">
        <v>508</v>
      </c>
      <c r="V223" s="1" t="s">
        <v>41</v>
      </c>
      <c r="W223" s="1" t="s">
        <v>49</v>
      </c>
      <c r="X223" s="13" t="str">
        <f t="shared" si="26"/>
        <v/>
      </c>
      <c r="Y223" s="2">
        <f t="shared" ca="1" si="21"/>
        <v>356</v>
      </c>
      <c r="Z223" s="14">
        <v>1</v>
      </c>
      <c r="AA223" s="1" t="str">
        <f t="shared" ca="1" si="22"/>
        <v>VENCIDO</v>
      </c>
      <c r="AB223" s="1" t="str">
        <f t="shared" si="23"/>
        <v>Dosa</v>
      </c>
      <c r="AC223" s="2" t="str">
        <f t="shared" si="27"/>
        <v xml:space="preserve"> CRISTINA </v>
      </c>
      <c r="AD223" s="2">
        <f t="shared" si="24"/>
        <v>5</v>
      </c>
      <c r="AE223" s="2">
        <f t="shared" ca="1" si="25"/>
        <v>-495.99806562499725</v>
      </c>
      <c r="AF223" s="15"/>
    </row>
    <row r="224" spans="1:32" hidden="1">
      <c r="A224" s="1">
        <v>8037079</v>
      </c>
      <c r="B224" s="1" t="s">
        <v>81</v>
      </c>
      <c r="C224" t="s">
        <v>240</v>
      </c>
      <c r="E224" s="2">
        <v>7740206001</v>
      </c>
      <c r="F224" s="1" t="s">
        <v>29</v>
      </c>
      <c r="G224" s="1" t="s">
        <v>53</v>
      </c>
      <c r="H224" s="1" t="s">
        <v>187</v>
      </c>
      <c r="I224" s="1" t="s">
        <v>188</v>
      </c>
      <c r="J224" s="1" t="s">
        <v>46</v>
      </c>
      <c r="K224" t="s">
        <v>34</v>
      </c>
      <c r="M224" s="1" t="s">
        <v>35</v>
      </c>
      <c r="N224" s="1">
        <v>42318949</v>
      </c>
      <c r="O224" s="1" t="s">
        <v>36</v>
      </c>
      <c r="P224" s="11" t="s">
        <v>509</v>
      </c>
      <c r="R224" s="1" t="s">
        <v>38</v>
      </c>
      <c r="T224" s="1" t="s">
        <v>74</v>
      </c>
      <c r="U224" s="11" t="s">
        <v>510</v>
      </c>
      <c r="V224" s="1" t="s">
        <v>41</v>
      </c>
      <c r="W224" s="1" t="s">
        <v>49</v>
      </c>
      <c r="X224" s="13" t="str">
        <f t="shared" si="26"/>
        <v>0007.74</v>
      </c>
      <c r="Y224" s="2">
        <f t="shared" ca="1" si="21"/>
        <v>356</v>
      </c>
      <c r="Z224" s="14">
        <v>1</v>
      </c>
      <c r="AA224" s="1" t="str">
        <f t="shared" ca="1" si="22"/>
        <v>VENCIDO</v>
      </c>
      <c r="AB224" s="1" t="str">
        <f t="shared" si="23"/>
        <v>Dosa</v>
      </c>
      <c r="AC224" s="2" t="str">
        <f t="shared" si="27"/>
        <v xml:space="preserve"> CLEITON </v>
      </c>
      <c r="AD224" s="2">
        <f t="shared" si="24"/>
        <v>5</v>
      </c>
      <c r="AE224" s="2">
        <f t="shared" ca="1" si="25"/>
        <v>-495.9991304398136</v>
      </c>
      <c r="AF224" s="15"/>
    </row>
    <row r="225" spans="1:32" hidden="1">
      <c r="A225" s="1">
        <v>8050725</v>
      </c>
      <c r="B225" s="1" t="s">
        <v>62</v>
      </c>
      <c r="C225" t="s">
        <v>511</v>
      </c>
      <c r="E225" s="2">
        <v>4997000206001</v>
      </c>
      <c r="F225" s="1" t="s">
        <v>29</v>
      </c>
      <c r="G225" s="1" t="s">
        <v>53</v>
      </c>
      <c r="H225" s="1" t="s">
        <v>406</v>
      </c>
      <c r="I225" s="1" t="s">
        <v>407</v>
      </c>
      <c r="J225" s="1" t="s">
        <v>79</v>
      </c>
      <c r="K225" t="s">
        <v>34</v>
      </c>
      <c r="M225" s="1" t="s">
        <v>35</v>
      </c>
      <c r="N225" s="1">
        <v>42318949</v>
      </c>
      <c r="O225" s="1" t="s">
        <v>105</v>
      </c>
      <c r="P225" s="11" t="s">
        <v>512</v>
      </c>
      <c r="R225" s="1" t="s">
        <v>38</v>
      </c>
      <c r="T225" s="1" t="s">
        <v>74</v>
      </c>
      <c r="U225" s="11" t="s">
        <v>513</v>
      </c>
      <c r="V225" s="1" t="s">
        <v>41</v>
      </c>
      <c r="W225" s="1" t="s">
        <v>49</v>
      </c>
      <c r="X225" s="13" t="str">
        <f t="shared" si="26"/>
        <v/>
      </c>
      <c r="Y225" s="2">
        <f t="shared" ca="1" si="21"/>
        <v>353</v>
      </c>
      <c r="Z225" s="14">
        <v>1</v>
      </c>
      <c r="AA225" s="1" t="str">
        <f t="shared" ca="1" si="22"/>
        <v>VENCIDO</v>
      </c>
      <c r="AB225" s="1" t="str">
        <f t="shared" si="23"/>
        <v>Dosa</v>
      </c>
      <c r="AC225" s="2" t="str">
        <f t="shared" si="27"/>
        <v xml:space="preserve"> ROSEMERE </v>
      </c>
      <c r="AD225" s="2">
        <f t="shared" si="24"/>
        <v>5</v>
      </c>
      <c r="AE225" s="2">
        <f t="shared" ca="1" si="25"/>
        <v>-448.9262716435187</v>
      </c>
      <c r="AF225" s="15"/>
    </row>
    <row r="226" spans="1:32" hidden="1">
      <c r="A226" s="1">
        <v>8127356</v>
      </c>
      <c r="B226" s="1" t="s">
        <v>62</v>
      </c>
      <c r="C226" t="s">
        <v>514</v>
      </c>
      <c r="E226" s="2">
        <v>537000206001</v>
      </c>
      <c r="F226" s="1" t="s">
        <v>29</v>
      </c>
      <c r="G226" s="1" t="s">
        <v>53</v>
      </c>
      <c r="H226" s="1" t="s">
        <v>442</v>
      </c>
      <c r="I226" s="1" t="s">
        <v>443</v>
      </c>
      <c r="J226" s="1" t="s">
        <v>79</v>
      </c>
      <c r="K226" t="s">
        <v>34</v>
      </c>
      <c r="M226" s="1" t="s">
        <v>35</v>
      </c>
      <c r="N226" s="1">
        <v>42318949</v>
      </c>
      <c r="O226" s="1" t="s">
        <v>36</v>
      </c>
      <c r="P226" s="12">
        <v>44518.723263888889</v>
      </c>
      <c r="R226" s="1" t="s">
        <v>38</v>
      </c>
      <c r="T226" s="1" t="s">
        <v>74</v>
      </c>
      <c r="U226" s="12">
        <v>44560.75</v>
      </c>
      <c r="V226" s="1" t="s">
        <v>41</v>
      </c>
      <c r="W226" s="1" t="s">
        <v>49</v>
      </c>
      <c r="X226" s="13" t="str">
        <f t="shared" si="26"/>
        <v/>
      </c>
      <c r="Y226" s="2">
        <f t="shared" ca="1" si="21"/>
        <v>335</v>
      </c>
      <c r="Z226" s="14">
        <v>1</v>
      </c>
      <c r="AA226" s="1" t="str">
        <f t="shared" ca="1" si="22"/>
        <v>VENCIDO</v>
      </c>
      <c r="AB226" s="1" t="str">
        <f t="shared" si="23"/>
        <v>Dosa</v>
      </c>
      <c r="AC226" s="2" t="str">
        <f t="shared" si="27"/>
        <v xml:space="preserve"> ROSEMERE </v>
      </c>
      <c r="AD226" s="2">
        <f t="shared" si="24"/>
        <v>5</v>
      </c>
      <c r="AE226" s="2">
        <f t="shared" ca="1" si="25"/>
        <v>-425.9262716435187</v>
      </c>
      <c r="AF226" s="15"/>
    </row>
    <row r="227" spans="1:32" hidden="1">
      <c r="A227" s="1">
        <v>8130031</v>
      </c>
      <c r="B227" s="1" t="s">
        <v>62</v>
      </c>
      <c r="C227" t="s">
        <v>515</v>
      </c>
      <c r="E227" s="2">
        <v>5742000206001</v>
      </c>
      <c r="F227" s="1" t="s">
        <v>29</v>
      </c>
      <c r="G227" s="1" t="s">
        <v>53</v>
      </c>
      <c r="H227" s="1" t="s">
        <v>430</v>
      </c>
      <c r="I227" s="1" t="s">
        <v>431</v>
      </c>
      <c r="J227" s="1" t="s">
        <v>79</v>
      </c>
      <c r="K227" t="s">
        <v>34</v>
      </c>
      <c r="M227" s="1" t="s">
        <v>35</v>
      </c>
      <c r="N227" s="1">
        <v>42318949</v>
      </c>
      <c r="O227" s="1" t="s">
        <v>105</v>
      </c>
      <c r="P227" s="11" t="s">
        <v>516</v>
      </c>
      <c r="R227" s="1" t="s">
        <v>38</v>
      </c>
      <c r="T227" s="1" t="s">
        <v>74</v>
      </c>
      <c r="U227" s="11" t="s">
        <v>517</v>
      </c>
      <c r="V227" s="1" t="s">
        <v>41</v>
      </c>
      <c r="W227" s="1" t="s">
        <v>49</v>
      </c>
      <c r="X227" s="13" t="str">
        <f t="shared" si="26"/>
        <v/>
      </c>
      <c r="Y227" s="2">
        <f t="shared" ca="1" si="21"/>
        <v>334</v>
      </c>
      <c r="Z227" s="14">
        <v>1</v>
      </c>
      <c r="AA227" s="1" t="str">
        <f t="shared" ca="1" si="22"/>
        <v>VENCIDO</v>
      </c>
      <c r="AB227" s="1" t="str">
        <f t="shared" si="23"/>
        <v>Dosa</v>
      </c>
      <c r="AC227" s="2" t="str">
        <f t="shared" si="27"/>
        <v xml:space="preserve"> ROSEMERE </v>
      </c>
      <c r="AD227" s="2">
        <f t="shared" si="24"/>
        <v>5</v>
      </c>
      <c r="AE227" s="2">
        <f t="shared" ca="1" si="25"/>
        <v>-424.9262716435187</v>
      </c>
      <c r="AF227" s="15"/>
    </row>
    <row r="228" spans="1:32">
      <c r="A228" s="1">
        <v>8139932</v>
      </c>
      <c r="B228" s="1" t="s">
        <v>81</v>
      </c>
      <c r="C228" t="s">
        <v>518</v>
      </c>
      <c r="E228" s="2">
        <v>7419141893543</v>
      </c>
      <c r="F228" s="1" t="s">
        <v>128</v>
      </c>
      <c r="G228" s="1" t="s">
        <v>53</v>
      </c>
      <c r="H228" s="1" t="s">
        <v>519</v>
      </c>
      <c r="I228" s="1" t="s">
        <v>520</v>
      </c>
      <c r="J228" s="1" t="s">
        <v>90</v>
      </c>
      <c r="K228" t="s">
        <v>129</v>
      </c>
      <c r="M228" s="1" t="s">
        <v>58</v>
      </c>
      <c r="N228" s="1">
        <v>0</v>
      </c>
      <c r="O228" s="1" t="s">
        <v>105</v>
      </c>
      <c r="P228" s="11" t="s">
        <v>521</v>
      </c>
      <c r="R228" s="1">
        <v>14</v>
      </c>
      <c r="T228" s="1" t="s">
        <v>238</v>
      </c>
      <c r="U228" s="11" t="s">
        <v>522</v>
      </c>
      <c r="V228" s="1" t="s">
        <v>41</v>
      </c>
      <c r="W228" s="1" t="s">
        <v>49</v>
      </c>
      <c r="X228" s="13" t="str">
        <f t="shared" si="26"/>
        <v>0870.91</v>
      </c>
      <c r="Y228" s="2">
        <f t="shared" ca="1" si="21"/>
        <v>331</v>
      </c>
      <c r="Z228" s="14">
        <v>1</v>
      </c>
      <c r="AA228" s="1" t="str">
        <f t="shared" ca="1" si="22"/>
        <v>VENCIDO</v>
      </c>
      <c r="AB228" s="1" t="str">
        <f t="shared" si="23"/>
        <v>TAAe+</v>
      </c>
      <c r="AC228" s="2" t="str">
        <f t="shared" si="27"/>
        <v xml:space="preserve"> RINALDO </v>
      </c>
      <c r="AD228" s="2">
        <f t="shared" si="24"/>
        <v>8</v>
      </c>
      <c r="AE228" s="2">
        <f t="shared" ca="1" si="25"/>
        <v>-461.65576238426002</v>
      </c>
      <c r="AF228" s="15"/>
    </row>
    <row r="229" spans="1:32">
      <c r="A229" s="1">
        <v>8139913</v>
      </c>
      <c r="B229" s="1" t="s">
        <v>81</v>
      </c>
      <c r="C229" t="s">
        <v>518</v>
      </c>
      <c r="E229" s="2">
        <v>7417163284512</v>
      </c>
      <c r="F229" s="1" t="s">
        <v>131</v>
      </c>
      <c r="G229" s="1" t="s">
        <v>53</v>
      </c>
      <c r="H229" s="1" t="s">
        <v>519</v>
      </c>
      <c r="I229" s="1" t="s">
        <v>520</v>
      </c>
      <c r="J229" s="1" t="s">
        <v>90</v>
      </c>
      <c r="K229" t="s">
        <v>132</v>
      </c>
      <c r="M229" s="1" t="s">
        <v>58</v>
      </c>
      <c r="N229" s="1">
        <v>0</v>
      </c>
      <c r="O229" s="1" t="s">
        <v>105</v>
      </c>
      <c r="P229" s="11" t="s">
        <v>523</v>
      </c>
      <c r="R229" s="1">
        <v>14</v>
      </c>
      <c r="T229" s="1" t="s">
        <v>238</v>
      </c>
      <c r="U229" s="11" t="s">
        <v>524</v>
      </c>
      <c r="V229" s="1" t="s">
        <v>41</v>
      </c>
      <c r="W229" s="1" t="s">
        <v>49</v>
      </c>
      <c r="X229" s="13" t="str">
        <f t="shared" si="26"/>
        <v>0870.91</v>
      </c>
      <c r="Y229" s="2">
        <f t="shared" ca="1" si="21"/>
        <v>331</v>
      </c>
      <c r="Z229" s="14">
        <v>1</v>
      </c>
      <c r="AA229" s="1" t="str">
        <f t="shared" ca="1" si="22"/>
        <v>VENCIDO</v>
      </c>
      <c r="AB229" s="1" t="str">
        <f t="shared" si="23"/>
        <v>TAAe+</v>
      </c>
      <c r="AC229" s="2" t="str">
        <f t="shared" si="27"/>
        <v xml:space="preserve"> RINALDO </v>
      </c>
      <c r="AD229" s="2">
        <f t="shared" si="24"/>
        <v>8</v>
      </c>
      <c r="AE229" s="2">
        <f t="shared" ca="1" si="25"/>
        <v>-461.6557855324063</v>
      </c>
      <c r="AF229" s="15"/>
    </row>
    <row r="230" spans="1:32" hidden="1">
      <c r="A230" s="1">
        <v>8253667</v>
      </c>
      <c r="B230" s="1" t="s">
        <v>62</v>
      </c>
      <c r="C230" t="s">
        <v>525</v>
      </c>
      <c r="E230" s="2">
        <v>1902016589800</v>
      </c>
      <c r="F230" s="1" t="s">
        <v>64</v>
      </c>
      <c r="G230" s="1" t="s">
        <v>53</v>
      </c>
      <c r="H230" s="1" t="s">
        <v>365</v>
      </c>
      <c r="I230" s="1" t="s">
        <v>366</v>
      </c>
      <c r="J230" s="1" t="s">
        <v>164</v>
      </c>
      <c r="K230" t="s">
        <v>67</v>
      </c>
      <c r="M230" s="1" t="s">
        <v>35</v>
      </c>
      <c r="N230" s="1">
        <v>42318949</v>
      </c>
      <c r="O230" s="1" t="s">
        <v>36</v>
      </c>
      <c r="P230" s="11" t="s">
        <v>526</v>
      </c>
      <c r="R230" s="1">
        <v>1</v>
      </c>
      <c r="T230" s="1" t="s">
        <v>69</v>
      </c>
      <c r="U230" s="11" t="s">
        <v>527</v>
      </c>
      <c r="V230" s="1" t="s">
        <v>41</v>
      </c>
      <c r="W230" s="1" t="s">
        <v>49</v>
      </c>
      <c r="X230" s="13" t="str">
        <f t="shared" si="26"/>
        <v/>
      </c>
      <c r="Y230" s="2">
        <f t="shared" ca="1" si="21"/>
        <v>302</v>
      </c>
      <c r="Z230" s="14">
        <v>1</v>
      </c>
      <c r="AA230" s="1" t="str">
        <f t="shared" ca="1" si="22"/>
        <v>VENCIDO</v>
      </c>
      <c r="AB230" s="1" t="str">
        <f t="shared" si="23"/>
        <v>TAAe+</v>
      </c>
      <c r="AC230" s="2" t="str">
        <f t="shared" si="27"/>
        <v xml:space="preserve"> ROSEMERE </v>
      </c>
      <c r="AD230" s="2">
        <f t="shared" si="24"/>
        <v>8</v>
      </c>
      <c r="AE230" s="2">
        <f t="shared" ca="1" si="25"/>
        <v>-420.22452395833534</v>
      </c>
      <c r="AF230" s="15"/>
    </row>
    <row r="231" spans="1:32" hidden="1">
      <c r="A231" s="1">
        <v>8253660</v>
      </c>
      <c r="B231" s="1" t="s">
        <v>62</v>
      </c>
      <c r="C231" t="s">
        <v>525</v>
      </c>
      <c r="E231" s="2">
        <v>1902016083400</v>
      </c>
      <c r="F231" s="1" t="s">
        <v>64</v>
      </c>
      <c r="G231" s="1" t="s">
        <v>53</v>
      </c>
      <c r="H231" s="1" t="s">
        <v>367</v>
      </c>
      <c r="I231" s="1" t="s">
        <v>368</v>
      </c>
      <c r="J231" s="1" t="s">
        <v>261</v>
      </c>
      <c r="K231" t="s">
        <v>67</v>
      </c>
      <c r="M231" s="1" t="s">
        <v>35</v>
      </c>
      <c r="N231" s="1">
        <v>42318949</v>
      </c>
      <c r="O231" s="1" t="s">
        <v>36</v>
      </c>
      <c r="P231" s="11" t="s">
        <v>528</v>
      </c>
      <c r="R231" s="1">
        <v>1</v>
      </c>
      <c r="T231" s="1" t="s">
        <v>69</v>
      </c>
      <c r="U231" s="11" t="s">
        <v>529</v>
      </c>
      <c r="V231" s="1" t="s">
        <v>41</v>
      </c>
      <c r="W231" s="1" t="s">
        <v>49</v>
      </c>
      <c r="X231" s="13" t="str">
        <f t="shared" si="26"/>
        <v/>
      </c>
      <c r="Y231" s="2">
        <f t="shared" ca="1" si="21"/>
        <v>302</v>
      </c>
      <c r="Z231" s="14">
        <v>1</v>
      </c>
      <c r="AA231" s="1" t="str">
        <f t="shared" ca="1" si="22"/>
        <v>VENCIDO</v>
      </c>
      <c r="AB231" s="1" t="str">
        <f t="shared" si="23"/>
        <v>TAAe+</v>
      </c>
      <c r="AC231" s="2" t="str">
        <f t="shared" si="27"/>
        <v xml:space="preserve"> CRISTINA </v>
      </c>
      <c r="AD231" s="2">
        <f t="shared" si="24"/>
        <v>8</v>
      </c>
      <c r="AE231" s="2">
        <f t="shared" ca="1" si="25"/>
        <v>-420.22453553240484</v>
      </c>
      <c r="AF231" s="15"/>
    </row>
    <row r="232" spans="1:32">
      <c r="A232" s="1">
        <v>8253659</v>
      </c>
      <c r="B232" s="1" t="s">
        <v>62</v>
      </c>
      <c r="C232" t="s">
        <v>525</v>
      </c>
      <c r="E232" s="2">
        <v>1902016057000</v>
      </c>
      <c r="F232" s="1" t="s">
        <v>64</v>
      </c>
      <c r="G232" s="1" t="s">
        <v>53</v>
      </c>
      <c r="H232" s="1" t="s">
        <v>434</v>
      </c>
      <c r="I232" s="1" t="s">
        <v>435</v>
      </c>
      <c r="J232" s="1" t="s">
        <v>148</v>
      </c>
      <c r="K232" t="s">
        <v>67</v>
      </c>
      <c r="M232" s="1" t="s">
        <v>35</v>
      </c>
      <c r="N232" s="1">
        <v>42318949</v>
      </c>
      <c r="O232" s="1" t="s">
        <v>36</v>
      </c>
      <c r="P232" s="11" t="s">
        <v>528</v>
      </c>
      <c r="R232" s="1">
        <v>1</v>
      </c>
      <c r="T232" s="1" t="s">
        <v>69</v>
      </c>
      <c r="U232" s="11" t="s">
        <v>529</v>
      </c>
      <c r="V232" s="1" t="s">
        <v>41</v>
      </c>
      <c r="W232" s="1" t="s">
        <v>49</v>
      </c>
      <c r="X232" s="13" t="str">
        <f t="shared" si="26"/>
        <v/>
      </c>
      <c r="Y232" s="2">
        <f t="shared" ca="1" si="21"/>
        <v>302</v>
      </c>
      <c r="Z232" s="14">
        <v>1</v>
      </c>
      <c r="AA232" s="1" t="str">
        <f t="shared" ca="1" si="22"/>
        <v>VENCIDO</v>
      </c>
      <c r="AB232" s="1" t="str">
        <f t="shared" si="23"/>
        <v>TAAe+</v>
      </c>
      <c r="AC232" s="2" t="str">
        <f t="shared" si="27"/>
        <v xml:space="preserve"> RINALDO </v>
      </c>
      <c r="AD232" s="2">
        <f t="shared" si="24"/>
        <v>8</v>
      </c>
      <c r="AE232" s="2">
        <f t="shared" ca="1" si="25"/>
        <v>-420.22453553240484</v>
      </c>
      <c r="AF232" s="15"/>
    </row>
    <row r="233" spans="1:32" hidden="1">
      <c r="A233" s="1">
        <v>8253658</v>
      </c>
      <c r="B233" s="1" t="s">
        <v>62</v>
      </c>
      <c r="C233" t="s">
        <v>525</v>
      </c>
      <c r="E233" s="2">
        <v>1902016044600</v>
      </c>
      <c r="F233" s="1" t="s">
        <v>64</v>
      </c>
      <c r="G233" s="1" t="s">
        <v>53</v>
      </c>
      <c r="H233" s="1" t="s">
        <v>432</v>
      </c>
      <c r="I233" s="1" t="s">
        <v>433</v>
      </c>
      <c r="J233" s="1" t="s">
        <v>141</v>
      </c>
      <c r="K233" t="s">
        <v>67</v>
      </c>
      <c r="M233" s="1" t="s">
        <v>35</v>
      </c>
      <c r="N233" s="1">
        <v>42318949</v>
      </c>
      <c r="O233" s="1" t="s">
        <v>36</v>
      </c>
      <c r="P233" s="11" t="s">
        <v>528</v>
      </c>
      <c r="R233" s="1">
        <v>1</v>
      </c>
      <c r="T233" s="1" t="s">
        <v>69</v>
      </c>
      <c r="U233" s="11" t="s">
        <v>529</v>
      </c>
      <c r="V233" s="1" t="s">
        <v>41</v>
      </c>
      <c r="W233" s="1" t="s">
        <v>49</v>
      </c>
      <c r="X233" s="13" t="str">
        <f t="shared" si="26"/>
        <v/>
      </c>
      <c r="Y233" s="2">
        <f t="shared" ca="1" si="21"/>
        <v>302</v>
      </c>
      <c r="Z233" s="14">
        <v>1</v>
      </c>
      <c r="AA233" s="1" t="str">
        <f t="shared" ca="1" si="22"/>
        <v>VENCIDO</v>
      </c>
      <c r="AB233" s="1" t="str">
        <f t="shared" si="23"/>
        <v>TAAe+</v>
      </c>
      <c r="AC233" s="2" t="str">
        <f t="shared" si="27"/>
        <v xml:space="preserve"> CRISTINA </v>
      </c>
      <c r="AD233" s="2">
        <f t="shared" si="24"/>
        <v>8</v>
      </c>
      <c r="AE233" s="2">
        <f t="shared" ca="1" si="25"/>
        <v>-420.22453553240484</v>
      </c>
      <c r="AF233" s="15"/>
    </row>
    <row r="234" spans="1:32" hidden="1">
      <c r="A234" s="1">
        <v>8253656</v>
      </c>
      <c r="B234" s="1" t="s">
        <v>62</v>
      </c>
      <c r="C234" t="s">
        <v>525</v>
      </c>
      <c r="E234" s="2">
        <v>1902016015900</v>
      </c>
      <c r="F234" s="1" t="s">
        <v>64</v>
      </c>
      <c r="G234" s="1" t="s">
        <v>53</v>
      </c>
      <c r="H234" s="1" t="s">
        <v>331</v>
      </c>
      <c r="I234" s="1" t="s">
        <v>332</v>
      </c>
      <c r="J234" s="1" t="s">
        <v>79</v>
      </c>
      <c r="K234" t="s">
        <v>67</v>
      </c>
      <c r="M234" s="1" t="s">
        <v>35</v>
      </c>
      <c r="N234" s="1">
        <v>42318949</v>
      </c>
      <c r="O234" s="1" t="s">
        <v>36</v>
      </c>
      <c r="P234" s="11" t="s">
        <v>528</v>
      </c>
      <c r="R234" s="1">
        <v>1</v>
      </c>
      <c r="T234" s="1" t="s">
        <v>69</v>
      </c>
      <c r="U234" s="11" t="s">
        <v>529</v>
      </c>
      <c r="V234" s="1" t="s">
        <v>41</v>
      </c>
      <c r="W234" s="1" t="s">
        <v>49</v>
      </c>
      <c r="X234" s="13" t="str">
        <f t="shared" si="26"/>
        <v/>
      </c>
      <c r="Y234" s="2">
        <f t="shared" ca="1" si="21"/>
        <v>302</v>
      </c>
      <c r="Z234" s="14">
        <v>1</v>
      </c>
      <c r="AA234" s="1" t="str">
        <f t="shared" ca="1" si="22"/>
        <v>VENCIDO</v>
      </c>
      <c r="AB234" s="1" t="str">
        <f t="shared" si="23"/>
        <v>TAAe+</v>
      </c>
      <c r="AC234" s="2" t="str">
        <f t="shared" si="27"/>
        <v xml:space="preserve"> ROSEMERE </v>
      </c>
      <c r="AD234" s="2">
        <f t="shared" si="24"/>
        <v>8</v>
      </c>
      <c r="AE234" s="2">
        <f t="shared" ca="1" si="25"/>
        <v>-420.22453553240484</v>
      </c>
      <c r="AF234" s="15"/>
    </row>
    <row r="235" spans="1:32" hidden="1">
      <c r="A235" s="1">
        <v>8290700</v>
      </c>
      <c r="B235" s="1" t="s">
        <v>62</v>
      </c>
      <c r="C235" t="s">
        <v>530</v>
      </c>
      <c r="E235" s="2">
        <v>963000203010</v>
      </c>
      <c r="F235" s="1" t="s">
        <v>152</v>
      </c>
      <c r="G235" s="1" t="s">
        <v>53</v>
      </c>
      <c r="H235" s="1" t="s">
        <v>531</v>
      </c>
      <c r="I235" s="1" t="s">
        <v>532</v>
      </c>
      <c r="J235" s="1" t="s">
        <v>33</v>
      </c>
      <c r="K235" t="s">
        <v>155</v>
      </c>
      <c r="M235" s="1" t="s">
        <v>35</v>
      </c>
      <c r="N235" s="1">
        <v>42318949</v>
      </c>
      <c r="O235" s="1" t="s">
        <v>36</v>
      </c>
      <c r="P235" s="11" t="s">
        <v>533</v>
      </c>
      <c r="R235" s="1" t="s">
        <v>38</v>
      </c>
      <c r="T235" s="1" t="s">
        <v>157</v>
      </c>
      <c r="U235" s="11" t="s">
        <v>534</v>
      </c>
      <c r="V235" s="1" t="s">
        <v>41</v>
      </c>
      <c r="W235" s="1" t="s">
        <v>49</v>
      </c>
      <c r="X235" s="13" t="str">
        <f t="shared" si="26"/>
        <v/>
      </c>
      <c r="Y235" s="2">
        <f t="shared" ca="1" si="21"/>
        <v>291</v>
      </c>
      <c r="Z235" s="14">
        <v>1</v>
      </c>
      <c r="AA235" s="1" t="str">
        <f t="shared" ca="1" si="22"/>
        <v>VENCIDO</v>
      </c>
      <c r="AB235" s="1" t="str">
        <f t="shared" si="23"/>
        <v>TAAe+</v>
      </c>
      <c r="AC235" s="2" t="str">
        <f t="shared" si="27"/>
        <v xml:space="preserve"> ROSEMERE </v>
      </c>
      <c r="AD235" s="2">
        <f t="shared" si="24"/>
        <v>8</v>
      </c>
      <c r="AE235" s="2">
        <f t="shared" ca="1" si="25"/>
        <v>-371.9262716435187</v>
      </c>
      <c r="AF235" s="15"/>
    </row>
    <row r="236" spans="1:32" hidden="1">
      <c r="A236" s="1">
        <v>8290676</v>
      </c>
      <c r="B236" s="1" t="s">
        <v>62</v>
      </c>
      <c r="C236" t="s">
        <v>530</v>
      </c>
      <c r="E236" s="2">
        <v>67000203010</v>
      </c>
      <c r="F236" s="2" t="s">
        <v>152</v>
      </c>
      <c r="G236" s="1" t="s">
        <v>53</v>
      </c>
      <c r="H236" s="1" t="s">
        <v>404</v>
      </c>
      <c r="I236" s="1" t="s">
        <v>405</v>
      </c>
      <c r="J236" s="1" t="s">
        <v>164</v>
      </c>
      <c r="K236" s="1" t="s">
        <v>155</v>
      </c>
      <c r="M236" s="1" t="s">
        <v>35</v>
      </c>
      <c r="N236" s="1">
        <v>42318949</v>
      </c>
      <c r="O236" s="1" t="s">
        <v>36</v>
      </c>
      <c r="P236" s="11" t="s">
        <v>535</v>
      </c>
      <c r="R236" s="1" t="s">
        <v>38</v>
      </c>
      <c r="T236" s="1" t="s">
        <v>157</v>
      </c>
      <c r="U236" s="11" t="s">
        <v>534</v>
      </c>
      <c r="V236" s="1" t="s">
        <v>41</v>
      </c>
      <c r="W236" s="1" t="s">
        <v>49</v>
      </c>
      <c r="X236" s="13" t="str">
        <f t="shared" si="26"/>
        <v/>
      </c>
      <c r="Y236" s="2">
        <f t="shared" ca="1" si="21"/>
        <v>291</v>
      </c>
      <c r="Z236" s="14">
        <v>1</v>
      </c>
      <c r="AA236" s="1" t="str">
        <f t="shared" ca="1" si="22"/>
        <v>VENCIDO</v>
      </c>
      <c r="AB236" s="1" t="str">
        <f t="shared" si="23"/>
        <v>TAAe+</v>
      </c>
      <c r="AC236" s="2" t="str">
        <f t="shared" si="27"/>
        <v xml:space="preserve"> ROSEMERE </v>
      </c>
      <c r="AD236" s="2">
        <f t="shared" si="24"/>
        <v>8</v>
      </c>
      <c r="AE236" s="2">
        <f t="shared" ca="1" si="25"/>
        <v>-371.9262716435187</v>
      </c>
      <c r="AF236" s="15"/>
    </row>
    <row r="237" spans="1:32" hidden="1">
      <c r="A237" s="1">
        <v>8290634</v>
      </c>
      <c r="B237" s="1" t="s">
        <v>62</v>
      </c>
      <c r="C237" t="s">
        <v>530</v>
      </c>
      <c r="E237" s="2">
        <v>2988000203010</v>
      </c>
      <c r="F237" s="1" t="s">
        <v>152</v>
      </c>
      <c r="G237" s="1" t="s">
        <v>53</v>
      </c>
      <c r="H237" s="1" t="s">
        <v>536</v>
      </c>
      <c r="I237" s="1" t="s">
        <v>537</v>
      </c>
      <c r="J237" s="1" t="s">
        <v>46</v>
      </c>
      <c r="K237" t="s">
        <v>155</v>
      </c>
      <c r="M237" s="1" t="s">
        <v>35</v>
      </c>
      <c r="N237" s="1">
        <v>42318949</v>
      </c>
      <c r="O237" s="1" t="s">
        <v>36</v>
      </c>
      <c r="P237" s="11" t="s">
        <v>538</v>
      </c>
      <c r="R237" s="1" t="s">
        <v>38</v>
      </c>
      <c r="T237" s="1" t="s">
        <v>157</v>
      </c>
      <c r="U237" s="11" t="s">
        <v>534</v>
      </c>
      <c r="V237" s="1" t="s">
        <v>41</v>
      </c>
      <c r="W237" s="1" t="s">
        <v>49</v>
      </c>
      <c r="X237" s="13" t="str">
        <f t="shared" si="26"/>
        <v/>
      </c>
      <c r="Y237" s="2">
        <f t="shared" ca="1" si="21"/>
        <v>291</v>
      </c>
      <c r="Z237" s="14">
        <v>1</v>
      </c>
      <c r="AA237" s="1" t="str">
        <f t="shared" ca="1" si="22"/>
        <v>VENCIDO</v>
      </c>
      <c r="AB237" s="1" t="str">
        <f t="shared" si="23"/>
        <v>TAAe+</v>
      </c>
      <c r="AC237" s="2" t="str">
        <f t="shared" si="27"/>
        <v xml:space="preserve"> CLEITON </v>
      </c>
      <c r="AD237" s="2">
        <f t="shared" si="24"/>
        <v>8</v>
      </c>
      <c r="AE237" s="2">
        <f t="shared" ca="1" si="25"/>
        <v>-371.9262716435187</v>
      </c>
      <c r="AF237" s="15"/>
    </row>
    <row r="238" spans="1:32" hidden="1">
      <c r="A238" s="1">
        <v>8290541</v>
      </c>
      <c r="B238" s="1" t="s">
        <v>62</v>
      </c>
      <c r="C238" t="s">
        <v>530</v>
      </c>
      <c r="E238" s="2">
        <v>1185000203010</v>
      </c>
      <c r="F238" s="1" t="s">
        <v>152</v>
      </c>
      <c r="G238" s="1" t="s">
        <v>53</v>
      </c>
      <c r="H238" s="1" t="s">
        <v>539</v>
      </c>
      <c r="I238" s="1" t="s">
        <v>540</v>
      </c>
      <c r="J238" s="1" t="s">
        <v>33</v>
      </c>
      <c r="K238" t="s">
        <v>155</v>
      </c>
      <c r="M238" s="1" t="s">
        <v>35</v>
      </c>
      <c r="N238" s="1">
        <v>42318949</v>
      </c>
      <c r="O238" s="1" t="s">
        <v>36</v>
      </c>
      <c r="P238" s="11" t="s">
        <v>541</v>
      </c>
      <c r="R238" s="1" t="s">
        <v>38</v>
      </c>
      <c r="T238" s="1" t="s">
        <v>157</v>
      </c>
      <c r="U238" s="11" t="s">
        <v>534</v>
      </c>
      <c r="V238" s="1" t="s">
        <v>41</v>
      </c>
      <c r="W238" s="1" t="s">
        <v>42</v>
      </c>
      <c r="X238" s="13" t="str">
        <f t="shared" si="26"/>
        <v/>
      </c>
      <c r="Y238" s="2">
        <f t="shared" ca="1" si="21"/>
        <v>291</v>
      </c>
      <c r="Z238" s="14">
        <v>1</v>
      </c>
      <c r="AA238" s="1" t="str">
        <f t="shared" ca="1" si="22"/>
        <v>VENCIDO</v>
      </c>
      <c r="AB238" s="1" t="str">
        <f t="shared" si="23"/>
        <v>TAAe+</v>
      </c>
      <c r="AC238" s="2" t="str">
        <f t="shared" si="27"/>
        <v xml:space="preserve"> ROSEMERE </v>
      </c>
      <c r="AD238" s="2">
        <f t="shared" si="24"/>
        <v>8</v>
      </c>
      <c r="AE238" s="2">
        <f t="shared" ca="1" si="25"/>
        <v>-371.9262716435187</v>
      </c>
      <c r="AF238" s="15"/>
    </row>
    <row r="239" spans="1:32" hidden="1">
      <c r="A239" s="1">
        <v>8290533</v>
      </c>
      <c r="B239" s="1" t="s">
        <v>62</v>
      </c>
      <c r="C239" t="s">
        <v>530</v>
      </c>
      <c r="E239" s="2">
        <v>115000203010</v>
      </c>
      <c r="F239" s="1" t="s">
        <v>152</v>
      </c>
      <c r="G239" s="1" t="s">
        <v>53</v>
      </c>
      <c r="H239" s="1" t="s">
        <v>542</v>
      </c>
      <c r="I239" s="1" t="s">
        <v>543</v>
      </c>
      <c r="J239" s="1" t="s">
        <v>56</v>
      </c>
      <c r="K239" t="s">
        <v>155</v>
      </c>
      <c r="M239" s="1" t="s">
        <v>35</v>
      </c>
      <c r="N239" s="1">
        <v>42318949</v>
      </c>
      <c r="O239" s="1" t="s">
        <v>36</v>
      </c>
      <c r="P239" s="11" t="s">
        <v>544</v>
      </c>
      <c r="R239" s="1" t="s">
        <v>38</v>
      </c>
      <c r="T239" s="1" t="s">
        <v>157</v>
      </c>
      <c r="U239" s="11" t="s">
        <v>534</v>
      </c>
      <c r="V239" s="1" t="s">
        <v>41</v>
      </c>
      <c r="W239" s="1" t="s">
        <v>49</v>
      </c>
      <c r="X239" s="13" t="str">
        <f t="shared" si="26"/>
        <v/>
      </c>
      <c r="Y239" s="2">
        <f t="shared" ca="1" si="21"/>
        <v>291</v>
      </c>
      <c r="Z239" s="14">
        <v>1</v>
      </c>
      <c r="AA239" s="1" t="str">
        <f t="shared" ca="1" si="22"/>
        <v>VENCIDO</v>
      </c>
      <c r="AB239" s="1" t="str">
        <f t="shared" si="23"/>
        <v>TAAe+</v>
      </c>
      <c r="AC239" s="2" t="str">
        <f t="shared" si="27"/>
        <v xml:space="preserve"> CRISTINA </v>
      </c>
      <c r="AD239" s="2">
        <f t="shared" si="24"/>
        <v>8</v>
      </c>
      <c r="AE239" s="2">
        <f t="shared" ca="1" si="25"/>
        <v>-371.9262716435187</v>
      </c>
      <c r="AF239" s="15"/>
    </row>
    <row r="240" spans="1:32">
      <c r="A240" s="1">
        <v>8290521</v>
      </c>
      <c r="B240" s="1" t="s">
        <v>62</v>
      </c>
      <c r="C240" s="15" t="s">
        <v>530</v>
      </c>
      <c r="E240" s="2">
        <v>1059000203010</v>
      </c>
      <c r="F240" s="1" t="s">
        <v>152</v>
      </c>
      <c r="G240" s="1" t="s">
        <v>53</v>
      </c>
      <c r="H240" s="1" t="s">
        <v>88</v>
      </c>
      <c r="I240" s="1" t="s">
        <v>89</v>
      </c>
      <c r="J240" s="1" t="s">
        <v>90</v>
      </c>
      <c r="K240" t="s">
        <v>155</v>
      </c>
      <c r="M240" s="1" t="s">
        <v>35</v>
      </c>
      <c r="N240" s="1">
        <v>42318949</v>
      </c>
      <c r="O240" s="1" t="s">
        <v>36</v>
      </c>
      <c r="P240" s="11" t="s">
        <v>545</v>
      </c>
      <c r="R240" s="1" t="s">
        <v>38</v>
      </c>
      <c r="T240" s="1" t="s">
        <v>157</v>
      </c>
      <c r="U240" s="11" t="s">
        <v>534</v>
      </c>
      <c r="V240" s="1" t="s">
        <v>41</v>
      </c>
      <c r="W240" s="1" t="s">
        <v>49</v>
      </c>
      <c r="X240" s="13" t="str">
        <f t="shared" si="26"/>
        <v/>
      </c>
      <c r="Y240" s="2">
        <f t="shared" ca="1" si="21"/>
        <v>291</v>
      </c>
      <c r="Z240" s="14">
        <v>1</v>
      </c>
      <c r="AA240" s="1" t="str">
        <f t="shared" ca="1" si="22"/>
        <v>VENCIDO</v>
      </c>
      <c r="AB240" s="1" t="str">
        <f t="shared" si="23"/>
        <v>TAAe+</v>
      </c>
      <c r="AC240" s="2" t="str">
        <f t="shared" si="27"/>
        <v xml:space="preserve"> RINALDO </v>
      </c>
      <c r="AD240" s="2">
        <f t="shared" si="24"/>
        <v>8</v>
      </c>
      <c r="AE240" s="2">
        <f t="shared" ca="1" si="25"/>
        <v>-371.9262716435187</v>
      </c>
      <c r="AF240" s="15"/>
    </row>
    <row r="241" spans="1:32" hidden="1">
      <c r="A241" s="1">
        <v>8290456</v>
      </c>
      <c r="B241" s="1" t="s">
        <v>62</v>
      </c>
      <c r="C241" t="s">
        <v>530</v>
      </c>
      <c r="E241" s="2">
        <v>5816000203010</v>
      </c>
      <c r="F241" s="1" t="s">
        <v>152</v>
      </c>
      <c r="G241" s="1" t="s">
        <v>53</v>
      </c>
      <c r="H241" s="1" t="s">
        <v>412</v>
      </c>
      <c r="I241" s="1" t="s">
        <v>413</v>
      </c>
      <c r="J241" s="1" t="s">
        <v>46</v>
      </c>
      <c r="K241" t="s">
        <v>155</v>
      </c>
      <c r="M241" s="1" t="s">
        <v>35</v>
      </c>
      <c r="N241" s="1">
        <v>42318949</v>
      </c>
      <c r="O241" s="1" t="s">
        <v>36</v>
      </c>
      <c r="P241" s="11" t="s">
        <v>546</v>
      </c>
      <c r="R241" s="1" t="s">
        <v>38</v>
      </c>
      <c r="T241" s="1" t="s">
        <v>157</v>
      </c>
      <c r="U241" s="11" t="s">
        <v>534</v>
      </c>
      <c r="V241" s="1" t="s">
        <v>41</v>
      </c>
      <c r="W241" s="1" t="s">
        <v>49</v>
      </c>
      <c r="X241" s="13" t="str">
        <f t="shared" si="26"/>
        <v/>
      </c>
      <c r="Y241" s="2">
        <f t="shared" ca="1" si="21"/>
        <v>291</v>
      </c>
      <c r="Z241" s="14">
        <v>1</v>
      </c>
      <c r="AA241" s="1" t="str">
        <f t="shared" ca="1" si="22"/>
        <v>VENCIDO</v>
      </c>
      <c r="AB241" s="1" t="str">
        <f t="shared" si="23"/>
        <v>TAAe+</v>
      </c>
      <c r="AC241" s="2" t="str">
        <f t="shared" si="27"/>
        <v xml:space="preserve"> CLEITON </v>
      </c>
      <c r="AD241" s="2">
        <f t="shared" si="24"/>
        <v>8</v>
      </c>
      <c r="AE241" s="2">
        <f t="shared" ca="1" si="25"/>
        <v>-371.9262716435187</v>
      </c>
      <c r="AF241" s="15"/>
    </row>
    <row r="242" spans="1:32" hidden="1">
      <c r="A242" s="1">
        <v>8290427</v>
      </c>
      <c r="B242" s="1" t="s">
        <v>62</v>
      </c>
      <c r="C242" t="s">
        <v>530</v>
      </c>
      <c r="E242" s="2">
        <v>2802000203010</v>
      </c>
      <c r="F242" s="1" t="s">
        <v>152</v>
      </c>
      <c r="G242" s="1" t="s">
        <v>53</v>
      </c>
      <c r="H242" s="1" t="s">
        <v>388</v>
      </c>
      <c r="I242" s="1" t="s">
        <v>389</v>
      </c>
      <c r="J242" s="1" t="s">
        <v>46</v>
      </c>
      <c r="K242" t="s">
        <v>155</v>
      </c>
      <c r="M242" s="1" t="s">
        <v>35</v>
      </c>
      <c r="N242" s="1">
        <v>42318949</v>
      </c>
      <c r="O242" s="1" t="s">
        <v>36</v>
      </c>
      <c r="P242" s="11" t="s">
        <v>547</v>
      </c>
      <c r="R242" s="1" t="s">
        <v>38</v>
      </c>
      <c r="T242" s="1" t="s">
        <v>157</v>
      </c>
      <c r="U242" s="11" t="s">
        <v>534</v>
      </c>
      <c r="V242" s="1" t="s">
        <v>41</v>
      </c>
      <c r="W242" s="1" t="s">
        <v>49</v>
      </c>
      <c r="X242" s="13" t="str">
        <f t="shared" si="26"/>
        <v/>
      </c>
      <c r="Y242" s="2">
        <f t="shared" ca="1" si="21"/>
        <v>291</v>
      </c>
      <c r="Z242" s="14">
        <v>1</v>
      </c>
      <c r="AA242" s="1" t="str">
        <f t="shared" ca="1" si="22"/>
        <v>VENCIDO</v>
      </c>
      <c r="AB242" s="1" t="str">
        <f t="shared" si="23"/>
        <v>TAAe+</v>
      </c>
      <c r="AC242" s="2" t="str">
        <f t="shared" si="27"/>
        <v xml:space="preserve"> CLEITON </v>
      </c>
      <c r="AD242" s="2">
        <f t="shared" si="24"/>
        <v>8</v>
      </c>
      <c r="AE242" s="2">
        <f t="shared" ca="1" si="25"/>
        <v>-371.9262716435187</v>
      </c>
      <c r="AF242" s="15"/>
    </row>
    <row r="243" spans="1:32" hidden="1">
      <c r="A243" s="1">
        <v>8290375</v>
      </c>
      <c r="B243" s="1" t="s">
        <v>62</v>
      </c>
      <c r="C243" t="s">
        <v>530</v>
      </c>
      <c r="E243" s="2">
        <v>1138000203010</v>
      </c>
      <c r="F243" s="1" t="s">
        <v>152</v>
      </c>
      <c r="G243" s="1" t="s">
        <v>53</v>
      </c>
      <c r="H243" s="1" t="s">
        <v>548</v>
      </c>
      <c r="I243" s="1" t="s">
        <v>549</v>
      </c>
      <c r="J243" s="1" t="s">
        <v>46</v>
      </c>
      <c r="K243" t="s">
        <v>155</v>
      </c>
      <c r="M243" s="1" t="s">
        <v>35</v>
      </c>
      <c r="N243" s="1">
        <v>42318949</v>
      </c>
      <c r="O243" s="1" t="s">
        <v>36</v>
      </c>
      <c r="P243" s="11" t="s">
        <v>550</v>
      </c>
      <c r="R243" s="1" t="s">
        <v>38</v>
      </c>
      <c r="T243" s="1" t="s">
        <v>157</v>
      </c>
      <c r="U243" s="11" t="s">
        <v>534</v>
      </c>
      <c r="V243" s="1" t="s">
        <v>41</v>
      </c>
      <c r="W243" s="1" t="s">
        <v>49</v>
      </c>
      <c r="X243" s="13" t="str">
        <f t="shared" si="26"/>
        <v/>
      </c>
      <c r="Y243" s="2">
        <f t="shared" ca="1" si="21"/>
        <v>291</v>
      </c>
      <c r="Z243" s="14">
        <v>1</v>
      </c>
      <c r="AA243" s="1" t="str">
        <f t="shared" ca="1" si="22"/>
        <v>VENCIDO</v>
      </c>
      <c r="AB243" s="1" t="str">
        <f t="shared" si="23"/>
        <v>TAAe+</v>
      </c>
      <c r="AC243" s="2" t="str">
        <f t="shared" si="27"/>
        <v xml:space="preserve"> CLEITON </v>
      </c>
      <c r="AD243" s="2">
        <f t="shared" si="24"/>
        <v>8</v>
      </c>
      <c r="AE243" s="2">
        <f t="shared" ca="1" si="25"/>
        <v>-371.9262716435187</v>
      </c>
      <c r="AF243" s="15"/>
    </row>
    <row r="244" spans="1:32" hidden="1">
      <c r="A244" s="1">
        <v>8338348</v>
      </c>
      <c r="B244" s="1" t="s">
        <v>62</v>
      </c>
      <c r="C244" t="s">
        <v>551</v>
      </c>
      <c r="E244" s="2">
        <v>934000203000</v>
      </c>
      <c r="F244" s="1" t="s">
        <v>454</v>
      </c>
      <c r="G244" s="1" t="s">
        <v>53</v>
      </c>
      <c r="H244" s="1" t="s">
        <v>428</v>
      </c>
      <c r="I244" s="1" t="s">
        <v>429</v>
      </c>
      <c r="J244" s="1" t="s">
        <v>46</v>
      </c>
      <c r="K244" t="s">
        <v>457</v>
      </c>
      <c r="M244" s="1" t="s">
        <v>58</v>
      </c>
      <c r="N244" s="1">
        <v>0</v>
      </c>
      <c r="O244" s="1" t="s">
        <v>36</v>
      </c>
      <c r="P244" s="11" t="s">
        <v>552</v>
      </c>
      <c r="R244" s="1" t="s">
        <v>38</v>
      </c>
      <c r="T244" s="1" t="s">
        <v>157</v>
      </c>
      <c r="U244" s="11" t="s">
        <v>553</v>
      </c>
      <c r="V244" s="1" t="s">
        <v>41</v>
      </c>
      <c r="W244" s="1" t="s">
        <v>49</v>
      </c>
      <c r="X244" s="13" t="str">
        <f t="shared" si="26"/>
        <v/>
      </c>
      <c r="Y244" s="2">
        <f t="shared" ca="1" si="21"/>
        <v>280</v>
      </c>
      <c r="Z244" s="14">
        <v>1</v>
      </c>
      <c r="AA244" s="1" t="str">
        <f t="shared" ca="1" si="22"/>
        <v>VENCIDO</v>
      </c>
      <c r="AB244" s="1" t="str">
        <f t="shared" si="23"/>
        <v>C-14</v>
      </c>
      <c r="AC244" s="2" t="str">
        <f t="shared" si="27"/>
        <v xml:space="preserve"> CLEITON </v>
      </c>
      <c r="AD244" s="2">
        <f t="shared" si="24"/>
        <v>5</v>
      </c>
      <c r="AE244" s="2">
        <f t="shared" ca="1" si="25"/>
        <v>-309.9262716435187</v>
      </c>
      <c r="AF244" s="15"/>
    </row>
    <row r="245" spans="1:32" hidden="1">
      <c r="A245" s="1">
        <v>8362148</v>
      </c>
      <c r="B245" s="1" t="s">
        <v>62</v>
      </c>
      <c r="C245" t="s">
        <v>554</v>
      </c>
      <c r="E245" s="2">
        <v>2625000206001</v>
      </c>
      <c r="F245" s="1" t="s">
        <v>29</v>
      </c>
      <c r="G245" s="1" t="s">
        <v>53</v>
      </c>
      <c r="H245" s="1" t="s">
        <v>317</v>
      </c>
      <c r="I245" s="1" t="s">
        <v>318</v>
      </c>
      <c r="J245" s="1" t="s">
        <v>164</v>
      </c>
      <c r="K245" t="s">
        <v>34</v>
      </c>
      <c r="M245" s="1" t="s">
        <v>35</v>
      </c>
      <c r="N245" s="1">
        <v>42318949</v>
      </c>
      <c r="O245" s="1" t="s">
        <v>36</v>
      </c>
      <c r="P245" s="11" t="s">
        <v>555</v>
      </c>
      <c r="R245" s="1" t="s">
        <v>38</v>
      </c>
      <c r="T245" s="1" t="s">
        <v>74</v>
      </c>
      <c r="U245" s="11" t="s">
        <v>556</v>
      </c>
      <c r="V245" s="1" t="s">
        <v>41</v>
      </c>
      <c r="W245" s="1" t="s">
        <v>49</v>
      </c>
      <c r="X245" s="13" t="str">
        <f t="shared" si="26"/>
        <v/>
      </c>
      <c r="Y245" s="2">
        <f t="shared" ca="1" si="21"/>
        <v>273</v>
      </c>
      <c r="Z245" s="14">
        <v>1</v>
      </c>
      <c r="AA245" s="1" t="str">
        <f t="shared" ca="1" si="22"/>
        <v>VENCIDO</v>
      </c>
      <c r="AB245" s="1" t="str">
        <f t="shared" si="23"/>
        <v>Dosa</v>
      </c>
      <c r="AC245" s="2" t="str">
        <f t="shared" si="27"/>
        <v xml:space="preserve"> ROSEMERE </v>
      </c>
      <c r="AD245" s="2">
        <f t="shared" si="24"/>
        <v>5</v>
      </c>
      <c r="AE245" s="2">
        <f t="shared" ca="1" si="25"/>
        <v>-336.9262716435187</v>
      </c>
      <c r="AF245" s="15"/>
    </row>
    <row r="246" spans="1:32">
      <c r="A246" s="1">
        <v>8430790</v>
      </c>
      <c r="B246" s="1" t="s">
        <v>62</v>
      </c>
      <c r="C246" t="s">
        <v>240</v>
      </c>
      <c r="E246" s="2">
        <v>2069000203000</v>
      </c>
      <c r="F246" s="1" t="s">
        <v>454</v>
      </c>
      <c r="G246" s="1" t="s">
        <v>53</v>
      </c>
      <c r="H246" s="1" t="s">
        <v>557</v>
      </c>
      <c r="I246" s="1" t="s">
        <v>558</v>
      </c>
      <c r="J246" s="1" t="s">
        <v>90</v>
      </c>
      <c r="K246" t="s">
        <v>457</v>
      </c>
      <c r="M246" s="1" t="s">
        <v>58</v>
      </c>
      <c r="N246" s="1">
        <v>0</v>
      </c>
      <c r="O246" s="1" t="s">
        <v>36</v>
      </c>
      <c r="P246" s="11" t="s">
        <v>559</v>
      </c>
      <c r="R246" s="1" t="s">
        <v>38</v>
      </c>
      <c r="T246" s="1" t="s">
        <v>157</v>
      </c>
      <c r="U246" s="11" t="s">
        <v>560</v>
      </c>
      <c r="V246" s="1" t="s">
        <v>41</v>
      </c>
      <c r="W246" s="1" t="s">
        <v>49</v>
      </c>
      <c r="X246" s="13" t="str">
        <f t="shared" si="26"/>
        <v/>
      </c>
      <c r="Y246" s="2">
        <f t="shared" ca="1" si="21"/>
        <v>253</v>
      </c>
      <c r="Z246" s="14">
        <v>1</v>
      </c>
      <c r="AA246" s="1" t="str">
        <f t="shared" ca="1" si="22"/>
        <v>VENCIDO</v>
      </c>
      <c r="AB246" s="1" t="str">
        <f t="shared" si="23"/>
        <v>C-14</v>
      </c>
      <c r="AC246" s="2" t="str">
        <f t="shared" si="27"/>
        <v xml:space="preserve"> RINALDO </v>
      </c>
      <c r="AD246" s="2">
        <f t="shared" si="24"/>
        <v>5</v>
      </c>
      <c r="AE246" s="2">
        <f t="shared" ca="1" si="25"/>
        <v>-316.9262716435187</v>
      </c>
      <c r="AF246" s="15"/>
    </row>
    <row r="247" spans="1:32" hidden="1">
      <c r="A247" s="1">
        <v>8443380</v>
      </c>
      <c r="B247" s="1" t="s">
        <v>62</v>
      </c>
      <c r="C247" t="s">
        <v>530</v>
      </c>
      <c r="E247" s="2">
        <v>2669000203010</v>
      </c>
      <c r="F247" s="1" t="s">
        <v>152</v>
      </c>
      <c r="G247" s="1" t="s">
        <v>53</v>
      </c>
      <c r="H247" s="1" t="s">
        <v>561</v>
      </c>
      <c r="I247" s="1" t="s">
        <v>562</v>
      </c>
      <c r="J247" s="1" t="s">
        <v>261</v>
      </c>
      <c r="K247" t="s">
        <v>155</v>
      </c>
      <c r="M247" s="1" t="s">
        <v>35</v>
      </c>
      <c r="N247" s="1">
        <v>42318949</v>
      </c>
      <c r="O247" s="1" t="s">
        <v>36</v>
      </c>
      <c r="P247" s="11" t="s">
        <v>563</v>
      </c>
      <c r="R247" s="1" t="s">
        <v>38</v>
      </c>
      <c r="T247" s="1" t="s">
        <v>157</v>
      </c>
      <c r="U247" s="11" t="s">
        <v>553</v>
      </c>
      <c r="V247" s="1" t="s">
        <v>41</v>
      </c>
      <c r="W247" s="1" t="s">
        <v>49</v>
      </c>
      <c r="X247" s="13" t="str">
        <f t="shared" si="26"/>
        <v/>
      </c>
      <c r="Y247" s="2">
        <f t="shared" ca="1" si="21"/>
        <v>249</v>
      </c>
      <c r="Z247" s="14">
        <v>1</v>
      </c>
      <c r="AA247" s="1" t="str">
        <f t="shared" ca="1" si="22"/>
        <v>VENCIDO</v>
      </c>
      <c r="AB247" s="1" t="str">
        <f t="shared" si="23"/>
        <v>TAAe+</v>
      </c>
      <c r="AC247" s="2" t="str">
        <f t="shared" si="27"/>
        <v xml:space="preserve"> CRISTINA </v>
      </c>
      <c r="AD247" s="2">
        <f t="shared" si="24"/>
        <v>8</v>
      </c>
      <c r="AE247" s="2">
        <f t="shared" ca="1" si="25"/>
        <v>-309.9262716435187</v>
      </c>
      <c r="AF247" s="15"/>
    </row>
    <row r="248" spans="1:32" hidden="1">
      <c r="A248" s="1">
        <v>8487590</v>
      </c>
      <c r="B248" s="1" t="s">
        <v>62</v>
      </c>
      <c r="C248" t="s">
        <v>564</v>
      </c>
      <c r="E248" s="2">
        <v>1902016053700</v>
      </c>
      <c r="F248" s="1" t="s">
        <v>64</v>
      </c>
      <c r="G248" s="1" t="s">
        <v>53</v>
      </c>
      <c r="H248" s="1" t="s">
        <v>442</v>
      </c>
      <c r="I248" s="1" t="s">
        <v>443</v>
      </c>
      <c r="J248" s="1" t="s">
        <v>79</v>
      </c>
      <c r="K248" t="s">
        <v>67</v>
      </c>
      <c r="M248" s="1" t="s">
        <v>35</v>
      </c>
      <c r="N248" s="1">
        <v>42318949</v>
      </c>
      <c r="O248" s="1" t="s">
        <v>36</v>
      </c>
      <c r="P248" s="11" t="s">
        <v>565</v>
      </c>
      <c r="R248" s="1">
        <v>1</v>
      </c>
      <c r="T248" s="1" t="s">
        <v>69</v>
      </c>
      <c r="U248" s="11" t="s">
        <v>566</v>
      </c>
      <c r="V248" s="1" t="s">
        <v>41</v>
      </c>
      <c r="W248" s="1" t="s">
        <v>49</v>
      </c>
      <c r="X248" s="13" t="str">
        <f t="shared" si="26"/>
        <v/>
      </c>
      <c r="Y248" s="2">
        <f t="shared" ca="1" si="21"/>
        <v>238</v>
      </c>
      <c r="Z248" s="14">
        <v>1</v>
      </c>
      <c r="AA248" s="1" t="str">
        <f t="shared" ca="1" si="22"/>
        <v>VENCIDO</v>
      </c>
      <c r="AB248" s="1" t="str">
        <f t="shared" si="23"/>
        <v>TAAe+</v>
      </c>
      <c r="AC248" s="2" t="str">
        <f t="shared" si="27"/>
        <v xml:space="preserve"> ROSEMERE </v>
      </c>
      <c r="AD248" s="2">
        <f t="shared" si="24"/>
        <v>8</v>
      </c>
      <c r="AE248" s="2">
        <f t="shared" ca="1" si="25"/>
        <v>-330.03388738426293</v>
      </c>
      <c r="AF248" s="15"/>
    </row>
    <row r="249" spans="1:32" hidden="1">
      <c r="A249" s="1">
        <v>8488912</v>
      </c>
      <c r="B249" s="1" t="s">
        <v>62</v>
      </c>
      <c r="C249" t="s">
        <v>567</v>
      </c>
      <c r="E249" s="2">
        <v>1902016192400</v>
      </c>
      <c r="F249" s="1" t="s">
        <v>64</v>
      </c>
      <c r="G249" s="1" t="s">
        <v>53</v>
      </c>
      <c r="H249" s="1" t="s">
        <v>568</v>
      </c>
      <c r="I249" s="1" t="s">
        <v>569</v>
      </c>
      <c r="J249" s="1" t="s">
        <v>33</v>
      </c>
      <c r="K249" t="s">
        <v>67</v>
      </c>
      <c r="M249" s="1" t="s">
        <v>35</v>
      </c>
      <c r="N249" s="1">
        <v>42318949</v>
      </c>
      <c r="O249" s="1" t="s">
        <v>36</v>
      </c>
      <c r="P249" s="11" t="s">
        <v>570</v>
      </c>
      <c r="R249" s="1" t="s">
        <v>571</v>
      </c>
      <c r="T249" s="1" t="s">
        <v>69</v>
      </c>
      <c r="U249" s="11" t="s">
        <v>572</v>
      </c>
      <c r="V249" s="1" t="s">
        <v>41</v>
      </c>
      <c r="W249" s="1" t="s">
        <v>49</v>
      </c>
      <c r="X249" s="13" t="str">
        <f t="shared" si="26"/>
        <v/>
      </c>
      <c r="Y249" s="2">
        <f t="shared" ca="1" si="21"/>
        <v>237</v>
      </c>
      <c r="Z249" s="14">
        <v>1</v>
      </c>
      <c r="AA249" s="1" t="str">
        <f t="shared" ca="1" si="22"/>
        <v>VENCIDO</v>
      </c>
      <c r="AB249" s="1" t="str">
        <f t="shared" si="23"/>
        <v>TAAe+</v>
      </c>
      <c r="AC249" s="2" t="str">
        <f t="shared" si="27"/>
        <v xml:space="preserve"> ROSEMERE </v>
      </c>
      <c r="AD249" s="2">
        <f t="shared" si="24"/>
        <v>8</v>
      </c>
      <c r="AE249" s="2">
        <f t="shared" ca="1" si="25"/>
        <v>-321.3012716435187</v>
      </c>
      <c r="AF249" s="15"/>
    </row>
    <row r="250" spans="1:32" hidden="1">
      <c r="A250" s="1">
        <v>8555673</v>
      </c>
      <c r="B250" s="1" t="s">
        <v>101</v>
      </c>
      <c r="C250" t="s">
        <v>573</v>
      </c>
      <c r="E250" s="2">
        <v>1120000206001</v>
      </c>
      <c r="F250" s="1" t="s">
        <v>29</v>
      </c>
      <c r="G250" s="1" t="s">
        <v>53</v>
      </c>
      <c r="H250" s="1" t="s">
        <v>181</v>
      </c>
      <c r="I250" s="1" t="s">
        <v>182</v>
      </c>
      <c r="J250" s="1" t="s">
        <v>164</v>
      </c>
      <c r="K250" t="s">
        <v>34</v>
      </c>
      <c r="M250" s="1" t="s">
        <v>35</v>
      </c>
      <c r="N250" s="1">
        <v>42318949</v>
      </c>
      <c r="O250" s="1" t="s">
        <v>36</v>
      </c>
      <c r="P250" s="186">
        <v>44683.726759259262</v>
      </c>
      <c r="R250" s="1" t="s">
        <v>38</v>
      </c>
      <c r="T250" s="1" t="s">
        <v>74</v>
      </c>
      <c r="U250" s="186">
        <v>44684.75</v>
      </c>
      <c r="V250" s="1" t="s">
        <v>41</v>
      </c>
      <c r="W250" s="1" t="s">
        <v>49</v>
      </c>
      <c r="X250" s="13" t="str">
        <f t="shared" si="26"/>
        <v/>
      </c>
      <c r="Y250" s="2">
        <f t="shared" ca="1" si="21"/>
        <v>218</v>
      </c>
      <c r="Z250" s="14">
        <v>1</v>
      </c>
      <c r="AA250" s="1" t="str">
        <f t="shared" ca="1" si="22"/>
        <v>VENCIDO</v>
      </c>
      <c r="AB250" s="1" t="str">
        <f t="shared" si="23"/>
        <v>Dosa</v>
      </c>
      <c r="AC250" s="2" t="str">
        <f t="shared" si="27"/>
        <v xml:space="preserve"> ROSEMERE </v>
      </c>
      <c r="AD250" s="2">
        <f t="shared" si="24"/>
        <v>5</v>
      </c>
      <c r="AE250" s="2">
        <f t="shared" ca="1" si="25"/>
        <v>-301.9262716435187</v>
      </c>
      <c r="AF250" s="15"/>
    </row>
    <row r="251" spans="1:32" hidden="1">
      <c r="A251" s="1">
        <v>8555672</v>
      </c>
      <c r="B251" s="1" t="s">
        <v>101</v>
      </c>
      <c r="C251" t="s">
        <v>573</v>
      </c>
      <c r="E251" s="2">
        <v>1120000206001</v>
      </c>
      <c r="F251" s="1" t="s">
        <v>29</v>
      </c>
      <c r="G251" s="1" t="s">
        <v>53</v>
      </c>
      <c r="H251" s="1" t="s">
        <v>181</v>
      </c>
      <c r="I251" s="1" t="s">
        <v>182</v>
      </c>
      <c r="J251" s="1" t="s">
        <v>164</v>
      </c>
      <c r="K251" t="s">
        <v>34</v>
      </c>
      <c r="M251" s="1" t="s">
        <v>35</v>
      </c>
      <c r="N251" s="1">
        <v>42318949</v>
      </c>
      <c r="O251" s="1" t="s">
        <v>36</v>
      </c>
      <c r="P251" s="12">
        <v>44683.726759259262</v>
      </c>
      <c r="R251" s="1" t="s">
        <v>38</v>
      </c>
      <c r="T251" s="1" t="s">
        <v>74</v>
      </c>
      <c r="U251" s="12">
        <v>44684.75</v>
      </c>
      <c r="V251" s="1" t="s">
        <v>41</v>
      </c>
      <c r="W251" s="1" t="s">
        <v>49</v>
      </c>
      <c r="X251" s="13" t="str">
        <f t="shared" si="26"/>
        <v/>
      </c>
      <c r="Y251" s="2">
        <f t="shared" ca="1" si="21"/>
        <v>218</v>
      </c>
      <c r="Z251" s="14">
        <v>1</v>
      </c>
      <c r="AA251" s="1" t="str">
        <f t="shared" ca="1" si="22"/>
        <v>VENCIDO</v>
      </c>
      <c r="AB251" s="1" t="str">
        <f t="shared" si="23"/>
        <v>Dosa</v>
      </c>
      <c r="AC251" s="2" t="str">
        <f t="shared" si="27"/>
        <v xml:space="preserve"> ROSEMERE </v>
      </c>
      <c r="AD251" s="2">
        <f t="shared" si="24"/>
        <v>5</v>
      </c>
      <c r="AE251" s="2">
        <f t="shared" ca="1" si="25"/>
        <v>-301.9262716435187</v>
      </c>
      <c r="AF251" s="15"/>
    </row>
    <row r="252" spans="1:32" hidden="1">
      <c r="A252" s="1">
        <v>8555626</v>
      </c>
      <c r="B252" s="1" t="s">
        <v>101</v>
      </c>
      <c r="C252" t="s">
        <v>573</v>
      </c>
      <c r="E252" s="2">
        <v>1058000206001</v>
      </c>
      <c r="F252" s="1" t="s">
        <v>29</v>
      </c>
      <c r="G252" s="1" t="s">
        <v>53</v>
      </c>
      <c r="H252" s="1" t="s">
        <v>289</v>
      </c>
      <c r="I252" s="1" t="s">
        <v>290</v>
      </c>
      <c r="J252" s="1" t="s">
        <v>56</v>
      </c>
      <c r="K252" t="s">
        <v>34</v>
      </c>
      <c r="M252" s="1" t="s">
        <v>35</v>
      </c>
      <c r="N252" s="1">
        <v>42318949</v>
      </c>
      <c r="O252" s="1" t="s">
        <v>36</v>
      </c>
      <c r="P252" s="11" t="s">
        <v>574</v>
      </c>
      <c r="R252" s="1" t="s">
        <v>38</v>
      </c>
      <c r="T252" s="1" t="s">
        <v>74</v>
      </c>
      <c r="U252" s="11" t="s">
        <v>575</v>
      </c>
      <c r="V252" s="1" t="s">
        <v>41</v>
      </c>
      <c r="W252" s="1" t="s">
        <v>49</v>
      </c>
      <c r="X252" s="13" t="str">
        <f t="shared" si="26"/>
        <v/>
      </c>
      <c r="Y252" s="2">
        <f t="shared" ca="1" si="21"/>
        <v>218</v>
      </c>
      <c r="Z252" s="14">
        <v>1</v>
      </c>
      <c r="AA252" s="1" t="str">
        <f t="shared" ca="1" si="22"/>
        <v>VENCIDO</v>
      </c>
      <c r="AB252" s="1" t="str">
        <f t="shared" si="23"/>
        <v>Dosa</v>
      </c>
      <c r="AC252" s="2" t="str">
        <f t="shared" si="27"/>
        <v xml:space="preserve"> CRISTINA </v>
      </c>
      <c r="AD252" s="2">
        <f t="shared" si="24"/>
        <v>5</v>
      </c>
      <c r="AE252" s="2">
        <f t="shared" ca="1" si="25"/>
        <v>-301.9262716435187</v>
      </c>
      <c r="AF252" s="15"/>
    </row>
    <row r="253" spans="1:32" hidden="1">
      <c r="A253" s="1">
        <v>8555625</v>
      </c>
      <c r="B253" s="1" t="s">
        <v>101</v>
      </c>
      <c r="C253" t="s">
        <v>573</v>
      </c>
      <c r="E253" s="2">
        <v>1058000206001</v>
      </c>
      <c r="F253" s="1" t="s">
        <v>29</v>
      </c>
      <c r="G253" s="1" t="s">
        <v>53</v>
      </c>
      <c r="H253" s="1" t="s">
        <v>289</v>
      </c>
      <c r="I253" s="1" t="s">
        <v>290</v>
      </c>
      <c r="J253" s="1" t="s">
        <v>56</v>
      </c>
      <c r="K253" t="s">
        <v>34</v>
      </c>
      <c r="M253" s="1" t="s">
        <v>35</v>
      </c>
      <c r="N253" s="1">
        <v>42318949</v>
      </c>
      <c r="O253" s="1" t="s">
        <v>36</v>
      </c>
      <c r="P253" s="12">
        <v>44683.726655092592</v>
      </c>
      <c r="R253" s="1" t="s">
        <v>38</v>
      </c>
      <c r="T253" s="1" t="s">
        <v>74</v>
      </c>
      <c r="U253" s="12">
        <v>44684.75</v>
      </c>
      <c r="V253" s="1" t="s">
        <v>41</v>
      </c>
      <c r="W253" s="1" t="s">
        <v>49</v>
      </c>
      <c r="X253" s="13" t="str">
        <f t="shared" si="26"/>
        <v/>
      </c>
      <c r="Y253" s="2">
        <f t="shared" ca="1" si="21"/>
        <v>218</v>
      </c>
      <c r="Z253" s="14">
        <v>1</v>
      </c>
      <c r="AA253" s="1" t="str">
        <f t="shared" ca="1" si="22"/>
        <v>VENCIDO</v>
      </c>
      <c r="AB253" s="1" t="str">
        <f t="shared" si="23"/>
        <v>Dosa</v>
      </c>
      <c r="AC253" s="2" t="str">
        <f t="shared" si="27"/>
        <v xml:space="preserve"> CRISTINA </v>
      </c>
      <c r="AD253" s="2">
        <f t="shared" si="24"/>
        <v>5</v>
      </c>
      <c r="AE253" s="2">
        <f t="shared" ca="1" si="25"/>
        <v>-301.9262716435187</v>
      </c>
      <c r="AF253" s="15"/>
    </row>
    <row r="254" spans="1:32" hidden="1">
      <c r="A254" s="1">
        <v>8555624</v>
      </c>
      <c r="B254" s="1" t="s">
        <v>101</v>
      </c>
      <c r="C254" t="s">
        <v>573</v>
      </c>
      <c r="E254" s="2">
        <v>1058000206001</v>
      </c>
      <c r="F254" s="1" t="s">
        <v>29</v>
      </c>
      <c r="G254" s="1" t="s">
        <v>53</v>
      </c>
      <c r="H254" s="1" t="s">
        <v>289</v>
      </c>
      <c r="I254" s="1" t="s">
        <v>290</v>
      </c>
      <c r="J254" s="1" t="s">
        <v>56</v>
      </c>
      <c r="K254" t="s">
        <v>34</v>
      </c>
      <c r="M254" s="1" t="s">
        <v>35</v>
      </c>
      <c r="N254" s="1">
        <v>42318949</v>
      </c>
      <c r="O254" s="1" t="s">
        <v>36</v>
      </c>
      <c r="P254" s="12">
        <v>44683.726655092592</v>
      </c>
      <c r="R254" s="1" t="s">
        <v>38</v>
      </c>
      <c r="T254" s="1" t="s">
        <v>74</v>
      </c>
      <c r="U254" s="12">
        <v>44684.75</v>
      </c>
      <c r="V254" s="1" t="s">
        <v>41</v>
      </c>
      <c r="W254" s="1" t="s">
        <v>49</v>
      </c>
      <c r="X254" s="13" t="str">
        <f t="shared" si="26"/>
        <v/>
      </c>
      <c r="Y254" s="2">
        <f t="shared" ca="1" si="21"/>
        <v>218</v>
      </c>
      <c r="Z254" s="14">
        <v>1</v>
      </c>
      <c r="AA254" s="1" t="str">
        <f t="shared" ca="1" si="22"/>
        <v>VENCIDO</v>
      </c>
      <c r="AB254" s="1" t="str">
        <f t="shared" si="23"/>
        <v>Dosa</v>
      </c>
      <c r="AC254" s="2" t="str">
        <f t="shared" si="27"/>
        <v xml:space="preserve"> CRISTINA </v>
      </c>
      <c r="AD254" s="2">
        <f t="shared" si="24"/>
        <v>5</v>
      </c>
      <c r="AE254" s="2">
        <f t="shared" ca="1" si="25"/>
        <v>-301.9262716435187</v>
      </c>
      <c r="AF254" s="15"/>
    </row>
    <row r="255" spans="1:32" hidden="1">
      <c r="A255" s="1">
        <v>8555329</v>
      </c>
      <c r="B255" s="1" t="s">
        <v>101</v>
      </c>
      <c r="C255" t="s">
        <v>573</v>
      </c>
      <c r="E255" s="2">
        <v>537000206001</v>
      </c>
      <c r="F255" s="1" t="s">
        <v>29</v>
      </c>
      <c r="G255" s="1" t="s">
        <v>53</v>
      </c>
      <c r="H255" s="1" t="s">
        <v>442</v>
      </c>
      <c r="I255" s="1" t="s">
        <v>443</v>
      </c>
      <c r="J255" s="1" t="s">
        <v>79</v>
      </c>
      <c r="K255" t="s">
        <v>34</v>
      </c>
      <c r="M255" s="1" t="s">
        <v>35</v>
      </c>
      <c r="N255" s="1">
        <v>42318949</v>
      </c>
      <c r="O255" s="1" t="s">
        <v>36</v>
      </c>
      <c r="P255" s="11" t="s">
        <v>576</v>
      </c>
      <c r="R255" s="1" t="s">
        <v>38</v>
      </c>
      <c r="T255" s="1" t="s">
        <v>74</v>
      </c>
      <c r="U255" s="11" t="s">
        <v>575</v>
      </c>
      <c r="V255" s="1" t="s">
        <v>41</v>
      </c>
      <c r="W255" s="1" t="s">
        <v>49</v>
      </c>
      <c r="X255" s="13" t="str">
        <f t="shared" si="26"/>
        <v/>
      </c>
      <c r="Y255" s="2">
        <f t="shared" ca="1" si="21"/>
        <v>218</v>
      </c>
      <c r="Z255" s="14">
        <v>1</v>
      </c>
      <c r="AA255" s="1" t="str">
        <f t="shared" ca="1" si="22"/>
        <v>VENCIDO</v>
      </c>
      <c r="AB255" s="1" t="str">
        <f t="shared" si="23"/>
        <v>Dosa</v>
      </c>
      <c r="AC255" s="2" t="str">
        <f t="shared" si="27"/>
        <v xml:space="preserve"> ROSEMERE </v>
      </c>
      <c r="AD255" s="2">
        <f t="shared" si="24"/>
        <v>5</v>
      </c>
      <c r="AE255" s="2">
        <f t="shared" ca="1" si="25"/>
        <v>-301.9262716435187</v>
      </c>
      <c r="AF255" s="15"/>
    </row>
    <row r="256" spans="1:32" hidden="1">
      <c r="A256" s="1">
        <v>8591589</v>
      </c>
      <c r="B256" s="1" t="s">
        <v>27</v>
      </c>
      <c r="C256" t="s">
        <v>577</v>
      </c>
      <c r="E256" s="2">
        <v>9703000206201</v>
      </c>
      <c r="F256" s="1" t="s">
        <v>208</v>
      </c>
      <c r="G256" s="1" t="s">
        <v>53</v>
      </c>
      <c r="H256" s="1" t="s">
        <v>494</v>
      </c>
      <c r="I256" s="1" t="s">
        <v>495</v>
      </c>
      <c r="J256" s="1" t="s">
        <v>79</v>
      </c>
      <c r="K256" t="s">
        <v>212</v>
      </c>
      <c r="M256" s="1" t="s">
        <v>35</v>
      </c>
      <c r="N256" s="1">
        <v>42318949</v>
      </c>
      <c r="O256" s="1" t="s">
        <v>36</v>
      </c>
      <c r="P256" s="186">
        <v>44697.547592592593</v>
      </c>
      <c r="R256" s="1" t="s">
        <v>38</v>
      </c>
      <c r="T256" s="1" t="s">
        <v>74</v>
      </c>
      <c r="U256" s="186">
        <v>44739.75</v>
      </c>
      <c r="V256" s="1" t="s">
        <v>41</v>
      </c>
      <c r="W256" s="1" t="s">
        <v>49</v>
      </c>
      <c r="X256" s="13" t="str">
        <f t="shared" si="26"/>
        <v/>
      </c>
      <c r="Y256" s="2">
        <f t="shared" ca="1" si="21"/>
        <v>208</v>
      </c>
      <c r="Z256" s="14">
        <v>1</v>
      </c>
      <c r="AA256" s="1" t="str">
        <f t="shared" ca="1" si="22"/>
        <v>VENCIDO</v>
      </c>
      <c r="AB256" s="1" t="str">
        <f t="shared" si="23"/>
        <v>TAAe+</v>
      </c>
      <c r="AC256" s="2" t="str">
        <f t="shared" si="27"/>
        <v xml:space="preserve"> ROSEMERE </v>
      </c>
      <c r="AD256" s="2">
        <f t="shared" si="24"/>
        <v>8</v>
      </c>
      <c r="AE256" s="2">
        <f t="shared" ca="1" si="25"/>
        <v>-246.9262716435187</v>
      </c>
      <c r="AF256" s="15"/>
    </row>
    <row r="257" spans="1:32">
      <c r="A257" s="1">
        <v>8600371</v>
      </c>
      <c r="B257" s="1" t="s">
        <v>62</v>
      </c>
      <c r="C257" t="s">
        <v>578</v>
      </c>
      <c r="E257" s="2">
        <v>2437000203000</v>
      </c>
      <c r="F257" s="1" t="s">
        <v>454</v>
      </c>
      <c r="G257" s="1" t="s">
        <v>53</v>
      </c>
      <c r="H257" s="1" t="s">
        <v>416</v>
      </c>
      <c r="I257" s="1" t="s">
        <v>417</v>
      </c>
      <c r="J257" s="1" t="s">
        <v>211</v>
      </c>
      <c r="K257" t="s">
        <v>457</v>
      </c>
      <c r="M257" s="1" t="s">
        <v>58</v>
      </c>
      <c r="N257" s="1">
        <v>0</v>
      </c>
      <c r="O257" s="1" t="s">
        <v>36</v>
      </c>
      <c r="P257" s="186">
        <v>44700.687164351853</v>
      </c>
      <c r="R257" s="1">
        <v>1</v>
      </c>
      <c r="T257" s="1" t="s">
        <v>157</v>
      </c>
      <c r="U257" s="186">
        <v>44735.75</v>
      </c>
      <c r="V257" s="1" t="s">
        <v>41</v>
      </c>
      <c r="W257" s="1" t="s">
        <v>49</v>
      </c>
      <c r="X257" s="13" t="str">
        <f t="shared" si="26"/>
        <v/>
      </c>
      <c r="Y257" s="2">
        <f t="shared" ca="1" si="21"/>
        <v>205</v>
      </c>
      <c r="Z257" s="14">
        <v>1</v>
      </c>
      <c r="AA257" s="1" t="str">
        <f t="shared" ca="1" si="22"/>
        <v>VENCIDO</v>
      </c>
      <c r="AB257" s="1" t="str">
        <f t="shared" si="23"/>
        <v>C-14</v>
      </c>
      <c r="AC257" s="2" t="str">
        <f t="shared" si="27"/>
        <v xml:space="preserve"> RINALDO </v>
      </c>
      <c r="AD257" s="2">
        <f t="shared" si="24"/>
        <v>5</v>
      </c>
      <c r="AE257" s="2">
        <f t="shared" ca="1" si="25"/>
        <v>-250.9262716435187</v>
      </c>
      <c r="AF257" s="15"/>
    </row>
    <row r="258" spans="1:32" hidden="1">
      <c r="A258" s="1">
        <v>8624265</v>
      </c>
      <c r="B258" s="1" t="s">
        <v>27</v>
      </c>
      <c r="C258" t="s">
        <v>186</v>
      </c>
      <c r="E258" s="2">
        <v>2413000206001</v>
      </c>
      <c r="F258" s="1" t="s">
        <v>29</v>
      </c>
      <c r="G258" s="1" t="s">
        <v>53</v>
      </c>
      <c r="H258" s="1" t="s">
        <v>505</v>
      </c>
      <c r="I258" s="1" t="s">
        <v>506</v>
      </c>
      <c r="J258" s="1" t="s">
        <v>141</v>
      </c>
      <c r="K258" t="s">
        <v>34</v>
      </c>
      <c r="M258" s="1" t="s">
        <v>35</v>
      </c>
      <c r="N258" s="1">
        <v>42318949</v>
      </c>
      <c r="O258" s="1" t="s">
        <v>105</v>
      </c>
      <c r="P258" s="11" t="s">
        <v>579</v>
      </c>
      <c r="R258" s="1" t="s">
        <v>38</v>
      </c>
      <c r="T258" s="1" t="s">
        <v>74</v>
      </c>
      <c r="U258" s="11" t="s">
        <v>580</v>
      </c>
      <c r="V258" s="1" t="s">
        <v>41</v>
      </c>
      <c r="W258" s="1" t="s">
        <v>49</v>
      </c>
      <c r="X258" s="13" t="str">
        <f t="shared" si="26"/>
        <v/>
      </c>
      <c r="Y258" s="2">
        <f t="shared" ref="Y258:Y321" ca="1" si="28">NETWORKDAYS(P258,$Y$1)</f>
        <v>198</v>
      </c>
      <c r="Z258" s="14">
        <v>1</v>
      </c>
      <c r="AA258" s="1" t="str">
        <f t="shared" ref="AA258:AA321" ca="1" si="29">IF(AE258=0,"HOJE",IF(AE258&gt;0,"A VENCER",IF(AE258&lt;0,"VENCIDO")))</f>
        <v>VENCIDO</v>
      </c>
      <c r="AB258" s="1" t="str">
        <f t="shared" ref="AB258:AB321" si="30">IF(F258="GRPE-000001","C-14",IF(F258="GRPE-000002","C-14",IF(F258="GRPE-000003","C-14",IF(F258="GRPE-000004","SL-On",IF(F258="GRPE-000038","C-14",IF(F258="GRPE-900022","Dosa",IF(F258="GRPE-000029","Dosa",IF(F258="ATOS-000222","Dose","TAAe+"))))))))</f>
        <v>Dosa</v>
      </c>
      <c r="AC258" s="2" t="str">
        <f t="shared" si="27"/>
        <v xml:space="preserve"> CRISTINA </v>
      </c>
      <c r="AD258" s="2">
        <f t="shared" ref="AD258:AD321" si="31">IF(F258="GRPE-000001",5,IF(F258="GRPE-000002",5,IF(F258="GRPE-000003",15,IF(F258="GRPE-000004",1,IF(F258="GRPE-000038",5,IF(F258="GRPE-900022",5,IF(F258="GRPE-000029",5,IF(F258="ATOS-000222",5,8))))))))</f>
        <v>5</v>
      </c>
      <c r="AE258" s="2">
        <f t="shared" ref="AE258:AE321" ca="1" si="32">IF(U258=$AE$1,"",U258-$AE$1)</f>
        <v>-274.9262716435187</v>
      </c>
      <c r="AF258" s="15"/>
    </row>
    <row r="259" spans="1:32" hidden="1">
      <c r="A259" s="1">
        <v>8624202</v>
      </c>
      <c r="B259" s="1" t="s">
        <v>27</v>
      </c>
      <c r="C259" t="s">
        <v>186</v>
      </c>
      <c r="E259" s="2">
        <v>673000206001</v>
      </c>
      <c r="F259" s="1" t="s">
        <v>29</v>
      </c>
      <c r="G259" s="1" t="s">
        <v>53</v>
      </c>
      <c r="H259" s="1" t="s">
        <v>581</v>
      </c>
      <c r="I259" s="1" t="s">
        <v>582</v>
      </c>
      <c r="J259" s="1" t="s">
        <v>110</v>
      </c>
      <c r="K259" t="s">
        <v>34</v>
      </c>
      <c r="M259" s="1" t="s">
        <v>35</v>
      </c>
      <c r="N259" s="1">
        <v>42318949</v>
      </c>
      <c r="O259" s="1" t="s">
        <v>36</v>
      </c>
      <c r="P259" s="11" t="s">
        <v>583</v>
      </c>
      <c r="R259" s="1" t="s">
        <v>38</v>
      </c>
      <c r="T259" s="1" t="s">
        <v>74</v>
      </c>
      <c r="U259" s="11" t="s">
        <v>580</v>
      </c>
      <c r="V259" s="1" t="s">
        <v>41</v>
      </c>
      <c r="W259" s="1" t="s">
        <v>49</v>
      </c>
      <c r="X259" s="13" t="str">
        <f t="shared" ref="X259:X322" si="33">IF(RIGHT(H259,2)&lt;&gt;"00",H259,"")</f>
        <v/>
      </c>
      <c r="Y259" s="2">
        <f t="shared" ca="1" si="28"/>
        <v>198</v>
      </c>
      <c r="Z259" s="14">
        <v>1</v>
      </c>
      <c r="AA259" s="1" t="str">
        <f t="shared" ca="1" si="29"/>
        <v>VENCIDO</v>
      </c>
      <c r="AB259" s="1" t="str">
        <f t="shared" si="30"/>
        <v>Dosa</v>
      </c>
      <c r="AC259" s="2" t="str">
        <f t="shared" ref="AC259:AC322" si="3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 xml:space="preserve"> CRISTINA </v>
      </c>
      <c r="AD259" s="2">
        <f t="shared" si="31"/>
        <v>5</v>
      </c>
      <c r="AE259" s="2">
        <f t="shared" ca="1" si="32"/>
        <v>-274.9262716435187</v>
      </c>
      <c r="AF259" s="15"/>
    </row>
    <row r="260" spans="1:32" hidden="1">
      <c r="A260" s="1">
        <v>8624200</v>
      </c>
      <c r="B260" s="1" t="s">
        <v>27</v>
      </c>
      <c r="C260" t="s">
        <v>186</v>
      </c>
      <c r="E260" s="2">
        <v>7710206001</v>
      </c>
      <c r="F260" s="1" t="s">
        <v>29</v>
      </c>
      <c r="G260" s="1" t="s">
        <v>53</v>
      </c>
      <c r="H260" s="1" t="s">
        <v>228</v>
      </c>
      <c r="I260" s="1" t="s">
        <v>229</v>
      </c>
      <c r="J260" s="1" t="s">
        <v>46</v>
      </c>
      <c r="K260" t="s">
        <v>34</v>
      </c>
      <c r="M260" s="1" t="s">
        <v>35</v>
      </c>
      <c r="N260" s="1">
        <v>42318949</v>
      </c>
      <c r="O260" s="1" t="s">
        <v>105</v>
      </c>
      <c r="P260" s="11" t="s">
        <v>584</v>
      </c>
      <c r="R260" s="1" t="s">
        <v>38</v>
      </c>
      <c r="T260" s="1" t="s">
        <v>74</v>
      </c>
      <c r="U260" s="11" t="s">
        <v>580</v>
      </c>
      <c r="V260" s="1" t="s">
        <v>41</v>
      </c>
      <c r="W260" s="1" t="s">
        <v>49</v>
      </c>
      <c r="X260" s="13" t="str">
        <f t="shared" si="33"/>
        <v>0007.71</v>
      </c>
      <c r="Y260" s="2">
        <f t="shared" ca="1" si="28"/>
        <v>198</v>
      </c>
      <c r="Z260" s="14">
        <v>1</v>
      </c>
      <c r="AA260" s="1" t="str">
        <f t="shared" ca="1" si="29"/>
        <v>VENCIDO</v>
      </c>
      <c r="AB260" s="1" t="str">
        <f t="shared" si="30"/>
        <v>Dosa</v>
      </c>
      <c r="AC260" s="2" t="str">
        <f t="shared" si="34"/>
        <v xml:space="preserve"> CLEITON </v>
      </c>
      <c r="AD260" s="2">
        <f t="shared" si="31"/>
        <v>5</v>
      </c>
      <c r="AE260" s="2">
        <f t="shared" ca="1" si="32"/>
        <v>-274.9262716435187</v>
      </c>
      <c r="AF260" s="15"/>
    </row>
    <row r="261" spans="1:32" hidden="1">
      <c r="A261" s="1">
        <v>8624105</v>
      </c>
      <c r="B261" s="1" t="s">
        <v>27</v>
      </c>
      <c r="C261" t="s">
        <v>186</v>
      </c>
      <c r="E261" s="2">
        <v>3504000206001</v>
      </c>
      <c r="F261" s="1" t="s">
        <v>29</v>
      </c>
      <c r="G261" s="1" t="s">
        <v>53</v>
      </c>
      <c r="H261" s="1" t="s">
        <v>585</v>
      </c>
      <c r="I261" s="1" t="s">
        <v>586</v>
      </c>
      <c r="J261" s="1" t="s">
        <v>46</v>
      </c>
      <c r="K261" t="s">
        <v>34</v>
      </c>
      <c r="M261" s="1" t="s">
        <v>35</v>
      </c>
      <c r="N261" s="1">
        <v>42318949</v>
      </c>
      <c r="O261" s="1" t="s">
        <v>105</v>
      </c>
      <c r="P261" s="11" t="s">
        <v>587</v>
      </c>
      <c r="R261" s="1" t="s">
        <v>38</v>
      </c>
      <c r="T261" s="1" t="s">
        <v>74</v>
      </c>
      <c r="U261" s="11" t="s">
        <v>580</v>
      </c>
      <c r="V261" s="1" t="s">
        <v>41</v>
      </c>
      <c r="W261" s="1" t="s">
        <v>49</v>
      </c>
      <c r="X261" s="13" t="str">
        <f t="shared" si="33"/>
        <v/>
      </c>
      <c r="Y261" s="2">
        <f t="shared" ca="1" si="28"/>
        <v>198</v>
      </c>
      <c r="Z261" s="14">
        <v>1</v>
      </c>
      <c r="AA261" s="1" t="str">
        <f t="shared" ca="1" si="29"/>
        <v>VENCIDO</v>
      </c>
      <c r="AB261" s="1" t="str">
        <f t="shared" si="30"/>
        <v>Dosa</v>
      </c>
      <c r="AC261" s="2" t="str">
        <f t="shared" si="34"/>
        <v xml:space="preserve"> CLEITON </v>
      </c>
      <c r="AD261" s="2">
        <f t="shared" si="31"/>
        <v>5</v>
      </c>
      <c r="AE261" s="2">
        <f t="shared" ca="1" si="32"/>
        <v>-274.9262716435187</v>
      </c>
      <c r="AF261" s="15"/>
    </row>
    <row r="262" spans="1:32" hidden="1">
      <c r="A262" s="1">
        <v>8624102</v>
      </c>
      <c r="B262" s="1" t="s">
        <v>27</v>
      </c>
      <c r="C262" t="s">
        <v>186</v>
      </c>
      <c r="E262" s="2">
        <v>220000206001</v>
      </c>
      <c r="F262" s="1" t="s">
        <v>29</v>
      </c>
      <c r="G262" s="1" t="s">
        <v>53</v>
      </c>
      <c r="H262" s="1" t="s">
        <v>588</v>
      </c>
      <c r="I262" s="1" t="s">
        <v>589</v>
      </c>
      <c r="J262" s="1" t="s">
        <v>110</v>
      </c>
      <c r="K262" t="s">
        <v>34</v>
      </c>
      <c r="M262" s="1" t="s">
        <v>35</v>
      </c>
      <c r="N262" s="1">
        <v>42318949</v>
      </c>
      <c r="O262" s="1" t="s">
        <v>105</v>
      </c>
      <c r="P262" s="11" t="s">
        <v>587</v>
      </c>
      <c r="R262" s="1" t="s">
        <v>38</v>
      </c>
      <c r="T262" s="1" t="s">
        <v>74</v>
      </c>
      <c r="U262" s="11" t="s">
        <v>580</v>
      </c>
      <c r="V262" s="1" t="s">
        <v>41</v>
      </c>
      <c r="W262" s="1" t="s">
        <v>49</v>
      </c>
      <c r="X262" s="13" t="str">
        <f t="shared" si="33"/>
        <v/>
      </c>
      <c r="Y262" s="2">
        <f t="shared" ca="1" si="28"/>
        <v>198</v>
      </c>
      <c r="Z262" s="14">
        <v>1</v>
      </c>
      <c r="AA262" s="1" t="str">
        <f t="shared" ca="1" si="29"/>
        <v>VENCIDO</v>
      </c>
      <c r="AB262" s="1" t="str">
        <f t="shared" si="30"/>
        <v>Dosa</v>
      </c>
      <c r="AC262" s="2" t="str">
        <f t="shared" si="34"/>
        <v xml:space="preserve"> CRISTINA </v>
      </c>
      <c r="AD262" s="2">
        <f t="shared" si="31"/>
        <v>5</v>
      </c>
      <c r="AE262" s="2">
        <f t="shared" ca="1" si="32"/>
        <v>-274.9262716435187</v>
      </c>
      <c r="AF262" s="15"/>
    </row>
    <row r="263" spans="1:32" hidden="1">
      <c r="A263" s="1">
        <v>8624013</v>
      </c>
      <c r="B263" s="1" t="s">
        <v>27</v>
      </c>
      <c r="C263" t="s">
        <v>186</v>
      </c>
      <c r="E263" s="2">
        <v>2081000206001</v>
      </c>
      <c r="F263" s="1" t="s">
        <v>29</v>
      </c>
      <c r="G263" s="1" t="s">
        <v>53</v>
      </c>
      <c r="H263" s="1" t="s">
        <v>590</v>
      </c>
      <c r="I263" s="1" t="s">
        <v>591</v>
      </c>
      <c r="J263" s="1" t="s">
        <v>261</v>
      </c>
      <c r="K263" t="s">
        <v>34</v>
      </c>
      <c r="M263" s="1" t="s">
        <v>35</v>
      </c>
      <c r="N263" s="1">
        <v>42318949</v>
      </c>
      <c r="O263" s="1" t="s">
        <v>105</v>
      </c>
      <c r="P263" s="11" t="s">
        <v>592</v>
      </c>
      <c r="R263" s="1" t="s">
        <v>38</v>
      </c>
      <c r="T263" s="1" t="s">
        <v>74</v>
      </c>
      <c r="U263" s="11" t="s">
        <v>580</v>
      </c>
      <c r="V263" s="1" t="s">
        <v>41</v>
      </c>
      <c r="W263" s="1" t="s">
        <v>49</v>
      </c>
      <c r="X263" s="13" t="str">
        <f t="shared" si="33"/>
        <v/>
      </c>
      <c r="Y263" s="2">
        <f t="shared" ca="1" si="28"/>
        <v>198</v>
      </c>
      <c r="Z263" s="14">
        <v>1</v>
      </c>
      <c r="AA263" s="1" t="str">
        <f t="shared" ca="1" si="29"/>
        <v>VENCIDO</v>
      </c>
      <c r="AB263" s="1" t="str">
        <f t="shared" si="30"/>
        <v>Dosa</v>
      </c>
      <c r="AC263" s="2" t="str">
        <f t="shared" si="34"/>
        <v xml:space="preserve"> CRISTINA </v>
      </c>
      <c r="AD263" s="2">
        <f t="shared" si="31"/>
        <v>5</v>
      </c>
      <c r="AE263" s="2">
        <f t="shared" ca="1" si="32"/>
        <v>-274.9262716435187</v>
      </c>
      <c r="AF263" s="15"/>
    </row>
    <row r="264" spans="1:32" hidden="1">
      <c r="A264" s="1">
        <v>8623899</v>
      </c>
      <c r="B264" s="1" t="s">
        <v>27</v>
      </c>
      <c r="C264" t="s">
        <v>186</v>
      </c>
      <c r="E264" s="2">
        <v>1358000206001</v>
      </c>
      <c r="F264" s="1" t="s">
        <v>29</v>
      </c>
      <c r="G264" s="1" t="s">
        <v>53</v>
      </c>
      <c r="H264" s="1" t="s">
        <v>593</v>
      </c>
      <c r="I264" s="1" t="s">
        <v>594</v>
      </c>
      <c r="J264" s="1" t="s">
        <v>261</v>
      </c>
      <c r="K264" t="s">
        <v>34</v>
      </c>
      <c r="M264" s="1" t="s">
        <v>35</v>
      </c>
      <c r="N264" s="1">
        <v>42318949</v>
      </c>
      <c r="O264" s="1" t="s">
        <v>105</v>
      </c>
      <c r="P264" s="11" t="s">
        <v>595</v>
      </c>
      <c r="R264" s="1" t="s">
        <v>38</v>
      </c>
      <c r="T264" s="1" t="s">
        <v>74</v>
      </c>
      <c r="U264" s="11" t="s">
        <v>580</v>
      </c>
      <c r="V264" s="1" t="s">
        <v>41</v>
      </c>
      <c r="W264" s="1" t="s">
        <v>49</v>
      </c>
      <c r="X264" s="13" t="str">
        <f t="shared" si="33"/>
        <v/>
      </c>
      <c r="Y264" s="2">
        <f t="shared" ca="1" si="28"/>
        <v>198</v>
      </c>
      <c r="Z264" s="14">
        <v>1</v>
      </c>
      <c r="AA264" s="1" t="str">
        <f t="shared" ca="1" si="29"/>
        <v>VENCIDO</v>
      </c>
      <c r="AB264" s="1" t="str">
        <f t="shared" si="30"/>
        <v>Dosa</v>
      </c>
      <c r="AC264" s="2" t="str">
        <f t="shared" si="34"/>
        <v xml:space="preserve"> CRISTINA </v>
      </c>
      <c r="AD264" s="2">
        <f t="shared" si="31"/>
        <v>5</v>
      </c>
      <c r="AE264" s="2">
        <f t="shared" ca="1" si="32"/>
        <v>-274.9262716435187</v>
      </c>
      <c r="AF264" s="15"/>
    </row>
    <row r="265" spans="1:32" hidden="1">
      <c r="A265" s="1">
        <v>8623844</v>
      </c>
      <c r="B265" s="1" t="s">
        <v>27</v>
      </c>
      <c r="C265" t="s">
        <v>186</v>
      </c>
      <c r="E265" s="2">
        <v>3503000206001</v>
      </c>
      <c r="F265" s="1" t="s">
        <v>29</v>
      </c>
      <c r="G265" s="1" t="s">
        <v>53</v>
      </c>
      <c r="H265" s="1" t="s">
        <v>398</v>
      </c>
      <c r="I265" s="1" t="s">
        <v>399</v>
      </c>
      <c r="J265" s="1" t="s">
        <v>46</v>
      </c>
      <c r="K265" t="s">
        <v>34</v>
      </c>
      <c r="M265" s="1" t="s">
        <v>35</v>
      </c>
      <c r="N265" s="1">
        <v>42318949</v>
      </c>
      <c r="O265" s="1" t="s">
        <v>105</v>
      </c>
      <c r="P265" s="11" t="s">
        <v>596</v>
      </c>
      <c r="R265" s="1" t="s">
        <v>38</v>
      </c>
      <c r="T265" s="1" t="s">
        <v>74</v>
      </c>
      <c r="U265" s="11" t="s">
        <v>580</v>
      </c>
      <c r="V265" s="1" t="s">
        <v>41</v>
      </c>
      <c r="W265" s="1" t="s">
        <v>49</v>
      </c>
      <c r="X265" s="13" t="str">
        <f t="shared" si="33"/>
        <v/>
      </c>
      <c r="Y265" s="2">
        <f t="shared" ca="1" si="28"/>
        <v>198</v>
      </c>
      <c r="Z265" s="14">
        <v>1</v>
      </c>
      <c r="AA265" s="1" t="str">
        <f t="shared" ca="1" si="29"/>
        <v>VENCIDO</v>
      </c>
      <c r="AB265" s="1" t="str">
        <f t="shared" si="30"/>
        <v>Dosa</v>
      </c>
      <c r="AC265" s="2" t="str">
        <f t="shared" si="34"/>
        <v xml:space="preserve"> CLEITON </v>
      </c>
      <c r="AD265" s="2">
        <f t="shared" si="31"/>
        <v>5</v>
      </c>
      <c r="AE265" s="2">
        <f t="shared" ca="1" si="32"/>
        <v>-274.9262716435187</v>
      </c>
      <c r="AF265" s="15"/>
    </row>
    <row r="266" spans="1:32" hidden="1">
      <c r="A266" s="1">
        <v>8623731</v>
      </c>
      <c r="B266" s="1" t="s">
        <v>27</v>
      </c>
      <c r="C266" t="s">
        <v>186</v>
      </c>
      <c r="E266" s="2">
        <v>3234160206001</v>
      </c>
      <c r="F266" s="1" t="s">
        <v>29</v>
      </c>
      <c r="G266" s="1" t="s">
        <v>53</v>
      </c>
      <c r="H266" s="1" t="s">
        <v>499</v>
      </c>
      <c r="I266" s="1" t="s">
        <v>500</v>
      </c>
      <c r="J266" s="1" t="s">
        <v>46</v>
      </c>
      <c r="K266" t="s">
        <v>34</v>
      </c>
      <c r="M266" s="1" t="s">
        <v>35</v>
      </c>
      <c r="N266" s="1">
        <v>42318949</v>
      </c>
      <c r="O266" s="1" t="s">
        <v>105</v>
      </c>
      <c r="P266" s="11" t="s">
        <v>597</v>
      </c>
      <c r="R266" s="1" t="s">
        <v>38</v>
      </c>
      <c r="T266" s="1" t="s">
        <v>74</v>
      </c>
      <c r="U266" s="11" t="s">
        <v>580</v>
      </c>
      <c r="V266" s="1" t="s">
        <v>41</v>
      </c>
      <c r="W266" s="1" t="s">
        <v>49</v>
      </c>
      <c r="X266" s="13" t="str">
        <f t="shared" si="33"/>
        <v>3234.16</v>
      </c>
      <c r="Y266" s="2">
        <f t="shared" ca="1" si="28"/>
        <v>198</v>
      </c>
      <c r="Z266" s="14">
        <v>1</v>
      </c>
      <c r="AA266" s="1" t="str">
        <f t="shared" ca="1" si="29"/>
        <v>VENCIDO</v>
      </c>
      <c r="AB266" s="1" t="str">
        <f t="shared" si="30"/>
        <v>Dosa</v>
      </c>
      <c r="AC266" s="2" t="str">
        <f t="shared" si="34"/>
        <v xml:space="preserve"> CLEITON </v>
      </c>
      <c r="AD266" s="2">
        <f t="shared" si="31"/>
        <v>5</v>
      </c>
      <c r="AE266" s="2">
        <f t="shared" ca="1" si="32"/>
        <v>-274.9262716435187</v>
      </c>
      <c r="AF266" s="15"/>
    </row>
    <row r="267" spans="1:32" hidden="1">
      <c r="A267" s="1">
        <v>8623708</v>
      </c>
      <c r="B267" s="1" t="s">
        <v>27</v>
      </c>
      <c r="C267" t="s">
        <v>186</v>
      </c>
      <c r="E267" s="2">
        <v>2018000206001</v>
      </c>
      <c r="F267" s="1" t="s">
        <v>29</v>
      </c>
      <c r="G267" s="1" t="s">
        <v>53</v>
      </c>
      <c r="H267" s="1" t="s">
        <v>598</v>
      </c>
      <c r="I267" s="1" t="s">
        <v>599</v>
      </c>
      <c r="J267" s="1" t="s">
        <v>79</v>
      </c>
      <c r="K267" t="s">
        <v>34</v>
      </c>
      <c r="M267" s="1" t="s">
        <v>35</v>
      </c>
      <c r="N267" s="1">
        <v>42318949</v>
      </c>
      <c r="O267" s="1" t="s">
        <v>105</v>
      </c>
      <c r="P267" s="11" t="s">
        <v>600</v>
      </c>
      <c r="R267" s="1" t="s">
        <v>38</v>
      </c>
      <c r="T267" s="1" t="s">
        <v>74</v>
      </c>
      <c r="U267" s="11" t="s">
        <v>580</v>
      </c>
      <c r="V267" s="1" t="s">
        <v>41</v>
      </c>
      <c r="W267" s="1" t="s">
        <v>49</v>
      </c>
      <c r="X267" s="13" t="str">
        <f t="shared" si="33"/>
        <v/>
      </c>
      <c r="Y267" s="2">
        <f t="shared" ca="1" si="28"/>
        <v>198</v>
      </c>
      <c r="Z267" s="14">
        <v>1</v>
      </c>
      <c r="AA267" s="1" t="str">
        <f t="shared" ca="1" si="29"/>
        <v>VENCIDO</v>
      </c>
      <c r="AB267" s="1" t="str">
        <f t="shared" si="30"/>
        <v>Dosa</v>
      </c>
      <c r="AC267" s="2" t="str">
        <f t="shared" si="34"/>
        <v xml:space="preserve"> ROSEMERE </v>
      </c>
      <c r="AD267" s="2">
        <f t="shared" si="31"/>
        <v>5</v>
      </c>
      <c r="AE267" s="2">
        <f t="shared" ca="1" si="32"/>
        <v>-274.9262716435187</v>
      </c>
      <c r="AF267" s="15"/>
    </row>
    <row r="268" spans="1:32" hidden="1">
      <c r="A268" s="1">
        <v>8623572</v>
      </c>
      <c r="B268" s="1" t="s">
        <v>27</v>
      </c>
      <c r="C268" t="s">
        <v>186</v>
      </c>
      <c r="E268" s="2">
        <v>3108010206001</v>
      </c>
      <c r="F268" s="1" t="s">
        <v>29</v>
      </c>
      <c r="G268" s="1" t="s">
        <v>53</v>
      </c>
      <c r="H268" s="1" t="s">
        <v>503</v>
      </c>
      <c r="I268" s="1" t="s">
        <v>504</v>
      </c>
      <c r="J268" s="1" t="s">
        <v>46</v>
      </c>
      <c r="K268" t="s">
        <v>34</v>
      </c>
      <c r="M268" s="1" t="s">
        <v>35</v>
      </c>
      <c r="N268" s="1">
        <v>42318949</v>
      </c>
      <c r="O268" s="1" t="s">
        <v>105</v>
      </c>
      <c r="P268" s="11" t="s">
        <v>601</v>
      </c>
      <c r="R268" s="1" t="s">
        <v>38</v>
      </c>
      <c r="T268" s="1" t="s">
        <v>74</v>
      </c>
      <c r="U268" s="11" t="s">
        <v>580</v>
      </c>
      <c r="V268" s="1" t="s">
        <v>41</v>
      </c>
      <c r="W268" s="1" t="s">
        <v>49</v>
      </c>
      <c r="X268" s="13" t="str">
        <f t="shared" si="33"/>
        <v>3108.01</v>
      </c>
      <c r="Y268" s="2">
        <f t="shared" ca="1" si="28"/>
        <v>198</v>
      </c>
      <c r="Z268" s="14">
        <v>1</v>
      </c>
      <c r="AA268" s="1" t="str">
        <f t="shared" ca="1" si="29"/>
        <v>VENCIDO</v>
      </c>
      <c r="AB268" s="1" t="str">
        <f t="shared" si="30"/>
        <v>Dosa</v>
      </c>
      <c r="AC268" s="2" t="str">
        <f t="shared" si="34"/>
        <v xml:space="preserve"> CLEITON </v>
      </c>
      <c r="AD268" s="2">
        <f t="shared" si="31"/>
        <v>5</v>
      </c>
      <c r="AE268" s="2">
        <f t="shared" ca="1" si="32"/>
        <v>-274.9262716435187</v>
      </c>
      <c r="AF268" s="15"/>
    </row>
    <row r="269" spans="1:32" hidden="1">
      <c r="A269" s="1">
        <v>8623522</v>
      </c>
      <c r="B269" s="1" t="s">
        <v>27</v>
      </c>
      <c r="C269" t="s">
        <v>186</v>
      </c>
      <c r="E269" s="2">
        <v>1421000206001</v>
      </c>
      <c r="F269" s="1" t="s">
        <v>29</v>
      </c>
      <c r="G269" s="1" t="s">
        <v>53</v>
      </c>
      <c r="H269" s="1" t="s">
        <v>179</v>
      </c>
      <c r="I269" s="1" t="s">
        <v>180</v>
      </c>
      <c r="J269" s="1" t="s">
        <v>79</v>
      </c>
      <c r="K269" t="s">
        <v>34</v>
      </c>
      <c r="M269" s="1" t="s">
        <v>35</v>
      </c>
      <c r="N269" s="1">
        <v>42318949</v>
      </c>
      <c r="O269" s="1" t="s">
        <v>36</v>
      </c>
      <c r="P269" s="11" t="s">
        <v>602</v>
      </c>
      <c r="R269" s="1" t="s">
        <v>38</v>
      </c>
      <c r="T269" s="1" t="s">
        <v>74</v>
      </c>
      <c r="U269" s="11" t="s">
        <v>580</v>
      </c>
      <c r="V269" s="1" t="s">
        <v>41</v>
      </c>
      <c r="W269" s="1" t="s">
        <v>49</v>
      </c>
      <c r="X269" s="13" t="str">
        <f t="shared" si="33"/>
        <v/>
      </c>
      <c r="Y269" s="2">
        <f t="shared" ca="1" si="28"/>
        <v>198</v>
      </c>
      <c r="Z269" s="14">
        <v>1</v>
      </c>
      <c r="AA269" s="1" t="str">
        <f t="shared" ca="1" si="29"/>
        <v>VENCIDO</v>
      </c>
      <c r="AB269" s="1" t="str">
        <f t="shared" si="30"/>
        <v>Dosa</v>
      </c>
      <c r="AC269" s="2" t="str">
        <f t="shared" si="34"/>
        <v xml:space="preserve"> ROSEMERE </v>
      </c>
      <c r="AD269" s="2">
        <f t="shared" si="31"/>
        <v>5</v>
      </c>
      <c r="AE269" s="2">
        <f t="shared" ca="1" si="32"/>
        <v>-274.9262716435187</v>
      </c>
      <c r="AF269" s="15"/>
    </row>
    <row r="270" spans="1:32" hidden="1">
      <c r="A270" s="1">
        <v>8623509</v>
      </c>
      <c r="B270" s="1" t="s">
        <v>27</v>
      </c>
      <c r="C270" t="s">
        <v>186</v>
      </c>
      <c r="E270" s="2">
        <v>1643000206001</v>
      </c>
      <c r="F270" s="1" t="s">
        <v>29</v>
      </c>
      <c r="G270" s="1" t="s">
        <v>53</v>
      </c>
      <c r="H270" s="1" t="s">
        <v>361</v>
      </c>
      <c r="I270" s="1" t="s">
        <v>362</v>
      </c>
      <c r="J270" s="1" t="s">
        <v>261</v>
      </c>
      <c r="K270" t="s">
        <v>34</v>
      </c>
      <c r="M270" s="1" t="s">
        <v>35</v>
      </c>
      <c r="N270" s="1">
        <v>42318949</v>
      </c>
      <c r="O270" s="1" t="s">
        <v>105</v>
      </c>
      <c r="P270" s="11" t="s">
        <v>603</v>
      </c>
      <c r="R270" s="1" t="s">
        <v>38</v>
      </c>
      <c r="T270" s="1" t="s">
        <v>74</v>
      </c>
      <c r="U270" s="11" t="s">
        <v>580</v>
      </c>
      <c r="V270" s="1" t="s">
        <v>41</v>
      </c>
      <c r="W270" s="1" t="s">
        <v>49</v>
      </c>
      <c r="X270" s="13" t="str">
        <f t="shared" si="33"/>
        <v/>
      </c>
      <c r="Y270" s="2">
        <f t="shared" ca="1" si="28"/>
        <v>198</v>
      </c>
      <c r="Z270" s="14">
        <v>1</v>
      </c>
      <c r="AA270" s="1" t="str">
        <f t="shared" ca="1" si="29"/>
        <v>VENCIDO</v>
      </c>
      <c r="AB270" s="1" t="str">
        <f t="shared" si="30"/>
        <v>Dosa</v>
      </c>
      <c r="AC270" s="2" t="str">
        <f t="shared" si="34"/>
        <v xml:space="preserve"> CRISTINA </v>
      </c>
      <c r="AD270" s="2">
        <f t="shared" si="31"/>
        <v>5</v>
      </c>
      <c r="AE270" s="2">
        <f t="shared" ca="1" si="32"/>
        <v>-274.9262716435187</v>
      </c>
      <c r="AF270" s="15"/>
    </row>
    <row r="271" spans="1:32" hidden="1">
      <c r="A271" s="1">
        <v>8623470</v>
      </c>
      <c r="B271" s="1" t="s">
        <v>27</v>
      </c>
      <c r="C271" t="s">
        <v>186</v>
      </c>
      <c r="E271" s="2">
        <v>5898000206001</v>
      </c>
      <c r="F271" s="1" t="s">
        <v>29</v>
      </c>
      <c r="G271" s="1" t="s">
        <v>53</v>
      </c>
      <c r="H271" s="1" t="s">
        <v>365</v>
      </c>
      <c r="I271" s="1" t="s">
        <v>366</v>
      </c>
      <c r="J271" s="1" t="s">
        <v>164</v>
      </c>
      <c r="K271" t="s">
        <v>34</v>
      </c>
      <c r="M271" s="1" t="s">
        <v>35</v>
      </c>
      <c r="N271" s="1">
        <v>42318949</v>
      </c>
      <c r="O271" s="1" t="s">
        <v>36</v>
      </c>
      <c r="P271" s="11" t="s">
        <v>604</v>
      </c>
      <c r="R271" s="1" t="s">
        <v>38</v>
      </c>
      <c r="T271" s="1" t="s">
        <v>74</v>
      </c>
      <c r="U271" s="11" t="s">
        <v>580</v>
      </c>
      <c r="V271" s="1" t="s">
        <v>41</v>
      </c>
      <c r="W271" s="1" t="s">
        <v>49</v>
      </c>
      <c r="X271" s="13" t="str">
        <f t="shared" si="33"/>
        <v/>
      </c>
      <c r="Y271" s="2">
        <f t="shared" ca="1" si="28"/>
        <v>198</v>
      </c>
      <c r="Z271" s="14">
        <v>1</v>
      </c>
      <c r="AA271" s="1" t="str">
        <f t="shared" ca="1" si="29"/>
        <v>VENCIDO</v>
      </c>
      <c r="AB271" s="1" t="str">
        <f t="shared" si="30"/>
        <v>Dosa</v>
      </c>
      <c r="AC271" s="2" t="str">
        <f t="shared" si="34"/>
        <v xml:space="preserve"> ROSEMERE </v>
      </c>
      <c r="AD271" s="2">
        <f t="shared" si="31"/>
        <v>5</v>
      </c>
      <c r="AE271" s="2">
        <f t="shared" ca="1" si="32"/>
        <v>-274.9262716435187</v>
      </c>
      <c r="AF271" s="15"/>
    </row>
    <row r="272" spans="1:32" hidden="1">
      <c r="A272" s="1">
        <v>8623457</v>
      </c>
      <c r="B272" s="1" t="s">
        <v>27</v>
      </c>
      <c r="C272" t="s">
        <v>186</v>
      </c>
      <c r="E272" s="2">
        <v>4118000206001</v>
      </c>
      <c r="F272" s="1" t="s">
        <v>29</v>
      </c>
      <c r="G272" s="1" t="s">
        <v>53</v>
      </c>
      <c r="H272" s="1" t="s">
        <v>71</v>
      </c>
      <c r="I272" s="1" t="s">
        <v>72</v>
      </c>
      <c r="J272" s="1" t="s">
        <v>46</v>
      </c>
      <c r="K272" t="s">
        <v>34</v>
      </c>
      <c r="M272" s="1" t="s">
        <v>35</v>
      </c>
      <c r="N272" s="1">
        <v>42318949</v>
      </c>
      <c r="O272" s="1" t="s">
        <v>105</v>
      </c>
      <c r="P272" s="11" t="s">
        <v>605</v>
      </c>
      <c r="R272" s="1" t="s">
        <v>38</v>
      </c>
      <c r="T272" s="1" t="s">
        <v>74</v>
      </c>
      <c r="U272" s="11" t="s">
        <v>580</v>
      </c>
      <c r="V272" s="1" t="s">
        <v>41</v>
      </c>
      <c r="W272" s="1" t="s">
        <v>49</v>
      </c>
      <c r="X272" s="13" t="str">
        <f t="shared" si="33"/>
        <v/>
      </c>
      <c r="Y272" s="2">
        <f t="shared" ca="1" si="28"/>
        <v>198</v>
      </c>
      <c r="Z272" s="14">
        <v>1</v>
      </c>
      <c r="AA272" s="1" t="str">
        <f t="shared" ca="1" si="29"/>
        <v>VENCIDO</v>
      </c>
      <c r="AB272" s="1" t="str">
        <f t="shared" si="30"/>
        <v>Dosa</v>
      </c>
      <c r="AC272" s="2" t="str">
        <f t="shared" si="34"/>
        <v xml:space="preserve"> CLEITON </v>
      </c>
      <c r="AD272" s="2">
        <f t="shared" si="31"/>
        <v>5</v>
      </c>
      <c r="AE272" s="2">
        <f t="shared" ca="1" si="32"/>
        <v>-274.9262716435187</v>
      </c>
      <c r="AF272" s="15"/>
    </row>
    <row r="273" spans="1:32" hidden="1">
      <c r="A273" s="1">
        <v>8623414</v>
      </c>
      <c r="B273" s="1" t="s">
        <v>27</v>
      </c>
      <c r="C273" t="s">
        <v>186</v>
      </c>
      <c r="E273" s="2">
        <v>2107000206001</v>
      </c>
      <c r="F273" s="1" t="s">
        <v>29</v>
      </c>
      <c r="G273" s="1" t="s">
        <v>53</v>
      </c>
      <c r="H273" s="1" t="s">
        <v>262</v>
      </c>
      <c r="I273" s="1" t="s">
        <v>263</v>
      </c>
      <c r="J273" s="1" t="s">
        <v>164</v>
      </c>
      <c r="K273" t="s">
        <v>34</v>
      </c>
      <c r="M273" s="1" t="s">
        <v>35</v>
      </c>
      <c r="N273" s="1">
        <v>42318949</v>
      </c>
      <c r="O273" s="1" t="s">
        <v>105</v>
      </c>
      <c r="P273" s="11" t="s">
        <v>606</v>
      </c>
      <c r="R273" s="1" t="s">
        <v>38</v>
      </c>
      <c r="T273" s="1" t="s">
        <v>74</v>
      </c>
      <c r="U273" s="11" t="s">
        <v>580</v>
      </c>
      <c r="V273" s="1" t="s">
        <v>41</v>
      </c>
      <c r="W273" s="1" t="s">
        <v>49</v>
      </c>
      <c r="X273" s="13" t="str">
        <f t="shared" si="33"/>
        <v/>
      </c>
      <c r="Y273" s="2">
        <f t="shared" ca="1" si="28"/>
        <v>198</v>
      </c>
      <c r="Z273" s="14">
        <v>1</v>
      </c>
      <c r="AA273" s="1" t="str">
        <f t="shared" ca="1" si="29"/>
        <v>VENCIDO</v>
      </c>
      <c r="AB273" s="1" t="str">
        <f t="shared" si="30"/>
        <v>Dosa</v>
      </c>
      <c r="AC273" s="2" t="str">
        <f t="shared" si="34"/>
        <v xml:space="preserve"> ROSEMERE </v>
      </c>
      <c r="AD273" s="2">
        <f t="shared" si="31"/>
        <v>5</v>
      </c>
      <c r="AE273" s="2">
        <f t="shared" ca="1" si="32"/>
        <v>-274.9262716435187</v>
      </c>
      <c r="AF273" s="15"/>
    </row>
    <row r="274" spans="1:32" hidden="1">
      <c r="A274" s="1">
        <v>8623404</v>
      </c>
      <c r="B274" s="1" t="s">
        <v>27</v>
      </c>
      <c r="C274" t="s">
        <v>186</v>
      </c>
      <c r="E274" s="2">
        <v>2388000206001</v>
      </c>
      <c r="F274" s="1" t="s">
        <v>29</v>
      </c>
      <c r="G274" s="1" t="s">
        <v>53</v>
      </c>
      <c r="H274" s="1" t="s">
        <v>299</v>
      </c>
      <c r="I274" s="1" t="s">
        <v>300</v>
      </c>
      <c r="J274" s="1" t="s">
        <v>79</v>
      </c>
      <c r="K274" t="s">
        <v>34</v>
      </c>
      <c r="M274" s="1" t="s">
        <v>35</v>
      </c>
      <c r="N274" s="1">
        <v>42318949</v>
      </c>
      <c r="O274" s="1" t="s">
        <v>36</v>
      </c>
      <c r="P274" s="11" t="s">
        <v>607</v>
      </c>
      <c r="R274" s="1" t="s">
        <v>38</v>
      </c>
      <c r="T274" s="1" t="s">
        <v>74</v>
      </c>
      <c r="U274" s="11" t="s">
        <v>580</v>
      </c>
      <c r="V274" s="1" t="s">
        <v>41</v>
      </c>
      <c r="W274" s="1" t="s">
        <v>49</v>
      </c>
      <c r="X274" s="13" t="str">
        <f t="shared" si="33"/>
        <v/>
      </c>
      <c r="Y274" s="2">
        <f t="shared" ca="1" si="28"/>
        <v>198</v>
      </c>
      <c r="Z274" s="14">
        <v>1</v>
      </c>
      <c r="AA274" s="1" t="str">
        <f t="shared" ca="1" si="29"/>
        <v>VENCIDO</v>
      </c>
      <c r="AB274" s="1" t="str">
        <f t="shared" si="30"/>
        <v>Dosa</v>
      </c>
      <c r="AC274" s="2" t="str">
        <f t="shared" si="34"/>
        <v xml:space="preserve"> ROSEMERE </v>
      </c>
      <c r="AD274" s="2">
        <f t="shared" si="31"/>
        <v>5</v>
      </c>
      <c r="AE274" s="2">
        <f t="shared" ca="1" si="32"/>
        <v>-274.9262716435187</v>
      </c>
      <c r="AF274" s="15"/>
    </row>
    <row r="275" spans="1:32" hidden="1">
      <c r="A275" s="1">
        <v>8623397</v>
      </c>
      <c r="B275" s="1" t="s">
        <v>27</v>
      </c>
      <c r="C275" t="s">
        <v>186</v>
      </c>
      <c r="E275" s="2">
        <v>1710000206001</v>
      </c>
      <c r="F275" s="1" t="s">
        <v>29</v>
      </c>
      <c r="G275" s="1" t="s">
        <v>53</v>
      </c>
      <c r="H275" s="1" t="s">
        <v>327</v>
      </c>
      <c r="I275" s="1" t="s">
        <v>328</v>
      </c>
      <c r="J275" s="1" t="s">
        <v>261</v>
      </c>
      <c r="K275" t="s">
        <v>34</v>
      </c>
      <c r="M275" s="1" t="s">
        <v>35</v>
      </c>
      <c r="N275" s="1">
        <v>42318949</v>
      </c>
      <c r="O275" s="1" t="s">
        <v>105</v>
      </c>
      <c r="P275" s="12">
        <v>44711.654421296298</v>
      </c>
      <c r="R275" s="1" t="s">
        <v>38</v>
      </c>
      <c r="T275" s="1" t="s">
        <v>74</v>
      </c>
      <c r="U275" s="12">
        <v>44711.75</v>
      </c>
      <c r="V275" s="1" t="s">
        <v>41</v>
      </c>
      <c r="W275" s="1" t="s">
        <v>49</v>
      </c>
      <c r="X275" s="13" t="str">
        <f t="shared" si="33"/>
        <v/>
      </c>
      <c r="Y275" s="2">
        <f t="shared" ca="1" si="28"/>
        <v>198</v>
      </c>
      <c r="Z275" s="14">
        <v>1</v>
      </c>
      <c r="AA275" s="1" t="str">
        <f t="shared" ca="1" si="29"/>
        <v>VENCIDO</v>
      </c>
      <c r="AB275" s="1" t="str">
        <f t="shared" si="30"/>
        <v>Dosa</v>
      </c>
      <c r="AC275" s="2" t="str">
        <f t="shared" si="34"/>
        <v xml:space="preserve"> CRISTINA </v>
      </c>
      <c r="AD275" s="2">
        <f t="shared" si="31"/>
        <v>5</v>
      </c>
      <c r="AE275" s="2">
        <f t="shared" ca="1" si="32"/>
        <v>-274.9262716435187</v>
      </c>
      <c r="AF275" s="15"/>
    </row>
    <row r="276" spans="1:32" hidden="1">
      <c r="A276" s="1">
        <v>8623394</v>
      </c>
      <c r="B276" s="1" t="s">
        <v>27</v>
      </c>
      <c r="C276" t="s">
        <v>186</v>
      </c>
      <c r="E276" s="2">
        <v>4274000206001</v>
      </c>
      <c r="F276" s="1" t="s">
        <v>29</v>
      </c>
      <c r="G276" s="1" t="s">
        <v>53</v>
      </c>
      <c r="H276" s="1" t="s">
        <v>386</v>
      </c>
      <c r="I276" s="1" t="s">
        <v>387</v>
      </c>
      <c r="J276" s="1" t="s">
        <v>46</v>
      </c>
      <c r="K276" t="s">
        <v>34</v>
      </c>
      <c r="M276" s="1" t="s">
        <v>35</v>
      </c>
      <c r="N276" s="1">
        <v>42318949</v>
      </c>
      <c r="O276" s="1" t="s">
        <v>36</v>
      </c>
      <c r="P276" s="11" t="s">
        <v>608</v>
      </c>
      <c r="R276" s="1" t="s">
        <v>38</v>
      </c>
      <c r="T276" s="1" t="s">
        <v>74</v>
      </c>
      <c r="U276" s="11" t="s">
        <v>580</v>
      </c>
      <c r="V276" s="1" t="s">
        <v>41</v>
      </c>
      <c r="W276" s="1" t="s">
        <v>49</v>
      </c>
      <c r="X276" s="13" t="str">
        <f t="shared" si="33"/>
        <v/>
      </c>
      <c r="Y276" s="2">
        <f t="shared" ca="1" si="28"/>
        <v>198</v>
      </c>
      <c r="Z276" s="14">
        <v>1</v>
      </c>
      <c r="AA276" s="1" t="str">
        <f t="shared" ca="1" si="29"/>
        <v>VENCIDO</v>
      </c>
      <c r="AB276" s="1" t="str">
        <f t="shared" si="30"/>
        <v>Dosa</v>
      </c>
      <c r="AC276" s="2" t="str">
        <f t="shared" si="34"/>
        <v xml:space="preserve"> CLEITON </v>
      </c>
      <c r="AD276" s="2">
        <f t="shared" si="31"/>
        <v>5</v>
      </c>
      <c r="AE276" s="2">
        <f t="shared" ca="1" si="32"/>
        <v>-274.9262716435187</v>
      </c>
      <c r="AF276" s="15"/>
    </row>
    <row r="277" spans="1:32" hidden="1">
      <c r="A277" s="1">
        <v>8623366</v>
      </c>
      <c r="B277" s="1" t="s">
        <v>27</v>
      </c>
      <c r="C277" t="s">
        <v>186</v>
      </c>
      <c r="E277" s="2">
        <v>710000206001</v>
      </c>
      <c r="F277" s="1" t="s">
        <v>29</v>
      </c>
      <c r="G277" s="1" t="s">
        <v>53</v>
      </c>
      <c r="H277" s="1" t="s">
        <v>390</v>
      </c>
      <c r="I277" s="1" t="s">
        <v>391</v>
      </c>
      <c r="J277" s="1" t="s">
        <v>56</v>
      </c>
      <c r="K277" t="s">
        <v>34</v>
      </c>
      <c r="M277" s="1" t="s">
        <v>35</v>
      </c>
      <c r="N277" s="1">
        <v>42318949</v>
      </c>
      <c r="O277" s="1" t="s">
        <v>105</v>
      </c>
      <c r="P277" s="11" t="s">
        <v>609</v>
      </c>
      <c r="R277" s="1" t="s">
        <v>38</v>
      </c>
      <c r="T277" s="1" t="s">
        <v>74</v>
      </c>
      <c r="U277" s="11" t="s">
        <v>580</v>
      </c>
      <c r="V277" s="1" t="s">
        <v>41</v>
      </c>
      <c r="W277" s="1" t="s">
        <v>49</v>
      </c>
      <c r="X277" s="13" t="str">
        <f t="shared" si="33"/>
        <v/>
      </c>
      <c r="Y277" s="2">
        <f t="shared" ca="1" si="28"/>
        <v>198</v>
      </c>
      <c r="Z277" s="14">
        <v>1</v>
      </c>
      <c r="AA277" s="1" t="str">
        <f t="shared" ca="1" si="29"/>
        <v>VENCIDO</v>
      </c>
      <c r="AB277" s="1" t="str">
        <f t="shared" si="30"/>
        <v>Dosa</v>
      </c>
      <c r="AC277" s="2" t="str">
        <f t="shared" si="34"/>
        <v xml:space="preserve"> CRISTINA </v>
      </c>
      <c r="AD277" s="2">
        <f t="shared" si="31"/>
        <v>5</v>
      </c>
      <c r="AE277" s="2">
        <f t="shared" ca="1" si="32"/>
        <v>-274.9262716435187</v>
      </c>
      <c r="AF277" s="15"/>
    </row>
    <row r="278" spans="1:32" hidden="1">
      <c r="A278" s="1">
        <v>8623339</v>
      </c>
      <c r="B278" s="1" t="s">
        <v>27</v>
      </c>
      <c r="C278" t="s">
        <v>186</v>
      </c>
      <c r="E278" s="2">
        <v>550000206001</v>
      </c>
      <c r="F278" s="1" t="s">
        <v>29</v>
      </c>
      <c r="G278" s="1" t="s">
        <v>53</v>
      </c>
      <c r="H278" s="1" t="s">
        <v>337</v>
      </c>
      <c r="I278" s="1" t="s">
        <v>338</v>
      </c>
      <c r="J278" s="1" t="s">
        <v>164</v>
      </c>
      <c r="K278" t="s">
        <v>34</v>
      </c>
      <c r="M278" s="1" t="s">
        <v>35</v>
      </c>
      <c r="N278" s="1">
        <v>42318949</v>
      </c>
      <c r="O278" s="1" t="s">
        <v>105</v>
      </c>
      <c r="P278" s="11" t="s">
        <v>610</v>
      </c>
      <c r="R278" s="1" t="s">
        <v>38</v>
      </c>
      <c r="T278" s="1" t="s">
        <v>74</v>
      </c>
      <c r="U278" s="11" t="s">
        <v>580</v>
      </c>
      <c r="V278" s="1" t="s">
        <v>41</v>
      </c>
      <c r="W278" s="1" t="s">
        <v>49</v>
      </c>
      <c r="X278" s="13" t="str">
        <f t="shared" si="33"/>
        <v/>
      </c>
      <c r="Y278" s="2">
        <f t="shared" ca="1" si="28"/>
        <v>198</v>
      </c>
      <c r="Z278" s="14">
        <v>1</v>
      </c>
      <c r="AA278" s="1" t="str">
        <f t="shared" ca="1" si="29"/>
        <v>VENCIDO</v>
      </c>
      <c r="AB278" s="1" t="str">
        <f t="shared" si="30"/>
        <v>Dosa</v>
      </c>
      <c r="AC278" s="2" t="str">
        <f t="shared" si="34"/>
        <v xml:space="preserve"> ROSEMERE </v>
      </c>
      <c r="AD278" s="2">
        <f t="shared" si="31"/>
        <v>5</v>
      </c>
      <c r="AE278" s="2">
        <f t="shared" ca="1" si="32"/>
        <v>-274.9262716435187</v>
      </c>
      <c r="AF278" s="15"/>
    </row>
    <row r="279" spans="1:32" hidden="1">
      <c r="A279" s="1">
        <v>8623323</v>
      </c>
      <c r="B279" s="1" t="s">
        <v>27</v>
      </c>
      <c r="C279" t="s">
        <v>186</v>
      </c>
      <c r="E279" s="2">
        <v>1943000206001</v>
      </c>
      <c r="F279" s="1" t="s">
        <v>29</v>
      </c>
      <c r="G279" s="1" t="s">
        <v>53</v>
      </c>
      <c r="H279" s="1" t="s">
        <v>264</v>
      </c>
      <c r="I279" s="1" t="s">
        <v>265</v>
      </c>
      <c r="J279" s="1" t="s">
        <v>56</v>
      </c>
      <c r="K279" t="s">
        <v>34</v>
      </c>
      <c r="M279" s="1" t="s">
        <v>35</v>
      </c>
      <c r="N279" s="1">
        <v>42318949</v>
      </c>
      <c r="O279" s="1" t="s">
        <v>105</v>
      </c>
      <c r="P279" s="11" t="s">
        <v>611</v>
      </c>
      <c r="R279" s="1" t="s">
        <v>38</v>
      </c>
      <c r="T279" s="1" t="s">
        <v>74</v>
      </c>
      <c r="U279" s="11" t="s">
        <v>580</v>
      </c>
      <c r="V279" s="1" t="s">
        <v>41</v>
      </c>
      <c r="W279" s="1" t="s">
        <v>49</v>
      </c>
      <c r="X279" s="13" t="str">
        <f t="shared" si="33"/>
        <v/>
      </c>
      <c r="Y279" s="2">
        <f t="shared" ca="1" si="28"/>
        <v>198</v>
      </c>
      <c r="Z279" s="14">
        <v>1</v>
      </c>
      <c r="AA279" s="1" t="str">
        <f t="shared" ca="1" si="29"/>
        <v>VENCIDO</v>
      </c>
      <c r="AB279" s="1" t="str">
        <f t="shared" si="30"/>
        <v>Dosa</v>
      </c>
      <c r="AC279" s="2" t="str">
        <f t="shared" si="34"/>
        <v xml:space="preserve"> CRISTINA </v>
      </c>
      <c r="AD279" s="2">
        <f t="shared" si="31"/>
        <v>5</v>
      </c>
      <c r="AE279" s="2">
        <f t="shared" ca="1" si="32"/>
        <v>-274.9262716435187</v>
      </c>
      <c r="AF279" s="15"/>
    </row>
    <row r="280" spans="1:32" hidden="1">
      <c r="A280" s="1">
        <v>8623269</v>
      </c>
      <c r="B280" s="1" t="s">
        <v>27</v>
      </c>
      <c r="C280" t="s">
        <v>186</v>
      </c>
      <c r="E280" s="2">
        <v>1761000206001</v>
      </c>
      <c r="F280" s="1" t="s">
        <v>29</v>
      </c>
      <c r="G280" s="1" t="s">
        <v>53</v>
      </c>
      <c r="H280" s="1" t="s">
        <v>375</v>
      </c>
      <c r="I280" s="1" t="s">
        <v>376</v>
      </c>
      <c r="J280" s="1" t="s">
        <v>56</v>
      </c>
      <c r="K280" t="s">
        <v>34</v>
      </c>
      <c r="M280" s="1" t="s">
        <v>35</v>
      </c>
      <c r="N280" s="1">
        <v>42318949</v>
      </c>
      <c r="O280" s="1" t="s">
        <v>105</v>
      </c>
      <c r="P280" s="11" t="s">
        <v>612</v>
      </c>
      <c r="R280" s="1" t="s">
        <v>38</v>
      </c>
      <c r="T280" s="1" t="s">
        <v>74</v>
      </c>
      <c r="U280" s="11" t="s">
        <v>580</v>
      </c>
      <c r="V280" s="1" t="s">
        <v>41</v>
      </c>
      <c r="W280" s="1" t="s">
        <v>49</v>
      </c>
      <c r="X280" s="13" t="str">
        <f t="shared" si="33"/>
        <v/>
      </c>
      <c r="Y280" s="2">
        <f t="shared" ca="1" si="28"/>
        <v>198</v>
      </c>
      <c r="Z280" s="14">
        <v>1</v>
      </c>
      <c r="AA280" s="1" t="str">
        <f t="shared" ca="1" si="29"/>
        <v>VENCIDO</v>
      </c>
      <c r="AB280" s="1" t="str">
        <f t="shared" si="30"/>
        <v>Dosa</v>
      </c>
      <c r="AC280" s="2" t="str">
        <f t="shared" si="34"/>
        <v xml:space="preserve"> CRISTINA </v>
      </c>
      <c r="AD280" s="2">
        <f t="shared" si="31"/>
        <v>5</v>
      </c>
      <c r="AE280" s="2">
        <f t="shared" ca="1" si="32"/>
        <v>-274.9262716435187</v>
      </c>
      <c r="AF280" s="15"/>
    </row>
    <row r="281" spans="1:32" hidden="1">
      <c r="A281" s="1">
        <v>8623187</v>
      </c>
      <c r="B281" s="1" t="s">
        <v>27</v>
      </c>
      <c r="C281" t="s">
        <v>186</v>
      </c>
      <c r="E281" s="2">
        <v>2830000206001</v>
      </c>
      <c r="F281" s="1" t="s">
        <v>29</v>
      </c>
      <c r="G281" s="1" t="s">
        <v>53</v>
      </c>
      <c r="H281" s="1" t="s">
        <v>448</v>
      </c>
      <c r="I281" s="1" t="s">
        <v>449</v>
      </c>
      <c r="J281" s="1" t="s">
        <v>33</v>
      </c>
      <c r="K281" t="s">
        <v>34</v>
      </c>
      <c r="M281" s="1" t="s">
        <v>35</v>
      </c>
      <c r="N281" s="1">
        <v>42318949</v>
      </c>
      <c r="O281" s="1" t="s">
        <v>105</v>
      </c>
      <c r="P281" s="11" t="s">
        <v>613</v>
      </c>
      <c r="R281" s="1" t="s">
        <v>38</v>
      </c>
      <c r="T281" s="1" t="s">
        <v>74</v>
      </c>
      <c r="U281" s="11" t="s">
        <v>580</v>
      </c>
      <c r="V281" s="1" t="s">
        <v>41</v>
      </c>
      <c r="W281" s="1" t="s">
        <v>42</v>
      </c>
      <c r="X281" s="13" t="str">
        <f t="shared" si="33"/>
        <v/>
      </c>
      <c r="Y281" s="2">
        <f t="shared" ca="1" si="28"/>
        <v>198</v>
      </c>
      <c r="Z281" s="14">
        <v>1</v>
      </c>
      <c r="AA281" s="1" t="str">
        <f t="shared" ca="1" si="29"/>
        <v>VENCIDO</v>
      </c>
      <c r="AB281" s="1" t="str">
        <f t="shared" si="30"/>
        <v>Dosa</v>
      </c>
      <c r="AC281" s="2" t="str">
        <f t="shared" si="34"/>
        <v xml:space="preserve"> ROSEMERE </v>
      </c>
      <c r="AD281" s="2">
        <f t="shared" si="31"/>
        <v>5</v>
      </c>
      <c r="AE281" s="2">
        <f t="shared" ca="1" si="32"/>
        <v>-274.9262716435187</v>
      </c>
      <c r="AF281" s="15"/>
    </row>
    <row r="282" spans="1:32" hidden="1">
      <c r="A282" s="1">
        <v>8623156</v>
      </c>
      <c r="B282" s="1" t="s">
        <v>27</v>
      </c>
      <c r="C282" t="s">
        <v>186</v>
      </c>
      <c r="E282" s="2">
        <v>1361000206001</v>
      </c>
      <c r="F282" s="1" t="s">
        <v>29</v>
      </c>
      <c r="G282" s="1" t="s">
        <v>53</v>
      </c>
      <c r="H282" s="1" t="s">
        <v>309</v>
      </c>
      <c r="I282" s="1" t="s">
        <v>310</v>
      </c>
      <c r="J282" s="1" t="s">
        <v>46</v>
      </c>
      <c r="K282" t="s">
        <v>34</v>
      </c>
      <c r="M282" s="1" t="s">
        <v>35</v>
      </c>
      <c r="N282" s="1">
        <v>42318949</v>
      </c>
      <c r="O282" s="1" t="s">
        <v>105</v>
      </c>
      <c r="P282" s="11" t="s">
        <v>614</v>
      </c>
      <c r="R282" s="1" t="s">
        <v>38</v>
      </c>
      <c r="T282" s="1" t="s">
        <v>74</v>
      </c>
      <c r="U282" s="11" t="s">
        <v>580</v>
      </c>
      <c r="V282" s="1" t="s">
        <v>41</v>
      </c>
      <c r="W282" s="1" t="s">
        <v>49</v>
      </c>
      <c r="X282" s="13" t="str">
        <f t="shared" si="33"/>
        <v/>
      </c>
      <c r="Y282" s="2">
        <f t="shared" ca="1" si="28"/>
        <v>198</v>
      </c>
      <c r="Z282" s="14">
        <v>1</v>
      </c>
      <c r="AA282" s="1" t="str">
        <f t="shared" ca="1" si="29"/>
        <v>VENCIDO</v>
      </c>
      <c r="AB282" s="1" t="str">
        <f t="shared" si="30"/>
        <v>Dosa</v>
      </c>
      <c r="AC282" s="2" t="str">
        <f t="shared" si="34"/>
        <v xml:space="preserve"> CLEITON </v>
      </c>
      <c r="AD282" s="2">
        <f t="shared" si="31"/>
        <v>5</v>
      </c>
      <c r="AE282" s="2">
        <f t="shared" ca="1" si="32"/>
        <v>-274.9262716435187</v>
      </c>
      <c r="AF282" s="15"/>
    </row>
    <row r="283" spans="1:32" hidden="1">
      <c r="A283" s="1">
        <v>8623137</v>
      </c>
      <c r="B283" s="1" t="s">
        <v>27</v>
      </c>
      <c r="C283" t="s">
        <v>186</v>
      </c>
      <c r="E283" s="2">
        <v>1771000206001</v>
      </c>
      <c r="F283" s="1" t="s">
        <v>29</v>
      </c>
      <c r="G283" s="1" t="s">
        <v>53</v>
      </c>
      <c r="H283" s="1" t="s">
        <v>615</v>
      </c>
      <c r="I283" s="1" t="s">
        <v>616</v>
      </c>
      <c r="J283" s="1" t="s">
        <v>261</v>
      </c>
      <c r="K283" t="s">
        <v>34</v>
      </c>
      <c r="M283" s="1" t="s">
        <v>35</v>
      </c>
      <c r="N283" s="1">
        <v>42318949</v>
      </c>
      <c r="O283" s="1" t="s">
        <v>105</v>
      </c>
      <c r="P283" s="11" t="s">
        <v>617</v>
      </c>
      <c r="R283" s="1" t="s">
        <v>38</v>
      </c>
      <c r="T283" s="1" t="s">
        <v>74</v>
      </c>
      <c r="U283" s="11" t="s">
        <v>580</v>
      </c>
      <c r="V283" s="1" t="s">
        <v>41</v>
      </c>
      <c r="W283" s="1" t="s">
        <v>49</v>
      </c>
      <c r="X283" s="13" t="str">
        <f t="shared" si="33"/>
        <v/>
      </c>
      <c r="Y283" s="2">
        <f t="shared" ca="1" si="28"/>
        <v>198</v>
      </c>
      <c r="Z283" s="14">
        <v>1</v>
      </c>
      <c r="AA283" s="1" t="str">
        <f t="shared" ca="1" si="29"/>
        <v>VENCIDO</v>
      </c>
      <c r="AB283" s="1" t="str">
        <f t="shared" si="30"/>
        <v>Dosa</v>
      </c>
      <c r="AC283" s="2" t="str">
        <f t="shared" si="34"/>
        <v xml:space="preserve"> CRISTINA </v>
      </c>
      <c r="AD283" s="2">
        <f t="shared" si="31"/>
        <v>5</v>
      </c>
      <c r="AE283" s="2">
        <f t="shared" ca="1" si="32"/>
        <v>-274.9262716435187</v>
      </c>
      <c r="AF283" s="15"/>
    </row>
    <row r="284" spans="1:32" hidden="1">
      <c r="A284" s="1">
        <v>8623124</v>
      </c>
      <c r="B284" s="1" t="s">
        <v>27</v>
      </c>
      <c r="C284" t="s">
        <v>186</v>
      </c>
      <c r="E284" s="2">
        <v>934000206001</v>
      </c>
      <c r="F284" s="1" t="s">
        <v>29</v>
      </c>
      <c r="G284" s="1" t="s">
        <v>53</v>
      </c>
      <c r="H284" s="1" t="s">
        <v>428</v>
      </c>
      <c r="I284" s="1" t="s">
        <v>429</v>
      </c>
      <c r="J284" s="1" t="s">
        <v>46</v>
      </c>
      <c r="K284" t="s">
        <v>34</v>
      </c>
      <c r="M284" s="1" t="s">
        <v>35</v>
      </c>
      <c r="N284" s="1">
        <v>42318949</v>
      </c>
      <c r="O284" s="1" t="s">
        <v>36</v>
      </c>
      <c r="P284" s="11" t="s">
        <v>618</v>
      </c>
      <c r="R284" s="1" t="s">
        <v>38</v>
      </c>
      <c r="T284" s="1" t="s">
        <v>74</v>
      </c>
      <c r="U284" s="11" t="s">
        <v>580</v>
      </c>
      <c r="V284" s="1" t="s">
        <v>41</v>
      </c>
      <c r="W284" s="1" t="s">
        <v>49</v>
      </c>
      <c r="X284" s="13" t="str">
        <f t="shared" si="33"/>
        <v/>
      </c>
      <c r="Y284" s="2">
        <f t="shared" ca="1" si="28"/>
        <v>198</v>
      </c>
      <c r="Z284" s="14">
        <v>1</v>
      </c>
      <c r="AA284" s="1" t="str">
        <f t="shared" ca="1" si="29"/>
        <v>VENCIDO</v>
      </c>
      <c r="AB284" s="1" t="str">
        <f t="shared" si="30"/>
        <v>Dosa</v>
      </c>
      <c r="AC284" s="2" t="str">
        <f t="shared" si="34"/>
        <v xml:space="preserve"> CLEITON </v>
      </c>
      <c r="AD284" s="2">
        <f t="shared" si="31"/>
        <v>5</v>
      </c>
      <c r="AE284" s="2">
        <f t="shared" ca="1" si="32"/>
        <v>-274.9262716435187</v>
      </c>
      <c r="AF284" s="15"/>
    </row>
    <row r="285" spans="1:32" hidden="1">
      <c r="A285" s="1">
        <v>8623122</v>
      </c>
      <c r="B285" s="1" t="s">
        <v>27</v>
      </c>
      <c r="C285" t="s">
        <v>186</v>
      </c>
      <c r="E285" s="2">
        <v>1264000206001</v>
      </c>
      <c r="F285" s="1" t="s">
        <v>29</v>
      </c>
      <c r="G285" s="1" t="s">
        <v>53</v>
      </c>
      <c r="H285" s="1" t="s">
        <v>351</v>
      </c>
      <c r="I285" s="1" t="s">
        <v>352</v>
      </c>
      <c r="J285" s="1" t="s">
        <v>110</v>
      </c>
      <c r="K285" t="s">
        <v>34</v>
      </c>
      <c r="M285" s="1" t="s">
        <v>35</v>
      </c>
      <c r="N285" s="1">
        <v>42318949</v>
      </c>
      <c r="O285" s="1" t="s">
        <v>105</v>
      </c>
      <c r="P285" s="11" t="s">
        <v>618</v>
      </c>
      <c r="R285" s="1" t="s">
        <v>38</v>
      </c>
      <c r="T285" s="1" t="s">
        <v>74</v>
      </c>
      <c r="U285" s="11" t="s">
        <v>580</v>
      </c>
      <c r="V285" s="1" t="s">
        <v>41</v>
      </c>
      <c r="W285" s="1" t="s">
        <v>49</v>
      </c>
      <c r="X285" s="13" t="str">
        <f t="shared" si="33"/>
        <v/>
      </c>
      <c r="Y285" s="2">
        <f t="shared" ca="1" si="28"/>
        <v>198</v>
      </c>
      <c r="Z285" s="14">
        <v>1</v>
      </c>
      <c r="AA285" s="1" t="str">
        <f t="shared" ca="1" si="29"/>
        <v>VENCIDO</v>
      </c>
      <c r="AB285" s="1" t="str">
        <f t="shared" si="30"/>
        <v>Dosa</v>
      </c>
      <c r="AC285" s="2" t="str">
        <f t="shared" si="34"/>
        <v xml:space="preserve"> CRISTINA </v>
      </c>
      <c r="AD285" s="2">
        <f t="shared" si="31"/>
        <v>5</v>
      </c>
      <c r="AE285" s="2">
        <f t="shared" ca="1" si="32"/>
        <v>-274.9262716435187</v>
      </c>
      <c r="AF285" s="15"/>
    </row>
    <row r="286" spans="1:32" hidden="1">
      <c r="A286" s="1">
        <v>8622823</v>
      </c>
      <c r="B286" s="1" t="s">
        <v>27</v>
      </c>
      <c r="C286" t="s">
        <v>186</v>
      </c>
      <c r="E286" s="2">
        <v>2855000206001</v>
      </c>
      <c r="F286" s="1" t="s">
        <v>29</v>
      </c>
      <c r="G286" s="1" t="s">
        <v>53</v>
      </c>
      <c r="H286" s="1" t="s">
        <v>249</v>
      </c>
      <c r="I286" s="1" t="s">
        <v>250</v>
      </c>
      <c r="J286" s="1" t="s">
        <v>56</v>
      </c>
      <c r="K286" t="s">
        <v>34</v>
      </c>
      <c r="M286" s="1" t="s">
        <v>35</v>
      </c>
      <c r="N286" s="1">
        <v>42318949</v>
      </c>
      <c r="O286" s="1" t="s">
        <v>105</v>
      </c>
      <c r="P286" s="11" t="s">
        <v>619</v>
      </c>
      <c r="R286" s="1" t="s">
        <v>38</v>
      </c>
      <c r="T286" s="1" t="s">
        <v>74</v>
      </c>
      <c r="U286" s="11" t="s">
        <v>580</v>
      </c>
      <c r="V286" s="1" t="s">
        <v>41</v>
      </c>
      <c r="W286" s="1" t="s">
        <v>49</v>
      </c>
      <c r="X286" s="13" t="str">
        <f t="shared" si="33"/>
        <v/>
      </c>
      <c r="Y286" s="2">
        <f t="shared" ca="1" si="28"/>
        <v>198</v>
      </c>
      <c r="Z286" s="14">
        <v>1</v>
      </c>
      <c r="AA286" s="1" t="str">
        <f t="shared" ca="1" si="29"/>
        <v>VENCIDO</v>
      </c>
      <c r="AB286" s="1" t="str">
        <f t="shared" si="30"/>
        <v>Dosa</v>
      </c>
      <c r="AC286" s="2" t="str">
        <f t="shared" si="34"/>
        <v xml:space="preserve"> CRISTINA </v>
      </c>
      <c r="AD286" s="2">
        <f t="shared" si="31"/>
        <v>5</v>
      </c>
      <c r="AE286" s="2">
        <f t="shared" ca="1" si="32"/>
        <v>-274.9262716435187</v>
      </c>
      <c r="AF286" s="15"/>
    </row>
    <row r="287" spans="1:32" hidden="1">
      <c r="A287" s="1">
        <v>8622810</v>
      </c>
      <c r="B287" s="1" t="s">
        <v>27</v>
      </c>
      <c r="C287" t="s">
        <v>186</v>
      </c>
      <c r="E287" s="2">
        <v>1650000206001</v>
      </c>
      <c r="F287" s="1" t="s">
        <v>29</v>
      </c>
      <c r="G287" s="1" t="s">
        <v>53</v>
      </c>
      <c r="H287" s="1" t="s">
        <v>620</v>
      </c>
      <c r="I287" s="1" t="s">
        <v>621</v>
      </c>
      <c r="J287" s="1" t="s">
        <v>141</v>
      </c>
      <c r="K287" t="s">
        <v>34</v>
      </c>
      <c r="M287" s="1" t="s">
        <v>35</v>
      </c>
      <c r="N287" s="1">
        <v>42318949</v>
      </c>
      <c r="O287" s="1" t="s">
        <v>105</v>
      </c>
      <c r="P287" s="11" t="s">
        <v>622</v>
      </c>
      <c r="R287" s="1" t="s">
        <v>38</v>
      </c>
      <c r="T287" s="1" t="s">
        <v>74</v>
      </c>
      <c r="U287" s="11" t="s">
        <v>580</v>
      </c>
      <c r="V287" s="1" t="s">
        <v>41</v>
      </c>
      <c r="W287" s="1" t="s">
        <v>49</v>
      </c>
      <c r="X287" s="13" t="str">
        <f t="shared" si="33"/>
        <v/>
      </c>
      <c r="Y287" s="2">
        <f t="shared" ca="1" si="28"/>
        <v>198</v>
      </c>
      <c r="Z287" s="14">
        <v>1</v>
      </c>
      <c r="AA287" s="1" t="str">
        <f t="shared" ca="1" si="29"/>
        <v>VENCIDO</v>
      </c>
      <c r="AB287" s="1" t="str">
        <f t="shared" si="30"/>
        <v>Dosa</v>
      </c>
      <c r="AC287" s="2" t="str">
        <f t="shared" si="34"/>
        <v xml:space="preserve"> CRISTINA </v>
      </c>
      <c r="AD287" s="2">
        <f t="shared" si="31"/>
        <v>5</v>
      </c>
      <c r="AE287" s="2">
        <f t="shared" ca="1" si="32"/>
        <v>-274.9262716435187</v>
      </c>
      <c r="AF287" s="15"/>
    </row>
    <row r="288" spans="1:32" hidden="1">
      <c r="A288" s="1">
        <v>8622799</v>
      </c>
      <c r="B288" s="1" t="s">
        <v>27</v>
      </c>
      <c r="C288" t="s">
        <v>186</v>
      </c>
      <c r="E288" s="2">
        <v>7740206001</v>
      </c>
      <c r="F288" s="1" t="s">
        <v>29</v>
      </c>
      <c r="G288" s="1" t="s">
        <v>53</v>
      </c>
      <c r="H288" s="1" t="s">
        <v>187</v>
      </c>
      <c r="I288" s="1" t="s">
        <v>188</v>
      </c>
      <c r="J288" s="1" t="s">
        <v>46</v>
      </c>
      <c r="K288" t="s">
        <v>34</v>
      </c>
      <c r="M288" s="1" t="s">
        <v>35</v>
      </c>
      <c r="N288" s="1">
        <v>42318949</v>
      </c>
      <c r="O288" s="1" t="s">
        <v>105</v>
      </c>
      <c r="P288" s="11" t="s">
        <v>623</v>
      </c>
      <c r="R288" s="1" t="s">
        <v>38</v>
      </c>
      <c r="T288" s="1" t="s">
        <v>74</v>
      </c>
      <c r="U288" s="11" t="s">
        <v>580</v>
      </c>
      <c r="V288" s="1" t="s">
        <v>41</v>
      </c>
      <c r="W288" s="1" t="s">
        <v>49</v>
      </c>
      <c r="X288" s="13" t="str">
        <f t="shared" si="33"/>
        <v>0007.74</v>
      </c>
      <c r="Y288" s="2">
        <f t="shared" ca="1" si="28"/>
        <v>198</v>
      </c>
      <c r="Z288" s="14">
        <v>1</v>
      </c>
      <c r="AA288" s="1" t="str">
        <f t="shared" ca="1" si="29"/>
        <v>VENCIDO</v>
      </c>
      <c r="AB288" s="1" t="str">
        <f t="shared" si="30"/>
        <v>Dosa</v>
      </c>
      <c r="AC288" s="2" t="str">
        <f t="shared" si="34"/>
        <v xml:space="preserve"> CLEITON </v>
      </c>
      <c r="AD288" s="2">
        <f t="shared" si="31"/>
        <v>5</v>
      </c>
      <c r="AE288" s="2">
        <f t="shared" ca="1" si="32"/>
        <v>-274.9262716435187</v>
      </c>
      <c r="AF288" s="15"/>
    </row>
    <row r="289" spans="1:32" hidden="1">
      <c r="A289" s="1">
        <v>8622790</v>
      </c>
      <c r="B289" s="1" t="s">
        <v>27</v>
      </c>
      <c r="C289" t="s">
        <v>186</v>
      </c>
      <c r="E289" s="2">
        <v>1664000206001</v>
      </c>
      <c r="F289" s="1" t="s">
        <v>29</v>
      </c>
      <c r="G289" s="1" t="s">
        <v>53</v>
      </c>
      <c r="H289" s="1" t="s">
        <v>307</v>
      </c>
      <c r="I289" s="1" t="s">
        <v>308</v>
      </c>
      <c r="J289" s="1" t="s">
        <v>164</v>
      </c>
      <c r="K289" t="s">
        <v>34</v>
      </c>
      <c r="M289" s="1" t="s">
        <v>35</v>
      </c>
      <c r="N289" s="1">
        <v>42318949</v>
      </c>
      <c r="O289" s="1" t="s">
        <v>105</v>
      </c>
      <c r="P289" s="11" t="s">
        <v>624</v>
      </c>
      <c r="R289" s="1" t="s">
        <v>38</v>
      </c>
      <c r="T289" s="1" t="s">
        <v>74</v>
      </c>
      <c r="U289" s="11" t="s">
        <v>580</v>
      </c>
      <c r="V289" s="1" t="s">
        <v>41</v>
      </c>
      <c r="W289" s="1" t="s">
        <v>49</v>
      </c>
      <c r="X289" s="13" t="str">
        <f t="shared" si="33"/>
        <v/>
      </c>
      <c r="Y289" s="2">
        <f t="shared" ca="1" si="28"/>
        <v>198</v>
      </c>
      <c r="Z289" s="14">
        <v>1</v>
      </c>
      <c r="AA289" s="1" t="str">
        <f t="shared" ca="1" si="29"/>
        <v>VENCIDO</v>
      </c>
      <c r="AB289" s="1" t="str">
        <f t="shared" si="30"/>
        <v>Dosa</v>
      </c>
      <c r="AC289" s="2" t="str">
        <f t="shared" si="34"/>
        <v xml:space="preserve"> ROSEMERE </v>
      </c>
      <c r="AD289" s="2">
        <f t="shared" si="31"/>
        <v>5</v>
      </c>
      <c r="AE289" s="2">
        <f t="shared" ca="1" si="32"/>
        <v>-274.9262716435187</v>
      </c>
      <c r="AF289" s="15"/>
    </row>
    <row r="290" spans="1:32" hidden="1">
      <c r="A290" s="1">
        <v>8622781</v>
      </c>
      <c r="B290" s="1" t="s">
        <v>27</v>
      </c>
      <c r="C290" t="s">
        <v>186</v>
      </c>
      <c r="E290" s="2">
        <v>834000206001</v>
      </c>
      <c r="F290" s="1" t="s">
        <v>29</v>
      </c>
      <c r="G290" s="1" t="s">
        <v>53</v>
      </c>
      <c r="H290" s="1" t="s">
        <v>367</v>
      </c>
      <c r="I290" s="1" t="s">
        <v>368</v>
      </c>
      <c r="J290" s="1" t="s">
        <v>261</v>
      </c>
      <c r="K290" t="s">
        <v>34</v>
      </c>
      <c r="M290" s="1" t="s">
        <v>35</v>
      </c>
      <c r="N290" s="1">
        <v>42318949</v>
      </c>
      <c r="O290" s="1" t="s">
        <v>105</v>
      </c>
      <c r="P290" s="11" t="s">
        <v>625</v>
      </c>
      <c r="R290" s="1" t="s">
        <v>38</v>
      </c>
      <c r="T290" s="1" t="s">
        <v>74</v>
      </c>
      <c r="U290" s="11" t="s">
        <v>580</v>
      </c>
      <c r="V290" s="1" t="s">
        <v>41</v>
      </c>
      <c r="W290" s="1" t="s">
        <v>49</v>
      </c>
      <c r="X290" s="13" t="str">
        <f t="shared" si="33"/>
        <v/>
      </c>
      <c r="Y290" s="2">
        <f t="shared" ca="1" si="28"/>
        <v>198</v>
      </c>
      <c r="Z290" s="14">
        <v>1</v>
      </c>
      <c r="AA290" s="1" t="str">
        <f t="shared" ca="1" si="29"/>
        <v>VENCIDO</v>
      </c>
      <c r="AB290" s="1" t="str">
        <f t="shared" si="30"/>
        <v>Dosa</v>
      </c>
      <c r="AC290" s="2" t="str">
        <f t="shared" si="34"/>
        <v xml:space="preserve"> CRISTINA </v>
      </c>
      <c r="AD290" s="2">
        <f t="shared" si="31"/>
        <v>5</v>
      </c>
      <c r="AE290" s="2">
        <f t="shared" ca="1" si="32"/>
        <v>-274.9262716435187</v>
      </c>
      <c r="AF290" s="15"/>
    </row>
    <row r="291" spans="1:32" hidden="1">
      <c r="A291" s="1">
        <v>8622757</v>
      </c>
      <c r="B291" s="1" t="s">
        <v>27</v>
      </c>
      <c r="C291" t="s">
        <v>186</v>
      </c>
      <c r="E291" s="2">
        <v>5740000206001</v>
      </c>
      <c r="F291" s="1" t="s">
        <v>29</v>
      </c>
      <c r="G291" s="1" t="s">
        <v>53</v>
      </c>
      <c r="H291" s="1" t="s">
        <v>626</v>
      </c>
      <c r="I291" s="1" t="s">
        <v>627</v>
      </c>
      <c r="J291" s="1" t="s">
        <v>46</v>
      </c>
      <c r="K291" t="s">
        <v>34</v>
      </c>
      <c r="M291" s="1" t="s">
        <v>35</v>
      </c>
      <c r="N291" s="1">
        <v>42318949</v>
      </c>
      <c r="O291" s="1" t="s">
        <v>105</v>
      </c>
      <c r="P291" s="11" t="s">
        <v>628</v>
      </c>
      <c r="R291" s="1" t="s">
        <v>38</v>
      </c>
      <c r="T291" s="1" t="s">
        <v>74</v>
      </c>
      <c r="U291" s="11" t="s">
        <v>580</v>
      </c>
      <c r="V291" s="1" t="s">
        <v>41</v>
      </c>
      <c r="W291" s="1" t="s">
        <v>49</v>
      </c>
      <c r="X291" s="13" t="str">
        <f t="shared" si="33"/>
        <v/>
      </c>
      <c r="Y291" s="2">
        <f t="shared" ca="1" si="28"/>
        <v>198</v>
      </c>
      <c r="Z291" s="14">
        <v>1</v>
      </c>
      <c r="AA291" s="1" t="str">
        <f t="shared" ca="1" si="29"/>
        <v>VENCIDO</v>
      </c>
      <c r="AB291" s="1" t="str">
        <f t="shared" si="30"/>
        <v>Dosa</v>
      </c>
      <c r="AC291" s="2" t="str">
        <f t="shared" si="34"/>
        <v xml:space="preserve"> CLEITON </v>
      </c>
      <c r="AD291" s="2">
        <f t="shared" si="31"/>
        <v>5</v>
      </c>
      <c r="AE291" s="2">
        <f t="shared" ca="1" si="32"/>
        <v>-274.9262716435187</v>
      </c>
      <c r="AF291" s="15"/>
    </row>
    <row r="292" spans="1:32" hidden="1">
      <c r="A292" s="1">
        <v>8622462</v>
      </c>
      <c r="B292" s="1" t="s">
        <v>27</v>
      </c>
      <c r="C292" t="s">
        <v>186</v>
      </c>
      <c r="E292" s="2">
        <v>3234150206001</v>
      </c>
      <c r="F292" s="1" t="s">
        <v>29</v>
      </c>
      <c r="G292" s="1" t="s">
        <v>53</v>
      </c>
      <c r="H292" s="1" t="s">
        <v>629</v>
      </c>
      <c r="I292" s="1" t="s">
        <v>630</v>
      </c>
      <c r="J292" s="1" t="s">
        <v>46</v>
      </c>
      <c r="K292" t="s">
        <v>34</v>
      </c>
      <c r="M292" s="1" t="s">
        <v>35</v>
      </c>
      <c r="N292" s="1">
        <v>42318949</v>
      </c>
      <c r="O292" s="1" t="s">
        <v>105</v>
      </c>
      <c r="P292" s="11" t="s">
        <v>631</v>
      </c>
      <c r="R292" s="1" t="s">
        <v>38</v>
      </c>
      <c r="T292" s="1" t="s">
        <v>74</v>
      </c>
      <c r="U292" s="11" t="s">
        <v>580</v>
      </c>
      <c r="V292" s="1" t="s">
        <v>41</v>
      </c>
      <c r="W292" s="1" t="s">
        <v>49</v>
      </c>
      <c r="X292" s="13" t="str">
        <f t="shared" si="33"/>
        <v>3234.15</v>
      </c>
      <c r="Y292" s="2">
        <f t="shared" ca="1" si="28"/>
        <v>198</v>
      </c>
      <c r="Z292" s="14">
        <v>1</v>
      </c>
      <c r="AA292" s="1" t="str">
        <f t="shared" ca="1" si="29"/>
        <v>VENCIDO</v>
      </c>
      <c r="AB292" s="1" t="str">
        <f t="shared" si="30"/>
        <v>Dosa</v>
      </c>
      <c r="AC292" s="2" t="str">
        <f t="shared" si="34"/>
        <v xml:space="preserve"> CLEITON </v>
      </c>
      <c r="AD292" s="2">
        <f t="shared" si="31"/>
        <v>5</v>
      </c>
      <c r="AE292" s="2">
        <f t="shared" ca="1" si="32"/>
        <v>-274.9262716435187</v>
      </c>
      <c r="AF292" s="15"/>
    </row>
    <row r="293" spans="1:32" hidden="1">
      <c r="A293" s="1">
        <v>8622404</v>
      </c>
      <c r="B293" s="1" t="s">
        <v>27</v>
      </c>
      <c r="C293" t="s">
        <v>186</v>
      </c>
      <c r="E293" s="2">
        <v>4235000206001</v>
      </c>
      <c r="F293" s="1" t="s">
        <v>29</v>
      </c>
      <c r="G293" s="1" t="s">
        <v>53</v>
      </c>
      <c r="H293" s="1" t="s">
        <v>291</v>
      </c>
      <c r="I293" s="1" t="s">
        <v>292</v>
      </c>
      <c r="J293" s="1" t="s">
        <v>46</v>
      </c>
      <c r="K293" t="s">
        <v>34</v>
      </c>
      <c r="M293" s="1" t="s">
        <v>35</v>
      </c>
      <c r="N293" s="1">
        <v>42318949</v>
      </c>
      <c r="O293" s="1" t="s">
        <v>105</v>
      </c>
      <c r="P293" s="11" t="s">
        <v>632</v>
      </c>
      <c r="R293" s="1" t="s">
        <v>38</v>
      </c>
      <c r="T293" s="1" t="s">
        <v>74</v>
      </c>
      <c r="U293" s="11" t="s">
        <v>580</v>
      </c>
      <c r="V293" s="1" t="s">
        <v>41</v>
      </c>
      <c r="W293" s="1" t="s">
        <v>49</v>
      </c>
      <c r="X293" s="13" t="str">
        <f t="shared" si="33"/>
        <v/>
      </c>
      <c r="Y293" s="2">
        <f t="shared" ca="1" si="28"/>
        <v>198</v>
      </c>
      <c r="Z293" s="14">
        <v>1</v>
      </c>
      <c r="AA293" s="1" t="str">
        <f t="shared" ca="1" si="29"/>
        <v>VENCIDO</v>
      </c>
      <c r="AB293" s="1" t="str">
        <f t="shared" si="30"/>
        <v>Dosa</v>
      </c>
      <c r="AC293" s="2" t="str">
        <f t="shared" si="34"/>
        <v xml:space="preserve"> CLEITON </v>
      </c>
      <c r="AD293" s="2">
        <f t="shared" si="31"/>
        <v>5</v>
      </c>
      <c r="AE293" s="2">
        <f t="shared" ca="1" si="32"/>
        <v>-274.9262716435187</v>
      </c>
      <c r="AF293" s="15"/>
    </row>
    <row r="294" spans="1:32" hidden="1">
      <c r="A294" s="1">
        <v>8622376</v>
      </c>
      <c r="B294" s="1" t="s">
        <v>27</v>
      </c>
      <c r="C294" t="s">
        <v>186</v>
      </c>
      <c r="E294" s="2">
        <v>4357000206001</v>
      </c>
      <c r="F294" s="1" t="s">
        <v>29</v>
      </c>
      <c r="G294" s="1" t="s">
        <v>53</v>
      </c>
      <c r="H294" s="1" t="s">
        <v>633</v>
      </c>
      <c r="I294" s="1" t="s">
        <v>634</v>
      </c>
      <c r="J294" s="1" t="s">
        <v>46</v>
      </c>
      <c r="K294" t="s">
        <v>34</v>
      </c>
      <c r="M294" s="1" t="s">
        <v>35</v>
      </c>
      <c r="N294" s="1">
        <v>42318949</v>
      </c>
      <c r="O294" s="1" t="s">
        <v>36</v>
      </c>
      <c r="P294" s="11" t="s">
        <v>635</v>
      </c>
      <c r="R294" s="1" t="s">
        <v>38</v>
      </c>
      <c r="T294" s="1" t="s">
        <v>74</v>
      </c>
      <c r="U294" s="11" t="s">
        <v>580</v>
      </c>
      <c r="V294" s="1" t="s">
        <v>41</v>
      </c>
      <c r="W294" s="1" t="s">
        <v>49</v>
      </c>
      <c r="X294" s="13" t="str">
        <f t="shared" si="33"/>
        <v/>
      </c>
      <c r="Y294" s="2">
        <f t="shared" ca="1" si="28"/>
        <v>198</v>
      </c>
      <c r="Z294" s="14">
        <v>1</v>
      </c>
      <c r="AA294" s="1" t="str">
        <f t="shared" ca="1" si="29"/>
        <v>VENCIDO</v>
      </c>
      <c r="AB294" s="1" t="str">
        <f t="shared" si="30"/>
        <v>Dosa</v>
      </c>
      <c r="AC294" s="2" t="str">
        <f t="shared" si="34"/>
        <v xml:space="preserve"> CLEITON </v>
      </c>
      <c r="AD294" s="2">
        <f t="shared" si="31"/>
        <v>5</v>
      </c>
      <c r="AE294" s="2">
        <f t="shared" ca="1" si="32"/>
        <v>-274.9262716435187</v>
      </c>
      <c r="AF294" s="15"/>
    </row>
    <row r="295" spans="1:32" hidden="1">
      <c r="A295" s="1">
        <v>8622369</v>
      </c>
      <c r="B295" s="1" t="s">
        <v>27</v>
      </c>
      <c r="C295" t="s">
        <v>186</v>
      </c>
      <c r="E295" s="2">
        <v>3243000206001</v>
      </c>
      <c r="F295" s="1" t="s">
        <v>29</v>
      </c>
      <c r="G295" s="1" t="s">
        <v>53</v>
      </c>
      <c r="H295" s="1" t="s">
        <v>282</v>
      </c>
      <c r="I295" s="1" t="s">
        <v>283</v>
      </c>
      <c r="J295" s="1" t="s">
        <v>46</v>
      </c>
      <c r="K295" t="s">
        <v>34</v>
      </c>
      <c r="M295" s="1" t="s">
        <v>35</v>
      </c>
      <c r="N295" s="1">
        <v>42318949</v>
      </c>
      <c r="O295" s="1" t="s">
        <v>105</v>
      </c>
      <c r="P295" s="11" t="s">
        <v>635</v>
      </c>
      <c r="R295" s="1" t="s">
        <v>38</v>
      </c>
      <c r="T295" s="1" t="s">
        <v>74</v>
      </c>
      <c r="U295" s="11" t="s">
        <v>580</v>
      </c>
      <c r="V295" s="1" t="s">
        <v>41</v>
      </c>
      <c r="W295" s="1" t="s">
        <v>49</v>
      </c>
      <c r="X295" s="13" t="str">
        <f t="shared" si="33"/>
        <v/>
      </c>
      <c r="Y295" s="2">
        <f t="shared" ca="1" si="28"/>
        <v>198</v>
      </c>
      <c r="Z295" s="14">
        <v>1</v>
      </c>
      <c r="AA295" s="1" t="str">
        <f t="shared" ca="1" si="29"/>
        <v>VENCIDO</v>
      </c>
      <c r="AB295" s="1" t="str">
        <f t="shared" si="30"/>
        <v>Dosa</v>
      </c>
      <c r="AC295" s="2" t="str">
        <f t="shared" si="34"/>
        <v xml:space="preserve"> CLEITON </v>
      </c>
      <c r="AD295" s="2">
        <f t="shared" si="31"/>
        <v>5</v>
      </c>
      <c r="AE295" s="2">
        <f t="shared" ca="1" si="32"/>
        <v>-274.9262716435187</v>
      </c>
      <c r="AF295" s="15"/>
    </row>
    <row r="296" spans="1:32" hidden="1">
      <c r="A296" s="1">
        <v>8622191</v>
      </c>
      <c r="B296" s="1" t="s">
        <v>27</v>
      </c>
      <c r="C296" t="s">
        <v>186</v>
      </c>
      <c r="E296" s="2">
        <v>2988000206001</v>
      </c>
      <c r="F296" s="1" t="s">
        <v>29</v>
      </c>
      <c r="G296" s="1" t="s">
        <v>53</v>
      </c>
      <c r="H296" s="1" t="s">
        <v>536</v>
      </c>
      <c r="I296" s="1" t="s">
        <v>537</v>
      </c>
      <c r="J296" s="1" t="s">
        <v>46</v>
      </c>
      <c r="K296" t="s">
        <v>34</v>
      </c>
      <c r="M296" s="1" t="s">
        <v>35</v>
      </c>
      <c r="N296" s="1">
        <v>42318949</v>
      </c>
      <c r="O296" s="1" t="s">
        <v>105</v>
      </c>
      <c r="P296" s="186">
        <v>44711.652870370373</v>
      </c>
      <c r="R296" s="1" t="s">
        <v>38</v>
      </c>
      <c r="T296" s="1" t="s">
        <v>74</v>
      </c>
      <c r="U296" s="186">
        <v>44711.75</v>
      </c>
      <c r="V296" s="1" t="s">
        <v>41</v>
      </c>
      <c r="W296" s="1" t="s">
        <v>49</v>
      </c>
      <c r="X296" s="13" t="str">
        <f t="shared" si="33"/>
        <v/>
      </c>
      <c r="Y296" s="2">
        <f t="shared" ca="1" si="28"/>
        <v>198</v>
      </c>
      <c r="Z296" s="14">
        <v>1</v>
      </c>
      <c r="AA296" s="1" t="str">
        <f t="shared" ca="1" si="29"/>
        <v>VENCIDO</v>
      </c>
      <c r="AB296" s="1" t="str">
        <f t="shared" si="30"/>
        <v>Dosa</v>
      </c>
      <c r="AC296" s="2" t="str">
        <f t="shared" si="34"/>
        <v xml:space="preserve"> CLEITON </v>
      </c>
      <c r="AD296" s="2">
        <f t="shared" si="31"/>
        <v>5</v>
      </c>
      <c r="AE296" s="2">
        <f t="shared" ca="1" si="32"/>
        <v>-274.9262716435187</v>
      </c>
      <c r="AF296" s="15"/>
    </row>
    <row r="297" spans="1:32" hidden="1">
      <c r="A297" s="1">
        <v>8622149</v>
      </c>
      <c r="B297" s="1" t="s">
        <v>27</v>
      </c>
      <c r="C297" t="s">
        <v>186</v>
      </c>
      <c r="E297" s="2">
        <v>3699000206001</v>
      </c>
      <c r="F297" s="1" t="s">
        <v>29</v>
      </c>
      <c r="G297" s="1" t="s">
        <v>53</v>
      </c>
      <c r="H297" s="1" t="s">
        <v>343</v>
      </c>
      <c r="I297" s="1" t="s">
        <v>344</v>
      </c>
      <c r="J297" s="1" t="s">
        <v>46</v>
      </c>
      <c r="K297" t="s">
        <v>34</v>
      </c>
      <c r="M297" s="1" t="s">
        <v>35</v>
      </c>
      <c r="N297" s="1">
        <v>42318949</v>
      </c>
      <c r="O297" s="1" t="s">
        <v>105</v>
      </c>
      <c r="P297" s="186">
        <v>44711.652824074074</v>
      </c>
      <c r="R297" s="1" t="s">
        <v>38</v>
      </c>
      <c r="T297" s="1" t="s">
        <v>74</v>
      </c>
      <c r="U297" s="186">
        <v>44711.75</v>
      </c>
      <c r="V297" s="1" t="s">
        <v>41</v>
      </c>
      <c r="W297" s="1" t="s">
        <v>49</v>
      </c>
      <c r="X297" s="13" t="str">
        <f t="shared" si="33"/>
        <v/>
      </c>
      <c r="Y297" s="2">
        <f t="shared" ca="1" si="28"/>
        <v>198</v>
      </c>
      <c r="Z297" s="14">
        <v>1</v>
      </c>
      <c r="AA297" s="1" t="str">
        <f t="shared" ca="1" si="29"/>
        <v>VENCIDO</v>
      </c>
      <c r="AB297" s="1" t="str">
        <f t="shared" si="30"/>
        <v>Dosa</v>
      </c>
      <c r="AC297" s="2" t="str">
        <f t="shared" si="34"/>
        <v xml:space="preserve"> CLEITON </v>
      </c>
      <c r="AD297" s="2">
        <f t="shared" si="31"/>
        <v>5</v>
      </c>
      <c r="AE297" s="2">
        <f t="shared" ca="1" si="32"/>
        <v>-274.9262716435187</v>
      </c>
      <c r="AF297" s="15"/>
    </row>
    <row r="298" spans="1:32" hidden="1">
      <c r="A298" s="1">
        <v>8622140</v>
      </c>
      <c r="B298" s="1" t="s">
        <v>27</v>
      </c>
      <c r="C298" t="s">
        <v>186</v>
      </c>
      <c r="E298" s="2">
        <v>1833000206001</v>
      </c>
      <c r="F298" s="1" t="s">
        <v>29</v>
      </c>
      <c r="G298" s="1" t="s">
        <v>53</v>
      </c>
      <c r="H298" s="1" t="s">
        <v>369</v>
      </c>
      <c r="I298" s="1" t="s">
        <v>370</v>
      </c>
      <c r="J298" s="1" t="s">
        <v>46</v>
      </c>
      <c r="K298" t="s">
        <v>34</v>
      </c>
      <c r="M298" s="1" t="s">
        <v>35</v>
      </c>
      <c r="N298" s="1">
        <v>42318949</v>
      </c>
      <c r="O298" s="1" t="s">
        <v>105</v>
      </c>
      <c r="P298" s="11" t="s">
        <v>636</v>
      </c>
      <c r="R298" s="1" t="s">
        <v>38</v>
      </c>
      <c r="T298" s="1" t="s">
        <v>74</v>
      </c>
      <c r="U298" s="11" t="s">
        <v>580</v>
      </c>
      <c r="V298" s="1" t="s">
        <v>41</v>
      </c>
      <c r="W298" s="1" t="s">
        <v>49</v>
      </c>
      <c r="X298" s="13" t="str">
        <f t="shared" si="33"/>
        <v/>
      </c>
      <c r="Y298" s="2">
        <f t="shared" ca="1" si="28"/>
        <v>198</v>
      </c>
      <c r="Z298" s="14">
        <v>1</v>
      </c>
      <c r="AA298" s="1" t="str">
        <f t="shared" ca="1" si="29"/>
        <v>VENCIDO</v>
      </c>
      <c r="AB298" s="1" t="str">
        <f t="shared" si="30"/>
        <v>Dosa</v>
      </c>
      <c r="AC298" s="2" t="str">
        <f t="shared" si="34"/>
        <v xml:space="preserve"> CLEITON </v>
      </c>
      <c r="AD298" s="2">
        <f t="shared" si="31"/>
        <v>5</v>
      </c>
      <c r="AE298" s="2">
        <f t="shared" ca="1" si="32"/>
        <v>-274.9262716435187</v>
      </c>
      <c r="AF298" s="15"/>
    </row>
    <row r="299" spans="1:32" hidden="1">
      <c r="A299" s="1">
        <v>8622104</v>
      </c>
      <c r="B299" s="1" t="s">
        <v>27</v>
      </c>
      <c r="C299" t="s">
        <v>186</v>
      </c>
      <c r="E299" s="2">
        <v>1838000206001</v>
      </c>
      <c r="F299" s="1" t="s">
        <v>29</v>
      </c>
      <c r="G299" s="1" t="s">
        <v>53</v>
      </c>
      <c r="H299" s="1" t="s">
        <v>357</v>
      </c>
      <c r="I299" s="1" t="s">
        <v>358</v>
      </c>
      <c r="J299" s="1" t="s">
        <v>46</v>
      </c>
      <c r="K299" t="s">
        <v>34</v>
      </c>
      <c r="M299" s="1" t="s">
        <v>35</v>
      </c>
      <c r="N299" s="1">
        <v>42318949</v>
      </c>
      <c r="O299" s="1" t="s">
        <v>36</v>
      </c>
      <c r="P299" s="186">
        <v>44711.652766203704</v>
      </c>
      <c r="R299" s="1" t="s">
        <v>38</v>
      </c>
      <c r="T299" s="1" t="s">
        <v>74</v>
      </c>
      <c r="U299" s="186">
        <v>44711.75</v>
      </c>
      <c r="V299" s="1" t="s">
        <v>41</v>
      </c>
      <c r="W299" s="1" t="s">
        <v>49</v>
      </c>
      <c r="X299" s="13" t="str">
        <f t="shared" si="33"/>
        <v/>
      </c>
      <c r="Y299" s="2">
        <f t="shared" ca="1" si="28"/>
        <v>198</v>
      </c>
      <c r="Z299" s="14">
        <v>1</v>
      </c>
      <c r="AA299" s="1" t="str">
        <f t="shared" ca="1" si="29"/>
        <v>VENCIDO</v>
      </c>
      <c r="AB299" s="1" t="str">
        <f t="shared" si="30"/>
        <v>Dosa</v>
      </c>
      <c r="AC299" s="2" t="str">
        <f t="shared" si="34"/>
        <v xml:space="preserve"> CLEITON </v>
      </c>
      <c r="AD299" s="2">
        <f t="shared" si="31"/>
        <v>5</v>
      </c>
      <c r="AE299" s="2">
        <f t="shared" ca="1" si="32"/>
        <v>-274.9262716435187</v>
      </c>
      <c r="AF299" s="15"/>
    </row>
    <row r="300" spans="1:32" hidden="1">
      <c r="A300" s="1">
        <v>8627619</v>
      </c>
      <c r="B300" s="1" t="s">
        <v>27</v>
      </c>
      <c r="C300" t="s">
        <v>637</v>
      </c>
      <c r="E300" s="2">
        <v>9406000206001</v>
      </c>
      <c r="F300" s="1" t="s">
        <v>29</v>
      </c>
      <c r="G300" s="1" t="s">
        <v>53</v>
      </c>
      <c r="H300" s="1" t="s">
        <v>114</v>
      </c>
      <c r="I300" s="1" t="s">
        <v>115</v>
      </c>
      <c r="J300" s="1" t="s">
        <v>46</v>
      </c>
      <c r="K300" t="s">
        <v>34</v>
      </c>
      <c r="M300" s="1" t="s">
        <v>35</v>
      </c>
      <c r="N300" s="1">
        <v>42318949</v>
      </c>
      <c r="O300" s="1" t="s">
        <v>36</v>
      </c>
      <c r="P300" s="11" t="s">
        <v>638</v>
      </c>
      <c r="R300" s="1" t="s">
        <v>38</v>
      </c>
      <c r="T300" s="1" t="s">
        <v>74</v>
      </c>
      <c r="U300" s="11" t="s">
        <v>639</v>
      </c>
      <c r="V300" s="1" t="s">
        <v>41</v>
      </c>
      <c r="W300" s="1" t="s">
        <v>49</v>
      </c>
      <c r="X300" s="13" t="str">
        <f t="shared" si="33"/>
        <v/>
      </c>
      <c r="Y300" s="2">
        <f t="shared" ca="1" si="28"/>
        <v>197</v>
      </c>
      <c r="Z300" s="14">
        <v>1</v>
      </c>
      <c r="AA300" s="1" t="str">
        <f t="shared" ca="1" si="29"/>
        <v>VENCIDO</v>
      </c>
      <c r="AB300" s="1" t="str">
        <f t="shared" si="30"/>
        <v>Dosa</v>
      </c>
      <c r="AC300" s="2" t="str">
        <f t="shared" si="34"/>
        <v xml:space="preserve"> CLEITON </v>
      </c>
      <c r="AD300" s="2">
        <f t="shared" si="31"/>
        <v>5</v>
      </c>
      <c r="AE300" s="2">
        <f t="shared" ca="1" si="32"/>
        <v>-273.9262716435187</v>
      </c>
      <c r="AF300" s="15"/>
    </row>
    <row r="301" spans="1:32" hidden="1">
      <c r="A301" s="1">
        <v>8627312</v>
      </c>
      <c r="B301" s="1" t="s">
        <v>62</v>
      </c>
      <c r="C301" t="s">
        <v>640</v>
      </c>
      <c r="E301" s="2">
        <v>1902016423500</v>
      </c>
      <c r="F301" s="1" t="s">
        <v>64</v>
      </c>
      <c r="G301" s="1" t="s">
        <v>53</v>
      </c>
      <c r="H301" s="1" t="s">
        <v>291</v>
      </c>
      <c r="I301" s="1" t="s">
        <v>292</v>
      </c>
      <c r="J301" s="1" t="s">
        <v>46</v>
      </c>
      <c r="K301" t="s">
        <v>67</v>
      </c>
      <c r="M301" s="1" t="s">
        <v>35</v>
      </c>
      <c r="N301" s="1">
        <v>42318949</v>
      </c>
      <c r="O301" s="1" t="s">
        <v>36</v>
      </c>
      <c r="P301" s="11" t="s">
        <v>641</v>
      </c>
      <c r="R301" s="1">
        <v>1</v>
      </c>
      <c r="T301" s="1" t="s">
        <v>69</v>
      </c>
      <c r="U301" s="11" t="s">
        <v>642</v>
      </c>
      <c r="V301" s="1" t="s">
        <v>41</v>
      </c>
      <c r="W301" s="1" t="s">
        <v>49</v>
      </c>
      <c r="X301" s="13" t="str">
        <f t="shared" si="33"/>
        <v/>
      </c>
      <c r="Y301" s="2">
        <f t="shared" ca="1" si="28"/>
        <v>197</v>
      </c>
      <c r="Z301" s="14">
        <v>1</v>
      </c>
      <c r="AA301" s="1" t="str">
        <f t="shared" ca="1" si="29"/>
        <v>VENCIDO</v>
      </c>
      <c r="AB301" s="1" t="str">
        <f t="shared" si="30"/>
        <v>TAAe+</v>
      </c>
      <c r="AC301" s="2" t="str">
        <f t="shared" si="34"/>
        <v xml:space="preserve"> CLEITON </v>
      </c>
      <c r="AD301" s="2">
        <f t="shared" si="31"/>
        <v>8</v>
      </c>
      <c r="AE301" s="2">
        <f t="shared" ca="1" si="32"/>
        <v>-273.05294988425885</v>
      </c>
      <c r="AF301" s="15"/>
    </row>
    <row r="302" spans="1:32">
      <c r="A302" s="1">
        <v>8646759</v>
      </c>
      <c r="B302" s="1" t="s">
        <v>101</v>
      </c>
      <c r="C302" t="s">
        <v>643</v>
      </c>
      <c r="D302" s="2">
        <v>220097008</v>
      </c>
      <c r="E302" s="2">
        <v>1362001400040</v>
      </c>
      <c r="F302" s="1" t="s">
        <v>644</v>
      </c>
      <c r="G302" s="1" t="s">
        <v>53</v>
      </c>
      <c r="H302" s="1" t="s">
        <v>268</v>
      </c>
      <c r="I302" s="1" t="s">
        <v>269</v>
      </c>
      <c r="J302" s="1" t="s">
        <v>90</v>
      </c>
      <c r="K302" t="s">
        <v>645</v>
      </c>
      <c r="M302" s="1" t="s">
        <v>58</v>
      </c>
      <c r="N302" s="1">
        <v>0</v>
      </c>
      <c r="O302" s="1" t="s">
        <v>105</v>
      </c>
      <c r="P302" s="12">
        <v>44713.458472222221</v>
      </c>
      <c r="R302" s="1">
        <v>3</v>
      </c>
      <c r="T302" s="1" t="s">
        <v>646</v>
      </c>
      <c r="U302" s="12">
        <v>44714.458472222221</v>
      </c>
      <c r="V302" s="1" t="s">
        <v>41</v>
      </c>
      <c r="W302" s="1" t="s">
        <v>49</v>
      </c>
      <c r="X302" s="13" t="str">
        <f t="shared" si="33"/>
        <v/>
      </c>
      <c r="Y302" s="2">
        <f t="shared" ca="1" si="28"/>
        <v>196</v>
      </c>
      <c r="Z302" s="14">
        <v>1</v>
      </c>
      <c r="AA302" s="1" t="str">
        <f t="shared" ca="1" si="29"/>
        <v>VENCIDO</v>
      </c>
      <c r="AB302" s="1" t="str">
        <f t="shared" si="30"/>
        <v>SL-On</v>
      </c>
      <c r="AC302" s="2" t="str">
        <f t="shared" si="34"/>
        <v xml:space="preserve"> RINALDO </v>
      </c>
      <c r="AD302" s="2">
        <f t="shared" si="31"/>
        <v>1</v>
      </c>
      <c r="AE302" s="2">
        <f t="shared" ca="1" si="32"/>
        <v>-272.21779942129797</v>
      </c>
      <c r="AF302" s="15"/>
    </row>
    <row r="303" spans="1:32" hidden="1">
      <c r="A303" s="1">
        <v>8645931</v>
      </c>
      <c r="B303" s="1" t="s">
        <v>101</v>
      </c>
      <c r="C303" t="s">
        <v>643</v>
      </c>
      <c r="D303" s="2">
        <v>220095864</v>
      </c>
      <c r="E303" s="2">
        <v>1120011400030</v>
      </c>
      <c r="F303" s="1" t="s">
        <v>647</v>
      </c>
      <c r="G303" s="1" t="s">
        <v>53</v>
      </c>
      <c r="H303" s="1" t="s">
        <v>648</v>
      </c>
      <c r="I303" s="1" t="s">
        <v>649</v>
      </c>
      <c r="J303" s="1" t="s">
        <v>164</v>
      </c>
      <c r="K303" t="s">
        <v>650</v>
      </c>
      <c r="M303" s="1" t="s">
        <v>58</v>
      </c>
      <c r="N303" s="1">
        <v>0</v>
      </c>
      <c r="O303" s="1" t="s">
        <v>105</v>
      </c>
      <c r="P303" s="11" t="s">
        <v>651</v>
      </c>
      <c r="R303" s="1">
        <v>4</v>
      </c>
      <c r="T303" s="1" t="s">
        <v>646</v>
      </c>
      <c r="U303" s="11" t="s">
        <v>652</v>
      </c>
      <c r="V303" s="1" t="s">
        <v>41</v>
      </c>
      <c r="W303" s="1" t="s">
        <v>49</v>
      </c>
      <c r="X303" s="13" t="str">
        <f t="shared" si="33"/>
        <v>1120.01</v>
      </c>
      <c r="Y303" s="2">
        <f t="shared" ca="1" si="28"/>
        <v>196</v>
      </c>
      <c r="Z303" s="14">
        <v>1</v>
      </c>
      <c r="AA303" s="1" t="str">
        <f t="shared" ca="1" si="29"/>
        <v>VENCIDO</v>
      </c>
      <c r="AB303" s="1" t="str">
        <f t="shared" si="30"/>
        <v>C-14</v>
      </c>
      <c r="AC303" s="2" t="str">
        <f t="shared" si="34"/>
        <v xml:space="preserve"> ROSEMERE </v>
      </c>
      <c r="AD303" s="2">
        <f t="shared" si="31"/>
        <v>15</v>
      </c>
      <c r="AE303" s="2">
        <f t="shared" ca="1" si="32"/>
        <v>-272.25021840277623</v>
      </c>
      <c r="AF303" s="15"/>
    </row>
    <row r="304" spans="1:32" hidden="1">
      <c r="A304" s="1">
        <v>8645897</v>
      </c>
      <c r="B304" s="1" t="s">
        <v>653</v>
      </c>
      <c r="C304" t="s">
        <v>654</v>
      </c>
      <c r="E304" s="2">
        <v>325001400040</v>
      </c>
      <c r="F304" s="1" t="s">
        <v>644</v>
      </c>
      <c r="G304" s="1" t="s">
        <v>53</v>
      </c>
      <c r="H304" s="1" t="s">
        <v>345</v>
      </c>
      <c r="I304" s="1" t="s">
        <v>346</v>
      </c>
      <c r="J304" s="1" t="s">
        <v>46</v>
      </c>
      <c r="K304" t="s">
        <v>645</v>
      </c>
      <c r="M304" s="1" t="s">
        <v>58</v>
      </c>
      <c r="N304" s="1">
        <v>0</v>
      </c>
      <c r="O304" s="1" t="s">
        <v>105</v>
      </c>
      <c r="P304" s="11" t="s">
        <v>655</v>
      </c>
      <c r="R304" s="1">
        <v>3</v>
      </c>
      <c r="T304" s="1" t="s">
        <v>646</v>
      </c>
      <c r="U304" s="11" t="s">
        <v>656</v>
      </c>
      <c r="V304" s="1" t="s">
        <v>41</v>
      </c>
      <c r="W304" s="1" t="s">
        <v>49</v>
      </c>
      <c r="X304" s="13" t="str">
        <f t="shared" si="33"/>
        <v/>
      </c>
      <c r="Y304" s="2">
        <f t="shared" ca="1" si="28"/>
        <v>196</v>
      </c>
      <c r="Z304" s="14">
        <v>1</v>
      </c>
      <c r="AA304" s="1" t="str">
        <f t="shared" ca="1" si="29"/>
        <v>VENCIDO</v>
      </c>
      <c r="AB304" s="1" t="str">
        <f t="shared" si="30"/>
        <v>SL-On</v>
      </c>
      <c r="AC304" s="2" t="str">
        <f t="shared" si="34"/>
        <v xml:space="preserve"> CLEITON </v>
      </c>
      <c r="AD304" s="2">
        <f t="shared" si="31"/>
        <v>1</v>
      </c>
      <c r="AE304" s="2">
        <f t="shared" ca="1" si="32"/>
        <v>-272.25110960648453</v>
      </c>
      <c r="AF304" s="15"/>
    </row>
    <row r="305" spans="1:32" hidden="1">
      <c r="A305" s="1">
        <v>8645870</v>
      </c>
      <c r="B305" s="1" t="s">
        <v>653</v>
      </c>
      <c r="C305" t="s">
        <v>654</v>
      </c>
      <c r="E305" s="2">
        <v>8573001400040</v>
      </c>
      <c r="F305" s="1" t="s">
        <v>644</v>
      </c>
      <c r="G305" s="1" t="s">
        <v>53</v>
      </c>
      <c r="H305" s="1" t="s">
        <v>657</v>
      </c>
      <c r="I305" s="1" t="s">
        <v>658</v>
      </c>
      <c r="J305" s="1" t="s">
        <v>33</v>
      </c>
      <c r="K305" t="s">
        <v>645</v>
      </c>
      <c r="M305" s="1" t="s">
        <v>58</v>
      </c>
      <c r="N305" s="1">
        <v>0</v>
      </c>
      <c r="O305" s="1" t="s">
        <v>105</v>
      </c>
      <c r="P305" s="11" t="s">
        <v>659</v>
      </c>
      <c r="R305" s="1">
        <v>3</v>
      </c>
      <c r="T305" s="1" t="s">
        <v>646</v>
      </c>
      <c r="U305" s="11" t="s">
        <v>660</v>
      </c>
      <c r="V305" s="1" t="s">
        <v>41</v>
      </c>
      <c r="W305" s="1" t="s">
        <v>49</v>
      </c>
      <c r="X305" s="13" t="str">
        <f t="shared" si="33"/>
        <v/>
      </c>
      <c r="Y305" s="2">
        <f t="shared" ca="1" si="28"/>
        <v>196</v>
      </c>
      <c r="Z305" s="14">
        <v>1</v>
      </c>
      <c r="AA305" s="1" t="str">
        <f t="shared" ca="1" si="29"/>
        <v>VENCIDO</v>
      </c>
      <c r="AB305" s="1" t="str">
        <f t="shared" si="30"/>
        <v>SL-On</v>
      </c>
      <c r="AC305" s="2" t="str">
        <f t="shared" si="34"/>
        <v xml:space="preserve"> ROSEMERE </v>
      </c>
      <c r="AD305" s="2">
        <f t="shared" si="31"/>
        <v>1</v>
      </c>
      <c r="AE305" s="2">
        <f t="shared" ca="1" si="32"/>
        <v>-272.25119062500016</v>
      </c>
      <c r="AF305" s="15"/>
    </row>
    <row r="306" spans="1:32" hidden="1">
      <c r="A306" s="1">
        <v>8645811</v>
      </c>
      <c r="B306" s="1" t="s">
        <v>653</v>
      </c>
      <c r="C306" t="s">
        <v>654</v>
      </c>
      <c r="E306" s="2">
        <v>8973001400040</v>
      </c>
      <c r="F306" s="1" t="s">
        <v>644</v>
      </c>
      <c r="G306" s="1" t="s">
        <v>53</v>
      </c>
      <c r="H306" s="1" t="s">
        <v>661</v>
      </c>
      <c r="I306" s="1" t="s">
        <v>662</v>
      </c>
      <c r="J306" s="1" t="s">
        <v>46</v>
      </c>
      <c r="K306" t="s">
        <v>645</v>
      </c>
      <c r="M306" s="1" t="s">
        <v>58</v>
      </c>
      <c r="N306" s="1">
        <v>0</v>
      </c>
      <c r="O306" s="1" t="s">
        <v>105</v>
      </c>
      <c r="P306" s="11" t="s">
        <v>663</v>
      </c>
      <c r="R306" s="1">
        <v>3</v>
      </c>
      <c r="T306" s="1" t="s">
        <v>646</v>
      </c>
      <c r="U306" s="11" t="s">
        <v>664</v>
      </c>
      <c r="V306" s="1" t="s">
        <v>41</v>
      </c>
      <c r="W306" s="1" t="s">
        <v>49</v>
      </c>
      <c r="X306" s="13" t="str">
        <f t="shared" si="33"/>
        <v/>
      </c>
      <c r="Y306" s="2">
        <f t="shared" ca="1" si="28"/>
        <v>196</v>
      </c>
      <c r="Z306" s="14">
        <v>1</v>
      </c>
      <c r="AA306" s="1" t="str">
        <f t="shared" ca="1" si="29"/>
        <v>VENCIDO</v>
      </c>
      <c r="AB306" s="1" t="str">
        <f t="shared" si="30"/>
        <v>SL-On</v>
      </c>
      <c r="AC306" s="2" t="str">
        <f t="shared" si="34"/>
        <v xml:space="preserve"> CLEITON </v>
      </c>
      <c r="AD306" s="2">
        <f t="shared" si="31"/>
        <v>1</v>
      </c>
      <c r="AE306" s="2">
        <f t="shared" ca="1" si="32"/>
        <v>-272.25126006944629</v>
      </c>
      <c r="AF306" s="15"/>
    </row>
    <row r="307" spans="1:32" hidden="1">
      <c r="A307" s="1">
        <v>8645204</v>
      </c>
      <c r="B307" s="1" t="s">
        <v>653</v>
      </c>
      <c r="C307" t="s">
        <v>654</v>
      </c>
      <c r="E307" s="2">
        <v>5898001400040</v>
      </c>
      <c r="F307" s="1" t="s">
        <v>644</v>
      </c>
      <c r="G307" s="1" t="s">
        <v>53</v>
      </c>
      <c r="H307" s="1" t="s">
        <v>365</v>
      </c>
      <c r="I307" s="1" t="s">
        <v>366</v>
      </c>
      <c r="J307" s="1" t="s">
        <v>164</v>
      </c>
      <c r="K307" t="s">
        <v>645</v>
      </c>
      <c r="M307" s="1" t="s">
        <v>58</v>
      </c>
      <c r="N307" s="1">
        <v>0</v>
      </c>
      <c r="O307" s="1" t="s">
        <v>105</v>
      </c>
      <c r="P307" s="11" t="s">
        <v>665</v>
      </c>
      <c r="R307" s="1">
        <v>2</v>
      </c>
      <c r="T307" s="1" t="s">
        <v>646</v>
      </c>
      <c r="U307" s="11" t="s">
        <v>666</v>
      </c>
      <c r="V307" s="1" t="s">
        <v>41</v>
      </c>
      <c r="W307" s="1" t="s">
        <v>49</v>
      </c>
      <c r="X307" s="13" t="str">
        <f t="shared" si="33"/>
        <v/>
      </c>
      <c r="Y307" s="2">
        <f t="shared" ca="1" si="28"/>
        <v>196</v>
      </c>
      <c r="Z307" s="14">
        <v>1</v>
      </c>
      <c r="AA307" s="1" t="str">
        <f t="shared" ca="1" si="29"/>
        <v>VENCIDO</v>
      </c>
      <c r="AB307" s="1" t="str">
        <f t="shared" si="30"/>
        <v>SL-On</v>
      </c>
      <c r="AC307" s="2" t="str">
        <f t="shared" si="34"/>
        <v xml:space="preserve"> ROSEMERE </v>
      </c>
      <c r="AD307" s="2">
        <f t="shared" si="31"/>
        <v>1</v>
      </c>
      <c r="AE307" s="2">
        <f t="shared" ca="1" si="32"/>
        <v>-272.25275312500162</v>
      </c>
      <c r="AF307" s="15"/>
    </row>
    <row r="308" spans="1:32" hidden="1">
      <c r="A308" s="1">
        <v>8645133</v>
      </c>
      <c r="B308" s="1" t="s">
        <v>653</v>
      </c>
      <c r="C308" t="s">
        <v>654</v>
      </c>
      <c r="E308" s="2">
        <v>5742001400040</v>
      </c>
      <c r="F308" s="1" t="s">
        <v>644</v>
      </c>
      <c r="G308" s="1" t="s">
        <v>53</v>
      </c>
      <c r="H308" s="1" t="s">
        <v>430</v>
      </c>
      <c r="I308" s="1" t="s">
        <v>431</v>
      </c>
      <c r="J308" s="1" t="s">
        <v>79</v>
      </c>
      <c r="K308" t="s">
        <v>645</v>
      </c>
      <c r="M308" s="1" t="s">
        <v>58</v>
      </c>
      <c r="N308" s="1">
        <v>0</v>
      </c>
      <c r="O308" s="1" t="s">
        <v>105</v>
      </c>
      <c r="P308" s="11" t="s">
        <v>667</v>
      </c>
      <c r="R308" s="1">
        <v>2</v>
      </c>
      <c r="T308" s="1" t="s">
        <v>646</v>
      </c>
      <c r="U308" s="11" t="s">
        <v>668</v>
      </c>
      <c r="V308" s="1" t="s">
        <v>41</v>
      </c>
      <c r="W308" s="1" t="s">
        <v>49</v>
      </c>
      <c r="X308" s="13" t="str">
        <f t="shared" si="33"/>
        <v/>
      </c>
      <c r="Y308" s="2">
        <f t="shared" ca="1" si="28"/>
        <v>196</v>
      </c>
      <c r="Z308" s="14">
        <v>1</v>
      </c>
      <c r="AA308" s="1" t="str">
        <f t="shared" ca="1" si="29"/>
        <v>VENCIDO</v>
      </c>
      <c r="AB308" s="1" t="str">
        <f t="shared" si="30"/>
        <v>SL-On</v>
      </c>
      <c r="AC308" s="2" t="str">
        <f t="shared" si="34"/>
        <v xml:space="preserve"> ROSEMERE </v>
      </c>
      <c r="AD308" s="2">
        <f t="shared" si="31"/>
        <v>1</v>
      </c>
      <c r="AE308" s="2">
        <f t="shared" ca="1" si="32"/>
        <v>-272.25320451388689</v>
      </c>
      <c r="AF308" s="15"/>
    </row>
    <row r="309" spans="1:32" hidden="1">
      <c r="A309" s="1">
        <v>8644779</v>
      </c>
      <c r="B309" s="1" t="s">
        <v>653</v>
      </c>
      <c r="C309" t="s">
        <v>654</v>
      </c>
      <c r="E309" s="2">
        <v>4623001400040</v>
      </c>
      <c r="F309" s="2" t="s">
        <v>644</v>
      </c>
      <c r="G309" s="1" t="s">
        <v>53</v>
      </c>
      <c r="H309" s="1" t="s">
        <v>669</v>
      </c>
      <c r="I309" s="1" t="s">
        <v>670</v>
      </c>
      <c r="J309" s="1" t="s">
        <v>33</v>
      </c>
      <c r="K309" s="1" t="s">
        <v>645</v>
      </c>
      <c r="M309" s="1" t="s">
        <v>58</v>
      </c>
      <c r="N309" s="1">
        <v>0</v>
      </c>
      <c r="O309" s="1" t="s">
        <v>105</v>
      </c>
      <c r="P309" s="12">
        <v>44713.421817129631</v>
      </c>
      <c r="R309" s="1">
        <v>2</v>
      </c>
      <c r="T309" s="1" t="s">
        <v>646</v>
      </c>
      <c r="U309" s="12">
        <v>44714.421817129631</v>
      </c>
      <c r="V309" s="1" t="s">
        <v>41</v>
      </c>
      <c r="W309" s="1" t="s">
        <v>42</v>
      </c>
      <c r="X309" s="13" t="str">
        <f t="shared" si="33"/>
        <v/>
      </c>
      <c r="Y309" s="2">
        <f t="shared" ca="1" si="28"/>
        <v>196</v>
      </c>
      <c r="Z309" s="14">
        <v>1</v>
      </c>
      <c r="AA309" s="1" t="str">
        <f t="shared" ca="1" si="29"/>
        <v>VENCIDO</v>
      </c>
      <c r="AB309" s="1" t="str">
        <f t="shared" si="30"/>
        <v>SL-On</v>
      </c>
      <c r="AC309" s="2" t="str">
        <f t="shared" si="34"/>
        <v xml:space="preserve"> ROSEMERE </v>
      </c>
      <c r="AD309" s="2">
        <f t="shared" si="31"/>
        <v>1</v>
      </c>
      <c r="AE309" s="2">
        <f t="shared" ca="1" si="32"/>
        <v>-272.25445451388805</v>
      </c>
      <c r="AF309" s="15"/>
    </row>
    <row r="310" spans="1:32" hidden="1">
      <c r="A310" s="1">
        <v>8644587</v>
      </c>
      <c r="B310" s="1" t="s">
        <v>653</v>
      </c>
      <c r="C310" t="s">
        <v>654</v>
      </c>
      <c r="E310" s="2">
        <v>4357001400040</v>
      </c>
      <c r="F310" s="1" t="s">
        <v>644</v>
      </c>
      <c r="G310" s="1" t="s">
        <v>53</v>
      </c>
      <c r="H310" s="1" t="s">
        <v>633</v>
      </c>
      <c r="I310" s="1" t="s">
        <v>634</v>
      </c>
      <c r="J310" s="1" t="s">
        <v>46</v>
      </c>
      <c r="K310" t="s">
        <v>645</v>
      </c>
      <c r="M310" s="1" t="s">
        <v>58</v>
      </c>
      <c r="N310" s="1">
        <v>0</v>
      </c>
      <c r="O310" s="1" t="s">
        <v>105</v>
      </c>
      <c r="P310" s="11" t="s">
        <v>671</v>
      </c>
      <c r="R310" s="1">
        <v>2</v>
      </c>
      <c r="T310" s="1" t="s">
        <v>646</v>
      </c>
      <c r="U310" s="11" t="s">
        <v>672</v>
      </c>
      <c r="V310" s="1" t="s">
        <v>41</v>
      </c>
      <c r="W310" s="1" t="s">
        <v>49</v>
      </c>
      <c r="X310" s="13" t="str">
        <f t="shared" si="33"/>
        <v/>
      </c>
      <c r="Y310" s="2">
        <f t="shared" ca="1" si="28"/>
        <v>196</v>
      </c>
      <c r="Z310" s="14">
        <v>1</v>
      </c>
      <c r="AA310" s="1" t="str">
        <f t="shared" ca="1" si="29"/>
        <v>VENCIDO</v>
      </c>
      <c r="AB310" s="1" t="str">
        <f t="shared" si="30"/>
        <v>SL-On</v>
      </c>
      <c r="AC310" s="2" t="str">
        <f t="shared" si="34"/>
        <v xml:space="preserve"> CLEITON </v>
      </c>
      <c r="AD310" s="2">
        <f t="shared" si="31"/>
        <v>1</v>
      </c>
      <c r="AE310" s="2">
        <f t="shared" ca="1" si="32"/>
        <v>-272.25509108796541</v>
      </c>
      <c r="AF310" s="15"/>
    </row>
    <row r="311" spans="1:32" hidden="1">
      <c r="A311" s="1">
        <v>8644506</v>
      </c>
      <c r="B311" s="1" t="s">
        <v>653</v>
      </c>
      <c r="C311" t="s">
        <v>654</v>
      </c>
      <c r="E311" s="2">
        <v>4235001400040</v>
      </c>
      <c r="F311" s="1" t="s">
        <v>644</v>
      </c>
      <c r="G311" s="1" t="s">
        <v>53</v>
      </c>
      <c r="H311" s="1" t="s">
        <v>291</v>
      </c>
      <c r="I311" s="1" t="s">
        <v>292</v>
      </c>
      <c r="J311" s="1" t="s">
        <v>46</v>
      </c>
      <c r="K311" t="s">
        <v>645</v>
      </c>
      <c r="M311" s="1" t="s">
        <v>58</v>
      </c>
      <c r="N311" s="1">
        <v>0</v>
      </c>
      <c r="O311" s="1" t="s">
        <v>105</v>
      </c>
      <c r="P311" s="11" t="s">
        <v>673</v>
      </c>
      <c r="R311" s="1">
        <v>2</v>
      </c>
      <c r="T311" s="1" t="s">
        <v>646</v>
      </c>
      <c r="U311" s="11" t="s">
        <v>674</v>
      </c>
      <c r="V311" s="1" t="s">
        <v>41</v>
      </c>
      <c r="W311" s="1" t="s">
        <v>49</v>
      </c>
      <c r="X311" s="13" t="str">
        <f t="shared" si="33"/>
        <v/>
      </c>
      <c r="Y311" s="2">
        <f t="shared" ca="1" si="28"/>
        <v>196</v>
      </c>
      <c r="Z311" s="14">
        <v>1</v>
      </c>
      <c r="AA311" s="1" t="str">
        <f t="shared" ca="1" si="29"/>
        <v>VENCIDO</v>
      </c>
      <c r="AB311" s="1" t="str">
        <f t="shared" si="30"/>
        <v>SL-On</v>
      </c>
      <c r="AC311" s="2" t="str">
        <f t="shared" si="34"/>
        <v xml:space="preserve"> CLEITON </v>
      </c>
      <c r="AD311" s="2">
        <f t="shared" si="31"/>
        <v>1</v>
      </c>
      <c r="AE311" s="2">
        <f t="shared" ca="1" si="32"/>
        <v>-272.2553225694428</v>
      </c>
      <c r="AF311" s="15"/>
    </row>
    <row r="312" spans="1:32" hidden="1">
      <c r="A312" s="1">
        <v>8644408</v>
      </c>
      <c r="B312" s="1" t="s">
        <v>653</v>
      </c>
      <c r="C312" t="s">
        <v>654</v>
      </c>
      <c r="E312" s="2">
        <v>4118001400040</v>
      </c>
      <c r="F312" s="1" t="s">
        <v>644</v>
      </c>
      <c r="G312" s="1" t="s">
        <v>53</v>
      </c>
      <c r="H312" s="1" t="s">
        <v>71</v>
      </c>
      <c r="I312" s="1" t="s">
        <v>72</v>
      </c>
      <c r="J312" s="1" t="s">
        <v>46</v>
      </c>
      <c r="K312" t="s">
        <v>645</v>
      </c>
      <c r="M312" s="1" t="s">
        <v>58</v>
      </c>
      <c r="N312" s="1">
        <v>0</v>
      </c>
      <c r="O312" s="1" t="s">
        <v>105</v>
      </c>
      <c r="P312" s="11" t="s">
        <v>675</v>
      </c>
      <c r="R312" s="1">
        <v>2</v>
      </c>
      <c r="T312" s="1" t="s">
        <v>646</v>
      </c>
      <c r="U312" s="11" t="s">
        <v>676</v>
      </c>
      <c r="V312" s="1" t="s">
        <v>41</v>
      </c>
      <c r="W312" s="1" t="s">
        <v>49</v>
      </c>
      <c r="X312" s="13" t="str">
        <f t="shared" si="33"/>
        <v/>
      </c>
      <c r="Y312" s="2">
        <f t="shared" ca="1" si="28"/>
        <v>196</v>
      </c>
      <c r="Z312" s="14">
        <v>1</v>
      </c>
      <c r="AA312" s="1" t="str">
        <f t="shared" ca="1" si="29"/>
        <v>VENCIDO</v>
      </c>
      <c r="AB312" s="1" t="str">
        <f t="shared" si="30"/>
        <v>SL-On</v>
      </c>
      <c r="AC312" s="2" t="str">
        <f t="shared" si="34"/>
        <v xml:space="preserve"> CLEITON </v>
      </c>
      <c r="AD312" s="2">
        <f t="shared" si="31"/>
        <v>1</v>
      </c>
      <c r="AE312" s="2">
        <f t="shared" ca="1" si="32"/>
        <v>-272.25560034722002</v>
      </c>
      <c r="AF312" s="15"/>
    </row>
    <row r="313" spans="1:32" hidden="1">
      <c r="A313" s="1">
        <v>8644094</v>
      </c>
      <c r="B313" s="1" t="s">
        <v>653</v>
      </c>
      <c r="C313" t="s">
        <v>654</v>
      </c>
      <c r="E313" s="2">
        <v>3699001400040</v>
      </c>
      <c r="F313" s="1" t="s">
        <v>644</v>
      </c>
      <c r="G313" s="1" t="s">
        <v>53</v>
      </c>
      <c r="H313" s="1" t="s">
        <v>343</v>
      </c>
      <c r="I313" s="1" t="s">
        <v>344</v>
      </c>
      <c r="J313" s="1" t="s">
        <v>46</v>
      </c>
      <c r="K313" t="s">
        <v>645</v>
      </c>
      <c r="M313" s="1" t="s">
        <v>58</v>
      </c>
      <c r="N313" s="1">
        <v>0</v>
      </c>
      <c r="O313" s="1" t="s">
        <v>105</v>
      </c>
      <c r="P313" s="11" t="s">
        <v>677</v>
      </c>
      <c r="R313" s="1">
        <v>2</v>
      </c>
      <c r="T313" s="1" t="s">
        <v>646</v>
      </c>
      <c r="U313" s="11" t="s">
        <v>678</v>
      </c>
      <c r="V313" s="1" t="s">
        <v>41</v>
      </c>
      <c r="W313" s="1" t="s">
        <v>49</v>
      </c>
      <c r="X313" s="13" t="str">
        <f t="shared" si="33"/>
        <v/>
      </c>
      <c r="Y313" s="2">
        <f t="shared" ca="1" si="28"/>
        <v>196</v>
      </c>
      <c r="Z313" s="14">
        <v>1</v>
      </c>
      <c r="AA313" s="1" t="str">
        <f t="shared" ca="1" si="29"/>
        <v>VENCIDO</v>
      </c>
      <c r="AB313" s="1" t="str">
        <f t="shared" si="30"/>
        <v>SL-On</v>
      </c>
      <c r="AC313" s="2" t="str">
        <f t="shared" si="34"/>
        <v xml:space="preserve"> CLEITON </v>
      </c>
      <c r="AD313" s="2">
        <f t="shared" si="31"/>
        <v>1</v>
      </c>
      <c r="AE313" s="2">
        <f t="shared" ca="1" si="32"/>
        <v>-272.25656099536718</v>
      </c>
      <c r="AF313" s="15"/>
    </row>
    <row r="314" spans="1:32" hidden="1">
      <c r="A314" s="1">
        <v>8644017</v>
      </c>
      <c r="B314" s="1" t="s">
        <v>653</v>
      </c>
      <c r="C314" t="s">
        <v>654</v>
      </c>
      <c r="E314" s="2">
        <v>3613001400040</v>
      </c>
      <c r="F314" s="1" t="s">
        <v>644</v>
      </c>
      <c r="G314" s="1" t="s">
        <v>53</v>
      </c>
      <c r="H314" s="1" t="s">
        <v>679</v>
      </c>
      <c r="I314" s="1" t="s">
        <v>680</v>
      </c>
      <c r="J314" s="1" t="s">
        <v>46</v>
      </c>
      <c r="K314" t="s">
        <v>645</v>
      </c>
      <c r="M314" s="1" t="s">
        <v>58</v>
      </c>
      <c r="N314" s="1">
        <v>0</v>
      </c>
      <c r="O314" s="1" t="s">
        <v>105</v>
      </c>
      <c r="P314" s="11" t="s">
        <v>681</v>
      </c>
      <c r="R314" s="1">
        <v>3</v>
      </c>
      <c r="T314" s="1" t="s">
        <v>646</v>
      </c>
      <c r="U314" s="11" t="s">
        <v>682</v>
      </c>
      <c r="V314" s="1" t="s">
        <v>41</v>
      </c>
      <c r="W314" s="1" t="s">
        <v>49</v>
      </c>
      <c r="X314" s="13" t="str">
        <f t="shared" si="33"/>
        <v/>
      </c>
      <c r="Y314" s="2">
        <f t="shared" ca="1" si="28"/>
        <v>196</v>
      </c>
      <c r="Z314" s="14">
        <v>1</v>
      </c>
      <c r="AA314" s="1" t="str">
        <f t="shared" ca="1" si="29"/>
        <v>VENCIDO</v>
      </c>
      <c r="AB314" s="1" t="str">
        <f t="shared" si="30"/>
        <v>SL-On</v>
      </c>
      <c r="AC314" s="2" t="str">
        <f t="shared" si="34"/>
        <v xml:space="preserve"> CLEITON </v>
      </c>
      <c r="AD314" s="2">
        <f t="shared" si="31"/>
        <v>1</v>
      </c>
      <c r="AE314" s="2">
        <f t="shared" ca="1" si="32"/>
        <v>-272.25687349536747</v>
      </c>
      <c r="AF314" s="15"/>
    </row>
    <row r="315" spans="1:32" hidden="1">
      <c r="A315" s="1">
        <v>8644016</v>
      </c>
      <c r="B315" s="1" t="s">
        <v>653</v>
      </c>
      <c r="C315" t="s">
        <v>654</v>
      </c>
      <c r="E315" s="2">
        <v>3612001400040</v>
      </c>
      <c r="F315" s="1" t="s">
        <v>644</v>
      </c>
      <c r="G315" s="1" t="s">
        <v>53</v>
      </c>
      <c r="H315" s="1" t="s">
        <v>683</v>
      </c>
      <c r="I315" s="1" t="s">
        <v>684</v>
      </c>
      <c r="J315" s="1" t="s">
        <v>46</v>
      </c>
      <c r="K315" t="s">
        <v>645</v>
      </c>
      <c r="M315" s="1" t="s">
        <v>58</v>
      </c>
      <c r="N315" s="1">
        <v>0</v>
      </c>
      <c r="O315" s="1" t="s">
        <v>105</v>
      </c>
      <c r="P315" s="11" t="s">
        <v>681</v>
      </c>
      <c r="R315" s="1">
        <v>3</v>
      </c>
      <c r="T315" s="1" t="s">
        <v>646</v>
      </c>
      <c r="U315" s="11" t="s">
        <v>682</v>
      </c>
      <c r="V315" s="1" t="s">
        <v>41</v>
      </c>
      <c r="W315" s="1" t="s">
        <v>49</v>
      </c>
      <c r="X315" s="13" t="str">
        <f t="shared" si="33"/>
        <v/>
      </c>
      <c r="Y315" s="2">
        <f t="shared" ca="1" si="28"/>
        <v>196</v>
      </c>
      <c r="Z315" s="14">
        <v>1</v>
      </c>
      <c r="AA315" s="1" t="str">
        <f t="shared" ca="1" si="29"/>
        <v>VENCIDO</v>
      </c>
      <c r="AB315" s="1" t="str">
        <f t="shared" si="30"/>
        <v>SL-On</v>
      </c>
      <c r="AC315" s="2" t="str">
        <f t="shared" si="34"/>
        <v xml:space="preserve"> CLEITON </v>
      </c>
      <c r="AD315" s="2">
        <f t="shared" si="31"/>
        <v>1</v>
      </c>
      <c r="AE315" s="2">
        <f t="shared" ca="1" si="32"/>
        <v>-272.25687349536747</v>
      </c>
      <c r="AF315" s="15"/>
    </row>
    <row r="316" spans="1:32" hidden="1">
      <c r="A316" s="1">
        <v>8643946</v>
      </c>
      <c r="B316" s="1" t="s">
        <v>653</v>
      </c>
      <c r="C316" t="s">
        <v>654</v>
      </c>
      <c r="E316" s="2">
        <v>3504001400040</v>
      </c>
      <c r="F316" s="1" t="s">
        <v>644</v>
      </c>
      <c r="G316" s="1" t="s">
        <v>53</v>
      </c>
      <c r="H316" s="1" t="s">
        <v>585</v>
      </c>
      <c r="I316" s="1" t="s">
        <v>586</v>
      </c>
      <c r="J316" s="1" t="s">
        <v>46</v>
      </c>
      <c r="K316" t="s">
        <v>645</v>
      </c>
      <c r="M316" s="1" t="s">
        <v>58</v>
      </c>
      <c r="N316" s="1">
        <v>0</v>
      </c>
      <c r="O316" s="1" t="s">
        <v>105</v>
      </c>
      <c r="P316" s="11" t="s">
        <v>685</v>
      </c>
      <c r="R316" s="1">
        <v>3</v>
      </c>
      <c r="T316" s="1" t="s">
        <v>646</v>
      </c>
      <c r="U316" s="11" t="s">
        <v>686</v>
      </c>
      <c r="V316" s="1" t="s">
        <v>41</v>
      </c>
      <c r="W316" s="1" t="s">
        <v>49</v>
      </c>
      <c r="X316" s="13" t="str">
        <f t="shared" si="33"/>
        <v/>
      </c>
      <c r="Y316" s="2">
        <f t="shared" ca="1" si="28"/>
        <v>196</v>
      </c>
      <c r="Z316" s="14">
        <v>1</v>
      </c>
      <c r="AA316" s="1" t="str">
        <f t="shared" ca="1" si="29"/>
        <v>VENCIDO</v>
      </c>
      <c r="AB316" s="1" t="str">
        <f t="shared" si="30"/>
        <v>SL-On</v>
      </c>
      <c r="AC316" s="2" t="str">
        <f t="shared" si="34"/>
        <v xml:space="preserve"> CLEITON </v>
      </c>
      <c r="AD316" s="2">
        <f t="shared" si="31"/>
        <v>1</v>
      </c>
      <c r="AE316" s="2">
        <f t="shared" ca="1" si="32"/>
        <v>-272.25700081018294</v>
      </c>
      <c r="AF316" s="15"/>
    </row>
    <row r="317" spans="1:32" hidden="1">
      <c r="A317" s="1">
        <v>8643945</v>
      </c>
      <c r="B317" s="1" t="s">
        <v>653</v>
      </c>
      <c r="C317" t="s">
        <v>654</v>
      </c>
      <c r="E317" s="2">
        <v>3503001400040</v>
      </c>
      <c r="F317" s="1" t="s">
        <v>644</v>
      </c>
      <c r="G317" s="1" t="s">
        <v>53</v>
      </c>
      <c r="H317" s="1" t="s">
        <v>398</v>
      </c>
      <c r="I317" s="1" t="s">
        <v>399</v>
      </c>
      <c r="J317" s="1" t="s">
        <v>46</v>
      </c>
      <c r="K317" t="s">
        <v>645</v>
      </c>
      <c r="M317" s="1" t="s">
        <v>58</v>
      </c>
      <c r="N317" s="1">
        <v>0</v>
      </c>
      <c r="O317" s="1" t="s">
        <v>105</v>
      </c>
      <c r="P317" s="11" t="s">
        <v>685</v>
      </c>
      <c r="R317" s="1">
        <v>2</v>
      </c>
      <c r="T317" s="1" t="s">
        <v>646</v>
      </c>
      <c r="U317" s="11" t="s">
        <v>686</v>
      </c>
      <c r="V317" s="1" t="s">
        <v>41</v>
      </c>
      <c r="W317" s="1" t="s">
        <v>49</v>
      </c>
      <c r="X317" s="13" t="str">
        <f t="shared" si="33"/>
        <v/>
      </c>
      <c r="Y317" s="2">
        <f t="shared" ca="1" si="28"/>
        <v>196</v>
      </c>
      <c r="Z317" s="14">
        <v>1</v>
      </c>
      <c r="AA317" s="1" t="str">
        <f t="shared" ca="1" si="29"/>
        <v>VENCIDO</v>
      </c>
      <c r="AB317" s="1" t="str">
        <f t="shared" si="30"/>
        <v>SL-On</v>
      </c>
      <c r="AC317" s="2" t="str">
        <f t="shared" si="34"/>
        <v xml:space="preserve"> CLEITON </v>
      </c>
      <c r="AD317" s="2">
        <f t="shared" si="31"/>
        <v>1</v>
      </c>
      <c r="AE317" s="2">
        <f t="shared" ca="1" si="32"/>
        <v>-272.25700081018294</v>
      </c>
      <c r="AF317" s="15"/>
    </row>
    <row r="318" spans="1:32" hidden="1">
      <c r="A318" s="1">
        <v>8643755</v>
      </c>
      <c r="B318" s="1" t="s">
        <v>653</v>
      </c>
      <c r="C318" t="s">
        <v>654</v>
      </c>
      <c r="E318" s="2">
        <v>3258001400040</v>
      </c>
      <c r="F318" s="1" t="s">
        <v>644</v>
      </c>
      <c r="G318" s="1" t="s">
        <v>53</v>
      </c>
      <c r="H318" s="1" t="s">
        <v>321</v>
      </c>
      <c r="I318" s="1" t="s">
        <v>322</v>
      </c>
      <c r="J318" s="1" t="s">
        <v>46</v>
      </c>
      <c r="K318" t="s">
        <v>645</v>
      </c>
      <c r="M318" s="1" t="s">
        <v>58</v>
      </c>
      <c r="N318" s="1">
        <v>0</v>
      </c>
      <c r="O318" s="1" t="s">
        <v>105</v>
      </c>
      <c r="P318" s="11" t="s">
        <v>687</v>
      </c>
      <c r="R318" s="1">
        <v>2</v>
      </c>
      <c r="T318" s="1" t="s">
        <v>646</v>
      </c>
      <c r="U318" s="11" t="s">
        <v>688</v>
      </c>
      <c r="V318" s="1" t="s">
        <v>41</v>
      </c>
      <c r="W318" s="1" t="s">
        <v>49</v>
      </c>
      <c r="X318" s="13" t="str">
        <f t="shared" si="33"/>
        <v/>
      </c>
      <c r="Y318" s="2">
        <f t="shared" ca="1" si="28"/>
        <v>196</v>
      </c>
      <c r="Z318" s="14">
        <v>1</v>
      </c>
      <c r="AA318" s="1" t="str">
        <f t="shared" ca="1" si="29"/>
        <v>VENCIDO</v>
      </c>
      <c r="AB318" s="1" t="str">
        <f t="shared" si="30"/>
        <v>SL-On</v>
      </c>
      <c r="AC318" s="2" t="str">
        <f t="shared" si="34"/>
        <v xml:space="preserve"> CLEITON </v>
      </c>
      <c r="AD318" s="2">
        <f t="shared" si="31"/>
        <v>1</v>
      </c>
      <c r="AE318" s="2">
        <f t="shared" ca="1" si="32"/>
        <v>-272.25788043981447</v>
      </c>
      <c r="AF318" s="15"/>
    </row>
    <row r="319" spans="1:32" hidden="1">
      <c r="A319" s="1">
        <v>8643740</v>
      </c>
      <c r="B319" s="1" t="s">
        <v>653</v>
      </c>
      <c r="C319" t="s">
        <v>654</v>
      </c>
      <c r="E319" s="2">
        <v>3243001400040</v>
      </c>
      <c r="F319" s="1" t="s">
        <v>644</v>
      </c>
      <c r="G319" s="1" t="s">
        <v>53</v>
      </c>
      <c r="H319" s="1" t="s">
        <v>282</v>
      </c>
      <c r="I319" s="1" t="s">
        <v>283</v>
      </c>
      <c r="J319" s="1" t="s">
        <v>46</v>
      </c>
      <c r="K319" t="s">
        <v>645</v>
      </c>
      <c r="M319" s="1" t="s">
        <v>58</v>
      </c>
      <c r="N319" s="1">
        <v>0</v>
      </c>
      <c r="O319" s="1" t="s">
        <v>105</v>
      </c>
      <c r="P319" s="11" t="s">
        <v>689</v>
      </c>
      <c r="R319" s="1">
        <v>3</v>
      </c>
      <c r="T319" s="1" t="s">
        <v>646</v>
      </c>
      <c r="U319" s="11" t="s">
        <v>690</v>
      </c>
      <c r="V319" s="1" t="s">
        <v>41</v>
      </c>
      <c r="W319" s="1" t="s">
        <v>49</v>
      </c>
      <c r="X319" s="13" t="str">
        <f t="shared" si="33"/>
        <v/>
      </c>
      <c r="Y319" s="2">
        <f t="shared" ca="1" si="28"/>
        <v>196</v>
      </c>
      <c r="Z319" s="14">
        <v>1</v>
      </c>
      <c r="AA319" s="1" t="str">
        <f t="shared" ca="1" si="29"/>
        <v>VENCIDO</v>
      </c>
      <c r="AB319" s="1" t="str">
        <f t="shared" si="30"/>
        <v>SL-On</v>
      </c>
      <c r="AC319" s="2" t="str">
        <f t="shared" si="34"/>
        <v xml:space="preserve"> CLEITON </v>
      </c>
      <c r="AD319" s="2">
        <f t="shared" si="31"/>
        <v>1</v>
      </c>
      <c r="AE319" s="2">
        <f t="shared" ca="1" si="32"/>
        <v>-272.25791516203753</v>
      </c>
      <c r="AF319" s="15"/>
    </row>
    <row r="320" spans="1:32" hidden="1">
      <c r="A320" s="1">
        <v>8643737</v>
      </c>
      <c r="B320" s="1" t="s">
        <v>653</v>
      </c>
      <c r="C320" t="s">
        <v>654</v>
      </c>
      <c r="E320" s="2">
        <v>3237001400040</v>
      </c>
      <c r="F320" s="1" t="s">
        <v>644</v>
      </c>
      <c r="G320" s="1" t="s">
        <v>53</v>
      </c>
      <c r="H320" s="1" t="s">
        <v>287</v>
      </c>
      <c r="I320" s="1" t="s">
        <v>288</v>
      </c>
      <c r="J320" s="1" t="s">
        <v>46</v>
      </c>
      <c r="K320" t="s">
        <v>645</v>
      </c>
      <c r="M320" s="1" t="s">
        <v>58</v>
      </c>
      <c r="N320" s="1">
        <v>0</v>
      </c>
      <c r="O320" s="1" t="s">
        <v>105</v>
      </c>
      <c r="P320" s="11" t="s">
        <v>689</v>
      </c>
      <c r="R320" s="1">
        <v>2</v>
      </c>
      <c r="T320" s="1" t="s">
        <v>646</v>
      </c>
      <c r="U320" s="11" t="s">
        <v>690</v>
      </c>
      <c r="V320" s="1" t="s">
        <v>41</v>
      </c>
      <c r="W320" s="1" t="s">
        <v>49</v>
      </c>
      <c r="X320" s="13" t="str">
        <f t="shared" si="33"/>
        <v/>
      </c>
      <c r="Y320" s="2">
        <f t="shared" ca="1" si="28"/>
        <v>196</v>
      </c>
      <c r="Z320" s="14">
        <v>1</v>
      </c>
      <c r="AA320" s="1" t="str">
        <f t="shared" ca="1" si="29"/>
        <v>VENCIDO</v>
      </c>
      <c r="AB320" s="1" t="str">
        <f t="shared" si="30"/>
        <v>SL-On</v>
      </c>
      <c r="AC320" s="2" t="str">
        <f t="shared" si="34"/>
        <v xml:space="preserve"> CLEITON </v>
      </c>
      <c r="AD320" s="2">
        <f t="shared" si="31"/>
        <v>1</v>
      </c>
      <c r="AE320" s="2">
        <f t="shared" ca="1" si="32"/>
        <v>-272.25791516203753</v>
      </c>
      <c r="AF320" s="15"/>
    </row>
    <row r="321" spans="1:32" hidden="1">
      <c r="A321" s="1">
        <v>8643543</v>
      </c>
      <c r="B321" s="1" t="s">
        <v>653</v>
      </c>
      <c r="C321" t="s">
        <v>654</v>
      </c>
      <c r="E321" s="2">
        <v>2988001400040</v>
      </c>
      <c r="F321" s="1" t="s">
        <v>644</v>
      </c>
      <c r="G321" s="1" t="s">
        <v>53</v>
      </c>
      <c r="H321" s="1" t="s">
        <v>536</v>
      </c>
      <c r="I321" s="1" t="s">
        <v>537</v>
      </c>
      <c r="J321" s="1" t="s">
        <v>46</v>
      </c>
      <c r="K321" t="s">
        <v>645</v>
      </c>
      <c r="M321" s="1" t="s">
        <v>58</v>
      </c>
      <c r="N321" s="1">
        <v>0</v>
      </c>
      <c r="O321" s="1" t="s">
        <v>105</v>
      </c>
      <c r="P321" s="11" t="s">
        <v>691</v>
      </c>
      <c r="R321" s="1">
        <v>2</v>
      </c>
      <c r="T321" s="1" t="s">
        <v>646</v>
      </c>
      <c r="U321" s="11" t="s">
        <v>692</v>
      </c>
      <c r="V321" s="1" t="s">
        <v>41</v>
      </c>
      <c r="W321" s="1" t="s">
        <v>49</v>
      </c>
      <c r="X321" s="13" t="str">
        <f t="shared" si="33"/>
        <v/>
      </c>
      <c r="Y321" s="2">
        <f t="shared" ca="1" si="28"/>
        <v>196</v>
      </c>
      <c r="Z321" s="14">
        <v>1</v>
      </c>
      <c r="AA321" s="1" t="str">
        <f t="shared" ca="1" si="29"/>
        <v>VENCIDO</v>
      </c>
      <c r="AB321" s="1" t="str">
        <f t="shared" si="30"/>
        <v>SL-On</v>
      </c>
      <c r="AC321" s="2" t="str">
        <f t="shared" si="34"/>
        <v xml:space="preserve"> CLEITON </v>
      </c>
      <c r="AD321" s="2">
        <f t="shared" si="31"/>
        <v>1</v>
      </c>
      <c r="AE321" s="2">
        <f t="shared" ca="1" si="32"/>
        <v>-272.25872534722293</v>
      </c>
      <c r="AF321" s="15"/>
    </row>
    <row r="322" spans="1:32" hidden="1">
      <c r="A322" s="1">
        <v>8643415</v>
      </c>
      <c r="B322" s="1" t="s">
        <v>653</v>
      </c>
      <c r="C322" t="s">
        <v>654</v>
      </c>
      <c r="E322" s="2">
        <v>2830001400040</v>
      </c>
      <c r="F322" s="1" t="s">
        <v>644</v>
      </c>
      <c r="G322" s="1" t="s">
        <v>53</v>
      </c>
      <c r="H322" s="1" t="s">
        <v>448</v>
      </c>
      <c r="I322" s="1" t="s">
        <v>449</v>
      </c>
      <c r="J322" s="1" t="s">
        <v>33</v>
      </c>
      <c r="K322" t="s">
        <v>645</v>
      </c>
      <c r="M322" s="1" t="s">
        <v>58</v>
      </c>
      <c r="N322" s="1">
        <v>0</v>
      </c>
      <c r="O322" s="1" t="s">
        <v>105</v>
      </c>
      <c r="P322" s="11" t="s">
        <v>693</v>
      </c>
      <c r="R322" s="1">
        <v>2</v>
      </c>
      <c r="T322" s="1" t="s">
        <v>646</v>
      </c>
      <c r="U322" s="11" t="s">
        <v>694</v>
      </c>
      <c r="V322" s="1" t="s">
        <v>41</v>
      </c>
      <c r="W322" s="1" t="s">
        <v>42</v>
      </c>
      <c r="X322" s="13" t="str">
        <f t="shared" si="33"/>
        <v/>
      </c>
      <c r="Y322" s="2">
        <f t="shared" ref="Y322:Y385" ca="1" si="35">NETWORKDAYS(P322,$Y$1)</f>
        <v>196</v>
      </c>
      <c r="Z322" s="14">
        <v>1</v>
      </c>
      <c r="AA322" s="1" t="str">
        <f t="shared" ref="AA322:AA385" ca="1" si="36">IF(AE322=0,"HOJE",IF(AE322&gt;0,"A VENCER",IF(AE322&lt;0,"VENCIDO")))</f>
        <v>VENCIDO</v>
      </c>
      <c r="AB322" s="1" t="str">
        <f t="shared" ref="AB322:AB385" si="37">IF(F322="GRPE-000001","C-14",IF(F322="GRPE-000002","C-14",IF(F322="GRPE-000003","C-14",IF(F322="GRPE-000004","SL-On",IF(F322="GRPE-000038","C-14",IF(F322="GRPE-900022","Dosa",IF(F322="GRPE-000029","Dosa",IF(F322="ATOS-000222","Dose","TAAe+"))))))))</f>
        <v>SL-On</v>
      </c>
      <c r="AC322" s="2" t="str">
        <f t="shared" si="34"/>
        <v xml:space="preserve"> ROSEMERE </v>
      </c>
      <c r="AD322" s="2">
        <f t="shared" ref="AD322:AD385" si="38">IF(F322="GRPE-000001",5,IF(F322="GRPE-000002",5,IF(F322="GRPE-000003",15,IF(F322="GRPE-000004",1,IF(F322="GRPE-000038",5,IF(F322="GRPE-900022",5,IF(F322="GRPE-000029",5,IF(F322="ATOS-000222",5,8))))))))</f>
        <v>1</v>
      </c>
      <c r="AE322" s="2">
        <f t="shared" ref="AE322:AE385" ca="1" si="39">IF(U322=$AE$1,"",U322-$AE$1)</f>
        <v>-272.25908414351579</v>
      </c>
      <c r="AF322" s="15"/>
    </row>
    <row r="323" spans="1:32" hidden="1">
      <c r="A323" s="1">
        <v>8643396</v>
      </c>
      <c r="B323" s="1" t="s">
        <v>653</v>
      </c>
      <c r="C323" t="s">
        <v>654</v>
      </c>
      <c r="E323" s="2">
        <v>2811001400040</v>
      </c>
      <c r="F323" s="1" t="s">
        <v>644</v>
      </c>
      <c r="G323" s="1" t="s">
        <v>53</v>
      </c>
      <c r="H323" s="1" t="s">
        <v>44</v>
      </c>
      <c r="I323" s="1" t="s">
        <v>45</v>
      </c>
      <c r="J323" s="1" t="s">
        <v>46</v>
      </c>
      <c r="K323" t="s">
        <v>645</v>
      </c>
      <c r="M323" s="1" t="s">
        <v>58</v>
      </c>
      <c r="N323" s="1">
        <v>0</v>
      </c>
      <c r="O323" s="1" t="s">
        <v>105</v>
      </c>
      <c r="P323" s="11" t="s">
        <v>695</v>
      </c>
      <c r="R323" s="1">
        <v>3</v>
      </c>
      <c r="T323" s="1" t="s">
        <v>646</v>
      </c>
      <c r="U323" s="11" t="s">
        <v>696</v>
      </c>
      <c r="V323" s="1" t="s">
        <v>41</v>
      </c>
      <c r="W323" s="1" t="s">
        <v>49</v>
      </c>
      <c r="X323" s="13" t="str">
        <f t="shared" ref="X323:X386" si="40">IF(RIGHT(H323,2)&lt;&gt;"00",H323,"")</f>
        <v/>
      </c>
      <c r="Y323" s="2">
        <f t="shared" ca="1" si="35"/>
        <v>196</v>
      </c>
      <c r="Z323" s="14">
        <v>1</v>
      </c>
      <c r="AA323" s="1" t="str">
        <f t="shared" ca="1" si="36"/>
        <v>VENCIDO</v>
      </c>
      <c r="AB323" s="1" t="str">
        <f t="shared" si="37"/>
        <v>SL-On</v>
      </c>
      <c r="AC323" s="2" t="str">
        <f t="shared" ref="AC323:AC386" si="41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 xml:space="preserve"> CLEITON </v>
      </c>
      <c r="AD323" s="2">
        <f t="shared" si="38"/>
        <v>1</v>
      </c>
      <c r="AE323" s="2">
        <f t="shared" ca="1" si="39"/>
        <v>-272.2591767361082</v>
      </c>
      <c r="AF323" s="15"/>
    </row>
    <row r="324" spans="1:32" hidden="1">
      <c r="A324" s="1">
        <v>8643389</v>
      </c>
      <c r="B324" s="1" t="s">
        <v>653</v>
      </c>
      <c r="C324" t="s">
        <v>654</v>
      </c>
      <c r="E324" s="2">
        <v>2802001400040</v>
      </c>
      <c r="F324" s="1" t="s">
        <v>644</v>
      </c>
      <c r="G324" s="1" t="s">
        <v>53</v>
      </c>
      <c r="H324" s="1" t="s">
        <v>388</v>
      </c>
      <c r="I324" s="1" t="s">
        <v>389</v>
      </c>
      <c r="J324" s="1" t="s">
        <v>46</v>
      </c>
      <c r="K324" t="s">
        <v>645</v>
      </c>
      <c r="M324" s="1" t="s">
        <v>58</v>
      </c>
      <c r="N324" s="1">
        <v>0</v>
      </c>
      <c r="O324" s="1" t="s">
        <v>105</v>
      </c>
      <c r="P324" s="11" t="s">
        <v>697</v>
      </c>
      <c r="R324" s="1">
        <v>3</v>
      </c>
      <c r="T324" s="1" t="s">
        <v>646</v>
      </c>
      <c r="U324" s="11" t="s">
        <v>698</v>
      </c>
      <c r="V324" s="1" t="s">
        <v>41</v>
      </c>
      <c r="W324" s="1" t="s">
        <v>49</v>
      </c>
      <c r="X324" s="13" t="str">
        <f t="shared" si="40"/>
        <v/>
      </c>
      <c r="Y324" s="2">
        <f t="shared" ca="1" si="35"/>
        <v>196</v>
      </c>
      <c r="Z324" s="14">
        <v>1</v>
      </c>
      <c r="AA324" s="1" t="str">
        <f t="shared" ca="1" si="36"/>
        <v>VENCIDO</v>
      </c>
      <c r="AB324" s="1" t="str">
        <f t="shared" si="37"/>
        <v>SL-On</v>
      </c>
      <c r="AC324" s="2" t="str">
        <f t="shared" si="41"/>
        <v xml:space="preserve"> CLEITON </v>
      </c>
      <c r="AD324" s="2">
        <f t="shared" si="38"/>
        <v>1</v>
      </c>
      <c r="AE324" s="2">
        <f t="shared" ca="1" si="39"/>
        <v>-272.25918831018498</v>
      </c>
      <c r="AF324" s="15"/>
    </row>
    <row r="325" spans="1:32" hidden="1">
      <c r="A325" s="1">
        <v>8643232</v>
      </c>
      <c r="B325" s="1" t="s">
        <v>653</v>
      </c>
      <c r="C325" t="s">
        <v>654</v>
      </c>
      <c r="E325" s="2">
        <v>2625001400040</v>
      </c>
      <c r="F325" s="1" t="s">
        <v>644</v>
      </c>
      <c r="G325" s="1" t="s">
        <v>53</v>
      </c>
      <c r="H325" s="1" t="s">
        <v>317</v>
      </c>
      <c r="I325" s="1" t="s">
        <v>318</v>
      </c>
      <c r="J325" s="1" t="s">
        <v>164</v>
      </c>
      <c r="K325" t="s">
        <v>645</v>
      </c>
      <c r="M325" s="1" t="s">
        <v>58</v>
      </c>
      <c r="N325" s="1">
        <v>0</v>
      </c>
      <c r="O325" s="1" t="s">
        <v>105</v>
      </c>
      <c r="P325" s="11" t="s">
        <v>699</v>
      </c>
      <c r="R325" s="1">
        <v>3</v>
      </c>
      <c r="T325" s="1" t="s">
        <v>646</v>
      </c>
      <c r="U325" s="11" t="s">
        <v>700</v>
      </c>
      <c r="V325" s="1" t="s">
        <v>41</v>
      </c>
      <c r="W325" s="1" t="s">
        <v>49</v>
      </c>
      <c r="X325" s="13" t="str">
        <f t="shared" si="40"/>
        <v/>
      </c>
      <c r="Y325" s="2">
        <f t="shared" ca="1" si="35"/>
        <v>196</v>
      </c>
      <c r="Z325" s="14">
        <v>1</v>
      </c>
      <c r="AA325" s="1" t="str">
        <f t="shared" ca="1" si="36"/>
        <v>VENCIDO</v>
      </c>
      <c r="AB325" s="1" t="str">
        <f t="shared" si="37"/>
        <v>SL-On</v>
      </c>
      <c r="AC325" s="2" t="str">
        <f t="shared" si="41"/>
        <v xml:space="preserve"> ROSEMERE </v>
      </c>
      <c r="AD325" s="2">
        <f t="shared" si="38"/>
        <v>1</v>
      </c>
      <c r="AE325" s="2">
        <f t="shared" ca="1" si="39"/>
        <v>-272.25961655092397</v>
      </c>
      <c r="AF325" s="15"/>
    </row>
    <row r="326" spans="1:32" hidden="1">
      <c r="A326" s="1">
        <v>8643003</v>
      </c>
      <c r="B326" s="1" t="s">
        <v>653</v>
      </c>
      <c r="C326" t="s">
        <v>654</v>
      </c>
      <c r="E326" s="2">
        <v>2369001400040</v>
      </c>
      <c r="F326" s="1" t="s">
        <v>644</v>
      </c>
      <c r="G326" s="1" t="s">
        <v>53</v>
      </c>
      <c r="H326" s="1" t="s">
        <v>701</v>
      </c>
      <c r="I326" s="1" t="s">
        <v>702</v>
      </c>
      <c r="J326" s="1" t="s">
        <v>141</v>
      </c>
      <c r="K326" t="s">
        <v>645</v>
      </c>
      <c r="M326" s="1" t="s">
        <v>58</v>
      </c>
      <c r="N326" s="1">
        <v>0</v>
      </c>
      <c r="O326" s="1" t="s">
        <v>105</v>
      </c>
      <c r="P326" s="11" t="s">
        <v>703</v>
      </c>
      <c r="R326" s="1">
        <v>2</v>
      </c>
      <c r="T326" s="1" t="s">
        <v>646</v>
      </c>
      <c r="U326" s="11" t="s">
        <v>704</v>
      </c>
      <c r="V326" s="1" t="s">
        <v>41</v>
      </c>
      <c r="W326" s="1" t="s">
        <v>49</v>
      </c>
      <c r="X326" s="13" t="str">
        <f t="shared" si="40"/>
        <v/>
      </c>
      <c r="Y326" s="2">
        <f t="shared" ca="1" si="35"/>
        <v>196</v>
      </c>
      <c r="Z326" s="14">
        <v>1</v>
      </c>
      <c r="AA326" s="1" t="str">
        <f t="shared" ca="1" si="36"/>
        <v>VENCIDO</v>
      </c>
      <c r="AB326" s="1" t="str">
        <f t="shared" si="37"/>
        <v>SL-On</v>
      </c>
      <c r="AC326" s="2" t="str">
        <f t="shared" si="41"/>
        <v xml:space="preserve"> CRISTINA </v>
      </c>
      <c r="AD326" s="2">
        <f t="shared" si="38"/>
        <v>1</v>
      </c>
      <c r="AE326" s="2">
        <f t="shared" ca="1" si="39"/>
        <v>-272.26095914351754</v>
      </c>
      <c r="AF326" s="15"/>
    </row>
    <row r="327" spans="1:32" hidden="1">
      <c r="A327" s="1">
        <v>8643000</v>
      </c>
      <c r="B327" s="1" t="s">
        <v>653</v>
      </c>
      <c r="C327" t="s">
        <v>654</v>
      </c>
      <c r="E327" s="2">
        <v>2365001400040</v>
      </c>
      <c r="F327" s="1" t="s">
        <v>644</v>
      </c>
      <c r="G327" s="1" t="s">
        <v>53</v>
      </c>
      <c r="H327" s="1" t="s">
        <v>159</v>
      </c>
      <c r="I327" s="1" t="s">
        <v>160</v>
      </c>
      <c r="J327" s="1" t="s">
        <v>46</v>
      </c>
      <c r="K327" t="s">
        <v>645</v>
      </c>
      <c r="M327" s="1" t="s">
        <v>58</v>
      </c>
      <c r="N327" s="1">
        <v>0</v>
      </c>
      <c r="O327" s="1" t="s">
        <v>105</v>
      </c>
      <c r="P327" s="12">
        <v>44713.415300925924</v>
      </c>
      <c r="R327" s="1">
        <v>2</v>
      </c>
      <c r="T327" s="1" t="s">
        <v>646</v>
      </c>
      <c r="U327" s="12">
        <v>44714.415300925924</v>
      </c>
      <c r="V327" s="1" t="s">
        <v>41</v>
      </c>
      <c r="W327" s="1" t="s">
        <v>49</v>
      </c>
      <c r="X327" s="13" t="str">
        <f t="shared" si="40"/>
        <v/>
      </c>
      <c r="Y327" s="2">
        <f t="shared" ca="1" si="35"/>
        <v>196</v>
      </c>
      <c r="Z327" s="14">
        <v>1</v>
      </c>
      <c r="AA327" s="1" t="str">
        <f t="shared" ca="1" si="36"/>
        <v>VENCIDO</v>
      </c>
      <c r="AB327" s="1" t="str">
        <f t="shared" si="37"/>
        <v>SL-On</v>
      </c>
      <c r="AC327" s="2" t="str">
        <f t="shared" si="41"/>
        <v xml:space="preserve"> CLEITON </v>
      </c>
      <c r="AD327" s="2">
        <f t="shared" si="38"/>
        <v>1</v>
      </c>
      <c r="AE327" s="2">
        <f t="shared" ca="1" si="39"/>
        <v>-272.26097071759432</v>
      </c>
      <c r="AF327" s="15"/>
    </row>
    <row r="328" spans="1:32" hidden="1">
      <c r="A328" s="1">
        <v>8642964</v>
      </c>
      <c r="B328" s="1" t="s">
        <v>653</v>
      </c>
      <c r="C328" t="s">
        <v>654</v>
      </c>
      <c r="E328" s="2">
        <v>2326001400040</v>
      </c>
      <c r="F328" s="1" t="s">
        <v>644</v>
      </c>
      <c r="G328" s="1" t="s">
        <v>53</v>
      </c>
      <c r="H328" s="1" t="s">
        <v>191</v>
      </c>
      <c r="I328" s="1" t="s">
        <v>192</v>
      </c>
      <c r="J328" s="1" t="s">
        <v>46</v>
      </c>
      <c r="K328" t="s">
        <v>645</v>
      </c>
      <c r="M328" s="1" t="s">
        <v>58</v>
      </c>
      <c r="N328" s="1">
        <v>0</v>
      </c>
      <c r="O328" s="1" t="s">
        <v>105</v>
      </c>
      <c r="P328" s="11" t="s">
        <v>705</v>
      </c>
      <c r="R328" s="1">
        <v>2</v>
      </c>
      <c r="T328" s="1" t="s">
        <v>646</v>
      </c>
      <c r="U328" s="11" t="s">
        <v>706</v>
      </c>
      <c r="V328" s="1" t="s">
        <v>41</v>
      </c>
      <c r="W328" s="1" t="s">
        <v>49</v>
      </c>
      <c r="X328" s="13" t="str">
        <f t="shared" si="40"/>
        <v/>
      </c>
      <c r="Y328" s="2">
        <f t="shared" ca="1" si="35"/>
        <v>196</v>
      </c>
      <c r="Z328" s="14">
        <v>1</v>
      </c>
      <c r="AA328" s="1" t="str">
        <f t="shared" ca="1" si="36"/>
        <v>VENCIDO</v>
      </c>
      <c r="AB328" s="1" t="str">
        <f t="shared" si="37"/>
        <v>SL-On</v>
      </c>
      <c r="AC328" s="2" t="str">
        <f t="shared" si="41"/>
        <v xml:space="preserve"> CLEITON </v>
      </c>
      <c r="AD328" s="2">
        <f t="shared" si="38"/>
        <v>1</v>
      </c>
      <c r="AE328" s="2">
        <f t="shared" ca="1" si="39"/>
        <v>-272.26116747684864</v>
      </c>
      <c r="AF328" s="15"/>
    </row>
    <row r="329" spans="1:32" hidden="1">
      <c r="A329" s="1">
        <v>8642887</v>
      </c>
      <c r="B329" s="1" t="s">
        <v>653</v>
      </c>
      <c r="C329" t="s">
        <v>654</v>
      </c>
      <c r="E329" s="2">
        <v>2238001400040</v>
      </c>
      <c r="F329" s="1" t="s">
        <v>644</v>
      </c>
      <c r="G329" s="1" t="s">
        <v>53</v>
      </c>
      <c r="H329" s="1" t="s">
        <v>707</v>
      </c>
      <c r="I329" s="1" t="s">
        <v>708</v>
      </c>
      <c r="J329" s="1" t="s">
        <v>79</v>
      </c>
      <c r="K329" t="s">
        <v>645</v>
      </c>
      <c r="M329" s="1" t="s">
        <v>58</v>
      </c>
      <c r="N329" s="1">
        <v>0</v>
      </c>
      <c r="O329" s="1" t="s">
        <v>105</v>
      </c>
      <c r="P329" s="12">
        <v>44713.414976851855</v>
      </c>
      <c r="R329" s="1">
        <v>3</v>
      </c>
      <c r="T329" s="1" t="s">
        <v>646</v>
      </c>
      <c r="U329" s="12">
        <v>44714.414976851855</v>
      </c>
      <c r="V329" s="1" t="s">
        <v>41</v>
      </c>
      <c r="W329" s="1" t="s">
        <v>49</v>
      </c>
      <c r="X329" s="13" t="str">
        <f t="shared" si="40"/>
        <v/>
      </c>
      <c r="Y329" s="2">
        <f t="shared" ca="1" si="35"/>
        <v>196</v>
      </c>
      <c r="Z329" s="14">
        <v>1</v>
      </c>
      <c r="AA329" s="1" t="str">
        <f t="shared" ca="1" si="36"/>
        <v>VENCIDO</v>
      </c>
      <c r="AB329" s="1" t="str">
        <f t="shared" si="37"/>
        <v>SL-On</v>
      </c>
      <c r="AC329" s="2" t="str">
        <f t="shared" si="41"/>
        <v xml:space="preserve"> ROSEMERE </v>
      </c>
      <c r="AD329" s="2">
        <f t="shared" si="38"/>
        <v>1</v>
      </c>
      <c r="AE329" s="2">
        <f t="shared" ca="1" si="39"/>
        <v>-272.26129479166411</v>
      </c>
      <c r="AF329" s="15"/>
    </row>
    <row r="330" spans="1:32" hidden="1">
      <c r="A330" s="1">
        <v>8642791</v>
      </c>
      <c r="B330" s="1" t="s">
        <v>653</v>
      </c>
      <c r="C330" t="s">
        <v>654</v>
      </c>
      <c r="E330" s="2">
        <v>2138001400040</v>
      </c>
      <c r="F330" s="1" t="s">
        <v>644</v>
      </c>
      <c r="G330" s="1" t="s">
        <v>53</v>
      </c>
      <c r="H330" s="1" t="s">
        <v>379</v>
      </c>
      <c r="I330" s="1" t="s">
        <v>380</v>
      </c>
      <c r="J330" s="1" t="s">
        <v>46</v>
      </c>
      <c r="K330" t="s">
        <v>645</v>
      </c>
      <c r="M330" s="1" t="s">
        <v>58</v>
      </c>
      <c r="N330" s="1">
        <v>0</v>
      </c>
      <c r="O330" s="1" t="s">
        <v>105</v>
      </c>
      <c r="P330" s="12">
        <v>44713.41474537037</v>
      </c>
      <c r="R330" s="1">
        <v>3</v>
      </c>
      <c r="T330" s="1" t="s">
        <v>646</v>
      </c>
      <c r="U330" s="12">
        <v>44714.41474537037</v>
      </c>
      <c r="V330" s="1" t="s">
        <v>41</v>
      </c>
      <c r="W330" s="1" t="s">
        <v>49</v>
      </c>
      <c r="X330" s="13" t="str">
        <f t="shared" si="40"/>
        <v/>
      </c>
      <c r="Y330" s="2">
        <f t="shared" ca="1" si="35"/>
        <v>196</v>
      </c>
      <c r="Z330" s="14">
        <v>1</v>
      </c>
      <c r="AA330" s="1" t="str">
        <f t="shared" ca="1" si="36"/>
        <v>VENCIDO</v>
      </c>
      <c r="AB330" s="1" t="str">
        <f t="shared" si="37"/>
        <v>SL-On</v>
      </c>
      <c r="AC330" s="2" t="str">
        <f t="shared" si="41"/>
        <v xml:space="preserve"> CLEITON </v>
      </c>
      <c r="AD330" s="2">
        <f t="shared" si="38"/>
        <v>1</v>
      </c>
      <c r="AE330" s="2">
        <f t="shared" ca="1" si="39"/>
        <v>-272.26152627314877</v>
      </c>
      <c r="AF330" s="15"/>
    </row>
    <row r="331" spans="1:32" hidden="1">
      <c r="A331" s="1">
        <v>8642762</v>
      </c>
      <c r="B331" s="1" t="s">
        <v>653</v>
      </c>
      <c r="C331" t="s">
        <v>654</v>
      </c>
      <c r="E331" s="2">
        <v>2107001400040</v>
      </c>
      <c r="F331" s="1" t="s">
        <v>644</v>
      </c>
      <c r="G331" s="1" t="s">
        <v>53</v>
      </c>
      <c r="H331" s="1" t="s">
        <v>262</v>
      </c>
      <c r="I331" s="1" t="s">
        <v>263</v>
      </c>
      <c r="J331" s="1" t="s">
        <v>164</v>
      </c>
      <c r="K331" t="s">
        <v>645</v>
      </c>
      <c r="M331" s="1" t="s">
        <v>58</v>
      </c>
      <c r="N331" s="1">
        <v>0</v>
      </c>
      <c r="O331" s="1" t="s">
        <v>105</v>
      </c>
      <c r="P331" s="11" t="s">
        <v>709</v>
      </c>
      <c r="R331" s="1">
        <v>3</v>
      </c>
      <c r="T331" s="1" t="s">
        <v>646</v>
      </c>
      <c r="U331" s="11" t="s">
        <v>710</v>
      </c>
      <c r="V331" s="1" t="s">
        <v>41</v>
      </c>
      <c r="W331" s="1" t="s">
        <v>49</v>
      </c>
      <c r="X331" s="13" t="str">
        <f t="shared" si="40"/>
        <v/>
      </c>
      <c r="Y331" s="2">
        <f t="shared" ca="1" si="35"/>
        <v>196</v>
      </c>
      <c r="Z331" s="14">
        <v>1</v>
      </c>
      <c r="AA331" s="1" t="str">
        <f t="shared" ca="1" si="36"/>
        <v>VENCIDO</v>
      </c>
      <c r="AB331" s="1" t="str">
        <f t="shared" si="37"/>
        <v>SL-On</v>
      </c>
      <c r="AC331" s="2" t="str">
        <f t="shared" si="41"/>
        <v xml:space="preserve"> ROSEMERE </v>
      </c>
      <c r="AD331" s="2">
        <f t="shared" si="38"/>
        <v>1</v>
      </c>
      <c r="AE331" s="2">
        <f t="shared" ca="1" si="39"/>
        <v>-272.26190821759519</v>
      </c>
      <c r="AF331" s="15"/>
    </row>
    <row r="332" spans="1:32">
      <c r="A332" s="1">
        <v>8642730</v>
      </c>
      <c r="B332" s="1" t="s">
        <v>653</v>
      </c>
      <c r="C332" t="s">
        <v>654</v>
      </c>
      <c r="E332" s="2">
        <v>2069001400040</v>
      </c>
      <c r="F332" s="1" t="s">
        <v>644</v>
      </c>
      <c r="G332" s="1" t="s">
        <v>53</v>
      </c>
      <c r="H332" s="1" t="s">
        <v>557</v>
      </c>
      <c r="I332" s="1" t="s">
        <v>558</v>
      </c>
      <c r="J332" s="1" t="s">
        <v>90</v>
      </c>
      <c r="K332" t="s">
        <v>645</v>
      </c>
      <c r="M332" s="1" t="s">
        <v>58</v>
      </c>
      <c r="N332" s="1">
        <v>0</v>
      </c>
      <c r="O332" s="1" t="s">
        <v>105</v>
      </c>
      <c r="P332" s="11" t="s">
        <v>711</v>
      </c>
      <c r="R332" s="1">
        <v>2</v>
      </c>
      <c r="T332" s="1" t="s">
        <v>646</v>
      </c>
      <c r="U332" s="11" t="s">
        <v>712</v>
      </c>
      <c r="V332" s="1" t="s">
        <v>41</v>
      </c>
      <c r="W332" s="1" t="s">
        <v>49</v>
      </c>
      <c r="X332" s="13" t="str">
        <f t="shared" si="40"/>
        <v/>
      </c>
      <c r="Y332" s="2">
        <f t="shared" ca="1" si="35"/>
        <v>196</v>
      </c>
      <c r="Z332" s="14">
        <v>1</v>
      </c>
      <c r="AA332" s="1" t="str">
        <f t="shared" ca="1" si="36"/>
        <v>VENCIDO</v>
      </c>
      <c r="AB332" s="1" t="str">
        <f t="shared" si="37"/>
        <v>SL-On</v>
      </c>
      <c r="AC332" s="2" t="str">
        <f t="shared" si="41"/>
        <v xml:space="preserve"> RINALDO </v>
      </c>
      <c r="AD332" s="2">
        <f t="shared" si="38"/>
        <v>1</v>
      </c>
      <c r="AE332" s="2">
        <f t="shared" ca="1" si="39"/>
        <v>-272.26196608796454</v>
      </c>
      <c r="AF332" s="15"/>
    </row>
    <row r="333" spans="1:32" hidden="1">
      <c r="A333" s="1">
        <v>8642641</v>
      </c>
      <c r="B333" s="1" t="s">
        <v>653</v>
      </c>
      <c r="C333" t="s">
        <v>654</v>
      </c>
      <c r="E333" s="2">
        <v>1924001400040</v>
      </c>
      <c r="F333" s="1" t="s">
        <v>644</v>
      </c>
      <c r="G333" s="1" t="s">
        <v>53</v>
      </c>
      <c r="H333" s="1" t="s">
        <v>568</v>
      </c>
      <c r="I333" s="1" t="s">
        <v>569</v>
      </c>
      <c r="J333" s="1" t="s">
        <v>33</v>
      </c>
      <c r="K333" t="s">
        <v>645</v>
      </c>
      <c r="M333" s="1" t="s">
        <v>58</v>
      </c>
      <c r="N333" s="1">
        <v>0</v>
      </c>
      <c r="O333" s="1" t="s">
        <v>105</v>
      </c>
      <c r="P333" s="11" t="s">
        <v>713</v>
      </c>
      <c r="R333" s="1">
        <v>2</v>
      </c>
      <c r="T333" s="1" t="s">
        <v>646</v>
      </c>
      <c r="U333" s="11" t="s">
        <v>714</v>
      </c>
      <c r="V333" s="1" t="s">
        <v>41</v>
      </c>
      <c r="W333" s="1" t="s">
        <v>49</v>
      </c>
      <c r="X333" s="13" t="str">
        <f t="shared" si="40"/>
        <v/>
      </c>
      <c r="Y333" s="2">
        <f t="shared" ca="1" si="35"/>
        <v>196</v>
      </c>
      <c r="Z333" s="14">
        <v>1</v>
      </c>
      <c r="AA333" s="1" t="str">
        <f t="shared" ca="1" si="36"/>
        <v>VENCIDO</v>
      </c>
      <c r="AB333" s="1" t="str">
        <f t="shared" si="37"/>
        <v>SL-On</v>
      </c>
      <c r="AC333" s="2" t="str">
        <f t="shared" si="41"/>
        <v xml:space="preserve"> ROSEMERE </v>
      </c>
      <c r="AD333" s="2">
        <f t="shared" si="38"/>
        <v>1</v>
      </c>
      <c r="AE333" s="2">
        <f t="shared" ca="1" si="39"/>
        <v>-272.26222071759548</v>
      </c>
      <c r="AF333" s="15"/>
    </row>
    <row r="334" spans="1:32" hidden="1">
      <c r="A334" s="1">
        <v>8642588</v>
      </c>
      <c r="B334" s="1" t="s">
        <v>653</v>
      </c>
      <c r="C334" t="s">
        <v>654</v>
      </c>
      <c r="E334" s="2">
        <v>1838001400040</v>
      </c>
      <c r="F334" s="1" t="s">
        <v>644</v>
      </c>
      <c r="G334" s="1" t="s">
        <v>53</v>
      </c>
      <c r="H334" s="1" t="s">
        <v>357</v>
      </c>
      <c r="I334" s="1" t="s">
        <v>358</v>
      </c>
      <c r="J334" s="1" t="s">
        <v>46</v>
      </c>
      <c r="K334" t="s">
        <v>645</v>
      </c>
      <c r="M334" s="1" t="s">
        <v>58</v>
      </c>
      <c r="N334" s="1">
        <v>0</v>
      </c>
      <c r="O334" s="1" t="s">
        <v>105</v>
      </c>
      <c r="P334" s="11" t="s">
        <v>715</v>
      </c>
      <c r="R334" s="1">
        <v>2</v>
      </c>
      <c r="T334" s="1" t="s">
        <v>646</v>
      </c>
      <c r="U334" s="11" t="s">
        <v>716</v>
      </c>
      <c r="V334" s="1" t="s">
        <v>41</v>
      </c>
      <c r="W334" s="1" t="s">
        <v>49</v>
      </c>
      <c r="X334" s="13" t="str">
        <f t="shared" si="40"/>
        <v/>
      </c>
      <c r="Y334" s="2">
        <f t="shared" ca="1" si="35"/>
        <v>196</v>
      </c>
      <c r="Z334" s="14">
        <v>1</v>
      </c>
      <c r="AA334" s="1" t="str">
        <f t="shared" ca="1" si="36"/>
        <v>VENCIDO</v>
      </c>
      <c r="AB334" s="1" t="str">
        <f t="shared" si="37"/>
        <v>SL-On</v>
      </c>
      <c r="AC334" s="2" t="str">
        <f t="shared" si="41"/>
        <v xml:space="preserve"> CLEITON </v>
      </c>
      <c r="AD334" s="2">
        <f t="shared" si="38"/>
        <v>1</v>
      </c>
      <c r="AE334" s="2">
        <f t="shared" ca="1" si="39"/>
        <v>-272.26230173611111</v>
      </c>
      <c r="AF334" s="15"/>
    </row>
    <row r="335" spans="1:32" hidden="1">
      <c r="A335" s="1">
        <v>8642586</v>
      </c>
      <c r="B335" s="1" t="s">
        <v>653</v>
      </c>
      <c r="C335" t="s">
        <v>654</v>
      </c>
      <c r="E335" s="2">
        <v>1836001400040</v>
      </c>
      <c r="F335" s="1" t="s">
        <v>644</v>
      </c>
      <c r="G335" s="1" t="s">
        <v>53</v>
      </c>
      <c r="H335" s="1" t="s">
        <v>455</v>
      </c>
      <c r="I335" s="1" t="s">
        <v>456</v>
      </c>
      <c r="J335" s="1" t="s">
        <v>46</v>
      </c>
      <c r="K335" t="s">
        <v>645</v>
      </c>
      <c r="M335" s="1" t="s">
        <v>58</v>
      </c>
      <c r="N335" s="1">
        <v>0</v>
      </c>
      <c r="O335" s="1" t="s">
        <v>105</v>
      </c>
      <c r="P335" s="12">
        <v>44713.413958333331</v>
      </c>
      <c r="R335" s="1">
        <v>3</v>
      </c>
      <c r="T335" s="1" t="s">
        <v>646</v>
      </c>
      <c r="U335" s="12">
        <v>44714.413958333331</v>
      </c>
      <c r="V335" s="1" t="s">
        <v>41</v>
      </c>
      <c r="W335" s="1" t="s">
        <v>49</v>
      </c>
      <c r="X335" s="13" t="str">
        <f t="shared" si="40"/>
        <v/>
      </c>
      <c r="Y335" s="2">
        <f t="shared" ca="1" si="35"/>
        <v>196</v>
      </c>
      <c r="Z335" s="14">
        <v>1</v>
      </c>
      <c r="AA335" s="1" t="str">
        <f t="shared" ca="1" si="36"/>
        <v>VENCIDO</v>
      </c>
      <c r="AB335" s="1" t="str">
        <f t="shared" si="37"/>
        <v>SL-On</v>
      </c>
      <c r="AC335" s="2" t="str">
        <f t="shared" si="41"/>
        <v xml:space="preserve"> CLEITON </v>
      </c>
      <c r="AD335" s="2">
        <f t="shared" si="38"/>
        <v>1</v>
      </c>
      <c r="AE335" s="2">
        <f t="shared" ca="1" si="39"/>
        <v>-272.26231331018789</v>
      </c>
      <c r="AF335" s="15"/>
    </row>
    <row r="336" spans="1:32" hidden="1">
      <c r="A336" s="1">
        <v>8642585</v>
      </c>
      <c r="B336" s="1" t="s">
        <v>653</v>
      </c>
      <c r="C336" t="s">
        <v>654</v>
      </c>
      <c r="E336" s="2">
        <v>1835001400040</v>
      </c>
      <c r="F336" s="1" t="s">
        <v>644</v>
      </c>
      <c r="G336" s="1" t="s">
        <v>53</v>
      </c>
      <c r="H336" s="1" t="s">
        <v>305</v>
      </c>
      <c r="I336" s="1" t="s">
        <v>306</v>
      </c>
      <c r="J336" s="1" t="s">
        <v>46</v>
      </c>
      <c r="K336" t="s">
        <v>645</v>
      </c>
      <c r="M336" s="1" t="s">
        <v>58</v>
      </c>
      <c r="N336" s="1">
        <v>0</v>
      </c>
      <c r="O336" s="1" t="s">
        <v>105</v>
      </c>
      <c r="P336" s="11" t="s">
        <v>717</v>
      </c>
      <c r="R336" s="1">
        <v>3</v>
      </c>
      <c r="T336" s="1" t="s">
        <v>646</v>
      </c>
      <c r="U336" s="12">
        <v>44714.413958333331</v>
      </c>
      <c r="V336" s="1" t="s">
        <v>41</v>
      </c>
      <c r="W336" s="1" t="s">
        <v>49</v>
      </c>
      <c r="X336" s="13" t="str">
        <f t="shared" si="40"/>
        <v/>
      </c>
      <c r="Y336" s="2">
        <f t="shared" ca="1" si="35"/>
        <v>196</v>
      </c>
      <c r="Z336" s="14">
        <v>1</v>
      </c>
      <c r="AA336" s="1" t="str">
        <f t="shared" ca="1" si="36"/>
        <v>VENCIDO</v>
      </c>
      <c r="AB336" s="1" t="str">
        <f t="shared" si="37"/>
        <v>SL-On</v>
      </c>
      <c r="AC336" s="2" t="str">
        <f t="shared" si="41"/>
        <v xml:space="preserve"> CLEITON </v>
      </c>
      <c r="AD336" s="2">
        <f t="shared" si="38"/>
        <v>1</v>
      </c>
      <c r="AE336" s="2">
        <f t="shared" ca="1" si="39"/>
        <v>-272.26231331018789</v>
      </c>
      <c r="AF336" s="15"/>
    </row>
    <row r="337" spans="1:32" hidden="1">
      <c r="A337" s="1">
        <v>8642583</v>
      </c>
      <c r="B337" s="1" t="s">
        <v>653</v>
      </c>
      <c r="C337" t="s">
        <v>654</v>
      </c>
      <c r="E337" s="2">
        <v>1833001400040</v>
      </c>
      <c r="F337" s="1" t="s">
        <v>644</v>
      </c>
      <c r="G337" s="1" t="s">
        <v>53</v>
      </c>
      <c r="H337" s="1" t="s">
        <v>369</v>
      </c>
      <c r="I337" s="1" t="s">
        <v>370</v>
      </c>
      <c r="J337" s="1" t="s">
        <v>46</v>
      </c>
      <c r="K337" t="s">
        <v>645</v>
      </c>
      <c r="M337" s="1" t="s">
        <v>58</v>
      </c>
      <c r="N337" s="1">
        <v>0</v>
      </c>
      <c r="O337" s="1" t="s">
        <v>105</v>
      </c>
      <c r="P337" s="11" t="s">
        <v>717</v>
      </c>
      <c r="R337" s="1">
        <v>3</v>
      </c>
      <c r="T337" s="1" t="s">
        <v>646</v>
      </c>
      <c r="U337" s="11" t="s">
        <v>718</v>
      </c>
      <c r="V337" s="1" t="s">
        <v>41</v>
      </c>
      <c r="W337" s="1" t="s">
        <v>49</v>
      </c>
      <c r="X337" s="13" t="str">
        <f t="shared" si="40"/>
        <v/>
      </c>
      <c r="Y337" s="2">
        <f t="shared" ca="1" si="35"/>
        <v>196</v>
      </c>
      <c r="Z337" s="14">
        <v>1</v>
      </c>
      <c r="AA337" s="1" t="str">
        <f t="shared" ca="1" si="36"/>
        <v>VENCIDO</v>
      </c>
      <c r="AB337" s="1" t="str">
        <f t="shared" si="37"/>
        <v>SL-On</v>
      </c>
      <c r="AC337" s="2" t="str">
        <f t="shared" si="41"/>
        <v xml:space="preserve"> CLEITON </v>
      </c>
      <c r="AD337" s="2">
        <f t="shared" si="38"/>
        <v>1</v>
      </c>
      <c r="AE337" s="2">
        <f t="shared" ca="1" si="39"/>
        <v>-272.26231331018789</v>
      </c>
      <c r="AF337" s="15"/>
    </row>
    <row r="338" spans="1:32" hidden="1">
      <c r="A338" s="1">
        <v>8642571</v>
      </c>
      <c r="B338" s="1" t="s">
        <v>653</v>
      </c>
      <c r="C338" t="s">
        <v>654</v>
      </c>
      <c r="E338" s="2">
        <v>1814031400040</v>
      </c>
      <c r="F338" s="1" t="s">
        <v>644</v>
      </c>
      <c r="G338" s="1" t="s">
        <v>53</v>
      </c>
      <c r="H338" s="1" t="s">
        <v>719</v>
      </c>
      <c r="I338" s="1" t="s">
        <v>188</v>
      </c>
      <c r="J338" s="1" t="s">
        <v>46</v>
      </c>
      <c r="K338" t="s">
        <v>645</v>
      </c>
      <c r="M338" s="1" t="s">
        <v>58</v>
      </c>
      <c r="N338" s="1">
        <v>0</v>
      </c>
      <c r="O338" s="1" t="s">
        <v>105</v>
      </c>
      <c r="P338" s="11" t="s">
        <v>720</v>
      </c>
      <c r="R338" s="1">
        <v>3</v>
      </c>
      <c r="T338" s="1" t="s">
        <v>646</v>
      </c>
      <c r="U338" s="11" t="s">
        <v>721</v>
      </c>
      <c r="V338" s="1" t="s">
        <v>41</v>
      </c>
      <c r="W338" s="1" t="s">
        <v>49</v>
      </c>
      <c r="X338" s="13" t="str">
        <f t="shared" si="40"/>
        <v>1814.03</v>
      </c>
      <c r="Y338" s="2">
        <f t="shared" ca="1" si="35"/>
        <v>196</v>
      </c>
      <c r="Z338" s="14">
        <v>1</v>
      </c>
      <c r="AA338" s="1" t="str">
        <f t="shared" ca="1" si="36"/>
        <v>VENCIDO</v>
      </c>
      <c r="AB338" s="1" t="str">
        <f t="shared" si="37"/>
        <v>SL-On</v>
      </c>
      <c r="AC338" s="2" t="str">
        <f t="shared" si="41"/>
        <v xml:space="preserve"> CLEITON </v>
      </c>
      <c r="AD338" s="2">
        <f t="shared" si="38"/>
        <v>1</v>
      </c>
      <c r="AE338" s="2">
        <f t="shared" ca="1" si="39"/>
        <v>-272.26233645833418</v>
      </c>
      <c r="AF338" s="15"/>
    </row>
    <row r="339" spans="1:32">
      <c r="A339" s="1">
        <v>8642527</v>
      </c>
      <c r="B339" s="1" t="s">
        <v>653</v>
      </c>
      <c r="C339" t="s">
        <v>654</v>
      </c>
      <c r="E339" s="2">
        <v>1764001400040</v>
      </c>
      <c r="F339" s="1" t="s">
        <v>644</v>
      </c>
      <c r="G339" s="1" t="s">
        <v>53</v>
      </c>
      <c r="H339" s="1" t="s">
        <v>722</v>
      </c>
      <c r="I339" s="1" t="s">
        <v>723</v>
      </c>
      <c r="J339" s="1" t="s">
        <v>90</v>
      </c>
      <c r="K339" t="s">
        <v>645</v>
      </c>
      <c r="M339" s="1" t="s">
        <v>58</v>
      </c>
      <c r="N339" s="1">
        <v>0</v>
      </c>
      <c r="O339" s="1" t="s">
        <v>36</v>
      </c>
      <c r="P339" s="11" t="s">
        <v>724</v>
      </c>
      <c r="R339" s="1">
        <v>2</v>
      </c>
      <c r="T339" s="1" t="s">
        <v>646</v>
      </c>
      <c r="U339" s="12">
        <v>44714.413668981484</v>
      </c>
      <c r="V339" s="1" t="s">
        <v>41</v>
      </c>
      <c r="W339" s="1" t="s">
        <v>49</v>
      </c>
      <c r="X339" s="13" t="str">
        <f t="shared" si="40"/>
        <v/>
      </c>
      <c r="Y339" s="2">
        <f t="shared" ca="1" si="35"/>
        <v>196</v>
      </c>
      <c r="Z339" s="14">
        <v>1</v>
      </c>
      <c r="AA339" s="1" t="str">
        <f t="shared" ca="1" si="36"/>
        <v>VENCIDO</v>
      </c>
      <c r="AB339" s="1" t="str">
        <f t="shared" si="37"/>
        <v>SL-On</v>
      </c>
      <c r="AC339" s="2" t="str">
        <f t="shared" si="41"/>
        <v xml:space="preserve"> RINALDO </v>
      </c>
      <c r="AD339" s="2">
        <f t="shared" si="38"/>
        <v>1</v>
      </c>
      <c r="AE339" s="2">
        <f t="shared" ca="1" si="39"/>
        <v>-272.26260266203462</v>
      </c>
      <c r="AF339" s="15"/>
    </row>
    <row r="340" spans="1:32" hidden="1">
      <c r="A340" s="1">
        <v>8642499</v>
      </c>
      <c r="B340" s="1" t="s">
        <v>653</v>
      </c>
      <c r="C340" t="s">
        <v>654</v>
      </c>
      <c r="E340" s="2">
        <v>1732001400040</v>
      </c>
      <c r="F340" s="1" t="s">
        <v>644</v>
      </c>
      <c r="G340" s="1" t="s">
        <v>53</v>
      </c>
      <c r="H340" s="1" t="s">
        <v>177</v>
      </c>
      <c r="I340" s="1" t="s">
        <v>178</v>
      </c>
      <c r="J340" s="1" t="s">
        <v>164</v>
      </c>
      <c r="K340" t="s">
        <v>645</v>
      </c>
      <c r="M340" s="1" t="s">
        <v>58</v>
      </c>
      <c r="N340" s="1">
        <v>0</v>
      </c>
      <c r="O340" s="1" t="s">
        <v>105</v>
      </c>
      <c r="P340" s="11" t="s">
        <v>725</v>
      </c>
      <c r="R340" s="1">
        <v>3</v>
      </c>
      <c r="T340" s="1" t="s">
        <v>646</v>
      </c>
      <c r="U340" s="11" t="s">
        <v>726</v>
      </c>
      <c r="V340" s="1" t="s">
        <v>41</v>
      </c>
      <c r="W340" s="1" t="s">
        <v>49</v>
      </c>
      <c r="X340" s="13" t="str">
        <f t="shared" si="40"/>
        <v/>
      </c>
      <c r="Y340" s="2">
        <f t="shared" ca="1" si="35"/>
        <v>196</v>
      </c>
      <c r="Z340" s="14">
        <v>1</v>
      </c>
      <c r="AA340" s="1" t="str">
        <f t="shared" ca="1" si="36"/>
        <v>VENCIDO</v>
      </c>
      <c r="AB340" s="1" t="str">
        <f t="shared" si="37"/>
        <v>SL-On</v>
      </c>
      <c r="AC340" s="2" t="str">
        <f t="shared" si="41"/>
        <v xml:space="preserve"> ROSEMERE </v>
      </c>
      <c r="AD340" s="2">
        <f t="shared" si="38"/>
        <v>1</v>
      </c>
      <c r="AE340" s="2">
        <f t="shared" ca="1" si="39"/>
        <v>-272.26263738425769</v>
      </c>
      <c r="AF340" s="15"/>
    </row>
    <row r="341" spans="1:32" hidden="1">
      <c r="A341" s="1">
        <v>8642435</v>
      </c>
      <c r="B341" s="1" t="s">
        <v>653</v>
      </c>
      <c r="C341" t="s">
        <v>654</v>
      </c>
      <c r="E341" s="2">
        <v>1664001400040</v>
      </c>
      <c r="F341" s="1" t="s">
        <v>644</v>
      </c>
      <c r="G341" s="1" t="s">
        <v>53</v>
      </c>
      <c r="H341" s="1" t="s">
        <v>307</v>
      </c>
      <c r="I341" s="1" t="s">
        <v>308</v>
      </c>
      <c r="J341" s="1" t="s">
        <v>164</v>
      </c>
      <c r="K341" t="s">
        <v>645</v>
      </c>
      <c r="M341" s="1" t="s">
        <v>58</v>
      </c>
      <c r="N341" s="1">
        <v>0</v>
      </c>
      <c r="O341" s="1" t="s">
        <v>105</v>
      </c>
      <c r="P341" s="11" t="s">
        <v>727</v>
      </c>
      <c r="R341" s="1">
        <v>2</v>
      </c>
      <c r="T341" s="1" t="s">
        <v>646</v>
      </c>
      <c r="U341" s="11" t="s">
        <v>728</v>
      </c>
      <c r="V341" s="1" t="s">
        <v>41</v>
      </c>
      <c r="W341" s="1" t="s">
        <v>49</v>
      </c>
      <c r="X341" s="13" t="str">
        <f t="shared" si="40"/>
        <v/>
      </c>
      <c r="Y341" s="2">
        <f t="shared" ca="1" si="35"/>
        <v>196</v>
      </c>
      <c r="Z341" s="14">
        <v>1</v>
      </c>
      <c r="AA341" s="1" t="str">
        <f t="shared" ca="1" si="36"/>
        <v>VENCIDO</v>
      </c>
      <c r="AB341" s="1" t="str">
        <f t="shared" si="37"/>
        <v>SL-On</v>
      </c>
      <c r="AC341" s="2" t="str">
        <f t="shared" si="41"/>
        <v xml:space="preserve"> ROSEMERE </v>
      </c>
      <c r="AD341" s="2">
        <f t="shared" si="38"/>
        <v>1</v>
      </c>
      <c r="AE341" s="2">
        <f t="shared" ca="1" si="39"/>
        <v>-272.26288043981185</v>
      </c>
      <c r="AF341" s="15"/>
    </row>
    <row r="342" spans="1:32" hidden="1">
      <c r="A342" s="1">
        <v>8642415</v>
      </c>
      <c r="B342" s="1" t="s">
        <v>653</v>
      </c>
      <c r="C342" t="s">
        <v>654</v>
      </c>
      <c r="E342" s="2">
        <v>1643001400040</v>
      </c>
      <c r="F342" s="1" t="s">
        <v>644</v>
      </c>
      <c r="G342" s="1" t="s">
        <v>53</v>
      </c>
      <c r="H342" s="1" t="s">
        <v>361</v>
      </c>
      <c r="I342" s="1" t="s">
        <v>362</v>
      </c>
      <c r="J342" s="1" t="s">
        <v>261</v>
      </c>
      <c r="K342" t="s">
        <v>645</v>
      </c>
      <c r="M342" s="1" t="s">
        <v>58</v>
      </c>
      <c r="N342" s="1">
        <v>0</v>
      </c>
      <c r="O342" s="1" t="s">
        <v>105</v>
      </c>
      <c r="P342" s="11" t="s">
        <v>729</v>
      </c>
      <c r="R342" s="1">
        <v>2</v>
      </c>
      <c r="T342" s="1" t="s">
        <v>646</v>
      </c>
      <c r="U342" s="11" t="s">
        <v>730</v>
      </c>
      <c r="V342" s="1" t="s">
        <v>41</v>
      </c>
      <c r="W342" s="1" t="s">
        <v>49</v>
      </c>
      <c r="X342" s="13" t="str">
        <f t="shared" si="40"/>
        <v/>
      </c>
      <c r="Y342" s="2">
        <f t="shared" ca="1" si="35"/>
        <v>196</v>
      </c>
      <c r="Z342" s="14">
        <v>1</v>
      </c>
      <c r="AA342" s="1" t="str">
        <f t="shared" ca="1" si="36"/>
        <v>VENCIDO</v>
      </c>
      <c r="AB342" s="1" t="str">
        <f t="shared" si="37"/>
        <v>SL-On</v>
      </c>
      <c r="AC342" s="2" t="str">
        <f t="shared" si="41"/>
        <v xml:space="preserve"> CRISTINA </v>
      </c>
      <c r="AD342" s="2">
        <f t="shared" si="38"/>
        <v>1</v>
      </c>
      <c r="AE342" s="2">
        <f t="shared" ca="1" si="39"/>
        <v>-272.26291516203491</v>
      </c>
      <c r="AF342" s="15"/>
    </row>
    <row r="343" spans="1:32" hidden="1">
      <c r="A343" s="1">
        <v>8642300</v>
      </c>
      <c r="B343" s="1" t="s">
        <v>653</v>
      </c>
      <c r="C343" t="s">
        <v>654</v>
      </c>
      <c r="E343" s="2">
        <v>1509001400040</v>
      </c>
      <c r="F343" s="1" t="s">
        <v>644</v>
      </c>
      <c r="G343" s="1" t="s">
        <v>53</v>
      </c>
      <c r="H343" s="1" t="s">
        <v>731</v>
      </c>
      <c r="I343" s="1" t="s">
        <v>732</v>
      </c>
      <c r="J343" s="1" t="s">
        <v>46</v>
      </c>
      <c r="K343" t="s">
        <v>645</v>
      </c>
      <c r="M343" s="1" t="s">
        <v>58</v>
      </c>
      <c r="N343" s="1">
        <v>0</v>
      </c>
      <c r="O343" s="1" t="s">
        <v>105</v>
      </c>
      <c r="P343" s="11" t="s">
        <v>733</v>
      </c>
      <c r="R343" s="1">
        <v>3</v>
      </c>
      <c r="T343" s="1" t="s">
        <v>646</v>
      </c>
      <c r="U343" s="11" t="s">
        <v>734</v>
      </c>
      <c r="V343" s="1" t="s">
        <v>41</v>
      </c>
      <c r="W343" s="1" t="s">
        <v>49</v>
      </c>
      <c r="X343" s="13" t="str">
        <f t="shared" si="40"/>
        <v/>
      </c>
      <c r="Y343" s="2">
        <f t="shared" ca="1" si="35"/>
        <v>196</v>
      </c>
      <c r="Z343" s="14">
        <v>1</v>
      </c>
      <c r="AA343" s="1" t="str">
        <f t="shared" ca="1" si="36"/>
        <v>VENCIDO</v>
      </c>
      <c r="AB343" s="1" t="str">
        <f t="shared" si="37"/>
        <v>SL-On</v>
      </c>
      <c r="AC343" s="2" t="str">
        <f t="shared" si="41"/>
        <v xml:space="preserve"> CLEITON </v>
      </c>
      <c r="AD343" s="2">
        <f t="shared" si="38"/>
        <v>1</v>
      </c>
      <c r="AE343" s="2">
        <f t="shared" ca="1" si="39"/>
        <v>-272.26329710648133</v>
      </c>
      <c r="AF343" s="15"/>
    </row>
    <row r="344" spans="1:32">
      <c r="A344" s="1">
        <v>8642161</v>
      </c>
      <c r="B344" s="1" t="s">
        <v>653</v>
      </c>
      <c r="C344" t="s">
        <v>654</v>
      </c>
      <c r="E344" s="2">
        <v>1362001400040</v>
      </c>
      <c r="F344" s="1" t="s">
        <v>644</v>
      </c>
      <c r="G344" s="1" t="s">
        <v>53</v>
      </c>
      <c r="H344" s="1" t="s">
        <v>268</v>
      </c>
      <c r="I344" s="1" t="s">
        <v>269</v>
      </c>
      <c r="J344" s="1" t="s">
        <v>90</v>
      </c>
      <c r="K344" t="s">
        <v>645</v>
      </c>
      <c r="M344" s="1" t="s">
        <v>58</v>
      </c>
      <c r="N344" s="1">
        <v>0</v>
      </c>
      <c r="O344" s="1" t="s">
        <v>105</v>
      </c>
      <c r="P344" s="11" t="s">
        <v>735</v>
      </c>
      <c r="R344" s="1">
        <v>3</v>
      </c>
      <c r="T344" s="1" t="s">
        <v>646</v>
      </c>
      <c r="U344" s="11" t="s">
        <v>736</v>
      </c>
      <c r="V344" s="1" t="s">
        <v>41</v>
      </c>
      <c r="W344" s="1" t="s">
        <v>49</v>
      </c>
      <c r="X344" s="13" t="str">
        <f t="shared" si="40"/>
        <v/>
      </c>
      <c r="Y344" s="2">
        <f t="shared" ca="1" si="35"/>
        <v>196</v>
      </c>
      <c r="Z344" s="14">
        <v>1</v>
      </c>
      <c r="AA344" s="1" t="str">
        <f t="shared" ca="1" si="36"/>
        <v>VENCIDO</v>
      </c>
      <c r="AB344" s="1" t="str">
        <f t="shared" si="37"/>
        <v>SL-On</v>
      </c>
      <c r="AC344" s="2" t="str">
        <f t="shared" si="41"/>
        <v xml:space="preserve"> RINALDO </v>
      </c>
      <c r="AD344" s="2">
        <f t="shared" si="38"/>
        <v>1</v>
      </c>
      <c r="AE344" s="2">
        <f t="shared" ca="1" si="39"/>
        <v>-272.26381793981272</v>
      </c>
      <c r="AF344" s="15"/>
    </row>
    <row r="345" spans="1:32" hidden="1">
      <c r="A345" s="1">
        <v>8642159</v>
      </c>
      <c r="B345" s="1" t="s">
        <v>653</v>
      </c>
      <c r="C345" t="s">
        <v>654</v>
      </c>
      <c r="E345" s="2">
        <v>1360001400040</v>
      </c>
      <c r="F345" s="1" t="s">
        <v>644</v>
      </c>
      <c r="G345" s="1" t="s">
        <v>53</v>
      </c>
      <c r="H345" s="1" t="s">
        <v>303</v>
      </c>
      <c r="I345" s="1" t="s">
        <v>304</v>
      </c>
      <c r="J345" s="1" t="s">
        <v>261</v>
      </c>
      <c r="K345" t="s">
        <v>645</v>
      </c>
      <c r="M345" s="1" t="s">
        <v>58</v>
      </c>
      <c r="N345" s="1">
        <v>0</v>
      </c>
      <c r="O345" s="1" t="s">
        <v>105</v>
      </c>
      <c r="P345" s="11" t="s">
        <v>735</v>
      </c>
      <c r="R345" s="1">
        <v>3</v>
      </c>
      <c r="T345" s="1" t="s">
        <v>646</v>
      </c>
      <c r="U345" s="11" t="s">
        <v>736</v>
      </c>
      <c r="V345" s="1" t="s">
        <v>41</v>
      </c>
      <c r="W345" s="1" t="s">
        <v>49</v>
      </c>
      <c r="X345" s="13" t="str">
        <f t="shared" si="40"/>
        <v/>
      </c>
      <c r="Y345" s="2">
        <f t="shared" ca="1" si="35"/>
        <v>196</v>
      </c>
      <c r="Z345" s="14">
        <v>1</v>
      </c>
      <c r="AA345" s="1" t="str">
        <f t="shared" ca="1" si="36"/>
        <v>VENCIDO</v>
      </c>
      <c r="AB345" s="1" t="str">
        <f t="shared" si="37"/>
        <v>SL-On</v>
      </c>
      <c r="AC345" s="2" t="str">
        <f t="shared" si="41"/>
        <v xml:space="preserve"> CRISTINA </v>
      </c>
      <c r="AD345" s="2">
        <f t="shared" si="38"/>
        <v>1</v>
      </c>
      <c r="AE345" s="2">
        <f t="shared" ca="1" si="39"/>
        <v>-272.26381793981272</v>
      </c>
      <c r="AF345" s="15"/>
    </row>
    <row r="346" spans="1:32" hidden="1">
      <c r="A346" s="1">
        <v>8642158</v>
      </c>
      <c r="B346" s="1" t="s">
        <v>653</v>
      </c>
      <c r="C346" t="s">
        <v>654</v>
      </c>
      <c r="E346" s="2">
        <v>1359001400040</v>
      </c>
      <c r="F346" s="1" t="s">
        <v>644</v>
      </c>
      <c r="G346" s="1" t="s">
        <v>53</v>
      </c>
      <c r="H346" s="1" t="s">
        <v>270</v>
      </c>
      <c r="I346" s="1" t="s">
        <v>271</v>
      </c>
      <c r="J346" s="1" t="s">
        <v>141</v>
      </c>
      <c r="K346" t="s">
        <v>645</v>
      </c>
      <c r="M346" s="1" t="s">
        <v>58</v>
      </c>
      <c r="N346" s="1">
        <v>0</v>
      </c>
      <c r="O346" s="1" t="s">
        <v>105</v>
      </c>
      <c r="P346" s="11" t="s">
        <v>735</v>
      </c>
      <c r="R346" s="1">
        <v>2</v>
      </c>
      <c r="T346" s="1" t="s">
        <v>646</v>
      </c>
      <c r="U346" s="12">
        <v>44714.412453703706</v>
      </c>
      <c r="V346" s="1" t="s">
        <v>41</v>
      </c>
      <c r="W346" s="1" t="s">
        <v>49</v>
      </c>
      <c r="X346" s="13" t="str">
        <f t="shared" si="40"/>
        <v/>
      </c>
      <c r="Y346" s="2">
        <f t="shared" ca="1" si="35"/>
        <v>196</v>
      </c>
      <c r="Z346" s="14">
        <v>1</v>
      </c>
      <c r="AA346" s="1" t="str">
        <f t="shared" ca="1" si="36"/>
        <v>VENCIDO</v>
      </c>
      <c r="AB346" s="1" t="str">
        <f t="shared" si="37"/>
        <v>SL-On</v>
      </c>
      <c r="AC346" s="2" t="str">
        <f t="shared" si="41"/>
        <v xml:space="preserve"> CRISTINA </v>
      </c>
      <c r="AD346" s="2">
        <f t="shared" si="38"/>
        <v>1</v>
      </c>
      <c r="AE346" s="2">
        <f t="shared" ca="1" si="39"/>
        <v>-272.26381793981272</v>
      </c>
      <c r="AF346" s="15"/>
    </row>
    <row r="347" spans="1:32">
      <c r="A347" s="1">
        <v>8641875</v>
      </c>
      <c r="B347" s="1" t="s">
        <v>653</v>
      </c>
      <c r="C347" t="s">
        <v>654</v>
      </c>
      <c r="E347" s="2">
        <v>1059001400040</v>
      </c>
      <c r="F347" s="1" t="s">
        <v>644</v>
      </c>
      <c r="G347" s="1" t="s">
        <v>53</v>
      </c>
      <c r="H347" s="1" t="s">
        <v>88</v>
      </c>
      <c r="I347" s="1" t="s">
        <v>89</v>
      </c>
      <c r="J347" s="1" t="s">
        <v>90</v>
      </c>
      <c r="K347" t="s">
        <v>645</v>
      </c>
      <c r="M347" s="1" t="s">
        <v>58</v>
      </c>
      <c r="N347" s="1">
        <v>0</v>
      </c>
      <c r="O347" s="1" t="s">
        <v>105</v>
      </c>
      <c r="P347" s="11" t="s">
        <v>737</v>
      </c>
      <c r="R347" s="1">
        <v>2</v>
      </c>
      <c r="T347" s="1" t="s">
        <v>646</v>
      </c>
      <c r="U347" s="11" t="s">
        <v>738</v>
      </c>
      <c r="V347" s="1" t="s">
        <v>41</v>
      </c>
      <c r="W347" s="1" t="s">
        <v>49</v>
      </c>
      <c r="X347" s="13" t="str">
        <f t="shared" si="40"/>
        <v/>
      </c>
      <c r="Y347" s="2">
        <f t="shared" ca="1" si="35"/>
        <v>196</v>
      </c>
      <c r="Z347" s="14">
        <v>1</v>
      </c>
      <c r="AA347" s="1" t="str">
        <f t="shared" ca="1" si="36"/>
        <v>VENCIDO</v>
      </c>
      <c r="AB347" s="1" t="str">
        <f t="shared" si="37"/>
        <v>SL-On</v>
      </c>
      <c r="AC347" s="2" t="str">
        <f t="shared" si="41"/>
        <v xml:space="preserve"> RINALDO </v>
      </c>
      <c r="AD347" s="2">
        <f t="shared" si="38"/>
        <v>1</v>
      </c>
      <c r="AE347" s="2">
        <f t="shared" ca="1" si="39"/>
        <v>-272.2648364583365</v>
      </c>
      <c r="AF347" s="15"/>
    </row>
    <row r="348" spans="1:32" hidden="1">
      <c r="A348" s="1">
        <v>8641866</v>
      </c>
      <c r="B348" s="1" t="s">
        <v>653</v>
      </c>
      <c r="C348" t="s">
        <v>654</v>
      </c>
      <c r="E348" s="2">
        <v>1049001400040</v>
      </c>
      <c r="F348" s="1" t="s">
        <v>644</v>
      </c>
      <c r="G348" s="1" t="s">
        <v>53</v>
      </c>
      <c r="H348" s="1" t="s">
        <v>169</v>
      </c>
      <c r="I348" s="1" t="s">
        <v>170</v>
      </c>
      <c r="J348" s="1" t="s">
        <v>164</v>
      </c>
      <c r="K348" t="s">
        <v>645</v>
      </c>
      <c r="M348" s="1" t="s">
        <v>58</v>
      </c>
      <c r="N348" s="1">
        <v>0</v>
      </c>
      <c r="O348" s="1" t="s">
        <v>105</v>
      </c>
      <c r="P348" s="11" t="s">
        <v>739</v>
      </c>
      <c r="R348" s="1">
        <v>2</v>
      </c>
      <c r="T348" s="1" t="s">
        <v>646</v>
      </c>
      <c r="U348" s="11" t="s">
        <v>740</v>
      </c>
      <c r="V348" s="1" t="s">
        <v>41</v>
      </c>
      <c r="W348" s="1" t="s">
        <v>49</v>
      </c>
      <c r="X348" s="13" t="str">
        <f t="shared" si="40"/>
        <v/>
      </c>
      <c r="Y348" s="2">
        <f t="shared" ca="1" si="35"/>
        <v>196</v>
      </c>
      <c r="Z348" s="14">
        <v>1</v>
      </c>
      <c r="AA348" s="1" t="str">
        <f t="shared" ca="1" si="36"/>
        <v>VENCIDO</v>
      </c>
      <c r="AB348" s="1" t="str">
        <f t="shared" si="37"/>
        <v>SL-On</v>
      </c>
      <c r="AC348" s="2" t="str">
        <f t="shared" si="41"/>
        <v xml:space="preserve"> ROSEMERE </v>
      </c>
      <c r="AD348" s="2">
        <f t="shared" si="38"/>
        <v>1</v>
      </c>
      <c r="AE348" s="2">
        <f t="shared" ca="1" si="39"/>
        <v>-272.26484803240601</v>
      </c>
      <c r="AF348" s="15"/>
    </row>
    <row r="349" spans="1:32" hidden="1">
      <c r="A349" s="1">
        <v>8641757</v>
      </c>
      <c r="B349" s="1" t="s">
        <v>653</v>
      </c>
      <c r="C349" t="s">
        <v>654</v>
      </c>
      <c r="E349" s="2">
        <v>934001400040</v>
      </c>
      <c r="F349" s="1" t="s">
        <v>644</v>
      </c>
      <c r="G349" s="1" t="s">
        <v>53</v>
      </c>
      <c r="H349" s="1" t="s">
        <v>428</v>
      </c>
      <c r="I349" s="1" t="s">
        <v>429</v>
      </c>
      <c r="J349" s="1" t="s">
        <v>46</v>
      </c>
      <c r="K349" t="s">
        <v>645</v>
      </c>
      <c r="M349" s="1" t="s">
        <v>58</v>
      </c>
      <c r="N349" s="1">
        <v>0</v>
      </c>
      <c r="O349" s="1" t="s">
        <v>105</v>
      </c>
      <c r="P349" s="11" t="s">
        <v>741</v>
      </c>
      <c r="R349" s="1">
        <v>2</v>
      </c>
      <c r="T349" s="1" t="s">
        <v>646</v>
      </c>
      <c r="U349" s="11" t="s">
        <v>742</v>
      </c>
      <c r="V349" s="1" t="s">
        <v>41</v>
      </c>
      <c r="W349" s="1" t="s">
        <v>49</v>
      </c>
      <c r="X349" s="13" t="str">
        <f t="shared" si="40"/>
        <v/>
      </c>
      <c r="Y349" s="2">
        <f t="shared" ca="1" si="35"/>
        <v>196</v>
      </c>
      <c r="Z349" s="14">
        <v>1</v>
      </c>
      <c r="AA349" s="1" t="str">
        <f t="shared" ca="1" si="36"/>
        <v>VENCIDO</v>
      </c>
      <c r="AB349" s="1" t="str">
        <f t="shared" si="37"/>
        <v>SL-On</v>
      </c>
      <c r="AC349" s="2" t="str">
        <f t="shared" si="41"/>
        <v xml:space="preserve"> CLEITON </v>
      </c>
      <c r="AD349" s="2">
        <f t="shared" si="38"/>
        <v>1</v>
      </c>
      <c r="AE349" s="2">
        <f t="shared" ca="1" si="39"/>
        <v>-272.26518368055258</v>
      </c>
      <c r="AF349" s="15"/>
    </row>
    <row r="350" spans="1:32" hidden="1">
      <c r="A350" s="1">
        <v>8641532</v>
      </c>
      <c r="B350" s="1" t="s">
        <v>653</v>
      </c>
      <c r="C350" t="s">
        <v>654</v>
      </c>
      <c r="E350" s="2">
        <v>714001400040</v>
      </c>
      <c r="F350" s="1" t="s">
        <v>644</v>
      </c>
      <c r="G350" s="1" t="s">
        <v>53</v>
      </c>
      <c r="H350" s="1" t="s">
        <v>377</v>
      </c>
      <c r="I350" s="1" t="s">
        <v>378</v>
      </c>
      <c r="J350" s="1" t="s">
        <v>46</v>
      </c>
      <c r="K350" t="s">
        <v>645</v>
      </c>
      <c r="M350" s="1" t="s">
        <v>58</v>
      </c>
      <c r="N350" s="1">
        <v>0</v>
      </c>
      <c r="O350" s="1" t="s">
        <v>105</v>
      </c>
      <c r="P350" s="11" t="s">
        <v>743</v>
      </c>
      <c r="R350" s="1">
        <v>3</v>
      </c>
      <c r="T350" s="1" t="s">
        <v>646</v>
      </c>
      <c r="U350" s="11" t="s">
        <v>744</v>
      </c>
      <c r="V350" s="1" t="s">
        <v>41</v>
      </c>
      <c r="W350" s="1" t="s">
        <v>49</v>
      </c>
      <c r="X350" s="13" t="str">
        <f t="shared" si="40"/>
        <v/>
      </c>
      <c r="Y350" s="2">
        <f t="shared" ca="1" si="35"/>
        <v>196</v>
      </c>
      <c r="Z350" s="14">
        <v>1</v>
      </c>
      <c r="AA350" s="1" t="str">
        <f t="shared" ca="1" si="36"/>
        <v>VENCIDO</v>
      </c>
      <c r="AB350" s="1" t="str">
        <f t="shared" si="37"/>
        <v>SL-On</v>
      </c>
      <c r="AC350" s="2" t="str">
        <f t="shared" si="41"/>
        <v xml:space="preserve"> CLEITON </v>
      </c>
      <c r="AD350" s="2">
        <f t="shared" si="38"/>
        <v>1</v>
      </c>
      <c r="AE350" s="2">
        <f t="shared" ca="1" si="39"/>
        <v>-272.26594756944542</v>
      </c>
      <c r="AF350" s="15"/>
    </row>
    <row r="351" spans="1:32" hidden="1">
      <c r="A351" s="1">
        <v>8641530</v>
      </c>
      <c r="B351" s="1" t="s">
        <v>653</v>
      </c>
      <c r="C351" t="s">
        <v>654</v>
      </c>
      <c r="E351" s="2">
        <v>711001400040</v>
      </c>
      <c r="F351" s="1" t="s">
        <v>644</v>
      </c>
      <c r="G351" s="1" t="s">
        <v>53</v>
      </c>
      <c r="H351" s="1" t="s">
        <v>77</v>
      </c>
      <c r="I351" s="1" t="s">
        <v>78</v>
      </c>
      <c r="J351" s="1" t="s">
        <v>79</v>
      </c>
      <c r="K351" t="s">
        <v>645</v>
      </c>
      <c r="M351" s="1" t="s">
        <v>58</v>
      </c>
      <c r="N351" s="1">
        <v>0</v>
      </c>
      <c r="O351" s="1" t="s">
        <v>105</v>
      </c>
      <c r="P351" s="12">
        <v>44713.410324074073</v>
      </c>
      <c r="R351" s="1">
        <v>2</v>
      </c>
      <c r="T351" s="1" t="s">
        <v>646</v>
      </c>
      <c r="U351" s="12">
        <v>44714.410324074073</v>
      </c>
      <c r="V351" s="1" t="s">
        <v>41</v>
      </c>
      <c r="W351" s="1" t="s">
        <v>49</v>
      </c>
      <c r="X351" s="13" t="str">
        <f t="shared" si="40"/>
        <v/>
      </c>
      <c r="Y351" s="2">
        <f t="shared" ca="1" si="35"/>
        <v>196</v>
      </c>
      <c r="Z351" s="14">
        <v>1</v>
      </c>
      <c r="AA351" s="1" t="str">
        <f t="shared" ca="1" si="36"/>
        <v>VENCIDO</v>
      </c>
      <c r="AB351" s="1" t="str">
        <f t="shared" si="37"/>
        <v>SL-On</v>
      </c>
      <c r="AC351" s="2" t="str">
        <f t="shared" si="41"/>
        <v xml:space="preserve"> ROSEMERE </v>
      </c>
      <c r="AD351" s="2">
        <f t="shared" si="38"/>
        <v>1</v>
      </c>
      <c r="AE351" s="2">
        <f t="shared" ca="1" si="39"/>
        <v>-272.26594756944542</v>
      </c>
      <c r="AF351" s="15"/>
    </row>
    <row r="352" spans="1:32" hidden="1">
      <c r="A352" s="1">
        <v>8641366</v>
      </c>
      <c r="B352" s="1" t="s">
        <v>653</v>
      </c>
      <c r="C352" t="s">
        <v>654</v>
      </c>
      <c r="E352" s="2">
        <v>550001400040</v>
      </c>
      <c r="F352" s="1" t="s">
        <v>644</v>
      </c>
      <c r="G352" s="1" t="s">
        <v>53</v>
      </c>
      <c r="H352" s="1" t="s">
        <v>337</v>
      </c>
      <c r="I352" s="1" t="s">
        <v>338</v>
      </c>
      <c r="J352" s="1" t="s">
        <v>164</v>
      </c>
      <c r="K352" t="s">
        <v>645</v>
      </c>
      <c r="M352" s="1" t="s">
        <v>58</v>
      </c>
      <c r="N352" s="1">
        <v>0</v>
      </c>
      <c r="O352" s="1" t="s">
        <v>105</v>
      </c>
      <c r="P352" s="11" t="s">
        <v>745</v>
      </c>
      <c r="R352" s="1">
        <v>3</v>
      </c>
      <c r="T352" s="1" t="s">
        <v>646</v>
      </c>
      <c r="U352" s="12">
        <v>44714.40965277778</v>
      </c>
      <c r="V352" s="1" t="s">
        <v>41</v>
      </c>
      <c r="W352" s="1" t="s">
        <v>49</v>
      </c>
      <c r="X352" s="13" t="str">
        <f t="shared" si="40"/>
        <v/>
      </c>
      <c r="Y352" s="2">
        <f t="shared" ca="1" si="35"/>
        <v>196</v>
      </c>
      <c r="Z352" s="14">
        <v>1</v>
      </c>
      <c r="AA352" s="1" t="str">
        <f t="shared" ca="1" si="36"/>
        <v>VENCIDO</v>
      </c>
      <c r="AB352" s="1" t="str">
        <f t="shared" si="37"/>
        <v>SL-On</v>
      </c>
      <c r="AC352" s="2" t="str">
        <f t="shared" si="41"/>
        <v xml:space="preserve"> ROSEMERE </v>
      </c>
      <c r="AD352" s="2">
        <f t="shared" si="38"/>
        <v>1</v>
      </c>
      <c r="AE352" s="2">
        <f t="shared" ca="1" si="39"/>
        <v>-272.26661886573856</v>
      </c>
      <c r="AF352" s="15"/>
    </row>
    <row r="353" spans="1:32" hidden="1">
      <c r="A353" s="1">
        <v>8641356</v>
      </c>
      <c r="B353" s="1" t="s">
        <v>653</v>
      </c>
      <c r="C353" t="s">
        <v>654</v>
      </c>
      <c r="E353" s="2">
        <v>537001400040</v>
      </c>
      <c r="F353" s="1" t="s">
        <v>644</v>
      </c>
      <c r="G353" s="1" t="s">
        <v>53</v>
      </c>
      <c r="H353" s="1" t="s">
        <v>442</v>
      </c>
      <c r="I353" s="1" t="s">
        <v>443</v>
      </c>
      <c r="J353" s="1" t="s">
        <v>79</v>
      </c>
      <c r="K353" t="s">
        <v>645</v>
      </c>
      <c r="M353" s="1" t="s">
        <v>58</v>
      </c>
      <c r="N353" s="1">
        <v>0</v>
      </c>
      <c r="O353" s="1" t="s">
        <v>105</v>
      </c>
      <c r="P353" s="11" t="s">
        <v>746</v>
      </c>
      <c r="R353" s="1">
        <v>2</v>
      </c>
      <c r="T353" s="1" t="s">
        <v>646</v>
      </c>
      <c r="U353" s="11" t="s">
        <v>747</v>
      </c>
      <c r="V353" s="1" t="s">
        <v>41</v>
      </c>
      <c r="W353" s="1" t="s">
        <v>49</v>
      </c>
      <c r="X353" s="13" t="str">
        <f t="shared" si="40"/>
        <v/>
      </c>
      <c r="Y353" s="2">
        <f t="shared" ca="1" si="35"/>
        <v>196</v>
      </c>
      <c r="Z353" s="14">
        <v>1</v>
      </c>
      <c r="AA353" s="1" t="str">
        <f t="shared" ca="1" si="36"/>
        <v>VENCIDO</v>
      </c>
      <c r="AB353" s="1" t="str">
        <f t="shared" si="37"/>
        <v>SL-On</v>
      </c>
      <c r="AC353" s="2" t="str">
        <f t="shared" si="41"/>
        <v xml:space="preserve"> ROSEMERE </v>
      </c>
      <c r="AD353" s="2">
        <f t="shared" si="38"/>
        <v>1</v>
      </c>
      <c r="AE353" s="2">
        <f t="shared" ca="1" si="39"/>
        <v>-272.26663043981534</v>
      </c>
      <c r="AF353" s="15"/>
    </row>
    <row r="354" spans="1:32" hidden="1">
      <c r="A354" s="1">
        <v>8641265</v>
      </c>
      <c r="B354" s="1" t="s">
        <v>653</v>
      </c>
      <c r="C354" t="s">
        <v>654</v>
      </c>
      <c r="E354" s="2">
        <v>446001400040</v>
      </c>
      <c r="F354" s="1" t="s">
        <v>644</v>
      </c>
      <c r="G354" s="1" t="s">
        <v>53</v>
      </c>
      <c r="H354" s="1" t="s">
        <v>432</v>
      </c>
      <c r="I354" s="1" t="s">
        <v>433</v>
      </c>
      <c r="J354" s="1" t="s">
        <v>110</v>
      </c>
      <c r="K354" t="s">
        <v>645</v>
      </c>
      <c r="M354" s="1" t="s">
        <v>58</v>
      </c>
      <c r="N354" s="1">
        <v>0</v>
      </c>
      <c r="O354" s="1" t="s">
        <v>105</v>
      </c>
      <c r="P354" s="11" t="s">
        <v>748</v>
      </c>
      <c r="R354" s="1">
        <v>3</v>
      </c>
      <c r="T354" s="1" t="s">
        <v>646</v>
      </c>
      <c r="U354" s="11" t="s">
        <v>749</v>
      </c>
      <c r="V354" s="1" t="s">
        <v>41</v>
      </c>
      <c r="W354" s="1" t="s">
        <v>49</v>
      </c>
      <c r="X354" s="13" t="str">
        <f t="shared" si="40"/>
        <v/>
      </c>
      <c r="Y354" s="2">
        <f t="shared" ca="1" si="35"/>
        <v>196</v>
      </c>
      <c r="Z354" s="14">
        <v>1</v>
      </c>
      <c r="AA354" s="1" t="str">
        <f t="shared" ca="1" si="36"/>
        <v>VENCIDO</v>
      </c>
      <c r="AB354" s="1" t="str">
        <f t="shared" si="37"/>
        <v>SL-On</v>
      </c>
      <c r="AC354" s="2" t="str">
        <f t="shared" si="41"/>
        <v xml:space="preserve"> CRISTINA </v>
      </c>
      <c r="AD354" s="2">
        <f t="shared" si="38"/>
        <v>1</v>
      </c>
      <c r="AE354" s="2">
        <f t="shared" ca="1" si="39"/>
        <v>-272.26694293981564</v>
      </c>
      <c r="AF354" s="15"/>
    </row>
    <row r="355" spans="1:32" hidden="1">
      <c r="A355" s="1">
        <v>8641027</v>
      </c>
      <c r="B355" s="1" t="s">
        <v>653</v>
      </c>
      <c r="C355" t="s">
        <v>654</v>
      </c>
      <c r="E355" s="2">
        <v>233001400040</v>
      </c>
      <c r="F355" s="1" t="s">
        <v>644</v>
      </c>
      <c r="G355" s="1" t="s">
        <v>53</v>
      </c>
      <c r="H355" s="1" t="s">
        <v>424</v>
      </c>
      <c r="I355" s="1" t="s">
        <v>425</v>
      </c>
      <c r="J355" s="1" t="s">
        <v>261</v>
      </c>
      <c r="K355" t="s">
        <v>645</v>
      </c>
      <c r="M355" s="1" t="s">
        <v>58</v>
      </c>
      <c r="N355" s="1">
        <v>0</v>
      </c>
      <c r="O355" s="1" t="s">
        <v>105</v>
      </c>
      <c r="P355" s="11" t="s">
        <v>750</v>
      </c>
      <c r="R355" s="1">
        <v>2</v>
      </c>
      <c r="T355" s="1" t="s">
        <v>646</v>
      </c>
      <c r="U355" s="11" t="s">
        <v>751</v>
      </c>
      <c r="V355" s="1" t="s">
        <v>41</v>
      </c>
      <c r="W355" s="1" t="s">
        <v>49</v>
      </c>
      <c r="X355" s="13" t="str">
        <f t="shared" si="40"/>
        <v/>
      </c>
      <c r="Y355" s="2">
        <f t="shared" ca="1" si="35"/>
        <v>196</v>
      </c>
      <c r="Z355" s="14">
        <v>1</v>
      </c>
      <c r="AA355" s="1" t="str">
        <f t="shared" ca="1" si="36"/>
        <v>VENCIDO</v>
      </c>
      <c r="AB355" s="1" t="str">
        <f t="shared" si="37"/>
        <v>SL-On</v>
      </c>
      <c r="AC355" s="2" t="str">
        <f t="shared" si="41"/>
        <v xml:space="preserve"> CRISTINA </v>
      </c>
      <c r="AD355" s="2">
        <f t="shared" si="38"/>
        <v>1</v>
      </c>
      <c r="AE355" s="2">
        <f t="shared" ca="1" si="39"/>
        <v>-272.26814664351696</v>
      </c>
      <c r="AF355" s="15"/>
    </row>
    <row r="356" spans="1:32" hidden="1">
      <c r="A356" s="1">
        <v>8640672</v>
      </c>
      <c r="B356" s="1" t="s">
        <v>653</v>
      </c>
      <c r="C356" t="s">
        <v>752</v>
      </c>
      <c r="E356" s="2">
        <v>7802341400030</v>
      </c>
      <c r="F356" s="1" t="s">
        <v>647</v>
      </c>
      <c r="G356" s="1" t="s">
        <v>53</v>
      </c>
      <c r="H356" s="1" t="s">
        <v>753</v>
      </c>
      <c r="I356" s="1" t="s">
        <v>754</v>
      </c>
      <c r="J356" s="1" t="s">
        <v>46</v>
      </c>
      <c r="K356" t="s">
        <v>650</v>
      </c>
      <c r="M356" s="1" t="s">
        <v>58</v>
      </c>
      <c r="N356" s="1">
        <v>0</v>
      </c>
      <c r="O356" s="1" t="s">
        <v>105</v>
      </c>
      <c r="P356" s="11" t="s">
        <v>755</v>
      </c>
      <c r="R356" s="1">
        <v>4</v>
      </c>
      <c r="T356" s="1" t="s">
        <v>646</v>
      </c>
      <c r="U356" s="11" t="s">
        <v>756</v>
      </c>
      <c r="V356" s="1" t="s">
        <v>41</v>
      </c>
      <c r="W356" s="1" t="s">
        <v>49</v>
      </c>
      <c r="X356" s="13" t="str">
        <f t="shared" si="40"/>
        <v>7802.34</v>
      </c>
      <c r="Y356" s="2">
        <f t="shared" ca="1" si="35"/>
        <v>196</v>
      </c>
      <c r="Z356" s="14">
        <v>1</v>
      </c>
      <c r="AA356" s="1" t="str">
        <f t="shared" ca="1" si="36"/>
        <v>VENCIDO</v>
      </c>
      <c r="AB356" s="1" t="str">
        <f t="shared" si="37"/>
        <v>C-14</v>
      </c>
      <c r="AC356" s="2" t="str">
        <f t="shared" si="41"/>
        <v xml:space="preserve"> CLEITON </v>
      </c>
      <c r="AD356" s="2">
        <f t="shared" si="38"/>
        <v>15</v>
      </c>
      <c r="AE356" s="2">
        <f t="shared" ca="1" si="39"/>
        <v>-272.26931562500249</v>
      </c>
      <c r="AF356" s="15"/>
    </row>
    <row r="357" spans="1:32" hidden="1">
      <c r="A357" s="1">
        <v>8640671</v>
      </c>
      <c r="B357" s="1" t="s">
        <v>653</v>
      </c>
      <c r="C357" t="s">
        <v>752</v>
      </c>
      <c r="E357" s="2">
        <v>7802281400030</v>
      </c>
      <c r="F357" s="1" t="s">
        <v>647</v>
      </c>
      <c r="G357" s="1" t="s">
        <v>53</v>
      </c>
      <c r="H357" s="1" t="s">
        <v>757</v>
      </c>
      <c r="I357" s="1" t="s">
        <v>758</v>
      </c>
      <c r="J357" s="1" t="s">
        <v>46</v>
      </c>
      <c r="K357" t="s">
        <v>650</v>
      </c>
      <c r="M357" s="1" t="s">
        <v>58</v>
      </c>
      <c r="N357" s="1">
        <v>0</v>
      </c>
      <c r="O357" s="1" t="s">
        <v>105</v>
      </c>
      <c r="P357" s="11" t="s">
        <v>755</v>
      </c>
      <c r="R357" s="1">
        <v>4</v>
      </c>
      <c r="T357" s="1" t="s">
        <v>646</v>
      </c>
      <c r="U357" s="11" t="s">
        <v>756</v>
      </c>
      <c r="V357" s="1" t="s">
        <v>41</v>
      </c>
      <c r="W357" s="1" t="s">
        <v>49</v>
      </c>
      <c r="X357" s="13" t="str">
        <f t="shared" si="40"/>
        <v>7802.28</v>
      </c>
      <c r="Y357" s="2">
        <f t="shared" ca="1" si="35"/>
        <v>196</v>
      </c>
      <c r="Z357" s="14">
        <v>1</v>
      </c>
      <c r="AA357" s="1" t="str">
        <f t="shared" ca="1" si="36"/>
        <v>VENCIDO</v>
      </c>
      <c r="AB357" s="1" t="str">
        <f t="shared" si="37"/>
        <v>C-14</v>
      </c>
      <c r="AC357" s="2" t="str">
        <f t="shared" si="41"/>
        <v xml:space="preserve"> CLEITON </v>
      </c>
      <c r="AD357" s="2">
        <f t="shared" si="38"/>
        <v>15</v>
      </c>
      <c r="AE357" s="2">
        <f t="shared" ca="1" si="39"/>
        <v>-272.26931562500249</v>
      </c>
      <c r="AF357" s="15"/>
    </row>
    <row r="358" spans="1:32" hidden="1">
      <c r="A358" s="1">
        <v>8640670</v>
      </c>
      <c r="B358" s="1" t="s">
        <v>653</v>
      </c>
      <c r="C358" t="s">
        <v>752</v>
      </c>
      <c r="E358" s="2">
        <v>7802221400030</v>
      </c>
      <c r="F358" s="1" t="s">
        <v>647</v>
      </c>
      <c r="G358" s="1" t="s">
        <v>53</v>
      </c>
      <c r="H358" s="1" t="s">
        <v>759</v>
      </c>
      <c r="I358" s="1" t="s">
        <v>760</v>
      </c>
      <c r="J358" s="1" t="s">
        <v>46</v>
      </c>
      <c r="K358" t="s">
        <v>650</v>
      </c>
      <c r="M358" s="1" t="s">
        <v>58</v>
      </c>
      <c r="N358" s="1">
        <v>0</v>
      </c>
      <c r="O358" s="1" t="s">
        <v>105</v>
      </c>
      <c r="P358" s="12">
        <v>44713.406956018516</v>
      </c>
      <c r="R358" s="1">
        <v>4</v>
      </c>
      <c r="T358" s="1" t="s">
        <v>646</v>
      </c>
      <c r="U358" s="12">
        <v>44714.406956018516</v>
      </c>
      <c r="V358" s="1" t="s">
        <v>41</v>
      </c>
      <c r="W358" s="1" t="s">
        <v>49</v>
      </c>
      <c r="X358" s="13" t="str">
        <f t="shared" si="40"/>
        <v>7802.22</v>
      </c>
      <c r="Y358" s="2">
        <f t="shared" ca="1" si="35"/>
        <v>196</v>
      </c>
      <c r="Z358" s="14">
        <v>1</v>
      </c>
      <c r="AA358" s="1" t="str">
        <f t="shared" ca="1" si="36"/>
        <v>VENCIDO</v>
      </c>
      <c r="AB358" s="1" t="str">
        <f t="shared" si="37"/>
        <v>C-14</v>
      </c>
      <c r="AC358" s="2" t="str">
        <f t="shared" si="41"/>
        <v xml:space="preserve"> CLEITON </v>
      </c>
      <c r="AD358" s="2">
        <f t="shared" si="38"/>
        <v>15</v>
      </c>
      <c r="AE358" s="2">
        <f t="shared" ca="1" si="39"/>
        <v>-272.26931562500249</v>
      </c>
      <c r="AF358" s="15"/>
    </row>
    <row r="359" spans="1:32" hidden="1">
      <c r="A359" s="1">
        <v>8640669</v>
      </c>
      <c r="B359" s="1" t="s">
        <v>653</v>
      </c>
      <c r="C359" t="s">
        <v>752</v>
      </c>
      <c r="E359" s="2">
        <v>7802211400030</v>
      </c>
      <c r="F359" s="1" t="s">
        <v>647</v>
      </c>
      <c r="G359" s="1" t="s">
        <v>53</v>
      </c>
      <c r="H359" s="1" t="s">
        <v>761</v>
      </c>
      <c r="I359" s="1" t="s">
        <v>762</v>
      </c>
      <c r="J359" s="1" t="s">
        <v>46</v>
      </c>
      <c r="K359" t="s">
        <v>650</v>
      </c>
      <c r="M359" s="1" t="s">
        <v>58</v>
      </c>
      <c r="N359" s="1">
        <v>0</v>
      </c>
      <c r="O359" s="1" t="s">
        <v>105</v>
      </c>
      <c r="P359" s="11" t="s">
        <v>755</v>
      </c>
      <c r="R359" s="1">
        <v>4</v>
      </c>
      <c r="T359" s="1" t="s">
        <v>646</v>
      </c>
      <c r="U359" s="11" t="s">
        <v>756</v>
      </c>
      <c r="V359" s="1" t="s">
        <v>41</v>
      </c>
      <c r="W359" s="1" t="s">
        <v>49</v>
      </c>
      <c r="X359" s="13" t="str">
        <f t="shared" si="40"/>
        <v>7802.21</v>
      </c>
      <c r="Y359" s="2">
        <f t="shared" ca="1" si="35"/>
        <v>196</v>
      </c>
      <c r="Z359" s="14">
        <v>1</v>
      </c>
      <c r="AA359" s="1" t="str">
        <f t="shared" ca="1" si="36"/>
        <v>VENCIDO</v>
      </c>
      <c r="AB359" s="1" t="str">
        <f t="shared" si="37"/>
        <v>C-14</v>
      </c>
      <c r="AC359" s="2" t="str">
        <f t="shared" si="41"/>
        <v xml:space="preserve"> CLEITON </v>
      </c>
      <c r="AD359" s="2">
        <f t="shared" si="38"/>
        <v>15</v>
      </c>
      <c r="AE359" s="2">
        <f t="shared" ca="1" si="39"/>
        <v>-272.26931562500249</v>
      </c>
      <c r="AF359" s="15"/>
    </row>
    <row r="360" spans="1:32" hidden="1">
      <c r="A360" s="1">
        <v>8640668</v>
      </c>
      <c r="B360" s="1" t="s">
        <v>653</v>
      </c>
      <c r="C360" t="s">
        <v>752</v>
      </c>
      <c r="E360" s="2">
        <v>7802191400030</v>
      </c>
      <c r="F360" s="1" t="s">
        <v>647</v>
      </c>
      <c r="G360" s="1" t="s">
        <v>53</v>
      </c>
      <c r="H360" s="1" t="s">
        <v>763</v>
      </c>
      <c r="I360" s="1" t="s">
        <v>764</v>
      </c>
      <c r="J360" s="1" t="s">
        <v>46</v>
      </c>
      <c r="K360" t="s">
        <v>650</v>
      </c>
      <c r="M360" s="1" t="s">
        <v>58</v>
      </c>
      <c r="N360" s="1">
        <v>0</v>
      </c>
      <c r="O360" s="1" t="s">
        <v>105</v>
      </c>
      <c r="P360" s="11" t="s">
        <v>765</v>
      </c>
      <c r="R360" s="1">
        <v>4</v>
      </c>
      <c r="T360" s="1" t="s">
        <v>646</v>
      </c>
      <c r="U360" s="11" t="s">
        <v>756</v>
      </c>
      <c r="V360" s="1" t="s">
        <v>41</v>
      </c>
      <c r="W360" s="1" t="s">
        <v>49</v>
      </c>
      <c r="X360" s="13" t="str">
        <f t="shared" si="40"/>
        <v>7802.19</v>
      </c>
      <c r="Y360" s="2">
        <f t="shared" ca="1" si="35"/>
        <v>196</v>
      </c>
      <c r="Z360" s="14">
        <v>1</v>
      </c>
      <c r="AA360" s="1" t="str">
        <f t="shared" ca="1" si="36"/>
        <v>VENCIDO</v>
      </c>
      <c r="AB360" s="1" t="str">
        <f t="shared" si="37"/>
        <v>C-14</v>
      </c>
      <c r="AC360" s="2" t="str">
        <f t="shared" si="41"/>
        <v xml:space="preserve"> CLEITON </v>
      </c>
      <c r="AD360" s="2">
        <f t="shared" si="38"/>
        <v>15</v>
      </c>
      <c r="AE360" s="2">
        <f t="shared" ca="1" si="39"/>
        <v>-272.26931562500249</v>
      </c>
      <c r="AF360" s="15"/>
    </row>
    <row r="361" spans="1:32" hidden="1">
      <c r="A361" s="1">
        <v>8640667</v>
      </c>
      <c r="B361" s="1" t="s">
        <v>653</v>
      </c>
      <c r="C361" t="s">
        <v>752</v>
      </c>
      <c r="E361" s="2">
        <v>7802181400030</v>
      </c>
      <c r="F361" s="1" t="s">
        <v>647</v>
      </c>
      <c r="G361" s="1" t="s">
        <v>53</v>
      </c>
      <c r="H361" s="1" t="s">
        <v>766</v>
      </c>
      <c r="I361" s="1" t="s">
        <v>767</v>
      </c>
      <c r="J361" s="1" t="s">
        <v>46</v>
      </c>
      <c r="K361" t="s">
        <v>650</v>
      </c>
      <c r="M361" s="1" t="s">
        <v>58</v>
      </c>
      <c r="N361" s="1">
        <v>0</v>
      </c>
      <c r="O361" s="1" t="s">
        <v>105</v>
      </c>
      <c r="P361" s="11" t="s">
        <v>765</v>
      </c>
      <c r="R361" s="1">
        <v>4</v>
      </c>
      <c r="T361" s="1" t="s">
        <v>646</v>
      </c>
      <c r="U361" s="11" t="s">
        <v>768</v>
      </c>
      <c r="V361" s="1" t="s">
        <v>41</v>
      </c>
      <c r="W361" s="1" t="s">
        <v>49</v>
      </c>
      <c r="X361" s="13" t="str">
        <f t="shared" si="40"/>
        <v>7802.18</v>
      </c>
      <c r="Y361" s="2">
        <f t="shared" ca="1" si="35"/>
        <v>196</v>
      </c>
      <c r="Z361" s="14">
        <v>1</v>
      </c>
      <c r="AA361" s="1" t="str">
        <f t="shared" ca="1" si="36"/>
        <v>VENCIDO</v>
      </c>
      <c r="AB361" s="1" t="str">
        <f t="shared" si="37"/>
        <v>C-14</v>
      </c>
      <c r="AC361" s="2" t="str">
        <f t="shared" si="41"/>
        <v xml:space="preserve"> CLEITON </v>
      </c>
      <c r="AD361" s="2">
        <f t="shared" si="38"/>
        <v>15</v>
      </c>
      <c r="AE361" s="2">
        <f t="shared" ca="1" si="39"/>
        <v>-272.26932719907199</v>
      </c>
      <c r="AF361" s="15"/>
    </row>
    <row r="362" spans="1:32" hidden="1">
      <c r="A362" s="1">
        <v>8640666</v>
      </c>
      <c r="B362" s="1" t="s">
        <v>653</v>
      </c>
      <c r="C362" t="s">
        <v>752</v>
      </c>
      <c r="E362" s="2">
        <v>7802171400030</v>
      </c>
      <c r="F362" s="1" t="s">
        <v>647</v>
      </c>
      <c r="G362" s="1" t="s">
        <v>53</v>
      </c>
      <c r="H362" s="1" t="s">
        <v>769</v>
      </c>
      <c r="I362" s="1" t="s">
        <v>770</v>
      </c>
      <c r="J362" s="1" t="s">
        <v>46</v>
      </c>
      <c r="K362" t="s">
        <v>650</v>
      </c>
      <c r="M362" s="1" t="s">
        <v>58</v>
      </c>
      <c r="N362" s="1">
        <v>0</v>
      </c>
      <c r="O362" s="1" t="s">
        <v>105</v>
      </c>
      <c r="P362" s="11" t="s">
        <v>765</v>
      </c>
      <c r="R362" s="1">
        <v>4</v>
      </c>
      <c r="T362" s="1" t="s">
        <v>646</v>
      </c>
      <c r="U362" s="11" t="s">
        <v>768</v>
      </c>
      <c r="V362" s="1" t="s">
        <v>41</v>
      </c>
      <c r="W362" s="1" t="s">
        <v>49</v>
      </c>
      <c r="X362" s="13" t="str">
        <f t="shared" si="40"/>
        <v>7802.17</v>
      </c>
      <c r="Y362" s="2">
        <f t="shared" ca="1" si="35"/>
        <v>196</v>
      </c>
      <c r="Z362" s="14">
        <v>1</v>
      </c>
      <c r="AA362" s="1" t="str">
        <f t="shared" ca="1" si="36"/>
        <v>VENCIDO</v>
      </c>
      <c r="AB362" s="1" t="str">
        <f t="shared" si="37"/>
        <v>C-14</v>
      </c>
      <c r="AC362" s="2" t="str">
        <f t="shared" si="41"/>
        <v xml:space="preserve"> CLEITON </v>
      </c>
      <c r="AD362" s="2">
        <f t="shared" si="38"/>
        <v>15</v>
      </c>
      <c r="AE362" s="2">
        <f t="shared" ca="1" si="39"/>
        <v>-272.26932719907199</v>
      </c>
      <c r="AF362" s="15"/>
    </row>
    <row r="363" spans="1:32" hidden="1">
      <c r="A363" s="1">
        <v>8640665</v>
      </c>
      <c r="B363" s="1" t="s">
        <v>653</v>
      </c>
      <c r="C363" t="s">
        <v>752</v>
      </c>
      <c r="E363" s="2">
        <v>7802051400030</v>
      </c>
      <c r="F363" s="1" t="s">
        <v>647</v>
      </c>
      <c r="G363" s="1" t="s">
        <v>53</v>
      </c>
      <c r="H363" s="1" t="s">
        <v>771</v>
      </c>
      <c r="I363" s="1" t="s">
        <v>772</v>
      </c>
      <c r="J363" s="1" t="s">
        <v>46</v>
      </c>
      <c r="K363" t="s">
        <v>650</v>
      </c>
      <c r="M363" s="1" t="s">
        <v>58</v>
      </c>
      <c r="N363" s="1">
        <v>0</v>
      </c>
      <c r="O363" s="1" t="s">
        <v>105</v>
      </c>
      <c r="P363" s="11" t="s">
        <v>765</v>
      </c>
      <c r="R363" s="1">
        <v>4</v>
      </c>
      <c r="T363" s="1" t="s">
        <v>646</v>
      </c>
      <c r="U363" s="12">
        <v>44714.406944444447</v>
      </c>
      <c r="V363" s="1" t="s">
        <v>41</v>
      </c>
      <c r="W363" s="1" t="s">
        <v>49</v>
      </c>
      <c r="X363" s="13" t="str">
        <f t="shared" si="40"/>
        <v>7802.05</v>
      </c>
      <c r="Y363" s="2">
        <f t="shared" ca="1" si="35"/>
        <v>196</v>
      </c>
      <c r="Z363" s="14">
        <v>1</v>
      </c>
      <c r="AA363" s="1" t="str">
        <f t="shared" ca="1" si="36"/>
        <v>VENCIDO</v>
      </c>
      <c r="AB363" s="1" t="str">
        <f t="shared" si="37"/>
        <v>C-14</v>
      </c>
      <c r="AC363" s="2" t="str">
        <f t="shared" si="41"/>
        <v xml:space="preserve"> CLEITON </v>
      </c>
      <c r="AD363" s="2">
        <f t="shared" si="38"/>
        <v>15</v>
      </c>
      <c r="AE363" s="2">
        <f t="shared" ca="1" si="39"/>
        <v>-272.26932719907199</v>
      </c>
      <c r="AF363" s="15"/>
    </row>
    <row r="364" spans="1:32" hidden="1">
      <c r="A364" s="1">
        <v>8640664</v>
      </c>
      <c r="B364" s="1" t="s">
        <v>653</v>
      </c>
      <c r="C364" t="s">
        <v>752</v>
      </c>
      <c r="E364" s="2">
        <v>7802041400030</v>
      </c>
      <c r="F364" s="1" t="s">
        <v>647</v>
      </c>
      <c r="G364" s="1" t="s">
        <v>53</v>
      </c>
      <c r="H364" s="1" t="s">
        <v>773</v>
      </c>
      <c r="I364" s="1" t="s">
        <v>774</v>
      </c>
      <c r="J364" s="1" t="s">
        <v>46</v>
      </c>
      <c r="K364" t="s">
        <v>650</v>
      </c>
      <c r="M364" s="1" t="s">
        <v>58</v>
      </c>
      <c r="N364" s="1">
        <v>0</v>
      </c>
      <c r="O364" s="1" t="s">
        <v>105</v>
      </c>
      <c r="P364" s="11" t="s">
        <v>765</v>
      </c>
      <c r="R364" s="1">
        <v>4</v>
      </c>
      <c r="T364" s="1" t="s">
        <v>646</v>
      </c>
      <c r="U364" s="11" t="s">
        <v>768</v>
      </c>
      <c r="V364" s="1" t="s">
        <v>41</v>
      </c>
      <c r="W364" s="1" t="s">
        <v>49</v>
      </c>
      <c r="X364" s="13" t="str">
        <f t="shared" si="40"/>
        <v>7802.04</v>
      </c>
      <c r="Y364" s="2">
        <f t="shared" ca="1" si="35"/>
        <v>196</v>
      </c>
      <c r="Z364" s="14">
        <v>1</v>
      </c>
      <c r="AA364" s="1" t="str">
        <f t="shared" ca="1" si="36"/>
        <v>VENCIDO</v>
      </c>
      <c r="AB364" s="1" t="str">
        <f t="shared" si="37"/>
        <v>C-14</v>
      </c>
      <c r="AC364" s="2" t="str">
        <f t="shared" si="41"/>
        <v xml:space="preserve"> CLEITON </v>
      </c>
      <c r="AD364" s="2">
        <f t="shared" si="38"/>
        <v>15</v>
      </c>
      <c r="AE364" s="2">
        <f t="shared" ca="1" si="39"/>
        <v>-272.26932719907199</v>
      </c>
      <c r="AF364" s="15"/>
    </row>
    <row r="365" spans="1:32" hidden="1">
      <c r="A365" s="1">
        <v>8640663</v>
      </c>
      <c r="B365" s="1" t="s">
        <v>653</v>
      </c>
      <c r="C365" t="s">
        <v>752</v>
      </c>
      <c r="E365" s="2">
        <v>7802021400030</v>
      </c>
      <c r="F365" s="1" t="s">
        <v>647</v>
      </c>
      <c r="G365" s="1" t="s">
        <v>53</v>
      </c>
      <c r="H365" s="1" t="s">
        <v>775</v>
      </c>
      <c r="I365" s="1" t="s">
        <v>776</v>
      </c>
      <c r="J365" s="1" t="s">
        <v>46</v>
      </c>
      <c r="K365" t="s">
        <v>650</v>
      </c>
      <c r="M365" s="1" t="s">
        <v>58</v>
      </c>
      <c r="N365" s="1">
        <v>0</v>
      </c>
      <c r="O365" s="1" t="s">
        <v>36</v>
      </c>
      <c r="P365" s="11" t="s">
        <v>765</v>
      </c>
      <c r="R365" s="1">
        <v>4</v>
      </c>
      <c r="T365" s="1" t="s">
        <v>646</v>
      </c>
      <c r="U365" s="11" t="s">
        <v>768</v>
      </c>
      <c r="V365" s="1" t="s">
        <v>41</v>
      </c>
      <c r="W365" s="1" t="s">
        <v>49</v>
      </c>
      <c r="X365" s="13" t="str">
        <f t="shared" si="40"/>
        <v>7802.02</v>
      </c>
      <c r="Y365" s="2">
        <f t="shared" ca="1" si="35"/>
        <v>196</v>
      </c>
      <c r="Z365" s="14">
        <v>1</v>
      </c>
      <c r="AA365" s="1" t="str">
        <f t="shared" ca="1" si="36"/>
        <v>VENCIDO</v>
      </c>
      <c r="AB365" s="1" t="str">
        <f t="shared" si="37"/>
        <v>C-14</v>
      </c>
      <c r="AC365" s="2" t="str">
        <f t="shared" si="41"/>
        <v xml:space="preserve"> CLEITON </v>
      </c>
      <c r="AD365" s="2">
        <f t="shared" si="38"/>
        <v>15</v>
      </c>
      <c r="AE365" s="2">
        <f t="shared" ca="1" si="39"/>
        <v>-272.26932719907199</v>
      </c>
      <c r="AF365" s="15"/>
    </row>
    <row r="366" spans="1:32" hidden="1">
      <c r="A366" s="1">
        <v>8640662</v>
      </c>
      <c r="B366" s="1" t="s">
        <v>653</v>
      </c>
      <c r="C366" t="s">
        <v>752</v>
      </c>
      <c r="E366" s="2">
        <v>7802011400030</v>
      </c>
      <c r="F366" s="1" t="s">
        <v>647</v>
      </c>
      <c r="G366" s="1" t="s">
        <v>53</v>
      </c>
      <c r="H366" s="1" t="s">
        <v>777</v>
      </c>
      <c r="I366" s="1" t="s">
        <v>778</v>
      </c>
      <c r="J366" s="1" t="s">
        <v>46</v>
      </c>
      <c r="K366" t="s">
        <v>650</v>
      </c>
      <c r="M366" s="1" t="s">
        <v>58</v>
      </c>
      <c r="N366" s="1">
        <v>0</v>
      </c>
      <c r="O366" s="1" t="s">
        <v>36</v>
      </c>
      <c r="P366" s="11" t="s">
        <v>765</v>
      </c>
      <c r="R366" s="1">
        <v>4</v>
      </c>
      <c r="T366" s="1" t="s">
        <v>646</v>
      </c>
      <c r="U366" s="11" t="s">
        <v>768</v>
      </c>
      <c r="V366" s="1" t="s">
        <v>41</v>
      </c>
      <c r="W366" s="1" t="s">
        <v>49</v>
      </c>
      <c r="X366" s="13" t="str">
        <f t="shared" si="40"/>
        <v>7802.01</v>
      </c>
      <c r="Y366" s="2">
        <f t="shared" ca="1" si="35"/>
        <v>196</v>
      </c>
      <c r="Z366" s="14">
        <v>1</v>
      </c>
      <c r="AA366" s="1" t="str">
        <f t="shared" ca="1" si="36"/>
        <v>VENCIDO</v>
      </c>
      <c r="AB366" s="1" t="str">
        <f t="shared" si="37"/>
        <v>C-14</v>
      </c>
      <c r="AC366" s="2" t="str">
        <f t="shared" si="41"/>
        <v xml:space="preserve"> CLEITON </v>
      </c>
      <c r="AD366" s="2">
        <f t="shared" si="38"/>
        <v>15</v>
      </c>
      <c r="AE366" s="2">
        <f t="shared" ca="1" si="39"/>
        <v>-272.26932719907199</v>
      </c>
      <c r="AF366" s="15"/>
    </row>
    <row r="367" spans="1:32" hidden="1">
      <c r="A367" s="1">
        <v>8640517</v>
      </c>
      <c r="B367" s="1" t="s">
        <v>653</v>
      </c>
      <c r="C367" t="s">
        <v>752</v>
      </c>
      <c r="E367" s="2">
        <v>4890081400030</v>
      </c>
      <c r="F367" s="1" t="s">
        <v>647</v>
      </c>
      <c r="G367" s="1" t="s">
        <v>53</v>
      </c>
      <c r="H367" s="1" t="s">
        <v>779</v>
      </c>
      <c r="I367" s="1" t="s">
        <v>780</v>
      </c>
      <c r="J367" s="1" t="s">
        <v>46</v>
      </c>
      <c r="K367" t="s">
        <v>650</v>
      </c>
      <c r="M367" s="1" t="s">
        <v>58</v>
      </c>
      <c r="N367" s="1">
        <v>0</v>
      </c>
      <c r="O367" s="1" t="s">
        <v>105</v>
      </c>
      <c r="P367" s="11" t="s">
        <v>781</v>
      </c>
      <c r="R367" s="1">
        <v>4</v>
      </c>
      <c r="T367" s="1" t="s">
        <v>646</v>
      </c>
      <c r="U367" s="11" t="s">
        <v>782</v>
      </c>
      <c r="V367" s="1" t="s">
        <v>41</v>
      </c>
      <c r="W367" s="1" t="s">
        <v>49</v>
      </c>
      <c r="X367" s="13" t="str">
        <f t="shared" si="40"/>
        <v>4890.08</v>
      </c>
      <c r="Y367" s="2">
        <f t="shared" ca="1" si="35"/>
        <v>196</v>
      </c>
      <c r="Z367" s="14">
        <v>1</v>
      </c>
      <c r="AA367" s="1" t="str">
        <f t="shared" ca="1" si="36"/>
        <v>VENCIDO</v>
      </c>
      <c r="AB367" s="1" t="str">
        <f t="shared" si="37"/>
        <v>C-14</v>
      </c>
      <c r="AC367" s="2" t="str">
        <f t="shared" si="41"/>
        <v xml:space="preserve"> CLEITON </v>
      </c>
      <c r="AD367" s="2">
        <f t="shared" si="38"/>
        <v>15</v>
      </c>
      <c r="AE367" s="2">
        <f t="shared" ca="1" si="39"/>
        <v>-272.26966284722585</v>
      </c>
      <c r="AF367" s="15"/>
    </row>
    <row r="368" spans="1:32" hidden="1">
      <c r="A368" s="1">
        <v>8640516</v>
      </c>
      <c r="B368" s="1" t="s">
        <v>653</v>
      </c>
      <c r="C368" t="s">
        <v>752</v>
      </c>
      <c r="E368" s="2">
        <v>4890071400030</v>
      </c>
      <c r="F368" s="1" t="s">
        <v>647</v>
      </c>
      <c r="G368" s="1" t="s">
        <v>53</v>
      </c>
      <c r="H368" s="1" t="s">
        <v>783</v>
      </c>
      <c r="I368" s="1" t="s">
        <v>784</v>
      </c>
      <c r="J368" s="1" t="s">
        <v>46</v>
      </c>
      <c r="K368" t="s">
        <v>650</v>
      </c>
      <c r="M368" s="1" t="s">
        <v>58</v>
      </c>
      <c r="N368" s="1">
        <v>0</v>
      </c>
      <c r="O368" s="1" t="s">
        <v>105</v>
      </c>
      <c r="P368" s="11" t="s">
        <v>781</v>
      </c>
      <c r="R368" s="1">
        <v>4</v>
      </c>
      <c r="T368" s="1" t="s">
        <v>646</v>
      </c>
      <c r="U368" s="11" t="s">
        <v>782</v>
      </c>
      <c r="V368" s="1" t="s">
        <v>41</v>
      </c>
      <c r="W368" s="1" t="s">
        <v>49</v>
      </c>
      <c r="X368" s="13" t="str">
        <f t="shared" si="40"/>
        <v>4890.07</v>
      </c>
      <c r="Y368" s="2">
        <f t="shared" ca="1" si="35"/>
        <v>196</v>
      </c>
      <c r="Z368" s="14">
        <v>1</v>
      </c>
      <c r="AA368" s="1" t="str">
        <f t="shared" ca="1" si="36"/>
        <v>VENCIDO</v>
      </c>
      <c r="AB368" s="1" t="str">
        <f t="shared" si="37"/>
        <v>C-14</v>
      </c>
      <c r="AC368" s="2" t="str">
        <f t="shared" si="41"/>
        <v xml:space="preserve"> CLEITON </v>
      </c>
      <c r="AD368" s="2">
        <f t="shared" si="38"/>
        <v>15</v>
      </c>
      <c r="AE368" s="2">
        <f t="shared" ca="1" si="39"/>
        <v>-272.26966284722585</v>
      </c>
      <c r="AF368" s="15"/>
    </row>
    <row r="369" spans="1:32" hidden="1">
      <c r="A369" s="1">
        <v>8640515</v>
      </c>
      <c r="B369" s="1" t="s">
        <v>653</v>
      </c>
      <c r="C369" t="s">
        <v>752</v>
      </c>
      <c r="E369" s="2">
        <v>4890061400030</v>
      </c>
      <c r="F369" s="1" t="s">
        <v>647</v>
      </c>
      <c r="G369" s="1" t="s">
        <v>53</v>
      </c>
      <c r="H369" s="1" t="s">
        <v>785</v>
      </c>
      <c r="I369" s="1" t="s">
        <v>786</v>
      </c>
      <c r="J369" s="1" t="s">
        <v>46</v>
      </c>
      <c r="K369" t="s">
        <v>650</v>
      </c>
      <c r="M369" s="1" t="s">
        <v>58</v>
      </c>
      <c r="N369" s="1">
        <v>0</v>
      </c>
      <c r="O369" s="1" t="s">
        <v>105</v>
      </c>
      <c r="P369" s="11" t="s">
        <v>781</v>
      </c>
      <c r="R369" s="1">
        <v>4</v>
      </c>
      <c r="T369" s="1" t="s">
        <v>646</v>
      </c>
      <c r="U369" s="11" t="s">
        <v>782</v>
      </c>
      <c r="V369" s="1" t="s">
        <v>41</v>
      </c>
      <c r="W369" s="1" t="s">
        <v>49</v>
      </c>
      <c r="X369" s="13" t="str">
        <f t="shared" si="40"/>
        <v>4890.06</v>
      </c>
      <c r="Y369" s="2">
        <f t="shared" ca="1" si="35"/>
        <v>196</v>
      </c>
      <c r="Z369" s="14">
        <v>1</v>
      </c>
      <c r="AA369" s="1" t="str">
        <f t="shared" ca="1" si="36"/>
        <v>VENCIDO</v>
      </c>
      <c r="AB369" s="1" t="str">
        <f t="shared" si="37"/>
        <v>C-14</v>
      </c>
      <c r="AC369" s="2" t="str">
        <f t="shared" si="41"/>
        <v xml:space="preserve"> CLEITON </v>
      </c>
      <c r="AD369" s="2">
        <f t="shared" si="38"/>
        <v>15</v>
      </c>
      <c r="AE369" s="2">
        <f t="shared" ca="1" si="39"/>
        <v>-272.26966284722585</v>
      </c>
      <c r="AF369" s="15"/>
    </row>
    <row r="370" spans="1:32" hidden="1">
      <c r="A370" s="1">
        <v>8640514</v>
      </c>
      <c r="B370" s="1" t="s">
        <v>653</v>
      </c>
      <c r="C370" t="s">
        <v>752</v>
      </c>
      <c r="E370" s="2">
        <v>4890051400030</v>
      </c>
      <c r="F370" s="1" t="s">
        <v>647</v>
      </c>
      <c r="G370" s="1" t="s">
        <v>53</v>
      </c>
      <c r="H370" s="1" t="s">
        <v>787</v>
      </c>
      <c r="I370" s="1" t="s">
        <v>788</v>
      </c>
      <c r="J370" s="1" t="s">
        <v>46</v>
      </c>
      <c r="K370" t="s">
        <v>650</v>
      </c>
      <c r="M370" s="1" t="s">
        <v>58</v>
      </c>
      <c r="N370" s="1">
        <v>0</v>
      </c>
      <c r="O370" s="1" t="s">
        <v>105</v>
      </c>
      <c r="P370" s="11" t="s">
        <v>789</v>
      </c>
      <c r="R370" s="1">
        <v>4</v>
      </c>
      <c r="T370" s="1" t="s">
        <v>646</v>
      </c>
      <c r="U370" s="11" t="s">
        <v>790</v>
      </c>
      <c r="V370" s="1" t="s">
        <v>41</v>
      </c>
      <c r="W370" s="1" t="s">
        <v>49</v>
      </c>
      <c r="X370" s="13" t="str">
        <f t="shared" si="40"/>
        <v>4890.05</v>
      </c>
      <c r="Y370" s="2">
        <f t="shared" ca="1" si="35"/>
        <v>196</v>
      </c>
      <c r="Z370" s="14">
        <v>1</v>
      </c>
      <c r="AA370" s="1" t="str">
        <f t="shared" ca="1" si="36"/>
        <v>VENCIDO</v>
      </c>
      <c r="AB370" s="1" t="str">
        <f t="shared" si="37"/>
        <v>C-14</v>
      </c>
      <c r="AC370" s="2" t="str">
        <f t="shared" si="41"/>
        <v xml:space="preserve"> CLEITON </v>
      </c>
      <c r="AD370" s="2">
        <f t="shared" si="38"/>
        <v>15</v>
      </c>
      <c r="AE370" s="2">
        <f t="shared" ca="1" si="39"/>
        <v>-272.26967442129535</v>
      </c>
      <c r="AF370" s="15"/>
    </row>
    <row r="371" spans="1:32" hidden="1">
      <c r="A371" s="1">
        <v>8640513</v>
      </c>
      <c r="B371" s="1" t="s">
        <v>653</v>
      </c>
      <c r="C371" t="s">
        <v>752</v>
      </c>
      <c r="E371" s="2">
        <v>4890041400030</v>
      </c>
      <c r="F371" s="1" t="s">
        <v>647</v>
      </c>
      <c r="G371" s="1" t="s">
        <v>53</v>
      </c>
      <c r="H371" s="1" t="s">
        <v>791</v>
      </c>
      <c r="I371" s="1" t="s">
        <v>792</v>
      </c>
      <c r="J371" s="1" t="s">
        <v>46</v>
      </c>
      <c r="K371" t="s">
        <v>650</v>
      </c>
      <c r="M371" s="1" t="s">
        <v>58</v>
      </c>
      <c r="N371" s="1">
        <v>0</v>
      </c>
      <c r="O371" s="1" t="s">
        <v>105</v>
      </c>
      <c r="P371" s="11" t="s">
        <v>789</v>
      </c>
      <c r="R371" s="1">
        <v>4</v>
      </c>
      <c r="T371" s="1" t="s">
        <v>646</v>
      </c>
      <c r="U371" s="11" t="s">
        <v>790</v>
      </c>
      <c r="V371" s="1" t="s">
        <v>41</v>
      </c>
      <c r="W371" s="1" t="s">
        <v>49</v>
      </c>
      <c r="X371" s="13" t="str">
        <f t="shared" si="40"/>
        <v>4890.04</v>
      </c>
      <c r="Y371" s="2">
        <f t="shared" ca="1" si="35"/>
        <v>196</v>
      </c>
      <c r="Z371" s="14">
        <v>1</v>
      </c>
      <c r="AA371" s="1" t="str">
        <f t="shared" ca="1" si="36"/>
        <v>VENCIDO</v>
      </c>
      <c r="AB371" s="1" t="str">
        <f t="shared" si="37"/>
        <v>C-14</v>
      </c>
      <c r="AC371" s="2" t="str">
        <f t="shared" si="41"/>
        <v xml:space="preserve"> CLEITON </v>
      </c>
      <c r="AD371" s="2">
        <f t="shared" si="38"/>
        <v>15</v>
      </c>
      <c r="AE371" s="2">
        <f t="shared" ca="1" si="39"/>
        <v>-272.26967442129535</v>
      </c>
      <c r="AF371" s="15"/>
    </row>
    <row r="372" spans="1:32" hidden="1">
      <c r="A372" s="1">
        <v>8640512</v>
      </c>
      <c r="B372" s="1" t="s">
        <v>653</v>
      </c>
      <c r="C372" t="s">
        <v>752</v>
      </c>
      <c r="E372" s="2">
        <v>4890031400030</v>
      </c>
      <c r="F372" s="1" t="s">
        <v>647</v>
      </c>
      <c r="G372" s="1" t="s">
        <v>53</v>
      </c>
      <c r="H372" s="1" t="s">
        <v>793</v>
      </c>
      <c r="I372" s="1" t="s">
        <v>794</v>
      </c>
      <c r="J372" s="1" t="s">
        <v>46</v>
      </c>
      <c r="K372" t="s">
        <v>650</v>
      </c>
      <c r="M372" s="1" t="s">
        <v>58</v>
      </c>
      <c r="N372" s="1">
        <v>0</v>
      </c>
      <c r="O372" s="1" t="s">
        <v>105</v>
      </c>
      <c r="P372" s="11" t="s">
        <v>789</v>
      </c>
      <c r="R372" s="1">
        <v>4</v>
      </c>
      <c r="T372" s="1" t="s">
        <v>646</v>
      </c>
      <c r="U372" s="11" t="s">
        <v>790</v>
      </c>
      <c r="V372" s="1" t="s">
        <v>41</v>
      </c>
      <c r="W372" s="1" t="s">
        <v>49</v>
      </c>
      <c r="X372" s="13" t="str">
        <f t="shared" si="40"/>
        <v>4890.03</v>
      </c>
      <c r="Y372" s="2">
        <f t="shared" ca="1" si="35"/>
        <v>196</v>
      </c>
      <c r="Z372" s="14">
        <v>1</v>
      </c>
      <c r="AA372" s="1" t="str">
        <f t="shared" ca="1" si="36"/>
        <v>VENCIDO</v>
      </c>
      <c r="AB372" s="1" t="str">
        <f t="shared" si="37"/>
        <v>C-14</v>
      </c>
      <c r="AC372" s="2" t="str">
        <f t="shared" si="41"/>
        <v xml:space="preserve"> CLEITON </v>
      </c>
      <c r="AD372" s="2">
        <f t="shared" si="38"/>
        <v>15</v>
      </c>
      <c r="AE372" s="2">
        <f t="shared" ca="1" si="39"/>
        <v>-272.26967442129535</v>
      </c>
      <c r="AF372" s="15"/>
    </row>
    <row r="373" spans="1:32" hidden="1">
      <c r="A373" s="1">
        <v>8640367</v>
      </c>
      <c r="B373" s="1" t="s">
        <v>653</v>
      </c>
      <c r="C373" t="s">
        <v>752</v>
      </c>
      <c r="E373" s="2">
        <v>3237011400030</v>
      </c>
      <c r="F373" s="1" t="s">
        <v>647</v>
      </c>
      <c r="G373" s="1" t="s">
        <v>53</v>
      </c>
      <c r="H373" s="1" t="s">
        <v>795</v>
      </c>
      <c r="I373" s="1" t="s">
        <v>796</v>
      </c>
      <c r="J373" s="1" t="s">
        <v>46</v>
      </c>
      <c r="K373" t="s">
        <v>650</v>
      </c>
      <c r="M373" s="1" t="s">
        <v>58</v>
      </c>
      <c r="N373" s="1">
        <v>0</v>
      </c>
      <c r="O373" s="1" t="s">
        <v>105</v>
      </c>
      <c r="P373" s="11" t="s">
        <v>797</v>
      </c>
      <c r="R373" s="1">
        <v>4</v>
      </c>
      <c r="T373" s="1" t="s">
        <v>646</v>
      </c>
      <c r="U373" s="11" t="s">
        <v>798</v>
      </c>
      <c r="V373" s="1" t="s">
        <v>41</v>
      </c>
      <c r="W373" s="1" t="s">
        <v>49</v>
      </c>
      <c r="X373" s="13" t="str">
        <f t="shared" si="40"/>
        <v>3237.01</v>
      </c>
      <c r="Y373" s="2">
        <f t="shared" ca="1" si="35"/>
        <v>196</v>
      </c>
      <c r="Z373" s="14">
        <v>1</v>
      </c>
      <c r="AA373" s="1" t="str">
        <f t="shared" ca="1" si="36"/>
        <v>VENCIDO</v>
      </c>
      <c r="AB373" s="1" t="str">
        <f t="shared" si="37"/>
        <v>C-14</v>
      </c>
      <c r="AC373" s="2" t="str">
        <f t="shared" si="41"/>
        <v xml:space="preserve"> CLEITON </v>
      </c>
      <c r="AD373" s="2">
        <f t="shared" si="38"/>
        <v>15</v>
      </c>
      <c r="AE373" s="2">
        <f t="shared" ca="1" si="39"/>
        <v>-272.27017210648046</v>
      </c>
      <c r="AF373" s="15"/>
    </row>
    <row r="374" spans="1:32" hidden="1">
      <c r="A374" s="1">
        <v>8640366</v>
      </c>
      <c r="B374" s="1" t="s">
        <v>653</v>
      </c>
      <c r="C374" t="s">
        <v>752</v>
      </c>
      <c r="E374" s="2">
        <v>3234171400030</v>
      </c>
      <c r="F374" s="1" t="s">
        <v>647</v>
      </c>
      <c r="G374" s="1" t="s">
        <v>53</v>
      </c>
      <c r="H374" s="1" t="s">
        <v>799</v>
      </c>
      <c r="I374" s="1" t="s">
        <v>800</v>
      </c>
      <c r="J374" s="1" t="s">
        <v>46</v>
      </c>
      <c r="K374" t="s">
        <v>650</v>
      </c>
      <c r="M374" s="1" t="s">
        <v>58</v>
      </c>
      <c r="N374" s="1">
        <v>0</v>
      </c>
      <c r="O374" s="1" t="s">
        <v>105</v>
      </c>
      <c r="P374" s="11" t="s">
        <v>797</v>
      </c>
      <c r="R374" s="1">
        <v>4</v>
      </c>
      <c r="T374" s="1" t="s">
        <v>646</v>
      </c>
      <c r="U374" s="11" t="s">
        <v>798</v>
      </c>
      <c r="V374" s="1" t="s">
        <v>41</v>
      </c>
      <c r="W374" s="1" t="s">
        <v>49</v>
      </c>
      <c r="X374" s="13" t="str">
        <f t="shared" si="40"/>
        <v>3234.17</v>
      </c>
      <c r="Y374" s="2">
        <f t="shared" ca="1" si="35"/>
        <v>196</v>
      </c>
      <c r="Z374" s="14">
        <v>1</v>
      </c>
      <c r="AA374" s="1" t="str">
        <f t="shared" ca="1" si="36"/>
        <v>VENCIDO</v>
      </c>
      <c r="AB374" s="1" t="str">
        <f t="shared" si="37"/>
        <v>C-14</v>
      </c>
      <c r="AC374" s="2" t="str">
        <f t="shared" si="41"/>
        <v xml:space="preserve"> CLEITON </v>
      </c>
      <c r="AD374" s="2">
        <f t="shared" si="38"/>
        <v>15</v>
      </c>
      <c r="AE374" s="2">
        <f t="shared" ca="1" si="39"/>
        <v>-272.27017210648046</v>
      </c>
      <c r="AF374" s="15"/>
    </row>
    <row r="375" spans="1:32" hidden="1">
      <c r="A375" s="1">
        <v>8640365</v>
      </c>
      <c r="B375" s="1" t="s">
        <v>653</v>
      </c>
      <c r="C375" t="s">
        <v>752</v>
      </c>
      <c r="E375" s="2">
        <v>3234161400030</v>
      </c>
      <c r="F375" s="1" t="s">
        <v>647</v>
      </c>
      <c r="G375" s="1" t="s">
        <v>53</v>
      </c>
      <c r="H375" s="1" t="s">
        <v>499</v>
      </c>
      <c r="I375" s="1" t="s">
        <v>500</v>
      </c>
      <c r="J375" s="1" t="s">
        <v>46</v>
      </c>
      <c r="K375" t="s">
        <v>650</v>
      </c>
      <c r="M375" s="1" t="s">
        <v>58</v>
      </c>
      <c r="N375" s="1">
        <v>0</v>
      </c>
      <c r="O375" s="1" t="s">
        <v>105</v>
      </c>
      <c r="P375" s="11" t="s">
        <v>797</v>
      </c>
      <c r="R375" s="1">
        <v>4</v>
      </c>
      <c r="T375" s="1" t="s">
        <v>646</v>
      </c>
      <c r="U375" s="11" t="s">
        <v>798</v>
      </c>
      <c r="V375" s="1" t="s">
        <v>41</v>
      </c>
      <c r="W375" s="1" t="s">
        <v>49</v>
      </c>
      <c r="X375" s="13" t="str">
        <f t="shared" si="40"/>
        <v>3234.16</v>
      </c>
      <c r="Y375" s="2">
        <f t="shared" ca="1" si="35"/>
        <v>196</v>
      </c>
      <c r="Z375" s="14">
        <v>1</v>
      </c>
      <c r="AA375" s="1" t="str">
        <f t="shared" ca="1" si="36"/>
        <v>VENCIDO</v>
      </c>
      <c r="AB375" s="1" t="str">
        <f t="shared" si="37"/>
        <v>C-14</v>
      </c>
      <c r="AC375" s="2" t="str">
        <f t="shared" si="41"/>
        <v xml:space="preserve"> CLEITON </v>
      </c>
      <c r="AD375" s="2">
        <f t="shared" si="38"/>
        <v>15</v>
      </c>
      <c r="AE375" s="2">
        <f t="shared" ca="1" si="39"/>
        <v>-272.27017210648046</v>
      </c>
      <c r="AF375" s="15"/>
    </row>
    <row r="376" spans="1:32" hidden="1">
      <c r="A376" s="1">
        <v>8640364</v>
      </c>
      <c r="B376" s="1" t="s">
        <v>653</v>
      </c>
      <c r="C376" t="s">
        <v>752</v>
      </c>
      <c r="E376" s="2">
        <v>3234151400030</v>
      </c>
      <c r="F376" s="1" t="s">
        <v>647</v>
      </c>
      <c r="G376" s="1" t="s">
        <v>53</v>
      </c>
      <c r="H376" s="1" t="s">
        <v>629</v>
      </c>
      <c r="I376" s="1" t="s">
        <v>630</v>
      </c>
      <c r="J376" s="1" t="s">
        <v>46</v>
      </c>
      <c r="K376" t="s">
        <v>650</v>
      </c>
      <c r="M376" s="1" t="s">
        <v>58</v>
      </c>
      <c r="N376" s="1">
        <v>0</v>
      </c>
      <c r="O376" s="1" t="s">
        <v>105</v>
      </c>
      <c r="P376" s="11" t="s">
        <v>797</v>
      </c>
      <c r="R376" s="1">
        <v>4</v>
      </c>
      <c r="T376" s="1" t="s">
        <v>646</v>
      </c>
      <c r="U376" s="11" t="s">
        <v>798</v>
      </c>
      <c r="V376" s="1" t="s">
        <v>41</v>
      </c>
      <c r="W376" s="1" t="s">
        <v>49</v>
      </c>
      <c r="X376" s="13" t="str">
        <f t="shared" si="40"/>
        <v>3234.15</v>
      </c>
      <c r="Y376" s="2">
        <f t="shared" ca="1" si="35"/>
        <v>196</v>
      </c>
      <c r="Z376" s="14">
        <v>1</v>
      </c>
      <c r="AA376" s="1" t="str">
        <f t="shared" ca="1" si="36"/>
        <v>VENCIDO</v>
      </c>
      <c r="AB376" s="1" t="str">
        <f t="shared" si="37"/>
        <v>C-14</v>
      </c>
      <c r="AC376" s="2" t="str">
        <f t="shared" si="41"/>
        <v xml:space="preserve"> CLEITON </v>
      </c>
      <c r="AD376" s="2">
        <f t="shared" si="38"/>
        <v>15</v>
      </c>
      <c r="AE376" s="2">
        <f t="shared" ca="1" si="39"/>
        <v>-272.27017210648046</v>
      </c>
      <c r="AF376" s="15"/>
    </row>
    <row r="377" spans="1:32" hidden="1">
      <c r="A377" s="1">
        <v>8640315</v>
      </c>
      <c r="B377" s="1" t="s">
        <v>653</v>
      </c>
      <c r="C377" t="s">
        <v>752</v>
      </c>
      <c r="E377" s="2">
        <v>2889031400030</v>
      </c>
      <c r="F377" s="1" t="s">
        <v>647</v>
      </c>
      <c r="G377" s="1" t="s">
        <v>53</v>
      </c>
      <c r="H377" s="1" t="s">
        <v>801</v>
      </c>
      <c r="I377" s="1" t="s">
        <v>802</v>
      </c>
      <c r="J377" s="1" t="s">
        <v>46</v>
      </c>
      <c r="K377" t="s">
        <v>650</v>
      </c>
      <c r="M377" s="1" t="s">
        <v>58</v>
      </c>
      <c r="N377" s="1">
        <v>0</v>
      </c>
      <c r="O377" s="1" t="s">
        <v>105</v>
      </c>
      <c r="P377" s="11" t="s">
        <v>803</v>
      </c>
      <c r="R377" s="1">
        <v>4</v>
      </c>
      <c r="T377" s="1" t="s">
        <v>646</v>
      </c>
      <c r="U377" s="11" t="s">
        <v>804</v>
      </c>
      <c r="V377" s="1" t="s">
        <v>41</v>
      </c>
      <c r="W377" s="1" t="s">
        <v>49</v>
      </c>
      <c r="X377" s="13" t="str">
        <f t="shared" si="40"/>
        <v>2889.03</v>
      </c>
      <c r="Y377" s="2">
        <f t="shared" ca="1" si="35"/>
        <v>196</v>
      </c>
      <c r="Z377" s="14">
        <v>1</v>
      </c>
      <c r="AA377" s="1" t="str">
        <f t="shared" ca="1" si="36"/>
        <v>VENCIDO</v>
      </c>
      <c r="AB377" s="1" t="str">
        <f t="shared" si="37"/>
        <v>C-14</v>
      </c>
      <c r="AC377" s="2" t="str">
        <f t="shared" si="41"/>
        <v xml:space="preserve"> CLEITON </v>
      </c>
      <c r="AD377" s="2">
        <f t="shared" si="38"/>
        <v>15</v>
      </c>
      <c r="AE377" s="2">
        <f t="shared" ca="1" si="39"/>
        <v>-272.27022997684981</v>
      </c>
      <c r="AF377" s="15"/>
    </row>
    <row r="378" spans="1:32" hidden="1">
      <c r="A378" s="1">
        <v>8640314</v>
      </c>
      <c r="B378" s="1" t="s">
        <v>653</v>
      </c>
      <c r="C378" t="s">
        <v>752</v>
      </c>
      <c r="E378" s="2">
        <v>2889011400030</v>
      </c>
      <c r="F378" s="1" t="s">
        <v>647</v>
      </c>
      <c r="G378" s="1" t="s">
        <v>53</v>
      </c>
      <c r="H378" s="1" t="s">
        <v>805</v>
      </c>
      <c r="I378" s="1" t="s">
        <v>806</v>
      </c>
      <c r="J378" s="1" t="s">
        <v>46</v>
      </c>
      <c r="K378" t="s">
        <v>650</v>
      </c>
      <c r="M378" s="1" t="s">
        <v>58</v>
      </c>
      <c r="N378" s="1">
        <v>0</v>
      </c>
      <c r="O378" s="1" t="s">
        <v>105</v>
      </c>
      <c r="P378" s="12">
        <v>44713.406030092592</v>
      </c>
      <c r="R378" s="1">
        <v>4</v>
      </c>
      <c r="T378" s="1" t="s">
        <v>646</v>
      </c>
      <c r="U378" s="12">
        <v>44714.406030092592</v>
      </c>
      <c r="V378" s="1" t="s">
        <v>41</v>
      </c>
      <c r="W378" s="1" t="s">
        <v>49</v>
      </c>
      <c r="X378" s="13" t="str">
        <f t="shared" si="40"/>
        <v>2889.01</v>
      </c>
      <c r="Y378" s="2">
        <f t="shared" ca="1" si="35"/>
        <v>196</v>
      </c>
      <c r="Z378" s="14">
        <v>1</v>
      </c>
      <c r="AA378" s="1" t="str">
        <f t="shared" ca="1" si="36"/>
        <v>VENCIDO</v>
      </c>
      <c r="AB378" s="1" t="str">
        <f t="shared" si="37"/>
        <v>C-14</v>
      </c>
      <c r="AC378" s="2" t="str">
        <f t="shared" si="41"/>
        <v xml:space="preserve"> CLEITON </v>
      </c>
      <c r="AD378" s="2">
        <f t="shared" si="38"/>
        <v>15</v>
      </c>
      <c r="AE378" s="2">
        <f t="shared" ca="1" si="39"/>
        <v>-272.27024155092658</v>
      </c>
      <c r="AF378" s="15"/>
    </row>
    <row r="379" spans="1:32" hidden="1">
      <c r="A379" s="1">
        <v>8640259</v>
      </c>
      <c r="B379" s="1" t="s">
        <v>653</v>
      </c>
      <c r="C379" t="s">
        <v>752</v>
      </c>
      <c r="E379" s="2">
        <v>2365131400030</v>
      </c>
      <c r="F379" s="1" t="s">
        <v>647</v>
      </c>
      <c r="G379" s="1" t="s">
        <v>53</v>
      </c>
      <c r="H379" s="1" t="s">
        <v>807</v>
      </c>
      <c r="I379" s="1" t="s">
        <v>808</v>
      </c>
      <c r="J379" s="1" t="s">
        <v>46</v>
      </c>
      <c r="K379" t="s">
        <v>650</v>
      </c>
      <c r="M379" s="1" t="s">
        <v>58</v>
      </c>
      <c r="N379" s="1">
        <v>0</v>
      </c>
      <c r="O379" s="1" t="s">
        <v>105</v>
      </c>
      <c r="P379" s="11" t="s">
        <v>809</v>
      </c>
      <c r="R379" s="1">
        <v>4</v>
      </c>
      <c r="T379" s="1" t="s">
        <v>646</v>
      </c>
      <c r="U379" s="11" t="s">
        <v>810</v>
      </c>
      <c r="V379" s="1" t="s">
        <v>41</v>
      </c>
      <c r="W379" s="1" t="s">
        <v>49</v>
      </c>
      <c r="X379" s="13" t="str">
        <f t="shared" si="40"/>
        <v>2365.13</v>
      </c>
      <c r="Y379" s="2">
        <f t="shared" ca="1" si="35"/>
        <v>196</v>
      </c>
      <c r="Z379" s="14">
        <v>1</v>
      </c>
      <c r="AA379" s="1" t="str">
        <f t="shared" ca="1" si="36"/>
        <v>VENCIDO</v>
      </c>
      <c r="AB379" s="1" t="str">
        <f t="shared" si="37"/>
        <v>C-14</v>
      </c>
      <c r="AC379" s="2" t="str">
        <f t="shared" si="41"/>
        <v xml:space="preserve"> CLEITON </v>
      </c>
      <c r="AD379" s="2">
        <f t="shared" si="38"/>
        <v>15</v>
      </c>
      <c r="AE379" s="2">
        <f t="shared" ca="1" si="39"/>
        <v>-272.27041516203462</v>
      </c>
      <c r="AF379" s="15"/>
    </row>
    <row r="380" spans="1:32" hidden="1">
      <c r="A380" s="1">
        <v>8640213</v>
      </c>
      <c r="B380" s="1" t="s">
        <v>653</v>
      </c>
      <c r="C380" t="s">
        <v>752</v>
      </c>
      <c r="E380" s="2">
        <v>1833041400030</v>
      </c>
      <c r="F380" s="1" t="s">
        <v>647</v>
      </c>
      <c r="G380" s="1" t="s">
        <v>53</v>
      </c>
      <c r="H380" s="1" t="s">
        <v>811</v>
      </c>
      <c r="I380" s="1" t="s">
        <v>812</v>
      </c>
      <c r="J380" s="1" t="s">
        <v>46</v>
      </c>
      <c r="K380" t="s">
        <v>650</v>
      </c>
      <c r="M380" s="1" t="s">
        <v>58</v>
      </c>
      <c r="N380" s="1">
        <v>0</v>
      </c>
      <c r="O380" s="1" t="s">
        <v>105</v>
      </c>
      <c r="P380" s="11" t="s">
        <v>813</v>
      </c>
      <c r="R380" s="1">
        <v>4</v>
      </c>
      <c r="T380" s="1" t="s">
        <v>646</v>
      </c>
      <c r="U380" s="11" t="s">
        <v>814</v>
      </c>
      <c r="V380" s="1" t="s">
        <v>41</v>
      </c>
      <c r="W380" s="1" t="s">
        <v>49</v>
      </c>
      <c r="X380" s="13" t="str">
        <f t="shared" si="40"/>
        <v>1833.04</v>
      </c>
      <c r="Y380" s="2">
        <f t="shared" ca="1" si="35"/>
        <v>196</v>
      </c>
      <c r="Z380" s="14">
        <v>1</v>
      </c>
      <c r="AA380" s="1" t="str">
        <f t="shared" ca="1" si="36"/>
        <v>VENCIDO</v>
      </c>
      <c r="AB380" s="1" t="str">
        <f t="shared" si="37"/>
        <v>C-14</v>
      </c>
      <c r="AC380" s="2" t="str">
        <f t="shared" si="41"/>
        <v xml:space="preserve"> CLEITON </v>
      </c>
      <c r="AD380" s="2">
        <f t="shared" si="38"/>
        <v>15</v>
      </c>
      <c r="AE380" s="2">
        <f t="shared" ca="1" si="39"/>
        <v>-272.27048460648075</v>
      </c>
      <c r="AF380" s="15"/>
    </row>
    <row r="381" spans="1:32" hidden="1">
      <c r="A381" s="1">
        <v>8640211</v>
      </c>
      <c r="B381" s="1" t="s">
        <v>653</v>
      </c>
      <c r="C381" t="s">
        <v>752</v>
      </c>
      <c r="E381" s="2">
        <v>1814031400030</v>
      </c>
      <c r="F381" s="1" t="s">
        <v>647</v>
      </c>
      <c r="G381" s="1" t="s">
        <v>53</v>
      </c>
      <c r="H381" s="1" t="s">
        <v>719</v>
      </c>
      <c r="I381" s="1" t="s">
        <v>188</v>
      </c>
      <c r="J381" s="1" t="s">
        <v>46</v>
      </c>
      <c r="K381" t="s">
        <v>650</v>
      </c>
      <c r="M381" s="1" t="s">
        <v>58</v>
      </c>
      <c r="N381" s="1">
        <v>0</v>
      </c>
      <c r="O381" s="1" t="s">
        <v>105</v>
      </c>
      <c r="P381" s="11" t="s">
        <v>813</v>
      </c>
      <c r="R381" s="1">
        <v>4</v>
      </c>
      <c r="T381" s="1" t="s">
        <v>646</v>
      </c>
      <c r="U381" s="11" t="s">
        <v>814</v>
      </c>
      <c r="V381" s="1" t="s">
        <v>41</v>
      </c>
      <c r="W381" s="1" t="s">
        <v>49</v>
      </c>
      <c r="X381" s="13" t="str">
        <f t="shared" si="40"/>
        <v>1814.03</v>
      </c>
      <c r="Y381" s="2">
        <f t="shared" ca="1" si="35"/>
        <v>196</v>
      </c>
      <c r="Z381" s="14">
        <v>1</v>
      </c>
      <c r="AA381" s="1" t="str">
        <f t="shared" ca="1" si="36"/>
        <v>VENCIDO</v>
      </c>
      <c r="AB381" s="1" t="str">
        <f t="shared" si="37"/>
        <v>C-14</v>
      </c>
      <c r="AC381" s="2" t="str">
        <f t="shared" si="41"/>
        <v xml:space="preserve"> CLEITON </v>
      </c>
      <c r="AD381" s="2">
        <f t="shared" si="38"/>
        <v>15</v>
      </c>
      <c r="AE381" s="2">
        <f t="shared" ca="1" si="39"/>
        <v>-272.27048460648075</v>
      </c>
      <c r="AF381" s="15"/>
    </row>
    <row r="382" spans="1:32" hidden="1">
      <c r="A382" s="1">
        <v>8640115</v>
      </c>
      <c r="B382" s="1" t="s">
        <v>653</v>
      </c>
      <c r="C382" t="s">
        <v>752</v>
      </c>
      <c r="E382" s="2">
        <v>1120011400030</v>
      </c>
      <c r="F382" s="1" t="s">
        <v>647</v>
      </c>
      <c r="G382" s="1" t="s">
        <v>53</v>
      </c>
      <c r="H382" s="1" t="s">
        <v>648</v>
      </c>
      <c r="I382" s="1" t="s">
        <v>649</v>
      </c>
      <c r="J382" s="1" t="s">
        <v>164</v>
      </c>
      <c r="K382" t="s">
        <v>650</v>
      </c>
      <c r="M382" s="1" t="s">
        <v>58</v>
      </c>
      <c r="N382" s="1">
        <v>0</v>
      </c>
      <c r="O382" s="1" t="s">
        <v>105</v>
      </c>
      <c r="P382" s="11" t="s">
        <v>815</v>
      </c>
      <c r="R382" s="1">
        <v>4</v>
      </c>
      <c r="T382" s="1" t="s">
        <v>646</v>
      </c>
      <c r="U382" s="11" t="s">
        <v>816</v>
      </c>
      <c r="V382" s="1" t="s">
        <v>41</v>
      </c>
      <c r="W382" s="1" t="s">
        <v>49</v>
      </c>
      <c r="X382" s="13" t="str">
        <f t="shared" si="40"/>
        <v>1120.01</v>
      </c>
      <c r="Y382" s="2">
        <f t="shared" ca="1" si="35"/>
        <v>196</v>
      </c>
      <c r="Z382" s="14">
        <v>1</v>
      </c>
      <c r="AA382" s="1" t="str">
        <f t="shared" ca="1" si="36"/>
        <v>VENCIDO</v>
      </c>
      <c r="AB382" s="1" t="str">
        <f t="shared" si="37"/>
        <v>C-14</v>
      </c>
      <c r="AC382" s="2" t="str">
        <f t="shared" si="41"/>
        <v xml:space="preserve"> ROSEMERE </v>
      </c>
      <c r="AD382" s="2">
        <f t="shared" si="38"/>
        <v>15</v>
      </c>
      <c r="AE382" s="2">
        <f t="shared" ca="1" si="39"/>
        <v>-272.27073923611169</v>
      </c>
      <c r="AF382" s="15"/>
    </row>
    <row r="383" spans="1:32" hidden="1">
      <c r="A383" s="1">
        <v>8640085</v>
      </c>
      <c r="B383" s="1" t="s">
        <v>653</v>
      </c>
      <c r="C383" t="s">
        <v>752</v>
      </c>
      <c r="E383" s="2">
        <v>821071400030</v>
      </c>
      <c r="F383" s="1" t="s">
        <v>647</v>
      </c>
      <c r="G383" s="1" t="s">
        <v>53</v>
      </c>
      <c r="H383" s="1" t="s">
        <v>817</v>
      </c>
      <c r="I383" s="1" t="s">
        <v>818</v>
      </c>
      <c r="J383" s="1" t="s">
        <v>46</v>
      </c>
      <c r="K383" t="s">
        <v>650</v>
      </c>
      <c r="M383" s="1" t="s">
        <v>58</v>
      </c>
      <c r="N383" s="1">
        <v>0</v>
      </c>
      <c r="O383" s="1" t="s">
        <v>105</v>
      </c>
      <c r="P383" s="11" t="s">
        <v>819</v>
      </c>
      <c r="R383" s="1">
        <v>4</v>
      </c>
      <c r="T383" s="1" t="s">
        <v>646</v>
      </c>
      <c r="U383" s="11" t="s">
        <v>820</v>
      </c>
      <c r="V383" s="1" t="s">
        <v>41</v>
      </c>
      <c r="W383" s="1" t="s">
        <v>49</v>
      </c>
      <c r="X383" s="13" t="str">
        <f t="shared" si="40"/>
        <v>0821.07</v>
      </c>
      <c r="Y383" s="2">
        <f t="shared" ca="1" si="35"/>
        <v>196</v>
      </c>
      <c r="Z383" s="14">
        <v>1</v>
      </c>
      <c r="AA383" s="1" t="str">
        <f t="shared" ca="1" si="36"/>
        <v>VENCIDO</v>
      </c>
      <c r="AB383" s="1" t="str">
        <f t="shared" si="37"/>
        <v>C-14</v>
      </c>
      <c r="AC383" s="2" t="str">
        <f t="shared" si="41"/>
        <v xml:space="preserve"> CLEITON </v>
      </c>
      <c r="AD383" s="2">
        <f t="shared" si="38"/>
        <v>15</v>
      </c>
      <c r="AE383" s="2">
        <f t="shared" ca="1" si="39"/>
        <v>-272.27078553240426</v>
      </c>
      <c r="AF383" s="15"/>
    </row>
    <row r="384" spans="1:32" hidden="1">
      <c r="A384" s="1">
        <v>8640000</v>
      </c>
      <c r="B384" s="1" t="s">
        <v>653</v>
      </c>
      <c r="C384" t="s">
        <v>752</v>
      </c>
      <c r="E384" s="2">
        <v>325091400030</v>
      </c>
      <c r="F384" s="1" t="s">
        <v>647</v>
      </c>
      <c r="G384" s="1" t="s">
        <v>53</v>
      </c>
      <c r="H384" s="1" t="s">
        <v>821</v>
      </c>
      <c r="I384" s="1" t="s">
        <v>822</v>
      </c>
      <c r="J384" s="1" t="s">
        <v>46</v>
      </c>
      <c r="K384" t="s">
        <v>650</v>
      </c>
      <c r="M384" s="1" t="s">
        <v>58</v>
      </c>
      <c r="N384" s="1">
        <v>0</v>
      </c>
      <c r="O384" s="1" t="s">
        <v>105</v>
      </c>
      <c r="P384" s="11" t="s">
        <v>823</v>
      </c>
      <c r="R384" s="1">
        <v>4</v>
      </c>
      <c r="T384" s="1" t="s">
        <v>646</v>
      </c>
      <c r="U384" s="11" t="s">
        <v>824</v>
      </c>
      <c r="V384" s="1" t="s">
        <v>41</v>
      </c>
      <c r="W384" s="1" t="s">
        <v>49</v>
      </c>
      <c r="X384" s="13" t="str">
        <f t="shared" si="40"/>
        <v>0325.09</v>
      </c>
      <c r="Y384" s="2">
        <f t="shared" ca="1" si="35"/>
        <v>196</v>
      </c>
      <c r="Z384" s="14">
        <v>1</v>
      </c>
      <c r="AA384" s="1" t="str">
        <f t="shared" ca="1" si="36"/>
        <v>VENCIDO</v>
      </c>
      <c r="AB384" s="1" t="str">
        <f t="shared" si="37"/>
        <v>C-14</v>
      </c>
      <c r="AC384" s="2" t="str">
        <f t="shared" si="41"/>
        <v xml:space="preserve"> CLEITON </v>
      </c>
      <c r="AD384" s="2">
        <f t="shared" si="38"/>
        <v>15</v>
      </c>
      <c r="AE384" s="2">
        <f t="shared" ca="1" si="39"/>
        <v>-272.27113275462762</v>
      </c>
      <c r="AF384" s="15"/>
    </row>
    <row r="385" spans="1:32" hidden="1">
      <c r="A385" s="1">
        <v>8639902</v>
      </c>
      <c r="B385" s="1" t="s">
        <v>653</v>
      </c>
      <c r="C385" t="s">
        <v>752</v>
      </c>
      <c r="E385" s="2">
        <v>69161400030</v>
      </c>
      <c r="F385" s="1" t="s">
        <v>647</v>
      </c>
      <c r="G385" s="1" t="s">
        <v>53</v>
      </c>
      <c r="H385" s="1" t="s">
        <v>234</v>
      </c>
      <c r="I385" s="1" t="s">
        <v>235</v>
      </c>
      <c r="J385" s="1" t="s">
        <v>33</v>
      </c>
      <c r="K385" t="s">
        <v>650</v>
      </c>
      <c r="M385" s="1" t="s">
        <v>58</v>
      </c>
      <c r="N385" s="1">
        <v>0</v>
      </c>
      <c r="O385" s="1" t="s">
        <v>105</v>
      </c>
      <c r="P385" s="11" t="s">
        <v>825</v>
      </c>
      <c r="R385" s="1">
        <v>4</v>
      </c>
      <c r="T385" s="1" t="s">
        <v>646</v>
      </c>
      <c r="U385" s="11" t="s">
        <v>826</v>
      </c>
      <c r="V385" s="1" t="s">
        <v>41</v>
      </c>
      <c r="W385" s="1" t="s">
        <v>42</v>
      </c>
      <c r="X385" s="13" t="str">
        <f t="shared" si="40"/>
        <v>0069.16</v>
      </c>
      <c r="Y385" s="2">
        <f t="shared" ca="1" si="35"/>
        <v>196</v>
      </c>
      <c r="Z385" s="14">
        <v>1</v>
      </c>
      <c r="AA385" s="1" t="str">
        <f t="shared" ca="1" si="36"/>
        <v>VENCIDO</v>
      </c>
      <c r="AB385" s="1" t="str">
        <f t="shared" si="37"/>
        <v>C-14</v>
      </c>
      <c r="AC385" s="2" t="str">
        <f t="shared" si="41"/>
        <v xml:space="preserve"> ROSEMERE </v>
      </c>
      <c r="AD385" s="2">
        <f t="shared" si="38"/>
        <v>15</v>
      </c>
      <c r="AE385" s="2">
        <f t="shared" ca="1" si="39"/>
        <v>-272.27144525462791</v>
      </c>
      <c r="AF385" s="15"/>
    </row>
    <row r="386" spans="1:32" hidden="1">
      <c r="A386" s="1">
        <v>8639870</v>
      </c>
      <c r="B386" s="1" t="s">
        <v>653</v>
      </c>
      <c r="C386" t="s">
        <v>752</v>
      </c>
      <c r="E386" s="2">
        <v>7651400030</v>
      </c>
      <c r="F386" s="1" t="s">
        <v>647</v>
      </c>
      <c r="G386" s="1" t="s">
        <v>53</v>
      </c>
      <c r="H386" s="1" t="s">
        <v>827</v>
      </c>
      <c r="I386" s="1" t="s">
        <v>828</v>
      </c>
      <c r="J386" s="1" t="s">
        <v>46</v>
      </c>
      <c r="K386" t="s">
        <v>650</v>
      </c>
      <c r="M386" s="1" t="s">
        <v>58</v>
      </c>
      <c r="N386" s="1">
        <v>0</v>
      </c>
      <c r="O386" s="1" t="s">
        <v>105</v>
      </c>
      <c r="P386" s="11" t="s">
        <v>829</v>
      </c>
      <c r="R386" s="1">
        <v>4</v>
      </c>
      <c r="T386" s="1" t="s">
        <v>646</v>
      </c>
      <c r="U386" s="11" t="s">
        <v>830</v>
      </c>
      <c r="V386" s="1" t="s">
        <v>41</v>
      </c>
      <c r="W386" s="1" t="s">
        <v>49</v>
      </c>
      <c r="X386" s="13" t="str">
        <f t="shared" si="40"/>
        <v>0007.65</v>
      </c>
      <c r="Y386" s="2">
        <f t="shared" ref="Y386:Y449" ca="1" si="42">NETWORKDAYS(P386,$Y$1)</f>
        <v>196</v>
      </c>
      <c r="Z386" s="14">
        <v>1</v>
      </c>
      <c r="AA386" s="1" t="str">
        <f t="shared" ref="AA386:AA449" ca="1" si="43">IF(AE386=0,"HOJE",IF(AE386&gt;0,"A VENCER",IF(AE386&lt;0,"VENCIDO")))</f>
        <v>VENCIDO</v>
      </c>
      <c r="AB386" s="1" t="str">
        <f t="shared" ref="AB386:AB449" si="44">IF(F386="GRPE-000001","C-14",IF(F386="GRPE-000002","C-14",IF(F386="GRPE-000003","C-14",IF(F386="GRPE-000004","SL-On",IF(F386="GRPE-000038","C-14",IF(F386="GRPE-900022","Dosa",IF(F386="GRPE-000029","Dosa",IF(F386="ATOS-000222","Dose","TAAe+"))))))))</f>
        <v>C-14</v>
      </c>
      <c r="AC386" s="2" t="str">
        <f t="shared" si="41"/>
        <v xml:space="preserve"> CLEITON </v>
      </c>
      <c r="AD386" s="2">
        <f t="shared" ref="AD386:AD449" si="45">IF(F386="GRPE-000001",5,IF(F386="GRPE-000002",5,IF(F386="GRPE-000003",15,IF(F386="GRPE-000004",1,IF(F386="GRPE-000038",5,IF(F386="GRPE-900022",5,IF(F386="GRPE-000029",5,IF(F386="ATOS-000222",5,8))))))))</f>
        <v>15</v>
      </c>
      <c r="AE386" s="2">
        <f t="shared" ref="AE386:AE449" ca="1" si="46">IF(U386=$AE$1,"",U386-$AE$1)</f>
        <v>-272.27149155092775</v>
      </c>
      <c r="AF386" s="15"/>
    </row>
    <row r="387" spans="1:32" hidden="1">
      <c r="A387" s="1">
        <v>8639844</v>
      </c>
      <c r="B387" s="1" t="s">
        <v>653</v>
      </c>
      <c r="C387" t="s">
        <v>752</v>
      </c>
      <c r="E387" s="2">
        <v>8573001400030</v>
      </c>
      <c r="F387" s="1" t="s">
        <v>647</v>
      </c>
      <c r="G387" s="1" t="s">
        <v>53</v>
      </c>
      <c r="H387" s="1" t="s">
        <v>657</v>
      </c>
      <c r="I387" s="1" t="s">
        <v>658</v>
      </c>
      <c r="J387" s="1" t="s">
        <v>33</v>
      </c>
      <c r="K387" t="s">
        <v>650</v>
      </c>
      <c r="M387" s="1" t="s">
        <v>58</v>
      </c>
      <c r="N387" s="1">
        <v>0</v>
      </c>
      <c r="O387" s="1" t="s">
        <v>105</v>
      </c>
      <c r="P387" s="11" t="s">
        <v>831</v>
      </c>
      <c r="R387" s="1">
        <v>4</v>
      </c>
      <c r="T387" s="1" t="s">
        <v>646</v>
      </c>
      <c r="U387" s="11" t="s">
        <v>832</v>
      </c>
      <c r="V387" s="1" t="s">
        <v>41</v>
      </c>
      <c r="W387" s="1" t="s">
        <v>49</v>
      </c>
      <c r="X387" s="13" t="str">
        <f t="shared" ref="X387:X450" si="47">IF(RIGHT(H387,2)&lt;&gt;"00",H387,"")</f>
        <v/>
      </c>
      <c r="Y387" s="2">
        <f t="shared" ca="1" si="42"/>
        <v>196</v>
      </c>
      <c r="Z387" s="14">
        <v>1</v>
      </c>
      <c r="AA387" s="1" t="str">
        <f t="shared" ca="1" si="43"/>
        <v>VENCIDO</v>
      </c>
      <c r="AB387" s="1" t="str">
        <f t="shared" si="44"/>
        <v>C-14</v>
      </c>
      <c r="AC387" s="2" t="str">
        <f t="shared" ref="AC387:AC450" si="48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 xml:space="preserve"> ROSEMERE </v>
      </c>
      <c r="AD387" s="2">
        <f t="shared" si="45"/>
        <v>15</v>
      </c>
      <c r="AE387" s="2">
        <f t="shared" ca="1" si="46"/>
        <v>-272.27169988425885</v>
      </c>
      <c r="AF387" s="15"/>
    </row>
    <row r="388" spans="1:32" hidden="1">
      <c r="A388" s="1">
        <v>8639813</v>
      </c>
      <c r="B388" s="1" t="s">
        <v>653</v>
      </c>
      <c r="C388" t="s">
        <v>752</v>
      </c>
      <c r="E388" s="2">
        <v>8973001400030</v>
      </c>
      <c r="F388" s="1" t="s">
        <v>647</v>
      </c>
      <c r="G388" s="1" t="s">
        <v>53</v>
      </c>
      <c r="H388" s="1" t="s">
        <v>661</v>
      </c>
      <c r="I388" s="1" t="s">
        <v>662</v>
      </c>
      <c r="J388" s="1" t="s">
        <v>46</v>
      </c>
      <c r="K388" t="s">
        <v>650</v>
      </c>
      <c r="M388" s="1" t="s">
        <v>58</v>
      </c>
      <c r="N388" s="1">
        <v>0</v>
      </c>
      <c r="O388" s="1" t="s">
        <v>105</v>
      </c>
      <c r="P388" s="11" t="s">
        <v>833</v>
      </c>
      <c r="R388" s="1">
        <v>4</v>
      </c>
      <c r="T388" s="1" t="s">
        <v>646</v>
      </c>
      <c r="U388" s="11" t="s">
        <v>834</v>
      </c>
      <c r="V388" s="1" t="s">
        <v>41</v>
      </c>
      <c r="W388" s="1" t="s">
        <v>49</v>
      </c>
      <c r="X388" s="13" t="str">
        <f t="shared" si="47"/>
        <v/>
      </c>
      <c r="Y388" s="2">
        <f t="shared" ca="1" si="42"/>
        <v>196</v>
      </c>
      <c r="Z388" s="14">
        <v>1</v>
      </c>
      <c r="AA388" s="1" t="str">
        <f t="shared" ca="1" si="43"/>
        <v>VENCIDO</v>
      </c>
      <c r="AB388" s="1" t="str">
        <f t="shared" si="44"/>
        <v>C-14</v>
      </c>
      <c r="AC388" s="2" t="str">
        <f t="shared" si="48"/>
        <v xml:space="preserve"> CLEITON </v>
      </c>
      <c r="AD388" s="2">
        <f t="shared" si="45"/>
        <v>15</v>
      </c>
      <c r="AE388" s="2">
        <f t="shared" ca="1" si="46"/>
        <v>-272.27173460648191</v>
      </c>
      <c r="AF388" s="15"/>
    </row>
    <row r="389" spans="1:32" hidden="1">
      <c r="A389" s="1">
        <v>8639796</v>
      </c>
      <c r="B389" s="1" t="s">
        <v>653</v>
      </c>
      <c r="C389" t="s">
        <v>752</v>
      </c>
      <c r="E389" s="2">
        <v>8633001400030</v>
      </c>
      <c r="F389" s="1" t="s">
        <v>647</v>
      </c>
      <c r="G389" s="1" t="s">
        <v>53</v>
      </c>
      <c r="H389" s="1" t="s">
        <v>835</v>
      </c>
      <c r="I389" s="1" t="s">
        <v>836</v>
      </c>
      <c r="J389" s="1" t="s">
        <v>46</v>
      </c>
      <c r="K389" t="s">
        <v>650</v>
      </c>
      <c r="M389" s="1" t="s">
        <v>58</v>
      </c>
      <c r="N389" s="1">
        <v>0</v>
      </c>
      <c r="O389" s="1" t="s">
        <v>105</v>
      </c>
      <c r="P389" s="11" t="s">
        <v>837</v>
      </c>
      <c r="R389" s="1">
        <v>4</v>
      </c>
      <c r="T389" s="1" t="s">
        <v>646</v>
      </c>
      <c r="U389" s="11" t="s">
        <v>838</v>
      </c>
      <c r="V389" s="1" t="s">
        <v>41</v>
      </c>
      <c r="W389" s="1" t="s">
        <v>49</v>
      </c>
      <c r="X389" s="13" t="str">
        <f t="shared" si="47"/>
        <v/>
      </c>
      <c r="Y389" s="2">
        <f t="shared" ca="1" si="42"/>
        <v>196</v>
      </c>
      <c r="Z389" s="14">
        <v>1</v>
      </c>
      <c r="AA389" s="1" t="str">
        <f t="shared" ca="1" si="43"/>
        <v>VENCIDO</v>
      </c>
      <c r="AB389" s="1" t="str">
        <f t="shared" si="44"/>
        <v>C-14</v>
      </c>
      <c r="AC389" s="2" t="str">
        <f t="shared" si="48"/>
        <v xml:space="preserve"> CLEITON </v>
      </c>
      <c r="AD389" s="2">
        <f t="shared" si="45"/>
        <v>15</v>
      </c>
      <c r="AE389" s="2">
        <f t="shared" ca="1" si="46"/>
        <v>-272.2717577546282</v>
      </c>
      <c r="AF389" s="15"/>
    </row>
    <row r="390" spans="1:32" hidden="1">
      <c r="A390" s="1">
        <v>8639265</v>
      </c>
      <c r="B390" s="1" t="s">
        <v>653</v>
      </c>
      <c r="C390" t="s">
        <v>752</v>
      </c>
      <c r="E390" s="2">
        <v>5898001400030</v>
      </c>
      <c r="F390" s="1" t="s">
        <v>647</v>
      </c>
      <c r="G390" s="1" t="s">
        <v>53</v>
      </c>
      <c r="H390" s="1" t="s">
        <v>365</v>
      </c>
      <c r="I390" s="1" t="s">
        <v>366</v>
      </c>
      <c r="J390" s="1" t="s">
        <v>164</v>
      </c>
      <c r="K390" t="s">
        <v>650</v>
      </c>
      <c r="M390" s="1" t="s">
        <v>58</v>
      </c>
      <c r="N390" s="1">
        <v>0</v>
      </c>
      <c r="O390" s="1" t="s">
        <v>105</v>
      </c>
      <c r="P390" s="12">
        <v>44713.403090277781</v>
      </c>
      <c r="R390" s="1">
        <v>4</v>
      </c>
      <c r="T390" s="1" t="s">
        <v>646</v>
      </c>
      <c r="U390" s="12">
        <v>44714.403090277781</v>
      </c>
      <c r="V390" s="1" t="s">
        <v>41</v>
      </c>
      <c r="W390" s="1" t="s">
        <v>49</v>
      </c>
      <c r="X390" s="13" t="str">
        <f t="shared" si="47"/>
        <v/>
      </c>
      <c r="Y390" s="2">
        <f t="shared" ca="1" si="42"/>
        <v>196</v>
      </c>
      <c r="Z390" s="14">
        <v>1</v>
      </c>
      <c r="AA390" s="1" t="str">
        <f t="shared" ca="1" si="43"/>
        <v>VENCIDO</v>
      </c>
      <c r="AB390" s="1" t="str">
        <f t="shared" si="44"/>
        <v>C-14</v>
      </c>
      <c r="AC390" s="2" t="str">
        <f t="shared" si="48"/>
        <v xml:space="preserve"> ROSEMERE </v>
      </c>
      <c r="AD390" s="2">
        <f t="shared" si="45"/>
        <v>15</v>
      </c>
      <c r="AE390" s="2">
        <f t="shared" ca="1" si="46"/>
        <v>-272.2731813657374</v>
      </c>
      <c r="AF390" s="15"/>
    </row>
    <row r="391" spans="1:32" hidden="1">
      <c r="A391" s="1">
        <v>8639240</v>
      </c>
      <c r="B391" s="1" t="s">
        <v>653</v>
      </c>
      <c r="C391" t="s">
        <v>752</v>
      </c>
      <c r="E391" s="2">
        <v>5816001400030</v>
      </c>
      <c r="F391" s="1" t="s">
        <v>647</v>
      </c>
      <c r="G391" s="1" t="s">
        <v>53</v>
      </c>
      <c r="H391" s="1" t="s">
        <v>412</v>
      </c>
      <c r="I391" s="1" t="s">
        <v>413</v>
      </c>
      <c r="J391" s="1" t="s">
        <v>46</v>
      </c>
      <c r="K391" t="s">
        <v>650</v>
      </c>
      <c r="M391" s="1" t="s">
        <v>58</v>
      </c>
      <c r="N391" s="1">
        <v>0</v>
      </c>
      <c r="O391" s="1" t="s">
        <v>105</v>
      </c>
      <c r="P391" s="11" t="s">
        <v>839</v>
      </c>
      <c r="R391" s="1">
        <v>4</v>
      </c>
      <c r="T391" s="1" t="s">
        <v>646</v>
      </c>
      <c r="U391" s="11" t="s">
        <v>840</v>
      </c>
      <c r="V391" s="1" t="s">
        <v>41</v>
      </c>
      <c r="W391" s="1" t="s">
        <v>49</v>
      </c>
      <c r="X391" s="13" t="str">
        <f t="shared" si="47"/>
        <v/>
      </c>
      <c r="Y391" s="2">
        <f t="shared" ca="1" si="42"/>
        <v>196</v>
      </c>
      <c r="Z391" s="14">
        <v>1</v>
      </c>
      <c r="AA391" s="1" t="str">
        <f t="shared" ca="1" si="43"/>
        <v>VENCIDO</v>
      </c>
      <c r="AB391" s="1" t="str">
        <f t="shared" si="44"/>
        <v>C-14</v>
      </c>
      <c r="AC391" s="2" t="str">
        <f t="shared" si="48"/>
        <v xml:space="preserve"> CLEITON </v>
      </c>
      <c r="AD391" s="2">
        <f t="shared" si="45"/>
        <v>15</v>
      </c>
      <c r="AE391" s="2">
        <f t="shared" ca="1" si="46"/>
        <v>-272.27321608796046</v>
      </c>
      <c r="AF391" s="15"/>
    </row>
    <row r="392" spans="1:32" hidden="1">
      <c r="A392" s="1">
        <v>8639199</v>
      </c>
      <c r="B392" s="1" t="s">
        <v>653</v>
      </c>
      <c r="C392" t="s">
        <v>752</v>
      </c>
      <c r="E392" s="2">
        <v>5755001400030</v>
      </c>
      <c r="F392" s="1" t="s">
        <v>647</v>
      </c>
      <c r="G392" s="1" t="s">
        <v>53</v>
      </c>
      <c r="H392" s="1" t="s">
        <v>841</v>
      </c>
      <c r="I392" s="1" t="s">
        <v>842</v>
      </c>
      <c r="J392" s="1" t="s">
        <v>46</v>
      </c>
      <c r="K392" t="s">
        <v>650</v>
      </c>
      <c r="M392" s="1" t="s">
        <v>58</v>
      </c>
      <c r="N392" s="1">
        <v>0</v>
      </c>
      <c r="O392" s="1" t="s">
        <v>105</v>
      </c>
      <c r="P392" s="11" t="s">
        <v>843</v>
      </c>
      <c r="R392" s="1">
        <v>4</v>
      </c>
      <c r="T392" s="1" t="s">
        <v>646</v>
      </c>
      <c r="U392" s="11" t="s">
        <v>844</v>
      </c>
      <c r="V392" s="1" t="s">
        <v>41</v>
      </c>
      <c r="W392" s="1" t="s">
        <v>49</v>
      </c>
      <c r="X392" s="13" t="str">
        <f t="shared" si="47"/>
        <v/>
      </c>
      <c r="Y392" s="2">
        <f t="shared" ca="1" si="42"/>
        <v>196</v>
      </c>
      <c r="Z392" s="14">
        <v>1</v>
      </c>
      <c r="AA392" s="1" t="str">
        <f t="shared" ca="1" si="43"/>
        <v>VENCIDO</v>
      </c>
      <c r="AB392" s="1" t="str">
        <f t="shared" si="44"/>
        <v>C-14</v>
      </c>
      <c r="AC392" s="2" t="str">
        <f t="shared" si="48"/>
        <v xml:space="preserve"> CLEITON </v>
      </c>
      <c r="AD392" s="2">
        <f t="shared" si="45"/>
        <v>15</v>
      </c>
      <c r="AE392" s="2">
        <f t="shared" ca="1" si="46"/>
        <v>-272.27338969907578</v>
      </c>
      <c r="AF392" s="15"/>
    </row>
    <row r="393" spans="1:32" hidden="1">
      <c r="A393" s="1">
        <v>8639195</v>
      </c>
      <c r="B393" s="1" t="s">
        <v>653</v>
      </c>
      <c r="C393" t="s">
        <v>752</v>
      </c>
      <c r="E393" s="2">
        <v>5742001400030</v>
      </c>
      <c r="F393" s="1" t="s">
        <v>647</v>
      </c>
      <c r="G393" s="1" t="s">
        <v>53</v>
      </c>
      <c r="H393" s="1" t="s">
        <v>430</v>
      </c>
      <c r="I393" s="1" t="s">
        <v>431</v>
      </c>
      <c r="J393" s="1" t="s">
        <v>79</v>
      </c>
      <c r="K393" t="s">
        <v>650</v>
      </c>
      <c r="M393" s="1" t="s">
        <v>58</v>
      </c>
      <c r="N393" s="1">
        <v>0</v>
      </c>
      <c r="O393" s="1" t="s">
        <v>105</v>
      </c>
      <c r="P393" s="11" t="s">
        <v>843</v>
      </c>
      <c r="R393" s="1">
        <v>4</v>
      </c>
      <c r="T393" s="1" t="s">
        <v>646</v>
      </c>
      <c r="U393" s="11" t="s">
        <v>844</v>
      </c>
      <c r="V393" s="1" t="s">
        <v>41</v>
      </c>
      <c r="W393" s="1" t="s">
        <v>49</v>
      </c>
      <c r="X393" s="13" t="str">
        <f t="shared" si="47"/>
        <v/>
      </c>
      <c r="Y393" s="2">
        <f t="shared" ca="1" si="42"/>
        <v>196</v>
      </c>
      <c r="Z393" s="14">
        <v>1</v>
      </c>
      <c r="AA393" s="1" t="str">
        <f t="shared" ca="1" si="43"/>
        <v>VENCIDO</v>
      </c>
      <c r="AB393" s="1" t="str">
        <f t="shared" si="44"/>
        <v>C-14</v>
      </c>
      <c r="AC393" s="2" t="str">
        <f t="shared" si="48"/>
        <v xml:space="preserve"> ROSEMERE </v>
      </c>
      <c r="AD393" s="2">
        <f t="shared" si="45"/>
        <v>15</v>
      </c>
      <c r="AE393" s="2">
        <f t="shared" ca="1" si="46"/>
        <v>-272.27338969907578</v>
      </c>
      <c r="AF393" s="15"/>
    </row>
    <row r="394" spans="1:32" hidden="1">
      <c r="A394" s="1">
        <v>8639194</v>
      </c>
      <c r="B394" s="1" t="s">
        <v>653</v>
      </c>
      <c r="C394" t="s">
        <v>752</v>
      </c>
      <c r="E394" s="2">
        <v>5740001400030</v>
      </c>
      <c r="F394" s="1" t="s">
        <v>647</v>
      </c>
      <c r="G394" s="1" t="s">
        <v>53</v>
      </c>
      <c r="H394" s="1" t="s">
        <v>626</v>
      </c>
      <c r="I394" s="1" t="s">
        <v>627</v>
      </c>
      <c r="J394" s="1" t="s">
        <v>46</v>
      </c>
      <c r="K394" t="s">
        <v>650</v>
      </c>
      <c r="M394" s="1" t="s">
        <v>58</v>
      </c>
      <c r="N394" s="1">
        <v>0</v>
      </c>
      <c r="O394" s="1" t="s">
        <v>105</v>
      </c>
      <c r="P394" s="11" t="s">
        <v>845</v>
      </c>
      <c r="R394" s="1">
        <v>4</v>
      </c>
      <c r="T394" s="1" t="s">
        <v>646</v>
      </c>
      <c r="U394" s="11" t="s">
        <v>844</v>
      </c>
      <c r="V394" s="1" t="s">
        <v>41</v>
      </c>
      <c r="W394" s="1" t="s">
        <v>49</v>
      </c>
      <c r="X394" s="13" t="str">
        <f t="shared" si="47"/>
        <v/>
      </c>
      <c r="Y394" s="2">
        <f t="shared" ca="1" si="42"/>
        <v>196</v>
      </c>
      <c r="Z394" s="14">
        <v>1</v>
      </c>
      <c r="AA394" s="1" t="str">
        <f t="shared" ca="1" si="43"/>
        <v>VENCIDO</v>
      </c>
      <c r="AB394" s="1" t="str">
        <f t="shared" si="44"/>
        <v>C-14</v>
      </c>
      <c r="AC394" s="2" t="str">
        <f t="shared" si="48"/>
        <v xml:space="preserve"> CLEITON </v>
      </c>
      <c r="AD394" s="2">
        <f t="shared" si="45"/>
        <v>15</v>
      </c>
      <c r="AE394" s="2">
        <f t="shared" ca="1" si="46"/>
        <v>-272.27338969907578</v>
      </c>
      <c r="AF394" s="15"/>
    </row>
    <row r="395" spans="1:32" hidden="1">
      <c r="A395" s="1">
        <v>8639017</v>
      </c>
      <c r="B395" s="1" t="s">
        <v>653</v>
      </c>
      <c r="C395" t="s">
        <v>752</v>
      </c>
      <c r="E395" s="2">
        <v>4997001400030</v>
      </c>
      <c r="F395" s="1" t="s">
        <v>647</v>
      </c>
      <c r="G395" s="1" t="s">
        <v>53</v>
      </c>
      <c r="H395" s="1" t="s">
        <v>406</v>
      </c>
      <c r="I395" s="1" t="s">
        <v>407</v>
      </c>
      <c r="J395" s="1" t="s">
        <v>79</v>
      </c>
      <c r="K395" t="s">
        <v>650</v>
      </c>
      <c r="M395" s="1" t="s">
        <v>58</v>
      </c>
      <c r="N395" s="1">
        <v>0</v>
      </c>
      <c r="O395" s="1" t="s">
        <v>36</v>
      </c>
      <c r="P395" s="11" t="s">
        <v>846</v>
      </c>
      <c r="R395" s="1">
        <v>4</v>
      </c>
      <c r="T395" s="1" t="s">
        <v>646</v>
      </c>
      <c r="U395" s="11" t="s">
        <v>847</v>
      </c>
      <c r="V395" s="1" t="s">
        <v>41</v>
      </c>
      <c r="W395" s="1" t="s">
        <v>49</v>
      </c>
      <c r="X395" s="13" t="str">
        <f t="shared" si="47"/>
        <v/>
      </c>
      <c r="Y395" s="2">
        <f t="shared" ca="1" si="42"/>
        <v>196</v>
      </c>
      <c r="Z395" s="14">
        <v>1</v>
      </c>
      <c r="AA395" s="1" t="str">
        <f t="shared" ca="1" si="43"/>
        <v>VENCIDO</v>
      </c>
      <c r="AB395" s="1" t="str">
        <f t="shared" si="44"/>
        <v>C-14</v>
      </c>
      <c r="AC395" s="2" t="str">
        <f t="shared" si="48"/>
        <v xml:space="preserve"> ROSEMERE </v>
      </c>
      <c r="AD395" s="2">
        <f t="shared" si="45"/>
        <v>15</v>
      </c>
      <c r="AE395" s="2">
        <f t="shared" ca="1" si="46"/>
        <v>-272.27394525463023</v>
      </c>
      <c r="AF395" s="15"/>
    </row>
    <row r="396" spans="1:32" hidden="1">
      <c r="A396" s="1">
        <v>8638862</v>
      </c>
      <c r="B396" s="1" t="s">
        <v>653</v>
      </c>
      <c r="C396" t="s">
        <v>752</v>
      </c>
      <c r="E396" s="2">
        <v>4637001400030</v>
      </c>
      <c r="F396" s="1" t="s">
        <v>647</v>
      </c>
      <c r="G396" s="1" t="s">
        <v>53</v>
      </c>
      <c r="H396" s="1" t="s">
        <v>848</v>
      </c>
      <c r="I396" s="1" t="s">
        <v>849</v>
      </c>
      <c r="J396" s="1" t="s">
        <v>79</v>
      </c>
      <c r="K396" t="s">
        <v>650</v>
      </c>
      <c r="M396" s="1" t="s">
        <v>58</v>
      </c>
      <c r="N396" s="1">
        <v>0</v>
      </c>
      <c r="O396" s="1" t="s">
        <v>105</v>
      </c>
      <c r="P396" s="11" t="s">
        <v>850</v>
      </c>
      <c r="R396" s="1">
        <v>4</v>
      </c>
      <c r="T396" s="1" t="s">
        <v>646</v>
      </c>
      <c r="U396" s="11" t="s">
        <v>851</v>
      </c>
      <c r="V396" s="1" t="s">
        <v>41</v>
      </c>
      <c r="W396" s="1" t="s">
        <v>49</v>
      </c>
      <c r="X396" s="13" t="str">
        <f t="shared" si="47"/>
        <v/>
      </c>
      <c r="Y396" s="2">
        <f t="shared" ca="1" si="42"/>
        <v>196</v>
      </c>
      <c r="Z396" s="14">
        <v>1</v>
      </c>
      <c r="AA396" s="1" t="str">
        <f t="shared" ca="1" si="43"/>
        <v>VENCIDO</v>
      </c>
      <c r="AB396" s="1" t="str">
        <f t="shared" si="44"/>
        <v>C-14</v>
      </c>
      <c r="AC396" s="2" t="str">
        <f t="shared" si="48"/>
        <v xml:space="preserve"> ROSEMERE </v>
      </c>
      <c r="AD396" s="2">
        <f t="shared" si="45"/>
        <v>15</v>
      </c>
      <c r="AE396" s="2">
        <f t="shared" ca="1" si="46"/>
        <v>-272.27430405092309</v>
      </c>
      <c r="AF396" s="15"/>
    </row>
    <row r="397" spans="1:32" hidden="1">
      <c r="A397" s="1">
        <v>8638849</v>
      </c>
      <c r="B397" s="1" t="s">
        <v>653</v>
      </c>
      <c r="C397" t="s">
        <v>752</v>
      </c>
      <c r="E397" s="2">
        <v>4623001400030</v>
      </c>
      <c r="F397" s="1" t="s">
        <v>647</v>
      </c>
      <c r="G397" s="1" t="s">
        <v>53</v>
      </c>
      <c r="H397" s="1" t="s">
        <v>669</v>
      </c>
      <c r="I397" s="1" t="s">
        <v>670</v>
      </c>
      <c r="J397" s="1" t="s">
        <v>33</v>
      </c>
      <c r="K397" t="s">
        <v>650</v>
      </c>
      <c r="M397" s="1" t="s">
        <v>58</v>
      </c>
      <c r="N397" s="1">
        <v>0</v>
      </c>
      <c r="O397" s="1" t="s">
        <v>105</v>
      </c>
      <c r="P397" s="11" t="s">
        <v>852</v>
      </c>
      <c r="R397" s="1">
        <v>4</v>
      </c>
      <c r="T397" s="1" t="s">
        <v>646</v>
      </c>
      <c r="U397" s="11" t="s">
        <v>853</v>
      </c>
      <c r="V397" s="1" t="s">
        <v>41</v>
      </c>
      <c r="W397" s="1" t="s">
        <v>42</v>
      </c>
      <c r="X397" s="13" t="str">
        <f t="shared" si="47"/>
        <v/>
      </c>
      <c r="Y397" s="2">
        <f t="shared" ca="1" si="42"/>
        <v>196</v>
      </c>
      <c r="Z397" s="14">
        <v>1</v>
      </c>
      <c r="AA397" s="1" t="str">
        <f t="shared" ca="1" si="43"/>
        <v>VENCIDO</v>
      </c>
      <c r="AB397" s="1" t="str">
        <f t="shared" si="44"/>
        <v>C-14</v>
      </c>
      <c r="AC397" s="2" t="str">
        <f t="shared" si="48"/>
        <v xml:space="preserve"> ROSEMERE </v>
      </c>
      <c r="AD397" s="2">
        <f t="shared" si="45"/>
        <v>15</v>
      </c>
      <c r="AE397" s="2">
        <f t="shared" ca="1" si="46"/>
        <v>-272.27431562499987</v>
      </c>
      <c r="AF397" s="15"/>
    </row>
    <row r="398" spans="1:32" hidden="1">
      <c r="A398" s="1">
        <v>8638655</v>
      </c>
      <c r="B398" s="1" t="s">
        <v>653</v>
      </c>
      <c r="C398" t="s">
        <v>752</v>
      </c>
      <c r="E398" s="2">
        <v>4357001400030</v>
      </c>
      <c r="F398" s="1" t="s">
        <v>647</v>
      </c>
      <c r="G398" s="1" t="s">
        <v>53</v>
      </c>
      <c r="H398" s="1" t="s">
        <v>633</v>
      </c>
      <c r="I398" s="1" t="s">
        <v>634</v>
      </c>
      <c r="J398" s="1" t="s">
        <v>46</v>
      </c>
      <c r="K398" t="s">
        <v>650</v>
      </c>
      <c r="M398" s="1" t="s">
        <v>58</v>
      </c>
      <c r="N398" s="1">
        <v>0</v>
      </c>
      <c r="O398" s="1" t="s">
        <v>105</v>
      </c>
      <c r="P398" s="11" t="s">
        <v>854</v>
      </c>
      <c r="R398" s="1">
        <v>4</v>
      </c>
      <c r="T398" s="1" t="s">
        <v>646</v>
      </c>
      <c r="U398" s="11" t="s">
        <v>855</v>
      </c>
      <c r="V398" s="1" t="s">
        <v>41</v>
      </c>
      <c r="W398" s="1" t="s">
        <v>49</v>
      </c>
      <c r="X398" s="13" t="str">
        <f t="shared" si="47"/>
        <v/>
      </c>
      <c r="Y398" s="2">
        <f t="shared" ca="1" si="42"/>
        <v>196</v>
      </c>
      <c r="Z398" s="14">
        <v>1</v>
      </c>
      <c r="AA398" s="1" t="str">
        <f t="shared" ca="1" si="43"/>
        <v>VENCIDO</v>
      </c>
      <c r="AB398" s="1" t="str">
        <f t="shared" si="44"/>
        <v>C-14</v>
      </c>
      <c r="AC398" s="2" t="str">
        <f t="shared" si="48"/>
        <v xml:space="preserve"> CLEITON </v>
      </c>
      <c r="AD398" s="2">
        <f t="shared" si="45"/>
        <v>15</v>
      </c>
      <c r="AE398" s="2">
        <f t="shared" ca="1" si="46"/>
        <v>-272.27516053240834</v>
      </c>
      <c r="AF398" s="15"/>
    </row>
    <row r="399" spans="1:32" hidden="1">
      <c r="A399" s="1">
        <v>8638579</v>
      </c>
      <c r="B399" s="1" t="s">
        <v>653</v>
      </c>
      <c r="C399" t="s">
        <v>752</v>
      </c>
      <c r="E399" s="2">
        <v>4235001400030</v>
      </c>
      <c r="F399" s="1" t="s">
        <v>647</v>
      </c>
      <c r="G399" s="1" t="s">
        <v>53</v>
      </c>
      <c r="H399" s="1" t="s">
        <v>291</v>
      </c>
      <c r="I399" s="1" t="s">
        <v>292</v>
      </c>
      <c r="J399" s="1" t="s">
        <v>46</v>
      </c>
      <c r="K399" t="s">
        <v>650</v>
      </c>
      <c r="M399" s="1" t="s">
        <v>58</v>
      </c>
      <c r="N399" s="1">
        <v>0</v>
      </c>
      <c r="O399" s="1" t="s">
        <v>105</v>
      </c>
      <c r="P399" s="11" t="s">
        <v>856</v>
      </c>
      <c r="R399" s="1">
        <v>4</v>
      </c>
      <c r="T399" s="1" t="s">
        <v>646</v>
      </c>
      <c r="U399" s="11" t="s">
        <v>857</v>
      </c>
      <c r="V399" s="1" t="s">
        <v>41</v>
      </c>
      <c r="W399" s="1" t="s">
        <v>49</v>
      </c>
      <c r="X399" s="13" t="str">
        <f t="shared" si="47"/>
        <v/>
      </c>
      <c r="Y399" s="2">
        <f t="shared" ca="1" si="42"/>
        <v>196</v>
      </c>
      <c r="Z399" s="14">
        <v>1</v>
      </c>
      <c r="AA399" s="1" t="str">
        <f t="shared" ca="1" si="43"/>
        <v>VENCIDO</v>
      </c>
      <c r="AB399" s="1" t="str">
        <f t="shared" si="44"/>
        <v>C-14</v>
      </c>
      <c r="AC399" s="2" t="str">
        <f t="shared" si="48"/>
        <v xml:space="preserve"> CLEITON </v>
      </c>
      <c r="AD399" s="2">
        <f t="shared" si="45"/>
        <v>15</v>
      </c>
      <c r="AE399" s="2">
        <f t="shared" ca="1" si="46"/>
        <v>-272.27551932870119</v>
      </c>
      <c r="AF399" s="15"/>
    </row>
    <row r="400" spans="1:32" hidden="1">
      <c r="A400" s="1">
        <v>8638488</v>
      </c>
      <c r="B400" s="1" t="s">
        <v>653</v>
      </c>
      <c r="C400" t="s">
        <v>752</v>
      </c>
      <c r="E400" s="2">
        <v>4118001400030</v>
      </c>
      <c r="F400" s="1" t="s">
        <v>647</v>
      </c>
      <c r="G400" s="1" t="s">
        <v>53</v>
      </c>
      <c r="H400" s="1" t="s">
        <v>71</v>
      </c>
      <c r="I400" s="1" t="s">
        <v>72</v>
      </c>
      <c r="J400" s="1" t="s">
        <v>46</v>
      </c>
      <c r="K400" t="s">
        <v>650</v>
      </c>
      <c r="M400" s="1" t="s">
        <v>58</v>
      </c>
      <c r="N400" s="1">
        <v>0</v>
      </c>
      <c r="O400" s="1" t="s">
        <v>105</v>
      </c>
      <c r="P400" s="12">
        <v>44713.40047453704</v>
      </c>
      <c r="R400" s="1">
        <v>4</v>
      </c>
      <c r="T400" s="1" t="s">
        <v>646</v>
      </c>
      <c r="U400" s="12">
        <v>44714.40047453704</v>
      </c>
      <c r="V400" s="1" t="s">
        <v>41</v>
      </c>
      <c r="W400" s="1" t="s">
        <v>49</v>
      </c>
      <c r="X400" s="13" t="str">
        <f t="shared" si="47"/>
        <v/>
      </c>
      <c r="Y400" s="2">
        <f t="shared" ca="1" si="42"/>
        <v>196</v>
      </c>
      <c r="Z400" s="14">
        <v>1</v>
      </c>
      <c r="AA400" s="1" t="str">
        <f t="shared" ca="1" si="43"/>
        <v>VENCIDO</v>
      </c>
      <c r="AB400" s="1" t="str">
        <f t="shared" si="44"/>
        <v>C-14</v>
      </c>
      <c r="AC400" s="2" t="str">
        <f t="shared" si="48"/>
        <v xml:space="preserve"> CLEITON </v>
      </c>
      <c r="AD400" s="2">
        <f t="shared" si="45"/>
        <v>15</v>
      </c>
      <c r="AE400" s="2">
        <f t="shared" ca="1" si="46"/>
        <v>-272.27579710647842</v>
      </c>
      <c r="AF400" s="15"/>
    </row>
    <row r="401" spans="1:32" hidden="1">
      <c r="A401" s="1">
        <v>8638336</v>
      </c>
      <c r="B401" s="1" t="s">
        <v>653</v>
      </c>
      <c r="C401" t="s">
        <v>752</v>
      </c>
      <c r="E401" s="2">
        <v>3918001400030</v>
      </c>
      <c r="F401" s="1" t="s">
        <v>647</v>
      </c>
      <c r="G401" s="1" t="s">
        <v>53</v>
      </c>
      <c r="H401" s="179" t="s">
        <v>858</v>
      </c>
      <c r="I401" s="1" t="s">
        <v>859</v>
      </c>
      <c r="J401" s="1" t="s">
        <v>33</v>
      </c>
      <c r="K401" t="s">
        <v>650</v>
      </c>
      <c r="M401" s="1" t="s">
        <v>58</v>
      </c>
      <c r="N401" s="1">
        <v>0</v>
      </c>
      <c r="O401" s="1" t="s">
        <v>105</v>
      </c>
      <c r="P401" s="11" t="s">
        <v>860</v>
      </c>
      <c r="R401" s="1">
        <v>4</v>
      </c>
      <c r="T401" s="1" t="s">
        <v>646</v>
      </c>
      <c r="U401" s="11" t="s">
        <v>861</v>
      </c>
      <c r="V401" s="1" t="s">
        <v>41</v>
      </c>
      <c r="W401" s="1" t="s">
        <v>49</v>
      </c>
      <c r="X401" s="13" t="str">
        <f t="shared" si="47"/>
        <v/>
      </c>
      <c r="Y401" s="2">
        <f t="shared" ca="1" si="42"/>
        <v>196</v>
      </c>
      <c r="Z401" s="14">
        <v>1</v>
      </c>
      <c r="AA401" s="1" t="str">
        <f t="shared" ca="1" si="43"/>
        <v>VENCIDO</v>
      </c>
      <c r="AB401" s="1" t="str">
        <f t="shared" si="44"/>
        <v>C-14</v>
      </c>
      <c r="AC401" s="2" t="str">
        <f t="shared" si="48"/>
        <v xml:space="preserve"> ROSEMERE </v>
      </c>
      <c r="AD401" s="2">
        <f t="shared" si="45"/>
        <v>15</v>
      </c>
      <c r="AE401" s="2">
        <f t="shared" ca="1" si="46"/>
        <v>-272.27616747685533</v>
      </c>
      <c r="AF401" s="15"/>
    </row>
    <row r="402" spans="1:32" hidden="1">
      <c r="A402" s="1">
        <v>8638189</v>
      </c>
      <c r="B402" s="1" t="s">
        <v>653</v>
      </c>
      <c r="C402" t="s">
        <v>752</v>
      </c>
      <c r="E402" s="2">
        <v>3699001400030</v>
      </c>
      <c r="F402" s="1" t="s">
        <v>647</v>
      </c>
      <c r="G402" s="1" t="s">
        <v>53</v>
      </c>
      <c r="H402" s="1" t="s">
        <v>343</v>
      </c>
      <c r="I402" s="1" t="s">
        <v>344</v>
      </c>
      <c r="J402" s="1" t="s">
        <v>46</v>
      </c>
      <c r="K402" t="s">
        <v>650</v>
      </c>
      <c r="M402" s="1" t="s">
        <v>58</v>
      </c>
      <c r="N402" s="1">
        <v>0</v>
      </c>
      <c r="O402" s="1" t="s">
        <v>105</v>
      </c>
      <c r="P402" s="11" t="s">
        <v>862</v>
      </c>
      <c r="R402" s="1">
        <v>4</v>
      </c>
      <c r="T402" s="1" t="s">
        <v>646</v>
      </c>
      <c r="U402" s="11" t="s">
        <v>863</v>
      </c>
      <c r="V402" s="1" t="s">
        <v>41</v>
      </c>
      <c r="W402" s="1" t="s">
        <v>49</v>
      </c>
      <c r="X402" s="13" t="str">
        <f t="shared" si="47"/>
        <v/>
      </c>
      <c r="Y402" s="2">
        <f t="shared" ca="1" si="42"/>
        <v>196</v>
      </c>
      <c r="Z402" s="14">
        <v>1</v>
      </c>
      <c r="AA402" s="1" t="str">
        <f t="shared" ca="1" si="43"/>
        <v>VENCIDO</v>
      </c>
      <c r="AB402" s="1" t="str">
        <f t="shared" si="44"/>
        <v>C-14</v>
      </c>
      <c r="AC402" s="2" t="str">
        <f t="shared" si="48"/>
        <v xml:space="preserve"> CLEITON </v>
      </c>
      <c r="AD402" s="2">
        <f t="shared" si="45"/>
        <v>15</v>
      </c>
      <c r="AE402" s="2">
        <f t="shared" ca="1" si="46"/>
        <v>-272.27667673610995</v>
      </c>
      <c r="AF402" s="15"/>
    </row>
    <row r="403" spans="1:32" hidden="1">
      <c r="A403" s="1">
        <v>8638122</v>
      </c>
      <c r="B403" s="1" t="s">
        <v>653</v>
      </c>
      <c r="C403" t="s">
        <v>752</v>
      </c>
      <c r="E403" s="2">
        <v>3613001400030</v>
      </c>
      <c r="F403" s="1" t="s">
        <v>647</v>
      </c>
      <c r="G403" s="1" t="s">
        <v>53</v>
      </c>
      <c r="H403" s="1" t="s">
        <v>679</v>
      </c>
      <c r="I403" s="1" t="s">
        <v>680</v>
      </c>
      <c r="J403" s="1" t="s">
        <v>46</v>
      </c>
      <c r="K403" t="s">
        <v>650</v>
      </c>
      <c r="M403" s="1" t="s">
        <v>58</v>
      </c>
      <c r="N403" s="1">
        <v>0</v>
      </c>
      <c r="O403" s="1" t="s">
        <v>105</v>
      </c>
      <c r="P403" s="11" t="s">
        <v>864</v>
      </c>
      <c r="R403" s="1">
        <v>4</v>
      </c>
      <c r="T403" s="1" t="s">
        <v>646</v>
      </c>
      <c r="U403" s="11" t="s">
        <v>865</v>
      </c>
      <c r="V403" s="1" t="s">
        <v>41</v>
      </c>
      <c r="W403" s="1" t="s">
        <v>49</v>
      </c>
      <c r="X403" s="13" t="str">
        <f t="shared" si="47"/>
        <v/>
      </c>
      <c r="Y403" s="2">
        <f t="shared" ca="1" si="42"/>
        <v>196</v>
      </c>
      <c r="Z403" s="14">
        <v>1</v>
      </c>
      <c r="AA403" s="1" t="str">
        <f t="shared" ca="1" si="43"/>
        <v>VENCIDO</v>
      </c>
      <c r="AB403" s="1" t="str">
        <f t="shared" si="44"/>
        <v>C-14</v>
      </c>
      <c r="AC403" s="2" t="str">
        <f t="shared" si="48"/>
        <v xml:space="preserve"> CLEITON </v>
      </c>
      <c r="AD403" s="2">
        <f t="shared" si="45"/>
        <v>15</v>
      </c>
      <c r="AE403" s="2">
        <f t="shared" ca="1" si="46"/>
        <v>-272.27678090277914</v>
      </c>
      <c r="AF403" s="15"/>
    </row>
    <row r="404" spans="1:32" hidden="1">
      <c r="A404" s="1">
        <v>8638121</v>
      </c>
      <c r="B404" s="1" t="s">
        <v>653</v>
      </c>
      <c r="C404" t="s">
        <v>752</v>
      </c>
      <c r="E404" s="2">
        <v>3612001400030</v>
      </c>
      <c r="F404" s="1" t="s">
        <v>647</v>
      </c>
      <c r="G404" s="1" t="s">
        <v>53</v>
      </c>
      <c r="H404" s="1" t="s">
        <v>683</v>
      </c>
      <c r="I404" s="1" t="s">
        <v>684</v>
      </c>
      <c r="J404" s="1" t="s">
        <v>46</v>
      </c>
      <c r="K404" t="s">
        <v>650</v>
      </c>
      <c r="M404" s="1" t="s">
        <v>58</v>
      </c>
      <c r="N404" s="1">
        <v>0</v>
      </c>
      <c r="O404" s="1" t="s">
        <v>105</v>
      </c>
      <c r="P404" s="11" t="s">
        <v>864</v>
      </c>
      <c r="R404" s="1">
        <v>4</v>
      </c>
      <c r="T404" s="1" t="s">
        <v>646</v>
      </c>
      <c r="U404" s="11" t="s">
        <v>865</v>
      </c>
      <c r="V404" s="1" t="s">
        <v>41</v>
      </c>
      <c r="W404" s="1" t="s">
        <v>49</v>
      </c>
      <c r="X404" s="13" t="str">
        <f t="shared" si="47"/>
        <v/>
      </c>
      <c r="Y404" s="2">
        <f t="shared" ca="1" si="42"/>
        <v>196</v>
      </c>
      <c r="Z404" s="14">
        <v>1</v>
      </c>
      <c r="AA404" s="1" t="str">
        <f t="shared" ca="1" si="43"/>
        <v>VENCIDO</v>
      </c>
      <c r="AB404" s="1" t="str">
        <f t="shared" si="44"/>
        <v>C-14</v>
      </c>
      <c r="AC404" s="2" t="str">
        <f t="shared" si="48"/>
        <v xml:space="preserve"> CLEITON </v>
      </c>
      <c r="AD404" s="2">
        <f t="shared" si="45"/>
        <v>15</v>
      </c>
      <c r="AE404" s="2">
        <f t="shared" ca="1" si="46"/>
        <v>-272.27678090277914</v>
      </c>
      <c r="AF404" s="15"/>
    </row>
    <row r="405" spans="1:32" hidden="1">
      <c r="A405" s="1">
        <v>8638058</v>
      </c>
      <c r="B405" s="1" t="s">
        <v>653</v>
      </c>
      <c r="C405" t="s">
        <v>752</v>
      </c>
      <c r="E405" s="2">
        <v>3504001400030</v>
      </c>
      <c r="F405" s="1" t="s">
        <v>647</v>
      </c>
      <c r="G405" s="1" t="s">
        <v>53</v>
      </c>
      <c r="H405" s="1" t="s">
        <v>585</v>
      </c>
      <c r="I405" s="1" t="s">
        <v>586</v>
      </c>
      <c r="J405" s="1" t="s">
        <v>46</v>
      </c>
      <c r="K405" t="s">
        <v>650</v>
      </c>
      <c r="M405" s="1" t="s">
        <v>58</v>
      </c>
      <c r="N405" s="1">
        <v>0</v>
      </c>
      <c r="O405" s="1" t="s">
        <v>105</v>
      </c>
      <c r="P405" s="11" t="s">
        <v>866</v>
      </c>
      <c r="R405" s="1">
        <v>4</v>
      </c>
      <c r="T405" s="1" t="s">
        <v>646</v>
      </c>
      <c r="U405" s="11" t="s">
        <v>867</v>
      </c>
      <c r="V405" s="1" t="s">
        <v>41</v>
      </c>
      <c r="W405" s="1" t="s">
        <v>49</v>
      </c>
      <c r="X405" s="13" t="str">
        <f t="shared" si="47"/>
        <v/>
      </c>
      <c r="Y405" s="2">
        <f t="shared" ca="1" si="42"/>
        <v>196</v>
      </c>
      <c r="Z405" s="14">
        <v>1</v>
      </c>
      <c r="AA405" s="1" t="str">
        <f t="shared" ca="1" si="43"/>
        <v>VENCIDO</v>
      </c>
      <c r="AB405" s="1" t="str">
        <f t="shared" si="44"/>
        <v>C-14</v>
      </c>
      <c r="AC405" s="2" t="str">
        <f t="shared" si="48"/>
        <v xml:space="preserve"> CLEITON </v>
      </c>
      <c r="AD405" s="2">
        <f t="shared" si="45"/>
        <v>15</v>
      </c>
      <c r="AE405" s="2">
        <f t="shared" ca="1" si="46"/>
        <v>-272.27698923611024</v>
      </c>
      <c r="AF405" s="15"/>
    </row>
    <row r="406" spans="1:32" hidden="1">
      <c r="A406" s="1">
        <v>8638057</v>
      </c>
      <c r="B406" s="1" t="s">
        <v>653</v>
      </c>
      <c r="C406" t="s">
        <v>752</v>
      </c>
      <c r="E406" s="2">
        <v>3503001400030</v>
      </c>
      <c r="F406" s="1" t="s">
        <v>647</v>
      </c>
      <c r="G406" s="1" t="s">
        <v>53</v>
      </c>
      <c r="H406" s="1" t="s">
        <v>398</v>
      </c>
      <c r="I406" s="1" t="s">
        <v>399</v>
      </c>
      <c r="J406" s="1" t="s">
        <v>46</v>
      </c>
      <c r="K406" t="s">
        <v>650</v>
      </c>
      <c r="M406" s="1" t="s">
        <v>58</v>
      </c>
      <c r="N406" s="1">
        <v>0</v>
      </c>
      <c r="O406" s="1" t="s">
        <v>105</v>
      </c>
      <c r="P406" s="11" t="s">
        <v>866</v>
      </c>
      <c r="R406" s="1">
        <v>4</v>
      </c>
      <c r="T406" s="1" t="s">
        <v>646</v>
      </c>
      <c r="U406" s="11" t="s">
        <v>867</v>
      </c>
      <c r="V406" s="1" t="s">
        <v>41</v>
      </c>
      <c r="W406" s="1" t="s">
        <v>49</v>
      </c>
      <c r="X406" s="13" t="str">
        <f t="shared" si="47"/>
        <v/>
      </c>
      <c r="Y406" s="2">
        <f t="shared" ca="1" si="42"/>
        <v>196</v>
      </c>
      <c r="Z406" s="14">
        <v>1</v>
      </c>
      <c r="AA406" s="1" t="str">
        <f t="shared" ca="1" si="43"/>
        <v>VENCIDO</v>
      </c>
      <c r="AB406" s="1" t="str">
        <f t="shared" si="44"/>
        <v>C-14</v>
      </c>
      <c r="AC406" s="2" t="str">
        <f t="shared" si="48"/>
        <v xml:space="preserve"> CLEITON </v>
      </c>
      <c r="AD406" s="2">
        <f t="shared" si="45"/>
        <v>15</v>
      </c>
      <c r="AE406" s="2">
        <f t="shared" ca="1" si="46"/>
        <v>-272.27698923611024</v>
      </c>
      <c r="AF406" s="15"/>
    </row>
    <row r="407" spans="1:32" hidden="1">
      <c r="A407" s="1">
        <v>8637889</v>
      </c>
      <c r="B407" s="1" t="s">
        <v>653</v>
      </c>
      <c r="C407" t="s">
        <v>752</v>
      </c>
      <c r="E407" s="2">
        <v>3258001400030</v>
      </c>
      <c r="F407" s="1" t="s">
        <v>647</v>
      </c>
      <c r="G407" s="1" t="s">
        <v>53</v>
      </c>
      <c r="H407" s="1" t="s">
        <v>321</v>
      </c>
      <c r="I407" s="1" t="s">
        <v>322</v>
      </c>
      <c r="J407" s="1" t="s">
        <v>46</v>
      </c>
      <c r="K407" t="s">
        <v>650</v>
      </c>
      <c r="M407" s="1" t="s">
        <v>58</v>
      </c>
      <c r="N407" s="1">
        <v>0</v>
      </c>
      <c r="O407" s="1" t="s">
        <v>105</v>
      </c>
      <c r="P407" s="11" t="s">
        <v>868</v>
      </c>
      <c r="R407" s="1">
        <v>4</v>
      </c>
      <c r="T407" s="1" t="s">
        <v>646</v>
      </c>
      <c r="U407" s="11" t="s">
        <v>869</v>
      </c>
      <c r="V407" s="1" t="s">
        <v>41</v>
      </c>
      <c r="W407" s="1" t="s">
        <v>49</v>
      </c>
      <c r="X407" s="13" t="str">
        <f t="shared" si="47"/>
        <v/>
      </c>
      <c r="Y407" s="2">
        <f t="shared" ca="1" si="42"/>
        <v>196</v>
      </c>
      <c r="Z407" s="14">
        <v>1</v>
      </c>
      <c r="AA407" s="1" t="str">
        <f t="shared" ca="1" si="43"/>
        <v>VENCIDO</v>
      </c>
      <c r="AB407" s="1" t="str">
        <f t="shared" si="44"/>
        <v>C-14</v>
      </c>
      <c r="AC407" s="2" t="str">
        <f t="shared" si="48"/>
        <v xml:space="preserve"> CLEITON </v>
      </c>
      <c r="AD407" s="2">
        <f t="shared" si="45"/>
        <v>15</v>
      </c>
      <c r="AE407" s="2">
        <f t="shared" ca="1" si="46"/>
        <v>-272.27741747684922</v>
      </c>
      <c r="AF407" s="15"/>
    </row>
    <row r="408" spans="1:32" hidden="1">
      <c r="A408" s="1">
        <v>8637878</v>
      </c>
      <c r="B408" s="1" t="s">
        <v>653</v>
      </c>
      <c r="C408" t="s">
        <v>752</v>
      </c>
      <c r="E408" s="2">
        <v>3243001400030</v>
      </c>
      <c r="F408" s="1" t="s">
        <v>647</v>
      </c>
      <c r="G408" s="1" t="s">
        <v>53</v>
      </c>
      <c r="H408" s="1" t="s">
        <v>282</v>
      </c>
      <c r="I408" s="1" t="s">
        <v>283</v>
      </c>
      <c r="J408" s="1" t="s">
        <v>46</v>
      </c>
      <c r="K408" t="s">
        <v>650</v>
      </c>
      <c r="M408" s="1" t="s">
        <v>58</v>
      </c>
      <c r="N408" s="1">
        <v>0</v>
      </c>
      <c r="O408" s="1" t="s">
        <v>105</v>
      </c>
      <c r="P408" s="11" t="s">
        <v>870</v>
      </c>
      <c r="R408" s="1">
        <v>4</v>
      </c>
      <c r="T408" s="1" t="s">
        <v>646</v>
      </c>
      <c r="U408" s="11" t="s">
        <v>871</v>
      </c>
      <c r="V408" s="1" t="s">
        <v>41</v>
      </c>
      <c r="W408" s="1" t="s">
        <v>49</v>
      </c>
      <c r="X408" s="13" t="str">
        <f t="shared" si="47"/>
        <v/>
      </c>
      <c r="Y408" s="2">
        <f t="shared" ca="1" si="42"/>
        <v>196</v>
      </c>
      <c r="Z408" s="14">
        <v>1</v>
      </c>
      <c r="AA408" s="1" t="str">
        <f t="shared" ca="1" si="43"/>
        <v>VENCIDO</v>
      </c>
      <c r="AB408" s="1" t="str">
        <f t="shared" si="44"/>
        <v>C-14</v>
      </c>
      <c r="AC408" s="2" t="str">
        <f t="shared" si="48"/>
        <v xml:space="preserve"> CLEITON </v>
      </c>
      <c r="AD408" s="2">
        <f t="shared" si="45"/>
        <v>15</v>
      </c>
      <c r="AE408" s="2">
        <f t="shared" ca="1" si="46"/>
        <v>-272.277429050926</v>
      </c>
      <c r="AF408" s="15"/>
    </row>
    <row r="409" spans="1:32" hidden="1">
      <c r="A409" s="1">
        <v>8637875</v>
      </c>
      <c r="B409" s="1" t="s">
        <v>653</v>
      </c>
      <c r="C409" t="s">
        <v>752</v>
      </c>
      <c r="E409" s="2">
        <v>3237001400030</v>
      </c>
      <c r="F409" s="1" t="s">
        <v>647</v>
      </c>
      <c r="G409" s="1" t="s">
        <v>53</v>
      </c>
      <c r="H409" s="1" t="s">
        <v>287</v>
      </c>
      <c r="I409" s="1" t="s">
        <v>288</v>
      </c>
      <c r="J409" s="1" t="s">
        <v>46</v>
      </c>
      <c r="K409" t="s">
        <v>650</v>
      </c>
      <c r="M409" s="1" t="s">
        <v>58</v>
      </c>
      <c r="N409" s="1">
        <v>0</v>
      </c>
      <c r="O409" s="1" t="s">
        <v>105</v>
      </c>
      <c r="P409" s="11" t="s">
        <v>872</v>
      </c>
      <c r="R409" s="1">
        <v>4</v>
      </c>
      <c r="T409" s="1" t="s">
        <v>646</v>
      </c>
      <c r="U409" s="11" t="s">
        <v>873</v>
      </c>
      <c r="V409" s="1" t="s">
        <v>41</v>
      </c>
      <c r="W409" s="1" t="s">
        <v>49</v>
      </c>
      <c r="X409" s="13" t="str">
        <f t="shared" si="47"/>
        <v/>
      </c>
      <c r="Y409" s="2">
        <f t="shared" ca="1" si="42"/>
        <v>196</v>
      </c>
      <c r="Z409" s="14">
        <v>1</v>
      </c>
      <c r="AA409" s="1" t="str">
        <f t="shared" ca="1" si="43"/>
        <v>VENCIDO</v>
      </c>
      <c r="AB409" s="1" t="str">
        <f t="shared" si="44"/>
        <v>C-14</v>
      </c>
      <c r="AC409" s="2" t="str">
        <f t="shared" si="48"/>
        <v xml:space="preserve"> CLEITON </v>
      </c>
      <c r="AD409" s="2">
        <f t="shared" si="45"/>
        <v>15</v>
      </c>
      <c r="AE409" s="2">
        <f t="shared" ca="1" si="46"/>
        <v>-272.27744062500278</v>
      </c>
      <c r="AF409" s="15"/>
    </row>
    <row r="410" spans="1:32" hidden="1">
      <c r="A410" s="1">
        <v>8637700</v>
      </c>
      <c r="B410" s="1" t="s">
        <v>653</v>
      </c>
      <c r="C410" t="s">
        <v>752</v>
      </c>
      <c r="E410" s="2">
        <v>2988001400030</v>
      </c>
      <c r="F410" s="1" t="s">
        <v>647</v>
      </c>
      <c r="G410" s="1" t="s">
        <v>53</v>
      </c>
      <c r="H410" s="1" t="s">
        <v>536</v>
      </c>
      <c r="I410" s="1" t="s">
        <v>537</v>
      </c>
      <c r="J410" s="1" t="s">
        <v>46</v>
      </c>
      <c r="K410" t="s">
        <v>650</v>
      </c>
      <c r="M410" s="1" t="s">
        <v>58</v>
      </c>
      <c r="N410" s="1">
        <v>0</v>
      </c>
      <c r="O410" s="1" t="s">
        <v>105</v>
      </c>
      <c r="P410" s="11" t="s">
        <v>874</v>
      </c>
      <c r="R410" s="1">
        <v>4</v>
      </c>
      <c r="T410" s="1" t="s">
        <v>646</v>
      </c>
      <c r="U410" s="11" t="s">
        <v>875</v>
      </c>
      <c r="V410" s="1" t="s">
        <v>41</v>
      </c>
      <c r="W410" s="1" t="s">
        <v>49</v>
      </c>
      <c r="X410" s="13" t="str">
        <f t="shared" si="47"/>
        <v/>
      </c>
      <c r="Y410" s="2">
        <f t="shared" ca="1" si="42"/>
        <v>196</v>
      </c>
      <c r="Z410" s="14">
        <v>1</v>
      </c>
      <c r="AA410" s="1" t="str">
        <f t="shared" ca="1" si="43"/>
        <v>VENCIDO</v>
      </c>
      <c r="AB410" s="1" t="str">
        <f t="shared" si="44"/>
        <v>C-14</v>
      </c>
      <c r="AC410" s="2" t="str">
        <f t="shared" si="48"/>
        <v xml:space="preserve"> CLEITON </v>
      </c>
      <c r="AD410" s="2">
        <f t="shared" si="45"/>
        <v>15</v>
      </c>
      <c r="AE410" s="2">
        <f t="shared" ca="1" si="46"/>
        <v>-272.27791516203433</v>
      </c>
      <c r="AF410" s="15"/>
    </row>
    <row r="411" spans="1:32" hidden="1">
      <c r="A411" s="1">
        <v>8637582</v>
      </c>
      <c r="B411" s="1" t="s">
        <v>653</v>
      </c>
      <c r="C411" t="s">
        <v>752</v>
      </c>
      <c r="E411" s="2">
        <v>2830001400030</v>
      </c>
      <c r="F411" s="1" t="s">
        <v>647</v>
      </c>
      <c r="G411" s="1" t="s">
        <v>53</v>
      </c>
      <c r="H411" s="1" t="s">
        <v>448</v>
      </c>
      <c r="I411" s="1" t="s">
        <v>449</v>
      </c>
      <c r="J411" s="1" t="s">
        <v>33</v>
      </c>
      <c r="K411" t="s">
        <v>650</v>
      </c>
      <c r="M411" s="1" t="s">
        <v>58</v>
      </c>
      <c r="N411" s="1">
        <v>0</v>
      </c>
      <c r="O411" s="1" t="s">
        <v>105</v>
      </c>
      <c r="P411" s="11" t="s">
        <v>876</v>
      </c>
      <c r="R411" s="1">
        <v>4</v>
      </c>
      <c r="T411" s="1" t="s">
        <v>646</v>
      </c>
      <c r="U411" s="11" t="s">
        <v>877</v>
      </c>
      <c r="V411" s="1" t="s">
        <v>41</v>
      </c>
      <c r="W411" s="1" t="s">
        <v>42</v>
      </c>
      <c r="X411" s="13" t="str">
        <f t="shared" si="47"/>
        <v/>
      </c>
      <c r="Y411" s="2">
        <f t="shared" ca="1" si="42"/>
        <v>196</v>
      </c>
      <c r="Z411" s="14">
        <v>1</v>
      </c>
      <c r="AA411" s="1" t="str">
        <f t="shared" ca="1" si="43"/>
        <v>VENCIDO</v>
      </c>
      <c r="AB411" s="1" t="str">
        <f t="shared" si="44"/>
        <v>C-14</v>
      </c>
      <c r="AC411" s="2" t="str">
        <f t="shared" si="48"/>
        <v xml:space="preserve"> ROSEMERE </v>
      </c>
      <c r="AD411" s="2">
        <f t="shared" si="45"/>
        <v>15</v>
      </c>
      <c r="AE411" s="2">
        <f t="shared" ca="1" si="46"/>
        <v>-272.27833182870381</v>
      </c>
      <c r="AF411" s="15"/>
    </row>
    <row r="412" spans="1:32" hidden="1">
      <c r="A412" s="1">
        <v>8637567</v>
      </c>
      <c r="B412" s="1" t="s">
        <v>653</v>
      </c>
      <c r="C412" t="s">
        <v>752</v>
      </c>
      <c r="E412" s="2">
        <v>2811001400030</v>
      </c>
      <c r="F412" s="1" t="s">
        <v>647</v>
      </c>
      <c r="G412" s="1" t="s">
        <v>53</v>
      </c>
      <c r="H412" s="1" t="s">
        <v>44</v>
      </c>
      <c r="I412" s="1" t="s">
        <v>45</v>
      </c>
      <c r="J412" s="1" t="s">
        <v>46</v>
      </c>
      <c r="K412" t="s">
        <v>650</v>
      </c>
      <c r="M412" s="1" t="s">
        <v>58</v>
      </c>
      <c r="N412" s="1">
        <v>0</v>
      </c>
      <c r="O412" s="1" t="s">
        <v>105</v>
      </c>
      <c r="P412" s="11" t="s">
        <v>878</v>
      </c>
      <c r="R412" s="1">
        <v>4</v>
      </c>
      <c r="T412" s="1" t="s">
        <v>646</v>
      </c>
      <c r="U412" s="11" t="s">
        <v>879</v>
      </c>
      <c r="V412" s="1" t="s">
        <v>41</v>
      </c>
      <c r="W412" s="1" t="s">
        <v>49</v>
      </c>
      <c r="X412" s="13" t="str">
        <f t="shared" si="47"/>
        <v/>
      </c>
      <c r="Y412" s="2">
        <f t="shared" ca="1" si="42"/>
        <v>196</v>
      </c>
      <c r="Z412" s="14">
        <v>1</v>
      </c>
      <c r="AA412" s="1" t="str">
        <f t="shared" ca="1" si="43"/>
        <v>VENCIDO</v>
      </c>
      <c r="AB412" s="1" t="str">
        <f t="shared" si="44"/>
        <v>C-14</v>
      </c>
      <c r="AC412" s="2" t="str">
        <f t="shared" si="48"/>
        <v xml:space="preserve"> CLEITON </v>
      </c>
      <c r="AD412" s="2">
        <f t="shared" si="45"/>
        <v>15</v>
      </c>
      <c r="AE412" s="2">
        <f t="shared" ca="1" si="46"/>
        <v>-272.27834340278059</v>
      </c>
      <c r="AF412" s="15"/>
    </row>
    <row r="413" spans="1:32" hidden="1">
      <c r="A413" s="1">
        <v>8637560</v>
      </c>
      <c r="B413" s="1" t="s">
        <v>653</v>
      </c>
      <c r="C413" t="s">
        <v>752</v>
      </c>
      <c r="E413" s="2">
        <v>2802001400030</v>
      </c>
      <c r="F413" s="1" t="s">
        <v>647</v>
      </c>
      <c r="G413" s="1" t="s">
        <v>53</v>
      </c>
      <c r="H413" s="1" t="s">
        <v>388</v>
      </c>
      <c r="I413" s="1" t="s">
        <v>389</v>
      </c>
      <c r="J413" s="1" t="s">
        <v>46</v>
      </c>
      <c r="K413" t="s">
        <v>650</v>
      </c>
      <c r="M413" s="1" t="s">
        <v>58</v>
      </c>
      <c r="N413" s="1">
        <v>0</v>
      </c>
      <c r="O413" s="1" t="s">
        <v>105</v>
      </c>
      <c r="P413" s="11" t="s">
        <v>880</v>
      </c>
      <c r="R413" s="1">
        <v>4</v>
      </c>
      <c r="T413" s="1" t="s">
        <v>646</v>
      </c>
      <c r="U413" s="11" t="s">
        <v>881</v>
      </c>
      <c r="V413" s="1" t="s">
        <v>41</v>
      </c>
      <c r="W413" s="1" t="s">
        <v>49</v>
      </c>
      <c r="X413" s="13" t="str">
        <f t="shared" si="47"/>
        <v/>
      </c>
      <c r="Y413" s="2">
        <f t="shared" ca="1" si="42"/>
        <v>196</v>
      </c>
      <c r="Z413" s="14">
        <v>1</v>
      </c>
      <c r="AA413" s="1" t="str">
        <f t="shared" ca="1" si="43"/>
        <v>VENCIDO</v>
      </c>
      <c r="AB413" s="1" t="str">
        <f t="shared" si="44"/>
        <v>C-14</v>
      </c>
      <c r="AC413" s="2" t="str">
        <f t="shared" si="48"/>
        <v xml:space="preserve"> CLEITON </v>
      </c>
      <c r="AD413" s="2">
        <f t="shared" si="45"/>
        <v>15</v>
      </c>
      <c r="AE413" s="2">
        <f t="shared" ca="1" si="46"/>
        <v>-272.2783549768501</v>
      </c>
      <c r="AF413" s="15"/>
    </row>
    <row r="414" spans="1:32" hidden="1">
      <c r="A414" s="1">
        <v>8637412</v>
      </c>
      <c r="B414" s="1" t="s">
        <v>653</v>
      </c>
      <c r="C414" t="s">
        <v>752</v>
      </c>
      <c r="E414" s="2">
        <v>2625001400030</v>
      </c>
      <c r="F414" s="1" t="s">
        <v>647</v>
      </c>
      <c r="G414" s="1" t="s">
        <v>53</v>
      </c>
      <c r="H414" s="1" t="s">
        <v>317</v>
      </c>
      <c r="I414" s="1" t="s">
        <v>318</v>
      </c>
      <c r="J414" s="1" t="s">
        <v>164</v>
      </c>
      <c r="K414" t="s">
        <v>650</v>
      </c>
      <c r="M414" s="1" t="s">
        <v>58</v>
      </c>
      <c r="N414" s="1">
        <v>0</v>
      </c>
      <c r="O414" s="1" t="s">
        <v>105</v>
      </c>
      <c r="P414" s="11" t="s">
        <v>882</v>
      </c>
      <c r="R414" s="1">
        <v>4</v>
      </c>
      <c r="T414" s="1" t="s">
        <v>646</v>
      </c>
      <c r="U414" s="11" t="s">
        <v>883</v>
      </c>
      <c r="V414" s="1" t="s">
        <v>41</v>
      </c>
      <c r="W414" s="1" t="s">
        <v>49</v>
      </c>
      <c r="X414" s="13" t="str">
        <f t="shared" si="47"/>
        <v/>
      </c>
      <c r="Y414" s="2">
        <f t="shared" ca="1" si="42"/>
        <v>196</v>
      </c>
      <c r="Z414" s="14">
        <v>1</v>
      </c>
      <c r="AA414" s="1" t="str">
        <f t="shared" ca="1" si="43"/>
        <v>VENCIDO</v>
      </c>
      <c r="AB414" s="1" t="str">
        <f t="shared" si="44"/>
        <v>C-14</v>
      </c>
      <c r="AC414" s="2" t="str">
        <f t="shared" si="48"/>
        <v xml:space="preserve"> ROSEMERE </v>
      </c>
      <c r="AD414" s="2">
        <f t="shared" si="45"/>
        <v>15</v>
      </c>
      <c r="AE414" s="2">
        <f t="shared" ca="1" si="46"/>
        <v>-272.27869062499667</v>
      </c>
      <c r="AF414" s="15"/>
    </row>
    <row r="415" spans="1:32" hidden="1">
      <c r="A415" s="1">
        <v>8637224</v>
      </c>
      <c r="B415" s="1" t="s">
        <v>653</v>
      </c>
      <c r="C415" t="s">
        <v>752</v>
      </c>
      <c r="E415" s="2">
        <v>2388001400030</v>
      </c>
      <c r="F415" s="1" t="s">
        <v>647</v>
      </c>
      <c r="G415" s="1" t="s">
        <v>53</v>
      </c>
      <c r="H415" s="1" t="s">
        <v>299</v>
      </c>
      <c r="I415" s="1" t="s">
        <v>300</v>
      </c>
      <c r="J415" s="1" t="s">
        <v>79</v>
      </c>
      <c r="K415" t="s">
        <v>650</v>
      </c>
      <c r="M415" s="1" t="s">
        <v>58</v>
      </c>
      <c r="N415" s="1">
        <v>0</v>
      </c>
      <c r="O415" s="1" t="s">
        <v>105</v>
      </c>
      <c r="P415" s="11" t="s">
        <v>884</v>
      </c>
      <c r="R415" s="1">
        <v>4</v>
      </c>
      <c r="T415" s="1" t="s">
        <v>646</v>
      </c>
      <c r="U415" s="11" t="s">
        <v>885</v>
      </c>
      <c r="V415" s="1" t="s">
        <v>41</v>
      </c>
      <c r="W415" s="1" t="s">
        <v>49</v>
      </c>
      <c r="X415" s="13" t="str">
        <f t="shared" si="47"/>
        <v/>
      </c>
      <c r="Y415" s="2">
        <f t="shared" ca="1" si="42"/>
        <v>196</v>
      </c>
      <c r="Z415" s="14">
        <v>1</v>
      </c>
      <c r="AA415" s="1" t="str">
        <f t="shared" ca="1" si="43"/>
        <v>VENCIDO</v>
      </c>
      <c r="AB415" s="1" t="str">
        <f t="shared" si="44"/>
        <v>C-14</v>
      </c>
      <c r="AC415" s="2" t="str">
        <f t="shared" si="48"/>
        <v xml:space="preserve"> ROSEMERE </v>
      </c>
      <c r="AD415" s="2">
        <f t="shared" si="45"/>
        <v>15</v>
      </c>
      <c r="AE415" s="2">
        <f t="shared" ca="1" si="46"/>
        <v>-272.27917673611228</v>
      </c>
      <c r="AF415" s="15"/>
    </row>
    <row r="416" spans="1:32" hidden="1">
      <c r="A416" s="1">
        <v>8637210</v>
      </c>
      <c r="B416" s="1" t="s">
        <v>653</v>
      </c>
      <c r="C416" t="s">
        <v>752</v>
      </c>
      <c r="E416" s="2">
        <v>2369001400030</v>
      </c>
      <c r="F416" s="1" t="s">
        <v>647</v>
      </c>
      <c r="G416" s="1" t="s">
        <v>53</v>
      </c>
      <c r="H416" s="1" t="s">
        <v>701</v>
      </c>
      <c r="I416" s="1" t="s">
        <v>702</v>
      </c>
      <c r="J416" s="1" t="s">
        <v>141</v>
      </c>
      <c r="K416" t="s">
        <v>650</v>
      </c>
      <c r="M416" s="1" t="s">
        <v>58</v>
      </c>
      <c r="N416" s="1">
        <v>0</v>
      </c>
      <c r="O416" s="1" t="s">
        <v>105</v>
      </c>
      <c r="P416" s="11" t="s">
        <v>886</v>
      </c>
      <c r="R416" s="1">
        <v>4</v>
      </c>
      <c r="T416" s="1" t="s">
        <v>646</v>
      </c>
      <c r="U416" s="11" t="s">
        <v>887</v>
      </c>
      <c r="V416" s="1" t="s">
        <v>41</v>
      </c>
      <c r="W416" s="1" t="s">
        <v>49</v>
      </c>
      <c r="X416" s="13" t="str">
        <f t="shared" si="47"/>
        <v/>
      </c>
      <c r="Y416" s="2">
        <f t="shared" ca="1" si="42"/>
        <v>196</v>
      </c>
      <c r="Z416" s="14">
        <v>1</v>
      </c>
      <c r="AA416" s="1" t="str">
        <f t="shared" ca="1" si="43"/>
        <v>VENCIDO</v>
      </c>
      <c r="AB416" s="1" t="str">
        <f t="shared" si="44"/>
        <v>C-14</v>
      </c>
      <c r="AC416" s="2" t="str">
        <f t="shared" si="48"/>
        <v xml:space="preserve"> CRISTINA </v>
      </c>
      <c r="AD416" s="2">
        <f t="shared" si="45"/>
        <v>15</v>
      </c>
      <c r="AE416" s="2">
        <f t="shared" ca="1" si="46"/>
        <v>-272.27919988425856</v>
      </c>
      <c r="AF416" s="15"/>
    </row>
    <row r="417" spans="1:32" hidden="1">
      <c r="A417" s="1">
        <v>8637207</v>
      </c>
      <c r="B417" s="1" t="s">
        <v>653</v>
      </c>
      <c r="C417" t="s">
        <v>752</v>
      </c>
      <c r="E417" s="2">
        <v>2365001400030</v>
      </c>
      <c r="F417" s="1" t="s">
        <v>647</v>
      </c>
      <c r="G417" s="1" t="s">
        <v>53</v>
      </c>
      <c r="H417" s="1" t="s">
        <v>159</v>
      </c>
      <c r="I417" s="1" t="s">
        <v>160</v>
      </c>
      <c r="J417" s="1" t="s">
        <v>46</v>
      </c>
      <c r="K417" t="s">
        <v>650</v>
      </c>
      <c r="M417" s="1" t="s">
        <v>58</v>
      </c>
      <c r="N417" s="1">
        <v>0</v>
      </c>
      <c r="O417" s="1" t="s">
        <v>105</v>
      </c>
      <c r="P417" s="11" t="s">
        <v>888</v>
      </c>
      <c r="R417" s="1">
        <v>4</v>
      </c>
      <c r="T417" s="1" t="s">
        <v>646</v>
      </c>
      <c r="U417" s="11" t="s">
        <v>887</v>
      </c>
      <c r="V417" s="1" t="s">
        <v>41</v>
      </c>
      <c r="W417" s="1" t="s">
        <v>49</v>
      </c>
      <c r="X417" s="13" t="str">
        <f t="shared" si="47"/>
        <v/>
      </c>
      <c r="Y417" s="2">
        <f t="shared" ca="1" si="42"/>
        <v>196</v>
      </c>
      <c r="Z417" s="14">
        <v>1</v>
      </c>
      <c r="AA417" s="1" t="str">
        <f t="shared" ca="1" si="43"/>
        <v>VENCIDO</v>
      </c>
      <c r="AB417" s="1" t="str">
        <f t="shared" si="44"/>
        <v>C-14</v>
      </c>
      <c r="AC417" s="2" t="str">
        <f t="shared" si="48"/>
        <v xml:space="preserve"> CLEITON </v>
      </c>
      <c r="AD417" s="2">
        <f t="shared" si="45"/>
        <v>15</v>
      </c>
      <c r="AE417" s="2">
        <f t="shared" ca="1" si="46"/>
        <v>-272.27919988425856</v>
      </c>
      <c r="AF417" s="15"/>
    </row>
    <row r="418" spans="1:32" hidden="1">
      <c r="A418" s="1">
        <v>8637176</v>
      </c>
      <c r="B418" s="1" t="s">
        <v>653</v>
      </c>
      <c r="C418" t="s">
        <v>752</v>
      </c>
      <c r="E418" s="2">
        <v>2326001400030</v>
      </c>
      <c r="F418" s="1" t="s">
        <v>647</v>
      </c>
      <c r="G418" s="1" t="s">
        <v>53</v>
      </c>
      <c r="H418" s="1" t="s">
        <v>191</v>
      </c>
      <c r="I418" s="1" t="s">
        <v>192</v>
      </c>
      <c r="J418" s="1" t="s">
        <v>46</v>
      </c>
      <c r="K418" t="s">
        <v>650</v>
      </c>
      <c r="M418" s="1" t="s">
        <v>58</v>
      </c>
      <c r="N418" s="1">
        <v>0</v>
      </c>
      <c r="O418" s="1" t="s">
        <v>105</v>
      </c>
      <c r="P418" s="11" t="s">
        <v>889</v>
      </c>
      <c r="R418" s="1">
        <v>4</v>
      </c>
      <c r="T418" s="1" t="s">
        <v>646</v>
      </c>
      <c r="U418" s="11" t="s">
        <v>890</v>
      </c>
      <c r="V418" s="1" t="s">
        <v>41</v>
      </c>
      <c r="W418" s="1" t="s">
        <v>49</v>
      </c>
      <c r="X418" s="13" t="str">
        <f t="shared" si="47"/>
        <v/>
      </c>
      <c r="Y418" s="2">
        <f t="shared" ca="1" si="42"/>
        <v>196</v>
      </c>
      <c r="Z418" s="14">
        <v>1</v>
      </c>
      <c r="AA418" s="1" t="str">
        <f t="shared" ca="1" si="43"/>
        <v>VENCIDO</v>
      </c>
      <c r="AB418" s="1" t="str">
        <f t="shared" si="44"/>
        <v>C-14</v>
      </c>
      <c r="AC418" s="2" t="str">
        <f t="shared" si="48"/>
        <v xml:space="preserve"> CLEITON </v>
      </c>
      <c r="AD418" s="2">
        <f t="shared" si="45"/>
        <v>15</v>
      </c>
      <c r="AE418" s="2">
        <f t="shared" ca="1" si="46"/>
        <v>-272.27925775462791</v>
      </c>
      <c r="AF418" s="15"/>
    </row>
    <row r="419" spans="1:32" hidden="1">
      <c r="A419" s="1">
        <v>8637101</v>
      </c>
      <c r="B419" s="1" t="s">
        <v>653</v>
      </c>
      <c r="C419" t="s">
        <v>752</v>
      </c>
      <c r="E419" s="2">
        <v>2238001400030</v>
      </c>
      <c r="F419" s="1" t="s">
        <v>647</v>
      </c>
      <c r="G419" s="1" t="s">
        <v>53</v>
      </c>
      <c r="H419" s="1" t="s">
        <v>707</v>
      </c>
      <c r="I419" s="1" t="s">
        <v>708</v>
      </c>
      <c r="J419" s="1" t="s">
        <v>79</v>
      </c>
      <c r="K419" t="s">
        <v>650</v>
      </c>
      <c r="M419" s="1" t="s">
        <v>58</v>
      </c>
      <c r="N419" s="1">
        <v>0</v>
      </c>
      <c r="O419" s="1" t="s">
        <v>105</v>
      </c>
      <c r="P419" s="11" t="s">
        <v>891</v>
      </c>
      <c r="R419" s="1">
        <v>4</v>
      </c>
      <c r="T419" s="1" t="s">
        <v>646</v>
      </c>
      <c r="U419" s="11" t="s">
        <v>892</v>
      </c>
      <c r="V419" s="1" t="s">
        <v>41</v>
      </c>
      <c r="W419" s="1" t="s">
        <v>49</v>
      </c>
      <c r="X419" s="13" t="str">
        <f t="shared" si="47"/>
        <v/>
      </c>
      <c r="Y419" s="2">
        <f t="shared" ca="1" si="42"/>
        <v>196</v>
      </c>
      <c r="Z419" s="14">
        <v>1</v>
      </c>
      <c r="AA419" s="1" t="str">
        <f t="shared" ca="1" si="43"/>
        <v>VENCIDO</v>
      </c>
      <c r="AB419" s="1" t="str">
        <f t="shared" si="44"/>
        <v>C-14</v>
      </c>
      <c r="AC419" s="2" t="str">
        <f t="shared" si="48"/>
        <v xml:space="preserve"> ROSEMERE </v>
      </c>
      <c r="AD419" s="2">
        <f t="shared" si="45"/>
        <v>15</v>
      </c>
      <c r="AE419" s="2">
        <f t="shared" ca="1" si="46"/>
        <v>-272.2794545138895</v>
      </c>
      <c r="AF419" s="15"/>
    </row>
    <row r="420" spans="1:32" hidden="1">
      <c r="A420" s="1">
        <v>8637084</v>
      </c>
      <c r="B420" s="1" t="s">
        <v>653</v>
      </c>
      <c r="C420" t="s">
        <v>752</v>
      </c>
      <c r="E420" s="2">
        <v>2219001400030</v>
      </c>
      <c r="F420" s="1" t="s">
        <v>647</v>
      </c>
      <c r="G420" s="1" t="s">
        <v>53</v>
      </c>
      <c r="H420" s="1" t="s">
        <v>893</v>
      </c>
      <c r="I420" s="1" t="s">
        <v>894</v>
      </c>
      <c r="J420" s="1" t="s">
        <v>141</v>
      </c>
      <c r="K420" t="s">
        <v>650</v>
      </c>
      <c r="M420" s="1" t="s">
        <v>58</v>
      </c>
      <c r="N420" s="1">
        <v>0</v>
      </c>
      <c r="O420" s="1" t="s">
        <v>105</v>
      </c>
      <c r="P420" s="11" t="s">
        <v>895</v>
      </c>
      <c r="R420" s="1">
        <v>4</v>
      </c>
      <c r="T420" s="1" t="s">
        <v>646</v>
      </c>
      <c r="U420" s="11" t="s">
        <v>896</v>
      </c>
      <c r="V420" s="1" t="s">
        <v>41</v>
      </c>
      <c r="W420" s="1" t="s">
        <v>49</v>
      </c>
      <c r="X420" s="13" t="str">
        <f t="shared" si="47"/>
        <v/>
      </c>
      <c r="Y420" s="2">
        <f t="shared" ca="1" si="42"/>
        <v>196</v>
      </c>
      <c r="Z420" s="14">
        <v>1</v>
      </c>
      <c r="AA420" s="1" t="str">
        <f t="shared" ca="1" si="43"/>
        <v>VENCIDO</v>
      </c>
      <c r="AB420" s="1" t="str">
        <f t="shared" si="44"/>
        <v>C-14</v>
      </c>
      <c r="AC420" s="2" t="str">
        <f t="shared" si="48"/>
        <v xml:space="preserve"> CRISTINA </v>
      </c>
      <c r="AD420" s="2">
        <f t="shared" si="45"/>
        <v>15</v>
      </c>
      <c r="AE420" s="2">
        <f t="shared" ca="1" si="46"/>
        <v>-272.27947766203579</v>
      </c>
      <c r="AF420" s="15"/>
    </row>
    <row r="421" spans="1:32" hidden="1">
      <c r="A421" s="1">
        <v>8637010</v>
      </c>
      <c r="B421" s="1" t="s">
        <v>653</v>
      </c>
      <c r="C421" t="s">
        <v>752</v>
      </c>
      <c r="E421" s="2">
        <v>2138001400030</v>
      </c>
      <c r="F421" s="1" t="s">
        <v>647</v>
      </c>
      <c r="G421" s="1" t="s">
        <v>53</v>
      </c>
      <c r="H421" s="1" t="s">
        <v>379</v>
      </c>
      <c r="I421" s="1" t="s">
        <v>380</v>
      </c>
      <c r="J421" s="1" t="s">
        <v>46</v>
      </c>
      <c r="K421" t="s">
        <v>650</v>
      </c>
      <c r="M421" s="1" t="s">
        <v>58</v>
      </c>
      <c r="N421" s="1">
        <v>0</v>
      </c>
      <c r="O421" s="1" t="s">
        <v>105</v>
      </c>
      <c r="P421" s="11" t="s">
        <v>897</v>
      </c>
      <c r="R421" s="1">
        <v>4</v>
      </c>
      <c r="T421" s="1" t="s">
        <v>646</v>
      </c>
      <c r="U421" s="11" t="s">
        <v>898</v>
      </c>
      <c r="V421" s="1" t="s">
        <v>41</v>
      </c>
      <c r="W421" s="1" t="s">
        <v>49</v>
      </c>
      <c r="X421" s="13" t="str">
        <f t="shared" si="47"/>
        <v/>
      </c>
      <c r="Y421" s="2">
        <f t="shared" ca="1" si="42"/>
        <v>196</v>
      </c>
      <c r="Z421" s="14">
        <v>1</v>
      </c>
      <c r="AA421" s="1" t="str">
        <f t="shared" ca="1" si="43"/>
        <v>VENCIDO</v>
      </c>
      <c r="AB421" s="1" t="str">
        <f t="shared" si="44"/>
        <v>C-14</v>
      </c>
      <c r="AC421" s="2" t="str">
        <f t="shared" si="48"/>
        <v xml:space="preserve"> CLEITON </v>
      </c>
      <c r="AD421" s="2">
        <f t="shared" si="45"/>
        <v>15</v>
      </c>
      <c r="AE421" s="2">
        <f t="shared" ca="1" si="46"/>
        <v>-272.27966284722061</v>
      </c>
      <c r="AF421" s="15"/>
    </row>
    <row r="422" spans="1:32">
      <c r="A422" s="1">
        <v>8636954</v>
      </c>
      <c r="B422" s="1" t="s">
        <v>653</v>
      </c>
      <c r="C422" t="s">
        <v>752</v>
      </c>
      <c r="E422" s="2">
        <v>2069001400030</v>
      </c>
      <c r="F422" s="1" t="s">
        <v>647</v>
      </c>
      <c r="G422" s="1" t="s">
        <v>53</v>
      </c>
      <c r="H422" s="1" t="s">
        <v>557</v>
      </c>
      <c r="I422" s="1" t="s">
        <v>558</v>
      </c>
      <c r="J422" s="1" t="s">
        <v>90</v>
      </c>
      <c r="K422" t="s">
        <v>650</v>
      </c>
      <c r="M422" s="1" t="s">
        <v>58</v>
      </c>
      <c r="N422" s="1">
        <v>0</v>
      </c>
      <c r="O422" s="1" t="s">
        <v>105</v>
      </c>
      <c r="P422" s="11" t="s">
        <v>899</v>
      </c>
      <c r="R422" s="1">
        <v>4</v>
      </c>
      <c r="T422" s="1" t="s">
        <v>646</v>
      </c>
      <c r="U422" s="11" t="s">
        <v>900</v>
      </c>
      <c r="V422" s="1" t="s">
        <v>41</v>
      </c>
      <c r="W422" s="1" t="s">
        <v>49</v>
      </c>
      <c r="X422" s="13" t="str">
        <f t="shared" si="47"/>
        <v/>
      </c>
      <c r="Y422" s="2">
        <f t="shared" ca="1" si="42"/>
        <v>196</v>
      </c>
      <c r="Z422" s="14">
        <v>1</v>
      </c>
      <c r="AA422" s="1" t="str">
        <f t="shared" ca="1" si="43"/>
        <v>VENCIDO</v>
      </c>
      <c r="AB422" s="1" t="str">
        <f t="shared" si="44"/>
        <v>C-14</v>
      </c>
      <c r="AC422" s="2" t="str">
        <f t="shared" si="48"/>
        <v xml:space="preserve"> RINALDO </v>
      </c>
      <c r="AD422" s="2">
        <f t="shared" si="45"/>
        <v>15</v>
      </c>
      <c r="AE422" s="2">
        <f t="shared" ca="1" si="46"/>
        <v>-272.27981331018236</v>
      </c>
      <c r="AF422" s="15"/>
    </row>
    <row r="423" spans="1:32" hidden="1">
      <c r="A423" s="1">
        <v>8636914</v>
      </c>
      <c r="B423" s="1" t="s">
        <v>653</v>
      </c>
      <c r="C423" t="s">
        <v>752</v>
      </c>
      <c r="E423" s="2">
        <v>2018001400030</v>
      </c>
      <c r="F423" s="1" t="s">
        <v>647</v>
      </c>
      <c r="G423" s="1" t="s">
        <v>53</v>
      </c>
      <c r="H423" s="1" t="s">
        <v>598</v>
      </c>
      <c r="I423" s="1" t="s">
        <v>599</v>
      </c>
      <c r="J423" s="1" t="s">
        <v>79</v>
      </c>
      <c r="K423" t="s">
        <v>650</v>
      </c>
      <c r="M423" s="1" t="s">
        <v>58</v>
      </c>
      <c r="N423" s="1">
        <v>0</v>
      </c>
      <c r="O423" s="1" t="s">
        <v>105</v>
      </c>
      <c r="P423" s="11" t="s">
        <v>901</v>
      </c>
      <c r="R423" s="1">
        <v>4</v>
      </c>
      <c r="T423" s="1" t="s">
        <v>646</v>
      </c>
      <c r="U423" s="11" t="s">
        <v>902</v>
      </c>
      <c r="V423" s="1" t="s">
        <v>41</v>
      </c>
      <c r="W423" s="1" t="s">
        <v>49</v>
      </c>
      <c r="X423" s="13" t="str">
        <f t="shared" si="47"/>
        <v/>
      </c>
      <c r="Y423" s="2">
        <f t="shared" ca="1" si="42"/>
        <v>196</v>
      </c>
      <c r="Z423" s="14">
        <v>1</v>
      </c>
      <c r="AA423" s="1" t="str">
        <f t="shared" ca="1" si="43"/>
        <v>VENCIDO</v>
      </c>
      <c r="AB423" s="1" t="str">
        <f t="shared" si="44"/>
        <v>C-14</v>
      </c>
      <c r="AC423" s="2" t="str">
        <f t="shared" si="48"/>
        <v xml:space="preserve"> ROSEMERE </v>
      </c>
      <c r="AD423" s="2">
        <f t="shared" si="45"/>
        <v>15</v>
      </c>
      <c r="AE423" s="2">
        <f t="shared" ca="1" si="46"/>
        <v>-272.27987118055898</v>
      </c>
      <c r="AF423" s="15"/>
    </row>
    <row r="424" spans="1:32" hidden="1">
      <c r="A424" s="1">
        <v>8636827</v>
      </c>
      <c r="B424" s="1" t="s">
        <v>653</v>
      </c>
      <c r="C424" t="s">
        <v>752</v>
      </c>
      <c r="E424" s="2">
        <v>1838001400030</v>
      </c>
      <c r="F424" s="1" t="s">
        <v>647</v>
      </c>
      <c r="G424" s="1" t="s">
        <v>53</v>
      </c>
      <c r="H424" s="1" t="s">
        <v>357</v>
      </c>
      <c r="I424" s="1" t="s">
        <v>358</v>
      </c>
      <c r="J424" s="1" t="s">
        <v>46</v>
      </c>
      <c r="K424" t="s">
        <v>650</v>
      </c>
      <c r="M424" s="1" t="s">
        <v>58</v>
      </c>
      <c r="N424" s="1">
        <v>0</v>
      </c>
      <c r="O424" s="1" t="s">
        <v>105</v>
      </c>
      <c r="P424" s="11" t="s">
        <v>903</v>
      </c>
      <c r="R424" s="1">
        <v>4</v>
      </c>
      <c r="T424" s="1" t="s">
        <v>646</v>
      </c>
      <c r="U424" s="11" t="s">
        <v>904</v>
      </c>
      <c r="V424" s="1" t="s">
        <v>41</v>
      </c>
      <c r="W424" s="1" t="s">
        <v>49</v>
      </c>
      <c r="X424" s="13" t="str">
        <f t="shared" si="47"/>
        <v/>
      </c>
      <c r="Y424" s="2">
        <f t="shared" ca="1" si="42"/>
        <v>196</v>
      </c>
      <c r="Z424" s="14">
        <v>1</v>
      </c>
      <c r="AA424" s="1" t="str">
        <f t="shared" ca="1" si="43"/>
        <v>VENCIDO</v>
      </c>
      <c r="AB424" s="1" t="str">
        <f t="shared" si="44"/>
        <v>C-14</v>
      </c>
      <c r="AC424" s="2" t="str">
        <f t="shared" si="48"/>
        <v xml:space="preserve"> CLEITON </v>
      </c>
      <c r="AD424" s="2">
        <f t="shared" si="45"/>
        <v>15</v>
      </c>
      <c r="AE424" s="2">
        <f t="shared" ca="1" si="46"/>
        <v>-272.28006793981331</v>
      </c>
      <c r="AF424" s="15"/>
    </row>
    <row r="425" spans="1:32" hidden="1">
      <c r="A425" s="1">
        <v>8636825</v>
      </c>
      <c r="B425" s="1" t="s">
        <v>653</v>
      </c>
      <c r="C425" t="s">
        <v>752</v>
      </c>
      <c r="E425" s="2">
        <v>1836001400030</v>
      </c>
      <c r="F425" s="1" t="s">
        <v>647</v>
      </c>
      <c r="G425" s="1" t="s">
        <v>53</v>
      </c>
      <c r="H425" s="1" t="s">
        <v>455</v>
      </c>
      <c r="I425" s="1" t="s">
        <v>456</v>
      </c>
      <c r="J425" s="1" t="s">
        <v>46</v>
      </c>
      <c r="K425" t="s">
        <v>650</v>
      </c>
      <c r="M425" s="1" t="s">
        <v>58</v>
      </c>
      <c r="N425" s="1">
        <v>0</v>
      </c>
      <c r="O425" s="1" t="s">
        <v>105</v>
      </c>
      <c r="P425" s="11" t="s">
        <v>903</v>
      </c>
      <c r="R425" s="1">
        <v>4</v>
      </c>
      <c r="T425" s="1" t="s">
        <v>646</v>
      </c>
      <c r="U425" s="11" t="s">
        <v>904</v>
      </c>
      <c r="V425" s="1" t="s">
        <v>41</v>
      </c>
      <c r="W425" s="1" t="s">
        <v>49</v>
      </c>
      <c r="X425" s="13" t="str">
        <f t="shared" si="47"/>
        <v/>
      </c>
      <c r="Y425" s="2">
        <f t="shared" ca="1" si="42"/>
        <v>196</v>
      </c>
      <c r="Z425" s="14">
        <v>1</v>
      </c>
      <c r="AA425" s="1" t="str">
        <f t="shared" ca="1" si="43"/>
        <v>VENCIDO</v>
      </c>
      <c r="AB425" s="1" t="str">
        <f t="shared" si="44"/>
        <v>C-14</v>
      </c>
      <c r="AC425" s="2" t="str">
        <f t="shared" si="48"/>
        <v xml:space="preserve"> CLEITON </v>
      </c>
      <c r="AD425" s="2">
        <f t="shared" si="45"/>
        <v>15</v>
      </c>
      <c r="AE425" s="2">
        <f t="shared" ca="1" si="46"/>
        <v>-272.28006793981331</v>
      </c>
      <c r="AF425" s="15"/>
    </row>
    <row r="426" spans="1:32" hidden="1">
      <c r="A426" s="1">
        <v>8636824</v>
      </c>
      <c r="B426" s="1" t="s">
        <v>653</v>
      </c>
      <c r="C426" t="s">
        <v>752</v>
      </c>
      <c r="E426" s="2">
        <v>1835001400030</v>
      </c>
      <c r="F426" s="1" t="s">
        <v>647</v>
      </c>
      <c r="G426" s="1" t="s">
        <v>53</v>
      </c>
      <c r="H426" s="1" t="s">
        <v>305</v>
      </c>
      <c r="I426" s="1" t="s">
        <v>306</v>
      </c>
      <c r="J426" s="1" t="s">
        <v>46</v>
      </c>
      <c r="K426" t="s">
        <v>650</v>
      </c>
      <c r="M426" s="1" t="s">
        <v>58</v>
      </c>
      <c r="N426" s="1">
        <v>0</v>
      </c>
      <c r="O426" s="1" t="s">
        <v>105</v>
      </c>
      <c r="P426" s="11" t="s">
        <v>903</v>
      </c>
      <c r="R426" s="1">
        <v>4</v>
      </c>
      <c r="T426" s="1" t="s">
        <v>646</v>
      </c>
      <c r="U426" s="11" t="s">
        <v>904</v>
      </c>
      <c r="V426" s="1" t="s">
        <v>41</v>
      </c>
      <c r="W426" s="1" t="s">
        <v>49</v>
      </c>
      <c r="X426" s="13" t="str">
        <f t="shared" si="47"/>
        <v/>
      </c>
      <c r="Y426" s="2">
        <f t="shared" ca="1" si="42"/>
        <v>196</v>
      </c>
      <c r="Z426" s="14">
        <v>1</v>
      </c>
      <c r="AA426" s="1" t="str">
        <f t="shared" ca="1" si="43"/>
        <v>VENCIDO</v>
      </c>
      <c r="AB426" s="1" t="str">
        <f t="shared" si="44"/>
        <v>C-14</v>
      </c>
      <c r="AC426" s="2" t="str">
        <f t="shared" si="48"/>
        <v xml:space="preserve"> CLEITON </v>
      </c>
      <c r="AD426" s="2">
        <f t="shared" si="45"/>
        <v>15</v>
      </c>
      <c r="AE426" s="2">
        <f t="shared" ca="1" si="46"/>
        <v>-272.28006793981331</v>
      </c>
      <c r="AF426" s="15"/>
    </row>
    <row r="427" spans="1:32" hidden="1">
      <c r="A427" s="1">
        <v>8636822</v>
      </c>
      <c r="B427" s="1" t="s">
        <v>653</v>
      </c>
      <c r="C427" t="s">
        <v>752</v>
      </c>
      <c r="E427" s="2">
        <v>1833001400030</v>
      </c>
      <c r="F427" s="1" t="s">
        <v>647</v>
      </c>
      <c r="G427" s="1" t="s">
        <v>53</v>
      </c>
      <c r="H427" s="1" t="s">
        <v>369</v>
      </c>
      <c r="I427" s="1" t="s">
        <v>370</v>
      </c>
      <c r="J427" s="1" t="s">
        <v>46</v>
      </c>
      <c r="K427" t="s">
        <v>650</v>
      </c>
      <c r="M427" s="1" t="s">
        <v>58</v>
      </c>
      <c r="N427" s="1">
        <v>0</v>
      </c>
      <c r="O427" s="1" t="s">
        <v>105</v>
      </c>
      <c r="P427" s="11" t="s">
        <v>905</v>
      </c>
      <c r="R427" s="1">
        <v>4</v>
      </c>
      <c r="T427" s="1" t="s">
        <v>646</v>
      </c>
      <c r="U427" s="11" t="s">
        <v>904</v>
      </c>
      <c r="V427" s="1" t="s">
        <v>41</v>
      </c>
      <c r="W427" s="1" t="s">
        <v>49</v>
      </c>
      <c r="X427" s="13" t="str">
        <f t="shared" si="47"/>
        <v/>
      </c>
      <c r="Y427" s="2">
        <f t="shared" ca="1" si="42"/>
        <v>196</v>
      </c>
      <c r="Z427" s="14">
        <v>1</v>
      </c>
      <c r="AA427" s="1" t="str">
        <f t="shared" ca="1" si="43"/>
        <v>VENCIDO</v>
      </c>
      <c r="AB427" s="1" t="str">
        <f t="shared" si="44"/>
        <v>C-14</v>
      </c>
      <c r="AC427" s="2" t="str">
        <f t="shared" si="48"/>
        <v xml:space="preserve"> CLEITON </v>
      </c>
      <c r="AD427" s="2">
        <f t="shared" si="45"/>
        <v>15</v>
      </c>
      <c r="AE427" s="2">
        <f t="shared" ca="1" si="46"/>
        <v>-272.28006793981331</v>
      </c>
      <c r="AF427" s="15"/>
    </row>
    <row r="428" spans="1:32">
      <c r="A428" s="1">
        <v>8636773</v>
      </c>
      <c r="B428" s="1" t="s">
        <v>653</v>
      </c>
      <c r="C428" t="s">
        <v>752</v>
      </c>
      <c r="E428" s="2">
        <v>1764001400030</v>
      </c>
      <c r="F428" s="1" t="s">
        <v>647</v>
      </c>
      <c r="G428" s="1" t="s">
        <v>53</v>
      </c>
      <c r="H428" s="1" t="s">
        <v>722</v>
      </c>
      <c r="I428" s="1" t="s">
        <v>723</v>
      </c>
      <c r="J428" s="1" t="s">
        <v>90</v>
      </c>
      <c r="K428" t="s">
        <v>650</v>
      </c>
      <c r="M428" s="1" t="s">
        <v>58</v>
      </c>
      <c r="N428" s="1">
        <v>0</v>
      </c>
      <c r="O428" s="1" t="s">
        <v>36</v>
      </c>
      <c r="P428" s="11" t="s">
        <v>906</v>
      </c>
      <c r="R428" s="1">
        <v>4</v>
      </c>
      <c r="T428" s="1" t="s">
        <v>646</v>
      </c>
      <c r="U428" s="11" t="s">
        <v>907</v>
      </c>
      <c r="V428" s="1" t="s">
        <v>41</v>
      </c>
      <c r="W428" s="1" t="s">
        <v>49</v>
      </c>
      <c r="X428" s="13" t="str">
        <f t="shared" si="47"/>
        <v/>
      </c>
      <c r="Y428" s="2">
        <f t="shared" ca="1" si="42"/>
        <v>196</v>
      </c>
      <c r="Z428" s="14">
        <v>1</v>
      </c>
      <c r="AA428" s="1" t="str">
        <f t="shared" ca="1" si="43"/>
        <v>VENCIDO</v>
      </c>
      <c r="AB428" s="1" t="str">
        <f t="shared" si="44"/>
        <v>C-14</v>
      </c>
      <c r="AC428" s="2" t="str">
        <f t="shared" si="48"/>
        <v xml:space="preserve"> RINALDO </v>
      </c>
      <c r="AD428" s="2">
        <f t="shared" si="45"/>
        <v>15</v>
      </c>
      <c r="AE428" s="2">
        <f t="shared" ca="1" si="46"/>
        <v>-272.28014895833621</v>
      </c>
      <c r="AF428" s="15"/>
    </row>
    <row r="429" spans="1:32" hidden="1">
      <c r="A429" s="1">
        <v>8636745</v>
      </c>
      <c r="B429" s="1" t="s">
        <v>653</v>
      </c>
      <c r="C429" t="s">
        <v>752</v>
      </c>
      <c r="E429" s="2">
        <v>1732001400030</v>
      </c>
      <c r="F429" s="1" t="s">
        <v>647</v>
      </c>
      <c r="G429" s="1" t="s">
        <v>53</v>
      </c>
      <c r="H429" s="1" t="s">
        <v>177</v>
      </c>
      <c r="I429" s="1" t="s">
        <v>178</v>
      </c>
      <c r="J429" s="1" t="s">
        <v>164</v>
      </c>
      <c r="K429" t="s">
        <v>650</v>
      </c>
      <c r="M429" s="1" t="s">
        <v>58</v>
      </c>
      <c r="N429" s="1">
        <v>0</v>
      </c>
      <c r="O429" s="1" t="s">
        <v>105</v>
      </c>
      <c r="P429" s="11" t="s">
        <v>908</v>
      </c>
      <c r="R429" s="1">
        <v>4</v>
      </c>
      <c r="T429" s="1" t="s">
        <v>646</v>
      </c>
      <c r="U429" s="11" t="s">
        <v>909</v>
      </c>
      <c r="V429" s="1" t="s">
        <v>41</v>
      </c>
      <c r="W429" s="1" t="s">
        <v>49</v>
      </c>
      <c r="X429" s="13" t="str">
        <f t="shared" si="47"/>
        <v/>
      </c>
      <c r="Y429" s="2">
        <f t="shared" ca="1" si="42"/>
        <v>196</v>
      </c>
      <c r="Z429" s="14">
        <v>1</v>
      </c>
      <c r="AA429" s="1" t="str">
        <f t="shared" ca="1" si="43"/>
        <v>VENCIDO</v>
      </c>
      <c r="AB429" s="1" t="str">
        <f t="shared" si="44"/>
        <v>C-14</v>
      </c>
      <c r="AC429" s="2" t="str">
        <f t="shared" si="48"/>
        <v xml:space="preserve"> ROSEMERE </v>
      </c>
      <c r="AD429" s="2">
        <f t="shared" si="45"/>
        <v>15</v>
      </c>
      <c r="AE429" s="2">
        <f t="shared" ca="1" si="46"/>
        <v>-272.28026469907491</v>
      </c>
      <c r="AF429" s="15"/>
    </row>
    <row r="430" spans="1:32" hidden="1">
      <c r="A430" s="1">
        <v>8636688</v>
      </c>
      <c r="B430" s="1" t="s">
        <v>653</v>
      </c>
      <c r="C430" t="s">
        <v>752</v>
      </c>
      <c r="E430" s="2">
        <v>1664001400030</v>
      </c>
      <c r="F430" s="1" t="s">
        <v>647</v>
      </c>
      <c r="G430" s="1" t="s">
        <v>53</v>
      </c>
      <c r="H430" s="1" t="s">
        <v>307</v>
      </c>
      <c r="I430" s="1" t="s">
        <v>308</v>
      </c>
      <c r="J430" s="1" t="s">
        <v>164</v>
      </c>
      <c r="K430" t="s">
        <v>650</v>
      </c>
      <c r="M430" s="1" t="s">
        <v>58</v>
      </c>
      <c r="N430" s="1">
        <v>0</v>
      </c>
      <c r="O430" s="1" t="s">
        <v>105</v>
      </c>
      <c r="P430" s="11" t="s">
        <v>910</v>
      </c>
      <c r="R430" s="1">
        <v>4</v>
      </c>
      <c r="T430" s="1" t="s">
        <v>646</v>
      </c>
      <c r="U430" s="11" t="s">
        <v>911</v>
      </c>
      <c r="V430" s="1" t="s">
        <v>41</v>
      </c>
      <c r="W430" s="1" t="s">
        <v>49</v>
      </c>
      <c r="X430" s="13" t="str">
        <f t="shared" si="47"/>
        <v/>
      </c>
      <c r="Y430" s="2">
        <f t="shared" ca="1" si="42"/>
        <v>196</v>
      </c>
      <c r="Z430" s="14">
        <v>1</v>
      </c>
      <c r="AA430" s="1" t="str">
        <f t="shared" ca="1" si="43"/>
        <v>VENCIDO</v>
      </c>
      <c r="AB430" s="1" t="str">
        <f t="shared" si="44"/>
        <v>C-14</v>
      </c>
      <c r="AC430" s="2" t="str">
        <f t="shared" si="48"/>
        <v xml:space="preserve"> ROSEMERE </v>
      </c>
      <c r="AD430" s="2">
        <f t="shared" si="45"/>
        <v>15</v>
      </c>
      <c r="AE430" s="2">
        <f t="shared" ca="1" si="46"/>
        <v>-272.28035729166731</v>
      </c>
      <c r="AF430" s="15"/>
    </row>
    <row r="431" spans="1:32" hidden="1">
      <c r="A431" s="1">
        <v>8636669</v>
      </c>
      <c r="B431" s="1" t="s">
        <v>653</v>
      </c>
      <c r="C431" t="s">
        <v>752</v>
      </c>
      <c r="E431" s="2">
        <v>1643001400030</v>
      </c>
      <c r="F431" s="2" t="s">
        <v>647</v>
      </c>
      <c r="G431" s="1" t="s">
        <v>53</v>
      </c>
      <c r="H431" s="1" t="s">
        <v>361</v>
      </c>
      <c r="I431" s="1" t="s">
        <v>362</v>
      </c>
      <c r="J431" s="1" t="s">
        <v>261</v>
      </c>
      <c r="K431" s="1" t="s">
        <v>650</v>
      </c>
      <c r="M431" s="1" t="s">
        <v>58</v>
      </c>
      <c r="N431" s="1">
        <v>0</v>
      </c>
      <c r="O431" s="1" t="s">
        <v>105</v>
      </c>
      <c r="P431" s="12">
        <v>44713.395891203705</v>
      </c>
      <c r="R431" s="1">
        <v>4</v>
      </c>
      <c r="T431" s="1" t="s">
        <v>646</v>
      </c>
      <c r="U431" s="12">
        <v>44714.395891203705</v>
      </c>
      <c r="V431" s="1" t="s">
        <v>41</v>
      </c>
      <c r="W431" s="1" t="s">
        <v>49</v>
      </c>
      <c r="X431" s="13" t="str">
        <f t="shared" si="47"/>
        <v/>
      </c>
      <c r="Y431" s="2">
        <f t="shared" ca="1" si="42"/>
        <v>196</v>
      </c>
      <c r="Z431" s="14">
        <v>1</v>
      </c>
      <c r="AA431" s="1" t="str">
        <f t="shared" ca="1" si="43"/>
        <v>VENCIDO</v>
      </c>
      <c r="AB431" s="1" t="str">
        <f t="shared" si="44"/>
        <v>C-14</v>
      </c>
      <c r="AC431" s="2" t="str">
        <f t="shared" si="48"/>
        <v xml:space="preserve"> CRISTINA </v>
      </c>
      <c r="AD431" s="2">
        <f t="shared" si="45"/>
        <v>15</v>
      </c>
      <c r="AE431" s="2">
        <f t="shared" ca="1" si="46"/>
        <v>-272.2803804398136</v>
      </c>
      <c r="AF431" s="15"/>
    </row>
    <row r="432" spans="1:32" hidden="1">
      <c r="A432" s="1">
        <v>8636651</v>
      </c>
      <c r="B432" s="1" t="s">
        <v>653</v>
      </c>
      <c r="C432" t="s">
        <v>752</v>
      </c>
      <c r="E432" s="2">
        <v>1620001400030</v>
      </c>
      <c r="F432" s="2" t="s">
        <v>647</v>
      </c>
      <c r="G432" s="1" t="s">
        <v>53</v>
      </c>
      <c r="H432" s="1" t="s">
        <v>402</v>
      </c>
      <c r="I432" s="1" t="s">
        <v>403</v>
      </c>
      <c r="J432" s="1" t="s">
        <v>46</v>
      </c>
      <c r="K432" s="1" t="s">
        <v>650</v>
      </c>
      <c r="M432" s="1" t="s">
        <v>58</v>
      </c>
      <c r="N432" s="1">
        <v>0</v>
      </c>
      <c r="O432" s="1" t="s">
        <v>36</v>
      </c>
      <c r="P432" s="11" t="s">
        <v>912</v>
      </c>
      <c r="R432" s="1">
        <v>4</v>
      </c>
      <c r="T432" s="1" t="s">
        <v>646</v>
      </c>
      <c r="U432" s="11" t="s">
        <v>913</v>
      </c>
      <c r="V432" s="1" t="s">
        <v>41</v>
      </c>
      <c r="W432" s="1" t="s">
        <v>49</v>
      </c>
      <c r="X432" s="13" t="str">
        <f t="shared" si="47"/>
        <v/>
      </c>
      <c r="Y432" s="2">
        <f t="shared" ca="1" si="42"/>
        <v>196</v>
      </c>
      <c r="Z432" s="14">
        <v>1</v>
      </c>
      <c r="AA432" s="1" t="str">
        <f t="shared" ca="1" si="43"/>
        <v>VENCIDO</v>
      </c>
      <c r="AB432" s="1" t="str">
        <f t="shared" si="44"/>
        <v>C-14</v>
      </c>
      <c r="AC432" s="2" t="str">
        <f t="shared" si="48"/>
        <v xml:space="preserve"> CLEITON </v>
      </c>
      <c r="AD432" s="2">
        <f t="shared" si="45"/>
        <v>15</v>
      </c>
      <c r="AE432" s="2">
        <f t="shared" ca="1" si="46"/>
        <v>-272.28049618055229</v>
      </c>
      <c r="AF432" s="15"/>
    </row>
    <row r="433" spans="1:32" hidden="1">
      <c r="A433" s="1">
        <v>8636574</v>
      </c>
      <c r="B433" s="1" t="s">
        <v>653</v>
      </c>
      <c r="C433" t="s">
        <v>752</v>
      </c>
      <c r="E433" s="2">
        <v>1509001400030</v>
      </c>
      <c r="F433" s="2" t="s">
        <v>647</v>
      </c>
      <c r="G433" s="1" t="s">
        <v>53</v>
      </c>
      <c r="H433" s="1" t="s">
        <v>731</v>
      </c>
      <c r="I433" s="1" t="s">
        <v>732</v>
      </c>
      <c r="J433" s="1" t="s">
        <v>46</v>
      </c>
      <c r="K433" s="1" t="s">
        <v>650</v>
      </c>
      <c r="M433" s="1" t="s">
        <v>58</v>
      </c>
      <c r="N433" s="1">
        <v>0</v>
      </c>
      <c r="O433" s="1" t="s">
        <v>105</v>
      </c>
      <c r="P433" s="11" t="s">
        <v>914</v>
      </c>
      <c r="R433" s="1">
        <v>4</v>
      </c>
      <c r="T433" s="1" t="s">
        <v>646</v>
      </c>
      <c r="U433" s="11" t="s">
        <v>915</v>
      </c>
      <c r="V433" s="1" t="s">
        <v>41</v>
      </c>
      <c r="W433" s="1" t="s">
        <v>49</v>
      </c>
      <c r="X433" s="13" t="str">
        <f t="shared" si="47"/>
        <v/>
      </c>
      <c r="Y433" s="2">
        <f t="shared" ca="1" si="42"/>
        <v>196</v>
      </c>
      <c r="Z433" s="14">
        <v>1</v>
      </c>
      <c r="AA433" s="1" t="str">
        <f t="shared" ca="1" si="43"/>
        <v>VENCIDO</v>
      </c>
      <c r="AB433" s="1" t="str">
        <f t="shared" si="44"/>
        <v>C-14</v>
      </c>
      <c r="AC433" s="2" t="str">
        <f t="shared" si="48"/>
        <v xml:space="preserve"> CLEITON </v>
      </c>
      <c r="AD433" s="2">
        <f t="shared" si="45"/>
        <v>15</v>
      </c>
      <c r="AE433" s="2">
        <f t="shared" ca="1" si="46"/>
        <v>-272.28060034722148</v>
      </c>
      <c r="AF433" s="15"/>
    </row>
    <row r="434" spans="1:32">
      <c r="A434" s="1">
        <v>8636441</v>
      </c>
      <c r="B434" s="1" t="s">
        <v>653</v>
      </c>
      <c r="C434" t="s">
        <v>752</v>
      </c>
      <c r="E434" s="2">
        <v>1362001400030</v>
      </c>
      <c r="F434" s="2" t="s">
        <v>647</v>
      </c>
      <c r="G434" s="1" t="s">
        <v>53</v>
      </c>
      <c r="H434" s="1" t="s">
        <v>268</v>
      </c>
      <c r="I434" s="1" t="s">
        <v>269</v>
      </c>
      <c r="J434" s="1" t="s">
        <v>90</v>
      </c>
      <c r="K434" s="1" t="s">
        <v>650</v>
      </c>
      <c r="M434" s="1" t="s">
        <v>58</v>
      </c>
      <c r="N434" s="1">
        <v>0</v>
      </c>
      <c r="O434" s="1" t="s">
        <v>105</v>
      </c>
      <c r="P434" s="11" t="s">
        <v>916</v>
      </c>
      <c r="R434" s="1">
        <v>4</v>
      </c>
      <c r="T434" s="1" t="s">
        <v>646</v>
      </c>
      <c r="U434" s="12">
        <v>44714.395324074074</v>
      </c>
      <c r="V434" s="1" t="s">
        <v>41</v>
      </c>
      <c r="W434" s="1" t="s">
        <v>49</v>
      </c>
      <c r="X434" s="13" t="str">
        <f t="shared" si="47"/>
        <v/>
      </c>
      <c r="Y434" s="2">
        <f t="shared" ca="1" si="42"/>
        <v>196</v>
      </c>
      <c r="Z434" s="14">
        <v>1</v>
      </c>
      <c r="AA434" s="1" t="str">
        <f t="shared" ca="1" si="43"/>
        <v>VENCIDO</v>
      </c>
      <c r="AB434" s="1" t="str">
        <f t="shared" si="44"/>
        <v>C-14</v>
      </c>
      <c r="AC434" s="2" t="str">
        <f t="shared" si="48"/>
        <v xml:space="preserve"> RINALDO </v>
      </c>
      <c r="AD434" s="2">
        <f t="shared" si="45"/>
        <v>15</v>
      </c>
      <c r="AE434" s="2">
        <f t="shared" ca="1" si="46"/>
        <v>-272.28094756944483</v>
      </c>
      <c r="AF434" s="15"/>
    </row>
    <row r="435" spans="1:32" hidden="1">
      <c r="A435" s="1">
        <v>8636439</v>
      </c>
      <c r="B435" s="1" t="s">
        <v>653</v>
      </c>
      <c r="C435" t="s">
        <v>752</v>
      </c>
      <c r="E435" s="2">
        <v>1360001400030</v>
      </c>
      <c r="F435" s="2" t="s">
        <v>647</v>
      </c>
      <c r="G435" s="1" t="s">
        <v>53</v>
      </c>
      <c r="H435" s="1" t="s">
        <v>303</v>
      </c>
      <c r="I435" s="1" t="s">
        <v>304</v>
      </c>
      <c r="J435" s="1" t="s">
        <v>261</v>
      </c>
      <c r="K435" s="1" t="s">
        <v>650</v>
      </c>
      <c r="M435" s="1" t="s">
        <v>58</v>
      </c>
      <c r="N435" s="1">
        <v>0</v>
      </c>
      <c r="O435" s="1" t="s">
        <v>105</v>
      </c>
      <c r="P435" s="12">
        <v>44713.395324074074</v>
      </c>
      <c r="R435" s="1">
        <v>4</v>
      </c>
      <c r="T435" s="1" t="s">
        <v>646</v>
      </c>
      <c r="U435" s="12">
        <v>44714.395324074074</v>
      </c>
      <c r="V435" s="1" t="s">
        <v>41</v>
      </c>
      <c r="W435" s="1" t="s">
        <v>49</v>
      </c>
      <c r="X435" s="13" t="str">
        <f t="shared" si="47"/>
        <v/>
      </c>
      <c r="Y435" s="2">
        <f t="shared" ca="1" si="42"/>
        <v>196</v>
      </c>
      <c r="Z435" s="14">
        <v>1</v>
      </c>
      <c r="AA435" s="1" t="str">
        <f t="shared" ca="1" si="43"/>
        <v>VENCIDO</v>
      </c>
      <c r="AB435" s="1" t="str">
        <f t="shared" si="44"/>
        <v>C-14</v>
      </c>
      <c r="AC435" s="2" t="str">
        <f t="shared" si="48"/>
        <v xml:space="preserve"> CRISTINA </v>
      </c>
      <c r="AD435" s="2">
        <f t="shared" si="45"/>
        <v>15</v>
      </c>
      <c r="AE435" s="2">
        <f t="shared" ca="1" si="46"/>
        <v>-272.28094756944483</v>
      </c>
      <c r="AF435" s="15"/>
    </row>
    <row r="436" spans="1:32" hidden="1">
      <c r="A436" s="1">
        <v>8636438</v>
      </c>
      <c r="B436" s="1" t="s">
        <v>653</v>
      </c>
      <c r="C436" t="s">
        <v>752</v>
      </c>
      <c r="E436" s="2">
        <v>1359001400030</v>
      </c>
      <c r="F436" s="1" t="s">
        <v>647</v>
      </c>
      <c r="G436" s="1" t="s">
        <v>53</v>
      </c>
      <c r="H436" s="1" t="s">
        <v>270</v>
      </c>
      <c r="I436" s="1" t="s">
        <v>271</v>
      </c>
      <c r="J436" s="1" t="s">
        <v>141</v>
      </c>
      <c r="K436" t="s">
        <v>650</v>
      </c>
      <c r="M436" s="1" t="s">
        <v>58</v>
      </c>
      <c r="N436" s="1">
        <v>0</v>
      </c>
      <c r="O436" s="1" t="s">
        <v>105</v>
      </c>
      <c r="P436" s="11" t="s">
        <v>917</v>
      </c>
      <c r="R436" s="1">
        <v>4</v>
      </c>
      <c r="T436" s="1" t="s">
        <v>646</v>
      </c>
      <c r="U436" s="11" t="s">
        <v>918</v>
      </c>
      <c r="V436" s="1" t="s">
        <v>41</v>
      </c>
      <c r="W436" s="1" t="s">
        <v>49</v>
      </c>
      <c r="X436" s="13" t="str">
        <f t="shared" si="47"/>
        <v/>
      </c>
      <c r="Y436" s="2">
        <f t="shared" ca="1" si="42"/>
        <v>196</v>
      </c>
      <c r="Z436" s="14">
        <v>1</v>
      </c>
      <c r="AA436" s="1" t="str">
        <f t="shared" ca="1" si="43"/>
        <v>VENCIDO</v>
      </c>
      <c r="AB436" s="1" t="str">
        <f t="shared" si="44"/>
        <v>C-14</v>
      </c>
      <c r="AC436" s="2" t="str">
        <f t="shared" si="48"/>
        <v xml:space="preserve"> CRISTINA </v>
      </c>
      <c r="AD436" s="2">
        <f t="shared" si="45"/>
        <v>15</v>
      </c>
      <c r="AE436" s="2">
        <f t="shared" ca="1" si="46"/>
        <v>-272.28094756944483</v>
      </c>
      <c r="AF436" s="15"/>
    </row>
    <row r="437" spans="1:32">
      <c r="A437" s="1">
        <v>8636177</v>
      </c>
      <c r="B437" s="1" t="s">
        <v>653</v>
      </c>
      <c r="C437" t="s">
        <v>752</v>
      </c>
      <c r="E437" s="2">
        <v>1059001400030</v>
      </c>
      <c r="F437" s="1" t="s">
        <v>647</v>
      </c>
      <c r="G437" s="1" t="s">
        <v>53</v>
      </c>
      <c r="H437" s="1" t="s">
        <v>88</v>
      </c>
      <c r="I437" s="1" t="s">
        <v>89</v>
      </c>
      <c r="J437" s="1" t="s">
        <v>90</v>
      </c>
      <c r="K437" t="s">
        <v>650</v>
      </c>
      <c r="M437" s="1" t="s">
        <v>58</v>
      </c>
      <c r="N437" s="1">
        <v>0</v>
      </c>
      <c r="O437" s="1" t="s">
        <v>105</v>
      </c>
      <c r="P437" s="11" t="s">
        <v>919</v>
      </c>
      <c r="R437" s="1">
        <v>4</v>
      </c>
      <c r="T437" s="1" t="s">
        <v>646</v>
      </c>
      <c r="U437" s="11" t="s">
        <v>920</v>
      </c>
      <c r="V437" s="1" t="s">
        <v>41</v>
      </c>
      <c r="W437" s="1" t="s">
        <v>49</v>
      </c>
      <c r="X437" s="13" t="str">
        <f t="shared" si="47"/>
        <v/>
      </c>
      <c r="Y437" s="2">
        <f t="shared" ca="1" si="42"/>
        <v>196</v>
      </c>
      <c r="Z437" s="14">
        <v>1</v>
      </c>
      <c r="AA437" s="1" t="str">
        <f t="shared" ca="1" si="43"/>
        <v>VENCIDO</v>
      </c>
      <c r="AB437" s="1" t="str">
        <f t="shared" si="44"/>
        <v>C-14</v>
      </c>
      <c r="AC437" s="2" t="str">
        <f t="shared" si="48"/>
        <v xml:space="preserve"> RINALDO </v>
      </c>
      <c r="AD437" s="2">
        <f t="shared" si="45"/>
        <v>15</v>
      </c>
      <c r="AE437" s="2">
        <f t="shared" ca="1" si="46"/>
        <v>-272.28149155092251</v>
      </c>
      <c r="AF437" s="15"/>
    </row>
    <row r="438" spans="1:32" hidden="1">
      <c r="A438" s="1">
        <v>8636168</v>
      </c>
      <c r="B438" s="1" t="s">
        <v>653</v>
      </c>
      <c r="C438" t="s">
        <v>752</v>
      </c>
      <c r="E438" s="2">
        <v>1049001400030</v>
      </c>
      <c r="F438" s="1" t="s">
        <v>647</v>
      </c>
      <c r="G438" s="1" t="s">
        <v>53</v>
      </c>
      <c r="H438" s="1" t="s">
        <v>169</v>
      </c>
      <c r="I438" s="1" t="s">
        <v>170</v>
      </c>
      <c r="J438" s="1" t="s">
        <v>164</v>
      </c>
      <c r="K438" t="s">
        <v>650</v>
      </c>
      <c r="M438" s="1" t="s">
        <v>58</v>
      </c>
      <c r="N438" s="1">
        <v>0</v>
      </c>
      <c r="O438" s="1" t="s">
        <v>105</v>
      </c>
      <c r="P438" s="11" t="s">
        <v>921</v>
      </c>
      <c r="R438" s="1">
        <v>4</v>
      </c>
      <c r="T438" s="1" t="s">
        <v>646</v>
      </c>
      <c r="U438" s="11" t="s">
        <v>922</v>
      </c>
      <c r="V438" s="1" t="s">
        <v>41</v>
      </c>
      <c r="W438" s="1" t="s">
        <v>49</v>
      </c>
      <c r="X438" s="13" t="str">
        <f t="shared" si="47"/>
        <v/>
      </c>
      <c r="Y438" s="2">
        <f t="shared" ca="1" si="42"/>
        <v>196</v>
      </c>
      <c r="Z438" s="14">
        <v>1</v>
      </c>
      <c r="AA438" s="1" t="str">
        <f t="shared" ca="1" si="43"/>
        <v>VENCIDO</v>
      </c>
      <c r="AB438" s="1" t="str">
        <f t="shared" si="44"/>
        <v>C-14</v>
      </c>
      <c r="AC438" s="2" t="str">
        <f t="shared" si="48"/>
        <v xml:space="preserve"> ROSEMERE </v>
      </c>
      <c r="AD438" s="2">
        <f t="shared" si="45"/>
        <v>15</v>
      </c>
      <c r="AE438" s="2">
        <f t="shared" ca="1" si="46"/>
        <v>-272.28150312499929</v>
      </c>
      <c r="AF438" s="15"/>
    </row>
    <row r="439" spans="1:32" hidden="1">
      <c r="A439" s="1">
        <v>8636064</v>
      </c>
      <c r="B439" s="1" t="s">
        <v>653</v>
      </c>
      <c r="C439" t="s">
        <v>752</v>
      </c>
      <c r="E439" s="2">
        <v>934001400030</v>
      </c>
      <c r="F439" s="1" t="s">
        <v>647</v>
      </c>
      <c r="G439" s="1" t="s">
        <v>53</v>
      </c>
      <c r="H439" s="1" t="s">
        <v>428</v>
      </c>
      <c r="I439" s="1" t="s">
        <v>429</v>
      </c>
      <c r="J439" s="1" t="s">
        <v>46</v>
      </c>
      <c r="K439" t="s">
        <v>650</v>
      </c>
      <c r="M439" s="1" t="s">
        <v>58</v>
      </c>
      <c r="N439" s="1">
        <v>0</v>
      </c>
      <c r="O439" s="1" t="s">
        <v>105</v>
      </c>
      <c r="P439" s="11" t="s">
        <v>923</v>
      </c>
      <c r="R439" s="1">
        <v>4</v>
      </c>
      <c r="T439" s="1" t="s">
        <v>646</v>
      </c>
      <c r="U439" s="11" t="s">
        <v>924</v>
      </c>
      <c r="V439" s="1" t="s">
        <v>41</v>
      </c>
      <c r="W439" s="1" t="s">
        <v>49</v>
      </c>
      <c r="X439" s="13" t="str">
        <f t="shared" si="47"/>
        <v/>
      </c>
      <c r="Y439" s="2">
        <f t="shared" ca="1" si="42"/>
        <v>196</v>
      </c>
      <c r="Z439" s="14">
        <v>1</v>
      </c>
      <c r="AA439" s="1" t="str">
        <f t="shared" ca="1" si="43"/>
        <v>VENCIDO</v>
      </c>
      <c r="AB439" s="1" t="str">
        <f t="shared" si="44"/>
        <v>C-14</v>
      </c>
      <c r="AC439" s="2" t="str">
        <f t="shared" si="48"/>
        <v xml:space="preserve"> CLEITON </v>
      </c>
      <c r="AD439" s="2">
        <f t="shared" si="45"/>
        <v>15</v>
      </c>
      <c r="AE439" s="2">
        <f t="shared" ca="1" si="46"/>
        <v>-272.28174618055345</v>
      </c>
      <c r="AF439" s="15"/>
    </row>
    <row r="440" spans="1:32" hidden="1">
      <c r="A440" s="1">
        <v>8635859</v>
      </c>
      <c r="B440" s="1" t="s">
        <v>653</v>
      </c>
      <c r="C440" t="s">
        <v>752</v>
      </c>
      <c r="E440" s="2">
        <v>714001400030</v>
      </c>
      <c r="F440" s="1" t="s">
        <v>647</v>
      </c>
      <c r="G440" s="1" t="s">
        <v>53</v>
      </c>
      <c r="H440" s="1" t="s">
        <v>377</v>
      </c>
      <c r="I440" s="1" t="s">
        <v>378</v>
      </c>
      <c r="J440" s="1" t="s">
        <v>46</v>
      </c>
      <c r="K440" t="s">
        <v>650</v>
      </c>
      <c r="M440" s="1" t="s">
        <v>58</v>
      </c>
      <c r="N440" s="1">
        <v>0</v>
      </c>
      <c r="O440" s="1" t="s">
        <v>105</v>
      </c>
      <c r="P440" s="11" t="s">
        <v>925</v>
      </c>
      <c r="R440" s="1">
        <v>4</v>
      </c>
      <c r="T440" s="1" t="s">
        <v>646</v>
      </c>
      <c r="U440" s="11" t="s">
        <v>926</v>
      </c>
      <c r="V440" s="1" t="s">
        <v>41</v>
      </c>
      <c r="W440" s="1" t="s">
        <v>49</v>
      </c>
      <c r="X440" s="13" t="str">
        <f t="shared" si="47"/>
        <v/>
      </c>
      <c r="Y440" s="2">
        <f t="shared" ca="1" si="42"/>
        <v>196</v>
      </c>
      <c r="Z440" s="14">
        <v>1</v>
      </c>
      <c r="AA440" s="1" t="str">
        <f t="shared" ca="1" si="43"/>
        <v>VENCIDO</v>
      </c>
      <c r="AB440" s="1" t="str">
        <f t="shared" si="44"/>
        <v>C-14</v>
      </c>
      <c r="AC440" s="2" t="str">
        <f t="shared" si="48"/>
        <v xml:space="preserve"> CLEITON </v>
      </c>
      <c r="AD440" s="2">
        <f t="shared" si="45"/>
        <v>15</v>
      </c>
      <c r="AE440" s="2">
        <f t="shared" ca="1" si="46"/>
        <v>-272.28218599536922</v>
      </c>
      <c r="AF440" s="15"/>
    </row>
    <row r="441" spans="1:32" hidden="1">
      <c r="A441" s="1">
        <v>8635857</v>
      </c>
      <c r="B441" s="1" t="s">
        <v>653</v>
      </c>
      <c r="C441" t="s">
        <v>752</v>
      </c>
      <c r="E441" s="2">
        <v>711001400030</v>
      </c>
      <c r="F441" s="1" t="s">
        <v>647</v>
      </c>
      <c r="G441" s="1" t="s">
        <v>53</v>
      </c>
      <c r="H441" s="1" t="s">
        <v>77</v>
      </c>
      <c r="I441" s="1" t="s">
        <v>78</v>
      </c>
      <c r="J441" s="1" t="s">
        <v>79</v>
      </c>
      <c r="K441" t="s">
        <v>650</v>
      </c>
      <c r="M441" s="1" t="s">
        <v>58</v>
      </c>
      <c r="N441" s="1">
        <v>0</v>
      </c>
      <c r="O441" s="1" t="s">
        <v>105</v>
      </c>
      <c r="P441" s="11" t="s">
        <v>927</v>
      </c>
      <c r="R441" s="1">
        <v>4</v>
      </c>
      <c r="T441" s="1" t="s">
        <v>646</v>
      </c>
      <c r="U441" s="11" t="s">
        <v>928</v>
      </c>
      <c r="V441" s="1" t="s">
        <v>41</v>
      </c>
      <c r="W441" s="1" t="s">
        <v>49</v>
      </c>
      <c r="X441" s="13" t="str">
        <f t="shared" si="47"/>
        <v/>
      </c>
      <c r="Y441" s="2">
        <f t="shared" ca="1" si="42"/>
        <v>196</v>
      </c>
      <c r="Z441" s="14">
        <v>1</v>
      </c>
      <c r="AA441" s="1" t="str">
        <f t="shared" ca="1" si="43"/>
        <v>VENCIDO</v>
      </c>
      <c r="AB441" s="1" t="str">
        <f t="shared" si="44"/>
        <v>C-14</v>
      </c>
      <c r="AC441" s="2" t="str">
        <f t="shared" si="48"/>
        <v xml:space="preserve"> ROSEMERE </v>
      </c>
      <c r="AD441" s="2">
        <f t="shared" si="45"/>
        <v>15</v>
      </c>
      <c r="AE441" s="2">
        <f t="shared" ca="1" si="46"/>
        <v>-272.282197569446</v>
      </c>
      <c r="AF441" s="15"/>
    </row>
    <row r="442" spans="1:32" hidden="1">
      <c r="A442" s="1">
        <v>8635856</v>
      </c>
      <c r="B442" s="1" t="s">
        <v>653</v>
      </c>
      <c r="C442" t="s">
        <v>752</v>
      </c>
      <c r="E442" s="2">
        <v>710001400030</v>
      </c>
      <c r="F442" s="1" t="s">
        <v>647</v>
      </c>
      <c r="G442" s="1" t="s">
        <v>53</v>
      </c>
      <c r="H442" s="1" t="s">
        <v>390</v>
      </c>
      <c r="I442" s="1" t="s">
        <v>391</v>
      </c>
      <c r="J442" s="1" t="s">
        <v>56</v>
      </c>
      <c r="K442" t="s">
        <v>650</v>
      </c>
      <c r="M442" s="1" t="s">
        <v>58</v>
      </c>
      <c r="N442" s="1">
        <v>0</v>
      </c>
      <c r="O442" s="1" t="s">
        <v>36</v>
      </c>
      <c r="P442" s="11" t="s">
        <v>927</v>
      </c>
      <c r="R442" s="1">
        <v>4</v>
      </c>
      <c r="T442" s="1" t="s">
        <v>646</v>
      </c>
      <c r="U442" s="11" t="s">
        <v>928</v>
      </c>
      <c r="V442" s="1" t="s">
        <v>41</v>
      </c>
      <c r="W442" s="1" t="s">
        <v>49</v>
      </c>
      <c r="X442" s="13" t="str">
        <f t="shared" si="47"/>
        <v/>
      </c>
      <c r="Y442" s="2">
        <f t="shared" ca="1" si="42"/>
        <v>196</v>
      </c>
      <c r="Z442" s="14">
        <v>1</v>
      </c>
      <c r="AA442" s="1" t="str">
        <f t="shared" ca="1" si="43"/>
        <v>VENCIDO</v>
      </c>
      <c r="AB442" s="1" t="str">
        <f t="shared" si="44"/>
        <v>C-14</v>
      </c>
      <c r="AC442" s="2" t="str">
        <f t="shared" si="48"/>
        <v xml:space="preserve"> CRISTINA </v>
      </c>
      <c r="AD442" s="2">
        <f t="shared" si="45"/>
        <v>15</v>
      </c>
      <c r="AE442" s="2">
        <f t="shared" ca="1" si="46"/>
        <v>-272.282197569446</v>
      </c>
      <c r="AF442" s="15"/>
    </row>
    <row r="443" spans="1:32" hidden="1">
      <c r="A443" s="1">
        <v>8635705</v>
      </c>
      <c r="B443" s="1" t="s">
        <v>653</v>
      </c>
      <c r="C443" t="s">
        <v>752</v>
      </c>
      <c r="E443" s="2">
        <v>550001400030</v>
      </c>
      <c r="F443" s="2" t="s">
        <v>647</v>
      </c>
      <c r="G443" s="1" t="s">
        <v>53</v>
      </c>
      <c r="H443" s="1" t="s">
        <v>337</v>
      </c>
      <c r="I443" s="1" t="s">
        <v>338</v>
      </c>
      <c r="J443" s="1" t="s">
        <v>164</v>
      </c>
      <c r="K443" s="180" t="s">
        <v>650</v>
      </c>
      <c r="M443" s="1" t="s">
        <v>58</v>
      </c>
      <c r="N443" s="1">
        <v>0</v>
      </c>
      <c r="O443" s="1" t="s">
        <v>105</v>
      </c>
      <c r="P443" s="12">
        <v>44713.39371527778</v>
      </c>
      <c r="R443" s="1">
        <v>4</v>
      </c>
      <c r="T443" s="179" t="s">
        <v>646</v>
      </c>
      <c r="U443" s="12">
        <v>44714.39371527778</v>
      </c>
      <c r="V443" s="1" t="s">
        <v>41</v>
      </c>
      <c r="W443" s="12" t="s">
        <v>49</v>
      </c>
      <c r="X443" s="13" t="str">
        <f t="shared" si="47"/>
        <v/>
      </c>
      <c r="Y443" s="2">
        <f t="shared" ca="1" si="42"/>
        <v>196</v>
      </c>
      <c r="Z443" s="14">
        <v>1</v>
      </c>
      <c r="AA443" s="1" t="str">
        <f t="shared" ca="1" si="43"/>
        <v>VENCIDO</v>
      </c>
      <c r="AB443" s="1" t="str">
        <f t="shared" si="44"/>
        <v>C-14</v>
      </c>
      <c r="AC443" s="2" t="str">
        <f t="shared" si="48"/>
        <v xml:space="preserve"> ROSEMERE </v>
      </c>
      <c r="AD443" s="2">
        <f t="shared" si="45"/>
        <v>15</v>
      </c>
      <c r="AE443" s="2">
        <f t="shared" ca="1" si="46"/>
        <v>-272.28255636573886</v>
      </c>
      <c r="AF443" s="15"/>
    </row>
    <row r="444" spans="1:32" hidden="1">
      <c r="A444" s="1">
        <v>8635695</v>
      </c>
      <c r="B444" s="1" t="s">
        <v>653</v>
      </c>
      <c r="C444" t="s">
        <v>752</v>
      </c>
      <c r="E444" s="2">
        <v>537001400030</v>
      </c>
      <c r="F444" s="1" t="s">
        <v>647</v>
      </c>
      <c r="G444" s="1" t="s">
        <v>53</v>
      </c>
      <c r="H444" s="1" t="s">
        <v>442</v>
      </c>
      <c r="I444" s="1" t="s">
        <v>443</v>
      </c>
      <c r="J444" s="1" t="s">
        <v>79</v>
      </c>
      <c r="K444" t="s">
        <v>650</v>
      </c>
      <c r="M444" s="1" t="s">
        <v>58</v>
      </c>
      <c r="N444" s="1">
        <v>0</v>
      </c>
      <c r="O444" s="1" t="s">
        <v>105</v>
      </c>
      <c r="P444" s="11" t="s">
        <v>929</v>
      </c>
      <c r="R444" s="1">
        <v>4</v>
      </c>
      <c r="T444" s="1" t="s">
        <v>646</v>
      </c>
      <c r="U444" s="11" t="s">
        <v>930</v>
      </c>
      <c r="V444" s="1" t="s">
        <v>41</v>
      </c>
      <c r="W444" s="1" t="s">
        <v>49</v>
      </c>
      <c r="X444" s="13" t="str">
        <f t="shared" si="47"/>
        <v/>
      </c>
      <c r="Y444" s="2">
        <f t="shared" ca="1" si="42"/>
        <v>196</v>
      </c>
      <c r="Z444" s="14">
        <v>1</v>
      </c>
      <c r="AA444" s="1" t="str">
        <f t="shared" ca="1" si="43"/>
        <v>VENCIDO</v>
      </c>
      <c r="AB444" s="1" t="str">
        <f t="shared" si="44"/>
        <v>C-14</v>
      </c>
      <c r="AC444" s="2" t="str">
        <f t="shared" si="48"/>
        <v xml:space="preserve"> ROSEMERE </v>
      </c>
      <c r="AD444" s="2">
        <f t="shared" si="45"/>
        <v>15</v>
      </c>
      <c r="AE444" s="2">
        <f t="shared" ca="1" si="46"/>
        <v>-272.28256793981564</v>
      </c>
      <c r="AF444" s="15"/>
    </row>
    <row r="445" spans="1:32" hidden="1">
      <c r="A445" s="1">
        <v>8635610</v>
      </c>
      <c r="B445" s="1" t="s">
        <v>653</v>
      </c>
      <c r="C445" t="s">
        <v>752</v>
      </c>
      <c r="E445" s="2">
        <v>446001400030</v>
      </c>
      <c r="F445" s="1" t="s">
        <v>647</v>
      </c>
      <c r="G445" s="1" t="s">
        <v>53</v>
      </c>
      <c r="H445" s="1" t="s">
        <v>432</v>
      </c>
      <c r="I445" s="1" t="s">
        <v>433</v>
      </c>
      <c r="J445" s="1" t="s">
        <v>110</v>
      </c>
      <c r="K445" t="s">
        <v>650</v>
      </c>
      <c r="M445" s="1" t="s">
        <v>58</v>
      </c>
      <c r="N445" s="1">
        <v>0</v>
      </c>
      <c r="O445" s="1" t="s">
        <v>105</v>
      </c>
      <c r="P445" s="11" t="s">
        <v>931</v>
      </c>
      <c r="R445" s="1">
        <v>4</v>
      </c>
      <c r="T445" s="1" t="s">
        <v>646</v>
      </c>
      <c r="U445" s="11" t="s">
        <v>932</v>
      </c>
      <c r="V445" s="1" t="s">
        <v>41</v>
      </c>
      <c r="W445" s="1" t="s">
        <v>49</v>
      </c>
      <c r="X445" s="13" t="str">
        <f t="shared" si="47"/>
        <v/>
      </c>
      <c r="Y445" s="2">
        <f t="shared" ca="1" si="42"/>
        <v>196</v>
      </c>
      <c r="Z445" s="14">
        <v>1</v>
      </c>
      <c r="AA445" s="1" t="str">
        <f t="shared" ca="1" si="43"/>
        <v>VENCIDO</v>
      </c>
      <c r="AB445" s="1" t="str">
        <f t="shared" si="44"/>
        <v>C-14</v>
      </c>
      <c r="AC445" s="2" t="str">
        <f t="shared" si="48"/>
        <v xml:space="preserve"> CRISTINA </v>
      </c>
      <c r="AD445" s="2">
        <f t="shared" si="45"/>
        <v>15</v>
      </c>
      <c r="AE445" s="2">
        <f t="shared" ca="1" si="46"/>
        <v>-272.28275312500045</v>
      </c>
      <c r="AF445" s="15"/>
    </row>
    <row r="446" spans="1:32" hidden="1">
      <c r="A446" s="1">
        <v>8635412</v>
      </c>
      <c r="B446" s="1" t="s">
        <v>653</v>
      </c>
      <c r="C446" t="s">
        <v>752</v>
      </c>
      <c r="E446" s="2">
        <v>233001400030</v>
      </c>
      <c r="F446" s="1" t="s">
        <v>647</v>
      </c>
      <c r="G446" s="1" t="s">
        <v>53</v>
      </c>
      <c r="H446" s="1" t="s">
        <v>424</v>
      </c>
      <c r="I446" s="1" t="s">
        <v>425</v>
      </c>
      <c r="J446" s="1" t="s">
        <v>261</v>
      </c>
      <c r="K446" t="s">
        <v>650</v>
      </c>
      <c r="M446" s="1" t="s">
        <v>58</v>
      </c>
      <c r="N446" s="1">
        <v>0</v>
      </c>
      <c r="O446" s="1" t="s">
        <v>105</v>
      </c>
      <c r="P446" s="11" t="s">
        <v>933</v>
      </c>
      <c r="R446" s="1">
        <v>4</v>
      </c>
      <c r="T446" s="1" t="s">
        <v>646</v>
      </c>
      <c r="U446" s="11" t="s">
        <v>934</v>
      </c>
      <c r="V446" s="1" t="s">
        <v>41</v>
      </c>
      <c r="W446" s="1" t="s">
        <v>49</v>
      </c>
      <c r="X446" s="13" t="str">
        <f t="shared" si="47"/>
        <v/>
      </c>
      <c r="Y446" s="2">
        <f t="shared" ca="1" si="42"/>
        <v>196</v>
      </c>
      <c r="Z446" s="14">
        <v>1</v>
      </c>
      <c r="AA446" s="1" t="str">
        <f t="shared" ca="1" si="43"/>
        <v>VENCIDO</v>
      </c>
      <c r="AB446" s="1" t="str">
        <f t="shared" si="44"/>
        <v>C-14</v>
      </c>
      <c r="AC446" s="2" t="str">
        <f t="shared" si="48"/>
        <v xml:space="preserve"> CRISTINA </v>
      </c>
      <c r="AD446" s="2">
        <f t="shared" si="45"/>
        <v>15</v>
      </c>
      <c r="AE446" s="2">
        <f t="shared" ca="1" si="46"/>
        <v>-272.28316979166993</v>
      </c>
      <c r="AF446" s="15"/>
    </row>
    <row r="447" spans="1:32" hidden="1">
      <c r="A447" s="1">
        <v>8635253</v>
      </c>
      <c r="B447" s="1" t="s">
        <v>653</v>
      </c>
      <c r="C447" t="s">
        <v>935</v>
      </c>
      <c r="E447" s="2">
        <v>325001400010</v>
      </c>
      <c r="F447" s="1" t="s">
        <v>936</v>
      </c>
      <c r="G447" s="1" t="s">
        <v>53</v>
      </c>
      <c r="H447" s="1" t="s">
        <v>345</v>
      </c>
      <c r="I447" s="1" t="s">
        <v>346</v>
      </c>
      <c r="J447" s="1" t="s">
        <v>46</v>
      </c>
      <c r="K447" t="s">
        <v>937</v>
      </c>
      <c r="M447" s="1" t="s">
        <v>58</v>
      </c>
      <c r="N447" s="1">
        <v>0</v>
      </c>
      <c r="O447" s="1" t="s">
        <v>105</v>
      </c>
      <c r="P447" s="11" t="s">
        <v>938</v>
      </c>
      <c r="R447" s="1">
        <v>3</v>
      </c>
      <c r="T447" s="1" t="s">
        <v>646</v>
      </c>
      <c r="U447" s="11" t="s">
        <v>939</v>
      </c>
      <c r="V447" s="1" t="s">
        <v>41</v>
      </c>
      <c r="W447" s="1" t="s">
        <v>49</v>
      </c>
      <c r="X447" s="13" t="str">
        <f t="shared" si="47"/>
        <v/>
      </c>
      <c r="Y447" s="2">
        <f t="shared" ca="1" si="42"/>
        <v>196</v>
      </c>
      <c r="Z447" s="14">
        <v>1</v>
      </c>
      <c r="AA447" s="1" t="str">
        <f t="shared" ca="1" si="43"/>
        <v>VENCIDO</v>
      </c>
      <c r="AB447" s="1" t="str">
        <f t="shared" si="44"/>
        <v>C-14</v>
      </c>
      <c r="AC447" s="2" t="str">
        <f t="shared" si="48"/>
        <v xml:space="preserve"> CLEITON </v>
      </c>
      <c r="AD447" s="2">
        <f t="shared" si="45"/>
        <v>5</v>
      </c>
      <c r="AE447" s="2">
        <f t="shared" ca="1" si="46"/>
        <v>-272.28349386573973</v>
      </c>
      <c r="AF447" s="15"/>
    </row>
    <row r="448" spans="1:32" hidden="1">
      <c r="A448" s="1">
        <v>8635179</v>
      </c>
      <c r="B448" s="1" t="s">
        <v>653</v>
      </c>
      <c r="C448" t="s">
        <v>935</v>
      </c>
      <c r="E448" s="2">
        <v>8973001400010</v>
      </c>
      <c r="F448" s="1" t="s">
        <v>936</v>
      </c>
      <c r="G448" s="1" t="s">
        <v>53</v>
      </c>
      <c r="H448" s="1" t="s">
        <v>661</v>
      </c>
      <c r="I448" s="1" t="s">
        <v>662</v>
      </c>
      <c r="J448" s="1" t="s">
        <v>46</v>
      </c>
      <c r="K448" t="s">
        <v>937</v>
      </c>
      <c r="M448" s="1" t="s">
        <v>58</v>
      </c>
      <c r="N448" s="1">
        <v>0</v>
      </c>
      <c r="O448" s="1" t="s">
        <v>105</v>
      </c>
      <c r="P448" s="11" t="s">
        <v>940</v>
      </c>
      <c r="R448" s="1">
        <v>3</v>
      </c>
      <c r="T448" s="1" t="s">
        <v>646</v>
      </c>
      <c r="U448" s="11" t="s">
        <v>941</v>
      </c>
      <c r="V448" s="1" t="s">
        <v>41</v>
      </c>
      <c r="W448" s="1" t="s">
        <v>49</v>
      </c>
      <c r="X448" s="13" t="str">
        <f t="shared" si="47"/>
        <v/>
      </c>
      <c r="Y448" s="2">
        <f t="shared" ca="1" si="42"/>
        <v>196</v>
      </c>
      <c r="Z448" s="14">
        <v>1</v>
      </c>
      <c r="AA448" s="1" t="str">
        <f t="shared" ca="1" si="43"/>
        <v>VENCIDO</v>
      </c>
      <c r="AB448" s="1" t="str">
        <f t="shared" si="44"/>
        <v>C-14</v>
      </c>
      <c r="AC448" s="2" t="str">
        <f t="shared" si="48"/>
        <v xml:space="preserve"> CLEITON </v>
      </c>
      <c r="AD448" s="2">
        <f t="shared" si="45"/>
        <v>5</v>
      </c>
      <c r="AE448" s="2">
        <f t="shared" ca="1" si="46"/>
        <v>-272.28369062500133</v>
      </c>
      <c r="AF448" s="15"/>
    </row>
    <row r="449" spans="1:32" hidden="1">
      <c r="A449" s="1">
        <v>8635156</v>
      </c>
      <c r="B449" s="1" t="s">
        <v>653</v>
      </c>
      <c r="C449" t="s">
        <v>935</v>
      </c>
      <c r="E449" s="2">
        <v>8633001400010</v>
      </c>
      <c r="F449" s="1" t="s">
        <v>936</v>
      </c>
      <c r="G449" s="1" t="s">
        <v>53</v>
      </c>
      <c r="H449" s="1" t="s">
        <v>835</v>
      </c>
      <c r="I449" s="1" t="s">
        <v>836</v>
      </c>
      <c r="J449" s="1" t="s">
        <v>46</v>
      </c>
      <c r="K449" t="s">
        <v>937</v>
      </c>
      <c r="M449" s="1" t="s">
        <v>58</v>
      </c>
      <c r="N449" s="1">
        <v>0</v>
      </c>
      <c r="O449" s="1" t="s">
        <v>105</v>
      </c>
      <c r="P449" s="11" t="s">
        <v>942</v>
      </c>
      <c r="R449" s="1">
        <v>3</v>
      </c>
      <c r="T449" s="1" t="s">
        <v>646</v>
      </c>
      <c r="U449" s="11" t="s">
        <v>943</v>
      </c>
      <c r="V449" s="1" t="s">
        <v>41</v>
      </c>
      <c r="W449" s="1" t="s">
        <v>49</v>
      </c>
      <c r="X449" s="13" t="str">
        <f t="shared" si="47"/>
        <v/>
      </c>
      <c r="Y449" s="2">
        <f t="shared" ca="1" si="42"/>
        <v>196</v>
      </c>
      <c r="Z449" s="14">
        <v>1</v>
      </c>
      <c r="AA449" s="1" t="str">
        <f t="shared" ca="1" si="43"/>
        <v>VENCIDO</v>
      </c>
      <c r="AB449" s="1" t="str">
        <f t="shared" si="44"/>
        <v>C-14</v>
      </c>
      <c r="AC449" s="2" t="str">
        <f t="shared" si="48"/>
        <v xml:space="preserve"> CLEITON </v>
      </c>
      <c r="AD449" s="2">
        <f t="shared" si="45"/>
        <v>5</v>
      </c>
      <c r="AE449" s="2">
        <f t="shared" ca="1" si="46"/>
        <v>-272.28371377314761</v>
      </c>
      <c r="AF449" s="15"/>
    </row>
    <row r="450" spans="1:32" hidden="1">
      <c r="A450" s="1">
        <v>8634660</v>
      </c>
      <c r="B450" s="1" t="s">
        <v>653</v>
      </c>
      <c r="C450" t="s">
        <v>935</v>
      </c>
      <c r="E450" s="2">
        <v>5898001400010</v>
      </c>
      <c r="F450" s="1" t="s">
        <v>936</v>
      </c>
      <c r="G450" s="1" t="s">
        <v>53</v>
      </c>
      <c r="H450" s="1" t="s">
        <v>365</v>
      </c>
      <c r="I450" s="1" t="s">
        <v>366</v>
      </c>
      <c r="J450" s="1" t="s">
        <v>164</v>
      </c>
      <c r="K450" t="s">
        <v>937</v>
      </c>
      <c r="M450" s="1" t="s">
        <v>58</v>
      </c>
      <c r="N450" s="1">
        <v>0</v>
      </c>
      <c r="O450" s="1" t="s">
        <v>105</v>
      </c>
      <c r="P450" s="11" t="s">
        <v>944</v>
      </c>
      <c r="R450" s="1">
        <v>3</v>
      </c>
      <c r="T450" s="1" t="s">
        <v>646</v>
      </c>
      <c r="U450" s="11" t="s">
        <v>945</v>
      </c>
      <c r="V450" s="1" t="s">
        <v>41</v>
      </c>
      <c r="W450" s="1" t="s">
        <v>49</v>
      </c>
      <c r="X450" s="13" t="str">
        <f t="shared" si="47"/>
        <v/>
      </c>
      <c r="Y450" s="2">
        <f t="shared" ref="Y450:Y513" ca="1" si="49">NETWORKDAYS(P450,$Y$1)</f>
        <v>196</v>
      </c>
      <c r="Z450" s="14">
        <v>1</v>
      </c>
      <c r="AA450" s="1" t="str">
        <f t="shared" ref="AA450:AA513" ca="1" si="50">IF(AE450=0,"HOJE",IF(AE450&gt;0,"A VENCER",IF(AE450&lt;0,"VENCIDO")))</f>
        <v>VENCIDO</v>
      </c>
      <c r="AB450" s="1" t="str">
        <f t="shared" ref="AB450:AB513" si="51">IF(F450="GRPE-000001","C-14",IF(F450="GRPE-000002","C-14",IF(F450="GRPE-000003","C-14",IF(F450="GRPE-000004","SL-On",IF(F450="GRPE-000038","C-14",IF(F450="GRPE-900022","Dosa",IF(F450="GRPE-000029","Dosa",IF(F450="ATOS-000222","Dose","TAAe+"))))))))</f>
        <v>C-14</v>
      </c>
      <c r="AC450" s="2" t="str">
        <f t="shared" si="48"/>
        <v xml:space="preserve"> ROSEMERE </v>
      </c>
      <c r="AD450" s="2">
        <f t="shared" ref="AD450:AD513" si="52">IF(F450="GRPE-000001",5,IF(F450="GRPE-000002",5,IF(F450="GRPE-000003",15,IF(F450="GRPE-000004",1,IF(F450="GRPE-000038",5,IF(F450="GRPE-900022",5,IF(F450="GRPE-000029",5,IF(F450="ATOS-000222",5,8))))))))</f>
        <v>5</v>
      </c>
      <c r="AE450" s="2">
        <f t="shared" ref="AE450:AE513" ca="1" si="53">IF(U450=$AE$1,"",U450-$AE$1)</f>
        <v>-272.28566979166499</v>
      </c>
      <c r="AF450" s="15"/>
    </row>
    <row r="451" spans="1:32" hidden="1">
      <c r="A451" s="1">
        <v>8634637</v>
      </c>
      <c r="B451" s="1" t="s">
        <v>653</v>
      </c>
      <c r="C451" t="s">
        <v>935</v>
      </c>
      <c r="E451" s="2">
        <v>5816001400010</v>
      </c>
      <c r="F451" s="1" t="s">
        <v>936</v>
      </c>
      <c r="G451" s="1" t="s">
        <v>53</v>
      </c>
      <c r="H451" s="1" t="s">
        <v>412</v>
      </c>
      <c r="I451" s="1" t="s">
        <v>413</v>
      </c>
      <c r="J451" s="1" t="s">
        <v>46</v>
      </c>
      <c r="K451" t="s">
        <v>937</v>
      </c>
      <c r="M451" s="1" t="s">
        <v>58</v>
      </c>
      <c r="N451" s="1">
        <v>0</v>
      </c>
      <c r="O451" s="1" t="s">
        <v>105</v>
      </c>
      <c r="P451" s="11" t="s">
        <v>946</v>
      </c>
      <c r="R451" s="1">
        <v>3</v>
      </c>
      <c r="T451" s="1" t="s">
        <v>646</v>
      </c>
      <c r="U451" s="11" t="s">
        <v>947</v>
      </c>
      <c r="V451" s="1" t="s">
        <v>41</v>
      </c>
      <c r="W451" s="1" t="s">
        <v>49</v>
      </c>
      <c r="X451" s="13" t="str">
        <f t="shared" ref="X451:X514" si="54">IF(RIGHT(H451,2)&lt;&gt;"00",H451,"")</f>
        <v/>
      </c>
      <c r="Y451" s="2">
        <f t="shared" ca="1" si="49"/>
        <v>196</v>
      </c>
      <c r="Z451" s="14">
        <v>1</v>
      </c>
      <c r="AA451" s="1" t="str">
        <f t="shared" ca="1" si="50"/>
        <v>VENCIDO</v>
      </c>
      <c r="AB451" s="1" t="str">
        <f t="shared" si="51"/>
        <v>C-14</v>
      </c>
      <c r="AC451" s="2" t="str">
        <f t="shared" ref="AC451:AC514" si="55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 xml:space="preserve"> CLEITON </v>
      </c>
      <c r="AD451" s="2">
        <f t="shared" si="52"/>
        <v>5</v>
      </c>
      <c r="AE451" s="2">
        <f t="shared" ca="1" si="53"/>
        <v>-272.28570451388805</v>
      </c>
      <c r="AF451" s="15"/>
    </row>
    <row r="452" spans="1:32" hidden="1">
      <c r="A452" s="1">
        <v>8634603</v>
      </c>
      <c r="B452" s="1" t="s">
        <v>653</v>
      </c>
      <c r="C452" t="s">
        <v>935</v>
      </c>
      <c r="E452" s="2">
        <v>5755001400010</v>
      </c>
      <c r="F452" s="1" t="s">
        <v>936</v>
      </c>
      <c r="G452" s="1" t="s">
        <v>53</v>
      </c>
      <c r="H452" s="1" t="s">
        <v>841</v>
      </c>
      <c r="I452" s="1" t="s">
        <v>842</v>
      </c>
      <c r="J452" s="1" t="s">
        <v>46</v>
      </c>
      <c r="K452" t="s">
        <v>937</v>
      </c>
      <c r="M452" s="1" t="s">
        <v>58</v>
      </c>
      <c r="N452" s="1">
        <v>0</v>
      </c>
      <c r="O452" s="1" t="s">
        <v>105</v>
      </c>
      <c r="P452" s="11" t="s">
        <v>948</v>
      </c>
      <c r="R452" s="1">
        <v>3</v>
      </c>
      <c r="T452" s="1" t="s">
        <v>646</v>
      </c>
      <c r="U452" s="12">
        <v>44714.390509259261</v>
      </c>
      <c r="V452" s="1" t="s">
        <v>41</v>
      </c>
      <c r="W452" s="1" t="s">
        <v>49</v>
      </c>
      <c r="X452" s="13" t="str">
        <f t="shared" si="54"/>
        <v/>
      </c>
      <c r="Y452" s="2">
        <f t="shared" ca="1" si="49"/>
        <v>196</v>
      </c>
      <c r="Z452" s="14">
        <v>1</v>
      </c>
      <c r="AA452" s="1" t="str">
        <f t="shared" ca="1" si="50"/>
        <v>VENCIDO</v>
      </c>
      <c r="AB452" s="1" t="str">
        <f t="shared" si="51"/>
        <v>C-14</v>
      </c>
      <c r="AC452" s="2" t="str">
        <f t="shared" si="55"/>
        <v xml:space="preserve"> CLEITON </v>
      </c>
      <c r="AD452" s="2">
        <f t="shared" si="52"/>
        <v>5</v>
      </c>
      <c r="AE452" s="2">
        <f t="shared" ca="1" si="53"/>
        <v>-272.2857623842574</v>
      </c>
      <c r="AF452" s="15"/>
    </row>
    <row r="453" spans="1:32" hidden="1">
      <c r="A453" s="1">
        <v>8634599</v>
      </c>
      <c r="B453" s="1" t="s">
        <v>653</v>
      </c>
      <c r="C453" t="s">
        <v>935</v>
      </c>
      <c r="E453" s="2">
        <v>5742001400010</v>
      </c>
      <c r="F453" s="1" t="s">
        <v>936</v>
      </c>
      <c r="G453" s="1" t="s">
        <v>53</v>
      </c>
      <c r="H453" s="1" t="s">
        <v>430</v>
      </c>
      <c r="I453" s="1" t="s">
        <v>431</v>
      </c>
      <c r="J453" s="1" t="s">
        <v>79</v>
      </c>
      <c r="K453" t="s">
        <v>937</v>
      </c>
      <c r="M453" s="1" t="s">
        <v>58</v>
      </c>
      <c r="N453" s="1">
        <v>0</v>
      </c>
      <c r="O453" s="1" t="s">
        <v>105</v>
      </c>
      <c r="P453" s="11" t="s">
        <v>948</v>
      </c>
      <c r="R453" s="1">
        <v>3</v>
      </c>
      <c r="T453" s="1" t="s">
        <v>646</v>
      </c>
      <c r="U453" s="11" t="s">
        <v>949</v>
      </c>
      <c r="V453" s="1" t="s">
        <v>41</v>
      </c>
      <c r="W453" s="1" t="s">
        <v>49</v>
      </c>
      <c r="X453" s="13" t="str">
        <f t="shared" si="54"/>
        <v/>
      </c>
      <c r="Y453" s="2">
        <f t="shared" ca="1" si="49"/>
        <v>196</v>
      </c>
      <c r="Z453" s="14">
        <v>1</v>
      </c>
      <c r="AA453" s="1" t="str">
        <f t="shared" ca="1" si="50"/>
        <v>VENCIDO</v>
      </c>
      <c r="AB453" s="1" t="str">
        <f t="shared" si="51"/>
        <v>C-14</v>
      </c>
      <c r="AC453" s="2" t="str">
        <f t="shared" si="55"/>
        <v xml:space="preserve"> ROSEMERE </v>
      </c>
      <c r="AD453" s="2">
        <f t="shared" si="52"/>
        <v>5</v>
      </c>
      <c r="AE453" s="2">
        <f t="shared" ca="1" si="53"/>
        <v>-272.2857623842574</v>
      </c>
      <c r="AF453" s="15"/>
    </row>
    <row r="454" spans="1:32" hidden="1">
      <c r="A454" s="1">
        <v>8634597</v>
      </c>
      <c r="B454" s="1" t="s">
        <v>653</v>
      </c>
      <c r="C454" t="s">
        <v>935</v>
      </c>
      <c r="E454" s="2">
        <v>5740001400010</v>
      </c>
      <c r="F454" s="1" t="s">
        <v>936</v>
      </c>
      <c r="G454" s="1" t="s">
        <v>53</v>
      </c>
      <c r="H454" s="1" t="s">
        <v>626</v>
      </c>
      <c r="I454" s="1" t="s">
        <v>627</v>
      </c>
      <c r="J454" s="1" t="s">
        <v>46</v>
      </c>
      <c r="K454" t="s">
        <v>937</v>
      </c>
      <c r="M454" s="1" t="s">
        <v>58</v>
      </c>
      <c r="N454" s="1">
        <v>0</v>
      </c>
      <c r="O454" s="1" t="s">
        <v>105</v>
      </c>
      <c r="P454" s="11" t="s">
        <v>948</v>
      </c>
      <c r="R454" s="1">
        <v>3</v>
      </c>
      <c r="T454" s="1" t="s">
        <v>646</v>
      </c>
      <c r="U454" s="11" t="s">
        <v>949</v>
      </c>
      <c r="V454" s="1" t="s">
        <v>41</v>
      </c>
      <c r="W454" s="1" t="s">
        <v>49</v>
      </c>
      <c r="X454" s="13" t="str">
        <f t="shared" si="54"/>
        <v/>
      </c>
      <c r="Y454" s="2">
        <f t="shared" ca="1" si="49"/>
        <v>196</v>
      </c>
      <c r="Z454" s="14">
        <v>1</v>
      </c>
      <c r="AA454" s="1" t="str">
        <f t="shared" ca="1" si="50"/>
        <v>VENCIDO</v>
      </c>
      <c r="AB454" s="1" t="str">
        <f t="shared" si="51"/>
        <v>C-14</v>
      </c>
      <c r="AC454" s="2" t="str">
        <f t="shared" si="55"/>
        <v xml:space="preserve"> CLEITON </v>
      </c>
      <c r="AD454" s="2">
        <f t="shared" si="52"/>
        <v>5</v>
      </c>
      <c r="AE454" s="2">
        <f t="shared" ca="1" si="53"/>
        <v>-272.2857623842574</v>
      </c>
      <c r="AF454" s="15"/>
    </row>
    <row r="455" spans="1:32" hidden="1">
      <c r="A455" s="1">
        <v>8634419</v>
      </c>
      <c r="B455" s="1" t="s">
        <v>653</v>
      </c>
      <c r="C455" t="s">
        <v>935</v>
      </c>
      <c r="E455" s="2">
        <v>4997001400010</v>
      </c>
      <c r="F455" s="1" t="s">
        <v>936</v>
      </c>
      <c r="G455" s="1" t="s">
        <v>53</v>
      </c>
      <c r="H455" s="1" t="s">
        <v>406</v>
      </c>
      <c r="I455" s="1" t="s">
        <v>407</v>
      </c>
      <c r="J455" s="1" t="s">
        <v>79</v>
      </c>
      <c r="K455" t="s">
        <v>937</v>
      </c>
      <c r="M455" s="1" t="s">
        <v>58</v>
      </c>
      <c r="N455" s="1">
        <v>0</v>
      </c>
      <c r="O455" s="1" t="s">
        <v>36</v>
      </c>
      <c r="P455" s="11" t="s">
        <v>950</v>
      </c>
      <c r="R455" s="1">
        <v>3</v>
      </c>
      <c r="T455" s="1" t="s">
        <v>646</v>
      </c>
      <c r="U455" s="11" t="s">
        <v>951</v>
      </c>
      <c r="V455" s="1" t="s">
        <v>41</v>
      </c>
      <c r="W455" s="1" t="s">
        <v>49</v>
      </c>
      <c r="X455" s="13" t="str">
        <f t="shared" si="54"/>
        <v/>
      </c>
      <c r="Y455" s="2">
        <f t="shared" ca="1" si="49"/>
        <v>196</v>
      </c>
      <c r="Z455" s="14">
        <v>1</v>
      </c>
      <c r="AA455" s="1" t="str">
        <f t="shared" ca="1" si="50"/>
        <v>VENCIDO</v>
      </c>
      <c r="AB455" s="1" t="str">
        <f t="shared" si="51"/>
        <v>C-14</v>
      </c>
      <c r="AC455" s="2" t="str">
        <f t="shared" si="55"/>
        <v xml:space="preserve"> ROSEMERE </v>
      </c>
      <c r="AD455" s="2">
        <f t="shared" si="52"/>
        <v>5</v>
      </c>
      <c r="AE455" s="2">
        <f t="shared" ca="1" si="53"/>
        <v>-272.2861674768501</v>
      </c>
      <c r="AF455" s="15"/>
    </row>
    <row r="456" spans="1:32" hidden="1">
      <c r="A456" s="1">
        <v>8634261</v>
      </c>
      <c r="B456" s="1" t="s">
        <v>653</v>
      </c>
      <c r="C456" s="15" t="s">
        <v>935</v>
      </c>
      <c r="E456" s="2">
        <v>4637001400010</v>
      </c>
      <c r="F456" s="1" t="s">
        <v>936</v>
      </c>
      <c r="G456" s="1" t="s">
        <v>53</v>
      </c>
      <c r="H456" s="1" t="s">
        <v>848</v>
      </c>
      <c r="I456" s="1" t="s">
        <v>849</v>
      </c>
      <c r="J456" s="1" t="s">
        <v>79</v>
      </c>
      <c r="K456" t="s">
        <v>937</v>
      </c>
      <c r="M456" s="1" t="s">
        <v>58</v>
      </c>
      <c r="N456" s="1">
        <v>0</v>
      </c>
      <c r="O456" s="1" t="s">
        <v>105</v>
      </c>
      <c r="P456" s="11" t="s">
        <v>952</v>
      </c>
      <c r="R456" s="1">
        <v>3</v>
      </c>
      <c r="T456" s="1" t="s">
        <v>646</v>
      </c>
      <c r="U456" s="11" t="s">
        <v>953</v>
      </c>
      <c r="V456" s="1" t="s">
        <v>41</v>
      </c>
      <c r="W456" s="1" t="s">
        <v>49</v>
      </c>
      <c r="X456" s="13" t="str">
        <f t="shared" si="54"/>
        <v/>
      </c>
      <c r="Y456" s="2">
        <f t="shared" ca="1" si="49"/>
        <v>196</v>
      </c>
      <c r="Z456" s="14">
        <v>1</v>
      </c>
      <c r="AA456" s="1" t="str">
        <f t="shared" ca="1" si="50"/>
        <v>VENCIDO</v>
      </c>
      <c r="AB456" s="1" t="str">
        <f t="shared" si="51"/>
        <v>C-14</v>
      </c>
      <c r="AC456" s="2" t="str">
        <f t="shared" si="55"/>
        <v xml:space="preserve"> ROSEMERE </v>
      </c>
      <c r="AD456" s="2">
        <f t="shared" si="52"/>
        <v>5</v>
      </c>
      <c r="AE456" s="2">
        <f t="shared" ca="1" si="53"/>
        <v>-272.28653784721973</v>
      </c>
      <c r="AF456" s="15"/>
    </row>
    <row r="457" spans="1:32" hidden="1">
      <c r="A457" s="1">
        <v>8634248</v>
      </c>
      <c r="B457" s="1" t="s">
        <v>653</v>
      </c>
      <c r="C457" t="s">
        <v>935</v>
      </c>
      <c r="E457" s="2">
        <v>4623001400010</v>
      </c>
      <c r="F457" s="1" t="s">
        <v>936</v>
      </c>
      <c r="G457" s="1" t="s">
        <v>53</v>
      </c>
      <c r="H457" s="1" t="s">
        <v>669</v>
      </c>
      <c r="I457" s="1" t="s">
        <v>670</v>
      </c>
      <c r="J457" s="1" t="s">
        <v>33</v>
      </c>
      <c r="K457" t="s">
        <v>937</v>
      </c>
      <c r="M457" s="1" t="s">
        <v>58</v>
      </c>
      <c r="N457" s="1">
        <v>0</v>
      </c>
      <c r="O457" s="1" t="s">
        <v>105</v>
      </c>
      <c r="P457" s="11" t="s">
        <v>954</v>
      </c>
      <c r="R457" s="1">
        <v>3</v>
      </c>
      <c r="T457" s="1" t="s">
        <v>646</v>
      </c>
      <c r="U457" s="11" t="s">
        <v>955</v>
      </c>
      <c r="V457" s="1" t="s">
        <v>41</v>
      </c>
      <c r="W457" s="1" t="s">
        <v>42</v>
      </c>
      <c r="X457" s="13" t="str">
        <f t="shared" si="54"/>
        <v/>
      </c>
      <c r="Y457" s="2">
        <f t="shared" ca="1" si="49"/>
        <v>196</v>
      </c>
      <c r="Z457" s="14">
        <v>1</v>
      </c>
      <c r="AA457" s="1" t="str">
        <f t="shared" ca="1" si="50"/>
        <v>VENCIDO</v>
      </c>
      <c r="AB457" s="1" t="str">
        <f t="shared" si="51"/>
        <v>C-14</v>
      </c>
      <c r="AC457" s="2" t="str">
        <f t="shared" si="55"/>
        <v xml:space="preserve"> ROSEMERE </v>
      </c>
      <c r="AD457" s="2">
        <f t="shared" si="52"/>
        <v>5</v>
      </c>
      <c r="AE457" s="2">
        <f t="shared" ca="1" si="53"/>
        <v>-272.28656099537329</v>
      </c>
      <c r="AF457" s="15"/>
    </row>
    <row r="458" spans="1:32" hidden="1">
      <c r="A458" s="1">
        <v>8634067</v>
      </c>
      <c r="B458" s="1" t="s">
        <v>653</v>
      </c>
      <c r="C458" t="s">
        <v>935</v>
      </c>
      <c r="E458" s="2">
        <v>4357001400010</v>
      </c>
      <c r="F458" s="1" t="s">
        <v>936</v>
      </c>
      <c r="G458" s="1" t="s">
        <v>53</v>
      </c>
      <c r="H458" s="1" t="s">
        <v>633</v>
      </c>
      <c r="I458" s="1" t="s">
        <v>634</v>
      </c>
      <c r="J458" s="1" t="s">
        <v>46</v>
      </c>
      <c r="K458" t="s">
        <v>937</v>
      </c>
      <c r="M458" s="1" t="s">
        <v>58</v>
      </c>
      <c r="N458" s="1">
        <v>0</v>
      </c>
      <c r="O458" s="1" t="s">
        <v>105</v>
      </c>
      <c r="P458" s="11" t="s">
        <v>956</v>
      </c>
      <c r="R458" s="1">
        <v>3</v>
      </c>
      <c r="T458" s="1" t="s">
        <v>646</v>
      </c>
      <c r="U458" s="11" t="s">
        <v>957</v>
      </c>
      <c r="V458" s="1" t="s">
        <v>41</v>
      </c>
      <c r="W458" s="1" t="s">
        <v>49</v>
      </c>
      <c r="X458" s="13" t="str">
        <f t="shared" si="54"/>
        <v/>
      </c>
      <c r="Y458" s="2">
        <f t="shared" ca="1" si="49"/>
        <v>196</v>
      </c>
      <c r="Z458" s="14">
        <v>1</v>
      </c>
      <c r="AA458" s="1" t="str">
        <f t="shared" ca="1" si="50"/>
        <v>VENCIDO</v>
      </c>
      <c r="AB458" s="1" t="str">
        <f t="shared" si="51"/>
        <v>C-14</v>
      </c>
      <c r="AC458" s="2" t="str">
        <f t="shared" si="55"/>
        <v xml:space="preserve"> CLEITON </v>
      </c>
      <c r="AD458" s="2">
        <f t="shared" si="52"/>
        <v>5</v>
      </c>
      <c r="AE458" s="2">
        <f t="shared" ca="1" si="53"/>
        <v>-272.28696608796599</v>
      </c>
      <c r="AF458" s="15"/>
    </row>
    <row r="459" spans="1:32" hidden="1">
      <c r="A459" s="1">
        <v>8633996</v>
      </c>
      <c r="B459" s="1" t="s">
        <v>653</v>
      </c>
      <c r="C459" t="s">
        <v>935</v>
      </c>
      <c r="E459" s="2">
        <v>4235001400010</v>
      </c>
      <c r="F459" s="1" t="s">
        <v>936</v>
      </c>
      <c r="G459" s="1" t="s">
        <v>53</v>
      </c>
      <c r="H459" s="1" t="s">
        <v>291</v>
      </c>
      <c r="I459" s="1" t="s">
        <v>292</v>
      </c>
      <c r="J459" s="1" t="s">
        <v>46</v>
      </c>
      <c r="K459" t="s">
        <v>937</v>
      </c>
      <c r="M459" s="1" t="s">
        <v>58</v>
      </c>
      <c r="N459" s="1">
        <v>0</v>
      </c>
      <c r="O459" s="1" t="s">
        <v>105</v>
      </c>
      <c r="P459" s="11" t="s">
        <v>958</v>
      </c>
      <c r="R459" s="1">
        <v>3</v>
      </c>
      <c r="T459" s="1" t="s">
        <v>646</v>
      </c>
      <c r="U459" s="11" t="s">
        <v>959</v>
      </c>
      <c r="V459" s="1" t="s">
        <v>41</v>
      </c>
      <c r="W459" s="1" t="s">
        <v>49</v>
      </c>
      <c r="X459" s="13" t="str">
        <f t="shared" si="54"/>
        <v/>
      </c>
      <c r="Y459" s="2">
        <f t="shared" ca="1" si="49"/>
        <v>196</v>
      </c>
      <c r="Z459" s="14">
        <v>1</v>
      </c>
      <c r="AA459" s="1" t="str">
        <f t="shared" ca="1" si="50"/>
        <v>VENCIDO</v>
      </c>
      <c r="AB459" s="1" t="str">
        <f t="shared" si="51"/>
        <v>C-14</v>
      </c>
      <c r="AC459" s="2" t="str">
        <f t="shared" si="55"/>
        <v xml:space="preserve"> CLEITON </v>
      </c>
      <c r="AD459" s="2">
        <f t="shared" si="52"/>
        <v>5</v>
      </c>
      <c r="AE459" s="2">
        <f t="shared" ca="1" si="53"/>
        <v>-272.2870586805584</v>
      </c>
      <c r="AF459" s="15"/>
    </row>
    <row r="460" spans="1:32" hidden="1">
      <c r="A460" s="1">
        <v>8633901</v>
      </c>
      <c r="B460" s="1" t="s">
        <v>653</v>
      </c>
      <c r="C460" t="s">
        <v>935</v>
      </c>
      <c r="E460" s="2">
        <v>4118001400010</v>
      </c>
      <c r="F460" s="1" t="s">
        <v>936</v>
      </c>
      <c r="G460" s="1" t="s">
        <v>53</v>
      </c>
      <c r="H460" s="1" t="s">
        <v>71</v>
      </c>
      <c r="I460" s="1" t="s">
        <v>72</v>
      </c>
      <c r="J460" s="1" t="s">
        <v>46</v>
      </c>
      <c r="K460" t="s">
        <v>937</v>
      </c>
      <c r="M460" s="1" t="s">
        <v>58</v>
      </c>
      <c r="N460" s="1">
        <v>0</v>
      </c>
      <c r="O460" s="1" t="s">
        <v>105</v>
      </c>
      <c r="P460" s="11" t="s">
        <v>960</v>
      </c>
      <c r="R460" s="1">
        <v>3</v>
      </c>
      <c r="T460" s="1" t="s">
        <v>646</v>
      </c>
      <c r="U460" s="11" t="s">
        <v>961</v>
      </c>
      <c r="V460" s="1" t="s">
        <v>41</v>
      </c>
      <c r="W460" s="1" t="s">
        <v>49</v>
      </c>
      <c r="X460" s="13" t="str">
        <f t="shared" si="54"/>
        <v/>
      </c>
      <c r="Y460" s="2">
        <f t="shared" ca="1" si="49"/>
        <v>196</v>
      </c>
      <c r="Z460" s="14">
        <v>1</v>
      </c>
      <c r="AA460" s="1" t="str">
        <f t="shared" ca="1" si="50"/>
        <v>VENCIDO</v>
      </c>
      <c r="AB460" s="1" t="str">
        <f t="shared" si="51"/>
        <v>C-14</v>
      </c>
      <c r="AC460" s="2" t="str">
        <f t="shared" si="55"/>
        <v xml:space="preserve"> CLEITON </v>
      </c>
      <c r="AD460" s="2">
        <f t="shared" si="52"/>
        <v>5</v>
      </c>
      <c r="AE460" s="2">
        <f t="shared" ca="1" si="53"/>
        <v>-272.28725543981272</v>
      </c>
      <c r="AF460" s="15"/>
    </row>
    <row r="461" spans="1:32" hidden="1">
      <c r="A461" s="1">
        <v>8633745</v>
      </c>
      <c r="B461" s="1" t="s">
        <v>653</v>
      </c>
      <c r="C461" t="s">
        <v>935</v>
      </c>
      <c r="E461" s="2">
        <v>3918001400010</v>
      </c>
      <c r="F461" s="1" t="s">
        <v>936</v>
      </c>
      <c r="G461" s="1" t="s">
        <v>53</v>
      </c>
      <c r="H461" s="1" t="s">
        <v>858</v>
      </c>
      <c r="I461" s="1" t="s">
        <v>859</v>
      </c>
      <c r="J461" s="1" t="s">
        <v>33</v>
      </c>
      <c r="K461" t="s">
        <v>937</v>
      </c>
      <c r="M461" s="1" t="s">
        <v>58</v>
      </c>
      <c r="N461" s="1">
        <v>0</v>
      </c>
      <c r="O461" s="1" t="s">
        <v>105</v>
      </c>
      <c r="P461" s="11" t="s">
        <v>962</v>
      </c>
      <c r="R461" s="1">
        <v>3</v>
      </c>
      <c r="T461" s="1" t="s">
        <v>646</v>
      </c>
      <c r="U461" s="11" t="s">
        <v>963</v>
      </c>
      <c r="V461" s="1" t="s">
        <v>41</v>
      </c>
      <c r="W461" s="1" t="s">
        <v>49</v>
      </c>
      <c r="X461" s="13" t="str">
        <f t="shared" si="54"/>
        <v/>
      </c>
      <c r="Y461" s="2">
        <f t="shared" ca="1" si="49"/>
        <v>196</v>
      </c>
      <c r="Z461" s="14">
        <v>1</v>
      </c>
      <c r="AA461" s="1" t="str">
        <f t="shared" ca="1" si="50"/>
        <v>VENCIDO</v>
      </c>
      <c r="AB461" s="1" t="str">
        <f t="shared" si="51"/>
        <v>C-14</v>
      </c>
      <c r="AC461" s="2" t="str">
        <f t="shared" si="55"/>
        <v xml:space="preserve"> ROSEMERE </v>
      </c>
      <c r="AD461" s="2">
        <f t="shared" si="52"/>
        <v>5</v>
      </c>
      <c r="AE461" s="2">
        <f t="shared" ca="1" si="53"/>
        <v>-272.28762581018236</v>
      </c>
      <c r="AF461" s="15"/>
    </row>
    <row r="462" spans="1:32" hidden="1">
      <c r="A462" s="1">
        <v>8633594</v>
      </c>
      <c r="B462" s="1" t="s">
        <v>653</v>
      </c>
      <c r="C462" t="s">
        <v>935</v>
      </c>
      <c r="E462" s="2">
        <v>3699001400010</v>
      </c>
      <c r="F462" s="1" t="s">
        <v>936</v>
      </c>
      <c r="G462" s="1" t="s">
        <v>53</v>
      </c>
      <c r="H462" s="1" t="s">
        <v>343</v>
      </c>
      <c r="I462" s="1" t="s">
        <v>344</v>
      </c>
      <c r="J462" s="1" t="s">
        <v>46</v>
      </c>
      <c r="K462" t="s">
        <v>937</v>
      </c>
      <c r="M462" s="1" t="s">
        <v>58</v>
      </c>
      <c r="N462" s="1">
        <v>0</v>
      </c>
      <c r="O462" s="1" t="s">
        <v>105</v>
      </c>
      <c r="P462" s="11" t="s">
        <v>964</v>
      </c>
      <c r="R462" s="1">
        <v>3</v>
      </c>
      <c r="T462" s="1" t="s">
        <v>646</v>
      </c>
      <c r="U462" s="11" t="s">
        <v>965</v>
      </c>
      <c r="V462" s="1" t="s">
        <v>41</v>
      </c>
      <c r="W462" s="1" t="s">
        <v>49</v>
      </c>
      <c r="X462" s="13" t="str">
        <f t="shared" si="54"/>
        <v/>
      </c>
      <c r="Y462" s="2">
        <f t="shared" ca="1" si="49"/>
        <v>196</v>
      </c>
      <c r="Z462" s="14">
        <v>1</v>
      </c>
      <c r="AA462" s="1" t="str">
        <f t="shared" ca="1" si="50"/>
        <v>VENCIDO</v>
      </c>
      <c r="AB462" s="1" t="str">
        <f t="shared" si="51"/>
        <v>C-14</v>
      </c>
      <c r="AC462" s="2" t="str">
        <f t="shared" si="55"/>
        <v xml:space="preserve"> CLEITON </v>
      </c>
      <c r="AD462" s="2">
        <f t="shared" si="52"/>
        <v>5</v>
      </c>
      <c r="AE462" s="2">
        <f t="shared" ca="1" si="53"/>
        <v>-272.28791516203637</v>
      </c>
      <c r="AF462" s="15"/>
    </row>
    <row r="463" spans="1:32" hidden="1">
      <c r="A463" s="1">
        <v>8633518</v>
      </c>
      <c r="B463" s="1" t="s">
        <v>653</v>
      </c>
      <c r="C463" t="s">
        <v>935</v>
      </c>
      <c r="E463" s="2">
        <v>3613001400010</v>
      </c>
      <c r="F463" s="1" t="s">
        <v>936</v>
      </c>
      <c r="G463" s="1" t="s">
        <v>53</v>
      </c>
      <c r="H463" s="1" t="s">
        <v>679</v>
      </c>
      <c r="I463" s="1" t="s">
        <v>680</v>
      </c>
      <c r="J463" s="1" t="s">
        <v>46</v>
      </c>
      <c r="K463" t="s">
        <v>937</v>
      </c>
      <c r="M463" s="1" t="s">
        <v>58</v>
      </c>
      <c r="N463" s="1">
        <v>0</v>
      </c>
      <c r="O463" s="1" t="s">
        <v>105</v>
      </c>
      <c r="P463" s="11" t="s">
        <v>966</v>
      </c>
      <c r="R463" s="1">
        <v>3</v>
      </c>
      <c r="T463" s="1" t="s">
        <v>646</v>
      </c>
      <c r="U463" s="11" t="s">
        <v>967</v>
      </c>
      <c r="V463" s="1" t="s">
        <v>41</v>
      </c>
      <c r="W463" s="1" t="s">
        <v>49</v>
      </c>
      <c r="X463" s="13" t="str">
        <f t="shared" si="54"/>
        <v/>
      </c>
      <c r="Y463" s="2">
        <f t="shared" ca="1" si="49"/>
        <v>196</v>
      </c>
      <c r="Z463" s="14">
        <v>1</v>
      </c>
      <c r="AA463" s="1" t="str">
        <f t="shared" ca="1" si="50"/>
        <v>VENCIDO</v>
      </c>
      <c r="AB463" s="1" t="str">
        <f t="shared" si="51"/>
        <v>C-14</v>
      </c>
      <c r="AC463" s="2" t="str">
        <f t="shared" si="55"/>
        <v xml:space="preserve"> CLEITON </v>
      </c>
      <c r="AD463" s="2">
        <f t="shared" si="52"/>
        <v>5</v>
      </c>
      <c r="AE463" s="2">
        <f t="shared" ca="1" si="53"/>
        <v>-272.28810034722119</v>
      </c>
      <c r="AF463" s="15"/>
    </row>
    <row r="464" spans="1:32" hidden="1">
      <c r="A464" s="1">
        <v>8633517</v>
      </c>
      <c r="B464" s="1" t="s">
        <v>653</v>
      </c>
      <c r="C464" t="s">
        <v>935</v>
      </c>
      <c r="E464" s="2">
        <v>3612001400010</v>
      </c>
      <c r="F464" s="1" t="s">
        <v>936</v>
      </c>
      <c r="G464" s="1" t="s">
        <v>53</v>
      </c>
      <c r="H464" s="1" t="s">
        <v>683</v>
      </c>
      <c r="I464" s="1" t="s">
        <v>684</v>
      </c>
      <c r="J464" s="1" t="s">
        <v>46</v>
      </c>
      <c r="K464" t="s">
        <v>937</v>
      </c>
      <c r="M464" s="1" t="s">
        <v>58</v>
      </c>
      <c r="N464" s="1">
        <v>0</v>
      </c>
      <c r="O464" s="1" t="s">
        <v>105</v>
      </c>
      <c r="P464" s="11" t="s">
        <v>966</v>
      </c>
      <c r="R464" s="1">
        <v>3</v>
      </c>
      <c r="T464" s="1" t="s">
        <v>646</v>
      </c>
      <c r="U464" s="11" t="s">
        <v>967</v>
      </c>
      <c r="V464" s="1" t="s">
        <v>41</v>
      </c>
      <c r="W464" s="1" t="s">
        <v>49</v>
      </c>
      <c r="X464" s="13" t="str">
        <f t="shared" si="54"/>
        <v/>
      </c>
      <c r="Y464" s="2">
        <f t="shared" ca="1" si="49"/>
        <v>196</v>
      </c>
      <c r="Z464" s="14">
        <v>1</v>
      </c>
      <c r="AA464" s="1" t="str">
        <f t="shared" ca="1" si="50"/>
        <v>VENCIDO</v>
      </c>
      <c r="AB464" s="1" t="str">
        <f t="shared" si="51"/>
        <v>C-14</v>
      </c>
      <c r="AC464" s="2" t="str">
        <f t="shared" si="55"/>
        <v xml:space="preserve"> CLEITON </v>
      </c>
      <c r="AD464" s="2">
        <f t="shared" si="52"/>
        <v>5</v>
      </c>
      <c r="AE464" s="2">
        <f t="shared" ca="1" si="53"/>
        <v>-272.28810034722119</v>
      </c>
      <c r="AF464" s="15"/>
    </row>
    <row r="465" spans="1:32" hidden="1">
      <c r="A465" s="1">
        <v>8633446</v>
      </c>
      <c r="B465" s="1" t="s">
        <v>653</v>
      </c>
      <c r="C465" t="s">
        <v>935</v>
      </c>
      <c r="E465" s="2">
        <v>3504001400010</v>
      </c>
      <c r="F465" s="1" t="s">
        <v>936</v>
      </c>
      <c r="G465" s="1" t="s">
        <v>53</v>
      </c>
      <c r="H465" s="1" t="s">
        <v>585</v>
      </c>
      <c r="I465" s="1" t="s">
        <v>586</v>
      </c>
      <c r="J465" s="1" t="s">
        <v>46</v>
      </c>
      <c r="K465" t="s">
        <v>937</v>
      </c>
      <c r="M465" s="1" t="s">
        <v>58</v>
      </c>
      <c r="N465" s="1">
        <v>0</v>
      </c>
      <c r="O465" s="1" t="s">
        <v>105</v>
      </c>
      <c r="P465" s="11" t="s">
        <v>968</v>
      </c>
      <c r="R465" s="1">
        <v>3</v>
      </c>
      <c r="T465" s="1" t="s">
        <v>646</v>
      </c>
      <c r="U465" s="11" t="s">
        <v>969</v>
      </c>
      <c r="V465" s="1" t="s">
        <v>41</v>
      </c>
      <c r="W465" s="1" t="s">
        <v>49</v>
      </c>
      <c r="X465" s="13" t="str">
        <f t="shared" si="54"/>
        <v/>
      </c>
      <c r="Y465" s="2">
        <f t="shared" ca="1" si="49"/>
        <v>196</v>
      </c>
      <c r="Z465" s="14">
        <v>1</v>
      </c>
      <c r="AA465" s="1" t="str">
        <f t="shared" ca="1" si="50"/>
        <v>VENCIDO</v>
      </c>
      <c r="AB465" s="1" t="str">
        <f t="shared" si="51"/>
        <v>C-14</v>
      </c>
      <c r="AC465" s="2" t="str">
        <f t="shared" si="55"/>
        <v xml:space="preserve"> CLEITON </v>
      </c>
      <c r="AD465" s="2">
        <f t="shared" si="52"/>
        <v>5</v>
      </c>
      <c r="AE465" s="2">
        <f t="shared" ca="1" si="53"/>
        <v>-272.2882739583365</v>
      </c>
      <c r="AF465" s="15"/>
    </row>
    <row r="466" spans="1:32" hidden="1">
      <c r="A466" s="1">
        <v>8633445</v>
      </c>
      <c r="B466" s="1" t="s">
        <v>653</v>
      </c>
      <c r="C466" t="s">
        <v>935</v>
      </c>
      <c r="E466" s="2">
        <v>3503001400010</v>
      </c>
      <c r="F466" s="1" t="s">
        <v>936</v>
      </c>
      <c r="G466" s="1" t="s">
        <v>53</v>
      </c>
      <c r="H466" s="1" t="s">
        <v>398</v>
      </c>
      <c r="I466" s="1" t="s">
        <v>399</v>
      </c>
      <c r="J466" s="1" t="s">
        <v>46</v>
      </c>
      <c r="K466" t="s">
        <v>937</v>
      </c>
      <c r="M466" s="1" t="s">
        <v>58</v>
      </c>
      <c r="N466" s="1">
        <v>0</v>
      </c>
      <c r="O466" s="1" t="s">
        <v>105</v>
      </c>
      <c r="P466" s="11" t="s">
        <v>968</v>
      </c>
      <c r="R466" s="1">
        <v>3</v>
      </c>
      <c r="T466" s="1" t="s">
        <v>646</v>
      </c>
      <c r="U466" s="11" t="s">
        <v>969</v>
      </c>
      <c r="V466" s="1" t="s">
        <v>41</v>
      </c>
      <c r="W466" s="1" t="s">
        <v>49</v>
      </c>
      <c r="X466" s="13" t="str">
        <f t="shared" si="54"/>
        <v/>
      </c>
      <c r="Y466" s="2">
        <f t="shared" ca="1" si="49"/>
        <v>196</v>
      </c>
      <c r="Z466" s="14">
        <v>1</v>
      </c>
      <c r="AA466" s="1" t="str">
        <f t="shared" ca="1" si="50"/>
        <v>VENCIDO</v>
      </c>
      <c r="AB466" s="1" t="str">
        <f t="shared" si="51"/>
        <v>C-14</v>
      </c>
      <c r="AC466" s="2" t="str">
        <f t="shared" si="55"/>
        <v xml:space="preserve"> CLEITON </v>
      </c>
      <c r="AD466" s="2">
        <f t="shared" si="52"/>
        <v>5</v>
      </c>
      <c r="AE466" s="2">
        <f t="shared" ca="1" si="53"/>
        <v>-272.2882739583365</v>
      </c>
      <c r="AF466" s="15"/>
    </row>
    <row r="467" spans="1:32" hidden="1">
      <c r="A467" s="1">
        <v>8633297</v>
      </c>
      <c r="B467" s="1" t="s">
        <v>653</v>
      </c>
      <c r="C467" t="s">
        <v>935</v>
      </c>
      <c r="E467" s="2">
        <v>3258001400010</v>
      </c>
      <c r="F467" s="1" t="s">
        <v>936</v>
      </c>
      <c r="G467" s="1" t="s">
        <v>53</v>
      </c>
      <c r="H467" s="1" t="s">
        <v>321</v>
      </c>
      <c r="I467" s="1" t="s">
        <v>322</v>
      </c>
      <c r="J467" s="1" t="s">
        <v>46</v>
      </c>
      <c r="K467" t="s">
        <v>937</v>
      </c>
      <c r="M467" s="1" t="s">
        <v>58</v>
      </c>
      <c r="N467" s="1">
        <v>0</v>
      </c>
      <c r="O467" s="1" t="s">
        <v>105</v>
      </c>
      <c r="P467" s="11" t="s">
        <v>970</v>
      </c>
      <c r="R467" s="1">
        <v>3</v>
      </c>
      <c r="T467" s="1" t="s">
        <v>646</v>
      </c>
      <c r="U467" s="11" t="s">
        <v>971</v>
      </c>
      <c r="V467" s="1" t="s">
        <v>41</v>
      </c>
      <c r="W467" s="1" t="s">
        <v>49</v>
      </c>
      <c r="X467" s="13" t="str">
        <f t="shared" si="54"/>
        <v/>
      </c>
      <c r="Y467" s="2">
        <f t="shared" ca="1" si="49"/>
        <v>196</v>
      </c>
      <c r="Z467" s="14">
        <v>1</v>
      </c>
      <c r="AA467" s="1" t="str">
        <f t="shared" ca="1" si="50"/>
        <v>VENCIDO</v>
      </c>
      <c r="AB467" s="1" t="str">
        <f t="shared" si="51"/>
        <v>C-14</v>
      </c>
      <c r="AC467" s="2" t="str">
        <f t="shared" si="55"/>
        <v xml:space="preserve"> CLEITON </v>
      </c>
      <c r="AD467" s="2">
        <f t="shared" si="52"/>
        <v>5</v>
      </c>
      <c r="AE467" s="2">
        <f t="shared" ca="1" si="53"/>
        <v>-272.28852858796017</v>
      </c>
      <c r="AF467" s="15"/>
    </row>
    <row r="468" spans="1:32" hidden="1">
      <c r="A468" s="1">
        <v>8633288</v>
      </c>
      <c r="B468" s="1" t="s">
        <v>653</v>
      </c>
      <c r="C468" t="s">
        <v>935</v>
      </c>
      <c r="E468" s="2">
        <v>3250001400010</v>
      </c>
      <c r="F468" s="1" t="s">
        <v>936</v>
      </c>
      <c r="G468" s="1" t="s">
        <v>53</v>
      </c>
      <c r="H468" s="1" t="s">
        <v>371</v>
      </c>
      <c r="I468" s="1" t="s">
        <v>372</v>
      </c>
      <c r="J468" s="1" t="s">
        <v>46</v>
      </c>
      <c r="K468" t="s">
        <v>937</v>
      </c>
      <c r="M468" s="1" t="s">
        <v>58</v>
      </c>
      <c r="N468" s="1">
        <v>0</v>
      </c>
      <c r="O468" s="1" t="s">
        <v>105</v>
      </c>
      <c r="P468" s="11" t="s">
        <v>972</v>
      </c>
      <c r="R468" s="1">
        <v>3</v>
      </c>
      <c r="T468" s="1" t="s">
        <v>646</v>
      </c>
      <c r="U468" s="11" t="s">
        <v>973</v>
      </c>
      <c r="V468" s="1" t="s">
        <v>41</v>
      </c>
      <c r="W468" s="1" t="s">
        <v>49</v>
      </c>
      <c r="X468" s="13" t="str">
        <f t="shared" si="54"/>
        <v/>
      </c>
      <c r="Y468" s="2">
        <f t="shared" ca="1" si="49"/>
        <v>196</v>
      </c>
      <c r="Z468" s="14">
        <v>1</v>
      </c>
      <c r="AA468" s="1" t="str">
        <f t="shared" ca="1" si="50"/>
        <v>VENCIDO</v>
      </c>
      <c r="AB468" s="1" t="str">
        <f t="shared" si="51"/>
        <v>C-14</v>
      </c>
      <c r="AC468" s="2" t="str">
        <f t="shared" si="55"/>
        <v xml:space="preserve"> CLEITON </v>
      </c>
      <c r="AD468" s="2">
        <f t="shared" si="52"/>
        <v>5</v>
      </c>
      <c r="AE468" s="2">
        <f t="shared" ca="1" si="53"/>
        <v>-272.28854016203695</v>
      </c>
      <c r="AF468" s="15"/>
    </row>
    <row r="469" spans="1:32" hidden="1">
      <c r="A469" s="1">
        <v>8633283</v>
      </c>
      <c r="B469" s="1" t="s">
        <v>653</v>
      </c>
      <c r="C469" t="s">
        <v>935</v>
      </c>
      <c r="E469" s="2">
        <v>3243001400010</v>
      </c>
      <c r="F469" s="1" t="s">
        <v>936</v>
      </c>
      <c r="G469" s="1" t="s">
        <v>53</v>
      </c>
      <c r="H469" s="1" t="s">
        <v>282</v>
      </c>
      <c r="I469" s="1" t="s">
        <v>283</v>
      </c>
      <c r="J469" s="1" t="s">
        <v>46</v>
      </c>
      <c r="K469" t="s">
        <v>937</v>
      </c>
      <c r="M469" s="1" t="s">
        <v>58</v>
      </c>
      <c r="N469" s="1">
        <v>0</v>
      </c>
      <c r="O469" s="1" t="s">
        <v>105</v>
      </c>
      <c r="P469" s="11" t="s">
        <v>974</v>
      </c>
      <c r="R469" s="1">
        <v>3</v>
      </c>
      <c r="T469" s="1" t="s">
        <v>646</v>
      </c>
      <c r="U469" s="11" t="s">
        <v>975</v>
      </c>
      <c r="V469" s="1" t="s">
        <v>41</v>
      </c>
      <c r="W469" s="1" t="s">
        <v>49</v>
      </c>
      <c r="X469" s="13" t="str">
        <f t="shared" si="54"/>
        <v/>
      </c>
      <c r="Y469" s="2">
        <f t="shared" ca="1" si="49"/>
        <v>196</v>
      </c>
      <c r="Z469" s="14">
        <v>1</v>
      </c>
      <c r="AA469" s="1" t="str">
        <f t="shared" ca="1" si="50"/>
        <v>VENCIDO</v>
      </c>
      <c r="AB469" s="1" t="str">
        <f t="shared" si="51"/>
        <v>C-14</v>
      </c>
      <c r="AC469" s="2" t="str">
        <f t="shared" si="55"/>
        <v xml:space="preserve"> CLEITON </v>
      </c>
      <c r="AD469" s="2">
        <f t="shared" si="52"/>
        <v>5</v>
      </c>
      <c r="AE469" s="2">
        <f t="shared" ca="1" si="53"/>
        <v>-272.28855173611373</v>
      </c>
      <c r="AF469" s="15"/>
    </row>
    <row r="470" spans="1:32" hidden="1">
      <c r="A470" s="1">
        <v>8633279</v>
      </c>
      <c r="B470" s="1" t="s">
        <v>653</v>
      </c>
      <c r="C470" t="s">
        <v>935</v>
      </c>
      <c r="E470" s="2">
        <v>3234171400010</v>
      </c>
      <c r="F470" s="1" t="s">
        <v>936</v>
      </c>
      <c r="G470" s="1" t="s">
        <v>53</v>
      </c>
      <c r="H470" s="1" t="s">
        <v>799</v>
      </c>
      <c r="I470" s="1" t="s">
        <v>800</v>
      </c>
      <c r="J470" s="1" t="s">
        <v>46</v>
      </c>
      <c r="K470" t="s">
        <v>937</v>
      </c>
      <c r="M470" s="1" t="s">
        <v>58</v>
      </c>
      <c r="N470" s="1">
        <v>0</v>
      </c>
      <c r="O470" s="1" t="s">
        <v>105</v>
      </c>
      <c r="P470" s="12">
        <v>44713.387719907405</v>
      </c>
      <c r="R470" s="1">
        <v>3</v>
      </c>
      <c r="T470" s="1" t="s">
        <v>646</v>
      </c>
      <c r="U470" s="12">
        <v>44714.387719907405</v>
      </c>
      <c r="V470" s="1" t="s">
        <v>41</v>
      </c>
      <c r="W470" s="1" t="s">
        <v>49</v>
      </c>
      <c r="X470" s="13" t="str">
        <f t="shared" si="54"/>
        <v>3234.17</v>
      </c>
      <c r="Y470" s="2">
        <f t="shared" ca="1" si="49"/>
        <v>196</v>
      </c>
      <c r="Z470" s="14">
        <v>1</v>
      </c>
      <c r="AA470" s="1" t="str">
        <f t="shared" ca="1" si="50"/>
        <v>VENCIDO</v>
      </c>
      <c r="AB470" s="1" t="str">
        <f t="shared" si="51"/>
        <v>C-14</v>
      </c>
      <c r="AC470" s="2" t="str">
        <f t="shared" si="55"/>
        <v xml:space="preserve"> CLEITON </v>
      </c>
      <c r="AD470" s="2">
        <f t="shared" si="52"/>
        <v>5</v>
      </c>
      <c r="AE470" s="2">
        <f t="shared" ca="1" si="53"/>
        <v>-272.28855173611373</v>
      </c>
      <c r="AF470" s="15"/>
    </row>
    <row r="471" spans="1:32" hidden="1">
      <c r="A471" s="1">
        <v>8633278</v>
      </c>
      <c r="B471" s="1" t="s">
        <v>653</v>
      </c>
      <c r="C471" t="s">
        <v>935</v>
      </c>
      <c r="E471" s="2">
        <v>3234161400010</v>
      </c>
      <c r="F471" s="1" t="s">
        <v>936</v>
      </c>
      <c r="G471" s="1" t="s">
        <v>53</v>
      </c>
      <c r="H471" s="1" t="s">
        <v>499</v>
      </c>
      <c r="I471" s="1" t="s">
        <v>500</v>
      </c>
      <c r="J471" s="1" t="s">
        <v>46</v>
      </c>
      <c r="K471" t="s">
        <v>937</v>
      </c>
      <c r="M471" s="1" t="s">
        <v>58</v>
      </c>
      <c r="N471" s="1">
        <v>0</v>
      </c>
      <c r="O471" s="1" t="s">
        <v>105</v>
      </c>
      <c r="P471" s="12">
        <v>44713.387708333335</v>
      </c>
      <c r="R471" s="1">
        <v>3</v>
      </c>
      <c r="T471" s="1" t="s">
        <v>646</v>
      </c>
      <c r="U471" s="12">
        <v>44714.387719907405</v>
      </c>
      <c r="V471" s="1" t="s">
        <v>41</v>
      </c>
      <c r="W471" s="1" t="s">
        <v>49</v>
      </c>
      <c r="X471" s="13" t="str">
        <f t="shared" si="54"/>
        <v>3234.16</v>
      </c>
      <c r="Y471" s="2">
        <f t="shared" ca="1" si="49"/>
        <v>196</v>
      </c>
      <c r="Z471" s="14">
        <v>1</v>
      </c>
      <c r="AA471" s="1" t="str">
        <f t="shared" ca="1" si="50"/>
        <v>VENCIDO</v>
      </c>
      <c r="AB471" s="1" t="str">
        <f t="shared" si="51"/>
        <v>C-14</v>
      </c>
      <c r="AC471" s="2" t="str">
        <f t="shared" si="55"/>
        <v xml:space="preserve"> CLEITON </v>
      </c>
      <c r="AD471" s="2">
        <f t="shared" si="52"/>
        <v>5</v>
      </c>
      <c r="AE471" s="2">
        <f t="shared" ca="1" si="53"/>
        <v>-272.28855173611373</v>
      </c>
      <c r="AF471" s="15"/>
    </row>
    <row r="472" spans="1:32" hidden="1">
      <c r="A472" s="1">
        <v>8633277</v>
      </c>
      <c r="B472" s="1" t="s">
        <v>653</v>
      </c>
      <c r="C472" t="s">
        <v>935</v>
      </c>
      <c r="E472" s="2">
        <v>3234151400010</v>
      </c>
      <c r="F472" s="1" t="s">
        <v>936</v>
      </c>
      <c r="G472" s="1" t="s">
        <v>53</v>
      </c>
      <c r="H472" s="1" t="s">
        <v>629</v>
      </c>
      <c r="I472" s="1" t="s">
        <v>630</v>
      </c>
      <c r="J472" s="1" t="s">
        <v>46</v>
      </c>
      <c r="K472" t="s">
        <v>937</v>
      </c>
      <c r="M472" s="1" t="s">
        <v>58</v>
      </c>
      <c r="N472" s="1">
        <v>0</v>
      </c>
      <c r="O472" s="1" t="s">
        <v>105</v>
      </c>
      <c r="P472" s="11" t="s">
        <v>976</v>
      </c>
      <c r="R472" s="1">
        <v>3</v>
      </c>
      <c r="T472" s="1" t="s">
        <v>646</v>
      </c>
      <c r="U472" s="11" t="s">
        <v>977</v>
      </c>
      <c r="V472" s="1" t="s">
        <v>41</v>
      </c>
      <c r="W472" s="1" t="s">
        <v>49</v>
      </c>
      <c r="X472" s="13" t="str">
        <f t="shared" si="54"/>
        <v>3234.15</v>
      </c>
      <c r="Y472" s="2">
        <f t="shared" ca="1" si="49"/>
        <v>196</v>
      </c>
      <c r="Z472" s="14">
        <v>1</v>
      </c>
      <c r="AA472" s="1" t="str">
        <f t="shared" ca="1" si="50"/>
        <v>VENCIDO</v>
      </c>
      <c r="AB472" s="1" t="str">
        <f t="shared" si="51"/>
        <v>C-14</v>
      </c>
      <c r="AC472" s="2" t="str">
        <f t="shared" si="55"/>
        <v xml:space="preserve"> CLEITON </v>
      </c>
      <c r="AD472" s="2">
        <f t="shared" si="52"/>
        <v>5</v>
      </c>
      <c r="AE472" s="2">
        <f t="shared" ca="1" si="53"/>
        <v>-272.28856331018324</v>
      </c>
      <c r="AF472" s="15"/>
    </row>
    <row r="473" spans="1:32" hidden="1">
      <c r="A473" s="1">
        <v>8633187</v>
      </c>
      <c r="B473" s="1" t="s">
        <v>653</v>
      </c>
      <c r="C473" t="s">
        <v>935</v>
      </c>
      <c r="E473" s="2">
        <v>3108011400010</v>
      </c>
      <c r="F473" s="1" t="s">
        <v>936</v>
      </c>
      <c r="G473" s="1" t="s">
        <v>53</v>
      </c>
      <c r="H473" s="1" t="s">
        <v>503</v>
      </c>
      <c r="I473" s="1" t="s">
        <v>504</v>
      </c>
      <c r="J473" s="1" t="s">
        <v>46</v>
      </c>
      <c r="K473" t="s">
        <v>937</v>
      </c>
      <c r="M473" s="1" t="s">
        <v>58</v>
      </c>
      <c r="N473" s="1">
        <v>0</v>
      </c>
      <c r="O473" s="1" t="s">
        <v>105</v>
      </c>
      <c r="P473" s="11" t="s">
        <v>978</v>
      </c>
      <c r="R473" s="1">
        <v>3</v>
      </c>
      <c r="T473" s="1" t="s">
        <v>646</v>
      </c>
      <c r="U473" s="11" t="s">
        <v>979</v>
      </c>
      <c r="V473" s="1" t="s">
        <v>41</v>
      </c>
      <c r="W473" s="1" t="s">
        <v>49</v>
      </c>
      <c r="X473" s="13" t="str">
        <f t="shared" si="54"/>
        <v>3108.01</v>
      </c>
      <c r="Y473" s="2">
        <f t="shared" ca="1" si="49"/>
        <v>196</v>
      </c>
      <c r="Z473" s="14">
        <v>1</v>
      </c>
      <c r="AA473" s="1" t="str">
        <f t="shared" ca="1" si="50"/>
        <v>VENCIDO</v>
      </c>
      <c r="AB473" s="1" t="str">
        <f t="shared" si="51"/>
        <v>C-14</v>
      </c>
      <c r="AC473" s="2" t="str">
        <f t="shared" si="55"/>
        <v xml:space="preserve"> CLEITON </v>
      </c>
      <c r="AD473" s="2">
        <f t="shared" si="52"/>
        <v>5</v>
      </c>
      <c r="AE473" s="2">
        <f t="shared" ca="1" si="53"/>
        <v>-272.28872534722177</v>
      </c>
      <c r="AF473" s="15"/>
    </row>
    <row r="474" spans="1:32" hidden="1">
      <c r="A474" s="1">
        <v>8633186</v>
      </c>
      <c r="B474" s="1" t="s">
        <v>653</v>
      </c>
      <c r="C474" t="s">
        <v>935</v>
      </c>
      <c r="E474" s="2">
        <v>3108001400010</v>
      </c>
      <c r="F474" s="1" t="s">
        <v>936</v>
      </c>
      <c r="G474" s="1" t="s">
        <v>53</v>
      </c>
      <c r="H474" s="1" t="s">
        <v>325</v>
      </c>
      <c r="I474" s="1" t="s">
        <v>326</v>
      </c>
      <c r="J474" s="1" t="s">
        <v>46</v>
      </c>
      <c r="K474" t="s">
        <v>937</v>
      </c>
      <c r="M474" s="1" t="s">
        <v>58</v>
      </c>
      <c r="N474" s="1">
        <v>0</v>
      </c>
      <c r="O474" s="1" t="s">
        <v>105</v>
      </c>
      <c r="P474" s="11" t="s">
        <v>978</v>
      </c>
      <c r="R474" s="1">
        <v>3</v>
      </c>
      <c r="T474" s="1" t="s">
        <v>646</v>
      </c>
      <c r="U474" s="11" t="s">
        <v>979</v>
      </c>
      <c r="V474" s="1" t="s">
        <v>41</v>
      </c>
      <c r="W474" s="1" t="s">
        <v>49</v>
      </c>
      <c r="X474" s="13" t="str">
        <f t="shared" si="54"/>
        <v/>
      </c>
      <c r="Y474" s="2">
        <f t="shared" ca="1" si="49"/>
        <v>196</v>
      </c>
      <c r="Z474" s="14">
        <v>1</v>
      </c>
      <c r="AA474" s="1" t="str">
        <f t="shared" ca="1" si="50"/>
        <v>VENCIDO</v>
      </c>
      <c r="AB474" s="1" t="str">
        <f t="shared" si="51"/>
        <v>C-14</v>
      </c>
      <c r="AC474" s="2" t="str">
        <f t="shared" si="55"/>
        <v xml:space="preserve"> CLEITON </v>
      </c>
      <c r="AD474" s="2">
        <f t="shared" si="52"/>
        <v>5</v>
      </c>
      <c r="AE474" s="2">
        <f t="shared" ca="1" si="53"/>
        <v>-272.28872534722177</v>
      </c>
      <c r="AF474" s="15"/>
    </row>
    <row r="475" spans="1:32" hidden="1">
      <c r="A475" s="1">
        <v>8633096</v>
      </c>
      <c r="B475" s="1" t="s">
        <v>653</v>
      </c>
      <c r="C475" t="s">
        <v>935</v>
      </c>
      <c r="E475" s="2">
        <v>2988001400010</v>
      </c>
      <c r="F475" s="1" t="s">
        <v>936</v>
      </c>
      <c r="G475" s="1" t="s">
        <v>53</v>
      </c>
      <c r="H475" s="1" t="s">
        <v>536</v>
      </c>
      <c r="I475" s="1" t="s">
        <v>537</v>
      </c>
      <c r="J475" s="1" t="s">
        <v>46</v>
      </c>
      <c r="K475" t="s">
        <v>937</v>
      </c>
      <c r="M475" s="1" t="s">
        <v>58</v>
      </c>
      <c r="N475" s="1">
        <v>0</v>
      </c>
      <c r="O475" s="1" t="s">
        <v>105</v>
      </c>
      <c r="P475" s="11" t="s">
        <v>980</v>
      </c>
      <c r="R475" s="1">
        <v>3</v>
      </c>
      <c r="T475" s="1" t="s">
        <v>646</v>
      </c>
      <c r="U475" s="11" t="s">
        <v>981</v>
      </c>
      <c r="V475" s="1" t="s">
        <v>41</v>
      </c>
      <c r="W475" s="1" t="s">
        <v>49</v>
      </c>
      <c r="X475" s="13" t="str">
        <f t="shared" si="54"/>
        <v/>
      </c>
      <c r="Y475" s="2">
        <f t="shared" ca="1" si="49"/>
        <v>196</v>
      </c>
      <c r="Z475" s="14">
        <v>1</v>
      </c>
      <c r="AA475" s="1" t="str">
        <f t="shared" ca="1" si="50"/>
        <v>VENCIDO</v>
      </c>
      <c r="AB475" s="1" t="str">
        <f t="shared" si="51"/>
        <v>C-14</v>
      </c>
      <c r="AC475" s="2" t="str">
        <f t="shared" si="55"/>
        <v xml:space="preserve"> CLEITON </v>
      </c>
      <c r="AD475" s="2">
        <f t="shared" si="52"/>
        <v>5</v>
      </c>
      <c r="AE475" s="2">
        <f t="shared" ca="1" si="53"/>
        <v>-272.28889895833709</v>
      </c>
      <c r="AF475" s="15"/>
    </row>
    <row r="476" spans="1:32" hidden="1">
      <c r="A476" s="1">
        <v>8633016</v>
      </c>
      <c r="B476" s="1" t="s">
        <v>653</v>
      </c>
      <c r="C476" t="s">
        <v>935</v>
      </c>
      <c r="E476" s="2">
        <v>2889001400010</v>
      </c>
      <c r="F476" s="1" t="s">
        <v>936</v>
      </c>
      <c r="G476" s="1" t="s">
        <v>53</v>
      </c>
      <c r="H476" s="1" t="s">
        <v>418</v>
      </c>
      <c r="I476" s="1" t="s">
        <v>419</v>
      </c>
      <c r="J476" s="1" t="s">
        <v>46</v>
      </c>
      <c r="K476" t="s">
        <v>937</v>
      </c>
      <c r="M476" s="1" t="s">
        <v>58</v>
      </c>
      <c r="N476" s="1">
        <v>0</v>
      </c>
      <c r="O476" s="1" t="s">
        <v>105</v>
      </c>
      <c r="P476" s="11" t="s">
        <v>982</v>
      </c>
      <c r="R476" s="1">
        <v>3</v>
      </c>
      <c r="T476" s="1" t="s">
        <v>646</v>
      </c>
      <c r="U476" s="11" t="s">
        <v>983</v>
      </c>
      <c r="V476" s="1" t="s">
        <v>41</v>
      </c>
      <c r="W476" s="1" t="s">
        <v>49</v>
      </c>
      <c r="X476" s="13" t="str">
        <f t="shared" si="54"/>
        <v/>
      </c>
      <c r="Y476" s="2">
        <f t="shared" ca="1" si="49"/>
        <v>196</v>
      </c>
      <c r="Z476" s="14">
        <v>1</v>
      </c>
      <c r="AA476" s="1" t="str">
        <f t="shared" ca="1" si="50"/>
        <v>VENCIDO</v>
      </c>
      <c r="AB476" s="1" t="str">
        <f t="shared" si="51"/>
        <v>C-14</v>
      </c>
      <c r="AC476" s="2" t="str">
        <f t="shared" si="55"/>
        <v xml:space="preserve"> CLEITON </v>
      </c>
      <c r="AD476" s="2">
        <f t="shared" si="52"/>
        <v>5</v>
      </c>
      <c r="AE476" s="2">
        <f t="shared" ca="1" si="53"/>
        <v>-272.28906099536835</v>
      </c>
      <c r="AF476" s="15"/>
    </row>
    <row r="477" spans="1:32" hidden="1">
      <c r="A477" s="1">
        <v>8632974</v>
      </c>
      <c r="B477" s="1" t="s">
        <v>653</v>
      </c>
      <c r="C477" t="s">
        <v>935</v>
      </c>
      <c r="E477" s="2">
        <v>2830001400010</v>
      </c>
      <c r="F477" s="1" t="s">
        <v>936</v>
      </c>
      <c r="G477" s="1" t="s">
        <v>53</v>
      </c>
      <c r="H477" s="1" t="s">
        <v>448</v>
      </c>
      <c r="I477" s="1" t="s">
        <v>449</v>
      </c>
      <c r="J477" s="1" t="s">
        <v>33</v>
      </c>
      <c r="K477" t="s">
        <v>937</v>
      </c>
      <c r="M477" s="1" t="s">
        <v>58</v>
      </c>
      <c r="N477" s="1">
        <v>0</v>
      </c>
      <c r="O477" s="1" t="s">
        <v>105</v>
      </c>
      <c r="P477" s="11" t="s">
        <v>984</v>
      </c>
      <c r="R477" s="1">
        <v>3</v>
      </c>
      <c r="T477" s="1" t="s">
        <v>646</v>
      </c>
      <c r="U477" s="11" t="s">
        <v>985</v>
      </c>
      <c r="V477" s="1" t="s">
        <v>41</v>
      </c>
      <c r="W477" s="1" t="s">
        <v>42</v>
      </c>
      <c r="X477" s="13" t="str">
        <f t="shared" si="54"/>
        <v/>
      </c>
      <c r="Y477" s="2">
        <f t="shared" ca="1" si="49"/>
        <v>196</v>
      </c>
      <c r="Z477" s="14">
        <v>1</v>
      </c>
      <c r="AA477" s="1" t="str">
        <f t="shared" ca="1" si="50"/>
        <v>VENCIDO</v>
      </c>
      <c r="AB477" s="1" t="str">
        <f t="shared" si="51"/>
        <v>C-14</v>
      </c>
      <c r="AC477" s="2" t="str">
        <f t="shared" si="55"/>
        <v xml:space="preserve"> ROSEMERE </v>
      </c>
      <c r="AD477" s="2">
        <f t="shared" si="52"/>
        <v>5</v>
      </c>
      <c r="AE477" s="2">
        <f t="shared" ca="1" si="53"/>
        <v>-272.28910729166819</v>
      </c>
      <c r="AF477" s="15"/>
    </row>
    <row r="478" spans="1:32" hidden="1">
      <c r="A478" s="1">
        <v>8632958</v>
      </c>
      <c r="B478" s="1" t="s">
        <v>653</v>
      </c>
      <c r="C478" t="s">
        <v>935</v>
      </c>
      <c r="E478" s="2">
        <v>2811001400010</v>
      </c>
      <c r="F478" s="1" t="s">
        <v>936</v>
      </c>
      <c r="G478" s="1" t="s">
        <v>53</v>
      </c>
      <c r="H478" s="1" t="s">
        <v>44</v>
      </c>
      <c r="I478" s="1" t="s">
        <v>45</v>
      </c>
      <c r="J478" s="1" t="s">
        <v>46</v>
      </c>
      <c r="K478" t="s">
        <v>937</v>
      </c>
      <c r="M478" s="1" t="s">
        <v>58</v>
      </c>
      <c r="N478" s="1">
        <v>0</v>
      </c>
      <c r="O478" s="1" t="s">
        <v>105</v>
      </c>
      <c r="P478" s="11" t="s">
        <v>986</v>
      </c>
      <c r="R478" s="1">
        <v>3</v>
      </c>
      <c r="T478" s="1" t="s">
        <v>646</v>
      </c>
      <c r="U478" s="11" t="s">
        <v>987</v>
      </c>
      <c r="V478" s="1" t="s">
        <v>41</v>
      </c>
      <c r="W478" s="1" t="s">
        <v>49</v>
      </c>
      <c r="X478" s="13" t="str">
        <f t="shared" si="54"/>
        <v/>
      </c>
      <c r="Y478" s="2">
        <f t="shared" ca="1" si="49"/>
        <v>196</v>
      </c>
      <c r="Z478" s="14">
        <v>1</v>
      </c>
      <c r="AA478" s="1" t="str">
        <f t="shared" ca="1" si="50"/>
        <v>VENCIDO</v>
      </c>
      <c r="AB478" s="1" t="str">
        <f t="shared" si="51"/>
        <v>C-14</v>
      </c>
      <c r="AC478" s="2" t="str">
        <f t="shared" si="55"/>
        <v xml:space="preserve"> CLEITON </v>
      </c>
      <c r="AD478" s="2">
        <f t="shared" si="52"/>
        <v>5</v>
      </c>
      <c r="AE478" s="2">
        <f t="shared" ca="1" si="53"/>
        <v>-272.28913043981447</v>
      </c>
      <c r="AF478" s="15"/>
    </row>
    <row r="479" spans="1:32" hidden="1">
      <c r="A479" s="1">
        <v>8632950</v>
      </c>
      <c r="B479" s="1" t="s">
        <v>653</v>
      </c>
      <c r="C479" t="s">
        <v>935</v>
      </c>
      <c r="E479" s="2">
        <v>2802001400010</v>
      </c>
      <c r="F479" s="1" t="s">
        <v>936</v>
      </c>
      <c r="G479" s="1" t="s">
        <v>53</v>
      </c>
      <c r="H479" s="1" t="s">
        <v>388</v>
      </c>
      <c r="I479" s="1" t="s">
        <v>389</v>
      </c>
      <c r="J479" s="1" t="s">
        <v>46</v>
      </c>
      <c r="K479" t="s">
        <v>937</v>
      </c>
      <c r="M479" s="1" t="s">
        <v>58</v>
      </c>
      <c r="N479" s="1">
        <v>0</v>
      </c>
      <c r="O479" s="1" t="s">
        <v>105</v>
      </c>
      <c r="P479" s="11" t="s">
        <v>988</v>
      </c>
      <c r="R479" s="1">
        <v>3</v>
      </c>
      <c r="T479" s="1" t="s">
        <v>646</v>
      </c>
      <c r="U479" s="11" t="s">
        <v>989</v>
      </c>
      <c r="V479" s="1" t="s">
        <v>41</v>
      </c>
      <c r="W479" s="1" t="s">
        <v>49</v>
      </c>
      <c r="X479" s="13" t="str">
        <f t="shared" si="54"/>
        <v/>
      </c>
      <c r="Y479" s="2">
        <f t="shared" ca="1" si="49"/>
        <v>196</v>
      </c>
      <c r="Z479" s="14">
        <v>1</v>
      </c>
      <c r="AA479" s="1" t="str">
        <f t="shared" ca="1" si="50"/>
        <v>VENCIDO</v>
      </c>
      <c r="AB479" s="1" t="str">
        <f t="shared" si="51"/>
        <v>C-14</v>
      </c>
      <c r="AC479" s="2" t="str">
        <f t="shared" si="55"/>
        <v xml:space="preserve"> CLEITON </v>
      </c>
      <c r="AD479" s="2">
        <f t="shared" si="52"/>
        <v>5</v>
      </c>
      <c r="AE479" s="2">
        <f t="shared" ca="1" si="53"/>
        <v>-272.2891998842606</v>
      </c>
      <c r="AF479" s="15"/>
    </row>
    <row r="480" spans="1:32">
      <c r="A480" s="1">
        <v>8632849</v>
      </c>
      <c r="B480" s="1" t="s">
        <v>653</v>
      </c>
      <c r="C480" t="s">
        <v>935</v>
      </c>
      <c r="E480" s="2">
        <v>2683001400010</v>
      </c>
      <c r="F480" s="1" t="s">
        <v>936</v>
      </c>
      <c r="G480" s="1" t="s">
        <v>53</v>
      </c>
      <c r="H480" s="1" t="s">
        <v>276</v>
      </c>
      <c r="I480" s="1" t="s">
        <v>277</v>
      </c>
      <c r="J480" s="1" t="s">
        <v>90</v>
      </c>
      <c r="K480" t="s">
        <v>937</v>
      </c>
      <c r="M480" s="1" t="s">
        <v>58</v>
      </c>
      <c r="N480" s="1">
        <v>0</v>
      </c>
      <c r="O480" s="1" t="s">
        <v>105</v>
      </c>
      <c r="P480" s="11" t="s">
        <v>990</v>
      </c>
      <c r="R480" s="1">
        <v>3</v>
      </c>
      <c r="T480" s="1" t="s">
        <v>646</v>
      </c>
      <c r="U480" s="11" t="s">
        <v>991</v>
      </c>
      <c r="V480" s="1" t="s">
        <v>41</v>
      </c>
      <c r="W480" s="1" t="s">
        <v>49</v>
      </c>
      <c r="X480" s="13" t="str">
        <f t="shared" si="54"/>
        <v/>
      </c>
      <c r="Y480" s="2">
        <f t="shared" ca="1" si="49"/>
        <v>196</v>
      </c>
      <c r="Z480" s="14">
        <v>1</v>
      </c>
      <c r="AA480" s="1" t="str">
        <f t="shared" ca="1" si="50"/>
        <v>VENCIDO</v>
      </c>
      <c r="AB480" s="1" t="str">
        <f t="shared" si="51"/>
        <v>C-14</v>
      </c>
      <c r="AC480" s="2" t="str">
        <f t="shared" si="55"/>
        <v xml:space="preserve"> RINALDO </v>
      </c>
      <c r="AD480" s="2">
        <f t="shared" si="52"/>
        <v>5</v>
      </c>
      <c r="AE480" s="2">
        <f t="shared" ca="1" si="53"/>
        <v>-272.28938506944542</v>
      </c>
      <c r="AF480" s="15"/>
    </row>
    <row r="481" spans="1:32" hidden="1">
      <c r="A481" s="1">
        <v>8632846</v>
      </c>
      <c r="B481" s="1" t="s">
        <v>653</v>
      </c>
      <c r="C481" t="s">
        <v>935</v>
      </c>
      <c r="E481" s="2">
        <v>2678001400010</v>
      </c>
      <c r="F481" s="1" t="s">
        <v>936</v>
      </c>
      <c r="G481" s="1" t="s">
        <v>53</v>
      </c>
      <c r="H481" s="1" t="s">
        <v>992</v>
      </c>
      <c r="I481" s="1" t="s">
        <v>993</v>
      </c>
      <c r="J481" s="1" t="s">
        <v>33</v>
      </c>
      <c r="K481" t="s">
        <v>937</v>
      </c>
      <c r="M481" s="1" t="s">
        <v>58</v>
      </c>
      <c r="N481" s="1">
        <v>0</v>
      </c>
      <c r="O481" s="1" t="s">
        <v>105</v>
      </c>
      <c r="P481" s="11" t="s">
        <v>990</v>
      </c>
      <c r="R481" s="1">
        <v>3</v>
      </c>
      <c r="T481" s="1" t="s">
        <v>646</v>
      </c>
      <c r="U481" s="11" t="s">
        <v>991</v>
      </c>
      <c r="V481" s="1" t="s">
        <v>41</v>
      </c>
      <c r="W481" s="1" t="s">
        <v>42</v>
      </c>
      <c r="X481" s="13" t="str">
        <f t="shared" si="54"/>
        <v/>
      </c>
      <c r="Y481" s="2">
        <f t="shared" ca="1" si="49"/>
        <v>196</v>
      </c>
      <c r="Z481" s="14">
        <v>1</v>
      </c>
      <c r="AA481" s="1" t="str">
        <f t="shared" ca="1" si="50"/>
        <v>VENCIDO</v>
      </c>
      <c r="AB481" s="1" t="str">
        <f t="shared" si="51"/>
        <v>C-14</v>
      </c>
      <c r="AC481" s="2" t="str">
        <f t="shared" si="55"/>
        <v xml:space="preserve"> ROSEMERE </v>
      </c>
      <c r="AD481" s="2">
        <f t="shared" si="52"/>
        <v>5</v>
      </c>
      <c r="AE481" s="2">
        <f t="shared" ca="1" si="53"/>
        <v>-272.28938506944542</v>
      </c>
      <c r="AF481" s="15"/>
    </row>
    <row r="482" spans="1:32" hidden="1">
      <c r="A482" s="1">
        <v>8632805</v>
      </c>
      <c r="B482" s="1" t="s">
        <v>653</v>
      </c>
      <c r="C482" t="s">
        <v>935</v>
      </c>
      <c r="E482" s="2">
        <v>2625001400010</v>
      </c>
      <c r="F482" s="1" t="s">
        <v>936</v>
      </c>
      <c r="G482" s="1" t="s">
        <v>53</v>
      </c>
      <c r="H482" s="1" t="s">
        <v>317</v>
      </c>
      <c r="I482" s="1" t="s">
        <v>318</v>
      </c>
      <c r="J482" s="1" t="s">
        <v>164</v>
      </c>
      <c r="K482" t="s">
        <v>937</v>
      </c>
      <c r="M482" s="1" t="s">
        <v>58</v>
      </c>
      <c r="N482" s="1">
        <v>0</v>
      </c>
      <c r="O482" s="1" t="s">
        <v>105</v>
      </c>
      <c r="P482" s="11" t="s">
        <v>994</v>
      </c>
      <c r="R482" s="1">
        <v>3</v>
      </c>
      <c r="T482" s="1" t="s">
        <v>646</v>
      </c>
      <c r="U482" s="11" t="s">
        <v>995</v>
      </c>
      <c r="V482" s="1" t="s">
        <v>41</v>
      </c>
      <c r="W482" s="1" t="s">
        <v>49</v>
      </c>
      <c r="X482" s="13" t="str">
        <f t="shared" si="54"/>
        <v/>
      </c>
      <c r="Y482" s="2">
        <f t="shared" ca="1" si="49"/>
        <v>196</v>
      </c>
      <c r="Z482" s="14">
        <v>1</v>
      </c>
      <c r="AA482" s="1" t="str">
        <f t="shared" ca="1" si="50"/>
        <v>VENCIDO</v>
      </c>
      <c r="AB482" s="1" t="str">
        <f t="shared" si="51"/>
        <v>C-14</v>
      </c>
      <c r="AC482" s="2" t="str">
        <f t="shared" si="55"/>
        <v xml:space="preserve"> ROSEMERE </v>
      </c>
      <c r="AD482" s="2">
        <f t="shared" si="52"/>
        <v>5</v>
      </c>
      <c r="AE482" s="2">
        <f t="shared" ca="1" si="53"/>
        <v>-272.28943136573798</v>
      </c>
      <c r="AF482" s="15"/>
    </row>
    <row r="483" spans="1:32" hidden="1">
      <c r="A483" s="1">
        <v>8632750</v>
      </c>
      <c r="B483" s="1" t="s">
        <v>653</v>
      </c>
      <c r="C483" t="s">
        <v>935</v>
      </c>
      <c r="E483" s="2">
        <v>2564001400010</v>
      </c>
      <c r="F483" s="1" t="s">
        <v>936</v>
      </c>
      <c r="G483" s="1" t="s">
        <v>53</v>
      </c>
      <c r="H483" s="1" t="s">
        <v>255</v>
      </c>
      <c r="I483" s="1" t="s">
        <v>256</v>
      </c>
      <c r="J483" s="1" t="s">
        <v>164</v>
      </c>
      <c r="K483" t="s">
        <v>937</v>
      </c>
      <c r="M483" s="1" t="s">
        <v>58</v>
      </c>
      <c r="N483" s="1">
        <v>0</v>
      </c>
      <c r="O483" s="1" t="s">
        <v>105</v>
      </c>
      <c r="P483" s="11" t="s">
        <v>996</v>
      </c>
      <c r="R483" s="1">
        <v>3</v>
      </c>
      <c r="T483" s="1" t="s">
        <v>646</v>
      </c>
      <c r="U483" s="11" t="s">
        <v>997</v>
      </c>
      <c r="V483" s="1" t="s">
        <v>41</v>
      </c>
      <c r="W483" s="1" t="s">
        <v>49</v>
      </c>
      <c r="X483" s="13" t="str">
        <f t="shared" si="54"/>
        <v/>
      </c>
      <c r="Y483" s="2">
        <f t="shared" ca="1" si="49"/>
        <v>196</v>
      </c>
      <c r="Z483" s="14">
        <v>1</v>
      </c>
      <c r="AA483" s="1" t="str">
        <f t="shared" ca="1" si="50"/>
        <v>VENCIDO</v>
      </c>
      <c r="AB483" s="1" t="str">
        <f t="shared" si="51"/>
        <v>C-14</v>
      </c>
      <c r="AC483" s="2" t="str">
        <f t="shared" si="55"/>
        <v xml:space="preserve"> ROSEMERE </v>
      </c>
      <c r="AD483" s="2">
        <f t="shared" si="52"/>
        <v>5</v>
      </c>
      <c r="AE483" s="2">
        <f t="shared" ca="1" si="53"/>
        <v>-272.28951238426089</v>
      </c>
      <c r="AF483" s="15"/>
    </row>
    <row r="484" spans="1:32" hidden="1">
      <c r="A484" s="1">
        <v>8632637</v>
      </c>
      <c r="B484" s="1" t="s">
        <v>653</v>
      </c>
      <c r="C484" t="s">
        <v>935</v>
      </c>
      <c r="E484" s="2">
        <v>2413001400010</v>
      </c>
      <c r="F484" s="1" t="s">
        <v>936</v>
      </c>
      <c r="G484" s="1" t="s">
        <v>53</v>
      </c>
      <c r="H484" s="1" t="s">
        <v>505</v>
      </c>
      <c r="I484" s="1" t="s">
        <v>506</v>
      </c>
      <c r="J484" s="1" t="s">
        <v>141</v>
      </c>
      <c r="K484" t="s">
        <v>937</v>
      </c>
      <c r="M484" s="1" t="s">
        <v>58</v>
      </c>
      <c r="N484" s="1">
        <v>0</v>
      </c>
      <c r="O484" s="1" t="s">
        <v>105</v>
      </c>
      <c r="P484" s="11" t="s">
        <v>998</v>
      </c>
      <c r="R484" s="1">
        <v>3</v>
      </c>
      <c r="T484" s="1" t="s">
        <v>646</v>
      </c>
      <c r="U484" s="11" t="s">
        <v>999</v>
      </c>
      <c r="V484" s="1" t="s">
        <v>41</v>
      </c>
      <c r="W484" s="1" t="s">
        <v>49</v>
      </c>
      <c r="X484" s="13" t="str">
        <f t="shared" si="54"/>
        <v/>
      </c>
      <c r="Y484" s="2">
        <f t="shared" ca="1" si="49"/>
        <v>196</v>
      </c>
      <c r="Z484" s="14">
        <v>1</v>
      </c>
      <c r="AA484" s="1" t="str">
        <f t="shared" ca="1" si="50"/>
        <v>VENCIDO</v>
      </c>
      <c r="AB484" s="1" t="str">
        <f t="shared" si="51"/>
        <v>C-14</v>
      </c>
      <c r="AC484" s="2" t="str">
        <f t="shared" si="55"/>
        <v xml:space="preserve"> CRISTINA </v>
      </c>
      <c r="AD484" s="2">
        <f t="shared" si="52"/>
        <v>5</v>
      </c>
      <c r="AE484" s="2">
        <f t="shared" ca="1" si="53"/>
        <v>-272.28963969907636</v>
      </c>
      <c r="AF484" s="15"/>
    </row>
    <row r="485" spans="1:32">
      <c r="A485" s="1">
        <v>8632603</v>
      </c>
      <c r="B485" s="1" t="s">
        <v>653</v>
      </c>
      <c r="C485" t="s">
        <v>935</v>
      </c>
      <c r="E485" s="2">
        <v>2371001400010</v>
      </c>
      <c r="F485" s="1" t="s">
        <v>936</v>
      </c>
      <c r="G485" s="1" t="s">
        <v>53</v>
      </c>
      <c r="H485" s="1" t="s">
        <v>1000</v>
      </c>
      <c r="I485" s="1" t="s">
        <v>1001</v>
      </c>
      <c r="J485" s="1" t="s">
        <v>90</v>
      </c>
      <c r="K485" t="s">
        <v>937</v>
      </c>
      <c r="M485" s="1" t="s">
        <v>58</v>
      </c>
      <c r="N485" s="1">
        <v>0</v>
      </c>
      <c r="O485" s="1" t="s">
        <v>105</v>
      </c>
      <c r="P485" s="11" t="s">
        <v>1002</v>
      </c>
      <c r="R485" s="1">
        <v>3</v>
      </c>
      <c r="T485" s="1" t="s">
        <v>646</v>
      </c>
      <c r="U485" s="11" t="s">
        <v>1003</v>
      </c>
      <c r="V485" s="1" t="s">
        <v>41</v>
      </c>
      <c r="W485" s="1" t="s">
        <v>49</v>
      </c>
      <c r="X485" s="13" t="str">
        <f t="shared" si="54"/>
        <v/>
      </c>
      <c r="Y485" s="2">
        <f t="shared" ca="1" si="49"/>
        <v>196</v>
      </c>
      <c r="Z485" s="14">
        <v>1</v>
      </c>
      <c r="AA485" s="1" t="str">
        <f t="shared" ca="1" si="50"/>
        <v>VENCIDO</v>
      </c>
      <c r="AB485" s="1" t="str">
        <f t="shared" si="51"/>
        <v>C-14</v>
      </c>
      <c r="AC485" s="2" t="str">
        <f t="shared" si="55"/>
        <v xml:space="preserve"> RINALDO </v>
      </c>
      <c r="AD485" s="2">
        <f t="shared" si="52"/>
        <v>5</v>
      </c>
      <c r="AE485" s="2">
        <f t="shared" ca="1" si="53"/>
        <v>-272.28967442129942</v>
      </c>
      <c r="AF485" s="15"/>
    </row>
    <row r="486" spans="1:32" hidden="1">
      <c r="A486" s="1">
        <v>8632602</v>
      </c>
      <c r="B486" s="1" t="s">
        <v>653</v>
      </c>
      <c r="C486" t="s">
        <v>935</v>
      </c>
      <c r="E486" s="2">
        <v>2369001400010</v>
      </c>
      <c r="F486" s="1" t="s">
        <v>936</v>
      </c>
      <c r="G486" s="1" t="s">
        <v>53</v>
      </c>
      <c r="H486" s="1" t="s">
        <v>701</v>
      </c>
      <c r="I486" s="1" t="s">
        <v>702</v>
      </c>
      <c r="J486" s="1" t="s">
        <v>141</v>
      </c>
      <c r="K486" t="s">
        <v>937</v>
      </c>
      <c r="M486" s="1" t="s">
        <v>58</v>
      </c>
      <c r="N486" s="1">
        <v>0</v>
      </c>
      <c r="O486" s="1" t="s">
        <v>105</v>
      </c>
      <c r="P486" s="11" t="s">
        <v>1004</v>
      </c>
      <c r="R486" s="1">
        <v>3</v>
      </c>
      <c r="T486" s="1" t="s">
        <v>646</v>
      </c>
      <c r="U486" s="11" t="s">
        <v>1005</v>
      </c>
      <c r="V486" s="1" t="s">
        <v>41</v>
      </c>
      <c r="W486" s="1" t="s">
        <v>49</v>
      </c>
      <c r="X486" s="13" t="str">
        <f t="shared" si="54"/>
        <v/>
      </c>
      <c r="Y486" s="2">
        <f t="shared" ca="1" si="49"/>
        <v>196</v>
      </c>
      <c r="Z486" s="14">
        <v>1</v>
      </c>
      <c r="AA486" s="1" t="str">
        <f t="shared" ca="1" si="50"/>
        <v>VENCIDO</v>
      </c>
      <c r="AB486" s="1" t="str">
        <f t="shared" si="51"/>
        <v>C-14</v>
      </c>
      <c r="AC486" s="2" t="str">
        <f t="shared" si="55"/>
        <v xml:space="preserve"> CRISTINA </v>
      </c>
      <c r="AD486" s="2">
        <f t="shared" si="52"/>
        <v>5</v>
      </c>
      <c r="AE486" s="2">
        <f t="shared" ca="1" si="53"/>
        <v>-272.28968599536893</v>
      </c>
      <c r="AF486" s="15"/>
    </row>
    <row r="487" spans="1:32" hidden="1">
      <c r="A487" s="1">
        <v>8632599</v>
      </c>
      <c r="B487" s="1" t="s">
        <v>653</v>
      </c>
      <c r="C487" t="s">
        <v>935</v>
      </c>
      <c r="E487" s="2">
        <v>2365001400010</v>
      </c>
      <c r="F487" s="1" t="s">
        <v>936</v>
      </c>
      <c r="G487" s="1" t="s">
        <v>53</v>
      </c>
      <c r="H487" s="1" t="s">
        <v>159</v>
      </c>
      <c r="I487" s="1" t="s">
        <v>160</v>
      </c>
      <c r="J487" s="1" t="s">
        <v>46</v>
      </c>
      <c r="K487" t="s">
        <v>937</v>
      </c>
      <c r="M487" s="1" t="s">
        <v>58</v>
      </c>
      <c r="N487" s="1">
        <v>0</v>
      </c>
      <c r="O487" s="1" t="s">
        <v>105</v>
      </c>
      <c r="P487" s="11" t="s">
        <v>1004</v>
      </c>
      <c r="R487" s="1">
        <v>3</v>
      </c>
      <c r="T487" s="1" t="s">
        <v>646</v>
      </c>
      <c r="U487" s="11" t="s">
        <v>1005</v>
      </c>
      <c r="V487" s="1" t="s">
        <v>41</v>
      </c>
      <c r="W487" s="1" t="s">
        <v>49</v>
      </c>
      <c r="X487" s="13" t="str">
        <f t="shared" si="54"/>
        <v/>
      </c>
      <c r="Y487" s="2">
        <f t="shared" ca="1" si="49"/>
        <v>196</v>
      </c>
      <c r="Z487" s="14">
        <v>1</v>
      </c>
      <c r="AA487" s="1" t="str">
        <f t="shared" ca="1" si="50"/>
        <v>VENCIDO</v>
      </c>
      <c r="AB487" s="1" t="str">
        <f t="shared" si="51"/>
        <v>C-14</v>
      </c>
      <c r="AC487" s="2" t="str">
        <f t="shared" si="55"/>
        <v xml:space="preserve"> CLEITON </v>
      </c>
      <c r="AD487" s="2">
        <f t="shared" si="52"/>
        <v>5</v>
      </c>
      <c r="AE487" s="2">
        <f t="shared" ca="1" si="53"/>
        <v>-272.28968599536893</v>
      </c>
      <c r="AF487" s="15"/>
    </row>
    <row r="488" spans="1:32" hidden="1">
      <c r="A488" s="1">
        <v>8632568</v>
      </c>
      <c r="B488" s="1" t="s">
        <v>653</v>
      </c>
      <c r="C488" t="s">
        <v>935</v>
      </c>
      <c r="E488" s="2">
        <v>2326001400010</v>
      </c>
      <c r="F488" s="1" t="s">
        <v>936</v>
      </c>
      <c r="G488" s="1" t="s">
        <v>53</v>
      </c>
      <c r="H488" s="1" t="s">
        <v>191</v>
      </c>
      <c r="I488" s="1" t="s">
        <v>192</v>
      </c>
      <c r="J488" s="1" t="s">
        <v>46</v>
      </c>
      <c r="K488" t="s">
        <v>937</v>
      </c>
      <c r="M488" s="1" t="s">
        <v>58</v>
      </c>
      <c r="N488" s="1">
        <v>0</v>
      </c>
      <c r="O488" s="1" t="s">
        <v>105</v>
      </c>
      <c r="P488" s="11" t="s">
        <v>1006</v>
      </c>
      <c r="R488" s="1">
        <v>3</v>
      </c>
      <c r="T488" s="1" t="s">
        <v>646</v>
      </c>
      <c r="U488" s="11" t="s">
        <v>1007</v>
      </c>
      <c r="V488" s="1" t="s">
        <v>41</v>
      </c>
      <c r="W488" s="1" t="s">
        <v>49</v>
      </c>
      <c r="X488" s="13" t="str">
        <f t="shared" si="54"/>
        <v/>
      </c>
      <c r="Y488" s="2">
        <f t="shared" ca="1" si="49"/>
        <v>196</v>
      </c>
      <c r="Z488" s="14">
        <v>1</v>
      </c>
      <c r="AA488" s="1" t="str">
        <f t="shared" ca="1" si="50"/>
        <v>VENCIDO</v>
      </c>
      <c r="AB488" s="1" t="str">
        <f t="shared" si="51"/>
        <v>C-14</v>
      </c>
      <c r="AC488" s="2" t="str">
        <f t="shared" si="55"/>
        <v xml:space="preserve"> CLEITON </v>
      </c>
      <c r="AD488" s="2">
        <f t="shared" si="52"/>
        <v>5</v>
      </c>
      <c r="AE488" s="2">
        <f t="shared" ca="1" si="53"/>
        <v>-272.28972071759199</v>
      </c>
      <c r="AF488" s="15"/>
    </row>
    <row r="489" spans="1:32" hidden="1">
      <c r="A489" s="1">
        <v>8632476</v>
      </c>
      <c r="B489" s="1" t="s">
        <v>653</v>
      </c>
      <c r="C489" t="s">
        <v>935</v>
      </c>
      <c r="E489" s="2">
        <v>2219001400010</v>
      </c>
      <c r="F489" s="1" t="s">
        <v>936</v>
      </c>
      <c r="G489" s="1" t="s">
        <v>53</v>
      </c>
      <c r="H489" s="1" t="s">
        <v>893</v>
      </c>
      <c r="I489" s="1" t="s">
        <v>894</v>
      </c>
      <c r="J489" s="1" t="s">
        <v>141</v>
      </c>
      <c r="K489" t="s">
        <v>937</v>
      </c>
      <c r="M489" s="1" t="s">
        <v>58</v>
      </c>
      <c r="N489" s="1">
        <v>0</v>
      </c>
      <c r="O489" s="1" t="s">
        <v>105</v>
      </c>
      <c r="P489" s="11" t="s">
        <v>1008</v>
      </c>
      <c r="R489" s="1">
        <v>3</v>
      </c>
      <c r="T489" s="1" t="s">
        <v>646</v>
      </c>
      <c r="U489" s="11" t="s">
        <v>1009</v>
      </c>
      <c r="V489" s="1" t="s">
        <v>41</v>
      </c>
      <c r="W489" s="1" t="s">
        <v>49</v>
      </c>
      <c r="X489" s="13" t="str">
        <f t="shared" si="54"/>
        <v/>
      </c>
      <c r="Y489" s="2">
        <f t="shared" ca="1" si="49"/>
        <v>196</v>
      </c>
      <c r="Z489" s="14">
        <v>1</v>
      </c>
      <c r="AA489" s="1" t="str">
        <f t="shared" ca="1" si="50"/>
        <v>VENCIDO</v>
      </c>
      <c r="AB489" s="1" t="str">
        <f t="shared" si="51"/>
        <v>C-14</v>
      </c>
      <c r="AC489" s="2" t="str">
        <f t="shared" si="55"/>
        <v xml:space="preserve"> CRISTINA </v>
      </c>
      <c r="AD489" s="2">
        <f t="shared" si="52"/>
        <v>5</v>
      </c>
      <c r="AE489" s="2">
        <f t="shared" ca="1" si="53"/>
        <v>-272.28984803240746</v>
      </c>
      <c r="AF489" s="15"/>
    </row>
    <row r="490" spans="1:32" hidden="1">
      <c r="A490" s="1">
        <v>8632402</v>
      </c>
      <c r="B490" s="1" t="s">
        <v>653</v>
      </c>
      <c r="C490" t="s">
        <v>935</v>
      </c>
      <c r="E490" s="2">
        <v>2138001400010</v>
      </c>
      <c r="F490" s="1" t="s">
        <v>936</v>
      </c>
      <c r="G490" s="1" t="s">
        <v>53</v>
      </c>
      <c r="H490" s="1" t="s">
        <v>379</v>
      </c>
      <c r="I490" s="1" t="s">
        <v>380</v>
      </c>
      <c r="J490" s="1" t="s">
        <v>46</v>
      </c>
      <c r="K490" t="s">
        <v>937</v>
      </c>
      <c r="M490" s="1" t="s">
        <v>58</v>
      </c>
      <c r="N490" s="1">
        <v>0</v>
      </c>
      <c r="O490" s="1" t="s">
        <v>105</v>
      </c>
      <c r="P490" s="11" t="s">
        <v>1010</v>
      </c>
      <c r="R490" s="1">
        <v>3</v>
      </c>
      <c r="T490" s="1" t="s">
        <v>646</v>
      </c>
      <c r="U490" s="11" t="s">
        <v>1011</v>
      </c>
      <c r="V490" s="1" t="s">
        <v>41</v>
      </c>
      <c r="W490" s="1" t="s">
        <v>49</v>
      </c>
      <c r="X490" s="13" t="str">
        <f t="shared" si="54"/>
        <v/>
      </c>
      <c r="Y490" s="2">
        <f t="shared" ca="1" si="49"/>
        <v>196</v>
      </c>
      <c r="Z490" s="14">
        <v>1</v>
      </c>
      <c r="AA490" s="1" t="str">
        <f t="shared" ca="1" si="50"/>
        <v>VENCIDO</v>
      </c>
      <c r="AB490" s="1" t="str">
        <f t="shared" si="51"/>
        <v>C-14</v>
      </c>
      <c r="AC490" s="2" t="str">
        <f t="shared" si="55"/>
        <v xml:space="preserve"> CLEITON </v>
      </c>
      <c r="AD490" s="2">
        <f t="shared" si="52"/>
        <v>5</v>
      </c>
      <c r="AE490" s="2">
        <f t="shared" ca="1" si="53"/>
        <v>-272.28994062499987</v>
      </c>
      <c r="AF490" s="15"/>
    </row>
    <row r="491" spans="1:32" hidden="1">
      <c r="A491" s="1">
        <v>8632379</v>
      </c>
      <c r="B491" s="1" t="s">
        <v>653</v>
      </c>
      <c r="C491" t="s">
        <v>935</v>
      </c>
      <c r="E491" s="2">
        <v>2107001400010</v>
      </c>
      <c r="F491" s="1" t="s">
        <v>936</v>
      </c>
      <c r="G491" s="1" t="s">
        <v>53</v>
      </c>
      <c r="H491" s="1" t="s">
        <v>262</v>
      </c>
      <c r="I491" s="1" t="s">
        <v>263</v>
      </c>
      <c r="J491" s="1" t="s">
        <v>164</v>
      </c>
      <c r="K491" t="s">
        <v>937</v>
      </c>
      <c r="M491" s="1" t="s">
        <v>58</v>
      </c>
      <c r="N491" s="1">
        <v>0</v>
      </c>
      <c r="O491" s="1" t="s">
        <v>105</v>
      </c>
      <c r="P491" s="11" t="s">
        <v>1012</v>
      </c>
      <c r="R491" s="1">
        <v>3</v>
      </c>
      <c r="T491" s="1" t="s">
        <v>646</v>
      </c>
      <c r="U491" s="11" t="s">
        <v>1013</v>
      </c>
      <c r="V491" s="1" t="s">
        <v>41</v>
      </c>
      <c r="W491" s="1" t="s">
        <v>49</v>
      </c>
      <c r="X491" s="13" t="str">
        <f t="shared" si="54"/>
        <v/>
      </c>
      <c r="Y491" s="2">
        <f t="shared" ca="1" si="49"/>
        <v>196</v>
      </c>
      <c r="Z491" s="14">
        <v>1</v>
      </c>
      <c r="AA491" s="1" t="str">
        <f t="shared" ca="1" si="50"/>
        <v>VENCIDO</v>
      </c>
      <c r="AB491" s="1" t="str">
        <f t="shared" si="51"/>
        <v>C-14</v>
      </c>
      <c r="AC491" s="2" t="str">
        <f t="shared" si="55"/>
        <v xml:space="preserve"> ROSEMERE </v>
      </c>
      <c r="AD491" s="2">
        <f t="shared" si="52"/>
        <v>5</v>
      </c>
      <c r="AE491" s="2">
        <f t="shared" ca="1" si="53"/>
        <v>-272.28996377314616</v>
      </c>
      <c r="AF491" s="15"/>
    </row>
    <row r="492" spans="1:32">
      <c r="A492" s="1">
        <v>8632349</v>
      </c>
      <c r="B492" s="1" t="s">
        <v>653</v>
      </c>
      <c r="C492" t="s">
        <v>935</v>
      </c>
      <c r="E492" s="2">
        <v>2069001400010</v>
      </c>
      <c r="F492" s="1" t="s">
        <v>936</v>
      </c>
      <c r="G492" s="1" t="s">
        <v>53</v>
      </c>
      <c r="H492" s="1" t="s">
        <v>557</v>
      </c>
      <c r="I492" s="1" t="s">
        <v>558</v>
      </c>
      <c r="J492" s="1" t="s">
        <v>90</v>
      </c>
      <c r="K492" t="s">
        <v>937</v>
      </c>
      <c r="M492" s="1" t="s">
        <v>58</v>
      </c>
      <c r="N492" s="1">
        <v>0</v>
      </c>
      <c r="O492" s="1" t="s">
        <v>105</v>
      </c>
      <c r="P492" s="11" t="s">
        <v>1014</v>
      </c>
      <c r="R492" s="1">
        <v>3</v>
      </c>
      <c r="T492" s="1" t="s">
        <v>646</v>
      </c>
      <c r="U492" s="11" t="s">
        <v>1015</v>
      </c>
      <c r="V492" s="1" t="s">
        <v>41</v>
      </c>
      <c r="W492" s="1" t="s">
        <v>49</v>
      </c>
      <c r="X492" s="13" t="str">
        <f t="shared" si="54"/>
        <v/>
      </c>
      <c r="Y492" s="2">
        <f t="shared" ca="1" si="49"/>
        <v>196</v>
      </c>
      <c r="Z492" s="14">
        <v>1</v>
      </c>
      <c r="AA492" s="1" t="str">
        <f t="shared" ca="1" si="50"/>
        <v>VENCIDO</v>
      </c>
      <c r="AB492" s="1" t="str">
        <f t="shared" si="51"/>
        <v>C-14</v>
      </c>
      <c r="AC492" s="2" t="str">
        <f t="shared" si="55"/>
        <v xml:space="preserve"> RINALDO </v>
      </c>
      <c r="AD492" s="2">
        <f t="shared" si="52"/>
        <v>5</v>
      </c>
      <c r="AE492" s="2">
        <f t="shared" ca="1" si="53"/>
        <v>-272.28999849536922</v>
      </c>
      <c r="AF492" s="15"/>
    </row>
    <row r="493" spans="1:32" hidden="1">
      <c r="A493" s="1">
        <v>8632235</v>
      </c>
      <c r="B493" s="1" t="s">
        <v>653</v>
      </c>
      <c r="C493" t="s">
        <v>935</v>
      </c>
      <c r="E493" s="2">
        <v>1838001400010</v>
      </c>
      <c r="F493" s="1" t="s">
        <v>936</v>
      </c>
      <c r="G493" s="1" t="s">
        <v>53</v>
      </c>
      <c r="H493" s="1" t="s">
        <v>357</v>
      </c>
      <c r="I493" s="1" t="s">
        <v>358</v>
      </c>
      <c r="J493" s="1" t="s">
        <v>46</v>
      </c>
      <c r="K493" t="s">
        <v>937</v>
      </c>
      <c r="M493" s="1" t="s">
        <v>58</v>
      </c>
      <c r="N493" s="1">
        <v>0</v>
      </c>
      <c r="O493" s="1" t="s">
        <v>105</v>
      </c>
      <c r="P493" s="11" t="s">
        <v>1016</v>
      </c>
      <c r="R493" s="1">
        <v>3</v>
      </c>
      <c r="T493" s="1" t="s">
        <v>646</v>
      </c>
      <c r="U493" s="11" t="s">
        <v>1017</v>
      </c>
      <c r="V493" s="1" t="s">
        <v>41</v>
      </c>
      <c r="W493" s="1" t="s">
        <v>49</v>
      </c>
      <c r="X493" s="13" t="str">
        <f t="shared" si="54"/>
        <v/>
      </c>
      <c r="Y493" s="2">
        <f t="shared" ca="1" si="49"/>
        <v>196</v>
      </c>
      <c r="Z493" s="14">
        <v>1</v>
      </c>
      <c r="AA493" s="1" t="str">
        <f t="shared" ca="1" si="50"/>
        <v>VENCIDO</v>
      </c>
      <c r="AB493" s="1" t="str">
        <f t="shared" si="51"/>
        <v>C-14</v>
      </c>
      <c r="AC493" s="2" t="str">
        <f t="shared" si="55"/>
        <v xml:space="preserve"> CLEITON </v>
      </c>
      <c r="AD493" s="2">
        <f t="shared" si="52"/>
        <v>5</v>
      </c>
      <c r="AE493" s="2">
        <f t="shared" ca="1" si="53"/>
        <v>-272.29013738426147</v>
      </c>
      <c r="AF493" s="15"/>
    </row>
    <row r="494" spans="1:32" hidden="1">
      <c r="A494" s="1">
        <v>8632233</v>
      </c>
      <c r="B494" s="1" t="s">
        <v>653</v>
      </c>
      <c r="C494" t="s">
        <v>935</v>
      </c>
      <c r="E494" s="2">
        <v>1836001400010</v>
      </c>
      <c r="F494" s="1" t="s">
        <v>936</v>
      </c>
      <c r="G494" s="1" t="s">
        <v>53</v>
      </c>
      <c r="H494" s="1" t="s">
        <v>455</v>
      </c>
      <c r="I494" s="1" t="s">
        <v>456</v>
      </c>
      <c r="J494" s="1" t="s">
        <v>46</v>
      </c>
      <c r="K494" t="s">
        <v>937</v>
      </c>
      <c r="M494" s="1" t="s">
        <v>58</v>
      </c>
      <c r="N494" s="1">
        <v>0</v>
      </c>
      <c r="O494" s="1" t="s">
        <v>105</v>
      </c>
      <c r="P494" s="11" t="s">
        <v>1016</v>
      </c>
      <c r="R494" s="1">
        <v>3</v>
      </c>
      <c r="T494" s="1" t="s">
        <v>646</v>
      </c>
      <c r="U494" s="11" t="s">
        <v>1017</v>
      </c>
      <c r="V494" s="1" t="s">
        <v>41</v>
      </c>
      <c r="W494" s="1" t="s">
        <v>49</v>
      </c>
      <c r="X494" s="13" t="str">
        <f t="shared" si="54"/>
        <v/>
      </c>
      <c r="Y494" s="2">
        <f t="shared" ca="1" si="49"/>
        <v>196</v>
      </c>
      <c r="Z494" s="14">
        <v>1</v>
      </c>
      <c r="AA494" s="1" t="str">
        <f t="shared" ca="1" si="50"/>
        <v>VENCIDO</v>
      </c>
      <c r="AB494" s="1" t="str">
        <f t="shared" si="51"/>
        <v>C-14</v>
      </c>
      <c r="AC494" s="2" t="str">
        <f t="shared" si="55"/>
        <v xml:space="preserve"> CLEITON </v>
      </c>
      <c r="AD494" s="2">
        <f t="shared" si="52"/>
        <v>5</v>
      </c>
      <c r="AE494" s="2">
        <f t="shared" ca="1" si="53"/>
        <v>-272.29013738426147</v>
      </c>
      <c r="AF494" s="15"/>
    </row>
    <row r="495" spans="1:32" hidden="1">
      <c r="A495" s="1">
        <v>8632232</v>
      </c>
      <c r="B495" s="1" t="s">
        <v>653</v>
      </c>
      <c r="C495" t="s">
        <v>935</v>
      </c>
      <c r="E495" s="2">
        <v>1835001400010</v>
      </c>
      <c r="F495" s="1" t="s">
        <v>936</v>
      </c>
      <c r="G495" s="1" t="s">
        <v>53</v>
      </c>
      <c r="H495" s="1" t="s">
        <v>305</v>
      </c>
      <c r="I495" s="1" t="s">
        <v>306</v>
      </c>
      <c r="J495" s="1" t="s">
        <v>46</v>
      </c>
      <c r="K495" t="s">
        <v>937</v>
      </c>
      <c r="M495" s="1" t="s">
        <v>58</v>
      </c>
      <c r="N495" s="1">
        <v>0</v>
      </c>
      <c r="O495" s="1" t="s">
        <v>105</v>
      </c>
      <c r="P495" s="11" t="s">
        <v>1016</v>
      </c>
      <c r="R495" s="1">
        <v>3</v>
      </c>
      <c r="T495" s="1" t="s">
        <v>646</v>
      </c>
      <c r="U495" s="11" t="s">
        <v>1017</v>
      </c>
      <c r="V495" s="1" t="s">
        <v>41</v>
      </c>
      <c r="W495" s="1" t="s">
        <v>49</v>
      </c>
      <c r="X495" s="13" t="str">
        <f t="shared" si="54"/>
        <v/>
      </c>
      <c r="Y495" s="2">
        <f t="shared" ca="1" si="49"/>
        <v>196</v>
      </c>
      <c r="Z495" s="14">
        <v>1</v>
      </c>
      <c r="AA495" s="1" t="str">
        <f t="shared" ca="1" si="50"/>
        <v>VENCIDO</v>
      </c>
      <c r="AB495" s="1" t="str">
        <f t="shared" si="51"/>
        <v>C-14</v>
      </c>
      <c r="AC495" s="2" t="str">
        <f t="shared" si="55"/>
        <v xml:space="preserve"> CLEITON </v>
      </c>
      <c r="AD495" s="2">
        <f t="shared" si="52"/>
        <v>5</v>
      </c>
      <c r="AE495" s="2">
        <f t="shared" ca="1" si="53"/>
        <v>-272.29013738426147</v>
      </c>
      <c r="AF495" s="15"/>
    </row>
    <row r="496" spans="1:32" hidden="1">
      <c r="A496" s="1">
        <v>8632230</v>
      </c>
      <c r="B496" s="1" t="s">
        <v>653</v>
      </c>
      <c r="C496" t="s">
        <v>935</v>
      </c>
      <c r="E496" s="2">
        <v>1833041400010</v>
      </c>
      <c r="F496" s="1" t="s">
        <v>936</v>
      </c>
      <c r="G496" s="1" t="s">
        <v>53</v>
      </c>
      <c r="H496" s="1" t="s">
        <v>811</v>
      </c>
      <c r="I496" s="1" t="s">
        <v>812</v>
      </c>
      <c r="J496" s="1" t="s">
        <v>46</v>
      </c>
      <c r="K496" t="s">
        <v>937</v>
      </c>
      <c r="M496" s="1" t="s">
        <v>58</v>
      </c>
      <c r="N496" s="1">
        <v>0</v>
      </c>
      <c r="O496" s="1" t="s">
        <v>105</v>
      </c>
      <c r="P496" s="11" t="s">
        <v>1016</v>
      </c>
      <c r="R496" s="1">
        <v>3</v>
      </c>
      <c r="T496" s="1" t="s">
        <v>646</v>
      </c>
      <c r="U496" s="11" t="s">
        <v>1017</v>
      </c>
      <c r="V496" s="1" t="s">
        <v>41</v>
      </c>
      <c r="W496" s="1" t="s">
        <v>49</v>
      </c>
      <c r="X496" s="13" t="str">
        <f t="shared" si="54"/>
        <v>1833.04</v>
      </c>
      <c r="Y496" s="2">
        <f t="shared" ca="1" si="49"/>
        <v>196</v>
      </c>
      <c r="Z496" s="14">
        <v>1</v>
      </c>
      <c r="AA496" s="1" t="str">
        <f t="shared" ca="1" si="50"/>
        <v>VENCIDO</v>
      </c>
      <c r="AB496" s="1" t="str">
        <f t="shared" si="51"/>
        <v>C-14</v>
      </c>
      <c r="AC496" s="2" t="str">
        <f t="shared" si="55"/>
        <v xml:space="preserve"> CLEITON </v>
      </c>
      <c r="AD496" s="2">
        <f t="shared" si="52"/>
        <v>5</v>
      </c>
      <c r="AE496" s="2">
        <f t="shared" ca="1" si="53"/>
        <v>-272.29013738426147</v>
      </c>
      <c r="AF496" s="15"/>
    </row>
    <row r="497" spans="1:32" hidden="1">
      <c r="A497" s="1">
        <v>8632229</v>
      </c>
      <c r="B497" s="1" t="s">
        <v>653</v>
      </c>
      <c r="C497" t="s">
        <v>935</v>
      </c>
      <c r="E497" s="2">
        <v>1833001400010</v>
      </c>
      <c r="F497" s="1" t="s">
        <v>936</v>
      </c>
      <c r="G497" s="1" t="s">
        <v>53</v>
      </c>
      <c r="H497" s="1" t="s">
        <v>369</v>
      </c>
      <c r="I497" s="1" t="s">
        <v>370</v>
      </c>
      <c r="J497" s="1" t="s">
        <v>46</v>
      </c>
      <c r="K497" t="s">
        <v>937</v>
      </c>
      <c r="M497" s="1" t="s">
        <v>58</v>
      </c>
      <c r="N497" s="1">
        <v>0</v>
      </c>
      <c r="O497" s="1" t="s">
        <v>105</v>
      </c>
      <c r="P497" s="11" t="s">
        <v>1016</v>
      </c>
      <c r="R497" s="1">
        <v>3</v>
      </c>
      <c r="T497" s="1" t="s">
        <v>646</v>
      </c>
      <c r="U497" s="11" t="s">
        <v>1017</v>
      </c>
      <c r="V497" s="1" t="s">
        <v>41</v>
      </c>
      <c r="W497" s="1" t="s">
        <v>49</v>
      </c>
      <c r="X497" s="13" t="str">
        <f t="shared" si="54"/>
        <v/>
      </c>
      <c r="Y497" s="2">
        <f t="shared" ca="1" si="49"/>
        <v>196</v>
      </c>
      <c r="Z497" s="14">
        <v>1</v>
      </c>
      <c r="AA497" s="1" t="str">
        <f t="shared" ca="1" si="50"/>
        <v>VENCIDO</v>
      </c>
      <c r="AB497" s="1" t="str">
        <f t="shared" si="51"/>
        <v>C-14</v>
      </c>
      <c r="AC497" s="2" t="str">
        <f t="shared" si="55"/>
        <v xml:space="preserve"> CLEITON </v>
      </c>
      <c r="AD497" s="2">
        <f t="shared" si="52"/>
        <v>5</v>
      </c>
      <c r="AE497" s="2">
        <f t="shared" ca="1" si="53"/>
        <v>-272.29013738426147</v>
      </c>
      <c r="AF497" s="15"/>
    </row>
    <row r="498" spans="1:32" hidden="1">
      <c r="A498" s="1">
        <v>8632217</v>
      </c>
      <c r="B498" s="1" t="s">
        <v>653</v>
      </c>
      <c r="C498" t="s">
        <v>935</v>
      </c>
      <c r="E498" s="2">
        <v>1814031400010</v>
      </c>
      <c r="F498" s="1" t="s">
        <v>936</v>
      </c>
      <c r="G498" s="1" t="s">
        <v>53</v>
      </c>
      <c r="H498" s="1" t="s">
        <v>719</v>
      </c>
      <c r="I498" s="1" t="s">
        <v>188</v>
      </c>
      <c r="J498" s="1" t="s">
        <v>46</v>
      </c>
      <c r="K498" t="s">
        <v>937</v>
      </c>
      <c r="M498" s="1" t="s">
        <v>58</v>
      </c>
      <c r="N498" s="1">
        <v>0</v>
      </c>
      <c r="O498" s="1" t="s">
        <v>105</v>
      </c>
      <c r="P498" s="12">
        <v>44713.386111111111</v>
      </c>
      <c r="R498" s="1">
        <v>3</v>
      </c>
      <c r="T498" s="1" t="s">
        <v>646</v>
      </c>
      <c r="U498" s="12">
        <v>44714.386111111111</v>
      </c>
      <c r="V498" s="1" t="s">
        <v>41</v>
      </c>
      <c r="W498" s="1" t="s">
        <v>49</v>
      </c>
      <c r="X498" s="13" t="str">
        <f t="shared" si="54"/>
        <v>1814.03</v>
      </c>
      <c r="Y498" s="2">
        <f t="shared" ca="1" si="49"/>
        <v>196</v>
      </c>
      <c r="Z498" s="14">
        <v>1</v>
      </c>
      <c r="AA498" s="1" t="str">
        <f t="shared" ca="1" si="50"/>
        <v>VENCIDO</v>
      </c>
      <c r="AB498" s="1" t="str">
        <f t="shared" si="51"/>
        <v>C-14</v>
      </c>
      <c r="AC498" s="2" t="str">
        <f t="shared" si="55"/>
        <v xml:space="preserve"> CLEITON </v>
      </c>
      <c r="AD498" s="2">
        <f t="shared" si="52"/>
        <v>5</v>
      </c>
      <c r="AE498" s="2">
        <f t="shared" ca="1" si="53"/>
        <v>-272.29016053240775</v>
      </c>
      <c r="AF498" s="15"/>
    </row>
    <row r="499" spans="1:32" hidden="1">
      <c r="A499" s="1">
        <v>8632154</v>
      </c>
      <c r="B499" s="1" t="s">
        <v>653</v>
      </c>
      <c r="C499" t="s">
        <v>935</v>
      </c>
      <c r="E499" s="2">
        <v>1739001400010</v>
      </c>
      <c r="F499" s="1" t="s">
        <v>936</v>
      </c>
      <c r="G499" s="1" t="s">
        <v>53</v>
      </c>
      <c r="H499" s="1" t="s">
        <v>162</v>
      </c>
      <c r="I499" s="1" t="s">
        <v>163</v>
      </c>
      <c r="J499" s="1" t="s">
        <v>164</v>
      </c>
      <c r="K499" t="s">
        <v>937</v>
      </c>
      <c r="M499" s="1" t="s">
        <v>58</v>
      </c>
      <c r="N499" s="1">
        <v>0</v>
      </c>
      <c r="O499" s="1" t="s">
        <v>105</v>
      </c>
      <c r="P499" s="11" t="s">
        <v>1018</v>
      </c>
      <c r="R499" s="1">
        <v>3</v>
      </c>
      <c r="T499" s="1" t="s">
        <v>646</v>
      </c>
      <c r="U499" s="11" t="s">
        <v>1019</v>
      </c>
      <c r="V499" s="1" t="s">
        <v>41</v>
      </c>
      <c r="W499" s="1" t="s">
        <v>49</v>
      </c>
      <c r="X499" s="13" t="str">
        <f t="shared" si="54"/>
        <v/>
      </c>
      <c r="Y499" s="2">
        <f t="shared" ca="1" si="49"/>
        <v>196</v>
      </c>
      <c r="Z499" s="14">
        <v>1</v>
      </c>
      <c r="AA499" s="1" t="str">
        <f t="shared" ca="1" si="50"/>
        <v>VENCIDO</v>
      </c>
      <c r="AB499" s="1" t="str">
        <f t="shared" si="51"/>
        <v>C-14</v>
      </c>
      <c r="AC499" s="2" t="str">
        <f t="shared" si="55"/>
        <v xml:space="preserve"> ROSEMERE </v>
      </c>
      <c r="AD499" s="2">
        <f t="shared" si="52"/>
        <v>5</v>
      </c>
      <c r="AE499" s="2">
        <f t="shared" ca="1" si="53"/>
        <v>-272.29024155092338</v>
      </c>
      <c r="AF499" s="15"/>
    </row>
    <row r="500" spans="1:32" hidden="1">
      <c r="A500" s="1">
        <v>8632150</v>
      </c>
      <c r="B500" s="1" t="s">
        <v>653</v>
      </c>
      <c r="C500" t="s">
        <v>935</v>
      </c>
      <c r="E500" s="2">
        <v>1732001400010</v>
      </c>
      <c r="F500" s="1" t="s">
        <v>936</v>
      </c>
      <c r="G500" s="1" t="s">
        <v>53</v>
      </c>
      <c r="H500" s="1" t="s">
        <v>177</v>
      </c>
      <c r="I500" s="1" t="s">
        <v>178</v>
      </c>
      <c r="J500" s="1" t="s">
        <v>164</v>
      </c>
      <c r="K500" t="s">
        <v>937</v>
      </c>
      <c r="M500" s="1" t="s">
        <v>58</v>
      </c>
      <c r="N500" s="1">
        <v>0</v>
      </c>
      <c r="O500" s="1" t="s">
        <v>105</v>
      </c>
      <c r="P500" s="11" t="s">
        <v>1018</v>
      </c>
      <c r="R500" s="1">
        <v>3</v>
      </c>
      <c r="T500" s="1" t="s">
        <v>646</v>
      </c>
      <c r="U500" s="11" t="s">
        <v>1019</v>
      </c>
      <c r="V500" s="1" t="s">
        <v>41</v>
      </c>
      <c r="W500" s="1" t="s">
        <v>49</v>
      </c>
      <c r="X500" s="13" t="str">
        <f t="shared" si="54"/>
        <v/>
      </c>
      <c r="Y500" s="2">
        <f t="shared" ca="1" si="49"/>
        <v>196</v>
      </c>
      <c r="Z500" s="14">
        <v>1</v>
      </c>
      <c r="AA500" s="1" t="str">
        <f t="shared" ca="1" si="50"/>
        <v>VENCIDO</v>
      </c>
      <c r="AB500" s="1" t="str">
        <f t="shared" si="51"/>
        <v>C-14</v>
      </c>
      <c r="AC500" s="2" t="str">
        <f t="shared" si="55"/>
        <v xml:space="preserve"> ROSEMERE </v>
      </c>
      <c r="AD500" s="2">
        <f t="shared" si="52"/>
        <v>5</v>
      </c>
      <c r="AE500" s="2">
        <f t="shared" ca="1" si="53"/>
        <v>-272.29024155092338</v>
      </c>
      <c r="AF500" s="15"/>
    </row>
    <row r="501" spans="1:32" hidden="1">
      <c r="A501" s="1">
        <v>8632090</v>
      </c>
      <c r="B501" s="1" t="s">
        <v>653</v>
      </c>
      <c r="C501" t="s">
        <v>935</v>
      </c>
      <c r="E501" s="2">
        <v>1664001400010</v>
      </c>
      <c r="F501" s="1" t="s">
        <v>936</v>
      </c>
      <c r="G501" s="1" t="s">
        <v>53</v>
      </c>
      <c r="H501" s="1" t="s">
        <v>307</v>
      </c>
      <c r="I501" s="1" t="s">
        <v>308</v>
      </c>
      <c r="J501" s="1" t="s">
        <v>164</v>
      </c>
      <c r="K501" t="s">
        <v>937</v>
      </c>
      <c r="M501" s="1" t="s">
        <v>58</v>
      </c>
      <c r="N501" s="1">
        <v>0</v>
      </c>
      <c r="O501" s="1" t="s">
        <v>105</v>
      </c>
      <c r="P501" s="11" t="s">
        <v>1020</v>
      </c>
      <c r="R501" s="1">
        <v>3</v>
      </c>
      <c r="T501" s="1" t="s">
        <v>646</v>
      </c>
      <c r="U501" s="11" t="s">
        <v>1021</v>
      </c>
      <c r="V501" s="1" t="s">
        <v>41</v>
      </c>
      <c r="W501" s="1" t="s">
        <v>49</v>
      </c>
      <c r="X501" s="13" t="str">
        <f t="shared" si="54"/>
        <v/>
      </c>
      <c r="Y501" s="2">
        <f t="shared" ca="1" si="49"/>
        <v>196</v>
      </c>
      <c r="Z501" s="14">
        <v>1</v>
      </c>
      <c r="AA501" s="1" t="str">
        <f t="shared" ca="1" si="50"/>
        <v>VENCIDO</v>
      </c>
      <c r="AB501" s="1" t="str">
        <f t="shared" si="51"/>
        <v>C-14</v>
      </c>
      <c r="AC501" s="2" t="str">
        <f t="shared" si="55"/>
        <v xml:space="preserve"> ROSEMERE </v>
      </c>
      <c r="AD501" s="2">
        <f t="shared" si="52"/>
        <v>5</v>
      </c>
      <c r="AE501" s="2">
        <f t="shared" ca="1" si="53"/>
        <v>-272.29032256944629</v>
      </c>
      <c r="AF501" s="15"/>
    </row>
    <row r="502" spans="1:32" hidden="1">
      <c r="A502" s="1">
        <v>8632071</v>
      </c>
      <c r="B502" s="1" t="s">
        <v>653</v>
      </c>
      <c r="C502" t="s">
        <v>935</v>
      </c>
      <c r="E502" s="2">
        <v>1643001400010</v>
      </c>
      <c r="F502" s="1" t="s">
        <v>936</v>
      </c>
      <c r="G502" s="1" t="s">
        <v>53</v>
      </c>
      <c r="H502" s="1" t="s">
        <v>361</v>
      </c>
      <c r="I502" s="1" t="s">
        <v>362</v>
      </c>
      <c r="J502" s="1" t="s">
        <v>261</v>
      </c>
      <c r="K502" t="s">
        <v>937</v>
      </c>
      <c r="M502" s="1" t="s">
        <v>58</v>
      </c>
      <c r="N502" s="1">
        <v>0</v>
      </c>
      <c r="O502" s="1" t="s">
        <v>105</v>
      </c>
      <c r="P502" s="11" t="s">
        <v>1022</v>
      </c>
      <c r="R502" s="1">
        <v>3</v>
      </c>
      <c r="T502" s="1" t="s">
        <v>646</v>
      </c>
      <c r="U502" s="11" t="s">
        <v>1023</v>
      </c>
      <c r="V502" s="1" t="s">
        <v>41</v>
      </c>
      <c r="W502" s="1" t="s">
        <v>49</v>
      </c>
      <c r="X502" s="13" t="str">
        <f t="shared" si="54"/>
        <v/>
      </c>
      <c r="Y502" s="2">
        <f t="shared" ca="1" si="49"/>
        <v>196</v>
      </c>
      <c r="Z502" s="14">
        <v>1</v>
      </c>
      <c r="AA502" s="1" t="str">
        <f t="shared" ca="1" si="50"/>
        <v>VENCIDO</v>
      </c>
      <c r="AB502" s="1" t="str">
        <f t="shared" si="51"/>
        <v>C-14</v>
      </c>
      <c r="AC502" s="2" t="str">
        <f t="shared" si="55"/>
        <v xml:space="preserve"> CRISTINA </v>
      </c>
      <c r="AD502" s="2">
        <f t="shared" si="52"/>
        <v>5</v>
      </c>
      <c r="AE502" s="2">
        <f t="shared" ca="1" si="53"/>
        <v>-272.29034571759257</v>
      </c>
      <c r="AF502" s="15"/>
    </row>
    <row r="503" spans="1:32" hidden="1">
      <c r="A503" s="1">
        <v>8632049</v>
      </c>
      <c r="B503" s="1" t="s">
        <v>653</v>
      </c>
      <c r="C503" t="s">
        <v>935</v>
      </c>
      <c r="E503" s="2">
        <v>1620001400010</v>
      </c>
      <c r="F503" s="1" t="s">
        <v>936</v>
      </c>
      <c r="G503" s="1" t="s">
        <v>53</v>
      </c>
      <c r="H503" s="1" t="s">
        <v>402</v>
      </c>
      <c r="I503" s="1" t="s">
        <v>403</v>
      </c>
      <c r="J503" s="1" t="s">
        <v>46</v>
      </c>
      <c r="K503" t="s">
        <v>937</v>
      </c>
      <c r="M503" s="1" t="s">
        <v>58</v>
      </c>
      <c r="N503" s="1">
        <v>0</v>
      </c>
      <c r="O503" s="1" t="s">
        <v>105</v>
      </c>
      <c r="P503" s="11" t="s">
        <v>1024</v>
      </c>
      <c r="R503" s="1">
        <v>3</v>
      </c>
      <c r="T503" s="1" t="s">
        <v>646</v>
      </c>
      <c r="U503" s="11" t="s">
        <v>1025</v>
      </c>
      <c r="V503" s="1" t="s">
        <v>41</v>
      </c>
      <c r="W503" s="1" t="s">
        <v>49</v>
      </c>
      <c r="X503" s="13" t="str">
        <f t="shared" si="54"/>
        <v/>
      </c>
      <c r="Y503" s="2">
        <f t="shared" ca="1" si="49"/>
        <v>196</v>
      </c>
      <c r="Z503" s="14">
        <v>1</v>
      </c>
      <c r="AA503" s="1" t="str">
        <f t="shared" ca="1" si="50"/>
        <v>VENCIDO</v>
      </c>
      <c r="AB503" s="1" t="str">
        <f t="shared" si="51"/>
        <v>C-14</v>
      </c>
      <c r="AC503" s="2" t="str">
        <f t="shared" si="55"/>
        <v xml:space="preserve"> CLEITON </v>
      </c>
      <c r="AD503" s="2">
        <f t="shared" si="52"/>
        <v>5</v>
      </c>
      <c r="AE503" s="2">
        <f t="shared" ca="1" si="53"/>
        <v>-272.29036886573886</v>
      </c>
      <c r="AF503" s="15"/>
    </row>
    <row r="504" spans="1:32" hidden="1">
      <c r="A504" s="1">
        <v>8631960</v>
      </c>
      <c r="B504" s="1" t="s">
        <v>653</v>
      </c>
      <c r="C504" t="s">
        <v>935</v>
      </c>
      <c r="E504" s="2">
        <v>1509001400010</v>
      </c>
      <c r="F504" s="1" t="s">
        <v>936</v>
      </c>
      <c r="G504" s="1" t="s">
        <v>53</v>
      </c>
      <c r="H504" s="1" t="s">
        <v>731</v>
      </c>
      <c r="I504" s="1" t="s">
        <v>732</v>
      </c>
      <c r="J504" s="1" t="s">
        <v>46</v>
      </c>
      <c r="K504" t="s">
        <v>937</v>
      </c>
      <c r="M504" s="1" t="s">
        <v>58</v>
      </c>
      <c r="N504" s="1">
        <v>0</v>
      </c>
      <c r="O504" s="1" t="s">
        <v>105</v>
      </c>
      <c r="P504" s="11" t="s">
        <v>1026</v>
      </c>
      <c r="R504" s="1">
        <v>3</v>
      </c>
      <c r="T504" s="1" t="s">
        <v>646</v>
      </c>
      <c r="U504" s="12">
        <v>44714.385787037034</v>
      </c>
      <c r="V504" s="1" t="s">
        <v>41</v>
      </c>
      <c r="W504" s="1" t="s">
        <v>49</v>
      </c>
      <c r="X504" s="13" t="str">
        <f t="shared" si="54"/>
        <v/>
      </c>
      <c r="Y504" s="2">
        <f t="shared" ca="1" si="49"/>
        <v>196</v>
      </c>
      <c r="Z504" s="14">
        <v>1</v>
      </c>
      <c r="AA504" s="1" t="str">
        <f t="shared" ca="1" si="50"/>
        <v>VENCIDO</v>
      </c>
      <c r="AB504" s="1" t="str">
        <f t="shared" si="51"/>
        <v>C-14</v>
      </c>
      <c r="AC504" s="2" t="str">
        <f t="shared" si="55"/>
        <v xml:space="preserve"> CLEITON </v>
      </c>
      <c r="AD504" s="2">
        <f t="shared" si="52"/>
        <v>5</v>
      </c>
      <c r="AE504" s="2">
        <f t="shared" ca="1" si="53"/>
        <v>-272.29048460648482</v>
      </c>
      <c r="AF504" s="15"/>
    </row>
    <row r="505" spans="1:32" hidden="1">
      <c r="A505" s="1">
        <v>8631881</v>
      </c>
      <c r="B505" s="1" t="s">
        <v>653</v>
      </c>
      <c r="C505" t="s">
        <v>935</v>
      </c>
      <c r="E505" s="2">
        <v>1421001400010</v>
      </c>
      <c r="F505" s="1" t="s">
        <v>936</v>
      </c>
      <c r="G505" s="1" t="s">
        <v>53</v>
      </c>
      <c r="H505" s="1" t="s">
        <v>179</v>
      </c>
      <c r="I505" s="1" t="s">
        <v>180</v>
      </c>
      <c r="J505" s="1" t="s">
        <v>79</v>
      </c>
      <c r="K505" t="s">
        <v>937</v>
      </c>
      <c r="M505" s="1" t="s">
        <v>58</v>
      </c>
      <c r="N505" s="1">
        <v>0</v>
      </c>
      <c r="O505" s="1" t="s">
        <v>105</v>
      </c>
      <c r="P505" s="11" t="s">
        <v>1027</v>
      </c>
      <c r="R505" s="1">
        <v>3</v>
      </c>
      <c r="T505" s="1" t="s">
        <v>646</v>
      </c>
      <c r="U505" s="11" t="s">
        <v>1028</v>
      </c>
      <c r="V505" s="1" t="s">
        <v>41</v>
      </c>
      <c r="W505" s="1" t="s">
        <v>49</v>
      </c>
      <c r="X505" s="13" t="str">
        <f t="shared" si="54"/>
        <v/>
      </c>
      <c r="Y505" s="2">
        <f t="shared" ca="1" si="49"/>
        <v>196</v>
      </c>
      <c r="Z505" s="14">
        <v>1</v>
      </c>
      <c r="AA505" s="1" t="str">
        <f t="shared" ca="1" si="50"/>
        <v>VENCIDO</v>
      </c>
      <c r="AB505" s="1" t="str">
        <f t="shared" si="51"/>
        <v>C-14</v>
      </c>
      <c r="AC505" s="2" t="str">
        <f t="shared" si="55"/>
        <v xml:space="preserve"> ROSEMERE </v>
      </c>
      <c r="AD505" s="2">
        <f t="shared" si="52"/>
        <v>5</v>
      </c>
      <c r="AE505" s="2">
        <f t="shared" ca="1" si="53"/>
        <v>-272.29060034722352</v>
      </c>
      <c r="AF505" s="15"/>
    </row>
    <row r="506" spans="1:32">
      <c r="A506" s="1">
        <v>8631827</v>
      </c>
      <c r="B506" s="1" t="s">
        <v>653</v>
      </c>
      <c r="C506" t="s">
        <v>935</v>
      </c>
      <c r="E506" s="2">
        <v>1362001400010</v>
      </c>
      <c r="F506" s="1" t="s">
        <v>936</v>
      </c>
      <c r="G506" s="1" t="s">
        <v>53</v>
      </c>
      <c r="H506" s="1" t="s">
        <v>268</v>
      </c>
      <c r="I506" s="1" t="s">
        <v>269</v>
      </c>
      <c r="J506" s="1" t="s">
        <v>90</v>
      </c>
      <c r="K506" t="s">
        <v>937</v>
      </c>
      <c r="M506" s="1" t="s">
        <v>58</v>
      </c>
      <c r="N506" s="1">
        <v>0</v>
      </c>
      <c r="O506" s="1" t="s">
        <v>105</v>
      </c>
      <c r="P506" s="11" t="s">
        <v>1029</v>
      </c>
      <c r="R506" s="1">
        <v>3</v>
      </c>
      <c r="T506" s="1" t="s">
        <v>646</v>
      </c>
      <c r="U506" s="11" t="s">
        <v>1030</v>
      </c>
      <c r="V506" s="1" t="s">
        <v>41</v>
      </c>
      <c r="W506" s="1" t="s">
        <v>49</v>
      </c>
      <c r="X506" s="13" t="str">
        <f t="shared" si="54"/>
        <v/>
      </c>
      <c r="Y506" s="2">
        <f t="shared" ca="1" si="49"/>
        <v>196</v>
      </c>
      <c r="Z506" s="14">
        <v>1</v>
      </c>
      <c r="AA506" s="1" t="str">
        <f t="shared" ca="1" si="50"/>
        <v>VENCIDO</v>
      </c>
      <c r="AB506" s="1" t="str">
        <f t="shared" si="51"/>
        <v>C-14</v>
      </c>
      <c r="AC506" s="2" t="str">
        <f t="shared" si="55"/>
        <v xml:space="preserve"> RINALDO </v>
      </c>
      <c r="AD506" s="2">
        <f t="shared" si="52"/>
        <v>5</v>
      </c>
      <c r="AE506" s="2">
        <f t="shared" ca="1" si="53"/>
        <v>-272.29066979166964</v>
      </c>
      <c r="AF506" s="15"/>
    </row>
    <row r="507" spans="1:32" hidden="1">
      <c r="A507" s="1">
        <v>8631826</v>
      </c>
      <c r="B507" s="1" t="s">
        <v>653</v>
      </c>
      <c r="C507" t="s">
        <v>935</v>
      </c>
      <c r="E507" s="2">
        <v>1361001400010</v>
      </c>
      <c r="F507" s="1" t="s">
        <v>936</v>
      </c>
      <c r="G507" s="1" t="s">
        <v>53</v>
      </c>
      <c r="H507" s="1" t="s">
        <v>309</v>
      </c>
      <c r="I507" s="1" t="s">
        <v>310</v>
      </c>
      <c r="J507" s="1" t="s">
        <v>46</v>
      </c>
      <c r="K507" t="s">
        <v>937</v>
      </c>
      <c r="M507" s="1" t="s">
        <v>58</v>
      </c>
      <c r="N507" s="1">
        <v>0</v>
      </c>
      <c r="O507" s="1" t="s">
        <v>105</v>
      </c>
      <c r="P507" s="11" t="s">
        <v>1029</v>
      </c>
      <c r="R507" s="1">
        <v>3</v>
      </c>
      <c r="T507" s="1" t="s">
        <v>646</v>
      </c>
      <c r="U507" s="11" t="s">
        <v>1030</v>
      </c>
      <c r="V507" s="1" t="s">
        <v>41</v>
      </c>
      <c r="W507" s="1" t="s">
        <v>49</v>
      </c>
      <c r="X507" s="13" t="str">
        <f t="shared" si="54"/>
        <v/>
      </c>
      <c r="Y507" s="2">
        <f t="shared" ca="1" si="49"/>
        <v>196</v>
      </c>
      <c r="Z507" s="14">
        <v>1</v>
      </c>
      <c r="AA507" s="1" t="str">
        <f t="shared" ca="1" si="50"/>
        <v>VENCIDO</v>
      </c>
      <c r="AB507" s="1" t="str">
        <f t="shared" si="51"/>
        <v>C-14</v>
      </c>
      <c r="AC507" s="2" t="str">
        <f t="shared" si="55"/>
        <v xml:space="preserve"> CLEITON </v>
      </c>
      <c r="AD507" s="2">
        <f t="shared" si="52"/>
        <v>5</v>
      </c>
      <c r="AE507" s="2">
        <f t="shared" ca="1" si="53"/>
        <v>-272.29066979166964</v>
      </c>
      <c r="AF507" s="15"/>
    </row>
    <row r="508" spans="1:32" hidden="1">
      <c r="A508" s="1">
        <v>8631825</v>
      </c>
      <c r="B508" s="1" t="s">
        <v>653</v>
      </c>
      <c r="C508" t="s">
        <v>935</v>
      </c>
      <c r="E508" s="2">
        <v>1360001400010</v>
      </c>
      <c r="F508" s="1" t="s">
        <v>936</v>
      </c>
      <c r="G508" s="1" t="s">
        <v>53</v>
      </c>
      <c r="H508" s="1" t="s">
        <v>303</v>
      </c>
      <c r="I508" s="1" t="s">
        <v>304</v>
      </c>
      <c r="J508" s="1" t="s">
        <v>261</v>
      </c>
      <c r="K508" t="s">
        <v>937</v>
      </c>
      <c r="M508" s="1" t="s">
        <v>58</v>
      </c>
      <c r="N508" s="1">
        <v>0</v>
      </c>
      <c r="O508" s="1" t="s">
        <v>105</v>
      </c>
      <c r="P508" s="11" t="s">
        <v>1029</v>
      </c>
      <c r="R508" s="1">
        <v>3</v>
      </c>
      <c r="T508" s="1" t="s">
        <v>646</v>
      </c>
      <c r="U508" s="11" t="s">
        <v>1030</v>
      </c>
      <c r="V508" s="1" t="s">
        <v>41</v>
      </c>
      <c r="W508" s="1" t="s">
        <v>49</v>
      </c>
      <c r="X508" s="13" t="str">
        <f t="shared" si="54"/>
        <v/>
      </c>
      <c r="Y508" s="2">
        <f t="shared" ca="1" si="49"/>
        <v>196</v>
      </c>
      <c r="Z508" s="14">
        <v>1</v>
      </c>
      <c r="AA508" s="1" t="str">
        <f t="shared" ca="1" si="50"/>
        <v>VENCIDO</v>
      </c>
      <c r="AB508" s="1" t="str">
        <f t="shared" si="51"/>
        <v>C-14</v>
      </c>
      <c r="AC508" s="2" t="str">
        <f t="shared" si="55"/>
        <v xml:space="preserve"> CRISTINA </v>
      </c>
      <c r="AD508" s="2">
        <f t="shared" si="52"/>
        <v>5</v>
      </c>
      <c r="AE508" s="2">
        <f t="shared" ca="1" si="53"/>
        <v>-272.29066979166964</v>
      </c>
      <c r="AF508" s="15"/>
    </row>
    <row r="509" spans="1:32" hidden="1">
      <c r="A509" s="1">
        <v>8631824</v>
      </c>
      <c r="B509" s="1" t="s">
        <v>653</v>
      </c>
      <c r="C509" t="s">
        <v>935</v>
      </c>
      <c r="E509" s="2">
        <v>1359001400010</v>
      </c>
      <c r="F509" s="1" t="s">
        <v>936</v>
      </c>
      <c r="G509" s="1" t="s">
        <v>53</v>
      </c>
      <c r="H509" s="1" t="s">
        <v>270</v>
      </c>
      <c r="I509" s="1" t="s">
        <v>271</v>
      </c>
      <c r="J509" s="1" t="s">
        <v>141</v>
      </c>
      <c r="K509" t="s">
        <v>937</v>
      </c>
      <c r="M509" s="1" t="s">
        <v>58</v>
      </c>
      <c r="N509" s="1">
        <v>0</v>
      </c>
      <c r="O509" s="1" t="s">
        <v>105</v>
      </c>
      <c r="P509" s="11" t="s">
        <v>1029</v>
      </c>
      <c r="R509" s="1">
        <v>3</v>
      </c>
      <c r="T509" s="1" t="s">
        <v>646</v>
      </c>
      <c r="U509" s="11" t="s">
        <v>1030</v>
      </c>
      <c r="V509" s="1" t="s">
        <v>41</v>
      </c>
      <c r="W509" s="1" t="s">
        <v>49</v>
      </c>
      <c r="X509" s="13" t="str">
        <f t="shared" si="54"/>
        <v/>
      </c>
      <c r="Y509" s="2">
        <f t="shared" ca="1" si="49"/>
        <v>196</v>
      </c>
      <c r="Z509" s="14">
        <v>1</v>
      </c>
      <c r="AA509" s="1" t="str">
        <f t="shared" ca="1" si="50"/>
        <v>VENCIDO</v>
      </c>
      <c r="AB509" s="1" t="str">
        <f t="shared" si="51"/>
        <v>C-14</v>
      </c>
      <c r="AC509" s="2" t="str">
        <f t="shared" si="55"/>
        <v xml:space="preserve"> CRISTINA </v>
      </c>
      <c r="AD509" s="2">
        <f t="shared" si="52"/>
        <v>5</v>
      </c>
      <c r="AE509" s="2">
        <f t="shared" ca="1" si="53"/>
        <v>-272.29066979166964</v>
      </c>
      <c r="AF509" s="15"/>
    </row>
    <row r="510" spans="1:32" hidden="1">
      <c r="A510" s="1">
        <v>8631649</v>
      </c>
      <c r="B510" s="1" t="s">
        <v>653</v>
      </c>
      <c r="C510" t="s">
        <v>935</v>
      </c>
      <c r="E510" s="2">
        <v>1153001400010</v>
      </c>
      <c r="F510" s="1" t="s">
        <v>936</v>
      </c>
      <c r="G510" s="1" t="s">
        <v>53</v>
      </c>
      <c r="H510" s="1" t="s">
        <v>1031</v>
      </c>
      <c r="I510" s="1" t="s">
        <v>1032</v>
      </c>
      <c r="J510" s="1" t="s">
        <v>79</v>
      </c>
      <c r="K510" t="s">
        <v>937</v>
      </c>
      <c r="M510" s="1" t="s">
        <v>58</v>
      </c>
      <c r="N510" s="1">
        <v>0</v>
      </c>
      <c r="O510" s="1" t="s">
        <v>105</v>
      </c>
      <c r="P510" s="12">
        <v>44713.385370370372</v>
      </c>
      <c r="R510" s="1">
        <v>3</v>
      </c>
      <c r="T510" s="1" t="s">
        <v>646</v>
      </c>
      <c r="U510" s="12">
        <v>44714.385381944441</v>
      </c>
      <c r="V510" s="1" t="s">
        <v>41</v>
      </c>
      <c r="W510" s="1" t="s">
        <v>49</v>
      </c>
      <c r="X510" s="13" t="str">
        <f t="shared" si="54"/>
        <v/>
      </c>
      <c r="Y510" s="2">
        <f t="shared" ca="1" si="49"/>
        <v>196</v>
      </c>
      <c r="Z510" s="14">
        <v>1</v>
      </c>
      <c r="AA510" s="1" t="str">
        <f t="shared" ca="1" si="50"/>
        <v>VENCIDO</v>
      </c>
      <c r="AB510" s="1" t="str">
        <f t="shared" si="51"/>
        <v>C-14</v>
      </c>
      <c r="AC510" s="2" t="str">
        <f t="shared" si="55"/>
        <v xml:space="preserve"> ROSEMERE </v>
      </c>
      <c r="AD510" s="2">
        <f t="shared" si="52"/>
        <v>5</v>
      </c>
      <c r="AE510" s="2">
        <f t="shared" ca="1" si="53"/>
        <v>-272.29088969907752</v>
      </c>
      <c r="AF510" s="15"/>
    </row>
    <row r="511" spans="1:32" hidden="1">
      <c r="A511" s="1">
        <v>8631615</v>
      </c>
      <c r="B511" s="1" t="s">
        <v>653</v>
      </c>
      <c r="C511" t="s">
        <v>935</v>
      </c>
      <c r="E511" s="2">
        <v>1120001400010</v>
      </c>
      <c r="F511" s="1" t="s">
        <v>936</v>
      </c>
      <c r="G511" s="1" t="s">
        <v>53</v>
      </c>
      <c r="H511" s="1" t="s">
        <v>181</v>
      </c>
      <c r="I511" s="1" t="s">
        <v>182</v>
      </c>
      <c r="J511" s="1" t="s">
        <v>164</v>
      </c>
      <c r="K511" t="s">
        <v>937</v>
      </c>
      <c r="M511" s="1" t="s">
        <v>58</v>
      </c>
      <c r="N511" s="1">
        <v>0</v>
      </c>
      <c r="O511" s="1" t="s">
        <v>105</v>
      </c>
      <c r="P511" s="11" t="s">
        <v>1033</v>
      </c>
      <c r="R511" s="1">
        <v>3</v>
      </c>
      <c r="T511" s="1" t="s">
        <v>646</v>
      </c>
      <c r="U511" s="11" t="s">
        <v>1034</v>
      </c>
      <c r="V511" s="1" t="s">
        <v>41</v>
      </c>
      <c r="W511" s="1" t="s">
        <v>49</v>
      </c>
      <c r="X511" s="13" t="str">
        <f t="shared" si="54"/>
        <v/>
      </c>
      <c r="Y511" s="2">
        <f t="shared" ca="1" si="49"/>
        <v>196</v>
      </c>
      <c r="Z511" s="14">
        <v>1</v>
      </c>
      <c r="AA511" s="1" t="str">
        <f t="shared" ca="1" si="50"/>
        <v>VENCIDO</v>
      </c>
      <c r="AB511" s="1" t="str">
        <f t="shared" si="51"/>
        <v>C-14</v>
      </c>
      <c r="AC511" s="2" t="str">
        <f t="shared" si="55"/>
        <v xml:space="preserve"> ROSEMERE </v>
      </c>
      <c r="AD511" s="2">
        <f t="shared" si="52"/>
        <v>5</v>
      </c>
      <c r="AE511" s="2">
        <f t="shared" ca="1" si="53"/>
        <v>-272.29093599537009</v>
      </c>
      <c r="AF511" s="15"/>
    </row>
    <row r="512" spans="1:32">
      <c r="A512" s="181">
        <v>8631603</v>
      </c>
      <c r="B512" s="181" t="s">
        <v>653</v>
      </c>
      <c r="C512" s="182" t="s">
        <v>1035</v>
      </c>
      <c r="D512" s="183"/>
      <c r="E512" s="183">
        <v>1108001400010</v>
      </c>
      <c r="F512" s="181" t="s">
        <v>936</v>
      </c>
      <c r="G512" s="181" t="s">
        <v>53</v>
      </c>
      <c r="H512" s="181" t="s">
        <v>295</v>
      </c>
      <c r="I512" s="181" t="s">
        <v>296</v>
      </c>
      <c r="J512" s="181" t="s">
        <v>90</v>
      </c>
      <c r="K512" t="s">
        <v>937</v>
      </c>
      <c r="M512" s="1" t="s">
        <v>58</v>
      </c>
      <c r="N512" s="1">
        <v>0</v>
      </c>
      <c r="O512" s="1" t="s">
        <v>105</v>
      </c>
      <c r="P512" s="11" t="s">
        <v>1036</v>
      </c>
      <c r="R512" s="1">
        <v>3</v>
      </c>
      <c r="T512" s="1" t="s">
        <v>646</v>
      </c>
      <c r="U512" s="11" t="s">
        <v>1037</v>
      </c>
      <c r="V512" s="1" t="s">
        <v>41</v>
      </c>
      <c r="W512" s="1" t="s">
        <v>49</v>
      </c>
      <c r="X512" s="13" t="str">
        <f t="shared" si="54"/>
        <v/>
      </c>
      <c r="Y512" s="2">
        <f t="shared" ca="1" si="49"/>
        <v>196</v>
      </c>
      <c r="Z512" s="14">
        <v>1</v>
      </c>
      <c r="AA512" s="1" t="str">
        <f t="shared" ca="1" si="50"/>
        <v>VENCIDO</v>
      </c>
      <c r="AB512" s="1" t="str">
        <f t="shared" si="51"/>
        <v>C-14</v>
      </c>
      <c r="AC512" s="2" t="str">
        <f t="shared" si="55"/>
        <v xml:space="preserve"> RINALDO </v>
      </c>
      <c r="AD512" s="2">
        <f t="shared" si="52"/>
        <v>5</v>
      </c>
      <c r="AE512" s="2">
        <f t="shared" ca="1" si="53"/>
        <v>-272.29094756944687</v>
      </c>
      <c r="AF512" s="15"/>
    </row>
    <row r="513" spans="1:32">
      <c r="A513" s="1">
        <v>8631560</v>
      </c>
      <c r="B513" s="1" t="s">
        <v>653</v>
      </c>
      <c r="C513" t="s">
        <v>935</v>
      </c>
      <c r="E513" s="2">
        <v>1059001400010</v>
      </c>
      <c r="F513" s="1" t="s">
        <v>936</v>
      </c>
      <c r="G513" s="1" t="s">
        <v>53</v>
      </c>
      <c r="H513" s="1" t="s">
        <v>88</v>
      </c>
      <c r="I513" s="1" t="s">
        <v>89</v>
      </c>
      <c r="J513" s="1" t="s">
        <v>90</v>
      </c>
      <c r="K513" t="s">
        <v>937</v>
      </c>
      <c r="M513" s="1" t="s">
        <v>58</v>
      </c>
      <c r="N513" s="1">
        <v>0</v>
      </c>
      <c r="O513" s="1" t="s">
        <v>105</v>
      </c>
      <c r="P513" s="11" t="s">
        <v>1038</v>
      </c>
      <c r="R513" s="1">
        <v>3</v>
      </c>
      <c r="T513" s="1" t="s">
        <v>646</v>
      </c>
      <c r="U513" s="11" t="s">
        <v>1039</v>
      </c>
      <c r="V513" s="1" t="s">
        <v>41</v>
      </c>
      <c r="W513" s="1" t="s">
        <v>49</v>
      </c>
      <c r="X513" s="13" t="str">
        <f t="shared" si="54"/>
        <v/>
      </c>
      <c r="Y513" s="2">
        <f t="shared" ca="1" si="49"/>
        <v>196</v>
      </c>
      <c r="Z513" s="14">
        <v>1</v>
      </c>
      <c r="AA513" s="1" t="str">
        <f t="shared" ca="1" si="50"/>
        <v>VENCIDO</v>
      </c>
      <c r="AB513" s="1" t="str">
        <f t="shared" si="51"/>
        <v>C-14</v>
      </c>
      <c r="AC513" s="2" t="str">
        <f t="shared" si="55"/>
        <v xml:space="preserve"> RINALDO </v>
      </c>
      <c r="AD513" s="2">
        <f t="shared" si="52"/>
        <v>5</v>
      </c>
      <c r="AE513" s="2">
        <f t="shared" ca="1" si="53"/>
        <v>-272.29099386573944</v>
      </c>
      <c r="AF513" s="15"/>
    </row>
    <row r="514" spans="1:32" hidden="1">
      <c r="A514" s="1">
        <v>8631548</v>
      </c>
      <c r="B514" s="1" t="s">
        <v>653</v>
      </c>
      <c r="C514" t="s">
        <v>935</v>
      </c>
      <c r="E514" s="2">
        <v>1049001400010</v>
      </c>
      <c r="F514" s="1" t="s">
        <v>936</v>
      </c>
      <c r="G514" s="1" t="s">
        <v>53</v>
      </c>
      <c r="H514" s="1" t="s">
        <v>169</v>
      </c>
      <c r="I514" s="1" t="s">
        <v>170</v>
      </c>
      <c r="J514" s="1" t="s">
        <v>164</v>
      </c>
      <c r="K514" t="s">
        <v>937</v>
      </c>
      <c r="M514" s="1" t="s">
        <v>58</v>
      </c>
      <c r="N514" s="1">
        <v>0</v>
      </c>
      <c r="O514" s="1" t="s">
        <v>105</v>
      </c>
      <c r="P514" s="11" t="s">
        <v>1040</v>
      </c>
      <c r="R514" s="1">
        <v>3</v>
      </c>
      <c r="T514" s="1" t="s">
        <v>646</v>
      </c>
      <c r="U514" s="11" t="s">
        <v>1041</v>
      </c>
      <c r="V514" s="1" t="s">
        <v>41</v>
      </c>
      <c r="W514" s="1" t="s">
        <v>49</v>
      </c>
      <c r="X514" s="13" t="str">
        <f t="shared" si="54"/>
        <v/>
      </c>
      <c r="Y514" s="2">
        <f t="shared" ref="Y514:Y577" ca="1" si="56">NETWORKDAYS(P514,$Y$1)</f>
        <v>196</v>
      </c>
      <c r="Z514" s="14">
        <v>1</v>
      </c>
      <c r="AA514" s="1" t="str">
        <f t="shared" ref="AA514:AA577" ca="1" si="57">IF(AE514=0,"HOJE",IF(AE514&gt;0,"A VENCER",IF(AE514&lt;0,"VENCIDO")))</f>
        <v>VENCIDO</v>
      </c>
      <c r="AB514" s="1" t="str">
        <f t="shared" ref="AB514:AB577" si="58">IF(F514="GRPE-000001","C-14",IF(F514="GRPE-000002","C-14",IF(F514="GRPE-000003","C-14",IF(F514="GRPE-000004","SL-On",IF(F514="GRPE-000038","C-14",IF(F514="GRPE-900022","Dosa",IF(F514="GRPE-000029","Dosa",IF(F514="ATOS-000222","Dose","TAAe+"))))))))</f>
        <v>C-14</v>
      </c>
      <c r="AC514" s="2" t="str">
        <f t="shared" si="55"/>
        <v xml:space="preserve"> ROSEMERE </v>
      </c>
      <c r="AD514" s="2">
        <f t="shared" ref="AD514:AD577" si="59">IF(F514="GRPE-000001",5,IF(F514="GRPE-000002",5,IF(F514="GRPE-000003",15,IF(F514="GRPE-000004",1,IF(F514="GRPE-000038",5,IF(F514="GRPE-900022",5,IF(F514="GRPE-000029",5,IF(F514="ATOS-000222",5,8))))))))</f>
        <v>5</v>
      </c>
      <c r="AE514" s="2">
        <f t="shared" ref="AE514:AE577" ca="1" si="60">IF(U514=$AE$1,"",U514-$AE$1)</f>
        <v>-272.29101701388572</v>
      </c>
      <c r="AF514" s="15"/>
    </row>
    <row r="515" spans="1:32" hidden="1">
      <c r="A515" s="1">
        <v>8631442</v>
      </c>
      <c r="B515" s="1" t="s">
        <v>653</v>
      </c>
      <c r="C515" t="s">
        <v>935</v>
      </c>
      <c r="E515" s="2">
        <v>934001400010</v>
      </c>
      <c r="F515" s="1" t="s">
        <v>936</v>
      </c>
      <c r="G515" s="1" t="s">
        <v>53</v>
      </c>
      <c r="H515" s="1" t="s">
        <v>428</v>
      </c>
      <c r="I515" s="1" t="s">
        <v>429</v>
      </c>
      <c r="J515" s="1" t="s">
        <v>46</v>
      </c>
      <c r="K515" t="s">
        <v>937</v>
      </c>
      <c r="M515" s="1" t="s">
        <v>58</v>
      </c>
      <c r="N515" s="1">
        <v>0</v>
      </c>
      <c r="O515" s="1" t="s">
        <v>105</v>
      </c>
      <c r="P515" s="11" t="s">
        <v>1042</v>
      </c>
      <c r="R515" s="1">
        <v>3</v>
      </c>
      <c r="T515" s="1" t="s">
        <v>646</v>
      </c>
      <c r="U515" s="11" t="s">
        <v>1043</v>
      </c>
      <c r="V515" s="1" t="s">
        <v>41</v>
      </c>
      <c r="W515" s="1" t="s">
        <v>49</v>
      </c>
      <c r="X515" s="13" t="str">
        <f t="shared" ref="X515:X578" si="61">IF(RIGHT(H515,2)&lt;&gt;"00",H515,"")</f>
        <v/>
      </c>
      <c r="Y515" s="2">
        <f t="shared" ca="1" si="56"/>
        <v>196</v>
      </c>
      <c r="Z515" s="14">
        <v>1</v>
      </c>
      <c r="AA515" s="1" t="str">
        <f t="shared" ca="1" si="57"/>
        <v>VENCIDO</v>
      </c>
      <c r="AB515" s="1" t="str">
        <f t="shared" si="58"/>
        <v>C-14</v>
      </c>
      <c r="AC515" s="2" t="str">
        <f t="shared" ref="AC515:AC578" si="62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 xml:space="preserve"> CLEITON </v>
      </c>
      <c r="AD515" s="2">
        <f t="shared" si="59"/>
        <v>5</v>
      </c>
      <c r="AE515" s="2">
        <f t="shared" ca="1" si="60"/>
        <v>-272.29112118055491</v>
      </c>
      <c r="AF515" s="15"/>
    </row>
    <row r="516" spans="1:32">
      <c r="A516" s="1">
        <v>8631407</v>
      </c>
      <c r="B516" s="1" t="s">
        <v>653</v>
      </c>
      <c r="C516" t="s">
        <v>935</v>
      </c>
      <c r="E516" s="2">
        <v>899001400010</v>
      </c>
      <c r="F516" s="1" t="s">
        <v>936</v>
      </c>
      <c r="G516" s="1" t="s">
        <v>53</v>
      </c>
      <c r="H516" s="1" t="s">
        <v>175</v>
      </c>
      <c r="I516" s="1" t="s">
        <v>176</v>
      </c>
      <c r="J516" s="1" t="s">
        <v>90</v>
      </c>
      <c r="K516" t="s">
        <v>937</v>
      </c>
      <c r="M516" s="1" t="s">
        <v>58</v>
      </c>
      <c r="N516" s="1">
        <v>0</v>
      </c>
      <c r="O516" s="1" t="s">
        <v>105</v>
      </c>
      <c r="P516" s="11" t="s">
        <v>1044</v>
      </c>
      <c r="R516" s="1">
        <v>3</v>
      </c>
      <c r="T516" s="1" t="s">
        <v>646</v>
      </c>
      <c r="U516" s="11" t="s">
        <v>1045</v>
      </c>
      <c r="V516" s="1" t="s">
        <v>41</v>
      </c>
      <c r="W516" s="1" t="s">
        <v>49</v>
      </c>
      <c r="X516" s="13" t="str">
        <f t="shared" si="61"/>
        <v/>
      </c>
      <c r="Y516" s="2">
        <f t="shared" ca="1" si="56"/>
        <v>196</v>
      </c>
      <c r="Z516" s="14">
        <v>1</v>
      </c>
      <c r="AA516" s="1" t="str">
        <f t="shared" ca="1" si="57"/>
        <v>VENCIDO</v>
      </c>
      <c r="AB516" s="1" t="str">
        <f t="shared" si="58"/>
        <v>C-14</v>
      </c>
      <c r="AC516" s="2" t="str">
        <f t="shared" si="62"/>
        <v xml:space="preserve"> RINALDO </v>
      </c>
      <c r="AD516" s="2">
        <f t="shared" si="59"/>
        <v>5</v>
      </c>
      <c r="AE516" s="2">
        <f t="shared" ca="1" si="60"/>
        <v>-272.29116747685475</v>
      </c>
      <c r="AF516" s="15"/>
    </row>
    <row r="517" spans="1:32" hidden="1">
      <c r="A517" s="1">
        <v>8631233</v>
      </c>
      <c r="B517" s="1" t="s">
        <v>653</v>
      </c>
      <c r="C517" t="s">
        <v>935</v>
      </c>
      <c r="E517" s="2">
        <v>721001400010</v>
      </c>
      <c r="F517" s="1" t="s">
        <v>936</v>
      </c>
      <c r="G517" s="1" t="s">
        <v>53</v>
      </c>
      <c r="H517" s="1" t="s">
        <v>422</v>
      </c>
      <c r="I517" s="1" t="s">
        <v>423</v>
      </c>
      <c r="J517" s="1" t="s">
        <v>79</v>
      </c>
      <c r="K517" t="s">
        <v>937</v>
      </c>
      <c r="M517" s="1" t="s">
        <v>58</v>
      </c>
      <c r="N517" s="1">
        <v>0</v>
      </c>
      <c r="O517" s="1" t="s">
        <v>105</v>
      </c>
      <c r="P517" s="11" t="s">
        <v>1046</v>
      </c>
      <c r="R517" s="1">
        <v>3</v>
      </c>
      <c r="T517" s="1" t="s">
        <v>646</v>
      </c>
      <c r="U517" s="11" t="s">
        <v>1047</v>
      </c>
      <c r="V517" s="1" t="s">
        <v>41</v>
      </c>
      <c r="W517" s="1" t="s">
        <v>49</v>
      </c>
      <c r="X517" s="13" t="str">
        <f t="shared" si="61"/>
        <v/>
      </c>
      <c r="Y517" s="2">
        <f t="shared" ca="1" si="56"/>
        <v>196</v>
      </c>
      <c r="Z517" s="14">
        <v>1</v>
      </c>
      <c r="AA517" s="1" t="str">
        <f t="shared" ca="1" si="57"/>
        <v>VENCIDO</v>
      </c>
      <c r="AB517" s="1" t="str">
        <f t="shared" si="58"/>
        <v>C-14</v>
      </c>
      <c r="AC517" s="2" t="str">
        <f t="shared" si="62"/>
        <v xml:space="preserve"> ROSEMERE </v>
      </c>
      <c r="AD517" s="2">
        <f t="shared" si="59"/>
        <v>5</v>
      </c>
      <c r="AE517" s="2">
        <f t="shared" ca="1" si="60"/>
        <v>-272.29137581018585</v>
      </c>
      <c r="AF517" s="15"/>
    </row>
    <row r="518" spans="1:32" hidden="1">
      <c r="A518" s="1">
        <v>8631225</v>
      </c>
      <c r="B518" s="1" t="s">
        <v>653</v>
      </c>
      <c r="C518" t="s">
        <v>935</v>
      </c>
      <c r="E518" s="2">
        <v>714001400010</v>
      </c>
      <c r="F518" s="1" t="s">
        <v>936</v>
      </c>
      <c r="G518" s="1" t="s">
        <v>53</v>
      </c>
      <c r="H518" s="1" t="s">
        <v>377</v>
      </c>
      <c r="I518" s="1" t="s">
        <v>378</v>
      </c>
      <c r="J518" s="1" t="s">
        <v>46</v>
      </c>
      <c r="K518" t="s">
        <v>937</v>
      </c>
      <c r="M518" s="1" t="s">
        <v>58</v>
      </c>
      <c r="N518" s="1">
        <v>0</v>
      </c>
      <c r="O518" s="1" t="s">
        <v>105</v>
      </c>
      <c r="P518" s="11" t="s">
        <v>1046</v>
      </c>
      <c r="R518" s="1">
        <v>3</v>
      </c>
      <c r="T518" s="1" t="s">
        <v>646</v>
      </c>
      <c r="U518" s="11" t="s">
        <v>1047</v>
      </c>
      <c r="V518" s="1" t="s">
        <v>41</v>
      </c>
      <c r="W518" s="1" t="s">
        <v>49</v>
      </c>
      <c r="X518" s="13" t="str">
        <f t="shared" si="61"/>
        <v/>
      </c>
      <c r="Y518" s="2">
        <f t="shared" ca="1" si="56"/>
        <v>196</v>
      </c>
      <c r="Z518" s="14">
        <v>1</v>
      </c>
      <c r="AA518" s="1" t="str">
        <f t="shared" ca="1" si="57"/>
        <v>VENCIDO</v>
      </c>
      <c r="AB518" s="1" t="str">
        <f t="shared" si="58"/>
        <v>C-14</v>
      </c>
      <c r="AC518" s="2" t="str">
        <f t="shared" si="62"/>
        <v xml:space="preserve"> CLEITON </v>
      </c>
      <c r="AD518" s="2">
        <f t="shared" si="59"/>
        <v>5</v>
      </c>
      <c r="AE518" s="2">
        <f t="shared" ca="1" si="60"/>
        <v>-272.29137581018585</v>
      </c>
      <c r="AF518" s="15"/>
    </row>
    <row r="519" spans="1:32" hidden="1">
      <c r="A519" s="1">
        <v>8631223</v>
      </c>
      <c r="B519" s="1" t="s">
        <v>653</v>
      </c>
      <c r="C519" t="s">
        <v>935</v>
      </c>
      <c r="E519" s="2">
        <v>711001400010</v>
      </c>
      <c r="F519" s="1" t="s">
        <v>936</v>
      </c>
      <c r="G519" s="1" t="s">
        <v>53</v>
      </c>
      <c r="H519" s="1" t="s">
        <v>77</v>
      </c>
      <c r="I519" s="1" t="s">
        <v>78</v>
      </c>
      <c r="J519" s="1" t="s">
        <v>79</v>
      </c>
      <c r="K519" t="s">
        <v>937</v>
      </c>
      <c r="M519" s="1" t="s">
        <v>58</v>
      </c>
      <c r="N519" s="1">
        <v>0</v>
      </c>
      <c r="O519" s="1" t="s">
        <v>105</v>
      </c>
      <c r="P519" s="11" t="s">
        <v>1048</v>
      </c>
      <c r="R519" s="1">
        <v>3</v>
      </c>
      <c r="T519" s="1" t="s">
        <v>646</v>
      </c>
      <c r="U519" s="11" t="s">
        <v>1047</v>
      </c>
      <c r="V519" s="1" t="s">
        <v>41</v>
      </c>
      <c r="W519" s="1" t="s">
        <v>49</v>
      </c>
      <c r="X519" s="13" t="str">
        <f t="shared" si="61"/>
        <v/>
      </c>
      <c r="Y519" s="2">
        <f t="shared" ca="1" si="56"/>
        <v>196</v>
      </c>
      <c r="Z519" s="14">
        <v>1</v>
      </c>
      <c r="AA519" s="1" t="str">
        <f t="shared" ca="1" si="57"/>
        <v>VENCIDO</v>
      </c>
      <c r="AB519" s="1" t="str">
        <f t="shared" si="58"/>
        <v>C-14</v>
      </c>
      <c r="AC519" s="2" t="str">
        <f t="shared" si="62"/>
        <v xml:space="preserve"> ROSEMERE </v>
      </c>
      <c r="AD519" s="2">
        <f t="shared" si="59"/>
        <v>5</v>
      </c>
      <c r="AE519" s="2">
        <f t="shared" ca="1" si="60"/>
        <v>-272.29137581018585</v>
      </c>
      <c r="AF519" s="15"/>
    </row>
    <row r="520" spans="1:32" hidden="1">
      <c r="A520" s="1">
        <v>8631222</v>
      </c>
      <c r="B520" s="1" t="s">
        <v>653</v>
      </c>
      <c r="C520" t="s">
        <v>935</v>
      </c>
      <c r="E520" s="2">
        <v>710001400010</v>
      </c>
      <c r="F520" s="1" t="s">
        <v>936</v>
      </c>
      <c r="G520" s="1" t="s">
        <v>53</v>
      </c>
      <c r="H520" s="1" t="s">
        <v>390</v>
      </c>
      <c r="I520" s="1" t="s">
        <v>391</v>
      </c>
      <c r="J520" s="1" t="s">
        <v>56</v>
      </c>
      <c r="K520" t="s">
        <v>937</v>
      </c>
      <c r="M520" s="1" t="s">
        <v>58</v>
      </c>
      <c r="N520" s="1">
        <v>0</v>
      </c>
      <c r="O520" s="1" t="s">
        <v>105</v>
      </c>
      <c r="P520" s="11" t="s">
        <v>1048</v>
      </c>
      <c r="R520" s="1">
        <v>3</v>
      </c>
      <c r="T520" s="1" t="s">
        <v>646</v>
      </c>
      <c r="U520" s="11" t="s">
        <v>1049</v>
      </c>
      <c r="V520" s="1" t="s">
        <v>41</v>
      </c>
      <c r="W520" s="1" t="s">
        <v>49</v>
      </c>
      <c r="X520" s="13" t="str">
        <f t="shared" si="61"/>
        <v/>
      </c>
      <c r="Y520" s="2">
        <f t="shared" ca="1" si="56"/>
        <v>196</v>
      </c>
      <c r="Z520" s="14">
        <v>1</v>
      </c>
      <c r="AA520" s="1" t="str">
        <f t="shared" ca="1" si="57"/>
        <v>VENCIDO</v>
      </c>
      <c r="AB520" s="1" t="str">
        <f t="shared" si="58"/>
        <v>C-14</v>
      </c>
      <c r="AC520" s="2" t="str">
        <f t="shared" si="62"/>
        <v xml:space="preserve"> CRISTINA </v>
      </c>
      <c r="AD520" s="2">
        <f t="shared" si="59"/>
        <v>5</v>
      </c>
      <c r="AE520" s="2">
        <f t="shared" ca="1" si="60"/>
        <v>-272.29138738426263</v>
      </c>
      <c r="AF520" s="15"/>
    </row>
    <row r="521" spans="1:32" hidden="1">
      <c r="A521" s="1">
        <v>8631065</v>
      </c>
      <c r="B521" s="1" t="s">
        <v>653</v>
      </c>
      <c r="C521" t="s">
        <v>935</v>
      </c>
      <c r="E521" s="2">
        <v>550001400010</v>
      </c>
      <c r="F521" s="1" t="s">
        <v>936</v>
      </c>
      <c r="G521" s="1" t="s">
        <v>53</v>
      </c>
      <c r="H521" s="1" t="s">
        <v>337</v>
      </c>
      <c r="I521" s="1" t="s">
        <v>338</v>
      </c>
      <c r="J521" s="1" t="s">
        <v>164</v>
      </c>
      <c r="K521" t="s">
        <v>937</v>
      </c>
      <c r="M521" s="1" t="s">
        <v>58</v>
      </c>
      <c r="N521" s="1">
        <v>0</v>
      </c>
      <c r="O521" s="1" t="s">
        <v>105</v>
      </c>
      <c r="P521" s="11" t="s">
        <v>1050</v>
      </c>
      <c r="R521" s="1">
        <v>3</v>
      </c>
      <c r="T521" s="1" t="s">
        <v>646</v>
      </c>
      <c r="U521" s="11" t="s">
        <v>1051</v>
      </c>
      <c r="V521" s="1" t="s">
        <v>41</v>
      </c>
      <c r="W521" s="1" t="s">
        <v>49</v>
      </c>
      <c r="X521" s="13" t="str">
        <f t="shared" si="61"/>
        <v/>
      </c>
      <c r="Y521" s="2">
        <f t="shared" ca="1" si="56"/>
        <v>196</v>
      </c>
      <c r="Z521" s="14">
        <v>1</v>
      </c>
      <c r="AA521" s="1" t="str">
        <f t="shared" ca="1" si="57"/>
        <v>VENCIDO</v>
      </c>
      <c r="AB521" s="1" t="str">
        <f t="shared" si="58"/>
        <v>C-14</v>
      </c>
      <c r="AC521" s="2" t="str">
        <f t="shared" si="62"/>
        <v xml:space="preserve"> ROSEMERE </v>
      </c>
      <c r="AD521" s="2">
        <f t="shared" si="59"/>
        <v>5</v>
      </c>
      <c r="AE521" s="2">
        <f t="shared" ca="1" si="60"/>
        <v>-272.29154942129389</v>
      </c>
      <c r="AF521" s="15"/>
    </row>
    <row r="522" spans="1:32" hidden="1">
      <c r="A522" s="1">
        <v>8631054</v>
      </c>
      <c r="B522" s="1" t="s">
        <v>653</v>
      </c>
      <c r="C522" t="s">
        <v>935</v>
      </c>
      <c r="E522" s="2">
        <v>537001400010</v>
      </c>
      <c r="F522" s="1" t="s">
        <v>936</v>
      </c>
      <c r="G522" s="1" t="s">
        <v>53</v>
      </c>
      <c r="H522" s="1" t="s">
        <v>442</v>
      </c>
      <c r="I522" s="1" t="s">
        <v>443</v>
      </c>
      <c r="J522" s="1" t="s">
        <v>79</v>
      </c>
      <c r="K522" t="s">
        <v>937</v>
      </c>
      <c r="M522" s="1" t="s">
        <v>58</v>
      </c>
      <c r="N522" s="1">
        <v>0</v>
      </c>
      <c r="O522" s="1" t="s">
        <v>105</v>
      </c>
      <c r="P522" s="11" t="s">
        <v>1052</v>
      </c>
      <c r="R522" s="1">
        <v>3</v>
      </c>
      <c r="T522" s="1" t="s">
        <v>646</v>
      </c>
      <c r="U522" s="11" t="s">
        <v>1053</v>
      </c>
      <c r="V522" s="1" t="s">
        <v>41</v>
      </c>
      <c r="W522" s="1" t="s">
        <v>49</v>
      </c>
      <c r="X522" s="13" t="str">
        <f t="shared" si="61"/>
        <v/>
      </c>
      <c r="Y522" s="2">
        <f t="shared" ca="1" si="56"/>
        <v>196</v>
      </c>
      <c r="Z522" s="14">
        <v>1</v>
      </c>
      <c r="AA522" s="1" t="str">
        <f t="shared" ca="1" si="57"/>
        <v>VENCIDO</v>
      </c>
      <c r="AB522" s="1" t="str">
        <f t="shared" si="58"/>
        <v>C-14</v>
      </c>
      <c r="AC522" s="2" t="str">
        <f t="shared" si="62"/>
        <v xml:space="preserve"> ROSEMERE </v>
      </c>
      <c r="AD522" s="2">
        <f t="shared" si="59"/>
        <v>5</v>
      </c>
      <c r="AE522" s="2">
        <f t="shared" ca="1" si="60"/>
        <v>-272.29157256944745</v>
      </c>
      <c r="AF522" s="15"/>
    </row>
    <row r="523" spans="1:32" hidden="1">
      <c r="A523" s="1">
        <v>8630966</v>
      </c>
      <c r="B523" s="1" t="s">
        <v>653</v>
      </c>
      <c r="C523" t="s">
        <v>935</v>
      </c>
      <c r="E523" s="2">
        <v>446001400010</v>
      </c>
      <c r="F523" s="1" t="s">
        <v>936</v>
      </c>
      <c r="G523" s="1" t="s">
        <v>53</v>
      </c>
      <c r="H523" s="1" t="s">
        <v>432</v>
      </c>
      <c r="I523" s="1" t="s">
        <v>433</v>
      </c>
      <c r="J523" s="1" t="s">
        <v>110</v>
      </c>
      <c r="K523" t="s">
        <v>937</v>
      </c>
      <c r="M523" s="1" t="s">
        <v>58</v>
      </c>
      <c r="N523" s="1">
        <v>0</v>
      </c>
      <c r="O523" s="1" t="s">
        <v>105</v>
      </c>
      <c r="P523" s="11" t="s">
        <v>1054</v>
      </c>
      <c r="R523" s="1">
        <v>3</v>
      </c>
      <c r="T523" s="1" t="s">
        <v>646</v>
      </c>
      <c r="U523" s="11" t="s">
        <v>1055</v>
      </c>
      <c r="V523" s="1" t="s">
        <v>41</v>
      </c>
      <c r="W523" s="1" t="s">
        <v>49</v>
      </c>
      <c r="X523" s="13" t="str">
        <f t="shared" si="61"/>
        <v/>
      </c>
      <c r="Y523" s="2">
        <f t="shared" ca="1" si="56"/>
        <v>196</v>
      </c>
      <c r="Z523" s="14">
        <v>1</v>
      </c>
      <c r="AA523" s="1" t="str">
        <f t="shared" ca="1" si="57"/>
        <v>VENCIDO</v>
      </c>
      <c r="AB523" s="1" t="str">
        <f t="shared" si="58"/>
        <v>C-14</v>
      </c>
      <c r="AC523" s="2" t="str">
        <f t="shared" si="62"/>
        <v xml:space="preserve"> CRISTINA </v>
      </c>
      <c r="AD523" s="2">
        <f t="shared" si="59"/>
        <v>5</v>
      </c>
      <c r="AE523" s="2">
        <f t="shared" ca="1" si="60"/>
        <v>-272.29167673610937</v>
      </c>
      <c r="AF523" s="15"/>
    </row>
    <row r="524" spans="1:32" hidden="1">
      <c r="A524" s="1">
        <v>8630840</v>
      </c>
      <c r="B524" s="1" t="s">
        <v>653</v>
      </c>
      <c r="C524" t="s">
        <v>935</v>
      </c>
      <c r="E524" s="2">
        <v>325091400010</v>
      </c>
      <c r="F524" s="1" t="s">
        <v>936</v>
      </c>
      <c r="G524" s="1" t="s">
        <v>53</v>
      </c>
      <c r="H524" s="1" t="s">
        <v>821</v>
      </c>
      <c r="I524" s="1" t="s">
        <v>822</v>
      </c>
      <c r="J524" s="1" t="s">
        <v>46</v>
      </c>
      <c r="K524" t="s">
        <v>937</v>
      </c>
      <c r="M524" s="1" t="s">
        <v>58</v>
      </c>
      <c r="N524" s="1">
        <v>0</v>
      </c>
      <c r="O524" s="1" t="s">
        <v>105</v>
      </c>
      <c r="P524" s="11" t="s">
        <v>1056</v>
      </c>
      <c r="R524" s="1">
        <v>3</v>
      </c>
      <c r="T524" s="1" t="s">
        <v>646</v>
      </c>
      <c r="U524" s="11" t="s">
        <v>1057</v>
      </c>
      <c r="V524" s="1" t="s">
        <v>41</v>
      </c>
      <c r="W524" s="1" t="s">
        <v>49</v>
      </c>
      <c r="X524" s="13" t="str">
        <f t="shared" si="61"/>
        <v>0325.09</v>
      </c>
      <c r="Y524" s="2">
        <f t="shared" ca="1" si="56"/>
        <v>196</v>
      </c>
      <c r="Z524" s="14">
        <v>1</v>
      </c>
      <c r="AA524" s="1" t="str">
        <f t="shared" ca="1" si="57"/>
        <v>VENCIDO</v>
      </c>
      <c r="AB524" s="1" t="str">
        <f t="shared" si="58"/>
        <v>C-14</v>
      </c>
      <c r="AC524" s="2" t="str">
        <f t="shared" si="62"/>
        <v xml:space="preserve"> CLEITON </v>
      </c>
      <c r="AD524" s="2">
        <f t="shared" si="59"/>
        <v>5</v>
      </c>
      <c r="AE524" s="2">
        <f t="shared" ca="1" si="60"/>
        <v>-272.29181562500162</v>
      </c>
      <c r="AF524" s="15"/>
    </row>
    <row r="525" spans="1:32" hidden="1">
      <c r="A525" s="1">
        <v>8630740</v>
      </c>
      <c r="B525" s="1" t="s">
        <v>653</v>
      </c>
      <c r="C525" t="s">
        <v>935</v>
      </c>
      <c r="E525" s="2">
        <v>233001400010</v>
      </c>
      <c r="F525" s="1" t="s">
        <v>936</v>
      </c>
      <c r="G525" s="1" t="s">
        <v>53</v>
      </c>
      <c r="H525" s="1" t="s">
        <v>424</v>
      </c>
      <c r="I525" s="1" t="s">
        <v>425</v>
      </c>
      <c r="J525" s="1" t="s">
        <v>261</v>
      </c>
      <c r="K525" t="s">
        <v>937</v>
      </c>
      <c r="M525" s="1" t="s">
        <v>58</v>
      </c>
      <c r="N525" s="1">
        <v>0</v>
      </c>
      <c r="O525" s="1" t="s">
        <v>105</v>
      </c>
      <c r="P525" s="11" t="s">
        <v>1058</v>
      </c>
      <c r="R525" s="1">
        <v>3</v>
      </c>
      <c r="T525" s="1" t="s">
        <v>646</v>
      </c>
      <c r="U525" s="11" t="s">
        <v>1059</v>
      </c>
      <c r="V525" s="1" t="s">
        <v>41</v>
      </c>
      <c r="W525" s="1" t="s">
        <v>49</v>
      </c>
      <c r="X525" s="13" t="str">
        <f t="shared" si="61"/>
        <v/>
      </c>
      <c r="Y525" s="2">
        <f t="shared" ca="1" si="56"/>
        <v>196</v>
      </c>
      <c r="Z525" s="14">
        <v>1</v>
      </c>
      <c r="AA525" s="1" t="str">
        <f t="shared" ca="1" si="57"/>
        <v>VENCIDO</v>
      </c>
      <c r="AB525" s="1" t="str">
        <f t="shared" si="58"/>
        <v>C-14</v>
      </c>
      <c r="AC525" s="2" t="str">
        <f t="shared" si="62"/>
        <v xml:space="preserve"> CRISTINA </v>
      </c>
      <c r="AD525" s="2">
        <f t="shared" si="59"/>
        <v>5</v>
      </c>
      <c r="AE525" s="2">
        <f t="shared" ca="1" si="60"/>
        <v>-272.29193136574031</v>
      </c>
      <c r="AF525" s="15"/>
    </row>
    <row r="526" spans="1:32" hidden="1">
      <c r="A526" s="1">
        <v>8630705</v>
      </c>
      <c r="B526" s="1" t="s">
        <v>653</v>
      </c>
      <c r="C526" t="s">
        <v>935</v>
      </c>
      <c r="E526" s="2">
        <v>196001400010</v>
      </c>
      <c r="F526" s="1" t="s">
        <v>936</v>
      </c>
      <c r="G526" s="1" t="s">
        <v>53</v>
      </c>
      <c r="H526" s="1" t="s">
        <v>1060</v>
      </c>
      <c r="I526" s="1" t="s">
        <v>1061</v>
      </c>
      <c r="J526" s="1" t="s">
        <v>79</v>
      </c>
      <c r="K526" t="s">
        <v>937</v>
      </c>
      <c r="M526" s="1" t="s">
        <v>58</v>
      </c>
      <c r="N526" s="1">
        <v>0</v>
      </c>
      <c r="O526" s="1" t="s">
        <v>105</v>
      </c>
      <c r="P526" s="11" t="s">
        <v>1062</v>
      </c>
      <c r="R526" s="1">
        <v>3</v>
      </c>
      <c r="T526" s="1" t="s">
        <v>646</v>
      </c>
      <c r="U526" s="11" t="s">
        <v>1063</v>
      </c>
      <c r="V526" s="1" t="s">
        <v>41</v>
      </c>
      <c r="W526" s="1" t="s">
        <v>49</v>
      </c>
      <c r="X526" s="13" t="str">
        <f t="shared" si="61"/>
        <v/>
      </c>
      <c r="Y526" s="2">
        <f t="shared" ca="1" si="56"/>
        <v>196</v>
      </c>
      <c r="Z526" s="14">
        <v>1</v>
      </c>
      <c r="AA526" s="1" t="str">
        <f t="shared" ca="1" si="57"/>
        <v>VENCIDO</v>
      </c>
      <c r="AB526" s="1" t="str">
        <f t="shared" si="58"/>
        <v>C-14</v>
      </c>
      <c r="AC526" s="2" t="str">
        <f t="shared" si="62"/>
        <v xml:space="preserve"> ROSEMERE </v>
      </c>
      <c r="AD526" s="2">
        <f t="shared" si="59"/>
        <v>5</v>
      </c>
      <c r="AE526" s="2">
        <f t="shared" ca="1" si="60"/>
        <v>-272.29196608796337</v>
      </c>
      <c r="AF526" s="15"/>
    </row>
    <row r="527" spans="1:32" hidden="1">
      <c r="A527" s="1">
        <v>8630554</v>
      </c>
      <c r="B527" s="1" t="s">
        <v>653</v>
      </c>
      <c r="C527" t="s">
        <v>935</v>
      </c>
      <c r="E527" s="2">
        <v>7651400010</v>
      </c>
      <c r="F527" s="1" t="s">
        <v>936</v>
      </c>
      <c r="G527" s="1" t="s">
        <v>53</v>
      </c>
      <c r="H527" s="1" t="s">
        <v>827</v>
      </c>
      <c r="I527" s="1" t="s">
        <v>828</v>
      </c>
      <c r="J527" s="1" t="s">
        <v>46</v>
      </c>
      <c r="K527" t="s">
        <v>937</v>
      </c>
      <c r="M527" s="1" t="s">
        <v>58</v>
      </c>
      <c r="N527" s="1">
        <v>0</v>
      </c>
      <c r="O527" s="1" t="s">
        <v>105</v>
      </c>
      <c r="P527" s="11" t="s">
        <v>1064</v>
      </c>
      <c r="R527" s="1">
        <v>3</v>
      </c>
      <c r="T527" s="1" t="s">
        <v>646</v>
      </c>
      <c r="U527" s="11" t="s">
        <v>1065</v>
      </c>
      <c r="V527" s="1" t="s">
        <v>41</v>
      </c>
      <c r="W527" s="1" t="s">
        <v>49</v>
      </c>
      <c r="X527" s="13" t="str">
        <f t="shared" si="61"/>
        <v>0007.65</v>
      </c>
      <c r="Y527" s="2">
        <f t="shared" ca="1" si="56"/>
        <v>196</v>
      </c>
      <c r="Z527" s="14">
        <v>1</v>
      </c>
      <c r="AA527" s="1" t="str">
        <f t="shared" ca="1" si="57"/>
        <v>VENCIDO</v>
      </c>
      <c r="AB527" s="1" t="str">
        <f t="shared" si="58"/>
        <v>C-14</v>
      </c>
      <c r="AC527" s="2" t="str">
        <f t="shared" si="62"/>
        <v xml:space="preserve"> CLEITON </v>
      </c>
      <c r="AD527" s="2">
        <f t="shared" si="59"/>
        <v>5</v>
      </c>
      <c r="AE527" s="2">
        <f t="shared" ca="1" si="60"/>
        <v>-272.29215127314819</v>
      </c>
      <c r="AF527" s="15"/>
    </row>
    <row r="528" spans="1:32">
      <c r="A528" s="1">
        <v>8630381</v>
      </c>
      <c r="B528" s="1" t="s">
        <v>101</v>
      </c>
      <c r="C528" t="s">
        <v>643</v>
      </c>
      <c r="D528" s="2">
        <v>220094909</v>
      </c>
      <c r="E528" s="2">
        <v>1362001400030</v>
      </c>
      <c r="F528" s="1" t="s">
        <v>647</v>
      </c>
      <c r="G528" s="1" t="s">
        <v>53</v>
      </c>
      <c r="H528" s="1" t="s">
        <v>268</v>
      </c>
      <c r="I528" s="1" t="s">
        <v>269</v>
      </c>
      <c r="J528" s="1" t="s">
        <v>90</v>
      </c>
      <c r="K528" t="s">
        <v>650</v>
      </c>
      <c r="M528" s="1" t="s">
        <v>58</v>
      </c>
      <c r="N528" s="1">
        <v>0</v>
      </c>
      <c r="O528" s="1" t="s">
        <v>105</v>
      </c>
      <c r="P528" s="11" t="s">
        <v>1066</v>
      </c>
      <c r="R528" s="1">
        <v>4</v>
      </c>
      <c r="T528" s="1" t="s">
        <v>646</v>
      </c>
      <c r="U528" s="11" t="s">
        <v>1067</v>
      </c>
      <c r="V528" s="1" t="s">
        <v>41</v>
      </c>
      <c r="W528" s="1" t="s">
        <v>49</v>
      </c>
      <c r="X528" s="13" t="str">
        <f t="shared" si="61"/>
        <v/>
      </c>
      <c r="Y528" s="2">
        <f t="shared" ca="1" si="56"/>
        <v>196</v>
      </c>
      <c r="Z528" s="14">
        <v>1</v>
      </c>
      <c r="AA528" s="1" t="str">
        <f t="shared" ca="1" si="57"/>
        <v>VENCIDO</v>
      </c>
      <c r="AB528" s="1" t="str">
        <f t="shared" si="58"/>
        <v>C-14</v>
      </c>
      <c r="AC528" s="2" t="str">
        <f t="shared" si="62"/>
        <v xml:space="preserve"> RINALDO </v>
      </c>
      <c r="AD528" s="2">
        <f t="shared" si="59"/>
        <v>15</v>
      </c>
      <c r="AE528" s="2">
        <f t="shared" ca="1" si="60"/>
        <v>-272.29856331018527</v>
      </c>
      <c r="AF528" s="15"/>
    </row>
    <row r="529" spans="1:32" hidden="1">
      <c r="A529" s="1">
        <v>8630306</v>
      </c>
      <c r="B529" s="1" t="s">
        <v>101</v>
      </c>
      <c r="C529" t="s">
        <v>643</v>
      </c>
      <c r="D529" s="2">
        <v>220094756</v>
      </c>
      <c r="E529" s="2">
        <v>1049001400030</v>
      </c>
      <c r="F529" s="1" t="s">
        <v>647</v>
      </c>
      <c r="G529" s="1" t="s">
        <v>53</v>
      </c>
      <c r="H529" s="1" t="s">
        <v>169</v>
      </c>
      <c r="I529" s="1" t="s">
        <v>170</v>
      </c>
      <c r="J529" s="1" t="s">
        <v>164</v>
      </c>
      <c r="K529" t="s">
        <v>650</v>
      </c>
      <c r="M529" s="1" t="s">
        <v>58</v>
      </c>
      <c r="N529" s="1">
        <v>0</v>
      </c>
      <c r="O529" s="1" t="s">
        <v>105</v>
      </c>
      <c r="P529" s="11" t="s">
        <v>1068</v>
      </c>
      <c r="R529" s="1">
        <v>4</v>
      </c>
      <c r="T529" s="1" t="s">
        <v>646</v>
      </c>
      <c r="U529" s="11" t="s">
        <v>1069</v>
      </c>
      <c r="V529" s="1" t="s">
        <v>41</v>
      </c>
      <c r="W529" s="1" t="s">
        <v>49</v>
      </c>
      <c r="X529" s="13" t="str">
        <f t="shared" si="61"/>
        <v/>
      </c>
      <c r="Y529" s="2">
        <f t="shared" ca="1" si="56"/>
        <v>196</v>
      </c>
      <c r="Z529" s="14">
        <v>1</v>
      </c>
      <c r="AA529" s="1" t="str">
        <f t="shared" ca="1" si="57"/>
        <v>VENCIDO</v>
      </c>
      <c r="AB529" s="1" t="str">
        <f t="shared" si="58"/>
        <v>C-14</v>
      </c>
      <c r="AC529" s="2" t="str">
        <f t="shared" si="62"/>
        <v xml:space="preserve"> ROSEMERE </v>
      </c>
      <c r="AD529" s="2">
        <f t="shared" si="59"/>
        <v>15</v>
      </c>
      <c r="AE529" s="2">
        <f t="shared" ca="1" si="60"/>
        <v>-272.30261423611228</v>
      </c>
      <c r="AF529" s="15"/>
    </row>
    <row r="530" spans="1:32">
      <c r="A530" s="1">
        <v>8629148</v>
      </c>
      <c r="B530" s="1" t="s">
        <v>101</v>
      </c>
      <c r="C530" t="s">
        <v>643</v>
      </c>
      <c r="D530" s="2">
        <v>220092695</v>
      </c>
      <c r="E530" s="2">
        <v>1362001400010</v>
      </c>
      <c r="F530" s="1" t="s">
        <v>936</v>
      </c>
      <c r="G530" s="1" t="s">
        <v>53</v>
      </c>
      <c r="H530" s="1" t="s">
        <v>268</v>
      </c>
      <c r="I530" s="1" t="s">
        <v>269</v>
      </c>
      <c r="J530" s="1" t="s">
        <v>90</v>
      </c>
      <c r="K530" t="s">
        <v>937</v>
      </c>
      <c r="M530" s="1" t="s">
        <v>58</v>
      </c>
      <c r="N530" s="1">
        <v>0</v>
      </c>
      <c r="O530" s="1" t="s">
        <v>105</v>
      </c>
      <c r="P530" s="11" t="s">
        <v>1070</v>
      </c>
      <c r="R530" s="1">
        <v>3</v>
      </c>
      <c r="T530" s="1" t="s">
        <v>646</v>
      </c>
      <c r="U530" s="11" t="s">
        <v>1071</v>
      </c>
      <c r="V530" s="1" t="s">
        <v>41</v>
      </c>
      <c r="W530" s="1" t="s">
        <v>49</v>
      </c>
      <c r="X530" s="13" t="str">
        <f t="shared" si="61"/>
        <v/>
      </c>
      <c r="Y530" s="2">
        <f t="shared" ca="1" si="56"/>
        <v>196</v>
      </c>
      <c r="Z530" s="14">
        <v>1</v>
      </c>
      <c r="AA530" s="1" t="str">
        <f t="shared" ca="1" si="57"/>
        <v>VENCIDO</v>
      </c>
      <c r="AB530" s="1" t="str">
        <f t="shared" si="58"/>
        <v>C-14</v>
      </c>
      <c r="AC530" s="2" t="str">
        <f t="shared" si="62"/>
        <v xml:space="preserve"> RINALDO </v>
      </c>
      <c r="AD530" s="2">
        <f t="shared" si="59"/>
        <v>5</v>
      </c>
      <c r="AE530" s="2">
        <f t="shared" ca="1" si="60"/>
        <v>-272.36128321759315</v>
      </c>
      <c r="AF530" s="15"/>
    </row>
    <row r="531" spans="1:32" hidden="1">
      <c r="A531" s="1">
        <v>8629041</v>
      </c>
      <c r="B531" s="1" t="s">
        <v>101</v>
      </c>
      <c r="C531" t="s">
        <v>643</v>
      </c>
      <c r="D531" s="2">
        <v>220092544</v>
      </c>
      <c r="E531" s="2">
        <v>1049001400010</v>
      </c>
      <c r="F531" s="1" t="s">
        <v>936</v>
      </c>
      <c r="G531" s="1" t="s">
        <v>53</v>
      </c>
      <c r="H531" s="1" t="s">
        <v>169</v>
      </c>
      <c r="I531" s="1" t="s">
        <v>170</v>
      </c>
      <c r="J531" s="1" t="s">
        <v>164</v>
      </c>
      <c r="K531" t="s">
        <v>937</v>
      </c>
      <c r="M531" s="1" t="s">
        <v>58</v>
      </c>
      <c r="N531" s="1">
        <v>0</v>
      </c>
      <c r="O531" s="1" t="s">
        <v>105</v>
      </c>
      <c r="P531" s="11" t="s">
        <v>1072</v>
      </c>
      <c r="R531" s="1">
        <v>3</v>
      </c>
      <c r="T531" s="1" t="s">
        <v>646</v>
      </c>
      <c r="U531" s="11" t="s">
        <v>1073</v>
      </c>
      <c r="V531" s="1" t="s">
        <v>41</v>
      </c>
      <c r="W531" s="1" t="s">
        <v>49</v>
      </c>
      <c r="X531" s="13" t="str">
        <f t="shared" si="61"/>
        <v/>
      </c>
      <c r="Y531" s="2">
        <f t="shared" ca="1" si="56"/>
        <v>196</v>
      </c>
      <c r="Z531" s="14">
        <v>1</v>
      </c>
      <c r="AA531" s="1" t="str">
        <f t="shared" ca="1" si="57"/>
        <v>VENCIDO</v>
      </c>
      <c r="AB531" s="1" t="str">
        <f t="shared" si="58"/>
        <v>C-14</v>
      </c>
      <c r="AC531" s="2" t="str">
        <f t="shared" si="62"/>
        <v xml:space="preserve"> ROSEMERE </v>
      </c>
      <c r="AD531" s="2">
        <f t="shared" si="59"/>
        <v>5</v>
      </c>
      <c r="AE531" s="2">
        <f t="shared" ca="1" si="60"/>
        <v>-272.36729016203753</v>
      </c>
      <c r="AF531" s="15"/>
    </row>
    <row r="532" spans="1:32">
      <c r="A532" s="1">
        <v>8672365</v>
      </c>
      <c r="B532" s="1" t="s">
        <v>62</v>
      </c>
      <c r="C532" t="s">
        <v>1074</v>
      </c>
      <c r="E532" s="2">
        <v>2156000203000</v>
      </c>
      <c r="F532" s="1" t="s">
        <v>454</v>
      </c>
      <c r="G532" s="1" t="s">
        <v>53</v>
      </c>
      <c r="H532" s="1" t="s">
        <v>278</v>
      </c>
      <c r="I532" s="1" t="s">
        <v>279</v>
      </c>
      <c r="J532" s="1" t="s">
        <v>211</v>
      </c>
      <c r="K532" t="s">
        <v>457</v>
      </c>
      <c r="M532" s="1" t="s">
        <v>58</v>
      </c>
      <c r="N532" s="1">
        <v>0</v>
      </c>
      <c r="O532" s="1" t="s">
        <v>105</v>
      </c>
      <c r="P532" s="12">
        <v>44722.462719907409</v>
      </c>
      <c r="R532" s="1">
        <v>1</v>
      </c>
      <c r="T532" s="1" t="s">
        <v>157</v>
      </c>
      <c r="U532" s="12">
        <v>44757.75</v>
      </c>
      <c r="V532" s="1" t="s">
        <v>41</v>
      </c>
      <c r="W532" s="1" t="s">
        <v>49</v>
      </c>
      <c r="X532" s="13" t="str">
        <f t="shared" si="61"/>
        <v/>
      </c>
      <c r="Y532" s="2">
        <f t="shared" ca="1" si="56"/>
        <v>189</v>
      </c>
      <c r="Z532" s="14">
        <v>1</v>
      </c>
      <c r="AA532" s="1" t="str">
        <f t="shared" ca="1" si="57"/>
        <v>VENCIDO</v>
      </c>
      <c r="AB532" s="1" t="str">
        <f t="shared" si="58"/>
        <v>C-14</v>
      </c>
      <c r="AC532" s="2" t="str">
        <f t="shared" si="62"/>
        <v xml:space="preserve"> RINALDO </v>
      </c>
      <c r="AD532" s="2">
        <f t="shared" si="59"/>
        <v>5</v>
      </c>
      <c r="AE532" s="2">
        <f t="shared" ca="1" si="60"/>
        <v>-228.9262716435187</v>
      </c>
      <c r="AF532" s="15"/>
    </row>
    <row r="533" spans="1:32" hidden="1">
      <c r="A533" s="1">
        <v>8711475</v>
      </c>
      <c r="B533" s="1" t="s">
        <v>62</v>
      </c>
      <c r="C533" t="s">
        <v>1075</v>
      </c>
      <c r="E533" s="2">
        <v>7420000203000</v>
      </c>
      <c r="F533" s="1" t="s">
        <v>454</v>
      </c>
      <c r="G533" s="1" t="s">
        <v>30</v>
      </c>
      <c r="H533" s="1" t="s">
        <v>1076</v>
      </c>
      <c r="I533" s="1" t="s">
        <v>1077</v>
      </c>
      <c r="J533" s="1" t="s">
        <v>46</v>
      </c>
      <c r="K533" t="s">
        <v>457</v>
      </c>
      <c r="M533" s="1" t="s">
        <v>58</v>
      </c>
      <c r="N533" s="1">
        <v>0</v>
      </c>
      <c r="O533" s="1" t="s">
        <v>36</v>
      </c>
      <c r="P533" s="12">
        <v>44740.585196759261</v>
      </c>
      <c r="R533" s="1" t="s">
        <v>38</v>
      </c>
      <c r="T533" s="1" t="s">
        <v>157</v>
      </c>
      <c r="U533" s="12">
        <v>44810.75</v>
      </c>
      <c r="V533" s="1" t="s">
        <v>41</v>
      </c>
      <c r="W533" s="1" t="s">
        <v>49</v>
      </c>
      <c r="X533" s="13" t="str">
        <f t="shared" si="61"/>
        <v/>
      </c>
      <c r="Y533" s="2">
        <f t="shared" ca="1" si="56"/>
        <v>177</v>
      </c>
      <c r="Z533" s="14">
        <v>1</v>
      </c>
      <c r="AA533" s="1" t="str">
        <f t="shared" ca="1" si="57"/>
        <v>VENCIDO</v>
      </c>
      <c r="AB533" s="1" t="str">
        <f t="shared" si="58"/>
        <v>C-14</v>
      </c>
      <c r="AC533" s="2" t="str">
        <f t="shared" si="62"/>
        <v xml:space="preserve"> CLEITON </v>
      </c>
      <c r="AD533" s="2">
        <f t="shared" si="59"/>
        <v>5</v>
      </c>
      <c r="AE533" s="2">
        <f t="shared" ca="1" si="60"/>
        <v>-175.9262716435187</v>
      </c>
      <c r="AF533" s="15"/>
    </row>
    <row r="534" spans="1:32">
      <c r="A534" s="1">
        <v>8733876</v>
      </c>
      <c r="B534" s="1" t="s">
        <v>62</v>
      </c>
      <c r="C534" t="s">
        <v>1078</v>
      </c>
      <c r="E534" s="2">
        <v>1028000203000</v>
      </c>
      <c r="F534" s="1" t="s">
        <v>454</v>
      </c>
      <c r="G534" s="1" t="s">
        <v>53</v>
      </c>
      <c r="H534" s="1" t="s">
        <v>1079</v>
      </c>
      <c r="I534" s="1" t="s">
        <v>1080</v>
      </c>
      <c r="J534" s="1" t="s">
        <v>85</v>
      </c>
      <c r="K534" t="s">
        <v>457</v>
      </c>
      <c r="M534" s="1" t="s">
        <v>58</v>
      </c>
      <c r="N534" s="1">
        <v>0</v>
      </c>
      <c r="O534" s="1" t="s">
        <v>36</v>
      </c>
      <c r="P534" s="11" t="s">
        <v>1081</v>
      </c>
      <c r="R534" s="1">
        <v>1</v>
      </c>
      <c r="T534" s="1" t="s">
        <v>157</v>
      </c>
      <c r="U534" s="11" t="s">
        <v>1082</v>
      </c>
      <c r="V534" s="1" t="s">
        <v>41</v>
      </c>
      <c r="W534" s="1" t="s">
        <v>49</v>
      </c>
      <c r="X534" s="13" t="str">
        <f t="shared" si="61"/>
        <v/>
      </c>
      <c r="Y534" s="2">
        <f t="shared" ca="1" si="56"/>
        <v>170</v>
      </c>
      <c r="Z534" s="14">
        <v>1</v>
      </c>
      <c r="AA534" s="1" t="str">
        <f t="shared" ca="1" si="57"/>
        <v>VENCIDO</v>
      </c>
      <c r="AB534" s="1" t="str">
        <f t="shared" si="58"/>
        <v>C-14</v>
      </c>
      <c r="AC534" s="2" t="str">
        <f t="shared" si="62"/>
        <v xml:space="preserve"> RINALDO </v>
      </c>
      <c r="AD534" s="2">
        <f t="shared" si="59"/>
        <v>5</v>
      </c>
      <c r="AE534" s="2">
        <f t="shared" ca="1" si="60"/>
        <v>-202.9262716435187</v>
      </c>
      <c r="AF534" s="15"/>
    </row>
    <row r="535" spans="1:32">
      <c r="A535" s="1">
        <v>8736689</v>
      </c>
      <c r="B535" s="1" t="s">
        <v>62</v>
      </c>
      <c r="C535" t="s">
        <v>1083</v>
      </c>
      <c r="E535" s="2">
        <v>600000203000</v>
      </c>
      <c r="F535" s="1" t="s">
        <v>454</v>
      </c>
      <c r="G535" s="1" t="s">
        <v>53</v>
      </c>
      <c r="H535" s="1" t="s">
        <v>1084</v>
      </c>
      <c r="I535" s="1" t="s">
        <v>1085</v>
      </c>
      <c r="J535" s="1" t="s">
        <v>90</v>
      </c>
      <c r="K535" t="s">
        <v>457</v>
      </c>
      <c r="M535" s="1" t="s">
        <v>58</v>
      </c>
      <c r="N535" s="1">
        <v>0</v>
      </c>
      <c r="O535" s="1" t="s">
        <v>36</v>
      </c>
      <c r="P535" s="12">
        <v>44750.694236111114</v>
      </c>
      <c r="R535" s="1">
        <v>1</v>
      </c>
      <c r="T535" s="1" t="s">
        <v>157</v>
      </c>
      <c r="U535" s="12">
        <v>44784.75</v>
      </c>
      <c r="V535" s="1" t="s">
        <v>41</v>
      </c>
      <c r="W535" s="1" t="s">
        <v>49</v>
      </c>
      <c r="X535" s="13" t="str">
        <f t="shared" si="61"/>
        <v/>
      </c>
      <c r="Y535" s="2">
        <f t="shared" ca="1" si="56"/>
        <v>169</v>
      </c>
      <c r="Z535" s="14">
        <v>1</v>
      </c>
      <c r="AA535" s="1" t="str">
        <f t="shared" ca="1" si="57"/>
        <v>VENCIDO</v>
      </c>
      <c r="AB535" s="1" t="str">
        <f t="shared" si="58"/>
        <v>C-14</v>
      </c>
      <c r="AC535" s="2" t="str">
        <f t="shared" si="62"/>
        <v xml:space="preserve"> RINALDO </v>
      </c>
      <c r="AD535" s="2">
        <f t="shared" si="59"/>
        <v>5</v>
      </c>
      <c r="AE535" s="2">
        <f t="shared" ca="1" si="60"/>
        <v>-201.9262716435187</v>
      </c>
      <c r="AF535" s="15"/>
    </row>
    <row r="536" spans="1:32" hidden="1">
      <c r="A536" s="1">
        <v>8741273</v>
      </c>
      <c r="B536" s="1" t="s">
        <v>62</v>
      </c>
      <c r="C536" t="s">
        <v>1086</v>
      </c>
      <c r="E536" s="2">
        <v>3924000202021</v>
      </c>
      <c r="F536" s="1" t="s">
        <v>103</v>
      </c>
      <c r="G536" s="1" t="s">
        <v>53</v>
      </c>
      <c r="H536" s="1" t="s">
        <v>153</v>
      </c>
      <c r="I536" s="1" t="s">
        <v>154</v>
      </c>
      <c r="J536" s="1" t="s">
        <v>56</v>
      </c>
      <c r="K536" t="s">
        <v>104</v>
      </c>
      <c r="M536" s="1" t="s">
        <v>58</v>
      </c>
      <c r="N536" s="1">
        <v>0</v>
      </c>
      <c r="O536" s="1" t="s">
        <v>36</v>
      </c>
      <c r="P536" s="12">
        <v>44753.486932870372</v>
      </c>
      <c r="R536" s="1" t="s">
        <v>38</v>
      </c>
      <c r="T536" s="1" t="s">
        <v>74</v>
      </c>
      <c r="U536" s="12">
        <v>44792.75</v>
      </c>
      <c r="V536" s="1" t="s">
        <v>41</v>
      </c>
      <c r="W536" s="1" t="s">
        <v>49</v>
      </c>
      <c r="X536" s="13" t="str">
        <f t="shared" si="61"/>
        <v/>
      </c>
      <c r="Y536" s="2">
        <f t="shared" ca="1" si="56"/>
        <v>168</v>
      </c>
      <c r="Z536" s="14">
        <v>1</v>
      </c>
      <c r="AA536" s="1" t="str">
        <f t="shared" ca="1" si="57"/>
        <v>VENCIDO</v>
      </c>
      <c r="AB536" s="1" t="str">
        <f t="shared" si="58"/>
        <v>Dosa</v>
      </c>
      <c r="AC536" s="2" t="str">
        <f t="shared" si="62"/>
        <v xml:space="preserve"> CRISTINA </v>
      </c>
      <c r="AD536" s="2">
        <f t="shared" si="59"/>
        <v>5</v>
      </c>
      <c r="AE536" s="2">
        <f t="shared" ca="1" si="60"/>
        <v>-193.9262716435187</v>
      </c>
      <c r="AF536" s="15"/>
    </row>
    <row r="537" spans="1:32" hidden="1">
      <c r="A537" s="1">
        <v>8741199</v>
      </c>
      <c r="B537" s="1" t="s">
        <v>1087</v>
      </c>
      <c r="C537" t="s">
        <v>1088</v>
      </c>
      <c r="E537" s="2">
        <v>244000206021</v>
      </c>
      <c r="F537" s="1" t="s">
        <v>103</v>
      </c>
      <c r="G537" s="1" t="s">
        <v>53</v>
      </c>
      <c r="H537" s="1" t="s">
        <v>313</v>
      </c>
      <c r="I537" s="1" t="s">
        <v>314</v>
      </c>
      <c r="J537" s="1" t="s">
        <v>56</v>
      </c>
      <c r="K537" t="s">
        <v>104</v>
      </c>
      <c r="M537" s="1" t="s">
        <v>58</v>
      </c>
      <c r="N537" s="1">
        <v>0</v>
      </c>
      <c r="O537" s="1" t="s">
        <v>105</v>
      </c>
      <c r="P537" s="12">
        <v>44753.480740740742</v>
      </c>
      <c r="R537" s="1" t="s">
        <v>38</v>
      </c>
      <c r="T537" s="1" t="s">
        <v>74</v>
      </c>
      <c r="U537" s="12">
        <v>44792.75</v>
      </c>
      <c r="V537" s="1" t="s">
        <v>41</v>
      </c>
      <c r="W537" s="1" t="s">
        <v>49</v>
      </c>
      <c r="X537" s="13" t="str">
        <f t="shared" si="61"/>
        <v/>
      </c>
      <c r="Y537" s="2">
        <f t="shared" ca="1" si="56"/>
        <v>168</v>
      </c>
      <c r="Z537" s="14">
        <v>1</v>
      </c>
      <c r="AA537" s="1" t="str">
        <f t="shared" ca="1" si="57"/>
        <v>VENCIDO</v>
      </c>
      <c r="AB537" s="1" t="str">
        <f t="shared" si="58"/>
        <v>Dosa</v>
      </c>
      <c r="AC537" s="2" t="str">
        <f t="shared" si="62"/>
        <v xml:space="preserve"> CRISTINA </v>
      </c>
      <c r="AD537" s="2">
        <f t="shared" si="59"/>
        <v>5</v>
      </c>
      <c r="AE537" s="2">
        <f t="shared" ca="1" si="60"/>
        <v>-193.9262716435187</v>
      </c>
      <c r="AF537" s="15"/>
    </row>
    <row r="538" spans="1:32" hidden="1">
      <c r="A538" s="1">
        <v>8756684</v>
      </c>
      <c r="B538" s="1" t="s">
        <v>62</v>
      </c>
      <c r="C538" t="s">
        <v>1089</v>
      </c>
      <c r="E538" s="2">
        <v>3258000203000</v>
      </c>
      <c r="F538" s="1" t="s">
        <v>454</v>
      </c>
      <c r="G538" s="1" t="s">
        <v>53</v>
      </c>
      <c r="H538" s="1" t="s">
        <v>321</v>
      </c>
      <c r="I538" s="1" t="s">
        <v>322</v>
      </c>
      <c r="J538" s="1" t="s">
        <v>46</v>
      </c>
      <c r="K538" t="s">
        <v>457</v>
      </c>
      <c r="M538" s="1" t="s">
        <v>58</v>
      </c>
      <c r="N538" s="1">
        <v>0</v>
      </c>
      <c r="O538" s="1" t="s">
        <v>36</v>
      </c>
      <c r="P538" s="11" t="s">
        <v>1090</v>
      </c>
      <c r="R538" s="1">
        <v>1</v>
      </c>
      <c r="T538" s="1" t="s">
        <v>157</v>
      </c>
      <c r="U538" s="11" t="s">
        <v>1091</v>
      </c>
      <c r="V538" s="1" t="s">
        <v>41</v>
      </c>
      <c r="W538" s="1" t="s">
        <v>49</v>
      </c>
      <c r="X538" s="13" t="str">
        <f t="shared" si="61"/>
        <v/>
      </c>
      <c r="Y538" s="2">
        <f t="shared" ca="1" si="56"/>
        <v>163</v>
      </c>
      <c r="Z538" s="14">
        <v>1</v>
      </c>
      <c r="AA538" s="1" t="str">
        <f t="shared" ca="1" si="57"/>
        <v>VENCIDO</v>
      </c>
      <c r="AB538" s="1" t="str">
        <f t="shared" si="58"/>
        <v>C-14</v>
      </c>
      <c r="AC538" s="2" t="str">
        <f t="shared" si="62"/>
        <v xml:space="preserve"> CLEITON </v>
      </c>
      <c r="AD538" s="2">
        <f t="shared" si="59"/>
        <v>5</v>
      </c>
      <c r="AE538" s="2">
        <f t="shared" ca="1" si="60"/>
        <v>-152.9262716435187</v>
      </c>
      <c r="AF538" s="15"/>
    </row>
    <row r="539" spans="1:32" hidden="1">
      <c r="A539" s="1">
        <v>8773434</v>
      </c>
      <c r="B539" s="1" t="s">
        <v>62</v>
      </c>
      <c r="C539" t="s">
        <v>1092</v>
      </c>
      <c r="E539" s="2">
        <v>1049000203010</v>
      </c>
      <c r="F539" s="1" t="s">
        <v>152</v>
      </c>
      <c r="G539" s="1" t="s">
        <v>53</v>
      </c>
      <c r="H539" s="1" t="s">
        <v>169</v>
      </c>
      <c r="I539" s="1" t="s">
        <v>170</v>
      </c>
      <c r="J539" s="1" t="s">
        <v>164</v>
      </c>
      <c r="K539" t="s">
        <v>155</v>
      </c>
      <c r="M539" s="1" t="s">
        <v>35</v>
      </c>
      <c r="N539" s="1">
        <v>42318949</v>
      </c>
      <c r="O539" s="1" t="s">
        <v>36</v>
      </c>
      <c r="P539" s="11" t="s">
        <v>1093</v>
      </c>
      <c r="R539" s="1">
        <v>1</v>
      </c>
      <c r="T539" s="1" t="s">
        <v>157</v>
      </c>
      <c r="U539" s="11" t="s">
        <v>1094</v>
      </c>
      <c r="V539" s="1" t="s">
        <v>41</v>
      </c>
      <c r="W539" s="1" t="s">
        <v>49</v>
      </c>
      <c r="X539" s="13" t="str">
        <f t="shared" si="61"/>
        <v/>
      </c>
      <c r="Y539" s="2">
        <f t="shared" ca="1" si="56"/>
        <v>158</v>
      </c>
      <c r="Z539" s="14">
        <v>1</v>
      </c>
      <c r="AA539" s="1" t="str">
        <f t="shared" ca="1" si="57"/>
        <v>VENCIDO</v>
      </c>
      <c r="AB539" s="1" t="str">
        <f t="shared" si="58"/>
        <v>TAAe+</v>
      </c>
      <c r="AC539" s="2" t="str">
        <f t="shared" si="62"/>
        <v xml:space="preserve"> ROSEMERE </v>
      </c>
      <c r="AD539" s="2">
        <f t="shared" si="59"/>
        <v>8</v>
      </c>
      <c r="AE539" s="2">
        <f t="shared" ca="1" si="60"/>
        <v>-186.9262716435187</v>
      </c>
      <c r="AF539" s="15"/>
    </row>
    <row r="540" spans="1:32">
      <c r="A540" s="1">
        <v>8792760</v>
      </c>
      <c r="B540" s="1" t="s">
        <v>62</v>
      </c>
      <c r="C540" t="s">
        <v>1095</v>
      </c>
      <c r="E540" s="2">
        <v>605000203000</v>
      </c>
      <c r="F540" s="1" t="s">
        <v>454</v>
      </c>
      <c r="G540" s="1" t="s">
        <v>53</v>
      </c>
      <c r="H540" s="1" t="s">
        <v>420</v>
      </c>
      <c r="I540" s="1" t="s">
        <v>421</v>
      </c>
      <c r="J540" s="1" t="s">
        <v>90</v>
      </c>
      <c r="K540" t="s">
        <v>457</v>
      </c>
      <c r="M540" s="1" t="s">
        <v>58</v>
      </c>
      <c r="N540" s="1">
        <v>0</v>
      </c>
      <c r="O540" s="1" t="s">
        <v>105</v>
      </c>
      <c r="P540" s="11" t="s">
        <v>1096</v>
      </c>
      <c r="R540" s="1">
        <v>1</v>
      </c>
      <c r="T540" s="1" t="s">
        <v>157</v>
      </c>
      <c r="U540" s="11" t="s">
        <v>1097</v>
      </c>
      <c r="V540" s="1" t="s">
        <v>41</v>
      </c>
      <c r="W540" s="1" t="s">
        <v>49</v>
      </c>
      <c r="X540" s="13" t="str">
        <f t="shared" si="61"/>
        <v/>
      </c>
      <c r="Y540" s="2">
        <f t="shared" ca="1" si="56"/>
        <v>153</v>
      </c>
      <c r="Z540" s="14">
        <v>1</v>
      </c>
      <c r="AA540" s="1" t="str">
        <f t="shared" ca="1" si="57"/>
        <v>VENCIDO</v>
      </c>
      <c r="AB540" s="1" t="str">
        <f t="shared" si="58"/>
        <v>C-14</v>
      </c>
      <c r="AC540" s="2" t="str">
        <f t="shared" si="62"/>
        <v xml:space="preserve"> RINALDO </v>
      </c>
      <c r="AD540" s="2">
        <f t="shared" si="59"/>
        <v>5</v>
      </c>
      <c r="AE540" s="2">
        <f t="shared" ca="1" si="60"/>
        <v>-179.9262716435187</v>
      </c>
      <c r="AF540" s="15"/>
    </row>
    <row r="541" spans="1:32">
      <c r="A541" s="1">
        <v>8791670</v>
      </c>
      <c r="B541" s="1" t="s">
        <v>101</v>
      </c>
      <c r="C541" t="s">
        <v>643</v>
      </c>
      <c r="D541" s="2">
        <v>220127985</v>
      </c>
      <c r="E541" s="2">
        <v>2069001400030</v>
      </c>
      <c r="F541" s="1" t="s">
        <v>647</v>
      </c>
      <c r="G541" s="1" t="s">
        <v>53</v>
      </c>
      <c r="H541" s="1" t="s">
        <v>557</v>
      </c>
      <c r="I541" s="1" t="s">
        <v>558</v>
      </c>
      <c r="J541" s="1" t="s">
        <v>90</v>
      </c>
      <c r="K541" t="s">
        <v>650</v>
      </c>
      <c r="M541" s="1" t="s">
        <v>58</v>
      </c>
      <c r="N541" s="1">
        <v>0</v>
      </c>
      <c r="O541" s="1" t="s">
        <v>105</v>
      </c>
      <c r="P541" s="11" t="s">
        <v>1098</v>
      </c>
      <c r="R541" s="1">
        <v>4</v>
      </c>
      <c r="T541" s="1" t="s">
        <v>646</v>
      </c>
      <c r="U541" s="11" t="s">
        <v>1099</v>
      </c>
      <c r="V541" s="1" t="s">
        <v>41</v>
      </c>
      <c r="W541" s="1" t="s">
        <v>49</v>
      </c>
      <c r="X541" s="13" t="str">
        <f t="shared" si="61"/>
        <v/>
      </c>
      <c r="Y541" s="2">
        <f t="shared" ca="1" si="56"/>
        <v>153</v>
      </c>
      <c r="Z541" s="14">
        <v>1</v>
      </c>
      <c r="AA541" s="1" t="str">
        <f t="shared" ca="1" si="57"/>
        <v>VENCIDO</v>
      </c>
      <c r="AB541" s="1" t="str">
        <f t="shared" si="58"/>
        <v>C-14</v>
      </c>
      <c r="AC541" s="2" t="str">
        <f t="shared" si="62"/>
        <v xml:space="preserve"> RINALDO </v>
      </c>
      <c r="AD541" s="2">
        <f t="shared" si="59"/>
        <v>15</v>
      </c>
      <c r="AE541" s="2">
        <f t="shared" ca="1" si="60"/>
        <v>-211.37242905092717</v>
      </c>
      <c r="AF541" s="15"/>
    </row>
    <row r="542" spans="1:32">
      <c r="A542" s="1">
        <v>8790817</v>
      </c>
      <c r="B542" s="1" t="s">
        <v>101</v>
      </c>
      <c r="C542" t="s">
        <v>643</v>
      </c>
      <c r="D542" s="2">
        <v>220129376</v>
      </c>
      <c r="E542" s="2">
        <v>1059001400040</v>
      </c>
      <c r="F542" s="1" t="s">
        <v>644</v>
      </c>
      <c r="G542" s="1" t="s">
        <v>53</v>
      </c>
      <c r="H542" s="1" t="s">
        <v>88</v>
      </c>
      <c r="I542" s="1" t="s">
        <v>89</v>
      </c>
      <c r="J542" s="1" t="s">
        <v>90</v>
      </c>
      <c r="K542" t="s">
        <v>645</v>
      </c>
      <c r="M542" s="1" t="s">
        <v>58</v>
      </c>
      <c r="N542" s="1">
        <v>0</v>
      </c>
      <c r="O542" s="1" t="s">
        <v>105</v>
      </c>
      <c r="P542" s="11" t="s">
        <v>1100</v>
      </c>
      <c r="R542" s="1">
        <v>2</v>
      </c>
      <c r="T542" s="1" t="s">
        <v>646</v>
      </c>
      <c r="U542" s="11" t="s">
        <v>1101</v>
      </c>
      <c r="V542" s="1" t="s">
        <v>41</v>
      </c>
      <c r="W542" s="1" t="s">
        <v>49</v>
      </c>
      <c r="X542" s="13" t="str">
        <f t="shared" si="61"/>
        <v/>
      </c>
      <c r="Y542" s="2">
        <f t="shared" ca="1" si="56"/>
        <v>153</v>
      </c>
      <c r="Z542" s="14">
        <v>1</v>
      </c>
      <c r="AA542" s="1" t="str">
        <f t="shared" ca="1" si="57"/>
        <v>VENCIDO</v>
      </c>
      <c r="AB542" s="1" t="str">
        <f t="shared" si="58"/>
        <v>SL-On</v>
      </c>
      <c r="AC542" s="2" t="str">
        <f t="shared" si="62"/>
        <v xml:space="preserve"> RINALDO </v>
      </c>
      <c r="AD542" s="2">
        <f t="shared" si="59"/>
        <v>1</v>
      </c>
      <c r="AE542" s="2">
        <f t="shared" ca="1" si="60"/>
        <v>-211.4260633101876</v>
      </c>
      <c r="AF542" s="15"/>
    </row>
    <row r="543" spans="1:32">
      <c r="A543" s="1">
        <v>8790458</v>
      </c>
      <c r="B543" s="1" t="s">
        <v>101</v>
      </c>
      <c r="C543" t="s">
        <v>643</v>
      </c>
      <c r="D543" s="2">
        <v>220127616</v>
      </c>
      <c r="E543" s="2">
        <v>1059001400030</v>
      </c>
      <c r="F543" s="1" t="s">
        <v>647</v>
      </c>
      <c r="G543" s="1" t="s">
        <v>53</v>
      </c>
      <c r="H543" s="1" t="s">
        <v>88</v>
      </c>
      <c r="I543" s="1" t="s">
        <v>89</v>
      </c>
      <c r="J543" s="1" t="s">
        <v>90</v>
      </c>
      <c r="K543" t="s">
        <v>650</v>
      </c>
      <c r="M543" s="1" t="s">
        <v>58</v>
      </c>
      <c r="N543" s="1">
        <v>0</v>
      </c>
      <c r="O543" s="1" t="s">
        <v>105</v>
      </c>
      <c r="P543" s="11" t="s">
        <v>1102</v>
      </c>
      <c r="R543" s="1">
        <v>4</v>
      </c>
      <c r="T543" s="1" t="s">
        <v>646</v>
      </c>
      <c r="U543" s="11" t="s">
        <v>1103</v>
      </c>
      <c r="V543" s="1" t="s">
        <v>41</v>
      </c>
      <c r="W543" s="1" t="s">
        <v>49</v>
      </c>
      <c r="X543" s="13" t="str">
        <f t="shared" si="61"/>
        <v/>
      </c>
      <c r="Y543" s="2">
        <f t="shared" ca="1" si="56"/>
        <v>153</v>
      </c>
      <c r="Z543" s="14">
        <v>1</v>
      </c>
      <c r="AA543" s="1" t="str">
        <f t="shared" ca="1" si="57"/>
        <v>VENCIDO</v>
      </c>
      <c r="AB543" s="1" t="str">
        <f t="shared" si="58"/>
        <v>C-14</v>
      </c>
      <c r="AC543" s="2" t="str">
        <f t="shared" si="62"/>
        <v xml:space="preserve"> RINALDO </v>
      </c>
      <c r="AD543" s="2">
        <f t="shared" si="59"/>
        <v>15</v>
      </c>
      <c r="AE543" s="2">
        <f t="shared" ca="1" si="60"/>
        <v>-211.44952395833388</v>
      </c>
      <c r="AF543" s="15"/>
    </row>
    <row r="544" spans="1:32">
      <c r="A544" s="1">
        <v>8789842</v>
      </c>
      <c r="B544" s="1" t="s">
        <v>101</v>
      </c>
      <c r="C544" t="s">
        <v>643</v>
      </c>
      <c r="D544" s="2">
        <v>220125834</v>
      </c>
      <c r="E544" s="2">
        <v>2069001400010</v>
      </c>
      <c r="F544" s="1" t="s">
        <v>936</v>
      </c>
      <c r="G544" s="1" t="s">
        <v>53</v>
      </c>
      <c r="H544" s="1" t="s">
        <v>557</v>
      </c>
      <c r="I544" s="1" t="s">
        <v>558</v>
      </c>
      <c r="J544" s="1" t="s">
        <v>90</v>
      </c>
      <c r="K544" t="s">
        <v>937</v>
      </c>
      <c r="M544" s="1" t="s">
        <v>58</v>
      </c>
      <c r="N544" s="1">
        <v>0</v>
      </c>
      <c r="O544" s="1" t="s">
        <v>105</v>
      </c>
      <c r="P544" s="11" t="s">
        <v>1104</v>
      </c>
      <c r="R544" s="1">
        <v>3</v>
      </c>
      <c r="T544" s="1" t="s">
        <v>646</v>
      </c>
      <c r="U544" s="11" t="s">
        <v>1105</v>
      </c>
      <c r="V544" s="1" t="s">
        <v>41</v>
      </c>
      <c r="W544" s="1" t="s">
        <v>49</v>
      </c>
      <c r="X544" s="13" t="str">
        <f t="shared" si="61"/>
        <v/>
      </c>
      <c r="Y544" s="2">
        <f t="shared" ca="1" si="56"/>
        <v>153</v>
      </c>
      <c r="Z544" s="14">
        <v>1</v>
      </c>
      <c r="AA544" s="1" t="str">
        <f t="shared" ca="1" si="57"/>
        <v>VENCIDO</v>
      </c>
      <c r="AB544" s="1" t="str">
        <f t="shared" si="58"/>
        <v>C-14</v>
      </c>
      <c r="AC544" s="2" t="str">
        <f t="shared" si="62"/>
        <v xml:space="preserve"> RINALDO </v>
      </c>
      <c r="AD544" s="2">
        <f t="shared" si="59"/>
        <v>5</v>
      </c>
      <c r="AE544" s="2">
        <f t="shared" ca="1" si="60"/>
        <v>-211.48064664351841</v>
      </c>
      <c r="AF544" s="15"/>
    </row>
    <row r="545" spans="1:32">
      <c r="A545" s="1">
        <v>8789783</v>
      </c>
      <c r="B545" s="1" t="s">
        <v>101</v>
      </c>
      <c r="C545" t="s">
        <v>643</v>
      </c>
      <c r="D545" s="2">
        <v>220125480</v>
      </c>
      <c r="E545" s="2">
        <v>1059001400010</v>
      </c>
      <c r="F545" s="1" t="s">
        <v>936</v>
      </c>
      <c r="G545" s="1" t="s">
        <v>53</v>
      </c>
      <c r="H545" s="1" t="s">
        <v>88</v>
      </c>
      <c r="I545" s="1" t="s">
        <v>89</v>
      </c>
      <c r="J545" s="1" t="s">
        <v>90</v>
      </c>
      <c r="K545" t="s">
        <v>937</v>
      </c>
      <c r="M545" s="1" t="s">
        <v>58</v>
      </c>
      <c r="N545" s="1">
        <v>0</v>
      </c>
      <c r="O545" s="1" t="s">
        <v>105</v>
      </c>
      <c r="P545" s="11" t="s">
        <v>1106</v>
      </c>
      <c r="R545" s="1">
        <v>3</v>
      </c>
      <c r="T545" s="1" t="s">
        <v>646</v>
      </c>
      <c r="U545" s="11" t="s">
        <v>1107</v>
      </c>
      <c r="V545" s="1" t="s">
        <v>41</v>
      </c>
      <c r="W545" s="1" t="s">
        <v>49</v>
      </c>
      <c r="X545" s="13" t="str">
        <f t="shared" si="61"/>
        <v/>
      </c>
      <c r="Y545" s="2">
        <f t="shared" ca="1" si="56"/>
        <v>153</v>
      </c>
      <c r="Z545" s="14">
        <v>1</v>
      </c>
      <c r="AA545" s="1" t="str">
        <f t="shared" ca="1" si="57"/>
        <v>VENCIDO</v>
      </c>
      <c r="AB545" s="1" t="str">
        <f t="shared" si="58"/>
        <v>C-14</v>
      </c>
      <c r="AC545" s="2" t="str">
        <f t="shared" si="62"/>
        <v xml:space="preserve"> RINALDO </v>
      </c>
      <c r="AD545" s="2">
        <f t="shared" si="59"/>
        <v>5</v>
      </c>
      <c r="AE545" s="2">
        <f t="shared" ca="1" si="60"/>
        <v>-211.48569293981564</v>
      </c>
      <c r="AF545" s="15"/>
    </row>
    <row r="546" spans="1:32" hidden="1">
      <c r="A546" s="1">
        <v>8789228</v>
      </c>
      <c r="B546" s="1" t="s">
        <v>101</v>
      </c>
      <c r="C546" t="s">
        <v>643</v>
      </c>
      <c r="D546" s="2">
        <v>220129740</v>
      </c>
      <c r="E546" s="2">
        <v>2107001400040</v>
      </c>
      <c r="F546" s="1" t="s">
        <v>644</v>
      </c>
      <c r="G546" s="1" t="s">
        <v>53</v>
      </c>
      <c r="H546" s="1" t="s">
        <v>262</v>
      </c>
      <c r="I546" s="1" t="s">
        <v>263</v>
      </c>
      <c r="J546" s="1" t="s">
        <v>164</v>
      </c>
      <c r="K546" t="s">
        <v>645</v>
      </c>
      <c r="M546" s="1" t="s">
        <v>58</v>
      </c>
      <c r="N546" s="1">
        <v>0</v>
      </c>
      <c r="O546" s="1" t="s">
        <v>36</v>
      </c>
      <c r="P546" s="11" t="s">
        <v>1108</v>
      </c>
      <c r="R546" s="1">
        <v>3</v>
      </c>
      <c r="T546" s="1" t="s">
        <v>646</v>
      </c>
      <c r="U546" s="11" t="s">
        <v>1109</v>
      </c>
      <c r="V546" s="1" t="s">
        <v>41</v>
      </c>
      <c r="W546" s="1" t="s">
        <v>49</v>
      </c>
      <c r="X546" s="13" t="str">
        <f t="shared" si="61"/>
        <v/>
      </c>
      <c r="Y546" s="2">
        <f t="shared" ca="1" si="56"/>
        <v>153</v>
      </c>
      <c r="Z546" s="14">
        <v>1</v>
      </c>
      <c r="AA546" s="1" t="str">
        <f t="shared" ca="1" si="57"/>
        <v>VENCIDO</v>
      </c>
      <c r="AB546" s="1" t="str">
        <f t="shared" si="58"/>
        <v>SL-On</v>
      </c>
      <c r="AC546" s="2" t="str">
        <f t="shared" si="62"/>
        <v xml:space="preserve"> ROSEMERE </v>
      </c>
      <c r="AD546" s="2">
        <f t="shared" si="59"/>
        <v>1</v>
      </c>
      <c r="AE546" s="2">
        <f t="shared" ca="1" si="60"/>
        <v>-211.52549618055491</v>
      </c>
      <c r="AF546" s="15"/>
    </row>
    <row r="547" spans="1:32">
      <c r="A547" s="1">
        <v>8789210</v>
      </c>
      <c r="B547" s="1" t="s">
        <v>101</v>
      </c>
      <c r="C547" t="s">
        <v>643</v>
      </c>
      <c r="D547" s="2">
        <v>220129727</v>
      </c>
      <c r="E547" s="2">
        <v>2069001400040</v>
      </c>
      <c r="F547" s="1" t="s">
        <v>644</v>
      </c>
      <c r="G547" s="1" t="s">
        <v>53</v>
      </c>
      <c r="H547" s="1" t="s">
        <v>557</v>
      </c>
      <c r="I547" s="1" t="s">
        <v>558</v>
      </c>
      <c r="J547" s="1" t="s">
        <v>90</v>
      </c>
      <c r="K547" t="s">
        <v>645</v>
      </c>
      <c r="M547" s="1" t="s">
        <v>58</v>
      </c>
      <c r="N547" s="1">
        <v>0</v>
      </c>
      <c r="O547" s="1" t="s">
        <v>105</v>
      </c>
      <c r="P547" s="11" t="s">
        <v>1110</v>
      </c>
      <c r="R547" s="1">
        <v>2</v>
      </c>
      <c r="T547" s="1" t="s">
        <v>646</v>
      </c>
      <c r="U547" s="11" t="s">
        <v>1111</v>
      </c>
      <c r="V547" s="1" t="s">
        <v>41</v>
      </c>
      <c r="W547" s="1" t="s">
        <v>49</v>
      </c>
      <c r="X547" s="13" t="str">
        <f t="shared" si="61"/>
        <v/>
      </c>
      <c r="Y547" s="2">
        <f t="shared" ca="1" si="56"/>
        <v>153</v>
      </c>
      <c r="Z547" s="14">
        <v>1</v>
      </c>
      <c r="AA547" s="1" t="str">
        <f t="shared" ca="1" si="57"/>
        <v>VENCIDO</v>
      </c>
      <c r="AB547" s="1" t="str">
        <f t="shared" si="58"/>
        <v>SL-On</v>
      </c>
      <c r="AC547" s="2" t="str">
        <f t="shared" si="62"/>
        <v xml:space="preserve"> RINALDO </v>
      </c>
      <c r="AD547" s="2">
        <f t="shared" si="59"/>
        <v>1</v>
      </c>
      <c r="AE547" s="2">
        <f t="shared" ca="1" si="60"/>
        <v>-211.52612118055549</v>
      </c>
      <c r="AF547" s="15"/>
    </row>
    <row r="548" spans="1:32">
      <c r="A548" s="1">
        <v>8788278</v>
      </c>
      <c r="B548" s="1" t="s">
        <v>101</v>
      </c>
      <c r="C548" t="s">
        <v>643</v>
      </c>
      <c r="D548" s="2">
        <v>220127916</v>
      </c>
      <c r="E548" s="2">
        <v>1764001400030</v>
      </c>
      <c r="F548" s="1" t="s">
        <v>647</v>
      </c>
      <c r="G548" s="1" t="s">
        <v>53</v>
      </c>
      <c r="H548" s="1" t="s">
        <v>722</v>
      </c>
      <c r="I548" s="1" t="s">
        <v>723</v>
      </c>
      <c r="J548" s="1" t="s">
        <v>90</v>
      </c>
      <c r="K548" t="s">
        <v>650</v>
      </c>
      <c r="M548" s="1" t="s">
        <v>58</v>
      </c>
      <c r="N548" s="1">
        <v>0</v>
      </c>
      <c r="O548" s="1" t="s">
        <v>105</v>
      </c>
      <c r="P548" s="11" t="s">
        <v>1112</v>
      </c>
      <c r="R548" s="1">
        <v>4</v>
      </c>
      <c r="T548" s="1" t="s">
        <v>646</v>
      </c>
      <c r="U548" s="11" t="s">
        <v>1113</v>
      </c>
      <c r="V548" s="1" t="s">
        <v>41</v>
      </c>
      <c r="W548" s="1" t="s">
        <v>49</v>
      </c>
      <c r="X548" s="13" t="str">
        <f t="shared" si="61"/>
        <v/>
      </c>
      <c r="Y548" s="2">
        <f t="shared" ca="1" si="56"/>
        <v>153</v>
      </c>
      <c r="Z548" s="14">
        <v>1</v>
      </c>
      <c r="AA548" s="1" t="str">
        <f t="shared" ca="1" si="57"/>
        <v>VENCIDO</v>
      </c>
      <c r="AB548" s="1" t="str">
        <f t="shared" si="58"/>
        <v>C-14</v>
      </c>
      <c r="AC548" s="2" t="str">
        <f t="shared" si="62"/>
        <v xml:space="preserve"> RINALDO </v>
      </c>
      <c r="AD548" s="2">
        <f t="shared" si="59"/>
        <v>15</v>
      </c>
      <c r="AE548" s="2">
        <f t="shared" ca="1" si="60"/>
        <v>-211.58079710647871</v>
      </c>
      <c r="AF548" s="15"/>
    </row>
    <row r="549" spans="1:32" hidden="1">
      <c r="A549" s="1">
        <v>8802595</v>
      </c>
      <c r="B549" s="1" t="s">
        <v>62</v>
      </c>
      <c r="C549" t="s">
        <v>1114</v>
      </c>
      <c r="E549" s="2">
        <v>3918000206001</v>
      </c>
      <c r="F549" s="1" t="s">
        <v>29</v>
      </c>
      <c r="G549" s="1" t="s">
        <v>53</v>
      </c>
      <c r="H549" s="1" t="s">
        <v>858</v>
      </c>
      <c r="I549" s="1" t="s">
        <v>859</v>
      </c>
      <c r="J549" s="1" t="s">
        <v>33</v>
      </c>
      <c r="K549" t="s">
        <v>34</v>
      </c>
      <c r="M549" s="1" t="s">
        <v>35</v>
      </c>
      <c r="N549" s="1">
        <v>42318949</v>
      </c>
      <c r="O549" s="1" t="s">
        <v>36</v>
      </c>
      <c r="P549" s="11" t="s">
        <v>1115</v>
      </c>
      <c r="R549" s="1" t="s">
        <v>38</v>
      </c>
      <c r="T549" s="1" t="s">
        <v>74</v>
      </c>
      <c r="U549" s="11" t="s">
        <v>1116</v>
      </c>
      <c r="V549" s="1" t="s">
        <v>41</v>
      </c>
      <c r="W549" s="1" t="s">
        <v>49</v>
      </c>
      <c r="X549" s="13" t="str">
        <f t="shared" si="61"/>
        <v/>
      </c>
      <c r="Y549" s="2">
        <f t="shared" ca="1" si="56"/>
        <v>150</v>
      </c>
      <c r="Z549" s="14">
        <v>1</v>
      </c>
      <c r="AA549" s="1" t="str">
        <f t="shared" ca="1" si="57"/>
        <v>VENCIDO</v>
      </c>
      <c r="AB549" s="1" t="str">
        <f t="shared" si="58"/>
        <v>Dosa</v>
      </c>
      <c r="AC549" s="2" t="str">
        <f t="shared" si="62"/>
        <v xml:space="preserve"> ROSEMERE </v>
      </c>
      <c r="AD549" s="2">
        <f t="shared" si="59"/>
        <v>5</v>
      </c>
      <c r="AE549" s="2">
        <f t="shared" ca="1" si="60"/>
        <v>-166.9262716435187</v>
      </c>
      <c r="AF549" s="15"/>
    </row>
    <row r="550" spans="1:32">
      <c r="A550" s="1">
        <v>8802516</v>
      </c>
      <c r="B550" s="1" t="s">
        <v>62</v>
      </c>
      <c r="C550" t="s">
        <v>1114</v>
      </c>
      <c r="E550" s="2">
        <v>2737000206001</v>
      </c>
      <c r="F550" s="1" t="s">
        <v>29</v>
      </c>
      <c r="G550" s="1" t="s">
        <v>53</v>
      </c>
      <c r="H550" s="1" t="s">
        <v>311</v>
      </c>
      <c r="I550" s="1" t="s">
        <v>312</v>
      </c>
      <c r="J550" s="1" t="s">
        <v>90</v>
      </c>
      <c r="K550" t="s">
        <v>34</v>
      </c>
      <c r="M550" s="1" t="s">
        <v>35</v>
      </c>
      <c r="N550" s="1">
        <v>42318949</v>
      </c>
      <c r="O550" s="1" t="s">
        <v>105</v>
      </c>
      <c r="P550" s="11" t="s">
        <v>1117</v>
      </c>
      <c r="R550" s="1" t="s">
        <v>38</v>
      </c>
      <c r="T550" s="1" t="s">
        <v>74</v>
      </c>
      <c r="U550" s="11" t="s">
        <v>1116</v>
      </c>
      <c r="V550" s="1" t="s">
        <v>41</v>
      </c>
      <c r="W550" s="1" t="s">
        <v>49</v>
      </c>
      <c r="X550" s="13" t="str">
        <f t="shared" si="61"/>
        <v/>
      </c>
      <c r="Y550" s="2">
        <f t="shared" ca="1" si="56"/>
        <v>150</v>
      </c>
      <c r="Z550" s="14">
        <v>1</v>
      </c>
      <c r="AA550" s="1" t="str">
        <f t="shared" ca="1" si="57"/>
        <v>VENCIDO</v>
      </c>
      <c r="AB550" s="1" t="str">
        <f t="shared" si="58"/>
        <v>Dosa</v>
      </c>
      <c r="AC550" s="2" t="str">
        <f t="shared" si="62"/>
        <v xml:space="preserve"> RINALDO </v>
      </c>
      <c r="AD550" s="2">
        <f t="shared" si="59"/>
        <v>5</v>
      </c>
      <c r="AE550" s="2">
        <f t="shared" ca="1" si="60"/>
        <v>-166.9262716435187</v>
      </c>
      <c r="AF550" s="15"/>
    </row>
    <row r="551" spans="1:32" hidden="1">
      <c r="A551" s="1">
        <v>8802513</v>
      </c>
      <c r="B551" s="1" t="s">
        <v>62</v>
      </c>
      <c r="C551" t="s">
        <v>1114</v>
      </c>
      <c r="E551" s="2">
        <v>2693000206001</v>
      </c>
      <c r="F551" s="1" t="s">
        <v>29</v>
      </c>
      <c r="G551" s="1" t="s">
        <v>53</v>
      </c>
      <c r="H551" s="1" t="s">
        <v>253</v>
      </c>
      <c r="I551" s="1" t="s">
        <v>254</v>
      </c>
      <c r="J551" s="1" t="s">
        <v>56</v>
      </c>
      <c r="K551" t="s">
        <v>34</v>
      </c>
      <c r="M551" s="1" t="s">
        <v>35</v>
      </c>
      <c r="N551" s="1">
        <v>42318949</v>
      </c>
      <c r="O551" s="1" t="s">
        <v>105</v>
      </c>
      <c r="P551" s="11" t="s">
        <v>1117</v>
      </c>
      <c r="R551" s="1" t="s">
        <v>38</v>
      </c>
      <c r="T551" s="1" t="s">
        <v>74</v>
      </c>
      <c r="U551" s="11" t="s">
        <v>1116</v>
      </c>
      <c r="V551" s="1" t="s">
        <v>41</v>
      </c>
      <c r="W551" s="1" t="s">
        <v>49</v>
      </c>
      <c r="X551" s="13" t="str">
        <f t="shared" si="61"/>
        <v/>
      </c>
      <c r="Y551" s="2">
        <f t="shared" ca="1" si="56"/>
        <v>150</v>
      </c>
      <c r="Z551" s="14">
        <v>1</v>
      </c>
      <c r="AA551" s="1" t="str">
        <f t="shared" ca="1" si="57"/>
        <v>VENCIDO</v>
      </c>
      <c r="AB551" s="1" t="str">
        <f t="shared" si="58"/>
        <v>Dosa</v>
      </c>
      <c r="AC551" s="2" t="str">
        <f t="shared" si="62"/>
        <v xml:space="preserve"> CRISTINA </v>
      </c>
      <c r="AD551" s="2">
        <f t="shared" si="59"/>
        <v>5</v>
      </c>
      <c r="AE551" s="2">
        <f t="shared" ca="1" si="60"/>
        <v>-166.9262716435187</v>
      </c>
      <c r="AF551" s="15"/>
    </row>
    <row r="552" spans="1:32">
      <c r="A552" s="1">
        <v>8802505</v>
      </c>
      <c r="B552" s="1" t="s">
        <v>62</v>
      </c>
      <c r="C552" t="s">
        <v>1114</v>
      </c>
      <c r="E552" s="2">
        <v>2590000206001</v>
      </c>
      <c r="F552" s="1" t="s">
        <v>29</v>
      </c>
      <c r="G552" s="1" t="s">
        <v>53</v>
      </c>
      <c r="H552" s="1" t="s">
        <v>394</v>
      </c>
      <c r="I552" s="1" t="s">
        <v>395</v>
      </c>
      <c r="J552" s="1" t="s">
        <v>148</v>
      </c>
      <c r="K552" t="s">
        <v>34</v>
      </c>
      <c r="M552" s="1" t="s">
        <v>35</v>
      </c>
      <c r="N552" s="1">
        <v>42318949</v>
      </c>
      <c r="O552" s="1" t="s">
        <v>105</v>
      </c>
      <c r="P552" s="11" t="s">
        <v>1118</v>
      </c>
      <c r="R552" s="1" t="s">
        <v>38</v>
      </c>
      <c r="T552" s="1" t="s">
        <v>74</v>
      </c>
      <c r="U552" s="11" t="s">
        <v>1116</v>
      </c>
      <c r="V552" s="1" t="s">
        <v>41</v>
      </c>
      <c r="W552" s="1" t="s">
        <v>49</v>
      </c>
      <c r="X552" s="13" t="str">
        <f t="shared" si="61"/>
        <v/>
      </c>
      <c r="Y552" s="2">
        <f t="shared" ca="1" si="56"/>
        <v>150</v>
      </c>
      <c r="Z552" s="14">
        <v>1</v>
      </c>
      <c r="AA552" s="1" t="str">
        <f t="shared" ca="1" si="57"/>
        <v>VENCIDO</v>
      </c>
      <c r="AB552" s="1" t="str">
        <f t="shared" si="58"/>
        <v>Dosa</v>
      </c>
      <c r="AC552" s="2" t="str">
        <f t="shared" si="62"/>
        <v xml:space="preserve"> RINALDO </v>
      </c>
      <c r="AD552" s="2">
        <f t="shared" si="59"/>
        <v>5</v>
      </c>
      <c r="AE552" s="2">
        <f t="shared" ca="1" si="60"/>
        <v>-166.9262716435187</v>
      </c>
      <c r="AF552" s="15"/>
    </row>
    <row r="553" spans="1:32">
      <c r="A553" s="1">
        <v>8802477</v>
      </c>
      <c r="B553" s="1" t="s">
        <v>62</v>
      </c>
      <c r="C553" t="s">
        <v>1114</v>
      </c>
      <c r="E553" s="2">
        <v>2229000206001</v>
      </c>
      <c r="F553" s="1" t="s">
        <v>29</v>
      </c>
      <c r="G553" s="1" t="s">
        <v>53</v>
      </c>
      <c r="H553" s="1" t="s">
        <v>339</v>
      </c>
      <c r="I553" s="1" t="s">
        <v>340</v>
      </c>
      <c r="J553" s="1" t="s">
        <v>211</v>
      </c>
      <c r="K553" t="s">
        <v>34</v>
      </c>
      <c r="M553" s="1" t="s">
        <v>35</v>
      </c>
      <c r="N553" s="1">
        <v>42318949</v>
      </c>
      <c r="O553" s="1" t="s">
        <v>105</v>
      </c>
      <c r="P553" s="11" t="s">
        <v>1119</v>
      </c>
      <c r="R553" s="1" t="s">
        <v>38</v>
      </c>
      <c r="T553" s="1" t="s">
        <v>74</v>
      </c>
      <c r="U553" s="11" t="s">
        <v>1116</v>
      </c>
      <c r="V553" s="1" t="s">
        <v>41</v>
      </c>
      <c r="W553" s="1" t="s">
        <v>49</v>
      </c>
      <c r="X553" s="13" t="str">
        <f t="shared" si="61"/>
        <v/>
      </c>
      <c r="Y553" s="2">
        <f t="shared" ca="1" si="56"/>
        <v>150</v>
      </c>
      <c r="Z553" s="14">
        <v>1</v>
      </c>
      <c r="AA553" s="1" t="str">
        <f t="shared" ca="1" si="57"/>
        <v>VENCIDO</v>
      </c>
      <c r="AB553" s="1" t="str">
        <f t="shared" si="58"/>
        <v>Dosa</v>
      </c>
      <c r="AC553" s="2" t="str">
        <f t="shared" si="62"/>
        <v xml:space="preserve"> RINALDO </v>
      </c>
      <c r="AD553" s="2">
        <f t="shared" si="59"/>
        <v>5</v>
      </c>
      <c r="AE553" s="2">
        <f t="shared" ca="1" si="60"/>
        <v>-166.9262716435187</v>
      </c>
      <c r="AF553" s="15"/>
    </row>
    <row r="554" spans="1:32" hidden="1">
      <c r="A554" s="1">
        <v>8802445</v>
      </c>
      <c r="B554" s="1" t="s">
        <v>62</v>
      </c>
      <c r="C554" t="s">
        <v>1114</v>
      </c>
      <c r="E554" s="2">
        <v>1761000206001</v>
      </c>
      <c r="F554" s="1" t="s">
        <v>29</v>
      </c>
      <c r="G554" s="1" t="s">
        <v>53</v>
      </c>
      <c r="H554" s="1" t="s">
        <v>375</v>
      </c>
      <c r="I554" s="1" t="s">
        <v>376</v>
      </c>
      <c r="J554" s="1" t="s">
        <v>56</v>
      </c>
      <c r="K554" t="s">
        <v>34</v>
      </c>
      <c r="M554" s="1" t="s">
        <v>35</v>
      </c>
      <c r="N554" s="1">
        <v>42318949</v>
      </c>
      <c r="O554" s="1" t="s">
        <v>105</v>
      </c>
      <c r="P554" s="11" t="s">
        <v>1120</v>
      </c>
      <c r="R554" s="1" t="s">
        <v>38</v>
      </c>
      <c r="T554" s="1" t="s">
        <v>74</v>
      </c>
      <c r="U554" s="11" t="s">
        <v>1116</v>
      </c>
      <c r="V554" s="1" t="s">
        <v>41</v>
      </c>
      <c r="W554" s="1" t="s">
        <v>49</v>
      </c>
      <c r="X554" s="13" t="str">
        <f t="shared" si="61"/>
        <v/>
      </c>
      <c r="Y554" s="2">
        <f t="shared" ca="1" si="56"/>
        <v>150</v>
      </c>
      <c r="Z554" s="14">
        <v>1</v>
      </c>
      <c r="AA554" s="1" t="str">
        <f t="shared" ca="1" si="57"/>
        <v>VENCIDO</v>
      </c>
      <c r="AB554" s="1" t="str">
        <f t="shared" si="58"/>
        <v>Dosa</v>
      </c>
      <c r="AC554" s="2" t="str">
        <f t="shared" si="62"/>
        <v xml:space="preserve"> CRISTINA </v>
      </c>
      <c r="AD554" s="2">
        <f t="shared" si="59"/>
        <v>5</v>
      </c>
      <c r="AE554" s="2">
        <f t="shared" ca="1" si="60"/>
        <v>-166.9262716435187</v>
      </c>
      <c r="AF554" s="15"/>
    </row>
    <row r="555" spans="1:32">
      <c r="A555" s="1">
        <v>8802382</v>
      </c>
      <c r="B555" s="1" t="s">
        <v>62</v>
      </c>
      <c r="C555" t="s">
        <v>1114</v>
      </c>
      <c r="E555" s="2">
        <v>1028000206001</v>
      </c>
      <c r="F555" s="1" t="s">
        <v>29</v>
      </c>
      <c r="G555" s="1" t="s">
        <v>53</v>
      </c>
      <c r="H555" s="1" t="s">
        <v>1079</v>
      </c>
      <c r="I555" s="1" t="s">
        <v>1080</v>
      </c>
      <c r="J555" s="1" t="s">
        <v>85</v>
      </c>
      <c r="K555" t="s">
        <v>34</v>
      </c>
      <c r="M555" s="1" t="s">
        <v>35</v>
      </c>
      <c r="N555" s="1">
        <v>42318949</v>
      </c>
      <c r="O555" s="1" t="s">
        <v>105</v>
      </c>
      <c r="P555" s="11" t="s">
        <v>1121</v>
      </c>
      <c r="R555" s="1" t="s">
        <v>38</v>
      </c>
      <c r="T555" s="1" t="s">
        <v>74</v>
      </c>
      <c r="U555" s="11" t="s">
        <v>1116</v>
      </c>
      <c r="V555" s="1" t="s">
        <v>41</v>
      </c>
      <c r="W555" s="1" t="s">
        <v>49</v>
      </c>
      <c r="X555" s="13" t="str">
        <f t="shared" si="61"/>
        <v/>
      </c>
      <c r="Y555" s="2">
        <f t="shared" ca="1" si="56"/>
        <v>150</v>
      </c>
      <c r="Z555" s="14">
        <v>1</v>
      </c>
      <c r="AA555" s="1" t="str">
        <f t="shared" ca="1" si="57"/>
        <v>VENCIDO</v>
      </c>
      <c r="AB555" s="1" t="str">
        <f t="shared" si="58"/>
        <v>Dosa</v>
      </c>
      <c r="AC555" s="2" t="str">
        <f t="shared" si="62"/>
        <v xml:space="preserve"> RINALDO </v>
      </c>
      <c r="AD555" s="2">
        <f t="shared" si="59"/>
        <v>5</v>
      </c>
      <c r="AE555" s="2">
        <f t="shared" ca="1" si="60"/>
        <v>-166.9262716435187</v>
      </c>
      <c r="AF555" s="15"/>
    </row>
    <row r="556" spans="1:32">
      <c r="A556" s="1">
        <v>8802376</v>
      </c>
      <c r="B556" s="1" t="s">
        <v>62</v>
      </c>
      <c r="C556" t="s">
        <v>1114</v>
      </c>
      <c r="E556" s="2">
        <v>981000206001</v>
      </c>
      <c r="F556" s="1" t="s">
        <v>29</v>
      </c>
      <c r="G556" s="1" t="s">
        <v>53</v>
      </c>
      <c r="H556" s="1" t="s">
        <v>410</v>
      </c>
      <c r="I556" s="1" t="s">
        <v>411</v>
      </c>
      <c r="J556" s="1" t="s">
        <v>85</v>
      </c>
      <c r="K556" t="s">
        <v>34</v>
      </c>
      <c r="M556" s="1" t="s">
        <v>35</v>
      </c>
      <c r="N556" s="1">
        <v>42318949</v>
      </c>
      <c r="O556" s="1" t="s">
        <v>36</v>
      </c>
      <c r="P556" s="11" t="s">
        <v>1121</v>
      </c>
      <c r="R556" s="1" t="s">
        <v>38</v>
      </c>
      <c r="T556" s="1" t="s">
        <v>74</v>
      </c>
      <c r="U556" s="11" t="s">
        <v>1116</v>
      </c>
      <c r="V556" s="1" t="s">
        <v>41</v>
      </c>
      <c r="W556" s="1" t="s">
        <v>49</v>
      </c>
      <c r="X556" s="13" t="str">
        <f t="shared" si="61"/>
        <v/>
      </c>
      <c r="Y556" s="2">
        <f t="shared" ca="1" si="56"/>
        <v>150</v>
      </c>
      <c r="Z556" s="14">
        <v>1</v>
      </c>
      <c r="AA556" s="1" t="str">
        <f t="shared" ca="1" si="57"/>
        <v>VENCIDO</v>
      </c>
      <c r="AB556" s="1" t="str">
        <f t="shared" si="58"/>
        <v>Dosa</v>
      </c>
      <c r="AC556" s="2" t="str">
        <f t="shared" si="62"/>
        <v xml:space="preserve"> RINALDO </v>
      </c>
      <c r="AD556" s="2">
        <f t="shared" si="59"/>
        <v>5</v>
      </c>
      <c r="AE556" s="2">
        <f t="shared" ca="1" si="60"/>
        <v>-166.9262716435187</v>
      </c>
      <c r="AF556" s="15"/>
    </row>
    <row r="557" spans="1:32">
      <c r="A557" s="1">
        <v>8802339</v>
      </c>
      <c r="B557" s="1" t="s">
        <v>62</v>
      </c>
      <c r="C557" t="s">
        <v>1114</v>
      </c>
      <c r="E557" s="2">
        <v>608000206001</v>
      </c>
      <c r="F557" s="1" t="s">
        <v>29</v>
      </c>
      <c r="G557" s="1" t="s">
        <v>53</v>
      </c>
      <c r="H557" s="1" t="s">
        <v>438</v>
      </c>
      <c r="I557" s="1" t="s">
        <v>439</v>
      </c>
      <c r="J557" s="1" t="s">
        <v>148</v>
      </c>
      <c r="K557" t="s">
        <v>34</v>
      </c>
      <c r="M557" s="1" t="s">
        <v>35</v>
      </c>
      <c r="N557" s="1">
        <v>42318949</v>
      </c>
      <c r="O557" s="1" t="s">
        <v>105</v>
      </c>
      <c r="P557" s="11" t="s">
        <v>1122</v>
      </c>
      <c r="R557" s="1" t="s">
        <v>38</v>
      </c>
      <c r="T557" s="1" t="s">
        <v>74</v>
      </c>
      <c r="U557" s="11" t="s">
        <v>1116</v>
      </c>
      <c r="V557" s="1" t="s">
        <v>41</v>
      </c>
      <c r="W557" s="1" t="s">
        <v>49</v>
      </c>
      <c r="X557" s="13" t="str">
        <f t="shared" si="61"/>
        <v/>
      </c>
      <c r="Y557" s="2">
        <f t="shared" ca="1" si="56"/>
        <v>150</v>
      </c>
      <c r="Z557" s="14">
        <v>1</v>
      </c>
      <c r="AA557" s="1" t="str">
        <f t="shared" ca="1" si="57"/>
        <v>VENCIDO</v>
      </c>
      <c r="AB557" s="1" t="str">
        <f t="shared" si="58"/>
        <v>Dosa</v>
      </c>
      <c r="AC557" s="2" t="str">
        <f t="shared" si="62"/>
        <v xml:space="preserve"> RINALDO </v>
      </c>
      <c r="AD557" s="2">
        <f t="shared" si="59"/>
        <v>5</v>
      </c>
      <c r="AE557" s="2">
        <f t="shared" ca="1" si="60"/>
        <v>-166.9262716435187</v>
      </c>
      <c r="AF557" s="15"/>
    </row>
    <row r="558" spans="1:32" hidden="1">
      <c r="A558" s="1">
        <v>8802198</v>
      </c>
      <c r="B558" s="1" t="s">
        <v>62</v>
      </c>
      <c r="C558" t="s">
        <v>1114</v>
      </c>
      <c r="E558" s="2">
        <v>721000206001</v>
      </c>
      <c r="F558" s="1" t="s">
        <v>29</v>
      </c>
      <c r="G558" s="1" t="s">
        <v>53</v>
      </c>
      <c r="H558" s="1" t="s">
        <v>422</v>
      </c>
      <c r="I558" s="1" t="s">
        <v>423</v>
      </c>
      <c r="J558" s="1" t="s">
        <v>79</v>
      </c>
      <c r="K558" t="s">
        <v>34</v>
      </c>
      <c r="M558" s="1" t="s">
        <v>35</v>
      </c>
      <c r="N558" s="1">
        <v>42318949</v>
      </c>
      <c r="O558" s="1" t="s">
        <v>36</v>
      </c>
      <c r="P558" s="11" t="s">
        <v>1123</v>
      </c>
      <c r="R558" s="1" t="s">
        <v>38</v>
      </c>
      <c r="T558" s="1" t="s">
        <v>74</v>
      </c>
      <c r="U558" s="11" t="s">
        <v>1116</v>
      </c>
      <c r="V558" s="1" t="s">
        <v>41</v>
      </c>
      <c r="W558" s="1" t="s">
        <v>49</v>
      </c>
      <c r="X558" s="13" t="str">
        <f t="shared" si="61"/>
        <v/>
      </c>
      <c r="Y558" s="2">
        <f t="shared" ca="1" si="56"/>
        <v>150</v>
      </c>
      <c r="Z558" s="14">
        <v>1</v>
      </c>
      <c r="AA558" s="1" t="str">
        <f t="shared" ca="1" si="57"/>
        <v>VENCIDO</v>
      </c>
      <c r="AB558" s="1" t="str">
        <f t="shared" si="58"/>
        <v>Dosa</v>
      </c>
      <c r="AC558" s="2" t="str">
        <f t="shared" si="62"/>
        <v xml:space="preserve"> ROSEMERE </v>
      </c>
      <c r="AD558" s="2">
        <f t="shared" si="59"/>
        <v>5</v>
      </c>
      <c r="AE558" s="2">
        <f t="shared" ca="1" si="60"/>
        <v>-166.9262716435187</v>
      </c>
      <c r="AF558" s="15"/>
    </row>
    <row r="559" spans="1:32">
      <c r="A559" s="1">
        <v>8802177</v>
      </c>
      <c r="B559" s="1" t="s">
        <v>62</v>
      </c>
      <c r="C559" t="s">
        <v>1114</v>
      </c>
      <c r="E559" s="2">
        <v>1754000206001</v>
      </c>
      <c r="F559" s="1" t="s">
        <v>29</v>
      </c>
      <c r="G559" s="1" t="s">
        <v>53</v>
      </c>
      <c r="H559" s="1" t="s">
        <v>146</v>
      </c>
      <c r="I559" s="1" t="s">
        <v>147</v>
      </c>
      <c r="J559" s="1" t="s">
        <v>148</v>
      </c>
      <c r="K559" t="s">
        <v>34</v>
      </c>
      <c r="M559" s="1" t="s">
        <v>35</v>
      </c>
      <c r="N559" s="1">
        <v>42318949</v>
      </c>
      <c r="O559" s="1" t="s">
        <v>105</v>
      </c>
      <c r="P559" s="11" t="s">
        <v>1124</v>
      </c>
      <c r="R559" s="1" t="s">
        <v>38</v>
      </c>
      <c r="T559" s="1" t="s">
        <v>74</v>
      </c>
      <c r="U559" s="11" t="s">
        <v>1116</v>
      </c>
      <c r="V559" s="1" t="s">
        <v>41</v>
      </c>
      <c r="W559" s="1" t="s">
        <v>49</v>
      </c>
      <c r="X559" s="13" t="str">
        <f t="shared" si="61"/>
        <v/>
      </c>
      <c r="Y559" s="2">
        <f t="shared" ca="1" si="56"/>
        <v>150</v>
      </c>
      <c r="Z559" s="14">
        <v>1</v>
      </c>
      <c r="AA559" s="1" t="str">
        <f t="shared" ca="1" si="57"/>
        <v>VENCIDO</v>
      </c>
      <c r="AB559" s="1" t="str">
        <f t="shared" si="58"/>
        <v>Dosa</v>
      </c>
      <c r="AC559" s="2" t="str">
        <f t="shared" si="62"/>
        <v xml:space="preserve"> RINALDO </v>
      </c>
      <c r="AD559" s="2">
        <f t="shared" si="59"/>
        <v>5</v>
      </c>
      <c r="AE559" s="2">
        <f t="shared" ca="1" si="60"/>
        <v>-166.9262716435187</v>
      </c>
      <c r="AF559" s="15"/>
    </row>
    <row r="560" spans="1:32">
      <c r="A560" s="1">
        <v>8819471</v>
      </c>
      <c r="B560" s="1" t="s">
        <v>101</v>
      </c>
      <c r="C560" t="s">
        <v>1125</v>
      </c>
      <c r="E560" s="2">
        <v>9705000206001</v>
      </c>
      <c r="F560" s="1" t="s">
        <v>29</v>
      </c>
      <c r="G560" s="1" t="s">
        <v>53</v>
      </c>
      <c r="H560" s="1" t="s">
        <v>204</v>
      </c>
      <c r="I560" s="1" t="s">
        <v>205</v>
      </c>
      <c r="J560" s="1" t="s">
        <v>90</v>
      </c>
      <c r="K560" t="s">
        <v>34</v>
      </c>
      <c r="M560" s="1" t="s">
        <v>35</v>
      </c>
      <c r="N560" s="1">
        <v>42318949</v>
      </c>
      <c r="O560" s="1" t="s">
        <v>36</v>
      </c>
      <c r="P560" s="12">
        <v>44781.761643518519</v>
      </c>
      <c r="R560" s="1" t="s">
        <v>38</v>
      </c>
      <c r="T560" s="1" t="s">
        <v>74</v>
      </c>
      <c r="U560" s="12">
        <v>44782.75</v>
      </c>
      <c r="V560" s="1" t="s">
        <v>41</v>
      </c>
      <c r="W560" s="1" t="s">
        <v>49</v>
      </c>
      <c r="X560" s="13" t="str">
        <f t="shared" si="61"/>
        <v/>
      </c>
      <c r="Y560" s="2">
        <f t="shared" ca="1" si="56"/>
        <v>148</v>
      </c>
      <c r="Z560" s="14">
        <v>1</v>
      </c>
      <c r="AA560" s="1" t="str">
        <f t="shared" ca="1" si="57"/>
        <v>VENCIDO</v>
      </c>
      <c r="AB560" s="1" t="str">
        <f t="shared" si="58"/>
        <v>Dosa</v>
      </c>
      <c r="AC560" s="2" t="str">
        <f t="shared" si="62"/>
        <v xml:space="preserve"> RINALDO </v>
      </c>
      <c r="AD560" s="2">
        <f t="shared" si="59"/>
        <v>5</v>
      </c>
      <c r="AE560" s="2">
        <f t="shared" ca="1" si="60"/>
        <v>-203.9262716435187</v>
      </c>
      <c r="AF560" s="15"/>
    </row>
    <row r="561" spans="1:32" hidden="1">
      <c r="A561" s="1">
        <v>8818302</v>
      </c>
      <c r="B561" s="1" t="s">
        <v>101</v>
      </c>
      <c r="C561" t="s">
        <v>1125</v>
      </c>
      <c r="E561" s="2">
        <v>4637000206001</v>
      </c>
      <c r="F561" s="1" t="s">
        <v>29</v>
      </c>
      <c r="G561" s="1" t="s">
        <v>53</v>
      </c>
      <c r="H561" s="1" t="s">
        <v>848</v>
      </c>
      <c r="I561" s="1" t="s">
        <v>849</v>
      </c>
      <c r="J561" s="1" t="s">
        <v>79</v>
      </c>
      <c r="K561" t="s">
        <v>34</v>
      </c>
      <c r="M561" s="1" t="s">
        <v>35</v>
      </c>
      <c r="N561" s="1">
        <v>42318949</v>
      </c>
      <c r="O561" s="1" t="s">
        <v>105</v>
      </c>
      <c r="P561" s="11" t="s">
        <v>1126</v>
      </c>
      <c r="R561" s="1" t="s">
        <v>38</v>
      </c>
      <c r="T561" s="1" t="s">
        <v>74</v>
      </c>
      <c r="U561" s="11" t="s">
        <v>1127</v>
      </c>
      <c r="V561" s="1" t="s">
        <v>41</v>
      </c>
      <c r="W561" s="1" t="s">
        <v>49</v>
      </c>
      <c r="X561" s="13" t="str">
        <f t="shared" si="61"/>
        <v/>
      </c>
      <c r="Y561" s="2">
        <f t="shared" ca="1" si="56"/>
        <v>148</v>
      </c>
      <c r="Z561" s="14">
        <v>1</v>
      </c>
      <c r="AA561" s="1" t="str">
        <f t="shared" ca="1" si="57"/>
        <v>VENCIDO</v>
      </c>
      <c r="AB561" s="1" t="str">
        <f t="shared" si="58"/>
        <v>Dosa</v>
      </c>
      <c r="AC561" s="2" t="str">
        <f t="shared" si="62"/>
        <v xml:space="preserve"> ROSEMERE </v>
      </c>
      <c r="AD561" s="2">
        <f t="shared" si="59"/>
        <v>5</v>
      </c>
      <c r="AE561" s="2">
        <f t="shared" ca="1" si="60"/>
        <v>-203.9262716435187</v>
      </c>
      <c r="AF561" s="15"/>
    </row>
    <row r="562" spans="1:32" hidden="1">
      <c r="A562" s="1">
        <v>8816066</v>
      </c>
      <c r="B562" s="1" t="s">
        <v>101</v>
      </c>
      <c r="C562" t="s">
        <v>1125</v>
      </c>
      <c r="E562" s="2">
        <v>1732000206001</v>
      </c>
      <c r="F562" s="1" t="s">
        <v>29</v>
      </c>
      <c r="G562" s="1" t="s">
        <v>53</v>
      </c>
      <c r="H562" s="1" t="s">
        <v>177</v>
      </c>
      <c r="I562" s="1" t="s">
        <v>178</v>
      </c>
      <c r="J562" s="1" t="s">
        <v>164</v>
      </c>
      <c r="K562" t="s">
        <v>34</v>
      </c>
      <c r="M562" s="1" t="s">
        <v>35</v>
      </c>
      <c r="N562" s="1">
        <v>42318949</v>
      </c>
      <c r="O562" s="1" t="s">
        <v>105</v>
      </c>
      <c r="P562" s="11" t="s">
        <v>1128</v>
      </c>
      <c r="R562" s="1" t="s">
        <v>38</v>
      </c>
      <c r="T562" s="1" t="s">
        <v>74</v>
      </c>
      <c r="U562" s="11" t="s">
        <v>1127</v>
      </c>
      <c r="V562" s="1" t="s">
        <v>41</v>
      </c>
      <c r="W562" s="1" t="s">
        <v>49</v>
      </c>
      <c r="X562" s="13" t="str">
        <f t="shared" si="61"/>
        <v/>
      </c>
      <c r="Y562" s="2">
        <f t="shared" ca="1" si="56"/>
        <v>148</v>
      </c>
      <c r="Z562" s="14">
        <v>1</v>
      </c>
      <c r="AA562" s="1" t="str">
        <f t="shared" ca="1" si="57"/>
        <v>VENCIDO</v>
      </c>
      <c r="AB562" s="1" t="str">
        <f t="shared" si="58"/>
        <v>Dosa</v>
      </c>
      <c r="AC562" s="2" t="str">
        <f t="shared" si="62"/>
        <v xml:space="preserve"> ROSEMERE </v>
      </c>
      <c r="AD562" s="2">
        <f t="shared" si="59"/>
        <v>5</v>
      </c>
      <c r="AE562" s="2">
        <f t="shared" ca="1" si="60"/>
        <v>-203.9262716435187</v>
      </c>
      <c r="AF562" s="15"/>
    </row>
    <row r="563" spans="1:32" hidden="1">
      <c r="A563" s="1">
        <v>8815493</v>
      </c>
      <c r="B563" s="1" t="s">
        <v>101</v>
      </c>
      <c r="C563" t="s">
        <v>1125</v>
      </c>
      <c r="E563" s="2">
        <v>1120000206001</v>
      </c>
      <c r="F563" s="1" t="s">
        <v>29</v>
      </c>
      <c r="G563" s="1" t="s">
        <v>53</v>
      </c>
      <c r="H563" s="1" t="s">
        <v>181</v>
      </c>
      <c r="I563" s="1" t="s">
        <v>182</v>
      </c>
      <c r="J563" s="1" t="s">
        <v>164</v>
      </c>
      <c r="K563" t="s">
        <v>34</v>
      </c>
      <c r="M563" s="1" t="s">
        <v>35</v>
      </c>
      <c r="N563" s="1">
        <v>42318949</v>
      </c>
      <c r="O563" s="1" t="s">
        <v>36</v>
      </c>
      <c r="P563" s="11" t="s">
        <v>1129</v>
      </c>
      <c r="R563" s="1" t="s">
        <v>38</v>
      </c>
      <c r="T563" s="1" t="s">
        <v>74</v>
      </c>
      <c r="U563" s="11" t="s">
        <v>1127</v>
      </c>
      <c r="V563" s="1" t="s">
        <v>41</v>
      </c>
      <c r="W563" s="1" t="s">
        <v>49</v>
      </c>
      <c r="X563" s="13" t="str">
        <f t="shared" si="61"/>
        <v/>
      </c>
      <c r="Y563" s="2">
        <f t="shared" ca="1" si="56"/>
        <v>148</v>
      </c>
      <c r="Z563" s="14">
        <v>1</v>
      </c>
      <c r="AA563" s="1" t="str">
        <f t="shared" ca="1" si="57"/>
        <v>VENCIDO</v>
      </c>
      <c r="AB563" s="1" t="str">
        <f t="shared" si="58"/>
        <v>Dosa</v>
      </c>
      <c r="AC563" s="2" t="str">
        <f t="shared" si="62"/>
        <v xml:space="preserve"> ROSEMERE </v>
      </c>
      <c r="AD563" s="2">
        <f t="shared" si="59"/>
        <v>5</v>
      </c>
      <c r="AE563" s="2">
        <f t="shared" ca="1" si="60"/>
        <v>-203.9262716435187</v>
      </c>
      <c r="AF563" s="15"/>
    </row>
    <row r="564" spans="1:32" hidden="1">
      <c r="A564" s="1">
        <v>8815426</v>
      </c>
      <c r="B564" s="1" t="s">
        <v>101</v>
      </c>
      <c r="C564" t="s">
        <v>1125</v>
      </c>
      <c r="E564" s="2">
        <v>1049000206001</v>
      </c>
      <c r="F564" s="1" t="s">
        <v>29</v>
      </c>
      <c r="G564" s="1" t="s">
        <v>53</v>
      </c>
      <c r="H564" s="1" t="s">
        <v>169</v>
      </c>
      <c r="I564" s="1" t="s">
        <v>170</v>
      </c>
      <c r="J564" s="1" t="s">
        <v>164</v>
      </c>
      <c r="K564" t="s">
        <v>34</v>
      </c>
      <c r="M564" s="1" t="s">
        <v>35</v>
      </c>
      <c r="N564" s="1">
        <v>42318949</v>
      </c>
      <c r="O564" s="1" t="s">
        <v>105</v>
      </c>
      <c r="P564" s="12">
        <v>44781.755694444444</v>
      </c>
      <c r="R564" s="1" t="s">
        <v>38</v>
      </c>
      <c r="T564" s="1" t="s">
        <v>74</v>
      </c>
      <c r="U564" s="12">
        <v>44782.75</v>
      </c>
      <c r="V564" s="1" t="s">
        <v>41</v>
      </c>
      <c r="W564" s="1" t="s">
        <v>49</v>
      </c>
      <c r="X564" s="13" t="str">
        <f t="shared" si="61"/>
        <v/>
      </c>
      <c r="Y564" s="2">
        <f t="shared" ca="1" si="56"/>
        <v>148</v>
      </c>
      <c r="Z564" s="14">
        <v>1</v>
      </c>
      <c r="AA564" s="1" t="str">
        <f t="shared" ca="1" si="57"/>
        <v>VENCIDO</v>
      </c>
      <c r="AB564" s="1" t="str">
        <f t="shared" si="58"/>
        <v>Dosa</v>
      </c>
      <c r="AC564" s="2" t="str">
        <f t="shared" si="62"/>
        <v xml:space="preserve"> ROSEMERE </v>
      </c>
      <c r="AD564" s="2">
        <f t="shared" si="59"/>
        <v>5</v>
      </c>
      <c r="AE564" s="2">
        <f t="shared" ca="1" si="60"/>
        <v>-203.9262716435187</v>
      </c>
      <c r="AF564" s="15"/>
    </row>
    <row r="565" spans="1:32">
      <c r="A565" s="1">
        <v>8815270</v>
      </c>
      <c r="B565" s="1" t="s">
        <v>101</v>
      </c>
      <c r="C565" t="s">
        <v>1125</v>
      </c>
      <c r="E565" s="2">
        <v>899000206001</v>
      </c>
      <c r="F565" s="1" t="s">
        <v>29</v>
      </c>
      <c r="G565" s="1" t="s">
        <v>53</v>
      </c>
      <c r="H565" s="1" t="s">
        <v>175</v>
      </c>
      <c r="I565" s="1" t="s">
        <v>176</v>
      </c>
      <c r="J565" s="1" t="s">
        <v>90</v>
      </c>
      <c r="K565" t="s">
        <v>34</v>
      </c>
      <c r="M565" s="1" t="s">
        <v>35</v>
      </c>
      <c r="N565" s="1">
        <v>42318949</v>
      </c>
      <c r="O565" s="1" t="s">
        <v>36</v>
      </c>
      <c r="P565" s="11" t="s">
        <v>1130</v>
      </c>
      <c r="R565" s="1" t="s">
        <v>38</v>
      </c>
      <c r="T565" s="1" t="s">
        <v>74</v>
      </c>
      <c r="U565" s="12">
        <v>44782.75</v>
      </c>
      <c r="V565" s="1" t="s">
        <v>41</v>
      </c>
      <c r="W565" s="1" t="s">
        <v>49</v>
      </c>
      <c r="X565" s="13" t="str">
        <f t="shared" si="61"/>
        <v/>
      </c>
      <c r="Y565" s="2">
        <f t="shared" ca="1" si="56"/>
        <v>148</v>
      </c>
      <c r="Z565" s="14">
        <v>1</v>
      </c>
      <c r="AA565" s="1" t="str">
        <f t="shared" ca="1" si="57"/>
        <v>VENCIDO</v>
      </c>
      <c r="AB565" s="1" t="str">
        <f t="shared" si="58"/>
        <v>Dosa</v>
      </c>
      <c r="AC565" s="2" t="str">
        <f t="shared" si="62"/>
        <v xml:space="preserve"> RINALDO </v>
      </c>
      <c r="AD565" s="2">
        <f t="shared" si="59"/>
        <v>5</v>
      </c>
      <c r="AE565" s="2">
        <f t="shared" ca="1" si="60"/>
        <v>-203.9262716435187</v>
      </c>
      <c r="AF565" s="15"/>
    </row>
    <row r="566" spans="1:32" hidden="1">
      <c r="A566" s="1">
        <v>8814941</v>
      </c>
      <c r="B566" s="1" t="s">
        <v>101</v>
      </c>
      <c r="C566" t="s">
        <v>1125</v>
      </c>
      <c r="E566" s="2">
        <v>594000206001</v>
      </c>
      <c r="F566" s="1" t="s">
        <v>29</v>
      </c>
      <c r="G566" s="1" t="s">
        <v>53</v>
      </c>
      <c r="H566" s="1" t="s">
        <v>444</v>
      </c>
      <c r="I566" s="1" t="s">
        <v>445</v>
      </c>
      <c r="J566" s="1" t="s">
        <v>33</v>
      </c>
      <c r="K566" t="s">
        <v>34</v>
      </c>
      <c r="M566" s="1" t="s">
        <v>35</v>
      </c>
      <c r="N566" s="1">
        <v>42318949</v>
      </c>
      <c r="O566" s="1" t="s">
        <v>36</v>
      </c>
      <c r="P566" s="11" t="s">
        <v>1131</v>
      </c>
      <c r="R566" s="1" t="s">
        <v>38</v>
      </c>
      <c r="T566" s="1" t="s">
        <v>74</v>
      </c>
      <c r="U566" s="11" t="s">
        <v>1127</v>
      </c>
      <c r="V566" s="1" t="s">
        <v>41</v>
      </c>
      <c r="W566" s="1" t="s">
        <v>42</v>
      </c>
      <c r="X566" s="13" t="str">
        <f t="shared" si="61"/>
        <v/>
      </c>
      <c r="Y566" s="2">
        <f t="shared" ca="1" si="56"/>
        <v>148</v>
      </c>
      <c r="Z566" s="14">
        <v>1</v>
      </c>
      <c r="AA566" s="1" t="str">
        <f t="shared" ca="1" si="57"/>
        <v>VENCIDO</v>
      </c>
      <c r="AB566" s="1" t="str">
        <f t="shared" si="58"/>
        <v>Dosa</v>
      </c>
      <c r="AC566" s="2" t="str">
        <f t="shared" si="62"/>
        <v xml:space="preserve"> ROSEMERE </v>
      </c>
      <c r="AD566" s="2">
        <f t="shared" si="59"/>
        <v>5</v>
      </c>
      <c r="AE566" s="2">
        <f t="shared" ca="1" si="60"/>
        <v>-203.9262716435187</v>
      </c>
      <c r="AF566" s="15"/>
    </row>
    <row r="567" spans="1:32">
      <c r="A567" s="1">
        <v>8814916</v>
      </c>
      <c r="B567" s="1" t="s">
        <v>101</v>
      </c>
      <c r="C567" t="s">
        <v>1125</v>
      </c>
      <c r="E567" s="2">
        <v>570000206001</v>
      </c>
      <c r="F567" s="1" t="s">
        <v>29</v>
      </c>
      <c r="G567" s="1" t="s">
        <v>53</v>
      </c>
      <c r="H567" s="1" t="s">
        <v>434</v>
      </c>
      <c r="I567" s="1" t="s">
        <v>435</v>
      </c>
      <c r="J567" s="1" t="s">
        <v>148</v>
      </c>
      <c r="K567" t="s">
        <v>34</v>
      </c>
      <c r="M567" s="1" t="s">
        <v>35</v>
      </c>
      <c r="N567" s="1">
        <v>42318949</v>
      </c>
      <c r="O567" s="1" t="s">
        <v>36</v>
      </c>
      <c r="P567" s="11" t="s">
        <v>1132</v>
      </c>
      <c r="R567" s="1" t="s">
        <v>38</v>
      </c>
      <c r="T567" s="1" t="s">
        <v>74</v>
      </c>
      <c r="U567" s="11" t="s">
        <v>1127</v>
      </c>
      <c r="V567" s="1" t="s">
        <v>41</v>
      </c>
      <c r="W567" s="1" t="s">
        <v>49</v>
      </c>
      <c r="X567" s="13" t="str">
        <f t="shared" si="61"/>
        <v/>
      </c>
      <c r="Y567" s="2">
        <f t="shared" ca="1" si="56"/>
        <v>148</v>
      </c>
      <c r="Z567" s="14">
        <v>1</v>
      </c>
      <c r="AA567" s="1" t="str">
        <f t="shared" ca="1" si="57"/>
        <v>VENCIDO</v>
      </c>
      <c r="AB567" s="1" t="str">
        <f t="shared" si="58"/>
        <v>Dosa</v>
      </c>
      <c r="AC567" s="2" t="str">
        <f t="shared" si="62"/>
        <v xml:space="preserve"> RINALDO </v>
      </c>
      <c r="AD567" s="2">
        <f t="shared" si="59"/>
        <v>5</v>
      </c>
      <c r="AE567" s="2">
        <f t="shared" ca="1" si="60"/>
        <v>-203.9262716435187</v>
      </c>
      <c r="AF567" s="15"/>
    </row>
    <row r="568" spans="1:32" hidden="1">
      <c r="A568" s="1">
        <v>8814895</v>
      </c>
      <c r="B568" s="1" t="s">
        <v>101</v>
      </c>
      <c r="C568" t="s">
        <v>1125</v>
      </c>
      <c r="E568" s="2">
        <v>550000206001</v>
      </c>
      <c r="F568" s="1" t="s">
        <v>29</v>
      </c>
      <c r="G568" s="1" t="s">
        <v>53</v>
      </c>
      <c r="H568" s="1" t="s">
        <v>337</v>
      </c>
      <c r="I568" s="1" t="s">
        <v>338</v>
      </c>
      <c r="J568" s="1" t="s">
        <v>164</v>
      </c>
      <c r="K568" t="s">
        <v>34</v>
      </c>
      <c r="M568" s="1" t="s">
        <v>35</v>
      </c>
      <c r="N568" s="1">
        <v>42318949</v>
      </c>
      <c r="O568" s="1" t="s">
        <v>105</v>
      </c>
      <c r="P568" s="11" t="s">
        <v>1133</v>
      </c>
      <c r="R568" s="1" t="s">
        <v>38</v>
      </c>
      <c r="T568" s="1" t="s">
        <v>74</v>
      </c>
      <c r="U568" s="11" t="s">
        <v>1127</v>
      </c>
      <c r="V568" s="1" t="s">
        <v>41</v>
      </c>
      <c r="W568" s="1" t="s">
        <v>49</v>
      </c>
      <c r="X568" s="13" t="str">
        <f t="shared" si="61"/>
        <v/>
      </c>
      <c r="Y568" s="2">
        <f t="shared" ca="1" si="56"/>
        <v>148</v>
      </c>
      <c r="Z568" s="14">
        <v>1</v>
      </c>
      <c r="AA568" s="1" t="str">
        <f t="shared" ca="1" si="57"/>
        <v>VENCIDO</v>
      </c>
      <c r="AB568" s="1" t="str">
        <f t="shared" si="58"/>
        <v>Dosa</v>
      </c>
      <c r="AC568" s="2" t="str">
        <f t="shared" si="62"/>
        <v xml:space="preserve"> ROSEMERE </v>
      </c>
      <c r="AD568" s="2">
        <f t="shared" si="59"/>
        <v>5</v>
      </c>
      <c r="AE568" s="2">
        <f t="shared" ca="1" si="60"/>
        <v>-203.9262716435187</v>
      </c>
      <c r="AF568" s="15"/>
    </row>
    <row r="569" spans="1:32">
      <c r="A569" s="1">
        <v>8812545</v>
      </c>
      <c r="B569" s="1" t="s">
        <v>101</v>
      </c>
      <c r="C569" t="s">
        <v>1134</v>
      </c>
      <c r="E569" s="2">
        <v>9705000206001</v>
      </c>
      <c r="F569" s="1" t="s">
        <v>29</v>
      </c>
      <c r="G569" s="1" t="s">
        <v>53</v>
      </c>
      <c r="H569" s="1" t="s">
        <v>204</v>
      </c>
      <c r="I569" s="1" t="s">
        <v>205</v>
      </c>
      <c r="J569" s="1" t="s">
        <v>90</v>
      </c>
      <c r="K569" t="s">
        <v>34</v>
      </c>
      <c r="M569" s="1" t="s">
        <v>35</v>
      </c>
      <c r="N569" s="1">
        <v>42318949</v>
      </c>
      <c r="O569" s="1" t="s">
        <v>105</v>
      </c>
      <c r="P569" s="11" t="s">
        <v>1135</v>
      </c>
      <c r="R569" s="1" t="s">
        <v>38</v>
      </c>
      <c r="T569" s="1" t="s">
        <v>74</v>
      </c>
      <c r="U569" s="11" t="s">
        <v>1136</v>
      </c>
      <c r="V569" s="1" t="s">
        <v>41</v>
      </c>
      <c r="W569" s="1" t="s">
        <v>49</v>
      </c>
      <c r="X569" s="13" t="str">
        <f t="shared" si="61"/>
        <v/>
      </c>
      <c r="Y569" s="2">
        <f t="shared" ca="1" si="56"/>
        <v>148</v>
      </c>
      <c r="Z569" s="14">
        <v>1</v>
      </c>
      <c r="AA569" s="1" t="str">
        <f t="shared" ca="1" si="57"/>
        <v>VENCIDO</v>
      </c>
      <c r="AB569" s="1" t="str">
        <f t="shared" si="58"/>
        <v>Dosa</v>
      </c>
      <c r="AC569" s="2" t="str">
        <f t="shared" si="62"/>
        <v xml:space="preserve"> RINALDO </v>
      </c>
      <c r="AD569" s="2">
        <f t="shared" si="59"/>
        <v>5</v>
      </c>
      <c r="AE569" s="2">
        <f t="shared" ca="1" si="60"/>
        <v>-204.9262716435187</v>
      </c>
      <c r="AF569" s="15"/>
    </row>
    <row r="570" spans="1:32">
      <c r="A570" s="1">
        <v>8812544</v>
      </c>
      <c r="B570" s="1" t="s">
        <v>101</v>
      </c>
      <c r="C570" t="s">
        <v>1134</v>
      </c>
      <c r="E570" s="2">
        <v>9705000206001</v>
      </c>
      <c r="F570" s="1" t="s">
        <v>29</v>
      </c>
      <c r="G570" s="1" t="s">
        <v>53</v>
      </c>
      <c r="H570" s="1" t="s">
        <v>204</v>
      </c>
      <c r="I570" s="1" t="s">
        <v>205</v>
      </c>
      <c r="J570" s="1" t="s">
        <v>90</v>
      </c>
      <c r="K570" t="s">
        <v>34</v>
      </c>
      <c r="M570" s="1" t="s">
        <v>35</v>
      </c>
      <c r="N570" s="1">
        <v>42318949</v>
      </c>
      <c r="O570" s="1" t="s">
        <v>105</v>
      </c>
      <c r="P570" s="11" t="s">
        <v>1135</v>
      </c>
      <c r="R570" s="1" t="s">
        <v>38</v>
      </c>
      <c r="T570" s="1" t="s">
        <v>74</v>
      </c>
      <c r="U570" s="11" t="s">
        <v>1136</v>
      </c>
      <c r="V570" s="1" t="s">
        <v>41</v>
      </c>
      <c r="W570" s="1" t="s">
        <v>49</v>
      </c>
      <c r="X570" s="13" t="str">
        <f t="shared" si="61"/>
        <v/>
      </c>
      <c r="Y570" s="2">
        <f t="shared" ca="1" si="56"/>
        <v>148</v>
      </c>
      <c r="Z570" s="14">
        <v>1</v>
      </c>
      <c r="AA570" s="1" t="str">
        <f t="shared" ca="1" si="57"/>
        <v>VENCIDO</v>
      </c>
      <c r="AB570" s="1" t="str">
        <f t="shared" si="58"/>
        <v>Dosa</v>
      </c>
      <c r="AC570" s="2" t="str">
        <f t="shared" si="62"/>
        <v xml:space="preserve"> RINALDO </v>
      </c>
      <c r="AD570" s="2">
        <f t="shared" si="59"/>
        <v>5</v>
      </c>
      <c r="AE570" s="2">
        <f t="shared" ca="1" si="60"/>
        <v>-204.9262716435187</v>
      </c>
      <c r="AF570" s="15"/>
    </row>
    <row r="571" spans="1:32">
      <c r="A571" s="1">
        <v>8812543</v>
      </c>
      <c r="B571" s="1" t="s">
        <v>101</v>
      </c>
      <c r="C571" t="s">
        <v>1134</v>
      </c>
      <c r="E571" s="2">
        <v>9705000206001</v>
      </c>
      <c r="F571" s="1" t="s">
        <v>29</v>
      </c>
      <c r="G571" s="1" t="s">
        <v>53</v>
      </c>
      <c r="H571" s="1" t="s">
        <v>204</v>
      </c>
      <c r="I571" s="1" t="s">
        <v>205</v>
      </c>
      <c r="J571" s="1" t="s">
        <v>90</v>
      </c>
      <c r="K571" t="s">
        <v>34</v>
      </c>
      <c r="M571" s="1" t="s">
        <v>35</v>
      </c>
      <c r="N571" s="1">
        <v>42318949</v>
      </c>
      <c r="O571" s="1" t="s">
        <v>105</v>
      </c>
      <c r="P571" s="11" t="s">
        <v>1135</v>
      </c>
      <c r="R571" s="1" t="s">
        <v>38</v>
      </c>
      <c r="T571" s="1" t="s">
        <v>74</v>
      </c>
      <c r="U571" s="11" t="s">
        <v>1136</v>
      </c>
      <c r="V571" s="1" t="s">
        <v>41</v>
      </c>
      <c r="W571" s="1" t="s">
        <v>49</v>
      </c>
      <c r="X571" s="13" t="str">
        <f t="shared" si="61"/>
        <v/>
      </c>
      <c r="Y571" s="2">
        <f t="shared" ca="1" si="56"/>
        <v>148</v>
      </c>
      <c r="Z571" s="14">
        <v>1</v>
      </c>
      <c r="AA571" s="1" t="str">
        <f t="shared" ca="1" si="57"/>
        <v>VENCIDO</v>
      </c>
      <c r="AB571" s="1" t="str">
        <f t="shared" si="58"/>
        <v>Dosa</v>
      </c>
      <c r="AC571" s="2" t="str">
        <f t="shared" si="62"/>
        <v xml:space="preserve"> RINALDO </v>
      </c>
      <c r="AD571" s="2">
        <f t="shared" si="59"/>
        <v>5</v>
      </c>
      <c r="AE571" s="2">
        <f t="shared" ca="1" si="60"/>
        <v>-204.9262716435187</v>
      </c>
      <c r="AF571" s="15"/>
    </row>
    <row r="572" spans="1:32" hidden="1">
      <c r="A572" s="1">
        <v>8812542</v>
      </c>
      <c r="B572" s="1" t="s">
        <v>101</v>
      </c>
      <c r="C572" t="s">
        <v>1134</v>
      </c>
      <c r="E572" s="2">
        <v>9704000206001</v>
      </c>
      <c r="F572" s="1" t="s">
        <v>29</v>
      </c>
      <c r="G572" s="1" t="s">
        <v>53</v>
      </c>
      <c r="H572" s="1" t="s">
        <v>488</v>
      </c>
      <c r="I572" s="1" t="s">
        <v>489</v>
      </c>
      <c r="J572" s="1" t="s">
        <v>164</v>
      </c>
      <c r="K572" t="s">
        <v>34</v>
      </c>
      <c r="M572" s="1" t="s">
        <v>35</v>
      </c>
      <c r="N572" s="1">
        <v>42318949</v>
      </c>
      <c r="O572" s="1" t="s">
        <v>105</v>
      </c>
      <c r="P572" s="11" t="s">
        <v>1135</v>
      </c>
      <c r="R572" s="1" t="s">
        <v>38</v>
      </c>
      <c r="T572" s="1" t="s">
        <v>74</v>
      </c>
      <c r="U572" s="11" t="s">
        <v>1136</v>
      </c>
      <c r="V572" s="1" t="s">
        <v>41</v>
      </c>
      <c r="W572" s="1" t="s">
        <v>49</v>
      </c>
      <c r="X572" s="13" t="str">
        <f t="shared" si="61"/>
        <v/>
      </c>
      <c r="Y572" s="2">
        <f t="shared" ca="1" si="56"/>
        <v>148</v>
      </c>
      <c r="Z572" s="14">
        <v>1</v>
      </c>
      <c r="AA572" s="1" t="str">
        <f t="shared" ca="1" si="57"/>
        <v>VENCIDO</v>
      </c>
      <c r="AB572" s="1" t="str">
        <f t="shared" si="58"/>
        <v>Dosa</v>
      </c>
      <c r="AC572" s="2" t="str">
        <f t="shared" si="62"/>
        <v xml:space="preserve"> ROSEMERE </v>
      </c>
      <c r="AD572" s="2">
        <f t="shared" si="59"/>
        <v>5</v>
      </c>
      <c r="AE572" s="2">
        <f t="shared" ca="1" si="60"/>
        <v>-204.9262716435187</v>
      </c>
      <c r="AF572" s="15"/>
    </row>
    <row r="573" spans="1:32" hidden="1">
      <c r="A573" s="1">
        <v>8812541</v>
      </c>
      <c r="B573" s="1" t="s">
        <v>101</v>
      </c>
      <c r="C573" t="s">
        <v>1134</v>
      </c>
      <c r="E573" s="2">
        <v>9704000206001</v>
      </c>
      <c r="F573" s="1" t="s">
        <v>29</v>
      </c>
      <c r="G573" s="1" t="s">
        <v>53</v>
      </c>
      <c r="H573" s="1" t="s">
        <v>488</v>
      </c>
      <c r="I573" s="1" t="s">
        <v>489</v>
      </c>
      <c r="J573" s="1" t="s">
        <v>164</v>
      </c>
      <c r="K573" t="s">
        <v>34</v>
      </c>
      <c r="M573" s="1" t="s">
        <v>35</v>
      </c>
      <c r="N573" s="1">
        <v>42318949</v>
      </c>
      <c r="O573" s="1" t="s">
        <v>105</v>
      </c>
      <c r="P573" s="11" t="s">
        <v>1135</v>
      </c>
      <c r="R573" s="1" t="s">
        <v>38</v>
      </c>
      <c r="T573" s="1" t="s">
        <v>74</v>
      </c>
      <c r="U573" s="11" t="s">
        <v>1136</v>
      </c>
      <c r="V573" s="1" t="s">
        <v>41</v>
      </c>
      <c r="W573" s="1" t="s">
        <v>49</v>
      </c>
      <c r="X573" s="13" t="str">
        <f t="shared" si="61"/>
        <v/>
      </c>
      <c r="Y573" s="2">
        <f t="shared" ca="1" si="56"/>
        <v>148</v>
      </c>
      <c r="Z573" s="14">
        <v>1</v>
      </c>
      <c r="AA573" s="1" t="str">
        <f t="shared" ca="1" si="57"/>
        <v>VENCIDO</v>
      </c>
      <c r="AB573" s="1" t="str">
        <f t="shared" si="58"/>
        <v>Dosa</v>
      </c>
      <c r="AC573" s="2" t="str">
        <f t="shared" si="62"/>
        <v xml:space="preserve"> ROSEMERE </v>
      </c>
      <c r="AD573" s="2">
        <f t="shared" si="59"/>
        <v>5</v>
      </c>
      <c r="AE573" s="2">
        <f t="shared" ca="1" si="60"/>
        <v>-204.9262716435187</v>
      </c>
      <c r="AF573" s="15"/>
    </row>
    <row r="574" spans="1:32" hidden="1">
      <c r="A574" s="1">
        <v>8812540</v>
      </c>
      <c r="B574" s="1" t="s">
        <v>101</v>
      </c>
      <c r="C574" t="s">
        <v>1134</v>
      </c>
      <c r="E574" s="2">
        <v>9704000206001</v>
      </c>
      <c r="F574" s="1" t="s">
        <v>29</v>
      </c>
      <c r="G574" s="1" t="s">
        <v>53</v>
      </c>
      <c r="H574" s="1" t="s">
        <v>488</v>
      </c>
      <c r="I574" s="1" t="s">
        <v>489</v>
      </c>
      <c r="J574" s="1" t="s">
        <v>164</v>
      </c>
      <c r="K574" t="s">
        <v>34</v>
      </c>
      <c r="M574" s="1" t="s">
        <v>35</v>
      </c>
      <c r="N574" s="1">
        <v>42318949</v>
      </c>
      <c r="O574" s="1" t="s">
        <v>105</v>
      </c>
      <c r="P574" s="11" t="s">
        <v>1135</v>
      </c>
      <c r="R574" s="1" t="s">
        <v>38</v>
      </c>
      <c r="T574" s="1" t="s">
        <v>74</v>
      </c>
      <c r="U574" s="11" t="s">
        <v>1136</v>
      </c>
      <c r="V574" s="1" t="s">
        <v>41</v>
      </c>
      <c r="W574" s="1" t="s">
        <v>49</v>
      </c>
      <c r="X574" s="13" t="str">
        <f t="shared" si="61"/>
        <v/>
      </c>
      <c r="Y574" s="2">
        <f t="shared" ca="1" si="56"/>
        <v>148</v>
      </c>
      <c r="Z574" s="14">
        <v>1</v>
      </c>
      <c r="AA574" s="1" t="str">
        <f t="shared" ca="1" si="57"/>
        <v>VENCIDO</v>
      </c>
      <c r="AB574" s="1" t="str">
        <f t="shared" si="58"/>
        <v>Dosa</v>
      </c>
      <c r="AC574" s="2" t="str">
        <f t="shared" si="62"/>
        <v xml:space="preserve"> ROSEMERE </v>
      </c>
      <c r="AD574" s="2">
        <f t="shared" si="59"/>
        <v>5</v>
      </c>
      <c r="AE574" s="2">
        <f t="shared" ca="1" si="60"/>
        <v>-204.9262716435187</v>
      </c>
      <c r="AF574" s="15"/>
    </row>
    <row r="575" spans="1:32" hidden="1">
      <c r="A575" s="1">
        <v>8812539</v>
      </c>
      <c r="B575" s="1" t="s">
        <v>101</v>
      </c>
      <c r="C575" t="s">
        <v>1134</v>
      </c>
      <c r="E575" s="2">
        <v>9704000206001</v>
      </c>
      <c r="F575" s="1" t="s">
        <v>29</v>
      </c>
      <c r="G575" s="1" t="s">
        <v>53</v>
      </c>
      <c r="H575" s="1" t="s">
        <v>488</v>
      </c>
      <c r="I575" s="1" t="s">
        <v>489</v>
      </c>
      <c r="J575" s="1" t="s">
        <v>164</v>
      </c>
      <c r="K575" t="s">
        <v>34</v>
      </c>
      <c r="M575" s="1" t="s">
        <v>35</v>
      </c>
      <c r="N575" s="1">
        <v>42318949</v>
      </c>
      <c r="O575" s="1" t="s">
        <v>105</v>
      </c>
      <c r="P575" s="11" t="s">
        <v>1135</v>
      </c>
      <c r="R575" s="1" t="s">
        <v>38</v>
      </c>
      <c r="T575" s="1" t="s">
        <v>74</v>
      </c>
      <c r="U575" s="11" t="s">
        <v>1136</v>
      </c>
      <c r="V575" s="1" t="s">
        <v>41</v>
      </c>
      <c r="W575" s="1" t="s">
        <v>49</v>
      </c>
      <c r="X575" s="13" t="str">
        <f t="shared" si="61"/>
        <v/>
      </c>
      <c r="Y575" s="2">
        <f t="shared" ca="1" si="56"/>
        <v>148</v>
      </c>
      <c r="Z575" s="14">
        <v>1</v>
      </c>
      <c r="AA575" s="1" t="str">
        <f t="shared" ca="1" si="57"/>
        <v>VENCIDO</v>
      </c>
      <c r="AB575" s="1" t="str">
        <f t="shared" si="58"/>
        <v>Dosa</v>
      </c>
      <c r="AC575" s="2" t="str">
        <f t="shared" si="62"/>
        <v xml:space="preserve"> ROSEMERE </v>
      </c>
      <c r="AD575" s="2">
        <f t="shared" si="59"/>
        <v>5</v>
      </c>
      <c r="AE575" s="2">
        <f t="shared" ca="1" si="60"/>
        <v>-204.9262716435187</v>
      </c>
      <c r="AF575" s="15"/>
    </row>
    <row r="576" spans="1:32">
      <c r="A576" s="1">
        <v>8812535</v>
      </c>
      <c r="B576" s="1" t="s">
        <v>101</v>
      </c>
      <c r="C576" t="s">
        <v>1134</v>
      </c>
      <c r="E576" s="2">
        <v>9700000206001</v>
      </c>
      <c r="F576" s="1" t="s">
        <v>29</v>
      </c>
      <c r="G576" s="1" t="s">
        <v>53</v>
      </c>
      <c r="H576" s="1" t="s">
        <v>209</v>
      </c>
      <c r="I576" s="1" t="s">
        <v>210</v>
      </c>
      <c r="J576" s="1" t="s">
        <v>211</v>
      </c>
      <c r="K576" t="s">
        <v>34</v>
      </c>
      <c r="M576" s="1" t="s">
        <v>35</v>
      </c>
      <c r="N576" s="1">
        <v>42318949</v>
      </c>
      <c r="O576" s="1" t="s">
        <v>105</v>
      </c>
      <c r="P576" s="11" t="s">
        <v>1137</v>
      </c>
      <c r="R576" s="1" t="s">
        <v>38</v>
      </c>
      <c r="T576" s="1" t="s">
        <v>74</v>
      </c>
      <c r="U576" s="11" t="s">
        <v>1136</v>
      </c>
      <c r="V576" s="1" t="s">
        <v>41</v>
      </c>
      <c r="W576" s="1" t="s">
        <v>49</v>
      </c>
      <c r="X576" s="13" t="str">
        <f t="shared" si="61"/>
        <v/>
      </c>
      <c r="Y576" s="2">
        <f t="shared" ca="1" si="56"/>
        <v>148</v>
      </c>
      <c r="Z576" s="14">
        <v>1</v>
      </c>
      <c r="AA576" s="1" t="str">
        <f t="shared" ca="1" si="57"/>
        <v>VENCIDO</v>
      </c>
      <c r="AB576" s="1" t="str">
        <f t="shared" si="58"/>
        <v>Dosa</v>
      </c>
      <c r="AC576" s="2" t="str">
        <f t="shared" si="62"/>
        <v xml:space="preserve"> RINALDO </v>
      </c>
      <c r="AD576" s="2">
        <f t="shared" si="59"/>
        <v>5</v>
      </c>
      <c r="AE576" s="2">
        <f t="shared" ca="1" si="60"/>
        <v>-204.9262716435187</v>
      </c>
      <c r="AF576" s="15"/>
    </row>
    <row r="577" spans="1:32">
      <c r="A577" s="1">
        <v>8812533</v>
      </c>
      <c r="B577" s="1" t="s">
        <v>101</v>
      </c>
      <c r="C577" t="s">
        <v>1134</v>
      </c>
      <c r="E577" s="2">
        <v>9700000206001</v>
      </c>
      <c r="F577" s="1" t="s">
        <v>29</v>
      </c>
      <c r="G577" s="1" t="s">
        <v>53</v>
      </c>
      <c r="H577" s="1" t="s">
        <v>209</v>
      </c>
      <c r="I577" s="1" t="s">
        <v>210</v>
      </c>
      <c r="J577" s="1" t="s">
        <v>211</v>
      </c>
      <c r="K577" t="s">
        <v>34</v>
      </c>
      <c r="M577" s="1" t="s">
        <v>35</v>
      </c>
      <c r="N577" s="1">
        <v>42318949</v>
      </c>
      <c r="O577" s="1" t="s">
        <v>105</v>
      </c>
      <c r="P577" s="11" t="s">
        <v>1137</v>
      </c>
      <c r="R577" s="1" t="s">
        <v>38</v>
      </c>
      <c r="T577" s="1" t="s">
        <v>74</v>
      </c>
      <c r="U577" s="11" t="s">
        <v>1136</v>
      </c>
      <c r="V577" s="1" t="s">
        <v>41</v>
      </c>
      <c r="W577" s="1" t="s">
        <v>49</v>
      </c>
      <c r="X577" s="13" t="str">
        <f t="shared" si="61"/>
        <v/>
      </c>
      <c r="Y577" s="2">
        <f t="shared" ca="1" si="56"/>
        <v>148</v>
      </c>
      <c r="Z577" s="14">
        <v>1</v>
      </c>
      <c r="AA577" s="1" t="str">
        <f t="shared" ca="1" si="57"/>
        <v>VENCIDO</v>
      </c>
      <c r="AB577" s="1" t="str">
        <f t="shared" si="58"/>
        <v>Dosa</v>
      </c>
      <c r="AC577" s="2" t="str">
        <f t="shared" si="62"/>
        <v xml:space="preserve"> RINALDO </v>
      </c>
      <c r="AD577" s="2">
        <f t="shared" si="59"/>
        <v>5</v>
      </c>
      <c r="AE577" s="2">
        <f t="shared" ca="1" si="60"/>
        <v>-204.9262716435187</v>
      </c>
      <c r="AF577" s="15"/>
    </row>
    <row r="578" spans="1:32">
      <c r="A578" s="1">
        <v>8812532</v>
      </c>
      <c r="B578" s="1" t="s">
        <v>101</v>
      </c>
      <c r="C578" t="s">
        <v>1134</v>
      </c>
      <c r="E578" s="2">
        <v>9700000206001</v>
      </c>
      <c r="F578" s="1" t="s">
        <v>29</v>
      </c>
      <c r="G578" s="1" t="s">
        <v>53</v>
      </c>
      <c r="H578" s="1" t="s">
        <v>209</v>
      </c>
      <c r="I578" s="1" t="s">
        <v>210</v>
      </c>
      <c r="J578" s="1" t="s">
        <v>211</v>
      </c>
      <c r="K578" t="s">
        <v>34</v>
      </c>
      <c r="M578" s="1" t="s">
        <v>35</v>
      </c>
      <c r="N578" s="1">
        <v>42318949</v>
      </c>
      <c r="O578" s="1" t="s">
        <v>105</v>
      </c>
      <c r="P578" s="11" t="s">
        <v>1137</v>
      </c>
      <c r="R578" s="1" t="s">
        <v>38</v>
      </c>
      <c r="T578" s="1" t="s">
        <v>74</v>
      </c>
      <c r="U578" s="11" t="s">
        <v>1136</v>
      </c>
      <c r="V578" s="1" t="s">
        <v>41</v>
      </c>
      <c r="W578" s="1" t="s">
        <v>49</v>
      </c>
      <c r="X578" s="13" t="str">
        <f t="shared" si="61"/>
        <v/>
      </c>
      <c r="Y578" s="2">
        <f t="shared" ref="Y578:Y641" ca="1" si="63">NETWORKDAYS(P578,$Y$1)</f>
        <v>148</v>
      </c>
      <c r="Z578" s="14">
        <v>1</v>
      </c>
      <c r="AA578" s="1" t="str">
        <f t="shared" ref="AA578:AA641" ca="1" si="64">IF(AE578=0,"HOJE",IF(AE578&gt;0,"A VENCER",IF(AE578&lt;0,"VENCIDO")))</f>
        <v>VENCIDO</v>
      </c>
      <c r="AB578" s="1" t="str">
        <f t="shared" ref="AB578:AB641" si="65">IF(F578="GRPE-000001","C-14",IF(F578="GRPE-000002","C-14",IF(F578="GRPE-000003","C-14",IF(F578="GRPE-000004","SL-On",IF(F578="GRPE-000038","C-14",IF(F578="GRPE-900022","Dosa",IF(F578="GRPE-000029","Dosa",IF(F578="ATOS-000222","Dose","TAAe+"))))))))</f>
        <v>Dosa</v>
      </c>
      <c r="AC578" s="2" t="str">
        <f t="shared" si="62"/>
        <v xml:space="preserve"> RINALDO </v>
      </c>
      <c r="AD578" s="2">
        <f t="shared" ref="AD578:AD641" si="66">IF(F578="GRPE-000001",5,IF(F578="GRPE-000002",5,IF(F578="GRPE-000003",15,IF(F578="GRPE-000004",1,IF(F578="GRPE-000038",5,IF(F578="GRPE-900022",5,IF(F578="GRPE-000029",5,IF(F578="ATOS-000222",5,8))))))))</f>
        <v>5</v>
      </c>
      <c r="AE578" s="2">
        <f t="shared" ref="AE578:AE641" ca="1" si="67">IF(U578=$AE$1,"",U578-$AE$1)</f>
        <v>-204.9262716435187</v>
      </c>
      <c r="AF578" s="15"/>
    </row>
    <row r="579" spans="1:32" hidden="1">
      <c r="A579" s="1">
        <v>8811822</v>
      </c>
      <c r="B579" s="1" t="s">
        <v>101</v>
      </c>
      <c r="C579" t="s">
        <v>1134</v>
      </c>
      <c r="E579" s="2">
        <v>4637000206001</v>
      </c>
      <c r="F579" s="1" t="s">
        <v>29</v>
      </c>
      <c r="G579" s="1" t="s">
        <v>53</v>
      </c>
      <c r="H579" s="1" t="s">
        <v>848</v>
      </c>
      <c r="I579" s="1" t="s">
        <v>849</v>
      </c>
      <c r="J579" s="1" t="s">
        <v>79</v>
      </c>
      <c r="K579" t="s">
        <v>34</v>
      </c>
      <c r="M579" s="1" t="s">
        <v>35</v>
      </c>
      <c r="N579" s="1">
        <v>42318949</v>
      </c>
      <c r="O579" s="1" t="s">
        <v>105</v>
      </c>
      <c r="P579" s="11" t="s">
        <v>1138</v>
      </c>
      <c r="R579" s="1" t="s">
        <v>38</v>
      </c>
      <c r="T579" s="1" t="s">
        <v>74</v>
      </c>
      <c r="U579" s="11" t="s">
        <v>1136</v>
      </c>
      <c r="V579" s="1" t="s">
        <v>41</v>
      </c>
      <c r="W579" s="1" t="s">
        <v>49</v>
      </c>
      <c r="X579" s="13" t="str">
        <f t="shared" ref="X579:X642" si="68">IF(RIGHT(H579,2)&lt;&gt;"00",H579,"")</f>
        <v/>
      </c>
      <c r="Y579" s="2">
        <f t="shared" ca="1" si="63"/>
        <v>148</v>
      </c>
      <c r="Z579" s="14">
        <v>1</v>
      </c>
      <c r="AA579" s="1" t="str">
        <f t="shared" ca="1" si="64"/>
        <v>VENCIDO</v>
      </c>
      <c r="AB579" s="1" t="str">
        <f t="shared" si="65"/>
        <v>Dosa</v>
      </c>
      <c r="AC579" s="2" t="str">
        <f t="shared" ref="AC579:AC642" si="6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 xml:space="preserve"> ROSEMERE </v>
      </c>
      <c r="AD579" s="2">
        <f t="shared" si="66"/>
        <v>5</v>
      </c>
      <c r="AE579" s="2">
        <f t="shared" ca="1" si="67"/>
        <v>-204.9262716435187</v>
      </c>
      <c r="AF579" s="15"/>
    </row>
    <row r="580" spans="1:32">
      <c r="A580" s="1">
        <v>8811127</v>
      </c>
      <c r="B580" s="1" t="s">
        <v>101</v>
      </c>
      <c r="C580" t="s">
        <v>1134</v>
      </c>
      <c r="E580" s="2">
        <v>2437000206001</v>
      </c>
      <c r="F580" s="1" t="s">
        <v>29</v>
      </c>
      <c r="G580" s="1" t="s">
        <v>53</v>
      </c>
      <c r="H580" s="1" t="s">
        <v>416</v>
      </c>
      <c r="I580" s="1" t="s">
        <v>417</v>
      </c>
      <c r="J580" s="1" t="s">
        <v>211</v>
      </c>
      <c r="K580" t="s">
        <v>34</v>
      </c>
      <c r="M580" s="1" t="s">
        <v>35</v>
      </c>
      <c r="N580" s="1">
        <v>42318949</v>
      </c>
      <c r="O580" s="1" t="s">
        <v>105</v>
      </c>
      <c r="P580" s="11" t="s">
        <v>1139</v>
      </c>
      <c r="R580" s="1" t="s">
        <v>38</v>
      </c>
      <c r="T580" s="1" t="s">
        <v>74</v>
      </c>
      <c r="U580" s="11" t="s">
        <v>1136</v>
      </c>
      <c r="V580" s="1" t="s">
        <v>41</v>
      </c>
      <c r="W580" s="1" t="s">
        <v>49</v>
      </c>
      <c r="X580" s="13" t="str">
        <f t="shared" si="68"/>
        <v/>
      </c>
      <c r="Y580" s="2">
        <f t="shared" ca="1" si="63"/>
        <v>148</v>
      </c>
      <c r="Z580" s="14">
        <v>1</v>
      </c>
      <c r="AA580" s="1" t="str">
        <f t="shared" ca="1" si="64"/>
        <v>VENCIDO</v>
      </c>
      <c r="AB580" s="1" t="str">
        <f t="shared" si="65"/>
        <v>Dosa</v>
      </c>
      <c r="AC580" s="2" t="str">
        <f t="shared" si="69"/>
        <v xml:space="preserve"> RINALDO </v>
      </c>
      <c r="AD580" s="2">
        <f t="shared" si="66"/>
        <v>5</v>
      </c>
      <c r="AE580" s="2">
        <f t="shared" ca="1" si="67"/>
        <v>-204.9262716435187</v>
      </c>
      <c r="AF580" s="15"/>
    </row>
    <row r="581" spans="1:32">
      <c r="A581" s="1">
        <v>8811126</v>
      </c>
      <c r="B581" s="1" t="s">
        <v>101</v>
      </c>
      <c r="C581" t="s">
        <v>1134</v>
      </c>
      <c r="E581" s="2">
        <v>2437000206001</v>
      </c>
      <c r="F581" s="1" t="s">
        <v>29</v>
      </c>
      <c r="G581" s="1" t="s">
        <v>53</v>
      </c>
      <c r="H581" s="1" t="s">
        <v>416</v>
      </c>
      <c r="I581" s="1" t="s">
        <v>417</v>
      </c>
      <c r="J581" s="1" t="s">
        <v>211</v>
      </c>
      <c r="K581" t="s">
        <v>34</v>
      </c>
      <c r="M581" s="1" t="s">
        <v>35</v>
      </c>
      <c r="N581" s="1">
        <v>42318949</v>
      </c>
      <c r="O581" s="1" t="s">
        <v>105</v>
      </c>
      <c r="P581" s="11" t="s">
        <v>1139</v>
      </c>
      <c r="R581" s="1" t="s">
        <v>38</v>
      </c>
      <c r="T581" s="1" t="s">
        <v>74</v>
      </c>
      <c r="U581" s="11" t="s">
        <v>1136</v>
      </c>
      <c r="V581" s="1" t="s">
        <v>41</v>
      </c>
      <c r="W581" s="1" t="s">
        <v>49</v>
      </c>
      <c r="X581" s="13" t="str">
        <f t="shared" si="68"/>
        <v/>
      </c>
      <c r="Y581" s="2">
        <f t="shared" ca="1" si="63"/>
        <v>148</v>
      </c>
      <c r="Z581" s="14">
        <v>1</v>
      </c>
      <c r="AA581" s="1" t="str">
        <f t="shared" ca="1" si="64"/>
        <v>VENCIDO</v>
      </c>
      <c r="AB581" s="1" t="str">
        <f t="shared" si="65"/>
        <v>Dosa</v>
      </c>
      <c r="AC581" s="2" t="str">
        <f t="shared" si="69"/>
        <v xml:space="preserve"> RINALDO </v>
      </c>
      <c r="AD581" s="2">
        <f t="shared" si="66"/>
        <v>5</v>
      </c>
      <c r="AE581" s="2">
        <f t="shared" ca="1" si="67"/>
        <v>-204.9262716435187</v>
      </c>
      <c r="AF581" s="15"/>
    </row>
    <row r="582" spans="1:32">
      <c r="A582" s="1">
        <v>8811125</v>
      </c>
      <c r="B582" s="1" t="s">
        <v>101</v>
      </c>
      <c r="C582" t="s">
        <v>1134</v>
      </c>
      <c r="E582" s="2">
        <v>2437000206001</v>
      </c>
      <c r="F582" s="1" t="s">
        <v>29</v>
      </c>
      <c r="G582" s="1" t="s">
        <v>53</v>
      </c>
      <c r="H582" s="1" t="s">
        <v>416</v>
      </c>
      <c r="I582" s="1" t="s">
        <v>417</v>
      </c>
      <c r="J582" s="1" t="s">
        <v>211</v>
      </c>
      <c r="K582" t="s">
        <v>34</v>
      </c>
      <c r="M582" s="1" t="s">
        <v>35</v>
      </c>
      <c r="N582" s="1">
        <v>42318949</v>
      </c>
      <c r="O582" s="1" t="s">
        <v>105</v>
      </c>
      <c r="P582" s="11" t="s">
        <v>1139</v>
      </c>
      <c r="R582" s="1" t="s">
        <v>38</v>
      </c>
      <c r="T582" s="1" t="s">
        <v>74</v>
      </c>
      <c r="U582" s="11" t="s">
        <v>1136</v>
      </c>
      <c r="V582" s="1" t="s">
        <v>41</v>
      </c>
      <c r="W582" s="1" t="s">
        <v>49</v>
      </c>
      <c r="X582" s="13" t="str">
        <f t="shared" si="68"/>
        <v/>
      </c>
      <c r="Y582" s="2">
        <f t="shared" ca="1" si="63"/>
        <v>148</v>
      </c>
      <c r="Z582" s="14">
        <v>1</v>
      </c>
      <c r="AA582" s="1" t="str">
        <f t="shared" ca="1" si="64"/>
        <v>VENCIDO</v>
      </c>
      <c r="AB582" s="1" t="str">
        <f t="shared" si="65"/>
        <v>Dosa</v>
      </c>
      <c r="AC582" s="2" t="str">
        <f t="shared" si="69"/>
        <v xml:space="preserve"> RINALDO </v>
      </c>
      <c r="AD582" s="2">
        <f t="shared" si="66"/>
        <v>5</v>
      </c>
      <c r="AE582" s="2">
        <f t="shared" ca="1" si="67"/>
        <v>-204.9262716435187</v>
      </c>
      <c r="AF582" s="15"/>
    </row>
    <row r="583" spans="1:32" hidden="1">
      <c r="A583" s="1">
        <v>8810874</v>
      </c>
      <c r="B583" s="1" t="s">
        <v>101</v>
      </c>
      <c r="C583" t="s">
        <v>1134</v>
      </c>
      <c r="E583" s="2">
        <v>1739000206001</v>
      </c>
      <c r="F583" s="2" t="s">
        <v>29</v>
      </c>
      <c r="G583" s="1" t="s">
        <v>53</v>
      </c>
      <c r="H583" s="1" t="s">
        <v>162</v>
      </c>
      <c r="I583" s="1" t="s">
        <v>163</v>
      </c>
      <c r="J583" s="1" t="s">
        <v>164</v>
      </c>
      <c r="K583" s="1" t="s">
        <v>34</v>
      </c>
      <c r="M583" s="1" t="s">
        <v>35</v>
      </c>
      <c r="N583" s="1">
        <v>42318949</v>
      </c>
      <c r="O583" s="1" t="s">
        <v>105</v>
      </c>
      <c r="P583" s="11" t="s">
        <v>1140</v>
      </c>
      <c r="R583" s="1" t="s">
        <v>38</v>
      </c>
      <c r="T583" s="1" t="s">
        <v>74</v>
      </c>
      <c r="U583" s="11" t="s">
        <v>1136</v>
      </c>
      <c r="V583" s="1" t="s">
        <v>41</v>
      </c>
      <c r="W583" s="1" t="s">
        <v>49</v>
      </c>
      <c r="X583" s="13" t="str">
        <f t="shared" si="68"/>
        <v/>
      </c>
      <c r="Y583" s="2">
        <f t="shared" ca="1" si="63"/>
        <v>148</v>
      </c>
      <c r="Z583" s="14">
        <v>1</v>
      </c>
      <c r="AA583" s="1" t="str">
        <f t="shared" ca="1" si="64"/>
        <v>VENCIDO</v>
      </c>
      <c r="AB583" s="1" t="str">
        <f t="shared" si="65"/>
        <v>Dosa</v>
      </c>
      <c r="AC583" s="2" t="str">
        <f t="shared" si="69"/>
        <v xml:space="preserve"> ROSEMERE </v>
      </c>
      <c r="AD583" s="2">
        <f t="shared" si="66"/>
        <v>5</v>
      </c>
      <c r="AE583" s="2">
        <f t="shared" ca="1" si="67"/>
        <v>-204.9262716435187</v>
      </c>
      <c r="AF583" s="15"/>
    </row>
    <row r="584" spans="1:32" hidden="1">
      <c r="A584" s="1">
        <v>8810866</v>
      </c>
      <c r="B584" s="1" t="s">
        <v>101</v>
      </c>
      <c r="C584" t="s">
        <v>1134</v>
      </c>
      <c r="E584" s="2">
        <v>1732000206001</v>
      </c>
      <c r="F584" s="1" t="s">
        <v>29</v>
      </c>
      <c r="G584" s="1" t="s">
        <v>53</v>
      </c>
      <c r="H584" s="1" t="s">
        <v>177</v>
      </c>
      <c r="I584" s="1" t="s">
        <v>178</v>
      </c>
      <c r="J584" s="1" t="s">
        <v>164</v>
      </c>
      <c r="K584" t="s">
        <v>34</v>
      </c>
      <c r="M584" s="1" t="s">
        <v>35</v>
      </c>
      <c r="N584" s="1">
        <v>42318949</v>
      </c>
      <c r="O584" s="1" t="s">
        <v>105</v>
      </c>
      <c r="P584" s="11" t="s">
        <v>1141</v>
      </c>
      <c r="R584" s="1" t="s">
        <v>38</v>
      </c>
      <c r="T584" s="1" t="s">
        <v>74</v>
      </c>
      <c r="U584" s="11" t="s">
        <v>1136</v>
      </c>
      <c r="V584" s="1" t="s">
        <v>41</v>
      </c>
      <c r="W584" s="1" t="s">
        <v>49</v>
      </c>
      <c r="X584" s="13" t="str">
        <f t="shared" si="68"/>
        <v/>
      </c>
      <c r="Y584" s="2">
        <f t="shared" ca="1" si="63"/>
        <v>148</v>
      </c>
      <c r="Z584" s="14">
        <v>1</v>
      </c>
      <c r="AA584" s="1" t="str">
        <f t="shared" ca="1" si="64"/>
        <v>VENCIDO</v>
      </c>
      <c r="AB584" s="1" t="str">
        <f t="shared" si="65"/>
        <v>Dosa</v>
      </c>
      <c r="AC584" s="2" t="str">
        <f t="shared" si="69"/>
        <v xml:space="preserve"> ROSEMERE </v>
      </c>
      <c r="AD584" s="2">
        <f t="shared" si="66"/>
        <v>5</v>
      </c>
      <c r="AE584" s="2">
        <f t="shared" ca="1" si="67"/>
        <v>-204.9262716435187</v>
      </c>
      <c r="AF584" s="15"/>
    </row>
    <row r="585" spans="1:32" hidden="1">
      <c r="A585" s="1">
        <v>8810674</v>
      </c>
      <c r="B585" s="1" t="s">
        <v>101</v>
      </c>
      <c r="C585" t="s">
        <v>1134</v>
      </c>
      <c r="E585" s="2">
        <v>1363000206001</v>
      </c>
      <c r="F585" s="1" t="s">
        <v>29</v>
      </c>
      <c r="G585" s="1" t="s">
        <v>53</v>
      </c>
      <c r="H585" s="1" t="s">
        <v>108</v>
      </c>
      <c r="I585" s="1" t="s">
        <v>109</v>
      </c>
      <c r="J585" s="1" t="s">
        <v>110</v>
      </c>
      <c r="K585" t="s">
        <v>34</v>
      </c>
      <c r="M585" s="1" t="s">
        <v>35</v>
      </c>
      <c r="N585" s="1">
        <v>42318949</v>
      </c>
      <c r="O585" s="1" t="s">
        <v>36</v>
      </c>
      <c r="P585" s="11" t="s">
        <v>1142</v>
      </c>
      <c r="R585" s="1" t="s">
        <v>38</v>
      </c>
      <c r="T585" s="1" t="s">
        <v>74</v>
      </c>
      <c r="U585" s="11" t="s">
        <v>1136</v>
      </c>
      <c r="V585" s="1" t="s">
        <v>41</v>
      </c>
      <c r="W585" s="1" t="s">
        <v>49</v>
      </c>
      <c r="X585" s="13" t="str">
        <f t="shared" si="68"/>
        <v/>
      </c>
      <c r="Y585" s="2">
        <f t="shared" ca="1" si="63"/>
        <v>148</v>
      </c>
      <c r="Z585" s="14">
        <v>1</v>
      </c>
      <c r="AA585" s="1" t="str">
        <f t="shared" ca="1" si="64"/>
        <v>VENCIDO</v>
      </c>
      <c r="AB585" s="1" t="str">
        <f t="shared" si="65"/>
        <v>Dosa</v>
      </c>
      <c r="AC585" s="2" t="str">
        <f t="shared" si="69"/>
        <v xml:space="preserve"> CRISTINA </v>
      </c>
      <c r="AD585" s="2">
        <f t="shared" si="66"/>
        <v>5</v>
      </c>
      <c r="AE585" s="2">
        <f t="shared" ca="1" si="67"/>
        <v>-204.9262716435187</v>
      </c>
      <c r="AF585" s="15"/>
    </row>
    <row r="586" spans="1:32" hidden="1">
      <c r="A586" s="1">
        <v>8810582</v>
      </c>
      <c r="B586" s="1" t="s">
        <v>101</v>
      </c>
      <c r="C586" t="s">
        <v>1134</v>
      </c>
      <c r="E586" s="2">
        <v>1153000206001</v>
      </c>
      <c r="F586" s="1" t="s">
        <v>29</v>
      </c>
      <c r="G586" s="1" t="s">
        <v>53</v>
      </c>
      <c r="H586" s="1" t="s">
        <v>1031</v>
      </c>
      <c r="I586" s="1" t="s">
        <v>1032</v>
      </c>
      <c r="J586" s="1" t="s">
        <v>79</v>
      </c>
      <c r="K586" t="s">
        <v>34</v>
      </c>
      <c r="M586" s="1" t="s">
        <v>35</v>
      </c>
      <c r="N586" s="1">
        <v>42318949</v>
      </c>
      <c r="O586" s="1" t="s">
        <v>36</v>
      </c>
      <c r="P586" s="11" t="s">
        <v>1143</v>
      </c>
      <c r="R586" s="1" t="s">
        <v>38</v>
      </c>
      <c r="T586" s="1" t="s">
        <v>74</v>
      </c>
      <c r="U586" s="11" t="s">
        <v>1136</v>
      </c>
      <c r="V586" s="1" t="s">
        <v>41</v>
      </c>
      <c r="W586" s="1" t="s">
        <v>49</v>
      </c>
      <c r="X586" s="13" t="str">
        <f t="shared" si="68"/>
        <v/>
      </c>
      <c r="Y586" s="2">
        <f t="shared" ca="1" si="63"/>
        <v>148</v>
      </c>
      <c r="Z586" s="14">
        <v>1</v>
      </c>
      <c r="AA586" s="1" t="str">
        <f t="shared" ca="1" si="64"/>
        <v>VENCIDO</v>
      </c>
      <c r="AB586" s="1" t="str">
        <f t="shared" si="65"/>
        <v>Dosa</v>
      </c>
      <c r="AC586" s="2" t="str">
        <f t="shared" si="69"/>
        <v xml:space="preserve"> ROSEMERE </v>
      </c>
      <c r="AD586" s="2">
        <f t="shared" si="66"/>
        <v>5</v>
      </c>
      <c r="AE586" s="2">
        <f t="shared" ca="1" si="67"/>
        <v>-204.9262716435187</v>
      </c>
      <c r="AF586" s="15"/>
    </row>
    <row r="587" spans="1:32" hidden="1">
      <c r="A587" s="1">
        <v>8810573</v>
      </c>
      <c r="B587" s="1" t="s">
        <v>101</v>
      </c>
      <c r="C587" t="s">
        <v>1134</v>
      </c>
      <c r="E587" s="2">
        <v>1120000206001</v>
      </c>
      <c r="F587" s="1" t="s">
        <v>29</v>
      </c>
      <c r="G587" s="1" t="s">
        <v>53</v>
      </c>
      <c r="H587" s="1" t="s">
        <v>181</v>
      </c>
      <c r="I587" s="1" t="s">
        <v>182</v>
      </c>
      <c r="J587" s="1" t="s">
        <v>164</v>
      </c>
      <c r="K587" t="s">
        <v>34</v>
      </c>
      <c r="M587" s="1" t="s">
        <v>35</v>
      </c>
      <c r="N587" s="1">
        <v>42318949</v>
      </c>
      <c r="O587" s="1" t="s">
        <v>36</v>
      </c>
      <c r="P587" s="11" t="s">
        <v>1144</v>
      </c>
      <c r="R587" s="1" t="s">
        <v>38</v>
      </c>
      <c r="T587" s="1" t="s">
        <v>74</v>
      </c>
      <c r="U587" s="11" t="s">
        <v>1136</v>
      </c>
      <c r="V587" s="1" t="s">
        <v>41</v>
      </c>
      <c r="W587" s="1" t="s">
        <v>49</v>
      </c>
      <c r="X587" s="13" t="str">
        <f t="shared" si="68"/>
        <v/>
      </c>
      <c r="Y587" s="2">
        <f t="shared" ca="1" si="63"/>
        <v>148</v>
      </c>
      <c r="Z587" s="14">
        <v>1</v>
      </c>
      <c r="AA587" s="1" t="str">
        <f t="shared" ca="1" si="64"/>
        <v>VENCIDO</v>
      </c>
      <c r="AB587" s="1" t="str">
        <f t="shared" si="65"/>
        <v>Dosa</v>
      </c>
      <c r="AC587" s="2" t="str">
        <f t="shared" si="69"/>
        <v xml:space="preserve"> ROSEMERE </v>
      </c>
      <c r="AD587" s="2">
        <f t="shared" si="66"/>
        <v>5</v>
      </c>
      <c r="AE587" s="2">
        <f t="shared" ca="1" si="67"/>
        <v>-204.9262716435187</v>
      </c>
      <c r="AF587" s="15"/>
    </row>
    <row r="588" spans="1:32" hidden="1">
      <c r="A588" s="1">
        <v>8810572</v>
      </c>
      <c r="B588" s="1" t="s">
        <v>101</v>
      </c>
      <c r="C588" t="s">
        <v>1134</v>
      </c>
      <c r="E588" s="2">
        <v>1120000206001</v>
      </c>
      <c r="F588" s="1" t="s">
        <v>29</v>
      </c>
      <c r="G588" s="1" t="s">
        <v>53</v>
      </c>
      <c r="H588" s="1" t="s">
        <v>181</v>
      </c>
      <c r="I588" s="1" t="s">
        <v>182</v>
      </c>
      <c r="J588" s="1" t="s">
        <v>164</v>
      </c>
      <c r="K588" t="s">
        <v>34</v>
      </c>
      <c r="M588" s="1" t="s">
        <v>35</v>
      </c>
      <c r="N588" s="1">
        <v>42318949</v>
      </c>
      <c r="O588" s="1" t="s">
        <v>105</v>
      </c>
      <c r="P588" s="11" t="s">
        <v>1145</v>
      </c>
      <c r="R588" s="1" t="s">
        <v>38</v>
      </c>
      <c r="T588" s="1" t="s">
        <v>74</v>
      </c>
      <c r="U588" s="11" t="s">
        <v>1136</v>
      </c>
      <c r="V588" s="1" t="s">
        <v>41</v>
      </c>
      <c r="W588" s="1" t="s">
        <v>49</v>
      </c>
      <c r="X588" s="13" t="str">
        <f t="shared" si="68"/>
        <v/>
      </c>
      <c r="Y588" s="2">
        <f t="shared" ca="1" si="63"/>
        <v>148</v>
      </c>
      <c r="Z588" s="14">
        <v>1</v>
      </c>
      <c r="AA588" s="1" t="str">
        <f t="shared" ca="1" si="64"/>
        <v>VENCIDO</v>
      </c>
      <c r="AB588" s="1" t="str">
        <f t="shared" si="65"/>
        <v>Dosa</v>
      </c>
      <c r="AC588" s="2" t="str">
        <f t="shared" si="69"/>
        <v xml:space="preserve"> ROSEMERE </v>
      </c>
      <c r="AD588" s="2">
        <f t="shared" si="66"/>
        <v>5</v>
      </c>
      <c r="AE588" s="2">
        <f t="shared" ca="1" si="67"/>
        <v>-204.9262716435187</v>
      </c>
      <c r="AF588" s="15"/>
    </row>
    <row r="589" spans="1:32">
      <c r="A589" s="1">
        <v>8810531</v>
      </c>
      <c r="B589" s="1" t="s">
        <v>101</v>
      </c>
      <c r="C589" t="s">
        <v>1134</v>
      </c>
      <c r="E589" s="2">
        <v>1060000206001</v>
      </c>
      <c r="F589" s="1" t="s">
        <v>29</v>
      </c>
      <c r="G589" s="1" t="s">
        <v>53</v>
      </c>
      <c r="H589" s="1" t="s">
        <v>284</v>
      </c>
      <c r="I589" s="1" t="s">
        <v>285</v>
      </c>
      <c r="J589" s="1" t="s">
        <v>148</v>
      </c>
      <c r="K589" t="s">
        <v>34</v>
      </c>
      <c r="M589" s="1" t="s">
        <v>35</v>
      </c>
      <c r="N589" s="1">
        <v>42318949</v>
      </c>
      <c r="O589" s="1" t="s">
        <v>105</v>
      </c>
      <c r="P589" s="11" t="s">
        <v>1146</v>
      </c>
      <c r="R589" s="1" t="s">
        <v>38</v>
      </c>
      <c r="T589" s="1" t="s">
        <v>74</v>
      </c>
      <c r="U589" s="11" t="s">
        <v>1136</v>
      </c>
      <c r="V589" s="1" t="s">
        <v>41</v>
      </c>
      <c r="W589" s="1" t="s">
        <v>49</v>
      </c>
      <c r="X589" s="13" t="str">
        <f t="shared" si="68"/>
        <v/>
      </c>
      <c r="Y589" s="2">
        <f t="shared" ca="1" si="63"/>
        <v>148</v>
      </c>
      <c r="Z589" s="14">
        <v>1</v>
      </c>
      <c r="AA589" s="1" t="str">
        <f t="shared" ca="1" si="64"/>
        <v>VENCIDO</v>
      </c>
      <c r="AB589" s="1" t="str">
        <f t="shared" si="65"/>
        <v>Dosa</v>
      </c>
      <c r="AC589" s="2" t="str">
        <f t="shared" si="69"/>
        <v xml:space="preserve"> RINALDO </v>
      </c>
      <c r="AD589" s="2">
        <f t="shared" si="66"/>
        <v>5</v>
      </c>
      <c r="AE589" s="2">
        <f t="shared" ca="1" si="67"/>
        <v>-204.9262716435187</v>
      </c>
      <c r="AF589" s="15"/>
    </row>
    <row r="590" spans="1:32">
      <c r="A590" s="1">
        <v>8810530</v>
      </c>
      <c r="B590" s="1" t="s">
        <v>101</v>
      </c>
      <c r="C590" t="s">
        <v>1134</v>
      </c>
      <c r="E590" s="2">
        <v>1059000206001</v>
      </c>
      <c r="F590" s="1" t="s">
        <v>29</v>
      </c>
      <c r="G590" s="1" t="s">
        <v>53</v>
      </c>
      <c r="H590" s="1" t="s">
        <v>88</v>
      </c>
      <c r="I590" s="1" t="s">
        <v>89</v>
      </c>
      <c r="J590" s="1" t="s">
        <v>90</v>
      </c>
      <c r="K590" t="s">
        <v>34</v>
      </c>
      <c r="M590" s="1" t="s">
        <v>35</v>
      </c>
      <c r="N590" s="1">
        <v>42318949</v>
      </c>
      <c r="O590" s="1" t="s">
        <v>105</v>
      </c>
      <c r="P590" s="11" t="s">
        <v>1146</v>
      </c>
      <c r="R590" s="1" t="s">
        <v>38</v>
      </c>
      <c r="T590" s="1" t="s">
        <v>74</v>
      </c>
      <c r="U590" s="11" t="s">
        <v>1136</v>
      </c>
      <c r="V590" s="1" t="s">
        <v>41</v>
      </c>
      <c r="W590" s="1" t="s">
        <v>49</v>
      </c>
      <c r="X590" s="13" t="str">
        <f t="shared" si="68"/>
        <v/>
      </c>
      <c r="Y590" s="2">
        <f t="shared" ca="1" si="63"/>
        <v>148</v>
      </c>
      <c r="Z590" s="14">
        <v>1</v>
      </c>
      <c r="AA590" s="1" t="str">
        <f t="shared" ca="1" si="64"/>
        <v>VENCIDO</v>
      </c>
      <c r="AB590" s="1" t="str">
        <f t="shared" si="65"/>
        <v>Dosa</v>
      </c>
      <c r="AC590" s="2" t="str">
        <f t="shared" si="69"/>
        <v xml:space="preserve"> RINALDO </v>
      </c>
      <c r="AD590" s="2">
        <f t="shared" si="66"/>
        <v>5</v>
      </c>
      <c r="AE590" s="2">
        <f t="shared" ca="1" si="67"/>
        <v>-204.9262716435187</v>
      </c>
      <c r="AF590" s="15"/>
    </row>
    <row r="591" spans="1:32" hidden="1">
      <c r="A591" s="1">
        <v>8810529</v>
      </c>
      <c r="B591" s="1" t="s">
        <v>101</v>
      </c>
      <c r="C591" t="s">
        <v>1134</v>
      </c>
      <c r="E591" s="2">
        <v>1058000206001</v>
      </c>
      <c r="F591" s="1" t="s">
        <v>29</v>
      </c>
      <c r="G591" s="1" t="s">
        <v>53</v>
      </c>
      <c r="H591" s="1" t="s">
        <v>289</v>
      </c>
      <c r="I591" s="1" t="s">
        <v>290</v>
      </c>
      <c r="J591" s="1" t="s">
        <v>56</v>
      </c>
      <c r="K591" t="s">
        <v>34</v>
      </c>
      <c r="M591" s="1" t="s">
        <v>35</v>
      </c>
      <c r="N591" s="1">
        <v>42318949</v>
      </c>
      <c r="O591" s="1" t="s">
        <v>105</v>
      </c>
      <c r="P591" s="11" t="s">
        <v>1146</v>
      </c>
      <c r="R591" s="1" t="s">
        <v>38</v>
      </c>
      <c r="T591" s="1" t="s">
        <v>74</v>
      </c>
      <c r="U591" s="11" t="s">
        <v>1136</v>
      </c>
      <c r="V591" s="1" t="s">
        <v>41</v>
      </c>
      <c r="W591" s="1" t="s">
        <v>49</v>
      </c>
      <c r="X591" s="13" t="str">
        <f t="shared" si="68"/>
        <v/>
      </c>
      <c r="Y591" s="2">
        <f t="shared" ca="1" si="63"/>
        <v>148</v>
      </c>
      <c r="Z591" s="14">
        <v>1</v>
      </c>
      <c r="AA591" s="1" t="str">
        <f t="shared" ca="1" si="64"/>
        <v>VENCIDO</v>
      </c>
      <c r="AB591" s="1" t="str">
        <f t="shared" si="65"/>
        <v>Dosa</v>
      </c>
      <c r="AC591" s="2" t="str">
        <f t="shared" si="69"/>
        <v xml:space="preserve"> CRISTINA </v>
      </c>
      <c r="AD591" s="2">
        <f t="shared" si="66"/>
        <v>5</v>
      </c>
      <c r="AE591" s="2">
        <f t="shared" ca="1" si="67"/>
        <v>-204.9262716435187</v>
      </c>
      <c r="AF591" s="15"/>
    </row>
    <row r="592" spans="1:32" hidden="1">
      <c r="A592" s="1">
        <v>8810528</v>
      </c>
      <c r="B592" s="1" t="s">
        <v>101</v>
      </c>
      <c r="C592" t="s">
        <v>1134</v>
      </c>
      <c r="E592" s="2">
        <v>1058000206001</v>
      </c>
      <c r="F592" s="1" t="s">
        <v>29</v>
      </c>
      <c r="G592" s="1" t="s">
        <v>53</v>
      </c>
      <c r="H592" s="1" t="s">
        <v>289</v>
      </c>
      <c r="I592" s="1" t="s">
        <v>290</v>
      </c>
      <c r="J592" s="1" t="s">
        <v>56</v>
      </c>
      <c r="K592" t="s">
        <v>34</v>
      </c>
      <c r="M592" s="1" t="s">
        <v>35</v>
      </c>
      <c r="N592" s="1">
        <v>42318949</v>
      </c>
      <c r="O592" s="1" t="s">
        <v>105</v>
      </c>
      <c r="P592" s="11" t="s">
        <v>1146</v>
      </c>
      <c r="R592" s="1" t="s">
        <v>38</v>
      </c>
      <c r="T592" s="1" t="s">
        <v>74</v>
      </c>
      <c r="U592" s="11" t="s">
        <v>1136</v>
      </c>
      <c r="V592" s="1" t="s">
        <v>41</v>
      </c>
      <c r="W592" s="1" t="s">
        <v>49</v>
      </c>
      <c r="X592" s="13" t="str">
        <f t="shared" si="68"/>
        <v/>
      </c>
      <c r="Y592" s="2">
        <f t="shared" ca="1" si="63"/>
        <v>148</v>
      </c>
      <c r="Z592" s="14">
        <v>1</v>
      </c>
      <c r="AA592" s="1" t="str">
        <f t="shared" ca="1" si="64"/>
        <v>VENCIDO</v>
      </c>
      <c r="AB592" s="1" t="str">
        <f t="shared" si="65"/>
        <v>Dosa</v>
      </c>
      <c r="AC592" s="2" t="str">
        <f t="shared" si="69"/>
        <v xml:space="preserve"> CRISTINA </v>
      </c>
      <c r="AD592" s="2">
        <f t="shared" si="66"/>
        <v>5</v>
      </c>
      <c r="AE592" s="2">
        <f t="shared" ca="1" si="67"/>
        <v>-204.9262716435187</v>
      </c>
      <c r="AF592" s="15"/>
    </row>
    <row r="593" spans="1:32" hidden="1">
      <c r="A593" s="1">
        <v>8810527</v>
      </c>
      <c r="B593" s="1" t="s">
        <v>101</v>
      </c>
      <c r="C593" t="s">
        <v>1134</v>
      </c>
      <c r="E593" s="2">
        <v>1058000206001</v>
      </c>
      <c r="F593" s="1" t="s">
        <v>29</v>
      </c>
      <c r="G593" s="1" t="s">
        <v>53</v>
      </c>
      <c r="H593" s="1" t="s">
        <v>289</v>
      </c>
      <c r="I593" s="1" t="s">
        <v>290</v>
      </c>
      <c r="J593" s="1" t="s">
        <v>56</v>
      </c>
      <c r="K593" t="s">
        <v>34</v>
      </c>
      <c r="M593" s="1" t="s">
        <v>35</v>
      </c>
      <c r="N593" s="1">
        <v>42318949</v>
      </c>
      <c r="O593" s="1" t="s">
        <v>105</v>
      </c>
      <c r="P593" s="11" t="s">
        <v>1146</v>
      </c>
      <c r="R593" s="1" t="s">
        <v>38</v>
      </c>
      <c r="T593" s="1" t="s">
        <v>74</v>
      </c>
      <c r="U593" s="11" t="s">
        <v>1136</v>
      </c>
      <c r="V593" s="1" t="s">
        <v>41</v>
      </c>
      <c r="W593" s="1" t="s">
        <v>49</v>
      </c>
      <c r="X593" s="13" t="str">
        <f t="shared" si="68"/>
        <v/>
      </c>
      <c r="Y593" s="2">
        <f t="shared" ca="1" si="63"/>
        <v>148</v>
      </c>
      <c r="Z593" s="14">
        <v>1</v>
      </c>
      <c r="AA593" s="1" t="str">
        <f t="shared" ca="1" si="64"/>
        <v>VENCIDO</v>
      </c>
      <c r="AB593" s="1" t="str">
        <f t="shared" si="65"/>
        <v>Dosa</v>
      </c>
      <c r="AC593" s="2" t="str">
        <f t="shared" si="69"/>
        <v xml:space="preserve"> CRISTINA </v>
      </c>
      <c r="AD593" s="2">
        <f t="shared" si="66"/>
        <v>5</v>
      </c>
      <c r="AE593" s="2">
        <f t="shared" ca="1" si="67"/>
        <v>-204.9262716435187</v>
      </c>
      <c r="AF593" s="15"/>
    </row>
    <row r="594" spans="1:32" hidden="1">
      <c r="A594" s="1">
        <v>8810526</v>
      </c>
      <c r="B594" s="1" t="s">
        <v>101</v>
      </c>
      <c r="C594" t="s">
        <v>1134</v>
      </c>
      <c r="E594" s="2">
        <v>1058000206001</v>
      </c>
      <c r="F594" s="1" t="s">
        <v>29</v>
      </c>
      <c r="G594" s="1" t="s">
        <v>53</v>
      </c>
      <c r="H594" s="1" t="s">
        <v>289</v>
      </c>
      <c r="I594" s="1" t="s">
        <v>290</v>
      </c>
      <c r="J594" s="1" t="s">
        <v>56</v>
      </c>
      <c r="K594" t="s">
        <v>34</v>
      </c>
      <c r="M594" s="1" t="s">
        <v>35</v>
      </c>
      <c r="N594" s="1">
        <v>42318949</v>
      </c>
      <c r="O594" s="1" t="s">
        <v>105</v>
      </c>
      <c r="P594" s="11" t="s">
        <v>1146</v>
      </c>
      <c r="R594" s="1" t="s">
        <v>38</v>
      </c>
      <c r="T594" s="1" t="s">
        <v>74</v>
      </c>
      <c r="U594" s="11" t="s">
        <v>1136</v>
      </c>
      <c r="V594" s="1" t="s">
        <v>41</v>
      </c>
      <c r="W594" s="1" t="s">
        <v>49</v>
      </c>
      <c r="X594" s="13" t="str">
        <f t="shared" si="68"/>
        <v/>
      </c>
      <c r="Y594" s="2">
        <f t="shared" ca="1" si="63"/>
        <v>148</v>
      </c>
      <c r="Z594" s="14">
        <v>1</v>
      </c>
      <c r="AA594" s="1" t="str">
        <f t="shared" ca="1" si="64"/>
        <v>VENCIDO</v>
      </c>
      <c r="AB594" s="1" t="str">
        <f t="shared" si="65"/>
        <v>Dosa</v>
      </c>
      <c r="AC594" s="2" t="str">
        <f t="shared" si="69"/>
        <v xml:space="preserve"> CRISTINA </v>
      </c>
      <c r="AD594" s="2">
        <f t="shared" si="66"/>
        <v>5</v>
      </c>
      <c r="AE594" s="2">
        <f t="shared" ca="1" si="67"/>
        <v>-204.9262716435187</v>
      </c>
      <c r="AF594" s="15"/>
    </row>
    <row r="595" spans="1:32" hidden="1">
      <c r="A595" s="1">
        <v>8810525</v>
      </c>
      <c r="B595" s="1" t="s">
        <v>101</v>
      </c>
      <c r="C595" t="s">
        <v>1134</v>
      </c>
      <c r="E595" s="2">
        <v>1058000206001</v>
      </c>
      <c r="F595" s="1" t="s">
        <v>29</v>
      </c>
      <c r="G595" s="1" t="s">
        <v>53</v>
      </c>
      <c r="H595" s="1" t="s">
        <v>289</v>
      </c>
      <c r="I595" s="1" t="s">
        <v>290</v>
      </c>
      <c r="J595" s="1" t="s">
        <v>56</v>
      </c>
      <c r="K595" t="s">
        <v>34</v>
      </c>
      <c r="M595" s="1" t="s">
        <v>35</v>
      </c>
      <c r="N595" s="1">
        <v>42318949</v>
      </c>
      <c r="O595" s="1" t="s">
        <v>105</v>
      </c>
      <c r="P595" s="11" t="s">
        <v>1146</v>
      </c>
      <c r="R595" s="1" t="s">
        <v>38</v>
      </c>
      <c r="T595" s="1" t="s">
        <v>74</v>
      </c>
      <c r="U595" s="11" t="s">
        <v>1136</v>
      </c>
      <c r="V595" s="1" t="s">
        <v>41</v>
      </c>
      <c r="W595" s="1" t="s">
        <v>49</v>
      </c>
      <c r="X595" s="13" t="str">
        <f t="shared" si="68"/>
        <v/>
      </c>
      <c r="Y595" s="2">
        <f t="shared" ca="1" si="63"/>
        <v>148</v>
      </c>
      <c r="Z595" s="14">
        <v>1</v>
      </c>
      <c r="AA595" s="1" t="str">
        <f t="shared" ca="1" si="64"/>
        <v>VENCIDO</v>
      </c>
      <c r="AB595" s="1" t="str">
        <f t="shared" si="65"/>
        <v>Dosa</v>
      </c>
      <c r="AC595" s="2" t="str">
        <f t="shared" si="69"/>
        <v xml:space="preserve"> CRISTINA </v>
      </c>
      <c r="AD595" s="2">
        <f t="shared" si="66"/>
        <v>5</v>
      </c>
      <c r="AE595" s="2">
        <f t="shared" ca="1" si="67"/>
        <v>-204.9262716435187</v>
      </c>
      <c r="AF595" s="15"/>
    </row>
    <row r="596" spans="1:32" hidden="1">
      <c r="A596" s="1">
        <v>8810524</v>
      </c>
      <c r="B596" s="1" t="s">
        <v>101</v>
      </c>
      <c r="C596" t="s">
        <v>1134</v>
      </c>
      <c r="E596" s="2">
        <v>1058000206001</v>
      </c>
      <c r="F596" s="1" t="s">
        <v>29</v>
      </c>
      <c r="G596" s="1" t="s">
        <v>53</v>
      </c>
      <c r="H596" s="1" t="s">
        <v>289</v>
      </c>
      <c r="I596" s="1" t="s">
        <v>290</v>
      </c>
      <c r="J596" s="1" t="s">
        <v>56</v>
      </c>
      <c r="K596" t="s">
        <v>34</v>
      </c>
      <c r="M596" s="1" t="s">
        <v>35</v>
      </c>
      <c r="N596" s="1">
        <v>42318949</v>
      </c>
      <c r="O596" s="1" t="s">
        <v>105</v>
      </c>
      <c r="P596" s="11" t="s">
        <v>1146</v>
      </c>
      <c r="R596" s="1" t="s">
        <v>38</v>
      </c>
      <c r="T596" s="1" t="s">
        <v>74</v>
      </c>
      <c r="U596" s="11" t="s">
        <v>1136</v>
      </c>
      <c r="V596" s="1" t="s">
        <v>41</v>
      </c>
      <c r="W596" s="1" t="s">
        <v>49</v>
      </c>
      <c r="X596" s="13" t="str">
        <f t="shared" si="68"/>
        <v/>
      </c>
      <c r="Y596" s="2">
        <f t="shared" ca="1" si="63"/>
        <v>148</v>
      </c>
      <c r="Z596" s="14">
        <v>1</v>
      </c>
      <c r="AA596" s="1" t="str">
        <f t="shared" ca="1" si="64"/>
        <v>VENCIDO</v>
      </c>
      <c r="AB596" s="1" t="str">
        <f t="shared" si="65"/>
        <v>Dosa</v>
      </c>
      <c r="AC596" s="2" t="str">
        <f t="shared" si="69"/>
        <v xml:space="preserve"> CRISTINA </v>
      </c>
      <c r="AD596" s="2">
        <f t="shared" si="66"/>
        <v>5</v>
      </c>
      <c r="AE596" s="2">
        <f t="shared" ca="1" si="67"/>
        <v>-204.9262716435187</v>
      </c>
      <c r="AF596" s="15"/>
    </row>
    <row r="597" spans="1:32" hidden="1">
      <c r="A597" s="1">
        <v>8810520</v>
      </c>
      <c r="B597" s="1" t="s">
        <v>101</v>
      </c>
      <c r="C597" t="s">
        <v>1134</v>
      </c>
      <c r="E597" s="2">
        <v>1052000206001</v>
      </c>
      <c r="F597" s="1" t="s">
        <v>29</v>
      </c>
      <c r="G597" s="1" t="s">
        <v>53</v>
      </c>
      <c r="H597" s="1" t="s">
        <v>329</v>
      </c>
      <c r="I597" s="1" t="s">
        <v>330</v>
      </c>
      <c r="J597" s="1" t="s">
        <v>79</v>
      </c>
      <c r="K597" t="s">
        <v>34</v>
      </c>
      <c r="M597" s="1" t="s">
        <v>35</v>
      </c>
      <c r="N597" s="1">
        <v>42318949</v>
      </c>
      <c r="O597" s="1" t="s">
        <v>105</v>
      </c>
      <c r="P597" s="11" t="s">
        <v>1147</v>
      </c>
      <c r="R597" s="1" t="s">
        <v>38</v>
      </c>
      <c r="T597" s="1" t="s">
        <v>74</v>
      </c>
      <c r="U597" s="11" t="s">
        <v>1136</v>
      </c>
      <c r="V597" s="1" t="s">
        <v>41</v>
      </c>
      <c r="W597" s="1" t="s">
        <v>49</v>
      </c>
      <c r="X597" s="13" t="str">
        <f t="shared" si="68"/>
        <v/>
      </c>
      <c r="Y597" s="2">
        <f t="shared" ca="1" si="63"/>
        <v>148</v>
      </c>
      <c r="Z597" s="14">
        <v>1</v>
      </c>
      <c r="AA597" s="1" t="str">
        <f t="shared" ca="1" si="64"/>
        <v>VENCIDO</v>
      </c>
      <c r="AB597" s="1" t="str">
        <f t="shared" si="65"/>
        <v>Dosa</v>
      </c>
      <c r="AC597" s="2" t="str">
        <f t="shared" si="69"/>
        <v xml:space="preserve"> ROSEMERE </v>
      </c>
      <c r="AD597" s="2">
        <f t="shared" si="66"/>
        <v>5</v>
      </c>
      <c r="AE597" s="2">
        <f t="shared" ca="1" si="67"/>
        <v>-204.9262716435187</v>
      </c>
      <c r="AF597" s="15"/>
    </row>
    <row r="598" spans="1:32" hidden="1">
      <c r="A598" s="1">
        <v>8810519</v>
      </c>
      <c r="B598" s="1" t="s">
        <v>101</v>
      </c>
      <c r="C598" t="s">
        <v>1134</v>
      </c>
      <c r="E598" s="2">
        <v>1052000206001</v>
      </c>
      <c r="F598" s="1" t="s">
        <v>29</v>
      </c>
      <c r="G598" s="1" t="s">
        <v>53</v>
      </c>
      <c r="H598" s="1" t="s">
        <v>329</v>
      </c>
      <c r="I598" s="1" t="s">
        <v>330</v>
      </c>
      <c r="J598" s="1" t="s">
        <v>79</v>
      </c>
      <c r="K598" t="s">
        <v>34</v>
      </c>
      <c r="M598" s="1" t="s">
        <v>35</v>
      </c>
      <c r="N598" s="1">
        <v>42318949</v>
      </c>
      <c r="O598" s="1" t="s">
        <v>105</v>
      </c>
      <c r="P598" s="11" t="s">
        <v>1147</v>
      </c>
      <c r="R598" s="1" t="s">
        <v>38</v>
      </c>
      <c r="T598" s="1" t="s">
        <v>74</v>
      </c>
      <c r="U598" s="11" t="s">
        <v>1136</v>
      </c>
      <c r="V598" s="1" t="s">
        <v>41</v>
      </c>
      <c r="W598" s="1" t="s">
        <v>49</v>
      </c>
      <c r="X598" s="13" t="str">
        <f t="shared" si="68"/>
        <v/>
      </c>
      <c r="Y598" s="2">
        <f t="shared" ca="1" si="63"/>
        <v>148</v>
      </c>
      <c r="Z598" s="14">
        <v>1</v>
      </c>
      <c r="AA598" s="1" t="str">
        <f t="shared" ca="1" si="64"/>
        <v>VENCIDO</v>
      </c>
      <c r="AB598" s="1" t="str">
        <f t="shared" si="65"/>
        <v>Dosa</v>
      </c>
      <c r="AC598" s="2" t="str">
        <f t="shared" si="69"/>
        <v xml:space="preserve"> ROSEMERE </v>
      </c>
      <c r="AD598" s="2">
        <f t="shared" si="66"/>
        <v>5</v>
      </c>
      <c r="AE598" s="2">
        <f t="shared" ca="1" si="67"/>
        <v>-204.9262716435187</v>
      </c>
      <c r="AF598" s="15"/>
    </row>
    <row r="599" spans="1:32" hidden="1">
      <c r="A599" s="1">
        <v>8810243</v>
      </c>
      <c r="B599" s="1" t="s">
        <v>101</v>
      </c>
      <c r="C599" t="s">
        <v>1134</v>
      </c>
      <c r="E599" s="2">
        <v>550000206001</v>
      </c>
      <c r="F599" s="1" t="s">
        <v>29</v>
      </c>
      <c r="G599" s="1" t="s">
        <v>53</v>
      </c>
      <c r="H599" s="1" t="s">
        <v>337</v>
      </c>
      <c r="I599" s="1" t="s">
        <v>338</v>
      </c>
      <c r="J599" s="1" t="s">
        <v>164</v>
      </c>
      <c r="K599" t="s">
        <v>34</v>
      </c>
      <c r="M599" s="1" t="s">
        <v>35</v>
      </c>
      <c r="N599" s="1">
        <v>42318949</v>
      </c>
      <c r="O599" s="1" t="s">
        <v>105</v>
      </c>
      <c r="P599" s="186">
        <v>44781.50309027778</v>
      </c>
      <c r="R599" s="1" t="s">
        <v>38</v>
      </c>
      <c r="T599" s="1" t="s">
        <v>74</v>
      </c>
      <c r="U599" s="186">
        <v>44781.75</v>
      </c>
      <c r="V599" s="1" t="s">
        <v>41</v>
      </c>
      <c r="W599" s="1" t="s">
        <v>49</v>
      </c>
      <c r="X599" s="13" t="str">
        <f t="shared" si="68"/>
        <v/>
      </c>
      <c r="Y599" s="2">
        <f t="shared" ca="1" si="63"/>
        <v>148</v>
      </c>
      <c r="Z599" s="14">
        <v>1</v>
      </c>
      <c r="AA599" s="1" t="str">
        <f t="shared" ca="1" si="64"/>
        <v>VENCIDO</v>
      </c>
      <c r="AB599" s="1" t="str">
        <f t="shared" si="65"/>
        <v>Dosa</v>
      </c>
      <c r="AC599" s="2" t="str">
        <f t="shared" si="69"/>
        <v xml:space="preserve"> ROSEMERE </v>
      </c>
      <c r="AD599" s="2">
        <f t="shared" si="66"/>
        <v>5</v>
      </c>
      <c r="AE599" s="2">
        <f t="shared" ca="1" si="67"/>
        <v>-204.9262716435187</v>
      </c>
      <c r="AF599" s="15"/>
    </row>
    <row r="600" spans="1:32" hidden="1">
      <c r="A600" s="1">
        <v>8810238</v>
      </c>
      <c r="B600" s="1" t="s">
        <v>101</v>
      </c>
      <c r="C600" t="s">
        <v>1134</v>
      </c>
      <c r="E600" s="2">
        <v>537000206001</v>
      </c>
      <c r="F600" s="1" t="s">
        <v>29</v>
      </c>
      <c r="G600" s="1" t="s">
        <v>53</v>
      </c>
      <c r="H600" s="1" t="s">
        <v>442</v>
      </c>
      <c r="I600" s="1" t="s">
        <v>443</v>
      </c>
      <c r="J600" s="1" t="s">
        <v>79</v>
      </c>
      <c r="K600" t="s">
        <v>34</v>
      </c>
      <c r="M600" s="1" t="s">
        <v>35</v>
      </c>
      <c r="N600" s="1">
        <v>42318949</v>
      </c>
      <c r="O600" s="1" t="s">
        <v>36</v>
      </c>
      <c r="P600" s="186">
        <v>44781.503078703703</v>
      </c>
      <c r="R600" s="1" t="s">
        <v>38</v>
      </c>
      <c r="T600" s="1" t="s">
        <v>74</v>
      </c>
      <c r="U600" s="186">
        <v>44781.75</v>
      </c>
      <c r="V600" s="1" t="s">
        <v>41</v>
      </c>
      <c r="W600" s="1" t="s">
        <v>49</v>
      </c>
      <c r="X600" s="13" t="str">
        <f t="shared" si="68"/>
        <v/>
      </c>
      <c r="Y600" s="2">
        <f t="shared" ca="1" si="63"/>
        <v>148</v>
      </c>
      <c r="Z600" s="14">
        <v>1</v>
      </c>
      <c r="AA600" s="1" t="str">
        <f t="shared" ca="1" si="64"/>
        <v>VENCIDO</v>
      </c>
      <c r="AB600" s="1" t="str">
        <f t="shared" si="65"/>
        <v>Dosa</v>
      </c>
      <c r="AC600" s="2" t="str">
        <f t="shared" si="69"/>
        <v xml:space="preserve"> ROSEMERE </v>
      </c>
      <c r="AD600" s="2">
        <f t="shared" si="66"/>
        <v>5</v>
      </c>
      <c r="AE600" s="2">
        <f t="shared" ca="1" si="67"/>
        <v>-204.9262716435187</v>
      </c>
      <c r="AF600" s="15"/>
    </row>
    <row r="601" spans="1:32">
      <c r="A601" s="1">
        <v>8824380</v>
      </c>
      <c r="B601" s="1" t="s">
        <v>62</v>
      </c>
      <c r="C601" t="s">
        <v>1148</v>
      </c>
      <c r="E601" s="2">
        <v>2229000203000</v>
      </c>
      <c r="F601" s="1" t="s">
        <v>454</v>
      </c>
      <c r="G601" s="1" t="s">
        <v>53</v>
      </c>
      <c r="H601" s="1" t="s">
        <v>339</v>
      </c>
      <c r="I601" s="1" t="s">
        <v>340</v>
      </c>
      <c r="J601" s="1" t="s">
        <v>211</v>
      </c>
      <c r="K601" t="s">
        <v>457</v>
      </c>
      <c r="M601" s="1" t="s">
        <v>58</v>
      </c>
      <c r="N601" s="1">
        <v>0</v>
      </c>
      <c r="O601" s="1" t="s">
        <v>36</v>
      </c>
      <c r="P601" s="11" t="s">
        <v>1149</v>
      </c>
      <c r="R601" s="1">
        <v>1</v>
      </c>
      <c r="T601" s="1" t="s">
        <v>157</v>
      </c>
      <c r="U601" s="11" t="s">
        <v>1150</v>
      </c>
      <c r="V601" s="1" t="s">
        <v>41</v>
      </c>
      <c r="W601" s="1" t="s">
        <v>49</v>
      </c>
      <c r="X601" s="13" t="str">
        <f t="shared" si="68"/>
        <v/>
      </c>
      <c r="Y601" s="2">
        <f t="shared" ca="1" si="63"/>
        <v>146</v>
      </c>
      <c r="Z601" s="14">
        <v>1</v>
      </c>
      <c r="AA601" s="1" t="str">
        <f t="shared" ca="1" si="64"/>
        <v>VENCIDO</v>
      </c>
      <c r="AB601" s="1" t="str">
        <f t="shared" si="65"/>
        <v>C-14</v>
      </c>
      <c r="AC601" s="2" t="str">
        <f t="shared" si="69"/>
        <v xml:space="preserve"> RINALDO </v>
      </c>
      <c r="AD601" s="2">
        <f t="shared" si="66"/>
        <v>5</v>
      </c>
      <c r="AE601" s="2">
        <f t="shared" ca="1" si="67"/>
        <v>-167.9262716435187</v>
      </c>
      <c r="AF601" s="15"/>
    </row>
    <row r="602" spans="1:32">
      <c r="A602" s="1">
        <v>8823141</v>
      </c>
      <c r="B602" s="1" t="s">
        <v>62</v>
      </c>
      <c r="C602" t="s">
        <v>1151</v>
      </c>
      <c r="E602" s="2">
        <v>2156000203000</v>
      </c>
      <c r="F602" s="1" t="s">
        <v>454</v>
      </c>
      <c r="G602" s="1" t="s">
        <v>53</v>
      </c>
      <c r="H602" s="1" t="s">
        <v>278</v>
      </c>
      <c r="I602" s="1" t="s">
        <v>279</v>
      </c>
      <c r="J602" s="1" t="s">
        <v>211</v>
      </c>
      <c r="K602" t="s">
        <v>457</v>
      </c>
      <c r="M602" s="1" t="s">
        <v>58</v>
      </c>
      <c r="N602" s="1">
        <v>0</v>
      </c>
      <c r="O602" s="1" t="s">
        <v>36</v>
      </c>
      <c r="P602" s="11" t="s">
        <v>1152</v>
      </c>
      <c r="R602" s="1">
        <v>1</v>
      </c>
      <c r="T602" s="1" t="s">
        <v>157</v>
      </c>
      <c r="U602" s="11" t="s">
        <v>1150</v>
      </c>
      <c r="V602" s="1" t="s">
        <v>41</v>
      </c>
      <c r="W602" s="1" t="s">
        <v>49</v>
      </c>
      <c r="X602" s="13" t="str">
        <f t="shared" si="68"/>
        <v/>
      </c>
      <c r="Y602" s="2">
        <f t="shared" ca="1" si="63"/>
        <v>146</v>
      </c>
      <c r="Z602" s="14">
        <v>1</v>
      </c>
      <c r="AA602" s="1" t="str">
        <f t="shared" ca="1" si="64"/>
        <v>VENCIDO</v>
      </c>
      <c r="AB602" s="1" t="str">
        <f t="shared" si="65"/>
        <v>C-14</v>
      </c>
      <c r="AC602" s="2" t="str">
        <f t="shared" si="69"/>
        <v xml:space="preserve"> RINALDO </v>
      </c>
      <c r="AD602" s="2">
        <f t="shared" si="66"/>
        <v>5</v>
      </c>
      <c r="AE602" s="2">
        <f t="shared" ca="1" si="67"/>
        <v>-167.9262716435187</v>
      </c>
      <c r="AF602" s="15"/>
    </row>
    <row r="603" spans="1:32" hidden="1">
      <c r="A603" s="1">
        <v>8827051</v>
      </c>
      <c r="B603" s="1" t="s">
        <v>1153</v>
      </c>
      <c r="C603" t="s">
        <v>1154</v>
      </c>
      <c r="D603" s="2">
        <v>20228489000013</v>
      </c>
      <c r="E603" s="2">
        <v>7417172315843</v>
      </c>
      <c r="F603" s="1" t="s">
        <v>1155</v>
      </c>
      <c r="G603" s="1" t="s">
        <v>53</v>
      </c>
      <c r="H603" s="1" t="s">
        <v>1156</v>
      </c>
      <c r="I603" s="1" t="s">
        <v>1157</v>
      </c>
      <c r="J603" s="1" t="s">
        <v>46</v>
      </c>
      <c r="K603" t="s">
        <v>1158</v>
      </c>
      <c r="M603" s="1" t="s">
        <v>58</v>
      </c>
      <c r="N603" s="1">
        <v>0</v>
      </c>
      <c r="O603" s="1" t="s">
        <v>36</v>
      </c>
      <c r="P603" s="11" t="s">
        <v>1159</v>
      </c>
      <c r="R603" s="1">
        <v>22</v>
      </c>
      <c r="T603" s="1" t="s">
        <v>1160</v>
      </c>
      <c r="U603" s="11" t="s">
        <v>1161</v>
      </c>
      <c r="V603" s="1" t="s">
        <v>41</v>
      </c>
      <c r="W603" s="1" t="s">
        <v>49</v>
      </c>
      <c r="X603" s="13" t="str">
        <f t="shared" si="68"/>
        <v/>
      </c>
      <c r="Y603" s="2">
        <f t="shared" ca="1" si="63"/>
        <v>145</v>
      </c>
      <c r="Z603" s="14">
        <v>1</v>
      </c>
      <c r="AA603" s="1" t="str">
        <f t="shared" ca="1" si="64"/>
        <v>VENCIDO</v>
      </c>
      <c r="AB603" s="1" t="str">
        <f t="shared" si="65"/>
        <v>TAAe+</v>
      </c>
      <c r="AC603" s="2" t="str">
        <f t="shared" si="69"/>
        <v xml:space="preserve"> CLEITON </v>
      </c>
      <c r="AD603" s="2">
        <f t="shared" si="66"/>
        <v>8</v>
      </c>
      <c r="AE603" s="2">
        <f t="shared" ca="1" si="67"/>
        <v>-197.23961655092717</v>
      </c>
      <c r="AF603" s="15"/>
    </row>
    <row r="604" spans="1:32" hidden="1">
      <c r="A604" s="1">
        <v>8833673</v>
      </c>
      <c r="B604" s="1" t="s">
        <v>62</v>
      </c>
      <c r="C604" t="s">
        <v>1162</v>
      </c>
      <c r="E604" s="2">
        <v>3108000206001</v>
      </c>
      <c r="F604" s="1" t="s">
        <v>29</v>
      </c>
      <c r="G604" s="1" t="s">
        <v>53</v>
      </c>
      <c r="H604" s="1" t="s">
        <v>325</v>
      </c>
      <c r="I604" s="1" t="s">
        <v>326</v>
      </c>
      <c r="J604" s="1" t="s">
        <v>46</v>
      </c>
      <c r="K604" t="s">
        <v>34</v>
      </c>
      <c r="M604" s="1" t="s">
        <v>35</v>
      </c>
      <c r="N604" s="1">
        <v>42318949</v>
      </c>
      <c r="O604" s="1" t="s">
        <v>36</v>
      </c>
      <c r="P604" s="11" t="s">
        <v>1163</v>
      </c>
      <c r="R604" s="1" t="s">
        <v>38</v>
      </c>
      <c r="T604" s="1" t="s">
        <v>74</v>
      </c>
      <c r="U604" s="11" t="s">
        <v>1164</v>
      </c>
      <c r="V604" s="1" t="s">
        <v>41</v>
      </c>
      <c r="W604" s="1" t="s">
        <v>49</v>
      </c>
      <c r="X604" s="13" t="str">
        <f t="shared" si="68"/>
        <v/>
      </c>
      <c r="Y604" s="2">
        <f t="shared" ca="1" si="63"/>
        <v>143</v>
      </c>
      <c r="Z604" s="14">
        <v>1</v>
      </c>
      <c r="AA604" s="1" t="str">
        <f t="shared" ca="1" si="64"/>
        <v>VENCIDO</v>
      </c>
      <c r="AB604" s="1" t="str">
        <f t="shared" si="65"/>
        <v>Dosa</v>
      </c>
      <c r="AC604" s="2" t="str">
        <f t="shared" si="69"/>
        <v xml:space="preserve"> CLEITON </v>
      </c>
      <c r="AD604" s="2">
        <f t="shared" si="66"/>
        <v>5</v>
      </c>
      <c r="AE604" s="2">
        <f t="shared" ca="1" si="67"/>
        <v>-155.9262716435187</v>
      </c>
      <c r="AF604" s="15"/>
    </row>
    <row r="605" spans="1:32" hidden="1">
      <c r="A605" s="1">
        <v>8839442</v>
      </c>
      <c r="B605" s="1" t="s">
        <v>62</v>
      </c>
      <c r="C605" t="s">
        <v>1165</v>
      </c>
      <c r="E605" s="2">
        <v>7420380203000</v>
      </c>
      <c r="F605" s="1" t="s">
        <v>454</v>
      </c>
      <c r="G605" s="1" t="s">
        <v>30</v>
      </c>
      <c r="H605" s="1" t="s">
        <v>1166</v>
      </c>
      <c r="I605" s="1" t="s">
        <v>1167</v>
      </c>
      <c r="J605" s="1" t="s">
        <v>46</v>
      </c>
      <c r="K605" t="s">
        <v>457</v>
      </c>
      <c r="M605" s="1" t="s">
        <v>58</v>
      </c>
      <c r="N605" s="1">
        <v>0</v>
      </c>
      <c r="O605" s="1" t="s">
        <v>105</v>
      </c>
      <c r="P605" s="11" t="s">
        <v>1168</v>
      </c>
      <c r="R605" s="1" t="s">
        <v>38</v>
      </c>
      <c r="T605" s="1" t="s">
        <v>157</v>
      </c>
      <c r="U605" s="11" t="s">
        <v>1169</v>
      </c>
      <c r="V605" s="1" t="s">
        <v>41</v>
      </c>
      <c r="W605" s="1" t="s">
        <v>49</v>
      </c>
      <c r="X605" s="13" t="str">
        <f t="shared" si="68"/>
        <v>7420.38</v>
      </c>
      <c r="Y605" s="2">
        <f t="shared" ca="1" si="63"/>
        <v>141</v>
      </c>
      <c r="Z605" s="14">
        <v>1</v>
      </c>
      <c r="AA605" s="1" t="str">
        <f t="shared" ca="1" si="64"/>
        <v>VENCIDO</v>
      </c>
      <c r="AB605" s="1" t="str">
        <f t="shared" si="65"/>
        <v>C-14</v>
      </c>
      <c r="AC605" s="2" t="str">
        <f t="shared" si="69"/>
        <v xml:space="preserve"> CLEITON </v>
      </c>
      <c r="AD605" s="2">
        <f t="shared" si="66"/>
        <v>5</v>
      </c>
      <c r="AE605" s="2">
        <f t="shared" ca="1" si="67"/>
        <v>-160.9262716435187</v>
      </c>
      <c r="AF605" s="15"/>
    </row>
    <row r="606" spans="1:32" hidden="1">
      <c r="A606" s="1">
        <v>8844322</v>
      </c>
      <c r="B606" s="1" t="s">
        <v>62</v>
      </c>
      <c r="C606" t="s">
        <v>1170</v>
      </c>
      <c r="E606" s="2">
        <v>714000203000</v>
      </c>
      <c r="F606" s="1" t="s">
        <v>454</v>
      </c>
      <c r="G606" s="1" t="s">
        <v>53</v>
      </c>
      <c r="H606" s="1" t="s">
        <v>377</v>
      </c>
      <c r="I606" s="1" t="s">
        <v>378</v>
      </c>
      <c r="J606" s="1" t="s">
        <v>46</v>
      </c>
      <c r="K606" t="s">
        <v>457</v>
      </c>
      <c r="M606" s="1" t="s">
        <v>58</v>
      </c>
      <c r="N606" s="1">
        <v>0</v>
      </c>
      <c r="O606" s="1" t="s">
        <v>36</v>
      </c>
      <c r="P606" s="11" t="s">
        <v>1171</v>
      </c>
      <c r="R606" s="1">
        <v>1</v>
      </c>
      <c r="T606" s="1" t="s">
        <v>157</v>
      </c>
      <c r="U606" s="11" t="s">
        <v>1172</v>
      </c>
      <c r="V606" s="1" t="s">
        <v>41</v>
      </c>
      <c r="W606" s="1" t="s">
        <v>49</v>
      </c>
      <c r="X606" s="13" t="str">
        <f t="shared" si="68"/>
        <v/>
      </c>
      <c r="Y606" s="2">
        <f t="shared" ca="1" si="63"/>
        <v>139</v>
      </c>
      <c r="Z606" s="14">
        <v>1</v>
      </c>
      <c r="AA606" s="1" t="str">
        <f t="shared" ca="1" si="64"/>
        <v>VENCIDO</v>
      </c>
      <c r="AB606" s="1" t="str">
        <f t="shared" si="65"/>
        <v>C-14</v>
      </c>
      <c r="AC606" s="2" t="str">
        <f t="shared" si="69"/>
        <v xml:space="preserve"> CLEITON </v>
      </c>
      <c r="AD606" s="2">
        <f t="shared" si="66"/>
        <v>5</v>
      </c>
      <c r="AE606" s="2">
        <f t="shared" ca="1" si="67"/>
        <v>-158.9262716435187</v>
      </c>
      <c r="AF606" s="15"/>
    </row>
    <row r="607" spans="1:32" hidden="1">
      <c r="A607" s="1">
        <v>8844316</v>
      </c>
      <c r="B607" s="1" t="s">
        <v>62</v>
      </c>
      <c r="C607" t="s">
        <v>1173</v>
      </c>
      <c r="E607" s="2">
        <v>714000206001</v>
      </c>
      <c r="F607" s="1" t="s">
        <v>29</v>
      </c>
      <c r="G607" s="1" t="s">
        <v>53</v>
      </c>
      <c r="H607" s="1" t="s">
        <v>377</v>
      </c>
      <c r="I607" s="1" t="s">
        <v>378</v>
      </c>
      <c r="J607" s="1" t="s">
        <v>46</v>
      </c>
      <c r="K607" t="s">
        <v>34</v>
      </c>
      <c r="M607" s="1" t="s">
        <v>35</v>
      </c>
      <c r="N607" s="1">
        <v>42318949</v>
      </c>
      <c r="O607" s="1" t="s">
        <v>36</v>
      </c>
      <c r="P607" s="11" t="s">
        <v>1174</v>
      </c>
      <c r="R607" s="1" t="s">
        <v>38</v>
      </c>
      <c r="T607" s="1" t="s">
        <v>74</v>
      </c>
      <c r="U607" s="11" t="s">
        <v>1175</v>
      </c>
      <c r="V607" s="1" t="s">
        <v>41</v>
      </c>
      <c r="W607" s="1" t="s">
        <v>49</v>
      </c>
      <c r="X607" s="13" t="str">
        <f t="shared" si="68"/>
        <v/>
      </c>
      <c r="Y607" s="2">
        <f t="shared" ca="1" si="63"/>
        <v>139</v>
      </c>
      <c r="Z607" s="14">
        <v>1</v>
      </c>
      <c r="AA607" s="1" t="str">
        <f t="shared" ca="1" si="64"/>
        <v>VENCIDO</v>
      </c>
      <c r="AB607" s="1" t="str">
        <f t="shared" si="65"/>
        <v>Dosa</v>
      </c>
      <c r="AC607" s="2" t="str">
        <f t="shared" si="69"/>
        <v xml:space="preserve"> CLEITON </v>
      </c>
      <c r="AD607" s="2">
        <f t="shared" si="66"/>
        <v>5</v>
      </c>
      <c r="AE607" s="2">
        <f t="shared" ca="1" si="67"/>
        <v>-151.9262716435187</v>
      </c>
      <c r="AF607" s="15"/>
    </row>
    <row r="608" spans="1:32">
      <c r="A608" s="1">
        <v>8851834</v>
      </c>
      <c r="B608" s="1" t="s">
        <v>101</v>
      </c>
      <c r="C608" t="s">
        <v>1176</v>
      </c>
      <c r="E608" s="2">
        <v>9705000206121</v>
      </c>
      <c r="F608" s="1" t="s">
        <v>113</v>
      </c>
      <c r="G608" s="1" t="s">
        <v>53</v>
      </c>
      <c r="H608" s="1" t="s">
        <v>204</v>
      </c>
      <c r="I608" s="1" t="s">
        <v>205</v>
      </c>
      <c r="J608" s="1" t="s">
        <v>90</v>
      </c>
      <c r="K608" t="s">
        <v>116</v>
      </c>
      <c r="M608" s="1" t="s">
        <v>35</v>
      </c>
      <c r="N608" s="1">
        <v>42318949</v>
      </c>
      <c r="O608" s="1" t="s">
        <v>36</v>
      </c>
      <c r="P608" s="12">
        <v>44795.769953703704</v>
      </c>
      <c r="R608" s="1" t="s">
        <v>38</v>
      </c>
      <c r="T608" s="1" t="s">
        <v>74</v>
      </c>
      <c r="U608" s="12">
        <v>44796.75</v>
      </c>
      <c r="V608" s="1" t="s">
        <v>41</v>
      </c>
      <c r="W608" s="1" t="s">
        <v>49</v>
      </c>
      <c r="X608" s="13" t="str">
        <f t="shared" si="68"/>
        <v/>
      </c>
      <c r="Y608" s="2">
        <f t="shared" ca="1" si="63"/>
        <v>138</v>
      </c>
      <c r="Z608" s="14">
        <v>1</v>
      </c>
      <c r="AA608" s="1" t="str">
        <f t="shared" ca="1" si="64"/>
        <v>VENCIDO</v>
      </c>
      <c r="AB608" s="1" t="str">
        <f t="shared" si="65"/>
        <v>TAAe+</v>
      </c>
      <c r="AC608" s="2" t="str">
        <f t="shared" si="69"/>
        <v xml:space="preserve"> RINALDO </v>
      </c>
      <c r="AD608" s="2">
        <f t="shared" si="66"/>
        <v>8</v>
      </c>
      <c r="AE608" s="2">
        <f t="shared" ca="1" si="67"/>
        <v>-189.9262716435187</v>
      </c>
      <c r="AF608" s="15"/>
    </row>
    <row r="609" spans="1:32">
      <c r="A609" s="1">
        <v>8851833</v>
      </c>
      <c r="B609" s="1" t="s">
        <v>101</v>
      </c>
      <c r="C609" t="s">
        <v>1176</v>
      </c>
      <c r="E609" s="2">
        <v>9705000206121</v>
      </c>
      <c r="F609" s="1" t="s">
        <v>113</v>
      </c>
      <c r="G609" s="1" t="s">
        <v>53</v>
      </c>
      <c r="H609" s="1" t="s">
        <v>204</v>
      </c>
      <c r="I609" s="1" t="s">
        <v>205</v>
      </c>
      <c r="J609" s="1" t="s">
        <v>90</v>
      </c>
      <c r="K609" t="s">
        <v>116</v>
      </c>
      <c r="M609" s="1" t="s">
        <v>35</v>
      </c>
      <c r="N609" s="1">
        <v>42318949</v>
      </c>
      <c r="O609" s="1" t="s">
        <v>36</v>
      </c>
      <c r="P609" s="12">
        <v>44795.769953703704</v>
      </c>
      <c r="R609" s="1" t="s">
        <v>38</v>
      </c>
      <c r="T609" s="1" t="s">
        <v>74</v>
      </c>
      <c r="U609" s="12">
        <v>44796.75</v>
      </c>
      <c r="V609" s="1" t="s">
        <v>41</v>
      </c>
      <c r="W609" s="1" t="s">
        <v>49</v>
      </c>
      <c r="X609" s="13" t="str">
        <f t="shared" si="68"/>
        <v/>
      </c>
      <c r="Y609" s="2">
        <f t="shared" ca="1" si="63"/>
        <v>138</v>
      </c>
      <c r="Z609" s="14">
        <v>1</v>
      </c>
      <c r="AA609" s="1" t="str">
        <f t="shared" ca="1" si="64"/>
        <v>VENCIDO</v>
      </c>
      <c r="AB609" s="1" t="str">
        <f t="shared" si="65"/>
        <v>TAAe+</v>
      </c>
      <c r="AC609" s="2" t="str">
        <f t="shared" si="69"/>
        <v xml:space="preserve"> RINALDO </v>
      </c>
      <c r="AD609" s="2">
        <f t="shared" si="66"/>
        <v>8</v>
      </c>
      <c r="AE609" s="2">
        <f t="shared" ca="1" si="67"/>
        <v>-189.9262716435187</v>
      </c>
      <c r="AF609" s="15"/>
    </row>
    <row r="610" spans="1:32">
      <c r="A610" s="1">
        <v>8851832</v>
      </c>
      <c r="B610" s="1" t="s">
        <v>101</v>
      </c>
      <c r="C610" t="s">
        <v>1176</v>
      </c>
      <c r="E610" s="2">
        <v>9705000206121</v>
      </c>
      <c r="F610" s="1" t="s">
        <v>113</v>
      </c>
      <c r="G610" s="1" t="s">
        <v>53</v>
      </c>
      <c r="H610" s="1" t="s">
        <v>204</v>
      </c>
      <c r="I610" s="1" t="s">
        <v>205</v>
      </c>
      <c r="J610" s="1" t="s">
        <v>90</v>
      </c>
      <c r="K610" t="s">
        <v>116</v>
      </c>
      <c r="M610" s="1" t="s">
        <v>35</v>
      </c>
      <c r="N610" s="1">
        <v>42318949</v>
      </c>
      <c r="O610" s="1" t="s">
        <v>36</v>
      </c>
      <c r="P610" s="12">
        <v>44795.769953703704</v>
      </c>
      <c r="R610" s="1" t="s">
        <v>38</v>
      </c>
      <c r="T610" s="1" t="s">
        <v>74</v>
      </c>
      <c r="U610" s="12">
        <v>44796.75</v>
      </c>
      <c r="V610" s="1" t="s">
        <v>41</v>
      </c>
      <c r="W610" s="1" t="s">
        <v>49</v>
      </c>
      <c r="X610" s="13" t="str">
        <f t="shared" si="68"/>
        <v/>
      </c>
      <c r="Y610" s="2">
        <f t="shared" ca="1" si="63"/>
        <v>138</v>
      </c>
      <c r="Z610" s="14">
        <v>1</v>
      </c>
      <c r="AA610" s="1" t="str">
        <f t="shared" ca="1" si="64"/>
        <v>VENCIDO</v>
      </c>
      <c r="AB610" s="1" t="str">
        <f t="shared" si="65"/>
        <v>TAAe+</v>
      </c>
      <c r="AC610" s="2" t="str">
        <f t="shared" si="69"/>
        <v xml:space="preserve"> RINALDO </v>
      </c>
      <c r="AD610" s="2">
        <f t="shared" si="66"/>
        <v>8</v>
      </c>
      <c r="AE610" s="2">
        <f t="shared" ca="1" si="67"/>
        <v>-189.9262716435187</v>
      </c>
      <c r="AF610" s="15"/>
    </row>
    <row r="611" spans="1:32">
      <c r="A611" s="1">
        <v>8851831</v>
      </c>
      <c r="B611" s="1" t="s">
        <v>101</v>
      </c>
      <c r="C611" t="s">
        <v>1176</v>
      </c>
      <c r="E611" s="2">
        <v>9704000206121</v>
      </c>
      <c r="F611" s="1" t="s">
        <v>113</v>
      </c>
      <c r="G611" s="1" t="s">
        <v>53</v>
      </c>
      <c r="H611" s="1" t="s">
        <v>488</v>
      </c>
      <c r="I611" s="1" t="s">
        <v>489</v>
      </c>
      <c r="J611" s="1" t="s">
        <v>90</v>
      </c>
      <c r="K611" t="s">
        <v>116</v>
      </c>
      <c r="M611" s="1" t="s">
        <v>35</v>
      </c>
      <c r="N611" s="1">
        <v>42318949</v>
      </c>
      <c r="O611" s="1" t="s">
        <v>105</v>
      </c>
      <c r="P611" s="11" t="s">
        <v>1177</v>
      </c>
      <c r="R611" s="1" t="s">
        <v>38</v>
      </c>
      <c r="T611" s="1" t="s">
        <v>74</v>
      </c>
      <c r="U611" s="11" t="s">
        <v>1178</v>
      </c>
      <c r="V611" s="1" t="s">
        <v>41</v>
      </c>
      <c r="W611" s="1" t="s">
        <v>49</v>
      </c>
      <c r="X611" s="13" t="str">
        <f t="shared" si="68"/>
        <v/>
      </c>
      <c r="Y611" s="2">
        <f t="shared" ca="1" si="63"/>
        <v>138</v>
      </c>
      <c r="Z611" s="14">
        <v>1</v>
      </c>
      <c r="AA611" s="1" t="str">
        <f t="shared" ca="1" si="64"/>
        <v>VENCIDO</v>
      </c>
      <c r="AB611" s="1" t="str">
        <f t="shared" si="65"/>
        <v>TAAe+</v>
      </c>
      <c r="AC611" s="2" t="str">
        <f t="shared" si="69"/>
        <v xml:space="preserve"> RINALDO </v>
      </c>
      <c r="AD611" s="2">
        <f t="shared" si="66"/>
        <v>8</v>
      </c>
      <c r="AE611" s="2">
        <f t="shared" ca="1" si="67"/>
        <v>-189.9262716435187</v>
      </c>
      <c r="AF611" s="15"/>
    </row>
    <row r="612" spans="1:32">
      <c r="A612" s="1">
        <v>8851830</v>
      </c>
      <c r="B612" s="1" t="s">
        <v>101</v>
      </c>
      <c r="C612" t="s">
        <v>1176</v>
      </c>
      <c r="E612" s="2">
        <v>9704000206121</v>
      </c>
      <c r="F612" s="1" t="s">
        <v>113</v>
      </c>
      <c r="G612" s="1" t="s">
        <v>53</v>
      </c>
      <c r="H612" s="1" t="s">
        <v>488</v>
      </c>
      <c r="I612" s="1" t="s">
        <v>489</v>
      </c>
      <c r="J612" s="1" t="s">
        <v>90</v>
      </c>
      <c r="K612" t="s">
        <v>116</v>
      </c>
      <c r="M612" s="1" t="s">
        <v>35</v>
      </c>
      <c r="N612" s="1">
        <v>42318949</v>
      </c>
      <c r="O612" s="1" t="s">
        <v>105</v>
      </c>
      <c r="P612" s="11" t="s">
        <v>1177</v>
      </c>
      <c r="R612" s="1" t="s">
        <v>38</v>
      </c>
      <c r="T612" s="1" t="s">
        <v>74</v>
      </c>
      <c r="U612" s="11" t="s">
        <v>1178</v>
      </c>
      <c r="V612" s="1" t="s">
        <v>41</v>
      </c>
      <c r="W612" s="1" t="s">
        <v>49</v>
      </c>
      <c r="X612" s="13" t="str">
        <f t="shared" si="68"/>
        <v/>
      </c>
      <c r="Y612" s="2">
        <f t="shared" ca="1" si="63"/>
        <v>138</v>
      </c>
      <c r="Z612" s="14">
        <v>1</v>
      </c>
      <c r="AA612" s="1" t="str">
        <f t="shared" ca="1" si="64"/>
        <v>VENCIDO</v>
      </c>
      <c r="AB612" s="1" t="str">
        <f t="shared" si="65"/>
        <v>TAAe+</v>
      </c>
      <c r="AC612" s="2" t="str">
        <f t="shared" si="69"/>
        <v xml:space="preserve"> RINALDO </v>
      </c>
      <c r="AD612" s="2">
        <f t="shared" si="66"/>
        <v>8</v>
      </c>
      <c r="AE612" s="2">
        <f t="shared" ca="1" si="67"/>
        <v>-189.9262716435187</v>
      </c>
      <c r="AF612" s="15"/>
    </row>
    <row r="613" spans="1:32">
      <c r="A613" s="1">
        <v>8851829</v>
      </c>
      <c r="B613" s="1" t="s">
        <v>101</v>
      </c>
      <c r="C613" t="s">
        <v>1176</v>
      </c>
      <c r="E613" s="2">
        <v>9704000206121</v>
      </c>
      <c r="F613" s="1" t="s">
        <v>113</v>
      </c>
      <c r="G613" s="1" t="s">
        <v>53</v>
      </c>
      <c r="H613" s="1" t="s">
        <v>488</v>
      </c>
      <c r="I613" s="1" t="s">
        <v>489</v>
      </c>
      <c r="J613" s="1" t="s">
        <v>90</v>
      </c>
      <c r="K613" t="s">
        <v>116</v>
      </c>
      <c r="M613" s="1" t="s">
        <v>35</v>
      </c>
      <c r="N613" s="1">
        <v>42318949</v>
      </c>
      <c r="O613" s="1" t="s">
        <v>105</v>
      </c>
      <c r="P613" s="11" t="s">
        <v>1177</v>
      </c>
      <c r="R613" s="1" t="s">
        <v>38</v>
      </c>
      <c r="T613" s="1" t="s">
        <v>74</v>
      </c>
      <c r="U613" s="12">
        <v>44796.75</v>
      </c>
      <c r="V613" s="1" t="s">
        <v>41</v>
      </c>
      <c r="W613" s="1" t="s">
        <v>49</v>
      </c>
      <c r="X613" s="13" t="str">
        <f t="shared" si="68"/>
        <v/>
      </c>
      <c r="Y613" s="2">
        <f t="shared" ca="1" si="63"/>
        <v>138</v>
      </c>
      <c r="Z613" s="14">
        <v>1</v>
      </c>
      <c r="AA613" s="1" t="str">
        <f t="shared" ca="1" si="64"/>
        <v>VENCIDO</v>
      </c>
      <c r="AB613" s="1" t="str">
        <f t="shared" si="65"/>
        <v>TAAe+</v>
      </c>
      <c r="AC613" s="2" t="str">
        <f t="shared" si="69"/>
        <v xml:space="preserve"> RINALDO </v>
      </c>
      <c r="AD613" s="2">
        <f t="shared" si="66"/>
        <v>8</v>
      </c>
      <c r="AE613" s="2">
        <f t="shared" ca="1" si="67"/>
        <v>-189.9262716435187</v>
      </c>
      <c r="AF613" s="15"/>
    </row>
    <row r="614" spans="1:32">
      <c r="A614" s="1">
        <v>8851826</v>
      </c>
      <c r="B614" s="1" t="s">
        <v>101</v>
      </c>
      <c r="C614" t="s">
        <v>1176</v>
      </c>
      <c r="E614" s="2">
        <v>9700000206121</v>
      </c>
      <c r="F614" s="1" t="s">
        <v>113</v>
      </c>
      <c r="G614" s="1" t="s">
        <v>53</v>
      </c>
      <c r="H614" s="1" t="s">
        <v>209</v>
      </c>
      <c r="I614" s="1" t="s">
        <v>210</v>
      </c>
      <c r="J614" s="1" t="s">
        <v>211</v>
      </c>
      <c r="K614" t="s">
        <v>116</v>
      </c>
      <c r="M614" s="1" t="s">
        <v>35</v>
      </c>
      <c r="N614" s="1">
        <v>42318949</v>
      </c>
      <c r="O614" s="1" t="s">
        <v>105</v>
      </c>
      <c r="P614" s="11" t="s">
        <v>1177</v>
      </c>
      <c r="R614" s="1" t="s">
        <v>38</v>
      </c>
      <c r="T614" s="1" t="s">
        <v>74</v>
      </c>
      <c r="U614" s="11" t="s">
        <v>1178</v>
      </c>
      <c r="V614" s="1" t="s">
        <v>41</v>
      </c>
      <c r="W614" s="1" t="s">
        <v>49</v>
      </c>
      <c r="X614" s="13" t="str">
        <f t="shared" si="68"/>
        <v/>
      </c>
      <c r="Y614" s="2">
        <f t="shared" ca="1" si="63"/>
        <v>138</v>
      </c>
      <c r="Z614" s="14">
        <v>1</v>
      </c>
      <c r="AA614" s="1" t="str">
        <f t="shared" ca="1" si="64"/>
        <v>VENCIDO</v>
      </c>
      <c r="AB614" s="1" t="str">
        <f t="shared" si="65"/>
        <v>TAAe+</v>
      </c>
      <c r="AC614" s="2" t="str">
        <f t="shared" si="69"/>
        <v xml:space="preserve"> RINALDO </v>
      </c>
      <c r="AD614" s="2">
        <f t="shared" si="66"/>
        <v>8</v>
      </c>
      <c r="AE614" s="2">
        <f t="shared" ca="1" si="67"/>
        <v>-189.9262716435187</v>
      </c>
      <c r="AF614" s="15"/>
    </row>
    <row r="615" spans="1:32">
      <c r="A615" s="1">
        <v>8851825</v>
      </c>
      <c r="B615" s="1" t="s">
        <v>101</v>
      </c>
      <c r="C615" t="s">
        <v>1176</v>
      </c>
      <c r="E615" s="2">
        <v>9700000206121</v>
      </c>
      <c r="F615" s="1" t="s">
        <v>113</v>
      </c>
      <c r="G615" s="1" t="s">
        <v>53</v>
      </c>
      <c r="H615" s="1" t="s">
        <v>209</v>
      </c>
      <c r="I615" s="1" t="s">
        <v>210</v>
      </c>
      <c r="J615" s="1" t="s">
        <v>211</v>
      </c>
      <c r="K615" t="s">
        <v>116</v>
      </c>
      <c r="M615" s="1" t="s">
        <v>35</v>
      </c>
      <c r="N615" s="1">
        <v>42318949</v>
      </c>
      <c r="O615" s="1" t="s">
        <v>105</v>
      </c>
      <c r="P615" s="186">
        <v>44795.769953703704</v>
      </c>
      <c r="R615" s="1" t="s">
        <v>38</v>
      </c>
      <c r="T615" s="1" t="s">
        <v>74</v>
      </c>
      <c r="U615" s="186">
        <v>44796.75</v>
      </c>
      <c r="V615" s="1" t="s">
        <v>41</v>
      </c>
      <c r="W615" s="1" t="s">
        <v>49</v>
      </c>
      <c r="X615" s="13" t="str">
        <f t="shared" si="68"/>
        <v/>
      </c>
      <c r="Y615" s="2">
        <f t="shared" ca="1" si="63"/>
        <v>138</v>
      </c>
      <c r="Z615" s="14">
        <v>1</v>
      </c>
      <c r="AA615" s="1" t="str">
        <f t="shared" ca="1" si="64"/>
        <v>VENCIDO</v>
      </c>
      <c r="AB615" s="1" t="str">
        <f t="shared" si="65"/>
        <v>TAAe+</v>
      </c>
      <c r="AC615" s="2" t="str">
        <f t="shared" si="69"/>
        <v xml:space="preserve"> RINALDO </v>
      </c>
      <c r="AD615" s="2">
        <f t="shared" si="66"/>
        <v>8</v>
      </c>
      <c r="AE615" s="2">
        <f t="shared" ca="1" si="67"/>
        <v>-189.9262716435187</v>
      </c>
      <c r="AF615" s="15"/>
    </row>
    <row r="616" spans="1:32" hidden="1">
      <c r="A616" s="1">
        <v>8851534</v>
      </c>
      <c r="B616" s="1" t="s">
        <v>101</v>
      </c>
      <c r="C616" t="s">
        <v>1176</v>
      </c>
      <c r="E616" s="2">
        <v>9406000206121</v>
      </c>
      <c r="F616" s="1" t="s">
        <v>113</v>
      </c>
      <c r="G616" s="1" t="s">
        <v>53</v>
      </c>
      <c r="H616" s="1" t="s">
        <v>114</v>
      </c>
      <c r="I616" s="1" t="s">
        <v>115</v>
      </c>
      <c r="J616" s="1" t="s">
        <v>46</v>
      </c>
      <c r="K616" t="s">
        <v>116</v>
      </c>
      <c r="M616" s="1" t="s">
        <v>35</v>
      </c>
      <c r="N616" s="1">
        <v>42318949</v>
      </c>
      <c r="O616" s="1" t="s">
        <v>105</v>
      </c>
      <c r="P616" s="11" t="s">
        <v>1179</v>
      </c>
      <c r="R616" s="1" t="s">
        <v>38</v>
      </c>
      <c r="T616" s="1" t="s">
        <v>74</v>
      </c>
      <c r="U616" s="11" t="s">
        <v>1178</v>
      </c>
      <c r="V616" s="1" t="s">
        <v>41</v>
      </c>
      <c r="W616" s="1" t="s">
        <v>49</v>
      </c>
      <c r="X616" s="13" t="str">
        <f t="shared" si="68"/>
        <v/>
      </c>
      <c r="Y616" s="2">
        <f t="shared" ca="1" si="63"/>
        <v>138</v>
      </c>
      <c r="Z616" s="14">
        <v>1</v>
      </c>
      <c r="AA616" s="1" t="str">
        <f t="shared" ca="1" si="64"/>
        <v>VENCIDO</v>
      </c>
      <c r="AB616" s="1" t="str">
        <f t="shared" si="65"/>
        <v>TAAe+</v>
      </c>
      <c r="AC616" s="2" t="str">
        <f t="shared" si="69"/>
        <v xml:space="preserve"> CLEITON </v>
      </c>
      <c r="AD616" s="2">
        <f t="shared" si="66"/>
        <v>8</v>
      </c>
      <c r="AE616" s="2">
        <f t="shared" ca="1" si="67"/>
        <v>-189.9262716435187</v>
      </c>
      <c r="AF616" s="15"/>
    </row>
    <row r="617" spans="1:32" hidden="1">
      <c r="A617" s="1">
        <v>8851533</v>
      </c>
      <c r="B617" s="1" t="s">
        <v>101</v>
      </c>
      <c r="C617" t="s">
        <v>1176</v>
      </c>
      <c r="E617" s="2">
        <v>9406000206121</v>
      </c>
      <c r="F617" s="1" t="s">
        <v>113</v>
      </c>
      <c r="G617" s="1" t="s">
        <v>53</v>
      </c>
      <c r="H617" s="1" t="s">
        <v>114</v>
      </c>
      <c r="I617" s="1" t="s">
        <v>115</v>
      </c>
      <c r="J617" s="1" t="s">
        <v>46</v>
      </c>
      <c r="K617" t="s">
        <v>116</v>
      </c>
      <c r="M617" s="1" t="s">
        <v>35</v>
      </c>
      <c r="N617" s="1">
        <v>42318949</v>
      </c>
      <c r="O617" s="1" t="s">
        <v>105</v>
      </c>
      <c r="P617" s="11" t="s">
        <v>1179</v>
      </c>
      <c r="R617" s="1" t="s">
        <v>38</v>
      </c>
      <c r="T617" s="1" t="s">
        <v>74</v>
      </c>
      <c r="U617" s="11" t="s">
        <v>1178</v>
      </c>
      <c r="V617" s="1" t="s">
        <v>41</v>
      </c>
      <c r="W617" s="1" t="s">
        <v>49</v>
      </c>
      <c r="X617" s="13" t="str">
        <f t="shared" si="68"/>
        <v/>
      </c>
      <c r="Y617" s="2">
        <f t="shared" ca="1" si="63"/>
        <v>138</v>
      </c>
      <c r="Z617" s="14">
        <v>1</v>
      </c>
      <c r="AA617" s="1" t="str">
        <f t="shared" ca="1" si="64"/>
        <v>VENCIDO</v>
      </c>
      <c r="AB617" s="1" t="str">
        <f t="shared" si="65"/>
        <v>TAAe+</v>
      </c>
      <c r="AC617" s="2" t="str">
        <f t="shared" si="69"/>
        <v xml:space="preserve"> CLEITON </v>
      </c>
      <c r="AD617" s="2">
        <f t="shared" si="66"/>
        <v>8</v>
      </c>
      <c r="AE617" s="2">
        <f t="shared" ca="1" si="67"/>
        <v>-189.9262716435187</v>
      </c>
      <c r="AF617" s="15"/>
    </row>
    <row r="618" spans="1:32" hidden="1">
      <c r="A618" s="1">
        <v>8851532</v>
      </c>
      <c r="B618" s="1" t="s">
        <v>101</v>
      </c>
      <c r="C618" t="s">
        <v>1176</v>
      </c>
      <c r="E618" s="2">
        <v>9406000206121</v>
      </c>
      <c r="F618" s="1" t="s">
        <v>113</v>
      </c>
      <c r="G618" s="1" t="s">
        <v>53</v>
      </c>
      <c r="H618" s="1" t="s">
        <v>114</v>
      </c>
      <c r="I618" s="1" t="s">
        <v>115</v>
      </c>
      <c r="J618" s="1" t="s">
        <v>46</v>
      </c>
      <c r="K618" t="s">
        <v>116</v>
      </c>
      <c r="M618" s="1" t="s">
        <v>35</v>
      </c>
      <c r="N618" s="1">
        <v>42318949</v>
      </c>
      <c r="O618" s="1" t="s">
        <v>105</v>
      </c>
      <c r="P618" s="11" t="s">
        <v>1179</v>
      </c>
      <c r="R618" s="1" t="s">
        <v>38</v>
      </c>
      <c r="T618" s="1" t="s">
        <v>74</v>
      </c>
      <c r="U618" s="11" t="s">
        <v>1178</v>
      </c>
      <c r="V618" s="1" t="s">
        <v>41</v>
      </c>
      <c r="W618" s="1" t="s">
        <v>49</v>
      </c>
      <c r="X618" s="13" t="str">
        <f t="shared" si="68"/>
        <v/>
      </c>
      <c r="Y618" s="2">
        <f t="shared" ca="1" si="63"/>
        <v>138</v>
      </c>
      <c r="Z618" s="14">
        <v>1</v>
      </c>
      <c r="AA618" s="1" t="str">
        <f t="shared" ca="1" si="64"/>
        <v>VENCIDO</v>
      </c>
      <c r="AB618" s="1" t="str">
        <f t="shared" si="65"/>
        <v>TAAe+</v>
      </c>
      <c r="AC618" s="2" t="str">
        <f t="shared" si="69"/>
        <v xml:space="preserve"> CLEITON </v>
      </c>
      <c r="AD618" s="2">
        <f t="shared" si="66"/>
        <v>8</v>
      </c>
      <c r="AE618" s="2">
        <f t="shared" ca="1" si="67"/>
        <v>-189.9262716435187</v>
      </c>
      <c r="AF618" s="15"/>
    </row>
    <row r="619" spans="1:32" hidden="1">
      <c r="A619" s="1">
        <v>8851531</v>
      </c>
      <c r="B619" s="1" t="s">
        <v>101</v>
      </c>
      <c r="C619" t="s">
        <v>1176</v>
      </c>
      <c r="E619" s="2">
        <v>9406000206121</v>
      </c>
      <c r="F619" s="1" t="s">
        <v>113</v>
      </c>
      <c r="G619" s="1" t="s">
        <v>53</v>
      </c>
      <c r="H619" s="1" t="s">
        <v>114</v>
      </c>
      <c r="I619" s="1" t="s">
        <v>115</v>
      </c>
      <c r="J619" s="1" t="s">
        <v>46</v>
      </c>
      <c r="K619" t="s">
        <v>116</v>
      </c>
      <c r="M619" s="1" t="s">
        <v>35</v>
      </c>
      <c r="N619" s="1">
        <v>42318949</v>
      </c>
      <c r="O619" s="1" t="s">
        <v>105</v>
      </c>
      <c r="P619" s="11" t="s">
        <v>1179</v>
      </c>
      <c r="R619" s="1" t="s">
        <v>38</v>
      </c>
      <c r="T619" s="1" t="s">
        <v>74</v>
      </c>
      <c r="U619" s="11" t="s">
        <v>1178</v>
      </c>
      <c r="V619" s="1" t="s">
        <v>41</v>
      </c>
      <c r="W619" s="1" t="s">
        <v>49</v>
      </c>
      <c r="X619" s="13" t="str">
        <f t="shared" si="68"/>
        <v/>
      </c>
      <c r="Y619" s="2">
        <f t="shared" ca="1" si="63"/>
        <v>138</v>
      </c>
      <c r="Z619" s="14">
        <v>1</v>
      </c>
      <c r="AA619" s="1" t="str">
        <f t="shared" ca="1" si="64"/>
        <v>VENCIDO</v>
      </c>
      <c r="AB619" s="1" t="str">
        <f t="shared" si="65"/>
        <v>TAAe+</v>
      </c>
      <c r="AC619" s="2" t="str">
        <f t="shared" si="69"/>
        <v xml:space="preserve"> CLEITON </v>
      </c>
      <c r="AD619" s="2">
        <f t="shared" si="66"/>
        <v>8</v>
      </c>
      <c r="AE619" s="2">
        <f t="shared" ca="1" si="67"/>
        <v>-189.9262716435187</v>
      </c>
      <c r="AF619" s="15"/>
    </row>
    <row r="620" spans="1:32" hidden="1">
      <c r="A620" s="1">
        <v>8851530</v>
      </c>
      <c r="B620" s="1" t="s">
        <v>101</v>
      </c>
      <c r="C620" t="s">
        <v>1176</v>
      </c>
      <c r="E620" s="2">
        <v>9406000206121</v>
      </c>
      <c r="F620" s="1" t="s">
        <v>113</v>
      </c>
      <c r="G620" s="1" t="s">
        <v>53</v>
      </c>
      <c r="H620" s="1" t="s">
        <v>114</v>
      </c>
      <c r="I620" s="1" t="s">
        <v>115</v>
      </c>
      <c r="J620" s="1" t="s">
        <v>46</v>
      </c>
      <c r="K620" t="s">
        <v>116</v>
      </c>
      <c r="M620" s="1" t="s">
        <v>35</v>
      </c>
      <c r="N620" s="1">
        <v>42318949</v>
      </c>
      <c r="O620" s="1" t="s">
        <v>105</v>
      </c>
      <c r="P620" s="11" t="s">
        <v>1180</v>
      </c>
      <c r="R620" s="1" t="s">
        <v>38</v>
      </c>
      <c r="T620" s="1" t="s">
        <v>74</v>
      </c>
      <c r="U620" s="11" t="s">
        <v>1178</v>
      </c>
      <c r="V620" s="1" t="s">
        <v>41</v>
      </c>
      <c r="W620" s="1" t="s">
        <v>49</v>
      </c>
      <c r="X620" s="13" t="str">
        <f t="shared" si="68"/>
        <v/>
      </c>
      <c r="Y620" s="2">
        <f t="shared" ca="1" si="63"/>
        <v>138</v>
      </c>
      <c r="Z620" s="14">
        <v>1</v>
      </c>
      <c r="AA620" s="1" t="str">
        <f t="shared" ca="1" si="64"/>
        <v>VENCIDO</v>
      </c>
      <c r="AB620" s="1" t="str">
        <f t="shared" si="65"/>
        <v>TAAe+</v>
      </c>
      <c r="AC620" s="2" t="str">
        <f t="shared" si="69"/>
        <v xml:space="preserve"> CLEITON </v>
      </c>
      <c r="AD620" s="2">
        <f t="shared" si="66"/>
        <v>8</v>
      </c>
      <c r="AE620" s="2">
        <f t="shared" ca="1" si="67"/>
        <v>-189.9262716435187</v>
      </c>
      <c r="AF620" s="15"/>
    </row>
    <row r="621" spans="1:32" hidden="1">
      <c r="A621" s="1">
        <v>8851529</v>
      </c>
      <c r="B621" s="1" t="s">
        <v>101</v>
      </c>
      <c r="C621" t="s">
        <v>1176</v>
      </c>
      <c r="E621" s="2">
        <v>9406000206121</v>
      </c>
      <c r="F621" s="1" t="s">
        <v>113</v>
      </c>
      <c r="G621" s="1" t="s">
        <v>53</v>
      </c>
      <c r="H621" s="1" t="s">
        <v>114</v>
      </c>
      <c r="I621" s="1" t="s">
        <v>115</v>
      </c>
      <c r="J621" s="1" t="s">
        <v>46</v>
      </c>
      <c r="K621" t="s">
        <v>116</v>
      </c>
      <c r="M621" s="1" t="s">
        <v>35</v>
      </c>
      <c r="N621" s="1">
        <v>42318949</v>
      </c>
      <c r="O621" s="1" t="s">
        <v>105</v>
      </c>
      <c r="P621" s="12">
        <v>44795.769606481481</v>
      </c>
      <c r="R621" s="1" t="s">
        <v>38</v>
      </c>
      <c r="T621" s="1" t="s">
        <v>74</v>
      </c>
      <c r="U621" s="12">
        <v>44796.75</v>
      </c>
      <c r="V621" s="1" t="s">
        <v>41</v>
      </c>
      <c r="W621" s="1" t="s">
        <v>49</v>
      </c>
      <c r="X621" s="13" t="str">
        <f t="shared" si="68"/>
        <v/>
      </c>
      <c r="Y621" s="2">
        <f t="shared" ca="1" si="63"/>
        <v>138</v>
      </c>
      <c r="Z621" s="14">
        <v>1</v>
      </c>
      <c r="AA621" s="1" t="str">
        <f t="shared" ca="1" si="64"/>
        <v>VENCIDO</v>
      </c>
      <c r="AB621" s="1" t="str">
        <f t="shared" si="65"/>
        <v>TAAe+</v>
      </c>
      <c r="AC621" s="2" t="str">
        <f t="shared" si="69"/>
        <v xml:space="preserve"> CLEITON </v>
      </c>
      <c r="AD621" s="2">
        <f t="shared" si="66"/>
        <v>8</v>
      </c>
      <c r="AE621" s="2">
        <f t="shared" ca="1" si="67"/>
        <v>-189.9262716435187</v>
      </c>
      <c r="AF621" s="15"/>
    </row>
    <row r="622" spans="1:32" hidden="1">
      <c r="A622" s="1">
        <v>8851528</v>
      </c>
      <c r="B622" s="1" t="s">
        <v>101</v>
      </c>
      <c r="C622" t="s">
        <v>1176</v>
      </c>
      <c r="E622" s="2">
        <v>9406000206121</v>
      </c>
      <c r="F622" s="1" t="s">
        <v>113</v>
      </c>
      <c r="G622" s="1" t="s">
        <v>53</v>
      </c>
      <c r="H622" s="1" t="s">
        <v>114</v>
      </c>
      <c r="I622" s="1" t="s">
        <v>115</v>
      </c>
      <c r="J622" s="1" t="s">
        <v>46</v>
      </c>
      <c r="K622" t="s">
        <v>116</v>
      </c>
      <c r="M622" s="1" t="s">
        <v>35</v>
      </c>
      <c r="N622" s="1">
        <v>42318949</v>
      </c>
      <c r="O622" s="1" t="s">
        <v>105</v>
      </c>
      <c r="P622" s="12">
        <v>44795.769606481481</v>
      </c>
      <c r="R622" s="1" t="s">
        <v>38</v>
      </c>
      <c r="T622" s="1" t="s">
        <v>74</v>
      </c>
      <c r="U622" s="12">
        <v>44796.75</v>
      </c>
      <c r="V622" s="1" t="s">
        <v>41</v>
      </c>
      <c r="W622" s="1" t="s">
        <v>49</v>
      </c>
      <c r="X622" s="13" t="str">
        <f t="shared" si="68"/>
        <v/>
      </c>
      <c r="Y622" s="2">
        <f t="shared" ca="1" si="63"/>
        <v>138</v>
      </c>
      <c r="Z622" s="14">
        <v>1</v>
      </c>
      <c r="AA622" s="1" t="str">
        <f t="shared" ca="1" si="64"/>
        <v>VENCIDO</v>
      </c>
      <c r="AB622" s="1" t="str">
        <f t="shared" si="65"/>
        <v>TAAe+</v>
      </c>
      <c r="AC622" s="2" t="str">
        <f t="shared" si="69"/>
        <v xml:space="preserve"> CLEITON </v>
      </c>
      <c r="AD622" s="2">
        <f t="shared" si="66"/>
        <v>8</v>
      </c>
      <c r="AE622" s="2">
        <f t="shared" ca="1" si="67"/>
        <v>-189.9262716435187</v>
      </c>
      <c r="AF622" s="15"/>
    </row>
    <row r="623" spans="1:32">
      <c r="A623" s="1">
        <v>8854131</v>
      </c>
      <c r="B623" s="1" t="s">
        <v>62</v>
      </c>
      <c r="C623" t="s">
        <v>1181</v>
      </c>
      <c r="E623" s="2">
        <v>600000203000</v>
      </c>
      <c r="F623" s="1" t="s">
        <v>454</v>
      </c>
      <c r="G623" s="1" t="s">
        <v>53</v>
      </c>
      <c r="H623" s="1" t="s">
        <v>1084</v>
      </c>
      <c r="I623" s="1" t="s">
        <v>1085</v>
      </c>
      <c r="J623" s="1" t="s">
        <v>90</v>
      </c>
      <c r="K623" t="s">
        <v>457</v>
      </c>
      <c r="M623" s="1" t="s">
        <v>58</v>
      </c>
      <c r="N623" s="1">
        <v>0</v>
      </c>
      <c r="O623" s="1" t="s">
        <v>36</v>
      </c>
      <c r="P623" s="12">
        <v>44796.643958333334</v>
      </c>
      <c r="R623" s="1">
        <v>1</v>
      </c>
      <c r="T623" s="1" t="s">
        <v>157</v>
      </c>
      <c r="U623" s="12">
        <v>44831.75</v>
      </c>
      <c r="V623" s="1" t="s">
        <v>41</v>
      </c>
      <c r="W623" s="1" t="s">
        <v>49</v>
      </c>
      <c r="X623" s="13" t="str">
        <f t="shared" si="68"/>
        <v/>
      </c>
      <c r="Y623" s="2">
        <f t="shared" ca="1" si="63"/>
        <v>137</v>
      </c>
      <c r="Z623" s="14">
        <v>1</v>
      </c>
      <c r="AA623" s="1" t="str">
        <f t="shared" ca="1" si="64"/>
        <v>VENCIDO</v>
      </c>
      <c r="AB623" s="1" t="str">
        <f t="shared" si="65"/>
        <v>C-14</v>
      </c>
      <c r="AC623" s="2" t="str">
        <f t="shared" si="69"/>
        <v xml:space="preserve"> RINALDO </v>
      </c>
      <c r="AD623" s="2">
        <f t="shared" si="66"/>
        <v>5</v>
      </c>
      <c r="AE623" s="2">
        <f t="shared" ca="1" si="67"/>
        <v>-154.9262716435187</v>
      </c>
      <c r="AF623" s="15"/>
    </row>
    <row r="624" spans="1:32">
      <c r="A624" s="1">
        <v>8861317</v>
      </c>
      <c r="B624" s="1" t="s">
        <v>62</v>
      </c>
      <c r="C624" t="s">
        <v>1182</v>
      </c>
      <c r="E624" s="2">
        <v>2170000206001</v>
      </c>
      <c r="F624" s="1" t="s">
        <v>29</v>
      </c>
      <c r="G624" s="1" t="s">
        <v>53</v>
      </c>
      <c r="H624" s="1" t="s">
        <v>477</v>
      </c>
      <c r="I624" s="1" t="s">
        <v>478</v>
      </c>
      <c r="J624" s="1" t="s">
        <v>148</v>
      </c>
      <c r="K624" t="s">
        <v>34</v>
      </c>
      <c r="M624" s="1" t="s">
        <v>35</v>
      </c>
      <c r="N624" s="1">
        <v>42318949</v>
      </c>
      <c r="O624" s="1" t="s">
        <v>36</v>
      </c>
      <c r="P624" s="12">
        <v>44799.364745370367</v>
      </c>
      <c r="R624" s="1" t="s">
        <v>38</v>
      </c>
      <c r="T624" s="1" t="s">
        <v>74</v>
      </c>
      <c r="U624" s="12">
        <v>44841.75</v>
      </c>
      <c r="V624" s="1" t="s">
        <v>41</v>
      </c>
      <c r="W624" s="1" t="s">
        <v>49</v>
      </c>
      <c r="X624" s="13" t="str">
        <f t="shared" si="68"/>
        <v/>
      </c>
      <c r="Y624" s="2">
        <f t="shared" ca="1" si="63"/>
        <v>134</v>
      </c>
      <c r="Z624" s="14">
        <v>1</v>
      </c>
      <c r="AA624" s="1" t="str">
        <f t="shared" ca="1" si="64"/>
        <v>VENCIDO</v>
      </c>
      <c r="AB624" s="1" t="str">
        <f t="shared" si="65"/>
        <v>Dosa</v>
      </c>
      <c r="AC624" s="2" t="str">
        <f t="shared" si="69"/>
        <v xml:space="preserve"> RINALDO </v>
      </c>
      <c r="AD624" s="2">
        <f t="shared" si="66"/>
        <v>5</v>
      </c>
      <c r="AE624" s="2">
        <f t="shared" ca="1" si="67"/>
        <v>-144.9262716435187</v>
      </c>
      <c r="AF624" s="15"/>
    </row>
    <row r="625" spans="1:32" hidden="1">
      <c r="A625" s="1">
        <v>8870241</v>
      </c>
      <c r="B625" s="1" t="s">
        <v>62</v>
      </c>
      <c r="C625" t="s">
        <v>1183</v>
      </c>
      <c r="E625" s="2">
        <v>2830000203000</v>
      </c>
      <c r="F625" s="1" t="s">
        <v>454</v>
      </c>
      <c r="G625" s="1" t="s">
        <v>53</v>
      </c>
      <c r="H625" s="1" t="s">
        <v>448</v>
      </c>
      <c r="I625" s="1" t="s">
        <v>449</v>
      </c>
      <c r="J625" s="1" t="s">
        <v>33</v>
      </c>
      <c r="K625" t="s">
        <v>457</v>
      </c>
      <c r="M625" s="1" t="s">
        <v>58</v>
      </c>
      <c r="N625" s="1">
        <v>0</v>
      </c>
      <c r="O625" s="1" t="s">
        <v>36</v>
      </c>
      <c r="P625" s="11" t="s">
        <v>1184</v>
      </c>
      <c r="R625" s="1">
        <v>1</v>
      </c>
      <c r="T625" s="1" t="s">
        <v>157</v>
      </c>
      <c r="U625" s="11" t="s">
        <v>1185</v>
      </c>
      <c r="V625" s="1" t="s">
        <v>41</v>
      </c>
      <c r="W625" s="1" t="s">
        <v>42</v>
      </c>
      <c r="X625" s="13" t="str">
        <f t="shared" si="68"/>
        <v/>
      </c>
      <c r="Y625" s="2">
        <f t="shared" ca="1" si="63"/>
        <v>132</v>
      </c>
      <c r="Z625" s="14">
        <v>1</v>
      </c>
      <c r="AA625" s="1" t="str">
        <f t="shared" ca="1" si="64"/>
        <v>VENCIDO</v>
      </c>
      <c r="AB625" s="1" t="str">
        <f t="shared" si="65"/>
        <v>C-14</v>
      </c>
      <c r="AC625" s="2" t="str">
        <f t="shared" si="69"/>
        <v xml:space="preserve"> ROSEMERE </v>
      </c>
      <c r="AD625" s="2">
        <f t="shared" si="66"/>
        <v>5</v>
      </c>
      <c r="AE625" s="2">
        <f t="shared" ca="1" si="67"/>
        <v>-147.9262716435187</v>
      </c>
      <c r="AF625" s="15"/>
    </row>
    <row r="626" spans="1:32" hidden="1">
      <c r="A626" s="1">
        <v>8873349</v>
      </c>
      <c r="B626" s="1" t="s">
        <v>62</v>
      </c>
      <c r="C626" t="s">
        <v>1186</v>
      </c>
      <c r="E626" s="2">
        <v>1902016236500</v>
      </c>
      <c r="F626" s="1" t="s">
        <v>64</v>
      </c>
      <c r="G626" s="1" t="s">
        <v>53</v>
      </c>
      <c r="H626" s="1" t="s">
        <v>159</v>
      </c>
      <c r="I626" s="1" t="s">
        <v>160</v>
      </c>
      <c r="J626" s="1" t="s">
        <v>46</v>
      </c>
      <c r="K626" t="s">
        <v>67</v>
      </c>
      <c r="M626" s="1" t="s">
        <v>35</v>
      </c>
      <c r="N626" s="1">
        <v>42318949</v>
      </c>
      <c r="O626" s="1" t="s">
        <v>36</v>
      </c>
      <c r="P626" s="11" t="s">
        <v>1187</v>
      </c>
      <c r="R626" s="1">
        <v>1</v>
      </c>
      <c r="T626" s="1" t="s">
        <v>69</v>
      </c>
      <c r="U626" s="11" t="s">
        <v>1188</v>
      </c>
      <c r="V626" s="1" t="s">
        <v>41</v>
      </c>
      <c r="W626" s="1" t="s">
        <v>49</v>
      </c>
      <c r="X626" s="13" t="str">
        <f t="shared" si="68"/>
        <v/>
      </c>
      <c r="Y626" s="2">
        <f t="shared" ca="1" si="63"/>
        <v>131</v>
      </c>
      <c r="Z626" s="14">
        <v>1</v>
      </c>
      <c r="AA626" s="1" t="str">
        <f t="shared" ca="1" si="64"/>
        <v>VENCIDO</v>
      </c>
      <c r="AB626" s="1" t="str">
        <f t="shared" si="65"/>
        <v>TAAe+</v>
      </c>
      <c r="AC626" s="2" t="str">
        <f t="shared" si="69"/>
        <v xml:space="preserve"> CLEITON </v>
      </c>
      <c r="AD626" s="2">
        <f t="shared" si="66"/>
        <v>8</v>
      </c>
      <c r="AE626" s="2">
        <f t="shared" ca="1" si="67"/>
        <v>-181.10917673611402</v>
      </c>
      <c r="AF626" s="15"/>
    </row>
    <row r="627" spans="1:32" hidden="1">
      <c r="A627" s="1">
        <v>8873348</v>
      </c>
      <c r="B627" s="1" t="s">
        <v>62</v>
      </c>
      <c r="C627" t="s">
        <v>1186</v>
      </c>
      <c r="E627" s="2">
        <v>1902016232600</v>
      </c>
      <c r="F627" s="1" t="s">
        <v>64</v>
      </c>
      <c r="G627" s="1" t="s">
        <v>53</v>
      </c>
      <c r="H627" s="1" t="s">
        <v>191</v>
      </c>
      <c r="I627" s="1" t="s">
        <v>192</v>
      </c>
      <c r="J627" s="1" t="s">
        <v>46</v>
      </c>
      <c r="K627" t="s">
        <v>67</v>
      </c>
      <c r="M627" s="1" t="s">
        <v>35</v>
      </c>
      <c r="N627" s="1">
        <v>42318949</v>
      </c>
      <c r="O627" s="1" t="s">
        <v>36</v>
      </c>
      <c r="P627" s="11" t="s">
        <v>1187</v>
      </c>
      <c r="R627" s="1">
        <v>1</v>
      </c>
      <c r="T627" s="1" t="s">
        <v>69</v>
      </c>
      <c r="U627" s="11" t="s">
        <v>1188</v>
      </c>
      <c r="V627" s="1" t="s">
        <v>41</v>
      </c>
      <c r="W627" s="1" t="s">
        <v>49</v>
      </c>
      <c r="X627" s="13" t="str">
        <f t="shared" si="68"/>
        <v/>
      </c>
      <c r="Y627" s="2">
        <f t="shared" ca="1" si="63"/>
        <v>131</v>
      </c>
      <c r="Z627" s="14">
        <v>1</v>
      </c>
      <c r="AA627" s="1" t="str">
        <f t="shared" ca="1" si="64"/>
        <v>VENCIDO</v>
      </c>
      <c r="AB627" s="1" t="str">
        <f t="shared" si="65"/>
        <v>TAAe+</v>
      </c>
      <c r="AC627" s="2" t="str">
        <f t="shared" si="69"/>
        <v xml:space="preserve"> CLEITON </v>
      </c>
      <c r="AD627" s="2">
        <f t="shared" si="66"/>
        <v>8</v>
      </c>
      <c r="AE627" s="2">
        <f t="shared" ca="1" si="67"/>
        <v>-181.10917673611402</v>
      </c>
      <c r="AF627" s="15"/>
    </row>
    <row r="628" spans="1:32">
      <c r="A628" s="1">
        <v>8873343</v>
      </c>
      <c r="B628" s="1" t="s">
        <v>62</v>
      </c>
      <c r="C628" t="s">
        <v>1186</v>
      </c>
      <c r="E628" s="2">
        <v>1902016136200</v>
      </c>
      <c r="F628" s="1" t="s">
        <v>64</v>
      </c>
      <c r="G628" s="1" t="s">
        <v>53</v>
      </c>
      <c r="H628" s="1" t="s">
        <v>268</v>
      </c>
      <c r="I628" s="1" t="s">
        <v>269</v>
      </c>
      <c r="J628" s="1" t="s">
        <v>90</v>
      </c>
      <c r="K628" t="s">
        <v>67</v>
      </c>
      <c r="M628" s="1" t="s">
        <v>35</v>
      </c>
      <c r="N628" s="1">
        <v>42318949</v>
      </c>
      <c r="O628" s="1" t="s">
        <v>36</v>
      </c>
      <c r="P628" s="11" t="s">
        <v>1189</v>
      </c>
      <c r="R628" s="1">
        <v>1</v>
      </c>
      <c r="T628" s="1" t="s">
        <v>69</v>
      </c>
      <c r="U628" s="11" t="s">
        <v>1190</v>
      </c>
      <c r="V628" s="1" t="s">
        <v>41</v>
      </c>
      <c r="W628" s="1" t="s">
        <v>49</v>
      </c>
      <c r="X628" s="13" t="str">
        <f t="shared" si="68"/>
        <v/>
      </c>
      <c r="Y628" s="2">
        <f t="shared" ca="1" si="63"/>
        <v>131</v>
      </c>
      <c r="Z628" s="14">
        <v>1</v>
      </c>
      <c r="AA628" s="1" t="str">
        <f t="shared" ca="1" si="64"/>
        <v>VENCIDO</v>
      </c>
      <c r="AB628" s="1" t="str">
        <f t="shared" si="65"/>
        <v>TAAe+</v>
      </c>
      <c r="AC628" s="2" t="str">
        <f t="shared" si="69"/>
        <v xml:space="preserve"> RINALDO </v>
      </c>
      <c r="AD628" s="2">
        <f t="shared" si="66"/>
        <v>8</v>
      </c>
      <c r="AE628" s="2">
        <f t="shared" ca="1" si="67"/>
        <v>-181.10918831018353</v>
      </c>
      <c r="AF628" s="15"/>
    </row>
    <row r="629" spans="1:32" hidden="1">
      <c r="A629" s="1">
        <v>8873342</v>
      </c>
      <c r="B629" s="1" t="s">
        <v>62</v>
      </c>
      <c r="C629" t="s">
        <v>1186</v>
      </c>
      <c r="E629" s="2">
        <v>1902016112800</v>
      </c>
      <c r="F629" s="1" t="s">
        <v>64</v>
      </c>
      <c r="G629" s="1" t="s">
        <v>53</v>
      </c>
      <c r="H629" s="1" t="s">
        <v>1191</v>
      </c>
      <c r="I629" s="1" t="s">
        <v>1192</v>
      </c>
      <c r="J629" s="1" t="s">
        <v>33</v>
      </c>
      <c r="K629" t="s">
        <v>67</v>
      </c>
      <c r="M629" s="1" t="s">
        <v>35</v>
      </c>
      <c r="N629" s="1">
        <v>42318949</v>
      </c>
      <c r="O629" s="1" t="s">
        <v>36</v>
      </c>
      <c r="P629" s="11" t="s">
        <v>1189</v>
      </c>
      <c r="R629" s="1">
        <v>1</v>
      </c>
      <c r="T629" s="1" t="s">
        <v>69</v>
      </c>
      <c r="U629" s="11" t="s">
        <v>1190</v>
      </c>
      <c r="V629" s="1" t="s">
        <v>41</v>
      </c>
      <c r="W629" s="1" t="s">
        <v>49</v>
      </c>
      <c r="X629" s="13" t="str">
        <f t="shared" si="68"/>
        <v/>
      </c>
      <c r="Y629" s="2">
        <f t="shared" ca="1" si="63"/>
        <v>131</v>
      </c>
      <c r="Z629" s="14">
        <v>1</v>
      </c>
      <c r="AA629" s="1" t="str">
        <f t="shared" ca="1" si="64"/>
        <v>VENCIDO</v>
      </c>
      <c r="AB629" s="1" t="str">
        <f t="shared" si="65"/>
        <v>TAAe+</v>
      </c>
      <c r="AC629" s="2" t="str">
        <f t="shared" si="69"/>
        <v xml:space="preserve"> ROSEMERE </v>
      </c>
      <c r="AD629" s="2">
        <f t="shared" si="66"/>
        <v>8</v>
      </c>
      <c r="AE629" s="2">
        <f t="shared" ca="1" si="67"/>
        <v>-181.10918831018353</v>
      </c>
      <c r="AF629" s="15"/>
    </row>
    <row r="630" spans="1:32">
      <c r="A630" s="1">
        <v>8873335</v>
      </c>
      <c r="B630" s="1" t="s">
        <v>62</v>
      </c>
      <c r="C630" t="s">
        <v>1186</v>
      </c>
      <c r="E630" s="2">
        <v>1902016024600</v>
      </c>
      <c r="F630" s="1" t="s">
        <v>64</v>
      </c>
      <c r="G630" s="1" t="s">
        <v>53</v>
      </c>
      <c r="H630" s="1" t="s">
        <v>1193</v>
      </c>
      <c r="I630" s="1" t="s">
        <v>1194</v>
      </c>
      <c r="J630" s="1" t="s">
        <v>85</v>
      </c>
      <c r="K630" t="s">
        <v>67</v>
      </c>
      <c r="M630" s="1" t="s">
        <v>35</v>
      </c>
      <c r="N630" s="1">
        <v>42318949</v>
      </c>
      <c r="O630" s="1" t="s">
        <v>36</v>
      </c>
      <c r="P630" s="12">
        <v>44804.567071759258</v>
      </c>
      <c r="R630" s="1">
        <v>1</v>
      </c>
      <c r="T630" s="1" t="s">
        <v>69</v>
      </c>
      <c r="U630" s="12">
        <v>44805.567071759258</v>
      </c>
      <c r="V630" s="1" t="s">
        <v>41</v>
      </c>
      <c r="W630" s="1" t="s">
        <v>49</v>
      </c>
      <c r="X630" s="13" t="str">
        <f t="shared" si="68"/>
        <v/>
      </c>
      <c r="Y630" s="2">
        <f t="shared" ca="1" si="63"/>
        <v>131</v>
      </c>
      <c r="Z630" s="14">
        <v>1</v>
      </c>
      <c r="AA630" s="1" t="str">
        <f t="shared" ca="1" si="64"/>
        <v>VENCIDO</v>
      </c>
      <c r="AB630" s="1" t="str">
        <f t="shared" si="65"/>
        <v>TAAe+</v>
      </c>
      <c r="AC630" s="2" t="str">
        <f t="shared" si="69"/>
        <v xml:space="preserve"> RINALDO </v>
      </c>
      <c r="AD630" s="2">
        <f t="shared" si="66"/>
        <v>8</v>
      </c>
      <c r="AE630" s="2">
        <f t="shared" ca="1" si="67"/>
        <v>-181.10919988426031</v>
      </c>
      <c r="AF630" s="15"/>
    </row>
    <row r="631" spans="1:32" hidden="1">
      <c r="A631" s="1">
        <v>8879008</v>
      </c>
      <c r="B631" s="1" t="s">
        <v>62</v>
      </c>
      <c r="C631" t="s">
        <v>1195</v>
      </c>
      <c r="E631" s="2">
        <v>2365000203000</v>
      </c>
      <c r="F631" s="1" t="s">
        <v>454</v>
      </c>
      <c r="G631" s="1" t="s">
        <v>53</v>
      </c>
      <c r="H631" s="1" t="s">
        <v>159</v>
      </c>
      <c r="I631" s="1" t="s">
        <v>160</v>
      </c>
      <c r="J631" s="1" t="s">
        <v>46</v>
      </c>
      <c r="K631" t="s">
        <v>457</v>
      </c>
      <c r="M631" s="1" t="s">
        <v>58</v>
      </c>
      <c r="N631" s="1">
        <v>0</v>
      </c>
      <c r="O631" s="1" t="s">
        <v>36</v>
      </c>
      <c r="P631" s="11" t="s">
        <v>1196</v>
      </c>
      <c r="R631" s="1">
        <v>1</v>
      </c>
      <c r="T631" s="1" t="s">
        <v>157</v>
      </c>
      <c r="U631" s="11" t="s">
        <v>1197</v>
      </c>
      <c r="V631" s="1" t="s">
        <v>41</v>
      </c>
      <c r="W631" s="1" t="s">
        <v>49</v>
      </c>
      <c r="X631" s="13" t="str">
        <f t="shared" si="68"/>
        <v/>
      </c>
      <c r="Y631" s="2">
        <f t="shared" ca="1" si="63"/>
        <v>129</v>
      </c>
      <c r="Z631" s="14">
        <v>1</v>
      </c>
      <c r="AA631" s="1" t="str">
        <f t="shared" ca="1" si="64"/>
        <v>VENCIDO</v>
      </c>
      <c r="AB631" s="1" t="str">
        <f t="shared" si="65"/>
        <v>C-14</v>
      </c>
      <c r="AC631" s="2" t="str">
        <f t="shared" si="69"/>
        <v xml:space="preserve"> CLEITON </v>
      </c>
      <c r="AD631" s="2">
        <f t="shared" si="66"/>
        <v>5</v>
      </c>
      <c r="AE631" s="2">
        <f t="shared" ca="1" si="67"/>
        <v>-144.9262716435187</v>
      </c>
      <c r="AF631" s="15"/>
    </row>
    <row r="632" spans="1:32" hidden="1">
      <c r="A632" s="1">
        <v>8878112</v>
      </c>
      <c r="B632" s="1" t="s">
        <v>62</v>
      </c>
      <c r="C632" t="s">
        <v>1198</v>
      </c>
      <c r="E632" s="2">
        <v>3108000203000</v>
      </c>
      <c r="F632" s="1" t="s">
        <v>454</v>
      </c>
      <c r="G632" s="1" t="s">
        <v>53</v>
      </c>
      <c r="H632" s="1" t="s">
        <v>325</v>
      </c>
      <c r="I632" s="1" t="s">
        <v>326</v>
      </c>
      <c r="J632" s="1" t="s">
        <v>46</v>
      </c>
      <c r="K632" t="s">
        <v>457</v>
      </c>
      <c r="M632" s="1" t="s">
        <v>58</v>
      </c>
      <c r="N632" s="1">
        <v>0</v>
      </c>
      <c r="O632" s="1" t="s">
        <v>36</v>
      </c>
      <c r="P632" s="11" t="s">
        <v>1199</v>
      </c>
      <c r="R632" s="1">
        <v>1</v>
      </c>
      <c r="T632" s="1" t="s">
        <v>157</v>
      </c>
      <c r="U632" s="12">
        <v>44841.75</v>
      </c>
      <c r="V632" s="1" t="s">
        <v>41</v>
      </c>
      <c r="W632" s="1" t="s">
        <v>49</v>
      </c>
      <c r="X632" s="13" t="str">
        <f t="shared" si="68"/>
        <v/>
      </c>
      <c r="Y632" s="2">
        <f t="shared" ca="1" si="63"/>
        <v>129</v>
      </c>
      <c r="Z632" s="14">
        <v>1</v>
      </c>
      <c r="AA632" s="1" t="str">
        <f t="shared" ca="1" si="64"/>
        <v>VENCIDO</v>
      </c>
      <c r="AB632" s="1" t="str">
        <f t="shared" si="65"/>
        <v>C-14</v>
      </c>
      <c r="AC632" s="2" t="str">
        <f t="shared" si="69"/>
        <v xml:space="preserve"> CLEITON </v>
      </c>
      <c r="AD632" s="2">
        <f t="shared" si="66"/>
        <v>5</v>
      </c>
      <c r="AE632" s="2">
        <f t="shared" ca="1" si="67"/>
        <v>-144.9262716435187</v>
      </c>
      <c r="AF632" s="15"/>
    </row>
    <row r="633" spans="1:32">
      <c r="A633" s="1">
        <v>8894073</v>
      </c>
      <c r="B633" s="1" t="s">
        <v>62</v>
      </c>
      <c r="C633" t="s">
        <v>1200</v>
      </c>
      <c r="E633" s="2">
        <v>870000206001</v>
      </c>
      <c r="F633" s="1" t="s">
        <v>29</v>
      </c>
      <c r="G633" s="1" t="s">
        <v>53</v>
      </c>
      <c r="H633" s="1" t="s">
        <v>183</v>
      </c>
      <c r="I633" s="1" t="s">
        <v>184</v>
      </c>
      <c r="J633" s="1" t="s">
        <v>90</v>
      </c>
      <c r="K633" t="s">
        <v>34</v>
      </c>
      <c r="M633" s="1" t="s">
        <v>35</v>
      </c>
      <c r="N633" s="1">
        <v>42318949</v>
      </c>
      <c r="O633" s="1" t="s">
        <v>36</v>
      </c>
      <c r="P633" s="11" t="s">
        <v>1201</v>
      </c>
      <c r="R633" s="1" t="s">
        <v>38</v>
      </c>
      <c r="T633" s="1" t="s">
        <v>74</v>
      </c>
      <c r="U633" s="11" t="s">
        <v>1202</v>
      </c>
      <c r="V633" s="1" t="s">
        <v>41</v>
      </c>
      <c r="W633" s="1" t="s">
        <v>49</v>
      </c>
      <c r="X633" s="13" t="str">
        <f t="shared" si="68"/>
        <v/>
      </c>
      <c r="Y633" s="2">
        <f t="shared" ca="1" si="63"/>
        <v>124</v>
      </c>
      <c r="Z633" s="14">
        <v>1</v>
      </c>
      <c r="AA633" s="1" t="str">
        <f t="shared" ca="1" si="64"/>
        <v>VENCIDO</v>
      </c>
      <c r="AB633" s="1" t="str">
        <f t="shared" si="65"/>
        <v>Dosa</v>
      </c>
      <c r="AC633" s="2" t="str">
        <f t="shared" si="69"/>
        <v xml:space="preserve"> RINALDO </v>
      </c>
      <c r="AD633" s="2">
        <f t="shared" si="66"/>
        <v>5</v>
      </c>
      <c r="AE633" s="2">
        <f t="shared" ca="1" si="67"/>
        <v>-130.9262716435187</v>
      </c>
      <c r="AF633" s="15"/>
    </row>
    <row r="634" spans="1:32" hidden="1">
      <c r="A634" s="1">
        <v>8894047</v>
      </c>
      <c r="B634" s="1" t="s">
        <v>62</v>
      </c>
      <c r="C634" t="s">
        <v>1203</v>
      </c>
      <c r="E634" s="2">
        <v>1011000206001</v>
      </c>
      <c r="F634" s="1" t="s">
        <v>29</v>
      </c>
      <c r="G634" s="1" t="s">
        <v>53</v>
      </c>
      <c r="H634" s="1" t="s">
        <v>272</v>
      </c>
      <c r="I634" s="1" t="s">
        <v>273</v>
      </c>
      <c r="J634" s="1" t="s">
        <v>33</v>
      </c>
      <c r="K634" t="s">
        <v>34</v>
      </c>
      <c r="M634" s="1" t="s">
        <v>35</v>
      </c>
      <c r="N634" s="1">
        <v>42318949</v>
      </c>
      <c r="O634" s="1" t="s">
        <v>36</v>
      </c>
      <c r="P634" s="11" t="s">
        <v>1204</v>
      </c>
      <c r="R634" s="1" t="s">
        <v>38</v>
      </c>
      <c r="T634" s="1" t="s">
        <v>74</v>
      </c>
      <c r="U634" s="11" t="s">
        <v>1202</v>
      </c>
      <c r="V634" s="1" t="s">
        <v>41</v>
      </c>
      <c r="W634" s="1" t="s">
        <v>49</v>
      </c>
      <c r="X634" s="13" t="str">
        <f t="shared" si="68"/>
        <v/>
      </c>
      <c r="Y634" s="2">
        <f t="shared" ca="1" si="63"/>
        <v>124</v>
      </c>
      <c r="Z634" s="14">
        <v>1</v>
      </c>
      <c r="AA634" s="1" t="str">
        <f t="shared" ca="1" si="64"/>
        <v>VENCIDO</v>
      </c>
      <c r="AB634" s="1" t="str">
        <f t="shared" si="65"/>
        <v>Dosa</v>
      </c>
      <c r="AC634" s="2" t="str">
        <f t="shared" si="69"/>
        <v xml:space="preserve"> ROSEMERE </v>
      </c>
      <c r="AD634" s="2">
        <f t="shared" si="66"/>
        <v>5</v>
      </c>
      <c r="AE634" s="2">
        <f t="shared" ca="1" si="67"/>
        <v>-130.9262716435187</v>
      </c>
      <c r="AF634" s="15"/>
    </row>
    <row r="635" spans="1:32" hidden="1">
      <c r="A635" s="1">
        <v>8898899</v>
      </c>
      <c r="B635" s="1" t="s">
        <v>226</v>
      </c>
      <c r="C635" t="s">
        <v>1205</v>
      </c>
      <c r="E635" s="2">
        <v>69000206001</v>
      </c>
      <c r="F635" s="1" t="s">
        <v>29</v>
      </c>
      <c r="G635" s="1" t="s">
        <v>53</v>
      </c>
      <c r="H635" s="1" t="s">
        <v>1206</v>
      </c>
      <c r="I635" s="1" t="s">
        <v>1207</v>
      </c>
      <c r="J635" s="1" t="s">
        <v>33</v>
      </c>
      <c r="K635" t="s">
        <v>34</v>
      </c>
      <c r="M635" s="1" t="s">
        <v>35</v>
      </c>
      <c r="N635" s="1">
        <v>42318949</v>
      </c>
      <c r="O635" s="1" t="s">
        <v>105</v>
      </c>
      <c r="P635" s="11" t="s">
        <v>1208</v>
      </c>
      <c r="R635" s="1" t="s">
        <v>38</v>
      </c>
      <c r="T635" s="1" t="s">
        <v>74</v>
      </c>
      <c r="U635" s="11" t="s">
        <v>1209</v>
      </c>
      <c r="V635" s="1" t="s">
        <v>41</v>
      </c>
      <c r="W635" s="1" t="s">
        <v>42</v>
      </c>
      <c r="X635" s="13" t="str">
        <f t="shared" si="68"/>
        <v/>
      </c>
      <c r="Y635" s="2">
        <f t="shared" ca="1" si="63"/>
        <v>123</v>
      </c>
      <c r="Z635" s="14">
        <v>1</v>
      </c>
      <c r="AA635" s="1" t="str">
        <f t="shared" ca="1" si="64"/>
        <v>VENCIDO</v>
      </c>
      <c r="AB635" s="1" t="str">
        <f t="shared" si="65"/>
        <v>Dosa</v>
      </c>
      <c r="AC635" s="2" t="str">
        <f t="shared" si="69"/>
        <v xml:space="preserve"> ROSEMERE </v>
      </c>
      <c r="AD635" s="2">
        <f t="shared" si="66"/>
        <v>5</v>
      </c>
      <c r="AE635" s="2">
        <f t="shared" ca="1" si="67"/>
        <v>-127.9262716435187</v>
      </c>
      <c r="AF635" s="15"/>
    </row>
    <row r="636" spans="1:32">
      <c r="A636" s="1">
        <v>8903976</v>
      </c>
      <c r="B636" s="1" t="s">
        <v>81</v>
      </c>
      <c r="C636" t="s">
        <v>1210</v>
      </c>
      <c r="E636" s="2">
        <v>7419141891975</v>
      </c>
      <c r="F636" s="1" t="s">
        <v>128</v>
      </c>
      <c r="G636" s="1" t="s">
        <v>53</v>
      </c>
      <c r="H636" s="1" t="s">
        <v>519</v>
      </c>
      <c r="I636" s="1" t="s">
        <v>520</v>
      </c>
      <c r="J636" s="1" t="s">
        <v>90</v>
      </c>
      <c r="K636" t="s">
        <v>129</v>
      </c>
      <c r="M636" s="1" t="s">
        <v>58</v>
      </c>
      <c r="N636" s="1">
        <v>0</v>
      </c>
      <c r="O636" s="1" t="s">
        <v>105</v>
      </c>
      <c r="P636" s="11" t="s">
        <v>1211</v>
      </c>
      <c r="R636" s="1">
        <v>14</v>
      </c>
      <c r="T636" s="1" t="s">
        <v>238</v>
      </c>
      <c r="U636" s="11" t="s">
        <v>1212</v>
      </c>
      <c r="V636" s="1" t="s">
        <v>41</v>
      </c>
      <c r="W636" s="1" t="s">
        <v>49</v>
      </c>
      <c r="X636" s="13" t="str">
        <f t="shared" si="68"/>
        <v>0870.91</v>
      </c>
      <c r="Y636" s="2">
        <f t="shared" ca="1" si="63"/>
        <v>122</v>
      </c>
      <c r="Z636" s="14">
        <v>1</v>
      </c>
      <c r="AA636" s="1" t="str">
        <f t="shared" ca="1" si="64"/>
        <v>VENCIDO</v>
      </c>
      <c r="AB636" s="1" t="str">
        <f t="shared" si="65"/>
        <v>TAAe+</v>
      </c>
      <c r="AC636" s="2" t="str">
        <f t="shared" si="69"/>
        <v xml:space="preserve"> RINALDO </v>
      </c>
      <c r="AD636" s="2">
        <f t="shared" si="66"/>
        <v>8</v>
      </c>
      <c r="AE636" s="2">
        <f t="shared" ca="1" si="67"/>
        <v>-167.94571608796105</v>
      </c>
      <c r="AF636" s="15"/>
    </row>
    <row r="637" spans="1:32">
      <c r="A637" s="1">
        <v>8903971</v>
      </c>
      <c r="B637" s="1" t="s">
        <v>81</v>
      </c>
      <c r="C637" t="s">
        <v>1210</v>
      </c>
      <c r="E637" s="2">
        <v>7417202020515</v>
      </c>
      <c r="F637" s="1" t="s">
        <v>1213</v>
      </c>
      <c r="G637" s="1" t="s">
        <v>53</v>
      </c>
      <c r="H637" s="1" t="s">
        <v>519</v>
      </c>
      <c r="I637" s="1" t="s">
        <v>520</v>
      </c>
      <c r="J637" s="1" t="s">
        <v>90</v>
      </c>
      <c r="K637" t="s">
        <v>1214</v>
      </c>
      <c r="M637" s="1" t="s">
        <v>58</v>
      </c>
      <c r="N637" s="1">
        <v>0</v>
      </c>
      <c r="O637" s="1" t="s">
        <v>105</v>
      </c>
      <c r="P637" s="11" t="s">
        <v>1215</v>
      </c>
      <c r="R637" s="1">
        <v>14</v>
      </c>
      <c r="T637" s="1" t="s">
        <v>238</v>
      </c>
      <c r="U637" s="11" t="s">
        <v>1216</v>
      </c>
      <c r="V637" s="1" t="s">
        <v>41</v>
      </c>
      <c r="W637" s="1" t="s">
        <v>49</v>
      </c>
      <c r="X637" s="13" t="str">
        <f t="shared" si="68"/>
        <v>0870.91</v>
      </c>
      <c r="Y637" s="2">
        <f t="shared" ca="1" si="63"/>
        <v>122</v>
      </c>
      <c r="Z637" s="14">
        <v>1</v>
      </c>
      <c r="AA637" s="1" t="str">
        <f t="shared" ca="1" si="64"/>
        <v>VENCIDO</v>
      </c>
      <c r="AB637" s="1" t="str">
        <f t="shared" si="65"/>
        <v>TAAe+</v>
      </c>
      <c r="AC637" s="2" t="str">
        <f t="shared" si="69"/>
        <v xml:space="preserve"> RINALDO </v>
      </c>
      <c r="AD637" s="2">
        <f t="shared" si="66"/>
        <v>8</v>
      </c>
      <c r="AE637" s="2">
        <f t="shared" ca="1" si="67"/>
        <v>-167.94891053241008</v>
      </c>
      <c r="AF637" s="15"/>
    </row>
    <row r="638" spans="1:32">
      <c r="A638" s="1">
        <v>8903953</v>
      </c>
      <c r="B638" s="1" t="s">
        <v>81</v>
      </c>
      <c r="C638" t="s">
        <v>1210</v>
      </c>
      <c r="E638" s="2">
        <v>7417161483328</v>
      </c>
      <c r="F638" s="1" t="s">
        <v>1217</v>
      </c>
      <c r="G638" s="1" t="s">
        <v>53</v>
      </c>
      <c r="H638" s="1" t="s">
        <v>519</v>
      </c>
      <c r="I638" s="1" t="s">
        <v>520</v>
      </c>
      <c r="J638" s="1" t="s">
        <v>90</v>
      </c>
      <c r="K638" t="s">
        <v>1218</v>
      </c>
      <c r="M638" s="1" t="s">
        <v>58</v>
      </c>
      <c r="N638" s="1">
        <v>0</v>
      </c>
      <c r="O638" s="1" t="s">
        <v>105</v>
      </c>
      <c r="P638" s="11" t="s">
        <v>1219</v>
      </c>
      <c r="R638" s="1">
        <v>14</v>
      </c>
      <c r="T638" s="1" t="s">
        <v>238</v>
      </c>
      <c r="U638" s="11" t="s">
        <v>1220</v>
      </c>
      <c r="V638" s="1" t="s">
        <v>41</v>
      </c>
      <c r="W638" s="1" t="s">
        <v>49</v>
      </c>
      <c r="X638" s="13" t="str">
        <f t="shared" si="68"/>
        <v>0870.91</v>
      </c>
      <c r="Y638" s="2">
        <f t="shared" ca="1" si="63"/>
        <v>122</v>
      </c>
      <c r="Z638" s="14">
        <v>1</v>
      </c>
      <c r="AA638" s="1" t="str">
        <f t="shared" ca="1" si="64"/>
        <v>VENCIDO</v>
      </c>
      <c r="AB638" s="1" t="str">
        <f t="shared" si="65"/>
        <v>TAAe+</v>
      </c>
      <c r="AC638" s="2" t="str">
        <f t="shared" si="69"/>
        <v xml:space="preserve"> RINALDO </v>
      </c>
      <c r="AD638" s="2">
        <f t="shared" si="66"/>
        <v>8</v>
      </c>
      <c r="AE638" s="2">
        <f t="shared" ca="1" si="67"/>
        <v>-167.95311192129884</v>
      </c>
      <c r="AF638" s="15"/>
    </row>
    <row r="639" spans="1:32">
      <c r="A639" s="1">
        <v>8903941</v>
      </c>
      <c r="B639" s="1" t="s">
        <v>81</v>
      </c>
      <c r="C639" t="s">
        <v>1221</v>
      </c>
      <c r="E639" s="2">
        <v>7419143323230</v>
      </c>
      <c r="F639" s="1" t="s">
        <v>1222</v>
      </c>
      <c r="G639" s="1" t="s">
        <v>53</v>
      </c>
      <c r="H639" s="1" t="s">
        <v>519</v>
      </c>
      <c r="I639" s="1" t="s">
        <v>520</v>
      </c>
      <c r="J639" s="1" t="s">
        <v>90</v>
      </c>
      <c r="K639" t="s">
        <v>1223</v>
      </c>
      <c r="M639" s="1" t="s">
        <v>58</v>
      </c>
      <c r="N639" s="1">
        <v>0</v>
      </c>
      <c r="O639" s="1" t="s">
        <v>105</v>
      </c>
      <c r="P639" s="11" t="s">
        <v>1224</v>
      </c>
      <c r="R639" s="1">
        <v>14</v>
      </c>
      <c r="T639" s="1" t="s">
        <v>238</v>
      </c>
      <c r="U639" s="11" t="s">
        <v>1225</v>
      </c>
      <c r="V639" s="1" t="s">
        <v>41</v>
      </c>
      <c r="W639" s="1" t="s">
        <v>49</v>
      </c>
      <c r="X639" s="13" t="str">
        <f t="shared" si="68"/>
        <v>0870.91</v>
      </c>
      <c r="Y639" s="2">
        <f t="shared" ca="1" si="63"/>
        <v>122</v>
      </c>
      <c r="Z639" s="14">
        <v>1</v>
      </c>
      <c r="AA639" s="1" t="str">
        <f t="shared" ca="1" si="64"/>
        <v>VENCIDO</v>
      </c>
      <c r="AB639" s="1" t="str">
        <f t="shared" si="65"/>
        <v>TAAe+</v>
      </c>
      <c r="AC639" s="2" t="str">
        <f t="shared" si="69"/>
        <v xml:space="preserve"> RINALDO </v>
      </c>
      <c r="AD639" s="2">
        <f t="shared" si="66"/>
        <v>8</v>
      </c>
      <c r="AE639" s="2">
        <f t="shared" ca="1" si="67"/>
        <v>-167.95814664351929</v>
      </c>
      <c r="AF639" s="15"/>
    </row>
    <row r="640" spans="1:32">
      <c r="A640" s="1">
        <v>8907264</v>
      </c>
      <c r="B640" s="1" t="s">
        <v>62</v>
      </c>
      <c r="C640" t="s">
        <v>1226</v>
      </c>
      <c r="E640" s="2">
        <v>870000203000</v>
      </c>
      <c r="F640" s="1" t="s">
        <v>454</v>
      </c>
      <c r="G640" s="1" t="s">
        <v>53</v>
      </c>
      <c r="H640" s="1" t="s">
        <v>183</v>
      </c>
      <c r="I640" s="1" t="s">
        <v>184</v>
      </c>
      <c r="J640" s="1" t="s">
        <v>90</v>
      </c>
      <c r="K640" t="s">
        <v>457</v>
      </c>
      <c r="M640" s="1" t="s">
        <v>58</v>
      </c>
      <c r="N640" s="1">
        <v>0</v>
      </c>
      <c r="O640" s="1" t="s">
        <v>36</v>
      </c>
      <c r="P640" s="11" t="s">
        <v>1227</v>
      </c>
      <c r="R640" s="1">
        <v>1</v>
      </c>
      <c r="T640" s="1" t="s">
        <v>157</v>
      </c>
      <c r="U640" s="11" t="s">
        <v>1228</v>
      </c>
      <c r="V640" s="1" t="s">
        <v>41</v>
      </c>
      <c r="W640" s="1" t="s">
        <v>49</v>
      </c>
      <c r="X640" s="13" t="str">
        <f t="shared" si="68"/>
        <v/>
      </c>
      <c r="Y640" s="2">
        <f t="shared" ca="1" si="63"/>
        <v>120</v>
      </c>
      <c r="Z640" s="14">
        <v>1</v>
      </c>
      <c r="AA640" s="1" t="str">
        <f t="shared" ca="1" si="64"/>
        <v>VENCIDO</v>
      </c>
      <c r="AB640" s="1" t="str">
        <f t="shared" si="65"/>
        <v>C-14</v>
      </c>
      <c r="AC640" s="2" t="str">
        <f t="shared" si="69"/>
        <v xml:space="preserve"> RINALDO </v>
      </c>
      <c r="AD640" s="2">
        <f t="shared" si="66"/>
        <v>5</v>
      </c>
      <c r="AE640" s="2">
        <f t="shared" ca="1" si="67"/>
        <v>-131.9262716435187</v>
      </c>
      <c r="AF640" s="15"/>
    </row>
    <row r="641" spans="1:32" hidden="1">
      <c r="A641" s="1">
        <v>8914733</v>
      </c>
      <c r="B641" s="1" t="s">
        <v>62</v>
      </c>
      <c r="C641" t="s">
        <v>1203</v>
      </c>
      <c r="E641" s="2">
        <v>1924000206001</v>
      </c>
      <c r="F641" s="1" t="s">
        <v>29</v>
      </c>
      <c r="G641" s="1" t="s">
        <v>53</v>
      </c>
      <c r="H641" s="1" t="s">
        <v>568</v>
      </c>
      <c r="I641" s="1" t="s">
        <v>569</v>
      </c>
      <c r="J641" s="1" t="s">
        <v>33</v>
      </c>
      <c r="K641" t="s">
        <v>34</v>
      </c>
      <c r="M641" s="1" t="s">
        <v>35</v>
      </c>
      <c r="N641" s="1">
        <v>42318949</v>
      </c>
      <c r="O641" s="1" t="s">
        <v>36</v>
      </c>
      <c r="P641" s="11" t="s">
        <v>1229</v>
      </c>
      <c r="R641" s="1" t="s">
        <v>38</v>
      </c>
      <c r="T641" s="1" t="s">
        <v>74</v>
      </c>
      <c r="U641" s="11" t="s">
        <v>1230</v>
      </c>
      <c r="V641" s="1" t="s">
        <v>41</v>
      </c>
      <c r="W641" s="1" t="s">
        <v>49</v>
      </c>
      <c r="X641" s="13" t="str">
        <f t="shared" si="68"/>
        <v/>
      </c>
      <c r="Y641" s="2">
        <f t="shared" ca="1" si="63"/>
        <v>118</v>
      </c>
      <c r="Z641" s="14">
        <v>1</v>
      </c>
      <c r="AA641" s="1" t="str">
        <f t="shared" ca="1" si="64"/>
        <v>VENCIDO</v>
      </c>
      <c r="AB641" s="1" t="str">
        <f t="shared" si="65"/>
        <v>Dosa</v>
      </c>
      <c r="AC641" s="2" t="str">
        <f t="shared" si="69"/>
        <v xml:space="preserve"> ROSEMERE </v>
      </c>
      <c r="AD641" s="2">
        <f t="shared" si="66"/>
        <v>5</v>
      </c>
      <c r="AE641" s="2">
        <f t="shared" ca="1" si="67"/>
        <v>-120.9262716435187</v>
      </c>
      <c r="AF641" s="15"/>
    </row>
    <row r="642" spans="1:32">
      <c r="A642" s="1">
        <v>8937635</v>
      </c>
      <c r="B642" s="1" t="s">
        <v>62</v>
      </c>
      <c r="C642" t="s">
        <v>1231</v>
      </c>
      <c r="E642" s="2">
        <v>1764000203000</v>
      </c>
      <c r="F642" s="1" t="s">
        <v>454</v>
      </c>
      <c r="G642" s="1" t="s">
        <v>53</v>
      </c>
      <c r="H642" s="1" t="s">
        <v>722</v>
      </c>
      <c r="I642" s="1" t="s">
        <v>723</v>
      </c>
      <c r="J642" s="1" t="s">
        <v>90</v>
      </c>
      <c r="K642" t="s">
        <v>457</v>
      </c>
      <c r="M642" s="1" t="s">
        <v>58</v>
      </c>
      <c r="N642" s="1">
        <v>0</v>
      </c>
      <c r="O642" s="1" t="s">
        <v>105</v>
      </c>
      <c r="P642" s="11" t="s">
        <v>1232</v>
      </c>
      <c r="R642" s="1">
        <v>1</v>
      </c>
      <c r="T642" s="1" t="s">
        <v>157</v>
      </c>
      <c r="U642" s="11" t="s">
        <v>1233</v>
      </c>
      <c r="V642" s="1" t="s">
        <v>41</v>
      </c>
      <c r="W642" s="1" t="s">
        <v>49</v>
      </c>
      <c r="X642" s="13" t="str">
        <f t="shared" si="68"/>
        <v/>
      </c>
      <c r="Y642" s="2">
        <f t="shared" ref="Y642:Y699" ca="1" si="70">NETWORKDAYS(P642,$Y$1)</f>
        <v>110</v>
      </c>
      <c r="Z642" s="14">
        <v>1</v>
      </c>
      <c r="AA642" s="1" t="str">
        <f t="shared" ref="AA642:AA699" ca="1" si="71">IF(AE642=0,"HOJE",IF(AE642&gt;0,"A VENCER",IF(AE642&lt;0,"VENCIDO")))</f>
        <v>VENCIDO</v>
      </c>
      <c r="AB642" s="1" t="str">
        <f t="shared" ref="AB642:AB699" si="72">IF(F642="GRPE-000001","C-14",IF(F642="GRPE-000002","C-14",IF(F642="GRPE-000003","C-14",IF(F642="GRPE-000004","SL-On",IF(F642="GRPE-000038","C-14",IF(F642="GRPE-900022","Dosa",IF(F642="GRPE-000029","Dosa",IF(F642="ATOS-000222","Dose","TAAe+"))))))))</f>
        <v>C-14</v>
      </c>
      <c r="AC642" s="2" t="str">
        <f t="shared" si="69"/>
        <v xml:space="preserve"> RINALDO </v>
      </c>
      <c r="AD642" s="2">
        <f t="shared" ref="AD642:AD699" si="73">IF(F642="GRPE-000001",5,IF(F642="GRPE-000002",5,IF(F642="GRPE-000003",15,IF(F642="GRPE-000004",1,IF(F642="GRPE-000038",5,IF(F642="GRPE-900022",5,IF(F642="GRPE-000029",5,IF(F642="ATOS-000222",5,8))))))))</f>
        <v>5</v>
      </c>
      <c r="AE642" s="2">
        <f t="shared" ref="AE642:AE699" ca="1" si="74">IF(U642=$AE$1,"",U642-$AE$1)</f>
        <v>-116.9262716435187</v>
      </c>
      <c r="AF642" s="15"/>
    </row>
    <row r="643" spans="1:32" hidden="1">
      <c r="A643" s="1">
        <v>8948448</v>
      </c>
      <c r="B643" s="1" t="s">
        <v>101</v>
      </c>
      <c r="C643" t="s">
        <v>643</v>
      </c>
      <c r="D643" s="2">
        <v>220161643</v>
      </c>
      <c r="E643" s="2">
        <v>4076001400030</v>
      </c>
      <c r="F643" s="1" t="s">
        <v>647</v>
      </c>
      <c r="G643" s="1" t="s">
        <v>53</v>
      </c>
      <c r="H643" s="1" t="s">
        <v>426</v>
      </c>
      <c r="I643" s="1" t="s">
        <v>427</v>
      </c>
      <c r="J643" s="1" t="s">
        <v>79</v>
      </c>
      <c r="K643" t="s">
        <v>650</v>
      </c>
      <c r="M643" s="1" t="s">
        <v>58</v>
      </c>
      <c r="N643" s="1">
        <v>0</v>
      </c>
      <c r="O643" s="1" t="s">
        <v>105</v>
      </c>
      <c r="P643" s="11" t="s">
        <v>1234</v>
      </c>
      <c r="R643" s="1">
        <v>4</v>
      </c>
      <c r="T643" s="1" t="s">
        <v>646</v>
      </c>
      <c r="U643" s="11" t="s">
        <v>1235</v>
      </c>
      <c r="V643" s="1" t="s">
        <v>41</v>
      </c>
      <c r="W643" s="1" t="s">
        <v>49</v>
      </c>
      <c r="X643" s="13" t="str">
        <f t="shared" ref="X643:X700" si="75">IF(RIGHT(H643,2)&lt;&gt;"00",H643,"")</f>
        <v/>
      </c>
      <c r="Y643" s="2">
        <f t="shared" ca="1" si="70"/>
        <v>108</v>
      </c>
      <c r="Z643" s="14">
        <v>1</v>
      </c>
      <c r="AA643" s="1" t="str">
        <f t="shared" ca="1" si="71"/>
        <v>VENCIDO</v>
      </c>
      <c r="AB643" s="1" t="str">
        <f t="shared" si="72"/>
        <v>C-14</v>
      </c>
      <c r="AC643" s="2" t="str">
        <f t="shared" ref="AC643:AC699" si="76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 xml:space="preserve"> ROSEMERE </v>
      </c>
      <c r="AD643" s="2">
        <f t="shared" si="73"/>
        <v>15</v>
      </c>
      <c r="AE643" s="2">
        <f t="shared" ca="1" si="74"/>
        <v>-148.41495219907665</v>
      </c>
      <c r="AF643" s="15"/>
    </row>
    <row r="644" spans="1:32" hidden="1">
      <c r="A644" s="1">
        <v>8947938</v>
      </c>
      <c r="B644" s="1" t="s">
        <v>101</v>
      </c>
      <c r="C644" t="s">
        <v>643</v>
      </c>
      <c r="D644" s="2">
        <v>220160524</v>
      </c>
      <c r="E644" s="2">
        <v>4076001400010</v>
      </c>
      <c r="F644" s="1" t="s">
        <v>936</v>
      </c>
      <c r="G644" s="1" t="s">
        <v>53</v>
      </c>
      <c r="H644" s="1" t="s">
        <v>426</v>
      </c>
      <c r="I644" s="1" t="s">
        <v>427</v>
      </c>
      <c r="J644" s="1" t="s">
        <v>79</v>
      </c>
      <c r="K644" t="s">
        <v>937</v>
      </c>
      <c r="M644" s="1" t="s">
        <v>58</v>
      </c>
      <c r="N644" s="1">
        <v>0</v>
      </c>
      <c r="O644" s="1" t="s">
        <v>105</v>
      </c>
      <c r="P644" s="11" t="s">
        <v>1236</v>
      </c>
      <c r="R644" s="1">
        <v>3</v>
      </c>
      <c r="T644" s="1" t="s">
        <v>646</v>
      </c>
      <c r="U644" s="11" t="s">
        <v>1237</v>
      </c>
      <c r="V644" s="1" t="s">
        <v>41</v>
      </c>
      <c r="W644" s="1" t="s">
        <v>49</v>
      </c>
      <c r="X644" s="13" t="str">
        <f t="shared" si="75"/>
        <v/>
      </c>
      <c r="Y644" s="2">
        <f t="shared" ca="1" si="70"/>
        <v>108</v>
      </c>
      <c r="Z644" s="14">
        <v>1</v>
      </c>
      <c r="AA644" s="1" t="str">
        <f t="shared" ca="1" si="71"/>
        <v>VENCIDO</v>
      </c>
      <c r="AB644" s="1" t="str">
        <f t="shared" si="72"/>
        <v>C-14</v>
      </c>
      <c r="AC644" s="2" t="str">
        <f t="shared" si="76"/>
        <v xml:space="preserve"> ROSEMERE </v>
      </c>
      <c r="AD644" s="2">
        <f t="shared" si="73"/>
        <v>5</v>
      </c>
      <c r="AE644" s="2">
        <f t="shared" ca="1" si="74"/>
        <v>-148.46266053240834</v>
      </c>
      <c r="AF644" s="15"/>
    </row>
    <row r="645" spans="1:32" hidden="1">
      <c r="A645" s="1">
        <v>8946342</v>
      </c>
      <c r="B645" s="1" t="s">
        <v>101</v>
      </c>
      <c r="C645" t="s">
        <v>643</v>
      </c>
      <c r="D645" s="2">
        <v>220163016</v>
      </c>
      <c r="E645" s="2">
        <v>4076001400040</v>
      </c>
      <c r="F645" s="1" t="s">
        <v>644</v>
      </c>
      <c r="G645" s="1" t="s">
        <v>53</v>
      </c>
      <c r="H645" s="1" t="s">
        <v>426</v>
      </c>
      <c r="I645" s="1" t="s">
        <v>427</v>
      </c>
      <c r="J645" s="1" t="s">
        <v>79</v>
      </c>
      <c r="K645" t="s">
        <v>645</v>
      </c>
      <c r="M645" s="1" t="s">
        <v>58</v>
      </c>
      <c r="N645" s="1">
        <v>0</v>
      </c>
      <c r="O645" s="1" t="s">
        <v>105</v>
      </c>
      <c r="P645" s="11" t="s">
        <v>1238</v>
      </c>
      <c r="R645" s="1">
        <v>3</v>
      </c>
      <c r="T645" s="1" t="s">
        <v>646</v>
      </c>
      <c r="U645" s="11" t="s">
        <v>1239</v>
      </c>
      <c r="V645" s="1" t="s">
        <v>41</v>
      </c>
      <c r="W645" s="1" t="s">
        <v>49</v>
      </c>
      <c r="X645" s="13" t="str">
        <f t="shared" si="75"/>
        <v/>
      </c>
      <c r="Y645" s="2">
        <f t="shared" ca="1" si="70"/>
        <v>108</v>
      </c>
      <c r="Z645" s="14">
        <v>1</v>
      </c>
      <c r="AA645" s="1" t="str">
        <f t="shared" ca="1" si="71"/>
        <v>VENCIDO</v>
      </c>
      <c r="AB645" s="1" t="str">
        <f t="shared" si="72"/>
        <v>SL-On</v>
      </c>
      <c r="AC645" s="2" t="str">
        <f t="shared" si="76"/>
        <v xml:space="preserve"> ROSEMERE </v>
      </c>
      <c r="AD645" s="2">
        <f t="shared" si="73"/>
        <v>1</v>
      </c>
      <c r="AE645" s="2">
        <f t="shared" ca="1" si="74"/>
        <v>-148.57333182870207</v>
      </c>
      <c r="AF645" s="15"/>
    </row>
    <row r="646" spans="1:32" hidden="1">
      <c r="A646" s="1">
        <v>8961211</v>
      </c>
      <c r="B646" s="1" t="s">
        <v>81</v>
      </c>
      <c r="C646" t="s">
        <v>1240</v>
      </c>
      <c r="E646" s="2">
        <v>1128000206022</v>
      </c>
      <c r="F646" s="1" t="s">
        <v>103</v>
      </c>
      <c r="G646" s="1" t="s">
        <v>53</v>
      </c>
      <c r="H646" s="1" t="s">
        <v>1191</v>
      </c>
      <c r="I646" s="1" t="s">
        <v>1192</v>
      </c>
      <c r="J646" s="1" t="s">
        <v>33</v>
      </c>
      <c r="K646" t="s">
        <v>104</v>
      </c>
      <c r="M646" s="1" t="s">
        <v>58</v>
      </c>
      <c r="N646" s="1">
        <v>0</v>
      </c>
      <c r="O646" s="1" t="s">
        <v>105</v>
      </c>
      <c r="P646" s="11" t="s">
        <v>1241</v>
      </c>
      <c r="R646" s="1" t="s">
        <v>38</v>
      </c>
      <c r="T646" s="1" t="s">
        <v>74</v>
      </c>
      <c r="U646" s="11" t="s">
        <v>1242</v>
      </c>
      <c r="V646" s="1" t="s">
        <v>41</v>
      </c>
      <c r="W646" s="1" t="s">
        <v>49</v>
      </c>
      <c r="X646" s="13" t="str">
        <f t="shared" si="75"/>
        <v/>
      </c>
      <c r="Y646" s="2">
        <f t="shared" ca="1" si="70"/>
        <v>105</v>
      </c>
      <c r="Z646" s="14">
        <v>1</v>
      </c>
      <c r="AA646" s="1" t="str">
        <f t="shared" ca="1" si="71"/>
        <v>VENCIDO</v>
      </c>
      <c r="AB646" s="1" t="str">
        <f t="shared" si="72"/>
        <v>Dosa</v>
      </c>
      <c r="AC646" s="2" t="str">
        <f t="shared" si="76"/>
        <v xml:space="preserve"> ROSEMERE </v>
      </c>
      <c r="AD646" s="2">
        <f t="shared" si="73"/>
        <v>5</v>
      </c>
      <c r="AE646" s="2">
        <f t="shared" ca="1" si="74"/>
        <v>-145.02055405092688</v>
      </c>
      <c r="AF646" s="15"/>
    </row>
    <row r="647" spans="1:32" hidden="1">
      <c r="A647" s="1">
        <v>8963507</v>
      </c>
      <c r="B647" s="1" t="s">
        <v>1153</v>
      </c>
      <c r="C647" t="s">
        <v>1243</v>
      </c>
      <c r="D647" s="2">
        <v>20228362000085</v>
      </c>
      <c r="E647" s="2">
        <v>7417172316147</v>
      </c>
      <c r="F647" s="1" t="s">
        <v>1155</v>
      </c>
      <c r="G647" s="1" t="s">
        <v>53</v>
      </c>
      <c r="H647" s="1" t="s">
        <v>1244</v>
      </c>
      <c r="I647" s="1" t="s">
        <v>1245</v>
      </c>
      <c r="J647" s="1" t="s">
        <v>46</v>
      </c>
      <c r="K647" t="s">
        <v>1158</v>
      </c>
      <c r="M647" s="1" t="s">
        <v>58</v>
      </c>
      <c r="N647" s="1">
        <v>0</v>
      </c>
      <c r="O647" s="1" t="s">
        <v>36</v>
      </c>
      <c r="P647" s="11" t="s">
        <v>1246</v>
      </c>
      <c r="R647" s="1">
        <v>22</v>
      </c>
      <c r="T647" s="1" t="s">
        <v>1160</v>
      </c>
      <c r="U647" s="11" t="s">
        <v>1247</v>
      </c>
      <c r="V647" s="1" t="s">
        <v>41</v>
      </c>
      <c r="W647" s="1" t="s">
        <v>49</v>
      </c>
      <c r="X647" s="13" t="str">
        <f t="shared" si="75"/>
        <v/>
      </c>
      <c r="Y647" s="2">
        <f t="shared" ca="1" si="70"/>
        <v>104</v>
      </c>
      <c r="Z647" s="14">
        <v>1</v>
      </c>
      <c r="AA647" s="1" t="str">
        <f t="shared" ca="1" si="71"/>
        <v>VENCIDO</v>
      </c>
      <c r="AB647" s="1" t="str">
        <f t="shared" si="72"/>
        <v>TAAe+</v>
      </c>
      <c r="AC647" s="2" t="str">
        <f t="shared" si="76"/>
        <v xml:space="preserve"> CLEITON </v>
      </c>
      <c r="AD647" s="2">
        <f t="shared" si="73"/>
        <v>8</v>
      </c>
      <c r="AE647" s="2">
        <f t="shared" ca="1" si="74"/>
        <v>-141.0694429398136</v>
      </c>
      <c r="AF647" s="15"/>
    </row>
    <row r="648" spans="1:32" hidden="1">
      <c r="A648" s="1">
        <v>8974248</v>
      </c>
      <c r="B648" s="1" t="s">
        <v>1153</v>
      </c>
      <c r="C648" t="s">
        <v>1248</v>
      </c>
      <c r="D648" s="2">
        <v>20228362000086</v>
      </c>
      <c r="E648" s="2">
        <v>7417172315342</v>
      </c>
      <c r="F648" s="1" t="s">
        <v>1155</v>
      </c>
      <c r="G648" s="1" t="s">
        <v>53</v>
      </c>
      <c r="H648" s="1" t="s">
        <v>1244</v>
      </c>
      <c r="I648" s="1" t="s">
        <v>1245</v>
      </c>
      <c r="J648" s="1" t="s">
        <v>46</v>
      </c>
      <c r="K648" t="s">
        <v>1158</v>
      </c>
      <c r="M648" s="1" t="s">
        <v>58</v>
      </c>
      <c r="N648" s="1">
        <v>0</v>
      </c>
      <c r="O648" s="1" t="s">
        <v>36</v>
      </c>
      <c r="P648" s="11" t="s">
        <v>1249</v>
      </c>
      <c r="R648" s="1">
        <v>22</v>
      </c>
      <c r="T648" s="1" t="s">
        <v>1160</v>
      </c>
      <c r="U648" s="11" t="s">
        <v>1250</v>
      </c>
      <c r="V648" s="1" t="s">
        <v>41</v>
      </c>
      <c r="W648" s="1" t="s">
        <v>49</v>
      </c>
      <c r="X648" s="13" t="str">
        <f t="shared" si="75"/>
        <v/>
      </c>
      <c r="Y648" s="2">
        <f t="shared" ca="1" si="70"/>
        <v>103</v>
      </c>
      <c r="Z648" s="14">
        <v>1</v>
      </c>
      <c r="AA648" s="1" t="str">
        <f t="shared" ca="1" si="71"/>
        <v>VENCIDO</v>
      </c>
      <c r="AB648" s="1" t="str">
        <f t="shared" si="72"/>
        <v>TAAe+</v>
      </c>
      <c r="AC648" s="2" t="str">
        <f t="shared" si="76"/>
        <v xml:space="preserve"> CLEITON </v>
      </c>
      <c r="AD648" s="2">
        <f t="shared" si="73"/>
        <v>8</v>
      </c>
      <c r="AE648" s="2">
        <f t="shared" ca="1" si="74"/>
        <v>-138.17937349536805</v>
      </c>
      <c r="AF648" s="15"/>
    </row>
    <row r="649" spans="1:32" hidden="1">
      <c r="A649" s="1">
        <v>8987410</v>
      </c>
      <c r="B649" s="1" t="s">
        <v>81</v>
      </c>
      <c r="C649" t="s">
        <v>1251</v>
      </c>
      <c r="E649" s="2">
        <v>2196000206001</v>
      </c>
      <c r="F649" s="1" t="s">
        <v>29</v>
      </c>
      <c r="G649" s="1" t="s">
        <v>53</v>
      </c>
      <c r="H649" s="1" t="s">
        <v>1252</v>
      </c>
      <c r="I649" s="1" t="s">
        <v>1253</v>
      </c>
      <c r="J649" s="1" t="s">
        <v>33</v>
      </c>
      <c r="K649" t="s">
        <v>34</v>
      </c>
      <c r="M649" s="1" t="s">
        <v>35</v>
      </c>
      <c r="N649" s="1">
        <v>42318949</v>
      </c>
      <c r="O649" s="1" t="s">
        <v>105</v>
      </c>
      <c r="P649" s="11" t="s">
        <v>1254</v>
      </c>
      <c r="R649" s="1" t="s">
        <v>38</v>
      </c>
      <c r="T649" s="1" t="s">
        <v>74</v>
      </c>
      <c r="U649" s="11" t="s">
        <v>1255</v>
      </c>
      <c r="V649" s="1" t="s">
        <v>41</v>
      </c>
      <c r="W649" s="1" t="s">
        <v>42</v>
      </c>
      <c r="X649" s="13" t="str">
        <f t="shared" si="75"/>
        <v/>
      </c>
      <c r="Y649" s="2">
        <f t="shared" ca="1" si="70"/>
        <v>99</v>
      </c>
      <c r="Z649" s="14">
        <v>1</v>
      </c>
      <c r="AA649" s="1" t="str">
        <f t="shared" ca="1" si="71"/>
        <v>VENCIDO</v>
      </c>
      <c r="AB649" s="1" t="str">
        <f t="shared" si="72"/>
        <v>Dosa</v>
      </c>
      <c r="AC649" s="2" t="str">
        <f t="shared" si="76"/>
        <v xml:space="preserve"> ROSEMERE </v>
      </c>
      <c r="AD649" s="2">
        <f t="shared" si="73"/>
        <v>5</v>
      </c>
      <c r="AE649" s="2">
        <f t="shared" ca="1" si="74"/>
        <v>-137.03283414351608</v>
      </c>
      <c r="AF649" s="15"/>
    </row>
    <row r="650" spans="1:32" hidden="1">
      <c r="A650" s="1">
        <v>9003116</v>
      </c>
      <c r="B650" s="1" t="s">
        <v>62</v>
      </c>
      <c r="C650" t="s">
        <v>1256</v>
      </c>
      <c r="E650" s="2">
        <v>8074000203010</v>
      </c>
      <c r="F650" s="1" t="s">
        <v>152</v>
      </c>
      <c r="G650" s="1" t="s">
        <v>53</v>
      </c>
      <c r="H650" s="1" t="s">
        <v>1257</v>
      </c>
      <c r="I650" s="1" t="s">
        <v>1258</v>
      </c>
      <c r="J650" s="1" t="s">
        <v>33</v>
      </c>
      <c r="K650" t="s">
        <v>155</v>
      </c>
      <c r="M650" s="1" t="s">
        <v>35</v>
      </c>
      <c r="N650" s="1">
        <v>42318949</v>
      </c>
      <c r="O650" s="1" t="s">
        <v>36</v>
      </c>
      <c r="P650" s="11" t="s">
        <v>1259</v>
      </c>
      <c r="R650" s="1">
        <v>1</v>
      </c>
      <c r="T650" s="1" t="s">
        <v>157</v>
      </c>
      <c r="U650" s="11" t="s">
        <v>1260</v>
      </c>
      <c r="V650" s="1" t="s">
        <v>41</v>
      </c>
      <c r="W650" s="1" t="s">
        <v>49</v>
      </c>
      <c r="X650" s="13" t="str">
        <f t="shared" si="75"/>
        <v/>
      </c>
      <c r="Y650" s="2">
        <f t="shared" ca="1" si="70"/>
        <v>96</v>
      </c>
      <c r="Z650" s="14">
        <v>1</v>
      </c>
      <c r="AA650" s="1" t="str">
        <f t="shared" ca="1" si="71"/>
        <v>VENCIDO</v>
      </c>
      <c r="AB650" s="1" t="str">
        <f t="shared" si="72"/>
        <v>TAAe+</v>
      </c>
      <c r="AC650" s="2" t="str">
        <f t="shared" si="76"/>
        <v xml:space="preserve"> ROSEMERE </v>
      </c>
      <c r="AD650" s="2">
        <f t="shared" si="73"/>
        <v>8</v>
      </c>
      <c r="AE650" s="2">
        <f t="shared" ca="1" si="74"/>
        <v>-96.926271643518703</v>
      </c>
      <c r="AF650" s="15"/>
    </row>
    <row r="651" spans="1:32" hidden="1">
      <c r="A651" s="1">
        <v>9002878</v>
      </c>
      <c r="B651" s="1" t="s">
        <v>62</v>
      </c>
      <c r="C651" t="s">
        <v>1261</v>
      </c>
      <c r="E651" s="2">
        <v>1732000203010</v>
      </c>
      <c r="F651" s="1" t="s">
        <v>152</v>
      </c>
      <c r="G651" s="1" t="s">
        <v>53</v>
      </c>
      <c r="H651" s="1" t="s">
        <v>177</v>
      </c>
      <c r="I651" s="1" t="s">
        <v>178</v>
      </c>
      <c r="J651" s="1" t="s">
        <v>164</v>
      </c>
      <c r="K651" t="s">
        <v>155</v>
      </c>
      <c r="M651" s="1" t="s">
        <v>35</v>
      </c>
      <c r="N651" s="1">
        <v>42318949</v>
      </c>
      <c r="O651" s="1" t="s">
        <v>36</v>
      </c>
      <c r="P651" s="11" t="s">
        <v>1262</v>
      </c>
      <c r="R651" s="1">
        <v>1</v>
      </c>
      <c r="T651" s="1" t="s">
        <v>157</v>
      </c>
      <c r="U651" s="11" t="s">
        <v>1260</v>
      </c>
      <c r="V651" s="1" t="s">
        <v>41</v>
      </c>
      <c r="W651" s="1" t="s">
        <v>49</v>
      </c>
      <c r="X651" s="13" t="str">
        <f t="shared" si="75"/>
        <v/>
      </c>
      <c r="Y651" s="2">
        <f t="shared" ca="1" si="70"/>
        <v>96</v>
      </c>
      <c r="Z651" s="14">
        <v>1</v>
      </c>
      <c r="AA651" s="1" t="str">
        <f t="shared" ca="1" si="71"/>
        <v>VENCIDO</v>
      </c>
      <c r="AB651" s="1" t="str">
        <f t="shared" si="72"/>
        <v>TAAe+</v>
      </c>
      <c r="AC651" s="2" t="str">
        <f t="shared" si="76"/>
        <v xml:space="preserve"> ROSEMERE </v>
      </c>
      <c r="AD651" s="2">
        <f t="shared" si="73"/>
        <v>8</v>
      </c>
      <c r="AE651" s="2">
        <f t="shared" ca="1" si="74"/>
        <v>-96.926271643518703</v>
      </c>
      <c r="AF651" s="15"/>
    </row>
    <row r="652" spans="1:32">
      <c r="A652" s="1">
        <v>9011010</v>
      </c>
      <c r="B652" s="1" t="s">
        <v>62</v>
      </c>
      <c r="C652" t="s">
        <v>1263</v>
      </c>
      <c r="E652" s="2">
        <v>2156000206021</v>
      </c>
      <c r="F652" s="1" t="s">
        <v>103</v>
      </c>
      <c r="G652" s="1" t="s">
        <v>53</v>
      </c>
      <c r="H652" s="1" t="s">
        <v>278</v>
      </c>
      <c r="I652" s="1" t="s">
        <v>279</v>
      </c>
      <c r="J652" s="1" t="s">
        <v>211</v>
      </c>
      <c r="K652" t="s">
        <v>104</v>
      </c>
      <c r="M652" s="1" t="s">
        <v>58</v>
      </c>
      <c r="N652" s="1">
        <v>0</v>
      </c>
      <c r="O652" s="1" t="s">
        <v>36</v>
      </c>
      <c r="P652" s="11" t="s">
        <v>1264</v>
      </c>
      <c r="R652" s="1" t="s">
        <v>38</v>
      </c>
      <c r="T652" s="1" t="s">
        <v>74</v>
      </c>
      <c r="U652" s="11" t="s">
        <v>1265</v>
      </c>
      <c r="V652" s="1" t="s">
        <v>41</v>
      </c>
      <c r="W652" s="1" t="s">
        <v>49</v>
      </c>
      <c r="X652" s="13" t="str">
        <f t="shared" si="75"/>
        <v/>
      </c>
      <c r="Y652" s="2">
        <f t="shared" ca="1" si="70"/>
        <v>94</v>
      </c>
      <c r="Z652" s="14">
        <v>1</v>
      </c>
      <c r="AA652" s="1" t="str">
        <f t="shared" ca="1" si="71"/>
        <v>VENCIDO</v>
      </c>
      <c r="AB652" s="1" t="str">
        <f t="shared" si="72"/>
        <v>Dosa</v>
      </c>
      <c r="AC652" s="2" t="str">
        <f t="shared" si="76"/>
        <v xml:space="preserve"> RINALDO </v>
      </c>
      <c r="AD652" s="2">
        <f t="shared" si="73"/>
        <v>5</v>
      </c>
      <c r="AE652" s="2">
        <f t="shared" ca="1" si="74"/>
        <v>-84.926271643518703</v>
      </c>
      <c r="AF652" s="15"/>
    </row>
    <row r="653" spans="1:32">
      <c r="A653" s="1">
        <v>9011009</v>
      </c>
      <c r="B653" s="1" t="s">
        <v>62</v>
      </c>
      <c r="C653" t="s">
        <v>1266</v>
      </c>
      <c r="E653" s="2">
        <v>2156000206021</v>
      </c>
      <c r="F653" s="1" t="s">
        <v>103</v>
      </c>
      <c r="G653" s="1" t="s">
        <v>53</v>
      </c>
      <c r="H653" s="1" t="s">
        <v>278</v>
      </c>
      <c r="I653" s="1" t="s">
        <v>279</v>
      </c>
      <c r="J653" s="1" t="s">
        <v>211</v>
      </c>
      <c r="K653" t="s">
        <v>104</v>
      </c>
      <c r="M653" s="1" t="s">
        <v>58</v>
      </c>
      <c r="N653" s="1">
        <v>0</v>
      </c>
      <c r="O653" s="1" t="s">
        <v>36</v>
      </c>
      <c r="P653" s="11" t="s">
        <v>1267</v>
      </c>
      <c r="R653" s="1" t="s">
        <v>38</v>
      </c>
      <c r="T653" s="1" t="s">
        <v>74</v>
      </c>
      <c r="U653" s="11" t="s">
        <v>1265</v>
      </c>
      <c r="V653" s="1" t="s">
        <v>41</v>
      </c>
      <c r="W653" s="1" t="s">
        <v>49</v>
      </c>
      <c r="X653" s="13" t="str">
        <f t="shared" si="75"/>
        <v/>
      </c>
      <c r="Y653" s="2">
        <f t="shared" ca="1" si="70"/>
        <v>94</v>
      </c>
      <c r="Z653" s="14">
        <v>1</v>
      </c>
      <c r="AA653" s="1" t="str">
        <f t="shared" ca="1" si="71"/>
        <v>VENCIDO</v>
      </c>
      <c r="AB653" s="1" t="str">
        <f t="shared" si="72"/>
        <v>Dosa</v>
      </c>
      <c r="AC653" s="2" t="str">
        <f t="shared" si="76"/>
        <v xml:space="preserve"> RINALDO </v>
      </c>
      <c r="AD653" s="2">
        <f t="shared" si="73"/>
        <v>5</v>
      </c>
      <c r="AE653" s="2">
        <f t="shared" ca="1" si="74"/>
        <v>-84.926271643518703</v>
      </c>
      <c r="AF653" s="15"/>
    </row>
    <row r="654" spans="1:32">
      <c r="A654" s="1">
        <v>9011008</v>
      </c>
      <c r="B654" s="1" t="s">
        <v>62</v>
      </c>
      <c r="C654" s="15" t="s">
        <v>1266</v>
      </c>
      <c r="E654" s="2">
        <v>2156000206021</v>
      </c>
      <c r="F654" s="1" t="s">
        <v>103</v>
      </c>
      <c r="G654" s="1" t="s">
        <v>53</v>
      </c>
      <c r="H654" s="1" t="s">
        <v>278</v>
      </c>
      <c r="I654" s="1" t="s">
        <v>279</v>
      </c>
      <c r="J654" s="1" t="s">
        <v>211</v>
      </c>
      <c r="K654" t="s">
        <v>104</v>
      </c>
      <c r="M654" s="1" t="s">
        <v>58</v>
      </c>
      <c r="N654" s="1">
        <v>0</v>
      </c>
      <c r="O654" s="1" t="s">
        <v>36</v>
      </c>
      <c r="P654" s="11" t="s">
        <v>1268</v>
      </c>
      <c r="R654" s="1" t="s">
        <v>38</v>
      </c>
      <c r="T654" s="1" t="s">
        <v>74</v>
      </c>
      <c r="U654" s="12">
        <v>44901.75</v>
      </c>
      <c r="V654" s="1" t="s">
        <v>41</v>
      </c>
      <c r="W654" s="1" t="s">
        <v>49</v>
      </c>
      <c r="X654" s="13" t="str">
        <f t="shared" si="75"/>
        <v/>
      </c>
      <c r="Y654" s="2">
        <f t="shared" ca="1" si="70"/>
        <v>94</v>
      </c>
      <c r="Z654" s="14">
        <v>1</v>
      </c>
      <c r="AA654" s="1" t="str">
        <f t="shared" ca="1" si="71"/>
        <v>VENCIDO</v>
      </c>
      <c r="AB654" s="1" t="str">
        <f t="shared" si="72"/>
        <v>Dosa</v>
      </c>
      <c r="AC654" s="2" t="str">
        <f t="shared" si="76"/>
        <v xml:space="preserve"> RINALDO </v>
      </c>
      <c r="AD654" s="2">
        <f t="shared" si="73"/>
        <v>5</v>
      </c>
      <c r="AE654" s="2">
        <f t="shared" ca="1" si="74"/>
        <v>-84.926271643518703</v>
      </c>
      <c r="AF654" s="15"/>
    </row>
    <row r="655" spans="1:32">
      <c r="A655" s="1">
        <v>9011007</v>
      </c>
      <c r="B655" s="1" t="s">
        <v>62</v>
      </c>
      <c r="C655" t="s">
        <v>1266</v>
      </c>
      <c r="E655" s="2">
        <v>2156000206021</v>
      </c>
      <c r="F655" s="18" t="s">
        <v>103</v>
      </c>
      <c r="G655" s="1" t="s">
        <v>53</v>
      </c>
      <c r="H655" s="1" t="s">
        <v>278</v>
      </c>
      <c r="I655" s="1" t="s">
        <v>279</v>
      </c>
      <c r="J655" s="1" t="s">
        <v>211</v>
      </c>
      <c r="K655" t="s">
        <v>104</v>
      </c>
      <c r="M655" s="1" t="s">
        <v>58</v>
      </c>
      <c r="N655" s="1">
        <v>0</v>
      </c>
      <c r="O655" s="1" t="s">
        <v>36</v>
      </c>
      <c r="P655" s="11" t="s">
        <v>1269</v>
      </c>
      <c r="R655" s="1" t="s">
        <v>38</v>
      </c>
      <c r="T655" s="1" t="s">
        <v>74</v>
      </c>
      <c r="U655" s="12">
        <v>44901.75</v>
      </c>
      <c r="V655" s="1" t="s">
        <v>41</v>
      </c>
      <c r="W655" s="1" t="s">
        <v>49</v>
      </c>
      <c r="X655" s="13" t="str">
        <f t="shared" si="75"/>
        <v/>
      </c>
      <c r="Y655" s="2">
        <f t="shared" ca="1" si="70"/>
        <v>94</v>
      </c>
      <c r="Z655" s="14">
        <v>1</v>
      </c>
      <c r="AA655" s="1" t="str">
        <f t="shared" ca="1" si="71"/>
        <v>VENCIDO</v>
      </c>
      <c r="AB655" s="1" t="str">
        <f t="shared" si="72"/>
        <v>Dosa</v>
      </c>
      <c r="AC655" s="2" t="str">
        <f t="shared" si="76"/>
        <v xml:space="preserve"> RINALDO </v>
      </c>
      <c r="AD655" s="2">
        <f t="shared" si="73"/>
        <v>5</v>
      </c>
      <c r="AE655" s="2">
        <f t="shared" ca="1" si="74"/>
        <v>-84.926271643518703</v>
      </c>
      <c r="AF655" s="15"/>
    </row>
    <row r="656" spans="1:32">
      <c r="A656" s="1">
        <v>9017924</v>
      </c>
      <c r="B656" s="1" t="s">
        <v>1153</v>
      </c>
      <c r="C656" t="s">
        <v>1270</v>
      </c>
      <c r="D656" s="2">
        <v>220174476</v>
      </c>
      <c r="E656" s="2">
        <v>4119001400030</v>
      </c>
      <c r="F656" s="1" t="s">
        <v>647</v>
      </c>
      <c r="G656" s="1" t="s">
        <v>53</v>
      </c>
      <c r="H656" s="1" t="s">
        <v>297</v>
      </c>
      <c r="I656" s="1" t="s">
        <v>298</v>
      </c>
      <c r="J656" s="1" t="s">
        <v>211</v>
      </c>
      <c r="K656" t="s">
        <v>650</v>
      </c>
      <c r="M656" s="1" t="s">
        <v>58</v>
      </c>
      <c r="N656" s="1">
        <v>0</v>
      </c>
      <c r="O656" s="1" t="s">
        <v>36</v>
      </c>
      <c r="P656" s="11" t="s">
        <v>1271</v>
      </c>
      <c r="R656" s="1">
        <v>4</v>
      </c>
      <c r="T656" s="1" t="s">
        <v>646</v>
      </c>
      <c r="U656" s="11" t="s">
        <v>1272</v>
      </c>
      <c r="V656" s="1" t="s">
        <v>41</v>
      </c>
      <c r="W656" s="1" t="s">
        <v>49</v>
      </c>
      <c r="X656" s="13" t="str">
        <f t="shared" si="75"/>
        <v/>
      </c>
      <c r="Y656" s="2">
        <f t="shared" ca="1" si="70"/>
        <v>92</v>
      </c>
      <c r="Z656" s="14">
        <v>1</v>
      </c>
      <c r="AA656" s="1" t="str">
        <f t="shared" ca="1" si="71"/>
        <v>VENCIDO</v>
      </c>
      <c r="AB656" s="1" t="str">
        <f t="shared" si="72"/>
        <v>C-14</v>
      </c>
      <c r="AC656" s="2" t="str">
        <f t="shared" si="76"/>
        <v xml:space="preserve"> RINALDO </v>
      </c>
      <c r="AD656" s="2">
        <f t="shared" si="73"/>
        <v>15</v>
      </c>
      <c r="AE656" s="2">
        <f t="shared" ca="1" si="74"/>
        <v>-126.13900312499754</v>
      </c>
      <c r="AF656" s="15"/>
    </row>
    <row r="657" spans="1:32" hidden="1">
      <c r="A657" s="1">
        <v>9020963</v>
      </c>
      <c r="B657" s="1" t="s">
        <v>1153</v>
      </c>
      <c r="C657" t="s">
        <v>1273</v>
      </c>
      <c r="D657" s="2">
        <v>20228489000019</v>
      </c>
      <c r="E657" s="2">
        <v>7417172315969</v>
      </c>
      <c r="F657" s="1" t="s">
        <v>1155</v>
      </c>
      <c r="G657" s="1" t="s">
        <v>53</v>
      </c>
      <c r="H657" s="1" t="s">
        <v>1156</v>
      </c>
      <c r="I657" s="1" t="s">
        <v>1157</v>
      </c>
      <c r="J657" s="1" t="s">
        <v>46</v>
      </c>
      <c r="K657" t="s">
        <v>1158</v>
      </c>
      <c r="M657" s="1" t="s">
        <v>58</v>
      </c>
      <c r="N657" s="1">
        <v>0</v>
      </c>
      <c r="O657" s="1" t="s">
        <v>36</v>
      </c>
      <c r="P657" s="11" t="s">
        <v>1274</v>
      </c>
      <c r="R657" s="1">
        <v>22</v>
      </c>
      <c r="T657" s="1" t="s">
        <v>1160</v>
      </c>
      <c r="U657" s="11" t="s">
        <v>1275</v>
      </c>
      <c r="V657" s="1" t="s">
        <v>41</v>
      </c>
      <c r="W657" s="1" t="s">
        <v>49</v>
      </c>
      <c r="X657" s="13" t="str">
        <f t="shared" si="75"/>
        <v/>
      </c>
      <c r="Y657" s="2">
        <f t="shared" ca="1" si="70"/>
        <v>91</v>
      </c>
      <c r="Z657" s="14">
        <v>1</v>
      </c>
      <c r="AA657" s="1" t="str">
        <f t="shared" ca="1" si="71"/>
        <v>VENCIDO</v>
      </c>
      <c r="AB657" s="1" t="str">
        <f t="shared" si="72"/>
        <v>TAAe+</v>
      </c>
      <c r="AC657" s="2" t="str">
        <f t="shared" si="76"/>
        <v xml:space="preserve"> CLEITON </v>
      </c>
      <c r="AD657" s="2">
        <f t="shared" si="73"/>
        <v>8</v>
      </c>
      <c r="AE657" s="2">
        <f t="shared" ca="1" si="74"/>
        <v>-121.19857488425623</v>
      </c>
      <c r="AF657" s="15"/>
    </row>
    <row r="658" spans="1:32" hidden="1">
      <c r="A658" s="1">
        <v>9022234</v>
      </c>
      <c r="B658" s="1" t="s">
        <v>1153</v>
      </c>
      <c r="C658" t="s">
        <v>1276</v>
      </c>
      <c r="D658" s="2">
        <v>20228489000020</v>
      </c>
      <c r="E658" s="2">
        <v>7417172314989</v>
      </c>
      <c r="F658" s="1" t="s">
        <v>1155</v>
      </c>
      <c r="G658" s="1" t="s">
        <v>53</v>
      </c>
      <c r="H658" s="1" t="s">
        <v>1156</v>
      </c>
      <c r="I658" s="1" t="s">
        <v>1157</v>
      </c>
      <c r="J658" s="1" t="s">
        <v>46</v>
      </c>
      <c r="K658" t="s">
        <v>1158</v>
      </c>
      <c r="M658" s="1" t="s">
        <v>58</v>
      </c>
      <c r="N658" s="1">
        <v>0</v>
      </c>
      <c r="O658" s="1" t="s">
        <v>36</v>
      </c>
      <c r="P658" s="12">
        <v>44861.392812500002</v>
      </c>
      <c r="R658" s="1">
        <v>22</v>
      </c>
      <c r="T658" s="1" t="s">
        <v>1160</v>
      </c>
      <c r="U658" s="12">
        <v>44865.601145833331</v>
      </c>
      <c r="V658" s="1" t="s">
        <v>41</v>
      </c>
      <c r="W658" s="1" t="s">
        <v>49</v>
      </c>
      <c r="X658" s="13" t="str">
        <f t="shared" si="75"/>
        <v/>
      </c>
      <c r="Y658" s="2">
        <f t="shared" ca="1" si="70"/>
        <v>90</v>
      </c>
      <c r="Z658" s="14">
        <v>1</v>
      </c>
      <c r="AA658" s="1" t="str">
        <f t="shared" ca="1" si="71"/>
        <v>VENCIDO</v>
      </c>
      <c r="AB658" s="1" t="str">
        <f t="shared" si="72"/>
        <v>TAAe+</v>
      </c>
      <c r="AC658" s="2" t="str">
        <f t="shared" si="76"/>
        <v xml:space="preserve"> CLEITON </v>
      </c>
      <c r="AD658" s="2">
        <f t="shared" si="73"/>
        <v>8</v>
      </c>
      <c r="AE658" s="2">
        <f t="shared" ca="1" si="74"/>
        <v>-121.07512581018818</v>
      </c>
      <c r="AF658" s="15"/>
    </row>
    <row r="659" spans="1:32" hidden="1">
      <c r="A659" s="1">
        <v>9025533</v>
      </c>
      <c r="B659" s="1" t="s">
        <v>62</v>
      </c>
      <c r="C659" t="s">
        <v>1277</v>
      </c>
      <c r="E659" s="2">
        <v>7420000203000</v>
      </c>
      <c r="F659" s="1" t="s">
        <v>454</v>
      </c>
      <c r="G659" s="1" t="s">
        <v>30</v>
      </c>
      <c r="H659" s="1" t="s">
        <v>1076</v>
      </c>
      <c r="I659" s="1" t="s">
        <v>1077</v>
      </c>
      <c r="J659" s="1" t="s">
        <v>46</v>
      </c>
      <c r="K659" t="s">
        <v>457</v>
      </c>
      <c r="M659" s="1" t="s">
        <v>58</v>
      </c>
      <c r="N659" s="1">
        <v>0</v>
      </c>
      <c r="O659" s="1" t="s">
        <v>105</v>
      </c>
      <c r="P659" s="11" t="s">
        <v>1278</v>
      </c>
      <c r="R659" s="1" t="s">
        <v>38</v>
      </c>
      <c r="T659" s="1" t="s">
        <v>157</v>
      </c>
      <c r="U659" s="11" t="s">
        <v>1279</v>
      </c>
      <c r="V659" s="1" t="s">
        <v>41</v>
      </c>
      <c r="W659" s="1" t="s">
        <v>49</v>
      </c>
      <c r="X659" s="13" t="str">
        <f t="shared" si="75"/>
        <v/>
      </c>
      <c r="Y659" s="2">
        <f t="shared" ca="1" si="70"/>
        <v>89</v>
      </c>
      <c r="Z659" s="14">
        <v>1</v>
      </c>
      <c r="AA659" s="1" t="str">
        <f t="shared" ca="1" si="71"/>
        <v>VENCIDO</v>
      </c>
      <c r="AB659" s="1" t="str">
        <f t="shared" si="72"/>
        <v>C-14</v>
      </c>
      <c r="AC659" s="2" t="str">
        <f t="shared" si="76"/>
        <v xml:space="preserve"> CLEITON </v>
      </c>
      <c r="AD659" s="2">
        <f t="shared" si="73"/>
        <v>5</v>
      </c>
      <c r="AE659" s="2">
        <f t="shared" ca="1" si="74"/>
        <v>-85.926271643518703</v>
      </c>
      <c r="AF659" s="15"/>
    </row>
    <row r="660" spans="1:32" hidden="1">
      <c r="A660" s="1">
        <v>9024940</v>
      </c>
      <c r="B660" s="1" t="s">
        <v>1153</v>
      </c>
      <c r="C660" t="s">
        <v>1280</v>
      </c>
      <c r="D660" s="2">
        <v>220176632</v>
      </c>
      <c r="E660" s="2">
        <v>1761001400030</v>
      </c>
      <c r="F660" s="1" t="s">
        <v>647</v>
      </c>
      <c r="G660" s="1" t="s">
        <v>53</v>
      </c>
      <c r="H660" s="1" t="s">
        <v>375</v>
      </c>
      <c r="I660" s="1" t="s">
        <v>376</v>
      </c>
      <c r="J660" s="1" t="s">
        <v>56</v>
      </c>
      <c r="K660" t="s">
        <v>650</v>
      </c>
      <c r="M660" s="1" t="s">
        <v>58</v>
      </c>
      <c r="N660" s="1">
        <v>0</v>
      </c>
      <c r="O660" s="1" t="s">
        <v>36</v>
      </c>
      <c r="P660" s="11" t="s">
        <v>1281</v>
      </c>
      <c r="R660" s="1">
        <v>4</v>
      </c>
      <c r="T660" s="1" t="s">
        <v>646</v>
      </c>
      <c r="U660" s="11" t="s">
        <v>1282</v>
      </c>
      <c r="V660" s="1" t="s">
        <v>41</v>
      </c>
      <c r="W660" s="1" t="s">
        <v>49</v>
      </c>
      <c r="X660" s="13" t="str">
        <f t="shared" si="75"/>
        <v/>
      </c>
      <c r="Y660" s="2">
        <f t="shared" ca="1" si="70"/>
        <v>89</v>
      </c>
      <c r="Z660" s="14">
        <v>1</v>
      </c>
      <c r="AA660" s="1" t="str">
        <f t="shared" ca="1" si="71"/>
        <v>VENCIDO</v>
      </c>
      <c r="AB660" s="1" t="str">
        <f t="shared" si="72"/>
        <v>C-14</v>
      </c>
      <c r="AC660" s="2" t="str">
        <f t="shared" si="76"/>
        <v xml:space="preserve"> CRISTINA </v>
      </c>
      <c r="AD660" s="2">
        <f t="shared" si="73"/>
        <v>15</v>
      </c>
      <c r="AE660" s="2">
        <f t="shared" ca="1" si="74"/>
        <v>-113.04779942129971</v>
      </c>
      <c r="AF660" s="15"/>
    </row>
    <row r="661" spans="1:32">
      <c r="A661" s="1">
        <v>9030748</v>
      </c>
      <c r="B661" s="1" t="s">
        <v>1153</v>
      </c>
      <c r="C661" t="s">
        <v>1283</v>
      </c>
      <c r="D661" s="2">
        <v>220177570</v>
      </c>
      <c r="E661" s="2">
        <v>1028001400030</v>
      </c>
      <c r="F661" s="1" t="s">
        <v>647</v>
      </c>
      <c r="G661" s="1" t="s">
        <v>53</v>
      </c>
      <c r="H661" s="1" t="s">
        <v>1079</v>
      </c>
      <c r="I661" s="1" t="s">
        <v>1080</v>
      </c>
      <c r="J661" s="1" t="s">
        <v>85</v>
      </c>
      <c r="K661" t="s">
        <v>650</v>
      </c>
      <c r="M661" s="1" t="s">
        <v>58</v>
      </c>
      <c r="N661" s="1">
        <v>0</v>
      </c>
      <c r="O661" s="1" t="s">
        <v>36</v>
      </c>
      <c r="P661" s="11" t="s">
        <v>1284</v>
      </c>
      <c r="R661" s="1">
        <v>4</v>
      </c>
      <c r="T661" s="1" t="s">
        <v>646</v>
      </c>
      <c r="U661" s="11" t="s">
        <v>1285</v>
      </c>
      <c r="V661" s="1" t="s">
        <v>41</v>
      </c>
      <c r="W661" s="1" t="s">
        <v>49</v>
      </c>
      <c r="X661" s="13" t="str">
        <f t="shared" si="75"/>
        <v/>
      </c>
      <c r="Y661" s="2">
        <f t="shared" ca="1" si="70"/>
        <v>88</v>
      </c>
      <c r="Z661" s="14">
        <v>1</v>
      </c>
      <c r="AA661" s="1" t="str">
        <f t="shared" ca="1" si="71"/>
        <v>VENCIDO</v>
      </c>
      <c r="AB661" s="1" t="str">
        <f t="shared" si="72"/>
        <v>C-14</v>
      </c>
      <c r="AC661" s="2" t="str">
        <f t="shared" si="76"/>
        <v xml:space="preserve"> RINALDO </v>
      </c>
      <c r="AD661" s="2">
        <f t="shared" si="73"/>
        <v>15</v>
      </c>
      <c r="AE661" s="2">
        <f t="shared" ca="1" si="74"/>
        <v>-120.09072766203462</v>
      </c>
      <c r="AF661" s="15"/>
    </row>
    <row r="662" spans="1:32">
      <c r="A662" s="1">
        <v>9030747</v>
      </c>
      <c r="B662" s="1" t="s">
        <v>1153</v>
      </c>
      <c r="C662" t="s">
        <v>1286</v>
      </c>
      <c r="D662" s="2">
        <v>220177573</v>
      </c>
      <c r="E662" s="2">
        <v>1028001400030</v>
      </c>
      <c r="F662" s="1" t="s">
        <v>647</v>
      </c>
      <c r="G662" s="1" t="s">
        <v>53</v>
      </c>
      <c r="H662" s="1" t="s">
        <v>1079</v>
      </c>
      <c r="I662" s="1" t="s">
        <v>1080</v>
      </c>
      <c r="J662" s="1" t="s">
        <v>85</v>
      </c>
      <c r="K662" t="s">
        <v>650</v>
      </c>
      <c r="M662" s="1" t="s">
        <v>58</v>
      </c>
      <c r="N662" s="1">
        <v>0</v>
      </c>
      <c r="O662" s="1" t="s">
        <v>36</v>
      </c>
      <c r="P662" s="11" t="s">
        <v>1287</v>
      </c>
      <c r="R662" s="1">
        <v>4</v>
      </c>
      <c r="T662" s="1" t="s">
        <v>646</v>
      </c>
      <c r="U662" s="11" t="s">
        <v>1288</v>
      </c>
      <c r="V662" s="1" t="s">
        <v>41</v>
      </c>
      <c r="W662" s="1" t="s">
        <v>49</v>
      </c>
      <c r="X662" s="13" t="str">
        <f t="shared" si="75"/>
        <v/>
      </c>
      <c r="Y662" s="2">
        <f t="shared" ca="1" si="70"/>
        <v>88</v>
      </c>
      <c r="Z662" s="14">
        <v>1</v>
      </c>
      <c r="AA662" s="1" t="str">
        <f t="shared" ca="1" si="71"/>
        <v>VENCIDO</v>
      </c>
      <c r="AB662" s="1" t="str">
        <f t="shared" si="72"/>
        <v>C-14</v>
      </c>
      <c r="AC662" s="2" t="str">
        <f t="shared" si="76"/>
        <v xml:space="preserve"> RINALDO </v>
      </c>
      <c r="AD662" s="2">
        <f t="shared" si="73"/>
        <v>15</v>
      </c>
      <c r="AE662" s="2">
        <f t="shared" ca="1" si="74"/>
        <v>-120.09078553240397</v>
      </c>
      <c r="AF662" s="15"/>
    </row>
    <row r="663" spans="1:32">
      <c r="A663" s="1">
        <v>9030746</v>
      </c>
      <c r="B663" s="1" t="s">
        <v>1153</v>
      </c>
      <c r="C663" t="s">
        <v>1289</v>
      </c>
      <c r="D663" s="2">
        <v>220177571</v>
      </c>
      <c r="E663" s="2">
        <v>1028001400030</v>
      </c>
      <c r="F663" s="1" t="s">
        <v>647</v>
      </c>
      <c r="G663" s="1" t="s">
        <v>53</v>
      </c>
      <c r="H663" s="1" t="s">
        <v>1079</v>
      </c>
      <c r="I663" s="1" t="s">
        <v>1080</v>
      </c>
      <c r="J663" s="1" t="s">
        <v>85</v>
      </c>
      <c r="K663" t="s">
        <v>650</v>
      </c>
      <c r="M663" s="1" t="s">
        <v>58</v>
      </c>
      <c r="N663" s="1">
        <v>0</v>
      </c>
      <c r="O663" s="1" t="s">
        <v>36</v>
      </c>
      <c r="P663" s="12">
        <v>44865.564583333333</v>
      </c>
      <c r="R663" s="1">
        <v>4</v>
      </c>
      <c r="T663" s="1" t="s">
        <v>646</v>
      </c>
      <c r="U663" s="12">
        <v>44866.585416666669</v>
      </c>
      <c r="V663" s="1" t="s">
        <v>41</v>
      </c>
      <c r="W663" s="1" t="s">
        <v>49</v>
      </c>
      <c r="X663" s="13" t="str">
        <f t="shared" si="75"/>
        <v/>
      </c>
      <c r="Y663" s="2">
        <f t="shared" ca="1" si="70"/>
        <v>88</v>
      </c>
      <c r="Z663" s="14">
        <v>1</v>
      </c>
      <c r="AA663" s="1" t="str">
        <f t="shared" ca="1" si="71"/>
        <v>VENCIDO</v>
      </c>
      <c r="AB663" s="1" t="str">
        <f t="shared" si="72"/>
        <v>C-14</v>
      </c>
      <c r="AC663" s="2" t="str">
        <f t="shared" si="76"/>
        <v xml:space="preserve"> RINALDO </v>
      </c>
      <c r="AD663" s="2">
        <f t="shared" si="73"/>
        <v>15</v>
      </c>
      <c r="AE663" s="2">
        <f t="shared" ca="1" si="74"/>
        <v>-120.0908549768501</v>
      </c>
      <c r="AF663" s="15"/>
    </row>
    <row r="664" spans="1:32">
      <c r="A664" s="1">
        <v>9030743</v>
      </c>
      <c r="B664" s="1" t="s">
        <v>1153</v>
      </c>
      <c r="C664" t="s">
        <v>1290</v>
      </c>
      <c r="D664" s="2">
        <v>220177524</v>
      </c>
      <c r="E664" s="2">
        <v>1028001400030</v>
      </c>
      <c r="F664" s="1" t="s">
        <v>647</v>
      </c>
      <c r="G664" s="1" t="s">
        <v>53</v>
      </c>
      <c r="H664" s="1" t="s">
        <v>1079</v>
      </c>
      <c r="I664" s="1" t="s">
        <v>1080</v>
      </c>
      <c r="J664" s="1" t="s">
        <v>85</v>
      </c>
      <c r="K664" t="s">
        <v>650</v>
      </c>
      <c r="M664" s="1" t="s">
        <v>58</v>
      </c>
      <c r="N664" s="1">
        <v>0</v>
      </c>
      <c r="O664" s="1" t="s">
        <v>36</v>
      </c>
      <c r="P664" s="11" t="s">
        <v>1291</v>
      </c>
      <c r="R664" s="1">
        <v>4</v>
      </c>
      <c r="T664" s="1" t="s">
        <v>646</v>
      </c>
      <c r="U664" s="11" t="s">
        <v>1292</v>
      </c>
      <c r="V664" s="1" t="s">
        <v>41</v>
      </c>
      <c r="W664" s="1" t="s">
        <v>49</v>
      </c>
      <c r="X664" s="13" t="str">
        <f t="shared" si="75"/>
        <v/>
      </c>
      <c r="Y664" s="2">
        <f t="shared" ca="1" si="70"/>
        <v>88</v>
      </c>
      <c r="Z664" s="14">
        <v>1</v>
      </c>
      <c r="AA664" s="1" t="str">
        <f t="shared" ca="1" si="71"/>
        <v>VENCIDO</v>
      </c>
      <c r="AB664" s="1" t="str">
        <f t="shared" si="72"/>
        <v>C-14</v>
      </c>
      <c r="AC664" s="2" t="str">
        <f t="shared" si="76"/>
        <v xml:space="preserve"> RINALDO </v>
      </c>
      <c r="AD664" s="2">
        <f t="shared" si="73"/>
        <v>15</v>
      </c>
      <c r="AE664" s="2">
        <f t="shared" ca="1" si="74"/>
        <v>-120.09105173611169</v>
      </c>
      <c r="AF664" s="15"/>
    </row>
    <row r="665" spans="1:32">
      <c r="A665" s="1">
        <v>9030733</v>
      </c>
      <c r="B665" s="1" t="s">
        <v>1153</v>
      </c>
      <c r="C665" t="s">
        <v>1293</v>
      </c>
      <c r="D665" s="2">
        <v>220177525</v>
      </c>
      <c r="E665" s="2">
        <v>1028001400030</v>
      </c>
      <c r="F665" s="1" t="s">
        <v>647</v>
      </c>
      <c r="G665" s="1" t="s">
        <v>53</v>
      </c>
      <c r="H665" s="1" t="s">
        <v>1079</v>
      </c>
      <c r="I665" s="1" t="s">
        <v>1080</v>
      </c>
      <c r="J665" s="1" t="s">
        <v>85</v>
      </c>
      <c r="K665" t="s">
        <v>650</v>
      </c>
      <c r="M665" s="1" t="s">
        <v>58</v>
      </c>
      <c r="N665" s="1">
        <v>0</v>
      </c>
      <c r="O665" s="1" t="s">
        <v>36</v>
      </c>
      <c r="P665" s="11" t="s">
        <v>1294</v>
      </c>
      <c r="R665" s="1">
        <v>4</v>
      </c>
      <c r="T665" s="1" t="s">
        <v>646</v>
      </c>
      <c r="U665" s="11" t="s">
        <v>1295</v>
      </c>
      <c r="V665" s="1" t="s">
        <v>41</v>
      </c>
      <c r="W665" s="1" t="s">
        <v>49</v>
      </c>
      <c r="X665" s="13" t="str">
        <f t="shared" si="75"/>
        <v/>
      </c>
      <c r="Y665" s="2">
        <f t="shared" ca="1" si="70"/>
        <v>88</v>
      </c>
      <c r="Z665" s="14">
        <v>1</v>
      </c>
      <c r="AA665" s="1" t="str">
        <f t="shared" ca="1" si="71"/>
        <v>VENCIDO</v>
      </c>
      <c r="AB665" s="1" t="str">
        <f t="shared" si="72"/>
        <v>C-14</v>
      </c>
      <c r="AC665" s="2" t="str">
        <f t="shared" si="76"/>
        <v xml:space="preserve"> RINALDO </v>
      </c>
      <c r="AD665" s="2">
        <f t="shared" si="73"/>
        <v>15</v>
      </c>
      <c r="AE665" s="2">
        <f t="shared" ca="1" si="74"/>
        <v>-120.09724386574089</v>
      </c>
      <c r="AF665" s="15"/>
    </row>
    <row r="666" spans="1:32">
      <c r="A666" s="1">
        <v>9037912</v>
      </c>
      <c r="B666" s="1" t="s">
        <v>62</v>
      </c>
      <c r="C666" t="s">
        <v>1296</v>
      </c>
      <c r="E666" s="2">
        <v>1069000203000</v>
      </c>
      <c r="F666" s="1" t="s">
        <v>454</v>
      </c>
      <c r="G666" s="1" t="s">
        <v>53</v>
      </c>
      <c r="H666" s="1" t="s">
        <v>353</v>
      </c>
      <c r="I666" s="1" t="s">
        <v>354</v>
      </c>
      <c r="J666" s="1" t="s">
        <v>211</v>
      </c>
      <c r="K666" t="s">
        <v>457</v>
      </c>
      <c r="M666" s="1" t="s">
        <v>58</v>
      </c>
      <c r="N666" s="1">
        <v>0</v>
      </c>
      <c r="O666" s="1" t="s">
        <v>36</v>
      </c>
      <c r="P666" s="11" t="s">
        <v>1297</v>
      </c>
      <c r="R666" s="1">
        <v>1</v>
      </c>
      <c r="T666" s="1" t="s">
        <v>157</v>
      </c>
      <c r="U666" s="11" t="s">
        <v>1298</v>
      </c>
      <c r="V666" s="1" t="s">
        <v>41</v>
      </c>
      <c r="W666" s="1" t="s">
        <v>49</v>
      </c>
      <c r="X666" s="13" t="str">
        <f t="shared" si="75"/>
        <v/>
      </c>
      <c r="Y666" s="2">
        <f t="shared" ca="1" si="70"/>
        <v>85</v>
      </c>
      <c r="Z666" s="14">
        <v>1</v>
      </c>
      <c r="AA666" s="1" t="str">
        <f t="shared" ca="1" si="71"/>
        <v>VENCIDO</v>
      </c>
      <c r="AB666" s="1" t="str">
        <f t="shared" si="72"/>
        <v>C-14</v>
      </c>
      <c r="AC666" s="2" t="str">
        <f t="shared" si="76"/>
        <v xml:space="preserve"> RINALDO </v>
      </c>
      <c r="AD666" s="2">
        <f t="shared" si="73"/>
        <v>5</v>
      </c>
      <c r="AE666" s="2">
        <f t="shared" ca="1" si="74"/>
        <v>-82.926271643518703</v>
      </c>
      <c r="AF666" s="15"/>
    </row>
    <row r="667" spans="1:32" hidden="1">
      <c r="A667" s="1">
        <v>9036877</v>
      </c>
      <c r="B667" s="1" t="s">
        <v>62</v>
      </c>
      <c r="C667" t="s">
        <v>1299</v>
      </c>
      <c r="E667" s="2">
        <v>5898000203000</v>
      </c>
      <c r="F667" s="1" t="s">
        <v>454</v>
      </c>
      <c r="G667" s="1" t="s">
        <v>53</v>
      </c>
      <c r="H667" s="1" t="s">
        <v>365</v>
      </c>
      <c r="I667" s="1" t="s">
        <v>366</v>
      </c>
      <c r="J667" s="1" t="s">
        <v>164</v>
      </c>
      <c r="K667" t="s">
        <v>457</v>
      </c>
      <c r="M667" s="1" t="s">
        <v>58</v>
      </c>
      <c r="N667" s="1">
        <v>0</v>
      </c>
      <c r="O667" s="1" t="s">
        <v>105</v>
      </c>
      <c r="P667" s="11" t="s">
        <v>1300</v>
      </c>
      <c r="R667" s="1">
        <v>1</v>
      </c>
      <c r="T667" s="1" t="s">
        <v>157</v>
      </c>
      <c r="U667" s="11" t="s">
        <v>1298</v>
      </c>
      <c r="V667" s="1" t="s">
        <v>41</v>
      </c>
      <c r="W667" s="1" t="s">
        <v>49</v>
      </c>
      <c r="X667" s="13" t="str">
        <f t="shared" si="75"/>
        <v/>
      </c>
      <c r="Y667" s="2">
        <f t="shared" ca="1" si="70"/>
        <v>85</v>
      </c>
      <c r="Z667" s="14">
        <v>1</v>
      </c>
      <c r="AA667" s="1" t="str">
        <f t="shared" ca="1" si="71"/>
        <v>VENCIDO</v>
      </c>
      <c r="AB667" s="1" t="str">
        <f t="shared" si="72"/>
        <v>C-14</v>
      </c>
      <c r="AC667" s="2" t="str">
        <f t="shared" si="76"/>
        <v xml:space="preserve"> ROSEMERE </v>
      </c>
      <c r="AD667" s="2">
        <f t="shared" si="73"/>
        <v>5</v>
      </c>
      <c r="AE667" s="2">
        <f t="shared" ca="1" si="74"/>
        <v>-82.926271643518703</v>
      </c>
      <c r="AF667" s="15"/>
    </row>
    <row r="668" spans="1:32">
      <c r="A668" s="1">
        <v>9044943</v>
      </c>
      <c r="B668" s="1" t="s">
        <v>62</v>
      </c>
      <c r="C668" t="s">
        <v>1301</v>
      </c>
      <c r="E668" s="2">
        <v>1902016089900</v>
      </c>
      <c r="F668" s="1" t="s">
        <v>64</v>
      </c>
      <c r="G668" s="1" t="s">
        <v>53</v>
      </c>
      <c r="H668" s="1" t="s">
        <v>175</v>
      </c>
      <c r="I668" s="1" t="s">
        <v>176</v>
      </c>
      <c r="J668" s="1" t="s">
        <v>90</v>
      </c>
      <c r="K668" t="s">
        <v>67</v>
      </c>
      <c r="M668" s="1" t="s">
        <v>35</v>
      </c>
      <c r="N668" s="1">
        <v>42318949</v>
      </c>
      <c r="O668" s="1" t="s">
        <v>36</v>
      </c>
      <c r="P668" s="11" t="s">
        <v>1302</v>
      </c>
      <c r="R668" s="1" t="s">
        <v>571</v>
      </c>
      <c r="T668" s="1" t="s">
        <v>69</v>
      </c>
      <c r="U668" s="11" t="s">
        <v>1303</v>
      </c>
      <c r="V668" s="1" t="s">
        <v>41</v>
      </c>
      <c r="W668" s="1" t="s">
        <v>49</v>
      </c>
      <c r="X668" s="13" t="str">
        <f t="shared" si="75"/>
        <v/>
      </c>
      <c r="Y668" s="2">
        <f t="shared" ca="1" si="70"/>
        <v>83</v>
      </c>
      <c r="Z668" s="14">
        <v>1</v>
      </c>
      <c r="AA668" s="1" t="str">
        <f t="shared" ca="1" si="71"/>
        <v>VENCIDO</v>
      </c>
      <c r="AB668" s="1" t="str">
        <f t="shared" si="72"/>
        <v>TAAe+</v>
      </c>
      <c r="AC668" s="2" t="str">
        <f t="shared" si="76"/>
        <v xml:space="preserve"> RINALDO </v>
      </c>
      <c r="AD668" s="2">
        <f t="shared" si="73"/>
        <v>8</v>
      </c>
      <c r="AE668" s="2">
        <f t="shared" ca="1" si="74"/>
        <v>-105.17176932870643</v>
      </c>
      <c r="AF668" s="15"/>
    </row>
    <row r="669" spans="1:32" hidden="1">
      <c r="A669" s="1">
        <v>9044117</v>
      </c>
      <c r="B669" s="1" t="s">
        <v>62</v>
      </c>
      <c r="C669" t="s">
        <v>1304</v>
      </c>
      <c r="E669" s="2">
        <v>9703000203000</v>
      </c>
      <c r="F669" s="1" t="s">
        <v>454</v>
      </c>
      <c r="G669" s="1" t="s">
        <v>53</v>
      </c>
      <c r="H669" s="1" t="s">
        <v>494</v>
      </c>
      <c r="I669" s="1" t="s">
        <v>495</v>
      </c>
      <c r="J669" s="1" t="s">
        <v>79</v>
      </c>
      <c r="K669" t="s">
        <v>457</v>
      </c>
      <c r="M669" s="1" t="s">
        <v>58</v>
      </c>
      <c r="N669" s="1">
        <v>0</v>
      </c>
      <c r="O669" s="1" t="s">
        <v>36</v>
      </c>
      <c r="P669" s="11" t="s">
        <v>1305</v>
      </c>
      <c r="R669" s="1">
        <v>1</v>
      </c>
      <c r="T669" s="1" t="s">
        <v>157</v>
      </c>
      <c r="U669" s="11" t="s">
        <v>1306</v>
      </c>
      <c r="V669" s="1" t="s">
        <v>41</v>
      </c>
      <c r="W669" s="1" t="s">
        <v>49</v>
      </c>
      <c r="X669" s="13" t="str">
        <f t="shared" si="75"/>
        <v/>
      </c>
      <c r="Y669" s="2">
        <f t="shared" ca="1" si="70"/>
        <v>83</v>
      </c>
      <c r="Z669" s="14">
        <v>1</v>
      </c>
      <c r="AA669" s="1" t="str">
        <f t="shared" ca="1" si="71"/>
        <v>VENCIDO</v>
      </c>
      <c r="AB669" s="1" t="str">
        <f t="shared" si="72"/>
        <v>C-14</v>
      </c>
      <c r="AC669" s="2" t="str">
        <f t="shared" si="76"/>
        <v xml:space="preserve"> ROSEMERE </v>
      </c>
      <c r="AD669" s="2">
        <f t="shared" si="73"/>
        <v>5</v>
      </c>
      <c r="AE669" s="2">
        <f t="shared" ca="1" si="74"/>
        <v>-78.926271643518703</v>
      </c>
      <c r="AF669" s="15"/>
    </row>
    <row r="670" spans="1:32" hidden="1">
      <c r="A670" s="1">
        <v>9047108</v>
      </c>
      <c r="B670" s="1" t="s">
        <v>62</v>
      </c>
      <c r="C670" t="s">
        <v>1307</v>
      </c>
      <c r="E670" s="2">
        <v>9703000206024</v>
      </c>
      <c r="F670" s="1" t="s">
        <v>103</v>
      </c>
      <c r="G670" s="1" t="s">
        <v>53</v>
      </c>
      <c r="H670" s="1" t="s">
        <v>494</v>
      </c>
      <c r="I670" s="1" t="s">
        <v>495</v>
      </c>
      <c r="J670" s="1" t="s">
        <v>79</v>
      </c>
      <c r="K670" t="s">
        <v>104</v>
      </c>
      <c r="M670" s="1" t="s">
        <v>35</v>
      </c>
      <c r="N670" s="1">
        <v>42318949</v>
      </c>
      <c r="O670" s="1" t="s">
        <v>36</v>
      </c>
      <c r="P670" s="11" t="s">
        <v>1308</v>
      </c>
      <c r="R670" s="1" t="s">
        <v>38</v>
      </c>
      <c r="T670" s="1" t="s">
        <v>74</v>
      </c>
      <c r="U670" s="11" t="s">
        <v>1309</v>
      </c>
      <c r="V670" s="1" t="s">
        <v>41</v>
      </c>
      <c r="W670" s="1" t="s">
        <v>49</v>
      </c>
      <c r="X670" s="13" t="str">
        <f t="shared" si="75"/>
        <v/>
      </c>
      <c r="Y670" s="2">
        <f t="shared" ca="1" si="70"/>
        <v>82</v>
      </c>
      <c r="Z670" s="14">
        <v>1</v>
      </c>
      <c r="AA670" s="1" t="str">
        <f t="shared" ca="1" si="71"/>
        <v>VENCIDO</v>
      </c>
      <c r="AB670" s="1" t="str">
        <f t="shared" si="72"/>
        <v>Dosa</v>
      </c>
      <c r="AC670" s="2" t="str">
        <f t="shared" si="76"/>
        <v xml:space="preserve"> ROSEMERE </v>
      </c>
      <c r="AD670" s="2">
        <f t="shared" si="73"/>
        <v>5</v>
      </c>
      <c r="AE670" s="2">
        <f t="shared" ca="1" si="74"/>
        <v>-70.926271643518703</v>
      </c>
      <c r="AF670" s="15"/>
    </row>
    <row r="671" spans="1:32" hidden="1">
      <c r="A671" s="1">
        <v>9047065</v>
      </c>
      <c r="B671" s="1" t="s">
        <v>62</v>
      </c>
      <c r="C671" t="s">
        <v>1310</v>
      </c>
      <c r="E671" s="2">
        <v>9703000206001</v>
      </c>
      <c r="F671" s="1" t="s">
        <v>29</v>
      </c>
      <c r="G671" s="1" t="s">
        <v>53</v>
      </c>
      <c r="H671" s="1" t="s">
        <v>494</v>
      </c>
      <c r="I671" s="1" t="s">
        <v>495</v>
      </c>
      <c r="J671" s="1" t="s">
        <v>79</v>
      </c>
      <c r="K671" t="s">
        <v>34</v>
      </c>
      <c r="M671" s="1" t="s">
        <v>35</v>
      </c>
      <c r="N671" s="1">
        <v>42318949</v>
      </c>
      <c r="O671" s="1" t="s">
        <v>36</v>
      </c>
      <c r="P671" s="11" t="s">
        <v>1311</v>
      </c>
      <c r="R671" s="1" t="s">
        <v>38</v>
      </c>
      <c r="T671" s="1" t="s">
        <v>74</v>
      </c>
      <c r="U671" s="11" t="s">
        <v>1309</v>
      </c>
      <c r="V671" s="1" t="s">
        <v>41</v>
      </c>
      <c r="W671" s="1" t="s">
        <v>49</v>
      </c>
      <c r="X671" s="13" t="str">
        <f t="shared" si="75"/>
        <v/>
      </c>
      <c r="Y671" s="2">
        <f t="shared" ca="1" si="70"/>
        <v>82</v>
      </c>
      <c r="Z671" s="14">
        <v>1</v>
      </c>
      <c r="AA671" s="1" t="str">
        <f t="shared" ca="1" si="71"/>
        <v>VENCIDO</v>
      </c>
      <c r="AB671" s="1" t="str">
        <f t="shared" si="72"/>
        <v>Dosa</v>
      </c>
      <c r="AC671" s="2" t="str">
        <f t="shared" si="76"/>
        <v xml:space="preserve"> ROSEMERE </v>
      </c>
      <c r="AD671" s="2">
        <f t="shared" si="73"/>
        <v>5</v>
      </c>
      <c r="AE671" s="2">
        <f t="shared" ca="1" si="74"/>
        <v>-70.926271643518703</v>
      </c>
      <c r="AF671" s="15"/>
    </row>
    <row r="672" spans="1:32" hidden="1">
      <c r="A672" s="1">
        <v>9051455</v>
      </c>
      <c r="B672" s="1" t="s">
        <v>27</v>
      </c>
      <c r="C672" t="s">
        <v>1312</v>
      </c>
      <c r="E672" s="2">
        <v>1792000206001</v>
      </c>
      <c r="F672" s="1" t="s">
        <v>29</v>
      </c>
      <c r="G672" s="1" t="s">
        <v>53</v>
      </c>
      <c r="H672" s="1" t="s">
        <v>467</v>
      </c>
      <c r="I672" s="1" t="s">
        <v>468</v>
      </c>
      <c r="J672" s="1" t="s">
        <v>110</v>
      </c>
      <c r="K672" t="s">
        <v>34</v>
      </c>
      <c r="M672" s="1" t="s">
        <v>35</v>
      </c>
      <c r="N672" s="1">
        <v>42318949</v>
      </c>
      <c r="O672" s="1" t="s">
        <v>36</v>
      </c>
      <c r="P672" s="186">
        <v>44874.715046296296</v>
      </c>
      <c r="R672" s="1" t="s">
        <v>38</v>
      </c>
      <c r="T672" s="1" t="s">
        <v>74</v>
      </c>
      <c r="U672" s="186">
        <v>44875.75</v>
      </c>
      <c r="V672" s="1" t="s">
        <v>41</v>
      </c>
      <c r="W672" s="1" t="s">
        <v>49</v>
      </c>
      <c r="X672" s="13" t="str">
        <f t="shared" si="75"/>
        <v/>
      </c>
      <c r="Y672" s="2">
        <f t="shared" ca="1" si="70"/>
        <v>81</v>
      </c>
      <c r="Z672" s="14">
        <v>1</v>
      </c>
      <c r="AA672" s="1" t="str">
        <f t="shared" ca="1" si="71"/>
        <v>VENCIDO</v>
      </c>
      <c r="AB672" s="1" t="str">
        <f t="shared" si="72"/>
        <v>Dosa</v>
      </c>
      <c r="AC672" s="2" t="str">
        <f t="shared" si="76"/>
        <v xml:space="preserve"> CRISTINA </v>
      </c>
      <c r="AD672" s="2">
        <f t="shared" si="73"/>
        <v>5</v>
      </c>
      <c r="AE672" s="2">
        <f t="shared" ca="1" si="74"/>
        <v>-110.9262716435187</v>
      </c>
      <c r="AF672" s="15"/>
    </row>
    <row r="673" spans="1:32" hidden="1">
      <c r="A673" s="1">
        <v>9050458</v>
      </c>
      <c r="B673" s="1" t="s">
        <v>81</v>
      </c>
      <c r="C673" t="s">
        <v>1210</v>
      </c>
      <c r="E673" s="2">
        <v>7417183024674</v>
      </c>
      <c r="F673" s="1" t="s">
        <v>1313</v>
      </c>
      <c r="G673" s="1" t="s">
        <v>53</v>
      </c>
      <c r="H673" s="1" t="s">
        <v>1314</v>
      </c>
      <c r="I673" s="1" t="s">
        <v>1315</v>
      </c>
      <c r="J673" s="1" t="s">
        <v>164</v>
      </c>
      <c r="K673" t="s">
        <v>1316</v>
      </c>
      <c r="M673" s="1" t="s">
        <v>58</v>
      </c>
      <c r="N673" s="1">
        <v>0</v>
      </c>
      <c r="O673" s="1" t="s">
        <v>105</v>
      </c>
      <c r="P673" s="11" t="s">
        <v>1317</v>
      </c>
      <c r="R673" s="1">
        <v>15</v>
      </c>
      <c r="T673" s="1" t="s">
        <v>238</v>
      </c>
      <c r="U673" s="11" t="s">
        <v>1318</v>
      </c>
      <c r="V673" s="1" t="s">
        <v>41</v>
      </c>
      <c r="W673" s="1" t="s">
        <v>49</v>
      </c>
      <c r="X673" s="13" t="str">
        <f t="shared" si="75"/>
        <v>1049.91</v>
      </c>
      <c r="Y673" s="2">
        <f t="shared" ca="1" si="70"/>
        <v>81</v>
      </c>
      <c r="Z673" s="14">
        <v>1</v>
      </c>
      <c r="AA673" s="1" t="str">
        <f t="shared" ca="1" si="71"/>
        <v>VENCIDO</v>
      </c>
      <c r="AB673" s="1" t="str">
        <f t="shared" si="72"/>
        <v>TAAe+</v>
      </c>
      <c r="AC673" s="2" t="str">
        <f t="shared" si="76"/>
        <v xml:space="preserve"> ROSEMERE </v>
      </c>
      <c r="AD673" s="2">
        <f t="shared" si="73"/>
        <v>8</v>
      </c>
      <c r="AE673" s="2">
        <f t="shared" ca="1" si="74"/>
        <v>-111.18638738425943</v>
      </c>
      <c r="AF673" s="15"/>
    </row>
    <row r="674" spans="1:32" hidden="1">
      <c r="A674" s="1">
        <v>9056147</v>
      </c>
      <c r="B674" s="1" t="s">
        <v>62</v>
      </c>
      <c r="C674" t="s">
        <v>1319</v>
      </c>
      <c r="E674" s="2">
        <v>159000206001</v>
      </c>
      <c r="F674" s="1" t="s">
        <v>29</v>
      </c>
      <c r="G674" s="1" t="s">
        <v>53</v>
      </c>
      <c r="H674" s="1" t="s">
        <v>331</v>
      </c>
      <c r="I674" s="1" t="s">
        <v>332</v>
      </c>
      <c r="J674" s="1" t="s">
        <v>79</v>
      </c>
      <c r="K674" t="s">
        <v>34</v>
      </c>
      <c r="M674" s="1" t="s">
        <v>35</v>
      </c>
      <c r="N674" s="1">
        <v>42318949</v>
      </c>
      <c r="O674" s="1" t="s">
        <v>105</v>
      </c>
      <c r="P674" s="11" t="s">
        <v>1320</v>
      </c>
      <c r="R674" s="1" t="s">
        <v>38</v>
      </c>
      <c r="T674" s="1" t="s">
        <v>74</v>
      </c>
      <c r="U674" s="11" t="s">
        <v>1321</v>
      </c>
      <c r="V674" s="1" t="s">
        <v>41</v>
      </c>
      <c r="W674" s="1" t="s">
        <v>49</v>
      </c>
      <c r="X674" s="13" t="str">
        <f t="shared" si="75"/>
        <v/>
      </c>
      <c r="Y674" s="2">
        <f t="shared" ca="1" si="70"/>
        <v>79</v>
      </c>
      <c r="Z674" s="14">
        <v>1</v>
      </c>
      <c r="AA674" s="1" t="str">
        <f t="shared" ca="1" si="71"/>
        <v>VENCIDO</v>
      </c>
      <c r="AB674" s="1" t="str">
        <f t="shared" si="72"/>
        <v>Dosa</v>
      </c>
      <c r="AC674" s="2" t="str">
        <f t="shared" si="76"/>
        <v xml:space="preserve"> ROSEMERE </v>
      </c>
      <c r="AD674" s="2">
        <f t="shared" si="73"/>
        <v>5</v>
      </c>
      <c r="AE674" s="2">
        <f t="shared" ca="1" si="74"/>
        <v>-67.926271643518703</v>
      </c>
      <c r="AF674" s="15"/>
    </row>
    <row r="675" spans="1:32" hidden="1">
      <c r="A675" s="1">
        <v>9065338</v>
      </c>
      <c r="B675" s="1" t="s">
        <v>1153</v>
      </c>
      <c r="C675" t="s">
        <v>1322</v>
      </c>
      <c r="D675" s="2">
        <v>220184615</v>
      </c>
      <c r="E675" s="2">
        <v>2138001400030</v>
      </c>
      <c r="F675" s="18" t="s">
        <v>647</v>
      </c>
      <c r="G675" s="1" t="s">
        <v>53</v>
      </c>
      <c r="H675" s="1" t="s">
        <v>379</v>
      </c>
      <c r="I675" s="1" t="s">
        <v>380</v>
      </c>
      <c r="J675" s="1" t="s">
        <v>46</v>
      </c>
      <c r="K675" t="s">
        <v>650</v>
      </c>
      <c r="M675" s="1" t="s">
        <v>58</v>
      </c>
      <c r="N675" s="1">
        <v>0</v>
      </c>
      <c r="O675" s="1" t="s">
        <v>36</v>
      </c>
      <c r="P675" s="11" t="s">
        <v>1323</v>
      </c>
      <c r="R675" s="1">
        <v>4</v>
      </c>
      <c r="T675" s="1" t="s">
        <v>646</v>
      </c>
      <c r="U675" s="12">
        <v>44887.479166666664</v>
      </c>
      <c r="V675" s="1" t="s">
        <v>41</v>
      </c>
      <c r="W675" s="1" t="s">
        <v>49</v>
      </c>
      <c r="X675" s="13" t="str">
        <f t="shared" si="75"/>
        <v/>
      </c>
      <c r="Y675" s="2">
        <f t="shared" ca="1" si="70"/>
        <v>78</v>
      </c>
      <c r="Z675" s="14">
        <v>1</v>
      </c>
      <c r="AA675" s="1" t="str">
        <f t="shared" ca="1" si="71"/>
        <v>VENCIDO</v>
      </c>
      <c r="AB675" s="1" t="str">
        <f t="shared" si="72"/>
        <v>C-14</v>
      </c>
      <c r="AC675" s="2" t="str">
        <f t="shared" si="76"/>
        <v xml:space="preserve"> CLEITON </v>
      </c>
      <c r="AD675" s="2">
        <f t="shared" si="73"/>
        <v>15</v>
      </c>
      <c r="AE675" s="2">
        <f t="shared" ca="1" si="74"/>
        <v>-99.197104976854462</v>
      </c>
      <c r="AF675" s="15"/>
    </row>
    <row r="676" spans="1:32" hidden="1">
      <c r="A676" s="1">
        <v>9095498</v>
      </c>
      <c r="B676" s="1" t="s">
        <v>1153</v>
      </c>
      <c r="C676" t="s">
        <v>1324</v>
      </c>
      <c r="D676" s="2">
        <v>220188160</v>
      </c>
      <c r="E676" s="2">
        <v>1049001400030</v>
      </c>
      <c r="F676" s="1" t="s">
        <v>647</v>
      </c>
      <c r="G676" s="1" t="s">
        <v>53</v>
      </c>
      <c r="H676" s="1" t="s">
        <v>169</v>
      </c>
      <c r="I676" s="1" t="s">
        <v>170</v>
      </c>
      <c r="J676" s="1" t="s">
        <v>164</v>
      </c>
      <c r="K676" t="s">
        <v>650</v>
      </c>
      <c r="M676" s="1" t="s">
        <v>58</v>
      </c>
      <c r="N676" s="1">
        <v>0</v>
      </c>
      <c r="O676" s="1" t="s">
        <v>36</v>
      </c>
      <c r="P676" s="11" t="s">
        <v>1325</v>
      </c>
      <c r="R676" s="1">
        <v>4</v>
      </c>
      <c r="T676" s="1" t="s">
        <v>646</v>
      </c>
      <c r="U676" s="11" t="s">
        <v>1326</v>
      </c>
      <c r="V676" s="1" t="s">
        <v>41</v>
      </c>
      <c r="W676" s="1" t="s">
        <v>49</v>
      </c>
      <c r="X676" s="13" t="str">
        <f t="shared" si="75"/>
        <v/>
      </c>
      <c r="Y676" s="2">
        <f t="shared" ca="1" si="70"/>
        <v>71</v>
      </c>
      <c r="Z676" s="14">
        <v>1</v>
      </c>
      <c r="AA676" s="1" t="str">
        <f t="shared" ca="1" si="71"/>
        <v>VENCIDO</v>
      </c>
      <c r="AB676" s="1" t="str">
        <f t="shared" si="72"/>
        <v>C-14</v>
      </c>
      <c r="AC676" s="2" t="str">
        <f t="shared" si="76"/>
        <v xml:space="preserve"> ROSEMERE </v>
      </c>
      <c r="AD676" s="2">
        <f t="shared" si="73"/>
        <v>15</v>
      </c>
      <c r="AE676" s="2">
        <f t="shared" ca="1" si="74"/>
        <v>-91.186676736113441</v>
      </c>
      <c r="AF676" s="15"/>
    </row>
    <row r="677" spans="1:32" hidden="1">
      <c r="A677" s="1">
        <v>9095341</v>
      </c>
      <c r="B677" s="1" t="s">
        <v>62</v>
      </c>
      <c r="C677" t="s">
        <v>1327</v>
      </c>
      <c r="E677" s="2">
        <v>2335000203000</v>
      </c>
      <c r="F677" s="1" t="s">
        <v>454</v>
      </c>
      <c r="G677" s="1" t="s">
        <v>53</v>
      </c>
      <c r="H677" s="1" t="s">
        <v>194</v>
      </c>
      <c r="I677" s="1" t="s">
        <v>195</v>
      </c>
      <c r="J677" s="1" t="s">
        <v>110</v>
      </c>
      <c r="K677" t="s">
        <v>457</v>
      </c>
      <c r="M677" s="1" t="s">
        <v>58</v>
      </c>
      <c r="N677" s="1">
        <v>0</v>
      </c>
      <c r="O677" s="1" t="s">
        <v>36</v>
      </c>
      <c r="P677" s="11" t="s">
        <v>1328</v>
      </c>
      <c r="R677" s="1">
        <v>1</v>
      </c>
      <c r="T677" s="1" t="s">
        <v>157</v>
      </c>
      <c r="U677" s="11" t="s">
        <v>1329</v>
      </c>
      <c r="V677" s="1" t="s">
        <v>41</v>
      </c>
      <c r="W677" s="1" t="s">
        <v>49</v>
      </c>
      <c r="X677" s="13" t="str">
        <f t="shared" si="75"/>
        <v/>
      </c>
      <c r="Y677" s="2">
        <f t="shared" ca="1" si="70"/>
        <v>71</v>
      </c>
      <c r="Z677" s="14">
        <v>1</v>
      </c>
      <c r="AA677" s="1" t="str">
        <f t="shared" ca="1" si="71"/>
        <v>VENCIDO</v>
      </c>
      <c r="AB677" s="1" t="str">
        <f t="shared" si="72"/>
        <v>C-14</v>
      </c>
      <c r="AC677" s="2" t="str">
        <f t="shared" si="76"/>
        <v xml:space="preserve"> CRISTINA </v>
      </c>
      <c r="AD677" s="2">
        <f t="shared" si="73"/>
        <v>5</v>
      </c>
      <c r="AE677" s="2">
        <f t="shared" ca="1" si="74"/>
        <v>-57.926271643518703</v>
      </c>
      <c r="AF677" s="15"/>
    </row>
    <row r="678" spans="1:32">
      <c r="A678" s="1">
        <v>9093400</v>
      </c>
      <c r="B678" s="1" t="s">
        <v>101</v>
      </c>
      <c r="C678" t="s">
        <v>643</v>
      </c>
      <c r="D678" s="2">
        <v>220160091</v>
      </c>
      <c r="E678" s="2">
        <v>68001400010</v>
      </c>
      <c r="F678" s="1" t="s">
        <v>936</v>
      </c>
      <c r="G678" s="1" t="s">
        <v>53</v>
      </c>
      <c r="H678" s="1" t="s">
        <v>1330</v>
      </c>
      <c r="I678" s="1" t="s">
        <v>1331</v>
      </c>
      <c r="J678" s="1" t="s">
        <v>211</v>
      </c>
      <c r="K678" t="s">
        <v>937</v>
      </c>
      <c r="M678" s="1" t="s">
        <v>58</v>
      </c>
      <c r="N678" s="1">
        <v>0</v>
      </c>
      <c r="O678" s="1" t="s">
        <v>105</v>
      </c>
      <c r="P678" s="11" t="s">
        <v>1332</v>
      </c>
      <c r="R678" s="1">
        <v>3</v>
      </c>
      <c r="T678" s="1" t="s">
        <v>646</v>
      </c>
      <c r="U678" s="11" t="s">
        <v>1333</v>
      </c>
      <c r="V678" s="1" t="s">
        <v>41</v>
      </c>
      <c r="W678" s="1" t="s">
        <v>49</v>
      </c>
      <c r="X678" s="13" t="str">
        <f t="shared" si="75"/>
        <v/>
      </c>
      <c r="Y678" s="2">
        <f t="shared" ca="1" si="70"/>
        <v>71</v>
      </c>
      <c r="Z678" s="14">
        <v>1</v>
      </c>
      <c r="AA678" s="1" t="str">
        <f t="shared" ca="1" si="71"/>
        <v>VENCIDO</v>
      </c>
      <c r="AB678" s="1" t="str">
        <f t="shared" si="72"/>
        <v>C-14</v>
      </c>
      <c r="AC678" s="2" t="str">
        <f t="shared" si="76"/>
        <v xml:space="preserve"> RINALDO </v>
      </c>
      <c r="AD678" s="2">
        <f t="shared" si="73"/>
        <v>5</v>
      </c>
      <c r="AE678" s="2">
        <f t="shared" ca="1" si="74"/>
        <v>-97.325878124996962</v>
      </c>
      <c r="AF678" s="15"/>
    </row>
    <row r="679" spans="1:32" hidden="1">
      <c r="A679" s="1">
        <v>9093399</v>
      </c>
      <c r="B679" s="1" t="s">
        <v>101</v>
      </c>
      <c r="C679" t="s">
        <v>643</v>
      </c>
      <c r="D679" s="2">
        <v>220160090</v>
      </c>
      <c r="E679" s="2">
        <v>67001400010</v>
      </c>
      <c r="F679" s="1" t="s">
        <v>936</v>
      </c>
      <c r="G679" s="1" t="s">
        <v>53</v>
      </c>
      <c r="H679" s="1" t="s">
        <v>404</v>
      </c>
      <c r="I679" s="1" t="s">
        <v>405</v>
      </c>
      <c r="J679" s="1" t="s">
        <v>164</v>
      </c>
      <c r="K679" t="s">
        <v>937</v>
      </c>
      <c r="M679" s="1" t="s">
        <v>58</v>
      </c>
      <c r="N679" s="1">
        <v>0</v>
      </c>
      <c r="O679" s="1" t="s">
        <v>105</v>
      </c>
      <c r="P679" s="11" t="s">
        <v>1334</v>
      </c>
      <c r="R679" s="1">
        <v>3</v>
      </c>
      <c r="T679" s="1" t="s">
        <v>646</v>
      </c>
      <c r="U679" s="11" t="s">
        <v>1335</v>
      </c>
      <c r="V679" s="1" t="s">
        <v>41</v>
      </c>
      <c r="W679" s="1" t="s">
        <v>49</v>
      </c>
      <c r="X679" s="13" t="str">
        <f t="shared" si="75"/>
        <v/>
      </c>
      <c r="Y679" s="2">
        <f t="shared" ca="1" si="70"/>
        <v>71</v>
      </c>
      <c r="Z679" s="14">
        <v>1</v>
      </c>
      <c r="AA679" s="1" t="str">
        <f t="shared" ca="1" si="71"/>
        <v>VENCIDO</v>
      </c>
      <c r="AB679" s="1" t="str">
        <f t="shared" si="72"/>
        <v>C-14</v>
      </c>
      <c r="AC679" s="2" t="str">
        <f t="shared" si="76"/>
        <v xml:space="preserve"> ROSEMERE </v>
      </c>
      <c r="AD679" s="2">
        <f t="shared" si="73"/>
        <v>5</v>
      </c>
      <c r="AE679" s="2">
        <f t="shared" ca="1" si="74"/>
        <v>-97.325935995373584</v>
      </c>
      <c r="AF679" s="15"/>
    </row>
    <row r="680" spans="1:32" hidden="1">
      <c r="A680" s="1">
        <v>9110613</v>
      </c>
      <c r="B680" s="1" t="s">
        <v>62</v>
      </c>
      <c r="C680" t="s">
        <v>1336</v>
      </c>
      <c r="E680" s="2">
        <v>2830000203010</v>
      </c>
      <c r="F680" s="1" t="s">
        <v>152</v>
      </c>
      <c r="G680" s="1" t="s">
        <v>53</v>
      </c>
      <c r="H680" s="1" t="s">
        <v>448</v>
      </c>
      <c r="I680" s="1" t="s">
        <v>449</v>
      </c>
      <c r="J680" s="1" t="s">
        <v>33</v>
      </c>
      <c r="K680" t="s">
        <v>155</v>
      </c>
      <c r="M680" s="1" t="s">
        <v>35</v>
      </c>
      <c r="N680" s="1">
        <v>42318949</v>
      </c>
      <c r="O680" s="1" t="s">
        <v>105</v>
      </c>
      <c r="P680" s="11" t="s">
        <v>1337</v>
      </c>
      <c r="R680" s="1">
        <v>1</v>
      </c>
      <c r="T680" s="1" t="s">
        <v>157</v>
      </c>
      <c r="U680" s="11" t="s">
        <v>1338</v>
      </c>
      <c r="V680" s="1" t="s">
        <v>41</v>
      </c>
      <c r="W680" s="1" t="s">
        <v>42</v>
      </c>
      <c r="X680" s="13" t="str">
        <f t="shared" si="75"/>
        <v/>
      </c>
      <c r="Y680" s="2">
        <f t="shared" ca="1" si="70"/>
        <v>68</v>
      </c>
      <c r="Z680" s="14">
        <v>1</v>
      </c>
      <c r="AA680" s="1" t="str">
        <f t="shared" ca="1" si="71"/>
        <v>VENCIDO</v>
      </c>
      <c r="AB680" s="1" t="str">
        <f t="shared" si="72"/>
        <v>TAAe+</v>
      </c>
      <c r="AC680" s="2" t="str">
        <f t="shared" si="76"/>
        <v xml:space="preserve"> ROSEMERE </v>
      </c>
      <c r="AD680" s="2">
        <f t="shared" si="73"/>
        <v>8</v>
      </c>
      <c r="AE680" s="2">
        <f t="shared" ca="1" si="74"/>
        <v>-60.926271643518703</v>
      </c>
      <c r="AF680" s="15"/>
    </row>
    <row r="681" spans="1:32" hidden="1">
      <c r="A681" s="1">
        <v>9110065</v>
      </c>
      <c r="B681" s="1" t="s">
        <v>62</v>
      </c>
      <c r="C681" t="s">
        <v>1339</v>
      </c>
      <c r="E681" s="2">
        <v>9703000206021</v>
      </c>
      <c r="F681" s="1" t="s">
        <v>103</v>
      </c>
      <c r="G681" s="1" t="s">
        <v>53</v>
      </c>
      <c r="H681" s="1" t="s">
        <v>494</v>
      </c>
      <c r="I681" s="1" t="s">
        <v>495</v>
      </c>
      <c r="J681" s="1" t="s">
        <v>79</v>
      </c>
      <c r="K681" t="s">
        <v>104</v>
      </c>
      <c r="M681" s="1" t="s">
        <v>58</v>
      </c>
      <c r="N681" s="1">
        <v>0</v>
      </c>
      <c r="O681" s="1" t="s">
        <v>105</v>
      </c>
      <c r="P681" s="11" t="s">
        <v>1340</v>
      </c>
      <c r="R681" s="1" t="s">
        <v>38</v>
      </c>
      <c r="T681" s="1" t="s">
        <v>74</v>
      </c>
      <c r="U681" s="11" t="s">
        <v>1341</v>
      </c>
      <c r="V681" s="1" t="s">
        <v>41</v>
      </c>
      <c r="W681" s="1" t="s">
        <v>49</v>
      </c>
      <c r="X681" s="13" t="str">
        <f t="shared" si="75"/>
        <v/>
      </c>
      <c r="Y681" s="2">
        <f t="shared" ca="1" si="70"/>
        <v>68</v>
      </c>
      <c r="Z681" s="14">
        <v>1</v>
      </c>
      <c r="AA681" s="1" t="str">
        <f t="shared" ca="1" si="71"/>
        <v>VENCIDO</v>
      </c>
      <c r="AB681" s="1" t="str">
        <f t="shared" si="72"/>
        <v>Dosa</v>
      </c>
      <c r="AC681" s="2" t="str">
        <f t="shared" si="76"/>
        <v xml:space="preserve"> ROSEMERE </v>
      </c>
      <c r="AD681" s="2">
        <f t="shared" si="73"/>
        <v>5</v>
      </c>
      <c r="AE681" s="2">
        <f t="shared" ca="1" si="74"/>
        <v>-53.926271643518703</v>
      </c>
      <c r="AF681" s="15"/>
    </row>
    <row r="682" spans="1:32" hidden="1">
      <c r="A682" s="1">
        <v>9110056</v>
      </c>
      <c r="B682" s="1" t="s">
        <v>62</v>
      </c>
      <c r="C682" t="s">
        <v>1342</v>
      </c>
      <c r="E682" s="2">
        <v>9703000206021</v>
      </c>
      <c r="F682" s="1" t="s">
        <v>103</v>
      </c>
      <c r="G682" s="1" t="s">
        <v>53</v>
      </c>
      <c r="H682" s="1" t="s">
        <v>494</v>
      </c>
      <c r="I682" s="1" t="s">
        <v>495</v>
      </c>
      <c r="J682" s="1" t="s">
        <v>79</v>
      </c>
      <c r="K682" t="s">
        <v>104</v>
      </c>
      <c r="M682" s="1" t="s">
        <v>58</v>
      </c>
      <c r="N682" s="1">
        <v>0</v>
      </c>
      <c r="O682" s="1" t="s">
        <v>105</v>
      </c>
      <c r="P682" s="11" t="s">
        <v>1343</v>
      </c>
      <c r="R682" s="1" t="s">
        <v>38</v>
      </c>
      <c r="T682" s="1" t="s">
        <v>74</v>
      </c>
      <c r="U682" s="11" t="s">
        <v>1341</v>
      </c>
      <c r="V682" s="1" t="s">
        <v>41</v>
      </c>
      <c r="W682" s="1" t="s">
        <v>49</v>
      </c>
      <c r="X682" s="13" t="str">
        <f t="shared" si="75"/>
        <v/>
      </c>
      <c r="Y682" s="2">
        <f t="shared" ca="1" si="70"/>
        <v>68</v>
      </c>
      <c r="Z682" s="14">
        <v>1</v>
      </c>
      <c r="AA682" s="1" t="str">
        <f t="shared" ca="1" si="71"/>
        <v>VENCIDO</v>
      </c>
      <c r="AB682" s="1" t="str">
        <f t="shared" si="72"/>
        <v>Dosa</v>
      </c>
      <c r="AC682" s="2" t="str">
        <f t="shared" si="76"/>
        <v xml:space="preserve"> ROSEMERE </v>
      </c>
      <c r="AD682" s="2">
        <f t="shared" si="73"/>
        <v>5</v>
      </c>
      <c r="AE682" s="2">
        <f t="shared" ca="1" si="74"/>
        <v>-53.926271643518703</v>
      </c>
      <c r="AF682" s="15"/>
    </row>
    <row r="683" spans="1:32" hidden="1">
      <c r="A683" s="1">
        <v>9110055</v>
      </c>
      <c r="B683" s="1" t="s">
        <v>62</v>
      </c>
      <c r="C683" t="s">
        <v>1342</v>
      </c>
      <c r="E683" s="2">
        <v>9703000206021</v>
      </c>
      <c r="F683" s="1" t="s">
        <v>103</v>
      </c>
      <c r="G683" s="1" t="s">
        <v>53</v>
      </c>
      <c r="H683" s="1" t="s">
        <v>494</v>
      </c>
      <c r="I683" s="1" t="s">
        <v>495</v>
      </c>
      <c r="J683" s="1" t="s">
        <v>79</v>
      </c>
      <c r="K683" t="s">
        <v>104</v>
      </c>
      <c r="M683" s="1" t="s">
        <v>58</v>
      </c>
      <c r="N683" s="1">
        <v>0</v>
      </c>
      <c r="O683" s="1" t="s">
        <v>105</v>
      </c>
      <c r="P683" s="11" t="s">
        <v>1344</v>
      </c>
      <c r="R683" s="1" t="s">
        <v>38</v>
      </c>
      <c r="T683" s="1" t="s">
        <v>74</v>
      </c>
      <c r="U683" s="11" t="s">
        <v>1341</v>
      </c>
      <c r="V683" s="1" t="s">
        <v>41</v>
      </c>
      <c r="W683" s="1" t="s">
        <v>49</v>
      </c>
      <c r="X683" s="13" t="str">
        <f t="shared" si="75"/>
        <v/>
      </c>
      <c r="Y683" s="2">
        <f t="shared" ca="1" si="70"/>
        <v>68</v>
      </c>
      <c r="Z683" s="14">
        <v>1</v>
      </c>
      <c r="AA683" s="1" t="str">
        <f t="shared" ca="1" si="71"/>
        <v>VENCIDO</v>
      </c>
      <c r="AB683" s="1" t="str">
        <f t="shared" si="72"/>
        <v>Dosa</v>
      </c>
      <c r="AC683" s="2" t="str">
        <f t="shared" si="76"/>
        <v xml:space="preserve"> ROSEMERE </v>
      </c>
      <c r="AD683" s="2">
        <f t="shared" si="73"/>
        <v>5</v>
      </c>
      <c r="AE683" s="2">
        <f t="shared" ca="1" si="74"/>
        <v>-53.926271643518703</v>
      </c>
      <c r="AF683" s="15"/>
    </row>
    <row r="684" spans="1:32" hidden="1">
      <c r="A684" s="1">
        <v>9110054</v>
      </c>
      <c r="B684" s="1" t="s">
        <v>27</v>
      </c>
      <c r="C684" t="s">
        <v>1342</v>
      </c>
      <c r="E684" s="2">
        <v>9703000206021</v>
      </c>
      <c r="F684" s="1" t="s">
        <v>103</v>
      </c>
      <c r="G684" s="1" t="s">
        <v>53</v>
      </c>
      <c r="H684" s="1" t="s">
        <v>494</v>
      </c>
      <c r="I684" s="1" t="s">
        <v>495</v>
      </c>
      <c r="J684" s="25" t="s">
        <v>79</v>
      </c>
      <c r="K684" t="s">
        <v>104</v>
      </c>
      <c r="M684" s="1" t="s">
        <v>58</v>
      </c>
      <c r="N684" s="1">
        <v>0</v>
      </c>
      <c r="O684" s="1" t="s">
        <v>105</v>
      </c>
      <c r="P684" s="11" t="s">
        <v>1345</v>
      </c>
      <c r="R684" s="1" t="s">
        <v>38</v>
      </c>
      <c r="T684" s="1" t="s">
        <v>74</v>
      </c>
      <c r="U684" s="11" t="s">
        <v>1341</v>
      </c>
      <c r="V684" s="1" t="s">
        <v>41</v>
      </c>
      <c r="W684" s="1" t="s">
        <v>49</v>
      </c>
      <c r="X684" s="13" t="str">
        <f t="shared" si="75"/>
        <v/>
      </c>
      <c r="Y684" s="2">
        <f t="shared" ca="1" si="70"/>
        <v>68</v>
      </c>
      <c r="Z684" s="14">
        <v>1</v>
      </c>
      <c r="AA684" s="1" t="str">
        <f t="shared" ca="1" si="71"/>
        <v>VENCIDO</v>
      </c>
      <c r="AB684" s="1" t="str">
        <f t="shared" si="72"/>
        <v>Dosa</v>
      </c>
      <c r="AC684" s="2" t="str">
        <f t="shared" si="76"/>
        <v xml:space="preserve"> ROSEMERE </v>
      </c>
      <c r="AD684" s="2">
        <f t="shared" si="73"/>
        <v>5</v>
      </c>
      <c r="AE684" s="2">
        <f t="shared" ca="1" si="74"/>
        <v>-53.926271643518703</v>
      </c>
      <c r="AF684" s="15"/>
    </row>
    <row r="685" spans="1:32" hidden="1">
      <c r="A685" s="1">
        <v>9110053</v>
      </c>
      <c r="B685" s="1" t="s">
        <v>62</v>
      </c>
      <c r="C685" t="s">
        <v>1346</v>
      </c>
      <c r="E685" s="2">
        <v>9703000206021</v>
      </c>
      <c r="F685" s="1" t="s">
        <v>103</v>
      </c>
      <c r="G685" s="1" t="s">
        <v>53</v>
      </c>
      <c r="H685" s="1" t="s">
        <v>494</v>
      </c>
      <c r="I685" s="1" t="s">
        <v>495</v>
      </c>
      <c r="J685" s="1" t="s">
        <v>79</v>
      </c>
      <c r="K685" t="s">
        <v>104</v>
      </c>
      <c r="M685" s="1" t="s">
        <v>58</v>
      </c>
      <c r="N685" s="1">
        <v>0</v>
      </c>
      <c r="O685" s="1" t="s">
        <v>105</v>
      </c>
      <c r="P685" s="11" t="s">
        <v>1347</v>
      </c>
      <c r="R685" s="1" t="s">
        <v>38</v>
      </c>
      <c r="T685" s="1" t="s">
        <v>74</v>
      </c>
      <c r="U685" s="12">
        <v>44932.75</v>
      </c>
      <c r="V685" s="1" t="s">
        <v>41</v>
      </c>
      <c r="W685" s="1" t="s">
        <v>49</v>
      </c>
      <c r="X685" s="13" t="str">
        <f t="shared" si="75"/>
        <v/>
      </c>
      <c r="Y685" s="2">
        <f t="shared" ca="1" si="70"/>
        <v>68</v>
      </c>
      <c r="Z685" s="14">
        <v>1</v>
      </c>
      <c r="AA685" s="1" t="str">
        <f t="shared" ca="1" si="71"/>
        <v>VENCIDO</v>
      </c>
      <c r="AB685" s="1" t="str">
        <f t="shared" si="72"/>
        <v>Dosa</v>
      </c>
      <c r="AC685" s="2" t="str">
        <f t="shared" si="76"/>
        <v xml:space="preserve"> ROSEMERE </v>
      </c>
      <c r="AD685" s="2">
        <f t="shared" si="73"/>
        <v>5</v>
      </c>
      <c r="AE685" s="2">
        <f t="shared" ca="1" si="74"/>
        <v>-53.926271643518703</v>
      </c>
      <c r="AF685" s="15"/>
    </row>
    <row r="686" spans="1:32">
      <c r="A686" s="1">
        <v>9119774</v>
      </c>
      <c r="B686" s="1" t="s">
        <v>1153</v>
      </c>
      <c r="C686" t="s">
        <v>1348</v>
      </c>
      <c r="D686" s="2">
        <v>220190443</v>
      </c>
      <c r="E686" s="2">
        <v>1146001400030</v>
      </c>
      <c r="F686" s="1" t="s">
        <v>647</v>
      </c>
      <c r="G686" s="1" t="s">
        <v>53</v>
      </c>
      <c r="H686" s="1" t="s">
        <v>315</v>
      </c>
      <c r="I686" s="1" t="s">
        <v>316</v>
      </c>
      <c r="J686" s="1" t="s">
        <v>148</v>
      </c>
      <c r="K686" t="s">
        <v>650</v>
      </c>
      <c r="M686" s="1" t="s">
        <v>58</v>
      </c>
      <c r="N686" s="1">
        <v>0</v>
      </c>
      <c r="O686" s="1" t="s">
        <v>36</v>
      </c>
      <c r="P686" s="11" t="s">
        <v>1349</v>
      </c>
      <c r="R686" s="1">
        <v>4</v>
      </c>
      <c r="T686" s="1" t="s">
        <v>646</v>
      </c>
      <c r="U686" s="11" t="s">
        <v>1350</v>
      </c>
      <c r="V686" s="1" t="s">
        <v>41</v>
      </c>
      <c r="W686" s="1" t="s">
        <v>49</v>
      </c>
      <c r="X686" s="13" t="str">
        <f t="shared" si="75"/>
        <v/>
      </c>
      <c r="Y686" s="2">
        <f t="shared" ca="1" si="70"/>
        <v>66</v>
      </c>
      <c r="Z686" s="14">
        <v>1</v>
      </c>
      <c r="AA686" s="1" t="str">
        <f t="shared" ca="1" si="71"/>
        <v>VENCIDO</v>
      </c>
      <c r="AB686" s="1" t="str">
        <f t="shared" si="72"/>
        <v>C-14</v>
      </c>
      <c r="AC686" s="2" t="str">
        <f t="shared" si="76"/>
        <v xml:space="preserve"> RINALDO </v>
      </c>
      <c r="AD686" s="2">
        <f t="shared" si="73"/>
        <v>15</v>
      </c>
      <c r="AE686" s="2">
        <f t="shared" ca="1" si="74"/>
        <v>-90.103412847223808</v>
      </c>
      <c r="AF686" s="15"/>
    </row>
    <row r="687" spans="1:32" hidden="1">
      <c r="A687" s="1">
        <v>9131493</v>
      </c>
      <c r="B687" s="1" t="s">
        <v>101</v>
      </c>
      <c r="C687" t="s">
        <v>643</v>
      </c>
      <c r="D687" s="2">
        <v>220197038</v>
      </c>
      <c r="E687" s="2">
        <v>834001400040</v>
      </c>
      <c r="F687" s="1" t="s">
        <v>644</v>
      </c>
      <c r="G687" s="1" t="s">
        <v>53</v>
      </c>
      <c r="H687" s="1" t="s">
        <v>367</v>
      </c>
      <c r="I687" s="1" t="s">
        <v>368</v>
      </c>
      <c r="J687" s="1" t="s">
        <v>261</v>
      </c>
      <c r="K687" t="s">
        <v>645</v>
      </c>
      <c r="M687" s="1" t="s">
        <v>58</v>
      </c>
      <c r="N687" s="1">
        <v>0</v>
      </c>
      <c r="O687" s="1" t="s">
        <v>105</v>
      </c>
      <c r="P687" s="12">
        <v>44896.698067129626</v>
      </c>
      <c r="R687" s="1">
        <v>2</v>
      </c>
      <c r="T687" s="1" t="s">
        <v>646</v>
      </c>
      <c r="U687" s="12">
        <v>44897.698067129626</v>
      </c>
      <c r="V687" s="1" t="s">
        <v>41</v>
      </c>
      <c r="W687" s="1" t="s">
        <v>49</v>
      </c>
      <c r="X687" s="13" t="str">
        <f t="shared" si="75"/>
        <v/>
      </c>
      <c r="Y687" s="2">
        <f t="shared" ca="1" si="70"/>
        <v>65</v>
      </c>
      <c r="Z687" s="14">
        <v>1</v>
      </c>
      <c r="AA687" s="1" t="str">
        <f t="shared" ca="1" si="71"/>
        <v>VENCIDO</v>
      </c>
      <c r="AB687" s="1" t="str">
        <f t="shared" si="72"/>
        <v>SL-On</v>
      </c>
      <c r="AC687" s="2" t="str">
        <f t="shared" si="76"/>
        <v xml:space="preserve"> CRISTINA </v>
      </c>
      <c r="AD687" s="2">
        <f t="shared" si="73"/>
        <v>1</v>
      </c>
      <c r="AE687" s="2">
        <f t="shared" ca="1" si="74"/>
        <v>-88.978204513892706</v>
      </c>
      <c r="AF687" s="15"/>
    </row>
    <row r="688" spans="1:32" hidden="1">
      <c r="A688" s="1">
        <v>9131454</v>
      </c>
      <c r="B688" s="1" t="s">
        <v>101</v>
      </c>
      <c r="C688" t="s">
        <v>643</v>
      </c>
      <c r="D688" s="2">
        <v>220197033</v>
      </c>
      <c r="E688" s="2">
        <v>821001400040</v>
      </c>
      <c r="F688" s="1" t="s">
        <v>644</v>
      </c>
      <c r="G688" s="1" t="s">
        <v>53</v>
      </c>
      <c r="H688" s="1" t="s">
        <v>1351</v>
      </c>
      <c r="I688" s="1" t="s">
        <v>1352</v>
      </c>
      <c r="J688" s="1" t="s">
        <v>46</v>
      </c>
      <c r="K688" t="s">
        <v>645</v>
      </c>
      <c r="M688" s="1" t="s">
        <v>58</v>
      </c>
      <c r="N688" s="1">
        <v>0</v>
      </c>
      <c r="O688" s="1" t="s">
        <v>105</v>
      </c>
      <c r="P688" s="12">
        <v>44896.696782407409</v>
      </c>
      <c r="R688" s="1">
        <v>2</v>
      </c>
      <c r="T688" s="1" t="s">
        <v>646</v>
      </c>
      <c r="U688" s="12">
        <v>44897.696782407409</v>
      </c>
      <c r="V688" s="1" t="s">
        <v>41</v>
      </c>
      <c r="W688" s="1" t="s">
        <v>49</v>
      </c>
      <c r="X688" s="13" t="str">
        <f t="shared" si="75"/>
        <v/>
      </c>
      <c r="Y688" s="2">
        <f t="shared" ca="1" si="70"/>
        <v>65</v>
      </c>
      <c r="Z688" s="14">
        <v>1</v>
      </c>
      <c r="AA688" s="1" t="str">
        <f t="shared" ca="1" si="71"/>
        <v>VENCIDO</v>
      </c>
      <c r="AB688" s="1" t="str">
        <f t="shared" si="72"/>
        <v>SL-On</v>
      </c>
      <c r="AC688" s="2" t="str">
        <f t="shared" si="76"/>
        <v xml:space="preserve"> CLEITON </v>
      </c>
      <c r="AD688" s="2">
        <f t="shared" si="73"/>
        <v>1</v>
      </c>
      <c r="AE688" s="2">
        <f t="shared" ca="1" si="74"/>
        <v>-88.979489236109657</v>
      </c>
      <c r="AF688" s="15"/>
    </row>
    <row r="689" spans="1:32" hidden="1">
      <c r="A689" s="1">
        <v>9131400</v>
      </c>
      <c r="B689" s="1" t="s">
        <v>101</v>
      </c>
      <c r="C689" t="s">
        <v>643</v>
      </c>
      <c r="D689" s="2">
        <v>220195352</v>
      </c>
      <c r="E689" s="2">
        <v>1732001400030</v>
      </c>
      <c r="F689" s="1" t="s">
        <v>647</v>
      </c>
      <c r="G689" s="1" t="s">
        <v>53</v>
      </c>
      <c r="H689" s="1" t="s">
        <v>177</v>
      </c>
      <c r="I689" s="1" t="s">
        <v>178</v>
      </c>
      <c r="J689" s="1" t="s">
        <v>164</v>
      </c>
      <c r="K689" t="s">
        <v>650</v>
      </c>
      <c r="M689" s="1" t="s">
        <v>58</v>
      </c>
      <c r="N689" s="1">
        <v>0</v>
      </c>
      <c r="O689" s="1" t="s">
        <v>105</v>
      </c>
      <c r="P689" s="12">
        <v>44896.694756944446</v>
      </c>
      <c r="R689" s="1">
        <v>4</v>
      </c>
      <c r="T689" s="1" t="s">
        <v>646</v>
      </c>
      <c r="U689" s="12">
        <v>44897.694756944446</v>
      </c>
      <c r="V689" s="1" t="s">
        <v>41</v>
      </c>
      <c r="W689" s="1" t="s">
        <v>49</v>
      </c>
      <c r="X689" s="13" t="str">
        <f t="shared" si="75"/>
        <v/>
      </c>
      <c r="Y689" s="2">
        <f t="shared" ca="1" si="70"/>
        <v>65</v>
      </c>
      <c r="Z689" s="14">
        <v>1</v>
      </c>
      <c r="AA689" s="1" t="str">
        <f t="shared" ca="1" si="71"/>
        <v>VENCIDO</v>
      </c>
      <c r="AB689" s="1" t="str">
        <f t="shared" si="72"/>
        <v>C-14</v>
      </c>
      <c r="AC689" s="2" t="str">
        <f t="shared" si="76"/>
        <v xml:space="preserve"> ROSEMERE </v>
      </c>
      <c r="AD689" s="2">
        <f t="shared" si="73"/>
        <v>15</v>
      </c>
      <c r="AE689" s="2">
        <f t="shared" ca="1" si="74"/>
        <v>-88.981514699073159</v>
      </c>
      <c r="AF689" s="15"/>
    </row>
    <row r="690" spans="1:32" hidden="1">
      <c r="A690" s="1">
        <v>9131376</v>
      </c>
      <c r="B690" s="1" t="s">
        <v>101</v>
      </c>
      <c r="C690" t="s">
        <v>643</v>
      </c>
      <c r="D690" s="2">
        <v>220195375</v>
      </c>
      <c r="E690" s="2">
        <v>1792001400030</v>
      </c>
      <c r="F690" s="1" t="s">
        <v>647</v>
      </c>
      <c r="G690" s="1" t="s">
        <v>53</v>
      </c>
      <c r="H690" s="1" t="s">
        <v>467</v>
      </c>
      <c r="I690" s="1" t="s">
        <v>468</v>
      </c>
      <c r="J690" s="1" t="s">
        <v>110</v>
      </c>
      <c r="K690" t="s">
        <v>650</v>
      </c>
      <c r="M690" s="1" t="s">
        <v>58</v>
      </c>
      <c r="N690" s="1">
        <v>0</v>
      </c>
      <c r="O690" s="1" t="s">
        <v>105</v>
      </c>
      <c r="P690" s="11" t="s">
        <v>1353</v>
      </c>
      <c r="R690" s="1">
        <v>4</v>
      </c>
      <c r="T690" s="1" t="s">
        <v>646</v>
      </c>
      <c r="U690" s="11" t="s">
        <v>1354</v>
      </c>
      <c r="V690" s="1" t="s">
        <v>41</v>
      </c>
      <c r="W690" s="1" t="s">
        <v>49</v>
      </c>
      <c r="X690" s="13" t="str">
        <f t="shared" si="75"/>
        <v/>
      </c>
      <c r="Y690" s="2">
        <f t="shared" ca="1" si="70"/>
        <v>65</v>
      </c>
      <c r="Z690" s="14">
        <v>1</v>
      </c>
      <c r="AA690" s="1" t="str">
        <f t="shared" ca="1" si="71"/>
        <v>VENCIDO</v>
      </c>
      <c r="AB690" s="1" t="str">
        <f t="shared" si="72"/>
        <v>C-14</v>
      </c>
      <c r="AC690" s="2" t="str">
        <f t="shared" si="76"/>
        <v xml:space="preserve"> CRISTINA </v>
      </c>
      <c r="AD690" s="2">
        <f t="shared" si="73"/>
        <v>15</v>
      </c>
      <c r="AE690" s="2">
        <f t="shared" ca="1" si="74"/>
        <v>-88.982579513889505</v>
      </c>
      <c r="AF690" s="15"/>
    </row>
    <row r="691" spans="1:32" hidden="1">
      <c r="A691" s="1">
        <v>9131244</v>
      </c>
      <c r="B691" s="1" t="s">
        <v>101</v>
      </c>
      <c r="C691" t="s">
        <v>643</v>
      </c>
      <c r="D691" s="2">
        <v>220197571</v>
      </c>
      <c r="E691" s="2">
        <v>2326001400040</v>
      </c>
      <c r="F691" s="1" t="s">
        <v>644</v>
      </c>
      <c r="G691" s="1" t="s">
        <v>53</v>
      </c>
      <c r="H691" s="1" t="s">
        <v>191</v>
      </c>
      <c r="I691" s="1" t="s">
        <v>192</v>
      </c>
      <c r="J691" s="1" t="s">
        <v>46</v>
      </c>
      <c r="K691" t="s">
        <v>645</v>
      </c>
      <c r="M691" s="1" t="s">
        <v>58</v>
      </c>
      <c r="N691" s="1">
        <v>0</v>
      </c>
      <c r="O691" s="1" t="s">
        <v>105</v>
      </c>
      <c r="P691" s="11" t="s">
        <v>1355</v>
      </c>
      <c r="R691" s="1">
        <v>2</v>
      </c>
      <c r="T691" s="1" t="s">
        <v>646</v>
      </c>
      <c r="U691" s="11" t="s">
        <v>1356</v>
      </c>
      <c r="V691" s="1" t="s">
        <v>41</v>
      </c>
      <c r="W691" s="1" t="s">
        <v>49</v>
      </c>
      <c r="X691" s="13" t="str">
        <f t="shared" si="75"/>
        <v/>
      </c>
      <c r="Y691" s="2">
        <f t="shared" ca="1" si="70"/>
        <v>65</v>
      </c>
      <c r="Z691" s="14">
        <v>1</v>
      </c>
      <c r="AA691" s="1" t="str">
        <f t="shared" ca="1" si="71"/>
        <v>VENCIDO</v>
      </c>
      <c r="AB691" s="1" t="str">
        <f t="shared" si="72"/>
        <v>SL-On</v>
      </c>
      <c r="AC691" s="2" t="str">
        <f t="shared" si="76"/>
        <v xml:space="preserve"> CLEITON </v>
      </c>
      <c r="AD691" s="2">
        <f t="shared" si="73"/>
        <v>1</v>
      </c>
      <c r="AE691" s="2">
        <f t="shared" ca="1" si="74"/>
        <v>-88.991341087959881</v>
      </c>
      <c r="AF691" s="15"/>
    </row>
    <row r="692" spans="1:32" hidden="1">
      <c r="A692" s="1">
        <v>9131189</v>
      </c>
      <c r="B692" s="1" t="s">
        <v>101</v>
      </c>
      <c r="C692" t="s">
        <v>643</v>
      </c>
      <c r="D692" s="2">
        <v>220197881</v>
      </c>
      <c r="E692" s="2">
        <v>3504001400040</v>
      </c>
      <c r="F692" s="1" t="s">
        <v>644</v>
      </c>
      <c r="G692" s="1" t="s">
        <v>53</v>
      </c>
      <c r="H692" s="1" t="s">
        <v>585</v>
      </c>
      <c r="I692" s="1" t="s">
        <v>586</v>
      </c>
      <c r="J692" s="1" t="s">
        <v>46</v>
      </c>
      <c r="K692" t="s">
        <v>645</v>
      </c>
      <c r="M692" s="1" t="s">
        <v>58</v>
      </c>
      <c r="N692" s="1">
        <v>0</v>
      </c>
      <c r="O692" s="1" t="s">
        <v>105</v>
      </c>
      <c r="P692" s="11" t="s">
        <v>1357</v>
      </c>
      <c r="R692" s="1">
        <v>3</v>
      </c>
      <c r="T692" s="1" t="s">
        <v>646</v>
      </c>
      <c r="U692" s="11" t="s">
        <v>1358</v>
      </c>
      <c r="V692" s="1" t="s">
        <v>41</v>
      </c>
      <c r="W692" s="1" t="s">
        <v>49</v>
      </c>
      <c r="X692" s="13" t="str">
        <f t="shared" si="75"/>
        <v/>
      </c>
      <c r="Y692" s="2">
        <f t="shared" ca="1" si="70"/>
        <v>65</v>
      </c>
      <c r="Z692" s="14">
        <v>1</v>
      </c>
      <c r="AA692" s="1" t="str">
        <f t="shared" ca="1" si="71"/>
        <v>VENCIDO</v>
      </c>
      <c r="AB692" s="1" t="str">
        <f t="shared" si="72"/>
        <v>SL-On</v>
      </c>
      <c r="AC692" s="2" t="str">
        <f t="shared" si="76"/>
        <v xml:space="preserve"> CLEITON </v>
      </c>
      <c r="AD692" s="2">
        <f t="shared" si="73"/>
        <v>1</v>
      </c>
      <c r="AE692" s="2">
        <f t="shared" ca="1" si="74"/>
        <v>-88.994060995370091</v>
      </c>
      <c r="AF692" s="15"/>
    </row>
    <row r="693" spans="1:32" hidden="1">
      <c r="A693" s="1">
        <v>9131113</v>
      </c>
      <c r="B693" s="1" t="s">
        <v>101</v>
      </c>
      <c r="C693" t="s">
        <v>643</v>
      </c>
      <c r="D693" s="2">
        <v>220196664</v>
      </c>
      <c r="E693" s="2">
        <v>233001400040</v>
      </c>
      <c r="F693" s="1" t="s">
        <v>644</v>
      </c>
      <c r="G693" s="1" t="s">
        <v>53</v>
      </c>
      <c r="H693" s="1" t="s">
        <v>424</v>
      </c>
      <c r="I693" s="1" t="s">
        <v>425</v>
      </c>
      <c r="J693" s="1" t="s">
        <v>261</v>
      </c>
      <c r="K693" t="s">
        <v>645</v>
      </c>
      <c r="M693" s="1" t="s">
        <v>58</v>
      </c>
      <c r="N693" s="1">
        <v>0</v>
      </c>
      <c r="O693" s="1" t="s">
        <v>105</v>
      </c>
      <c r="P693" s="11" t="s">
        <v>1359</v>
      </c>
      <c r="R693" s="1">
        <v>2</v>
      </c>
      <c r="T693" s="1" t="s">
        <v>646</v>
      </c>
      <c r="U693" s="11" t="s">
        <v>1360</v>
      </c>
      <c r="V693" s="1" t="s">
        <v>41</v>
      </c>
      <c r="W693" s="1" t="s">
        <v>49</v>
      </c>
      <c r="X693" s="13" t="str">
        <f t="shared" si="75"/>
        <v/>
      </c>
      <c r="Y693" s="2">
        <f t="shared" ca="1" si="70"/>
        <v>65</v>
      </c>
      <c r="Z693" s="14">
        <v>1</v>
      </c>
      <c r="AA693" s="1" t="str">
        <f t="shared" ca="1" si="71"/>
        <v>VENCIDO</v>
      </c>
      <c r="AB693" s="1" t="str">
        <f t="shared" si="72"/>
        <v>SL-On</v>
      </c>
      <c r="AC693" s="2" t="str">
        <f t="shared" si="76"/>
        <v xml:space="preserve"> CRISTINA </v>
      </c>
      <c r="AD693" s="2">
        <f t="shared" si="73"/>
        <v>1</v>
      </c>
      <c r="AE693" s="2">
        <f t="shared" ca="1" si="74"/>
        <v>-88.997845717589371</v>
      </c>
      <c r="AF693" s="15"/>
    </row>
    <row r="694" spans="1:32" hidden="1">
      <c r="A694" s="1">
        <v>9131108</v>
      </c>
      <c r="B694" s="1" t="s">
        <v>101</v>
      </c>
      <c r="C694" t="s">
        <v>643</v>
      </c>
      <c r="D694" s="2">
        <v>220196140</v>
      </c>
      <c r="E694" s="2">
        <v>821071400030</v>
      </c>
      <c r="F694" s="1" t="s">
        <v>647</v>
      </c>
      <c r="G694" s="1" t="s">
        <v>53</v>
      </c>
      <c r="H694" s="1" t="s">
        <v>817</v>
      </c>
      <c r="I694" s="1" t="s">
        <v>818</v>
      </c>
      <c r="J694" s="1" t="s">
        <v>46</v>
      </c>
      <c r="K694" t="s">
        <v>650</v>
      </c>
      <c r="M694" s="1" t="s">
        <v>58</v>
      </c>
      <c r="N694" s="1">
        <v>0</v>
      </c>
      <c r="O694" s="1" t="s">
        <v>105</v>
      </c>
      <c r="P694" s="11" t="s">
        <v>1361</v>
      </c>
      <c r="R694" s="1">
        <v>4</v>
      </c>
      <c r="T694" s="1" t="s">
        <v>646</v>
      </c>
      <c r="U694" s="11" t="s">
        <v>1362</v>
      </c>
      <c r="V694" s="1" t="s">
        <v>41</v>
      </c>
      <c r="W694" s="1" t="s">
        <v>49</v>
      </c>
      <c r="X694" s="13" t="str">
        <f t="shared" si="75"/>
        <v>0821.07</v>
      </c>
      <c r="Y694" s="2">
        <f t="shared" ca="1" si="70"/>
        <v>65</v>
      </c>
      <c r="Z694" s="14">
        <v>1</v>
      </c>
      <c r="AA694" s="1" t="str">
        <f t="shared" ca="1" si="71"/>
        <v>VENCIDO</v>
      </c>
      <c r="AB694" s="1" t="str">
        <f t="shared" si="72"/>
        <v>C-14</v>
      </c>
      <c r="AC694" s="2" t="str">
        <f t="shared" si="76"/>
        <v xml:space="preserve"> CLEITON </v>
      </c>
      <c r="AD694" s="2">
        <f t="shared" si="73"/>
        <v>15</v>
      </c>
      <c r="AE694" s="2">
        <f t="shared" ca="1" si="74"/>
        <v>-88.998135069443379</v>
      </c>
      <c r="AF694" s="15"/>
    </row>
    <row r="695" spans="1:32" hidden="1">
      <c r="A695" s="1">
        <v>9131076</v>
      </c>
      <c r="B695" s="1" t="s">
        <v>101</v>
      </c>
      <c r="C695" t="s">
        <v>643</v>
      </c>
      <c r="D695" s="2">
        <v>220196663</v>
      </c>
      <c r="E695" s="2">
        <v>232001400040</v>
      </c>
      <c r="F695" s="1" t="s">
        <v>644</v>
      </c>
      <c r="G695" s="1" t="s">
        <v>53</v>
      </c>
      <c r="H695" s="1" t="s">
        <v>1363</v>
      </c>
      <c r="I695" s="1" t="s">
        <v>1364</v>
      </c>
      <c r="J695" s="1" t="s">
        <v>141</v>
      </c>
      <c r="K695" t="s">
        <v>645</v>
      </c>
      <c r="M695" s="1" t="s">
        <v>58</v>
      </c>
      <c r="N695" s="1">
        <v>0</v>
      </c>
      <c r="O695" s="1" t="s">
        <v>105</v>
      </c>
      <c r="P695" s="11" t="s">
        <v>1365</v>
      </c>
      <c r="R695" s="1">
        <v>3</v>
      </c>
      <c r="T695" s="1" t="s">
        <v>646</v>
      </c>
      <c r="U695" s="11" t="s">
        <v>1366</v>
      </c>
      <c r="V695" s="1" t="s">
        <v>41</v>
      </c>
      <c r="W695" s="1" t="s">
        <v>49</v>
      </c>
      <c r="X695" s="13" t="str">
        <f t="shared" si="75"/>
        <v/>
      </c>
      <c r="Y695" s="2">
        <f t="shared" ca="1" si="70"/>
        <v>65</v>
      </c>
      <c r="Z695" s="14">
        <v>1</v>
      </c>
      <c r="AA695" s="1" t="str">
        <f t="shared" ca="1" si="71"/>
        <v>VENCIDO</v>
      </c>
      <c r="AB695" s="1" t="str">
        <f t="shared" si="72"/>
        <v>SL-On</v>
      </c>
      <c r="AC695" s="2" t="str">
        <f t="shared" si="76"/>
        <v xml:space="preserve"> CRISTINA </v>
      </c>
      <c r="AD695" s="2">
        <f t="shared" si="73"/>
        <v>1</v>
      </c>
      <c r="AE695" s="2">
        <f t="shared" ca="1" si="74"/>
        <v>-89.000102662037534</v>
      </c>
      <c r="AF695" s="15"/>
    </row>
    <row r="696" spans="1:32" hidden="1">
      <c r="A696" s="1">
        <v>9131028</v>
      </c>
      <c r="B696" s="1" t="s">
        <v>101</v>
      </c>
      <c r="C696" t="s">
        <v>643</v>
      </c>
      <c r="D696" s="2">
        <v>220196655</v>
      </c>
      <c r="E696" s="2">
        <v>220001400040</v>
      </c>
      <c r="F696" s="1" t="s">
        <v>644</v>
      </c>
      <c r="G696" s="1" t="s">
        <v>53</v>
      </c>
      <c r="H696" s="1" t="s">
        <v>588</v>
      </c>
      <c r="I696" s="1" t="s">
        <v>589</v>
      </c>
      <c r="J696" s="1" t="s">
        <v>110</v>
      </c>
      <c r="K696" t="s">
        <v>645</v>
      </c>
      <c r="M696" s="1" t="s">
        <v>58</v>
      </c>
      <c r="N696" s="1">
        <v>0</v>
      </c>
      <c r="O696" s="1" t="s">
        <v>105</v>
      </c>
      <c r="P696" s="11" t="s">
        <v>1367</v>
      </c>
      <c r="R696" s="1">
        <v>2</v>
      </c>
      <c r="T696" s="1" t="s">
        <v>646</v>
      </c>
      <c r="U696" s="11" t="s">
        <v>1368</v>
      </c>
      <c r="V696" s="1" t="s">
        <v>41</v>
      </c>
      <c r="W696" s="1" t="s">
        <v>49</v>
      </c>
      <c r="X696" s="13" t="str">
        <f t="shared" si="75"/>
        <v/>
      </c>
      <c r="Y696" s="2">
        <f t="shared" ca="1" si="70"/>
        <v>65</v>
      </c>
      <c r="Z696" s="14">
        <v>1</v>
      </c>
      <c r="AA696" s="1" t="str">
        <f t="shared" ca="1" si="71"/>
        <v>VENCIDO</v>
      </c>
      <c r="AB696" s="1" t="str">
        <f t="shared" si="72"/>
        <v>SL-On</v>
      </c>
      <c r="AC696" s="2" t="str">
        <f t="shared" si="76"/>
        <v xml:space="preserve"> CRISTINA </v>
      </c>
      <c r="AD696" s="2">
        <f t="shared" si="73"/>
        <v>1</v>
      </c>
      <c r="AE696" s="2">
        <f t="shared" ca="1" si="74"/>
        <v>-89.002290162039571</v>
      </c>
      <c r="AF696" s="15"/>
    </row>
    <row r="697" spans="1:32" hidden="1">
      <c r="A697" s="1">
        <v>9131012</v>
      </c>
      <c r="B697" s="1" t="s">
        <v>101</v>
      </c>
      <c r="C697" t="s">
        <v>643</v>
      </c>
      <c r="D697" s="2">
        <v>220194569</v>
      </c>
      <c r="E697" s="2">
        <v>233001400030</v>
      </c>
      <c r="F697" s="1" t="s">
        <v>647</v>
      </c>
      <c r="G697" s="1" t="s">
        <v>53</v>
      </c>
      <c r="H697" s="1" t="s">
        <v>424</v>
      </c>
      <c r="I697" s="1" t="s">
        <v>425</v>
      </c>
      <c r="J697" s="1" t="s">
        <v>261</v>
      </c>
      <c r="K697" t="s">
        <v>650</v>
      </c>
      <c r="M697" s="1" t="s">
        <v>58</v>
      </c>
      <c r="N697" s="1">
        <v>0</v>
      </c>
      <c r="O697" s="1" t="s">
        <v>105</v>
      </c>
      <c r="P697" s="11" t="s">
        <v>1369</v>
      </c>
      <c r="R697" s="1">
        <v>4</v>
      </c>
      <c r="T697" s="1" t="s">
        <v>646</v>
      </c>
      <c r="U697" s="11" t="s">
        <v>1370</v>
      </c>
      <c r="V697" s="1" t="s">
        <v>41</v>
      </c>
      <c r="W697" s="1" t="s">
        <v>49</v>
      </c>
      <c r="X697" s="13" t="str">
        <f t="shared" si="75"/>
        <v/>
      </c>
      <c r="Y697" s="2">
        <f t="shared" ca="1" si="70"/>
        <v>65</v>
      </c>
      <c r="Z697" s="14">
        <v>1</v>
      </c>
      <c r="AA697" s="1" t="str">
        <f t="shared" ca="1" si="71"/>
        <v>VENCIDO</v>
      </c>
      <c r="AB697" s="1" t="str">
        <f t="shared" si="72"/>
        <v>C-14</v>
      </c>
      <c r="AC697" s="2" t="str">
        <f t="shared" si="76"/>
        <v xml:space="preserve"> CRISTINA </v>
      </c>
      <c r="AD697" s="2">
        <f t="shared" si="73"/>
        <v>15</v>
      </c>
      <c r="AE697" s="2">
        <f t="shared" ca="1" si="74"/>
        <v>-89.003435995371547</v>
      </c>
      <c r="AF697" s="15"/>
    </row>
    <row r="698" spans="1:32" hidden="1">
      <c r="A698" s="1">
        <v>9131002</v>
      </c>
      <c r="B698" s="1" t="s">
        <v>101</v>
      </c>
      <c r="C698" t="s">
        <v>643</v>
      </c>
      <c r="D698" s="2">
        <v>220194560</v>
      </c>
      <c r="E698" s="2">
        <v>220001400030</v>
      </c>
      <c r="F698" s="1" t="s">
        <v>647</v>
      </c>
      <c r="G698" s="1" t="s">
        <v>53</v>
      </c>
      <c r="H698" s="1" t="s">
        <v>588</v>
      </c>
      <c r="I698" s="1" t="s">
        <v>589</v>
      </c>
      <c r="J698" s="1" t="s">
        <v>110</v>
      </c>
      <c r="K698" t="s">
        <v>650</v>
      </c>
      <c r="M698" s="1" t="s">
        <v>58</v>
      </c>
      <c r="N698" s="1">
        <v>0</v>
      </c>
      <c r="O698" s="1" t="s">
        <v>105</v>
      </c>
      <c r="P698" s="11" t="s">
        <v>1371</v>
      </c>
      <c r="R698" s="1">
        <v>4</v>
      </c>
      <c r="T698" s="1" t="s">
        <v>646</v>
      </c>
      <c r="U698" s="11" t="s">
        <v>1372</v>
      </c>
      <c r="V698" s="1" t="s">
        <v>41</v>
      </c>
      <c r="W698" s="1" t="s">
        <v>49</v>
      </c>
      <c r="X698" s="13" t="str">
        <f t="shared" si="75"/>
        <v/>
      </c>
      <c r="Y698" s="2">
        <f t="shared" ca="1" si="70"/>
        <v>65</v>
      </c>
      <c r="Z698" s="14">
        <v>1</v>
      </c>
      <c r="AA698" s="1" t="str">
        <f t="shared" ca="1" si="71"/>
        <v>VENCIDO</v>
      </c>
      <c r="AB698" s="1" t="str">
        <f t="shared" si="72"/>
        <v>C-14</v>
      </c>
      <c r="AC698" s="2" t="str">
        <f t="shared" si="76"/>
        <v xml:space="preserve"> CRISTINA </v>
      </c>
      <c r="AD698" s="2">
        <f t="shared" si="73"/>
        <v>15</v>
      </c>
      <c r="AE698" s="2">
        <f t="shared" ca="1" si="74"/>
        <v>-89.003852662033751</v>
      </c>
      <c r="AF698" s="15"/>
    </row>
    <row r="699" spans="1:32" hidden="1">
      <c r="A699" s="1">
        <v>9130951</v>
      </c>
      <c r="B699" s="1" t="s">
        <v>101</v>
      </c>
      <c r="C699" t="s">
        <v>643</v>
      </c>
      <c r="D699" s="2">
        <v>220194568</v>
      </c>
      <c r="E699" s="2">
        <v>232001400030</v>
      </c>
      <c r="F699" s="1" t="s">
        <v>647</v>
      </c>
      <c r="G699" s="1" t="s">
        <v>53</v>
      </c>
      <c r="H699" s="1" t="s">
        <v>1363</v>
      </c>
      <c r="I699" s="1" t="s">
        <v>1364</v>
      </c>
      <c r="J699" s="1" t="s">
        <v>141</v>
      </c>
      <c r="K699" t="s">
        <v>650</v>
      </c>
      <c r="M699" s="1" t="s">
        <v>58</v>
      </c>
      <c r="N699" s="1">
        <v>0</v>
      </c>
      <c r="O699" s="1" t="s">
        <v>105</v>
      </c>
      <c r="P699" s="11" t="s">
        <v>1373</v>
      </c>
      <c r="R699" s="1">
        <v>4</v>
      </c>
      <c r="T699" s="1" t="s">
        <v>646</v>
      </c>
      <c r="U699" s="11" t="s">
        <v>1374</v>
      </c>
      <c r="V699" s="1" t="s">
        <v>41</v>
      </c>
      <c r="W699" s="1" t="s">
        <v>49</v>
      </c>
      <c r="X699" s="13" t="str">
        <f t="shared" si="75"/>
        <v/>
      </c>
      <c r="Y699" s="2">
        <f t="shared" ca="1" si="70"/>
        <v>65</v>
      </c>
      <c r="Z699" s="14">
        <v>1</v>
      </c>
      <c r="AA699" s="1" t="str">
        <f t="shared" ca="1" si="71"/>
        <v>VENCIDO</v>
      </c>
      <c r="AB699" s="1" t="str">
        <f t="shared" si="72"/>
        <v>C-14</v>
      </c>
      <c r="AC699" s="2" t="str">
        <f t="shared" si="76"/>
        <v xml:space="preserve"> CRISTINA </v>
      </c>
      <c r="AD699" s="2">
        <f t="shared" si="73"/>
        <v>15</v>
      </c>
      <c r="AE699" s="2">
        <f t="shared" ca="1" si="74"/>
        <v>-89.005646643519867</v>
      </c>
      <c r="AF699" s="15"/>
    </row>
    <row r="700" spans="1:32" hidden="1">
      <c r="A700" s="1">
        <v>9130904</v>
      </c>
      <c r="B700" s="1" t="s">
        <v>101</v>
      </c>
      <c r="C700" t="s">
        <v>643</v>
      </c>
      <c r="D700" s="2">
        <v>220195003</v>
      </c>
      <c r="E700" s="2">
        <v>922001400030</v>
      </c>
      <c r="F700" s="1" t="s">
        <v>647</v>
      </c>
      <c r="G700" s="1" t="s">
        <v>53</v>
      </c>
      <c r="H700" s="1" t="s">
        <v>1375</v>
      </c>
      <c r="I700" s="1" t="s">
        <v>1376</v>
      </c>
      <c r="J700" s="1" t="s">
        <v>261</v>
      </c>
      <c r="K700" t="s">
        <v>650</v>
      </c>
      <c r="M700" s="1" t="s">
        <v>58</v>
      </c>
      <c r="N700" s="1">
        <v>0</v>
      </c>
      <c r="O700" s="1" t="s">
        <v>105</v>
      </c>
      <c r="P700" s="12">
        <v>44896.668622685182</v>
      </c>
      <c r="R700" s="1">
        <v>4</v>
      </c>
      <c r="T700" s="1" t="s">
        <v>646</v>
      </c>
      <c r="U700" s="12">
        <v>44897.668622685182</v>
      </c>
      <c r="V700" s="1" t="s">
        <v>41</v>
      </c>
      <c r="W700" s="1" t="s">
        <v>49</v>
      </c>
      <c r="Z700" s="14">
        <v>1</v>
      </c>
      <c r="AC700" s="2"/>
      <c r="AE700" s="20"/>
    </row>
    <row r="701" spans="1:32">
      <c r="A701" s="1">
        <v>9130901</v>
      </c>
      <c r="B701" s="1" t="s">
        <v>101</v>
      </c>
      <c r="C701" t="s">
        <v>643</v>
      </c>
      <c r="D701" s="2">
        <v>220195001</v>
      </c>
      <c r="E701" s="2">
        <v>917001400030</v>
      </c>
      <c r="F701" s="1" t="s">
        <v>647</v>
      </c>
      <c r="G701" s="1" t="s">
        <v>53</v>
      </c>
      <c r="H701" s="1" t="s">
        <v>83</v>
      </c>
      <c r="I701" s="1" t="s">
        <v>84</v>
      </c>
      <c r="J701" s="1" t="s">
        <v>85</v>
      </c>
      <c r="K701" t="s">
        <v>650</v>
      </c>
      <c r="M701" s="1" t="s">
        <v>58</v>
      </c>
      <c r="N701" s="1">
        <v>0</v>
      </c>
      <c r="O701" s="1" t="s">
        <v>105</v>
      </c>
      <c r="P701" s="11" t="s">
        <v>1377</v>
      </c>
      <c r="R701" s="1">
        <v>4</v>
      </c>
      <c r="T701" s="1" t="s">
        <v>646</v>
      </c>
      <c r="U701" s="11" t="s">
        <v>1378</v>
      </c>
      <c r="V701" s="1" t="s">
        <v>41</v>
      </c>
      <c r="W701" s="1" t="s">
        <v>49</v>
      </c>
      <c r="Z701" s="14">
        <v>1</v>
      </c>
      <c r="AC701" s="2"/>
      <c r="AE701" s="20"/>
    </row>
    <row r="702" spans="1:32" hidden="1">
      <c r="A702" s="1">
        <v>9130897</v>
      </c>
      <c r="B702" s="1" t="s">
        <v>101</v>
      </c>
      <c r="C702" t="s">
        <v>643</v>
      </c>
      <c r="D702" s="2">
        <v>220195329</v>
      </c>
      <c r="E702" s="2">
        <v>1664001400030</v>
      </c>
      <c r="F702" s="1" t="s">
        <v>647</v>
      </c>
      <c r="G702" s="1" t="s">
        <v>53</v>
      </c>
      <c r="H702" s="1" t="s">
        <v>307</v>
      </c>
      <c r="I702" s="1" t="s">
        <v>308</v>
      </c>
      <c r="J702" s="1" t="s">
        <v>164</v>
      </c>
      <c r="K702" t="s">
        <v>650</v>
      </c>
      <c r="M702" s="1" t="s">
        <v>58</v>
      </c>
      <c r="N702" s="1">
        <v>0</v>
      </c>
      <c r="O702" s="1" t="s">
        <v>105</v>
      </c>
      <c r="P702" s="11" t="s">
        <v>1379</v>
      </c>
      <c r="R702" s="1">
        <v>4</v>
      </c>
      <c r="T702" s="1" t="s">
        <v>646</v>
      </c>
      <c r="U702" s="11" t="s">
        <v>1380</v>
      </c>
      <c r="V702" s="1" t="s">
        <v>41</v>
      </c>
      <c r="W702" s="1" t="s">
        <v>49</v>
      </c>
      <c r="Z702" s="14">
        <v>1</v>
      </c>
      <c r="AC702" s="2"/>
      <c r="AE702" s="20"/>
    </row>
    <row r="703" spans="1:32">
      <c r="A703" s="1">
        <v>9130892</v>
      </c>
      <c r="B703" s="1" t="s">
        <v>101</v>
      </c>
      <c r="C703" t="s">
        <v>643</v>
      </c>
      <c r="D703" s="2">
        <v>220194993</v>
      </c>
      <c r="E703" s="2">
        <v>899001400030</v>
      </c>
      <c r="F703" s="1" t="s">
        <v>647</v>
      </c>
      <c r="G703" s="1" t="s">
        <v>53</v>
      </c>
      <c r="H703" s="1" t="s">
        <v>175</v>
      </c>
      <c r="I703" s="1" t="s">
        <v>176</v>
      </c>
      <c r="J703" s="1" t="s">
        <v>90</v>
      </c>
      <c r="K703" t="s">
        <v>650</v>
      </c>
      <c r="M703" s="1" t="s">
        <v>58</v>
      </c>
      <c r="N703" s="1">
        <v>0</v>
      </c>
      <c r="O703" s="1" t="s">
        <v>36</v>
      </c>
      <c r="P703" s="11" t="s">
        <v>1381</v>
      </c>
      <c r="R703" s="1">
        <v>4</v>
      </c>
      <c r="T703" s="1" t="s">
        <v>646</v>
      </c>
      <c r="U703" s="11" t="s">
        <v>1382</v>
      </c>
      <c r="V703" s="1" t="s">
        <v>41</v>
      </c>
      <c r="W703" s="1" t="s">
        <v>49</v>
      </c>
      <c r="Z703" s="14">
        <v>1</v>
      </c>
      <c r="AC703" s="2"/>
      <c r="AE703" s="20"/>
    </row>
    <row r="704" spans="1:32" hidden="1">
      <c r="A704" s="1">
        <v>9130879</v>
      </c>
      <c r="B704" s="1" t="s">
        <v>101</v>
      </c>
      <c r="C704" t="s">
        <v>643</v>
      </c>
      <c r="D704" s="2">
        <v>220195319</v>
      </c>
      <c r="E704" s="2">
        <v>1643001400030</v>
      </c>
      <c r="F704" s="1" t="s">
        <v>647</v>
      </c>
      <c r="G704" s="1" t="s">
        <v>53</v>
      </c>
      <c r="H704" s="1" t="s">
        <v>361</v>
      </c>
      <c r="I704" s="1" t="s">
        <v>362</v>
      </c>
      <c r="J704" s="1" t="s">
        <v>261</v>
      </c>
      <c r="K704" t="s">
        <v>650</v>
      </c>
      <c r="M704" s="1" t="s">
        <v>58</v>
      </c>
      <c r="N704" s="1">
        <v>0</v>
      </c>
      <c r="O704" s="1" t="s">
        <v>105</v>
      </c>
      <c r="P704" s="11" t="s">
        <v>1383</v>
      </c>
      <c r="R704" s="1">
        <v>4</v>
      </c>
      <c r="T704" s="1" t="s">
        <v>646</v>
      </c>
      <c r="U704" s="11" t="s">
        <v>1384</v>
      </c>
      <c r="V704" s="1" t="s">
        <v>41</v>
      </c>
      <c r="W704" s="1" t="s">
        <v>49</v>
      </c>
      <c r="Z704" s="14">
        <v>1</v>
      </c>
      <c r="AC704" s="2"/>
      <c r="AE704" s="20"/>
    </row>
    <row r="705" spans="1:31" hidden="1">
      <c r="A705" s="1">
        <v>9130800</v>
      </c>
      <c r="B705" s="1" t="s">
        <v>101</v>
      </c>
      <c r="C705" t="s">
        <v>643</v>
      </c>
      <c r="D705" s="2">
        <v>220194313</v>
      </c>
      <c r="E705" s="2">
        <v>5898001400010</v>
      </c>
      <c r="F705" s="1" t="s">
        <v>936</v>
      </c>
      <c r="G705" s="1" t="s">
        <v>53</v>
      </c>
      <c r="H705" s="1" t="s">
        <v>365</v>
      </c>
      <c r="I705" s="1" t="s">
        <v>366</v>
      </c>
      <c r="J705" s="1" t="s">
        <v>164</v>
      </c>
      <c r="K705" t="s">
        <v>937</v>
      </c>
      <c r="M705" s="1" t="s">
        <v>58</v>
      </c>
      <c r="N705" s="1">
        <v>0</v>
      </c>
      <c r="O705" s="1" t="s">
        <v>105</v>
      </c>
      <c r="P705" s="11" t="s">
        <v>1385</v>
      </c>
      <c r="R705" s="1">
        <v>3</v>
      </c>
      <c r="T705" s="1" t="s">
        <v>646</v>
      </c>
      <c r="U705" s="11" t="s">
        <v>1386</v>
      </c>
      <c r="V705" s="1" t="s">
        <v>41</v>
      </c>
      <c r="W705" s="1" t="s">
        <v>49</v>
      </c>
      <c r="Z705" s="14">
        <v>1</v>
      </c>
      <c r="AC705" s="2"/>
      <c r="AE705" s="20"/>
    </row>
    <row r="706" spans="1:31" hidden="1">
      <c r="A706" s="1">
        <v>9130797</v>
      </c>
      <c r="B706" s="1" t="s">
        <v>101</v>
      </c>
      <c r="C706" t="s">
        <v>643</v>
      </c>
      <c r="D706" s="2">
        <v>220193787</v>
      </c>
      <c r="E706" s="2">
        <v>3108001400010</v>
      </c>
      <c r="F706" s="1" t="s">
        <v>936</v>
      </c>
      <c r="G706" s="1" t="s">
        <v>53</v>
      </c>
      <c r="H706" s="1" t="s">
        <v>325</v>
      </c>
      <c r="I706" s="1" t="s">
        <v>326</v>
      </c>
      <c r="J706" s="1" t="s">
        <v>46</v>
      </c>
      <c r="K706" t="s">
        <v>937</v>
      </c>
      <c r="M706" s="1" t="s">
        <v>58</v>
      </c>
      <c r="N706" s="1">
        <v>0</v>
      </c>
      <c r="O706" s="1" t="s">
        <v>105</v>
      </c>
      <c r="P706" s="11" t="s">
        <v>1387</v>
      </c>
      <c r="R706" s="1">
        <v>3</v>
      </c>
      <c r="T706" s="1" t="s">
        <v>646</v>
      </c>
      <c r="U706" s="11" t="s">
        <v>1388</v>
      </c>
      <c r="V706" s="1" t="s">
        <v>41</v>
      </c>
      <c r="W706" s="1" t="s">
        <v>49</v>
      </c>
      <c r="Z706" s="14">
        <v>1</v>
      </c>
      <c r="AC706" s="20"/>
      <c r="AE706" s="20"/>
    </row>
    <row r="707" spans="1:31" hidden="1">
      <c r="A707" s="1">
        <v>9130702</v>
      </c>
      <c r="B707" s="1" t="s">
        <v>101</v>
      </c>
      <c r="C707" t="s">
        <v>643</v>
      </c>
      <c r="D707" s="2">
        <v>220197503</v>
      </c>
      <c r="E707" s="2">
        <v>2081001400040</v>
      </c>
      <c r="F707" s="1" t="s">
        <v>644</v>
      </c>
      <c r="G707" s="1" t="s">
        <v>53</v>
      </c>
      <c r="H707" s="1" t="s">
        <v>590</v>
      </c>
      <c r="I707" s="1" t="s">
        <v>591</v>
      </c>
      <c r="J707" s="1" t="s">
        <v>261</v>
      </c>
      <c r="K707" t="s">
        <v>645</v>
      </c>
      <c r="M707" s="1" t="s">
        <v>58</v>
      </c>
      <c r="N707" s="1">
        <v>0</v>
      </c>
      <c r="O707" s="1" t="s">
        <v>105</v>
      </c>
      <c r="P707" s="11" t="s">
        <v>1389</v>
      </c>
      <c r="R707" s="1">
        <v>2</v>
      </c>
      <c r="T707" s="1" t="s">
        <v>646</v>
      </c>
      <c r="U707" s="11" t="s">
        <v>1390</v>
      </c>
      <c r="V707" s="1" t="s">
        <v>41</v>
      </c>
      <c r="W707" s="1" t="s">
        <v>49</v>
      </c>
      <c r="Z707" s="14">
        <v>1</v>
      </c>
      <c r="AC707" s="20"/>
      <c r="AE707" s="20"/>
    </row>
    <row r="708" spans="1:31" hidden="1">
      <c r="A708" s="1">
        <v>9130686</v>
      </c>
      <c r="B708" s="1" t="s">
        <v>101</v>
      </c>
      <c r="C708" t="s">
        <v>643</v>
      </c>
      <c r="D708" s="2">
        <v>220197392</v>
      </c>
      <c r="E708" s="2">
        <v>1643001400040</v>
      </c>
      <c r="F708" s="1" t="s">
        <v>644</v>
      </c>
      <c r="G708" s="1" t="s">
        <v>53</v>
      </c>
      <c r="H708" s="1" t="s">
        <v>361</v>
      </c>
      <c r="I708" s="1" t="s">
        <v>362</v>
      </c>
      <c r="J708" s="1" t="s">
        <v>261</v>
      </c>
      <c r="K708" t="s">
        <v>645</v>
      </c>
      <c r="M708" s="1" t="s">
        <v>58</v>
      </c>
      <c r="N708" s="1">
        <v>0</v>
      </c>
      <c r="O708" s="1" t="s">
        <v>105</v>
      </c>
      <c r="P708" s="11" t="s">
        <v>1391</v>
      </c>
      <c r="R708" s="1">
        <v>2</v>
      </c>
      <c r="T708" s="1" t="s">
        <v>646</v>
      </c>
      <c r="U708" s="11" t="s">
        <v>1392</v>
      </c>
      <c r="V708" s="1" t="s">
        <v>41</v>
      </c>
      <c r="W708" s="1" t="s">
        <v>49</v>
      </c>
      <c r="Z708" s="14">
        <v>1</v>
      </c>
      <c r="AC708" s="20"/>
      <c r="AE708" s="20"/>
    </row>
    <row r="709" spans="1:31" hidden="1">
      <c r="A709" s="1">
        <v>9130671</v>
      </c>
      <c r="B709" s="1" t="s">
        <v>101</v>
      </c>
      <c r="C709" t="s">
        <v>643</v>
      </c>
      <c r="D709" s="2">
        <v>220197182</v>
      </c>
      <c r="E709" s="2">
        <v>1120001400040</v>
      </c>
      <c r="F709" s="1" t="s">
        <v>644</v>
      </c>
      <c r="G709" s="1" t="s">
        <v>53</v>
      </c>
      <c r="H709" s="1" t="s">
        <v>181</v>
      </c>
      <c r="I709" s="1" t="s">
        <v>182</v>
      </c>
      <c r="J709" s="1" t="s">
        <v>164</v>
      </c>
      <c r="K709" t="s">
        <v>645</v>
      </c>
      <c r="M709" s="1" t="s">
        <v>58</v>
      </c>
      <c r="N709" s="1">
        <v>0</v>
      </c>
      <c r="O709" s="1" t="s">
        <v>105</v>
      </c>
      <c r="P709" s="11" t="s">
        <v>1393</v>
      </c>
      <c r="R709" s="1">
        <v>2</v>
      </c>
      <c r="T709" s="1" t="s">
        <v>646</v>
      </c>
      <c r="U709" s="11" t="s">
        <v>1394</v>
      </c>
      <c r="V709" s="1" t="s">
        <v>41</v>
      </c>
      <c r="W709" s="1" t="s">
        <v>49</v>
      </c>
      <c r="Z709" s="14">
        <v>1</v>
      </c>
      <c r="AC709" s="20"/>
      <c r="AE709" s="20"/>
    </row>
    <row r="710" spans="1:31">
      <c r="A710" s="1">
        <v>9130635</v>
      </c>
      <c r="B710" s="1" t="s">
        <v>101</v>
      </c>
      <c r="C710" t="s">
        <v>643</v>
      </c>
      <c r="D710" s="2">
        <v>220197154</v>
      </c>
      <c r="E710" s="2">
        <v>1069001400040</v>
      </c>
      <c r="F710" s="1" t="s">
        <v>644</v>
      </c>
      <c r="G710" s="1" t="s">
        <v>53</v>
      </c>
      <c r="H710" s="1" t="s">
        <v>353</v>
      </c>
      <c r="I710" s="1" t="s">
        <v>354</v>
      </c>
      <c r="J710" s="1" t="s">
        <v>211</v>
      </c>
      <c r="K710" t="s">
        <v>645</v>
      </c>
      <c r="M710" s="1" t="s">
        <v>58</v>
      </c>
      <c r="N710" s="1">
        <v>0</v>
      </c>
      <c r="O710" s="1" t="s">
        <v>105</v>
      </c>
      <c r="P710" s="11" t="s">
        <v>1395</v>
      </c>
      <c r="R710" s="1">
        <v>3</v>
      </c>
      <c r="T710" s="1" t="s">
        <v>646</v>
      </c>
      <c r="U710" s="11" t="s">
        <v>1396</v>
      </c>
      <c r="V710" s="1" t="s">
        <v>41</v>
      </c>
      <c r="W710" s="1" t="s">
        <v>49</v>
      </c>
      <c r="Z710" s="14">
        <v>1</v>
      </c>
      <c r="AC710" s="20"/>
      <c r="AE710" s="20"/>
    </row>
    <row r="711" spans="1:31" hidden="1">
      <c r="A711" s="1">
        <v>9130628</v>
      </c>
      <c r="B711" s="1" t="s">
        <v>101</v>
      </c>
      <c r="C711" t="s">
        <v>643</v>
      </c>
      <c r="D711" s="2">
        <v>220197147</v>
      </c>
      <c r="E711" s="2">
        <v>1049001400040</v>
      </c>
      <c r="F711" s="1" t="s">
        <v>644</v>
      </c>
      <c r="G711" s="1" t="s">
        <v>53</v>
      </c>
      <c r="H711" s="1" t="s">
        <v>169</v>
      </c>
      <c r="I711" s="1" t="s">
        <v>170</v>
      </c>
      <c r="J711" s="1" t="s">
        <v>164</v>
      </c>
      <c r="K711" t="s">
        <v>645</v>
      </c>
      <c r="M711" s="1" t="s">
        <v>58</v>
      </c>
      <c r="N711" s="1">
        <v>0</v>
      </c>
      <c r="O711" s="1" t="s">
        <v>105</v>
      </c>
      <c r="P711" s="11" t="s">
        <v>1397</v>
      </c>
      <c r="R711" s="1">
        <v>2</v>
      </c>
      <c r="T711" s="1" t="s">
        <v>646</v>
      </c>
      <c r="U711" s="11" t="s">
        <v>1398</v>
      </c>
      <c r="V711" s="1" t="s">
        <v>41</v>
      </c>
      <c r="W711" s="1" t="s">
        <v>49</v>
      </c>
      <c r="Z711" s="14">
        <v>1</v>
      </c>
      <c r="AC711" s="20"/>
      <c r="AE711" s="20"/>
    </row>
    <row r="712" spans="1:31">
      <c r="A712" s="1">
        <v>9130446</v>
      </c>
      <c r="B712" s="1" t="s">
        <v>101</v>
      </c>
      <c r="C712" t="s">
        <v>643</v>
      </c>
      <c r="D712" s="2">
        <v>220197516</v>
      </c>
      <c r="E712" s="2">
        <v>2125001400040</v>
      </c>
      <c r="F712" s="1" t="s">
        <v>644</v>
      </c>
      <c r="G712" s="1" t="s">
        <v>53</v>
      </c>
      <c r="H712" s="1" t="s">
        <v>1399</v>
      </c>
      <c r="I712" s="1" t="s">
        <v>1400</v>
      </c>
      <c r="J712" s="1" t="s">
        <v>211</v>
      </c>
      <c r="K712" t="s">
        <v>645</v>
      </c>
      <c r="M712" s="1" t="s">
        <v>58</v>
      </c>
      <c r="N712" s="1">
        <v>0</v>
      </c>
      <c r="O712" s="1" t="s">
        <v>105</v>
      </c>
      <c r="P712" s="11" t="s">
        <v>1401</v>
      </c>
      <c r="R712" s="1">
        <v>3</v>
      </c>
      <c r="T712" s="1" t="s">
        <v>646</v>
      </c>
      <c r="U712" s="11" t="s">
        <v>1402</v>
      </c>
      <c r="V712" s="1" t="s">
        <v>41</v>
      </c>
      <c r="W712" s="1" t="s">
        <v>49</v>
      </c>
      <c r="Z712" s="14">
        <v>1</v>
      </c>
      <c r="AC712" s="20"/>
      <c r="AE712" s="20"/>
    </row>
    <row r="713" spans="1:31" hidden="1">
      <c r="A713" s="1">
        <v>9130242</v>
      </c>
      <c r="B713" s="1" t="s">
        <v>101</v>
      </c>
      <c r="C713" t="s">
        <v>643</v>
      </c>
      <c r="D713" s="2">
        <v>220195741</v>
      </c>
      <c r="E713" s="2">
        <v>3243001400030</v>
      </c>
      <c r="F713" s="1" t="s">
        <v>647</v>
      </c>
      <c r="G713" s="1" t="s">
        <v>53</v>
      </c>
      <c r="H713" s="1" t="s">
        <v>282</v>
      </c>
      <c r="I713" s="1" t="s">
        <v>283</v>
      </c>
      <c r="J713" s="1" t="s">
        <v>46</v>
      </c>
      <c r="K713" t="s">
        <v>650</v>
      </c>
      <c r="M713" s="1" t="s">
        <v>58</v>
      </c>
      <c r="N713" s="1">
        <v>0</v>
      </c>
      <c r="O713" s="1" t="s">
        <v>105</v>
      </c>
      <c r="P713" s="11" t="s">
        <v>1403</v>
      </c>
      <c r="R713" s="1">
        <v>4</v>
      </c>
      <c r="T713" s="1" t="s">
        <v>646</v>
      </c>
      <c r="U713" s="11" t="s">
        <v>1404</v>
      </c>
      <c r="V713" s="1" t="s">
        <v>41</v>
      </c>
      <c r="W713" s="1" t="s">
        <v>49</v>
      </c>
      <c r="Z713" s="14">
        <v>1</v>
      </c>
      <c r="AC713" s="20"/>
      <c r="AE713" s="20"/>
    </row>
    <row r="714" spans="1:31" hidden="1">
      <c r="A714" s="1">
        <v>9130123</v>
      </c>
      <c r="B714" s="1" t="s">
        <v>101</v>
      </c>
      <c r="C714" t="s">
        <v>643</v>
      </c>
      <c r="D714" s="2">
        <v>220194957</v>
      </c>
      <c r="E714" s="2">
        <v>834001400030</v>
      </c>
      <c r="F714" s="1" t="s">
        <v>647</v>
      </c>
      <c r="G714" s="1" t="s">
        <v>53</v>
      </c>
      <c r="H714" s="1" t="s">
        <v>367</v>
      </c>
      <c r="I714" s="1" t="s">
        <v>368</v>
      </c>
      <c r="J714" s="1" t="s">
        <v>261</v>
      </c>
      <c r="K714" t="s">
        <v>650</v>
      </c>
      <c r="M714" s="1" t="s">
        <v>58</v>
      </c>
      <c r="N714" s="1">
        <v>0</v>
      </c>
      <c r="O714" s="1" t="s">
        <v>105</v>
      </c>
      <c r="P714" s="11" t="s">
        <v>1405</v>
      </c>
      <c r="R714" s="1">
        <v>4</v>
      </c>
      <c r="T714" s="1" t="s">
        <v>646</v>
      </c>
      <c r="U714" s="11" t="s">
        <v>1406</v>
      </c>
      <c r="V714" s="1" t="s">
        <v>41</v>
      </c>
      <c r="W714" s="1" t="s">
        <v>49</v>
      </c>
      <c r="Z714" s="14">
        <v>1</v>
      </c>
      <c r="AA714" s="14"/>
      <c r="AC714" s="1"/>
      <c r="AE714" s="1"/>
    </row>
    <row r="715" spans="1:31" hidden="1">
      <c r="A715" s="1">
        <v>9130118</v>
      </c>
      <c r="B715" s="1" t="s">
        <v>101</v>
      </c>
      <c r="C715" t="s">
        <v>643</v>
      </c>
      <c r="D715" s="2">
        <v>220194952</v>
      </c>
      <c r="E715" s="2">
        <v>821001400030</v>
      </c>
      <c r="F715" s="1" t="s">
        <v>647</v>
      </c>
      <c r="G715" s="1" t="s">
        <v>53</v>
      </c>
      <c r="H715" s="1" t="s">
        <v>1351</v>
      </c>
      <c r="I715" s="1" t="s">
        <v>1352</v>
      </c>
      <c r="J715" s="1" t="s">
        <v>46</v>
      </c>
      <c r="K715" t="s">
        <v>650</v>
      </c>
      <c r="M715" s="1" t="s">
        <v>58</v>
      </c>
      <c r="N715" s="1">
        <v>0</v>
      </c>
      <c r="O715" s="1" t="s">
        <v>105</v>
      </c>
      <c r="P715" s="11" t="s">
        <v>1407</v>
      </c>
      <c r="R715" s="1">
        <v>4</v>
      </c>
      <c r="T715" s="1" t="s">
        <v>646</v>
      </c>
      <c r="U715" s="11" t="s">
        <v>1408</v>
      </c>
      <c r="V715" s="1" t="s">
        <v>41</v>
      </c>
      <c r="W715" s="1" t="s">
        <v>49</v>
      </c>
      <c r="Z715" s="14">
        <v>1</v>
      </c>
      <c r="AA715" s="14"/>
      <c r="AC715" s="1"/>
      <c r="AE715" s="1"/>
    </row>
    <row r="716" spans="1:31">
      <c r="A716" s="1">
        <v>9130071</v>
      </c>
      <c r="B716" s="1" t="s">
        <v>101</v>
      </c>
      <c r="C716" t="s">
        <v>643</v>
      </c>
      <c r="D716" s="2">
        <v>220194820</v>
      </c>
      <c r="E716" s="2">
        <v>608001400030</v>
      </c>
      <c r="F716" s="1" t="s">
        <v>647</v>
      </c>
      <c r="G716" s="1" t="s">
        <v>53</v>
      </c>
      <c r="H716" s="1" t="s">
        <v>438</v>
      </c>
      <c r="I716" s="1" t="s">
        <v>439</v>
      </c>
      <c r="J716" s="1" t="s">
        <v>148</v>
      </c>
      <c r="K716" t="s">
        <v>650</v>
      </c>
      <c r="M716" s="1" t="s">
        <v>58</v>
      </c>
      <c r="N716" s="1">
        <v>0</v>
      </c>
      <c r="O716" s="1" t="s">
        <v>105</v>
      </c>
      <c r="P716" s="11" t="s">
        <v>1409</v>
      </c>
      <c r="R716" s="1">
        <v>4</v>
      </c>
      <c r="T716" s="1" t="s">
        <v>646</v>
      </c>
      <c r="U716" s="11" t="s">
        <v>1410</v>
      </c>
      <c r="V716" s="1" t="s">
        <v>41</v>
      </c>
      <c r="W716" s="1" t="s">
        <v>49</v>
      </c>
      <c r="Z716" s="14">
        <v>1</v>
      </c>
      <c r="AA716" s="14"/>
      <c r="AC716" s="1"/>
      <c r="AE716" s="1"/>
    </row>
    <row r="717" spans="1:31" hidden="1">
      <c r="A717" s="1">
        <v>9129981</v>
      </c>
      <c r="B717" s="1" t="s">
        <v>101</v>
      </c>
      <c r="C717" t="s">
        <v>643</v>
      </c>
      <c r="D717" s="2">
        <v>220194118</v>
      </c>
      <c r="E717" s="2">
        <v>4637001400010</v>
      </c>
      <c r="F717" s="1" t="s">
        <v>936</v>
      </c>
      <c r="G717" s="1" t="s">
        <v>53</v>
      </c>
      <c r="H717" s="1" t="s">
        <v>848</v>
      </c>
      <c r="I717" s="1" t="s">
        <v>849</v>
      </c>
      <c r="J717" s="1" t="s">
        <v>79</v>
      </c>
      <c r="K717" t="s">
        <v>937</v>
      </c>
      <c r="M717" s="1" t="s">
        <v>58</v>
      </c>
      <c r="N717" s="1">
        <v>0</v>
      </c>
      <c r="O717" s="1" t="s">
        <v>105</v>
      </c>
      <c r="P717" s="11" t="s">
        <v>1411</v>
      </c>
      <c r="R717" s="1">
        <v>3</v>
      </c>
      <c r="T717" s="1" t="s">
        <v>646</v>
      </c>
      <c r="U717" s="11" t="s">
        <v>1412</v>
      </c>
      <c r="V717" s="1" t="s">
        <v>41</v>
      </c>
      <c r="W717" s="1" t="s">
        <v>49</v>
      </c>
      <c r="Z717" s="14">
        <v>1</v>
      </c>
      <c r="AA717" s="14"/>
      <c r="AC717" s="1"/>
      <c r="AE717" s="1"/>
    </row>
    <row r="718" spans="1:31" hidden="1">
      <c r="A718" s="1">
        <v>9129978</v>
      </c>
      <c r="B718" s="1" t="s">
        <v>101</v>
      </c>
      <c r="C718" t="s">
        <v>643</v>
      </c>
      <c r="D718" s="2">
        <v>220194116</v>
      </c>
      <c r="E718" s="2">
        <v>4623001400010</v>
      </c>
      <c r="F718" s="1" t="s">
        <v>936</v>
      </c>
      <c r="G718" s="1" t="s">
        <v>53</v>
      </c>
      <c r="H718" s="1" t="s">
        <v>669</v>
      </c>
      <c r="I718" s="1" t="s">
        <v>670</v>
      </c>
      <c r="J718" s="1" t="s">
        <v>33</v>
      </c>
      <c r="K718" t="s">
        <v>937</v>
      </c>
      <c r="M718" s="1" t="s">
        <v>58</v>
      </c>
      <c r="N718" s="1">
        <v>0</v>
      </c>
      <c r="O718" s="1" t="s">
        <v>105</v>
      </c>
      <c r="P718" s="11" t="s">
        <v>1413</v>
      </c>
      <c r="R718" s="1">
        <v>3</v>
      </c>
      <c r="T718" s="1" t="s">
        <v>646</v>
      </c>
      <c r="U718" s="11" t="s">
        <v>1414</v>
      </c>
      <c r="V718" s="1" t="s">
        <v>41</v>
      </c>
      <c r="W718" s="1" t="s">
        <v>42</v>
      </c>
      <c r="Z718" s="14">
        <v>1</v>
      </c>
      <c r="AA718" s="14"/>
      <c r="AC718" s="1"/>
      <c r="AE718" s="1"/>
    </row>
    <row r="719" spans="1:31" hidden="1">
      <c r="A719" s="1">
        <v>9129941</v>
      </c>
      <c r="B719" s="1" t="s">
        <v>101</v>
      </c>
      <c r="C719" t="s">
        <v>643</v>
      </c>
      <c r="D719" s="2">
        <v>220194187</v>
      </c>
      <c r="E719" s="2">
        <v>4997001400010</v>
      </c>
      <c r="F719" s="1" t="s">
        <v>936</v>
      </c>
      <c r="G719" s="1" t="s">
        <v>53</v>
      </c>
      <c r="H719" s="1" t="s">
        <v>406</v>
      </c>
      <c r="I719" s="1" t="s">
        <v>407</v>
      </c>
      <c r="J719" s="1" t="s">
        <v>79</v>
      </c>
      <c r="K719" t="s">
        <v>937</v>
      </c>
      <c r="M719" s="1" t="s">
        <v>58</v>
      </c>
      <c r="N719" s="1">
        <v>0</v>
      </c>
      <c r="O719" s="1" t="s">
        <v>105</v>
      </c>
      <c r="P719" s="11" t="s">
        <v>1415</v>
      </c>
      <c r="R719" s="1">
        <v>3</v>
      </c>
      <c r="T719" s="1" t="s">
        <v>646</v>
      </c>
      <c r="U719" s="11" t="s">
        <v>1416</v>
      </c>
      <c r="V719" s="1" t="s">
        <v>41</v>
      </c>
      <c r="W719" s="1" t="s">
        <v>49</v>
      </c>
      <c r="Z719" s="14">
        <v>1</v>
      </c>
      <c r="AA719" s="14"/>
      <c r="AC719" s="1"/>
      <c r="AE719" s="1"/>
    </row>
    <row r="720" spans="1:31" hidden="1">
      <c r="A720" s="1">
        <v>9129868</v>
      </c>
      <c r="B720" s="1" t="s">
        <v>101</v>
      </c>
      <c r="C720" t="s">
        <v>643</v>
      </c>
      <c r="D720" s="2">
        <v>220193412</v>
      </c>
      <c r="E720" s="2">
        <v>1643001400010</v>
      </c>
      <c r="F720" s="1" t="s">
        <v>936</v>
      </c>
      <c r="G720" s="1" t="s">
        <v>53</v>
      </c>
      <c r="H720" s="1" t="s">
        <v>361</v>
      </c>
      <c r="I720" s="1" t="s">
        <v>362</v>
      </c>
      <c r="J720" s="1" t="s">
        <v>261</v>
      </c>
      <c r="K720" t="s">
        <v>937</v>
      </c>
      <c r="M720" s="1" t="s">
        <v>58</v>
      </c>
      <c r="N720" s="1">
        <v>0</v>
      </c>
      <c r="O720" s="1" t="s">
        <v>105</v>
      </c>
      <c r="P720" s="11" t="s">
        <v>1417</v>
      </c>
      <c r="R720" s="1">
        <v>3</v>
      </c>
      <c r="T720" s="1" t="s">
        <v>646</v>
      </c>
      <c r="U720" s="11" t="s">
        <v>1418</v>
      </c>
      <c r="V720" s="1" t="s">
        <v>41</v>
      </c>
      <c r="W720" s="1" t="s">
        <v>49</v>
      </c>
      <c r="Z720" s="14">
        <v>1</v>
      </c>
      <c r="AA720" s="14"/>
      <c r="AC720" s="1"/>
      <c r="AE720" s="1"/>
    </row>
    <row r="721" spans="1:31" hidden="1">
      <c r="A721" s="1">
        <v>9129798</v>
      </c>
      <c r="B721" s="1" t="s">
        <v>101</v>
      </c>
      <c r="C721" t="s">
        <v>643</v>
      </c>
      <c r="D721" s="2">
        <v>220193269</v>
      </c>
      <c r="E721" s="2">
        <v>1264001400010</v>
      </c>
      <c r="F721" s="1" t="s">
        <v>936</v>
      </c>
      <c r="G721" s="1" t="s">
        <v>53</v>
      </c>
      <c r="H721" s="1" t="s">
        <v>351</v>
      </c>
      <c r="I721" s="1" t="s">
        <v>352</v>
      </c>
      <c r="J721" s="1" t="s">
        <v>110</v>
      </c>
      <c r="K721" t="s">
        <v>937</v>
      </c>
      <c r="M721" s="1" t="s">
        <v>58</v>
      </c>
      <c r="N721" s="1">
        <v>0</v>
      </c>
      <c r="O721" s="1" t="s">
        <v>105</v>
      </c>
      <c r="P721" s="11" t="s">
        <v>1419</v>
      </c>
      <c r="R721" s="1">
        <v>3</v>
      </c>
      <c r="T721" s="1" t="s">
        <v>646</v>
      </c>
      <c r="U721" s="11" t="s">
        <v>1420</v>
      </c>
      <c r="V721" s="1" t="s">
        <v>41</v>
      </c>
      <c r="W721" s="1" t="s">
        <v>49</v>
      </c>
      <c r="Z721" s="14">
        <v>1</v>
      </c>
      <c r="AA721" s="14"/>
      <c r="AC721" s="1"/>
      <c r="AE721" s="1"/>
    </row>
    <row r="722" spans="1:31" hidden="1">
      <c r="A722" s="1">
        <v>9129788</v>
      </c>
      <c r="B722" s="1" t="s">
        <v>101</v>
      </c>
      <c r="C722" t="s">
        <v>643</v>
      </c>
      <c r="D722" s="2">
        <v>220193262</v>
      </c>
      <c r="E722" s="2">
        <v>1245001400010</v>
      </c>
      <c r="F722" s="1" t="s">
        <v>936</v>
      </c>
      <c r="G722" s="1" t="s">
        <v>53</v>
      </c>
      <c r="H722" s="1" t="s">
        <v>408</v>
      </c>
      <c r="I722" s="1" t="s">
        <v>409</v>
      </c>
      <c r="J722" s="1" t="s">
        <v>46</v>
      </c>
      <c r="K722" t="s">
        <v>937</v>
      </c>
      <c r="M722" s="1" t="s">
        <v>58</v>
      </c>
      <c r="N722" s="1">
        <v>0</v>
      </c>
      <c r="O722" s="1" t="s">
        <v>105</v>
      </c>
      <c r="P722" s="11" t="s">
        <v>1421</v>
      </c>
      <c r="R722" s="1">
        <v>3</v>
      </c>
      <c r="T722" s="1" t="s">
        <v>646</v>
      </c>
      <c r="U722" s="11" t="s">
        <v>1422</v>
      </c>
      <c r="V722" s="1" t="s">
        <v>41</v>
      </c>
      <c r="W722" s="1" t="s">
        <v>49</v>
      </c>
      <c r="Z722" s="14">
        <v>1</v>
      </c>
      <c r="AA722" s="14"/>
      <c r="AC722" s="1"/>
      <c r="AE722" s="1"/>
    </row>
    <row r="723" spans="1:31" hidden="1">
      <c r="A723" s="1">
        <v>9129743</v>
      </c>
      <c r="B723" s="1" t="s">
        <v>101</v>
      </c>
      <c r="C723" t="s">
        <v>643</v>
      </c>
      <c r="D723" s="2">
        <v>220193731</v>
      </c>
      <c r="E723" s="2">
        <v>2855001400010</v>
      </c>
      <c r="F723" s="1" t="s">
        <v>936</v>
      </c>
      <c r="G723" s="1" t="s">
        <v>53</v>
      </c>
      <c r="H723" s="1" t="s">
        <v>249</v>
      </c>
      <c r="I723" s="1" t="s">
        <v>250</v>
      </c>
      <c r="J723" s="1" t="s">
        <v>56</v>
      </c>
      <c r="K723" t="s">
        <v>937</v>
      </c>
      <c r="M723" s="1" t="s">
        <v>58</v>
      </c>
      <c r="N723" s="1">
        <v>0</v>
      </c>
      <c r="O723" s="1" t="s">
        <v>105</v>
      </c>
      <c r="P723" s="11" t="s">
        <v>1423</v>
      </c>
      <c r="R723" s="1">
        <v>3</v>
      </c>
      <c r="T723" s="1" t="s">
        <v>646</v>
      </c>
      <c r="U723" s="12">
        <v>44897.61341435185</v>
      </c>
      <c r="V723" s="1" t="s">
        <v>41</v>
      </c>
      <c r="W723" s="1" t="s">
        <v>49</v>
      </c>
      <c r="Z723" s="14">
        <v>1</v>
      </c>
      <c r="AA723" s="14"/>
      <c r="AC723" s="21"/>
      <c r="AE723" s="21"/>
    </row>
    <row r="724" spans="1:31" hidden="1">
      <c r="A724" s="1">
        <v>9129736</v>
      </c>
      <c r="B724" s="1" t="s">
        <v>101</v>
      </c>
      <c r="C724" t="s">
        <v>643</v>
      </c>
      <c r="D724" s="2">
        <v>220193724</v>
      </c>
      <c r="E724" s="2">
        <v>2830001400010</v>
      </c>
      <c r="F724" s="1" t="s">
        <v>936</v>
      </c>
      <c r="G724" s="1" t="s">
        <v>53</v>
      </c>
      <c r="H724" s="1" t="s">
        <v>448</v>
      </c>
      <c r="I724" s="1" t="s">
        <v>449</v>
      </c>
      <c r="J724" s="1" t="s">
        <v>33</v>
      </c>
      <c r="K724" t="s">
        <v>937</v>
      </c>
      <c r="M724" s="1" t="s">
        <v>58</v>
      </c>
      <c r="N724" s="1">
        <v>0</v>
      </c>
      <c r="O724" s="1" t="s">
        <v>105</v>
      </c>
      <c r="P724" s="11" t="s">
        <v>1424</v>
      </c>
      <c r="R724" s="1">
        <v>3</v>
      </c>
      <c r="T724" s="1" t="s">
        <v>646</v>
      </c>
      <c r="U724" s="11" t="s">
        <v>1425</v>
      </c>
      <c r="V724" s="1" t="s">
        <v>41</v>
      </c>
      <c r="W724" s="1" t="s">
        <v>42</v>
      </c>
      <c r="Z724" s="14">
        <v>1</v>
      </c>
      <c r="AA724" s="14"/>
      <c r="AC724" s="21"/>
      <c r="AE724" s="21"/>
    </row>
    <row r="725" spans="1:31">
      <c r="A725" s="1">
        <v>9129707</v>
      </c>
      <c r="B725" s="1" t="s">
        <v>101</v>
      </c>
      <c r="C725" t="s">
        <v>643</v>
      </c>
      <c r="D725" s="2">
        <v>220193132</v>
      </c>
      <c r="E725" s="2">
        <v>981001400010</v>
      </c>
      <c r="F725" s="1" t="s">
        <v>936</v>
      </c>
      <c r="G725" s="1" t="s">
        <v>53</v>
      </c>
      <c r="H725" s="1" t="s">
        <v>410</v>
      </c>
      <c r="I725" s="1" t="s">
        <v>411</v>
      </c>
      <c r="J725" s="1" t="s">
        <v>85</v>
      </c>
      <c r="K725" t="s">
        <v>937</v>
      </c>
      <c r="M725" s="1" t="s">
        <v>58</v>
      </c>
      <c r="N725" s="1">
        <v>0</v>
      </c>
      <c r="O725" s="1" t="s">
        <v>105</v>
      </c>
      <c r="P725" s="11" t="s">
        <v>1426</v>
      </c>
      <c r="R725" s="1">
        <v>3</v>
      </c>
      <c r="T725" s="1" t="s">
        <v>646</v>
      </c>
      <c r="U725" s="11" t="s">
        <v>1427</v>
      </c>
      <c r="V725" s="1" t="s">
        <v>41</v>
      </c>
      <c r="W725" s="1" t="s">
        <v>49</v>
      </c>
      <c r="Z725" s="14">
        <v>1</v>
      </c>
      <c r="AA725" s="14"/>
      <c r="AC725" s="22"/>
      <c r="AE725" s="22"/>
    </row>
    <row r="726" spans="1:31" hidden="1">
      <c r="A726" s="1">
        <v>9129576</v>
      </c>
      <c r="B726" s="1" t="s">
        <v>101</v>
      </c>
      <c r="C726" t="s">
        <v>643</v>
      </c>
      <c r="D726" s="2">
        <v>220198413</v>
      </c>
      <c r="E726" s="2">
        <v>1943001400040</v>
      </c>
      <c r="F726" s="1" t="s">
        <v>644</v>
      </c>
      <c r="G726" s="1" t="s">
        <v>53</v>
      </c>
      <c r="H726" s="1" t="s">
        <v>264</v>
      </c>
      <c r="I726" s="1" t="s">
        <v>265</v>
      </c>
      <c r="J726" s="1" t="s">
        <v>56</v>
      </c>
      <c r="K726" t="s">
        <v>645</v>
      </c>
      <c r="M726" s="1" t="s">
        <v>58</v>
      </c>
      <c r="N726" s="1">
        <v>0</v>
      </c>
      <c r="O726" s="1" t="s">
        <v>105</v>
      </c>
      <c r="P726" s="11" t="s">
        <v>1428</v>
      </c>
      <c r="R726" s="1">
        <v>2</v>
      </c>
      <c r="T726" s="1" t="s">
        <v>646</v>
      </c>
      <c r="U726" s="11" t="s">
        <v>1429</v>
      </c>
      <c r="V726" s="1" t="s">
        <v>41</v>
      </c>
      <c r="W726" s="1" t="s">
        <v>49</v>
      </c>
      <c r="Z726" s="14">
        <v>1</v>
      </c>
      <c r="AA726" s="14"/>
      <c r="AC726" s="21"/>
      <c r="AE726" s="21"/>
    </row>
    <row r="727" spans="1:31" hidden="1">
      <c r="A727" s="1">
        <v>9129572</v>
      </c>
      <c r="B727" s="1" t="s">
        <v>101</v>
      </c>
      <c r="C727" t="s">
        <v>643</v>
      </c>
      <c r="D727" s="2">
        <v>220198409</v>
      </c>
      <c r="E727" s="2">
        <v>1924001400040</v>
      </c>
      <c r="F727" s="1" t="s">
        <v>644</v>
      </c>
      <c r="G727" s="1" t="s">
        <v>53</v>
      </c>
      <c r="H727" s="1" t="s">
        <v>568</v>
      </c>
      <c r="I727" s="1" t="s">
        <v>569</v>
      </c>
      <c r="J727" s="1" t="s">
        <v>33</v>
      </c>
      <c r="K727" t="s">
        <v>645</v>
      </c>
      <c r="M727" s="1" t="s">
        <v>58</v>
      </c>
      <c r="N727" s="1">
        <v>0</v>
      </c>
      <c r="O727" s="1" t="s">
        <v>105</v>
      </c>
      <c r="P727" s="11" t="s">
        <v>1430</v>
      </c>
      <c r="R727" s="1">
        <v>2</v>
      </c>
      <c r="T727" s="1" t="s">
        <v>646</v>
      </c>
      <c r="U727" s="11" t="s">
        <v>1431</v>
      </c>
      <c r="V727" s="1" t="s">
        <v>41</v>
      </c>
      <c r="W727" s="1" t="s">
        <v>49</v>
      </c>
      <c r="Z727" s="14">
        <v>1</v>
      </c>
      <c r="AA727" s="14"/>
      <c r="AC727" s="21"/>
      <c r="AE727" s="21"/>
    </row>
    <row r="728" spans="1:31" hidden="1">
      <c r="A728" s="1">
        <v>9129532</v>
      </c>
      <c r="B728" s="1" t="s">
        <v>101</v>
      </c>
      <c r="C728" t="s">
        <v>643</v>
      </c>
      <c r="D728" s="2">
        <v>220198370</v>
      </c>
      <c r="E728" s="2">
        <v>5898001400040</v>
      </c>
      <c r="F728" s="1" t="s">
        <v>644</v>
      </c>
      <c r="G728" s="1" t="s">
        <v>53</v>
      </c>
      <c r="H728" s="1" t="s">
        <v>365</v>
      </c>
      <c r="I728" s="1" t="s">
        <v>366</v>
      </c>
      <c r="J728" s="1" t="s">
        <v>164</v>
      </c>
      <c r="K728" t="s">
        <v>645</v>
      </c>
      <c r="M728" s="1" t="s">
        <v>58</v>
      </c>
      <c r="N728" s="1">
        <v>0</v>
      </c>
      <c r="O728" s="1" t="s">
        <v>105</v>
      </c>
      <c r="P728" s="11" t="s">
        <v>1432</v>
      </c>
      <c r="R728" s="1">
        <v>2</v>
      </c>
      <c r="T728" s="1" t="s">
        <v>646</v>
      </c>
      <c r="U728" s="11" t="s">
        <v>1433</v>
      </c>
      <c r="V728" s="1" t="s">
        <v>41</v>
      </c>
      <c r="W728" s="1" t="s">
        <v>49</v>
      </c>
      <c r="Z728" s="14">
        <v>1</v>
      </c>
      <c r="AA728" s="14"/>
      <c r="AC728" s="21"/>
      <c r="AE728" s="21"/>
    </row>
    <row r="729" spans="1:31" hidden="1">
      <c r="A729" s="1">
        <v>9129469</v>
      </c>
      <c r="B729" s="1" t="s">
        <v>101</v>
      </c>
      <c r="C729" t="s">
        <v>643</v>
      </c>
      <c r="D729" s="2">
        <v>220198152</v>
      </c>
      <c r="E729" s="2">
        <v>4637001400040</v>
      </c>
      <c r="F729" s="1" t="s">
        <v>644</v>
      </c>
      <c r="G729" s="1" t="s">
        <v>53</v>
      </c>
      <c r="H729" s="1" t="s">
        <v>848</v>
      </c>
      <c r="I729" s="1" t="s">
        <v>849</v>
      </c>
      <c r="J729" s="1" t="s">
        <v>79</v>
      </c>
      <c r="K729" t="s">
        <v>645</v>
      </c>
      <c r="M729" s="1" t="s">
        <v>58</v>
      </c>
      <c r="N729" s="1">
        <v>0</v>
      </c>
      <c r="O729" s="1" t="s">
        <v>105</v>
      </c>
      <c r="P729" s="11" t="s">
        <v>1434</v>
      </c>
      <c r="R729" s="1">
        <v>3</v>
      </c>
      <c r="T729" s="1" t="s">
        <v>646</v>
      </c>
      <c r="U729" s="11" t="s">
        <v>1435</v>
      </c>
      <c r="V729" s="1" t="s">
        <v>41</v>
      </c>
      <c r="W729" s="1" t="s">
        <v>49</v>
      </c>
      <c r="Z729" s="14">
        <v>1</v>
      </c>
      <c r="AA729" s="14"/>
      <c r="AC729" s="21"/>
      <c r="AE729" s="21"/>
    </row>
    <row r="730" spans="1:31" hidden="1">
      <c r="A730" s="1">
        <v>9129466</v>
      </c>
      <c r="B730" s="1" t="s">
        <v>101</v>
      </c>
      <c r="C730" t="s">
        <v>643</v>
      </c>
      <c r="D730" s="2">
        <v>220198149</v>
      </c>
      <c r="E730" s="2">
        <v>4623001400040</v>
      </c>
      <c r="F730" s="1" t="s">
        <v>644</v>
      </c>
      <c r="G730" s="1" t="s">
        <v>53</v>
      </c>
      <c r="H730" s="1" t="s">
        <v>669</v>
      </c>
      <c r="I730" s="1" t="s">
        <v>670</v>
      </c>
      <c r="J730" s="1" t="s">
        <v>33</v>
      </c>
      <c r="K730" t="s">
        <v>645</v>
      </c>
      <c r="M730" s="1" t="s">
        <v>58</v>
      </c>
      <c r="N730" s="1">
        <v>0</v>
      </c>
      <c r="O730" s="1" t="s">
        <v>105</v>
      </c>
      <c r="P730" s="11" t="s">
        <v>1436</v>
      </c>
      <c r="R730" s="1">
        <v>2</v>
      </c>
      <c r="T730" s="1" t="s">
        <v>646</v>
      </c>
      <c r="U730" s="11" t="s">
        <v>1437</v>
      </c>
      <c r="V730" s="1" t="s">
        <v>41</v>
      </c>
      <c r="W730" s="1" t="s">
        <v>42</v>
      </c>
      <c r="Z730" s="14">
        <v>1</v>
      </c>
      <c r="AA730" s="14"/>
      <c r="AC730" s="21"/>
      <c r="AE730" s="21"/>
    </row>
    <row r="731" spans="1:31" hidden="1">
      <c r="A731" s="1">
        <v>9129293</v>
      </c>
      <c r="B731" s="1" t="s">
        <v>101</v>
      </c>
      <c r="C731" t="s">
        <v>643</v>
      </c>
      <c r="D731" s="2">
        <v>220197353</v>
      </c>
      <c r="E731" s="2">
        <v>1509001400040</v>
      </c>
      <c r="F731" s="1" t="s">
        <v>644</v>
      </c>
      <c r="G731" s="1" t="s">
        <v>53</v>
      </c>
      <c r="H731" s="1" t="s">
        <v>731</v>
      </c>
      <c r="I731" s="1" t="s">
        <v>732</v>
      </c>
      <c r="J731" s="1" t="s">
        <v>46</v>
      </c>
      <c r="K731" t="s">
        <v>645</v>
      </c>
      <c r="M731" s="1" t="s">
        <v>58</v>
      </c>
      <c r="N731" s="1">
        <v>0</v>
      </c>
      <c r="O731" s="1" t="s">
        <v>105</v>
      </c>
      <c r="P731" s="12">
        <v>44896.590925925928</v>
      </c>
      <c r="R731" s="1">
        <v>3</v>
      </c>
      <c r="T731" s="1" t="s">
        <v>646</v>
      </c>
      <c r="U731" s="12">
        <v>44897.590925925928</v>
      </c>
      <c r="V731" s="1" t="s">
        <v>41</v>
      </c>
      <c r="W731" s="1" t="s">
        <v>49</v>
      </c>
      <c r="Z731" s="14">
        <v>1</v>
      </c>
      <c r="AA731" s="14"/>
      <c r="AC731" s="21"/>
      <c r="AE731" s="21"/>
    </row>
    <row r="732" spans="1:31">
      <c r="A732" s="1">
        <v>9129253</v>
      </c>
      <c r="B732" s="1" t="s">
        <v>101</v>
      </c>
      <c r="C732" t="s">
        <v>643</v>
      </c>
      <c r="D732" s="2">
        <v>220197205</v>
      </c>
      <c r="E732" s="2">
        <v>1162001400040</v>
      </c>
      <c r="F732" s="1" t="s">
        <v>644</v>
      </c>
      <c r="G732" s="1" t="s">
        <v>53</v>
      </c>
      <c r="H732" s="1" t="s">
        <v>280</v>
      </c>
      <c r="I732" s="1" t="s">
        <v>281</v>
      </c>
      <c r="J732" s="1" t="s">
        <v>211</v>
      </c>
      <c r="K732" t="s">
        <v>645</v>
      </c>
      <c r="M732" s="1" t="s">
        <v>58</v>
      </c>
      <c r="N732" s="1">
        <v>0</v>
      </c>
      <c r="O732" s="1" t="s">
        <v>105</v>
      </c>
      <c r="P732" s="11" t="s">
        <v>1438</v>
      </c>
      <c r="R732" s="1">
        <v>3</v>
      </c>
      <c r="T732" s="1" t="s">
        <v>646</v>
      </c>
      <c r="U732" s="11" t="s">
        <v>1439</v>
      </c>
      <c r="V732" s="1" t="s">
        <v>41</v>
      </c>
      <c r="W732" s="1" t="s">
        <v>49</v>
      </c>
      <c r="Z732" s="14">
        <v>1</v>
      </c>
      <c r="AA732" s="14"/>
      <c r="AC732" s="21"/>
      <c r="AE732" s="21"/>
    </row>
    <row r="733" spans="1:31" hidden="1">
      <c r="A733" s="1">
        <v>9129235</v>
      </c>
      <c r="B733" s="1" t="s">
        <v>101</v>
      </c>
      <c r="C733" t="s">
        <v>643</v>
      </c>
      <c r="D733" s="2">
        <v>220197191</v>
      </c>
      <c r="E733" s="2">
        <v>1138001400040</v>
      </c>
      <c r="F733" s="1" t="s">
        <v>644</v>
      </c>
      <c r="G733" s="1" t="s">
        <v>53</v>
      </c>
      <c r="H733" s="1" t="s">
        <v>548</v>
      </c>
      <c r="I733" s="1" t="s">
        <v>549</v>
      </c>
      <c r="J733" s="1" t="s">
        <v>46</v>
      </c>
      <c r="K733" t="s">
        <v>645</v>
      </c>
      <c r="M733" s="1" t="s">
        <v>58</v>
      </c>
      <c r="N733" s="1">
        <v>0</v>
      </c>
      <c r="O733" s="1" t="s">
        <v>105</v>
      </c>
      <c r="P733" s="11" t="s">
        <v>1440</v>
      </c>
      <c r="R733" s="1">
        <v>2</v>
      </c>
      <c r="T733" s="1" t="s">
        <v>646</v>
      </c>
      <c r="U733" s="11" t="s">
        <v>1441</v>
      </c>
      <c r="V733" s="1" t="s">
        <v>41</v>
      </c>
      <c r="W733" s="1" t="s">
        <v>49</v>
      </c>
      <c r="Z733" s="14">
        <v>1</v>
      </c>
      <c r="AA733" s="14"/>
      <c r="AC733" s="21"/>
      <c r="AE733" s="21"/>
    </row>
    <row r="734" spans="1:31" hidden="1">
      <c r="A734" s="1">
        <v>9129192</v>
      </c>
      <c r="B734" s="1" t="s">
        <v>101</v>
      </c>
      <c r="C734" t="s">
        <v>643</v>
      </c>
      <c r="D734" s="2">
        <v>220197715</v>
      </c>
      <c r="E734" s="2">
        <v>2830001400040</v>
      </c>
      <c r="F734" s="1" t="s">
        <v>644</v>
      </c>
      <c r="G734" s="1" t="s">
        <v>53</v>
      </c>
      <c r="H734" s="1" t="s">
        <v>448</v>
      </c>
      <c r="I734" s="1" t="s">
        <v>449</v>
      </c>
      <c r="J734" s="1" t="s">
        <v>33</v>
      </c>
      <c r="K734" t="s">
        <v>645</v>
      </c>
      <c r="M734" s="1" t="s">
        <v>58</v>
      </c>
      <c r="N734" s="1">
        <v>0</v>
      </c>
      <c r="O734" s="1" t="s">
        <v>105</v>
      </c>
      <c r="P734" s="11" t="s">
        <v>1442</v>
      </c>
      <c r="R734" s="1">
        <v>2</v>
      </c>
      <c r="T734" s="1" t="s">
        <v>646</v>
      </c>
      <c r="U734" s="11" t="s">
        <v>1443</v>
      </c>
      <c r="V734" s="1" t="s">
        <v>41</v>
      </c>
      <c r="W734" s="1" t="s">
        <v>42</v>
      </c>
      <c r="Z734" s="14">
        <v>1</v>
      </c>
      <c r="AA734" s="14"/>
      <c r="AC734" s="21"/>
      <c r="AE734" s="21"/>
    </row>
    <row r="735" spans="1:31" hidden="1">
      <c r="A735" s="1">
        <v>9129186</v>
      </c>
      <c r="B735" s="1" t="s">
        <v>101</v>
      </c>
      <c r="C735" t="s">
        <v>643</v>
      </c>
      <c r="D735" s="2">
        <v>220197710</v>
      </c>
      <c r="E735" s="2">
        <v>2802001400040</v>
      </c>
      <c r="F735" s="1" t="s">
        <v>644</v>
      </c>
      <c r="G735" s="1" t="s">
        <v>53</v>
      </c>
      <c r="H735" s="1" t="s">
        <v>388</v>
      </c>
      <c r="I735" s="1" t="s">
        <v>389</v>
      </c>
      <c r="J735" s="1" t="s">
        <v>46</v>
      </c>
      <c r="K735" t="s">
        <v>645</v>
      </c>
      <c r="M735" s="1" t="s">
        <v>58</v>
      </c>
      <c r="N735" s="1">
        <v>0</v>
      </c>
      <c r="O735" s="1" t="s">
        <v>105</v>
      </c>
      <c r="P735" s="11" t="s">
        <v>1444</v>
      </c>
      <c r="R735" s="1">
        <v>3</v>
      </c>
      <c r="T735" s="1" t="s">
        <v>646</v>
      </c>
      <c r="U735" s="11" t="s">
        <v>1445</v>
      </c>
      <c r="V735" s="1" t="s">
        <v>41</v>
      </c>
      <c r="W735" s="1" t="s">
        <v>49</v>
      </c>
      <c r="Z735" s="14">
        <v>1</v>
      </c>
      <c r="AA735" s="14"/>
      <c r="AC735" s="21"/>
      <c r="AE735" s="21"/>
    </row>
    <row r="736" spans="1:31" hidden="1">
      <c r="A736" s="1">
        <v>9129147</v>
      </c>
      <c r="B736" s="1" t="s">
        <v>101</v>
      </c>
      <c r="C736" t="s">
        <v>643</v>
      </c>
      <c r="D736" s="2">
        <v>220197682</v>
      </c>
      <c r="E736" s="2">
        <v>2693001400040</v>
      </c>
      <c r="F736" s="1" t="s">
        <v>644</v>
      </c>
      <c r="G736" s="1" t="s">
        <v>53</v>
      </c>
      <c r="H736" s="1" t="s">
        <v>253</v>
      </c>
      <c r="I736" s="1" t="s">
        <v>254</v>
      </c>
      <c r="J736" s="1" t="s">
        <v>56</v>
      </c>
      <c r="K736" t="s">
        <v>645</v>
      </c>
      <c r="M736" s="1" t="s">
        <v>58</v>
      </c>
      <c r="N736" s="1">
        <v>0</v>
      </c>
      <c r="O736" s="1" t="s">
        <v>105</v>
      </c>
      <c r="P736" s="11" t="s">
        <v>1446</v>
      </c>
      <c r="R736" s="1">
        <v>2</v>
      </c>
      <c r="T736" s="1" t="s">
        <v>646</v>
      </c>
      <c r="U736" s="11" t="s">
        <v>1447</v>
      </c>
      <c r="V736" s="1" t="s">
        <v>41</v>
      </c>
      <c r="W736" s="1" t="s">
        <v>49</v>
      </c>
      <c r="Z736" s="14">
        <v>1</v>
      </c>
      <c r="AA736" s="14"/>
      <c r="AC736" s="21"/>
      <c r="AE736" s="21"/>
    </row>
    <row r="737" spans="1:31" hidden="1">
      <c r="A737" s="1">
        <v>9129072</v>
      </c>
      <c r="B737" s="1" t="s">
        <v>101</v>
      </c>
      <c r="C737" t="s">
        <v>643</v>
      </c>
      <c r="D737" s="2">
        <v>220197722</v>
      </c>
      <c r="E737" s="2">
        <v>2855001400040</v>
      </c>
      <c r="F737" s="1" t="s">
        <v>644</v>
      </c>
      <c r="G737" s="1" t="s">
        <v>53</v>
      </c>
      <c r="H737" s="1" t="s">
        <v>249</v>
      </c>
      <c r="I737" s="1" t="s">
        <v>250</v>
      </c>
      <c r="J737" s="1" t="s">
        <v>56</v>
      </c>
      <c r="K737" t="s">
        <v>645</v>
      </c>
      <c r="M737" s="1" t="s">
        <v>58</v>
      </c>
      <c r="N737" s="1">
        <v>0</v>
      </c>
      <c r="O737" s="1" t="s">
        <v>105</v>
      </c>
      <c r="P737" s="11" t="s">
        <v>1448</v>
      </c>
      <c r="R737" s="1">
        <v>2</v>
      </c>
      <c r="T737" s="1" t="s">
        <v>646</v>
      </c>
      <c r="U737" s="11" t="s">
        <v>1449</v>
      </c>
      <c r="V737" s="1" t="s">
        <v>41</v>
      </c>
      <c r="W737" s="1" t="s">
        <v>49</v>
      </c>
      <c r="Z737" s="14">
        <v>1</v>
      </c>
      <c r="AA737" s="14"/>
      <c r="AC737" s="21"/>
      <c r="AE737" s="21"/>
    </row>
    <row r="738" spans="1:31" hidden="1">
      <c r="A738" s="1">
        <v>9129043</v>
      </c>
      <c r="B738" s="1" t="s">
        <v>101</v>
      </c>
      <c r="C738" t="s">
        <v>643</v>
      </c>
      <c r="D738" s="2">
        <v>220196970</v>
      </c>
      <c r="E738" s="2">
        <v>710001400040</v>
      </c>
      <c r="F738" s="1" t="s">
        <v>644</v>
      </c>
      <c r="G738" s="1" t="s">
        <v>53</v>
      </c>
      <c r="H738" s="1" t="s">
        <v>390</v>
      </c>
      <c r="I738" s="1" t="s">
        <v>391</v>
      </c>
      <c r="J738" s="1" t="s">
        <v>56</v>
      </c>
      <c r="K738" t="s">
        <v>645</v>
      </c>
      <c r="M738" s="1" t="s">
        <v>58</v>
      </c>
      <c r="N738" s="1">
        <v>0</v>
      </c>
      <c r="O738" s="1" t="s">
        <v>105</v>
      </c>
      <c r="P738" s="11" t="s">
        <v>1450</v>
      </c>
      <c r="R738" s="1">
        <v>2</v>
      </c>
      <c r="T738" s="1" t="s">
        <v>646</v>
      </c>
      <c r="U738" s="11" t="s">
        <v>1451</v>
      </c>
      <c r="V738" s="1" t="s">
        <v>41</v>
      </c>
      <c r="W738" s="1" t="s">
        <v>49</v>
      </c>
      <c r="Z738" s="14">
        <v>1</v>
      </c>
      <c r="AA738" s="14"/>
      <c r="AC738" s="21"/>
      <c r="AE738" s="21"/>
    </row>
    <row r="739" spans="1:31" hidden="1">
      <c r="A739" s="1">
        <v>9128854</v>
      </c>
      <c r="B739" s="1" t="s">
        <v>101</v>
      </c>
      <c r="C739" s="15" t="s">
        <v>643</v>
      </c>
      <c r="D739" s="2">
        <v>220196470</v>
      </c>
      <c r="E739" s="2">
        <v>8259001400030</v>
      </c>
      <c r="F739" s="18" t="s">
        <v>647</v>
      </c>
      <c r="G739" s="1" t="s">
        <v>53</v>
      </c>
      <c r="H739" s="1" t="s">
        <v>245</v>
      </c>
      <c r="I739" s="1" t="s">
        <v>246</v>
      </c>
      <c r="J739" s="1" t="s">
        <v>56</v>
      </c>
      <c r="K739" t="s">
        <v>650</v>
      </c>
      <c r="M739" s="1" t="s">
        <v>58</v>
      </c>
      <c r="N739" s="1">
        <v>0</v>
      </c>
      <c r="O739" s="1" t="s">
        <v>105</v>
      </c>
      <c r="P739" s="12">
        <v>44896.569606481484</v>
      </c>
      <c r="R739" s="1">
        <v>4</v>
      </c>
      <c r="T739" s="1" t="s">
        <v>646</v>
      </c>
      <c r="U739" s="12">
        <v>44897.569606481484</v>
      </c>
      <c r="V739" s="1" t="s">
        <v>41</v>
      </c>
      <c r="W739" s="1" t="s">
        <v>49</v>
      </c>
      <c r="Z739" s="14">
        <v>1</v>
      </c>
      <c r="AA739" s="14"/>
      <c r="AC739" s="21"/>
      <c r="AE739" s="21"/>
    </row>
    <row r="740" spans="1:31" hidden="1">
      <c r="A740" s="1">
        <v>9128754</v>
      </c>
      <c r="B740" s="1" t="s">
        <v>101</v>
      </c>
      <c r="C740" t="s">
        <v>643</v>
      </c>
      <c r="D740" s="2">
        <v>220196094</v>
      </c>
      <c r="E740" s="2">
        <v>4623001400030</v>
      </c>
      <c r="F740" s="1" t="s">
        <v>647</v>
      </c>
      <c r="G740" s="1" t="s">
        <v>53</v>
      </c>
      <c r="H740" s="1" t="s">
        <v>669</v>
      </c>
      <c r="I740" s="1" t="s">
        <v>670</v>
      </c>
      <c r="J740" s="1" t="s">
        <v>33</v>
      </c>
      <c r="K740" t="s">
        <v>650</v>
      </c>
      <c r="M740" s="1" t="s">
        <v>58</v>
      </c>
      <c r="N740" s="1">
        <v>0</v>
      </c>
      <c r="O740" s="1" t="s">
        <v>105</v>
      </c>
      <c r="P740" s="11" t="s">
        <v>1452</v>
      </c>
      <c r="R740" s="1">
        <v>4</v>
      </c>
      <c r="T740" s="1" t="s">
        <v>646</v>
      </c>
      <c r="U740" s="11" t="s">
        <v>1453</v>
      </c>
      <c r="V740" s="1" t="s">
        <v>41</v>
      </c>
      <c r="W740" s="1" t="s">
        <v>42</v>
      </c>
      <c r="Z740" s="14">
        <v>1</v>
      </c>
      <c r="AA740" s="14"/>
      <c r="AC740" s="21"/>
      <c r="AE740" s="21"/>
    </row>
    <row r="741" spans="1:31" hidden="1">
      <c r="A741" s="1">
        <v>9128723</v>
      </c>
      <c r="B741" s="1" t="s">
        <v>101</v>
      </c>
      <c r="C741" t="s">
        <v>643</v>
      </c>
      <c r="D741" s="2">
        <v>220196098</v>
      </c>
      <c r="E741" s="2">
        <v>4637001400030</v>
      </c>
      <c r="F741" s="1" t="s">
        <v>647</v>
      </c>
      <c r="G741" s="1" t="s">
        <v>53</v>
      </c>
      <c r="H741" s="1" t="s">
        <v>848</v>
      </c>
      <c r="I741" s="1" t="s">
        <v>849</v>
      </c>
      <c r="J741" s="1" t="s">
        <v>79</v>
      </c>
      <c r="K741" t="s">
        <v>650</v>
      </c>
      <c r="M741" s="1" t="s">
        <v>58</v>
      </c>
      <c r="N741" s="1">
        <v>0</v>
      </c>
      <c r="O741" s="1" t="s">
        <v>105</v>
      </c>
      <c r="P741" s="11" t="s">
        <v>1454</v>
      </c>
      <c r="R741" s="1">
        <v>4</v>
      </c>
      <c r="T741" s="1" t="s">
        <v>646</v>
      </c>
      <c r="U741" s="12">
        <v>44897.564305555556</v>
      </c>
      <c r="V741" s="1" t="s">
        <v>41</v>
      </c>
      <c r="W741" s="1" t="s">
        <v>49</v>
      </c>
      <c r="Z741" s="14">
        <v>1</v>
      </c>
      <c r="AA741" s="14"/>
      <c r="AC741" s="21"/>
      <c r="AE741" s="21"/>
    </row>
    <row r="742" spans="1:31" hidden="1">
      <c r="A742" s="1">
        <v>9128704</v>
      </c>
      <c r="B742" s="1" t="s">
        <v>101</v>
      </c>
      <c r="C742" t="s">
        <v>643</v>
      </c>
      <c r="D742" s="2">
        <v>220195914</v>
      </c>
      <c r="E742" s="2">
        <v>4012001400030</v>
      </c>
      <c r="F742" s="1" t="s">
        <v>647</v>
      </c>
      <c r="G742" s="1" t="s">
        <v>53</v>
      </c>
      <c r="H742" s="1" t="s">
        <v>349</v>
      </c>
      <c r="I742" s="1" t="s">
        <v>350</v>
      </c>
      <c r="J742" s="1" t="s">
        <v>261</v>
      </c>
      <c r="K742" t="s">
        <v>650</v>
      </c>
      <c r="M742" s="1" t="s">
        <v>58</v>
      </c>
      <c r="N742" s="1">
        <v>0</v>
      </c>
      <c r="O742" s="1" t="s">
        <v>105</v>
      </c>
      <c r="P742" s="11" t="s">
        <v>1455</v>
      </c>
      <c r="R742" s="1">
        <v>4</v>
      </c>
      <c r="T742" s="1" t="s">
        <v>646</v>
      </c>
      <c r="U742" s="11" t="s">
        <v>1456</v>
      </c>
      <c r="V742" s="1" t="s">
        <v>41</v>
      </c>
      <c r="W742" s="1" t="s">
        <v>49</v>
      </c>
      <c r="Z742" s="14">
        <v>1</v>
      </c>
      <c r="AA742" s="14"/>
      <c r="AC742" s="21"/>
      <c r="AE742" s="21"/>
    </row>
    <row r="743" spans="1:31" hidden="1">
      <c r="A743" s="1">
        <v>9128584</v>
      </c>
      <c r="B743" s="1" t="s">
        <v>101</v>
      </c>
      <c r="C743" t="s">
        <v>643</v>
      </c>
      <c r="D743" s="2">
        <v>220195562</v>
      </c>
      <c r="E743" s="2">
        <v>2529001400030</v>
      </c>
      <c r="F743" s="1" t="s">
        <v>647</v>
      </c>
      <c r="G743" s="1" t="s">
        <v>53</v>
      </c>
      <c r="H743" s="1" t="s">
        <v>355</v>
      </c>
      <c r="I743" s="1" t="s">
        <v>356</v>
      </c>
      <c r="J743" s="1" t="s">
        <v>56</v>
      </c>
      <c r="K743" t="s">
        <v>650</v>
      </c>
      <c r="M743" s="1" t="s">
        <v>58</v>
      </c>
      <c r="N743" s="1">
        <v>0</v>
      </c>
      <c r="O743" s="1" t="s">
        <v>105</v>
      </c>
      <c r="P743" s="11" t="s">
        <v>1457</v>
      </c>
      <c r="R743" s="1">
        <v>4</v>
      </c>
      <c r="T743" s="1" t="s">
        <v>646</v>
      </c>
      <c r="U743" s="11" t="s">
        <v>1458</v>
      </c>
      <c r="V743" s="1" t="s">
        <v>41</v>
      </c>
      <c r="W743" s="1" t="s">
        <v>49</v>
      </c>
      <c r="Z743" s="14">
        <v>1</v>
      </c>
      <c r="AA743" s="14"/>
      <c r="AC743" s="21"/>
      <c r="AE743" s="21"/>
    </row>
    <row r="744" spans="1:31" hidden="1">
      <c r="A744" s="1">
        <v>9128556</v>
      </c>
      <c r="B744" s="1" t="s">
        <v>101</v>
      </c>
      <c r="C744" t="s">
        <v>643</v>
      </c>
      <c r="D744" s="2">
        <v>220195542</v>
      </c>
      <c r="E744" s="2">
        <v>2473001400030</v>
      </c>
      <c r="F744" s="1" t="s">
        <v>647</v>
      </c>
      <c r="G744" s="1" t="s">
        <v>53</v>
      </c>
      <c r="H744" s="1" t="s">
        <v>1459</v>
      </c>
      <c r="I744" s="1" t="s">
        <v>1460</v>
      </c>
      <c r="J744" s="1" t="s">
        <v>261</v>
      </c>
      <c r="K744" t="s">
        <v>650</v>
      </c>
      <c r="M744" s="1" t="s">
        <v>58</v>
      </c>
      <c r="N744" s="1">
        <v>0</v>
      </c>
      <c r="O744" s="1" t="s">
        <v>105</v>
      </c>
      <c r="P744" s="11" t="s">
        <v>1461</v>
      </c>
      <c r="R744" s="1">
        <v>4</v>
      </c>
      <c r="T744" s="1" t="s">
        <v>646</v>
      </c>
      <c r="U744" s="11" t="s">
        <v>1462</v>
      </c>
      <c r="V744" s="1" t="s">
        <v>41</v>
      </c>
      <c r="W744" s="1" t="s">
        <v>49</v>
      </c>
      <c r="Z744" s="14">
        <v>1</v>
      </c>
      <c r="AA744" s="14"/>
      <c r="AC744" s="21"/>
      <c r="AE744" s="21"/>
    </row>
    <row r="745" spans="1:31" hidden="1">
      <c r="A745" s="1">
        <v>9128525</v>
      </c>
      <c r="B745" s="1" t="s">
        <v>101</v>
      </c>
      <c r="C745" t="s">
        <v>643</v>
      </c>
      <c r="D745" s="2">
        <v>220195522</v>
      </c>
      <c r="E745" s="2">
        <v>2413001400030</v>
      </c>
      <c r="F745" s="1" t="s">
        <v>647</v>
      </c>
      <c r="G745" s="1" t="s">
        <v>53</v>
      </c>
      <c r="H745" s="1" t="s">
        <v>505</v>
      </c>
      <c r="I745" s="1" t="s">
        <v>506</v>
      </c>
      <c r="J745" s="1" t="s">
        <v>141</v>
      </c>
      <c r="K745" t="s">
        <v>650</v>
      </c>
      <c r="M745" s="1" t="s">
        <v>58</v>
      </c>
      <c r="N745" s="1">
        <v>0</v>
      </c>
      <c r="O745" s="1" t="s">
        <v>105</v>
      </c>
      <c r="P745" s="11" t="s">
        <v>1463</v>
      </c>
      <c r="R745" s="1">
        <v>4</v>
      </c>
      <c r="T745" s="1" t="s">
        <v>646</v>
      </c>
      <c r="U745" s="11" t="s">
        <v>1464</v>
      </c>
      <c r="V745" s="1" t="s">
        <v>41</v>
      </c>
      <c r="W745" s="1" t="s">
        <v>49</v>
      </c>
      <c r="Z745" s="14">
        <v>1</v>
      </c>
      <c r="AA745" s="14"/>
      <c r="AC745" s="21"/>
      <c r="AE745" s="21"/>
    </row>
    <row r="746" spans="1:31" hidden="1">
      <c r="A746" s="1">
        <v>9128505</v>
      </c>
      <c r="B746" s="1" t="s">
        <v>101</v>
      </c>
      <c r="C746" t="s">
        <v>643</v>
      </c>
      <c r="D746" s="2">
        <v>220195710</v>
      </c>
      <c r="E746" s="2">
        <v>3108001400030</v>
      </c>
      <c r="F746" s="1" t="s">
        <v>647</v>
      </c>
      <c r="G746" s="1" t="s">
        <v>53</v>
      </c>
      <c r="H746" s="1" t="s">
        <v>325</v>
      </c>
      <c r="I746" s="1" t="s">
        <v>326</v>
      </c>
      <c r="J746" s="1" t="s">
        <v>46</v>
      </c>
      <c r="K746" t="s">
        <v>650</v>
      </c>
      <c r="M746" s="1" t="s">
        <v>58</v>
      </c>
      <c r="N746" s="1">
        <v>0</v>
      </c>
      <c r="O746" s="1" t="s">
        <v>105</v>
      </c>
      <c r="P746" s="11" t="s">
        <v>1465</v>
      </c>
      <c r="R746" s="1">
        <v>4</v>
      </c>
      <c r="T746" s="1" t="s">
        <v>646</v>
      </c>
      <c r="U746" s="11" t="s">
        <v>1466</v>
      </c>
      <c r="V746" s="1" t="s">
        <v>41</v>
      </c>
      <c r="W746" s="1" t="s">
        <v>49</v>
      </c>
      <c r="Z746" s="14">
        <v>1</v>
      </c>
      <c r="AA746" s="14"/>
      <c r="AC746" s="21"/>
      <c r="AE746" s="21"/>
    </row>
    <row r="747" spans="1:31">
      <c r="A747" s="1">
        <v>9128485</v>
      </c>
      <c r="B747" s="1" t="s">
        <v>101</v>
      </c>
      <c r="C747" t="s">
        <v>643</v>
      </c>
      <c r="D747" s="2">
        <v>220195128</v>
      </c>
      <c r="E747" s="2">
        <v>1162001400030</v>
      </c>
      <c r="F747" s="1" t="s">
        <v>647</v>
      </c>
      <c r="G747" s="1" t="s">
        <v>53</v>
      </c>
      <c r="H747" s="1" t="s">
        <v>280</v>
      </c>
      <c r="I747" s="1" t="s">
        <v>281</v>
      </c>
      <c r="J747" s="1" t="s">
        <v>211</v>
      </c>
      <c r="K747" t="s">
        <v>650</v>
      </c>
      <c r="M747" s="1" t="s">
        <v>58</v>
      </c>
      <c r="N747" s="1">
        <v>0</v>
      </c>
      <c r="O747" s="1" t="s">
        <v>105</v>
      </c>
      <c r="P747" s="11" t="s">
        <v>1467</v>
      </c>
      <c r="R747" s="1">
        <v>4</v>
      </c>
      <c r="T747" s="1" t="s">
        <v>646</v>
      </c>
      <c r="U747" s="11" t="s">
        <v>1468</v>
      </c>
      <c r="V747" s="1" t="s">
        <v>41</v>
      </c>
      <c r="W747" s="1" t="s">
        <v>49</v>
      </c>
      <c r="Z747" s="14">
        <v>1</v>
      </c>
      <c r="AA747" s="14"/>
      <c r="AC747" s="21"/>
      <c r="AE747" s="21"/>
    </row>
    <row r="748" spans="1:31" hidden="1">
      <c r="A748" s="1">
        <v>9128470</v>
      </c>
      <c r="B748" s="1" t="s">
        <v>101</v>
      </c>
      <c r="C748" t="s">
        <v>643</v>
      </c>
      <c r="D748" s="2">
        <v>220195114</v>
      </c>
      <c r="E748" s="2">
        <v>1138001400030</v>
      </c>
      <c r="F748" s="1" t="s">
        <v>647</v>
      </c>
      <c r="G748" s="1" t="s">
        <v>53</v>
      </c>
      <c r="H748" s="1" t="s">
        <v>548</v>
      </c>
      <c r="I748" s="1" t="s">
        <v>549</v>
      </c>
      <c r="J748" s="1" t="s">
        <v>46</v>
      </c>
      <c r="K748" t="s">
        <v>650</v>
      </c>
      <c r="M748" s="1" t="s">
        <v>58</v>
      </c>
      <c r="N748" s="1">
        <v>0</v>
      </c>
      <c r="O748" s="1" t="s">
        <v>105</v>
      </c>
      <c r="P748" s="11" t="s">
        <v>1469</v>
      </c>
      <c r="R748" s="1">
        <v>4</v>
      </c>
      <c r="T748" s="1" t="s">
        <v>646</v>
      </c>
      <c r="U748" s="12">
        <v>44897.553067129629</v>
      </c>
      <c r="V748" s="1" t="s">
        <v>41</v>
      </c>
      <c r="W748" s="1" t="s">
        <v>49</v>
      </c>
      <c r="Z748" s="14">
        <v>1</v>
      </c>
      <c r="AA748" s="14"/>
      <c r="AC748" s="21"/>
      <c r="AE748" s="21"/>
    </row>
    <row r="749" spans="1:31" hidden="1">
      <c r="A749" s="1">
        <v>9128428</v>
      </c>
      <c r="B749" s="1" t="s">
        <v>101</v>
      </c>
      <c r="C749" t="s">
        <v>643</v>
      </c>
      <c r="D749" s="2">
        <v>220195184</v>
      </c>
      <c r="E749" s="2">
        <v>1291001400030</v>
      </c>
      <c r="F749" s="1" t="s">
        <v>647</v>
      </c>
      <c r="G749" s="1" t="s">
        <v>53</v>
      </c>
      <c r="H749" s="1" t="s">
        <v>136</v>
      </c>
      <c r="I749" s="1" t="s">
        <v>137</v>
      </c>
      <c r="J749" s="1" t="s">
        <v>33</v>
      </c>
      <c r="K749" t="s">
        <v>650</v>
      </c>
      <c r="M749" s="1" t="s">
        <v>58</v>
      </c>
      <c r="N749" s="1">
        <v>0</v>
      </c>
      <c r="O749" s="1" t="s">
        <v>105</v>
      </c>
      <c r="P749" s="11" t="s">
        <v>1470</v>
      </c>
      <c r="R749" s="1">
        <v>4</v>
      </c>
      <c r="T749" s="1" t="s">
        <v>646</v>
      </c>
      <c r="U749" s="11" t="s">
        <v>1471</v>
      </c>
      <c r="V749" s="1" t="s">
        <v>41</v>
      </c>
      <c r="W749" s="1" t="s">
        <v>42</v>
      </c>
      <c r="Z749" s="14">
        <v>1</v>
      </c>
      <c r="AA749" s="14"/>
      <c r="AC749" s="21"/>
      <c r="AE749" s="21"/>
    </row>
    <row r="750" spans="1:31" hidden="1">
      <c r="A750" s="1">
        <v>9128421</v>
      </c>
      <c r="B750" s="1" t="s">
        <v>101</v>
      </c>
      <c r="C750" t="s">
        <v>643</v>
      </c>
      <c r="D750" s="2">
        <v>220195177</v>
      </c>
      <c r="E750" s="2">
        <v>1264001400030</v>
      </c>
      <c r="F750" s="1" t="s">
        <v>647</v>
      </c>
      <c r="G750" s="1" t="s">
        <v>53</v>
      </c>
      <c r="H750" s="1" t="s">
        <v>351</v>
      </c>
      <c r="I750" s="1" t="s">
        <v>352</v>
      </c>
      <c r="J750" s="1" t="s">
        <v>110</v>
      </c>
      <c r="K750" t="s">
        <v>650</v>
      </c>
      <c r="M750" s="1" t="s">
        <v>58</v>
      </c>
      <c r="N750" s="1">
        <v>0</v>
      </c>
      <c r="O750" s="1" t="s">
        <v>105</v>
      </c>
      <c r="P750" s="11" t="s">
        <v>1472</v>
      </c>
      <c r="R750" s="1">
        <v>4</v>
      </c>
      <c r="T750" s="1" t="s">
        <v>646</v>
      </c>
      <c r="U750" s="11" t="s">
        <v>1473</v>
      </c>
      <c r="V750" s="1" t="s">
        <v>41</v>
      </c>
      <c r="W750" s="1" t="s">
        <v>49</v>
      </c>
      <c r="Z750" s="14">
        <v>1</v>
      </c>
      <c r="AA750" s="14"/>
      <c r="AC750" s="21"/>
      <c r="AE750" s="21"/>
    </row>
    <row r="751" spans="1:31" hidden="1">
      <c r="A751" s="1">
        <v>9128414</v>
      </c>
      <c r="B751" s="1" t="s">
        <v>101</v>
      </c>
      <c r="C751" t="s">
        <v>643</v>
      </c>
      <c r="D751" s="2">
        <v>220195170</v>
      </c>
      <c r="E751" s="2">
        <v>1245001400030</v>
      </c>
      <c r="F751" s="1" t="s">
        <v>647</v>
      </c>
      <c r="G751" s="1" t="s">
        <v>53</v>
      </c>
      <c r="H751" s="1" t="s">
        <v>408</v>
      </c>
      <c r="I751" s="1" t="s">
        <v>409</v>
      </c>
      <c r="J751" s="1" t="s">
        <v>46</v>
      </c>
      <c r="K751" t="s">
        <v>650</v>
      </c>
      <c r="M751" s="1" t="s">
        <v>58</v>
      </c>
      <c r="N751" s="1">
        <v>0</v>
      </c>
      <c r="O751" s="1" t="s">
        <v>105</v>
      </c>
      <c r="P751" s="11" t="s">
        <v>1474</v>
      </c>
      <c r="R751" s="1">
        <v>4</v>
      </c>
      <c r="T751" s="1" t="s">
        <v>646</v>
      </c>
      <c r="U751" s="11" t="s">
        <v>1475</v>
      </c>
      <c r="V751" s="1" t="s">
        <v>41</v>
      </c>
      <c r="W751" s="1" t="s">
        <v>49</v>
      </c>
      <c r="Z751" s="14">
        <v>1</v>
      </c>
      <c r="AA751" s="14"/>
      <c r="AC751" s="21"/>
      <c r="AE751" s="21"/>
    </row>
    <row r="752" spans="1:31" hidden="1">
      <c r="A752" s="1">
        <v>9128339</v>
      </c>
      <c r="B752" s="1" t="s">
        <v>101</v>
      </c>
      <c r="C752" t="s">
        <v>643</v>
      </c>
      <c r="D752" s="2">
        <v>220194788</v>
      </c>
      <c r="E752" s="2">
        <v>550001400030</v>
      </c>
      <c r="F752" s="1" t="s">
        <v>647</v>
      </c>
      <c r="G752" s="1" t="s">
        <v>53</v>
      </c>
      <c r="H752" s="1" t="s">
        <v>337</v>
      </c>
      <c r="I752" s="1" t="s">
        <v>338</v>
      </c>
      <c r="J752" s="1" t="s">
        <v>164</v>
      </c>
      <c r="K752" t="s">
        <v>650</v>
      </c>
      <c r="M752" s="1" t="s">
        <v>58</v>
      </c>
      <c r="N752" s="1">
        <v>0</v>
      </c>
      <c r="O752" s="1" t="s">
        <v>105</v>
      </c>
      <c r="P752" s="11" t="s">
        <v>1476</v>
      </c>
      <c r="R752" s="1">
        <v>4</v>
      </c>
      <c r="T752" s="1" t="s">
        <v>646</v>
      </c>
      <c r="U752" s="11" t="s">
        <v>1477</v>
      </c>
      <c r="V752" s="1" t="s">
        <v>41</v>
      </c>
      <c r="W752" s="1" t="s">
        <v>49</v>
      </c>
      <c r="Z752" s="14">
        <v>1</v>
      </c>
      <c r="AA752" s="14"/>
      <c r="AC752" s="21"/>
      <c r="AE752" s="21"/>
    </row>
    <row r="753" spans="1:31" hidden="1">
      <c r="A753" s="1">
        <v>9128332</v>
      </c>
      <c r="B753" s="1" t="s">
        <v>101</v>
      </c>
      <c r="C753" t="s">
        <v>643</v>
      </c>
      <c r="D753" s="2">
        <v>220194783</v>
      </c>
      <c r="E753" s="2">
        <v>537001400030</v>
      </c>
      <c r="F753" s="1" t="s">
        <v>647</v>
      </c>
      <c r="G753" s="1" t="s">
        <v>53</v>
      </c>
      <c r="H753" s="1" t="s">
        <v>442</v>
      </c>
      <c r="I753" s="1" t="s">
        <v>443</v>
      </c>
      <c r="J753" s="1" t="s">
        <v>79</v>
      </c>
      <c r="K753" t="s">
        <v>650</v>
      </c>
      <c r="M753" s="1" t="s">
        <v>58</v>
      </c>
      <c r="N753" s="1">
        <v>0</v>
      </c>
      <c r="O753" s="1" t="s">
        <v>105</v>
      </c>
      <c r="P753" s="11" t="s">
        <v>1478</v>
      </c>
      <c r="R753" s="1">
        <v>4</v>
      </c>
      <c r="T753" s="1" t="s">
        <v>646</v>
      </c>
      <c r="U753" s="11" t="s">
        <v>1479</v>
      </c>
      <c r="V753" s="1" t="s">
        <v>41</v>
      </c>
      <c r="W753" s="1" t="s">
        <v>49</v>
      </c>
      <c r="Z753" s="14">
        <v>1</v>
      </c>
      <c r="AA753" s="14"/>
      <c r="AC753" s="21"/>
      <c r="AE753" s="21"/>
    </row>
    <row r="754" spans="1:31" hidden="1">
      <c r="A754" s="1">
        <v>9128273</v>
      </c>
      <c r="B754" s="1" t="s">
        <v>101</v>
      </c>
      <c r="C754" t="s">
        <v>643</v>
      </c>
      <c r="D754" s="2">
        <v>220194638</v>
      </c>
      <c r="E754" s="2">
        <v>325091400030</v>
      </c>
      <c r="F754" s="1" t="s">
        <v>647</v>
      </c>
      <c r="G754" s="1" t="s">
        <v>53</v>
      </c>
      <c r="H754" s="1" t="s">
        <v>821</v>
      </c>
      <c r="I754" s="1" t="s">
        <v>822</v>
      </c>
      <c r="J754" s="1" t="s">
        <v>46</v>
      </c>
      <c r="K754" t="s">
        <v>650</v>
      </c>
      <c r="M754" s="1" t="s">
        <v>58</v>
      </c>
      <c r="N754" s="1">
        <v>0</v>
      </c>
      <c r="O754" s="1" t="s">
        <v>105</v>
      </c>
      <c r="P754" s="186">
        <v>44896.544502314813</v>
      </c>
      <c r="R754" s="1">
        <v>4</v>
      </c>
      <c r="T754" s="1" t="s">
        <v>646</v>
      </c>
      <c r="U754" s="186">
        <v>44897.544502314813</v>
      </c>
      <c r="V754" s="1" t="s">
        <v>41</v>
      </c>
      <c r="W754" s="1" t="s">
        <v>49</v>
      </c>
      <c r="Z754" s="14">
        <v>1</v>
      </c>
      <c r="AA754" s="14"/>
      <c r="AC754" s="21"/>
      <c r="AE754" s="21"/>
    </row>
    <row r="755" spans="1:31" hidden="1">
      <c r="A755" s="1">
        <v>9128237</v>
      </c>
      <c r="B755" s="1" t="s">
        <v>101</v>
      </c>
      <c r="C755" t="s">
        <v>643</v>
      </c>
      <c r="D755" s="2">
        <v>220194807</v>
      </c>
      <c r="E755" s="2">
        <v>582001400030</v>
      </c>
      <c r="F755" s="1" t="s">
        <v>647</v>
      </c>
      <c r="G755" s="1" t="s">
        <v>53</v>
      </c>
      <c r="H755" s="1" t="s">
        <v>139</v>
      </c>
      <c r="I755" s="1" t="s">
        <v>140</v>
      </c>
      <c r="J755" s="1" t="s">
        <v>141</v>
      </c>
      <c r="K755" t="s">
        <v>650</v>
      </c>
      <c r="M755" s="1" t="s">
        <v>58</v>
      </c>
      <c r="N755" s="1">
        <v>0</v>
      </c>
      <c r="O755" s="1" t="s">
        <v>105</v>
      </c>
      <c r="P755" s="11" t="s">
        <v>1480</v>
      </c>
      <c r="R755" s="1">
        <v>4</v>
      </c>
      <c r="T755" s="1" t="s">
        <v>646</v>
      </c>
      <c r="U755" s="11" t="s">
        <v>1481</v>
      </c>
      <c r="V755" s="1" t="s">
        <v>41</v>
      </c>
      <c r="W755" s="1" t="s">
        <v>49</v>
      </c>
      <c r="Z755" s="14">
        <v>1</v>
      </c>
      <c r="AA755" s="14"/>
      <c r="AC755" s="21"/>
      <c r="AE755" s="21"/>
    </row>
    <row r="756" spans="1:31" hidden="1">
      <c r="A756" s="1">
        <v>9128165</v>
      </c>
      <c r="B756" s="1" t="s">
        <v>101</v>
      </c>
      <c r="C756" t="s">
        <v>643</v>
      </c>
      <c r="D756" s="2">
        <v>220194363</v>
      </c>
      <c r="E756" s="2">
        <v>5755001400010</v>
      </c>
      <c r="F756" s="1" t="s">
        <v>936</v>
      </c>
      <c r="G756" s="1" t="s">
        <v>53</v>
      </c>
      <c r="H756" s="1" t="s">
        <v>841</v>
      </c>
      <c r="I756" s="1" t="s">
        <v>842</v>
      </c>
      <c r="J756" s="1" t="s">
        <v>46</v>
      </c>
      <c r="K756" t="s">
        <v>937</v>
      </c>
      <c r="M756" s="1" t="s">
        <v>58</v>
      </c>
      <c r="N756" s="1">
        <v>0</v>
      </c>
      <c r="O756" s="1" t="s">
        <v>105</v>
      </c>
      <c r="P756" s="11" t="s">
        <v>1482</v>
      </c>
      <c r="R756" s="1">
        <v>3</v>
      </c>
      <c r="T756" s="1" t="s">
        <v>646</v>
      </c>
      <c r="U756" s="11" t="s">
        <v>1483</v>
      </c>
      <c r="V756" s="1" t="s">
        <v>41</v>
      </c>
      <c r="W756" s="1" t="s">
        <v>49</v>
      </c>
      <c r="Z756" s="14">
        <v>1</v>
      </c>
      <c r="AA756" s="14"/>
      <c r="AC756" s="21"/>
      <c r="AE756" s="21"/>
    </row>
    <row r="757" spans="1:31" hidden="1">
      <c r="A757" s="1">
        <v>9128123</v>
      </c>
      <c r="B757" s="1" t="s">
        <v>101</v>
      </c>
      <c r="C757" t="s">
        <v>643</v>
      </c>
      <c r="D757" s="2">
        <v>220194340</v>
      </c>
      <c r="E757" s="2">
        <v>1924001400010</v>
      </c>
      <c r="F757" s="1" t="s">
        <v>936</v>
      </c>
      <c r="G757" s="1" t="s">
        <v>53</v>
      </c>
      <c r="H757" s="1" t="s">
        <v>568</v>
      </c>
      <c r="I757" s="1" t="s">
        <v>569</v>
      </c>
      <c r="J757" s="1" t="s">
        <v>33</v>
      </c>
      <c r="K757" t="s">
        <v>937</v>
      </c>
      <c r="M757" s="1" t="s">
        <v>58</v>
      </c>
      <c r="N757" s="1">
        <v>0</v>
      </c>
      <c r="O757" s="1" t="s">
        <v>105</v>
      </c>
      <c r="P757" s="12">
        <v>44896.537430555552</v>
      </c>
      <c r="R757" s="1">
        <v>3</v>
      </c>
      <c r="T757" s="1" t="s">
        <v>646</v>
      </c>
      <c r="U757" s="12">
        <v>44897.537430555552</v>
      </c>
      <c r="V757" s="1" t="s">
        <v>41</v>
      </c>
      <c r="W757" s="1" t="s">
        <v>49</v>
      </c>
      <c r="Z757" s="14">
        <v>1</v>
      </c>
      <c r="AA757" s="14"/>
      <c r="AC757" s="21"/>
      <c r="AE757" s="21"/>
    </row>
    <row r="758" spans="1:31" hidden="1">
      <c r="A758" s="1">
        <v>9128005</v>
      </c>
      <c r="B758" s="1" t="s">
        <v>101</v>
      </c>
      <c r="C758" t="s">
        <v>643</v>
      </c>
      <c r="D758" s="2">
        <v>220193965</v>
      </c>
      <c r="E758" s="2">
        <v>4012001400010</v>
      </c>
      <c r="F758" s="1" t="s">
        <v>936</v>
      </c>
      <c r="G758" s="1" t="s">
        <v>53</v>
      </c>
      <c r="H758" s="1" t="s">
        <v>349</v>
      </c>
      <c r="I758" s="1" t="s">
        <v>350</v>
      </c>
      <c r="J758" s="1" t="s">
        <v>261</v>
      </c>
      <c r="K758" t="s">
        <v>937</v>
      </c>
      <c r="M758" s="1" t="s">
        <v>58</v>
      </c>
      <c r="N758" s="1">
        <v>0</v>
      </c>
      <c r="O758" s="1" t="s">
        <v>105</v>
      </c>
      <c r="P758" s="12">
        <v>44896.531909722224</v>
      </c>
      <c r="R758" s="1">
        <v>3</v>
      </c>
      <c r="T758" s="1" t="s">
        <v>646</v>
      </c>
      <c r="U758" s="12">
        <v>44897.531921296293</v>
      </c>
      <c r="V758" s="1" t="s">
        <v>41</v>
      </c>
      <c r="W758" s="1" t="s">
        <v>49</v>
      </c>
      <c r="Z758" s="14">
        <v>1</v>
      </c>
      <c r="AA758" s="14"/>
      <c r="AC758" s="21"/>
      <c r="AE758" s="21"/>
    </row>
    <row r="759" spans="1:31" hidden="1">
      <c r="A759" s="1">
        <v>9127889</v>
      </c>
      <c r="B759" s="1" t="s">
        <v>101</v>
      </c>
      <c r="C759" t="s">
        <v>643</v>
      </c>
      <c r="D759" s="2">
        <v>220193587</v>
      </c>
      <c r="E759" s="2">
        <v>2326001400010</v>
      </c>
      <c r="F759" s="1" t="s">
        <v>936</v>
      </c>
      <c r="G759" s="1" t="s">
        <v>53</v>
      </c>
      <c r="H759" s="1" t="s">
        <v>191</v>
      </c>
      <c r="I759" s="1" t="s">
        <v>192</v>
      </c>
      <c r="J759" s="1" t="s">
        <v>46</v>
      </c>
      <c r="K759" t="s">
        <v>937</v>
      </c>
      <c r="M759" s="1" t="s">
        <v>58</v>
      </c>
      <c r="N759" s="1">
        <v>0</v>
      </c>
      <c r="O759" s="1" t="s">
        <v>105</v>
      </c>
      <c r="P759" s="11" t="s">
        <v>1484</v>
      </c>
      <c r="R759" s="1">
        <v>3</v>
      </c>
      <c r="T759" s="1" t="s">
        <v>646</v>
      </c>
      <c r="U759" s="11" t="s">
        <v>1485</v>
      </c>
      <c r="V759" s="1" t="s">
        <v>41</v>
      </c>
      <c r="W759" s="1" t="s">
        <v>49</v>
      </c>
      <c r="Z759" s="14">
        <v>1</v>
      </c>
      <c r="AA759" s="14"/>
      <c r="AC759" s="21"/>
      <c r="AE759" s="21"/>
    </row>
    <row r="760" spans="1:31" hidden="1">
      <c r="A760" s="1">
        <v>9127850</v>
      </c>
      <c r="B760" s="1" t="s">
        <v>101</v>
      </c>
      <c r="C760" t="s">
        <v>643</v>
      </c>
      <c r="D760" s="2">
        <v>220193445</v>
      </c>
      <c r="E760" s="2">
        <v>1732001400010</v>
      </c>
      <c r="F760" s="1" t="s">
        <v>936</v>
      </c>
      <c r="G760" s="1" t="s">
        <v>53</v>
      </c>
      <c r="H760" s="1" t="s">
        <v>177</v>
      </c>
      <c r="I760" s="1" t="s">
        <v>178</v>
      </c>
      <c r="J760" s="1" t="s">
        <v>164</v>
      </c>
      <c r="K760" t="s">
        <v>937</v>
      </c>
      <c r="M760" s="1" t="s">
        <v>58</v>
      </c>
      <c r="N760" s="1">
        <v>0</v>
      </c>
      <c r="O760" s="1" t="s">
        <v>105</v>
      </c>
      <c r="P760" s="11" t="s">
        <v>1486</v>
      </c>
      <c r="R760" s="1">
        <v>3</v>
      </c>
      <c r="T760" s="1" t="s">
        <v>646</v>
      </c>
      <c r="U760" s="11" t="s">
        <v>1487</v>
      </c>
      <c r="V760" s="1" t="s">
        <v>41</v>
      </c>
      <c r="W760" s="1" t="s">
        <v>49</v>
      </c>
      <c r="Z760" s="14">
        <v>1</v>
      </c>
      <c r="AA760" s="14"/>
      <c r="AC760" s="21"/>
      <c r="AE760" s="21"/>
    </row>
    <row r="761" spans="1:31" hidden="1">
      <c r="A761" s="1">
        <v>9127804</v>
      </c>
      <c r="B761" s="1" t="s">
        <v>101</v>
      </c>
      <c r="C761" t="s">
        <v>643</v>
      </c>
      <c r="D761" s="2">
        <v>220193422</v>
      </c>
      <c r="E761" s="2">
        <v>1664001400010</v>
      </c>
      <c r="F761" s="1" t="s">
        <v>936</v>
      </c>
      <c r="G761" s="1" t="s">
        <v>53</v>
      </c>
      <c r="H761" s="1" t="s">
        <v>307</v>
      </c>
      <c r="I761" s="1" t="s">
        <v>308</v>
      </c>
      <c r="J761" s="1" t="s">
        <v>164</v>
      </c>
      <c r="K761" t="s">
        <v>937</v>
      </c>
      <c r="M761" s="1" t="s">
        <v>58</v>
      </c>
      <c r="N761" s="1">
        <v>0</v>
      </c>
      <c r="O761" s="1" t="s">
        <v>105</v>
      </c>
      <c r="P761" s="186">
        <v>44896.523692129631</v>
      </c>
      <c r="R761" s="1">
        <v>3</v>
      </c>
      <c r="T761" s="1" t="s">
        <v>646</v>
      </c>
      <c r="U761" s="186">
        <v>44897.523692129631</v>
      </c>
      <c r="V761" s="1" t="s">
        <v>41</v>
      </c>
      <c r="W761" s="1" t="s">
        <v>49</v>
      </c>
      <c r="Z761" s="14">
        <v>1</v>
      </c>
      <c r="AA761" s="14"/>
      <c r="AC761" s="21"/>
      <c r="AE761" s="21"/>
    </row>
    <row r="762" spans="1:31" hidden="1">
      <c r="A762" s="1">
        <v>9127801</v>
      </c>
      <c r="B762" s="1" t="s">
        <v>101</v>
      </c>
      <c r="C762" t="s">
        <v>643</v>
      </c>
      <c r="D762" s="2">
        <v>220193719</v>
      </c>
      <c r="E762" s="2">
        <v>2802001400010</v>
      </c>
      <c r="F762" s="1" t="s">
        <v>936</v>
      </c>
      <c r="G762" s="1" t="s">
        <v>53</v>
      </c>
      <c r="H762" s="1" t="s">
        <v>388</v>
      </c>
      <c r="I762" s="1" t="s">
        <v>389</v>
      </c>
      <c r="J762" s="1" t="s">
        <v>46</v>
      </c>
      <c r="K762" t="s">
        <v>937</v>
      </c>
      <c r="M762" s="1" t="s">
        <v>58</v>
      </c>
      <c r="N762" s="1">
        <v>0</v>
      </c>
      <c r="O762" s="1" t="s">
        <v>105</v>
      </c>
      <c r="P762" s="186">
        <v>44896.5234837963</v>
      </c>
      <c r="R762" s="1">
        <v>3</v>
      </c>
      <c r="T762" s="1" t="s">
        <v>646</v>
      </c>
      <c r="U762" s="186">
        <v>44897.5234837963</v>
      </c>
      <c r="V762" s="1" t="s">
        <v>41</v>
      </c>
      <c r="W762" s="1" t="s">
        <v>49</v>
      </c>
      <c r="Z762" s="14">
        <v>1</v>
      </c>
      <c r="AA762" s="14"/>
      <c r="AC762" s="21"/>
      <c r="AE762" s="21"/>
    </row>
    <row r="763" spans="1:31">
      <c r="A763" s="1">
        <v>9127762</v>
      </c>
      <c r="B763" s="1" t="s">
        <v>101</v>
      </c>
      <c r="C763" t="s">
        <v>643</v>
      </c>
      <c r="D763" s="2">
        <v>220193223</v>
      </c>
      <c r="E763" s="2">
        <v>1162001400010</v>
      </c>
      <c r="F763" s="1" t="s">
        <v>936</v>
      </c>
      <c r="G763" s="1" t="s">
        <v>53</v>
      </c>
      <c r="H763" s="1" t="s">
        <v>280</v>
      </c>
      <c r="I763" s="1" t="s">
        <v>281</v>
      </c>
      <c r="J763" s="1" t="s">
        <v>211</v>
      </c>
      <c r="K763" t="s">
        <v>937</v>
      </c>
      <c r="M763" s="1" t="s">
        <v>58</v>
      </c>
      <c r="N763" s="1">
        <v>0</v>
      </c>
      <c r="O763" s="1" t="s">
        <v>105</v>
      </c>
      <c r="P763" s="11" t="s">
        <v>1488</v>
      </c>
      <c r="R763" s="1">
        <v>3</v>
      </c>
      <c r="T763" s="1" t="s">
        <v>646</v>
      </c>
      <c r="U763" s="11" t="s">
        <v>1489</v>
      </c>
      <c r="V763" s="1" t="s">
        <v>41</v>
      </c>
      <c r="W763" s="1" t="s">
        <v>49</v>
      </c>
      <c r="Z763" s="14">
        <v>1</v>
      </c>
      <c r="AA763" s="14"/>
      <c r="AC763" s="21"/>
      <c r="AE763" s="21"/>
    </row>
    <row r="764" spans="1:31" hidden="1">
      <c r="A764" s="1">
        <v>9127748</v>
      </c>
      <c r="B764" s="1" t="s">
        <v>101</v>
      </c>
      <c r="C764" t="s">
        <v>643</v>
      </c>
      <c r="D764" s="2">
        <v>220193209</v>
      </c>
      <c r="E764" s="2">
        <v>1138001400010</v>
      </c>
      <c r="F764" s="1" t="s">
        <v>936</v>
      </c>
      <c r="G764" s="1" t="s">
        <v>53</v>
      </c>
      <c r="H764" s="1" t="s">
        <v>548</v>
      </c>
      <c r="I764" s="1" t="s">
        <v>549</v>
      </c>
      <c r="J764" s="1" t="s">
        <v>46</v>
      </c>
      <c r="K764" t="s">
        <v>937</v>
      </c>
      <c r="M764" s="1" t="s">
        <v>58</v>
      </c>
      <c r="N764" s="1">
        <v>0</v>
      </c>
      <c r="O764" s="1" t="s">
        <v>105</v>
      </c>
      <c r="P764" s="11" t="s">
        <v>1490</v>
      </c>
      <c r="R764" s="1">
        <v>3</v>
      </c>
      <c r="T764" s="1" t="s">
        <v>646</v>
      </c>
      <c r="U764" s="11" t="s">
        <v>1491</v>
      </c>
      <c r="V764" s="1" t="s">
        <v>41</v>
      </c>
      <c r="W764" s="1" t="s">
        <v>49</v>
      </c>
      <c r="Z764" s="14">
        <v>1</v>
      </c>
      <c r="AA764" s="14"/>
      <c r="AC764" s="21"/>
      <c r="AE764" s="21"/>
    </row>
    <row r="765" spans="1:31" hidden="1">
      <c r="A765" s="1">
        <v>9127732</v>
      </c>
      <c r="B765" s="1" t="s">
        <v>101</v>
      </c>
      <c r="C765" t="s">
        <v>643</v>
      </c>
      <c r="D765" s="2">
        <v>220193201</v>
      </c>
      <c r="E765" s="2">
        <v>1120001400010</v>
      </c>
      <c r="F765" s="1" t="s">
        <v>936</v>
      </c>
      <c r="G765" s="1" t="s">
        <v>53</v>
      </c>
      <c r="H765" s="1" t="s">
        <v>181</v>
      </c>
      <c r="I765" s="1" t="s">
        <v>182</v>
      </c>
      <c r="J765" s="1" t="s">
        <v>164</v>
      </c>
      <c r="K765" t="s">
        <v>937</v>
      </c>
      <c r="M765" s="1" t="s">
        <v>58</v>
      </c>
      <c r="N765" s="1">
        <v>0</v>
      </c>
      <c r="O765" s="1" t="s">
        <v>105</v>
      </c>
      <c r="P765" s="11" t="s">
        <v>1492</v>
      </c>
      <c r="R765" s="1">
        <v>3</v>
      </c>
      <c r="T765" s="1" t="s">
        <v>646</v>
      </c>
      <c r="U765" s="11" t="s">
        <v>1493</v>
      </c>
      <c r="V765" s="1" t="s">
        <v>41</v>
      </c>
      <c r="W765" s="1" t="s">
        <v>49</v>
      </c>
      <c r="Z765" s="14">
        <v>1</v>
      </c>
      <c r="AA765" s="14"/>
      <c r="AC765" s="21"/>
      <c r="AE765" s="21"/>
    </row>
    <row r="766" spans="1:31">
      <c r="A766" s="1">
        <v>9127696</v>
      </c>
      <c r="B766" s="1" t="s">
        <v>101</v>
      </c>
      <c r="C766" t="s">
        <v>643</v>
      </c>
      <c r="D766" s="2">
        <v>220193173</v>
      </c>
      <c r="E766" s="2">
        <v>1069001400010</v>
      </c>
      <c r="F766" s="1" t="s">
        <v>936</v>
      </c>
      <c r="G766" s="1" t="s">
        <v>53</v>
      </c>
      <c r="H766" s="1" t="s">
        <v>353</v>
      </c>
      <c r="I766" s="1" t="s">
        <v>354</v>
      </c>
      <c r="J766" s="1" t="s">
        <v>211</v>
      </c>
      <c r="K766" t="s">
        <v>937</v>
      </c>
      <c r="M766" s="1" t="s">
        <v>58</v>
      </c>
      <c r="N766" s="1">
        <v>0</v>
      </c>
      <c r="O766" s="1" t="s">
        <v>105</v>
      </c>
      <c r="P766" s="11" t="s">
        <v>1494</v>
      </c>
      <c r="R766" s="1">
        <v>3</v>
      </c>
      <c r="T766" s="1" t="s">
        <v>646</v>
      </c>
      <c r="U766" s="11" t="s">
        <v>1495</v>
      </c>
      <c r="V766" s="1" t="s">
        <v>41</v>
      </c>
      <c r="W766" s="1" t="s">
        <v>49</v>
      </c>
      <c r="Z766" s="14">
        <v>1</v>
      </c>
      <c r="AA766" s="14"/>
      <c r="AC766" s="21"/>
      <c r="AE766" s="21"/>
    </row>
    <row r="767" spans="1:31" hidden="1">
      <c r="A767" s="1">
        <v>9127689</v>
      </c>
      <c r="B767" s="1" t="s">
        <v>101</v>
      </c>
      <c r="C767" t="s">
        <v>643</v>
      </c>
      <c r="D767" s="2">
        <v>220193166</v>
      </c>
      <c r="E767" s="2">
        <v>1049001400010</v>
      </c>
      <c r="F767" s="1" t="s">
        <v>936</v>
      </c>
      <c r="G767" s="1" t="s">
        <v>53</v>
      </c>
      <c r="H767" s="1" t="s">
        <v>169</v>
      </c>
      <c r="I767" s="1" t="s">
        <v>170</v>
      </c>
      <c r="J767" s="1" t="s">
        <v>164</v>
      </c>
      <c r="K767" t="s">
        <v>937</v>
      </c>
      <c r="M767" s="1" t="s">
        <v>58</v>
      </c>
      <c r="N767" s="1">
        <v>0</v>
      </c>
      <c r="O767" s="1" t="s">
        <v>105</v>
      </c>
      <c r="P767" s="11" t="s">
        <v>1496</v>
      </c>
      <c r="R767" s="1">
        <v>3</v>
      </c>
      <c r="T767" s="1" t="s">
        <v>646</v>
      </c>
      <c r="U767" s="11" t="s">
        <v>1497</v>
      </c>
      <c r="V767" s="1" t="s">
        <v>41</v>
      </c>
      <c r="W767" s="1" t="s">
        <v>49</v>
      </c>
      <c r="Z767" s="14">
        <v>1</v>
      </c>
      <c r="AA767" s="14"/>
      <c r="AC767" s="21"/>
      <c r="AE767" s="21"/>
    </row>
    <row r="768" spans="1:31" hidden="1">
      <c r="A768" s="1">
        <v>9127671</v>
      </c>
      <c r="B768" s="1" t="s">
        <v>101</v>
      </c>
      <c r="C768" t="s">
        <v>643</v>
      </c>
      <c r="D768" s="2">
        <v>220193148</v>
      </c>
      <c r="E768" s="2">
        <v>1012001400010</v>
      </c>
      <c r="F768" s="1" t="s">
        <v>936</v>
      </c>
      <c r="G768" s="1" t="s">
        <v>53</v>
      </c>
      <c r="H768" s="1" t="s">
        <v>172</v>
      </c>
      <c r="I768" s="1" t="s">
        <v>173</v>
      </c>
      <c r="J768" s="1" t="s">
        <v>164</v>
      </c>
      <c r="K768" t="s">
        <v>937</v>
      </c>
      <c r="M768" s="1" t="s">
        <v>58</v>
      </c>
      <c r="N768" s="1">
        <v>0</v>
      </c>
      <c r="O768" s="1" t="s">
        <v>105</v>
      </c>
      <c r="P768" s="12">
        <v>44896.516817129632</v>
      </c>
      <c r="R768" s="1">
        <v>3</v>
      </c>
      <c r="T768" s="1" t="s">
        <v>646</v>
      </c>
      <c r="U768" s="12">
        <v>44897.516828703701</v>
      </c>
      <c r="V768" s="1" t="s">
        <v>41</v>
      </c>
      <c r="W768" s="1" t="s">
        <v>49</v>
      </c>
      <c r="Z768" s="14">
        <v>1</v>
      </c>
      <c r="AA768" s="14"/>
      <c r="AC768" s="21"/>
      <c r="AE768" s="21"/>
    </row>
    <row r="769" spans="1:31" hidden="1">
      <c r="A769" s="1">
        <v>9127658</v>
      </c>
      <c r="B769" s="1" t="s">
        <v>101</v>
      </c>
      <c r="C769" t="s">
        <v>643</v>
      </c>
      <c r="D769" s="2">
        <v>220192961</v>
      </c>
      <c r="E769" s="2">
        <v>673001400010</v>
      </c>
      <c r="F769" s="1" t="s">
        <v>936</v>
      </c>
      <c r="G769" s="1" t="s">
        <v>53</v>
      </c>
      <c r="H769" s="1" t="s">
        <v>581</v>
      </c>
      <c r="I769" s="1" t="s">
        <v>582</v>
      </c>
      <c r="J769" s="1" t="s">
        <v>110</v>
      </c>
      <c r="K769" t="s">
        <v>937</v>
      </c>
      <c r="M769" s="1" t="s">
        <v>58</v>
      </c>
      <c r="N769" s="1">
        <v>0</v>
      </c>
      <c r="O769" s="1" t="s">
        <v>105</v>
      </c>
      <c r="P769" s="11" t="s">
        <v>1498</v>
      </c>
      <c r="R769" s="1">
        <v>3</v>
      </c>
      <c r="T769" s="1" t="s">
        <v>646</v>
      </c>
      <c r="U769" s="11" t="s">
        <v>1499</v>
      </c>
      <c r="V769" s="1" t="s">
        <v>41</v>
      </c>
      <c r="W769" s="1" t="s">
        <v>49</v>
      </c>
      <c r="Z769" s="14">
        <v>1</v>
      </c>
      <c r="AA769" s="14"/>
      <c r="AC769" s="21"/>
      <c r="AE769" s="21"/>
    </row>
    <row r="770" spans="1:31" hidden="1">
      <c r="A770" s="1">
        <v>9127594</v>
      </c>
      <c r="B770" s="1" t="s">
        <v>101</v>
      </c>
      <c r="C770" t="s">
        <v>643</v>
      </c>
      <c r="D770" s="2">
        <v>220192987</v>
      </c>
      <c r="E770" s="2">
        <v>714001400010</v>
      </c>
      <c r="F770" s="1" t="s">
        <v>936</v>
      </c>
      <c r="G770" s="1" t="s">
        <v>53</v>
      </c>
      <c r="H770" s="1" t="s">
        <v>377</v>
      </c>
      <c r="I770" s="1" t="s">
        <v>378</v>
      </c>
      <c r="J770" s="1" t="s">
        <v>46</v>
      </c>
      <c r="K770" t="s">
        <v>937</v>
      </c>
      <c r="M770" s="1" t="s">
        <v>58</v>
      </c>
      <c r="N770" s="1">
        <v>0</v>
      </c>
      <c r="O770" s="1" t="s">
        <v>105</v>
      </c>
      <c r="P770" s="11" t="s">
        <v>1500</v>
      </c>
      <c r="R770" s="1">
        <v>3</v>
      </c>
      <c r="T770" s="1" t="s">
        <v>646</v>
      </c>
      <c r="U770" s="11" t="s">
        <v>1501</v>
      </c>
      <c r="V770" s="1" t="s">
        <v>41</v>
      </c>
      <c r="W770" s="1" t="s">
        <v>49</v>
      </c>
      <c r="Z770" s="14">
        <v>1</v>
      </c>
      <c r="AA770" s="14"/>
      <c r="AC770" s="21"/>
      <c r="AE770" s="21"/>
    </row>
    <row r="771" spans="1:31" hidden="1">
      <c r="A771" s="1">
        <v>9127562</v>
      </c>
      <c r="B771" s="1" t="s">
        <v>101</v>
      </c>
      <c r="C771" t="s">
        <v>643</v>
      </c>
      <c r="D771" s="2">
        <v>220192986</v>
      </c>
      <c r="E771" s="2">
        <v>710001400010</v>
      </c>
      <c r="F771" s="1" t="s">
        <v>936</v>
      </c>
      <c r="G771" s="1" t="s">
        <v>53</v>
      </c>
      <c r="H771" s="1" t="s">
        <v>390</v>
      </c>
      <c r="I771" s="1" t="s">
        <v>391</v>
      </c>
      <c r="J771" s="1" t="s">
        <v>56</v>
      </c>
      <c r="K771" t="s">
        <v>937</v>
      </c>
      <c r="M771" s="1" t="s">
        <v>58</v>
      </c>
      <c r="N771" s="1">
        <v>0</v>
      </c>
      <c r="O771" s="1" t="s">
        <v>105</v>
      </c>
      <c r="P771" s="11" t="s">
        <v>1502</v>
      </c>
      <c r="R771" s="1">
        <v>3</v>
      </c>
      <c r="T771" s="1" t="s">
        <v>646</v>
      </c>
      <c r="U771" s="11" t="s">
        <v>1503</v>
      </c>
      <c r="V771" s="1" t="s">
        <v>41</v>
      </c>
      <c r="W771" s="1" t="s">
        <v>49</v>
      </c>
      <c r="Z771" s="14">
        <v>1</v>
      </c>
      <c r="AA771" s="14"/>
      <c r="AC771" s="21"/>
      <c r="AE771" s="21"/>
    </row>
    <row r="772" spans="1:31">
      <c r="A772" s="1">
        <v>9127512</v>
      </c>
      <c r="B772" s="1" t="s">
        <v>101</v>
      </c>
      <c r="C772" t="s">
        <v>643</v>
      </c>
      <c r="D772" s="2">
        <v>220192919</v>
      </c>
      <c r="E772" s="2">
        <v>608001400010</v>
      </c>
      <c r="F772" s="1" t="s">
        <v>936</v>
      </c>
      <c r="G772" s="1" t="s">
        <v>53</v>
      </c>
      <c r="H772" s="1" t="s">
        <v>438</v>
      </c>
      <c r="I772" s="1" t="s">
        <v>439</v>
      </c>
      <c r="J772" s="1" t="s">
        <v>148</v>
      </c>
      <c r="K772" t="s">
        <v>937</v>
      </c>
      <c r="M772" s="1" t="s">
        <v>58</v>
      </c>
      <c r="N772" s="1">
        <v>0</v>
      </c>
      <c r="O772" s="1" t="s">
        <v>105</v>
      </c>
      <c r="P772" s="11" t="s">
        <v>1504</v>
      </c>
      <c r="R772" s="1">
        <v>3</v>
      </c>
      <c r="T772" s="1" t="s">
        <v>646</v>
      </c>
      <c r="U772" s="11" t="s">
        <v>1505</v>
      </c>
      <c r="V772" s="1" t="s">
        <v>41</v>
      </c>
      <c r="W772" s="1" t="s">
        <v>49</v>
      </c>
      <c r="Z772" s="14">
        <v>1</v>
      </c>
      <c r="AA772" s="14"/>
      <c r="AC772" s="21"/>
      <c r="AE772" s="21"/>
    </row>
    <row r="773" spans="1:31" hidden="1">
      <c r="A773" s="1">
        <v>9127225</v>
      </c>
      <c r="B773" s="1" t="s">
        <v>101</v>
      </c>
      <c r="C773" t="s">
        <v>643</v>
      </c>
      <c r="D773" s="2">
        <v>220198224</v>
      </c>
      <c r="E773" s="2">
        <v>4997001400040</v>
      </c>
      <c r="F773" s="1" t="s">
        <v>644</v>
      </c>
      <c r="G773" s="1" t="s">
        <v>53</v>
      </c>
      <c r="H773" s="1" t="s">
        <v>406</v>
      </c>
      <c r="I773" s="1" t="s">
        <v>407</v>
      </c>
      <c r="J773" s="1" t="s">
        <v>79</v>
      </c>
      <c r="K773" t="s">
        <v>645</v>
      </c>
      <c r="M773" s="1" t="s">
        <v>58</v>
      </c>
      <c r="N773" s="1">
        <v>0</v>
      </c>
      <c r="O773" s="1" t="s">
        <v>105</v>
      </c>
      <c r="P773" s="11" t="s">
        <v>1506</v>
      </c>
      <c r="R773" s="1">
        <v>3</v>
      </c>
      <c r="T773" s="1" t="s">
        <v>646</v>
      </c>
      <c r="U773" s="11" t="s">
        <v>1507</v>
      </c>
      <c r="V773" s="1" t="s">
        <v>41</v>
      </c>
      <c r="W773" s="1" t="s">
        <v>49</v>
      </c>
      <c r="Z773" s="14">
        <v>1</v>
      </c>
      <c r="AA773" s="14"/>
      <c r="AC773" s="21"/>
      <c r="AE773" s="21"/>
    </row>
    <row r="774" spans="1:31" hidden="1">
      <c r="A774" s="1">
        <v>9127174</v>
      </c>
      <c r="B774" s="1" t="s">
        <v>101</v>
      </c>
      <c r="C774" t="s">
        <v>643</v>
      </c>
      <c r="D774" s="2">
        <v>220198258</v>
      </c>
      <c r="E774" s="2">
        <v>5742001400040</v>
      </c>
      <c r="F774" s="1" t="s">
        <v>644</v>
      </c>
      <c r="G774" s="1" t="s">
        <v>53</v>
      </c>
      <c r="H774" s="1" t="s">
        <v>430</v>
      </c>
      <c r="I774" s="1" t="s">
        <v>431</v>
      </c>
      <c r="J774" s="1" t="s">
        <v>79</v>
      </c>
      <c r="K774" t="s">
        <v>645</v>
      </c>
      <c r="M774" s="1" t="s">
        <v>58</v>
      </c>
      <c r="N774" s="1">
        <v>0</v>
      </c>
      <c r="O774" s="1" t="s">
        <v>105</v>
      </c>
      <c r="P774" s="11" t="s">
        <v>1508</v>
      </c>
      <c r="R774" s="1">
        <v>2</v>
      </c>
      <c r="T774" s="1" t="s">
        <v>646</v>
      </c>
      <c r="U774" s="11" t="s">
        <v>1509</v>
      </c>
      <c r="V774" s="1" t="s">
        <v>41</v>
      </c>
      <c r="W774" s="1" t="s">
        <v>49</v>
      </c>
      <c r="Z774" s="14">
        <v>1</v>
      </c>
      <c r="AA774" s="14"/>
      <c r="AC774" s="21"/>
      <c r="AE774" s="21"/>
    </row>
    <row r="775" spans="1:31" hidden="1">
      <c r="A775" s="1">
        <v>9126916</v>
      </c>
      <c r="B775" s="1" t="s">
        <v>101</v>
      </c>
      <c r="C775" t="s">
        <v>643</v>
      </c>
      <c r="D775" s="2">
        <v>220197812</v>
      </c>
      <c r="E775" s="2">
        <v>3243001400040</v>
      </c>
      <c r="F775" s="1" t="s">
        <v>644</v>
      </c>
      <c r="G775" s="1" t="s">
        <v>53</v>
      </c>
      <c r="H775" s="1" t="s">
        <v>282</v>
      </c>
      <c r="I775" s="1" t="s">
        <v>283</v>
      </c>
      <c r="J775" s="1" t="s">
        <v>46</v>
      </c>
      <c r="K775" t="s">
        <v>645</v>
      </c>
      <c r="M775" s="1" t="s">
        <v>58</v>
      </c>
      <c r="N775" s="1">
        <v>0</v>
      </c>
      <c r="O775" s="1" t="s">
        <v>105</v>
      </c>
      <c r="P775" s="12">
        <v>44896.480451388888</v>
      </c>
      <c r="R775" s="1">
        <v>3</v>
      </c>
      <c r="T775" s="1" t="s">
        <v>646</v>
      </c>
      <c r="U775" s="12">
        <v>44897.480451388888</v>
      </c>
      <c r="V775" s="1" t="s">
        <v>41</v>
      </c>
      <c r="W775" s="1" t="s">
        <v>49</v>
      </c>
      <c r="Z775" s="14">
        <v>1</v>
      </c>
      <c r="AA775" s="14"/>
      <c r="AC775" s="21"/>
      <c r="AE775" s="21"/>
    </row>
    <row r="776" spans="1:31" hidden="1">
      <c r="A776" s="1">
        <v>9126874</v>
      </c>
      <c r="B776" s="1" t="s">
        <v>101</v>
      </c>
      <c r="C776" t="s">
        <v>643</v>
      </c>
      <c r="D776" s="2">
        <v>220197782</v>
      </c>
      <c r="E776" s="2">
        <v>3108001400040</v>
      </c>
      <c r="F776" s="1" t="s">
        <v>644</v>
      </c>
      <c r="G776" s="1" t="s">
        <v>53</v>
      </c>
      <c r="H776" s="1" t="s">
        <v>325</v>
      </c>
      <c r="I776" s="1" t="s">
        <v>326</v>
      </c>
      <c r="J776" s="1" t="s">
        <v>46</v>
      </c>
      <c r="K776" t="s">
        <v>645</v>
      </c>
      <c r="M776" s="1" t="s">
        <v>58</v>
      </c>
      <c r="N776" s="1">
        <v>0</v>
      </c>
      <c r="O776" s="1" t="s">
        <v>105</v>
      </c>
      <c r="P776" s="11" t="s">
        <v>1510</v>
      </c>
      <c r="R776" s="1">
        <v>3</v>
      </c>
      <c r="T776" s="1" t="s">
        <v>646</v>
      </c>
      <c r="U776" s="11" t="s">
        <v>1511</v>
      </c>
      <c r="V776" s="1" t="s">
        <v>41</v>
      </c>
      <c r="W776" s="1" t="s">
        <v>49</v>
      </c>
      <c r="Z776" s="14">
        <v>1</v>
      </c>
      <c r="AA776" s="14"/>
      <c r="AC776" s="21"/>
      <c r="AE776" s="21"/>
    </row>
    <row r="777" spans="1:31" hidden="1">
      <c r="A777" s="1">
        <v>9126750</v>
      </c>
      <c r="B777" s="1" t="s">
        <v>101</v>
      </c>
      <c r="C777" t="s">
        <v>643</v>
      </c>
      <c r="D777" s="2">
        <v>220197982</v>
      </c>
      <c r="E777" s="2">
        <v>4012001400040</v>
      </c>
      <c r="F777" s="1" t="s">
        <v>644</v>
      </c>
      <c r="G777" s="1" t="s">
        <v>53</v>
      </c>
      <c r="H777" s="1" t="s">
        <v>349</v>
      </c>
      <c r="I777" s="1" t="s">
        <v>350</v>
      </c>
      <c r="J777" s="1" t="s">
        <v>261</v>
      </c>
      <c r="K777" t="s">
        <v>645</v>
      </c>
      <c r="M777" s="1" t="s">
        <v>58</v>
      </c>
      <c r="N777" s="1">
        <v>0</v>
      </c>
      <c r="O777" s="1" t="s">
        <v>105</v>
      </c>
      <c r="P777" s="11" t="s">
        <v>1512</v>
      </c>
      <c r="R777" s="1">
        <v>3</v>
      </c>
      <c r="T777" s="1" t="s">
        <v>646</v>
      </c>
      <c r="U777" s="11" t="s">
        <v>1513</v>
      </c>
      <c r="V777" s="1" t="s">
        <v>41</v>
      </c>
      <c r="W777" s="1" t="s">
        <v>49</v>
      </c>
      <c r="Z777" s="14">
        <v>1</v>
      </c>
      <c r="AA777" s="14"/>
      <c r="AC777" s="21"/>
      <c r="AE777" s="21"/>
    </row>
    <row r="778" spans="1:31" hidden="1">
      <c r="A778" s="1">
        <v>9126716</v>
      </c>
      <c r="B778" s="1" t="s">
        <v>101</v>
      </c>
      <c r="C778" t="s">
        <v>643</v>
      </c>
      <c r="D778" s="2">
        <v>220197478</v>
      </c>
      <c r="E778" s="2">
        <v>2018001400040</v>
      </c>
      <c r="F778" s="1" t="s">
        <v>644</v>
      </c>
      <c r="G778" s="1" t="s">
        <v>53</v>
      </c>
      <c r="H778" s="1" t="s">
        <v>598</v>
      </c>
      <c r="I778" s="1" t="s">
        <v>599</v>
      </c>
      <c r="J778" s="1" t="s">
        <v>79</v>
      </c>
      <c r="K778" t="s">
        <v>645</v>
      </c>
      <c r="M778" s="1" t="s">
        <v>58</v>
      </c>
      <c r="N778" s="1">
        <v>0</v>
      </c>
      <c r="O778" s="1" t="s">
        <v>105</v>
      </c>
      <c r="P778" s="11" t="s">
        <v>1514</v>
      </c>
      <c r="R778" s="1">
        <v>2</v>
      </c>
      <c r="T778" s="1" t="s">
        <v>646</v>
      </c>
      <c r="U778" s="11" t="s">
        <v>1515</v>
      </c>
      <c r="V778" s="1" t="s">
        <v>41</v>
      </c>
      <c r="W778" s="1" t="s">
        <v>49</v>
      </c>
      <c r="Z778" s="14">
        <v>1</v>
      </c>
      <c r="AA778" s="14"/>
      <c r="AC778" s="21"/>
      <c r="AE778" s="21"/>
    </row>
    <row r="779" spans="1:31" hidden="1">
      <c r="A779" s="1">
        <v>9126674</v>
      </c>
      <c r="B779" s="1" t="s">
        <v>101</v>
      </c>
      <c r="C779" t="s">
        <v>643</v>
      </c>
      <c r="D779" s="2">
        <v>220197259</v>
      </c>
      <c r="E779" s="2">
        <v>1291001400040</v>
      </c>
      <c r="F779" s="1" t="s">
        <v>644</v>
      </c>
      <c r="G779" s="1" t="s">
        <v>53</v>
      </c>
      <c r="H779" s="1" t="s">
        <v>136</v>
      </c>
      <c r="I779" s="1" t="s">
        <v>137</v>
      </c>
      <c r="J779" s="1" t="s">
        <v>33</v>
      </c>
      <c r="K779" t="s">
        <v>645</v>
      </c>
      <c r="M779" s="1" t="s">
        <v>58</v>
      </c>
      <c r="N779" s="1">
        <v>0</v>
      </c>
      <c r="O779" s="1" t="s">
        <v>105</v>
      </c>
      <c r="P779" s="12">
        <v>44896.469618055555</v>
      </c>
      <c r="R779" s="1">
        <v>3</v>
      </c>
      <c r="T779" s="1" t="s">
        <v>646</v>
      </c>
      <c r="U779" s="12">
        <v>44897.469629629632</v>
      </c>
      <c r="V779" s="1" t="s">
        <v>41</v>
      </c>
      <c r="W779" s="1" t="s">
        <v>42</v>
      </c>
      <c r="Z779" s="14">
        <v>1</v>
      </c>
      <c r="AA779" s="14"/>
      <c r="AC779" s="21"/>
      <c r="AE779" s="21"/>
    </row>
    <row r="780" spans="1:31" hidden="1">
      <c r="A780" s="1">
        <v>9126667</v>
      </c>
      <c r="B780" s="1" t="s">
        <v>101</v>
      </c>
      <c r="C780" t="s">
        <v>643</v>
      </c>
      <c r="D780" s="2">
        <v>220197252</v>
      </c>
      <c r="E780" s="2">
        <v>1264001400040</v>
      </c>
      <c r="F780" s="1" t="s">
        <v>644</v>
      </c>
      <c r="G780" s="1" t="s">
        <v>53</v>
      </c>
      <c r="H780" s="1" t="s">
        <v>351</v>
      </c>
      <c r="I780" s="1" t="s">
        <v>352</v>
      </c>
      <c r="J780" s="1" t="s">
        <v>110</v>
      </c>
      <c r="K780" t="s">
        <v>645</v>
      </c>
      <c r="M780" s="1" t="s">
        <v>58</v>
      </c>
      <c r="N780" s="1">
        <v>0</v>
      </c>
      <c r="O780" s="1" t="s">
        <v>105</v>
      </c>
      <c r="P780" s="12">
        <v>44896.469212962962</v>
      </c>
      <c r="R780" s="1">
        <v>2</v>
      </c>
      <c r="T780" s="1" t="s">
        <v>646</v>
      </c>
      <c r="U780" s="12">
        <v>44897.469212962962</v>
      </c>
      <c r="V780" s="1" t="s">
        <v>41</v>
      </c>
      <c r="W780" s="1" t="s">
        <v>49</v>
      </c>
      <c r="Z780" s="14">
        <v>1</v>
      </c>
      <c r="AA780" s="14"/>
      <c r="AC780" s="21"/>
      <c r="AE780" s="21"/>
    </row>
    <row r="781" spans="1:31" hidden="1">
      <c r="A781" s="1">
        <v>9126655</v>
      </c>
      <c r="B781" s="1" t="s">
        <v>101</v>
      </c>
      <c r="C781" t="s">
        <v>643</v>
      </c>
      <c r="D781" s="2">
        <v>220197635</v>
      </c>
      <c r="E781" s="2">
        <v>2529001400040</v>
      </c>
      <c r="F781" s="1" t="s">
        <v>644</v>
      </c>
      <c r="G781" s="1" t="s">
        <v>53</v>
      </c>
      <c r="H781" s="1" t="s">
        <v>355</v>
      </c>
      <c r="I781" s="1" t="s">
        <v>356</v>
      </c>
      <c r="J781" s="1" t="s">
        <v>56</v>
      </c>
      <c r="K781" t="s">
        <v>645</v>
      </c>
      <c r="M781" s="1" t="s">
        <v>58</v>
      </c>
      <c r="N781" s="1">
        <v>0</v>
      </c>
      <c r="O781" s="1" t="s">
        <v>105</v>
      </c>
      <c r="P781" s="11" t="s">
        <v>1516</v>
      </c>
      <c r="R781" s="1">
        <v>2</v>
      </c>
      <c r="T781" s="1" t="s">
        <v>646</v>
      </c>
      <c r="U781" s="11" t="s">
        <v>1517</v>
      </c>
      <c r="V781" s="1" t="s">
        <v>41</v>
      </c>
      <c r="W781" s="1" t="s">
        <v>49</v>
      </c>
      <c r="Z781" s="14">
        <v>1</v>
      </c>
      <c r="AA781" s="14"/>
      <c r="AC781" s="21"/>
      <c r="AE781" s="21"/>
    </row>
    <row r="782" spans="1:31" hidden="1">
      <c r="A782" s="1">
        <v>9126627</v>
      </c>
      <c r="B782" s="1" t="s">
        <v>101</v>
      </c>
      <c r="C782" t="s">
        <v>643</v>
      </c>
      <c r="D782" s="2">
        <v>220197615</v>
      </c>
      <c r="E782" s="2">
        <v>2473001400040</v>
      </c>
      <c r="F782" s="1" t="s">
        <v>644</v>
      </c>
      <c r="G782" s="1" t="s">
        <v>53</v>
      </c>
      <c r="H782" s="1" t="s">
        <v>1459</v>
      </c>
      <c r="I782" s="1" t="s">
        <v>1460</v>
      </c>
      <c r="J782" s="1" t="s">
        <v>261</v>
      </c>
      <c r="K782" t="s">
        <v>645</v>
      </c>
      <c r="M782" s="1" t="s">
        <v>58</v>
      </c>
      <c r="N782" s="1">
        <v>0</v>
      </c>
      <c r="O782" s="1" t="s">
        <v>105</v>
      </c>
      <c r="P782" s="11" t="s">
        <v>1518</v>
      </c>
      <c r="R782" s="1">
        <v>2</v>
      </c>
      <c r="T782" s="1" t="s">
        <v>646</v>
      </c>
      <c r="U782" s="11" t="s">
        <v>1519</v>
      </c>
      <c r="V782" s="1" t="s">
        <v>41</v>
      </c>
      <c r="W782" s="1" t="s">
        <v>49</v>
      </c>
      <c r="Z782" s="14">
        <v>1</v>
      </c>
      <c r="AA782" s="14"/>
      <c r="AC782" s="21"/>
      <c r="AE782" s="21"/>
    </row>
    <row r="783" spans="1:31" hidden="1">
      <c r="A783" s="1">
        <v>9126604</v>
      </c>
      <c r="B783" s="1" t="s">
        <v>101</v>
      </c>
      <c r="C783" t="s">
        <v>643</v>
      </c>
      <c r="D783" s="2">
        <v>220197647</v>
      </c>
      <c r="E783" s="2">
        <v>2564001400040</v>
      </c>
      <c r="F783" s="1" t="s">
        <v>644</v>
      </c>
      <c r="G783" s="1" t="s">
        <v>53</v>
      </c>
      <c r="H783" s="1" t="s">
        <v>255</v>
      </c>
      <c r="I783" s="1" t="s">
        <v>256</v>
      </c>
      <c r="J783" s="1" t="s">
        <v>164</v>
      </c>
      <c r="K783" t="s">
        <v>645</v>
      </c>
      <c r="M783" s="1" t="s">
        <v>58</v>
      </c>
      <c r="N783" s="1">
        <v>0</v>
      </c>
      <c r="O783" s="1" t="s">
        <v>105</v>
      </c>
      <c r="P783" s="11" t="s">
        <v>1520</v>
      </c>
      <c r="R783" s="1">
        <v>3</v>
      </c>
      <c r="T783" s="1" t="s">
        <v>646</v>
      </c>
      <c r="U783" s="11" t="s">
        <v>1521</v>
      </c>
      <c r="V783" s="1" t="s">
        <v>41</v>
      </c>
      <c r="W783" s="1" t="s">
        <v>49</v>
      </c>
      <c r="Z783" s="14">
        <v>1</v>
      </c>
      <c r="AA783" s="14"/>
      <c r="AC783" s="21"/>
      <c r="AE783" s="21"/>
    </row>
    <row r="784" spans="1:31" hidden="1">
      <c r="A784" s="1">
        <v>9126586</v>
      </c>
      <c r="B784" s="1" t="s">
        <v>101</v>
      </c>
      <c r="C784" t="s">
        <v>643</v>
      </c>
      <c r="D784" s="2">
        <v>220197595</v>
      </c>
      <c r="E784" s="2">
        <v>2413001400040</v>
      </c>
      <c r="F784" s="1" t="s">
        <v>644</v>
      </c>
      <c r="G784" s="1" t="s">
        <v>53</v>
      </c>
      <c r="H784" s="1" t="s">
        <v>505</v>
      </c>
      <c r="I784" s="1" t="s">
        <v>506</v>
      </c>
      <c r="J784" s="1" t="s">
        <v>141</v>
      </c>
      <c r="K784" t="s">
        <v>645</v>
      </c>
      <c r="M784" s="1" t="s">
        <v>58</v>
      </c>
      <c r="N784" s="1">
        <v>0</v>
      </c>
      <c r="O784" s="1" t="s">
        <v>105</v>
      </c>
      <c r="P784" s="11" t="s">
        <v>1522</v>
      </c>
      <c r="R784" s="1">
        <v>2</v>
      </c>
      <c r="T784" s="1" t="s">
        <v>646</v>
      </c>
      <c r="U784" s="11" t="s">
        <v>1523</v>
      </c>
      <c r="V784" s="1" t="s">
        <v>41</v>
      </c>
      <c r="W784" s="1" t="s">
        <v>49</v>
      </c>
      <c r="Z784" s="14">
        <v>1</v>
      </c>
      <c r="AA784" s="14"/>
      <c r="AC784" s="21"/>
      <c r="AE784" s="21"/>
    </row>
    <row r="785" spans="1:31" hidden="1">
      <c r="A785" s="1">
        <v>9126537</v>
      </c>
      <c r="B785" s="1" t="s">
        <v>101</v>
      </c>
      <c r="C785" t="s">
        <v>643</v>
      </c>
      <c r="D785" s="2">
        <v>220197299</v>
      </c>
      <c r="E785" s="2">
        <v>1363001400040</v>
      </c>
      <c r="F785" s="1" t="s">
        <v>644</v>
      </c>
      <c r="G785" s="1" t="s">
        <v>53</v>
      </c>
      <c r="H785" s="1" t="s">
        <v>108</v>
      </c>
      <c r="I785" s="1" t="s">
        <v>109</v>
      </c>
      <c r="J785" s="1" t="s">
        <v>110</v>
      </c>
      <c r="K785" t="s">
        <v>645</v>
      </c>
      <c r="M785" s="1" t="s">
        <v>58</v>
      </c>
      <c r="N785" s="1">
        <v>0</v>
      </c>
      <c r="O785" s="1" t="s">
        <v>105</v>
      </c>
      <c r="P785" s="11" t="s">
        <v>1524</v>
      </c>
      <c r="R785" s="1">
        <v>3</v>
      </c>
      <c r="T785" s="1" t="s">
        <v>646</v>
      </c>
      <c r="U785" s="11" t="s">
        <v>1525</v>
      </c>
      <c r="V785" s="1" t="s">
        <v>41</v>
      </c>
      <c r="W785" s="1" t="s">
        <v>49</v>
      </c>
      <c r="Z785" s="14">
        <v>1</v>
      </c>
      <c r="AA785" s="14"/>
      <c r="AC785" s="21"/>
      <c r="AE785" s="21"/>
    </row>
    <row r="786" spans="1:31">
      <c r="A786" s="1">
        <v>9126536</v>
      </c>
      <c r="B786" s="1" t="s">
        <v>101</v>
      </c>
      <c r="C786" t="s">
        <v>643</v>
      </c>
      <c r="D786" s="2">
        <v>220197298</v>
      </c>
      <c r="E786" s="2">
        <v>1362001400040</v>
      </c>
      <c r="F786" s="1" t="s">
        <v>644</v>
      </c>
      <c r="G786" s="1" t="s">
        <v>53</v>
      </c>
      <c r="H786" s="1" t="s">
        <v>268</v>
      </c>
      <c r="I786" s="1" t="s">
        <v>269</v>
      </c>
      <c r="J786" s="1" t="s">
        <v>90</v>
      </c>
      <c r="K786" t="s">
        <v>645</v>
      </c>
      <c r="M786" s="1" t="s">
        <v>58</v>
      </c>
      <c r="N786" s="1">
        <v>0</v>
      </c>
      <c r="O786" s="1" t="s">
        <v>105</v>
      </c>
      <c r="P786" s="12">
        <v>44896.462708333333</v>
      </c>
      <c r="R786" s="1">
        <v>3</v>
      </c>
      <c r="T786" s="1" t="s">
        <v>646</v>
      </c>
      <c r="U786" s="12">
        <v>44897.462708333333</v>
      </c>
      <c r="V786" s="1" t="s">
        <v>41</v>
      </c>
      <c r="W786" s="1" t="s">
        <v>49</v>
      </c>
      <c r="Z786" s="14">
        <v>1</v>
      </c>
      <c r="AA786" s="14"/>
      <c r="AC786" s="21"/>
      <c r="AE786" s="21"/>
    </row>
    <row r="787" spans="1:31" hidden="1">
      <c r="A787" s="1">
        <v>9126535</v>
      </c>
      <c r="B787" s="1" t="s">
        <v>101</v>
      </c>
      <c r="C787" t="s">
        <v>643</v>
      </c>
      <c r="D787" s="2">
        <v>220197297</v>
      </c>
      <c r="E787" s="2">
        <v>1360001400040</v>
      </c>
      <c r="F787" s="1" t="s">
        <v>644</v>
      </c>
      <c r="G787" s="1" t="s">
        <v>53</v>
      </c>
      <c r="H787" s="1" t="s">
        <v>303</v>
      </c>
      <c r="I787" s="1" t="s">
        <v>304</v>
      </c>
      <c r="J787" s="1" t="s">
        <v>261</v>
      </c>
      <c r="K787" t="s">
        <v>645</v>
      </c>
      <c r="M787" s="1" t="s">
        <v>58</v>
      </c>
      <c r="N787" s="1">
        <v>0</v>
      </c>
      <c r="O787" s="1" t="s">
        <v>105</v>
      </c>
      <c r="P787" s="11" t="s">
        <v>1526</v>
      </c>
      <c r="R787" s="1">
        <v>3</v>
      </c>
      <c r="T787" s="1" t="s">
        <v>646</v>
      </c>
      <c r="U787" s="11" t="s">
        <v>1527</v>
      </c>
      <c r="V787" s="1" t="s">
        <v>41</v>
      </c>
      <c r="W787" s="1" t="s">
        <v>49</v>
      </c>
      <c r="Z787" s="14">
        <v>1</v>
      </c>
      <c r="AA787" s="14"/>
      <c r="AC787" s="21"/>
      <c r="AE787" s="21"/>
    </row>
    <row r="788" spans="1:31" hidden="1">
      <c r="A788" s="1">
        <v>9126534</v>
      </c>
      <c r="B788" s="1" t="s">
        <v>101</v>
      </c>
      <c r="C788" t="s">
        <v>643</v>
      </c>
      <c r="D788" s="2">
        <v>220197296</v>
      </c>
      <c r="E788" s="2">
        <v>1359001400040</v>
      </c>
      <c r="F788" s="1" t="s">
        <v>644</v>
      </c>
      <c r="G788" s="1" t="s">
        <v>53</v>
      </c>
      <c r="H788" s="1" t="s">
        <v>270</v>
      </c>
      <c r="I788" s="1" t="s">
        <v>271</v>
      </c>
      <c r="J788" s="1" t="s">
        <v>141</v>
      </c>
      <c r="K788" t="s">
        <v>645</v>
      </c>
      <c r="M788" s="1" t="s">
        <v>58</v>
      </c>
      <c r="N788" s="1">
        <v>0</v>
      </c>
      <c r="O788" s="1" t="s">
        <v>105</v>
      </c>
      <c r="P788" s="11" t="s">
        <v>1528</v>
      </c>
      <c r="R788" s="1">
        <v>2</v>
      </c>
      <c r="T788" s="1" t="s">
        <v>646</v>
      </c>
      <c r="U788" s="11" t="s">
        <v>1529</v>
      </c>
      <c r="V788" s="1" t="s">
        <v>41</v>
      </c>
      <c r="W788" s="1" t="s">
        <v>49</v>
      </c>
      <c r="Z788" s="14">
        <v>1</v>
      </c>
      <c r="AA788" s="14"/>
      <c r="AC788" s="21"/>
      <c r="AE788" s="21"/>
    </row>
    <row r="789" spans="1:31" hidden="1">
      <c r="A789" s="1">
        <v>9126515</v>
      </c>
      <c r="B789" s="1" t="s">
        <v>101</v>
      </c>
      <c r="C789" t="s">
        <v>643</v>
      </c>
      <c r="D789" s="2">
        <v>220197245</v>
      </c>
      <c r="E789" s="2">
        <v>1245001400040</v>
      </c>
      <c r="F789" s="1" t="s">
        <v>644</v>
      </c>
      <c r="G789" s="1" t="s">
        <v>53</v>
      </c>
      <c r="H789" s="1" t="s">
        <v>408</v>
      </c>
      <c r="I789" s="1" t="s">
        <v>409</v>
      </c>
      <c r="J789" s="1" t="s">
        <v>46</v>
      </c>
      <c r="K789" t="s">
        <v>645</v>
      </c>
      <c r="M789" s="1" t="s">
        <v>58</v>
      </c>
      <c r="N789" s="1">
        <v>0</v>
      </c>
      <c r="O789" s="1" t="s">
        <v>105</v>
      </c>
      <c r="P789" s="11" t="s">
        <v>1530</v>
      </c>
      <c r="R789" s="1">
        <v>2</v>
      </c>
      <c r="T789" s="1" t="s">
        <v>646</v>
      </c>
      <c r="U789" s="11" t="s">
        <v>1531</v>
      </c>
      <c r="V789" s="1" t="s">
        <v>41</v>
      </c>
      <c r="W789" s="1" t="s">
        <v>49</v>
      </c>
      <c r="Z789" s="14">
        <v>1</v>
      </c>
      <c r="AA789" s="14"/>
      <c r="AC789" s="21"/>
      <c r="AE789" s="21"/>
    </row>
    <row r="790" spans="1:31" hidden="1">
      <c r="A790" s="1">
        <v>9126424</v>
      </c>
      <c r="B790" s="1" t="s">
        <v>101</v>
      </c>
      <c r="C790" t="s">
        <v>643</v>
      </c>
      <c r="D790" s="2">
        <v>220197448</v>
      </c>
      <c r="E790" s="2">
        <v>1792001400040</v>
      </c>
      <c r="F790" s="1" t="s">
        <v>644</v>
      </c>
      <c r="G790" s="1" t="s">
        <v>53</v>
      </c>
      <c r="H790" s="1" t="s">
        <v>467</v>
      </c>
      <c r="I790" s="1" t="s">
        <v>468</v>
      </c>
      <c r="J790" s="1" t="s">
        <v>110</v>
      </c>
      <c r="K790" t="s">
        <v>645</v>
      </c>
      <c r="M790" s="1" t="s">
        <v>58</v>
      </c>
      <c r="N790" s="1">
        <v>0</v>
      </c>
      <c r="O790" s="1" t="s">
        <v>105</v>
      </c>
      <c r="P790" s="11" t="s">
        <v>1532</v>
      </c>
      <c r="R790" s="1">
        <v>2</v>
      </c>
      <c r="T790" s="1" t="s">
        <v>646</v>
      </c>
      <c r="U790" s="11" t="s">
        <v>1533</v>
      </c>
      <c r="V790" s="1" t="s">
        <v>41</v>
      </c>
      <c r="W790" s="1" t="s">
        <v>49</v>
      </c>
      <c r="Z790" s="14">
        <v>1</v>
      </c>
      <c r="AA790" s="14"/>
      <c r="AC790" s="21"/>
      <c r="AE790" s="21"/>
    </row>
    <row r="791" spans="1:31" hidden="1">
      <c r="A791" s="1">
        <v>9126382</v>
      </c>
      <c r="B791" s="1" t="s">
        <v>101</v>
      </c>
      <c r="C791" t="s">
        <v>643</v>
      </c>
      <c r="D791" s="2">
        <v>220197425</v>
      </c>
      <c r="E791" s="2">
        <v>1732001400040</v>
      </c>
      <c r="F791" s="1" t="s">
        <v>644</v>
      </c>
      <c r="G791" s="1" t="s">
        <v>53</v>
      </c>
      <c r="H791" s="1" t="s">
        <v>177</v>
      </c>
      <c r="I791" s="1" t="s">
        <v>178</v>
      </c>
      <c r="J791" s="1" t="s">
        <v>164</v>
      </c>
      <c r="K791" t="s">
        <v>645</v>
      </c>
      <c r="M791" s="1" t="s">
        <v>58</v>
      </c>
      <c r="N791" s="1">
        <v>0</v>
      </c>
      <c r="O791" s="1" t="s">
        <v>105</v>
      </c>
      <c r="P791" s="11" t="s">
        <v>1534</v>
      </c>
      <c r="R791" s="1">
        <v>3</v>
      </c>
      <c r="T791" s="1" t="s">
        <v>646</v>
      </c>
      <c r="U791" s="11" t="s">
        <v>1535</v>
      </c>
      <c r="V791" s="1" t="s">
        <v>41</v>
      </c>
      <c r="W791" s="1" t="s">
        <v>49</v>
      </c>
      <c r="Z791" s="14">
        <v>1</v>
      </c>
      <c r="AA791" s="14"/>
      <c r="AC791" s="21"/>
      <c r="AE791" s="21"/>
    </row>
    <row r="792" spans="1:31" hidden="1">
      <c r="A792" s="1">
        <v>9126343</v>
      </c>
      <c r="B792" s="1" t="s">
        <v>101</v>
      </c>
      <c r="C792" t="s">
        <v>643</v>
      </c>
      <c r="D792" s="2">
        <v>220197402</v>
      </c>
      <c r="E792" s="2">
        <v>1664001400040</v>
      </c>
      <c r="F792" s="1" t="s">
        <v>644</v>
      </c>
      <c r="G792" s="1" t="s">
        <v>53</v>
      </c>
      <c r="H792" s="1" t="s">
        <v>307</v>
      </c>
      <c r="I792" s="1" t="s">
        <v>308</v>
      </c>
      <c r="J792" s="1" t="s">
        <v>164</v>
      </c>
      <c r="K792" t="s">
        <v>645</v>
      </c>
      <c r="M792" s="1" t="s">
        <v>58</v>
      </c>
      <c r="N792" s="1">
        <v>0</v>
      </c>
      <c r="O792" s="1" t="s">
        <v>105</v>
      </c>
      <c r="P792" s="11" t="s">
        <v>1536</v>
      </c>
      <c r="R792" s="1">
        <v>2</v>
      </c>
      <c r="T792" s="1" t="s">
        <v>646</v>
      </c>
      <c r="U792" s="11" t="s">
        <v>1537</v>
      </c>
      <c r="V792" s="1" t="s">
        <v>41</v>
      </c>
      <c r="W792" s="1" t="s">
        <v>49</v>
      </c>
      <c r="Z792" s="14">
        <v>1</v>
      </c>
      <c r="AA792" s="14"/>
      <c r="AC792" s="21"/>
      <c r="AE792" s="21"/>
    </row>
    <row r="793" spans="1:31" hidden="1">
      <c r="A793" s="1">
        <v>9126340</v>
      </c>
      <c r="B793" s="1" t="s">
        <v>101</v>
      </c>
      <c r="C793" t="s">
        <v>643</v>
      </c>
      <c r="D793" s="2">
        <v>220197678</v>
      </c>
      <c r="E793" s="2">
        <v>2678001400040</v>
      </c>
      <c r="F793" s="1" t="s">
        <v>644</v>
      </c>
      <c r="G793" s="1" t="s">
        <v>53</v>
      </c>
      <c r="H793" s="1" t="s">
        <v>992</v>
      </c>
      <c r="I793" s="1" t="s">
        <v>993</v>
      </c>
      <c r="J793" s="1" t="s">
        <v>33</v>
      </c>
      <c r="K793" t="s">
        <v>645</v>
      </c>
      <c r="M793" s="1" t="s">
        <v>58</v>
      </c>
      <c r="N793" s="1">
        <v>0</v>
      </c>
      <c r="O793" s="1" t="s">
        <v>105</v>
      </c>
      <c r="P793" s="11" t="s">
        <v>1538</v>
      </c>
      <c r="R793" s="1">
        <v>2</v>
      </c>
      <c r="T793" s="1" t="s">
        <v>646</v>
      </c>
      <c r="U793" s="11" t="s">
        <v>1539</v>
      </c>
      <c r="V793" s="1" t="s">
        <v>41</v>
      </c>
      <c r="W793" s="1" t="s">
        <v>42</v>
      </c>
      <c r="Z793" s="14">
        <v>1</v>
      </c>
      <c r="AA793" s="14"/>
      <c r="AC793" s="21"/>
      <c r="AE793" s="21"/>
    </row>
    <row r="794" spans="1:31" hidden="1">
      <c r="A794" s="1">
        <v>9126315</v>
      </c>
      <c r="B794" s="1" t="s">
        <v>101</v>
      </c>
      <c r="C794" t="s">
        <v>643</v>
      </c>
      <c r="D794" s="2">
        <v>220196945</v>
      </c>
      <c r="E794" s="2">
        <v>673001400040</v>
      </c>
      <c r="F794" s="1" t="s">
        <v>644</v>
      </c>
      <c r="G794" s="1" t="s">
        <v>53</v>
      </c>
      <c r="H794" s="1" t="s">
        <v>581</v>
      </c>
      <c r="I794" s="1" t="s">
        <v>582</v>
      </c>
      <c r="J794" s="1" t="s">
        <v>110</v>
      </c>
      <c r="K794" t="s">
        <v>645</v>
      </c>
      <c r="M794" s="1" t="s">
        <v>58</v>
      </c>
      <c r="N794" s="1">
        <v>0</v>
      </c>
      <c r="O794" s="1" t="s">
        <v>105</v>
      </c>
      <c r="P794" s="11" t="s">
        <v>1540</v>
      </c>
      <c r="R794" s="1">
        <v>2</v>
      </c>
      <c r="T794" s="1" t="s">
        <v>646</v>
      </c>
      <c r="U794" s="11" t="s">
        <v>1541</v>
      </c>
      <c r="V794" s="1" t="s">
        <v>41</v>
      </c>
      <c r="W794" s="1" t="s">
        <v>49</v>
      </c>
      <c r="Z794" s="14">
        <v>1</v>
      </c>
      <c r="AA794" s="14"/>
      <c r="AC794" s="21"/>
      <c r="AE794" s="21"/>
    </row>
    <row r="795" spans="1:31">
      <c r="A795" s="1">
        <v>9126276</v>
      </c>
      <c r="B795" s="1" t="s">
        <v>101</v>
      </c>
      <c r="C795" t="s">
        <v>643</v>
      </c>
      <c r="D795" s="2">
        <v>220197114</v>
      </c>
      <c r="E795" s="2">
        <v>981001400040</v>
      </c>
      <c r="F795" s="1" t="s">
        <v>644</v>
      </c>
      <c r="G795" s="1" t="s">
        <v>53</v>
      </c>
      <c r="H795" s="1" t="s">
        <v>410</v>
      </c>
      <c r="I795" s="1" t="s">
        <v>411</v>
      </c>
      <c r="J795" s="1" t="s">
        <v>85</v>
      </c>
      <c r="K795" t="s">
        <v>645</v>
      </c>
      <c r="M795" s="1" t="s">
        <v>58</v>
      </c>
      <c r="N795" s="1">
        <v>0</v>
      </c>
      <c r="O795" s="1" t="s">
        <v>105</v>
      </c>
      <c r="P795" s="11" t="s">
        <v>1542</v>
      </c>
      <c r="R795" s="1">
        <v>3</v>
      </c>
      <c r="T795" s="1" t="s">
        <v>646</v>
      </c>
      <c r="U795" s="11" t="s">
        <v>1543</v>
      </c>
      <c r="V795" s="1" t="s">
        <v>41</v>
      </c>
      <c r="W795" s="1" t="s">
        <v>49</v>
      </c>
      <c r="Z795" s="14">
        <v>1</v>
      </c>
      <c r="AA795" s="14"/>
      <c r="AC795" s="21"/>
      <c r="AE795" s="21"/>
    </row>
    <row r="796" spans="1:31">
      <c r="A796" s="1">
        <v>9126219</v>
      </c>
      <c r="B796" s="1" t="s">
        <v>101</v>
      </c>
      <c r="C796" t="s">
        <v>643</v>
      </c>
      <c r="D796" s="2">
        <v>220196904</v>
      </c>
      <c r="E796" s="2">
        <v>608001400040</v>
      </c>
      <c r="F796" s="1" t="s">
        <v>644</v>
      </c>
      <c r="G796" s="1" t="s">
        <v>53</v>
      </c>
      <c r="H796" s="1" t="s">
        <v>438</v>
      </c>
      <c r="I796" s="1" t="s">
        <v>439</v>
      </c>
      <c r="J796" s="1" t="s">
        <v>148</v>
      </c>
      <c r="K796" t="s">
        <v>645</v>
      </c>
      <c r="M796" s="1" t="s">
        <v>58</v>
      </c>
      <c r="N796" s="1">
        <v>0</v>
      </c>
      <c r="O796" s="1" t="s">
        <v>105</v>
      </c>
      <c r="P796" s="11" t="s">
        <v>1544</v>
      </c>
      <c r="R796" s="1">
        <v>3</v>
      </c>
      <c r="T796" s="1" t="s">
        <v>646</v>
      </c>
      <c r="U796" s="11" t="s">
        <v>1545</v>
      </c>
      <c r="V796" s="1" t="s">
        <v>41</v>
      </c>
      <c r="W796" s="1" t="s">
        <v>49</v>
      </c>
      <c r="Z796" s="14">
        <v>1</v>
      </c>
      <c r="AA796" s="14"/>
      <c r="AC796" s="21"/>
      <c r="AE796" s="21"/>
    </row>
    <row r="797" spans="1:31" hidden="1">
      <c r="A797" s="1">
        <v>9126206</v>
      </c>
      <c r="B797" s="1" t="s">
        <v>101</v>
      </c>
      <c r="C797" t="s">
        <v>643</v>
      </c>
      <c r="D797" s="2">
        <v>220196891</v>
      </c>
      <c r="E797" s="2">
        <v>582001400040</v>
      </c>
      <c r="F797" s="1" t="s">
        <v>644</v>
      </c>
      <c r="G797" s="1" t="s">
        <v>53</v>
      </c>
      <c r="H797" s="1" t="s">
        <v>139</v>
      </c>
      <c r="I797" s="1" t="s">
        <v>140</v>
      </c>
      <c r="J797" s="1" t="s">
        <v>141</v>
      </c>
      <c r="K797" t="s">
        <v>645</v>
      </c>
      <c r="M797" s="1" t="s">
        <v>58</v>
      </c>
      <c r="N797" s="1">
        <v>0</v>
      </c>
      <c r="O797" s="1" t="s">
        <v>105</v>
      </c>
      <c r="P797" s="11" t="s">
        <v>1546</v>
      </c>
      <c r="R797" s="1">
        <v>3</v>
      </c>
      <c r="T797" s="1" t="s">
        <v>646</v>
      </c>
      <c r="U797" s="11" t="s">
        <v>1547</v>
      </c>
      <c r="V797" s="1" t="s">
        <v>41</v>
      </c>
      <c r="W797" s="1" t="s">
        <v>49</v>
      </c>
      <c r="Z797" s="14">
        <v>1</v>
      </c>
      <c r="AA797" s="14"/>
      <c r="AC797" s="21"/>
      <c r="AE797" s="21"/>
    </row>
    <row r="798" spans="1:31" hidden="1">
      <c r="A798" s="1">
        <v>9126187</v>
      </c>
      <c r="B798" s="1" t="s">
        <v>101</v>
      </c>
      <c r="C798" t="s">
        <v>643</v>
      </c>
      <c r="D798" s="2">
        <v>220196872</v>
      </c>
      <c r="E798" s="2">
        <v>550001400040</v>
      </c>
      <c r="F798" s="1" t="s">
        <v>644</v>
      </c>
      <c r="G798" s="1" t="s">
        <v>53</v>
      </c>
      <c r="H798" s="1" t="s">
        <v>337</v>
      </c>
      <c r="I798" s="1" t="s">
        <v>338</v>
      </c>
      <c r="J798" s="1" t="s">
        <v>164</v>
      </c>
      <c r="K798" t="s">
        <v>645</v>
      </c>
      <c r="M798" s="1" t="s">
        <v>58</v>
      </c>
      <c r="N798" s="1">
        <v>0</v>
      </c>
      <c r="O798" s="1" t="s">
        <v>105</v>
      </c>
      <c r="P798" s="11" t="s">
        <v>1548</v>
      </c>
      <c r="R798" s="1">
        <v>3</v>
      </c>
      <c r="T798" s="1" t="s">
        <v>646</v>
      </c>
      <c r="U798" s="11" t="s">
        <v>1549</v>
      </c>
      <c r="V798" s="1" t="s">
        <v>41</v>
      </c>
      <c r="W798" s="1" t="s">
        <v>49</v>
      </c>
      <c r="Z798" s="14">
        <v>1</v>
      </c>
      <c r="AA798" s="14"/>
      <c r="AC798" s="21"/>
      <c r="AE798" s="21"/>
    </row>
    <row r="799" spans="1:31" hidden="1">
      <c r="A799" s="1">
        <v>9126178</v>
      </c>
      <c r="B799" s="1" t="s">
        <v>101</v>
      </c>
      <c r="C799" t="s">
        <v>643</v>
      </c>
      <c r="D799" s="2">
        <v>220196867</v>
      </c>
      <c r="E799" s="2">
        <v>537001400040</v>
      </c>
      <c r="F799" s="1" t="s">
        <v>644</v>
      </c>
      <c r="G799" s="1" t="s">
        <v>53</v>
      </c>
      <c r="H799" s="1" t="s">
        <v>442</v>
      </c>
      <c r="I799" s="1" t="s">
        <v>443</v>
      </c>
      <c r="J799" s="1" t="s">
        <v>79</v>
      </c>
      <c r="K799" t="s">
        <v>645</v>
      </c>
      <c r="M799" s="1" t="s">
        <v>58</v>
      </c>
      <c r="N799" s="1">
        <v>0</v>
      </c>
      <c r="O799" s="1" t="s">
        <v>105</v>
      </c>
      <c r="P799" s="11" t="s">
        <v>1550</v>
      </c>
      <c r="R799" s="1">
        <v>2</v>
      </c>
      <c r="T799" s="1" t="s">
        <v>646</v>
      </c>
      <c r="U799" s="12">
        <v>44897.445023148146</v>
      </c>
      <c r="V799" s="1" t="s">
        <v>41</v>
      </c>
      <c r="W799" s="1" t="s">
        <v>49</v>
      </c>
      <c r="Z799" s="14">
        <v>1</v>
      </c>
      <c r="AA799" s="14"/>
      <c r="AC799" s="21"/>
      <c r="AE799" s="21"/>
    </row>
    <row r="800" spans="1:31" hidden="1">
      <c r="A800" s="1">
        <v>9126149</v>
      </c>
      <c r="B800" s="1" t="s">
        <v>101</v>
      </c>
      <c r="C800" t="s">
        <v>643</v>
      </c>
      <c r="D800" s="2">
        <v>220197129</v>
      </c>
      <c r="E800" s="2">
        <v>1012001400040</v>
      </c>
      <c r="F800" s="1" t="s">
        <v>644</v>
      </c>
      <c r="G800" s="1" t="s">
        <v>53</v>
      </c>
      <c r="H800" s="1" t="s">
        <v>172</v>
      </c>
      <c r="I800" s="1" t="s">
        <v>173</v>
      </c>
      <c r="J800" s="1" t="s">
        <v>164</v>
      </c>
      <c r="K800" t="s">
        <v>645</v>
      </c>
      <c r="M800" s="1" t="s">
        <v>58</v>
      </c>
      <c r="N800" s="1">
        <v>0</v>
      </c>
      <c r="O800" s="1" t="s">
        <v>105</v>
      </c>
      <c r="P800" s="11" t="s">
        <v>1551</v>
      </c>
      <c r="R800" s="1">
        <v>2</v>
      </c>
      <c r="T800" s="1" t="s">
        <v>646</v>
      </c>
      <c r="U800" s="11" t="s">
        <v>1552</v>
      </c>
      <c r="V800" s="1" t="s">
        <v>41</v>
      </c>
      <c r="W800" s="1" t="s">
        <v>49</v>
      </c>
      <c r="Z800" s="14">
        <v>1</v>
      </c>
      <c r="AA800" s="14"/>
      <c r="AC800" s="21"/>
      <c r="AE800" s="21"/>
    </row>
    <row r="801" spans="1:31">
      <c r="A801" s="1">
        <v>9126105</v>
      </c>
      <c r="B801" s="1" t="s">
        <v>101</v>
      </c>
      <c r="C801" t="s">
        <v>643</v>
      </c>
      <c r="D801" s="2">
        <v>220197072</v>
      </c>
      <c r="E801" s="2">
        <v>899001400040</v>
      </c>
      <c r="F801" s="1" t="s">
        <v>644</v>
      </c>
      <c r="G801" s="1" t="s">
        <v>53</v>
      </c>
      <c r="H801" s="1" t="s">
        <v>175</v>
      </c>
      <c r="I801" s="1" t="s">
        <v>176</v>
      </c>
      <c r="J801" s="1" t="s">
        <v>90</v>
      </c>
      <c r="K801" t="s">
        <v>645</v>
      </c>
      <c r="M801" s="1" t="s">
        <v>58</v>
      </c>
      <c r="N801" s="1">
        <v>0</v>
      </c>
      <c r="O801" s="1" t="s">
        <v>36</v>
      </c>
      <c r="P801" s="11" t="s">
        <v>1553</v>
      </c>
      <c r="R801" s="1">
        <v>2</v>
      </c>
      <c r="T801" s="1" t="s">
        <v>646</v>
      </c>
      <c r="U801" s="11" t="s">
        <v>1554</v>
      </c>
      <c r="V801" s="1" t="s">
        <v>41</v>
      </c>
      <c r="W801" s="1" t="s">
        <v>49</v>
      </c>
      <c r="Z801" s="14">
        <v>1</v>
      </c>
      <c r="AA801" s="14"/>
      <c r="AC801" s="21"/>
      <c r="AE801" s="21"/>
    </row>
    <row r="802" spans="1:31" hidden="1">
      <c r="A802" s="1">
        <v>9125943</v>
      </c>
      <c r="B802" s="1" t="s">
        <v>101</v>
      </c>
      <c r="C802" t="s">
        <v>643</v>
      </c>
      <c r="D802" s="2">
        <v>220197093</v>
      </c>
      <c r="E802" s="2">
        <v>934001400040</v>
      </c>
      <c r="F802" s="1" t="s">
        <v>644</v>
      </c>
      <c r="G802" s="1" t="s">
        <v>53</v>
      </c>
      <c r="H802" s="1" t="s">
        <v>428</v>
      </c>
      <c r="I802" s="1" t="s">
        <v>429</v>
      </c>
      <c r="J802" s="1" t="s">
        <v>46</v>
      </c>
      <c r="K802" t="s">
        <v>645</v>
      </c>
      <c r="M802" s="1" t="s">
        <v>58</v>
      </c>
      <c r="N802" s="1">
        <v>0</v>
      </c>
      <c r="O802" s="1" t="s">
        <v>105</v>
      </c>
      <c r="P802" s="11" t="s">
        <v>1555</v>
      </c>
      <c r="R802" s="1">
        <v>2</v>
      </c>
      <c r="T802" s="1" t="s">
        <v>646</v>
      </c>
      <c r="U802" s="11" t="s">
        <v>1556</v>
      </c>
      <c r="V802" s="1" t="s">
        <v>41</v>
      </c>
      <c r="W802" s="1" t="s">
        <v>49</v>
      </c>
      <c r="Z802" s="14">
        <v>1</v>
      </c>
      <c r="AA802" s="14"/>
      <c r="AC802" s="21"/>
      <c r="AE802" s="21"/>
    </row>
    <row r="803" spans="1:31" hidden="1">
      <c r="A803" s="1">
        <v>9125924</v>
      </c>
      <c r="B803" s="1" t="s">
        <v>101</v>
      </c>
      <c r="C803" t="s">
        <v>643</v>
      </c>
      <c r="D803" s="2">
        <v>220197082</v>
      </c>
      <c r="E803" s="2">
        <v>922001400040</v>
      </c>
      <c r="F803" s="1" t="s">
        <v>644</v>
      </c>
      <c r="G803" s="1" t="s">
        <v>53</v>
      </c>
      <c r="H803" s="1" t="s">
        <v>1375</v>
      </c>
      <c r="I803" s="1" t="s">
        <v>1376</v>
      </c>
      <c r="J803" s="1" t="s">
        <v>261</v>
      </c>
      <c r="K803" t="s">
        <v>645</v>
      </c>
      <c r="M803" s="1" t="s">
        <v>58</v>
      </c>
      <c r="N803" s="1">
        <v>0</v>
      </c>
      <c r="O803" s="1" t="s">
        <v>105</v>
      </c>
      <c r="P803" s="11" t="s">
        <v>1557</v>
      </c>
      <c r="R803" s="1">
        <v>3</v>
      </c>
      <c r="T803" s="1" t="s">
        <v>646</v>
      </c>
      <c r="U803" s="11" t="s">
        <v>1558</v>
      </c>
      <c r="V803" s="1" t="s">
        <v>41</v>
      </c>
      <c r="W803" s="1" t="s">
        <v>49</v>
      </c>
      <c r="Z803" s="14">
        <v>1</v>
      </c>
      <c r="AA803" s="14"/>
      <c r="AC803" s="21"/>
      <c r="AE803" s="21"/>
    </row>
    <row r="804" spans="1:31">
      <c r="A804" s="1">
        <v>9125919</v>
      </c>
      <c r="B804" s="1" t="s">
        <v>101</v>
      </c>
      <c r="C804" t="s">
        <v>643</v>
      </c>
      <c r="D804" s="2">
        <v>220197080</v>
      </c>
      <c r="E804" s="2">
        <v>917001400040</v>
      </c>
      <c r="F804" s="1" t="s">
        <v>644</v>
      </c>
      <c r="G804" s="1" t="s">
        <v>53</v>
      </c>
      <c r="H804" s="1" t="s">
        <v>83</v>
      </c>
      <c r="I804" s="1" t="s">
        <v>84</v>
      </c>
      <c r="J804" s="1" t="s">
        <v>85</v>
      </c>
      <c r="K804" t="s">
        <v>645</v>
      </c>
      <c r="M804" s="1" t="s">
        <v>58</v>
      </c>
      <c r="N804" s="1">
        <v>0</v>
      </c>
      <c r="O804" s="1" t="s">
        <v>105</v>
      </c>
      <c r="P804" s="11" t="s">
        <v>1559</v>
      </c>
      <c r="R804" s="1">
        <v>3</v>
      </c>
      <c r="T804" s="1" t="s">
        <v>646</v>
      </c>
      <c r="U804" s="11" t="s">
        <v>1560</v>
      </c>
      <c r="V804" s="1" t="s">
        <v>41</v>
      </c>
      <c r="W804" s="1" t="s">
        <v>49</v>
      </c>
      <c r="Z804" s="14">
        <v>1</v>
      </c>
      <c r="AA804" s="14"/>
      <c r="AC804" s="21"/>
      <c r="AE804" s="21"/>
    </row>
    <row r="805" spans="1:31" hidden="1">
      <c r="A805" s="1">
        <v>9125717</v>
      </c>
      <c r="B805" s="1" t="s">
        <v>101</v>
      </c>
      <c r="C805" s="1" t="s">
        <v>643</v>
      </c>
      <c r="D805" s="2">
        <v>220196408</v>
      </c>
      <c r="E805" s="2">
        <v>5755001400030</v>
      </c>
      <c r="F805" s="18" t="s">
        <v>647</v>
      </c>
      <c r="G805" s="1" t="s">
        <v>53</v>
      </c>
      <c r="H805" s="1" t="s">
        <v>841</v>
      </c>
      <c r="I805" s="1" t="s">
        <v>842</v>
      </c>
      <c r="J805" s="1" t="s">
        <v>46</v>
      </c>
      <c r="K805" t="s">
        <v>650</v>
      </c>
      <c r="M805" s="1" t="s">
        <v>58</v>
      </c>
      <c r="N805" s="1">
        <v>0</v>
      </c>
      <c r="O805" s="1" t="s">
        <v>105</v>
      </c>
      <c r="P805" s="12">
        <v>44896.422476851854</v>
      </c>
      <c r="R805" s="1">
        <v>4</v>
      </c>
      <c r="T805" s="1" t="s">
        <v>646</v>
      </c>
      <c r="U805" s="12">
        <v>44897.422476851854</v>
      </c>
      <c r="V805" s="1" t="s">
        <v>41</v>
      </c>
      <c r="W805" s="1" t="s">
        <v>49</v>
      </c>
      <c r="Z805" s="14">
        <v>1</v>
      </c>
      <c r="AA805" s="14"/>
      <c r="AC805" s="21"/>
      <c r="AE805" s="21"/>
    </row>
    <row r="806" spans="1:31" hidden="1">
      <c r="A806" s="1">
        <v>9125693</v>
      </c>
      <c r="B806" s="1" t="s">
        <v>101</v>
      </c>
      <c r="C806" t="s">
        <v>643</v>
      </c>
      <c r="D806" s="2">
        <v>220196378</v>
      </c>
      <c r="E806" s="2">
        <v>1943001400030</v>
      </c>
      <c r="F806" s="1" t="s">
        <v>647</v>
      </c>
      <c r="G806" s="1" t="s">
        <v>53</v>
      </c>
      <c r="H806" s="1" t="s">
        <v>264</v>
      </c>
      <c r="I806" s="1" t="s">
        <v>265</v>
      </c>
      <c r="J806" s="1" t="s">
        <v>56</v>
      </c>
      <c r="K806" t="s">
        <v>650</v>
      </c>
      <c r="M806" s="1" t="s">
        <v>58</v>
      </c>
      <c r="N806" s="1">
        <v>0</v>
      </c>
      <c r="O806" s="1" t="s">
        <v>105</v>
      </c>
      <c r="P806" s="11" t="s">
        <v>1561</v>
      </c>
      <c r="R806" s="1">
        <v>4</v>
      </c>
      <c r="T806" s="1" t="s">
        <v>646</v>
      </c>
      <c r="U806" s="11" t="s">
        <v>1562</v>
      </c>
      <c r="V806" s="1" t="s">
        <v>41</v>
      </c>
      <c r="W806" s="1" t="s">
        <v>49</v>
      </c>
      <c r="Z806" s="14">
        <v>1</v>
      </c>
      <c r="AA806" s="14"/>
      <c r="AC806" s="21"/>
      <c r="AE806" s="21"/>
    </row>
    <row r="807" spans="1:31" hidden="1">
      <c r="A807" s="1">
        <v>9125685</v>
      </c>
      <c r="B807" s="1" t="s">
        <v>101</v>
      </c>
      <c r="C807" t="s">
        <v>643</v>
      </c>
      <c r="D807" s="2">
        <v>220196374</v>
      </c>
      <c r="E807" s="2">
        <v>1924001400030</v>
      </c>
      <c r="F807" s="1" t="s">
        <v>647</v>
      </c>
      <c r="G807" s="1" t="s">
        <v>53</v>
      </c>
      <c r="H807" s="1" t="s">
        <v>568</v>
      </c>
      <c r="I807" s="1" t="s">
        <v>569</v>
      </c>
      <c r="J807" s="1" t="s">
        <v>33</v>
      </c>
      <c r="K807" t="s">
        <v>650</v>
      </c>
      <c r="M807" s="1" t="s">
        <v>58</v>
      </c>
      <c r="N807" s="1">
        <v>0</v>
      </c>
      <c r="O807" s="1" t="s">
        <v>105</v>
      </c>
      <c r="P807" s="11" t="s">
        <v>1563</v>
      </c>
      <c r="R807" s="1">
        <v>4</v>
      </c>
      <c r="T807" s="1" t="s">
        <v>646</v>
      </c>
      <c r="U807" s="11" t="s">
        <v>1564</v>
      </c>
      <c r="V807" s="1" t="s">
        <v>41</v>
      </c>
      <c r="W807" s="1" t="s">
        <v>49</v>
      </c>
      <c r="Z807" s="14">
        <v>1</v>
      </c>
      <c r="AA807" s="14"/>
      <c r="AC807" s="21"/>
      <c r="AE807" s="21"/>
    </row>
    <row r="808" spans="1:31" hidden="1">
      <c r="A808" s="1">
        <v>9125609</v>
      </c>
      <c r="B808" s="1" t="s">
        <v>101</v>
      </c>
      <c r="C808" t="s">
        <v>643</v>
      </c>
      <c r="D808" s="2">
        <v>220196332</v>
      </c>
      <c r="E808" s="2">
        <v>5898001400030</v>
      </c>
      <c r="F808" s="1" t="s">
        <v>647</v>
      </c>
      <c r="G808" s="1" t="s">
        <v>53</v>
      </c>
      <c r="H808" s="1" t="s">
        <v>365</v>
      </c>
      <c r="I808" s="1" t="s">
        <v>366</v>
      </c>
      <c r="J808" s="1" t="s">
        <v>164</v>
      </c>
      <c r="K808" t="s">
        <v>650</v>
      </c>
      <c r="M808" s="1" t="s">
        <v>58</v>
      </c>
      <c r="N808" s="1">
        <v>0</v>
      </c>
      <c r="O808" s="1" t="s">
        <v>105</v>
      </c>
      <c r="P808" s="11" t="s">
        <v>1565</v>
      </c>
      <c r="R808" s="1">
        <v>4</v>
      </c>
      <c r="T808" s="1" t="s">
        <v>646</v>
      </c>
      <c r="U808" s="11" t="s">
        <v>1566</v>
      </c>
      <c r="V808" s="1" t="s">
        <v>41</v>
      </c>
      <c r="W808" s="1" t="s">
        <v>49</v>
      </c>
      <c r="Z808" s="14">
        <v>1</v>
      </c>
      <c r="AA808" s="14"/>
      <c r="AC808" s="21"/>
      <c r="AE808" s="21"/>
    </row>
    <row r="809" spans="1:31" hidden="1">
      <c r="A809" s="1">
        <v>9125460</v>
      </c>
      <c r="B809" s="1" t="s">
        <v>101</v>
      </c>
      <c r="C809" t="s">
        <v>643</v>
      </c>
      <c r="D809" s="2">
        <v>220196217</v>
      </c>
      <c r="E809" s="2">
        <v>5742001400030</v>
      </c>
      <c r="F809" s="1" t="s">
        <v>647</v>
      </c>
      <c r="G809" s="1" t="s">
        <v>53</v>
      </c>
      <c r="H809" s="1" t="s">
        <v>430</v>
      </c>
      <c r="I809" s="1" t="s">
        <v>431</v>
      </c>
      <c r="J809" s="1" t="s">
        <v>79</v>
      </c>
      <c r="K809" t="s">
        <v>650</v>
      </c>
      <c r="M809" s="1" t="s">
        <v>58</v>
      </c>
      <c r="N809" s="1">
        <v>0</v>
      </c>
      <c r="O809" s="1" t="s">
        <v>105</v>
      </c>
      <c r="P809" s="11" t="s">
        <v>1567</v>
      </c>
      <c r="R809" s="1">
        <v>4</v>
      </c>
      <c r="T809" s="1" t="s">
        <v>646</v>
      </c>
      <c r="U809" s="11" t="s">
        <v>1568</v>
      </c>
      <c r="V809" s="1" t="s">
        <v>41</v>
      </c>
      <c r="W809" s="1" t="s">
        <v>49</v>
      </c>
      <c r="Z809" s="14">
        <v>1</v>
      </c>
      <c r="AA809" s="14"/>
      <c r="AC809" s="21"/>
      <c r="AE809" s="21"/>
    </row>
    <row r="810" spans="1:31" hidden="1">
      <c r="A810" s="1">
        <v>9125444</v>
      </c>
      <c r="B810" s="1" t="s">
        <v>101</v>
      </c>
      <c r="C810" t="s">
        <v>643</v>
      </c>
      <c r="D810" s="2">
        <v>220196207</v>
      </c>
      <c r="E810" s="2">
        <v>7651400030</v>
      </c>
      <c r="F810" s="1" t="s">
        <v>647</v>
      </c>
      <c r="G810" s="1" t="s">
        <v>53</v>
      </c>
      <c r="H810" s="1" t="s">
        <v>827</v>
      </c>
      <c r="I810" s="1" t="s">
        <v>828</v>
      </c>
      <c r="J810" s="1" t="s">
        <v>46</v>
      </c>
      <c r="K810" t="s">
        <v>650</v>
      </c>
      <c r="M810" s="1" t="s">
        <v>58</v>
      </c>
      <c r="N810" s="1">
        <v>0</v>
      </c>
      <c r="O810" s="1" t="s">
        <v>105</v>
      </c>
      <c r="P810" s="11" t="s">
        <v>1569</v>
      </c>
      <c r="R810" s="1">
        <v>4</v>
      </c>
      <c r="T810" s="1" t="s">
        <v>646</v>
      </c>
      <c r="U810" s="11" t="s">
        <v>1570</v>
      </c>
      <c r="V810" s="1" t="s">
        <v>41</v>
      </c>
      <c r="W810" s="1" t="s">
        <v>49</v>
      </c>
      <c r="Z810" s="14">
        <v>1</v>
      </c>
      <c r="AA810" s="14"/>
      <c r="AC810" s="21"/>
      <c r="AE810" s="21"/>
    </row>
    <row r="811" spans="1:31" hidden="1">
      <c r="A811" s="1">
        <v>9125404</v>
      </c>
      <c r="B811" s="1" t="s">
        <v>101</v>
      </c>
      <c r="C811" t="s">
        <v>643</v>
      </c>
      <c r="D811" s="2">
        <v>220196178</v>
      </c>
      <c r="E811" s="2">
        <v>4997001400030</v>
      </c>
      <c r="F811" s="1" t="s">
        <v>647</v>
      </c>
      <c r="G811" s="1" t="s">
        <v>53</v>
      </c>
      <c r="H811" s="1" t="s">
        <v>406</v>
      </c>
      <c r="I811" s="1" t="s">
        <v>407</v>
      </c>
      <c r="J811" s="1" t="s">
        <v>79</v>
      </c>
      <c r="K811" t="s">
        <v>650</v>
      </c>
      <c r="M811" s="1" t="s">
        <v>58</v>
      </c>
      <c r="N811" s="1">
        <v>0</v>
      </c>
      <c r="O811" s="1" t="s">
        <v>105</v>
      </c>
      <c r="P811" s="11" t="s">
        <v>1571</v>
      </c>
      <c r="R811" s="1">
        <v>4</v>
      </c>
      <c r="T811" s="1" t="s">
        <v>646</v>
      </c>
      <c r="U811" s="11" t="s">
        <v>1572</v>
      </c>
      <c r="V811" s="1" t="s">
        <v>41</v>
      </c>
      <c r="W811" s="1" t="s">
        <v>49</v>
      </c>
      <c r="Z811" s="14">
        <v>1</v>
      </c>
      <c r="AA811" s="14"/>
      <c r="AC811" s="21"/>
      <c r="AE811" s="21"/>
    </row>
    <row r="812" spans="1:31" hidden="1">
      <c r="A812" s="1">
        <v>9125383</v>
      </c>
      <c r="B812" s="1" t="s">
        <v>101</v>
      </c>
      <c r="C812" t="s">
        <v>643</v>
      </c>
      <c r="D812" s="2">
        <v>220196166</v>
      </c>
      <c r="E812" s="2">
        <v>1120011400030</v>
      </c>
      <c r="F812" s="1" t="s">
        <v>647</v>
      </c>
      <c r="G812" s="1" t="s">
        <v>53</v>
      </c>
      <c r="H812" s="1" t="s">
        <v>648</v>
      </c>
      <c r="I812" s="1" t="s">
        <v>649</v>
      </c>
      <c r="J812" s="1" t="s">
        <v>164</v>
      </c>
      <c r="K812" t="s">
        <v>650</v>
      </c>
      <c r="M812" s="1" t="s">
        <v>58</v>
      </c>
      <c r="N812" s="1">
        <v>0</v>
      </c>
      <c r="O812" s="1" t="s">
        <v>105</v>
      </c>
      <c r="P812" s="11" t="s">
        <v>1573</v>
      </c>
      <c r="R812" s="1">
        <v>4</v>
      </c>
      <c r="T812" s="1" t="s">
        <v>646</v>
      </c>
      <c r="U812" s="11" t="s">
        <v>1574</v>
      </c>
      <c r="V812" s="1" t="s">
        <v>41</v>
      </c>
      <c r="W812" s="1" t="s">
        <v>49</v>
      </c>
      <c r="Z812" s="14">
        <v>1</v>
      </c>
      <c r="AA812" s="14"/>
      <c r="AC812" s="21"/>
      <c r="AE812" s="21"/>
    </row>
    <row r="813" spans="1:31">
      <c r="A813" s="1">
        <v>9125336</v>
      </c>
      <c r="B813" s="1" t="s">
        <v>101</v>
      </c>
      <c r="C813" t="s">
        <v>643</v>
      </c>
      <c r="D813" s="2">
        <v>220195971</v>
      </c>
      <c r="E813" s="2">
        <v>68051400030</v>
      </c>
      <c r="F813" s="1" t="s">
        <v>647</v>
      </c>
      <c r="G813" s="1" t="s">
        <v>53</v>
      </c>
      <c r="H813" s="1" t="s">
        <v>1575</v>
      </c>
      <c r="I813" s="1" t="s">
        <v>1576</v>
      </c>
      <c r="J813" s="1" t="s">
        <v>211</v>
      </c>
      <c r="K813" t="s">
        <v>650</v>
      </c>
      <c r="M813" s="1" t="s">
        <v>58</v>
      </c>
      <c r="N813" s="1">
        <v>0</v>
      </c>
      <c r="O813" s="1" t="s">
        <v>105</v>
      </c>
      <c r="P813" s="11" t="s">
        <v>1577</v>
      </c>
      <c r="R813" s="1">
        <v>4</v>
      </c>
      <c r="T813" s="1" t="s">
        <v>646</v>
      </c>
      <c r="U813" s="11" t="s">
        <v>1578</v>
      </c>
      <c r="V813" s="1" t="s">
        <v>41</v>
      </c>
      <c r="W813" s="1" t="s">
        <v>49</v>
      </c>
      <c r="Z813" s="14">
        <v>1</v>
      </c>
      <c r="AA813" s="14"/>
      <c r="AC813" s="21"/>
      <c r="AE813" s="21"/>
    </row>
    <row r="814" spans="1:31" hidden="1">
      <c r="A814" s="1">
        <v>9125234</v>
      </c>
      <c r="B814" s="1" t="s">
        <v>101</v>
      </c>
      <c r="C814" t="s">
        <v>643</v>
      </c>
      <c r="D814" s="2">
        <v>220195649</v>
      </c>
      <c r="E814" s="2">
        <v>2855001400030</v>
      </c>
      <c r="F814" s="1" t="s">
        <v>647</v>
      </c>
      <c r="G814" s="1" t="s">
        <v>53</v>
      </c>
      <c r="H814" s="1" t="s">
        <v>249</v>
      </c>
      <c r="I814" s="1" t="s">
        <v>250</v>
      </c>
      <c r="J814" s="1" t="s">
        <v>56</v>
      </c>
      <c r="K814" t="s">
        <v>650</v>
      </c>
      <c r="M814" s="1" t="s">
        <v>58</v>
      </c>
      <c r="N814" s="1">
        <v>0</v>
      </c>
      <c r="O814" s="1" t="s">
        <v>105</v>
      </c>
      <c r="P814" s="11" t="s">
        <v>1579</v>
      </c>
      <c r="R814" s="1">
        <v>4</v>
      </c>
      <c r="T814" s="1" t="s">
        <v>646</v>
      </c>
      <c r="U814" s="11" t="s">
        <v>1580</v>
      </c>
      <c r="V814" s="1" t="s">
        <v>41</v>
      </c>
      <c r="W814" s="1" t="s">
        <v>49</v>
      </c>
      <c r="Z814" s="14">
        <v>1</v>
      </c>
      <c r="AA814" s="14"/>
      <c r="AC814" s="21"/>
      <c r="AE814" s="21"/>
    </row>
    <row r="815" spans="1:31" hidden="1">
      <c r="A815" s="1">
        <v>9125221</v>
      </c>
      <c r="B815" s="1" t="s">
        <v>101</v>
      </c>
      <c r="C815" t="s">
        <v>643</v>
      </c>
      <c r="D815" s="2">
        <v>220195642</v>
      </c>
      <c r="E815" s="2">
        <v>2830001400030</v>
      </c>
      <c r="F815" s="1" t="s">
        <v>647</v>
      </c>
      <c r="G815" s="1" t="s">
        <v>53</v>
      </c>
      <c r="H815" s="1" t="s">
        <v>448</v>
      </c>
      <c r="I815" s="1" t="s">
        <v>449</v>
      </c>
      <c r="J815" s="1" t="s">
        <v>33</v>
      </c>
      <c r="K815" t="s">
        <v>650</v>
      </c>
      <c r="M815" s="1" t="s">
        <v>58</v>
      </c>
      <c r="N815" s="1">
        <v>0</v>
      </c>
      <c r="O815" s="1" t="s">
        <v>105</v>
      </c>
      <c r="P815" s="11" t="s">
        <v>1581</v>
      </c>
      <c r="R815" s="1">
        <v>4</v>
      </c>
      <c r="T815" s="1" t="s">
        <v>646</v>
      </c>
      <c r="U815" s="11" t="s">
        <v>1582</v>
      </c>
      <c r="V815" s="1" t="s">
        <v>41</v>
      </c>
      <c r="W815" s="1" t="s">
        <v>42</v>
      </c>
      <c r="Z815" s="14">
        <v>1</v>
      </c>
      <c r="AA815" s="14"/>
      <c r="AC815" s="21"/>
      <c r="AE815" s="21"/>
    </row>
    <row r="816" spans="1:31" hidden="1">
      <c r="A816" s="1">
        <v>9125216</v>
      </c>
      <c r="B816" s="1" t="s">
        <v>101</v>
      </c>
      <c r="C816" t="s">
        <v>643</v>
      </c>
      <c r="D816" s="2">
        <v>220195637</v>
      </c>
      <c r="E816" s="2">
        <v>2802001400030</v>
      </c>
      <c r="F816" s="1" t="s">
        <v>647</v>
      </c>
      <c r="G816" s="1" t="s">
        <v>53</v>
      </c>
      <c r="H816" s="1" t="s">
        <v>388</v>
      </c>
      <c r="I816" s="1" t="s">
        <v>389</v>
      </c>
      <c r="J816" s="1" t="s">
        <v>46</v>
      </c>
      <c r="K816" t="s">
        <v>650</v>
      </c>
      <c r="M816" s="1" t="s">
        <v>58</v>
      </c>
      <c r="N816" s="1">
        <v>0</v>
      </c>
      <c r="O816" s="1" t="s">
        <v>105</v>
      </c>
      <c r="P816" s="11" t="s">
        <v>1583</v>
      </c>
      <c r="R816" s="1">
        <v>4</v>
      </c>
      <c r="T816" s="1" t="s">
        <v>646</v>
      </c>
      <c r="U816" s="11" t="s">
        <v>1584</v>
      </c>
      <c r="V816" s="1" t="s">
        <v>41</v>
      </c>
      <c r="W816" s="1" t="s">
        <v>49</v>
      </c>
      <c r="Z816" s="14">
        <v>1</v>
      </c>
      <c r="AA816" s="14"/>
      <c r="AC816" s="21"/>
      <c r="AE816" s="21"/>
    </row>
    <row r="817" spans="1:31" hidden="1">
      <c r="A817" s="1">
        <v>9125183</v>
      </c>
      <c r="B817" s="1" t="s">
        <v>101</v>
      </c>
      <c r="C817" t="s">
        <v>643</v>
      </c>
      <c r="D817" s="2">
        <v>220195609</v>
      </c>
      <c r="E817" s="2">
        <v>2693001400030</v>
      </c>
      <c r="F817" s="1" t="s">
        <v>647</v>
      </c>
      <c r="G817" s="1" t="s">
        <v>53</v>
      </c>
      <c r="H817" s="1" t="s">
        <v>253</v>
      </c>
      <c r="I817" s="1" t="s">
        <v>254</v>
      </c>
      <c r="J817" s="1" t="s">
        <v>56</v>
      </c>
      <c r="K817" t="s">
        <v>650</v>
      </c>
      <c r="M817" s="1" t="s">
        <v>58</v>
      </c>
      <c r="N817" s="1">
        <v>0</v>
      </c>
      <c r="O817" s="1" t="s">
        <v>105</v>
      </c>
      <c r="P817" s="11" t="s">
        <v>1585</v>
      </c>
      <c r="R817" s="1">
        <v>4</v>
      </c>
      <c r="T817" s="1" t="s">
        <v>646</v>
      </c>
      <c r="U817" s="11" t="s">
        <v>1586</v>
      </c>
      <c r="V817" s="1" t="s">
        <v>41</v>
      </c>
      <c r="W817" s="1" t="s">
        <v>49</v>
      </c>
      <c r="Z817" s="14">
        <v>1</v>
      </c>
      <c r="AA817" s="14"/>
      <c r="AC817" s="21"/>
      <c r="AE817" s="21"/>
    </row>
    <row r="818" spans="1:31" hidden="1">
      <c r="A818" s="1">
        <v>9125136</v>
      </c>
      <c r="B818" s="1" t="s">
        <v>101</v>
      </c>
      <c r="C818" t="s">
        <v>643</v>
      </c>
      <c r="D818" s="2">
        <v>220195574</v>
      </c>
      <c r="E818" s="2">
        <v>2564001400030</v>
      </c>
      <c r="F818" s="1" t="s">
        <v>647</v>
      </c>
      <c r="G818" s="1" t="s">
        <v>53</v>
      </c>
      <c r="H818" s="1" t="s">
        <v>255</v>
      </c>
      <c r="I818" s="1" t="s">
        <v>256</v>
      </c>
      <c r="J818" s="1" t="s">
        <v>164</v>
      </c>
      <c r="K818" t="s">
        <v>650</v>
      </c>
      <c r="M818" s="1" t="s">
        <v>58</v>
      </c>
      <c r="N818" s="1">
        <v>0</v>
      </c>
      <c r="O818" s="1" t="s">
        <v>105</v>
      </c>
      <c r="P818" s="11" t="s">
        <v>1587</v>
      </c>
      <c r="R818" s="1">
        <v>4</v>
      </c>
      <c r="T818" s="1" t="s">
        <v>646</v>
      </c>
      <c r="U818" s="11" t="s">
        <v>1588</v>
      </c>
      <c r="V818" s="1" t="s">
        <v>41</v>
      </c>
      <c r="W818" s="1" t="s">
        <v>49</v>
      </c>
      <c r="Z818" s="14">
        <v>1</v>
      </c>
      <c r="AA818" s="14"/>
      <c r="AC818" s="21"/>
      <c r="AE818" s="21"/>
    </row>
    <row r="819" spans="1:31" hidden="1">
      <c r="A819" s="1">
        <v>9125100</v>
      </c>
      <c r="B819" s="1" t="s">
        <v>101</v>
      </c>
      <c r="C819" t="s">
        <v>643</v>
      </c>
      <c r="D819" s="2">
        <v>220195812</v>
      </c>
      <c r="E819" s="2">
        <v>3504001400030</v>
      </c>
      <c r="F819" s="1" t="s">
        <v>647</v>
      </c>
      <c r="G819" s="1" t="s">
        <v>53</v>
      </c>
      <c r="H819" s="1" t="s">
        <v>585</v>
      </c>
      <c r="I819" s="1" t="s">
        <v>586</v>
      </c>
      <c r="J819" s="1" t="s">
        <v>46</v>
      </c>
      <c r="K819" t="s">
        <v>650</v>
      </c>
      <c r="M819" s="1" t="s">
        <v>58</v>
      </c>
      <c r="N819" s="1">
        <v>0</v>
      </c>
      <c r="O819" s="1" t="s">
        <v>105</v>
      </c>
      <c r="P819" s="11" t="s">
        <v>1589</v>
      </c>
      <c r="R819" s="1">
        <v>4</v>
      </c>
      <c r="T819" s="1" t="s">
        <v>646</v>
      </c>
      <c r="U819" s="11" t="s">
        <v>1590</v>
      </c>
      <c r="V819" s="1" t="s">
        <v>41</v>
      </c>
      <c r="W819" s="1" t="s">
        <v>49</v>
      </c>
      <c r="Z819" s="14">
        <v>1</v>
      </c>
      <c r="AA819" s="14"/>
      <c r="AC819" s="21"/>
      <c r="AE819" s="21"/>
    </row>
    <row r="820" spans="1:31" hidden="1">
      <c r="A820" s="1">
        <v>9125015</v>
      </c>
      <c r="B820" s="1" t="s">
        <v>101</v>
      </c>
      <c r="C820" t="s">
        <v>643</v>
      </c>
      <c r="D820" s="2">
        <v>220195498</v>
      </c>
      <c r="E820" s="2">
        <v>2326001400030</v>
      </c>
      <c r="F820" s="1" t="s">
        <v>647</v>
      </c>
      <c r="G820" s="1" t="s">
        <v>53</v>
      </c>
      <c r="H820" s="1" t="s">
        <v>191</v>
      </c>
      <c r="I820" s="1" t="s">
        <v>192</v>
      </c>
      <c r="J820" s="1" t="s">
        <v>46</v>
      </c>
      <c r="K820" t="s">
        <v>650</v>
      </c>
      <c r="M820" s="1" t="s">
        <v>58</v>
      </c>
      <c r="N820" s="1">
        <v>0</v>
      </c>
      <c r="O820" s="1" t="s">
        <v>105</v>
      </c>
      <c r="P820" s="11" t="s">
        <v>1591</v>
      </c>
      <c r="R820" s="1">
        <v>4</v>
      </c>
      <c r="T820" s="1" t="s">
        <v>646</v>
      </c>
      <c r="U820" s="11" t="s">
        <v>1592</v>
      </c>
      <c r="V820" s="1" t="s">
        <v>41</v>
      </c>
      <c r="W820" s="1" t="s">
        <v>49</v>
      </c>
      <c r="Z820" s="14">
        <v>1</v>
      </c>
      <c r="AA820" s="14"/>
      <c r="AC820" s="21"/>
      <c r="AE820" s="21"/>
    </row>
    <row r="821" spans="1:31">
      <c r="A821" s="1">
        <v>9124937</v>
      </c>
      <c r="B821" s="1" t="s">
        <v>101</v>
      </c>
      <c r="C821" t="s">
        <v>643</v>
      </c>
      <c r="D821" s="2">
        <v>220195443</v>
      </c>
      <c r="E821" s="2">
        <v>2125001400030</v>
      </c>
      <c r="F821" s="1" t="s">
        <v>647</v>
      </c>
      <c r="G821" s="1" t="s">
        <v>53</v>
      </c>
      <c r="H821" s="1" t="s">
        <v>1399</v>
      </c>
      <c r="I821" s="1" t="s">
        <v>1400</v>
      </c>
      <c r="J821" s="1" t="s">
        <v>211</v>
      </c>
      <c r="K821" t="s">
        <v>650</v>
      </c>
      <c r="M821" s="1" t="s">
        <v>58</v>
      </c>
      <c r="N821" s="1">
        <v>0</v>
      </c>
      <c r="O821" s="1" t="s">
        <v>105</v>
      </c>
      <c r="P821" s="11" t="s">
        <v>1593</v>
      </c>
      <c r="R821" s="1">
        <v>4</v>
      </c>
      <c r="T821" s="1" t="s">
        <v>646</v>
      </c>
      <c r="U821" s="11" t="s">
        <v>1594</v>
      </c>
      <c r="V821" s="1" t="s">
        <v>41</v>
      </c>
      <c r="W821" s="1" t="s">
        <v>49</v>
      </c>
      <c r="Z821" s="14">
        <v>1</v>
      </c>
      <c r="AA821" s="14"/>
      <c r="AC821" s="21"/>
      <c r="AE821" s="21"/>
    </row>
    <row r="822" spans="1:31" hidden="1">
      <c r="A822" s="1">
        <v>9124924</v>
      </c>
      <c r="B822" s="1" t="s">
        <v>101</v>
      </c>
      <c r="C822" t="s">
        <v>643</v>
      </c>
      <c r="D822" s="2">
        <v>220195430</v>
      </c>
      <c r="E822" s="2">
        <v>2081001400030</v>
      </c>
      <c r="F822" s="1" t="s">
        <v>647</v>
      </c>
      <c r="G822" s="1" t="s">
        <v>53</v>
      </c>
      <c r="H822" s="1" t="s">
        <v>590</v>
      </c>
      <c r="I822" s="1" t="s">
        <v>591</v>
      </c>
      <c r="J822" s="1" t="s">
        <v>261</v>
      </c>
      <c r="K822" t="s">
        <v>650</v>
      </c>
      <c r="M822" s="1" t="s">
        <v>58</v>
      </c>
      <c r="N822" s="1">
        <v>0</v>
      </c>
      <c r="O822" s="1" t="s">
        <v>105</v>
      </c>
      <c r="P822" s="11" t="s">
        <v>1595</v>
      </c>
      <c r="R822" s="1">
        <v>4</v>
      </c>
      <c r="T822" s="1" t="s">
        <v>646</v>
      </c>
      <c r="U822" s="11" t="s">
        <v>1596</v>
      </c>
      <c r="V822" s="1" t="s">
        <v>41</v>
      </c>
      <c r="W822" s="1" t="s">
        <v>49</v>
      </c>
      <c r="Z822" s="14">
        <v>1</v>
      </c>
      <c r="AA822" s="14"/>
      <c r="AC822" s="21"/>
      <c r="AE822" s="21"/>
    </row>
    <row r="823" spans="1:31" hidden="1">
      <c r="A823" s="1">
        <v>9124894</v>
      </c>
      <c r="B823" s="1" t="s">
        <v>101</v>
      </c>
      <c r="C823" t="s">
        <v>643</v>
      </c>
      <c r="D823" s="2">
        <v>220195405</v>
      </c>
      <c r="E823" s="2">
        <v>2018001400030</v>
      </c>
      <c r="F823" s="1" t="s">
        <v>647</v>
      </c>
      <c r="G823" s="1" t="s">
        <v>53</v>
      </c>
      <c r="H823" s="1" t="s">
        <v>598</v>
      </c>
      <c r="I823" s="1" t="s">
        <v>599</v>
      </c>
      <c r="J823" s="1" t="s">
        <v>79</v>
      </c>
      <c r="K823" t="s">
        <v>650</v>
      </c>
      <c r="M823" s="1" t="s">
        <v>58</v>
      </c>
      <c r="N823" s="1">
        <v>0</v>
      </c>
      <c r="O823" s="1" t="s">
        <v>105</v>
      </c>
      <c r="P823" s="11" t="s">
        <v>1597</v>
      </c>
      <c r="R823" s="1">
        <v>4</v>
      </c>
      <c r="T823" s="1" t="s">
        <v>646</v>
      </c>
      <c r="U823" s="11" t="s">
        <v>1598</v>
      </c>
      <c r="V823" s="1" t="s">
        <v>41</v>
      </c>
      <c r="W823" s="1" t="s">
        <v>49</v>
      </c>
      <c r="Z823" s="14">
        <v>1</v>
      </c>
      <c r="AA823" s="14"/>
      <c r="AC823" s="21"/>
      <c r="AE823" s="21"/>
    </row>
    <row r="824" spans="1:31" hidden="1">
      <c r="A824" s="1">
        <v>9124865</v>
      </c>
      <c r="B824" s="1" t="s">
        <v>101</v>
      </c>
      <c r="C824" t="s">
        <v>643</v>
      </c>
      <c r="D824" s="2">
        <v>220195224</v>
      </c>
      <c r="E824" s="2">
        <v>1363001400030</v>
      </c>
      <c r="F824" s="1" t="s">
        <v>647</v>
      </c>
      <c r="G824" s="1" t="s">
        <v>53</v>
      </c>
      <c r="H824" s="1" t="s">
        <v>108</v>
      </c>
      <c r="I824" s="1" t="s">
        <v>109</v>
      </c>
      <c r="J824" s="1" t="s">
        <v>110</v>
      </c>
      <c r="K824" t="s">
        <v>650</v>
      </c>
      <c r="M824" s="1" t="s">
        <v>58</v>
      </c>
      <c r="N824" s="1">
        <v>0</v>
      </c>
      <c r="O824" s="1" t="s">
        <v>105</v>
      </c>
      <c r="P824" s="11" t="s">
        <v>1599</v>
      </c>
      <c r="R824" s="1">
        <v>4</v>
      </c>
      <c r="T824" s="1" t="s">
        <v>646</v>
      </c>
      <c r="U824" s="11" t="s">
        <v>1600</v>
      </c>
      <c r="V824" s="1" t="s">
        <v>41</v>
      </c>
      <c r="W824" s="1" t="s">
        <v>49</v>
      </c>
      <c r="Z824" s="14">
        <v>1</v>
      </c>
      <c r="AA824" s="14"/>
      <c r="AC824" s="21"/>
      <c r="AE824" s="21"/>
    </row>
    <row r="825" spans="1:31" hidden="1">
      <c r="A825" s="1">
        <v>9124835</v>
      </c>
      <c r="B825" s="1" t="s">
        <v>101</v>
      </c>
      <c r="C825" t="s">
        <v>643</v>
      </c>
      <c r="D825" s="2">
        <v>220195278</v>
      </c>
      <c r="E825" s="2">
        <v>1509001400030</v>
      </c>
      <c r="F825" s="1" t="s">
        <v>647</v>
      </c>
      <c r="G825" s="1" t="s">
        <v>53</v>
      </c>
      <c r="H825" s="1" t="s">
        <v>731</v>
      </c>
      <c r="I825" s="1" t="s">
        <v>732</v>
      </c>
      <c r="J825" s="1" t="s">
        <v>46</v>
      </c>
      <c r="K825" t="s">
        <v>650</v>
      </c>
      <c r="M825" s="1" t="s">
        <v>58</v>
      </c>
      <c r="N825" s="1">
        <v>0</v>
      </c>
      <c r="O825" s="1" t="s">
        <v>105</v>
      </c>
      <c r="P825" s="11" t="s">
        <v>1601</v>
      </c>
      <c r="R825" s="1">
        <v>4</v>
      </c>
      <c r="T825" s="1" t="s">
        <v>646</v>
      </c>
      <c r="U825" s="11" t="s">
        <v>1602</v>
      </c>
      <c r="V825" s="1" t="s">
        <v>41</v>
      </c>
      <c r="W825" s="1" t="s">
        <v>49</v>
      </c>
      <c r="Z825" s="14">
        <v>1</v>
      </c>
      <c r="AA825" s="14"/>
      <c r="AC825" s="21"/>
      <c r="AE825" s="21"/>
    </row>
    <row r="826" spans="1:31" hidden="1">
      <c r="A826" s="1">
        <v>9124788</v>
      </c>
      <c r="B826" s="1" t="s">
        <v>101</v>
      </c>
      <c r="C826" t="s">
        <v>643</v>
      </c>
      <c r="D826" s="2">
        <v>220195222</v>
      </c>
      <c r="E826" s="2">
        <v>1360001400030</v>
      </c>
      <c r="F826" s="1" t="s">
        <v>647</v>
      </c>
      <c r="G826" s="1" t="s">
        <v>53</v>
      </c>
      <c r="H826" s="1" t="s">
        <v>303</v>
      </c>
      <c r="I826" s="1" t="s">
        <v>304</v>
      </c>
      <c r="J826" s="1" t="s">
        <v>261</v>
      </c>
      <c r="K826" t="s">
        <v>650</v>
      </c>
      <c r="M826" s="1" t="s">
        <v>58</v>
      </c>
      <c r="N826" s="1">
        <v>0</v>
      </c>
      <c r="O826" s="1" t="s">
        <v>105</v>
      </c>
      <c r="P826" s="11" t="s">
        <v>1603</v>
      </c>
      <c r="R826" s="1">
        <v>4</v>
      </c>
      <c r="T826" s="1" t="s">
        <v>646</v>
      </c>
      <c r="U826" s="11" t="s">
        <v>1604</v>
      </c>
      <c r="V826" s="1" t="s">
        <v>41</v>
      </c>
      <c r="W826" s="1" t="s">
        <v>49</v>
      </c>
      <c r="Z826" s="14">
        <v>1</v>
      </c>
      <c r="AA826" s="14"/>
      <c r="AC826" s="21"/>
      <c r="AE826" s="21"/>
    </row>
    <row r="827" spans="1:31" hidden="1">
      <c r="A827" s="1">
        <v>9124763</v>
      </c>
      <c r="B827" s="1" t="s">
        <v>101</v>
      </c>
      <c r="C827" t="s">
        <v>643</v>
      </c>
      <c r="D827" s="2">
        <v>220195221</v>
      </c>
      <c r="E827" s="2">
        <v>1359001400030</v>
      </c>
      <c r="F827" s="1" t="s">
        <v>647</v>
      </c>
      <c r="G827" s="1" t="s">
        <v>53</v>
      </c>
      <c r="H827" s="1" t="s">
        <v>270</v>
      </c>
      <c r="I827" s="1" t="s">
        <v>271</v>
      </c>
      <c r="J827" s="1" t="s">
        <v>141</v>
      </c>
      <c r="K827" t="s">
        <v>650</v>
      </c>
      <c r="M827" s="1" t="s">
        <v>58</v>
      </c>
      <c r="N827" s="1">
        <v>0</v>
      </c>
      <c r="O827" s="1" t="s">
        <v>105</v>
      </c>
      <c r="P827" s="11" t="s">
        <v>1605</v>
      </c>
      <c r="R827" s="1">
        <v>4</v>
      </c>
      <c r="T827" s="1" t="s">
        <v>646</v>
      </c>
      <c r="U827" s="11" t="s">
        <v>1606</v>
      </c>
      <c r="V827" s="1" t="s">
        <v>41</v>
      </c>
      <c r="W827" s="1" t="s">
        <v>49</v>
      </c>
      <c r="Z827" s="14">
        <v>1</v>
      </c>
      <c r="AA827" s="14"/>
      <c r="AC827" s="21"/>
      <c r="AE827" s="21"/>
    </row>
    <row r="828" spans="1:31">
      <c r="A828" s="1">
        <v>9124743</v>
      </c>
      <c r="B828" s="1" t="s">
        <v>101</v>
      </c>
      <c r="C828" t="s">
        <v>643</v>
      </c>
      <c r="D828" s="2">
        <v>220195223</v>
      </c>
      <c r="E828" s="2">
        <v>1362001400030</v>
      </c>
      <c r="F828" s="1" t="s">
        <v>647</v>
      </c>
      <c r="G828" s="1" t="s">
        <v>53</v>
      </c>
      <c r="H828" s="1" t="s">
        <v>268</v>
      </c>
      <c r="I828" s="1" t="s">
        <v>269</v>
      </c>
      <c r="J828" s="1" t="s">
        <v>90</v>
      </c>
      <c r="K828" t="s">
        <v>650</v>
      </c>
      <c r="M828" s="1" t="s">
        <v>58</v>
      </c>
      <c r="N828" s="1">
        <v>0</v>
      </c>
      <c r="O828" s="1" t="s">
        <v>105</v>
      </c>
      <c r="P828" s="11" t="s">
        <v>1607</v>
      </c>
      <c r="R828" s="1">
        <v>4</v>
      </c>
      <c r="T828" s="1" t="s">
        <v>646</v>
      </c>
      <c r="U828" s="11" t="s">
        <v>1608</v>
      </c>
      <c r="V828" s="1" t="s">
        <v>41</v>
      </c>
      <c r="W828" s="1" t="s">
        <v>49</v>
      </c>
      <c r="Z828" s="14">
        <v>1</v>
      </c>
      <c r="AA828" s="14"/>
      <c r="AC828" s="21"/>
      <c r="AE828" s="21"/>
    </row>
    <row r="829" spans="1:31" hidden="1">
      <c r="A829" s="1">
        <v>9124708</v>
      </c>
      <c r="B829" s="1" t="s">
        <v>101</v>
      </c>
      <c r="C829" t="s">
        <v>643</v>
      </c>
      <c r="D829" s="2">
        <v>220195015</v>
      </c>
      <c r="E829" s="2">
        <v>934001400030</v>
      </c>
      <c r="F829" s="1" t="s">
        <v>647</v>
      </c>
      <c r="G829" s="1" t="s">
        <v>53</v>
      </c>
      <c r="H829" s="1" t="s">
        <v>428</v>
      </c>
      <c r="I829" s="1" t="s">
        <v>429</v>
      </c>
      <c r="J829" s="1" t="s">
        <v>46</v>
      </c>
      <c r="K829" t="s">
        <v>650</v>
      </c>
      <c r="M829" s="1" t="s">
        <v>58</v>
      </c>
      <c r="N829" s="1">
        <v>0</v>
      </c>
      <c r="O829" s="1" t="s">
        <v>105</v>
      </c>
      <c r="P829" s="11" t="s">
        <v>1609</v>
      </c>
      <c r="R829" s="1">
        <v>4</v>
      </c>
      <c r="T829" s="1" t="s">
        <v>646</v>
      </c>
      <c r="U829" s="11" t="s">
        <v>1610</v>
      </c>
      <c r="V829" s="1" t="s">
        <v>41</v>
      </c>
      <c r="W829" s="1" t="s">
        <v>49</v>
      </c>
      <c r="Z829" s="14">
        <v>1</v>
      </c>
      <c r="AA829" s="14"/>
      <c r="AC829" s="21"/>
      <c r="AE829" s="21"/>
    </row>
    <row r="830" spans="1:31">
      <c r="A830" s="1">
        <v>9124706</v>
      </c>
      <c r="B830" s="1" t="s">
        <v>101</v>
      </c>
      <c r="C830" t="s">
        <v>643</v>
      </c>
      <c r="D830" s="2">
        <v>220195077</v>
      </c>
      <c r="E830" s="2">
        <v>1069001400030</v>
      </c>
      <c r="F830" s="1" t="s">
        <v>647</v>
      </c>
      <c r="G830" s="1" t="s">
        <v>53</v>
      </c>
      <c r="H830" s="1" t="s">
        <v>353</v>
      </c>
      <c r="I830" s="1" t="s">
        <v>354</v>
      </c>
      <c r="J830" s="1" t="s">
        <v>211</v>
      </c>
      <c r="K830" t="s">
        <v>650</v>
      </c>
      <c r="M830" s="1" t="s">
        <v>58</v>
      </c>
      <c r="N830" s="1">
        <v>0</v>
      </c>
      <c r="O830" s="1" t="s">
        <v>105</v>
      </c>
      <c r="P830" s="11" t="s">
        <v>1611</v>
      </c>
      <c r="R830" s="1">
        <v>4</v>
      </c>
      <c r="T830" s="1" t="s">
        <v>646</v>
      </c>
      <c r="U830" s="11" t="s">
        <v>1612</v>
      </c>
      <c r="V830" s="1" t="s">
        <v>41</v>
      </c>
      <c r="W830" s="1" t="s">
        <v>49</v>
      </c>
      <c r="Z830" s="14">
        <v>1</v>
      </c>
      <c r="AA830" s="14"/>
      <c r="AC830" s="21"/>
      <c r="AE830" s="21"/>
    </row>
    <row r="831" spans="1:31" hidden="1">
      <c r="A831" s="1">
        <v>9124678</v>
      </c>
      <c r="B831" s="1" t="s">
        <v>101</v>
      </c>
      <c r="C831" t="s">
        <v>643</v>
      </c>
      <c r="D831" s="2">
        <v>220195052</v>
      </c>
      <c r="E831" s="2">
        <v>1012001400030</v>
      </c>
      <c r="F831" s="1" t="s">
        <v>647</v>
      </c>
      <c r="G831" s="1" t="s">
        <v>53</v>
      </c>
      <c r="H831" s="1" t="s">
        <v>172</v>
      </c>
      <c r="I831" s="1" t="s">
        <v>173</v>
      </c>
      <c r="J831" s="1" t="s">
        <v>164</v>
      </c>
      <c r="K831" t="s">
        <v>650</v>
      </c>
      <c r="M831" s="1" t="s">
        <v>58</v>
      </c>
      <c r="N831" s="1">
        <v>0</v>
      </c>
      <c r="O831" s="1" t="s">
        <v>105</v>
      </c>
      <c r="P831" s="11" t="s">
        <v>1613</v>
      </c>
      <c r="R831" s="1">
        <v>4</v>
      </c>
      <c r="T831" s="1" t="s">
        <v>646</v>
      </c>
      <c r="U831" s="11" t="s">
        <v>1614</v>
      </c>
      <c r="V831" s="1" t="s">
        <v>41</v>
      </c>
      <c r="W831" s="1" t="s">
        <v>49</v>
      </c>
      <c r="Z831" s="14">
        <v>1</v>
      </c>
      <c r="AA831" s="14"/>
      <c r="AC831" s="21"/>
      <c r="AE831" s="21"/>
    </row>
    <row r="832" spans="1:31">
      <c r="A832" s="1">
        <v>9124643</v>
      </c>
      <c r="B832" s="1" t="s">
        <v>101</v>
      </c>
      <c r="C832" t="s">
        <v>643</v>
      </c>
      <c r="D832" s="2">
        <v>220195037</v>
      </c>
      <c r="E832" s="2">
        <v>981001400030</v>
      </c>
      <c r="F832" s="1" t="s">
        <v>647</v>
      </c>
      <c r="G832" s="1" t="s">
        <v>53</v>
      </c>
      <c r="H832" s="1" t="s">
        <v>410</v>
      </c>
      <c r="I832" s="1" t="s">
        <v>411</v>
      </c>
      <c r="J832" s="1" t="s">
        <v>85</v>
      </c>
      <c r="K832" t="s">
        <v>650</v>
      </c>
      <c r="M832" s="1" t="s">
        <v>58</v>
      </c>
      <c r="N832" s="1">
        <v>0</v>
      </c>
      <c r="O832" s="1" t="s">
        <v>105</v>
      </c>
      <c r="P832" s="11" t="s">
        <v>1615</v>
      </c>
      <c r="R832" s="1">
        <v>4</v>
      </c>
      <c r="T832" s="1" t="s">
        <v>646</v>
      </c>
      <c r="U832" s="11" t="s">
        <v>1616</v>
      </c>
      <c r="V832" s="1" t="s">
        <v>41</v>
      </c>
      <c r="W832" s="1" t="s">
        <v>49</v>
      </c>
      <c r="Z832" s="14">
        <v>1</v>
      </c>
      <c r="AA832" s="14"/>
      <c r="AC832" s="21"/>
      <c r="AE832" s="21"/>
    </row>
    <row r="833" spans="1:31" hidden="1">
      <c r="A833" s="1">
        <v>9124615</v>
      </c>
      <c r="B833" s="1" t="s">
        <v>101</v>
      </c>
      <c r="C833" t="s">
        <v>643</v>
      </c>
      <c r="D833" s="2">
        <v>220195070</v>
      </c>
      <c r="E833" s="2">
        <v>1049001400030</v>
      </c>
      <c r="F833" s="1" t="s">
        <v>647</v>
      </c>
      <c r="G833" s="1" t="s">
        <v>53</v>
      </c>
      <c r="H833" s="1" t="s">
        <v>169</v>
      </c>
      <c r="I833" s="1" t="s">
        <v>170</v>
      </c>
      <c r="J833" s="1" t="s">
        <v>164</v>
      </c>
      <c r="K833" t="s">
        <v>650</v>
      </c>
      <c r="M833" s="1" t="s">
        <v>58</v>
      </c>
      <c r="N833" s="1">
        <v>0</v>
      </c>
      <c r="O833" s="1" t="s">
        <v>105</v>
      </c>
      <c r="P833" s="11" t="s">
        <v>1617</v>
      </c>
      <c r="R833" s="1">
        <v>4</v>
      </c>
      <c r="T833" s="1" t="s">
        <v>646</v>
      </c>
      <c r="U833" s="11" t="s">
        <v>1618</v>
      </c>
      <c r="V833" s="1" t="s">
        <v>41</v>
      </c>
      <c r="W833" s="1" t="s">
        <v>49</v>
      </c>
      <c r="Z833" s="14">
        <v>1</v>
      </c>
      <c r="AA833" s="14"/>
      <c r="AC833" s="21"/>
      <c r="AE833" s="21"/>
    </row>
    <row r="834" spans="1:31" hidden="1">
      <c r="A834" s="1">
        <v>9124603</v>
      </c>
      <c r="B834" s="1" t="s">
        <v>101</v>
      </c>
      <c r="C834" t="s">
        <v>643</v>
      </c>
      <c r="D834" s="2">
        <v>220195105</v>
      </c>
      <c r="E834" s="2">
        <v>1120001400030</v>
      </c>
      <c r="F834" s="1" t="s">
        <v>647</v>
      </c>
      <c r="G834" s="1" t="s">
        <v>53</v>
      </c>
      <c r="H834" s="1" t="s">
        <v>181</v>
      </c>
      <c r="I834" s="1" t="s">
        <v>182</v>
      </c>
      <c r="J834" s="1" t="s">
        <v>164</v>
      </c>
      <c r="K834" t="s">
        <v>650</v>
      </c>
      <c r="M834" s="1" t="s">
        <v>58</v>
      </c>
      <c r="N834" s="1">
        <v>0</v>
      </c>
      <c r="O834" s="1" t="s">
        <v>105</v>
      </c>
      <c r="P834" s="11" t="s">
        <v>1619</v>
      </c>
      <c r="R834" s="1">
        <v>4</v>
      </c>
      <c r="T834" s="1" t="s">
        <v>646</v>
      </c>
      <c r="U834" s="11" t="s">
        <v>1620</v>
      </c>
      <c r="V834" s="1" t="s">
        <v>41</v>
      </c>
      <c r="W834" s="1" t="s">
        <v>49</v>
      </c>
      <c r="Z834" s="14">
        <v>1</v>
      </c>
      <c r="AA834" s="14"/>
      <c r="AC834" s="21"/>
      <c r="AE834" s="21"/>
    </row>
    <row r="835" spans="1:31" hidden="1">
      <c r="A835" s="1">
        <v>9124567</v>
      </c>
      <c r="B835" s="1" t="s">
        <v>101</v>
      </c>
      <c r="C835" t="s">
        <v>643</v>
      </c>
      <c r="D835" s="2">
        <v>220194886</v>
      </c>
      <c r="E835" s="2">
        <v>710001400030</v>
      </c>
      <c r="F835" s="1" t="s">
        <v>647</v>
      </c>
      <c r="G835" s="1" t="s">
        <v>53</v>
      </c>
      <c r="H835" s="1" t="s">
        <v>390</v>
      </c>
      <c r="I835" s="1" t="s">
        <v>391</v>
      </c>
      <c r="J835" s="1" t="s">
        <v>56</v>
      </c>
      <c r="K835" t="s">
        <v>650</v>
      </c>
      <c r="M835" s="1" t="s">
        <v>58</v>
      </c>
      <c r="N835" s="1">
        <v>0</v>
      </c>
      <c r="O835" s="1" t="s">
        <v>105</v>
      </c>
      <c r="P835" s="11" t="s">
        <v>1621</v>
      </c>
      <c r="R835" s="1">
        <v>4</v>
      </c>
      <c r="T835" s="1" t="s">
        <v>646</v>
      </c>
      <c r="U835" s="11" t="s">
        <v>1622</v>
      </c>
      <c r="V835" s="1" t="s">
        <v>41</v>
      </c>
      <c r="W835" s="1" t="s">
        <v>49</v>
      </c>
      <c r="Z835" s="14">
        <v>1</v>
      </c>
      <c r="AA835" s="14"/>
      <c r="AC835" s="21"/>
      <c r="AE835" s="21"/>
    </row>
    <row r="836" spans="1:31" hidden="1">
      <c r="A836" s="1">
        <v>9124538</v>
      </c>
      <c r="B836" s="1" t="s">
        <v>101</v>
      </c>
      <c r="C836" t="s">
        <v>643</v>
      </c>
      <c r="D836" s="2">
        <v>220194887</v>
      </c>
      <c r="E836" s="2">
        <v>714001400030</v>
      </c>
      <c r="F836" s="1" t="s">
        <v>647</v>
      </c>
      <c r="G836" s="1" t="s">
        <v>53</v>
      </c>
      <c r="H836" s="1" t="s">
        <v>377</v>
      </c>
      <c r="I836" s="1" t="s">
        <v>378</v>
      </c>
      <c r="J836" s="1" t="s">
        <v>46</v>
      </c>
      <c r="K836" t="s">
        <v>650</v>
      </c>
      <c r="M836" s="1" t="s">
        <v>58</v>
      </c>
      <c r="N836" s="1">
        <v>0</v>
      </c>
      <c r="O836" s="1" t="s">
        <v>105</v>
      </c>
      <c r="P836" s="11" t="s">
        <v>1623</v>
      </c>
      <c r="R836" s="1">
        <v>4</v>
      </c>
      <c r="T836" s="1" t="s">
        <v>646</v>
      </c>
      <c r="U836" s="11" t="s">
        <v>1624</v>
      </c>
      <c r="V836" s="1" t="s">
        <v>41</v>
      </c>
      <c r="W836" s="1" t="s">
        <v>49</v>
      </c>
      <c r="Z836" s="14">
        <v>1</v>
      </c>
      <c r="AA836" s="14"/>
      <c r="AC836" s="21"/>
      <c r="AE836" s="21"/>
    </row>
    <row r="837" spans="1:31" hidden="1">
      <c r="A837" s="1">
        <v>9124463</v>
      </c>
      <c r="B837" s="1" t="s">
        <v>101</v>
      </c>
      <c r="C837" t="s">
        <v>643</v>
      </c>
      <c r="D837" s="2">
        <v>220194861</v>
      </c>
      <c r="E837" s="2">
        <v>673001400030</v>
      </c>
      <c r="F837" s="1" t="s">
        <v>647</v>
      </c>
      <c r="G837" s="1" t="s">
        <v>53</v>
      </c>
      <c r="H837" s="1" t="s">
        <v>581</v>
      </c>
      <c r="I837" s="1" t="s">
        <v>582</v>
      </c>
      <c r="J837" s="1" t="s">
        <v>110</v>
      </c>
      <c r="K837" t="s">
        <v>650</v>
      </c>
      <c r="M837" s="1" t="s">
        <v>58</v>
      </c>
      <c r="N837" s="1">
        <v>0</v>
      </c>
      <c r="O837" s="1" t="s">
        <v>105</v>
      </c>
      <c r="P837" s="11" t="s">
        <v>1625</v>
      </c>
      <c r="R837" s="1">
        <v>4</v>
      </c>
      <c r="T837" s="1" t="s">
        <v>646</v>
      </c>
      <c r="U837" s="11" t="s">
        <v>1626</v>
      </c>
      <c r="V837" s="1" t="s">
        <v>41</v>
      </c>
      <c r="W837" s="1" t="s">
        <v>49</v>
      </c>
      <c r="Z837" s="14">
        <v>1</v>
      </c>
      <c r="AA837" s="14"/>
      <c r="AC837" s="21"/>
      <c r="AE837" s="21"/>
    </row>
    <row r="838" spans="1:31" hidden="1">
      <c r="A838" s="1">
        <v>9124142</v>
      </c>
      <c r="B838" s="1" t="s">
        <v>101</v>
      </c>
      <c r="C838" t="s">
        <v>643</v>
      </c>
      <c r="D838" s="2">
        <v>220194221</v>
      </c>
      <c r="E838" s="2">
        <v>5742001400010</v>
      </c>
      <c r="F838" s="1" t="s">
        <v>936</v>
      </c>
      <c r="G838" s="1" t="s">
        <v>53</v>
      </c>
      <c r="H838" s="1" t="s">
        <v>430</v>
      </c>
      <c r="I838" s="1" t="s">
        <v>431</v>
      </c>
      <c r="J838" s="1" t="s">
        <v>79</v>
      </c>
      <c r="K838" t="s">
        <v>937</v>
      </c>
      <c r="M838" s="1" t="s">
        <v>58</v>
      </c>
      <c r="N838" s="1">
        <v>0</v>
      </c>
      <c r="O838" s="1" t="s">
        <v>105</v>
      </c>
      <c r="P838" s="11" t="s">
        <v>1627</v>
      </c>
      <c r="R838" s="1">
        <v>3</v>
      </c>
      <c r="T838" s="1" t="s">
        <v>646</v>
      </c>
      <c r="U838" s="11" t="s">
        <v>1628</v>
      </c>
      <c r="V838" s="1" t="s">
        <v>41</v>
      </c>
      <c r="W838" s="1" t="s">
        <v>49</v>
      </c>
      <c r="Z838" s="14">
        <v>1</v>
      </c>
      <c r="AA838" s="14"/>
      <c r="AC838" s="21"/>
      <c r="AE838" s="21"/>
    </row>
    <row r="839" spans="1:31" hidden="1">
      <c r="A839" s="1">
        <v>9124126</v>
      </c>
      <c r="B839" s="1" t="s">
        <v>101</v>
      </c>
      <c r="C839" t="s">
        <v>643</v>
      </c>
      <c r="D839" s="2">
        <v>220194213</v>
      </c>
      <c r="E839" s="2">
        <v>7651400010</v>
      </c>
      <c r="F839" s="1" t="s">
        <v>936</v>
      </c>
      <c r="G839" s="1" t="s">
        <v>53</v>
      </c>
      <c r="H839" s="1" t="s">
        <v>827</v>
      </c>
      <c r="I839" s="1" t="s">
        <v>828</v>
      </c>
      <c r="J839" s="1" t="s">
        <v>46</v>
      </c>
      <c r="K839" t="s">
        <v>937</v>
      </c>
      <c r="M839" s="1" t="s">
        <v>58</v>
      </c>
      <c r="N839" s="1">
        <v>0</v>
      </c>
      <c r="O839" s="1" t="s">
        <v>105</v>
      </c>
      <c r="P839" s="11" t="s">
        <v>1629</v>
      </c>
      <c r="R839" s="1">
        <v>3</v>
      </c>
      <c r="T839" s="1" t="s">
        <v>646</v>
      </c>
      <c r="U839" s="11" t="s">
        <v>1630</v>
      </c>
      <c r="V839" s="1" t="s">
        <v>41</v>
      </c>
      <c r="W839" s="1" t="s">
        <v>49</v>
      </c>
      <c r="Z839" s="14">
        <v>1</v>
      </c>
      <c r="AA839" s="14"/>
      <c r="AC839" s="21"/>
      <c r="AE839" s="21"/>
    </row>
    <row r="840" spans="1:31" hidden="1">
      <c r="A840" s="1">
        <v>9123907</v>
      </c>
      <c r="B840" s="1" t="s">
        <v>101</v>
      </c>
      <c r="C840" t="s">
        <v>643</v>
      </c>
      <c r="D840" s="2">
        <v>220193815</v>
      </c>
      <c r="E840" s="2">
        <v>3243001400010</v>
      </c>
      <c r="F840" s="1" t="s">
        <v>936</v>
      </c>
      <c r="G840" s="1" t="s">
        <v>53</v>
      </c>
      <c r="H840" s="1" t="s">
        <v>282</v>
      </c>
      <c r="I840" s="1" t="s">
        <v>283</v>
      </c>
      <c r="J840" s="1" t="s">
        <v>46</v>
      </c>
      <c r="K840" t="s">
        <v>937</v>
      </c>
      <c r="M840" s="1" t="s">
        <v>58</v>
      </c>
      <c r="N840" s="1">
        <v>0</v>
      </c>
      <c r="O840" s="1" t="s">
        <v>105</v>
      </c>
      <c r="P840" s="11" t="s">
        <v>1631</v>
      </c>
      <c r="R840" s="1">
        <v>3</v>
      </c>
      <c r="T840" s="1" t="s">
        <v>646</v>
      </c>
      <c r="U840" s="11" t="s">
        <v>1632</v>
      </c>
      <c r="V840" s="1" t="s">
        <v>41</v>
      </c>
      <c r="W840" s="1" t="s">
        <v>49</v>
      </c>
      <c r="Z840" s="14">
        <v>1</v>
      </c>
      <c r="AA840" s="14"/>
      <c r="AC840" s="21"/>
      <c r="AE840" s="21"/>
    </row>
    <row r="841" spans="1:31" hidden="1">
      <c r="A841" s="1">
        <v>9123817</v>
      </c>
      <c r="B841" s="1" t="s">
        <v>101</v>
      </c>
      <c r="C841" t="s">
        <v>643</v>
      </c>
      <c r="D841" s="2">
        <v>220193863</v>
      </c>
      <c r="E841" s="2">
        <v>3504001400010</v>
      </c>
      <c r="F841" s="1" t="s">
        <v>936</v>
      </c>
      <c r="G841" s="1" t="s">
        <v>53</v>
      </c>
      <c r="H841" s="1" t="s">
        <v>585</v>
      </c>
      <c r="I841" s="1" t="s">
        <v>586</v>
      </c>
      <c r="J841" s="1" t="s">
        <v>46</v>
      </c>
      <c r="K841" t="s">
        <v>937</v>
      </c>
      <c r="M841" s="1" t="s">
        <v>58</v>
      </c>
      <c r="N841" s="1">
        <v>0</v>
      </c>
      <c r="O841" s="1" t="s">
        <v>105</v>
      </c>
      <c r="P841" s="11" t="s">
        <v>1633</v>
      </c>
      <c r="R841" s="1">
        <v>3</v>
      </c>
      <c r="T841" s="1" t="s">
        <v>646</v>
      </c>
      <c r="U841" s="11" t="s">
        <v>1634</v>
      </c>
      <c r="V841" s="1" t="s">
        <v>41</v>
      </c>
      <c r="W841" s="1" t="s">
        <v>49</v>
      </c>
      <c r="Z841" s="14">
        <v>1</v>
      </c>
      <c r="AA841" s="14"/>
      <c r="AC841" s="21"/>
      <c r="AE841" s="21"/>
    </row>
    <row r="842" spans="1:31" hidden="1">
      <c r="A842" s="1">
        <v>9123799</v>
      </c>
      <c r="B842" s="1" t="s">
        <v>101</v>
      </c>
      <c r="C842" t="s">
        <v>643</v>
      </c>
      <c r="D842" s="2">
        <v>220193693</v>
      </c>
      <c r="E842" s="2">
        <v>2693001400010</v>
      </c>
      <c r="F842" s="1" t="s">
        <v>936</v>
      </c>
      <c r="G842" s="1" t="s">
        <v>53</v>
      </c>
      <c r="H842" s="1" t="s">
        <v>253</v>
      </c>
      <c r="I842" s="1" t="s">
        <v>254</v>
      </c>
      <c r="J842" s="1" t="s">
        <v>56</v>
      </c>
      <c r="K842" t="s">
        <v>937</v>
      </c>
      <c r="M842" s="1" t="s">
        <v>58</v>
      </c>
      <c r="N842" s="1">
        <v>0</v>
      </c>
      <c r="O842" s="1" t="s">
        <v>105</v>
      </c>
      <c r="P842" s="11" t="s">
        <v>1635</v>
      </c>
      <c r="R842" s="1">
        <v>3</v>
      </c>
      <c r="T842" s="1" t="s">
        <v>646</v>
      </c>
      <c r="U842" s="11" t="s">
        <v>1636</v>
      </c>
      <c r="V842" s="1" t="s">
        <v>41</v>
      </c>
      <c r="W842" s="1" t="s">
        <v>49</v>
      </c>
      <c r="Z842" s="14">
        <v>1</v>
      </c>
      <c r="AA842" s="14"/>
      <c r="AC842" s="21"/>
      <c r="AE842" s="21"/>
    </row>
    <row r="843" spans="1:31" hidden="1">
      <c r="A843" s="1">
        <v>9123759</v>
      </c>
      <c r="B843" s="1" t="s">
        <v>101</v>
      </c>
      <c r="C843" t="s">
        <v>643</v>
      </c>
      <c r="D843" s="2">
        <v>220193661</v>
      </c>
      <c r="E843" s="2">
        <v>2564001400010</v>
      </c>
      <c r="F843" s="1" t="s">
        <v>936</v>
      </c>
      <c r="G843" s="1" t="s">
        <v>53</v>
      </c>
      <c r="H843" s="1" t="s">
        <v>255</v>
      </c>
      <c r="I843" s="1" t="s">
        <v>256</v>
      </c>
      <c r="J843" s="1" t="s">
        <v>164</v>
      </c>
      <c r="K843" t="s">
        <v>937</v>
      </c>
      <c r="M843" s="1" t="s">
        <v>58</v>
      </c>
      <c r="N843" s="1">
        <v>0</v>
      </c>
      <c r="O843" s="1" t="s">
        <v>105</v>
      </c>
      <c r="P843" s="11" t="s">
        <v>1637</v>
      </c>
      <c r="R843" s="1">
        <v>3</v>
      </c>
      <c r="T843" s="1" t="s">
        <v>646</v>
      </c>
      <c r="U843" s="11" t="s">
        <v>1638</v>
      </c>
      <c r="V843" s="1" t="s">
        <v>41</v>
      </c>
      <c r="W843" s="1" t="s">
        <v>49</v>
      </c>
      <c r="Z843" s="14">
        <v>1</v>
      </c>
      <c r="AA843" s="14"/>
      <c r="AC843" s="21"/>
      <c r="AE843" s="21"/>
    </row>
    <row r="844" spans="1:31" hidden="1">
      <c r="A844" s="1">
        <v>9123743</v>
      </c>
      <c r="B844" s="1" t="s">
        <v>101</v>
      </c>
      <c r="C844" t="s">
        <v>643</v>
      </c>
      <c r="D844" s="2">
        <v>220193649</v>
      </c>
      <c r="E844" s="2">
        <v>2529001400010</v>
      </c>
      <c r="F844" s="1" t="s">
        <v>936</v>
      </c>
      <c r="G844" s="1" t="s">
        <v>53</v>
      </c>
      <c r="H844" s="1" t="s">
        <v>355</v>
      </c>
      <c r="I844" s="1" t="s">
        <v>356</v>
      </c>
      <c r="J844" s="1" t="s">
        <v>56</v>
      </c>
      <c r="K844" t="s">
        <v>937</v>
      </c>
      <c r="M844" s="1" t="s">
        <v>58</v>
      </c>
      <c r="N844" s="1">
        <v>0</v>
      </c>
      <c r="O844" s="1" t="s">
        <v>105</v>
      </c>
      <c r="P844" s="11" t="s">
        <v>1639</v>
      </c>
      <c r="R844" s="1">
        <v>3</v>
      </c>
      <c r="T844" s="1" t="s">
        <v>646</v>
      </c>
      <c r="U844" s="11" t="s">
        <v>1640</v>
      </c>
      <c r="V844" s="1" t="s">
        <v>41</v>
      </c>
      <c r="W844" s="1" t="s">
        <v>49</v>
      </c>
      <c r="Z844" s="14">
        <v>1</v>
      </c>
      <c r="AA844" s="14"/>
      <c r="AC844" s="21"/>
      <c r="AE844" s="21"/>
    </row>
    <row r="845" spans="1:31" hidden="1">
      <c r="A845" s="1">
        <v>9123722</v>
      </c>
      <c r="B845" s="1" t="s">
        <v>101</v>
      </c>
      <c r="C845" t="s">
        <v>643</v>
      </c>
      <c r="D845" s="2">
        <v>220193628</v>
      </c>
      <c r="E845" s="2">
        <v>2473001400010</v>
      </c>
      <c r="F845" s="1" t="s">
        <v>936</v>
      </c>
      <c r="G845" s="1" t="s">
        <v>53</v>
      </c>
      <c r="H845" s="1" t="s">
        <v>1459</v>
      </c>
      <c r="I845" s="1" t="s">
        <v>1460</v>
      </c>
      <c r="J845" s="1" t="s">
        <v>261</v>
      </c>
      <c r="K845" t="s">
        <v>937</v>
      </c>
      <c r="M845" s="1" t="s">
        <v>58</v>
      </c>
      <c r="N845" s="1">
        <v>0</v>
      </c>
      <c r="O845" s="1" t="s">
        <v>105</v>
      </c>
      <c r="P845" s="11" t="s">
        <v>1641</v>
      </c>
      <c r="R845" s="1">
        <v>3</v>
      </c>
      <c r="T845" s="1" t="s">
        <v>646</v>
      </c>
      <c r="U845" s="11" t="s">
        <v>1642</v>
      </c>
      <c r="V845" s="1" t="s">
        <v>41</v>
      </c>
      <c r="W845" s="1" t="s">
        <v>49</v>
      </c>
      <c r="Z845" s="14">
        <v>1</v>
      </c>
      <c r="AA845" s="14"/>
      <c r="AC845" s="21"/>
      <c r="AE845" s="21"/>
    </row>
    <row r="846" spans="1:31" hidden="1">
      <c r="A846" s="1">
        <v>9123696</v>
      </c>
      <c r="B846" s="1" t="s">
        <v>101</v>
      </c>
      <c r="C846" t="s">
        <v>643</v>
      </c>
      <c r="D846" s="2">
        <v>220193610</v>
      </c>
      <c r="E846" s="2">
        <v>2413001400010</v>
      </c>
      <c r="F846" s="1" t="s">
        <v>936</v>
      </c>
      <c r="G846" s="1" t="s">
        <v>53</v>
      </c>
      <c r="H846" s="1" t="s">
        <v>505</v>
      </c>
      <c r="I846" s="1" t="s">
        <v>506</v>
      </c>
      <c r="J846" s="1" t="s">
        <v>141</v>
      </c>
      <c r="K846" t="s">
        <v>937</v>
      </c>
      <c r="M846" s="1" t="s">
        <v>58</v>
      </c>
      <c r="N846" s="1">
        <v>0</v>
      </c>
      <c r="O846" s="1" t="s">
        <v>105</v>
      </c>
      <c r="P846" s="11" t="s">
        <v>1643</v>
      </c>
      <c r="R846" s="1">
        <v>3</v>
      </c>
      <c r="T846" s="1" t="s">
        <v>646</v>
      </c>
      <c r="U846" s="11" t="s">
        <v>1644</v>
      </c>
      <c r="V846" s="1" t="s">
        <v>41</v>
      </c>
      <c r="W846" s="1" t="s">
        <v>49</v>
      </c>
      <c r="Z846" s="14">
        <v>1</v>
      </c>
      <c r="AA846" s="14"/>
      <c r="AC846" s="21"/>
      <c r="AE846" s="21"/>
    </row>
    <row r="847" spans="1:31">
      <c r="A847" s="1">
        <v>9123651</v>
      </c>
      <c r="B847" s="1" t="s">
        <v>101</v>
      </c>
      <c r="C847" t="s">
        <v>643</v>
      </c>
      <c r="D847" s="2">
        <v>220193532</v>
      </c>
      <c r="E847" s="2">
        <v>2125001400010</v>
      </c>
      <c r="F847" s="1" t="s">
        <v>936</v>
      </c>
      <c r="G847" s="1" t="s">
        <v>53</v>
      </c>
      <c r="H847" s="1" t="s">
        <v>1399</v>
      </c>
      <c r="I847" s="1" t="s">
        <v>1400</v>
      </c>
      <c r="J847" s="1" t="s">
        <v>211</v>
      </c>
      <c r="K847" t="s">
        <v>937</v>
      </c>
      <c r="M847" s="1" t="s">
        <v>58</v>
      </c>
      <c r="N847" s="1">
        <v>0</v>
      </c>
      <c r="O847" s="1" t="s">
        <v>105</v>
      </c>
      <c r="P847" s="11" t="s">
        <v>1645</v>
      </c>
      <c r="R847" s="1">
        <v>3</v>
      </c>
      <c r="T847" s="1" t="s">
        <v>646</v>
      </c>
      <c r="U847" s="11" t="s">
        <v>1646</v>
      </c>
      <c r="V847" s="1" t="s">
        <v>41</v>
      </c>
      <c r="W847" s="1" t="s">
        <v>49</v>
      </c>
      <c r="Z847" s="14">
        <v>1</v>
      </c>
      <c r="AA847" s="14"/>
      <c r="AC847" s="21"/>
      <c r="AE847" s="21"/>
    </row>
    <row r="848" spans="1:31" hidden="1">
      <c r="A848" s="1">
        <v>9123585</v>
      </c>
      <c r="B848" s="1" t="s">
        <v>101</v>
      </c>
      <c r="C848" t="s">
        <v>643</v>
      </c>
      <c r="D848" s="2">
        <v>220193497</v>
      </c>
      <c r="E848" s="2">
        <v>2018001400010</v>
      </c>
      <c r="F848" s="1" t="s">
        <v>936</v>
      </c>
      <c r="G848" s="1" t="s">
        <v>53</v>
      </c>
      <c r="H848" s="1" t="s">
        <v>598</v>
      </c>
      <c r="I848" s="1" t="s">
        <v>599</v>
      </c>
      <c r="J848" s="1" t="s">
        <v>79</v>
      </c>
      <c r="K848" t="s">
        <v>937</v>
      </c>
      <c r="M848" s="1" t="s">
        <v>58</v>
      </c>
      <c r="N848" s="1">
        <v>0</v>
      </c>
      <c r="O848" s="1" t="s">
        <v>105</v>
      </c>
      <c r="P848" s="11" t="s">
        <v>1647</v>
      </c>
      <c r="R848" s="1">
        <v>3</v>
      </c>
      <c r="T848" s="1" t="s">
        <v>646</v>
      </c>
      <c r="U848" s="11" t="s">
        <v>1648</v>
      </c>
      <c r="V848" s="1" t="s">
        <v>41</v>
      </c>
      <c r="W848" s="1" t="s">
        <v>49</v>
      </c>
      <c r="Z848" s="14">
        <v>1</v>
      </c>
      <c r="AA848" s="14"/>
      <c r="AC848" s="21"/>
      <c r="AE848" s="21"/>
    </row>
    <row r="849" spans="1:31" hidden="1">
      <c r="A849" s="1">
        <v>9123569</v>
      </c>
      <c r="B849" s="1" t="s">
        <v>101</v>
      </c>
      <c r="C849" t="s">
        <v>643</v>
      </c>
      <c r="D849" s="2">
        <v>220193370</v>
      </c>
      <c r="E849" s="2">
        <v>1509001400010</v>
      </c>
      <c r="F849" s="1" t="s">
        <v>936</v>
      </c>
      <c r="G849" s="1" t="s">
        <v>53</v>
      </c>
      <c r="H849" s="1" t="s">
        <v>731</v>
      </c>
      <c r="I849" s="1" t="s">
        <v>732</v>
      </c>
      <c r="J849" s="1" t="s">
        <v>46</v>
      </c>
      <c r="K849" t="s">
        <v>937</v>
      </c>
      <c r="M849" s="1" t="s">
        <v>58</v>
      </c>
      <c r="N849" s="1">
        <v>0</v>
      </c>
      <c r="O849" s="1" t="s">
        <v>105</v>
      </c>
      <c r="P849" s="11" t="s">
        <v>1649</v>
      </c>
      <c r="R849" s="1">
        <v>3</v>
      </c>
      <c r="T849" s="1" t="s">
        <v>646</v>
      </c>
      <c r="U849" s="11" t="s">
        <v>1650</v>
      </c>
      <c r="V849" s="1" t="s">
        <v>41</v>
      </c>
      <c r="W849" s="1" t="s">
        <v>49</v>
      </c>
      <c r="Z849" s="14">
        <v>1</v>
      </c>
      <c r="AA849" s="14"/>
      <c r="AC849" s="21"/>
      <c r="AE849" s="21"/>
    </row>
    <row r="850" spans="1:31" hidden="1">
      <c r="A850" s="1">
        <v>9123507</v>
      </c>
      <c r="B850" s="1" t="s">
        <v>101</v>
      </c>
      <c r="C850" t="s">
        <v>643</v>
      </c>
      <c r="D850" s="2">
        <v>220193316</v>
      </c>
      <c r="E850" s="2">
        <v>1363001400010</v>
      </c>
      <c r="F850" s="1" t="s">
        <v>936</v>
      </c>
      <c r="G850" s="1" t="s">
        <v>53</v>
      </c>
      <c r="H850" s="1" t="s">
        <v>108</v>
      </c>
      <c r="I850" s="1" t="s">
        <v>109</v>
      </c>
      <c r="J850" s="1" t="s">
        <v>110</v>
      </c>
      <c r="K850" t="s">
        <v>937</v>
      </c>
      <c r="M850" s="1" t="s">
        <v>58</v>
      </c>
      <c r="N850" s="1">
        <v>0</v>
      </c>
      <c r="O850" s="1" t="s">
        <v>105</v>
      </c>
      <c r="P850" s="11" t="s">
        <v>1651</v>
      </c>
      <c r="R850" s="1">
        <v>3</v>
      </c>
      <c r="T850" s="1" t="s">
        <v>646</v>
      </c>
      <c r="U850" s="11" t="s">
        <v>1652</v>
      </c>
      <c r="V850" s="1" t="s">
        <v>41</v>
      </c>
      <c r="W850" s="1" t="s">
        <v>49</v>
      </c>
      <c r="Z850" s="14">
        <v>1</v>
      </c>
      <c r="AA850" s="14"/>
      <c r="AC850" s="21"/>
      <c r="AE850" s="21"/>
    </row>
    <row r="851" spans="1:31">
      <c r="A851" s="1">
        <v>9123506</v>
      </c>
      <c r="B851" s="1" t="s">
        <v>101</v>
      </c>
      <c r="C851" t="s">
        <v>643</v>
      </c>
      <c r="D851" s="2">
        <v>220193315</v>
      </c>
      <c r="E851" s="2">
        <v>1362001400010</v>
      </c>
      <c r="F851" s="1" t="s">
        <v>936</v>
      </c>
      <c r="G851" s="1" t="s">
        <v>53</v>
      </c>
      <c r="H851" s="1" t="s">
        <v>268</v>
      </c>
      <c r="I851" s="1" t="s">
        <v>269</v>
      </c>
      <c r="J851" s="1" t="s">
        <v>90</v>
      </c>
      <c r="K851" t="s">
        <v>937</v>
      </c>
      <c r="M851" s="1" t="s">
        <v>58</v>
      </c>
      <c r="N851" s="1">
        <v>0</v>
      </c>
      <c r="O851" s="1" t="s">
        <v>105</v>
      </c>
      <c r="P851" s="11" t="s">
        <v>1653</v>
      </c>
      <c r="R851" s="1">
        <v>3</v>
      </c>
      <c r="T851" s="1" t="s">
        <v>646</v>
      </c>
      <c r="U851" s="11" t="s">
        <v>1654</v>
      </c>
      <c r="V851" s="1" t="s">
        <v>41</v>
      </c>
      <c r="W851" s="1" t="s">
        <v>49</v>
      </c>
      <c r="Z851" s="14">
        <v>1</v>
      </c>
      <c r="AA851" s="14"/>
      <c r="AC851" s="21"/>
      <c r="AE851" s="21"/>
    </row>
    <row r="852" spans="1:31" hidden="1">
      <c r="A852" s="1">
        <v>9123505</v>
      </c>
      <c r="B852" s="1" t="s">
        <v>101</v>
      </c>
      <c r="C852" t="s">
        <v>643</v>
      </c>
      <c r="D852" s="2">
        <v>220193314</v>
      </c>
      <c r="E852" s="2">
        <v>1360001400010</v>
      </c>
      <c r="F852" s="1" t="s">
        <v>936</v>
      </c>
      <c r="G852" s="1" t="s">
        <v>53</v>
      </c>
      <c r="H852" s="1" t="s">
        <v>303</v>
      </c>
      <c r="I852" s="1" t="s">
        <v>304</v>
      </c>
      <c r="J852" s="1" t="s">
        <v>261</v>
      </c>
      <c r="K852" t="s">
        <v>937</v>
      </c>
      <c r="M852" s="1" t="s">
        <v>58</v>
      </c>
      <c r="N852" s="1">
        <v>0</v>
      </c>
      <c r="O852" s="1" t="s">
        <v>105</v>
      </c>
      <c r="P852" s="11" t="s">
        <v>1655</v>
      </c>
      <c r="R852" s="1">
        <v>3</v>
      </c>
      <c r="T852" s="1" t="s">
        <v>646</v>
      </c>
      <c r="U852" s="11" t="s">
        <v>1656</v>
      </c>
      <c r="V852" s="1" t="s">
        <v>41</v>
      </c>
      <c r="W852" s="1" t="s">
        <v>49</v>
      </c>
      <c r="Z852" s="14">
        <v>1</v>
      </c>
      <c r="AA852" s="14"/>
      <c r="AC852" s="21"/>
      <c r="AE852" s="21"/>
    </row>
    <row r="853" spans="1:31" hidden="1">
      <c r="A853" s="1">
        <v>9123504</v>
      </c>
      <c r="B853" s="1" t="s">
        <v>101</v>
      </c>
      <c r="C853" t="s">
        <v>643</v>
      </c>
      <c r="D853" s="2">
        <v>220193313</v>
      </c>
      <c r="E853" s="2">
        <v>1359001400010</v>
      </c>
      <c r="F853" s="1" t="s">
        <v>936</v>
      </c>
      <c r="G853" s="1" t="s">
        <v>53</v>
      </c>
      <c r="H853" s="1" t="s">
        <v>270</v>
      </c>
      <c r="I853" s="1" t="s">
        <v>271</v>
      </c>
      <c r="J853" s="1" t="s">
        <v>141</v>
      </c>
      <c r="K853" t="s">
        <v>937</v>
      </c>
      <c r="M853" s="1" t="s">
        <v>58</v>
      </c>
      <c r="N853" s="1">
        <v>0</v>
      </c>
      <c r="O853" s="1" t="s">
        <v>105</v>
      </c>
      <c r="P853" s="11" t="s">
        <v>1657</v>
      </c>
      <c r="R853" s="1">
        <v>3</v>
      </c>
      <c r="T853" s="1" t="s">
        <v>646</v>
      </c>
      <c r="U853" s="11" t="s">
        <v>1658</v>
      </c>
      <c r="V853" s="1" t="s">
        <v>41</v>
      </c>
      <c r="W853" s="1" t="s">
        <v>49</v>
      </c>
      <c r="Z853" s="14">
        <v>1</v>
      </c>
      <c r="AA853" s="14"/>
      <c r="AC853" s="21"/>
      <c r="AE853" s="21"/>
    </row>
    <row r="854" spans="1:31" hidden="1">
      <c r="A854" s="1">
        <v>9123455</v>
      </c>
      <c r="B854" s="1" t="s">
        <v>101</v>
      </c>
      <c r="C854" t="s">
        <v>643</v>
      </c>
      <c r="D854" s="2">
        <v>220193276</v>
      </c>
      <c r="E854" s="2">
        <v>1291001400010</v>
      </c>
      <c r="F854" s="1" t="s">
        <v>936</v>
      </c>
      <c r="G854" s="1" t="s">
        <v>53</v>
      </c>
      <c r="H854" s="1" t="s">
        <v>136</v>
      </c>
      <c r="I854" s="1" t="s">
        <v>137</v>
      </c>
      <c r="J854" s="1" t="s">
        <v>33</v>
      </c>
      <c r="K854" t="s">
        <v>937</v>
      </c>
      <c r="M854" s="1" t="s">
        <v>58</v>
      </c>
      <c r="N854" s="1">
        <v>0</v>
      </c>
      <c r="O854" s="1" t="s">
        <v>105</v>
      </c>
      <c r="P854" s="11" t="s">
        <v>1659</v>
      </c>
      <c r="R854" s="1">
        <v>3</v>
      </c>
      <c r="T854" s="1" t="s">
        <v>646</v>
      </c>
      <c r="U854" s="11" t="s">
        <v>1660</v>
      </c>
      <c r="V854" s="1" t="s">
        <v>41</v>
      </c>
      <c r="W854" s="1" t="s">
        <v>42</v>
      </c>
      <c r="Z854" s="14">
        <v>1</v>
      </c>
      <c r="AA854" s="14"/>
      <c r="AC854" s="21"/>
      <c r="AE854" s="21"/>
    </row>
    <row r="855" spans="1:31" hidden="1">
      <c r="A855" s="1">
        <v>9123430</v>
      </c>
      <c r="B855" s="1" t="s">
        <v>101</v>
      </c>
      <c r="C855" t="s">
        <v>643</v>
      </c>
      <c r="D855" s="2">
        <v>220193099</v>
      </c>
      <c r="E855" s="2">
        <v>922001400010</v>
      </c>
      <c r="F855" s="1" t="s">
        <v>936</v>
      </c>
      <c r="G855" s="1" t="s">
        <v>53</v>
      </c>
      <c r="H855" s="1" t="s">
        <v>1375</v>
      </c>
      <c r="I855" s="1" t="s">
        <v>1376</v>
      </c>
      <c r="J855" s="1" t="s">
        <v>261</v>
      </c>
      <c r="K855" t="s">
        <v>937</v>
      </c>
      <c r="M855" s="1" t="s">
        <v>58</v>
      </c>
      <c r="N855" s="1">
        <v>0</v>
      </c>
      <c r="O855" s="1" t="s">
        <v>105</v>
      </c>
      <c r="P855" s="11" t="s">
        <v>1661</v>
      </c>
      <c r="R855" s="1">
        <v>3</v>
      </c>
      <c r="T855" s="1" t="s">
        <v>646</v>
      </c>
      <c r="U855" s="11" t="s">
        <v>1662</v>
      </c>
      <c r="V855" s="1" t="s">
        <v>41</v>
      </c>
      <c r="W855" s="1" t="s">
        <v>49</v>
      </c>
      <c r="Z855" s="14">
        <v>1</v>
      </c>
      <c r="AA855" s="14"/>
      <c r="AC855" s="21"/>
      <c r="AE855" s="21"/>
    </row>
    <row r="856" spans="1:31">
      <c r="A856" s="1">
        <v>9123424</v>
      </c>
      <c r="B856" s="1" t="s">
        <v>101</v>
      </c>
      <c r="C856" t="s">
        <v>643</v>
      </c>
      <c r="D856" s="2">
        <v>220193097</v>
      </c>
      <c r="E856" s="2">
        <v>917001400010</v>
      </c>
      <c r="F856" s="1" t="s">
        <v>936</v>
      </c>
      <c r="G856" s="1" t="s">
        <v>53</v>
      </c>
      <c r="H856" s="1" t="s">
        <v>83</v>
      </c>
      <c r="I856" s="1" t="s">
        <v>84</v>
      </c>
      <c r="J856" s="1" t="s">
        <v>85</v>
      </c>
      <c r="K856" t="s">
        <v>937</v>
      </c>
      <c r="M856" s="1" t="s">
        <v>58</v>
      </c>
      <c r="N856" s="1">
        <v>0</v>
      </c>
      <c r="O856" s="1" t="s">
        <v>105</v>
      </c>
      <c r="P856" s="11" t="s">
        <v>1663</v>
      </c>
      <c r="R856" s="1">
        <v>3</v>
      </c>
      <c r="T856" s="1" t="s">
        <v>646</v>
      </c>
      <c r="U856" s="11" t="s">
        <v>1664</v>
      </c>
      <c r="V856" s="1" t="s">
        <v>41</v>
      </c>
      <c r="W856" s="1" t="s">
        <v>49</v>
      </c>
      <c r="Z856" s="14">
        <v>1</v>
      </c>
      <c r="AA856" s="14"/>
      <c r="AC856" s="21"/>
      <c r="AE856" s="21"/>
    </row>
    <row r="857" spans="1:31" hidden="1">
      <c r="A857" s="1">
        <v>9123416</v>
      </c>
      <c r="B857" s="1" t="s">
        <v>101</v>
      </c>
      <c r="C857" t="s">
        <v>643</v>
      </c>
      <c r="D857" s="2">
        <v>220193110</v>
      </c>
      <c r="E857" s="2">
        <v>934001400010</v>
      </c>
      <c r="F857" s="1" t="s">
        <v>936</v>
      </c>
      <c r="G857" s="1" t="s">
        <v>53</v>
      </c>
      <c r="H857" s="1" t="s">
        <v>428</v>
      </c>
      <c r="I857" s="1" t="s">
        <v>429</v>
      </c>
      <c r="J857" s="1" t="s">
        <v>46</v>
      </c>
      <c r="K857" t="s">
        <v>937</v>
      </c>
      <c r="M857" s="1" t="s">
        <v>58</v>
      </c>
      <c r="N857" s="1">
        <v>0</v>
      </c>
      <c r="O857" s="1" t="s">
        <v>105</v>
      </c>
      <c r="P857" s="11" t="s">
        <v>1665</v>
      </c>
      <c r="R857" s="1">
        <v>3</v>
      </c>
      <c r="T857" s="1" t="s">
        <v>646</v>
      </c>
      <c r="U857" s="11" t="s">
        <v>1666</v>
      </c>
      <c r="V857" s="1" t="s">
        <v>41</v>
      </c>
      <c r="W857" s="1" t="s">
        <v>49</v>
      </c>
      <c r="Z857" s="14">
        <v>1</v>
      </c>
      <c r="AA857" s="14"/>
      <c r="AC857" s="21"/>
      <c r="AE857" s="21"/>
    </row>
    <row r="858" spans="1:31">
      <c r="A858" s="1">
        <v>9123392</v>
      </c>
      <c r="B858" s="1" t="s">
        <v>101</v>
      </c>
      <c r="C858" t="s">
        <v>643</v>
      </c>
      <c r="D858" s="2">
        <v>220193089</v>
      </c>
      <c r="E858" s="2">
        <v>899001400010</v>
      </c>
      <c r="F858" s="1" t="s">
        <v>936</v>
      </c>
      <c r="G858" s="1" t="s">
        <v>53</v>
      </c>
      <c r="H858" s="1" t="s">
        <v>175</v>
      </c>
      <c r="I858" s="1" t="s">
        <v>176</v>
      </c>
      <c r="J858" s="1" t="s">
        <v>90</v>
      </c>
      <c r="K858" t="s">
        <v>937</v>
      </c>
      <c r="M858" s="1" t="s">
        <v>58</v>
      </c>
      <c r="N858" s="1">
        <v>0</v>
      </c>
      <c r="O858" s="1" t="s">
        <v>36</v>
      </c>
      <c r="P858" s="11" t="s">
        <v>1667</v>
      </c>
      <c r="R858" s="1">
        <v>3</v>
      </c>
      <c r="T858" s="1" t="s">
        <v>646</v>
      </c>
      <c r="U858" s="11" t="s">
        <v>1668</v>
      </c>
      <c r="V858" s="1" t="s">
        <v>41</v>
      </c>
      <c r="W858" s="1" t="s">
        <v>49</v>
      </c>
      <c r="Z858" s="14">
        <v>1</v>
      </c>
      <c r="AA858" s="14"/>
      <c r="AC858" s="21"/>
      <c r="AE858" s="21"/>
    </row>
    <row r="859" spans="1:31" hidden="1">
      <c r="A859" s="1">
        <v>9123373</v>
      </c>
      <c r="B859" s="1" t="s">
        <v>101</v>
      </c>
      <c r="C859" t="s">
        <v>643</v>
      </c>
      <c r="D859" s="2">
        <v>220193054</v>
      </c>
      <c r="E859" s="2">
        <v>834001400010</v>
      </c>
      <c r="F859" s="1" t="s">
        <v>936</v>
      </c>
      <c r="G859" s="1" t="s">
        <v>53</v>
      </c>
      <c r="H859" s="1" t="s">
        <v>367</v>
      </c>
      <c r="I859" s="1" t="s">
        <v>368</v>
      </c>
      <c r="J859" s="1" t="s">
        <v>261</v>
      </c>
      <c r="K859" t="s">
        <v>937</v>
      </c>
      <c r="M859" s="1" t="s">
        <v>58</v>
      </c>
      <c r="N859" s="1">
        <v>0</v>
      </c>
      <c r="O859" s="1" t="s">
        <v>105</v>
      </c>
      <c r="P859" s="11" t="s">
        <v>1669</v>
      </c>
      <c r="R859" s="1">
        <v>3</v>
      </c>
      <c r="T859" s="1" t="s">
        <v>646</v>
      </c>
      <c r="U859" s="11" t="s">
        <v>1670</v>
      </c>
      <c r="V859" s="1" t="s">
        <v>41</v>
      </c>
      <c r="W859" s="1" t="s">
        <v>49</v>
      </c>
      <c r="Z859" s="14">
        <v>1</v>
      </c>
      <c r="AA859" s="14"/>
      <c r="AC859" s="21"/>
      <c r="AE859" s="21"/>
    </row>
    <row r="860" spans="1:31" hidden="1">
      <c r="A860" s="1">
        <v>9123368</v>
      </c>
      <c r="B860" s="1" t="s">
        <v>101</v>
      </c>
      <c r="C860" t="s">
        <v>643</v>
      </c>
      <c r="D860" s="2">
        <v>220193049</v>
      </c>
      <c r="E860" s="2">
        <v>821001400010</v>
      </c>
      <c r="F860" s="1" t="s">
        <v>936</v>
      </c>
      <c r="G860" s="1" t="s">
        <v>53</v>
      </c>
      <c r="H860" s="1" t="s">
        <v>1351</v>
      </c>
      <c r="I860" s="1" t="s">
        <v>1352</v>
      </c>
      <c r="J860" s="1" t="s">
        <v>46</v>
      </c>
      <c r="K860" t="s">
        <v>937</v>
      </c>
      <c r="M860" s="1" t="s">
        <v>58</v>
      </c>
      <c r="N860" s="1">
        <v>0</v>
      </c>
      <c r="O860" s="1" t="s">
        <v>105</v>
      </c>
      <c r="P860" s="11" t="s">
        <v>1671</v>
      </c>
      <c r="R860" s="1">
        <v>3</v>
      </c>
      <c r="T860" s="1" t="s">
        <v>646</v>
      </c>
      <c r="U860" s="11" t="s">
        <v>1672</v>
      </c>
      <c r="V860" s="1" t="s">
        <v>41</v>
      </c>
      <c r="W860" s="1" t="s">
        <v>49</v>
      </c>
      <c r="Z860" s="14">
        <v>1</v>
      </c>
      <c r="AA860" s="14"/>
      <c r="AC860" s="21"/>
      <c r="AE860" s="21"/>
    </row>
    <row r="861" spans="1:31" hidden="1">
      <c r="A861" s="1">
        <v>9123299</v>
      </c>
      <c r="B861" s="1" t="s">
        <v>101</v>
      </c>
      <c r="C861" t="s">
        <v>643</v>
      </c>
      <c r="D861" s="2">
        <v>220192827</v>
      </c>
      <c r="E861" s="2">
        <v>446001400010</v>
      </c>
      <c r="F861" s="1" t="s">
        <v>936</v>
      </c>
      <c r="G861" s="1" t="s">
        <v>53</v>
      </c>
      <c r="H861" s="1" t="s">
        <v>432</v>
      </c>
      <c r="I861" s="1" t="s">
        <v>433</v>
      </c>
      <c r="J861" s="1" t="s">
        <v>110</v>
      </c>
      <c r="K861" t="s">
        <v>937</v>
      </c>
      <c r="M861" s="1" t="s">
        <v>58</v>
      </c>
      <c r="N861" s="1">
        <v>0</v>
      </c>
      <c r="O861" s="1" t="s">
        <v>36</v>
      </c>
      <c r="P861" s="11" t="s">
        <v>1673</v>
      </c>
      <c r="R861" s="1">
        <v>3</v>
      </c>
      <c r="T861" s="1" t="s">
        <v>646</v>
      </c>
      <c r="U861" s="11" t="s">
        <v>1674</v>
      </c>
      <c r="V861" s="1" t="s">
        <v>41</v>
      </c>
      <c r="W861" s="1" t="s">
        <v>49</v>
      </c>
      <c r="Z861" s="14">
        <v>1</v>
      </c>
      <c r="AA861" s="14"/>
      <c r="AC861" s="21"/>
      <c r="AE861" s="21"/>
    </row>
    <row r="862" spans="1:31" hidden="1">
      <c r="A862" s="1">
        <v>9123248</v>
      </c>
      <c r="B862" s="1" t="s">
        <v>101</v>
      </c>
      <c r="C862" t="s">
        <v>643</v>
      </c>
      <c r="D862" s="2">
        <v>220192887</v>
      </c>
      <c r="E862" s="2">
        <v>550001400010</v>
      </c>
      <c r="F862" s="1" t="s">
        <v>936</v>
      </c>
      <c r="G862" s="1" t="s">
        <v>53</v>
      </c>
      <c r="H862" s="1" t="s">
        <v>337</v>
      </c>
      <c r="I862" s="1" t="s">
        <v>338</v>
      </c>
      <c r="J862" s="1" t="s">
        <v>164</v>
      </c>
      <c r="K862" t="s">
        <v>937</v>
      </c>
      <c r="M862" s="1" t="s">
        <v>58</v>
      </c>
      <c r="N862" s="1">
        <v>0</v>
      </c>
      <c r="O862" s="1" t="s">
        <v>105</v>
      </c>
      <c r="P862" s="11" t="s">
        <v>1675</v>
      </c>
      <c r="R862" s="1">
        <v>3</v>
      </c>
      <c r="T862" s="1" t="s">
        <v>646</v>
      </c>
      <c r="U862" s="11" t="s">
        <v>1676</v>
      </c>
      <c r="V862" s="1" t="s">
        <v>41</v>
      </c>
      <c r="W862" s="1" t="s">
        <v>49</v>
      </c>
      <c r="Z862" s="14">
        <v>1</v>
      </c>
      <c r="AA862" s="14"/>
      <c r="AC862" s="21"/>
      <c r="AE862" s="21"/>
    </row>
    <row r="863" spans="1:31" hidden="1">
      <c r="A863" s="1">
        <v>9123242</v>
      </c>
      <c r="B863" s="1" t="s">
        <v>101</v>
      </c>
      <c r="C863" t="s">
        <v>643</v>
      </c>
      <c r="D863" s="2">
        <v>220192881</v>
      </c>
      <c r="E863" s="2">
        <v>537001400010</v>
      </c>
      <c r="F863" s="18" t="s">
        <v>936</v>
      </c>
      <c r="G863" s="1" t="s">
        <v>53</v>
      </c>
      <c r="H863" s="1" t="s">
        <v>442</v>
      </c>
      <c r="I863" s="1" t="s">
        <v>443</v>
      </c>
      <c r="J863" s="1" t="s">
        <v>79</v>
      </c>
      <c r="K863" t="s">
        <v>937</v>
      </c>
      <c r="M863" s="1" t="s">
        <v>58</v>
      </c>
      <c r="N863" s="1">
        <v>0</v>
      </c>
      <c r="O863" s="1" t="s">
        <v>105</v>
      </c>
      <c r="P863" s="11" t="s">
        <v>1677</v>
      </c>
      <c r="R863" s="1">
        <v>3</v>
      </c>
      <c r="T863" s="1" t="s">
        <v>646</v>
      </c>
      <c r="U863" s="12">
        <v>44897.293796296297</v>
      </c>
      <c r="V863" s="1" t="s">
        <v>41</v>
      </c>
      <c r="W863" s="1" t="s">
        <v>49</v>
      </c>
      <c r="Z863" s="14">
        <v>1</v>
      </c>
      <c r="AA863" s="14"/>
      <c r="AC863" s="21"/>
      <c r="AE863" s="21"/>
    </row>
    <row r="864" spans="1:31" hidden="1">
      <c r="A864" s="1">
        <v>9123204</v>
      </c>
      <c r="B864" s="1" t="s">
        <v>101</v>
      </c>
      <c r="C864" t="s">
        <v>643</v>
      </c>
      <c r="D864" s="2">
        <v>220192907</v>
      </c>
      <c r="E864" s="2">
        <v>582001400010</v>
      </c>
      <c r="F864" s="1" t="s">
        <v>936</v>
      </c>
      <c r="G864" s="1" t="s">
        <v>53</v>
      </c>
      <c r="H864" s="1" t="s">
        <v>139</v>
      </c>
      <c r="I864" s="1" t="s">
        <v>140</v>
      </c>
      <c r="J864" s="1" t="s">
        <v>141</v>
      </c>
      <c r="K864" t="s">
        <v>937</v>
      </c>
      <c r="M864" s="1" t="s">
        <v>58</v>
      </c>
      <c r="N864" s="1">
        <v>0</v>
      </c>
      <c r="O864" s="1" t="s">
        <v>105</v>
      </c>
      <c r="P864" s="11" t="s">
        <v>1678</v>
      </c>
      <c r="R864" s="1">
        <v>3</v>
      </c>
      <c r="T864" s="1" t="s">
        <v>646</v>
      </c>
      <c r="U864" s="11" t="s">
        <v>1679</v>
      </c>
      <c r="V864" s="1" t="s">
        <v>41</v>
      </c>
      <c r="W864" s="1" t="s">
        <v>49</v>
      </c>
      <c r="Z864" s="14">
        <v>1</v>
      </c>
      <c r="AA864" s="14"/>
      <c r="AC864" s="21"/>
      <c r="AE864" s="21"/>
    </row>
    <row r="865" spans="1:31" hidden="1">
      <c r="A865" s="1">
        <v>9123184</v>
      </c>
      <c r="B865" s="1" t="s">
        <v>101</v>
      </c>
      <c r="C865" t="s">
        <v>643</v>
      </c>
      <c r="D865" s="2">
        <v>220192743</v>
      </c>
      <c r="E865" s="2">
        <v>325091400010</v>
      </c>
      <c r="F865" s="1" t="s">
        <v>936</v>
      </c>
      <c r="G865" s="1" t="s">
        <v>53</v>
      </c>
      <c r="H865" s="1" t="s">
        <v>821</v>
      </c>
      <c r="I865" s="1" t="s">
        <v>822</v>
      </c>
      <c r="J865" s="1" t="s">
        <v>46</v>
      </c>
      <c r="K865" t="s">
        <v>937</v>
      </c>
      <c r="M865" s="1" t="s">
        <v>58</v>
      </c>
      <c r="N865" s="1">
        <v>0</v>
      </c>
      <c r="O865" s="1" t="s">
        <v>105</v>
      </c>
      <c r="P865" s="11" t="s">
        <v>1680</v>
      </c>
      <c r="R865" s="1">
        <v>3</v>
      </c>
      <c r="T865" s="1" t="s">
        <v>646</v>
      </c>
      <c r="U865" s="11" t="s">
        <v>1681</v>
      </c>
      <c r="V865" s="1" t="s">
        <v>41</v>
      </c>
      <c r="W865" s="1" t="s">
        <v>49</v>
      </c>
      <c r="Z865" s="14">
        <v>1</v>
      </c>
      <c r="AA865" s="14"/>
      <c r="AC865" s="21"/>
      <c r="AE865" s="21"/>
    </row>
    <row r="866" spans="1:31" hidden="1">
      <c r="A866" s="1">
        <v>9123102</v>
      </c>
      <c r="B866" s="1" t="s">
        <v>101</v>
      </c>
      <c r="C866" t="s">
        <v>643</v>
      </c>
      <c r="D866" s="2">
        <v>220192673</v>
      </c>
      <c r="E866" s="2">
        <v>233001400010</v>
      </c>
      <c r="F866" s="1" t="s">
        <v>936</v>
      </c>
      <c r="G866" s="1" t="s">
        <v>53</v>
      </c>
      <c r="H866" s="1" t="s">
        <v>424</v>
      </c>
      <c r="I866" s="1" t="s">
        <v>425</v>
      </c>
      <c r="J866" s="1" t="s">
        <v>261</v>
      </c>
      <c r="K866" t="s">
        <v>937</v>
      </c>
      <c r="M866" s="1" t="s">
        <v>58</v>
      </c>
      <c r="N866" s="1">
        <v>0</v>
      </c>
      <c r="O866" s="1" t="s">
        <v>105</v>
      </c>
      <c r="P866" s="11" t="s">
        <v>1682</v>
      </c>
      <c r="R866" s="1">
        <v>3</v>
      </c>
      <c r="T866" s="1" t="s">
        <v>646</v>
      </c>
      <c r="U866" s="11" t="s">
        <v>1683</v>
      </c>
      <c r="V866" s="1" t="s">
        <v>41</v>
      </c>
      <c r="W866" s="1" t="s">
        <v>49</v>
      </c>
      <c r="Z866" s="14">
        <v>1</v>
      </c>
      <c r="AA866" s="14"/>
      <c r="AC866" s="21"/>
      <c r="AE866" s="21"/>
    </row>
    <row r="867" spans="1:31" hidden="1">
      <c r="A867" s="1">
        <v>9123093</v>
      </c>
      <c r="B867" s="1" t="s">
        <v>101</v>
      </c>
      <c r="C867" t="s">
        <v>643</v>
      </c>
      <c r="D867" s="2">
        <v>220192664</v>
      </c>
      <c r="E867" s="2">
        <v>220001400010</v>
      </c>
      <c r="F867" s="1" t="s">
        <v>936</v>
      </c>
      <c r="G867" s="1" t="s">
        <v>53</v>
      </c>
      <c r="H867" s="1" t="s">
        <v>588</v>
      </c>
      <c r="I867" s="1" t="s">
        <v>589</v>
      </c>
      <c r="J867" s="1" t="s">
        <v>110</v>
      </c>
      <c r="K867" t="s">
        <v>937</v>
      </c>
      <c r="M867" s="1" t="s">
        <v>58</v>
      </c>
      <c r="N867" s="1">
        <v>0</v>
      </c>
      <c r="O867" s="1" t="s">
        <v>105</v>
      </c>
      <c r="P867" s="11" t="s">
        <v>1684</v>
      </c>
      <c r="R867" s="1">
        <v>3</v>
      </c>
      <c r="T867" s="1" t="s">
        <v>646</v>
      </c>
      <c r="U867" s="11" t="s">
        <v>1685</v>
      </c>
      <c r="V867" s="1" t="s">
        <v>41</v>
      </c>
      <c r="W867" s="1" t="s">
        <v>49</v>
      </c>
      <c r="Z867" s="14">
        <v>1</v>
      </c>
      <c r="AA867" s="14"/>
      <c r="AC867" s="21"/>
      <c r="AE867" s="21"/>
    </row>
    <row r="868" spans="1:31" hidden="1">
      <c r="A868" s="1">
        <v>9135166</v>
      </c>
      <c r="B868" s="1" t="s">
        <v>62</v>
      </c>
      <c r="C868" t="s">
        <v>1686</v>
      </c>
      <c r="E868" s="2">
        <v>9703000206053</v>
      </c>
      <c r="F868" s="1" t="s">
        <v>113</v>
      </c>
      <c r="G868" s="1" t="s">
        <v>53</v>
      </c>
      <c r="H868" s="1" t="s">
        <v>494</v>
      </c>
      <c r="I868" s="1" t="s">
        <v>495</v>
      </c>
      <c r="J868" s="1" t="s">
        <v>79</v>
      </c>
      <c r="K868" t="s">
        <v>116</v>
      </c>
      <c r="M868" s="1" t="s">
        <v>35</v>
      </c>
      <c r="N868" s="1">
        <v>42318949</v>
      </c>
      <c r="O868" s="1" t="s">
        <v>105</v>
      </c>
      <c r="P868" s="11" t="s">
        <v>1687</v>
      </c>
      <c r="R868" s="1" t="s">
        <v>38</v>
      </c>
      <c r="T868" s="1" t="s">
        <v>74</v>
      </c>
      <c r="U868" s="11" t="s">
        <v>1688</v>
      </c>
      <c r="V868" s="1" t="s">
        <v>41</v>
      </c>
      <c r="W868" s="1" t="s">
        <v>49</v>
      </c>
      <c r="Z868" s="14">
        <v>1</v>
      </c>
      <c r="AA868" s="14"/>
      <c r="AC868" s="21"/>
      <c r="AE868" s="21"/>
    </row>
    <row r="869" spans="1:31">
      <c r="A869" s="1">
        <v>9134233</v>
      </c>
      <c r="B869" s="1" t="s">
        <v>62</v>
      </c>
      <c r="C869" t="s">
        <v>1689</v>
      </c>
      <c r="E869" s="2">
        <v>1108000203010</v>
      </c>
      <c r="F869" s="1" t="s">
        <v>152</v>
      </c>
      <c r="G869" s="1" t="s">
        <v>53</v>
      </c>
      <c r="H869" s="1" t="s">
        <v>295</v>
      </c>
      <c r="I869" s="1" t="s">
        <v>296</v>
      </c>
      <c r="J869" s="1" t="s">
        <v>90</v>
      </c>
      <c r="K869" t="s">
        <v>155</v>
      </c>
      <c r="M869" s="1" t="s">
        <v>35</v>
      </c>
      <c r="N869" s="1">
        <v>42318949</v>
      </c>
      <c r="O869" s="1" t="s">
        <v>105</v>
      </c>
      <c r="P869" s="11" t="s">
        <v>1690</v>
      </c>
      <c r="R869" s="1">
        <v>1</v>
      </c>
      <c r="T869" s="1" t="s">
        <v>157</v>
      </c>
      <c r="U869" s="11" t="s">
        <v>1691</v>
      </c>
      <c r="V869" s="1" t="s">
        <v>41</v>
      </c>
      <c r="W869" s="1" t="s">
        <v>49</v>
      </c>
      <c r="Z869" s="14">
        <v>1</v>
      </c>
      <c r="AA869" s="14"/>
      <c r="AC869" s="21"/>
      <c r="AE869" s="21"/>
    </row>
    <row r="870" spans="1:31" hidden="1">
      <c r="A870" s="1">
        <v>9152756</v>
      </c>
      <c r="B870" s="1" t="s">
        <v>62</v>
      </c>
      <c r="C870" t="s">
        <v>1692</v>
      </c>
      <c r="E870" s="2">
        <v>2138000206001</v>
      </c>
      <c r="F870" s="2" t="s">
        <v>29</v>
      </c>
      <c r="G870" s="1" t="s">
        <v>53</v>
      </c>
      <c r="H870" s="1" t="s">
        <v>379</v>
      </c>
      <c r="I870" s="1" t="s">
        <v>380</v>
      </c>
      <c r="J870" s="1" t="s">
        <v>46</v>
      </c>
      <c r="K870" s="1" t="s">
        <v>34</v>
      </c>
      <c r="M870" s="1" t="s">
        <v>35</v>
      </c>
      <c r="N870" s="1">
        <v>42318949</v>
      </c>
      <c r="O870" s="1" t="s">
        <v>36</v>
      </c>
      <c r="P870" s="11" t="s">
        <v>1693</v>
      </c>
      <c r="R870" s="1" t="s">
        <v>38</v>
      </c>
      <c r="T870" s="1" t="s">
        <v>74</v>
      </c>
      <c r="U870" s="11" t="s">
        <v>1694</v>
      </c>
      <c r="V870" s="1" t="s">
        <v>41</v>
      </c>
      <c r="W870" s="1" t="s">
        <v>49</v>
      </c>
      <c r="Z870" s="14">
        <v>1</v>
      </c>
      <c r="AA870" s="14"/>
      <c r="AC870" s="21"/>
      <c r="AE870" s="21"/>
    </row>
    <row r="871" spans="1:31" hidden="1">
      <c r="A871" s="1">
        <v>9151711</v>
      </c>
      <c r="B871" s="1" t="s">
        <v>62</v>
      </c>
      <c r="C871" t="s">
        <v>1695</v>
      </c>
      <c r="E871" s="2">
        <v>1902016208100</v>
      </c>
      <c r="F871" s="1" t="s">
        <v>64</v>
      </c>
      <c r="G871" s="1" t="s">
        <v>53</v>
      </c>
      <c r="H871" s="1" t="s">
        <v>590</v>
      </c>
      <c r="I871" s="1" t="s">
        <v>591</v>
      </c>
      <c r="J871" s="1" t="s">
        <v>261</v>
      </c>
      <c r="K871" t="s">
        <v>67</v>
      </c>
      <c r="M871" s="1" t="s">
        <v>35</v>
      </c>
      <c r="N871" s="1">
        <v>42318949</v>
      </c>
      <c r="O871" s="1" t="s">
        <v>36</v>
      </c>
      <c r="P871" s="11" t="s">
        <v>1696</v>
      </c>
      <c r="R871" s="1" t="s">
        <v>571</v>
      </c>
      <c r="T871" s="1" t="s">
        <v>69</v>
      </c>
      <c r="U871" s="11" t="s">
        <v>1697</v>
      </c>
      <c r="V871" s="1" t="s">
        <v>41</v>
      </c>
      <c r="W871" s="1" t="s">
        <v>49</v>
      </c>
      <c r="Z871" s="14">
        <v>1</v>
      </c>
      <c r="AA871" s="14"/>
      <c r="AC871" s="21"/>
      <c r="AE871" s="21"/>
    </row>
    <row r="872" spans="1:31">
      <c r="A872" s="1">
        <v>9158610</v>
      </c>
      <c r="B872" s="1" t="s">
        <v>62</v>
      </c>
      <c r="C872" t="s">
        <v>1698</v>
      </c>
      <c r="E872" s="2">
        <v>4119000203000</v>
      </c>
      <c r="F872" s="1" t="s">
        <v>454</v>
      </c>
      <c r="G872" s="1" t="s">
        <v>53</v>
      </c>
      <c r="H872" s="1" t="s">
        <v>297</v>
      </c>
      <c r="I872" s="1" t="s">
        <v>298</v>
      </c>
      <c r="J872" s="1" t="s">
        <v>211</v>
      </c>
      <c r="K872" t="s">
        <v>457</v>
      </c>
      <c r="M872" s="1" t="s">
        <v>58</v>
      </c>
      <c r="N872" s="1">
        <v>0</v>
      </c>
      <c r="O872" s="1" t="s">
        <v>36</v>
      </c>
      <c r="P872" s="186">
        <v>44902.665810185186</v>
      </c>
      <c r="R872" s="1">
        <v>1</v>
      </c>
      <c r="T872" s="1" t="s">
        <v>157</v>
      </c>
      <c r="U872" s="186">
        <v>44936.75</v>
      </c>
      <c r="V872" s="1" t="s">
        <v>41</v>
      </c>
      <c r="W872" s="1" t="s">
        <v>49</v>
      </c>
      <c r="Z872" s="14">
        <v>1</v>
      </c>
      <c r="AA872" s="14"/>
      <c r="AC872" s="21"/>
      <c r="AE872" s="21"/>
    </row>
    <row r="873" spans="1:31" hidden="1">
      <c r="A873" s="1">
        <v>9158041</v>
      </c>
      <c r="B873" s="1" t="s">
        <v>62</v>
      </c>
      <c r="C873" t="s">
        <v>1699</v>
      </c>
      <c r="E873" s="2">
        <v>963000203010</v>
      </c>
      <c r="F873" s="1" t="s">
        <v>152</v>
      </c>
      <c r="G873" s="1" t="s">
        <v>53</v>
      </c>
      <c r="H873" s="1" t="s">
        <v>531</v>
      </c>
      <c r="I873" s="1" t="s">
        <v>532</v>
      </c>
      <c r="J873" s="1" t="s">
        <v>33</v>
      </c>
      <c r="K873" t="s">
        <v>155</v>
      </c>
      <c r="M873" s="1" t="s">
        <v>35</v>
      </c>
      <c r="N873" s="1">
        <v>42318949</v>
      </c>
      <c r="O873" s="1" t="s">
        <v>36</v>
      </c>
      <c r="P873" s="186">
        <v>44902.592615740738</v>
      </c>
      <c r="R873" s="1">
        <v>1</v>
      </c>
      <c r="T873" s="1" t="s">
        <v>157</v>
      </c>
      <c r="U873" s="186">
        <v>44936.75</v>
      </c>
      <c r="V873" s="1" t="s">
        <v>41</v>
      </c>
      <c r="W873" s="1" t="s">
        <v>49</v>
      </c>
      <c r="Z873" s="14">
        <v>1</v>
      </c>
      <c r="AA873" s="14"/>
      <c r="AC873" s="21"/>
      <c r="AE873" s="21"/>
    </row>
    <row r="874" spans="1:31" hidden="1">
      <c r="A874" s="1">
        <v>9158023</v>
      </c>
      <c r="B874" s="1" t="s">
        <v>62</v>
      </c>
      <c r="C874" t="s">
        <v>1699</v>
      </c>
      <c r="E874" s="2">
        <v>3918000203010</v>
      </c>
      <c r="F874" s="1" t="s">
        <v>152</v>
      </c>
      <c r="G874" s="1" t="s">
        <v>53</v>
      </c>
      <c r="H874" s="1" t="s">
        <v>858</v>
      </c>
      <c r="I874" s="1" t="s">
        <v>859</v>
      </c>
      <c r="J874" s="1" t="s">
        <v>33</v>
      </c>
      <c r="K874" t="s">
        <v>155</v>
      </c>
      <c r="M874" s="1" t="s">
        <v>35</v>
      </c>
      <c r="N874" s="1">
        <v>42318949</v>
      </c>
      <c r="O874" s="1" t="s">
        <v>36</v>
      </c>
      <c r="P874" s="186">
        <v>44902.592581018522</v>
      </c>
      <c r="R874" s="1">
        <v>1</v>
      </c>
      <c r="T874" s="1" t="s">
        <v>157</v>
      </c>
      <c r="U874" s="186">
        <v>44936.75</v>
      </c>
      <c r="V874" s="1" t="s">
        <v>41</v>
      </c>
      <c r="W874" s="1" t="s">
        <v>49</v>
      </c>
      <c r="Z874" s="14">
        <v>1</v>
      </c>
      <c r="AA874" s="14"/>
      <c r="AC874" s="21"/>
      <c r="AE874" s="21"/>
    </row>
    <row r="875" spans="1:31" hidden="1">
      <c r="A875" s="1">
        <v>9157070</v>
      </c>
      <c r="B875" s="1" t="s">
        <v>62</v>
      </c>
      <c r="C875" t="s">
        <v>1699</v>
      </c>
      <c r="E875" s="2">
        <v>2830000203010</v>
      </c>
      <c r="F875" s="1" t="s">
        <v>152</v>
      </c>
      <c r="G875" s="1" t="s">
        <v>53</v>
      </c>
      <c r="H875" s="1" t="s">
        <v>448</v>
      </c>
      <c r="I875" s="1" t="s">
        <v>449</v>
      </c>
      <c r="J875" s="1" t="s">
        <v>33</v>
      </c>
      <c r="K875" t="s">
        <v>155</v>
      </c>
      <c r="M875" s="1" t="s">
        <v>35</v>
      </c>
      <c r="N875" s="1">
        <v>42318949</v>
      </c>
      <c r="O875" s="1" t="s">
        <v>36</v>
      </c>
      <c r="P875" s="186">
        <v>44902.480925925927</v>
      </c>
      <c r="R875" s="1">
        <v>1</v>
      </c>
      <c r="T875" s="1" t="s">
        <v>157</v>
      </c>
      <c r="U875" s="186">
        <v>44936.75</v>
      </c>
      <c r="V875" s="1" t="s">
        <v>41</v>
      </c>
      <c r="W875" s="1" t="s">
        <v>42</v>
      </c>
      <c r="Z875" s="14">
        <v>1</v>
      </c>
      <c r="AA875" s="14"/>
      <c r="AC875" s="21"/>
      <c r="AE875" s="21"/>
    </row>
    <row r="876" spans="1:31" hidden="1">
      <c r="A876" s="1">
        <v>9157063</v>
      </c>
      <c r="B876" s="1" t="s">
        <v>62</v>
      </c>
      <c r="C876" t="s">
        <v>1699</v>
      </c>
      <c r="E876" s="2">
        <v>1833000203010</v>
      </c>
      <c r="F876" s="1" t="s">
        <v>152</v>
      </c>
      <c r="G876" s="1" t="s">
        <v>53</v>
      </c>
      <c r="H876" s="1" t="s">
        <v>369</v>
      </c>
      <c r="I876" s="1" t="s">
        <v>370</v>
      </c>
      <c r="J876" s="1" t="s">
        <v>46</v>
      </c>
      <c r="K876" t="s">
        <v>155</v>
      </c>
      <c r="M876" s="1" t="s">
        <v>35</v>
      </c>
      <c r="N876" s="1">
        <v>42318949</v>
      </c>
      <c r="O876" s="1" t="s">
        <v>36</v>
      </c>
      <c r="P876" s="11" t="s">
        <v>1700</v>
      </c>
      <c r="R876" s="1">
        <v>1</v>
      </c>
      <c r="T876" s="1" t="s">
        <v>157</v>
      </c>
      <c r="U876" s="11" t="s">
        <v>1701</v>
      </c>
      <c r="V876" s="1" t="s">
        <v>41</v>
      </c>
      <c r="W876" s="1" t="s">
        <v>49</v>
      </c>
      <c r="Z876" s="14">
        <v>1</v>
      </c>
      <c r="AA876" s="14"/>
      <c r="AC876" s="21"/>
      <c r="AE876" s="21"/>
    </row>
    <row r="877" spans="1:31" hidden="1">
      <c r="A877" s="1">
        <v>9157035</v>
      </c>
      <c r="B877" s="1" t="s">
        <v>62</v>
      </c>
      <c r="C877" t="s">
        <v>1699</v>
      </c>
      <c r="E877" s="2">
        <v>3924000203010</v>
      </c>
      <c r="F877" s="1" t="s">
        <v>152</v>
      </c>
      <c r="G877" s="1" t="s">
        <v>53</v>
      </c>
      <c r="H877" s="1" t="s">
        <v>153</v>
      </c>
      <c r="I877" s="1" t="s">
        <v>154</v>
      </c>
      <c r="J877" s="1" t="s">
        <v>56</v>
      </c>
      <c r="K877" t="s">
        <v>155</v>
      </c>
      <c r="M877" s="1" t="s">
        <v>35</v>
      </c>
      <c r="N877" s="1">
        <v>42318949</v>
      </c>
      <c r="O877" s="1" t="s">
        <v>36</v>
      </c>
      <c r="P877" s="11" t="s">
        <v>1702</v>
      </c>
      <c r="R877" s="1">
        <v>1</v>
      </c>
      <c r="T877" s="1" t="s">
        <v>157</v>
      </c>
      <c r="U877" s="11" t="s">
        <v>1694</v>
      </c>
      <c r="V877" s="1" t="s">
        <v>41</v>
      </c>
      <c r="W877" s="1" t="s">
        <v>49</v>
      </c>
      <c r="Z877" s="14">
        <v>1</v>
      </c>
      <c r="AA877" s="14"/>
      <c r="AC877" s="21"/>
      <c r="AE877" s="21"/>
    </row>
    <row r="878" spans="1:31">
      <c r="A878" s="1">
        <v>9157015</v>
      </c>
      <c r="B878" s="1" t="s">
        <v>62</v>
      </c>
      <c r="C878" t="s">
        <v>1699</v>
      </c>
      <c r="E878" s="2">
        <v>1059000203010</v>
      </c>
      <c r="F878" s="1" t="s">
        <v>152</v>
      </c>
      <c r="G878" s="1" t="s">
        <v>53</v>
      </c>
      <c r="H878" s="1" t="s">
        <v>88</v>
      </c>
      <c r="I878" s="1" t="s">
        <v>89</v>
      </c>
      <c r="J878" s="1" t="s">
        <v>90</v>
      </c>
      <c r="K878" t="s">
        <v>155</v>
      </c>
      <c r="M878" s="1" t="s">
        <v>35</v>
      </c>
      <c r="N878" s="1">
        <v>42318949</v>
      </c>
      <c r="O878" s="1" t="s">
        <v>36</v>
      </c>
      <c r="P878" s="11" t="s">
        <v>1703</v>
      </c>
      <c r="R878" s="1">
        <v>1</v>
      </c>
      <c r="T878" s="1" t="s">
        <v>157</v>
      </c>
      <c r="U878" s="11" t="s">
        <v>1701</v>
      </c>
      <c r="V878" s="1" t="s">
        <v>41</v>
      </c>
      <c r="W878" s="1" t="s">
        <v>49</v>
      </c>
      <c r="Z878" s="14">
        <v>1</v>
      </c>
      <c r="AA878" s="14"/>
      <c r="AC878" s="21"/>
      <c r="AE878" s="21"/>
    </row>
    <row r="879" spans="1:31">
      <c r="A879" s="1">
        <v>9156995</v>
      </c>
      <c r="B879" s="1" t="s">
        <v>62</v>
      </c>
      <c r="C879" t="s">
        <v>1699</v>
      </c>
      <c r="E879" s="2">
        <v>2069000203010</v>
      </c>
      <c r="F879" s="2" t="s">
        <v>152</v>
      </c>
      <c r="G879" s="1" t="s">
        <v>53</v>
      </c>
      <c r="H879" s="1" t="s">
        <v>557</v>
      </c>
      <c r="I879" s="1" t="s">
        <v>558</v>
      </c>
      <c r="J879" s="1" t="s">
        <v>90</v>
      </c>
      <c r="K879" s="1" t="s">
        <v>155</v>
      </c>
      <c r="M879" s="1" t="s">
        <v>35</v>
      </c>
      <c r="N879" s="1">
        <v>42318949</v>
      </c>
      <c r="O879" s="1" t="s">
        <v>36</v>
      </c>
      <c r="P879" s="11" t="s">
        <v>1704</v>
      </c>
      <c r="R879" s="1">
        <v>1</v>
      </c>
      <c r="T879" s="1" t="s">
        <v>157</v>
      </c>
      <c r="U879" s="11" t="s">
        <v>1701</v>
      </c>
      <c r="V879" s="1" t="s">
        <v>41</v>
      </c>
      <c r="W879" s="1" t="s">
        <v>49</v>
      </c>
      <c r="Z879" s="14">
        <v>1</v>
      </c>
      <c r="AA879" s="14"/>
      <c r="AC879" s="21"/>
      <c r="AE879" s="21"/>
    </row>
    <row r="880" spans="1:31">
      <c r="A880" s="1">
        <v>9162440</v>
      </c>
      <c r="B880" s="1" t="s">
        <v>62</v>
      </c>
      <c r="C880" t="s">
        <v>1705</v>
      </c>
      <c r="E880" s="2">
        <v>68000203010</v>
      </c>
      <c r="F880" s="1" t="s">
        <v>152</v>
      </c>
      <c r="G880" s="1" t="s">
        <v>53</v>
      </c>
      <c r="H880" s="1" t="s">
        <v>1330</v>
      </c>
      <c r="I880" s="1" t="s">
        <v>1331</v>
      </c>
      <c r="J880" s="1" t="s">
        <v>211</v>
      </c>
      <c r="K880" t="s">
        <v>155</v>
      </c>
      <c r="M880" s="1" t="s">
        <v>35</v>
      </c>
      <c r="N880" s="1">
        <v>42318949</v>
      </c>
      <c r="O880" s="1" t="s">
        <v>36</v>
      </c>
      <c r="P880" s="186">
        <v>44903.531909722224</v>
      </c>
      <c r="R880" s="1">
        <v>1</v>
      </c>
      <c r="T880" s="1" t="s">
        <v>157</v>
      </c>
      <c r="U880" s="186">
        <v>44937.75</v>
      </c>
      <c r="V880" s="1" t="s">
        <v>41</v>
      </c>
      <c r="W880" s="1" t="s">
        <v>49</v>
      </c>
      <c r="Z880" s="14">
        <v>1</v>
      </c>
      <c r="AA880" s="14"/>
      <c r="AC880" s="21"/>
      <c r="AE880" s="21"/>
    </row>
    <row r="881" spans="1:31">
      <c r="A881" s="1">
        <v>9168008</v>
      </c>
      <c r="B881" s="1" t="s">
        <v>62</v>
      </c>
      <c r="C881" t="s">
        <v>1706</v>
      </c>
      <c r="E881" s="2">
        <v>2069000203000</v>
      </c>
      <c r="F881" s="1" t="s">
        <v>454</v>
      </c>
      <c r="G881" s="1" t="s">
        <v>53</v>
      </c>
      <c r="H881" s="1" t="s">
        <v>557</v>
      </c>
      <c r="I881" s="1" t="s">
        <v>558</v>
      </c>
      <c r="J881" s="1" t="s">
        <v>90</v>
      </c>
      <c r="K881" t="s">
        <v>457</v>
      </c>
      <c r="M881" s="1" t="s">
        <v>58</v>
      </c>
      <c r="N881" s="1">
        <v>0</v>
      </c>
      <c r="O881" s="1" t="s">
        <v>36</v>
      </c>
      <c r="P881" s="186">
        <v>44904.703738425924</v>
      </c>
      <c r="R881" s="1">
        <v>1</v>
      </c>
      <c r="T881" s="1" t="s">
        <v>157</v>
      </c>
      <c r="U881" s="186">
        <v>44938.75</v>
      </c>
      <c r="V881" s="1" t="s">
        <v>41</v>
      </c>
      <c r="W881" s="1" t="s">
        <v>49</v>
      </c>
      <c r="Z881" s="14">
        <v>1</v>
      </c>
      <c r="AA881" s="14"/>
      <c r="AC881" s="21"/>
      <c r="AE881" s="21"/>
    </row>
    <row r="882" spans="1:31">
      <c r="A882" s="1">
        <v>9180276</v>
      </c>
      <c r="B882" s="189" t="s">
        <v>62</v>
      </c>
      <c r="C882" t="s">
        <v>1707</v>
      </c>
      <c r="E882" s="2">
        <v>1902016006800</v>
      </c>
      <c r="F882" s="1" t="s">
        <v>64</v>
      </c>
      <c r="G882" s="1" t="s">
        <v>53</v>
      </c>
      <c r="H882" s="1" t="s">
        <v>1330</v>
      </c>
      <c r="I882" s="1" t="s">
        <v>1331</v>
      </c>
      <c r="J882" s="1" t="s">
        <v>211</v>
      </c>
      <c r="K882" t="s">
        <v>67</v>
      </c>
      <c r="M882" s="1" t="s">
        <v>35</v>
      </c>
      <c r="N882" s="1">
        <v>42318949</v>
      </c>
      <c r="O882" s="1" t="s">
        <v>36</v>
      </c>
      <c r="P882" s="186">
        <v>44907.687534722223</v>
      </c>
      <c r="R882" s="1" t="s">
        <v>571</v>
      </c>
      <c r="T882" s="1" t="s">
        <v>69</v>
      </c>
      <c r="U882" s="186">
        <v>44916.687534722223</v>
      </c>
      <c r="V882" s="1" t="s">
        <v>41</v>
      </c>
      <c r="W882" s="1" t="s">
        <v>49</v>
      </c>
      <c r="Z882" s="14">
        <v>1</v>
      </c>
      <c r="AA882" s="14"/>
      <c r="AC882" s="21"/>
      <c r="AE882" s="21"/>
    </row>
    <row r="883" spans="1:31" hidden="1">
      <c r="A883" s="1">
        <v>9177930</v>
      </c>
      <c r="B883" s="189" t="s">
        <v>226</v>
      </c>
      <c r="C883" t="s">
        <v>1708</v>
      </c>
      <c r="E883" s="2">
        <v>1902016179200</v>
      </c>
      <c r="F883" s="1" t="s">
        <v>64</v>
      </c>
      <c r="G883" s="1" t="s">
        <v>53</v>
      </c>
      <c r="H883" s="1" t="s">
        <v>467</v>
      </c>
      <c r="I883" s="1" t="s">
        <v>468</v>
      </c>
      <c r="J883" s="1" t="s">
        <v>110</v>
      </c>
      <c r="K883" t="s">
        <v>67</v>
      </c>
      <c r="M883" s="1" t="s">
        <v>35</v>
      </c>
      <c r="N883" s="1">
        <v>42318949</v>
      </c>
      <c r="O883" s="1" t="s">
        <v>105</v>
      </c>
      <c r="P883" s="186">
        <v>44907.415682870371</v>
      </c>
      <c r="R883" s="1" t="s">
        <v>571</v>
      </c>
      <c r="T883" s="1" t="s">
        <v>69</v>
      </c>
      <c r="U883" s="186">
        <v>44909.415682870371</v>
      </c>
      <c r="V883" s="1" t="s">
        <v>41</v>
      </c>
      <c r="W883" s="1" t="s">
        <v>49</v>
      </c>
      <c r="Z883" s="14">
        <v>1</v>
      </c>
      <c r="AA883" s="14"/>
      <c r="AC883" s="21"/>
      <c r="AE883" s="21"/>
    </row>
    <row r="884" spans="1:31" hidden="1">
      <c r="A884" s="1">
        <v>9188220</v>
      </c>
      <c r="B884" s="1" t="s">
        <v>62</v>
      </c>
      <c r="C884" t="s">
        <v>1709</v>
      </c>
      <c r="E884" s="2">
        <v>1902016298800</v>
      </c>
      <c r="F884" s="1" t="s">
        <v>64</v>
      </c>
      <c r="G884" s="1" t="s">
        <v>53</v>
      </c>
      <c r="H884" s="1" t="s">
        <v>536</v>
      </c>
      <c r="I884" s="1" t="s">
        <v>537</v>
      </c>
      <c r="J884" s="1" t="s">
        <v>46</v>
      </c>
      <c r="K884" t="s">
        <v>67</v>
      </c>
      <c r="M884" s="1" t="s">
        <v>35</v>
      </c>
      <c r="N884" s="1">
        <v>42318949</v>
      </c>
      <c r="O884" s="1" t="s">
        <v>36</v>
      </c>
      <c r="P884" s="11" t="s">
        <v>1710</v>
      </c>
      <c r="R884" s="1" t="s">
        <v>571</v>
      </c>
      <c r="T884" s="1" t="s">
        <v>69</v>
      </c>
      <c r="U884" s="11" t="s">
        <v>1711</v>
      </c>
      <c r="V884" s="1" t="s">
        <v>41</v>
      </c>
      <c r="W884" s="1" t="s">
        <v>49</v>
      </c>
      <c r="Z884" s="14">
        <v>1</v>
      </c>
      <c r="AA884" s="14"/>
      <c r="AC884" s="21"/>
      <c r="AE884" s="21"/>
    </row>
    <row r="885" spans="1:31">
      <c r="A885" s="1">
        <v>9188182</v>
      </c>
      <c r="B885" s="189" t="s">
        <v>62</v>
      </c>
      <c r="C885" t="s">
        <v>1712</v>
      </c>
      <c r="E885" s="2">
        <v>1902016087000</v>
      </c>
      <c r="F885" s="1" t="s">
        <v>64</v>
      </c>
      <c r="G885" s="1" t="s">
        <v>53</v>
      </c>
      <c r="H885" s="1" t="s">
        <v>183</v>
      </c>
      <c r="I885" s="1" t="s">
        <v>184</v>
      </c>
      <c r="J885" s="1" t="s">
        <v>90</v>
      </c>
      <c r="K885" t="s">
        <v>67</v>
      </c>
      <c r="M885" s="1" t="s">
        <v>35</v>
      </c>
      <c r="N885" s="1">
        <v>42318949</v>
      </c>
      <c r="O885" s="1" t="s">
        <v>36</v>
      </c>
      <c r="P885" s="186">
        <v>44909.398680555554</v>
      </c>
      <c r="R885" s="1" t="s">
        <v>571</v>
      </c>
      <c r="T885" s="1" t="s">
        <v>69</v>
      </c>
      <c r="U885" s="186">
        <v>44918.398680555554</v>
      </c>
      <c r="V885" s="1" t="s">
        <v>41</v>
      </c>
      <c r="W885" s="1" t="s">
        <v>49</v>
      </c>
      <c r="Z885" s="14">
        <v>1</v>
      </c>
      <c r="AA885" s="14"/>
      <c r="AC885" s="21"/>
      <c r="AE885" s="21"/>
    </row>
    <row r="886" spans="1:31" hidden="1">
      <c r="A886" s="1">
        <v>9188168</v>
      </c>
      <c r="B886" s="189" t="s">
        <v>62</v>
      </c>
      <c r="C886" t="s">
        <v>1713</v>
      </c>
      <c r="E886" s="2">
        <v>1902016006700</v>
      </c>
      <c r="F886" s="1" t="s">
        <v>64</v>
      </c>
      <c r="G886" s="1" t="s">
        <v>53</v>
      </c>
      <c r="H886" s="1" t="s">
        <v>404</v>
      </c>
      <c r="I886" s="1" t="s">
        <v>405</v>
      </c>
      <c r="J886" s="1" t="s">
        <v>164</v>
      </c>
      <c r="K886" t="s">
        <v>67</v>
      </c>
      <c r="M886" s="1" t="s">
        <v>35</v>
      </c>
      <c r="N886" s="1">
        <v>42318949</v>
      </c>
      <c r="O886" s="1" t="s">
        <v>36</v>
      </c>
      <c r="P886" s="186">
        <v>44909.395740740743</v>
      </c>
      <c r="R886" s="1" t="s">
        <v>571</v>
      </c>
      <c r="T886" s="1" t="s">
        <v>69</v>
      </c>
      <c r="U886" s="186">
        <v>44918.395740740743</v>
      </c>
      <c r="V886" s="1" t="s">
        <v>41</v>
      </c>
      <c r="W886" s="1" t="s">
        <v>49</v>
      </c>
      <c r="Z886" s="14">
        <v>1</v>
      </c>
      <c r="AA886" s="14"/>
      <c r="AC886" s="21"/>
      <c r="AE886" s="21"/>
    </row>
    <row r="887" spans="1:31" hidden="1">
      <c r="A887" s="1">
        <v>9224950</v>
      </c>
      <c r="B887" s="1" t="s">
        <v>1153</v>
      </c>
      <c r="C887" t="s">
        <v>1714</v>
      </c>
      <c r="D887" s="2">
        <v>220208805</v>
      </c>
      <c r="E887" s="2">
        <v>3918001400030</v>
      </c>
      <c r="F887" s="1" t="s">
        <v>647</v>
      </c>
      <c r="G887" s="1" t="s">
        <v>53</v>
      </c>
      <c r="H887" s="1" t="s">
        <v>858</v>
      </c>
      <c r="I887" s="1" t="s">
        <v>859</v>
      </c>
      <c r="J887" s="1" t="s">
        <v>33</v>
      </c>
      <c r="K887" t="s">
        <v>650</v>
      </c>
      <c r="M887" s="1" t="s">
        <v>58</v>
      </c>
      <c r="N887" s="1">
        <v>0</v>
      </c>
      <c r="O887" s="1" t="s">
        <v>36</v>
      </c>
      <c r="P887" s="11" t="s">
        <v>1715</v>
      </c>
      <c r="R887" s="1">
        <v>4</v>
      </c>
      <c r="T887" s="1" t="s">
        <v>646</v>
      </c>
      <c r="U887" s="11" t="s">
        <v>1716</v>
      </c>
      <c r="V887" s="1" t="s">
        <v>41</v>
      </c>
      <c r="W887" s="1" t="s">
        <v>49</v>
      </c>
      <c r="Z887" s="14">
        <v>1</v>
      </c>
      <c r="AA887" s="14"/>
      <c r="AC887" s="21"/>
      <c r="AE887" s="21"/>
    </row>
    <row r="888" spans="1:31" hidden="1">
      <c r="A888" s="1">
        <v>9257657</v>
      </c>
      <c r="B888" s="1" t="s">
        <v>1717</v>
      </c>
      <c r="C888" t="s">
        <v>1718</v>
      </c>
      <c r="D888" s="2">
        <v>20220067000167</v>
      </c>
      <c r="E888" s="2">
        <v>7417193051484</v>
      </c>
      <c r="F888" s="1" t="s">
        <v>1719</v>
      </c>
      <c r="G888" s="1" t="s">
        <v>53</v>
      </c>
      <c r="H888" s="1" t="s">
        <v>404</v>
      </c>
      <c r="I888" s="1" t="s">
        <v>405</v>
      </c>
      <c r="J888" s="1" t="s">
        <v>164</v>
      </c>
      <c r="K888" t="s">
        <v>1720</v>
      </c>
      <c r="M888" s="1" t="s">
        <v>58</v>
      </c>
      <c r="N888" s="1">
        <v>0</v>
      </c>
      <c r="O888" s="1" t="s">
        <v>36</v>
      </c>
      <c r="P888" s="11" t="s">
        <v>1721</v>
      </c>
      <c r="R888" s="1">
        <v>22</v>
      </c>
      <c r="T888" s="1" t="s">
        <v>1160</v>
      </c>
      <c r="U888" s="11" t="s">
        <v>1722</v>
      </c>
      <c r="V888" s="1" t="s">
        <v>41</v>
      </c>
      <c r="W888" s="1" t="s">
        <v>49</v>
      </c>
      <c r="Z888" s="14">
        <v>1</v>
      </c>
      <c r="AA888" s="14"/>
      <c r="AC888" s="21"/>
      <c r="AE888" s="21"/>
    </row>
    <row r="889" spans="1:31" hidden="1">
      <c r="A889" s="1">
        <v>9257159</v>
      </c>
      <c r="B889" s="1" t="s">
        <v>1717</v>
      </c>
      <c r="C889" t="s">
        <v>1723</v>
      </c>
      <c r="D889" s="2">
        <v>20228573000031</v>
      </c>
      <c r="E889" s="2">
        <v>7417193051272</v>
      </c>
      <c r="F889" s="1" t="s">
        <v>1719</v>
      </c>
      <c r="G889" s="1" t="s">
        <v>53</v>
      </c>
      <c r="H889" s="1" t="s">
        <v>657</v>
      </c>
      <c r="I889" s="1" t="s">
        <v>658</v>
      </c>
      <c r="J889" s="1" t="s">
        <v>33</v>
      </c>
      <c r="K889" t="s">
        <v>1720</v>
      </c>
      <c r="M889" s="1" t="s">
        <v>58</v>
      </c>
      <c r="N889" s="1">
        <v>0</v>
      </c>
      <c r="O889" s="1" t="s">
        <v>36</v>
      </c>
      <c r="P889" s="11" t="s">
        <v>1724</v>
      </c>
      <c r="R889" s="1">
        <v>22</v>
      </c>
      <c r="T889" s="1" t="s">
        <v>1160</v>
      </c>
      <c r="U889" s="11" t="s">
        <v>1725</v>
      </c>
      <c r="V889" s="1" t="s">
        <v>41</v>
      </c>
      <c r="W889" s="1" t="s">
        <v>49</v>
      </c>
      <c r="Z889" s="14">
        <v>1</v>
      </c>
      <c r="AA889" s="14"/>
      <c r="AC889" s="21"/>
      <c r="AE889" s="21"/>
    </row>
    <row r="890" spans="1:31" hidden="1">
      <c r="A890" s="1">
        <v>9273288</v>
      </c>
      <c r="B890" s="1" t="s">
        <v>1153</v>
      </c>
      <c r="C890" t="s">
        <v>1726</v>
      </c>
      <c r="D890" s="2">
        <v>20232678000001</v>
      </c>
      <c r="E890" s="2">
        <v>7417192420963</v>
      </c>
      <c r="F890" s="1" t="s">
        <v>1727</v>
      </c>
      <c r="G890" s="1" t="s">
        <v>53</v>
      </c>
      <c r="H890" s="1" t="s">
        <v>992</v>
      </c>
      <c r="I890" s="1" t="s">
        <v>993</v>
      </c>
      <c r="J890" s="1" t="s">
        <v>33</v>
      </c>
      <c r="K890" t="s">
        <v>1728</v>
      </c>
      <c r="M890" s="1" t="s">
        <v>58</v>
      </c>
      <c r="N890" s="1">
        <v>0</v>
      </c>
      <c r="O890" s="1" t="s">
        <v>36</v>
      </c>
      <c r="P890" s="11" t="s">
        <v>1729</v>
      </c>
      <c r="R890" s="1">
        <v>22</v>
      </c>
      <c r="T890" s="1" t="s">
        <v>1160</v>
      </c>
      <c r="U890" s="11" t="s">
        <v>1730</v>
      </c>
      <c r="V890" s="1" t="s">
        <v>41</v>
      </c>
      <c r="W890" s="1" t="s">
        <v>42</v>
      </c>
      <c r="Z890" s="14">
        <v>1</v>
      </c>
      <c r="AA890" s="14"/>
      <c r="AC890" s="21"/>
      <c r="AE890" s="21"/>
    </row>
    <row r="891" spans="1:31" hidden="1">
      <c r="A891" s="1">
        <v>9271243</v>
      </c>
      <c r="B891" s="1" t="s">
        <v>101</v>
      </c>
      <c r="C891" t="s">
        <v>643</v>
      </c>
      <c r="D891" s="2">
        <v>230001652</v>
      </c>
      <c r="E891" s="2">
        <v>1358001400040</v>
      </c>
      <c r="F891" s="1" t="s">
        <v>644</v>
      </c>
      <c r="G891" s="1" t="s">
        <v>53</v>
      </c>
      <c r="H891" s="1" t="s">
        <v>593</v>
      </c>
      <c r="I891" s="1" t="s">
        <v>594</v>
      </c>
      <c r="J891" s="1" t="s">
        <v>261</v>
      </c>
      <c r="K891" t="s">
        <v>645</v>
      </c>
      <c r="M891" s="1" t="s">
        <v>58</v>
      </c>
      <c r="N891" s="1">
        <v>0</v>
      </c>
      <c r="O891" s="1" t="s">
        <v>105</v>
      </c>
      <c r="P891" s="11" t="s">
        <v>1731</v>
      </c>
      <c r="R891" s="1">
        <v>3</v>
      </c>
      <c r="T891" s="1" t="s">
        <v>646</v>
      </c>
      <c r="U891" s="11" t="s">
        <v>1732</v>
      </c>
      <c r="V891" s="1" t="s">
        <v>41</v>
      </c>
      <c r="W891" s="1" t="s">
        <v>49</v>
      </c>
      <c r="Z891" s="14">
        <v>1</v>
      </c>
      <c r="AA891" s="14"/>
      <c r="AC891" s="21"/>
      <c r="AE891" s="21"/>
    </row>
    <row r="892" spans="1:31" hidden="1">
      <c r="A892" s="1">
        <v>9271230</v>
      </c>
      <c r="B892" s="1" t="s">
        <v>101</v>
      </c>
      <c r="C892" t="s">
        <v>643</v>
      </c>
      <c r="D892" s="2">
        <v>230001642</v>
      </c>
      <c r="E892" s="2">
        <v>1792001400030</v>
      </c>
      <c r="F892" s="1" t="s">
        <v>647</v>
      </c>
      <c r="G892" s="1" t="s">
        <v>53</v>
      </c>
      <c r="H892" s="1" t="s">
        <v>467</v>
      </c>
      <c r="I892" s="1" t="s">
        <v>468</v>
      </c>
      <c r="J892" s="1" t="s">
        <v>110</v>
      </c>
      <c r="K892" t="s">
        <v>650</v>
      </c>
      <c r="M892" s="1" t="s">
        <v>58</v>
      </c>
      <c r="N892" s="1">
        <v>0</v>
      </c>
      <c r="O892" s="1" t="s">
        <v>105</v>
      </c>
      <c r="P892" s="11" t="s">
        <v>1733</v>
      </c>
      <c r="R892" s="1">
        <v>4</v>
      </c>
      <c r="T892" s="1" t="s">
        <v>646</v>
      </c>
      <c r="U892" s="11" t="s">
        <v>1734</v>
      </c>
      <c r="V892" s="1" t="s">
        <v>41</v>
      </c>
      <c r="W892" s="1" t="s">
        <v>49</v>
      </c>
      <c r="Z892" s="14">
        <v>1</v>
      </c>
      <c r="AA892" s="14"/>
      <c r="AC892" s="21"/>
      <c r="AE892" s="21"/>
    </row>
    <row r="893" spans="1:31" hidden="1">
      <c r="A893" s="1">
        <v>9271227</v>
      </c>
      <c r="B893" s="1" t="s">
        <v>101</v>
      </c>
      <c r="C893" t="s">
        <v>643</v>
      </c>
      <c r="D893" s="2">
        <v>230001658</v>
      </c>
      <c r="E893" s="2">
        <v>5740001400040</v>
      </c>
      <c r="F893" s="1" t="s">
        <v>644</v>
      </c>
      <c r="G893" s="1" t="s">
        <v>53</v>
      </c>
      <c r="H893" s="1" t="s">
        <v>626</v>
      </c>
      <c r="I893" s="1" t="s">
        <v>627</v>
      </c>
      <c r="J893" s="1" t="s">
        <v>46</v>
      </c>
      <c r="K893" t="s">
        <v>645</v>
      </c>
      <c r="M893" s="1" t="s">
        <v>58</v>
      </c>
      <c r="N893" s="1">
        <v>0</v>
      </c>
      <c r="O893" s="1" t="s">
        <v>105</v>
      </c>
      <c r="P893" s="11" t="s">
        <v>1735</v>
      </c>
      <c r="R893" s="1">
        <v>3</v>
      </c>
      <c r="T893" s="1" t="s">
        <v>646</v>
      </c>
      <c r="U893" s="11" t="s">
        <v>1736</v>
      </c>
      <c r="V893" s="1" t="s">
        <v>41</v>
      </c>
      <c r="W893" s="1" t="s">
        <v>49</v>
      </c>
      <c r="Z893" s="14">
        <v>1</v>
      </c>
      <c r="AA893" s="14"/>
      <c r="AC893" s="21"/>
      <c r="AE893" s="21"/>
    </row>
    <row r="894" spans="1:31" hidden="1">
      <c r="A894" s="1">
        <v>9280165</v>
      </c>
      <c r="B894" s="1" t="s">
        <v>1153</v>
      </c>
      <c r="C894" t="s">
        <v>1737</v>
      </c>
      <c r="D894" s="2">
        <v>230002991</v>
      </c>
      <c r="E894" s="2">
        <v>3613001400030</v>
      </c>
      <c r="F894" s="1" t="s">
        <v>647</v>
      </c>
      <c r="G894" s="1" t="s">
        <v>53</v>
      </c>
      <c r="H894" s="1" t="s">
        <v>679</v>
      </c>
      <c r="I894" s="1" t="s">
        <v>680</v>
      </c>
      <c r="J894" s="1" t="s">
        <v>46</v>
      </c>
      <c r="K894" t="s">
        <v>650</v>
      </c>
      <c r="M894" s="1" t="s">
        <v>58</v>
      </c>
      <c r="N894" s="1">
        <v>0</v>
      </c>
      <c r="O894" s="1" t="s">
        <v>36</v>
      </c>
      <c r="P894" s="11" t="s">
        <v>1738</v>
      </c>
      <c r="R894" s="1">
        <v>4</v>
      </c>
      <c r="T894" s="1" t="s">
        <v>646</v>
      </c>
      <c r="U894" s="11" t="s">
        <v>1739</v>
      </c>
      <c r="V894" s="1" t="s">
        <v>41</v>
      </c>
      <c r="W894" s="1" t="s">
        <v>49</v>
      </c>
      <c r="Z894" s="14">
        <v>1</v>
      </c>
      <c r="AA894" s="14"/>
      <c r="AC894" s="21"/>
      <c r="AE894" s="21"/>
    </row>
    <row r="895" spans="1:31" hidden="1">
      <c r="A895" s="1">
        <v>9285222</v>
      </c>
      <c r="B895" s="1" t="s">
        <v>101</v>
      </c>
      <c r="C895" t="s">
        <v>1740</v>
      </c>
      <c r="E895" s="2">
        <v>7417163050348</v>
      </c>
      <c r="F895" s="1" t="s">
        <v>1741</v>
      </c>
      <c r="G895" s="1" t="s">
        <v>53</v>
      </c>
      <c r="H895" s="1" t="s">
        <v>1742</v>
      </c>
      <c r="I895" s="1" t="s">
        <v>1743</v>
      </c>
      <c r="J895" s="1" t="s">
        <v>141</v>
      </c>
      <c r="K895" t="s">
        <v>1744</v>
      </c>
      <c r="M895" s="1" t="s">
        <v>58</v>
      </c>
      <c r="N895" s="1">
        <v>0</v>
      </c>
      <c r="O895" s="1" t="s">
        <v>105</v>
      </c>
      <c r="P895" s="11" t="s">
        <v>1745</v>
      </c>
      <c r="R895" s="1">
        <v>14</v>
      </c>
      <c r="T895" s="1" t="s">
        <v>238</v>
      </c>
      <c r="U895" s="11" t="s">
        <v>1745</v>
      </c>
      <c r="V895" s="1" t="s">
        <v>41</v>
      </c>
      <c r="W895" s="1" t="s">
        <v>49</v>
      </c>
      <c r="Z895" s="14">
        <v>1</v>
      </c>
      <c r="AA895" s="14"/>
    </row>
    <row r="896" spans="1:31" hidden="1">
      <c r="A896" s="1">
        <v>9283021</v>
      </c>
      <c r="B896" s="1" t="s">
        <v>1153</v>
      </c>
      <c r="C896" t="s">
        <v>1746</v>
      </c>
      <c r="D896" s="2">
        <v>230003174</v>
      </c>
      <c r="E896" s="2">
        <v>1264001400030</v>
      </c>
      <c r="F896" s="1" t="s">
        <v>647</v>
      </c>
      <c r="G896" s="1" t="s">
        <v>53</v>
      </c>
      <c r="H896" s="1" t="s">
        <v>351</v>
      </c>
      <c r="I896" s="1" t="s">
        <v>352</v>
      </c>
      <c r="J896" s="1" t="s">
        <v>110</v>
      </c>
      <c r="K896" t="s">
        <v>650</v>
      </c>
      <c r="M896" s="1" t="s">
        <v>58</v>
      </c>
      <c r="N896" s="1">
        <v>0</v>
      </c>
      <c r="O896" s="1" t="s">
        <v>36</v>
      </c>
      <c r="P896" s="12">
        <v>44930.391539351855</v>
      </c>
      <c r="R896" s="1">
        <v>4</v>
      </c>
      <c r="T896" s="1" t="s">
        <v>646</v>
      </c>
      <c r="U896" s="12">
        <v>44935.645833333336</v>
      </c>
      <c r="V896" s="1" t="s">
        <v>41</v>
      </c>
      <c r="W896" s="1" t="s">
        <v>49</v>
      </c>
      <c r="Z896" s="14">
        <v>1</v>
      </c>
      <c r="AA896" s="14"/>
    </row>
    <row r="897" spans="1:27" hidden="1">
      <c r="A897" s="1">
        <v>9289476</v>
      </c>
      <c r="B897" s="1" t="s">
        <v>1153</v>
      </c>
      <c r="C897" t="s">
        <v>1747</v>
      </c>
      <c r="D897" s="2">
        <v>20234924000013</v>
      </c>
      <c r="E897" s="2">
        <v>7417163281264</v>
      </c>
      <c r="F897" s="1" t="s">
        <v>131</v>
      </c>
      <c r="G897" s="1" t="s">
        <v>53</v>
      </c>
      <c r="H897" s="1" t="s">
        <v>1748</v>
      </c>
      <c r="I897" s="1" t="s">
        <v>1749</v>
      </c>
      <c r="J897" s="1" t="s">
        <v>79</v>
      </c>
      <c r="K897" t="s">
        <v>132</v>
      </c>
      <c r="M897" s="1" t="s">
        <v>58</v>
      </c>
      <c r="N897" s="1">
        <v>0</v>
      </c>
      <c r="O897" s="1" t="s">
        <v>36</v>
      </c>
      <c r="P897" s="11" t="s">
        <v>1750</v>
      </c>
      <c r="R897" s="1">
        <v>14</v>
      </c>
      <c r="T897" s="1" t="s">
        <v>238</v>
      </c>
      <c r="U897" s="11" t="s">
        <v>1750</v>
      </c>
      <c r="V897" s="1" t="s">
        <v>41</v>
      </c>
      <c r="W897" s="1" t="s">
        <v>49</v>
      </c>
      <c r="Z897" s="14">
        <v>1</v>
      </c>
      <c r="AA897" s="14"/>
    </row>
    <row r="898" spans="1:27">
      <c r="A898" s="1">
        <v>9303921</v>
      </c>
      <c r="B898" s="1" t="s">
        <v>101</v>
      </c>
      <c r="C898" t="s">
        <v>1751</v>
      </c>
      <c r="E898" s="2">
        <v>9705000206201</v>
      </c>
      <c r="F898" s="1" t="s">
        <v>208</v>
      </c>
      <c r="G898" s="1" t="s">
        <v>53</v>
      </c>
      <c r="H898" s="1" t="s">
        <v>204</v>
      </c>
      <c r="I898" s="1" t="s">
        <v>205</v>
      </c>
      <c r="J898" s="1" t="s">
        <v>90</v>
      </c>
      <c r="K898" t="s">
        <v>212</v>
      </c>
      <c r="M898" s="1" t="s">
        <v>35</v>
      </c>
      <c r="N898" s="1">
        <v>42318949</v>
      </c>
      <c r="O898" s="1" t="s">
        <v>105</v>
      </c>
      <c r="P898" s="11" t="s">
        <v>1752</v>
      </c>
      <c r="R898" s="1" t="s">
        <v>38</v>
      </c>
      <c r="T898" s="1" t="s">
        <v>74</v>
      </c>
      <c r="U898" s="11" t="s">
        <v>1341</v>
      </c>
      <c r="V898" s="1" t="s">
        <v>41</v>
      </c>
      <c r="W898" s="1" t="s">
        <v>49</v>
      </c>
      <c r="Z898" s="14">
        <v>1</v>
      </c>
      <c r="AA898" s="14"/>
    </row>
    <row r="899" spans="1:27" hidden="1">
      <c r="A899" s="1">
        <v>9303920</v>
      </c>
      <c r="B899" s="1" t="s">
        <v>101</v>
      </c>
      <c r="C899" t="s">
        <v>1751</v>
      </c>
      <c r="E899" s="2">
        <v>9704000206201</v>
      </c>
      <c r="F899" s="1" t="s">
        <v>208</v>
      </c>
      <c r="G899" s="1" t="s">
        <v>53</v>
      </c>
      <c r="H899" s="1" t="s">
        <v>488</v>
      </c>
      <c r="I899" s="1" t="s">
        <v>489</v>
      </c>
      <c r="J899" s="1" t="s">
        <v>164</v>
      </c>
      <c r="K899" t="s">
        <v>212</v>
      </c>
      <c r="M899" s="1" t="s">
        <v>35</v>
      </c>
      <c r="N899" s="1">
        <v>42318949</v>
      </c>
      <c r="O899" s="1" t="s">
        <v>105</v>
      </c>
      <c r="P899" s="11" t="s">
        <v>1752</v>
      </c>
      <c r="R899" s="1" t="s">
        <v>38</v>
      </c>
      <c r="T899" s="1" t="s">
        <v>74</v>
      </c>
      <c r="U899" s="11" t="s">
        <v>1341</v>
      </c>
      <c r="V899" s="1" t="s">
        <v>41</v>
      </c>
      <c r="W899" s="1" t="s">
        <v>49</v>
      </c>
      <c r="Z899" s="14">
        <v>1</v>
      </c>
      <c r="AA899" s="14"/>
    </row>
    <row r="900" spans="1:27" hidden="1">
      <c r="A900" s="1">
        <v>9303919</v>
      </c>
      <c r="B900" s="1" t="s">
        <v>101</v>
      </c>
      <c r="C900" t="s">
        <v>1751</v>
      </c>
      <c r="E900" s="2">
        <v>9703000206201</v>
      </c>
      <c r="F900" s="1" t="s">
        <v>208</v>
      </c>
      <c r="G900" s="1" t="s">
        <v>53</v>
      </c>
      <c r="H900" s="1" t="s">
        <v>494</v>
      </c>
      <c r="I900" s="1" t="s">
        <v>495</v>
      </c>
      <c r="J900" s="1" t="s">
        <v>79</v>
      </c>
      <c r="K900" t="s">
        <v>212</v>
      </c>
      <c r="M900" s="1" t="s">
        <v>35</v>
      </c>
      <c r="N900" s="1">
        <v>42318949</v>
      </c>
      <c r="O900" s="1" t="s">
        <v>105</v>
      </c>
      <c r="P900" s="11" t="s">
        <v>1752</v>
      </c>
      <c r="R900" s="1" t="s">
        <v>38</v>
      </c>
      <c r="T900" s="1" t="s">
        <v>74</v>
      </c>
      <c r="U900" s="11" t="s">
        <v>1341</v>
      </c>
      <c r="V900" s="1" t="s">
        <v>41</v>
      </c>
      <c r="W900" s="1" t="s">
        <v>49</v>
      </c>
      <c r="Z900" s="14">
        <v>1</v>
      </c>
      <c r="AA900" s="14"/>
    </row>
    <row r="901" spans="1:27">
      <c r="A901" s="1">
        <v>9303918</v>
      </c>
      <c r="B901" s="1" t="s">
        <v>101</v>
      </c>
      <c r="C901" t="s">
        <v>1751</v>
      </c>
      <c r="E901" s="2">
        <v>9700000206201</v>
      </c>
      <c r="F901" s="1" t="s">
        <v>208</v>
      </c>
      <c r="G901" s="1" t="s">
        <v>53</v>
      </c>
      <c r="H901" s="1" t="s">
        <v>209</v>
      </c>
      <c r="I901" s="1" t="s">
        <v>210</v>
      </c>
      <c r="J901" s="1" t="s">
        <v>211</v>
      </c>
      <c r="K901" t="s">
        <v>212</v>
      </c>
      <c r="M901" s="1" t="s">
        <v>35</v>
      </c>
      <c r="N901" s="1">
        <v>42318949</v>
      </c>
      <c r="O901" s="1" t="s">
        <v>105</v>
      </c>
      <c r="P901" s="11" t="s">
        <v>1753</v>
      </c>
      <c r="R901" s="1" t="s">
        <v>38</v>
      </c>
      <c r="T901" s="1" t="s">
        <v>74</v>
      </c>
      <c r="U901" s="11" t="s">
        <v>1341</v>
      </c>
      <c r="V901" s="1" t="s">
        <v>41</v>
      </c>
      <c r="W901" s="1" t="s">
        <v>49</v>
      </c>
      <c r="Z901" s="14">
        <v>1</v>
      </c>
      <c r="AA901" s="14"/>
    </row>
    <row r="902" spans="1:27" hidden="1">
      <c r="A902" s="1">
        <v>9303886</v>
      </c>
      <c r="B902" s="1" t="s">
        <v>101</v>
      </c>
      <c r="C902" t="s">
        <v>1751</v>
      </c>
      <c r="E902" s="2">
        <v>9661000206201</v>
      </c>
      <c r="F902" s="1" t="s">
        <v>208</v>
      </c>
      <c r="G902" s="1" t="s">
        <v>53</v>
      </c>
      <c r="H902" s="1" t="s">
        <v>31</v>
      </c>
      <c r="I902" s="1" t="s">
        <v>32</v>
      </c>
      <c r="J902" s="1" t="s">
        <v>33</v>
      </c>
      <c r="K902" t="s">
        <v>212</v>
      </c>
      <c r="M902" s="1" t="s">
        <v>35</v>
      </c>
      <c r="N902" s="1">
        <v>42318949</v>
      </c>
      <c r="O902" s="1" t="s">
        <v>105</v>
      </c>
      <c r="P902" s="11" t="s">
        <v>1754</v>
      </c>
      <c r="R902" s="1" t="s">
        <v>38</v>
      </c>
      <c r="T902" s="1" t="s">
        <v>74</v>
      </c>
      <c r="U902" s="11" t="s">
        <v>1341</v>
      </c>
      <c r="V902" s="1" t="s">
        <v>41</v>
      </c>
      <c r="W902" s="1" t="s">
        <v>42</v>
      </c>
      <c r="Z902" s="14">
        <v>1</v>
      </c>
      <c r="AA902" s="14"/>
    </row>
    <row r="903" spans="1:27" hidden="1">
      <c r="A903" s="1">
        <v>9303849</v>
      </c>
      <c r="B903" s="1" t="s">
        <v>101</v>
      </c>
      <c r="C903" t="s">
        <v>1751</v>
      </c>
      <c r="E903" s="2">
        <v>9406000206201</v>
      </c>
      <c r="F903" s="1" t="s">
        <v>208</v>
      </c>
      <c r="G903" s="1" t="s">
        <v>53</v>
      </c>
      <c r="H903" s="1" t="s">
        <v>114</v>
      </c>
      <c r="I903" s="1" t="s">
        <v>115</v>
      </c>
      <c r="J903" s="1" t="s">
        <v>46</v>
      </c>
      <c r="K903" t="s">
        <v>212</v>
      </c>
      <c r="M903" s="1" t="s">
        <v>35</v>
      </c>
      <c r="N903" s="1">
        <v>42318949</v>
      </c>
      <c r="O903" s="1" t="s">
        <v>105</v>
      </c>
      <c r="P903" s="11" t="s">
        <v>1755</v>
      </c>
      <c r="R903" s="1" t="s">
        <v>38</v>
      </c>
      <c r="T903" s="1" t="s">
        <v>74</v>
      </c>
      <c r="U903" s="11" t="s">
        <v>1341</v>
      </c>
      <c r="V903" s="1" t="s">
        <v>41</v>
      </c>
      <c r="W903" s="1" t="s">
        <v>49</v>
      </c>
      <c r="Z903" s="14">
        <v>1</v>
      </c>
      <c r="AA903" s="14"/>
    </row>
    <row r="904" spans="1:27">
      <c r="A904" s="1">
        <v>9303360</v>
      </c>
      <c r="B904" s="1" t="s">
        <v>101</v>
      </c>
      <c r="C904" t="s">
        <v>1756</v>
      </c>
      <c r="E904" s="2">
        <v>9705000206001</v>
      </c>
      <c r="F904" s="1" t="s">
        <v>29</v>
      </c>
      <c r="G904" s="1" t="s">
        <v>53</v>
      </c>
      <c r="H904" s="1" t="s">
        <v>204</v>
      </c>
      <c r="I904" s="1" t="s">
        <v>205</v>
      </c>
      <c r="J904" s="1" t="s">
        <v>90</v>
      </c>
      <c r="K904" t="s">
        <v>34</v>
      </c>
      <c r="M904" s="1" t="s">
        <v>35</v>
      </c>
      <c r="N904" s="1">
        <v>42318949</v>
      </c>
      <c r="O904" s="1" t="s">
        <v>105</v>
      </c>
      <c r="P904" s="11" t="s">
        <v>1757</v>
      </c>
      <c r="R904" s="1" t="s">
        <v>38</v>
      </c>
      <c r="T904" s="1" t="s">
        <v>74</v>
      </c>
      <c r="U904" s="11" t="s">
        <v>1341</v>
      </c>
      <c r="V904" s="1" t="s">
        <v>41</v>
      </c>
      <c r="W904" s="1" t="s">
        <v>49</v>
      </c>
      <c r="Z904" s="14">
        <v>1</v>
      </c>
      <c r="AA904" s="14"/>
    </row>
    <row r="905" spans="1:27">
      <c r="A905" s="1">
        <v>9303359</v>
      </c>
      <c r="B905" s="1" t="s">
        <v>101</v>
      </c>
      <c r="C905" t="s">
        <v>1756</v>
      </c>
      <c r="E905" s="2">
        <v>9705000206001</v>
      </c>
      <c r="F905" s="1" t="s">
        <v>29</v>
      </c>
      <c r="G905" s="1" t="s">
        <v>53</v>
      </c>
      <c r="H905" s="1" t="s">
        <v>204</v>
      </c>
      <c r="I905" s="1" t="s">
        <v>205</v>
      </c>
      <c r="J905" s="1" t="s">
        <v>90</v>
      </c>
      <c r="K905" t="s">
        <v>34</v>
      </c>
      <c r="M905" s="1" t="s">
        <v>35</v>
      </c>
      <c r="N905" s="1">
        <v>42318949</v>
      </c>
      <c r="O905" s="1" t="s">
        <v>105</v>
      </c>
      <c r="P905" s="11" t="s">
        <v>1757</v>
      </c>
      <c r="R905" s="1" t="s">
        <v>38</v>
      </c>
      <c r="T905" s="1" t="s">
        <v>74</v>
      </c>
      <c r="U905" s="11" t="s">
        <v>1341</v>
      </c>
      <c r="V905" s="1" t="s">
        <v>41</v>
      </c>
      <c r="W905" s="1" t="s">
        <v>49</v>
      </c>
      <c r="Z905" s="14">
        <v>1</v>
      </c>
      <c r="AA905" s="14"/>
    </row>
    <row r="906" spans="1:27">
      <c r="A906" s="1">
        <v>9303358</v>
      </c>
      <c r="B906" s="1" t="s">
        <v>101</v>
      </c>
      <c r="C906" t="s">
        <v>1756</v>
      </c>
      <c r="E906" s="2">
        <v>9705000206001</v>
      </c>
      <c r="F906" s="1" t="s">
        <v>29</v>
      </c>
      <c r="G906" s="1" t="s">
        <v>53</v>
      </c>
      <c r="H906" s="1" t="s">
        <v>204</v>
      </c>
      <c r="I906" s="1" t="s">
        <v>205</v>
      </c>
      <c r="J906" s="1" t="s">
        <v>90</v>
      </c>
      <c r="K906" t="s">
        <v>34</v>
      </c>
      <c r="M906" s="1" t="s">
        <v>35</v>
      </c>
      <c r="N906" s="1">
        <v>42318949</v>
      </c>
      <c r="O906" s="1" t="s">
        <v>105</v>
      </c>
      <c r="P906" s="11" t="s">
        <v>1757</v>
      </c>
      <c r="R906" s="1" t="s">
        <v>38</v>
      </c>
      <c r="T906" s="1" t="s">
        <v>74</v>
      </c>
      <c r="U906" s="11" t="s">
        <v>1341</v>
      </c>
      <c r="V906" s="1" t="s">
        <v>41</v>
      </c>
      <c r="W906" s="1" t="s">
        <v>49</v>
      </c>
      <c r="Z906" s="14">
        <v>1</v>
      </c>
      <c r="AA906" s="14"/>
    </row>
    <row r="907" spans="1:27" hidden="1">
      <c r="A907" s="1">
        <v>9303357</v>
      </c>
      <c r="B907" s="1" t="s">
        <v>101</v>
      </c>
      <c r="C907" t="s">
        <v>1756</v>
      </c>
      <c r="E907" s="2">
        <v>9704000206001</v>
      </c>
      <c r="F907" s="1" t="s">
        <v>29</v>
      </c>
      <c r="G907" s="1" t="s">
        <v>53</v>
      </c>
      <c r="H907" s="1" t="s">
        <v>488</v>
      </c>
      <c r="I907" s="1" t="s">
        <v>489</v>
      </c>
      <c r="J907" s="1" t="s">
        <v>164</v>
      </c>
      <c r="K907" t="s">
        <v>34</v>
      </c>
      <c r="M907" s="1" t="s">
        <v>35</v>
      </c>
      <c r="N907" s="1">
        <v>42318949</v>
      </c>
      <c r="O907" s="1" t="s">
        <v>105</v>
      </c>
      <c r="P907" s="11" t="s">
        <v>1757</v>
      </c>
      <c r="R907" s="1" t="s">
        <v>38</v>
      </c>
      <c r="T907" s="1" t="s">
        <v>74</v>
      </c>
      <c r="U907" s="11" t="s">
        <v>1341</v>
      </c>
      <c r="V907" s="1" t="s">
        <v>41</v>
      </c>
      <c r="W907" s="1" t="s">
        <v>49</v>
      </c>
      <c r="Z907" s="14">
        <v>1</v>
      </c>
      <c r="AA907" s="14"/>
    </row>
    <row r="908" spans="1:27" hidden="1">
      <c r="A908" s="1">
        <v>9303356</v>
      </c>
      <c r="B908" s="1" t="s">
        <v>101</v>
      </c>
      <c r="C908" s="15" t="s">
        <v>1756</v>
      </c>
      <c r="E908" s="2">
        <v>9704000206001</v>
      </c>
      <c r="F908" s="18" t="s">
        <v>29</v>
      </c>
      <c r="G908" s="1" t="s">
        <v>53</v>
      </c>
      <c r="H908" s="1" t="s">
        <v>488</v>
      </c>
      <c r="I908" s="1" t="s">
        <v>489</v>
      </c>
      <c r="J908" s="1" t="s">
        <v>164</v>
      </c>
      <c r="K908" t="s">
        <v>34</v>
      </c>
      <c r="M908" s="1" t="s">
        <v>35</v>
      </c>
      <c r="N908" s="1">
        <v>42318949</v>
      </c>
      <c r="O908" s="1" t="s">
        <v>105</v>
      </c>
      <c r="P908" s="11" t="s">
        <v>1757</v>
      </c>
      <c r="R908" s="1" t="s">
        <v>38</v>
      </c>
      <c r="T908" s="1" t="s">
        <v>74</v>
      </c>
      <c r="U908" s="11" t="s">
        <v>1341</v>
      </c>
      <c r="V908" s="1" t="s">
        <v>41</v>
      </c>
      <c r="W908" s="1" t="s">
        <v>49</v>
      </c>
      <c r="Z908" s="14">
        <v>1</v>
      </c>
      <c r="AA908" s="14"/>
    </row>
    <row r="909" spans="1:27" hidden="1">
      <c r="A909" s="1">
        <v>9303355</v>
      </c>
      <c r="B909" s="1" t="s">
        <v>101</v>
      </c>
      <c r="C909" t="s">
        <v>1756</v>
      </c>
      <c r="E909" s="2">
        <v>9704000206001</v>
      </c>
      <c r="F909" s="1" t="s">
        <v>29</v>
      </c>
      <c r="G909" s="1" t="s">
        <v>53</v>
      </c>
      <c r="H909" s="1" t="s">
        <v>488</v>
      </c>
      <c r="I909" s="1" t="s">
        <v>489</v>
      </c>
      <c r="J909" s="1" t="s">
        <v>164</v>
      </c>
      <c r="K909" t="s">
        <v>34</v>
      </c>
      <c r="M909" s="1" t="s">
        <v>35</v>
      </c>
      <c r="N909" s="1">
        <v>42318949</v>
      </c>
      <c r="O909" s="1" t="s">
        <v>105</v>
      </c>
      <c r="P909" s="11" t="s">
        <v>1757</v>
      </c>
      <c r="R909" s="1" t="s">
        <v>38</v>
      </c>
      <c r="T909" s="1" t="s">
        <v>74</v>
      </c>
      <c r="U909" s="11" t="s">
        <v>1341</v>
      </c>
      <c r="V909" s="1" t="s">
        <v>41</v>
      </c>
      <c r="W909" s="1" t="s">
        <v>49</v>
      </c>
      <c r="Z909" s="14">
        <v>1</v>
      </c>
      <c r="AA909" s="14"/>
    </row>
    <row r="910" spans="1:27" hidden="1">
      <c r="A910" s="1">
        <v>9303354</v>
      </c>
      <c r="B910" s="1" t="s">
        <v>101</v>
      </c>
      <c r="C910" t="s">
        <v>1756</v>
      </c>
      <c r="E910" s="2">
        <v>9703000206001</v>
      </c>
      <c r="F910" s="1" t="s">
        <v>29</v>
      </c>
      <c r="G910" s="1" t="s">
        <v>53</v>
      </c>
      <c r="H910" s="1" t="s">
        <v>494</v>
      </c>
      <c r="I910" s="1" t="s">
        <v>495</v>
      </c>
      <c r="J910" s="1" t="s">
        <v>79</v>
      </c>
      <c r="K910" t="s">
        <v>34</v>
      </c>
      <c r="M910" s="1" t="s">
        <v>35</v>
      </c>
      <c r="N910" s="1">
        <v>42318949</v>
      </c>
      <c r="O910" s="1" t="s">
        <v>105</v>
      </c>
      <c r="P910" s="11" t="s">
        <v>1757</v>
      </c>
      <c r="R910" s="1" t="s">
        <v>38</v>
      </c>
      <c r="T910" s="1" t="s">
        <v>74</v>
      </c>
      <c r="U910" s="11" t="s">
        <v>1341</v>
      </c>
      <c r="V910" s="1" t="s">
        <v>41</v>
      </c>
      <c r="W910" s="1" t="s">
        <v>49</v>
      </c>
      <c r="Z910" s="14">
        <v>1</v>
      </c>
      <c r="AA910" s="14"/>
    </row>
    <row r="911" spans="1:27" hidden="1">
      <c r="A911" s="1">
        <v>9303353</v>
      </c>
      <c r="B911" s="1" t="s">
        <v>101</v>
      </c>
      <c r="C911" t="s">
        <v>1756</v>
      </c>
      <c r="E911" s="2">
        <v>9703000206001</v>
      </c>
      <c r="F911" s="1" t="s">
        <v>29</v>
      </c>
      <c r="G911" s="1" t="s">
        <v>53</v>
      </c>
      <c r="H911" s="1" t="s">
        <v>494</v>
      </c>
      <c r="I911" s="1" t="s">
        <v>495</v>
      </c>
      <c r="J911" s="1" t="s">
        <v>79</v>
      </c>
      <c r="K911" t="s">
        <v>34</v>
      </c>
      <c r="M911" s="1" t="s">
        <v>35</v>
      </c>
      <c r="N911" s="1">
        <v>42318949</v>
      </c>
      <c r="O911" s="1" t="s">
        <v>105</v>
      </c>
      <c r="P911" s="11" t="s">
        <v>1757</v>
      </c>
      <c r="R911" s="1" t="s">
        <v>38</v>
      </c>
      <c r="T911" s="1" t="s">
        <v>74</v>
      </c>
      <c r="U911" s="11" t="s">
        <v>1341</v>
      </c>
      <c r="V911" s="1" t="s">
        <v>41</v>
      </c>
      <c r="W911" s="1" t="s">
        <v>49</v>
      </c>
      <c r="Z911" s="14">
        <v>1</v>
      </c>
      <c r="AA911" s="14"/>
    </row>
    <row r="912" spans="1:27">
      <c r="A912" s="1">
        <v>9303352</v>
      </c>
      <c r="B912" s="1" t="s">
        <v>101</v>
      </c>
      <c r="C912" t="s">
        <v>1756</v>
      </c>
      <c r="E912" s="2">
        <v>9700000206001</v>
      </c>
      <c r="F912" s="1" t="s">
        <v>29</v>
      </c>
      <c r="G912" s="1" t="s">
        <v>53</v>
      </c>
      <c r="H912" s="1" t="s">
        <v>209</v>
      </c>
      <c r="I912" s="1" t="s">
        <v>210</v>
      </c>
      <c r="J912" s="1" t="s">
        <v>211</v>
      </c>
      <c r="K912" t="s">
        <v>34</v>
      </c>
      <c r="M912" s="1" t="s">
        <v>35</v>
      </c>
      <c r="N912" s="1">
        <v>42318949</v>
      </c>
      <c r="O912" s="1" t="s">
        <v>105</v>
      </c>
      <c r="P912" s="11" t="s">
        <v>1758</v>
      </c>
      <c r="R912" s="1" t="s">
        <v>38</v>
      </c>
      <c r="T912" s="1" t="s">
        <v>74</v>
      </c>
      <c r="U912" s="11" t="s">
        <v>1341</v>
      </c>
      <c r="V912" s="1" t="s">
        <v>41</v>
      </c>
      <c r="W912" s="1" t="s">
        <v>49</v>
      </c>
      <c r="Z912" s="14">
        <v>1</v>
      </c>
      <c r="AA912" s="14"/>
    </row>
    <row r="913" spans="1:27">
      <c r="A913" s="1">
        <v>9303351</v>
      </c>
      <c r="B913" s="1" t="s">
        <v>101</v>
      </c>
      <c r="C913" t="s">
        <v>1756</v>
      </c>
      <c r="E913" s="2">
        <v>9700000206001</v>
      </c>
      <c r="F913" s="1" t="s">
        <v>29</v>
      </c>
      <c r="G913" s="1" t="s">
        <v>53</v>
      </c>
      <c r="H913" s="1" t="s">
        <v>209</v>
      </c>
      <c r="I913" s="1" t="s">
        <v>210</v>
      </c>
      <c r="J913" s="1" t="s">
        <v>211</v>
      </c>
      <c r="K913" t="s">
        <v>34</v>
      </c>
      <c r="M913" s="1" t="s">
        <v>35</v>
      </c>
      <c r="N913" s="1">
        <v>42318949</v>
      </c>
      <c r="O913" s="1" t="s">
        <v>105</v>
      </c>
      <c r="P913" s="11" t="s">
        <v>1758</v>
      </c>
      <c r="R913" s="1" t="s">
        <v>38</v>
      </c>
      <c r="T913" s="1" t="s">
        <v>74</v>
      </c>
      <c r="U913" s="11" t="s">
        <v>1341</v>
      </c>
      <c r="V913" s="1" t="s">
        <v>41</v>
      </c>
      <c r="W913" s="1" t="s">
        <v>49</v>
      </c>
      <c r="Z913" s="14">
        <v>1</v>
      </c>
      <c r="AA913" s="14"/>
    </row>
    <row r="914" spans="1:27" hidden="1">
      <c r="A914" s="1">
        <v>9303071</v>
      </c>
      <c r="B914" s="1" t="s">
        <v>101</v>
      </c>
      <c r="C914" t="s">
        <v>1756</v>
      </c>
      <c r="E914" s="2">
        <v>9406000206001</v>
      </c>
      <c r="F914" s="1" t="s">
        <v>29</v>
      </c>
      <c r="G914" s="1" t="s">
        <v>53</v>
      </c>
      <c r="H914" s="1" t="s">
        <v>114</v>
      </c>
      <c r="I914" s="1" t="s">
        <v>115</v>
      </c>
      <c r="J914" s="1" t="s">
        <v>46</v>
      </c>
      <c r="K914" t="s">
        <v>34</v>
      </c>
      <c r="M914" s="1" t="s">
        <v>35</v>
      </c>
      <c r="N914" s="1">
        <v>42318949</v>
      </c>
      <c r="O914" s="1" t="s">
        <v>105</v>
      </c>
      <c r="P914" s="11" t="s">
        <v>1759</v>
      </c>
      <c r="R914" s="1" t="s">
        <v>38</v>
      </c>
      <c r="T914" s="1" t="s">
        <v>74</v>
      </c>
      <c r="U914" s="12">
        <v>44932.75</v>
      </c>
      <c r="V914" s="1" t="s">
        <v>41</v>
      </c>
      <c r="W914" s="1" t="s">
        <v>49</v>
      </c>
      <c r="Z914" s="14">
        <v>1</v>
      </c>
      <c r="AA914" s="14"/>
    </row>
    <row r="915" spans="1:27" hidden="1">
      <c r="A915" s="1">
        <v>9303070</v>
      </c>
      <c r="B915" s="1" t="s">
        <v>101</v>
      </c>
      <c r="C915" t="s">
        <v>1756</v>
      </c>
      <c r="E915" s="2">
        <v>9406000206001</v>
      </c>
      <c r="F915" s="1" t="s">
        <v>29</v>
      </c>
      <c r="G915" s="1" t="s">
        <v>53</v>
      </c>
      <c r="H915" s="1" t="s">
        <v>114</v>
      </c>
      <c r="I915" s="1" t="s">
        <v>115</v>
      </c>
      <c r="J915" s="1" t="s">
        <v>46</v>
      </c>
      <c r="K915" t="s">
        <v>34</v>
      </c>
      <c r="M915" s="1" t="s">
        <v>35</v>
      </c>
      <c r="N915" s="1">
        <v>42318949</v>
      </c>
      <c r="O915" s="1" t="s">
        <v>105</v>
      </c>
      <c r="P915" s="11" t="s">
        <v>1760</v>
      </c>
      <c r="R915" s="1" t="s">
        <v>38</v>
      </c>
      <c r="T915" s="1" t="s">
        <v>74</v>
      </c>
      <c r="U915" s="11" t="s">
        <v>1341</v>
      </c>
      <c r="V915" s="1" t="s">
        <v>41</v>
      </c>
      <c r="W915" s="1" t="s">
        <v>49</v>
      </c>
      <c r="Z915" s="14">
        <v>1</v>
      </c>
      <c r="AA915" s="14"/>
    </row>
    <row r="916" spans="1:27" hidden="1">
      <c r="A916" s="1">
        <v>9303069</v>
      </c>
      <c r="B916" s="1" t="s">
        <v>101</v>
      </c>
      <c r="C916" t="s">
        <v>1756</v>
      </c>
      <c r="E916" s="2">
        <v>9406000206001</v>
      </c>
      <c r="F916" s="1" t="s">
        <v>29</v>
      </c>
      <c r="G916" s="1" t="s">
        <v>53</v>
      </c>
      <c r="H916" s="1" t="s">
        <v>114</v>
      </c>
      <c r="I916" s="1" t="s">
        <v>115</v>
      </c>
      <c r="J916" s="1" t="s">
        <v>46</v>
      </c>
      <c r="K916" t="s">
        <v>34</v>
      </c>
      <c r="M916" s="1" t="s">
        <v>35</v>
      </c>
      <c r="N916" s="1">
        <v>42318949</v>
      </c>
      <c r="O916" s="1" t="s">
        <v>105</v>
      </c>
      <c r="P916" s="11" t="s">
        <v>1760</v>
      </c>
      <c r="R916" s="1" t="s">
        <v>38</v>
      </c>
      <c r="T916" s="1" t="s">
        <v>74</v>
      </c>
      <c r="U916" s="11" t="s">
        <v>1341</v>
      </c>
      <c r="V916" s="1" t="s">
        <v>41</v>
      </c>
      <c r="W916" s="1" t="s">
        <v>49</v>
      </c>
      <c r="Z916" s="14">
        <v>1</v>
      </c>
      <c r="AA916" s="14"/>
    </row>
    <row r="917" spans="1:27" hidden="1">
      <c r="A917" s="1">
        <v>9303068</v>
      </c>
      <c r="B917" s="1" t="s">
        <v>101</v>
      </c>
      <c r="C917" t="s">
        <v>1756</v>
      </c>
      <c r="E917" s="2">
        <v>9406000206001</v>
      </c>
      <c r="F917" s="1" t="s">
        <v>29</v>
      </c>
      <c r="G917" s="1" t="s">
        <v>53</v>
      </c>
      <c r="H917" s="1" t="s">
        <v>114</v>
      </c>
      <c r="I917" s="1" t="s">
        <v>115</v>
      </c>
      <c r="J917" s="1" t="s">
        <v>46</v>
      </c>
      <c r="K917" t="s">
        <v>34</v>
      </c>
      <c r="M917" s="1" t="s">
        <v>35</v>
      </c>
      <c r="N917" s="1">
        <v>42318949</v>
      </c>
      <c r="O917" s="1" t="s">
        <v>105</v>
      </c>
      <c r="P917" s="11" t="s">
        <v>1760</v>
      </c>
      <c r="R917" s="1" t="s">
        <v>38</v>
      </c>
      <c r="T917" s="1" t="s">
        <v>74</v>
      </c>
      <c r="U917" s="11" t="s">
        <v>1341</v>
      </c>
      <c r="V917" s="1" t="s">
        <v>41</v>
      </c>
      <c r="W917" s="1" t="s">
        <v>49</v>
      </c>
      <c r="Z917" s="14">
        <v>1</v>
      </c>
      <c r="AA917" s="14"/>
    </row>
    <row r="918" spans="1:27" hidden="1">
      <c r="A918" s="1">
        <v>9303067</v>
      </c>
      <c r="B918" s="1" t="s">
        <v>101</v>
      </c>
      <c r="C918" t="s">
        <v>1756</v>
      </c>
      <c r="E918" s="2">
        <v>9406000206001</v>
      </c>
      <c r="F918" s="1" t="s">
        <v>29</v>
      </c>
      <c r="G918" s="1" t="s">
        <v>53</v>
      </c>
      <c r="H918" s="1" t="s">
        <v>114</v>
      </c>
      <c r="I918" s="1" t="s">
        <v>115</v>
      </c>
      <c r="J918" s="1" t="s">
        <v>46</v>
      </c>
      <c r="K918" t="s">
        <v>34</v>
      </c>
      <c r="M918" s="1" t="s">
        <v>35</v>
      </c>
      <c r="N918" s="1">
        <v>42318949</v>
      </c>
      <c r="O918" s="1" t="s">
        <v>105</v>
      </c>
      <c r="P918" s="11" t="s">
        <v>1760</v>
      </c>
      <c r="R918" s="1" t="s">
        <v>38</v>
      </c>
      <c r="T918" s="1" t="s">
        <v>74</v>
      </c>
      <c r="U918" s="11" t="s">
        <v>1341</v>
      </c>
      <c r="V918" s="1" t="s">
        <v>41</v>
      </c>
      <c r="W918" s="1" t="s">
        <v>49</v>
      </c>
      <c r="Z918" s="14">
        <v>1</v>
      </c>
      <c r="AA918" s="14"/>
    </row>
    <row r="919" spans="1:27" hidden="1">
      <c r="A919" s="1">
        <v>9303066</v>
      </c>
      <c r="B919" s="1" t="s">
        <v>101</v>
      </c>
      <c r="C919" t="s">
        <v>1756</v>
      </c>
      <c r="E919" s="2">
        <v>9406000206001</v>
      </c>
      <c r="F919" s="1" t="s">
        <v>29</v>
      </c>
      <c r="G919" s="1" t="s">
        <v>53</v>
      </c>
      <c r="H919" s="1" t="s">
        <v>114</v>
      </c>
      <c r="I919" s="1" t="s">
        <v>115</v>
      </c>
      <c r="J919" s="1" t="s">
        <v>46</v>
      </c>
      <c r="K919" t="s">
        <v>34</v>
      </c>
      <c r="M919" s="1" t="s">
        <v>35</v>
      </c>
      <c r="N919" s="1">
        <v>42318949</v>
      </c>
      <c r="O919" s="1" t="s">
        <v>105</v>
      </c>
      <c r="P919" s="11" t="s">
        <v>1760</v>
      </c>
      <c r="R919" s="1" t="s">
        <v>38</v>
      </c>
      <c r="T919" s="1" t="s">
        <v>74</v>
      </c>
      <c r="U919" s="11" t="s">
        <v>1341</v>
      </c>
      <c r="V919" s="1" t="s">
        <v>41</v>
      </c>
      <c r="W919" s="1" t="s">
        <v>49</v>
      </c>
      <c r="Z919" s="14">
        <v>1</v>
      </c>
      <c r="AA919" s="14"/>
    </row>
    <row r="920" spans="1:27" hidden="1">
      <c r="A920" s="1">
        <v>9303065</v>
      </c>
      <c r="B920" s="1" t="s">
        <v>101</v>
      </c>
      <c r="C920" t="s">
        <v>1756</v>
      </c>
      <c r="E920" s="2">
        <v>9406000206001</v>
      </c>
      <c r="F920" s="1" t="s">
        <v>29</v>
      </c>
      <c r="G920" s="1" t="s">
        <v>53</v>
      </c>
      <c r="H920" s="1" t="s">
        <v>114</v>
      </c>
      <c r="I920" s="1" t="s">
        <v>115</v>
      </c>
      <c r="J920" s="1" t="s">
        <v>46</v>
      </c>
      <c r="K920" t="s">
        <v>34</v>
      </c>
      <c r="M920" s="1" t="s">
        <v>35</v>
      </c>
      <c r="N920" s="1">
        <v>42318949</v>
      </c>
      <c r="O920" s="1" t="s">
        <v>105</v>
      </c>
      <c r="P920" s="11" t="s">
        <v>1760</v>
      </c>
      <c r="R920" s="1" t="s">
        <v>38</v>
      </c>
      <c r="T920" s="1" t="s">
        <v>74</v>
      </c>
      <c r="U920" s="12">
        <v>44932.75</v>
      </c>
      <c r="V920" s="1" t="s">
        <v>41</v>
      </c>
      <c r="W920" s="1" t="s">
        <v>49</v>
      </c>
      <c r="Z920" s="14">
        <v>1</v>
      </c>
      <c r="AA920" s="14"/>
    </row>
    <row r="921" spans="1:27">
      <c r="A921" s="1">
        <v>9301763</v>
      </c>
      <c r="B921" s="1" t="s">
        <v>101</v>
      </c>
      <c r="C921" t="s">
        <v>1761</v>
      </c>
      <c r="E921" s="2">
        <v>9705000206001</v>
      </c>
      <c r="F921" s="1" t="s">
        <v>29</v>
      </c>
      <c r="G921" s="1" t="s">
        <v>53</v>
      </c>
      <c r="H921" s="1" t="s">
        <v>204</v>
      </c>
      <c r="I921" s="1" t="s">
        <v>205</v>
      </c>
      <c r="J921" s="1" t="s">
        <v>90</v>
      </c>
      <c r="K921" t="s">
        <v>34</v>
      </c>
      <c r="M921" s="1" t="s">
        <v>35</v>
      </c>
      <c r="N921" s="1">
        <v>42318949</v>
      </c>
      <c r="O921" s="1" t="s">
        <v>105</v>
      </c>
      <c r="P921" s="11" t="s">
        <v>1762</v>
      </c>
      <c r="R921" s="1" t="s">
        <v>38</v>
      </c>
      <c r="T921" s="1" t="s">
        <v>74</v>
      </c>
      <c r="U921" s="12">
        <v>44932.75</v>
      </c>
      <c r="V921" s="1" t="s">
        <v>41</v>
      </c>
      <c r="W921" s="1" t="s">
        <v>49</v>
      </c>
      <c r="Z921" s="14">
        <v>1</v>
      </c>
      <c r="AA921" s="14"/>
    </row>
    <row r="922" spans="1:27">
      <c r="A922" s="1">
        <v>9301762</v>
      </c>
      <c r="B922" s="1" t="s">
        <v>101</v>
      </c>
      <c r="C922" t="s">
        <v>1761</v>
      </c>
      <c r="E922" s="2">
        <v>9705000206001</v>
      </c>
      <c r="F922" s="1" t="s">
        <v>29</v>
      </c>
      <c r="G922" s="1" t="s">
        <v>53</v>
      </c>
      <c r="H922" s="1" t="s">
        <v>204</v>
      </c>
      <c r="I922" s="1" t="s">
        <v>205</v>
      </c>
      <c r="J922" s="1" t="s">
        <v>90</v>
      </c>
      <c r="K922" t="s">
        <v>34</v>
      </c>
      <c r="M922" s="1" t="s">
        <v>35</v>
      </c>
      <c r="N922" s="1">
        <v>42318949</v>
      </c>
      <c r="O922" s="1" t="s">
        <v>105</v>
      </c>
      <c r="P922" s="11" t="s">
        <v>1762</v>
      </c>
      <c r="R922" s="1" t="s">
        <v>38</v>
      </c>
      <c r="T922" s="1" t="s">
        <v>74</v>
      </c>
      <c r="U922" s="11" t="s">
        <v>1341</v>
      </c>
      <c r="V922" s="1" t="s">
        <v>41</v>
      </c>
      <c r="W922" s="1" t="s">
        <v>49</v>
      </c>
      <c r="Z922" s="14">
        <v>1</v>
      </c>
      <c r="AA922" s="14"/>
    </row>
    <row r="923" spans="1:27">
      <c r="A923" s="1">
        <v>9301761</v>
      </c>
      <c r="B923" s="1" t="s">
        <v>101</v>
      </c>
      <c r="C923" t="s">
        <v>1761</v>
      </c>
      <c r="E923" s="2">
        <v>9705000206001</v>
      </c>
      <c r="F923" s="1" t="s">
        <v>29</v>
      </c>
      <c r="G923" s="1" t="s">
        <v>53</v>
      </c>
      <c r="H923" s="1" t="s">
        <v>204</v>
      </c>
      <c r="I923" s="1" t="s">
        <v>205</v>
      </c>
      <c r="J923" s="1" t="s">
        <v>90</v>
      </c>
      <c r="K923" t="s">
        <v>34</v>
      </c>
      <c r="M923" s="1" t="s">
        <v>35</v>
      </c>
      <c r="N923" s="1">
        <v>42318949</v>
      </c>
      <c r="O923" s="1" t="s">
        <v>105</v>
      </c>
      <c r="P923" s="11" t="s">
        <v>1762</v>
      </c>
      <c r="R923" s="1" t="s">
        <v>38</v>
      </c>
      <c r="T923" s="1" t="s">
        <v>74</v>
      </c>
      <c r="U923" s="11" t="s">
        <v>1341</v>
      </c>
      <c r="V923" s="1" t="s">
        <v>41</v>
      </c>
      <c r="W923" s="1" t="s">
        <v>49</v>
      </c>
      <c r="Z923" s="14">
        <v>1</v>
      </c>
      <c r="AA923" s="14"/>
    </row>
    <row r="924" spans="1:27" hidden="1">
      <c r="A924" s="1">
        <v>9301760</v>
      </c>
      <c r="B924" s="1" t="s">
        <v>101</v>
      </c>
      <c r="C924" t="s">
        <v>1761</v>
      </c>
      <c r="E924" s="2">
        <v>9704000206001</v>
      </c>
      <c r="F924" s="1" t="s">
        <v>29</v>
      </c>
      <c r="G924" s="1" t="s">
        <v>53</v>
      </c>
      <c r="H924" s="1" t="s">
        <v>488</v>
      </c>
      <c r="I924" s="1" t="s">
        <v>489</v>
      </c>
      <c r="J924" s="1" t="s">
        <v>164</v>
      </c>
      <c r="K924" t="s">
        <v>34</v>
      </c>
      <c r="M924" s="1" t="s">
        <v>35</v>
      </c>
      <c r="N924" s="1">
        <v>42318949</v>
      </c>
      <c r="O924" s="1" t="s">
        <v>105</v>
      </c>
      <c r="P924" s="11" t="s">
        <v>1762</v>
      </c>
      <c r="R924" s="1" t="s">
        <v>38</v>
      </c>
      <c r="T924" s="1" t="s">
        <v>74</v>
      </c>
      <c r="U924" s="11" t="s">
        <v>1341</v>
      </c>
      <c r="V924" s="1" t="s">
        <v>41</v>
      </c>
      <c r="W924" s="1" t="s">
        <v>49</v>
      </c>
      <c r="Z924" s="14">
        <v>1</v>
      </c>
      <c r="AA924" s="14"/>
    </row>
    <row r="925" spans="1:27" hidden="1">
      <c r="A925" s="1">
        <v>9301759</v>
      </c>
      <c r="B925" s="1" t="s">
        <v>101</v>
      </c>
      <c r="C925" t="s">
        <v>1761</v>
      </c>
      <c r="E925" s="2">
        <v>9704000206001</v>
      </c>
      <c r="F925" s="1" t="s">
        <v>29</v>
      </c>
      <c r="G925" s="1" t="s">
        <v>53</v>
      </c>
      <c r="H925" s="1" t="s">
        <v>488</v>
      </c>
      <c r="I925" s="1" t="s">
        <v>489</v>
      </c>
      <c r="J925" s="1" t="s">
        <v>164</v>
      </c>
      <c r="K925" t="s">
        <v>34</v>
      </c>
      <c r="M925" s="1" t="s">
        <v>35</v>
      </c>
      <c r="N925" s="1">
        <v>42318949</v>
      </c>
      <c r="O925" s="1" t="s">
        <v>105</v>
      </c>
      <c r="P925" s="11" t="s">
        <v>1762</v>
      </c>
      <c r="R925" s="1" t="s">
        <v>38</v>
      </c>
      <c r="T925" s="1" t="s">
        <v>74</v>
      </c>
      <c r="U925" s="11" t="s">
        <v>1341</v>
      </c>
      <c r="V925" s="1" t="s">
        <v>41</v>
      </c>
      <c r="W925" s="1" t="s">
        <v>49</v>
      </c>
      <c r="Z925" s="14">
        <v>1</v>
      </c>
      <c r="AA925" s="14"/>
    </row>
    <row r="926" spans="1:27" hidden="1">
      <c r="A926" s="1">
        <v>9301758</v>
      </c>
      <c r="B926" s="1" t="s">
        <v>101</v>
      </c>
      <c r="C926" t="s">
        <v>1761</v>
      </c>
      <c r="E926" s="2">
        <v>9704000206001</v>
      </c>
      <c r="F926" s="1" t="s">
        <v>29</v>
      </c>
      <c r="G926" s="1" t="s">
        <v>53</v>
      </c>
      <c r="H926" s="1" t="s">
        <v>488</v>
      </c>
      <c r="I926" s="1" t="s">
        <v>489</v>
      </c>
      <c r="J926" s="1" t="s">
        <v>164</v>
      </c>
      <c r="K926" t="s">
        <v>34</v>
      </c>
      <c r="M926" s="1" t="s">
        <v>35</v>
      </c>
      <c r="N926" s="1">
        <v>42318949</v>
      </c>
      <c r="O926" s="1" t="s">
        <v>105</v>
      </c>
      <c r="P926" s="11" t="s">
        <v>1762</v>
      </c>
      <c r="R926" s="1" t="s">
        <v>38</v>
      </c>
      <c r="T926" s="1" t="s">
        <v>74</v>
      </c>
      <c r="U926" s="12">
        <v>44932.75</v>
      </c>
      <c r="V926" s="1" t="s">
        <v>41</v>
      </c>
      <c r="W926" s="1" t="s">
        <v>49</v>
      </c>
      <c r="Z926" s="14">
        <v>1</v>
      </c>
      <c r="AA926" s="14"/>
    </row>
    <row r="927" spans="1:27" hidden="1">
      <c r="A927" s="1">
        <v>9301757</v>
      </c>
      <c r="B927" s="1" t="s">
        <v>101</v>
      </c>
      <c r="C927" t="s">
        <v>1761</v>
      </c>
      <c r="E927" s="2">
        <v>9704000206001</v>
      </c>
      <c r="F927" s="1" t="s">
        <v>29</v>
      </c>
      <c r="G927" s="1" t="s">
        <v>53</v>
      </c>
      <c r="H927" s="1" t="s">
        <v>488</v>
      </c>
      <c r="I927" s="1" t="s">
        <v>489</v>
      </c>
      <c r="J927" s="1" t="s">
        <v>164</v>
      </c>
      <c r="K927" t="s">
        <v>34</v>
      </c>
      <c r="M927" s="1" t="s">
        <v>35</v>
      </c>
      <c r="N927" s="1">
        <v>42318949</v>
      </c>
      <c r="O927" s="1" t="s">
        <v>105</v>
      </c>
      <c r="P927" s="11" t="s">
        <v>1762</v>
      </c>
      <c r="R927" s="1" t="s">
        <v>38</v>
      </c>
      <c r="T927" s="1" t="s">
        <v>74</v>
      </c>
      <c r="U927" s="11" t="s">
        <v>1341</v>
      </c>
      <c r="V927" s="1" t="s">
        <v>41</v>
      </c>
      <c r="W927" s="1" t="s">
        <v>49</v>
      </c>
      <c r="Z927" s="14">
        <v>1</v>
      </c>
      <c r="AA927" s="14"/>
    </row>
    <row r="928" spans="1:27" hidden="1">
      <c r="A928" s="1">
        <v>9301756</v>
      </c>
      <c r="B928" s="1" t="s">
        <v>101</v>
      </c>
      <c r="C928" t="s">
        <v>1761</v>
      </c>
      <c r="E928" s="2">
        <v>9703000206001</v>
      </c>
      <c r="F928" s="1" t="s">
        <v>29</v>
      </c>
      <c r="G928" s="1" t="s">
        <v>53</v>
      </c>
      <c r="H928" s="1" t="s">
        <v>494</v>
      </c>
      <c r="I928" s="1" t="s">
        <v>495</v>
      </c>
      <c r="J928" s="1" t="s">
        <v>79</v>
      </c>
      <c r="K928" t="s">
        <v>34</v>
      </c>
      <c r="M928" s="1" t="s">
        <v>35</v>
      </c>
      <c r="N928" s="1">
        <v>42318949</v>
      </c>
      <c r="O928" s="1" t="s">
        <v>105</v>
      </c>
      <c r="P928" s="11" t="s">
        <v>1763</v>
      </c>
      <c r="R928" s="1" t="s">
        <v>38</v>
      </c>
      <c r="T928" s="1" t="s">
        <v>74</v>
      </c>
      <c r="U928" s="11" t="s">
        <v>1341</v>
      </c>
      <c r="V928" s="1" t="s">
        <v>41</v>
      </c>
      <c r="W928" s="1" t="s">
        <v>49</v>
      </c>
      <c r="Z928" s="14">
        <v>1</v>
      </c>
      <c r="AA928" s="14"/>
    </row>
    <row r="929" spans="1:27" hidden="1">
      <c r="A929" s="1">
        <v>9301755</v>
      </c>
      <c r="B929" s="1" t="s">
        <v>101</v>
      </c>
      <c r="C929" t="s">
        <v>1761</v>
      </c>
      <c r="E929" s="2">
        <v>9703000206001</v>
      </c>
      <c r="F929" s="1" t="s">
        <v>29</v>
      </c>
      <c r="G929" s="1" t="s">
        <v>53</v>
      </c>
      <c r="H929" s="1" t="s">
        <v>494</v>
      </c>
      <c r="I929" s="1" t="s">
        <v>495</v>
      </c>
      <c r="J929" s="1" t="s">
        <v>79</v>
      </c>
      <c r="K929" t="s">
        <v>34</v>
      </c>
      <c r="M929" s="1" t="s">
        <v>35</v>
      </c>
      <c r="N929" s="1">
        <v>42318949</v>
      </c>
      <c r="O929" s="1" t="s">
        <v>105</v>
      </c>
      <c r="P929" s="11" t="s">
        <v>1763</v>
      </c>
      <c r="R929" s="1" t="s">
        <v>38</v>
      </c>
      <c r="T929" s="1" t="s">
        <v>74</v>
      </c>
      <c r="U929" s="11" t="s">
        <v>1341</v>
      </c>
      <c r="V929" s="1" t="s">
        <v>41</v>
      </c>
      <c r="W929" s="1" t="s">
        <v>49</v>
      </c>
      <c r="Z929" s="14">
        <v>1</v>
      </c>
      <c r="AA929" s="14"/>
    </row>
    <row r="930" spans="1:27" hidden="1">
      <c r="A930" s="1">
        <v>9301754</v>
      </c>
      <c r="B930" s="1" t="s">
        <v>101</v>
      </c>
      <c r="C930" t="s">
        <v>1761</v>
      </c>
      <c r="E930" s="2">
        <v>9703000206001</v>
      </c>
      <c r="F930" s="1" t="s">
        <v>29</v>
      </c>
      <c r="G930" s="1" t="s">
        <v>53</v>
      </c>
      <c r="H930" s="1" t="s">
        <v>494</v>
      </c>
      <c r="I930" s="1" t="s">
        <v>495</v>
      </c>
      <c r="J930" s="1" t="s">
        <v>79</v>
      </c>
      <c r="K930" t="s">
        <v>34</v>
      </c>
      <c r="M930" s="1" t="s">
        <v>35</v>
      </c>
      <c r="N930" s="1">
        <v>42318949</v>
      </c>
      <c r="O930" s="1" t="s">
        <v>105</v>
      </c>
      <c r="P930" s="11" t="s">
        <v>1763</v>
      </c>
      <c r="R930" s="1" t="s">
        <v>38</v>
      </c>
      <c r="T930" s="1" t="s">
        <v>74</v>
      </c>
      <c r="U930" s="11" t="s">
        <v>1341</v>
      </c>
      <c r="V930" s="1" t="s">
        <v>41</v>
      </c>
      <c r="W930" s="1" t="s">
        <v>49</v>
      </c>
      <c r="Z930" s="14">
        <v>1</v>
      </c>
      <c r="AA930" s="14"/>
    </row>
    <row r="931" spans="1:27">
      <c r="A931" s="1">
        <v>9301753</v>
      </c>
      <c r="B931" s="1" t="s">
        <v>101</v>
      </c>
      <c r="C931" t="s">
        <v>1761</v>
      </c>
      <c r="E931" s="2">
        <v>9700000206001</v>
      </c>
      <c r="F931" s="1" t="s">
        <v>29</v>
      </c>
      <c r="G931" s="1" t="s">
        <v>53</v>
      </c>
      <c r="H931" s="1" t="s">
        <v>209</v>
      </c>
      <c r="I931" s="1" t="s">
        <v>210</v>
      </c>
      <c r="J931" s="1" t="s">
        <v>211</v>
      </c>
      <c r="K931" t="s">
        <v>34</v>
      </c>
      <c r="M931" s="1" t="s">
        <v>35</v>
      </c>
      <c r="N931" s="1">
        <v>42318949</v>
      </c>
      <c r="O931" s="1" t="s">
        <v>105</v>
      </c>
      <c r="P931" s="11" t="s">
        <v>1763</v>
      </c>
      <c r="R931" s="1" t="s">
        <v>38</v>
      </c>
      <c r="T931" s="1" t="s">
        <v>74</v>
      </c>
      <c r="U931" s="11" t="s">
        <v>1341</v>
      </c>
      <c r="V931" s="1" t="s">
        <v>41</v>
      </c>
      <c r="W931" s="1" t="s">
        <v>49</v>
      </c>
      <c r="Z931" s="14">
        <v>1</v>
      </c>
      <c r="AA931" s="14"/>
    </row>
    <row r="932" spans="1:27">
      <c r="A932" s="1">
        <v>9301752</v>
      </c>
      <c r="B932" s="1" t="s">
        <v>101</v>
      </c>
      <c r="C932" t="s">
        <v>1761</v>
      </c>
      <c r="E932" s="2">
        <v>9700000206001</v>
      </c>
      <c r="F932" s="1" t="s">
        <v>29</v>
      </c>
      <c r="G932" s="1" t="s">
        <v>53</v>
      </c>
      <c r="H932" s="1" t="s">
        <v>209</v>
      </c>
      <c r="I932" s="1" t="s">
        <v>210</v>
      </c>
      <c r="J932" s="1" t="s">
        <v>211</v>
      </c>
      <c r="K932" t="s">
        <v>34</v>
      </c>
      <c r="M932" s="1" t="s">
        <v>35</v>
      </c>
      <c r="N932" s="1">
        <v>42318949</v>
      </c>
      <c r="O932" s="1" t="s">
        <v>105</v>
      </c>
      <c r="P932" s="11" t="s">
        <v>1763</v>
      </c>
      <c r="R932" s="1" t="s">
        <v>38</v>
      </c>
      <c r="T932" s="1" t="s">
        <v>74</v>
      </c>
      <c r="U932" s="11" t="s">
        <v>1341</v>
      </c>
      <c r="V932" s="1" t="s">
        <v>41</v>
      </c>
      <c r="W932" s="1" t="s">
        <v>49</v>
      </c>
      <c r="Z932" s="14">
        <v>1</v>
      </c>
      <c r="AA932" s="14"/>
    </row>
    <row r="933" spans="1:27">
      <c r="A933" s="1">
        <v>9301751</v>
      </c>
      <c r="B933" s="1" t="s">
        <v>101</v>
      </c>
      <c r="C933" t="s">
        <v>1761</v>
      </c>
      <c r="E933" s="2">
        <v>9700000206001</v>
      </c>
      <c r="F933" s="1" t="s">
        <v>29</v>
      </c>
      <c r="G933" s="1" t="s">
        <v>53</v>
      </c>
      <c r="H933" s="1" t="s">
        <v>209</v>
      </c>
      <c r="I933" s="1" t="s">
        <v>210</v>
      </c>
      <c r="J933" s="1" t="s">
        <v>211</v>
      </c>
      <c r="K933" t="s">
        <v>34</v>
      </c>
      <c r="M933" s="1" t="s">
        <v>35</v>
      </c>
      <c r="N933" s="1">
        <v>42318949</v>
      </c>
      <c r="O933" s="1" t="s">
        <v>105</v>
      </c>
      <c r="P933" s="11" t="s">
        <v>1763</v>
      </c>
      <c r="R933" s="1" t="s">
        <v>38</v>
      </c>
      <c r="T933" s="1" t="s">
        <v>74</v>
      </c>
      <c r="U933" s="12">
        <v>44932.75</v>
      </c>
      <c r="V933" s="1" t="s">
        <v>41</v>
      </c>
      <c r="W933" s="1" t="s">
        <v>49</v>
      </c>
      <c r="Z933" s="14">
        <v>1</v>
      </c>
      <c r="AA933" s="14"/>
    </row>
    <row r="934" spans="1:27" hidden="1">
      <c r="A934" s="1">
        <v>9301660</v>
      </c>
      <c r="B934" s="1" t="s">
        <v>101</v>
      </c>
      <c r="C934" t="s">
        <v>1761</v>
      </c>
      <c r="E934" s="2">
        <v>9661000206001</v>
      </c>
      <c r="F934" s="1" t="s">
        <v>29</v>
      </c>
      <c r="G934" s="1" t="s">
        <v>53</v>
      </c>
      <c r="H934" s="1" t="s">
        <v>31</v>
      </c>
      <c r="I934" s="1" t="s">
        <v>32</v>
      </c>
      <c r="J934" s="1" t="s">
        <v>33</v>
      </c>
      <c r="K934" t="s">
        <v>34</v>
      </c>
      <c r="M934" s="1" t="s">
        <v>35</v>
      </c>
      <c r="N934" s="1">
        <v>42318949</v>
      </c>
      <c r="O934" s="1" t="s">
        <v>105</v>
      </c>
      <c r="P934" s="11" t="s">
        <v>1764</v>
      </c>
      <c r="R934" s="1" t="s">
        <v>38</v>
      </c>
      <c r="T934" s="1" t="s">
        <v>74</v>
      </c>
      <c r="U934" s="11" t="s">
        <v>1341</v>
      </c>
      <c r="V934" s="1" t="s">
        <v>41</v>
      </c>
      <c r="W934" s="1" t="s">
        <v>42</v>
      </c>
      <c r="Z934" s="14">
        <v>1</v>
      </c>
      <c r="AA934" s="14"/>
    </row>
    <row r="935" spans="1:27" hidden="1">
      <c r="A935" s="1">
        <v>9301659</v>
      </c>
      <c r="B935" s="1" t="s">
        <v>101</v>
      </c>
      <c r="C935" t="s">
        <v>1761</v>
      </c>
      <c r="E935" s="2">
        <v>9661000206001</v>
      </c>
      <c r="F935" s="1" t="s">
        <v>29</v>
      </c>
      <c r="G935" s="1" t="s">
        <v>53</v>
      </c>
      <c r="H935" s="1" t="s">
        <v>31</v>
      </c>
      <c r="I935" s="1" t="s">
        <v>32</v>
      </c>
      <c r="J935" s="1" t="s">
        <v>33</v>
      </c>
      <c r="K935" t="s">
        <v>34</v>
      </c>
      <c r="M935" s="1" t="s">
        <v>35</v>
      </c>
      <c r="N935" s="1">
        <v>42318949</v>
      </c>
      <c r="O935" s="1" t="s">
        <v>105</v>
      </c>
      <c r="P935" s="11" t="s">
        <v>1764</v>
      </c>
      <c r="R935" s="1" t="s">
        <v>38</v>
      </c>
      <c r="T935" s="1" t="s">
        <v>74</v>
      </c>
      <c r="U935" s="11" t="s">
        <v>1341</v>
      </c>
      <c r="V935" s="1" t="s">
        <v>41</v>
      </c>
      <c r="W935" s="1" t="s">
        <v>42</v>
      </c>
      <c r="Z935" s="14">
        <v>1</v>
      </c>
      <c r="AA935" s="14"/>
    </row>
    <row r="936" spans="1:27" hidden="1">
      <c r="A936" s="1">
        <v>9301480</v>
      </c>
      <c r="B936" s="1" t="s">
        <v>101</v>
      </c>
      <c r="C936" t="s">
        <v>1761</v>
      </c>
      <c r="E936" s="2">
        <v>9406000206001</v>
      </c>
      <c r="F936" s="1" t="s">
        <v>29</v>
      </c>
      <c r="G936" s="1" t="s">
        <v>53</v>
      </c>
      <c r="H936" s="1" t="s">
        <v>114</v>
      </c>
      <c r="I936" s="1" t="s">
        <v>115</v>
      </c>
      <c r="J936" s="1" t="s">
        <v>46</v>
      </c>
      <c r="K936" t="s">
        <v>34</v>
      </c>
      <c r="M936" s="1" t="s">
        <v>35</v>
      </c>
      <c r="N936" s="1">
        <v>42318949</v>
      </c>
      <c r="O936" s="1" t="s">
        <v>105</v>
      </c>
      <c r="P936" s="11" t="s">
        <v>1765</v>
      </c>
      <c r="R936" s="1" t="s">
        <v>38</v>
      </c>
      <c r="T936" s="1" t="s">
        <v>74</v>
      </c>
      <c r="U936" s="11" t="s">
        <v>1341</v>
      </c>
      <c r="V936" s="1" t="s">
        <v>41</v>
      </c>
      <c r="W936" s="1" t="s">
        <v>49</v>
      </c>
      <c r="Z936" s="14">
        <v>1</v>
      </c>
      <c r="AA936" s="14"/>
    </row>
    <row r="937" spans="1:27" hidden="1">
      <c r="A937" s="1">
        <v>9301479</v>
      </c>
      <c r="B937" s="1" t="s">
        <v>101</v>
      </c>
      <c r="C937" t="s">
        <v>1761</v>
      </c>
      <c r="E937" s="2">
        <v>9406000206001</v>
      </c>
      <c r="F937" s="1" t="s">
        <v>29</v>
      </c>
      <c r="G937" s="1" t="s">
        <v>53</v>
      </c>
      <c r="H937" s="1" t="s">
        <v>114</v>
      </c>
      <c r="I937" s="1" t="s">
        <v>115</v>
      </c>
      <c r="J937" s="1" t="s">
        <v>46</v>
      </c>
      <c r="K937" t="s">
        <v>34</v>
      </c>
      <c r="M937" s="1" t="s">
        <v>35</v>
      </c>
      <c r="N937" s="1">
        <v>42318949</v>
      </c>
      <c r="O937" s="1" t="s">
        <v>105</v>
      </c>
      <c r="P937" s="11" t="s">
        <v>1765</v>
      </c>
      <c r="R937" s="1" t="s">
        <v>38</v>
      </c>
      <c r="T937" s="1" t="s">
        <v>74</v>
      </c>
      <c r="U937" s="11" t="s">
        <v>1341</v>
      </c>
      <c r="V937" s="1" t="s">
        <v>41</v>
      </c>
      <c r="W937" s="1" t="s">
        <v>49</v>
      </c>
      <c r="Z937" s="14">
        <v>1</v>
      </c>
      <c r="AA937" s="14"/>
    </row>
    <row r="938" spans="1:27" hidden="1">
      <c r="A938" s="1">
        <v>9301478</v>
      </c>
      <c r="B938" s="1" t="s">
        <v>101</v>
      </c>
      <c r="C938" t="s">
        <v>1761</v>
      </c>
      <c r="E938" s="2">
        <v>9406000206001</v>
      </c>
      <c r="F938" s="1" t="s">
        <v>29</v>
      </c>
      <c r="G938" s="1" t="s">
        <v>53</v>
      </c>
      <c r="H938" s="1" t="s">
        <v>114</v>
      </c>
      <c r="I938" s="1" t="s">
        <v>115</v>
      </c>
      <c r="J938" s="1" t="s">
        <v>46</v>
      </c>
      <c r="K938" t="s">
        <v>34</v>
      </c>
      <c r="M938" s="1" t="s">
        <v>35</v>
      </c>
      <c r="N938" s="1">
        <v>42318949</v>
      </c>
      <c r="O938" s="1" t="s">
        <v>105</v>
      </c>
      <c r="P938" s="11" t="s">
        <v>1765</v>
      </c>
      <c r="R938" s="1" t="s">
        <v>38</v>
      </c>
      <c r="T938" s="1" t="s">
        <v>74</v>
      </c>
      <c r="U938" s="11" t="s">
        <v>1341</v>
      </c>
      <c r="V938" s="1" t="s">
        <v>41</v>
      </c>
      <c r="W938" s="1" t="s">
        <v>49</v>
      </c>
      <c r="Z938" s="14">
        <v>1</v>
      </c>
      <c r="AA938" s="14"/>
    </row>
    <row r="939" spans="1:27" hidden="1">
      <c r="A939" s="1">
        <v>9301477</v>
      </c>
      <c r="B939" s="1" t="s">
        <v>101</v>
      </c>
      <c r="C939" t="s">
        <v>1761</v>
      </c>
      <c r="E939" s="2">
        <v>9406000206001</v>
      </c>
      <c r="F939" s="1" t="s">
        <v>29</v>
      </c>
      <c r="G939" s="1" t="s">
        <v>53</v>
      </c>
      <c r="H939" s="1" t="s">
        <v>114</v>
      </c>
      <c r="I939" s="1" t="s">
        <v>115</v>
      </c>
      <c r="J939" s="1" t="s">
        <v>46</v>
      </c>
      <c r="K939" t="s">
        <v>34</v>
      </c>
      <c r="M939" s="1" t="s">
        <v>35</v>
      </c>
      <c r="N939" s="1">
        <v>42318949</v>
      </c>
      <c r="O939" s="1" t="s">
        <v>105</v>
      </c>
      <c r="P939" s="11" t="s">
        <v>1765</v>
      </c>
      <c r="R939" s="1" t="s">
        <v>38</v>
      </c>
      <c r="T939" s="1" t="s">
        <v>74</v>
      </c>
      <c r="U939" s="11" t="s">
        <v>1341</v>
      </c>
      <c r="V939" s="1" t="s">
        <v>41</v>
      </c>
      <c r="W939" s="1" t="s">
        <v>49</v>
      </c>
      <c r="Z939" s="14">
        <v>1</v>
      </c>
      <c r="AA939" s="14"/>
    </row>
    <row r="940" spans="1:27" hidden="1">
      <c r="A940" s="1">
        <v>9301476</v>
      </c>
      <c r="B940" s="1" t="s">
        <v>101</v>
      </c>
      <c r="C940" t="s">
        <v>1761</v>
      </c>
      <c r="E940" s="2">
        <v>9406000206001</v>
      </c>
      <c r="F940" s="1" t="s">
        <v>29</v>
      </c>
      <c r="G940" s="1" t="s">
        <v>53</v>
      </c>
      <c r="H940" s="1" t="s">
        <v>114</v>
      </c>
      <c r="I940" s="1" t="s">
        <v>115</v>
      </c>
      <c r="J940" s="1" t="s">
        <v>46</v>
      </c>
      <c r="K940" t="s">
        <v>34</v>
      </c>
      <c r="M940" s="1" t="s">
        <v>35</v>
      </c>
      <c r="N940" s="1">
        <v>42318949</v>
      </c>
      <c r="O940" s="1" t="s">
        <v>105</v>
      </c>
      <c r="P940" s="11" t="s">
        <v>1765</v>
      </c>
      <c r="R940" s="1" t="s">
        <v>38</v>
      </c>
      <c r="T940" s="1" t="s">
        <v>74</v>
      </c>
      <c r="U940" s="11" t="s">
        <v>1341</v>
      </c>
      <c r="V940" s="1" t="s">
        <v>41</v>
      </c>
      <c r="W940" s="1" t="s">
        <v>49</v>
      </c>
      <c r="Z940" s="14">
        <v>1</v>
      </c>
      <c r="AA940" s="14"/>
    </row>
    <row r="941" spans="1:27" hidden="1">
      <c r="A941" s="1">
        <v>9301475</v>
      </c>
      <c r="B941" s="1" t="s">
        <v>101</v>
      </c>
      <c r="C941" t="s">
        <v>1761</v>
      </c>
      <c r="E941" s="2">
        <v>9406000206001</v>
      </c>
      <c r="F941" s="1" t="s">
        <v>29</v>
      </c>
      <c r="G941" s="1" t="s">
        <v>53</v>
      </c>
      <c r="H941" s="1" t="s">
        <v>114</v>
      </c>
      <c r="I941" s="1" t="s">
        <v>115</v>
      </c>
      <c r="J941" s="1" t="s">
        <v>46</v>
      </c>
      <c r="K941" t="s">
        <v>34</v>
      </c>
      <c r="M941" s="1" t="s">
        <v>35</v>
      </c>
      <c r="N941" s="1">
        <v>42318949</v>
      </c>
      <c r="O941" s="1" t="s">
        <v>105</v>
      </c>
      <c r="P941" s="11" t="s">
        <v>1766</v>
      </c>
      <c r="R941" s="1" t="s">
        <v>38</v>
      </c>
      <c r="T941" s="1" t="s">
        <v>74</v>
      </c>
      <c r="U941" s="11" t="s">
        <v>1341</v>
      </c>
      <c r="V941" s="1" t="s">
        <v>41</v>
      </c>
      <c r="W941" s="1" t="s">
        <v>49</v>
      </c>
      <c r="Z941" s="14">
        <v>1</v>
      </c>
      <c r="AA941" s="14"/>
    </row>
    <row r="942" spans="1:27" hidden="1">
      <c r="A942" s="1">
        <v>9301474</v>
      </c>
      <c r="B942" s="1" t="s">
        <v>101</v>
      </c>
      <c r="C942" t="s">
        <v>1761</v>
      </c>
      <c r="E942" s="2">
        <v>9406000206001</v>
      </c>
      <c r="F942" s="1" t="s">
        <v>29</v>
      </c>
      <c r="G942" s="1" t="s">
        <v>53</v>
      </c>
      <c r="H942" s="1" t="s">
        <v>114</v>
      </c>
      <c r="I942" s="1" t="s">
        <v>115</v>
      </c>
      <c r="J942" s="1" t="s">
        <v>46</v>
      </c>
      <c r="K942" t="s">
        <v>34</v>
      </c>
      <c r="M942" s="1" t="s">
        <v>35</v>
      </c>
      <c r="N942" s="1">
        <v>42318949</v>
      </c>
      <c r="O942" s="1" t="s">
        <v>105</v>
      </c>
      <c r="P942" s="11" t="s">
        <v>1766</v>
      </c>
      <c r="R942" s="1" t="s">
        <v>38</v>
      </c>
      <c r="T942" s="1" t="s">
        <v>74</v>
      </c>
      <c r="U942" s="11" t="s">
        <v>1341</v>
      </c>
      <c r="V942" s="1" t="s">
        <v>41</v>
      </c>
      <c r="W942" s="1" t="s">
        <v>49</v>
      </c>
      <c r="Z942" s="14">
        <v>1</v>
      </c>
      <c r="AA942" s="14"/>
    </row>
    <row r="943" spans="1:27" hidden="1">
      <c r="A943" s="1">
        <v>9301473</v>
      </c>
      <c r="B943" s="1" t="s">
        <v>101</v>
      </c>
      <c r="C943" t="s">
        <v>1761</v>
      </c>
      <c r="E943" s="2">
        <v>9406000206001</v>
      </c>
      <c r="F943" s="1" t="s">
        <v>29</v>
      </c>
      <c r="G943" s="1" t="s">
        <v>53</v>
      </c>
      <c r="H943" s="1" t="s">
        <v>114</v>
      </c>
      <c r="I943" s="1" t="s">
        <v>115</v>
      </c>
      <c r="J943" s="1" t="s">
        <v>46</v>
      </c>
      <c r="K943" t="s">
        <v>34</v>
      </c>
      <c r="M943" s="1" t="s">
        <v>35</v>
      </c>
      <c r="N943" s="1">
        <v>42318949</v>
      </c>
      <c r="O943" s="1" t="s">
        <v>105</v>
      </c>
      <c r="P943" s="11" t="s">
        <v>1766</v>
      </c>
      <c r="R943" s="1" t="s">
        <v>38</v>
      </c>
      <c r="T943" s="1" t="s">
        <v>74</v>
      </c>
      <c r="U943" s="11" t="s">
        <v>1341</v>
      </c>
      <c r="V943" s="1" t="s">
        <v>41</v>
      </c>
      <c r="W943" s="1" t="s">
        <v>49</v>
      </c>
      <c r="Z943" s="14">
        <v>1</v>
      </c>
      <c r="AA943" s="14"/>
    </row>
    <row r="944" spans="1:27" hidden="1">
      <c r="A944" s="1">
        <v>9301472</v>
      </c>
      <c r="B944" s="1" t="s">
        <v>101</v>
      </c>
      <c r="C944" t="s">
        <v>1761</v>
      </c>
      <c r="E944" s="2">
        <v>9406000206001</v>
      </c>
      <c r="F944" s="1" t="s">
        <v>29</v>
      </c>
      <c r="G944" s="1" t="s">
        <v>53</v>
      </c>
      <c r="H944" s="1" t="s">
        <v>114</v>
      </c>
      <c r="I944" s="1" t="s">
        <v>115</v>
      </c>
      <c r="J944" s="1" t="s">
        <v>46</v>
      </c>
      <c r="K944" t="s">
        <v>34</v>
      </c>
      <c r="M944" s="1" t="s">
        <v>35</v>
      </c>
      <c r="N944" s="1">
        <v>42318949</v>
      </c>
      <c r="O944" s="1" t="s">
        <v>105</v>
      </c>
      <c r="P944" s="12">
        <v>44932.480590277781</v>
      </c>
      <c r="R944" s="1" t="s">
        <v>38</v>
      </c>
      <c r="T944" s="1" t="s">
        <v>74</v>
      </c>
      <c r="U944" s="12">
        <v>44932.75</v>
      </c>
      <c r="V944" s="1" t="s">
        <v>41</v>
      </c>
      <c r="W944" s="12" t="s">
        <v>49</v>
      </c>
      <c r="Z944" s="14">
        <v>1</v>
      </c>
      <c r="AA944" s="14"/>
    </row>
    <row r="945" spans="1:27" hidden="1">
      <c r="A945" s="1">
        <v>9301471</v>
      </c>
      <c r="B945" s="1" t="s">
        <v>101</v>
      </c>
      <c r="C945" t="s">
        <v>1761</v>
      </c>
      <c r="E945" s="2">
        <v>9406000206001</v>
      </c>
      <c r="F945" s="1" t="s">
        <v>29</v>
      </c>
      <c r="G945" s="1" t="s">
        <v>53</v>
      </c>
      <c r="H945" s="1" t="s">
        <v>114</v>
      </c>
      <c r="I945" s="1" t="s">
        <v>115</v>
      </c>
      <c r="J945" s="1" t="s">
        <v>46</v>
      </c>
      <c r="K945" t="s">
        <v>34</v>
      </c>
      <c r="M945" s="1" t="s">
        <v>35</v>
      </c>
      <c r="N945" s="1">
        <v>42318949</v>
      </c>
      <c r="O945" s="1" t="s">
        <v>105</v>
      </c>
      <c r="P945" s="186">
        <v>44932.480590277781</v>
      </c>
      <c r="R945" s="1" t="s">
        <v>38</v>
      </c>
      <c r="T945" s="1" t="s">
        <v>74</v>
      </c>
      <c r="U945" s="186">
        <v>44932.75</v>
      </c>
      <c r="V945" s="1" t="s">
        <v>41</v>
      </c>
      <c r="W945" s="1" t="s">
        <v>49</v>
      </c>
      <c r="Z945" s="14">
        <v>1</v>
      </c>
      <c r="AA945" s="14"/>
    </row>
    <row r="946" spans="1:27" hidden="1">
      <c r="A946" s="1">
        <v>9301080</v>
      </c>
      <c r="B946" s="1" t="s">
        <v>101</v>
      </c>
      <c r="C946" t="s">
        <v>1761</v>
      </c>
      <c r="E946" s="2">
        <v>4997000206001</v>
      </c>
      <c r="F946" s="1" t="s">
        <v>29</v>
      </c>
      <c r="G946" s="1" t="s">
        <v>53</v>
      </c>
      <c r="H946" s="1" t="s">
        <v>406</v>
      </c>
      <c r="I946" s="1" t="s">
        <v>407</v>
      </c>
      <c r="J946" s="1" t="s">
        <v>79</v>
      </c>
      <c r="K946" t="s">
        <v>34</v>
      </c>
      <c r="M946" s="1" t="s">
        <v>35</v>
      </c>
      <c r="N946" s="1">
        <v>42318949</v>
      </c>
      <c r="O946" s="1" t="s">
        <v>105</v>
      </c>
      <c r="P946" s="11" t="s">
        <v>1767</v>
      </c>
      <c r="R946" s="1" t="s">
        <v>38</v>
      </c>
      <c r="T946" s="1" t="s">
        <v>74</v>
      </c>
      <c r="U946" s="11" t="s">
        <v>1341</v>
      </c>
      <c r="V946" s="1" t="s">
        <v>41</v>
      </c>
      <c r="W946" s="1" t="s">
        <v>49</v>
      </c>
      <c r="Z946" s="14">
        <v>1</v>
      </c>
      <c r="AA946" s="14"/>
    </row>
    <row r="947" spans="1:27" hidden="1">
      <c r="A947" s="1">
        <v>9301028</v>
      </c>
      <c r="B947" s="1" t="s">
        <v>101</v>
      </c>
      <c r="C947" t="s">
        <v>1761</v>
      </c>
      <c r="E947" s="2">
        <v>4637000206001</v>
      </c>
      <c r="F947" s="1" t="s">
        <v>29</v>
      </c>
      <c r="G947" s="1" t="s">
        <v>53</v>
      </c>
      <c r="H947" s="1" t="s">
        <v>848</v>
      </c>
      <c r="I947" s="1" t="s">
        <v>849</v>
      </c>
      <c r="J947" s="1" t="s">
        <v>79</v>
      </c>
      <c r="K947" t="s">
        <v>34</v>
      </c>
      <c r="M947" s="1" t="s">
        <v>35</v>
      </c>
      <c r="N947" s="1">
        <v>42318949</v>
      </c>
      <c r="O947" s="1" t="s">
        <v>105</v>
      </c>
      <c r="P947" s="11" t="s">
        <v>1768</v>
      </c>
      <c r="R947" s="1" t="s">
        <v>38</v>
      </c>
      <c r="T947" s="1" t="s">
        <v>74</v>
      </c>
      <c r="U947" s="11" t="s">
        <v>1341</v>
      </c>
      <c r="V947" s="1" t="s">
        <v>41</v>
      </c>
      <c r="W947" s="1" t="s">
        <v>49</v>
      </c>
      <c r="Z947" s="14">
        <v>1</v>
      </c>
      <c r="AA947" s="14"/>
    </row>
    <row r="948" spans="1:27" hidden="1">
      <c r="A948" s="1">
        <v>9301024</v>
      </c>
      <c r="B948" s="1" t="s">
        <v>101</v>
      </c>
      <c r="C948" t="s">
        <v>1761</v>
      </c>
      <c r="E948" s="2">
        <v>4623000206001</v>
      </c>
      <c r="F948" s="1" t="s">
        <v>29</v>
      </c>
      <c r="G948" s="1" t="s">
        <v>53</v>
      </c>
      <c r="H948" s="1" t="s">
        <v>669</v>
      </c>
      <c r="I948" s="1" t="s">
        <v>670</v>
      </c>
      <c r="J948" s="1" t="s">
        <v>33</v>
      </c>
      <c r="K948" t="s">
        <v>34</v>
      </c>
      <c r="M948" s="1" t="s">
        <v>35</v>
      </c>
      <c r="N948" s="1">
        <v>42318949</v>
      </c>
      <c r="O948" s="1" t="s">
        <v>105</v>
      </c>
      <c r="P948" s="11" t="s">
        <v>1769</v>
      </c>
      <c r="R948" s="1" t="s">
        <v>38</v>
      </c>
      <c r="T948" s="1" t="s">
        <v>74</v>
      </c>
      <c r="U948" s="11" t="s">
        <v>1341</v>
      </c>
      <c r="V948" s="1" t="s">
        <v>41</v>
      </c>
      <c r="W948" s="1" t="s">
        <v>42</v>
      </c>
      <c r="Z948" s="14">
        <v>1</v>
      </c>
      <c r="AA948" s="14"/>
    </row>
    <row r="949" spans="1:27" hidden="1">
      <c r="A949" s="1">
        <v>9301023</v>
      </c>
      <c r="B949" s="1" t="s">
        <v>101</v>
      </c>
      <c r="C949" t="s">
        <v>1761</v>
      </c>
      <c r="E949" s="2">
        <v>4623000206001</v>
      </c>
      <c r="F949" s="1" t="s">
        <v>29</v>
      </c>
      <c r="G949" s="1" t="s">
        <v>53</v>
      </c>
      <c r="H949" s="1" t="s">
        <v>669</v>
      </c>
      <c r="I949" s="1" t="s">
        <v>670</v>
      </c>
      <c r="J949" s="1" t="s">
        <v>33</v>
      </c>
      <c r="K949" t="s">
        <v>34</v>
      </c>
      <c r="M949" s="1" t="s">
        <v>35</v>
      </c>
      <c r="N949" s="1">
        <v>42318949</v>
      </c>
      <c r="O949" s="1" t="s">
        <v>105</v>
      </c>
      <c r="P949" s="11" t="s">
        <v>1769</v>
      </c>
      <c r="R949" s="1" t="s">
        <v>38</v>
      </c>
      <c r="T949" s="1" t="s">
        <v>74</v>
      </c>
      <c r="U949" s="11" t="s">
        <v>1341</v>
      </c>
      <c r="V949" s="1" t="s">
        <v>41</v>
      </c>
      <c r="W949" s="1" t="s">
        <v>42</v>
      </c>
      <c r="Z949" s="14">
        <v>1</v>
      </c>
      <c r="AA949" s="14"/>
    </row>
    <row r="950" spans="1:27" hidden="1">
      <c r="A950" s="1">
        <v>9301022</v>
      </c>
      <c r="B950" s="1" t="s">
        <v>101</v>
      </c>
      <c r="C950" t="s">
        <v>1761</v>
      </c>
      <c r="E950" s="2">
        <v>4623000206001</v>
      </c>
      <c r="F950" s="1" t="s">
        <v>29</v>
      </c>
      <c r="G950" s="1" t="s">
        <v>53</v>
      </c>
      <c r="H950" s="1" t="s">
        <v>669</v>
      </c>
      <c r="I950" s="1" t="s">
        <v>670</v>
      </c>
      <c r="J950" s="1" t="s">
        <v>33</v>
      </c>
      <c r="K950" t="s">
        <v>34</v>
      </c>
      <c r="M950" s="1" t="s">
        <v>35</v>
      </c>
      <c r="N950" s="1">
        <v>42318949</v>
      </c>
      <c r="O950" s="1" t="s">
        <v>105</v>
      </c>
      <c r="P950" s="11" t="s">
        <v>1769</v>
      </c>
      <c r="R950" s="1" t="s">
        <v>38</v>
      </c>
      <c r="T950" s="1" t="s">
        <v>74</v>
      </c>
      <c r="U950" s="11" t="s">
        <v>1341</v>
      </c>
      <c r="V950" s="1" t="s">
        <v>41</v>
      </c>
      <c r="W950" s="1" t="s">
        <v>42</v>
      </c>
      <c r="Z950" s="14">
        <v>1</v>
      </c>
      <c r="AA950" s="14"/>
    </row>
    <row r="951" spans="1:27" hidden="1">
      <c r="A951" s="1">
        <v>9300867</v>
      </c>
      <c r="B951" s="1" t="s">
        <v>101</v>
      </c>
      <c r="C951" t="s">
        <v>1761</v>
      </c>
      <c r="E951" s="2">
        <v>4012000206001</v>
      </c>
      <c r="F951" s="1" t="s">
        <v>29</v>
      </c>
      <c r="G951" s="1" t="s">
        <v>53</v>
      </c>
      <c r="H951" s="1" t="s">
        <v>349</v>
      </c>
      <c r="I951" s="1" t="s">
        <v>350</v>
      </c>
      <c r="J951" s="1" t="s">
        <v>261</v>
      </c>
      <c r="K951" t="s">
        <v>34</v>
      </c>
      <c r="M951" s="1" t="s">
        <v>35</v>
      </c>
      <c r="N951" s="1">
        <v>42318949</v>
      </c>
      <c r="O951" s="1" t="s">
        <v>105</v>
      </c>
      <c r="P951" s="12">
        <v>44932.479664351849</v>
      </c>
      <c r="R951" s="1" t="s">
        <v>38</v>
      </c>
      <c r="T951" s="1" t="s">
        <v>74</v>
      </c>
      <c r="U951" s="12">
        <v>44932.75</v>
      </c>
      <c r="V951" s="1" t="s">
        <v>41</v>
      </c>
      <c r="W951" s="1" t="s">
        <v>49</v>
      </c>
      <c r="Z951" s="14">
        <v>1</v>
      </c>
      <c r="AA951" s="14"/>
    </row>
    <row r="952" spans="1:27" hidden="1">
      <c r="A952" s="1">
        <v>9300825</v>
      </c>
      <c r="B952" s="1" t="s">
        <v>101</v>
      </c>
      <c r="C952" t="s">
        <v>1761</v>
      </c>
      <c r="E952" s="2">
        <v>3924000206001</v>
      </c>
      <c r="F952" s="1" t="s">
        <v>29</v>
      </c>
      <c r="G952" s="1" t="s">
        <v>53</v>
      </c>
      <c r="H952" s="1" t="s">
        <v>153</v>
      </c>
      <c r="I952" s="1" t="s">
        <v>154</v>
      </c>
      <c r="J952" s="1" t="s">
        <v>56</v>
      </c>
      <c r="K952" t="s">
        <v>34</v>
      </c>
      <c r="M952" s="1" t="s">
        <v>35</v>
      </c>
      <c r="N952" s="1">
        <v>42318949</v>
      </c>
      <c r="O952" s="1" t="s">
        <v>105</v>
      </c>
      <c r="P952" s="11" t="s">
        <v>1770</v>
      </c>
      <c r="R952" s="1" t="s">
        <v>38</v>
      </c>
      <c r="T952" s="1" t="s">
        <v>74</v>
      </c>
      <c r="U952" s="11" t="s">
        <v>1341</v>
      </c>
      <c r="V952" s="1" t="s">
        <v>41</v>
      </c>
      <c r="W952" s="1" t="s">
        <v>49</v>
      </c>
      <c r="Z952" s="14">
        <v>1</v>
      </c>
      <c r="AA952" s="14"/>
    </row>
    <row r="953" spans="1:27" hidden="1">
      <c r="A953" s="1">
        <v>9300610</v>
      </c>
      <c r="B953" s="1" t="s">
        <v>101</v>
      </c>
      <c r="C953" t="s">
        <v>1761</v>
      </c>
      <c r="E953" s="2">
        <v>3258000206001</v>
      </c>
      <c r="F953" s="2" t="s">
        <v>29</v>
      </c>
      <c r="G953" s="1" t="s">
        <v>53</v>
      </c>
      <c r="H953" s="1" t="s">
        <v>321</v>
      </c>
      <c r="I953" s="1" t="s">
        <v>322</v>
      </c>
      <c r="J953" s="1" t="s">
        <v>46</v>
      </c>
      <c r="K953" s="1" t="s">
        <v>34</v>
      </c>
      <c r="M953" s="1" t="s">
        <v>35</v>
      </c>
      <c r="N953" s="1">
        <v>42318949</v>
      </c>
      <c r="O953" s="1" t="s">
        <v>105</v>
      </c>
      <c r="P953" s="11" t="s">
        <v>1771</v>
      </c>
      <c r="R953" s="1" t="s">
        <v>38</v>
      </c>
      <c r="T953" s="1" t="s">
        <v>74</v>
      </c>
      <c r="U953" s="11" t="s">
        <v>1341</v>
      </c>
      <c r="V953" s="1" t="s">
        <v>41</v>
      </c>
      <c r="W953" s="1" t="s">
        <v>49</v>
      </c>
      <c r="Z953" s="14">
        <v>1</v>
      </c>
      <c r="AA953" s="14"/>
    </row>
    <row r="954" spans="1:27" hidden="1">
      <c r="A954" s="1">
        <v>9300609</v>
      </c>
      <c r="B954" s="1" t="s">
        <v>101</v>
      </c>
      <c r="C954" t="s">
        <v>1761</v>
      </c>
      <c r="E954" s="2">
        <v>3258000206001</v>
      </c>
      <c r="F954" s="1" t="s">
        <v>29</v>
      </c>
      <c r="G954" s="1" t="s">
        <v>53</v>
      </c>
      <c r="H954" s="1" t="s">
        <v>321</v>
      </c>
      <c r="I954" s="1" t="s">
        <v>322</v>
      </c>
      <c r="J954" s="1" t="s">
        <v>46</v>
      </c>
      <c r="K954" t="s">
        <v>34</v>
      </c>
      <c r="M954" s="1" t="s">
        <v>35</v>
      </c>
      <c r="N954" s="1">
        <v>42318949</v>
      </c>
      <c r="O954" s="1" t="s">
        <v>105</v>
      </c>
      <c r="P954" s="11" t="s">
        <v>1771</v>
      </c>
      <c r="R954" s="1" t="s">
        <v>38</v>
      </c>
      <c r="T954" s="1" t="s">
        <v>74</v>
      </c>
      <c r="U954" s="11" t="s">
        <v>1341</v>
      </c>
      <c r="V954" s="1" t="s">
        <v>41</v>
      </c>
      <c r="W954" s="1" t="s">
        <v>49</v>
      </c>
      <c r="Z954" s="14">
        <v>1</v>
      </c>
      <c r="AA954" s="14"/>
    </row>
    <row r="955" spans="1:27" hidden="1">
      <c r="A955" s="1">
        <v>9300513</v>
      </c>
      <c r="B955" s="1" t="s">
        <v>101</v>
      </c>
      <c r="C955" t="s">
        <v>1761</v>
      </c>
      <c r="E955" s="2">
        <v>3056000206001</v>
      </c>
      <c r="F955" s="1" t="s">
        <v>29</v>
      </c>
      <c r="G955" s="1" t="s">
        <v>53</v>
      </c>
      <c r="H955" s="1" t="s">
        <v>1772</v>
      </c>
      <c r="I955" s="1" t="s">
        <v>1773</v>
      </c>
      <c r="J955" s="1" t="s">
        <v>46</v>
      </c>
      <c r="K955" t="s">
        <v>34</v>
      </c>
      <c r="M955" s="1" t="s">
        <v>35</v>
      </c>
      <c r="N955" s="1">
        <v>42318949</v>
      </c>
      <c r="O955" s="1" t="s">
        <v>105</v>
      </c>
      <c r="P955" s="11" t="s">
        <v>1774</v>
      </c>
      <c r="R955" s="1" t="s">
        <v>38</v>
      </c>
      <c r="T955" s="1" t="s">
        <v>74</v>
      </c>
      <c r="U955" s="11" t="s">
        <v>1341</v>
      </c>
      <c r="V955" s="1" t="s">
        <v>41</v>
      </c>
      <c r="W955" s="1" t="s">
        <v>49</v>
      </c>
      <c r="Z955" s="14">
        <v>1</v>
      </c>
      <c r="AA955" s="14"/>
    </row>
    <row r="956" spans="1:27" hidden="1">
      <c r="A956" s="1">
        <v>9300512</v>
      </c>
      <c r="B956" s="1" t="s">
        <v>101</v>
      </c>
      <c r="C956" t="s">
        <v>1761</v>
      </c>
      <c r="E956" s="2">
        <v>3056000206001</v>
      </c>
      <c r="F956" s="1" t="s">
        <v>29</v>
      </c>
      <c r="G956" s="1" t="s">
        <v>53</v>
      </c>
      <c r="H956" s="1" t="s">
        <v>1772</v>
      </c>
      <c r="I956" s="1" t="s">
        <v>1773</v>
      </c>
      <c r="J956" s="1" t="s">
        <v>46</v>
      </c>
      <c r="K956" t="s">
        <v>34</v>
      </c>
      <c r="M956" s="1" t="s">
        <v>35</v>
      </c>
      <c r="N956" s="1">
        <v>42318949</v>
      </c>
      <c r="O956" s="1" t="s">
        <v>105</v>
      </c>
      <c r="P956" s="11" t="s">
        <v>1774</v>
      </c>
      <c r="R956" s="1" t="s">
        <v>38</v>
      </c>
      <c r="T956" s="1" t="s">
        <v>74</v>
      </c>
      <c r="U956" s="11" t="s">
        <v>1341</v>
      </c>
      <c r="V956" s="1" t="s">
        <v>41</v>
      </c>
      <c r="W956" s="1" t="s">
        <v>49</v>
      </c>
      <c r="Z956" s="14">
        <v>1</v>
      </c>
      <c r="AA956" s="14"/>
    </row>
    <row r="957" spans="1:27" hidden="1">
      <c r="A957" s="1">
        <v>9300511</v>
      </c>
      <c r="B957" s="1" t="s">
        <v>101</v>
      </c>
      <c r="C957" t="s">
        <v>1761</v>
      </c>
      <c r="E957" s="2">
        <v>3056000206001</v>
      </c>
      <c r="F957" s="1" t="s">
        <v>29</v>
      </c>
      <c r="G957" s="1" t="s">
        <v>53</v>
      </c>
      <c r="H957" s="1" t="s">
        <v>1772</v>
      </c>
      <c r="I957" s="1" t="s">
        <v>1773</v>
      </c>
      <c r="J957" s="1" t="s">
        <v>46</v>
      </c>
      <c r="K957" t="s">
        <v>34</v>
      </c>
      <c r="M957" s="1" t="s">
        <v>35</v>
      </c>
      <c r="N957" s="1">
        <v>42318949</v>
      </c>
      <c r="O957" s="1" t="s">
        <v>105</v>
      </c>
      <c r="P957" s="12">
        <v>44932.479039351849</v>
      </c>
      <c r="R957" s="1" t="s">
        <v>38</v>
      </c>
      <c r="T957" s="1" t="s">
        <v>74</v>
      </c>
      <c r="U957" s="12">
        <v>44932.75</v>
      </c>
      <c r="V957" s="1" t="s">
        <v>41</v>
      </c>
      <c r="W957" s="1" t="s">
        <v>49</v>
      </c>
      <c r="Z957" s="14">
        <v>1</v>
      </c>
      <c r="AA957" s="14"/>
    </row>
    <row r="958" spans="1:27">
      <c r="A958" s="1">
        <v>9300380</v>
      </c>
      <c r="B958" s="1" t="s">
        <v>101</v>
      </c>
      <c r="C958" t="s">
        <v>1761</v>
      </c>
      <c r="E958" s="2">
        <v>2739000206001</v>
      </c>
      <c r="F958" s="2" t="s">
        <v>29</v>
      </c>
      <c r="G958" s="1" t="s">
        <v>53</v>
      </c>
      <c r="H958" s="1" t="s">
        <v>359</v>
      </c>
      <c r="I958" s="1" t="s">
        <v>360</v>
      </c>
      <c r="J958" s="1" t="s">
        <v>85</v>
      </c>
      <c r="K958" s="1" t="s">
        <v>34</v>
      </c>
      <c r="M958" s="1" t="s">
        <v>35</v>
      </c>
      <c r="N958" s="1">
        <v>42318949</v>
      </c>
      <c r="O958" s="1" t="s">
        <v>36</v>
      </c>
      <c r="P958" s="11" t="s">
        <v>1775</v>
      </c>
      <c r="R958" s="1" t="s">
        <v>38</v>
      </c>
      <c r="T958" s="1" t="s">
        <v>74</v>
      </c>
      <c r="U958" s="11" t="s">
        <v>1341</v>
      </c>
      <c r="V958" s="1" t="s">
        <v>41</v>
      </c>
      <c r="W958" s="1" t="s">
        <v>49</v>
      </c>
      <c r="Z958" s="14">
        <v>1</v>
      </c>
      <c r="AA958" s="14"/>
    </row>
    <row r="959" spans="1:27" hidden="1">
      <c r="A959" s="1">
        <v>9300311</v>
      </c>
      <c r="B959" s="1" t="s">
        <v>101</v>
      </c>
      <c r="C959" t="s">
        <v>1761</v>
      </c>
      <c r="E959" s="2">
        <v>2625000206001</v>
      </c>
      <c r="F959" s="1" t="s">
        <v>29</v>
      </c>
      <c r="G959" s="1" t="s">
        <v>53</v>
      </c>
      <c r="H959" s="1" t="s">
        <v>317</v>
      </c>
      <c r="I959" s="1" t="s">
        <v>318</v>
      </c>
      <c r="J959" s="1" t="s">
        <v>164</v>
      </c>
      <c r="K959" t="s">
        <v>34</v>
      </c>
      <c r="M959" s="1" t="s">
        <v>35</v>
      </c>
      <c r="N959" s="1">
        <v>42318949</v>
      </c>
      <c r="O959" s="1" t="s">
        <v>105</v>
      </c>
      <c r="P959" s="11" t="s">
        <v>1776</v>
      </c>
      <c r="R959" s="1" t="s">
        <v>38</v>
      </c>
      <c r="T959" s="1" t="s">
        <v>74</v>
      </c>
      <c r="U959" s="11" t="s">
        <v>1341</v>
      </c>
      <c r="V959" s="1" t="s">
        <v>41</v>
      </c>
      <c r="W959" s="1" t="s">
        <v>49</v>
      </c>
      <c r="Z959" s="14">
        <v>1</v>
      </c>
      <c r="AA959" s="14"/>
    </row>
    <row r="960" spans="1:27">
      <c r="A960" s="1">
        <v>9300300</v>
      </c>
      <c r="B960" s="1" t="s">
        <v>101</v>
      </c>
      <c r="C960" t="s">
        <v>1761</v>
      </c>
      <c r="E960" s="2">
        <v>2590000206001</v>
      </c>
      <c r="F960" s="1" t="s">
        <v>29</v>
      </c>
      <c r="G960" s="1" t="s">
        <v>53</v>
      </c>
      <c r="H960" s="1" t="s">
        <v>394</v>
      </c>
      <c r="I960" s="1" t="s">
        <v>395</v>
      </c>
      <c r="J960" s="1" t="s">
        <v>148</v>
      </c>
      <c r="K960" t="s">
        <v>34</v>
      </c>
      <c r="M960" s="1" t="s">
        <v>35</v>
      </c>
      <c r="N960" s="1">
        <v>42318949</v>
      </c>
      <c r="O960" s="1" t="s">
        <v>105</v>
      </c>
      <c r="P960" s="11" t="s">
        <v>1777</v>
      </c>
      <c r="R960" s="1" t="s">
        <v>38</v>
      </c>
      <c r="T960" s="1" t="s">
        <v>74</v>
      </c>
      <c r="U960" s="11" t="s">
        <v>1341</v>
      </c>
      <c r="V960" s="1" t="s">
        <v>41</v>
      </c>
      <c r="W960" s="1" t="s">
        <v>49</v>
      </c>
      <c r="Z960" s="14">
        <v>1</v>
      </c>
      <c r="AA960" s="14"/>
    </row>
    <row r="961" spans="1:27" hidden="1">
      <c r="A961" s="1">
        <v>9300280</v>
      </c>
      <c r="B961" s="1" t="s">
        <v>101</v>
      </c>
      <c r="C961" t="s">
        <v>1761</v>
      </c>
      <c r="E961" s="2">
        <v>2529000206001</v>
      </c>
      <c r="F961" s="1" t="s">
        <v>29</v>
      </c>
      <c r="G961" s="1" t="s">
        <v>53</v>
      </c>
      <c r="H961" s="1" t="s">
        <v>355</v>
      </c>
      <c r="I961" s="1" t="s">
        <v>356</v>
      </c>
      <c r="J961" s="1" t="s">
        <v>56</v>
      </c>
      <c r="K961" t="s">
        <v>34</v>
      </c>
      <c r="M961" s="1" t="s">
        <v>35</v>
      </c>
      <c r="N961" s="1">
        <v>42318949</v>
      </c>
      <c r="O961" s="1" t="s">
        <v>105</v>
      </c>
      <c r="P961" s="11" t="s">
        <v>1778</v>
      </c>
      <c r="R961" s="1" t="s">
        <v>38</v>
      </c>
      <c r="T961" s="1" t="s">
        <v>74</v>
      </c>
      <c r="U961" s="11" t="s">
        <v>1341</v>
      </c>
      <c r="V961" s="1" t="s">
        <v>41</v>
      </c>
      <c r="W961" s="1" t="s">
        <v>49</v>
      </c>
      <c r="Z961" s="14">
        <v>1</v>
      </c>
      <c r="AA961" s="14"/>
    </row>
    <row r="962" spans="1:27" hidden="1">
      <c r="A962" s="1">
        <v>9300272</v>
      </c>
      <c r="B962" s="1" t="s">
        <v>101</v>
      </c>
      <c r="C962" t="s">
        <v>1761</v>
      </c>
      <c r="E962" s="2">
        <v>2473000206001</v>
      </c>
      <c r="F962" s="1" t="s">
        <v>29</v>
      </c>
      <c r="G962" s="1" t="s">
        <v>53</v>
      </c>
      <c r="H962" s="1" t="s">
        <v>1459</v>
      </c>
      <c r="I962" s="1" t="s">
        <v>1460</v>
      </c>
      <c r="J962" s="1" t="s">
        <v>261</v>
      </c>
      <c r="K962" t="s">
        <v>34</v>
      </c>
      <c r="M962" s="1" t="s">
        <v>35</v>
      </c>
      <c r="N962" s="1">
        <v>42318949</v>
      </c>
      <c r="O962" s="1" t="s">
        <v>105</v>
      </c>
      <c r="P962" s="11" t="s">
        <v>1779</v>
      </c>
      <c r="R962" s="1" t="s">
        <v>38</v>
      </c>
      <c r="T962" s="1" t="s">
        <v>74</v>
      </c>
      <c r="U962" s="11" t="s">
        <v>1341</v>
      </c>
      <c r="V962" s="1" t="s">
        <v>41</v>
      </c>
      <c r="W962" s="1" t="s">
        <v>49</v>
      </c>
      <c r="Z962" s="14">
        <v>1</v>
      </c>
      <c r="AA962" s="14"/>
    </row>
    <row r="963" spans="1:27">
      <c r="A963" s="1">
        <v>9300254</v>
      </c>
      <c r="B963" s="1" t="s">
        <v>101</v>
      </c>
      <c r="C963" t="s">
        <v>1761</v>
      </c>
      <c r="E963" s="2">
        <v>2437000206001</v>
      </c>
      <c r="F963" s="1" t="s">
        <v>29</v>
      </c>
      <c r="G963" s="1" t="s">
        <v>53</v>
      </c>
      <c r="H963" s="1" t="s">
        <v>416</v>
      </c>
      <c r="I963" s="1" t="s">
        <v>417</v>
      </c>
      <c r="J963" s="1" t="s">
        <v>211</v>
      </c>
      <c r="K963" t="s">
        <v>34</v>
      </c>
      <c r="M963" s="1" t="s">
        <v>35</v>
      </c>
      <c r="N963" s="1">
        <v>42318949</v>
      </c>
      <c r="O963" s="1" t="s">
        <v>105</v>
      </c>
      <c r="P963" s="11" t="s">
        <v>1780</v>
      </c>
      <c r="R963" s="1" t="s">
        <v>38</v>
      </c>
      <c r="T963" s="1" t="s">
        <v>74</v>
      </c>
      <c r="U963" s="11" t="s">
        <v>1341</v>
      </c>
      <c r="V963" s="1" t="s">
        <v>41</v>
      </c>
      <c r="W963" s="1" t="s">
        <v>49</v>
      </c>
      <c r="Z963" s="14">
        <v>1</v>
      </c>
      <c r="AA963" s="14"/>
    </row>
    <row r="964" spans="1:27">
      <c r="A964" s="1">
        <v>9300253</v>
      </c>
      <c r="B964" s="1" t="s">
        <v>101</v>
      </c>
      <c r="C964" t="s">
        <v>1761</v>
      </c>
      <c r="E964" s="2">
        <v>2437000206001</v>
      </c>
      <c r="F964" s="1" t="s">
        <v>29</v>
      </c>
      <c r="G964" s="1" t="s">
        <v>53</v>
      </c>
      <c r="H964" s="1" t="s">
        <v>416</v>
      </c>
      <c r="I964" s="1" t="s">
        <v>417</v>
      </c>
      <c r="J964" s="1" t="s">
        <v>211</v>
      </c>
      <c r="K964" t="s">
        <v>34</v>
      </c>
      <c r="M964" s="1" t="s">
        <v>35</v>
      </c>
      <c r="N964" s="1">
        <v>42318949</v>
      </c>
      <c r="O964" s="1" t="s">
        <v>105</v>
      </c>
      <c r="P964" s="11" t="s">
        <v>1780</v>
      </c>
      <c r="R964" s="1" t="s">
        <v>38</v>
      </c>
      <c r="T964" s="1" t="s">
        <v>74</v>
      </c>
      <c r="U964" s="11" t="s">
        <v>1341</v>
      </c>
      <c r="V964" s="1" t="s">
        <v>41</v>
      </c>
      <c r="W964" s="1" t="s">
        <v>49</v>
      </c>
      <c r="Z964" s="14">
        <v>1</v>
      </c>
      <c r="AA964" s="14"/>
    </row>
    <row r="965" spans="1:27">
      <c r="A965" s="1">
        <v>9300252</v>
      </c>
      <c r="B965" s="1" t="s">
        <v>101</v>
      </c>
      <c r="C965" t="s">
        <v>1761</v>
      </c>
      <c r="E965" s="2">
        <v>2437000206001</v>
      </c>
      <c r="F965" s="1" t="s">
        <v>29</v>
      </c>
      <c r="G965" s="1" t="s">
        <v>53</v>
      </c>
      <c r="H965" s="1" t="s">
        <v>416</v>
      </c>
      <c r="I965" s="1" t="s">
        <v>417</v>
      </c>
      <c r="J965" s="1" t="s">
        <v>211</v>
      </c>
      <c r="K965" t="s">
        <v>34</v>
      </c>
      <c r="M965" s="1" t="s">
        <v>35</v>
      </c>
      <c r="N965" s="1">
        <v>42318949</v>
      </c>
      <c r="O965" s="1" t="s">
        <v>105</v>
      </c>
      <c r="P965" s="11" t="s">
        <v>1780</v>
      </c>
      <c r="R965" s="1" t="s">
        <v>38</v>
      </c>
      <c r="T965" s="1" t="s">
        <v>74</v>
      </c>
      <c r="U965" s="11" t="s">
        <v>1341</v>
      </c>
      <c r="V965" s="1" t="s">
        <v>41</v>
      </c>
      <c r="W965" s="1" t="s">
        <v>49</v>
      </c>
      <c r="Z965" s="14">
        <v>1</v>
      </c>
      <c r="AA965" s="14"/>
    </row>
    <row r="966" spans="1:27" hidden="1">
      <c r="A966" s="1">
        <v>9300229</v>
      </c>
      <c r="B966" s="1" t="s">
        <v>101</v>
      </c>
      <c r="C966" t="s">
        <v>1761</v>
      </c>
      <c r="E966" s="2">
        <v>2388000206001</v>
      </c>
      <c r="F966" s="1" t="s">
        <v>29</v>
      </c>
      <c r="G966" s="1" t="s">
        <v>53</v>
      </c>
      <c r="H966" s="1" t="s">
        <v>299</v>
      </c>
      <c r="I966" s="1" t="s">
        <v>300</v>
      </c>
      <c r="J966" s="1" t="s">
        <v>79</v>
      </c>
      <c r="K966" t="s">
        <v>34</v>
      </c>
      <c r="M966" s="1" t="s">
        <v>35</v>
      </c>
      <c r="N966" s="1">
        <v>42318949</v>
      </c>
      <c r="O966" s="1" t="s">
        <v>105</v>
      </c>
      <c r="P966" s="11" t="s">
        <v>1781</v>
      </c>
      <c r="R966" s="1" t="s">
        <v>38</v>
      </c>
      <c r="T966" s="1" t="s">
        <v>74</v>
      </c>
      <c r="U966" s="11" t="s">
        <v>1341</v>
      </c>
      <c r="V966" s="1" t="s">
        <v>41</v>
      </c>
      <c r="W966" s="1" t="s">
        <v>49</v>
      </c>
      <c r="Z966" s="14">
        <v>1</v>
      </c>
      <c r="AA966" s="14"/>
    </row>
    <row r="967" spans="1:27" hidden="1">
      <c r="A967" s="1">
        <v>9300228</v>
      </c>
      <c r="B967" s="1" t="s">
        <v>101</v>
      </c>
      <c r="C967" t="s">
        <v>1761</v>
      </c>
      <c r="E967" s="2">
        <v>2388000206001</v>
      </c>
      <c r="F967" s="1" t="s">
        <v>29</v>
      </c>
      <c r="G967" s="1" t="s">
        <v>53</v>
      </c>
      <c r="H967" s="1" t="s">
        <v>299</v>
      </c>
      <c r="I967" s="1" t="s">
        <v>300</v>
      </c>
      <c r="J967" s="1" t="s">
        <v>79</v>
      </c>
      <c r="K967" t="s">
        <v>34</v>
      </c>
      <c r="M967" s="1" t="s">
        <v>35</v>
      </c>
      <c r="N967" s="1">
        <v>42318949</v>
      </c>
      <c r="O967" s="1" t="s">
        <v>105</v>
      </c>
      <c r="P967" s="11" t="s">
        <v>1781</v>
      </c>
      <c r="R967" s="1" t="s">
        <v>38</v>
      </c>
      <c r="T967" s="1" t="s">
        <v>74</v>
      </c>
      <c r="U967" s="11" t="s">
        <v>1341</v>
      </c>
      <c r="V967" s="1" t="s">
        <v>41</v>
      </c>
      <c r="W967" s="1" t="s">
        <v>49</v>
      </c>
      <c r="Z967" s="14">
        <v>1</v>
      </c>
      <c r="AA967" s="14"/>
    </row>
    <row r="968" spans="1:27" hidden="1">
      <c r="A968" s="1">
        <v>9300194</v>
      </c>
      <c r="B968" s="1" t="s">
        <v>101</v>
      </c>
      <c r="C968" t="s">
        <v>1761</v>
      </c>
      <c r="E968" s="2">
        <v>2326000206001</v>
      </c>
      <c r="F968" s="1" t="s">
        <v>29</v>
      </c>
      <c r="G968" s="1" t="s">
        <v>53</v>
      </c>
      <c r="H968" s="1" t="s">
        <v>191</v>
      </c>
      <c r="I968" s="1" t="s">
        <v>192</v>
      </c>
      <c r="J968" s="1" t="s">
        <v>46</v>
      </c>
      <c r="K968" t="s">
        <v>34</v>
      </c>
      <c r="M968" s="1" t="s">
        <v>35</v>
      </c>
      <c r="N968" s="1">
        <v>42318949</v>
      </c>
      <c r="O968" s="1" t="s">
        <v>105</v>
      </c>
      <c r="P968" s="11" t="s">
        <v>1782</v>
      </c>
      <c r="R968" s="1" t="s">
        <v>38</v>
      </c>
      <c r="T968" s="1" t="s">
        <v>74</v>
      </c>
      <c r="U968" s="11" t="s">
        <v>1341</v>
      </c>
      <c r="V968" s="1" t="s">
        <v>41</v>
      </c>
      <c r="W968" s="1" t="s">
        <v>49</v>
      </c>
      <c r="Z968" s="14">
        <v>1</v>
      </c>
      <c r="AA968" s="14"/>
    </row>
    <row r="969" spans="1:27" hidden="1">
      <c r="A969" s="1">
        <v>9300193</v>
      </c>
      <c r="B969" s="1" t="s">
        <v>101</v>
      </c>
      <c r="C969" t="s">
        <v>1761</v>
      </c>
      <c r="E969" s="2">
        <v>2326000206001</v>
      </c>
      <c r="F969" s="1" t="s">
        <v>29</v>
      </c>
      <c r="G969" s="1" t="s">
        <v>53</v>
      </c>
      <c r="H969" s="1" t="s">
        <v>191</v>
      </c>
      <c r="I969" s="1" t="s">
        <v>192</v>
      </c>
      <c r="J969" s="1" t="s">
        <v>46</v>
      </c>
      <c r="K969" t="s">
        <v>34</v>
      </c>
      <c r="M969" s="1" t="s">
        <v>35</v>
      </c>
      <c r="N969" s="1">
        <v>42318949</v>
      </c>
      <c r="O969" s="1" t="s">
        <v>105</v>
      </c>
      <c r="P969" s="11" t="s">
        <v>1782</v>
      </c>
      <c r="R969" s="1" t="s">
        <v>38</v>
      </c>
      <c r="T969" s="1" t="s">
        <v>74</v>
      </c>
      <c r="U969" s="11" t="s">
        <v>1341</v>
      </c>
      <c r="V969" s="1" t="s">
        <v>41</v>
      </c>
      <c r="W969" s="1" t="s">
        <v>49</v>
      </c>
      <c r="Z969" s="14">
        <v>1</v>
      </c>
      <c r="AA969" s="14"/>
    </row>
    <row r="970" spans="1:27" hidden="1">
      <c r="A970" s="1">
        <v>9300192</v>
      </c>
      <c r="B970" s="1" t="s">
        <v>101</v>
      </c>
      <c r="C970" t="s">
        <v>1761</v>
      </c>
      <c r="E970" s="2">
        <v>2326000206001</v>
      </c>
      <c r="F970" s="1" t="s">
        <v>29</v>
      </c>
      <c r="G970" s="1" t="s">
        <v>53</v>
      </c>
      <c r="H970" s="1" t="s">
        <v>191</v>
      </c>
      <c r="I970" s="1" t="s">
        <v>192</v>
      </c>
      <c r="J970" s="1" t="s">
        <v>46</v>
      </c>
      <c r="K970" t="s">
        <v>34</v>
      </c>
      <c r="M970" s="1" t="s">
        <v>35</v>
      </c>
      <c r="N970" s="1">
        <v>42318949</v>
      </c>
      <c r="O970" s="1" t="s">
        <v>105</v>
      </c>
      <c r="P970" s="11" t="s">
        <v>1782</v>
      </c>
      <c r="R970" s="1" t="s">
        <v>38</v>
      </c>
      <c r="T970" s="1" t="s">
        <v>74</v>
      </c>
      <c r="U970" s="11" t="s">
        <v>1341</v>
      </c>
      <c r="V970" s="1" t="s">
        <v>41</v>
      </c>
      <c r="W970" s="1" t="s">
        <v>49</v>
      </c>
      <c r="Z970" s="14">
        <v>1</v>
      </c>
      <c r="AA970" s="14"/>
    </row>
    <row r="971" spans="1:27" hidden="1">
      <c r="A971" s="1">
        <v>9300118</v>
      </c>
      <c r="B971" s="1" t="s">
        <v>101</v>
      </c>
      <c r="C971" t="s">
        <v>1761</v>
      </c>
      <c r="E971" s="2">
        <v>2219000206001</v>
      </c>
      <c r="F971" s="1" t="s">
        <v>29</v>
      </c>
      <c r="G971" s="1" t="s">
        <v>53</v>
      </c>
      <c r="H971" s="1" t="s">
        <v>893</v>
      </c>
      <c r="I971" s="1" t="s">
        <v>894</v>
      </c>
      <c r="J971" s="1" t="s">
        <v>141</v>
      </c>
      <c r="K971" t="s">
        <v>34</v>
      </c>
      <c r="M971" s="1" t="s">
        <v>35</v>
      </c>
      <c r="N971" s="1">
        <v>42318949</v>
      </c>
      <c r="O971" s="1" t="s">
        <v>105</v>
      </c>
      <c r="P971" s="11" t="s">
        <v>1783</v>
      </c>
      <c r="R971" s="1" t="s">
        <v>38</v>
      </c>
      <c r="T971" s="1" t="s">
        <v>74</v>
      </c>
      <c r="U971" s="11" t="s">
        <v>1341</v>
      </c>
      <c r="V971" s="1" t="s">
        <v>41</v>
      </c>
      <c r="W971" s="1" t="s">
        <v>49</v>
      </c>
      <c r="Z971" s="14">
        <v>1</v>
      </c>
      <c r="AA971" s="14"/>
    </row>
    <row r="972" spans="1:27">
      <c r="A972" s="1">
        <v>9300088</v>
      </c>
      <c r="B972" s="1" t="s">
        <v>101</v>
      </c>
      <c r="C972" t="s">
        <v>1761</v>
      </c>
      <c r="E972" s="2">
        <v>2170000206001</v>
      </c>
      <c r="F972" s="1" t="s">
        <v>29</v>
      </c>
      <c r="G972" s="1" t="s">
        <v>53</v>
      </c>
      <c r="H972" s="1" t="s">
        <v>477</v>
      </c>
      <c r="I972" s="1" t="s">
        <v>478</v>
      </c>
      <c r="J972" s="1" t="s">
        <v>148</v>
      </c>
      <c r="K972" t="s">
        <v>34</v>
      </c>
      <c r="M972" s="1" t="s">
        <v>35</v>
      </c>
      <c r="N972" s="1">
        <v>42318949</v>
      </c>
      <c r="O972" s="1" t="s">
        <v>105</v>
      </c>
      <c r="P972" s="11" t="s">
        <v>1784</v>
      </c>
      <c r="R972" s="1" t="s">
        <v>38</v>
      </c>
      <c r="T972" s="1" t="s">
        <v>74</v>
      </c>
      <c r="U972" s="11" t="s">
        <v>1341</v>
      </c>
      <c r="V972" s="1" t="s">
        <v>41</v>
      </c>
      <c r="W972" s="1" t="s">
        <v>49</v>
      </c>
      <c r="Z972" s="14">
        <v>1</v>
      </c>
      <c r="AA972" s="14"/>
    </row>
    <row r="973" spans="1:27">
      <c r="A973" s="1">
        <v>9300087</v>
      </c>
      <c r="B973" s="1" t="s">
        <v>101</v>
      </c>
      <c r="C973" t="s">
        <v>1761</v>
      </c>
      <c r="E973" s="2">
        <v>2170000206001</v>
      </c>
      <c r="F973" s="1" t="s">
        <v>29</v>
      </c>
      <c r="G973" s="1" t="s">
        <v>53</v>
      </c>
      <c r="H973" s="1" t="s">
        <v>477</v>
      </c>
      <c r="I973" s="1" t="s">
        <v>478</v>
      </c>
      <c r="J973" s="1" t="s">
        <v>148</v>
      </c>
      <c r="K973" t="s">
        <v>34</v>
      </c>
      <c r="M973" s="1" t="s">
        <v>35</v>
      </c>
      <c r="N973" s="1">
        <v>42318949</v>
      </c>
      <c r="O973" s="1" t="s">
        <v>105</v>
      </c>
      <c r="P973" s="11" t="s">
        <v>1784</v>
      </c>
      <c r="R973" s="1" t="s">
        <v>38</v>
      </c>
      <c r="T973" s="1" t="s">
        <v>74</v>
      </c>
      <c r="U973" s="11" t="s">
        <v>1341</v>
      </c>
      <c r="V973" s="1" t="s">
        <v>41</v>
      </c>
      <c r="W973" s="1" t="s">
        <v>49</v>
      </c>
      <c r="Z973" s="14">
        <v>1</v>
      </c>
      <c r="AA973" s="14"/>
    </row>
    <row r="974" spans="1:27" hidden="1">
      <c r="A974" s="1">
        <v>9299999</v>
      </c>
      <c r="B974" s="1" t="s">
        <v>101</v>
      </c>
      <c r="C974" t="s">
        <v>1761</v>
      </c>
      <c r="E974" s="2">
        <v>1837000206001</v>
      </c>
      <c r="F974" s="1" t="s">
        <v>29</v>
      </c>
      <c r="G974" s="1" t="s">
        <v>53</v>
      </c>
      <c r="H974" s="1" t="s">
        <v>1785</v>
      </c>
      <c r="I974" s="1" t="s">
        <v>1786</v>
      </c>
      <c r="J974" s="1" t="s">
        <v>46</v>
      </c>
      <c r="K974" t="s">
        <v>34</v>
      </c>
      <c r="M974" s="1" t="s">
        <v>35</v>
      </c>
      <c r="N974" s="1">
        <v>42318949</v>
      </c>
      <c r="O974" s="1" t="s">
        <v>105</v>
      </c>
      <c r="P974" s="11" t="s">
        <v>1787</v>
      </c>
      <c r="R974" s="1" t="s">
        <v>38</v>
      </c>
      <c r="T974" s="1" t="s">
        <v>74</v>
      </c>
      <c r="U974" s="11" t="s">
        <v>1341</v>
      </c>
      <c r="V974" s="1" t="s">
        <v>41</v>
      </c>
      <c r="W974" s="1" t="s">
        <v>49</v>
      </c>
      <c r="Z974" s="14">
        <v>1</v>
      </c>
      <c r="AA974" s="14"/>
    </row>
    <row r="975" spans="1:27" hidden="1">
      <c r="A975" s="1">
        <v>9299998</v>
      </c>
      <c r="B975" s="1" t="s">
        <v>101</v>
      </c>
      <c r="C975" t="s">
        <v>1761</v>
      </c>
      <c r="E975" s="2">
        <v>1837000206001</v>
      </c>
      <c r="F975" s="1" t="s">
        <v>29</v>
      </c>
      <c r="G975" s="1" t="s">
        <v>53</v>
      </c>
      <c r="H975" s="1" t="s">
        <v>1785</v>
      </c>
      <c r="I975" s="1" t="s">
        <v>1786</v>
      </c>
      <c r="J975" s="1" t="s">
        <v>46</v>
      </c>
      <c r="K975" t="s">
        <v>34</v>
      </c>
      <c r="M975" s="1" t="s">
        <v>35</v>
      </c>
      <c r="N975" s="1">
        <v>42318949</v>
      </c>
      <c r="O975" s="1" t="s">
        <v>105</v>
      </c>
      <c r="P975" s="11" t="s">
        <v>1787</v>
      </c>
      <c r="R975" s="1" t="s">
        <v>38</v>
      </c>
      <c r="T975" s="1" t="s">
        <v>74</v>
      </c>
      <c r="U975" s="11" t="s">
        <v>1341</v>
      </c>
      <c r="V975" s="1" t="s">
        <v>41</v>
      </c>
      <c r="W975" s="1" t="s">
        <v>49</v>
      </c>
      <c r="Z975" s="14">
        <v>1</v>
      </c>
      <c r="AA975" s="14"/>
    </row>
    <row r="976" spans="1:27" hidden="1">
      <c r="A976" s="1">
        <v>9299997</v>
      </c>
      <c r="B976" s="1" t="s">
        <v>101</v>
      </c>
      <c r="C976" t="s">
        <v>1761</v>
      </c>
      <c r="E976" s="2">
        <v>1837000206001</v>
      </c>
      <c r="F976" s="1" t="s">
        <v>29</v>
      </c>
      <c r="G976" s="1" t="s">
        <v>53</v>
      </c>
      <c r="H976" s="1" t="s">
        <v>1785</v>
      </c>
      <c r="I976" s="1" t="s">
        <v>1786</v>
      </c>
      <c r="J976" s="1" t="s">
        <v>46</v>
      </c>
      <c r="K976" t="s">
        <v>34</v>
      </c>
      <c r="M976" s="1" t="s">
        <v>35</v>
      </c>
      <c r="N976" s="1">
        <v>42318949</v>
      </c>
      <c r="O976" s="1" t="s">
        <v>105</v>
      </c>
      <c r="P976" s="11" t="s">
        <v>1788</v>
      </c>
      <c r="R976" s="1" t="s">
        <v>38</v>
      </c>
      <c r="T976" s="1" t="s">
        <v>74</v>
      </c>
      <c r="U976" s="11" t="s">
        <v>1341</v>
      </c>
      <c r="V976" s="1" t="s">
        <v>41</v>
      </c>
      <c r="W976" s="1" t="s">
        <v>49</v>
      </c>
      <c r="Z976" s="14">
        <v>1</v>
      </c>
      <c r="AA976" s="14"/>
    </row>
    <row r="977" spans="1:27" hidden="1">
      <c r="A977" s="1">
        <v>9299964</v>
      </c>
      <c r="B977" s="1" t="s">
        <v>101</v>
      </c>
      <c r="C977" t="s">
        <v>1761</v>
      </c>
      <c r="E977" s="2">
        <v>1739000206001</v>
      </c>
      <c r="F977" s="1" t="s">
        <v>29</v>
      </c>
      <c r="G977" s="1" t="s">
        <v>53</v>
      </c>
      <c r="H977" s="1" t="s">
        <v>162</v>
      </c>
      <c r="I977" s="1" t="s">
        <v>163</v>
      </c>
      <c r="J977" s="1" t="s">
        <v>164</v>
      </c>
      <c r="K977" t="s">
        <v>34</v>
      </c>
      <c r="M977" s="1" t="s">
        <v>35</v>
      </c>
      <c r="N977" s="1">
        <v>42318949</v>
      </c>
      <c r="O977" s="1" t="s">
        <v>105</v>
      </c>
      <c r="P977" s="11" t="s">
        <v>1789</v>
      </c>
      <c r="R977" s="1" t="s">
        <v>38</v>
      </c>
      <c r="T977" s="1" t="s">
        <v>74</v>
      </c>
      <c r="U977" s="11" t="s">
        <v>1341</v>
      </c>
      <c r="V977" s="1" t="s">
        <v>41</v>
      </c>
      <c r="W977" s="1" t="s">
        <v>49</v>
      </c>
      <c r="Z977" s="14">
        <v>1</v>
      </c>
      <c r="AA977" s="14"/>
    </row>
    <row r="978" spans="1:27" hidden="1">
      <c r="A978" s="1">
        <v>9299963</v>
      </c>
      <c r="B978" s="1" t="s">
        <v>101</v>
      </c>
      <c r="C978" t="s">
        <v>1761</v>
      </c>
      <c r="E978" s="2">
        <v>1739000206001</v>
      </c>
      <c r="F978" s="1" t="s">
        <v>29</v>
      </c>
      <c r="G978" s="1" t="s">
        <v>53</v>
      </c>
      <c r="H978" s="1" t="s">
        <v>162</v>
      </c>
      <c r="I978" s="1" t="s">
        <v>163</v>
      </c>
      <c r="J978" s="1" t="s">
        <v>164</v>
      </c>
      <c r="K978" t="s">
        <v>34</v>
      </c>
      <c r="M978" s="1" t="s">
        <v>35</v>
      </c>
      <c r="N978" s="1">
        <v>42318949</v>
      </c>
      <c r="O978" s="1" t="s">
        <v>105</v>
      </c>
      <c r="P978" s="11" t="s">
        <v>1790</v>
      </c>
      <c r="R978" s="1" t="s">
        <v>38</v>
      </c>
      <c r="T978" s="1" t="s">
        <v>74</v>
      </c>
      <c r="U978" s="11" t="s">
        <v>1341</v>
      </c>
      <c r="V978" s="1" t="s">
        <v>41</v>
      </c>
      <c r="W978" s="1" t="s">
        <v>49</v>
      </c>
      <c r="Z978" s="14">
        <v>1</v>
      </c>
      <c r="AA978" s="14"/>
    </row>
    <row r="979" spans="1:27" hidden="1">
      <c r="A979" s="1">
        <v>9299962</v>
      </c>
      <c r="B979" s="1" t="s">
        <v>101</v>
      </c>
      <c r="C979" t="s">
        <v>1761</v>
      </c>
      <c r="E979" s="2">
        <v>1739000206001</v>
      </c>
      <c r="F979" s="1" t="s">
        <v>29</v>
      </c>
      <c r="G979" s="1" t="s">
        <v>53</v>
      </c>
      <c r="H979" s="1" t="s">
        <v>162</v>
      </c>
      <c r="I979" s="1" t="s">
        <v>163</v>
      </c>
      <c r="J979" s="1" t="s">
        <v>164</v>
      </c>
      <c r="K979" t="s">
        <v>34</v>
      </c>
      <c r="M979" s="1" t="s">
        <v>35</v>
      </c>
      <c r="N979" s="1">
        <v>42318949</v>
      </c>
      <c r="O979" s="1" t="s">
        <v>105</v>
      </c>
      <c r="P979" s="12">
        <v>44932.478275462963</v>
      </c>
      <c r="R979" s="1" t="s">
        <v>38</v>
      </c>
      <c r="T979" s="1" t="s">
        <v>74</v>
      </c>
      <c r="U979" s="12">
        <v>44932.75</v>
      </c>
      <c r="V979" s="1" t="s">
        <v>41</v>
      </c>
      <c r="W979" s="1" t="s">
        <v>49</v>
      </c>
      <c r="Z979" s="14">
        <v>1</v>
      </c>
      <c r="AA979" s="14"/>
    </row>
    <row r="980" spans="1:27" hidden="1">
      <c r="A980" s="1">
        <v>9299956</v>
      </c>
      <c r="B980" s="1" t="s">
        <v>101</v>
      </c>
      <c r="C980" t="s">
        <v>1761</v>
      </c>
      <c r="E980" s="2">
        <v>1732000206001</v>
      </c>
      <c r="F980" s="1" t="s">
        <v>29</v>
      </c>
      <c r="G980" s="1" t="s">
        <v>53</v>
      </c>
      <c r="H980" s="1" t="s">
        <v>177</v>
      </c>
      <c r="I980" s="1" t="s">
        <v>178</v>
      </c>
      <c r="J980" s="1" t="s">
        <v>164</v>
      </c>
      <c r="K980" t="s">
        <v>34</v>
      </c>
      <c r="M980" s="1" t="s">
        <v>35</v>
      </c>
      <c r="N980" s="1">
        <v>42318949</v>
      </c>
      <c r="O980" s="1" t="s">
        <v>105</v>
      </c>
      <c r="P980" s="11" t="s">
        <v>1790</v>
      </c>
      <c r="R980" s="1" t="s">
        <v>38</v>
      </c>
      <c r="T980" s="1" t="s">
        <v>74</v>
      </c>
      <c r="U980" s="11" t="s">
        <v>1341</v>
      </c>
      <c r="V980" s="1" t="s">
        <v>41</v>
      </c>
      <c r="W980" s="1" t="s">
        <v>49</v>
      </c>
      <c r="Z980" s="14">
        <v>1</v>
      </c>
      <c r="AA980" s="14"/>
    </row>
    <row r="981" spans="1:27" hidden="1">
      <c r="A981" s="1">
        <v>9299911</v>
      </c>
      <c r="B981" s="1" t="s">
        <v>101</v>
      </c>
      <c r="C981" t="s">
        <v>1761</v>
      </c>
      <c r="E981" s="2">
        <v>1650000206001</v>
      </c>
      <c r="F981" s="1" t="s">
        <v>29</v>
      </c>
      <c r="G981" s="1" t="s">
        <v>53</v>
      </c>
      <c r="H981" s="1" t="s">
        <v>620</v>
      </c>
      <c r="I981" s="1" t="s">
        <v>621</v>
      </c>
      <c r="J981" s="1" t="s">
        <v>141</v>
      </c>
      <c r="K981" t="s">
        <v>34</v>
      </c>
      <c r="M981" s="1" t="s">
        <v>35</v>
      </c>
      <c r="N981" s="1">
        <v>42318949</v>
      </c>
      <c r="O981" s="1" t="s">
        <v>105</v>
      </c>
      <c r="P981" s="12">
        <v>44932.478206018517</v>
      </c>
      <c r="R981" s="1" t="s">
        <v>38</v>
      </c>
      <c r="T981" s="1" t="s">
        <v>74</v>
      </c>
      <c r="U981" s="12">
        <v>44932.75</v>
      </c>
      <c r="V981" s="1" t="s">
        <v>41</v>
      </c>
      <c r="W981" s="1" t="s">
        <v>49</v>
      </c>
      <c r="Z981" s="14">
        <v>1</v>
      </c>
      <c r="AA981" s="14"/>
    </row>
    <row r="982" spans="1:27" hidden="1">
      <c r="A982" s="1">
        <v>9299910</v>
      </c>
      <c r="B982" s="1" t="s">
        <v>101</v>
      </c>
      <c r="C982" t="s">
        <v>1761</v>
      </c>
      <c r="E982" s="2">
        <v>1650000206001</v>
      </c>
      <c r="F982" s="1" t="s">
        <v>29</v>
      </c>
      <c r="G982" s="1" t="s">
        <v>53</v>
      </c>
      <c r="H982" s="1" t="s">
        <v>620</v>
      </c>
      <c r="I982" s="1" t="s">
        <v>621</v>
      </c>
      <c r="J982" s="1" t="s">
        <v>141</v>
      </c>
      <c r="K982" t="s">
        <v>34</v>
      </c>
      <c r="M982" s="1" t="s">
        <v>35</v>
      </c>
      <c r="N982" s="1">
        <v>42318949</v>
      </c>
      <c r="O982" s="1" t="s">
        <v>105</v>
      </c>
      <c r="P982" s="11" t="s">
        <v>1791</v>
      </c>
      <c r="R982" s="1" t="s">
        <v>38</v>
      </c>
      <c r="T982" s="1" t="s">
        <v>74</v>
      </c>
      <c r="U982" s="11" t="s">
        <v>1341</v>
      </c>
      <c r="V982" s="1" t="s">
        <v>41</v>
      </c>
      <c r="W982" s="1" t="s">
        <v>49</v>
      </c>
      <c r="Z982" s="14">
        <v>1</v>
      </c>
      <c r="AA982" s="14"/>
    </row>
    <row r="983" spans="1:27" hidden="1">
      <c r="A983" s="1">
        <v>9299909</v>
      </c>
      <c r="B983" s="1" t="s">
        <v>101</v>
      </c>
      <c r="C983" t="s">
        <v>1761</v>
      </c>
      <c r="E983" s="2">
        <v>1650000206001</v>
      </c>
      <c r="F983" s="1" t="s">
        <v>29</v>
      </c>
      <c r="G983" s="1" t="s">
        <v>53</v>
      </c>
      <c r="H983" s="1" t="s">
        <v>620</v>
      </c>
      <c r="I983" s="1" t="s">
        <v>621</v>
      </c>
      <c r="J983" s="1" t="s">
        <v>141</v>
      </c>
      <c r="K983" t="s">
        <v>34</v>
      </c>
      <c r="M983" s="1" t="s">
        <v>35</v>
      </c>
      <c r="N983" s="1">
        <v>42318949</v>
      </c>
      <c r="O983" s="1" t="s">
        <v>105</v>
      </c>
      <c r="P983" s="11" t="s">
        <v>1791</v>
      </c>
      <c r="R983" s="1" t="s">
        <v>38</v>
      </c>
      <c r="T983" s="1" t="s">
        <v>74</v>
      </c>
      <c r="U983" s="11" t="s">
        <v>1341</v>
      </c>
      <c r="V983" s="1" t="s">
        <v>41</v>
      </c>
      <c r="W983" s="1" t="s">
        <v>49</v>
      </c>
      <c r="Z983" s="14">
        <v>1</v>
      </c>
      <c r="AA983" s="14"/>
    </row>
    <row r="984" spans="1:27" hidden="1">
      <c r="A984" s="1">
        <v>9299908</v>
      </c>
      <c r="B984" s="1" t="s">
        <v>101</v>
      </c>
      <c r="C984" t="s">
        <v>1761</v>
      </c>
      <c r="E984" s="2">
        <v>1643000206001</v>
      </c>
      <c r="F984" s="1" t="s">
        <v>29</v>
      </c>
      <c r="G984" s="1" t="s">
        <v>53</v>
      </c>
      <c r="H984" s="1" t="s">
        <v>361</v>
      </c>
      <c r="I984" s="1" t="s">
        <v>362</v>
      </c>
      <c r="J984" s="1" t="s">
        <v>261</v>
      </c>
      <c r="K984" t="s">
        <v>34</v>
      </c>
      <c r="M984" s="1" t="s">
        <v>35</v>
      </c>
      <c r="N984" s="1">
        <v>42318949</v>
      </c>
      <c r="O984" s="1" t="s">
        <v>105</v>
      </c>
      <c r="P984" s="186">
        <v>44932.478206018517</v>
      </c>
      <c r="R984" s="1" t="s">
        <v>38</v>
      </c>
      <c r="T984" s="1" t="s">
        <v>74</v>
      </c>
      <c r="U984" s="186">
        <v>44932.75</v>
      </c>
      <c r="V984" s="1" t="s">
        <v>41</v>
      </c>
      <c r="W984" s="1" t="s">
        <v>49</v>
      </c>
      <c r="Z984" s="14">
        <v>1</v>
      </c>
      <c r="AA984" s="14"/>
    </row>
    <row r="985" spans="1:27" hidden="1">
      <c r="A985" s="1">
        <v>9299907</v>
      </c>
      <c r="B985" s="1" t="s">
        <v>101</v>
      </c>
      <c r="C985" t="s">
        <v>1761</v>
      </c>
      <c r="E985" s="2">
        <v>1643000206001</v>
      </c>
      <c r="F985" s="1" t="s">
        <v>29</v>
      </c>
      <c r="G985" s="1" t="s">
        <v>53</v>
      </c>
      <c r="H985" s="1" t="s">
        <v>361</v>
      </c>
      <c r="I985" s="1" t="s">
        <v>362</v>
      </c>
      <c r="J985" s="1" t="s">
        <v>261</v>
      </c>
      <c r="K985" t="s">
        <v>34</v>
      </c>
      <c r="M985" s="1" t="s">
        <v>35</v>
      </c>
      <c r="N985" s="1">
        <v>42318949</v>
      </c>
      <c r="O985" s="1" t="s">
        <v>105</v>
      </c>
      <c r="P985" s="11" t="s">
        <v>1791</v>
      </c>
      <c r="R985" s="1" t="s">
        <v>38</v>
      </c>
      <c r="T985" s="1" t="s">
        <v>74</v>
      </c>
      <c r="U985" s="11" t="s">
        <v>1341</v>
      </c>
      <c r="V985" s="1" t="s">
        <v>41</v>
      </c>
      <c r="W985" s="1" t="s">
        <v>49</v>
      </c>
      <c r="Z985" s="14">
        <v>1</v>
      </c>
      <c r="AA985" s="14"/>
    </row>
    <row r="986" spans="1:27" hidden="1">
      <c r="A986" s="1">
        <v>9299906</v>
      </c>
      <c r="B986" s="1" t="s">
        <v>101</v>
      </c>
      <c r="C986" t="s">
        <v>1761</v>
      </c>
      <c r="E986" s="2">
        <v>1643000206001</v>
      </c>
      <c r="F986" s="1" t="s">
        <v>29</v>
      </c>
      <c r="G986" s="1" t="s">
        <v>53</v>
      </c>
      <c r="H986" s="1" t="s">
        <v>361</v>
      </c>
      <c r="I986" s="1" t="s">
        <v>362</v>
      </c>
      <c r="J986" s="1" t="s">
        <v>261</v>
      </c>
      <c r="K986" t="s">
        <v>34</v>
      </c>
      <c r="M986" s="1" t="s">
        <v>35</v>
      </c>
      <c r="N986" s="1">
        <v>42318949</v>
      </c>
      <c r="O986" s="1" t="s">
        <v>105</v>
      </c>
      <c r="P986" s="11" t="s">
        <v>1791</v>
      </c>
      <c r="R986" s="1" t="s">
        <v>38</v>
      </c>
      <c r="T986" s="1" t="s">
        <v>74</v>
      </c>
      <c r="U986" s="11" t="s">
        <v>1341</v>
      </c>
      <c r="V986" s="1" t="s">
        <v>41</v>
      </c>
      <c r="W986" s="1" t="s">
        <v>49</v>
      </c>
      <c r="Z986" s="14">
        <v>1</v>
      </c>
      <c r="AA986" s="14"/>
    </row>
    <row r="987" spans="1:27" hidden="1">
      <c r="A987" s="1">
        <v>9299748</v>
      </c>
      <c r="B987" s="1" t="s">
        <v>101</v>
      </c>
      <c r="C987" t="s">
        <v>1761</v>
      </c>
      <c r="E987" s="2">
        <v>1363000206001</v>
      </c>
      <c r="F987" s="1" t="s">
        <v>29</v>
      </c>
      <c r="G987" s="1" t="s">
        <v>53</v>
      </c>
      <c r="H987" s="1" t="s">
        <v>108</v>
      </c>
      <c r="I987" s="1" t="s">
        <v>109</v>
      </c>
      <c r="J987" s="1" t="s">
        <v>110</v>
      </c>
      <c r="K987" t="s">
        <v>34</v>
      </c>
      <c r="M987" s="1" t="s">
        <v>35</v>
      </c>
      <c r="N987" s="1">
        <v>42318949</v>
      </c>
      <c r="O987" s="1" t="s">
        <v>105</v>
      </c>
      <c r="P987" s="11" t="s">
        <v>1792</v>
      </c>
      <c r="R987" s="1" t="s">
        <v>38</v>
      </c>
      <c r="T987" s="1" t="s">
        <v>74</v>
      </c>
      <c r="U987" s="11" t="s">
        <v>1341</v>
      </c>
      <c r="V987" s="1" t="s">
        <v>41</v>
      </c>
      <c r="W987" s="1" t="s">
        <v>49</v>
      </c>
      <c r="Z987" s="14">
        <v>1</v>
      </c>
      <c r="AA987" s="14"/>
    </row>
    <row r="988" spans="1:27" hidden="1">
      <c r="A988" s="1">
        <v>9299747</v>
      </c>
      <c r="B988" s="1" t="s">
        <v>101</v>
      </c>
      <c r="C988" t="s">
        <v>1761</v>
      </c>
      <c r="E988" s="2">
        <v>1363000206001</v>
      </c>
      <c r="F988" s="1" t="s">
        <v>29</v>
      </c>
      <c r="G988" s="1" t="s">
        <v>53</v>
      </c>
      <c r="H988" s="1" t="s">
        <v>108</v>
      </c>
      <c r="I988" s="1" t="s">
        <v>109</v>
      </c>
      <c r="J988" s="1" t="s">
        <v>110</v>
      </c>
      <c r="K988" t="s">
        <v>34</v>
      </c>
      <c r="M988" s="1" t="s">
        <v>35</v>
      </c>
      <c r="N988" s="1">
        <v>42318949</v>
      </c>
      <c r="O988" s="1" t="s">
        <v>105</v>
      </c>
      <c r="P988" s="11" t="s">
        <v>1792</v>
      </c>
      <c r="R988" s="1" t="s">
        <v>38</v>
      </c>
      <c r="T988" s="1" t="s">
        <v>74</v>
      </c>
      <c r="U988" s="11" t="s">
        <v>1341</v>
      </c>
      <c r="V988" s="1" t="s">
        <v>41</v>
      </c>
      <c r="W988" s="1" t="s">
        <v>49</v>
      </c>
      <c r="Z988" s="14">
        <v>1</v>
      </c>
      <c r="AA988" s="14"/>
    </row>
    <row r="989" spans="1:27" hidden="1">
      <c r="A989" s="1">
        <v>9299712</v>
      </c>
      <c r="B989" s="1" t="s">
        <v>101</v>
      </c>
      <c r="C989" t="s">
        <v>1761</v>
      </c>
      <c r="E989" s="2">
        <v>1291000206001</v>
      </c>
      <c r="F989" s="1" t="s">
        <v>29</v>
      </c>
      <c r="G989" s="1" t="s">
        <v>53</v>
      </c>
      <c r="H989" s="1" t="s">
        <v>136</v>
      </c>
      <c r="I989" s="1" t="s">
        <v>137</v>
      </c>
      <c r="J989" s="1" t="s">
        <v>33</v>
      </c>
      <c r="K989" t="s">
        <v>34</v>
      </c>
      <c r="M989" s="1" t="s">
        <v>35</v>
      </c>
      <c r="N989" s="1">
        <v>42318949</v>
      </c>
      <c r="O989" s="1" t="s">
        <v>105</v>
      </c>
      <c r="P989" s="11" t="s">
        <v>1793</v>
      </c>
      <c r="R989" s="1" t="s">
        <v>38</v>
      </c>
      <c r="T989" s="1" t="s">
        <v>74</v>
      </c>
      <c r="U989" s="11" t="s">
        <v>1341</v>
      </c>
      <c r="V989" s="1" t="s">
        <v>41</v>
      </c>
      <c r="W989" s="1" t="s">
        <v>42</v>
      </c>
      <c r="Z989" s="14">
        <v>1</v>
      </c>
      <c r="AA989" s="14"/>
    </row>
    <row r="990" spans="1:27" hidden="1">
      <c r="A990" s="1">
        <v>9299701</v>
      </c>
      <c r="B990" s="1" t="s">
        <v>101</v>
      </c>
      <c r="C990" t="s">
        <v>1761</v>
      </c>
      <c r="E990" s="2">
        <v>1264000206001</v>
      </c>
      <c r="F990" s="1" t="s">
        <v>29</v>
      </c>
      <c r="G990" s="1" t="s">
        <v>53</v>
      </c>
      <c r="H990" s="1" t="s">
        <v>351</v>
      </c>
      <c r="I990" s="1" t="s">
        <v>352</v>
      </c>
      <c r="J990" s="1" t="s">
        <v>110</v>
      </c>
      <c r="K990" t="s">
        <v>34</v>
      </c>
      <c r="M990" s="1" t="s">
        <v>35</v>
      </c>
      <c r="N990" s="1">
        <v>42318949</v>
      </c>
      <c r="O990" s="1" t="s">
        <v>105</v>
      </c>
      <c r="P990" s="11" t="s">
        <v>1794</v>
      </c>
      <c r="R990" s="1" t="s">
        <v>38</v>
      </c>
      <c r="T990" s="1" t="s">
        <v>74</v>
      </c>
      <c r="U990" s="11" t="s">
        <v>1341</v>
      </c>
      <c r="V990" s="1" t="s">
        <v>41</v>
      </c>
      <c r="W990" s="1" t="s">
        <v>49</v>
      </c>
      <c r="Z990" s="14">
        <v>1</v>
      </c>
      <c r="AA990" s="14"/>
    </row>
    <row r="991" spans="1:27" hidden="1">
      <c r="A991" s="1">
        <v>9299700</v>
      </c>
      <c r="B991" s="1" t="s">
        <v>101</v>
      </c>
      <c r="C991" t="s">
        <v>1761</v>
      </c>
      <c r="E991" s="2">
        <v>1264000206001</v>
      </c>
      <c r="F991" s="1" t="s">
        <v>29</v>
      </c>
      <c r="G991" s="1" t="s">
        <v>53</v>
      </c>
      <c r="H991" s="1" t="s">
        <v>351</v>
      </c>
      <c r="I991" s="1" t="s">
        <v>352</v>
      </c>
      <c r="J991" s="1" t="s">
        <v>110</v>
      </c>
      <c r="K991" t="s">
        <v>34</v>
      </c>
      <c r="M991" s="1" t="s">
        <v>35</v>
      </c>
      <c r="N991" s="1">
        <v>42318949</v>
      </c>
      <c r="O991" s="1" t="s">
        <v>105</v>
      </c>
      <c r="P991" s="186">
        <v>44932.477905092594</v>
      </c>
      <c r="R991" s="1" t="s">
        <v>38</v>
      </c>
      <c r="T991" s="1" t="s">
        <v>74</v>
      </c>
      <c r="U991" s="186">
        <v>44932.75</v>
      </c>
      <c r="V991" s="1" t="s">
        <v>41</v>
      </c>
      <c r="W991" s="1" t="s">
        <v>49</v>
      </c>
      <c r="Z991" s="14">
        <v>1</v>
      </c>
      <c r="AA991" s="14"/>
    </row>
    <row r="992" spans="1:27" hidden="1">
      <c r="A992" s="1">
        <v>9299699</v>
      </c>
      <c r="B992" s="1" t="s">
        <v>101</v>
      </c>
      <c r="C992" t="s">
        <v>1761</v>
      </c>
      <c r="E992" s="2">
        <v>1264000206001</v>
      </c>
      <c r="F992" s="1" t="s">
        <v>29</v>
      </c>
      <c r="G992" s="1" t="s">
        <v>53</v>
      </c>
      <c r="H992" s="1" t="s">
        <v>351</v>
      </c>
      <c r="I992" s="1" t="s">
        <v>352</v>
      </c>
      <c r="J992" s="1" t="s">
        <v>110</v>
      </c>
      <c r="K992" t="s">
        <v>34</v>
      </c>
      <c r="M992" s="1" t="s">
        <v>35</v>
      </c>
      <c r="N992" s="1">
        <v>42318949</v>
      </c>
      <c r="O992" s="1" t="s">
        <v>105</v>
      </c>
      <c r="P992" s="12">
        <v>44932.477905092594</v>
      </c>
      <c r="R992" s="1" t="s">
        <v>38</v>
      </c>
      <c r="T992" s="1" t="s">
        <v>74</v>
      </c>
      <c r="U992" s="12">
        <v>44932.75</v>
      </c>
      <c r="V992" s="1" t="s">
        <v>41</v>
      </c>
      <c r="W992" s="1" t="s">
        <v>49</v>
      </c>
      <c r="Z992" s="14">
        <v>1</v>
      </c>
      <c r="AA992" s="14"/>
    </row>
    <row r="993" spans="1:27" hidden="1">
      <c r="A993" s="1">
        <v>9299638</v>
      </c>
      <c r="B993" s="1" t="s">
        <v>101</v>
      </c>
      <c r="C993" t="s">
        <v>1761</v>
      </c>
      <c r="E993" s="2">
        <v>1153000206001</v>
      </c>
      <c r="F993" s="1" t="s">
        <v>29</v>
      </c>
      <c r="G993" s="1" t="s">
        <v>53</v>
      </c>
      <c r="H993" s="1" t="s">
        <v>1031</v>
      </c>
      <c r="I993" s="1" t="s">
        <v>1032</v>
      </c>
      <c r="J993" s="1" t="s">
        <v>79</v>
      </c>
      <c r="K993" t="s">
        <v>34</v>
      </c>
      <c r="M993" s="1" t="s">
        <v>35</v>
      </c>
      <c r="N993" s="1">
        <v>42318949</v>
      </c>
      <c r="O993" s="1" t="s">
        <v>105</v>
      </c>
      <c r="P993" s="11" t="s">
        <v>1795</v>
      </c>
      <c r="R993" s="1" t="s">
        <v>38</v>
      </c>
      <c r="T993" s="1" t="s">
        <v>74</v>
      </c>
      <c r="U993" s="11" t="s">
        <v>1341</v>
      </c>
      <c r="V993" s="1" t="s">
        <v>41</v>
      </c>
      <c r="W993" s="1" t="s">
        <v>49</v>
      </c>
      <c r="Z993" s="14">
        <v>1</v>
      </c>
      <c r="AA993" s="14"/>
    </row>
    <row r="994" spans="1:27" hidden="1">
      <c r="A994" s="1">
        <v>9299629</v>
      </c>
      <c r="B994" s="1" t="s">
        <v>101</v>
      </c>
      <c r="C994" t="s">
        <v>1761</v>
      </c>
      <c r="E994" s="2">
        <v>1120000206001</v>
      </c>
      <c r="F994" s="1" t="s">
        <v>29</v>
      </c>
      <c r="G994" s="1" t="s">
        <v>53</v>
      </c>
      <c r="H994" s="1" t="s">
        <v>181</v>
      </c>
      <c r="I994" s="1" t="s">
        <v>182</v>
      </c>
      <c r="J994" s="1" t="s">
        <v>164</v>
      </c>
      <c r="K994" t="s">
        <v>34</v>
      </c>
      <c r="M994" s="1" t="s">
        <v>35</v>
      </c>
      <c r="N994" s="1">
        <v>42318949</v>
      </c>
      <c r="O994" s="1" t="s">
        <v>105</v>
      </c>
      <c r="P994" s="12">
        <v>44932.477812500001</v>
      </c>
      <c r="R994" s="1" t="s">
        <v>38</v>
      </c>
      <c r="T994" s="1" t="s">
        <v>74</v>
      </c>
      <c r="U994" s="12">
        <v>44932.75</v>
      </c>
      <c r="V994" s="1" t="s">
        <v>41</v>
      </c>
      <c r="W994" s="1" t="s">
        <v>49</v>
      </c>
      <c r="Z994" s="14">
        <v>1</v>
      </c>
      <c r="AA994" s="14"/>
    </row>
    <row r="995" spans="1:27" hidden="1">
      <c r="A995" s="1">
        <v>9299628</v>
      </c>
      <c r="B995" s="1" t="s">
        <v>101</v>
      </c>
      <c r="C995" t="s">
        <v>1761</v>
      </c>
      <c r="E995" s="2">
        <v>1120000206001</v>
      </c>
      <c r="F995" s="1" t="s">
        <v>29</v>
      </c>
      <c r="G995" s="1" t="s">
        <v>53</v>
      </c>
      <c r="H995" s="1" t="s">
        <v>181</v>
      </c>
      <c r="I995" s="1" t="s">
        <v>182</v>
      </c>
      <c r="J995" s="1" t="s">
        <v>164</v>
      </c>
      <c r="K995" t="s">
        <v>34</v>
      </c>
      <c r="M995" s="1" t="s">
        <v>35</v>
      </c>
      <c r="N995" s="1">
        <v>42318949</v>
      </c>
      <c r="O995" s="1" t="s">
        <v>105</v>
      </c>
      <c r="P995" s="11" t="s">
        <v>1796</v>
      </c>
      <c r="R995" s="1" t="s">
        <v>38</v>
      </c>
      <c r="T995" s="1" t="s">
        <v>74</v>
      </c>
      <c r="U995" s="11" t="s">
        <v>1341</v>
      </c>
      <c r="V995" s="1" t="s">
        <v>41</v>
      </c>
      <c r="W995" s="1" t="s">
        <v>49</v>
      </c>
      <c r="Z995" s="14">
        <v>1</v>
      </c>
      <c r="AA995" s="14"/>
    </row>
    <row r="996" spans="1:27">
      <c r="A996" s="1">
        <v>9299585</v>
      </c>
      <c r="B996" s="1" t="s">
        <v>101</v>
      </c>
      <c r="C996" t="s">
        <v>1761</v>
      </c>
      <c r="E996" s="2">
        <v>1060000206001</v>
      </c>
      <c r="F996" s="1" t="s">
        <v>29</v>
      </c>
      <c r="G996" s="1" t="s">
        <v>53</v>
      </c>
      <c r="H996" s="1" t="s">
        <v>284</v>
      </c>
      <c r="I996" s="1" t="s">
        <v>285</v>
      </c>
      <c r="J996" s="1" t="s">
        <v>148</v>
      </c>
      <c r="K996" t="s">
        <v>34</v>
      </c>
      <c r="M996" s="1" t="s">
        <v>35</v>
      </c>
      <c r="N996" s="1">
        <v>42318949</v>
      </c>
      <c r="O996" s="1" t="s">
        <v>105</v>
      </c>
      <c r="P996" s="12">
        <v>44932.477743055555</v>
      </c>
      <c r="R996" s="1" t="s">
        <v>38</v>
      </c>
      <c r="T996" s="1" t="s">
        <v>74</v>
      </c>
      <c r="U996" s="12">
        <v>44932.75</v>
      </c>
      <c r="V996" s="1" t="s">
        <v>41</v>
      </c>
      <c r="W996" s="1" t="s">
        <v>49</v>
      </c>
      <c r="Z996" s="14">
        <v>1</v>
      </c>
      <c r="AA996" s="14"/>
    </row>
    <row r="997" spans="1:27">
      <c r="A997" s="1">
        <v>9299584</v>
      </c>
      <c r="B997" s="1" t="s">
        <v>101</v>
      </c>
      <c r="C997" s="194" t="s">
        <v>1761</v>
      </c>
      <c r="E997" s="2">
        <v>1060000206001</v>
      </c>
      <c r="F997" s="1" t="s">
        <v>29</v>
      </c>
      <c r="G997" s="1" t="s">
        <v>53</v>
      </c>
      <c r="H997" s="1" t="s">
        <v>284</v>
      </c>
      <c r="I997" s="1" t="s">
        <v>285</v>
      </c>
      <c r="J997" s="1" t="s">
        <v>148</v>
      </c>
      <c r="K997" t="s">
        <v>34</v>
      </c>
      <c r="M997" s="1" t="s">
        <v>35</v>
      </c>
      <c r="N997" s="1">
        <v>42318949</v>
      </c>
      <c r="O997" s="1" t="s">
        <v>105</v>
      </c>
      <c r="P997" s="11" t="s">
        <v>1797</v>
      </c>
      <c r="R997" s="1" t="s">
        <v>38</v>
      </c>
      <c r="T997" s="1" t="s">
        <v>74</v>
      </c>
      <c r="U997" s="11" t="s">
        <v>1341</v>
      </c>
      <c r="V997" s="1" t="s">
        <v>41</v>
      </c>
      <c r="W997" s="1" t="s">
        <v>49</v>
      </c>
      <c r="Z997" s="14">
        <v>1</v>
      </c>
      <c r="AA997" s="14"/>
    </row>
    <row r="998" spans="1:27">
      <c r="A998" s="1">
        <v>9299582</v>
      </c>
      <c r="B998" s="1" t="s">
        <v>101</v>
      </c>
      <c r="C998" t="s">
        <v>1761</v>
      </c>
      <c r="E998" s="2">
        <v>1059000206001</v>
      </c>
      <c r="F998" s="1" t="s">
        <v>29</v>
      </c>
      <c r="G998" s="1" t="s">
        <v>53</v>
      </c>
      <c r="H998" s="1" t="s">
        <v>88</v>
      </c>
      <c r="I998" s="1" t="s">
        <v>89</v>
      </c>
      <c r="J998" s="1" t="s">
        <v>90</v>
      </c>
      <c r="K998" t="s">
        <v>34</v>
      </c>
      <c r="M998" s="1" t="s">
        <v>35</v>
      </c>
      <c r="N998" s="1">
        <v>42318949</v>
      </c>
      <c r="O998" s="1" t="s">
        <v>105</v>
      </c>
      <c r="P998" s="11" t="s">
        <v>1797</v>
      </c>
      <c r="R998" s="1" t="s">
        <v>38</v>
      </c>
      <c r="T998" s="1" t="s">
        <v>74</v>
      </c>
      <c r="U998" s="11" t="s">
        <v>1341</v>
      </c>
      <c r="V998" s="1" t="s">
        <v>41</v>
      </c>
      <c r="W998" s="1" t="s">
        <v>49</v>
      </c>
      <c r="Z998" s="14">
        <v>1</v>
      </c>
      <c r="AA998" s="14"/>
    </row>
    <row r="999" spans="1:27" hidden="1">
      <c r="A999" s="1">
        <v>9299581</v>
      </c>
      <c r="B999" s="1" t="s">
        <v>101</v>
      </c>
      <c r="C999" t="s">
        <v>1761</v>
      </c>
      <c r="E999" s="2">
        <v>1058000206001</v>
      </c>
      <c r="F999" s="1" t="s">
        <v>29</v>
      </c>
      <c r="G999" s="1" t="s">
        <v>53</v>
      </c>
      <c r="H999" s="1" t="s">
        <v>289</v>
      </c>
      <c r="I999" s="1" t="s">
        <v>290</v>
      </c>
      <c r="J999" s="1" t="s">
        <v>56</v>
      </c>
      <c r="K999" t="s">
        <v>34</v>
      </c>
      <c r="M999" s="1" t="s">
        <v>35</v>
      </c>
      <c r="N999" s="1">
        <v>42318949</v>
      </c>
      <c r="O999" s="1" t="s">
        <v>105</v>
      </c>
      <c r="P999" s="11" t="s">
        <v>1797</v>
      </c>
      <c r="R999" s="1" t="s">
        <v>38</v>
      </c>
      <c r="T999" s="1" t="s">
        <v>74</v>
      </c>
      <c r="U999" s="11" t="s">
        <v>1341</v>
      </c>
      <c r="V999" s="1" t="s">
        <v>41</v>
      </c>
      <c r="W999" s="1" t="s">
        <v>49</v>
      </c>
      <c r="Z999" s="14">
        <v>1</v>
      </c>
      <c r="AA999" s="14"/>
    </row>
    <row r="1000" spans="1:27" hidden="1">
      <c r="A1000" s="1">
        <v>9299580</v>
      </c>
      <c r="B1000" s="1" t="s">
        <v>101</v>
      </c>
      <c r="C1000" t="s">
        <v>1761</v>
      </c>
      <c r="E1000" s="2">
        <v>1058000206001</v>
      </c>
      <c r="F1000" s="1" t="s">
        <v>29</v>
      </c>
      <c r="G1000" s="1" t="s">
        <v>53</v>
      </c>
      <c r="H1000" s="1" t="s">
        <v>289</v>
      </c>
      <c r="I1000" s="1" t="s">
        <v>290</v>
      </c>
      <c r="J1000" s="1" t="s">
        <v>56</v>
      </c>
      <c r="K1000" t="s">
        <v>34</v>
      </c>
      <c r="M1000" s="1" t="s">
        <v>35</v>
      </c>
      <c r="N1000" s="1">
        <v>42318949</v>
      </c>
      <c r="O1000" s="1" t="s">
        <v>105</v>
      </c>
      <c r="P1000" s="11" t="s">
        <v>1797</v>
      </c>
      <c r="R1000" s="1" t="s">
        <v>38</v>
      </c>
      <c r="T1000" s="1" t="s">
        <v>74</v>
      </c>
      <c r="U1000" s="11" t="s">
        <v>1341</v>
      </c>
      <c r="V1000" s="1" t="s">
        <v>41</v>
      </c>
      <c r="W1000" s="1" t="s">
        <v>49</v>
      </c>
      <c r="Z1000" s="14">
        <v>1</v>
      </c>
      <c r="AA1000" s="14"/>
    </row>
    <row r="1001" spans="1:27" hidden="1">
      <c r="A1001" s="1">
        <v>9299579</v>
      </c>
      <c r="B1001" s="1" t="s">
        <v>101</v>
      </c>
      <c r="C1001" t="s">
        <v>1761</v>
      </c>
      <c r="E1001" s="2">
        <v>1058000206001</v>
      </c>
      <c r="F1001" s="1" t="s">
        <v>29</v>
      </c>
      <c r="G1001" s="1" t="s">
        <v>53</v>
      </c>
      <c r="H1001" s="1" t="s">
        <v>289</v>
      </c>
      <c r="I1001" s="1" t="s">
        <v>290</v>
      </c>
      <c r="J1001" s="1" t="s">
        <v>56</v>
      </c>
      <c r="K1001" t="s">
        <v>34</v>
      </c>
      <c r="M1001" s="1" t="s">
        <v>35</v>
      </c>
      <c r="N1001" s="1">
        <v>42318949</v>
      </c>
      <c r="O1001" s="1" t="s">
        <v>105</v>
      </c>
      <c r="P1001" s="11" t="s">
        <v>1797</v>
      </c>
      <c r="R1001" s="1" t="s">
        <v>38</v>
      </c>
      <c r="T1001" s="1" t="s">
        <v>74</v>
      </c>
      <c r="U1001" s="11" t="s">
        <v>1341</v>
      </c>
      <c r="V1001" s="1" t="s">
        <v>41</v>
      </c>
      <c r="W1001" s="1" t="s">
        <v>49</v>
      </c>
      <c r="Z1001" s="14">
        <v>1</v>
      </c>
      <c r="AA1001" s="14"/>
    </row>
    <row r="1002" spans="1:27" hidden="1">
      <c r="A1002" s="1">
        <v>9299578</v>
      </c>
      <c r="B1002" s="1" t="s">
        <v>101</v>
      </c>
      <c r="C1002" t="s">
        <v>1761</v>
      </c>
      <c r="E1002" s="2">
        <v>1058000206001</v>
      </c>
      <c r="F1002" s="1" t="s">
        <v>29</v>
      </c>
      <c r="G1002" s="1" t="s">
        <v>53</v>
      </c>
      <c r="H1002" s="1" t="s">
        <v>289</v>
      </c>
      <c r="I1002" s="1" t="s">
        <v>290</v>
      </c>
      <c r="J1002" s="1" t="s">
        <v>56</v>
      </c>
      <c r="K1002" t="s">
        <v>34</v>
      </c>
      <c r="M1002" s="1" t="s">
        <v>35</v>
      </c>
      <c r="N1002" s="1">
        <v>42318949</v>
      </c>
      <c r="O1002" s="1" t="s">
        <v>105</v>
      </c>
      <c r="P1002" s="186">
        <v>44932.477743055555</v>
      </c>
      <c r="R1002" s="1" t="s">
        <v>38</v>
      </c>
      <c r="T1002" s="1" t="s">
        <v>74</v>
      </c>
      <c r="U1002" s="186">
        <v>44932.75</v>
      </c>
      <c r="V1002" s="1" t="s">
        <v>41</v>
      </c>
      <c r="W1002" s="1" t="s">
        <v>49</v>
      </c>
      <c r="Z1002" s="14">
        <v>1</v>
      </c>
      <c r="AA1002" s="14"/>
    </row>
    <row r="1003" spans="1:27" hidden="1">
      <c r="A1003" s="1">
        <v>9299577</v>
      </c>
      <c r="B1003" s="1" t="s">
        <v>101</v>
      </c>
      <c r="C1003" t="s">
        <v>1761</v>
      </c>
      <c r="E1003" s="2">
        <v>1058000206001</v>
      </c>
      <c r="F1003" s="1" t="s">
        <v>29</v>
      </c>
      <c r="G1003" s="1" t="s">
        <v>53</v>
      </c>
      <c r="H1003" s="1" t="s">
        <v>289</v>
      </c>
      <c r="I1003" s="1" t="s">
        <v>290</v>
      </c>
      <c r="J1003" s="1" t="s">
        <v>56</v>
      </c>
      <c r="K1003" t="s">
        <v>34</v>
      </c>
      <c r="M1003" s="1" t="s">
        <v>35</v>
      </c>
      <c r="N1003" s="1">
        <v>42318949</v>
      </c>
      <c r="O1003" s="1" t="s">
        <v>105</v>
      </c>
      <c r="P1003" s="12">
        <v>44932.477743055555</v>
      </c>
      <c r="R1003" s="1" t="s">
        <v>38</v>
      </c>
      <c r="T1003" s="1" t="s">
        <v>74</v>
      </c>
      <c r="U1003" s="12">
        <v>44932.75</v>
      </c>
      <c r="V1003" s="1" t="s">
        <v>41</v>
      </c>
      <c r="W1003" s="1" t="s">
        <v>49</v>
      </c>
      <c r="Z1003" s="14">
        <v>1</v>
      </c>
      <c r="AA1003" s="14"/>
    </row>
    <row r="1004" spans="1:27" hidden="1">
      <c r="A1004" s="1">
        <v>9299576</v>
      </c>
      <c r="B1004" s="1" t="s">
        <v>101</v>
      </c>
      <c r="C1004" t="s">
        <v>1761</v>
      </c>
      <c r="E1004" s="2">
        <v>1058000206001</v>
      </c>
      <c r="F1004" s="1" t="s">
        <v>29</v>
      </c>
      <c r="G1004" s="1" t="s">
        <v>53</v>
      </c>
      <c r="H1004" s="1" t="s">
        <v>289</v>
      </c>
      <c r="I1004" s="1" t="s">
        <v>290</v>
      </c>
      <c r="J1004" s="1" t="s">
        <v>56</v>
      </c>
      <c r="K1004" t="s">
        <v>34</v>
      </c>
      <c r="M1004" s="1" t="s">
        <v>35</v>
      </c>
      <c r="N1004" s="1">
        <v>42318949</v>
      </c>
      <c r="O1004" s="1" t="s">
        <v>105</v>
      </c>
      <c r="P1004" s="11" t="s">
        <v>1798</v>
      </c>
      <c r="R1004" s="1" t="s">
        <v>38</v>
      </c>
      <c r="T1004" s="1" t="s">
        <v>74</v>
      </c>
      <c r="U1004" s="11" t="s">
        <v>1341</v>
      </c>
      <c r="V1004" s="1" t="s">
        <v>41</v>
      </c>
      <c r="W1004" s="1" t="s">
        <v>49</v>
      </c>
      <c r="Z1004" s="14">
        <v>1</v>
      </c>
      <c r="AA1004" s="14"/>
    </row>
    <row r="1005" spans="1:27" hidden="1">
      <c r="A1005" s="1">
        <v>9299572</v>
      </c>
      <c r="B1005" s="1" t="s">
        <v>101</v>
      </c>
      <c r="C1005" t="s">
        <v>1761</v>
      </c>
      <c r="E1005" s="2">
        <v>1052000206001</v>
      </c>
      <c r="F1005" s="1" t="s">
        <v>29</v>
      </c>
      <c r="G1005" s="1" t="s">
        <v>53</v>
      </c>
      <c r="H1005" s="1" t="s">
        <v>329</v>
      </c>
      <c r="I1005" s="1" t="s">
        <v>330</v>
      </c>
      <c r="J1005" s="1" t="s">
        <v>79</v>
      </c>
      <c r="K1005" t="s">
        <v>34</v>
      </c>
      <c r="M1005" s="1" t="s">
        <v>35</v>
      </c>
      <c r="N1005" s="1">
        <v>42318949</v>
      </c>
      <c r="O1005" s="1" t="s">
        <v>105</v>
      </c>
      <c r="P1005" s="11" t="s">
        <v>1798</v>
      </c>
      <c r="R1005" s="1" t="s">
        <v>38</v>
      </c>
      <c r="T1005" s="1" t="s">
        <v>74</v>
      </c>
      <c r="U1005" s="11" t="s">
        <v>1341</v>
      </c>
      <c r="V1005" s="1" t="s">
        <v>41</v>
      </c>
      <c r="W1005" s="1" t="s">
        <v>49</v>
      </c>
      <c r="Z1005" s="14">
        <v>1</v>
      </c>
      <c r="AA1005" s="14"/>
    </row>
    <row r="1006" spans="1:27" hidden="1">
      <c r="A1006" s="1">
        <v>9299571</v>
      </c>
      <c r="B1006" s="1" t="s">
        <v>101</v>
      </c>
      <c r="C1006" t="s">
        <v>1761</v>
      </c>
      <c r="E1006" s="2">
        <v>1052000206001</v>
      </c>
      <c r="F1006" s="1" t="s">
        <v>29</v>
      </c>
      <c r="G1006" s="1" t="s">
        <v>53</v>
      </c>
      <c r="H1006" s="1" t="s">
        <v>329</v>
      </c>
      <c r="I1006" s="1" t="s">
        <v>330</v>
      </c>
      <c r="J1006" s="1" t="s">
        <v>79</v>
      </c>
      <c r="K1006" t="s">
        <v>34</v>
      </c>
      <c r="M1006" s="1" t="s">
        <v>35</v>
      </c>
      <c r="N1006" s="1">
        <v>42318949</v>
      </c>
      <c r="O1006" s="1" t="s">
        <v>105</v>
      </c>
      <c r="P1006" s="11" t="s">
        <v>1798</v>
      </c>
      <c r="R1006" s="1" t="s">
        <v>38</v>
      </c>
      <c r="T1006" s="1" t="s">
        <v>74</v>
      </c>
      <c r="U1006" s="11" t="s">
        <v>1341</v>
      </c>
      <c r="V1006" s="1" t="s">
        <v>41</v>
      </c>
      <c r="W1006" s="1" t="s">
        <v>49</v>
      </c>
      <c r="Z1006" s="14">
        <v>1</v>
      </c>
      <c r="AA1006" s="14"/>
    </row>
    <row r="1007" spans="1:27" hidden="1">
      <c r="A1007" s="1">
        <v>9299552</v>
      </c>
      <c r="B1007" s="1" t="s">
        <v>101</v>
      </c>
      <c r="C1007" t="s">
        <v>1761</v>
      </c>
      <c r="E1007" s="2">
        <v>1011000206001</v>
      </c>
      <c r="F1007" s="1" t="s">
        <v>29</v>
      </c>
      <c r="G1007" s="1" t="s">
        <v>53</v>
      </c>
      <c r="H1007" s="1" t="s">
        <v>272</v>
      </c>
      <c r="I1007" s="1" t="s">
        <v>273</v>
      </c>
      <c r="J1007" s="1" t="s">
        <v>33</v>
      </c>
      <c r="K1007" t="s">
        <v>34</v>
      </c>
      <c r="M1007" s="1" t="s">
        <v>35</v>
      </c>
      <c r="N1007" s="1">
        <v>42318949</v>
      </c>
      <c r="O1007" s="1" t="s">
        <v>105</v>
      </c>
      <c r="P1007" s="186">
        <v>44932.477708333332</v>
      </c>
      <c r="R1007" s="1" t="s">
        <v>38</v>
      </c>
      <c r="T1007" s="1" t="s">
        <v>74</v>
      </c>
      <c r="U1007" s="186">
        <v>44932.75</v>
      </c>
      <c r="V1007" s="1" t="s">
        <v>41</v>
      </c>
      <c r="W1007" s="1" t="s">
        <v>49</v>
      </c>
      <c r="Z1007" s="14">
        <v>1</v>
      </c>
      <c r="AA1007" s="14"/>
    </row>
    <row r="1008" spans="1:27">
      <c r="A1008" s="1">
        <v>9299516</v>
      </c>
      <c r="B1008" s="1" t="s">
        <v>101</v>
      </c>
      <c r="C1008" t="s">
        <v>1761</v>
      </c>
      <c r="E1008" s="2">
        <v>981000206001</v>
      </c>
      <c r="F1008" s="1" t="s">
        <v>29</v>
      </c>
      <c r="G1008" s="1" t="s">
        <v>53</v>
      </c>
      <c r="H1008" s="1" t="s">
        <v>410</v>
      </c>
      <c r="I1008" s="1" t="s">
        <v>411</v>
      </c>
      <c r="J1008" s="1" t="s">
        <v>85</v>
      </c>
      <c r="K1008" t="s">
        <v>34</v>
      </c>
      <c r="M1008" s="1" t="s">
        <v>35</v>
      </c>
      <c r="N1008" s="1">
        <v>42318949</v>
      </c>
      <c r="O1008" s="1" t="s">
        <v>105</v>
      </c>
      <c r="P1008" s="11" t="s">
        <v>1799</v>
      </c>
      <c r="R1008" s="1" t="s">
        <v>38</v>
      </c>
      <c r="T1008" s="1" t="s">
        <v>74</v>
      </c>
      <c r="U1008" s="11" t="s">
        <v>1341</v>
      </c>
      <c r="V1008" s="1" t="s">
        <v>41</v>
      </c>
      <c r="W1008" s="1" t="s">
        <v>49</v>
      </c>
      <c r="Z1008" s="14">
        <v>1</v>
      </c>
      <c r="AA1008" s="14"/>
    </row>
    <row r="1009" spans="1:27">
      <c r="A1009" s="1">
        <v>9299457</v>
      </c>
      <c r="B1009" s="1" t="s">
        <v>101</v>
      </c>
      <c r="C1009" t="s">
        <v>1761</v>
      </c>
      <c r="E1009" s="2">
        <v>917000206001</v>
      </c>
      <c r="F1009" s="1" t="s">
        <v>29</v>
      </c>
      <c r="G1009" s="1" t="s">
        <v>53</v>
      </c>
      <c r="H1009" s="1" t="s">
        <v>83</v>
      </c>
      <c r="I1009" s="1" t="s">
        <v>84</v>
      </c>
      <c r="J1009" s="1" t="s">
        <v>85</v>
      </c>
      <c r="K1009" t="s">
        <v>34</v>
      </c>
      <c r="M1009" s="1" t="s">
        <v>35</v>
      </c>
      <c r="N1009" s="1">
        <v>42318949</v>
      </c>
      <c r="O1009" s="1" t="s">
        <v>105</v>
      </c>
      <c r="P1009" s="11" t="s">
        <v>1800</v>
      </c>
      <c r="R1009" s="1" t="s">
        <v>38</v>
      </c>
      <c r="T1009" s="1" t="s">
        <v>74</v>
      </c>
      <c r="U1009" s="11" t="s">
        <v>1341</v>
      </c>
      <c r="V1009" s="1" t="s">
        <v>41</v>
      </c>
      <c r="W1009" s="1" t="s">
        <v>49</v>
      </c>
      <c r="Z1009" s="14">
        <v>1</v>
      </c>
      <c r="AA1009" s="14"/>
    </row>
    <row r="1010" spans="1:27" hidden="1">
      <c r="A1010" s="1">
        <v>9299432</v>
      </c>
      <c r="B1010" s="1" t="s">
        <v>101</v>
      </c>
      <c r="C1010" t="s">
        <v>1761</v>
      </c>
      <c r="E1010" s="2">
        <v>834000206001</v>
      </c>
      <c r="F1010" s="1" t="s">
        <v>29</v>
      </c>
      <c r="G1010" s="1" t="s">
        <v>53</v>
      </c>
      <c r="H1010" s="1" t="s">
        <v>367</v>
      </c>
      <c r="I1010" s="1" t="s">
        <v>368</v>
      </c>
      <c r="J1010" s="1" t="s">
        <v>261</v>
      </c>
      <c r="K1010" t="s">
        <v>34</v>
      </c>
      <c r="M1010" s="1" t="s">
        <v>35</v>
      </c>
      <c r="N1010" s="1">
        <v>42318949</v>
      </c>
      <c r="O1010" s="1" t="s">
        <v>105</v>
      </c>
      <c r="P1010" s="11" t="s">
        <v>1801</v>
      </c>
      <c r="R1010" s="1" t="s">
        <v>38</v>
      </c>
      <c r="T1010" s="1" t="s">
        <v>74</v>
      </c>
      <c r="U1010" s="11" t="s">
        <v>1341</v>
      </c>
      <c r="V1010" s="1" t="s">
        <v>41</v>
      </c>
      <c r="W1010" s="1" t="s">
        <v>49</v>
      </c>
      <c r="Z1010" s="14">
        <v>1</v>
      </c>
      <c r="AA1010" s="14"/>
    </row>
    <row r="1011" spans="1:27" hidden="1">
      <c r="A1011" s="1">
        <v>9299374</v>
      </c>
      <c r="B1011" s="1" t="s">
        <v>101</v>
      </c>
      <c r="C1011" t="s">
        <v>1761</v>
      </c>
      <c r="E1011" s="2">
        <v>711000206001</v>
      </c>
      <c r="F1011" s="1" t="s">
        <v>29</v>
      </c>
      <c r="G1011" s="1" t="s">
        <v>53</v>
      </c>
      <c r="H1011" s="1" t="s">
        <v>77</v>
      </c>
      <c r="I1011" s="1" t="s">
        <v>78</v>
      </c>
      <c r="J1011" s="1" t="s">
        <v>79</v>
      </c>
      <c r="K1011" t="s">
        <v>34</v>
      </c>
      <c r="M1011" s="1" t="s">
        <v>35</v>
      </c>
      <c r="N1011" s="1">
        <v>42318949</v>
      </c>
      <c r="O1011" s="1" t="s">
        <v>105</v>
      </c>
      <c r="P1011" s="11" t="s">
        <v>1802</v>
      </c>
      <c r="R1011" s="1" t="s">
        <v>38</v>
      </c>
      <c r="T1011" s="1" t="s">
        <v>74</v>
      </c>
      <c r="U1011" s="11" t="s">
        <v>1341</v>
      </c>
      <c r="V1011" s="1" t="s">
        <v>41</v>
      </c>
      <c r="W1011" s="1" t="s">
        <v>49</v>
      </c>
      <c r="Z1011" s="14">
        <v>1</v>
      </c>
      <c r="AA1011" s="14"/>
    </row>
    <row r="1012" spans="1:27" hidden="1">
      <c r="A1012" s="1">
        <v>9299373</v>
      </c>
      <c r="B1012" s="1" t="s">
        <v>101</v>
      </c>
      <c r="C1012" t="s">
        <v>1761</v>
      </c>
      <c r="E1012" s="2">
        <v>711000206001</v>
      </c>
      <c r="F1012" s="1" t="s">
        <v>29</v>
      </c>
      <c r="G1012" s="1" t="s">
        <v>53</v>
      </c>
      <c r="H1012" s="1" t="s">
        <v>77</v>
      </c>
      <c r="I1012" s="1" t="s">
        <v>78</v>
      </c>
      <c r="J1012" s="1" t="s">
        <v>79</v>
      </c>
      <c r="K1012" t="s">
        <v>34</v>
      </c>
      <c r="M1012" s="1" t="s">
        <v>35</v>
      </c>
      <c r="N1012" s="1">
        <v>42318949</v>
      </c>
      <c r="O1012" s="1" t="s">
        <v>105</v>
      </c>
      <c r="P1012" s="11" t="s">
        <v>1802</v>
      </c>
      <c r="R1012" s="1" t="s">
        <v>38</v>
      </c>
      <c r="T1012" s="1" t="s">
        <v>74</v>
      </c>
      <c r="U1012" s="11" t="s">
        <v>1341</v>
      </c>
      <c r="V1012" s="1" t="s">
        <v>41</v>
      </c>
      <c r="W1012" s="1" t="s">
        <v>49</v>
      </c>
      <c r="Z1012" s="14">
        <v>1</v>
      </c>
      <c r="AA1012" s="14"/>
    </row>
    <row r="1013" spans="1:27" hidden="1">
      <c r="A1013" s="1">
        <v>9299372</v>
      </c>
      <c r="B1013" s="1" t="s">
        <v>101</v>
      </c>
      <c r="C1013" t="s">
        <v>1761</v>
      </c>
      <c r="E1013" s="2">
        <v>711000206001</v>
      </c>
      <c r="F1013" s="1" t="s">
        <v>29</v>
      </c>
      <c r="G1013" s="1" t="s">
        <v>53</v>
      </c>
      <c r="H1013" s="1" t="s">
        <v>77</v>
      </c>
      <c r="I1013" s="1" t="s">
        <v>78</v>
      </c>
      <c r="J1013" s="1" t="s">
        <v>79</v>
      </c>
      <c r="K1013" t="s">
        <v>34</v>
      </c>
      <c r="M1013" s="1" t="s">
        <v>35</v>
      </c>
      <c r="N1013" s="1">
        <v>42318949</v>
      </c>
      <c r="O1013" s="1" t="s">
        <v>105</v>
      </c>
      <c r="P1013" s="11" t="s">
        <v>1802</v>
      </c>
      <c r="R1013" s="1" t="s">
        <v>38</v>
      </c>
      <c r="T1013" s="1" t="s">
        <v>74</v>
      </c>
      <c r="U1013" s="11" t="s">
        <v>1341</v>
      </c>
      <c r="V1013" s="1" t="s">
        <v>41</v>
      </c>
      <c r="W1013" s="1" t="s">
        <v>49</v>
      </c>
      <c r="Z1013" s="14">
        <v>1</v>
      </c>
      <c r="AA1013" s="14"/>
    </row>
    <row r="1014" spans="1:27" hidden="1">
      <c r="A1014" s="1">
        <v>9299371</v>
      </c>
      <c r="B1014" s="1" t="s">
        <v>101</v>
      </c>
      <c r="C1014" t="s">
        <v>1761</v>
      </c>
      <c r="E1014" s="2">
        <v>711000206001</v>
      </c>
      <c r="F1014" s="1" t="s">
        <v>29</v>
      </c>
      <c r="G1014" s="1" t="s">
        <v>53</v>
      </c>
      <c r="H1014" s="1" t="s">
        <v>77</v>
      </c>
      <c r="I1014" s="1" t="s">
        <v>78</v>
      </c>
      <c r="J1014" s="1" t="s">
        <v>79</v>
      </c>
      <c r="K1014" t="s">
        <v>34</v>
      </c>
      <c r="M1014" s="1" t="s">
        <v>35</v>
      </c>
      <c r="N1014" s="1">
        <v>42318949</v>
      </c>
      <c r="O1014" s="1" t="s">
        <v>105</v>
      </c>
      <c r="P1014" s="11" t="s">
        <v>1802</v>
      </c>
      <c r="R1014" s="1" t="s">
        <v>38</v>
      </c>
      <c r="T1014" s="1" t="s">
        <v>74</v>
      </c>
      <c r="U1014" s="11" t="s">
        <v>1341</v>
      </c>
      <c r="V1014" s="1" t="s">
        <v>41</v>
      </c>
      <c r="W1014" s="1" t="s">
        <v>49</v>
      </c>
      <c r="Z1014" s="14">
        <v>1</v>
      </c>
      <c r="AA1014" s="14"/>
    </row>
    <row r="1015" spans="1:27" hidden="1">
      <c r="A1015" s="1">
        <v>9299370</v>
      </c>
      <c r="B1015" s="1" t="s">
        <v>101</v>
      </c>
      <c r="C1015" t="s">
        <v>1761</v>
      </c>
      <c r="E1015" s="2">
        <v>711000206001</v>
      </c>
      <c r="F1015" s="1" t="s">
        <v>29</v>
      </c>
      <c r="G1015" s="1" t="s">
        <v>53</v>
      </c>
      <c r="H1015" s="1" t="s">
        <v>77</v>
      </c>
      <c r="I1015" s="1" t="s">
        <v>78</v>
      </c>
      <c r="J1015" s="1" t="s">
        <v>79</v>
      </c>
      <c r="K1015" t="s">
        <v>34</v>
      </c>
      <c r="M1015" s="1" t="s">
        <v>35</v>
      </c>
      <c r="N1015" s="1">
        <v>42318949</v>
      </c>
      <c r="O1015" s="1" t="s">
        <v>105</v>
      </c>
      <c r="P1015" s="11" t="s">
        <v>1802</v>
      </c>
      <c r="R1015" s="1" t="s">
        <v>38</v>
      </c>
      <c r="T1015" s="1" t="s">
        <v>74</v>
      </c>
      <c r="U1015" s="11" t="s">
        <v>1341</v>
      </c>
      <c r="V1015" s="1" t="s">
        <v>41</v>
      </c>
      <c r="W1015" s="1" t="s">
        <v>49</v>
      </c>
      <c r="Z1015" s="14">
        <v>1</v>
      </c>
      <c r="AA1015" s="14"/>
    </row>
    <row r="1016" spans="1:27" hidden="1">
      <c r="A1016" s="1">
        <v>9299369</v>
      </c>
      <c r="B1016" s="1" t="s">
        <v>101</v>
      </c>
      <c r="C1016" t="s">
        <v>1761</v>
      </c>
      <c r="E1016" s="2">
        <v>710000206001</v>
      </c>
      <c r="F1016" s="1" t="s">
        <v>29</v>
      </c>
      <c r="G1016" s="1" t="s">
        <v>53</v>
      </c>
      <c r="H1016" s="1" t="s">
        <v>390</v>
      </c>
      <c r="I1016" s="1" t="s">
        <v>391</v>
      </c>
      <c r="J1016" s="1" t="s">
        <v>56</v>
      </c>
      <c r="K1016" t="s">
        <v>34</v>
      </c>
      <c r="M1016" s="1" t="s">
        <v>35</v>
      </c>
      <c r="N1016" s="1">
        <v>42318949</v>
      </c>
      <c r="O1016" s="1" t="s">
        <v>105</v>
      </c>
      <c r="P1016" s="11" t="s">
        <v>1802</v>
      </c>
      <c r="R1016" s="1" t="s">
        <v>38</v>
      </c>
      <c r="T1016" s="1" t="s">
        <v>74</v>
      </c>
      <c r="U1016" s="11" t="s">
        <v>1341</v>
      </c>
      <c r="V1016" s="1" t="s">
        <v>41</v>
      </c>
      <c r="W1016" s="1" t="s">
        <v>49</v>
      </c>
      <c r="Z1016" s="14">
        <v>1</v>
      </c>
      <c r="AA1016" s="14"/>
    </row>
    <row r="1017" spans="1:27" hidden="1">
      <c r="A1017" s="1">
        <v>9299368</v>
      </c>
      <c r="B1017" s="1" t="s">
        <v>101</v>
      </c>
      <c r="C1017" t="s">
        <v>1761</v>
      </c>
      <c r="E1017" s="2">
        <v>710000206001</v>
      </c>
      <c r="F1017" s="1" t="s">
        <v>29</v>
      </c>
      <c r="G1017" s="1" t="s">
        <v>53</v>
      </c>
      <c r="H1017" s="1" t="s">
        <v>390</v>
      </c>
      <c r="I1017" s="1" t="s">
        <v>391</v>
      </c>
      <c r="J1017" s="1" t="s">
        <v>56</v>
      </c>
      <c r="K1017" t="s">
        <v>34</v>
      </c>
      <c r="M1017" s="1" t="s">
        <v>35</v>
      </c>
      <c r="N1017" s="1">
        <v>42318949</v>
      </c>
      <c r="O1017" s="1" t="s">
        <v>105</v>
      </c>
      <c r="P1017" s="11" t="s">
        <v>1802</v>
      </c>
      <c r="R1017" s="1" t="s">
        <v>38</v>
      </c>
      <c r="T1017" s="1" t="s">
        <v>74</v>
      </c>
      <c r="U1017" s="11" t="s">
        <v>1341</v>
      </c>
      <c r="V1017" s="1" t="s">
        <v>41</v>
      </c>
      <c r="W1017" s="1" t="s">
        <v>49</v>
      </c>
      <c r="Z1017" s="14">
        <v>1</v>
      </c>
      <c r="AA1017" s="14"/>
    </row>
    <row r="1018" spans="1:27" hidden="1">
      <c r="A1018" s="1">
        <v>9299367</v>
      </c>
      <c r="B1018" s="1" t="s">
        <v>101</v>
      </c>
      <c r="C1018" t="s">
        <v>1761</v>
      </c>
      <c r="E1018" s="2">
        <v>710000206001</v>
      </c>
      <c r="F1018" s="1" t="s">
        <v>29</v>
      </c>
      <c r="G1018" s="1" t="s">
        <v>53</v>
      </c>
      <c r="H1018" s="1" t="s">
        <v>390</v>
      </c>
      <c r="I1018" s="1" t="s">
        <v>391</v>
      </c>
      <c r="J1018" s="1" t="s">
        <v>56</v>
      </c>
      <c r="K1018" t="s">
        <v>34</v>
      </c>
      <c r="M1018" s="1" t="s">
        <v>35</v>
      </c>
      <c r="N1018" s="1">
        <v>42318949</v>
      </c>
      <c r="O1018" s="1" t="s">
        <v>105</v>
      </c>
      <c r="P1018" s="11" t="s">
        <v>1802</v>
      </c>
      <c r="R1018" s="1" t="s">
        <v>38</v>
      </c>
      <c r="T1018" s="1" t="s">
        <v>74</v>
      </c>
      <c r="U1018" s="11" t="s">
        <v>1341</v>
      </c>
      <c r="V1018" s="1" t="s">
        <v>41</v>
      </c>
      <c r="W1018" s="1" t="s">
        <v>49</v>
      </c>
      <c r="Z1018" s="14">
        <v>1</v>
      </c>
      <c r="AA1018" s="14"/>
    </row>
    <row r="1019" spans="1:27" hidden="1">
      <c r="A1019" s="1">
        <v>9299366</v>
      </c>
      <c r="B1019" s="1" t="s">
        <v>101</v>
      </c>
      <c r="C1019" t="s">
        <v>1761</v>
      </c>
      <c r="E1019" s="2">
        <v>710000206001</v>
      </c>
      <c r="F1019" s="1" t="s">
        <v>29</v>
      </c>
      <c r="G1019" s="1" t="s">
        <v>53</v>
      </c>
      <c r="H1019" s="1" t="s">
        <v>390</v>
      </c>
      <c r="I1019" s="1" t="s">
        <v>391</v>
      </c>
      <c r="J1019" s="1" t="s">
        <v>56</v>
      </c>
      <c r="K1019" t="s">
        <v>34</v>
      </c>
      <c r="M1019" s="1" t="s">
        <v>35</v>
      </c>
      <c r="N1019" s="1">
        <v>42318949</v>
      </c>
      <c r="O1019" s="1" t="s">
        <v>105</v>
      </c>
      <c r="P1019" s="11" t="s">
        <v>1802</v>
      </c>
      <c r="R1019" s="1" t="s">
        <v>38</v>
      </c>
      <c r="T1019" s="1" t="s">
        <v>74</v>
      </c>
      <c r="U1019" s="11" t="s">
        <v>1341</v>
      </c>
      <c r="V1019" s="1" t="s">
        <v>41</v>
      </c>
      <c r="W1019" s="1" t="s">
        <v>49</v>
      </c>
      <c r="Z1019" s="14">
        <v>1</v>
      </c>
      <c r="AA1019" s="14"/>
    </row>
    <row r="1020" spans="1:27">
      <c r="A1020" s="1">
        <v>9299314</v>
      </c>
      <c r="B1020" s="1" t="s">
        <v>101</v>
      </c>
      <c r="C1020" t="s">
        <v>1761</v>
      </c>
      <c r="E1020" s="2">
        <v>608000206001</v>
      </c>
      <c r="F1020" s="1" t="s">
        <v>29</v>
      </c>
      <c r="G1020" s="1" t="s">
        <v>53</v>
      </c>
      <c r="H1020" s="1" t="s">
        <v>438</v>
      </c>
      <c r="I1020" s="1" t="s">
        <v>439</v>
      </c>
      <c r="J1020" s="1" t="s">
        <v>148</v>
      </c>
      <c r="K1020" t="s">
        <v>34</v>
      </c>
      <c r="M1020" s="1" t="s">
        <v>35</v>
      </c>
      <c r="N1020" s="1">
        <v>42318949</v>
      </c>
      <c r="O1020" s="1" t="s">
        <v>105</v>
      </c>
      <c r="P1020" s="11" t="s">
        <v>1803</v>
      </c>
      <c r="R1020" s="1" t="s">
        <v>38</v>
      </c>
      <c r="T1020" s="1" t="s">
        <v>74</v>
      </c>
      <c r="U1020" s="11" t="s">
        <v>1341</v>
      </c>
      <c r="V1020" s="1" t="s">
        <v>41</v>
      </c>
      <c r="W1020" s="1" t="s">
        <v>49</v>
      </c>
      <c r="Z1020" s="14">
        <v>1</v>
      </c>
      <c r="AA1020" s="14"/>
    </row>
    <row r="1021" spans="1:27">
      <c r="A1021" s="1">
        <v>9299313</v>
      </c>
      <c r="B1021" s="1" t="s">
        <v>101</v>
      </c>
      <c r="C1021" t="s">
        <v>1761</v>
      </c>
      <c r="E1021" s="2">
        <v>608000206001</v>
      </c>
      <c r="F1021" s="1" t="s">
        <v>29</v>
      </c>
      <c r="G1021" s="1" t="s">
        <v>53</v>
      </c>
      <c r="H1021" s="1" t="s">
        <v>438</v>
      </c>
      <c r="I1021" s="1" t="s">
        <v>439</v>
      </c>
      <c r="J1021" s="1" t="s">
        <v>148</v>
      </c>
      <c r="K1021" t="s">
        <v>34</v>
      </c>
      <c r="M1021" s="1" t="s">
        <v>35</v>
      </c>
      <c r="N1021" s="1">
        <v>42318949</v>
      </c>
      <c r="O1021" s="1" t="s">
        <v>105</v>
      </c>
      <c r="P1021" s="11" t="s">
        <v>1803</v>
      </c>
      <c r="R1021" s="1" t="s">
        <v>38</v>
      </c>
      <c r="T1021" s="1" t="s">
        <v>74</v>
      </c>
      <c r="U1021" s="11" t="s">
        <v>1341</v>
      </c>
      <c r="V1021" s="1" t="s">
        <v>41</v>
      </c>
      <c r="W1021" s="1" t="s">
        <v>49</v>
      </c>
      <c r="Z1021" s="14">
        <v>1</v>
      </c>
      <c r="AA1021" s="14"/>
    </row>
    <row r="1022" spans="1:27">
      <c r="A1022" s="1">
        <v>9299309</v>
      </c>
      <c r="B1022" s="1" t="s">
        <v>101</v>
      </c>
      <c r="C1022" t="s">
        <v>1761</v>
      </c>
      <c r="E1022" s="2">
        <v>605000206001</v>
      </c>
      <c r="F1022" s="1" t="s">
        <v>29</v>
      </c>
      <c r="G1022" s="1" t="s">
        <v>53</v>
      </c>
      <c r="H1022" s="1" t="s">
        <v>420</v>
      </c>
      <c r="I1022" s="1" t="s">
        <v>421</v>
      </c>
      <c r="J1022" s="1" t="s">
        <v>90</v>
      </c>
      <c r="K1022" t="s">
        <v>34</v>
      </c>
      <c r="M1022" s="1" t="s">
        <v>35</v>
      </c>
      <c r="N1022" s="1">
        <v>42318949</v>
      </c>
      <c r="O1022" s="1" t="s">
        <v>105</v>
      </c>
      <c r="P1022" s="11" t="s">
        <v>1804</v>
      </c>
      <c r="R1022" s="1" t="s">
        <v>38</v>
      </c>
      <c r="T1022" s="1" t="s">
        <v>74</v>
      </c>
      <c r="U1022" s="11" t="s">
        <v>1341</v>
      </c>
      <c r="V1022" s="1" t="s">
        <v>41</v>
      </c>
      <c r="W1022" s="1" t="s">
        <v>49</v>
      </c>
      <c r="Z1022" s="14">
        <v>1</v>
      </c>
      <c r="AA1022" s="14"/>
    </row>
    <row r="1023" spans="1:27">
      <c r="A1023" s="1">
        <v>9299303</v>
      </c>
      <c r="B1023" s="1" t="s">
        <v>101</v>
      </c>
      <c r="C1023" t="s">
        <v>1761</v>
      </c>
      <c r="E1023" s="2">
        <v>600000206001</v>
      </c>
      <c r="F1023" s="1" t="s">
        <v>29</v>
      </c>
      <c r="G1023" s="1" t="s">
        <v>53</v>
      </c>
      <c r="H1023" s="1" t="s">
        <v>1084</v>
      </c>
      <c r="I1023" s="1" t="s">
        <v>1085</v>
      </c>
      <c r="J1023" s="1" t="s">
        <v>90</v>
      </c>
      <c r="K1023" t="s">
        <v>34</v>
      </c>
      <c r="M1023" s="1" t="s">
        <v>35</v>
      </c>
      <c r="N1023" s="1">
        <v>42318949</v>
      </c>
      <c r="O1023" s="1" t="s">
        <v>36</v>
      </c>
      <c r="P1023" s="11" t="s">
        <v>1805</v>
      </c>
      <c r="R1023" s="1" t="s">
        <v>38</v>
      </c>
      <c r="T1023" s="1" t="s">
        <v>74</v>
      </c>
      <c r="U1023" s="11" t="s">
        <v>1341</v>
      </c>
      <c r="V1023" s="1" t="s">
        <v>41</v>
      </c>
      <c r="W1023" s="1" t="s">
        <v>49</v>
      </c>
      <c r="Z1023" s="14">
        <v>1</v>
      </c>
      <c r="AA1023" s="14"/>
    </row>
    <row r="1024" spans="1:27">
      <c r="A1024" s="1">
        <v>9299302</v>
      </c>
      <c r="B1024" s="1" t="s">
        <v>101</v>
      </c>
      <c r="C1024" t="s">
        <v>1761</v>
      </c>
      <c r="E1024" s="2">
        <v>600000206001</v>
      </c>
      <c r="F1024" s="1" t="s">
        <v>29</v>
      </c>
      <c r="G1024" s="1" t="s">
        <v>53</v>
      </c>
      <c r="H1024" s="1" t="s">
        <v>1084</v>
      </c>
      <c r="I1024" s="1" t="s">
        <v>1085</v>
      </c>
      <c r="J1024" s="1" t="s">
        <v>90</v>
      </c>
      <c r="K1024" t="s">
        <v>34</v>
      </c>
      <c r="M1024" s="1" t="s">
        <v>35</v>
      </c>
      <c r="N1024" s="1">
        <v>42318949</v>
      </c>
      <c r="O1024" s="1" t="s">
        <v>36</v>
      </c>
      <c r="P1024" s="11" t="s">
        <v>1805</v>
      </c>
      <c r="R1024" s="1" t="s">
        <v>38</v>
      </c>
      <c r="T1024" s="1" t="s">
        <v>74</v>
      </c>
      <c r="U1024" s="11" t="s">
        <v>1341</v>
      </c>
      <c r="V1024" s="1" t="s">
        <v>41</v>
      </c>
      <c r="W1024" s="1" t="s">
        <v>49</v>
      </c>
      <c r="Z1024" s="14">
        <v>1</v>
      </c>
      <c r="AA1024" s="14"/>
    </row>
    <row r="1025" spans="1:27">
      <c r="A1025" s="1">
        <v>9299301</v>
      </c>
      <c r="B1025" s="1" t="s">
        <v>101</v>
      </c>
      <c r="C1025" t="s">
        <v>1761</v>
      </c>
      <c r="E1025" s="2">
        <v>600000206001</v>
      </c>
      <c r="F1025" s="1" t="s">
        <v>29</v>
      </c>
      <c r="G1025" s="1" t="s">
        <v>53</v>
      </c>
      <c r="H1025" s="1" t="s">
        <v>1084</v>
      </c>
      <c r="I1025" s="1" t="s">
        <v>1085</v>
      </c>
      <c r="J1025" s="1" t="s">
        <v>90</v>
      </c>
      <c r="K1025" t="s">
        <v>34</v>
      </c>
      <c r="M1025" s="1" t="s">
        <v>35</v>
      </c>
      <c r="N1025" s="1">
        <v>42318949</v>
      </c>
      <c r="O1025" s="1" t="s">
        <v>36</v>
      </c>
      <c r="P1025" s="11" t="s">
        <v>1805</v>
      </c>
      <c r="R1025" s="1" t="s">
        <v>38</v>
      </c>
      <c r="T1025" s="1" t="s">
        <v>74</v>
      </c>
      <c r="U1025" s="11" t="s">
        <v>1341</v>
      </c>
      <c r="V1025" s="1" t="s">
        <v>41</v>
      </c>
      <c r="W1025" s="1" t="s">
        <v>49</v>
      </c>
      <c r="Z1025" s="14">
        <v>1</v>
      </c>
      <c r="AA1025" s="14"/>
    </row>
    <row r="1026" spans="1:27">
      <c r="A1026" s="1">
        <v>9299300</v>
      </c>
      <c r="B1026" s="1" t="s">
        <v>101</v>
      </c>
      <c r="C1026" t="s">
        <v>1761</v>
      </c>
      <c r="E1026" s="2">
        <v>600000206001</v>
      </c>
      <c r="F1026" s="1" t="s">
        <v>29</v>
      </c>
      <c r="G1026" s="1" t="s">
        <v>53</v>
      </c>
      <c r="H1026" s="1" t="s">
        <v>1084</v>
      </c>
      <c r="I1026" s="1" t="s">
        <v>1085</v>
      </c>
      <c r="J1026" s="1" t="s">
        <v>90</v>
      </c>
      <c r="K1026" t="s">
        <v>34</v>
      </c>
      <c r="M1026" s="1" t="s">
        <v>35</v>
      </c>
      <c r="N1026" s="1">
        <v>42318949</v>
      </c>
      <c r="O1026" s="1" t="s">
        <v>36</v>
      </c>
      <c r="P1026" s="11" t="s">
        <v>1805</v>
      </c>
      <c r="R1026" s="1" t="s">
        <v>38</v>
      </c>
      <c r="T1026" s="1" t="s">
        <v>74</v>
      </c>
      <c r="U1026" s="11" t="s">
        <v>1341</v>
      </c>
      <c r="V1026" s="1" t="s">
        <v>41</v>
      </c>
      <c r="W1026" s="1" t="s">
        <v>49</v>
      </c>
      <c r="Z1026" s="14">
        <v>1</v>
      </c>
      <c r="AA1026" s="14"/>
    </row>
    <row r="1027" spans="1:27">
      <c r="A1027" s="1">
        <v>9299299</v>
      </c>
      <c r="B1027" s="1" t="s">
        <v>101</v>
      </c>
      <c r="C1027" t="s">
        <v>1761</v>
      </c>
      <c r="E1027" s="2">
        <v>600000206001</v>
      </c>
      <c r="F1027" s="1" t="s">
        <v>29</v>
      </c>
      <c r="G1027" s="1" t="s">
        <v>53</v>
      </c>
      <c r="H1027" s="1" t="s">
        <v>1084</v>
      </c>
      <c r="I1027" s="1" t="s">
        <v>1085</v>
      </c>
      <c r="J1027" s="1" t="s">
        <v>90</v>
      </c>
      <c r="K1027" t="s">
        <v>34</v>
      </c>
      <c r="M1027" s="1" t="s">
        <v>35</v>
      </c>
      <c r="N1027" s="1">
        <v>42318949</v>
      </c>
      <c r="O1027" s="1" t="s">
        <v>36</v>
      </c>
      <c r="P1027" s="11" t="s">
        <v>1805</v>
      </c>
      <c r="R1027" s="1" t="s">
        <v>38</v>
      </c>
      <c r="T1027" s="1" t="s">
        <v>74</v>
      </c>
      <c r="U1027" s="11" t="s">
        <v>1341</v>
      </c>
      <c r="V1027" s="1" t="s">
        <v>41</v>
      </c>
      <c r="W1027" s="1" t="s">
        <v>49</v>
      </c>
      <c r="Z1027" s="14">
        <v>1</v>
      </c>
      <c r="AA1027" s="14"/>
    </row>
    <row r="1028" spans="1:27" hidden="1">
      <c r="A1028" s="1">
        <v>9299279</v>
      </c>
      <c r="B1028" s="1" t="s">
        <v>101</v>
      </c>
      <c r="C1028" t="s">
        <v>1761</v>
      </c>
      <c r="E1028" s="2">
        <v>550000206001</v>
      </c>
      <c r="F1028" s="1" t="s">
        <v>29</v>
      </c>
      <c r="G1028" s="1" t="s">
        <v>53</v>
      </c>
      <c r="H1028" s="1" t="s">
        <v>337</v>
      </c>
      <c r="I1028" s="1" t="s">
        <v>338</v>
      </c>
      <c r="J1028" s="1" t="s">
        <v>164</v>
      </c>
      <c r="K1028" t="s">
        <v>34</v>
      </c>
      <c r="M1028" s="1" t="s">
        <v>35</v>
      </c>
      <c r="N1028" s="1">
        <v>42318949</v>
      </c>
      <c r="O1028" s="1" t="s">
        <v>105</v>
      </c>
      <c r="P1028" s="11" t="s">
        <v>1806</v>
      </c>
      <c r="R1028" s="1" t="s">
        <v>38</v>
      </c>
      <c r="T1028" s="1" t="s">
        <v>74</v>
      </c>
      <c r="U1028" s="11" t="s">
        <v>1341</v>
      </c>
      <c r="V1028" s="1" t="s">
        <v>41</v>
      </c>
      <c r="W1028" s="1" t="s">
        <v>49</v>
      </c>
      <c r="Z1028" s="14">
        <v>1</v>
      </c>
      <c r="AA1028" s="14"/>
    </row>
    <row r="1029" spans="1:27" hidden="1">
      <c r="A1029" s="1">
        <v>9299275</v>
      </c>
      <c r="B1029" s="1" t="s">
        <v>101</v>
      </c>
      <c r="C1029" t="s">
        <v>1761</v>
      </c>
      <c r="E1029" s="2">
        <v>537000206001</v>
      </c>
      <c r="F1029" s="1" t="s">
        <v>29</v>
      </c>
      <c r="G1029" s="1" t="s">
        <v>53</v>
      </c>
      <c r="H1029" s="1" t="s">
        <v>442</v>
      </c>
      <c r="I1029" s="1" t="s">
        <v>443</v>
      </c>
      <c r="J1029" s="1" t="s">
        <v>79</v>
      </c>
      <c r="K1029" t="s">
        <v>34</v>
      </c>
      <c r="M1029" s="1" t="s">
        <v>35</v>
      </c>
      <c r="N1029" s="1">
        <v>42318949</v>
      </c>
      <c r="O1029" s="1" t="s">
        <v>105</v>
      </c>
      <c r="P1029" s="12">
        <v>44932.477326388886</v>
      </c>
      <c r="R1029" s="1" t="s">
        <v>38</v>
      </c>
      <c r="T1029" s="1" t="s">
        <v>74</v>
      </c>
      <c r="U1029" s="12">
        <v>44932.75</v>
      </c>
      <c r="V1029" s="1" t="s">
        <v>41</v>
      </c>
      <c r="W1029" s="1" t="s">
        <v>49</v>
      </c>
      <c r="Z1029" s="14">
        <v>1</v>
      </c>
      <c r="AA1029" s="14"/>
    </row>
    <row r="1030" spans="1:27" hidden="1">
      <c r="A1030" s="1">
        <v>9299274</v>
      </c>
      <c r="B1030" s="1" t="s">
        <v>101</v>
      </c>
      <c r="C1030" t="s">
        <v>1761</v>
      </c>
      <c r="E1030" s="2">
        <v>537000206001</v>
      </c>
      <c r="F1030" s="1" t="s">
        <v>29</v>
      </c>
      <c r="G1030" s="1" t="s">
        <v>53</v>
      </c>
      <c r="H1030" s="1" t="s">
        <v>442</v>
      </c>
      <c r="I1030" s="1" t="s">
        <v>443</v>
      </c>
      <c r="J1030" s="1" t="s">
        <v>79</v>
      </c>
      <c r="K1030" t="s">
        <v>34</v>
      </c>
      <c r="M1030" s="1" t="s">
        <v>35</v>
      </c>
      <c r="N1030" s="1">
        <v>42318949</v>
      </c>
      <c r="O1030" s="1" t="s">
        <v>105</v>
      </c>
      <c r="P1030" s="12">
        <v>44932.477326388886</v>
      </c>
      <c r="R1030" s="1" t="s">
        <v>38</v>
      </c>
      <c r="T1030" s="1" t="s">
        <v>74</v>
      </c>
      <c r="U1030" s="12">
        <v>44932.75</v>
      </c>
      <c r="V1030" s="1" t="s">
        <v>41</v>
      </c>
      <c r="W1030" s="1" t="s">
        <v>49</v>
      </c>
      <c r="Z1030" s="14">
        <v>1</v>
      </c>
      <c r="AA1030" s="14"/>
    </row>
    <row r="1031" spans="1:27" hidden="1">
      <c r="A1031" s="1">
        <v>9299223</v>
      </c>
      <c r="B1031" s="1" t="s">
        <v>101</v>
      </c>
      <c r="C1031" t="s">
        <v>1761</v>
      </c>
      <c r="E1031" s="2">
        <v>446000206001</v>
      </c>
      <c r="F1031" s="1" t="s">
        <v>29</v>
      </c>
      <c r="G1031" s="1" t="s">
        <v>53</v>
      </c>
      <c r="H1031" s="1" t="s">
        <v>432</v>
      </c>
      <c r="I1031" s="1" t="s">
        <v>433</v>
      </c>
      <c r="J1031" s="1" t="s">
        <v>110</v>
      </c>
      <c r="K1031" t="s">
        <v>34</v>
      </c>
      <c r="M1031" s="1" t="s">
        <v>35</v>
      </c>
      <c r="N1031" s="1">
        <v>42318949</v>
      </c>
      <c r="O1031" s="1" t="s">
        <v>105</v>
      </c>
      <c r="P1031" s="11" t="s">
        <v>1807</v>
      </c>
      <c r="R1031" s="1" t="s">
        <v>38</v>
      </c>
      <c r="T1031" s="1" t="s">
        <v>74</v>
      </c>
      <c r="U1031" s="11" t="s">
        <v>1341</v>
      </c>
      <c r="V1031" s="1" t="s">
        <v>41</v>
      </c>
      <c r="W1031" s="1" t="s">
        <v>49</v>
      </c>
      <c r="Z1031" s="14">
        <v>1</v>
      </c>
      <c r="AA1031" s="14"/>
    </row>
    <row r="1032" spans="1:27" hidden="1">
      <c r="A1032" s="1">
        <v>9299222</v>
      </c>
      <c r="B1032" s="1" t="s">
        <v>101</v>
      </c>
      <c r="C1032" t="s">
        <v>1761</v>
      </c>
      <c r="E1032" s="2">
        <v>446000206001</v>
      </c>
      <c r="F1032" s="1" t="s">
        <v>29</v>
      </c>
      <c r="G1032" s="1" t="s">
        <v>53</v>
      </c>
      <c r="H1032" s="1" t="s">
        <v>432</v>
      </c>
      <c r="I1032" s="1" t="s">
        <v>433</v>
      </c>
      <c r="J1032" s="1" t="s">
        <v>110</v>
      </c>
      <c r="K1032" t="s">
        <v>34</v>
      </c>
      <c r="M1032" s="1" t="s">
        <v>35</v>
      </c>
      <c r="N1032" s="1">
        <v>42318949</v>
      </c>
      <c r="O1032" s="1" t="s">
        <v>105</v>
      </c>
      <c r="P1032" s="12">
        <v>44932.477256944447</v>
      </c>
      <c r="R1032" s="1" t="s">
        <v>38</v>
      </c>
      <c r="T1032" s="1" t="s">
        <v>74</v>
      </c>
      <c r="U1032" s="12">
        <v>44932.75</v>
      </c>
      <c r="V1032" s="1" t="s">
        <v>41</v>
      </c>
      <c r="W1032" s="1" t="s">
        <v>49</v>
      </c>
      <c r="Z1032" s="14">
        <v>1</v>
      </c>
      <c r="AA1032" s="14"/>
    </row>
    <row r="1033" spans="1:27" hidden="1">
      <c r="A1033" s="1">
        <v>9299221</v>
      </c>
      <c r="B1033" s="1" t="s">
        <v>101</v>
      </c>
      <c r="C1033" t="s">
        <v>1761</v>
      </c>
      <c r="E1033" s="2">
        <v>446000206001</v>
      </c>
      <c r="F1033" s="1" t="s">
        <v>29</v>
      </c>
      <c r="G1033" s="1" t="s">
        <v>53</v>
      </c>
      <c r="H1033" s="1" t="s">
        <v>432</v>
      </c>
      <c r="I1033" s="1" t="s">
        <v>433</v>
      </c>
      <c r="J1033" s="1" t="s">
        <v>110</v>
      </c>
      <c r="K1033" t="s">
        <v>34</v>
      </c>
      <c r="M1033" s="1" t="s">
        <v>35</v>
      </c>
      <c r="N1033" s="1">
        <v>42318949</v>
      </c>
      <c r="O1033" s="1" t="s">
        <v>105</v>
      </c>
      <c r="P1033" s="186">
        <v>44932.477256944447</v>
      </c>
      <c r="R1033" s="1" t="s">
        <v>38</v>
      </c>
      <c r="T1033" s="1" t="s">
        <v>74</v>
      </c>
      <c r="U1033" s="186">
        <v>44932.75</v>
      </c>
      <c r="V1033" s="1" t="s">
        <v>41</v>
      </c>
      <c r="W1033" s="1" t="s">
        <v>49</v>
      </c>
      <c r="Z1033" s="14">
        <v>1</v>
      </c>
      <c r="AA1033" s="14"/>
    </row>
    <row r="1034" spans="1:27" hidden="1">
      <c r="A1034" s="1">
        <v>9299220</v>
      </c>
      <c r="B1034" s="1" t="s">
        <v>101</v>
      </c>
      <c r="C1034" t="s">
        <v>1761</v>
      </c>
      <c r="E1034" s="2">
        <v>446000206001</v>
      </c>
      <c r="F1034" s="1" t="s">
        <v>29</v>
      </c>
      <c r="G1034" s="1" t="s">
        <v>53</v>
      </c>
      <c r="H1034" s="1" t="s">
        <v>432</v>
      </c>
      <c r="I1034" s="1" t="s">
        <v>433</v>
      </c>
      <c r="J1034" s="1" t="s">
        <v>110</v>
      </c>
      <c r="K1034" t="s">
        <v>34</v>
      </c>
      <c r="M1034" s="1" t="s">
        <v>35</v>
      </c>
      <c r="N1034" s="1">
        <v>42318949</v>
      </c>
      <c r="O1034" s="1" t="s">
        <v>105</v>
      </c>
      <c r="P1034" s="12">
        <v>44932.477256944447</v>
      </c>
      <c r="R1034" s="1" t="s">
        <v>38</v>
      </c>
      <c r="T1034" s="1" t="s">
        <v>74</v>
      </c>
      <c r="U1034" s="12">
        <v>44932.75</v>
      </c>
      <c r="V1034" s="1" t="s">
        <v>41</v>
      </c>
      <c r="W1034" s="1" t="s">
        <v>49</v>
      </c>
      <c r="Z1034" s="14">
        <v>1</v>
      </c>
      <c r="AA1034" s="14"/>
    </row>
    <row r="1035" spans="1:27">
      <c r="A1035" s="1">
        <v>9299075</v>
      </c>
      <c r="B1035" s="1" t="s">
        <v>101</v>
      </c>
      <c r="C1035" t="s">
        <v>1761</v>
      </c>
      <c r="E1035" s="2">
        <v>246000206001</v>
      </c>
      <c r="F1035" s="1" t="s">
        <v>29</v>
      </c>
      <c r="G1035" s="1" t="s">
        <v>53</v>
      </c>
      <c r="H1035" s="1" t="s">
        <v>1193</v>
      </c>
      <c r="I1035" s="1" t="s">
        <v>1194</v>
      </c>
      <c r="J1035" s="1" t="s">
        <v>85</v>
      </c>
      <c r="K1035" t="s">
        <v>34</v>
      </c>
      <c r="M1035" s="1" t="s">
        <v>35</v>
      </c>
      <c r="N1035" s="1">
        <v>42318949</v>
      </c>
      <c r="O1035" s="1" t="s">
        <v>105</v>
      </c>
      <c r="P1035" s="11" t="s">
        <v>1808</v>
      </c>
      <c r="R1035" s="1" t="s">
        <v>38</v>
      </c>
      <c r="T1035" s="1" t="s">
        <v>74</v>
      </c>
      <c r="U1035" s="11" t="s">
        <v>1341</v>
      </c>
      <c r="V1035" s="1" t="s">
        <v>41</v>
      </c>
      <c r="W1035" s="1" t="s">
        <v>49</v>
      </c>
      <c r="Z1035" s="14">
        <v>1</v>
      </c>
      <c r="AA1035" s="14"/>
    </row>
    <row r="1036" spans="1:27">
      <c r="A1036" s="1">
        <v>9299074</v>
      </c>
      <c r="B1036" s="1" t="s">
        <v>101</v>
      </c>
      <c r="C1036" t="s">
        <v>1761</v>
      </c>
      <c r="E1036" s="2">
        <v>246000206001</v>
      </c>
      <c r="F1036" s="1" t="s">
        <v>29</v>
      </c>
      <c r="G1036" s="1" t="s">
        <v>53</v>
      </c>
      <c r="H1036" s="1" t="s">
        <v>1193</v>
      </c>
      <c r="I1036" s="1" t="s">
        <v>1194</v>
      </c>
      <c r="J1036" s="1" t="s">
        <v>85</v>
      </c>
      <c r="K1036" t="s">
        <v>34</v>
      </c>
      <c r="M1036" s="1" t="s">
        <v>35</v>
      </c>
      <c r="N1036" s="1">
        <v>42318949</v>
      </c>
      <c r="O1036" s="1" t="s">
        <v>105</v>
      </c>
      <c r="P1036" s="186">
        <v>44932.477048611108</v>
      </c>
      <c r="R1036" s="1" t="s">
        <v>38</v>
      </c>
      <c r="T1036" s="1" t="s">
        <v>74</v>
      </c>
      <c r="U1036" s="186">
        <v>44932.75</v>
      </c>
      <c r="V1036" s="1" t="s">
        <v>41</v>
      </c>
      <c r="W1036" s="1" t="s">
        <v>49</v>
      </c>
      <c r="Z1036" s="14">
        <v>1</v>
      </c>
      <c r="AA1036" s="14"/>
    </row>
    <row r="1037" spans="1:27">
      <c r="A1037" s="1">
        <v>9299073</v>
      </c>
      <c r="B1037" s="1" t="s">
        <v>101</v>
      </c>
      <c r="C1037" t="s">
        <v>1761</v>
      </c>
      <c r="E1037" s="2">
        <v>246000206001</v>
      </c>
      <c r="F1037" s="1" t="s">
        <v>29</v>
      </c>
      <c r="G1037" s="1" t="s">
        <v>53</v>
      </c>
      <c r="H1037" s="1" t="s">
        <v>1193</v>
      </c>
      <c r="I1037" s="1" t="s">
        <v>1194</v>
      </c>
      <c r="J1037" s="1" t="s">
        <v>85</v>
      </c>
      <c r="K1037" t="s">
        <v>34</v>
      </c>
      <c r="M1037" s="1" t="s">
        <v>35</v>
      </c>
      <c r="N1037" s="1">
        <v>42318949</v>
      </c>
      <c r="O1037" s="1" t="s">
        <v>105</v>
      </c>
      <c r="P1037" s="11" t="s">
        <v>1808</v>
      </c>
      <c r="R1037" s="1" t="s">
        <v>38</v>
      </c>
      <c r="T1037" s="1" t="s">
        <v>74</v>
      </c>
      <c r="U1037" s="11" t="s">
        <v>1341</v>
      </c>
      <c r="V1037" s="1" t="s">
        <v>41</v>
      </c>
      <c r="W1037" s="1" t="s">
        <v>49</v>
      </c>
      <c r="Z1037" s="14">
        <v>1</v>
      </c>
      <c r="AA1037" s="14"/>
    </row>
    <row r="1038" spans="1:27">
      <c r="A1038" s="1">
        <v>9299072</v>
      </c>
      <c r="B1038" s="1" t="s">
        <v>101</v>
      </c>
      <c r="C1038" t="s">
        <v>1761</v>
      </c>
      <c r="E1038" s="2">
        <v>246000206001</v>
      </c>
      <c r="F1038" s="1" t="s">
        <v>29</v>
      </c>
      <c r="G1038" s="1" t="s">
        <v>53</v>
      </c>
      <c r="H1038" s="1" t="s">
        <v>1193</v>
      </c>
      <c r="I1038" s="1" t="s">
        <v>1194</v>
      </c>
      <c r="J1038" s="1" t="s">
        <v>85</v>
      </c>
      <c r="K1038" t="s">
        <v>34</v>
      </c>
      <c r="M1038" s="1" t="s">
        <v>35</v>
      </c>
      <c r="N1038" s="1">
        <v>42318949</v>
      </c>
      <c r="O1038" s="1" t="s">
        <v>105</v>
      </c>
      <c r="P1038" s="11" t="s">
        <v>1808</v>
      </c>
      <c r="R1038" s="1" t="s">
        <v>38</v>
      </c>
      <c r="T1038" s="1" t="s">
        <v>74</v>
      </c>
      <c r="U1038" s="11" t="s">
        <v>1341</v>
      </c>
      <c r="V1038" s="1" t="s">
        <v>41</v>
      </c>
      <c r="W1038" s="1" t="s">
        <v>49</v>
      </c>
      <c r="Z1038" s="14">
        <v>1</v>
      </c>
      <c r="AA1038" s="14"/>
    </row>
    <row r="1039" spans="1:27" hidden="1">
      <c r="A1039" s="1">
        <v>9299071</v>
      </c>
      <c r="B1039" s="1" t="s">
        <v>101</v>
      </c>
      <c r="C1039" t="s">
        <v>1761</v>
      </c>
      <c r="E1039" s="2">
        <v>244000206001</v>
      </c>
      <c r="F1039" s="1" t="s">
        <v>29</v>
      </c>
      <c r="G1039" s="1" t="s">
        <v>53</v>
      </c>
      <c r="H1039" s="1" t="s">
        <v>313</v>
      </c>
      <c r="I1039" s="1" t="s">
        <v>314</v>
      </c>
      <c r="J1039" s="1" t="s">
        <v>56</v>
      </c>
      <c r="K1039" t="s">
        <v>34</v>
      </c>
      <c r="M1039" s="1" t="s">
        <v>35</v>
      </c>
      <c r="N1039" s="1">
        <v>42318949</v>
      </c>
      <c r="O1039" s="1" t="s">
        <v>105</v>
      </c>
      <c r="P1039" s="11" t="s">
        <v>1809</v>
      </c>
      <c r="R1039" s="1" t="s">
        <v>38</v>
      </c>
      <c r="T1039" s="1" t="s">
        <v>74</v>
      </c>
      <c r="U1039" s="11" t="s">
        <v>1341</v>
      </c>
      <c r="V1039" s="1" t="s">
        <v>41</v>
      </c>
      <c r="W1039" s="1" t="s">
        <v>49</v>
      </c>
      <c r="Z1039" s="14">
        <v>1</v>
      </c>
      <c r="AA1039" s="14"/>
    </row>
    <row r="1040" spans="1:27" hidden="1">
      <c r="A1040" s="1">
        <v>9299059</v>
      </c>
      <c r="B1040" s="1" t="s">
        <v>101</v>
      </c>
      <c r="C1040" t="s">
        <v>1761</v>
      </c>
      <c r="E1040" s="2">
        <v>220000206001</v>
      </c>
      <c r="F1040" s="1" t="s">
        <v>29</v>
      </c>
      <c r="G1040" s="1" t="s">
        <v>53</v>
      </c>
      <c r="H1040" s="1" t="s">
        <v>588</v>
      </c>
      <c r="I1040" s="1" t="s">
        <v>589</v>
      </c>
      <c r="J1040" s="1" t="s">
        <v>110</v>
      </c>
      <c r="K1040" t="s">
        <v>34</v>
      </c>
      <c r="M1040" s="1" t="s">
        <v>35</v>
      </c>
      <c r="N1040" s="1">
        <v>42318949</v>
      </c>
      <c r="O1040" s="1" t="s">
        <v>105</v>
      </c>
      <c r="P1040" s="186">
        <v>44932.477025462962</v>
      </c>
      <c r="R1040" s="1" t="s">
        <v>38</v>
      </c>
      <c r="T1040" s="1" t="s">
        <v>74</v>
      </c>
      <c r="U1040" s="186">
        <v>44932.75</v>
      </c>
      <c r="V1040" s="1" t="s">
        <v>41</v>
      </c>
      <c r="W1040" s="1" t="s">
        <v>49</v>
      </c>
      <c r="Z1040" s="14">
        <v>1</v>
      </c>
      <c r="AA1040" s="14"/>
    </row>
    <row r="1041" spans="1:27" hidden="1">
      <c r="A1041" s="1">
        <v>9299058</v>
      </c>
      <c r="B1041" s="1" t="s">
        <v>101</v>
      </c>
      <c r="C1041" t="s">
        <v>1761</v>
      </c>
      <c r="E1041" s="2">
        <v>220000206001</v>
      </c>
      <c r="F1041" s="1" t="s">
        <v>29</v>
      </c>
      <c r="G1041" s="1" t="s">
        <v>53</v>
      </c>
      <c r="H1041" s="1" t="s">
        <v>588</v>
      </c>
      <c r="I1041" s="1" t="s">
        <v>589</v>
      </c>
      <c r="J1041" s="1" t="s">
        <v>110</v>
      </c>
      <c r="K1041" t="s">
        <v>34</v>
      </c>
      <c r="M1041" s="1" t="s">
        <v>35</v>
      </c>
      <c r="N1041" s="1">
        <v>42318949</v>
      </c>
      <c r="O1041" s="1" t="s">
        <v>105</v>
      </c>
      <c r="P1041" s="186">
        <v>44932.477025462962</v>
      </c>
      <c r="R1041" s="1" t="s">
        <v>38</v>
      </c>
      <c r="T1041" s="1" t="s">
        <v>74</v>
      </c>
      <c r="U1041" s="186">
        <v>44932.75</v>
      </c>
      <c r="V1041" s="1" t="s">
        <v>41</v>
      </c>
      <c r="W1041" s="1" t="s">
        <v>49</v>
      </c>
      <c r="Z1041" s="14">
        <v>1</v>
      </c>
      <c r="AA1041" s="14"/>
    </row>
    <row r="1042" spans="1:27" hidden="1">
      <c r="A1042" s="1">
        <v>9299057</v>
      </c>
      <c r="B1042" s="1" t="s">
        <v>101</v>
      </c>
      <c r="C1042" t="s">
        <v>1761</v>
      </c>
      <c r="E1042" s="2">
        <v>220000206001</v>
      </c>
      <c r="F1042" s="1" t="s">
        <v>29</v>
      </c>
      <c r="G1042" s="1" t="s">
        <v>53</v>
      </c>
      <c r="H1042" s="1" t="s">
        <v>588</v>
      </c>
      <c r="I1042" s="1" t="s">
        <v>589</v>
      </c>
      <c r="J1042" s="1" t="s">
        <v>110</v>
      </c>
      <c r="K1042" t="s">
        <v>34</v>
      </c>
      <c r="M1042" s="1" t="s">
        <v>35</v>
      </c>
      <c r="N1042" s="1">
        <v>42318949</v>
      </c>
      <c r="O1042" s="1" t="s">
        <v>105</v>
      </c>
      <c r="P1042" s="186">
        <v>44932.477025462962</v>
      </c>
      <c r="R1042" s="1" t="s">
        <v>38</v>
      </c>
      <c r="T1042" s="1" t="s">
        <v>74</v>
      </c>
      <c r="U1042" s="186">
        <v>44932.75</v>
      </c>
      <c r="V1042" s="1" t="s">
        <v>41</v>
      </c>
      <c r="W1042" s="1" t="s">
        <v>49</v>
      </c>
      <c r="Z1042" s="14">
        <v>1</v>
      </c>
      <c r="AA1042" s="14"/>
    </row>
    <row r="1043" spans="1:27" hidden="1">
      <c r="A1043" s="1">
        <v>9299056</v>
      </c>
      <c r="B1043" s="1" t="s">
        <v>101</v>
      </c>
      <c r="C1043" t="s">
        <v>1761</v>
      </c>
      <c r="E1043" s="2">
        <v>220000206001</v>
      </c>
      <c r="F1043" s="1" t="s">
        <v>29</v>
      </c>
      <c r="G1043" s="1" t="s">
        <v>53</v>
      </c>
      <c r="H1043" s="1" t="s">
        <v>588</v>
      </c>
      <c r="I1043" s="1" t="s">
        <v>589</v>
      </c>
      <c r="J1043" s="1" t="s">
        <v>110</v>
      </c>
      <c r="K1043" t="s">
        <v>34</v>
      </c>
      <c r="M1043" s="1" t="s">
        <v>35</v>
      </c>
      <c r="N1043" s="1">
        <v>42318949</v>
      </c>
      <c r="O1043" s="1" t="s">
        <v>105</v>
      </c>
      <c r="P1043" s="186">
        <v>44932.477025462962</v>
      </c>
      <c r="R1043" s="1" t="s">
        <v>38</v>
      </c>
      <c r="T1043" s="1" t="s">
        <v>74</v>
      </c>
      <c r="U1043" s="186">
        <v>44932.75</v>
      </c>
      <c r="V1043" s="1" t="s">
        <v>41</v>
      </c>
      <c r="W1043" s="1" t="s">
        <v>49</v>
      </c>
      <c r="Z1043" s="14">
        <v>1</v>
      </c>
      <c r="AA1043" s="14"/>
    </row>
    <row r="1044" spans="1:27" hidden="1">
      <c r="A1044" s="1">
        <v>9299055</v>
      </c>
      <c r="B1044" s="1" t="s">
        <v>101</v>
      </c>
      <c r="C1044" t="s">
        <v>1761</v>
      </c>
      <c r="E1044" s="2">
        <v>220000206001</v>
      </c>
      <c r="F1044" s="1" t="s">
        <v>29</v>
      </c>
      <c r="G1044" s="1" t="s">
        <v>53</v>
      </c>
      <c r="H1044" s="1" t="s">
        <v>588</v>
      </c>
      <c r="I1044" s="1" t="s">
        <v>589</v>
      </c>
      <c r="J1044" s="1" t="s">
        <v>110</v>
      </c>
      <c r="K1044" t="s">
        <v>34</v>
      </c>
      <c r="M1044" s="1" t="s">
        <v>35</v>
      </c>
      <c r="N1044" s="1">
        <v>42318949</v>
      </c>
      <c r="O1044" s="1" t="s">
        <v>105</v>
      </c>
      <c r="P1044" s="186">
        <v>44932.477013888885</v>
      </c>
      <c r="R1044" s="1" t="s">
        <v>38</v>
      </c>
      <c r="T1044" s="1" t="s">
        <v>74</v>
      </c>
      <c r="U1044" s="186">
        <v>44932.75</v>
      </c>
      <c r="V1044" s="1" t="s">
        <v>41</v>
      </c>
      <c r="W1044" s="1" t="s">
        <v>49</v>
      </c>
      <c r="Z1044" s="14">
        <v>1</v>
      </c>
      <c r="AA1044" s="14"/>
    </row>
    <row r="1045" spans="1:27">
      <c r="A1045" s="1">
        <v>9298529</v>
      </c>
      <c r="B1045" s="1" t="s">
        <v>101</v>
      </c>
      <c r="C1045" t="s">
        <v>1810</v>
      </c>
      <c r="E1045" s="2">
        <v>9705000206001</v>
      </c>
      <c r="F1045" s="1" t="s">
        <v>29</v>
      </c>
      <c r="G1045" s="1" t="s">
        <v>53</v>
      </c>
      <c r="H1045" s="1" t="s">
        <v>204</v>
      </c>
      <c r="I1045" s="1" t="s">
        <v>205</v>
      </c>
      <c r="J1045" s="1" t="s">
        <v>90</v>
      </c>
      <c r="K1045" t="s">
        <v>34</v>
      </c>
      <c r="M1045" s="1" t="s">
        <v>35</v>
      </c>
      <c r="N1045" s="1">
        <v>42318949</v>
      </c>
      <c r="O1045" s="1" t="s">
        <v>105</v>
      </c>
      <c r="P1045" s="186">
        <v>44932.437754629631</v>
      </c>
      <c r="R1045" s="1" t="s">
        <v>38</v>
      </c>
      <c r="T1045" s="1" t="s">
        <v>74</v>
      </c>
      <c r="U1045" s="186">
        <v>44932.75</v>
      </c>
      <c r="V1045" s="1" t="s">
        <v>41</v>
      </c>
      <c r="W1045" s="1" t="s">
        <v>49</v>
      </c>
      <c r="Z1045" s="14">
        <v>1</v>
      </c>
      <c r="AA1045" s="14"/>
    </row>
    <row r="1046" spans="1:27" hidden="1">
      <c r="A1046" s="1">
        <v>9298528</v>
      </c>
      <c r="B1046" s="1" t="s">
        <v>101</v>
      </c>
      <c r="C1046" t="s">
        <v>1810</v>
      </c>
      <c r="E1046" s="2">
        <v>9704000206001</v>
      </c>
      <c r="F1046" s="1" t="s">
        <v>29</v>
      </c>
      <c r="G1046" s="1" t="s">
        <v>53</v>
      </c>
      <c r="H1046" s="1" t="s">
        <v>488</v>
      </c>
      <c r="I1046" s="1" t="s">
        <v>489</v>
      </c>
      <c r="J1046" s="1" t="s">
        <v>164</v>
      </c>
      <c r="K1046" t="s">
        <v>34</v>
      </c>
      <c r="M1046" s="1" t="s">
        <v>35</v>
      </c>
      <c r="N1046" s="1">
        <v>42318949</v>
      </c>
      <c r="O1046" s="1" t="s">
        <v>105</v>
      </c>
      <c r="P1046" s="186">
        <v>44932.437754629631</v>
      </c>
      <c r="R1046" s="1" t="s">
        <v>38</v>
      </c>
      <c r="T1046" s="1" t="s">
        <v>74</v>
      </c>
      <c r="U1046" s="186">
        <v>44932.75</v>
      </c>
      <c r="V1046" s="1" t="s">
        <v>41</v>
      </c>
      <c r="W1046" s="1" t="s">
        <v>49</v>
      </c>
      <c r="Z1046" s="14">
        <v>1</v>
      </c>
      <c r="AA1046" s="14"/>
    </row>
    <row r="1047" spans="1:27">
      <c r="A1047" s="1">
        <v>9298527</v>
      </c>
      <c r="B1047" s="1" t="s">
        <v>101</v>
      </c>
      <c r="C1047" t="s">
        <v>1810</v>
      </c>
      <c r="E1047" s="2">
        <v>9700000206001</v>
      </c>
      <c r="F1047" s="1" t="s">
        <v>29</v>
      </c>
      <c r="G1047" s="1" t="s">
        <v>53</v>
      </c>
      <c r="H1047" s="1" t="s">
        <v>209</v>
      </c>
      <c r="I1047" s="1" t="s">
        <v>210</v>
      </c>
      <c r="J1047" s="1" t="s">
        <v>211</v>
      </c>
      <c r="K1047" t="s">
        <v>34</v>
      </c>
      <c r="M1047" s="1" t="s">
        <v>35</v>
      </c>
      <c r="N1047" s="1">
        <v>42318949</v>
      </c>
      <c r="O1047" s="1" t="s">
        <v>105</v>
      </c>
      <c r="P1047" s="186">
        <v>44932.437754629631</v>
      </c>
      <c r="R1047" s="1" t="s">
        <v>38</v>
      </c>
      <c r="T1047" s="1" t="s">
        <v>74</v>
      </c>
      <c r="U1047" s="186">
        <v>44932.75</v>
      </c>
      <c r="V1047" s="1" t="s">
        <v>41</v>
      </c>
      <c r="W1047" s="1" t="s">
        <v>49</v>
      </c>
      <c r="Z1047" s="14">
        <v>1</v>
      </c>
      <c r="AA1047" s="14"/>
    </row>
    <row r="1048" spans="1:27" hidden="1">
      <c r="A1048" s="1">
        <v>9298495</v>
      </c>
      <c r="B1048" s="1" t="s">
        <v>101</v>
      </c>
      <c r="C1048" t="s">
        <v>1810</v>
      </c>
      <c r="E1048" s="2">
        <v>9661000206001</v>
      </c>
      <c r="F1048" s="1" t="s">
        <v>29</v>
      </c>
      <c r="G1048" s="1" t="s">
        <v>53</v>
      </c>
      <c r="H1048" s="1" t="s">
        <v>31</v>
      </c>
      <c r="I1048" s="1" t="s">
        <v>32</v>
      </c>
      <c r="J1048" s="1" t="s">
        <v>33</v>
      </c>
      <c r="K1048" t="s">
        <v>34</v>
      </c>
      <c r="M1048" s="1" t="s">
        <v>35</v>
      </c>
      <c r="N1048" s="1">
        <v>42318949</v>
      </c>
      <c r="O1048" s="1" t="s">
        <v>105</v>
      </c>
      <c r="P1048" s="186">
        <v>44932.437696759262</v>
      </c>
      <c r="R1048" s="1" t="s">
        <v>38</v>
      </c>
      <c r="T1048" s="1" t="s">
        <v>74</v>
      </c>
      <c r="U1048" s="186">
        <v>44932.75</v>
      </c>
      <c r="V1048" s="1" t="s">
        <v>41</v>
      </c>
      <c r="W1048" s="1" t="s">
        <v>42</v>
      </c>
      <c r="Z1048" s="14">
        <v>1</v>
      </c>
      <c r="AA1048" s="14"/>
    </row>
    <row r="1049" spans="1:27" hidden="1">
      <c r="A1049" s="1">
        <v>9298454</v>
      </c>
      <c r="B1049" s="1" t="s">
        <v>101</v>
      </c>
      <c r="C1049" t="s">
        <v>1810</v>
      </c>
      <c r="E1049" s="2">
        <v>9406000206001</v>
      </c>
      <c r="F1049" s="1" t="s">
        <v>29</v>
      </c>
      <c r="G1049" s="1" t="s">
        <v>53</v>
      </c>
      <c r="H1049" s="1" t="s">
        <v>114</v>
      </c>
      <c r="I1049" s="1" t="s">
        <v>115</v>
      </c>
      <c r="J1049" s="1" t="s">
        <v>46</v>
      </c>
      <c r="K1049" t="s">
        <v>34</v>
      </c>
      <c r="M1049" s="1" t="s">
        <v>35</v>
      </c>
      <c r="N1049" s="1">
        <v>42318949</v>
      </c>
      <c r="O1049" s="1" t="s">
        <v>105</v>
      </c>
      <c r="P1049" s="186">
        <v>44932.437627314815</v>
      </c>
      <c r="R1049" s="1" t="s">
        <v>38</v>
      </c>
      <c r="T1049" s="1" t="s">
        <v>74</v>
      </c>
      <c r="U1049" s="186">
        <v>44932.75</v>
      </c>
      <c r="V1049" s="1" t="s">
        <v>41</v>
      </c>
      <c r="W1049" s="1" t="s">
        <v>49</v>
      </c>
      <c r="Z1049" s="14">
        <v>1</v>
      </c>
      <c r="AA1049" s="14"/>
    </row>
    <row r="1050" spans="1:27" hidden="1">
      <c r="A1050" s="1">
        <v>9298409</v>
      </c>
      <c r="B1050" s="1" t="s">
        <v>101</v>
      </c>
      <c r="C1050" t="s">
        <v>1810</v>
      </c>
      <c r="E1050" s="2">
        <v>8634000206001</v>
      </c>
      <c r="F1050" s="1" t="s">
        <v>29</v>
      </c>
      <c r="G1050" s="1" t="s">
        <v>53</v>
      </c>
      <c r="H1050" s="1" t="s">
        <v>293</v>
      </c>
      <c r="I1050" s="1" t="s">
        <v>294</v>
      </c>
      <c r="J1050" s="1" t="s">
        <v>46</v>
      </c>
      <c r="K1050" t="s">
        <v>34</v>
      </c>
      <c r="M1050" s="1" t="s">
        <v>35</v>
      </c>
      <c r="N1050" s="1">
        <v>42318949</v>
      </c>
      <c r="O1050" s="1" t="s">
        <v>105</v>
      </c>
      <c r="P1050" s="186">
        <v>44932.437557870369</v>
      </c>
      <c r="R1050" s="1" t="s">
        <v>38</v>
      </c>
      <c r="T1050" s="1" t="s">
        <v>74</v>
      </c>
      <c r="U1050" s="186">
        <v>44932.75</v>
      </c>
      <c r="V1050" s="1" t="s">
        <v>41</v>
      </c>
      <c r="W1050" s="1" t="s">
        <v>49</v>
      </c>
      <c r="Z1050" s="14">
        <v>1</v>
      </c>
      <c r="AA1050" s="14"/>
    </row>
    <row r="1051" spans="1:27" hidden="1">
      <c r="A1051" s="1">
        <v>9298408</v>
      </c>
      <c r="B1051" s="1" t="s">
        <v>101</v>
      </c>
      <c r="C1051" t="s">
        <v>1810</v>
      </c>
      <c r="E1051" s="2">
        <v>8633000206001</v>
      </c>
      <c r="F1051" s="1" t="s">
        <v>29</v>
      </c>
      <c r="G1051" s="1" t="s">
        <v>53</v>
      </c>
      <c r="H1051" s="1" t="s">
        <v>835</v>
      </c>
      <c r="I1051" s="1" t="s">
        <v>836</v>
      </c>
      <c r="J1051" s="1" t="s">
        <v>46</v>
      </c>
      <c r="K1051" t="s">
        <v>34</v>
      </c>
      <c r="M1051" s="1" t="s">
        <v>35</v>
      </c>
      <c r="N1051" s="1">
        <v>42318949</v>
      </c>
      <c r="O1051" s="1" t="s">
        <v>105</v>
      </c>
      <c r="P1051" s="186">
        <v>44932.4375462963</v>
      </c>
      <c r="R1051" s="1" t="s">
        <v>38</v>
      </c>
      <c r="T1051" s="1" t="s">
        <v>74</v>
      </c>
      <c r="U1051" s="186">
        <v>44932.75</v>
      </c>
      <c r="V1051" s="1" t="s">
        <v>41</v>
      </c>
      <c r="W1051" s="1" t="s">
        <v>49</v>
      </c>
      <c r="Z1051" s="14">
        <v>1</v>
      </c>
      <c r="AA1051" s="14"/>
    </row>
    <row r="1052" spans="1:27" hidden="1">
      <c r="A1052" s="1">
        <v>9298263</v>
      </c>
      <c r="B1052" s="1" t="s">
        <v>101</v>
      </c>
      <c r="C1052" t="s">
        <v>1810</v>
      </c>
      <c r="E1052" s="2">
        <v>8074000206001</v>
      </c>
      <c r="F1052" s="1" t="s">
        <v>29</v>
      </c>
      <c r="G1052" s="1" t="s">
        <v>53</v>
      </c>
      <c r="H1052" s="1" t="s">
        <v>1257</v>
      </c>
      <c r="I1052" s="1" t="s">
        <v>1258</v>
      </c>
      <c r="J1052" s="1" t="s">
        <v>33</v>
      </c>
      <c r="K1052" t="s">
        <v>34</v>
      </c>
      <c r="M1052" s="1" t="s">
        <v>35</v>
      </c>
      <c r="N1052" s="1">
        <v>42318949</v>
      </c>
      <c r="O1052" s="1" t="s">
        <v>105</v>
      </c>
      <c r="P1052" s="186">
        <v>44932.437280092592</v>
      </c>
      <c r="R1052" s="1" t="s">
        <v>38</v>
      </c>
      <c r="T1052" s="1" t="s">
        <v>74</v>
      </c>
      <c r="U1052" s="186">
        <v>44932.75</v>
      </c>
      <c r="V1052" s="1" t="s">
        <v>41</v>
      </c>
      <c r="W1052" s="1" t="s">
        <v>49</v>
      </c>
      <c r="Z1052" s="14">
        <v>1</v>
      </c>
      <c r="AA1052" s="14"/>
    </row>
    <row r="1053" spans="1:27" hidden="1">
      <c r="A1053" s="1">
        <v>9298238</v>
      </c>
      <c r="B1053" s="1" t="s">
        <v>101</v>
      </c>
      <c r="C1053" t="s">
        <v>1810</v>
      </c>
      <c r="E1053" s="2">
        <v>7420000206001</v>
      </c>
      <c r="F1053" s="1" t="s">
        <v>29</v>
      </c>
      <c r="G1053" s="1" t="s">
        <v>53</v>
      </c>
      <c r="H1053" s="1" t="s">
        <v>1076</v>
      </c>
      <c r="I1053" s="1" t="s">
        <v>1077</v>
      </c>
      <c r="J1053" s="1" t="s">
        <v>46</v>
      </c>
      <c r="K1053" t="s">
        <v>34</v>
      </c>
      <c r="M1053" s="1" t="s">
        <v>35</v>
      </c>
      <c r="N1053" s="1">
        <v>42318949</v>
      </c>
      <c r="O1053" s="1" t="s">
        <v>105</v>
      </c>
      <c r="P1053" s="186">
        <v>44932.4372337963</v>
      </c>
      <c r="R1053" s="1" t="s">
        <v>38</v>
      </c>
      <c r="T1053" s="1" t="s">
        <v>74</v>
      </c>
      <c r="U1053" s="186">
        <v>44932.75</v>
      </c>
      <c r="V1053" s="1" t="s">
        <v>41</v>
      </c>
      <c r="W1053" s="1" t="s">
        <v>49</v>
      </c>
      <c r="Z1053" s="14">
        <v>1</v>
      </c>
      <c r="AA1053" s="14"/>
    </row>
    <row r="1054" spans="1:27" hidden="1">
      <c r="A1054" s="1">
        <v>9297776</v>
      </c>
      <c r="B1054" s="1" t="s">
        <v>101</v>
      </c>
      <c r="C1054" t="s">
        <v>1810</v>
      </c>
      <c r="E1054" s="2">
        <v>5898000206001</v>
      </c>
      <c r="F1054" s="1" t="s">
        <v>29</v>
      </c>
      <c r="G1054" s="1" t="s">
        <v>53</v>
      </c>
      <c r="H1054" s="1" t="s">
        <v>365</v>
      </c>
      <c r="I1054" s="1" t="s">
        <v>366</v>
      </c>
      <c r="J1054" s="1" t="s">
        <v>164</v>
      </c>
      <c r="K1054" t="s">
        <v>34</v>
      </c>
      <c r="M1054" s="1" t="s">
        <v>35</v>
      </c>
      <c r="N1054" s="1">
        <v>42318949</v>
      </c>
      <c r="O1054" s="1" t="s">
        <v>105</v>
      </c>
      <c r="P1054" s="186">
        <v>44932.436226851853</v>
      </c>
      <c r="R1054" s="1" t="s">
        <v>38</v>
      </c>
      <c r="T1054" s="1" t="s">
        <v>74</v>
      </c>
      <c r="U1054" s="186">
        <v>44932.75</v>
      </c>
      <c r="V1054" s="1" t="s">
        <v>41</v>
      </c>
      <c r="W1054" s="1" t="s">
        <v>49</v>
      </c>
      <c r="Z1054" s="14">
        <v>1</v>
      </c>
      <c r="AA1054" s="14"/>
    </row>
    <row r="1055" spans="1:27" hidden="1">
      <c r="A1055" s="1">
        <v>9297748</v>
      </c>
      <c r="B1055" s="1" t="s">
        <v>101</v>
      </c>
      <c r="C1055" t="s">
        <v>1810</v>
      </c>
      <c r="E1055" s="2">
        <v>5816000206001</v>
      </c>
      <c r="F1055" s="1" t="s">
        <v>29</v>
      </c>
      <c r="G1055" s="1" t="s">
        <v>53</v>
      </c>
      <c r="H1055" s="1" t="s">
        <v>412</v>
      </c>
      <c r="I1055" s="1" t="s">
        <v>413</v>
      </c>
      <c r="J1055" s="1" t="s">
        <v>46</v>
      </c>
      <c r="K1055" t="s">
        <v>34</v>
      </c>
      <c r="M1055" s="1" t="s">
        <v>35</v>
      </c>
      <c r="N1055" s="1">
        <v>42318949</v>
      </c>
      <c r="O1055" s="1" t="s">
        <v>105</v>
      </c>
      <c r="P1055" s="186">
        <v>44932.436122685183</v>
      </c>
      <c r="R1055" s="1" t="s">
        <v>38</v>
      </c>
      <c r="T1055" s="1" t="s">
        <v>74</v>
      </c>
      <c r="U1055" s="186">
        <v>44932.75</v>
      </c>
      <c r="V1055" s="1" t="s">
        <v>41</v>
      </c>
      <c r="W1055" s="1" t="s">
        <v>49</v>
      </c>
      <c r="Z1055" s="14">
        <v>1</v>
      </c>
      <c r="AA1055" s="14"/>
    </row>
    <row r="1056" spans="1:27" hidden="1">
      <c r="A1056" s="1">
        <v>9297710</v>
      </c>
      <c r="B1056" s="1" t="s">
        <v>101</v>
      </c>
      <c r="C1056" t="s">
        <v>1810</v>
      </c>
      <c r="E1056" s="2">
        <v>5755000206001</v>
      </c>
      <c r="F1056" s="1" t="s">
        <v>29</v>
      </c>
      <c r="G1056" s="1" t="s">
        <v>53</v>
      </c>
      <c r="H1056" s="1" t="s">
        <v>841</v>
      </c>
      <c r="I1056" s="1" t="s">
        <v>842</v>
      </c>
      <c r="J1056" s="1" t="s">
        <v>46</v>
      </c>
      <c r="K1056" t="s">
        <v>34</v>
      </c>
      <c r="M1056" s="1" t="s">
        <v>35</v>
      </c>
      <c r="N1056" s="1">
        <v>42318949</v>
      </c>
      <c r="O1056" s="1" t="s">
        <v>105</v>
      </c>
      <c r="P1056" s="186">
        <v>44932.436064814814</v>
      </c>
      <c r="R1056" s="1" t="s">
        <v>38</v>
      </c>
      <c r="T1056" s="1" t="s">
        <v>74</v>
      </c>
      <c r="U1056" s="186">
        <v>44932.75</v>
      </c>
      <c r="V1056" s="1" t="s">
        <v>41</v>
      </c>
      <c r="W1056" s="1" t="s">
        <v>49</v>
      </c>
      <c r="Z1056" s="14">
        <v>1</v>
      </c>
      <c r="AA1056" s="14"/>
    </row>
    <row r="1057" spans="1:27" hidden="1">
      <c r="A1057" s="1">
        <v>9297706</v>
      </c>
      <c r="B1057" s="1" t="s">
        <v>101</v>
      </c>
      <c r="C1057" t="s">
        <v>1810</v>
      </c>
      <c r="E1057" s="2">
        <v>5749000206001</v>
      </c>
      <c r="F1057" s="1" t="s">
        <v>29</v>
      </c>
      <c r="G1057" s="1" t="s">
        <v>53</v>
      </c>
      <c r="H1057" s="1" t="s">
        <v>1811</v>
      </c>
      <c r="I1057" s="1" t="s">
        <v>1812</v>
      </c>
      <c r="J1057" s="1" t="s">
        <v>33</v>
      </c>
      <c r="K1057" t="s">
        <v>34</v>
      </c>
      <c r="M1057" s="1" t="s">
        <v>35</v>
      </c>
      <c r="N1057" s="1">
        <v>42318949</v>
      </c>
      <c r="O1057" s="1" t="s">
        <v>105</v>
      </c>
      <c r="P1057" s="186">
        <v>44932.436053240737</v>
      </c>
      <c r="R1057" s="1" t="s">
        <v>38</v>
      </c>
      <c r="T1057" s="1" t="s">
        <v>74</v>
      </c>
      <c r="U1057" s="186">
        <v>44932.75</v>
      </c>
      <c r="V1057" s="1" t="s">
        <v>41</v>
      </c>
      <c r="W1057" s="1" t="s">
        <v>42</v>
      </c>
      <c r="Z1057" s="14">
        <v>1</v>
      </c>
      <c r="AA1057" s="14"/>
    </row>
    <row r="1058" spans="1:27" hidden="1">
      <c r="A1058" s="1">
        <v>9297704</v>
      </c>
      <c r="B1058" s="1" t="s">
        <v>101</v>
      </c>
      <c r="C1058" t="s">
        <v>1810</v>
      </c>
      <c r="E1058" s="2">
        <v>5742000206001</v>
      </c>
      <c r="F1058" s="1" t="s">
        <v>29</v>
      </c>
      <c r="G1058" s="1" t="s">
        <v>53</v>
      </c>
      <c r="H1058" s="1" t="s">
        <v>430</v>
      </c>
      <c r="I1058" s="1" t="s">
        <v>431</v>
      </c>
      <c r="J1058" s="1" t="s">
        <v>79</v>
      </c>
      <c r="K1058" t="s">
        <v>34</v>
      </c>
      <c r="M1058" s="1" t="s">
        <v>35</v>
      </c>
      <c r="N1058" s="1">
        <v>42318949</v>
      </c>
      <c r="O1058" s="1" t="s">
        <v>105</v>
      </c>
      <c r="P1058" s="186">
        <v>44932.436053240737</v>
      </c>
      <c r="R1058" s="1" t="s">
        <v>38</v>
      </c>
      <c r="T1058" s="1" t="s">
        <v>74</v>
      </c>
      <c r="U1058" s="186">
        <v>44932.75</v>
      </c>
      <c r="V1058" s="1" t="s">
        <v>41</v>
      </c>
      <c r="W1058" s="1" t="s">
        <v>49</v>
      </c>
      <c r="Z1058" s="14">
        <v>1</v>
      </c>
      <c r="AA1058" s="14"/>
    </row>
    <row r="1059" spans="1:27" hidden="1">
      <c r="A1059" s="1">
        <v>9297703</v>
      </c>
      <c r="B1059" s="1" t="s">
        <v>101</v>
      </c>
      <c r="C1059" t="s">
        <v>1810</v>
      </c>
      <c r="E1059" s="2">
        <v>5740000206001</v>
      </c>
      <c r="F1059" s="1" t="s">
        <v>29</v>
      </c>
      <c r="G1059" s="1" t="s">
        <v>53</v>
      </c>
      <c r="H1059" s="1" t="s">
        <v>626</v>
      </c>
      <c r="I1059" s="1" t="s">
        <v>627</v>
      </c>
      <c r="J1059" s="1" t="s">
        <v>46</v>
      </c>
      <c r="K1059" t="s">
        <v>34</v>
      </c>
      <c r="M1059" s="1" t="s">
        <v>35</v>
      </c>
      <c r="N1059" s="1">
        <v>42318949</v>
      </c>
      <c r="O1059" s="1" t="s">
        <v>105</v>
      </c>
      <c r="P1059" s="186">
        <v>44932.436053240737</v>
      </c>
      <c r="R1059" s="1" t="s">
        <v>38</v>
      </c>
      <c r="T1059" s="1" t="s">
        <v>74</v>
      </c>
      <c r="U1059" s="186">
        <v>44932.75</v>
      </c>
      <c r="V1059" s="1" t="s">
        <v>41</v>
      </c>
      <c r="W1059" s="1" t="s">
        <v>49</v>
      </c>
      <c r="Z1059" s="14">
        <v>1</v>
      </c>
      <c r="AA1059" s="14"/>
    </row>
    <row r="1060" spans="1:27" hidden="1">
      <c r="A1060" s="1">
        <v>9297518</v>
      </c>
      <c r="B1060" s="1" t="s">
        <v>101</v>
      </c>
      <c r="C1060" t="s">
        <v>1810</v>
      </c>
      <c r="E1060" s="2">
        <v>4997000206001</v>
      </c>
      <c r="F1060" s="1" t="s">
        <v>29</v>
      </c>
      <c r="G1060" s="1" t="s">
        <v>53</v>
      </c>
      <c r="H1060" s="1" t="s">
        <v>406</v>
      </c>
      <c r="I1060" s="1" t="s">
        <v>407</v>
      </c>
      <c r="J1060" s="1" t="s">
        <v>79</v>
      </c>
      <c r="K1060" t="s">
        <v>34</v>
      </c>
      <c r="M1060" s="1" t="s">
        <v>35</v>
      </c>
      <c r="N1060" s="1">
        <v>42318949</v>
      </c>
      <c r="O1060" s="1" t="s">
        <v>105</v>
      </c>
      <c r="P1060" s="186">
        <v>44932.435624999998</v>
      </c>
      <c r="R1060" s="1" t="s">
        <v>38</v>
      </c>
      <c r="T1060" s="1" t="s">
        <v>74</v>
      </c>
      <c r="U1060" s="186">
        <v>44932.75</v>
      </c>
      <c r="V1060" s="1" t="s">
        <v>41</v>
      </c>
      <c r="W1060" s="1" t="s">
        <v>49</v>
      </c>
      <c r="Z1060" s="14">
        <v>1</v>
      </c>
      <c r="AA1060" s="14"/>
    </row>
    <row r="1061" spans="1:27" hidden="1">
      <c r="A1061" s="1">
        <v>9297506</v>
      </c>
      <c r="B1061" s="1" t="s">
        <v>101</v>
      </c>
      <c r="C1061" t="s">
        <v>1810</v>
      </c>
      <c r="E1061" s="2">
        <v>4930000206001</v>
      </c>
      <c r="F1061" s="1" t="s">
        <v>29</v>
      </c>
      <c r="G1061" s="1" t="s">
        <v>53</v>
      </c>
      <c r="H1061" s="1" t="s">
        <v>1813</v>
      </c>
      <c r="I1061" s="1" t="s">
        <v>1814</v>
      </c>
      <c r="J1061" s="1" t="s">
        <v>46</v>
      </c>
      <c r="K1061" t="s">
        <v>34</v>
      </c>
      <c r="M1061" s="1" t="s">
        <v>35</v>
      </c>
      <c r="N1061" s="1">
        <v>42318949</v>
      </c>
      <c r="O1061" s="1" t="s">
        <v>105</v>
      </c>
      <c r="P1061" s="186">
        <v>44932.435613425929</v>
      </c>
      <c r="R1061" s="1" t="s">
        <v>38</v>
      </c>
      <c r="T1061" s="1" t="s">
        <v>74</v>
      </c>
      <c r="U1061" s="186">
        <v>44932.75</v>
      </c>
      <c r="V1061" s="1" t="s">
        <v>41</v>
      </c>
      <c r="W1061" s="1" t="s">
        <v>49</v>
      </c>
      <c r="Z1061" s="14">
        <v>1</v>
      </c>
      <c r="AA1061" s="14"/>
    </row>
    <row r="1062" spans="1:27">
      <c r="A1062" s="1">
        <v>9297463</v>
      </c>
      <c r="B1062" s="1" t="s">
        <v>101</v>
      </c>
      <c r="C1062" t="s">
        <v>1810</v>
      </c>
      <c r="E1062" s="2">
        <v>4844920206001</v>
      </c>
      <c r="F1062" s="1" t="s">
        <v>29</v>
      </c>
      <c r="G1062" s="1" t="s">
        <v>53</v>
      </c>
      <c r="H1062" s="1" t="s">
        <v>1815</v>
      </c>
      <c r="I1062" s="1" t="s">
        <v>1816</v>
      </c>
      <c r="J1062" s="1" t="s">
        <v>211</v>
      </c>
      <c r="K1062" t="s">
        <v>34</v>
      </c>
      <c r="M1062" s="1" t="s">
        <v>35</v>
      </c>
      <c r="N1062" s="1">
        <v>42318949</v>
      </c>
      <c r="O1062" s="1" t="s">
        <v>105</v>
      </c>
      <c r="P1062" s="186">
        <v>44932.435555555552</v>
      </c>
      <c r="R1062" s="1" t="s">
        <v>38</v>
      </c>
      <c r="T1062" s="1" t="s">
        <v>74</v>
      </c>
      <c r="U1062" s="186">
        <v>44932.75</v>
      </c>
      <c r="V1062" s="1" t="s">
        <v>41</v>
      </c>
      <c r="W1062" s="1" t="s">
        <v>49</v>
      </c>
      <c r="Z1062" s="14">
        <v>1</v>
      </c>
      <c r="AA1062" s="14"/>
    </row>
    <row r="1063" spans="1:27" hidden="1">
      <c r="A1063" s="1">
        <v>9297342</v>
      </c>
      <c r="B1063" s="1" t="s">
        <v>101</v>
      </c>
      <c r="C1063" t="s">
        <v>1810</v>
      </c>
      <c r="E1063" s="2">
        <v>4637000206001</v>
      </c>
      <c r="F1063" s="1" t="s">
        <v>29</v>
      </c>
      <c r="G1063" s="1" t="s">
        <v>53</v>
      </c>
      <c r="H1063" s="1" t="s">
        <v>848</v>
      </c>
      <c r="I1063" s="1" t="s">
        <v>849</v>
      </c>
      <c r="J1063" s="1" t="s">
        <v>79</v>
      </c>
      <c r="K1063" t="s">
        <v>34</v>
      </c>
      <c r="M1063" s="1" t="s">
        <v>35</v>
      </c>
      <c r="N1063" s="1">
        <v>42318949</v>
      </c>
      <c r="O1063" s="1" t="s">
        <v>105</v>
      </c>
      <c r="P1063" s="186">
        <v>44932.435243055559</v>
      </c>
      <c r="R1063" s="1" t="s">
        <v>38</v>
      </c>
      <c r="T1063" s="1" t="s">
        <v>74</v>
      </c>
      <c r="U1063" s="186">
        <v>44932.75</v>
      </c>
      <c r="V1063" s="1" t="s">
        <v>41</v>
      </c>
      <c r="W1063" s="1" t="s">
        <v>49</v>
      </c>
      <c r="Z1063" s="14">
        <v>1</v>
      </c>
      <c r="AA1063" s="14"/>
    </row>
    <row r="1064" spans="1:27" hidden="1">
      <c r="A1064" s="1">
        <v>9297329</v>
      </c>
      <c r="B1064" s="1" t="s">
        <v>101</v>
      </c>
      <c r="C1064" t="s">
        <v>1810</v>
      </c>
      <c r="E1064" s="2">
        <v>4623000206001</v>
      </c>
      <c r="F1064" s="1" t="s">
        <v>29</v>
      </c>
      <c r="G1064" s="1" t="s">
        <v>53</v>
      </c>
      <c r="H1064" s="1" t="s">
        <v>669</v>
      </c>
      <c r="I1064" s="1" t="s">
        <v>670</v>
      </c>
      <c r="J1064" s="1" t="s">
        <v>33</v>
      </c>
      <c r="K1064" t="s">
        <v>34</v>
      </c>
      <c r="M1064" s="1" t="s">
        <v>35</v>
      </c>
      <c r="N1064" s="1">
        <v>42318949</v>
      </c>
      <c r="O1064" s="1" t="s">
        <v>105</v>
      </c>
      <c r="P1064" s="186">
        <v>44932.435219907406</v>
      </c>
      <c r="R1064" s="1" t="s">
        <v>38</v>
      </c>
      <c r="T1064" s="1" t="s">
        <v>74</v>
      </c>
      <c r="U1064" s="186">
        <v>44932.75</v>
      </c>
      <c r="V1064" s="1" t="s">
        <v>41</v>
      </c>
      <c r="W1064" s="1" t="s">
        <v>42</v>
      </c>
      <c r="Z1064" s="14">
        <v>1</v>
      </c>
      <c r="AA1064" s="14"/>
    </row>
    <row r="1065" spans="1:27" hidden="1">
      <c r="A1065" s="1">
        <v>9297061</v>
      </c>
      <c r="B1065" s="1" t="s">
        <v>101</v>
      </c>
      <c r="C1065" t="s">
        <v>1810</v>
      </c>
      <c r="E1065" s="2">
        <v>4235000206001</v>
      </c>
      <c r="F1065" s="1" t="s">
        <v>29</v>
      </c>
      <c r="G1065" s="1" t="s">
        <v>53</v>
      </c>
      <c r="H1065" s="1" t="s">
        <v>291</v>
      </c>
      <c r="I1065" s="1" t="s">
        <v>292</v>
      </c>
      <c r="J1065" s="1" t="s">
        <v>46</v>
      </c>
      <c r="K1065" t="s">
        <v>34</v>
      </c>
      <c r="M1065" s="1" t="s">
        <v>35</v>
      </c>
      <c r="N1065" s="1">
        <v>42318949</v>
      </c>
      <c r="O1065" s="1" t="s">
        <v>105</v>
      </c>
      <c r="P1065" s="186">
        <v>44932.434629629628</v>
      </c>
      <c r="R1065" s="1" t="s">
        <v>38</v>
      </c>
      <c r="T1065" s="1" t="s">
        <v>74</v>
      </c>
      <c r="U1065" s="186">
        <v>44932.75</v>
      </c>
      <c r="V1065" s="1" t="s">
        <v>41</v>
      </c>
      <c r="W1065" s="1" t="s">
        <v>49</v>
      </c>
      <c r="Z1065" s="14">
        <v>1</v>
      </c>
      <c r="AA1065" s="14"/>
    </row>
    <row r="1066" spans="1:27" hidden="1">
      <c r="A1066" s="1">
        <v>9296970</v>
      </c>
      <c r="B1066" s="1" t="s">
        <v>101</v>
      </c>
      <c r="C1066" t="s">
        <v>1810</v>
      </c>
      <c r="E1066" s="2">
        <v>4118000206001</v>
      </c>
      <c r="F1066" s="1" t="s">
        <v>29</v>
      </c>
      <c r="G1066" s="1" t="s">
        <v>53</v>
      </c>
      <c r="H1066" s="1" t="s">
        <v>71</v>
      </c>
      <c r="I1066" s="1" t="s">
        <v>72</v>
      </c>
      <c r="J1066" s="1" t="s">
        <v>46</v>
      </c>
      <c r="K1066" t="s">
        <v>34</v>
      </c>
      <c r="M1066" s="1" t="s">
        <v>35</v>
      </c>
      <c r="N1066" s="1">
        <v>42318949</v>
      </c>
      <c r="O1066" s="1" t="s">
        <v>105</v>
      </c>
      <c r="P1066" s="186">
        <v>44932.434421296297</v>
      </c>
      <c r="R1066" s="1" t="s">
        <v>38</v>
      </c>
      <c r="T1066" s="1" t="s">
        <v>74</v>
      </c>
      <c r="U1066" s="186">
        <v>44932.75</v>
      </c>
      <c r="V1066" s="1" t="s">
        <v>41</v>
      </c>
      <c r="W1066" s="1" t="s">
        <v>49</v>
      </c>
      <c r="Z1066" s="14">
        <v>1</v>
      </c>
      <c r="AA1066" s="14"/>
    </row>
    <row r="1067" spans="1:27" hidden="1">
      <c r="A1067" s="1">
        <v>9296940</v>
      </c>
      <c r="B1067" s="1" t="s">
        <v>101</v>
      </c>
      <c r="C1067" t="s">
        <v>1810</v>
      </c>
      <c r="E1067" s="2">
        <v>4076000206001</v>
      </c>
      <c r="F1067" s="1" t="s">
        <v>29</v>
      </c>
      <c r="G1067" s="1" t="s">
        <v>53</v>
      </c>
      <c r="H1067" s="1" t="s">
        <v>426</v>
      </c>
      <c r="I1067" s="1" t="s">
        <v>427</v>
      </c>
      <c r="J1067" s="1" t="s">
        <v>79</v>
      </c>
      <c r="K1067" t="s">
        <v>34</v>
      </c>
      <c r="M1067" s="1" t="s">
        <v>35</v>
      </c>
      <c r="N1067" s="1">
        <v>42318949</v>
      </c>
      <c r="O1067" s="1" t="s">
        <v>105</v>
      </c>
      <c r="P1067" s="11" t="s">
        <v>1817</v>
      </c>
      <c r="R1067" s="1" t="s">
        <v>38</v>
      </c>
      <c r="T1067" s="1" t="s">
        <v>74</v>
      </c>
      <c r="U1067" s="12">
        <v>44932.75</v>
      </c>
      <c r="V1067" s="1" t="s">
        <v>41</v>
      </c>
      <c r="W1067" s="1" t="s">
        <v>49</v>
      </c>
      <c r="Z1067" s="14">
        <v>1</v>
      </c>
      <c r="AA1067" s="14"/>
    </row>
    <row r="1068" spans="1:27" hidden="1">
      <c r="A1068" s="1">
        <v>9296891</v>
      </c>
      <c r="B1068" s="1" t="s">
        <v>101</v>
      </c>
      <c r="C1068" t="s">
        <v>1810</v>
      </c>
      <c r="E1068" s="2">
        <v>4012000206001</v>
      </c>
      <c r="F1068" s="1" t="s">
        <v>29</v>
      </c>
      <c r="G1068" s="1" t="s">
        <v>53</v>
      </c>
      <c r="H1068" s="1" t="s">
        <v>349</v>
      </c>
      <c r="I1068" s="1" t="s">
        <v>350</v>
      </c>
      <c r="J1068" s="1" t="s">
        <v>261</v>
      </c>
      <c r="K1068" t="s">
        <v>34</v>
      </c>
      <c r="M1068" s="1" t="s">
        <v>35</v>
      </c>
      <c r="N1068" s="1">
        <v>42318949</v>
      </c>
      <c r="O1068" s="1" t="s">
        <v>105</v>
      </c>
      <c r="P1068" s="11" t="s">
        <v>1818</v>
      </c>
      <c r="R1068" s="1" t="s">
        <v>38</v>
      </c>
      <c r="T1068" s="1" t="s">
        <v>74</v>
      </c>
      <c r="U1068" s="11" t="s">
        <v>1341</v>
      </c>
      <c r="V1068" s="1" t="s">
        <v>41</v>
      </c>
      <c r="W1068" s="1" t="s">
        <v>49</v>
      </c>
      <c r="Z1068" s="14">
        <v>1</v>
      </c>
      <c r="AA1068" s="14"/>
    </row>
    <row r="1069" spans="1:27" hidden="1">
      <c r="A1069" s="1">
        <v>9296815</v>
      </c>
      <c r="B1069" s="1" t="s">
        <v>101</v>
      </c>
      <c r="C1069" t="s">
        <v>1810</v>
      </c>
      <c r="E1069" s="2">
        <v>3924000206001</v>
      </c>
      <c r="F1069" s="1" t="s">
        <v>29</v>
      </c>
      <c r="G1069" s="1" t="s">
        <v>53</v>
      </c>
      <c r="H1069" s="1" t="s">
        <v>153</v>
      </c>
      <c r="I1069" s="1" t="s">
        <v>154</v>
      </c>
      <c r="J1069" s="1" t="s">
        <v>56</v>
      </c>
      <c r="K1069" t="s">
        <v>34</v>
      </c>
      <c r="M1069" s="1" t="s">
        <v>35</v>
      </c>
      <c r="N1069" s="1">
        <v>42318949</v>
      </c>
      <c r="O1069" s="1" t="s">
        <v>105</v>
      </c>
      <c r="P1069" s="11" t="s">
        <v>1819</v>
      </c>
      <c r="R1069" s="1" t="s">
        <v>38</v>
      </c>
      <c r="T1069" s="1" t="s">
        <v>74</v>
      </c>
      <c r="U1069" s="11" t="s">
        <v>1341</v>
      </c>
      <c r="V1069" s="1" t="s">
        <v>41</v>
      </c>
      <c r="W1069" s="1" t="s">
        <v>49</v>
      </c>
      <c r="Z1069" s="14">
        <v>1</v>
      </c>
      <c r="AA1069" s="14"/>
    </row>
    <row r="1070" spans="1:27" hidden="1">
      <c r="A1070" s="1">
        <v>9296811</v>
      </c>
      <c r="B1070" s="1" t="s">
        <v>101</v>
      </c>
      <c r="C1070" t="s">
        <v>1810</v>
      </c>
      <c r="E1070" s="2">
        <v>3918000206001</v>
      </c>
      <c r="F1070" s="1" t="s">
        <v>29</v>
      </c>
      <c r="G1070" s="1" t="s">
        <v>53</v>
      </c>
      <c r="H1070" s="1" t="s">
        <v>858</v>
      </c>
      <c r="I1070" s="1" t="s">
        <v>859</v>
      </c>
      <c r="J1070" s="1" t="s">
        <v>33</v>
      </c>
      <c r="K1070" t="s">
        <v>34</v>
      </c>
      <c r="M1070" s="1" t="s">
        <v>35</v>
      </c>
      <c r="N1070" s="1">
        <v>42318949</v>
      </c>
      <c r="O1070" s="1" t="s">
        <v>105</v>
      </c>
      <c r="P1070" s="11" t="s">
        <v>1820</v>
      </c>
      <c r="R1070" s="1" t="s">
        <v>38</v>
      </c>
      <c r="T1070" s="1" t="s">
        <v>74</v>
      </c>
      <c r="U1070" s="12">
        <v>44932.75</v>
      </c>
      <c r="V1070" s="1" t="s">
        <v>41</v>
      </c>
      <c r="W1070" s="1" t="s">
        <v>49</v>
      </c>
      <c r="Z1070" s="14">
        <v>1</v>
      </c>
      <c r="AA1070" s="14"/>
    </row>
    <row r="1071" spans="1:27">
      <c r="A1071" s="181">
        <v>9296722</v>
      </c>
      <c r="B1071" s="181" t="s">
        <v>101</v>
      </c>
      <c r="C1071" s="182" t="s">
        <v>1821</v>
      </c>
      <c r="D1071" s="183"/>
      <c r="E1071" s="183">
        <v>3802000206001</v>
      </c>
      <c r="F1071" s="181" t="s">
        <v>29</v>
      </c>
      <c r="G1071" s="181" t="s">
        <v>53</v>
      </c>
      <c r="H1071" s="181" t="s">
        <v>319</v>
      </c>
      <c r="I1071" s="181" t="s">
        <v>320</v>
      </c>
      <c r="J1071" s="181" t="s">
        <v>148</v>
      </c>
      <c r="K1071" t="s">
        <v>34</v>
      </c>
      <c r="M1071" s="1" t="s">
        <v>35</v>
      </c>
      <c r="N1071" s="1">
        <v>42318949</v>
      </c>
      <c r="O1071" s="1" t="s">
        <v>105</v>
      </c>
      <c r="P1071" s="11" t="s">
        <v>1822</v>
      </c>
      <c r="R1071" s="1" t="s">
        <v>38</v>
      </c>
      <c r="T1071" s="1" t="s">
        <v>74</v>
      </c>
      <c r="U1071" s="11" t="s">
        <v>1341</v>
      </c>
      <c r="V1071" s="1" t="s">
        <v>41</v>
      </c>
      <c r="W1071" s="1" t="s">
        <v>49</v>
      </c>
      <c r="Z1071" s="14">
        <v>1</v>
      </c>
      <c r="AA1071" s="14"/>
    </row>
    <row r="1072" spans="1:27" hidden="1">
      <c r="A1072" s="1">
        <v>9296577</v>
      </c>
      <c r="B1072" s="1" t="s">
        <v>101</v>
      </c>
      <c r="C1072" t="s">
        <v>1810</v>
      </c>
      <c r="E1072" s="2">
        <v>3613200206001</v>
      </c>
      <c r="F1072" s="1" t="s">
        <v>29</v>
      </c>
      <c r="G1072" s="1" t="s">
        <v>53</v>
      </c>
      <c r="H1072" s="1" t="s">
        <v>496</v>
      </c>
      <c r="I1072" s="1" t="s">
        <v>198</v>
      </c>
      <c r="J1072" s="1" t="s">
        <v>46</v>
      </c>
      <c r="K1072" t="s">
        <v>34</v>
      </c>
      <c r="M1072" s="1" t="s">
        <v>35</v>
      </c>
      <c r="N1072" s="1">
        <v>42318949</v>
      </c>
      <c r="O1072" s="1" t="s">
        <v>105</v>
      </c>
      <c r="P1072" s="11" t="s">
        <v>1823</v>
      </c>
      <c r="R1072" s="1" t="s">
        <v>38</v>
      </c>
      <c r="T1072" s="1" t="s">
        <v>74</v>
      </c>
      <c r="U1072" s="12">
        <v>44932.75</v>
      </c>
      <c r="V1072" s="1" t="s">
        <v>41</v>
      </c>
      <c r="W1072" s="1" t="s">
        <v>49</v>
      </c>
      <c r="Z1072" s="14">
        <v>1</v>
      </c>
      <c r="AA1072" s="14"/>
    </row>
    <row r="1073" spans="1:27" hidden="1">
      <c r="A1073" s="1">
        <v>9296500</v>
      </c>
      <c r="B1073" s="1" t="s">
        <v>101</v>
      </c>
      <c r="C1073" t="s">
        <v>1810</v>
      </c>
      <c r="E1073" s="2">
        <v>3504000206001</v>
      </c>
      <c r="F1073" s="1" t="s">
        <v>29</v>
      </c>
      <c r="G1073" s="1" t="s">
        <v>53</v>
      </c>
      <c r="H1073" s="1" t="s">
        <v>585</v>
      </c>
      <c r="I1073" s="1" t="s">
        <v>586</v>
      </c>
      <c r="J1073" s="1" t="s">
        <v>46</v>
      </c>
      <c r="K1073" t="s">
        <v>34</v>
      </c>
      <c r="M1073" s="1" t="s">
        <v>35</v>
      </c>
      <c r="N1073" s="1">
        <v>42318949</v>
      </c>
      <c r="O1073" s="1" t="s">
        <v>105</v>
      </c>
      <c r="P1073" s="11" t="s">
        <v>1824</v>
      </c>
      <c r="R1073" s="1" t="s">
        <v>38</v>
      </c>
      <c r="T1073" s="1" t="s">
        <v>74</v>
      </c>
      <c r="U1073" s="11" t="s">
        <v>1341</v>
      </c>
      <c r="V1073" s="1" t="s">
        <v>41</v>
      </c>
      <c r="W1073" s="1" t="s">
        <v>49</v>
      </c>
      <c r="Z1073" s="14">
        <v>1</v>
      </c>
      <c r="AA1073" s="14"/>
    </row>
    <row r="1074" spans="1:27" hidden="1">
      <c r="A1074" s="1">
        <v>9296499</v>
      </c>
      <c r="B1074" s="1" t="s">
        <v>101</v>
      </c>
      <c r="C1074" t="s">
        <v>1810</v>
      </c>
      <c r="E1074" s="2">
        <v>3503000206001</v>
      </c>
      <c r="F1074" s="1" t="s">
        <v>29</v>
      </c>
      <c r="G1074" s="1" t="s">
        <v>53</v>
      </c>
      <c r="H1074" s="1" t="s">
        <v>398</v>
      </c>
      <c r="I1074" s="1" t="s">
        <v>399</v>
      </c>
      <c r="J1074" s="1" t="s">
        <v>46</v>
      </c>
      <c r="K1074" t="s">
        <v>34</v>
      </c>
      <c r="M1074" s="1" t="s">
        <v>35</v>
      </c>
      <c r="N1074" s="1">
        <v>42318949</v>
      </c>
      <c r="O1074" s="1" t="s">
        <v>105</v>
      </c>
      <c r="P1074" s="11" t="s">
        <v>1824</v>
      </c>
      <c r="R1074" s="1" t="s">
        <v>38</v>
      </c>
      <c r="T1074" s="1" t="s">
        <v>74</v>
      </c>
      <c r="U1074" s="11" t="s">
        <v>1341</v>
      </c>
      <c r="V1074" s="1" t="s">
        <v>41</v>
      </c>
      <c r="W1074" s="1" t="s">
        <v>49</v>
      </c>
      <c r="Z1074" s="14">
        <v>1</v>
      </c>
      <c r="AA1074" s="14"/>
    </row>
    <row r="1075" spans="1:27" hidden="1">
      <c r="A1075" s="1">
        <v>9296455</v>
      </c>
      <c r="B1075" s="1" t="s">
        <v>101</v>
      </c>
      <c r="C1075" t="s">
        <v>1810</v>
      </c>
      <c r="E1075" s="2">
        <v>3434000206001</v>
      </c>
      <c r="F1075" s="1" t="s">
        <v>29</v>
      </c>
      <c r="G1075" s="1" t="s">
        <v>53</v>
      </c>
      <c r="H1075" s="1" t="s">
        <v>1825</v>
      </c>
      <c r="I1075" s="1" t="s">
        <v>1826</v>
      </c>
      <c r="J1075" s="1" t="s">
        <v>46</v>
      </c>
      <c r="K1075" t="s">
        <v>34</v>
      </c>
      <c r="M1075" s="1" t="s">
        <v>35</v>
      </c>
      <c r="N1075" s="1">
        <v>42318949</v>
      </c>
      <c r="O1075" s="1" t="s">
        <v>105</v>
      </c>
      <c r="P1075" s="11" t="s">
        <v>1827</v>
      </c>
      <c r="R1075" s="1" t="s">
        <v>38</v>
      </c>
      <c r="T1075" s="1" t="s">
        <v>74</v>
      </c>
      <c r="U1075" s="11" t="s">
        <v>1341</v>
      </c>
      <c r="V1075" s="1" t="s">
        <v>41</v>
      </c>
      <c r="W1075" s="1" t="s">
        <v>49</v>
      </c>
      <c r="Z1075" s="14">
        <v>1</v>
      </c>
      <c r="AA1075" s="14"/>
    </row>
    <row r="1076" spans="1:27" hidden="1">
      <c r="A1076" s="1">
        <v>9296322</v>
      </c>
      <c r="B1076" s="1" t="s">
        <v>101</v>
      </c>
      <c r="C1076" t="s">
        <v>1810</v>
      </c>
      <c r="E1076" s="2">
        <v>3258000206001</v>
      </c>
      <c r="F1076" s="1" t="s">
        <v>29</v>
      </c>
      <c r="G1076" s="1" t="s">
        <v>53</v>
      </c>
      <c r="H1076" s="1" t="s">
        <v>321</v>
      </c>
      <c r="I1076" s="1" t="s">
        <v>322</v>
      </c>
      <c r="J1076" s="1" t="s">
        <v>46</v>
      </c>
      <c r="K1076" t="s">
        <v>34</v>
      </c>
      <c r="M1076" s="1" t="s">
        <v>35</v>
      </c>
      <c r="N1076" s="1">
        <v>42318949</v>
      </c>
      <c r="O1076" s="1" t="s">
        <v>105</v>
      </c>
      <c r="P1076" s="11" t="s">
        <v>1828</v>
      </c>
      <c r="R1076" s="1" t="s">
        <v>38</v>
      </c>
      <c r="T1076" s="1" t="s">
        <v>74</v>
      </c>
      <c r="U1076" s="11" t="s">
        <v>1341</v>
      </c>
      <c r="V1076" s="1" t="s">
        <v>41</v>
      </c>
      <c r="W1076" s="1" t="s">
        <v>49</v>
      </c>
      <c r="Z1076" s="14">
        <v>1</v>
      </c>
      <c r="AA1076" s="14"/>
    </row>
    <row r="1077" spans="1:27" hidden="1">
      <c r="A1077" s="1">
        <v>9296314</v>
      </c>
      <c r="B1077" s="1" t="s">
        <v>101</v>
      </c>
      <c r="C1077" t="s">
        <v>1810</v>
      </c>
      <c r="E1077" s="2">
        <v>3250000206001</v>
      </c>
      <c r="F1077" s="1" t="s">
        <v>29</v>
      </c>
      <c r="G1077" s="1" t="s">
        <v>53</v>
      </c>
      <c r="H1077" s="1" t="s">
        <v>371</v>
      </c>
      <c r="I1077" s="1" t="s">
        <v>372</v>
      </c>
      <c r="J1077" s="1" t="s">
        <v>46</v>
      </c>
      <c r="K1077" t="s">
        <v>34</v>
      </c>
      <c r="M1077" s="1" t="s">
        <v>35</v>
      </c>
      <c r="N1077" s="1">
        <v>42318949</v>
      </c>
      <c r="O1077" s="1" t="s">
        <v>105</v>
      </c>
      <c r="P1077" s="186">
        <v>44932.433159722219</v>
      </c>
      <c r="R1077" s="1" t="s">
        <v>38</v>
      </c>
      <c r="T1077" s="1" t="s">
        <v>74</v>
      </c>
      <c r="U1077" s="186">
        <v>44932.75</v>
      </c>
      <c r="V1077" s="1" t="s">
        <v>41</v>
      </c>
      <c r="W1077" s="1" t="s">
        <v>49</v>
      </c>
      <c r="Z1077" s="14">
        <v>1</v>
      </c>
      <c r="AA1077" s="14"/>
    </row>
    <row r="1078" spans="1:27" hidden="1">
      <c r="A1078" s="1">
        <v>9296309</v>
      </c>
      <c r="B1078" s="1" t="s">
        <v>101</v>
      </c>
      <c r="C1078" t="s">
        <v>1810</v>
      </c>
      <c r="E1078" s="2">
        <v>3243000206001</v>
      </c>
      <c r="F1078" s="1" t="s">
        <v>29</v>
      </c>
      <c r="G1078" s="1" t="s">
        <v>53</v>
      </c>
      <c r="H1078" s="1" t="s">
        <v>282</v>
      </c>
      <c r="I1078" s="1" t="s">
        <v>283</v>
      </c>
      <c r="J1078" s="1" t="s">
        <v>46</v>
      </c>
      <c r="K1078" t="s">
        <v>34</v>
      </c>
      <c r="M1078" s="1" t="s">
        <v>35</v>
      </c>
      <c r="N1078" s="1">
        <v>42318949</v>
      </c>
      <c r="O1078" s="1" t="s">
        <v>105</v>
      </c>
      <c r="P1078" s="186">
        <v>44932.433159722219</v>
      </c>
      <c r="R1078" s="1" t="s">
        <v>38</v>
      </c>
      <c r="T1078" s="1" t="s">
        <v>74</v>
      </c>
      <c r="U1078" s="186">
        <v>44932.75</v>
      </c>
      <c r="V1078" s="1" t="s">
        <v>41</v>
      </c>
      <c r="W1078" s="1" t="s">
        <v>49</v>
      </c>
      <c r="Z1078" s="14">
        <v>1</v>
      </c>
      <c r="AA1078" s="14"/>
    </row>
    <row r="1079" spans="1:27" hidden="1">
      <c r="A1079" s="1">
        <v>9296308</v>
      </c>
      <c r="B1079" s="1" t="s">
        <v>101</v>
      </c>
      <c r="C1079" t="s">
        <v>1810</v>
      </c>
      <c r="E1079" s="2">
        <v>3242000206001</v>
      </c>
      <c r="F1079" s="1" t="s">
        <v>29</v>
      </c>
      <c r="G1079" s="1" t="s">
        <v>53</v>
      </c>
      <c r="H1079" s="1" t="s">
        <v>461</v>
      </c>
      <c r="I1079" s="1" t="s">
        <v>462</v>
      </c>
      <c r="J1079" s="1" t="s">
        <v>46</v>
      </c>
      <c r="K1079" t="s">
        <v>34</v>
      </c>
      <c r="M1079" s="1" t="s">
        <v>35</v>
      </c>
      <c r="N1079" s="1">
        <v>42318949</v>
      </c>
      <c r="O1079" s="1" t="s">
        <v>105</v>
      </c>
      <c r="P1079" s="11" t="s">
        <v>1829</v>
      </c>
      <c r="R1079" s="1" t="s">
        <v>38</v>
      </c>
      <c r="T1079" s="1" t="s">
        <v>74</v>
      </c>
      <c r="U1079" s="11" t="s">
        <v>1341</v>
      </c>
      <c r="V1079" s="1" t="s">
        <v>41</v>
      </c>
      <c r="W1079" s="1" t="s">
        <v>49</v>
      </c>
      <c r="Z1079" s="14">
        <v>1</v>
      </c>
      <c r="AA1079" s="14"/>
    </row>
    <row r="1080" spans="1:27" hidden="1">
      <c r="A1080" s="1">
        <v>9296305</v>
      </c>
      <c r="B1080" s="1" t="s">
        <v>101</v>
      </c>
      <c r="C1080" t="s">
        <v>1810</v>
      </c>
      <c r="E1080" s="2">
        <v>3237000206001</v>
      </c>
      <c r="F1080" s="1" t="s">
        <v>29</v>
      </c>
      <c r="G1080" s="1" t="s">
        <v>53</v>
      </c>
      <c r="H1080" s="1" t="s">
        <v>287</v>
      </c>
      <c r="I1080" s="1" t="s">
        <v>288</v>
      </c>
      <c r="J1080" s="1" t="s">
        <v>46</v>
      </c>
      <c r="K1080" t="s">
        <v>34</v>
      </c>
      <c r="M1080" s="1" t="s">
        <v>35</v>
      </c>
      <c r="N1080" s="1">
        <v>42318949</v>
      </c>
      <c r="O1080" s="1" t="s">
        <v>105</v>
      </c>
      <c r="P1080" s="12">
        <v>44932.433148148149</v>
      </c>
      <c r="R1080" s="1" t="s">
        <v>38</v>
      </c>
      <c r="T1080" s="1" t="s">
        <v>74</v>
      </c>
      <c r="U1080" s="12">
        <v>44932.75</v>
      </c>
      <c r="V1080" s="1" t="s">
        <v>41</v>
      </c>
      <c r="W1080" s="1" t="s">
        <v>49</v>
      </c>
      <c r="Z1080" s="14">
        <v>1</v>
      </c>
      <c r="AA1080" s="14"/>
    </row>
    <row r="1081" spans="1:27" hidden="1">
      <c r="A1081" s="1">
        <v>9296304</v>
      </c>
      <c r="B1081" s="1" t="s">
        <v>101</v>
      </c>
      <c r="C1081" t="s">
        <v>1810</v>
      </c>
      <c r="E1081" s="2">
        <v>3234000206001</v>
      </c>
      <c r="F1081" s="1" t="s">
        <v>29</v>
      </c>
      <c r="G1081" s="1" t="s">
        <v>53</v>
      </c>
      <c r="H1081" s="1" t="s">
        <v>1830</v>
      </c>
      <c r="I1081" s="1" t="s">
        <v>1831</v>
      </c>
      <c r="J1081" s="1" t="s">
        <v>46</v>
      </c>
      <c r="K1081" t="s">
        <v>34</v>
      </c>
      <c r="M1081" s="1" t="s">
        <v>35</v>
      </c>
      <c r="N1081" s="1">
        <v>42318949</v>
      </c>
      <c r="O1081" s="1" t="s">
        <v>105</v>
      </c>
      <c r="P1081" s="11" t="s">
        <v>1829</v>
      </c>
      <c r="R1081" s="1" t="s">
        <v>38</v>
      </c>
      <c r="T1081" s="1" t="s">
        <v>74</v>
      </c>
      <c r="U1081" s="11" t="s">
        <v>1341</v>
      </c>
      <c r="V1081" s="1" t="s">
        <v>41</v>
      </c>
      <c r="W1081" s="1" t="s">
        <v>49</v>
      </c>
      <c r="Z1081" s="14">
        <v>1</v>
      </c>
      <c r="AA1081" s="14"/>
    </row>
    <row r="1082" spans="1:27" hidden="1">
      <c r="A1082" s="1">
        <v>9296208</v>
      </c>
      <c r="B1082" s="1" t="s">
        <v>101</v>
      </c>
      <c r="C1082" t="s">
        <v>1810</v>
      </c>
      <c r="E1082" s="2">
        <v>3108010206001</v>
      </c>
      <c r="F1082" s="1" t="s">
        <v>29</v>
      </c>
      <c r="G1082" s="1" t="s">
        <v>53</v>
      </c>
      <c r="H1082" s="1" t="s">
        <v>503</v>
      </c>
      <c r="I1082" s="1" t="s">
        <v>504</v>
      </c>
      <c r="J1082" s="1" t="s">
        <v>46</v>
      </c>
      <c r="K1082" t="s">
        <v>34</v>
      </c>
      <c r="M1082" s="1" t="s">
        <v>35</v>
      </c>
      <c r="N1082" s="1">
        <v>42318949</v>
      </c>
      <c r="O1082" s="1" t="s">
        <v>105</v>
      </c>
      <c r="P1082" s="11" t="s">
        <v>1832</v>
      </c>
      <c r="R1082" s="1" t="s">
        <v>38</v>
      </c>
      <c r="T1082" s="1" t="s">
        <v>74</v>
      </c>
      <c r="U1082" s="11" t="s">
        <v>1341</v>
      </c>
      <c r="V1082" s="1" t="s">
        <v>41</v>
      </c>
      <c r="W1082" s="1" t="s">
        <v>49</v>
      </c>
      <c r="Z1082" s="14">
        <v>1</v>
      </c>
      <c r="AA1082" s="14"/>
    </row>
    <row r="1083" spans="1:27" hidden="1">
      <c r="A1083" s="1">
        <v>9296118</v>
      </c>
      <c r="B1083" s="1" t="s">
        <v>101</v>
      </c>
      <c r="C1083" t="s">
        <v>1810</v>
      </c>
      <c r="E1083" s="2">
        <v>2988000206001</v>
      </c>
      <c r="F1083" s="1" t="s">
        <v>29</v>
      </c>
      <c r="G1083" s="1" t="s">
        <v>53</v>
      </c>
      <c r="H1083" s="1" t="s">
        <v>536</v>
      </c>
      <c r="I1083" s="1" t="s">
        <v>537</v>
      </c>
      <c r="J1083" s="1" t="s">
        <v>46</v>
      </c>
      <c r="K1083" t="s">
        <v>34</v>
      </c>
      <c r="M1083" s="1" t="s">
        <v>35</v>
      </c>
      <c r="N1083" s="1">
        <v>42318949</v>
      </c>
      <c r="O1083" s="1" t="s">
        <v>105</v>
      </c>
      <c r="P1083" s="11" t="s">
        <v>1833</v>
      </c>
      <c r="R1083" s="1" t="s">
        <v>38</v>
      </c>
      <c r="T1083" s="1" t="s">
        <v>74</v>
      </c>
      <c r="U1083" s="11" t="s">
        <v>1341</v>
      </c>
      <c r="V1083" s="1" t="s">
        <v>41</v>
      </c>
      <c r="W1083" s="1" t="s">
        <v>49</v>
      </c>
      <c r="Z1083" s="14">
        <v>1</v>
      </c>
      <c r="AA1083" s="14"/>
    </row>
    <row r="1084" spans="1:27" hidden="1">
      <c r="A1084" s="1">
        <v>9296035</v>
      </c>
      <c r="B1084" s="1" t="s">
        <v>101</v>
      </c>
      <c r="C1084" t="s">
        <v>1810</v>
      </c>
      <c r="E1084" s="2">
        <v>2889000206001</v>
      </c>
      <c r="F1084" s="1" t="s">
        <v>29</v>
      </c>
      <c r="G1084" s="1" t="s">
        <v>53</v>
      </c>
      <c r="H1084" s="1" t="s">
        <v>418</v>
      </c>
      <c r="I1084" s="1" t="s">
        <v>419</v>
      </c>
      <c r="J1084" s="1" t="s">
        <v>46</v>
      </c>
      <c r="K1084" t="s">
        <v>34</v>
      </c>
      <c r="M1084" s="1" t="s">
        <v>35</v>
      </c>
      <c r="N1084" s="1">
        <v>42318949</v>
      </c>
      <c r="O1084" s="1" t="s">
        <v>105</v>
      </c>
      <c r="P1084" s="186">
        <v>44932.432708333334</v>
      </c>
      <c r="R1084" s="1" t="s">
        <v>38</v>
      </c>
      <c r="T1084" s="1" t="s">
        <v>74</v>
      </c>
      <c r="U1084" s="186">
        <v>44932.75</v>
      </c>
      <c r="V1084" s="1" t="s">
        <v>41</v>
      </c>
      <c r="W1084" s="1" t="s">
        <v>49</v>
      </c>
      <c r="Z1084" s="14">
        <v>1</v>
      </c>
      <c r="AA1084" s="14"/>
    </row>
    <row r="1085" spans="1:27" hidden="1">
      <c r="A1085" s="1">
        <v>9296006</v>
      </c>
      <c r="B1085" s="1" t="s">
        <v>101</v>
      </c>
      <c r="C1085" t="s">
        <v>1810</v>
      </c>
      <c r="E1085" s="2">
        <v>2855000206001</v>
      </c>
      <c r="F1085" s="1" t="s">
        <v>29</v>
      </c>
      <c r="G1085" s="1" t="s">
        <v>53</v>
      </c>
      <c r="H1085" s="1" t="s">
        <v>249</v>
      </c>
      <c r="I1085" s="1" t="s">
        <v>250</v>
      </c>
      <c r="J1085" s="1" t="s">
        <v>56</v>
      </c>
      <c r="K1085" t="s">
        <v>34</v>
      </c>
      <c r="M1085" s="1" t="s">
        <v>35</v>
      </c>
      <c r="N1085" s="1">
        <v>42318949</v>
      </c>
      <c r="O1085" s="1" t="s">
        <v>105</v>
      </c>
      <c r="P1085" s="186">
        <v>44932.432662037034</v>
      </c>
      <c r="R1085" s="1" t="s">
        <v>38</v>
      </c>
      <c r="T1085" s="1" t="s">
        <v>74</v>
      </c>
      <c r="U1085" s="186">
        <v>44932.75</v>
      </c>
      <c r="V1085" s="1" t="s">
        <v>41</v>
      </c>
      <c r="W1085" s="1" t="s">
        <v>49</v>
      </c>
      <c r="Z1085" s="14">
        <v>1</v>
      </c>
      <c r="AA1085" s="14"/>
    </row>
    <row r="1086" spans="1:27" hidden="1">
      <c r="A1086" s="1">
        <v>9295986</v>
      </c>
      <c r="B1086" s="1" t="s">
        <v>101</v>
      </c>
      <c r="C1086" t="s">
        <v>1810</v>
      </c>
      <c r="E1086" s="2">
        <v>2830000206001</v>
      </c>
      <c r="F1086" s="1" t="s">
        <v>29</v>
      </c>
      <c r="G1086" s="1" t="s">
        <v>53</v>
      </c>
      <c r="H1086" s="1" t="s">
        <v>448</v>
      </c>
      <c r="I1086" s="1" t="s">
        <v>449</v>
      </c>
      <c r="J1086" s="1" t="s">
        <v>33</v>
      </c>
      <c r="K1086" t="s">
        <v>34</v>
      </c>
      <c r="M1086" s="1" t="s">
        <v>35</v>
      </c>
      <c r="N1086" s="1">
        <v>42318949</v>
      </c>
      <c r="O1086" s="1" t="s">
        <v>105</v>
      </c>
      <c r="P1086" s="186">
        <v>44932.432638888888</v>
      </c>
      <c r="R1086" s="1" t="s">
        <v>38</v>
      </c>
      <c r="T1086" s="1" t="s">
        <v>74</v>
      </c>
      <c r="U1086" s="186">
        <v>44932.75</v>
      </c>
      <c r="V1086" s="1" t="s">
        <v>41</v>
      </c>
      <c r="W1086" s="1" t="s">
        <v>42</v>
      </c>
      <c r="Z1086" s="14">
        <v>1</v>
      </c>
      <c r="AA1086" s="14"/>
    </row>
    <row r="1087" spans="1:27" hidden="1">
      <c r="A1087" s="1">
        <v>9295970</v>
      </c>
      <c r="B1087" s="1" t="s">
        <v>101</v>
      </c>
      <c r="C1087" t="s">
        <v>1810</v>
      </c>
      <c r="E1087" s="2">
        <v>2811000206001</v>
      </c>
      <c r="F1087" s="1" t="s">
        <v>29</v>
      </c>
      <c r="G1087" s="1" t="s">
        <v>53</v>
      </c>
      <c r="H1087" s="1" t="s">
        <v>44</v>
      </c>
      <c r="I1087" s="1" t="s">
        <v>45</v>
      </c>
      <c r="J1087" s="1" t="s">
        <v>46</v>
      </c>
      <c r="K1087" t="s">
        <v>34</v>
      </c>
      <c r="M1087" s="1" t="s">
        <v>35</v>
      </c>
      <c r="N1087" s="1">
        <v>42318949</v>
      </c>
      <c r="O1087" s="1" t="s">
        <v>105</v>
      </c>
      <c r="P1087" s="186">
        <v>44932.432615740741</v>
      </c>
      <c r="R1087" s="1" t="s">
        <v>38</v>
      </c>
      <c r="T1087" s="1" t="s">
        <v>74</v>
      </c>
      <c r="U1087" s="186">
        <v>44932.75</v>
      </c>
      <c r="V1087" s="1" t="s">
        <v>41</v>
      </c>
      <c r="W1087" s="1" t="s">
        <v>49</v>
      </c>
      <c r="Z1087" s="14">
        <v>1</v>
      </c>
      <c r="AA1087" s="14"/>
    </row>
    <row r="1088" spans="1:27" hidden="1">
      <c r="A1088" s="1">
        <v>9295960</v>
      </c>
      <c r="B1088" s="1" t="s">
        <v>101</v>
      </c>
      <c r="C1088" t="s">
        <v>1810</v>
      </c>
      <c r="E1088" s="2">
        <v>2802080206001</v>
      </c>
      <c r="F1088" s="1" t="s">
        <v>29</v>
      </c>
      <c r="G1088" s="1" t="s">
        <v>53</v>
      </c>
      <c r="H1088" s="1" t="s">
        <v>1834</v>
      </c>
      <c r="I1088" s="1" t="s">
        <v>500</v>
      </c>
      <c r="J1088" s="1" t="s">
        <v>46</v>
      </c>
      <c r="K1088" t="s">
        <v>34</v>
      </c>
      <c r="M1088" s="1" t="s">
        <v>35</v>
      </c>
      <c r="N1088" s="1">
        <v>42318949</v>
      </c>
      <c r="O1088" s="1" t="s">
        <v>105</v>
      </c>
      <c r="P1088" s="186">
        <v>44932.432604166665</v>
      </c>
      <c r="R1088" s="1" t="s">
        <v>38</v>
      </c>
      <c r="T1088" s="1" t="s">
        <v>74</v>
      </c>
      <c r="U1088" s="186">
        <v>44932.75</v>
      </c>
      <c r="V1088" s="1" t="s">
        <v>41</v>
      </c>
      <c r="W1088" s="1" t="s">
        <v>49</v>
      </c>
      <c r="Z1088" s="14">
        <v>1</v>
      </c>
      <c r="AA1088" s="14"/>
    </row>
    <row r="1089" spans="1:27" hidden="1">
      <c r="A1089" s="1">
        <v>9295959</v>
      </c>
      <c r="B1089" s="1" t="s">
        <v>101</v>
      </c>
      <c r="C1089" t="s">
        <v>1810</v>
      </c>
      <c r="E1089" s="2">
        <v>2802000206001</v>
      </c>
      <c r="F1089" s="1" t="s">
        <v>29</v>
      </c>
      <c r="G1089" s="1" t="s">
        <v>53</v>
      </c>
      <c r="H1089" s="1" t="s">
        <v>388</v>
      </c>
      <c r="I1089" s="1" t="s">
        <v>389</v>
      </c>
      <c r="J1089" s="1" t="s">
        <v>46</v>
      </c>
      <c r="K1089" t="s">
        <v>34</v>
      </c>
      <c r="M1089" s="1" t="s">
        <v>35</v>
      </c>
      <c r="N1089" s="1">
        <v>42318949</v>
      </c>
      <c r="O1089" s="1" t="s">
        <v>105</v>
      </c>
      <c r="P1089" s="186">
        <v>44932.432592592595</v>
      </c>
      <c r="R1089" s="1" t="s">
        <v>38</v>
      </c>
      <c r="T1089" s="1" t="s">
        <v>74</v>
      </c>
      <c r="U1089" s="186">
        <v>44932.75</v>
      </c>
      <c r="V1089" s="1" t="s">
        <v>41</v>
      </c>
      <c r="W1089" s="1" t="s">
        <v>49</v>
      </c>
      <c r="Z1089" s="14">
        <v>1</v>
      </c>
      <c r="AA1089" s="14"/>
    </row>
    <row r="1090" spans="1:27">
      <c r="A1090" s="1">
        <v>9295897</v>
      </c>
      <c r="B1090" s="1" t="s">
        <v>101</v>
      </c>
      <c r="C1090" t="s">
        <v>1810</v>
      </c>
      <c r="E1090" s="2">
        <v>2737000206001</v>
      </c>
      <c r="F1090" s="1" t="s">
        <v>29</v>
      </c>
      <c r="G1090" s="1" t="s">
        <v>53</v>
      </c>
      <c r="H1090" s="1" t="s">
        <v>311</v>
      </c>
      <c r="I1090" s="1" t="s">
        <v>312</v>
      </c>
      <c r="J1090" s="1" t="s">
        <v>90</v>
      </c>
      <c r="K1090" t="s">
        <v>34</v>
      </c>
      <c r="M1090" s="1" t="s">
        <v>35</v>
      </c>
      <c r="N1090" s="1">
        <v>42318949</v>
      </c>
      <c r="O1090" s="1" t="s">
        <v>105</v>
      </c>
      <c r="P1090" s="12">
        <v>44932.432511574072</v>
      </c>
      <c r="R1090" s="1" t="s">
        <v>38</v>
      </c>
      <c r="T1090" s="1" t="s">
        <v>74</v>
      </c>
      <c r="U1090" s="12">
        <v>44932.75</v>
      </c>
      <c r="V1090" s="1" t="s">
        <v>41</v>
      </c>
      <c r="W1090" s="1" t="s">
        <v>49</v>
      </c>
      <c r="Z1090" s="14">
        <v>1</v>
      </c>
      <c r="AA1090" s="14"/>
    </row>
    <row r="1091" spans="1:27" hidden="1">
      <c r="A1091" s="1">
        <v>9295858</v>
      </c>
      <c r="B1091" s="1" t="s">
        <v>101</v>
      </c>
      <c r="C1091" t="s">
        <v>1810</v>
      </c>
      <c r="E1091" s="2">
        <v>2693000206001</v>
      </c>
      <c r="F1091" s="1" t="s">
        <v>29</v>
      </c>
      <c r="G1091" s="1" t="s">
        <v>53</v>
      </c>
      <c r="H1091" s="1" t="s">
        <v>253</v>
      </c>
      <c r="I1091" s="1" t="s">
        <v>254</v>
      </c>
      <c r="J1091" s="1" t="s">
        <v>56</v>
      </c>
      <c r="K1091" t="s">
        <v>34</v>
      </c>
      <c r="M1091" s="1" t="s">
        <v>35</v>
      </c>
      <c r="N1091" s="1">
        <v>42318949</v>
      </c>
      <c r="O1091" s="1" t="s">
        <v>105</v>
      </c>
      <c r="P1091" s="11" t="s">
        <v>1835</v>
      </c>
      <c r="R1091" s="1" t="s">
        <v>38</v>
      </c>
      <c r="T1091" s="1" t="s">
        <v>74</v>
      </c>
      <c r="U1091" s="11" t="s">
        <v>1341</v>
      </c>
      <c r="V1091" s="1" t="s">
        <v>41</v>
      </c>
      <c r="W1091" s="1" t="s">
        <v>49</v>
      </c>
      <c r="Z1091" s="14">
        <v>1</v>
      </c>
      <c r="AA1091" s="14"/>
    </row>
    <row r="1092" spans="1:27">
      <c r="A1092" s="1">
        <v>9295849</v>
      </c>
      <c r="B1092" s="1" t="s">
        <v>101</v>
      </c>
      <c r="C1092" t="s">
        <v>1810</v>
      </c>
      <c r="E1092" s="2">
        <v>2683000206001</v>
      </c>
      <c r="F1092" s="1" t="s">
        <v>29</v>
      </c>
      <c r="G1092" s="1" t="s">
        <v>53</v>
      </c>
      <c r="H1092" s="1" t="s">
        <v>276</v>
      </c>
      <c r="I1092" s="1" t="s">
        <v>277</v>
      </c>
      <c r="J1092" s="1" t="s">
        <v>90</v>
      </c>
      <c r="K1092" t="s">
        <v>34</v>
      </c>
      <c r="M1092" s="1" t="s">
        <v>35</v>
      </c>
      <c r="N1092" s="1">
        <v>42318949</v>
      </c>
      <c r="O1092" s="1" t="s">
        <v>105</v>
      </c>
      <c r="P1092" s="11" t="s">
        <v>1836</v>
      </c>
      <c r="R1092" s="1" t="s">
        <v>38</v>
      </c>
      <c r="T1092" s="1" t="s">
        <v>74</v>
      </c>
      <c r="U1092" s="11" t="s">
        <v>1341</v>
      </c>
      <c r="V1092" s="1" t="s">
        <v>41</v>
      </c>
      <c r="W1092" s="1" t="s">
        <v>49</v>
      </c>
      <c r="Z1092" s="14">
        <v>1</v>
      </c>
      <c r="AA1092" s="14"/>
    </row>
    <row r="1093" spans="1:27" hidden="1">
      <c r="A1093" s="1">
        <v>9295845</v>
      </c>
      <c r="B1093" s="1" t="s">
        <v>101</v>
      </c>
      <c r="C1093" t="s">
        <v>1810</v>
      </c>
      <c r="E1093" s="2">
        <v>2678000206001</v>
      </c>
      <c r="F1093" s="1" t="s">
        <v>29</v>
      </c>
      <c r="G1093" s="1" t="s">
        <v>53</v>
      </c>
      <c r="H1093" s="1" t="s">
        <v>992</v>
      </c>
      <c r="I1093" s="1" t="s">
        <v>993</v>
      </c>
      <c r="J1093" s="1" t="s">
        <v>33</v>
      </c>
      <c r="K1093" t="s">
        <v>34</v>
      </c>
      <c r="M1093" s="1" t="s">
        <v>35</v>
      </c>
      <c r="N1093" s="1">
        <v>42318949</v>
      </c>
      <c r="O1093" s="1" t="s">
        <v>105</v>
      </c>
      <c r="P1093" s="11" t="s">
        <v>1836</v>
      </c>
      <c r="R1093" s="1" t="s">
        <v>38</v>
      </c>
      <c r="T1093" s="1" t="s">
        <v>74</v>
      </c>
      <c r="U1093" s="11" t="s">
        <v>1341</v>
      </c>
      <c r="V1093" s="1" t="s">
        <v>41</v>
      </c>
      <c r="W1093" s="1" t="s">
        <v>42</v>
      </c>
      <c r="Z1093" s="14">
        <v>1</v>
      </c>
      <c r="AA1093" s="14"/>
    </row>
    <row r="1094" spans="1:27" hidden="1">
      <c r="A1094" s="1">
        <v>9295840</v>
      </c>
      <c r="B1094" s="1" t="s">
        <v>101</v>
      </c>
      <c r="C1094" t="s">
        <v>1810</v>
      </c>
      <c r="E1094" s="2">
        <v>2669000206001</v>
      </c>
      <c r="F1094" s="1" t="s">
        <v>29</v>
      </c>
      <c r="G1094" s="1" t="s">
        <v>53</v>
      </c>
      <c r="H1094" s="1" t="s">
        <v>561</v>
      </c>
      <c r="I1094" s="1" t="s">
        <v>562</v>
      </c>
      <c r="J1094" s="1" t="s">
        <v>110</v>
      </c>
      <c r="K1094" t="s">
        <v>34</v>
      </c>
      <c r="M1094" s="1" t="s">
        <v>35</v>
      </c>
      <c r="N1094" s="1">
        <v>42318949</v>
      </c>
      <c r="O1094" s="1" t="s">
        <v>36</v>
      </c>
      <c r="P1094" s="11" t="s">
        <v>1837</v>
      </c>
      <c r="R1094" s="1" t="s">
        <v>38</v>
      </c>
      <c r="T1094" s="1" t="s">
        <v>74</v>
      </c>
      <c r="U1094" s="11" t="s">
        <v>1341</v>
      </c>
      <c r="V1094" s="1" t="s">
        <v>41</v>
      </c>
      <c r="W1094" s="1" t="s">
        <v>49</v>
      </c>
      <c r="Z1094" s="14">
        <v>1</v>
      </c>
      <c r="AA1094" s="14"/>
    </row>
    <row r="1095" spans="1:27" hidden="1">
      <c r="A1095" s="1">
        <v>9295800</v>
      </c>
      <c r="B1095" s="1" t="s">
        <v>101</v>
      </c>
      <c r="C1095" t="s">
        <v>1810</v>
      </c>
      <c r="E1095" s="2">
        <v>2625000206001</v>
      </c>
      <c r="F1095" s="1" t="s">
        <v>29</v>
      </c>
      <c r="G1095" s="1" t="s">
        <v>53</v>
      </c>
      <c r="H1095" s="1" t="s">
        <v>317</v>
      </c>
      <c r="I1095" s="1" t="s">
        <v>318</v>
      </c>
      <c r="J1095" s="1" t="s">
        <v>164</v>
      </c>
      <c r="K1095" t="s">
        <v>34</v>
      </c>
      <c r="M1095" s="1" t="s">
        <v>35</v>
      </c>
      <c r="N1095" s="1">
        <v>42318949</v>
      </c>
      <c r="O1095" s="1" t="s">
        <v>105</v>
      </c>
      <c r="P1095" s="12">
        <v>44932.432384259257</v>
      </c>
      <c r="R1095" s="1" t="s">
        <v>38</v>
      </c>
      <c r="T1095" s="1" t="s">
        <v>74</v>
      </c>
      <c r="U1095" s="12">
        <v>44932.75</v>
      </c>
      <c r="V1095" s="1" t="s">
        <v>41</v>
      </c>
      <c r="W1095" s="1" t="s">
        <v>49</v>
      </c>
      <c r="Z1095" s="14">
        <v>1</v>
      </c>
      <c r="AA1095" s="14"/>
    </row>
    <row r="1096" spans="1:27">
      <c r="A1096" s="181">
        <v>9295771</v>
      </c>
      <c r="B1096" s="181" t="s">
        <v>101</v>
      </c>
      <c r="C1096" s="182" t="s">
        <v>1838</v>
      </c>
      <c r="D1096" s="183"/>
      <c r="E1096" s="183">
        <v>2590000206001</v>
      </c>
      <c r="F1096" s="181" t="s">
        <v>29</v>
      </c>
      <c r="G1096" s="181" t="s">
        <v>53</v>
      </c>
      <c r="H1096" s="181" t="s">
        <v>394</v>
      </c>
      <c r="I1096" s="181" t="s">
        <v>395</v>
      </c>
      <c r="J1096" s="181" t="s">
        <v>148</v>
      </c>
      <c r="K1096" t="s">
        <v>34</v>
      </c>
      <c r="M1096" s="1" t="s">
        <v>35</v>
      </c>
      <c r="N1096" s="1">
        <v>42318949</v>
      </c>
      <c r="O1096" s="1" t="s">
        <v>105</v>
      </c>
      <c r="P1096" s="11" t="s">
        <v>1839</v>
      </c>
      <c r="R1096" s="1" t="s">
        <v>38</v>
      </c>
      <c r="T1096" s="1" t="s">
        <v>74</v>
      </c>
      <c r="U1096" s="11" t="s">
        <v>1341</v>
      </c>
      <c r="V1096" s="1" t="s">
        <v>41</v>
      </c>
      <c r="W1096" s="1" t="s">
        <v>49</v>
      </c>
      <c r="Z1096" s="14">
        <v>1</v>
      </c>
      <c r="AA1096" s="14"/>
    </row>
    <row r="1097" spans="1:27" hidden="1">
      <c r="A1097" s="1">
        <v>9295742</v>
      </c>
      <c r="B1097" s="1" t="s">
        <v>101</v>
      </c>
      <c r="C1097" t="s">
        <v>1810</v>
      </c>
      <c r="E1097" s="2">
        <v>2564000206001</v>
      </c>
      <c r="F1097" s="1" t="s">
        <v>29</v>
      </c>
      <c r="G1097" s="1" t="s">
        <v>53</v>
      </c>
      <c r="H1097" s="1" t="s">
        <v>255</v>
      </c>
      <c r="I1097" s="1" t="s">
        <v>256</v>
      </c>
      <c r="J1097" s="1" t="s">
        <v>164</v>
      </c>
      <c r="K1097" t="s">
        <v>34</v>
      </c>
      <c r="M1097" s="1" t="s">
        <v>35</v>
      </c>
      <c r="N1097" s="1">
        <v>42318949</v>
      </c>
      <c r="O1097" s="1" t="s">
        <v>105</v>
      </c>
      <c r="P1097" s="12">
        <v>44932.432303240741</v>
      </c>
      <c r="R1097" s="1" t="s">
        <v>38</v>
      </c>
      <c r="T1097" s="1" t="s">
        <v>74</v>
      </c>
      <c r="U1097" s="12">
        <v>44932.75</v>
      </c>
      <c r="V1097" s="1" t="s">
        <v>41</v>
      </c>
      <c r="W1097" s="1" t="s">
        <v>49</v>
      </c>
      <c r="Z1097" s="14">
        <v>1</v>
      </c>
      <c r="AA1097" s="14"/>
    </row>
    <row r="1098" spans="1:27" hidden="1">
      <c r="A1098" s="1">
        <v>9295739</v>
      </c>
      <c r="B1098" s="1" t="s">
        <v>101</v>
      </c>
      <c r="C1098" t="s">
        <v>1810</v>
      </c>
      <c r="E1098" s="2">
        <v>2559000206001</v>
      </c>
      <c r="F1098" s="1" t="s">
        <v>29</v>
      </c>
      <c r="G1098" s="1" t="s">
        <v>53</v>
      </c>
      <c r="H1098" s="1" t="s">
        <v>259</v>
      </c>
      <c r="I1098" s="1" t="s">
        <v>260</v>
      </c>
      <c r="J1098" s="1" t="s">
        <v>261</v>
      </c>
      <c r="K1098" t="s">
        <v>34</v>
      </c>
      <c r="M1098" s="1" t="s">
        <v>35</v>
      </c>
      <c r="N1098" s="1">
        <v>42318949</v>
      </c>
      <c r="O1098" s="1" t="s">
        <v>105</v>
      </c>
      <c r="P1098" s="11" t="s">
        <v>1840</v>
      </c>
      <c r="R1098" s="1" t="s">
        <v>38</v>
      </c>
      <c r="T1098" s="1" t="s">
        <v>74</v>
      </c>
      <c r="U1098" s="12">
        <v>44932.75</v>
      </c>
      <c r="V1098" s="1" t="s">
        <v>41</v>
      </c>
      <c r="W1098" s="1" t="s">
        <v>49</v>
      </c>
      <c r="Z1098" s="14">
        <v>1</v>
      </c>
      <c r="AA1098" s="14"/>
    </row>
    <row r="1099" spans="1:27" hidden="1">
      <c r="A1099" s="1">
        <v>9295714</v>
      </c>
      <c r="B1099" s="1" t="s">
        <v>101</v>
      </c>
      <c r="C1099" t="s">
        <v>1810</v>
      </c>
      <c r="E1099" s="2">
        <v>2529000206001</v>
      </c>
      <c r="F1099" s="1" t="s">
        <v>29</v>
      </c>
      <c r="G1099" s="1" t="s">
        <v>53</v>
      </c>
      <c r="H1099" s="1" t="s">
        <v>355</v>
      </c>
      <c r="I1099" s="1" t="s">
        <v>356</v>
      </c>
      <c r="J1099" s="1" t="s">
        <v>56</v>
      </c>
      <c r="K1099" t="s">
        <v>34</v>
      </c>
      <c r="M1099" s="1" t="s">
        <v>35</v>
      </c>
      <c r="N1099" s="1">
        <v>42318949</v>
      </c>
      <c r="O1099" s="1" t="s">
        <v>105</v>
      </c>
      <c r="P1099" s="11" t="s">
        <v>1841</v>
      </c>
      <c r="R1099" s="1" t="s">
        <v>38</v>
      </c>
      <c r="T1099" s="1" t="s">
        <v>74</v>
      </c>
      <c r="U1099" s="11" t="s">
        <v>1341</v>
      </c>
      <c r="V1099" s="1" t="s">
        <v>41</v>
      </c>
      <c r="W1099" s="1" t="s">
        <v>49</v>
      </c>
      <c r="Z1099" s="14">
        <v>1</v>
      </c>
      <c r="AA1099" s="14"/>
    </row>
    <row r="1100" spans="1:27" hidden="1">
      <c r="A1100" s="1">
        <v>9295672</v>
      </c>
      <c r="B1100" s="1" t="s">
        <v>101</v>
      </c>
      <c r="C1100" t="s">
        <v>1810</v>
      </c>
      <c r="E1100" s="2">
        <v>2473000206001</v>
      </c>
      <c r="F1100" s="1" t="s">
        <v>29</v>
      </c>
      <c r="G1100" s="1" t="s">
        <v>53</v>
      </c>
      <c r="H1100" s="1" t="s">
        <v>1459</v>
      </c>
      <c r="I1100" s="1" t="s">
        <v>1460</v>
      </c>
      <c r="J1100" s="1" t="s">
        <v>261</v>
      </c>
      <c r="K1100" t="s">
        <v>34</v>
      </c>
      <c r="M1100" s="1" t="s">
        <v>35</v>
      </c>
      <c r="N1100" s="1">
        <v>42318949</v>
      </c>
      <c r="O1100" s="1" t="s">
        <v>105</v>
      </c>
      <c r="P1100" s="11" t="s">
        <v>1842</v>
      </c>
      <c r="R1100" s="1" t="s">
        <v>38</v>
      </c>
      <c r="T1100" s="1" t="s">
        <v>74</v>
      </c>
      <c r="U1100" s="11" t="s">
        <v>1341</v>
      </c>
      <c r="V1100" s="1" t="s">
        <v>41</v>
      </c>
      <c r="W1100" s="1" t="s">
        <v>49</v>
      </c>
      <c r="Z1100" s="14">
        <v>1</v>
      </c>
      <c r="AA1100" s="14"/>
    </row>
    <row r="1101" spans="1:27">
      <c r="A1101" s="1">
        <v>9295637</v>
      </c>
      <c r="B1101" s="1" t="s">
        <v>101</v>
      </c>
      <c r="C1101" t="s">
        <v>1810</v>
      </c>
      <c r="E1101" s="2">
        <v>2437000206001</v>
      </c>
      <c r="F1101" s="1" t="s">
        <v>29</v>
      </c>
      <c r="G1101" s="1" t="s">
        <v>53</v>
      </c>
      <c r="H1101" s="1" t="s">
        <v>416</v>
      </c>
      <c r="I1101" s="1" t="s">
        <v>417</v>
      </c>
      <c r="J1101" s="1" t="s">
        <v>211</v>
      </c>
      <c r="K1101" t="s">
        <v>34</v>
      </c>
      <c r="M1101" s="1" t="s">
        <v>35</v>
      </c>
      <c r="N1101" s="1">
        <v>42318949</v>
      </c>
      <c r="O1101" s="1" t="s">
        <v>105</v>
      </c>
      <c r="P1101" s="11" t="s">
        <v>1843</v>
      </c>
      <c r="R1101" s="1" t="s">
        <v>38</v>
      </c>
      <c r="T1101" s="1" t="s">
        <v>74</v>
      </c>
      <c r="U1101" s="11" t="s">
        <v>1341</v>
      </c>
      <c r="V1101" s="1" t="s">
        <v>41</v>
      </c>
      <c r="W1101" s="1" t="s">
        <v>49</v>
      </c>
      <c r="Z1101" s="14">
        <v>1</v>
      </c>
      <c r="AA1101" s="14"/>
    </row>
    <row r="1102" spans="1:27">
      <c r="A1102" s="1">
        <v>9295622</v>
      </c>
      <c r="B1102" s="1" t="s">
        <v>101</v>
      </c>
      <c r="C1102" t="s">
        <v>1810</v>
      </c>
      <c r="E1102" s="2">
        <v>2422000206001</v>
      </c>
      <c r="F1102" s="1" t="s">
        <v>29</v>
      </c>
      <c r="G1102" s="1" t="s">
        <v>53</v>
      </c>
      <c r="H1102" s="1" t="s">
        <v>1844</v>
      </c>
      <c r="I1102" s="1" t="s">
        <v>1845</v>
      </c>
      <c r="J1102" s="1" t="s">
        <v>211</v>
      </c>
      <c r="K1102" t="s">
        <v>34</v>
      </c>
      <c r="M1102" s="1" t="s">
        <v>35</v>
      </c>
      <c r="N1102" s="1">
        <v>42318949</v>
      </c>
      <c r="O1102" s="1" t="s">
        <v>105</v>
      </c>
      <c r="P1102" s="11" t="s">
        <v>1846</v>
      </c>
      <c r="R1102" s="1" t="s">
        <v>38</v>
      </c>
      <c r="T1102" s="1" t="s">
        <v>74</v>
      </c>
      <c r="U1102" s="11" t="s">
        <v>1341</v>
      </c>
      <c r="V1102" s="1" t="s">
        <v>41</v>
      </c>
      <c r="W1102" s="1" t="s">
        <v>49</v>
      </c>
      <c r="Z1102" s="14">
        <v>1</v>
      </c>
      <c r="AA1102" s="14"/>
    </row>
    <row r="1103" spans="1:27" hidden="1">
      <c r="A1103" s="1">
        <v>9295613</v>
      </c>
      <c r="B1103" s="1" t="s">
        <v>101</v>
      </c>
      <c r="C1103" t="s">
        <v>1810</v>
      </c>
      <c r="E1103" s="2">
        <v>2413000206001</v>
      </c>
      <c r="F1103" s="1" t="s">
        <v>29</v>
      </c>
      <c r="G1103" s="1" t="s">
        <v>53</v>
      </c>
      <c r="H1103" s="1" t="s">
        <v>505</v>
      </c>
      <c r="I1103" s="1" t="s">
        <v>506</v>
      </c>
      <c r="J1103" s="1" t="s">
        <v>141</v>
      </c>
      <c r="K1103" t="s">
        <v>34</v>
      </c>
      <c r="M1103" s="1" t="s">
        <v>35</v>
      </c>
      <c r="N1103" s="1">
        <v>42318949</v>
      </c>
      <c r="O1103" s="1" t="s">
        <v>105</v>
      </c>
      <c r="P1103" s="11" t="s">
        <v>1847</v>
      </c>
      <c r="R1103" s="1" t="s">
        <v>38</v>
      </c>
      <c r="T1103" s="1" t="s">
        <v>74</v>
      </c>
      <c r="U1103" s="11" t="s">
        <v>1341</v>
      </c>
      <c r="V1103" s="1" t="s">
        <v>41</v>
      </c>
      <c r="W1103" s="1" t="s">
        <v>49</v>
      </c>
      <c r="Z1103" s="14">
        <v>1</v>
      </c>
      <c r="AA1103" s="14"/>
    </row>
    <row r="1104" spans="1:27" hidden="1">
      <c r="A1104" s="1">
        <v>9295593</v>
      </c>
      <c r="B1104" s="1" t="s">
        <v>101</v>
      </c>
      <c r="C1104" t="s">
        <v>1810</v>
      </c>
      <c r="E1104" s="2">
        <v>2388000206001</v>
      </c>
      <c r="F1104" s="1" t="s">
        <v>29</v>
      </c>
      <c r="G1104" s="1" t="s">
        <v>53</v>
      </c>
      <c r="H1104" s="1" t="s">
        <v>299</v>
      </c>
      <c r="I1104" s="1" t="s">
        <v>300</v>
      </c>
      <c r="J1104" s="1" t="s">
        <v>79</v>
      </c>
      <c r="K1104" t="s">
        <v>34</v>
      </c>
      <c r="M1104" s="1" t="s">
        <v>35</v>
      </c>
      <c r="N1104" s="1">
        <v>42318949</v>
      </c>
      <c r="O1104" s="1" t="s">
        <v>105</v>
      </c>
      <c r="P1104" s="11" t="s">
        <v>1848</v>
      </c>
      <c r="R1104" s="1" t="s">
        <v>38</v>
      </c>
      <c r="T1104" s="1" t="s">
        <v>74</v>
      </c>
      <c r="U1104" s="11" t="s">
        <v>1341</v>
      </c>
      <c r="V1104" s="1" t="s">
        <v>41</v>
      </c>
      <c r="W1104" s="1" t="s">
        <v>49</v>
      </c>
      <c r="Z1104" s="14">
        <v>1</v>
      </c>
      <c r="AA1104" s="14"/>
    </row>
    <row r="1105" spans="1:27">
      <c r="A1105" s="1">
        <v>9295576</v>
      </c>
      <c r="B1105" s="1" t="s">
        <v>101</v>
      </c>
      <c r="C1105" t="s">
        <v>1810</v>
      </c>
      <c r="E1105" s="2">
        <v>2371000206001</v>
      </c>
      <c r="F1105" s="1" t="s">
        <v>29</v>
      </c>
      <c r="G1105" s="1" t="s">
        <v>53</v>
      </c>
      <c r="H1105" s="1" t="s">
        <v>1000</v>
      </c>
      <c r="I1105" s="1" t="s">
        <v>1001</v>
      </c>
      <c r="J1105" s="1" t="s">
        <v>90</v>
      </c>
      <c r="K1105" t="s">
        <v>34</v>
      </c>
      <c r="M1105" s="1" t="s">
        <v>35</v>
      </c>
      <c r="N1105" s="1">
        <v>42318949</v>
      </c>
      <c r="O1105" s="1" t="s">
        <v>36</v>
      </c>
      <c r="P1105" s="11" t="s">
        <v>1849</v>
      </c>
      <c r="R1105" s="1" t="s">
        <v>38</v>
      </c>
      <c r="T1105" s="1" t="s">
        <v>74</v>
      </c>
      <c r="U1105" s="11" t="s">
        <v>1341</v>
      </c>
      <c r="V1105" s="1" t="s">
        <v>41</v>
      </c>
      <c r="W1105" s="1" t="s">
        <v>49</v>
      </c>
      <c r="Z1105" s="14">
        <v>1</v>
      </c>
      <c r="AA1105" s="14"/>
    </row>
    <row r="1106" spans="1:27" hidden="1">
      <c r="A1106" s="1">
        <v>9295575</v>
      </c>
      <c r="B1106" s="1" t="s">
        <v>101</v>
      </c>
      <c r="C1106" t="s">
        <v>1810</v>
      </c>
      <c r="E1106" s="2">
        <v>2369000206001</v>
      </c>
      <c r="F1106" s="1" t="s">
        <v>29</v>
      </c>
      <c r="G1106" s="1" t="s">
        <v>53</v>
      </c>
      <c r="H1106" s="1" t="s">
        <v>701</v>
      </c>
      <c r="I1106" s="1" t="s">
        <v>702</v>
      </c>
      <c r="J1106" s="1" t="s">
        <v>141</v>
      </c>
      <c r="K1106" t="s">
        <v>34</v>
      </c>
      <c r="M1106" s="1" t="s">
        <v>35</v>
      </c>
      <c r="N1106" s="1">
        <v>42318949</v>
      </c>
      <c r="O1106" s="1" t="s">
        <v>105</v>
      </c>
      <c r="P1106" s="11" t="s">
        <v>1849</v>
      </c>
      <c r="R1106" s="1" t="s">
        <v>38</v>
      </c>
      <c r="T1106" s="1" t="s">
        <v>74</v>
      </c>
      <c r="U1106" s="11" t="s">
        <v>1341</v>
      </c>
      <c r="V1106" s="1" t="s">
        <v>41</v>
      </c>
      <c r="W1106" s="1" t="s">
        <v>49</v>
      </c>
      <c r="Z1106" s="14">
        <v>1</v>
      </c>
      <c r="AA1106" s="14"/>
    </row>
    <row r="1107" spans="1:27" hidden="1">
      <c r="A1107" s="1">
        <v>9295544</v>
      </c>
      <c r="B1107" s="1" t="s">
        <v>101</v>
      </c>
      <c r="C1107" t="s">
        <v>1810</v>
      </c>
      <c r="E1107" s="2">
        <v>2335000206001</v>
      </c>
      <c r="F1107" s="1" t="s">
        <v>29</v>
      </c>
      <c r="G1107" s="1" t="s">
        <v>53</v>
      </c>
      <c r="H1107" s="1" t="s">
        <v>194</v>
      </c>
      <c r="I1107" s="1" t="s">
        <v>195</v>
      </c>
      <c r="J1107" s="1" t="s">
        <v>110</v>
      </c>
      <c r="K1107" t="s">
        <v>34</v>
      </c>
      <c r="M1107" s="1" t="s">
        <v>35</v>
      </c>
      <c r="N1107" s="1">
        <v>42318949</v>
      </c>
      <c r="O1107" s="1" t="s">
        <v>105</v>
      </c>
      <c r="P1107" s="11" t="s">
        <v>1850</v>
      </c>
      <c r="R1107" s="1" t="s">
        <v>38</v>
      </c>
      <c r="T1107" s="1" t="s">
        <v>74</v>
      </c>
      <c r="U1107" s="11" t="s">
        <v>1341</v>
      </c>
      <c r="V1107" s="1" t="s">
        <v>41</v>
      </c>
      <c r="W1107" s="1" t="s">
        <v>49</v>
      </c>
      <c r="Z1107" s="14">
        <v>1</v>
      </c>
      <c r="AA1107" s="14"/>
    </row>
    <row r="1108" spans="1:27" hidden="1">
      <c r="A1108" s="1">
        <v>9295538</v>
      </c>
      <c r="B1108" s="1" t="s">
        <v>101</v>
      </c>
      <c r="C1108" t="s">
        <v>1810</v>
      </c>
      <c r="E1108" s="2">
        <v>2326000206001</v>
      </c>
      <c r="F1108" s="1" t="s">
        <v>29</v>
      </c>
      <c r="G1108" s="1" t="s">
        <v>53</v>
      </c>
      <c r="H1108" s="1" t="s">
        <v>191</v>
      </c>
      <c r="I1108" s="1" t="s">
        <v>192</v>
      </c>
      <c r="J1108" s="1" t="s">
        <v>46</v>
      </c>
      <c r="K1108" t="s">
        <v>34</v>
      </c>
      <c r="M1108" s="1" t="s">
        <v>35</v>
      </c>
      <c r="N1108" s="1">
        <v>42318949</v>
      </c>
      <c r="O1108" s="1" t="s">
        <v>105</v>
      </c>
      <c r="P1108" s="11" t="s">
        <v>1851</v>
      </c>
      <c r="R1108" s="1" t="s">
        <v>38</v>
      </c>
      <c r="T1108" s="1" t="s">
        <v>74</v>
      </c>
      <c r="U1108" s="11" t="s">
        <v>1341</v>
      </c>
      <c r="V1108" s="1" t="s">
        <v>41</v>
      </c>
      <c r="W1108" s="1" t="s">
        <v>49</v>
      </c>
      <c r="Z1108" s="14">
        <v>1</v>
      </c>
      <c r="AA1108" s="14"/>
    </row>
    <row r="1109" spans="1:27" hidden="1">
      <c r="A1109" s="1">
        <v>9295476</v>
      </c>
      <c r="B1109" s="1" t="s">
        <v>101</v>
      </c>
      <c r="C1109" t="s">
        <v>1810</v>
      </c>
      <c r="E1109" s="2">
        <v>2257000206001</v>
      </c>
      <c r="F1109" s="1" t="s">
        <v>29</v>
      </c>
      <c r="G1109" s="1" t="s">
        <v>53</v>
      </c>
      <c r="H1109" s="1" t="s">
        <v>381</v>
      </c>
      <c r="I1109" s="1" t="s">
        <v>382</v>
      </c>
      <c r="J1109" s="1" t="s">
        <v>110</v>
      </c>
      <c r="K1109" t="s">
        <v>34</v>
      </c>
      <c r="M1109" s="1" t="s">
        <v>35</v>
      </c>
      <c r="N1109" s="1">
        <v>42318949</v>
      </c>
      <c r="O1109" s="1" t="s">
        <v>105</v>
      </c>
      <c r="P1109" s="11" t="s">
        <v>1852</v>
      </c>
      <c r="R1109" s="1" t="s">
        <v>38</v>
      </c>
      <c r="T1109" s="1" t="s">
        <v>74</v>
      </c>
      <c r="U1109" s="11" t="s">
        <v>1341</v>
      </c>
      <c r="V1109" s="1" t="s">
        <v>41</v>
      </c>
      <c r="W1109" s="1" t="s">
        <v>49</v>
      </c>
      <c r="Z1109" s="14">
        <v>1</v>
      </c>
      <c r="AA1109" s="14"/>
    </row>
    <row r="1110" spans="1:27" hidden="1">
      <c r="A1110" s="1">
        <v>9295463</v>
      </c>
      <c r="B1110" s="1" t="s">
        <v>101</v>
      </c>
      <c r="C1110" t="s">
        <v>1810</v>
      </c>
      <c r="E1110" s="2">
        <v>2244000206001</v>
      </c>
      <c r="F1110" s="1" t="s">
        <v>29</v>
      </c>
      <c r="G1110" s="1" t="s">
        <v>53</v>
      </c>
      <c r="H1110" s="1" t="s">
        <v>1853</v>
      </c>
      <c r="I1110" s="1" t="s">
        <v>1854</v>
      </c>
      <c r="J1110" s="1" t="s">
        <v>79</v>
      </c>
      <c r="K1110" t="s">
        <v>34</v>
      </c>
      <c r="M1110" s="1" t="s">
        <v>35</v>
      </c>
      <c r="N1110" s="1">
        <v>42318949</v>
      </c>
      <c r="O1110" s="1" t="s">
        <v>105</v>
      </c>
      <c r="P1110" s="11" t="s">
        <v>1855</v>
      </c>
      <c r="R1110" s="1" t="s">
        <v>38</v>
      </c>
      <c r="T1110" s="1" t="s">
        <v>74</v>
      </c>
      <c r="U1110" s="11" t="s">
        <v>1341</v>
      </c>
      <c r="V1110" s="1" t="s">
        <v>41</v>
      </c>
      <c r="W1110" s="1" t="s">
        <v>49</v>
      </c>
      <c r="Z1110" s="14">
        <v>1</v>
      </c>
      <c r="AA1110" s="14"/>
    </row>
    <row r="1111" spans="1:27" hidden="1">
      <c r="A1111" s="1">
        <v>9295457</v>
      </c>
      <c r="B1111" s="1" t="s">
        <v>101</v>
      </c>
      <c r="C1111" t="s">
        <v>1810</v>
      </c>
      <c r="E1111" s="2">
        <v>2238000206001</v>
      </c>
      <c r="F1111" s="1" t="s">
        <v>29</v>
      </c>
      <c r="G1111" s="1" t="s">
        <v>53</v>
      </c>
      <c r="H1111" s="1" t="s">
        <v>707</v>
      </c>
      <c r="I1111" s="1" t="s">
        <v>708</v>
      </c>
      <c r="J1111" s="1" t="s">
        <v>79</v>
      </c>
      <c r="K1111" t="s">
        <v>34</v>
      </c>
      <c r="M1111" s="1" t="s">
        <v>35</v>
      </c>
      <c r="N1111" s="1">
        <v>42318949</v>
      </c>
      <c r="O1111" s="1" t="s">
        <v>105</v>
      </c>
      <c r="P1111" s="11" t="s">
        <v>1856</v>
      </c>
      <c r="R1111" s="1" t="s">
        <v>38</v>
      </c>
      <c r="T1111" s="1" t="s">
        <v>74</v>
      </c>
      <c r="U1111" s="11" t="s">
        <v>1341</v>
      </c>
      <c r="V1111" s="1" t="s">
        <v>41</v>
      </c>
      <c r="W1111" s="1" t="s">
        <v>49</v>
      </c>
      <c r="Z1111" s="14">
        <v>1</v>
      </c>
      <c r="AA1111" s="14"/>
    </row>
    <row r="1112" spans="1:27">
      <c r="A1112" s="1">
        <v>9295448</v>
      </c>
      <c r="B1112" s="1" t="s">
        <v>101</v>
      </c>
      <c r="C1112" t="s">
        <v>1810</v>
      </c>
      <c r="E1112" s="2">
        <v>2229000206001</v>
      </c>
      <c r="F1112" s="1" t="s">
        <v>29</v>
      </c>
      <c r="G1112" s="1" t="s">
        <v>53</v>
      </c>
      <c r="H1112" s="1" t="s">
        <v>339</v>
      </c>
      <c r="I1112" s="1" t="s">
        <v>340</v>
      </c>
      <c r="J1112" s="1" t="s">
        <v>211</v>
      </c>
      <c r="K1112" t="s">
        <v>34</v>
      </c>
      <c r="M1112" s="1" t="s">
        <v>35</v>
      </c>
      <c r="N1112" s="1">
        <v>42318949</v>
      </c>
      <c r="O1112" s="1" t="s">
        <v>105</v>
      </c>
      <c r="P1112" s="11" t="s">
        <v>1857</v>
      </c>
      <c r="R1112" s="1" t="s">
        <v>38</v>
      </c>
      <c r="T1112" s="1" t="s">
        <v>74</v>
      </c>
      <c r="U1112" s="11" t="s">
        <v>1341</v>
      </c>
      <c r="V1112" s="1" t="s">
        <v>41</v>
      </c>
      <c r="W1112" s="1" t="s">
        <v>49</v>
      </c>
      <c r="Z1112" s="14">
        <v>1</v>
      </c>
      <c r="AA1112" s="14"/>
    </row>
    <row r="1113" spans="1:27" hidden="1">
      <c r="A1113" s="1">
        <v>9295438</v>
      </c>
      <c r="B1113" s="1" t="s">
        <v>101</v>
      </c>
      <c r="C1113" t="s">
        <v>1810</v>
      </c>
      <c r="E1113" s="2">
        <v>2219000206001</v>
      </c>
      <c r="F1113" s="1" t="s">
        <v>29</v>
      </c>
      <c r="G1113" s="1" t="s">
        <v>53</v>
      </c>
      <c r="H1113" s="1" t="s">
        <v>893</v>
      </c>
      <c r="I1113" s="1" t="s">
        <v>894</v>
      </c>
      <c r="J1113" s="1" t="s">
        <v>141</v>
      </c>
      <c r="K1113" t="s">
        <v>34</v>
      </c>
      <c r="M1113" s="1" t="s">
        <v>35</v>
      </c>
      <c r="N1113" s="1">
        <v>42318949</v>
      </c>
      <c r="O1113" s="1" t="s">
        <v>105</v>
      </c>
      <c r="P1113" s="11" t="s">
        <v>1858</v>
      </c>
      <c r="R1113" s="1" t="s">
        <v>38</v>
      </c>
      <c r="T1113" s="1" t="s">
        <v>74</v>
      </c>
      <c r="U1113" s="11" t="s">
        <v>1341</v>
      </c>
      <c r="V1113" s="1" t="s">
        <v>41</v>
      </c>
      <c r="W1113" s="1" t="s">
        <v>49</v>
      </c>
      <c r="Z1113" s="14">
        <v>1</v>
      </c>
      <c r="AA1113" s="14"/>
    </row>
    <row r="1114" spans="1:27" hidden="1">
      <c r="A1114" s="1">
        <v>9295414</v>
      </c>
      <c r="B1114" s="1" t="s">
        <v>101</v>
      </c>
      <c r="C1114" t="s">
        <v>1810</v>
      </c>
      <c r="E1114" s="2">
        <v>2196000206001</v>
      </c>
      <c r="F1114" s="1" t="s">
        <v>29</v>
      </c>
      <c r="G1114" s="1" t="s">
        <v>53</v>
      </c>
      <c r="H1114" s="1" t="s">
        <v>1252</v>
      </c>
      <c r="I1114" s="1" t="s">
        <v>1253</v>
      </c>
      <c r="J1114" s="1" t="s">
        <v>33</v>
      </c>
      <c r="K1114" t="s">
        <v>34</v>
      </c>
      <c r="M1114" s="1" t="s">
        <v>35</v>
      </c>
      <c r="N1114" s="1">
        <v>42318949</v>
      </c>
      <c r="O1114" s="1" t="s">
        <v>105</v>
      </c>
      <c r="P1114" s="12">
        <v>44932.431840277779</v>
      </c>
      <c r="R1114" s="1" t="s">
        <v>38</v>
      </c>
      <c r="T1114" s="1" t="s">
        <v>74</v>
      </c>
      <c r="U1114" s="12">
        <v>44932.75</v>
      </c>
      <c r="V1114" s="1" t="s">
        <v>41</v>
      </c>
      <c r="W1114" s="1" t="s">
        <v>42</v>
      </c>
      <c r="Z1114" s="14">
        <v>1</v>
      </c>
      <c r="AA1114" s="14"/>
    </row>
    <row r="1115" spans="1:27">
      <c r="A1115" s="1">
        <v>9295387</v>
      </c>
      <c r="B1115" s="1" t="s">
        <v>101</v>
      </c>
      <c r="C1115" t="s">
        <v>1810</v>
      </c>
      <c r="E1115" s="2">
        <v>2170000206001</v>
      </c>
      <c r="F1115" s="1" t="s">
        <v>29</v>
      </c>
      <c r="G1115" s="1" t="s">
        <v>53</v>
      </c>
      <c r="H1115" s="1" t="s">
        <v>477</v>
      </c>
      <c r="I1115" s="1" t="s">
        <v>478</v>
      </c>
      <c r="J1115" s="1" t="s">
        <v>148</v>
      </c>
      <c r="K1115" t="s">
        <v>34</v>
      </c>
      <c r="M1115" s="1" t="s">
        <v>35</v>
      </c>
      <c r="N1115" s="1">
        <v>42318949</v>
      </c>
      <c r="O1115" s="1" t="s">
        <v>105</v>
      </c>
      <c r="P1115" s="11" t="s">
        <v>1859</v>
      </c>
      <c r="R1115" s="1" t="s">
        <v>38</v>
      </c>
      <c r="T1115" s="1" t="s">
        <v>74</v>
      </c>
      <c r="U1115" s="11" t="s">
        <v>1341</v>
      </c>
      <c r="V1115" s="1" t="s">
        <v>41</v>
      </c>
      <c r="W1115" s="1" t="s">
        <v>49</v>
      </c>
      <c r="Z1115" s="14">
        <v>1</v>
      </c>
      <c r="AA1115" s="14"/>
    </row>
    <row r="1116" spans="1:27" hidden="1">
      <c r="A1116" s="1">
        <v>9295358</v>
      </c>
      <c r="B1116" s="1" t="s">
        <v>101</v>
      </c>
      <c r="C1116" t="s">
        <v>1810</v>
      </c>
      <c r="E1116" s="2">
        <v>2138000206001</v>
      </c>
      <c r="F1116" s="1" t="s">
        <v>29</v>
      </c>
      <c r="G1116" s="1" t="s">
        <v>53</v>
      </c>
      <c r="H1116" s="1" t="s">
        <v>379</v>
      </c>
      <c r="I1116" s="1" t="s">
        <v>380</v>
      </c>
      <c r="J1116" s="1" t="s">
        <v>46</v>
      </c>
      <c r="K1116" t="s">
        <v>34</v>
      </c>
      <c r="M1116" s="1" t="s">
        <v>35</v>
      </c>
      <c r="N1116" s="1">
        <v>42318949</v>
      </c>
      <c r="O1116" s="1" t="s">
        <v>105</v>
      </c>
      <c r="P1116" s="12">
        <v>44932.431759259256</v>
      </c>
      <c r="R1116" s="1" t="s">
        <v>38</v>
      </c>
      <c r="T1116" s="1" t="s">
        <v>74</v>
      </c>
      <c r="U1116" s="12">
        <v>44932.75</v>
      </c>
      <c r="V1116" s="1" t="s">
        <v>41</v>
      </c>
      <c r="W1116" s="1" t="s">
        <v>49</v>
      </c>
      <c r="Z1116" s="14">
        <v>1</v>
      </c>
      <c r="AA1116" s="14"/>
    </row>
    <row r="1117" spans="1:27">
      <c r="A1117" s="1">
        <v>9295348</v>
      </c>
      <c r="B1117" s="1" t="s">
        <v>101</v>
      </c>
      <c r="C1117" t="s">
        <v>1810</v>
      </c>
      <c r="E1117" s="2">
        <v>2125000206001</v>
      </c>
      <c r="F1117" s="1" t="s">
        <v>29</v>
      </c>
      <c r="G1117" s="1" t="s">
        <v>53</v>
      </c>
      <c r="H1117" s="1" t="s">
        <v>1399</v>
      </c>
      <c r="I1117" s="1" t="s">
        <v>1400</v>
      </c>
      <c r="J1117" s="1" t="s">
        <v>211</v>
      </c>
      <c r="K1117" t="s">
        <v>34</v>
      </c>
      <c r="M1117" s="1" t="s">
        <v>35</v>
      </c>
      <c r="N1117" s="1">
        <v>42318949</v>
      </c>
      <c r="O1117" s="1" t="s">
        <v>105</v>
      </c>
      <c r="P1117" s="11" t="s">
        <v>1860</v>
      </c>
      <c r="R1117" s="1" t="s">
        <v>38</v>
      </c>
      <c r="T1117" s="1" t="s">
        <v>74</v>
      </c>
      <c r="U1117" s="11" t="s">
        <v>1341</v>
      </c>
      <c r="V1117" s="1" t="s">
        <v>41</v>
      </c>
      <c r="W1117" s="1" t="s">
        <v>49</v>
      </c>
      <c r="Z1117" s="14">
        <v>1</v>
      </c>
      <c r="AA1117" s="14"/>
    </row>
    <row r="1118" spans="1:27" hidden="1">
      <c r="A1118" s="1">
        <v>9295334</v>
      </c>
      <c r="B1118" s="1" t="s">
        <v>101</v>
      </c>
      <c r="C1118" t="s">
        <v>1810</v>
      </c>
      <c r="E1118" s="2">
        <v>2107000206001</v>
      </c>
      <c r="F1118" s="1" t="s">
        <v>29</v>
      </c>
      <c r="G1118" s="1" t="s">
        <v>53</v>
      </c>
      <c r="H1118" s="1" t="s">
        <v>262</v>
      </c>
      <c r="I1118" s="1" t="s">
        <v>263</v>
      </c>
      <c r="J1118" s="1" t="s">
        <v>164</v>
      </c>
      <c r="K1118" t="s">
        <v>34</v>
      </c>
      <c r="M1118" s="1" t="s">
        <v>35</v>
      </c>
      <c r="N1118" s="1">
        <v>42318949</v>
      </c>
      <c r="O1118" s="1" t="s">
        <v>105</v>
      </c>
      <c r="P1118" s="11" t="s">
        <v>1861</v>
      </c>
      <c r="R1118" s="1" t="s">
        <v>38</v>
      </c>
      <c r="T1118" s="1" t="s">
        <v>74</v>
      </c>
      <c r="U1118" s="11" t="s">
        <v>1341</v>
      </c>
      <c r="V1118" s="1" t="s">
        <v>41</v>
      </c>
      <c r="W1118" s="1" t="s">
        <v>49</v>
      </c>
      <c r="Z1118" s="14">
        <v>1</v>
      </c>
      <c r="AA1118" s="14"/>
    </row>
    <row r="1119" spans="1:27" hidden="1">
      <c r="A1119" s="1">
        <v>9295312</v>
      </c>
      <c r="B1119" s="1" t="s">
        <v>101</v>
      </c>
      <c r="C1119" t="s">
        <v>1810</v>
      </c>
      <c r="E1119" s="2">
        <v>2081000206001</v>
      </c>
      <c r="F1119" s="1" t="s">
        <v>29</v>
      </c>
      <c r="G1119" s="1" t="s">
        <v>53</v>
      </c>
      <c r="H1119" s="1" t="s">
        <v>590</v>
      </c>
      <c r="I1119" s="1" t="s">
        <v>591</v>
      </c>
      <c r="J1119" s="1" t="s">
        <v>261</v>
      </c>
      <c r="K1119" t="s">
        <v>34</v>
      </c>
      <c r="M1119" s="1" t="s">
        <v>35</v>
      </c>
      <c r="N1119" s="1">
        <v>42318949</v>
      </c>
      <c r="O1119" s="1" t="s">
        <v>105</v>
      </c>
      <c r="P1119" s="11" t="s">
        <v>1862</v>
      </c>
      <c r="R1119" s="1" t="s">
        <v>38</v>
      </c>
      <c r="T1119" s="1" t="s">
        <v>74</v>
      </c>
      <c r="U1119" s="11" t="s">
        <v>1341</v>
      </c>
      <c r="V1119" s="1" t="s">
        <v>41</v>
      </c>
      <c r="W1119" s="1" t="s">
        <v>49</v>
      </c>
      <c r="Z1119" s="14">
        <v>1</v>
      </c>
      <c r="AA1119" s="14"/>
    </row>
    <row r="1120" spans="1:27">
      <c r="A1120" s="1">
        <v>9295301</v>
      </c>
      <c r="B1120" s="1" t="s">
        <v>101</v>
      </c>
      <c r="C1120" t="s">
        <v>1810</v>
      </c>
      <c r="E1120" s="2">
        <v>2069000206001</v>
      </c>
      <c r="F1120" s="1" t="s">
        <v>29</v>
      </c>
      <c r="G1120" s="1" t="s">
        <v>53</v>
      </c>
      <c r="H1120" s="1" t="s">
        <v>557</v>
      </c>
      <c r="I1120" s="1" t="s">
        <v>558</v>
      </c>
      <c r="J1120" s="1" t="s">
        <v>90</v>
      </c>
      <c r="K1120" t="s">
        <v>34</v>
      </c>
      <c r="M1120" s="1" t="s">
        <v>35</v>
      </c>
      <c r="N1120" s="1">
        <v>42318949</v>
      </c>
      <c r="O1120" s="1" t="s">
        <v>105</v>
      </c>
      <c r="P1120" s="11" t="s">
        <v>1863</v>
      </c>
      <c r="R1120" s="1" t="s">
        <v>38</v>
      </c>
      <c r="T1120" s="1" t="s">
        <v>74</v>
      </c>
      <c r="U1120" s="11" t="s">
        <v>1341</v>
      </c>
      <c r="V1120" s="1" t="s">
        <v>41</v>
      </c>
      <c r="W1120" s="1" t="s">
        <v>49</v>
      </c>
      <c r="Z1120" s="14">
        <v>1</v>
      </c>
      <c r="AA1120" s="14"/>
    </row>
    <row r="1121" spans="1:27" hidden="1">
      <c r="A1121" s="1">
        <v>9295258</v>
      </c>
      <c r="B1121" s="1" t="s">
        <v>101</v>
      </c>
      <c r="C1121" t="s">
        <v>1810</v>
      </c>
      <c r="E1121" s="2">
        <v>2018000206001</v>
      </c>
      <c r="F1121" s="1" t="s">
        <v>29</v>
      </c>
      <c r="G1121" s="1" t="s">
        <v>53</v>
      </c>
      <c r="H1121" s="1" t="s">
        <v>598</v>
      </c>
      <c r="I1121" s="1" t="s">
        <v>599</v>
      </c>
      <c r="J1121" s="1" t="s">
        <v>79</v>
      </c>
      <c r="K1121" t="s">
        <v>34</v>
      </c>
      <c r="M1121" s="1" t="s">
        <v>35</v>
      </c>
      <c r="N1121" s="1">
        <v>42318949</v>
      </c>
      <c r="O1121" s="1" t="s">
        <v>105</v>
      </c>
      <c r="P1121" s="11" t="s">
        <v>1864</v>
      </c>
      <c r="R1121" s="1" t="s">
        <v>38</v>
      </c>
      <c r="T1121" s="1" t="s">
        <v>74</v>
      </c>
      <c r="U1121" s="11" t="s">
        <v>1341</v>
      </c>
      <c r="V1121" s="1" t="s">
        <v>41</v>
      </c>
      <c r="W1121" s="1" t="s">
        <v>49</v>
      </c>
      <c r="Z1121" s="14">
        <v>1</v>
      </c>
      <c r="AA1121" s="14"/>
    </row>
    <row r="1122" spans="1:27" hidden="1">
      <c r="A1122" s="1">
        <v>9295224</v>
      </c>
      <c r="B1122" s="1" t="s">
        <v>101</v>
      </c>
      <c r="C1122" t="s">
        <v>1810</v>
      </c>
      <c r="E1122" s="2">
        <v>1943000206001</v>
      </c>
      <c r="F1122" s="1" t="s">
        <v>29</v>
      </c>
      <c r="G1122" s="1" t="s">
        <v>53</v>
      </c>
      <c r="H1122" s="1" t="s">
        <v>264</v>
      </c>
      <c r="I1122" s="1" t="s">
        <v>265</v>
      </c>
      <c r="J1122" s="1" t="s">
        <v>56</v>
      </c>
      <c r="K1122" t="s">
        <v>34</v>
      </c>
      <c r="M1122" s="1" t="s">
        <v>35</v>
      </c>
      <c r="N1122" s="1">
        <v>42318949</v>
      </c>
      <c r="O1122" s="1" t="s">
        <v>105</v>
      </c>
      <c r="P1122" s="11" t="s">
        <v>1865</v>
      </c>
      <c r="R1122" s="1" t="s">
        <v>38</v>
      </c>
      <c r="T1122" s="1" t="s">
        <v>74</v>
      </c>
      <c r="U1122" s="11" t="s">
        <v>1341</v>
      </c>
      <c r="V1122" s="1" t="s">
        <v>41</v>
      </c>
      <c r="W1122" s="1" t="s">
        <v>49</v>
      </c>
      <c r="Z1122" s="14">
        <v>1</v>
      </c>
      <c r="AA1122" s="14"/>
    </row>
    <row r="1123" spans="1:27" hidden="1">
      <c r="A1123" s="1">
        <v>9295212</v>
      </c>
      <c r="B1123" s="1" t="s">
        <v>101</v>
      </c>
      <c r="C1123" t="s">
        <v>1810</v>
      </c>
      <c r="E1123" s="2">
        <v>1924000206001</v>
      </c>
      <c r="F1123" s="2" t="s">
        <v>29</v>
      </c>
      <c r="G1123" s="1" t="s">
        <v>53</v>
      </c>
      <c r="H1123" s="1" t="s">
        <v>568</v>
      </c>
      <c r="I1123" s="179" t="s">
        <v>569</v>
      </c>
      <c r="J1123" s="1" t="s">
        <v>33</v>
      </c>
      <c r="K1123" s="1" t="s">
        <v>34</v>
      </c>
      <c r="M1123" s="1" t="s">
        <v>35</v>
      </c>
      <c r="N1123" s="1">
        <v>42318949</v>
      </c>
      <c r="O1123" s="1" t="s">
        <v>105</v>
      </c>
      <c r="P1123" s="11" t="s">
        <v>1866</v>
      </c>
      <c r="R1123" s="1" t="s">
        <v>38</v>
      </c>
      <c r="T1123" s="1" t="s">
        <v>74</v>
      </c>
      <c r="U1123" s="11" t="s">
        <v>1341</v>
      </c>
      <c r="V1123" s="1" t="s">
        <v>41</v>
      </c>
      <c r="W1123" s="1" t="s">
        <v>49</v>
      </c>
      <c r="Z1123" s="14">
        <v>1</v>
      </c>
      <c r="AA1123" s="14"/>
    </row>
    <row r="1124" spans="1:27">
      <c r="A1124" s="1">
        <v>9295207</v>
      </c>
      <c r="B1124" s="1" t="s">
        <v>101</v>
      </c>
      <c r="C1124" t="s">
        <v>1810</v>
      </c>
      <c r="E1124" s="2">
        <v>1903220206001</v>
      </c>
      <c r="F1124" s="1" t="s">
        <v>29</v>
      </c>
      <c r="G1124" s="1" t="s">
        <v>53</v>
      </c>
      <c r="H1124" s="1" t="s">
        <v>1867</v>
      </c>
      <c r="I1124" s="1" t="s">
        <v>1868</v>
      </c>
      <c r="J1124" s="1" t="s">
        <v>211</v>
      </c>
      <c r="K1124" t="s">
        <v>34</v>
      </c>
      <c r="M1124" s="1" t="s">
        <v>35</v>
      </c>
      <c r="N1124" s="1">
        <v>42318949</v>
      </c>
      <c r="O1124" s="1" t="s">
        <v>105</v>
      </c>
      <c r="P1124" s="11" t="s">
        <v>1869</v>
      </c>
      <c r="R1124" s="1" t="s">
        <v>38</v>
      </c>
      <c r="T1124" s="1" t="s">
        <v>74</v>
      </c>
      <c r="U1124" s="11" t="s">
        <v>1341</v>
      </c>
      <c r="V1124" s="1" t="s">
        <v>41</v>
      </c>
      <c r="W1124" s="1" t="s">
        <v>49</v>
      </c>
      <c r="Z1124" s="14">
        <v>1</v>
      </c>
      <c r="AA1124" s="14"/>
    </row>
    <row r="1125" spans="1:27" hidden="1">
      <c r="A1125" s="1">
        <v>9295158</v>
      </c>
      <c r="B1125" s="1" t="s">
        <v>101</v>
      </c>
      <c r="C1125" t="s">
        <v>1810</v>
      </c>
      <c r="E1125" s="2">
        <v>1838000206001</v>
      </c>
      <c r="F1125" s="1" t="s">
        <v>29</v>
      </c>
      <c r="G1125" s="1" t="s">
        <v>53</v>
      </c>
      <c r="H1125" s="1" t="s">
        <v>357</v>
      </c>
      <c r="I1125" s="1" t="s">
        <v>358</v>
      </c>
      <c r="J1125" s="1" t="s">
        <v>46</v>
      </c>
      <c r="K1125" t="s">
        <v>34</v>
      </c>
      <c r="M1125" s="1" t="s">
        <v>35</v>
      </c>
      <c r="N1125" s="1">
        <v>42318949</v>
      </c>
      <c r="O1125" s="1" t="s">
        <v>105</v>
      </c>
      <c r="P1125" s="11" t="s">
        <v>1870</v>
      </c>
      <c r="R1125" s="1" t="s">
        <v>38</v>
      </c>
      <c r="T1125" s="1" t="s">
        <v>74</v>
      </c>
      <c r="U1125" s="11" t="s">
        <v>1341</v>
      </c>
      <c r="V1125" s="1" t="s">
        <v>41</v>
      </c>
      <c r="W1125" s="1" t="s">
        <v>49</v>
      </c>
      <c r="Z1125" s="14">
        <v>1</v>
      </c>
      <c r="AA1125" s="14"/>
    </row>
    <row r="1126" spans="1:27" hidden="1">
      <c r="A1126" s="1">
        <v>9295157</v>
      </c>
      <c r="B1126" s="1" t="s">
        <v>101</v>
      </c>
      <c r="C1126" t="s">
        <v>1810</v>
      </c>
      <c r="E1126" s="2">
        <v>1837000206001</v>
      </c>
      <c r="F1126" s="1" t="s">
        <v>29</v>
      </c>
      <c r="G1126" s="1" t="s">
        <v>53</v>
      </c>
      <c r="H1126" s="1" t="s">
        <v>1785</v>
      </c>
      <c r="I1126" s="1" t="s">
        <v>1786</v>
      </c>
      <c r="J1126" s="1" t="s">
        <v>46</v>
      </c>
      <c r="K1126" t="s">
        <v>34</v>
      </c>
      <c r="M1126" s="1" t="s">
        <v>35</v>
      </c>
      <c r="N1126" s="1">
        <v>42318949</v>
      </c>
      <c r="O1126" s="1" t="s">
        <v>105</v>
      </c>
      <c r="P1126" s="11" t="s">
        <v>1870</v>
      </c>
      <c r="R1126" s="1" t="s">
        <v>38</v>
      </c>
      <c r="T1126" s="1" t="s">
        <v>74</v>
      </c>
      <c r="U1126" s="11" t="s">
        <v>1341</v>
      </c>
      <c r="V1126" s="1" t="s">
        <v>41</v>
      </c>
      <c r="W1126" s="1" t="s">
        <v>49</v>
      </c>
      <c r="Z1126" s="14">
        <v>1</v>
      </c>
      <c r="AA1126" s="14"/>
    </row>
    <row r="1127" spans="1:27" hidden="1">
      <c r="A1127" s="1">
        <v>9295156</v>
      </c>
      <c r="B1127" s="1" t="s">
        <v>101</v>
      </c>
      <c r="C1127" t="s">
        <v>1810</v>
      </c>
      <c r="E1127" s="2">
        <v>1835000206001</v>
      </c>
      <c r="F1127" s="1" t="s">
        <v>29</v>
      </c>
      <c r="G1127" s="1" t="s">
        <v>53</v>
      </c>
      <c r="H1127" s="1" t="s">
        <v>305</v>
      </c>
      <c r="I1127" s="1" t="s">
        <v>306</v>
      </c>
      <c r="J1127" s="1" t="s">
        <v>46</v>
      </c>
      <c r="K1127" t="s">
        <v>34</v>
      </c>
      <c r="M1127" s="1" t="s">
        <v>35</v>
      </c>
      <c r="N1127" s="1">
        <v>42318949</v>
      </c>
      <c r="O1127" s="1" t="s">
        <v>105</v>
      </c>
      <c r="P1127" s="11" t="s">
        <v>1870</v>
      </c>
      <c r="R1127" s="1" t="s">
        <v>38</v>
      </c>
      <c r="T1127" s="1" t="s">
        <v>74</v>
      </c>
      <c r="U1127" s="11" t="s">
        <v>1341</v>
      </c>
      <c r="V1127" s="1" t="s">
        <v>41</v>
      </c>
      <c r="W1127" s="1" t="s">
        <v>49</v>
      </c>
      <c r="Z1127" s="14">
        <v>1</v>
      </c>
      <c r="AA1127" s="14"/>
    </row>
    <row r="1128" spans="1:27" hidden="1">
      <c r="A1128" s="1">
        <v>9295154</v>
      </c>
      <c r="B1128" s="1" t="s">
        <v>101</v>
      </c>
      <c r="C1128" t="s">
        <v>1810</v>
      </c>
      <c r="E1128" s="2">
        <v>1833000206001</v>
      </c>
      <c r="F1128" s="1" t="s">
        <v>29</v>
      </c>
      <c r="G1128" s="1" t="s">
        <v>53</v>
      </c>
      <c r="H1128" s="1" t="s">
        <v>369</v>
      </c>
      <c r="I1128" s="1" t="s">
        <v>370</v>
      </c>
      <c r="J1128" s="1" t="s">
        <v>46</v>
      </c>
      <c r="K1128" t="s">
        <v>34</v>
      </c>
      <c r="M1128" s="1" t="s">
        <v>35</v>
      </c>
      <c r="N1128" s="1">
        <v>42318949</v>
      </c>
      <c r="O1128" s="1" t="s">
        <v>105</v>
      </c>
      <c r="P1128" s="11" t="s">
        <v>1871</v>
      </c>
      <c r="R1128" s="1" t="s">
        <v>38</v>
      </c>
      <c r="T1128" s="1" t="s">
        <v>74</v>
      </c>
      <c r="U1128" s="11" t="s">
        <v>1341</v>
      </c>
      <c r="V1128" s="1" t="s">
        <v>41</v>
      </c>
      <c r="W1128" s="1" t="s">
        <v>49</v>
      </c>
      <c r="Z1128" s="14">
        <v>1</v>
      </c>
      <c r="AA1128" s="14"/>
    </row>
    <row r="1129" spans="1:27" hidden="1">
      <c r="A1129" s="1">
        <v>9295142</v>
      </c>
      <c r="B1129" s="1" t="s">
        <v>101</v>
      </c>
      <c r="C1129" t="s">
        <v>1810</v>
      </c>
      <c r="E1129" s="2">
        <v>1814000206001</v>
      </c>
      <c r="F1129" s="18" t="s">
        <v>29</v>
      </c>
      <c r="G1129" s="1" t="s">
        <v>53</v>
      </c>
      <c r="H1129" s="1" t="s">
        <v>396</v>
      </c>
      <c r="I1129" s="1" t="s">
        <v>397</v>
      </c>
      <c r="J1129" s="1" t="s">
        <v>46</v>
      </c>
      <c r="K1129" t="s">
        <v>34</v>
      </c>
      <c r="M1129" s="1" t="s">
        <v>35</v>
      </c>
      <c r="N1129" s="1">
        <v>42318949</v>
      </c>
      <c r="O1129" s="1" t="s">
        <v>105</v>
      </c>
      <c r="P1129" s="11" t="s">
        <v>1872</v>
      </c>
      <c r="R1129" s="1" t="s">
        <v>38</v>
      </c>
      <c r="T1129" s="1" t="s">
        <v>74</v>
      </c>
      <c r="U1129" s="11" t="s">
        <v>1341</v>
      </c>
      <c r="V1129" s="1" t="s">
        <v>41</v>
      </c>
      <c r="W1129" s="1" t="s">
        <v>49</v>
      </c>
      <c r="Z1129" s="14">
        <v>1</v>
      </c>
      <c r="AA1129" s="14"/>
    </row>
    <row r="1130" spans="1:27" hidden="1">
      <c r="A1130" s="1">
        <v>9295124</v>
      </c>
      <c r="B1130" s="1" t="s">
        <v>101</v>
      </c>
      <c r="C1130" t="s">
        <v>1810</v>
      </c>
      <c r="E1130" s="2">
        <v>1792000206001</v>
      </c>
      <c r="F1130" s="1" t="s">
        <v>29</v>
      </c>
      <c r="G1130" s="1" t="s">
        <v>53</v>
      </c>
      <c r="H1130" s="1" t="s">
        <v>467</v>
      </c>
      <c r="I1130" s="1" t="s">
        <v>468</v>
      </c>
      <c r="J1130" s="1" t="s">
        <v>110</v>
      </c>
      <c r="K1130" t="s">
        <v>34</v>
      </c>
      <c r="M1130" s="1" t="s">
        <v>35</v>
      </c>
      <c r="N1130" s="1">
        <v>42318949</v>
      </c>
      <c r="O1130" s="1" t="s">
        <v>105</v>
      </c>
      <c r="P1130" s="11" t="s">
        <v>1873</v>
      </c>
      <c r="R1130" s="1" t="s">
        <v>38</v>
      </c>
      <c r="T1130" s="1" t="s">
        <v>74</v>
      </c>
      <c r="U1130" s="11" t="s">
        <v>1341</v>
      </c>
      <c r="V1130" s="1" t="s">
        <v>41</v>
      </c>
      <c r="W1130" s="1" t="s">
        <v>49</v>
      </c>
      <c r="Z1130" s="14">
        <v>1</v>
      </c>
      <c r="AA1130" s="14"/>
    </row>
    <row r="1131" spans="1:27">
      <c r="A1131" s="1">
        <v>9295100</v>
      </c>
      <c r="B1131" s="1" t="s">
        <v>101</v>
      </c>
      <c r="C1131" t="s">
        <v>1810</v>
      </c>
      <c r="E1131" s="2">
        <v>1764000206001</v>
      </c>
      <c r="F1131" s="1" t="s">
        <v>29</v>
      </c>
      <c r="G1131" s="1" t="s">
        <v>53</v>
      </c>
      <c r="H1131" s="1" t="s">
        <v>722</v>
      </c>
      <c r="I1131" s="1" t="s">
        <v>723</v>
      </c>
      <c r="J1131" s="1" t="s">
        <v>90</v>
      </c>
      <c r="K1131" t="s">
        <v>34</v>
      </c>
      <c r="M1131" s="1" t="s">
        <v>35</v>
      </c>
      <c r="N1131" s="1">
        <v>42318949</v>
      </c>
      <c r="O1131" s="1" t="s">
        <v>105</v>
      </c>
      <c r="P1131" s="11" t="s">
        <v>1874</v>
      </c>
      <c r="R1131" s="1" t="s">
        <v>38</v>
      </c>
      <c r="T1131" s="1" t="s">
        <v>74</v>
      </c>
      <c r="U1131" s="11" t="s">
        <v>1341</v>
      </c>
      <c r="V1131" s="1" t="s">
        <v>41</v>
      </c>
      <c r="W1131" s="1" t="s">
        <v>49</v>
      </c>
      <c r="Z1131" s="14">
        <v>1</v>
      </c>
      <c r="AA1131" s="14"/>
    </row>
    <row r="1132" spans="1:27" hidden="1">
      <c r="A1132" s="1">
        <v>9295076</v>
      </c>
      <c r="B1132" s="1" t="s">
        <v>101</v>
      </c>
      <c r="C1132" t="s">
        <v>1810</v>
      </c>
      <c r="E1132" s="2">
        <v>1739000206001</v>
      </c>
      <c r="F1132" s="1" t="s">
        <v>29</v>
      </c>
      <c r="G1132" s="1" t="s">
        <v>53</v>
      </c>
      <c r="H1132" s="1" t="s">
        <v>162</v>
      </c>
      <c r="I1132" s="1" t="s">
        <v>163</v>
      </c>
      <c r="J1132" s="1" t="s">
        <v>164</v>
      </c>
      <c r="K1132" t="s">
        <v>34</v>
      </c>
      <c r="M1132" s="1" t="s">
        <v>35</v>
      </c>
      <c r="N1132" s="1">
        <v>42318949</v>
      </c>
      <c r="O1132" s="1" t="s">
        <v>105</v>
      </c>
      <c r="P1132" s="11" t="s">
        <v>1875</v>
      </c>
      <c r="R1132" s="1" t="s">
        <v>38</v>
      </c>
      <c r="T1132" s="1" t="s">
        <v>74</v>
      </c>
      <c r="U1132" s="11" t="s">
        <v>1341</v>
      </c>
      <c r="V1132" s="1" t="s">
        <v>41</v>
      </c>
      <c r="W1132" s="1" t="s">
        <v>49</v>
      </c>
      <c r="Z1132" s="14">
        <v>1</v>
      </c>
      <c r="AA1132" s="14"/>
    </row>
    <row r="1133" spans="1:27" hidden="1">
      <c r="A1133" s="1">
        <v>9295072</v>
      </c>
      <c r="B1133" s="1" t="s">
        <v>101</v>
      </c>
      <c r="C1133" t="s">
        <v>1810</v>
      </c>
      <c r="E1133" s="2">
        <v>1732000206001</v>
      </c>
      <c r="F1133" s="1" t="s">
        <v>29</v>
      </c>
      <c r="G1133" s="1" t="s">
        <v>53</v>
      </c>
      <c r="H1133" s="1" t="s">
        <v>177</v>
      </c>
      <c r="I1133" s="1" t="s">
        <v>178</v>
      </c>
      <c r="J1133" s="1" t="s">
        <v>164</v>
      </c>
      <c r="K1133" t="s">
        <v>34</v>
      </c>
      <c r="M1133" s="1" t="s">
        <v>35</v>
      </c>
      <c r="N1133" s="1">
        <v>42318949</v>
      </c>
      <c r="O1133" s="1" t="s">
        <v>105</v>
      </c>
      <c r="P1133" s="11" t="s">
        <v>1875</v>
      </c>
      <c r="R1133" s="1" t="s">
        <v>38</v>
      </c>
      <c r="T1133" s="1" t="s">
        <v>74</v>
      </c>
      <c r="U1133" s="11" t="s">
        <v>1341</v>
      </c>
      <c r="V1133" s="1" t="s">
        <v>41</v>
      </c>
      <c r="W1133" s="1" t="s">
        <v>49</v>
      </c>
      <c r="Z1133" s="14">
        <v>1</v>
      </c>
      <c r="AA1133" s="14"/>
    </row>
    <row r="1134" spans="1:27" hidden="1">
      <c r="A1134" s="1">
        <v>9295049</v>
      </c>
      <c r="B1134" s="1" t="s">
        <v>101</v>
      </c>
      <c r="C1134" t="s">
        <v>1810</v>
      </c>
      <c r="E1134" s="2">
        <v>1710000206001</v>
      </c>
      <c r="F1134" s="1" t="s">
        <v>29</v>
      </c>
      <c r="G1134" s="1" t="s">
        <v>53</v>
      </c>
      <c r="H1134" s="1" t="s">
        <v>327</v>
      </c>
      <c r="I1134" s="1" t="s">
        <v>328</v>
      </c>
      <c r="J1134" s="1" t="s">
        <v>261</v>
      </c>
      <c r="K1134" t="s">
        <v>34</v>
      </c>
      <c r="M1134" s="1" t="s">
        <v>35</v>
      </c>
      <c r="N1134" s="1">
        <v>42318949</v>
      </c>
      <c r="O1134" s="1" t="s">
        <v>105</v>
      </c>
      <c r="P1134" s="11" t="s">
        <v>1876</v>
      </c>
      <c r="R1134" s="1" t="s">
        <v>38</v>
      </c>
      <c r="T1134" s="1" t="s">
        <v>74</v>
      </c>
      <c r="U1134" s="11" t="s">
        <v>1341</v>
      </c>
      <c r="V1134" s="1" t="s">
        <v>41</v>
      </c>
      <c r="W1134" s="1" t="s">
        <v>49</v>
      </c>
      <c r="Z1134" s="14">
        <v>1</v>
      </c>
      <c r="AA1134" s="14"/>
    </row>
    <row r="1135" spans="1:27" hidden="1">
      <c r="A1135" s="1">
        <v>9295007</v>
      </c>
      <c r="B1135" s="1" t="s">
        <v>101</v>
      </c>
      <c r="C1135" t="s">
        <v>1810</v>
      </c>
      <c r="E1135" s="2">
        <v>1666000206001</v>
      </c>
      <c r="F1135" s="1" t="s">
        <v>29</v>
      </c>
      <c r="G1135" s="1" t="s">
        <v>53</v>
      </c>
      <c r="H1135" s="1" t="s">
        <v>414</v>
      </c>
      <c r="I1135" s="1" t="s">
        <v>415</v>
      </c>
      <c r="J1135" s="1" t="s">
        <v>79</v>
      </c>
      <c r="K1135" t="s">
        <v>34</v>
      </c>
      <c r="M1135" s="1" t="s">
        <v>35</v>
      </c>
      <c r="N1135" s="1">
        <v>42318949</v>
      </c>
      <c r="O1135" s="1" t="s">
        <v>36</v>
      </c>
      <c r="P1135" s="11" t="s">
        <v>1877</v>
      </c>
      <c r="R1135" s="1" t="s">
        <v>38</v>
      </c>
      <c r="T1135" s="1" t="s">
        <v>74</v>
      </c>
      <c r="U1135" s="11" t="s">
        <v>1341</v>
      </c>
      <c r="V1135" s="1" t="s">
        <v>41</v>
      </c>
      <c r="W1135" s="1" t="s">
        <v>49</v>
      </c>
      <c r="Z1135" s="14">
        <v>1</v>
      </c>
      <c r="AA1135" s="14"/>
    </row>
    <row r="1136" spans="1:27" hidden="1">
      <c r="A1136" s="1">
        <v>9295003</v>
      </c>
      <c r="B1136" s="1" t="s">
        <v>101</v>
      </c>
      <c r="C1136" t="s">
        <v>1810</v>
      </c>
      <c r="E1136" s="2">
        <v>1664000206001</v>
      </c>
      <c r="F1136" s="1" t="s">
        <v>29</v>
      </c>
      <c r="G1136" s="1" t="s">
        <v>53</v>
      </c>
      <c r="H1136" s="1" t="s">
        <v>307</v>
      </c>
      <c r="I1136" s="1" t="s">
        <v>308</v>
      </c>
      <c r="J1136" s="1" t="s">
        <v>164</v>
      </c>
      <c r="K1136" t="s">
        <v>34</v>
      </c>
      <c r="M1136" s="1" t="s">
        <v>35</v>
      </c>
      <c r="N1136" s="1">
        <v>42318949</v>
      </c>
      <c r="O1136" s="1" t="s">
        <v>105</v>
      </c>
      <c r="P1136" s="11" t="s">
        <v>1877</v>
      </c>
      <c r="R1136" s="1" t="s">
        <v>38</v>
      </c>
      <c r="T1136" s="1" t="s">
        <v>74</v>
      </c>
      <c r="U1136" s="11" t="s">
        <v>1341</v>
      </c>
      <c r="V1136" s="1" t="s">
        <v>41</v>
      </c>
      <c r="W1136" s="1" t="s">
        <v>49</v>
      </c>
      <c r="Z1136" s="14">
        <v>1</v>
      </c>
      <c r="AA1136" s="14"/>
    </row>
    <row r="1137" spans="1:27" hidden="1">
      <c r="A1137" s="1">
        <v>9294987</v>
      </c>
      <c r="B1137" s="1" t="s">
        <v>101</v>
      </c>
      <c r="C1137" t="s">
        <v>1810</v>
      </c>
      <c r="E1137" s="2">
        <v>1650000206001</v>
      </c>
      <c r="F1137" s="1" t="s">
        <v>29</v>
      </c>
      <c r="G1137" s="1" t="s">
        <v>53</v>
      </c>
      <c r="H1137" s="1" t="s">
        <v>620</v>
      </c>
      <c r="I1137" s="1" t="s">
        <v>621</v>
      </c>
      <c r="J1137" s="1" t="s">
        <v>141</v>
      </c>
      <c r="K1137" t="s">
        <v>34</v>
      </c>
      <c r="M1137" s="1" t="s">
        <v>35</v>
      </c>
      <c r="N1137" s="1">
        <v>42318949</v>
      </c>
      <c r="O1137" s="1" t="s">
        <v>105</v>
      </c>
      <c r="P1137" s="11" t="s">
        <v>1878</v>
      </c>
      <c r="R1137" s="1" t="s">
        <v>38</v>
      </c>
      <c r="T1137" s="1" t="s">
        <v>74</v>
      </c>
      <c r="U1137" s="11" t="s">
        <v>1341</v>
      </c>
      <c r="V1137" s="1" t="s">
        <v>41</v>
      </c>
      <c r="W1137" s="1" t="s">
        <v>49</v>
      </c>
      <c r="Z1137" s="14">
        <v>1</v>
      </c>
      <c r="AA1137" s="14"/>
    </row>
    <row r="1138" spans="1:27" hidden="1">
      <c r="A1138" s="1">
        <v>9294979</v>
      </c>
      <c r="B1138" s="1" t="s">
        <v>101</v>
      </c>
      <c r="C1138" t="s">
        <v>1810</v>
      </c>
      <c r="E1138" s="2">
        <v>1643000206001</v>
      </c>
      <c r="F1138" s="1" t="s">
        <v>29</v>
      </c>
      <c r="G1138" s="1" t="s">
        <v>53</v>
      </c>
      <c r="H1138" s="1" t="s">
        <v>361</v>
      </c>
      <c r="I1138" s="1" t="s">
        <v>362</v>
      </c>
      <c r="J1138" s="1" t="s">
        <v>261</v>
      </c>
      <c r="K1138" t="s">
        <v>34</v>
      </c>
      <c r="M1138" s="1" t="s">
        <v>35</v>
      </c>
      <c r="N1138" s="1">
        <v>42318949</v>
      </c>
      <c r="O1138" s="1" t="s">
        <v>105</v>
      </c>
      <c r="P1138" s="11" t="s">
        <v>1879</v>
      </c>
      <c r="R1138" s="1" t="s">
        <v>38</v>
      </c>
      <c r="T1138" s="1" t="s">
        <v>74</v>
      </c>
      <c r="U1138" s="11" t="s">
        <v>1341</v>
      </c>
      <c r="V1138" s="1" t="s">
        <v>41</v>
      </c>
      <c r="W1138" s="1" t="s">
        <v>49</v>
      </c>
      <c r="Z1138" s="14">
        <v>1</v>
      </c>
      <c r="AA1138" s="14"/>
    </row>
    <row r="1139" spans="1:27" hidden="1">
      <c r="A1139" s="1">
        <v>9294958</v>
      </c>
      <c r="B1139" s="1" t="s">
        <v>101</v>
      </c>
      <c r="C1139" t="s">
        <v>1810</v>
      </c>
      <c r="E1139" s="2">
        <v>1620000206001</v>
      </c>
      <c r="F1139" s="1" t="s">
        <v>29</v>
      </c>
      <c r="G1139" s="1" t="s">
        <v>53</v>
      </c>
      <c r="H1139" s="1" t="s">
        <v>402</v>
      </c>
      <c r="I1139" s="1" t="s">
        <v>403</v>
      </c>
      <c r="J1139" s="1" t="s">
        <v>46</v>
      </c>
      <c r="K1139" t="s">
        <v>34</v>
      </c>
      <c r="M1139" s="1" t="s">
        <v>35</v>
      </c>
      <c r="N1139" s="1">
        <v>42318949</v>
      </c>
      <c r="O1139" s="1" t="s">
        <v>105</v>
      </c>
      <c r="P1139" s="12">
        <v>44932.431145833332</v>
      </c>
      <c r="R1139" s="1" t="s">
        <v>38</v>
      </c>
      <c r="T1139" s="1" t="s">
        <v>74</v>
      </c>
      <c r="U1139" s="12">
        <v>44932.75</v>
      </c>
      <c r="V1139" s="1" t="s">
        <v>41</v>
      </c>
      <c r="W1139" s="1" t="s">
        <v>49</v>
      </c>
      <c r="Z1139" s="14">
        <v>1</v>
      </c>
      <c r="AA1139" s="14"/>
    </row>
    <row r="1140" spans="1:27" hidden="1">
      <c r="A1140" s="1">
        <v>9294857</v>
      </c>
      <c r="B1140" s="1" t="s">
        <v>101</v>
      </c>
      <c r="C1140" s="15" t="s">
        <v>1810</v>
      </c>
      <c r="E1140" s="2">
        <v>1509000206001</v>
      </c>
      <c r="F1140" s="18" t="s">
        <v>29</v>
      </c>
      <c r="G1140" s="1" t="s">
        <v>53</v>
      </c>
      <c r="H1140" s="1" t="s">
        <v>731</v>
      </c>
      <c r="I1140" s="1" t="s">
        <v>732</v>
      </c>
      <c r="J1140" s="1" t="s">
        <v>46</v>
      </c>
      <c r="K1140" t="s">
        <v>34</v>
      </c>
      <c r="M1140" s="1" t="s">
        <v>35</v>
      </c>
      <c r="N1140" s="1">
        <v>42318949</v>
      </c>
      <c r="O1140" s="1" t="s">
        <v>105</v>
      </c>
      <c r="P1140" s="11" t="s">
        <v>1880</v>
      </c>
      <c r="R1140" s="1" t="s">
        <v>38</v>
      </c>
      <c r="T1140" s="1" t="s">
        <v>74</v>
      </c>
      <c r="U1140" s="11" t="s">
        <v>1341</v>
      </c>
      <c r="V1140" s="1" t="s">
        <v>41</v>
      </c>
      <c r="W1140" s="1" t="s">
        <v>49</v>
      </c>
      <c r="Z1140" s="14">
        <v>1</v>
      </c>
      <c r="AA1140" s="14"/>
    </row>
    <row r="1141" spans="1:27" hidden="1">
      <c r="A1141" s="1">
        <v>9294767</v>
      </c>
      <c r="B1141" s="1" t="s">
        <v>101</v>
      </c>
      <c r="C1141" t="s">
        <v>1810</v>
      </c>
      <c r="E1141" s="2">
        <v>1421000206001</v>
      </c>
      <c r="F1141" s="1" t="s">
        <v>29</v>
      </c>
      <c r="G1141" s="1" t="s">
        <v>53</v>
      </c>
      <c r="H1141" s="1" t="s">
        <v>179</v>
      </c>
      <c r="I1141" s="1" t="s">
        <v>180</v>
      </c>
      <c r="J1141" s="1" t="s">
        <v>79</v>
      </c>
      <c r="K1141" t="s">
        <v>34</v>
      </c>
      <c r="M1141" s="1" t="s">
        <v>35</v>
      </c>
      <c r="N1141" s="1">
        <v>42318949</v>
      </c>
      <c r="O1141" s="1" t="s">
        <v>105</v>
      </c>
      <c r="P1141" s="11" t="s">
        <v>1881</v>
      </c>
      <c r="R1141" s="1" t="s">
        <v>38</v>
      </c>
      <c r="T1141" s="1" t="s">
        <v>74</v>
      </c>
      <c r="U1141" s="11" t="s">
        <v>1341</v>
      </c>
      <c r="V1141" s="1" t="s">
        <v>41</v>
      </c>
      <c r="W1141" s="1" t="s">
        <v>49</v>
      </c>
      <c r="Z1141" s="14">
        <v>1</v>
      </c>
      <c r="AA1141" s="14"/>
    </row>
    <row r="1142" spans="1:27" hidden="1">
      <c r="A1142" s="1">
        <v>9294711</v>
      </c>
      <c r="B1142" s="1" t="s">
        <v>101</v>
      </c>
      <c r="C1142" t="s">
        <v>1810</v>
      </c>
      <c r="E1142" s="2">
        <v>1363000206001</v>
      </c>
      <c r="F1142" s="1" t="s">
        <v>29</v>
      </c>
      <c r="G1142" s="1" t="s">
        <v>53</v>
      </c>
      <c r="H1142" s="1" t="s">
        <v>108</v>
      </c>
      <c r="I1142" s="1" t="s">
        <v>109</v>
      </c>
      <c r="J1142" s="1" t="s">
        <v>110</v>
      </c>
      <c r="K1142" t="s">
        <v>34</v>
      </c>
      <c r="M1142" s="1" t="s">
        <v>35</v>
      </c>
      <c r="N1142" s="1">
        <v>42318949</v>
      </c>
      <c r="O1142" s="1" t="s">
        <v>105</v>
      </c>
      <c r="P1142" s="11" t="s">
        <v>1882</v>
      </c>
      <c r="R1142" s="1" t="s">
        <v>38</v>
      </c>
      <c r="T1142" s="1" t="s">
        <v>74</v>
      </c>
      <c r="U1142" s="11" t="s">
        <v>1341</v>
      </c>
      <c r="V1142" s="1" t="s">
        <v>41</v>
      </c>
      <c r="W1142" s="1" t="s">
        <v>49</v>
      </c>
      <c r="Z1142" s="14">
        <v>1</v>
      </c>
      <c r="AA1142" s="14"/>
    </row>
    <row r="1143" spans="1:27">
      <c r="A1143" s="1">
        <v>9294710</v>
      </c>
      <c r="B1143" s="1" t="s">
        <v>101</v>
      </c>
      <c r="C1143" t="s">
        <v>1810</v>
      </c>
      <c r="E1143" s="2">
        <v>1362000206001</v>
      </c>
      <c r="F1143" s="1" t="s">
        <v>29</v>
      </c>
      <c r="G1143" s="1" t="s">
        <v>53</v>
      </c>
      <c r="H1143" s="1" t="s">
        <v>268</v>
      </c>
      <c r="I1143" s="1" t="s">
        <v>269</v>
      </c>
      <c r="J1143" s="1" t="s">
        <v>90</v>
      </c>
      <c r="K1143" t="s">
        <v>34</v>
      </c>
      <c r="M1143" s="1" t="s">
        <v>35</v>
      </c>
      <c r="N1143" s="1">
        <v>42318949</v>
      </c>
      <c r="O1143" s="1" t="s">
        <v>105</v>
      </c>
      <c r="P1143" s="12">
        <v>44932.430659722224</v>
      </c>
      <c r="R1143" s="1" t="s">
        <v>38</v>
      </c>
      <c r="T1143" s="1" t="s">
        <v>74</v>
      </c>
      <c r="U1143" s="12">
        <v>44932.75</v>
      </c>
      <c r="V1143" s="1" t="s">
        <v>41</v>
      </c>
      <c r="W1143" s="1" t="s">
        <v>49</v>
      </c>
      <c r="Z1143" s="14">
        <v>1</v>
      </c>
      <c r="AA1143" s="14"/>
    </row>
    <row r="1144" spans="1:27" hidden="1">
      <c r="A1144" s="1">
        <v>9294709</v>
      </c>
      <c r="B1144" s="1" t="s">
        <v>101</v>
      </c>
      <c r="C1144" t="s">
        <v>1810</v>
      </c>
      <c r="E1144" s="2">
        <v>1361000206001</v>
      </c>
      <c r="F1144" s="1" t="s">
        <v>29</v>
      </c>
      <c r="G1144" s="1" t="s">
        <v>53</v>
      </c>
      <c r="H1144" s="1" t="s">
        <v>309</v>
      </c>
      <c r="I1144" s="1" t="s">
        <v>310</v>
      </c>
      <c r="J1144" s="1" t="s">
        <v>46</v>
      </c>
      <c r="K1144" t="s">
        <v>34</v>
      </c>
      <c r="M1144" s="1" t="s">
        <v>35</v>
      </c>
      <c r="N1144" s="1">
        <v>42318949</v>
      </c>
      <c r="O1144" s="1" t="s">
        <v>105</v>
      </c>
      <c r="P1144" s="12">
        <v>44932.430659722224</v>
      </c>
      <c r="R1144" s="1" t="s">
        <v>38</v>
      </c>
      <c r="T1144" s="1" t="s">
        <v>74</v>
      </c>
      <c r="U1144" s="12">
        <v>44932.75</v>
      </c>
      <c r="V1144" s="1" t="s">
        <v>41</v>
      </c>
      <c r="W1144" s="1" t="s">
        <v>49</v>
      </c>
      <c r="Z1144" s="14">
        <v>1</v>
      </c>
      <c r="AA1144" s="14"/>
    </row>
    <row r="1145" spans="1:27" hidden="1">
      <c r="A1145" s="1">
        <v>9294708</v>
      </c>
      <c r="B1145" s="1" t="s">
        <v>101</v>
      </c>
      <c r="C1145" t="s">
        <v>1810</v>
      </c>
      <c r="E1145" s="2">
        <v>1360000206001</v>
      </c>
      <c r="F1145" s="1" t="s">
        <v>29</v>
      </c>
      <c r="G1145" s="1" t="s">
        <v>53</v>
      </c>
      <c r="H1145" s="1" t="s">
        <v>303</v>
      </c>
      <c r="I1145" s="1" t="s">
        <v>304</v>
      </c>
      <c r="J1145" s="1" t="s">
        <v>261</v>
      </c>
      <c r="K1145" t="s">
        <v>34</v>
      </c>
      <c r="M1145" s="1" t="s">
        <v>35</v>
      </c>
      <c r="N1145" s="1">
        <v>42318949</v>
      </c>
      <c r="O1145" s="1" t="s">
        <v>105</v>
      </c>
      <c r="P1145" s="11" t="s">
        <v>1882</v>
      </c>
      <c r="R1145" s="1" t="s">
        <v>38</v>
      </c>
      <c r="T1145" s="1" t="s">
        <v>74</v>
      </c>
      <c r="U1145" s="11" t="s">
        <v>1341</v>
      </c>
      <c r="V1145" s="1" t="s">
        <v>41</v>
      </c>
      <c r="W1145" s="1" t="s">
        <v>49</v>
      </c>
      <c r="Z1145" s="14">
        <v>1</v>
      </c>
      <c r="AA1145" s="14"/>
    </row>
    <row r="1146" spans="1:27" hidden="1">
      <c r="A1146" s="1">
        <v>9294706</v>
      </c>
      <c r="B1146" s="1" t="s">
        <v>101</v>
      </c>
      <c r="C1146" t="s">
        <v>1810</v>
      </c>
      <c r="E1146" s="2">
        <v>1358000206001</v>
      </c>
      <c r="F1146" s="1" t="s">
        <v>29</v>
      </c>
      <c r="G1146" s="1" t="s">
        <v>53</v>
      </c>
      <c r="H1146" s="1" t="s">
        <v>593</v>
      </c>
      <c r="I1146" s="1" t="s">
        <v>594</v>
      </c>
      <c r="J1146" s="1" t="s">
        <v>261</v>
      </c>
      <c r="K1146" t="s">
        <v>34</v>
      </c>
      <c r="M1146" s="1" t="s">
        <v>35</v>
      </c>
      <c r="N1146" s="1">
        <v>42318949</v>
      </c>
      <c r="O1146" s="1" t="s">
        <v>105</v>
      </c>
      <c r="P1146" s="11" t="s">
        <v>1882</v>
      </c>
      <c r="R1146" s="1" t="s">
        <v>38</v>
      </c>
      <c r="T1146" s="1" t="s">
        <v>74</v>
      </c>
      <c r="U1146" s="11" t="s">
        <v>1341</v>
      </c>
      <c r="V1146" s="1" t="s">
        <v>41</v>
      </c>
      <c r="W1146" s="1" t="s">
        <v>49</v>
      </c>
      <c r="Z1146" s="14">
        <v>1</v>
      </c>
      <c r="AA1146" s="14"/>
    </row>
    <row r="1147" spans="1:27" hidden="1">
      <c r="A1147" s="1">
        <v>9294627</v>
      </c>
      <c r="B1147" s="1" t="s">
        <v>101</v>
      </c>
      <c r="C1147" t="s">
        <v>1810</v>
      </c>
      <c r="E1147" s="2">
        <v>1264000206001</v>
      </c>
      <c r="F1147" s="1" t="s">
        <v>29</v>
      </c>
      <c r="G1147" s="1" t="s">
        <v>53</v>
      </c>
      <c r="H1147" s="1" t="s">
        <v>351</v>
      </c>
      <c r="I1147" s="1" t="s">
        <v>352</v>
      </c>
      <c r="J1147" s="1" t="s">
        <v>110</v>
      </c>
      <c r="K1147" t="s">
        <v>34</v>
      </c>
      <c r="M1147" s="1" t="s">
        <v>35</v>
      </c>
      <c r="N1147" s="1">
        <v>42318949</v>
      </c>
      <c r="O1147" s="1" t="s">
        <v>105</v>
      </c>
      <c r="P1147" s="11" t="s">
        <v>1883</v>
      </c>
      <c r="R1147" s="1" t="s">
        <v>38</v>
      </c>
      <c r="T1147" s="1" t="s">
        <v>74</v>
      </c>
      <c r="U1147" s="11" t="s">
        <v>1341</v>
      </c>
      <c r="V1147" s="1" t="s">
        <v>41</v>
      </c>
      <c r="W1147" s="1" t="s">
        <v>49</v>
      </c>
      <c r="Z1147" s="14">
        <v>1</v>
      </c>
      <c r="AA1147" s="14"/>
    </row>
    <row r="1148" spans="1:27" hidden="1">
      <c r="A1148" s="1">
        <v>9294610</v>
      </c>
      <c r="B1148" s="1" t="s">
        <v>101</v>
      </c>
      <c r="C1148" t="s">
        <v>1810</v>
      </c>
      <c r="E1148" s="2">
        <v>1245000206001</v>
      </c>
      <c r="F1148" s="1" t="s">
        <v>29</v>
      </c>
      <c r="G1148" s="1" t="s">
        <v>53</v>
      </c>
      <c r="H1148" s="1" t="s">
        <v>408</v>
      </c>
      <c r="I1148" s="1" t="s">
        <v>409</v>
      </c>
      <c r="J1148" s="1" t="s">
        <v>46</v>
      </c>
      <c r="K1148" t="s">
        <v>34</v>
      </c>
      <c r="M1148" s="1" t="s">
        <v>35</v>
      </c>
      <c r="N1148" s="1">
        <v>42318949</v>
      </c>
      <c r="O1148" s="1" t="s">
        <v>105</v>
      </c>
      <c r="P1148" s="11" t="s">
        <v>1884</v>
      </c>
      <c r="R1148" s="1" t="s">
        <v>38</v>
      </c>
      <c r="T1148" s="1" t="s">
        <v>74</v>
      </c>
      <c r="U1148" s="11" t="s">
        <v>1341</v>
      </c>
      <c r="V1148" s="1" t="s">
        <v>41</v>
      </c>
      <c r="W1148" s="1" t="s">
        <v>49</v>
      </c>
      <c r="Z1148" s="14">
        <v>1</v>
      </c>
      <c r="AA1148" s="14"/>
    </row>
    <row r="1149" spans="1:27" hidden="1">
      <c r="A1149" s="1">
        <v>9294550</v>
      </c>
      <c r="B1149" s="1" t="s">
        <v>101</v>
      </c>
      <c r="C1149" t="s">
        <v>1810</v>
      </c>
      <c r="E1149" s="2">
        <v>1185000206001</v>
      </c>
      <c r="F1149" s="1" t="s">
        <v>29</v>
      </c>
      <c r="G1149" s="1" t="s">
        <v>53</v>
      </c>
      <c r="H1149" s="1" t="s">
        <v>539</v>
      </c>
      <c r="I1149" s="1" t="s">
        <v>540</v>
      </c>
      <c r="J1149" s="1" t="s">
        <v>33</v>
      </c>
      <c r="K1149" t="s">
        <v>34</v>
      </c>
      <c r="M1149" s="1" t="s">
        <v>35</v>
      </c>
      <c r="N1149" s="1">
        <v>42318949</v>
      </c>
      <c r="O1149" s="1" t="s">
        <v>105</v>
      </c>
      <c r="P1149" s="11" t="s">
        <v>1885</v>
      </c>
      <c r="R1149" s="1" t="s">
        <v>38</v>
      </c>
      <c r="T1149" s="1" t="s">
        <v>74</v>
      </c>
      <c r="U1149" s="11" t="s">
        <v>1341</v>
      </c>
      <c r="V1149" s="1" t="s">
        <v>41</v>
      </c>
      <c r="W1149" s="1" t="s">
        <v>42</v>
      </c>
      <c r="Z1149" s="14">
        <v>1</v>
      </c>
      <c r="AA1149" s="14"/>
    </row>
    <row r="1150" spans="1:27">
      <c r="A1150" s="1">
        <v>9294531</v>
      </c>
      <c r="B1150" s="1" t="s">
        <v>101</v>
      </c>
      <c r="C1150" t="s">
        <v>1810</v>
      </c>
      <c r="E1150" s="2">
        <v>1162000206001</v>
      </c>
      <c r="F1150" s="1" t="s">
        <v>29</v>
      </c>
      <c r="G1150" s="1" t="s">
        <v>53</v>
      </c>
      <c r="H1150" s="1" t="s">
        <v>280</v>
      </c>
      <c r="I1150" s="1" t="s">
        <v>281</v>
      </c>
      <c r="J1150" s="1" t="s">
        <v>211</v>
      </c>
      <c r="K1150" t="s">
        <v>34</v>
      </c>
      <c r="M1150" s="1" t="s">
        <v>35</v>
      </c>
      <c r="N1150" s="1">
        <v>42318949</v>
      </c>
      <c r="O1150" s="1" t="s">
        <v>105</v>
      </c>
      <c r="P1150" s="11" t="s">
        <v>1886</v>
      </c>
      <c r="R1150" s="1" t="s">
        <v>38</v>
      </c>
      <c r="T1150" s="1" t="s">
        <v>74</v>
      </c>
      <c r="U1150" s="11" t="s">
        <v>1341</v>
      </c>
      <c r="V1150" s="1" t="s">
        <v>41</v>
      </c>
      <c r="W1150" s="1" t="s">
        <v>49</v>
      </c>
      <c r="Z1150" s="14">
        <v>1</v>
      </c>
      <c r="AA1150" s="14"/>
    </row>
    <row r="1151" spans="1:27" hidden="1">
      <c r="A1151" s="1">
        <v>9294523</v>
      </c>
      <c r="B1151" s="1" t="s">
        <v>101</v>
      </c>
      <c r="C1151" t="s">
        <v>1810</v>
      </c>
      <c r="E1151" s="2">
        <v>1153000206001</v>
      </c>
      <c r="F1151" s="1" t="s">
        <v>29</v>
      </c>
      <c r="G1151" s="1" t="s">
        <v>53</v>
      </c>
      <c r="H1151" s="1" t="s">
        <v>1031</v>
      </c>
      <c r="I1151" s="1" t="s">
        <v>1032</v>
      </c>
      <c r="J1151" s="1" t="s">
        <v>79</v>
      </c>
      <c r="K1151" t="s">
        <v>34</v>
      </c>
      <c r="M1151" s="1" t="s">
        <v>35</v>
      </c>
      <c r="N1151" s="1">
        <v>42318949</v>
      </c>
      <c r="O1151" s="1" t="s">
        <v>105</v>
      </c>
      <c r="P1151" s="11" t="s">
        <v>1887</v>
      </c>
      <c r="R1151" s="1" t="s">
        <v>38</v>
      </c>
      <c r="T1151" s="1" t="s">
        <v>74</v>
      </c>
      <c r="U1151" s="11" t="s">
        <v>1341</v>
      </c>
      <c r="V1151" s="1" t="s">
        <v>41</v>
      </c>
      <c r="W1151" s="1" t="s">
        <v>49</v>
      </c>
      <c r="Z1151" s="14">
        <v>1</v>
      </c>
      <c r="AA1151" s="14"/>
    </row>
    <row r="1152" spans="1:27" hidden="1">
      <c r="A1152" s="1">
        <v>9294508</v>
      </c>
      <c r="B1152" s="1" t="s">
        <v>101</v>
      </c>
      <c r="C1152" t="s">
        <v>1810</v>
      </c>
      <c r="E1152" s="2">
        <v>1138000206001</v>
      </c>
      <c r="F1152" s="1" t="s">
        <v>29</v>
      </c>
      <c r="G1152" s="1" t="s">
        <v>53</v>
      </c>
      <c r="H1152" s="1" t="s">
        <v>548</v>
      </c>
      <c r="I1152" s="1" t="s">
        <v>549</v>
      </c>
      <c r="J1152" s="1" t="s">
        <v>46</v>
      </c>
      <c r="K1152" t="s">
        <v>34</v>
      </c>
      <c r="M1152" s="1" t="s">
        <v>35</v>
      </c>
      <c r="N1152" s="1">
        <v>42318949</v>
      </c>
      <c r="O1152" s="1" t="s">
        <v>105</v>
      </c>
      <c r="P1152" s="11" t="s">
        <v>1888</v>
      </c>
      <c r="R1152" s="1" t="s">
        <v>38</v>
      </c>
      <c r="T1152" s="1" t="s">
        <v>74</v>
      </c>
      <c r="U1152" s="11" t="s">
        <v>1341</v>
      </c>
      <c r="V1152" s="1" t="s">
        <v>41</v>
      </c>
      <c r="W1152" s="1" t="s">
        <v>49</v>
      </c>
      <c r="Z1152" s="14">
        <v>1</v>
      </c>
      <c r="AA1152" s="14"/>
    </row>
    <row r="1153" spans="1:27" hidden="1">
      <c r="A1153" s="1">
        <v>9294499</v>
      </c>
      <c r="B1153" s="1" t="s">
        <v>101</v>
      </c>
      <c r="C1153" t="s">
        <v>1810</v>
      </c>
      <c r="E1153" s="2">
        <v>1128000206001</v>
      </c>
      <c r="F1153" s="1" t="s">
        <v>29</v>
      </c>
      <c r="G1153" s="1" t="s">
        <v>53</v>
      </c>
      <c r="H1153" s="1" t="s">
        <v>1191</v>
      </c>
      <c r="I1153" s="1" t="s">
        <v>1192</v>
      </c>
      <c r="J1153" s="1" t="s">
        <v>33</v>
      </c>
      <c r="K1153" t="s">
        <v>34</v>
      </c>
      <c r="M1153" s="1" t="s">
        <v>35</v>
      </c>
      <c r="N1153" s="1">
        <v>42318949</v>
      </c>
      <c r="O1153" s="1" t="s">
        <v>36</v>
      </c>
      <c r="P1153" s="11" t="s">
        <v>1889</v>
      </c>
      <c r="R1153" s="1" t="s">
        <v>38</v>
      </c>
      <c r="T1153" s="1" t="s">
        <v>74</v>
      </c>
      <c r="U1153" s="11" t="s">
        <v>1341</v>
      </c>
      <c r="V1153" s="1" t="s">
        <v>41</v>
      </c>
      <c r="W1153" s="1" t="s">
        <v>49</v>
      </c>
      <c r="Z1153" s="14">
        <v>1</v>
      </c>
      <c r="AA1153" s="14"/>
    </row>
    <row r="1154" spans="1:27" hidden="1">
      <c r="A1154" s="1">
        <v>9294491</v>
      </c>
      <c r="B1154" s="1" t="s">
        <v>101</v>
      </c>
      <c r="C1154" t="s">
        <v>1810</v>
      </c>
      <c r="E1154" s="2">
        <v>1120000206001</v>
      </c>
      <c r="F1154" s="1" t="s">
        <v>29</v>
      </c>
      <c r="G1154" s="1" t="s">
        <v>53</v>
      </c>
      <c r="H1154" s="1" t="s">
        <v>181</v>
      </c>
      <c r="I1154" s="1" t="s">
        <v>182</v>
      </c>
      <c r="J1154" s="1" t="s">
        <v>164</v>
      </c>
      <c r="K1154" t="s">
        <v>34</v>
      </c>
      <c r="M1154" s="1" t="s">
        <v>35</v>
      </c>
      <c r="N1154" s="1">
        <v>42318949</v>
      </c>
      <c r="O1154" s="1" t="s">
        <v>105</v>
      </c>
      <c r="P1154" s="11" t="s">
        <v>1890</v>
      </c>
      <c r="R1154" s="1" t="s">
        <v>38</v>
      </c>
      <c r="T1154" s="1" t="s">
        <v>74</v>
      </c>
      <c r="U1154" s="11" t="s">
        <v>1341</v>
      </c>
      <c r="V1154" s="1" t="s">
        <v>41</v>
      </c>
      <c r="W1154" s="1" t="s">
        <v>49</v>
      </c>
      <c r="Z1154" s="14">
        <v>1</v>
      </c>
      <c r="AA1154" s="14"/>
    </row>
    <row r="1155" spans="1:27">
      <c r="A1155" s="181">
        <v>9294479</v>
      </c>
      <c r="B1155" s="181" t="s">
        <v>101</v>
      </c>
      <c r="C1155" s="182" t="s">
        <v>1891</v>
      </c>
      <c r="D1155" s="183"/>
      <c r="E1155" s="183">
        <v>1108000206001</v>
      </c>
      <c r="F1155" s="181" t="s">
        <v>29</v>
      </c>
      <c r="G1155" s="181" t="s">
        <v>53</v>
      </c>
      <c r="H1155" s="181" t="s">
        <v>295</v>
      </c>
      <c r="I1155" s="181" t="s">
        <v>296</v>
      </c>
      <c r="J1155" s="181" t="s">
        <v>90</v>
      </c>
      <c r="K1155" t="s">
        <v>34</v>
      </c>
      <c r="M1155" s="1" t="s">
        <v>35</v>
      </c>
      <c r="N1155" s="1">
        <v>42318949</v>
      </c>
      <c r="O1155" s="1" t="s">
        <v>105</v>
      </c>
      <c r="P1155" s="11" t="s">
        <v>1892</v>
      </c>
      <c r="R1155" s="1" t="s">
        <v>38</v>
      </c>
      <c r="T1155" s="1" t="s">
        <v>74</v>
      </c>
      <c r="U1155" s="11" t="s">
        <v>1341</v>
      </c>
      <c r="V1155" s="1" t="s">
        <v>41</v>
      </c>
      <c r="W1155" s="1" t="s">
        <v>49</v>
      </c>
      <c r="Z1155" s="14">
        <v>1</v>
      </c>
      <c r="AA1155" s="14"/>
    </row>
    <row r="1156" spans="1:27">
      <c r="A1156" s="1">
        <v>9294445</v>
      </c>
      <c r="B1156" s="1" t="s">
        <v>101</v>
      </c>
      <c r="C1156" t="s">
        <v>1810</v>
      </c>
      <c r="E1156" s="2">
        <v>1069000206001</v>
      </c>
      <c r="F1156" s="1" t="s">
        <v>29</v>
      </c>
      <c r="G1156" s="1" t="s">
        <v>53</v>
      </c>
      <c r="H1156" s="1" t="s">
        <v>353</v>
      </c>
      <c r="I1156" s="1" t="s">
        <v>354</v>
      </c>
      <c r="J1156" s="1" t="s">
        <v>211</v>
      </c>
      <c r="K1156" t="s">
        <v>34</v>
      </c>
      <c r="M1156" s="1" t="s">
        <v>35</v>
      </c>
      <c r="N1156" s="1">
        <v>42318949</v>
      </c>
      <c r="O1156" s="1" t="s">
        <v>105</v>
      </c>
      <c r="P1156" s="11" t="s">
        <v>1893</v>
      </c>
      <c r="R1156" s="1" t="s">
        <v>38</v>
      </c>
      <c r="T1156" s="1" t="s">
        <v>74</v>
      </c>
      <c r="U1156" s="11" t="s">
        <v>1341</v>
      </c>
      <c r="V1156" s="1" t="s">
        <v>41</v>
      </c>
      <c r="W1156" s="1" t="s">
        <v>49</v>
      </c>
      <c r="Z1156" s="14">
        <v>1</v>
      </c>
      <c r="AA1156" s="14"/>
    </row>
    <row r="1157" spans="1:27">
      <c r="A1157" s="1">
        <v>9294436</v>
      </c>
      <c r="B1157" s="1" t="s">
        <v>101</v>
      </c>
      <c r="C1157" t="s">
        <v>1810</v>
      </c>
      <c r="E1157" s="2">
        <v>1059000206001</v>
      </c>
      <c r="F1157" s="1" t="s">
        <v>29</v>
      </c>
      <c r="G1157" s="1" t="s">
        <v>53</v>
      </c>
      <c r="H1157" s="1" t="s">
        <v>88</v>
      </c>
      <c r="I1157" s="1" t="s">
        <v>89</v>
      </c>
      <c r="J1157" s="1" t="s">
        <v>90</v>
      </c>
      <c r="K1157" t="s">
        <v>34</v>
      </c>
      <c r="M1157" s="1" t="s">
        <v>35</v>
      </c>
      <c r="N1157" s="1">
        <v>42318949</v>
      </c>
      <c r="O1157" s="1" t="s">
        <v>105</v>
      </c>
      <c r="P1157" s="11" t="s">
        <v>1894</v>
      </c>
      <c r="R1157" s="1" t="s">
        <v>38</v>
      </c>
      <c r="T1157" s="1" t="s">
        <v>74</v>
      </c>
      <c r="U1157" s="11" t="s">
        <v>1341</v>
      </c>
      <c r="V1157" s="1" t="s">
        <v>41</v>
      </c>
      <c r="W1157" s="1" t="s">
        <v>49</v>
      </c>
      <c r="Z1157" s="14">
        <v>1</v>
      </c>
      <c r="AA1157" s="14"/>
    </row>
    <row r="1158" spans="1:27" hidden="1">
      <c r="A1158" s="1">
        <v>9294435</v>
      </c>
      <c r="B1158" s="1" t="s">
        <v>101</v>
      </c>
      <c r="C1158" t="s">
        <v>1810</v>
      </c>
      <c r="E1158" s="2">
        <v>1058000206001</v>
      </c>
      <c r="F1158" s="1" t="s">
        <v>29</v>
      </c>
      <c r="G1158" s="1" t="s">
        <v>53</v>
      </c>
      <c r="H1158" s="1" t="s">
        <v>289</v>
      </c>
      <c r="I1158" s="1" t="s">
        <v>290</v>
      </c>
      <c r="J1158" s="1" t="s">
        <v>56</v>
      </c>
      <c r="K1158" t="s">
        <v>34</v>
      </c>
      <c r="M1158" s="1" t="s">
        <v>35</v>
      </c>
      <c r="N1158" s="1">
        <v>42318949</v>
      </c>
      <c r="O1158" s="1" t="s">
        <v>105</v>
      </c>
      <c r="P1158" s="11" t="s">
        <v>1894</v>
      </c>
      <c r="R1158" s="1" t="s">
        <v>38</v>
      </c>
      <c r="T1158" s="1" t="s">
        <v>74</v>
      </c>
      <c r="U1158" s="11" t="s">
        <v>1341</v>
      </c>
      <c r="V1158" s="1" t="s">
        <v>41</v>
      </c>
      <c r="W1158" s="1" t="s">
        <v>49</v>
      </c>
      <c r="Z1158" s="14">
        <v>1</v>
      </c>
      <c r="AA1158" s="14"/>
    </row>
    <row r="1159" spans="1:27" hidden="1">
      <c r="A1159" s="1">
        <v>9294424</v>
      </c>
      <c r="B1159" s="1" t="s">
        <v>101</v>
      </c>
      <c r="C1159" t="s">
        <v>1810</v>
      </c>
      <c r="E1159" s="2">
        <v>1049000206001</v>
      </c>
      <c r="F1159" s="1" t="s">
        <v>29</v>
      </c>
      <c r="G1159" s="1" t="s">
        <v>53</v>
      </c>
      <c r="H1159" s="1" t="s">
        <v>169</v>
      </c>
      <c r="I1159" s="1" t="s">
        <v>170</v>
      </c>
      <c r="J1159" s="1" t="s">
        <v>164</v>
      </c>
      <c r="K1159" t="s">
        <v>34</v>
      </c>
      <c r="M1159" s="1" t="s">
        <v>35</v>
      </c>
      <c r="N1159" s="1">
        <v>42318949</v>
      </c>
      <c r="O1159" s="1" t="s">
        <v>105</v>
      </c>
      <c r="P1159" s="11" t="s">
        <v>1895</v>
      </c>
      <c r="R1159" s="1" t="s">
        <v>38</v>
      </c>
      <c r="T1159" s="1" t="s">
        <v>74</v>
      </c>
      <c r="U1159" s="11" t="s">
        <v>1341</v>
      </c>
      <c r="V1159" s="1" t="s">
        <v>41</v>
      </c>
      <c r="W1159" s="1" t="s">
        <v>49</v>
      </c>
      <c r="Z1159" s="14">
        <v>1</v>
      </c>
      <c r="AA1159" s="14"/>
    </row>
    <row r="1160" spans="1:27">
      <c r="A1160" s="1">
        <v>9294406</v>
      </c>
      <c r="B1160" s="1" t="s">
        <v>101</v>
      </c>
      <c r="C1160" t="s">
        <v>1810</v>
      </c>
      <c r="E1160" s="2">
        <v>1028000206001</v>
      </c>
      <c r="F1160" s="1" t="s">
        <v>29</v>
      </c>
      <c r="G1160" s="1" t="s">
        <v>53</v>
      </c>
      <c r="H1160" s="1" t="s">
        <v>1079</v>
      </c>
      <c r="I1160" s="1" t="s">
        <v>1080</v>
      </c>
      <c r="J1160" s="1" t="s">
        <v>85</v>
      </c>
      <c r="K1160" t="s">
        <v>34</v>
      </c>
      <c r="M1160" s="1" t="s">
        <v>35</v>
      </c>
      <c r="N1160" s="1">
        <v>42318949</v>
      </c>
      <c r="O1160" s="1" t="s">
        <v>105</v>
      </c>
      <c r="P1160" s="11" t="s">
        <v>1896</v>
      </c>
      <c r="R1160" s="1" t="s">
        <v>38</v>
      </c>
      <c r="T1160" s="1" t="s">
        <v>74</v>
      </c>
      <c r="U1160" s="11" t="s">
        <v>1341</v>
      </c>
      <c r="V1160" s="1" t="s">
        <v>41</v>
      </c>
      <c r="W1160" s="1" t="s">
        <v>49</v>
      </c>
      <c r="Z1160" s="14">
        <v>1</v>
      </c>
      <c r="AA1160" s="14"/>
    </row>
    <row r="1161" spans="1:27" hidden="1">
      <c r="A1161" s="1">
        <v>9294391</v>
      </c>
      <c r="B1161" s="1" t="s">
        <v>101</v>
      </c>
      <c r="C1161" t="s">
        <v>1810</v>
      </c>
      <c r="E1161" s="2">
        <v>1012000206001</v>
      </c>
      <c r="F1161" s="1" t="s">
        <v>29</v>
      </c>
      <c r="G1161" s="1" t="s">
        <v>53</v>
      </c>
      <c r="H1161" s="1" t="s">
        <v>172</v>
      </c>
      <c r="I1161" s="1" t="s">
        <v>173</v>
      </c>
      <c r="J1161" s="1" t="s">
        <v>164</v>
      </c>
      <c r="K1161" t="s">
        <v>34</v>
      </c>
      <c r="M1161" s="1" t="s">
        <v>35</v>
      </c>
      <c r="N1161" s="1">
        <v>42318949</v>
      </c>
      <c r="O1161" s="1" t="s">
        <v>105</v>
      </c>
      <c r="P1161" s="11" t="s">
        <v>1897</v>
      </c>
      <c r="R1161" s="1" t="s">
        <v>38</v>
      </c>
      <c r="T1161" s="1" t="s">
        <v>74</v>
      </c>
      <c r="U1161" s="11" t="s">
        <v>1341</v>
      </c>
      <c r="V1161" s="1" t="s">
        <v>41</v>
      </c>
      <c r="W1161" s="1" t="s">
        <v>49</v>
      </c>
      <c r="Z1161" s="14">
        <v>1</v>
      </c>
      <c r="AA1161" s="14"/>
    </row>
    <row r="1162" spans="1:27">
      <c r="A1162" s="1">
        <v>9294359</v>
      </c>
      <c r="B1162" s="1" t="s">
        <v>101</v>
      </c>
      <c r="C1162" t="s">
        <v>1810</v>
      </c>
      <c r="E1162" s="2">
        <v>981000206001</v>
      </c>
      <c r="F1162" s="1" t="s">
        <v>29</v>
      </c>
      <c r="G1162" s="1" t="s">
        <v>53</v>
      </c>
      <c r="H1162" s="1" t="s">
        <v>410</v>
      </c>
      <c r="I1162" s="1" t="s">
        <v>411</v>
      </c>
      <c r="J1162" s="1" t="s">
        <v>85</v>
      </c>
      <c r="K1162" t="s">
        <v>34</v>
      </c>
      <c r="M1162" s="1" t="s">
        <v>35</v>
      </c>
      <c r="N1162" s="1">
        <v>42318949</v>
      </c>
      <c r="O1162" s="1" t="s">
        <v>105</v>
      </c>
      <c r="P1162" s="11" t="s">
        <v>1898</v>
      </c>
      <c r="R1162" s="1" t="s">
        <v>38</v>
      </c>
      <c r="T1162" s="1" t="s">
        <v>74</v>
      </c>
      <c r="U1162" s="11" t="s">
        <v>1341</v>
      </c>
      <c r="V1162" s="1" t="s">
        <v>41</v>
      </c>
      <c r="W1162" s="1" t="s">
        <v>49</v>
      </c>
      <c r="Z1162" s="14">
        <v>1</v>
      </c>
      <c r="AA1162" s="14"/>
    </row>
    <row r="1163" spans="1:27" hidden="1">
      <c r="A1163" s="1">
        <v>9294339</v>
      </c>
      <c r="B1163" s="1" t="s">
        <v>101</v>
      </c>
      <c r="C1163" t="s">
        <v>1810</v>
      </c>
      <c r="E1163" s="2">
        <v>963000206001</v>
      </c>
      <c r="F1163" s="1" t="s">
        <v>29</v>
      </c>
      <c r="G1163" s="1" t="s">
        <v>53</v>
      </c>
      <c r="H1163" s="1" t="s">
        <v>531</v>
      </c>
      <c r="I1163" s="1" t="s">
        <v>532</v>
      </c>
      <c r="J1163" s="1" t="s">
        <v>33</v>
      </c>
      <c r="K1163" t="s">
        <v>34</v>
      </c>
      <c r="M1163" s="1" t="s">
        <v>35</v>
      </c>
      <c r="N1163" s="1">
        <v>42318949</v>
      </c>
      <c r="O1163" s="1" t="s">
        <v>105</v>
      </c>
      <c r="P1163" s="11" t="s">
        <v>1899</v>
      </c>
      <c r="R1163" s="1" t="s">
        <v>38</v>
      </c>
      <c r="T1163" s="1" t="s">
        <v>74</v>
      </c>
      <c r="U1163" s="11" t="s">
        <v>1341</v>
      </c>
      <c r="V1163" s="1" t="s">
        <v>41</v>
      </c>
      <c r="W1163" s="1" t="s">
        <v>49</v>
      </c>
      <c r="Z1163" s="14">
        <v>1</v>
      </c>
      <c r="AA1163" s="14"/>
    </row>
    <row r="1164" spans="1:27" hidden="1">
      <c r="A1164" s="1">
        <v>9294307</v>
      </c>
      <c r="B1164" s="1" t="s">
        <v>101</v>
      </c>
      <c r="C1164" t="s">
        <v>1810</v>
      </c>
      <c r="E1164" s="2">
        <v>934000206001</v>
      </c>
      <c r="F1164" s="1" t="s">
        <v>29</v>
      </c>
      <c r="G1164" s="1" t="s">
        <v>53</v>
      </c>
      <c r="H1164" s="1" t="s">
        <v>428</v>
      </c>
      <c r="I1164" s="1" t="s">
        <v>429</v>
      </c>
      <c r="J1164" s="1" t="s">
        <v>46</v>
      </c>
      <c r="K1164" t="s">
        <v>34</v>
      </c>
      <c r="M1164" s="1" t="s">
        <v>35</v>
      </c>
      <c r="N1164" s="1">
        <v>42318949</v>
      </c>
      <c r="O1164" s="1" t="s">
        <v>105</v>
      </c>
      <c r="P1164" s="11" t="s">
        <v>1900</v>
      </c>
      <c r="R1164" s="1" t="s">
        <v>38</v>
      </c>
      <c r="T1164" s="1" t="s">
        <v>74</v>
      </c>
      <c r="U1164" s="11" t="s">
        <v>1341</v>
      </c>
      <c r="V1164" s="1" t="s">
        <v>41</v>
      </c>
      <c r="W1164" s="1" t="s">
        <v>49</v>
      </c>
      <c r="Z1164" s="14">
        <v>1</v>
      </c>
      <c r="AA1164" s="14"/>
    </row>
    <row r="1165" spans="1:27" hidden="1">
      <c r="A1165" s="1">
        <v>9294293</v>
      </c>
      <c r="B1165" s="1" t="s">
        <v>101</v>
      </c>
      <c r="C1165" t="s">
        <v>1810</v>
      </c>
      <c r="E1165" s="2">
        <v>922000206001</v>
      </c>
      <c r="F1165" s="1" t="s">
        <v>29</v>
      </c>
      <c r="G1165" s="1" t="s">
        <v>53</v>
      </c>
      <c r="H1165" s="1" t="s">
        <v>1375</v>
      </c>
      <c r="I1165" s="1" t="s">
        <v>1376</v>
      </c>
      <c r="J1165" s="1" t="s">
        <v>261</v>
      </c>
      <c r="K1165" t="s">
        <v>34</v>
      </c>
      <c r="M1165" s="1" t="s">
        <v>35</v>
      </c>
      <c r="N1165" s="1">
        <v>42318949</v>
      </c>
      <c r="O1165" s="1" t="s">
        <v>105</v>
      </c>
      <c r="P1165" s="11" t="s">
        <v>1901</v>
      </c>
      <c r="R1165" s="1" t="s">
        <v>38</v>
      </c>
      <c r="T1165" s="1" t="s">
        <v>74</v>
      </c>
      <c r="U1165" s="11" t="s">
        <v>1341</v>
      </c>
      <c r="V1165" s="1" t="s">
        <v>41</v>
      </c>
      <c r="W1165" s="1" t="s">
        <v>49</v>
      </c>
      <c r="Z1165" s="14">
        <v>1</v>
      </c>
      <c r="AA1165" s="14"/>
    </row>
    <row r="1166" spans="1:27">
      <c r="A1166" s="1">
        <v>9294269</v>
      </c>
      <c r="B1166" s="1" t="s">
        <v>101</v>
      </c>
      <c r="C1166" t="s">
        <v>1810</v>
      </c>
      <c r="E1166" s="2">
        <v>899000206001</v>
      </c>
      <c r="F1166" s="1" t="s">
        <v>29</v>
      </c>
      <c r="G1166" s="1" t="s">
        <v>53</v>
      </c>
      <c r="H1166" s="1" t="s">
        <v>175</v>
      </c>
      <c r="I1166" s="1" t="s">
        <v>176</v>
      </c>
      <c r="J1166" s="1" t="s">
        <v>90</v>
      </c>
      <c r="K1166" t="s">
        <v>34</v>
      </c>
      <c r="M1166" s="1" t="s">
        <v>35</v>
      </c>
      <c r="N1166" s="1">
        <v>42318949</v>
      </c>
      <c r="O1166" s="1" t="s">
        <v>36</v>
      </c>
      <c r="P1166" s="11" t="s">
        <v>1902</v>
      </c>
      <c r="R1166" s="1" t="s">
        <v>38</v>
      </c>
      <c r="T1166" s="1" t="s">
        <v>74</v>
      </c>
      <c r="U1166" s="11" t="s">
        <v>1341</v>
      </c>
      <c r="V1166" s="1" t="s">
        <v>41</v>
      </c>
      <c r="W1166" s="1" t="s">
        <v>49</v>
      </c>
      <c r="Z1166" s="14">
        <v>1</v>
      </c>
      <c r="AA1166" s="14"/>
    </row>
    <row r="1167" spans="1:27">
      <c r="A1167" s="1">
        <v>9294239</v>
      </c>
      <c r="B1167" s="1" t="s">
        <v>101</v>
      </c>
      <c r="C1167" t="s">
        <v>1810</v>
      </c>
      <c r="E1167" s="2">
        <v>870000206001</v>
      </c>
      <c r="F1167" s="1" t="s">
        <v>29</v>
      </c>
      <c r="G1167" s="1" t="s">
        <v>53</v>
      </c>
      <c r="H1167" s="1" t="s">
        <v>183</v>
      </c>
      <c r="I1167" s="1" t="s">
        <v>184</v>
      </c>
      <c r="J1167" s="1" t="s">
        <v>90</v>
      </c>
      <c r="K1167" t="s">
        <v>34</v>
      </c>
      <c r="M1167" s="1" t="s">
        <v>35</v>
      </c>
      <c r="N1167" s="1">
        <v>42318949</v>
      </c>
      <c r="O1167" s="1" t="s">
        <v>105</v>
      </c>
      <c r="P1167" s="11" t="s">
        <v>1903</v>
      </c>
      <c r="R1167" s="1" t="s">
        <v>38</v>
      </c>
      <c r="T1167" s="1" t="s">
        <v>74</v>
      </c>
      <c r="U1167" s="11" t="s">
        <v>1341</v>
      </c>
      <c r="V1167" s="1" t="s">
        <v>41</v>
      </c>
      <c r="W1167" s="1" t="s">
        <v>49</v>
      </c>
      <c r="Z1167" s="14">
        <v>1</v>
      </c>
      <c r="AA1167" s="14"/>
    </row>
    <row r="1168" spans="1:27" hidden="1">
      <c r="A1168" s="1">
        <v>9294195</v>
      </c>
      <c r="B1168" s="1" t="s">
        <v>101</v>
      </c>
      <c r="C1168" t="s">
        <v>1810</v>
      </c>
      <c r="E1168" s="2">
        <v>834000206001</v>
      </c>
      <c r="F1168" s="1" t="s">
        <v>29</v>
      </c>
      <c r="G1168" s="1" t="s">
        <v>53</v>
      </c>
      <c r="H1168" s="1" t="s">
        <v>367</v>
      </c>
      <c r="I1168" s="1" t="s">
        <v>368</v>
      </c>
      <c r="J1168" s="1" t="s">
        <v>261</v>
      </c>
      <c r="K1168" t="s">
        <v>34</v>
      </c>
      <c r="M1168" s="1" t="s">
        <v>35</v>
      </c>
      <c r="N1168" s="1">
        <v>42318949</v>
      </c>
      <c r="O1168" s="1" t="s">
        <v>105</v>
      </c>
      <c r="P1168" s="11" t="s">
        <v>1904</v>
      </c>
      <c r="R1168" s="1" t="s">
        <v>38</v>
      </c>
      <c r="T1168" s="1" t="s">
        <v>74</v>
      </c>
      <c r="U1168" s="11" t="s">
        <v>1341</v>
      </c>
      <c r="V1168" s="1" t="s">
        <v>41</v>
      </c>
      <c r="W1168" s="1" t="s">
        <v>49</v>
      </c>
      <c r="Z1168" s="14">
        <v>1</v>
      </c>
      <c r="AA1168" s="14"/>
    </row>
    <row r="1169" spans="1:27" hidden="1">
      <c r="A1169" s="1">
        <v>9294183</v>
      </c>
      <c r="B1169" s="1" t="s">
        <v>101</v>
      </c>
      <c r="C1169" t="s">
        <v>1810</v>
      </c>
      <c r="E1169" s="2">
        <v>821000206001</v>
      </c>
      <c r="F1169" s="1" t="s">
        <v>29</v>
      </c>
      <c r="G1169" s="1" t="s">
        <v>53</v>
      </c>
      <c r="H1169" s="1" t="s">
        <v>1351</v>
      </c>
      <c r="I1169" s="1" t="s">
        <v>1352</v>
      </c>
      <c r="J1169" s="1" t="s">
        <v>46</v>
      </c>
      <c r="K1169" t="s">
        <v>34</v>
      </c>
      <c r="M1169" s="1" t="s">
        <v>35</v>
      </c>
      <c r="N1169" s="1">
        <v>42318949</v>
      </c>
      <c r="O1169" s="1" t="s">
        <v>105</v>
      </c>
      <c r="P1169" s="11" t="s">
        <v>1905</v>
      </c>
      <c r="R1169" s="1" t="s">
        <v>38</v>
      </c>
      <c r="T1169" s="1" t="s">
        <v>74</v>
      </c>
      <c r="U1169" s="11" t="s">
        <v>1341</v>
      </c>
      <c r="V1169" s="1" t="s">
        <v>41</v>
      </c>
      <c r="W1169" s="1" t="s">
        <v>49</v>
      </c>
      <c r="Z1169" s="14">
        <v>1</v>
      </c>
      <c r="AA1169" s="14"/>
    </row>
    <row r="1170" spans="1:27" hidden="1">
      <c r="A1170" s="1">
        <v>9294081</v>
      </c>
      <c r="B1170" s="1" t="s">
        <v>101</v>
      </c>
      <c r="C1170" t="s">
        <v>1810</v>
      </c>
      <c r="E1170" s="2">
        <v>721000206001</v>
      </c>
      <c r="F1170" s="1" t="s">
        <v>29</v>
      </c>
      <c r="G1170" s="1" t="s">
        <v>53</v>
      </c>
      <c r="H1170" s="1" t="s">
        <v>422</v>
      </c>
      <c r="I1170" s="1" t="s">
        <v>423</v>
      </c>
      <c r="J1170" s="1" t="s">
        <v>79</v>
      </c>
      <c r="K1170" t="s">
        <v>34</v>
      </c>
      <c r="M1170" s="1" t="s">
        <v>35</v>
      </c>
      <c r="N1170" s="1">
        <v>42318949</v>
      </c>
      <c r="O1170" s="1" t="s">
        <v>105</v>
      </c>
      <c r="P1170" s="11" t="s">
        <v>1906</v>
      </c>
      <c r="R1170" s="1" t="s">
        <v>38</v>
      </c>
      <c r="T1170" s="1" t="s">
        <v>74</v>
      </c>
      <c r="U1170" s="11" t="s">
        <v>1341</v>
      </c>
      <c r="V1170" s="1" t="s">
        <v>41</v>
      </c>
      <c r="W1170" s="1" t="s">
        <v>49</v>
      </c>
      <c r="Z1170" s="14">
        <v>1</v>
      </c>
      <c r="AA1170" s="14"/>
    </row>
    <row r="1171" spans="1:27" hidden="1">
      <c r="A1171" s="1">
        <v>9294073</v>
      </c>
      <c r="B1171" s="1" t="s">
        <v>101</v>
      </c>
      <c r="C1171" t="s">
        <v>1810</v>
      </c>
      <c r="E1171" s="2">
        <v>714000206001</v>
      </c>
      <c r="F1171" s="1" t="s">
        <v>29</v>
      </c>
      <c r="G1171" s="1" t="s">
        <v>53</v>
      </c>
      <c r="H1171" s="1" t="s">
        <v>377</v>
      </c>
      <c r="I1171" s="1" t="s">
        <v>378</v>
      </c>
      <c r="J1171" s="1" t="s">
        <v>46</v>
      </c>
      <c r="K1171" t="s">
        <v>34</v>
      </c>
      <c r="M1171" s="1" t="s">
        <v>35</v>
      </c>
      <c r="N1171" s="1">
        <v>42318949</v>
      </c>
      <c r="O1171" s="1" t="s">
        <v>105</v>
      </c>
      <c r="P1171" s="11" t="s">
        <v>1907</v>
      </c>
      <c r="R1171" s="1" t="s">
        <v>38</v>
      </c>
      <c r="T1171" s="1" t="s">
        <v>74</v>
      </c>
      <c r="U1171" s="11" t="s">
        <v>1341</v>
      </c>
      <c r="V1171" s="1" t="s">
        <v>41</v>
      </c>
      <c r="W1171" s="1" t="s">
        <v>49</v>
      </c>
      <c r="Z1171" s="14">
        <v>1</v>
      </c>
      <c r="AA1171" s="14"/>
    </row>
    <row r="1172" spans="1:27" hidden="1">
      <c r="A1172" s="1">
        <v>9294069</v>
      </c>
      <c r="B1172" s="1" t="s">
        <v>101</v>
      </c>
      <c r="C1172" t="s">
        <v>1810</v>
      </c>
      <c r="E1172" s="2">
        <v>711000206001</v>
      </c>
      <c r="F1172" s="1" t="s">
        <v>29</v>
      </c>
      <c r="G1172" s="1" t="s">
        <v>53</v>
      </c>
      <c r="H1172" s="1" t="s">
        <v>77</v>
      </c>
      <c r="I1172" s="1" t="s">
        <v>78</v>
      </c>
      <c r="J1172" s="1" t="s">
        <v>79</v>
      </c>
      <c r="K1172" t="s">
        <v>34</v>
      </c>
      <c r="M1172" s="1" t="s">
        <v>35</v>
      </c>
      <c r="N1172" s="1">
        <v>42318949</v>
      </c>
      <c r="O1172" s="1" t="s">
        <v>105</v>
      </c>
      <c r="P1172" s="11" t="s">
        <v>1908</v>
      </c>
      <c r="R1172" s="1" t="s">
        <v>38</v>
      </c>
      <c r="T1172" s="1" t="s">
        <v>74</v>
      </c>
      <c r="U1172" s="11" t="s">
        <v>1341</v>
      </c>
      <c r="V1172" s="1" t="s">
        <v>41</v>
      </c>
      <c r="W1172" s="1" t="s">
        <v>49</v>
      </c>
      <c r="Z1172" s="14">
        <v>1</v>
      </c>
      <c r="AA1172" s="14"/>
    </row>
    <row r="1173" spans="1:27" hidden="1">
      <c r="A1173" s="1">
        <v>9294068</v>
      </c>
      <c r="B1173" s="1" t="s">
        <v>101</v>
      </c>
      <c r="C1173" t="s">
        <v>1810</v>
      </c>
      <c r="E1173" s="2">
        <v>710000206001</v>
      </c>
      <c r="F1173" s="1" t="s">
        <v>29</v>
      </c>
      <c r="G1173" s="1" t="s">
        <v>53</v>
      </c>
      <c r="H1173" s="1" t="s">
        <v>390</v>
      </c>
      <c r="I1173" s="1" t="s">
        <v>391</v>
      </c>
      <c r="J1173" s="1" t="s">
        <v>56</v>
      </c>
      <c r="K1173" t="s">
        <v>34</v>
      </c>
      <c r="M1173" s="1" t="s">
        <v>35</v>
      </c>
      <c r="N1173" s="1">
        <v>42318949</v>
      </c>
      <c r="O1173" s="1" t="s">
        <v>105</v>
      </c>
      <c r="P1173" s="11" t="s">
        <v>1908</v>
      </c>
      <c r="R1173" s="1" t="s">
        <v>38</v>
      </c>
      <c r="T1173" s="1" t="s">
        <v>74</v>
      </c>
      <c r="U1173" s="11" t="s">
        <v>1341</v>
      </c>
      <c r="V1173" s="1" t="s">
        <v>41</v>
      </c>
      <c r="W1173" s="1" t="s">
        <v>49</v>
      </c>
      <c r="Z1173" s="14">
        <v>1</v>
      </c>
      <c r="AA1173" s="14"/>
    </row>
    <row r="1174" spans="1:27" hidden="1">
      <c r="A1174" s="1">
        <v>9294054</v>
      </c>
      <c r="B1174" s="1" t="s">
        <v>101</v>
      </c>
      <c r="C1174" t="s">
        <v>1810</v>
      </c>
      <c r="E1174" s="2">
        <v>697000206001</v>
      </c>
      <c r="F1174" s="1" t="s">
        <v>29</v>
      </c>
      <c r="G1174" s="1" t="s">
        <v>53</v>
      </c>
      <c r="H1174" s="1" t="s">
        <v>65</v>
      </c>
      <c r="I1174" s="1" t="s">
        <v>66</v>
      </c>
      <c r="J1174" s="1" t="s">
        <v>46</v>
      </c>
      <c r="K1174" t="s">
        <v>34</v>
      </c>
      <c r="M1174" s="1" t="s">
        <v>35</v>
      </c>
      <c r="N1174" s="1">
        <v>42318949</v>
      </c>
      <c r="O1174" s="1" t="s">
        <v>105</v>
      </c>
      <c r="P1174" s="12">
        <v>44932.429618055554</v>
      </c>
      <c r="R1174" s="1" t="s">
        <v>38</v>
      </c>
      <c r="T1174" s="1" t="s">
        <v>74</v>
      </c>
      <c r="U1174" s="12">
        <v>44932.75</v>
      </c>
      <c r="V1174" s="1" t="s">
        <v>41</v>
      </c>
      <c r="W1174" s="1" t="s">
        <v>49</v>
      </c>
      <c r="Z1174" s="14">
        <v>1</v>
      </c>
      <c r="AA1174" s="14"/>
    </row>
    <row r="1175" spans="1:27" hidden="1">
      <c r="A1175" s="1">
        <v>9294030</v>
      </c>
      <c r="B1175" s="1" t="s">
        <v>101</v>
      </c>
      <c r="C1175" t="s">
        <v>1810</v>
      </c>
      <c r="E1175" s="2">
        <v>673000206001</v>
      </c>
      <c r="F1175" s="1" t="s">
        <v>29</v>
      </c>
      <c r="G1175" s="1" t="s">
        <v>53</v>
      </c>
      <c r="H1175" s="1" t="s">
        <v>581</v>
      </c>
      <c r="I1175" s="1" t="s">
        <v>582</v>
      </c>
      <c r="J1175" s="1" t="s">
        <v>110</v>
      </c>
      <c r="K1175" t="s">
        <v>34</v>
      </c>
      <c r="M1175" s="1" t="s">
        <v>35</v>
      </c>
      <c r="N1175" s="1">
        <v>42318949</v>
      </c>
      <c r="O1175" s="1" t="s">
        <v>105</v>
      </c>
      <c r="P1175" s="12">
        <v>44932.429583333331</v>
      </c>
      <c r="R1175" s="1" t="s">
        <v>38</v>
      </c>
      <c r="T1175" s="1" t="s">
        <v>74</v>
      </c>
      <c r="U1175" s="12">
        <v>44932.75</v>
      </c>
      <c r="V1175" s="1" t="s">
        <v>41</v>
      </c>
      <c r="W1175" s="1" t="s">
        <v>49</v>
      </c>
      <c r="Z1175" s="14">
        <v>1</v>
      </c>
      <c r="AA1175" s="14"/>
    </row>
    <row r="1176" spans="1:27">
      <c r="A1176" s="1">
        <v>9293955</v>
      </c>
      <c r="B1176" s="1" t="s">
        <v>101</v>
      </c>
      <c r="C1176" t="s">
        <v>1810</v>
      </c>
      <c r="E1176" s="2">
        <v>608000206001</v>
      </c>
      <c r="F1176" s="1" t="s">
        <v>29</v>
      </c>
      <c r="G1176" s="1" t="s">
        <v>53</v>
      </c>
      <c r="H1176" s="1" t="s">
        <v>438</v>
      </c>
      <c r="I1176" s="1" t="s">
        <v>439</v>
      </c>
      <c r="J1176" s="1" t="s">
        <v>148</v>
      </c>
      <c r="K1176" t="s">
        <v>34</v>
      </c>
      <c r="M1176" s="1" t="s">
        <v>35</v>
      </c>
      <c r="N1176" s="1">
        <v>42318949</v>
      </c>
      <c r="O1176" s="1" t="s">
        <v>105</v>
      </c>
      <c r="P1176" s="11" t="s">
        <v>1909</v>
      </c>
      <c r="R1176" s="1" t="s">
        <v>38</v>
      </c>
      <c r="T1176" s="1" t="s">
        <v>74</v>
      </c>
      <c r="U1176" s="11" t="s">
        <v>1341</v>
      </c>
      <c r="V1176" s="1" t="s">
        <v>41</v>
      </c>
      <c r="W1176" s="1" t="s">
        <v>49</v>
      </c>
      <c r="Z1176" s="14">
        <v>1</v>
      </c>
      <c r="AA1176" s="14"/>
    </row>
    <row r="1177" spans="1:27">
      <c r="A1177" s="1">
        <v>9293952</v>
      </c>
      <c r="B1177" s="1" t="s">
        <v>101</v>
      </c>
      <c r="C1177" t="s">
        <v>1810</v>
      </c>
      <c r="E1177" s="2">
        <v>605000206001</v>
      </c>
      <c r="F1177" s="1" t="s">
        <v>29</v>
      </c>
      <c r="G1177" s="1" t="s">
        <v>53</v>
      </c>
      <c r="H1177" s="1" t="s">
        <v>420</v>
      </c>
      <c r="I1177" s="1" t="s">
        <v>421</v>
      </c>
      <c r="J1177" s="1" t="s">
        <v>90</v>
      </c>
      <c r="K1177" t="s">
        <v>34</v>
      </c>
      <c r="M1177" s="1" t="s">
        <v>35</v>
      </c>
      <c r="N1177" s="1">
        <v>42318949</v>
      </c>
      <c r="O1177" s="1" t="s">
        <v>105</v>
      </c>
      <c r="P1177" s="11" t="s">
        <v>1910</v>
      </c>
      <c r="R1177" s="1" t="s">
        <v>38</v>
      </c>
      <c r="T1177" s="1" t="s">
        <v>74</v>
      </c>
      <c r="U1177" s="12">
        <v>44932.75</v>
      </c>
      <c r="V1177" s="1" t="s">
        <v>41</v>
      </c>
      <c r="W1177" s="1" t="s">
        <v>49</v>
      </c>
      <c r="Z1177" s="14">
        <v>1</v>
      </c>
      <c r="AA1177" s="14"/>
    </row>
    <row r="1178" spans="1:27" hidden="1">
      <c r="A1178" s="1">
        <v>9293925</v>
      </c>
      <c r="B1178" s="1" t="s">
        <v>101</v>
      </c>
      <c r="C1178" t="s">
        <v>1810</v>
      </c>
      <c r="E1178" s="2">
        <v>582000206001</v>
      </c>
      <c r="F1178" s="1" t="s">
        <v>29</v>
      </c>
      <c r="G1178" s="1" t="s">
        <v>53</v>
      </c>
      <c r="H1178" s="1" t="s">
        <v>139</v>
      </c>
      <c r="I1178" s="1" t="s">
        <v>140</v>
      </c>
      <c r="J1178" s="1" t="s">
        <v>141</v>
      </c>
      <c r="K1178" t="s">
        <v>34</v>
      </c>
      <c r="M1178" s="1" t="s">
        <v>35</v>
      </c>
      <c r="N1178" s="1">
        <v>42318949</v>
      </c>
      <c r="O1178" s="1" t="s">
        <v>105</v>
      </c>
      <c r="P1178" s="11" t="s">
        <v>1911</v>
      </c>
      <c r="R1178" s="1" t="s">
        <v>38</v>
      </c>
      <c r="T1178" s="1" t="s">
        <v>74</v>
      </c>
      <c r="U1178" s="12">
        <v>44932.75</v>
      </c>
      <c r="V1178" s="1" t="s">
        <v>41</v>
      </c>
      <c r="W1178" s="1" t="s">
        <v>49</v>
      </c>
      <c r="Z1178" s="14">
        <v>1</v>
      </c>
      <c r="AA1178" s="14"/>
    </row>
    <row r="1179" spans="1:27">
      <c r="A1179" s="1">
        <v>9293913</v>
      </c>
      <c r="B1179" s="1" t="s">
        <v>101</v>
      </c>
      <c r="C1179" t="s">
        <v>1810</v>
      </c>
      <c r="E1179" s="2">
        <v>570000206001</v>
      </c>
      <c r="F1179" s="1" t="s">
        <v>29</v>
      </c>
      <c r="G1179" s="1" t="s">
        <v>53</v>
      </c>
      <c r="H1179" s="1" t="s">
        <v>434</v>
      </c>
      <c r="I1179" s="1" t="s">
        <v>435</v>
      </c>
      <c r="J1179" s="1" t="s">
        <v>148</v>
      </c>
      <c r="K1179" t="s">
        <v>34</v>
      </c>
      <c r="M1179" s="1" t="s">
        <v>35</v>
      </c>
      <c r="N1179" s="1">
        <v>42318949</v>
      </c>
      <c r="O1179" s="1" t="s">
        <v>105</v>
      </c>
      <c r="P1179" s="11" t="s">
        <v>1912</v>
      </c>
      <c r="R1179" s="1" t="s">
        <v>38</v>
      </c>
      <c r="T1179" s="1" t="s">
        <v>74</v>
      </c>
      <c r="U1179" s="11" t="s">
        <v>1341</v>
      </c>
      <c r="V1179" s="1" t="s">
        <v>41</v>
      </c>
      <c r="W1179" s="1" t="s">
        <v>49</v>
      </c>
      <c r="Z1179" s="14">
        <v>1</v>
      </c>
      <c r="AA1179" s="14"/>
    </row>
    <row r="1180" spans="1:27" hidden="1">
      <c r="A1180" s="1">
        <v>9293892</v>
      </c>
      <c r="B1180" s="1" t="s">
        <v>101</v>
      </c>
      <c r="C1180" t="s">
        <v>1810</v>
      </c>
      <c r="E1180" s="2">
        <v>550000206001</v>
      </c>
      <c r="F1180" s="1" t="s">
        <v>29</v>
      </c>
      <c r="G1180" s="1" t="s">
        <v>53</v>
      </c>
      <c r="H1180" s="1" t="s">
        <v>337</v>
      </c>
      <c r="I1180" s="1" t="s">
        <v>338</v>
      </c>
      <c r="J1180" s="1" t="s">
        <v>164</v>
      </c>
      <c r="K1180" t="s">
        <v>34</v>
      </c>
      <c r="M1180" s="1" t="s">
        <v>35</v>
      </c>
      <c r="N1180" s="1">
        <v>42318949</v>
      </c>
      <c r="O1180" s="1" t="s">
        <v>105</v>
      </c>
      <c r="P1180" s="11" t="s">
        <v>1913</v>
      </c>
      <c r="R1180" s="1" t="s">
        <v>38</v>
      </c>
      <c r="T1180" s="1" t="s">
        <v>74</v>
      </c>
      <c r="U1180" s="11" t="s">
        <v>1341</v>
      </c>
      <c r="V1180" s="1" t="s">
        <v>41</v>
      </c>
      <c r="W1180" s="1" t="s">
        <v>49</v>
      </c>
      <c r="Z1180" s="14">
        <v>1</v>
      </c>
      <c r="AA1180" s="14"/>
    </row>
    <row r="1181" spans="1:27" hidden="1">
      <c r="A1181" s="1">
        <v>9293880</v>
      </c>
      <c r="B1181" s="1" t="s">
        <v>101</v>
      </c>
      <c r="C1181" t="s">
        <v>1810</v>
      </c>
      <c r="E1181" s="2">
        <v>537000206001</v>
      </c>
      <c r="F1181" s="1" t="s">
        <v>29</v>
      </c>
      <c r="G1181" s="1" t="s">
        <v>53</v>
      </c>
      <c r="H1181" s="1" t="s">
        <v>442</v>
      </c>
      <c r="I1181" s="1" t="s">
        <v>443</v>
      </c>
      <c r="J1181" s="1" t="s">
        <v>79</v>
      </c>
      <c r="K1181" t="s">
        <v>34</v>
      </c>
      <c r="M1181" s="1" t="s">
        <v>35</v>
      </c>
      <c r="N1181" s="1">
        <v>42318949</v>
      </c>
      <c r="O1181" s="1" t="s">
        <v>105</v>
      </c>
      <c r="P1181" s="11" t="s">
        <v>1914</v>
      </c>
      <c r="R1181" s="1" t="s">
        <v>38</v>
      </c>
      <c r="T1181" s="1" t="s">
        <v>74</v>
      </c>
      <c r="U1181" s="11" t="s">
        <v>1341</v>
      </c>
      <c r="V1181" s="1" t="s">
        <v>41</v>
      </c>
      <c r="W1181" s="1" t="s">
        <v>49</v>
      </c>
      <c r="Z1181" s="14">
        <v>1</v>
      </c>
      <c r="AA1181" s="14"/>
    </row>
    <row r="1182" spans="1:27" hidden="1">
      <c r="A1182" s="1">
        <v>9293775</v>
      </c>
      <c r="B1182" s="1" t="s">
        <v>101</v>
      </c>
      <c r="C1182" t="s">
        <v>1810</v>
      </c>
      <c r="D1182" s="1"/>
      <c r="E1182" s="1">
        <v>446000206001</v>
      </c>
      <c r="F1182" s="1" t="s">
        <v>29</v>
      </c>
      <c r="G1182" s="1" t="s">
        <v>53</v>
      </c>
      <c r="H1182" s="1" t="s">
        <v>432</v>
      </c>
      <c r="I1182" s="1" t="s">
        <v>433</v>
      </c>
      <c r="J1182" s="1" t="s">
        <v>110</v>
      </c>
      <c r="K1182" t="s">
        <v>34</v>
      </c>
      <c r="M1182" s="1" t="s">
        <v>35</v>
      </c>
      <c r="N1182" s="1">
        <v>42318949</v>
      </c>
      <c r="O1182" s="1" t="s">
        <v>36</v>
      </c>
      <c r="P1182" s="11" t="s">
        <v>1915</v>
      </c>
      <c r="R1182" s="1" t="s">
        <v>38</v>
      </c>
      <c r="T1182" s="1" t="s">
        <v>74</v>
      </c>
      <c r="U1182" s="11" t="s">
        <v>1341</v>
      </c>
      <c r="V1182" s="1" t="s">
        <v>41</v>
      </c>
      <c r="W1182" s="1" t="s">
        <v>49</v>
      </c>
      <c r="Z1182" s="14">
        <v>1</v>
      </c>
      <c r="AA1182" s="14"/>
    </row>
    <row r="1183" spans="1:27" hidden="1">
      <c r="A1183" s="1">
        <v>9293508</v>
      </c>
      <c r="B1183" s="1" t="s">
        <v>101</v>
      </c>
      <c r="C1183" t="s">
        <v>1810</v>
      </c>
      <c r="E1183" s="2">
        <v>233000206001</v>
      </c>
      <c r="F1183" s="1" t="s">
        <v>29</v>
      </c>
      <c r="G1183" s="1" t="s">
        <v>53</v>
      </c>
      <c r="H1183" s="1" t="s">
        <v>424</v>
      </c>
      <c r="I1183" s="1" t="s">
        <v>425</v>
      </c>
      <c r="J1183" s="1" t="s">
        <v>261</v>
      </c>
      <c r="K1183" t="s">
        <v>34</v>
      </c>
      <c r="M1183" s="1" t="s">
        <v>35</v>
      </c>
      <c r="N1183" s="1">
        <v>42318949</v>
      </c>
      <c r="O1183" s="1" t="s">
        <v>105</v>
      </c>
      <c r="P1183" s="11" t="s">
        <v>1916</v>
      </c>
      <c r="R1183" s="1" t="s">
        <v>38</v>
      </c>
      <c r="T1183" s="1" t="s">
        <v>74</v>
      </c>
      <c r="U1183" s="11" t="s">
        <v>1341</v>
      </c>
      <c r="V1183" s="1" t="s">
        <v>41</v>
      </c>
      <c r="W1183" s="1" t="s">
        <v>49</v>
      </c>
      <c r="Z1183" s="14">
        <v>1</v>
      </c>
      <c r="AA1183" s="14"/>
    </row>
    <row r="1184" spans="1:27" hidden="1">
      <c r="A1184" s="1">
        <v>9293507</v>
      </c>
      <c r="B1184" s="1" t="s">
        <v>101</v>
      </c>
      <c r="C1184" t="s">
        <v>1810</v>
      </c>
      <c r="E1184" s="2">
        <v>232000206001</v>
      </c>
      <c r="F1184" s="1" t="s">
        <v>29</v>
      </c>
      <c r="G1184" s="1" t="s">
        <v>53</v>
      </c>
      <c r="H1184" s="1" t="s">
        <v>1363</v>
      </c>
      <c r="I1184" s="1" t="s">
        <v>1364</v>
      </c>
      <c r="J1184" s="1" t="s">
        <v>141</v>
      </c>
      <c r="K1184" t="s">
        <v>34</v>
      </c>
      <c r="M1184" s="1" t="s">
        <v>35</v>
      </c>
      <c r="N1184" s="1">
        <v>42318949</v>
      </c>
      <c r="O1184" s="1" t="s">
        <v>105</v>
      </c>
      <c r="P1184" s="11" t="s">
        <v>1916</v>
      </c>
      <c r="R1184" s="1" t="s">
        <v>38</v>
      </c>
      <c r="T1184" s="1" t="s">
        <v>74</v>
      </c>
      <c r="U1184" s="11" t="s">
        <v>1341</v>
      </c>
      <c r="V1184" s="1" t="s">
        <v>41</v>
      </c>
      <c r="W1184" s="1" t="s">
        <v>49</v>
      </c>
      <c r="Z1184" s="14">
        <v>1</v>
      </c>
      <c r="AA1184" s="14"/>
    </row>
    <row r="1185" spans="1:27" hidden="1">
      <c r="A1185" s="1">
        <v>9293492</v>
      </c>
      <c r="B1185" s="1" t="s">
        <v>101</v>
      </c>
      <c r="C1185" t="s">
        <v>1810</v>
      </c>
      <c r="E1185" s="2">
        <v>220000206001</v>
      </c>
      <c r="F1185" s="1" t="s">
        <v>29</v>
      </c>
      <c r="G1185" s="1" t="s">
        <v>53</v>
      </c>
      <c r="H1185" s="1" t="s">
        <v>588</v>
      </c>
      <c r="I1185" s="1" t="s">
        <v>589</v>
      </c>
      <c r="J1185" s="1" t="s">
        <v>110</v>
      </c>
      <c r="K1185" t="s">
        <v>34</v>
      </c>
      <c r="M1185" s="1" t="s">
        <v>35</v>
      </c>
      <c r="N1185" s="1">
        <v>42318949</v>
      </c>
      <c r="O1185" s="1" t="s">
        <v>105</v>
      </c>
      <c r="P1185" s="11" t="s">
        <v>1917</v>
      </c>
      <c r="R1185" s="1" t="s">
        <v>38</v>
      </c>
      <c r="T1185" s="1" t="s">
        <v>74</v>
      </c>
      <c r="U1185" s="11" t="s">
        <v>1341</v>
      </c>
      <c r="V1185" s="1" t="s">
        <v>41</v>
      </c>
      <c r="W1185" s="1" t="s">
        <v>49</v>
      </c>
      <c r="Z1185" s="14">
        <v>1</v>
      </c>
      <c r="AA1185" s="14"/>
    </row>
    <row r="1186" spans="1:27" hidden="1">
      <c r="A1186" s="1">
        <v>9293462</v>
      </c>
      <c r="B1186" s="1" t="s">
        <v>101</v>
      </c>
      <c r="C1186" t="s">
        <v>1810</v>
      </c>
      <c r="E1186" s="2">
        <v>196000206001</v>
      </c>
      <c r="F1186" s="1" t="s">
        <v>29</v>
      </c>
      <c r="G1186" s="1" t="s">
        <v>53</v>
      </c>
      <c r="H1186" s="1" t="s">
        <v>1060</v>
      </c>
      <c r="I1186" s="1" t="s">
        <v>1061</v>
      </c>
      <c r="J1186" s="1" t="s">
        <v>79</v>
      </c>
      <c r="K1186" t="s">
        <v>34</v>
      </c>
      <c r="M1186" s="1" t="s">
        <v>35</v>
      </c>
      <c r="N1186" s="1">
        <v>42318949</v>
      </c>
      <c r="O1186" s="1" t="s">
        <v>105</v>
      </c>
      <c r="P1186" s="11" t="s">
        <v>1918</v>
      </c>
      <c r="R1186" s="1" t="s">
        <v>38</v>
      </c>
      <c r="T1186" s="1" t="s">
        <v>74</v>
      </c>
      <c r="U1186" s="11" t="s">
        <v>1341</v>
      </c>
      <c r="V1186" s="1" t="s">
        <v>41</v>
      </c>
      <c r="W1186" s="1" t="s">
        <v>49</v>
      </c>
      <c r="Z1186" s="14">
        <v>1</v>
      </c>
      <c r="AA1186" s="14"/>
    </row>
    <row r="1187" spans="1:27" hidden="1">
      <c r="A1187" s="1">
        <v>9293363</v>
      </c>
      <c r="B1187" s="1" t="s">
        <v>101</v>
      </c>
      <c r="C1187" t="s">
        <v>1810</v>
      </c>
      <c r="E1187" s="2">
        <v>115000206001</v>
      </c>
      <c r="F1187" s="1" t="s">
        <v>29</v>
      </c>
      <c r="G1187" s="1" t="s">
        <v>53</v>
      </c>
      <c r="H1187" s="1" t="s">
        <v>542</v>
      </c>
      <c r="I1187" s="1" t="s">
        <v>543</v>
      </c>
      <c r="J1187" s="1" t="s">
        <v>56</v>
      </c>
      <c r="K1187" t="s">
        <v>34</v>
      </c>
      <c r="M1187" s="1" t="s">
        <v>35</v>
      </c>
      <c r="N1187" s="1">
        <v>42318949</v>
      </c>
      <c r="O1187" s="1" t="s">
        <v>105</v>
      </c>
      <c r="P1187" s="11" t="s">
        <v>1919</v>
      </c>
      <c r="R1187" s="1" t="s">
        <v>38</v>
      </c>
      <c r="T1187" s="1" t="s">
        <v>74</v>
      </c>
      <c r="U1187" s="11" t="s">
        <v>1341</v>
      </c>
      <c r="V1187" s="1" t="s">
        <v>41</v>
      </c>
      <c r="W1187" s="1" t="s">
        <v>49</v>
      </c>
      <c r="Z1187" s="14">
        <v>1</v>
      </c>
      <c r="AA1187" s="14"/>
    </row>
    <row r="1188" spans="1:27">
      <c r="A1188" s="1">
        <v>9293306</v>
      </c>
      <c r="B1188" s="1" t="s">
        <v>101</v>
      </c>
      <c r="C1188" t="s">
        <v>1810</v>
      </c>
      <c r="E1188" s="2">
        <v>68000206001</v>
      </c>
      <c r="F1188" s="1" t="s">
        <v>29</v>
      </c>
      <c r="G1188" s="1" t="s">
        <v>53</v>
      </c>
      <c r="H1188" s="1" t="s">
        <v>1330</v>
      </c>
      <c r="I1188" s="1" t="s">
        <v>1331</v>
      </c>
      <c r="J1188" s="1" t="s">
        <v>211</v>
      </c>
      <c r="K1188" t="s">
        <v>34</v>
      </c>
      <c r="M1188" s="1" t="s">
        <v>35</v>
      </c>
      <c r="N1188" s="1">
        <v>42318949</v>
      </c>
      <c r="O1188" s="1" t="s">
        <v>105</v>
      </c>
      <c r="P1188" s="11" t="s">
        <v>1920</v>
      </c>
      <c r="R1188" s="1" t="s">
        <v>38</v>
      </c>
      <c r="T1188" s="1" t="s">
        <v>74</v>
      </c>
      <c r="U1188" s="11" t="s">
        <v>1341</v>
      </c>
      <c r="V1188" s="1" t="s">
        <v>41</v>
      </c>
      <c r="W1188" s="1" t="s">
        <v>49</v>
      </c>
      <c r="Z1188" s="14">
        <v>1</v>
      </c>
      <c r="AA1188" s="14"/>
    </row>
    <row r="1189" spans="1:27" hidden="1">
      <c r="A1189" s="1">
        <v>9293305</v>
      </c>
      <c r="B1189" s="1" t="s">
        <v>101</v>
      </c>
      <c r="C1189" t="s">
        <v>1810</v>
      </c>
      <c r="E1189" s="2">
        <v>67000206001</v>
      </c>
      <c r="F1189" s="1" t="s">
        <v>29</v>
      </c>
      <c r="G1189" s="1" t="s">
        <v>53</v>
      </c>
      <c r="H1189" s="1" t="s">
        <v>404</v>
      </c>
      <c r="I1189" s="1" t="s">
        <v>405</v>
      </c>
      <c r="J1189" s="1" t="s">
        <v>164</v>
      </c>
      <c r="K1189" t="s">
        <v>34</v>
      </c>
      <c r="M1189" s="1" t="s">
        <v>35</v>
      </c>
      <c r="N1189" s="1">
        <v>42318949</v>
      </c>
      <c r="O1189" s="1" t="s">
        <v>105</v>
      </c>
      <c r="P1189" s="11" t="s">
        <v>1920</v>
      </c>
      <c r="R1189" s="1" t="s">
        <v>38</v>
      </c>
      <c r="T1189" s="1" t="s">
        <v>74</v>
      </c>
      <c r="U1189" s="11" t="s">
        <v>1341</v>
      </c>
      <c r="V1189" s="1" t="s">
        <v>41</v>
      </c>
      <c r="W1189" s="1" t="s">
        <v>49</v>
      </c>
      <c r="Z1189" s="14">
        <v>1</v>
      </c>
      <c r="AA1189" s="14"/>
    </row>
    <row r="1190" spans="1:27" hidden="1">
      <c r="A1190" s="1">
        <v>9293224</v>
      </c>
      <c r="B1190" s="1" t="s">
        <v>101</v>
      </c>
      <c r="C1190" t="s">
        <v>1810</v>
      </c>
      <c r="E1190" s="2">
        <v>7750206001</v>
      </c>
      <c r="F1190" s="1" t="s">
        <v>29</v>
      </c>
      <c r="G1190" s="1" t="s">
        <v>53</v>
      </c>
      <c r="H1190" s="1" t="s">
        <v>1921</v>
      </c>
      <c r="I1190" s="1" t="s">
        <v>630</v>
      </c>
      <c r="J1190" s="1" t="s">
        <v>46</v>
      </c>
      <c r="K1190" t="s">
        <v>34</v>
      </c>
      <c r="M1190" s="1" t="s">
        <v>35</v>
      </c>
      <c r="N1190" s="1">
        <v>42318949</v>
      </c>
      <c r="O1190" s="1" t="s">
        <v>105</v>
      </c>
      <c r="P1190" s="11" t="s">
        <v>1922</v>
      </c>
      <c r="R1190" s="1" t="s">
        <v>38</v>
      </c>
      <c r="T1190" s="1" t="s">
        <v>74</v>
      </c>
      <c r="U1190" s="11" t="s">
        <v>1341</v>
      </c>
      <c r="V1190" s="1" t="s">
        <v>41</v>
      </c>
      <c r="W1190" s="1" t="s">
        <v>49</v>
      </c>
      <c r="Z1190" s="14">
        <v>1</v>
      </c>
      <c r="AA1190" s="14"/>
    </row>
    <row r="1191" spans="1:27" hidden="1">
      <c r="A1191" s="1">
        <v>9293223</v>
      </c>
      <c r="B1191" s="1" t="s">
        <v>101</v>
      </c>
      <c r="C1191" t="s">
        <v>1810</v>
      </c>
      <c r="E1191" s="2">
        <v>7740206001</v>
      </c>
      <c r="F1191" s="1" t="s">
        <v>29</v>
      </c>
      <c r="G1191" s="1" t="s">
        <v>53</v>
      </c>
      <c r="H1191" s="1" t="s">
        <v>187</v>
      </c>
      <c r="I1191" s="1" t="s">
        <v>188</v>
      </c>
      <c r="J1191" s="1" t="s">
        <v>46</v>
      </c>
      <c r="K1191" t="s">
        <v>34</v>
      </c>
      <c r="M1191" s="1" t="s">
        <v>35</v>
      </c>
      <c r="N1191" s="1">
        <v>42318949</v>
      </c>
      <c r="O1191" s="1" t="s">
        <v>105</v>
      </c>
      <c r="P1191" s="11" t="s">
        <v>1922</v>
      </c>
      <c r="R1191" s="1" t="s">
        <v>38</v>
      </c>
      <c r="T1191" s="1" t="s">
        <v>74</v>
      </c>
      <c r="U1191" s="11" t="s">
        <v>1341</v>
      </c>
      <c r="V1191" s="1" t="s">
        <v>41</v>
      </c>
      <c r="W1191" s="1" t="s">
        <v>49</v>
      </c>
      <c r="Z1191" s="14">
        <v>1</v>
      </c>
      <c r="AA1191" s="14"/>
    </row>
    <row r="1192" spans="1:27" hidden="1">
      <c r="A1192" s="1">
        <v>9293222</v>
      </c>
      <c r="B1192" s="1" t="s">
        <v>101</v>
      </c>
      <c r="C1192" t="s">
        <v>1810</v>
      </c>
      <c r="E1192" s="2">
        <v>7710206001</v>
      </c>
      <c r="F1192" s="1" t="s">
        <v>29</v>
      </c>
      <c r="G1192" s="1" t="s">
        <v>53</v>
      </c>
      <c r="H1192" s="1" t="s">
        <v>228</v>
      </c>
      <c r="I1192" s="1" t="s">
        <v>229</v>
      </c>
      <c r="J1192" s="1" t="s">
        <v>46</v>
      </c>
      <c r="K1192" t="s">
        <v>34</v>
      </c>
      <c r="M1192" s="1" t="s">
        <v>35</v>
      </c>
      <c r="N1192" s="1">
        <v>42318949</v>
      </c>
      <c r="O1192" s="1" t="s">
        <v>105</v>
      </c>
      <c r="P1192" s="11" t="s">
        <v>1923</v>
      </c>
      <c r="R1192" s="1" t="s">
        <v>38</v>
      </c>
      <c r="T1192" s="1" t="s">
        <v>74</v>
      </c>
      <c r="U1192" s="11" t="s">
        <v>1341</v>
      </c>
      <c r="V1192" s="1" t="s">
        <v>41</v>
      </c>
      <c r="W1192" s="1" t="s">
        <v>49</v>
      </c>
      <c r="Z1192" s="14">
        <v>1</v>
      </c>
      <c r="AA1192" s="14"/>
    </row>
    <row r="1193" spans="1:27" hidden="1">
      <c r="A1193" s="1">
        <v>9293221</v>
      </c>
      <c r="B1193" s="1" t="s">
        <v>101</v>
      </c>
      <c r="C1193" t="s">
        <v>1810</v>
      </c>
      <c r="E1193" s="2">
        <v>7000206001</v>
      </c>
      <c r="F1193" s="1" t="s">
        <v>29</v>
      </c>
      <c r="G1193" s="1" t="s">
        <v>53</v>
      </c>
      <c r="H1193" s="1" t="s">
        <v>383</v>
      </c>
      <c r="I1193" s="1" t="s">
        <v>384</v>
      </c>
      <c r="J1193" s="1" t="s">
        <v>46</v>
      </c>
      <c r="K1193" t="s">
        <v>34</v>
      </c>
      <c r="M1193" s="1" t="s">
        <v>35</v>
      </c>
      <c r="N1193" s="1">
        <v>42318949</v>
      </c>
      <c r="O1193" s="1" t="s">
        <v>105</v>
      </c>
      <c r="P1193" s="11" t="s">
        <v>1923</v>
      </c>
      <c r="R1193" s="1" t="s">
        <v>38</v>
      </c>
      <c r="T1193" s="1" t="s">
        <v>74</v>
      </c>
      <c r="U1193" s="11" t="s">
        <v>1341</v>
      </c>
      <c r="V1193" s="1" t="s">
        <v>41</v>
      </c>
      <c r="W1193" s="1" t="s">
        <v>49</v>
      </c>
      <c r="Z1193" s="14">
        <v>1</v>
      </c>
      <c r="AA1193" s="14"/>
    </row>
    <row r="1194" spans="1:27" hidden="1">
      <c r="A1194" s="1">
        <v>9316562</v>
      </c>
      <c r="B1194" s="1" t="s">
        <v>1924</v>
      </c>
      <c r="C1194" t="s">
        <v>1925</v>
      </c>
      <c r="D1194" s="2">
        <v>20234623000002</v>
      </c>
      <c r="E1194" s="2">
        <v>7417202020353</v>
      </c>
      <c r="F1194" s="1" t="s">
        <v>1213</v>
      </c>
      <c r="G1194" s="1" t="s">
        <v>53</v>
      </c>
      <c r="H1194" s="1" t="s">
        <v>1926</v>
      </c>
      <c r="I1194" s="1" t="s">
        <v>1927</v>
      </c>
      <c r="J1194" s="1" t="s">
        <v>33</v>
      </c>
      <c r="K1194" t="s">
        <v>1214</v>
      </c>
      <c r="M1194" s="1" t="s">
        <v>58</v>
      </c>
      <c r="N1194" s="1">
        <v>0</v>
      </c>
      <c r="O1194" s="1" t="s">
        <v>36</v>
      </c>
      <c r="P1194" s="11" t="s">
        <v>1928</v>
      </c>
      <c r="R1194" s="1">
        <v>14</v>
      </c>
      <c r="T1194" s="1" t="s">
        <v>238</v>
      </c>
      <c r="U1194" s="11" t="s">
        <v>1929</v>
      </c>
      <c r="V1194" s="1" t="s">
        <v>41</v>
      </c>
      <c r="W1194" s="1" t="s">
        <v>42</v>
      </c>
      <c r="Z1194" s="14">
        <v>1</v>
      </c>
      <c r="AA1194" s="14"/>
    </row>
    <row r="1195" spans="1:27" hidden="1">
      <c r="A1195" s="1">
        <v>9314411</v>
      </c>
      <c r="B1195" s="1" t="s">
        <v>1153</v>
      </c>
      <c r="C1195" t="s">
        <v>1930</v>
      </c>
      <c r="D1195" s="2">
        <v>20231850000003</v>
      </c>
      <c r="E1195" s="2">
        <v>7417193050573</v>
      </c>
      <c r="F1195" s="1" t="s">
        <v>1719</v>
      </c>
      <c r="G1195" s="1" t="s">
        <v>53</v>
      </c>
      <c r="H1195" s="1" t="s">
        <v>1931</v>
      </c>
      <c r="I1195" s="1" t="s">
        <v>1932</v>
      </c>
      <c r="J1195" s="1" t="s">
        <v>46</v>
      </c>
      <c r="K1195" t="s">
        <v>1720</v>
      </c>
      <c r="M1195" s="1" t="s">
        <v>58</v>
      </c>
      <c r="N1195" s="1">
        <v>0</v>
      </c>
      <c r="O1195" s="1" t="s">
        <v>36</v>
      </c>
      <c r="P1195" s="11" t="s">
        <v>1933</v>
      </c>
      <c r="R1195" s="1">
        <v>22</v>
      </c>
      <c r="T1195" s="1" t="s">
        <v>1160</v>
      </c>
      <c r="U1195" s="11" t="s">
        <v>1934</v>
      </c>
      <c r="V1195" s="1" t="s">
        <v>41</v>
      </c>
      <c r="W1195" s="1" t="s">
        <v>49</v>
      </c>
      <c r="Z1195" s="14">
        <v>1</v>
      </c>
      <c r="AA1195" s="14"/>
    </row>
    <row r="1196" spans="1:27">
      <c r="A1196" s="1">
        <v>9326301</v>
      </c>
      <c r="B1196" s="1" t="s">
        <v>81</v>
      </c>
      <c r="C1196" t="s">
        <v>1935</v>
      </c>
      <c r="E1196" s="2">
        <v>7417211830514</v>
      </c>
      <c r="F1196" s="1" t="s">
        <v>1936</v>
      </c>
      <c r="G1196" s="1" t="s">
        <v>53</v>
      </c>
      <c r="H1196" s="1" t="s">
        <v>1937</v>
      </c>
      <c r="I1196" s="1" t="s">
        <v>1938</v>
      </c>
      <c r="J1196" s="1" t="s">
        <v>90</v>
      </c>
      <c r="K1196" t="s">
        <v>1939</v>
      </c>
      <c r="M1196" s="1" t="s">
        <v>58</v>
      </c>
      <c r="N1196" s="1">
        <v>0</v>
      </c>
      <c r="O1196" s="1" t="s">
        <v>105</v>
      </c>
      <c r="P1196" s="11" t="s">
        <v>1940</v>
      </c>
      <c r="R1196" s="1">
        <v>14</v>
      </c>
      <c r="T1196" s="1" t="s">
        <v>238</v>
      </c>
      <c r="U1196" s="11" t="s">
        <v>1941</v>
      </c>
      <c r="V1196" s="1" t="s">
        <v>41</v>
      </c>
      <c r="W1196" s="1" t="s">
        <v>49</v>
      </c>
      <c r="Z1196" s="14">
        <v>1</v>
      </c>
      <c r="AA1196" s="14"/>
    </row>
    <row r="1197" spans="1:27" hidden="1">
      <c r="A1197" s="1">
        <v>9331062</v>
      </c>
      <c r="B1197" s="1" t="s">
        <v>62</v>
      </c>
      <c r="C1197" t="s">
        <v>1942</v>
      </c>
      <c r="E1197" s="2">
        <v>2039000203000</v>
      </c>
      <c r="F1197" s="1" t="s">
        <v>454</v>
      </c>
      <c r="G1197" s="1" t="s">
        <v>53</v>
      </c>
      <c r="H1197" s="1" t="s">
        <v>1943</v>
      </c>
      <c r="I1197" s="1" t="s">
        <v>1944</v>
      </c>
      <c r="J1197" s="1" t="s">
        <v>110</v>
      </c>
      <c r="K1197" t="s">
        <v>457</v>
      </c>
      <c r="M1197" s="1" t="s">
        <v>58</v>
      </c>
      <c r="N1197" s="1">
        <v>0</v>
      </c>
      <c r="O1197" s="1" t="s">
        <v>36</v>
      </c>
      <c r="P1197" s="11" t="s">
        <v>1945</v>
      </c>
      <c r="R1197" s="1">
        <v>1</v>
      </c>
      <c r="T1197" s="1" t="s">
        <v>157</v>
      </c>
      <c r="U1197" s="11" t="s">
        <v>1946</v>
      </c>
      <c r="V1197" s="1" t="s">
        <v>41</v>
      </c>
      <c r="W1197" s="1" t="s">
        <v>49</v>
      </c>
      <c r="Z1197" s="14">
        <v>1</v>
      </c>
      <c r="AA1197" s="14"/>
    </row>
    <row r="1198" spans="1:27" hidden="1">
      <c r="A1198" s="1">
        <v>9348557</v>
      </c>
      <c r="B1198" s="1" t="s">
        <v>81</v>
      </c>
      <c r="C1198" t="s">
        <v>1947</v>
      </c>
      <c r="E1198" s="2">
        <v>9600113561034</v>
      </c>
      <c r="F1198" s="1" t="s">
        <v>233</v>
      </c>
      <c r="G1198" s="1" t="s">
        <v>30</v>
      </c>
      <c r="H1198" s="1" t="s">
        <v>1948</v>
      </c>
      <c r="I1198" s="1" t="s">
        <v>1949</v>
      </c>
      <c r="J1198" s="1" t="s">
        <v>46</v>
      </c>
      <c r="K1198" t="s">
        <v>236</v>
      </c>
      <c r="M1198" s="1" t="s">
        <v>58</v>
      </c>
      <c r="N1198" s="1">
        <v>0</v>
      </c>
      <c r="O1198" s="1" t="s">
        <v>105</v>
      </c>
      <c r="P1198" s="11" t="s">
        <v>1950</v>
      </c>
      <c r="R1198" s="1">
        <v>15</v>
      </c>
      <c r="T1198" s="1" t="s">
        <v>238</v>
      </c>
      <c r="U1198" s="11" t="s">
        <v>1951</v>
      </c>
      <c r="V1198" s="1" t="s">
        <v>41</v>
      </c>
      <c r="W1198" s="1" t="s">
        <v>49</v>
      </c>
      <c r="Z1198" s="14">
        <v>1</v>
      </c>
      <c r="AA1198" s="14"/>
    </row>
    <row r="1199" spans="1:27" hidden="1">
      <c r="A1199" s="1">
        <v>9352258</v>
      </c>
      <c r="B1199" s="1" t="s">
        <v>62</v>
      </c>
      <c r="C1199" t="s">
        <v>1952</v>
      </c>
      <c r="E1199" s="2">
        <v>1049000206001</v>
      </c>
      <c r="F1199" s="1" t="s">
        <v>29</v>
      </c>
      <c r="G1199" s="1" t="s">
        <v>53</v>
      </c>
      <c r="H1199" s="1" t="s">
        <v>169</v>
      </c>
      <c r="I1199" s="1" t="s">
        <v>170</v>
      </c>
      <c r="J1199" s="1" t="s">
        <v>164</v>
      </c>
      <c r="K1199" t="s">
        <v>34</v>
      </c>
      <c r="M1199" s="1" t="s">
        <v>35</v>
      </c>
      <c r="N1199" s="1">
        <v>42318949</v>
      </c>
      <c r="O1199" s="1" t="s">
        <v>36</v>
      </c>
      <c r="P1199" s="11" t="s">
        <v>1953</v>
      </c>
      <c r="R1199" s="1" t="s">
        <v>38</v>
      </c>
      <c r="T1199" s="1" t="s">
        <v>74</v>
      </c>
      <c r="U1199" s="11" t="s">
        <v>1954</v>
      </c>
      <c r="V1199" s="1" t="s">
        <v>41</v>
      </c>
      <c r="W1199" s="1" t="s">
        <v>49</v>
      </c>
      <c r="Z1199" s="14">
        <v>1</v>
      </c>
      <c r="AA1199" s="14"/>
    </row>
    <row r="1200" spans="1:27" hidden="1">
      <c r="A1200" s="1">
        <v>9351974</v>
      </c>
      <c r="B1200" s="1" t="s">
        <v>62</v>
      </c>
      <c r="C1200" t="s">
        <v>1955</v>
      </c>
      <c r="E1200" s="2">
        <v>2442000203000</v>
      </c>
      <c r="F1200" s="1" t="s">
        <v>454</v>
      </c>
      <c r="G1200" s="1" t="s">
        <v>53</v>
      </c>
      <c r="H1200" s="1" t="s">
        <v>1956</v>
      </c>
      <c r="I1200" s="1" t="s">
        <v>1957</v>
      </c>
      <c r="J1200" s="1" t="s">
        <v>33</v>
      </c>
      <c r="K1200" t="s">
        <v>457</v>
      </c>
      <c r="M1200" s="1" t="s">
        <v>58</v>
      </c>
      <c r="N1200" s="1">
        <v>0</v>
      </c>
      <c r="O1200" s="1" t="s">
        <v>36</v>
      </c>
      <c r="P1200" s="11" t="s">
        <v>1958</v>
      </c>
      <c r="R1200" s="1">
        <v>1</v>
      </c>
      <c r="T1200" s="1" t="s">
        <v>157</v>
      </c>
      <c r="U1200" s="11" t="s">
        <v>1959</v>
      </c>
      <c r="V1200" s="1" t="s">
        <v>41</v>
      </c>
      <c r="W1200" s="1" t="s">
        <v>42</v>
      </c>
      <c r="Z1200" s="14">
        <v>1</v>
      </c>
      <c r="AA1200" s="14"/>
    </row>
    <row r="1201" spans="1:32" hidden="1">
      <c r="A1201" s="1">
        <v>9351542</v>
      </c>
      <c r="B1201" s="1" t="s">
        <v>1153</v>
      </c>
      <c r="C1201" t="s">
        <v>1960</v>
      </c>
      <c r="D1201" s="2">
        <v>230009076</v>
      </c>
      <c r="E1201" s="2">
        <v>711001400020</v>
      </c>
      <c r="F1201" s="1" t="s">
        <v>1961</v>
      </c>
      <c r="G1201" s="1" t="s">
        <v>53</v>
      </c>
      <c r="H1201" s="1" t="s">
        <v>77</v>
      </c>
      <c r="I1201" s="1" t="s">
        <v>78</v>
      </c>
      <c r="J1201" s="1" t="s">
        <v>79</v>
      </c>
      <c r="K1201" t="s">
        <v>1962</v>
      </c>
      <c r="M1201" s="1" t="s">
        <v>58</v>
      </c>
      <c r="N1201" s="1">
        <v>0</v>
      </c>
      <c r="O1201" s="1" t="s">
        <v>36</v>
      </c>
      <c r="P1201" s="11" t="s">
        <v>1963</v>
      </c>
      <c r="R1201" s="1">
        <v>4</v>
      </c>
      <c r="T1201" s="1" t="s">
        <v>646</v>
      </c>
      <c r="U1201" s="11" t="s">
        <v>1964</v>
      </c>
      <c r="V1201" s="1" t="s">
        <v>41</v>
      </c>
      <c r="W1201" s="1" t="s">
        <v>49</v>
      </c>
      <c r="Z1201" s="14">
        <v>1</v>
      </c>
      <c r="AA1201" s="14"/>
    </row>
    <row r="1202" spans="1:32" hidden="1">
      <c r="A1202" s="1">
        <v>9351053</v>
      </c>
      <c r="B1202" s="1" t="s">
        <v>1153</v>
      </c>
      <c r="C1202" t="s">
        <v>1965</v>
      </c>
      <c r="D1202" s="2">
        <v>20234923000021</v>
      </c>
      <c r="E1202" s="2">
        <v>7417183020099</v>
      </c>
      <c r="F1202" s="1" t="s">
        <v>1313</v>
      </c>
      <c r="G1202" s="1" t="s">
        <v>53</v>
      </c>
      <c r="H1202" s="1" t="s">
        <v>1966</v>
      </c>
      <c r="I1202" s="1" t="s">
        <v>1967</v>
      </c>
      <c r="J1202" s="1" t="s">
        <v>46</v>
      </c>
      <c r="K1202" t="s">
        <v>1316</v>
      </c>
      <c r="M1202" s="1" t="s">
        <v>58</v>
      </c>
      <c r="N1202" s="1">
        <v>0</v>
      </c>
      <c r="O1202" s="1" t="s">
        <v>36</v>
      </c>
      <c r="P1202" s="11" t="s">
        <v>1968</v>
      </c>
      <c r="R1202" s="1">
        <v>13</v>
      </c>
      <c r="T1202" s="1" t="s">
        <v>238</v>
      </c>
      <c r="U1202" s="11" t="s">
        <v>1969</v>
      </c>
      <c r="V1202" s="1" t="s">
        <v>41</v>
      </c>
      <c r="W1202" s="1" t="s">
        <v>49</v>
      </c>
      <c r="Z1202" s="14">
        <v>1</v>
      </c>
      <c r="AA1202" s="14"/>
    </row>
    <row r="1203" spans="1:32">
      <c r="A1203" s="1">
        <v>9357855</v>
      </c>
      <c r="B1203" s="1" t="s">
        <v>1970</v>
      </c>
      <c r="C1203" t="s">
        <v>1971</v>
      </c>
      <c r="D1203" s="2">
        <v>20231059000005</v>
      </c>
      <c r="E1203" s="2">
        <v>7417163284288</v>
      </c>
      <c r="F1203" s="1" t="s">
        <v>131</v>
      </c>
      <c r="G1203" s="1" t="s">
        <v>53</v>
      </c>
      <c r="H1203" s="1" t="s">
        <v>1972</v>
      </c>
      <c r="I1203" s="1" t="s">
        <v>1973</v>
      </c>
      <c r="J1203" s="1" t="s">
        <v>90</v>
      </c>
      <c r="K1203" t="s">
        <v>132</v>
      </c>
      <c r="M1203" s="1" t="s">
        <v>58</v>
      </c>
      <c r="N1203" s="1">
        <v>0</v>
      </c>
      <c r="O1203" s="1" t="s">
        <v>105</v>
      </c>
      <c r="P1203" s="11" t="s">
        <v>1974</v>
      </c>
      <c r="R1203" s="1">
        <v>14</v>
      </c>
      <c r="T1203" s="1" t="s">
        <v>238</v>
      </c>
      <c r="U1203" s="11" t="s">
        <v>1975</v>
      </c>
      <c r="V1203" s="1" t="s">
        <v>41</v>
      </c>
      <c r="W1203" s="1" t="s">
        <v>49</v>
      </c>
      <c r="Z1203" s="14">
        <v>1</v>
      </c>
      <c r="AA1203" s="14"/>
    </row>
    <row r="1204" spans="1:32" hidden="1">
      <c r="A1204" s="1">
        <v>9357732</v>
      </c>
      <c r="B1204" s="1" t="s">
        <v>1970</v>
      </c>
      <c r="C1204" t="s">
        <v>1971</v>
      </c>
      <c r="D1204" s="2">
        <v>20234924000023</v>
      </c>
      <c r="E1204" s="2">
        <v>7417163282399</v>
      </c>
      <c r="F1204" s="1" t="s">
        <v>131</v>
      </c>
      <c r="G1204" s="1" t="s">
        <v>53</v>
      </c>
      <c r="H1204" s="1" t="s">
        <v>1748</v>
      </c>
      <c r="I1204" s="1" t="s">
        <v>1749</v>
      </c>
      <c r="J1204" s="1" t="s">
        <v>79</v>
      </c>
      <c r="K1204" t="s">
        <v>132</v>
      </c>
      <c r="M1204" s="1" t="s">
        <v>58</v>
      </c>
      <c r="N1204" s="1">
        <v>0</v>
      </c>
      <c r="O1204" s="1" t="s">
        <v>36</v>
      </c>
      <c r="P1204" s="11" t="s">
        <v>1976</v>
      </c>
      <c r="R1204" s="1">
        <v>14</v>
      </c>
      <c r="T1204" s="1" t="s">
        <v>238</v>
      </c>
      <c r="U1204" s="11" t="s">
        <v>1977</v>
      </c>
      <c r="V1204" s="1" t="s">
        <v>41</v>
      </c>
      <c r="W1204" s="1" t="s">
        <v>49</v>
      </c>
      <c r="Z1204" s="14">
        <v>1</v>
      </c>
      <c r="AA1204" s="14"/>
    </row>
    <row r="1205" spans="1:32" hidden="1">
      <c r="A1205" s="1">
        <v>9357615</v>
      </c>
      <c r="B1205" s="1" t="s">
        <v>101</v>
      </c>
      <c r="C1205" t="s">
        <v>1978</v>
      </c>
      <c r="D1205" s="2">
        <v>20232219000007</v>
      </c>
      <c r="E1205" s="2">
        <v>7417161480633</v>
      </c>
      <c r="F1205" s="1" t="s">
        <v>1979</v>
      </c>
      <c r="G1205" s="1" t="s">
        <v>53</v>
      </c>
      <c r="H1205" s="1" t="s">
        <v>1980</v>
      </c>
      <c r="I1205" s="1" t="s">
        <v>1981</v>
      </c>
      <c r="J1205" s="1" t="s">
        <v>141</v>
      </c>
      <c r="K1205" t="s">
        <v>1982</v>
      </c>
      <c r="M1205" s="1" t="s">
        <v>58</v>
      </c>
      <c r="N1205" s="1">
        <v>0</v>
      </c>
      <c r="O1205" s="1" t="s">
        <v>36</v>
      </c>
      <c r="P1205" s="11" t="s">
        <v>1983</v>
      </c>
      <c r="R1205" s="1">
        <v>14</v>
      </c>
      <c r="T1205" s="1" t="s">
        <v>238</v>
      </c>
      <c r="U1205" s="11" t="s">
        <v>1983</v>
      </c>
      <c r="V1205" s="1" t="s">
        <v>41</v>
      </c>
      <c r="W1205" s="1" t="s">
        <v>49</v>
      </c>
      <c r="Z1205" s="14">
        <v>1</v>
      </c>
      <c r="AA1205" s="14"/>
    </row>
    <row r="1206" spans="1:32">
      <c r="A1206" s="1">
        <v>9357204</v>
      </c>
      <c r="B1206" s="1" t="s">
        <v>1153</v>
      </c>
      <c r="C1206" t="s">
        <v>1984</v>
      </c>
      <c r="D1206" s="2">
        <v>20230605000012</v>
      </c>
      <c r="E1206" s="2">
        <v>7417163280932</v>
      </c>
      <c r="F1206" s="1" t="s">
        <v>131</v>
      </c>
      <c r="G1206" s="1" t="s">
        <v>53</v>
      </c>
      <c r="H1206" s="1" t="s">
        <v>1985</v>
      </c>
      <c r="I1206" s="1" t="s">
        <v>1986</v>
      </c>
      <c r="J1206" s="1" t="s">
        <v>90</v>
      </c>
      <c r="K1206" t="s">
        <v>132</v>
      </c>
      <c r="M1206" s="1" t="s">
        <v>58</v>
      </c>
      <c r="N1206" s="1">
        <v>0</v>
      </c>
      <c r="O1206" s="1" t="s">
        <v>36</v>
      </c>
      <c r="P1206" s="11" t="s">
        <v>1987</v>
      </c>
      <c r="R1206" s="1">
        <v>14</v>
      </c>
      <c r="T1206" s="1" t="s">
        <v>238</v>
      </c>
      <c r="U1206" s="11" t="s">
        <v>1987</v>
      </c>
      <c r="V1206" s="1" t="s">
        <v>41</v>
      </c>
      <c r="W1206" s="1" t="s">
        <v>49</v>
      </c>
      <c r="X1206" s="13" t="str">
        <f t="shared" ref="X1206" si="77">IF(RIGHT(H1206,2)&lt;&gt;"00",H1206,"")</f>
        <v>0605.91</v>
      </c>
      <c r="Y1206" s="2">
        <f t="shared" ref="Y1206" ca="1" si="78">NETWORKDAYS(P1206,$Y$1)</f>
        <v>31</v>
      </c>
      <c r="Z1206" s="14">
        <v>1</v>
      </c>
      <c r="AA1206" s="1" t="str">
        <f t="shared" ref="AA1206" ca="1" si="79">IF(AE1206=0,"HOJE",IF(AE1206&gt;0,"A VENCER",IF(AE1206&lt;0,"VENCIDO")))</f>
        <v>VENCIDO</v>
      </c>
      <c r="AB1206" s="1" t="str">
        <f t="shared" ref="AB1206" si="80">IF(F1206="GRPE-000001","C-14",IF(F1206="GRPE-000002","C-14",IF(F1206="GRPE-000003","C-14",IF(F1206="GRPE-000004","SL-On",IF(F1206="GRPE-000038","C-14",IF(F1206="GRPE-900022","Dosa",IF(F1206="GRPE-000029","Dosa",IF(F1206="ATOS-000222","Dose","TAAe+"))))))))</f>
        <v>TAAe+</v>
      </c>
      <c r="AC1206" s="2" t="str">
        <f t="shared" ref="AC1206" si="81">IF(J1206="TR-PETROLINA"," ROSEMERE ",IF(J1206="TR-GARANHUNS"," ROSEMERE ",IF(J1206="TR-CARUARU"," ROSEMERE ",IF(J1206="TR-RIBEIRAO"," CRISTINA ",IF(J1206="TR-GRAVATA"," CRISTINA ",IF(J1206="TR-GOIANA"," CRISTINA ",IF(J1206="TR-LIMOEIRO"," CRISTINA ",IF(J1206="TR-SERRA TALHADA"," RINALDO ",IF(J1206="TR-SALGUEIRO"," RINALDO ",IF(J1206="TR-CARNAIBA"," RINALDO ",IF(J1206="TR-ARCOVERDE"," RINALDO ",IF(J1206="CAT-RECIFE"," CLEITON ",))))))))))))</f>
        <v xml:space="preserve"> RINALDO </v>
      </c>
      <c r="AD1206" s="2">
        <f t="shared" ref="AD1206" si="82">IF(F1206="GRPE-000001",5,IF(F1206="GRPE-000002",5,IF(F1206="GRPE-000003",15,IF(F1206="GRPE-000004",1,IF(F1206="GRPE-000038",5,IF(F1206="GRPE-900022",5,IF(F1206="GRPE-000029",5,IF(F1206="ATOS-000222",5,8))))))))</f>
        <v>8</v>
      </c>
      <c r="AE1206" s="2">
        <f t="shared" ref="AE1206" ca="1" si="83">IF(U1206=$AE$1,"",U1206-$AE$1)</f>
        <v>-42.096931365740602</v>
      </c>
      <c r="AF1206" s="15"/>
    </row>
    <row r="1207" spans="1:32" hidden="1">
      <c r="A1207" s="1">
        <v>9356193</v>
      </c>
      <c r="B1207" s="1" t="s">
        <v>1153</v>
      </c>
      <c r="C1207" t="s">
        <v>1988</v>
      </c>
      <c r="D1207" s="2">
        <v>20238259000001</v>
      </c>
      <c r="E1207" s="2">
        <v>7417172796319</v>
      </c>
      <c r="F1207" s="1" t="s">
        <v>1989</v>
      </c>
      <c r="G1207" s="1" t="s">
        <v>53</v>
      </c>
      <c r="H1207" s="1" t="s">
        <v>245</v>
      </c>
      <c r="I1207" s="1" t="s">
        <v>246</v>
      </c>
      <c r="J1207" s="1" t="s">
        <v>56</v>
      </c>
      <c r="K1207" t="s">
        <v>1990</v>
      </c>
      <c r="M1207" s="1" t="s">
        <v>58</v>
      </c>
      <c r="N1207" s="1">
        <v>0</v>
      </c>
      <c r="O1207" s="1" t="s">
        <v>36</v>
      </c>
      <c r="P1207" s="11" t="s">
        <v>1991</v>
      </c>
      <c r="R1207" s="1">
        <v>22</v>
      </c>
      <c r="T1207" s="1" t="s">
        <v>1160</v>
      </c>
      <c r="U1207" s="11" t="s">
        <v>1992</v>
      </c>
      <c r="V1207" s="1" t="s">
        <v>41</v>
      </c>
      <c r="W1207" s="1" t="s">
        <v>49</v>
      </c>
      <c r="Z1207" s="14">
        <v>1</v>
      </c>
      <c r="AA1207" s="14"/>
    </row>
    <row r="1208" spans="1:32" hidden="1">
      <c r="A1208" s="1">
        <v>9363015</v>
      </c>
      <c r="B1208" s="1" t="s">
        <v>62</v>
      </c>
      <c r="C1208" t="s">
        <v>1993</v>
      </c>
      <c r="E1208" s="2">
        <v>1837000203000</v>
      </c>
      <c r="F1208" s="1" t="s">
        <v>454</v>
      </c>
      <c r="G1208" s="1" t="s">
        <v>53</v>
      </c>
      <c r="H1208" s="1" t="s">
        <v>1785</v>
      </c>
      <c r="I1208" s="1" t="s">
        <v>1786</v>
      </c>
      <c r="J1208" s="1" t="s">
        <v>46</v>
      </c>
      <c r="K1208" t="s">
        <v>457</v>
      </c>
      <c r="M1208" s="1" t="s">
        <v>58</v>
      </c>
      <c r="N1208" s="1">
        <v>0</v>
      </c>
      <c r="O1208" s="1" t="s">
        <v>36</v>
      </c>
      <c r="P1208" s="11" t="s">
        <v>1994</v>
      </c>
      <c r="R1208" s="1">
        <v>1</v>
      </c>
      <c r="T1208" s="1" t="s">
        <v>157</v>
      </c>
      <c r="U1208" s="11" t="s">
        <v>1995</v>
      </c>
      <c r="V1208" s="1" t="s">
        <v>41</v>
      </c>
      <c r="W1208" s="1" t="s">
        <v>49</v>
      </c>
      <c r="Z1208" s="14">
        <v>1</v>
      </c>
      <c r="AA1208" s="14"/>
    </row>
    <row r="1209" spans="1:32">
      <c r="A1209" s="181">
        <v>9362806</v>
      </c>
      <c r="B1209" s="181" t="s">
        <v>1153</v>
      </c>
      <c r="C1209" s="182" t="s">
        <v>1996</v>
      </c>
      <c r="D1209" s="183">
        <v>20232437000012</v>
      </c>
      <c r="E1209" s="183">
        <v>9600123330823</v>
      </c>
      <c r="F1209" s="181" t="s">
        <v>1997</v>
      </c>
      <c r="G1209" s="181" t="s">
        <v>53</v>
      </c>
      <c r="H1209" s="181" t="s">
        <v>1998</v>
      </c>
      <c r="I1209" s="181" t="s">
        <v>1999</v>
      </c>
      <c r="J1209" s="181" t="s">
        <v>211</v>
      </c>
      <c r="K1209" t="s">
        <v>2000</v>
      </c>
      <c r="M1209" s="1" t="s">
        <v>58</v>
      </c>
      <c r="N1209" s="1">
        <v>0</v>
      </c>
      <c r="O1209" s="1" t="s">
        <v>36</v>
      </c>
      <c r="P1209" s="11" t="s">
        <v>2001</v>
      </c>
      <c r="R1209" s="1">
        <v>21</v>
      </c>
      <c r="T1209" s="1" t="s">
        <v>1160</v>
      </c>
      <c r="U1209" s="11" t="s">
        <v>2002</v>
      </c>
      <c r="V1209" s="1" t="s">
        <v>41</v>
      </c>
      <c r="W1209" s="1" t="s">
        <v>49</v>
      </c>
      <c r="X1209" s="13" t="str">
        <f t="shared" ref="X1209" si="84">IF(RIGHT(H1209,2)&lt;&gt;"00",H1209,"")</f>
        <v/>
      </c>
      <c r="Y1209" s="2">
        <f t="shared" ref="Y1209" ca="1" si="85">NETWORKDAYS(P1209,$Y$1)</f>
        <v>30</v>
      </c>
      <c r="Z1209" s="14">
        <v>1</v>
      </c>
      <c r="AA1209" s="1" t="str">
        <f t="shared" ref="AA1209" ca="1" si="86">IF(AE1209=0,"HOJE",IF(AE1209&gt;0,"A VENCER",IF(AE1209&lt;0,"VENCIDO")))</f>
        <v>VENCIDO</v>
      </c>
      <c r="AB1209" s="1" t="str">
        <f t="shared" ref="AB1209" si="87">IF(F1209="GRPE-000001","C-14",IF(F1209="GRPE-000002","C-14",IF(F1209="GRPE-000003","C-14",IF(F1209="GRPE-000004","SL-On",IF(F1209="GRPE-000038","C-14",IF(F1209="GRPE-900022","Dosa",IF(F1209="GRPE-000029","Dosa",IF(F1209="ATOS-000222","Dose","TAAe+"))))))))</f>
        <v>TAAe+</v>
      </c>
      <c r="AC1209" s="2" t="str">
        <f t="shared" ref="AC1209" si="88">IF(J1209="TR-PETROLINA"," ROSEMERE ",IF(J1209="TR-GARANHUNS"," ROSEMERE ",IF(J1209="TR-CARUARU"," ROSEMERE ",IF(J1209="TR-RIBEIRAO"," CRISTINA ",IF(J1209="TR-GRAVATA"," CRISTINA ",IF(J1209="TR-GOIANA"," CRISTINA ",IF(J1209="TR-LIMOEIRO"," CRISTINA ",IF(J1209="TR-SERRA TALHADA"," RINALDO ",IF(J1209="TR-SALGUEIRO"," RINALDO ",IF(J1209="TR-CARNAIBA"," RINALDO ",IF(J1209="TR-ARCOVERDE"," RINALDO ",IF(J1209="CAT-RECIFE"," CLEITON ",))))))))))))</f>
        <v xml:space="preserve"> RINALDO </v>
      </c>
      <c r="AD1209" s="2">
        <f t="shared" ref="AD1209" si="89">IF(F1209="GRPE-000001",5,IF(F1209="GRPE-000002",5,IF(F1209="GRPE-000003",15,IF(F1209="GRPE-000004",1,IF(F1209="GRPE-000038",5,IF(F1209="GRPE-900022",5,IF(F1209="GRPE-000029",5,IF(F1209="ATOS-000222",5,8))))))))</f>
        <v>8</v>
      </c>
      <c r="AE1209" s="2">
        <f t="shared" ref="AE1209" ca="1" si="90">IF(U1209=$AE$1,"",U1209-$AE$1)</f>
        <v>-36.933250810187019</v>
      </c>
      <c r="AF1209" s="15"/>
    </row>
    <row r="1210" spans="1:32" hidden="1">
      <c r="A1210" s="1">
        <v>9361873</v>
      </c>
      <c r="B1210" s="1" t="s">
        <v>1153</v>
      </c>
      <c r="C1210" t="s">
        <v>2003</v>
      </c>
      <c r="D1210" s="2">
        <v>20234637000004</v>
      </c>
      <c r="E1210" s="2">
        <v>7419151141178</v>
      </c>
      <c r="F1210" s="1" t="s">
        <v>123</v>
      </c>
      <c r="G1210" s="1" t="s">
        <v>53</v>
      </c>
      <c r="H1210" s="1" t="s">
        <v>2004</v>
      </c>
      <c r="I1210" s="1" t="s">
        <v>2005</v>
      </c>
      <c r="J1210" s="1" t="s">
        <v>79</v>
      </c>
      <c r="K1210" t="s">
        <v>126</v>
      </c>
      <c r="M1210" s="1" t="s">
        <v>58</v>
      </c>
      <c r="N1210" s="1">
        <v>0</v>
      </c>
      <c r="O1210" s="1" t="s">
        <v>36</v>
      </c>
      <c r="P1210" s="11" t="s">
        <v>2006</v>
      </c>
      <c r="R1210" s="1">
        <v>14</v>
      </c>
      <c r="T1210" s="1" t="s">
        <v>238</v>
      </c>
      <c r="U1210" s="11" t="s">
        <v>2006</v>
      </c>
      <c r="V1210" s="1" t="s">
        <v>41</v>
      </c>
      <c r="W1210" s="1" t="s">
        <v>49</v>
      </c>
      <c r="Z1210" s="14">
        <v>1</v>
      </c>
      <c r="AA1210" s="14"/>
    </row>
    <row r="1211" spans="1:32" hidden="1">
      <c r="A1211" s="1">
        <v>9361555</v>
      </c>
      <c r="B1211" s="1" t="s">
        <v>1153</v>
      </c>
      <c r="C1211" t="s">
        <v>2007</v>
      </c>
      <c r="D1211" s="2">
        <v>20232529000002</v>
      </c>
      <c r="E1211" s="2">
        <v>7419141893855</v>
      </c>
      <c r="F1211" s="1" t="s">
        <v>128</v>
      </c>
      <c r="G1211" s="1" t="s">
        <v>53</v>
      </c>
      <c r="H1211" s="1" t="s">
        <v>2008</v>
      </c>
      <c r="I1211" s="1" t="s">
        <v>2009</v>
      </c>
      <c r="J1211" s="1" t="s">
        <v>56</v>
      </c>
      <c r="K1211" t="s">
        <v>129</v>
      </c>
      <c r="M1211" s="1" t="s">
        <v>58</v>
      </c>
      <c r="N1211" s="1">
        <v>0</v>
      </c>
      <c r="O1211" s="1" t="s">
        <v>36</v>
      </c>
      <c r="P1211" s="11" t="s">
        <v>2010</v>
      </c>
      <c r="R1211" s="1">
        <v>14</v>
      </c>
      <c r="T1211" s="1" t="s">
        <v>238</v>
      </c>
      <c r="U1211" s="11" t="s">
        <v>2010</v>
      </c>
      <c r="V1211" s="1" t="s">
        <v>41</v>
      </c>
      <c r="W1211" s="1" t="s">
        <v>49</v>
      </c>
      <c r="Z1211" s="14">
        <v>1</v>
      </c>
      <c r="AA1211" s="14"/>
    </row>
    <row r="1212" spans="1:32" hidden="1">
      <c r="A1212" s="1">
        <v>9361190</v>
      </c>
      <c r="B1212" s="1" t="s">
        <v>62</v>
      </c>
      <c r="C1212" t="s">
        <v>2011</v>
      </c>
      <c r="E1212" s="2">
        <v>3918000203000</v>
      </c>
      <c r="F1212" s="1" t="s">
        <v>454</v>
      </c>
      <c r="G1212" s="1" t="s">
        <v>53</v>
      </c>
      <c r="H1212" s="1" t="s">
        <v>858</v>
      </c>
      <c r="I1212" s="1" t="s">
        <v>859</v>
      </c>
      <c r="J1212" s="1" t="s">
        <v>33</v>
      </c>
      <c r="K1212" t="s">
        <v>457</v>
      </c>
      <c r="M1212" s="1" t="s">
        <v>58</v>
      </c>
      <c r="N1212" s="1">
        <v>0</v>
      </c>
      <c r="O1212" s="1" t="s">
        <v>105</v>
      </c>
      <c r="P1212" s="11" t="s">
        <v>2012</v>
      </c>
      <c r="R1212" s="1">
        <v>1</v>
      </c>
      <c r="T1212" s="1" t="s">
        <v>157</v>
      </c>
      <c r="U1212" s="11" t="s">
        <v>1995</v>
      </c>
      <c r="V1212" s="1" t="s">
        <v>41</v>
      </c>
      <c r="W1212" s="1" t="s">
        <v>49</v>
      </c>
      <c r="Z1212" s="14">
        <v>1</v>
      </c>
      <c r="AA1212" s="14"/>
    </row>
    <row r="1213" spans="1:32" hidden="1">
      <c r="A1213" s="1">
        <v>9378351</v>
      </c>
      <c r="B1213" s="1" t="s">
        <v>62</v>
      </c>
      <c r="C1213" t="s">
        <v>2013</v>
      </c>
      <c r="E1213" s="2">
        <v>2238000206001</v>
      </c>
      <c r="F1213" s="1" t="s">
        <v>29</v>
      </c>
      <c r="G1213" s="1" t="s">
        <v>53</v>
      </c>
      <c r="H1213" s="1" t="s">
        <v>707</v>
      </c>
      <c r="I1213" s="1" t="s">
        <v>708</v>
      </c>
      <c r="J1213" s="1" t="s">
        <v>79</v>
      </c>
      <c r="K1213" t="s">
        <v>34</v>
      </c>
      <c r="M1213" s="1" t="s">
        <v>35</v>
      </c>
      <c r="N1213" s="1">
        <v>42318949</v>
      </c>
      <c r="O1213" s="1" t="s">
        <v>36</v>
      </c>
      <c r="P1213" s="11" t="s">
        <v>2014</v>
      </c>
      <c r="R1213" s="1" t="s">
        <v>38</v>
      </c>
      <c r="T1213" s="1" t="s">
        <v>74</v>
      </c>
      <c r="U1213" s="11" t="s">
        <v>2015</v>
      </c>
      <c r="V1213" s="1" t="s">
        <v>41</v>
      </c>
      <c r="W1213" s="1" t="s">
        <v>49</v>
      </c>
      <c r="Z1213" s="14">
        <v>1</v>
      </c>
      <c r="AA1213" s="14"/>
    </row>
    <row r="1214" spans="1:32">
      <c r="A1214" s="1">
        <v>9377451</v>
      </c>
      <c r="B1214" s="1" t="s">
        <v>1153</v>
      </c>
      <c r="C1214" s="178" t="s">
        <v>2016</v>
      </c>
      <c r="E1214" s="2">
        <v>9705000206021</v>
      </c>
      <c r="F1214" s="1" t="s">
        <v>103</v>
      </c>
      <c r="G1214" s="1" t="s">
        <v>53</v>
      </c>
      <c r="H1214" s="1" t="s">
        <v>204</v>
      </c>
      <c r="I1214" s="1" t="s">
        <v>205</v>
      </c>
      <c r="J1214" s="1" t="s">
        <v>90</v>
      </c>
      <c r="K1214" t="s">
        <v>104</v>
      </c>
      <c r="M1214" s="1" t="s">
        <v>58</v>
      </c>
      <c r="N1214" s="1">
        <v>0</v>
      </c>
      <c r="O1214" s="1" t="s">
        <v>36</v>
      </c>
      <c r="P1214" s="11" t="s">
        <v>2017</v>
      </c>
      <c r="R1214" s="1" t="s">
        <v>38</v>
      </c>
      <c r="T1214" s="1" t="s">
        <v>74</v>
      </c>
      <c r="U1214" s="11" t="s">
        <v>2018</v>
      </c>
      <c r="V1214" s="1" t="s">
        <v>41</v>
      </c>
      <c r="W1214" s="1" t="s">
        <v>49</v>
      </c>
      <c r="X1214" s="13" t="str">
        <f t="shared" ref="X1214:X1215" si="91">IF(RIGHT(H1214,2)&lt;&gt;"00",H1214,"")</f>
        <v/>
      </c>
      <c r="Y1214" s="2">
        <f t="shared" ref="Y1214:Y1215" ca="1" si="92">NETWORKDAYS(P1214,$Y$1)</f>
        <v>28</v>
      </c>
      <c r="Z1214" s="14">
        <v>1</v>
      </c>
      <c r="AA1214" s="1" t="str">
        <f t="shared" ref="AA1214:AA1215" ca="1" si="93">IF(AE1214=0,"HOJE",IF(AE1214&gt;0,"A VENCER",IF(AE1214&lt;0,"VENCIDO")))</f>
        <v>VENCIDO</v>
      </c>
      <c r="AB1214" s="1" t="str">
        <f t="shared" ref="AB1214:AB1215" si="94">IF(F1214="GRPE-000001","C-14",IF(F1214="GRPE-000002","C-14",IF(F1214="GRPE-000003","C-14",IF(F1214="GRPE-000004","SL-On",IF(F1214="GRPE-000038","C-14",IF(F1214="GRPE-900022","Dosa",IF(F1214="GRPE-000029","Dosa",IF(F1214="ATOS-000222","Dose","TAAe+"))))))))</f>
        <v>Dosa</v>
      </c>
      <c r="AC1214" s="2" t="str">
        <f t="shared" ref="AC1214:AC1215" si="95">IF(J1214="TR-PETROLINA"," ROSEMERE ",IF(J1214="TR-GARANHUNS"," ROSEMERE ",IF(J1214="TR-CARUARU"," ROSEMERE ",IF(J1214="TR-RIBEIRAO"," CRISTINA ",IF(J1214="TR-GRAVATA"," CRISTINA ",IF(J1214="TR-GOIANA"," CRISTINA ",IF(J1214="TR-LIMOEIRO"," CRISTINA ",IF(J1214="TR-SERRA TALHADA"," RINALDO ",IF(J1214="TR-SALGUEIRO"," RINALDO ",IF(J1214="TR-CARNAIBA"," RINALDO ",IF(J1214="TR-ARCOVERDE"," RINALDO ",IF(J1214="CAT-RECIFE"," CLEITON ",))))))))))))</f>
        <v xml:space="preserve"> RINALDO </v>
      </c>
      <c r="AD1214" s="2">
        <f t="shared" ref="AD1214:AD1215" si="96">IF(F1214="GRPE-000001",5,IF(F1214="GRPE-000002",5,IF(F1214="GRPE-000003",15,IF(F1214="GRPE-000004",1,IF(F1214="GRPE-000038",5,IF(F1214="GRPE-900022",5,IF(F1214="GRPE-000029",5,IF(F1214="ATOS-000222",5,8))))))))</f>
        <v>5</v>
      </c>
      <c r="AE1214" s="2">
        <f t="shared" ref="AE1214:AE1215" ca="1" si="97">IF(U1214=$AE$1,"",U1214-$AE$1)</f>
        <v>-13.068632754628197</v>
      </c>
      <c r="AF1214" s="15"/>
    </row>
    <row r="1215" spans="1:32">
      <c r="A1215" s="1">
        <v>9376105</v>
      </c>
      <c r="B1215" s="1" t="s">
        <v>1153</v>
      </c>
      <c r="C1215" t="s">
        <v>2019</v>
      </c>
      <c r="D1215" s="2">
        <v>20230870000010</v>
      </c>
      <c r="E1215" s="2">
        <v>7419141893543</v>
      </c>
      <c r="F1215" s="1" t="s">
        <v>128</v>
      </c>
      <c r="G1215" s="1" t="s">
        <v>53</v>
      </c>
      <c r="H1215" s="1" t="s">
        <v>519</v>
      </c>
      <c r="I1215" s="1" t="s">
        <v>520</v>
      </c>
      <c r="J1215" s="1" t="s">
        <v>90</v>
      </c>
      <c r="K1215" t="s">
        <v>129</v>
      </c>
      <c r="M1215" s="1" t="s">
        <v>58</v>
      </c>
      <c r="N1215" s="1">
        <v>0</v>
      </c>
      <c r="O1215" s="1" t="s">
        <v>36</v>
      </c>
      <c r="P1215" s="11" t="s">
        <v>2020</v>
      </c>
      <c r="R1215" s="1">
        <v>14</v>
      </c>
      <c r="T1215" s="1" t="s">
        <v>238</v>
      </c>
      <c r="U1215" s="11" t="s">
        <v>2020</v>
      </c>
      <c r="V1215" s="1" t="s">
        <v>41</v>
      </c>
      <c r="W1215" s="1" t="s">
        <v>49</v>
      </c>
      <c r="X1215" s="13" t="str">
        <f t="shared" si="91"/>
        <v>0870.91</v>
      </c>
      <c r="Y1215" s="2">
        <f t="shared" ca="1" si="92"/>
        <v>28</v>
      </c>
      <c r="Z1215" s="14">
        <v>1</v>
      </c>
      <c r="AA1215" s="1" t="str">
        <f t="shared" ca="1" si="93"/>
        <v>VENCIDO</v>
      </c>
      <c r="AB1215" s="1" t="str">
        <f t="shared" si="94"/>
        <v>TAAe+</v>
      </c>
      <c r="AC1215" s="2" t="str">
        <f t="shared" si="95"/>
        <v xml:space="preserve"> RINALDO </v>
      </c>
      <c r="AD1215" s="2">
        <f t="shared" si="96"/>
        <v>8</v>
      </c>
      <c r="AE1215" s="2">
        <f t="shared" ca="1" si="97"/>
        <v>-37.255692939812434</v>
      </c>
      <c r="AF1215" s="15"/>
    </row>
    <row r="1216" spans="1:32" hidden="1">
      <c r="A1216" s="1">
        <v>9372193</v>
      </c>
      <c r="B1216" s="1" t="s">
        <v>1153</v>
      </c>
      <c r="C1216" t="s">
        <v>2021</v>
      </c>
      <c r="E1216" s="2">
        <v>446000206001</v>
      </c>
      <c r="F1216" s="1" t="s">
        <v>29</v>
      </c>
      <c r="G1216" s="1" t="s">
        <v>53</v>
      </c>
      <c r="H1216" s="1" t="s">
        <v>432</v>
      </c>
      <c r="I1216" s="1" t="s">
        <v>433</v>
      </c>
      <c r="J1216" s="1" t="s">
        <v>110</v>
      </c>
      <c r="K1216" t="s">
        <v>34</v>
      </c>
      <c r="M1216" s="1" t="s">
        <v>35</v>
      </c>
      <c r="N1216" s="1">
        <v>42318949</v>
      </c>
      <c r="O1216" s="1" t="s">
        <v>36</v>
      </c>
      <c r="P1216" s="11" t="s">
        <v>2022</v>
      </c>
      <c r="R1216" s="1" t="s">
        <v>38</v>
      </c>
      <c r="T1216" s="1" t="s">
        <v>74</v>
      </c>
      <c r="U1216" s="11" t="s">
        <v>2023</v>
      </c>
      <c r="V1216" s="1" t="s">
        <v>41</v>
      </c>
      <c r="W1216" s="1" t="s">
        <v>49</v>
      </c>
      <c r="Z1216" s="14">
        <v>1</v>
      </c>
      <c r="AA1216" s="14"/>
    </row>
    <row r="1217" spans="1:32" hidden="1">
      <c r="A1217" s="1">
        <v>9382865</v>
      </c>
      <c r="B1217" s="1" t="s">
        <v>1153</v>
      </c>
      <c r="C1217" t="s">
        <v>2024</v>
      </c>
      <c r="D1217" s="2">
        <v>230012536</v>
      </c>
      <c r="E1217" s="2">
        <v>1650001400010</v>
      </c>
      <c r="F1217" s="1" t="s">
        <v>936</v>
      </c>
      <c r="G1217" s="1" t="s">
        <v>53</v>
      </c>
      <c r="H1217" s="1" t="s">
        <v>620</v>
      </c>
      <c r="I1217" s="1" t="s">
        <v>621</v>
      </c>
      <c r="J1217" s="1" t="s">
        <v>141</v>
      </c>
      <c r="K1217" t="s">
        <v>937</v>
      </c>
      <c r="M1217" s="1" t="s">
        <v>58</v>
      </c>
      <c r="N1217" s="1">
        <v>0</v>
      </c>
      <c r="O1217" s="1" t="s">
        <v>36</v>
      </c>
      <c r="P1217" s="11" t="s">
        <v>2025</v>
      </c>
      <c r="R1217" s="1">
        <v>3</v>
      </c>
      <c r="T1217" s="1" t="s">
        <v>646</v>
      </c>
      <c r="U1217" s="11" t="s">
        <v>2026</v>
      </c>
      <c r="V1217" s="1" t="s">
        <v>41</v>
      </c>
      <c r="W1217" s="1" t="s">
        <v>49</v>
      </c>
      <c r="Z1217" s="14">
        <v>1</v>
      </c>
      <c r="AA1217" s="14"/>
    </row>
    <row r="1218" spans="1:32">
      <c r="A1218" s="1">
        <v>9381861</v>
      </c>
      <c r="B1218" s="1" t="s">
        <v>62</v>
      </c>
      <c r="C1218" t="s">
        <v>2027</v>
      </c>
      <c r="E1218" s="2">
        <v>1069000203000</v>
      </c>
      <c r="F1218" s="1" t="s">
        <v>454</v>
      </c>
      <c r="G1218" s="1" t="s">
        <v>53</v>
      </c>
      <c r="H1218" s="1" t="s">
        <v>353</v>
      </c>
      <c r="I1218" s="1" t="s">
        <v>354</v>
      </c>
      <c r="J1218" s="1" t="s">
        <v>211</v>
      </c>
      <c r="K1218" t="s">
        <v>457</v>
      </c>
      <c r="M1218" s="1" t="s">
        <v>58</v>
      </c>
      <c r="N1218" s="1">
        <v>0</v>
      </c>
      <c r="O1218" s="1" t="s">
        <v>105</v>
      </c>
      <c r="P1218" s="11" t="s">
        <v>2028</v>
      </c>
      <c r="R1218" s="1">
        <v>1</v>
      </c>
      <c r="T1218" s="1" t="s">
        <v>157</v>
      </c>
      <c r="U1218" s="11" t="s">
        <v>1954</v>
      </c>
      <c r="V1218" s="1" t="s">
        <v>41</v>
      </c>
      <c r="W1218" s="1" t="s">
        <v>49</v>
      </c>
      <c r="Z1218" s="14">
        <v>1</v>
      </c>
      <c r="AA1218" s="14"/>
    </row>
    <row r="1219" spans="1:32" hidden="1">
      <c r="A1219" s="1">
        <v>9387390</v>
      </c>
      <c r="B1219" s="1" t="s">
        <v>1153</v>
      </c>
      <c r="C1219" t="s">
        <v>2029</v>
      </c>
      <c r="D1219" s="2">
        <v>20230220000011</v>
      </c>
      <c r="E1219" s="2">
        <v>7417163284480</v>
      </c>
      <c r="F1219" s="1" t="s">
        <v>131</v>
      </c>
      <c r="G1219" s="1" t="s">
        <v>53</v>
      </c>
      <c r="H1219" s="1" t="s">
        <v>2030</v>
      </c>
      <c r="I1219" s="1" t="s">
        <v>2031</v>
      </c>
      <c r="J1219" s="1" t="s">
        <v>110</v>
      </c>
      <c r="K1219" t="s">
        <v>132</v>
      </c>
      <c r="M1219" s="1" t="s">
        <v>58</v>
      </c>
      <c r="N1219" s="1">
        <v>0</v>
      </c>
      <c r="O1219" s="1" t="s">
        <v>36</v>
      </c>
      <c r="P1219" s="186">
        <v>44951.623993055553</v>
      </c>
      <c r="R1219" s="1">
        <v>14</v>
      </c>
      <c r="T1219" s="1" t="s">
        <v>238</v>
      </c>
      <c r="U1219" s="186">
        <v>44951.623993055553</v>
      </c>
      <c r="V1219" s="1" t="s">
        <v>41</v>
      </c>
      <c r="W1219" s="1" t="s">
        <v>49</v>
      </c>
      <c r="Z1219" s="14">
        <v>1</v>
      </c>
      <c r="AA1219" s="14"/>
    </row>
    <row r="1220" spans="1:32" hidden="1">
      <c r="A1220" s="1">
        <v>9387389</v>
      </c>
      <c r="B1220" s="1" t="s">
        <v>1153</v>
      </c>
      <c r="C1220" t="s">
        <v>2032</v>
      </c>
      <c r="D1220" s="2">
        <v>20230220000010</v>
      </c>
      <c r="E1220" s="2">
        <v>7417163284483</v>
      </c>
      <c r="F1220" s="1" t="s">
        <v>131</v>
      </c>
      <c r="G1220" s="1" t="s">
        <v>53</v>
      </c>
      <c r="H1220" s="1" t="s">
        <v>2030</v>
      </c>
      <c r="I1220" s="1" t="s">
        <v>2031</v>
      </c>
      <c r="J1220" s="1" t="s">
        <v>110</v>
      </c>
      <c r="K1220" t="s">
        <v>132</v>
      </c>
      <c r="M1220" s="1" t="s">
        <v>58</v>
      </c>
      <c r="N1220" s="1">
        <v>0</v>
      </c>
      <c r="O1220" s="1" t="s">
        <v>36</v>
      </c>
      <c r="P1220" s="11" t="s">
        <v>2033</v>
      </c>
      <c r="R1220" s="1">
        <v>14</v>
      </c>
      <c r="T1220" s="1" t="s">
        <v>238</v>
      </c>
      <c r="U1220" s="11" t="s">
        <v>2033</v>
      </c>
      <c r="V1220" s="1" t="s">
        <v>41</v>
      </c>
      <c r="W1220" s="1" t="s">
        <v>49</v>
      </c>
      <c r="Z1220" s="14">
        <v>1</v>
      </c>
      <c r="AA1220" s="14"/>
    </row>
    <row r="1221" spans="1:32">
      <c r="A1221" s="1">
        <v>9386899</v>
      </c>
      <c r="B1221" s="1" t="s">
        <v>1153</v>
      </c>
      <c r="C1221" s="182" t="s">
        <v>2034</v>
      </c>
      <c r="D1221" s="2">
        <v>230012987</v>
      </c>
      <c r="E1221" s="2">
        <v>1162001400010</v>
      </c>
      <c r="F1221" s="1" t="s">
        <v>936</v>
      </c>
      <c r="G1221" s="1" t="s">
        <v>53</v>
      </c>
      <c r="H1221" s="1" t="s">
        <v>280</v>
      </c>
      <c r="I1221" s="1" t="s">
        <v>281</v>
      </c>
      <c r="J1221" s="1" t="s">
        <v>211</v>
      </c>
      <c r="K1221" t="s">
        <v>937</v>
      </c>
      <c r="M1221" s="1" t="s">
        <v>58</v>
      </c>
      <c r="N1221" s="1">
        <v>0</v>
      </c>
      <c r="O1221" s="1" t="s">
        <v>36</v>
      </c>
      <c r="P1221" s="11" t="s">
        <v>2035</v>
      </c>
      <c r="R1221" s="1">
        <v>3</v>
      </c>
      <c r="T1221" s="1" t="s">
        <v>646</v>
      </c>
      <c r="U1221" s="11" t="s">
        <v>2036</v>
      </c>
      <c r="V1221" s="1" t="s">
        <v>41</v>
      </c>
      <c r="W1221" s="1" t="s">
        <v>49</v>
      </c>
      <c r="X1221" s="13" t="str">
        <f t="shared" ref="X1221" si="98">IF(RIGHT(H1221,2)&lt;&gt;"00",H1221,"")</f>
        <v/>
      </c>
      <c r="Y1221" s="2">
        <f t="shared" ref="Y1221" ca="1" si="99">NETWORKDAYS(P1221,$Y$1)</f>
        <v>26</v>
      </c>
      <c r="Z1221" s="14">
        <v>1</v>
      </c>
      <c r="AA1221" s="1" t="str">
        <f t="shared" ref="AA1221" ca="1" si="100">IF(AE1221=0,"HOJE",IF(AE1221&gt;0,"A VENCER",IF(AE1221&lt;0,"VENCIDO")))</f>
        <v>VENCIDO</v>
      </c>
      <c r="AB1221" s="1" t="str">
        <f t="shared" ref="AB1221" si="101">IF(F1221="GRPE-000001","C-14",IF(F1221="GRPE-000002","C-14",IF(F1221="GRPE-000003","C-14",IF(F1221="GRPE-000004","SL-On",IF(F1221="GRPE-000038","C-14",IF(F1221="GRPE-900022","Dosa",IF(F1221="GRPE-000029","Dosa",IF(F1221="ATOS-000222","Dose","TAAe+"))))))))</f>
        <v>C-14</v>
      </c>
      <c r="AC1221" s="2" t="str">
        <f t="shared" ref="AC1221" si="102">IF(J1221="TR-PETROLINA"," ROSEMERE ",IF(J1221="TR-GARANHUNS"," ROSEMERE ",IF(J1221="TR-CARUARU"," ROSEMERE ",IF(J1221="TR-RIBEIRAO"," CRISTINA ",IF(J1221="TR-GRAVATA"," CRISTINA ",IF(J1221="TR-GOIANA"," CRISTINA ",IF(J1221="TR-LIMOEIRO"," CRISTINA ",IF(J1221="TR-SERRA TALHADA"," RINALDO ",IF(J1221="TR-SALGUEIRO"," RINALDO ",IF(J1221="TR-CARNAIBA"," RINALDO ",IF(J1221="TR-ARCOVERDE"," RINALDO ",IF(J1221="CAT-RECIFE"," CLEITON ",))))))))))))</f>
        <v xml:space="preserve"> RINALDO </v>
      </c>
      <c r="AD1221" s="2">
        <f t="shared" ref="AD1221" si="103">IF(F1221="GRPE-000001",5,IF(F1221="GRPE-000002",5,IF(F1221="GRPE-000003",15,IF(F1221="GRPE-000004",1,IF(F1221="GRPE-000038",5,IF(F1221="GRPE-900022",5,IF(F1221="GRPE-000029",5,IF(F1221="ATOS-000222",5,8))))))))</f>
        <v>5</v>
      </c>
      <c r="AE1221" s="2">
        <f t="shared" ref="AE1221" ca="1" si="104">IF(U1221=$AE$1,"",U1221-$AE$1)</f>
        <v>-13.089466087963956</v>
      </c>
      <c r="AF1221" s="15"/>
    </row>
    <row r="1222" spans="1:32" hidden="1">
      <c r="A1222" s="1">
        <v>9386321</v>
      </c>
      <c r="B1222" s="1" t="s">
        <v>1153</v>
      </c>
      <c r="C1222" t="s">
        <v>2037</v>
      </c>
      <c r="E1222" s="2">
        <v>3108010206001</v>
      </c>
      <c r="F1222" s="1" t="s">
        <v>29</v>
      </c>
      <c r="G1222" s="1" t="s">
        <v>53</v>
      </c>
      <c r="H1222" s="1" t="s">
        <v>503</v>
      </c>
      <c r="I1222" s="1" t="s">
        <v>504</v>
      </c>
      <c r="J1222" s="1" t="s">
        <v>46</v>
      </c>
      <c r="K1222" t="s">
        <v>34</v>
      </c>
      <c r="M1222" s="1" t="s">
        <v>35</v>
      </c>
      <c r="N1222" s="1">
        <v>42318949</v>
      </c>
      <c r="O1222" s="1" t="s">
        <v>36</v>
      </c>
      <c r="P1222" s="11" t="s">
        <v>2038</v>
      </c>
      <c r="R1222" s="1" t="s">
        <v>38</v>
      </c>
      <c r="T1222" s="1" t="s">
        <v>74</v>
      </c>
      <c r="U1222" s="11" t="s">
        <v>2039</v>
      </c>
      <c r="V1222" s="1" t="s">
        <v>41</v>
      </c>
      <c r="W1222" s="1" t="s">
        <v>49</v>
      </c>
      <c r="Z1222" s="14">
        <v>1</v>
      </c>
      <c r="AA1222" s="14"/>
    </row>
    <row r="1223" spans="1:32">
      <c r="A1223" s="1">
        <v>9385840</v>
      </c>
      <c r="B1223" s="1" t="s">
        <v>1153</v>
      </c>
      <c r="C1223" t="s">
        <v>2040</v>
      </c>
      <c r="E1223" s="2">
        <v>2170000206001</v>
      </c>
      <c r="F1223" s="1" t="s">
        <v>29</v>
      </c>
      <c r="G1223" s="1" t="s">
        <v>53</v>
      </c>
      <c r="H1223" s="1" t="s">
        <v>477</v>
      </c>
      <c r="I1223" s="1" t="s">
        <v>478</v>
      </c>
      <c r="J1223" s="1" t="s">
        <v>148</v>
      </c>
      <c r="K1223" t="s">
        <v>34</v>
      </c>
      <c r="M1223" s="1" t="s">
        <v>35</v>
      </c>
      <c r="N1223" s="1">
        <v>42318949</v>
      </c>
      <c r="O1223" s="1" t="s">
        <v>36</v>
      </c>
      <c r="P1223" s="11" t="s">
        <v>2041</v>
      </c>
      <c r="R1223" s="1" t="s">
        <v>38</v>
      </c>
      <c r="T1223" s="1" t="s">
        <v>74</v>
      </c>
      <c r="U1223" s="11" t="s">
        <v>2042</v>
      </c>
      <c r="V1223" s="1" t="s">
        <v>41</v>
      </c>
      <c r="W1223" s="1" t="s">
        <v>49</v>
      </c>
      <c r="X1223" s="13" t="str">
        <f t="shared" ref="X1223" si="105">IF(RIGHT(H1223,2)&lt;&gt;"00",H1223,"")</f>
        <v/>
      </c>
      <c r="Y1223" s="2">
        <f t="shared" ref="Y1223" ca="1" si="106">NETWORKDAYS(P1223,$Y$1)</f>
        <v>26</v>
      </c>
      <c r="Z1223" s="14">
        <v>1</v>
      </c>
      <c r="AA1223" s="1" t="str">
        <f t="shared" ref="AA1223" ca="1" si="107">IF(AE1223=0,"HOJE",IF(AE1223&gt;0,"A VENCER",IF(AE1223&lt;0,"VENCIDO")))</f>
        <v>VENCIDO</v>
      </c>
      <c r="AB1223" s="1" t="str">
        <f t="shared" ref="AB1223" si="108">IF(F1223="GRPE-000001","C-14",IF(F1223="GRPE-000002","C-14",IF(F1223="GRPE-000003","C-14",IF(F1223="GRPE-000004","SL-On",IF(F1223="GRPE-000038","C-14",IF(F1223="GRPE-900022","Dosa",IF(F1223="GRPE-000029","Dosa",IF(F1223="ATOS-000222","Dose","TAAe+"))))))))</f>
        <v>Dosa</v>
      </c>
      <c r="AC1223" s="2" t="str">
        <f t="shared" ref="AC1223" si="109">IF(J1223="TR-PETROLINA"," ROSEMERE ",IF(J1223="TR-GARANHUNS"," ROSEMERE ",IF(J1223="TR-CARUARU"," ROSEMERE ",IF(J1223="TR-RIBEIRAO"," CRISTINA ",IF(J1223="TR-GRAVATA"," CRISTINA ",IF(J1223="TR-GOIANA"," CRISTINA ",IF(J1223="TR-LIMOEIRO"," CRISTINA ",IF(J1223="TR-SERRA TALHADA"," RINALDO ",IF(J1223="TR-SALGUEIRO"," RINALDO ",IF(J1223="TR-CARNAIBA"," RINALDO ",IF(J1223="TR-ARCOVERDE"," RINALDO ",IF(J1223="CAT-RECIFE"," CLEITON ",))))))))))))</f>
        <v xml:space="preserve"> RINALDO </v>
      </c>
      <c r="AD1223" s="2">
        <f t="shared" ref="AD1223" si="110">IF(F1223="GRPE-000001",5,IF(F1223="GRPE-000002",5,IF(F1223="GRPE-000003",15,IF(F1223="GRPE-000004",1,IF(F1223="GRPE-000038",5,IF(F1223="GRPE-900022",5,IF(F1223="GRPE-000029",5,IF(F1223="ATOS-000222",5,8))))))))</f>
        <v>5</v>
      </c>
      <c r="AE1223" s="2">
        <f t="shared" ref="AE1223" ca="1" si="111">IF(U1223=$AE$1,"",U1223-$AE$1)</f>
        <v>-13.026966087963956</v>
      </c>
      <c r="AF1223" s="15"/>
    </row>
    <row r="1224" spans="1:32" hidden="1">
      <c r="A1224" s="1">
        <v>9385440</v>
      </c>
      <c r="B1224" s="1" t="s">
        <v>1153</v>
      </c>
      <c r="C1224" t="s">
        <v>2043</v>
      </c>
      <c r="E1224" s="2">
        <v>446000206001</v>
      </c>
      <c r="F1224" s="1" t="s">
        <v>29</v>
      </c>
      <c r="G1224" s="1" t="s">
        <v>53</v>
      </c>
      <c r="H1224" s="1" t="s">
        <v>432</v>
      </c>
      <c r="I1224" s="1" t="s">
        <v>433</v>
      </c>
      <c r="J1224" s="1" t="s">
        <v>110</v>
      </c>
      <c r="K1224" t="s">
        <v>34</v>
      </c>
      <c r="M1224" s="1" t="s">
        <v>35</v>
      </c>
      <c r="N1224" s="1">
        <v>42318949</v>
      </c>
      <c r="O1224" s="1" t="s">
        <v>36</v>
      </c>
      <c r="P1224" s="11" t="s">
        <v>2044</v>
      </c>
      <c r="R1224" s="1" t="s">
        <v>38</v>
      </c>
      <c r="T1224" s="1" t="s">
        <v>74</v>
      </c>
      <c r="U1224" s="11" t="s">
        <v>2023</v>
      </c>
      <c r="V1224" s="1" t="s">
        <v>41</v>
      </c>
      <c r="W1224" s="1" t="s">
        <v>49</v>
      </c>
      <c r="Z1224" s="14">
        <v>1</v>
      </c>
      <c r="AA1224" s="14"/>
    </row>
    <row r="1225" spans="1:32">
      <c r="A1225" s="1">
        <v>9396912</v>
      </c>
      <c r="B1225" s="1" t="s">
        <v>62</v>
      </c>
      <c r="C1225" t="s">
        <v>2045</v>
      </c>
      <c r="D1225" s="2">
        <v>230014141</v>
      </c>
      <c r="E1225" s="2">
        <v>870001400020</v>
      </c>
      <c r="F1225" s="1" t="s">
        <v>1961</v>
      </c>
      <c r="G1225" s="1" t="s">
        <v>53</v>
      </c>
      <c r="H1225" s="1" t="s">
        <v>183</v>
      </c>
      <c r="I1225" s="1" t="s">
        <v>184</v>
      </c>
      <c r="J1225" s="1" t="s">
        <v>90</v>
      </c>
      <c r="K1225" t="s">
        <v>1962</v>
      </c>
      <c r="M1225" s="1" t="s">
        <v>58</v>
      </c>
      <c r="N1225" s="1">
        <v>0</v>
      </c>
      <c r="O1225" s="1" t="s">
        <v>36</v>
      </c>
      <c r="P1225" s="11" t="s">
        <v>2046</v>
      </c>
      <c r="R1225" s="1">
        <v>4</v>
      </c>
      <c r="T1225" s="1" t="s">
        <v>646</v>
      </c>
      <c r="U1225" s="11" t="s">
        <v>2047</v>
      </c>
      <c r="V1225" s="1" t="s">
        <v>41</v>
      </c>
      <c r="W1225" s="1" t="s">
        <v>49</v>
      </c>
      <c r="Z1225" s="14">
        <v>1</v>
      </c>
      <c r="AA1225" s="14"/>
    </row>
    <row r="1226" spans="1:32">
      <c r="A1226" s="1">
        <v>9396835</v>
      </c>
      <c r="B1226" s="1" t="s">
        <v>1153</v>
      </c>
      <c r="C1226" s="182" t="s">
        <v>2048</v>
      </c>
      <c r="D1226" s="2">
        <v>20231069000005</v>
      </c>
      <c r="E1226" s="2">
        <v>7417210950276</v>
      </c>
      <c r="F1226" s="1" t="s">
        <v>1213</v>
      </c>
      <c r="G1226" s="1" t="s">
        <v>53</v>
      </c>
      <c r="H1226" s="1" t="s">
        <v>2049</v>
      </c>
      <c r="I1226" s="1" t="s">
        <v>2050</v>
      </c>
      <c r="J1226" s="1" t="s">
        <v>211</v>
      </c>
      <c r="K1226" t="s">
        <v>1214</v>
      </c>
      <c r="M1226" s="1" t="s">
        <v>58</v>
      </c>
      <c r="N1226" s="1">
        <v>0</v>
      </c>
      <c r="O1226" s="1" t="s">
        <v>36</v>
      </c>
      <c r="P1226" s="11" t="s">
        <v>2051</v>
      </c>
      <c r="R1226" s="1">
        <v>14</v>
      </c>
      <c r="T1226" s="1" t="s">
        <v>238</v>
      </c>
      <c r="U1226" s="11" t="s">
        <v>2051</v>
      </c>
      <c r="V1226" s="1" t="s">
        <v>41</v>
      </c>
      <c r="W1226" s="1" t="s">
        <v>49</v>
      </c>
      <c r="X1226" s="13" t="str">
        <f t="shared" ref="X1226:X1227" si="112">IF(RIGHT(H1226,2)&lt;&gt;"00",H1226,"")</f>
        <v>1069.91</v>
      </c>
      <c r="Y1226" s="2">
        <f t="shared" ref="Y1226:Y1227" ca="1" si="113">NETWORKDAYS(P1226,$Y$1)</f>
        <v>24</v>
      </c>
      <c r="Z1226" s="14">
        <v>1</v>
      </c>
      <c r="AA1226" s="1" t="str">
        <f t="shared" ref="AA1226:AA1227" ca="1" si="114">IF(AE1226=0,"HOJE",IF(AE1226&gt;0,"A VENCER",IF(AE1226&lt;0,"VENCIDO")))</f>
        <v>VENCIDO</v>
      </c>
      <c r="AB1226" s="1" t="str">
        <f t="shared" ref="AB1226:AB1227" si="115">IF(F1226="GRPE-000001","C-14",IF(F1226="GRPE-000002","C-14",IF(F1226="GRPE-000003","C-14",IF(F1226="GRPE-000004","SL-On",IF(F1226="GRPE-000038","C-14",IF(F1226="GRPE-900022","Dosa",IF(F1226="GRPE-000029","Dosa",IF(F1226="ATOS-000222","Dose","TAAe+"))))))))</f>
        <v>TAAe+</v>
      </c>
      <c r="AC1226" s="2" t="str">
        <f t="shared" ref="AC1226:AC1227" si="116">IF(J1226="TR-PETROLINA"," ROSEMERE ",IF(J1226="TR-GARANHUNS"," ROSEMERE ",IF(J1226="TR-CARUARU"," ROSEMERE ",IF(J1226="TR-RIBEIRAO"," CRISTINA ",IF(J1226="TR-GRAVATA"," CRISTINA ",IF(J1226="TR-GOIANA"," CRISTINA ",IF(J1226="TR-LIMOEIRO"," CRISTINA ",IF(J1226="TR-SERRA TALHADA"," RINALDO ",IF(J1226="TR-SALGUEIRO"," RINALDO ",IF(J1226="TR-CARNAIBA"," RINALDO ",IF(J1226="TR-ARCOVERDE"," RINALDO ",IF(J1226="CAT-RECIFE"," CLEITON ",))))))))))))</f>
        <v xml:space="preserve"> RINALDO </v>
      </c>
      <c r="AD1226" s="2">
        <f t="shared" ref="AD1226:AD1227" si="117">IF(F1226="GRPE-000001",5,IF(F1226="GRPE-000002",5,IF(F1226="GRPE-000003",15,IF(F1226="GRPE-000004",1,IF(F1226="GRPE-000038",5,IF(F1226="GRPE-900022",5,IF(F1226="GRPE-000029",5,IF(F1226="ATOS-000222",5,8))))))))</f>
        <v>8</v>
      </c>
      <c r="AE1226" s="2">
        <f t="shared" ref="AE1226:AE1227" ca="1" si="118">IF(U1226=$AE$1,"",U1226-$AE$1)</f>
        <v>-33.04433877315023</v>
      </c>
      <c r="AF1226" s="15"/>
    </row>
    <row r="1227" spans="1:32">
      <c r="A1227" s="1">
        <v>9395678</v>
      </c>
      <c r="B1227" s="1" t="s">
        <v>1153</v>
      </c>
      <c r="C1227" s="182" t="s">
        <v>2052</v>
      </c>
      <c r="D1227" s="2">
        <v>20234119000004</v>
      </c>
      <c r="E1227" s="2">
        <v>7417183022947</v>
      </c>
      <c r="F1227" s="1" t="s">
        <v>1313</v>
      </c>
      <c r="G1227" s="1" t="s">
        <v>53</v>
      </c>
      <c r="H1227" s="1" t="s">
        <v>2053</v>
      </c>
      <c r="I1227" s="1" t="s">
        <v>2054</v>
      </c>
      <c r="J1227" s="1" t="s">
        <v>211</v>
      </c>
      <c r="K1227" t="s">
        <v>1316</v>
      </c>
      <c r="M1227" s="1" t="s">
        <v>58</v>
      </c>
      <c r="N1227" s="1">
        <v>0</v>
      </c>
      <c r="O1227" s="1" t="s">
        <v>36</v>
      </c>
      <c r="P1227" s="12">
        <v>44953.444606481484</v>
      </c>
      <c r="R1227" s="1">
        <v>14</v>
      </c>
      <c r="T1227" s="1" t="s">
        <v>238</v>
      </c>
      <c r="U1227" s="12">
        <v>44953.444606481484</v>
      </c>
      <c r="V1227" s="1" t="s">
        <v>41</v>
      </c>
      <c r="W1227" s="1" t="s">
        <v>49</v>
      </c>
      <c r="X1227" s="13" t="str">
        <f t="shared" si="112"/>
        <v>4119.91</v>
      </c>
      <c r="Y1227" s="2">
        <f t="shared" ca="1" si="113"/>
        <v>24</v>
      </c>
      <c r="Z1227" s="14">
        <v>1</v>
      </c>
      <c r="AA1227" s="1" t="str">
        <f t="shared" ca="1" si="114"/>
        <v>VENCIDO</v>
      </c>
      <c r="AB1227" s="1" t="str">
        <f t="shared" si="115"/>
        <v>TAAe+</v>
      </c>
      <c r="AC1227" s="2" t="str">
        <f t="shared" si="116"/>
        <v xml:space="preserve"> RINALDO </v>
      </c>
      <c r="AD1227" s="2">
        <f t="shared" si="117"/>
        <v>8</v>
      </c>
      <c r="AE1227" s="2">
        <f t="shared" ca="1" si="118"/>
        <v>-33.231665162034915</v>
      </c>
      <c r="AF1227" s="15"/>
    </row>
    <row r="1228" spans="1:32" hidden="1">
      <c r="A1228" s="1">
        <v>9395597</v>
      </c>
      <c r="B1228" s="1" t="s">
        <v>62</v>
      </c>
      <c r="C1228" t="s">
        <v>2055</v>
      </c>
      <c r="E1228" s="2">
        <v>9406000206001</v>
      </c>
      <c r="F1228" s="1" t="s">
        <v>29</v>
      </c>
      <c r="G1228" s="1" t="s">
        <v>53</v>
      </c>
      <c r="H1228" s="1" t="s">
        <v>114</v>
      </c>
      <c r="I1228" s="1" t="s">
        <v>115</v>
      </c>
      <c r="J1228" s="1" t="s">
        <v>46</v>
      </c>
      <c r="K1228" t="s">
        <v>34</v>
      </c>
      <c r="M1228" s="1" t="s">
        <v>35</v>
      </c>
      <c r="N1228" s="1">
        <v>42318949</v>
      </c>
      <c r="O1228" s="1" t="s">
        <v>105</v>
      </c>
      <c r="P1228" s="186">
        <v>44953.442708333336</v>
      </c>
      <c r="R1228" s="1" t="s">
        <v>38</v>
      </c>
      <c r="T1228" s="1" t="s">
        <v>74</v>
      </c>
      <c r="U1228" s="186">
        <v>44998.75</v>
      </c>
      <c r="V1228" s="1" t="s">
        <v>41</v>
      </c>
      <c r="W1228" s="1" t="s">
        <v>49</v>
      </c>
      <c r="Z1228" s="14">
        <v>1</v>
      </c>
      <c r="AA1228" s="14"/>
    </row>
    <row r="1229" spans="1:32" hidden="1">
      <c r="A1229" s="1">
        <v>9395595</v>
      </c>
      <c r="B1229" s="1" t="s">
        <v>62</v>
      </c>
      <c r="C1229" t="s">
        <v>2055</v>
      </c>
      <c r="E1229" s="2">
        <v>9406000206001</v>
      </c>
      <c r="F1229" s="1" t="s">
        <v>29</v>
      </c>
      <c r="G1229" s="1" t="s">
        <v>53</v>
      </c>
      <c r="H1229" s="1" t="s">
        <v>114</v>
      </c>
      <c r="I1229" s="1" t="s">
        <v>115</v>
      </c>
      <c r="J1229" s="1" t="s">
        <v>46</v>
      </c>
      <c r="K1229" t="s">
        <v>34</v>
      </c>
      <c r="M1229" s="1" t="s">
        <v>35</v>
      </c>
      <c r="N1229" s="1">
        <v>42318949</v>
      </c>
      <c r="O1229" s="1" t="s">
        <v>105</v>
      </c>
      <c r="P1229" s="11" t="s">
        <v>2056</v>
      </c>
      <c r="R1229" s="1" t="s">
        <v>38</v>
      </c>
      <c r="T1229" s="1" t="s">
        <v>74</v>
      </c>
      <c r="U1229" s="11" t="s">
        <v>2057</v>
      </c>
      <c r="V1229" s="1" t="s">
        <v>41</v>
      </c>
      <c r="W1229" s="1" t="s">
        <v>49</v>
      </c>
      <c r="Z1229" s="14">
        <v>1</v>
      </c>
      <c r="AA1229" s="14"/>
    </row>
    <row r="1230" spans="1:32" hidden="1">
      <c r="A1230" s="1">
        <v>9395577</v>
      </c>
      <c r="B1230" s="1" t="s">
        <v>1153</v>
      </c>
      <c r="C1230" t="s">
        <v>2019</v>
      </c>
      <c r="D1230" s="2">
        <v>20234844000256</v>
      </c>
      <c r="E1230" s="2">
        <v>7419151140206</v>
      </c>
      <c r="F1230" s="1" t="s">
        <v>2058</v>
      </c>
      <c r="G1230" s="1" t="s">
        <v>53</v>
      </c>
      <c r="H1230" s="1" t="s">
        <v>2059</v>
      </c>
      <c r="I1230" s="1" t="s">
        <v>2060</v>
      </c>
      <c r="J1230" s="1" t="s">
        <v>46</v>
      </c>
      <c r="K1230" t="s">
        <v>2061</v>
      </c>
      <c r="M1230" s="1" t="s">
        <v>58</v>
      </c>
      <c r="N1230" s="1">
        <v>0</v>
      </c>
      <c r="O1230" s="1" t="s">
        <v>36</v>
      </c>
      <c r="P1230" s="11" t="s">
        <v>2062</v>
      </c>
      <c r="R1230" s="1">
        <v>13</v>
      </c>
      <c r="T1230" s="1" t="s">
        <v>238</v>
      </c>
      <c r="U1230" s="11" t="s">
        <v>2062</v>
      </c>
      <c r="V1230" s="1" t="s">
        <v>41</v>
      </c>
      <c r="W1230" s="1" t="s">
        <v>49</v>
      </c>
      <c r="Z1230" s="14">
        <v>1</v>
      </c>
      <c r="AA1230" s="14"/>
    </row>
    <row r="1231" spans="1:32" hidden="1">
      <c r="A1231" s="1">
        <v>9395035</v>
      </c>
      <c r="B1231" s="1" t="s">
        <v>81</v>
      </c>
      <c r="C1231" t="s">
        <v>2063</v>
      </c>
      <c r="E1231" s="2">
        <v>7417163050344</v>
      </c>
      <c r="F1231" s="1" t="s">
        <v>1741</v>
      </c>
      <c r="G1231" s="1" t="s">
        <v>53</v>
      </c>
      <c r="H1231" s="1" t="s">
        <v>2064</v>
      </c>
      <c r="I1231" s="1" t="s">
        <v>2065</v>
      </c>
      <c r="J1231" s="1" t="s">
        <v>46</v>
      </c>
      <c r="K1231" t="s">
        <v>1744</v>
      </c>
      <c r="M1231" s="1" t="s">
        <v>58</v>
      </c>
      <c r="N1231" s="1">
        <v>0</v>
      </c>
      <c r="O1231" s="1" t="s">
        <v>105</v>
      </c>
      <c r="P1231" s="11" t="s">
        <v>2066</v>
      </c>
      <c r="R1231" s="1">
        <v>14</v>
      </c>
      <c r="T1231" s="1" t="s">
        <v>238</v>
      </c>
      <c r="U1231" s="11" t="s">
        <v>2067</v>
      </c>
      <c r="V1231" s="1" t="s">
        <v>41</v>
      </c>
      <c r="W1231" s="1" t="s">
        <v>49</v>
      </c>
      <c r="Z1231" s="14">
        <v>1</v>
      </c>
      <c r="AA1231" s="14"/>
    </row>
    <row r="1232" spans="1:32" hidden="1">
      <c r="A1232" s="1">
        <v>9409622</v>
      </c>
      <c r="B1232" s="1" t="s">
        <v>1153</v>
      </c>
      <c r="C1232" t="s">
        <v>2068</v>
      </c>
      <c r="E1232" s="2">
        <v>1902016019600</v>
      </c>
      <c r="F1232" s="1" t="s">
        <v>64</v>
      </c>
      <c r="G1232" s="1" t="s">
        <v>53</v>
      </c>
      <c r="H1232" s="1" t="s">
        <v>1060</v>
      </c>
      <c r="I1232" s="1" t="s">
        <v>1061</v>
      </c>
      <c r="J1232" s="1" t="s">
        <v>79</v>
      </c>
      <c r="K1232" t="s">
        <v>67</v>
      </c>
      <c r="M1232" s="1" t="s">
        <v>35</v>
      </c>
      <c r="N1232" s="1">
        <v>42318949</v>
      </c>
      <c r="O1232" s="1" t="s">
        <v>36</v>
      </c>
      <c r="P1232" s="186">
        <v>44956.731458333335</v>
      </c>
      <c r="R1232" s="1" t="s">
        <v>571</v>
      </c>
      <c r="T1232" s="1" t="s">
        <v>69</v>
      </c>
      <c r="U1232" s="186">
        <v>44965.458333333336</v>
      </c>
      <c r="V1232" s="1" t="s">
        <v>41</v>
      </c>
      <c r="W1232" s="1" t="s">
        <v>49</v>
      </c>
      <c r="Z1232" s="14">
        <v>1</v>
      </c>
      <c r="AA1232" s="14"/>
    </row>
    <row r="1233" spans="1:32">
      <c r="A1233" s="1">
        <v>9409226</v>
      </c>
      <c r="B1233" s="1" t="s">
        <v>1153</v>
      </c>
      <c r="C1233" t="s">
        <v>2069</v>
      </c>
      <c r="D1233" s="2">
        <v>20232699000013</v>
      </c>
      <c r="E1233" s="2">
        <v>7419141894741</v>
      </c>
      <c r="F1233" s="1" t="s">
        <v>128</v>
      </c>
      <c r="G1233" s="1" t="s">
        <v>53</v>
      </c>
      <c r="H1233" s="1" t="s">
        <v>2070</v>
      </c>
      <c r="I1233" s="1" t="s">
        <v>2071</v>
      </c>
      <c r="J1233" s="1" t="s">
        <v>148</v>
      </c>
      <c r="K1233" t="s">
        <v>129</v>
      </c>
      <c r="M1233" s="1" t="s">
        <v>58</v>
      </c>
      <c r="N1233" s="1">
        <v>0</v>
      </c>
      <c r="O1233" s="1" t="s">
        <v>36</v>
      </c>
      <c r="P1233" s="186">
        <v>44956.66097222222</v>
      </c>
      <c r="R1233" s="1">
        <v>14</v>
      </c>
      <c r="T1233" s="1" t="s">
        <v>238</v>
      </c>
      <c r="U1233" s="186">
        <v>44956.66097222222</v>
      </c>
      <c r="V1233" s="1" t="s">
        <v>41</v>
      </c>
      <c r="W1233" s="1" t="s">
        <v>49</v>
      </c>
      <c r="X1233" s="13" t="str">
        <f t="shared" ref="X1233" si="119">IF(RIGHT(H1233,2)&lt;&gt;"00",H1233,"")</f>
        <v>2699.91</v>
      </c>
      <c r="Y1233" s="2">
        <f t="shared" ref="Y1233" ca="1" si="120">NETWORKDAYS(P1233,$Y$1)</f>
        <v>23</v>
      </c>
      <c r="Z1233" s="14">
        <v>1</v>
      </c>
      <c r="AA1233" s="1" t="str">
        <f t="shared" ref="AA1233" ca="1" si="121">IF(AE1233=0,"HOJE",IF(AE1233&gt;0,"A VENCER",IF(AE1233&lt;0,"VENCIDO")))</f>
        <v>VENCIDO</v>
      </c>
      <c r="AB1233" s="1" t="str">
        <f t="shared" ref="AB1233" si="122">IF(F1233="GRPE-000001","C-14",IF(F1233="GRPE-000002","C-14",IF(F1233="GRPE-000003","C-14",IF(F1233="GRPE-000004","SL-On",IF(F1233="GRPE-000038","C-14",IF(F1233="GRPE-900022","Dosa",IF(F1233="GRPE-000029","Dosa",IF(F1233="ATOS-000222","Dose","TAAe+"))))))))</f>
        <v>TAAe+</v>
      </c>
      <c r="AC1233" s="2" t="str">
        <f t="shared" ref="AC1233" si="123">IF(J1233="TR-PETROLINA"," ROSEMERE ",IF(J1233="TR-GARANHUNS"," ROSEMERE ",IF(J1233="TR-CARUARU"," ROSEMERE ",IF(J1233="TR-RIBEIRAO"," CRISTINA ",IF(J1233="TR-GRAVATA"," CRISTINA ",IF(J1233="TR-GOIANA"," CRISTINA ",IF(J1233="TR-LIMOEIRO"," CRISTINA ",IF(J1233="TR-SERRA TALHADA"," RINALDO ",IF(J1233="TR-SALGUEIRO"," RINALDO ",IF(J1233="TR-CARNAIBA"," RINALDO ",IF(J1233="TR-ARCOVERDE"," RINALDO ",IF(J1233="CAT-RECIFE"," CLEITON ",))))))))))))</f>
        <v xml:space="preserve"> RINALDO </v>
      </c>
      <c r="AD1233" s="2">
        <f t="shared" ref="AD1233" si="124">IF(F1233="GRPE-000001",5,IF(F1233="GRPE-000002",5,IF(F1233="GRPE-000003",15,IF(F1233="GRPE-000004",1,IF(F1233="GRPE-000038",5,IF(F1233="GRPE-900022",5,IF(F1233="GRPE-000029",5,IF(F1233="ATOS-000222",5,8))))))))</f>
        <v>8</v>
      </c>
      <c r="AE1233" s="2">
        <f t="shared" ref="AE1233" ca="1" si="125">IF(U1233=$AE$1,"",U1233-$AE$1)</f>
        <v>-30.01529942129855</v>
      </c>
      <c r="AF1233" s="15"/>
    </row>
    <row r="1234" spans="1:32" hidden="1">
      <c r="A1234" s="1">
        <v>9408142</v>
      </c>
      <c r="B1234" s="1" t="s">
        <v>1153</v>
      </c>
      <c r="C1234" t="s">
        <v>2072</v>
      </c>
      <c r="E1234" s="2">
        <v>9704000206021</v>
      </c>
      <c r="F1234" s="1" t="s">
        <v>103</v>
      </c>
      <c r="G1234" s="1" t="s">
        <v>53</v>
      </c>
      <c r="H1234" s="1" t="s">
        <v>488</v>
      </c>
      <c r="I1234" s="1" t="s">
        <v>489</v>
      </c>
      <c r="J1234" s="1" t="s">
        <v>164</v>
      </c>
      <c r="K1234" t="s">
        <v>104</v>
      </c>
      <c r="M1234" s="1" t="s">
        <v>58</v>
      </c>
      <c r="N1234" s="1">
        <v>0</v>
      </c>
      <c r="O1234" s="1" t="s">
        <v>36</v>
      </c>
      <c r="P1234" s="11" t="s">
        <v>2073</v>
      </c>
      <c r="R1234" s="1" t="s">
        <v>38</v>
      </c>
      <c r="T1234" s="1" t="s">
        <v>74</v>
      </c>
      <c r="U1234" s="12">
        <v>44972.458333333336</v>
      </c>
      <c r="V1234" s="1" t="s">
        <v>41</v>
      </c>
      <c r="W1234" s="1" t="s">
        <v>49</v>
      </c>
      <c r="Z1234" s="14">
        <v>1</v>
      </c>
      <c r="AA1234" s="14"/>
    </row>
    <row r="1235" spans="1:32" hidden="1">
      <c r="A1235" s="1">
        <v>9407778</v>
      </c>
      <c r="B1235" s="1" t="s">
        <v>1153</v>
      </c>
      <c r="C1235" t="s">
        <v>2074</v>
      </c>
      <c r="D1235" s="2">
        <v>20230220000014</v>
      </c>
      <c r="E1235" s="2">
        <v>7417163284481</v>
      </c>
      <c r="F1235" s="1" t="s">
        <v>131</v>
      </c>
      <c r="G1235" s="1" t="s">
        <v>53</v>
      </c>
      <c r="H1235" s="1" t="s">
        <v>2030</v>
      </c>
      <c r="I1235" s="1" t="s">
        <v>2031</v>
      </c>
      <c r="J1235" s="1" t="s">
        <v>110</v>
      </c>
      <c r="K1235" t="s">
        <v>132</v>
      </c>
      <c r="M1235" s="1" t="s">
        <v>58</v>
      </c>
      <c r="N1235" s="1">
        <v>0</v>
      </c>
      <c r="O1235" s="1" t="s">
        <v>36</v>
      </c>
      <c r="P1235" s="11" t="s">
        <v>2075</v>
      </c>
      <c r="R1235" s="1">
        <v>14</v>
      </c>
      <c r="T1235" s="1" t="s">
        <v>238</v>
      </c>
      <c r="U1235" s="11" t="s">
        <v>2075</v>
      </c>
      <c r="V1235" s="1" t="s">
        <v>41</v>
      </c>
      <c r="W1235" s="1" t="s">
        <v>49</v>
      </c>
      <c r="Z1235" s="14">
        <v>1</v>
      </c>
      <c r="AA1235" s="14"/>
    </row>
    <row r="1236" spans="1:32">
      <c r="A1236" s="181">
        <v>9413534</v>
      </c>
      <c r="B1236" s="181" t="s">
        <v>1153</v>
      </c>
      <c r="C1236" s="182" t="s">
        <v>2076</v>
      </c>
      <c r="D1236" s="183">
        <v>20231162000004</v>
      </c>
      <c r="E1236" s="183">
        <v>7417211830409</v>
      </c>
      <c r="F1236" s="181" t="s">
        <v>1936</v>
      </c>
      <c r="G1236" s="181" t="s">
        <v>53</v>
      </c>
      <c r="H1236" s="181" t="s">
        <v>2077</v>
      </c>
      <c r="I1236" s="181" t="s">
        <v>2078</v>
      </c>
      <c r="J1236" s="181" t="s">
        <v>211</v>
      </c>
      <c r="K1236" t="s">
        <v>1939</v>
      </c>
      <c r="M1236" s="1" t="s">
        <v>58</v>
      </c>
      <c r="N1236" s="1">
        <v>0</v>
      </c>
      <c r="O1236" s="1" t="s">
        <v>36</v>
      </c>
      <c r="P1236" s="12">
        <v>44957.581342592595</v>
      </c>
      <c r="R1236" s="1">
        <v>14</v>
      </c>
      <c r="T1236" s="1" t="s">
        <v>238</v>
      </c>
      <c r="U1236" s="12">
        <v>44957.581342592595</v>
      </c>
      <c r="V1236" s="1" t="s">
        <v>41</v>
      </c>
      <c r="W1236" s="1" t="s">
        <v>49</v>
      </c>
      <c r="X1236" s="13" t="str">
        <f t="shared" ref="X1236" si="126">IF(RIGHT(H1236,2)&lt;&gt;"00",H1236,"")</f>
        <v>1162.91</v>
      </c>
      <c r="Y1236" s="2">
        <f t="shared" ref="Y1236" ca="1" si="127">NETWORKDAYS(P1236,$Y$1)</f>
        <v>22</v>
      </c>
      <c r="Z1236" s="14">
        <v>1</v>
      </c>
      <c r="AA1236" s="1" t="str">
        <f t="shared" ref="AA1236" ca="1" si="128">IF(AE1236=0,"HOJE",IF(AE1236&gt;0,"A VENCER",IF(AE1236&lt;0,"VENCIDO")))</f>
        <v>VENCIDO</v>
      </c>
      <c r="AB1236" s="1" t="str">
        <f t="shared" ref="AB1236" si="129">IF(F1236="GRPE-000001","C-14",IF(F1236="GRPE-000002","C-14",IF(F1236="GRPE-000003","C-14",IF(F1236="GRPE-000004","SL-On",IF(F1236="GRPE-000038","C-14",IF(F1236="GRPE-900022","Dosa",IF(F1236="GRPE-000029","Dosa",IF(F1236="ATOS-000222","Dose","TAAe+"))))))))</f>
        <v>TAAe+</v>
      </c>
      <c r="AC1236" s="2" t="str">
        <f t="shared" ref="AC1236" si="130">IF(J1236="TR-PETROLINA"," ROSEMERE ",IF(J1236="TR-GARANHUNS"," ROSEMERE ",IF(J1236="TR-CARUARU"," ROSEMERE ",IF(J1236="TR-RIBEIRAO"," CRISTINA ",IF(J1236="TR-GRAVATA"," CRISTINA ",IF(J1236="TR-GOIANA"," CRISTINA ",IF(J1236="TR-LIMOEIRO"," CRISTINA ",IF(J1236="TR-SERRA TALHADA"," RINALDO ",IF(J1236="TR-SALGUEIRO"," RINALDO ",IF(J1236="TR-CARNAIBA"," RINALDO ",IF(J1236="TR-ARCOVERDE"," RINALDO ",IF(J1236="CAT-RECIFE"," CLEITON ",))))))))))))</f>
        <v xml:space="preserve"> RINALDO </v>
      </c>
      <c r="AD1236" s="2">
        <f t="shared" ref="AD1236" si="131">IF(F1236="GRPE-000001",5,IF(F1236="GRPE-000002",5,IF(F1236="GRPE-000003",15,IF(F1236="GRPE-000004",1,IF(F1236="GRPE-000038",5,IF(F1236="GRPE-900022",5,IF(F1236="GRPE-000029",5,IF(F1236="ATOS-000222",5,8))))))))</f>
        <v>8</v>
      </c>
      <c r="AE1236" s="2">
        <f t="shared" ref="AE1236" ca="1" si="132">IF(U1236=$AE$1,"",U1236-$AE$1)</f>
        <v>-29.094929050923383</v>
      </c>
      <c r="AF1236" s="15"/>
    </row>
    <row r="1237" spans="1:32" hidden="1">
      <c r="A1237" s="1">
        <v>9413399</v>
      </c>
      <c r="B1237" s="1" t="s">
        <v>1153</v>
      </c>
      <c r="C1237" t="s">
        <v>2079</v>
      </c>
      <c r="D1237" s="2">
        <v>230015482</v>
      </c>
      <c r="E1237" s="2">
        <v>232001400010</v>
      </c>
      <c r="F1237" s="1" t="s">
        <v>936</v>
      </c>
      <c r="G1237" s="1" t="s">
        <v>53</v>
      </c>
      <c r="H1237" s="1" t="s">
        <v>1363</v>
      </c>
      <c r="I1237" s="1" t="s">
        <v>1364</v>
      </c>
      <c r="J1237" s="1" t="s">
        <v>141</v>
      </c>
      <c r="K1237" t="s">
        <v>937</v>
      </c>
      <c r="M1237" s="1" t="s">
        <v>58</v>
      </c>
      <c r="N1237" s="1">
        <v>0</v>
      </c>
      <c r="O1237" s="1" t="s">
        <v>36</v>
      </c>
      <c r="P1237" s="11" t="s">
        <v>2080</v>
      </c>
      <c r="R1237" s="1">
        <v>3</v>
      </c>
      <c r="T1237" s="1" t="s">
        <v>646</v>
      </c>
      <c r="U1237" s="11" t="s">
        <v>2081</v>
      </c>
      <c r="V1237" s="1" t="s">
        <v>41</v>
      </c>
      <c r="W1237" s="1" t="s">
        <v>49</v>
      </c>
      <c r="Z1237" s="14">
        <v>1</v>
      </c>
      <c r="AA1237" s="14"/>
    </row>
    <row r="1238" spans="1:32" hidden="1">
      <c r="A1238" s="1">
        <v>9413262</v>
      </c>
      <c r="B1238" s="1" t="s">
        <v>1153</v>
      </c>
      <c r="C1238" t="s">
        <v>2082</v>
      </c>
      <c r="D1238" s="2">
        <v>20234844000294</v>
      </c>
      <c r="E1238" s="2">
        <v>7417161484652</v>
      </c>
      <c r="F1238" s="1" t="s">
        <v>1217</v>
      </c>
      <c r="G1238" s="1" t="s">
        <v>53</v>
      </c>
      <c r="H1238" s="1" t="s">
        <v>2083</v>
      </c>
      <c r="I1238" s="1" t="s">
        <v>2084</v>
      </c>
      <c r="J1238" s="1" t="s">
        <v>46</v>
      </c>
      <c r="K1238" t="s">
        <v>1218</v>
      </c>
      <c r="M1238" s="1" t="s">
        <v>58</v>
      </c>
      <c r="N1238" s="1">
        <v>0</v>
      </c>
      <c r="O1238" s="1" t="s">
        <v>36</v>
      </c>
      <c r="P1238" s="11" t="s">
        <v>2085</v>
      </c>
      <c r="R1238" s="1">
        <v>13</v>
      </c>
      <c r="T1238" s="1" t="s">
        <v>238</v>
      </c>
      <c r="U1238" s="11" t="s">
        <v>2085</v>
      </c>
      <c r="V1238" s="1" t="s">
        <v>41</v>
      </c>
      <c r="W1238" s="1" t="s">
        <v>49</v>
      </c>
      <c r="Z1238" s="14">
        <v>1</v>
      </c>
      <c r="AA1238" s="14"/>
    </row>
    <row r="1239" spans="1:32" hidden="1">
      <c r="A1239" s="1">
        <v>9412850</v>
      </c>
      <c r="B1239" s="1" t="s">
        <v>1153</v>
      </c>
      <c r="C1239" t="s">
        <v>2086</v>
      </c>
      <c r="D1239" s="2">
        <v>20234844000293</v>
      </c>
      <c r="E1239" s="2">
        <v>7419141893533</v>
      </c>
      <c r="F1239" s="1" t="s">
        <v>128</v>
      </c>
      <c r="G1239" s="1" t="s">
        <v>53</v>
      </c>
      <c r="H1239" s="179" t="s">
        <v>2087</v>
      </c>
      <c r="I1239" s="1" t="s">
        <v>2088</v>
      </c>
      <c r="J1239" s="1" t="s">
        <v>46</v>
      </c>
      <c r="K1239" t="s">
        <v>129</v>
      </c>
      <c r="M1239" s="1" t="s">
        <v>58</v>
      </c>
      <c r="N1239" s="1">
        <v>0</v>
      </c>
      <c r="O1239" s="1" t="s">
        <v>36</v>
      </c>
      <c r="P1239" s="11" t="s">
        <v>2089</v>
      </c>
      <c r="R1239" s="1">
        <v>13</v>
      </c>
      <c r="T1239" s="1" t="s">
        <v>238</v>
      </c>
      <c r="U1239" s="11" t="s">
        <v>2089</v>
      </c>
      <c r="V1239" s="1" t="s">
        <v>41</v>
      </c>
      <c r="W1239" s="1" t="s">
        <v>49</v>
      </c>
      <c r="Z1239" s="14">
        <v>1</v>
      </c>
    </row>
    <row r="1240" spans="1:32" hidden="1">
      <c r="A1240" s="1">
        <v>9412497</v>
      </c>
      <c r="B1240" s="1" t="s">
        <v>1153</v>
      </c>
      <c r="C1240" t="s">
        <v>2090</v>
      </c>
      <c r="D1240" s="2">
        <v>20230067000011</v>
      </c>
      <c r="E1240" s="2">
        <v>7419141892110</v>
      </c>
      <c r="F1240" s="1" t="s">
        <v>128</v>
      </c>
      <c r="G1240" s="1" t="s">
        <v>53</v>
      </c>
      <c r="H1240" s="1" t="s">
        <v>2091</v>
      </c>
      <c r="I1240" s="1" t="s">
        <v>2092</v>
      </c>
      <c r="J1240" s="1" t="s">
        <v>164</v>
      </c>
      <c r="K1240" t="s">
        <v>129</v>
      </c>
      <c r="M1240" s="1" t="s">
        <v>58</v>
      </c>
      <c r="N1240" s="1">
        <v>0</v>
      </c>
      <c r="O1240" s="1" t="s">
        <v>36</v>
      </c>
      <c r="P1240" s="11" t="s">
        <v>2093</v>
      </c>
      <c r="R1240" s="1">
        <v>14</v>
      </c>
      <c r="T1240" s="1" t="s">
        <v>238</v>
      </c>
      <c r="U1240" s="11" t="s">
        <v>2093</v>
      </c>
      <c r="V1240" s="1" t="s">
        <v>41</v>
      </c>
      <c r="W1240" s="1" t="s">
        <v>49</v>
      </c>
      <c r="Z1240" s="14">
        <v>1</v>
      </c>
    </row>
    <row r="1241" spans="1:32">
      <c r="A1241" s="181">
        <v>9412469</v>
      </c>
      <c r="B1241" s="181" t="s">
        <v>1153</v>
      </c>
      <c r="C1241" s="182" t="s">
        <v>2094</v>
      </c>
      <c r="D1241" s="183"/>
      <c r="E1241" s="183">
        <v>246000206001</v>
      </c>
      <c r="F1241" s="181" t="s">
        <v>29</v>
      </c>
      <c r="G1241" s="181" t="s">
        <v>53</v>
      </c>
      <c r="H1241" s="181" t="s">
        <v>1193</v>
      </c>
      <c r="I1241" s="181" t="s">
        <v>1194</v>
      </c>
      <c r="J1241" s="181" t="s">
        <v>85</v>
      </c>
      <c r="K1241" t="s">
        <v>34</v>
      </c>
      <c r="M1241" s="1" t="s">
        <v>35</v>
      </c>
      <c r="N1241" s="1">
        <v>42318949</v>
      </c>
      <c r="O1241" s="1" t="s">
        <v>36</v>
      </c>
      <c r="P1241" s="12">
        <v>44957.448506944442</v>
      </c>
      <c r="R1241" s="1" t="s">
        <v>38</v>
      </c>
      <c r="T1241" s="1" t="s">
        <v>74</v>
      </c>
      <c r="U1241" s="12">
        <v>44973.649305555555</v>
      </c>
      <c r="V1241" s="1" t="s">
        <v>41</v>
      </c>
      <c r="W1241" s="1" t="s">
        <v>49</v>
      </c>
      <c r="X1241" s="13" t="str">
        <f t="shared" ref="X1241" si="133">IF(RIGHT(H1241,2)&lt;&gt;"00",H1241,"")</f>
        <v/>
      </c>
      <c r="Y1241" s="2">
        <f t="shared" ref="Y1241" ca="1" si="134">NETWORKDAYS(P1241,$Y$1)</f>
        <v>22</v>
      </c>
      <c r="Z1241" s="14">
        <v>1</v>
      </c>
      <c r="AA1241" s="1" t="str">
        <f t="shared" ref="AA1241" ca="1" si="135">IF(AE1241=0,"HOJE",IF(AE1241&gt;0,"A VENCER",IF(AE1241&lt;0,"VENCIDO")))</f>
        <v>VENCIDO</v>
      </c>
      <c r="AB1241" s="1" t="str">
        <f t="shared" ref="AB1241" si="136">IF(F1241="GRPE-000001","C-14",IF(F1241="GRPE-000002","C-14",IF(F1241="GRPE-000003","C-14",IF(F1241="GRPE-000004","SL-On",IF(F1241="GRPE-000038","C-14",IF(F1241="GRPE-900022","Dosa",IF(F1241="GRPE-000029","Dosa",IF(F1241="ATOS-000222","Dose","TAAe+"))))))))</f>
        <v>Dosa</v>
      </c>
      <c r="AC1241" s="2" t="str">
        <f t="shared" ref="AC1241" si="137">IF(J1241="TR-PETROLINA"," ROSEMERE ",IF(J1241="TR-GARANHUNS"," ROSEMERE ",IF(J1241="TR-CARUARU"," ROSEMERE ",IF(J1241="TR-RIBEIRAO"," CRISTINA ",IF(J1241="TR-GRAVATA"," CRISTINA ",IF(J1241="TR-GOIANA"," CRISTINA ",IF(J1241="TR-LIMOEIRO"," CRISTINA ",IF(J1241="TR-SERRA TALHADA"," RINALDO ",IF(J1241="TR-SALGUEIRO"," RINALDO ",IF(J1241="TR-CARNAIBA"," RINALDO ",IF(J1241="TR-ARCOVERDE"," RINALDO ",IF(J1241="CAT-RECIFE"," CLEITON ",))))))))))))</f>
        <v xml:space="preserve"> RINALDO </v>
      </c>
      <c r="AD1241" s="2">
        <f t="shared" ref="AD1241" si="138">IF(F1241="GRPE-000001",5,IF(F1241="GRPE-000002",5,IF(F1241="GRPE-000003",15,IF(F1241="GRPE-000004",1,IF(F1241="GRPE-000038",5,IF(F1241="GRPE-900022",5,IF(F1241="GRPE-000029",5,IF(F1241="ATOS-000222",5,8))))))))</f>
        <v>5</v>
      </c>
      <c r="AE1241" s="2">
        <f t="shared" ref="AE1241" ca="1" si="139">IF(U1241=$AE$1,"",U1241-$AE$1)</f>
        <v>-13.026966087963956</v>
      </c>
      <c r="AF1241" s="15"/>
    </row>
    <row r="1242" spans="1:32" hidden="1">
      <c r="A1242" s="1">
        <v>9412308</v>
      </c>
      <c r="B1242" s="1" t="s">
        <v>1153</v>
      </c>
      <c r="C1242" t="s">
        <v>2095</v>
      </c>
      <c r="D1242" s="2">
        <v>230015317</v>
      </c>
      <c r="E1242" s="2">
        <v>2365001400030</v>
      </c>
      <c r="F1242" s="1" t="s">
        <v>647</v>
      </c>
      <c r="G1242" s="1" t="s">
        <v>53</v>
      </c>
      <c r="H1242" s="1" t="s">
        <v>159</v>
      </c>
      <c r="I1242" s="1" t="s">
        <v>160</v>
      </c>
      <c r="J1242" s="1" t="s">
        <v>46</v>
      </c>
      <c r="K1242" t="s">
        <v>650</v>
      </c>
      <c r="M1242" s="1" t="s">
        <v>58</v>
      </c>
      <c r="N1242" s="1">
        <v>0</v>
      </c>
      <c r="O1242" s="1" t="s">
        <v>36</v>
      </c>
      <c r="P1242" s="186">
        <v>44957.43917824074</v>
      </c>
      <c r="R1242" s="1">
        <v>4</v>
      </c>
      <c r="T1242" s="1" t="s">
        <v>646</v>
      </c>
      <c r="U1242" s="186">
        <v>44965.645833333336</v>
      </c>
      <c r="V1242" s="1" t="s">
        <v>41</v>
      </c>
      <c r="W1242" s="1" t="s">
        <v>49</v>
      </c>
      <c r="Z1242" s="14">
        <v>1</v>
      </c>
    </row>
    <row r="1243" spans="1:32" hidden="1">
      <c r="A1243" s="1">
        <v>9423972</v>
      </c>
      <c r="B1243" s="1" t="s">
        <v>101</v>
      </c>
      <c r="C1243" t="s">
        <v>643</v>
      </c>
      <c r="D1243" s="1">
        <v>230021460</v>
      </c>
      <c r="E1243" s="1">
        <v>2196001400040</v>
      </c>
      <c r="F1243" s="1" t="s">
        <v>644</v>
      </c>
      <c r="G1243" s="1" t="s">
        <v>53</v>
      </c>
      <c r="H1243" s="1" t="s">
        <v>1252</v>
      </c>
      <c r="I1243" s="1" t="s">
        <v>1253</v>
      </c>
      <c r="J1243" s="1" t="s">
        <v>33</v>
      </c>
      <c r="K1243" t="s">
        <v>645</v>
      </c>
      <c r="M1243" s="1" t="s">
        <v>58</v>
      </c>
      <c r="N1243" s="1">
        <v>0</v>
      </c>
      <c r="O1243" s="1" t="s">
        <v>105</v>
      </c>
      <c r="P1243" s="11" t="s">
        <v>2096</v>
      </c>
      <c r="R1243" s="1">
        <v>2</v>
      </c>
      <c r="T1243" s="1" t="s">
        <v>646</v>
      </c>
      <c r="U1243" s="11" t="s">
        <v>2097</v>
      </c>
      <c r="V1243" s="1" t="s">
        <v>41</v>
      </c>
      <c r="W1243" s="1" t="s">
        <v>42</v>
      </c>
      <c r="Z1243" s="14">
        <v>1</v>
      </c>
    </row>
    <row r="1244" spans="1:32">
      <c r="A1244" s="1">
        <v>9423924</v>
      </c>
      <c r="B1244" s="1" t="s">
        <v>101</v>
      </c>
      <c r="C1244" t="s">
        <v>643</v>
      </c>
      <c r="D1244" s="2">
        <v>230021340</v>
      </c>
      <c r="E1244" s="2">
        <v>1764001400040</v>
      </c>
      <c r="F1244" s="1" t="s">
        <v>644</v>
      </c>
      <c r="G1244" s="1" t="s">
        <v>53</v>
      </c>
      <c r="H1244" s="1" t="s">
        <v>722</v>
      </c>
      <c r="I1244" s="1" t="s">
        <v>723</v>
      </c>
      <c r="J1244" s="1" t="s">
        <v>90</v>
      </c>
      <c r="K1244" t="s">
        <v>645</v>
      </c>
      <c r="M1244" s="1" t="s">
        <v>58</v>
      </c>
      <c r="N1244" s="1">
        <v>0</v>
      </c>
      <c r="O1244" s="1" t="s">
        <v>105</v>
      </c>
      <c r="P1244" s="11" t="s">
        <v>2098</v>
      </c>
      <c r="R1244" s="1">
        <v>2</v>
      </c>
      <c r="T1244" s="1" t="s">
        <v>646</v>
      </c>
      <c r="U1244" s="11" t="s">
        <v>2099</v>
      </c>
      <c r="V1244" s="1" t="s">
        <v>41</v>
      </c>
      <c r="W1244" s="1" t="s">
        <v>49</v>
      </c>
      <c r="Z1244" s="14">
        <v>1</v>
      </c>
    </row>
    <row r="1245" spans="1:32" hidden="1">
      <c r="A1245" s="1">
        <v>9423901</v>
      </c>
      <c r="B1245" s="1" t="s">
        <v>101</v>
      </c>
      <c r="C1245" s="19" t="s">
        <v>643</v>
      </c>
      <c r="D1245" s="2">
        <v>230021685</v>
      </c>
      <c r="E1245" s="2">
        <v>2811001400040</v>
      </c>
      <c r="F1245" s="18" t="s">
        <v>644</v>
      </c>
      <c r="G1245" s="1" t="s">
        <v>53</v>
      </c>
      <c r="H1245" s="1" t="s">
        <v>44</v>
      </c>
      <c r="I1245" s="1" t="s">
        <v>45</v>
      </c>
      <c r="J1245" s="1" t="s">
        <v>46</v>
      </c>
      <c r="K1245" t="s">
        <v>645</v>
      </c>
      <c r="M1245" s="1" t="s">
        <v>58</v>
      </c>
      <c r="N1245" s="1">
        <v>0</v>
      </c>
      <c r="O1245" s="1" t="s">
        <v>105</v>
      </c>
      <c r="P1245" s="12">
        <v>44958.737662037034</v>
      </c>
      <c r="R1245" s="1">
        <v>3</v>
      </c>
      <c r="T1245" s="1" t="s">
        <v>646</v>
      </c>
      <c r="U1245" s="12">
        <v>44959.737662037034</v>
      </c>
      <c r="V1245" s="1" t="s">
        <v>41</v>
      </c>
      <c r="W1245" s="1" t="s">
        <v>49</v>
      </c>
      <c r="Z1245" s="14">
        <v>1</v>
      </c>
    </row>
    <row r="1246" spans="1:32" hidden="1">
      <c r="A1246" s="1">
        <v>9423771</v>
      </c>
      <c r="B1246" s="1" t="s">
        <v>101</v>
      </c>
      <c r="C1246" s="19" t="s">
        <v>643</v>
      </c>
      <c r="D1246" s="2">
        <v>230020921</v>
      </c>
      <c r="E1246" s="2">
        <v>721001400040</v>
      </c>
      <c r="F1246" s="18" t="s">
        <v>644</v>
      </c>
      <c r="G1246" s="1" t="s">
        <v>53</v>
      </c>
      <c r="H1246" s="1" t="s">
        <v>422</v>
      </c>
      <c r="I1246" s="1" t="s">
        <v>423</v>
      </c>
      <c r="J1246" s="1" t="s">
        <v>79</v>
      </c>
      <c r="K1246" t="s">
        <v>645</v>
      </c>
      <c r="M1246" s="1" t="s">
        <v>58</v>
      </c>
      <c r="N1246" s="1">
        <v>0</v>
      </c>
      <c r="O1246" s="1" t="s">
        <v>105</v>
      </c>
      <c r="P1246" s="11" t="s">
        <v>2100</v>
      </c>
      <c r="R1246" s="1">
        <v>3</v>
      </c>
      <c r="T1246" s="1" t="s">
        <v>646</v>
      </c>
      <c r="U1246" s="12">
        <v>44959.728668981479</v>
      </c>
      <c r="V1246" s="1" t="s">
        <v>41</v>
      </c>
      <c r="W1246" s="1" t="s">
        <v>49</v>
      </c>
      <c r="Z1246" s="14">
        <v>1</v>
      </c>
    </row>
    <row r="1247" spans="1:32" hidden="1">
      <c r="A1247" s="1">
        <v>9423767</v>
      </c>
      <c r="B1247" s="1" t="s">
        <v>101</v>
      </c>
      <c r="C1247" t="s">
        <v>643</v>
      </c>
      <c r="D1247" s="2">
        <v>230020919</v>
      </c>
      <c r="E1247" s="2">
        <v>711001400040</v>
      </c>
      <c r="F1247" s="1" t="s">
        <v>644</v>
      </c>
      <c r="G1247" s="1" t="s">
        <v>53</v>
      </c>
      <c r="H1247" s="1" t="s">
        <v>77</v>
      </c>
      <c r="I1247" s="1" t="s">
        <v>78</v>
      </c>
      <c r="J1247" s="1" t="s">
        <v>79</v>
      </c>
      <c r="K1247" t="s">
        <v>645</v>
      </c>
      <c r="M1247" s="1" t="s">
        <v>58</v>
      </c>
      <c r="N1247" s="1">
        <v>0</v>
      </c>
      <c r="O1247" s="1" t="s">
        <v>105</v>
      </c>
      <c r="P1247" s="11" t="s">
        <v>2101</v>
      </c>
      <c r="R1247" s="1">
        <v>2</v>
      </c>
      <c r="T1247" s="1" t="s">
        <v>646</v>
      </c>
      <c r="U1247" s="11" t="s">
        <v>2102</v>
      </c>
      <c r="V1247" s="1" t="s">
        <v>41</v>
      </c>
      <c r="W1247" s="1" t="s">
        <v>49</v>
      </c>
      <c r="Z1247" s="14">
        <v>1</v>
      </c>
    </row>
    <row r="1248" spans="1:32">
      <c r="A1248" s="1">
        <v>9423601</v>
      </c>
      <c r="B1248" s="1" t="s">
        <v>101</v>
      </c>
      <c r="C1248" t="s">
        <v>643</v>
      </c>
      <c r="D1248" s="2">
        <v>230020893</v>
      </c>
      <c r="E1248" s="2">
        <v>605001400040</v>
      </c>
      <c r="F1248" s="1" t="s">
        <v>644</v>
      </c>
      <c r="G1248" s="1" t="s">
        <v>53</v>
      </c>
      <c r="H1248" s="1" t="s">
        <v>420</v>
      </c>
      <c r="I1248" s="1" t="s">
        <v>421</v>
      </c>
      <c r="J1248" s="1" t="s">
        <v>90</v>
      </c>
      <c r="K1248" t="s">
        <v>645</v>
      </c>
      <c r="M1248" s="1" t="s">
        <v>58</v>
      </c>
      <c r="N1248" s="1">
        <v>0</v>
      </c>
      <c r="O1248" s="1" t="s">
        <v>105</v>
      </c>
      <c r="P1248" s="11" t="s">
        <v>2103</v>
      </c>
      <c r="R1248" s="1">
        <v>3</v>
      </c>
      <c r="T1248" s="1" t="s">
        <v>646</v>
      </c>
      <c r="U1248" s="11" t="s">
        <v>2104</v>
      </c>
      <c r="V1248" s="1" t="s">
        <v>41</v>
      </c>
      <c r="W1248" s="1" t="s">
        <v>49</v>
      </c>
      <c r="Z1248" s="14">
        <v>1</v>
      </c>
    </row>
    <row r="1249" spans="1:32">
      <c r="A1249" s="1">
        <v>9423596</v>
      </c>
      <c r="B1249" s="1" t="s">
        <v>101</v>
      </c>
      <c r="C1249" t="s">
        <v>643</v>
      </c>
      <c r="D1249" s="2">
        <v>230020890</v>
      </c>
      <c r="E1249" s="2">
        <v>600001400040</v>
      </c>
      <c r="F1249" s="18" t="s">
        <v>644</v>
      </c>
      <c r="G1249" s="1" t="s">
        <v>53</v>
      </c>
      <c r="H1249" s="1" t="s">
        <v>1084</v>
      </c>
      <c r="I1249" s="1" t="s">
        <v>1085</v>
      </c>
      <c r="J1249" s="1" t="s">
        <v>90</v>
      </c>
      <c r="K1249" t="s">
        <v>645</v>
      </c>
      <c r="M1249" s="1" t="s">
        <v>58</v>
      </c>
      <c r="N1249" s="1">
        <v>0</v>
      </c>
      <c r="O1249" s="1" t="s">
        <v>105</v>
      </c>
      <c r="P1249" s="11" t="s">
        <v>2105</v>
      </c>
      <c r="R1249" s="1">
        <v>2</v>
      </c>
      <c r="T1249" s="1" t="s">
        <v>646</v>
      </c>
      <c r="U1249" s="12">
        <v>44959.722094907411</v>
      </c>
      <c r="V1249" s="1" t="s">
        <v>41</v>
      </c>
      <c r="W1249" s="1" t="s">
        <v>49</v>
      </c>
      <c r="Z1249" s="14">
        <v>1</v>
      </c>
    </row>
    <row r="1250" spans="1:32">
      <c r="A1250" s="1">
        <v>9423590</v>
      </c>
      <c r="B1250" s="1" t="s">
        <v>1153</v>
      </c>
      <c r="C1250" s="182" t="s">
        <v>2106</v>
      </c>
      <c r="D1250" s="2">
        <v>20231028000006</v>
      </c>
      <c r="E1250" s="2">
        <v>7417163283625</v>
      </c>
      <c r="F1250" s="1" t="s">
        <v>131</v>
      </c>
      <c r="G1250" s="1" t="s">
        <v>53</v>
      </c>
      <c r="H1250" s="1" t="s">
        <v>2107</v>
      </c>
      <c r="I1250" s="1" t="s">
        <v>2108</v>
      </c>
      <c r="J1250" s="1" t="s">
        <v>85</v>
      </c>
      <c r="K1250" t="s">
        <v>132</v>
      </c>
      <c r="M1250" s="1" t="s">
        <v>58</v>
      </c>
      <c r="N1250" s="1">
        <v>0</v>
      </c>
      <c r="O1250" s="1" t="s">
        <v>36</v>
      </c>
      <c r="P1250" s="11" t="s">
        <v>2109</v>
      </c>
      <c r="R1250" s="1">
        <v>14</v>
      </c>
      <c r="T1250" s="1" t="s">
        <v>238</v>
      </c>
      <c r="U1250" s="11" t="s">
        <v>2109</v>
      </c>
      <c r="V1250" s="1" t="s">
        <v>41</v>
      </c>
      <c r="W1250" s="1" t="s">
        <v>49</v>
      </c>
      <c r="X1250" s="13" t="str">
        <f t="shared" ref="X1250" si="140">IF(RIGHT(H1250,2)&lt;&gt;"00",H1250,"")</f>
        <v>1028.91</v>
      </c>
      <c r="Y1250" s="2">
        <f t="shared" ref="Y1250" ca="1" si="141">NETWORKDAYS(P1250,$Y$1)</f>
        <v>21</v>
      </c>
      <c r="Z1250" s="14">
        <v>1</v>
      </c>
      <c r="AA1250" s="1" t="str">
        <f t="shared" ref="AA1250" ca="1" si="142">IF(AE1250=0,"HOJE",IF(AE1250&gt;0,"A VENCER",IF(AE1250&lt;0,"VENCIDO")))</f>
        <v>VENCIDO</v>
      </c>
      <c r="AB1250" s="1" t="str">
        <f t="shared" ref="AB1250" si="143">IF(F1250="GRPE-000001","C-14",IF(F1250="GRPE-000002","C-14",IF(F1250="GRPE-000003","C-14",IF(F1250="GRPE-000004","SL-On",IF(F1250="GRPE-000038","C-14",IF(F1250="GRPE-900022","Dosa",IF(F1250="GRPE-000029","Dosa",IF(F1250="ATOS-000222","Dose","TAAe+"))))))))</f>
        <v>TAAe+</v>
      </c>
      <c r="AC1250" s="2" t="str">
        <f t="shared" ref="AC1250" si="144">IF(J1250="TR-PETROLINA"," ROSEMERE ",IF(J1250="TR-GARANHUNS"," ROSEMERE ",IF(J1250="TR-CARUARU"," ROSEMERE ",IF(J1250="TR-RIBEIRAO"," CRISTINA ",IF(J1250="TR-GRAVATA"," CRISTINA ",IF(J1250="TR-GOIANA"," CRISTINA ",IF(J1250="TR-LIMOEIRO"," CRISTINA ",IF(J1250="TR-SERRA TALHADA"," RINALDO ",IF(J1250="TR-SALGUEIRO"," RINALDO ",IF(J1250="TR-CARNAIBA"," RINALDO ",IF(J1250="TR-ARCOVERDE"," RINALDO ",IF(J1250="CAT-RECIFE"," CLEITON ",))))))))))))</f>
        <v xml:space="preserve"> RINALDO </v>
      </c>
      <c r="AD1250" s="2">
        <f t="shared" ref="AD1250" si="145">IF(F1250="GRPE-000001",5,IF(F1250="GRPE-000002",5,IF(F1250="GRPE-000003",15,IF(F1250="GRPE-000004",1,IF(F1250="GRPE-000038",5,IF(F1250="GRPE-900022",5,IF(F1250="GRPE-000029",5,IF(F1250="ATOS-000222",5,8))))))))</f>
        <v>8</v>
      </c>
      <c r="AE1250" s="2">
        <f t="shared" ref="AE1250" ca="1" si="146">IF(U1250=$AE$1,"",U1250-$AE$1)</f>
        <v>-27.987185995370965</v>
      </c>
      <c r="AF1250" s="15"/>
    </row>
    <row r="1251" spans="1:32" hidden="1">
      <c r="A1251" s="1">
        <v>9423511</v>
      </c>
      <c r="B1251" s="1" t="s">
        <v>1153</v>
      </c>
      <c r="C1251" t="s">
        <v>2110</v>
      </c>
      <c r="D1251" s="2">
        <v>230022801</v>
      </c>
      <c r="E1251" s="2">
        <v>3250001400030</v>
      </c>
      <c r="F1251" s="1" t="s">
        <v>647</v>
      </c>
      <c r="G1251" s="1" t="s">
        <v>53</v>
      </c>
      <c r="H1251" s="1" t="s">
        <v>371</v>
      </c>
      <c r="I1251" s="1" t="s">
        <v>372</v>
      </c>
      <c r="J1251" s="1" t="s">
        <v>46</v>
      </c>
      <c r="K1251" t="s">
        <v>650</v>
      </c>
      <c r="M1251" s="1" t="s">
        <v>58</v>
      </c>
      <c r="N1251" s="1">
        <v>0</v>
      </c>
      <c r="O1251" s="1" t="s">
        <v>36</v>
      </c>
      <c r="P1251" s="11" t="s">
        <v>2111</v>
      </c>
      <c r="R1251" s="1">
        <v>4</v>
      </c>
      <c r="T1251" s="1" t="s">
        <v>646</v>
      </c>
      <c r="U1251" s="11" t="s">
        <v>2112</v>
      </c>
      <c r="V1251" s="1" t="s">
        <v>41</v>
      </c>
      <c r="W1251" s="1" t="s">
        <v>49</v>
      </c>
      <c r="Z1251" s="14">
        <v>1</v>
      </c>
    </row>
    <row r="1252" spans="1:32" hidden="1">
      <c r="A1252" s="1">
        <v>9423443</v>
      </c>
      <c r="B1252" s="1" t="s">
        <v>101</v>
      </c>
      <c r="C1252" t="s">
        <v>643</v>
      </c>
      <c r="D1252" s="2">
        <v>230021326</v>
      </c>
      <c r="E1252" s="2">
        <v>1739001400040</v>
      </c>
      <c r="F1252" s="1" t="s">
        <v>644</v>
      </c>
      <c r="G1252" s="1" t="s">
        <v>53</v>
      </c>
      <c r="H1252" s="1" t="s">
        <v>162</v>
      </c>
      <c r="I1252" s="1" t="s">
        <v>163</v>
      </c>
      <c r="J1252" s="1" t="s">
        <v>164</v>
      </c>
      <c r="K1252" t="s">
        <v>645</v>
      </c>
      <c r="M1252" s="1" t="s">
        <v>58</v>
      </c>
      <c r="N1252" s="1">
        <v>0</v>
      </c>
      <c r="O1252" s="1" t="s">
        <v>105</v>
      </c>
      <c r="P1252" s="11" t="s">
        <v>2113</v>
      </c>
      <c r="R1252" s="1">
        <v>3</v>
      </c>
      <c r="T1252" s="1" t="s">
        <v>646</v>
      </c>
      <c r="U1252" s="11" t="s">
        <v>2114</v>
      </c>
      <c r="V1252" s="1" t="s">
        <v>41</v>
      </c>
      <c r="W1252" s="1" t="s">
        <v>49</v>
      </c>
      <c r="Z1252" s="14">
        <v>1</v>
      </c>
    </row>
    <row r="1253" spans="1:32" hidden="1">
      <c r="A1253" s="1">
        <v>9423416</v>
      </c>
      <c r="B1253" s="1" t="s">
        <v>101</v>
      </c>
      <c r="C1253" t="s">
        <v>643</v>
      </c>
      <c r="D1253" s="2">
        <v>230021315</v>
      </c>
      <c r="E1253" s="2">
        <v>1710001400040</v>
      </c>
      <c r="F1253" s="1" t="s">
        <v>644</v>
      </c>
      <c r="G1253" s="1" t="s">
        <v>53</v>
      </c>
      <c r="H1253" s="1" t="s">
        <v>327</v>
      </c>
      <c r="I1253" s="1" t="s">
        <v>328</v>
      </c>
      <c r="J1253" s="1" t="s">
        <v>261</v>
      </c>
      <c r="K1253" t="s">
        <v>645</v>
      </c>
      <c r="M1253" s="1" t="s">
        <v>58</v>
      </c>
      <c r="N1253" s="1">
        <v>0</v>
      </c>
      <c r="O1253" s="1" t="s">
        <v>105</v>
      </c>
      <c r="P1253" s="11" t="s">
        <v>2115</v>
      </c>
      <c r="R1253" s="1">
        <v>2</v>
      </c>
      <c r="T1253" s="1" t="s">
        <v>646</v>
      </c>
      <c r="U1253" s="11" t="s">
        <v>2116</v>
      </c>
      <c r="V1253" s="1" t="s">
        <v>41</v>
      </c>
      <c r="W1253" s="1" t="s">
        <v>49</v>
      </c>
      <c r="Z1253" s="14">
        <v>1</v>
      </c>
    </row>
    <row r="1254" spans="1:32" hidden="1">
      <c r="A1254" s="1">
        <v>9423393</v>
      </c>
      <c r="B1254" s="1" t="s">
        <v>101</v>
      </c>
      <c r="C1254" t="s">
        <v>643</v>
      </c>
      <c r="D1254" s="2">
        <v>230021306</v>
      </c>
      <c r="E1254" s="2">
        <v>1689001400040</v>
      </c>
      <c r="F1254" s="1" t="s">
        <v>644</v>
      </c>
      <c r="G1254" s="1" t="s">
        <v>53</v>
      </c>
      <c r="H1254" s="1" t="s">
        <v>2117</v>
      </c>
      <c r="I1254" s="1" t="s">
        <v>2118</v>
      </c>
      <c r="J1254" s="1" t="s">
        <v>79</v>
      </c>
      <c r="K1254" t="s">
        <v>645</v>
      </c>
      <c r="M1254" s="1" t="s">
        <v>58</v>
      </c>
      <c r="N1254" s="1">
        <v>0</v>
      </c>
      <c r="O1254" s="1" t="s">
        <v>105</v>
      </c>
      <c r="P1254" s="11" t="s">
        <v>2119</v>
      </c>
      <c r="R1254" s="1">
        <v>2</v>
      </c>
      <c r="T1254" s="1" t="s">
        <v>646</v>
      </c>
      <c r="U1254" s="12">
        <v>44959.712106481478</v>
      </c>
      <c r="V1254" s="1" t="s">
        <v>41</v>
      </c>
      <c r="W1254" s="1" t="s">
        <v>49</v>
      </c>
      <c r="Z1254" s="14">
        <v>1</v>
      </c>
    </row>
    <row r="1255" spans="1:32" hidden="1">
      <c r="A1255" s="1">
        <v>9423359</v>
      </c>
      <c r="B1255" s="1" t="s">
        <v>101</v>
      </c>
      <c r="C1255" t="s">
        <v>643</v>
      </c>
      <c r="D1255" s="2">
        <v>230021290</v>
      </c>
      <c r="E1255" s="2">
        <v>1650001400040</v>
      </c>
      <c r="F1255" s="1" t="s">
        <v>644</v>
      </c>
      <c r="G1255" s="1" t="s">
        <v>53</v>
      </c>
      <c r="H1255" s="1" t="s">
        <v>620</v>
      </c>
      <c r="I1255" s="1" t="s">
        <v>621</v>
      </c>
      <c r="J1255" s="1" t="s">
        <v>141</v>
      </c>
      <c r="K1255" t="s">
        <v>645</v>
      </c>
      <c r="M1255" s="1" t="s">
        <v>58</v>
      </c>
      <c r="N1255" s="1">
        <v>0</v>
      </c>
      <c r="O1255" s="1" t="s">
        <v>105</v>
      </c>
      <c r="P1255" s="11" t="s">
        <v>2120</v>
      </c>
      <c r="R1255" s="1">
        <v>2</v>
      </c>
      <c r="T1255" s="1" t="s">
        <v>646</v>
      </c>
      <c r="U1255" s="11" t="s">
        <v>2121</v>
      </c>
      <c r="V1255" s="1" t="s">
        <v>41</v>
      </c>
      <c r="W1255" s="1" t="s">
        <v>49</v>
      </c>
      <c r="Z1255" s="14">
        <v>1</v>
      </c>
    </row>
    <row r="1256" spans="1:32" hidden="1">
      <c r="A1256" s="1">
        <v>9422929</v>
      </c>
      <c r="B1256" s="1" t="s">
        <v>101</v>
      </c>
      <c r="C1256" t="s">
        <v>643</v>
      </c>
      <c r="D1256" s="2">
        <v>230020003</v>
      </c>
      <c r="E1256" s="2">
        <v>2889031400030</v>
      </c>
      <c r="F1256" s="1" t="s">
        <v>647</v>
      </c>
      <c r="G1256" s="1" t="s">
        <v>53</v>
      </c>
      <c r="H1256" s="1" t="s">
        <v>801</v>
      </c>
      <c r="I1256" s="1" t="s">
        <v>802</v>
      </c>
      <c r="J1256" s="1" t="s">
        <v>46</v>
      </c>
      <c r="K1256" t="s">
        <v>650</v>
      </c>
      <c r="M1256" s="1" t="s">
        <v>58</v>
      </c>
      <c r="N1256" s="1">
        <v>0</v>
      </c>
      <c r="O1256" s="1" t="s">
        <v>105</v>
      </c>
      <c r="P1256" s="11" t="s">
        <v>2122</v>
      </c>
      <c r="R1256" s="1">
        <v>4</v>
      </c>
      <c r="T1256" s="1" t="s">
        <v>646</v>
      </c>
      <c r="U1256" s="11" t="s">
        <v>2123</v>
      </c>
      <c r="V1256" s="1" t="s">
        <v>41</v>
      </c>
      <c r="W1256" s="1" t="s">
        <v>49</v>
      </c>
      <c r="Z1256" s="14">
        <v>1</v>
      </c>
    </row>
    <row r="1257" spans="1:32" hidden="1">
      <c r="A1257" s="1">
        <v>9422926</v>
      </c>
      <c r="B1257" s="1" t="s">
        <v>101</v>
      </c>
      <c r="C1257" t="s">
        <v>643</v>
      </c>
      <c r="D1257" s="2">
        <v>230020002</v>
      </c>
      <c r="E1257" s="2">
        <v>2889011400030</v>
      </c>
      <c r="F1257" s="1" t="s">
        <v>647</v>
      </c>
      <c r="G1257" s="1" t="s">
        <v>53</v>
      </c>
      <c r="H1257" s="1" t="s">
        <v>805</v>
      </c>
      <c r="I1257" s="1" t="s">
        <v>806</v>
      </c>
      <c r="J1257" s="1" t="s">
        <v>46</v>
      </c>
      <c r="K1257" t="s">
        <v>650</v>
      </c>
      <c r="M1257" s="1" t="s">
        <v>58</v>
      </c>
      <c r="N1257" s="1">
        <v>0</v>
      </c>
      <c r="O1257" s="1" t="s">
        <v>105</v>
      </c>
      <c r="P1257" s="11" t="s">
        <v>2124</v>
      </c>
      <c r="R1257" s="1">
        <v>4</v>
      </c>
      <c r="T1257" s="1" t="s">
        <v>646</v>
      </c>
      <c r="U1257" s="11" t="s">
        <v>2125</v>
      </c>
      <c r="V1257" s="1" t="s">
        <v>41</v>
      </c>
      <c r="W1257" s="1" t="s">
        <v>49</v>
      </c>
      <c r="Z1257" s="14">
        <v>1</v>
      </c>
    </row>
    <row r="1258" spans="1:32" hidden="1">
      <c r="A1258" s="1">
        <v>9422925</v>
      </c>
      <c r="B1258" s="1" t="s">
        <v>101</v>
      </c>
      <c r="C1258" t="s">
        <v>643</v>
      </c>
      <c r="D1258" s="2">
        <v>230020001</v>
      </c>
      <c r="E1258" s="2">
        <v>2889001400030</v>
      </c>
      <c r="F1258" s="1" t="s">
        <v>647</v>
      </c>
      <c r="G1258" s="1" t="s">
        <v>53</v>
      </c>
      <c r="H1258" s="1" t="s">
        <v>418</v>
      </c>
      <c r="I1258" s="1" t="s">
        <v>419</v>
      </c>
      <c r="J1258" s="1" t="s">
        <v>46</v>
      </c>
      <c r="K1258" t="s">
        <v>650</v>
      </c>
      <c r="M1258" s="1" t="s">
        <v>58</v>
      </c>
      <c r="N1258" s="1">
        <v>0</v>
      </c>
      <c r="O1258" s="1" t="s">
        <v>105</v>
      </c>
      <c r="P1258" s="11" t="s">
        <v>2126</v>
      </c>
      <c r="R1258" s="1">
        <v>4</v>
      </c>
      <c r="T1258" s="1" t="s">
        <v>646</v>
      </c>
      <c r="U1258" s="11" t="s">
        <v>2127</v>
      </c>
      <c r="V1258" s="1" t="s">
        <v>41</v>
      </c>
      <c r="W1258" s="1" t="s">
        <v>49</v>
      </c>
      <c r="Z1258" s="14">
        <v>1</v>
      </c>
    </row>
    <row r="1259" spans="1:32">
      <c r="A1259" s="1">
        <v>9422866</v>
      </c>
      <c r="B1259" s="1" t="s">
        <v>101</v>
      </c>
      <c r="C1259" t="s">
        <v>643</v>
      </c>
      <c r="D1259" s="2">
        <v>230019683</v>
      </c>
      <c r="E1259" s="2">
        <v>2069001400030</v>
      </c>
      <c r="F1259" s="1" t="s">
        <v>647</v>
      </c>
      <c r="G1259" s="1" t="s">
        <v>53</v>
      </c>
      <c r="H1259" s="1" t="s">
        <v>557</v>
      </c>
      <c r="I1259" s="1" t="s">
        <v>558</v>
      </c>
      <c r="J1259" s="1" t="s">
        <v>90</v>
      </c>
      <c r="K1259" t="s">
        <v>650</v>
      </c>
      <c r="M1259" s="1" t="s">
        <v>58</v>
      </c>
      <c r="N1259" s="1">
        <v>0</v>
      </c>
      <c r="O1259" s="1" t="s">
        <v>105</v>
      </c>
      <c r="P1259" s="11" t="s">
        <v>2128</v>
      </c>
      <c r="R1259" s="1">
        <v>4</v>
      </c>
      <c r="T1259" s="1" t="s">
        <v>646</v>
      </c>
      <c r="U1259" s="11" t="s">
        <v>2129</v>
      </c>
      <c r="V1259" s="1" t="s">
        <v>41</v>
      </c>
      <c r="W1259" s="1" t="s">
        <v>49</v>
      </c>
      <c r="Z1259" s="14">
        <v>1</v>
      </c>
    </row>
    <row r="1260" spans="1:32" hidden="1">
      <c r="A1260" s="1">
        <v>9422852</v>
      </c>
      <c r="B1260" s="1" t="s">
        <v>1153</v>
      </c>
      <c r="C1260" t="s">
        <v>2130</v>
      </c>
      <c r="D1260" s="2">
        <v>20231689000005</v>
      </c>
      <c r="E1260" s="2">
        <v>7419141892184</v>
      </c>
      <c r="F1260" s="1" t="s">
        <v>128</v>
      </c>
      <c r="G1260" s="1" t="s">
        <v>53</v>
      </c>
      <c r="H1260" s="1" t="s">
        <v>2131</v>
      </c>
      <c r="I1260" s="1" t="s">
        <v>2132</v>
      </c>
      <c r="J1260" s="1" t="s">
        <v>79</v>
      </c>
      <c r="K1260" t="s">
        <v>129</v>
      </c>
      <c r="M1260" s="1" t="s">
        <v>58</v>
      </c>
      <c r="N1260" s="1">
        <v>0</v>
      </c>
      <c r="O1260" s="1" t="s">
        <v>36</v>
      </c>
      <c r="P1260" s="11" t="s">
        <v>2133</v>
      </c>
      <c r="R1260" s="1">
        <v>13</v>
      </c>
      <c r="T1260" s="1" t="s">
        <v>238</v>
      </c>
      <c r="U1260" s="11" t="s">
        <v>2133</v>
      </c>
      <c r="V1260" s="1" t="s">
        <v>41</v>
      </c>
      <c r="W1260" s="1" t="s">
        <v>49</v>
      </c>
      <c r="Z1260" s="14">
        <v>1</v>
      </c>
    </row>
    <row r="1261" spans="1:32" hidden="1">
      <c r="A1261" s="1">
        <v>9422511</v>
      </c>
      <c r="B1261" s="1" t="s">
        <v>101</v>
      </c>
      <c r="C1261" t="s">
        <v>643</v>
      </c>
      <c r="D1261" s="2">
        <v>230019646</v>
      </c>
      <c r="E1261" s="2">
        <v>1838001400030</v>
      </c>
      <c r="F1261" s="1" t="s">
        <v>647</v>
      </c>
      <c r="G1261" s="1" t="s">
        <v>53</v>
      </c>
      <c r="H1261" s="1" t="s">
        <v>357</v>
      </c>
      <c r="I1261" s="1" t="s">
        <v>358</v>
      </c>
      <c r="J1261" s="1" t="s">
        <v>46</v>
      </c>
      <c r="K1261" t="s">
        <v>650</v>
      </c>
      <c r="M1261" s="1" t="s">
        <v>58</v>
      </c>
      <c r="N1261" s="1">
        <v>0</v>
      </c>
      <c r="O1261" s="1" t="s">
        <v>105</v>
      </c>
      <c r="P1261" s="11" t="s">
        <v>2134</v>
      </c>
      <c r="R1261" s="1">
        <v>4</v>
      </c>
      <c r="T1261" s="1" t="s">
        <v>646</v>
      </c>
      <c r="U1261" s="11" t="s">
        <v>2135</v>
      </c>
      <c r="V1261" s="1" t="s">
        <v>41</v>
      </c>
      <c r="W1261" s="1" t="s">
        <v>49</v>
      </c>
      <c r="Z1261" s="14">
        <v>1</v>
      </c>
    </row>
    <row r="1262" spans="1:32" hidden="1">
      <c r="A1262" s="1">
        <v>9422510</v>
      </c>
      <c r="B1262" s="1" t="s">
        <v>101</v>
      </c>
      <c r="C1262" t="s">
        <v>643</v>
      </c>
      <c r="D1262" s="2">
        <v>230019645</v>
      </c>
      <c r="E1262" s="2">
        <v>1837001400030</v>
      </c>
      <c r="F1262" s="1" t="s">
        <v>647</v>
      </c>
      <c r="G1262" s="1" t="s">
        <v>53</v>
      </c>
      <c r="H1262" s="1" t="s">
        <v>1785</v>
      </c>
      <c r="I1262" s="1" t="s">
        <v>1786</v>
      </c>
      <c r="J1262" s="1" t="s">
        <v>46</v>
      </c>
      <c r="K1262" t="s">
        <v>650</v>
      </c>
      <c r="M1262" s="1" t="s">
        <v>58</v>
      </c>
      <c r="N1262" s="1">
        <v>0</v>
      </c>
      <c r="O1262" s="1" t="s">
        <v>105</v>
      </c>
      <c r="P1262" s="11" t="s">
        <v>2136</v>
      </c>
      <c r="R1262" s="1">
        <v>4</v>
      </c>
      <c r="T1262" s="1" t="s">
        <v>646</v>
      </c>
      <c r="U1262" s="11" t="s">
        <v>2137</v>
      </c>
      <c r="V1262" s="1" t="s">
        <v>41</v>
      </c>
      <c r="W1262" s="1" t="s">
        <v>49</v>
      </c>
      <c r="Z1262" s="14">
        <v>1</v>
      </c>
    </row>
    <row r="1263" spans="1:32" hidden="1">
      <c r="A1263" s="1">
        <v>9422509</v>
      </c>
      <c r="B1263" s="1" t="s">
        <v>101</v>
      </c>
      <c r="C1263" t="s">
        <v>643</v>
      </c>
      <c r="D1263" s="2">
        <v>230019644</v>
      </c>
      <c r="E1263" s="2">
        <v>1836001400030</v>
      </c>
      <c r="F1263" s="1" t="s">
        <v>647</v>
      </c>
      <c r="G1263" s="1" t="s">
        <v>53</v>
      </c>
      <c r="H1263" s="1" t="s">
        <v>455</v>
      </c>
      <c r="I1263" s="1" t="s">
        <v>456</v>
      </c>
      <c r="J1263" s="1" t="s">
        <v>46</v>
      </c>
      <c r="K1263" t="s">
        <v>650</v>
      </c>
      <c r="M1263" s="1" t="s">
        <v>58</v>
      </c>
      <c r="N1263" s="1">
        <v>0</v>
      </c>
      <c r="O1263" s="1" t="s">
        <v>105</v>
      </c>
      <c r="P1263" s="11" t="s">
        <v>2138</v>
      </c>
      <c r="R1263" s="1">
        <v>4</v>
      </c>
      <c r="T1263" s="1" t="s">
        <v>646</v>
      </c>
      <c r="U1263" s="11" t="s">
        <v>2139</v>
      </c>
      <c r="V1263" s="1" t="s">
        <v>41</v>
      </c>
      <c r="W1263" s="1" t="s">
        <v>49</v>
      </c>
      <c r="Z1263" s="14">
        <v>1</v>
      </c>
    </row>
    <row r="1264" spans="1:32" hidden="1">
      <c r="A1264" s="1">
        <v>9422508</v>
      </c>
      <c r="B1264" s="1" t="s">
        <v>101</v>
      </c>
      <c r="C1264" t="s">
        <v>643</v>
      </c>
      <c r="D1264" s="2">
        <v>230019643</v>
      </c>
      <c r="E1264" s="2">
        <v>1835001400030</v>
      </c>
      <c r="F1264" s="1" t="s">
        <v>647</v>
      </c>
      <c r="G1264" s="1" t="s">
        <v>53</v>
      </c>
      <c r="H1264" s="1" t="s">
        <v>305</v>
      </c>
      <c r="I1264" s="1" t="s">
        <v>306</v>
      </c>
      <c r="J1264" s="1" t="s">
        <v>46</v>
      </c>
      <c r="K1264" t="s">
        <v>650</v>
      </c>
      <c r="M1264" s="1" t="s">
        <v>58</v>
      </c>
      <c r="N1264" s="1">
        <v>0</v>
      </c>
      <c r="O1264" s="1" t="s">
        <v>105</v>
      </c>
      <c r="P1264" s="11" t="s">
        <v>2140</v>
      </c>
      <c r="R1264" s="1">
        <v>4</v>
      </c>
      <c r="T1264" s="1" t="s">
        <v>646</v>
      </c>
      <c r="U1264" s="11" t="s">
        <v>2141</v>
      </c>
      <c r="V1264" s="1" t="s">
        <v>41</v>
      </c>
      <c r="W1264" s="1" t="s">
        <v>49</v>
      </c>
      <c r="Z1264" s="14">
        <v>1</v>
      </c>
    </row>
    <row r="1265" spans="1:26" hidden="1">
      <c r="A1265" s="1">
        <v>9422507</v>
      </c>
      <c r="B1265" s="1" t="s">
        <v>101</v>
      </c>
      <c r="C1265" t="s">
        <v>643</v>
      </c>
      <c r="D1265" s="2">
        <v>230019642</v>
      </c>
      <c r="E1265" s="2">
        <v>1833041400030</v>
      </c>
      <c r="F1265" s="1" t="s">
        <v>647</v>
      </c>
      <c r="G1265" s="1" t="s">
        <v>53</v>
      </c>
      <c r="H1265" s="1" t="s">
        <v>811</v>
      </c>
      <c r="I1265" s="1" t="s">
        <v>812</v>
      </c>
      <c r="J1265" s="1" t="s">
        <v>46</v>
      </c>
      <c r="K1265" t="s">
        <v>650</v>
      </c>
      <c r="M1265" s="1" t="s">
        <v>58</v>
      </c>
      <c r="N1265" s="1">
        <v>0</v>
      </c>
      <c r="O1265" s="1" t="s">
        <v>105</v>
      </c>
      <c r="P1265" s="11" t="s">
        <v>2142</v>
      </c>
      <c r="R1265" s="1">
        <v>4</v>
      </c>
      <c r="T1265" s="1" t="s">
        <v>646</v>
      </c>
      <c r="U1265" s="11" t="s">
        <v>2143</v>
      </c>
      <c r="V1265" s="1" t="s">
        <v>41</v>
      </c>
      <c r="W1265" s="1" t="s">
        <v>49</v>
      </c>
      <c r="Z1265" s="14">
        <v>1</v>
      </c>
    </row>
    <row r="1266" spans="1:26" hidden="1">
      <c r="A1266" s="1">
        <v>9422506</v>
      </c>
      <c r="B1266" s="1" t="s">
        <v>101</v>
      </c>
      <c r="C1266" t="s">
        <v>643</v>
      </c>
      <c r="D1266" s="2">
        <v>230019641</v>
      </c>
      <c r="E1266" s="2">
        <v>1833001400030</v>
      </c>
      <c r="F1266" s="1" t="s">
        <v>647</v>
      </c>
      <c r="G1266" s="1" t="s">
        <v>53</v>
      </c>
      <c r="H1266" s="1" t="s">
        <v>369</v>
      </c>
      <c r="I1266" s="1" t="s">
        <v>370</v>
      </c>
      <c r="J1266" s="1" t="s">
        <v>46</v>
      </c>
      <c r="K1266" t="s">
        <v>650</v>
      </c>
      <c r="M1266" s="1" t="s">
        <v>58</v>
      </c>
      <c r="N1266" s="1">
        <v>0</v>
      </c>
      <c r="O1266" s="1" t="s">
        <v>105</v>
      </c>
      <c r="P1266" s="11" t="s">
        <v>2144</v>
      </c>
      <c r="R1266" s="1">
        <v>4</v>
      </c>
      <c r="T1266" s="1" t="s">
        <v>646</v>
      </c>
      <c r="U1266" s="11" t="s">
        <v>2145</v>
      </c>
      <c r="V1266" s="1" t="s">
        <v>41</v>
      </c>
      <c r="W1266" s="1" t="s">
        <v>49</v>
      </c>
      <c r="Z1266" s="14">
        <v>1</v>
      </c>
    </row>
    <row r="1267" spans="1:26" hidden="1">
      <c r="A1267" s="1">
        <v>9422498</v>
      </c>
      <c r="B1267" s="1" t="s">
        <v>101</v>
      </c>
      <c r="C1267" t="s">
        <v>643</v>
      </c>
      <c r="D1267" s="2">
        <v>230019633</v>
      </c>
      <c r="E1267" s="2">
        <v>1814031400030</v>
      </c>
      <c r="F1267" s="1" t="s">
        <v>647</v>
      </c>
      <c r="G1267" s="1" t="s">
        <v>53</v>
      </c>
      <c r="H1267" s="1" t="s">
        <v>719</v>
      </c>
      <c r="I1267" s="1" t="s">
        <v>188</v>
      </c>
      <c r="J1267" s="1" t="s">
        <v>46</v>
      </c>
      <c r="K1267" t="s">
        <v>650</v>
      </c>
      <c r="M1267" s="1" t="s">
        <v>58</v>
      </c>
      <c r="N1267" s="1">
        <v>0</v>
      </c>
      <c r="O1267" s="1" t="s">
        <v>105</v>
      </c>
      <c r="P1267" s="11" t="s">
        <v>2146</v>
      </c>
      <c r="R1267" s="1">
        <v>4</v>
      </c>
      <c r="T1267" s="1" t="s">
        <v>646</v>
      </c>
      <c r="U1267" s="11" t="s">
        <v>2147</v>
      </c>
      <c r="V1267" s="1" t="s">
        <v>41</v>
      </c>
      <c r="W1267" s="1" t="s">
        <v>49</v>
      </c>
      <c r="Z1267" s="14">
        <v>1</v>
      </c>
    </row>
    <row r="1268" spans="1:26" hidden="1">
      <c r="A1268" s="1">
        <v>9422497</v>
      </c>
      <c r="B1268" s="1" t="s">
        <v>101</v>
      </c>
      <c r="C1268" t="s">
        <v>643</v>
      </c>
      <c r="D1268" s="2">
        <v>230019632</v>
      </c>
      <c r="E1268" s="2">
        <v>1814001400030</v>
      </c>
      <c r="F1268" s="1" t="s">
        <v>647</v>
      </c>
      <c r="G1268" s="1" t="s">
        <v>53</v>
      </c>
      <c r="H1268" s="1" t="s">
        <v>396</v>
      </c>
      <c r="I1268" s="1" t="s">
        <v>397</v>
      </c>
      <c r="J1268" s="1" t="s">
        <v>46</v>
      </c>
      <c r="K1268" t="s">
        <v>650</v>
      </c>
      <c r="M1268" s="1" t="s">
        <v>58</v>
      </c>
      <c r="N1268" s="1">
        <v>0</v>
      </c>
      <c r="O1268" s="1" t="s">
        <v>105</v>
      </c>
      <c r="P1268" s="11" t="s">
        <v>2148</v>
      </c>
      <c r="R1268" s="1">
        <v>4</v>
      </c>
      <c r="T1268" s="1" t="s">
        <v>646</v>
      </c>
      <c r="U1268" s="11" t="s">
        <v>2149</v>
      </c>
      <c r="V1268" s="1" t="s">
        <v>41</v>
      </c>
      <c r="W1268" s="1" t="s">
        <v>49</v>
      </c>
      <c r="Z1268" s="14">
        <v>1</v>
      </c>
    </row>
    <row r="1269" spans="1:26" hidden="1">
      <c r="A1269" s="1">
        <v>9422255</v>
      </c>
      <c r="B1269" s="1" t="s">
        <v>101</v>
      </c>
      <c r="C1269" t="s">
        <v>643</v>
      </c>
      <c r="D1269" s="2">
        <v>230018197</v>
      </c>
      <c r="E1269" s="2">
        <v>2257001400010</v>
      </c>
      <c r="F1269" s="1" t="s">
        <v>936</v>
      </c>
      <c r="G1269" s="1" t="s">
        <v>53</v>
      </c>
      <c r="H1269" s="1" t="s">
        <v>381</v>
      </c>
      <c r="I1269" s="1" t="s">
        <v>382</v>
      </c>
      <c r="J1269" s="1" t="s">
        <v>110</v>
      </c>
      <c r="K1269" t="s">
        <v>937</v>
      </c>
      <c r="M1269" s="1" t="s">
        <v>58</v>
      </c>
      <c r="N1269" s="1">
        <v>0</v>
      </c>
      <c r="O1269" s="1" t="s">
        <v>105</v>
      </c>
      <c r="P1269" s="11" t="s">
        <v>2150</v>
      </c>
      <c r="R1269" s="1">
        <v>3</v>
      </c>
      <c r="T1269" s="1" t="s">
        <v>646</v>
      </c>
      <c r="U1269" s="11" t="s">
        <v>2151</v>
      </c>
      <c r="V1269" s="1" t="s">
        <v>41</v>
      </c>
      <c r="W1269" s="1" t="s">
        <v>49</v>
      </c>
      <c r="Z1269" s="14">
        <v>1</v>
      </c>
    </row>
    <row r="1270" spans="1:26" hidden="1">
      <c r="A1270" s="1">
        <v>9422243</v>
      </c>
      <c r="B1270" s="1" t="s">
        <v>101</v>
      </c>
      <c r="C1270" t="s">
        <v>643</v>
      </c>
      <c r="D1270" s="2">
        <v>230017788</v>
      </c>
      <c r="E1270" s="2">
        <v>1153001400010</v>
      </c>
      <c r="F1270" s="1" t="s">
        <v>936</v>
      </c>
      <c r="G1270" s="1" t="s">
        <v>53</v>
      </c>
      <c r="H1270" s="1" t="s">
        <v>1031</v>
      </c>
      <c r="I1270" s="1" t="s">
        <v>1032</v>
      </c>
      <c r="J1270" s="1" t="s">
        <v>79</v>
      </c>
      <c r="K1270" t="s">
        <v>937</v>
      </c>
      <c r="M1270" s="1" t="s">
        <v>58</v>
      </c>
      <c r="N1270" s="1">
        <v>0</v>
      </c>
      <c r="O1270" s="1" t="s">
        <v>105</v>
      </c>
      <c r="P1270" s="11" t="s">
        <v>2152</v>
      </c>
      <c r="R1270" s="1">
        <v>3</v>
      </c>
      <c r="T1270" s="1" t="s">
        <v>646</v>
      </c>
      <c r="U1270" s="11" t="s">
        <v>2153</v>
      </c>
      <c r="V1270" s="1" t="s">
        <v>41</v>
      </c>
      <c r="W1270" s="1" t="s">
        <v>49</v>
      </c>
      <c r="Z1270" s="14">
        <v>1</v>
      </c>
    </row>
    <row r="1271" spans="1:26" hidden="1">
      <c r="A1271" s="1">
        <v>9422222</v>
      </c>
      <c r="B1271" s="1" t="s">
        <v>101</v>
      </c>
      <c r="C1271" t="s">
        <v>643</v>
      </c>
      <c r="D1271" s="2">
        <v>230021493</v>
      </c>
      <c r="E1271" s="2">
        <v>2257001400040</v>
      </c>
      <c r="F1271" s="1" t="s">
        <v>644</v>
      </c>
      <c r="G1271" s="1" t="s">
        <v>53</v>
      </c>
      <c r="H1271" s="1" t="s">
        <v>381</v>
      </c>
      <c r="I1271" s="1" t="s">
        <v>382</v>
      </c>
      <c r="J1271" s="1" t="s">
        <v>110</v>
      </c>
      <c r="K1271" t="s">
        <v>645</v>
      </c>
      <c r="M1271" s="1" t="s">
        <v>58</v>
      </c>
      <c r="N1271" s="1">
        <v>0</v>
      </c>
      <c r="O1271" s="1" t="s">
        <v>105</v>
      </c>
      <c r="P1271" s="11" t="s">
        <v>2154</v>
      </c>
      <c r="R1271" s="1">
        <v>3</v>
      </c>
      <c r="T1271" s="1" t="s">
        <v>646</v>
      </c>
      <c r="U1271" s="11" t="s">
        <v>2155</v>
      </c>
      <c r="V1271" s="1" t="s">
        <v>41</v>
      </c>
      <c r="W1271" s="1" t="s">
        <v>49</v>
      </c>
      <c r="Z1271" s="14">
        <v>1</v>
      </c>
    </row>
    <row r="1272" spans="1:26" hidden="1">
      <c r="A1272" s="1">
        <v>9422206</v>
      </c>
      <c r="B1272" s="1" t="s">
        <v>101</v>
      </c>
      <c r="C1272" t="s">
        <v>643</v>
      </c>
      <c r="D1272" s="2">
        <v>230021473</v>
      </c>
      <c r="E1272" s="2">
        <v>2219001400040</v>
      </c>
      <c r="F1272" s="1" t="s">
        <v>644</v>
      </c>
      <c r="G1272" s="1" t="s">
        <v>53</v>
      </c>
      <c r="H1272" s="1" t="s">
        <v>893</v>
      </c>
      <c r="I1272" s="1" t="s">
        <v>894</v>
      </c>
      <c r="J1272" s="1" t="s">
        <v>141</v>
      </c>
      <c r="K1272" t="s">
        <v>645</v>
      </c>
      <c r="M1272" s="1" t="s">
        <v>58</v>
      </c>
      <c r="N1272" s="1">
        <v>0</v>
      </c>
      <c r="O1272" s="1" t="s">
        <v>105</v>
      </c>
      <c r="P1272" s="11" t="s">
        <v>2156</v>
      </c>
      <c r="R1272" s="1">
        <v>2</v>
      </c>
      <c r="T1272" s="1" t="s">
        <v>646</v>
      </c>
      <c r="U1272" s="11" t="s">
        <v>2157</v>
      </c>
      <c r="V1272" s="1" t="s">
        <v>41</v>
      </c>
      <c r="W1272" s="1" t="s">
        <v>49</v>
      </c>
      <c r="Z1272" s="14">
        <v>1</v>
      </c>
    </row>
    <row r="1273" spans="1:26">
      <c r="A1273" s="1">
        <v>9422108</v>
      </c>
      <c r="B1273" s="1" t="s">
        <v>101</v>
      </c>
      <c r="C1273" t="s">
        <v>643</v>
      </c>
      <c r="D1273" s="2">
        <v>230021478</v>
      </c>
      <c r="E1273" s="2">
        <v>2229001400040</v>
      </c>
      <c r="F1273" s="1" t="s">
        <v>644</v>
      </c>
      <c r="G1273" s="1" t="s">
        <v>53</v>
      </c>
      <c r="H1273" s="1" t="s">
        <v>339</v>
      </c>
      <c r="I1273" s="1" t="s">
        <v>340</v>
      </c>
      <c r="J1273" s="1" t="s">
        <v>211</v>
      </c>
      <c r="K1273" t="s">
        <v>645</v>
      </c>
      <c r="M1273" s="1" t="s">
        <v>58</v>
      </c>
      <c r="N1273" s="1">
        <v>0</v>
      </c>
      <c r="O1273" s="1" t="s">
        <v>105</v>
      </c>
      <c r="P1273" s="11" t="s">
        <v>2158</v>
      </c>
      <c r="R1273" s="1">
        <v>2</v>
      </c>
      <c r="T1273" s="1" t="s">
        <v>646</v>
      </c>
      <c r="U1273" s="11" t="s">
        <v>2159</v>
      </c>
      <c r="V1273" s="1" t="s">
        <v>41</v>
      </c>
      <c r="W1273" s="1" t="s">
        <v>49</v>
      </c>
      <c r="Z1273" s="14">
        <v>1</v>
      </c>
    </row>
    <row r="1274" spans="1:26" hidden="1">
      <c r="A1274" s="1">
        <v>9421664</v>
      </c>
      <c r="B1274" s="1" t="s">
        <v>101</v>
      </c>
      <c r="C1274" t="s">
        <v>643</v>
      </c>
      <c r="D1274" s="2">
        <v>230019968</v>
      </c>
      <c r="E1274" s="2">
        <v>2811001400030</v>
      </c>
      <c r="F1274" s="1" t="s">
        <v>647</v>
      </c>
      <c r="G1274" s="1" t="s">
        <v>53</v>
      </c>
      <c r="H1274" s="1" t="s">
        <v>44</v>
      </c>
      <c r="I1274" s="1" t="s">
        <v>45</v>
      </c>
      <c r="J1274" s="1" t="s">
        <v>46</v>
      </c>
      <c r="K1274" t="s">
        <v>650</v>
      </c>
      <c r="M1274" s="1" t="s">
        <v>58</v>
      </c>
      <c r="N1274" s="1">
        <v>0</v>
      </c>
      <c r="O1274" s="1" t="s">
        <v>105</v>
      </c>
      <c r="P1274" s="11" t="s">
        <v>2160</v>
      </c>
      <c r="R1274" s="1">
        <v>4</v>
      </c>
      <c r="T1274" s="1" t="s">
        <v>646</v>
      </c>
      <c r="U1274" s="11" t="s">
        <v>2161</v>
      </c>
      <c r="V1274" s="1" t="s">
        <v>41</v>
      </c>
      <c r="W1274" s="1" t="s">
        <v>49</v>
      </c>
      <c r="Z1274" s="14">
        <v>1</v>
      </c>
    </row>
    <row r="1275" spans="1:26" hidden="1">
      <c r="A1275" s="1">
        <v>9421550</v>
      </c>
      <c r="B1275" s="1" t="s">
        <v>101</v>
      </c>
      <c r="C1275" t="s">
        <v>643</v>
      </c>
      <c r="D1275" s="2">
        <v>230019696</v>
      </c>
      <c r="E1275" s="2">
        <v>2107001400030</v>
      </c>
      <c r="F1275" s="1" t="s">
        <v>647</v>
      </c>
      <c r="G1275" s="1" t="s">
        <v>53</v>
      </c>
      <c r="H1275" s="1" t="s">
        <v>262</v>
      </c>
      <c r="I1275" s="1" t="s">
        <v>263</v>
      </c>
      <c r="J1275" s="1" t="s">
        <v>164</v>
      </c>
      <c r="K1275" t="s">
        <v>650</v>
      </c>
      <c r="M1275" s="1" t="s">
        <v>58</v>
      </c>
      <c r="N1275" s="1">
        <v>0</v>
      </c>
      <c r="O1275" s="1" t="s">
        <v>105</v>
      </c>
      <c r="P1275" s="11" t="s">
        <v>2162</v>
      </c>
      <c r="R1275" s="1">
        <v>4</v>
      </c>
      <c r="T1275" s="1" t="s">
        <v>646</v>
      </c>
      <c r="U1275" s="11" t="s">
        <v>2163</v>
      </c>
      <c r="V1275" s="1" t="s">
        <v>41</v>
      </c>
      <c r="W1275" s="1" t="s">
        <v>49</v>
      </c>
      <c r="Z1275" s="14">
        <v>1</v>
      </c>
    </row>
    <row r="1276" spans="1:26">
      <c r="A1276" s="1">
        <v>9421489</v>
      </c>
      <c r="B1276" s="1" t="s">
        <v>101</v>
      </c>
      <c r="C1276" t="s">
        <v>643</v>
      </c>
      <c r="D1276" s="2">
        <v>230021042</v>
      </c>
      <c r="E1276" s="2">
        <v>1028001400040</v>
      </c>
      <c r="F1276" s="1" t="s">
        <v>644</v>
      </c>
      <c r="G1276" s="1" t="s">
        <v>53</v>
      </c>
      <c r="H1276" s="1" t="s">
        <v>1079</v>
      </c>
      <c r="I1276" s="1" t="s">
        <v>1080</v>
      </c>
      <c r="J1276" s="1" t="s">
        <v>85</v>
      </c>
      <c r="K1276" t="s">
        <v>645</v>
      </c>
      <c r="M1276" s="1" t="s">
        <v>58</v>
      </c>
      <c r="N1276" s="1">
        <v>0</v>
      </c>
      <c r="O1276" s="1" t="s">
        <v>105</v>
      </c>
      <c r="P1276" s="11" t="s">
        <v>2164</v>
      </c>
      <c r="R1276" s="1">
        <v>3</v>
      </c>
      <c r="T1276" s="1" t="s">
        <v>646</v>
      </c>
      <c r="U1276" s="11" t="s">
        <v>2165</v>
      </c>
      <c r="V1276" s="1" t="s">
        <v>41</v>
      </c>
      <c r="W1276" s="1" t="s">
        <v>49</v>
      </c>
      <c r="Z1276" s="14">
        <v>1</v>
      </c>
    </row>
    <row r="1277" spans="1:26">
      <c r="A1277" s="1">
        <v>9421441</v>
      </c>
      <c r="B1277" s="1" t="s">
        <v>101</v>
      </c>
      <c r="C1277" t="s">
        <v>643</v>
      </c>
      <c r="D1277" s="2">
        <v>230019840</v>
      </c>
      <c r="E1277" s="2">
        <v>2422001400030</v>
      </c>
      <c r="F1277" s="1" t="s">
        <v>647</v>
      </c>
      <c r="G1277" s="1" t="s">
        <v>53</v>
      </c>
      <c r="H1277" s="1" t="s">
        <v>1844</v>
      </c>
      <c r="I1277" s="1" t="s">
        <v>1845</v>
      </c>
      <c r="J1277" s="1" t="s">
        <v>211</v>
      </c>
      <c r="K1277" t="s">
        <v>650</v>
      </c>
      <c r="M1277" s="1" t="s">
        <v>58</v>
      </c>
      <c r="N1277" s="1">
        <v>0</v>
      </c>
      <c r="O1277" s="1" t="s">
        <v>105</v>
      </c>
      <c r="P1277" s="11" t="s">
        <v>2166</v>
      </c>
      <c r="R1277" s="1">
        <v>4</v>
      </c>
      <c r="T1277" s="1" t="s">
        <v>646</v>
      </c>
      <c r="U1277" s="11" t="s">
        <v>2167</v>
      </c>
      <c r="V1277" s="1" t="s">
        <v>41</v>
      </c>
      <c r="W1277" s="1" t="s">
        <v>49</v>
      </c>
      <c r="Z1277" s="14">
        <v>1</v>
      </c>
    </row>
    <row r="1278" spans="1:26" hidden="1">
      <c r="A1278" s="1">
        <v>9421337</v>
      </c>
      <c r="B1278" s="1" t="s">
        <v>101</v>
      </c>
      <c r="C1278" t="s">
        <v>643</v>
      </c>
      <c r="D1278" s="2">
        <v>230021014</v>
      </c>
      <c r="E1278" s="2">
        <v>963001400040</v>
      </c>
      <c r="F1278" s="1" t="s">
        <v>644</v>
      </c>
      <c r="G1278" s="1" t="s">
        <v>53</v>
      </c>
      <c r="H1278" s="1" t="s">
        <v>531</v>
      </c>
      <c r="I1278" s="1" t="s">
        <v>532</v>
      </c>
      <c r="J1278" s="1" t="s">
        <v>33</v>
      </c>
      <c r="K1278" t="s">
        <v>645</v>
      </c>
      <c r="M1278" s="1" t="s">
        <v>58</v>
      </c>
      <c r="N1278" s="1">
        <v>0</v>
      </c>
      <c r="O1278" s="1" t="s">
        <v>105</v>
      </c>
      <c r="P1278" s="11" t="s">
        <v>2168</v>
      </c>
      <c r="R1278" s="1">
        <v>3</v>
      </c>
      <c r="T1278" s="1" t="s">
        <v>646</v>
      </c>
      <c r="U1278" s="11" t="s">
        <v>2169</v>
      </c>
      <c r="V1278" s="1" t="s">
        <v>41</v>
      </c>
      <c r="W1278" s="1" t="s">
        <v>49</v>
      </c>
      <c r="Z1278" s="14">
        <v>1</v>
      </c>
    </row>
    <row r="1279" spans="1:26" hidden="1">
      <c r="A1279" s="1">
        <v>9421295</v>
      </c>
      <c r="B1279" s="1" t="s">
        <v>101</v>
      </c>
      <c r="C1279" t="s">
        <v>643</v>
      </c>
      <c r="D1279" s="2">
        <v>230019817</v>
      </c>
      <c r="E1279" s="2">
        <v>2365001400030</v>
      </c>
      <c r="F1279" s="1" t="s">
        <v>647</v>
      </c>
      <c r="G1279" s="1" t="s">
        <v>53</v>
      </c>
      <c r="H1279" s="1" t="s">
        <v>159</v>
      </c>
      <c r="I1279" s="1" t="s">
        <v>160</v>
      </c>
      <c r="J1279" s="1" t="s">
        <v>46</v>
      </c>
      <c r="K1279" t="s">
        <v>650</v>
      </c>
      <c r="M1279" s="1" t="s">
        <v>58</v>
      </c>
      <c r="N1279" s="1">
        <v>0</v>
      </c>
      <c r="O1279" s="1" t="s">
        <v>36</v>
      </c>
      <c r="P1279" s="11" t="s">
        <v>2170</v>
      </c>
      <c r="R1279" s="1">
        <v>4</v>
      </c>
      <c r="T1279" s="1" t="s">
        <v>646</v>
      </c>
      <c r="U1279" s="11" t="s">
        <v>2171</v>
      </c>
      <c r="V1279" s="1" t="s">
        <v>41</v>
      </c>
      <c r="W1279" s="1" t="s">
        <v>49</v>
      </c>
      <c r="Z1279" s="14">
        <v>1</v>
      </c>
    </row>
    <row r="1280" spans="1:26" hidden="1">
      <c r="A1280" s="1">
        <v>9421222</v>
      </c>
      <c r="B1280" s="1" t="s">
        <v>101</v>
      </c>
      <c r="C1280" t="s">
        <v>643</v>
      </c>
      <c r="D1280" s="2">
        <v>230019179</v>
      </c>
      <c r="E1280" s="2">
        <v>721001400030</v>
      </c>
      <c r="F1280" s="1" t="s">
        <v>647</v>
      </c>
      <c r="G1280" s="1" t="s">
        <v>53</v>
      </c>
      <c r="H1280" s="1" t="s">
        <v>422</v>
      </c>
      <c r="I1280" s="1" t="s">
        <v>423</v>
      </c>
      <c r="J1280" s="1" t="s">
        <v>79</v>
      </c>
      <c r="K1280" t="s">
        <v>650</v>
      </c>
      <c r="M1280" s="1" t="s">
        <v>58</v>
      </c>
      <c r="N1280" s="1">
        <v>0</v>
      </c>
      <c r="O1280" s="1" t="s">
        <v>105</v>
      </c>
      <c r="P1280" s="11" t="s">
        <v>2172</v>
      </c>
      <c r="R1280" s="1">
        <v>4</v>
      </c>
      <c r="T1280" s="1" t="s">
        <v>646</v>
      </c>
      <c r="U1280" s="11" t="s">
        <v>2173</v>
      </c>
      <c r="V1280" s="1" t="s">
        <v>41</v>
      </c>
      <c r="W1280" s="1" t="s">
        <v>49</v>
      </c>
      <c r="Z1280" s="14">
        <v>1</v>
      </c>
    </row>
    <row r="1281" spans="1:26" hidden="1">
      <c r="A1281" s="1">
        <v>9421220</v>
      </c>
      <c r="B1281" s="1" t="s">
        <v>101</v>
      </c>
      <c r="C1281" t="s">
        <v>643</v>
      </c>
      <c r="D1281" s="2">
        <v>230019177</v>
      </c>
      <c r="E1281" s="2">
        <v>711001400030</v>
      </c>
      <c r="F1281" s="1" t="s">
        <v>647</v>
      </c>
      <c r="G1281" s="1" t="s">
        <v>53</v>
      </c>
      <c r="H1281" s="1" t="s">
        <v>77</v>
      </c>
      <c r="I1281" s="1" t="s">
        <v>78</v>
      </c>
      <c r="J1281" s="1" t="s">
        <v>79</v>
      </c>
      <c r="K1281" t="s">
        <v>650</v>
      </c>
      <c r="M1281" s="1" t="s">
        <v>58</v>
      </c>
      <c r="N1281" s="1">
        <v>0</v>
      </c>
      <c r="O1281" s="1" t="s">
        <v>105</v>
      </c>
      <c r="P1281" s="11" t="s">
        <v>2174</v>
      </c>
      <c r="R1281" s="1">
        <v>4</v>
      </c>
      <c r="T1281" s="1" t="s">
        <v>646</v>
      </c>
      <c r="U1281" s="12">
        <v>44959.552430555559</v>
      </c>
      <c r="V1281" s="1" t="s">
        <v>41</v>
      </c>
      <c r="W1281" s="1" t="s">
        <v>49</v>
      </c>
      <c r="Z1281" s="14">
        <v>1</v>
      </c>
    </row>
    <row r="1282" spans="1:26">
      <c r="A1282" s="1">
        <v>9421182</v>
      </c>
      <c r="B1282" s="1" t="s">
        <v>101</v>
      </c>
      <c r="C1282" t="s">
        <v>643</v>
      </c>
      <c r="D1282" s="2">
        <v>230019149</v>
      </c>
      <c r="E1282" s="2">
        <v>605001400030</v>
      </c>
      <c r="F1282" s="1" t="s">
        <v>647</v>
      </c>
      <c r="G1282" s="1" t="s">
        <v>53</v>
      </c>
      <c r="H1282" s="1" t="s">
        <v>420</v>
      </c>
      <c r="I1282" s="1" t="s">
        <v>421</v>
      </c>
      <c r="J1282" s="1" t="s">
        <v>90</v>
      </c>
      <c r="K1282" t="s">
        <v>650</v>
      </c>
      <c r="M1282" s="1" t="s">
        <v>58</v>
      </c>
      <c r="N1282" s="1">
        <v>0</v>
      </c>
      <c r="O1282" s="1" t="s">
        <v>105</v>
      </c>
      <c r="P1282" s="11" t="s">
        <v>2175</v>
      </c>
      <c r="R1282" s="1">
        <v>4</v>
      </c>
      <c r="T1282" s="1" t="s">
        <v>646</v>
      </c>
      <c r="U1282" s="11" t="s">
        <v>2176</v>
      </c>
      <c r="V1282" s="1" t="s">
        <v>41</v>
      </c>
      <c r="W1282" s="1" t="s">
        <v>49</v>
      </c>
      <c r="Z1282" s="14">
        <v>1</v>
      </c>
    </row>
    <row r="1283" spans="1:26">
      <c r="A1283" s="1">
        <v>9421178</v>
      </c>
      <c r="B1283" s="1" t="s">
        <v>101</v>
      </c>
      <c r="C1283" t="s">
        <v>643</v>
      </c>
      <c r="D1283" s="2">
        <v>230019146</v>
      </c>
      <c r="E1283" s="2">
        <v>600001400030</v>
      </c>
      <c r="F1283" s="1" t="s">
        <v>647</v>
      </c>
      <c r="G1283" s="1" t="s">
        <v>53</v>
      </c>
      <c r="H1283" s="1" t="s">
        <v>1084</v>
      </c>
      <c r="I1283" s="1" t="s">
        <v>1085</v>
      </c>
      <c r="J1283" s="1" t="s">
        <v>90</v>
      </c>
      <c r="K1283" t="s">
        <v>650</v>
      </c>
      <c r="M1283" s="1" t="s">
        <v>58</v>
      </c>
      <c r="N1283" s="1">
        <v>0</v>
      </c>
      <c r="O1283" s="1" t="s">
        <v>105</v>
      </c>
      <c r="P1283" s="11" t="s">
        <v>2177</v>
      </c>
      <c r="R1283" s="1">
        <v>4</v>
      </c>
      <c r="T1283" s="1" t="s">
        <v>646</v>
      </c>
      <c r="U1283" s="11" t="s">
        <v>2178</v>
      </c>
      <c r="V1283" s="1" t="s">
        <v>41</v>
      </c>
      <c r="W1283" s="1" t="s">
        <v>49</v>
      </c>
      <c r="Z1283" s="14">
        <v>1</v>
      </c>
    </row>
    <row r="1284" spans="1:26">
      <c r="A1284" s="181">
        <v>9421173</v>
      </c>
      <c r="B1284" s="181" t="s">
        <v>101</v>
      </c>
      <c r="C1284" s="182" t="s">
        <v>2179</v>
      </c>
      <c r="D1284" s="183">
        <v>230019335</v>
      </c>
      <c r="E1284" s="183">
        <v>1108001400030</v>
      </c>
      <c r="F1284" s="181" t="s">
        <v>647</v>
      </c>
      <c r="G1284" s="181" t="s">
        <v>53</v>
      </c>
      <c r="H1284" s="181" t="s">
        <v>295</v>
      </c>
      <c r="I1284" s="181" t="s">
        <v>296</v>
      </c>
      <c r="J1284" s="181" t="s">
        <v>90</v>
      </c>
      <c r="K1284" t="s">
        <v>650</v>
      </c>
      <c r="M1284" s="1" t="s">
        <v>58</v>
      </c>
      <c r="N1284" s="1">
        <v>0</v>
      </c>
      <c r="O1284" s="1" t="s">
        <v>105</v>
      </c>
      <c r="P1284" s="11" t="s">
        <v>2180</v>
      </c>
      <c r="R1284" s="1">
        <v>4</v>
      </c>
      <c r="T1284" s="1" t="s">
        <v>646</v>
      </c>
      <c r="U1284" s="11" t="s">
        <v>2181</v>
      </c>
      <c r="V1284" s="1" t="s">
        <v>41</v>
      </c>
      <c r="W1284" s="1" t="s">
        <v>49</v>
      </c>
      <c r="Z1284" s="14">
        <v>1</v>
      </c>
    </row>
    <row r="1285" spans="1:26">
      <c r="A1285" s="1">
        <v>9421141</v>
      </c>
      <c r="B1285" s="1" t="s">
        <v>101</v>
      </c>
      <c r="C1285" t="s">
        <v>643</v>
      </c>
      <c r="D1285" s="2">
        <v>230019316</v>
      </c>
      <c r="E1285" s="2">
        <v>1061001400030</v>
      </c>
      <c r="F1285" s="1" t="s">
        <v>647</v>
      </c>
      <c r="G1285" s="1" t="s">
        <v>53</v>
      </c>
      <c r="H1285" s="1" t="s">
        <v>166</v>
      </c>
      <c r="I1285" s="1" t="s">
        <v>167</v>
      </c>
      <c r="J1285" s="1" t="s">
        <v>85</v>
      </c>
      <c r="K1285" t="s">
        <v>650</v>
      </c>
      <c r="M1285" s="1" t="s">
        <v>58</v>
      </c>
      <c r="N1285" s="1">
        <v>0</v>
      </c>
      <c r="O1285" s="1" t="s">
        <v>105</v>
      </c>
      <c r="P1285" s="11" t="s">
        <v>2182</v>
      </c>
      <c r="R1285" s="1">
        <v>4</v>
      </c>
      <c r="T1285" s="1" t="s">
        <v>646</v>
      </c>
      <c r="U1285" s="11" t="s">
        <v>2183</v>
      </c>
      <c r="V1285" s="1" t="s">
        <v>41</v>
      </c>
      <c r="W1285" s="1" t="s">
        <v>49</v>
      </c>
      <c r="Z1285" s="14">
        <v>1</v>
      </c>
    </row>
    <row r="1286" spans="1:26">
      <c r="A1286" s="1">
        <v>9421140</v>
      </c>
      <c r="B1286" s="1" t="s">
        <v>101</v>
      </c>
      <c r="C1286" t="s">
        <v>643</v>
      </c>
      <c r="D1286" s="2">
        <v>230019315</v>
      </c>
      <c r="E1286" s="2">
        <v>1059001400030</v>
      </c>
      <c r="F1286" s="1" t="s">
        <v>647</v>
      </c>
      <c r="G1286" s="1" t="s">
        <v>53</v>
      </c>
      <c r="H1286" s="1" t="s">
        <v>88</v>
      </c>
      <c r="I1286" s="1" t="s">
        <v>89</v>
      </c>
      <c r="J1286" s="1" t="s">
        <v>90</v>
      </c>
      <c r="K1286" t="s">
        <v>650</v>
      </c>
      <c r="M1286" s="1" t="s">
        <v>58</v>
      </c>
      <c r="N1286" s="1">
        <v>0</v>
      </c>
      <c r="O1286" s="1" t="s">
        <v>105</v>
      </c>
      <c r="P1286" s="11" t="s">
        <v>2184</v>
      </c>
      <c r="R1286" s="1">
        <v>4</v>
      </c>
      <c r="T1286" s="1" t="s">
        <v>646</v>
      </c>
      <c r="U1286" s="11" t="s">
        <v>2185</v>
      </c>
      <c r="V1286" s="1" t="s">
        <v>41</v>
      </c>
      <c r="W1286" s="1" t="s">
        <v>49</v>
      </c>
      <c r="Z1286" s="14">
        <v>1</v>
      </c>
    </row>
    <row r="1287" spans="1:26">
      <c r="A1287" s="1">
        <v>9421115</v>
      </c>
      <c r="B1287" s="1" t="s">
        <v>101</v>
      </c>
      <c r="C1287" t="s">
        <v>643</v>
      </c>
      <c r="D1287" s="2">
        <v>230019301</v>
      </c>
      <c r="E1287" s="2">
        <v>1028001400030</v>
      </c>
      <c r="F1287" s="1" t="s">
        <v>647</v>
      </c>
      <c r="G1287" s="1" t="s">
        <v>53</v>
      </c>
      <c r="H1287" s="1" t="s">
        <v>1079</v>
      </c>
      <c r="I1287" s="1" t="s">
        <v>1080</v>
      </c>
      <c r="J1287" s="1" t="s">
        <v>85</v>
      </c>
      <c r="K1287" t="s">
        <v>650</v>
      </c>
      <c r="M1287" s="1" t="s">
        <v>58</v>
      </c>
      <c r="N1287" s="1">
        <v>0</v>
      </c>
      <c r="O1287" s="1" t="s">
        <v>105</v>
      </c>
      <c r="P1287" s="11" t="s">
        <v>2186</v>
      </c>
      <c r="R1287" s="1">
        <v>4</v>
      </c>
      <c r="T1287" s="1" t="s">
        <v>646</v>
      </c>
      <c r="U1287" s="11" t="s">
        <v>2187</v>
      </c>
      <c r="V1287" s="1" t="s">
        <v>41</v>
      </c>
      <c r="W1287" s="1" t="s">
        <v>49</v>
      </c>
      <c r="Z1287" s="14">
        <v>1</v>
      </c>
    </row>
    <row r="1288" spans="1:26" hidden="1">
      <c r="A1288" s="1">
        <v>9421027</v>
      </c>
      <c r="B1288" s="1" t="s">
        <v>101</v>
      </c>
      <c r="C1288" t="s">
        <v>643</v>
      </c>
      <c r="D1288" s="2">
        <v>230018996</v>
      </c>
      <c r="E1288" s="2">
        <v>115001400030</v>
      </c>
      <c r="F1288" s="1" t="s">
        <v>647</v>
      </c>
      <c r="G1288" s="1" t="s">
        <v>53</v>
      </c>
      <c r="H1288" s="1" t="s">
        <v>542</v>
      </c>
      <c r="I1288" s="1" t="s">
        <v>543</v>
      </c>
      <c r="J1288" s="1" t="s">
        <v>56</v>
      </c>
      <c r="K1288" t="s">
        <v>650</v>
      </c>
      <c r="M1288" s="1" t="s">
        <v>58</v>
      </c>
      <c r="N1288" s="1">
        <v>0</v>
      </c>
      <c r="O1288" s="1" t="s">
        <v>105</v>
      </c>
      <c r="P1288" s="11" t="s">
        <v>2188</v>
      </c>
      <c r="R1288" s="1">
        <v>4</v>
      </c>
      <c r="T1288" s="1" t="s">
        <v>646</v>
      </c>
      <c r="U1288" s="11" t="s">
        <v>2189</v>
      </c>
      <c r="V1288" s="1" t="s">
        <v>41</v>
      </c>
      <c r="W1288" s="1" t="s">
        <v>49</v>
      </c>
      <c r="Z1288" s="14">
        <v>1</v>
      </c>
    </row>
    <row r="1289" spans="1:26" hidden="1">
      <c r="A1289" s="1">
        <v>9420968</v>
      </c>
      <c r="B1289" s="1" t="s">
        <v>101</v>
      </c>
      <c r="C1289" t="s">
        <v>643</v>
      </c>
      <c r="D1289" s="2">
        <v>230019349</v>
      </c>
      <c r="E1289" s="2">
        <v>1153001400030</v>
      </c>
      <c r="F1289" s="1" t="s">
        <v>647</v>
      </c>
      <c r="G1289" s="1" t="s">
        <v>53</v>
      </c>
      <c r="H1289" s="1" t="s">
        <v>1031</v>
      </c>
      <c r="I1289" s="1" t="s">
        <v>1032</v>
      </c>
      <c r="J1289" s="1" t="s">
        <v>79</v>
      </c>
      <c r="K1289" t="s">
        <v>650</v>
      </c>
      <c r="M1289" s="1" t="s">
        <v>58</v>
      </c>
      <c r="N1289" s="1">
        <v>0</v>
      </c>
      <c r="O1289" s="1" t="s">
        <v>105</v>
      </c>
      <c r="P1289" s="11" t="s">
        <v>2190</v>
      </c>
      <c r="R1289" s="1">
        <v>4</v>
      </c>
      <c r="T1289" s="1" t="s">
        <v>646</v>
      </c>
      <c r="U1289" s="11" t="s">
        <v>2191</v>
      </c>
      <c r="V1289" s="1" t="s">
        <v>41</v>
      </c>
      <c r="W1289" s="1" t="s">
        <v>49</v>
      </c>
      <c r="Z1289" s="14">
        <v>1</v>
      </c>
    </row>
    <row r="1290" spans="1:26" hidden="1">
      <c r="A1290" s="1">
        <v>9420806</v>
      </c>
      <c r="B1290" s="1" t="s">
        <v>101</v>
      </c>
      <c r="C1290" t="s">
        <v>643</v>
      </c>
      <c r="D1290" s="2">
        <v>230018165</v>
      </c>
      <c r="E1290" s="2">
        <v>2196001400010</v>
      </c>
      <c r="F1290" s="1" t="s">
        <v>936</v>
      </c>
      <c r="G1290" s="1" t="s">
        <v>53</v>
      </c>
      <c r="H1290" s="1" t="s">
        <v>1252</v>
      </c>
      <c r="I1290" s="1" t="s">
        <v>1253</v>
      </c>
      <c r="J1290" s="1" t="s">
        <v>33</v>
      </c>
      <c r="K1290" t="s">
        <v>937</v>
      </c>
      <c r="M1290" s="1" t="s">
        <v>58</v>
      </c>
      <c r="N1290" s="1">
        <v>0</v>
      </c>
      <c r="O1290" s="1" t="s">
        <v>105</v>
      </c>
      <c r="P1290" s="11" t="s">
        <v>2192</v>
      </c>
      <c r="R1290" s="1">
        <v>3</v>
      </c>
      <c r="T1290" s="1" t="s">
        <v>646</v>
      </c>
      <c r="U1290" s="11" t="s">
        <v>2193</v>
      </c>
      <c r="V1290" s="1" t="s">
        <v>41</v>
      </c>
      <c r="W1290" s="1" t="s">
        <v>42</v>
      </c>
      <c r="Z1290" s="14">
        <v>1</v>
      </c>
    </row>
    <row r="1291" spans="1:26" hidden="1">
      <c r="A1291" s="1">
        <v>9420756</v>
      </c>
      <c r="B1291" s="1" t="s">
        <v>101</v>
      </c>
      <c r="C1291" t="s">
        <v>643</v>
      </c>
      <c r="D1291" s="2">
        <v>230018030</v>
      </c>
      <c r="E1291" s="2">
        <v>1739001400010</v>
      </c>
      <c r="F1291" s="1" t="s">
        <v>936</v>
      </c>
      <c r="G1291" s="1" t="s">
        <v>53</v>
      </c>
      <c r="H1291" s="1" t="s">
        <v>162</v>
      </c>
      <c r="I1291" s="1" t="s">
        <v>163</v>
      </c>
      <c r="J1291" s="1" t="s">
        <v>164</v>
      </c>
      <c r="K1291" t="s">
        <v>937</v>
      </c>
      <c r="M1291" s="1" t="s">
        <v>58</v>
      </c>
      <c r="N1291" s="1">
        <v>0</v>
      </c>
      <c r="O1291" s="1" t="s">
        <v>105</v>
      </c>
      <c r="P1291" s="11" t="s">
        <v>2194</v>
      </c>
      <c r="R1291" s="1">
        <v>3</v>
      </c>
      <c r="T1291" s="1" t="s">
        <v>646</v>
      </c>
      <c r="U1291" s="11" t="s">
        <v>2195</v>
      </c>
      <c r="V1291" s="1" t="s">
        <v>41</v>
      </c>
      <c r="W1291" s="1" t="s">
        <v>49</v>
      </c>
      <c r="Z1291" s="14">
        <v>1</v>
      </c>
    </row>
    <row r="1292" spans="1:26" hidden="1">
      <c r="A1292" s="1">
        <v>9420720</v>
      </c>
      <c r="B1292" s="1" t="s">
        <v>101</v>
      </c>
      <c r="C1292" t="s">
        <v>643</v>
      </c>
      <c r="D1292" s="2">
        <v>230017994</v>
      </c>
      <c r="E1292" s="2">
        <v>1650001400010</v>
      </c>
      <c r="F1292" s="1" t="s">
        <v>936</v>
      </c>
      <c r="G1292" s="1" t="s">
        <v>53</v>
      </c>
      <c r="H1292" s="1" t="s">
        <v>620</v>
      </c>
      <c r="I1292" s="1" t="s">
        <v>621</v>
      </c>
      <c r="J1292" s="1" t="s">
        <v>141</v>
      </c>
      <c r="K1292" t="s">
        <v>937</v>
      </c>
      <c r="M1292" s="1" t="s">
        <v>58</v>
      </c>
      <c r="N1292" s="1">
        <v>0</v>
      </c>
      <c r="O1292" s="1" t="s">
        <v>105</v>
      </c>
      <c r="P1292" s="11" t="s">
        <v>2196</v>
      </c>
      <c r="R1292" s="1">
        <v>3</v>
      </c>
      <c r="T1292" s="1" t="s">
        <v>646</v>
      </c>
      <c r="U1292" s="11" t="s">
        <v>2197</v>
      </c>
      <c r="V1292" s="1" t="s">
        <v>41</v>
      </c>
      <c r="W1292" s="1" t="s">
        <v>49</v>
      </c>
      <c r="Z1292" s="14">
        <v>1</v>
      </c>
    </row>
    <row r="1293" spans="1:26" hidden="1">
      <c r="A1293" s="1">
        <v>9420712</v>
      </c>
      <c r="B1293" s="1" t="s">
        <v>101</v>
      </c>
      <c r="C1293" t="s">
        <v>643</v>
      </c>
      <c r="D1293" s="2">
        <v>230018010</v>
      </c>
      <c r="E1293" s="2">
        <v>1689001400010</v>
      </c>
      <c r="F1293" s="1" t="s">
        <v>936</v>
      </c>
      <c r="G1293" s="1" t="s">
        <v>53</v>
      </c>
      <c r="H1293" s="1" t="s">
        <v>2117</v>
      </c>
      <c r="I1293" s="1" t="s">
        <v>2118</v>
      </c>
      <c r="J1293" s="1" t="s">
        <v>79</v>
      </c>
      <c r="K1293" t="s">
        <v>937</v>
      </c>
      <c r="M1293" s="1" t="s">
        <v>58</v>
      </c>
      <c r="N1293" s="1">
        <v>0</v>
      </c>
      <c r="O1293" s="1" t="s">
        <v>105</v>
      </c>
      <c r="P1293" s="11" t="s">
        <v>2198</v>
      </c>
      <c r="R1293" s="1">
        <v>3</v>
      </c>
      <c r="T1293" s="1" t="s">
        <v>646</v>
      </c>
      <c r="U1293" s="11" t="s">
        <v>2199</v>
      </c>
      <c r="V1293" s="1" t="s">
        <v>41</v>
      </c>
      <c r="W1293" s="1" t="s">
        <v>49</v>
      </c>
      <c r="Z1293" s="14">
        <v>1</v>
      </c>
    </row>
    <row r="1294" spans="1:26">
      <c r="A1294" s="1">
        <v>9420700</v>
      </c>
      <c r="B1294" s="1" t="s">
        <v>101</v>
      </c>
      <c r="C1294" t="s">
        <v>643</v>
      </c>
      <c r="D1294" s="2">
        <v>230018183</v>
      </c>
      <c r="E1294" s="2">
        <v>2229001400010</v>
      </c>
      <c r="F1294" s="1" t="s">
        <v>936</v>
      </c>
      <c r="G1294" s="1" t="s">
        <v>53</v>
      </c>
      <c r="H1294" s="1" t="s">
        <v>339</v>
      </c>
      <c r="I1294" s="1" t="s">
        <v>340</v>
      </c>
      <c r="J1294" s="1" t="s">
        <v>211</v>
      </c>
      <c r="K1294" t="s">
        <v>937</v>
      </c>
      <c r="M1294" s="1" t="s">
        <v>58</v>
      </c>
      <c r="N1294" s="1">
        <v>0</v>
      </c>
      <c r="O1294" s="1" t="s">
        <v>105</v>
      </c>
      <c r="P1294" s="11" t="s">
        <v>2200</v>
      </c>
      <c r="R1294" s="1">
        <v>3</v>
      </c>
      <c r="T1294" s="1" t="s">
        <v>646</v>
      </c>
      <c r="U1294" s="11" t="s">
        <v>2201</v>
      </c>
      <c r="V1294" s="1" t="s">
        <v>41</v>
      </c>
      <c r="W1294" s="1" t="s">
        <v>49</v>
      </c>
      <c r="Z1294" s="14">
        <v>1</v>
      </c>
    </row>
    <row r="1295" spans="1:26" hidden="1">
      <c r="A1295" s="1">
        <v>9420696</v>
      </c>
      <c r="B1295" s="1" t="s">
        <v>101</v>
      </c>
      <c r="C1295" t="s">
        <v>643</v>
      </c>
      <c r="D1295" s="2">
        <v>230018178</v>
      </c>
      <c r="E1295" s="2">
        <v>2219001400010</v>
      </c>
      <c r="F1295" s="1" t="s">
        <v>936</v>
      </c>
      <c r="G1295" s="1" t="s">
        <v>53</v>
      </c>
      <c r="H1295" s="1" t="s">
        <v>893</v>
      </c>
      <c r="I1295" s="1" t="s">
        <v>894</v>
      </c>
      <c r="J1295" s="1" t="s">
        <v>141</v>
      </c>
      <c r="K1295" t="s">
        <v>937</v>
      </c>
      <c r="M1295" s="1" t="s">
        <v>58</v>
      </c>
      <c r="N1295" s="1">
        <v>0</v>
      </c>
      <c r="O1295" s="1" t="s">
        <v>105</v>
      </c>
      <c r="P1295" s="11" t="s">
        <v>2202</v>
      </c>
      <c r="R1295" s="1">
        <v>3</v>
      </c>
      <c r="T1295" s="1" t="s">
        <v>646</v>
      </c>
      <c r="U1295" s="11" t="s">
        <v>2203</v>
      </c>
      <c r="V1295" s="1" t="s">
        <v>41</v>
      </c>
      <c r="W1295" s="1" t="s">
        <v>49</v>
      </c>
      <c r="Z1295" s="14">
        <v>1</v>
      </c>
    </row>
    <row r="1296" spans="1:26" hidden="1">
      <c r="A1296" s="1">
        <v>9420634</v>
      </c>
      <c r="B1296" s="1" t="s">
        <v>101</v>
      </c>
      <c r="C1296" t="s">
        <v>643</v>
      </c>
      <c r="D1296" s="2">
        <v>230018019</v>
      </c>
      <c r="E1296" s="2">
        <v>1710001400010</v>
      </c>
      <c r="F1296" s="1" t="s">
        <v>936</v>
      </c>
      <c r="G1296" s="1" t="s">
        <v>53</v>
      </c>
      <c r="H1296" s="1" t="s">
        <v>327</v>
      </c>
      <c r="I1296" s="1" t="s">
        <v>328</v>
      </c>
      <c r="J1296" s="1" t="s">
        <v>261</v>
      </c>
      <c r="K1296" t="s">
        <v>937</v>
      </c>
      <c r="M1296" s="1" t="s">
        <v>58</v>
      </c>
      <c r="N1296" s="1">
        <v>0</v>
      </c>
      <c r="O1296" s="1" t="s">
        <v>105</v>
      </c>
      <c r="P1296" s="11" t="s">
        <v>2204</v>
      </c>
      <c r="R1296" s="1">
        <v>3</v>
      </c>
      <c r="T1296" s="1" t="s">
        <v>646</v>
      </c>
      <c r="U1296" s="11" t="s">
        <v>2205</v>
      </c>
      <c r="V1296" s="1" t="s">
        <v>41</v>
      </c>
      <c r="W1296" s="1" t="s">
        <v>49</v>
      </c>
      <c r="Z1296" s="14">
        <v>1</v>
      </c>
    </row>
    <row r="1297" spans="1:26" hidden="1">
      <c r="A1297" s="1">
        <v>9420620</v>
      </c>
      <c r="B1297" s="1" t="s">
        <v>101</v>
      </c>
      <c r="C1297" t="s">
        <v>643</v>
      </c>
      <c r="D1297" s="2">
        <v>230018385</v>
      </c>
      <c r="E1297" s="2">
        <v>2811001400010</v>
      </c>
      <c r="F1297" s="1" t="s">
        <v>936</v>
      </c>
      <c r="G1297" s="1" t="s">
        <v>53</v>
      </c>
      <c r="H1297" s="1" t="s">
        <v>44</v>
      </c>
      <c r="I1297" s="1" t="s">
        <v>45</v>
      </c>
      <c r="J1297" s="1" t="s">
        <v>46</v>
      </c>
      <c r="K1297" t="s">
        <v>937</v>
      </c>
      <c r="M1297" s="1" t="s">
        <v>58</v>
      </c>
      <c r="N1297" s="1">
        <v>0</v>
      </c>
      <c r="O1297" s="1" t="s">
        <v>105</v>
      </c>
      <c r="P1297" s="11" t="s">
        <v>2206</v>
      </c>
      <c r="R1297" s="1">
        <v>3</v>
      </c>
      <c r="T1297" s="1" t="s">
        <v>646</v>
      </c>
      <c r="U1297" s="11" t="s">
        <v>2207</v>
      </c>
      <c r="V1297" s="1" t="s">
        <v>41</v>
      </c>
      <c r="W1297" s="1" t="s">
        <v>49</v>
      </c>
      <c r="Z1297" s="14">
        <v>1</v>
      </c>
    </row>
    <row r="1298" spans="1:26" hidden="1">
      <c r="A1298" s="1">
        <v>9420518</v>
      </c>
      <c r="B1298" s="1" t="s">
        <v>101</v>
      </c>
      <c r="C1298" t="s">
        <v>643</v>
      </c>
      <c r="D1298" s="2">
        <v>230018414</v>
      </c>
      <c r="E1298" s="2">
        <v>2889001400010</v>
      </c>
      <c r="F1298" s="1" t="s">
        <v>936</v>
      </c>
      <c r="G1298" s="1" t="s">
        <v>53</v>
      </c>
      <c r="H1298" s="1" t="s">
        <v>418</v>
      </c>
      <c r="I1298" s="1" t="s">
        <v>419</v>
      </c>
      <c r="J1298" s="1" t="s">
        <v>46</v>
      </c>
      <c r="K1298" t="s">
        <v>937</v>
      </c>
      <c r="M1298" s="1" t="s">
        <v>58</v>
      </c>
      <c r="N1298" s="1">
        <v>0</v>
      </c>
      <c r="O1298" s="1" t="s">
        <v>105</v>
      </c>
      <c r="P1298" s="11" t="s">
        <v>2208</v>
      </c>
      <c r="R1298" s="1">
        <v>3</v>
      </c>
      <c r="T1298" s="1" t="s">
        <v>646</v>
      </c>
      <c r="U1298" s="11" t="s">
        <v>2209</v>
      </c>
      <c r="V1298" s="1" t="s">
        <v>41</v>
      </c>
      <c r="W1298" s="1" t="s">
        <v>49</v>
      </c>
      <c r="Z1298" s="14">
        <v>1</v>
      </c>
    </row>
    <row r="1299" spans="1:26">
      <c r="A1299" s="1">
        <v>9420480</v>
      </c>
      <c r="B1299" s="1" t="s">
        <v>101</v>
      </c>
      <c r="C1299" t="s">
        <v>643</v>
      </c>
      <c r="D1299" s="2">
        <v>230018152</v>
      </c>
      <c r="E1299" s="2">
        <v>2170001400010</v>
      </c>
      <c r="F1299" s="1" t="s">
        <v>936</v>
      </c>
      <c r="G1299" s="1" t="s">
        <v>53</v>
      </c>
      <c r="H1299" s="1" t="s">
        <v>477</v>
      </c>
      <c r="I1299" s="1" t="s">
        <v>478</v>
      </c>
      <c r="J1299" s="1" t="s">
        <v>148</v>
      </c>
      <c r="K1299" t="s">
        <v>937</v>
      </c>
      <c r="M1299" s="1" t="s">
        <v>58</v>
      </c>
      <c r="N1299" s="1">
        <v>0</v>
      </c>
      <c r="O1299" s="1" t="s">
        <v>105</v>
      </c>
      <c r="P1299" s="11" t="s">
        <v>2210</v>
      </c>
      <c r="R1299" s="1">
        <v>3</v>
      </c>
      <c r="T1299" s="1" t="s">
        <v>646</v>
      </c>
      <c r="U1299" s="11" t="s">
        <v>2211</v>
      </c>
      <c r="V1299" s="1" t="s">
        <v>41</v>
      </c>
      <c r="W1299" s="1" t="s">
        <v>49</v>
      </c>
      <c r="Z1299" s="14">
        <v>1</v>
      </c>
    </row>
    <row r="1300" spans="1:26" hidden="1">
      <c r="A1300" s="1">
        <v>9420284</v>
      </c>
      <c r="B1300" s="1" t="s">
        <v>101</v>
      </c>
      <c r="C1300" t="s">
        <v>643</v>
      </c>
      <c r="D1300" s="2">
        <v>230017858</v>
      </c>
      <c r="E1300" s="2">
        <v>1361001400010</v>
      </c>
      <c r="F1300" s="1" t="s">
        <v>936</v>
      </c>
      <c r="G1300" s="1" t="s">
        <v>53</v>
      </c>
      <c r="H1300" s="1" t="s">
        <v>309</v>
      </c>
      <c r="I1300" s="1" t="s">
        <v>310</v>
      </c>
      <c r="J1300" s="1" t="s">
        <v>46</v>
      </c>
      <c r="K1300" t="s">
        <v>937</v>
      </c>
      <c r="M1300" s="1" t="s">
        <v>58</v>
      </c>
      <c r="N1300" s="1">
        <v>0</v>
      </c>
      <c r="O1300" s="1" t="s">
        <v>105</v>
      </c>
      <c r="P1300" s="11" t="s">
        <v>2212</v>
      </c>
      <c r="R1300" s="1">
        <v>3</v>
      </c>
      <c r="T1300" s="1" t="s">
        <v>646</v>
      </c>
      <c r="U1300" s="11" t="s">
        <v>2213</v>
      </c>
      <c r="V1300" s="1" t="s">
        <v>41</v>
      </c>
      <c r="W1300" s="1" t="s">
        <v>49</v>
      </c>
      <c r="Z1300" s="14">
        <v>1</v>
      </c>
    </row>
    <row r="1301" spans="1:26" hidden="1">
      <c r="A1301" s="1">
        <v>9420231</v>
      </c>
      <c r="B1301" s="1" t="s">
        <v>101</v>
      </c>
      <c r="C1301" t="s">
        <v>643</v>
      </c>
      <c r="D1301" s="2">
        <v>230017980</v>
      </c>
      <c r="E1301" s="2">
        <v>1620001400010</v>
      </c>
      <c r="F1301" s="1" t="s">
        <v>936</v>
      </c>
      <c r="G1301" s="1" t="s">
        <v>53</v>
      </c>
      <c r="H1301" s="1" t="s">
        <v>402</v>
      </c>
      <c r="I1301" s="1" t="s">
        <v>403</v>
      </c>
      <c r="J1301" s="1" t="s">
        <v>46</v>
      </c>
      <c r="K1301" t="s">
        <v>937</v>
      </c>
      <c r="M1301" s="1" t="s">
        <v>58</v>
      </c>
      <c r="N1301" s="1">
        <v>0</v>
      </c>
      <c r="O1301" s="1" t="s">
        <v>105</v>
      </c>
      <c r="P1301" s="11" t="s">
        <v>2214</v>
      </c>
      <c r="R1301" s="1">
        <v>3</v>
      </c>
      <c r="T1301" s="1" t="s">
        <v>646</v>
      </c>
      <c r="U1301" s="11" t="s">
        <v>2215</v>
      </c>
      <c r="V1301" s="1" t="s">
        <v>41</v>
      </c>
      <c r="W1301" s="1" t="s">
        <v>49</v>
      </c>
      <c r="Z1301" s="14">
        <v>1</v>
      </c>
    </row>
    <row r="1302" spans="1:26" hidden="1">
      <c r="A1302" s="1">
        <v>9420175</v>
      </c>
      <c r="B1302" s="1" t="s">
        <v>101</v>
      </c>
      <c r="C1302" t="s">
        <v>643</v>
      </c>
      <c r="D1302" s="2">
        <v>230017622</v>
      </c>
      <c r="E1302" s="2">
        <v>721001400010</v>
      </c>
      <c r="F1302" s="1" t="s">
        <v>936</v>
      </c>
      <c r="G1302" s="1" t="s">
        <v>53</v>
      </c>
      <c r="H1302" s="1" t="s">
        <v>422</v>
      </c>
      <c r="I1302" s="1" t="s">
        <v>423</v>
      </c>
      <c r="J1302" s="1" t="s">
        <v>79</v>
      </c>
      <c r="K1302" t="s">
        <v>937</v>
      </c>
      <c r="M1302" s="1" t="s">
        <v>58</v>
      </c>
      <c r="N1302" s="1">
        <v>0</v>
      </c>
      <c r="O1302" s="1" t="s">
        <v>105</v>
      </c>
      <c r="P1302" s="11" t="s">
        <v>2216</v>
      </c>
      <c r="R1302" s="1">
        <v>3</v>
      </c>
      <c r="T1302" s="1" t="s">
        <v>646</v>
      </c>
      <c r="U1302" s="11" t="s">
        <v>2217</v>
      </c>
      <c r="V1302" s="1" t="s">
        <v>41</v>
      </c>
      <c r="W1302" s="1" t="s">
        <v>49</v>
      </c>
      <c r="Z1302" s="14">
        <v>1</v>
      </c>
    </row>
    <row r="1303" spans="1:26" hidden="1">
      <c r="A1303" s="1">
        <v>9420132</v>
      </c>
      <c r="B1303" s="1" t="s">
        <v>101</v>
      </c>
      <c r="C1303" t="s">
        <v>643</v>
      </c>
      <c r="D1303" s="2">
        <v>230022005</v>
      </c>
      <c r="E1303" s="2">
        <v>3918001400040</v>
      </c>
      <c r="F1303" s="1" t="s">
        <v>644</v>
      </c>
      <c r="G1303" s="1" t="s">
        <v>53</v>
      </c>
      <c r="H1303" s="1" t="s">
        <v>858</v>
      </c>
      <c r="I1303" s="1" t="s">
        <v>859</v>
      </c>
      <c r="J1303" s="1" t="s">
        <v>33</v>
      </c>
      <c r="K1303" t="s">
        <v>645</v>
      </c>
      <c r="M1303" s="1" t="s">
        <v>58</v>
      </c>
      <c r="N1303" s="1">
        <v>0</v>
      </c>
      <c r="O1303" s="1" t="s">
        <v>105</v>
      </c>
      <c r="P1303" s="11" t="s">
        <v>2218</v>
      </c>
      <c r="R1303" s="1">
        <v>3</v>
      </c>
      <c r="T1303" s="1" t="s">
        <v>646</v>
      </c>
      <c r="U1303" s="11" t="s">
        <v>2219</v>
      </c>
      <c r="V1303" s="1" t="s">
        <v>41</v>
      </c>
      <c r="W1303" s="1" t="s">
        <v>49</v>
      </c>
      <c r="Z1303" s="14">
        <v>1</v>
      </c>
    </row>
    <row r="1304" spans="1:26" hidden="1">
      <c r="A1304" s="1">
        <v>9419921</v>
      </c>
      <c r="B1304" s="1" t="s">
        <v>101</v>
      </c>
      <c r="C1304" t="s">
        <v>643</v>
      </c>
      <c r="D1304" s="2">
        <v>230021431</v>
      </c>
      <c r="E1304" s="2">
        <v>2138001400040</v>
      </c>
      <c r="F1304" s="1" t="s">
        <v>644</v>
      </c>
      <c r="G1304" s="1" t="s">
        <v>53</v>
      </c>
      <c r="H1304" s="1" t="s">
        <v>379</v>
      </c>
      <c r="I1304" s="1" t="s">
        <v>380</v>
      </c>
      <c r="J1304" s="1" t="s">
        <v>46</v>
      </c>
      <c r="K1304" t="s">
        <v>645</v>
      </c>
      <c r="M1304" s="1" t="s">
        <v>58</v>
      </c>
      <c r="N1304" s="1">
        <v>0</v>
      </c>
      <c r="O1304" s="1" t="s">
        <v>105</v>
      </c>
      <c r="P1304" s="11" t="s">
        <v>2220</v>
      </c>
      <c r="R1304" s="1">
        <v>3</v>
      </c>
      <c r="T1304" s="1" t="s">
        <v>646</v>
      </c>
      <c r="U1304" s="11" t="s">
        <v>2221</v>
      </c>
      <c r="V1304" s="1" t="s">
        <v>41</v>
      </c>
      <c r="W1304" s="1" t="s">
        <v>49</v>
      </c>
      <c r="Z1304" s="14">
        <v>1</v>
      </c>
    </row>
    <row r="1305" spans="1:26" hidden="1">
      <c r="A1305" s="1">
        <v>9419909</v>
      </c>
      <c r="B1305" s="1" t="s">
        <v>101</v>
      </c>
      <c r="C1305" t="s">
        <v>643</v>
      </c>
      <c r="D1305" s="2">
        <v>230021419</v>
      </c>
      <c r="E1305" s="2">
        <v>2107001400040</v>
      </c>
      <c r="F1305" s="1" t="s">
        <v>644</v>
      </c>
      <c r="G1305" s="1" t="s">
        <v>53</v>
      </c>
      <c r="H1305" s="1" t="s">
        <v>262</v>
      </c>
      <c r="I1305" s="1" t="s">
        <v>263</v>
      </c>
      <c r="J1305" s="1" t="s">
        <v>164</v>
      </c>
      <c r="K1305" t="s">
        <v>645</v>
      </c>
      <c r="M1305" s="1" t="s">
        <v>58</v>
      </c>
      <c r="N1305" s="1">
        <v>0</v>
      </c>
      <c r="O1305" s="1" t="s">
        <v>105</v>
      </c>
      <c r="P1305" s="11" t="s">
        <v>2222</v>
      </c>
      <c r="R1305" s="1">
        <v>3</v>
      </c>
      <c r="T1305" s="1" t="s">
        <v>646</v>
      </c>
      <c r="U1305" s="11" t="s">
        <v>2223</v>
      </c>
      <c r="V1305" s="1" t="s">
        <v>41</v>
      </c>
      <c r="W1305" s="1" t="s">
        <v>49</v>
      </c>
      <c r="Z1305" s="14">
        <v>1</v>
      </c>
    </row>
    <row r="1306" spans="1:26">
      <c r="A1306" s="1">
        <v>9419884</v>
      </c>
      <c r="B1306" s="1" t="s">
        <v>101</v>
      </c>
      <c r="C1306" t="s">
        <v>643</v>
      </c>
      <c r="D1306" s="2">
        <v>230021406</v>
      </c>
      <c r="E1306" s="2">
        <v>2069001400040</v>
      </c>
      <c r="F1306" s="1" t="s">
        <v>644</v>
      </c>
      <c r="G1306" s="1" t="s">
        <v>53</v>
      </c>
      <c r="H1306" s="1" t="s">
        <v>557</v>
      </c>
      <c r="I1306" s="1" t="s">
        <v>558</v>
      </c>
      <c r="J1306" s="1" t="s">
        <v>90</v>
      </c>
      <c r="K1306" t="s">
        <v>645</v>
      </c>
      <c r="M1306" s="1" t="s">
        <v>58</v>
      </c>
      <c r="N1306" s="1">
        <v>0</v>
      </c>
      <c r="O1306" s="1" t="s">
        <v>105</v>
      </c>
      <c r="P1306" s="11" t="s">
        <v>2224</v>
      </c>
      <c r="R1306" s="1">
        <v>2</v>
      </c>
      <c r="T1306" s="1" t="s">
        <v>646</v>
      </c>
      <c r="U1306" s="11" t="s">
        <v>2225</v>
      </c>
      <c r="V1306" s="1" t="s">
        <v>41</v>
      </c>
      <c r="W1306" s="1" t="s">
        <v>49</v>
      </c>
      <c r="Z1306" s="14">
        <v>1</v>
      </c>
    </row>
    <row r="1307" spans="1:26" hidden="1">
      <c r="A1307" s="1">
        <v>9419831</v>
      </c>
      <c r="B1307" s="1" t="s">
        <v>101</v>
      </c>
      <c r="C1307" t="s">
        <v>643</v>
      </c>
      <c r="D1307" s="2">
        <v>230021369</v>
      </c>
      <c r="E1307" s="2">
        <v>1838001400040</v>
      </c>
      <c r="F1307" s="1" t="s">
        <v>644</v>
      </c>
      <c r="G1307" s="1" t="s">
        <v>53</v>
      </c>
      <c r="H1307" s="1" t="s">
        <v>357</v>
      </c>
      <c r="I1307" s="1" t="s">
        <v>358</v>
      </c>
      <c r="J1307" s="1" t="s">
        <v>46</v>
      </c>
      <c r="K1307" t="s">
        <v>645</v>
      </c>
      <c r="M1307" s="1" t="s">
        <v>58</v>
      </c>
      <c r="N1307" s="1">
        <v>0</v>
      </c>
      <c r="O1307" s="1" t="s">
        <v>105</v>
      </c>
      <c r="P1307" s="11" t="s">
        <v>2226</v>
      </c>
      <c r="R1307" s="1">
        <v>2</v>
      </c>
      <c r="T1307" s="1" t="s">
        <v>646</v>
      </c>
      <c r="U1307" s="11" t="s">
        <v>2227</v>
      </c>
      <c r="V1307" s="1" t="s">
        <v>41</v>
      </c>
      <c r="W1307" s="1" t="s">
        <v>49</v>
      </c>
      <c r="Z1307" s="14">
        <v>1</v>
      </c>
    </row>
    <row r="1308" spans="1:26" hidden="1">
      <c r="A1308" s="1">
        <v>9419830</v>
      </c>
      <c r="B1308" s="1" t="s">
        <v>101</v>
      </c>
      <c r="C1308" t="s">
        <v>643</v>
      </c>
      <c r="D1308" s="2">
        <v>230021368</v>
      </c>
      <c r="E1308" s="2">
        <v>1837001400040</v>
      </c>
      <c r="F1308" s="1" t="s">
        <v>644</v>
      </c>
      <c r="G1308" s="1" t="s">
        <v>53</v>
      </c>
      <c r="H1308" s="1" t="s">
        <v>1785</v>
      </c>
      <c r="I1308" s="1" t="s">
        <v>1786</v>
      </c>
      <c r="J1308" s="1" t="s">
        <v>46</v>
      </c>
      <c r="K1308" t="s">
        <v>645</v>
      </c>
      <c r="M1308" s="1" t="s">
        <v>58</v>
      </c>
      <c r="N1308" s="1">
        <v>0</v>
      </c>
      <c r="O1308" s="1" t="s">
        <v>105</v>
      </c>
      <c r="P1308" s="11" t="s">
        <v>2228</v>
      </c>
      <c r="R1308" s="1">
        <v>2</v>
      </c>
      <c r="T1308" s="1" t="s">
        <v>646</v>
      </c>
      <c r="U1308" s="11" t="s">
        <v>2229</v>
      </c>
      <c r="V1308" s="1" t="s">
        <v>41</v>
      </c>
      <c r="W1308" s="1" t="s">
        <v>49</v>
      </c>
      <c r="Z1308" s="14">
        <v>1</v>
      </c>
    </row>
    <row r="1309" spans="1:26" hidden="1">
      <c r="A1309" s="1">
        <v>9419828</v>
      </c>
      <c r="B1309" s="1" t="s">
        <v>101</v>
      </c>
      <c r="C1309" t="s">
        <v>643</v>
      </c>
      <c r="D1309" s="2">
        <v>230021367</v>
      </c>
      <c r="E1309" s="2">
        <v>1836001400040</v>
      </c>
      <c r="F1309" s="1" t="s">
        <v>644</v>
      </c>
      <c r="G1309" s="1" t="s">
        <v>53</v>
      </c>
      <c r="H1309" s="1" t="s">
        <v>455</v>
      </c>
      <c r="I1309" s="1" t="s">
        <v>456</v>
      </c>
      <c r="J1309" s="1" t="s">
        <v>46</v>
      </c>
      <c r="K1309" t="s">
        <v>645</v>
      </c>
      <c r="M1309" s="1" t="s">
        <v>58</v>
      </c>
      <c r="N1309" s="1">
        <v>0</v>
      </c>
      <c r="O1309" s="1" t="s">
        <v>105</v>
      </c>
      <c r="P1309" s="11" t="s">
        <v>2230</v>
      </c>
      <c r="R1309" s="1">
        <v>3</v>
      </c>
      <c r="T1309" s="1" t="s">
        <v>646</v>
      </c>
      <c r="U1309" s="11" t="s">
        <v>2231</v>
      </c>
      <c r="V1309" s="1" t="s">
        <v>41</v>
      </c>
      <c r="W1309" s="1" t="s">
        <v>49</v>
      </c>
      <c r="Z1309" s="14">
        <v>1</v>
      </c>
    </row>
    <row r="1310" spans="1:26" hidden="1">
      <c r="A1310" s="1">
        <v>9419827</v>
      </c>
      <c r="B1310" s="1" t="s">
        <v>101</v>
      </c>
      <c r="C1310" t="s">
        <v>643</v>
      </c>
      <c r="D1310" s="2">
        <v>230021366</v>
      </c>
      <c r="E1310" s="2">
        <v>1835001400040</v>
      </c>
      <c r="F1310" s="1" t="s">
        <v>644</v>
      </c>
      <c r="G1310" s="1" t="s">
        <v>53</v>
      </c>
      <c r="H1310" s="1" t="s">
        <v>305</v>
      </c>
      <c r="I1310" s="1" t="s">
        <v>306</v>
      </c>
      <c r="J1310" s="1" t="s">
        <v>46</v>
      </c>
      <c r="K1310" t="s">
        <v>645</v>
      </c>
      <c r="M1310" s="1" t="s">
        <v>58</v>
      </c>
      <c r="N1310" s="1">
        <v>0</v>
      </c>
      <c r="O1310" s="1" t="s">
        <v>105</v>
      </c>
      <c r="P1310" s="11" t="s">
        <v>2232</v>
      </c>
      <c r="R1310" s="1">
        <v>3</v>
      </c>
      <c r="T1310" s="1" t="s">
        <v>646</v>
      </c>
      <c r="U1310" s="11" t="s">
        <v>2233</v>
      </c>
      <c r="V1310" s="1" t="s">
        <v>41</v>
      </c>
      <c r="W1310" s="1" t="s">
        <v>49</v>
      </c>
      <c r="Z1310" s="14">
        <v>1</v>
      </c>
    </row>
    <row r="1311" spans="1:26" hidden="1">
      <c r="A1311" s="1">
        <v>9419826</v>
      </c>
      <c r="B1311" s="1" t="s">
        <v>101</v>
      </c>
      <c r="C1311" t="s">
        <v>643</v>
      </c>
      <c r="D1311" s="2">
        <v>230021365</v>
      </c>
      <c r="E1311" s="2">
        <v>1833001400040</v>
      </c>
      <c r="F1311" s="1" t="s">
        <v>644</v>
      </c>
      <c r="G1311" s="1" t="s">
        <v>53</v>
      </c>
      <c r="H1311" s="1" t="s">
        <v>369</v>
      </c>
      <c r="I1311" s="1" t="s">
        <v>370</v>
      </c>
      <c r="J1311" s="1" t="s">
        <v>46</v>
      </c>
      <c r="K1311" t="s">
        <v>645</v>
      </c>
      <c r="M1311" s="1" t="s">
        <v>58</v>
      </c>
      <c r="N1311" s="1">
        <v>0</v>
      </c>
      <c r="O1311" s="1" t="s">
        <v>105</v>
      </c>
      <c r="P1311" s="11" t="s">
        <v>2234</v>
      </c>
      <c r="R1311" s="1">
        <v>3</v>
      </c>
      <c r="T1311" s="1" t="s">
        <v>646</v>
      </c>
      <c r="U1311" s="11" t="s">
        <v>2235</v>
      </c>
      <c r="V1311" s="1" t="s">
        <v>41</v>
      </c>
      <c r="W1311" s="1" t="s">
        <v>49</v>
      </c>
      <c r="Z1311" s="14">
        <v>1</v>
      </c>
    </row>
    <row r="1312" spans="1:26" hidden="1">
      <c r="A1312" s="1">
        <v>9419817</v>
      </c>
      <c r="B1312" s="1" t="s">
        <v>101</v>
      </c>
      <c r="C1312" t="s">
        <v>643</v>
      </c>
      <c r="D1312" s="2">
        <v>230021358</v>
      </c>
      <c r="E1312" s="2">
        <v>1814031400040</v>
      </c>
      <c r="F1312" s="1" t="s">
        <v>644</v>
      </c>
      <c r="G1312" s="1" t="s">
        <v>53</v>
      </c>
      <c r="H1312" s="1" t="s">
        <v>719</v>
      </c>
      <c r="I1312" s="1" t="s">
        <v>188</v>
      </c>
      <c r="J1312" s="1" t="s">
        <v>46</v>
      </c>
      <c r="K1312" t="s">
        <v>645</v>
      </c>
      <c r="M1312" s="1" t="s">
        <v>58</v>
      </c>
      <c r="N1312" s="1">
        <v>0</v>
      </c>
      <c r="O1312" s="1" t="s">
        <v>105</v>
      </c>
      <c r="P1312" s="11" t="s">
        <v>2236</v>
      </c>
      <c r="R1312" s="1">
        <v>3</v>
      </c>
      <c r="T1312" s="1" t="s">
        <v>646</v>
      </c>
      <c r="U1312" s="11" t="s">
        <v>2237</v>
      </c>
      <c r="V1312" s="1" t="s">
        <v>41</v>
      </c>
      <c r="W1312" s="1" t="s">
        <v>49</v>
      </c>
      <c r="Z1312" s="14">
        <v>1</v>
      </c>
    </row>
    <row r="1313" spans="1:26" hidden="1">
      <c r="A1313" s="1">
        <v>9419815</v>
      </c>
      <c r="B1313" s="1" t="s">
        <v>101</v>
      </c>
      <c r="C1313" t="s">
        <v>643</v>
      </c>
      <c r="D1313" s="2">
        <v>230021357</v>
      </c>
      <c r="E1313" s="2">
        <v>1814001400040</v>
      </c>
      <c r="F1313" s="1" t="s">
        <v>644</v>
      </c>
      <c r="G1313" s="1" t="s">
        <v>53</v>
      </c>
      <c r="H1313" s="1" t="s">
        <v>396</v>
      </c>
      <c r="I1313" s="1" t="s">
        <v>397</v>
      </c>
      <c r="J1313" s="1" t="s">
        <v>46</v>
      </c>
      <c r="K1313" t="s">
        <v>645</v>
      </c>
      <c r="M1313" s="1" t="s">
        <v>58</v>
      </c>
      <c r="N1313" s="1">
        <v>0</v>
      </c>
      <c r="O1313" s="1" t="s">
        <v>105</v>
      </c>
      <c r="P1313" s="11" t="s">
        <v>2238</v>
      </c>
      <c r="R1313" s="1">
        <v>2</v>
      </c>
      <c r="T1313" s="1" t="s">
        <v>646</v>
      </c>
      <c r="U1313" s="11" t="s">
        <v>2239</v>
      </c>
      <c r="V1313" s="1" t="s">
        <v>41</v>
      </c>
      <c r="W1313" s="1" t="s">
        <v>49</v>
      </c>
      <c r="Z1313" s="14">
        <v>1</v>
      </c>
    </row>
    <row r="1314" spans="1:26">
      <c r="A1314" s="1">
        <v>9419654</v>
      </c>
      <c r="B1314" s="1" t="s">
        <v>101</v>
      </c>
      <c r="C1314" t="s">
        <v>643</v>
      </c>
      <c r="D1314" s="2">
        <v>230021562</v>
      </c>
      <c r="E1314" s="2">
        <v>2422001400040</v>
      </c>
      <c r="F1314" s="1" t="s">
        <v>644</v>
      </c>
      <c r="G1314" s="1" t="s">
        <v>53</v>
      </c>
      <c r="H1314" s="1" t="s">
        <v>1844</v>
      </c>
      <c r="I1314" s="1" t="s">
        <v>1845</v>
      </c>
      <c r="J1314" s="1" t="s">
        <v>211</v>
      </c>
      <c r="K1314" t="s">
        <v>645</v>
      </c>
      <c r="M1314" s="1" t="s">
        <v>58</v>
      </c>
      <c r="N1314" s="1">
        <v>0</v>
      </c>
      <c r="O1314" s="1" t="s">
        <v>105</v>
      </c>
      <c r="P1314" s="11" t="s">
        <v>2240</v>
      </c>
      <c r="R1314" s="1">
        <v>2</v>
      </c>
      <c r="T1314" s="1" t="s">
        <v>646</v>
      </c>
      <c r="U1314" s="11" t="s">
        <v>2241</v>
      </c>
      <c r="V1314" s="1" t="s">
        <v>41</v>
      </c>
      <c r="W1314" s="1" t="s">
        <v>49</v>
      </c>
      <c r="Z1314" s="14">
        <v>1</v>
      </c>
    </row>
    <row r="1315" spans="1:26" hidden="1">
      <c r="A1315" s="1">
        <v>9419577</v>
      </c>
      <c r="B1315" s="1" t="s">
        <v>101</v>
      </c>
      <c r="C1315" t="s">
        <v>643</v>
      </c>
      <c r="D1315" s="2">
        <v>230021757</v>
      </c>
      <c r="E1315" s="2">
        <v>2988001400040</v>
      </c>
      <c r="F1315" s="1" t="s">
        <v>644</v>
      </c>
      <c r="G1315" s="1" t="s">
        <v>53</v>
      </c>
      <c r="H1315" s="1" t="s">
        <v>536</v>
      </c>
      <c r="I1315" s="1" t="s">
        <v>537</v>
      </c>
      <c r="J1315" s="1" t="s">
        <v>46</v>
      </c>
      <c r="K1315" t="s">
        <v>645</v>
      </c>
      <c r="M1315" s="1" t="s">
        <v>58</v>
      </c>
      <c r="N1315" s="1">
        <v>0</v>
      </c>
      <c r="O1315" s="1" t="s">
        <v>105</v>
      </c>
      <c r="P1315" s="11" t="s">
        <v>2242</v>
      </c>
      <c r="R1315" s="1">
        <v>2</v>
      </c>
      <c r="T1315" s="1" t="s">
        <v>646</v>
      </c>
      <c r="U1315" s="11" t="s">
        <v>2243</v>
      </c>
      <c r="V1315" s="1" t="s">
        <v>41</v>
      </c>
      <c r="W1315" s="1" t="s">
        <v>49</v>
      </c>
      <c r="Z1315" s="14">
        <v>1</v>
      </c>
    </row>
    <row r="1316" spans="1:26">
      <c r="A1316" s="1">
        <v>9419561</v>
      </c>
      <c r="B1316" s="1" t="s">
        <v>101</v>
      </c>
      <c r="C1316" t="s">
        <v>643</v>
      </c>
      <c r="D1316" s="2">
        <v>230021447</v>
      </c>
      <c r="E1316" s="2">
        <v>2170001400040</v>
      </c>
      <c r="F1316" s="1" t="s">
        <v>644</v>
      </c>
      <c r="G1316" s="1" t="s">
        <v>53</v>
      </c>
      <c r="H1316" s="1" t="s">
        <v>477</v>
      </c>
      <c r="I1316" s="1" t="s">
        <v>478</v>
      </c>
      <c r="J1316" s="1" t="s">
        <v>148</v>
      </c>
      <c r="K1316" t="s">
        <v>645</v>
      </c>
      <c r="M1316" s="1" t="s">
        <v>58</v>
      </c>
      <c r="N1316" s="1">
        <v>0</v>
      </c>
      <c r="O1316" s="1" t="s">
        <v>105</v>
      </c>
      <c r="P1316" s="11" t="s">
        <v>2244</v>
      </c>
      <c r="R1316" s="1">
        <v>3</v>
      </c>
      <c r="T1316" s="1" t="s">
        <v>646</v>
      </c>
      <c r="U1316" s="11" t="s">
        <v>2245</v>
      </c>
      <c r="V1316" s="1" t="s">
        <v>41</v>
      </c>
      <c r="W1316" s="1" t="s">
        <v>49</v>
      </c>
      <c r="Z1316" s="14">
        <v>1</v>
      </c>
    </row>
    <row r="1317" spans="1:26" hidden="1">
      <c r="A1317" s="1">
        <v>9419525</v>
      </c>
      <c r="B1317" s="1" t="s">
        <v>101</v>
      </c>
      <c r="C1317" t="s">
        <v>643</v>
      </c>
      <c r="D1317" s="2">
        <v>230021156</v>
      </c>
      <c r="E1317" s="2">
        <v>1361001400040</v>
      </c>
      <c r="F1317" s="1" t="s">
        <v>644</v>
      </c>
      <c r="G1317" s="1" t="s">
        <v>53</v>
      </c>
      <c r="H1317" s="1" t="s">
        <v>309</v>
      </c>
      <c r="I1317" s="1" t="s">
        <v>310</v>
      </c>
      <c r="J1317" s="1" t="s">
        <v>46</v>
      </c>
      <c r="K1317" t="s">
        <v>645</v>
      </c>
      <c r="M1317" s="1" t="s">
        <v>58</v>
      </c>
      <c r="N1317" s="1">
        <v>0</v>
      </c>
      <c r="O1317" s="1" t="s">
        <v>105</v>
      </c>
      <c r="P1317" s="11" t="s">
        <v>2246</v>
      </c>
      <c r="R1317" s="1">
        <v>3</v>
      </c>
      <c r="T1317" s="1" t="s">
        <v>646</v>
      </c>
      <c r="U1317" s="11" t="s">
        <v>2247</v>
      </c>
      <c r="V1317" s="1" t="s">
        <v>41</v>
      </c>
      <c r="W1317" s="1" t="s">
        <v>49</v>
      </c>
      <c r="Z1317" s="14">
        <v>1</v>
      </c>
    </row>
    <row r="1318" spans="1:26" hidden="1">
      <c r="A1318" s="1">
        <v>9419422</v>
      </c>
      <c r="B1318" s="1" t="s">
        <v>101</v>
      </c>
      <c r="C1318" t="s">
        <v>643</v>
      </c>
      <c r="D1318" s="2">
        <v>230021088</v>
      </c>
      <c r="E1318" s="2">
        <v>1153001400040</v>
      </c>
      <c r="F1318" s="1" t="s">
        <v>644</v>
      </c>
      <c r="G1318" s="1" t="s">
        <v>53</v>
      </c>
      <c r="H1318" s="1" t="s">
        <v>1031</v>
      </c>
      <c r="I1318" s="1" t="s">
        <v>1032</v>
      </c>
      <c r="J1318" s="1" t="s">
        <v>79</v>
      </c>
      <c r="K1318" t="s">
        <v>645</v>
      </c>
      <c r="M1318" s="1" t="s">
        <v>58</v>
      </c>
      <c r="N1318" s="1">
        <v>0</v>
      </c>
      <c r="O1318" s="1" t="s">
        <v>105</v>
      </c>
      <c r="P1318" s="11" t="s">
        <v>2248</v>
      </c>
      <c r="R1318" s="1">
        <v>3</v>
      </c>
      <c r="T1318" s="1" t="s">
        <v>646</v>
      </c>
      <c r="U1318" s="11" t="s">
        <v>2249</v>
      </c>
      <c r="V1318" s="1" t="s">
        <v>41</v>
      </c>
      <c r="W1318" s="1" t="s">
        <v>49</v>
      </c>
      <c r="Z1318" s="14">
        <v>1</v>
      </c>
    </row>
    <row r="1319" spans="1:26">
      <c r="A1319" s="181">
        <v>9419396</v>
      </c>
      <c r="B1319" s="181" t="s">
        <v>101</v>
      </c>
      <c r="C1319" s="182" t="s">
        <v>2179</v>
      </c>
      <c r="D1319" s="183">
        <v>230021074</v>
      </c>
      <c r="E1319" s="183">
        <v>1108001400040</v>
      </c>
      <c r="F1319" s="181" t="s">
        <v>644</v>
      </c>
      <c r="G1319" s="181" t="s">
        <v>53</v>
      </c>
      <c r="H1319" s="181" t="s">
        <v>295</v>
      </c>
      <c r="I1319" s="181" t="s">
        <v>296</v>
      </c>
      <c r="J1319" s="181" t="s">
        <v>90</v>
      </c>
      <c r="K1319" t="s">
        <v>645</v>
      </c>
      <c r="M1319" s="1" t="s">
        <v>58</v>
      </c>
      <c r="N1319" s="1">
        <v>0</v>
      </c>
      <c r="O1319" s="1" t="s">
        <v>105</v>
      </c>
      <c r="P1319" s="11" t="s">
        <v>2250</v>
      </c>
      <c r="R1319" s="1">
        <v>2</v>
      </c>
      <c r="T1319" s="1" t="s">
        <v>646</v>
      </c>
      <c r="U1319" s="12">
        <v>44959.447152777779</v>
      </c>
      <c r="V1319" s="1" t="s">
        <v>41</v>
      </c>
      <c r="W1319" s="1" t="s">
        <v>49</v>
      </c>
      <c r="Z1319" s="14">
        <v>1</v>
      </c>
    </row>
    <row r="1320" spans="1:26">
      <c r="A1320" s="1">
        <v>9419377</v>
      </c>
      <c r="B1320" s="1" t="s">
        <v>101</v>
      </c>
      <c r="C1320" t="s">
        <v>643</v>
      </c>
      <c r="D1320" s="2">
        <v>230021055</v>
      </c>
      <c r="E1320" s="2">
        <v>1059001400040</v>
      </c>
      <c r="F1320" s="1" t="s">
        <v>644</v>
      </c>
      <c r="G1320" s="1" t="s">
        <v>53</v>
      </c>
      <c r="H1320" s="1" t="s">
        <v>88</v>
      </c>
      <c r="I1320" s="1" t="s">
        <v>89</v>
      </c>
      <c r="J1320" s="1" t="s">
        <v>90</v>
      </c>
      <c r="K1320" t="s">
        <v>645</v>
      </c>
      <c r="M1320" s="1" t="s">
        <v>58</v>
      </c>
      <c r="N1320" s="1">
        <v>0</v>
      </c>
      <c r="O1320" s="1" t="s">
        <v>105</v>
      </c>
      <c r="P1320" s="12">
        <v>44958.445428240739</v>
      </c>
      <c r="R1320" s="1">
        <v>2</v>
      </c>
      <c r="T1320" s="1" t="s">
        <v>646</v>
      </c>
      <c r="U1320" s="12">
        <v>44959.445428240739</v>
      </c>
      <c r="V1320" s="1" t="s">
        <v>41</v>
      </c>
      <c r="W1320" s="1" t="s">
        <v>49</v>
      </c>
      <c r="Z1320" s="14">
        <v>1</v>
      </c>
    </row>
    <row r="1321" spans="1:26" hidden="1">
      <c r="A1321" s="1">
        <v>9419293</v>
      </c>
      <c r="B1321" s="1" t="s">
        <v>101</v>
      </c>
      <c r="C1321" t="s">
        <v>643</v>
      </c>
      <c r="D1321" s="2">
        <v>230021183</v>
      </c>
      <c r="E1321" s="2">
        <v>1421001400040</v>
      </c>
      <c r="F1321" s="1" t="s">
        <v>644</v>
      </c>
      <c r="G1321" s="1" t="s">
        <v>53</v>
      </c>
      <c r="H1321" s="1" t="s">
        <v>179</v>
      </c>
      <c r="I1321" s="1" t="s">
        <v>180</v>
      </c>
      <c r="J1321" s="1" t="s">
        <v>79</v>
      </c>
      <c r="K1321" t="s">
        <v>645</v>
      </c>
      <c r="M1321" s="1" t="s">
        <v>58</v>
      </c>
      <c r="N1321" s="1">
        <v>0</v>
      </c>
      <c r="O1321" s="1" t="s">
        <v>105</v>
      </c>
      <c r="P1321" s="12">
        <v>44958.440370370372</v>
      </c>
      <c r="R1321" s="1">
        <v>2</v>
      </c>
      <c r="T1321" s="1" t="s">
        <v>646</v>
      </c>
      <c r="U1321" s="12">
        <v>44959.440381944441</v>
      </c>
      <c r="V1321" s="1" t="s">
        <v>41</v>
      </c>
      <c r="W1321" s="1" t="s">
        <v>49</v>
      </c>
      <c r="Z1321" s="14">
        <v>1</v>
      </c>
    </row>
    <row r="1322" spans="1:26" hidden="1">
      <c r="A1322" s="1">
        <v>9419109</v>
      </c>
      <c r="B1322" s="1" t="s">
        <v>101</v>
      </c>
      <c r="C1322" t="s">
        <v>643</v>
      </c>
      <c r="D1322" s="2">
        <v>230020746</v>
      </c>
      <c r="E1322" s="2">
        <v>115001400040</v>
      </c>
      <c r="F1322" s="1" t="s">
        <v>644</v>
      </c>
      <c r="G1322" s="1" t="s">
        <v>53</v>
      </c>
      <c r="H1322" s="1" t="s">
        <v>542</v>
      </c>
      <c r="I1322" s="1" t="s">
        <v>543</v>
      </c>
      <c r="J1322" s="1" t="s">
        <v>56</v>
      </c>
      <c r="K1322" t="s">
        <v>645</v>
      </c>
      <c r="M1322" s="1" t="s">
        <v>58</v>
      </c>
      <c r="N1322" s="1">
        <v>0</v>
      </c>
      <c r="O1322" s="1" t="s">
        <v>105</v>
      </c>
      <c r="P1322" s="12">
        <v>44958.432175925926</v>
      </c>
      <c r="R1322" s="1">
        <v>3</v>
      </c>
      <c r="T1322" s="1" t="s">
        <v>646</v>
      </c>
      <c r="U1322" s="12">
        <v>44959.432187500002</v>
      </c>
      <c r="V1322" s="1" t="s">
        <v>41</v>
      </c>
      <c r="W1322" s="1" t="s">
        <v>49</v>
      </c>
      <c r="Z1322" s="14">
        <v>1</v>
      </c>
    </row>
    <row r="1323" spans="1:26" hidden="1">
      <c r="A1323" s="1">
        <v>9418826</v>
      </c>
      <c r="B1323" s="1" t="s">
        <v>101</v>
      </c>
      <c r="C1323" t="s">
        <v>643</v>
      </c>
      <c r="D1323" s="2">
        <v>230020410</v>
      </c>
      <c r="E1323" s="2">
        <v>2365131400030</v>
      </c>
      <c r="F1323" s="1" t="s">
        <v>647</v>
      </c>
      <c r="G1323" s="1" t="s">
        <v>53</v>
      </c>
      <c r="H1323" s="1" t="s">
        <v>807</v>
      </c>
      <c r="I1323" s="1" t="s">
        <v>808</v>
      </c>
      <c r="J1323" s="1" t="s">
        <v>46</v>
      </c>
      <c r="K1323" t="s">
        <v>650</v>
      </c>
      <c r="M1323" s="1" t="s">
        <v>58</v>
      </c>
      <c r="N1323" s="1">
        <v>0</v>
      </c>
      <c r="O1323" s="1" t="s">
        <v>105</v>
      </c>
      <c r="P1323" s="12">
        <v>44958.416805555556</v>
      </c>
      <c r="R1323" s="1">
        <v>4</v>
      </c>
      <c r="T1323" s="1" t="s">
        <v>646</v>
      </c>
      <c r="U1323" s="12">
        <v>44959.416805555556</v>
      </c>
      <c r="V1323" s="1" t="s">
        <v>41</v>
      </c>
      <c r="W1323" s="1" t="s">
        <v>49</v>
      </c>
      <c r="Z1323" s="14">
        <v>1</v>
      </c>
    </row>
    <row r="1324" spans="1:26">
      <c r="A1324" s="181">
        <v>9418770</v>
      </c>
      <c r="B1324" s="181" t="s">
        <v>101</v>
      </c>
      <c r="C1324" s="182" t="s">
        <v>2251</v>
      </c>
      <c r="D1324" s="183">
        <v>230020783</v>
      </c>
      <c r="E1324" s="183">
        <v>246001400040</v>
      </c>
      <c r="F1324" s="181" t="s">
        <v>644</v>
      </c>
      <c r="G1324" s="181" t="s">
        <v>53</v>
      </c>
      <c r="H1324" s="181" t="s">
        <v>1193</v>
      </c>
      <c r="I1324" s="181" t="s">
        <v>1194</v>
      </c>
      <c r="J1324" s="181" t="s">
        <v>85</v>
      </c>
      <c r="K1324" t="s">
        <v>645</v>
      </c>
      <c r="M1324" s="1" t="s">
        <v>58</v>
      </c>
      <c r="N1324" s="1">
        <v>0</v>
      </c>
      <c r="O1324" s="1" t="s">
        <v>105</v>
      </c>
      <c r="P1324" s="11" t="s">
        <v>2252</v>
      </c>
      <c r="R1324" s="1">
        <v>2</v>
      </c>
      <c r="T1324" s="1" t="s">
        <v>646</v>
      </c>
      <c r="U1324" s="11" t="s">
        <v>2253</v>
      </c>
      <c r="V1324" s="1" t="s">
        <v>41</v>
      </c>
      <c r="W1324" s="1" t="s">
        <v>49</v>
      </c>
      <c r="Z1324" s="14">
        <v>1</v>
      </c>
    </row>
    <row r="1325" spans="1:26" hidden="1">
      <c r="A1325" s="1">
        <v>9418769</v>
      </c>
      <c r="B1325" s="1" t="s">
        <v>101</v>
      </c>
      <c r="C1325" t="s">
        <v>643</v>
      </c>
      <c r="D1325" s="2">
        <v>230020782</v>
      </c>
      <c r="E1325" s="2">
        <v>244001400040</v>
      </c>
      <c r="F1325" s="1" t="s">
        <v>644</v>
      </c>
      <c r="G1325" s="1" t="s">
        <v>53</v>
      </c>
      <c r="H1325" s="1" t="s">
        <v>313</v>
      </c>
      <c r="I1325" s="1" t="s">
        <v>314</v>
      </c>
      <c r="J1325" s="1" t="s">
        <v>56</v>
      </c>
      <c r="K1325" t="s">
        <v>645</v>
      </c>
      <c r="M1325" s="1" t="s">
        <v>58</v>
      </c>
      <c r="N1325" s="1">
        <v>0</v>
      </c>
      <c r="O1325" s="1" t="s">
        <v>105</v>
      </c>
      <c r="P1325" s="11" t="s">
        <v>2254</v>
      </c>
      <c r="R1325" s="1">
        <v>3</v>
      </c>
      <c r="T1325" s="1" t="s">
        <v>646</v>
      </c>
      <c r="U1325" s="11" t="s">
        <v>2255</v>
      </c>
      <c r="V1325" s="1" t="s">
        <v>41</v>
      </c>
      <c r="W1325" s="1" t="s">
        <v>49</v>
      </c>
      <c r="Z1325" s="14">
        <v>1</v>
      </c>
    </row>
    <row r="1326" spans="1:26" hidden="1">
      <c r="A1326" s="1">
        <v>9418760</v>
      </c>
      <c r="B1326" s="1" t="s">
        <v>101</v>
      </c>
      <c r="C1326" t="s">
        <v>643</v>
      </c>
      <c r="D1326" s="2">
        <v>230020773</v>
      </c>
      <c r="E1326" s="2">
        <v>196001400040</v>
      </c>
      <c r="F1326" s="1" t="s">
        <v>644</v>
      </c>
      <c r="G1326" s="1" t="s">
        <v>53</v>
      </c>
      <c r="H1326" s="1" t="s">
        <v>1060</v>
      </c>
      <c r="I1326" s="1" t="s">
        <v>1061</v>
      </c>
      <c r="J1326" s="1" t="s">
        <v>79</v>
      </c>
      <c r="K1326" t="s">
        <v>645</v>
      </c>
      <c r="M1326" s="1" t="s">
        <v>58</v>
      </c>
      <c r="N1326" s="1">
        <v>0</v>
      </c>
      <c r="O1326" s="1" t="s">
        <v>105</v>
      </c>
      <c r="P1326" s="11" t="s">
        <v>2256</v>
      </c>
      <c r="R1326" s="1">
        <v>2</v>
      </c>
      <c r="T1326" s="1" t="s">
        <v>646</v>
      </c>
      <c r="U1326" s="12">
        <v>44959.413287037038</v>
      </c>
      <c r="V1326" s="1" t="s">
        <v>41</v>
      </c>
      <c r="W1326" s="1" t="s">
        <v>49</v>
      </c>
      <c r="Z1326" s="14">
        <v>1</v>
      </c>
    </row>
    <row r="1327" spans="1:26">
      <c r="A1327" s="1">
        <v>9418531</v>
      </c>
      <c r="B1327" s="1" t="s">
        <v>101</v>
      </c>
      <c r="C1327" t="s">
        <v>643</v>
      </c>
      <c r="D1327" s="2">
        <v>230019757</v>
      </c>
      <c r="E1327" s="2">
        <v>2229001400030</v>
      </c>
      <c r="F1327" s="1" t="s">
        <v>647</v>
      </c>
      <c r="G1327" s="1" t="s">
        <v>53</v>
      </c>
      <c r="H1327" s="1" t="s">
        <v>339</v>
      </c>
      <c r="I1327" s="1" t="s">
        <v>340</v>
      </c>
      <c r="J1327" s="1" t="s">
        <v>211</v>
      </c>
      <c r="K1327" t="s">
        <v>650</v>
      </c>
      <c r="M1327" s="1" t="s">
        <v>58</v>
      </c>
      <c r="N1327" s="1">
        <v>0</v>
      </c>
      <c r="O1327" s="1" t="s">
        <v>105</v>
      </c>
      <c r="P1327" s="11" t="s">
        <v>2257</v>
      </c>
      <c r="R1327" s="1">
        <v>4</v>
      </c>
      <c r="T1327" s="1" t="s">
        <v>646</v>
      </c>
      <c r="U1327" s="12">
        <v>44959.399722222224</v>
      </c>
      <c r="V1327" s="1" t="s">
        <v>41</v>
      </c>
      <c r="W1327" s="1" t="s">
        <v>49</v>
      </c>
      <c r="Z1327" s="14">
        <v>1</v>
      </c>
    </row>
    <row r="1328" spans="1:26" hidden="1">
      <c r="A1328" s="1">
        <v>9418523</v>
      </c>
      <c r="B1328" s="1" t="s">
        <v>101</v>
      </c>
      <c r="C1328" t="s">
        <v>643</v>
      </c>
      <c r="D1328" s="2">
        <v>230019751</v>
      </c>
      <c r="E1328" s="2">
        <v>2219001400030</v>
      </c>
      <c r="F1328" s="1" t="s">
        <v>647</v>
      </c>
      <c r="G1328" s="1" t="s">
        <v>53</v>
      </c>
      <c r="H1328" s="1" t="s">
        <v>893</v>
      </c>
      <c r="I1328" s="1" t="s">
        <v>894</v>
      </c>
      <c r="J1328" s="1" t="s">
        <v>141</v>
      </c>
      <c r="K1328" t="s">
        <v>650</v>
      </c>
      <c r="M1328" s="1" t="s">
        <v>58</v>
      </c>
      <c r="N1328" s="1">
        <v>0</v>
      </c>
      <c r="O1328" s="1" t="s">
        <v>105</v>
      </c>
      <c r="P1328" s="11" t="s">
        <v>2258</v>
      </c>
      <c r="R1328" s="1">
        <v>4</v>
      </c>
      <c r="T1328" s="1" t="s">
        <v>646</v>
      </c>
      <c r="U1328" s="11" t="s">
        <v>2259</v>
      </c>
      <c r="V1328" s="1" t="s">
        <v>41</v>
      </c>
      <c r="W1328" s="1" t="s">
        <v>49</v>
      </c>
      <c r="Z1328" s="14">
        <v>1</v>
      </c>
    </row>
    <row r="1329" spans="1:26" hidden="1">
      <c r="A1329" s="1">
        <v>9418504</v>
      </c>
      <c r="B1329" s="1" t="s">
        <v>101</v>
      </c>
      <c r="C1329" t="s">
        <v>643</v>
      </c>
      <c r="D1329" s="2">
        <v>230019738</v>
      </c>
      <c r="E1329" s="2">
        <v>2196001400030</v>
      </c>
      <c r="F1329" s="1" t="s">
        <v>647</v>
      </c>
      <c r="G1329" s="1" t="s">
        <v>53</v>
      </c>
      <c r="H1329" s="1" t="s">
        <v>1252</v>
      </c>
      <c r="I1329" s="1" t="s">
        <v>1253</v>
      </c>
      <c r="J1329" s="1" t="s">
        <v>33</v>
      </c>
      <c r="K1329" t="s">
        <v>650</v>
      </c>
      <c r="M1329" s="1" t="s">
        <v>58</v>
      </c>
      <c r="N1329" s="1">
        <v>0</v>
      </c>
      <c r="O1329" s="1" t="s">
        <v>105</v>
      </c>
      <c r="P1329" s="11" t="s">
        <v>2260</v>
      </c>
      <c r="R1329" s="1">
        <v>4</v>
      </c>
      <c r="T1329" s="1" t="s">
        <v>646</v>
      </c>
      <c r="U1329" s="11" t="s">
        <v>2261</v>
      </c>
      <c r="V1329" s="1" t="s">
        <v>41</v>
      </c>
      <c r="W1329" s="1" t="s">
        <v>42</v>
      </c>
      <c r="Z1329" s="14">
        <v>1</v>
      </c>
    </row>
    <row r="1330" spans="1:26">
      <c r="A1330" s="1">
        <v>9418473</v>
      </c>
      <c r="B1330" s="1" t="s">
        <v>101</v>
      </c>
      <c r="C1330" t="s">
        <v>643</v>
      </c>
      <c r="D1330" s="2">
        <v>230019725</v>
      </c>
      <c r="E1330" s="2">
        <v>2170001400030</v>
      </c>
      <c r="F1330" s="1" t="s">
        <v>647</v>
      </c>
      <c r="G1330" s="1" t="s">
        <v>53</v>
      </c>
      <c r="H1330" s="1" t="s">
        <v>477</v>
      </c>
      <c r="I1330" s="1" t="s">
        <v>478</v>
      </c>
      <c r="J1330" s="1" t="s">
        <v>148</v>
      </c>
      <c r="K1330" t="s">
        <v>650</v>
      </c>
      <c r="M1330" s="1" t="s">
        <v>58</v>
      </c>
      <c r="N1330" s="1">
        <v>0</v>
      </c>
      <c r="O1330" s="1" t="s">
        <v>105</v>
      </c>
      <c r="P1330" s="11" t="s">
        <v>2262</v>
      </c>
      <c r="R1330" s="1">
        <v>4</v>
      </c>
      <c r="T1330" s="1" t="s">
        <v>646</v>
      </c>
      <c r="U1330" s="11" t="s">
        <v>2263</v>
      </c>
      <c r="V1330" s="1" t="s">
        <v>41</v>
      </c>
      <c r="W1330" s="1" t="s">
        <v>49</v>
      </c>
      <c r="Z1330" s="14">
        <v>1</v>
      </c>
    </row>
    <row r="1331" spans="1:26" hidden="1">
      <c r="A1331" s="1">
        <v>9418455</v>
      </c>
      <c r="B1331" s="1" t="s">
        <v>101</v>
      </c>
      <c r="C1331" t="s">
        <v>643</v>
      </c>
      <c r="D1331" s="2">
        <v>230019708</v>
      </c>
      <c r="E1331" s="2">
        <v>2138001400030</v>
      </c>
      <c r="F1331" s="1" t="s">
        <v>647</v>
      </c>
      <c r="G1331" s="1" t="s">
        <v>53</v>
      </c>
      <c r="H1331" s="1" t="s">
        <v>379</v>
      </c>
      <c r="I1331" s="1" t="s">
        <v>380</v>
      </c>
      <c r="J1331" s="1" t="s">
        <v>46</v>
      </c>
      <c r="K1331" t="s">
        <v>650</v>
      </c>
      <c r="M1331" s="1" t="s">
        <v>58</v>
      </c>
      <c r="N1331" s="1">
        <v>0</v>
      </c>
      <c r="O1331" s="1" t="s">
        <v>105</v>
      </c>
      <c r="P1331" s="11" t="s">
        <v>2264</v>
      </c>
      <c r="R1331" s="1">
        <v>4</v>
      </c>
      <c r="T1331" s="1" t="s">
        <v>646</v>
      </c>
      <c r="U1331" s="11" t="s">
        <v>2265</v>
      </c>
      <c r="V1331" s="1" t="s">
        <v>41</v>
      </c>
      <c r="W1331" s="1" t="s">
        <v>49</v>
      </c>
      <c r="Z1331" s="14">
        <v>1</v>
      </c>
    </row>
    <row r="1332" spans="1:26">
      <c r="A1332" s="181">
        <v>9418331</v>
      </c>
      <c r="B1332" s="181" t="s">
        <v>101</v>
      </c>
      <c r="C1332" s="182" t="s">
        <v>2266</v>
      </c>
      <c r="D1332" s="183">
        <v>230019888</v>
      </c>
      <c r="E1332" s="183">
        <v>2590001400030</v>
      </c>
      <c r="F1332" s="181" t="s">
        <v>647</v>
      </c>
      <c r="G1332" s="181" t="s">
        <v>53</v>
      </c>
      <c r="H1332" s="181" t="s">
        <v>394</v>
      </c>
      <c r="I1332" s="181" t="s">
        <v>395</v>
      </c>
      <c r="J1332" s="181" t="s">
        <v>148</v>
      </c>
      <c r="K1332" t="s">
        <v>650</v>
      </c>
      <c r="M1332" s="1" t="s">
        <v>58</v>
      </c>
      <c r="N1332" s="1">
        <v>0</v>
      </c>
      <c r="O1332" s="1" t="s">
        <v>105</v>
      </c>
      <c r="P1332" s="11" t="s">
        <v>2267</v>
      </c>
      <c r="R1332" s="1">
        <v>4</v>
      </c>
      <c r="T1332" s="1" t="s">
        <v>646</v>
      </c>
      <c r="U1332" s="11" t="s">
        <v>2268</v>
      </c>
      <c r="V1332" s="1" t="s">
        <v>41</v>
      </c>
      <c r="W1332" s="1" t="s">
        <v>49</v>
      </c>
      <c r="Z1332" s="14">
        <v>1</v>
      </c>
    </row>
    <row r="1333" spans="1:26" hidden="1">
      <c r="A1333" s="1">
        <v>9418289</v>
      </c>
      <c r="B1333" s="1" t="s">
        <v>101</v>
      </c>
      <c r="C1333" t="s">
        <v>643</v>
      </c>
      <c r="D1333" s="2">
        <v>230020310</v>
      </c>
      <c r="E1333" s="2">
        <v>3918001400030</v>
      </c>
      <c r="F1333" s="1" t="s">
        <v>647</v>
      </c>
      <c r="G1333" s="1" t="s">
        <v>53</v>
      </c>
      <c r="H1333" s="1" t="s">
        <v>858</v>
      </c>
      <c r="I1333" s="1" t="s">
        <v>859</v>
      </c>
      <c r="J1333" s="1" t="s">
        <v>33</v>
      </c>
      <c r="K1333" t="s">
        <v>650</v>
      </c>
      <c r="M1333" s="1" t="s">
        <v>58</v>
      </c>
      <c r="N1333" s="1">
        <v>0</v>
      </c>
      <c r="O1333" s="1" t="s">
        <v>105</v>
      </c>
      <c r="P1333" s="12">
        <v>44958.385000000002</v>
      </c>
      <c r="R1333" s="1">
        <v>4</v>
      </c>
      <c r="T1333" s="1" t="s">
        <v>646</v>
      </c>
      <c r="U1333" s="12">
        <v>44959.385000000002</v>
      </c>
      <c r="V1333" s="1" t="s">
        <v>41</v>
      </c>
      <c r="W1333" s="1" t="s">
        <v>49</v>
      </c>
      <c r="Z1333" s="14">
        <v>1</v>
      </c>
    </row>
    <row r="1334" spans="1:26" hidden="1">
      <c r="A1334" s="1">
        <v>9418162</v>
      </c>
      <c r="B1334" s="1" t="s">
        <v>101</v>
      </c>
      <c r="C1334" t="s">
        <v>643</v>
      </c>
      <c r="D1334" s="2">
        <v>230020107</v>
      </c>
      <c r="E1334" s="2">
        <v>3108011400030</v>
      </c>
      <c r="F1334" s="1" t="s">
        <v>647</v>
      </c>
      <c r="G1334" s="1" t="s">
        <v>53</v>
      </c>
      <c r="H1334" s="1" t="s">
        <v>503</v>
      </c>
      <c r="I1334" s="1" t="s">
        <v>504</v>
      </c>
      <c r="J1334" s="1" t="s">
        <v>46</v>
      </c>
      <c r="K1334" t="s">
        <v>650</v>
      </c>
      <c r="M1334" s="1" t="s">
        <v>58</v>
      </c>
      <c r="N1334" s="1">
        <v>0</v>
      </c>
      <c r="O1334" s="1" t="s">
        <v>105</v>
      </c>
      <c r="P1334" s="186">
        <v>44958.376886574071</v>
      </c>
      <c r="R1334" s="1">
        <v>4</v>
      </c>
      <c r="T1334" s="1" t="s">
        <v>646</v>
      </c>
      <c r="U1334" s="186">
        <v>44959.376886574071</v>
      </c>
      <c r="V1334" s="1" t="s">
        <v>41</v>
      </c>
      <c r="W1334" s="1" t="s">
        <v>49</v>
      </c>
      <c r="Z1334" s="14">
        <v>1</v>
      </c>
    </row>
    <row r="1335" spans="1:26" hidden="1">
      <c r="A1335" s="1">
        <v>9418133</v>
      </c>
      <c r="B1335" s="1" t="s">
        <v>101</v>
      </c>
      <c r="C1335" t="s">
        <v>643</v>
      </c>
      <c r="D1335" s="2">
        <v>230020053</v>
      </c>
      <c r="E1335" s="2">
        <v>2988001400030</v>
      </c>
      <c r="F1335" s="1" t="s">
        <v>647</v>
      </c>
      <c r="G1335" s="1" t="s">
        <v>53</v>
      </c>
      <c r="H1335" s="1" t="s">
        <v>536</v>
      </c>
      <c r="I1335" s="1" t="s">
        <v>537</v>
      </c>
      <c r="J1335" s="1" t="s">
        <v>46</v>
      </c>
      <c r="K1335" t="s">
        <v>650</v>
      </c>
      <c r="M1335" s="1" t="s">
        <v>58</v>
      </c>
      <c r="N1335" s="1">
        <v>0</v>
      </c>
      <c r="O1335" s="1" t="s">
        <v>105</v>
      </c>
      <c r="P1335" s="186">
        <v>44958.374942129631</v>
      </c>
      <c r="R1335" s="1">
        <v>4</v>
      </c>
      <c r="T1335" s="1" t="s">
        <v>646</v>
      </c>
      <c r="U1335" s="186">
        <v>44959.374942129631</v>
      </c>
      <c r="V1335" s="1" t="s">
        <v>41</v>
      </c>
      <c r="W1335" s="1" t="s">
        <v>49</v>
      </c>
      <c r="Z1335" s="14">
        <v>1</v>
      </c>
    </row>
    <row r="1336" spans="1:26">
      <c r="A1336" s="1">
        <v>9418017</v>
      </c>
      <c r="B1336" s="1" t="s">
        <v>101</v>
      </c>
      <c r="C1336" t="s">
        <v>643</v>
      </c>
      <c r="D1336" s="2">
        <v>230019614</v>
      </c>
      <c r="E1336" s="2">
        <v>1764001400030</v>
      </c>
      <c r="F1336" s="1" t="s">
        <v>647</v>
      </c>
      <c r="G1336" s="1" t="s">
        <v>53</v>
      </c>
      <c r="H1336" s="1" t="s">
        <v>722</v>
      </c>
      <c r="I1336" s="1" t="s">
        <v>723</v>
      </c>
      <c r="J1336" s="1" t="s">
        <v>90</v>
      </c>
      <c r="K1336" t="s">
        <v>650</v>
      </c>
      <c r="M1336" s="1" t="s">
        <v>58</v>
      </c>
      <c r="N1336" s="1">
        <v>0</v>
      </c>
      <c r="O1336" s="1" t="s">
        <v>105</v>
      </c>
      <c r="P1336" s="186">
        <v>44958.367951388886</v>
      </c>
      <c r="R1336" s="1">
        <v>4</v>
      </c>
      <c r="T1336" s="1" t="s">
        <v>646</v>
      </c>
      <c r="U1336" s="186">
        <v>44959.367951388886</v>
      </c>
      <c r="V1336" s="1" t="s">
        <v>41</v>
      </c>
      <c r="W1336" s="1" t="s">
        <v>49</v>
      </c>
      <c r="Z1336" s="14">
        <v>1</v>
      </c>
    </row>
    <row r="1337" spans="1:26" hidden="1">
      <c r="A1337" s="1">
        <v>9418009</v>
      </c>
      <c r="B1337" s="1" t="s">
        <v>1153</v>
      </c>
      <c r="C1337" t="s">
        <v>2269</v>
      </c>
      <c r="E1337" s="2">
        <v>1012000206001</v>
      </c>
      <c r="F1337" s="1" t="s">
        <v>29</v>
      </c>
      <c r="G1337" s="1" t="s">
        <v>53</v>
      </c>
      <c r="H1337" s="1" t="s">
        <v>172</v>
      </c>
      <c r="I1337" s="1" t="s">
        <v>173</v>
      </c>
      <c r="J1337" s="1" t="s">
        <v>164</v>
      </c>
      <c r="K1337" t="s">
        <v>34</v>
      </c>
      <c r="M1337" s="1" t="s">
        <v>35</v>
      </c>
      <c r="N1337" s="1">
        <v>42318949</v>
      </c>
      <c r="O1337" s="1" t="s">
        <v>36</v>
      </c>
      <c r="P1337" s="186">
        <v>44958.367384259262</v>
      </c>
      <c r="R1337" s="1" t="s">
        <v>38</v>
      </c>
      <c r="T1337" s="1" t="s">
        <v>74</v>
      </c>
      <c r="U1337" s="186">
        <v>44979.708333333336</v>
      </c>
      <c r="V1337" s="1" t="s">
        <v>41</v>
      </c>
      <c r="W1337" s="1" t="s">
        <v>49</v>
      </c>
      <c r="Z1337" s="14">
        <v>1</v>
      </c>
    </row>
    <row r="1338" spans="1:26" hidden="1">
      <c r="A1338" s="1">
        <v>9417996</v>
      </c>
      <c r="B1338" s="1" t="s">
        <v>101</v>
      </c>
      <c r="C1338" t="s">
        <v>643</v>
      </c>
      <c r="D1338" s="2">
        <v>230019599</v>
      </c>
      <c r="E1338" s="2">
        <v>1739001400030</v>
      </c>
      <c r="F1338" s="1" t="s">
        <v>647</v>
      </c>
      <c r="G1338" s="1" t="s">
        <v>53</v>
      </c>
      <c r="H1338" s="1" t="s">
        <v>162</v>
      </c>
      <c r="I1338" s="1" t="s">
        <v>163</v>
      </c>
      <c r="J1338" s="1" t="s">
        <v>164</v>
      </c>
      <c r="K1338" t="s">
        <v>650</v>
      </c>
      <c r="M1338" s="1" t="s">
        <v>58</v>
      </c>
      <c r="N1338" s="1">
        <v>0</v>
      </c>
      <c r="O1338" s="1" t="s">
        <v>105</v>
      </c>
      <c r="P1338" s="11" t="s">
        <v>2270</v>
      </c>
      <c r="R1338" s="1">
        <v>4</v>
      </c>
      <c r="T1338" s="1" t="s">
        <v>646</v>
      </c>
      <c r="U1338" s="11" t="s">
        <v>2271</v>
      </c>
      <c r="V1338" s="1" t="s">
        <v>41</v>
      </c>
      <c r="W1338" s="1" t="s">
        <v>49</v>
      </c>
      <c r="Z1338" s="14">
        <v>1</v>
      </c>
    </row>
    <row r="1339" spans="1:26" hidden="1">
      <c r="A1339" s="1">
        <v>9417969</v>
      </c>
      <c r="B1339" s="1" t="s">
        <v>101</v>
      </c>
      <c r="C1339" t="s">
        <v>643</v>
      </c>
      <c r="D1339" s="2">
        <v>230019588</v>
      </c>
      <c r="E1339" s="2">
        <v>1710001400030</v>
      </c>
      <c r="F1339" s="1" t="s">
        <v>647</v>
      </c>
      <c r="G1339" s="1" t="s">
        <v>53</v>
      </c>
      <c r="H1339" s="1" t="s">
        <v>327</v>
      </c>
      <c r="I1339" s="1" t="s">
        <v>328</v>
      </c>
      <c r="J1339" s="1" t="s">
        <v>261</v>
      </c>
      <c r="K1339" t="s">
        <v>650</v>
      </c>
      <c r="M1339" s="1" t="s">
        <v>58</v>
      </c>
      <c r="N1339" s="1">
        <v>0</v>
      </c>
      <c r="O1339" s="1" t="s">
        <v>105</v>
      </c>
      <c r="P1339" s="11" t="s">
        <v>2272</v>
      </c>
      <c r="R1339" s="1">
        <v>4</v>
      </c>
      <c r="T1339" s="1" t="s">
        <v>646</v>
      </c>
      <c r="U1339" s="11" t="s">
        <v>2273</v>
      </c>
      <c r="V1339" s="1" t="s">
        <v>41</v>
      </c>
      <c r="W1339" s="1" t="s">
        <v>49</v>
      </c>
      <c r="Z1339" s="14">
        <v>1</v>
      </c>
    </row>
    <row r="1340" spans="1:26" hidden="1">
      <c r="A1340" s="1">
        <v>9417956</v>
      </c>
      <c r="B1340" s="1" t="s">
        <v>101</v>
      </c>
      <c r="C1340" t="s">
        <v>643</v>
      </c>
      <c r="D1340" s="2">
        <v>230019578</v>
      </c>
      <c r="E1340" s="2">
        <v>1689001400030</v>
      </c>
      <c r="F1340" s="1" t="s">
        <v>647</v>
      </c>
      <c r="G1340" s="1" t="s">
        <v>53</v>
      </c>
      <c r="H1340" s="1" t="s">
        <v>2117</v>
      </c>
      <c r="I1340" s="1" t="s">
        <v>2118</v>
      </c>
      <c r="J1340" s="1" t="s">
        <v>79</v>
      </c>
      <c r="K1340" t="s">
        <v>650</v>
      </c>
      <c r="M1340" s="1" t="s">
        <v>58</v>
      </c>
      <c r="N1340" s="1">
        <v>0</v>
      </c>
      <c r="O1340" s="1" t="s">
        <v>105</v>
      </c>
      <c r="P1340" s="12">
        <v>44958.364641203705</v>
      </c>
      <c r="R1340" s="1">
        <v>4</v>
      </c>
      <c r="T1340" s="1" t="s">
        <v>646</v>
      </c>
      <c r="U1340" s="12">
        <v>44959.364641203705</v>
      </c>
      <c r="V1340" s="1" t="s">
        <v>41</v>
      </c>
      <c r="W1340" s="1" t="s">
        <v>49</v>
      </c>
      <c r="Z1340" s="14">
        <v>1</v>
      </c>
    </row>
    <row r="1341" spans="1:26" hidden="1">
      <c r="A1341" s="1">
        <v>9417939</v>
      </c>
      <c r="B1341" s="1" t="s">
        <v>101</v>
      </c>
      <c r="C1341" t="s">
        <v>643</v>
      </c>
      <c r="D1341" s="2">
        <v>230019562</v>
      </c>
      <c r="E1341" s="2">
        <v>1650001400030</v>
      </c>
      <c r="F1341" s="1" t="s">
        <v>647</v>
      </c>
      <c r="G1341" s="1" t="s">
        <v>53</v>
      </c>
      <c r="H1341" s="1" t="s">
        <v>620</v>
      </c>
      <c r="I1341" s="1" t="s">
        <v>621</v>
      </c>
      <c r="J1341" s="1" t="s">
        <v>141</v>
      </c>
      <c r="K1341" t="s">
        <v>650</v>
      </c>
      <c r="M1341" s="1" t="s">
        <v>58</v>
      </c>
      <c r="N1341" s="1">
        <v>0</v>
      </c>
      <c r="O1341" s="1" t="s">
        <v>105</v>
      </c>
      <c r="P1341" s="11" t="s">
        <v>2274</v>
      </c>
      <c r="R1341" s="1">
        <v>4</v>
      </c>
      <c r="T1341" s="1" t="s">
        <v>646</v>
      </c>
      <c r="U1341" s="11" t="s">
        <v>2275</v>
      </c>
      <c r="V1341" s="1" t="s">
        <v>41</v>
      </c>
      <c r="W1341" s="1" t="s">
        <v>49</v>
      </c>
      <c r="Z1341" s="14">
        <v>1</v>
      </c>
    </row>
    <row r="1342" spans="1:26" hidden="1">
      <c r="A1342" s="1">
        <v>9417911</v>
      </c>
      <c r="B1342" s="1" t="s">
        <v>101</v>
      </c>
      <c r="C1342" t="s">
        <v>643</v>
      </c>
      <c r="D1342" s="2">
        <v>230019546</v>
      </c>
      <c r="E1342" s="2">
        <v>1620001400030</v>
      </c>
      <c r="F1342" s="1" t="s">
        <v>647</v>
      </c>
      <c r="G1342" s="1" t="s">
        <v>53</v>
      </c>
      <c r="H1342" s="1" t="s">
        <v>402</v>
      </c>
      <c r="I1342" s="1" t="s">
        <v>403</v>
      </c>
      <c r="J1342" s="1" t="s">
        <v>46</v>
      </c>
      <c r="K1342" t="s">
        <v>650</v>
      </c>
      <c r="M1342" s="1" t="s">
        <v>58</v>
      </c>
      <c r="N1342" s="1">
        <v>0</v>
      </c>
      <c r="O1342" s="1" t="s">
        <v>105</v>
      </c>
      <c r="P1342" s="11" t="s">
        <v>2276</v>
      </c>
      <c r="R1342" s="1">
        <v>4</v>
      </c>
      <c r="T1342" s="1" t="s">
        <v>646</v>
      </c>
      <c r="U1342" s="11" t="s">
        <v>2277</v>
      </c>
      <c r="V1342" s="1" t="s">
        <v>41</v>
      </c>
      <c r="W1342" s="1" t="s">
        <v>49</v>
      </c>
      <c r="Z1342" s="14">
        <v>1</v>
      </c>
    </row>
    <row r="1343" spans="1:26" hidden="1">
      <c r="A1343" s="1">
        <v>9417871</v>
      </c>
      <c r="B1343" s="1" t="s">
        <v>101</v>
      </c>
      <c r="C1343" t="s">
        <v>643</v>
      </c>
      <c r="D1343" s="2">
        <v>230019450</v>
      </c>
      <c r="E1343" s="2">
        <v>1421001400030</v>
      </c>
      <c r="F1343" s="1" t="s">
        <v>647</v>
      </c>
      <c r="G1343" s="1" t="s">
        <v>53</v>
      </c>
      <c r="H1343" s="1" t="s">
        <v>179</v>
      </c>
      <c r="I1343" s="1" t="s">
        <v>180</v>
      </c>
      <c r="J1343" s="1" t="s">
        <v>79</v>
      </c>
      <c r="K1343" t="s">
        <v>650</v>
      </c>
      <c r="M1343" s="1" t="s">
        <v>58</v>
      </c>
      <c r="N1343" s="1">
        <v>0</v>
      </c>
      <c r="O1343" s="1" t="s">
        <v>105</v>
      </c>
      <c r="P1343" s="186">
        <v>44958.358854166669</v>
      </c>
      <c r="R1343" s="1">
        <v>4</v>
      </c>
      <c r="T1343" s="1" t="s">
        <v>646</v>
      </c>
      <c r="U1343" s="186">
        <v>44959.358854166669</v>
      </c>
      <c r="V1343" s="1" t="s">
        <v>41</v>
      </c>
      <c r="W1343" s="1" t="s">
        <v>49</v>
      </c>
      <c r="Z1343" s="14">
        <v>1</v>
      </c>
    </row>
    <row r="1344" spans="1:26" hidden="1">
      <c r="A1344" s="1">
        <v>9417830</v>
      </c>
      <c r="B1344" s="1" t="s">
        <v>101</v>
      </c>
      <c r="C1344" t="s">
        <v>643</v>
      </c>
      <c r="D1344" s="2">
        <v>230019421</v>
      </c>
      <c r="E1344" s="2">
        <v>1361001400030</v>
      </c>
      <c r="F1344" s="1" t="s">
        <v>647</v>
      </c>
      <c r="G1344" s="1" t="s">
        <v>53</v>
      </c>
      <c r="H1344" s="1" t="s">
        <v>309</v>
      </c>
      <c r="I1344" s="1" t="s">
        <v>310</v>
      </c>
      <c r="J1344" s="1" t="s">
        <v>46</v>
      </c>
      <c r="K1344" t="s">
        <v>650</v>
      </c>
      <c r="M1344" s="1" t="s">
        <v>58</v>
      </c>
      <c r="N1344" s="1">
        <v>0</v>
      </c>
      <c r="O1344" s="1" t="s">
        <v>105</v>
      </c>
      <c r="P1344" s="11" t="s">
        <v>2278</v>
      </c>
      <c r="R1344" s="1">
        <v>4</v>
      </c>
      <c r="T1344" s="1" t="s">
        <v>646</v>
      </c>
      <c r="U1344" s="11" t="s">
        <v>2279</v>
      </c>
      <c r="V1344" s="1" t="s">
        <v>41</v>
      </c>
      <c r="W1344" s="1" t="s">
        <v>49</v>
      </c>
      <c r="Z1344" s="14">
        <v>1</v>
      </c>
    </row>
    <row r="1345" spans="1:26" hidden="1">
      <c r="A1345" s="1">
        <v>9417682</v>
      </c>
      <c r="B1345" s="1" t="s">
        <v>101</v>
      </c>
      <c r="C1345" t="s">
        <v>643</v>
      </c>
      <c r="D1345" s="2">
        <v>230019273</v>
      </c>
      <c r="E1345" s="2">
        <v>963001400030</v>
      </c>
      <c r="F1345" s="1" t="s">
        <v>647</v>
      </c>
      <c r="G1345" s="1" t="s">
        <v>53</v>
      </c>
      <c r="H1345" s="1" t="s">
        <v>531</v>
      </c>
      <c r="I1345" s="1" t="s">
        <v>532</v>
      </c>
      <c r="J1345" s="1" t="s">
        <v>33</v>
      </c>
      <c r="K1345" t="s">
        <v>650</v>
      </c>
      <c r="M1345" s="1" t="s">
        <v>58</v>
      </c>
      <c r="N1345" s="1">
        <v>0</v>
      </c>
      <c r="O1345" s="1" t="s">
        <v>105</v>
      </c>
      <c r="P1345" s="186">
        <v>44958.34814814815</v>
      </c>
      <c r="R1345" s="1">
        <v>4</v>
      </c>
      <c r="T1345" s="1" t="s">
        <v>646</v>
      </c>
      <c r="U1345" s="186">
        <v>44959.34814814815</v>
      </c>
      <c r="V1345" s="1" t="s">
        <v>41</v>
      </c>
      <c r="W1345" s="1" t="s">
        <v>49</v>
      </c>
      <c r="Z1345" s="14">
        <v>1</v>
      </c>
    </row>
    <row r="1346" spans="1:26" hidden="1">
      <c r="A1346" s="1">
        <v>9417663</v>
      </c>
      <c r="B1346" s="1" t="s">
        <v>101</v>
      </c>
      <c r="C1346" t="s">
        <v>643</v>
      </c>
      <c r="D1346" s="2">
        <v>230019027</v>
      </c>
      <c r="E1346" s="2">
        <v>196001400030</v>
      </c>
      <c r="F1346" s="1" t="s">
        <v>647</v>
      </c>
      <c r="G1346" s="1" t="s">
        <v>53</v>
      </c>
      <c r="H1346" s="1" t="s">
        <v>1060</v>
      </c>
      <c r="I1346" s="1" t="s">
        <v>1061</v>
      </c>
      <c r="J1346" s="1" t="s">
        <v>79</v>
      </c>
      <c r="K1346" t="s">
        <v>650</v>
      </c>
      <c r="M1346" s="1" t="s">
        <v>58</v>
      </c>
      <c r="N1346" s="1">
        <v>0</v>
      </c>
      <c r="O1346" s="1" t="s">
        <v>105</v>
      </c>
      <c r="P1346" s="11" t="s">
        <v>2280</v>
      </c>
      <c r="R1346" s="1">
        <v>4</v>
      </c>
      <c r="T1346" s="1" t="s">
        <v>646</v>
      </c>
      <c r="U1346" s="11" t="s">
        <v>2281</v>
      </c>
      <c r="V1346" s="1" t="s">
        <v>41</v>
      </c>
      <c r="W1346" s="1" t="s">
        <v>49</v>
      </c>
      <c r="Z1346" s="14">
        <v>1</v>
      </c>
    </row>
    <row r="1347" spans="1:26">
      <c r="A1347" s="181">
        <v>9417399</v>
      </c>
      <c r="B1347" s="181" t="s">
        <v>101</v>
      </c>
      <c r="C1347" s="182" t="s">
        <v>2251</v>
      </c>
      <c r="D1347" s="183">
        <v>230019038</v>
      </c>
      <c r="E1347" s="183">
        <v>246001400030</v>
      </c>
      <c r="F1347" s="181" t="s">
        <v>647</v>
      </c>
      <c r="G1347" s="181" t="s">
        <v>53</v>
      </c>
      <c r="H1347" s="181" t="s">
        <v>1193</v>
      </c>
      <c r="I1347" s="181" t="s">
        <v>1194</v>
      </c>
      <c r="J1347" s="181" t="s">
        <v>85</v>
      </c>
      <c r="K1347" t="s">
        <v>650</v>
      </c>
      <c r="M1347" s="1" t="s">
        <v>58</v>
      </c>
      <c r="N1347" s="1">
        <v>0</v>
      </c>
      <c r="O1347" s="1" t="s">
        <v>105</v>
      </c>
      <c r="P1347" s="186">
        <v>44958.331469907411</v>
      </c>
      <c r="R1347" s="1">
        <v>4</v>
      </c>
      <c r="T1347" s="1" t="s">
        <v>646</v>
      </c>
      <c r="U1347" s="186">
        <v>44959.33148148148</v>
      </c>
      <c r="V1347" s="1" t="s">
        <v>41</v>
      </c>
      <c r="W1347" s="1" t="s">
        <v>49</v>
      </c>
      <c r="Z1347" s="14">
        <v>1</v>
      </c>
    </row>
    <row r="1348" spans="1:26" hidden="1">
      <c r="A1348" s="1">
        <v>9417398</v>
      </c>
      <c r="B1348" s="1" t="s">
        <v>101</v>
      </c>
      <c r="C1348" t="s">
        <v>643</v>
      </c>
      <c r="D1348" s="2">
        <v>230019037</v>
      </c>
      <c r="E1348" s="2">
        <v>244001400030</v>
      </c>
      <c r="F1348" s="1" t="s">
        <v>647</v>
      </c>
      <c r="G1348" s="1" t="s">
        <v>53</v>
      </c>
      <c r="H1348" s="1" t="s">
        <v>313</v>
      </c>
      <c r="I1348" s="1" t="s">
        <v>314</v>
      </c>
      <c r="J1348" s="1" t="s">
        <v>56</v>
      </c>
      <c r="K1348" t="s">
        <v>650</v>
      </c>
      <c r="M1348" s="1" t="s">
        <v>58</v>
      </c>
      <c r="N1348" s="1">
        <v>0</v>
      </c>
      <c r="O1348" s="1" t="s">
        <v>105</v>
      </c>
      <c r="P1348" s="186">
        <v>44958.331423611111</v>
      </c>
      <c r="R1348" s="1">
        <v>4</v>
      </c>
      <c r="T1348" s="1" t="s">
        <v>646</v>
      </c>
      <c r="U1348" s="186">
        <v>44959.331423611111</v>
      </c>
      <c r="V1348" s="1" t="s">
        <v>41</v>
      </c>
      <c r="W1348" s="1" t="s">
        <v>49</v>
      </c>
      <c r="Z1348" s="14">
        <v>1</v>
      </c>
    </row>
    <row r="1349" spans="1:26" hidden="1">
      <c r="A1349" s="1">
        <v>9417212</v>
      </c>
      <c r="B1349" s="1" t="s">
        <v>101</v>
      </c>
      <c r="C1349" t="s">
        <v>643</v>
      </c>
      <c r="D1349" s="2">
        <v>230018456</v>
      </c>
      <c r="E1349" s="2">
        <v>2988001400010</v>
      </c>
      <c r="F1349" s="1" t="s">
        <v>936</v>
      </c>
      <c r="G1349" s="1" t="s">
        <v>53</v>
      </c>
      <c r="H1349" s="1" t="s">
        <v>536</v>
      </c>
      <c r="I1349" s="1" t="s">
        <v>537</v>
      </c>
      <c r="J1349" s="1" t="s">
        <v>46</v>
      </c>
      <c r="K1349" t="s">
        <v>937</v>
      </c>
      <c r="M1349" s="1" t="s">
        <v>58</v>
      </c>
      <c r="N1349" s="1">
        <v>0</v>
      </c>
      <c r="O1349" s="1" t="s">
        <v>105</v>
      </c>
      <c r="P1349" s="11" t="s">
        <v>2282</v>
      </c>
      <c r="R1349" s="1">
        <v>3</v>
      </c>
      <c r="T1349" s="1" t="s">
        <v>646</v>
      </c>
      <c r="U1349" s="11" t="s">
        <v>2283</v>
      </c>
      <c r="V1349" s="1" t="s">
        <v>41</v>
      </c>
      <c r="W1349" s="1" t="s">
        <v>49</v>
      </c>
      <c r="Z1349" s="14">
        <v>1</v>
      </c>
    </row>
    <row r="1350" spans="1:26" hidden="1">
      <c r="A1350" s="1">
        <v>9417149</v>
      </c>
      <c r="B1350" s="1" t="s">
        <v>101</v>
      </c>
      <c r="C1350" t="s">
        <v>643</v>
      </c>
      <c r="D1350" s="2">
        <v>230018509</v>
      </c>
      <c r="E1350" s="2">
        <v>3108011400010</v>
      </c>
      <c r="F1350" s="1" t="s">
        <v>936</v>
      </c>
      <c r="G1350" s="1" t="s">
        <v>53</v>
      </c>
      <c r="H1350" s="1" t="s">
        <v>503</v>
      </c>
      <c r="I1350" s="1" t="s">
        <v>504</v>
      </c>
      <c r="J1350" s="1" t="s">
        <v>46</v>
      </c>
      <c r="K1350" t="s">
        <v>937</v>
      </c>
      <c r="M1350" s="1" t="s">
        <v>58</v>
      </c>
      <c r="N1350" s="1">
        <v>0</v>
      </c>
      <c r="O1350" s="1" t="s">
        <v>105</v>
      </c>
      <c r="P1350" s="11" t="s">
        <v>2284</v>
      </c>
      <c r="R1350" s="1">
        <v>3</v>
      </c>
      <c r="T1350" s="1" t="s">
        <v>646</v>
      </c>
      <c r="U1350" s="11" t="s">
        <v>2285</v>
      </c>
      <c r="V1350" s="1" t="s">
        <v>41</v>
      </c>
      <c r="W1350" s="1" t="s">
        <v>49</v>
      </c>
      <c r="Z1350" s="14">
        <v>1</v>
      </c>
    </row>
    <row r="1351" spans="1:26">
      <c r="A1351" s="181">
        <v>9417113</v>
      </c>
      <c r="B1351" s="181" t="s">
        <v>101</v>
      </c>
      <c r="C1351" s="201" t="s">
        <v>2266</v>
      </c>
      <c r="D1351" s="183">
        <v>230018311</v>
      </c>
      <c r="E1351" s="183">
        <v>2590001400010</v>
      </c>
      <c r="F1351" s="181" t="s">
        <v>936</v>
      </c>
      <c r="G1351" s="181" t="s">
        <v>53</v>
      </c>
      <c r="H1351" s="181" t="s">
        <v>394</v>
      </c>
      <c r="I1351" s="181" t="s">
        <v>395</v>
      </c>
      <c r="J1351" s="181" t="s">
        <v>148</v>
      </c>
      <c r="K1351" t="s">
        <v>937</v>
      </c>
      <c r="M1351" s="1" t="s">
        <v>58</v>
      </c>
      <c r="N1351" s="1">
        <v>0</v>
      </c>
      <c r="O1351" s="1" t="s">
        <v>105</v>
      </c>
      <c r="P1351" s="11" t="s">
        <v>2286</v>
      </c>
      <c r="R1351" s="1">
        <v>3</v>
      </c>
      <c r="T1351" s="1" t="s">
        <v>646</v>
      </c>
      <c r="U1351" s="11" t="s">
        <v>2287</v>
      </c>
      <c r="V1351" s="1" t="s">
        <v>41</v>
      </c>
      <c r="W1351" s="1" t="s">
        <v>49</v>
      </c>
      <c r="Z1351" s="14">
        <v>1</v>
      </c>
    </row>
    <row r="1352" spans="1:26">
      <c r="A1352" s="1">
        <v>9417043</v>
      </c>
      <c r="B1352" s="1" t="s">
        <v>101</v>
      </c>
      <c r="C1352" t="s">
        <v>643</v>
      </c>
      <c r="D1352" s="2">
        <v>230018262</v>
      </c>
      <c r="E1352" s="2">
        <v>2422001400010</v>
      </c>
      <c r="F1352" s="1" t="s">
        <v>936</v>
      </c>
      <c r="G1352" s="1" t="s">
        <v>53</v>
      </c>
      <c r="H1352" s="1" t="s">
        <v>1844</v>
      </c>
      <c r="I1352" s="1" t="s">
        <v>1845</v>
      </c>
      <c r="J1352" s="1" t="s">
        <v>211</v>
      </c>
      <c r="K1352" t="s">
        <v>937</v>
      </c>
      <c r="M1352" s="1" t="s">
        <v>58</v>
      </c>
      <c r="N1352" s="1">
        <v>0</v>
      </c>
      <c r="O1352" s="1" t="s">
        <v>105</v>
      </c>
      <c r="P1352" s="11" t="s">
        <v>2288</v>
      </c>
      <c r="R1352" s="1">
        <v>3</v>
      </c>
      <c r="T1352" s="1" t="s">
        <v>646</v>
      </c>
      <c r="U1352" s="11" t="s">
        <v>2289</v>
      </c>
      <c r="V1352" s="1" t="s">
        <v>41</v>
      </c>
      <c r="W1352" s="1" t="s">
        <v>49</v>
      </c>
      <c r="Z1352" s="14">
        <v>1</v>
      </c>
    </row>
    <row r="1353" spans="1:26" hidden="1">
      <c r="A1353" s="1">
        <v>9416985</v>
      </c>
      <c r="B1353" s="1" t="s">
        <v>101</v>
      </c>
      <c r="C1353" t="s">
        <v>643</v>
      </c>
      <c r="D1353" s="2">
        <v>230018075</v>
      </c>
      <c r="E1353" s="2">
        <v>1838001400010</v>
      </c>
      <c r="F1353" s="2" t="s">
        <v>936</v>
      </c>
      <c r="G1353" s="1" t="s">
        <v>53</v>
      </c>
      <c r="H1353" s="1" t="s">
        <v>357</v>
      </c>
      <c r="I1353" s="1" t="s">
        <v>358</v>
      </c>
      <c r="J1353" s="1" t="s">
        <v>46</v>
      </c>
      <c r="K1353" s="1" t="s">
        <v>937</v>
      </c>
      <c r="M1353" s="1" t="s">
        <v>58</v>
      </c>
      <c r="N1353" s="1">
        <v>0</v>
      </c>
      <c r="O1353" s="1" t="s">
        <v>105</v>
      </c>
      <c r="P1353" s="11" t="s">
        <v>2290</v>
      </c>
      <c r="R1353" s="1">
        <v>3</v>
      </c>
      <c r="T1353" s="1" t="s">
        <v>646</v>
      </c>
      <c r="U1353" s="11" t="s">
        <v>2291</v>
      </c>
      <c r="V1353" s="1" t="s">
        <v>41</v>
      </c>
      <c r="W1353" s="1" t="s">
        <v>49</v>
      </c>
      <c r="Z1353" s="14">
        <v>1</v>
      </c>
    </row>
    <row r="1354" spans="1:26" hidden="1">
      <c r="A1354" s="1">
        <v>9416984</v>
      </c>
      <c r="B1354" s="1" t="s">
        <v>101</v>
      </c>
      <c r="C1354" t="s">
        <v>643</v>
      </c>
      <c r="D1354" s="2">
        <v>230018074</v>
      </c>
      <c r="E1354" s="2">
        <v>1837001400010</v>
      </c>
      <c r="F1354" s="1" t="s">
        <v>936</v>
      </c>
      <c r="G1354" s="1" t="s">
        <v>53</v>
      </c>
      <c r="H1354" s="1" t="s">
        <v>1785</v>
      </c>
      <c r="I1354" s="1" t="s">
        <v>1786</v>
      </c>
      <c r="J1354" s="1" t="s">
        <v>46</v>
      </c>
      <c r="K1354" t="s">
        <v>937</v>
      </c>
      <c r="M1354" s="1" t="s">
        <v>58</v>
      </c>
      <c r="N1354" s="1">
        <v>0</v>
      </c>
      <c r="O1354" s="1" t="s">
        <v>105</v>
      </c>
      <c r="P1354" s="11" t="s">
        <v>2292</v>
      </c>
      <c r="R1354" s="1">
        <v>3</v>
      </c>
      <c r="T1354" s="1" t="s">
        <v>646</v>
      </c>
      <c r="U1354" s="11" t="s">
        <v>2293</v>
      </c>
      <c r="V1354" s="1" t="s">
        <v>41</v>
      </c>
      <c r="W1354" s="1" t="s">
        <v>49</v>
      </c>
      <c r="Z1354" s="14">
        <v>1</v>
      </c>
    </row>
    <row r="1355" spans="1:26" hidden="1">
      <c r="A1355" s="1">
        <v>9416983</v>
      </c>
      <c r="B1355" s="1" t="s">
        <v>101</v>
      </c>
      <c r="C1355" t="s">
        <v>643</v>
      </c>
      <c r="D1355" s="2">
        <v>230018073</v>
      </c>
      <c r="E1355" s="2">
        <v>1836001400010</v>
      </c>
      <c r="F1355" s="1" t="s">
        <v>936</v>
      </c>
      <c r="G1355" s="1" t="s">
        <v>53</v>
      </c>
      <c r="H1355" s="1" t="s">
        <v>455</v>
      </c>
      <c r="I1355" s="1" t="s">
        <v>456</v>
      </c>
      <c r="J1355" s="1" t="s">
        <v>46</v>
      </c>
      <c r="K1355" t="s">
        <v>937</v>
      </c>
      <c r="M1355" s="1" t="s">
        <v>58</v>
      </c>
      <c r="N1355" s="1">
        <v>0</v>
      </c>
      <c r="O1355" s="1" t="s">
        <v>105</v>
      </c>
      <c r="P1355" s="11" t="s">
        <v>2294</v>
      </c>
      <c r="R1355" s="1">
        <v>3</v>
      </c>
      <c r="T1355" s="1" t="s">
        <v>646</v>
      </c>
      <c r="U1355" s="11" t="s">
        <v>2295</v>
      </c>
      <c r="V1355" s="1" t="s">
        <v>41</v>
      </c>
      <c r="W1355" s="1" t="s">
        <v>49</v>
      </c>
      <c r="Z1355" s="14">
        <v>1</v>
      </c>
    </row>
    <row r="1356" spans="1:26" hidden="1">
      <c r="A1356" s="1">
        <v>9416982</v>
      </c>
      <c r="B1356" s="1" t="s">
        <v>101</v>
      </c>
      <c r="C1356" t="s">
        <v>643</v>
      </c>
      <c r="D1356" s="2">
        <v>230018072</v>
      </c>
      <c r="E1356" s="2">
        <v>1835001400010</v>
      </c>
      <c r="F1356" s="1" t="s">
        <v>936</v>
      </c>
      <c r="G1356" s="1" t="s">
        <v>53</v>
      </c>
      <c r="H1356" s="1" t="s">
        <v>305</v>
      </c>
      <c r="I1356" s="1" t="s">
        <v>306</v>
      </c>
      <c r="J1356" s="1" t="s">
        <v>46</v>
      </c>
      <c r="K1356" t="s">
        <v>937</v>
      </c>
      <c r="M1356" s="1" t="s">
        <v>58</v>
      </c>
      <c r="N1356" s="1">
        <v>0</v>
      </c>
      <c r="O1356" s="1" t="s">
        <v>105</v>
      </c>
      <c r="P1356" s="11" t="s">
        <v>2296</v>
      </c>
      <c r="R1356" s="1">
        <v>3</v>
      </c>
      <c r="T1356" s="1" t="s">
        <v>646</v>
      </c>
      <c r="U1356" s="11" t="s">
        <v>2297</v>
      </c>
      <c r="V1356" s="1" t="s">
        <v>41</v>
      </c>
      <c r="W1356" s="1" t="s">
        <v>49</v>
      </c>
      <c r="Z1356" s="14">
        <v>1</v>
      </c>
    </row>
    <row r="1357" spans="1:26" hidden="1">
      <c r="A1357" s="1">
        <v>9416981</v>
      </c>
      <c r="B1357" s="1" t="s">
        <v>101</v>
      </c>
      <c r="C1357" t="s">
        <v>643</v>
      </c>
      <c r="D1357" s="2">
        <v>230018071</v>
      </c>
      <c r="E1357" s="2">
        <v>1833041400010</v>
      </c>
      <c r="F1357" s="1" t="s">
        <v>936</v>
      </c>
      <c r="G1357" s="1" t="s">
        <v>53</v>
      </c>
      <c r="H1357" s="1" t="s">
        <v>811</v>
      </c>
      <c r="I1357" s="1" t="s">
        <v>812</v>
      </c>
      <c r="J1357" s="1" t="s">
        <v>46</v>
      </c>
      <c r="K1357" t="s">
        <v>937</v>
      </c>
      <c r="M1357" s="1" t="s">
        <v>58</v>
      </c>
      <c r="N1357" s="1">
        <v>0</v>
      </c>
      <c r="O1357" s="1" t="s">
        <v>105</v>
      </c>
      <c r="P1357" s="12">
        <v>44958.305833333332</v>
      </c>
      <c r="R1357" s="1">
        <v>3</v>
      </c>
      <c r="T1357" s="1" t="s">
        <v>646</v>
      </c>
      <c r="U1357" s="12">
        <v>44959.305844907409</v>
      </c>
      <c r="V1357" s="1" t="s">
        <v>41</v>
      </c>
      <c r="W1357" s="1" t="s">
        <v>49</v>
      </c>
      <c r="Z1357" s="14">
        <v>1</v>
      </c>
    </row>
    <row r="1358" spans="1:26" hidden="1">
      <c r="A1358" s="1">
        <v>9416980</v>
      </c>
      <c r="B1358" s="1" t="s">
        <v>101</v>
      </c>
      <c r="C1358" t="s">
        <v>643</v>
      </c>
      <c r="D1358" s="2">
        <v>230018070</v>
      </c>
      <c r="E1358" s="2">
        <v>1833001400010</v>
      </c>
      <c r="F1358" s="1" t="s">
        <v>936</v>
      </c>
      <c r="G1358" s="1" t="s">
        <v>53</v>
      </c>
      <c r="H1358" s="1" t="s">
        <v>369</v>
      </c>
      <c r="I1358" s="1" t="s">
        <v>370</v>
      </c>
      <c r="J1358" s="1" t="s">
        <v>46</v>
      </c>
      <c r="K1358" t="s">
        <v>937</v>
      </c>
      <c r="M1358" s="1" t="s">
        <v>58</v>
      </c>
      <c r="N1358" s="1">
        <v>0</v>
      </c>
      <c r="O1358" s="1" t="s">
        <v>105</v>
      </c>
      <c r="P1358" s="11" t="s">
        <v>2298</v>
      </c>
      <c r="R1358" s="1">
        <v>3</v>
      </c>
      <c r="T1358" s="1" t="s">
        <v>646</v>
      </c>
      <c r="U1358" s="11" t="s">
        <v>2299</v>
      </c>
      <c r="V1358" s="1" t="s">
        <v>41</v>
      </c>
      <c r="W1358" s="1" t="s">
        <v>49</v>
      </c>
      <c r="Z1358" s="14">
        <v>1</v>
      </c>
    </row>
    <row r="1359" spans="1:26" hidden="1">
      <c r="A1359" s="1">
        <v>9416969</v>
      </c>
      <c r="B1359" s="1" t="s">
        <v>101</v>
      </c>
      <c r="C1359" t="s">
        <v>643</v>
      </c>
      <c r="D1359" s="2">
        <v>230018063</v>
      </c>
      <c r="E1359" s="2">
        <v>1814031400010</v>
      </c>
      <c r="F1359" s="1" t="s">
        <v>936</v>
      </c>
      <c r="G1359" s="1" t="s">
        <v>53</v>
      </c>
      <c r="H1359" s="12" t="s">
        <v>719</v>
      </c>
      <c r="I1359" s="1" t="s">
        <v>188</v>
      </c>
      <c r="J1359" s="1" t="s">
        <v>46</v>
      </c>
      <c r="K1359" t="s">
        <v>937</v>
      </c>
      <c r="M1359" s="1" t="s">
        <v>58</v>
      </c>
      <c r="N1359" s="1">
        <v>0</v>
      </c>
      <c r="O1359" s="1" t="s">
        <v>105</v>
      </c>
      <c r="P1359" s="12">
        <v>44958.30541666667</v>
      </c>
      <c r="R1359" s="1">
        <v>3</v>
      </c>
      <c r="T1359" s="1" t="s">
        <v>646</v>
      </c>
      <c r="U1359" s="12">
        <v>44959.305428240739</v>
      </c>
      <c r="V1359" s="1" t="s">
        <v>41</v>
      </c>
      <c r="W1359" s="1" t="s">
        <v>49</v>
      </c>
      <c r="Z1359" s="14">
        <v>1</v>
      </c>
    </row>
    <row r="1360" spans="1:26" hidden="1">
      <c r="A1360" s="1">
        <v>9416968</v>
      </c>
      <c r="B1360" s="1" t="s">
        <v>101</v>
      </c>
      <c r="C1360" t="s">
        <v>643</v>
      </c>
      <c r="D1360" s="2">
        <v>230018062</v>
      </c>
      <c r="E1360" s="2">
        <v>1814001400010</v>
      </c>
      <c r="F1360" s="1" t="s">
        <v>936</v>
      </c>
      <c r="G1360" s="1" t="s">
        <v>53</v>
      </c>
      <c r="H1360" s="1" t="s">
        <v>396</v>
      </c>
      <c r="I1360" s="1" t="s">
        <v>397</v>
      </c>
      <c r="J1360" s="1" t="s">
        <v>46</v>
      </c>
      <c r="K1360" s="1" t="s">
        <v>937</v>
      </c>
      <c r="M1360" s="1" t="s">
        <v>58</v>
      </c>
      <c r="N1360" s="1">
        <v>0</v>
      </c>
      <c r="O1360" s="1" t="s">
        <v>105</v>
      </c>
      <c r="P1360" s="12">
        <v>44958.30537037037</v>
      </c>
      <c r="R1360" s="1">
        <v>3</v>
      </c>
      <c r="T1360" s="1" t="s">
        <v>646</v>
      </c>
      <c r="U1360" s="12">
        <v>44959.30537037037</v>
      </c>
      <c r="V1360" s="1" t="s">
        <v>41</v>
      </c>
      <c r="W1360" s="12" t="s">
        <v>49</v>
      </c>
      <c r="Z1360" s="14">
        <v>1</v>
      </c>
    </row>
    <row r="1361" spans="1:26">
      <c r="A1361" s="1">
        <v>9416942</v>
      </c>
      <c r="B1361" s="1" t="s">
        <v>101</v>
      </c>
      <c r="C1361" t="s">
        <v>643</v>
      </c>
      <c r="D1361" s="2">
        <v>230018044</v>
      </c>
      <c r="E1361" s="2">
        <v>1764001400010</v>
      </c>
      <c r="F1361" s="1" t="s">
        <v>936</v>
      </c>
      <c r="G1361" s="1" t="s">
        <v>53</v>
      </c>
      <c r="H1361" s="1" t="s">
        <v>722</v>
      </c>
      <c r="I1361" s="1" t="s">
        <v>723</v>
      </c>
      <c r="J1361" s="1" t="s">
        <v>90</v>
      </c>
      <c r="K1361" t="s">
        <v>937</v>
      </c>
      <c r="M1361" s="1" t="s">
        <v>58</v>
      </c>
      <c r="N1361" s="1">
        <v>0</v>
      </c>
      <c r="O1361" s="1" t="s">
        <v>105</v>
      </c>
      <c r="P1361" s="11" t="s">
        <v>2300</v>
      </c>
      <c r="R1361" s="1">
        <v>3</v>
      </c>
      <c r="T1361" s="1" t="s">
        <v>646</v>
      </c>
      <c r="U1361" s="11" t="s">
        <v>2301</v>
      </c>
      <c r="V1361" s="1" t="s">
        <v>41</v>
      </c>
      <c r="W1361" s="1" t="s">
        <v>49</v>
      </c>
      <c r="Z1361" s="14">
        <v>1</v>
      </c>
    </row>
    <row r="1362" spans="1:26" hidden="1">
      <c r="A1362" s="1">
        <v>9416933</v>
      </c>
      <c r="B1362" s="1" t="s">
        <v>101</v>
      </c>
      <c r="C1362" t="s">
        <v>643</v>
      </c>
      <c r="D1362" s="2">
        <v>230018135</v>
      </c>
      <c r="E1362" s="2">
        <v>2138001400010</v>
      </c>
      <c r="F1362" s="1" t="s">
        <v>936</v>
      </c>
      <c r="G1362" s="1" t="s">
        <v>53</v>
      </c>
      <c r="H1362" s="1" t="s">
        <v>379</v>
      </c>
      <c r="I1362" s="1" t="s">
        <v>380</v>
      </c>
      <c r="J1362" s="1" t="s">
        <v>46</v>
      </c>
      <c r="K1362" s="1" t="s">
        <v>937</v>
      </c>
      <c r="M1362" s="1" t="s">
        <v>58</v>
      </c>
      <c r="N1362" s="1">
        <v>0</v>
      </c>
      <c r="O1362" s="1" t="s">
        <v>105</v>
      </c>
      <c r="P1362" s="12">
        <v>44958.303981481484</v>
      </c>
      <c r="R1362" s="1">
        <v>3</v>
      </c>
      <c r="T1362" s="1" t="s">
        <v>646</v>
      </c>
      <c r="U1362" s="11" t="s">
        <v>2302</v>
      </c>
      <c r="V1362" s="1" t="s">
        <v>41</v>
      </c>
      <c r="W1362" s="12" t="s">
        <v>49</v>
      </c>
      <c r="Z1362" s="14">
        <v>1</v>
      </c>
    </row>
    <row r="1363" spans="1:26" hidden="1">
      <c r="A1363" s="1">
        <v>9416921</v>
      </c>
      <c r="B1363" s="1" t="s">
        <v>101</v>
      </c>
      <c r="C1363" t="s">
        <v>643</v>
      </c>
      <c r="D1363" s="2">
        <v>230018123</v>
      </c>
      <c r="E1363" s="2">
        <v>2107001400010</v>
      </c>
      <c r="F1363" s="2" t="s">
        <v>936</v>
      </c>
      <c r="G1363" s="1" t="s">
        <v>53</v>
      </c>
      <c r="H1363" s="1" t="s">
        <v>262</v>
      </c>
      <c r="I1363" s="1" t="s">
        <v>263</v>
      </c>
      <c r="J1363" s="1" t="s">
        <v>164</v>
      </c>
      <c r="K1363" s="1" t="s">
        <v>937</v>
      </c>
      <c r="M1363" s="1" t="s">
        <v>58</v>
      </c>
      <c r="N1363" s="1">
        <v>0</v>
      </c>
      <c r="O1363" s="1" t="s">
        <v>105</v>
      </c>
      <c r="P1363" s="11" t="s">
        <v>2303</v>
      </c>
      <c r="R1363" s="1">
        <v>3</v>
      </c>
      <c r="T1363" s="1" t="s">
        <v>646</v>
      </c>
      <c r="U1363" s="12">
        <v>44959.303344907406</v>
      </c>
      <c r="V1363" s="1" t="s">
        <v>41</v>
      </c>
      <c r="W1363" s="1" t="s">
        <v>49</v>
      </c>
      <c r="Z1363" s="14">
        <v>1</v>
      </c>
    </row>
    <row r="1364" spans="1:26">
      <c r="A1364" s="1">
        <v>9416908</v>
      </c>
      <c r="B1364" s="1" t="s">
        <v>101</v>
      </c>
      <c r="C1364" t="s">
        <v>643</v>
      </c>
      <c r="D1364" s="2">
        <v>230018110</v>
      </c>
      <c r="E1364" s="2">
        <v>2069001400010</v>
      </c>
      <c r="F1364" s="1" t="s">
        <v>936</v>
      </c>
      <c r="G1364" s="1" t="s">
        <v>53</v>
      </c>
      <c r="H1364" s="1" t="s">
        <v>557</v>
      </c>
      <c r="I1364" s="1" t="s">
        <v>558</v>
      </c>
      <c r="J1364" s="1" t="s">
        <v>90</v>
      </c>
      <c r="K1364" t="s">
        <v>937</v>
      </c>
      <c r="M1364" s="1" t="s">
        <v>58</v>
      </c>
      <c r="N1364" s="1">
        <v>0</v>
      </c>
      <c r="O1364" s="1" t="s">
        <v>105</v>
      </c>
      <c r="P1364" s="11" t="s">
        <v>2304</v>
      </c>
      <c r="R1364" s="1">
        <v>3</v>
      </c>
      <c r="T1364" s="1" t="s">
        <v>646</v>
      </c>
      <c r="U1364" s="11" t="s">
        <v>2305</v>
      </c>
      <c r="V1364" s="1" t="s">
        <v>41</v>
      </c>
      <c r="W1364" s="1" t="s">
        <v>49</v>
      </c>
      <c r="Z1364" s="14">
        <v>1</v>
      </c>
    </row>
    <row r="1365" spans="1:26" hidden="1">
      <c r="A1365" s="1">
        <v>9416899</v>
      </c>
      <c r="B1365" s="1" t="s">
        <v>101</v>
      </c>
      <c r="C1365" t="s">
        <v>643</v>
      </c>
      <c r="D1365" s="2">
        <v>230018101</v>
      </c>
      <c r="E1365" s="2">
        <v>2039001400010</v>
      </c>
      <c r="F1365" s="1" t="s">
        <v>936</v>
      </c>
      <c r="G1365" s="1" t="s">
        <v>53</v>
      </c>
      <c r="H1365" s="1" t="s">
        <v>1943</v>
      </c>
      <c r="I1365" s="1" t="s">
        <v>1944</v>
      </c>
      <c r="J1365" s="1" t="s">
        <v>110</v>
      </c>
      <c r="K1365" t="s">
        <v>937</v>
      </c>
      <c r="M1365" s="1" t="s">
        <v>58</v>
      </c>
      <c r="N1365" s="1">
        <v>0</v>
      </c>
      <c r="O1365" s="1" t="s">
        <v>36</v>
      </c>
      <c r="P1365" s="11" t="s">
        <v>2306</v>
      </c>
      <c r="R1365" s="1">
        <v>3</v>
      </c>
      <c r="T1365" s="1" t="s">
        <v>646</v>
      </c>
      <c r="U1365" s="11" t="s">
        <v>2307</v>
      </c>
      <c r="V1365" s="1" t="s">
        <v>41</v>
      </c>
      <c r="W1365" s="1" t="s">
        <v>49</v>
      </c>
      <c r="Z1365" s="14">
        <v>1</v>
      </c>
    </row>
    <row r="1366" spans="1:26" hidden="1">
      <c r="A1366" s="1">
        <v>9416812</v>
      </c>
      <c r="B1366" s="1" t="s">
        <v>101</v>
      </c>
      <c r="C1366" t="s">
        <v>643</v>
      </c>
      <c r="D1366" s="2">
        <v>230017885</v>
      </c>
      <c r="E1366" s="2">
        <v>1421001400010</v>
      </c>
      <c r="F1366" s="1" t="s">
        <v>936</v>
      </c>
      <c r="G1366" s="1" t="s">
        <v>53</v>
      </c>
      <c r="H1366" s="1" t="s">
        <v>179</v>
      </c>
      <c r="I1366" s="1" t="s">
        <v>180</v>
      </c>
      <c r="J1366" s="1" t="s">
        <v>79</v>
      </c>
      <c r="K1366" t="s">
        <v>937</v>
      </c>
      <c r="M1366" s="1" t="s">
        <v>58</v>
      </c>
      <c r="N1366" s="1">
        <v>0</v>
      </c>
      <c r="O1366" s="1" t="s">
        <v>105</v>
      </c>
      <c r="P1366" s="11" t="s">
        <v>2308</v>
      </c>
      <c r="R1366" s="1">
        <v>3</v>
      </c>
      <c r="T1366" s="1" t="s">
        <v>646</v>
      </c>
      <c r="U1366" s="11" t="s">
        <v>2309</v>
      </c>
      <c r="V1366" s="1" t="s">
        <v>41</v>
      </c>
      <c r="W1366" s="1" t="s">
        <v>49</v>
      </c>
      <c r="Z1366" s="14">
        <v>1</v>
      </c>
    </row>
    <row r="1367" spans="1:26">
      <c r="A1367" s="1">
        <v>9416765</v>
      </c>
      <c r="B1367" s="1" t="s">
        <v>101</v>
      </c>
      <c r="C1367" t="s">
        <v>643</v>
      </c>
      <c r="D1367" s="2">
        <v>230017755</v>
      </c>
      <c r="E1367" s="2">
        <v>1059001400010</v>
      </c>
      <c r="F1367" s="1" t="s">
        <v>936</v>
      </c>
      <c r="G1367" s="1" t="s">
        <v>53</v>
      </c>
      <c r="H1367" s="1" t="s">
        <v>88</v>
      </c>
      <c r="I1367" s="1" t="s">
        <v>89</v>
      </c>
      <c r="J1367" s="1" t="s">
        <v>90</v>
      </c>
      <c r="K1367" t="s">
        <v>937</v>
      </c>
      <c r="M1367" s="1" t="s">
        <v>58</v>
      </c>
      <c r="N1367" s="1">
        <v>0</v>
      </c>
      <c r="O1367" s="1" t="s">
        <v>105</v>
      </c>
      <c r="P1367" s="11" t="s">
        <v>2310</v>
      </c>
      <c r="R1367" s="1">
        <v>3</v>
      </c>
      <c r="T1367" s="1" t="s">
        <v>646</v>
      </c>
      <c r="U1367" s="11" t="s">
        <v>2311</v>
      </c>
      <c r="V1367" s="1" t="s">
        <v>41</v>
      </c>
      <c r="W1367" s="1" t="s">
        <v>49</v>
      </c>
      <c r="Z1367" s="14">
        <v>1</v>
      </c>
    </row>
    <row r="1368" spans="1:26" hidden="1">
      <c r="A1368" s="1">
        <v>9416764</v>
      </c>
      <c r="B1368" s="1" t="s">
        <v>101</v>
      </c>
      <c r="C1368" t="s">
        <v>643</v>
      </c>
      <c r="D1368" s="2">
        <v>230017754</v>
      </c>
      <c r="E1368" s="2">
        <v>1058001400010</v>
      </c>
      <c r="F1368" s="1" t="s">
        <v>936</v>
      </c>
      <c r="G1368" s="1" t="s">
        <v>53</v>
      </c>
      <c r="H1368" s="1" t="s">
        <v>289</v>
      </c>
      <c r="I1368" s="1" t="s">
        <v>290</v>
      </c>
      <c r="J1368" s="1" t="s">
        <v>56</v>
      </c>
      <c r="K1368" t="s">
        <v>937</v>
      </c>
      <c r="M1368" s="1" t="s">
        <v>58</v>
      </c>
      <c r="N1368" s="1">
        <v>0</v>
      </c>
      <c r="O1368" s="1" t="s">
        <v>105</v>
      </c>
      <c r="P1368" s="186">
        <v>44958.295717592591</v>
      </c>
      <c r="R1368" s="1">
        <v>3</v>
      </c>
      <c r="T1368" s="1" t="s">
        <v>646</v>
      </c>
      <c r="U1368" s="186">
        <v>44959.295717592591</v>
      </c>
      <c r="V1368" s="1" t="s">
        <v>41</v>
      </c>
      <c r="W1368" s="1" t="s">
        <v>49</v>
      </c>
      <c r="Z1368" s="14">
        <v>1</v>
      </c>
    </row>
    <row r="1369" spans="1:26">
      <c r="A1369" s="1">
        <v>9416746</v>
      </c>
      <c r="B1369" s="1" t="s">
        <v>101</v>
      </c>
      <c r="C1369" t="s">
        <v>643</v>
      </c>
      <c r="D1369" s="2">
        <v>230017740</v>
      </c>
      <c r="E1369" s="2">
        <v>1028001400010</v>
      </c>
      <c r="F1369" s="1" t="s">
        <v>936</v>
      </c>
      <c r="G1369" s="1" t="s">
        <v>53</v>
      </c>
      <c r="H1369" s="1" t="s">
        <v>1079</v>
      </c>
      <c r="I1369" s="1" t="s">
        <v>1080</v>
      </c>
      <c r="J1369" s="1" t="s">
        <v>85</v>
      </c>
      <c r="K1369" t="s">
        <v>937</v>
      </c>
      <c r="M1369" s="1" t="s">
        <v>58</v>
      </c>
      <c r="N1369" s="1">
        <v>0</v>
      </c>
      <c r="O1369" s="1" t="s">
        <v>105</v>
      </c>
      <c r="P1369" s="11" t="s">
        <v>2312</v>
      </c>
      <c r="R1369" s="1">
        <v>3</v>
      </c>
      <c r="T1369" s="1" t="s">
        <v>646</v>
      </c>
      <c r="U1369" s="11" t="s">
        <v>2313</v>
      </c>
      <c r="V1369" s="1" t="s">
        <v>41</v>
      </c>
      <c r="W1369" s="1" t="s">
        <v>49</v>
      </c>
      <c r="Z1369" s="14">
        <v>1</v>
      </c>
    </row>
    <row r="1370" spans="1:26" hidden="1">
      <c r="A1370" s="1">
        <v>9416712</v>
      </c>
      <c r="B1370" s="1" t="s">
        <v>101</v>
      </c>
      <c r="C1370" t="s">
        <v>643</v>
      </c>
      <c r="D1370" s="2">
        <v>230017714</v>
      </c>
      <c r="E1370" s="2">
        <v>963001400010</v>
      </c>
      <c r="F1370" s="1" t="s">
        <v>936</v>
      </c>
      <c r="G1370" s="1" t="s">
        <v>53</v>
      </c>
      <c r="H1370" s="1" t="s">
        <v>531</v>
      </c>
      <c r="I1370" s="1" t="s">
        <v>532</v>
      </c>
      <c r="J1370" s="1" t="s">
        <v>33</v>
      </c>
      <c r="K1370" t="s">
        <v>937</v>
      </c>
      <c r="M1370" s="1" t="s">
        <v>58</v>
      </c>
      <c r="N1370" s="1">
        <v>0</v>
      </c>
      <c r="O1370" s="1" t="s">
        <v>105</v>
      </c>
      <c r="P1370" s="186">
        <v>44958.293622685182</v>
      </c>
      <c r="R1370" s="1">
        <v>3</v>
      </c>
      <c r="T1370" s="1" t="s">
        <v>646</v>
      </c>
      <c r="U1370" s="186">
        <v>44959.293622685182</v>
      </c>
      <c r="V1370" s="1" t="s">
        <v>41</v>
      </c>
      <c r="W1370" s="1" t="s">
        <v>49</v>
      </c>
      <c r="Z1370" s="14">
        <v>1</v>
      </c>
    </row>
    <row r="1371" spans="1:26">
      <c r="A1371" s="181">
        <v>9416672</v>
      </c>
      <c r="B1371" s="181" t="s">
        <v>101</v>
      </c>
      <c r="C1371" s="182" t="s">
        <v>2179</v>
      </c>
      <c r="D1371" s="183">
        <v>230017774</v>
      </c>
      <c r="E1371" s="183">
        <v>1108001400010</v>
      </c>
      <c r="F1371" s="181" t="s">
        <v>936</v>
      </c>
      <c r="G1371" s="181" t="s">
        <v>53</v>
      </c>
      <c r="H1371" s="181" t="s">
        <v>295</v>
      </c>
      <c r="I1371" s="181" t="s">
        <v>296</v>
      </c>
      <c r="J1371" s="181" t="s">
        <v>90</v>
      </c>
      <c r="K1371" t="s">
        <v>937</v>
      </c>
      <c r="M1371" s="1" t="s">
        <v>58</v>
      </c>
      <c r="N1371" s="1">
        <v>0</v>
      </c>
      <c r="O1371" s="1" t="s">
        <v>105</v>
      </c>
      <c r="P1371" s="11" t="s">
        <v>2314</v>
      </c>
      <c r="R1371" s="1">
        <v>3</v>
      </c>
      <c r="T1371" s="1" t="s">
        <v>646</v>
      </c>
      <c r="U1371" s="11" t="s">
        <v>2315</v>
      </c>
      <c r="V1371" s="1" t="s">
        <v>41</v>
      </c>
      <c r="W1371" s="1" t="s">
        <v>49</v>
      </c>
      <c r="Z1371" s="14">
        <v>1</v>
      </c>
    </row>
    <row r="1372" spans="1:26" hidden="1">
      <c r="A1372" s="1">
        <v>9416578</v>
      </c>
      <c r="B1372" s="1" t="s">
        <v>101</v>
      </c>
      <c r="C1372" t="s">
        <v>643</v>
      </c>
      <c r="D1372" s="2">
        <v>230017619</v>
      </c>
      <c r="E1372" s="2">
        <v>711001400010</v>
      </c>
      <c r="F1372" s="1" t="s">
        <v>936</v>
      </c>
      <c r="G1372" s="1" t="s">
        <v>53</v>
      </c>
      <c r="H1372" s="1" t="s">
        <v>77</v>
      </c>
      <c r="I1372" s="1" t="s">
        <v>78</v>
      </c>
      <c r="J1372" s="1" t="s">
        <v>79</v>
      </c>
      <c r="K1372" t="s">
        <v>937</v>
      </c>
      <c r="M1372" s="1" t="s">
        <v>58</v>
      </c>
      <c r="N1372" s="1">
        <v>0</v>
      </c>
      <c r="O1372" s="1" t="s">
        <v>105</v>
      </c>
      <c r="P1372" s="11" t="s">
        <v>2316</v>
      </c>
      <c r="R1372" s="1">
        <v>3</v>
      </c>
      <c r="T1372" s="1" t="s">
        <v>646</v>
      </c>
      <c r="U1372" s="11" t="s">
        <v>2317</v>
      </c>
      <c r="V1372" s="1" t="s">
        <v>41</v>
      </c>
      <c r="W1372" s="1" t="s">
        <v>49</v>
      </c>
      <c r="Z1372" s="14">
        <v>1</v>
      </c>
    </row>
    <row r="1373" spans="1:26">
      <c r="A1373" s="1">
        <v>9416566</v>
      </c>
      <c r="B1373" s="1" t="s">
        <v>101</v>
      </c>
      <c r="C1373" t="s">
        <v>643</v>
      </c>
      <c r="D1373" s="2">
        <v>230017592</v>
      </c>
      <c r="E1373" s="2">
        <v>605001400010</v>
      </c>
      <c r="F1373" s="1" t="s">
        <v>936</v>
      </c>
      <c r="G1373" s="1" t="s">
        <v>53</v>
      </c>
      <c r="H1373" s="1" t="s">
        <v>420</v>
      </c>
      <c r="I1373" s="1" t="s">
        <v>421</v>
      </c>
      <c r="J1373" s="1" t="s">
        <v>90</v>
      </c>
      <c r="K1373" t="s">
        <v>937</v>
      </c>
      <c r="M1373" s="1" t="s">
        <v>58</v>
      </c>
      <c r="N1373" s="1">
        <v>0</v>
      </c>
      <c r="O1373" s="1" t="s">
        <v>105</v>
      </c>
      <c r="P1373" s="186">
        <v>44958.286145833335</v>
      </c>
      <c r="R1373" s="1">
        <v>3</v>
      </c>
      <c r="T1373" s="1" t="s">
        <v>646</v>
      </c>
      <c r="U1373" s="186">
        <v>44959.286145833335</v>
      </c>
      <c r="V1373" s="1" t="s">
        <v>41</v>
      </c>
      <c r="W1373" s="1" t="s">
        <v>49</v>
      </c>
      <c r="Z1373" s="14">
        <v>1</v>
      </c>
    </row>
    <row r="1374" spans="1:26">
      <c r="A1374" s="1">
        <v>9416563</v>
      </c>
      <c r="B1374" s="1" t="s">
        <v>101</v>
      </c>
      <c r="C1374" t="s">
        <v>643</v>
      </c>
      <c r="D1374" s="2">
        <v>230017589</v>
      </c>
      <c r="E1374" s="2">
        <v>600001400010</v>
      </c>
      <c r="F1374" s="1" t="s">
        <v>936</v>
      </c>
      <c r="G1374" s="1" t="s">
        <v>53</v>
      </c>
      <c r="H1374" s="1" t="s">
        <v>1084</v>
      </c>
      <c r="I1374" s="1" t="s">
        <v>1085</v>
      </c>
      <c r="J1374" s="1" t="s">
        <v>90</v>
      </c>
      <c r="K1374" t="s">
        <v>937</v>
      </c>
      <c r="M1374" s="1" t="s">
        <v>58</v>
      </c>
      <c r="N1374" s="1">
        <v>0</v>
      </c>
      <c r="O1374" s="1" t="s">
        <v>105</v>
      </c>
      <c r="P1374" s="12">
        <v>44958.285995370374</v>
      </c>
      <c r="R1374" s="1">
        <v>3</v>
      </c>
      <c r="T1374" s="1" t="s">
        <v>646</v>
      </c>
      <c r="U1374" s="12">
        <v>44959.285995370374</v>
      </c>
      <c r="V1374" s="1" t="s">
        <v>41</v>
      </c>
      <c r="W1374" s="1" t="s">
        <v>49</v>
      </c>
      <c r="Z1374" s="14">
        <v>1</v>
      </c>
    </row>
    <row r="1375" spans="1:26" hidden="1">
      <c r="A1375" s="1">
        <v>9416512</v>
      </c>
      <c r="B1375" s="1" t="s">
        <v>101</v>
      </c>
      <c r="C1375" t="s">
        <v>643</v>
      </c>
      <c r="D1375" s="2">
        <v>230017447</v>
      </c>
      <c r="E1375" s="2">
        <v>115001400010</v>
      </c>
      <c r="F1375" s="1" t="s">
        <v>936</v>
      </c>
      <c r="G1375" s="1" t="s">
        <v>53</v>
      </c>
      <c r="H1375" s="1" t="s">
        <v>542</v>
      </c>
      <c r="I1375" s="1" t="s">
        <v>543</v>
      </c>
      <c r="J1375" s="1" t="s">
        <v>56</v>
      </c>
      <c r="K1375" t="s">
        <v>937</v>
      </c>
      <c r="M1375" s="1" t="s">
        <v>58</v>
      </c>
      <c r="N1375" s="1">
        <v>0</v>
      </c>
      <c r="O1375" s="1" t="s">
        <v>105</v>
      </c>
      <c r="P1375" s="12">
        <v>44958.282407407409</v>
      </c>
      <c r="R1375" s="1">
        <v>3</v>
      </c>
      <c r="T1375" s="1" t="s">
        <v>646</v>
      </c>
      <c r="U1375" s="12">
        <v>44959.282418981478</v>
      </c>
      <c r="V1375" s="1" t="s">
        <v>41</v>
      </c>
      <c r="W1375" s="1" t="s">
        <v>49</v>
      </c>
      <c r="Z1375" s="14">
        <v>1</v>
      </c>
    </row>
    <row r="1376" spans="1:26">
      <c r="A1376" s="181">
        <v>9416481</v>
      </c>
      <c r="B1376" s="181" t="s">
        <v>101</v>
      </c>
      <c r="C1376" s="182" t="s">
        <v>2251</v>
      </c>
      <c r="D1376" s="183">
        <v>230017484</v>
      </c>
      <c r="E1376" s="183">
        <v>246001400010</v>
      </c>
      <c r="F1376" s="181" t="s">
        <v>936</v>
      </c>
      <c r="G1376" s="181" t="s">
        <v>53</v>
      </c>
      <c r="H1376" s="181" t="s">
        <v>1193</v>
      </c>
      <c r="I1376" s="181" t="s">
        <v>1194</v>
      </c>
      <c r="J1376" s="181" t="s">
        <v>85</v>
      </c>
      <c r="K1376" t="s">
        <v>937</v>
      </c>
      <c r="M1376" s="1" t="s">
        <v>58</v>
      </c>
      <c r="N1376" s="1">
        <v>0</v>
      </c>
      <c r="O1376" s="1" t="s">
        <v>105</v>
      </c>
      <c r="P1376" s="11" t="s">
        <v>2318</v>
      </c>
      <c r="R1376" s="1">
        <v>3</v>
      </c>
      <c r="T1376" s="1" t="s">
        <v>646</v>
      </c>
      <c r="U1376" s="11" t="s">
        <v>2319</v>
      </c>
      <c r="V1376" s="1" t="s">
        <v>41</v>
      </c>
      <c r="W1376" s="1" t="s">
        <v>49</v>
      </c>
      <c r="Z1376" s="14">
        <v>1</v>
      </c>
    </row>
    <row r="1377" spans="1:32" hidden="1">
      <c r="A1377" s="1">
        <v>9416477</v>
      </c>
      <c r="B1377" s="1" t="s">
        <v>101</v>
      </c>
      <c r="C1377" t="s">
        <v>643</v>
      </c>
      <c r="D1377" s="2">
        <v>230017483</v>
      </c>
      <c r="E1377" s="2">
        <v>244001400010</v>
      </c>
      <c r="F1377" s="1" t="s">
        <v>936</v>
      </c>
      <c r="G1377" s="1" t="s">
        <v>53</v>
      </c>
      <c r="H1377" s="1" t="s">
        <v>313</v>
      </c>
      <c r="I1377" s="1" t="s">
        <v>314</v>
      </c>
      <c r="J1377" s="1" t="s">
        <v>56</v>
      </c>
      <c r="K1377" t="s">
        <v>937</v>
      </c>
      <c r="M1377" s="1" t="s">
        <v>58</v>
      </c>
      <c r="N1377" s="1">
        <v>0</v>
      </c>
      <c r="O1377" s="1" t="s">
        <v>105</v>
      </c>
      <c r="P1377" s="12">
        <v>44958.280798611115</v>
      </c>
      <c r="R1377" s="1">
        <v>3</v>
      </c>
      <c r="T1377" s="1" t="s">
        <v>646</v>
      </c>
      <c r="U1377" s="12">
        <v>44959.280810185184</v>
      </c>
      <c r="V1377" s="1" t="s">
        <v>41</v>
      </c>
      <c r="W1377" s="1" t="s">
        <v>49</v>
      </c>
      <c r="Z1377" s="14">
        <v>1</v>
      </c>
    </row>
    <row r="1378" spans="1:32" hidden="1">
      <c r="A1378" s="1">
        <v>9416437</v>
      </c>
      <c r="B1378" s="1" t="s">
        <v>101</v>
      </c>
      <c r="C1378" t="s">
        <v>643</v>
      </c>
      <c r="D1378" s="2">
        <v>230017474</v>
      </c>
      <c r="E1378" s="2">
        <v>196001400010</v>
      </c>
      <c r="F1378" s="1" t="s">
        <v>936</v>
      </c>
      <c r="G1378" s="1" t="s">
        <v>53</v>
      </c>
      <c r="H1378" s="1" t="s">
        <v>1060</v>
      </c>
      <c r="I1378" s="1" t="s">
        <v>1061</v>
      </c>
      <c r="J1378" s="1" t="s">
        <v>79</v>
      </c>
      <c r="K1378" t="s">
        <v>937</v>
      </c>
      <c r="M1378" s="1" t="s">
        <v>58</v>
      </c>
      <c r="N1378" s="1">
        <v>0</v>
      </c>
      <c r="O1378" s="1" t="s">
        <v>105</v>
      </c>
      <c r="P1378" s="186">
        <v>44958.279178240744</v>
      </c>
      <c r="R1378" s="1">
        <v>3</v>
      </c>
      <c r="T1378" s="1" t="s">
        <v>646</v>
      </c>
      <c r="U1378" s="186">
        <v>44959.279178240744</v>
      </c>
      <c r="V1378" s="1" t="s">
        <v>41</v>
      </c>
      <c r="W1378" s="1" t="s">
        <v>49</v>
      </c>
      <c r="Z1378" s="14">
        <v>1</v>
      </c>
    </row>
    <row r="1379" spans="1:32">
      <c r="A1379" s="181">
        <v>9428942</v>
      </c>
      <c r="B1379" s="181" t="s">
        <v>1153</v>
      </c>
      <c r="C1379" s="182" t="s">
        <v>2320</v>
      </c>
      <c r="D1379" s="183">
        <v>20230246000008</v>
      </c>
      <c r="E1379" s="183">
        <v>7417163284192</v>
      </c>
      <c r="F1379" s="181" t="s">
        <v>131</v>
      </c>
      <c r="G1379" s="181" t="s">
        <v>53</v>
      </c>
      <c r="H1379" s="181" t="s">
        <v>2321</v>
      </c>
      <c r="I1379" s="181" t="s">
        <v>2322</v>
      </c>
      <c r="J1379" s="181" t="s">
        <v>85</v>
      </c>
      <c r="K1379" t="s">
        <v>132</v>
      </c>
      <c r="M1379" s="1" t="s">
        <v>58</v>
      </c>
      <c r="N1379" s="1">
        <v>0</v>
      </c>
      <c r="O1379" s="1" t="s">
        <v>36</v>
      </c>
      <c r="P1379" s="11" t="s">
        <v>2323</v>
      </c>
      <c r="R1379" s="1">
        <v>14</v>
      </c>
      <c r="T1379" s="1" t="s">
        <v>238</v>
      </c>
      <c r="U1379" s="11" t="s">
        <v>2324</v>
      </c>
      <c r="V1379" s="1" t="s">
        <v>41</v>
      </c>
      <c r="W1379" s="1" t="s">
        <v>49</v>
      </c>
      <c r="X1379" s="13" t="str">
        <f t="shared" ref="X1379" si="147">IF(RIGHT(H1379,2)&lt;&gt;"00",H1379,"")</f>
        <v>0246.91</v>
      </c>
      <c r="Y1379" s="2">
        <f t="shared" ref="Y1379" ca="1" si="148">NETWORKDAYS(P1379,$Y$1)</f>
        <v>20</v>
      </c>
      <c r="Z1379" s="14">
        <v>1</v>
      </c>
      <c r="AA1379" s="1" t="str">
        <f t="shared" ref="AA1379" ca="1" si="149">IF(AE1379=0,"HOJE",IF(AE1379&gt;0,"A VENCER",IF(AE1379&lt;0,"VENCIDO")))</f>
        <v>VENCIDO</v>
      </c>
      <c r="AB1379" s="1" t="str">
        <f t="shared" ref="AB1379" si="150">IF(F1379="GRPE-000001","C-14",IF(F1379="GRPE-000002","C-14",IF(F1379="GRPE-000003","C-14",IF(F1379="GRPE-000004","SL-On",IF(F1379="GRPE-000038","C-14",IF(F1379="GRPE-900022","Dosa",IF(F1379="GRPE-000029","Dosa",IF(F1379="ATOS-000222","Dose","TAAe+"))))))))</f>
        <v>TAAe+</v>
      </c>
      <c r="AC1379" s="2" t="str">
        <f t="shared" ref="AC1379" si="151">IF(J1379="TR-PETROLINA"," ROSEMERE ",IF(J1379="TR-GARANHUNS"," ROSEMERE ",IF(J1379="TR-CARUARU"," ROSEMERE ",IF(J1379="TR-RIBEIRAO"," CRISTINA ",IF(J1379="TR-GRAVATA"," CRISTINA ",IF(J1379="TR-GOIANA"," CRISTINA ",IF(J1379="TR-LIMOEIRO"," CRISTINA ",IF(J1379="TR-SERRA TALHADA"," RINALDO ",IF(J1379="TR-SALGUEIRO"," RINALDO ",IF(J1379="TR-CARNAIBA"," RINALDO ",IF(J1379="TR-ARCOVERDE"," RINALDO ",IF(J1379="CAT-RECIFE"," CLEITON ",))))))))))))</f>
        <v xml:space="preserve"> RINALDO </v>
      </c>
      <c r="AD1379" s="2">
        <f t="shared" ref="AD1379" si="152">IF(F1379="GRPE-000001",5,IF(F1379="GRPE-000002",5,IF(F1379="GRPE-000003",15,IF(F1379="GRPE-000004",1,IF(F1379="GRPE-000038",5,IF(F1379="GRPE-900022",5,IF(F1379="GRPE-000029",5,IF(F1379="ATOS-000222",5,8))))))))</f>
        <v>8</v>
      </c>
      <c r="AE1379" s="2">
        <f t="shared" ref="AE1379" ca="1" si="153">IF(U1379=$AE$1,"",U1379-$AE$1)</f>
        <v>-26.280438310182944</v>
      </c>
      <c r="AF1379" s="15"/>
    </row>
    <row r="1380" spans="1:32" hidden="1">
      <c r="A1380" s="1">
        <v>9428813</v>
      </c>
      <c r="B1380" s="1" t="s">
        <v>1924</v>
      </c>
      <c r="C1380" t="s">
        <v>2325</v>
      </c>
      <c r="D1380" s="2">
        <v>20232257000011</v>
      </c>
      <c r="E1380" s="2">
        <v>7419151141229</v>
      </c>
      <c r="F1380" s="1" t="s">
        <v>123</v>
      </c>
      <c r="G1380" s="1" t="s">
        <v>53</v>
      </c>
      <c r="H1380" s="1" t="s">
        <v>2326</v>
      </c>
      <c r="I1380" s="1" t="s">
        <v>2327</v>
      </c>
      <c r="J1380" s="1" t="s">
        <v>110</v>
      </c>
      <c r="K1380" t="s">
        <v>126</v>
      </c>
      <c r="M1380" s="1" t="s">
        <v>58</v>
      </c>
      <c r="N1380" s="1">
        <v>0</v>
      </c>
      <c r="O1380" s="1" t="s">
        <v>105</v>
      </c>
      <c r="P1380" s="11" t="s">
        <v>2328</v>
      </c>
      <c r="R1380" s="1">
        <v>14</v>
      </c>
      <c r="T1380" s="1" t="s">
        <v>238</v>
      </c>
      <c r="U1380" s="11" t="s">
        <v>2329</v>
      </c>
      <c r="V1380" s="1" t="s">
        <v>41</v>
      </c>
      <c r="W1380" s="1" t="s">
        <v>49</v>
      </c>
      <c r="Z1380" s="14">
        <v>1</v>
      </c>
    </row>
    <row r="1381" spans="1:32">
      <c r="A1381" s="173">
        <v>9428127</v>
      </c>
      <c r="B1381" s="173" t="s">
        <v>1153</v>
      </c>
      <c r="C1381" s="178" t="s">
        <v>2330</v>
      </c>
      <c r="D1381" s="174"/>
      <c r="E1381" s="174">
        <v>2590000206001</v>
      </c>
      <c r="F1381" s="173" t="s">
        <v>29</v>
      </c>
      <c r="G1381" s="173" t="s">
        <v>53</v>
      </c>
      <c r="H1381" s="173" t="s">
        <v>394</v>
      </c>
      <c r="I1381" s="173" t="s">
        <v>395</v>
      </c>
      <c r="J1381" s="173" t="s">
        <v>148</v>
      </c>
      <c r="K1381" t="s">
        <v>34</v>
      </c>
      <c r="M1381" s="1" t="s">
        <v>35</v>
      </c>
      <c r="N1381" s="1">
        <v>42318949</v>
      </c>
      <c r="O1381" s="1" t="s">
        <v>36</v>
      </c>
      <c r="P1381" s="12">
        <v>44959.625405092593</v>
      </c>
      <c r="R1381" s="1" t="s">
        <v>38</v>
      </c>
      <c r="T1381" s="1" t="s">
        <v>74</v>
      </c>
      <c r="U1381" s="12">
        <v>44972.649305555555</v>
      </c>
      <c r="V1381" s="1" t="s">
        <v>41</v>
      </c>
      <c r="W1381" s="1" t="s">
        <v>49</v>
      </c>
      <c r="X1381" s="13" t="str">
        <f t="shared" ref="X1381:X1382" si="154">IF(RIGHT(H1381,2)&lt;&gt;"00",H1381,"")</f>
        <v/>
      </c>
      <c r="Y1381" s="2">
        <f t="shared" ref="Y1381:Y1382" ca="1" si="155">NETWORKDAYS(P1381,$Y$1)</f>
        <v>20</v>
      </c>
      <c r="Z1381" s="14">
        <v>1</v>
      </c>
      <c r="AA1381" s="1" t="str">
        <f t="shared" ref="AA1381:AA1382" ca="1" si="156">IF(AE1381=0,"HOJE",IF(AE1381&gt;0,"A VENCER",IF(AE1381&lt;0,"VENCIDO")))</f>
        <v>VENCIDO</v>
      </c>
      <c r="AB1381" s="1" t="str">
        <f t="shared" ref="AB1381:AB1382" si="157">IF(F1381="GRPE-000001","C-14",IF(F1381="GRPE-000002","C-14",IF(F1381="GRPE-000003","C-14",IF(F1381="GRPE-000004","SL-On",IF(F1381="GRPE-000038","C-14",IF(F1381="GRPE-900022","Dosa",IF(F1381="GRPE-000029","Dosa",IF(F1381="ATOS-000222","Dose","TAAe+"))))))))</f>
        <v>Dosa</v>
      </c>
      <c r="AC1381" s="2" t="str">
        <f t="shared" ref="AC1381:AC1382" si="158">IF(J1381="TR-PETROLINA"," ROSEMERE ",IF(J1381="TR-GARANHUNS"," ROSEMERE ",IF(J1381="TR-CARUARU"," ROSEMERE ",IF(J1381="TR-RIBEIRAO"," CRISTINA ",IF(J1381="TR-GRAVATA"," CRISTINA ",IF(J1381="TR-GOIANA"," CRISTINA ",IF(J1381="TR-LIMOEIRO"," CRISTINA ",IF(J1381="TR-SERRA TALHADA"," RINALDO ",IF(J1381="TR-SALGUEIRO"," RINALDO ",IF(J1381="TR-CARNAIBA"," RINALDO ",IF(J1381="TR-ARCOVERDE"," RINALDO ",IF(J1381="CAT-RECIFE"," CLEITON ",))))))))))))</f>
        <v xml:space="preserve"> RINALDO </v>
      </c>
      <c r="AD1381" s="2">
        <f t="shared" ref="AD1381:AD1382" si="159">IF(F1381="GRPE-000001",5,IF(F1381="GRPE-000002",5,IF(F1381="GRPE-000003",15,IF(F1381="GRPE-000004",1,IF(F1381="GRPE-000038",5,IF(F1381="GRPE-900022",5,IF(F1381="GRPE-000029",5,IF(F1381="ATOS-000222",5,8))))))))</f>
        <v>5</v>
      </c>
      <c r="AE1381" s="2">
        <f t="shared" ref="AE1381:AE1382" ca="1" si="160">IF(U1381=$AE$1,"",U1381-$AE$1)</f>
        <v>-14.026966087963956</v>
      </c>
      <c r="AF1381" s="15"/>
    </row>
    <row r="1382" spans="1:32">
      <c r="A1382" s="181">
        <v>9428003</v>
      </c>
      <c r="B1382" s="181" t="s">
        <v>1153</v>
      </c>
      <c r="C1382" s="182" t="s">
        <v>2331</v>
      </c>
      <c r="D1382" s="183">
        <v>20231059000013</v>
      </c>
      <c r="E1382" s="183">
        <v>7417163284288</v>
      </c>
      <c r="F1382" s="181" t="s">
        <v>131</v>
      </c>
      <c r="G1382" s="181" t="s">
        <v>53</v>
      </c>
      <c r="H1382" s="181" t="s">
        <v>1972</v>
      </c>
      <c r="I1382" s="181" t="s">
        <v>1973</v>
      </c>
      <c r="J1382" s="181" t="s">
        <v>90</v>
      </c>
      <c r="K1382" t="s">
        <v>132</v>
      </c>
      <c r="M1382" s="1" t="s">
        <v>58</v>
      </c>
      <c r="N1382" s="1">
        <v>0</v>
      </c>
      <c r="O1382" s="1" t="s">
        <v>36</v>
      </c>
      <c r="P1382" s="12">
        <v>44959.585312499999</v>
      </c>
      <c r="R1382" s="1">
        <v>14</v>
      </c>
      <c r="T1382" s="1" t="s">
        <v>238</v>
      </c>
      <c r="U1382" s="12">
        <v>44959.585312499999</v>
      </c>
      <c r="V1382" s="1" t="s">
        <v>41</v>
      </c>
      <c r="W1382" s="1" t="s">
        <v>49</v>
      </c>
      <c r="X1382" s="13" t="str">
        <f t="shared" si="154"/>
        <v>1059.91</v>
      </c>
      <c r="Y1382" s="2">
        <f t="shared" ca="1" si="155"/>
        <v>20</v>
      </c>
      <c r="Z1382" s="14">
        <v>1</v>
      </c>
      <c r="AA1382" s="1" t="str">
        <f t="shared" ca="1" si="156"/>
        <v>VENCIDO</v>
      </c>
      <c r="AB1382" s="1" t="str">
        <f t="shared" si="157"/>
        <v>TAAe+</v>
      </c>
      <c r="AC1382" s="2" t="str">
        <f t="shared" si="158"/>
        <v xml:space="preserve"> RINALDO </v>
      </c>
      <c r="AD1382" s="2">
        <f t="shared" si="159"/>
        <v>8</v>
      </c>
      <c r="AE1382" s="2">
        <f t="shared" ca="1" si="160"/>
        <v>-27.090959143519285</v>
      </c>
      <c r="AF1382" s="15"/>
    </row>
    <row r="1383" spans="1:32" hidden="1">
      <c r="A1383" s="1">
        <v>9427875</v>
      </c>
      <c r="B1383" s="1" t="s">
        <v>1153</v>
      </c>
      <c r="C1383" t="s">
        <v>2332</v>
      </c>
      <c r="D1383" s="2">
        <v>20234844000329</v>
      </c>
      <c r="E1383" s="2">
        <v>7417183022492</v>
      </c>
      <c r="F1383" s="1" t="s">
        <v>1313</v>
      </c>
      <c r="G1383" s="1" t="s">
        <v>53</v>
      </c>
      <c r="H1383" s="1" t="s">
        <v>2333</v>
      </c>
      <c r="I1383" s="1" t="s">
        <v>2334</v>
      </c>
      <c r="J1383" s="1" t="s">
        <v>46</v>
      </c>
      <c r="K1383" t="s">
        <v>1316</v>
      </c>
      <c r="M1383" s="1" t="s">
        <v>58</v>
      </c>
      <c r="N1383" s="1">
        <v>0</v>
      </c>
      <c r="O1383" s="1" t="s">
        <v>36</v>
      </c>
      <c r="P1383" s="12">
        <v>44959.563958333332</v>
      </c>
      <c r="R1383" s="1">
        <v>13</v>
      </c>
      <c r="T1383" s="1" t="s">
        <v>238</v>
      </c>
      <c r="U1383" s="12">
        <v>44959.563958333332</v>
      </c>
      <c r="V1383" s="1" t="s">
        <v>41</v>
      </c>
      <c r="W1383" s="1" t="s">
        <v>49</v>
      </c>
      <c r="Z1383" s="14">
        <v>1</v>
      </c>
    </row>
    <row r="1384" spans="1:32" hidden="1">
      <c r="A1384" s="1">
        <v>9427703</v>
      </c>
      <c r="B1384" s="1" t="s">
        <v>1153</v>
      </c>
      <c r="C1384" t="s">
        <v>2335</v>
      </c>
      <c r="E1384" s="2">
        <v>1049000206001</v>
      </c>
      <c r="F1384" s="1" t="s">
        <v>29</v>
      </c>
      <c r="G1384" s="1" t="s">
        <v>53</v>
      </c>
      <c r="H1384" s="1" t="s">
        <v>169</v>
      </c>
      <c r="I1384" s="1" t="s">
        <v>170</v>
      </c>
      <c r="J1384" s="1" t="s">
        <v>164</v>
      </c>
      <c r="K1384" t="s">
        <v>34</v>
      </c>
      <c r="M1384" s="1" t="s">
        <v>35</v>
      </c>
      <c r="N1384" s="1">
        <v>42318949</v>
      </c>
      <c r="O1384" s="1" t="s">
        <v>36</v>
      </c>
      <c r="P1384" s="12">
        <v>44959.552835648145</v>
      </c>
      <c r="R1384" s="1" t="s">
        <v>38</v>
      </c>
      <c r="T1384" s="1" t="s">
        <v>74</v>
      </c>
      <c r="U1384" s="12">
        <v>44974.583333333336</v>
      </c>
      <c r="V1384" s="1" t="s">
        <v>41</v>
      </c>
      <c r="W1384" s="1" t="s">
        <v>49</v>
      </c>
      <c r="Z1384" s="14">
        <v>1</v>
      </c>
    </row>
    <row r="1385" spans="1:32">
      <c r="A1385" s="1">
        <v>9426529</v>
      </c>
      <c r="B1385" s="1" t="s">
        <v>1153</v>
      </c>
      <c r="C1385" t="s">
        <v>2336</v>
      </c>
      <c r="E1385" s="2">
        <v>2125000206001</v>
      </c>
      <c r="F1385" s="1" t="s">
        <v>29</v>
      </c>
      <c r="G1385" s="1" t="s">
        <v>53</v>
      </c>
      <c r="H1385" s="1" t="s">
        <v>1399</v>
      </c>
      <c r="I1385" s="1" t="s">
        <v>1400</v>
      </c>
      <c r="J1385" s="1" t="s">
        <v>211</v>
      </c>
      <c r="K1385" t="s">
        <v>34</v>
      </c>
      <c r="M1385" s="1" t="s">
        <v>35</v>
      </c>
      <c r="N1385" s="1">
        <v>42318949</v>
      </c>
      <c r="O1385" s="1" t="s">
        <v>36</v>
      </c>
      <c r="P1385" s="11" t="s">
        <v>2337</v>
      </c>
      <c r="R1385" s="1" t="s">
        <v>38</v>
      </c>
      <c r="T1385" s="1" t="s">
        <v>74</v>
      </c>
      <c r="U1385" s="11" t="s">
        <v>2338</v>
      </c>
      <c r="V1385" s="1" t="s">
        <v>41</v>
      </c>
      <c r="W1385" s="1" t="s">
        <v>49</v>
      </c>
      <c r="X1385" s="13" t="str">
        <f t="shared" ref="X1385" si="161">IF(RIGHT(H1385,2)&lt;&gt;"00",H1385,"")</f>
        <v/>
      </c>
      <c r="Y1385" s="2">
        <f t="shared" ref="Y1385" ca="1" si="162">NETWORKDAYS(P1385,$Y$1)</f>
        <v>20</v>
      </c>
      <c r="Z1385" s="14">
        <v>1</v>
      </c>
      <c r="AA1385" s="1" t="str">
        <f t="shared" ref="AA1385" ca="1" si="163">IF(AE1385=0,"HOJE",IF(AE1385&gt;0,"A VENCER",IF(AE1385&lt;0,"VENCIDO")))</f>
        <v>VENCIDO</v>
      </c>
      <c r="AB1385" s="1" t="str">
        <f t="shared" ref="AB1385" si="164">IF(F1385="GRPE-000001","C-14",IF(F1385="GRPE-000002","C-14",IF(F1385="GRPE-000003","C-14",IF(F1385="GRPE-000004","SL-On",IF(F1385="GRPE-000038","C-14",IF(F1385="GRPE-900022","Dosa",IF(F1385="GRPE-000029","Dosa",IF(F1385="ATOS-000222","Dose","TAAe+"))))))))</f>
        <v>Dosa</v>
      </c>
      <c r="AC1385" s="2" t="str">
        <f t="shared" ref="AC1385" si="165">IF(J1385="TR-PETROLINA"," ROSEMERE ",IF(J1385="TR-GARANHUNS"," ROSEMERE ",IF(J1385="TR-CARUARU"," ROSEMERE ",IF(J1385="TR-RIBEIRAO"," CRISTINA ",IF(J1385="TR-GRAVATA"," CRISTINA ",IF(J1385="TR-GOIANA"," CRISTINA ",IF(J1385="TR-LIMOEIRO"," CRISTINA ",IF(J1385="TR-SERRA TALHADA"," RINALDO ",IF(J1385="TR-SALGUEIRO"," RINALDO ",IF(J1385="TR-CARNAIBA"," RINALDO ",IF(J1385="TR-ARCOVERDE"," RINALDO ",IF(J1385="CAT-RECIFE"," CLEITON ",))))))))))))</f>
        <v xml:space="preserve"> RINALDO </v>
      </c>
      <c r="AD1385" s="2">
        <f t="shared" ref="AD1385" si="166">IF(F1385="GRPE-000001",5,IF(F1385="GRPE-000002",5,IF(F1385="GRPE-000003",15,IF(F1385="GRPE-000004",1,IF(F1385="GRPE-000038",5,IF(F1385="GRPE-900022",5,IF(F1385="GRPE-000029",5,IF(F1385="ATOS-000222",5,8))))))))</f>
        <v>5</v>
      </c>
      <c r="AE1385" s="2">
        <f t="shared" ref="AE1385" ca="1" si="167">IF(U1385=$AE$1,"",U1385-$AE$1)</f>
        <v>-14.068632754628197</v>
      </c>
      <c r="AF1385" s="15"/>
    </row>
    <row r="1386" spans="1:32" hidden="1">
      <c r="A1386" s="1">
        <v>9426501</v>
      </c>
      <c r="B1386" s="1" t="s">
        <v>1153</v>
      </c>
      <c r="C1386" t="s">
        <v>2339</v>
      </c>
      <c r="D1386" s="2">
        <v>20235718000299</v>
      </c>
      <c r="E1386" s="2">
        <v>7417192423265</v>
      </c>
      <c r="F1386" s="1" t="s">
        <v>1727</v>
      </c>
      <c r="G1386" s="1" t="s">
        <v>53</v>
      </c>
      <c r="H1386" s="1" t="s">
        <v>1244</v>
      </c>
      <c r="I1386" s="1" t="s">
        <v>1245</v>
      </c>
      <c r="J1386" s="1" t="s">
        <v>46</v>
      </c>
      <c r="K1386" t="s">
        <v>1728</v>
      </c>
      <c r="M1386" s="1" t="s">
        <v>58</v>
      </c>
      <c r="N1386" s="1">
        <v>0</v>
      </c>
      <c r="O1386" s="1" t="s">
        <v>36</v>
      </c>
      <c r="P1386" s="11" t="s">
        <v>2340</v>
      </c>
      <c r="R1386" s="1">
        <v>22</v>
      </c>
      <c r="T1386" s="1" t="s">
        <v>1160</v>
      </c>
      <c r="U1386" s="11" t="s">
        <v>2341</v>
      </c>
      <c r="V1386" s="1" t="s">
        <v>41</v>
      </c>
      <c r="W1386" s="1" t="s">
        <v>49</v>
      </c>
      <c r="Z1386" s="14">
        <v>1</v>
      </c>
    </row>
    <row r="1387" spans="1:32" hidden="1">
      <c r="A1387" s="1">
        <v>9433837</v>
      </c>
      <c r="B1387" s="1" t="s">
        <v>1153</v>
      </c>
      <c r="C1387" t="s">
        <v>2342</v>
      </c>
      <c r="D1387" s="2">
        <v>20231710000007</v>
      </c>
      <c r="E1387" s="2">
        <v>7417163285218</v>
      </c>
      <c r="F1387" s="1" t="s">
        <v>131</v>
      </c>
      <c r="G1387" s="1" t="s">
        <v>53</v>
      </c>
      <c r="H1387" s="1" t="s">
        <v>2343</v>
      </c>
      <c r="I1387" s="1" t="s">
        <v>2344</v>
      </c>
      <c r="J1387" s="1" t="s">
        <v>261</v>
      </c>
      <c r="K1387" t="s">
        <v>132</v>
      </c>
      <c r="M1387" s="1" t="s">
        <v>58</v>
      </c>
      <c r="N1387" s="1">
        <v>0</v>
      </c>
      <c r="O1387" s="1" t="s">
        <v>36</v>
      </c>
      <c r="P1387" s="11" t="s">
        <v>2345</v>
      </c>
      <c r="R1387" s="1">
        <v>14</v>
      </c>
      <c r="T1387" s="1" t="s">
        <v>238</v>
      </c>
      <c r="U1387" s="11" t="s">
        <v>2346</v>
      </c>
      <c r="V1387" s="1" t="s">
        <v>41</v>
      </c>
      <c r="W1387" s="1" t="s">
        <v>49</v>
      </c>
      <c r="Z1387" s="14">
        <v>1</v>
      </c>
    </row>
    <row r="1388" spans="1:32" hidden="1">
      <c r="A1388" s="1">
        <v>9433742</v>
      </c>
      <c r="B1388" s="1" t="s">
        <v>1153</v>
      </c>
      <c r="C1388" t="s">
        <v>2347</v>
      </c>
      <c r="D1388" s="2">
        <v>20234844000356</v>
      </c>
      <c r="E1388" s="2">
        <v>7419141894942</v>
      </c>
      <c r="F1388" s="1" t="s">
        <v>128</v>
      </c>
      <c r="G1388" s="1" t="s">
        <v>53</v>
      </c>
      <c r="H1388" s="1" t="s">
        <v>2348</v>
      </c>
      <c r="I1388" s="1" t="s">
        <v>2349</v>
      </c>
      <c r="J1388" s="1" t="s">
        <v>46</v>
      </c>
      <c r="K1388" t="s">
        <v>129</v>
      </c>
      <c r="M1388" s="1" t="s">
        <v>58</v>
      </c>
      <c r="N1388" s="1">
        <v>0</v>
      </c>
      <c r="O1388" s="1" t="s">
        <v>36</v>
      </c>
      <c r="P1388" s="11" t="s">
        <v>2350</v>
      </c>
      <c r="R1388" s="1">
        <v>13</v>
      </c>
      <c r="T1388" s="1" t="s">
        <v>238</v>
      </c>
      <c r="U1388" s="11" t="s">
        <v>2346</v>
      </c>
      <c r="V1388" s="1" t="s">
        <v>41</v>
      </c>
      <c r="W1388" s="1" t="s">
        <v>49</v>
      </c>
      <c r="Z1388" s="14">
        <v>1</v>
      </c>
    </row>
    <row r="1389" spans="1:32" hidden="1">
      <c r="A1389" s="1">
        <v>9433645</v>
      </c>
      <c r="B1389" s="1" t="s">
        <v>1153</v>
      </c>
      <c r="C1389" t="s">
        <v>2351</v>
      </c>
      <c r="D1389" s="2">
        <v>20234844000353</v>
      </c>
      <c r="E1389" s="2">
        <v>7417163284819</v>
      </c>
      <c r="F1389" s="1" t="s">
        <v>131</v>
      </c>
      <c r="G1389" s="1" t="s">
        <v>53</v>
      </c>
      <c r="H1389" s="1" t="s">
        <v>2348</v>
      </c>
      <c r="I1389" s="1" t="s">
        <v>2349</v>
      </c>
      <c r="J1389" s="1" t="s">
        <v>46</v>
      </c>
      <c r="K1389" t="s">
        <v>132</v>
      </c>
      <c r="M1389" s="1" t="s">
        <v>58</v>
      </c>
      <c r="N1389" s="1">
        <v>0</v>
      </c>
      <c r="O1389" s="1" t="s">
        <v>36</v>
      </c>
      <c r="P1389" s="11" t="s">
        <v>2352</v>
      </c>
      <c r="R1389" s="1">
        <v>13</v>
      </c>
      <c r="T1389" s="1" t="s">
        <v>238</v>
      </c>
      <c r="U1389" s="11" t="s">
        <v>2346</v>
      </c>
      <c r="V1389" s="1" t="s">
        <v>41</v>
      </c>
      <c r="W1389" s="1" t="s">
        <v>49</v>
      </c>
      <c r="Z1389" s="14">
        <v>1</v>
      </c>
    </row>
    <row r="1390" spans="1:32" hidden="1">
      <c r="A1390" s="1">
        <v>9433457</v>
      </c>
      <c r="B1390" s="1" t="s">
        <v>1153</v>
      </c>
      <c r="C1390" t="s">
        <v>2353</v>
      </c>
      <c r="D1390" s="2">
        <v>230023961</v>
      </c>
      <c r="E1390" s="2">
        <v>196001400010</v>
      </c>
      <c r="F1390" s="1" t="s">
        <v>936</v>
      </c>
      <c r="G1390" s="1" t="s">
        <v>53</v>
      </c>
      <c r="H1390" s="1" t="s">
        <v>1060</v>
      </c>
      <c r="I1390" s="1" t="s">
        <v>1061</v>
      </c>
      <c r="J1390" s="1" t="s">
        <v>33</v>
      </c>
      <c r="K1390" t="s">
        <v>937</v>
      </c>
      <c r="M1390" s="1" t="s">
        <v>58</v>
      </c>
      <c r="N1390" s="1">
        <v>0</v>
      </c>
      <c r="O1390" s="1" t="s">
        <v>36</v>
      </c>
      <c r="P1390" s="11" t="s">
        <v>2354</v>
      </c>
      <c r="R1390" s="1">
        <v>3</v>
      </c>
      <c r="T1390" s="1" t="s">
        <v>646</v>
      </c>
      <c r="U1390" s="11" t="s">
        <v>2355</v>
      </c>
      <c r="V1390" s="1" t="s">
        <v>41</v>
      </c>
      <c r="W1390" s="1" t="s">
        <v>49</v>
      </c>
      <c r="Z1390" s="14">
        <v>1</v>
      </c>
    </row>
    <row r="1391" spans="1:32" hidden="1">
      <c r="A1391" s="1">
        <v>9433413</v>
      </c>
      <c r="B1391" s="1" t="s">
        <v>1153</v>
      </c>
      <c r="C1391" t="s">
        <v>2356</v>
      </c>
      <c r="D1391" s="2">
        <v>20234844000350</v>
      </c>
      <c r="E1391" s="2">
        <v>7419141892809</v>
      </c>
      <c r="F1391" s="1" t="s">
        <v>128</v>
      </c>
      <c r="G1391" s="1" t="s">
        <v>53</v>
      </c>
      <c r="H1391" s="1" t="s">
        <v>2357</v>
      </c>
      <c r="I1391" s="1" t="s">
        <v>2358</v>
      </c>
      <c r="J1391" s="1" t="s">
        <v>46</v>
      </c>
      <c r="K1391" t="s">
        <v>129</v>
      </c>
      <c r="M1391" s="1" t="s">
        <v>58</v>
      </c>
      <c r="N1391" s="1">
        <v>0</v>
      </c>
      <c r="O1391" s="1" t="s">
        <v>36</v>
      </c>
      <c r="P1391" s="11" t="s">
        <v>2359</v>
      </c>
      <c r="R1391" s="1">
        <v>13</v>
      </c>
      <c r="T1391" s="1" t="s">
        <v>238</v>
      </c>
      <c r="U1391" s="11" t="s">
        <v>2359</v>
      </c>
      <c r="V1391" s="1" t="s">
        <v>41</v>
      </c>
      <c r="W1391" s="1" t="s">
        <v>49</v>
      </c>
      <c r="Z1391" s="14">
        <v>1</v>
      </c>
    </row>
    <row r="1392" spans="1:32" hidden="1">
      <c r="A1392" s="1">
        <v>9433256</v>
      </c>
      <c r="B1392" s="1" t="s">
        <v>1153</v>
      </c>
      <c r="C1392" t="s">
        <v>2360</v>
      </c>
      <c r="D1392" s="2">
        <v>20231732000007</v>
      </c>
      <c r="E1392" s="2">
        <v>7419141893001</v>
      </c>
      <c r="F1392" s="1" t="s">
        <v>128</v>
      </c>
      <c r="G1392" s="1" t="s">
        <v>53</v>
      </c>
      <c r="H1392" s="1" t="s">
        <v>2361</v>
      </c>
      <c r="I1392" s="1" t="s">
        <v>2362</v>
      </c>
      <c r="J1392" s="1" t="s">
        <v>164</v>
      </c>
      <c r="K1392" t="s">
        <v>129</v>
      </c>
      <c r="M1392" s="1" t="s">
        <v>58</v>
      </c>
      <c r="N1392" s="1">
        <v>0</v>
      </c>
      <c r="O1392" s="1" t="s">
        <v>36</v>
      </c>
      <c r="P1392" s="11" t="s">
        <v>2363</v>
      </c>
      <c r="R1392" s="1">
        <v>14</v>
      </c>
      <c r="T1392" s="1" t="s">
        <v>238</v>
      </c>
      <c r="U1392" s="11" t="s">
        <v>2363</v>
      </c>
      <c r="V1392" s="1" t="s">
        <v>41</v>
      </c>
      <c r="W1392" s="1" t="s">
        <v>49</v>
      </c>
      <c r="Z1392" s="14">
        <v>1</v>
      </c>
    </row>
    <row r="1393" spans="1:26" hidden="1">
      <c r="A1393" s="1">
        <v>9433255</v>
      </c>
      <c r="B1393" s="1" t="s">
        <v>1153</v>
      </c>
      <c r="C1393" t="s">
        <v>2364</v>
      </c>
      <c r="D1393" s="2">
        <v>20231732000006</v>
      </c>
      <c r="E1393" s="2">
        <v>7417163281555</v>
      </c>
      <c r="F1393" s="1" t="s">
        <v>131</v>
      </c>
      <c r="G1393" s="1" t="s">
        <v>53</v>
      </c>
      <c r="H1393" s="1" t="s">
        <v>2361</v>
      </c>
      <c r="I1393" s="1" t="s">
        <v>2362</v>
      </c>
      <c r="J1393" s="1" t="s">
        <v>164</v>
      </c>
      <c r="K1393" t="s">
        <v>132</v>
      </c>
      <c r="M1393" s="1" t="s">
        <v>58</v>
      </c>
      <c r="N1393" s="1">
        <v>0</v>
      </c>
      <c r="O1393" s="1" t="s">
        <v>36</v>
      </c>
      <c r="P1393" s="11" t="s">
        <v>2365</v>
      </c>
      <c r="R1393" s="1">
        <v>14</v>
      </c>
      <c r="T1393" s="1" t="s">
        <v>238</v>
      </c>
      <c r="U1393" s="11" t="s">
        <v>2365</v>
      </c>
      <c r="V1393" s="1" t="s">
        <v>41</v>
      </c>
      <c r="W1393" s="1" t="s">
        <v>49</v>
      </c>
      <c r="Z1393" s="14">
        <v>1</v>
      </c>
    </row>
    <row r="1394" spans="1:26" hidden="1">
      <c r="A1394" s="1">
        <v>9433050</v>
      </c>
      <c r="B1394" s="1" t="s">
        <v>1153</v>
      </c>
      <c r="C1394" t="s">
        <v>2366</v>
      </c>
      <c r="D1394" s="2">
        <v>20234923000053</v>
      </c>
      <c r="E1394" s="2">
        <v>7417172789125</v>
      </c>
      <c r="F1394" s="1" t="s">
        <v>1989</v>
      </c>
      <c r="G1394" s="1" t="s">
        <v>53</v>
      </c>
      <c r="H1394" s="1" t="s">
        <v>1351</v>
      </c>
      <c r="I1394" s="1" t="s">
        <v>1352</v>
      </c>
      <c r="J1394" s="1" t="s">
        <v>46</v>
      </c>
      <c r="K1394" t="s">
        <v>1990</v>
      </c>
      <c r="M1394" s="1" t="s">
        <v>58</v>
      </c>
      <c r="N1394" s="1">
        <v>0</v>
      </c>
      <c r="O1394" s="1" t="s">
        <v>36</v>
      </c>
      <c r="P1394" s="12">
        <v>44960.63690972222</v>
      </c>
      <c r="R1394" s="1">
        <v>22</v>
      </c>
      <c r="T1394" s="1" t="s">
        <v>1160</v>
      </c>
      <c r="U1394" s="12">
        <v>44965.470243055555</v>
      </c>
      <c r="V1394" s="1" t="s">
        <v>41</v>
      </c>
      <c r="W1394" s="1" t="s">
        <v>49</v>
      </c>
      <c r="Z1394" s="14">
        <v>1</v>
      </c>
    </row>
    <row r="1395" spans="1:26" hidden="1">
      <c r="A1395" s="1">
        <v>9433012</v>
      </c>
      <c r="B1395" s="1" t="s">
        <v>1153</v>
      </c>
      <c r="C1395" t="s">
        <v>2367</v>
      </c>
      <c r="E1395" s="2">
        <v>1902016179200</v>
      </c>
      <c r="F1395" s="1" t="s">
        <v>64</v>
      </c>
      <c r="G1395" s="1" t="s">
        <v>53</v>
      </c>
      <c r="H1395" s="1" t="s">
        <v>467</v>
      </c>
      <c r="I1395" s="1" t="s">
        <v>468</v>
      </c>
      <c r="J1395" s="1" t="s">
        <v>46</v>
      </c>
      <c r="K1395" t="s">
        <v>67</v>
      </c>
      <c r="M1395" s="1" t="s">
        <v>35</v>
      </c>
      <c r="N1395" s="1">
        <v>42318949</v>
      </c>
      <c r="O1395" s="1" t="s">
        <v>105</v>
      </c>
      <c r="P1395" s="11" t="s">
        <v>2368</v>
      </c>
      <c r="R1395" s="1" t="s">
        <v>571</v>
      </c>
      <c r="T1395" s="1" t="s">
        <v>69</v>
      </c>
      <c r="U1395" s="11" t="s">
        <v>2369</v>
      </c>
      <c r="V1395" s="1" t="s">
        <v>41</v>
      </c>
      <c r="W1395" s="1" t="s">
        <v>49</v>
      </c>
      <c r="Z1395" s="14">
        <v>1</v>
      </c>
    </row>
    <row r="1396" spans="1:26" hidden="1">
      <c r="A1396" s="1">
        <v>9432979</v>
      </c>
      <c r="B1396" s="1" t="s">
        <v>1153</v>
      </c>
      <c r="C1396" t="s">
        <v>2370</v>
      </c>
      <c r="D1396" s="2">
        <v>20234844000347</v>
      </c>
      <c r="E1396" s="2">
        <v>7417183020626</v>
      </c>
      <c r="F1396" s="1" t="s">
        <v>1313</v>
      </c>
      <c r="G1396" s="1" t="s">
        <v>53</v>
      </c>
      <c r="H1396" s="1" t="s">
        <v>2059</v>
      </c>
      <c r="I1396" s="1" t="s">
        <v>2060</v>
      </c>
      <c r="J1396" s="1" t="s">
        <v>46</v>
      </c>
      <c r="K1396" t="s">
        <v>1316</v>
      </c>
      <c r="M1396" s="1" t="s">
        <v>58</v>
      </c>
      <c r="N1396" s="1">
        <v>0</v>
      </c>
      <c r="O1396" s="1" t="s">
        <v>36</v>
      </c>
      <c r="P1396" s="11" t="s">
        <v>2371</v>
      </c>
      <c r="R1396" s="1">
        <v>13</v>
      </c>
      <c r="T1396" s="1" t="s">
        <v>238</v>
      </c>
      <c r="U1396" s="11" t="s">
        <v>2371</v>
      </c>
      <c r="V1396" s="1" t="s">
        <v>41</v>
      </c>
      <c r="W1396" s="1" t="s">
        <v>49</v>
      </c>
      <c r="Z1396" s="14">
        <v>1</v>
      </c>
    </row>
    <row r="1397" spans="1:26" hidden="1">
      <c r="A1397" s="1">
        <v>9432437</v>
      </c>
      <c r="B1397" s="1" t="s">
        <v>62</v>
      </c>
      <c r="C1397" t="s">
        <v>2372</v>
      </c>
      <c r="E1397" s="2">
        <v>1833000206001</v>
      </c>
      <c r="F1397" s="1" t="s">
        <v>29</v>
      </c>
      <c r="G1397" s="1" t="s">
        <v>53</v>
      </c>
      <c r="H1397" s="1" t="s">
        <v>369</v>
      </c>
      <c r="I1397" s="1" t="s">
        <v>370</v>
      </c>
      <c r="J1397" s="1" t="s">
        <v>46</v>
      </c>
      <c r="K1397" t="s">
        <v>34</v>
      </c>
      <c r="M1397" s="1" t="s">
        <v>35</v>
      </c>
      <c r="N1397" s="1">
        <v>42318949</v>
      </c>
      <c r="O1397" s="1" t="s">
        <v>36</v>
      </c>
      <c r="P1397" s="12">
        <v>44960.545138888891</v>
      </c>
      <c r="R1397" s="1" t="s">
        <v>38</v>
      </c>
      <c r="T1397" s="1" t="s">
        <v>74</v>
      </c>
      <c r="U1397" s="12">
        <v>45005.75</v>
      </c>
      <c r="V1397" s="1" t="s">
        <v>41</v>
      </c>
      <c r="W1397" s="1" t="s">
        <v>49</v>
      </c>
      <c r="Z1397" s="14">
        <v>1</v>
      </c>
    </row>
    <row r="1398" spans="1:26" hidden="1">
      <c r="A1398" s="1">
        <v>9432115</v>
      </c>
      <c r="B1398" s="1" t="s">
        <v>1153</v>
      </c>
      <c r="C1398" t="s">
        <v>2373</v>
      </c>
      <c r="D1398" s="2">
        <v>20232257000015</v>
      </c>
      <c r="E1398" s="2">
        <v>7417183022203</v>
      </c>
      <c r="F1398" s="1" t="s">
        <v>1313</v>
      </c>
      <c r="G1398" s="1" t="s">
        <v>53</v>
      </c>
      <c r="H1398" s="1" t="s">
        <v>2326</v>
      </c>
      <c r="I1398" s="1" t="s">
        <v>2327</v>
      </c>
      <c r="J1398" s="1" t="s">
        <v>110</v>
      </c>
      <c r="K1398" t="s">
        <v>1316</v>
      </c>
      <c r="M1398" s="1" t="s">
        <v>58</v>
      </c>
      <c r="N1398" s="1">
        <v>0</v>
      </c>
      <c r="O1398" s="1" t="s">
        <v>36</v>
      </c>
      <c r="P1398" s="11" t="s">
        <v>2374</v>
      </c>
      <c r="R1398" s="1">
        <v>14</v>
      </c>
      <c r="T1398" s="1" t="s">
        <v>238</v>
      </c>
      <c r="U1398" s="11" t="s">
        <v>2374</v>
      </c>
      <c r="V1398" s="1" t="s">
        <v>41</v>
      </c>
      <c r="W1398" s="1" t="s">
        <v>49</v>
      </c>
      <c r="Z1398" s="14">
        <v>1</v>
      </c>
    </row>
    <row r="1399" spans="1:26" hidden="1">
      <c r="A1399" s="1">
        <v>9432088</v>
      </c>
      <c r="B1399" s="1" t="s">
        <v>1153</v>
      </c>
      <c r="C1399" t="s">
        <v>2375</v>
      </c>
      <c r="D1399" s="2">
        <v>230023671</v>
      </c>
      <c r="E1399" s="2">
        <v>1835001400010</v>
      </c>
      <c r="F1399" s="1" t="s">
        <v>936</v>
      </c>
      <c r="G1399" s="1" t="s">
        <v>53</v>
      </c>
      <c r="H1399" s="1" t="s">
        <v>305</v>
      </c>
      <c r="I1399" s="1" t="s">
        <v>306</v>
      </c>
      <c r="J1399" s="1" t="s">
        <v>46</v>
      </c>
      <c r="K1399" t="s">
        <v>937</v>
      </c>
      <c r="M1399" s="1" t="s">
        <v>58</v>
      </c>
      <c r="N1399" s="1">
        <v>0</v>
      </c>
      <c r="O1399" s="1" t="s">
        <v>36</v>
      </c>
      <c r="P1399" s="11" t="s">
        <v>2376</v>
      </c>
      <c r="R1399" s="1">
        <v>3</v>
      </c>
      <c r="T1399" s="1" t="s">
        <v>646</v>
      </c>
      <c r="U1399" s="11" t="s">
        <v>2377</v>
      </c>
      <c r="V1399" s="1" t="s">
        <v>41</v>
      </c>
      <c r="W1399" s="1" t="s">
        <v>49</v>
      </c>
      <c r="Z1399" s="14">
        <v>1</v>
      </c>
    </row>
    <row r="1400" spans="1:26" hidden="1">
      <c r="A1400" s="1">
        <v>9431494</v>
      </c>
      <c r="B1400" s="1" t="s">
        <v>1153</v>
      </c>
      <c r="C1400" t="s">
        <v>2378</v>
      </c>
      <c r="D1400" s="2">
        <v>20237712000002</v>
      </c>
      <c r="E1400" s="2">
        <v>7417193051914</v>
      </c>
      <c r="F1400" s="1" t="s">
        <v>1719</v>
      </c>
      <c r="G1400" s="1" t="s">
        <v>53</v>
      </c>
      <c r="H1400" s="1" t="s">
        <v>2379</v>
      </c>
      <c r="I1400" s="1" t="s">
        <v>2380</v>
      </c>
      <c r="J1400" s="1" t="s">
        <v>46</v>
      </c>
      <c r="K1400" t="s">
        <v>1720</v>
      </c>
      <c r="M1400" s="1" t="s">
        <v>58</v>
      </c>
      <c r="N1400" s="1">
        <v>0</v>
      </c>
      <c r="O1400" s="1" t="s">
        <v>36</v>
      </c>
      <c r="P1400" s="11" t="s">
        <v>2381</v>
      </c>
      <c r="R1400" s="1">
        <v>22</v>
      </c>
      <c r="T1400" s="1" t="s">
        <v>1160</v>
      </c>
      <c r="U1400" s="11" t="s">
        <v>2382</v>
      </c>
      <c r="V1400" s="1" t="s">
        <v>41</v>
      </c>
      <c r="W1400" s="1" t="s">
        <v>49</v>
      </c>
      <c r="Z1400" s="14">
        <v>1</v>
      </c>
    </row>
    <row r="1401" spans="1:26" hidden="1">
      <c r="A1401" s="1">
        <v>9431491</v>
      </c>
      <c r="B1401" s="1" t="s">
        <v>1153</v>
      </c>
      <c r="C1401" t="s">
        <v>2383</v>
      </c>
      <c r="D1401" s="2">
        <v>20237712000001</v>
      </c>
      <c r="E1401" s="2">
        <v>7417193051942</v>
      </c>
      <c r="F1401" s="1" t="s">
        <v>1719</v>
      </c>
      <c r="G1401" s="1" t="s">
        <v>53</v>
      </c>
      <c r="H1401" s="1" t="s">
        <v>2379</v>
      </c>
      <c r="I1401" s="1" t="s">
        <v>2380</v>
      </c>
      <c r="J1401" s="1" t="s">
        <v>46</v>
      </c>
      <c r="K1401" t="s">
        <v>1720</v>
      </c>
      <c r="M1401" s="1" t="s">
        <v>58</v>
      </c>
      <c r="N1401" s="1">
        <v>0</v>
      </c>
      <c r="O1401" s="1" t="s">
        <v>36</v>
      </c>
      <c r="P1401" s="11" t="s">
        <v>2384</v>
      </c>
      <c r="R1401" s="1">
        <v>22</v>
      </c>
      <c r="T1401" s="1" t="s">
        <v>1160</v>
      </c>
      <c r="U1401" s="11" t="s">
        <v>2385</v>
      </c>
      <c r="V1401" s="1" t="s">
        <v>41</v>
      </c>
      <c r="W1401" s="1" t="s">
        <v>49</v>
      </c>
      <c r="Z1401" s="14">
        <v>1</v>
      </c>
    </row>
    <row r="1402" spans="1:26" hidden="1">
      <c r="A1402" s="1">
        <v>9431050</v>
      </c>
      <c r="B1402" s="1" t="s">
        <v>1153</v>
      </c>
      <c r="C1402" t="s">
        <v>2386</v>
      </c>
      <c r="D1402" s="2">
        <v>20232559000002</v>
      </c>
      <c r="E1402" s="2">
        <v>7419151141120</v>
      </c>
      <c r="F1402" s="1" t="s">
        <v>123</v>
      </c>
      <c r="G1402" s="1" t="s">
        <v>53</v>
      </c>
      <c r="H1402" s="1" t="s">
        <v>2387</v>
      </c>
      <c r="I1402" s="1" t="s">
        <v>2388</v>
      </c>
      <c r="J1402" s="1" t="s">
        <v>261</v>
      </c>
      <c r="K1402" t="s">
        <v>126</v>
      </c>
      <c r="M1402" s="1" t="s">
        <v>58</v>
      </c>
      <c r="N1402" s="1">
        <v>0</v>
      </c>
      <c r="O1402" s="1" t="s">
        <v>36</v>
      </c>
      <c r="P1402" s="11" t="s">
        <v>2389</v>
      </c>
      <c r="R1402" s="1">
        <v>14</v>
      </c>
      <c r="T1402" s="1" t="s">
        <v>238</v>
      </c>
      <c r="U1402" s="11" t="s">
        <v>2324</v>
      </c>
      <c r="V1402" s="1" t="s">
        <v>41</v>
      </c>
      <c r="W1402" s="1" t="s">
        <v>49</v>
      </c>
      <c r="Z1402" s="14">
        <v>1</v>
      </c>
    </row>
    <row r="1403" spans="1:26" hidden="1">
      <c r="A1403" s="1">
        <v>9430989</v>
      </c>
      <c r="B1403" s="1" t="s">
        <v>62</v>
      </c>
      <c r="C1403" t="s">
        <v>2390</v>
      </c>
      <c r="E1403" s="2">
        <v>3258000206001</v>
      </c>
      <c r="F1403" s="1" t="s">
        <v>29</v>
      </c>
      <c r="G1403" s="1" t="s">
        <v>53</v>
      </c>
      <c r="H1403" s="1" t="s">
        <v>321</v>
      </c>
      <c r="I1403" s="1" t="s">
        <v>322</v>
      </c>
      <c r="J1403" s="1" t="s">
        <v>46</v>
      </c>
      <c r="K1403" t="s">
        <v>34</v>
      </c>
      <c r="M1403" s="1" t="s">
        <v>35</v>
      </c>
      <c r="N1403" s="1">
        <v>42318949</v>
      </c>
      <c r="O1403" s="1" t="s">
        <v>105</v>
      </c>
      <c r="P1403" s="12">
        <v>44960.342314814814</v>
      </c>
      <c r="R1403" s="1" t="s">
        <v>38</v>
      </c>
      <c r="T1403" s="1" t="s">
        <v>74</v>
      </c>
      <c r="U1403" s="12">
        <v>45005.75</v>
      </c>
      <c r="V1403" s="1" t="s">
        <v>41</v>
      </c>
      <c r="W1403" s="1" t="s">
        <v>49</v>
      </c>
      <c r="Z1403" s="14">
        <v>1</v>
      </c>
    </row>
    <row r="1404" spans="1:26" hidden="1">
      <c r="A1404" s="1">
        <v>9445712</v>
      </c>
      <c r="B1404" s="1" t="s">
        <v>1153</v>
      </c>
      <c r="C1404" t="s">
        <v>2391</v>
      </c>
      <c r="D1404" s="2">
        <v>230024766</v>
      </c>
      <c r="E1404" s="2">
        <v>3924001400030</v>
      </c>
      <c r="F1404" s="1" t="s">
        <v>647</v>
      </c>
      <c r="G1404" s="1" t="s">
        <v>53</v>
      </c>
      <c r="H1404" s="1" t="s">
        <v>153</v>
      </c>
      <c r="I1404" s="1" t="s">
        <v>154</v>
      </c>
      <c r="J1404" s="1" t="s">
        <v>56</v>
      </c>
      <c r="K1404" t="s">
        <v>650</v>
      </c>
      <c r="M1404" s="1" t="s">
        <v>58</v>
      </c>
      <c r="N1404" s="1">
        <v>0</v>
      </c>
      <c r="O1404" s="1" t="s">
        <v>36</v>
      </c>
      <c r="P1404" s="12">
        <v>44963.712118055555</v>
      </c>
      <c r="R1404" s="1">
        <v>4</v>
      </c>
      <c r="T1404" s="1" t="s">
        <v>646</v>
      </c>
      <c r="U1404" s="12">
        <v>44970.729166666664</v>
      </c>
      <c r="V1404" s="1" t="s">
        <v>41</v>
      </c>
      <c r="W1404" s="1" t="s">
        <v>49</v>
      </c>
      <c r="Z1404" s="14">
        <v>1</v>
      </c>
    </row>
    <row r="1405" spans="1:26" hidden="1">
      <c r="A1405" s="1">
        <v>9445666</v>
      </c>
      <c r="B1405" s="1" t="s">
        <v>1153</v>
      </c>
      <c r="C1405" s="15" t="s">
        <v>2392</v>
      </c>
      <c r="D1405" s="2">
        <v>20234844000378</v>
      </c>
      <c r="E1405" s="2">
        <v>7417163283079</v>
      </c>
      <c r="F1405" s="18" t="s">
        <v>131</v>
      </c>
      <c r="G1405" s="1" t="s">
        <v>53</v>
      </c>
      <c r="H1405" s="1" t="s">
        <v>2087</v>
      </c>
      <c r="I1405" s="1" t="s">
        <v>2088</v>
      </c>
      <c r="J1405" s="1" t="s">
        <v>46</v>
      </c>
      <c r="K1405" t="s">
        <v>132</v>
      </c>
      <c r="M1405" s="1" t="s">
        <v>58</v>
      </c>
      <c r="N1405" s="1">
        <v>0</v>
      </c>
      <c r="O1405" s="1" t="s">
        <v>36</v>
      </c>
      <c r="P1405" s="11" t="s">
        <v>2393</v>
      </c>
      <c r="R1405" s="1">
        <v>13</v>
      </c>
      <c r="T1405" s="1" t="s">
        <v>238</v>
      </c>
      <c r="U1405" s="11" t="s">
        <v>2393</v>
      </c>
      <c r="V1405" s="1" t="s">
        <v>41</v>
      </c>
      <c r="W1405" s="1" t="s">
        <v>49</v>
      </c>
      <c r="Z1405" s="14">
        <v>1</v>
      </c>
    </row>
    <row r="1406" spans="1:26" hidden="1">
      <c r="A1406" s="1">
        <v>9445663</v>
      </c>
      <c r="B1406" s="1" t="s">
        <v>1153</v>
      </c>
      <c r="C1406" t="s">
        <v>2394</v>
      </c>
      <c r="D1406" s="2">
        <v>20234844000375</v>
      </c>
      <c r="E1406" s="2">
        <v>7417163283072</v>
      </c>
      <c r="F1406" s="18" t="s">
        <v>131</v>
      </c>
      <c r="G1406" s="1" t="s">
        <v>53</v>
      </c>
      <c r="H1406" s="1" t="s">
        <v>2395</v>
      </c>
      <c r="I1406" s="1" t="s">
        <v>2396</v>
      </c>
      <c r="J1406" s="1" t="s">
        <v>46</v>
      </c>
      <c r="K1406" t="s">
        <v>132</v>
      </c>
      <c r="M1406" s="1" t="s">
        <v>58</v>
      </c>
      <c r="N1406" s="1">
        <v>0</v>
      </c>
      <c r="O1406" s="1" t="s">
        <v>36</v>
      </c>
      <c r="P1406" s="11" t="s">
        <v>2397</v>
      </c>
      <c r="R1406" s="1">
        <v>13</v>
      </c>
      <c r="T1406" s="1" t="s">
        <v>238</v>
      </c>
      <c r="U1406" s="11" t="s">
        <v>2397</v>
      </c>
      <c r="V1406" s="1" t="s">
        <v>41</v>
      </c>
      <c r="W1406" s="1" t="s">
        <v>49</v>
      </c>
      <c r="Z1406" s="14">
        <v>1</v>
      </c>
    </row>
    <row r="1407" spans="1:26" hidden="1">
      <c r="A1407" s="1">
        <v>9445662</v>
      </c>
      <c r="B1407" s="1" t="s">
        <v>1153</v>
      </c>
      <c r="C1407" t="s">
        <v>2398</v>
      </c>
      <c r="D1407" s="2">
        <v>20231153000011</v>
      </c>
      <c r="E1407" s="2">
        <v>7417163284286</v>
      </c>
      <c r="F1407" s="1" t="s">
        <v>131</v>
      </c>
      <c r="G1407" s="1" t="s">
        <v>53</v>
      </c>
      <c r="H1407" s="1" t="s">
        <v>2399</v>
      </c>
      <c r="I1407" s="1" t="s">
        <v>2400</v>
      </c>
      <c r="J1407" s="1" t="s">
        <v>79</v>
      </c>
      <c r="K1407" t="s">
        <v>132</v>
      </c>
      <c r="M1407" s="1" t="s">
        <v>58</v>
      </c>
      <c r="N1407" s="1">
        <v>0</v>
      </c>
      <c r="O1407" s="1" t="s">
        <v>36</v>
      </c>
      <c r="P1407" s="11" t="s">
        <v>2401</v>
      </c>
      <c r="R1407" s="1">
        <v>14</v>
      </c>
      <c r="T1407" s="1" t="s">
        <v>238</v>
      </c>
      <c r="U1407" s="11" t="s">
        <v>2401</v>
      </c>
      <c r="V1407" s="1" t="s">
        <v>41</v>
      </c>
      <c r="W1407" s="1" t="s">
        <v>49</v>
      </c>
      <c r="Z1407" s="14">
        <v>1</v>
      </c>
    </row>
    <row r="1408" spans="1:26" hidden="1">
      <c r="A1408" s="1">
        <v>9445531</v>
      </c>
      <c r="B1408" s="1" t="s">
        <v>1153</v>
      </c>
      <c r="C1408" t="s">
        <v>2402</v>
      </c>
      <c r="E1408" s="2">
        <v>1902016807400</v>
      </c>
      <c r="F1408" s="1" t="s">
        <v>64</v>
      </c>
      <c r="G1408" s="1" t="s">
        <v>53</v>
      </c>
      <c r="H1408" s="1" t="s">
        <v>1257</v>
      </c>
      <c r="I1408" s="1" t="s">
        <v>1258</v>
      </c>
      <c r="J1408" s="1" t="s">
        <v>33</v>
      </c>
      <c r="K1408" t="s">
        <v>67</v>
      </c>
      <c r="M1408" s="1" t="s">
        <v>35</v>
      </c>
      <c r="N1408" s="1">
        <v>42318949</v>
      </c>
      <c r="O1408" s="1" t="s">
        <v>105</v>
      </c>
      <c r="P1408" s="11" t="s">
        <v>2403</v>
      </c>
      <c r="R1408" s="1" t="s">
        <v>571</v>
      </c>
      <c r="T1408" s="1" t="s">
        <v>69</v>
      </c>
      <c r="U1408" s="11" t="s">
        <v>2404</v>
      </c>
      <c r="V1408" s="1" t="s">
        <v>41</v>
      </c>
      <c r="W1408" s="1" t="s">
        <v>49</v>
      </c>
      <c r="Z1408" s="14">
        <v>1</v>
      </c>
    </row>
    <row r="1409" spans="1:32" hidden="1">
      <c r="A1409" s="1">
        <v>9445321</v>
      </c>
      <c r="B1409" s="1" t="s">
        <v>1153</v>
      </c>
      <c r="C1409" t="s">
        <v>2405</v>
      </c>
      <c r="D1409" s="2">
        <v>20234844000372</v>
      </c>
      <c r="E1409" s="2">
        <v>7417183020624</v>
      </c>
      <c r="F1409" s="1" t="s">
        <v>1313</v>
      </c>
      <c r="G1409" s="1" t="s">
        <v>53</v>
      </c>
      <c r="H1409" s="1" t="s">
        <v>2348</v>
      </c>
      <c r="I1409" s="1" t="s">
        <v>2349</v>
      </c>
      <c r="J1409" s="1" t="s">
        <v>46</v>
      </c>
      <c r="K1409" t="s">
        <v>1316</v>
      </c>
      <c r="M1409" s="1" t="s">
        <v>58</v>
      </c>
      <c r="N1409" s="1">
        <v>0</v>
      </c>
      <c r="O1409" s="1" t="s">
        <v>36</v>
      </c>
      <c r="P1409" s="11" t="s">
        <v>2406</v>
      </c>
      <c r="R1409" s="1">
        <v>13</v>
      </c>
      <c r="T1409" s="1" t="s">
        <v>238</v>
      </c>
      <c r="U1409" s="11" t="s">
        <v>2406</v>
      </c>
      <c r="V1409" s="1" t="s">
        <v>41</v>
      </c>
      <c r="W1409" s="1" t="s">
        <v>49</v>
      </c>
      <c r="Z1409" s="14">
        <v>1</v>
      </c>
    </row>
    <row r="1410" spans="1:32" hidden="1">
      <c r="A1410" s="1">
        <v>9445101</v>
      </c>
      <c r="B1410" s="1" t="s">
        <v>1153</v>
      </c>
      <c r="C1410" t="s">
        <v>2407</v>
      </c>
      <c r="D1410" s="2">
        <v>20234844000369</v>
      </c>
      <c r="E1410" s="2">
        <v>7419141893293</v>
      </c>
      <c r="F1410" s="1" t="s">
        <v>128</v>
      </c>
      <c r="G1410" s="1" t="s">
        <v>53</v>
      </c>
      <c r="H1410" s="1" t="s">
        <v>2348</v>
      </c>
      <c r="I1410" s="1" t="s">
        <v>2349</v>
      </c>
      <c r="J1410" s="1" t="s">
        <v>46</v>
      </c>
      <c r="K1410" t="s">
        <v>129</v>
      </c>
      <c r="M1410" s="1" t="s">
        <v>58</v>
      </c>
      <c r="N1410" s="1">
        <v>0</v>
      </c>
      <c r="O1410" s="1" t="s">
        <v>36</v>
      </c>
      <c r="P1410" s="11" t="s">
        <v>2408</v>
      </c>
      <c r="R1410" s="1">
        <v>13</v>
      </c>
      <c r="T1410" s="1" t="s">
        <v>238</v>
      </c>
      <c r="U1410" s="11" t="s">
        <v>2408</v>
      </c>
      <c r="V1410" s="1" t="s">
        <v>41</v>
      </c>
      <c r="W1410" s="1" t="s">
        <v>49</v>
      </c>
      <c r="Z1410" s="14">
        <v>1</v>
      </c>
    </row>
    <row r="1411" spans="1:32" hidden="1">
      <c r="A1411" s="1">
        <v>9445032</v>
      </c>
      <c r="B1411" s="1" t="s">
        <v>1153</v>
      </c>
      <c r="C1411" t="s">
        <v>2409</v>
      </c>
      <c r="D1411" s="2">
        <v>20230922000020</v>
      </c>
      <c r="E1411" s="2">
        <v>7417183020103</v>
      </c>
      <c r="F1411" s="1" t="s">
        <v>1313</v>
      </c>
      <c r="G1411" s="1" t="s">
        <v>53</v>
      </c>
      <c r="H1411" s="1" t="s">
        <v>2410</v>
      </c>
      <c r="I1411" s="1" t="s">
        <v>2411</v>
      </c>
      <c r="J1411" s="1" t="s">
        <v>261</v>
      </c>
      <c r="K1411" t="s">
        <v>1316</v>
      </c>
      <c r="M1411" s="1" t="s">
        <v>58</v>
      </c>
      <c r="N1411" s="1">
        <v>0</v>
      </c>
      <c r="O1411" s="1" t="s">
        <v>36</v>
      </c>
      <c r="P1411" s="11" t="s">
        <v>2412</v>
      </c>
      <c r="R1411" s="1">
        <v>14</v>
      </c>
      <c r="T1411" s="1" t="s">
        <v>238</v>
      </c>
      <c r="U1411" s="11" t="s">
        <v>2412</v>
      </c>
      <c r="V1411" s="1" t="s">
        <v>41</v>
      </c>
      <c r="W1411" s="1" t="s">
        <v>49</v>
      </c>
      <c r="Z1411" s="14">
        <v>1</v>
      </c>
    </row>
    <row r="1412" spans="1:32" hidden="1">
      <c r="A1412" s="1">
        <v>9444950</v>
      </c>
      <c r="B1412" s="1" t="s">
        <v>1153</v>
      </c>
      <c r="C1412" t="s">
        <v>2413</v>
      </c>
      <c r="D1412" s="2">
        <v>20230067000015</v>
      </c>
      <c r="E1412" s="2">
        <v>7419141892111</v>
      </c>
      <c r="F1412" s="1" t="s">
        <v>128</v>
      </c>
      <c r="G1412" s="1" t="s">
        <v>53</v>
      </c>
      <c r="H1412" s="1" t="s">
        <v>2091</v>
      </c>
      <c r="I1412" s="1" t="s">
        <v>2092</v>
      </c>
      <c r="J1412" s="1" t="s">
        <v>164</v>
      </c>
      <c r="K1412" t="s">
        <v>129</v>
      </c>
      <c r="M1412" s="1" t="s">
        <v>58</v>
      </c>
      <c r="N1412" s="1">
        <v>0</v>
      </c>
      <c r="O1412" s="1" t="s">
        <v>36</v>
      </c>
      <c r="P1412" s="12">
        <v>44963.595173611109</v>
      </c>
      <c r="R1412" s="1">
        <v>14</v>
      </c>
      <c r="T1412" s="1" t="s">
        <v>238</v>
      </c>
      <c r="U1412" s="12">
        <v>44963.595173611109</v>
      </c>
      <c r="V1412" s="1" t="s">
        <v>41</v>
      </c>
      <c r="W1412" s="1" t="s">
        <v>49</v>
      </c>
      <c r="Z1412" s="14">
        <v>1</v>
      </c>
    </row>
    <row r="1413" spans="1:32">
      <c r="A1413" s="1">
        <v>9444909</v>
      </c>
      <c r="B1413" s="1" t="s">
        <v>62</v>
      </c>
      <c r="C1413" t="s">
        <v>2414</v>
      </c>
      <c r="E1413" s="2">
        <v>2156000203000</v>
      </c>
      <c r="F1413" s="1" t="s">
        <v>454</v>
      </c>
      <c r="G1413" s="1" t="s">
        <v>53</v>
      </c>
      <c r="H1413" s="1" t="s">
        <v>278</v>
      </c>
      <c r="I1413" s="1" t="s">
        <v>279</v>
      </c>
      <c r="J1413" s="1" t="s">
        <v>211</v>
      </c>
      <c r="K1413" t="s">
        <v>457</v>
      </c>
      <c r="M1413" s="1" t="s">
        <v>58</v>
      </c>
      <c r="N1413" s="1">
        <v>0</v>
      </c>
      <c r="O1413" s="1" t="s">
        <v>105</v>
      </c>
      <c r="P1413" s="11" t="s">
        <v>2415</v>
      </c>
      <c r="R1413" s="1">
        <v>1</v>
      </c>
      <c r="T1413" s="1" t="s">
        <v>157</v>
      </c>
      <c r="U1413" s="11" t="s">
        <v>2416</v>
      </c>
      <c r="V1413" s="1" t="s">
        <v>41</v>
      </c>
      <c r="W1413" s="1" t="s">
        <v>49</v>
      </c>
      <c r="Z1413" s="14">
        <v>1</v>
      </c>
    </row>
    <row r="1414" spans="1:32">
      <c r="A1414" s="181">
        <v>9444862</v>
      </c>
      <c r="B1414" s="181" t="s">
        <v>1153</v>
      </c>
      <c r="C1414" s="182" t="s">
        <v>2417</v>
      </c>
      <c r="D1414" s="183">
        <v>20232437000020</v>
      </c>
      <c r="E1414" s="183">
        <v>7419141893534</v>
      </c>
      <c r="F1414" s="181" t="s">
        <v>128</v>
      </c>
      <c r="G1414" s="181" t="s">
        <v>53</v>
      </c>
      <c r="H1414" s="181" t="s">
        <v>2418</v>
      </c>
      <c r="I1414" s="181" t="s">
        <v>2419</v>
      </c>
      <c r="J1414" s="181" t="s">
        <v>211</v>
      </c>
      <c r="K1414" t="s">
        <v>129</v>
      </c>
      <c r="M1414" s="1" t="s">
        <v>58</v>
      </c>
      <c r="N1414" s="1">
        <v>0</v>
      </c>
      <c r="O1414" s="1" t="s">
        <v>36</v>
      </c>
      <c r="P1414" s="11" t="s">
        <v>2420</v>
      </c>
      <c r="R1414" s="1">
        <v>14</v>
      </c>
      <c r="T1414" s="1" t="s">
        <v>238</v>
      </c>
      <c r="U1414" s="11" t="s">
        <v>2420</v>
      </c>
      <c r="V1414" s="1" t="s">
        <v>41</v>
      </c>
      <c r="W1414" s="1" t="s">
        <v>49</v>
      </c>
      <c r="X1414" s="13" t="str">
        <f t="shared" ref="X1414" si="168">IF(RIGHT(H1414,2)&lt;&gt;"00",H1414,"")</f>
        <v>2437.91</v>
      </c>
      <c r="Y1414" s="2">
        <f t="shared" ref="Y1414" ca="1" si="169">NETWORKDAYS(P1414,$Y$1)</f>
        <v>18</v>
      </c>
      <c r="Z1414" s="14">
        <v>1</v>
      </c>
      <c r="AA1414" s="1" t="str">
        <f t="shared" ref="AA1414" ca="1" si="170">IF(AE1414=0,"HOJE",IF(AE1414&gt;0,"A VENCER",IF(AE1414&lt;0,"VENCIDO")))</f>
        <v>VENCIDO</v>
      </c>
      <c r="AB1414" s="1" t="str">
        <f t="shared" ref="AB1414" si="171">IF(F1414="GRPE-000001","C-14",IF(F1414="GRPE-000002","C-14",IF(F1414="GRPE-000003","C-14",IF(F1414="GRPE-000004","SL-On",IF(F1414="GRPE-000038","C-14",IF(F1414="GRPE-900022","Dosa",IF(F1414="GRPE-000029","Dosa",IF(F1414="ATOS-000222","Dose","TAAe+"))))))))</f>
        <v>TAAe+</v>
      </c>
      <c r="AC1414" s="2" t="str">
        <f t="shared" ref="AC1414" si="172">IF(J1414="TR-PETROLINA"," ROSEMERE ",IF(J1414="TR-GARANHUNS"," ROSEMERE ",IF(J1414="TR-CARUARU"," ROSEMERE ",IF(J1414="TR-RIBEIRAO"," CRISTINA ",IF(J1414="TR-GRAVATA"," CRISTINA ",IF(J1414="TR-GOIANA"," CRISTINA ",IF(J1414="TR-LIMOEIRO"," CRISTINA ",IF(J1414="TR-SERRA TALHADA"," RINALDO ",IF(J1414="TR-SALGUEIRO"," RINALDO ",IF(J1414="TR-CARNAIBA"," RINALDO ",IF(J1414="TR-ARCOVERDE"," RINALDO ",IF(J1414="CAT-RECIFE"," CLEITON ",))))))))))))</f>
        <v xml:space="preserve"> RINALDO </v>
      </c>
      <c r="AD1414" s="2">
        <f t="shared" ref="AD1414" si="173">IF(F1414="GRPE-000001",5,IF(F1414="GRPE-000002",5,IF(F1414="GRPE-000003",15,IF(F1414="GRPE-000004",1,IF(F1414="GRPE-000038",5,IF(F1414="GRPE-900022",5,IF(F1414="GRPE-000029",5,IF(F1414="ATOS-000222",5,8))))))))</f>
        <v>8</v>
      </c>
      <c r="AE1414" s="2">
        <f t="shared" ref="AE1414" ca="1" si="174">IF(U1414=$AE$1,"",U1414-$AE$1)</f>
        <v>-23.088447569447453</v>
      </c>
      <c r="AF1414" s="15"/>
    </row>
    <row r="1415" spans="1:32" hidden="1">
      <c r="A1415" s="1">
        <v>9444734</v>
      </c>
      <c r="B1415" s="1" t="s">
        <v>1153</v>
      </c>
      <c r="C1415" t="s">
        <v>2421</v>
      </c>
      <c r="D1415" s="2">
        <v>20234844000368</v>
      </c>
      <c r="E1415" s="2">
        <v>7417161484898</v>
      </c>
      <c r="F1415" s="1" t="s">
        <v>1217</v>
      </c>
      <c r="G1415" s="1" t="s">
        <v>53</v>
      </c>
      <c r="H1415" s="1" t="s">
        <v>2422</v>
      </c>
      <c r="I1415" s="1" t="s">
        <v>2423</v>
      </c>
      <c r="J1415" s="1" t="s">
        <v>46</v>
      </c>
      <c r="K1415" t="s">
        <v>1218</v>
      </c>
      <c r="M1415" s="1" t="s">
        <v>58</v>
      </c>
      <c r="N1415" s="1">
        <v>0</v>
      </c>
      <c r="O1415" s="1" t="s">
        <v>36</v>
      </c>
      <c r="P1415" s="11" t="s">
        <v>2424</v>
      </c>
      <c r="R1415" s="1">
        <v>13</v>
      </c>
      <c r="T1415" s="1" t="s">
        <v>238</v>
      </c>
      <c r="U1415" s="11" t="s">
        <v>2424</v>
      </c>
      <c r="V1415" s="1" t="s">
        <v>41</v>
      </c>
      <c r="W1415" s="1" t="s">
        <v>49</v>
      </c>
      <c r="Z1415" s="14">
        <v>1</v>
      </c>
    </row>
    <row r="1416" spans="1:32" hidden="1">
      <c r="A1416" s="1">
        <v>9444634</v>
      </c>
      <c r="B1416" s="1" t="s">
        <v>1153</v>
      </c>
      <c r="C1416" t="s">
        <v>2425</v>
      </c>
      <c r="D1416" s="2">
        <v>20230721000019</v>
      </c>
      <c r="E1416" s="2">
        <v>7417163284633</v>
      </c>
      <c r="F1416" s="1" t="s">
        <v>131</v>
      </c>
      <c r="G1416" s="1" t="s">
        <v>53</v>
      </c>
      <c r="H1416" s="1" t="s">
        <v>2426</v>
      </c>
      <c r="I1416" s="1" t="s">
        <v>2427</v>
      </c>
      <c r="J1416" s="1" t="s">
        <v>79</v>
      </c>
      <c r="K1416" t="s">
        <v>132</v>
      </c>
      <c r="M1416" s="1" t="s">
        <v>58</v>
      </c>
      <c r="N1416" s="1">
        <v>0</v>
      </c>
      <c r="O1416" s="1" t="s">
        <v>36</v>
      </c>
      <c r="P1416" s="11" t="s">
        <v>2428</v>
      </c>
      <c r="R1416" s="1">
        <v>14</v>
      </c>
      <c r="T1416" s="1" t="s">
        <v>238</v>
      </c>
      <c r="U1416" s="11" t="s">
        <v>2428</v>
      </c>
      <c r="V1416" s="1" t="s">
        <v>41</v>
      </c>
      <c r="W1416" s="1" t="s">
        <v>49</v>
      </c>
      <c r="Z1416" s="14">
        <v>1</v>
      </c>
    </row>
    <row r="1417" spans="1:32">
      <c r="A1417" s="181">
        <v>9444346</v>
      </c>
      <c r="B1417" s="181" t="s">
        <v>1153</v>
      </c>
      <c r="C1417" s="182" t="s">
        <v>2429</v>
      </c>
      <c r="D1417" s="183"/>
      <c r="E1417" s="183">
        <v>1162000206001</v>
      </c>
      <c r="F1417" s="181" t="s">
        <v>29</v>
      </c>
      <c r="G1417" s="181" t="s">
        <v>53</v>
      </c>
      <c r="H1417" s="181" t="s">
        <v>280</v>
      </c>
      <c r="I1417" s="181" t="s">
        <v>281</v>
      </c>
      <c r="J1417" s="181" t="s">
        <v>211</v>
      </c>
      <c r="K1417" t="s">
        <v>34</v>
      </c>
      <c r="M1417" s="1" t="s">
        <v>35</v>
      </c>
      <c r="N1417" s="1">
        <v>42318949</v>
      </c>
      <c r="O1417" s="1" t="s">
        <v>36</v>
      </c>
      <c r="P1417" s="11" t="s">
        <v>2430</v>
      </c>
      <c r="R1417" s="1" t="s">
        <v>38</v>
      </c>
      <c r="T1417" s="1" t="s">
        <v>74</v>
      </c>
      <c r="U1417" s="11" t="s">
        <v>2018</v>
      </c>
      <c r="V1417" s="1" t="s">
        <v>41</v>
      </c>
      <c r="W1417" s="1" t="s">
        <v>49</v>
      </c>
      <c r="X1417" s="13" t="str">
        <f t="shared" ref="X1417" si="175">IF(RIGHT(H1417,2)&lt;&gt;"00",H1417,"")</f>
        <v/>
      </c>
      <c r="Y1417" s="2">
        <f t="shared" ref="Y1417" ca="1" si="176">NETWORKDAYS(P1417,$Y$1)</f>
        <v>18</v>
      </c>
      <c r="Z1417" s="14">
        <v>1</v>
      </c>
      <c r="AA1417" s="1" t="str">
        <f t="shared" ref="AA1417" ca="1" si="177">IF(AE1417=0,"HOJE",IF(AE1417&gt;0,"A VENCER",IF(AE1417&lt;0,"VENCIDO")))</f>
        <v>VENCIDO</v>
      </c>
      <c r="AB1417" s="1" t="str">
        <f t="shared" ref="AB1417" si="178">IF(F1417="GRPE-000001","C-14",IF(F1417="GRPE-000002","C-14",IF(F1417="GRPE-000003","C-14",IF(F1417="GRPE-000004","SL-On",IF(F1417="GRPE-000038","C-14",IF(F1417="GRPE-900022","Dosa",IF(F1417="GRPE-000029","Dosa",IF(F1417="ATOS-000222","Dose","TAAe+"))))))))</f>
        <v>Dosa</v>
      </c>
      <c r="AC1417" s="2" t="str">
        <f t="shared" ref="AC1417" si="179">IF(J1417="TR-PETROLINA"," ROSEMERE ",IF(J1417="TR-GARANHUNS"," ROSEMERE ",IF(J1417="TR-CARUARU"," ROSEMERE ",IF(J1417="TR-RIBEIRAO"," CRISTINA ",IF(J1417="TR-GRAVATA"," CRISTINA ",IF(J1417="TR-GOIANA"," CRISTINA ",IF(J1417="TR-LIMOEIRO"," CRISTINA ",IF(J1417="TR-SERRA TALHADA"," RINALDO ",IF(J1417="TR-SALGUEIRO"," RINALDO ",IF(J1417="TR-CARNAIBA"," RINALDO ",IF(J1417="TR-ARCOVERDE"," RINALDO ",IF(J1417="CAT-RECIFE"," CLEITON ",))))))))))))</f>
        <v xml:space="preserve"> RINALDO </v>
      </c>
      <c r="AD1417" s="2">
        <f t="shared" ref="AD1417" si="180">IF(F1417="GRPE-000001",5,IF(F1417="GRPE-000002",5,IF(F1417="GRPE-000003",15,IF(F1417="GRPE-000004",1,IF(F1417="GRPE-000038",5,IF(F1417="GRPE-900022",5,IF(F1417="GRPE-000029",5,IF(F1417="ATOS-000222",5,8))))))))</f>
        <v>5</v>
      </c>
      <c r="AE1417" s="2">
        <f t="shared" ref="AE1417" ca="1" si="181">IF(U1417=$AE$1,"",U1417-$AE$1)</f>
        <v>-13.068632754628197</v>
      </c>
      <c r="AF1417" s="15"/>
    </row>
    <row r="1418" spans="1:32" hidden="1">
      <c r="A1418" s="1">
        <v>9444226</v>
      </c>
      <c r="B1418" s="1" t="s">
        <v>1153</v>
      </c>
      <c r="C1418" t="s">
        <v>2431</v>
      </c>
      <c r="D1418" s="2">
        <v>20234844000364</v>
      </c>
      <c r="E1418" s="2">
        <v>7419151140094</v>
      </c>
      <c r="F1418" s="1" t="s">
        <v>2058</v>
      </c>
      <c r="G1418" s="1" t="s">
        <v>53</v>
      </c>
      <c r="H1418" s="1" t="s">
        <v>2432</v>
      </c>
      <c r="I1418" s="1" t="s">
        <v>2433</v>
      </c>
      <c r="J1418" s="1" t="s">
        <v>46</v>
      </c>
      <c r="K1418" t="s">
        <v>2061</v>
      </c>
      <c r="M1418" s="1" t="s">
        <v>58</v>
      </c>
      <c r="N1418" s="1">
        <v>0</v>
      </c>
      <c r="O1418" s="1" t="s">
        <v>36</v>
      </c>
      <c r="P1418" s="11" t="s">
        <v>2434</v>
      </c>
      <c r="R1418" s="1">
        <v>13</v>
      </c>
      <c r="T1418" s="1" t="s">
        <v>238</v>
      </c>
      <c r="U1418" s="11" t="s">
        <v>2434</v>
      </c>
      <c r="V1418" s="1" t="s">
        <v>41</v>
      </c>
      <c r="W1418" s="1" t="s">
        <v>49</v>
      </c>
      <c r="Z1418" s="14">
        <v>1</v>
      </c>
    </row>
    <row r="1419" spans="1:32" hidden="1">
      <c r="A1419" s="1">
        <v>9444115</v>
      </c>
      <c r="B1419" s="1" t="s">
        <v>1153</v>
      </c>
      <c r="C1419" t="s">
        <v>2435</v>
      </c>
      <c r="D1419" s="2">
        <v>20230067000014</v>
      </c>
      <c r="E1419" s="2">
        <v>7417163283167</v>
      </c>
      <c r="F1419" s="1" t="s">
        <v>131</v>
      </c>
      <c r="G1419" s="1" t="s">
        <v>53</v>
      </c>
      <c r="H1419" s="1" t="s">
        <v>2091</v>
      </c>
      <c r="I1419" s="1" t="s">
        <v>2092</v>
      </c>
      <c r="J1419" s="1" t="s">
        <v>164</v>
      </c>
      <c r="K1419" t="s">
        <v>132</v>
      </c>
      <c r="M1419" s="1" t="s">
        <v>58</v>
      </c>
      <c r="N1419" s="1">
        <v>0</v>
      </c>
      <c r="O1419" s="1" t="s">
        <v>36</v>
      </c>
      <c r="P1419" s="11" t="s">
        <v>2436</v>
      </c>
      <c r="R1419" s="1">
        <v>14</v>
      </c>
      <c r="T1419" s="1" t="s">
        <v>238</v>
      </c>
      <c r="U1419" s="11" t="s">
        <v>2436</v>
      </c>
      <c r="V1419" s="1" t="s">
        <v>41</v>
      </c>
      <c r="W1419" s="1" t="s">
        <v>49</v>
      </c>
      <c r="Z1419" s="14">
        <v>1</v>
      </c>
    </row>
    <row r="1420" spans="1:32" hidden="1">
      <c r="A1420" s="1">
        <v>9444074</v>
      </c>
      <c r="B1420" s="1" t="s">
        <v>1153</v>
      </c>
      <c r="C1420" t="s">
        <v>2437</v>
      </c>
      <c r="D1420" s="2">
        <v>20231732000008</v>
      </c>
      <c r="E1420" s="2">
        <v>7417161482446</v>
      </c>
      <c r="F1420" s="1" t="s">
        <v>1979</v>
      </c>
      <c r="G1420" s="1" t="s">
        <v>53</v>
      </c>
      <c r="H1420" s="1" t="s">
        <v>2361</v>
      </c>
      <c r="I1420" s="1" t="s">
        <v>2362</v>
      </c>
      <c r="J1420" s="1" t="s">
        <v>164</v>
      </c>
      <c r="K1420" t="s">
        <v>1982</v>
      </c>
      <c r="M1420" s="1" t="s">
        <v>58</v>
      </c>
      <c r="N1420" s="1">
        <v>0</v>
      </c>
      <c r="O1420" s="1" t="s">
        <v>36</v>
      </c>
      <c r="P1420" s="186">
        <v>44963.478981481479</v>
      </c>
      <c r="R1420" s="1">
        <v>14</v>
      </c>
      <c r="T1420" s="1" t="s">
        <v>238</v>
      </c>
      <c r="U1420" s="186">
        <v>44963.478981481479</v>
      </c>
      <c r="V1420" s="1" t="s">
        <v>41</v>
      </c>
      <c r="W1420" s="1" t="s">
        <v>49</v>
      </c>
      <c r="Z1420" s="14">
        <v>1</v>
      </c>
    </row>
    <row r="1421" spans="1:32" hidden="1">
      <c r="A1421" s="1">
        <v>9443828</v>
      </c>
      <c r="B1421" s="1" t="s">
        <v>1153</v>
      </c>
      <c r="C1421" t="s">
        <v>2438</v>
      </c>
      <c r="D1421" s="2">
        <v>20234844000361</v>
      </c>
      <c r="E1421" s="2">
        <v>7419143322539</v>
      </c>
      <c r="F1421" s="1" t="s">
        <v>1222</v>
      </c>
      <c r="G1421" s="1" t="s">
        <v>53</v>
      </c>
      <c r="H1421" s="1" t="s">
        <v>2357</v>
      </c>
      <c r="I1421" s="1" t="s">
        <v>2358</v>
      </c>
      <c r="J1421" s="1" t="s">
        <v>46</v>
      </c>
      <c r="K1421" t="s">
        <v>1223</v>
      </c>
      <c r="M1421" s="1" t="s">
        <v>58</v>
      </c>
      <c r="N1421" s="1">
        <v>0</v>
      </c>
      <c r="O1421" s="1" t="s">
        <v>36</v>
      </c>
      <c r="P1421" s="11" t="s">
        <v>2439</v>
      </c>
      <c r="R1421" s="1">
        <v>13</v>
      </c>
      <c r="T1421" s="1" t="s">
        <v>238</v>
      </c>
      <c r="U1421" s="11" t="s">
        <v>2439</v>
      </c>
      <c r="V1421" s="1" t="s">
        <v>41</v>
      </c>
      <c r="W1421" s="1" t="s">
        <v>49</v>
      </c>
      <c r="Z1421" s="14">
        <v>1</v>
      </c>
    </row>
    <row r="1422" spans="1:32" hidden="1">
      <c r="A1422" s="1">
        <v>9443812</v>
      </c>
      <c r="B1422" s="1" t="s">
        <v>1153</v>
      </c>
      <c r="C1422" t="s">
        <v>2440</v>
      </c>
      <c r="D1422" s="2">
        <v>20231838000003</v>
      </c>
      <c r="E1422" s="2">
        <v>7417172790813</v>
      </c>
      <c r="F1422" s="1" t="s">
        <v>1989</v>
      </c>
      <c r="G1422" s="1" t="s">
        <v>53</v>
      </c>
      <c r="H1422" s="1" t="s">
        <v>357</v>
      </c>
      <c r="I1422" s="1" t="s">
        <v>358</v>
      </c>
      <c r="J1422" s="1" t="s">
        <v>46</v>
      </c>
      <c r="K1422" t="s">
        <v>1990</v>
      </c>
      <c r="M1422" s="1" t="s">
        <v>58</v>
      </c>
      <c r="N1422" s="1">
        <v>0</v>
      </c>
      <c r="O1422" s="1" t="s">
        <v>36</v>
      </c>
      <c r="P1422" s="11" t="s">
        <v>2441</v>
      </c>
      <c r="R1422" s="1">
        <v>22</v>
      </c>
      <c r="T1422" s="1" t="s">
        <v>1160</v>
      </c>
      <c r="U1422" s="11" t="s">
        <v>2442</v>
      </c>
      <c r="V1422" s="1" t="s">
        <v>41</v>
      </c>
      <c r="W1422" s="1" t="s">
        <v>49</v>
      </c>
      <c r="Z1422" s="14">
        <v>1</v>
      </c>
    </row>
    <row r="1423" spans="1:32" hidden="1">
      <c r="A1423" s="1">
        <v>9443716</v>
      </c>
      <c r="B1423" s="1" t="s">
        <v>1153</v>
      </c>
      <c r="C1423" t="s">
        <v>2443</v>
      </c>
      <c r="D1423" s="2">
        <v>20234844000359</v>
      </c>
      <c r="E1423" s="2">
        <v>7417163283005</v>
      </c>
      <c r="F1423" s="1" t="s">
        <v>131</v>
      </c>
      <c r="G1423" s="1" t="s">
        <v>53</v>
      </c>
      <c r="H1423" s="1" t="s">
        <v>2444</v>
      </c>
      <c r="I1423" s="1" t="s">
        <v>2445</v>
      </c>
      <c r="J1423" s="1" t="s">
        <v>46</v>
      </c>
      <c r="K1423" t="s">
        <v>132</v>
      </c>
      <c r="M1423" s="1" t="s">
        <v>58</v>
      </c>
      <c r="N1423" s="1">
        <v>0</v>
      </c>
      <c r="O1423" s="1" t="s">
        <v>36</v>
      </c>
      <c r="P1423" s="11" t="s">
        <v>2446</v>
      </c>
      <c r="R1423" s="1">
        <v>13</v>
      </c>
      <c r="T1423" s="1" t="s">
        <v>238</v>
      </c>
      <c r="U1423" s="11" t="s">
        <v>2446</v>
      </c>
      <c r="V1423" s="1" t="s">
        <v>41</v>
      </c>
      <c r="W1423" s="1" t="s">
        <v>49</v>
      </c>
      <c r="Z1423" s="14">
        <v>1</v>
      </c>
    </row>
    <row r="1424" spans="1:32" hidden="1">
      <c r="A1424" s="1">
        <v>9443334</v>
      </c>
      <c r="B1424" s="1" t="s">
        <v>1153</v>
      </c>
      <c r="C1424" t="s">
        <v>2447</v>
      </c>
      <c r="E1424" s="2">
        <v>710000206001</v>
      </c>
      <c r="F1424" s="1" t="s">
        <v>29</v>
      </c>
      <c r="G1424" s="1" t="s">
        <v>53</v>
      </c>
      <c r="H1424" s="1" t="s">
        <v>390</v>
      </c>
      <c r="I1424" s="1" t="s">
        <v>391</v>
      </c>
      <c r="J1424" s="1" t="s">
        <v>56</v>
      </c>
      <c r="K1424" t="s">
        <v>34</v>
      </c>
      <c r="M1424" s="1" t="s">
        <v>35</v>
      </c>
      <c r="N1424" s="1">
        <v>42318949</v>
      </c>
      <c r="O1424" s="1" t="s">
        <v>36</v>
      </c>
      <c r="P1424" s="11" t="s">
        <v>2448</v>
      </c>
      <c r="R1424" s="1" t="s">
        <v>38</v>
      </c>
      <c r="T1424" s="1" t="s">
        <v>74</v>
      </c>
      <c r="U1424" s="11" t="s">
        <v>2449</v>
      </c>
      <c r="V1424" s="1" t="s">
        <v>41</v>
      </c>
      <c r="W1424" s="1" t="s">
        <v>49</v>
      </c>
      <c r="Z1424" s="14">
        <v>1</v>
      </c>
    </row>
    <row r="1425" spans="1:32" hidden="1">
      <c r="A1425" s="1">
        <v>9443139</v>
      </c>
      <c r="B1425" s="1" t="s">
        <v>27</v>
      </c>
      <c r="C1425" t="s">
        <v>2450</v>
      </c>
      <c r="E1425" s="2">
        <v>594000206001</v>
      </c>
      <c r="F1425" s="1" t="s">
        <v>29</v>
      </c>
      <c r="G1425" s="1" t="s">
        <v>53</v>
      </c>
      <c r="H1425" s="1" t="s">
        <v>444</v>
      </c>
      <c r="I1425" s="1" t="s">
        <v>445</v>
      </c>
      <c r="J1425" s="1" t="s">
        <v>33</v>
      </c>
      <c r="K1425" t="s">
        <v>34</v>
      </c>
      <c r="M1425" s="1" t="s">
        <v>35</v>
      </c>
      <c r="N1425" s="1">
        <v>42318949</v>
      </c>
      <c r="O1425" s="1" t="s">
        <v>36</v>
      </c>
      <c r="P1425" s="11" t="s">
        <v>2451</v>
      </c>
      <c r="R1425" s="1" t="s">
        <v>38</v>
      </c>
      <c r="T1425" s="1" t="s">
        <v>74</v>
      </c>
      <c r="U1425" s="11" t="s">
        <v>2452</v>
      </c>
      <c r="V1425" s="1" t="s">
        <v>41</v>
      </c>
      <c r="W1425" s="1" t="s">
        <v>42</v>
      </c>
      <c r="Z1425" s="14">
        <v>1</v>
      </c>
    </row>
    <row r="1426" spans="1:32" hidden="1">
      <c r="A1426" s="1">
        <v>9443045</v>
      </c>
      <c r="B1426" s="1" t="s">
        <v>1153</v>
      </c>
      <c r="C1426" t="s">
        <v>2453</v>
      </c>
      <c r="E1426" s="2">
        <v>69000206001</v>
      </c>
      <c r="F1426" s="1" t="s">
        <v>29</v>
      </c>
      <c r="G1426" s="1" t="s">
        <v>53</v>
      </c>
      <c r="H1426" s="1" t="s">
        <v>1206</v>
      </c>
      <c r="I1426" s="1" t="s">
        <v>1207</v>
      </c>
      <c r="J1426" s="1" t="s">
        <v>33</v>
      </c>
      <c r="K1426" t="s">
        <v>34</v>
      </c>
      <c r="M1426" s="1" t="s">
        <v>35</v>
      </c>
      <c r="N1426" s="1">
        <v>42318949</v>
      </c>
      <c r="O1426" s="1" t="s">
        <v>36</v>
      </c>
      <c r="P1426" s="11" t="s">
        <v>2454</v>
      </c>
      <c r="R1426" s="1" t="s">
        <v>38</v>
      </c>
      <c r="T1426" s="1" t="s">
        <v>74</v>
      </c>
      <c r="U1426" s="11" t="s">
        <v>2455</v>
      </c>
      <c r="V1426" s="1" t="s">
        <v>41</v>
      </c>
      <c r="W1426" s="1" t="s">
        <v>42</v>
      </c>
      <c r="Z1426" s="14">
        <v>1</v>
      </c>
    </row>
    <row r="1427" spans="1:32" hidden="1">
      <c r="A1427" s="1">
        <v>9442962</v>
      </c>
      <c r="B1427" s="1" t="s">
        <v>1153</v>
      </c>
      <c r="C1427" t="s">
        <v>2456</v>
      </c>
      <c r="E1427" s="2">
        <v>4118000206001</v>
      </c>
      <c r="F1427" s="1" t="s">
        <v>29</v>
      </c>
      <c r="G1427" s="1" t="s">
        <v>53</v>
      </c>
      <c r="H1427" s="1" t="s">
        <v>71</v>
      </c>
      <c r="I1427" s="1" t="s">
        <v>72</v>
      </c>
      <c r="J1427" s="1" t="s">
        <v>46</v>
      </c>
      <c r="K1427" t="s">
        <v>34</v>
      </c>
      <c r="M1427" s="1" t="s">
        <v>35</v>
      </c>
      <c r="N1427" s="1">
        <v>42318949</v>
      </c>
      <c r="O1427" s="1" t="s">
        <v>36</v>
      </c>
      <c r="P1427" s="11" t="s">
        <v>2457</v>
      </c>
      <c r="R1427" s="1" t="s">
        <v>38</v>
      </c>
      <c r="T1427" s="1" t="s">
        <v>74</v>
      </c>
      <c r="U1427" s="11" t="s">
        <v>2458</v>
      </c>
      <c r="V1427" s="1" t="s">
        <v>41</v>
      </c>
      <c r="W1427" s="1" t="s">
        <v>49</v>
      </c>
      <c r="Z1427" s="14">
        <v>1</v>
      </c>
    </row>
    <row r="1428" spans="1:32" hidden="1">
      <c r="A1428" s="1">
        <v>9440330</v>
      </c>
      <c r="B1428" s="1" t="s">
        <v>1153</v>
      </c>
      <c r="C1428" t="s">
        <v>2459</v>
      </c>
      <c r="E1428" s="2">
        <v>2669000203000</v>
      </c>
      <c r="F1428" s="1" t="s">
        <v>454</v>
      </c>
      <c r="G1428" s="1" t="s">
        <v>53</v>
      </c>
      <c r="H1428" s="1" t="s">
        <v>561</v>
      </c>
      <c r="I1428" s="1" t="s">
        <v>562</v>
      </c>
      <c r="J1428" s="1" t="s">
        <v>110</v>
      </c>
      <c r="K1428" t="s">
        <v>457</v>
      </c>
      <c r="M1428" s="1" t="s">
        <v>58</v>
      </c>
      <c r="N1428" s="1">
        <v>0</v>
      </c>
      <c r="O1428" s="1" t="s">
        <v>36</v>
      </c>
      <c r="P1428" s="11" t="s">
        <v>2460</v>
      </c>
      <c r="R1428" s="1">
        <v>1</v>
      </c>
      <c r="T1428" s="1" t="s">
        <v>157</v>
      </c>
      <c r="U1428" s="11" t="s">
        <v>2461</v>
      </c>
      <c r="V1428" s="1" t="s">
        <v>41</v>
      </c>
      <c r="W1428" s="1" t="s">
        <v>49</v>
      </c>
      <c r="Z1428" s="14">
        <v>1</v>
      </c>
    </row>
    <row r="1429" spans="1:32" hidden="1">
      <c r="A1429" s="1">
        <v>9439880</v>
      </c>
      <c r="B1429" s="1" t="s">
        <v>1153</v>
      </c>
      <c r="C1429" t="s">
        <v>2462</v>
      </c>
      <c r="E1429" s="2">
        <v>1771000203000</v>
      </c>
      <c r="F1429" s="1" t="s">
        <v>454</v>
      </c>
      <c r="G1429" s="1" t="s">
        <v>53</v>
      </c>
      <c r="H1429" s="1" t="s">
        <v>615</v>
      </c>
      <c r="I1429" s="1" t="s">
        <v>616</v>
      </c>
      <c r="J1429" s="1" t="s">
        <v>261</v>
      </c>
      <c r="K1429" t="s">
        <v>457</v>
      </c>
      <c r="M1429" s="1" t="s">
        <v>58</v>
      </c>
      <c r="N1429" s="1">
        <v>0</v>
      </c>
      <c r="O1429" s="1" t="s">
        <v>36</v>
      </c>
      <c r="P1429" s="11" t="s">
        <v>2463</v>
      </c>
      <c r="R1429" s="1">
        <v>1</v>
      </c>
      <c r="T1429" s="1" t="s">
        <v>157</v>
      </c>
      <c r="U1429" s="11" t="s">
        <v>2464</v>
      </c>
      <c r="V1429" s="1" t="s">
        <v>41</v>
      </c>
      <c r="W1429" s="1" t="s">
        <v>49</v>
      </c>
      <c r="Z1429" s="14">
        <v>1</v>
      </c>
    </row>
    <row r="1430" spans="1:32" hidden="1">
      <c r="A1430" s="1">
        <v>9439699</v>
      </c>
      <c r="B1430" s="1" t="s">
        <v>1153</v>
      </c>
      <c r="C1430" t="s">
        <v>2465</v>
      </c>
      <c r="E1430" s="2">
        <v>1792000206001</v>
      </c>
      <c r="F1430" s="1" t="s">
        <v>29</v>
      </c>
      <c r="G1430" s="1" t="s">
        <v>53</v>
      </c>
      <c r="H1430" s="1" t="s">
        <v>467</v>
      </c>
      <c r="I1430" s="1" t="s">
        <v>468</v>
      </c>
      <c r="J1430" s="1" t="s">
        <v>110</v>
      </c>
      <c r="K1430" t="s">
        <v>34</v>
      </c>
      <c r="M1430" s="1" t="s">
        <v>35</v>
      </c>
      <c r="N1430" s="1">
        <v>42318949</v>
      </c>
      <c r="O1430" s="1" t="s">
        <v>36</v>
      </c>
      <c r="P1430" s="11" t="s">
        <v>2466</v>
      </c>
      <c r="R1430" s="1" t="s">
        <v>38</v>
      </c>
      <c r="T1430" s="1" t="s">
        <v>74</v>
      </c>
      <c r="U1430" s="11" t="s">
        <v>2023</v>
      </c>
      <c r="V1430" s="1" t="s">
        <v>41</v>
      </c>
      <c r="W1430" s="1" t="s">
        <v>49</v>
      </c>
      <c r="Z1430" s="14">
        <v>1</v>
      </c>
    </row>
    <row r="1431" spans="1:32" hidden="1">
      <c r="A1431" s="1">
        <v>9439691</v>
      </c>
      <c r="B1431" s="1" t="s">
        <v>1153</v>
      </c>
      <c r="C1431" t="s">
        <v>2467</v>
      </c>
      <c r="E1431" s="2">
        <v>5898000206001</v>
      </c>
      <c r="F1431" s="1" t="s">
        <v>29</v>
      </c>
      <c r="G1431" s="1" t="s">
        <v>53</v>
      </c>
      <c r="H1431" s="1" t="s">
        <v>365</v>
      </c>
      <c r="I1431" s="1" t="s">
        <v>366</v>
      </c>
      <c r="J1431" s="1" t="s">
        <v>164</v>
      </c>
      <c r="K1431" t="s">
        <v>34</v>
      </c>
      <c r="M1431" s="1" t="s">
        <v>35</v>
      </c>
      <c r="N1431" s="1">
        <v>42318949</v>
      </c>
      <c r="O1431" s="1" t="s">
        <v>36</v>
      </c>
      <c r="P1431" s="11" t="s">
        <v>2468</v>
      </c>
      <c r="R1431" s="1" t="s">
        <v>38</v>
      </c>
      <c r="T1431" s="1" t="s">
        <v>74</v>
      </c>
      <c r="U1431" s="11" t="s">
        <v>2455</v>
      </c>
      <c r="V1431" s="1" t="s">
        <v>41</v>
      </c>
      <c r="W1431" s="1" t="s">
        <v>49</v>
      </c>
      <c r="Z1431" s="14">
        <v>1</v>
      </c>
    </row>
    <row r="1432" spans="1:32" hidden="1">
      <c r="A1432" s="1">
        <v>9439641</v>
      </c>
      <c r="B1432" s="1" t="s">
        <v>1153</v>
      </c>
      <c r="C1432" t="s">
        <v>2469</v>
      </c>
      <c r="E1432" s="2">
        <v>7740206001</v>
      </c>
      <c r="F1432" s="1" t="s">
        <v>29</v>
      </c>
      <c r="G1432" s="1" t="s">
        <v>53</v>
      </c>
      <c r="H1432" s="1" t="s">
        <v>187</v>
      </c>
      <c r="I1432" s="1" t="s">
        <v>188</v>
      </c>
      <c r="J1432" s="1" t="s">
        <v>46</v>
      </c>
      <c r="K1432" t="s">
        <v>34</v>
      </c>
      <c r="M1432" s="1" t="s">
        <v>35</v>
      </c>
      <c r="N1432" s="1">
        <v>42318949</v>
      </c>
      <c r="O1432" s="1" t="s">
        <v>36</v>
      </c>
      <c r="P1432" s="11" t="s">
        <v>2470</v>
      </c>
      <c r="R1432" s="1" t="s">
        <v>38</v>
      </c>
      <c r="T1432" s="1" t="s">
        <v>74</v>
      </c>
      <c r="U1432" s="11" t="s">
        <v>2471</v>
      </c>
      <c r="V1432" s="1" t="s">
        <v>41</v>
      </c>
      <c r="W1432" s="1" t="s">
        <v>49</v>
      </c>
      <c r="Z1432" s="14">
        <v>1</v>
      </c>
    </row>
    <row r="1433" spans="1:32" hidden="1">
      <c r="A1433" s="1">
        <v>9439434</v>
      </c>
      <c r="B1433" s="1" t="s">
        <v>1153</v>
      </c>
      <c r="C1433" t="s">
        <v>2472</v>
      </c>
      <c r="E1433" s="2">
        <v>2564000203000</v>
      </c>
      <c r="F1433" s="1" t="s">
        <v>454</v>
      </c>
      <c r="G1433" s="1" t="s">
        <v>53</v>
      </c>
      <c r="H1433" s="1" t="s">
        <v>255</v>
      </c>
      <c r="I1433" s="1" t="s">
        <v>256</v>
      </c>
      <c r="J1433" s="1" t="s">
        <v>164</v>
      </c>
      <c r="K1433" t="s">
        <v>457</v>
      </c>
      <c r="M1433" s="1" t="s">
        <v>58</v>
      </c>
      <c r="N1433" s="1">
        <v>0</v>
      </c>
      <c r="O1433" s="1" t="s">
        <v>36</v>
      </c>
      <c r="P1433" s="11" t="s">
        <v>2473</v>
      </c>
      <c r="R1433" s="1">
        <v>1</v>
      </c>
      <c r="T1433" s="1" t="s">
        <v>157</v>
      </c>
      <c r="U1433" s="11" t="s">
        <v>2474</v>
      </c>
      <c r="V1433" s="1" t="s">
        <v>41</v>
      </c>
      <c r="W1433" s="1" t="s">
        <v>49</v>
      </c>
      <c r="Z1433" s="14">
        <v>1</v>
      </c>
    </row>
    <row r="1434" spans="1:32">
      <c r="A1434" s="181">
        <v>9439379</v>
      </c>
      <c r="B1434" s="181" t="s">
        <v>1153</v>
      </c>
      <c r="C1434" s="182" t="s">
        <v>2475</v>
      </c>
      <c r="D1434" s="183"/>
      <c r="E1434" s="183">
        <v>1162000206001</v>
      </c>
      <c r="F1434" s="181" t="s">
        <v>29</v>
      </c>
      <c r="G1434" s="181" t="s">
        <v>53</v>
      </c>
      <c r="H1434" s="181" t="s">
        <v>280</v>
      </c>
      <c r="I1434" s="181" t="s">
        <v>281</v>
      </c>
      <c r="J1434" s="181" t="s">
        <v>211</v>
      </c>
      <c r="K1434" t="s">
        <v>34</v>
      </c>
      <c r="M1434" s="1" t="s">
        <v>35</v>
      </c>
      <c r="N1434" s="1">
        <v>42318949</v>
      </c>
      <c r="O1434" s="1" t="s">
        <v>36</v>
      </c>
      <c r="P1434" s="11" t="s">
        <v>2476</v>
      </c>
      <c r="R1434" s="1" t="s">
        <v>38</v>
      </c>
      <c r="T1434" s="1" t="s">
        <v>74</v>
      </c>
      <c r="U1434" s="11" t="s">
        <v>2018</v>
      </c>
      <c r="V1434" s="1" t="s">
        <v>41</v>
      </c>
      <c r="W1434" s="1" t="s">
        <v>49</v>
      </c>
      <c r="X1434" s="13" t="str">
        <f t="shared" ref="X1434" si="182">IF(RIGHT(H1434,2)&lt;&gt;"00",H1434,"")</f>
        <v/>
      </c>
      <c r="Y1434" s="2">
        <f t="shared" ref="Y1434" ca="1" si="183">NETWORKDAYS(P1434,$Y$1)</f>
        <v>18</v>
      </c>
      <c r="Z1434" s="14">
        <v>1</v>
      </c>
      <c r="AA1434" s="1" t="str">
        <f t="shared" ref="AA1434" ca="1" si="184">IF(AE1434=0,"HOJE",IF(AE1434&gt;0,"A VENCER",IF(AE1434&lt;0,"VENCIDO")))</f>
        <v>VENCIDO</v>
      </c>
      <c r="AB1434" s="1" t="str">
        <f t="shared" ref="AB1434" si="185">IF(F1434="GRPE-000001","C-14",IF(F1434="GRPE-000002","C-14",IF(F1434="GRPE-000003","C-14",IF(F1434="GRPE-000004","SL-On",IF(F1434="GRPE-000038","C-14",IF(F1434="GRPE-900022","Dosa",IF(F1434="GRPE-000029","Dosa",IF(F1434="ATOS-000222","Dose","TAAe+"))))))))</f>
        <v>Dosa</v>
      </c>
      <c r="AC1434" s="2" t="str">
        <f t="shared" ref="AC1434" si="186">IF(J1434="TR-PETROLINA"," ROSEMERE ",IF(J1434="TR-GARANHUNS"," ROSEMERE ",IF(J1434="TR-CARUARU"," ROSEMERE ",IF(J1434="TR-RIBEIRAO"," CRISTINA ",IF(J1434="TR-GRAVATA"," CRISTINA ",IF(J1434="TR-GOIANA"," CRISTINA ",IF(J1434="TR-LIMOEIRO"," CRISTINA ",IF(J1434="TR-SERRA TALHADA"," RINALDO ",IF(J1434="TR-SALGUEIRO"," RINALDO ",IF(J1434="TR-CARNAIBA"," RINALDO ",IF(J1434="TR-ARCOVERDE"," RINALDO ",IF(J1434="CAT-RECIFE"," CLEITON ",))))))))))))</f>
        <v xml:space="preserve"> RINALDO </v>
      </c>
      <c r="AD1434" s="2">
        <f t="shared" ref="AD1434" si="187">IF(F1434="GRPE-000001",5,IF(F1434="GRPE-000002",5,IF(F1434="GRPE-000003",15,IF(F1434="GRPE-000004",1,IF(F1434="GRPE-000038",5,IF(F1434="GRPE-900022",5,IF(F1434="GRPE-000029",5,IF(F1434="ATOS-000222",5,8))))))))</f>
        <v>5</v>
      </c>
      <c r="AE1434" s="2">
        <f t="shared" ref="AE1434" ca="1" si="188">IF(U1434=$AE$1,"",U1434-$AE$1)</f>
        <v>-13.068632754628197</v>
      </c>
      <c r="AF1434" s="15"/>
    </row>
    <row r="1435" spans="1:32" hidden="1">
      <c r="A1435" s="1">
        <v>9451112</v>
      </c>
      <c r="B1435" s="1" t="s">
        <v>1153</v>
      </c>
      <c r="C1435" t="s">
        <v>2477</v>
      </c>
      <c r="D1435" s="2">
        <v>20234844000401</v>
      </c>
      <c r="E1435" s="2">
        <v>7419143322060</v>
      </c>
      <c r="F1435" s="1" t="s">
        <v>1222</v>
      </c>
      <c r="G1435" s="1" t="s">
        <v>53</v>
      </c>
      <c r="H1435" s="1" t="s">
        <v>2478</v>
      </c>
      <c r="I1435" s="1" t="s">
        <v>2479</v>
      </c>
      <c r="J1435" s="1" t="s">
        <v>46</v>
      </c>
      <c r="K1435" t="s">
        <v>1223</v>
      </c>
      <c r="M1435" s="1" t="s">
        <v>58</v>
      </c>
      <c r="N1435" s="1">
        <v>0</v>
      </c>
      <c r="O1435" s="1" t="s">
        <v>36</v>
      </c>
      <c r="P1435" s="186">
        <v>44964.741053240738</v>
      </c>
      <c r="R1435" s="1">
        <v>13</v>
      </c>
      <c r="T1435" s="1" t="s">
        <v>238</v>
      </c>
      <c r="U1435" s="186">
        <v>44965.395833333336</v>
      </c>
      <c r="V1435" s="1" t="s">
        <v>41</v>
      </c>
      <c r="W1435" s="1" t="s">
        <v>49</v>
      </c>
      <c r="Z1435" s="14">
        <v>1</v>
      </c>
    </row>
    <row r="1436" spans="1:32" hidden="1">
      <c r="A1436" s="1">
        <v>9451053</v>
      </c>
      <c r="B1436" s="1" t="s">
        <v>1153</v>
      </c>
      <c r="C1436" t="s">
        <v>2480</v>
      </c>
      <c r="D1436" s="2">
        <v>20231012000002</v>
      </c>
      <c r="E1436" s="2">
        <v>7417183025975</v>
      </c>
      <c r="F1436" s="1" t="s">
        <v>1313</v>
      </c>
      <c r="G1436" s="1" t="s">
        <v>53</v>
      </c>
      <c r="H1436" s="1" t="s">
        <v>2481</v>
      </c>
      <c r="I1436" s="1" t="s">
        <v>2482</v>
      </c>
      <c r="J1436" s="1" t="s">
        <v>164</v>
      </c>
      <c r="K1436" t="s">
        <v>1316</v>
      </c>
      <c r="M1436" s="1" t="s">
        <v>58</v>
      </c>
      <c r="N1436" s="1">
        <v>0</v>
      </c>
      <c r="O1436" s="1" t="s">
        <v>36</v>
      </c>
      <c r="P1436" s="11" t="s">
        <v>2483</v>
      </c>
      <c r="R1436" s="1">
        <v>15</v>
      </c>
      <c r="T1436" s="1" t="s">
        <v>238</v>
      </c>
      <c r="U1436" s="11" t="s">
        <v>2484</v>
      </c>
      <c r="V1436" s="1" t="s">
        <v>41</v>
      </c>
      <c r="W1436" s="1" t="s">
        <v>49</v>
      </c>
      <c r="Z1436" s="14">
        <v>1</v>
      </c>
    </row>
    <row r="1437" spans="1:32" hidden="1">
      <c r="A1437" s="1">
        <v>9450966</v>
      </c>
      <c r="B1437" s="1" t="s">
        <v>1153</v>
      </c>
      <c r="C1437" t="s">
        <v>2485</v>
      </c>
      <c r="D1437" s="2">
        <v>20234844000398</v>
      </c>
      <c r="E1437" s="2">
        <v>7417161483360</v>
      </c>
      <c r="F1437" s="1" t="s">
        <v>1217</v>
      </c>
      <c r="G1437" s="1" t="s">
        <v>53</v>
      </c>
      <c r="H1437" s="1" t="s">
        <v>2357</v>
      </c>
      <c r="I1437" s="1" t="s">
        <v>2358</v>
      </c>
      <c r="J1437" s="1" t="s">
        <v>46</v>
      </c>
      <c r="K1437" t="s">
        <v>1218</v>
      </c>
      <c r="M1437" s="1" t="s">
        <v>58</v>
      </c>
      <c r="N1437" s="1">
        <v>0</v>
      </c>
      <c r="O1437" s="1" t="s">
        <v>36</v>
      </c>
      <c r="P1437" s="186">
        <v>44964.720752314817</v>
      </c>
      <c r="R1437" s="1">
        <v>13</v>
      </c>
      <c r="T1437" s="1" t="s">
        <v>238</v>
      </c>
      <c r="U1437" s="186">
        <v>44965.395833333336</v>
      </c>
      <c r="V1437" s="1" t="s">
        <v>41</v>
      </c>
      <c r="W1437" s="1" t="s">
        <v>49</v>
      </c>
      <c r="Z1437" s="14">
        <v>1</v>
      </c>
    </row>
    <row r="1438" spans="1:32" hidden="1">
      <c r="A1438" s="1">
        <v>9450695</v>
      </c>
      <c r="B1438" s="1" t="s">
        <v>1153</v>
      </c>
      <c r="C1438" t="s">
        <v>2486</v>
      </c>
      <c r="D1438" s="2">
        <v>20234923000058</v>
      </c>
      <c r="E1438" s="2">
        <v>7419141892149</v>
      </c>
      <c r="F1438" s="1" t="s">
        <v>128</v>
      </c>
      <c r="G1438" s="1" t="s">
        <v>53</v>
      </c>
      <c r="H1438" s="1" t="s">
        <v>1966</v>
      </c>
      <c r="I1438" s="1" t="s">
        <v>1967</v>
      </c>
      <c r="J1438" s="1" t="s">
        <v>46</v>
      </c>
      <c r="K1438" t="s">
        <v>129</v>
      </c>
      <c r="M1438" s="1" t="s">
        <v>58</v>
      </c>
      <c r="N1438" s="1">
        <v>0</v>
      </c>
      <c r="O1438" s="1" t="s">
        <v>36</v>
      </c>
      <c r="P1438" s="11" t="s">
        <v>2487</v>
      </c>
      <c r="R1438" s="1">
        <v>13</v>
      </c>
      <c r="T1438" s="1" t="s">
        <v>238</v>
      </c>
      <c r="U1438" s="11" t="s">
        <v>2487</v>
      </c>
      <c r="V1438" s="1" t="s">
        <v>41</v>
      </c>
      <c r="W1438" s="1" t="s">
        <v>49</v>
      </c>
      <c r="Z1438" s="14">
        <v>1</v>
      </c>
    </row>
    <row r="1439" spans="1:32" hidden="1">
      <c r="A1439" s="1">
        <v>9450670</v>
      </c>
      <c r="B1439" s="1" t="s">
        <v>1153</v>
      </c>
      <c r="C1439" t="s">
        <v>2488</v>
      </c>
      <c r="D1439" s="2">
        <v>20232442000019</v>
      </c>
      <c r="E1439" s="2">
        <v>7417163281771</v>
      </c>
      <c r="F1439" s="1" t="s">
        <v>131</v>
      </c>
      <c r="G1439" s="1" t="s">
        <v>53</v>
      </c>
      <c r="H1439" s="1" t="s">
        <v>2489</v>
      </c>
      <c r="I1439" s="1" t="s">
        <v>2490</v>
      </c>
      <c r="J1439" s="1" t="s">
        <v>33</v>
      </c>
      <c r="K1439" t="s">
        <v>132</v>
      </c>
      <c r="M1439" s="1" t="s">
        <v>58</v>
      </c>
      <c r="N1439" s="1">
        <v>0</v>
      </c>
      <c r="O1439" s="1" t="s">
        <v>36</v>
      </c>
      <c r="P1439" s="11" t="s">
        <v>2491</v>
      </c>
      <c r="R1439" s="1">
        <v>15</v>
      </c>
      <c r="T1439" s="1" t="s">
        <v>238</v>
      </c>
      <c r="U1439" s="11" t="s">
        <v>2491</v>
      </c>
      <c r="V1439" s="1" t="s">
        <v>41</v>
      </c>
      <c r="W1439" s="1" t="s">
        <v>42</v>
      </c>
      <c r="Z1439" s="14">
        <v>1</v>
      </c>
    </row>
    <row r="1440" spans="1:32" hidden="1">
      <c r="A1440" s="1">
        <v>9450561</v>
      </c>
      <c r="B1440" s="1" t="s">
        <v>1153</v>
      </c>
      <c r="C1440" t="s">
        <v>2492</v>
      </c>
      <c r="D1440" s="2">
        <v>20234844000396</v>
      </c>
      <c r="E1440" s="2">
        <v>7419141893520</v>
      </c>
      <c r="F1440" s="1" t="s">
        <v>128</v>
      </c>
      <c r="G1440" s="1" t="s">
        <v>53</v>
      </c>
      <c r="H1440" s="1" t="s">
        <v>2493</v>
      </c>
      <c r="I1440" s="1" t="s">
        <v>2494</v>
      </c>
      <c r="J1440" s="1" t="s">
        <v>46</v>
      </c>
      <c r="K1440" t="s">
        <v>129</v>
      </c>
      <c r="M1440" s="1" t="s">
        <v>58</v>
      </c>
      <c r="N1440" s="1">
        <v>0</v>
      </c>
      <c r="O1440" s="1" t="s">
        <v>36</v>
      </c>
      <c r="P1440" s="11" t="s">
        <v>2495</v>
      </c>
      <c r="R1440" s="1">
        <v>13</v>
      </c>
      <c r="T1440" s="1" t="s">
        <v>238</v>
      </c>
      <c r="U1440" s="11" t="s">
        <v>2495</v>
      </c>
      <c r="V1440" s="1" t="s">
        <v>41</v>
      </c>
      <c r="W1440" s="1" t="s">
        <v>49</v>
      </c>
      <c r="Z1440" s="14">
        <v>1</v>
      </c>
    </row>
    <row r="1441" spans="1:32" hidden="1">
      <c r="A1441" s="1">
        <v>9450431</v>
      </c>
      <c r="B1441" s="1" t="s">
        <v>1153</v>
      </c>
      <c r="C1441" t="s">
        <v>2496</v>
      </c>
      <c r="D1441" s="2">
        <v>20234844000394</v>
      </c>
      <c r="E1441" s="2">
        <v>7417163284536</v>
      </c>
      <c r="F1441" s="1" t="s">
        <v>131</v>
      </c>
      <c r="G1441" s="1" t="s">
        <v>53</v>
      </c>
      <c r="H1441" s="1" t="s">
        <v>2348</v>
      </c>
      <c r="I1441" s="1" t="s">
        <v>2349</v>
      </c>
      <c r="J1441" s="1" t="s">
        <v>46</v>
      </c>
      <c r="K1441" t="s">
        <v>132</v>
      </c>
      <c r="M1441" s="1" t="s">
        <v>58</v>
      </c>
      <c r="N1441" s="1">
        <v>0</v>
      </c>
      <c r="O1441" s="1" t="s">
        <v>36</v>
      </c>
      <c r="P1441" s="186">
        <v>44964.663634259261</v>
      </c>
      <c r="R1441" s="1">
        <v>13</v>
      </c>
      <c r="T1441" s="1" t="s">
        <v>238</v>
      </c>
      <c r="U1441" s="186">
        <v>44964.663634259261</v>
      </c>
      <c r="V1441" s="1" t="s">
        <v>41</v>
      </c>
      <c r="W1441" s="1" t="s">
        <v>49</v>
      </c>
      <c r="Z1441" s="14">
        <v>1</v>
      </c>
    </row>
    <row r="1442" spans="1:32" hidden="1">
      <c r="A1442" s="1">
        <v>9450304</v>
      </c>
      <c r="B1442" s="1" t="s">
        <v>2497</v>
      </c>
      <c r="C1442" t="s">
        <v>2498</v>
      </c>
      <c r="E1442" s="2">
        <v>9406000206021</v>
      </c>
      <c r="F1442" s="1" t="s">
        <v>103</v>
      </c>
      <c r="G1442" s="1" t="s">
        <v>53</v>
      </c>
      <c r="H1442" s="1" t="s">
        <v>114</v>
      </c>
      <c r="I1442" s="1" t="s">
        <v>115</v>
      </c>
      <c r="J1442" s="1" t="s">
        <v>46</v>
      </c>
      <c r="K1442" t="s">
        <v>104</v>
      </c>
      <c r="M1442" s="1" t="s">
        <v>35</v>
      </c>
      <c r="N1442" s="1">
        <v>42318949</v>
      </c>
      <c r="O1442" s="1" t="s">
        <v>105</v>
      </c>
      <c r="P1442" s="186">
        <v>44964.660752314812</v>
      </c>
      <c r="R1442" s="1" t="s">
        <v>38</v>
      </c>
      <c r="T1442" s="1" t="s">
        <v>74</v>
      </c>
      <c r="U1442" s="186">
        <v>45007.75</v>
      </c>
      <c r="V1442" s="1" t="s">
        <v>41</v>
      </c>
      <c r="W1442" s="1" t="s">
        <v>49</v>
      </c>
      <c r="Z1442" s="14">
        <v>1</v>
      </c>
    </row>
    <row r="1443" spans="1:32" hidden="1">
      <c r="A1443" s="1">
        <v>9450156</v>
      </c>
      <c r="B1443" s="1" t="s">
        <v>1153</v>
      </c>
      <c r="C1443" t="s">
        <v>2499</v>
      </c>
      <c r="D1443" s="2">
        <v>20231185000014</v>
      </c>
      <c r="E1443" s="2">
        <v>7417202021213</v>
      </c>
      <c r="F1443" s="1" t="s">
        <v>1213</v>
      </c>
      <c r="G1443" s="1" t="s">
        <v>53</v>
      </c>
      <c r="H1443" s="1" t="s">
        <v>2500</v>
      </c>
      <c r="I1443" s="1" t="s">
        <v>2501</v>
      </c>
      <c r="J1443" s="1" t="s">
        <v>33</v>
      </c>
      <c r="K1443" t="s">
        <v>1214</v>
      </c>
      <c r="M1443" s="1" t="s">
        <v>58</v>
      </c>
      <c r="N1443" s="1">
        <v>0</v>
      </c>
      <c r="O1443" s="1" t="s">
        <v>105</v>
      </c>
      <c r="P1443" s="11" t="s">
        <v>2502</v>
      </c>
      <c r="R1443" s="1">
        <v>14</v>
      </c>
      <c r="T1443" s="1" t="s">
        <v>238</v>
      </c>
      <c r="U1443" s="11" t="s">
        <v>2502</v>
      </c>
      <c r="V1443" s="1" t="s">
        <v>41</v>
      </c>
      <c r="W1443" s="1" t="s">
        <v>42</v>
      </c>
      <c r="Z1443" s="14">
        <v>1</v>
      </c>
    </row>
    <row r="1444" spans="1:32" hidden="1">
      <c r="A1444" s="1">
        <v>9450107</v>
      </c>
      <c r="B1444" s="1" t="s">
        <v>1153</v>
      </c>
      <c r="C1444" t="s">
        <v>2503</v>
      </c>
      <c r="D1444" s="2">
        <v>20231850000008</v>
      </c>
      <c r="E1444" s="2">
        <v>7417193050568</v>
      </c>
      <c r="F1444" s="1" t="s">
        <v>1719</v>
      </c>
      <c r="G1444" s="1" t="s">
        <v>53</v>
      </c>
      <c r="H1444" s="1" t="s">
        <v>1931</v>
      </c>
      <c r="I1444" s="1" t="s">
        <v>1932</v>
      </c>
      <c r="J1444" s="1" t="s">
        <v>46</v>
      </c>
      <c r="K1444" t="s">
        <v>1720</v>
      </c>
      <c r="M1444" s="1" t="s">
        <v>58</v>
      </c>
      <c r="N1444" s="1">
        <v>0</v>
      </c>
      <c r="O1444" s="1" t="s">
        <v>36</v>
      </c>
      <c r="P1444" s="11" t="s">
        <v>2504</v>
      </c>
      <c r="R1444" s="1">
        <v>22</v>
      </c>
      <c r="T1444" s="1" t="s">
        <v>1160</v>
      </c>
      <c r="U1444" s="11" t="s">
        <v>2505</v>
      </c>
      <c r="V1444" s="1" t="s">
        <v>41</v>
      </c>
      <c r="W1444" s="1" t="s">
        <v>49</v>
      </c>
      <c r="Z1444" s="14">
        <v>1</v>
      </c>
    </row>
    <row r="1445" spans="1:32" hidden="1">
      <c r="A1445" s="1">
        <v>9449961</v>
      </c>
      <c r="B1445" s="1" t="s">
        <v>1153</v>
      </c>
      <c r="C1445" t="s">
        <v>2506</v>
      </c>
      <c r="D1445" s="2">
        <v>20230537000006</v>
      </c>
      <c r="E1445" s="2">
        <v>7417202021163</v>
      </c>
      <c r="F1445" s="1" t="s">
        <v>1213</v>
      </c>
      <c r="G1445" s="1" t="s">
        <v>53</v>
      </c>
      <c r="H1445" s="1" t="s">
        <v>2507</v>
      </c>
      <c r="I1445" s="1" t="s">
        <v>2508</v>
      </c>
      <c r="J1445" s="1" t="s">
        <v>79</v>
      </c>
      <c r="K1445" t="s">
        <v>1214</v>
      </c>
      <c r="M1445" s="1" t="s">
        <v>58</v>
      </c>
      <c r="N1445" s="1">
        <v>0</v>
      </c>
      <c r="O1445" s="1" t="s">
        <v>36</v>
      </c>
      <c r="P1445" s="11" t="s">
        <v>2509</v>
      </c>
      <c r="R1445" s="1">
        <v>14</v>
      </c>
      <c r="T1445" s="1" t="s">
        <v>238</v>
      </c>
      <c r="U1445" s="11" t="s">
        <v>2509</v>
      </c>
      <c r="V1445" s="1" t="s">
        <v>41</v>
      </c>
      <c r="W1445" s="1" t="s">
        <v>49</v>
      </c>
      <c r="Z1445" s="14">
        <v>1</v>
      </c>
    </row>
    <row r="1446" spans="1:32" hidden="1">
      <c r="A1446" s="1">
        <v>9449888</v>
      </c>
      <c r="B1446" s="1" t="s">
        <v>1153</v>
      </c>
      <c r="C1446" t="s">
        <v>2510</v>
      </c>
      <c r="D1446" s="2">
        <v>20230582000007</v>
      </c>
      <c r="E1446" s="2">
        <v>7417183023862</v>
      </c>
      <c r="F1446" s="1" t="s">
        <v>1313</v>
      </c>
      <c r="G1446" s="1" t="s">
        <v>53</v>
      </c>
      <c r="H1446" s="1" t="s">
        <v>2511</v>
      </c>
      <c r="I1446" s="1" t="s">
        <v>2512</v>
      </c>
      <c r="J1446" s="1" t="s">
        <v>141</v>
      </c>
      <c r="K1446" t="s">
        <v>1316</v>
      </c>
      <c r="M1446" s="1" t="s">
        <v>58</v>
      </c>
      <c r="N1446" s="1">
        <v>0</v>
      </c>
      <c r="O1446" s="1" t="s">
        <v>36</v>
      </c>
      <c r="P1446" s="11" t="s">
        <v>2513</v>
      </c>
      <c r="R1446" s="1">
        <v>14</v>
      </c>
      <c r="T1446" s="1" t="s">
        <v>238</v>
      </c>
      <c r="U1446" s="11" t="s">
        <v>2513</v>
      </c>
      <c r="V1446" s="1" t="s">
        <v>41</v>
      </c>
      <c r="W1446" s="1" t="s">
        <v>49</v>
      </c>
      <c r="Z1446" s="14">
        <v>1</v>
      </c>
    </row>
    <row r="1447" spans="1:32" hidden="1">
      <c r="A1447" s="1">
        <v>9449745</v>
      </c>
      <c r="B1447" s="1" t="s">
        <v>1153</v>
      </c>
      <c r="C1447" t="s">
        <v>2514</v>
      </c>
      <c r="E1447" s="2">
        <v>9406000206021</v>
      </c>
      <c r="F1447" s="1" t="s">
        <v>103</v>
      </c>
      <c r="G1447" s="1" t="s">
        <v>53</v>
      </c>
      <c r="H1447" s="1" t="s">
        <v>114</v>
      </c>
      <c r="I1447" s="1" t="s">
        <v>115</v>
      </c>
      <c r="J1447" s="1" t="s">
        <v>46</v>
      </c>
      <c r="K1447" t="s">
        <v>104</v>
      </c>
      <c r="M1447" s="1" t="s">
        <v>35</v>
      </c>
      <c r="N1447" s="1">
        <v>42318949</v>
      </c>
      <c r="O1447" s="1" t="s">
        <v>36</v>
      </c>
      <c r="P1447" s="11" t="s">
        <v>2515</v>
      </c>
      <c r="R1447" s="1" t="s">
        <v>38</v>
      </c>
      <c r="T1447" s="1" t="s">
        <v>74</v>
      </c>
      <c r="U1447" s="11" t="s">
        <v>2516</v>
      </c>
      <c r="V1447" s="1" t="s">
        <v>41</v>
      </c>
      <c r="W1447" s="1" t="s">
        <v>49</v>
      </c>
      <c r="Z1447" s="14">
        <v>1</v>
      </c>
    </row>
    <row r="1448" spans="1:32" hidden="1">
      <c r="A1448" s="1">
        <v>9449460</v>
      </c>
      <c r="B1448" s="1" t="s">
        <v>1153</v>
      </c>
      <c r="C1448" t="s">
        <v>2517</v>
      </c>
      <c r="D1448" s="2">
        <v>20234844000391</v>
      </c>
      <c r="E1448" s="2">
        <v>7417183020643</v>
      </c>
      <c r="F1448" s="1" t="s">
        <v>1313</v>
      </c>
      <c r="G1448" s="1" t="s">
        <v>53</v>
      </c>
      <c r="H1448" s="1" t="s">
        <v>2444</v>
      </c>
      <c r="I1448" s="1" t="s">
        <v>2445</v>
      </c>
      <c r="J1448" s="1" t="s">
        <v>46</v>
      </c>
      <c r="K1448" t="s">
        <v>1316</v>
      </c>
      <c r="M1448" s="1" t="s">
        <v>58</v>
      </c>
      <c r="N1448" s="1">
        <v>0</v>
      </c>
      <c r="O1448" s="1" t="s">
        <v>36</v>
      </c>
      <c r="P1448" s="11" t="s">
        <v>2518</v>
      </c>
      <c r="R1448" s="1">
        <v>13</v>
      </c>
      <c r="T1448" s="1" t="s">
        <v>238</v>
      </c>
      <c r="U1448" s="11" t="s">
        <v>2518</v>
      </c>
      <c r="V1448" s="1" t="s">
        <v>41</v>
      </c>
      <c r="W1448" s="1" t="s">
        <v>49</v>
      </c>
      <c r="Z1448" s="14">
        <v>1</v>
      </c>
    </row>
    <row r="1449" spans="1:32" hidden="1">
      <c r="A1449" s="1">
        <v>9449450</v>
      </c>
      <c r="B1449" s="1" t="s">
        <v>1153</v>
      </c>
      <c r="C1449" t="s">
        <v>2519</v>
      </c>
      <c r="D1449" s="2">
        <v>20233433000006</v>
      </c>
      <c r="E1449" s="2">
        <v>7417191614659</v>
      </c>
      <c r="F1449" s="1" t="s">
        <v>1719</v>
      </c>
      <c r="G1449" s="1" t="s">
        <v>53</v>
      </c>
      <c r="H1449" s="1" t="s">
        <v>2520</v>
      </c>
      <c r="I1449" s="1" t="s">
        <v>2521</v>
      </c>
      <c r="J1449" s="1" t="s">
        <v>46</v>
      </c>
      <c r="K1449" t="s">
        <v>1720</v>
      </c>
      <c r="M1449" s="1" t="s">
        <v>58</v>
      </c>
      <c r="N1449" s="1">
        <v>0</v>
      </c>
      <c r="O1449" s="1" t="s">
        <v>36</v>
      </c>
      <c r="P1449" s="11" t="s">
        <v>2522</v>
      </c>
      <c r="R1449" s="1">
        <v>22</v>
      </c>
      <c r="T1449" s="1" t="s">
        <v>1160</v>
      </c>
      <c r="U1449" s="11" t="s">
        <v>2523</v>
      </c>
      <c r="V1449" s="1" t="s">
        <v>41</v>
      </c>
      <c r="W1449" s="1" t="s">
        <v>49</v>
      </c>
      <c r="Z1449" s="14">
        <v>1</v>
      </c>
    </row>
    <row r="1450" spans="1:32" hidden="1">
      <c r="A1450" s="1">
        <v>9449448</v>
      </c>
      <c r="B1450" s="1" t="s">
        <v>1153</v>
      </c>
      <c r="C1450" t="s">
        <v>2524</v>
      </c>
      <c r="D1450" s="2">
        <v>20233433000005</v>
      </c>
      <c r="E1450" s="2">
        <v>7417191614842</v>
      </c>
      <c r="F1450" s="1" t="s">
        <v>1719</v>
      </c>
      <c r="G1450" s="1" t="s">
        <v>53</v>
      </c>
      <c r="H1450" s="1" t="s">
        <v>2520</v>
      </c>
      <c r="I1450" s="1" t="s">
        <v>2521</v>
      </c>
      <c r="J1450" s="1" t="s">
        <v>33</v>
      </c>
      <c r="K1450" t="s">
        <v>1720</v>
      </c>
      <c r="M1450" s="1" t="s">
        <v>58</v>
      </c>
      <c r="N1450" s="1">
        <v>0</v>
      </c>
      <c r="O1450" s="1" t="s">
        <v>36</v>
      </c>
      <c r="P1450" s="11" t="s">
        <v>2525</v>
      </c>
      <c r="R1450" s="1">
        <v>22</v>
      </c>
      <c r="T1450" s="1" t="s">
        <v>1160</v>
      </c>
      <c r="U1450" s="11" t="s">
        <v>2526</v>
      </c>
      <c r="V1450" s="1" t="s">
        <v>41</v>
      </c>
      <c r="W1450" s="1" t="s">
        <v>49</v>
      </c>
      <c r="Z1450" s="14">
        <v>1</v>
      </c>
    </row>
    <row r="1451" spans="1:32" hidden="1">
      <c r="A1451" s="1">
        <v>9449339</v>
      </c>
      <c r="B1451" s="1" t="s">
        <v>1153</v>
      </c>
      <c r="C1451" t="s">
        <v>2527</v>
      </c>
      <c r="D1451" s="2">
        <v>20231120000005</v>
      </c>
      <c r="E1451" s="2">
        <v>7417163280559</v>
      </c>
      <c r="F1451" s="1" t="s">
        <v>131</v>
      </c>
      <c r="G1451" s="1" t="s">
        <v>53</v>
      </c>
      <c r="H1451" s="1" t="s">
        <v>2528</v>
      </c>
      <c r="I1451" s="1" t="s">
        <v>2529</v>
      </c>
      <c r="J1451" s="1" t="s">
        <v>164</v>
      </c>
      <c r="K1451" t="s">
        <v>132</v>
      </c>
      <c r="M1451" s="1" t="s">
        <v>58</v>
      </c>
      <c r="N1451" s="1">
        <v>0</v>
      </c>
      <c r="O1451" s="1" t="s">
        <v>36</v>
      </c>
      <c r="P1451" s="11" t="s">
        <v>2530</v>
      </c>
      <c r="R1451" s="1">
        <v>14</v>
      </c>
      <c r="T1451" s="1" t="s">
        <v>238</v>
      </c>
      <c r="U1451" s="11" t="s">
        <v>2530</v>
      </c>
      <c r="V1451" s="1" t="s">
        <v>41</v>
      </c>
      <c r="W1451" s="1" t="s">
        <v>49</v>
      </c>
      <c r="Z1451" s="14">
        <v>1</v>
      </c>
    </row>
    <row r="1452" spans="1:32">
      <c r="A1452" s="173">
        <v>9449335</v>
      </c>
      <c r="B1452" s="173" t="s">
        <v>1153</v>
      </c>
      <c r="C1452" s="178" t="s">
        <v>2531</v>
      </c>
      <c r="D1452" s="174">
        <v>20230246000010</v>
      </c>
      <c r="E1452" s="174">
        <v>7417202020064</v>
      </c>
      <c r="F1452" s="173" t="s">
        <v>1213</v>
      </c>
      <c r="G1452" s="173" t="s">
        <v>53</v>
      </c>
      <c r="H1452" s="173" t="s">
        <v>2321</v>
      </c>
      <c r="I1452" s="173" t="s">
        <v>2322</v>
      </c>
      <c r="J1452" s="173" t="s">
        <v>85</v>
      </c>
      <c r="K1452" t="s">
        <v>1214</v>
      </c>
      <c r="M1452" s="1" t="s">
        <v>58</v>
      </c>
      <c r="N1452" s="1">
        <v>0</v>
      </c>
      <c r="O1452" s="1" t="s">
        <v>36</v>
      </c>
      <c r="P1452" s="11" t="s">
        <v>2532</v>
      </c>
      <c r="R1452" s="1">
        <v>14</v>
      </c>
      <c r="T1452" s="1" t="s">
        <v>238</v>
      </c>
      <c r="U1452" s="11" t="s">
        <v>2532</v>
      </c>
      <c r="V1452" s="1" t="s">
        <v>41</v>
      </c>
      <c r="W1452" s="1" t="s">
        <v>49</v>
      </c>
      <c r="X1452" s="13" t="str">
        <f t="shared" ref="X1452" si="189">IF(RIGHT(H1452,2)&lt;&gt;"00",H1452,"")</f>
        <v>0246.91</v>
      </c>
      <c r="Y1452" s="2">
        <f t="shared" ref="Y1452" ca="1" si="190">NETWORKDAYS(P1452,$Y$1)</f>
        <v>17</v>
      </c>
      <c r="Z1452" s="14">
        <v>1</v>
      </c>
      <c r="AA1452" s="1" t="str">
        <f t="shared" ref="AA1452" ca="1" si="191">IF(AE1452=0,"HOJE",IF(AE1452&gt;0,"A VENCER",IF(AE1452&lt;0,"VENCIDO")))</f>
        <v>VENCIDO</v>
      </c>
      <c r="AB1452" s="1" t="str">
        <f t="shared" ref="AB1452" si="192">IF(F1452="GRPE-000001","C-14",IF(F1452="GRPE-000002","C-14",IF(F1452="GRPE-000003","C-14",IF(F1452="GRPE-000004","SL-On",IF(F1452="GRPE-000038","C-14",IF(F1452="GRPE-900022","Dosa",IF(F1452="GRPE-000029","Dosa",IF(F1452="ATOS-000222","Dose","TAAe+"))))))))</f>
        <v>TAAe+</v>
      </c>
      <c r="AC1452" s="2" t="str">
        <f t="shared" ref="AC1452" si="193">IF(J1452="TR-PETROLINA"," ROSEMERE ",IF(J1452="TR-GARANHUNS"," ROSEMERE ",IF(J1452="TR-CARUARU"," ROSEMERE ",IF(J1452="TR-RIBEIRAO"," CRISTINA ",IF(J1452="TR-GRAVATA"," CRISTINA ",IF(J1452="TR-GOIANA"," CRISTINA ",IF(J1452="TR-LIMOEIRO"," CRISTINA ",IF(J1452="TR-SERRA TALHADA"," RINALDO ",IF(J1452="TR-SALGUEIRO"," RINALDO ",IF(J1452="TR-CARNAIBA"," RINALDO ",IF(J1452="TR-ARCOVERDE"," RINALDO ",IF(J1452="CAT-RECIFE"," CLEITON ",))))))))))))</f>
        <v xml:space="preserve"> RINALDO </v>
      </c>
      <c r="AD1452" s="2">
        <f t="shared" ref="AD1452" si="194">IF(F1452="GRPE-000001",5,IF(F1452="GRPE-000002",5,IF(F1452="GRPE-000003",15,IF(F1452="GRPE-000004",1,IF(F1452="GRPE-000038",5,IF(F1452="GRPE-900022",5,IF(F1452="GRPE-000029",5,IF(F1452="ATOS-000222",5,8))))))))</f>
        <v>8</v>
      </c>
      <c r="AE1452" s="2">
        <f t="shared" ref="AE1452" ca="1" si="195">IF(U1452=$AE$1,"",U1452-$AE$1)</f>
        <v>-22.173320254631108</v>
      </c>
      <c r="AF1452" s="15"/>
    </row>
    <row r="1453" spans="1:32" hidden="1">
      <c r="A1453" s="1">
        <v>9449008</v>
      </c>
      <c r="B1453" s="1" t="s">
        <v>1153</v>
      </c>
      <c r="C1453" t="s">
        <v>2440</v>
      </c>
      <c r="D1453" s="2">
        <v>20234981000001</v>
      </c>
      <c r="E1453" s="2">
        <v>7419152405218</v>
      </c>
      <c r="F1453" s="1" t="s">
        <v>2533</v>
      </c>
      <c r="G1453" s="1" t="s">
        <v>53</v>
      </c>
      <c r="H1453" s="1" t="s">
        <v>2534</v>
      </c>
      <c r="I1453" s="1" t="s">
        <v>2535</v>
      </c>
      <c r="J1453" s="1" t="s">
        <v>46</v>
      </c>
      <c r="K1453" t="s">
        <v>2536</v>
      </c>
      <c r="M1453" s="1" t="s">
        <v>58</v>
      </c>
      <c r="N1453" s="1">
        <v>0</v>
      </c>
      <c r="O1453" s="1" t="s">
        <v>36</v>
      </c>
      <c r="P1453" s="11" t="s">
        <v>2537</v>
      </c>
      <c r="R1453" s="1">
        <v>22</v>
      </c>
      <c r="T1453" s="1" t="s">
        <v>1160</v>
      </c>
      <c r="U1453" s="11" t="s">
        <v>2538</v>
      </c>
      <c r="V1453" s="1" t="s">
        <v>41</v>
      </c>
      <c r="W1453" s="1" t="s">
        <v>49</v>
      </c>
      <c r="Z1453" s="14">
        <v>1</v>
      </c>
    </row>
    <row r="1454" spans="1:32" hidden="1">
      <c r="A1454" s="1">
        <v>9448922</v>
      </c>
      <c r="B1454" s="1" t="s">
        <v>1153</v>
      </c>
      <c r="C1454" t="s">
        <v>2539</v>
      </c>
      <c r="D1454" s="2">
        <v>20234844000385</v>
      </c>
      <c r="E1454" s="2">
        <v>7417161483344</v>
      </c>
      <c r="F1454" s="1" t="s">
        <v>1217</v>
      </c>
      <c r="G1454" s="1" t="s">
        <v>53</v>
      </c>
      <c r="H1454" s="1" t="s">
        <v>2540</v>
      </c>
      <c r="I1454" s="1" t="s">
        <v>2541</v>
      </c>
      <c r="J1454" s="1" t="s">
        <v>46</v>
      </c>
      <c r="K1454" t="s">
        <v>1218</v>
      </c>
      <c r="M1454" s="1" t="s">
        <v>58</v>
      </c>
      <c r="N1454" s="1">
        <v>0</v>
      </c>
      <c r="O1454" s="1" t="s">
        <v>36</v>
      </c>
      <c r="P1454" s="11" t="s">
        <v>2542</v>
      </c>
      <c r="R1454" s="1">
        <v>13</v>
      </c>
      <c r="T1454" s="1" t="s">
        <v>238</v>
      </c>
      <c r="U1454" s="11" t="s">
        <v>2542</v>
      </c>
      <c r="V1454" s="1" t="s">
        <v>41</v>
      </c>
      <c r="W1454" s="1" t="s">
        <v>49</v>
      </c>
      <c r="Z1454" s="14">
        <v>1</v>
      </c>
    </row>
    <row r="1455" spans="1:32">
      <c r="A1455" s="1">
        <v>9448803</v>
      </c>
      <c r="B1455" s="1" t="s">
        <v>1153</v>
      </c>
      <c r="C1455" s="201" t="s">
        <v>2543</v>
      </c>
      <c r="D1455" s="2">
        <v>20232737000010</v>
      </c>
      <c r="E1455" s="2">
        <v>7417163284489</v>
      </c>
      <c r="F1455" s="1" t="s">
        <v>131</v>
      </c>
      <c r="G1455" s="1" t="s">
        <v>53</v>
      </c>
      <c r="H1455" s="1" t="s">
        <v>2544</v>
      </c>
      <c r="I1455" s="1" t="s">
        <v>2545</v>
      </c>
      <c r="J1455" s="1" t="s">
        <v>90</v>
      </c>
      <c r="K1455" t="s">
        <v>132</v>
      </c>
      <c r="M1455" s="1" t="s">
        <v>58</v>
      </c>
      <c r="N1455" s="1">
        <v>0</v>
      </c>
      <c r="O1455" s="1" t="s">
        <v>36</v>
      </c>
      <c r="P1455" s="11" t="s">
        <v>2546</v>
      </c>
      <c r="R1455" s="1">
        <v>14</v>
      </c>
      <c r="T1455" s="1" t="s">
        <v>238</v>
      </c>
      <c r="U1455" s="11" t="s">
        <v>2546</v>
      </c>
      <c r="V1455" s="1" t="s">
        <v>41</v>
      </c>
      <c r="W1455" s="1" t="s">
        <v>49</v>
      </c>
      <c r="X1455" s="13" t="str">
        <f t="shared" ref="X1455" si="196">IF(RIGHT(H1455,2)&lt;&gt;"00",H1455,"")</f>
        <v>2737.91</v>
      </c>
      <c r="Y1455" s="2">
        <f t="shared" ref="Y1455" ca="1" si="197">NETWORKDAYS(P1455,$Y$1)</f>
        <v>17</v>
      </c>
      <c r="Z1455" s="14">
        <v>1</v>
      </c>
      <c r="AA1455" s="1" t="str">
        <f t="shared" ref="AA1455" ca="1" si="198">IF(AE1455=0,"HOJE",IF(AE1455&gt;0,"A VENCER",IF(AE1455&lt;0,"VENCIDO")))</f>
        <v>VENCIDO</v>
      </c>
      <c r="AB1455" s="1" t="str">
        <f t="shared" ref="AB1455" si="199">IF(F1455="GRPE-000001","C-14",IF(F1455="GRPE-000002","C-14",IF(F1455="GRPE-000003","C-14",IF(F1455="GRPE-000004","SL-On",IF(F1455="GRPE-000038","C-14",IF(F1455="GRPE-900022","Dosa",IF(F1455="GRPE-000029","Dosa",IF(F1455="ATOS-000222","Dose","TAAe+"))))))))</f>
        <v>TAAe+</v>
      </c>
      <c r="AC1455" s="2" t="str">
        <f t="shared" ref="AC1455" si="200">IF(J1455="TR-PETROLINA"," ROSEMERE ",IF(J1455="TR-GARANHUNS"," ROSEMERE ",IF(J1455="TR-CARUARU"," ROSEMERE ",IF(J1455="TR-RIBEIRAO"," CRISTINA ",IF(J1455="TR-GRAVATA"," CRISTINA ",IF(J1455="TR-GOIANA"," CRISTINA ",IF(J1455="TR-LIMOEIRO"," CRISTINA ",IF(J1455="TR-SERRA TALHADA"," RINALDO ",IF(J1455="TR-SALGUEIRO"," RINALDO ",IF(J1455="TR-CARNAIBA"," RINALDO ",IF(J1455="TR-ARCOVERDE"," RINALDO ",IF(J1455="CAT-RECIFE"," CLEITON ",))))))))))))</f>
        <v xml:space="preserve"> RINALDO </v>
      </c>
      <c r="AD1455" s="2">
        <f t="shared" ref="AD1455" si="201">IF(F1455="GRPE-000001",5,IF(F1455="GRPE-000002",5,IF(F1455="GRPE-000003",15,IF(F1455="GRPE-000004",1,IF(F1455="GRPE-000038",5,IF(F1455="GRPE-900022",5,IF(F1455="GRPE-000029",5,IF(F1455="ATOS-000222",5,8))))))))</f>
        <v>8</v>
      </c>
      <c r="AE1455" s="2">
        <f t="shared" ref="AE1455" ca="1" si="202">IF(U1455=$AE$1,"",U1455-$AE$1)</f>
        <v>-22.244466087962792</v>
      </c>
      <c r="AF1455" s="15"/>
    </row>
    <row r="1456" spans="1:32" hidden="1">
      <c r="A1456" s="1">
        <v>9448764</v>
      </c>
      <c r="B1456" s="1" t="s">
        <v>1153</v>
      </c>
      <c r="C1456" t="s">
        <v>2547</v>
      </c>
      <c r="E1456" s="2">
        <v>1360000206001</v>
      </c>
      <c r="F1456" s="1" t="s">
        <v>29</v>
      </c>
      <c r="G1456" s="1" t="s">
        <v>53</v>
      </c>
      <c r="H1456" s="1" t="s">
        <v>303</v>
      </c>
      <c r="I1456" s="1" t="s">
        <v>304</v>
      </c>
      <c r="J1456" s="1" t="s">
        <v>261</v>
      </c>
      <c r="K1456" t="s">
        <v>34</v>
      </c>
      <c r="M1456" s="1" t="s">
        <v>35</v>
      </c>
      <c r="N1456" s="1">
        <v>42318949</v>
      </c>
      <c r="O1456" s="1" t="s">
        <v>36</v>
      </c>
      <c r="P1456" s="11" t="s">
        <v>2548</v>
      </c>
      <c r="R1456" s="1" t="s">
        <v>38</v>
      </c>
      <c r="T1456" s="1" t="s">
        <v>74</v>
      </c>
      <c r="U1456" s="11" t="s">
        <v>2023</v>
      </c>
      <c r="V1456" s="1" t="s">
        <v>41</v>
      </c>
      <c r="W1456" s="1" t="s">
        <v>49</v>
      </c>
      <c r="Z1456" s="14">
        <v>1</v>
      </c>
    </row>
    <row r="1457" spans="1:32" hidden="1">
      <c r="A1457" s="1">
        <v>9448733</v>
      </c>
      <c r="B1457" s="1" t="s">
        <v>1153</v>
      </c>
      <c r="C1457" t="s">
        <v>2549</v>
      </c>
      <c r="D1457" s="2">
        <v>20234844000384</v>
      </c>
      <c r="E1457" s="2">
        <v>7417183020675</v>
      </c>
      <c r="F1457" s="1" t="s">
        <v>1313</v>
      </c>
      <c r="G1457" s="1" t="s">
        <v>53</v>
      </c>
      <c r="H1457" s="1" t="s">
        <v>2550</v>
      </c>
      <c r="I1457" s="1" t="s">
        <v>2551</v>
      </c>
      <c r="J1457" s="1" t="s">
        <v>46</v>
      </c>
      <c r="K1457" t="s">
        <v>1316</v>
      </c>
      <c r="M1457" s="1" t="s">
        <v>58</v>
      </c>
      <c r="N1457" s="1">
        <v>0</v>
      </c>
      <c r="O1457" s="1" t="s">
        <v>36</v>
      </c>
      <c r="P1457" s="11" t="s">
        <v>2552</v>
      </c>
      <c r="R1457" s="1">
        <v>13</v>
      </c>
      <c r="T1457" s="1" t="s">
        <v>238</v>
      </c>
      <c r="U1457" s="11" t="s">
        <v>2552</v>
      </c>
      <c r="V1457" s="1" t="s">
        <v>41</v>
      </c>
      <c r="W1457" s="1" t="s">
        <v>49</v>
      </c>
      <c r="Z1457" s="14">
        <v>1</v>
      </c>
    </row>
    <row r="1458" spans="1:32">
      <c r="A1458" s="181">
        <v>9448665</v>
      </c>
      <c r="B1458" s="181" t="s">
        <v>1153</v>
      </c>
      <c r="C1458" s="182" t="s">
        <v>2553</v>
      </c>
      <c r="D1458" s="183"/>
      <c r="E1458" s="183">
        <v>2590000203000</v>
      </c>
      <c r="F1458" s="181" t="s">
        <v>454</v>
      </c>
      <c r="G1458" s="181" t="s">
        <v>53</v>
      </c>
      <c r="H1458" s="181" t="s">
        <v>394</v>
      </c>
      <c r="I1458" s="181" t="s">
        <v>395</v>
      </c>
      <c r="J1458" s="181" t="s">
        <v>148</v>
      </c>
      <c r="K1458" t="s">
        <v>457</v>
      </c>
      <c r="M1458" s="1" t="s">
        <v>58</v>
      </c>
      <c r="N1458" s="1">
        <v>0</v>
      </c>
      <c r="O1458" s="1" t="s">
        <v>36</v>
      </c>
      <c r="P1458" s="11" t="s">
        <v>2554</v>
      </c>
      <c r="R1458" s="1">
        <v>1</v>
      </c>
      <c r="T1458" s="1" t="s">
        <v>157</v>
      </c>
      <c r="U1458" s="12">
        <v>44965.427986111114</v>
      </c>
      <c r="V1458" s="1" t="s">
        <v>41</v>
      </c>
      <c r="W1458" s="1" t="s">
        <v>49</v>
      </c>
      <c r="X1458" s="13" t="str">
        <f t="shared" ref="X1458" si="203">IF(RIGHT(H1458,2)&lt;&gt;"00",H1458,"")</f>
        <v/>
      </c>
      <c r="Y1458" s="2">
        <f t="shared" ref="Y1458" ca="1" si="204">NETWORKDAYS(P1458,$Y$1)</f>
        <v>17</v>
      </c>
      <c r="Z1458" s="14">
        <v>1</v>
      </c>
      <c r="AA1458" s="1" t="str">
        <f t="shared" ref="AA1458" ca="1" si="205">IF(AE1458=0,"HOJE",IF(AE1458&gt;0,"A VENCER",IF(AE1458&lt;0,"VENCIDO")))</f>
        <v>VENCIDO</v>
      </c>
      <c r="AB1458" s="1" t="str">
        <f t="shared" ref="AB1458" si="206">IF(F1458="GRPE-000001","C-14",IF(F1458="GRPE-000002","C-14",IF(F1458="GRPE-000003","C-14",IF(F1458="GRPE-000004","SL-On",IF(F1458="GRPE-000038","C-14",IF(F1458="GRPE-900022","Dosa",IF(F1458="GRPE-000029","Dosa",IF(F1458="ATOS-000222","Dose","TAAe+"))))))))</f>
        <v>C-14</v>
      </c>
      <c r="AC1458" s="2" t="str">
        <f t="shared" ref="AC1458" si="207">IF(J1458="TR-PETROLINA"," ROSEMERE ",IF(J1458="TR-GARANHUNS"," ROSEMERE ",IF(J1458="TR-CARUARU"," ROSEMERE ",IF(J1458="TR-RIBEIRAO"," CRISTINA ",IF(J1458="TR-GRAVATA"," CRISTINA ",IF(J1458="TR-GOIANA"," CRISTINA ",IF(J1458="TR-LIMOEIRO"," CRISTINA ",IF(J1458="TR-SERRA TALHADA"," RINALDO ",IF(J1458="TR-SALGUEIRO"," RINALDO ",IF(J1458="TR-CARNAIBA"," RINALDO ",IF(J1458="TR-ARCOVERDE"," RINALDO ",IF(J1458="CAT-RECIFE"," CLEITON ",))))))))))))</f>
        <v xml:space="preserve"> RINALDO </v>
      </c>
      <c r="AD1458" s="2">
        <f t="shared" ref="AD1458" si="208">IF(F1458="GRPE-000001",5,IF(F1458="GRPE-000002",5,IF(F1458="GRPE-000003",15,IF(F1458="GRPE-000004",1,IF(F1458="GRPE-000038",5,IF(F1458="GRPE-900022",5,IF(F1458="GRPE-000029",5,IF(F1458="ATOS-000222",5,8))))))))</f>
        <v>5</v>
      </c>
      <c r="AE1458" s="2">
        <f t="shared" ref="AE1458" ca="1" si="209">IF(U1458=$AE$1,"",U1458-$AE$1)</f>
        <v>-21.248285532405134</v>
      </c>
      <c r="AF1458" s="15"/>
    </row>
    <row r="1459" spans="1:32" hidden="1">
      <c r="A1459" s="1">
        <v>9448626</v>
      </c>
      <c r="B1459" s="1" t="s">
        <v>1153</v>
      </c>
      <c r="C1459" t="s">
        <v>2555</v>
      </c>
      <c r="D1459" s="2">
        <v>20230710000007</v>
      </c>
      <c r="E1459" s="2">
        <v>7419141894913</v>
      </c>
      <c r="F1459" s="1" t="s">
        <v>128</v>
      </c>
      <c r="G1459" s="1" t="s">
        <v>53</v>
      </c>
      <c r="H1459" s="1" t="s">
        <v>2556</v>
      </c>
      <c r="I1459" s="1" t="s">
        <v>2557</v>
      </c>
      <c r="J1459" s="1" t="s">
        <v>56</v>
      </c>
      <c r="K1459" t="s">
        <v>129</v>
      </c>
      <c r="M1459" s="1" t="s">
        <v>58</v>
      </c>
      <c r="N1459" s="1">
        <v>0</v>
      </c>
      <c r="O1459" s="1" t="s">
        <v>36</v>
      </c>
      <c r="P1459" s="11" t="s">
        <v>2558</v>
      </c>
      <c r="R1459" s="1">
        <v>14</v>
      </c>
      <c r="T1459" s="1" t="s">
        <v>238</v>
      </c>
      <c r="U1459" s="11" t="s">
        <v>2558</v>
      </c>
      <c r="V1459" s="1" t="s">
        <v>41</v>
      </c>
      <c r="W1459" s="1" t="s">
        <v>49</v>
      </c>
      <c r="Z1459" s="14">
        <v>1</v>
      </c>
    </row>
    <row r="1460" spans="1:32" hidden="1">
      <c r="A1460" s="1">
        <v>9448398</v>
      </c>
      <c r="B1460" s="1" t="s">
        <v>1153</v>
      </c>
      <c r="C1460" t="s">
        <v>2559</v>
      </c>
      <c r="D1460" s="2">
        <v>20231052000011</v>
      </c>
      <c r="E1460" s="2">
        <v>7417163285093</v>
      </c>
      <c r="F1460" s="1" t="s">
        <v>131</v>
      </c>
      <c r="G1460" s="1" t="s">
        <v>53</v>
      </c>
      <c r="H1460" s="1" t="s">
        <v>2560</v>
      </c>
      <c r="I1460" s="1" t="s">
        <v>2561</v>
      </c>
      <c r="J1460" s="1" t="s">
        <v>79</v>
      </c>
      <c r="K1460" t="s">
        <v>132</v>
      </c>
      <c r="M1460" s="1" t="s">
        <v>58</v>
      </c>
      <c r="N1460" s="1">
        <v>0</v>
      </c>
      <c r="O1460" s="1" t="s">
        <v>36</v>
      </c>
      <c r="P1460" s="11" t="s">
        <v>2562</v>
      </c>
      <c r="R1460" s="1">
        <v>14</v>
      </c>
      <c r="T1460" s="1" t="s">
        <v>238</v>
      </c>
      <c r="U1460" s="11" t="s">
        <v>2563</v>
      </c>
      <c r="V1460" s="1" t="s">
        <v>41</v>
      </c>
      <c r="W1460" s="1" t="s">
        <v>49</v>
      </c>
      <c r="Z1460" s="14">
        <v>1</v>
      </c>
    </row>
    <row r="1461" spans="1:32" hidden="1">
      <c r="A1461" s="1">
        <v>9448238</v>
      </c>
      <c r="B1461" s="1" t="s">
        <v>1153</v>
      </c>
      <c r="C1461" t="s">
        <v>2564</v>
      </c>
      <c r="D1461" s="2">
        <v>20234844000379</v>
      </c>
      <c r="E1461" s="2">
        <v>7417183020628</v>
      </c>
      <c r="F1461" s="1" t="s">
        <v>1313</v>
      </c>
      <c r="G1461" s="1" t="s">
        <v>53</v>
      </c>
      <c r="H1461" s="1" t="s">
        <v>2478</v>
      </c>
      <c r="I1461" s="1" t="s">
        <v>2479</v>
      </c>
      <c r="J1461" s="1" t="s">
        <v>46</v>
      </c>
      <c r="K1461" t="s">
        <v>1316</v>
      </c>
      <c r="M1461" s="1" t="s">
        <v>58</v>
      </c>
      <c r="N1461" s="1">
        <v>0</v>
      </c>
      <c r="O1461" s="1" t="s">
        <v>36</v>
      </c>
      <c r="P1461" s="11" t="s">
        <v>2565</v>
      </c>
      <c r="R1461" s="1">
        <v>13</v>
      </c>
      <c r="T1461" s="1" t="s">
        <v>238</v>
      </c>
      <c r="U1461" s="11" t="s">
        <v>2563</v>
      </c>
      <c r="V1461" s="1" t="s">
        <v>41</v>
      </c>
      <c r="W1461" s="1" t="s">
        <v>49</v>
      </c>
      <c r="Z1461" s="14">
        <v>1</v>
      </c>
    </row>
    <row r="1462" spans="1:32" hidden="1">
      <c r="A1462" s="1">
        <v>9448003</v>
      </c>
      <c r="B1462" s="1" t="s">
        <v>1153</v>
      </c>
      <c r="C1462" t="s">
        <v>2566</v>
      </c>
      <c r="E1462" s="2">
        <v>54569</v>
      </c>
      <c r="F1462" s="1" t="s">
        <v>2567</v>
      </c>
      <c r="G1462" s="1" t="s">
        <v>53</v>
      </c>
      <c r="H1462" s="1" t="s">
        <v>351</v>
      </c>
      <c r="I1462" s="1" t="s">
        <v>352</v>
      </c>
      <c r="J1462" s="1" t="s">
        <v>110</v>
      </c>
      <c r="K1462" t="s">
        <v>2568</v>
      </c>
      <c r="M1462" s="1" t="s">
        <v>35</v>
      </c>
      <c r="N1462" s="1">
        <v>42318949</v>
      </c>
      <c r="O1462" s="1" t="s">
        <v>36</v>
      </c>
      <c r="P1462" s="11" t="s">
        <v>2569</v>
      </c>
      <c r="R1462" s="1" t="s">
        <v>38</v>
      </c>
      <c r="T1462" s="1" t="s">
        <v>74</v>
      </c>
      <c r="U1462" s="11" t="s">
        <v>2471</v>
      </c>
      <c r="V1462" s="1" t="s">
        <v>41</v>
      </c>
      <c r="W1462" s="1" t="s">
        <v>49</v>
      </c>
      <c r="Z1462" s="14">
        <v>1</v>
      </c>
    </row>
    <row r="1463" spans="1:32" hidden="1">
      <c r="A1463" s="1">
        <v>9456048</v>
      </c>
      <c r="B1463" s="1" t="s">
        <v>1153</v>
      </c>
      <c r="C1463" t="s">
        <v>2570</v>
      </c>
      <c r="D1463" s="2">
        <v>20235846000004</v>
      </c>
      <c r="E1463" s="2">
        <v>7419152406688</v>
      </c>
      <c r="F1463" s="1" t="s">
        <v>2533</v>
      </c>
      <c r="G1463" s="1" t="s">
        <v>53</v>
      </c>
      <c r="H1463" s="1" t="s">
        <v>2571</v>
      </c>
      <c r="I1463" s="1" t="s">
        <v>2572</v>
      </c>
      <c r="J1463" s="1" t="s">
        <v>46</v>
      </c>
      <c r="K1463" t="s">
        <v>2536</v>
      </c>
      <c r="M1463" s="1" t="s">
        <v>58</v>
      </c>
      <c r="N1463" s="1">
        <v>0</v>
      </c>
      <c r="O1463" s="1" t="s">
        <v>36</v>
      </c>
      <c r="P1463" s="186">
        <v>44965.764398148145</v>
      </c>
      <c r="R1463" s="1">
        <v>22</v>
      </c>
      <c r="T1463" s="1" t="s">
        <v>1160</v>
      </c>
      <c r="U1463" s="186">
        <v>44970.583333333336</v>
      </c>
      <c r="V1463" s="1" t="s">
        <v>41</v>
      </c>
      <c r="W1463" s="1" t="s">
        <v>49</v>
      </c>
      <c r="Z1463" s="14">
        <v>1</v>
      </c>
    </row>
    <row r="1464" spans="1:32" hidden="1">
      <c r="A1464" s="1">
        <v>9456005</v>
      </c>
      <c r="B1464" s="1" t="s">
        <v>1153</v>
      </c>
      <c r="C1464" t="s">
        <v>2573</v>
      </c>
      <c r="D1464" s="2">
        <v>20234844000414</v>
      </c>
      <c r="E1464" s="2">
        <v>7419141891941</v>
      </c>
      <c r="F1464" s="1" t="s">
        <v>128</v>
      </c>
      <c r="G1464" s="1" t="s">
        <v>53</v>
      </c>
      <c r="H1464" s="1" t="s">
        <v>2574</v>
      </c>
      <c r="I1464" s="1" t="s">
        <v>2575</v>
      </c>
      <c r="J1464" s="1" t="s">
        <v>46</v>
      </c>
      <c r="K1464" t="s">
        <v>129</v>
      </c>
      <c r="M1464" s="1" t="s">
        <v>58</v>
      </c>
      <c r="N1464" s="1">
        <v>0</v>
      </c>
      <c r="O1464" s="1" t="s">
        <v>36</v>
      </c>
      <c r="P1464" s="11" t="s">
        <v>2576</v>
      </c>
      <c r="R1464" s="1">
        <v>13</v>
      </c>
      <c r="T1464" s="1" t="s">
        <v>238</v>
      </c>
      <c r="U1464" s="11" t="s">
        <v>2577</v>
      </c>
      <c r="V1464" s="1" t="s">
        <v>41</v>
      </c>
      <c r="W1464" s="1" t="s">
        <v>49</v>
      </c>
      <c r="Z1464" s="14">
        <v>1</v>
      </c>
    </row>
    <row r="1465" spans="1:32" hidden="1">
      <c r="A1465" s="1">
        <v>9455714</v>
      </c>
      <c r="B1465" s="1" t="s">
        <v>1153</v>
      </c>
      <c r="C1465" t="s">
        <v>2578</v>
      </c>
      <c r="D1465" s="2">
        <v>20230244000007</v>
      </c>
      <c r="E1465" s="2">
        <v>7417210950125</v>
      </c>
      <c r="F1465" s="1" t="s">
        <v>1213</v>
      </c>
      <c r="G1465" s="1" t="s">
        <v>53</v>
      </c>
      <c r="H1465" s="1" t="s">
        <v>2579</v>
      </c>
      <c r="I1465" s="1" t="s">
        <v>2580</v>
      </c>
      <c r="J1465" s="1" t="s">
        <v>56</v>
      </c>
      <c r="K1465" t="s">
        <v>1214</v>
      </c>
      <c r="M1465" s="1" t="s">
        <v>58</v>
      </c>
      <c r="N1465" s="1">
        <v>0</v>
      </c>
      <c r="O1465" s="1" t="s">
        <v>36</v>
      </c>
      <c r="P1465" s="11" t="s">
        <v>2581</v>
      </c>
      <c r="R1465" s="1">
        <v>14</v>
      </c>
      <c r="T1465" s="1" t="s">
        <v>238</v>
      </c>
      <c r="U1465" s="11" t="s">
        <v>2581</v>
      </c>
      <c r="V1465" s="1" t="s">
        <v>41</v>
      </c>
      <c r="W1465" s="1" t="s">
        <v>49</v>
      </c>
      <c r="Z1465" s="14">
        <v>1</v>
      </c>
    </row>
    <row r="1466" spans="1:32" hidden="1">
      <c r="A1466" s="1">
        <v>9455659</v>
      </c>
      <c r="B1466" s="1" t="s">
        <v>62</v>
      </c>
      <c r="C1466" t="s">
        <v>2582</v>
      </c>
      <c r="E1466" s="2">
        <v>3258000206001</v>
      </c>
      <c r="F1466" s="2" t="s">
        <v>29</v>
      </c>
      <c r="G1466" s="1" t="s">
        <v>53</v>
      </c>
      <c r="H1466" s="1" t="s">
        <v>321</v>
      </c>
      <c r="I1466" s="1" t="s">
        <v>322</v>
      </c>
      <c r="J1466" s="1" t="s">
        <v>46</v>
      </c>
      <c r="K1466" s="1" t="s">
        <v>34</v>
      </c>
      <c r="M1466" s="1" t="s">
        <v>35</v>
      </c>
      <c r="N1466" s="1">
        <v>42318949</v>
      </c>
      <c r="O1466" s="1" t="s">
        <v>105</v>
      </c>
      <c r="P1466" s="11" t="s">
        <v>2583</v>
      </c>
      <c r="R1466" s="1" t="s">
        <v>38</v>
      </c>
      <c r="T1466" s="1" t="s">
        <v>74</v>
      </c>
      <c r="U1466" s="11" t="s">
        <v>2584</v>
      </c>
      <c r="V1466" s="1" t="s">
        <v>41</v>
      </c>
      <c r="W1466" s="1" t="s">
        <v>49</v>
      </c>
      <c r="Z1466" s="14">
        <v>1</v>
      </c>
    </row>
    <row r="1467" spans="1:32" hidden="1">
      <c r="A1467" s="1">
        <v>9455422</v>
      </c>
      <c r="B1467" s="1" t="s">
        <v>1153</v>
      </c>
      <c r="C1467" t="s">
        <v>2585</v>
      </c>
      <c r="E1467" s="2">
        <v>2239000206001</v>
      </c>
      <c r="F1467" s="1" t="s">
        <v>29</v>
      </c>
      <c r="G1467" s="1" t="s">
        <v>53</v>
      </c>
      <c r="H1467" s="1" t="s">
        <v>333</v>
      </c>
      <c r="I1467" s="1" t="s">
        <v>334</v>
      </c>
      <c r="J1467" s="1" t="s">
        <v>261</v>
      </c>
      <c r="K1467" t="s">
        <v>34</v>
      </c>
      <c r="M1467" s="1" t="s">
        <v>35</v>
      </c>
      <c r="N1467" s="1">
        <v>42318949</v>
      </c>
      <c r="O1467" s="1" t="s">
        <v>36</v>
      </c>
      <c r="P1467" s="11" t="s">
        <v>2586</v>
      </c>
      <c r="R1467" s="1" t="s">
        <v>38</v>
      </c>
      <c r="T1467" s="1" t="s">
        <v>74</v>
      </c>
      <c r="U1467" s="11" t="s">
        <v>2587</v>
      </c>
      <c r="V1467" s="1" t="s">
        <v>41</v>
      </c>
      <c r="W1467" s="1" t="s">
        <v>49</v>
      </c>
      <c r="Z1467" s="14">
        <v>1</v>
      </c>
    </row>
    <row r="1468" spans="1:32" hidden="1">
      <c r="A1468" s="1">
        <v>9455160</v>
      </c>
      <c r="B1468" s="1" t="s">
        <v>1153</v>
      </c>
      <c r="C1468" t="s">
        <v>2588</v>
      </c>
      <c r="D1468" s="2">
        <v>20234844000411</v>
      </c>
      <c r="E1468" s="2">
        <v>7417183020623</v>
      </c>
      <c r="F1468" s="1" t="s">
        <v>1313</v>
      </c>
      <c r="G1468" s="1" t="s">
        <v>53</v>
      </c>
      <c r="H1468" s="1" t="s">
        <v>2348</v>
      </c>
      <c r="I1468" s="1" t="s">
        <v>2349</v>
      </c>
      <c r="J1468" s="1" t="s">
        <v>46</v>
      </c>
      <c r="K1468" t="s">
        <v>1316</v>
      </c>
      <c r="M1468" s="1" t="s">
        <v>58</v>
      </c>
      <c r="N1468" s="1">
        <v>0</v>
      </c>
      <c r="O1468" s="1" t="s">
        <v>36</v>
      </c>
      <c r="P1468" s="11" t="s">
        <v>2589</v>
      </c>
      <c r="R1468" s="1">
        <v>13</v>
      </c>
      <c r="T1468" s="1" t="s">
        <v>238</v>
      </c>
      <c r="U1468" s="11" t="s">
        <v>2589</v>
      </c>
      <c r="V1468" s="1" t="s">
        <v>41</v>
      </c>
      <c r="W1468" s="1" t="s">
        <v>49</v>
      </c>
      <c r="Z1468" s="14">
        <v>1</v>
      </c>
    </row>
    <row r="1469" spans="1:32" hidden="1">
      <c r="A1469" s="1">
        <v>9454837</v>
      </c>
      <c r="B1469" s="1" t="s">
        <v>1153</v>
      </c>
      <c r="C1469" t="s">
        <v>2590</v>
      </c>
      <c r="D1469" s="2">
        <v>20230115000011</v>
      </c>
      <c r="E1469" s="2">
        <v>7417202020304</v>
      </c>
      <c r="F1469" s="1" t="s">
        <v>1213</v>
      </c>
      <c r="G1469" s="1" t="s">
        <v>53</v>
      </c>
      <c r="H1469" s="1" t="s">
        <v>2591</v>
      </c>
      <c r="I1469" s="1" t="s">
        <v>2592</v>
      </c>
      <c r="J1469" s="1" t="s">
        <v>56</v>
      </c>
      <c r="K1469" t="s">
        <v>1214</v>
      </c>
      <c r="M1469" s="1" t="s">
        <v>58</v>
      </c>
      <c r="N1469" s="1">
        <v>0</v>
      </c>
      <c r="O1469" s="1" t="s">
        <v>36</v>
      </c>
      <c r="P1469" s="11" t="s">
        <v>2593</v>
      </c>
      <c r="R1469" s="1">
        <v>14</v>
      </c>
      <c r="T1469" s="1" t="s">
        <v>238</v>
      </c>
      <c r="U1469" s="12">
        <v>44965.57172453704</v>
      </c>
      <c r="V1469" s="1" t="s">
        <v>41</v>
      </c>
      <c r="W1469" s="1" t="s">
        <v>49</v>
      </c>
      <c r="Z1469" s="14">
        <v>1</v>
      </c>
    </row>
    <row r="1470" spans="1:32" hidden="1">
      <c r="A1470" s="1">
        <v>9454830</v>
      </c>
      <c r="B1470" s="1" t="s">
        <v>1153</v>
      </c>
      <c r="C1470" t="s">
        <v>2594</v>
      </c>
      <c r="D1470" s="2">
        <v>20230582000008</v>
      </c>
      <c r="E1470" s="2">
        <v>7417183023985</v>
      </c>
      <c r="F1470" s="1" t="s">
        <v>1313</v>
      </c>
      <c r="G1470" s="1" t="s">
        <v>53</v>
      </c>
      <c r="H1470" s="1" t="s">
        <v>2511</v>
      </c>
      <c r="I1470" s="1" t="s">
        <v>2512</v>
      </c>
      <c r="J1470" s="1" t="s">
        <v>141</v>
      </c>
      <c r="K1470" t="s">
        <v>1316</v>
      </c>
      <c r="M1470" s="1" t="s">
        <v>58</v>
      </c>
      <c r="N1470" s="1">
        <v>0</v>
      </c>
      <c r="O1470" s="1" t="s">
        <v>36</v>
      </c>
      <c r="P1470" s="12">
        <v>44965.574340277781</v>
      </c>
      <c r="R1470" s="1">
        <v>14</v>
      </c>
      <c r="T1470" s="1" t="s">
        <v>238</v>
      </c>
      <c r="U1470" s="12">
        <v>44965.574340277781</v>
      </c>
      <c r="V1470" s="1" t="s">
        <v>41</v>
      </c>
      <c r="W1470" s="1" t="s">
        <v>49</v>
      </c>
      <c r="Z1470" s="14">
        <v>1</v>
      </c>
    </row>
    <row r="1471" spans="1:32">
      <c r="A1471" s="181">
        <v>9454801</v>
      </c>
      <c r="B1471" s="181" t="s">
        <v>1153</v>
      </c>
      <c r="C1471" s="182" t="s">
        <v>2595</v>
      </c>
      <c r="D1471" s="183"/>
      <c r="E1471" s="183">
        <v>246000206021</v>
      </c>
      <c r="F1471" s="181" t="s">
        <v>103</v>
      </c>
      <c r="G1471" s="181" t="s">
        <v>53</v>
      </c>
      <c r="H1471" s="181" t="s">
        <v>1193</v>
      </c>
      <c r="I1471" s="181" t="s">
        <v>1194</v>
      </c>
      <c r="J1471" s="181" t="s">
        <v>85</v>
      </c>
      <c r="K1471" t="s">
        <v>104</v>
      </c>
      <c r="M1471" s="1" t="s">
        <v>58</v>
      </c>
      <c r="N1471" s="1">
        <v>0</v>
      </c>
      <c r="O1471" s="1" t="s">
        <v>36</v>
      </c>
      <c r="P1471" s="12">
        <v>44965.576979166668</v>
      </c>
      <c r="R1471" s="1" t="s">
        <v>38</v>
      </c>
      <c r="T1471" s="1" t="s">
        <v>74</v>
      </c>
      <c r="U1471" s="12">
        <v>44979.649305555555</v>
      </c>
      <c r="V1471" s="1" t="s">
        <v>41</v>
      </c>
      <c r="W1471" s="1" t="s">
        <v>49</v>
      </c>
      <c r="X1471" s="13" t="str">
        <f t="shared" ref="X1471" si="210">IF(RIGHT(H1471,2)&lt;&gt;"00",H1471,"")</f>
        <v/>
      </c>
      <c r="Y1471" s="2">
        <f t="shared" ref="Y1471" ca="1" si="211">NETWORKDAYS(P1471,$Y$1)</f>
        <v>16</v>
      </c>
      <c r="Z1471" s="14">
        <v>1</v>
      </c>
      <c r="AA1471" s="1" t="str">
        <f t="shared" ref="AA1471" ca="1" si="212">IF(AE1471=0,"HOJE",IF(AE1471&gt;0,"A VENCER",IF(AE1471&lt;0,"VENCIDO")))</f>
        <v>VENCIDO</v>
      </c>
      <c r="AB1471" s="1" t="str">
        <f t="shared" ref="AB1471" si="213">IF(F1471="GRPE-000001","C-14",IF(F1471="GRPE-000002","C-14",IF(F1471="GRPE-000003","C-14",IF(F1471="GRPE-000004","SL-On",IF(F1471="GRPE-000038","C-14",IF(F1471="GRPE-900022","Dosa",IF(F1471="GRPE-000029","Dosa",IF(F1471="ATOS-000222","Dose","TAAe+"))))))))</f>
        <v>Dosa</v>
      </c>
      <c r="AC1471" s="2" t="str">
        <f t="shared" ref="AC1471" si="214">IF(J1471="TR-PETROLINA"," ROSEMERE ",IF(J1471="TR-GARANHUNS"," ROSEMERE ",IF(J1471="TR-CARUARU"," ROSEMERE ",IF(J1471="TR-RIBEIRAO"," CRISTINA ",IF(J1471="TR-GRAVATA"," CRISTINA ",IF(J1471="TR-GOIANA"," CRISTINA ",IF(J1471="TR-LIMOEIRO"," CRISTINA ",IF(J1471="TR-SERRA TALHADA"," RINALDO ",IF(J1471="TR-SALGUEIRO"," RINALDO ",IF(J1471="TR-CARNAIBA"," RINALDO ",IF(J1471="TR-ARCOVERDE"," RINALDO ",IF(J1471="CAT-RECIFE"," CLEITON ",))))))))))))</f>
        <v xml:space="preserve"> RINALDO </v>
      </c>
      <c r="AD1471" s="2">
        <f t="shared" ref="AD1471" si="215">IF(F1471="GRPE-000001",5,IF(F1471="GRPE-000002",5,IF(F1471="GRPE-000003",15,IF(F1471="GRPE-000004",1,IF(F1471="GRPE-000038",5,IF(F1471="GRPE-900022",5,IF(F1471="GRPE-000029",5,IF(F1471="ATOS-000222",5,8))))))))</f>
        <v>5</v>
      </c>
      <c r="AE1471" s="2">
        <f t="shared" ref="AE1471" ca="1" si="216">IF(U1471=$AE$1,"",U1471-$AE$1)</f>
        <v>-7.0269660879639559</v>
      </c>
      <c r="AF1471" s="15"/>
    </row>
    <row r="1472" spans="1:32" hidden="1">
      <c r="A1472" s="1">
        <v>9454312</v>
      </c>
      <c r="B1472" s="1" t="s">
        <v>1153</v>
      </c>
      <c r="C1472" t="s">
        <v>2596</v>
      </c>
      <c r="E1472" s="2">
        <v>2529000206001</v>
      </c>
      <c r="F1472" s="1" t="s">
        <v>29</v>
      </c>
      <c r="G1472" s="1" t="s">
        <v>53</v>
      </c>
      <c r="H1472" s="1" t="s">
        <v>355</v>
      </c>
      <c r="I1472" s="1" t="s">
        <v>356</v>
      </c>
      <c r="J1472" s="1" t="s">
        <v>56</v>
      </c>
      <c r="K1472" t="s">
        <v>34</v>
      </c>
      <c r="M1472" s="1" t="s">
        <v>35</v>
      </c>
      <c r="N1472" s="1">
        <v>42318949</v>
      </c>
      <c r="O1472" s="1" t="s">
        <v>36</v>
      </c>
      <c r="P1472" s="11" t="s">
        <v>2597</v>
      </c>
      <c r="R1472" s="1" t="s">
        <v>38</v>
      </c>
      <c r="T1472" s="1" t="s">
        <v>74</v>
      </c>
      <c r="U1472" s="11" t="s">
        <v>2081</v>
      </c>
      <c r="V1472" s="1" t="s">
        <v>41</v>
      </c>
      <c r="W1472" s="1" t="s">
        <v>49</v>
      </c>
      <c r="Z1472" s="14">
        <v>1</v>
      </c>
    </row>
    <row r="1473" spans="1:32" hidden="1">
      <c r="A1473" s="1">
        <v>9454026</v>
      </c>
      <c r="B1473" s="1" t="s">
        <v>1153</v>
      </c>
      <c r="C1473" t="s">
        <v>2598</v>
      </c>
      <c r="D1473" s="2">
        <v>20234637000007</v>
      </c>
      <c r="E1473" s="2">
        <v>7417163284105</v>
      </c>
      <c r="F1473" s="1" t="s">
        <v>131</v>
      </c>
      <c r="G1473" s="1" t="s">
        <v>53</v>
      </c>
      <c r="H1473" s="1" t="s">
        <v>2004</v>
      </c>
      <c r="I1473" s="1" t="s">
        <v>2005</v>
      </c>
      <c r="J1473" s="1" t="s">
        <v>79</v>
      </c>
      <c r="K1473" t="s">
        <v>132</v>
      </c>
      <c r="M1473" s="1" t="s">
        <v>58</v>
      </c>
      <c r="N1473" s="1">
        <v>0</v>
      </c>
      <c r="O1473" s="1" t="s">
        <v>105</v>
      </c>
      <c r="P1473" s="11" t="s">
        <v>2599</v>
      </c>
      <c r="R1473" s="1">
        <v>14</v>
      </c>
      <c r="T1473" s="1" t="s">
        <v>238</v>
      </c>
      <c r="U1473" s="11" t="s">
        <v>2599</v>
      </c>
      <c r="V1473" s="1" t="s">
        <v>41</v>
      </c>
      <c r="W1473" s="1" t="s">
        <v>49</v>
      </c>
      <c r="Z1473" s="14">
        <v>1</v>
      </c>
    </row>
    <row r="1474" spans="1:32" hidden="1">
      <c r="A1474" s="1">
        <v>9453994</v>
      </c>
      <c r="B1474" s="1" t="s">
        <v>1153</v>
      </c>
      <c r="C1474" t="s">
        <v>2600</v>
      </c>
      <c r="E1474" s="2">
        <v>159000206001</v>
      </c>
      <c r="F1474" s="1" t="s">
        <v>29</v>
      </c>
      <c r="G1474" s="1" t="s">
        <v>53</v>
      </c>
      <c r="H1474" s="1" t="s">
        <v>331</v>
      </c>
      <c r="I1474" s="1" t="s">
        <v>332</v>
      </c>
      <c r="J1474" s="1" t="s">
        <v>79</v>
      </c>
      <c r="K1474" t="s">
        <v>34</v>
      </c>
      <c r="M1474" s="1" t="s">
        <v>35</v>
      </c>
      <c r="N1474" s="1">
        <v>42318949</v>
      </c>
      <c r="O1474" s="1" t="s">
        <v>36</v>
      </c>
      <c r="P1474" s="11" t="s">
        <v>2601</v>
      </c>
      <c r="R1474" s="1" t="s">
        <v>38</v>
      </c>
      <c r="T1474" s="1" t="s">
        <v>74</v>
      </c>
      <c r="U1474" s="12">
        <v>44972.458333333336</v>
      </c>
      <c r="V1474" s="1" t="s">
        <v>41</v>
      </c>
      <c r="W1474" s="1" t="s">
        <v>49</v>
      </c>
      <c r="Z1474" s="14">
        <v>1</v>
      </c>
    </row>
    <row r="1475" spans="1:32" hidden="1">
      <c r="A1475" s="1">
        <v>9453836</v>
      </c>
      <c r="B1475" s="1" t="s">
        <v>1153</v>
      </c>
      <c r="C1475" t="s">
        <v>2602</v>
      </c>
      <c r="D1475" s="2">
        <v>20231689000007</v>
      </c>
      <c r="E1475" s="2">
        <v>7419151140237</v>
      </c>
      <c r="F1475" s="1" t="s">
        <v>2058</v>
      </c>
      <c r="G1475" s="1" t="s">
        <v>53</v>
      </c>
      <c r="H1475" s="1" t="s">
        <v>2131</v>
      </c>
      <c r="I1475" s="1" t="s">
        <v>2132</v>
      </c>
      <c r="J1475" s="1" t="s">
        <v>79</v>
      </c>
      <c r="K1475" t="s">
        <v>2061</v>
      </c>
      <c r="M1475" s="1" t="s">
        <v>58</v>
      </c>
      <c r="N1475" s="1">
        <v>0</v>
      </c>
      <c r="O1475" s="1" t="s">
        <v>36</v>
      </c>
      <c r="P1475" s="11" t="s">
        <v>2603</v>
      </c>
      <c r="R1475" s="1">
        <v>13</v>
      </c>
      <c r="T1475" s="1" t="s">
        <v>238</v>
      </c>
      <c r="U1475" s="11" t="s">
        <v>2603</v>
      </c>
      <c r="V1475" s="1" t="s">
        <v>41</v>
      </c>
      <c r="W1475" s="1" t="s">
        <v>49</v>
      </c>
      <c r="Z1475" s="14">
        <v>1</v>
      </c>
    </row>
    <row r="1476" spans="1:32" hidden="1">
      <c r="A1476" s="1">
        <v>9453828</v>
      </c>
      <c r="B1476" s="1" t="s">
        <v>1153</v>
      </c>
      <c r="C1476" t="s">
        <v>2604</v>
      </c>
      <c r="D1476" s="2">
        <v>20234844000406</v>
      </c>
      <c r="E1476" s="2">
        <v>7417193052231</v>
      </c>
      <c r="F1476" s="1" t="s">
        <v>1719</v>
      </c>
      <c r="G1476" s="1" t="s">
        <v>53</v>
      </c>
      <c r="H1476" s="1" t="s">
        <v>455</v>
      </c>
      <c r="I1476" s="1" t="s">
        <v>456</v>
      </c>
      <c r="J1476" s="1" t="s">
        <v>46</v>
      </c>
      <c r="K1476" t="s">
        <v>1720</v>
      </c>
      <c r="M1476" s="1" t="s">
        <v>58</v>
      </c>
      <c r="N1476" s="1">
        <v>0</v>
      </c>
      <c r="O1476" s="1" t="s">
        <v>36</v>
      </c>
      <c r="P1476" s="186">
        <v>44965.433032407411</v>
      </c>
      <c r="R1476" s="1">
        <v>22</v>
      </c>
      <c r="T1476" s="1" t="s">
        <v>1160</v>
      </c>
      <c r="U1476" s="186">
        <v>44967.641365740739</v>
      </c>
      <c r="V1476" s="1" t="s">
        <v>41</v>
      </c>
      <c r="W1476" s="1" t="s">
        <v>49</v>
      </c>
      <c r="Z1476" s="14">
        <v>1</v>
      </c>
    </row>
    <row r="1477" spans="1:32" hidden="1">
      <c r="A1477" s="1">
        <v>9453465</v>
      </c>
      <c r="B1477" s="1" t="s">
        <v>1153</v>
      </c>
      <c r="C1477" t="s">
        <v>2605</v>
      </c>
      <c r="D1477" s="2">
        <v>20234844000404</v>
      </c>
      <c r="E1477" s="2">
        <v>7419143321826</v>
      </c>
      <c r="F1477" s="1" t="s">
        <v>1222</v>
      </c>
      <c r="G1477" s="1" t="s">
        <v>53</v>
      </c>
      <c r="H1477" s="1" t="s">
        <v>2606</v>
      </c>
      <c r="I1477" s="1" t="s">
        <v>2607</v>
      </c>
      <c r="J1477" s="1" t="s">
        <v>46</v>
      </c>
      <c r="K1477" t="s">
        <v>1223</v>
      </c>
      <c r="M1477" s="1" t="s">
        <v>58</v>
      </c>
      <c r="N1477" s="1">
        <v>0</v>
      </c>
      <c r="O1477" s="1" t="s">
        <v>105</v>
      </c>
      <c r="P1477" s="11" t="s">
        <v>2608</v>
      </c>
      <c r="R1477" s="1">
        <v>13</v>
      </c>
      <c r="T1477" s="1" t="s">
        <v>238</v>
      </c>
      <c r="U1477" s="11" t="s">
        <v>2609</v>
      </c>
      <c r="V1477" s="1" t="s">
        <v>41</v>
      </c>
      <c r="W1477" s="1" t="s">
        <v>49</v>
      </c>
      <c r="Z1477" s="14">
        <v>1</v>
      </c>
    </row>
    <row r="1478" spans="1:32" hidden="1">
      <c r="A1478" s="1">
        <v>9453395</v>
      </c>
      <c r="B1478" s="1" t="s">
        <v>1153</v>
      </c>
      <c r="C1478" t="s">
        <v>2610</v>
      </c>
      <c r="E1478" s="2">
        <v>1924000203000</v>
      </c>
      <c r="F1478" s="1" t="s">
        <v>454</v>
      </c>
      <c r="G1478" s="1" t="s">
        <v>53</v>
      </c>
      <c r="H1478" s="1" t="s">
        <v>568</v>
      </c>
      <c r="I1478" s="1" t="s">
        <v>569</v>
      </c>
      <c r="J1478" s="1" t="s">
        <v>33</v>
      </c>
      <c r="K1478" t="s">
        <v>457</v>
      </c>
      <c r="M1478" s="1" t="s">
        <v>58</v>
      </c>
      <c r="N1478" s="1">
        <v>0</v>
      </c>
      <c r="O1478" s="1" t="s">
        <v>36</v>
      </c>
      <c r="P1478" s="11" t="s">
        <v>2611</v>
      </c>
      <c r="R1478" s="1" t="s">
        <v>38</v>
      </c>
      <c r="T1478" s="1" t="s">
        <v>157</v>
      </c>
      <c r="U1478" s="11" t="s">
        <v>2612</v>
      </c>
      <c r="V1478" s="1" t="s">
        <v>41</v>
      </c>
      <c r="W1478" s="1" t="s">
        <v>49</v>
      </c>
      <c r="Z1478" s="14">
        <v>1</v>
      </c>
    </row>
    <row r="1479" spans="1:32">
      <c r="A1479" s="1">
        <v>9453394</v>
      </c>
      <c r="B1479" s="1" t="s">
        <v>1153</v>
      </c>
      <c r="C1479" t="s">
        <v>2613</v>
      </c>
      <c r="E1479" s="2">
        <v>2125000206001</v>
      </c>
      <c r="F1479" s="1" t="s">
        <v>29</v>
      </c>
      <c r="G1479" s="1" t="s">
        <v>53</v>
      </c>
      <c r="H1479" s="1" t="s">
        <v>1399</v>
      </c>
      <c r="I1479" s="1" t="s">
        <v>1400</v>
      </c>
      <c r="J1479" s="1" t="s">
        <v>211</v>
      </c>
      <c r="K1479" t="s">
        <v>34</v>
      </c>
      <c r="M1479" s="1" t="s">
        <v>35</v>
      </c>
      <c r="N1479" s="1">
        <v>42318949</v>
      </c>
      <c r="O1479" s="1" t="s">
        <v>36</v>
      </c>
      <c r="P1479" s="11" t="s">
        <v>2614</v>
      </c>
      <c r="R1479" s="1" t="s">
        <v>38</v>
      </c>
      <c r="T1479" s="1" t="s">
        <v>74</v>
      </c>
      <c r="U1479" s="11" t="s">
        <v>2615</v>
      </c>
      <c r="V1479" s="1" t="s">
        <v>41</v>
      </c>
      <c r="W1479" s="1" t="s">
        <v>49</v>
      </c>
      <c r="X1479" s="13" t="str">
        <f t="shared" ref="X1479:X1480" si="217">IF(RIGHT(H1479,2)&lt;&gt;"00",H1479,"")</f>
        <v/>
      </c>
      <c r="Y1479" s="2">
        <f t="shared" ref="Y1479:Y1480" ca="1" si="218">NETWORKDAYS(P1479,$Y$1)</f>
        <v>16</v>
      </c>
      <c r="Z1479" s="14">
        <v>1</v>
      </c>
      <c r="AA1479" s="1" t="str">
        <f t="shared" ref="AA1479:AA1480" ca="1" si="219">IF(AE1479=0,"HOJE",IF(AE1479&gt;0,"A VENCER",IF(AE1479&lt;0,"VENCIDO")))</f>
        <v>VENCIDO</v>
      </c>
      <c r="AB1479" s="1" t="str">
        <f t="shared" ref="AB1479:AB1480" si="220">IF(F1479="GRPE-000001","C-14",IF(F1479="GRPE-000002","C-14",IF(F1479="GRPE-000003","C-14",IF(F1479="GRPE-000004","SL-On",IF(F1479="GRPE-000038","C-14",IF(F1479="GRPE-900022","Dosa",IF(F1479="GRPE-000029","Dosa",IF(F1479="ATOS-000222","Dose","TAAe+"))))))))</f>
        <v>Dosa</v>
      </c>
      <c r="AC1479" s="2" t="str">
        <f t="shared" ref="AC1479:AC1480" si="221">IF(J1479="TR-PETROLINA"," ROSEMERE ",IF(J1479="TR-GARANHUNS"," ROSEMERE ",IF(J1479="TR-CARUARU"," ROSEMERE ",IF(J1479="TR-RIBEIRAO"," CRISTINA ",IF(J1479="TR-GRAVATA"," CRISTINA ",IF(J1479="TR-GOIANA"," CRISTINA ",IF(J1479="TR-LIMOEIRO"," CRISTINA ",IF(J1479="TR-SERRA TALHADA"," RINALDO ",IF(J1479="TR-SALGUEIRO"," RINALDO ",IF(J1479="TR-CARNAIBA"," RINALDO ",IF(J1479="TR-ARCOVERDE"," RINALDO ",IF(J1479="CAT-RECIFE"," CLEITON ",))))))))))))</f>
        <v xml:space="preserve"> RINALDO </v>
      </c>
      <c r="AD1479" s="2">
        <f t="shared" ref="AD1479:AD1480" si="222">IF(F1479="GRPE-000001",5,IF(F1479="GRPE-000002",5,IF(F1479="GRPE-000003",15,IF(F1479="GRPE-000004",1,IF(F1479="GRPE-000038",5,IF(F1479="GRPE-900022",5,IF(F1479="GRPE-000029",5,IF(F1479="ATOS-000222",5,8))))))))</f>
        <v>5</v>
      </c>
      <c r="AE1479" s="2">
        <f t="shared" ref="AE1479:AE1480" ca="1" si="223">IF(U1479=$AE$1,"",U1479-$AE$1)</f>
        <v>-7.0686327546281973</v>
      </c>
      <c r="AF1479" s="15"/>
    </row>
    <row r="1480" spans="1:32">
      <c r="A1480" s="181">
        <v>9453353</v>
      </c>
      <c r="B1480" s="181" t="s">
        <v>1153</v>
      </c>
      <c r="C1480" s="182" t="s">
        <v>2616</v>
      </c>
      <c r="D1480" s="183"/>
      <c r="E1480" s="183">
        <v>246000206001</v>
      </c>
      <c r="F1480" s="181" t="s">
        <v>29</v>
      </c>
      <c r="G1480" s="181" t="s">
        <v>53</v>
      </c>
      <c r="H1480" s="181" t="s">
        <v>1193</v>
      </c>
      <c r="I1480" s="181" t="s">
        <v>1194</v>
      </c>
      <c r="J1480" s="181" t="s">
        <v>85</v>
      </c>
      <c r="K1480" t="s">
        <v>34</v>
      </c>
      <c r="M1480" s="1" t="s">
        <v>35</v>
      </c>
      <c r="N1480" s="1">
        <v>42318949</v>
      </c>
      <c r="O1480" s="1" t="s">
        <v>36</v>
      </c>
      <c r="P1480" s="11" t="s">
        <v>2617</v>
      </c>
      <c r="R1480" s="1" t="s">
        <v>38</v>
      </c>
      <c r="T1480" s="1" t="s">
        <v>74</v>
      </c>
      <c r="U1480" s="11" t="s">
        <v>1959</v>
      </c>
      <c r="V1480" s="1" t="s">
        <v>41</v>
      </c>
      <c r="W1480" s="1" t="s">
        <v>49</v>
      </c>
      <c r="X1480" s="13" t="str">
        <f t="shared" si="217"/>
        <v/>
      </c>
      <c r="Y1480" s="2">
        <f t="shared" ca="1" si="218"/>
        <v>16</v>
      </c>
      <c r="Z1480" s="14">
        <v>1</v>
      </c>
      <c r="AA1480" s="1" t="str">
        <f t="shared" ca="1" si="219"/>
        <v>VENCIDO</v>
      </c>
      <c r="AB1480" s="1" t="str">
        <f t="shared" si="220"/>
        <v>Dosa</v>
      </c>
      <c r="AC1480" s="2" t="str">
        <f t="shared" si="221"/>
        <v xml:space="preserve"> RINALDO </v>
      </c>
      <c r="AD1480" s="2">
        <f t="shared" si="222"/>
        <v>5</v>
      </c>
      <c r="AE1480" s="2">
        <f t="shared" ca="1" si="223"/>
        <v>-6.9262716435187031</v>
      </c>
      <c r="AF1480" s="15"/>
    </row>
    <row r="1481" spans="1:32" hidden="1">
      <c r="A1481" s="1">
        <v>9453331</v>
      </c>
      <c r="B1481" s="1" t="s">
        <v>1153</v>
      </c>
      <c r="C1481" t="s">
        <v>2618</v>
      </c>
      <c r="D1481" s="2">
        <v>230025699</v>
      </c>
      <c r="E1481" s="2">
        <v>1185001400010</v>
      </c>
      <c r="F1481" s="1" t="s">
        <v>936</v>
      </c>
      <c r="G1481" s="1" t="s">
        <v>53</v>
      </c>
      <c r="H1481" s="1" t="s">
        <v>539</v>
      </c>
      <c r="I1481" s="1" t="s">
        <v>540</v>
      </c>
      <c r="J1481" s="1" t="s">
        <v>33</v>
      </c>
      <c r="K1481" t="s">
        <v>937</v>
      </c>
      <c r="M1481" s="1" t="s">
        <v>58</v>
      </c>
      <c r="N1481" s="1">
        <v>0</v>
      </c>
      <c r="O1481" s="1" t="s">
        <v>36</v>
      </c>
      <c r="P1481" s="186">
        <v>44965.385046296295</v>
      </c>
      <c r="R1481" s="1">
        <v>3</v>
      </c>
      <c r="T1481" s="1" t="s">
        <v>646</v>
      </c>
      <c r="U1481" s="186">
        <v>44979.4375</v>
      </c>
      <c r="V1481" s="1" t="s">
        <v>41</v>
      </c>
      <c r="W1481" s="1" t="s">
        <v>42</v>
      </c>
      <c r="Z1481" s="14">
        <v>1</v>
      </c>
    </row>
    <row r="1482" spans="1:32" hidden="1">
      <c r="A1482" s="1">
        <v>9453118</v>
      </c>
      <c r="B1482" s="1" t="s">
        <v>1153</v>
      </c>
      <c r="C1482" t="s">
        <v>2619</v>
      </c>
      <c r="E1482" s="2">
        <v>1689000206001</v>
      </c>
      <c r="F1482" s="1" t="s">
        <v>29</v>
      </c>
      <c r="G1482" s="1" t="s">
        <v>53</v>
      </c>
      <c r="H1482" s="1" t="s">
        <v>2117</v>
      </c>
      <c r="I1482" s="1" t="s">
        <v>2118</v>
      </c>
      <c r="J1482" s="1" t="s">
        <v>79</v>
      </c>
      <c r="K1482" t="s">
        <v>34</v>
      </c>
      <c r="M1482" s="1" t="s">
        <v>35</v>
      </c>
      <c r="N1482" s="1">
        <v>42318949</v>
      </c>
      <c r="O1482" s="1" t="s">
        <v>36</v>
      </c>
      <c r="P1482" s="186">
        <v>44965.344780092593</v>
      </c>
      <c r="R1482" s="1" t="s">
        <v>38</v>
      </c>
      <c r="T1482" s="1" t="s">
        <v>74</v>
      </c>
      <c r="U1482" s="186">
        <v>44972.458333333336</v>
      </c>
      <c r="V1482" s="1" t="s">
        <v>41</v>
      </c>
      <c r="W1482" s="1" t="s">
        <v>49</v>
      </c>
      <c r="Z1482" s="14">
        <v>1</v>
      </c>
    </row>
    <row r="1483" spans="1:32" hidden="1">
      <c r="A1483" s="1">
        <v>9453117</v>
      </c>
      <c r="B1483" s="1" t="s">
        <v>1153</v>
      </c>
      <c r="C1483" t="s">
        <v>2620</v>
      </c>
      <c r="E1483" s="2">
        <v>3924000206001</v>
      </c>
      <c r="F1483" s="1" t="s">
        <v>29</v>
      </c>
      <c r="G1483" s="1" t="s">
        <v>53</v>
      </c>
      <c r="H1483" s="1" t="s">
        <v>153</v>
      </c>
      <c r="I1483" s="1" t="s">
        <v>154</v>
      </c>
      <c r="J1483" s="1" t="s">
        <v>56</v>
      </c>
      <c r="K1483" t="s">
        <v>34</v>
      </c>
      <c r="M1483" s="1" t="s">
        <v>35</v>
      </c>
      <c r="N1483" s="1">
        <v>42318949</v>
      </c>
      <c r="O1483" s="1" t="s">
        <v>36</v>
      </c>
      <c r="P1483" s="11" t="s">
        <v>2621</v>
      </c>
      <c r="R1483" s="1" t="s">
        <v>38</v>
      </c>
      <c r="T1483" s="1" t="s">
        <v>74</v>
      </c>
      <c r="U1483" s="11" t="s">
        <v>2516</v>
      </c>
      <c r="V1483" s="1" t="s">
        <v>41</v>
      </c>
      <c r="W1483" s="1" t="s">
        <v>49</v>
      </c>
      <c r="Z1483" s="14">
        <v>1</v>
      </c>
    </row>
    <row r="1484" spans="1:32">
      <c r="A1484" s="181">
        <v>9460910</v>
      </c>
      <c r="B1484" s="181" t="s">
        <v>1153</v>
      </c>
      <c r="C1484" s="182" t="s">
        <v>2622</v>
      </c>
      <c r="D1484" s="183">
        <v>20230068000017</v>
      </c>
      <c r="E1484" s="183">
        <v>7419141893515</v>
      </c>
      <c r="F1484" s="181" t="s">
        <v>128</v>
      </c>
      <c r="G1484" s="181" t="s">
        <v>53</v>
      </c>
      <c r="H1484" s="181" t="s">
        <v>2623</v>
      </c>
      <c r="I1484" s="181" t="s">
        <v>2624</v>
      </c>
      <c r="J1484" s="181" t="s">
        <v>211</v>
      </c>
      <c r="K1484" t="s">
        <v>129</v>
      </c>
      <c r="M1484" s="1" t="s">
        <v>58</v>
      </c>
      <c r="N1484" s="1">
        <v>0</v>
      </c>
      <c r="O1484" s="1" t="s">
        <v>36</v>
      </c>
      <c r="P1484" s="11" t="s">
        <v>2625</v>
      </c>
      <c r="R1484" s="1">
        <v>14</v>
      </c>
      <c r="T1484" s="1" t="s">
        <v>238</v>
      </c>
      <c r="U1484" s="12">
        <v>44967.395833333336</v>
      </c>
      <c r="V1484" s="1" t="s">
        <v>41</v>
      </c>
      <c r="W1484" s="1" t="s">
        <v>49</v>
      </c>
      <c r="X1484" s="13" t="str">
        <f t="shared" ref="X1484" si="224">IF(RIGHT(H1484,2)&lt;&gt;"00",H1484,"")</f>
        <v>0068.91</v>
      </c>
      <c r="Y1484" s="2">
        <f t="shared" ref="Y1484" ca="1" si="225">NETWORKDAYS(P1484,$Y$1)</f>
        <v>15</v>
      </c>
      <c r="Z1484" s="14">
        <v>1</v>
      </c>
      <c r="AA1484" s="1" t="str">
        <f t="shared" ref="AA1484" ca="1" si="226">IF(AE1484=0,"HOJE",IF(AE1484&gt;0,"A VENCER",IF(AE1484&lt;0,"VENCIDO")))</f>
        <v>VENCIDO</v>
      </c>
      <c r="AB1484" s="1" t="str">
        <f t="shared" ref="AB1484" si="227">IF(F1484="GRPE-000001","C-14",IF(F1484="GRPE-000002","C-14",IF(F1484="GRPE-000003","C-14",IF(F1484="GRPE-000004","SL-On",IF(F1484="GRPE-000038","C-14",IF(F1484="GRPE-900022","Dosa",IF(F1484="GRPE-000029","Dosa",IF(F1484="ATOS-000222","Dose","TAAe+"))))))))</f>
        <v>TAAe+</v>
      </c>
      <c r="AC1484" s="2" t="str">
        <f t="shared" ref="AC1484" si="228">IF(J1484="TR-PETROLINA"," ROSEMERE ",IF(J1484="TR-GARANHUNS"," ROSEMERE ",IF(J1484="TR-CARUARU"," ROSEMERE ",IF(J1484="TR-RIBEIRAO"," CRISTINA ",IF(J1484="TR-GRAVATA"," CRISTINA ",IF(J1484="TR-GOIANA"," CRISTINA ",IF(J1484="TR-LIMOEIRO"," CRISTINA ",IF(J1484="TR-SERRA TALHADA"," RINALDO ",IF(J1484="TR-SALGUEIRO"," RINALDO ",IF(J1484="TR-CARNAIBA"," RINALDO ",IF(J1484="TR-ARCOVERDE"," RINALDO ",IF(J1484="CAT-RECIFE"," CLEITON ",))))))))))))</f>
        <v xml:space="preserve"> RINALDO </v>
      </c>
      <c r="AD1484" s="2">
        <f t="shared" ref="AD1484" si="229">IF(F1484="GRPE-000001",5,IF(F1484="GRPE-000002",5,IF(F1484="GRPE-000003",15,IF(F1484="GRPE-000004",1,IF(F1484="GRPE-000038",5,IF(F1484="GRPE-900022",5,IF(F1484="GRPE-000029",5,IF(F1484="ATOS-000222",5,8))))))))</f>
        <v>8</v>
      </c>
      <c r="AE1484" s="2">
        <f t="shared" ref="AE1484" ca="1" si="230">IF(U1484=$AE$1,"",U1484-$AE$1)</f>
        <v>-19.280438310182944</v>
      </c>
      <c r="AF1484" s="15"/>
    </row>
    <row r="1485" spans="1:32" hidden="1">
      <c r="A1485" s="1">
        <v>9460688</v>
      </c>
      <c r="B1485" s="1" t="s">
        <v>1153</v>
      </c>
      <c r="C1485" t="s">
        <v>2626</v>
      </c>
      <c r="D1485" s="2">
        <v>20238489000001</v>
      </c>
      <c r="E1485" s="2">
        <v>7417172314983</v>
      </c>
      <c r="F1485" s="1" t="s">
        <v>1155</v>
      </c>
      <c r="G1485" s="1" t="s">
        <v>53</v>
      </c>
      <c r="H1485" s="1" t="s">
        <v>2627</v>
      </c>
      <c r="I1485" s="1" t="s">
        <v>2628</v>
      </c>
      <c r="J1485" s="1" t="s">
        <v>33</v>
      </c>
      <c r="K1485" t="s">
        <v>1158</v>
      </c>
      <c r="M1485" s="1" t="s">
        <v>58</v>
      </c>
      <c r="N1485" s="1">
        <v>0</v>
      </c>
      <c r="O1485" s="1" t="s">
        <v>105</v>
      </c>
      <c r="P1485" s="11" t="s">
        <v>2629</v>
      </c>
      <c r="R1485" s="1">
        <v>22</v>
      </c>
      <c r="T1485" s="1" t="s">
        <v>1160</v>
      </c>
      <c r="U1485" s="11" t="s">
        <v>2630</v>
      </c>
      <c r="V1485" s="1" t="s">
        <v>41</v>
      </c>
      <c r="W1485" s="1" t="s">
        <v>49</v>
      </c>
      <c r="Z1485" s="14">
        <v>1</v>
      </c>
    </row>
    <row r="1486" spans="1:32" hidden="1">
      <c r="A1486" s="1">
        <v>9460686</v>
      </c>
      <c r="B1486" s="1" t="s">
        <v>1153</v>
      </c>
      <c r="C1486" t="s">
        <v>2631</v>
      </c>
      <c r="D1486" s="2">
        <v>20234844000425</v>
      </c>
      <c r="E1486" s="2">
        <v>7417163285132</v>
      </c>
      <c r="F1486" s="1" t="s">
        <v>131</v>
      </c>
      <c r="G1486" s="1" t="s">
        <v>53</v>
      </c>
      <c r="H1486" s="1" t="s">
        <v>2632</v>
      </c>
      <c r="I1486" s="1" t="s">
        <v>2633</v>
      </c>
      <c r="J1486" s="1" t="s">
        <v>46</v>
      </c>
      <c r="K1486" t="s">
        <v>132</v>
      </c>
      <c r="M1486" s="1" t="s">
        <v>58</v>
      </c>
      <c r="N1486" s="1">
        <v>0</v>
      </c>
      <c r="O1486" s="1" t="s">
        <v>105</v>
      </c>
      <c r="P1486" s="11" t="s">
        <v>2634</v>
      </c>
      <c r="R1486" s="1">
        <v>13</v>
      </c>
      <c r="T1486" s="1" t="s">
        <v>238</v>
      </c>
      <c r="U1486" s="12">
        <v>44967.395833333336</v>
      </c>
      <c r="V1486" s="1" t="s">
        <v>41</v>
      </c>
      <c r="W1486" s="1" t="s">
        <v>49</v>
      </c>
      <c r="Z1486" s="14">
        <v>1</v>
      </c>
    </row>
    <row r="1487" spans="1:32" hidden="1">
      <c r="A1487" s="1">
        <v>9460685</v>
      </c>
      <c r="B1487" s="1" t="s">
        <v>1153</v>
      </c>
      <c r="C1487" t="s">
        <v>2635</v>
      </c>
      <c r="D1487" s="2">
        <v>20234844000424</v>
      </c>
      <c r="E1487" s="2">
        <v>7417163285131</v>
      </c>
      <c r="F1487" s="1" t="s">
        <v>131</v>
      </c>
      <c r="G1487" s="1" t="s">
        <v>53</v>
      </c>
      <c r="H1487" s="1" t="s">
        <v>2632</v>
      </c>
      <c r="I1487" s="1" t="s">
        <v>2633</v>
      </c>
      <c r="J1487" s="1" t="s">
        <v>46</v>
      </c>
      <c r="K1487" t="s">
        <v>132</v>
      </c>
      <c r="M1487" s="1" t="s">
        <v>58</v>
      </c>
      <c r="N1487" s="1">
        <v>0</v>
      </c>
      <c r="O1487" s="1" t="s">
        <v>105</v>
      </c>
      <c r="P1487" s="11" t="s">
        <v>2636</v>
      </c>
      <c r="R1487" s="1">
        <v>13</v>
      </c>
      <c r="T1487" s="1" t="s">
        <v>238</v>
      </c>
      <c r="U1487" s="11" t="s">
        <v>2637</v>
      </c>
      <c r="V1487" s="1" t="s">
        <v>41</v>
      </c>
      <c r="W1487" s="1" t="s">
        <v>49</v>
      </c>
      <c r="Z1487" s="14">
        <v>1</v>
      </c>
    </row>
    <row r="1488" spans="1:32">
      <c r="A1488" s="181">
        <v>9460624</v>
      </c>
      <c r="B1488" s="181" t="s">
        <v>1153</v>
      </c>
      <c r="C1488" s="182" t="s">
        <v>2638</v>
      </c>
      <c r="D1488" s="183"/>
      <c r="E1488" s="183">
        <v>246000206021</v>
      </c>
      <c r="F1488" s="181" t="s">
        <v>103</v>
      </c>
      <c r="G1488" s="181" t="s">
        <v>53</v>
      </c>
      <c r="H1488" s="181" t="s">
        <v>1193</v>
      </c>
      <c r="I1488" s="181" t="s">
        <v>1194</v>
      </c>
      <c r="J1488" s="181" t="s">
        <v>85</v>
      </c>
      <c r="K1488" t="s">
        <v>104</v>
      </c>
      <c r="M1488" s="1" t="s">
        <v>58</v>
      </c>
      <c r="N1488" s="1">
        <v>0</v>
      </c>
      <c r="O1488" s="1" t="s">
        <v>36</v>
      </c>
      <c r="P1488" s="11" t="s">
        <v>2639</v>
      </c>
      <c r="R1488" s="1" t="s">
        <v>38</v>
      </c>
      <c r="T1488" s="1" t="s">
        <v>74</v>
      </c>
      <c r="U1488" s="11" t="s">
        <v>2042</v>
      </c>
      <c r="V1488" s="1" t="s">
        <v>41</v>
      </c>
      <c r="W1488" s="1" t="s">
        <v>49</v>
      </c>
      <c r="X1488" s="13" t="str">
        <f t="shared" ref="X1488:X1489" si="231">IF(RIGHT(H1488,2)&lt;&gt;"00",H1488,"")</f>
        <v/>
      </c>
      <c r="Y1488" s="2">
        <f t="shared" ref="Y1488:Y1489" ca="1" si="232">NETWORKDAYS(P1488,$Y$1)</f>
        <v>15</v>
      </c>
      <c r="Z1488" s="14">
        <v>1</v>
      </c>
      <c r="AA1488" s="1" t="str">
        <f t="shared" ref="AA1488:AA1489" ca="1" si="233">IF(AE1488=0,"HOJE",IF(AE1488&gt;0,"A VENCER",IF(AE1488&lt;0,"VENCIDO")))</f>
        <v>VENCIDO</v>
      </c>
      <c r="AB1488" s="1" t="str">
        <f t="shared" ref="AB1488:AB1489" si="234">IF(F1488="GRPE-000001","C-14",IF(F1488="GRPE-000002","C-14",IF(F1488="GRPE-000003","C-14",IF(F1488="GRPE-000004","SL-On",IF(F1488="GRPE-000038","C-14",IF(F1488="GRPE-900022","Dosa",IF(F1488="GRPE-000029","Dosa",IF(F1488="ATOS-000222","Dose","TAAe+"))))))))</f>
        <v>Dosa</v>
      </c>
      <c r="AC1488" s="2" t="str">
        <f t="shared" ref="AC1488:AC1489" si="235">IF(J1488="TR-PETROLINA"," ROSEMERE ",IF(J1488="TR-GARANHUNS"," ROSEMERE ",IF(J1488="TR-CARUARU"," ROSEMERE ",IF(J1488="TR-RIBEIRAO"," CRISTINA ",IF(J1488="TR-GRAVATA"," CRISTINA ",IF(J1488="TR-GOIANA"," CRISTINA ",IF(J1488="TR-LIMOEIRO"," CRISTINA ",IF(J1488="TR-SERRA TALHADA"," RINALDO ",IF(J1488="TR-SALGUEIRO"," RINALDO ",IF(J1488="TR-CARNAIBA"," RINALDO ",IF(J1488="TR-ARCOVERDE"," RINALDO ",IF(J1488="CAT-RECIFE"," CLEITON ",))))))))))))</f>
        <v xml:space="preserve"> RINALDO </v>
      </c>
      <c r="AD1488" s="2">
        <f t="shared" ref="AD1488:AD1489" si="236">IF(F1488="GRPE-000001",5,IF(F1488="GRPE-000002",5,IF(F1488="GRPE-000003",15,IF(F1488="GRPE-000004",1,IF(F1488="GRPE-000038",5,IF(F1488="GRPE-900022",5,IF(F1488="GRPE-000029",5,IF(F1488="ATOS-000222",5,8))))))))</f>
        <v>5</v>
      </c>
      <c r="AE1488" s="2">
        <f t="shared" ref="AE1488:AE1489" ca="1" si="237">IF(U1488=$AE$1,"",U1488-$AE$1)</f>
        <v>-13.026966087963956</v>
      </c>
      <c r="AF1488" s="15"/>
    </row>
    <row r="1489" spans="1:32">
      <c r="A1489" s="1">
        <v>9460566</v>
      </c>
      <c r="B1489" s="1" t="s">
        <v>1153</v>
      </c>
      <c r="C1489" t="s">
        <v>2640</v>
      </c>
      <c r="E1489" s="2">
        <v>2156000206001</v>
      </c>
      <c r="F1489" s="1" t="s">
        <v>29</v>
      </c>
      <c r="G1489" s="1" t="s">
        <v>53</v>
      </c>
      <c r="H1489" s="1" t="s">
        <v>278</v>
      </c>
      <c r="I1489" s="1" t="s">
        <v>279</v>
      </c>
      <c r="J1489" s="1" t="s">
        <v>211</v>
      </c>
      <c r="K1489" t="s">
        <v>34</v>
      </c>
      <c r="M1489" s="1" t="s">
        <v>35</v>
      </c>
      <c r="N1489" s="1">
        <v>42318949</v>
      </c>
      <c r="O1489" s="1" t="s">
        <v>36</v>
      </c>
      <c r="P1489" s="11" t="s">
        <v>2641</v>
      </c>
      <c r="R1489" s="1" t="s">
        <v>38</v>
      </c>
      <c r="T1489" s="1" t="s">
        <v>74</v>
      </c>
      <c r="U1489" s="11" t="s">
        <v>2018</v>
      </c>
      <c r="V1489" s="1" t="s">
        <v>41</v>
      </c>
      <c r="W1489" s="1" t="s">
        <v>49</v>
      </c>
      <c r="X1489" s="13" t="str">
        <f t="shared" si="231"/>
        <v/>
      </c>
      <c r="Y1489" s="2">
        <f t="shared" ca="1" si="232"/>
        <v>15</v>
      </c>
      <c r="Z1489" s="14">
        <v>1</v>
      </c>
      <c r="AA1489" s="1" t="str">
        <f t="shared" ca="1" si="233"/>
        <v>VENCIDO</v>
      </c>
      <c r="AB1489" s="1" t="str">
        <f t="shared" si="234"/>
        <v>Dosa</v>
      </c>
      <c r="AC1489" s="2" t="str">
        <f t="shared" si="235"/>
        <v xml:space="preserve"> RINALDO </v>
      </c>
      <c r="AD1489" s="2">
        <f t="shared" si="236"/>
        <v>5</v>
      </c>
      <c r="AE1489" s="2">
        <f t="shared" ca="1" si="237"/>
        <v>-13.068632754628197</v>
      </c>
      <c r="AF1489" s="15"/>
    </row>
    <row r="1490" spans="1:32" hidden="1">
      <c r="A1490" s="1">
        <v>9460442</v>
      </c>
      <c r="B1490" s="1" t="s">
        <v>1153</v>
      </c>
      <c r="C1490" t="s">
        <v>2642</v>
      </c>
      <c r="D1490" s="2">
        <v>20232335000004</v>
      </c>
      <c r="E1490" s="2">
        <v>7419141892794</v>
      </c>
      <c r="F1490" s="1" t="s">
        <v>128</v>
      </c>
      <c r="G1490" s="1" t="s">
        <v>53</v>
      </c>
      <c r="H1490" s="1" t="s">
        <v>2643</v>
      </c>
      <c r="I1490" s="1" t="s">
        <v>2644</v>
      </c>
      <c r="J1490" s="1" t="s">
        <v>110</v>
      </c>
      <c r="K1490" t="s">
        <v>129</v>
      </c>
      <c r="M1490" s="1" t="s">
        <v>58</v>
      </c>
      <c r="N1490" s="1">
        <v>0</v>
      </c>
      <c r="O1490" s="1" t="s">
        <v>36</v>
      </c>
      <c r="P1490" s="12">
        <v>44966.686898148146</v>
      </c>
      <c r="R1490" s="1">
        <v>14</v>
      </c>
      <c r="T1490" s="1" t="s">
        <v>238</v>
      </c>
      <c r="U1490" s="12">
        <v>44966.686898148146</v>
      </c>
      <c r="V1490" s="1" t="s">
        <v>41</v>
      </c>
      <c r="W1490" s="1" t="s">
        <v>49</v>
      </c>
      <c r="Z1490" s="14">
        <v>1</v>
      </c>
    </row>
    <row r="1491" spans="1:32" hidden="1">
      <c r="A1491" s="1">
        <v>9460378</v>
      </c>
      <c r="B1491" s="1" t="s">
        <v>1153</v>
      </c>
      <c r="C1491" t="s">
        <v>2645</v>
      </c>
      <c r="D1491" s="2">
        <v>20234923000061</v>
      </c>
      <c r="E1491" s="2">
        <v>7417183020097</v>
      </c>
      <c r="F1491" s="1" t="s">
        <v>1313</v>
      </c>
      <c r="G1491" s="1" t="s">
        <v>53</v>
      </c>
      <c r="H1491" s="1" t="s">
        <v>1966</v>
      </c>
      <c r="I1491" s="1" t="s">
        <v>1967</v>
      </c>
      <c r="J1491" s="1" t="s">
        <v>46</v>
      </c>
      <c r="K1491" t="s">
        <v>1316</v>
      </c>
      <c r="M1491" s="1" t="s">
        <v>58</v>
      </c>
      <c r="N1491" s="1">
        <v>0</v>
      </c>
      <c r="O1491" s="1" t="s">
        <v>36</v>
      </c>
      <c r="P1491" s="12">
        <v>44966.677245370367</v>
      </c>
      <c r="R1491" s="1">
        <v>13</v>
      </c>
      <c r="T1491" s="1" t="s">
        <v>238</v>
      </c>
      <c r="U1491" s="12">
        <v>44966.677245370367</v>
      </c>
      <c r="V1491" s="1" t="s">
        <v>41</v>
      </c>
      <c r="W1491" s="1" t="s">
        <v>49</v>
      </c>
      <c r="Z1491" s="14">
        <v>1</v>
      </c>
    </row>
    <row r="1492" spans="1:32" hidden="1">
      <c r="A1492" s="1">
        <v>9460375</v>
      </c>
      <c r="B1492" s="1" t="s">
        <v>1153</v>
      </c>
      <c r="C1492" t="s">
        <v>2646</v>
      </c>
      <c r="D1492" s="2">
        <v>20232369000005</v>
      </c>
      <c r="E1492" s="2">
        <v>9600123331814</v>
      </c>
      <c r="F1492" s="2" t="s">
        <v>1997</v>
      </c>
      <c r="G1492" s="1" t="s">
        <v>53</v>
      </c>
      <c r="H1492" s="1" t="s">
        <v>701</v>
      </c>
      <c r="I1492" s="1" t="s">
        <v>702</v>
      </c>
      <c r="J1492" s="1" t="s">
        <v>141</v>
      </c>
      <c r="K1492" s="1" t="s">
        <v>2000</v>
      </c>
      <c r="M1492" s="1" t="s">
        <v>58</v>
      </c>
      <c r="N1492" s="1">
        <v>0</v>
      </c>
      <c r="O1492" s="1" t="s">
        <v>36</v>
      </c>
      <c r="P1492" s="11" t="s">
        <v>2647</v>
      </c>
      <c r="R1492" s="1">
        <v>21</v>
      </c>
      <c r="T1492" s="1" t="s">
        <v>1160</v>
      </c>
      <c r="U1492" s="11" t="s">
        <v>2648</v>
      </c>
      <c r="V1492" s="1" t="s">
        <v>41</v>
      </c>
      <c r="W1492" s="1" t="s">
        <v>49</v>
      </c>
      <c r="Z1492" s="14">
        <v>1</v>
      </c>
    </row>
    <row r="1493" spans="1:32" hidden="1">
      <c r="A1493" s="1">
        <v>9460265</v>
      </c>
      <c r="B1493" s="1" t="s">
        <v>1153</v>
      </c>
      <c r="C1493" t="s">
        <v>2649</v>
      </c>
      <c r="E1493" s="2">
        <v>1666000206001</v>
      </c>
      <c r="F1493" s="1" t="s">
        <v>29</v>
      </c>
      <c r="G1493" s="1" t="s">
        <v>53</v>
      </c>
      <c r="H1493" s="1" t="s">
        <v>414</v>
      </c>
      <c r="I1493" s="1" t="s">
        <v>415</v>
      </c>
      <c r="J1493" s="1" t="s">
        <v>79</v>
      </c>
      <c r="K1493" t="s">
        <v>34</v>
      </c>
      <c r="M1493" s="1" t="s">
        <v>35</v>
      </c>
      <c r="N1493" s="1">
        <v>42318949</v>
      </c>
      <c r="O1493" s="1" t="s">
        <v>36</v>
      </c>
      <c r="P1493" s="11" t="s">
        <v>2650</v>
      </c>
      <c r="R1493" s="1" t="s">
        <v>38</v>
      </c>
      <c r="T1493" s="1" t="s">
        <v>74</v>
      </c>
      <c r="U1493" s="11" t="s">
        <v>2455</v>
      </c>
      <c r="V1493" s="1" t="s">
        <v>41</v>
      </c>
      <c r="W1493" s="1" t="s">
        <v>49</v>
      </c>
      <c r="Z1493" s="14">
        <v>1</v>
      </c>
    </row>
    <row r="1494" spans="1:32" hidden="1">
      <c r="A1494" s="1">
        <v>9460188</v>
      </c>
      <c r="B1494" s="1" t="s">
        <v>81</v>
      </c>
      <c r="C1494" t="s">
        <v>2651</v>
      </c>
      <c r="E1494" s="2">
        <v>1902016136000</v>
      </c>
      <c r="F1494" s="1" t="s">
        <v>64</v>
      </c>
      <c r="G1494" s="1" t="s">
        <v>53</v>
      </c>
      <c r="H1494" s="1" t="s">
        <v>303</v>
      </c>
      <c r="I1494" s="1" t="s">
        <v>304</v>
      </c>
      <c r="J1494" s="1" t="s">
        <v>261</v>
      </c>
      <c r="K1494" t="s">
        <v>67</v>
      </c>
      <c r="M1494" s="1" t="s">
        <v>35</v>
      </c>
      <c r="N1494" s="1">
        <v>42318949</v>
      </c>
      <c r="O1494" s="1" t="s">
        <v>105</v>
      </c>
      <c r="P1494" s="11" t="s">
        <v>2652</v>
      </c>
      <c r="R1494" s="1" t="s">
        <v>571</v>
      </c>
      <c r="T1494" s="1" t="s">
        <v>69</v>
      </c>
      <c r="U1494" s="11" t="s">
        <v>2653</v>
      </c>
      <c r="V1494" s="1" t="s">
        <v>41</v>
      </c>
      <c r="W1494" s="1" t="s">
        <v>49</v>
      </c>
      <c r="Z1494" s="14">
        <v>1</v>
      </c>
    </row>
    <row r="1495" spans="1:32" hidden="1">
      <c r="A1495" s="1">
        <v>9460151</v>
      </c>
      <c r="B1495" s="1" t="s">
        <v>1153</v>
      </c>
      <c r="C1495" t="s">
        <v>2654</v>
      </c>
      <c r="D1495" s="2">
        <v>20234844000423</v>
      </c>
      <c r="E1495" s="2">
        <v>7417163284187</v>
      </c>
      <c r="F1495" s="1" t="s">
        <v>131</v>
      </c>
      <c r="G1495" s="1" t="s">
        <v>53</v>
      </c>
      <c r="H1495" s="1" t="s">
        <v>2655</v>
      </c>
      <c r="I1495" s="1" t="s">
        <v>2656</v>
      </c>
      <c r="J1495" s="1" t="s">
        <v>46</v>
      </c>
      <c r="K1495" t="s">
        <v>132</v>
      </c>
      <c r="M1495" s="1" t="s">
        <v>58</v>
      </c>
      <c r="N1495" s="1">
        <v>0</v>
      </c>
      <c r="O1495" s="1" t="s">
        <v>36</v>
      </c>
      <c r="P1495" s="11" t="s">
        <v>2657</v>
      </c>
      <c r="R1495" s="1">
        <v>13</v>
      </c>
      <c r="T1495" s="1" t="s">
        <v>238</v>
      </c>
      <c r="U1495" s="11" t="s">
        <v>2657</v>
      </c>
      <c r="V1495" s="1" t="s">
        <v>41</v>
      </c>
      <c r="W1495" s="1" t="s">
        <v>49</v>
      </c>
      <c r="Z1495" s="14">
        <v>1</v>
      </c>
    </row>
    <row r="1496" spans="1:32" hidden="1">
      <c r="A1496" s="1">
        <v>9460038</v>
      </c>
      <c r="B1496" s="1" t="s">
        <v>62</v>
      </c>
      <c r="C1496" t="s">
        <v>2658</v>
      </c>
      <c r="E1496" s="2">
        <v>5749000203000</v>
      </c>
      <c r="F1496" s="1" t="s">
        <v>454</v>
      </c>
      <c r="G1496" s="1" t="s">
        <v>53</v>
      </c>
      <c r="H1496" s="1" t="s">
        <v>1811</v>
      </c>
      <c r="I1496" s="1" t="s">
        <v>1812</v>
      </c>
      <c r="J1496" s="1" t="s">
        <v>33</v>
      </c>
      <c r="K1496" t="s">
        <v>457</v>
      </c>
      <c r="M1496" s="1" t="s">
        <v>58</v>
      </c>
      <c r="N1496" s="1">
        <v>0</v>
      </c>
      <c r="O1496" s="1" t="s">
        <v>36</v>
      </c>
      <c r="P1496" s="11" t="s">
        <v>2659</v>
      </c>
      <c r="R1496" s="1">
        <v>1</v>
      </c>
      <c r="T1496" s="1" t="s">
        <v>157</v>
      </c>
      <c r="U1496" s="11" t="s">
        <v>2660</v>
      </c>
      <c r="V1496" s="1" t="s">
        <v>41</v>
      </c>
      <c r="W1496" s="1" t="s">
        <v>42</v>
      </c>
      <c r="Z1496" s="14">
        <v>1</v>
      </c>
    </row>
    <row r="1497" spans="1:32" hidden="1">
      <c r="A1497" s="1">
        <v>9460006</v>
      </c>
      <c r="B1497" s="1" t="s">
        <v>226</v>
      </c>
      <c r="C1497" s="1" t="s">
        <v>2661</v>
      </c>
      <c r="D1497" s="2">
        <v>20232693000007</v>
      </c>
      <c r="E1497" s="2">
        <v>7417163050344</v>
      </c>
      <c r="F1497" s="18" t="s">
        <v>1741</v>
      </c>
      <c r="G1497" s="1" t="s">
        <v>53</v>
      </c>
      <c r="H1497" s="1" t="s">
        <v>2064</v>
      </c>
      <c r="I1497" s="1" t="s">
        <v>2065</v>
      </c>
      <c r="J1497" s="1" t="s">
        <v>56</v>
      </c>
      <c r="K1497" t="s">
        <v>1744</v>
      </c>
      <c r="M1497" s="1" t="s">
        <v>58</v>
      </c>
      <c r="N1497" s="1">
        <v>0</v>
      </c>
      <c r="O1497" s="1" t="s">
        <v>36</v>
      </c>
      <c r="P1497" s="12">
        <v>44966.630312499998</v>
      </c>
      <c r="R1497" s="1">
        <v>14</v>
      </c>
      <c r="T1497" s="1" t="s">
        <v>238</v>
      </c>
      <c r="U1497" s="12">
        <v>44971.630312499998</v>
      </c>
      <c r="V1497" s="1" t="s">
        <v>41</v>
      </c>
      <c r="W1497" s="1" t="s">
        <v>49</v>
      </c>
      <c r="Z1497" s="14">
        <v>1</v>
      </c>
    </row>
    <row r="1498" spans="1:32" hidden="1">
      <c r="A1498" s="1">
        <v>9459814</v>
      </c>
      <c r="B1498" s="1" t="s">
        <v>1153</v>
      </c>
      <c r="C1498" t="s">
        <v>2662</v>
      </c>
      <c r="D1498" s="2">
        <v>20234844000422</v>
      </c>
      <c r="E1498" s="2">
        <v>7419143321849</v>
      </c>
      <c r="F1498" s="1" t="s">
        <v>1222</v>
      </c>
      <c r="G1498" s="1" t="s">
        <v>53</v>
      </c>
      <c r="H1498" s="1" t="s">
        <v>2663</v>
      </c>
      <c r="I1498" s="1" t="s">
        <v>2664</v>
      </c>
      <c r="J1498" s="1" t="s">
        <v>46</v>
      </c>
      <c r="K1498" t="s">
        <v>1223</v>
      </c>
      <c r="M1498" s="1" t="s">
        <v>58</v>
      </c>
      <c r="N1498" s="1">
        <v>0</v>
      </c>
      <c r="O1498" s="1" t="s">
        <v>36</v>
      </c>
      <c r="P1498" s="11" t="s">
        <v>2665</v>
      </c>
      <c r="R1498" s="1">
        <v>13</v>
      </c>
      <c r="T1498" s="1" t="s">
        <v>238</v>
      </c>
      <c r="U1498" s="11" t="s">
        <v>2665</v>
      </c>
      <c r="V1498" s="1" t="s">
        <v>41</v>
      </c>
      <c r="W1498" s="1" t="s">
        <v>49</v>
      </c>
      <c r="Z1498" s="14">
        <v>1</v>
      </c>
    </row>
    <row r="1499" spans="1:32" hidden="1">
      <c r="A1499" s="1">
        <v>9459750</v>
      </c>
      <c r="B1499" s="1" t="s">
        <v>1153</v>
      </c>
      <c r="C1499" t="s">
        <v>2666</v>
      </c>
      <c r="D1499" s="2">
        <v>230027043</v>
      </c>
      <c r="E1499" s="2">
        <v>2442001400020</v>
      </c>
      <c r="F1499" s="1" t="s">
        <v>1961</v>
      </c>
      <c r="G1499" s="1" t="s">
        <v>53</v>
      </c>
      <c r="H1499" s="1" t="s">
        <v>1956</v>
      </c>
      <c r="I1499" s="1" t="s">
        <v>1957</v>
      </c>
      <c r="J1499" s="1" t="s">
        <v>33</v>
      </c>
      <c r="K1499" t="s">
        <v>1962</v>
      </c>
      <c r="M1499" s="1" t="s">
        <v>58</v>
      </c>
      <c r="N1499" s="1">
        <v>0</v>
      </c>
      <c r="O1499" s="1" t="s">
        <v>36</v>
      </c>
      <c r="P1499" s="11" t="s">
        <v>2667</v>
      </c>
      <c r="R1499" s="1">
        <v>4</v>
      </c>
      <c r="T1499" s="1" t="s">
        <v>646</v>
      </c>
      <c r="U1499" s="11" t="s">
        <v>2081</v>
      </c>
      <c r="V1499" s="1" t="s">
        <v>41</v>
      </c>
      <c r="W1499" s="1" t="s">
        <v>42</v>
      </c>
      <c r="Z1499" s="14">
        <v>1</v>
      </c>
    </row>
    <row r="1500" spans="1:32" hidden="1">
      <c r="A1500" s="1">
        <v>9459631</v>
      </c>
      <c r="B1500" s="1" t="s">
        <v>1153</v>
      </c>
      <c r="C1500" t="s">
        <v>2668</v>
      </c>
      <c r="D1500" s="2">
        <v>20230922000025</v>
      </c>
      <c r="E1500" s="2">
        <v>7417163282959</v>
      </c>
      <c r="F1500" s="1" t="s">
        <v>131</v>
      </c>
      <c r="G1500" s="1" t="s">
        <v>53</v>
      </c>
      <c r="H1500" s="1" t="s">
        <v>2410</v>
      </c>
      <c r="I1500" s="1" t="s">
        <v>2411</v>
      </c>
      <c r="J1500" s="1" t="s">
        <v>261</v>
      </c>
      <c r="K1500" t="s">
        <v>132</v>
      </c>
      <c r="M1500" s="1" t="s">
        <v>58</v>
      </c>
      <c r="N1500" s="1">
        <v>0</v>
      </c>
      <c r="O1500" s="1" t="s">
        <v>36</v>
      </c>
      <c r="P1500" s="11" t="s">
        <v>2669</v>
      </c>
      <c r="R1500" s="1">
        <v>14</v>
      </c>
      <c r="T1500" s="1" t="s">
        <v>238</v>
      </c>
      <c r="U1500" s="11" t="s">
        <v>2669</v>
      </c>
      <c r="V1500" s="1" t="s">
        <v>41</v>
      </c>
      <c r="W1500" s="1" t="s">
        <v>49</v>
      </c>
      <c r="Z1500" s="14">
        <v>1</v>
      </c>
    </row>
    <row r="1501" spans="1:32">
      <c r="A1501" s="1">
        <v>9459559</v>
      </c>
      <c r="B1501" s="1" t="s">
        <v>1153</v>
      </c>
      <c r="C1501" t="s">
        <v>2670</v>
      </c>
      <c r="D1501" s="2">
        <v>20231059000014</v>
      </c>
      <c r="E1501" s="2">
        <v>7419141893204</v>
      </c>
      <c r="F1501" s="1" t="s">
        <v>128</v>
      </c>
      <c r="G1501" s="1" t="s">
        <v>53</v>
      </c>
      <c r="H1501" s="1" t="s">
        <v>1972</v>
      </c>
      <c r="I1501" s="1" t="s">
        <v>1973</v>
      </c>
      <c r="J1501" s="1" t="s">
        <v>90</v>
      </c>
      <c r="K1501" t="s">
        <v>129</v>
      </c>
      <c r="M1501" s="1" t="s">
        <v>58</v>
      </c>
      <c r="N1501" s="1">
        <v>0</v>
      </c>
      <c r="O1501" s="1" t="s">
        <v>36</v>
      </c>
      <c r="P1501" s="11" t="s">
        <v>2671</v>
      </c>
      <c r="R1501" s="1">
        <v>14</v>
      </c>
      <c r="T1501" s="1" t="s">
        <v>238</v>
      </c>
      <c r="U1501" s="11" t="s">
        <v>2671</v>
      </c>
      <c r="V1501" s="1" t="s">
        <v>41</v>
      </c>
      <c r="W1501" s="1" t="s">
        <v>49</v>
      </c>
      <c r="X1501" s="13" t="str">
        <f t="shared" ref="X1501" si="238">IF(RIGHT(H1501,2)&lt;&gt;"00",H1501,"")</f>
        <v>1059.91</v>
      </c>
      <c r="Y1501" s="2">
        <f t="shared" ref="Y1501" ca="1" si="239">NETWORKDAYS(P1501,$Y$1)</f>
        <v>15</v>
      </c>
      <c r="Z1501" s="14">
        <v>1</v>
      </c>
      <c r="AA1501" s="1" t="str">
        <f t="shared" ref="AA1501" ca="1" si="240">IF(AE1501=0,"HOJE",IF(AE1501&gt;0,"A VENCER",IF(AE1501&lt;0,"VENCIDO")))</f>
        <v>VENCIDO</v>
      </c>
      <c r="AB1501" s="1" t="str">
        <f t="shared" ref="AB1501" si="241">IF(F1501="GRPE-000001","C-14",IF(F1501="GRPE-000002","C-14",IF(F1501="GRPE-000003","C-14",IF(F1501="GRPE-000004","SL-On",IF(F1501="GRPE-000038","C-14",IF(F1501="GRPE-900022","Dosa",IF(F1501="GRPE-000029","Dosa",IF(F1501="ATOS-000222","Dose","TAAe+"))))))))</f>
        <v>TAAe+</v>
      </c>
      <c r="AC1501" s="2" t="str">
        <f t="shared" ref="AC1501" si="242">IF(J1501="TR-PETROLINA"," ROSEMERE ",IF(J1501="TR-GARANHUNS"," ROSEMERE ",IF(J1501="TR-CARUARU"," ROSEMERE ",IF(J1501="TR-RIBEIRAO"," CRISTINA ",IF(J1501="TR-GRAVATA"," CRISTINA ",IF(J1501="TR-GOIANA"," CRISTINA ",IF(J1501="TR-LIMOEIRO"," CRISTINA ",IF(J1501="TR-SERRA TALHADA"," RINALDO ",IF(J1501="TR-SALGUEIRO"," RINALDO ",IF(J1501="TR-CARNAIBA"," RINALDO ",IF(J1501="TR-ARCOVERDE"," RINALDO ",IF(J1501="CAT-RECIFE"," CLEITON ",))))))))))))</f>
        <v xml:space="preserve"> RINALDO </v>
      </c>
      <c r="AD1501" s="2">
        <f t="shared" ref="AD1501" si="243">IF(F1501="GRPE-000001",5,IF(F1501="GRPE-000002",5,IF(F1501="GRPE-000003",15,IF(F1501="GRPE-000004",1,IF(F1501="GRPE-000038",5,IF(F1501="GRPE-900022",5,IF(F1501="GRPE-000029",5,IF(F1501="ATOS-000222",5,8))))))))</f>
        <v>8</v>
      </c>
      <c r="AE1501" s="2">
        <f t="shared" ref="AE1501" ca="1" si="244">IF(U1501=$AE$1,"",U1501-$AE$1)</f>
        <v>-20.122683680558112</v>
      </c>
      <c r="AF1501" s="15"/>
    </row>
    <row r="1502" spans="1:32" hidden="1">
      <c r="A1502" s="1">
        <v>9459206</v>
      </c>
      <c r="B1502" s="187" t="s">
        <v>1153</v>
      </c>
      <c r="C1502" t="s">
        <v>2672</v>
      </c>
      <c r="E1502" s="2">
        <v>1185000206001</v>
      </c>
      <c r="F1502" s="1" t="s">
        <v>29</v>
      </c>
      <c r="G1502" s="1" t="s">
        <v>53</v>
      </c>
      <c r="H1502" s="1" t="s">
        <v>539</v>
      </c>
      <c r="I1502" s="1" t="s">
        <v>540</v>
      </c>
      <c r="J1502" s="1" t="s">
        <v>33</v>
      </c>
      <c r="K1502" t="s">
        <v>34</v>
      </c>
      <c r="M1502" s="1" t="s">
        <v>35</v>
      </c>
      <c r="N1502" s="1">
        <v>42318949</v>
      </c>
      <c r="O1502" s="1" t="s">
        <v>36</v>
      </c>
      <c r="P1502" s="186">
        <v>44966.510740740741</v>
      </c>
      <c r="R1502" s="1" t="s">
        <v>38</v>
      </c>
      <c r="T1502" s="1" t="s">
        <v>74</v>
      </c>
      <c r="U1502" s="188">
        <v>44972.458333333336</v>
      </c>
      <c r="V1502" s="1" t="s">
        <v>41</v>
      </c>
      <c r="W1502" s="1" t="s">
        <v>42</v>
      </c>
      <c r="Z1502" s="14">
        <v>1</v>
      </c>
    </row>
    <row r="1503" spans="1:32" hidden="1">
      <c r="A1503" s="1">
        <v>9459203</v>
      </c>
      <c r="B1503" s="189" t="s">
        <v>1153</v>
      </c>
      <c r="C1503" t="s">
        <v>2673</v>
      </c>
      <c r="D1503" s="2">
        <v>230026788</v>
      </c>
      <c r="E1503" s="2">
        <v>2830001400020</v>
      </c>
      <c r="F1503" s="1" t="s">
        <v>1961</v>
      </c>
      <c r="G1503" s="1" t="s">
        <v>53</v>
      </c>
      <c r="H1503" s="1" t="s">
        <v>448</v>
      </c>
      <c r="I1503" s="1" t="s">
        <v>449</v>
      </c>
      <c r="J1503" s="1" t="s">
        <v>33</v>
      </c>
      <c r="K1503" t="s">
        <v>1962</v>
      </c>
      <c r="M1503" s="1" t="s">
        <v>58</v>
      </c>
      <c r="N1503" s="1">
        <v>0</v>
      </c>
      <c r="O1503" s="1" t="s">
        <v>36</v>
      </c>
      <c r="P1503" s="186">
        <v>44966.509722222225</v>
      </c>
      <c r="R1503" s="1">
        <v>4</v>
      </c>
      <c r="T1503" s="1" t="s">
        <v>646</v>
      </c>
      <c r="U1503" s="188">
        <v>44972.479166666664</v>
      </c>
      <c r="V1503" s="1" t="s">
        <v>41</v>
      </c>
      <c r="W1503" s="1" t="s">
        <v>42</v>
      </c>
      <c r="Z1503" s="14">
        <v>1</v>
      </c>
    </row>
    <row r="1504" spans="1:32" hidden="1">
      <c r="A1504" s="1">
        <v>9459149</v>
      </c>
      <c r="B1504" s="189" t="s">
        <v>1153</v>
      </c>
      <c r="C1504" t="s">
        <v>2674</v>
      </c>
      <c r="E1504" s="2">
        <v>1052000203000</v>
      </c>
      <c r="F1504" s="190" t="s">
        <v>454</v>
      </c>
      <c r="G1504" s="1" t="s">
        <v>53</v>
      </c>
      <c r="H1504" s="1" t="s">
        <v>329</v>
      </c>
      <c r="I1504" s="1" t="s">
        <v>330</v>
      </c>
      <c r="J1504" s="1" t="s">
        <v>79</v>
      </c>
      <c r="K1504" t="s">
        <v>457</v>
      </c>
      <c r="M1504" s="1" t="s">
        <v>58</v>
      </c>
      <c r="N1504" s="1">
        <v>0</v>
      </c>
      <c r="O1504" s="1" t="s">
        <v>36</v>
      </c>
      <c r="P1504" s="186">
        <v>44966.500844907408</v>
      </c>
      <c r="R1504" s="1">
        <v>1</v>
      </c>
      <c r="T1504" s="1" t="s">
        <v>157</v>
      </c>
      <c r="U1504" s="186">
        <v>44967.500844907408</v>
      </c>
      <c r="V1504" s="1" t="s">
        <v>41</v>
      </c>
      <c r="W1504" s="1" t="s">
        <v>49</v>
      </c>
      <c r="Z1504" s="14">
        <v>1</v>
      </c>
    </row>
    <row r="1505" spans="1:32">
      <c r="A1505" s="1">
        <v>9459066</v>
      </c>
      <c r="B1505" s="189" t="s">
        <v>1153</v>
      </c>
      <c r="C1505" t="s">
        <v>2675</v>
      </c>
      <c r="E1505" s="2">
        <v>2437000206001</v>
      </c>
      <c r="F1505" s="1" t="s">
        <v>29</v>
      </c>
      <c r="G1505" s="1" t="s">
        <v>53</v>
      </c>
      <c r="H1505" s="1" t="s">
        <v>416</v>
      </c>
      <c r="I1505" s="1" t="s">
        <v>417</v>
      </c>
      <c r="J1505" s="1" t="s">
        <v>211</v>
      </c>
      <c r="K1505" t="s">
        <v>34</v>
      </c>
      <c r="M1505" s="1" t="s">
        <v>35</v>
      </c>
      <c r="N1505" s="1">
        <v>42318949</v>
      </c>
      <c r="O1505" s="1" t="s">
        <v>36</v>
      </c>
      <c r="P1505" s="186">
        <v>44966.490358796298</v>
      </c>
      <c r="R1505" s="1" t="s">
        <v>38</v>
      </c>
      <c r="T1505" s="1" t="s">
        <v>74</v>
      </c>
      <c r="U1505" s="186">
        <v>44972.607638888891</v>
      </c>
      <c r="V1505" s="1" t="s">
        <v>41</v>
      </c>
      <c r="W1505" s="1" t="s">
        <v>49</v>
      </c>
      <c r="X1505" s="13" t="str">
        <f t="shared" ref="X1505" si="245">IF(RIGHT(H1505,2)&lt;&gt;"00",H1505,"")</f>
        <v/>
      </c>
      <c r="Y1505" s="2">
        <f t="shared" ref="Y1505" ca="1" si="246">NETWORKDAYS(P1505,$Y$1)</f>
        <v>15</v>
      </c>
      <c r="Z1505" s="14">
        <v>1</v>
      </c>
      <c r="AA1505" s="1" t="str">
        <f t="shared" ref="AA1505" ca="1" si="247">IF(AE1505=0,"HOJE",IF(AE1505&gt;0,"A VENCER",IF(AE1505&lt;0,"VENCIDO")))</f>
        <v>VENCIDO</v>
      </c>
      <c r="AB1505" s="1" t="str">
        <f t="shared" ref="AB1505" si="248">IF(F1505="GRPE-000001","C-14",IF(F1505="GRPE-000002","C-14",IF(F1505="GRPE-000003","C-14",IF(F1505="GRPE-000004","SL-On",IF(F1505="GRPE-000038","C-14",IF(F1505="GRPE-900022","Dosa",IF(F1505="GRPE-000029","Dosa",IF(F1505="ATOS-000222","Dose","TAAe+"))))))))</f>
        <v>Dosa</v>
      </c>
      <c r="AC1505" s="2" t="str">
        <f t="shared" ref="AC1505" si="249">IF(J1505="TR-PETROLINA"," ROSEMERE ",IF(J1505="TR-GARANHUNS"," ROSEMERE ",IF(J1505="TR-CARUARU"," ROSEMERE ",IF(J1505="TR-RIBEIRAO"," CRISTINA ",IF(J1505="TR-GRAVATA"," CRISTINA ",IF(J1505="TR-GOIANA"," CRISTINA ",IF(J1505="TR-LIMOEIRO"," CRISTINA ",IF(J1505="TR-SERRA TALHADA"," RINALDO ",IF(J1505="TR-SALGUEIRO"," RINALDO ",IF(J1505="TR-CARNAIBA"," RINALDO ",IF(J1505="TR-ARCOVERDE"," RINALDO ",IF(J1505="CAT-RECIFE"," CLEITON ",))))))))))))</f>
        <v xml:space="preserve"> RINALDO </v>
      </c>
      <c r="AD1505" s="2">
        <f t="shared" ref="AD1505" si="250">IF(F1505="GRPE-000001",5,IF(F1505="GRPE-000002",5,IF(F1505="GRPE-000003",15,IF(F1505="GRPE-000004",1,IF(F1505="GRPE-000038",5,IF(F1505="GRPE-900022",5,IF(F1505="GRPE-000029",5,IF(F1505="ATOS-000222",5,8))))))))</f>
        <v>5</v>
      </c>
      <c r="AE1505" s="2">
        <f t="shared" ref="AE1505" ca="1" si="251">IF(U1505=$AE$1,"",U1505-$AE$1)</f>
        <v>-14.068632754628197</v>
      </c>
      <c r="AF1505" s="15"/>
    </row>
    <row r="1506" spans="1:32" hidden="1">
      <c r="A1506" s="1">
        <v>9459041</v>
      </c>
      <c r="B1506" s="1" t="s">
        <v>1153</v>
      </c>
      <c r="C1506" t="s">
        <v>2676</v>
      </c>
      <c r="D1506" s="2">
        <v>230026759</v>
      </c>
      <c r="E1506" s="2">
        <v>2196001400010</v>
      </c>
      <c r="F1506" s="1" t="s">
        <v>936</v>
      </c>
      <c r="G1506" s="1" t="s">
        <v>53</v>
      </c>
      <c r="H1506" s="1" t="s">
        <v>1252</v>
      </c>
      <c r="I1506" s="1" t="s">
        <v>1253</v>
      </c>
      <c r="J1506" s="1" t="s">
        <v>33</v>
      </c>
      <c r="K1506" t="s">
        <v>937</v>
      </c>
      <c r="M1506" s="1" t="s">
        <v>58</v>
      </c>
      <c r="N1506" s="1">
        <v>0</v>
      </c>
      <c r="O1506" s="1" t="s">
        <v>36</v>
      </c>
      <c r="P1506" s="186">
        <v>44966.486967592595</v>
      </c>
      <c r="R1506" s="1">
        <v>3</v>
      </c>
      <c r="T1506" s="1" t="s">
        <v>646</v>
      </c>
      <c r="U1506" s="186">
        <v>44972.479166666664</v>
      </c>
      <c r="V1506" s="1" t="s">
        <v>41</v>
      </c>
      <c r="W1506" s="1" t="s">
        <v>42</v>
      </c>
      <c r="Z1506" s="14">
        <v>1</v>
      </c>
    </row>
    <row r="1507" spans="1:32" hidden="1">
      <c r="A1507" s="1">
        <v>9458822</v>
      </c>
      <c r="B1507" s="189" t="s">
        <v>1153</v>
      </c>
      <c r="C1507" t="s">
        <v>2677</v>
      </c>
      <c r="E1507" s="2">
        <v>2811000203000</v>
      </c>
      <c r="F1507" s="1" t="s">
        <v>454</v>
      </c>
      <c r="G1507" s="1" t="s">
        <v>53</v>
      </c>
      <c r="H1507" s="1" t="s">
        <v>44</v>
      </c>
      <c r="I1507" s="1" t="s">
        <v>45</v>
      </c>
      <c r="J1507" s="1" t="s">
        <v>46</v>
      </c>
      <c r="K1507" t="s">
        <v>457</v>
      </c>
      <c r="M1507" s="1" t="s">
        <v>58</v>
      </c>
      <c r="N1507" s="1">
        <v>0</v>
      </c>
      <c r="O1507" s="1" t="s">
        <v>36</v>
      </c>
      <c r="P1507" s="186">
        <v>44966.45925925926</v>
      </c>
      <c r="R1507" s="1">
        <v>1</v>
      </c>
      <c r="T1507" s="1" t="s">
        <v>157</v>
      </c>
      <c r="U1507" s="186">
        <v>44967.45925925926</v>
      </c>
      <c r="V1507" s="1" t="s">
        <v>41</v>
      </c>
      <c r="W1507" s="1" t="s">
        <v>49</v>
      </c>
      <c r="Z1507" s="14">
        <v>1</v>
      </c>
    </row>
    <row r="1508" spans="1:32" hidden="1">
      <c r="A1508" s="1">
        <v>9458763</v>
      </c>
      <c r="B1508" s="189" t="s">
        <v>1153</v>
      </c>
      <c r="C1508" t="s">
        <v>2678</v>
      </c>
      <c r="D1508" s="2">
        <v>20231666000011</v>
      </c>
      <c r="E1508" s="2">
        <v>7417202020768</v>
      </c>
      <c r="F1508" s="1" t="s">
        <v>1213</v>
      </c>
      <c r="G1508" s="1" t="s">
        <v>53</v>
      </c>
      <c r="H1508" s="1" t="s">
        <v>2679</v>
      </c>
      <c r="I1508" s="1" t="s">
        <v>2680</v>
      </c>
      <c r="J1508" s="1" t="s">
        <v>79</v>
      </c>
      <c r="K1508" t="s">
        <v>1214</v>
      </c>
      <c r="M1508" s="1" t="s">
        <v>58</v>
      </c>
      <c r="N1508" s="1">
        <v>0</v>
      </c>
      <c r="O1508" s="1" t="s">
        <v>36</v>
      </c>
      <c r="P1508" s="186">
        <v>44966.439247685186</v>
      </c>
      <c r="R1508" s="1">
        <v>14</v>
      </c>
      <c r="T1508" s="1" t="s">
        <v>238</v>
      </c>
      <c r="U1508" s="186">
        <v>44966.439247685186</v>
      </c>
      <c r="V1508" s="1" t="s">
        <v>41</v>
      </c>
      <c r="W1508" s="1" t="s">
        <v>49</v>
      </c>
      <c r="Z1508" s="14">
        <v>1</v>
      </c>
    </row>
    <row r="1509" spans="1:32" hidden="1">
      <c r="A1509" s="1">
        <v>9458690</v>
      </c>
      <c r="B1509" s="189" t="s">
        <v>1153</v>
      </c>
      <c r="C1509" t="s">
        <v>2681</v>
      </c>
      <c r="D1509" s="2">
        <v>20234923000060</v>
      </c>
      <c r="E1509" s="2">
        <v>7417202020393</v>
      </c>
      <c r="F1509" s="1" t="s">
        <v>1213</v>
      </c>
      <c r="G1509" s="1" t="s">
        <v>53</v>
      </c>
      <c r="H1509" s="1" t="s">
        <v>2682</v>
      </c>
      <c r="I1509" s="1" t="s">
        <v>2683</v>
      </c>
      <c r="J1509" s="1" t="s">
        <v>46</v>
      </c>
      <c r="K1509" t="s">
        <v>1214</v>
      </c>
      <c r="M1509" s="1" t="s">
        <v>58</v>
      </c>
      <c r="N1509" s="1">
        <v>0</v>
      </c>
      <c r="O1509" s="1" t="s">
        <v>36</v>
      </c>
      <c r="P1509" s="186">
        <v>44966.432384259257</v>
      </c>
      <c r="R1509" s="1">
        <v>13</v>
      </c>
      <c r="T1509" s="1" t="s">
        <v>238</v>
      </c>
      <c r="U1509" s="186">
        <v>44966.432384259257</v>
      </c>
      <c r="V1509" s="1" t="s">
        <v>41</v>
      </c>
      <c r="W1509" s="1" t="s">
        <v>49</v>
      </c>
      <c r="Z1509" s="14">
        <v>1</v>
      </c>
    </row>
    <row r="1510" spans="1:32" hidden="1">
      <c r="A1510" s="1">
        <v>9458689</v>
      </c>
      <c r="B1510" s="189" t="s">
        <v>1153</v>
      </c>
      <c r="C1510" t="s">
        <v>2684</v>
      </c>
      <c r="D1510" s="2">
        <v>20234923000059</v>
      </c>
      <c r="E1510" s="2">
        <v>7417183022494</v>
      </c>
      <c r="F1510" s="1" t="s">
        <v>1313</v>
      </c>
      <c r="G1510" s="1" t="s">
        <v>53</v>
      </c>
      <c r="H1510" s="1" t="s">
        <v>2685</v>
      </c>
      <c r="I1510" s="1" t="s">
        <v>2686</v>
      </c>
      <c r="J1510" s="1" t="s">
        <v>46</v>
      </c>
      <c r="K1510" t="s">
        <v>1316</v>
      </c>
      <c r="M1510" s="1" t="s">
        <v>58</v>
      </c>
      <c r="N1510" s="1">
        <v>0</v>
      </c>
      <c r="O1510" s="1" t="s">
        <v>36</v>
      </c>
      <c r="P1510" s="186">
        <v>44966.432372685187</v>
      </c>
      <c r="R1510" s="1">
        <v>14</v>
      </c>
      <c r="T1510" s="1" t="s">
        <v>238</v>
      </c>
      <c r="U1510" s="186">
        <v>44966.432372685187</v>
      </c>
      <c r="V1510" s="1" t="s">
        <v>41</v>
      </c>
      <c r="W1510" s="1" t="s">
        <v>49</v>
      </c>
      <c r="Z1510" s="14">
        <v>1</v>
      </c>
    </row>
    <row r="1511" spans="1:32" hidden="1">
      <c r="A1511" s="1">
        <v>9458629</v>
      </c>
      <c r="B1511" s="1" t="s">
        <v>1153</v>
      </c>
      <c r="C1511" t="s">
        <v>2687</v>
      </c>
      <c r="E1511" s="2">
        <v>2326000206001</v>
      </c>
      <c r="F1511" s="1" t="s">
        <v>29</v>
      </c>
      <c r="G1511" s="1" t="s">
        <v>53</v>
      </c>
      <c r="H1511" s="1" t="s">
        <v>191</v>
      </c>
      <c r="I1511" s="1" t="s">
        <v>192</v>
      </c>
      <c r="J1511" s="1" t="s">
        <v>46</v>
      </c>
      <c r="K1511" t="s">
        <v>34</v>
      </c>
      <c r="M1511" s="1" t="s">
        <v>35</v>
      </c>
      <c r="N1511" s="1">
        <v>42318949</v>
      </c>
      <c r="O1511" s="1" t="s">
        <v>36</v>
      </c>
      <c r="P1511" s="11" t="s">
        <v>2688</v>
      </c>
      <c r="R1511" s="1" t="s">
        <v>38</v>
      </c>
      <c r="T1511" s="1" t="s">
        <v>74</v>
      </c>
      <c r="U1511" s="11" t="s">
        <v>2516</v>
      </c>
      <c r="V1511" s="1" t="s">
        <v>41</v>
      </c>
      <c r="W1511" s="1" t="s">
        <v>49</v>
      </c>
      <c r="Z1511" s="14">
        <v>1</v>
      </c>
    </row>
    <row r="1512" spans="1:32" hidden="1">
      <c r="A1512" s="1">
        <v>9458608</v>
      </c>
      <c r="B1512" s="1" t="s">
        <v>1153</v>
      </c>
      <c r="C1512" t="s">
        <v>2689</v>
      </c>
      <c r="D1512" s="2">
        <v>20234844000418</v>
      </c>
      <c r="E1512" s="2">
        <v>7417183020621</v>
      </c>
      <c r="F1512" s="1" t="s">
        <v>1313</v>
      </c>
      <c r="G1512" s="1" t="s">
        <v>53</v>
      </c>
      <c r="H1512" s="1" t="s">
        <v>2690</v>
      </c>
      <c r="I1512" s="1" t="s">
        <v>2691</v>
      </c>
      <c r="J1512" s="1" t="s">
        <v>46</v>
      </c>
      <c r="K1512" t="s">
        <v>1316</v>
      </c>
      <c r="M1512" s="1" t="s">
        <v>58</v>
      </c>
      <c r="N1512" s="1">
        <v>0</v>
      </c>
      <c r="O1512" s="1" t="s">
        <v>36</v>
      </c>
      <c r="P1512" s="11" t="s">
        <v>2692</v>
      </c>
      <c r="R1512" s="1">
        <v>13</v>
      </c>
      <c r="T1512" s="1" t="s">
        <v>238</v>
      </c>
      <c r="U1512" s="11" t="s">
        <v>2692</v>
      </c>
      <c r="V1512" s="1" t="s">
        <v>41</v>
      </c>
      <c r="W1512" s="1" t="s">
        <v>49</v>
      </c>
      <c r="Z1512" s="14">
        <v>1</v>
      </c>
    </row>
    <row r="1513" spans="1:32" hidden="1">
      <c r="A1513" s="1">
        <v>9458399</v>
      </c>
      <c r="B1513" s="1" t="s">
        <v>1153</v>
      </c>
      <c r="C1513" t="s">
        <v>2693</v>
      </c>
      <c r="D1513" s="2">
        <v>20232388000002</v>
      </c>
      <c r="E1513" s="2">
        <v>7417172782988</v>
      </c>
      <c r="F1513" s="1" t="s">
        <v>1989</v>
      </c>
      <c r="G1513" s="1" t="s">
        <v>53</v>
      </c>
      <c r="H1513" s="1" t="s">
        <v>299</v>
      </c>
      <c r="I1513" s="1" t="s">
        <v>300</v>
      </c>
      <c r="J1513" s="1" t="s">
        <v>79</v>
      </c>
      <c r="K1513" t="s">
        <v>1990</v>
      </c>
      <c r="M1513" s="1" t="s">
        <v>58</v>
      </c>
      <c r="N1513" s="1">
        <v>0</v>
      </c>
      <c r="O1513" s="1" t="s">
        <v>36</v>
      </c>
      <c r="P1513" s="186">
        <v>44966.396319444444</v>
      </c>
      <c r="R1513" s="1">
        <v>22</v>
      </c>
      <c r="T1513" s="1" t="s">
        <v>1160</v>
      </c>
      <c r="U1513" s="186">
        <v>44970.60465277778</v>
      </c>
      <c r="V1513" s="1" t="s">
        <v>41</v>
      </c>
      <c r="W1513" s="1" t="s">
        <v>49</v>
      </c>
      <c r="Z1513" s="14">
        <v>1</v>
      </c>
    </row>
    <row r="1514" spans="1:32" hidden="1">
      <c r="A1514" s="1">
        <v>9458312</v>
      </c>
      <c r="B1514" s="1" t="s">
        <v>1153</v>
      </c>
      <c r="C1514" t="s">
        <v>2694</v>
      </c>
      <c r="D1514" s="2">
        <v>20232442000020</v>
      </c>
      <c r="E1514" s="2">
        <v>7417163283361</v>
      </c>
      <c r="F1514" s="1" t="s">
        <v>131</v>
      </c>
      <c r="G1514" s="1" t="s">
        <v>53</v>
      </c>
      <c r="H1514" s="1" t="s">
        <v>2489</v>
      </c>
      <c r="I1514" s="1" t="s">
        <v>2490</v>
      </c>
      <c r="J1514" s="1" t="s">
        <v>33</v>
      </c>
      <c r="K1514" t="s">
        <v>132</v>
      </c>
      <c r="M1514" s="1" t="s">
        <v>58</v>
      </c>
      <c r="N1514" s="1">
        <v>0</v>
      </c>
      <c r="O1514" s="1" t="s">
        <v>36</v>
      </c>
      <c r="P1514" s="11" t="s">
        <v>2695</v>
      </c>
      <c r="R1514" s="1">
        <v>15</v>
      </c>
      <c r="T1514" s="1" t="s">
        <v>238</v>
      </c>
      <c r="U1514" s="11" t="s">
        <v>2696</v>
      </c>
      <c r="V1514" s="1" t="s">
        <v>41</v>
      </c>
      <c r="W1514" s="1" t="s">
        <v>42</v>
      </c>
      <c r="Z1514" s="14">
        <v>1</v>
      </c>
    </row>
    <row r="1515" spans="1:32" hidden="1">
      <c r="A1515" s="1">
        <v>9458173</v>
      </c>
      <c r="B1515" s="1" t="s">
        <v>1153</v>
      </c>
      <c r="C1515" t="s">
        <v>2697</v>
      </c>
      <c r="D1515" s="2">
        <v>20234804001469</v>
      </c>
      <c r="E1515" s="2">
        <v>7417193471170</v>
      </c>
      <c r="F1515" s="1" t="s">
        <v>2698</v>
      </c>
      <c r="G1515" s="1" t="s">
        <v>53</v>
      </c>
      <c r="H1515" s="1" t="s">
        <v>2699</v>
      </c>
      <c r="I1515" s="1" t="s">
        <v>2700</v>
      </c>
      <c r="J1515" s="1" t="s">
        <v>46</v>
      </c>
      <c r="K1515" t="s">
        <v>2701</v>
      </c>
      <c r="M1515" s="1" t="s">
        <v>58</v>
      </c>
      <c r="N1515" s="1">
        <v>0</v>
      </c>
      <c r="O1515" s="1" t="s">
        <v>36</v>
      </c>
      <c r="P1515" s="11" t="s">
        <v>2702</v>
      </c>
      <c r="R1515" s="1">
        <v>13</v>
      </c>
      <c r="S1515" s="1">
        <v>4804</v>
      </c>
      <c r="T1515" s="1" t="s">
        <v>238</v>
      </c>
      <c r="U1515" s="11" t="s">
        <v>2577</v>
      </c>
      <c r="V1515" s="1" t="s">
        <v>41</v>
      </c>
      <c r="W1515" s="1" t="s">
        <v>49</v>
      </c>
      <c r="Z1515" s="14">
        <v>1</v>
      </c>
    </row>
    <row r="1516" spans="1:32" hidden="1">
      <c r="A1516" s="1">
        <v>9457892</v>
      </c>
      <c r="B1516" s="1" t="s">
        <v>1153</v>
      </c>
      <c r="C1516" t="s">
        <v>2703</v>
      </c>
      <c r="E1516" s="2">
        <v>1264000206001</v>
      </c>
      <c r="F1516" s="1" t="s">
        <v>29</v>
      </c>
      <c r="G1516" s="1" t="s">
        <v>53</v>
      </c>
      <c r="H1516" s="1" t="s">
        <v>351</v>
      </c>
      <c r="I1516" s="1" t="s">
        <v>352</v>
      </c>
      <c r="J1516" s="1" t="s">
        <v>110</v>
      </c>
      <c r="K1516" t="s">
        <v>34</v>
      </c>
      <c r="M1516" s="1" t="s">
        <v>35</v>
      </c>
      <c r="N1516" s="1">
        <v>42318949</v>
      </c>
      <c r="O1516" s="1" t="s">
        <v>36</v>
      </c>
      <c r="P1516" s="186">
        <v>44966.334363425929</v>
      </c>
      <c r="R1516" s="1" t="s">
        <v>38</v>
      </c>
      <c r="T1516" s="1" t="s">
        <v>74</v>
      </c>
      <c r="U1516" s="186">
        <v>44973.625</v>
      </c>
      <c r="V1516" s="1" t="s">
        <v>41</v>
      </c>
      <c r="W1516" s="1" t="s">
        <v>49</v>
      </c>
      <c r="Z1516" s="14">
        <v>1</v>
      </c>
    </row>
    <row r="1517" spans="1:32">
      <c r="A1517" s="1">
        <v>9465880</v>
      </c>
      <c r="B1517" s="1" t="s">
        <v>1153</v>
      </c>
      <c r="C1517" t="s">
        <v>2704</v>
      </c>
      <c r="D1517" s="2">
        <v>230027811</v>
      </c>
      <c r="E1517" s="2">
        <v>68001400030</v>
      </c>
      <c r="F1517" s="1" t="s">
        <v>647</v>
      </c>
      <c r="G1517" s="1" t="s">
        <v>53</v>
      </c>
      <c r="H1517" s="1" t="s">
        <v>1330</v>
      </c>
      <c r="I1517" s="1" t="s">
        <v>1331</v>
      </c>
      <c r="J1517" s="1" t="s">
        <v>211</v>
      </c>
      <c r="K1517" t="s">
        <v>650</v>
      </c>
      <c r="M1517" s="1" t="s">
        <v>58</v>
      </c>
      <c r="N1517" s="1">
        <v>0</v>
      </c>
      <c r="O1517" s="1" t="s">
        <v>105</v>
      </c>
      <c r="P1517" s="11" t="s">
        <v>2705</v>
      </c>
      <c r="R1517" s="1">
        <v>4</v>
      </c>
      <c r="T1517" s="1" t="s">
        <v>646</v>
      </c>
      <c r="U1517" s="11" t="s">
        <v>2706</v>
      </c>
      <c r="V1517" s="1" t="s">
        <v>41</v>
      </c>
      <c r="W1517" s="1" t="s">
        <v>49</v>
      </c>
      <c r="X1517" s="13" t="str">
        <f t="shared" ref="X1517:X1518" si="252">IF(RIGHT(H1517,2)&lt;&gt;"00",H1517,"")</f>
        <v/>
      </c>
      <c r="Y1517" s="2">
        <f t="shared" ref="Y1517:Y1518" ca="1" si="253">NETWORKDAYS(P1517,$Y$1)</f>
        <v>14</v>
      </c>
      <c r="Z1517" s="14">
        <v>1</v>
      </c>
      <c r="AA1517" s="1" t="str">
        <f t="shared" ref="AA1517:AA1518" ca="1" si="254">IF(AE1517=0,"HOJE",IF(AE1517&gt;0,"A VENCER",IF(AE1517&lt;0,"VENCIDO")))</f>
        <v>VENCIDO</v>
      </c>
      <c r="AB1517" s="1" t="str">
        <f t="shared" ref="AB1517:AB1518" si="255">IF(F1517="GRPE-000001","C-14",IF(F1517="GRPE-000002","C-14",IF(F1517="GRPE-000003","C-14",IF(F1517="GRPE-000004","SL-On",IF(F1517="GRPE-000038","C-14",IF(F1517="GRPE-900022","Dosa",IF(F1517="GRPE-000029","Dosa",IF(F1517="ATOS-000222","Dose","TAAe+"))))))))</f>
        <v>C-14</v>
      </c>
      <c r="AC1517" s="2" t="str">
        <f t="shared" ref="AC1517:AC1518" si="256">IF(J1517="TR-PETROLINA"," ROSEMERE ",IF(J1517="TR-GARANHUNS"," ROSEMERE ",IF(J1517="TR-CARUARU"," ROSEMERE ",IF(J1517="TR-RIBEIRAO"," CRISTINA ",IF(J1517="TR-GRAVATA"," CRISTINA ",IF(J1517="TR-GOIANA"," CRISTINA ",IF(J1517="TR-LIMOEIRO"," CRISTINA ",IF(J1517="TR-SERRA TALHADA"," RINALDO ",IF(J1517="TR-SALGUEIRO"," RINALDO ",IF(J1517="TR-CARNAIBA"," RINALDO ",IF(J1517="TR-ARCOVERDE"," RINALDO ",IF(J1517="CAT-RECIFE"," CLEITON ",))))))))))))</f>
        <v xml:space="preserve"> RINALDO </v>
      </c>
      <c r="AD1517" s="2">
        <f t="shared" ref="AD1517:AD1518" si="257">IF(F1517="GRPE-000001",5,IF(F1517="GRPE-000002",5,IF(F1517="GRPE-000003",15,IF(F1517="GRPE-000004",1,IF(F1517="GRPE-000038",5,IF(F1517="GRPE-900022",5,IF(F1517="GRPE-000029",5,IF(F1517="ATOS-000222",5,8))))))))</f>
        <v>15</v>
      </c>
      <c r="AE1517" s="2">
        <f t="shared" ref="AE1517:AE1518" ca="1" si="258">IF(U1517=$AE$1,"",U1517-$AE$1)</f>
        <v>-13.967938310182944</v>
      </c>
      <c r="AF1517" s="15"/>
    </row>
    <row r="1518" spans="1:32">
      <c r="A1518" s="1">
        <v>9465855</v>
      </c>
      <c r="B1518" s="1" t="s">
        <v>1153</v>
      </c>
      <c r="C1518" t="s">
        <v>2704</v>
      </c>
      <c r="D1518" s="2">
        <v>230027810</v>
      </c>
      <c r="E1518" s="2">
        <v>68001400030</v>
      </c>
      <c r="F1518" s="1" t="s">
        <v>647</v>
      </c>
      <c r="G1518" s="1" t="s">
        <v>53</v>
      </c>
      <c r="H1518" s="1" t="s">
        <v>1330</v>
      </c>
      <c r="I1518" s="1" t="s">
        <v>1331</v>
      </c>
      <c r="J1518" s="1" t="s">
        <v>211</v>
      </c>
      <c r="K1518" t="s">
        <v>650</v>
      </c>
      <c r="M1518" s="1" t="s">
        <v>58</v>
      </c>
      <c r="N1518" s="1">
        <v>0</v>
      </c>
      <c r="O1518" s="1" t="s">
        <v>105</v>
      </c>
      <c r="P1518" s="11" t="s">
        <v>2707</v>
      </c>
      <c r="R1518" s="1">
        <v>4</v>
      </c>
      <c r="T1518" s="1" t="s">
        <v>646</v>
      </c>
      <c r="U1518" s="11" t="s">
        <v>2706</v>
      </c>
      <c r="V1518" s="1" t="s">
        <v>41</v>
      </c>
      <c r="W1518" s="1" t="s">
        <v>49</v>
      </c>
      <c r="X1518" s="13" t="str">
        <f t="shared" si="252"/>
        <v/>
      </c>
      <c r="Y1518" s="2">
        <f t="shared" ca="1" si="253"/>
        <v>14</v>
      </c>
      <c r="Z1518" s="14">
        <v>1</v>
      </c>
      <c r="AA1518" s="1" t="str">
        <f t="shared" ca="1" si="254"/>
        <v>VENCIDO</v>
      </c>
      <c r="AB1518" s="1" t="str">
        <f t="shared" si="255"/>
        <v>C-14</v>
      </c>
      <c r="AC1518" s="2" t="str">
        <f t="shared" si="256"/>
        <v xml:space="preserve"> RINALDO </v>
      </c>
      <c r="AD1518" s="2">
        <f t="shared" si="257"/>
        <v>15</v>
      </c>
      <c r="AE1518" s="2">
        <f t="shared" ca="1" si="258"/>
        <v>-13.967938310182944</v>
      </c>
      <c r="AF1518" s="15"/>
    </row>
    <row r="1519" spans="1:32" hidden="1">
      <c r="A1519" s="1">
        <v>9465602</v>
      </c>
      <c r="B1519" s="1" t="s">
        <v>1153</v>
      </c>
      <c r="C1519" t="s">
        <v>2708</v>
      </c>
      <c r="D1519" s="2">
        <v>230027784</v>
      </c>
      <c r="E1519" s="2">
        <v>2335001400030</v>
      </c>
      <c r="F1519" s="1" t="s">
        <v>647</v>
      </c>
      <c r="G1519" s="1" t="s">
        <v>53</v>
      </c>
      <c r="H1519" s="1" t="s">
        <v>194</v>
      </c>
      <c r="I1519" s="1" t="s">
        <v>195</v>
      </c>
      <c r="J1519" s="1" t="s">
        <v>261</v>
      </c>
      <c r="K1519" t="s">
        <v>650</v>
      </c>
      <c r="M1519" s="1" t="s">
        <v>58</v>
      </c>
      <c r="N1519" s="1">
        <v>0</v>
      </c>
      <c r="O1519" s="1" t="s">
        <v>36</v>
      </c>
      <c r="P1519" s="11" t="s">
        <v>2709</v>
      </c>
      <c r="R1519" s="1">
        <v>4</v>
      </c>
      <c r="T1519" s="1" t="s">
        <v>646</v>
      </c>
      <c r="U1519" s="11" t="s">
        <v>2710</v>
      </c>
      <c r="V1519" s="1" t="s">
        <v>41</v>
      </c>
      <c r="W1519" s="1" t="s">
        <v>49</v>
      </c>
      <c r="Z1519" s="14">
        <v>1</v>
      </c>
    </row>
    <row r="1520" spans="1:32">
      <c r="A1520" s="1">
        <v>9465363</v>
      </c>
      <c r="B1520" s="1" t="s">
        <v>1153</v>
      </c>
      <c r="C1520" t="s">
        <v>2037</v>
      </c>
      <c r="E1520" s="2">
        <v>2304000206001</v>
      </c>
      <c r="F1520" s="2" t="s">
        <v>29</v>
      </c>
      <c r="G1520" s="1" t="s">
        <v>53</v>
      </c>
      <c r="H1520" s="1" t="s">
        <v>2711</v>
      </c>
      <c r="I1520" s="1" t="s">
        <v>2712</v>
      </c>
      <c r="J1520" s="1" t="s">
        <v>85</v>
      </c>
      <c r="K1520" s="1" t="s">
        <v>34</v>
      </c>
      <c r="M1520" s="1" t="s">
        <v>35</v>
      </c>
      <c r="N1520" s="1">
        <v>42318949</v>
      </c>
      <c r="O1520" s="1" t="s">
        <v>36</v>
      </c>
      <c r="P1520" s="11" t="s">
        <v>2713</v>
      </c>
      <c r="R1520" s="1" t="s">
        <v>38</v>
      </c>
      <c r="T1520" s="1" t="s">
        <v>74</v>
      </c>
      <c r="U1520" s="11" t="s">
        <v>2615</v>
      </c>
      <c r="V1520" s="1" t="s">
        <v>41</v>
      </c>
      <c r="W1520" s="1" t="s">
        <v>49</v>
      </c>
      <c r="X1520" s="13" t="str">
        <f t="shared" ref="X1520" si="259">IF(RIGHT(H1520,2)&lt;&gt;"00",H1520,"")</f>
        <v/>
      </c>
      <c r="Y1520" s="2">
        <f t="shared" ref="Y1520" ca="1" si="260">NETWORKDAYS(P1520,$Y$1)</f>
        <v>14</v>
      </c>
      <c r="Z1520" s="14">
        <v>1</v>
      </c>
      <c r="AA1520" s="1" t="str">
        <f t="shared" ref="AA1520" ca="1" si="261">IF(AE1520=0,"HOJE",IF(AE1520&gt;0,"A VENCER",IF(AE1520&lt;0,"VENCIDO")))</f>
        <v>VENCIDO</v>
      </c>
      <c r="AB1520" s="1" t="str">
        <f t="shared" ref="AB1520" si="262">IF(F1520="GRPE-000001","C-14",IF(F1520="GRPE-000002","C-14",IF(F1520="GRPE-000003","C-14",IF(F1520="GRPE-000004","SL-On",IF(F1520="GRPE-000038","C-14",IF(F1520="GRPE-900022","Dosa",IF(F1520="GRPE-000029","Dosa",IF(F1520="ATOS-000222","Dose","TAAe+"))))))))</f>
        <v>Dosa</v>
      </c>
      <c r="AC1520" s="2" t="str">
        <f t="shared" ref="AC1520" si="263">IF(J1520="TR-PETROLINA"," ROSEMERE ",IF(J1520="TR-GARANHUNS"," ROSEMERE ",IF(J1520="TR-CARUARU"," ROSEMERE ",IF(J1520="TR-RIBEIRAO"," CRISTINA ",IF(J1520="TR-GRAVATA"," CRISTINA ",IF(J1520="TR-GOIANA"," CRISTINA ",IF(J1520="TR-LIMOEIRO"," CRISTINA ",IF(J1520="TR-SERRA TALHADA"," RINALDO ",IF(J1520="TR-SALGUEIRO"," RINALDO ",IF(J1520="TR-CARNAIBA"," RINALDO ",IF(J1520="TR-ARCOVERDE"," RINALDO ",IF(J1520="CAT-RECIFE"," CLEITON ",))))))))))))</f>
        <v xml:space="preserve"> RINALDO </v>
      </c>
      <c r="AD1520" s="2">
        <f t="shared" ref="AD1520" si="264">IF(F1520="GRPE-000001",5,IF(F1520="GRPE-000002",5,IF(F1520="GRPE-000003",15,IF(F1520="GRPE-000004",1,IF(F1520="GRPE-000038",5,IF(F1520="GRPE-900022",5,IF(F1520="GRPE-000029",5,IF(F1520="ATOS-000222",5,8))))))))</f>
        <v>5</v>
      </c>
      <c r="AE1520" s="2">
        <f t="shared" ref="AE1520" ca="1" si="265">IF(U1520=$AE$1,"",U1520-$AE$1)</f>
        <v>-7.0686327546281973</v>
      </c>
      <c r="AF1520" s="15"/>
    </row>
    <row r="1521" spans="1:32" hidden="1">
      <c r="A1521" s="1">
        <v>9465360</v>
      </c>
      <c r="B1521" s="1" t="s">
        <v>1153</v>
      </c>
      <c r="C1521" t="s">
        <v>2714</v>
      </c>
      <c r="E1521" s="2">
        <v>2196000203000</v>
      </c>
      <c r="F1521" s="1" t="s">
        <v>454</v>
      </c>
      <c r="G1521" s="1" t="s">
        <v>53</v>
      </c>
      <c r="H1521" s="1" t="s">
        <v>1252</v>
      </c>
      <c r="I1521" s="1" t="s">
        <v>1253</v>
      </c>
      <c r="J1521" s="1" t="s">
        <v>33</v>
      </c>
      <c r="K1521" t="s">
        <v>457</v>
      </c>
      <c r="M1521" s="1" t="s">
        <v>58</v>
      </c>
      <c r="N1521" s="1">
        <v>0</v>
      </c>
      <c r="O1521" s="1" t="s">
        <v>36</v>
      </c>
      <c r="P1521" s="12">
        <v>44967.698298611111</v>
      </c>
      <c r="R1521" s="1">
        <v>1</v>
      </c>
      <c r="T1521" s="1" t="s">
        <v>157</v>
      </c>
      <c r="U1521" s="12">
        <v>44968.698298611111</v>
      </c>
      <c r="V1521" s="1" t="s">
        <v>41</v>
      </c>
      <c r="W1521" s="1" t="s">
        <v>42</v>
      </c>
      <c r="Z1521" s="14">
        <v>1</v>
      </c>
    </row>
    <row r="1522" spans="1:32" hidden="1">
      <c r="A1522" s="1">
        <v>9465308</v>
      </c>
      <c r="B1522" s="1" t="s">
        <v>1153</v>
      </c>
      <c r="C1522" t="s">
        <v>2715</v>
      </c>
      <c r="D1522" s="2">
        <v>20230233000016</v>
      </c>
      <c r="E1522" s="2">
        <v>7417161480635</v>
      </c>
      <c r="F1522" s="1" t="s">
        <v>1979</v>
      </c>
      <c r="G1522" s="1" t="s">
        <v>53</v>
      </c>
      <c r="H1522" s="1" t="s">
        <v>2716</v>
      </c>
      <c r="I1522" s="1" t="s">
        <v>2717</v>
      </c>
      <c r="J1522" s="1" t="s">
        <v>261</v>
      </c>
      <c r="K1522" t="s">
        <v>1982</v>
      </c>
      <c r="M1522" s="1" t="s">
        <v>58</v>
      </c>
      <c r="N1522" s="1">
        <v>0</v>
      </c>
      <c r="O1522" s="1" t="s">
        <v>36</v>
      </c>
      <c r="P1522" s="186">
        <v>44967.674456018518</v>
      </c>
      <c r="R1522" s="1">
        <v>14</v>
      </c>
      <c r="T1522" s="1" t="s">
        <v>238</v>
      </c>
      <c r="U1522" s="186">
        <v>44967.674456018518</v>
      </c>
      <c r="V1522" s="1" t="s">
        <v>41</v>
      </c>
      <c r="W1522" s="1" t="s">
        <v>49</v>
      </c>
      <c r="Z1522" s="14">
        <v>1</v>
      </c>
    </row>
    <row r="1523" spans="1:32" hidden="1">
      <c r="A1523" s="1">
        <v>9465268</v>
      </c>
      <c r="B1523" s="1" t="s">
        <v>1153</v>
      </c>
      <c r="C1523" t="s">
        <v>2718</v>
      </c>
      <c r="E1523" s="2">
        <v>1509000206001</v>
      </c>
      <c r="F1523" s="1" t="s">
        <v>29</v>
      </c>
      <c r="G1523" s="1" t="s">
        <v>53</v>
      </c>
      <c r="H1523" s="1" t="s">
        <v>731</v>
      </c>
      <c r="I1523" s="1" t="s">
        <v>732</v>
      </c>
      <c r="J1523" s="1" t="s">
        <v>46</v>
      </c>
      <c r="K1523" t="s">
        <v>34</v>
      </c>
      <c r="M1523" s="1" t="s">
        <v>35</v>
      </c>
      <c r="N1523" s="1">
        <v>42318949</v>
      </c>
      <c r="O1523" s="1" t="s">
        <v>36</v>
      </c>
      <c r="P1523" s="12">
        <v>44967.687951388885</v>
      </c>
      <c r="R1523" s="1" t="s">
        <v>38</v>
      </c>
      <c r="T1523" s="1" t="s">
        <v>74</v>
      </c>
      <c r="U1523" s="12">
        <v>44979.708333333336</v>
      </c>
      <c r="V1523" s="1" t="s">
        <v>41</v>
      </c>
      <c r="W1523" s="1" t="s">
        <v>49</v>
      </c>
      <c r="Z1523" s="14">
        <v>1</v>
      </c>
    </row>
    <row r="1524" spans="1:32" hidden="1">
      <c r="A1524" s="1">
        <v>9465233</v>
      </c>
      <c r="B1524" s="1" t="s">
        <v>1153</v>
      </c>
      <c r="C1524" t="s">
        <v>2719</v>
      </c>
      <c r="D1524" s="2">
        <v>20234844000434</v>
      </c>
      <c r="E1524" s="2">
        <v>7417161483730</v>
      </c>
      <c r="F1524" s="1" t="s">
        <v>1217</v>
      </c>
      <c r="G1524" s="1" t="s">
        <v>53</v>
      </c>
      <c r="H1524" s="1" t="s">
        <v>2632</v>
      </c>
      <c r="I1524" s="1" t="s">
        <v>2633</v>
      </c>
      <c r="J1524" s="1" t="s">
        <v>46</v>
      </c>
      <c r="K1524" t="s">
        <v>1218</v>
      </c>
      <c r="M1524" s="1" t="s">
        <v>58</v>
      </c>
      <c r="N1524" s="1">
        <v>0</v>
      </c>
      <c r="O1524" s="1" t="s">
        <v>105</v>
      </c>
      <c r="P1524" s="12">
        <v>44967.662662037037</v>
      </c>
      <c r="R1524" s="1">
        <v>13</v>
      </c>
      <c r="T1524" s="1" t="s">
        <v>238</v>
      </c>
      <c r="U1524" s="12">
        <v>44967.662662037037</v>
      </c>
      <c r="V1524" s="1" t="s">
        <v>41</v>
      </c>
      <c r="W1524" s="1" t="s">
        <v>49</v>
      </c>
      <c r="Z1524" s="14">
        <v>1</v>
      </c>
    </row>
    <row r="1525" spans="1:32">
      <c r="A1525" s="1">
        <v>9465184</v>
      </c>
      <c r="B1525" s="1" t="s">
        <v>1153</v>
      </c>
      <c r="C1525" t="s">
        <v>2720</v>
      </c>
      <c r="E1525" s="2">
        <v>9705000206001</v>
      </c>
      <c r="F1525" s="1" t="s">
        <v>29</v>
      </c>
      <c r="G1525" s="1" t="s">
        <v>53</v>
      </c>
      <c r="H1525" s="1" t="s">
        <v>204</v>
      </c>
      <c r="I1525" s="1" t="s">
        <v>205</v>
      </c>
      <c r="J1525" s="1" t="s">
        <v>90</v>
      </c>
      <c r="K1525" t="s">
        <v>34</v>
      </c>
      <c r="M1525" s="1" t="s">
        <v>35</v>
      </c>
      <c r="N1525" s="1">
        <v>42318949</v>
      </c>
      <c r="O1525" s="1" t="s">
        <v>36</v>
      </c>
      <c r="P1525" s="12">
        <v>44967.677407407406</v>
      </c>
      <c r="R1525" s="1" t="s">
        <v>38</v>
      </c>
      <c r="T1525" s="1" t="s">
        <v>74</v>
      </c>
      <c r="U1525" s="12">
        <v>44979.607638888891</v>
      </c>
      <c r="V1525" s="1" t="s">
        <v>41</v>
      </c>
      <c r="W1525" s="1" t="s">
        <v>49</v>
      </c>
      <c r="X1525" s="13" t="str">
        <f t="shared" ref="X1525" si="266">IF(RIGHT(H1525,2)&lt;&gt;"00",H1525,"")</f>
        <v/>
      </c>
      <c r="Y1525" s="2">
        <f t="shared" ref="Y1525" ca="1" si="267">NETWORKDAYS(P1525,$Y$1)</f>
        <v>14</v>
      </c>
      <c r="Z1525" s="14">
        <v>1</v>
      </c>
      <c r="AA1525" s="1" t="str">
        <f t="shared" ref="AA1525" ca="1" si="268">IF(AE1525=0,"HOJE",IF(AE1525&gt;0,"A VENCER",IF(AE1525&lt;0,"VENCIDO")))</f>
        <v>VENCIDO</v>
      </c>
      <c r="AB1525" s="1" t="str">
        <f t="shared" ref="AB1525" si="269">IF(F1525="GRPE-000001","C-14",IF(F1525="GRPE-000002","C-14",IF(F1525="GRPE-000003","C-14",IF(F1525="GRPE-000004","SL-On",IF(F1525="GRPE-000038","C-14",IF(F1525="GRPE-900022","Dosa",IF(F1525="GRPE-000029","Dosa",IF(F1525="ATOS-000222","Dose","TAAe+"))))))))</f>
        <v>Dosa</v>
      </c>
      <c r="AC1525" s="2" t="str">
        <f t="shared" ref="AC1525" si="270">IF(J1525="TR-PETROLINA"," ROSEMERE ",IF(J1525="TR-GARANHUNS"," ROSEMERE ",IF(J1525="TR-CARUARU"," ROSEMERE ",IF(J1525="TR-RIBEIRAO"," CRISTINA ",IF(J1525="TR-GRAVATA"," CRISTINA ",IF(J1525="TR-GOIANA"," CRISTINA ",IF(J1525="TR-LIMOEIRO"," CRISTINA ",IF(J1525="TR-SERRA TALHADA"," RINALDO ",IF(J1525="TR-SALGUEIRO"," RINALDO ",IF(J1525="TR-CARNAIBA"," RINALDO ",IF(J1525="TR-ARCOVERDE"," RINALDO ",IF(J1525="CAT-RECIFE"," CLEITON ",))))))))))))</f>
        <v xml:space="preserve"> RINALDO </v>
      </c>
      <c r="AD1525" s="2">
        <f t="shared" ref="AD1525" si="271">IF(F1525="GRPE-000001",5,IF(F1525="GRPE-000002",5,IF(F1525="GRPE-000003",15,IF(F1525="GRPE-000004",1,IF(F1525="GRPE-000038",5,IF(F1525="GRPE-900022",5,IF(F1525="GRPE-000029",5,IF(F1525="ATOS-000222",5,8))))))))</f>
        <v>5</v>
      </c>
      <c r="AE1525" s="2">
        <f t="shared" ref="AE1525" ca="1" si="272">IF(U1525=$AE$1,"",U1525-$AE$1)</f>
        <v>-7.0686327546281973</v>
      </c>
      <c r="AF1525" s="15"/>
    </row>
    <row r="1526" spans="1:32" hidden="1">
      <c r="A1526" s="1">
        <v>9465182</v>
      </c>
      <c r="B1526" s="1" t="s">
        <v>1153</v>
      </c>
      <c r="C1526" t="s">
        <v>2721</v>
      </c>
      <c r="D1526" s="2">
        <v>230027724</v>
      </c>
      <c r="E1526" s="2">
        <v>1049001400010</v>
      </c>
      <c r="F1526" s="1" t="s">
        <v>936</v>
      </c>
      <c r="G1526" s="1" t="s">
        <v>53</v>
      </c>
      <c r="H1526" s="1" t="s">
        <v>169</v>
      </c>
      <c r="I1526" s="1" t="s">
        <v>170</v>
      </c>
      <c r="J1526" s="1" t="s">
        <v>164</v>
      </c>
      <c r="K1526" t="s">
        <v>937</v>
      </c>
      <c r="M1526" s="1" t="s">
        <v>58</v>
      </c>
      <c r="N1526" s="1">
        <v>0</v>
      </c>
      <c r="O1526" s="1" t="s">
        <v>105</v>
      </c>
      <c r="P1526" s="11" t="s">
        <v>2722</v>
      </c>
      <c r="R1526" s="1">
        <v>3</v>
      </c>
      <c r="T1526" s="1" t="s">
        <v>646</v>
      </c>
      <c r="U1526" s="11" t="s">
        <v>2723</v>
      </c>
      <c r="V1526" s="1" t="s">
        <v>41</v>
      </c>
      <c r="W1526" s="1" t="s">
        <v>49</v>
      </c>
      <c r="Z1526" s="14">
        <v>1</v>
      </c>
    </row>
    <row r="1527" spans="1:32" hidden="1">
      <c r="A1527" s="1">
        <v>9465113</v>
      </c>
      <c r="B1527" s="1" t="s">
        <v>1153</v>
      </c>
      <c r="C1527" t="s">
        <v>2724</v>
      </c>
      <c r="D1527" s="2">
        <v>230027719</v>
      </c>
      <c r="E1527" s="2">
        <v>2244001400010</v>
      </c>
      <c r="F1527" s="1" t="s">
        <v>936</v>
      </c>
      <c r="G1527" s="1" t="s">
        <v>53</v>
      </c>
      <c r="H1527" s="1" t="s">
        <v>1853</v>
      </c>
      <c r="I1527" s="1" t="s">
        <v>1854</v>
      </c>
      <c r="J1527" s="1" t="s">
        <v>79</v>
      </c>
      <c r="K1527" t="s">
        <v>937</v>
      </c>
      <c r="M1527" s="1" t="s">
        <v>58</v>
      </c>
      <c r="N1527" s="1">
        <v>0</v>
      </c>
      <c r="O1527" s="1" t="s">
        <v>36</v>
      </c>
      <c r="P1527" s="12">
        <v>44967.665972222225</v>
      </c>
      <c r="R1527" s="1">
        <v>3</v>
      </c>
      <c r="T1527" s="1" t="s">
        <v>646</v>
      </c>
      <c r="U1527" s="12">
        <v>44974.4375</v>
      </c>
      <c r="V1527" s="1" t="s">
        <v>41</v>
      </c>
      <c r="W1527" s="1" t="s">
        <v>49</v>
      </c>
      <c r="Z1527" s="14">
        <v>1</v>
      </c>
    </row>
    <row r="1528" spans="1:32" hidden="1">
      <c r="A1528" s="1">
        <v>9465086</v>
      </c>
      <c r="B1528" s="1" t="s">
        <v>1153</v>
      </c>
      <c r="C1528" t="s">
        <v>2725</v>
      </c>
      <c r="E1528" s="2">
        <v>2802000203000</v>
      </c>
      <c r="F1528" s="1" t="s">
        <v>454</v>
      </c>
      <c r="G1528" s="1" t="s">
        <v>53</v>
      </c>
      <c r="H1528" s="1" t="s">
        <v>388</v>
      </c>
      <c r="I1528" s="1" t="s">
        <v>389</v>
      </c>
      <c r="J1528" s="1" t="s">
        <v>46</v>
      </c>
      <c r="K1528" t="s">
        <v>457</v>
      </c>
      <c r="M1528" s="1" t="s">
        <v>58</v>
      </c>
      <c r="N1528" s="1">
        <v>0</v>
      </c>
      <c r="O1528" s="1" t="s">
        <v>36</v>
      </c>
      <c r="P1528" s="12">
        <v>44967.657002314816</v>
      </c>
      <c r="R1528" s="1">
        <v>1</v>
      </c>
      <c r="T1528" s="1" t="s">
        <v>157</v>
      </c>
      <c r="U1528" s="12">
        <v>44968.657002314816</v>
      </c>
      <c r="V1528" s="1" t="s">
        <v>41</v>
      </c>
      <c r="W1528" s="1" t="s">
        <v>49</v>
      </c>
      <c r="Z1528" s="14">
        <v>1</v>
      </c>
    </row>
    <row r="1529" spans="1:32" hidden="1">
      <c r="A1529" s="1">
        <v>9465085</v>
      </c>
      <c r="B1529" s="1" t="s">
        <v>1153</v>
      </c>
      <c r="C1529" t="s">
        <v>2714</v>
      </c>
      <c r="E1529" s="2">
        <v>2811000203000</v>
      </c>
      <c r="F1529" s="1" t="s">
        <v>454</v>
      </c>
      <c r="G1529" s="1" t="s">
        <v>53</v>
      </c>
      <c r="H1529" s="1" t="s">
        <v>44</v>
      </c>
      <c r="I1529" s="1" t="s">
        <v>45</v>
      </c>
      <c r="J1529" s="1" t="s">
        <v>46</v>
      </c>
      <c r="K1529" t="s">
        <v>457</v>
      </c>
      <c r="M1529" s="1" t="s">
        <v>58</v>
      </c>
      <c r="N1529" s="1">
        <v>0</v>
      </c>
      <c r="O1529" s="1" t="s">
        <v>36</v>
      </c>
      <c r="P1529" s="186">
        <v>44967.656944444447</v>
      </c>
      <c r="R1529" s="1">
        <v>1</v>
      </c>
      <c r="T1529" s="1" t="s">
        <v>157</v>
      </c>
      <c r="U1529" s="186">
        <v>44968.656944444447</v>
      </c>
      <c r="V1529" s="1" t="s">
        <v>41</v>
      </c>
      <c r="W1529" s="1" t="s">
        <v>49</v>
      </c>
      <c r="Z1529" s="14">
        <v>1</v>
      </c>
    </row>
    <row r="1530" spans="1:32" hidden="1">
      <c r="A1530" s="1">
        <v>9464931</v>
      </c>
      <c r="B1530" s="1" t="s">
        <v>1153</v>
      </c>
      <c r="C1530" t="s">
        <v>2726</v>
      </c>
      <c r="D1530" s="2">
        <v>230027675</v>
      </c>
      <c r="E1530" s="2">
        <v>2257001400010</v>
      </c>
      <c r="F1530" s="1" t="s">
        <v>936</v>
      </c>
      <c r="G1530" s="1" t="s">
        <v>53</v>
      </c>
      <c r="H1530" s="1" t="s">
        <v>381</v>
      </c>
      <c r="I1530" s="1" t="s">
        <v>382</v>
      </c>
      <c r="J1530" s="1" t="s">
        <v>110</v>
      </c>
      <c r="K1530" t="s">
        <v>937</v>
      </c>
      <c r="M1530" s="1" t="s">
        <v>58</v>
      </c>
      <c r="N1530" s="1">
        <v>0</v>
      </c>
      <c r="O1530" s="1" t="s">
        <v>36</v>
      </c>
      <c r="P1530" s="186">
        <v>44967.634722222225</v>
      </c>
      <c r="R1530" s="1">
        <v>3</v>
      </c>
      <c r="T1530" s="1" t="s">
        <v>646</v>
      </c>
      <c r="U1530" s="186">
        <v>44979.6875</v>
      </c>
      <c r="V1530" s="1" t="s">
        <v>41</v>
      </c>
      <c r="W1530" s="1" t="s">
        <v>49</v>
      </c>
      <c r="Z1530" s="14">
        <v>1</v>
      </c>
    </row>
    <row r="1531" spans="1:32" hidden="1">
      <c r="A1531" s="1">
        <v>9464926</v>
      </c>
      <c r="B1531" s="1" t="s">
        <v>1153</v>
      </c>
      <c r="C1531" t="s">
        <v>2727</v>
      </c>
      <c r="D1531" s="2">
        <v>20234923000065</v>
      </c>
      <c r="E1531" s="2">
        <v>7419141893008</v>
      </c>
      <c r="F1531" s="1" t="s">
        <v>128</v>
      </c>
      <c r="G1531" s="1" t="s">
        <v>53</v>
      </c>
      <c r="H1531" s="1" t="s">
        <v>1966</v>
      </c>
      <c r="I1531" s="1" t="s">
        <v>1967</v>
      </c>
      <c r="J1531" s="1" t="s">
        <v>46</v>
      </c>
      <c r="K1531" t="s">
        <v>129</v>
      </c>
      <c r="M1531" s="1" t="s">
        <v>58</v>
      </c>
      <c r="N1531" s="1">
        <v>0</v>
      </c>
      <c r="O1531" s="1" t="s">
        <v>36</v>
      </c>
      <c r="P1531" s="186">
        <v>44967.626956018517</v>
      </c>
      <c r="R1531" s="1">
        <v>13</v>
      </c>
      <c r="T1531" s="1" t="s">
        <v>238</v>
      </c>
      <c r="U1531" s="186">
        <v>44967.626956018517</v>
      </c>
      <c r="V1531" s="1" t="s">
        <v>41</v>
      </c>
      <c r="W1531" s="1" t="s">
        <v>49</v>
      </c>
      <c r="Z1531" s="14">
        <v>1</v>
      </c>
    </row>
    <row r="1532" spans="1:32" hidden="1">
      <c r="A1532" s="1">
        <v>9464783</v>
      </c>
      <c r="B1532" s="1" t="s">
        <v>1153</v>
      </c>
      <c r="C1532" t="s">
        <v>2728</v>
      </c>
      <c r="D1532" s="2">
        <v>20230721000020</v>
      </c>
      <c r="E1532" s="2">
        <v>7417172784707</v>
      </c>
      <c r="F1532" s="1" t="s">
        <v>1989</v>
      </c>
      <c r="G1532" s="1" t="s">
        <v>53</v>
      </c>
      <c r="H1532" s="1" t="s">
        <v>422</v>
      </c>
      <c r="I1532" s="1" t="s">
        <v>423</v>
      </c>
      <c r="J1532" s="1" t="s">
        <v>79</v>
      </c>
      <c r="K1532" t="s">
        <v>1990</v>
      </c>
      <c r="M1532" s="1" t="s">
        <v>58</v>
      </c>
      <c r="N1532" s="1">
        <v>0</v>
      </c>
      <c r="O1532" s="1" t="s">
        <v>105</v>
      </c>
      <c r="P1532" s="186">
        <v>44967.604594907411</v>
      </c>
      <c r="R1532" s="1">
        <v>22</v>
      </c>
      <c r="T1532" s="1" t="s">
        <v>1160</v>
      </c>
      <c r="U1532" s="186">
        <v>44972.437928240739</v>
      </c>
      <c r="V1532" s="1" t="s">
        <v>41</v>
      </c>
      <c r="W1532" s="1" t="s">
        <v>49</v>
      </c>
      <c r="Z1532" s="14">
        <v>1</v>
      </c>
    </row>
    <row r="1533" spans="1:32" hidden="1">
      <c r="A1533" s="1">
        <v>9464719</v>
      </c>
      <c r="B1533" s="1" t="s">
        <v>1153</v>
      </c>
      <c r="C1533" t="s">
        <v>2729</v>
      </c>
      <c r="D1533" s="2">
        <v>20230232000012</v>
      </c>
      <c r="E1533" s="2">
        <v>7417183020056</v>
      </c>
      <c r="F1533" s="1" t="s">
        <v>1313</v>
      </c>
      <c r="G1533" s="1" t="s">
        <v>53</v>
      </c>
      <c r="H1533" s="1" t="s">
        <v>2730</v>
      </c>
      <c r="I1533" s="1" t="s">
        <v>2731</v>
      </c>
      <c r="J1533" s="1" t="s">
        <v>141</v>
      </c>
      <c r="K1533" t="s">
        <v>1316</v>
      </c>
      <c r="M1533" s="1" t="s">
        <v>58</v>
      </c>
      <c r="N1533" s="1">
        <v>0</v>
      </c>
      <c r="O1533" s="1" t="s">
        <v>36</v>
      </c>
      <c r="P1533" s="11" t="s">
        <v>2732</v>
      </c>
      <c r="R1533" s="1">
        <v>14</v>
      </c>
      <c r="T1533" s="1" t="s">
        <v>238</v>
      </c>
      <c r="U1533" s="11" t="s">
        <v>2732</v>
      </c>
      <c r="V1533" s="1" t="s">
        <v>41</v>
      </c>
      <c r="W1533" s="1" t="s">
        <v>49</v>
      </c>
      <c r="Z1533" s="14">
        <v>1</v>
      </c>
    </row>
    <row r="1534" spans="1:32" hidden="1">
      <c r="A1534" s="1">
        <v>9464595</v>
      </c>
      <c r="B1534" s="1" t="s">
        <v>81</v>
      </c>
      <c r="C1534" t="s">
        <v>2733</v>
      </c>
      <c r="E1534" s="2">
        <v>2564000206001</v>
      </c>
      <c r="F1534" s="1" t="s">
        <v>29</v>
      </c>
      <c r="G1534" s="1" t="s">
        <v>53</v>
      </c>
      <c r="H1534" s="1" t="s">
        <v>255</v>
      </c>
      <c r="I1534" s="1" t="s">
        <v>256</v>
      </c>
      <c r="J1534" s="1" t="s">
        <v>164</v>
      </c>
      <c r="K1534" t="s">
        <v>34</v>
      </c>
      <c r="M1534" s="1" t="s">
        <v>35</v>
      </c>
      <c r="N1534" s="1">
        <v>42318949</v>
      </c>
      <c r="O1534" s="1" t="s">
        <v>105</v>
      </c>
      <c r="P1534" s="11" t="s">
        <v>2734</v>
      </c>
      <c r="R1534" s="1" t="s">
        <v>38</v>
      </c>
      <c r="T1534" s="1" t="s">
        <v>74</v>
      </c>
      <c r="U1534" s="11" t="s">
        <v>2735</v>
      </c>
      <c r="V1534" s="1" t="s">
        <v>41</v>
      </c>
      <c r="W1534" s="1" t="s">
        <v>49</v>
      </c>
      <c r="Z1534" s="14">
        <v>1</v>
      </c>
    </row>
    <row r="1535" spans="1:32" hidden="1">
      <c r="A1535" s="1">
        <v>9464594</v>
      </c>
      <c r="B1535" s="1" t="s">
        <v>81</v>
      </c>
      <c r="C1535" t="s">
        <v>2733</v>
      </c>
      <c r="E1535" s="2">
        <v>2559000206001</v>
      </c>
      <c r="F1535" s="1" t="s">
        <v>29</v>
      </c>
      <c r="G1535" s="1" t="s">
        <v>53</v>
      </c>
      <c r="H1535" s="1" t="s">
        <v>259</v>
      </c>
      <c r="I1535" s="1" t="s">
        <v>260</v>
      </c>
      <c r="J1535" s="1" t="s">
        <v>261</v>
      </c>
      <c r="K1535" t="s">
        <v>34</v>
      </c>
      <c r="M1535" s="1" t="s">
        <v>35</v>
      </c>
      <c r="N1535" s="1">
        <v>42318949</v>
      </c>
      <c r="O1535" s="1" t="s">
        <v>105</v>
      </c>
      <c r="P1535" s="186">
        <v>44967.590173611112</v>
      </c>
      <c r="R1535" s="1" t="s">
        <v>38</v>
      </c>
      <c r="T1535" s="1" t="s">
        <v>74</v>
      </c>
      <c r="U1535" s="186">
        <v>44968.590173611112</v>
      </c>
      <c r="V1535" s="1" t="s">
        <v>41</v>
      </c>
      <c r="W1535" s="1" t="s">
        <v>49</v>
      </c>
      <c r="Z1535" s="14">
        <v>1</v>
      </c>
    </row>
    <row r="1536" spans="1:32" hidden="1">
      <c r="A1536" s="1">
        <v>9464591</v>
      </c>
      <c r="B1536" s="1" t="s">
        <v>81</v>
      </c>
      <c r="C1536" t="s">
        <v>2733</v>
      </c>
      <c r="E1536" s="2">
        <v>2257000206001</v>
      </c>
      <c r="F1536" s="1" t="s">
        <v>29</v>
      </c>
      <c r="G1536" s="1" t="s">
        <v>53</v>
      </c>
      <c r="H1536" s="1" t="s">
        <v>381</v>
      </c>
      <c r="I1536" s="1" t="s">
        <v>382</v>
      </c>
      <c r="J1536" s="1" t="s">
        <v>110</v>
      </c>
      <c r="K1536" t="s">
        <v>34</v>
      </c>
      <c r="M1536" s="1" t="s">
        <v>35</v>
      </c>
      <c r="N1536" s="1">
        <v>42318949</v>
      </c>
      <c r="O1536" s="1" t="s">
        <v>105</v>
      </c>
      <c r="P1536" s="186">
        <v>44967.590162037035</v>
      </c>
      <c r="R1536" s="1" t="s">
        <v>38</v>
      </c>
      <c r="T1536" s="1" t="s">
        <v>74</v>
      </c>
      <c r="U1536" s="186">
        <v>44968.590162037035</v>
      </c>
      <c r="V1536" s="1" t="s">
        <v>41</v>
      </c>
      <c r="W1536" s="1" t="s">
        <v>49</v>
      </c>
      <c r="Z1536" s="14">
        <v>1</v>
      </c>
    </row>
    <row r="1537" spans="1:32">
      <c r="A1537" s="1">
        <v>9464589</v>
      </c>
      <c r="B1537" s="1" t="s">
        <v>81</v>
      </c>
      <c r="C1537" t="s">
        <v>2733</v>
      </c>
      <c r="E1537" s="2">
        <v>2156000206001</v>
      </c>
      <c r="F1537" s="1" t="s">
        <v>29</v>
      </c>
      <c r="G1537" s="1" t="s">
        <v>53</v>
      </c>
      <c r="H1537" s="1" t="s">
        <v>278</v>
      </c>
      <c r="I1537" s="1" t="s">
        <v>279</v>
      </c>
      <c r="J1537" s="1" t="s">
        <v>211</v>
      </c>
      <c r="K1537" t="s">
        <v>34</v>
      </c>
      <c r="M1537" s="1" t="s">
        <v>35</v>
      </c>
      <c r="N1537" s="1">
        <v>42318949</v>
      </c>
      <c r="O1537" s="1" t="s">
        <v>105</v>
      </c>
      <c r="P1537" s="186">
        <v>44967.590162037035</v>
      </c>
      <c r="R1537" s="1" t="s">
        <v>38</v>
      </c>
      <c r="T1537" s="1" t="s">
        <v>74</v>
      </c>
      <c r="U1537" s="186">
        <v>44968.590162037035</v>
      </c>
      <c r="V1537" s="1" t="s">
        <v>41</v>
      </c>
      <c r="W1537" s="1" t="s">
        <v>49</v>
      </c>
      <c r="Z1537" s="14">
        <v>1</v>
      </c>
    </row>
    <row r="1538" spans="1:32" hidden="1">
      <c r="A1538" s="1">
        <v>9464575</v>
      </c>
      <c r="B1538" s="1" t="s">
        <v>81</v>
      </c>
      <c r="C1538" t="s">
        <v>2733</v>
      </c>
      <c r="E1538" s="2">
        <v>582000206001</v>
      </c>
      <c r="F1538" s="1" t="s">
        <v>29</v>
      </c>
      <c r="G1538" s="1" t="s">
        <v>53</v>
      </c>
      <c r="H1538" s="1" t="s">
        <v>139</v>
      </c>
      <c r="I1538" s="1" t="s">
        <v>140</v>
      </c>
      <c r="J1538" s="1" t="s">
        <v>141</v>
      </c>
      <c r="K1538" t="s">
        <v>34</v>
      </c>
      <c r="M1538" s="1" t="s">
        <v>35</v>
      </c>
      <c r="N1538" s="1">
        <v>42318949</v>
      </c>
      <c r="O1538" s="1" t="s">
        <v>105</v>
      </c>
      <c r="P1538" s="186">
        <v>44967.590138888889</v>
      </c>
      <c r="R1538" s="1" t="s">
        <v>38</v>
      </c>
      <c r="T1538" s="1" t="s">
        <v>74</v>
      </c>
      <c r="U1538" s="186">
        <v>44968.590138888889</v>
      </c>
      <c r="V1538" s="1" t="s">
        <v>41</v>
      </c>
      <c r="W1538" s="1" t="s">
        <v>49</v>
      </c>
      <c r="Z1538" s="14">
        <v>1</v>
      </c>
    </row>
    <row r="1539" spans="1:32" hidden="1">
      <c r="A1539" s="1">
        <v>9464504</v>
      </c>
      <c r="B1539" s="1" t="s">
        <v>81</v>
      </c>
      <c r="C1539" t="s">
        <v>2733</v>
      </c>
      <c r="E1539" s="2">
        <v>2802000206001</v>
      </c>
      <c r="F1539" s="1" t="s">
        <v>29</v>
      </c>
      <c r="G1539" s="1" t="s">
        <v>53</v>
      </c>
      <c r="H1539" s="1" t="s">
        <v>388</v>
      </c>
      <c r="I1539" s="1" t="s">
        <v>389</v>
      </c>
      <c r="J1539" s="1" t="s">
        <v>46</v>
      </c>
      <c r="K1539" t="s">
        <v>34</v>
      </c>
      <c r="M1539" s="1" t="s">
        <v>35</v>
      </c>
      <c r="N1539" s="1">
        <v>42318949</v>
      </c>
      <c r="O1539" s="1" t="s">
        <v>105</v>
      </c>
      <c r="P1539" s="186">
        <v>44967.590011574073</v>
      </c>
      <c r="R1539" s="1" t="s">
        <v>38</v>
      </c>
      <c r="T1539" s="1" t="s">
        <v>74</v>
      </c>
      <c r="U1539" s="186">
        <v>44968.59002314815</v>
      </c>
      <c r="V1539" s="1" t="s">
        <v>41</v>
      </c>
      <c r="W1539" s="1" t="s">
        <v>49</v>
      </c>
      <c r="Z1539" s="14">
        <v>1</v>
      </c>
    </row>
    <row r="1540" spans="1:32" hidden="1">
      <c r="A1540" s="1">
        <v>9464461</v>
      </c>
      <c r="B1540" s="1" t="s">
        <v>81</v>
      </c>
      <c r="C1540" t="s">
        <v>2733</v>
      </c>
      <c r="E1540" s="2">
        <v>1245000206001</v>
      </c>
      <c r="F1540" s="1" t="s">
        <v>29</v>
      </c>
      <c r="G1540" s="1" t="s">
        <v>53</v>
      </c>
      <c r="H1540" s="1" t="s">
        <v>408</v>
      </c>
      <c r="I1540" s="1" t="s">
        <v>409</v>
      </c>
      <c r="J1540" s="1" t="s">
        <v>46</v>
      </c>
      <c r="K1540" t="s">
        <v>34</v>
      </c>
      <c r="M1540" s="1" t="s">
        <v>35</v>
      </c>
      <c r="N1540" s="1">
        <v>42318949</v>
      </c>
      <c r="O1540" s="1" t="s">
        <v>105</v>
      </c>
      <c r="P1540" s="12">
        <v>44967.589930555558</v>
      </c>
      <c r="R1540" s="1" t="s">
        <v>38</v>
      </c>
      <c r="T1540" s="1" t="s">
        <v>74</v>
      </c>
      <c r="U1540" s="12">
        <v>44968.589930555558</v>
      </c>
      <c r="V1540" s="1" t="s">
        <v>41</v>
      </c>
      <c r="W1540" s="1" t="s">
        <v>49</v>
      </c>
      <c r="Z1540" s="14">
        <v>1</v>
      </c>
    </row>
    <row r="1541" spans="1:32" hidden="1">
      <c r="A1541" s="1">
        <v>9464457</v>
      </c>
      <c r="B1541" s="1" t="s">
        <v>81</v>
      </c>
      <c r="C1541" t="s">
        <v>2733</v>
      </c>
      <c r="E1541" s="2">
        <v>1128000206001</v>
      </c>
      <c r="F1541" s="1" t="s">
        <v>29</v>
      </c>
      <c r="G1541" s="1" t="s">
        <v>53</v>
      </c>
      <c r="H1541" s="1" t="s">
        <v>1191</v>
      </c>
      <c r="I1541" s="1" t="s">
        <v>1192</v>
      </c>
      <c r="J1541" s="1" t="s">
        <v>33</v>
      </c>
      <c r="K1541" t="s">
        <v>34</v>
      </c>
      <c r="M1541" s="1" t="s">
        <v>35</v>
      </c>
      <c r="N1541" s="1">
        <v>42318949</v>
      </c>
      <c r="O1541" s="1" t="s">
        <v>105</v>
      </c>
      <c r="P1541" s="11" t="s">
        <v>2736</v>
      </c>
      <c r="R1541" s="1" t="s">
        <v>38</v>
      </c>
      <c r="T1541" s="1" t="s">
        <v>74</v>
      </c>
      <c r="U1541" s="11" t="s">
        <v>2737</v>
      </c>
      <c r="V1541" s="1" t="s">
        <v>41</v>
      </c>
      <c r="W1541" s="1" t="s">
        <v>49</v>
      </c>
      <c r="Z1541" s="14">
        <v>1</v>
      </c>
    </row>
    <row r="1542" spans="1:32" hidden="1">
      <c r="A1542" s="1">
        <v>9464451</v>
      </c>
      <c r="B1542" s="1" t="s">
        <v>81</v>
      </c>
      <c r="C1542" t="s">
        <v>2733</v>
      </c>
      <c r="E1542" s="2">
        <v>963000206001</v>
      </c>
      <c r="F1542" s="1" t="s">
        <v>29</v>
      </c>
      <c r="G1542" s="1" t="s">
        <v>53</v>
      </c>
      <c r="H1542" s="1" t="s">
        <v>531</v>
      </c>
      <c r="I1542" s="1" t="s">
        <v>532</v>
      </c>
      <c r="J1542" s="1" t="s">
        <v>33</v>
      </c>
      <c r="K1542" t="s">
        <v>34</v>
      </c>
      <c r="L1542" s="21"/>
      <c r="M1542" s="1" t="s">
        <v>35</v>
      </c>
      <c r="N1542" s="1">
        <v>42318949</v>
      </c>
      <c r="O1542" s="1" t="s">
        <v>105</v>
      </c>
      <c r="P1542" s="12">
        <v>44967.589918981481</v>
      </c>
      <c r="R1542" s="1" t="s">
        <v>38</v>
      </c>
      <c r="T1542" s="1" t="s">
        <v>74</v>
      </c>
      <c r="U1542" s="12">
        <v>44968.589918981481</v>
      </c>
      <c r="V1542" s="1" t="s">
        <v>41</v>
      </c>
      <c r="W1542" s="12" t="s">
        <v>49</v>
      </c>
      <c r="Z1542" s="14">
        <v>1</v>
      </c>
    </row>
    <row r="1543" spans="1:32" hidden="1">
      <c r="A1543" s="1">
        <v>9464394</v>
      </c>
      <c r="B1543" s="1" t="s">
        <v>81</v>
      </c>
      <c r="C1543" t="s">
        <v>2733</v>
      </c>
      <c r="E1543" s="2">
        <v>67000206001</v>
      </c>
      <c r="F1543" s="1" t="s">
        <v>29</v>
      </c>
      <c r="G1543" s="1" t="s">
        <v>53</v>
      </c>
      <c r="H1543" s="1" t="s">
        <v>404</v>
      </c>
      <c r="I1543" s="1" t="s">
        <v>405</v>
      </c>
      <c r="J1543" s="1" t="s">
        <v>164</v>
      </c>
      <c r="K1543" t="s">
        <v>34</v>
      </c>
      <c r="M1543" s="1" t="s">
        <v>35</v>
      </c>
      <c r="N1543" s="1">
        <v>42318949</v>
      </c>
      <c r="O1543" s="1" t="s">
        <v>105</v>
      </c>
      <c r="P1543" s="11" t="s">
        <v>2738</v>
      </c>
      <c r="R1543" s="1" t="s">
        <v>38</v>
      </c>
      <c r="T1543" s="1" t="s">
        <v>74</v>
      </c>
      <c r="U1543" s="11" t="s">
        <v>2739</v>
      </c>
      <c r="V1543" s="1" t="s">
        <v>41</v>
      </c>
      <c r="W1543" s="1" t="s">
        <v>49</v>
      </c>
      <c r="Z1543" s="14">
        <v>1</v>
      </c>
    </row>
    <row r="1544" spans="1:32">
      <c r="A1544" s="1">
        <v>9464364</v>
      </c>
      <c r="B1544" s="1" t="s">
        <v>1153</v>
      </c>
      <c r="C1544" t="s">
        <v>2740</v>
      </c>
      <c r="E1544" s="2">
        <v>2304000203000</v>
      </c>
      <c r="F1544" s="1" t="s">
        <v>454</v>
      </c>
      <c r="G1544" s="1" t="s">
        <v>53</v>
      </c>
      <c r="H1544" s="1" t="s">
        <v>2711</v>
      </c>
      <c r="I1544" s="1" t="s">
        <v>2712</v>
      </c>
      <c r="J1544" s="1" t="s">
        <v>85</v>
      </c>
      <c r="K1544" t="s">
        <v>457</v>
      </c>
      <c r="M1544" s="1" t="s">
        <v>58</v>
      </c>
      <c r="N1544" s="1">
        <v>0</v>
      </c>
      <c r="O1544" s="1" t="s">
        <v>105</v>
      </c>
      <c r="P1544" s="11" t="s">
        <v>2741</v>
      </c>
      <c r="R1544" s="1">
        <v>1</v>
      </c>
      <c r="T1544" s="1" t="s">
        <v>157</v>
      </c>
      <c r="U1544" s="11" t="s">
        <v>2742</v>
      </c>
      <c r="V1544" s="1" t="s">
        <v>41</v>
      </c>
      <c r="W1544" s="1" t="s">
        <v>49</v>
      </c>
      <c r="X1544" s="13" t="str">
        <f t="shared" ref="X1544" si="273">IF(RIGHT(H1544,2)&lt;&gt;"00",H1544,"")</f>
        <v/>
      </c>
      <c r="Y1544" s="2">
        <f t="shared" ref="Y1544" ca="1" si="274">NETWORKDAYS(P1544,$Y$1)</f>
        <v>14</v>
      </c>
      <c r="Z1544" s="14">
        <v>1</v>
      </c>
      <c r="AA1544" s="1" t="str">
        <f t="shared" ref="AA1544" ca="1" si="275">IF(AE1544=0,"HOJE",IF(AE1544&gt;0,"A VENCER",IF(AE1544&lt;0,"VENCIDO")))</f>
        <v>VENCIDO</v>
      </c>
      <c r="AB1544" s="1" t="str">
        <f t="shared" ref="AB1544" si="276">IF(F1544="GRPE-000001","C-14",IF(F1544="GRPE-000002","C-14",IF(F1544="GRPE-000003","C-14",IF(F1544="GRPE-000004","SL-On",IF(F1544="GRPE-000038","C-14",IF(F1544="GRPE-900022","Dosa",IF(F1544="GRPE-000029","Dosa",IF(F1544="ATOS-000222","Dose","TAAe+"))))))))</f>
        <v>C-14</v>
      </c>
      <c r="AC1544" s="2" t="str">
        <f t="shared" ref="AC1544" si="277">IF(J1544="TR-PETROLINA"," ROSEMERE ",IF(J1544="TR-GARANHUNS"," ROSEMERE ",IF(J1544="TR-CARUARU"," ROSEMERE ",IF(J1544="TR-RIBEIRAO"," CRISTINA ",IF(J1544="TR-GRAVATA"," CRISTINA ",IF(J1544="TR-GOIANA"," CRISTINA ",IF(J1544="TR-LIMOEIRO"," CRISTINA ",IF(J1544="TR-SERRA TALHADA"," RINALDO ",IF(J1544="TR-SALGUEIRO"," RINALDO ",IF(J1544="TR-CARNAIBA"," RINALDO ",IF(J1544="TR-ARCOVERDE"," RINALDO ",IF(J1544="CAT-RECIFE"," CLEITON ",))))))))))))</f>
        <v xml:space="preserve"> RINALDO </v>
      </c>
      <c r="AD1544" s="2">
        <f t="shared" ref="AD1544" si="278">IF(F1544="GRPE-000001",5,IF(F1544="GRPE-000002",5,IF(F1544="GRPE-000003",15,IF(F1544="GRPE-000004",1,IF(F1544="GRPE-000038",5,IF(F1544="GRPE-900022",5,IF(F1544="GRPE-000029",5,IF(F1544="ATOS-000222",5,8))))))))</f>
        <v>5</v>
      </c>
      <c r="AE1544" s="2">
        <f t="shared" ref="AE1544" ca="1" si="279">IF(U1544=$AE$1,"",U1544-$AE$1)</f>
        <v>-18.092544791667024</v>
      </c>
      <c r="AF1544" s="15"/>
    </row>
    <row r="1545" spans="1:32" hidden="1">
      <c r="A1545" s="1">
        <v>9464332</v>
      </c>
      <c r="B1545" s="1" t="s">
        <v>1153</v>
      </c>
      <c r="C1545" t="s">
        <v>2743</v>
      </c>
      <c r="D1545" s="2">
        <v>20231835000005</v>
      </c>
      <c r="E1545" s="2">
        <v>7419152464465</v>
      </c>
      <c r="F1545" s="1" t="s">
        <v>2744</v>
      </c>
      <c r="G1545" s="1" t="s">
        <v>53</v>
      </c>
      <c r="H1545" s="1" t="s">
        <v>305</v>
      </c>
      <c r="I1545" s="1" t="s">
        <v>306</v>
      </c>
      <c r="J1545" s="1" t="s">
        <v>46</v>
      </c>
      <c r="K1545" t="s">
        <v>2745</v>
      </c>
      <c r="M1545" s="1" t="s">
        <v>58</v>
      </c>
      <c r="N1545" s="1">
        <v>0</v>
      </c>
      <c r="O1545" s="1" t="s">
        <v>36</v>
      </c>
      <c r="P1545" s="11" t="s">
        <v>2746</v>
      </c>
      <c r="R1545" s="1">
        <v>22</v>
      </c>
      <c r="T1545" s="1" t="s">
        <v>1160</v>
      </c>
      <c r="U1545" s="11" t="s">
        <v>2747</v>
      </c>
      <c r="V1545" s="1" t="s">
        <v>41</v>
      </c>
      <c r="W1545" s="1" t="s">
        <v>49</v>
      </c>
      <c r="Z1545" s="14">
        <v>1</v>
      </c>
    </row>
    <row r="1546" spans="1:32" hidden="1">
      <c r="A1546" s="1">
        <v>9464271</v>
      </c>
      <c r="B1546" s="1" t="s">
        <v>1153</v>
      </c>
      <c r="C1546" t="s">
        <v>2748</v>
      </c>
      <c r="D1546" s="2">
        <v>20231185000015</v>
      </c>
      <c r="E1546" s="2">
        <v>7417202021214</v>
      </c>
      <c r="F1546" s="1" t="s">
        <v>1213</v>
      </c>
      <c r="G1546" s="1" t="s">
        <v>53</v>
      </c>
      <c r="H1546" s="1" t="s">
        <v>2500</v>
      </c>
      <c r="I1546" s="1" t="s">
        <v>2501</v>
      </c>
      <c r="J1546" s="1" t="s">
        <v>33</v>
      </c>
      <c r="K1546" t="s">
        <v>1214</v>
      </c>
      <c r="M1546" s="1" t="s">
        <v>58</v>
      </c>
      <c r="N1546" s="1">
        <v>0</v>
      </c>
      <c r="O1546" s="1" t="s">
        <v>105</v>
      </c>
      <c r="P1546" s="11" t="s">
        <v>2749</v>
      </c>
      <c r="R1546" s="1">
        <v>14</v>
      </c>
      <c r="T1546" s="1" t="s">
        <v>238</v>
      </c>
      <c r="U1546" s="11" t="s">
        <v>2749</v>
      </c>
      <c r="V1546" s="1" t="s">
        <v>41</v>
      </c>
      <c r="W1546" s="1" t="s">
        <v>42</v>
      </c>
      <c r="Z1546" s="14">
        <v>1</v>
      </c>
    </row>
    <row r="1547" spans="1:32" hidden="1">
      <c r="A1547" s="1">
        <v>9464167</v>
      </c>
      <c r="B1547" s="1" t="s">
        <v>1153</v>
      </c>
      <c r="C1547" t="s">
        <v>2750</v>
      </c>
      <c r="D1547" s="2">
        <v>20234844000433</v>
      </c>
      <c r="E1547" s="2">
        <v>7419152437017</v>
      </c>
      <c r="F1547" s="1" t="s">
        <v>2744</v>
      </c>
      <c r="G1547" s="1" t="s">
        <v>53</v>
      </c>
      <c r="H1547" s="1" t="s">
        <v>371</v>
      </c>
      <c r="I1547" s="1" t="s">
        <v>372</v>
      </c>
      <c r="J1547" s="1" t="s">
        <v>46</v>
      </c>
      <c r="K1547" t="s">
        <v>2745</v>
      </c>
      <c r="M1547" s="1" t="s">
        <v>58</v>
      </c>
      <c r="N1547" s="1">
        <v>0</v>
      </c>
      <c r="O1547" s="1" t="s">
        <v>105</v>
      </c>
      <c r="P1547" s="11" t="s">
        <v>2751</v>
      </c>
      <c r="R1547" s="1">
        <v>22</v>
      </c>
      <c r="T1547" s="1" t="s">
        <v>1160</v>
      </c>
      <c r="U1547" s="11" t="s">
        <v>2752</v>
      </c>
      <c r="V1547" s="1" t="s">
        <v>41</v>
      </c>
      <c r="W1547" s="1" t="s">
        <v>49</v>
      </c>
      <c r="Z1547" s="14">
        <v>1</v>
      </c>
    </row>
    <row r="1548" spans="1:32" hidden="1">
      <c r="A1548" s="1">
        <v>9464098</v>
      </c>
      <c r="B1548" s="1" t="s">
        <v>1153</v>
      </c>
      <c r="C1548" t="s">
        <v>2753</v>
      </c>
      <c r="D1548" s="2">
        <v>20234844000432</v>
      </c>
      <c r="E1548" s="2">
        <v>7417183020684</v>
      </c>
      <c r="F1548" s="1" t="s">
        <v>1313</v>
      </c>
      <c r="G1548" s="1" t="s">
        <v>53</v>
      </c>
      <c r="H1548" s="1" t="s">
        <v>2632</v>
      </c>
      <c r="I1548" s="1" t="s">
        <v>2633</v>
      </c>
      <c r="J1548" s="1" t="s">
        <v>46</v>
      </c>
      <c r="K1548" t="s">
        <v>1316</v>
      </c>
      <c r="M1548" s="1" t="s">
        <v>58</v>
      </c>
      <c r="N1548" s="1">
        <v>0</v>
      </c>
      <c r="O1548" s="1" t="s">
        <v>105</v>
      </c>
      <c r="P1548" s="11" t="s">
        <v>2754</v>
      </c>
      <c r="R1548" s="1">
        <v>13</v>
      </c>
      <c r="T1548" s="1" t="s">
        <v>238</v>
      </c>
      <c r="U1548" s="11" t="s">
        <v>2754</v>
      </c>
      <c r="V1548" s="1" t="s">
        <v>41</v>
      </c>
      <c r="W1548" s="1" t="s">
        <v>49</v>
      </c>
      <c r="Z1548" s="14">
        <v>1</v>
      </c>
    </row>
    <row r="1549" spans="1:32" hidden="1">
      <c r="A1549" s="1">
        <v>9464090</v>
      </c>
      <c r="B1549" s="1" t="s">
        <v>1153</v>
      </c>
      <c r="C1549" t="s">
        <v>2755</v>
      </c>
      <c r="D1549" s="2">
        <v>20232855000002</v>
      </c>
      <c r="E1549" s="2">
        <v>7417210950117</v>
      </c>
      <c r="F1549" s="1" t="s">
        <v>1213</v>
      </c>
      <c r="G1549" s="1" t="s">
        <v>53</v>
      </c>
      <c r="H1549" s="1" t="s">
        <v>2756</v>
      </c>
      <c r="I1549" s="1" t="s">
        <v>2757</v>
      </c>
      <c r="J1549" s="1" t="s">
        <v>56</v>
      </c>
      <c r="K1549" t="s">
        <v>1214</v>
      </c>
      <c r="M1549" s="1" t="s">
        <v>58</v>
      </c>
      <c r="N1549" s="1">
        <v>0</v>
      </c>
      <c r="O1549" s="1" t="s">
        <v>36</v>
      </c>
      <c r="P1549" s="11" t="s">
        <v>2758</v>
      </c>
      <c r="R1549" s="1">
        <v>14</v>
      </c>
      <c r="T1549" s="1" t="s">
        <v>238</v>
      </c>
      <c r="U1549" s="11" t="s">
        <v>2758</v>
      </c>
      <c r="V1549" s="1" t="s">
        <v>41</v>
      </c>
      <c r="W1549" s="1" t="s">
        <v>49</v>
      </c>
      <c r="Z1549" s="14">
        <v>1</v>
      </c>
    </row>
    <row r="1550" spans="1:32" hidden="1">
      <c r="A1550" s="1">
        <v>9463997</v>
      </c>
      <c r="B1550" s="1" t="s">
        <v>1153</v>
      </c>
      <c r="C1550" t="s">
        <v>2759</v>
      </c>
      <c r="D1550" s="2">
        <v>20234844000431</v>
      </c>
      <c r="E1550" s="2">
        <v>7417193390971</v>
      </c>
      <c r="F1550" s="1" t="s">
        <v>2760</v>
      </c>
      <c r="G1550" s="1" t="s">
        <v>53</v>
      </c>
      <c r="H1550" s="1" t="s">
        <v>626</v>
      </c>
      <c r="I1550" s="1" t="s">
        <v>627</v>
      </c>
      <c r="J1550" s="1" t="s">
        <v>46</v>
      </c>
      <c r="K1550" t="s">
        <v>2761</v>
      </c>
      <c r="M1550" s="1" t="s">
        <v>58</v>
      </c>
      <c r="N1550" s="1">
        <v>0</v>
      </c>
      <c r="O1550" s="1" t="s">
        <v>105</v>
      </c>
      <c r="P1550" s="11" t="s">
        <v>2762</v>
      </c>
      <c r="R1550" s="1">
        <v>22</v>
      </c>
      <c r="T1550" s="1" t="s">
        <v>1160</v>
      </c>
      <c r="U1550" s="11" t="s">
        <v>2763</v>
      </c>
      <c r="V1550" s="1" t="s">
        <v>41</v>
      </c>
      <c r="W1550" s="1" t="s">
        <v>49</v>
      </c>
      <c r="Z1550" s="14">
        <v>1</v>
      </c>
    </row>
    <row r="1551" spans="1:32">
      <c r="A1551" s="181">
        <v>9463988</v>
      </c>
      <c r="B1551" s="181" t="s">
        <v>1153</v>
      </c>
      <c r="C1551" s="182" t="s">
        <v>2764</v>
      </c>
      <c r="D1551" s="183">
        <v>20234119000009</v>
      </c>
      <c r="E1551" s="183">
        <v>7419152172053</v>
      </c>
      <c r="F1551" s="181" t="s">
        <v>52</v>
      </c>
      <c r="G1551" s="181" t="s">
        <v>53</v>
      </c>
      <c r="H1551" s="181" t="s">
        <v>297</v>
      </c>
      <c r="I1551" s="181" t="s">
        <v>298</v>
      </c>
      <c r="J1551" s="181" t="s">
        <v>211</v>
      </c>
      <c r="K1551" t="s">
        <v>57</v>
      </c>
      <c r="M1551" s="1" t="s">
        <v>58</v>
      </c>
      <c r="N1551" s="1">
        <v>0</v>
      </c>
      <c r="O1551" s="1" t="s">
        <v>36</v>
      </c>
      <c r="P1551" s="11" t="s">
        <v>2765</v>
      </c>
      <c r="R1551" s="1">
        <v>8</v>
      </c>
      <c r="T1551" s="1" t="s">
        <v>238</v>
      </c>
      <c r="U1551" s="11" t="s">
        <v>2766</v>
      </c>
      <c r="V1551" s="1" t="s">
        <v>41</v>
      </c>
      <c r="W1551" s="1" t="s">
        <v>49</v>
      </c>
      <c r="X1551" s="13" t="str">
        <f t="shared" ref="X1551" si="280">IF(RIGHT(H1551,2)&lt;&gt;"00",H1551,"")</f>
        <v/>
      </c>
      <c r="Y1551" s="2">
        <f t="shared" ref="Y1551" ca="1" si="281">NETWORKDAYS(P1551,$Y$1)</f>
        <v>14</v>
      </c>
      <c r="Z1551" s="14">
        <v>1</v>
      </c>
      <c r="AA1551" s="1" t="str">
        <f t="shared" ref="AA1551" ca="1" si="282">IF(AE1551=0,"HOJE",IF(AE1551&gt;0,"A VENCER",IF(AE1551&lt;0,"VENCIDO")))</f>
        <v>VENCIDO</v>
      </c>
      <c r="AB1551" s="1" t="str">
        <f t="shared" ref="AB1551" si="283">IF(F1551="GRPE-000001","C-14",IF(F1551="GRPE-000002","C-14",IF(F1551="GRPE-000003","C-14",IF(F1551="GRPE-000004","SL-On",IF(F1551="GRPE-000038","C-14",IF(F1551="GRPE-900022","Dosa",IF(F1551="GRPE-000029","Dosa",IF(F1551="ATOS-000222","Dose","TAAe+"))))))))</f>
        <v>TAAe+</v>
      </c>
      <c r="AC1551" s="2" t="str">
        <f t="shared" ref="AC1551" si="284">IF(J1551="TR-PETROLINA"," ROSEMERE ",IF(J1551="TR-GARANHUNS"," ROSEMERE ",IF(J1551="TR-CARUARU"," ROSEMERE ",IF(J1551="TR-RIBEIRAO"," CRISTINA ",IF(J1551="TR-GRAVATA"," CRISTINA ",IF(J1551="TR-GOIANA"," CRISTINA ",IF(J1551="TR-LIMOEIRO"," CRISTINA ",IF(J1551="TR-SERRA TALHADA"," RINALDO ",IF(J1551="TR-SALGUEIRO"," RINALDO ",IF(J1551="TR-CARNAIBA"," RINALDO ",IF(J1551="TR-ARCOVERDE"," RINALDO ",IF(J1551="CAT-RECIFE"," CLEITON ",))))))))))))</f>
        <v xml:space="preserve"> RINALDO </v>
      </c>
      <c r="AD1551" s="2">
        <f t="shared" ref="AD1551" si="285">IF(F1551="GRPE-000001",5,IF(F1551="GRPE-000002",5,IF(F1551="GRPE-000003",15,IF(F1551="GRPE-000004",1,IF(F1551="GRPE-000038",5,IF(F1551="GRPE-900022",5,IF(F1551="GRPE-000029",5,IF(F1551="ATOS-000222",5,8))))))))</f>
        <v>8</v>
      </c>
      <c r="AE1551" s="2">
        <f t="shared" ref="AE1551" ca="1" si="286">IF(U1551=$AE$1,"",U1551-$AE$1)</f>
        <v>-18.157787847223517</v>
      </c>
      <c r="AF1551" s="15"/>
    </row>
    <row r="1552" spans="1:32" hidden="1">
      <c r="A1552" s="1">
        <v>9463922</v>
      </c>
      <c r="B1552" s="1" t="s">
        <v>1153</v>
      </c>
      <c r="C1552" t="s">
        <v>2366</v>
      </c>
      <c r="D1552" s="2">
        <v>20234923000064</v>
      </c>
      <c r="E1552" s="2">
        <v>7417172789133</v>
      </c>
      <c r="F1552" s="1" t="s">
        <v>1989</v>
      </c>
      <c r="G1552" s="1" t="s">
        <v>53</v>
      </c>
      <c r="H1552" s="1" t="s">
        <v>1966</v>
      </c>
      <c r="I1552" s="1" t="s">
        <v>1967</v>
      </c>
      <c r="J1552" s="1" t="s">
        <v>46</v>
      </c>
      <c r="K1552" t="s">
        <v>1990</v>
      </c>
      <c r="M1552" s="1" t="s">
        <v>58</v>
      </c>
      <c r="N1552" s="1">
        <v>0</v>
      </c>
      <c r="O1552" s="1" t="s">
        <v>105</v>
      </c>
      <c r="P1552" s="11" t="s">
        <v>2767</v>
      </c>
      <c r="R1552" s="1">
        <v>22</v>
      </c>
      <c r="T1552" s="1" t="s">
        <v>1160</v>
      </c>
      <c r="U1552" s="11" t="s">
        <v>2768</v>
      </c>
      <c r="V1552" s="1" t="s">
        <v>41</v>
      </c>
      <c r="W1552" s="1" t="s">
        <v>49</v>
      </c>
      <c r="Z1552" s="14">
        <v>1</v>
      </c>
    </row>
    <row r="1553" spans="1:26" hidden="1">
      <c r="A1553" s="1">
        <v>9463921</v>
      </c>
      <c r="B1553" s="1" t="s">
        <v>1153</v>
      </c>
      <c r="C1553" t="s">
        <v>2769</v>
      </c>
      <c r="D1553" s="2">
        <v>20234923000063</v>
      </c>
      <c r="E1553" s="2">
        <v>7417160931763</v>
      </c>
      <c r="F1553" s="1" t="s">
        <v>2770</v>
      </c>
      <c r="G1553" s="1" t="s">
        <v>53</v>
      </c>
      <c r="H1553" s="1" t="s">
        <v>1351</v>
      </c>
      <c r="I1553" s="1" t="s">
        <v>1352</v>
      </c>
      <c r="J1553" s="1" t="s">
        <v>46</v>
      </c>
      <c r="K1553" t="s">
        <v>2771</v>
      </c>
      <c r="M1553" s="1" t="s">
        <v>58</v>
      </c>
      <c r="N1553" s="1">
        <v>0</v>
      </c>
      <c r="O1553" s="1" t="s">
        <v>36</v>
      </c>
      <c r="P1553" s="12">
        <v>44967.493402777778</v>
      </c>
      <c r="R1553" s="1">
        <v>23</v>
      </c>
      <c r="T1553" s="1" t="s">
        <v>1160</v>
      </c>
      <c r="U1553" s="12">
        <v>44973.493402777778</v>
      </c>
      <c r="V1553" s="1" t="s">
        <v>41</v>
      </c>
      <c r="W1553" s="1" t="s">
        <v>49</v>
      </c>
      <c r="Z1553" s="14">
        <v>1</v>
      </c>
    </row>
    <row r="1554" spans="1:26" hidden="1">
      <c r="A1554" s="1">
        <v>9463920</v>
      </c>
      <c r="B1554" s="1" t="s">
        <v>1153</v>
      </c>
      <c r="C1554" t="s">
        <v>2769</v>
      </c>
      <c r="D1554" s="2">
        <v>20234923000062</v>
      </c>
      <c r="E1554" s="2">
        <v>7417160919971</v>
      </c>
      <c r="F1554" s="1" t="s">
        <v>2770</v>
      </c>
      <c r="G1554" s="1" t="s">
        <v>53</v>
      </c>
      <c r="H1554" s="1" t="s">
        <v>1351</v>
      </c>
      <c r="I1554" s="1" t="s">
        <v>1352</v>
      </c>
      <c r="J1554" s="1" t="s">
        <v>46</v>
      </c>
      <c r="K1554" t="s">
        <v>2771</v>
      </c>
      <c r="M1554" s="1" t="s">
        <v>58</v>
      </c>
      <c r="N1554" s="1">
        <v>0</v>
      </c>
      <c r="O1554" s="1" t="s">
        <v>36</v>
      </c>
      <c r="P1554" s="11" t="s">
        <v>2772</v>
      </c>
      <c r="R1554" s="1">
        <v>23</v>
      </c>
      <c r="T1554" s="1" t="s">
        <v>1160</v>
      </c>
      <c r="U1554" s="11" t="s">
        <v>2773</v>
      </c>
      <c r="V1554" s="1" t="s">
        <v>41</v>
      </c>
      <c r="W1554" s="1" t="s">
        <v>49</v>
      </c>
      <c r="Z1554" s="14">
        <v>1</v>
      </c>
    </row>
    <row r="1555" spans="1:26" hidden="1">
      <c r="A1555" s="1">
        <v>9463914</v>
      </c>
      <c r="B1555" s="1" t="s">
        <v>1153</v>
      </c>
      <c r="C1555" t="s">
        <v>2774</v>
      </c>
      <c r="D1555" s="2">
        <v>20232107000001</v>
      </c>
      <c r="E1555" s="2">
        <v>7417183023328</v>
      </c>
      <c r="F1555" s="1" t="s">
        <v>1313</v>
      </c>
      <c r="G1555" s="1" t="s">
        <v>53</v>
      </c>
      <c r="H1555" s="1" t="s">
        <v>2775</v>
      </c>
      <c r="I1555" s="1" t="s">
        <v>2776</v>
      </c>
      <c r="J1555" s="1" t="s">
        <v>164</v>
      </c>
      <c r="K1555" t="s">
        <v>1316</v>
      </c>
      <c r="M1555" s="1" t="s">
        <v>58</v>
      </c>
      <c r="N1555" s="1">
        <v>0</v>
      </c>
      <c r="O1555" s="1" t="s">
        <v>36</v>
      </c>
      <c r="P1555" s="186">
        <v>44967.499363425923</v>
      </c>
      <c r="R1555" s="1">
        <v>14</v>
      </c>
      <c r="T1555" s="1" t="s">
        <v>238</v>
      </c>
      <c r="U1555" s="186">
        <v>44967.499363425923</v>
      </c>
      <c r="V1555" s="1" t="s">
        <v>41</v>
      </c>
      <c r="W1555" s="1" t="s">
        <v>49</v>
      </c>
      <c r="Z1555" s="14">
        <v>1</v>
      </c>
    </row>
    <row r="1556" spans="1:26" hidden="1">
      <c r="A1556" s="1">
        <v>9463910</v>
      </c>
      <c r="B1556" s="1" t="s">
        <v>1153</v>
      </c>
      <c r="C1556" t="s">
        <v>2777</v>
      </c>
      <c r="D1556" s="2">
        <v>20230673000010</v>
      </c>
      <c r="E1556" s="2">
        <v>7419152459789</v>
      </c>
      <c r="F1556" s="1" t="s">
        <v>2744</v>
      </c>
      <c r="G1556" s="1" t="s">
        <v>53</v>
      </c>
      <c r="H1556" s="1" t="s">
        <v>581</v>
      </c>
      <c r="I1556" s="1" t="s">
        <v>582</v>
      </c>
      <c r="J1556" s="1" t="s">
        <v>110</v>
      </c>
      <c r="K1556" t="s">
        <v>2745</v>
      </c>
      <c r="M1556" s="1" t="s">
        <v>58</v>
      </c>
      <c r="N1556" s="1">
        <v>0</v>
      </c>
      <c r="O1556" s="1" t="s">
        <v>36</v>
      </c>
      <c r="P1556" s="186">
        <v>44967.491342592592</v>
      </c>
      <c r="R1556" s="1">
        <v>22</v>
      </c>
      <c r="T1556" s="1" t="s">
        <v>1160</v>
      </c>
      <c r="U1556" s="186">
        <v>44971.699675925927</v>
      </c>
      <c r="V1556" s="1" t="s">
        <v>41</v>
      </c>
      <c r="W1556" s="1" t="s">
        <v>49</v>
      </c>
      <c r="Z1556" s="14">
        <v>1</v>
      </c>
    </row>
    <row r="1557" spans="1:26" hidden="1">
      <c r="A1557" s="1">
        <v>9463836</v>
      </c>
      <c r="B1557" s="1" t="s">
        <v>1153</v>
      </c>
      <c r="C1557" t="s">
        <v>2778</v>
      </c>
      <c r="D1557" s="2">
        <v>20230673000009</v>
      </c>
      <c r="E1557" s="2">
        <v>7419152459789</v>
      </c>
      <c r="F1557" s="1" t="s">
        <v>2744</v>
      </c>
      <c r="G1557" s="1" t="s">
        <v>53</v>
      </c>
      <c r="H1557" s="1" t="s">
        <v>581</v>
      </c>
      <c r="I1557" s="1" t="s">
        <v>582</v>
      </c>
      <c r="J1557" s="1" t="s">
        <v>110</v>
      </c>
      <c r="K1557" t="s">
        <v>2745</v>
      </c>
      <c r="M1557" s="1" t="s">
        <v>58</v>
      </c>
      <c r="N1557" s="1">
        <v>0</v>
      </c>
      <c r="O1557" s="1" t="s">
        <v>36</v>
      </c>
      <c r="P1557" s="11" t="s">
        <v>2779</v>
      </c>
      <c r="R1557" s="1">
        <v>22</v>
      </c>
      <c r="T1557" s="1" t="s">
        <v>1160</v>
      </c>
      <c r="U1557" s="11" t="s">
        <v>2780</v>
      </c>
      <c r="V1557" s="1" t="s">
        <v>41</v>
      </c>
      <c r="W1557" s="1" t="s">
        <v>49</v>
      </c>
      <c r="Z1557" s="14">
        <v>1</v>
      </c>
    </row>
    <row r="1558" spans="1:26" hidden="1">
      <c r="A1558" s="1">
        <v>9463783</v>
      </c>
      <c r="B1558" s="1" t="s">
        <v>1153</v>
      </c>
      <c r="C1558" t="s">
        <v>2781</v>
      </c>
      <c r="D1558" s="2">
        <v>20231363000015</v>
      </c>
      <c r="E1558" s="2">
        <v>7417172790231</v>
      </c>
      <c r="F1558" s="1" t="s">
        <v>1989</v>
      </c>
      <c r="G1558" s="1" t="s">
        <v>53</v>
      </c>
      <c r="H1558" s="1" t="s">
        <v>108</v>
      </c>
      <c r="I1558" s="1" t="s">
        <v>109</v>
      </c>
      <c r="J1558" s="1" t="s">
        <v>110</v>
      </c>
      <c r="K1558" t="s">
        <v>1990</v>
      </c>
      <c r="M1558" s="1" t="s">
        <v>58</v>
      </c>
      <c r="N1558" s="1">
        <v>0</v>
      </c>
      <c r="O1558" s="1" t="s">
        <v>105</v>
      </c>
      <c r="P1558" s="11" t="s">
        <v>2782</v>
      </c>
      <c r="R1558" s="1">
        <v>22</v>
      </c>
      <c r="T1558" s="1" t="s">
        <v>1160</v>
      </c>
      <c r="U1558" s="11" t="s">
        <v>2783</v>
      </c>
      <c r="V1558" s="1" t="s">
        <v>41</v>
      </c>
      <c r="W1558" s="1" t="s">
        <v>49</v>
      </c>
      <c r="Z1558" s="14">
        <v>1</v>
      </c>
    </row>
    <row r="1559" spans="1:26" hidden="1">
      <c r="A1559" s="1">
        <v>9463760</v>
      </c>
      <c r="B1559" s="1" t="s">
        <v>1153</v>
      </c>
      <c r="C1559" t="s">
        <v>2784</v>
      </c>
      <c r="D1559" s="2">
        <v>20238660000005</v>
      </c>
      <c r="E1559" s="2">
        <v>7419152403286</v>
      </c>
      <c r="F1559" s="1" t="s">
        <v>2533</v>
      </c>
      <c r="G1559" s="1" t="s">
        <v>53</v>
      </c>
      <c r="H1559" s="1" t="s">
        <v>2785</v>
      </c>
      <c r="I1559" s="1" t="s">
        <v>2786</v>
      </c>
      <c r="J1559" s="1" t="s">
        <v>46</v>
      </c>
      <c r="K1559" t="s">
        <v>2536</v>
      </c>
      <c r="M1559" s="1" t="s">
        <v>58</v>
      </c>
      <c r="N1559" s="1">
        <v>0</v>
      </c>
      <c r="O1559" s="1" t="s">
        <v>36</v>
      </c>
      <c r="P1559" s="11" t="s">
        <v>2787</v>
      </c>
      <c r="R1559" s="1">
        <v>22</v>
      </c>
      <c r="T1559" s="1" t="s">
        <v>1160</v>
      </c>
      <c r="U1559" s="11" t="s">
        <v>2788</v>
      </c>
      <c r="V1559" s="1" t="s">
        <v>41</v>
      </c>
      <c r="W1559" s="1" t="s">
        <v>49</v>
      </c>
      <c r="Z1559" s="14">
        <v>1</v>
      </c>
    </row>
    <row r="1560" spans="1:26" hidden="1">
      <c r="A1560" s="1">
        <v>9463753</v>
      </c>
      <c r="B1560" s="1" t="s">
        <v>1153</v>
      </c>
      <c r="C1560" t="s">
        <v>2789</v>
      </c>
      <c r="D1560" s="2">
        <v>20238660000004</v>
      </c>
      <c r="E1560" s="2">
        <v>7419152403300</v>
      </c>
      <c r="F1560" s="1" t="s">
        <v>2533</v>
      </c>
      <c r="G1560" s="1" t="s">
        <v>53</v>
      </c>
      <c r="H1560" s="1" t="s">
        <v>2785</v>
      </c>
      <c r="I1560" s="1" t="s">
        <v>2786</v>
      </c>
      <c r="J1560" s="1" t="s">
        <v>46</v>
      </c>
      <c r="K1560" t="s">
        <v>2536</v>
      </c>
      <c r="M1560" s="1" t="s">
        <v>58</v>
      </c>
      <c r="N1560" s="1">
        <v>0</v>
      </c>
      <c r="O1560" s="1" t="s">
        <v>36</v>
      </c>
      <c r="P1560" s="12">
        <v>44967.468275462961</v>
      </c>
      <c r="R1560" s="1">
        <v>22</v>
      </c>
      <c r="T1560" s="1" t="s">
        <v>1160</v>
      </c>
      <c r="U1560" s="12">
        <v>44971.676608796297</v>
      </c>
      <c r="V1560" s="1" t="s">
        <v>41</v>
      </c>
      <c r="W1560" s="1" t="s">
        <v>49</v>
      </c>
      <c r="Z1560" s="14">
        <v>1</v>
      </c>
    </row>
    <row r="1561" spans="1:26" hidden="1">
      <c r="A1561" s="1">
        <v>9463716</v>
      </c>
      <c r="B1561" s="1" t="s">
        <v>1153</v>
      </c>
      <c r="C1561" t="s">
        <v>2790</v>
      </c>
      <c r="E1561" s="2">
        <v>9406000206001</v>
      </c>
      <c r="F1561" s="1" t="s">
        <v>29</v>
      </c>
      <c r="G1561" s="1" t="s">
        <v>53</v>
      </c>
      <c r="H1561" s="1" t="s">
        <v>114</v>
      </c>
      <c r="I1561" s="1" t="s">
        <v>115</v>
      </c>
      <c r="J1561" s="1" t="s">
        <v>46</v>
      </c>
      <c r="K1561" t="s">
        <v>34</v>
      </c>
      <c r="M1561" s="1" t="s">
        <v>35</v>
      </c>
      <c r="N1561" s="1">
        <v>42318949</v>
      </c>
      <c r="O1561" s="1" t="s">
        <v>36</v>
      </c>
      <c r="P1561" s="12">
        <v>44967.479432870372</v>
      </c>
      <c r="R1561" s="1" t="s">
        <v>38</v>
      </c>
      <c r="T1561" s="1" t="s">
        <v>74</v>
      </c>
      <c r="U1561" s="12">
        <v>44973.604166666664</v>
      </c>
      <c r="V1561" s="1" t="s">
        <v>41</v>
      </c>
      <c r="W1561" s="1" t="s">
        <v>49</v>
      </c>
      <c r="Z1561" s="14">
        <v>1</v>
      </c>
    </row>
    <row r="1562" spans="1:26" hidden="1">
      <c r="A1562" s="1">
        <v>9463526</v>
      </c>
      <c r="B1562" s="1" t="s">
        <v>1153</v>
      </c>
      <c r="C1562" t="s">
        <v>2791</v>
      </c>
      <c r="D1562" s="2">
        <v>20234076000009</v>
      </c>
      <c r="E1562" s="2">
        <v>7421162080646</v>
      </c>
      <c r="F1562" s="1" t="s">
        <v>2792</v>
      </c>
      <c r="G1562" s="1" t="s">
        <v>53</v>
      </c>
      <c r="H1562" s="1" t="s">
        <v>426</v>
      </c>
      <c r="I1562" s="1" t="s">
        <v>427</v>
      </c>
      <c r="J1562" s="1" t="s">
        <v>79</v>
      </c>
      <c r="K1562" t="s">
        <v>2793</v>
      </c>
      <c r="M1562" s="1" t="s">
        <v>58</v>
      </c>
      <c r="N1562" s="1">
        <v>0</v>
      </c>
      <c r="O1562" s="1" t="s">
        <v>105</v>
      </c>
      <c r="P1562" s="186">
        <v>44967.44159722222</v>
      </c>
      <c r="R1562" s="1">
        <v>22</v>
      </c>
      <c r="T1562" s="1" t="s">
        <v>1160</v>
      </c>
      <c r="U1562" s="186">
        <v>44971.649930555555</v>
      </c>
      <c r="V1562" s="1" t="s">
        <v>41</v>
      </c>
      <c r="W1562" s="1" t="s">
        <v>49</v>
      </c>
      <c r="Z1562" s="14">
        <v>1</v>
      </c>
    </row>
    <row r="1563" spans="1:26" hidden="1">
      <c r="A1563" s="1">
        <v>9463523</v>
      </c>
      <c r="B1563" s="1" t="s">
        <v>1153</v>
      </c>
      <c r="C1563" t="s">
        <v>2794</v>
      </c>
      <c r="D1563" s="2">
        <v>20234235000007</v>
      </c>
      <c r="E1563" s="2">
        <v>7419152435762</v>
      </c>
      <c r="F1563" s="1" t="s">
        <v>2744</v>
      </c>
      <c r="G1563" s="1" t="s">
        <v>53</v>
      </c>
      <c r="H1563" s="1" t="s">
        <v>291</v>
      </c>
      <c r="I1563" s="1" t="s">
        <v>292</v>
      </c>
      <c r="J1563" s="1" t="s">
        <v>46</v>
      </c>
      <c r="K1563" t="s">
        <v>2745</v>
      </c>
      <c r="M1563" s="1" t="s">
        <v>58</v>
      </c>
      <c r="N1563" s="1">
        <v>0</v>
      </c>
      <c r="O1563" s="1" t="s">
        <v>105</v>
      </c>
      <c r="P1563" s="186">
        <v>44967.437199074076</v>
      </c>
      <c r="R1563" s="1">
        <v>22</v>
      </c>
      <c r="T1563" s="1" t="s">
        <v>1160</v>
      </c>
      <c r="U1563" s="186">
        <v>44971.645532407405</v>
      </c>
      <c r="V1563" s="1" t="s">
        <v>41</v>
      </c>
      <c r="W1563" s="1" t="s">
        <v>49</v>
      </c>
      <c r="Z1563" s="14">
        <v>1</v>
      </c>
    </row>
    <row r="1564" spans="1:26" hidden="1">
      <c r="A1564" s="1">
        <v>9463456</v>
      </c>
      <c r="B1564" s="1" t="s">
        <v>1153</v>
      </c>
      <c r="C1564" t="s">
        <v>2795</v>
      </c>
      <c r="D1564" s="2">
        <v>20234844000428</v>
      </c>
      <c r="E1564" s="2">
        <v>7417183020147</v>
      </c>
      <c r="F1564" s="1" t="s">
        <v>1313</v>
      </c>
      <c r="G1564" s="1" t="s">
        <v>53</v>
      </c>
      <c r="H1564" s="1" t="s">
        <v>2796</v>
      </c>
      <c r="I1564" s="1" t="s">
        <v>2797</v>
      </c>
      <c r="J1564" s="1" t="s">
        <v>46</v>
      </c>
      <c r="K1564" t="s">
        <v>1316</v>
      </c>
      <c r="M1564" s="1" t="s">
        <v>58</v>
      </c>
      <c r="N1564" s="1">
        <v>0</v>
      </c>
      <c r="O1564" s="1" t="s">
        <v>105</v>
      </c>
      <c r="P1564" s="11" t="s">
        <v>2798</v>
      </c>
      <c r="R1564" s="1">
        <v>13</v>
      </c>
      <c r="T1564" s="1" t="s">
        <v>238</v>
      </c>
      <c r="U1564" s="11" t="s">
        <v>2798</v>
      </c>
      <c r="V1564" s="1" t="s">
        <v>41</v>
      </c>
      <c r="W1564" s="1" t="s">
        <v>49</v>
      </c>
      <c r="Z1564" s="14">
        <v>1</v>
      </c>
    </row>
    <row r="1565" spans="1:26" hidden="1">
      <c r="A1565" s="1">
        <v>9463428</v>
      </c>
      <c r="B1565" s="1" t="s">
        <v>1153</v>
      </c>
      <c r="C1565" t="s">
        <v>2799</v>
      </c>
      <c r="D1565" s="2">
        <v>20231689000008</v>
      </c>
      <c r="E1565" s="2">
        <v>7419141892183</v>
      </c>
      <c r="F1565" s="1" t="s">
        <v>128</v>
      </c>
      <c r="G1565" s="1" t="s">
        <v>53</v>
      </c>
      <c r="H1565" s="1" t="s">
        <v>2131</v>
      </c>
      <c r="I1565" s="1" t="s">
        <v>2132</v>
      </c>
      <c r="J1565" s="1" t="s">
        <v>79</v>
      </c>
      <c r="K1565" t="s">
        <v>129</v>
      </c>
      <c r="M1565" s="1" t="s">
        <v>58</v>
      </c>
      <c r="N1565" s="1">
        <v>0</v>
      </c>
      <c r="O1565" s="1" t="s">
        <v>36</v>
      </c>
      <c r="P1565" s="11" t="s">
        <v>2800</v>
      </c>
      <c r="R1565" s="1">
        <v>13</v>
      </c>
      <c r="T1565" s="1" t="s">
        <v>238</v>
      </c>
      <c r="U1565" s="11" t="s">
        <v>2800</v>
      </c>
      <c r="V1565" s="1" t="s">
        <v>41</v>
      </c>
      <c r="W1565" s="1" t="s">
        <v>49</v>
      </c>
      <c r="Z1565" s="14">
        <v>1</v>
      </c>
    </row>
    <row r="1566" spans="1:26" hidden="1">
      <c r="A1566" s="1">
        <v>9463181</v>
      </c>
      <c r="B1566" s="1" t="s">
        <v>1153</v>
      </c>
      <c r="C1566" t="s">
        <v>2801</v>
      </c>
      <c r="E1566" s="2">
        <v>4997000206001</v>
      </c>
      <c r="F1566" s="1" t="s">
        <v>29</v>
      </c>
      <c r="G1566" s="1" t="s">
        <v>53</v>
      </c>
      <c r="H1566" s="1" t="s">
        <v>406</v>
      </c>
      <c r="I1566" s="1" t="s">
        <v>407</v>
      </c>
      <c r="J1566" s="1" t="s">
        <v>79</v>
      </c>
      <c r="K1566" t="s">
        <v>34</v>
      </c>
      <c r="M1566" s="1" t="s">
        <v>35</v>
      </c>
      <c r="N1566" s="1">
        <v>42318949</v>
      </c>
      <c r="O1566" s="1" t="s">
        <v>36</v>
      </c>
      <c r="P1566" s="11" t="s">
        <v>2802</v>
      </c>
      <c r="R1566" s="1" t="s">
        <v>38</v>
      </c>
      <c r="T1566" s="1" t="s">
        <v>74</v>
      </c>
      <c r="U1566" s="11" t="s">
        <v>2455</v>
      </c>
      <c r="V1566" s="1" t="s">
        <v>41</v>
      </c>
      <c r="W1566" s="1" t="s">
        <v>49</v>
      </c>
      <c r="Z1566" s="14">
        <v>1</v>
      </c>
    </row>
    <row r="1567" spans="1:26" hidden="1">
      <c r="A1567" s="1">
        <v>9463157</v>
      </c>
      <c r="B1567" s="1" t="s">
        <v>1153</v>
      </c>
      <c r="C1567" t="s">
        <v>2803</v>
      </c>
      <c r="D1567" s="2">
        <v>230027366</v>
      </c>
      <c r="E1567" s="2">
        <v>4637001400010</v>
      </c>
      <c r="F1567" s="1" t="s">
        <v>936</v>
      </c>
      <c r="G1567" s="1" t="s">
        <v>53</v>
      </c>
      <c r="H1567" s="1" t="s">
        <v>848</v>
      </c>
      <c r="I1567" s="1" t="s">
        <v>849</v>
      </c>
      <c r="J1567" s="1" t="s">
        <v>79</v>
      </c>
      <c r="K1567" t="s">
        <v>937</v>
      </c>
      <c r="M1567" s="1" t="s">
        <v>58</v>
      </c>
      <c r="N1567" s="1">
        <v>0</v>
      </c>
      <c r="O1567" s="1" t="s">
        <v>36</v>
      </c>
      <c r="P1567" s="11" t="s">
        <v>2804</v>
      </c>
      <c r="R1567" s="1">
        <v>3</v>
      </c>
      <c r="T1567" s="1" t="s">
        <v>646</v>
      </c>
      <c r="U1567" s="11" t="s">
        <v>2805</v>
      </c>
      <c r="V1567" s="1" t="s">
        <v>41</v>
      </c>
      <c r="W1567" s="1" t="s">
        <v>49</v>
      </c>
      <c r="Z1567" s="14">
        <v>1</v>
      </c>
    </row>
    <row r="1568" spans="1:26" hidden="1">
      <c r="A1568" s="1">
        <v>9463054</v>
      </c>
      <c r="B1568" s="1" t="s">
        <v>1153</v>
      </c>
      <c r="C1568" t="s">
        <v>2806</v>
      </c>
      <c r="D1568" s="2">
        <v>20234844000427</v>
      </c>
      <c r="E1568" s="2">
        <v>7417183020641</v>
      </c>
      <c r="F1568" s="1" t="s">
        <v>1313</v>
      </c>
      <c r="G1568" s="1" t="s">
        <v>53</v>
      </c>
      <c r="H1568" s="1" t="s">
        <v>2444</v>
      </c>
      <c r="I1568" s="1" t="s">
        <v>2445</v>
      </c>
      <c r="J1568" s="1" t="s">
        <v>46</v>
      </c>
      <c r="K1568" t="s">
        <v>1316</v>
      </c>
      <c r="M1568" s="1" t="s">
        <v>58</v>
      </c>
      <c r="N1568" s="1">
        <v>0</v>
      </c>
      <c r="O1568" s="1" t="s">
        <v>105</v>
      </c>
      <c r="P1568" s="11" t="s">
        <v>2807</v>
      </c>
      <c r="R1568" s="1">
        <v>13</v>
      </c>
      <c r="T1568" s="1" t="s">
        <v>238</v>
      </c>
      <c r="U1568" s="11" t="s">
        <v>2637</v>
      </c>
      <c r="V1568" s="1" t="s">
        <v>41</v>
      </c>
      <c r="W1568" s="1" t="s">
        <v>49</v>
      </c>
      <c r="Z1568" s="14">
        <v>1</v>
      </c>
    </row>
    <row r="1569" spans="1:26" hidden="1">
      <c r="A1569" s="1">
        <v>9462879</v>
      </c>
      <c r="B1569" s="1" t="s">
        <v>1153</v>
      </c>
      <c r="C1569" t="s">
        <v>2808</v>
      </c>
      <c r="D1569" s="2">
        <v>20232369000006</v>
      </c>
      <c r="E1569" s="2">
        <v>7417202020456</v>
      </c>
      <c r="F1569" s="1" t="s">
        <v>1213</v>
      </c>
      <c r="G1569" s="1" t="s">
        <v>53</v>
      </c>
      <c r="H1569" s="1" t="s">
        <v>2809</v>
      </c>
      <c r="I1569" s="1" t="s">
        <v>2810</v>
      </c>
      <c r="J1569" s="1" t="s">
        <v>141</v>
      </c>
      <c r="K1569" t="s">
        <v>1214</v>
      </c>
      <c r="M1569" s="1" t="s">
        <v>58</v>
      </c>
      <c r="N1569" s="1">
        <v>0</v>
      </c>
      <c r="O1569" s="1" t="s">
        <v>105</v>
      </c>
      <c r="P1569" s="11" t="s">
        <v>2811</v>
      </c>
      <c r="R1569" s="1">
        <v>14</v>
      </c>
      <c r="T1569" s="1" t="s">
        <v>238</v>
      </c>
      <c r="U1569" s="11" t="s">
        <v>2637</v>
      </c>
      <c r="V1569" s="1" t="s">
        <v>41</v>
      </c>
      <c r="W1569" s="1" t="s">
        <v>49</v>
      </c>
      <c r="Z1569" s="14">
        <v>1</v>
      </c>
    </row>
    <row r="1570" spans="1:26" hidden="1">
      <c r="A1570" s="1">
        <v>9462822</v>
      </c>
      <c r="B1570" s="1" t="s">
        <v>1153</v>
      </c>
      <c r="C1570" t="s">
        <v>2812</v>
      </c>
      <c r="E1570" s="2">
        <v>7740206001</v>
      </c>
      <c r="F1570" s="1" t="s">
        <v>29</v>
      </c>
      <c r="G1570" s="1" t="s">
        <v>53</v>
      </c>
      <c r="H1570" s="1" t="s">
        <v>187</v>
      </c>
      <c r="I1570" s="1" t="s">
        <v>188</v>
      </c>
      <c r="J1570" s="1" t="s">
        <v>46</v>
      </c>
      <c r="K1570" t="s">
        <v>34</v>
      </c>
      <c r="M1570" s="1" t="s">
        <v>35</v>
      </c>
      <c r="N1570" s="1">
        <v>42318949</v>
      </c>
      <c r="O1570" s="1" t="s">
        <v>36</v>
      </c>
      <c r="P1570" s="11" t="s">
        <v>2813</v>
      </c>
      <c r="R1570" s="1" t="s">
        <v>38</v>
      </c>
      <c r="T1570" s="1" t="s">
        <v>74</v>
      </c>
      <c r="U1570" s="11" t="s">
        <v>2039</v>
      </c>
      <c r="V1570" s="1" t="s">
        <v>41</v>
      </c>
      <c r="W1570" s="1" t="s">
        <v>49</v>
      </c>
      <c r="Z1570" s="14">
        <v>1</v>
      </c>
    </row>
    <row r="1571" spans="1:26">
      <c r="A1571" s="1">
        <v>9478527</v>
      </c>
      <c r="B1571" s="1" t="s">
        <v>101</v>
      </c>
      <c r="C1571" t="s">
        <v>1978</v>
      </c>
      <c r="D1571" s="2">
        <v>20232437000021</v>
      </c>
      <c r="E1571" s="2">
        <v>7419141893524</v>
      </c>
      <c r="F1571" s="1" t="s">
        <v>128</v>
      </c>
      <c r="G1571" s="1" t="s">
        <v>53</v>
      </c>
      <c r="H1571" s="1" t="s">
        <v>2418</v>
      </c>
      <c r="I1571" s="1" t="s">
        <v>2419</v>
      </c>
      <c r="J1571" s="1" t="s">
        <v>211</v>
      </c>
      <c r="K1571" t="s">
        <v>129</v>
      </c>
      <c r="M1571" s="1" t="s">
        <v>58</v>
      </c>
      <c r="N1571" s="1">
        <v>0</v>
      </c>
      <c r="O1571" s="1" t="s">
        <v>105</v>
      </c>
      <c r="P1571" s="186">
        <v>44970.765868055554</v>
      </c>
      <c r="R1571" s="1">
        <v>14</v>
      </c>
      <c r="T1571" s="1" t="s">
        <v>238</v>
      </c>
      <c r="U1571" s="186">
        <v>44970.765868055554</v>
      </c>
      <c r="V1571" s="1" t="s">
        <v>41</v>
      </c>
      <c r="W1571" s="1" t="s">
        <v>49</v>
      </c>
      <c r="Z1571" s="14">
        <v>1</v>
      </c>
    </row>
    <row r="1572" spans="1:26" hidden="1">
      <c r="A1572" s="1">
        <v>9478476</v>
      </c>
      <c r="B1572" s="1" t="s">
        <v>101</v>
      </c>
      <c r="C1572" t="s">
        <v>1978</v>
      </c>
      <c r="D1572" s="2">
        <v>20232678000014</v>
      </c>
      <c r="E1572" s="2">
        <v>7417163281860</v>
      </c>
      <c r="F1572" s="1" t="s">
        <v>131</v>
      </c>
      <c r="G1572" s="1" t="s">
        <v>53</v>
      </c>
      <c r="H1572" s="1" t="s">
        <v>2814</v>
      </c>
      <c r="I1572" s="1" t="s">
        <v>2815</v>
      </c>
      <c r="J1572" s="1" t="s">
        <v>33</v>
      </c>
      <c r="K1572" t="s">
        <v>132</v>
      </c>
      <c r="M1572" s="1" t="s">
        <v>58</v>
      </c>
      <c r="N1572" s="1">
        <v>0</v>
      </c>
      <c r="O1572" s="1" t="s">
        <v>105</v>
      </c>
      <c r="P1572" s="186">
        <v>44970.760370370372</v>
      </c>
      <c r="R1572" s="1">
        <v>15</v>
      </c>
      <c r="T1572" s="1" t="s">
        <v>238</v>
      </c>
      <c r="U1572" s="186">
        <v>44970.760370370372</v>
      </c>
      <c r="V1572" s="1" t="s">
        <v>41</v>
      </c>
      <c r="W1572" s="1" t="s">
        <v>42</v>
      </c>
      <c r="Z1572" s="14">
        <v>1</v>
      </c>
    </row>
    <row r="1573" spans="1:26" hidden="1">
      <c r="A1573" s="1">
        <v>9478382</v>
      </c>
      <c r="B1573" s="1" t="s">
        <v>101</v>
      </c>
      <c r="C1573" t="s">
        <v>1978</v>
      </c>
      <c r="D1573" s="2">
        <v>20234923000067</v>
      </c>
      <c r="E1573" s="2">
        <v>7419141892150</v>
      </c>
      <c r="F1573" s="1" t="s">
        <v>128</v>
      </c>
      <c r="G1573" s="1" t="s">
        <v>53</v>
      </c>
      <c r="H1573" s="1" t="s">
        <v>1966</v>
      </c>
      <c r="I1573" s="1" t="s">
        <v>1967</v>
      </c>
      <c r="J1573" s="1" t="s">
        <v>46</v>
      </c>
      <c r="K1573" t="s">
        <v>129</v>
      </c>
      <c r="M1573" s="1" t="s">
        <v>58</v>
      </c>
      <c r="N1573" s="1">
        <v>0</v>
      </c>
      <c r="O1573" s="1" t="s">
        <v>105</v>
      </c>
      <c r="P1573" s="186">
        <v>44970.75644675926</v>
      </c>
      <c r="R1573" s="1">
        <v>13</v>
      </c>
      <c r="T1573" s="1" t="s">
        <v>238</v>
      </c>
      <c r="U1573" s="186">
        <v>44970.75644675926</v>
      </c>
      <c r="V1573" s="1" t="s">
        <v>41</v>
      </c>
      <c r="W1573" s="1" t="s">
        <v>49</v>
      </c>
      <c r="Z1573" s="14">
        <v>1</v>
      </c>
    </row>
    <row r="1574" spans="1:26" hidden="1">
      <c r="A1574" s="1">
        <v>9478325</v>
      </c>
      <c r="B1574" s="1" t="s">
        <v>101</v>
      </c>
      <c r="C1574" t="s">
        <v>1978</v>
      </c>
      <c r="D1574" s="2">
        <v>20234844000453</v>
      </c>
      <c r="E1574" s="2">
        <v>7417163282352</v>
      </c>
      <c r="F1574" s="1" t="s">
        <v>131</v>
      </c>
      <c r="G1574" s="1" t="s">
        <v>53</v>
      </c>
      <c r="H1574" s="1" t="s">
        <v>2816</v>
      </c>
      <c r="I1574" s="1" t="s">
        <v>2817</v>
      </c>
      <c r="J1574" s="1" t="s">
        <v>46</v>
      </c>
      <c r="K1574" t="s">
        <v>132</v>
      </c>
      <c r="M1574" s="1" t="s">
        <v>58</v>
      </c>
      <c r="N1574" s="1">
        <v>0</v>
      </c>
      <c r="O1574" s="1" t="s">
        <v>105</v>
      </c>
      <c r="P1574" s="186">
        <v>44970.750717592593</v>
      </c>
      <c r="R1574" s="1">
        <v>13</v>
      </c>
      <c r="T1574" s="1" t="s">
        <v>238</v>
      </c>
      <c r="U1574" s="186">
        <v>44970.750717592593</v>
      </c>
      <c r="V1574" s="1" t="s">
        <v>41</v>
      </c>
      <c r="W1574" s="1" t="s">
        <v>49</v>
      </c>
      <c r="Z1574" s="14">
        <v>1</v>
      </c>
    </row>
    <row r="1575" spans="1:26" hidden="1">
      <c r="A1575" s="1">
        <v>9478324</v>
      </c>
      <c r="B1575" s="1" t="s">
        <v>101</v>
      </c>
      <c r="C1575" t="s">
        <v>1978</v>
      </c>
      <c r="D1575" s="2">
        <v>20234637000008</v>
      </c>
      <c r="E1575" s="2">
        <v>7417163284105</v>
      </c>
      <c r="F1575" s="1" t="s">
        <v>131</v>
      </c>
      <c r="G1575" s="1" t="s">
        <v>53</v>
      </c>
      <c r="H1575" s="1" t="s">
        <v>2004</v>
      </c>
      <c r="I1575" s="1" t="s">
        <v>2005</v>
      </c>
      <c r="J1575" s="1" t="s">
        <v>79</v>
      </c>
      <c r="K1575" t="s">
        <v>132</v>
      </c>
      <c r="M1575" s="1" t="s">
        <v>58</v>
      </c>
      <c r="N1575" s="1">
        <v>0</v>
      </c>
      <c r="O1575" s="1" t="s">
        <v>105</v>
      </c>
      <c r="P1575" s="186">
        <v>44970.750706018516</v>
      </c>
      <c r="R1575" s="1">
        <v>14</v>
      </c>
      <c r="T1575" s="1" t="s">
        <v>238</v>
      </c>
      <c r="U1575" s="186">
        <v>44970.750706018516</v>
      </c>
      <c r="V1575" s="1" t="s">
        <v>41</v>
      </c>
      <c r="W1575" s="1" t="s">
        <v>49</v>
      </c>
      <c r="Z1575" s="14">
        <v>1</v>
      </c>
    </row>
    <row r="1576" spans="1:26" hidden="1">
      <c r="A1576" s="1">
        <v>9478286</v>
      </c>
      <c r="B1576" s="1" t="s">
        <v>1153</v>
      </c>
      <c r="C1576" t="s">
        <v>2818</v>
      </c>
      <c r="D1576" s="2">
        <v>20238362000004</v>
      </c>
      <c r="E1576" s="2">
        <v>7417202236678</v>
      </c>
      <c r="F1576" s="1" t="s">
        <v>2819</v>
      </c>
      <c r="G1576" s="1" t="s">
        <v>53</v>
      </c>
      <c r="H1576" s="1" t="s">
        <v>1244</v>
      </c>
      <c r="I1576" s="1" t="s">
        <v>1245</v>
      </c>
      <c r="J1576" s="1" t="s">
        <v>46</v>
      </c>
      <c r="K1576" t="s">
        <v>2820</v>
      </c>
      <c r="M1576" s="1" t="s">
        <v>58</v>
      </c>
      <c r="N1576" s="1">
        <v>0</v>
      </c>
      <c r="O1576" s="1" t="s">
        <v>105</v>
      </c>
      <c r="P1576" s="186">
        <v>44970.757997685185</v>
      </c>
      <c r="R1576" s="1">
        <v>22</v>
      </c>
      <c r="T1576" s="1" t="s">
        <v>1160</v>
      </c>
      <c r="U1576" s="186">
        <v>44973.583333333336</v>
      </c>
      <c r="V1576" s="1" t="s">
        <v>41</v>
      </c>
      <c r="W1576" s="1" t="s">
        <v>49</v>
      </c>
      <c r="Z1576" s="14">
        <v>1</v>
      </c>
    </row>
    <row r="1577" spans="1:26" hidden="1">
      <c r="A1577" s="1">
        <v>9478256</v>
      </c>
      <c r="B1577" s="1" t="s">
        <v>101</v>
      </c>
      <c r="C1577" t="s">
        <v>1978</v>
      </c>
      <c r="D1577" s="2">
        <v>20234844000452</v>
      </c>
      <c r="E1577" s="2">
        <v>7417183020637</v>
      </c>
      <c r="F1577" s="1" t="s">
        <v>1313</v>
      </c>
      <c r="G1577" s="1" t="s">
        <v>53</v>
      </c>
      <c r="H1577" s="1" t="s">
        <v>2816</v>
      </c>
      <c r="I1577" s="1" t="s">
        <v>2817</v>
      </c>
      <c r="J1577" s="1" t="s">
        <v>46</v>
      </c>
      <c r="K1577" t="s">
        <v>1316</v>
      </c>
      <c r="M1577" s="1" t="s">
        <v>58</v>
      </c>
      <c r="N1577" s="1">
        <v>0</v>
      </c>
      <c r="O1577" s="1" t="s">
        <v>105</v>
      </c>
      <c r="P1577" s="186">
        <v>44970.748796296299</v>
      </c>
      <c r="R1577" s="1">
        <v>13</v>
      </c>
      <c r="T1577" s="1" t="s">
        <v>238</v>
      </c>
      <c r="U1577" s="186">
        <v>44970.748796296299</v>
      </c>
      <c r="V1577" s="1" t="s">
        <v>41</v>
      </c>
      <c r="W1577" s="1" t="s">
        <v>49</v>
      </c>
      <c r="Z1577" s="14">
        <v>1</v>
      </c>
    </row>
    <row r="1578" spans="1:26" hidden="1">
      <c r="A1578" s="1">
        <v>9478195</v>
      </c>
      <c r="B1578" s="1" t="s">
        <v>101</v>
      </c>
      <c r="C1578" t="s">
        <v>1978</v>
      </c>
      <c r="D1578" s="2">
        <v>20234844000451</v>
      </c>
      <c r="E1578" s="2">
        <v>7417163282362</v>
      </c>
      <c r="F1578" s="1" t="s">
        <v>131</v>
      </c>
      <c r="G1578" s="1" t="s">
        <v>53</v>
      </c>
      <c r="H1578" s="1" t="s">
        <v>2821</v>
      </c>
      <c r="I1578" s="1" t="s">
        <v>2822</v>
      </c>
      <c r="J1578" s="1" t="s">
        <v>46</v>
      </c>
      <c r="K1578" t="s">
        <v>132</v>
      </c>
      <c r="M1578" s="1" t="s">
        <v>58</v>
      </c>
      <c r="N1578" s="1">
        <v>0</v>
      </c>
      <c r="O1578" s="1" t="s">
        <v>105</v>
      </c>
      <c r="P1578" s="186">
        <v>44970.741828703707</v>
      </c>
      <c r="R1578" s="1">
        <v>13</v>
      </c>
      <c r="T1578" s="1" t="s">
        <v>238</v>
      </c>
      <c r="U1578" s="186">
        <v>44970.741828703707</v>
      </c>
      <c r="V1578" s="1" t="s">
        <v>41</v>
      </c>
      <c r="W1578" s="1" t="s">
        <v>49</v>
      </c>
      <c r="Z1578" s="14">
        <v>1</v>
      </c>
    </row>
    <row r="1579" spans="1:26" hidden="1">
      <c r="A1579" s="1">
        <v>9478156</v>
      </c>
      <c r="B1579" s="1" t="s">
        <v>1153</v>
      </c>
      <c r="C1579" t="s">
        <v>2823</v>
      </c>
      <c r="D1579" s="2">
        <v>20232244000011</v>
      </c>
      <c r="E1579" s="2">
        <v>7417202021003</v>
      </c>
      <c r="F1579" s="1" t="s">
        <v>1213</v>
      </c>
      <c r="G1579" s="1" t="s">
        <v>53</v>
      </c>
      <c r="H1579" s="1" t="s">
        <v>2824</v>
      </c>
      <c r="I1579" s="1" t="s">
        <v>2825</v>
      </c>
      <c r="J1579" s="1" t="s">
        <v>79</v>
      </c>
      <c r="K1579" t="s">
        <v>1214</v>
      </c>
      <c r="M1579" s="1" t="s">
        <v>58</v>
      </c>
      <c r="N1579" s="1">
        <v>0</v>
      </c>
      <c r="O1579" s="1" t="s">
        <v>105</v>
      </c>
      <c r="P1579" s="186">
        <v>44970.740312499998</v>
      </c>
      <c r="R1579" s="1">
        <v>14</v>
      </c>
      <c r="T1579" s="1" t="s">
        <v>238</v>
      </c>
      <c r="U1579" s="186">
        <v>44971.395833333336</v>
      </c>
      <c r="V1579" s="1" t="s">
        <v>41</v>
      </c>
      <c r="W1579" s="1" t="s">
        <v>49</v>
      </c>
      <c r="Z1579" s="14">
        <v>1</v>
      </c>
    </row>
    <row r="1580" spans="1:26">
      <c r="A1580" s="1">
        <v>9478110</v>
      </c>
      <c r="B1580" s="1" t="s">
        <v>1970</v>
      </c>
      <c r="C1580" t="s">
        <v>1971</v>
      </c>
      <c r="D1580" s="2">
        <v>20231059000017</v>
      </c>
      <c r="E1580" s="2">
        <v>7419141894708</v>
      </c>
      <c r="F1580" s="1" t="s">
        <v>128</v>
      </c>
      <c r="G1580" s="1" t="s">
        <v>53</v>
      </c>
      <c r="H1580" s="1" t="s">
        <v>1972</v>
      </c>
      <c r="I1580" s="1" t="s">
        <v>1973</v>
      </c>
      <c r="J1580" s="1" t="s">
        <v>90</v>
      </c>
      <c r="K1580" t="s">
        <v>129</v>
      </c>
      <c r="M1580" s="1" t="s">
        <v>58</v>
      </c>
      <c r="N1580" s="1">
        <v>0</v>
      </c>
      <c r="O1580" s="1" t="s">
        <v>105</v>
      </c>
      <c r="P1580" s="186">
        <v>44970.736817129633</v>
      </c>
      <c r="R1580" s="1">
        <v>14</v>
      </c>
      <c r="T1580" s="1" t="s">
        <v>238</v>
      </c>
      <c r="U1580" s="186">
        <v>44971.746249999997</v>
      </c>
      <c r="V1580" s="1" t="s">
        <v>41</v>
      </c>
      <c r="W1580" s="1" t="s">
        <v>49</v>
      </c>
      <c r="Z1580" s="14">
        <v>1</v>
      </c>
    </row>
    <row r="1581" spans="1:26" hidden="1">
      <c r="A1581" s="1">
        <v>9478043</v>
      </c>
      <c r="B1581" s="1" t="s">
        <v>1970</v>
      </c>
      <c r="C1581" t="s">
        <v>1971</v>
      </c>
      <c r="D1581" s="2">
        <v>20234844000450</v>
      </c>
      <c r="E1581" s="2">
        <v>7417163285199</v>
      </c>
      <c r="F1581" s="1" t="s">
        <v>131</v>
      </c>
      <c r="G1581" s="1" t="s">
        <v>53</v>
      </c>
      <c r="H1581" s="1" t="s">
        <v>2348</v>
      </c>
      <c r="I1581" s="1" t="s">
        <v>2349</v>
      </c>
      <c r="J1581" s="1" t="s">
        <v>46</v>
      </c>
      <c r="K1581" t="s">
        <v>132</v>
      </c>
      <c r="M1581" s="1" t="s">
        <v>58</v>
      </c>
      <c r="N1581" s="1">
        <v>0</v>
      </c>
      <c r="O1581" s="1" t="s">
        <v>105</v>
      </c>
      <c r="P1581" s="186">
        <v>44970.729328703703</v>
      </c>
      <c r="R1581" s="1">
        <v>13</v>
      </c>
      <c r="T1581" s="1" t="s">
        <v>238</v>
      </c>
      <c r="U1581" s="186">
        <v>44971.746122685188</v>
      </c>
      <c r="V1581" s="1" t="s">
        <v>41</v>
      </c>
      <c r="W1581" s="1" t="s">
        <v>49</v>
      </c>
      <c r="Z1581" s="14">
        <v>1</v>
      </c>
    </row>
    <row r="1582" spans="1:26" hidden="1">
      <c r="A1582" s="1">
        <v>9478042</v>
      </c>
      <c r="B1582" s="1" t="s">
        <v>1970</v>
      </c>
      <c r="C1582" t="s">
        <v>1971</v>
      </c>
      <c r="D1582" s="2">
        <v>20231052000013</v>
      </c>
      <c r="E1582" s="2">
        <v>7417163285093</v>
      </c>
      <c r="F1582" s="1" t="s">
        <v>131</v>
      </c>
      <c r="G1582" s="1" t="s">
        <v>53</v>
      </c>
      <c r="H1582" s="1" t="s">
        <v>2560</v>
      </c>
      <c r="I1582" s="1" t="s">
        <v>2561</v>
      </c>
      <c r="J1582" s="1" t="s">
        <v>79</v>
      </c>
      <c r="K1582" t="s">
        <v>132</v>
      </c>
      <c r="M1582" s="1" t="s">
        <v>58</v>
      </c>
      <c r="N1582" s="1">
        <v>0</v>
      </c>
      <c r="O1582" s="1" t="s">
        <v>105</v>
      </c>
      <c r="P1582" s="186">
        <v>44970.729305555556</v>
      </c>
      <c r="R1582" s="1">
        <v>14</v>
      </c>
      <c r="T1582" s="1" t="s">
        <v>238</v>
      </c>
      <c r="U1582" s="186">
        <v>44971.746122685188</v>
      </c>
      <c r="V1582" s="1" t="s">
        <v>41</v>
      </c>
      <c r="W1582" s="1" t="s">
        <v>49</v>
      </c>
      <c r="Z1582" s="14">
        <v>1</v>
      </c>
    </row>
    <row r="1583" spans="1:26">
      <c r="A1583" s="1">
        <v>9477977</v>
      </c>
      <c r="B1583" s="1" t="s">
        <v>1970</v>
      </c>
      <c r="C1583" t="s">
        <v>1971</v>
      </c>
      <c r="D1583" s="2">
        <v>20230870000025</v>
      </c>
      <c r="E1583" s="2">
        <v>7417163283610</v>
      </c>
      <c r="F1583" s="1" t="s">
        <v>131</v>
      </c>
      <c r="G1583" s="1" t="s">
        <v>53</v>
      </c>
      <c r="H1583" s="1" t="s">
        <v>519</v>
      </c>
      <c r="I1583" s="1" t="s">
        <v>520</v>
      </c>
      <c r="J1583" s="1" t="s">
        <v>90</v>
      </c>
      <c r="K1583" t="s">
        <v>132</v>
      </c>
      <c r="M1583" s="1" t="s">
        <v>58</v>
      </c>
      <c r="N1583" s="1">
        <v>0</v>
      </c>
      <c r="O1583" s="1" t="s">
        <v>105</v>
      </c>
      <c r="P1583" s="186">
        <v>44970.727511574078</v>
      </c>
      <c r="R1583" s="1">
        <v>14</v>
      </c>
      <c r="T1583" s="1" t="s">
        <v>238</v>
      </c>
      <c r="U1583" s="186">
        <v>44971.735266203701</v>
      </c>
      <c r="V1583" s="1" t="s">
        <v>41</v>
      </c>
      <c r="W1583" s="1" t="s">
        <v>49</v>
      </c>
      <c r="Z1583" s="14">
        <v>1</v>
      </c>
    </row>
    <row r="1584" spans="1:26" hidden="1">
      <c r="A1584" s="1">
        <v>9477966</v>
      </c>
      <c r="B1584" s="1" t="s">
        <v>1970</v>
      </c>
      <c r="C1584" t="s">
        <v>1971</v>
      </c>
      <c r="D1584" s="2">
        <v>20232678000013</v>
      </c>
      <c r="E1584" s="2">
        <v>7417163282981</v>
      </c>
      <c r="F1584" s="1" t="s">
        <v>131</v>
      </c>
      <c r="G1584" s="1" t="s">
        <v>53</v>
      </c>
      <c r="H1584" s="1" t="s">
        <v>2814</v>
      </c>
      <c r="I1584" s="1" t="s">
        <v>2815</v>
      </c>
      <c r="J1584" s="1" t="s">
        <v>33</v>
      </c>
      <c r="K1584" t="s">
        <v>132</v>
      </c>
      <c r="M1584" s="1" t="s">
        <v>58</v>
      </c>
      <c r="N1584" s="1">
        <v>0</v>
      </c>
      <c r="O1584" s="1" t="s">
        <v>105</v>
      </c>
      <c r="P1584" s="186">
        <v>44970.725960648146</v>
      </c>
      <c r="R1584" s="1">
        <v>15</v>
      </c>
      <c r="T1584" s="1" t="s">
        <v>238</v>
      </c>
      <c r="U1584" s="186">
        <v>44971.735243055555</v>
      </c>
      <c r="V1584" s="1" t="s">
        <v>41</v>
      </c>
      <c r="W1584" s="1" t="s">
        <v>42</v>
      </c>
      <c r="Z1584" s="14">
        <v>1</v>
      </c>
    </row>
    <row r="1585" spans="1:32">
      <c r="A1585" s="1">
        <v>9477885</v>
      </c>
      <c r="B1585" s="1" t="s">
        <v>1970</v>
      </c>
      <c r="C1585" t="s">
        <v>1971</v>
      </c>
      <c r="D1585" s="2">
        <v>20231059000016</v>
      </c>
      <c r="E1585" s="2">
        <v>7417161482599</v>
      </c>
      <c r="F1585" s="1" t="s">
        <v>1217</v>
      </c>
      <c r="G1585" s="1" t="s">
        <v>53</v>
      </c>
      <c r="H1585" s="1" t="s">
        <v>1972</v>
      </c>
      <c r="I1585" s="1" t="s">
        <v>1973</v>
      </c>
      <c r="J1585" s="25" t="s">
        <v>90</v>
      </c>
      <c r="K1585" t="s">
        <v>1218</v>
      </c>
      <c r="M1585" s="1" t="s">
        <v>58</v>
      </c>
      <c r="N1585" s="1">
        <v>0</v>
      </c>
      <c r="O1585" s="1" t="s">
        <v>105</v>
      </c>
      <c r="P1585" s="11" t="s">
        <v>2826</v>
      </c>
      <c r="R1585" s="1">
        <v>14</v>
      </c>
      <c r="T1585" s="1" t="s">
        <v>238</v>
      </c>
      <c r="U1585" s="11" t="s">
        <v>2827</v>
      </c>
      <c r="V1585" s="1" t="s">
        <v>41</v>
      </c>
      <c r="W1585" s="1" t="s">
        <v>49</v>
      </c>
      <c r="Z1585" s="14">
        <v>1</v>
      </c>
    </row>
    <row r="1586" spans="1:32" hidden="1">
      <c r="A1586" s="1">
        <v>9477865</v>
      </c>
      <c r="B1586" s="1" t="s">
        <v>1153</v>
      </c>
      <c r="C1586" t="s">
        <v>2828</v>
      </c>
      <c r="E1586" s="2">
        <v>3699000203000</v>
      </c>
      <c r="F1586" s="1" t="s">
        <v>454</v>
      </c>
      <c r="G1586" s="1" t="s">
        <v>53</v>
      </c>
      <c r="H1586" s="1" t="s">
        <v>343</v>
      </c>
      <c r="I1586" s="1" t="s">
        <v>344</v>
      </c>
      <c r="J1586" s="1" t="s">
        <v>46</v>
      </c>
      <c r="K1586" t="s">
        <v>457</v>
      </c>
      <c r="M1586" s="1" t="s">
        <v>58</v>
      </c>
      <c r="N1586" s="1">
        <v>0</v>
      </c>
      <c r="O1586" s="1" t="s">
        <v>105</v>
      </c>
      <c r="P1586" s="11" t="s">
        <v>2829</v>
      </c>
      <c r="R1586" s="1">
        <v>1</v>
      </c>
      <c r="T1586" s="1" t="s">
        <v>157</v>
      </c>
      <c r="U1586" s="11" t="s">
        <v>2830</v>
      </c>
      <c r="V1586" s="1" t="s">
        <v>41</v>
      </c>
      <c r="W1586" s="1" t="s">
        <v>49</v>
      </c>
      <c r="Z1586" s="14">
        <v>1</v>
      </c>
    </row>
    <row r="1587" spans="1:32">
      <c r="A1587" s="1">
        <v>9477841</v>
      </c>
      <c r="B1587" s="1" t="s">
        <v>1153</v>
      </c>
      <c r="C1587" t="s">
        <v>2831</v>
      </c>
      <c r="D1587" s="2">
        <v>230028573</v>
      </c>
      <c r="E1587" s="2">
        <v>2156001400020</v>
      </c>
      <c r="F1587" s="1" t="s">
        <v>1961</v>
      </c>
      <c r="G1587" s="1" t="s">
        <v>53</v>
      </c>
      <c r="H1587" s="1" t="s">
        <v>278</v>
      </c>
      <c r="I1587" s="1" t="s">
        <v>279</v>
      </c>
      <c r="J1587" s="1" t="s">
        <v>211</v>
      </c>
      <c r="K1587" t="s">
        <v>1962</v>
      </c>
      <c r="M1587" s="1" t="s">
        <v>58</v>
      </c>
      <c r="N1587" s="1">
        <v>0</v>
      </c>
      <c r="O1587" s="1" t="s">
        <v>36</v>
      </c>
      <c r="P1587" s="11" t="s">
        <v>2832</v>
      </c>
      <c r="R1587" s="1">
        <v>4</v>
      </c>
      <c r="T1587" s="1" t="s">
        <v>646</v>
      </c>
      <c r="U1587" s="11" t="s">
        <v>2833</v>
      </c>
      <c r="V1587" s="1" t="s">
        <v>41</v>
      </c>
      <c r="W1587" s="1" t="s">
        <v>49</v>
      </c>
      <c r="X1587" s="13" t="str">
        <f t="shared" ref="X1587" si="287">IF(RIGHT(H1587,2)&lt;&gt;"00",H1587,"")</f>
        <v/>
      </c>
      <c r="Y1587" s="2">
        <f t="shared" ref="Y1587" ca="1" si="288">NETWORKDAYS(P1587,$Y$1)</f>
        <v>13</v>
      </c>
      <c r="Z1587" s="14">
        <v>1</v>
      </c>
      <c r="AA1587" s="1" t="str">
        <f t="shared" ref="AA1587" ca="1" si="289">IF(AE1587=0,"HOJE",IF(AE1587&gt;0,"A VENCER",IF(AE1587&lt;0,"VENCIDO")))</f>
        <v>VENCIDO</v>
      </c>
      <c r="AB1587" s="1" t="str">
        <f t="shared" ref="AB1587" si="290">IF(F1587="GRPE-000001","C-14",IF(F1587="GRPE-000002","C-14",IF(F1587="GRPE-000003","C-14",IF(F1587="GRPE-000004","SL-On",IF(F1587="GRPE-000038","C-14",IF(F1587="GRPE-900022","Dosa",IF(F1587="GRPE-000029","Dosa",IF(F1587="ATOS-000222","Dose","TAAe+"))))))))</f>
        <v>C-14</v>
      </c>
      <c r="AC1587" s="2" t="str">
        <f t="shared" ref="AC1587" si="291">IF(J1587="TR-PETROLINA"," ROSEMERE ",IF(J1587="TR-GARANHUNS"," ROSEMERE ",IF(J1587="TR-CARUARU"," ROSEMERE ",IF(J1587="TR-RIBEIRAO"," CRISTINA ",IF(J1587="TR-GRAVATA"," CRISTINA ",IF(J1587="TR-GOIANA"," CRISTINA ",IF(J1587="TR-LIMOEIRO"," CRISTINA ",IF(J1587="TR-SERRA TALHADA"," RINALDO ",IF(J1587="TR-SALGUEIRO"," RINALDO ",IF(J1587="TR-CARNAIBA"," RINALDO ",IF(J1587="TR-ARCOVERDE"," RINALDO ",IF(J1587="CAT-RECIFE"," CLEITON ",))))))))))))</f>
        <v xml:space="preserve"> RINALDO </v>
      </c>
      <c r="AD1587" s="2">
        <f t="shared" ref="AD1587" si="292">IF(F1587="GRPE-000001",5,IF(F1587="GRPE-000002",5,IF(F1587="GRPE-000003",15,IF(F1587="GRPE-000004",1,IF(F1587="GRPE-000038",5,IF(F1587="GRPE-900022",5,IF(F1587="GRPE-000029",5,IF(F1587="ATOS-000222",5,8))))))))</f>
        <v>5</v>
      </c>
      <c r="AE1587" s="2">
        <f t="shared" ref="AE1587" ca="1" si="293">IF(U1587=$AE$1,"",U1587-$AE$1)</f>
        <v>-14.931132754631108</v>
      </c>
      <c r="AF1587" s="15"/>
    </row>
    <row r="1588" spans="1:32" hidden="1">
      <c r="A1588" s="1">
        <v>9477809</v>
      </c>
      <c r="B1588" s="1" t="s">
        <v>1153</v>
      </c>
      <c r="C1588" t="s">
        <v>2834</v>
      </c>
      <c r="D1588" s="2">
        <v>20234844000449</v>
      </c>
      <c r="E1588" s="2">
        <v>7419143322508</v>
      </c>
      <c r="F1588" s="1" t="s">
        <v>1222</v>
      </c>
      <c r="G1588" s="1" t="s">
        <v>53</v>
      </c>
      <c r="H1588" s="1" t="s">
        <v>2632</v>
      </c>
      <c r="I1588" s="1" t="s">
        <v>2633</v>
      </c>
      <c r="J1588" s="1" t="s">
        <v>46</v>
      </c>
      <c r="K1588" t="s">
        <v>1223</v>
      </c>
      <c r="M1588" s="1" t="s">
        <v>58</v>
      </c>
      <c r="N1588" s="1">
        <v>0</v>
      </c>
      <c r="O1588" s="1" t="s">
        <v>105</v>
      </c>
      <c r="P1588" s="11" t="s">
        <v>2835</v>
      </c>
      <c r="R1588" s="1">
        <v>13</v>
      </c>
      <c r="T1588" s="1" t="s">
        <v>238</v>
      </c>
      <c r="U1588" s="11" t="s">
        <v>2836</v>
      </c>
      <c r="V1588" s="1" t="s">
        <v>41</v>
      </c>
      <c r="W1588" s="1" t="s">
        <v>49</v>
      </c>
      <c r="Z1588" s="14">
        <v>1</v>
      </c>
    </row>
    <row r="1589" spans="1:32" hidden="1">
      <c r="A1589" s="1">
        <v>9477751</v>
      </c>
      <c r="B1589" s="1" t="s">
        <v>1153</v>
      </c>
      <c r="C1589" t="s">
        <v>2837</v>
      </c>
      <c r="D1589" s="2">
        <v>20232239000007</v>
      </c>
      <c r="E1589" s="2">
        <v>7419141893538</v>
      </c>
      <c r="F1589" s="1" t="s">
        <v>128</v>
      </c>
      <c r="G1589" s="1" t="s">
        <v>53</v>
      </c>
      <c r="H1589" s="1" t="s">
        <v>2838</v>
      </c>
      <c r="I1589" s="1" t="s">
        <v>2839</v>
      </c>
      <c r="J1589" s="1" t="s">
        <v>261</v>
      </c>
      <c r="K1589" t="s">
        <v>129</v>
      </c>
      <c r="M1589" s="1" t="s">
        <v>58</v>
      </c>
      <c r="N1589" s="1">
        <v>0</v>
      </c>
      <c r="O1589" s="1" t="s">
        <v>105</v>
      </c>
      <c r="P1589" s="12">
        <v>44970.704155092593</v>
      </c>
      <c r="R1589" s="1">
        <v>14</v>
      </c>
      <c r="T1589" s="1" t="s">
        <v>238</v>
      </c>
      <c r="U1589" s="12">
        <v>44970.704155092593</v>
      </c>
      <c r="V1589" s="1" t="s">
        <v>41</v>
      </c>
      <c r="W1589" s="1" t="s">
        <v>49</v>
      </c>
      <c r="Z1589" s="14">
        <v>1</v>
      </c>
    </row>
    <row r="1590" spans="1:32">
      <c r="A1590" s="1">
        <v>9477660</v>
      </c>
      <c r="B1590" s="1" t="s">
        <v>1153</v>
      </c>
      <c r="C1590" t="s">
        <v>2840</v>
      </c>
      <c r="D1590" s="2">
        <v>20230068000021</v>
      </c>
      <c r="E1590" s="2">
        <v>7419141892394</v>
      </c>
      <c r="F1590" s="1" t="s">
        <v>128</v>
      </c>
      <c r="G1590" s="1" t="s">
        <v>53</v>
      </c>
      <c r="H1590" s="1" t="s">
        <v>2623</v>
      </c>
      <c r="I1590" s="1" t="s">
        <v>2624</v>
      </c>
      <c r="J1590" s="1" t="s">
        <v>211</v>
      </c>
      <c r="K1590" t="s">
        <v>129</v>
      </c>
      <c r="M1590" s="1" t="s">
        <v>58</v>
      </c>
      <c r="N1590" s="1">
        <v>0</v>
      </c>
      <c r="O1590" s="1" t="s">
        <v>105</v>
      </c>
      <c r="P1590" s="11" t="s">
        <v>2841</v>
      </c>
      <c r="R1590" s="1">
        <v>14</v>
      </c>
      <c r="T1590" s="1" t="s">
        <v>238</v>
      </c>
      <c r="U1590" s="11" t="s">
        <v>2841</v>
      </c>
      <c r="V1590" s="1" t="s">
        <v>41</v>
      </c>
      <c r="W1590" s="1" t="s">
        <v>49</v>
      </c>
      <c r="X1590" s="13" t="str">
        <f t="shared" ref="X1590" si="294">IF(RIGHT(H1590,2)&lt;&gt;"00",H1590,"")</f>
        <v>0068.91</v>
      </c>
      <c r="Y1590" s="2">
        <f t="shared" ref="Y1590" ca="1" si="295">NETWORKDAYS(P1590,$Y$1)</f>
        <v>13</v>
      </c>
      <c r="Z1590" s="14">
        <v>1</v>
      </c>
      <c r="AA1590" s="1" t="str">
        <f t="shared" ref="AA1590" ca="1" si="296">IF(AE1590=0,"HOJE",IF(AE1590&gt;0,"A VENCER",IF(AE1590&lt;0,"VENCIDO")))</f>
        <v>VENCIDO</v>
      </c>
      <c r="AB1590" s="1" t="str">
        <f t="shared" ref="AB1590" si="297">IF(F1590="GRPE-000001","C-14",IF(F1590="GRPE-000002","C-14",IF(F1590="GRPE-000003","C-14",IF(F1590="GRPE-000004","SL-On",IF(F1590="GRPE-000038","C-14",IF(F1590="GRPE-900022","Dosa",IF(F1590="GRPE-000029","Dosa",IF(F1590="ATOS-000222","Dose","TAAe+"))))))))</f>
        <v>TAAe+</v>
      </c>
      <c r="AC1590" s="2" t="str">
        <f t="shared" ref="AC1590" si="298">IF(J1590="TR-PETROLINA"," ROSEMERE ",IF(J1590="TR-GARANHUNS"," ROSEMERE ",IF(J1590="TR-CARUARU"," ROSEMERE ",IF(J1590="TR-RIBEIRAO"," CRISTINA ",IF(J1590="TR-GRAVATA"," CRISTINA ",IF(J1590="TR-GOIANA"," CRISTINA ",IF(J1590="TR-LIMOEIRO"," CRISTINA ",IF(J1590="TR-SERRA TALHADA"," RINALDO ",IF(J1590="TR-SALGUEIRO"," RINALDO ",IF(J1590="TR-CARNAIBA"," RINALDO ",IF(J1590="TR-ARCOVERDE"," RINALDO ",IF(J1590="CAT-RECIFE"," CLEITON ",))))))))))))</f>
        <v xml:space="preserve"> RINALDO </v>
      </c>
      <c r="AD1590" s="2">
        <f t="shared" ref="AD1590" si="299">IF(F1590="GRPE-000001",5,IF(F1590="GRPE-000002",5,IF(F1590="GRPE-000003",15,IF(F1590="GRPE-000004",1,IF(F1590="GRPE-000038",5,IF(F1590="GRPE-900022",5,IF(F1590="GRPE-000029",5,IF(F1590="ATOS-000222",5,8))))))))</f>
        <v>8</v>
      </c>
      <c r="AE1590" s="2">
        <f t="shared" ref="AE1590" ca="1" si="300">IF(U1590=$AE$1,"",U1590-$AE$1)</f>
        <v>-15.99014895833534</v>
      </c>
      <c r="AF1590" s="15"/>
    </row>
    <row r="1591" spans="1:32" hidden="1">
      <c r="A1591" s="1">
        <v>9477572</v>
      </c>
      <c r="B1591" s="1" t="s">
        <v>1153</v>
      </c>
      <c r="C1591" t="s">
        <v>2842</v>
      </c>
      <c r="D1591" s="2">
        <v>20233918000008</v>
      </c>
      <c r="E1591" s="2">
        <v>7417172786570</v>
      </c>
      <c r="F1591" s="1" t="s">
        <v>1989</v>
      </c>
      <c r="G1591" s="1" t="s">
        <v>53</v>
      </c>
      <c r="H1591" s="1" t="s">
        <v>858</v>
      </c>
      <c r="I1591" s="1" t="s">
        <v>859</v>
      </c>
      <c r="J1591" s="1" t="s">
        <v>33</v>
      </c>
      <c r="K1591" t="s">
        <v>1990</v>
      </c>
      <c r="M1591" s="1" t="s">
        <v>58</v>
      </c>
      <c r="N1591" s="1">
        <v>0</v>
      </c>
      <c r="O1591" s="1" t="s">
        <v>105</v>
      </c>
      <c r="P1591" s="11" t="s">
        <v>2843</v>
      </c>
      <c r="R1591" s="1">
        <v>22</v>
      </c>
      <c r="T1591" s="1" t="s">
        <v>1160</v>
      </c>
      <c r="U1591" s="11" t="s">
        <v>2844</v>
      </c>
      <c r="V1591" s="1" t="s">
        <v>41</v>
      </c>
      <c r="W1591" s="1" t="s">
        <v>49</v>
      </c>
      <c r="Z1591" s="14">
        <v>1</v>
      </c>
    </row>
    <row r="1592" spans="1:32" hidden="1">
      <c r="A1592" s="1">
        <v>9477533</v>
      </c>
      <c r="B1592" s="1" t="s">
        <v>62</v>
      </c>
      <c r="C1592" t="s">
        <v>2845</v>
      </c>
      <c r="E1592" s="2">
        <v>7417183022889</v>
      </c>
      <c r="F1592" s="1" t="s">
        <v>1313</v>
      </c>
      <c r="G1592" s="1" t="s">
        <v>53</v>
      </c>
      <c r="H1592" s="1" t="s">
        <v>2846</v>
      </c>
      <c r="I1592" s="1" t="s">
        <v>2847</v>
      </c>
      <c r="J1592" s="1" t="s">
        <v>110</v>
      </c>
      <c r="K1592" t="s">
        <v>1316</v>
      </c>
      <c r="M1592" s="1" t="s">
        <v>58</v>
      </c>
      <c r="N1592" s="1">
        <v>0</v>
      </c>
      <c r="O1592" s="1" t="s">
        <v>105</v>
      </c>
      <c r="P1592" s="12">
        <v>44970.685370370367</v>
      </c>
      <c r="R1592" s="1">
        <v>14</v>
      </c>
      <c r="T1592" s="1" t="s">
        <v>238</v>
      </c>
      <c r="U1592" s="12">
        <v>44974.999305555553</v>
      </c>
      <c r="V1592" s="1" t="s">
        <v>41</v>
      </c>
      <c r="W1592" s="1" t="s">
        <v>49</v>
      </c>
      <c r="Z1592" s="14">
        <v>1</v>
      </c>
    </row>
    <row r="1593" spans="1:32">
      <c r="A1593" s="173">
        <v>9477367</v>
      </c>
      <c r="B1593" s="173" t="s">
        <v>1153</v>
      </c>
      <c r="C1593" s="178" t="s">
        <v>2848</v>
      </c>
      <c r="D1593" s="174"/>
      <c r="E1593" s="174">
        <v>246000206021</v>
      </c>
      <c r="F1593" s="173" t="s">
        <v>103</v>
      </c>
      <c r="G1593" s="173" t="s">
        <v>53</v>
      </c>
      <c r="H1593" s="173" t="s">
        <v>1193</v>
      </c>
      <c r="I1593" s="173" t="s">
        <v>1194</v>
      </c>
      <c r="J1593" s="173" t="s">
        <v>85</v>
      </c>
      <c r="K1593" t="s">
        <v>104</v>
      </c>
      <c r="M1593" s="1" t="s">
        <v>58</v>
      </c>
      <c r="N1593" s="1">
        <v>0</v>
      </c>
      <c r="O1593" s="1" t="s">
        <v>36</v>
      </c>
      <c r="P1593" s="12">
        <v>44970.662222222221</v>
      </c>
      <c r="R1593" s="1" t="s">
        <v>38</v>
      </c>
      <c r="T1593" s="1" t="s">
        <v>74</v>
      </c>
      <c r="U1593" s="12">
        <v>44979.75</v>
      </c>
      <c r="V1593" s="1" t="s">
        <v>41</v>
      </c>
      <c r="W1593" s="1" t="s">
        <v>49</v>
      </c>
      <c r="X1593" s="13" t="str">
        <f t="shared" ref="X1593" si="301">IF(RIGHT(H1593,2)&lt;&gt;"00",H1593,"")</f>
        <v/>
      </c>
      <c r="Y1593" s="2">
        <f t="shared" ref="Y1593" ca="1" si="302">NETWORKDAYS(P1593,$Y$1)</f>
        <v>13</v>
      </c>
      <c r="Z1593" s="14">
        <v>1</v>
      </c>
      <c r="AA1593" s="1" t="str">
        <f t="shared" ref="AA1593" ca="1" si="303">IF(AE1593=0,"HOJE",IF(AE1593&gt;0,"A VENCER",IF(AE1593&lt;0,"VENCIDO")))</f>
        <v>VENCIDO</v>
      </c>
      <c r="AB1593" s="1" t="str">
        <f t="shared" ref="AB1593" si="304">IF(F1593="GRPE-000001","C-14",IF(F1593="GRPE-000002","C-14",IF(F1593="GRPE-000003","C-14",IF(F1593="GRPE-000004","SL-On",IF(F1593="GRPE-000038","C-14",IF(F1593="GRPE-900022","Dosa",IF(F1593="GRPE-000029","Dosa",IF(F1593="ATOS-000222","Dose","TAAe+"))))))))</f>
        <v>Dosa</v>
      </c>
      <c r="AC1593" s="2" t="str">
        <f t="shared" ref="AC1593" si="305">IF(J1593="TR-PETROLINA"," ROSEMERE ",IF(J1593="TR-GARANHUNS"," ROSEMERE ",IF(J1593="TR-CARUARU"," ROSEMERE ",IF(J1593="TR-RIBEIRAO"," CRISTINA ",IF(J1593="TR-GRAVATA"," CRISTINA ",IF(J1593="TR-GOIANA"," CRISTINA ",IF(J1593="TR-LIMOEIRO"," CRISTINA ",IF(J1593="TR-SERRA TALHADA"," RINALDO ",IF(J1593="TR-SALGUEIRO"," RINALDO ",IF(J1593="TR-CARNAIBA"," RINALDO ",IF(J1593="TR-ARCOVERDE"," RINALDO ",IF(J1593="CAT-RECIFE"," CLEITON ",))))))))))))</f>
        <v xml:space="preserve"> RINALDO </v>
      </c>
      <c r="AD1593" s="2">
        <f t="shared" ref="AD1593" si="306">IF(F1593="GRPE-000001",5,IF(F1593="GRPE-000002",5,IF(F1593="GRPE-000003",15,IF(F1593="GRPE-000004",1,IF(F1593="GRPE-000038",5,IF(F1593="GRPE-900022",5,IF(F1593="GRPE-000029",5,IF(F1593="ATOS-000222",5,8))))))))</f>
        <v>5</v>
      </c>
      <c r="AE1593" s="2">
        <f t="shared" ref="AE1593" ca="1" si="307">IF(U1593=$AE$1,"",U1593-$AE$1)</f>
        <v>-6.9262716435187031</v>
      </c>
      <c r="AF1593" s="15"/>
    </row>
    <row r="1594" spans="1:32" hidden="1">
      <c r="A1594" s="1">
        <v>9477347</v>
      </c>
      <c r="B1594" s="1" t="s">
        <v>1153</v>
      </c>
      <c r="C1594" t="s">
        <v>2849</v>
      </c>
      <c r="D1594" s="2">
        <v>20234844000448</v>
      </c>
      <c r="E1594" s="2">
        <v>7417183020602</v>
      </c>
      <c r="F1594" s="1" t="s">
        <v>1313</v>
      </c>
      <c r="G1594" s="1" t="s">
        <v>53</v>
      </c>
      <c r="H1594" s="1" t="s">
        <v>2850</v>
      </c>
      <c r="I1594" s="1" t="s">
        <v>2851</v>
      </c>
      <c r="J1594" s="1" t="s">
        <v>46</v>
      </c>
      <c r="K1594" t="s">
        <v>1316</v>
      </c>
      <c r="M1594" s="1" t="s">
        <v>58</v>
      </c>
      <c r="N1594" s="1">
        <v>0</v>
      </c>
      <c r="O1594" s="1" t="s">
        <v>105</v>
      </c>
      <c r="P1594" s="11" t="s">
        <v>2852</v>
      </c>
      <c r="R1594" s="1">
        <v>13</v>
      </c>
      <c r="T1594" s="1" t="s">
        <v>238</v>
      </c>
      <c r="U1594" s="11" t="s">
        <v>2852</v>
      </c>
      <c r="V1594" s="1" t="s">
        <v>41</v>
      </c>
      <c r="W1594" s="1" t="s">
        <v>49</v>
      </c>
      <c r="Z1594" s="14">
        <v>1</v>
      </c>
    </row>
    <row r="1595" spans="1:32" hidden="1">
      <c r="A1595" s="1">
        <v>9477241</v>
      </c>
      <c r="B1595" s="1" t="s">
        <v>1153</v>
      </c>
      <c r="C1595" t="s">
        <v>2853</v>
      </c>
      <c r="D1595" s="2">
        <v>20231421000012</v>
      </c>
      <c r="E1595" s="2">
        <v>7417202021229</v>
      </c>
      <c r="F1595" s="1" t="s">
        <v>1213</v>
      </c>
      <c r="G1595" s="1" t="s">
        <v>53</v>
      </c>
      <c r="H1595" s="1" t="s">
        <v>2854</v>
      </c>
      <c r="I1595" s="1" t="s">
        <v>2855</v>
      </c>
      <c r="J1595" s="1" t="s">
        <v>79</v>
      </c>
      <c r="K1595" t="s">
        <v>1214</v>
      </c>
      <c r="M1595" s="1" t="s">
        <v>58</v>
      </c>
      <c r="N1595" s="1">
        <v>0</v>
      </c>
      <c r="O1595" s="1" t="s">
        <v>105</v>
      </c>
      <c r="P1595" s="12">
        <v>44970.63689814815</v>
      </c>
      <c r="R1595" s="1">
        <v>14</v>
      </c>
      <c r="T1595" s="1" t="s">
        <v>238</v>
      </c>
      <c r="U1595" s="12">
        <v>44970.63689814815</v>
      </c>
      <c r="V1595" s="1" t="s">
        <v>41</v>
      </c>
      <c r="W1595" s="1" t="s">
        <v>49</v>
      </c>
      <c r="Z1595" s="14">
        <v>1</v>
      </c>
    </row>
    <row r="1596" spans="1:32">
      <c r="A1596" s="1">
        <v>9477120</v>
      </c>
      <c r="B1596" s="1" t="s">
        <v>1153</v>
      </c>
      <c r="C1596" t="s">
        <v>2856</v>
      </c>
      <c r="E1596" s="2">
        <v>1902016268300</v>
      </c>
      <c r="F1596" s="1" t="s">
        <v>64</v>
      </c>
      <c r="G1596" s="1" t="s">
        <v>53</v>
      </c>
      <c r="H1596" s="1" t="s">
        <v>276</v>
      </c>
      <c r="I1596" s="1" t="s">
        <v>277</v>
      </c>
      <c r="J1596" s="1" t="s">
        <v>90</v>
      </c>
      <c r="K1596" t="s">
        <v>67</v>
      </c>
      <c r="M1596" s="1" t="s">
        <v>35</v>
      </c>
      <c r="N1596" s="1">
        <v>42318949</v>
      </c>
      <c r="O1596" s="1" t="s">
        <v>105</v>
      </c>
      <c r="P1596" s="186">
        <v>44970.623043981483</v>
      </c>
      <c r="R1596" s="1" t="s">
        <v>571</v>
      </c>
      <c r="T1596" s="1" t="s">
        <v>69</v>
      </c>
      <c r="U1596" s="186">
        <v>44972.623043981483</v>
      </c>
      <c r="V1596" s="1" t="s">
        <v>41</v>
      </c>
      <c r="W1596" s="1" t="s">
        <v>49</v>
      </c>
      <c r="X1596" s="13" t="str">
        <f t="shared" ref="X1596" si="308">IF(RIGHT(H1596,2)&lt;&gt;"00",H1596,"")</f>
        <v/>
      </c>
      <c r="Y1596" s="2">
        <f t="shared" ref="Y1596" ca="1" si="309">NETWORKDAYS(P1596,$Y$1)</f>
        <v>13</v>
      </c>
      <c r="Z1596" s="14">
        <v>1</v>
      </c>
      <c r="AA1596" s="1" t="str">
        <f t="shared" ref="AA1596" ca="1" si="310">IF(AE1596=0,"HOJE",IF(AE1596&gt;0,"A VENCER",IF(AE1596&lt;0,"VENCIDO")))</f>
        <v>VENCIDO</v>
      </c>
      <c r="AB1596" s="1" t="str">
        <f t="shared" ref="AB1596" si="311">IF(F1596="GRPE-000001","C-14",IF(F1596="GRPE-000002","C-14",IF(F1596="GRPE-000003","C-14",IF(F1596="GRPE-000004","SL-On",IF(F1596="GRPE-000038","C-14",IF(F1596="GRPE-900022","Dosa",IF(F1596="GRPE-000029","Dosa",IF(F1596="ATOS-000222","Dose","TAAe+"))))))))</f>
        <v>TAAe+</v>
      </c>
      <c r="AC1596" s="2" t="str">
        <f t="shared" ref="AC1596" si="312">IF(J1596="TR-PETROLINA"," ROSEMERE ",IF(J1596="TR-GARANHUNS"," ROSEMERE ",IF(J1596="TR-CARUARU"," ROSEMERE ",IF(J1596="TR-RIBEIRAO"," CRISTINA ",IF(J1596="TR-GRAVATA"," CRISTINA ",IF(J1596="TR-GOIANA"," CRISTINA ",IF(J1596="TR-LIMOEIRO"," CRISTINA ",IF(J1596="TR-SERRA TALHADA"," RINALDO ",IF(J1596="TR-SALGUEIRO"," RINALDO ",IF(J1596="TR-CARNAIBA"," RINALDO ",IF(J1596="TR-ARCOVERDE"," RINALDO ",IF(J1596="CAT-RECIFE"," CLEITON ",))))))))))))</f>
        <v xml:space="preserve"> RINALDO </v>
      </c>
      <c r="AD1596" s="2">
        <f t="shared" ref="AD1596" si="313">IF(F1596="GRPE-000001",5,IF(F1596="GRPE-000002",5,IF(F1596="GRPE-000003",15,IF(F1596="GRPE-000004",1,IF(F1596="GRPE-000038",5,IF(F1596="GRPE-900022",5,IF(F1596="GRPE-000029",5,IF(F1596="ATOS-000222",5,8))))))))</f>
        <v>8</v>
      </c>
      <c r="AE1596" s="2">
        <f t="shared" ref="AE1596" ca="1" si="314">IF(U1596=$AE$1,"",U1596-$AE$1)</f>
        <v>-14.053227662036079</v>
      </c>
      <c r="AF1596" s="15"/>
    </row>
    <row r="1597" spans="1:32" hidden="1">
      <c r="A1597" s="1">
        <v>9477100</v>
      </c>
      <c r="B1597" s="1" t="s">
        <v>1153</v>
      </c>
      <c r="C1597" t="s">
        <v>2857</v>
      </c>
      <c r="D1597" s="2">
        <v>20230711000013</v>
      </c>
      <c r="E1597" s="2">
        <v>7419141893475</v>
      </c>
      <c r="F1597" s="1" t="s">
        <v>128</v>
      </c>
      <c r="G1597" s="1" t="s">
        <v>53</v>
      </c>
      <c r="H1597" s="1" t="s">
        <v>2858</v>
      </c>
      <c r="I1597" s="1" t="s">
        <v>2859</v>
      </c>
      <c r="J1597" s="1" t="s">
        <v>79</v>
      </c>
      <c r="K1597" t="s">
        <v>129</v>
      </c>
      <c r="M1597" s="1" t="s">
        <v>58</v>
      </c>
      <c r="N1597" s="1">
        <v>0</v>
      </c>
      <c r="O1597" s="1" t="s">
        <v>105</v>
      </c>
      <c r="P1597" s="186">
        <v>44970.615069444444</v>
      </c>
      <c r="R1597" s="1">
        <v>14</v>
      </c>
      <c r="T1597" s="1" t="s">
        <v>238</v>
      </c>
      <c r="U1597" s="186">
        <v>44970.615069444444</v>
      </c>
      <c r="V1597" s="1" t="s">
        <v>41</v>
      </c>
      <c r="W1597" s="1" t="s">
        <v>49</v>
      </c>
      <c r="Z1597" s="14">
        <v>1</v>
      </c>
    </row>
    <row r="1598" spans="1:32" hidden="1">
      <c r="A1598" s="1">
        <v>9477020</v>
      </c>
      <c r="B1598" s="1" t="s">
        <v>1153</v>
      </c>
      <c r="C1598" t="s">
        <v>2860</v>
      </c>
      <c r="D1598" s="2">
        <v>20232244000010</v>
      </c>
      <c r="E1598" s="2">
        <v>7419152431369</v>
      </c>
      <c r="F1598" s="1" t="s">
        <v>2744</v>
      </c>
      <c r="G1598" s="1" t="s">
        <v>53</v>
      </c>
      <c r="H1598" s="1" t="s">
        <v>1853</v>
      </c>
      <c r="I1598" s="1" t="s">
        <v>1854</v>
      </c>
      <c r="J1598" s="1" t="s">
        <v>79</v>
      </c>
      <c r="K1598" t="s">
        <v>2745</v>
      </c>
      <c r="M1598" s="1" t="s">
        <v>58</v>
      </c>
      <c r="N1598" s="1">
        <v>0</v>
      </c>
      <c r="O1598" s="1" t="s">
        <v>105</v>
      </c>
      <c r="P1598" s="186">
        <v>44970.60392361111</v>
      </c>
      <c r="R1598" s="1">
        <v>22</v>
      </c>
      <c r="T1598" s="1" t="s">
        <v>1160</v>
      </c>
      <c r="U1598" s="186">
        <v>44973.437256944446</v>
      </c>
      <c r="V1598" s="1" t="s">
        <v>41</v>
      </c>
      <c r="W1598" s="1" t="s">
        <v>49</v>
      </c>
      <c r="Z1598" s="14">
        <v>1</v>
      </c>
    </row>
    <row r="1599" spans="1:32" hidden="1">
      <c r="A1599" s="1">
        <v>9476967</v>
      </c>
      <c r="B1599" s="1" t="s">
        <v>1153</v>
      </c>
      <c r="C1599" t="s">
        <v>2861</v>
      </c>
      <c r="D1599" s="2">
        <v>20234844000447</v>
      </c>
      <c r="E1599" s="2">
        <v>7419141893537</v>
      </c>
      <c r="F1599" s="1" t="s">
        <v>128</v>
      </c>
      <c r="G1599" s="1" t="s">
        <v>53</v>
      </c>
      <c r="H1599" s="1" t="s">
        <v>2087</v>
      </c>
      <c r="I1599" s="1" t="s">
        <v>2088</v>
      </c>
      <c r="J1599" s="1" t="s">
        <v>46</v>
      </c>
      <c r="K1599" t="s">
        <v>129</v>
      </c>
      <c r="M1599" s="1" t="s">
        <v>58</v>
      </c>
      <c r="N1599" s="1">
        <v>0</v>
      </c>
      <c r="O1599" s="1" t="s">
        <v>105</v>
      </c>
      <c r="P1599" s="12">
        <v>44970.592939814815</v>
      </c>
      <c r="R1599" s="1">
        <v>13</v>
      </c>
      <c r="T1599" s="1" t="s">
        <v>238</v>
      </c>
      <c r="U1599" s="12">
        <v>44970.592939814815</v>
      </c>
      <c r="V1599" s="1" t="s">
        <v>41</v>
      </c>
      <c r="W1599" s="1" t="s">
        <v>49</v>
      </c>
      <c r="Z1599" s="14">
        <v>1</v>
      </c>
    </row>
    <row r="1600" spans="1:32" hidden="1">
      <c r="A1600" s="1">
        <v>9476939</v>
      </c>
      <c r="B1600" s="1" t="s">
        <v>1153</v>
      </c>
      <c r="C1600" t="s">
        <v>2862</v>
      </c>
      <c r="D1600" s="2">
        <v>230028336</v>
      </c>
      <c r="E1600" s="2">
        <v>1128001400020</v>
      </c>
      <c r="F1600" s="1" t="s">
        <v>1961</v>
      </c>
      <c r="G1600" s="1" t="s">
        <v>53</v>
      </c>
      <c r="H1600" s="1" t="s">
        <v>1191</v>
      </c>
      <c r="I1600" s="1" t="s">
        <v>1192</v>
      </c>
      <c r="J1600" s="1" t="s">
        <v>33</v>
      </c>
      <c r="K1600" t="s">
        <v>1962</v>
      </c>
      <c r="M1600" s="1" t="s">
        <v>58</v>
      </c>
      <c r="N1600" s="1">
        <v>0</v>
      </c>
      <c r="O1600" s="1" t="s">
        <v>36</v>
      </c>
      <c r="P1600" s="186">
        <v>44970.599305555559</v>
      </c>
      <c r="R1600" s="1">
        <v>4</v>
      </c>
      <c r="T1600" s="1" t="s">
        <v>646</v>
      </c>
      <c r="U1600" s="186">
        <v>44979.520833333336</v>
      </c>
      <c r="V1600" s="1" t="s">
        <v>41</v>
      </c>
      <c r="W1600" s="1" t="s">
        <v>49</v>
      </c>
      <c r="Z1600" s="14">
        <v>1</v>
      </c>
    </row>
    <row r="1601" spans="1:26" hidden="1">
      <c r="A1601" s="1">
        <v>9476906</v>
      </c>
      <c r="B1601" s="1" t="s">
        <v>1153</v>
      </c>
      <c r="C1601" t="s">
        <v>2863</v>
      </c>
      <c r="D1601" s="2">
        <v>20234844000446</v>
      </c>
      <c r="E1601" s="2">
        <v>7417183020619</v>
      </c>
      <c r="F1601" s="1" t="s">
        <v>1313</v>
      </c>
      <c r="G1601" s="1" t="s">
        <v>53</v>
      </c>
      <c r="H1601" s="1" t="s">
        <v>2493</v>
      </c>
      <c r="I1601" s="1" t="s">
        <v>2494</v>
      </c>
      <c r="J1601" s="1" t="s">
        <v>46</v>
      </c>
      <c r="K1601" t="s">
        <v>1316</v>
      </c>
      <c r="M1601" s="1" t="s">
        <v>58</v>
      </c>
      <c r="N1601" s="1">
        <v>0</v>
      </c>
      <c r="O1601" s="1" t="s">
        <v>105</v>
      </c>
      <c r="P1601" s="186">
        <v>44970.57335648148</v>
      </c>
      <c r="R1601" s="1">
        <v>13</v>
      </c>
      <c r="T1601" s="1" t="s">
        <v>238</v>
      </c>
      <c r="U1601" s="186">
        <v>44970.57335648148</v>
      </c>
      <c r="V1601" s="1" t="s">
        <v>41</v>
      </c>
      <c r="W1601" s="1" t="s">
        <v>49</v>
      </c>
      <c r="Z1601" s="14">
        <v>1</v>
      </c>
    </row>
    <row r="1602" spans="1:26" hidden="1">
      <c r="A1602" s="1">
        <v>9476840</v>
      </c>
      <c r="B1602" s="1" t="s">
        <v>1153</v>
      </c>
      <c r="C1602" t="s">
        <v>2864</v>
      </c>
      <c r="D1602" s="2">
        <v>20232219000012</v>
      </c>
      <c r="E1602" s="2">
        <v>7417163284045</v>
      </c>
      <c r="F1602" s="1" t="s">
        <v>131</v>
      </c>
      <c r="G1602" s="1" t="s">
        <v>53</v>
      </c>
      <c r="H1602" s="1" t="s">
        <v>1980</v>
      </c>
      <c r="I1602" s="1" t="s">
        <v>1981</v>
      </c>
      <c r="J1602" s="1" t="s">
        <v>141</v>
      </c>
      <c r="K1602" t="s">
        <v>132</v>
      </c>
      <c r="M1602" s="1" t="s">
        <v>58</v>
      </c>
      <c r="N1602" s="1">
        <v>0</v>
      </c>
      <c r="O1602" s="1" t="s">
        <v>105</v>
      </c>
      <c r="P1602" s="186">
        <v>44970.570092592592</v>
      </c>
      <c r="R1602" s="1">
        <v>14</v>
      </c>
      <c r="T1602" s="1" t="s">
        <v>238</v>
      </c>
      <c r="U1602" s="186">
        <v>44970.570092592592</v>
      </c>
      <c r="V1602" s="1" t="s">
        <v>41</v>
      </c>
      <c r="W1602" s="1" t="s">
        <v>49</v>
      </c>
      <c r="Z1602" s="14">
        <v>1</v>
      </c>
    </row>
    <row r="1603" spans="1:26" hidden="1">
      <c r="A1603" s="1">
        <v>9476686</v>
      </c>
      <c r="B1603" s="1" t="s">
        <v>1153</v>
      </c>
      <c r="C1603" t="s">
        <v>2865</v>
      </c>
      <c r="D1603" s="2">
        <v>20238074000005</v>
      </c>
      <c r="E1603" s="2">
        <v>7417210950046</v>
      </c>
      <c r="F1603" s="1" t="s">
        <v>1213</v>
      </c>
      <c r="G1603" s="1" t="s">
        <v>53</v>
      </c>
      <c r="H1603" s="1" t="s">
        <v>2866</v>
      </c>
      <c r="I1603" s="1" t="s">
        <v>2867</v>
      </c>
      <c r="J1603" s="1" t="s">
        <v>33</v>
      </c>
      <c r="K1603" t="s">
        <v>1214</v>
      </c>
      <c r="M1603" s="1" t="s">
        <v>58</v>
      </c>
      <c r="N1603" s="1">
        <v>0</v>
      </c>
      <c r="O1603" s="1" t="s">
        <v>105</v>
      </c>
      <c r="P1603" s="186">
        <v>44970.548368055555</v>
      </c>
      <c r="R1603" s="1">
        <v>14</v>
      </c>
      <c r="T1603" s="1" t="s">
        <v>238</v>
      </c>
      <c r="U1603" s="186">
        <v>44970.548368055555</v>
      </c>
      <c r="V1603" s="1" t="s">
        <v>41</v>
      </c>
      <c r="W1603" s="1" t="s">
        <v>49</v>
      </c>
      <c r="Z1603" s="14">
        <v>1</v>
      </c>
    </row>
    <row r="1604" spans="1:26" hidden="1">
      <c r="A1604" s="1">
        <v>9476639</v>
      </c>
      <c r="B1604" s="1" t="s">
        <v>1153</v>
      </c>
      <c r="C1604" t="s">
        <v>2868</v>
      </c>
      <c r="E1604" s="2">
        <v>2219000206001</v>
      </c>
      <c r="F1604" s="1" t="s">
        <v>29</v>
      </c>
      <c r="G1604" s="1" t="s">
        <v>53</v>
      </c>
      <c r="H1604" s="1" t="s">
        <v>893</v>
      </c>
      <c r="I1604" s="1" t="s">
        <v>894</v>
      </c>
      <c r="J1604" s="1" t="s">
        <v>141</v>
      </c>
      <c r="K1604" t="s">
        <v>34</v>
      </c>
      <c r="M1604" s="1" t="s">
        <v>35</v>
      </c>
      <c r="N1604" s="1">
        <v>42318949</v>
      </c>
      <c r="O1604" s="1" t="s">
        <v>36</v>
      </c>
      <c r="P1604" s="186">
        <v>44970.552939814814</v>
      </c>
      <c r="R1604" s="1" t="s">
        <v>38</v>
      </c>
      <c r="T1604" s="1" t="s">
        <v>74</v>
      </c>
      <c r="U1604" s="186">
        <v>44985.708333333336</v>
      </c>
      <c r="V1604" s="1" t="s">
        <v>41</v>
      </c>
      <c r="W1604" s="1" t="s">
        <v>49</v>
      </c>
      <c r="Z1604" s="14">
        <v>1</v>
      </c>
    </row>
    <row r="1605" spans="1:26" hidden="1">
      <c r="A1605" s="1">
        <v>9476606</v>
      </c>
      <c r="B1605" s="1" t="s">
        <v>1153</v>
      </c>
      <c r="C1605" t="s">
        <v>2869</v>
      </c>
      <c r="D1605" s="2">
        <v>20234923000066</v>
      </c>
      <c r="E1605" s="2">
        <v>7417161480617</v>
      </c>
      <c r="F1605" s="1" t="s">
        <v>1979</v>
      </c>
      <c r="G1605" s="1" t="s">
        <v>53</v>
      </c>
      <c r="H1605" s="1" t="s">
        <v>2870</v>
      </c>
      <c r="I1605" s="1" t="s">
        <v>2871</v>
      </c>
      <c r="J1605" s="1" t="s">
        <v>46</v>
      </c>
      <c r="K1605" t="s">
        <v>1982</v>
      </c>
      <c r="M1605" s="1" t="s">
        <v>58</v>
      </c>
      <c r="N1605" s="1">
        <v>0</v>
      </c>
      <c r="O1605" s="1" t="s">
        <v>105</v>
      </c>
      <c r="P1605" s="186">
        <v>44970.53162037037</v>
      </c>
      <c r="R1605" s="1">
        <v>13</v>
      </c>
      <c r="T1605" s="1" t="s">
        <v>238</v>
      </c>
      <c r="U1605" s="186">
        <v>44970.53162037037</v>
      </c>
      <c r="V1605" s="1" t="s">
        <v>41</v>
      </c>
      <c r="W1605" s="1" t="s">
        <v>49</v>
      </c>
      <c r="Z1605" s="14">
        <v>1</v>
      </c>
    </row>
    <row r="1606" spans="1:26" hidden="1">
      <c r="A1606" s="1">
        <v>9476598</v>
      </c>
      <c r="B1606" s="1" t="s">
        <v>1153</v>
      </c>
      <c r="C1606" t="s">
        <v>2872</v>
      </c>
      <c r="D1606" s="2">
        <v>20234844000445</v>
      </c>
      <c r="E1606" s="2">
        <v>7417172789396</v>
      </c>
      <c r="F1606" s="1" t="s">
        <v>1989</v>
      </c>
      <c r="G1606" s="1" t="s">
        <v>53</v>
      </c>
      <c r="H1606" s="1" t="s">
        <v>2873</v>
      </c>
      <c r="I1606" s="1" t="s">
        <v>2874</v>
      </c>
      <c r="J1606" s="1" t="s">
        <v>46</v>
      </c>
      <c r="K1606" t="s">
        <v>1990</v>
      </c>
      <c r="M1606" s="1" t="s">
        <v>58</v>
      </c>
      <c r="N1606" s="1">
        <v>0</v>
      </c>
      <c r="O1606" s="1" t="s">
        <v>105</v>
      </c>
      <c r="P1606" s="186">
        <v>44970.5393287037</v>
      </c>
      <c r="R1606" s="1">
        <v>22</v>
      </c>
      <c r="T1606" s="1" t="s">
        <v>1160</v>
      </c>
      <c r="U1606" s="186">
        <v>44972.747662037036</v>
      </c>
      <c r="V1606" s="1" t="s">
        <v>41</v>
      </c>
      <c r="W1606" s="1" t="s">
        <v>49</v>
      </c>
      <c r="Z1606" s="14">
        <v>1</v>
      </c>
    </row>
    <row r="1607" spans="1:26" hidden="1">
      <c r="A1607" s="1">
        <v>9476586</v>
      </c>
      <c r="B1607" s="1" t="s">
        <v>1153</v>
      </c>
      <c r="C1607" t="s">
        <v>2875</v>
      </c>
      <c r="D1607" s="2">
        <v>20234844000444</v>
      </c>
      <c r="E1607" s="2">
        <v>7417160931755</v>
      </c>
      <c r="F1607" s="1" t="s">
        <v>2770</v>
      </c>
      <c r="G1607" s="1" t="s">
        <v>53</v>
      </c>
      <c r="H1607" s="1" t="s">
        <v>325</v>
      </c>
      <c r="I1607" s="1" t="s">
        <v>326</v>
      </c>
      <c r="J1607" s="1" t="s">
        <v>46</v>
      </c>
      <c r="K1607" t="s">
        <v>2771</v>
      </c>
      <c r="M1607" s="1" t="s">
        <v>58</v>
      </c>
      <c r="N1607" s="1">
        <v>0</v>
      </c>
      <c r="O1607" s="1" t="s">
        <v>105</v>
      </c>
      <c r="P1607" s="11" t="s">
        <v>2876</v>
      </c>
      <c r="R1607" s="1">
        <v>23</v>
      </c>
      <c r="T1607" s="1" t="s">
        <v>1160</v>
      </c>
      <c r="U1607" s="11" t="s">
        <v>2877</v>
      </c>
      <c r="V1607" s="1" t="s">
        <v>41</v>
      </c>
      <c r="W1607" s="1" t="s">
        <v>49</v>
      </c>
      <c r="Z1607" s="14">
        <v>1</v>
      </c>
    </row>
    <row r="1608" spans="1:26" hidden="1">
      <c r="A1608" s="1">
        <v>9476585</v>
      </c>
      <c r="B1608" s="1" t="s">
        <v>1153</v>
      </c>
      <c r="C1608" t="s">
        <v>2875</v>
      </c>
      <c r="D1608" s="2">
        <v>20234844000443</v>
      </c>
      <c r="E1608" s="2">
        <v>7417160929199</v>
      </c>
      <c r="F1608" s="1" t="s">
        <v>2770</v>
      </c>
      <c r="G1608" s="1" t="s">
        <v>53</v>
      </c>
      <c r="H1608" s="1" t="s">
        <v>2493</v>
      </c>
      <c r="I1608" s="1" t="s">
        <v>2494</v>
      </c>
      <c r="J1608" s="1" t="s">
        <v>46</v>
      </c>
      <c r="K1608" t="s">
        <v>2771</v>
      </c>
      <c r="M1608" s="1" t="s">
        <v>58</v>
      </c>
      <c r="N1608" s="1">
        <v>0</v>
      </c>
      <c r="O1608" s="1" t="s">
        <v>105</v>
      </c>
      <c r="P1608" s="11" t="s">
        <v>2878</v>
      </c>
      <c r="R1608" s="1">
        <v>23</v>
      </c>
      <c r="T1608" s="1" t="s">
        <v>1160</v>
      </c>
      <c r="U1608" s="11" t="s">
        <v>2879</v>
      </c>
      <c r="V1608" s="1" t="s">
        <v>41</v>
      </c>
      <c r="W1608" s="1" t="s">
        <v>49</v>
      </c>
      <c r="Z1608" s="14">
        <v>1</v>
      </c>
    </row>
    <row r="1609" spans="1:26" hidden="1">
      <c r="A1609" s="1">
        <v>9476530</v>
      </c>
      <c r="B1609" s="1" t="s">
        <v>1153</v>
      </c>
      <c r="C1609" t="s">
        <v>2880</v>
      </c>
      <c r="D1609" s="2">
        <v>20231732000010</v>
      </c>
      <c r="E1609" s="2">
        <v>7417202020715</v>
      </c>
      <c r="F1609" s="1" t="s">
        <v>1213</v>
      </c>
      <c r="G1609" s="1" t="s">
        <v>53</v>
      </c>
      <c r="H1609" s="1" t="s">
        <v>2361</v>
      </c>
      <c r="I1609" s="1" t="s">
        <v>2362</v>
      </c>
      <c r="J1609" s="1" t="s">
        <v>164</v>
      </c>
      <c r="K1609" t="s">
        <v>1214</v>
      </c>
      <c r="M1609" s="1" t="s">
        <v>58</v>
      </c>
      <c r="N1609" s="1">
        <v>0</v>
      </c>
      <c r="O1609" s="1" t="s">
        <v>105</v>
      </c>
      <c r="P1609" s="11" t="s">
        <v>2881</v>
      </c>
      <c r="R1609" s="1">
        <v>14</v>
      </c>
      <c r="T1609" s="1" t="s">
        <v>238</v>
      </c>
      <c r="U1609" s="11" t="s">
        <v>2881</v>
      </c>
      <c r="V1609" s="1" t="s">
        <v>41</v>
      </c>
      <c r="W1609" s="1" t="s">
        <v>49</v>
      </c>
      <c r="Z1609" s="14">
        <v>1</v>
      </c>
    </row>
    <row r="1610" spans="1:26" hidden="1">
      <c r="A1610" s="1">
        <v>9476515</v>
      </c>
      <c r="B1610" s="1" t="s">
        <v>1153</v>
      </c>
      <c r="C1610" t="e" cm="1">
        <f t="array" aca="1" ref="C1610" ca="1">-SKIMMING DETECTADON</f>
        <v>#NAME?</v>
      </c>
      <c r="D1610" s="2">
        <v>20231421000011</v>
      </c>
      <c r="E1610" s="2">
        <v>7417202021230</v>
      </c>
      <c r="F1610" s="1" t="s">
        <v>1213</v>
      </c>
      <c r="G1610" s="1" t="s">
        <v>53</v>
      </c>
      <c r="H1610" s="1" t="s">
        <v>2854</v>
      </c>
      <c r="I1610" s="1" t="s">
        <v>2855</v>
      </c>
      <c r="J1610" s="1" t="s">
        <v>79</v>
      </c>
      <c r="K1610" t="s">
        <v>1214</v>
      </c>
      <c r="M1610" s="1" t="s">
        <v>58</v>
      </c>
      <c r="N1610" s="1">
        <v>0</v>
      </c>
      <c r="O1610" s="1" t="s">
        <v>105</v>
      </c>
      <c r="P1610" s="186">
        <v>44970.523252314815</v>
      </c>
      <c r="R1610" s="1">
        <v>14</v>
      </c>
      <c r="T1610" s="1" t="s">
        <v>238</v>
      </c>
      <c r="U1610" s="186">
        <v>44970.523252314815</v>
      </c>
      <c r="V1610" s="1" t="s">
        <v>41</v>
      </c>
      <c r="W1610" s="1" t="s">
        <v>49</v>
      </c>
      <c r="Z1610" s="14">
        <v>1</v>
      </c>
    </row>
    <row r="1611" spans="1:26" hidden="1">
      <c r="A1611" s="1">
        <v>9476444</v>
      </c>
      <c r="B1611" s="1" t="s">
        <v>1153</v>
      </c>
      <c r="C1611" t="s">
        <v>2882</v>
      </c>
      <c r="D1611" s="2">
        <v>20234844000442</v>
      </c>
      <c r="E1611" s="2">
        <v>7417183020644</v>
      </c>
      <c r="F1611" s="1" t="s">
        <v>1313</v>
      </c>
      <c r="G1611" s="1" t="s">
        <v>53</v>
      </c>
      <c r="H1611" s="1" t="s">
        <v>2883</v>
      </c>
      <c r="I1611" s="1" t="s">
        <v>2884</v>
      </c>
      <c r="J1611" s="1" t="s">
        <v>46</v>
      </c>
      <c r="K1611" t="s">
        <v>1316</v>
      </c>
      <c r="M1611" s="1" t="s">
        <v>58</v>
      </c>
      <c r="N1611" s="1">
        <v>0</v>
      </c>
      <c r="O1611" s="1" t="s">
        <v>36</v>
      </c>
      <c r="P1611" s="186">
        <v>44970.516076388885</v>
      </c>
      <c r="R1611" s="1">
        <v>13</v>
      </c>
      <c r="T1611" s="1" t="s">
        <v>238</v>
      </c>
      <c r="U1611" s="186">
        <v>44970.516076388885</v>
      </c>
      <c r="V1611" s="1" t="s">
        <v>41</v>
      </c>
      <c r="W1611" s="1" t="s">
        <v>49</v>
      </c>
      <c r="Z1611" s="14">
        <v>1</v>
      </c>
    </row>
    <row r="1612" spans="1:26" hidden="1">
      <c r="A1612" s="1">
        <v>9476439</v>
      </c>
      <c r="B1612" s="1" t="s">
        <v>1153</v>
      </c>
      <c r="C1612" t="s">
        <v>2885</v>
      </c>
      <c r="D1612" s="2">
        <v>20230067000018</v>
      </c>
      <c r="E1612" s="2">
        <v>7417183020616</v>
      </c>
      <c r="F1612" s="1" t="s">
        <v>1313</v>
      </c>
      <c r="G1612" s="1" t="s">
        <v>53</v>
      </c>
      <c r="H1612" s="1" t="s">
        <v>2091</v>
      </c>
      <c r="I1612" s="1" t="s">
        <v>2092</v>
      </c>
      <c r="J1612" s="1" t="s">
        <v>164</v>
      </c>
      <c r="K1612" t="s">
        <v>1316</v>
      </c>
      <c r="M1612" s="1" t="s">
        <v>58</v>
      </c>
      <c r="N1612" s="1">
        <v>0</v>
      </c>
      <c r="O1612" s="1" t="s">
        <v>105</v>
      </c>
      <c r="P1612" s="186">
        <v>44970.51462962963</v>
      </c>
      <c r="R1612" s="1">
        <v>14</v>
      </c>
      <c r="T1612" s="1" t="s">
        <v>238</v>
      </c>
      <c r="U1612" s="186">
        <v>44970.51462962963</v>
      </c>
      <c r="V1612" s="1" t="s">
        <v>41</v>
      </c>
      <c r="W1612" s="1" t="s">
        <v>49</v>
      </c>
      <c r="Z1612" s="14">
        <v>1</v>
      </c>
    </row>
    <row r="1613" spans="1:26" hidden="1">
      <c r="A1613" s="1">
        <v>9476408</v>
      </c>
      <c r="B1613" s="1" t="s">
        <v>1153</v>
      </c>
      <c r="C1613" t="s">
        <v>2886</v>
      </c>
      <c r="E1613" s="2">
        <v>1732000203010</v>
      </c>
      <c r="F1613" s="1" t="s">
        <v>152</v>
      </c>
      <c r="G1613" s="1" t="s">
        <v>53</v>
      </c>
      <c r="H1613" s="1" t="s">
        <v>177</v>
      </c>
      <c r="I1613" s="1" t="s">
        <v>178</v>
      </c>
      <c r="J1613" s="1" t="s">
        <v>164</v>
      </c>
      <c r="K1613" t="s">
        <v>155</v>
      </c>
      <c r="M1613" s="1" t="s">
        <v>35</v>
      </c>
      <c r="N1613" s="1">
        <v>42318949</v>
      </c>
      <c r="O1613" s="1" t="s">
        <v>36</v>
      </c>
      <c r="P1613" s="186">
        <v>44970.517604166664</v>
      </c>
      <c r="R1613" s="1">
        <v>1</v>
      </c>
      <c r="T1613" s="1" t="s">
        <v>157</v>
      </c>
      <c r="U1613" s="186">
        <v>44971.517604166664</v>
      </c>
      <c r="V1613" s="1" t="s">
        <v>41</v>
      </c>
      <c r="W1613" s="1" t="s">
        <v>49</v>
      </c>
      <c r="Z1613" s="14">
        <v>1</v>
      </c>
    </row>
    <row r="1614" spans="1:26" hidden="1">
      <c r="A1614" s="1">
        <v>9476369</v>
      </c>
      <c r="B1614" s="1" t="s">
        <v>1153</v>
      </c>
      <c r="C1614" t="s">
        <v>2887</v>
      </c>
      <c r="D1614" s="2">
        <v>20231666000012</v>
      </c>
      <c r="E1614" s="2">
        <v>7417202020767</v>
      </c>
      <c r="F1614" s="1" t="s">
        <v>1213</v>
      </c>
      <c r="G1614" s="1" t="s">
        <v>53</v>
      </c>
      <c r="H1614" s="1" t="s">
        <v>2679</v>
      </c>
      <c r="I1614" s="1" t="s">
        <v>2680</v>
      </c>
      <c r="J1614" s="1" t="s">
        <v>79</v>
      </c>
      <c r="K1614" t="s">
        <v>1214</v>
      </c>
      <c r="M1614" s="1" t="s">
        <v>58</v>
      </c>
      <c r="N1614" s="1">
        <v>0</v>
      </c>
      <c r="O1614" s="1" t="s">
        <v>105</v>
      </c>
      <c r="P1614" s="186">
        <v>44970.500277777777</v>
      </c>
      <c r="R1614" s="1">
        <v>14</v>
      </c>
      <c r="T1614" s="1" t="s">
        <v>238</v>
      </c>
      <c r="U1614" s="186">
        <v>44970.500277777777</v>
      </c>
      <c r="V1614" s="1" t="s">
        <v>41</v>
      </c>
      <c r="W1614" s="1" t="s">
        <v>49</v>
      </c>
      <c r="Z1614" s="14">
        <v>1</v>
      </c>
    </row>
    <row r="1615" spans="1:26" hidden="1">
      <c r="A1615" s="1">
        <v>9476344</v>
      </c>
      <c r="B1615" s="1" t="s">
        <v>1153</v>
      </c>
      <c r="C1615" t="s">
        <v>2888</v>
      </c>
      <c r="E1615" s="2">
        <v>2830000206001</v>
      </c>
      <c r="F1615" s="1" t="s">
        <v>29</v>
      </c>
      <c r="G1615" s="1" t="s">
        <v>53</v>
      </c>
      <c r="H1615" s="1" t="s">
        <v>448</v>
      </c>
      <c r="I1615" s="1" t="s">
        <v>449</v>
      </c>
      <c r="J1615" s="1" t="s">
        <v>33</v>
      </c>
      <c r="K1615" t="s">
        <v>34</v>
      </c>
      <c r="M1615" s="1" t="s">
        <v>35</v>
      </c>
      <c r="N1615" s="1">
        <v>42318949</v>
      </c>
      <c r="O1615" s="1" t="s">
        <v>36</v>
      </c>
      <c r="P1615" s="186">
        <v>44970.510833333334</v>
      </c>
      <c r="R1615" s="1" t="s">
        <v>38</v>
      </c>
      <c r="T1615" s="1" t="s">
        <v>74</v>
      </c>
      <c r="U1615" s="186">
        <v>44979.458333333336</v>
      </c>
      <c r="V1615" s="1" t="s">
        <v>41</v>
      </c>
      <c r="W1615" s="1" t="s">
        <v>42</v>
      </c>
      <c r="Z1615" s="14">
        <v>1</v>
      </c>
    </row>
    <row r="1616" spans="1:26" hidden="1">
      <c r="A1616" s="1">
        <v>9476284</v>
      </c>
      <c r="B1616" s="1" t="s">
        <v>1153</v>
      </c>
      <c r="C1616" t="s">
        <v>2889</v>
      </c>
      <c r="D1616" s="2">
        <v>20230067000017</v>
      </c>
      <c r="E1616" s="2">
        <v>7417202020224</v>
      </c>
      <c r="F1616" s="1" t="s">
        <v>1213</v>
      </c>
      <c r="G1616" s="1" t="s">
        <v>53</v>
      </c>
      <c r="H1616" s="1" t="s">
        <v>2091</v>
      </c>
      <c r="I1616" s="1" t="s">
        <v>2092</v>
      </c>
      <c r="J1616" s="1" t="s">
        <v>164</v>
      </c>
      <c r="K1616" t="s">
        <v>1214</v>
      </c>
      <c r="M1616" s="1" t="s">
        <v>58</v>
      </c>
      <c r="N1616" s="1">
        <v>0</v>
      </c>
      <c r="O1616" s="1" t="s">
        <v>105</v>
      </c>
      <c r="P1616" s="186">
        <v>44970.48914351852</v>
      </c>
      <c r="R1616" s="1">
        <v>14</v>
      </c>
      <c r="T1616" s="1" t="s">
        <v>238</v>
      </c>
      <c r="U1616" s="186">
        <v>44970.48914351852</v>
      </c>
      <c r="V1616" s="1" t="s">
        <v>41</v>
      </c>
      <c r="W1616" s="1" t="s">
        <v>49</v>
      </c>
      <c r="Z1616" s="14">
        <v>1</v>
      </c>
    </row>
    <row r="1617" spans="1:32" hidden="1">
      <c r="A1617" s="1">
        <v>9476194</v>
      </c>
      <c r="B1617" s="1" t="s">
        <v>1153</v>
      </c>
      <c r="C1617" t="s">
        <v>2890</v>
      </c>
      <c r="D1617" s="2">
        <v>20231739000003</v>
      </c>
      <c r="E1617" s="2">
        <v>7417210950311</v>
      </c>
      <c r="F1617" s="1" t="s">
        <v>1213</v>
      </c>
      <c r="G1617" s="1" t="s">
        <v>53</v>
      </c>
      <c r="H1617" s="1" t="s">
        <v>2891</v>
      </c>
      <c r="I1617" s="1" t="s">
        <v>2892</v>
      </c>
      <c r="J1617" s="1" t="s">
        <v>164</v>
      </c>
      <c r="K1617" t="s">
        <v>1214</v>
      </c>
      <c r="M1617" s="1" t="s">
        <v>58</v>
      </c>
      <c r="N1617" s="1">
        <v>0</v>
      </c>
      <c r="O1617" s="1" t="s">
        <v>36</v>
      </c>
      <c r="P1617" s="186">
        <v>44970.482349537036</v>
      </c>
      <c r="R1617" s="1">
        <v>14</v>
      </c>
      <c r="T1617" s="1" t="s">
        <v>238</v>
      </c>
      <c r="U1617" s="186">
        <v>44970.482349537036</v>
      </c>
      <c r="V1617" s="1" t="s">
        <v>41</v>
      </c>
      <c r="W1617" s="1" t="s">
        <v>49</v>
      </c>
      <c r="Z1617" s="14">
        <v>1</v>
      </c>
    </row>
    <row r="1618" spans="1:32" hidden="1">
      <c r="A1618" s="1">
        <v>9476189</v>
      </c>
      <c r="B1618" s="1" t="s">
        <v>1153</v>
      </c>
      <c r="C1618" t="s">
        <v>2893</v>
      </c>
      <c r="D1618" s="2">
        <v>20234844000440</v>
      </c>
      <c r="E1618" s="2">
        <v>7419141892254</v>
      </c>
      <c r="F1618" s="1" t="s">
        <v>128</v>
      </c>
      <c r="G1618" s="1" t="s">
        <v>53</v>
      </c>
      <c r="H1618" s="1" t="s">
        <v>2059</v>
      </c>
      <c r="I1618" s="1" t="s">
        <v>2060</v>
      </c>
      <c r="J1618" s="1" t="s">
        <v>46</v>
      </c>
      <c r="K1618" t="s">
        <v>129</v>
      </c>
      <c r="M1618" s="1" t="s">
        <v>58</v>
      </c>
      <c r="N1618" s="1">
        <v>0</v>
      </c>
      <c r="O1618" s="1" t="s">
        <v>105</v>
      </c>
      <c r="P1618" s="186">
        <v>44970.482025462959</v>
      </c>
      <c r="R1618" s="1">
        <v>13</v>
      </c>
      <c r="T1618" s="1" t="s">
        <v>238</v>
      </c>
      <c r="U1618" s="186">
        <v>44970.482025462959</v>
      </c>
      <c r="V1618" s="1" t="s">
        <v>41</v>
      </c>
      <c r="W1618" s="1" t="s">
        <v>49</v>
      </c>
      <c r="Z1618" s="14">
        <v>1</v>
      </c>
    </row>
    <row r="1619" spans="1:32" hidden="1">
      <c r="A1619" s="1">
        <v>9476101</v>
      </c>
      <c r="B1619" s="1" t="s">
        <v>1153</v>
      </c>
      <c r="C1619" t="s">
        <v>2894</v>
      </c>
      <c r="D1619" s="2">
        <v>20231052000012</v>
      </c>
      <c r="E1619" s="2">
        <v>7417183020683</v>
      </c>
      <c r="F1619" s="1" t="s">
        <v>1313</v>
      </c>
      <c r="G1619" s="1" t="s">
        <v>53</v>
      </c>
      <c r="H1619" s="1" t="s">
        <v>2560</v>
      </c>
      <c r="I1619" s="1" t="s">
        <v>2561</v>
      </c>
      <c r="J1619" s="1" t="s">
        <v>79</v>
      </c>
      <c r="K1619" t="s">
        <v>1316</v>
      </c>
      <c r="M1619" s="1" t="s">
        <v>58</v>
      </c>
      <c r="N1619" s="1">
        <v>0</v>
      </c>
      <c r="O1619" s="1" t="s">
        <v>105</v>
      </c>
      <c r="P1619" s="11" t="s">
        <v>2895</v>
      </c>
      <c r="R1619" s="1">
        <v>14</v>
      </c>
      <c r="T1619" s="1" t="s">
        <v>238</v>
      </c>
      <c r="U1619" s="11" t="s">
        <v>2895</v>
      </c>
      <c r="V1619" s="1" t="s">
        <v>41</v>
      </c>
      <c r="W1619" s="1" t="s">
        <v>49</v>
      </c>
      <c r="Z1619" s="14">
        <v>1</v>
      </c>
    </row>
    <row r="1620" spans="1:32">
      <c r="A1620" s="1">
        <v>9475814</v>
      </c>
      <c r="B1620" s="1" t="s">
        <v>1153</v>
      </c>
      <c r="C1620" t="s">
        <v>2896</v>
      </c>
      <c r="D1620" s="2">
        <v>20234119000010</v>
      </c>
      <c r="E1620" s="2">
        <v>7417202020221</v>
      </c>
      <c r="F1620" s="1" t="s">
        <v>1213</v>
      </c>
      <c r="G1620" s="1" t="s">
        <v>53</v>
      </c>
      <c r="H1620" s="1" t="s">
        <v>2053</v>
      </c>
      <c r="I1620" s="1" t="s">
        <v>2054</v>
      </c>
      <c r="J1620" s="1" t="s">
        <v>211</v>
      </c>
      <c r="K1620" t="s">
        <v>1214</v>
      </c>
      <c r="M1620" s="1" t="s">
        <v>58</v>
      </c>
      <c r="N1620" s="1">
        <v>0</v>
      </c>
      <c r="O1620" s="1" t="s">
        <v>105</v>
      </c>
      <c r="P1620" s="11" t="s">
        <v>2897</v>
      </c>
      <c r="R1620" s="1">
        <v>14</v>
      </c>
      <c r="T1620" s="1" t="s">
        <v>238</v>
      </c>
      <c r="U1620" s="11" t="s">
        <v>2897</v>
      </c>
      <c r="V1620" s="1" t="s">
        <v>41</v>
      </c>
      <c r="W1620" s="1" t="s">
        <v>49</v>
      </c>
      <c r="X1620" s="13" t="str">
        <f t="shared" ref="X1620" si="315">IF(RIGHT(H1620,2)&lt;&gt;"00",H1620,"")</f>
        <v>4119.91</v>
      </c>
      <c r="Y1620" s="2">
        <f t="shared" ref="Y1620" ca="1" si="316">NETWORKDAYS(P1620,$Y$1)</f>
        <v>13</v>
      </c>
      <c r="Z1620" s="14">
        <v>1</v>
      </c>
      <c r="AA1620" s="1" t="str">
        <f t="shared" ref="AA1620" ca="1" si="317">IF(AE1620=0,"HOJE",IF(AE1620&gt;0,"A VENCER",IF(AE1620&lt;0,"VENCIDO")))</f>
        <v>VENCIDO</v>
      </c>
      <c r="AB1620" s="1" t="str">
        <f t="shared" ref="AB1620" si="318">IF(F1620="GRPE-000001","C-14",IF(F1620="GRPE-000002","C-14",IF(F1620="GRPE-000003","C-14",IF(F1620="GRPE-000004","SL-On",IF(F1620="GRPE-000038","C-14",IF(F1620="GRPE-900022","Dosa",IF(F1620="GRPE-000029","Dosa",IF(F1620="ATOS-000222","Dose","TAAe+"))))))))</f>
        <v>TAAe+</v>
      </c>
      <c r="AC1620" s="2" t="str">
        <f t="shared" ref="AC1620" si="319">IF(J1620="TR-PETROLINA"," ROSEMERE ",IF(J1620="TR-GARANHUNS"," ROSEMERE ",IF(J1620="TR-CARUARU"," ROSEMERE ",IF(J1620="TR-RIBEIRAO"," CRISTINA ",IF(J1620="TR-GRAVATA"," CRISTINA ",IF(J1620="TR-GOIANA"," CRISTINA ",IF(J1620="TR-LIMOEIRO"," CRISTINA ",IF(J1620="TR-SERRA TALHADA"," RINALDO ",IF(J1620="TR-SALGUEIRO"," RINALDO ",IF(J1620="TR-CARNAIBA"," RINALDO ",IF(J1620="TR-ARCOVERDE"," RINALDO ",IF(J1620="CAT-RECIFE"," CLEITON ",))))))))))))</f>
        <v xml:space="preserve"> RINALDO </v>
      </c>
      <c r="AD1620" s="2">
        <f t="shared" ref="AD1620" si="320">IF(F1620="GRPE-000001",5,IF(F1620="GRPE-000002",5,IF(F1620="GRPE-000003",15,IF(F1620="GRPE-000004",1,IF(F1620="GRPE-000038",5,IF(F1620="GRPE-900022",5,IF(F1620="GRPE-000029",5,IF(F1620="ATOS-000222",5,8))))))))</f>
        <v>8</v>
      </c>
      <c r="AE1620" s="2">
        <f t="shared" ref="AE1620" ca="1" si="321">IF(U1620=$AE$1,"",U1620-$AE$1)</f>
        <v>-16.237637384256232</v>
      </c>
      <c r="AF1620" s="15"/>
    </row>
    <row r="1621" spans="1:32" hidden="1">
      <c r="A1621" s="1">
        <v>9475811</v>
      </c>
      <c r="B1621" s="1" t="s">
        <v>1153</v>
      </c>
      <c r="C1621" t="s">
        <v>2898</v>
      </c>
      <c r="D1621" s="2">
        <v>20234844000437</v>
      </c>
      <c r="E1621" s="2">
        <v>7417202734139</v>
      </c>
      <c r="F1621" s="1" t="s">
        <v>1727</v>
      </c>
      <c r="G1621" s="1" t="s">
        <v>53</v>
      </c>
      <c r="H1621" s="1" t="s">
        <v>2690</v>
      </c>
      <c r="I1621" s="1" t="s">
        <v>2691</v>
      </c>
      <c r="J1621" s="1" t="s">
        <v>46</v>
      </c>
      <c r="K1621" t="s">
        <v>1728</v>
      </c>
      <c r="M1621" s="1" t="s">
        <v>58</v>
      </c>
      <c r="N1621" s="1">
        <v>0</v>
      </c>
      <c r="O1621" s="1" t="s">
        <v>105</v>
      </c>
      <c r="P1621" s="12">
        <v>44970.433819444443</v>
      </c>
      <c r="R1621" s="1">
        <v>22</v>
      </c>
      <c r="T1621" s="1" t="s">
        <v>1160</v>
      </c>
      <c r="U1621" s="12">
        <v>44972.642152777778</v>
      </c>
      <c r="V1621" s="1" t="s">
        <v>41</v>
      </c>
      <c r="W1621" s="1" t="s">
        <v>49</v>
      </c>
      <c r="Z1621" s="14">
        <v>1</v>
      </c>
    </row>
    <row r="1622" spans="1:32">
      <c r="A1622" s="175">
        <v>9475805</v>
      </c>
      <c r="B1622" s="175" t="s">
        <v>1153</v>
      </c>
      <c r="C1622" s="176" t="s">
        <v>2899</v>
      </c>
      <c r="D1622" s="177">
        <v>20231108000011</v>
      </c>
      <c r="E1622" s="177">
        <v>7417163281330</v>
      </c>
      <c r="F1622" s="175" t="s">
        <v>131</v>
      </c>
      <c r="G1622" s="175" t="s">
        <v>53</v>
      </c>
      <c r="H1622" s="175" t="s">
        <v>2900</v>
      </c>
      <c r="I1622" s="175" t="s">
        <v>2901</v>
      </c>
      <c r="J1622" s="175" t="s">
        <v>90</v>
      </c>
      <c r="K1622" t="s">
        <v>132</v>
      </c>
      <c r="M1622" s="1" t="s">
        <v>58</v>
      </c>
      <c r="N1622" s="1">
        <v>0</v>
      </c>
      <c r="O1622" s="1" t="s">
        <v>105</v>
      </c>
      <c r="P1622" s="11" t="s">
        <v>2902</v>
      </c>
      <c r="R1622" s="1">
        <v>13</v>
      </c>
      <c r="T1622" s="1" t="s">
        <v>238</v>
      </c>
      <c r="U1622" s="11" t="s">
        <v>2902</v>
      </c>
      <c r="V1622" s="1" t="s">
        <v>41</v>
      </c>
      <c r="W1622" s="1" t="s">
        <v>49</v>
      </c>
      <c r="X1622" s="13" t="str">
        <f t="shared" ref="X1622:X1623" si="322">IF(RIGHT(H1622,2)&lt;&gt;"00",H1622,"")</f>
        <v>1108.91</v>
      </c>
      <c r="Y1622" s="2">
        <f t="shared" ref="Y1622:Y1623" ca="1" si="323">NETWORKDAYS(P1622,$Y$1)</f>
        <v>13</v>
      </c>
      <c r="Z1622" s="14">
        <v>1</v>
      </c>
      <c r="AA1622" s="1" t="str">
        <f t="shared" ref="AA1622:AA1623" ca="1" si="324">IF(AE1622=0,"HOJE",IF(AE1622&gt;0,"A VENCER",IF(AE1622&lt;0,"VENCIDO")))</f>
        <v>VENCIDO</v>
      </c>
      <c r="AB1622" s="1" t="str">
        <f t="shared" ref="AB1622:AB1623" si="325">IF(F1622="GRPE-000001","C-14",IF(F1622="GRPE-000002","C-14",IF(F1622="GRPE-000003","C-14",IF(F1622="GRPE-000004","SL-On",IF(F1622="GRPE-000038","C-14",IF(F1622="GRPE-900022","Dosa",IF(F1622="GRPE-000029","Dosa",IF(F1622="ATOS-000222","Dose","TAAe+"))))))))</f>
        <v>TAAe+</v>
      </c>
      <c r="AC1622" s="2" t="str">
        <f t="shared" ref="AC1622:AC1623" si="326">IF(J1622="TR-PETROLINA"," ROSEMERE ",IF(J1622="TR-GARANHUNS"," ROSEMERE ",IF(J1622="TR-CARUARU"," ROSEMERE ",IF(J1622="TR-RIBEIRAO"," CRISTINA ",IF(J1622="TR-GRAVATA"," CRISTINA ",IF(J1622="TR-GOIANA"," CRISTINA ",IF(J1622="TR-LIMOEIRO"," CRISTINA ",IF(J1622="TR-SERRA TALHADA"," RINALDO ",IF(J1622="TR-SALGUEIRO"," RINALDO ",IF(J1622="TR-CARNAIBA"," RINALDO ",IF(J1622="TR-ARCOVERDE"," RINALDO ",IF(J1622="CAT-RECIFE"," CLEITON ",))))))))))))</f>
        <v xml:space="preserve"> RINALDO </v>
      </c>
      <c r="AD1622" s="2">
        <f t="shared" ref="AD1622:AD1623" si="327">IF(F1622="GRPE-000001",5,IF(F1622="GRPE-000002",5,IF(F1622="GRPE-000003",15,IF(F1622="GRPE-000004",1,IF(F1622="GRPE-000038",5,IF(F1622="GRPE-900022",5,IF(F1622="GRPE-000029",5,IF(F1622="ATOS-000222",5,8))))))))</f>
        <v>8</v>
      </c>
      <c r="AE1622" s="2">
        <f t="shared" ref="AE1622:AE1623" ca="1" si="328">IF(U1622=$AE$1,"",U1622-$AE$1)</f>
        <v>-16.239963773150521</v>
      </c>
      <c r="AF1622" s="15"/>
    </row>
    <row r="1623" spans="1:32">
      <c r="A1623" s="1">
        <v>9475757</v>
      </c>
      <c r="B1623" s="1" t="s">
        <v>1153</v>
      </c>
      <c r="C1623" t="s">
        <v>2903</v>
      </c>
      <c r="D1623" s="2">
        <v>230028057</v>
      </c>
      <c r="E1623" s="2">
        <v>2437001400010</v>
      </c>
      <c r="F1623" s="1" t="s">
        <v>936</v>
      </c>
      <c r="G1623" s="1" t="s">
        <v>53</v>
      </c>
      <c r="H1623" s="1" t="s">
        <v>416</v>
      </c>
      <c r="I1623" s="1" t="s">
        <v>417</v>
      </c>
      <c r="J1623" s="1" t="s">
        <v>211</v>
      </c>
      <c r="K1623" t="s">
        <v>937</v>
      </c>
      <c r="M1623" s="1" t="s">
        <v>58</v>
      </c>
      <c r="N1623" s="1">
        <v>0</v>
      </c>
      <c r="O1623" s="1" t="s">
        <v>36</v>
      </c>
      <c r="P1623" s="11" t="s">
        <v>2904</v>
      </c>
      <c r="R1623" s="1">
        <v>3</v>
      </c>
      <c r="T1623" s="1" t="s">
        <v>646</v>
      </c>
      <c r="U1623" s="11" t="s">
        <v>2905</v>
      </c>
      <c r="V1623" s="1" t="s">
        <v>41</v>
      </c>
      <c r="W1623" s="1" t="s">
        <v>49</v>
      </c>
      <c r="X1623" s="13" t="str">
        <f t="shared" si="322"/>
        <v/>
      </c>
      <c r="Y1623" s="2">
        <f t="shared" ca="1" si="323"/>
        <v>13</v>
      </c>
      <c r="Z1623" s="14">
        <v>1</v>
      </c>
      <c r="AA1623" s="1" t="str">
        <f t="shared" ca="1" si="324"/>
        <v>VENCIDO</v>
      </c>
      <c r="AB1623" s="1" t="str">
        <f t="shared" si="325"/>
        <v>C-14</v>
      </c>
      <c r="AC1623" s="2" t="str">
        <f t="shared" si="326"/>
        <v xml:space="preserve"> RINALDO </v>
      </c>
      <c r="AD1623" s="2">
        <f t="shared" si="327"/>
        <v>5</v>
      </c>
      <c r="AE1623" s="2">
        <f t="shared" ca="1" si="328"/>
        <v>-13.030438310182944</v>
      </c>
      <c r="AF1623" s="15"/>
    </row>
    <row r="1624" spans="1:32" hidden="1">
      <c r="A1624" s="1">
        <v>9475648</v>
      </c>
      <c r="B1624" s="1" t="s">
        <v>1153</v>
      </c>
      <c r="C1624" t="s">
        <v>2906</v>
      </c>
      <c r="D1624" s="2">
        <v>20232244000009</v>
      </c>
      <c r="E1624" s="2">
        <v>7419152457251</v>
      </c>
      <c r="F1624" s="1" t="s">
        <v>2744</v>
      </c>
      <c r="G1624" s="1" t="s">
        <v>53</v>
      </c>
      <c r="H1624" s="1" t="s">
        <v>1853</v>
      </c>
      <c r="I1624" s="1" t="s">
        <v>1854</v>
      </c>
      <c r="J1624" s="1" t="s">
        <v>79</v>
      </c>
      <c r="K1624" t="s">
        <v>2745</v>
      </c>
      <c r="M1624" s="1" t="s">
        <v>58</v>
      </c>
      <c r="N1624" s="1">
        <v>0</v>
      </c>
      <c r="O1624" s="1" t="s">
        <v>105</v>
      </c>
      <c r="P1624" s="11" t="s">
        <v>2907</v>
      </c>
      <c r="R1624" s="1">
        <v>22</v>
      </c>
      <c r="T1624" s="1" t="s">
        <v>1160</v>
      </c>
      <c r="U1624" s="11" t="s">
        <v>2908</v>
      </c>
      <c r="V1624" s="1" t="s">
        <v>41</v>
      </c>
      <c r="W1624" s="1" t="s">
        <v>49</v>
      </c>
      <c r="Z1624" s="14">
        <v>1</v>
      </c>
    </row>
    <row r="1625" spans="1:32">
      <c r="A1625" s="181">
        <v>9475584</v>
      </c>
      <c r="B1625" s="181" t="s">
        <v>101</v>
      </c>
      <c r="C1625" s="182" t="s">
        <v>2909</v>
      </c>
      <c r="D1625" s="183"/>
      <c r="E1625" s="183">
        <v>7419151140262</v>
      </c>
      <c r="F1625" s="183" t="s">
        <v>2058</v>
      </c>
      <c r="G1625" s="181" t="s">
        <v>53</v>
      </c>
      <c r="H1625" s="181" t="s">
        <v>2910</v>
      </c>
      <c r="I1625" s="181" t="s">
        <v>2911</v>
      </c>
      <c r="J1625" s="181" t="s">
        <v>90</v>
      </c>
      <c r="K1625" t="s">
        <v>2061</v>
      </c>
      <c r="M1625" s="1" t="s">
        <v>58</v>
      </c>
      <c r="N1625" s="1">
        <v>0</v>
      </c>
      <c r="O1625" s="1" t="s">
        <v>105</v>
      </c>
      <c r="P1625" s="11" t="s">
        <v>2912</v>
      </c>
      <c r="R1625" s="1">
        <v>14</v>
      </c>
      <c r="T1625" s="1" t="s">
        <v>238</v>
      </c>
      <c r="U1625" s="11" t="s">
        <v>2912</v>
      </c>
      <c r="V1625" s="1" t="s">
        <v>41</v>
      </c>
      <c r="W1625" s="1" t="s">
        <v>49</v>
      </c>
      <c r="Z1625" s="14">
        <v>1</v>
      </c>
    </row>
    <row r="1626" spans="1:32" hidden="1">
      <c r="A1626" s="1">
        <v>9475573</v>
      </c>
      <c r="B1626" s="1" t="s">
        <v>1153</v>
      </c>
      <c r="C1626" t="s">
        <v>2913</v>
      </c>
      <c r="D1626" s="2">
        <v>20234844000435</v>
      </c>
      <c r="E1626" s="2">
        <v>7417161483353</v>
      </c>
      <c r="F1626" s="1" t="s">
        <v>1217</v>
      </c>
      <c r="G1626" s="1" t="s">
        <v>53</v>
      </c>
      <c r="H1626" s="1" t="s">
        <v>2550</v>
      </c>
      <c r="I1626" s="1" t="s">
        <v>2551</v>
      </c>
      <c r="J1626" s="1" t="s">
        <v>46</v>
      </c>
      <c r="K1626" t="s">
        <v>1218</v>
      </c>
      <c r="M1626" s="1" t="s">
        <v>58</v>
      </c>
      <c r="N1626" s="1">
        <v>0</v>
      </c>
      <c r="O1626" s="1" t="s">
        <v>105</v>
      </c>
      <c r="P1626" s="11" t="s">
        <v>2914</v>
      </c>
      <c r="R1626" s="1">
        <v>13</v>
      </c>
      <c r="T1626" s="1" t="s">
        <v>238</v>
      </c>
      <c r="U1626" s="11" t="s">
        <v>2914</v>
      </c>
      <c r="V1626" s="1" t="s">
        <v>41</v>
      </c>
      <c r="W1626" s="1" t="s">
        <v>49</v>
      </c>
      <c r="Z1626" s="14">
        <v>1</v>
      </c>
    </row>
    <row r="1627" spans="1:32" hidden="1">
      <c r="A1627" s="1">
        <v>9475572</v>
      </c>
      <c r="B1627" s="1" t="s">
        <v>1153</v>
      </c>
      <c r="C1627" t="s">
        <v>2915</v>
      </c>
      <c r="D1627" s="2">
        <v>20234844000436</v>
      </c>
      <c r="E1627" s="2">
        <v>7417163284247</v>
      </c>
      <c r="F1627" s="1" t="s">
        <v>131</v>
      </c>
      <c r="G1627" s="1" t="s">
        <v>53</v>
      </c>
      <c r="H1627" s="1" t="s">
        <v>2883</v>
      </c>
      <c r="I1627" s="1" t="s">
        <v>2884</v>
      </c>
      <c r="J1627" s="1" t="s">
        <v>46</v>
      </c>
      <c r="K1627" t="s">
        <v>132</v>
      </c>
      <c r="M1627" s="1" t="s">
        <v>58</v>
      </c>
      <c r="N1627" s="1">
        <v>0</v>
      </c>
      <c r="O1627" s="1" t="s">
        <v>36</v>
      </c>
      <c r="P1627" s="186">
        <v>44970.41510416667</v>
      </c>
      <c r="R1627" s="1">
        <v>13</v>
      </c>
      <c r="T1627" s="1" t="s">
        <v>238</v>
      </c>
      <c r="U1627" s="186">
        <v>44970.41510416667</v>
      </c>
      <c r="V1627" s="1" t="s">
        <v>41</v>
      </c>
      <c r="W1627" s="1" t="s">
        <v>49</v>
      </c>
      <c r="Z1627" s="14">
        <v>1</v>
      </c>
    </row>
    <row r="1628" spans="1:32" hidden="1">
      <c r="A1628" s="1">
        <v>9475571</v>
      </c>
      <c r="B1628" s="1" t="s">
        <v>1153</v>
      </c>
      <c r="C1628" t="s">
        <v>2916</v>
      </c>
      <c r="D1628" s="2">
        <v>20238889000056</v>
      </c>
      <c r="E1628" s="2">
        <v>7417163282971</v>
      </c>
      <c r="F1628" s="1" t="s">
        <v>131</v>
      </c>
      <c r="G1628" s="1" t="s">
        <v>53</v>
      </c>
      <c r="H1628" s="1" t="s">
        <v>2917</v>
      </c>
      <c r="I1628" s="1" t="s">
        <v>2918</v>
      </c>
      <c r="J1628" s="1" t="s">
        <v>33</v>
      </c>
      <c r="K1628" t="s">
        <v>132</v>
      </c>
      <c r="M1628" s="1" t="s">
        <v>58</v>
      </c>
      <c r="N1628" s="1">
        <v>0</v>
      </c>
      <c r="O1628" s="1" t="s">
        <v>105</v>
      </c>
      <c r="P1628" s="186">
        <v>44970.421655092592</v>
      </c>
      <c r="R1628" s="1">
        <v>14</v>
      </c>
      <c r="T1628" s="1" t="s">
        <v>238</v>
      </c>
      <c r="U1628" s="186">
        <v>44970.421655092592</v>
      </c>
      <c r="V1628" s="1" t="s">
        <v>41</v>
      </c>
      <c r="W1628" s="1" t="s">
        <v>49</v>
      </c>
      <c r="Z1628" s="14">
        <v>1</v>
      </c>
    </row>
    <row r="1629" spans="1:32">
      <c r="A1629" s="1">
        <v>9475567</v>
      </c>
      <c r="B1629" s="1" t="s">
        <v>1153</v>
      </c>
      <c r="C1629" t="s">
        <v>2919</v>
      </c>
      <c r="D1629" s="2">
        <v>20230068000019</v>
      </c>
      <c r="E1629" s="2">
        <v>7419141893487</v>
      </c>
      <c r="F1629" s="1" t="s">
        <v>128</v>
      </c>
      <c r="G1629" s="1" t="s">
        <v>53</v>
      </c>
      <c r="H1629" s="1" t="s">
        <v>2623</v>
      </c>
      <c r="I1629" s="1" t="s">
        <v>2624</v>
      </c>
      <c r="J1629" s="1" t="s">
        <v>211</v>
      </c>
      <c r="K1629" t="s">
        <v>129</v>
      </c>
      <c r="M1629" s="1" t="s">
        <v>58</v>
      </c>
      <c r="N1629" s="1">
        <v>0</v>
      </c>
      <c r="O1629" s="1" t="s">
        <v>105</v>
      </c>
      <c r="P1629" s="11" t="s">
        <v>2920</v>
      </c>
      <c r="R1629" s="1">
        <v>14</v>
      </c>
      <c r="T1629" s="1" t="s">
        <v>238</v>
      </c>
      <c r="U1629" s="11" t="s">
        <v>2920</v>
      </c>
      <c r="V1629" s="1" t="s">
        <v>41</v>
      </c>
      <c r="W1629" s="1" t="s">
        <v>49</v>
      </c>
      <c r="X1629" s="13" t="str">
        <f t="shared" ref="X1629" si="329">IF(RIGHT(H1629,2)&lt;&gt;"00",H1629,"")</f>
        <v>0068.91</v>
      </c>
      <c r="Y1629" s="2">
        <f t="shared" ref="Y1629" ca="1" si="330">NETWORKDAYS(P1629,$Y$1)</f>
        <v>13</v>
      </c>
      <c r="Z1629" s="14">
        <v>1</v>
      </c>
      <c r="AA1629" s="1" t="str">
        <f t="shared" ref="AA1629" ca="1" si="331">IF(AE1629=0,"HOJE",IF(AE1629&gt;0,"A VENCER",IF(AE1629&lt;0,"VENCIDO")))</f>
        <v>VENCIDO</v>
      </c>
      <c r="AB1629" s="1" t="str">
        <f t="shared" ref="AB1629" si="332">IF(F1629="GRPE-000001","C-14",IF(F1629="GRPE-000002","C-14",IF(F1629="GRPE-000003","C-14",IF(F1629="GRPE-000004","SL-On",IF(F1629="GRPE-000038","C-14",IF(F1629="GRPE-900022","Dosa",IF(F1629="GRPE-000029","Dosa",IF(F1629="ATOS-000222","Dose","TAAe+"))))))))</f>
        <v>TAAe+</v>
      </c>
      <c r="AC1629" s="2" t="str">
        <f t="shared" ref="AC1629" si="333">IF(J1629="TR-PETROLINA"," ROSEMERE ",IF(J1629="TR-GARANHUNS"," ROSEMERE ",IF(J1629="TR-CARUARU"," ROSEMERE ",IF(J1629="TR-RIBEIRAO"," CRISTINA ",IF(J1629="TR-GRAVATA"," CRISTINA ",IF(J1629="TR-GOIANA"," CRISTINA ",IF(J1629="TR-LIMOEIRO"," CRISTINA ",IF(J1629="TR-SERRA TALHADA"," RINALDO ",IF(J1629="TR-SALGUEIRO"," RINALDO ",IF(J1629="TR-CARNAIBA"," RINALDO ",IF(J1629="TR-ARCOVERDE"," RINALDO ",IF(J1629="CAT-RECIFE"," CLEITON ",))))))))))))</f>
        <v xml:space="preserve"> RINALDO </v>
      </c>
      <c r="AD1629" s="2">
        <f t="shared" ref="AD1629" si="334">IF(F1629="GRPE-000001",5,IF(F1629="GRPE-000002",5,IF(F1629="GRPE-000003",15,IF(F1629="GRPE-000004",1,IF(F1629="GRPE-000038",5,IF(F1629="GRPE-900022",5,IF(F1629="GRPE-000029",5,IF(F1629="ATOS-000222",5,8))))))))</f>
        <v>8</v>
      </c>
      <c r="AE1629" s="2">
        <f t="shared" ref="AE1629" ca="1" si="335">IF(U1629=$AE$1,"",U1629-$AE$1)</f>
        <v>-16.258250810184109</v>
      </c>
      <c r="AF1629" s="15"/>
    </row>
    <row r="1630" spans="1:32" hidden="1">
      <c r="A1630" s="1">
        <v>9475564</v>
      </c>
      <c r="B1630" s="1" t="s">
        <v>1153</v>
      </c>
      <c r="C1630" t="s">
        <v>2921</v>
      </c>
      <c r="D1630" s="2">
        <v>20231363000016</v>
      </c>
      <c r="E1630" s="2">
        <v>7419152461296</v>
      </c>
      <c r="F1630" s="1" t="s">
        <v>2744</v>
      </c>
      <c r="G1630" s="1" t="s">
        <v>53</v>
      </c>
      <c r="H1630" s="1" t="s">
        <v>108</v>
      </c>
      <c r="I1630" s="1" t="s">
        <v>109</v>
      </c>
      <c r="J1630" s="1" t="s">
        <v>110</v>
      </c>
      <c r="K1630" t="s">
        <v>2745</v>
      </c>
      <c r="M1630" s="1" t="s">
        <v>58</v>
      </c>
      <c r="N1630" s="1">
        <v>0</v>
      </c>
      <c r="O1630" s="1" t="s">
        <v>36</v>
      </c>
      <c r="P1630" s="11" t="s">
        <v>2922</v>
      </c>
      <c r="R1630" s="1">
        <v>22</v>
      </c>
      <c r="T1630" s="1" t="s">
        <v>1160</v>
      </c>
      <c r="U1630" s="11" t="s">
        <v>2923</v>
      </c>
      <c r="V1630" s="1" t="s">
        <v>41</v>
      </c>
      <c r="W1630" s="1" t="s">
        <v>49</v>
      </c>
      <c r="Z1630" s="14">
        <v>1</v>
      </c>
    </row>
    <row r="1631" spans="1:32" hidden="1">
      <c r="A1631" s="1">
        <v>9475382</v>
      </c>
      <c r="B1631" s="1" t="s">
        <v>1153</v>
      </c>
      <c r="C1631" t="s">
        <v>2924</v>
      </c>
      <c r="D1631" s="2">
        <v>20232388000005</v>
      </c>
      <c r="E1631" s="2">
        <v>7417183024351</v>
      </c>
      <c r="F1631" s="1" t="s">
        <v>1313</v>
      </c>
      <c r="G1631" s="1" t="s">
        <v>53</v>
      </c>
      <c r="H1631" s="1" t="s">
        <v>2925</v>
      </c>
      <c r="I1631" s="1" t="s">
        <v>2926</v>
      </c>
      <c r="J1631" s="1" t="s">
        <v>79</v>
      </c>
      <c r="K1631" t="s">
        <v>1316</v>
      </c>
      <c r="M1631" s="1" t="s">
        <v>58</v>
      </c>
      <c r="N1631" s="1">
        <v>0</v>
      </c>
      <c r="O1631" s="1" t="s">
        <v>105</v>
      </c>
      <c r="P1631" s="186">
        <v>44970.411215277774</v>
      </c>
      <c r="R1631" s="1">
        <v>14</v>
      </c>
      <c r="T1631" s="1" t="s">
        <v>238</v>
      </c>
      <c r="U1631" s="186">
        <v>44970.411215277774</v>
      </c>
      <c r="V1631" s="1" t="s">
        <v>41</v>
      </c>
      <c r="W1631" s="1" t="s">
        <v>49</v>
      </c>
      <c r="Z1631" s="14">
        <v>1</v>
      </c>
    </row>
    <row r="1632" spans="1:32" hidden="1">
      <c r="A1632" s="1">
        <v>9475280</v>
      </c>
      <c r="B1632" s="1" t="s">
        <v>1153</v>
      </c>
      <c r="C1632" t="s">
        <v>2927</v>
      </c>
      <c r="D1632" s="2">
        <v>20231792000008</v>
      </c>
      <c r="E1632" s="2">
        <v>7417183020630</v>
      </c>
      <c r="F1632" s="1" t="s">
        <v>1313</v>
      </c>
      <c r="G1632" s="1" t="s">
        <v>53</v>
      </c>
      <c r="H1632" s="1" t="s">
        <v>2478</v>
      </c>
      <c r="I1632" s="1" t="s">
        <v>2479</v>
      </c>
      <c r="J1632" s="1" t="s">
        <v>46</v>
      </c>
      <c r="K1632" t="s">
        <v>1316</v>
      </c>
      <c r="M1632" s="1" t="s">
        <v>58</v>
      </c>
      <c r="N1632" s="1">
        <v>0</v>
      </c>
      <c r="O1632" s="1" t="s">
        <v>105</v>
      </c>
      <c r="P1632" s="186">
        <v>44970.40042824074</v>
      </c>
      <c r="R1632" s="1">
        <v>15</v>
      </c>
      <c r="T1632" s="1" t="s">
        <v>238</v>
      </c>
      <c r="U1632" s="186">
        <v>44970.416666666664</v>
      </c>
      <c r="V1632" s="1" t="s">
        <v>41</v>
      </c>
      <c r="W1632" s="1" t="s">
        <v>49</v>
      </c>
      <c r="Z1632" s="14">
        <v>1</v>
      </c>
    </row>
    <row r="1633" spans="1:32" hidden="1">
      <c r="A1633" s="1">
        <v>9475240</v>
      </c>
      <c r="B1633" s="1" t="s">
        <v>1153</v>
      </c>
      <c r="C1633" t="s">
        <v>2928</v>
      </c>
      <c r="E1633" s="2">
        <v>2442000206001</v>
      </c>
      <c r="F1633" s="1" t="s">
        <v>29</v>
      </c>
      <c r="G1633" s="1" t="s">
        <v>53</v>
      </c>
      <c r="H1633" s="1" t="s">
        <v>1956</v>
      </c>
      <c r="I1633" s="1" t="s">
        <v>1957</v>
      </c>
      <c r="J1633" s="1" t="s">
        <v>33</v>
      </c>
      <c r="K1633" t="s">
        <v>34</v>
      </c>
      <c r="M1633" s="1" t="s">
        <v>35</v>
      </c>
      <c r="N1633" s="1">
        <v>42318949</v>
      </c>
      <c r="O1633" s="1" t="s">
        <v>36</v>
      </c>
      <c r="P1633" s="186">
        <v>44970.407141203701</v>
      </c>
      <c r="R1633" s="1" t="s">
        <v>38</v>
      </c>
      <c r="T1633" s="1" t="s">
        <v>74</v>
      </c>
      <c r="U1633" s="186">
        <v>44979.583333333336</v>
      </c>
      <c r="V1633" s="1" t="s">
        <v>41</v>
      </c>
      <c r="W1633" s="1" t="s">
        <v>42</v>
      </c>
      <c r="Z1633" s="14">
        <v>1</v>
      </c>
    </row>
    <row r="1634" spans="1:32">
      <c r="A1634" s="181">
        <v>9475024</v>
      </c>
      <c r="B1634" s="181" t="s">
        <v>1153</v>
      </c>
      <c r="C1634" s="182" t="s">
        <v>2929</v>
      </c>
      <c r="D1634" s="183">
        <v>230027889</v>
      </c>
      <c r="E1634" s="183">
        <v>1108001400030</v>
      </c>
      <c r="F1634" s="181" t="s">
        <v>647</v>
      </c>
      <c r="G1634" s="181" t="s">
        <v>53</v>
      </c>
      <c r="H1634" s="181" t="s">
        <v>295</v>
      </c>
      <c r="I1634" s="181" t="s">
        <v>296</v>
      </c>
      <c r="J1634" s="181" t="s">
        <v>90</v>
      </c>
      <c r="K1634" t="s">
        <v>650</v>
      </c>
      <c r="M1634" s="1" t="s">
        <v>58</v>
      </c>
      <c r="N1634" s="1">
        <v>0</v>
      </c>
      <c r="O1634" s="1" t="s">
        <v>36</v>
      </c>
      <c r="P1634" s="186">
        <v>44970.384965277779</v>
      </c>
      <c r="R1634" s="1">
        <v>4</v>
      </c>
      <c r="T1634" s="1" t="s">
        <v>646</v>
      </c>
      <c r="U1634" s="186">
        <v>44979.75</v>
      </c>
      <c r="V1634" s="1" t="s">
        <v>41</v>
      </c>
      <c r="W1634" s="1" t="s">
        <v>49</v>
      </c>
      <c r="X1634" s="13" t="str">
        <f t="shared" ref="X1634:X1635" si="336">IF(RIGHT(H1634,2)&lt;&gt;"00",H1634,"")</f>
        <v/>
      </c>
      <c r="Y1634" s="2">
        <f t="shared" ref="Y1634:Y1635" ca="1" si="337">NETWORKDAYS(P1634,$Y$1)</f>
        <v>13</v>
      </c>
      <c r="Z1634" s="14">
        <v>1</v>
      </c>
      <c r="AA1634" s="1" t="str">
        <f t="shared" ref="AA1634:AA1635" ca="1" si="338">IF(AE1634=0,"HOJE",IF(AE1634&gt;0,"A VENCER",IF(AE1634&lt;0,"VENCIDO")))</f>
        <v>VENCIDO</v>
      </c>
      <c r="AB1634" s="1" t="str">
        <f t="shared" ref="AB1634:AB1635" si="339">IF(F1634="GRPE-000001","C-14",IF(F1634="GRPE-000002","C-14",IF(F1634="GRPE-000003","C-14",IF(F1634="GRPE-000004","SL-On",IF(F1634="GRPE-000038","C-14",IF(F1634="GRPE-900022","Dosa",IF(F1634="GRPE-000029","Dosa",IF(F1634="ATOS-000222","Dose","TAAe+"))))))))</f>
        <v>C-14</v>
      </c>
      <c r="AC1634" s="2" t="str">
        <f t="shared" ref="AC1634:AC1635" si="340">IF(J1634="TR-PETROLINA"," ROSEMERE ",IF(J1634="TR-GARANHUNS"," ROSEMERE ",IF(J1634="TR-CARUARU"," ROSEMERE ",IF(J1634="TR-RIBEIRAO"," CRISTINA ",IF(J1634="TR-GRAVATA"," CRISTINA ",IF(J1634="TR-GOIANA"," CRISTINA ",IF(J1634="TR-LIMOEIRO"," CRISTINA ",IF(J1634="TR-SERRA TALHADA"," RINALDO ",IF(J1634="TR-SALGUEIRO"," RINALDO ",IF(J1634="TR-CARNAIBA"," RINALDO ",IF(J1634="TR-ARCOVERDE"," RINALDO ",IF(J1634="CAT-RECIFE"," CLEITON ",))))))))))))</f>
        <v xml:space="preserve"> RINALDO </v>
      </c>
      <c r="AD1634" s="2">
        <f t="shared" ref="AD1634:AD1635" si="341">IF(F1634="GRPE-000001",5,IF(F1634="GRPE-000002",5,IF(F1634="GRPE-000003",15,IF(F1634="GRPE-000004",1,IF(F1634="GRPE-000038",5,IF(F1634="GRPE-900022",5,IF(F1634="GRPE-000029",5,IF(F1634="ATOS-000222",5,8))))))))</f>
        <v>15</v>
      </c>
      <c r="AE1634" s="2">
        <f t="shared" ref="AE1634:AE1635" ca="1" si="342">IF(U1634=$AE$1,"",U1634-$AE$1)</f>
        <v>-6.9262716435187031</v>
      </c>
      <c r="AF1634" s="15"/>
    </row>
    <row r="1635" spans="1:32">
      <c r="A1635" s="1">
        <v>9474970</v>
      </c>
      <c r="B1635" s="1" t="s">
        <v>1153</v>
      </c>
      <c r="C1635" t="s">
        <v>2930</v>
      </c>
      <c r="E1635" s="2">
        <v>2156000203000</v>
      </c>
      <c r="F1635" s="1" t="s">
        <v>454</v>
      </c>
      <c r="G1635" s="1" t="s">
        <v>53</v>
      </c>
      <c r="H1635" s="1" t="s">
        <v>278</v>
      </c>
      <c r="I1635" s="1" t="s">
        <v>279</v>
      </c>
      <c r="J1635" s="1" t="s">
        <v>211</v>
      </c>
      <c r="K1635" t="s">
        <v>457</v>
      </c>
      <c r="M1635" s="1" t="s">
        <v>58</v>
      </c>
      <c r="N1635" s="1">
        <v>0</v>
      </c>
      <c r="O1635" s="1" t="s">
        <v>36</v>
      </c>
      <c r="P1635" s="186">
        <v>44970.375289351854</v>
      </c>
      <c r="R1635" s="1">
        <v>1</v>
      </c>
      <c r="T1635" s="1" t="s">
        <v>157</v>
      </c>
      <c r="U1635" s="186">
        <v>44971.375289351854</v>
      </c>
      <c r="V1635" s="1" t="s">
        <v>41</v>
      </c>
      <c r="W1635" s="1" t="s">
        <v>49</v>
      </c>
      <c r="X1635" s="13" t="str">
        <f t="shared" si="336"/>
        <v/>
      </c>
      <c r="Y1635" s="2">
        <f t="shared" ca="1" si="337"/>
        <v>13</v>
      </c>
      <c r="Z1635" s="14">
        <v>1</v>
      </c>
      <c r="AA1635" s="1" t="str">
        <f t="shared" ca="1" si="338"/>
        <v>VENCIDO</v>
      </c>
      <c r="AB1635" s="1" t="str">
        <f t="shared" si="339"/>
        <v>C-14</v>
      </c>
      <c r="AC1635" s="2" t="str">
        <f t="shared" si="340"/>
        <v xml:space="preserve"> RINALDO </v>
      </c>
      <c r="AD1635" s="2">
        <f t="shared" si="341"/>
        <v>5</v>
      </c>
      <c r="AE1635" s="2">
        <f t="shared" ca="1" si="342"/>
        <v>-15.300982291664695</v>
      </c>
      <c r="AF1635" s="15"/>
    </row>
    <row r="1636" spans="1:32" hidden="1">
      <c r="A1636" s="1">
        <v>9474796</v>
      </c>
      <c r="B1636" s="1" t="s">
        <v>1153</v>
      </c>
      <c r="C1636" t="s">
        <v>2931</v>
      </c>
      <c r="E1636" s="2">
        <v>4274000206001</v>
      </c>
      <c r="F1636" s="1" t="s">
        <v>29</v>
      </c>
      <c r="G1636" s="1" t="s">
        <v>53</v>
      </c>
      <c r="H1636" s="1" t="s">
        <v>386</v>
      </c>
      <c r="I1636" s="1" t="s">
        <v>387</v>
      </c>
      <c r="J1636" s="1" t="s">
        <v>46</v>
      </c>
      <c r="K1636" t="s">
        <v>34</v>
      </c>
      <c r="M1636" s="1" t="s">
        <v>35</v>
      </c>
      <c r="N1636" s="1">
        <v>42318949</v>
      </c>
      <c r="O1636" s="1" t="s">
        <v>36</v>
      </c>
      <c r="P1636" s="11" t="s">
        <v>2932</v>
      </c>
      <c r="R1636" s="1" t="s">
        <v>38</v>
      </c>
      <c r="T1636" s="1" t="s">
        <v>74</v>
      </c>
      <c r="U1636" s="11" t="s">
        <v>2516</v>
      </c>
      <c r="V1636" s="1" t="s">
        <v>41</v>
      </c>
      <c r="W1636" s="1" t="s">
        <v>49</v>
      </c>
      <c r="Z1636" s="14">
        <v>1</v>
      </c>
    </row>
    <row r="1637" spans="1:32">
      <c r="A1637" s="181">
        <v>9474759</v>
      </c>
      <c r="B1637" s="181" t="s">
        <v>1153</v>
      </c>
      <c r="C1637" s="182" t="s">
        <v>2933</v>
      </c>
      <c r="D1637" s="183">
        <v>230027818</v>
      </c>
      <c r="E1637" s="183">
        <v>2304001400010</v>
      </c>
      <c r="F1637" s="181" t="s">
        <v>936</v>
      </c>
      <c r="G1637" s="181" t="s">
        <v>53</v>
      </c>
      <c r="H1637" s="181" t="s">
        <v>2711</v>
      </c>
      <c r="I1637" s="181" t="s">
        <v>2712</v>
      </c>
      <c r="J1637" s="181" t="s">
        <v>85</v>
      </c>
      <c r="K1637" t="s">
        <v>937</v>
      </c>
      <c r="M1637" s="1" t="s">
        <v>58</v>
      </c>
      <c r="N1637" s="1">
        <v>0</v>
      </c>
      <c r="O1637" s="1" t="s">
        <v>36</v>
      </c>
      <c r="P1637" s="11" t="s">
        <v>2934</v>
      </c>
      <c r="R1637" s="1">
        <v>3</v>
      </c>
      <c r="T1637" s="1" t="s">
        <v>646</v>
      </c>
      <c r="U1637" s="11" t="s">
        <v>2516</v>
      </c>
      <c r="V1637" s="1" t="s">
        <v>41</v>
      </c>
      <c r="W1637" s="1" t="s">
        <v>49</v>
      </c>
      <c r="X1637" s="13" t="str">
        <f t="shared" ref="X1637" si="343">IF(RIGHT(H1637,2)&lt;&gt;"00",H1637,"")</f>
        <v/>
      </c>
      <c r="Y1637" s="2">
        <f t="shared" ref="Y1637" ca="1" si="344">NETWORKDAYS(P1637,$Y$1)</f>
        <v>13</v>
      </c>
      <c r="Z1637" s="14">
        <v>1</v>
      </c>
      <c r="AA1637" s="1" t="str">
        <f t="shared" ref="AA1637" ca="1" si="345">IF(AE1637=0,"HOJE",IF(AE1637&gt;0,"A VENCER",IF(AE1637&lt;0,"VENCIDO")))</f>
        <v>VENCIDO</v>
      </c>
      <c r="AB1637" s="1" t="str">
        <f t="shared" ref="AB1637" si="346">IF(F1637="GRPE-000001","C-14",IF(F1637="GRPE-000002","C-14",IF(F1637="GRPE-000003","C-14",IF(F1637="GRPE-000004","SL-On",IF(F1637="GRPE-000038","C-14",IF(F1637="GRPE-900022","Dosa",IF(F1637="GRPE-000029","Dosa",IF(F1637="ATOS-000222","Dose","TAAe+"))))))))</f>
        <v>C-14</v>
      </c>
      <c r="AC1637" s="2" t="str">
        <f t="shared" ref="AC1637" si="347">IF(J1637="TR-PETROLINA"," ROSEMERE ",IF(J1637="TR-GARANHUNS"," ROSEMERE ",IF(J1637="TR-CARUARU"," ROSEMERE ",IF(J1637="TR-RIBEIRAO"," CRISTINA ",IF(J1637="TR-GRAVATA"," CRISTINA ",IF(J1637="TR-GOIANA"," CRISTINA ",IF(J1637="TR-LIMOEIRO"," CRISTINA ",IF(J1637="TR-SERRA TALHADA"," RINALDO ",IF(J1637="TR-SALGUEIRO"," RINALDO ",IF(J1637="TR-CARNAIBA"," RINALDO ",IF(J1637="TR-ARCOVERDE"," RINALDO ",IF(J1637="CAT-RECIFE"," CLEITON ",))))))))))))</f>
        <v xml:space="preserve"> RINALDO </v>
      </c>
      <c r="AD1637" s="2">
        <f t="shared" ref="AD1637" si="348">IF(F1637="GRPE-000001",5,IF(F1637="GRPE-000002",5,IF(F1637="GRPE-000003",15,IF(F1637="GRPE-000004",1,IF(F1637="GRPE-000038",5,IF(F1637="GRPE-900022",5,IF(F1637="GRPE-000029",5,IF(F1637="ATOS-000222",5,8))))))))</f>
        <v>5</v>
      </c>
      <c r="AE1637" s="2">
        <f t="shared" ref="AE1637" ca="1" si="349">IF(U1637=$AE$1,"",U1637-$AE$1)</f>
        <v>-6.9679383101829444</v>
      </c>
      <c r="AF1637" s="15"/>
    </row>
    <row r="1638" spans="1:32" hidden="1">
      <c r="A1638" s="1">
        <v>9474736</v>
      </c>
      <c r="B1638" s="1" t="s">
        <v>1153</v>
      </c>
      <c r="C1638" t="s">
        <v>2935</v>
      </c>
      <c r="E1638" s="2">
        <v>1902016281100</v>
      </c>
      <c r="F1638" s="1" t="s">
        <v>64</v>
      </c>
      <c r="G1638" s="1" t="s">
        <v>53</v>
      </c>
      <c r="H1638" s="1" t="s">
        <v>44</v>
      </c>
      <c r="I1638" s="1" t="s">
        <v>45</v>
      </c>
      <c r="J1638" s="1" t="s">
        <v>46</v>
      </c>
      <c r="K1638" t="s">
        <v>67</v>
      </c>
      <c r="M1638" s="1" t="s">
        <v>35</v>
      </c>
      <c r="N1638" s="1">
        <v>42318949</v>
      </c>
      <c r="O1638" s="1" t="s">
        <v>36</v>
      </c>
      <c r="P1638" s="11" t="s">
        <v>2936</v>
      </c>
      <c r="R1638" s="1" t="s">
        <v>2937</v>
      </c>
      <c r="T1638" s="1" t="s">
        <v>69</v>
      </c>
      <c r="U1638" s="11" t="s">
        <v>2938</v>
      </c>
      <c r="V1638" s="1" t="s">
        <v>41</v>
      </c>
      <c r="W1638" s="1" t="s">
        <v>49</v>
      </c>
      <c r="Z1638" s="14">
        <v>1</v>
      </c>
    </row>
    <row r="1639" spans="1:32" hidden="1">
      <c r="A1639" s="1">
        <v>9474685</v>
      </c>
      <c r="B1639" s="1" t="s">
        <v>1153</v>
      </c>
      <c r="C1639" t="s">
        <v>2939</v>
      </c>
      <c r="E1639" s="2">
        <v>2811000203000</v>
      </c>
      <c r="F1639" s="1" t="s">
        <v>454</v>
      </c>
      <c r="G1639" s="1" t="s">
        <v>53</v>
      </c>
      <c r="H1639" s="1" t="s">
        <v>44</v>
      </c>
      <c r="I1639" s="1" t="s">
        <v>45</v>
      </c>
      <c r="J1639" s="1" t="s">
        <v>46</v>
      </c>
      <c r="K1639" t="s">
        <v>457</v>
      </c>
      <c r="M1639" s="1" t="s">
        <v>58</v>
      </c>
      <c r="N1639" s="1">
        <v>0</v>
      </c>
      <c r="O1639" s="1" t="s">
        <v>36</v>
      </c>
      <c r="P1639" s="12">
        <v>44970.334421296298</v>
      </c>
      <c r="R1639" s="1">
        <v>1</v>
      </c>
      <c r="T1639" s="1" t="s">
        <v>157</v>
      </c>
      <c r="U1639" s="12">
        <v>44971.334421296298</v>
      </c>
      <c r="V1639" s="1" t="s">
        <v>41</v>
      </c>
      <c r="W1639" s="1" t="s">
        <v>49</v>
      </c>
      <c r="Z1639" s="14">
        <v>1</v>
      </c>
    </row>
    <row r="1640" spans="1:32" hidden="1">
      <c r="A1640" s="1">
        <v>9474659</v>
      </c>
      <c r="B1640" s="1" t="s">
        <v>1153</v>
      </c>
      <c r="C1640" t="s">
        <v>2940</v>
      </c>
      <c r="D1640" s="2">
        <v>20234804001543</v>
      </c>
      <c r="E1640" s="2">
        <v>7417183022672</v>
      </c>
      <c r="F1640" s="1" t="s">
        <v>1313</v>
      </c>
      <c r="G1640" s="1" t="s">
        <v>53</v>
      </c>
      <c r="H1640" s="1" t="s">
        <v>2941</v>
      </c>
      <c r="I1640" s="1" t="s">
        <v>2942</v>
      </c>
      <c r="J1640" s="1" t="s">
        <v>46</v>
      </c>
      <c r="K1640" t="s">
        <v>1316</v>
      </c>
      <c r="M1640" s="1" t="s">
        <v>58</v>
      </c>
      <c r="N1640" s="1">
        <v>0</v>
      </c>
      <c r="O1640" s="1" t="s">
        <v>36</v>
      </c>
      <c r="P1640" s="11" t="s">
        <v>2943</v>
      </c>
      <c r="R1640" s="1">
        <v>13</v>
      </c>
      <c r="S1640" s="1">
        <v>4804</v>
      </c>
      <c r="T1640" s="1" t="s">
        <v>238</v>
      </c>
      <c r="U1640" s="11" t="s">
        <v>2944</v>
      </c>
      <c r="V1640" s="1" t="s">
        <v>41</v>
      </c>
      <c r="W1640" s="1" t="s">
        <v>49</v>
      </c>
      <c r="Z1640" s="14">
        <v>1</v>
      </c>
    </row>
    <row r="1641" spans="1:32">
      <c r="A1641" s="1">
        <v>9472544</v>
      </c>
      <c r="B1641" s="1" t="s">
        <v>1153</v>
      </c>
      <c r="C1641" t="s">
        <v>2945</v>
      </c>
      <c r="E1641" s="2">
        <v>2156000206001</v>
      </c>
      <c r="F1641" s="1" t="s">
        <v>29</v>
      </c>
      <c r="G1641" s="1" t="s">
        <v>53</v>
      </c>
      <c r="H1641" s="1" t="s">
        <v>278</v>
      </c>
      <c r="I1641" s="1" t="s">
        <v>279</v>
      </c>
      <c r="J1641" s="1" t="s">
        <v>211</v>
      </c>
      <c r="K1641" t="s">
        <v>34</v>
      </c>
      <c r="M1641" s="1" t="s">
        <v>35</v>
      </c>
      <c r="N1641" s="1">
        <v>42318949</v>
      </c>
      <c r="O1641" s="1" t="s">
        <v>36</v>
      </c>
      <c r="P1641" s="11" t="s">
        <v>2946</v>
      </c>
      <c r="R1641" s="1" t="s">
        <v>38</v>
      </c>
      <c r="T1641" s="1" t="s">
        <v>74</v>
      </c>
      <c r="U1641" s="11" t="s">
        <v>2615</v>
      </c>
      <c r="V1641" s="1" t="s">
        <v>41</v>
      </c>
      <c r="W1641" s="1" t="s">
        <v>49</v>
      </c>
      <c r="X1641" s="13" t="str">
        <f t="shared" ref="X1641:X1642" si="350">IF(RIGHT(H1641,2)&lt;&gt;"00",H1641,"")</f>
        <v/>
      </c>
      <c r="Y1641" s="2">
        <f t="shared" ref="Y1641:Y1642" ca="1" si="351">NETWORKDAYS(P1641,$Y$1)</f>
        <v>13</v>
      </c>
      <c r="Z1641" s="14">
        <v>1</v>
      </c>
      <c r="AA1641" s="1" t="str">
        <f t="shared" ref="AA1641:AA1642" ca="1" si="352">IF(AE1641=0,"HOJE",IF(AE1641&gt;0,"A VENCER",IF(AE1641&lt;0,"VENCIDO")))</f>
        <v>VENCIDO</v>
      </c>
      <c r="AB1641" s="1" t="str">
        <f t="shared" ref="AB1641:AB1642" si="353">IF(F1641="GRPE-000001","C-14",IF(F1641="GRPE-000002","C-14",IF(F1641="GRPE-000003","C-14",IF(F1641="GRPE-000004","SL-On",IF(F1641="GRPE-000038","C-14",IF(F1641="GRPE-900022","Dosa",IF(F1641="GRPE-000029","Dosa",IF(F1641="ATOS-000222","Dose","TAAe+"))))))))</f>
        <v>Dosa</v>
      </c>
      <c r="AC1641" s="2" t="str">
        <f t="shared" ref="AC1641:AC1642" si="354">IF(J1641="TR-PETROLINA"," ROSEMERE ",IF(J1641="TR-GARANHUNS"," ROSEMERE ",IF(J1641="TR-CARUARU"," ROSEMERE ",IF(J1641="TR-RIBEIRAO"," CRISTINA ",IF(J1641="TR-GRAVATA"," CRISTINA ",IF(J1641="TR-GOIANA"," CRISTINA ",IF(J1641="TR-LIMOEIRO"," CRISTINA ",IF(J1641="TR-SERRA TALHADA"," RINALDO ",IF(J1641="TR-SALGUEIRO"," RINALDO ",IF(J1641="TR-CARNAIBA"," RINALDO ",IF(J1641="TR-ARCOVERDE"," RINALDO ",IF(J1641="CAT-RECIFE"," CLEITON ",))))))))))))</f>
        <v xml:space="preserve"> RINALDO </v>
      </c>
      <c r="AD1641" s="2">
        <f t="shared" ref="AD1641:AD1642" si="355">IF(F1641="GRPE-000001",5,IF(F1641="GRPE-000002",5,IF(F1641="GRPE-000003",15,IF(F1641="GRPE-000004",1,IF(F1641="GRPE-000038",5,IF(F1641="GRPE-900022",5,IF(F1641="GRPE-000029",5,IF(F1641="ATOS-000222",5,8))))))))</f>
        <v>5</v>
      </c>
      <c r="AE1641" s="2">
        <f t="shared" ref="AE1641:AE1642" ca="1" si="356">IF(U1641=$AE$1,"",U1641-$AE$1)</f>
        <v>-7.0686327546281973</v>
      </c>
      <c r="AF1641" s="15"/>
    </row>
    <row r="1642" spans="1:32">
      <c r="A1642" s="1">
        <v>9472509</v>
      </c>
      <c r="B1642" s="1" t="s">
        <v>1153</v>
      </c>
      <c r="C1642" t="s">
        <v>2947</v>
      </c>
      <c r="E1642" s="2">
        <v>570000206001</v>
      </c>
      <c r="F1642" s="1" t="s">
        <v>29</v>
      </c>
      <c r="G1642" s="1" t="s">
        <v>53</v>
      </c>
      <c r="H1642" s="1" t="s">
        <v>434</v>
      </c>
      <c r="I1642" s="1" t="s">
        <v>435</v>
      </c>
      <c r="J1642" s="1" t="s">
        <v>148</v>
      </c>
      <c r="K1642" t="s">
        <v>34</v>
      </c>
      <c r="M1642" s="1" t="s">
        <v>35</v>
      </c>
      <c r="N1642" s="1">
        <v>42318949</v>
      </c>
      <c r="O1642" s="1" t="s">
        <v>36</v>
      </c>
      <c r="P1642" s="11" t="s">
        <v>2948</v>
      </c>
      <c r="R1642" s="1" t="s">
        <v>38</v>
      </c>
      <c r="T1642" s="1" t="s">
        <v>74</v>
      </c>
      <c r="U1642" s="11" t="s">
        <v>2949</v>
      </c>
      <c r="V1642" s="1" t="s">
        <v>41</v>
      </c>
      <c r="W1642" s="1" t="s">
        <v>49</v>
      </c>
      <c r="X1642" s="13" t="str">
        <f t="shared" si="350"/>
        <v/>
      </c>
      <c r="Y1642" s="2">
        <f t="shared" ca="1" si="351"/>
        <v>13</v>
      </c>
      <c r="Z1642" s="14">
        <v>1</v>
      </c>
      <c r="AA1642" s="1" t="str">
        <f t="shared" ca="1" si="352"/>
        <v>VENCIDO</v>
      </c>
      <c r="AB1642" s="1" t="str">
        <f t="shared" si="353"/>
        <v>Dosa</v>
      </c>
      <c r="AC1642" s="2" t="str">
        <f t="shared" si="354"/>
        <v xml:space="preserve"> RINALDO </v>
      </c>
      <c r="AD1642" s="2">
        <f t="shared" si="355"/>
        <v>5</v>
      </c>
      <c r="AE1642" s="2">
        <f t="shared" ca="1" si="356"/>
        <v>-7.0269660879639559</v>
      </c>
      <c r="AF1642" s="15"/>
    </row>
    <row r="1643" spans="1:32" hidden="1">
      <c r="A1643" s="1">
        <v>9471869</v>
      </c>
      <c r="B1643" s="1" t="s">
        <v>1153</v>
      </c>
      <c r="C1643" t="s">
        <v>2950</v>
      </c>
      <c r="E1643" s="2">
        <v>244000206001</v>
      </c>
      <c r="F1643" s="1" t="s">
        <v>29</v>
      </c>
      <c r="G1643" s="1" t="s">
        <v>53</v>
      </c>
      <c r="H1643" s="1" t="s">
        <v>313</v>
      </c>
      <c r="I1643" s="1" t="s">
        <v>314</v>
      </c>
      <c r="J1643" s="1" t="s">
        <v>56</v>
      </c>
      <c r="K1643" t="s">
        <v>34</v>
      </c>
      <c r="M1643" s="1" t="s">
        <v>35</v>
      </c>
      <c r="N1643" s="1">
        <v>42318949</v>
      </c>
      <c r="O1643" s="1" t="s">
        <v>36</v>
      </c>
      <c r="P1643" s="186">
        <v>44969.521527777775</v>
      </c>
      <c r="R1643" s="1" t="s">
        <v>38</v>
      </c>
      <c r="T1643" s="1" t="s">
        <v>74</v>
      </c>
      <c r="U1643" s="186">
        <v>44979.708333333336</v>
      </c>
      <c r="V1643" s="1" t="s">
        <v>41</v>
      </c>
      <c r="W1643" s="1" t="s">
        <v>49</v>
      </c>
      <c r="Z1643" s="14">
        <v>1</v>
      </c>
    </row>
    <row r="1644" spans="1:32" hidden="1">
      <c r="A1644" s="1">
        <v>9471866</v>
      </c>
      <c r="B1644" s="1" t="s">
        <v>1153</v>
      </c>
      <c r="C1644" t="s">
        <v>2951</v>
      </c>
      <c r="E1644" s="2">
        <v>1835000206001</v>
      </c>
      <c r="F1644" s="1" t="s">
        <v>29</v>
      </c>
      <c r="G1644" s="1" t="s">
        <v>53</v>
      </c>
      <c r="H1644" s="1" t="s">
        <v>305</v>
      </c>
      <c r="I1644" s="1" t="s">
        <v>306</v>
      </c>
      <c r="J1644" s="1" t="s">
        <v>46</v>
      </c>
      <c r="K1644" t="s">
        <v>34</v>
      </c>
      <c r="M1644" s="1" t="s">
        <v>35</v>
      </c>
      <c r="N1644" s="1">
        <v>42318949</v>
      </c>
      <c r="O1644" s="1" t="s">
        <v>36</v>
      </c>
      <c r="P1644" s="11" t="s">
        <v>2952</v>
      </c>
      <c r="R1644" s="1" t="s">
        <v>38</v>
      </c>
      <c r="T1644" s="1" t="s">
        <v>74</v>
      </c>
      <c r="U1644" s="11" t="s">
        <v>2516</v>
      </c>
      <c r="V1644" s="1" t="s">
        <v>41</v>
      </c>
      <c r="W1644" s="1" t="s">
        <v>49</v>
      </c>
      <c r="Z1644" s="14">
        <v>1</v>
      </c>
    </row>
    <row r="1645" spans="1:32">
      <c r="A1645" s="181">
        <v>9471815</v>
      </c>
      <c r="B1645" s="181" t="s">
        <v>1153</v>
      </c>
      <c r="C1645" s="182" t="s">
        <v>2953</v>
      </c>
      <c r="D1645" s="183"/>
      <c r="E1645" s="183">
        <v>3802000206001</v>
      </c>
      <c r="F1645" s="181" t="s">
        <v>29</v>
      </c>
      <c r="G1645" s="181" t="s">
        <v>53</v>
      </c>
      <c r="H1645" s="181" t="s">
        <v>319</v>
      </c>
      <c r="I1645" s="181" t="s">
        <v>320</v>
      </c>
      <c r="J1645" s="181" t="s">
        <v>148</v>
      </c>
      <c r="K1645" t="s">
        <v>34</v>
      </c>
      <c r="M1645" s="1" t="s">
        <v>35</v>
      </c>
      <c r="N1645" s="1">
        <v>42318949</v>
      </c>
      <c r="O1645" s="1" t="s">
        <v>36</v>
      </c>
      <c r="P1645" s="11" t="s">
        <v>2954</v>
      </c>
      <c r="R1645" s="1" t="s">
        <v>38</v>
      </c>
      <c r="T1645" s="1" t="s">
        <v>74</v>
      </c>
      <c r="U1645" s="11" t="s">
        <v>2949</v>
      </c>
      <c r="V1645" s="1" t="s">
        <v>41</v>
      </c>
      <c r="W1645" s="1" t="s">
        <v>49</v>
      </c>
      <c r="X1645" s="13" t="str">
        <f t="shared" ref="X1645" si="357">IF(RIGHT(H1645,2)&lt;&gt;"00",H1645,"")</f>
        <v/>
      </c>
      <c r="Y1645" s="2">
        <f t="shared" ref="Y1645" ca="1" si="358">NETWORKDAYS(P1645,$Y$1)</f>
        <v>13</v>
      </c>
      <c r="Z1645" s="14">
        <v>1</v>
      </c>
      <c r="AA1645" s="1" t="str">
        <f t="shared" ref="AA1645" ca="1" si="359">IF(AE1645=0,"HOJE",IF(AE1645&gt;0,"A VENCER",IF(AE1645&lt;0,"VENCIDO")))</f>
        <v>VENCIDO</v>
      </c>
      <c r="AB1645" s="1" t="str">
        <f t="shared" ref="AB1645" si="360">IF(F1645="GRPE-000001","C-14",IF(F1645="GRPE-000002","C-14",IF(F1645="GRPE-000003","C-14",IF(F1645="GRPE-000004","SL-On",IF(F1645="GRPE-000038","C-14",IF(F1645="GRPE-900022","Dosa",IF(F1645="GRPE-000029","Dosa",IF(F1645="ATOS-000222","Dose","TAAe+"))))))))</f>
        <v>Dosa</v>
      </c>
      <c r="AC1645" s="2" t="str">
        <f t="shared" ref="AC1645" si="361">IF(J1645="TR-PETROLINA"," ROSEMERE ",IF(J1645="TR-GARANHUNS"," ROSEMERE ",IF(J1645="TR-CARUARU"," ROSEMERE ",IF(J1645="TR-RIBEIRAO"," CRISTINA ",IF(J1645="TR-GRAVATA"," CRISTINA ",IF(J1645="TR-GOIANA"," CRISTINA ",IF(J1645="TR-LIMOEIRO"," CRISTINA ",IF(J1645="TR-SERRA TALHADA"," RINALDO ",IF(J1645="TR-SALGUEIRO"," RINALDO ",IF(J1645="TR-CARNAIBA"," RINALDO ",IF(J1645="TR-ARCOVERDE"," RINALDO ",IF(J1645="CAT-RECIFE"," CLEITON ",))))))))))))</f>
        <v xml:space="preserve"> RINALDO </v>
      </c>
      <c r="AD1645" s="2">
        <f t="shared" ref="AD1645" si="362">IF(F1645="GRPE-000001",5,IF(F1645="GRPE-000002",5,IF(F1645="GRPE-000003",15,IF(F1645="GRPE-000004",1,IF(F1645="GRPE-000038",5,IF(F1645="GRPE-900022",5,IF(F1645="GRPE-000029",5,IF(F1645="ATOS-000222",5,8))))))))</f>
        <v>5</v>
      </c>
      <c r="AE1645" s="2">
        <f t="shared" ref="AE1645" ca="1" si="363">IF(U1645=$AE$1,"",U1645-$AE$1)</f>
        <v>-7.0269660879639559</v>
      </c>
      <c r="AF1645" s="15"/>
    </row>
    <row r="1646" spans="1:32" hidden="1">
      <c r="A1646" s="1">
        <v>9471786</v>
      </c>
      <c r="B1646" s="1" t="s">
        <v>1153</v>
      </c>
      <c r="C1646" t="s">
        <v>2955</v>
      </c>
      <c r="E1646" s="2">
        <v>3504000206001</v>
      </c>
      <c r="F1646" s="1" t="s">
        <v>29</v>
      </c>
      <c r="G1646" s="1" t="s">
        <v>53</v>
      </c>
      <c r="H1646" s="1" t="s">
        <v>585</v>
      </c>
      <c r="I1646" s="1" t="s">
        <v>586</v>
      </c>
      <c r="J1646" s="1" t="s">
        <v>46</v>
      </c>
      <c r="K1646" t="s">
        <v>34</v>
      </c>
      <c r="M1646" s="1" t="s">
        <v>35</v>
      </c>
      <c r="N1646" s="1">
        <v>42318949</v>
      </c>
      <c r="O1646" s="1" t="s">
        <v>36</v>
      </c>
      <c r="P1646" s="186">
        <v>44969.501284722224</v>
      </c>
      <c r="R1646" s="1" t="s">
        <v>38</v>
      </c>
      <c r="T1646" s="1" t="s">
        <v>74</v>
      </c>
      <c r="U1646" s="186">
        <v>44979.708333333336</v>
      </c>
      <c r="V1646" s="1" t="s">
        <v>41</v>
      </c>
      <c r="W1646" s="1" t="s">
        <v>49</v>
      </c>
      <c r="Z1646" s="14">
        <v>1</v>
      </c>
    </row>
    <row r="1647" spans="1:32" hidden="1">
      <c r="A1647" s="1">
        <v>9471778</v>
      </c>
      <c r="B1647" s="1" t="s">
        <v>1153</v>
      </c>
      <c r="C1647" t="s">
        <v>2956</v>
      </c>
      <c r="E1647" s="2">
        <v>4637000206001</v>
      </c>
      <c r="F1647" s="1" t="s">
        <v>29</v>
      </c>
      <c r="G1647" s="1" t="s">
        <v>53</v>
      </c>
      <c r="H1647" s="1" t="s">
        <v>848</v>
      </c>
      <c r="I1647" s="1" t="s">
        <v>849</v>
      </c>
      <c r="J1647" s="1" t="s">
        <v>79</v>
      </c>
      <c r="K1647" t="s">
        <v>34</v>
      </c>
      <c r="M1647" s="1" t="s">
        <v>35</v>
      </c>
      <c r="N1647" s="1">
        <v>42318949</v>
      </c>
      <c r="O1647" s="1" t="s">
        <v>36</v>
      </c>
      <c r="P1647" s="186">
        <v>44969.500972222224</v>
      </c>
      <c r="R1647" s="1" t="s">
        <v>38</v>
      </c>
      <c r="T1647" s="1" t="s">
        <v>74</v>
      </c>
      <c r="U1647" s="186">
        <v>44974.458333333336</v>
      </c>
      <c r="V1647" s="1" t="s">
        <v>41</v>
      </c>
      <c r="W1647" s="1" t="s">
        <v>49</v>
      </c>
      <c r="Z1647" s="14">
        <v>1</v>
      </c>
    </row>
    <row r="1648" spans="1:32" hidden="1">
      <c r="A1648" s="1">
        <v>9471731</v>
      </c>
      <c r="B1648" s="1" t="s">
        <v>1153</v>
      </c>
      <c r="C1648" t="s">
        <v>2957</v>
      </c>
      <c r="E1648" s="2">
        <v>1245000206001</v>
      </c>
      <c r="F1648" s="1" t="s">
        <v>29</v>
      </c>
      <c r="G1648" s="1" t="s">
        <v>53</v>
      </c>
      <c r="H1648" s="1" t="s">
        <v>408</v>
      </c>
      <c r="I1648" s="1" t="s">
        <v>409</v>
      </c>
      <c r="J1648" s="1" t="s">
        <v>46</v>
      </c>
      <c r="K1648" t="s">
        <v>34</v>
      </c>
      <c r="M1648" s="1" t="s">
        <v>35</v>
      </c>
      <c r="N1648" s="1">
        <v>42318949</v>
      </c>
      <c r="O1648" s="1" t="s">
        <v>36</v>
      </c>
      <c r="P1648" s="186">
        <v>44969.490474537037</v>
      </c>
      <c r="R1648" s="1" t="s">
        <v>38</v>
      </c>
      <c r="T1648" s="1" t="s">
        <v>74</v>
      </c>
      <c r="U1648" s="186">
        <v>44979.708333333336</v>
      </c>
      <c r="V1648" s="1" t="s">
        <v>41</v>
      </c>
      <c r="W1648" s="1" t="s">
        <v>49</v>
      </c>
      <c r="Z1648" s="14">
        <v>1</v>
      </c>
    </row>
    <row r="1649" spans="1:32" hidden="1">
      <c r="A1649" s="1">
        <v>9471717</v>
      </c>
      <c r="B1649" s="1" t="s">
        <v>1153</v>
      </c>
      <c r="C1649" t="s">
        <v>2958</v>
      </c>
      <c r="E1649" s="2">
        <v>2257000206001</v>
      </c>
      <c r="F1649" s="1" t="s">
        <v>29</v>
      </c>
      <c r="G1649" s="1" t="s">
        <v>53</v>
      </c>
      <c r="H1649" s="1" t="s">
        <v>381</v>
      </c>
      <c r="I1649" s="1" t="s">
        <v>382</v>
      </c>
      <c r="J1649" s="1" t="s">
        <v>110</v>
      </c>
      <c r="K1649" t="s">
        <v>34</v>
      </c>
      <c r="M1649" s="1" t="s">
        <v>35</v>
      </c>
      <c r="N1649" s="1">
        <v>42318949</v>
      </c>
      <c r="O1649" s="1" t="s">
        <v>36</v>
      </c>
      <c r="P1649" s="186">
        <v>44969.489895833336</v>
      </c>
      <c r="R1649" s="1" t="s">
        <v>38</v>
      </c>
      <c r="T1649" s="1" t="s">
        <v>74</v>
      </c>
      <c r="U1649" s="186">
        <v>44985.708333333336</v>
      </c>
      <c r="V1649" s="1" t="s">
        <v>41</v>
      </c>
      <c r="W1649" s="1" t="s">
        <v>49</v>
      </c>
      <c r="Z1649" s="14">
        <v>1</v>
      </c>
    </row>
    <row r="1650" spans="1:32" hidden="1">
      <c r="A1650" s="1">
        <v>9471682</v>
      </c>
      <c r="B1650" s="1" t="s">
        <v>1153</v>
      </c>
      <c r="C1650" t="s">
        <v>2959</v>
      </c>
      <c r="E1650" s="2">
        <v>2889000206001</v>
      </c>
      <c r="F1650" s="1" t="s">
        <v>29</v>
      </c>
      <c r="G1650" s="1" t="s">
        <v>53</v>
      </c>
      <c r="H1650" s="1" t="s">
        <v>418</v>
      </c>
      <c r="I1650" s="1" t="s">
        <v>419</v>
      </c>
      <c r="J1650" s="1" t="s">
        <v>46</v>
      </c>
      <c r="K1650" t="s">
        <v>34</v>
      </c>
      <c r="M1650" s="1" t="s">
        <v>35</v>
      </c>
      <c r="N1650" s="1">
        <v>42318949</v>
      </c>
      <c r="O1650" s="1" t="s">
        <v>36</v>
      </c>
      <c r="P1650" s="186">
        <v>44969.480196759258</v>
      </c>
      <c r="R1650" s="1" t="s">
        <v>38</v>
      </c>
      <c r="T1650" s="1" t="s">
        <v>74</v>
      </c>
      <c r="U1650" s="186">
        <v>44979.708333333336</v>
      </c>
      <c r="V1650" s="1" t="s">
        <v>41</v>
      </c>
      <c r="W1650" s="1" t="s">
        <v>49</v>
      </c>
      <c r="Z1650" s="14">
        <v>1</v>
      </c>
    </row>
    <row r="1651" spans="1:32" hidden="1">
      <c r="A1651" s="1">
        <v>9471681</v>
      </c>
      <c r="B1651" s="1" t="s">
        <v>1153</v>
      </c>
      <c r="C1651" t="s">
        <v>2959</v>
      </c>
      <c r="E1651" s="2">
        <v>325000206001</v>
      </c>
      <c r="F1651" s="1" t="s">
        <v>29</v>
      </c>
      <c r="G1651" s="1" t="s">
        <v>53</v>
      </c>
      <c r="H1651" s="1" t="s">
        <v>345</v>
      </c>
      <c r="I1651" s="1" t="s">
        <v>346</v>
      </c>
      <c r="J1651" s="1" t="s">
        <v>46</v>
      </c>
      <c r="K1651" t="s">
        <v>34</v>
      </c>
      <c r="M1651" s="1" t="s">
        <v>35</v>
      </c>
      <c r="N1651" s="1">
        <v>42318949</v>
      </c>
      <c r="O1651" s="1" t="s">
        <v>36</v>
      </c>
      <c r="P1651" s="186">
        <v>44969.480138888888</v>
      </c>
      <c r="R1651" s="1" t="s">
        <v>38</v>
      </c>
      <c r="T1651" s="1" t="s">
        <v>74</v>
      </c>
      <c r="U1651" s="186">
        <v>44979.708333333336</v>
      </c>
      <c r="V1651" s="1" t="s">
        <v>41</v>
      </c>
      <c r="W1651" s="1" t="s">
        <v>49</v>
      </c>
      <c r="Z1651" s="14">
        <v>1</v>
      </c>
    </row>
    <row r="1652" spans="1:32" hidden="1">
      <c r="A1652" s="1">
        <v>9471628</v>
      </c>
      <c r="B1652" s="1" t="s">
        <v>1153</v>
      </c>
      <c r="C1652" t="s">
        <v>2960</v>
      </c>
      <c r="E1652" s="2">
        <v>5742000206001</v>
      </c>
      <c r="F1652" s="1" t="s">
        <v>29</v>
      </c>
      <c r="G1652" s="1" t="s">
        <v>53</v>
      </c>
      <c r="H1652" s="1" t="s">
        <v>430</v>
      </c>
      <c r="I1652" s="1" t="s">
        <v>431</v>
      </c>
      <c r="J1652" s="1" t="s">
        <v>79</v>
      </c>
      <c r="K1652" t="s">
        <v>34</v>
      </c>
      <c r="M1652" s="1" t="s">
        <v>35</v>
      </c>
      <c r="N1652" s="1">
        <v>42318949</v>
      </c>
      <c r="O1652" s="1" t="s">
        <v>36</v>
      </c>
      <c r="P1652" s="186">
        <v>44969.469618055555</v>
      </c>
      <c r="R1652" s="1" t="s">
        <v>38</v>
      </c>
      <c r="T1652" s="1" t="s">
        <v>74</v>
      </c>
      <c r="U1652" s="186">
        <v>44974.458333333336</v>
      </c>
      <c r="V1652" s="1" t="s">
        <v>41</v>
      </c>
      <c r="W1652" s="1" t="s">
        <v>49</v>
      </c>
      <c r="Z1652" s="14">
        <v>1</v>
      </c>
    </row>
    <row r="1653" spans="1:32" hidden="1">
      <c r="A1653" s="1">
        <v>9471624</v>
      </c>
      <c r="B1653" s="1" t="s">
        <v>1153</v>
      </c>
      <c r="C1653" t="s">
        <v>2961</v>
      </c>
      <c r="E1653" s="2">
        <v>2138000206001</v>
      </c>
      <c r="F1653" s="1" t="s">
        <v>29</v>
      </c>
      <c r="G1653" s="1" t="s">
        <v>53</v>
      </c>
      <c r="H1653" s="1" t="s">
        <v>379</v>
      </c>
      <c r="I1653" s="1" t="s">
        <v>380</v>
      </c>
      <c r="J1653" s="1" t="s">
        <v>46</v>
      </c>
      <c r="K1653" t="s">
        <v>34</v>
      </c>
      <c r="M1653" s="1" t="s">
        <v>35</v>
      </c>
      <c r="N1653" s="1">
        <v>42318949</v>
      </c>
      <c r="O1653" s="1" t="s">
        <v>36</v>
      </c>
      <c r="P1653" s="186">
        <v>44969.469375000001</v>
      </c>
      <c r="R1653" s="1" t="s">
        <v>38</v>
      </c>
      <c r="T1653" s="1" t="s">
        <v>74</v>
      </c>
      <c r="U1653" s="186">
        <v>44979.708333333336</v>
      </c>
      <c r="V1653" s="1" t="s">
        <v>41</v>
      </c>
      <c r="W1653" s="1" t="s">
        <v>49</v>
      </c>
      <c r="Z1653" s="14">
        <v>1</v>
      </c>
    </row>
    <row r="1654" spans="1:32" hidden="1">
      <c r="A1654" s="1">
        <v>9471572</v>
      </c>
      <c r="B1654" s="1" t="s">
        <v>1153</v>
      </c>
      <c r="C1654" t="s">
        <v>2962</v>
      </c>
      <c r="E1654" s="2">
        <v>5740000206001</v>
      </c>
      <c r="F1654" s="1" t="s">
        <v>29</v>
      </c>
      <c r="G1654" s="1" t="s">
        <v>53</v>
      </c>
      <c r="H1654" s="1" t="s">
        <v>626</v>
      </c>
      <c r="I1654" s="1" t="s">
        <v>627</v>
      </c>
      <c r="J1654" s="1" t="s">
        <v>46</v>
      </c>
      <c r="K1654" t="s">
        <v>34</v>
      </c>
      <c r="M1654" s="1" t="s">
        <v>35</v>
      </c>
      <c r="N1654" s="1">
        <v>42318949</v>
      </c>
      <c r="O1654" s="1" t="s">
        <v>36</v>
      </c>
      <c r="P1654" s="186">
        <v>44969.45890046296</v>
      </c>
      <c r="R1654" s="1" t="s">
        <v>38</v>
      </c>
      <c r="T1654" s="1" t="s">
        <v>74</v>
      </c>
      <c r="U1654" s="186">
        <v>44979.708333333336</v>
      </c>
      <c r="V1654" s="1" t="s">
        <v>41</v>
      </c>
      <c r="W1654" s="1" t="s">
        <v>49</v>
      </c>
      <c r="Z1654" s="14">
        <v>1</v>
      </c>
    </row>
    <row r="1655" spans="1:32">
      <c r="A1655" s="1">
        <v>9471530</v>
      </c>
      <c r="B1655" s="1" t="s">
        <v>1153</v>
      </c>
      <c r="C1655" t="s">
        <v>2963</v>
      </c>
      <c r="E1655" s="2">
        <v>2683000206001</v>
      </c>
      <c r="F1655" s="1" t="s">
        <v>29</v>
      </c>
      <c r="G1655" s="1" t="s">
        <v>53</v>
      </c>
      <c r="H1655" s="1" t="s">
        <v>276</v>
      </c>
      <c r="I1655" s="1" t="s">
        <v>277</v>
      </c>
      <c r="J1655" s="1" t="s">
        <v>90</v>
      </c>
      <c r="K1655" t="s">
        <v>34</v>
      </c>
      <c r="M1655" s="1" t="s">
        <v>35</v>
      </c>
      <c r="N1655" s="1">
        <v>42318949</v>
      </c>
      <c r="O1655" s="1" t="s">
        <v>36</v>
      </c>
      <c r="P1655" s="186">
        <v>44969.449016203704</v>
      </c>
      <c r="R1655" s="1" t="s">
        <v>38</v>
      </c>
      <c r="T1655" s="1" t="s">
        <v>74</v>
      </c>
      <c r="U1655" s="186">
        <v>44979.607638888891</v>
      </c>
      <c r="V1655" s="1" t="s">
        <v>41</v>
      </c>
      <c r="W1655" s="1" t="s">
        <v>49</v>
      </c>
      <c r="X1655" s="13" t="str">
        <f t="shared" ref="X1655" si="364">IF(RIGHT(H1655,2)&lt;&gt;"00",H1655,"")</f>
        <v/>
      </c>
      <c r="Y1655" s="2">
        <f t="shared" ref="Y1655" ca="1" si="365">NETWORKDAYS(P1655,$Y$1)</f>
        <v>13</v>
      </c>
      <c r="Z1655" s="14">
        <v>1</v>
      </c>
      <c r="AA1655" s="1" t="str">
        <f t="shared" ref="AA1655" ca="1" si="366">IF(AE1655=0,"HOJE",IF(AE1655&gt;0,"A VENCER",IF(AE1655&lt;0,"VENCIDO")))</f>
        <v>VENCIDO</v>
      </c>
      <c r="AB1655" s="1" t="str">
        <f t="shared" ref="AB1655" si="367">IF(F1655="GRPE-000001","C-14",IF(F1655="GRPE-000002","C-14",IF(F1655="GRPE-000003","C-14",IF(F1655="GRPE-000004","SL-On",IF(F1655="GRPE-000038","C-14",IF(F1655="GRPE-900022","Dosa",IF(F1655="GRPE-000029","Dosa",IF(F1655="ATOS-000222","Dose","TAAe+"))))))))</f>
        <v>Dosa</v>
      </c>
      <c r="AC1655" s="2" t="str">
        <f t="shared" ref="AC1655" si="368">IF(J1655="TR-PETROLINA"," ROSEMERE ",IF(J1655="TR-GARANHUNS"," ROSEMERE ",IF(J1655="TR-CARUARU"," ROSEMERE ",IF(J1655="TR-RIBEIRAO"," CRISTINA ",IF(J1655="TR-GRAVATA"," CRISTINA ",IF(J1655="TR-GOIANA"," CRISTINA ",IF(J1655="TR-LIMOEIRO"," CRISTINA ",IF(J1655="TR-SERRA TALHADA"," RINALDO ",IF(J1655="TR-SALGUEIRO"," RINALDO ",IF(J1655="TR-CARNAIBA"," RINALDO ",IF(J1655="TR-ARCOVERDE"," RINALDO ",IF(J1655="CAT-RECIFE"," CLEITON ",))))))))))))</f>
        <v xml:space="preserve"> RINALDO </v>
      </c>
      <c r="AD1655" s="2">
        <f t="shared" ref="AD1655" si="369">IF(F1655="GRPE-000001",5,IF(F1655="GRPE-000002",5,IF(F1655="GRPE-000003",15,IF(F1655="GRPE-000004",1,IF(F1655="GRPE-000038",5,IF(F1655="GRPE-900022",5,IF(F1655="GRPE-000029",5,IF(F1655="ATOS-000222",5,8))))))))</f>
        <v>5</v>
      </c>
      <c r="AE1655" s="2">
        <f t="shared" ref="AE1655" ca="1" si="370">IF(U1655=$AE$1,"",U1655-$AE$1)</f>
        <v>-7.0686327546281973</v>
      </c>
      <c r="AF1655" s="15"/>
    </row>
    <row r="1656" spans="1:32" hidden="1">
      <c r="A1656" s="1">
        <v>9471472</v>
      </c>
      <c r="B1656" s="1" t="s">
        <v>1153</v>
      </c>
      <c r="C1656" t="s">
        <v>2964</v>
      </c>
      <c r="E1656" s="2">
        <v>2811000206001</v>
      </c>
      <c r="F1656" s="1" t="s">
        <v>29</v>
      </c>
      <c r="G1656" s="1" t="s">
        <v>53</v>
      </c>
      <c r="H1656" s="1" t="s">
        <v>44</v>
      </c>
      <c r="I1656" s="1" t="s">
        <v>45</v>
      </c>
      <c r="J1656" s="1" t="s">
        <v>46</v>
      </c>
      <c r="K1656" t="s">
        <v>34</v>
      </c>
      <c r="M1656" s="1" t="s">
        <v>35</v>
      </c>
      <c r="N1656" s="1">
        <v>42318949</v>
      </c>
      <c r="O1656" s="1" t="s">
        <v>36</v>
      </c>
      <c r="P1656" s="186">
        <v>44969.438194444447</v>
      </c>
      <c r="R1656" s="1" t="s">
        <v>38</v>
      </c>
      <c r="T1656" s="1" t="s">
        <v>74</v>
      </c>
      <c r="U1656" s="186">
        <v>44979.708333333336</v>
      </c>
      <c r="V1656" s="1" t="s">
        <v>41</v>
      </c>
      <c r="W1656" s="1" t="s">
        <v>49</v>
      </c>
      <c r="Z1656" s="14">
        <v>1</v>
      </c>
    </row>
    <row r="1657" spans="1:32" hidden="1">
      <c r="A1657" s="1">
        <v>9471470</v>
      </c>
      <c r="B1657" s="1" t="s">
        <v>1153</v>
      </c>
      <c r="C1657" t="s">
        <v>2965</v>
      </c>
      <c r="E1657" s="2">
        <v>1620000206001</v>
      </c>
      <c r="F1657" s="1" t="s">
        <v>29</v>
      </c>
      <c r="G1657" s="1" t="s">
        <v>53</v>
      </c>
      <c r="H1657" s="1" t="s">
        <v>402</v>
      </c>
      <c r="I1657" s="1" t="s">
        <v>403</v>
      </c>
      <c r="J1657" s="1" t="s">
        <v>46</v>
      </c>
      <c r="K1657" t="s">
        <v>34</v>
      </c>
      <c r="M1657" s="1" t="s">
        <v>35</v>
      </c>
      <c r="N1657" s="1">
        <v>42318949</v>
      </c>
      <c r="O1657" s="1" t="s">
        <v>36</v>
      </c>
      <c r="P1657" s="186">
        <v>44969.438078703701</v>
      </c>
      <c r="R1657" s="1" t="s">
        <v>38</v>
      </c>
      <c r="T1657" s="1" t="s">
        <v>74</v>
      </c>
      <c r="U1657" s="186">
        <v>44979.708333333336</v>
      </c>
      <c r="V1657" s="1" t="s">
        <v>41</v>
      </c>
      <c r="W1657" s="1" t="s">
        <v>49</v>
      </c>
      <c r="Z1657" s="14">
        <v>1</v>
      </c>
    </row>
    <row r="1658" spans="1:32" hidden="1">
      <c r="A1658" s="1">
        <v>9471414</v>
      </c>
      <c r="B1658" s="1" t="s">
        <v>1153</v>
      </c>
      <c r="C1658" t="s">
        <v>2966</v>
      </c>
      <c r="E1658" s="2">
        <v>1924000203000</v>
      </c>
      <c r="F1658" s="1" t="s">
        <v>454</v>
      </c>
      <c r="G1658" s="1" t="s">
        <v>53</v>
      </c>
      <c r="H1658" s="1" t="s">
        <v>568</v>
      </c>
      <c r="I1658" s="1" t="s">
        <v>569</v>
      </c>
      <c r="J1658" s="1" t="s">
        <v>33</v>
      </c>
      <c r="K1658" t="s">
        <v>457</v>
      </c>
      <c r="M1658" s="1" t="s">
        <v>58</v>
      </c>
      <c r="N1658" s="1">
        <v>0</v>
      </c>
      <c r="O1658" s="1" t="s">
        <v>36</v>
      </c>
      <c r="P1658" s="11" t="s">
        <v>2967</v>
      </c>
      <c r="R1658" s="1" t="s">
        <v>38</v>
      </c>
      <c r="T1658" s="1" t="s">
        <v>157</v>
      </c>
      <c r="U1658" s="11" t="s">
        <v>2612</v>
      </c>
      <c r="V1658" s="1" t="s">
        <v>41</v>
      </c>
      <c r="W1658" s="1" t="s">
        <v>49</v>
      </c>
      <c r="Z1658" s="14">
        <v>1</v>
      </c>
    </row>
    <row r="1659" spans="1:32">
      <c r="A1659" s="1">
        <v>9471374</v>
      </c>
      <c r="B1659" s="1" t="s">
        <v>1153</v>
      </c>
      <c r="C1659" t="s">
        <v>2966</v>
      </c>
      <c r="E1659" s="2">
        <v>1069000203000</v>
      </c>
      <c r="F1659" s="1" t="s">
        <v>454</v>
      </c>
      <c r="G1659" s="1" t="s">
        <v>53</v>
      </c>
      <c r="H1659" s="1" t="s">
        <v>353</v>
      </c>
      <c r="I1659" s="1" t="s">
        <v>354</v>
      </c>
      <c r="J1659" s="1" t="s">
        <v>211</v>
      </c>
      <c r="K1659" t="s">
        <v>457</v>
      </c>
      <c r="M1659" s="1" t="s">
        <v>58</v>
      </c>
      <c r="N1659" s="1">
        <v>0</v>
      </c>
      <c r="O1659" s="1" t="s">
        <v>36</v>
      </c>
      <c r="P1659" s="11" t="s">
        <v>2968</v>
      </c>
      <c r="R1659" s="1">
        <v>1</v>
      </c>
      <c r="T1659" s="1" t="s">
        <v>157</v>
      </c>
      <c r="U1659" s="11" t="s">
        <v>2969</v>
      </c>
      <c r="V1659" s="1" t="s">
        <v>41</v>
      </c>
      <c r="W1659" s="1" t="s">
        <v>49</v>
      </c>
      <c r="X1659" s="13" t="str">
        <f t="shared" ref="X1659" si="371">IF(RIGHT(H1659,2)&lt;&gt;"00",H1659,"")</f>
        <v/>
      </c>
      <c r="Y1659" s="2">
        <f t="shared" ref="Y1659" ca="1" si="372">NETWORKDAYS(P1659,$Y$1)</f>
        <v>13</v>
      </c>
      <c r="Z1659" s="14">
        <v>1</v>
      </c>
      <c r="AA1659" s="1" t="str">
        <f t="shared" ref="AA1659" ca="1" si="373">IF(AE1659=0,"HOJE",IF(AE1659&gt;0,"A VENCER",IF(AE1659&lt;0,"VENCIDO")))</f>
        <v>VENCIDO</v>
      </c>
      <c r="AB1659" s="1" t="str">
        <f t="shared" ref="AB1659" si="374">IF(F1659="GRPE-000001","C-14",IF(F1659="GRPE-000002","C-14",IF(F1659="GRPE-000003","C-14",IF(F1659="GRPE-000004","SL-On",IF(F1659="GRPE-000038","C-14",IF(F1659="GRPE-900022","Dosa",IF(F1659="GRPE-000029","Dosa",IF(F1659="ATOS-000222","Dose","TAAe+"))))))))</f>
        <v>C-14</v>
      </c>
      <c r="AC1659" s="2" t="str">
        <f t="shared" ref="AC1659" si="375">IF(J1659="TR-PETROLINA"," ROSEMERE ",IF(J1659="TR-GARANHUNS"," ROSEMERE ",IF(J1659="TR-CARUARU"," ROSEMERE ",IF(J1659="TR-RIBEIRAO"," CRISTINA ",IF(J1659="TR-GRAVATA"," CRISTINA ",IF(J1659="TR-GOIANA"," CRISTINA ",IF(J1659="TR-LIMOEIRO"," CRISTINA ",IF(J1659="TR-SERRA TALHADA"," RINALDO ",IF(J1659="TR-SALGUEIRO"," RINALDO ",IF(J1659="TR-CARNAIBA"," RINALDO ",IF(J1659="TR-ARCOVERDE"," RINALDO ",IF(J1659="CAT-RECIFE"," CLEITON ",))))))))))))</f>
        <v xml:space="preserve"> RINALDO </v>
      </c>
      <c r="AD1659" s="2">
        <f t="shared" ref="AD1659" si="376">IF(F1659="GRPE-000001",5,IF(F1659="GRPE-000002",5,IF(F1659="GRPE-000003",15,IF(F1659="GRPE-000004",1,IF(F1659="GRPE-000038",5,IF(F1659="GRPE-900022",5,IF(F1659="GRPE-000029",5,IF(F1659="ATOS-000222",5,8))))))))</f>
        <v>5</v>
      </c>
      <c r="AE1659" s="2">
        <f t="shared" ref="AE1659" ca="1" si="377">IF(U1659=$AE$1,"",U1659-$AE$1)</f>
        <v>-16.258667476853589</v>
      </c>
      <c r="AF1659" s="15"/>
    </row>
    <row r="1660" spans="1:32" hidden="1">
      <c r="A1660" s="1">
        <v>9471370</v>
      </c>
      <c r="B1660" s="1" t="s">
        <v>1153</v>
      </c>
      <c r="C1660" t="s">
        <v>2966</v>
      </c>
      <c r="E1660" s="2">
        <v>1049000203000</v>
      </c>
      <c r="F1660" s="1" t="s">
        <v>454</v>
      </c>
      <c r="G1660" s="1" t="s">
        <v>53</v>
      </c>
      <c r="H1660" s="1" t="s">
        <v>169</v>
      </c>
      <c r="I1660" s="1" t="s">
        <v>170</v>
      </c>
      <c r="J1660" s="1" t="s">
        <v>164</v>
      </c>
      <c r="K1660" t="s">
        <v>457</v>
      </c>
      <c r="M1660" s="1" t="s">
        <v>58</v>
      </c>
      <c r="N1660" s="1">
        <v>0</v>
      </c>
      <c r="O1660" s="1" t="s">
        <v>36</v>
      </c>
      <c r="P1660" s="11" t="s">
        <v>2970</v>
      </c>
      <c r="R1660" s="1">
        <v>1</v>
      </c>
      <c r="T1660" s="1" t="s">
        <v>157</v>
      </c>
      <c r="U1660" s="11" t="s">
        <v>2971</v>
      </c>
      <c r="V1660" s="1" t="s">
        <v>41</v>
      </c>
      <c r="W1660" s="1" t="s">
        <v>49</v>
      </c>
      <c r="Z1660" s="14">
        <v>1</v>
      </c>
    </row>
    <row r="1661" spans="1:32" hidden="1">
      <c r="A1661" s="1">
        <v>9471368</v>
      </c>
      <c r="B1661" s="1" t="s">
        <v>1153</v>
      </c>
      <c r="C1661" t="s">
        <v>2966</v>
      </c>
      <c r="E1661" s="2">
        <v>1011000203000</v>
      </c>
      <c r="F1661" s="1" t="s">
        <v>454</v>
      </c>
      <c r="G1661" s="1" t="s">
        <v>53</v>
      </c>
      <c r="H1661" s="1" t="s">
        <v>272</v>
      </c>
      <c r="I1661" s="1" t="s">
        <v>273</v>
      </c>
      <c r="J1661" s="1" t="s">
        <v>33</v>
      </c>
      <c r="K1661" t="s">
        <v>457</v>
      </c>
      <c r="M1661" s="1" t="s">
        <v>58</v>
      </c>
      <c r="N1661" s="1">
        <v>0</v>
      </c>
      <c r="O1661" s="1" t="s">
        <v>36</v>
      </c>
      <c r="P1661" s="11" t="s">
        <v>2972</v>
      </c>
      <c r="R1661" s="1">
        <v>1</v>
      </c>
      <c r="T1661" s="1" t="s">
        <v>157</v>
      </c>
      <c r="U1661" s="11" t="s">
        <v>2973</v>
      </c>
      <c r="V1661" s="1" t="s">
        <v>41</v>
      </c>
      <c r="W1661" s="1" t="s">
        <v>49</v>
      </c>
      <c r="Z1661" s="14">
        <v>1</v>
      </c>
    </row>
    <row r="1662" spans="1:32">
      <c r="A1662" s="181">
        <v>9471333</v>
      </c>
      <c r="B1662" s="181" t="s">
        <v>1153</v>
      </c>
      <c r="C1662" s="182" t="s">
        <v>2974</v>
      </c>
      <c r="D1662" s="183"/>
      <c r="E1662" s="183">
        <v>68000203000</v>
      </c>
      <c r="F1662" s="181" t="s">
        <v>454</v>
      </c>
      <c r="G1662" s="181" t="s">
        <v>53</v>
      </c>
      <c r="H1662" s="181" t="s">
        <v>1330</v>
      </c>
      <c r="I1662" s="181" t="s">
        <v>1331</v>
      </c>
      <c r="J1662" s="181" t="s">
        <v>211</v>
      </c>
      <c r="K1662" t="s">
        <v>457</v>
      </c>
      <c r="M1662" s="1" t="s">
        <v>58</v>
      </c>
      <c r="N1662" s="1">
        <v>0</v>
      </c>
      <c r="O1662" s="1" t="s">
        <v>36</v>
      </c>
      <c r="P1662" s="11" t="s">
        <v>2975</v>
      </c>
      <c r="R1662" s="1">
        <v>1</v>
      </c>
      <c r="T1662" s="1" t="s">
        <v>157</v>
      </c>
      <c r="U1662" s="11" t="s">
        <v>2976</v>
      </c>
      <c r="V1662" s="1" t="s">
        <v>41</v>
      </c>
      <c r="W1662" s="1" t="s">
        <v>49</v>
      </c>
      <c r="X1662" s="13" t="str">
        <f t="shared" ref="X1662" si="378">IF(RIGHT(H1662,2)&lt;&gt;"00",H1662,"")</f>
        <v/>
      </c>
      <c r="Y1662" s="2">
        <f t="shared" ref="Y1662" ca="1" si="379">NETWORKDAYS(P1662,$Y$1)</f>
        <v>13</v>
      </c>
      <c r="Z1662" s="14">
        <v>1</v>
      </c>
      <c r="AA1662" s="1" t="str">
        <f t="shared" ref="AA1662" ca="1" si="380">IF(AE1662=0,"HOJE",IF(AE1662&gt;0,"A VENCER",IF(AE1662&lt;0,"VENCIDO")))</f>
        <v>VENCIDO</v>
      </c>
      <c r="AB1662" s="1" t="str">
        <f t="shared" ref="AB1662" si="381">IF(F1662="GRPE-000001","C-14",IF(F1662="GRPE-000002","C-14",IF(F1662="GRPE-000003","C-14",IF(F1662="GRPE-000004","SL-On",IF(F1662="GRPE-000038","C-14",IF(F1662="GRPE-900022","Dosa",IF(F1662="GRPE-000029","Dosa",IF(F1662="ATOS-000222","Dose","TAAe+"))))))))</f>
        <v>C-14</v>
      </c>
      <c r="AC1662" s="2" t="str">
        <f t="shared" ref="AC1662" si="382">IF(J1662="TR-PETROLINA"," ROSEMERE ",IF(J1662="TR-GARANHUNS"," ROSEMERE ",IF(J1662="TR-CARUARU"," ROSEMERE ",IF(J1662="TR-RIBEIRAO"," CRISTINA ",IF(J1662="TR-GRAVATA"," CRISTINA ",IF(J1662="TR-GOIANA"," CRISTINA ",IF(J1662="TR-LIMOEIRO"," CRISTINA ",IF(J1662="TR-SERRA TALHADA"," RINALDO ",IF(J1662="TR-SALGUEIRO"," RINALDO ",IF(J1662="TR-CARNAIBA"," RINALDO ",IF(J1662="TR-ARCOVERDE"," RINALDO ",IF(J1662="CAT-RECIFE"," CLEITON ",))))))))))))</f>
        <v xml:space="preserve"> RINALDO </v>
      </c>
      <c r="AD1662" s="2">
        <f t="shared" ref="AD1662" si="383">IF(F1662="GRPE-000001",5,IF(F1662="GRPE-000002",5,IF(F1662="GRPE-000003",15,IF(F1662="GRPE-000004",1,IF(F1662="GRPE-000038",5,IF(F1662="GRPE-900022",5,IF(F1662="GRPE-000029",5,IF(F1662="ATOS-000222",5,8))))))))</f>
        <v>5</v>
      </c>
      <c r="AE1662" s="2">
        <f t="shared" ref="AE1662" ca="1" si="384">IF(U1662=$AE$1,"",U1662-$AE$1)</f>
        <v>-16.269014699071704</v>
      </c>
      <c r="AF1662" s="15"/>
    </row>
    <row r="1663" spans="1:32" hidden="1">
      <c r="A1663" s="1">
        <v>9471332</v>
      </c>
      <c r="B1663" s="1" t="s">
        <v>1153</v>
      </c>
      <c r="C1663" t="s">
        <v>2966</v>
      </c>
      <c r="E1663" s="2">
        <v>7740203000</v>
      </c>
      <c r="F1663" s="1" t="s">
        <v>454</v>
      </c>
      <c r="G1663" s="1" t="s">
        <v>53</v>
      </c>
      <c r="H1663" s="1" t="s">
        <v>187</v>
      </c>
      <c r="I1663" s="1" t="s">
        <v>188</v>
      </c>
      <c r="J1663" s="1" t="s">
        <v>46</v>
      </c>
      <c r="K1663" t="s">
        <v>457</v>
      </c>
      <c r="M1663" s="1" t="s">
        <v>58</v>
      </c>
      <c r="N1663" s="1">
        <v>0</v>
      </c>
      <c r="O1663" s="1" t="s">
        <v>36</v>
      </c>
      <c r="P1663" s="11" t="s">
        <v>2977</v>
      </c>
      <c r="R1663" s="1">
        <v>1</v>
      </c>
      <c r="T1663" s="1" t="s">
        <v>157</v>
      </c>
      <c r="U1663" s="11" t="s">
        <v>2978</v>
      </c>
      <c r="V1663" s="1" t="s">
        <v>41</v>
      </c>
      <c r="W1663" s="1" t="s">
        <v>49</v>
      </c>
      <c r="Z1663" s="14">
        <v>1</v>
      </c>
    </row>
    <row r="1664" spans="1:32">
      <c r="A1664" s="1">
        <v>9471313</v>
      </c>
      <c r="B1664" s="1" t="s">
        <v>1153</v>
      </c>
      <c r="C1664" t="s">
        <v>2979</v>
      </c>
      <c r="E1664" s="2">
        <v>981000206001</v>
      </c>
      <c r="F1664" s="1" t="s">
        <v>29</v>
      </c>
      <c r="G1664" s="1" t="s">
        <v>53</v>
      </c>
      <c r="H1664" s="1" t="s">
        <v>410</v>
      </c>
      <c r="I1664" s="1" t="s">
        <v>411</v>
      </c>
      <c r="J1664" s="1" t="s">
        <v>85</v>
      </c>
      <c r="K1664" t="s">
        <v>34</v>
      </c>
      <c r="M1664" s="1" t="s">
        <v>35</v>
      </c>
      <c r="N1664" s="1">
        <v>42318949</v>
      </c>
      <c r="O1664" s="1" t="s">
        <v>36</v>
      </c>
      <c r="P1664" s="11" t="s">
        <v>2980</v>
      </c>
      <c r="R1664" s="1" t="s">
        <v>38</v>
      </c>
      <c r="T1664" s="1" t="s">
        <v>74</v>
      </c>
      <c r="U1664" s="11" t="s">
        <v>2587</v>
      </c>
      <c r="V1664" s="1" t="s">
        <v>41</v>
      </c>
      <c r="W1664" s="1" t="s">
        <v>49</v>
      </c>
      <c r="X1664" s="13" t="str">
        <f t="shared" ref="X1664" si="385">IF(RIGHT(H1664,2)&lt;&gt;"00",H1664,"")</f>
        <v/>
      </c>
      <c r="Y1664" s="2">
        <f t="shared" ref="Y1664" ca="1" si="386">NETWORKDAYS(P1664,$Y$1)</f>
        <v>13</v>
      </c>
      <c r="Z1664" s="14">
        <v>1</v>
      </c>
      <c r="AA1664" s="1" t="str">
        <f t="shared" ref="AA1664" ca="1" si="387">IF(AE1664=0,"HOJE",IF(AE1664&gt;0,"A VENCER",IF(AE1664&lt;0,"VENCIDO")))</f>
        <v>VENCIDO</v>
      </c>
      <c r="AB1664" s="1" t="str">
        <f t="shared" ref="AB1664" si="388">IF(F1664="GRPE-000001","C-14",IF(F1664="GRPE-000002","C-14",IF(F1664="GRPE-000003","C-14",IF(F1664="GRPE-000004","SL-On",IF(F1664="GRPE-000038","C-14",IF(F1664="GRPE-900022","Dosa",IF(F1664="GRPE-000029","Dosa",IF(F1664="ATOS-000222","Dose","TAAe+"))))))))</f>
        <v>Dosa</v>
      </c>
      <c r="AC1664" s="2" t="str">
        <f t="shared" ref="AC1664" si="389">IF(J1664="TR-PETROLINA"," ROSEMERE ",IF(J1664="TR-GARANHUNS"," ROSEMERE ",IF(J1664="TR-CARUARU"," ROSEMERE ",IF(J1664="TR-RIBEIRAO"," CRISTINA ",IF(J1664="TR-GRAVATA"," CRISTINA ",IF(J1664="TR-GOIANA"," CRISTINA ",IF(J1664="TR-LIMOEIRO"," CRISTINA ",IF(J1664="TR-SERRA TALHADA"," RINALDO ",IF(J1664="TR-SALGUEIRO"," RINALDO ",IF(J1664="TR-CARNAIBA"," RINALDO ",IF(J1664="TR-ARCOVERDE"," RINALDO ",IF(J1664="CAT-RECIFE"," CLEITON ",))))))))))))</f>
        <v xml:space="preserve"> RINALDO </v>
      </c>
      <c r="AD1664" s="2">
        <f t="shared" ref="AD1664" si="390">IF(F1664="GRPE-000001",5,IF(F1664="GRPE-000002",5,IF(F1664="GRPE-000003",15,IF(F1664="GRPE-000004",1,IF(F1664="GRPE-000038",5,IF(F1664="GRPE-900022",5,IF(F1664="GRPE-000029",5,IF(F1664="ATOS-000222",5,8))))))))</f>
        <v>5</v>
      </c>
      <c r="AE1664" s="2">
        <f t="shared" ref="AE1664" ca="1" si="391">IF(U1664=$AE$1,"",U1664-$AE$1)</f>
        <v>-13.051271643518703</v>
      </c>
      <c r="AF1664" s="15"/>
    </row>
    <row r="1665" spans="1:32" hidden="1">
      <c r="A1665" s="1">
        <v>9471187</v>
      </c>
      <c r="B1665" s="1" t="s">
        <v>1153</v>
      </c>
      <c r="C1665" t="s">
        <v>2981</v>
      </c>
      <c r="E1665" s="2">
        <v>1185000203000</v>
      </c>
      <c r="F1665" s="1" t="s">
        <v>454</v>
      </c>
      <c r="G1665" s="1" t="s">
        <v>53</v>
      </c>
      <c r="H1665" s="1" t="s">
        <v>539</v>
      </c>
      <c r="I1665" s="1" t="s">
        <v>540</v>
      </c>
      <c r="J1665" s="1" t="s">
        <v>33</v>
      </c>
      <c r="K1665" t="s">
        <v>457</v>
      </c>
      <c r="M1665" s="1" t="s">
        <v>58</v>
      </c>
      <c r="N1665" s="1">
        <v>0</v>
      </c>
      <c r="O1665" s="1" t="s">
        <v>36</v>
      </c>
      <c r="P1665" s="11" t="s">
        <v>2982</v>
      </c>
      <c r="R1665" s="1">
        <v>1</v>
      </c>
      <c r="T1665" s="1" t="s">
        <v>157</v>
      </c>
      <c r="U1665" s="11" t="s">
        <v>2983</v>
      </c>
      <c r="V1665" s="1" t="s">
        <v>41</v>
      </c>
      <c r="W1665" s="1" t="s">
        <v>42</v>
      </c>
      <c r="Z1665" s="14">
        <v>1</v>
      </c>
    </row>
    <row r="1666" spans="1:32" hidden="1">
      <c r="A1666" s="1">
        <v>9471126</v>
      </c>
      <c r="B1666" s="1" t="s">
        <v>1153</v>
      </c>
      <c r="C1666" t="s">
        <v>2984</v>
      </c>
      <c r="E1666" s="2">
        <v>3699000206001</v>
      </c>
      <c r="F1666" s="1" t="s">
        <v>29</v>
      </c>
      <c r="G1666" s="1" t="s">
        <v>53</v>
      </c>
      <c r="H1666" s="1" t="s">
        <v>343</v>
      </c>
      <c r="I1666" s="1" t="s">
        <v>344</v>
      </c>
      <c r="J1666" s="1" t="s">
        <v>46</v>
      </c>
      <c r="K1666" t="s">
        <v>34</v>
      </c>
      <c r="M1666" s="1" t="s">
        <v>35</v>
      </c>
      <c r="N1666" s="1">
        <v>42318949</v>
      </c>
      <c r="O1666" s="1" t="s">
        <v>36</v>
      </c>
      <c r="P1666" s="11" t="s">
        <v>2985</v>
      </c>
      <c r="R1666" s="1" t="s">
        <v>38</v>
      </c>
      <c r="T1666" s="1" t="s">
        <v>74</v>
      </c>
      <c r="U1666" s="11" t="s">
        <v>2516</v>
      </c>
      <c r="V1666" s="1" t="s">
        <v>41</v>
      </c>
      <c r="W1666" s="1" t="s">
        <v>49</v>
      </c>
      <c r="Z1666" s="14">
        <v>1</v>
      </c>
    </row>
    <row r="1667" spans="1:32" hidden="1">
      <c r="A1667" s="1">
        <v>9481957</v>
      </c>
      <c r="B1667" s="1" t="s">
        <v>1153</v>
      </c>
      <c r="C1667" t="s">
        <v>2986</v>
      </c>
      <c r="E1667" s="2">
        <v>2196000206001</v>
      </c>
      <c r="F1667" s="1" t="s">
        <v>29</v>
      </c>
      <c r="G1667" s="1" t="s">
        <v>53</v>
      </c>
      <c r="H1667" s="1" t="s">
        <v>1252</v>
      </c>
      <c r="I1667" s="1" t="s">
        <v>1253</v>
      </c>
      <c r="J1667" s="1" t="s">
        <v>33</v>
      </c>
      <c r="K1667" t="s">
        <v>34</v>
      </c>
      <c r="M1667" s="1" t="s">
        <v>35</v>
      </c>
      <c r="N1667" s="1">
        <v>42318949</v>
      </c>
      <c r="O1667" s="1" t="s">
        <v>105</v>
      </c>
      <c r="P1667" s="186">
        <v>44971.562916666669</v>
      </c>
      <c r="R1667" s="1" t="s">
        <v>38</v>
      </c>
      <c r="T1667" s="1" t="s">
        <v>74</v>
      </c>
      <c r="U1667" s="186">
        <v>44972.604583333334</v>
      </c>
      <c r="V1667" s="1" t="s">
        <v>41</v>
      </c>
      <c r="W1667" s="1" t="s">
        <v>42</v>
      </c>
      <c r="Z1667" s="14">
        <v>1</v>
      </c>
    </row>
    <row r="1668" spans="1:32" hidden="1">
      <c r="A1668" s="1">
        <v>9481944</v>
      </c>
      <c r="B1668" s="1" t="s">
        <v>1153</v>
      </c>
      <c r="C1668" t="s">
        <v>2987</v>
      </c>
      <c r="D1668" s="2">
        <v>20234235000009</v>
      </c>
      <c r="E1668" s="2">
        <v>7419152435750</v>
      </c>
      <c r="F1668" s="1" t="s">
        <v>2744</v>
      </c>
      <c r="G1668" s="1" t="s">
        <v>53</v>
      </c>
      <c r="H1668" s="1" t="s">
        <v>2988</v>
      </c>
      <c r="I1668" s="1" t="s">
        <v>2989</v>
      </c>
      <c r="J1668" s="1" t="s">
        <v>46</v>
      </c>
      <c r="K1668" t="s">
        <v>2745</v>
      </c>
      <c r="M1668" s="1" t="s">
        <v>58</v>
      </c>
      <c r="N1668" s="1">
        <v>0</v>
      </c>
      <c r="O1668" s="1" t="s">
        <v>105</v>
      </c>
      <c r="P1668" s="186">
        <v>44971.546377314815</v>
      </c>
      <c r="R1668" s="1">
        <v>22</v>
      </c>
      <c r="T1668" s="1" t="s">
        <v>1160</v>
      </c>
      <c r="U1668" s="186">
        <v>44974.379710648151</v>
      </c>
      <c r="V1668" s="1" t="s">
        <v>41</v>
      </c>
      <c r="W1668" s="1" t="s">
        <v>49</v>
      </c>
      <c r="Z1668" s="14">
        <v>1</v>
      </c>
    </row>
    <row r="1669" spans="1:32" hidden="1">
      <c r="A1669" s="1">
        <v>9481887</v>
      </c>
      <c r="B1669" s="1" t="s">
        <v>1153</v>
      </c>
      <c r="C1669" t="s">
        <v>2990</v>
      </c>
      <c r="D1669" s="2">
        <v>20234844000459</v>
      </c>
      <c r="E1669" s="2">
        <v>7417183020660</v>
      </c>
      <c r="F1669" s="1" t="s">
        <v>1313</v>
      </c>
      <c r="G1669" s="1" t="s">
        <v>53</v>
      </c>
      <c r="H1669" s="1" t="s">
        <v>2087</v>
      </c>
      <c r="I1669" s="1" t="s">
        <v>2088</v>
      </c>
      <c r="J1669" s="1" t="s">
        <v>46</v>
      </c>
      <c r="K1669" t="s">
        <v>1316</v>
      </c>
      <c r="M1669" s="1" t="s">
        <v>58</v>
      </c>
      <c r="N1669" s="1">
        <v>0</v>
      </c>
      <c r="O1669" s="1" t="s">
        <v>105</v>
      </c>
      <c r="P1669" s="186">
        <v>44971.540173611109</v>
      </c>
      <c r="R1669" s="1">
        <v>13</v>
      </c>
      <c r="T1669" s="1" t="s">
        <v>238</v>
      </c>
      <c r="U1669" s="186">
        <v>44971.540173611109</v>
      </c>
      <c r="V1669" s="1" t="s">
        <v>41</v>
      </c>
      <c r="W1669" s="1" t="s">
        <v>49</v>
      </c>
      <c r="Z1669" s="14">
        <v>1</v>
      </c>
    </row>
    <row r="1670" spans="1:32" hidden="1">
      <c r="A1670" s="1">
        <v>9481886</v>
      </c>
      <c r="B1670" s="1" t="s">
        <v>1153</v>
      </c>
      <c r="C1670" t="s">
        <v>2991</v>
      </c>
      <c r="D1670" s="2">
        <v>20234844000458</v>
      </c>
      <c r="E1670" s="2">
        <v>7419143322492</v>
      </c>
      <c r="F1670" s="1" t="s">
        <v>1222</v>
      </c>
      <c r="G1670" s="1" t="s">
        <v>53</v>
      </c>
      <c r="H1670" s="1" t="s">
        <v>2992</v>
      </c>
      <c r="I1670" s="1" t="s">
        <v>2993</v>
      </c>
      <c r="J1670" s="1" t="s">
        <v>46</v>
      </c>
      <c r="K1670" t="s">
        <v>1223</v>
      </c>
      <c r="M1670" s="1" t="s">
        <v>58</v>
      </c>
      <c r="N1670" s="1">
        <v>0</v>
      </c>
      <c r="O1670" s="1" t="s">
        <v>105</v>
      </c>
      <c r="P1670" s="186">
        <v>44971.534155092595</v>
      </c>
      <c r="R1670" s="1">
        <v>13</v>
      </c>
      <c r="T1670" s="1" t="s">
        <v>238</v>
      </c>
      <c r="U1670" s="186">
        <v>44971.534155092595</v>
      </c>
      <c r="V1670" s="1" t="s">
        <v>41</v>
      </c>
      <c r="W1670" s="1" t="s">
        <v>49</v>
      </c>
      <c r="Z1670" s="14">
        <v>1</v>
      </c>
    </row>
    <row r="1671" spans="1:32" hidden="1">
      <c r="A1671" s="1">
        <v>9481874</v>
      </c>
      <c r="B1671" s="1" t="s">
        <v>1153</v>
      </c>
      <c r="C1671" t="s">
        <v>2994</v>
      </c>
      <c r="D1671" s="2">
        <v>20231650000004</v>
      </c>
      <c r="E1671" s="2">
        <v>8558100222966</v>
      </c>
      <c r="F1671" s="1" t="s">
        <v>2995</v>
      </c>
      <c r="G1671" s="1" t="s">
        <v>53</v>
      </c>
      <c r="H1671" s="1" t="s">
        <v>620</v>
      </c>
      <c r="I1671" s="1" t="s">
        <v>621</v>
      </c>
      <c r="J1671" s="1" t="s">
        <v>141</v>
      </c>
      <c r="K1671" t="s">
        <v>2996</v>
      </c>
      <c r="M1671" s="1" t="s">
        <v>58</v>
      </c>
      <c r="N1671" s="1">
        <v>0</v>
      </c>
      <c r="O1671" s="1" t="s">
        <v>105</v>
      </c>
      <c r="P1671" s="186">
        <v>44971.532152777778</v>
      </c>
      <c r="R1671" s="1">
        <v>21</v>
      </c>
      <c r="T1671" s="1" t="s">
        <v>1160</v>
      </c>
      <c r="U1671" s="186">
        <v>44973.615486111114</v>
      </c>
      <c r="V1671" s="1" t="s">
        <v>41</v>
      </c>
      <c r="W1671" s="1" t="s">
        <v>49</v>
      </c>
      <c r="Z1671" s="14">
        <v>1</v>
      </c>
    </row>
    <row r="1672" spans="1:32" hidden="1">
      <c r="A1672" s="1">
        <v>9481854</v>
      </c>
      <c r="B1672" s="1" t="s">
        <v>1153</v>
      </c>
      <c r="C1672" t="s">
        <v>2997</v>
      </c>
      <c r="D1672" s="2">
        <v>230028931</v>
      </c>
      <c r="E1672" s="2">
        <v>67001400010</v>
      </c>
      <c r="F1672" s="1" t="s">
        <v>936</v>
      </c>
      <c r="G1672" s="1" t="s">
        <v>53</v>
      </c>
      <c r="H1672" s="1" t="s">
        <v>404</v>
      </c>
      <c r="I1672" s="1" t="s">
        <v>405</v>
      </c>
      <c r="J1672" s="1" t="s">
        <v>164</v>
      </c>
      <c r="K1672" t="s">
        <v>937</v>
      </c>
      <c r="M1672" s="1" t="s">
        <v>58</v>
      </c>
      <c r="N1672" s="1">
        <v>0</v>
      </c>
      <c r="O1672" s="1" t="s">
        <v>105</v>
      </c>
      <c r="P1672" s="186">
        <v>44971.545138888891</v>
      </c>
      <c r="R1672" s="1">
        <v>3</v>
      </c>
      <c r="T1672" s="1" t="s">
        <v>646</v>
      </c>
      <c r="U1672" s="186">
        <v>44980.482638888891</v>
      </c>
      <c r="V1672" s="1" t="s">
        <v>41</v>
      </c>
      <c r="W1672" s="1" t="s">
        <v>49</v>
      </c>
      <c r="Z1672" s="14">
        <v>1</v>
      </c>
    </row>
    <row r="1673" spans="1:32" hidden="1">
      <c r="A1673" s="1">
        <v>9481813</v>
      </c>
      <c r="B1673" s="1" t="s">
        <v>1153</v>
      </c>
      <c r="C1673" t="s">
        <v>2998</v>
      </c>
      <c r="D1673" s="2">
        <v>20234235000008</v>
      </c>
      <c r="E1673" s="2">
        <v>7419152435808</v>
      </c>
      <c r="F1673" s="1" t="s">
        <v>2744</v>
      </c>
      <c r="G1673" s="1" t="s">
        <v>53</v>
      </c>
      <c r="H1673" s="1" t="s">
        <v>2988</v>
      </c>
      <c r="I1673" s="1" t="s">
        <v>2989</v>
      </c>
      <c r="J1673" s="1" t="s">
        <v>46</v>
      </c>
      <c r="K1673" t="s">
        <v>2745</v>
      </c>
      <c r="M1673" s="1" t="s">
        <v>58</v>
      </c>
      <c r="N1673" s="1">
        <v>0</v>
      </c>
      <c r="O1673" s="1" t="s">
        <v>105</v>
      </c>
      <c r="P1673" s="186">
        <v>44971.530995370369</v>
      </c>
      <c r="R1673" s="1">
        <v>22</v>
      </c>
      <c r="T1673" s="1" t="s">
        <v>1160</v>
      </c>
      <c r="U1673" s="186">
        <v>44973.739328703705</v>
      </c>
      <c r="V1673" s="1" t="s">
        <v>41</v>
      </c>
      <c r="W1673" s="1" t="s">
        <v>49</v>
      </c>
      <c r="Z1673" s="14">
        <v>1</v>
      </c>
    </row>
    <row r="1674" spans="1:32" hidden="1">
      <c r="A1674" s="1">
        <v>9481771</v>
      </c>
      <c r="B1674" s="1" t="s">
        <v>62</v>
      </c>
      <c r="C1674" t="s">
        <v>2999</v>
      </c>
      <c r="E1674" s="2">
        <v>3108010206001</v>
      </c>
      <c r="F1674" s="1" t="s">
        <v>29</v>
      </c>
      <c r="G1674" s="1" t="s">
        <v>53</v>
      </c>
      <c r="H1674" s="1" t="s">
        <v>503</v>
      </c>
      <c r="I1674" s="1" t="s">
        <v>504</v>
      </c>
      <c r="J1674" s="1" t="s">
        <v>46</v>
      </c>
      <c r="K1674" t="s">
        <v>34</v>
      </c>
      <c r="M1674" s="1" t="s">
        <v>35</v>
      </c>
      <c r="N1674" s="1">
        <v>42318949</v>
      </c>
      <c r="O1674" s="1" t="s">
        <v>105</v>
      </c>
      <c r="P1674" s="186">
        <v>44971.531631944446</v>
      </c>
      <c r="R1674" s="1" t="s">
        <v>38</v>
      </c>
      <c r="T1674" s="1" t="s">
        <v>74</v>
      </c>
      <c r="U1674" s="186">
        <v>45014.75</v>
      </c>
      <c r="V1674" s="1" t="s">
        <v>41</v>
      </c>
      <c r="W1674" s="1" t="s">
        <v>49</v>
      </c>
      <c r="Z1674" s="14">
        <v>1</v>
      </c>
    </row>
    <row r="1675" spans="1:32">
      <c r="A1675" s="1">
        <v>9481708</v>
      </c>
      <c r="B1675" s="1" t="s">
        <v>1153</v>
      </c>
      <c r="C1675" t="s">
        <v>3000</v>
      </c>
      <c r="E1675" s="2">
        <v>2437000206001</v>
      </c>
      <c r="F1675" s="1" t="s">
        <v>29</v>
      </c>
      <c r="G1675" s="1" t="s">
        <v>53</v>
      </c>
      <c r="H1675" s="1" t="s">
        <v>416</v>
      </c>
      <c r="I1675" s="1" t="s">
        <v>417</v>
      </c>
      <c r="J1675" s="1" t="s">
        <v>211</v>
      </c>
      <c r="K1675" t="s">
        <v>34</v>
      </c>
      <c r="M1675" s="1" t="s">
        <v>35</v>
      </c>
      <c r="N1675" s="1">
        <v>42318949</v>
      </c>
      <c r="O1675" s="1" t="s">
        <v>105</v>
      </c>
      <c r="P1675" s="186">
        <v>44971.521608796298</v>
      </c>
      <c r="R1675" s="1" t="s">
        <v>38</v>
      </c>
      <c r="T1675" s="1" t="s">
        <v>74</v>
      </c>
      <c r="U1675" s="186">
        <v>44972.521608796298</v>
      </c>
      <c r="V1675" s="1" t="s">
        <v>41</v>
      </c>
      <c r="W1675" s="1" t="s">
        <v>49</v>
      </c>
      <c r="X1675" s="13" t="str">
        <f t="shared" ref="X1675" si="392">IF(RIGHT(H1675,2)&lt;&gt;"00",H1675,"")</f>
        <v/>
      </c>
      <c r="Y1675" s="2">
        <f t="shared" ref="Y1675" ca="1" si="393">NETWORKDAYS(P1675,$Y$1)</f>
        <v>12</v>
      </c>
      <c r="Z1675" s="14">
        <v>1</v>
      </c>
      <c r="AA1675" s="1" t="str">
        <f t="shared" ref="AA1675" ca="1" si="394">IF(AE1675=0,"HOJE",IF(AE1675&gt;0,"A VENCER",IF(AE1675&lt;0,"VENCIDO")))</f>
        <v>VENCIDO</v>
      </c>
      <c r="AB1675" s="1" t="str">
        <f t="shared" ref="AB1675" si="395">IF(F1675="GRPE-000001","C-14",IF(F1675="GRPE-000002","C-14",IF(F1675="GRPE-000003","C-14",IF(F1675="GRPE-000004","SL-On",IF(F1675="GRPE-000038","C-14",IF(F1675="GRPE-900022","Dosa",IF(F1675="GRPE-000029","Dosa",IF(F1675="ATOS-000222","Dose","TAAe+"))))))))</f>
        <v>Dosa</v>
      </c>
      <c r="AC1675" s="2" t="str">
        <f t="shared" ref="AC1675" si="396">IF(J1675="TR-PETROLINA"," ROSEMERE ",IF(J1675="TR-GARANHUNS"," ROSEMERE ",IF(J1675="TR-CARUARU"," ROSEMERE ",IF(J1675="TR-RIBEIRAO"," CRISTINA ",IF(J1675="TR-GRAVATA"," CRISTINA ",IF(J1675="TR-GOIANA"," CRISTINA ",IF(J1675="TR-LIMOEIRO"," CRISTINA ",IF(J1675="TR-SERRA TALHADA"," RINALDO ",IF(J1675="TR-SALGUEIRO"," RINALDO ",IF(J1675="TR-CARNAIBA"," RINALDO ",IF(J1675="TR-ARCOVERDE"," RINALDO ",IF(J1675="CAT-RECIFE"," CLEITON ",))))))))))))</f>
        <v xml:space="preserve"> RINALDO </v>
      </c>
      <c r="AD1675" s="2">
        <f t="shared" ref="AD1675" si="397">IF(F1675="GRPE-000001",5,IF(F1675="GRPE-000002",5,IF(F1675="GRPE-000003",15,IF(F1675="GRPE-000004",1,IF(F1675="GRPE-000038",5,IF(F1675="GRPE-900022",5,IF(F1675="GRPE-000029",5,IF(F1675="ATOS-000222",5,8))))))))</f>
        <v>5</v>
      </c>
      <c r="AE1675" s="2">
        <f t="shared" ref="AE1675" ca="1" si="398">IF(U1675=$AE$1,"",U1675-$AE$1)</f>
        <v>-14.154662847220607</v>
      </c>
      <c r="AF1675" s="15"/>
    </row>
    <row r="1676" spans="1:32" hidden="1">
      <c r="A1676" s="1">
        <v>9481457</v>
      </c>
      <c r="B1676" s="1" t="s">
        <v>1153</v>
      </c>
      <c r="C1676" t="s">
        <v>3001</v>
      </c>
      <c r="D1676" s="2">
        <v>20234844000457</v>
      </c>
      <c r="E1676" s="2">
        <v>7419143322500</v>
      </c>
      <c r="F1676" s="1" t="s">
        <v>1222</v>
      </c>
      <c r="G1676" s="1" t="s">
        <v>53</v>
      </c>
      <c r="H1676" s="1" t="s">
        <v>3002</v>
      </c>
      <c r="I1676" s="1" t="s">
        <v>3003</v>
      </c>
      <c r="J1676" s="1" t="s">
        <v>46</v>
      </c>
      <c r="K1676" t="s">
        <v>1223</v>
      </c>
      <c r="M1676" s="1" t="s">
        <v>58</v>
      </c>
      <c r="N1676" s="1">
        <v>0</v>
      </c>
      <c r="O1676" s="1" t="s">
        <v>105</v>
      </c>
      <c r="P1676" s="186">
        <v>44971.471018518518</v>
      </c>
      <c r="R1676" s="1">
        <v>13</v>
      </c>
      <c r="T1676" s="1" t="s">
        <v>238</v>
      </c>
      <c r="U1676" s="186">
        <v>44971.471018518518</v>
      </c>
      <c r="V1676" s="1" t="s">
        <v>41</v>
      </c>
      <c r="W1676" s="1" t="s">
        <v>49</v>
      </c>
      <c r="Z1676" s="14">
        <v>1</v>
      </c>
    </row>
    <row r="1677" spans="1:32" hidden="1">
      <c r="A1677" s="1">
        <v>9481422</v>
      </c>
      <c r="B1677" s="1" t="s">
        <v>1153</v>
      </c>
      <c r="C1677" t="s">
        <v>3004</v>
      </c>
      <c r="D1677" s="2">
        <v>230028843</v>
      </c>
      <c r="E1677" s="2">
        <v>3699001400030</v>
      </c>
      <c r="F1677" s="1" t="s">
        <v>647</v>
      </c>
      <c r="G1677" s="1" t="s">
        <v>53</v>
      </c>
      <c r="H1677" s="1" t="s">
        <v>343</v>
      </c>
      <c r="I1677" s="1" t="s">
        <v>344</v>
      </c>
      <c r="J1677" s="1" t="s">
        <v>46</v>
      </c>
      <c r="K1677" t="s">
        <v>650</v>
      </c>
      <c r="M1677" s="1" t="s">
        <v>58</v>
      </c>
      <c r="N1677" s="1">
        <v>0</v>
      </c>
      <c r="O1677" s="1" t="s">
        <v>105</v>
      </c>
      <c r="P1677" s="186">
        <v>44971.480613425927</v>
      </c>
      <c r="R1677" s="1">
        <v>4</v>
      </c>
      <c r="T1677" s="1" t="s">
        <v>646</v>
      </c>
      <c r="U1677" s="186">
        <v>44972.501446759263</v>
      </c>
      <c r="V1677" s="1" t="s">
        <v>41</v>
      </c>
      <c r="W1677" s="1" t="s">
        <v>49</v>
      </c>
      <c r="Z1677" s="14">
        <v>1</v>
      </c>
    </row>
    <row r="1678" spans="1:32" hidden="1">
      <c r="A1678" s="1">
        <v>9481394</v>
      </c>
      <c r="B1678" s="1" t="s">
        <v>1153</v>
      </c>
      <c r="C1678" t="s">
        <v>3005</v>
      </c>
      <c r="D1678" s="2">
        <v>20233243000004</v>
      </c>
      <c r="E1678" s="2">
        <v>7419152437113</v>
      </c>
      <c r="F1678" s="1" t="s">
        <v>2744</v>
      </c>
      <c r="G1678" s="1" t="s">
        <v>53</v>
      </c>
      <c r="H1678" s="1" t="s">
        <v>282</v>
      </c>
      <c r="I1678" s="1" t="s">
        <v>283</v>
      </c>
      <c r="J1678" s="1" t="s">
        <v>46</v>
      </c>
      <c r="K1678" t="s">
        <v>2745</v>
      </c>
      <c r="M1678" s="1" t="s">
        <v>58</v>
      </c>
      <c r="N1678" s="1">
        <v>0</v>
      </c>
      <c r="O1678" s="1" t="s">
        <v>105</v>
      </c>
      <c r="P1678" s="186">
        <v>44971.464895833335</v>
      </c>
      <c r="R1678" s="1">
        <v>22</v>
      </c>
      <c r="T1678" s="1" t="s">
        <v>1160</v>
      </c>
      <c r="U1678" s="186">
        <v>44973.673229166663</v>
      </c>
      <c r="V1678" s="1" t="s">
        <v>41</v>
      </c>
      <c r="W1678" s="1" t="s">
        <v>49</v>
      </c>
      <c r="Z1678" s="14">
        <v>1</v>
      </c>
    </row>
    <row r="1679" spans="1:32" hidden="1">
      <c r="A1679" s="1">
        <v>9481389</v>
      </c>
      <c r="B1679" s="1" t="s">
        <v>1153</v>
      </c>
      <c r="C1679" t="s">
        <v>3006</v>
      </c>
      <c r="D1679" s="2">
        <v>20232369000007</v>
      </c>
      <c r="E1679" s="2">
        <v>7417161480604</v>
      </c>
      <c r="F1679" s="1" t="s">
        <v>1979</v>
      </c>
      <c r="G1679" s="1" t="s">
        <v>53</v>
      </c>
      <c r="H1679" s="1" t="s">
        <v>2809</v>
      </c>
      <c r="I1679" s="1" t="s">
        <v>2810</v>
      </c>
      <c r="J1679" s="1" t="s">
        <v>141</v>
      </c>
      <c r="K1679" t="s">
        <v>1982</v>
      </c>
      <c r="M1679" s="1" t="s">
        <v>58</v>
      </c>
      <c r="N1679" s="1">
        <v>0</v>
      </c>
      <c r="O1679" s="1" t="s">
        <v>36</v>
      </c>
      <c r="P1679" s="186">
        <v>44971.46603009259</v>
      </c>
      <c r="R1679" s="1">
        <v>14</v>
      </c>
      <c r="T1679" s="1" t="s">
        <v>238</v>
      </c>
      <c r="U1679" s="186">
        <v>44971.46603009259</v>
      </c>
      <c r="V1679" s="1" t="s">
        <v>41</v>
      </c>
      <c r="W1679" s="1" t="s">
        <v>49</v>
      </c>
      <c r="Z1679" s="14">
        <v>1</v>
      </c>
    </row>
    <row r="1680" spans="1:32" hidden="1">
      <c r="A1680" s="1">
        <v>9481327</v>
      </c>
      <c r="B1680" s="1" t="s">
        <v>1153</v>
      </c>
      <c r="C1680" t="s">
        <v>3007</v>
      </c>
      <c r="D1680" s="2">
        <v>20234844000456</v>
      </c>
      <c r="E1680" s="2">
        <v>7417193050611</v>
      </c>
      <c r="F1680" s="1" t="s">
        <v>1719</v>
      </c>
      <c r="G1680" s="1" t="s">
        <v>53</v>
      </c>
      <c r="H1680" s="1" t="s">
        <v>343</v>
      </c>
      <c r="I1680" s="1" t="s">
        <v>344</v>
      </c>
      <c r="J1680" s="1" t="s">
        <v>46</v>
      </c>
      <c r="K1680" t="s">
        <v>1720</v>
      </c>
      <c r="M1680" s="1" t="s">
        <v>58</v>
      </c>
      <c r="N1680" s="1">
        <v>0</v>
      </c>
      <c r="O1680" s="1" t="s">
        <v>105</v>
      </c>
      <c r="P1680" s="186">
        <v>44971.452789351853</v>
      </c>
      <c r="R1680" s="1">
        <v>22</v>
      </c>
      <c r="T1680" s="1" t="s">
        <v>1160</v>
      </c>
      <c r="U1680" s="186">
        <v>44973.661122685182</v>
      </c>
      <c r="V1680" s="1" t="s">
        <v>41</v>
      </c>
      <c r="W1680" s="1" t="s">
        <v>49</v>
      </c>
      <c r="Z1680" s="14">
        <v>1</v>
      </c>
    </row>
    <row r="1681" spans="1:32" hidden="1">
      <c r="A1681" s="1">
        <v>9481291</v>
      </c>
      <c r="B1681" s="1" t="s">
        <v>1153</v>
      </c>
      <c r="C1681" t="s">
        <v>3008</v>
      </c>
      <c r="D1681" s="2">
        <v>20231710000009</v>
      </c>
      <c r="E1681" s="2">
        <v>7417202020777</v>
      </c>
      <c r="F1681" s="1" t="s">
        <v>1213</v>
      </c>
      <c r="G1681" s="1" t="s">
        <v>53</v>
      </c>
      <c r="H1681" s="1" t="s">
        <v>2343</v>
      </c>
      <c r="I1681" s="1" t="s">
        <v>2344</v>
      </c>
      <c r="J1681" s="1" t="s">
        <v>261</v>
      </c>
      <c r="K1681" t="s">
        <v>1214</v>
      </c>
      <c r="M1681" s="1" t="s">
        <v>58</v>
      </c>
      <c r="N1681" s="1">
        <v>0</v>
      </c>
      <c r="O1681" s="1" t="s">
        <v>105</v>
      </c>
      <c r="P1681" s="186">
        <v>44971.448541666665</v>
      </c>
      <c r="R1681" s="1">
        <v>14</v>
      </c>
      <c r="T1681" s="1" t="s">
        <v>238</v>
      </c>
      <c r="U1681" s="186">
        <v>44971.448541666665</v>
      </c>
      <c r="V1681" s="1" t="s">
        <v>41</v>
      </c>
      <c r="W1681" s="1" t="s">
        <v>49</v>
      </c>
      <c r="Z1681" s="14">
        <v>1</v>
      </c>
    </row>
    <row r="1682" spans="1:32" hidden="1">
      <c r="A1682" s="1">
        <v>9481183</v>
      </c>
      <c r="B1682" s="1" t="s">
        <v>1153</v>
      </c>
      <c r="C1682" t="s">
        <v>3009</v>
      </c>
      <c r="D1682" s="2">
        <v>20231739000004</v>
      </c>
      <c r="E1682" s="2">
        <v>7417161480638</v>
      </c>
      <c r="F1682" s="1" t="s">
        <v>1979</v>
      </c>
      <c r="G1682" s="1" t="s">
        <v>53</v>
      </c>
      <c r="H1682" s="1" t="s">
        <v>2891</v>
      </c>
      <c r="I1682" s="1" t="s">
        <v>2892</v>
      </c>
      <c r="J1682" s="1" t="s">
        <v>164</v>
      </c>
      <c r="K1682" t="s">
        <v>1982</v>
      </c>
      <c r="M1682" s="1" t="s">
        <v>58</v>
      </c>
      <c r="N1682" s="1">
        <v>0</v>
      </c>
      <c r="O1682" s="1" t="s">
        <v>105</v>
      </c>
      <c r="P1682" s="186">
        <v>44971.44327546296</v>
      </c>
      <c r="R1682" s="1">
        <v>14</v>
      </c>
      <c r="T1682" s="1" t="s">
        <v>238</v>
      </c>
      <c r="U1682" s="186">
        <v>44971.44327546296</v>
      </c>
      <c r="V1682" s="1" t="s">
        <v>41</v>
      </c>
      <c r="W1682" s="1" t="s">
        <v>49</v>
      </c>
      <c r="Z1682" s="14">
        <v>1</v>
      </c>
    </row>
    <row r="1683" spans="1:32" hidden="1">
      <c r="A1683" s="1">
        <v>9481147</v>
      </c>
      <c r="B1683" s="1" t="s">
        <v>1153</v>
      </c>
      <c r="C1683" t="s">
        <v>3010</v>
      </c>
      <c r="D1683" s="2">
        <v>20232678000016</v>
      </c>
      <c r="E1683" s="2">
        <v>7417163281860</v>
      </c>
      <c r="F1683" s="1" t="s">
        <v>131</v>
      </c>
      <c r="G1683" s="1" t="s">
        <v>53</v>
      </c>
      <c r="H1683" s="1" t="s">
        <v>2814</v>
      </c>
      <c r="I1683" s="1" t="s">
        <v>2815</v>
      </c>
      <c r="J1683" s="1" t="s">
        <v>33</v>
      </c>
      <c r="K1683" t="s">
        <v>132</v>
      </c>
      <c r="M1683" s="1" t="s">
        <v>58</v>
      </c>
      <c r="N1683" s="1">
        <v>0</v>
      </c>
      <c r="O1683" s="1" t="s">
        <v>105</v>
      </c>
      <c r="P1683" s="186">
        <v>44971.435636574075</v>
      </c>
      <c r="R1683" s="1">
        <v>15</v>
      </c>
      <c r="T1683" s="1" t="s">
        <v>238</v>
      </c>
      <c r="U1683" s="186">
        <v>44971.435636574075</v>
      </c>
      <c r="V1683" s="1" t="s">
        <v>41</v>
      </c>
      <c r="W1683" s="1" t="s">
        <v>42</v>
      </c>
      <c r="Z1683" s="14">
        <v>1</v>
      </c>
    </row>
    <row r="1684" spans="1:32" hidden="1">
      <c r="A1684" s="1">
        <v>9481146</v>
      </c>
      <c r="B1684" s="1" t="s">
        <v>1153</v>
      </c>
      <c r="C1684" t="s">
        <v>3011</v>
      </c>
      <c r="D1684" s="2">
        <v>20232678000015</v>
      </c>
      <c r="E1684" s="2">
        <v>7417163282981</v>
      </c>
      <c r="F1684" s="1" t="s">
        <v>131</v>
      </c>
      <c r="G1684" s="1" t="s">
        <v>53</v>
      </c>
      <c r="H1684" s="1" t="s">
        <v>2814</v>
      </c>
      <c r="I1684" s="1" t="s">
        <v>2815</v>
      </c>
      <c r="J1684" s="1" t="s">
        <v>33</v>
      </c>
      <c r="K1684" t="s">
        <v>132</v>
      </c>
      <c r="M1684" s="1" t="s">
        <v>58</v>
      </c>
      <c r="N1684" s="1">
        <v>0</v>
      </c>
      <c r="O1684" s="1" t="s">
        <v>105</v>
      </c>
      <c r="P1684" s="186">
        <v>44971.435590277775</v>
      </c>
      <c r="R1684" s="1">
        <v>15</v>
      </c>
      <c r="T1684" s="1" t="s">
        <v>238</v>
      </c>
      <c r="U1684" s="186">
        <v>44971.435590277775</v>
      </c>
      <c r="V1684" s="1" t="s">
        <v>41</v>
      </c>
      <c r="W1684" s="1" t="s">
        <v>42</v>
      </c>
      <c r="Z1684" s="14">
        <v>1</v>
      </c>
    </row>
    <row r="1685" spans="1:32">
      <c r="A1685" s="1">
        <v>9481112</v>
      </c>
      <c r="B1685" s="1" t="s">
        <v>1153</v>
      </c>
      <c r="C1685" t="s">
        <v>3012</v>
      </c>
      <c r="D1685" s="2">
        <v>20230870000027</v>
      </c>
      <c r="E1685" s="2">
        <v>7417161483328</v>
      </c>
      <c r="F1685" s="1" t="s">
        <v>1217</v>
      </c>
      <c r="G1685" s="1" t="s">
        <v>53</v>
      </c>
      <c r="H1685" s="1" t="s">
        <v>519</v>
      </c>
      <c r="I1685" s="1" t="s">
        <v>520</v>
      </c>
      <c r="J1685" s="25" t="s">
        <v>90</v>
      </c>
      <c r="K1685" t="s">
        <v>1218</v>
      </c>
      <c r="M1685" s="1" t="s">
        <v>58</v>
      </c>
      <c r="N1685" s="1">
        <v>0</v>
      </c>
      <c r="O1685" s="1" t="s">
        <v>105</v>
      </c>
      <c r="P1685" s="186">
        <v>44971.436342592591</v>
      </c>
      <c r="R1685" s="1">
        <v>14</v>
      </c>
      <c r="T1685" s="1" t="s">
        <v>238</v>
      </c>
      <c r="U1685" s="186">
        <v>44971.436342592591</v>
      </c>
      <c r="V1685" s="1" t="s">
        <v>41</v>
      </c>
      <c r="W1685" s="1" t="s">
        <v>49</v>
      </c>
      <c r="X1685" s="13" t="str">
        <f t="shared" ref="X1685" si="399">IF(RIGHT(H1685,2)&lt;&gt;"00",H1685,"")</f>
        <v>0870.91</v>
      </c>
      <c r="Y1685" s="2">
        <f t="shared" ref="Y1685" ca="1" si="400">NETWORKDAYS(P1685,$Y$1)</f>
        <v>12</v>
      </c>
      <c r="Z1685" s="14">
        <v>1</v>
      </c>
      <c r="AA1685" s="1" t="str">
        <f t="shared" ref="AA1685" ca="1" si="401">IF(AE1685=0,"HOJE",IF(AE1685&gt;0,"A VENCER",IF(AE1685&lt;0,"VENCIDO")))</f>
        <v>VENCIDO</v>
      </c>
      <c r="AB1685" s="1" t="str">
        <f t="shared" ref="AB1685" si="402">IF(F1685="GRPE-000001","C-14",IF(F1685="GRPE-000002","C-14",IF(F1685="GRPE-000003","C-14",IF(F1685="GRPE-000004","SL-On",IF(F1685="GRPE-000038","C-14",IF(F1685="GRPE-900022","Dosa",IF(F1685="GRPE-000029","Dosa",IF(F1685="ATOS-000222","Dose","TAAe+"))))))))</f>
        <v>TAAe+</v>
      </c>
      <c r="AC1685" s="2" t="str">
        <f t="shared" ref="AC1685" si="403">IF(J1685="TR-PETROLINA"," ROSEMERE ",IF(J1685="TR-GARANHUNS"," ROSEMERE ",IF(J1685="TR-CARUARU"," ROSEMERE ",IF(J1685="TR-RIBEIRAO"," CRISTINA ",IF(J1685="TR-GRAVATA"," CRISTINA ",IF(J1685="TR-GOIANA"," CRISTINA ",IF(J1685="TR-LIMOEIRO"," CRISTINA ",IF(J1685="TR-SERRA TALHADA"," RINALDO ",IF(J1685="TR-SALGUEIRO"," RINALDO ",IF(J1685="TR-CARNAIBA"," RINALDO ",IF(J1685="TR-ARCOVERDE"," RINALDO ",IF(J1685="CAT-RECIFE"," CLEITON ",))))))))))))</f>
        <v xml:space="preserve"> RINALDO </v>
      </c>
      <c r="AD1685" s="2">
        <f t="shared" ref="AD1685" si="404">IF(F1685="GRPE-000001",5,IF(F1685="GRPE-000002",5,IF(F1685="GRPE-000003",15,IF(F1685="GRPE-000004",1,IF(F1685="GRPE-000038",5,IF(F1685="GRPE-900022",5,IF(F1685="GRPE-000029",5,IF(F1685="ATOS-000222",5,8))))))))</f>
        <v>8</v>
      </c>
      <c r="AE1685" s="2">
        <f t="shared" ref="AE1685" ca="1" si="405">IF(U1685=$AE$1,"",U1685-$AE$1)</f>
        <v>-15.239929050927458</v>
      </c>
      <c r="AF1685" s="15"/>
    </row>
    <row r="1686" spans="1:32" hidden="1">
      <c r="A1686" s="1">
        <v>9481015</v>
      </c>
      <c r="B1686" s="1" t="s">
        <v>1153</v>
      </c>
      <c r="C1686" t="s">
        <v>3013</v>
      </c>
      <c r="D1686" s="2">
        <v>230028753</v>
      </c>
      <c r="E1686" s="2">
        <v>233001400020</v>
      </c>
      <c r="F1686" s="1" t="s">
        <v>1961</v>
      </c>
      <c r="G1686" s="1" t="s">
        <v>53</v>
      </c>
      <c r="H1686" s="1" t="s">
        <v>424</v>
      </c>
      <c r="I1686" s="1" t="s">
        <v>425</v>
      </c>
      <c r="J1686" s="1" t="s">
        <v>261</v>
      </c>
      <c r="K1686" t="s">
        <v>1962</v>
      </c>
      <c r="M1686" s="1" t="s">
        <v>58</v>
      </c>
      <c r="N1686" s="1">
        <v>0</v>
      </c>
      <c r="O1686" s="1" t="s">
        <v>105</v>
      </c>
      <c r="P1686" s="186">
        <v>44971.432870370372</v>
      </c>
      <c r="R1686" s="1">
        <v>4</v>
      </c>
      <c r="T1686" s="1" t="s">
        <v>646</v>
      </c>
      <c r="U1686" s="186">
        <v>44972.453703703701</v>
      </c>
      <c r="V1686" s="1" t="s">
        <v>41</v>
      </c>
      <c r="W1686" s="1" t="s">
        <v>49</v>
      </c>
      <c r="Z1686" s="14">
        <v>1</v>
      </c>
    </row>
    <row r="1687" spans="1:32" hidden="1">
      <c r="A1687" s="1">
        <v>9480902</v>
      </c>
      <c r="B1687" s="1" t="s">
        <v>1153</v>
      </c>
      <c r="C1687" t="s">
        <v>3014</v>
      </c>
      <c r="D1687" s="2">
        <v>20234844000454</v>
      </c>
      <c r="E1687" s="2">
        <v>7417163281988</v>
      </c>
      <c r="F1687" s="1" t="s">
        <v>131</v>
      </c>
      <c r="G1687" s="1" t="s">
        <v>53</v>
      </c>
      <c r="H1687" s="1" t="s">
        <v>2444</v>
      </c>
      <c r="I1687" s="1" t="s">
        <v>2445</v>
      </c>
      <c r="J1687" s="1" t="s">
        <v>46</v>
      </c>
      <c r="K1687" t="s">
        <v>132</v>
      </c>
      <c r="M1687" s="1" t="s">
        <v>58</v>
      </c>
      <c r="N1687" s="1">
        <v>0</v>
      </c>
      <c r="O1687" s="1" t="s">
        <v>105</v>
      </c>
      <c r="P1687" s="186">
        <v>44971.395092592589</v>
      </c>
      <c r="R1687" s="1">
        <v>13</v>
      </c>
      <c r="T1687" s="1" t="s">
        <v>238</v>
      </c>
      <c r="U1687" s="186">
        <v>44971.395833333336</v>
      </c>
      <c r="V1687" s="1" t="s">
        <v>41</v>
      </c>
      <c r="W1687" s="1" t="s">
        <v>49</v>
      </c>
      <c r="Z1687" s="14">
        <v>1</v>
      </c>
    </row>
    <row r="1688" spans="1:32" hidden="1">
      <c r="A1688" s="1">
        <v>9480789</v>
      </c>
      <c r="B1688" s="1" t="s">
        <v>1153</v>
      </c>
      <c r="C1688" t="s">
        <v>3015</v>
      </c>
      <c r="E1688" s="2">
        <v>711000206001</v>
      </c>
      <c r="F1688" s="1" t="s">
        <v>29</v>
      </c>
      <c r="G1688" s="1" t="s">
        <v>53</v>
      </c>
      <c r="H1688" s="1" t="s">
        <v>77</v>
      </c>
      <c r="I1688" s="1" t="s">
        <v>78</v>
      </c>
      <c r="J1688" s="25" t="s">
        <v>79</v>
      </c>
      <c r="K1688" t="s">
        <v>34</v>
      </c>
      <c r="M1688" s="1" t="s">
        <v>35</v>
      </c>
      <c r="N1688" s="1">
        <v>42318949</v>
      </c>
      <c r="O1688" s="1" t="s">
        <v>105</v>
      </c>
      <c r="P1688" s="186">
        <v>44971.396192129629</v>
      </c>
      <c r="R1688" s="1" t="s">
        <v>38</v>
      </c>
      <c r="T1688" s="1" t="s">
        <v>74</v>
      </c>
      <c r="U1688" s="186">
        <v>44972.396192129629</v>
      </c>
      <c r="V1688" s="1" t="s">
        <v>41</v>
      </c>
      <c r="W1688" s="1" t="s">
        <v>49</v>
      </c>
      <c r="Z1688" s="14">
        <v>1</v>
      </c>
    </row>
    <row r="1689" spans="1:32" hidden="1">
      <c r="A1689" s="1">
        <v>9480751</v>
      </c>
      <c r="B1689" s="1" t="s">
        <v>1153</v>
      </c>
      <c r="C1689" t="s">
        <v>3016</v>
      </c>
      <c r="D1689" s="2">
        <v>20238074000007</v>
      </c>
      <c r="E1689" s="2">
        <v>7419141891762</v>
      </c>
      <c r="F1689" s="1" t="s">
        <v>128</v>
      </c>
      <c r="G1689" s="1" t="s">
        <v>53</v>
      </c>
      <c r="H1689" s="1" t="s">
        <v>2866</v>
      </c>
      <c r="I1689" s="1" t="s">
        <v>2867</v>
      </c>
      <c r="J1689" s="1" t="s">
        <v>33</v>
      </c>
      <c r="K1689" t="s">
        <v>129</v>
      </c>
      <c r="M1689" s="1" t="s">
        <v>58</v>
      </c>
      <c r="N1689" s="1">
        <v>0</v>
      </c>
      <c r="O1689" s="1" t="s">
        <v>105</v>
      </c>
      <c r="P1689" s="186">
        <v>44971.371527777781</v>
      </c>
      <c r="R1689" s="1">
        <v>14</v>
      </c>
      <c r="T1689" s="1" t="s">
        <v>238</v>
      </c>
      <c r="U1689" s="186">
        <v>44971.395833333336</v>
      </c>
      <c r="V1689" s="1" t="s">
        <v>41</v>
      </c>
      <c r="W1689" s="1" t="s">
        <v>49</v>
      </c>
      <c r="Z1689" s="14">
        <v>1</v>
      </c>
    </row>
    <row r="1690" spans="1:32" hidden="1">
      <c r="A1690" s="1">
        <v>9480717</v>
      </c>
      <c r="B1690" s="1" t="s">
        <v>1153</v>
      </c>
      <c r="C1690" t="s">
        <v>3017</v>
      </c>
      <c r="E1690" s="2">
        <v>2625000206001</v>
      </c>
      <c r="F1690" s="1" t="s">
        <v>29</v>
      </c>
      <c r="G1690" s="1" t="s">
        <v>53</v>
      </c>
      <c r="H1690" s="1" t="s">
        <v>317</v>
      </c>
      <c r="I1690" s="1" t="s">
        <v>318</v>
      </c>
      <c r="J1690" s="1" t="s">
        <v>164</v>
      </c>
      <c r="K1690" t="s">
        <v>34</v>
      </c>
      <c r="M1690" s="1" t="s">
        <v>35</v>
      </c>
      <c r="N1690" s="1">
        <v>42318949</v>
      </c>
      <c r="O1690" s="1" t="s">
        <v>36</v>
      </c>
      <c r="P1690" s="186">
        <v>44971.385763888888</v>
      </c>
      <c r="R1690" s="1" t="s">
        <v>38</v>
      </c>
      <c r="T1690" s="1" t="s">
        <v>74</v>
      </c>
      <c r="U1690" s="186">
        <v>44972.385763888888</v>
      </c>
      <c r="V1690" s="1" t="s">
        <v>41</v>
      </c>
      <c r="W1690" s="1" t="s">
        <v>49</v>
      </c>
      <c r="Z1690" s="14">
        <v>1</v>
      </c>
    </row>
    <row r="1691" spans="1:32">
      <c r="A1691" s="181">
        <v>9480578</v>
      </c>
      <c r="B1691" s="181" t="s">
        <v>1153</v>
      </c>
      <c r="C1691" s="182" t="s">
        <v>3018</v>
      </c>
      <c r="D1691" s="183"/>
      <c r="E1691" s="183">
        <v>1108000206001</v>
      </c>
      <c r="F1691" s="181" t="s">
        <v>29</v>
      </c>
      <c r="G1691" s="181" t="s">
        <v>53</v>
      </c>
      <c r="H1691" s="181" t="s">
        <v>295</v>
      </c>
      <c r="I1691" s="181" t="s">
        <v>296</v>
      </c>
      <c r="J1691" s="181" t="s">
        <v>90</v>
      </c>
      <c r="K1691" t="s">
        <v>34</v>
      </c>
      <c r="M1691" s="1" t="s">
        <v>35</v>
      </c>
      <c r="N1691" s="1">
        <v>42318949</v>
      </c>
      <c r="O1691" s="1" t="s">
        <v>36</v>
      </c>
      <c r="P1691" s="11" t="s">
        <v>3019</v>
      </c>
      <c r="R1691" s="1" t="s">
        <v>38</v>
      </c>
      <c r="T1691" s="1" t="s">
        <v>74</v>
      </c>
      <c r="U1691" s="11" t="s">
        <v>2516</v>
      </c>
      <c r="V1691" s="1" t="s">
        <v>41</v>
      </c>
      <c r="W1691" s="1" t="s">
        <v>49</v>
      </c>
      <c r="X1691" s="13" t="str">
        <f t="shared" ref="X1691" si="406">IF(RIGHT(H1691,2)&lt;&gt;"00",H1691,"")</f>
        <v/>
      </c>
      <c r="Y1691" s="2">
        <f t="shared" ref="Y1691" ca="1" si="407">NETWORKDAYS(P1691,$Y$1)</f>
        <v>12</v>
      </c>
      <c r="Z1691" s="14">
        <v>1</v>
      </c>
      <c r="AA1691" s="1" t="str">
        <f t="shared" ref="AA1691" ca="1" si="408">IF(AE1691=0,"HOJE",IF(AE1691&gt;0,"A VENCER",IF(AE1691&lt;0,"VENCIDO")))</f>
        <v>VENCIDO</v>
      </c>
      <c r="AB1691" s="1" t="str">
        <f t="shared" ref="AB1691" si="409">IF(F1691="GRPE-000001","C-14",IF(F1691="GRPE-000002","C-14",IF(F1691="GRPE-000003","C-14",IF(F1691="GRPE-000004","SL-On",IF(F1691="GRPE-000038","C-14",IF(F1691="GRPE-900022","Dosa",IF(F1691="GRPE-000029","Dosa",IF(F1691="ATOS-000222","Dose","TAAe+"))))))))</f>
        <v>Dosa</v>
      </c>
      <c r="AC1691" s="2" t="str">
        <f t="shared" ref="AC1691" si="410">IF(J1691="TR-PETROLINA"," ROSEMERE ",IF(J1691="TR-GARANHUNS"," ROSEMERE ",IF(J1691="TR-CARUARU"," ROSEMERE ",IF(J1691="TR-RIBEIRAO"," CRISTINA ",IF(J1691="TR-GRAVATA"," CRISTINA ",IF(J1691="TR-GOIANA"," CRISTINA ",IF(J1691="TR-LIMOEIRO"," CRISTINA ",IF(J1691="TR-SERRA TALHADA"," RINALDO ",IF(J1691="TR-SALGUEIRO"," RINALDO ",IF(J1691="TR-CARNAIBA"," RINALDO ",IF(J1691="TR-ARCOVERDE"," RINALDO ",IF(J1691="CAT-RECIFE"," CLEITON ",))))))))))))</f>
        <v xml:space="preserve"> RINALDO </v>
      </c>
      <c r="AD1691" s="2">
        <f t="shared" ref="AD1691" si="411">IF(F1691="GRPE-000001",5,IF(F1691="GRPE-000002",5,IF(F1691="GRPE-000003",15,IF(F1691="GRPE-000004",1,IF(F1691="GRPE-000038",5,IF(F1691="GRPE-900022",5,IF(F1691="GRPE-000029",5,IF(F1691="ATOS-000222",5,8))))))))</f>
        <v>5</v>
      </c>
      <c r="AE1691" s="2">
        <f t="shared" ref="AE1691" ca="1" si="412">IF(U1691=$AE$1,"",U1691-$AE$1)</f>
        <v>-6.9679383101829444</v>
      </c>
      <c r="AF1691" s="15"/>
    </row>
    <row r="1692" spans="1:32" hidden="1">
      <c r="A1692" s="1">
        <v>9480543</v>
      </c>
      <c r="B1692" s="1" t="s">
        <v>1153</v>
      </c>
      <c r="C1692" t="s">
        <v>3020</v>
      </c>
      <c r="E1692" s="2">
        <v>2219000206001</v>
      </c>
      <c r="F1692" s="1" t="s">
        <v>29</v>
      </c>
      <c r="G1692" s="1" t="s">
        <v>53</v>
      </c>
      <c r="H1692" s="1" t="s">
        <v>893</v>
      </c>
      <c r="I1692" s="1" t="s">
        <v>894</v>
      </c>
      <c r="J1692" s="1" t="s">
        <v>141</v>
      </c>
      <c r="K1692" t="s">
        <v>34</v>
      </c>
      <c r="M1692" s="1" t="s">
        <v>35</v>
      </c>
      <c r="N1692" s="1">
        <v>42318949</v>
      </c>
      <c r="O1692" s="1" t="s">
        <v>36</v>
      </c>
      <c r="P1692" s="11" t="s">
        <v>3021</v>
      </c>
      <c r="R1692" s="1" t="s">
        <v>38</v>
      </c>
      <c r="T1692" s="1" t="s">
        <v>74</v>
      </c>
      <c r="U1692" s="11" t="s">
        <v>2023</v>
      </c>
      <c r="V1692" s="1" t="s">
        <v>41</v>
      </c>
      <c r="W1692" s="1" t="s">
        <v>49</v>
      </c>
      <c r="Z1692" s="14">
        <v>1</v>
      </c>
    </row>
    <row r="1693" spans="1:32" hidden="1">
      <c r="A1693" s="1">
        <v>9480465</v>
      </c>
      <c r="B1693" s="1" t="s">
        <v>1153</v>
      </c>
      <c r="C1693" t="s">
        <v>3022</v>
      </c>
      <c r="D1693" s="2">
        <v>20234804001636</v>
      </c>
      <c r="E1693" s="2">
        <v>7417183022673</v>
      </c>
      <c r="F1693" s="1" t="s">
        <v>1313</v>
      </c>
      <c r="G1693" s="1" t="s">
        <v>53</v>
      </c>
      <c r="H1693" s="1" t="s">
        <v>2941</v>
      </c>
      <c r="I1693" s="1" t="s">
        <v>2942</v>
      </c>
      <c r="J1693" s="1" t="s">
        <v>46</v>
      </c>
      <c r="K1693" t="s">
        <v>1316</v>
      </c>
      <c r="M1693" s="1" t="s">
        <v>58</v>
      </c>
      <c r="N1693" s="1">
        <v>0</v>
      </c>
      <c r="O1693" s="1" t="s">
        <v>105</v>
      </c>
      <c r="P1693" s="11" t="s">
        <v>3023</v>
      </c>
      <c r="R1693" s="1">
        <v>13</v>
      </c>
      <c r="S1693" s="1">
        <v>4804</v>
      </c>
      <c r="T1693" s="1" t="s">
        <v>238</v>
      </c>
      <c r="U1693" s="11" t="s">
        <v>2836</v>
      </c>
      <c r="V1693" s="1" t="s">
        <v>41</v>
      </c>
      <c r="W1693" s="1" t="s">
        <v>49</v>
      </c>
      <c r="Z1693" s="14">
        <v>1</v>
      </c>
    </row>
    <row r="1694" spans="1:32">
      <c r="A1694" s="1">
        <v>9480428</v>
      </c>
      <c r="B1694" s="1" t="s">
        <v>1153</v>
      </c>
      <c r="C1694" t="s">
        <v>3024</v>
      </c>
      <c r="E1694" s="2">
        <v>870000206001</v>
      </c>
      <c r="F1694" s="1" t="s">
        <v>29</v>
      </c>
      <c r="G1694" s="1" t="s">
        <v>53</v>
      </c>
      <c r="H1694" s="1" t="s">
        <v>183</v>
      </c>
      <c r="I1694" s="1" t="s">
        <v>184</v>
      </c>
      <c r="J1694" s="1" t="s">
        <v>90</v>
      </c>
      <c r="K1694" t="s">
        <v>34</v>
      </c>
      <c r="M1694" s="1" t="s">
        <v>35</v>
      </c>
      <c r="N1694" s="1">
        <v>42318949</v>
      </c>
      <c r="O1694" s="1" t="s">
        <v>36</v>
      </c>
      <c r="P1694" s="12">
        <v>44971.334351851852</v>
      </c>
      <c r="R1694" s="1" t="s">
        <v>38</v>
      </c>
      <c r="T1694" s="1" t="s">
        <v>74</v>
      </c>
      <c r="U1694" s="12">
        <v>44971.709351851852</v>
      </c>
      <c r="V1694" s="1" t="s">
        <v>41</v>
      </c>
      <c r="W1694" s="1" t="s">
        <v>49</v>
      </c>
      <c r="X1694" s="13" t="str">
        <f t="shared" ref="X1694" si="413">IF(RIGHT(H1694,2)&lt;&gt;"00",H1694,"")</f>
        <v/>
      </c>
      <c r="Y1694" s="2">
        <f t="shared" ref="Y1694" ca="1" si="414">NETWORKDAYS(P1694,$Y$1)</f>
        <v>12</v>
      </c>
      <c r="Z1694" s="14">
        <v>1</v>
      </c>
      <c r="AA1694" s="1" t="str">
        <f t="shared" ref="AA1694" ca="1" si="415">IF(AE1694=0,"HOJE",IF(AE1694&gt;0,"A VENCER",IF(AE1694&lt;0,"VENCIDO")))</f>
        <v>VENCIDO</v>
      </c>
      <c r="AB1694" s="1" t="str">
        <f t="shared" ref="AB1694" si="416">IF(F1694="GRPE-000001","C-14",IF(F1694="GRPE-000002","C-14",IF(F1694="GRPE-000003","C-14",IF(F1694="GRPE-000004","SL-On",IF(F1694="GRPE-000038","C-14",IF(F1694="GRPE-900022","Dosa",IF(F1694="GRPE-000029","Dosa",IF(F1694="ATOS-000222","Dose","TAAe+"))))))))</f>
        <v>Dosa</v>
      </c>
      <c r="AC1694" s="2" t="str">
        <f t="shared" ref="AC1694" si="417">IF(J1694="TR-PETROLINA"," ROSEMERE ",IF(J1694="TR-GARANHUNS"," ROSEMERE ",IF(J1694="TR-CARUARU"," ROSEMERE ",IF(J1694="TR-RIBEIRAO"," CRISTINA ",IF(J1694="TR-GRAVATA"," CRISTINA ",IF(J1694="TR-GOIANA"," CRISTINA ",IF(J1694="TR-LIMOEIRO"," CRISTINA ",IF(J1694="TR-SERRA TALHADA"," RINALDO ",IF(J1694="TR-SALGUEIRO"," RINALDO ",IF(J1694="TR-CARNAIBA"," RINALDO ",IF(J1694="TR-ARCOVERDE"," RINALDO ",IF(J1694="CAT-RECIFE"," CLEITON ",))))))))))))</f>
        <v xml:space="preserve"> RINALDO </v>
      </c>
      <c r="AD1694" s="2">
        <f t="shared" ref="AD1694" si="418">IF(F1694="GRPE-000001",5,IF(F1694="GRPE-000002",5,IF(F1694="GRPE-000003",15,IF(F1694="GRPE-000004",1,IF(F1694="GRPE-000038",5,IF(F1694="GRPE-900022",5,IF(F1694="GRPE-000029",5,IF(F1694="ATOS-000222",5,8))))))))</f>
        <v>5</v>
      </c>
      <c r="AE1694" s="2">
        <f t="shared" ref="AE1694" ca="1" si="419">IF(U1694=$AE$1,"",U1694-$AE$1)</f>
        <v>-14.966919791666442</v>
      </c>
      <c r="AF1694" s="15"/>
    </row>
    <row r="1695" spans="1:32" hidden="1">
      <c r="A1695" s="1">
        <v>9480417</v>
      </c>
      <c r="B1695" s="1" t="s">
        <v>1153</v>
      </c>
      <c r="C1695" t="s">
        <v>3025</v>
      </c>
      <c r="E1695" s="2">
        <v>1833000206001</v>
      </c>
      <c r="F1695" s="1" t="s">
        <v>29</v>
      </c>
      <c r="G1695" s="1" t="s">
        <v>53</v>
      </c>
      <c r="H1695" s="1" t="s">
        <v>369</v>
      </c>
      <c r="I1695" s="1" t="s">
        <v>370</v>
      </c>
      <c r="J1695" s="1" t="s">
        <v>46</v>
      </c>
      <c r="K1695" t="s">
        <v>34</v>
      </c>
      <c r="M1695" s="1" t="s">
        <v>35</v>
      </c>
      <c r="N1695" s="1">
        <v>42318949</v>
      </c>
      <c r="O1695" s="1" t="s">
        <v>36</v>
      </c>
      <c r="P1695" s="186">
        <v>44971.333958333336</v>
      </c>
      <c r="R1695" s="1" t="s">
        <v>38</v>
      </c>
      <c r="T1695" s="1" t="s">
        <v>74</v>
      </c>
      <c r="U1695" s="186">
        <v>44971.708958333336</v>
      </c>
      <c r="V1695" s="1" t="s">
        <v>41</v>
      </c>
      <c r="W1695" s="1" t="s">
        <v>49</v>
      </c>
    </row>
    <row r="1696" spans="1:32" hidden="1">
      <c r="A1696" s="1">
        <v>9480413</v>
      </c>
      <c r="B1696" s="1" t="s">
        <v>1153</v>
      </c>
      <c r="C1696" t="s">
        <v>3026</v>
      </c>
      <c r="E1696" s="2">
        <v>2988000206001</v>
      </c>
      <c r="F1696" s="1" t="s">
        <v>29</v>
      </c>
      <c r="G1696" s="1" t="s">
        <v>53</v>
      </c>
      <c r="H1696" s="1" t="s">
        <v>536</v>
      </c>
      <c r="I1696" s="1" t="s">
        <v>537</v>
      </c>
      <c r="J1696" s="1" t="s">
        <v>46</v>
      </c>
      <c r="K1696" t="s">
        <v>34</v>
      </c>
      <c r="M1696" s="1" t="s">
        <v>35</v>
      </c>
      <c r="N1696" s="1">
        <v>42318949</v>
      </c>
      <c r="O1696" s="1" t="s">
        <v>36</v>
      </c>
      <c r="P1696" s="186">
        <v>44971.333738425928</v>
      </c>
      <c r="R1696" s="1" t="s">
        <v>38</v>
      </c>
      <c r="T1696" s="1" t="s">
        <v>74</v>
      </c>
      <c r="U1696" s="186">
        <v>44979.708333333336</v>
      </c>
      <c r="V1696" s="1" t="s">
        <v>41</v>
      </c>
      <c r="W1696" s="1" t="s">
        <v>49</v>
      </c>
    </row>
  </sheetData>
  <autoFilter ref="A1:Y1696" xr:uid="{00000000-0009-0000-0000-000009000000}">
    <filterColumn colId="9">
      <filters>
        <filter val="TR-ARCOVERDE"/>
        <filter val="TR-CARNAIBA"/>
        <filter val="TR-SALGUEIRO"/>
        <filter val="TR-SERRA TALHADA"/>
      </filters>
    </filterColumn>
  </autoFilter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BD7C3-27FB-4A19-8721-89E734ABC722}">
  <sheetPr filterMode="1"/>
  <dimension ref="A1:AH1651"/>
  <sheetViews>
    <sheetView zoomScale="90" zoomScaleNormal="90" workbookViewId="0">
      <pane xSplit="10" ySplit="1" topLeftCell="K1339" activePane="bottomRight" state="frozen"/>
      <selection pane="bottomRight" activeCell="A1507" sqref="A1507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150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 hidden="1">
      <c r="A2" s="1">
        <v>178166</v>
      </c>
      <c r="B2" s="1" t="s">
        <v>27</v>
      </c>
      <c r="C2" t="s">
        <v>28</v>
      </c>
      <c r="E2" s="2">
        <v>9661000000000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t="s">
        <v>34</v>
      </c>
      <c r="M2" s="1" t="s">
        <v>35</v>
      </c>
      <c r="N2" s="1">
        <v>42318949</v>
      </c>
      <c r="O2" s="1" t="s">
        <v>36</v>
      </c>
      <c r="P2" s="186">
        <v>43502.491805555554</v>
      </c>
      <c r="R2" s="1" t="s">
        <v>38</v>
      </c>
      <c r="T2" s="1" t="s">
        <v>39</v>
      </c>
      <c r="U2" s="186">
        <v>43559.75</v>
      </c>
      <c r="V2" s="1" t="s">
        <v>41</v>
      </c>
      <c r="W2" s="1" t="s">
        <v>42</v>
      </c>
      <c r="X2" s="13"/>
      <c r="Y2" s="2">
        <f t="shared" ref="Y2:Y65" ca="1" si="0">NETWORKDAYS(P2,$Y$1)</f>
        <v>1061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Dosa</v>
      </c>
      <c r="AC2" s="2" t="str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 xml:space="preserve"> ROSEMERE 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5</v>
      </c>
      <c r="AE2" s="2">
        <f t="shared" ref="AE2:AE65" ca="1" si="4">IF(U2=$AE$1,"",U2-$AE$1)</f>
        <v>-1426.9262716435187</v>
      </c>
      <c r="AF2" s="15"/>
      <c r="AH2" s="16"/>
    </row>
    <row r="3" spans="1:34" hidden="1">
      <c r="A3" s="1">
        <v>524537</v>
      </c>
      <c r="B3" s="1" t="s">
        <v>27</v>
      </c>
      <c r="C3" t="s">
        <v>43</v>
      </c>
      <c r="E3" s="2">
        <v>2811000000000</v>
      </c>
      <c r="F3" s="1" t="s">
        <v>29</v>
      </c>
      <c r="G3" s="1" t="s">
        <v>30</v>
      </c>
      <c r="H3" s="1" t="s">
        <v>44</v>
      </c>
      <c r="I3" s="1" t="s">
        <v>45</v>
      </c>
      <c r="J3" s="1" t="s">
        <v>46</v>
      </c>
      <c r="K3" t="s">
        <v>34</v>
      </c>
      <c r="M3" s="1" t="s">
        <v>35</v>
      </c>
      <c r="N3" s="1">
        <v>42318949</v>
      </c>
      <c r="O3" s="1" t="s">
        <v>36</v>
      </c>
      <c r="P3" s="186">
        <v>43735.670127314814</v>
      </c>
      <c r="R3" s="1" t="s">
        <v>38</v>
      </c>
      <c r="T3" s="1" t="s">
        <v>39</v>
      </c>
      <c r="U3" s="186">
        <v>43791.75</v>
      </c>
      <c r="V3" s="1" t="s">
        <v>41</v>
      </c>
      <c r="W3" s="1" t="s">
        <v>49</v>
      </c>
      <c r="X3" s="13"/>
      <c r="Y3" s="2">
        <f t="shared" ca="1" si="0"/>
        <v>894</v>
      </c>
      <c r="Z3" s="14">
        <v>1</v>
      </c>
      <c r="AA3" s="1" t="str">
        <f t="shared" ca="1" si="1"/>
        <v>VENCIDO</v>
      </c>
      <c r="AB3" s="1" t="str">
        <f t="shared" si="2"/>
        <v>Dosa</v>
      </c>
      <c r="AC3" s="2" t="str">
        <f t="shared" ref="AC3:AC66" si="5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 xml:space="preserve"> CLEITON </v>
      </c>
      <c r="AD3" s="2">
        <f t="shared" si="3"/>
        <v>5</v>
      </c>
      <c r="AE3" s="2">
        <f t="shared" ca="1" si="4"/>
        <v>-1194.9262716435187</v>
      </c>
      <c r="AF3" s="15"/>
      <c r="AH3" s="17"/>
    </row>
    <row r="4" spans="1:34" hidden="1">
      <c r="A4" s="1">
        <v>526434</v>
      </c>
      <c r="B4" s="1" t="s">
        <v>50</v>
      </c>
      <c r="C4" t="s">
        <v>51</v>
      </c>
      <c r="E4" s="2">
        <v>7419152172059</v>
      </c>
      <c r="F4" s="1" t="s">
        <v>52</v>
      </c>
      <c r="G4" s="1" t="s">
        <v>53</v>
      </c>
      <c r="H4" s="1" t="s">
        <v>54</v>
      </c>
      <c r="I4" s="1" t="s">
        <v>55</v>
      </c>
      <c r="J4" s="1" t="s">
        <v>56</v>
      </c>
      <c r="K4" t="s">
        <v>57</v>
      </c>
      <c r="M4" s="1" t="s">
        <v>58</v>
      </c>
      <c r="N4" s="1">
        <v>0</v>
      </c>
      <c r="O4" s="1" t="s">
        <v>36</v>
      </c>
      <c r="P4" s="186">
        <v>43738.513159722221</v>
      </c>
      <c r="R4" s="1">
        <v>9</v>
      </c>
      <c r="T4" s="1" t="s">
        <v>60</v>
      </c>
      <c r="U4" s="186">
        <v>43747.999305555553</v>
      </c>
      <c r="V4" s="1" t="s">
        <v>41</v>
      </c>
      <c r="W4" s="1" t="s">
        <v>49</v>
      </c>
      <c r="X4" s="13"/>
      <c r="Y4" s="2">
        <f t="shared" ca="1" si="0"/>
        <v>893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 t="str">
        <f t="shared" si="5"/>
        <v xml:space="preserve"> CRISTINA </v>
      </c>
      <c r="AD4" s="2">
        <f t="shared" si="3"/>
        <v>8</v>
      </c>
      <c r="AE4" s="2">
        <f t="shared" ca="1" si="4"/>
        <v>-1238.6769660879654</v>
      </c>
      <c r="AF4" s="15"/>
      <c r="AH4" s="16"/>
    </row>
    <row r="5" spans="1:34" hidden="1">
      <c r="A5" s="1">
        <v>811950</v>
      </c>
      <c r="B5" s="1" t="s">
        <v>62</v>
      </c>
      <c r="C5" t="s">
        <v>63</v>
      </c>
      <c r="E5" s="2">
        <v>1902016069700</v>
      </c>
      <c r="F5" s="1" t="s">
        <v>64</v>
      </c>
      <c r="G5" s="1" t="s">
        <v>53</v>
      </c>
      <c r="H5" s="1" t="s">
        <v>65</v>
      </c>
      <c r="I5" s="1" t="s">
        <v>66</v>
      </c>
      <c r="J5" s="1" t="s">
        <v>46</v>
      </c>
      <c r="K5" t="s">
        <v>67</v>
      </c>
      <c r="M5" s="1" t="s">
        <v>35</v>
      </c>
      <c r="N5" s="1">
        <v>42318949</v>
      </c>
      <c r="O5" s="1" t="s">
        <v>36</v>
      </c>
      <c r="P5" s="186">
        <v>43948.700069444443</v>
      </c>
      <c r="R5" s="1">
        <v>1</v>
      </c>
      <c r="T5" s="1" t="s">
        <v>69</v>
      </c>
      <c r="V5" s="1" t="s">
        <v>41</v>
      </c>
      <c r="W5" s="1" t="s">
        <v>49</v>
      </c>
      <c r="X5" s="13"/>
      <c r="Y5" s="2">
        <f t="shared" ca="1" si="0"/>
        <v>743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 t="str">
        <f t="shared" si="5"/>
        <v xml:space="preserve"> CLEITON 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 hidden="1">
      <c r="A6" s="1">
        <v>937455</v>
      </c>
      <c r="B6" s="1" t="s">
        <v>27</v>
      </c>
      <c r="C6" t="s">
        <v>70</v>
      </c>
      <c r="E6" s="2">
        <v>4118000206001</v>
      </c>
      <c r="F6" s="1" t="s">
        <v>29</v>
      </c>
      <c r="G6" s="1" t="s">
        <v>53</v>
      </c>
      <c r="H6" s="1" t="s">
        <v>71</v>
      </c>
      <c r="I6" s="1" t="s">
        <v>72</v>
      </c>
      <c r="J6" s="1" t="s">
        <v>46</v>
      </c>
      <c r="K6" t="s">
        <v>34</v>
      </c>
      <c r="M6" s="1" t="s">
        <v>35</v>
      </c>
      <c r="N6" s="1">
        <v>42318949</v>
      </c>
      <c r="O6" s="1" t="s">
        <v>36</v>
      </c>
      <c r="P6" s="186">
        <v>44040.421030092592</v>
      </c>
      <c r="R6" s="1" t="s">
        <v>38</v>
      </c>
      <c r="T6" s="1" t="s">
        <v>74</v>
      </c>
      <c r="U6" s="186">
        <v>44040.75</v>
      </c>
      <c r="V6" s="1" t="s">
        <v>41</v>
      </c>
      <c r="W6" s="1" t="s">
        <v>49</v>
      </c>
      <c r="X6" s="13"/>
      <c r="Y6" s="2">
        <f t="shared" ca="1" si="0"/>
        <v>677</v>
      </c>
      <c r="Z6" s="14">
        <v>1</v>
      </c>
      <c r="AA6" s="1" t="str">
        <f t="shared" ca="1" si="1"/>
        <v>VENCIDO</v>
      </c>
      <c r="AB6" s="1" t="str">
        <f t="shared" si="2"/>
        <v>Dosa</v>
      </c>
      <c r="AC6" s="2" t="str">
        <f t="shared" si="5"/>
        <v xml:space="preserve"> CLEITON </v>
      </c>
      <c r="AD6" s="2">
        <f t="shared" si="3"/>
        <v>5</v>
      </c>
      <c r="AE6" s="2">
        <f t="shared" ca="1" si="4"/>
        <v>-945.9262716435187</v>
      </c>
      <c r="AF6" s="15"/>
      <c r="AH6" s="16"/>
    </row>
    <row r="7" spans="1:34" hidden="1">
      <c r="A7" s="1">
        <v>937269</v>
      </c>
      <c r="B7" s="1" t="s">
        <v>27</v>
      </c>
      <c r="C7" t="s">
        <v>76</v>
      </c>
      <c r="E7" s="2">
        <v>711000206001</v>
      </c>
      <c r="F7" s="1" t="s">
        <v>29</v>
      </c>
      <c r="G7" s="1" t="s">
        <v>53</v>
      </c>
      <c r="H7" s="1" t="s">
        <v>77</v>
      </c>
      <c r="I7" s="1" t="s">
        <v>78</v>
      </c>
      <c r="J7" s="1" t="s">
        <v>79</v>
      </c>
      <c r="K7" t="s">
        <v>34</v>
      </c>
      <c r="M7" s="1" t="s">
        <v>35</v>
      </c>
      <c r="N7" s="1">
        <v>42318949</v>
      </c>
      <c r="O7" s="1" t="s">
        <v>36</v>
      </c>
      <c r="P7" s="186">
        <v>44040.420752314814</v>
      </c>
      <c r="R7" s="1" t="s">
        <v>38</v>
      </c>
      <c r="T7" s="1" t="s">
        <v>74</v>
      </c>
      <c r="U7" s="186">
        <v>44040.75</v>
      </c>
      <c r="V7" s="1" t="s">
        <v>41</v>
      </c>
      <c r="W7" s="1" t="s">
        <v>49</v>
      </c>
      <c r="X7" s="13"/>
      <c r="Y7" s="2">
        <f t="shared" ca="1" si="0"/>
        <v>677</v>
      </c>
      <c r="Z7" s="14">
        <v>1</v>
      </c>
      <c r="AA7" s="1" t="str">
        <f t="shared" ca="1" si="1"/>
        <v>VENCIDO</v>
      </c>
      <c r="AB7" s="1" t="str">
        <f t="shared" si="2"/>
        <v>Dosa</v>
      </c>
      <c r="AC7" s="2" t="str">
        <f t="shared" si="5"/>
        <v xml:space="preserve"> ROSEMERE </v>
      </c>
      <c r="AD7" s="2">
        <f t="shared" si="3"/>
        <v>5</v>
      </c>
      <c r="AE7" s="2">
        <f t="shared" ca="1" si="4"/>
        <v>-945.9262716435187</v>
      </c>
      <c r="AF7" s="15"/>
      <c r="AH7" s="16"/>
    </row>
    <row r="8" spans="1:34">
      <c r="A8" s="1">
        <v>945945</v>
      </c>
      <c r="B8" s="1" t="s">
        <v>81</v>
      </c>
      <c r="C8" t="s">
        <v>82</v>
      </c>
      <c r="E8" s="2">
        <v>917000206001</v>
      </c>
      <c r="F8" s="1" t="s">
        <v>29</v>
      </c>
      <c r="G8" s="1" t="s">
        <v>53</v>
      </c>
      <c r="H8" s="1" t="s">
        <v>83</v>
      </c>
      <c r="I8" s="1" t="s">
        <v>84</v>
      </c>
      <c r="J8" s="1" t="s">
        <v>85</v>
      </c>
      <c r="K8" t="s">
        <v>34</v>
      </c>
      <c r="M8" s="1" t="s">
        <v>35</v>
      </c>
      <c r="N8" s="1">
        <v>42318949</v>
      </c>
      <c r="O8" s="1" t="s">
        <v>36</v>
      </c>
      <c r="P8" s="186">
        <v>44047.485810185186</v>
      </c>
      <c r="R8" s="1" t="s">
        <v>38</v>
      </c>
      <c r="T8" s="1" t="s">
        <v>74</v>
      </c>
      <c r="V8" s="1" t="s">
        <v>41</v>
      </c>
      <c r="W8" s="1" t="s">
        <v>49</v>
      </c>
      <c r="X8" s="13"/>
      <c r="Y8" s="2">
        <f t="shared" ca="1" si="0"/>
        <v>672</v>
      </c>
      <c r="Z8" s="14">
        <v>1</v>
      </c>
      <c r="AA8" s="1" t="str">
        <f t="shared" ca="1" si="1"/>
        <v>VENCIDO</v>
      </c>
      <c r="AB8" s="1" t="str">
        <f t="shared" si="2"/>
        <v>Dosa</v>
      </c>
      <c r="AC8" s="2" t="str">
        <f t="shared" si="5"/>
        <v xml:space="preserve"> RINALDO </v>
      </c>
      <c r="AD8" s="2">
        <f t="shared" si="3"/>
        <v>5</v>
      </c>
      <c r="AE8" s="2">
        <f t="shared" ca="1" si="4"/>
        <v>-44986.676271643519</v>
      </c>
      <c r="AF8" s="15"/>
      <c r="AH8" s="16"/>
    </row>
    <row r="9" spans="1:34">
      <c r="A9" s="1">
        <v>1007606</v>
      </c>
      <c r="B9" s="1" t="s">
        <v>62</v>
      </c>
      <c r="C9" t="s">
        <v>87</v>
      </c>
      <c r="E9" s="2">
        <v>1059000206001</v>
      </c>
      <c r="F9" s="1" t="s">
        <v>29</v>
      </c>
      <c r="G9" s="1" t="s">
        <v>53</v>
      </c>
      <c r="H9" s="1" t="s">
        <v>88</v>
      </c>
      <c r="I9" s="1" t="s">
        <v>89</v>
      </c>
      <c r="J9" s="1" t="s">
        <v>90</v>
      </c>
      <c r="K9" t="s">
        <v>34</v>
      </c>
      <c r="M9" s="1" t="s">
        <v>35</v>
      </c>
      <c r="N9" s="1">
        <v>42318949</v>
      </c>
      <c r="O9" s="1" t="s">
        <v>36</v>
      </c>
      <c r="P9" s="186">
        <v>44099.640405092592</v>
      </c>
      <c r="R9" s="1" t="s">
        <v>38</v>
      </c>
      <c r="T9" s="1" t="s">
        <v>74</v>
      </c>
      <c r="U9" s="186">
        <v>44144.75</v>
      </c>
      <c r="V9" s="1" t="s">
        <v>41</v>
      </c>
      <c r="W9" s="1" t="s">
        <v>49</v>
      </c>
      <c r="X9" s="13"/>
      <c r="Y9" s="2">
        <f t="shared" ca="1" si="0"/>
        <v>634</v>
      </c>
      <c r="Z9" s="14">
        <v>1</v>
      </c>
      <c r="AA9" s="1" t="str">
        <f t="shared" ca="1" si="1"/>
        <v>VENCIDO</v>
      </c>
      <c r="AB9" s="1" t="str">
        <f t="shared" si="2"/>
        <v>Dosa</v>
      </c>
      <c r="AC9" s="2" t="str">
        <f t="shared" si="5"/>
        <v xml:space="preserve"> RINALDO </v>
      </c>
      <c r="AD9" s="2">
        <f t="shared" si="3"/>
        <v>5</v>
      </c>
      <c r="AE9" s="2">
        <f t="shared" ca="1" si="4"/>
        <v>-841.9262716435187</v>
      </c>
      <c r="AF9" s="15"/>
      <c r="AH9" s="16"/>
    </row>
    <row r="10" spans="1:34" hidden="1">
      <c r="A10" s="1">
        <v>1739574</v>
      </c>
      <c r="B10" s="1" t="s">
        <v>62</v>
      </c>
      <c r="C10" t="s">
        <v>93</v>
      </c>
      <c r="E10" s="2">
        <v>9661000206001</v>
      </c>
      <c r="F10" s="1" t="s">
        <v>29</v>
      </c>
      <c r="G10" s="1" t="s">
        <v>53</v>
      </c>
      <c r="H10" s="1" t="s">
        <v>31</v>
      </c>
      <c r="I10" s="1" t="s">
        <v>32</v>
      </c>
      <c r="J10" s="1" t="s">
        <v>33</v>
      </c>
      <c r="K10" t="s">
        <v>34</v>
      </c>
      <c r="M10" s="1" t="s">
        <v>35</v>
      </c>
      <c r="N10" s="1">
        <v>42318949</v>
      </c>
      <c r="O10" s="1" t="s">
        <v>36</v>
      </c>
      <c r="P10" s="186">
        <v>44160.784016203703</v>
      </c>
      <c r="R10" s="1" t="s">
        <v>38</v>
      </c>
      <c r="T10" s="1" t="s">
        <v>74</v>
      </c>
      <c r="U10" s="186">
        <v>44204.75</v>
      </c>
      <c r="V10" s="1" t="s">
        <v>41</v>
      </c>
      <c r="W10" s="1" t="s">
        <v>42</v>
      </c>
      <c r="X10" s="13"/>
      <c r="Y10" s="2">
        <f t="shared" ca="1" si="0"/>
        <v>591</v>
      </c>
      <c r="Z10" s="14">
        <v>1</v>
      </c>
      <c r="AA10" s="1" t="str">
        <f t="shared" ca="1" si="1"/>
        <v>VENCIDO</v>
      </c>
      <c r="AB10" s="1" t="str">
        <f t="shared" si="2"/>
        <v>Dosa</v>
      </c>
      <c r="AC10" s="2" t="str">
        <f t="shared" si="5"/>
        <v xml:space="preserve"> ROSEMERE </v>
      </c>
      <c r="AD10" s="2">
        <f t="shared" si="3"/>
        <v>5</v>
      </c>
      <c r="AE10" s="2">
        <f t="shared" ca="1" si="4"/>
        <v>-781.9262716435187</v>
      </c>
      <c r="AF10" s="15"/>
    </row>
    <row r="11" spans="1:34" hidden="1">
      <c r="A11" s="1">
        <v>1769469</v>
      </c>
      <c r="B11" s="1" t="s">
        <v>62</v>
      </c>
      <c r="C11" t="s">
        <v>96</v>
      </c>
      <c r="E11" s="2">
        <v>9661000206001</v>
      </c>
      <c r="F11" s="1" t="s">
        <v>29</v>
      </c>
      <c r="G11" s="1" t="s">
        <v>53</v>
      </c>
      <c r="H11" s="1" t="s">
        <v>31</v>
      </c>
      <c r="I11" s="1" t="s">
        <v>32</v>
      </c>
      <c r="J11" s="1" t="s">
        <v>33</v>
      </c>
      <c r="K11" t="s">
        <v>34</v>
      </c>
      <c r="M11" s="1" t="s">
        <v>35</v>
      </c>
      <c r="N11" s="1">
        <v>42318949</v>
      </c>
      <c r="O11" s="1" t="s">
        <v>36</v>
      </c>
      <c r="P11" s="186">
        <v>44162.733298611114</v>
      </c>
      <c r="R11" s="1" t="s">
        <v>38</v>
      </c>
      <c r="T11" s="1" t="s">
        <v>74</v>
      </c>
      <c r="U11" s="186">
        <v>44208.75</v>
      </c>
      <c r="V11" s="1" t="s">
        <v>41</v>
      </c>
      <c r="W11" s="1" t="s">
        <v>42</v>
      </c>
      <c r="X11" s="13"/>
      <c r="Y11" s="2">
        <f t="shared" ca="1" si="0"/>
        <v>589</v>
      </c>
      <c r="Z11" s="14">
        <v>1</v>
      </c>
      <c r="AA11" s="1" t="str">
        <f t="shared" ca="1" si="1"/>
        <v>VENCIDO</v>
      </c>
      <c r="AB11" s="1" t="str">
        <f t="shared" si="2"/>
        <v>Dosa</v>
      </c>
      <c r="AC11" s="2" t="str">
        <f t="shared" si="5"/>
        <v xml:space="preserve"> ROSEMERE </v>
      </c>
      <c r="AD11" s="2">
        <f t="shared" si="3"/>
        <v>5</v>
      </c>
      <c r="AE11" s="2">
        <f t="shared" ca="1" si="4"/>
        <v>-777.9262716435187</v>
      </c>
      <c r="AF11" s="15"/>
    </row>
    <row r="12" spans="1:34" hidden="1">
      <c r="A12" s="1">
        <v>1769442</v>
      </c>
      <c r="B12" s="1" t="s">
        <v>62</v>
      </c>
      <c r="C12" t="s">
        <v>96</v>
      </c>
      <c r="E12" s="2">
        <v>9661000206001</v>
      </c>
      <c r="F12" s="1" t="s">
        <v>29</v>
      </c>
      <c r="G12" s="1" t="s">
        <v>53</v>
      </c>
      <c r="H12" s="1" t="s">
        <v>31</v>
      </c>
      <c r="I12" s="1" t="s">
        <v>32</v>
      </c>
      <c r="J12" s="1" t="s">
        <v>33</v>
      </c>
      <c r="K12" t="s">
        <v>34</v>
      </c>
      <c r="M12" s="1" t="s">
        <v>35</v>
      </c>
      <c r="N12" s="1">
        <v>42318949</v>
      </c>
      <c r="O12" s="1" t="s">
        <v>36</v>
      </c>
      <c r="P12" s="186">
        <v>44162.733263888891</v>
      </c>
      <c r="R12" s="1" t="s">
        <v>38</v>
      </c>
      <c r="T12" s="1" t="s">
        <v>74</v>
      </c>
      <c r="U12" s="186">
        <v>44208.75</v>
      </c>
      <c r="V12" s="1" t="s">
        <v>41</v>
      </c>
      <c r="W12" s="1" t="s">
        <v>42</v>
      </c>
      <c r="X12" s="13"/>
      <c r="Y12" s="2">
        <f t="shared" ca="1" si="0"/>
        <v>589</v>
      </c>
      <c r="Z12" s="14">
        <v>1</v>
      </c>
      <c r="AA12" s="1" t="str">
        <f t="shared" ca="1" si="1"/>
        <v>VENCIDO</v>
      </c>
      <c r="AB12" s="1" t="str">
        <f t="shared" si="2"/>
        <v>Dosa</v>
      </c>
      <c r="AC12" s="2" t="str">
        <f t="shared" si="5"/>
        <v xml:space="preserve"> ROSEMERE </v>
      </c>
      <c r="AD12" s="2">
        <f t="shared" si="3"/>
        <v>5</v>
      </c>
      <c r="AE12" s="2">
        <f t="shared" ca="1" si="4"/>
        <v>-777.9262716435187</v>
      </c>
      <c r="AF12" s="15"/>
    </row>
    <row r="13" spans="1:34" hidden="1">
      <c r="A13" s="1">
        <v>1769406</v>
      </c>
      <c r="B13" s="1" t="s">
        <v>62</v>
      </c>
      <c r="C13" t="s">
        <v>96</v>
      </c>
      <c r="E13" s="2">
        <v>9661000206001</v>
      </c>
      <c r="F13" s="1" t="s">
        <v>29</v>
      </c>
      <c r="G13" s="1" t="s">
        <v>53</v>
      </c>
      <c r="H13" s="1" t="s">
        <v>31</v>
      </c>
      <c r="I13" s="1" t="s">
        <v>32</v>
      </c>
      <c r="J13" s="1" t="s">
        <v>33</v>
      </c>
      <c r="K13" t="s">
        <v>34</v>
      </c>
      <c r="M13" s="1" t="s">
        <v>35</v>
      </c>
      <c r="N13" s="1">
        <v>42318949</v>
      </c>
      <c r="O13" s="1" t="s">
        <v>36</v>
      </c>
      <c r="P13" s="186">
        <v>44162.733194444445</v>
      </c>
      <c r="R13" s="1" t="s">
        <v>38</v>
      </c>
      <c r="T13" s="1" t="s">
        <v>74</v>
      </c>
      <c r="U13" s="186">
        <v>44208.75</v>
      </c>
      <c r="V13" s="1" t="s">
        <v>41</v>
      </c>
      <c r="W13" s="1" t="s">
        <v>42</v>
      </c>
      <c r="X13" s="13"/>
      <c r="Y13" s="2">
        <f t="shared" ca="1" si="0"/>
        <v>589</v>
      </c>
      <c r="Z13" s="14">
        <v>1</v>
      </c>
      <c r="AA13" s="1" t="str">
        <f t="shared" ca="1" si="1"/>
        <v>VENCIDO</v>
      </c>
      <c r="AB13" s="1" t="str">
        <f t="shared" si="2"/>
        <v>Dosa</v>
      </c>
      <c r="AC13" s="2" t="str">
        <f t="shared" si="5"/>
        <v xml:space="preserve"> ROSEMERE </v>
      </c>
      <c r="AD13" s="2">
        <f t="shared" si="3"/>
        <v>5</v>
      </c>
      <c r="AE13" s="2">
        <f t="shared" ca="1" si="4"/>
        <v>-777.9262716435187</v>
      </c>
      <c r="AF13" s="15"/>
    </row>
    <row r="14" spans="1:34">
      <c r="A14" s="1">
        <v>2852304</v>
      </c>
      <c r="B14" s="1" t="s">
        <v>101</v>
      </c>
      <c r="C14" t="s">
        <v>102</v>
      </c>
      <c r="E14" s="2">
        <v>1059000202021</v>
      </c>
      <c r="F14" s="1" t="s">
        <v>103</v>
      </c>
      <c r="G14" s="1" t="s">
        <v>53</v>
      </c>
      <c r="H14" s="1" t="s">
        <v>88</v>
      </c>
      <c r="I14" s="1" t="s">
        <v>89</v>
      </c>
      <c r="J14" s="1" t="s">
        <v>90</v>
      </c>
      <c r="K14" t="s">
        <v>104</v>
      </c>
      <c r="M14" s="1" t="s">
        <v>58</v>
      </c>
      <c r="N14" s="1">
        <v>0</v>
      </c>
      <c r="O14" s="1" t="s">
        <v>105</v>
      </c>
      <c r="P14" s="186">
        <v>44225.726701388892</v>
      </c>
      <c r="R14" s="1" t="s">
        <v>38</v>
      </c>
      <c r="T14" s="1" t="s">
        <v>74</v>
      </c>
      <c r="U14" s="186">
        <v>44228.75</v>
      </c>
      <c r="V14" s="1" t="s">
        <v>41</v>
      </c>
      <c r="W14" s="1" t="s">
        <v>49</v>
      </c>
      <c r="X14" s="13"/>
      <c r="Y14" s="2">
        <f t="shared" ca="1" si="0"/>
        <v>544</v>
      </c>
      <c r="Z14" s="14">
        <v>1</v>
      </c>
      <c r="AA14" s="1" t="str">
        <f t="shared" ca="1" si="1"/>
        <v>VENCIDO</v>
      </c>
      <c r="AB14" s="1" t="str">
        <f t="shared" si="2"/>
        <v>Dosa</v>
      </c>
      <c r="AC14" s="2" t="str">
        <f t="shared" si="5"/>
        <v xml:space="preserve"> RINALDO </v>
      </c>
      <c r="AD14" s="2">
        <f t="shared" si="3"/>
        <v>5</v>
      </c>
      <c r="AE14" s="2">
        <f t="shared" ca="1" si="4"/>
        <v>-757.9262716435187</v>
      </c>
      <c r="AF14" s="15"/>
    </row>
    <row r="15" spans="1:34" hidden="1">
      <c r="A15" s="1">
        <v>2852303</v>
      </c>
      <c r="B15" s="1" t="s">
        <v>101</v>
      </c>
      <c r="C15" t="s">
        <v>102</v>
      </c>
      <c r="E15" s="2">
        <v>1363000202022</v>
      </c>
      <c r="F15" s="1" t="s">
        <v>103</v>
      </c>
      <c r="G15" s="1" t="s">
        <v>53</v>
      </c>
      <c r="H15" s="1" t="s">
        <v>108</v>
      </c>
      <c r="I15" s="1" t="s">
        <v>109</v>
      </c>
      <c r="J15" s="1" t="s">
        <v>110</v>
      </c>
      <c r="K15" t="s">
        <v>104</v>
      </c>
      <c r="M15" s="1" t="s">
        <v>58</v>
      </c>
      <c r="N15" s="1">
        <v>0</v>
      </c>
      <c r="O15" s="1" t="s">
        <v>36</v>
      </c>
      <c r="P15" s="186">
        <v>44225.726689814815</v>
      </c>
      <c r="R15" s="1" t="s">
        <v>38</v>
      </c>
      <c r="T15" s="1" t="s">
        <v>74</v>
      </c>
      <c r="U15" s="186">
        <v>44228.75</v>
      </c>
      <c r="V15" s="1" t="s">
        <v>41</v>
      </c>
      <c r="W15" s="1" t="s">
        <v>49</v>
      </c>
      <c r="X15" s="13"/>
      <c r="Y15" s="2">
        <f t="shared" ca="1" si="0"/>
        <v>544</v>
      </c>
      <c r="Z15" s="14">
        <v>1</v>
      </c>
      <c r="AA15" s="1" t="str">
        <f t="shared" ca="1" si="1"/>
        <v>VENCIDO</v>
      </c>
      <c r="AB15" s="1" t="str">
        <f t="shared" si="2"/>
        <v>Dosa</v>
      </c>
      <c r="AC15" s="2" t="str">
        <f t="shared" si="5"/>
        <v xml:space="preserve"> CRISTINA </v>
      </c>
      <c r="AD15" s="2">
        <f t="shared" si="3"/>
        <v>5</v>
      </c>
      <c r="AE15" s="2">
        <f t="shared" ca="1" si="4"/>
        <v>-757.9262716435187</v>
      </c>
      <c r="AF15" s="15"/>
    </row>
    <row r="16" spans="1:34" hidden="1">
      <c r="A16" s="1">
        <v>2852205</v>
      </c>
      <c r="B16" s="1" t="s">
        <v>101</v>
      </c>
      <c r="C16" t="s">
        <v>102</v>
      </c>
      <c r="E16" s="2">
        <v>711002060022</v>
      </c>
      <c r="F16" s="1" t="s">
        <v>103</v>
      </c>
      <c r="G16" s="1" t="s">
        <v>53</v>
      </c>
      <c r="H16" s="1" t="s">
        <v>77</v>
      </c>
      <c r="I16" s="1" t="s">
        <v>78</v>
      </c>
      <c r="J16" s="1" t="s">
        <v>79</v>
      </c>
      <c r="K16" t="s">
        <v>104</v>
      </c>
      <c r="M16" s="1" t="s">
        <v>58</v>
      </c>
      <c r="N16" s="1">
        <v>0</v>
      </c>
      <c r="O16" s="1" t="s">
        <v>105</v>
      </c>
      <c r="P16" s="186">
        <v>44225.726527777777</v>
      </c>
      <c r="R16" s="1" t="s">
        <v>38</v>
      </c>
      <c r="T16" s="1" t="s">
        <v>74</v>
      </c>
      <c r="U16" s="186">
        <v>44228.75</v>
      </c>
      <c r="V16" s="1" t="s">
        <v>41</v>
      </c>
      <c r="W16" s="1" t="s">
        <v>49</v>
      </c>
      <c r="X16" s="13"/>
      <c r="Y16" s="2">
        <f t="shared" ca="1" si="0"/>
        <v>544</v>
      </c>
      <c r="Z16" s="14">
        <v>1</v>
      </c>
      <c r="AA16" s="1" t="str">
        <f t="shared" ca="1" si="1"/>
        <v>VENCIDO</v>
      </c>
      <c r="AB16" s="1" t="str">
        <f t="shared" si="2"/>
        <v>Dosa</v>
      </c>
      <c r="AC16" s="2" t="str">
        <f t="shared" si="5"/>
        <v xml:space="preserve"> ROSEMERE </v>
      </c>
      <c r="AD16" s="2">
        <f t="shared" si="3"/>
        <v>5</v>
      </c>
      <c r="AE16" s="2">
        <f t="shared" ca="1" si="4"/>
        <v>-757.9262716435187</v>
      </c>
      <c r="AF16" s="15"/>
    </row>
    <row r="17" spans="1:32" hidden="1">
      <c r="A17" s="1">
        <v>2851942</v>
      </c>
      <c r="B17" s="1" t="s">
        <v>101</v>
      </c>
      <c r="C17" t="s">
        <v>102</v>
      </c>
      <c r="E17" s="2">
        <v>9406000206054</v>
      </c>
      <c r="F17" s="1" t="s">
        <v>113</v>
      </c>
      <c r="G17" s="1" t="s">
        <v>53</v>
      </c>
      <c r="H17" s="1" t="s">
        <v>114</v>
      </c>
      <c r="I17" s="1" t="s">
        <v>115</v>
      </c>
      <c r="J17" s="1" t="s">
        <v>46</v>
      </c>
      <c r="K17" t="s">
        <v>116</v>
      </c>
      <c r="M17" s="1" t="s">
        <v>35</v>
      </c>
      <c r="N17" s="1">
        <v>42318949</v>
      </c>
      <c r="O17" s="1" t="s">
        <v>36</v>
      </c>
      <c r="P17" s="186">
        <v>44225.726145833331</v>
      </c>
      <c r="R17" s="1" t="s">
        <v>38</v>
      </c>
      <c r="T17" s="1" t="s">
        <v>74</v>
      </c>
      <c r="U17" s="186">
        <v>44228.75</v>
      </c>
      <c r="V17" s="1" t="s">
        <v>41</v>
      </c>
      <c r="W17" s="1" t="s">
        <v>49</v>
      </c>
      <c r="X17" s="13"/>
      <c r="Y17" s="2">
        <f t="shared" ca="1" si="0"/>
        <v>544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 t="str">
        <f t="shared" si="5"/>
        <v xml:space="preserve"> CLEITON </v>
      </c>
      <c r="AD17" s="2">
        <f t="shared" si="3"/>
        <v>8</v>
      </c>
      <c r="AE17" s="2">
        <f t="shared" ca="1" si="4"/>
        <v>-757.9262716435187</v>
      </c>
      <c r="AF17" s="15"/>
    </row>
    <row r="18" spans="1:32" hidden="1">
      <c r="A18" s="1">
        <v>4298266</v>
      </c>
      <c r="B18" s="1" t="s">
        <v>81</v>
      </c>
      <c r="C18" t="s">
        <v>118</v>
      </c>
      <c r="E18" s="2">
        <v>9600102981128</v>
      </c>
      <c r="F18" s="1" t="s">
        <v>119</v>
      </c>
      <c r="G18" s="1" t="s">
        <v>30</v>
      </c>
      <c r="H18" s="1" t="s">
        <v>120</v>
      </c>
      <c r="I18" s="1" t="s">
        <v>121</v>
      </c>
      <c r="J18" s="1" t="s">
        <v>33</v>
      </c>
      <c r="K18" t="s">
        <v>122</v>
      </c>
      <c r="M18" s="1" t="s">
        <v>58</v>
      </c>
      <c r="N18" s="1">
        <v>0</v>
      </c>
      <c r="O18" s="1" t="s">
        <v>105</v>
      </c>
      <c r="P18" s="186">
        <v>44295.426574074074</v>
      </c>
      <c r="R18" s="1">
        <v>14</v>
      </c>
      <c r="T18" s="1" t="s">
        <v>60</v>
      </c>
      <c r="V18" s="1" t="s">
        <v>41</v>
      </c>
      <c r="W18" s="1" t="s">
        <v>42</v>
      </c>
      <c r="X18" s="13"/>
      <c r="Y18" s="2">
        <f t="shared" ca="1" si="0"/>
        <v>494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 t="str">
        <f t="shared" si="5"/>
        <v xml:space="preserve"> ROSEMERE </v>
      </c>
      <c r="AD18" s="2">
        <f t="shared" si="3"/>
        <v>8</v>
      </c>
      <c r="AE18" s="2">
        <f t="shared" ca="1" si="4"/>
        <v>-44986.676271643519</v>
      </c>
      <c r="AF18" s="15"/>
    </row>
    <row r="19" spans="1:32" hidden="1">
      <c r="A19" s="1">
        <v>4298261</v>
      </c>
      <c r="B19" s="1" t="s">
        <v>81</v>
      </c>
      <c r="C19" t="s">
        <v>118</v>
      </c>
      <c r="E19" s="2">
        <v>9600102980984</v>
      </c>
      <c r="F19" s="1" t="s">
        <v>119</v>
      </c>
      <c r="G19" s="1" t="s">
        <v>30</v>
      </c>
      <c r="H19" s="1" t="s">
        <v>120</v>
      </c>
      <c r="I19" s="1" t="s">
        <v>121</v>
      </c>
      <c r="J19" s="1" t="s">
        <v>33</v>
      </c>
      <c r="K19" t="s">
        <v>122</v>
      </c>
      <c r="M19" s="1" t="s">
        <v>58</v>
      </c>
      <c r="N19" s="1">
        <v>0</v>
      </c>
      <c r="O19" s="1" t="s">
        <v>105</v>
      </c>
      <c r="P19" s="186">
        <v>44295.426562499997</v>
      </c>
      <c r="R19" s="1">
        <v>14</v>
      </c>
      <c r="T19" s="1" t="s">
        <v>60</v>
      </c>
      <c r="V19" s="1" t="s">
        <v>41</v>
      </c>
      <c r="W19" s="1" t="s">
        <v>42</v>
      </c>
      <c r="X19" s="13"/>
      <c r="Y19" s="2">
        <f t="shared" ca="1" si="0"/>
        <v>494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 t="str">
        <f t="shared" si="5"/>
        <v xml:space="preserve"> ROSEMERE </v>
      </c>
      <c r="AD19" s="2">
        <f t="shared" si="3"/>
        <v>8</v>
      </c>
      <c r="AE19" s="2">
        <f t="shared" ca="1" si="4"/>
        <v>-44986.676271643519</v>
      </c>
      <c r="AF19" s="15"/>
    </row>
    <row r="20" spans="1:32" hidden="1">
      <c r="A20" s="1">
        <v>4298189</v>
      </c>
      <c r="B20" s="1" t="s">
        <v>81</v>
      </c>
      <c r="C20" t="s">
        <v>118</v>
      </c>
      <c r="E20" s="2">
        <v>7419151141007</v>
      </c>
      <c r="F20" s="1" t="s">
        <v>123</v>
      </c>
      <c r="G20" s="1" t="s">
        <v>53</v>
      </c>
      <c r="H20" s="1" t="s">
        <v>124</v>
      </c>
      <c r="I20" s="1" t="s">
        <v>125</v>
      </c>
      <c r="J20" s="1" t="s">
        <v>33</v>
      </c>
      <c r="K20" t="s">
        <v>126</v>
      </c>
      <c r="M20" s="1" t="s">
        <v>58</v>
      </c>
      <c r="N20" s="1">
        <v>0</v>
      </c>
      <c r="O20" s="1" t="s">
        <v>105</v>
      </c>
      <c r="P20" s="186">
        <v>44295.426400462966</v>
      </c>
      <c r="R20" s="1">
        <v>14</v>
      </c>
      <c r="T20" s="1" t="s">
        <v>60</v>
      </c>
      <c r="V20" s="1" t="s">
        <v>41</v>
      </c>
      <c r="W20" s="1" t="s">
        <v>42</v>
      </c>
      <c r="X20" s="13"/>
      <c r="Y20" s="2">
        <f t="shared" ca="1" si="0"/>
        <v>494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 t="str">
        <f t="shared" si="5"/>
        <v xml:space="preserve"> ROSEMERE </v>
      </c>
      <c r="AD20" s="2">
        <f t="shared" si="3"/>
        <v>8</v>
      </c>
      <c r="AE20" s="2">
        <f t="shared" ca="1" si="4"/>
        <v>-44986.676271643519</v>
      </c>
      <c r="AF20" s="15"/>
    </row>
    <row r="21" spans="1:32" hidden="1">
      <c r="A21" s="1">
        <v>4298074</v>
      </c>
      <c r="B21" s="1" t="s">
        <v>81</v>
      </c>
      <c r="C21" t="s">
        <v>118</v>
      </c>
      <c r="E21" s="2">
        <v>7419141892457</v>
      </c>
      <c r="F21" s="1" t="s">
        <v>128</v>
      </c>
      <c r="G21" s="1" t="s">
        <v>53</v>
      </c>
      <c r="H21" s="1" t="s">
        <v>124</v>
      </c>
      <c r="I21" s="1" t="s">
        <v>125</v>
      </c>
      <c r="J21" s="1" t="s">
        <v>33</v>
      </c>
      <c r="K21" t="s">
        <v>129</v>
      </c>
      <c r="M21" s="1" t="s">
        <v>58</v>
      </c>
      <c r="N21" s="1">
        <v>0</v>
      </c>
      <c r="O21" s="1" t="s">
        <v>105</v>
      </c>
      <c r="P21" s="186">
        <v>44295.426087962966</v>
      </c>
      <c r="R21" s="1">
        <v>14</v>
      </c>
      <c r="T21" s="1" t="s">
        <v>60</v>
      </c>
      <c r="V21" s="1" t="s">
        <v>41</v>
      </c>
      <c r="W21" s="1" t="s">
        <v>42</v>
      </c>
      <c r="X21" s="13"/>
      <c r="Y21" s="2">
        <f t="shared" ca="1" si="0"/>
        <v>494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 t="str">
        <f t="shared" si="5"/>
        <v xml:space="preserve"> ROSEMERE </v>
      </c>
      <c r="AD21" s="2">
        <f t="shared" si="3"/>
        <v>8</v>
      </c>
      <c r="AE21" s="2">
        <f t="shared" ca="1" si="4"/>
        <v>-44986.676271643519</v>
      </c>
      <c r="AF21" s="15"/>
    </row>
    <row r="22" spans="1:32" hidden="1">
      <c r="A22" s="1">
        <v>4298073</v>
      </c>
      <c r="B22" s="1" t="s">
        <v>81</v>
      </c>
      <c r="C22" t="s">
        <v>118</v>
      </c>
      <c r="E22" s="2">
        <v>7419141892456</v>
      </c>
      <c r="F22" s="1" t="s">
        <v>128</v>
      </c>
      <c r="G22" s="1" t="s">
        <v>53</v>
      </c>
      <c r="H22" s="1" t="s">
        <v>124</v>
      </c>
      <c r="I22" s="1" t="s">
        <v>125</v>
      </c>
      <c r="J22" s="1" t="s">
        <v>33</v>
      </c>
      <c r="K22" t="s">
        <v>129</v>
      </c>
      <c r="M22" s="1" t="s">
        <v>58</v>
      </c>
      <c r="N22" s="1">
        <v>0</v>
      </c>
      <c r="O22" s="1" t="s">
        <v>105</v>
      </c>
      <c r="P22" s="186">
        <v>44295.426087962966</v>
      </c>
      <c r="R22" s="1">
        <v>14</v>
      </c>
      <c r="T22" s="1" t="s">
        <v>60</v>
      </c>
      <c r="V22" s="1" t="s">
        <v>41</v>
      </c>
      <c r="W22" s="1" t="s">
        <v>42</v>
      </c>
      <c r="X22" s="13"/>
      <c r="Y22" s="2">
        <f t="shared" ca="1" si="0"/>
        <v>494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 t="str">
        <f t="shared" si="5"/>
        <v xml:space="preserve"> ROSEMERE </v>
      </c>
      <c r="AD22" s="2">
        <f t="shared" si="3"/>
        <v>8</v>
      </c>
      <c r="AE22" s="2">
        <f t="shared" ca="1" si="4"/>
        <v>-44986.676271643519</v>
      </c>
      <c r="AF22" s="15"/>
    </row>
    <row r="23" spans="1:32" hidden="1">
      <c r="A23" s="1">
        <v>4297923</v>
      </c>
      <c r="B23" s="1" t="s">
        <v>81</v>
      </c>
      <c r="C23" t="s">
        <v>118</v>
      </c>
      <c r="E23" s="2">
        <v>7417172142561</v>
      </c>
      <c r="F23" s="1" t="s">
        <v>52</v>
      </c>
      <c r="G23" s="1" t="s">
        <v>53</v>
      </c>
      <c r="H23" s="1" t="s">
        <v>120</v>
      </c>
      <c r="I23" s="1" t="s">
        <v>121</v>
      </c>
      <c r="J23" s="1" t="s">
        <v>33</v>
      </c>
      <c r="K23" t="s">
        <v>57</v>
      </c>
      <c r="M23" s="1" t="s">
        <v>58</v>
      </c>
      <c r="N23" s="1">
        <v>0</v>
      </c>
      <c r="O23" s="1" t="s">
        <v>105</v>
      </c>
      <c r="P23" s="186">
        <v>44295.425706018519</v>
      </c>
      <c r="R23" s="1">
        <v>9</v>
      </c>
      <c r="T23" s="1" t="s">
        <v>60</v>
      </c>
      <c r="V23" s="1" t="s">
        <v>41</v>
      </c>
      <c r="W23" s="1" t="s">
        <v>42</v>
      </c>
      <c r="X23" s="13"/>
      <c r="Y23" s="2">
        <f t="shared" ca="1" si="0"/>
        <v>494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 t="str">
        <f t="shared" si="5"/>
        <v xml:space="preserve"> ROSEMERE </v>
      </c>
      <c r="AD23" s="2">
        <f t="shared" si="3"/>
        <v>8</v>
      </c>
      <c r="AE23" s="2">
        <f t="shared" ca="1" si="4"/>
        <v>-44986.676271643519</v>
      </c>
      <c r="AF23" s="15"/>
    </row>
    <row r="24" spans="1:32" hidden="1">
      <c r="A24" s="1">
        <v>4297890</v>
      </c>
      <c r="B24" s="1" t="s">
        <v>81</v>
      </c>
      <c r="C24" t="s">
        <v>118</v>
      </c>
      <c r="E24" s="2">
        <v>7417163285126</v>
      </c>
      <c r="F24" s="1" t="s">
        <v>131</v>
      </c>
      <c r="G24" s="1" t="s">
        <v>53</v>
      </c>
      <c r="H24" s="1" t="s">
        <v>120</v>
      </c>
      <c r="I24" s="1" t="s">
        <v>121</v>
      </c>
      <c r="J24" s="1" t="s">
        <v>33</v>
      </c>
      <c r="K24" t="s">
        <v>132</v>
      </c>
      <c r="M24" s="1" t="s">
        <v>58</v>
      </c>
      <c r="N24" s="1">
        <v>0</v>
      </c>
      <c r="O24" s="1" t="s">
        <v>105</v>
      </c>
      <c r="P24" s="186">
        <v>44295.425567129627</v>
      </c>
      <c r="R24" s="1">
        <v>14</v>
      </c>
      <c r="T24" s="1" t="s">
        <v>60</v>
      </c>
      <c r="V24" s="1" t="s">
        <v>41</v>
      </c>
      <c r="W24" s="1" t="s">
        <v>42</v>
      </c>
      <c r="X24" s="13"/>
      <c r="Y24" s="2">
        <f t="shared" ca="1" si="0"/>
        <v>494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 t="str">
        <f t="shared" si="5"/>
        <v xml:space="preserve"> ROSEMERE </v>
      </c>
      <c r="AD24" s="2">
        <f t="shared" si="3"/>
        <v>8</v>
      </c>
      <c r="AE24" s="2">
        <f t="shared" ca="1" si="4"/>
        <v>-44986.676271643519</v>
      </c>
      <c r="AF24" s="15"/>
    </row>
    <row r="25" spans="1:32" hidden="1">
      <c r="A25" s="1">
        <v>4544244</v>
      </c>
      <c r="B25" s="1" t="s">
        <v>27</v>
      </c>
      <c r="C25" t="s">
        <v>134</v>
      </c>
      <c r="E25" s="2">
        <v>9661000206001</v>
      </c>
      <c r="F25" s="1" t="s">
        <v>29</v>
      </c>
      <c r="G25" s="1" t="s">
        <v>53</v>
      </c>
      <c r="H25" s="1" t="s">
        <v>31</v>
      </c>
      <c r="I25" s="1" t="s">
        <v>32</v>
      </c>
      <c r="J25" s="1" t="s">
        <v>33</v>
      </c>
      <c r="K25" t="s">
        <v>34</v>
      </c>
      <c r="M25" s="1" t="s">
        <v>35</v>
      </c>
      <c r="N25" s="1">
        <v>42318949</v>
      </c>
      <c r="O25" s="1" t="s">
        <v>105</v>
      </c>
      <c r="P25" s="186">
        <v>44308.595775462964</v>
      </c>
      <c r="R25" s="1" t="s">
        <v>38</v>
      </c>
      <c r="T25" s="1" t="s">
        <v>74</v>
      </c>
      <c r="U25" s="186">
        <v>44308.75</v>
      </c>
      <c r="V25" s="1" t="s">
        <v>41</v>
      </c>
      <c r="W25" s="1" t="s">
        <v>42</v>
      </c>
      <c r="X25" s="13"/>
      <c r="Y25" s="2">
        <f t="shared" ca="1" si="0"/>
        <v>485</v>
      </c>
      <c r="Z25" s="14">
        <v>1</v>
      </c>
      <c r="AA25" s="1" t="str">
        <f t="shared" ca="1" si="1"/>
        <v>VENCIDO</v>
      </c>
      <c r="AB25" s="1" t="str">
        <f t="shared" si="2"/>
        <v>Dosa</v>
      </c>
      <c r="AC25" s="2" t="str">
        <f t="shared" si="5"/>
        <v xml:space="preserve"> ROSEMERE </v>
      </c>
      <c r="AD25" s="2">
        <f t="shared" si="3"/>
        <v>5</v>
      </c>
      <c r="AE25" s="2">
        <f t="shared" ca="1" si="4"/>
        <v>-677.9262716435187</v>
      </c>
      <c r="AF25" s="15"/>
    </row>
    <row r="26" spans="1:32" hidden="1">
      <c r="A26" s="1">
        <v>4796975</v>
      </c>
      <c r="B26" s="1" t="s">
        <v>62</v>
      </c>
      <c r="C26" t="s">
        <v>135</v>
      </c>
      <c r="E26" s="2">
        <v>1291000206001</v>
      </c>
      <c r="F26" s="1" t="s">
        <v>29</v>
      </c>
      <c r="G26" s="1" t="s">
        <v>53</v>
      </c>
      <c r="H26" s="1" t="s">
        <v>136</v>
      </c>
      <c r="I26" s="1" t="s">
        <v>137</v>
      </c>
      <c r="J26" s="1" t="s">
        <v>33</v>
      </c>
      <c r="K26" t="s">
        <v>34</v>
      </c>
      <c r="M26" s="1" t="s">
        <v>35</v>
      </c>
      <c r="N26" s="1">
        <v>42318949</v>
      </c>
      <c r="O26" s="1" t="s">
        <v>36</v>
      </c>
      <c r="P26" s="186">
        <v>44321.783020833333</v>
      </c>
      <c r="R26" s="1" t="s">
        <v>38</v>
      </c>
      <c r="T26" s="1" t="s">
        <v>74</v>
      </c>
      <c r="U26" s="186">
        <v>44364.75</v>
      </c>
      <c r="V26" s="1" t="s">
        <v>41</v>
      </c>
      <c r="W26" s="1" t="s">
        <v>42</v>
      </c>
      <c r="X26" s="13"/>
      <c r="Y26" s="2">
        <f t="shared" ca="1" si="0"/>
        <v>476</v>
      </c>
      <c r="Z26" s="14">
        <v>1</v>
      </c>
      <c r="AA26" s="1" t="str">
        <f t="shared" ca="1" si="1"/>
        <v>VENCIDO</v>
      </c>
      <c r="AB26" s="1" t="str">
        <f t="shared" si="2"/>
        <v>Dosa</v>
      </c>
      <c r="AC26" s="2" t="str">
        <f t="shared" si="5"/>
        <v xml:space="preserve"> ROSEMERE </v>
      </c>
      <c r="AD26" s="2">
        <f t="shared" si="3"/>
        <v>5</v>
      </c>
      <c r="AE26" s="2">
        <f t="shared" ca="1" si="4"/>
        <v>-621.9262716435187</v>
      </c>
      <c r="AF26" s="15"/>
    </row>
    <row r="27" spans="1:32" hidden="1">
      <c r="A27" s="1">
        <v>4968022</v>
      </c>
      <c r="B27" s="1" t="s">
        <v>62</v>
      </c>
      <c r="C27" t="s">
        <v>138</v>
      </c>
      <c r="E27" s="2">
        <v>582000206001</v>
      </c>
      <c r="F27" s="1" t="s">
        <v>29</v>
      </c>
      <c r="G27" s="1" t="s">
        <v>53</v>
      </c>
      <c r="H27" s="1" t="s">
        <v>139</v>
      </c>
      <c r="I27" s="1" t="s">
        <v>140</v>
      </c>
      <c r="J27" s="1" t="s">
        <v>141</v>
      </c>
      <c r="K27" t="s">
        <v>34</v>
      </c>
      <c r="M27" s="1" t="s">
        <v>35</v>
      </c>
      <c r="N27" s="1">
        <v>42318949</v>
      </c>
      <c r="O27" s="1" t="s">
        <v>36</v>
      </c>
      <c r="P27" s="186">
        <v>44329.986261574071</v>
      </c>
      <c r="R27" s="1" t="s">
        <v>38</v>
      </c>
      <c r="T27" s="1" t="s">
        <v>74</v>
      </c>
      <c r="U27" s="186">
        <v>44372.75</v>
      </c>
      <c r="V27" s="1" t="s">
        <v>41</v>
      </c>
      <c r="W27" s="1" t="s">
        <v>49</v>
      </c>
      <c r="X27" s="13"/>
      <c r="Y27" s="2">
        <f t="shared" ca="1" si="0"/>
        <v>470</v>
      </c>
      <c r="Z27" s="14">
        <v>1</v>
      </c>
      <c r="AA27" s="1" t="str">
        <f t="shared" ca="1" si="1"/>
        <v>VENCIDO</v>
      </c>
      <c r="AB27" s="1" t="str">
        <f t="shared" si="2"/>
        <v>Dosa</v>
      </c>
      <c r="AC27" s="2" t="str">
        <f t="shared" si="5"/>
        <v xml:space="preserve"> CRISTINA </v>
      </c>
      <c r="AD27" s="2">
        <f t="shared" si="3"/>
        <v>5</v>
      </c>
      <c r="AE27" s="2">
        <f t="shared" ca="1" si="4"/>
        <v>-613.9262716435187</v>
      </c>
      <c r="AF27" s="15"/>
    </row>
    <row r="28" spans="1:32" hidden="1">
      <c r="A28" s="1">
        <v>4968021</v>
      </c>
      <c r="B28" s="1" t="s">
        <v>62</v>
      </c>
      <c r="C28" t="s">
        <v>144</v>
      </c>
      <c r="E28" s="2">
        <v>582000206001</v>
      </c>
      <c r="F28" s="1" t="s">
        <v>29</v>
      </c>
      <c r="G28" s="1" t="s">
        <v>53</v>
      </c>
      <c r="H28" s="1" t="s">
        <v>139</v>
      </c>
      <c r="I28" s="1" t="s">
        <v>140</v>
      </c>
      <c r="J28" s="1" t="s">
        <v>141</v>
      </c>
      <c r="K28" t="s">
        <v>34</v>
      </c>
      <c r="M28" s="1" t="s">
        <v>35</v>
      </c>
      <c r="N28" s="1">
        <v>42318949</v>
      </c>
      <c r="O28" s="1" t="s">
        <v>36</v>
      </c>
      <c r="P28" s="186">
        <v>44329.985972222225</v>
      </c>
      <c r="R28" s="1" t="s">
        <v>38</v>
      </c>
      <c r="T28" s="1" t="s">
        <v>74</v>
      </c>
      <c r="U28" s="186">
        <v>44372.75</v>
      </c>
      <c r="V28" s="1" t="s">
        <v>41</v>
      </c>
      <c r="W28" s="1" t="s">
        <v>49</v>
      </c>
      <c r="X28" s="13"/>
      <c r="Y28" s="2">
        <f t="shared" ca="1" si="0"/>
        <v>470</v>
      </c>
      <c r="Z28" s="14">
        <v>1</v>
      </c>
      <c r="AA28" s="1" t="str">
        <f t="shared" ca="1" si="1"/>
        <v>VENCIDO</v>
      </c>
      <c r="AB28" s="1" t="str">
        <f t="shared" si="2"/>
        <v>Dosa</v>
      </c>
      <c r="AC28" s="2" t="str">
        <f t="shared" si="5"/>
        <v xml:space="preserve"> CRISTINA </v>
      </c>
      <c r="AD28" s="2">
        <f t="shared" si="3"/>
        <v>5</v>
      </c>
      <c r="AE28" s="2">
        <f t="shared" ca="1" si="4"/>
        <v>-613.9262716435187</v>
      </c>
      <c r="AF28" s="15"/>
    </row>
    <row r="29" spans="1:32" hidden="1">
      <c r="A29" s="1">
        <v>4967954</v>
      </c>
      <c r="B29" s="1" t="s">
        <v>62</v>
      </c>
      <c r="C29" t="s">
        <v>144</v>
      </c>
      <c r="E29" s="2">
        <v>582000206001</v>
      </c>
      <c r="F29" s="1" t="s">
        <v>29</v>
      </c>
      <c r="G29" s="1" t="s">
        <v>53</v>
      </c>
      <c r="H29" s="1" t="s">
        <v>139</v>
      </c>
      <c r="I29" s="1" t="s">
        <v>140</v>
      </c>
      <c r="J29" s="1" t="s">
        <v>141</v>
      </c>
      <c r="K29" t="s">
        <v>34</v>
      </c>
      <c r="M29" s="1" t="s">
        <v>35</v>
      </c>
      <c r="N29" s="1">
        <v>42318949</v>
      </c>
      <c r="O29" s="1" t="s">
        <v>36</v>
      </c>
      <c r="P29" s="186">
        <v>44329.985694444447</v>
      </c>
      <c r="R29" s="1" t="s">
        <v>38</v>
      </c>
      <c r="T29" s="1" t="s">
        <v>74</v>
      </c>
      <c r="U29" s="186">
        <v>44372.75</v>
      </c>
      <c r="V29" s="1" t="s">
        <v>41</v>
      </c>
      <c r="W29" s="1" t="s">
        <v>49</v>
      </c>
      <c r="X29" s="13"/>
      <c r="Y29" s="2">
        <f t="shared" ca="1" si="0"/>
        <v>470</v>
      </c>
      <c r="Z29" s="14">
        <v>1</v>
      </c>
      <c r="AA29" s="1" t="str">
        <f t="shared" ca="1" si="1"/>
        <v>VENCIDO</v>
      </c>
      <c r="AB29" s="1" t="str">
        <f t="shared" si="2"/>
        <v>Dosa</v>
      </c>
      <c r="AC29" s="2" t="str">
        <f t="shared" si="5"/>
        <v xml:space="preserve"> CRISTINA </v>
      </c>
      <c r="AD29" s="2">
        <f t="shared" si="3"/>
        <v>5</v>
      </c>
      <c r="AE29" s="2">
        <f t="shared" ca="1" si="4"/>
        <v>-613.9262716435187</v>
      </c>
      <c r="AF29" s="15"/>
    </row>
    <row r="30" spans="1:32">
      <c r="A30" s="1">
        <v>6477850</v>
      </c>
      <c r="B30" s="1" t="s">
        <v>62</v>
      </c>
      <c r="C30" t="s">
        <v>145</v>
      </c>
      <c r="E30" s="2">
        <v>1754000206001</v>
      </c>
      <c r="F30" s="1" t="s">
        <v>29</v>
      </c>
      <c r="G30" s="1" t="s">
        <v>53</v>
      </c>
      <c r="H30" s="1" t="s">
        <v>146</v>
      </c>
      <c r="I30" s="1" t="s">
        <v>147</v>
      </c>
      <c r="J30" s="1" t="s">
        <v>148</v>
      </c>
      <c r="K30" t="s">
        <v>34</v>
      </c>
      <c r="M30" s="1" t="s">
        <v>35</v>
      </c>
      <c r="N30" s="1">
        <v>42318949</v>
      </c>
      <c r="O30" s="1" t="s">
        <v>105</v>
      </c>
      <c r="P30" s="186">
        <v>44404.79105324074</v>
      </c>
      <c r="R30" s="1" t="s">
        <v>38</v>
      </c>
      <c r="T30" s="1" t="s">
        <v>74</v>
      </c>
      <c r="U30" s="186">
        <v>44447.75</v>
      </c>
      <c r="V30" s="1" t="s">
        <v>41</v>
      </c>
      <c r="W30" s="1" t="s">
        <v>49</v>
      </c>
      <c r="X30" s="13"/>
      <c r="Y30" s="2">
        <f t="shared" ca="1" si="0"/>
        <v>417</v>
      </c>
      <c r="Z30" s="14">
        <v>1</v>
      </c>
      <c r="AA30" s="1" t="str">
        <f t="shared" ca="1" si="1"/>
        <v>VENCIDO</v>
      </c>
      <c r="AB30" s="1" t="str">
        <f t="shared" si="2"/>
        <v>Dosa</v>
      </c>
      <c r="AC30" s="2" t="str">
        <f t="shared" si="5"/>
        <v xml:space="preserve"> RINALDO </v>
      </c>
      <c r="AD30" s="2">
        <f t="shared" si="3"/>
        <v>5</v>
      </c>
      <c r="AE30" s="2">
        <f t="shared" ca="1" si="4"/>
        <v>-538.9262716435187</v>
      </c>
      <c r="AF30" s="15"/>
    </row>
    <row r="31" spans="1:32" hidden="1">
      <c r="A31" s="1">
        <v>6829400</v>
      </c>
      <c r="B31" s="1" t="s">
        <v>62</v>
      </c>
      <c r="C31" t="s">
        <v>151</v>
      </c>
      <c r="E31" s="2">
        <v>3924000203010</v>
      </c>
      <c r="F31" s="1" t="s">
        <v>152</v>
      </c>
      <c r="G31" s="1" t="s">
        <v>53</v>
      </c>
      <c r="H31" s="1" t="s">
        <v>153</v>
      </c>
      <c r="I31" s="1" t="s">
        <v>154</v>
      </c>
      <c r="J31" s="1" t="s">
        <v>56</v>
      </c>
      <c r="K31" t="s">
        <v>155</v>
      </c>
      <c r="M31" s="1" t="s">
        <v>35</v>
      </c>
      <c r="N31" s="1">
        <v>42318949</v>
      </c>
      <c r="O31" s="1" t="s">
        <v>36</v>
      </c>
      <c r="P31" s="186">
        <v>44420.812268518515</v>
      </c>
      <c r="R31" s="1" t="s">
        <v>38</v>
      </c>
      <c r="T31" s="1" t="s">
        <v>157</v>
      </c>
      <c r="U31" s="186">
        <v>44456.75</v>
      </c>
      <c r="V31" s="1" t="s">
        <v>41</v>
      </c>
      <c r="W31" s="1" t="s">
        <v>49</v>
      </c>
      <c r="X31" s="13"/>
      <c r="Y31" s="2">
        <f t="shared" ca="1" si="0"/>
        <v>405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 t="str">
        <f t="shared" si="5"/>
        <v xml:space="preserve"> CRISTINA </v>
      </c>
      <c r="AD31" s="2">
        <f t="shared" si="3"/>
        <v>8</v>
      </c>
      <c r="AE31" s="2">
        <f t="shared" ca="1" si="4"/>
        <v>-529.9262716435187</v>
      </c>
      <c r="AF31" s="15"/>
    </row>
    <row r="32" spans="1:32" hidden="1">
      <c r="A32" s="1">
        <v>6829307</v>
      </c>
      <c r="B32" s="1" t="s">
        <v>62</v>
      </c>
      <c r="C32" t="s">
        <v>151</v>
      </c>
      <c r="E32" s="2">
        <v>2365000203010</v>
      </c>
      <c r="F32" s="1" t="s">
        <v>152</v>
      </c>
      <c r="G32" s="1" t="s">
        <v>53</v>
      </c>
      <c r="H32" s="1" t="s">
        <v>159</v>
      </c>
      <c r="I32" s="1" t="s">
        <v>160</v>
      </c>
      <c r="J32" s="1" t="s">
        <v>46</v>
      </c>
      <c r="K32" t="s">
        <v>155</v>
      </c>
      <c r="M32" s="1" t="s">
        <v>35</v>
      </c>
      <c r="N32" s="1">
        <v>42318949</v>
      </c>
      <c r="O32" s="1" t="s">
        <v>36</v>
      </c>
      <c r="P32" s="186">
        <v>44420.812141203707</v>
      </c>
      <c r="R32" s="1" t="s">
        <v>38</v>
      </c>
      <c r="T32" s="1" t="s">
        <v>157</v>
      </c>
      <c r="U32" s="186">
        <v>44456.75</v>
      </c>
      <c r="V32" s="1" t="s">
        <v>41</v>
      </c>
      <c r="W32" s="1" t="s">
        <v>49</v>
      </c>
      <c r="X32" s="13"/>
      <c r="Y32" s="2">
        <f t="shared" ca="1" si="0"/>
        <v>405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 t="str">
        <f t="shared" si="5"/>
        <v xml:space="preserve"> CLEITON </v>
      </c>
      <c r="AD32" s="2">
        <f t="shared" si="3"/>
        <v>8</v>
      </c>
      <c r="AE32" s="2">
        <f t="shared" ca="1" si="4"/>
        <v>-529.9262716435187</v>
      </c>
      <c r="AF32" s="15"/>
    </row>
    <row r="33" spans="1:32" hidden="1">
      <c r="A33" s="1">
        <v>6829259</v>
      </c>
      <c r="B33" s="1" t="s">
        <v>62</v>
      </c>
      <c r="C33" t="s">
        <v>151</v>
      </c>
      <c r="E33" s="2">
        <v>1739000203010</v>
      </c>
      <c r="F33" s="1" t="s">
        <v>152</v>
      </c>
      <c r="G33" s="1" t="s">
        <v>53</v>
      </c>
      <c r="H33" s="1" t="s">
        <v>162</v>
      </c>
      <c r="I33" s="1" t="s">
        <v>163</v>
      </c>
      <c r="J33" s="1" t="s">
        <v>164</v>
      </c>
      <c r="K33" t="s">
        <v>155</v>
      </c>
      <c r="M33" s="1" t="s">
        <v>35</v>
      </c>
      <c r="N33" s="1">
        <v>42318949</v>
      </c>
      <c r="O33" s="1" t="s">
        <v>36</v>
      </c>
      <c r="P33" s="186">
        <v>44420.812048611115</v>
      </c>
      <c r="R33" s="1" t="s">
        <v>38</v>
      </c>
      <c r="T33" s="1" t="s">
        <v>157</v>
      </c>
      <c r="U33" s="186">
        <v>44456.75</v>
      </c>
      <c r="V33" s="1" t="s">
        <v>41</v>
      </c>
      <c r="W33" s="1" t="s">
        <v>49</v>
      </c>
      <c r="X33" s="13"/>
      <c r="Y33" s="2">
        <f t="shared" ca="1" si="0"/>
        <v>405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 t="str">
        <f t="shared" si="5"/>
        <v xml:space="preserve"> ROSEMERE </v>
      </c>
      <c r="AD33" s="2">
        <f t="shared" si="3"/>
        <v>8</v>
      </c>
      <c r="AE33" s="2">
        <f t="shared" ca="1" si="4"/>
        <v>-529.9262716435187</v>
      </c>
      <c r="AF33" s="15"/>
    </row>
    <row r="34" spans="1:32">
      <c r="A34" s="1">
        <v>6829206</v>
      </c>
      <c r="B34" s="1" t="s">
        <v>62</v>
      </c>
      <c r="C34" t="s">
        <v>151</v>
      </c>
      <c r="E34" s="2">
        <v>1061000203010</v>
      </c>
      <c r="F34" s="1" t="s">
        <v>152</v>
      </c>
      <c r="G34" s="1" t="s">
        <v>53</v>
      </c>
      <c r="H34" s="1" t="s">
        <v>166</v>
      </c>
      <c r="I34" s="1" t="s">
        <v>167</v>
      </c>
      <c r="J34" s="1" t="s">
        <v>85</v>
      </c>
      <c r="K34" t="s">
        <v>155</v>
      </c>
      <c r="M34" s="1" t="s">
        <v>35</v>
      </c>
      <c r="N34" s="1">
        <v>42318949</v>
      </c>
      <c r="O34" s="1" t="s">
        <v>36</v>
      </c>
      <c r="P34" s="186">
        <v>44420.811956018515</v>
      </c>
      <c r="R34" s="1" t="s">
        <v>38</v>
      </c>
      <c r="T34" s="1" t="s">
        <v>157</v>
      </c>
      <c r="U34" s="186">
        <v>44456.75</v>
      </c>
      <c r="V34" s="1" t="s">
        <v>41</v>
      </c>
      <c r="W34" s="1" t="s">
        <v>49</v>
      </c>
      <c r="X34" s="13"/>
      <c r="Y34" s="2">
        <f t="shared" ca="1" si="0"/>
        <v>405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 t="str">
        <f t="shared" si="5"/>
        <v xml:space="preserve"> RINALDO </v>
      </c>
      <c r="AD34" s="2">
        <f t="shared" si="3"/>
        <v>8</v>
      </c>
      <c r="AE34" s="2">
        <f t="shared" ca="1" si="4"/>
        <v>-529.9262716435187</v>
      </c>
      <c r="AF34" s="15"/>
    </row>
    <row r="35" spans="1:32" hidden="1">
      <c r="A35" s="1">
        <v>6829203</v>
      </c>
      <c r="B35" s="1" t="s">
        <v>62</v>
      </c>
      <c r="C35" t="s">
        <v>151</v>
      </c>
      <c r="E35" s="2">
        <v>1049000203010</v>
      </c>
      <c r="F35" s="1" t="s">
        <v>152</v>
      </c>
      <c r="G35" s="1" t="s">
        <v>53</v>
      </c>
      <c r="H35" s="1" t="s">
        <v>169</v>
      </c>
      <c r="I35" s="1" t="s">
        <v>170</v>
      </c>
      <c r="J35" s="1" t="s">
        <v>164</v>
      </c>
      <c r="K35" t="s">
        <v>155</v>
      </c>
      <c r="M35" s="1" t="s">
        <v>35</v>
      </c>
      <c r="N35" s="1">
        <v>42318949</v>
      </c>
      <c r="O35" s="1" t="s">
        <v>36</v>
      </c>
      <c r="P35" s="186">
        <v>44420.811944444446</v>
      </c>
      <c r="R35" s="1" t="s">
        <v>38</v>
      </c>
      <c r="T35" s="1" t="s">
        <v>157</v>
      </c>
      <c r="U35" s="186">
        <v>44456.75</v>
      </c>
      <c r="V35" s="1" t="s">
        <v>41</v>
      </c>
      <c r="W35" s="1" t="s">
        <v>49</v>
      </c>
      <c r="X35" s="13"/>
      <c r="Y35" s="2">
        <f t="shared" ca="1" si="0"/>
        <v>405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 t="str">
        <f t="shared" si="5"/>
        <v xml:space="preserve"> ROSEMERE </v>
      </c>
      <c r="AD35" s="2">
        <f t="shared" si="3"/>
        <v>8</v>
      </c>
      <c r="AE35" s="2">
        <f t="shared" ca="1" si="4"/>
        <v>-529.9262716435187</v>
      </c>
      <c r="AF35" s="15"/>
    </row>
    <row r="36" spans="1:32" hidden="1">
      <c r="A36" s="1">
        <v>6829198</v>
      </c>
      <c r="B36" s="1" t="s">
        <v>62</v>
      </c>
      <c r="C36" t="s">
        <v>151</v>
      </c>
      <c r="E36" s="2">
        <v>1012000203010</v>
      </c>
      <c r="F36" s="1" t="s">
        <v>152</v>
      </c>
      <c r="G36" s="1" t="s">
        <v>53</v>
      </c>
      <c r="H36" s="1" t="s">
        <v>172</v>
      </c>
      <c r="I36" s="1" t="s">
        <v>173</v>
      </c>
      <c r="J36" s="1" t="s">
        <v>164</v>
      </c>
      <c r="K36" t="s">
        <v>155</v>
      </c>
      <c r="M36" s="1" t="s">
        <v>35</v>
      </c>
      <c r="N36" s="1">
        <v>42318949</v>
      </c>
      <c r="O36" s="1" t="s">
        <v>36</v>
      </c>
      <c r="P36" s="186">
        <v>44420.811932870369</v>
      </c>
      <c r="R36" s="1" t="s">
        <v>38</v>
      </c>
      <c r="T36" s="1" t="s">
        <v>157</v>
      </c>
      <c r="U36" s="186">
        <v>44456.75</v>
      </c>
      <c r="V36" s="1" t="s">
        <v>41</v>
      </c>
      <c r="W36" s="1" t="s">
        <v>49</v>
      </c>
      <c r="X36" s="13"/>
      <c r="Y36" s="2">
        <f t="shared" ca="1" si="0"/>
        <v>405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 t="str">
        <f t="shared" si="5"/>
        <v xml:space="preserve"> ROSEMERE </v>
      </c>
      <c r="AD36" s="2">
        <f t="shared" si="3"/>
        <v>8</v>
      </c>
      <c r="AE36" s="2">
        <f t="shared" ca="1" si="4"/>
        <v>-529.9262716435187</v>
      </c>
      <c r="AF36" s="15"/>
    </row>
    <row r="37" spans="1:32">
      <c r="A37" s="1">
        <v>6829184</v>
      </c>
      <c r="B37" s="1" t="s">
        <v>62</v>
      </c>
      <c r="C37" t="s">
        <v>151</v>
      </c>
      <c r="E37" s="2">
        <v>899000203010</v>
      </c>
      <c r="F37" s="1" t="s">
        <v>152</v>
      </c>
      <c r="G37" s="1" t="s">
        <v>53</v>
      </c>
      <c r="H37" s="1" t="s">
        <v>175</v>
      </c>
      <c r="I37" s="1" t="s">
        <v>176</v>
      </c>
      <c r="J37" s="1" t="s">
        <v>90</v>
      </c>
      <c r="K37" t="s">
        <v>155</v>
      </c>
      <c r="M37" s="1" t="s">
        <v>35</v>
      </c>
      <c r="N37" s="1">
        <v>42318949</v>
      </c>
      <c r="O37" s="1" t="s">
        <v>36</v>
      </c>
      <c r="P37" s="186">
        <v>44420.811898148146</v>
      </c>
      <c r="R37" s="1" t="s">
        <v>38</v>
      </c>
      <c r="T37" s="1" t="s">
        <v>157</v>
      </c>
      <c r="U37" s="186">
        <v>44456.75</v>
      </c>
      <c r="V37" s="1" t="s">
        <v>41</v>
      </c>
      <c r="W37" s="1" t="s">
        <v>49</v>
      </c>
      <c r="X37" s="13"/>
      <c r="Y37" s="2">
        <f t="shared" ca="1" si="0"/>
        <v>405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 t="str">
        <f t="shared" si="5"/>
        <v xml:space="preserve"> RINALDO </v>
      </c>
      <c r="AD37" s="2">
        <f t="shared" si="3"/>
        <v>8</v>
      </c>
      <c r="AE37" s="2">
        <f t="shared" ca="1" si="4"/>
        <v>-529.9262716435187</v>
      </c>
      <c r="AF37" s="15"/>
    </row>
    <row r="38" spans="1:32" hidden="1">
      <c r="A38" s="1">
        <v>6842502</v>
      </c>
      <c r="B38" s="1" t="s">
        <v>62</v>
      </c>
      <c r="C38" t="s">
        <v>151</v>
      </c>
      <c r="E38" s="2">
        <v>1732000203010</v>
      </c>
      <c r="F38" s="1" t="s">
        <v>152</v>
      </c>
      <c r="G38" s="1" t="s">
        <v>53</v>
      </c>
      <c r="H38" s="1" t="s">
        <v>177</v>
      </c>
      <c r="I38" s="1" t="s">
        <v>178</v>
      </c>
      <c r="J38" s="1" t="s">
        <v>164</v>
      </c>
      <c r="K38" t="s">
        <v>155</v>
      </c>
      <c r="M38" s="1" t="s">
        <v>35</v>
      </c>
      <c r="N38" s="1">
        <v>42318949</v>
      </c>
      <c r="O38" s="1" t="s">
        <v>36</v>
      </c>
      <c r="P38" s="186">
        <v>44421.394976851851</v>
      </c>
      <c r="R38" s="1" t="s">
        <v>38</v>
      </c>
      <c r="T38" s="1" t="s">
        <v>157</v>
      </c>
      <c r="U38" s="186">
        <v>44456.75</v>
      </c>
      <c r="V38" s="1" t="s">
        <v>41</v>
      </c>
      <c r="W38" s="1" t="s">
        <v>49</v>
      </c>
      <c r="X38" s="13"/>
      <c r="Y38" s="2">
        <f t="shared" ca="1" si="0"/>
        <v>404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 t="str">
        <f t="shared" si="5"/>
        <v xml:space="preserve"> ROSEMERE </v>
      </c>
      <c r="AD38" s="2">
        <f t="shared" si="3"/>
        <v>8</v>
      </c>
      <c r="AE38" s="2">
        <f t="shared" ca="1" si="4"/>
        <v>-529.9262716435187</v>
      </c>
      <c r="AF38" s="15"/>
    </row>
    <row r="39" spans="1:32" hidden="1">
      <c r="A39" s="1">
        <v>6842406</v>
      </c>
      <c r="B39" s="1" t="s">
        <v>62</v>
      </c>
      <c r="C39" t="s">
        <v>151</v>
      </c>
      <c r="E39" s="2">
        <v>1421000203010</v>
      </c>
      <c r="F39" s="1" t="s">
        <v>152</v>
      </c>
      <c r="G39" s="1" t="s">
        <v>53</v>
      </c>
      <c r="H39" s="1" t="s">
        <v>179</v>
      </c>
      <c r="I39" s="1" t="s">
        <v>180</v>
      </c>
      <c r="J39" s="1" t="s">
        <v>79</v>
      </c>
      <c r="K39" t="s">
        <v>155</v>
      </c>
      <c r="M39" s="1" t="s">
        <v>35</v>
      </c>
      <c r="N39" s="1">
        <v>42318949</v>
      </c>
      <c r="O39" s="1" t="s">
        <v>36</v>
      </c>
      <c r="P39" s="186">
        <v>44421.394791666666</v>
      </c>
      <c r="R39" s="1" t="s">
        <v>38</v>
      </c>
      <c r="T39" s="1" t="s">
        <v>157</v>
      </c>
      <c r="U39" s="186">
        <v>44456.75</v>
      </c>
      <c r="V39" s="1" t="s">
        <v>41</v>
      </c>
      <c r="W39" s="1" t="s">
        <v>49</v>
      </c>
      <c r="X39" s="13"/>
      <c r="Y39" s="2">
        <f t="shared" ca="1" si="0"/>
        <v>404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 t="str">
        <f t="shared" si="5"/>
        <v xml:space="preserve"> ROSEMERE </v>
      </c>
      <c r="AD39" s="2">
        <f t="shared" si="3"/>
        <v>8</v>
      </c>
      <c r="AE39" s="2">
        <f t="shared" ca="1" si="4"/>
        <v>-529.9262716435187</v>
      </c>
      <c r="AF39" s="15"/>
    </row>
    <row r="40" spans="1:32" hidden="1">
      <c r="A40" s="1">
        <v>6842400</v>
      </c>
      <c r="B40" s="1" t="s">
        <v>62</v>
      </c>
      <c r="C40" t="s">
        <v>151</v>
      </c>
      <c r="E40" s="2">
        <v>1120000203010</v>
      </c>
      <c r="F40" s="1" t="s">
        <v>152</v>
      </c>
      <c r="G40" s="1" t="s">
        <v>53</v>
      </c>
      <c r="H40" s="1" t="s">
        <v>181</v>
      </c>
      <c r="I40" s="1" t="s">
        <v>182</v>
      </c>
      <c r="J40" s="1" t="s">
        <v>164</v>
      </c>
      <c r="K40" t="s">
        <v>155</v>
      </c>
      <c r="M40" s="1" t="s">
        <v>35</v>
      </c>
      <c r="N40" s="1">
        <v>42318949</v>
      </c>
      <c r="O40" s="1" t="s">
        <v>36</v>
      </c>
      <c r="P40" s="186">
        <v>44421.394780092596</v>
      </c>
      <c r="R40" s="1" t="s">
        <v>38</v>
      </c>
      <c r="T40" s="1" t="s">
        <v>157</v>
      </c>
      <c r="U40" s="186">
        <v>44456.75</v>
      </c>
      <c r="V40" s="1" t="s">
        <v>41</v>
      </c>
      <c r="W40" s="1" t="s">
        <v>49</v>
      </c>
      <c r="X40" s="13"/>
      <c r="Y40" s="2">
        <f t="shared" ca="1" si="0"/>
        <v>404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 t="str">
        <f t="shared" si="5"/>
        <v xml:space="preserve"> ROSEMERE </v>
      </c>
      <c r="AD40" s="2">
        <f t="shared" si="3"/>
        <v>8</v>
      </c>
      <c r="AE40" s="2">
        <f t="shared" ca="1" si="4"/>
        <v>-529.9262716435187</v>
      </c>
      <c r="AF40" s="15"/>
    </row>
    <row r="41" spans="1:32">
      <c r="A41" s="1">
        <v>6842393</v>
      </c>
      <c r="B41" s="1" t="s">
        <v>62</v>
      </c>
      <c r="C41" t="s">
        <v>151</v>
      </c>
      <c r="E41" s="2">
        <v>870000203010</v>
      </c>
      <c r="F41" s="1" t="s">
        <v>152</v>
      </c>
      <c r="G41" s="1" t="s">
        <v>53</v>
      </c>
      <c r="H41" s="1" t="s">
        <v>183</v>
      </c>
      <c r="I41" s="1" t="s">
        <v>184</v>
      </c>
      <c r="J41" s="1" t="s">
        <v>90</v>
      </c>
      <c r="K41" t="s">
        <v>155</v>
      </c>
      <c r="M41" s="1" t="s">
        <v>35</v>
      </c>
      <c r="N41" s="1">
        <v>42318949</v>
      </c>
      <c r="O41" s="1" t="s">
        <v>36</v>
      </c>
      <c r="P41" s="186">
        <v>44421.394768518519</v>
      </c>
      <c r="R41" s="1" t="s">
        <v>38</v>
      </c>
      <c r="T41" s="1" t="s">
        <v>157</v>
      </c>
      <c r="U41" s="186">
        <v>44456.75</v>
      </c>
      <c r="V41" s="1" t="s">
        <v>41</v>
      </c>
      <c r="W41" s="1" t="s">
        <v>49</v>
      </c>
      <c r="X41" s="13"/>
      <c r="Y41" s="2">
        <f t="shared" ca="1" si="0"/>
        <v>404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 t="str">
        <f t="shared" si="5"/>
        <v xml:space="preserve"> RINALDO </v>
      </c>
      <c r="AD41" s="2">
        <f t="shared" si="3"/>
        <v>8</v>
      </c>
      <c r="AE41" s="2">
        <f t="shared" ca="1" si="4"/>
        <v>-529.9262716435187</v>
      </c>
      <c r="AF41" s="15"/>
    </row>
    <row r="42" spans="1:32" hidden="1">
      <c r="A42" s="1">
        <v>6966972</v>
      </c>
      <c r="B42" s="1" t="s">
        <v>27</v>
      </c>
      <c r="C42" t="s">
        <v>186</v>
      </c>
      <c r="E42" s="2">
        <v>7740206001</v>
      </c>
      <c r="F42" s="1" t="s">
        <v>29</v>
      </c>
      <c r="G42" s="1" t="s">
        <v>53</v>
      </c>
      <c r="H42" s="1" t="s">
        <v>187</v>
      </c>
      <c r="I42" s="1" t="s">
        <v>188</v>
      </c>
      <c r="J42" s="1" t="s">
        <v>46</v>
      </c>
      <c r="K42" t="s">
        <v>34</v>
      </c>
      <c r="M42" s="1" t="s">
        <v>35</v>
      </c>
      <c r="N42" s="1">
        <v>42318949</v>
      </c>
      <c r="O42" s="1" t="s">
        <v>105</v>
      </c>
      <c r="P42" s="186">
        <v>44426.85628472222</v>
      </c>
      <c r="R42" s="1" t="s">
        <v>38</v>
      </c>
      <c r="T42" s="1" t="s">
        <v>74</v>
      </c>
      <c r="U42" s="186">
        <v>44427.75</v>
      </c>
      <c r="V42" s="1" t="s">
        <v>41</v>
      </c>
      <c r="W42" s="1" t="s">
        <v>49</v>
      </c>
      <c r="X42" s="13"/>
      <c r="Y42" s="2">
        <f t="shared" ca="1" si="0"/>
        <v>401</v>
      </c>
      <c r="Z42" s="14">
        <v>1</v>
      </c>
      <c r="AA42" s="1" t="str">
        <f t="shared" ca="1" si="1"/>
        <v>VENCIDO</v>
      </c>
      <c r="AB42" s="1" t="str">
        <f t="shared" si="2"/>
        <v>Dosa</v>
      </c>
      <c r="AC42" s="2" t="str">
        <f t="shared" si="5"/>
        <v xml:space="preserve"> CLEITON </v>
      </c>
      <c r="AD42" s="2">
        <f t="shared" si="3"/>
        <v>5</v>
      </c>
      <c r="AE42" s="2">
        <f t="shared" ca="1" si="4"/>
        <v>-558.9262716435187</v>
      </c>
      <c r="AF42" s="15"/>
    </row>
    <row r="43" spans="1:32" hidden="1">
      <c r="A43" s="1">
        <v>6986331</v>
      </c>
      <c r="B43" s="1" t="s">
        <v>27</v>
      </c>
      <c r="C43" t="s">
        <v>186</v>
      </c>
      <c r="E43" s="2">
        <v>2326000206001</v>
      </c>
      <c r="F43" s="1" t="s">
        <v>29</v>
      </c>
      <c r="G43" s="1" t="s">
        <v>53</v>
      </c>
      <c r="H43" s="1" t="s">
        <v>191</v>
      </c>
      <c r="I43" s="1" t="s">
        <v>192</v>
      </c>
      <c r="J43" s="1" t="s">
        <v>46</v>
      </c>
      <c r="K43" t="s">
        <v>34</v>
      </c>
      <c r="M43" s="1" t="s">
        <v>35</v>
      </c>
      <c r="N43" s="1">
        <v>42318949</v>
      </c>
      <c r="O43" s="1" t="s">
        <v>105</v>
      </c>
      <c r="P43" s="186">
        <v>44427.683576388888</v>
      </c>
      <c r="R43" s="1" t="s">
        <v>38</v>
      </c>
      <c r="T43" s="1" t="s">
        <v>74</v>
      </c>
      <c r="U43" s="186">
        <v>44427.75</v>
      </c>
      <c r="V43" s="1" t="s">
        <v>41</v>
      </c>
      <c r="W43" s="1" t="s">
        <v>49</v>
      </c>
      <c r="X43" s="13"/>
      <c r="Y43" s="2">
        <f t="shared" ca="1" si="0"/>
        <v>400</v>
      </c>
      <c r="Z43" s="14">
        <v>1</v>
      </c>
      <c r="AA43" s="1" t="str">
        <f t="shared" ca="1" si="1"/>
        <v>VENCIDO</v>
      </c>
      <c r="AB43" s="1" t="str">
        <f t="shared" si="2"/>
        <v>Dosa</v>
      </c>
      <c r="AC43" s="2" t="str">
        <f t="shared" si="5"/>
        <v xml:space="preserve"> CLEITON </v>
      </c>
      <c r="AD43" s="2">
        <f t="shared" si="3"/>
        <v>5</v>
      </c>
      <c r="AE43" s="2">
        <f t="shared" ca="1" si="4"/>
        <v>-558.9262716435187</v>
      </c>
      <c r="AF43" s="15"/>
    </row>
    <row r="44" spans="1:32" hidden="1">
      <c r="A44" s="1">
        <v>6986330</v>
      </c>
      <c r="B44" s="1" t="s">
        <v>27</v>
      </c>
      <c r="C44" t="s">
        <v>186</v>
      </c>
      <c r="E44" s="2">
        <v>2335000206001</v>
      </c>
      <c r="F44" s="1" t="s">
        <v>29</v>
      </c>
      <c r="G44" s="1" t="s">
        <v>53</v>
      </c>
      <c r="H44" s="1" t="s">
        <v>194</v>
      </c>
      <c r="I44" s="1" t="s">
        <v>195</v>
      </c>
      <c r="J44" s="1" t="s">
        <v>110</v>
      </c>
      <c r="K44" t="s">
        <v>34</v>
      </c>
      <c r="M44" s="1" t="s">
        <v>35</v>
      </c>
      <c r="N44" s="1">
        <v>42318949</v>
      </c>
      <c r="O44" s="1" t="s">
        <v>36</v>
      </c>
      <c r="P44" s="186">
        <v>44427.683136574073</v>
      </c>
      <c r="R44" s="1" t="s">
        <v>38</v>
      </c>
      <c r="T44" s="1" t="s">
        <v>74</v>
      </c>
      <c r="U44" s="186">
        <v>44427.75</v>
      </c>
      <c r="V44" s="1" t="s">
        <v>41</v>
      </c>
      <c r="W44" s="1" t="s">
        <v>49</v>
      </c>
      <c r="X44" s="13"/>
      <c r="Y44" s="2">
        <f t="shared" ca="1" si="0"/>
        <v>400</v>
      </c>
      <c r="Z44" s="14">
        <v>1</v>
      </c>
      <c r="AA44" s="1" t="str">
        <f t="shared" ca="1" si="1"/>
        <v>VENCIDO</v>
      </c>
      <c r="AB44" s="1" t="str">
        <f t="shared" si="2"/>
        <v>Dosa</v>
      </c>
      <c r="AC44" s="2" t="str">
        <f t="shared" si="5"/>
        <v xml:space="preserve"> CRISTINA </v>
      </c>
      <c r="AD44" s="2">
        <f t="shared" si="3"/>
        <v>5</v>
      </c>
      <c r="AE44" s="2">
        <f t="shared" ca="1" si="4"/>
        <v>-558.9262716435187</v>
      </c>
      <c r="AF44" s="15"/>
    </row>
    <row r="45" spans="1:32" hidden="1">
      <c r="A45" s="1">
        <v>6981314</v>
      </c>
      <c r="B45" s="1" t="s">
        <v>27</v>
      </c>
      <c r="C45" t="s">
        <v>186</v>
      </c>
      <c r="E45" s="2">
        <v>4357010206001</v>
      </c>
      <c r="F45" s="1" t="s">
        <v>29</v>
      </c>
      <c r="G45" s="1" t="s">
        <v>53</v>
      </c>
      <c r="H45" s="1" t="s">
        <v>197</v>
      </c>
      <c r="I45" s="1" t="s">
        <v>198</v>
      </c>
      <c r="J45" s="1" t="s">
        <v>46</v>
      </c>
      <c r="K45" t="s">
        <v>34</v>
      </c>
      <c r="M45" s="1" t="s">
        <v>35</v>
      </c>
      <c r="N45" s="1">
        <v>42318949</v>
      </c>
      <c r="O45" s="1" t="s">
        <v>36</v>
      </c>
      <c r="P45" s="186">
        <v>44427.488483796296</v>
      </c>
      <c r="R45" s="1" t="s">
        <v>38</v>
      </c>
      <c r="T45" s="1" t="s">
        <v>74</v>
      </c>
      <c r="U45" s="186">
        <v>44427.75</v>
      </c>
      <c r="V45" s="1" t="s">
        <v>41</v>
      </c>
      <c r="W45" s="1" t="s">
        <v>49</v>
      </c>
      <c r="X45" s="13"/>
      <c r="Y45" s="2">
        <f t="shared" ca="1" si="0"/>
        <v>400</v>
      </c>
      <c r="Z45" s="14">
        <v>1</v>
      </c>
      <c r="AA45" s="1" t="str">
        <f t="shared" ca="1" si="1"/>
        <v>VENCIDO</v>
      </c>
      <c r="AB45" s="1" t="str">
        <f t="shared" si="2"/>
        <v>Dosa</v>
      </c>
      <c r="AC45" s="2" t="str">
        <f t="shared" si="5"/>
        <v xml:space="preserve"> CLEITON </v>
      </c>
      <c r="AD45" s="2">
        <f t="shared" si="3"/>
        <v>5</v>
      </c>
      <c r="AE45" s="2">
        <f t="shared" ca="1" si="4"/>
        <v>-558.9262716435187</v>
      </c>
      <c r="AF45" s="15"/>
    </row>
    <row r="46" spans="1:32">
      <c r="A46" s="1">
        <v>7150745</v>
      </c>
      <c r="B46" s="1" t="s">
        <v>101</v>
      </c>
      <c r="C46" t="s">
        <v>199</v>
      </c>
      <c r="E46" s="2">
        <v>1059002060021</v>
      </c>
      <c r="F46" s="1" t="s">
        <v>103</v>
      </c>
      <c r="G46" s="1" t="s">
        <v>53</v>
      </c>
      <c r="H46" s="1" t="s">
        <v>88</v>
      </c>
      <c r="I46" s="1" t="s">
        <v>89</v>
      </c>
      <c r="J46" s="1" t="s">
        <v>90</v>
      </c>
      <c r="K46" t="s">
        <v>104</v>
      </c>
      <c r="M46" s="1" t="s">
        <v>58</v>
      </c>
      <c r="N46" s="1">
        <v>0</v>
      </c>
      <c r="O46" s="1" t="s">
        <v>36</v>
      </c>
      <c r="P46" s="186">
        <v>44434.404027777775</v>
      </c>
      <c r="R46" s="1" t="s">
        <v>38</v>
      </c>
      <c r="T46" s="1" t="s">
        <v>74</v>
      </c>
      <c r="U46" s="186">
        <v>44434.75</v>
      </c>
      <c r="V46" s="1" t="s">
        <v>41</v>
      </c>
      <c r="W46" s="1" t="s">
        <v>49</v>
      </c>
      <c r="X46" s="13"/>
      <c r="Y46" s="2">
        <f t="shared" ca="1" si="0"/>
        <v>395</v>
      </c>
      <c r="Z46" s="14">
        <v>1</v>
      </c>
      <c r="AA46" s="1" t="str">
        <f t="shared" ca="1" si="1"/>
        <v>VENCIDO</v>
      </c>
      <c r="AB46" s="1" t="str">
        <f t="shared" si="2"/>
        <v>Dosa</v>
      </c>
      <c r="AC46" s="2" t="str">
        <f t="shared" si="5"/>
        <v xml:space="preserve"> RINALDO </v>
      </c>
      <c r="AD46" s="2">
        <f t="shared" si="3"/>
        <v>5</v>
      </c>
      <c r="AE46" s="2">
        <f t="shared" ca="1" si="4"/>
        <v>-551.9262716435187</v>
      </c>
      <c r="AF46" s="15"/>
    </row>
    <row r="47" spans="1:32" hidden="1">
      <c r="A47" s="1">
        <v>7150715</v>
      </c>
      <c r="B47" s="1" t="s">
        <v>101</v>
      </c>
      <c r="C47" t="s">
        <v>199</v>
      </c>
      <c r="E47" s="2">
        <v>711002060021</v>
      </c>
      <c r="F47" s="1" t="s">
        <v>103</v>
      </c>
      <c r="G47" s="1" t="s">
        <v>53</v>
      </c>
      <c r="H47" s="1" t="s">
        <v>77</v>
      </c>
      <c r="I47" s="1" t="s">
        <v>78</v>
      </c>
      <c r="J47" s="1" t="s">
        <v>79</v>
      </c>
      <c r="K47" t="s">
        <v>104</v>
      </c>
      <c r="M47" s="1" t="s">
        <v>58</v>
      </c>
      <c r="N47" s="1">
        <v>0</v>
      </c>
      <c r="O47" s="1" t="s">
        <v>105</v>
      </c>
      <c r="P47" s="186">
        <v>44434.403935185182</v>
      </c>
      <c r="R47" s="1" t="s">
        <v>38</v>
      </c>
      <c r="T47" s="1" t="s">
        <v>74</v>
      </c>
      <c r="U47" s="186">
        <v>44434.75</v>
      </c>
      <c r="V47" s="1" t="s">
        <v>41</v>
      </c>
      <c r="W47" s="1" t="s">
        <v>49</v>
      </c>
      <c r="X47" s="13"/>
      <c r="Y47" s="2">
        <f t="shared" ca="1" si="0"/>
        <v>395</v>
      </c>
      <c r="Z47" s="14">
        <v>1</v>
      </c>
      <c r="AA47" s="1" t="str">
        <f t="shared" ca="1" si="1"/>
        <v>VENCIDO</v>
      </c>
      <c r="AB47" s="1" t="str">
        <f t="shared" si="2"/>
        <v>Dosa</v>
      </c>
      <c r="AC47" s="2" t="str">
        <f t="shared" si="5"/>
        <v xml:space="preserve"> ROSEMERE </v>
      </c>
      <c r="AD47" s="2">
        <f t="shared" si="3"/>
        <v>5</v>
      </c>
      <c r="AE47" s="2">
        <f t="shared" ca="1" si="4"/>
        <v>-551.9262716435187</v>
      </c>
      <c r="AF47" s="15"/>
    </row>
    <row r="48" spans="1:32">
      <c r="A48" s="1">
        <v>7150500</v>
      </c>
      <c r="B48" s="1" t="s">
        <v>101</v>
      </c>
      <c r="C48" t="s">
        <v>203</v>
      </c>
      <c r="E48" s="2">
        <v>9705000206121</v>
      </c>
      <c r="F48" s="1" t="s">
        <v>113</v>
      </c>
      <c r="G48" s="1" t="s">
        <v>53</v>
      </c>
      <c r="H48" s="1" t="s">
        <v>204</v>
      </c>
      <c r="I48" s="1" t="s">
        <v>205</v>
      </c>
      <c r="J48" s="1" t="s">
        <v>90</v>
      </c>
      <c r="K48" t="s">
        <v>116</v>
      </c>
      <c r="M48" s="1" t="s">
        <v>35</v>
      </c>
      <c r="N48" s="1">
        <v>42318949</v>
      </c>
      <c r="O48" s="1" t="s">
        <v>105</v>
      </c>
      <c r="P48" s="186">
        <v>44434.403564814813</v>
      </c>
      <c r="R48" s="1" t="s">
        <v>38</v>
      </c>
      <c r="T48" s="1" t="s">
        <v>74</v>
      </c>
      <c r="U48" s="186">
        <v>44434.75</v>
      </c>
      <c r="V48" s="1" t="s">
        <v>41</v>
      </c>
      <c r="W48" s="1" t="s">
        <v>49</v>
      </c>
      <c r="X48" s="13"/>
      <c r="Y48" s="2">
        <f t="shared" ca="1" si="0"/>
        <v>395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 t="str">
        <f t="shared" si="5"/>
        <v xml:space="preserve"> RINALDO </v>
      </c>
      <c r="AD48" s="2">
        <f t="shared" si="3"/>
        <v>8</v>
      </c>
      <c r="AE48" s="2">
        <f t="shared" ca="1" si="4"/>
        <v>-551.9262716435187</v>
      </c>
      <c r="AF48" s="15"/>
    </row>
    <row r="49" spans="1:32">
      <c r="A49" s="1">
        <v>7149319</v>
      </c>
      <c r="B49" s="1" t="s">
        <v>101</v>
      </c>
      <c r="C49" t="s">
        <v>207</v>
      </c>
      <c r="E49" s="2">
        <v>9700000206215</v>
      </c>
      <c r="F49" s="1" t="s">
        <v>208</v>
      </c>
      <c r="G49" s="1" t="s">
        <v>53</v>
      </c>
      <c r="H49" s="1" t="s">
        <v>209</v>
      </c>
      <c r="I49" s="1" t="s">
        <v>210</v>
      </c>
      <c r="J49" s="1" t="s">
        <v>211</v>
      </c>
      <c r="K49" t="s">
        <v>212</v>
      </c>
      <c r="M49" s="1" t="s">
        <v>35</v>
      </c>
      <c r="N49" s="1">
        <v>42318949</v>
      </c>
      <c r="O49" s="1" t="s">
        <v>105</v>
      </c>
      <c r="P49" s="186">
        <v>44434.401979166665</v>
      </c>
      <c r="R49" s="1" t="s">
        <v>38</v>
      </c>
      <c r="T49" s="1" t="s">
        <v>74</v>
      </c>
      <c r="U49" s="186">
        <v>44434.75</v>
      </c>
      <c r="V49" s="1" t="s">
        <v>41</v>
      </c>
      <c r="W49" s="1" t="s">
        <v>49</v>
      </c>
      <c r="X49" s="13"/>
      <c r="Y49" s="2">
        <f t="shared" ca="1" si="0"/>
        <v>395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 t="str">
        <f t="shared" si="5"/>
        <v xml:space="preserve"> RINALDO </v>
      </c>
      <c r="AD49" s="2">
        <f t="shared" si="3"/>
        <v>8</v>
      </c>
      <c r="AE49" s="2">
        <f t="shared" ca="1" si="4"/>
        <v>-551.9262716435187</v>
      </c>
      <c r="AF49" s="15"/>
    </row>
    <row r="50" spans="1:32">
      <c r="A50" s="1">
        <v>7148873</v>
      </c>
      <c r="B50" s="1" t="s">
        <v>101</v>
      </c>
      <c r="C50" t="s">
        <v>207</v>
      </c>
      <c r="E50" s="2">
        <v>9700000206206</v>
      </c>
      <c r="F50" s="1" t="s">
        <v>208</v>
      </c>
      <c r="G50" s="1" t="s">
        <v>53</v>
      </c>
      <c r="H50" s="1" t="s">
        <v>209</v>
      </c>
      <c r="I50" s="1" t="s">
        <v>210</v>
      </c>
      <c r="J50" s="1" t="s">
        <v>211</v>
      </c>
      <c r="K50" t="s">
        <v>212</v>
      </c>
      <c r="M50" s="1" t="s">
        <v>35</v>
      </c>
      <c r="N50" s="1">
        <v>42318949</v>
      </c>
      <c r="O50" s="1" t="s">
        <v>105</v>
      </c>
      <c r="P50" s="186">
        <v>44434.401319444441</v>
      </c>
      <c r="R50" s="1" t="s">
        <v>38</v>
      </c>
      <c r="T50" s="1" t="s">
        <v>74</v>
      </c>
      <c r="U50" s="186">
        <v>44434.75</v>
      </c>
      <c r="V50" s="1" t="s">
        <v>41</v>
      </c>
      <c r="W50" s="1" t="s">
        <v>49</v>
      </c>
      <c r="X50" s="13"/>
      <c r="Y50" s="2">
        <f t="shared" ca="1" si="0"/>
        <v>395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 t="str">
        <f t="shared" si="5"/>
        <v xml:space="preserve"> RINALDO </v>
      </c>
      <c r="AD50" s="2">
        <f t="shared" si="3"/>
        <v>8</v>
      </c>
      <c r="AE50" s="2">
        <f t="shared" ca="1" si="4"/>
        <v>-551.9262716435187</v>
      </c>
      <c r="AF50" s="15"/>
    </row>
    <row r="51" spans="1:32">
      <c r="A51" s="1">
        <v>7148559</v>
      </c>
      <c r="B51" s="1" t="s">
        <v>101</v>
      </c>
      <c r="C51" t="s">
        <v>207</v>
      </c>
      <c r="E51" s="2">
        <v>9700000206208</v>
      </c>
      <c r="F51" s="1" t="s">
        <v>208</v>
      </c>
      <c r="G51" s="1" t="s">
        <v>53</v>
      </c>
      <c r="H51" s="1" t="s">
        <v>209</v>
      </c>
      <c r="I51" s="1" t="s">
        <v>210</v>
      </c>
      <c r="J51" s="1" t="s">
        <v>211</v>
      </c>
      <c r="K51" t="s">
        <v>212</v>
      </c>
      <c r="M51" s="1" t="s">
        <v>35</v>
      </c>
      <c r="N51" s="1">
        <v>42318949</v>
      </c>
      <c r="O51" s="1" t="s">
        <v>105</v>
      </c>
      <c r="P51" s="186">
        <v>44434.400891203702</v>
      </c>
      <c r="R51" s="1" t="s">
        <v>38</v>
      </c>
      <c r="T51" s="1" t="s">
        <v>74</v>
      </c>
      <c r="U51" s="186">
        <v>44434.75</v>
      </c>
      <c r="V51" s="1" t="s">
        <v>41</v>
      </c>
      <c r="W51" s="1" t="s">
        <v>49</v>
      </c>
      <c r="X51" s="13"/>
      <c r="Y51" s="2">
        <f t="shared" ca="1" si="0"/>
        <v>395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 t="str">
        <f t="shared" si="5"/>
        <v xml:space="preserve"> RINALDO </v>
      </c>
      <c r="AD51" s="2">
        <f t="shared" si="3"/>
        <v>8</v>
      </c>
      <c r="AE51" s="2">
        <f t="shared" ca="1" si="4"/>
        <v>-551.9262716435187</v>
      </c>
      <c r="AF51" s="15"/>
    </row>
    <row r="52" spans="1:32">
      <c r="A52" s="1">
        <v>7148259</v>
      </c>
      <c r="B52" s="1" t="s">
        <v>101</v>
      </c>
      <c r="C52" t="s">
        <v>207</v>
      </c>
      <c r="E52" s="2">
        <v>9700000206202</v>
      </c>
      <c r="F52" s="1" t="s">
        <v>208</v>
      </c>
      <c r="G52" s="1" t="s">
        <v>53</v>
      </c>
      <c r="H52" s="1" t="s">
        <v>209</v>
      </c>
      <c r="I52" s="1" t="s">
        <v>210</v>
      </c>
      <c r="J52" s="1" t="s">
        <v>211</v>
      </c>
      <c r="K52" t="s">
        <v>212</v>
      </c>
      <c r="M52" s="1" t="s">
        <v>35</v>
      </c>
      <c r="N52" s="1">
        <v>42318949</v>
      </c>
      <c r="O52" s="1" t="s">
        <v>105</v>
      </c>
      <c r="P52" s="186">
        <v>44434.400416666664</v>
      </c>
      <c r="R52" s="1" t="s">
        <v>38</v>
      </c>
      <c r="T52" s="1" t="s">
        <v>74</v>
      </c>
      <c r="U52" s="186">
        <v>44434.75</v>
      </c>
      <c r="V52" s="1" t="s">
        <v>41</v>
      </c>
      <c r="W52" s="1" t="s">
        <v>49</v>
      </c>
      <c r="X52" s="13"/>
      <c r="Y52" s="2">
        <f t="shared" ca="1" si="0"/>
        <v>395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 t="str">
        <f t="shared" si="5"/>
        <v xml:space="preserve"> RINALDO </v>
      </c>
      <c r="AD52" s="2">
        <f t="shared" si="3"/>
        <v>8</v>
      </c>
      <c r="AE52" s="2">
        <f t="shared" ca="1" si="4"/>
        <v>-551.9262716435187</v>
      </c>
      <c r="AF52" s="15"/>
    </row>
    <row r="53" spans="1:32">
      <c r="A53" s="1">
        <v>7148258</v>
      </c>
      <c r="B53" s="1" t="s">
        <v>101</v>
      </c>
      <c r="C53" t="s">
        <v>207</v>
      </c>
      <c r="E53" s="2">
        <v>9700000206200</v>
      </c>
      <c r="F53" s="1" t="s">
        <v>208</v>
      </c>
      <c r="G53" s="1" t="s">
        <v>53</v>
      </c>
      <c r="H53" s="1" t="s">
        <v>209</v>
      </c>
      <c r="I53" s="1" t="s">
        <v>210</v>
      </c>
      <c r="J53" s="1" t="s">
        <v>211</v>
      </c>
      <c r="K53" t="s">
        <v>212</v>
      </c>
      <c r="M53" s="1" t="s">
        <v>35</v>
      </c>
      <c r="N53" s="1">
        <v>42318949</v>
      </c>
      <c r="O53" s="1" t="s">
        <v>105</v>
      </c>
      <c r="P53" s="186">
        <v>44434.400405092594</v>
      </c>
      <c r="R53" s="1" t="s">
        <v>38</v>
      </c>
      <c r="T53" s="1" t="s">
        <v>74</v>
      </c>
      <c r="U53" s="186">
        <v>44434.75</v>
      </c>
      <c r="V53" s="1" t="s">
        <v>41</v>
      </c>
      <c r="W53" s="1" t="s">
        <v>49</v>
      </c>
      <c r="X53" s="13"/>
      <c r="Y53" s="2">
        <f t="shared" ca="1" si="0"/>
        <v>395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 t="str">
        <f t="shared" si="5"/>
        <v xml:space="preserve"> RINALDO </v>
      </c>
      <c r="AD53" s="2">
        <f t="shared" si="3"/>
        <v>8</v>
      </c>
      <c r="AE53" s="2">
        <f t="shared" ca="1" si="4"/>
        <v>-551.9262716435187</v>
      </c>
      <c r="AF53" s="15"/>
    </row>
    <row r="54" spans="1:32">
      <c r="A54" s="1">
        <v>7148018</v>
      </c>
      <c r="B54" s="1" t="s">
        <v>101</v>
      </c>
      <c r="C54" t="s">
        <v>207</v>
      </c>
      <c r="E54" s="2">
        <v>9700000206214</v>
      </c>
      <c r="F54" s="1" t="s">
        <v>208</v>
      </c>
      <c r="G54" s="1" t="s">
        <v>53</v>
      </c>
      <c r="H54" s="1" t="s">
        <v>209</v>
      </c>
      <c r="I54" s="1" t="s">
        <v>210</v>
      </c>
      <c r="J54" s="1" t="s">
        <v>211</v>
      </c>
      <c r="K54" t="s">
        <v>212</v>
      </c>
      <c r="M54" s="1" t="s">
        <v>35</v>
      </c>
      <c r="N54" s="1">
        <v>42318949</v>
      </c>
      <c r="O54" s="1" t="s">
        <v>105</v>
      </c>
      <c r="P54" s="186">
        <v>44434.399953703702</v>
      </c>
      <c r="R54" s="1" t="s">
        <v>38</v>
      </c>
      <c r="T54" s="1" t="s">
        <v>74</v>
      </c>
      <c r="U54" s="186">
        <v>44434.75</v>
      </c>
      <c r="V54" s="1" t="s">
        <v>41</v>
      </c>
      <c r="W54" s="1" t="s">
        <v>49</v>
      </c>
      <c r="X54" s="13"/>
      <c r="Y54" s="2">
        <f t="shared" ca="1" si="0"/>
        <v>395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 t="str">
        <f t="shared" si="5"/>
        <v xml:space="preserve"> RINALDO </v>
      </c>
      <c r="AD54" s="2">
        <f t="shared" si="3"/>
        <v>8</v>
      </c>
      <c r="AE54" s="2">
        <f t="shared" ca="1" si="4"/>
        <v>-551.9262716435187</v>
      </c>
      <c r="AF54" s="15"/>
    </row>
    <row r="55" spans="1:32">
      <c r="A55" s="1">
        <v>7147788</v>
      </c>
      <c r="B55" s="1" t="s">
        <v>101</v>
      </c>
      <c r="C55" t="s">
        <v>207</v>
      </c>
      <c r="E55" s="2">
        <v>9700000206219</v>
      </c>
      <c r="F55" s="1" t="s">
        <v>208</v>
      </c>
      <c r="G55" s="1" t="s">
        <v>53</v>
      </c>
      <c r="H55" s="1" t="s">
        <v>209</v>
      </c>
      <c r="I55" s="1" t="s">
        <v>210</v>
      </c>
      <c r="J55" s="1" t="s">
        <v>211</v>
      </c>
      <c r="K55" t="s">
        <v>212</v>
      </c>
      <c r="M55" s="1" t="s">
        <v>35</v>
      </c>
      <c r="N55" s="1">
        <v>42318949</v>
      </c>
      <c r="O55" s="1" t="s">
        <v>105</v>
      </c>
      <c r="P55" s="186">
        <v>44434.39947916667</v>
      </c>
      <c r="R55" s="1" t="s">
        <v>38</v>
      </c>
      <c r="T55" s="1" t="s">
        <v>74</v>
      </c>
      <c r="U55" s="186">
        <v>44434.75</v>
      </c>
      <c r="V55" s="1" t="s">
        <v>41</v>
      </c>
      <c r="W55" s="1" t="s">
        <v>49</v>
      </c>
      <c r="X55" s="13"/>
      <c r="Y55" s="2">
        <f t="shared" ca="1" si="0"/>
        <v>395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 t="str">
        <f t="shared" si="5"/>
        <v xml:space="preserve"> RINALDO </v>
      </c>
      <c r="AD55" s="2">
        <f t="shared" si="3"/>
        <v>8</v>
      </c>
      <c r="AE55" s="2">
        <f t="shared" ca="1" si="4"/>
        <v>-551.9262716435187</v>
      </c>
      <c r="AF55" s="15"/>
    </row>
    <row r="56" spans="1:32">
      <c r="A56" s="1">
        <v>7147787</v>
      </c>
      <c r="B56" s="1" t="s">
        <v>101</v>
      </c>
      <c r="C56" t="s">
        <v>207</v>
      </c>
      <c r="E56" s="2">
        <v>9700000206210</v>
      </c>
      <c r="F56" s="1" t="s">
        <v>208</v>
      </c>
      <c r="G56" s="1" t="s">
        <v>53</v>
      </c>
      <c r="H56" s="1" t="s">
        <v>209</v>
      </c>
      <c r="I56" s="1" t="s">
        <v>210</v>
      </c>
      <c r="J56" s="1" t="s">
        <v>211</v>
      </c>
      <c r="K56" t="s">
        <v>212</v>
      </c>
      <c r="M56" s="1" t="s">
        <v>35</v>
      </c>
      <c r="N56" s="1">
        <v>42318949</v>
      </c>
      <c r="O56" s="1" t="s">
        <v>105</v>
      </c>
      <c r="P56" s="186">
        <v>44434.39947916667</v>
      </c>
      <c r="R56" s="1" t="s">
        <v>38</v>
      </c>
      <c r="T56" s="1" t="s">
        <v>74</v>
      </c>
      <c r="U56" s="186">
        <v>44434.75</v>
      </c>
      <c r="V56" s="1" t="s">
        <v>41</v>
      </c>
      <c r="W56" s="1" t="s">
        <v>49</v>
      </c>
      <c r="X56" s="13"/>
      <c r="Y56" s="2">
        <f t="shared" ca="1" si="0"/>
        <v>395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 t="str">
        <f t="shared" si="5"/>
        <v xml:space="preserve"> RINALDO </v>
      </c>
      <c r="AD56" s="2">
        <f t="shared" si="3"/>
        <v>8</v>
      </c>
      <c r="AE56" s="2">
        <f t="shared" ca="1" si="4"/>
        <v>-551.9262716435187</v>
      </c>
      <c r="AF56" s="15"/>
    </row>
    <row r="57" spans="1:32">
      <c r="A57" s="1">
        <v>7146947</v>
      </c>
      <c r="B57" s="1" t="s">
        <v>101</v>
      </c>
      <c r="C57" t="s">
        <v>207</v>
      </c>
      <c r="E57" s="2">
        <v>9700000206218</v>
      </c>
      <c r="F57" s="1" t="s">
        <v>208</v>
      </c>
      <c r="G57" s="1" t="s">
        <v>53</v>
      </c>
      <c r="H57" s="1" t="s">
        <v>209</v>
      </c>
      <c r="I57" s="1" t="s">
        <v>210</v>
      </c>
      <c r="J57" s="1" t="s">
        <v>211</v>
      </c>
      <c r="K57" t="s">
        <v>212</v>
      </c>
      <c r="M57" s="1" t="s">
        <v>35</v>
      </c>
      <c r="N57" s="1">
        <v>42318949</v>
      </c>
      <c r="O57" s="1" t="s">
        <v>105</v>
      </c>
      <c r="P57" s="186">
        <v>44434.398113425923</v>
      </c>
      <c r="R57" s="1" t="s">
        <v>38</v>
      </c>
      <c r="T57" s="1" t="s">
        <v>74</v>
      </c>
      <c r="U57" s="186">
        <v>44434.75</v>
      </c>
      <c r="V57" s="1" t="s">
        <v>41</v>
      </c>
      <c r="W57" s="1" t="s">
        <v>49</v>
      </c>
      <c r="X57" s="13"/>
      <c r="Y57" s="2">
        <f t="shared" ca="1" si="0"/>
        <v>395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 t="str">
        <f t="shared" si="5"/>
        <v xml:space="preserve"> RINALDO </v>
      </c>
      <c r="AD57" s="2">
        <f t="shared" si="3"/>
        <v>8</v>
      </c>
      <c r="AE57" s="2">
        <f t="shared" ca="1" si="4"/>
        <v>-551.9262716435187</v>
      </c>
      <c r="AF57" s="15"/>
    </row>
    <row r="58" spans="1:32">
      <c r="A58" s="1">
        <v>7146818</v>
      </c>
      <c r="B58" s="1" t="s">
        <v>101</v>
      </c>
      <c r="C58" t="s">
        <v>207</v>
      </c>
      <c r="E58" s="2">
        <v>9700000206203</v>
      </c>
      <c r="F58" s="1" t="s">
        <v>208</v>
      </c>
      <c r="G58" s="1" t="s">
        <v>53</v>
      </c>
      <c r="H58" s="1" t="s">
        <v>209</v>
      </c>
      <c r="I58" s="1" t="s">
        <v>210</v>
      </c>
      <c r="J58" s="1" t="s">
        <v>211</v>
      </c>
      <c r="K58" t="s">
        <v>212</v>
      </c>
      <c r="M58" s="1" t="s">
        <v>35</v>
      </c>
      <c r="N58" s="1">
        <v>42318949</v>
      </c>
      <c r="O58" s="1" t="s">
        <v>105</v>
      </c>
      <c r="P58" s="186">
        <v>44434.397800925923</v>
      </c>
      <c r="R58" s="1" t="s">
        <v>38</v>
      </c>
      <c r="T58" s="1" t="s">
        <v>74</v>
      </c>
      <c r="U58" s="186">
        <v>44434.75</v>
      </c>
      <c r="V58" s="1" t="s">
        <v>41</v>
      </c>
      <c r="W58" s="1" t="s">
        <v>49</v>
      </c>
      <c r="X58" s="13"/>
      <c r="Y58" s="2">
        <f t="shared" ca="1" si="0"/>
        <v>395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 t="str">
        <f t="shared" si="5"/>
        <v xml:space="preserve"> RINALDO </v>
      </c>
      <c r="AD58" s="2">
        <f t="shared" si="3"/>
        <v>8</v>
      </c>
      <c r="AE58" s="2">
        <f t="shared" ca="1" si="4"/>
        <v>-551.9262716435187</v>
      </c>
      <c r="AF58" s="15"/>
    </row>
    <row r="59" spans="1:32">
      <c r="A59" s="1">
        <v>7146758</v>
      </c>
      <c r="B59" s="1" t="s">
        <v>101</v>
      </c>
      <c r="C59" t="s">
        <v>207</v>
      </c>
      <c r="E59" s="2">
        <v>9700000206201</v>
      </c>
      <c r="F59" s="1" t="s">
        <v>208</v>
      </c>
      <c r="G59" s="1" t="s">
        <v>53</v>
      </c>
      <c r="H59" s="1" t="s">
        <v>209</v>
      </c>
      <c r="I59" s="1" t="s">
        <v>210</v>
      </c>
      <c r="J59" s="1" t="s">
        <v>211</v>
      </c>
      <c r="K59" t="s">
        <v>212</v>
      </c>
      <c r="M59" s="1" t="s">
        <v>35</v>
      </c>
      <c r="N59" s="1">
        <v>42318949</v>
      </c>
      <c r="O59" s="1" t="s">
        <v>105</v>
      </c>
      <c r="P59" s="186">
        <v>44434.397673611114</v>
      </c>
      <c r="R59" s="1" t="s">
        <v>38</v>
      </c>
      <c r="T59" s="1" t="s">
        <v>74</v>
      </c>
      <c r="U59" s="186">
        <v>44434.75</v>
      </c>
      <c r="V59" s="1" t="s">
        <v>41</v>
      </c>
      <c r="W59" s="1" t="s">
        <v>49</v>
      </c>
      <c r="X59" s="13"/>
      <c r="Y59" s="2">
        <f t="shared" ca="1" si="0"/>
        <v>395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 t="str">
        <f t="shared" si="5"/>
        <v xml:space="preserve"> RINALDO </v>
      </c>
      <c r="AD59" s="2">
        <f t="shared" si="3"/>
        <v>8</v>
      </c>
      <c r="AE59" s="2">
        <f t="shared" ca="1" si="4"/>
        <v>-551.9262716435187</v>
      </c>
      <c r="AF59" s="15"/>
    </row>
    <row r="60" spans="1:32">
      <c r="A60" s="1">
        <v>7146156</v>
      </c>
      <c r="B60" s="1" t="s">
        <v>101</v>
      </c>
      <c r="C60" t="s">
        <v>207</v>
      </c>
      <c r="E60" s="2">
        <v>9700000206205</v>
      </c>
      <c r="F60" s="1" t="s">
        <v>208</v>
      </c>
      <c r="G60" s="1" t="s">
        <v>53</v>
      </c>
      <c r="H60" s="1" t="s">
        <v>209</v>
      </c>
      <c r="I60" s="1" t="s">
        <v>210</v>
      </c>
      <c r="J60" s="1" t="s">
        <v>211</v>
      </c>
      <c r="K60" t="s">
        <v>212</v>
      </c>
      <c r="M60" s="1" t="s">
        <v>35</v>
      </c>
      <c r="N60" s="1">
        <v>42318949</v>
      </c>
      <c r="O60" s="1" t="s">
        <v>105</v>
      </c>
      <c r="P60" s="186">
        <v>44434.396678240744</v>
      </c>
      <c r="R60" s="1" t="s">
        <v>38</v>
      </c>
      <c r="T60" s="1" t="s">
        <v>74</v>
      </c>
      <c r="U60" s="186">
        <v>44434.75</v>
      </c>
      <c r="V60" s="1" t="s">
        <v>41</v>
      </c>
      <c r="W60" s="1" t="s">
        <v>49</v>
      </c>
      <c r="X60" s="13"/>
      <c r="Y60" s="2">
        <f t="shared" ca="1" si="0"/>
        <v>395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 t="str">
        <f t="shared" si="5"/>
        <v xml:space="preserve"> RINALDO </v>
      </c>
      <c r="AD60" s="2">
        <f t="shared" si="3"/>
        <v>8</v>
      </c>
      <c r="AE60" s="2">
        <f t="shared" ca="1" si="4"/>
        <v>-551.9262716435187</v>
      </c>
      <c r="AF60" s="15"/>
    </row>
    <row r="61" spans="1:32">
      <c r="A61" s="1">
        <v>7145602</v>
      </c>
      <c r="B61" s="1" t="s">
        <v>101</v>
      </c>
      <c r="C61" t="s">
        <v>207</v>
      </c>
      <c r="E61" s="2">
        <v>9700000206207</v>
      </c>
      <c r="F61" s="1" t="s">
        <v>208</v>
      </c>
      <c r="G61" s="1" t="s">
        <v>53</v>
      </c>
      <c r="H61" s="1" t="s">
        <v>209</v>
      </c>
      <c r="I61" s="1" t="s">
        <v>210</v>
      </c>
      <c r="J61" s="1" t="s">
        <v>211</v>
      </c>
      <c r="K61" t="s">
        <v>212</v>
      </c>
      <c r="M61" s="1" t="s">
        <v>35</v>
      </c>
      <c r="N61" s="1">
        <v>42318949</v>
      </c>
      <c r="O61" s="1" t="s">
        <v>105</v>
      </c>
      <c r="P61" s="186">
        <v>44434.395624999997</v>
      </c>
      <c r="R61" s="1" t="s">
        <v>38</v>
      </c>
      <c r="T61" s="1" t="s">
        <v>74</v>
      </c>
      <c r="U61" s="186">
        <v>44434.75</v>
      </c>
      <c r="V61" s="1" t="s">
        <v>41</v>
      </c>
      <c r="W61" s="1" t="s">
        <v>49</v>
      </c>
      <c r="X61" s="13"/>
      <c r="Y61" s="2">
        <f t="shared" ca="1" si="0"/>
        <v>395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 t="str">
        <f t="shared" si="5"/>
        <v xml:space="preserve"> RINALDO </v>
      </c>
      <c r="AD61" s="2">
        <f t="shared" si="3"/>
        <v>8</v>
      </c>
      <c r="AE61" s="2">
        <f t="shared" ca="1" si="4"/>
        <v>-551.9262716435187</v>
      </c>
      <c r="AF61" s="15"/>
    </row>
    <row r="62" spans="1:32">
      <c r="A62" s="1">
        <v>7145601</v>
      </c>
      <c r="B62" s="1" t="s">
        <v>101</v>
      </c>
      <c r="C62" t="s">
        <v>207</v>
      </c>
      <c r="E62" s="2">
        <v>9700000206204</v>
      </c>
      <c r="F62" s="1" t="s">
        <v>208</v>
      </c>
      <c r="G62" s="1" t="s">
        <v>53</v>
      </c>
      <c r="H62" s="1" t="s">
        <v>209</v>
      </c>
      <c r="I62" s="1" t="s">
        <v>210</v>
      </c>
      <c r="J62" s="1" t="s">
        <v>211</v>
      </c>
      <c r="K62" t="s">
        <v>212</v>
      </c>
      <c r="M62" s="1" t="s">
        <v>35</v>
      </c>
      <c r="N62" s="1">
        <v>42318949</v>
      </c>
      <c r="O62" s="1" t="s">
        <v>105</v>
      </c>
      <c r="P62" s="186">
        <v>44434.395624999997</v>
      </c>
      <c r="R62" s="1" t="s">
        <v>38</v>
      </c>
      <c r="T62" s="1" t="s">
        <v>74</v>
      </c>
      <c r="U62" s="186">
        <v>44434.75</v>
      </c>
      <c r="V62" s="1" t="s">
        <v>41</v>
      </c>
      <c r="W62" s="1" t="s">
        <v>49</v>
      </c>
      <c r="X62" s="13"/>
      <c r="Y62" s="2">
        <f t="shared" ca="1" si="0"/>
        <v>395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 t="str">
        <f t="shared" si="5"/>
        <v xml:space="preserve"> RINALDO </v>
      </c>
      <c r="AD62" s="2">
        <f t="shared" si="3"/>
        <v>8</v>
      </c>
      <c r="AE62" s="2">
        <f t="shared" ca="1" si="4"/>
        <v>-551.9262716435187</v>
      </c>
      <c r="AF62" s="15"/>
    </row>
    <row r="63" spans="1:32">
      <c r="A63" s="1">
        <v>7145296</v>
      </c>
      <c r="B63" s="1" t="s">
        <v>101</v>
      </c>
      <c r="C63" t="s">
        <v>207</v>
      </c>
      <c r="E63" s="2">
        <v>9700000206213</v>
      </c>
      <c r="F63" s="1" t="s">
        <v>208</v>
      </c>
      <c r="G63" s="1" t="s">
        <v>53</v>
      </c>
      <c r="H63" s="1" t="s">
        <v>209</v>
      </c>
      <c r="I63" s="1" t="s">
        <v>210</v>
      </c>
      <c r="J63" s="1" t="s">
        <v>211</v>
      </c>
      <c r="K63" t="s">
        <v>212</v>
      </c>
      <c r="M63" s="1" t="s">
        <v>35</v>
      </c>
      <c r="N63" s="1">
        <v>42318949</v>
      </c>
      <c r="O63" s="1" t="s">
        <v>105</v>
      </c>
      <c r="P63" s="186">
        <v>44434.395150462966</v>
      </c>
      <c r="R63" s="1" t="s">
        <v>38</v>
      </c>
      <c r="T63" s="1" t="s">
        <v>74</v>
      </c>
      <c r="U63" s="186">
        <v>44434.75</v>
      </c>
      <c r="V63" s="1" t="s">
        <v>41</v>
      </c>
      <c r="W63" s="1" t="s">
        <v>49</v>
      </c>
      <c r="X63" s="13"/>
      <c r="Y63" s="2">
        <f t="shared" ca="1" si="0"/>
        <v>395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 t="str">
        <f t="shared" si="5"/>
        <v xml:space="preserve"> RINALDO </v>
      </c>
      <c r="AD63" s="2">
        <f t="shared" si="3"/>
        <v>8</v>
      </c>
      <c r="AE63" s="2">
        <f t="shared" ca="1" si="4"/>
        <v>-551.9262716435187</v>
      </c>
      <c r="AF63" s="15"/>
    </row>
    <row r="64" spans="1:32">
      <c r="A64" s="1">
        <v>7144762</v>
      </c>
      <c r="B64" s="1" t="s">
        <v>101</v>
      </c>
      <c r="C64" t="s">
        <v>207</v>
      </c>
      <c r="E64" s="2">
        <v>9700000206212</v>
      </c>
      <c r="F64" s="1" t="s">
        <v>208</v>
      </c>
      <c r="G64" s="1" t="s">
        <v>53</v>
      </c>
      <c r="H64" s="1" t="s">
        <v>209</v>
      </c>
      <c r="I64" s="1" t="s">
        <v>210</v>
      </c>
      <c r="J64" s="1" t="s">
        <v>211</v>
      </c>
      <c r="K64" t="s">
        <v>212</v>
      </c>
      <c r="M64" s="1" t="s">
        <v>35</v>
      </c>
      <c r="N64" s="1">
        <v>42318949</v>
      </c>
      <c r="O64" s="1" t="s">
        <v>105</v>
      </c>
      <c r="P64" s="186">
        <v>44434.39434027778</v>
      </c>
      <c r="R64" s="1" t="s">
        <v>38</v>
      </c>
      <c r="T64" s="1" t="s">
        <v>74</v>
      </c>
      <c r="U64" s="186">
        <v>44434.75</v>
      </c>
      <c r="V64" s="1" t="s">
        <v>41</v>
      </c>
      <c r="W64" s="1" t="s">
        <v>49</v>
      </c>
      <c r="X64" s="13"/>
      <c r="Y64" s="2">
        <f t="shared" ca="1" si="0"/>
        <v>395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 t="str">
        <f t="shared" si="5"/>
        <v xml:space="preserve"> RINALDO </v>
      </c>
      <c r="AD64" s="2">
        <f t="shared" si="3"/>
        <v>8</v>
      </c>
      <c r="AE64" s="2">
        <f t="shared" ca="1" si="4"/>
        <v>-551.9262716435187</v>
      </c>
      <c r="AF64" s="15"/>
    </row>
    <row r="65" spans="1:32">
      <c r="A65" s="1">
        <v>7144761</v>
      </c>
      <c r="B65" s="1" t="s">
        <v>101</v>
      </c>
      <c r="C65" t="s">
        <v>207</v>
      </c>
      <c r="E65" s="2">
        <v>9700000206209</v>
      </c>
      <c r="F65" s="1" t="s">
        <v>208</v>
      </c>
      <c r="G65" s="1" t="s">
        <v>53</v>
      </c>
      <c r="H65" s="1" t="s">
        <v>209</v>
      </c>
      <c r="I65" s="1" t="s">
        <v>210</v>
      </c>
      <c r="J65" s="1" t="s">
        <v>211</v>
      </c>
      <c r="K65" t="s">
        <v>212</v>
      </c>
      <c r="M65" s="1" t="s">
        <v>35</v>
      </c>
      <c r="N65" s="1">
        <v>42318949</v>
      </c>
      <c r="O65" s="1" t="s">
        <v>105</v>
      </c>
      <c r="P65" s="186">
        <v>44434.39434027778</v>
      </c>
      <c r="R65" s="1" t="s">
        <v>38</v>
      </c>
      <c r="T65" s="1" t="s">
        <v>74</v>
      </c>
      <c r="U65" s="186">
        <v>44434.75</v>
      </c>
      <c r="V65" s="1" t="s">
        <v>41</v>
      </c>
      <c r="W65" s="1" t="s">
        <v>49</v>
      </c>
      <c r="X65" s="13"/>
      <c r="Y65" s="2">
        <f t="shared" ca="1" si="0"/>
        <v>395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 t="str">
        <f t="shared" si="5"/>
        <v xml:space="preserve"> RINALDO </v>
      </c>
      <c r="AD65" s="2">
        <f t="shared" si="3"/>
        <v>8</v>
      </c>
      <c r="AE65" s="2">
        <f t="shared" ca="1" si="4"/>
        <v>-551.9262716435187</v>
      </c>
      <c r="AF65" s="15"/>
    </row>
    <row r="66" spans="1:32">
      <c r="A66" s="1">
        <v>7144466</v>
      </c>
      <c r="B66" s="1" t="s">
        <v>101</v>
      </c>
      <c r="C66" t="s">
        <v>207</v>
      </c>
      <c r="E66" s="2">
        <v>9700000206217</v>
      </c>
      <c r="F66" s="1" t="s">
        <v>208</v>
      </c>
      <c r="G66" s="1" t="s">
        <v>53</v>
      </c>
      <c r="H66" s="1" t="s">
        <v>209</v>
      </c>
      <c r="I66" s="1" t="s">
        <v>210</v>
      </c>
      <c r="J66" s="1" t="s">
        <v>211</v>
      </c>
      <c r="K66" t="s">
        <v>212</v>
      </c>
      <c r="M66" s="1" t="s">
        <v>35</v>
      </c>
      <c r="N66" s="1">
        <v>42318949</v>
      </c>
      <c r="O66" s="1" t="s">
        <v>105</v>
      </c>
      <c r="P66" s="186">
        <v>44434.393923611111</v>
      </c>
      <c r="R66" s="1" t="s">
        <v>38</v>
      </c>
      <c r="T66" s="1" t="s">
        <v>74</v>
      </c>
      <c r="U66" s="186">
        <v>44434.75</v>
      </c>
      <c r="V66" s="1" t="s">
        <v>41</v>
      </c>
      <c r="W66" s="1" t="s">
        <v>49</v>
      </c>
      <c r="X66" s="13"/>
      <c r="Y66" s="2">
        <f t="shared" ref="Y66:Y129" ca="1" si="6">NETWORKDAYS(P66,$Y$1)</f>
        <v>395</v>
      </c>
      <c r="Z66" s="14">
        <v>1</v>
      </c>
      <c r="AA66" s="1" t="str">
        <f t="shared" ref="AA66:AA129" ca="1" si="7">IF(AE66=0,"HOJE",IF(AE66&gt;0,"A VENCER",IF(AE66&lt;0,"VENCIDO")))</f>
        <v>VENCIDO</v>
      </c>
      <c r="AB66" s="1" t="str">
        <f t="shared" ref="AB66:AB129" si="8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 t="str">
        <f t="shared" si="5"/>
        <v xml:space="preserve"> RINALDO </v>
      </c>
      <c r="AD66" s="2">
        <f t="shared" ref="AD66:AD129" si="9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0">IF(U66=$AE$1,"",U66-$AE$1)</f>
        <v>-551.9262716435187</v>
      </c>
      <c r="AF66" s="15"/>
    </row>
    <row r="67" spans="1:32">
      <c r="A67" s="1">
        <v>7144465</v>
      </c>
      <c r="B67" s="1" t="s">
        <v>101</v>
      </c>
      <c r="C67" t="s">
        <v>207</v>
      </c>
      <c r="E67" s="2">
        <v>9700000206216</v>
      </c>
      <c r="F67" s="1" t="s">
        <v>208</v>
      </c>
      <c r="G67" s="1" t="s">
        <v>53</v>
      </c>
      <c r="H67" s="1" t="s">
        <v>209</v>
      </c>
      <c r="I67" s="1" t="s">
        <v>210</v>
      </c>
      <c r="J67" s="1" t="s">
        <v>211</v>
      </c>
      <c r="K67" t="s">
        <v>212</v>
      </c>
      <c r="M67" s="1" t="s">
        <v>35</v>
      </c>
      <c r="N67" s="1">
        <v>42318949</v>
      </c>
      <c r="O67" s="1" t="s">
        <v>105</v>
      </c>
      <c r="P67" s="186">
        <v>44434.393923611111</v>
      </c>
      <c r="R67" s="1" t="s">
        <v>38</v>
      </c>
      <c r="T67" s="1" t="s">
        <v>74</v>
      </c>
      <c r="U67" s="186">
        <v>44434.75</v>
      </c>
      <c r="V67" s="1" t="s">
        <v>41</v>
      </c>
      <c r="W67" s="1" t="s">
        <v>49</v>
      </c>
      <c r="X67" s="13"/>
      <c r="Y67" s="2">
        <f t="shared" ca="1" si="6"/>
        <v>395</v>
      </c>
      <c r="Z67" s="14">
        <v>1</v>
      </c>
      <c r="AA67" s="1" t="str">
        <f t="shared" ca="1" si="7"/>
        <v>VENCIDO</v>
      </c>
      <c r="AB67" s="1" t="str">
        <f t="shared" si="8"/>
        <v>TAAe+</v>
      </c>
      <c r="AC67" s="2" t="str">
        <f t="shared" ref="AC67:AC130" si="11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 xml:space="preserve"> RINALDO </v>
      </c>
      <c r="AD67" s="2">
        <f t="shared" si="9"/>
        <v>8</v>
      </c>
      <c r="AE67" s="2">
        <f t="shared" ca="1" si="10"/>
        <v>-551.9262716435187</v>
      </c>
      <c r="AF67" s="15"/>
    </row>
    <row r="68" spans="1:32">
      <c r="A68" s="1">
        <v>7144464</v>
      </c>
      <c r="B68" s="1" t="s">
        <v>101</v>
      </c>
      <c r="C68" t="s">
        <v>207</v>
      </c>
      <c r="E68" s="2">
        <v>9700000206211</v>
      </c>
      <c r="F68" s="1" t="s">
        <v>208</v>
      </c>
      <c r="G68" s="1" t="s">
        <v>53</v>
      </c>
      <c r="H68" s="1" t="s">
        <v>209</v>
      </c>
      <c r="I68" s="1" t="s">
        <v>210</v>
      </c>
      <c r="J68" s="1" t="s">
        <v>211</v>
      </c>
      <c r="K68" t="s">
        <v>212</v>
      </c>
      <c r="M68" s="1" t="s">
        <v>35</v>
      </c>
      <c r="N68" s="1">
        <v>42318949</v>
      </c>
      <c r="O68" s="1" t="s">
        <v>105</v>
      </c>
      <c r="P68" s="186">
        <v>44434.393923611111</v>
      </c>
      <c r="R68" s="1" t="s">
        <v>38</v>
      </c>
      <c r="T68" s="1" t="s">
        <v>74</v>
      </c>
      <c r="U68" s="186">
        <v>44434.75</v>
      </c>
      <c r="V68" s="1" t="s">
        <v>41</v>
      </c>
      <c r="W68" s="1" t="s">
        <v>49</v>
      </c>
      <c r="X68" s="13"/>
      <c r="Y68" s="2">
        <f t="shared" ca="1" si="6"/>
        <v>395</v>
      </c>
      <c r="Z68" s="14">
        <v>1</v>
      </c>
      <c r="AA68" s="1" t="str">
        <f t="shared" ca="1" si="7"/>
        <v>VENCIDO</v>
      </c>
      <c r="AB68" s="1" t="str">
        <f t="shared" si="8"/>
        <v>TAAe+</v>
      </c>
      <c r="AC68" s="2" t="str">
        <f t="shared" si="11"/>
        <v xml:space="preserve"> RINALDO </v>
      </c>
      <c r="AD68" s="2">
        <f t="shared" si="9"/>
        <v>8</v>
      </c>
      <c r="AE68" s="2">
        <f t="shared" ca="1" si="10"/>
        <v>-551.9262716435187</v>
      </c>
      <c r="AF68" s="15"/>
    </row>
    <row r="69" spans="1:32" hidden="1">
      <c r="A69" s="1">
        <v>7280202</v>
      </c>
      <c r="B69" s="1" t="s">
        <v>226</v>
      </c>
      <c r="C69" t="s">
        <v>227</v>
      </c>
      <c r="E69" s="2">
        <v>7710206001</v>
      </c>
      <c r="F69" s="1" t="s">
        <v>29</v>
      </c>
      <c r="G69" s="1" t="s">
        <v>53</v>
      </c>
      <c r="H69" s="1" t="s">
        <v>228</v>
      </c>
      <c r="I69" s="1" t="s">
        <v>229</v>
      </c>
      <c r="J69" s="1" t="s">
        <v>46</v>
      </c>
      <c r="K69" t="s">
        <v>34</v>
      </c>
      <c r="M69" s="1" t="s">
        <v>35</v>
      </c>
      <c r="N69" s="1">
        <v>42318949</v>
      </c>
      <c r="O69" s="1" t="s">
        <v>105</v>
      </c>
      <c r="P69" s="186">
        <v>44440.410682870373</v>
      </c>
      <c r="R69" s="1" t="s">
        <v>38</v>
      </c>
      <c r="T69" s="1" t="s">
        <v>74</v>
      </c>
      <c r="U69" s="186">
        <v>44483.75</v>
      </c>
      <c r="V69" s="1" t="s">
        <v>41</v>
      </c>
      <c r="W69" s="1" t="s">
        <v>49</v>
      </c>
      <c r="X69" s="13"/>
      <c r="Y69" s="2">
        <f t="shared" ca="1" si="6"/>
        <v>391</v>
      </c>
      <c r="Z69" s="14">
        <v>1</v>
      </c>
      <c r="AA69" s="1" t="str">
        <f t="shared" ca="1" si="7"/>
        <v>VENCIDO</v>
      </c>
      <c r="AB69" s="1" t="str">
        <f t="shared" si="8"/>
        <v>Dosa</v>
      </c>
      <c r="AC69" s="2" t="str">
        <f t="shared" si="11"/>
        <v xml:space="preserve"> CLEITON </v>
      </c>
      <c r="AD69" s="2">
        <f t="shared" si="9"/>
        <v>5</v>
      </c>
      <c r="AE69" s="2">
        <f t="shared" ca="1" si="10"/>
        <v>-502.9262716435187</v>
      </c>
      <c r="AF69" s="15"/>
    </row>
    <row r="70" spans="1:32" hidden="1">
      <c r="A70" s="1">
        <v>7633015</v>
      </c>
      <c r="B70" s="1" t="s">
        <v>81</v>
      </c>
      <c r="C70" t="s">
        <v>232</v>
      </c>
      <c r="E70" s="2">
        <v>9600113560766</v>
      </c>
      <c r="F70" s="1" t="s">
        <v>233</v>
      </c>
      <c r="G70" s="1" t="s">
        <v>30</v>
      </c>
      <c r="H70" s="1" t="s">
        <v>234</v>
      </c>
      <c r="I70" s="1" t="s">
        <v>235</v>
      </c>
      <c r="J70" s="1" t="s">
        <v>33</v>
      </c>
      <c r="K70" t="s">
        <v>236</v>
      </c>
      <c r="M70" s="1" t="s">
        <v>58</v>
      </c>
      <c r="N70" s="1">
        <v>0</v>
      </c>
      <c r="O70" s="1" t="s">
        <v>105</v>
      </c>
      <c r="P70" s="186">
        <v>44455.588738425926</v>
      </c>
      <c r="R70" s="1">
        <v>12</v>
      </c>
      <c r="S70" s="1">
        <v>4804</v>
      </c>
      <c r="T70" s="1" t="s">
        <v>238</v>
      </c>
      <c r="U70" s="186">
        <v>44456.588738425926</v>
      </c>
      <c r="V70" s="1" t="s">
        <v>41</v>
      </c>
      <c r="W70" s="1" t="s">
        <v>42</v>
      </c>
      <c r="X70" s="13"/>
      <c r="Y70" s="2">
        <f t="shared" ca="1" si="6"/>
        <v>380</v>
      </c>
      <c r="Z70" s="14">
        <v>1</v>
      </c>
      <c r="AA70" s="1" t="str">
        <f t="shared" ca="1" si="7"/>
        <v>VENCIDO</v>
      </c>
      <c r="AB70" s="1" t="str">
        <f t="shared" si="8"/>
        <v>TAAe+</v>
      </c>
      <c r="AC70" s="2" t="str">
        <f t="shared" si="11"/>
        <v xml:space="preserve"> ROSEMERE </v>
      </c>
      <c r="AD70" s="2">
        <f t="shared" si="9"/>
        <v>8</v>
      </c>
      <c r="AE70" s="2">
        <f t="shared" ca="1" si="10"/>
        <v>-530.08753321759286</v>
      </c>
      <c r="AF70" s="15"/>
    </row>
    <row r="71" spans="1:32" hidden="1">
      <c r="A71" s="1">
        <v>7727803</v>
      </c>
      <c r="B71" s="1" t="s">
        <v>81</v>
      </c>
      <c r="C71" t="s">
        <v>240</v>
      </c>
      <c r="E71" s="2">
        <v>3478000206001</v>
      </c>
      <c r="F71" s="1" t="s">
        <v>29</v>
      </c>
      <c r="G71" s="1" t="s">
        <v>53</v>
      </c>
      <c r="H71" s="1" t="s">
        <v>241</v>
      </c>
      <c r="I71" s="1" t="s">
        <v>242</v>
      </c>
      <c r="J71" s="1" t="s">
        <v>46</v>
      </c>
      <c r="K71" t="s">
        <v>34</v>
      </c>
      <c r="M71" s="1" t="s">
        <v>35</v>
      </c>
      <c r="N71" s="1">
        <v>42318949</v>
      </c>
      <c r="O71" s="1" t="s">
        <v>36</v>
      </c>
      <c r="P71" s="186">
        <v>44459.551018518519</v>
      </c>
      <c r="R71" s="1" t="s">
        <v>38</v>
      </c>
      <c r="T71" s="1" t="s">
        <v>74</v>
      </c>
      <c r="U71" s="186">
        <v>44460.551018518519</v>
      </c>
      <c r="V71" s="1" t="s">
        <v>41</v>
      </c>
      <c r="W71" s="1" t="s">
        <v>49</v>
      </c>
      <c r="X71" s="13"/>
      <c r="Y71" s="2">
        <f t="shared" ca="1" si="6"/>
        <v>378</v>
      </c>
      <c r="Z71" s="14">
        <v>1</v>
      </c>
      <c r="AA71" s="1" t="str">
        <f t="shared" ca="1" si="7"/>
        <v>VENCIDO</v>
      </c>
      <c r="AB71" s="1" t="str">
        <f t="shared" si="8"/>
        <v>Dosa</v>
      </c>
      <c r="AC71" s="2" t="str">
        <f t="shared" si="11"/>
        <v xml:space="preserve"> CLEITON </v>
      </c>
      <c r="AD71" s="2">
        <f t="shared" si="9"/>
        <v>5</v>
      </c>
      <c r="AE71" s="2">
        <f t="shared" ca="1" si="10"/>
        <v>-526.12525312499929</v>
      </c>
      <c r="AF71" s="15"/>
    </row>
    <row r="72" spans="1:32" hidden="1">
      <c r="A72" s="1">
        <v>7726669</v>
      </c>
      <c r="B72" s="1" t="s">
        <v>81</v>
      </c>
      <c r="C72" t="s">
        <v>240</v>
      </c>
      <c r="E72" s="2">
        <v>8259000206001</v>
      </c>
      <c r="F72" s="1" t="s">
        <v>29</v>
      </c>
      <c r="G72" s="1" t="s">
        <v>53</v>
      </c>
      <c r="H72" s="1" t="s">
        <v>245</v>
      </c>
      <c r="I72" s="1" t="s">
        <v>246</v>
      </c>
      <c r="J72" s="1" t="s">
        <v>141</v>
      </c>
      <c r="K72" t="s">
        <v>34</v>
      </c>
      <c r="M72" s="1" t="s">
        <v>35</v>
      </c>
      <c r="N72" s="1">
        <v>42318949</v>
      </c>
      <c r="O72" s="1" t="s">
        <v>36</v>
      </c>
      <c r="P72" s="186">
        <v>44459.549027777779</v>
      </c>
      <c r="R72" s="1" t="s">
        <v>38</v>
      </c>
      <c r="T72" s="1" t="s">
        <v>74</v>
      </c>
      <c r="U72" s="186">
        <v>44460.549027777779</v>
      </c>
      <c r="V72" s="1" t="s">
        <v>41</v>
      </c>
      <c r="W72" s="1" t="s">
        <v>49</v>
      </c>
      <c r="X72" s="13"/>
      <c r="Y72" s="2">
        <f t="shared" ca="1" si="6"/>
        <v>378</v>
      </c>
      <c r="Z72" s="14">
        <v>1</v>
      </c>
      <c r="AA72" s="1" t="str">
        <f t="shared" ca="1" si="7"/>
        <v>VENCIDO</v>
      </c>
      <c r="AB72" s="1" t="str">
        <f t="shared" si="8"/>
        <v>Dosa</v>
      </c>
      <c r="AC72" s="2" t="str">
        <f t="shared" si="11"/>
        <v xml:space="preserve"> CRISTINA </v>
      </c>
      <c r="AD72" s="2">
        <f t="shared" si="9"/>
        <v>5</v>
      </c>
      <c r="AE72" s="2">
        <f t="shared" ca="1" si="10"/>
        <v>-526.12724386573973</v>
      </c>
      <c r="AF72" s="15"/>
    </row>
    <row r="73" spans="1:32" hidden="1">
      <c r="A73" s="1">
        <v>7726664</v>
      </c>
      <c r="B73" s="1" t="s">
        <v>81</v>
      </c>
      <c r="C73" t="s">
        <v>240</v>
      </c>
      <c r="E73" s="2">
        <v>2855000206001</v>
      </c>
      <c r="F73" s="1" t="s">
        <v>29</v>
      </c>
      <c r="G73" s="1" t="s">
        <v>53</v>
      </c>
      <c r="H73" s="1" t="s">
        <v>249</v>
      </c>
      <c r="I73" s="1" t="s">
        <v>250</v>
      </c>
      <c r="J73" s="1" t="s">
        <v>56</v>
      </c>
      <c r="K73" t="s">
        <v>34</v>
      </c>
      <c r="M73" s="1" t="s">
        <v>35</v>
      </c>
      <c r="N73" s="1">
        <v>42318949</v>
      </c>
      <c r="O73" s="1" t="s">
        <v>36</v>
      </c>
      <c r="P73" s="186">
        <v>44459.549016203702</v>
      </c>
      <c r="R73" s="1" t="s">
        <v>38</v>
      </c>
      <c r="T73" s="1" t="s">
        <v>74</v>
      </c>
      <c r="U73" s="186">
        <v>44460.549016203702</v>
      </c>
      <c r="V73" s="1" t="s">
        <v>41</v>
      </c>
      <c r="W73" s="1" t="s">
        <v>49</v>
      </c>
      <c r="X73" s="13"/>
      <c r="Y73" s="2">
        <f t="shared" ca="1" si="6"/>
        <v>378</v>
      </c>
      <c r="Z73" s="14">
        <v>1</v>
      </c>
      <c r="AA73" s="1" t="str">
        <f t="shared" ca="1" si="7"/>
        <v>VENCIDO</v>
      </c>
      <c r="AB73" s="1" t="str">
        <f t="shared" si="8"/>
        <v>Dosa</v>
      </c>
      <c r="AC73" s="2" t="str">
        <f t="shared" si="11"/>
        <v xml:space="preserve"> CRISTINA </v>
      </c>
      <c r="AD73" s="2">
        <f t="shared" si="9"/>
        <v>5</v>
      </c>
      <c r="AE73" s="2">
        <f t="shared" ca="1" si="10"/>
        <v>-526.12725543981651</v>
      </c>
      <c r="AF73" s="15"/>
    </row>
    <row r="74" spans="1:32" hidden="1">
      <c r="A74" s="1">
        <v>7726663</v>
      </c>
      <c r="B74" s="1" t="s">
        <v>81</v>
      </c>
      <c r="C74" t="s">
        <v>240</v>
      </c>
      <c r="E74" s="2">
        <v>2693000206001</v>
      </c>
      <c r="F74" s="1" t="s">
        <v>29</v>
      </c>
      <c r="G74" s="1" t="s">
        <v>53</v>
      </c>
      <c r="H74" s="1" t="s">
        <v>253</v>
      </c>
      <c r="I74" s="1" t="s">
        <v>254</v>
      </c>
      <c r="J74" s="1" t="s">
        <v>56</v>
      </c>
      <c r="K74" t="s">
        <v>34</v>
      </c>
      <c r="M74" s="1" t="s">
        <v>35</v>
      </c>
      <c r="N74" s="1">
        <v>42318949</v>
      </c>
      <c r="O74" s="1" t="s">
        <v>36</v>
      </c>
      <c r="P74" s="186">
        <v>44459.549016203702</v>
      </c>
      <c r="R74" s="1" t="s">
        <v>38</v>
      </c>
      <c r="T74" s="1" t="s">
        <v>74</v>
      </c>
      <c r="U74" s="186">
        <v>44460.549016203702</v>
      </c>
      <c r="V74" s="1" t="s">
        <v>41</v>
      </c>
      <c r="W74" s="1" t="s">
        <v>49</v>
      </c>
      <c r="X74" s="13"/>
      <c r="Y74" s="2">
        <f t="shared" ca="1" si="6"/>
        <v>378</v>
      </c>
      <c r="Z74" s="14">
        <v>1</v>
      </c>
      <c r="AA74" s="1" t="str">
        <f t="shared" ca="1" si="7"/>
        <v>VENCIDO</v>
      </c>
      <c r="AB74" s="1" t="str">
        <f t="shared" si="8"/>
        <v>Dosa</v>
      </c>
      <c r="AC74" s="2" t="str">
        <f t="shared" si="11"/>
        <v xml:space="preserve"> CRISTINA </v>
      </c>
      <c r="AD74" s="2">
        <f t="shared" si="9"/>
        <v>5</v>
      </c>
      <c r="AE74" s="2">
        <f t="shared" ca="1" si="10"/>
        <v>-526.12725543981651</v>
      </c>
      <c r="AF74" s="15"/>
    </row>
    <row r="75" spans="1:32" hidden="1">
      <c r="A75" s="1">
        <v>7726661</v>
      </c>
      <c r="B75" s="1" t="s">
        <v>81</v>
      </c>
      <c r="C75" t="s">
        <v>240</v>
      </c>
      <c r="E75" s="2">
        <v>2564000206001</v>
      </c>
      <c r="F75" s="1" t="s">
        <v>29</v>
      </c>
      <c r="G75" s="1" t="s">
        <v>53</v>
      </c>
      <c r="H75" s="1" t="s">
        <v>255</v>
      </c>
      <c r="I75" s="1" t="s">
        <v>256</v>
      </c>
      <c r="J75" s="1" t="s">
        <v>164</v>
      </c>
      <c r="K75" t="s">
        <v>34</v>
      </c>
      <c r="M75" s="1" t="s">
        <v>35</v>
      </c>
      <c r="N75" s="1">
        <v>42318949</v>
      </c>
      <c r="O75" s="1" t="s">
        <v>36</v>
      </c>
      <c r="P75" s="186">
        <v>44459.549004629633</v>
      </c>
      <c r="R75" s="1" t="s">
        <v>38</v>
      </c>
      <c r="T75" s="1" t="s">
        <v>74</v>
      </c>
      <c r="U75" s="186">
        <v>44460.549004629633</v>
      </c>
      <c r="V75" s="1" t="s">
        <v>41</v>
      </c>
      <c r="W75" s="1" t="s">
        <v>49</v>
      </c>
      <c r="X75" s="13"/>
      <c r="Y75" s="2">
        <f t="shared" ca="1" si="6"/>
        <v>378</v>
      </c>
      <c r="Z75" s="14">
        <v>1</v>
      </c>
      <c r="AA75" s="1" t="str">
        <f t="shared" ca="1" si="7"/>
        <v>VENCIDO</v>
      </c>
      <c r="AB75" s="1" t="str">
        <f t="shared" si="8"/>
        <v>Dosa</v>
      </c>
      <c r="AC75" s="2" t="str">
        <f t="shared" si="11"/>
        <v xml:space="preserve"> ROSEMERE </v>
      </c>
      <c r="AD75" s="2">
        <f t="shared" si="9"/>
        <v>5</v>
      </c>
      <c r="AE75" s="2">
        <f t="shared" ca="1" si="10"/>
        <v>-526.12726701388601</v>
      </c>
      <c r="AF75" s="15"/>
    </row>
    <row r="76" spans="1:32" hidden="1">
      <c r="A76" s="1">
        <v>7726660</v>
      </c>
      <c r="B76" s="1" t="s">
        <v>81</v>
      </c>
      <c r="C76" t="s">
        <v>240</v>
      </c>
      <c r="E76" s="2">
        <v>2559000206001</v>
      </c>
      <c r="F76" s="1" t="s">
        <v>29</v>
      </c>
      <c r="G76" s="1" t="s">
        <v>53</v>
      </c>
      <c r="H76" s="1" t="s">
        <v>259</v>
      </c>
      <c r="I76" s="1" t="s">
        <v>260</v>
      </c>
      <c r="J76" s="1" t="s">
        <v>261</v>
      </c>
      <c r="K76" t="s">
        <v>34</v>
      </c>
      <c r="M76" s="1" t="s">
        <v>35</v>
      </c>
      <c r="N76" s="1">
        <v>42318949</v>
      </c>
      <c r="O76" s="1" t="s">
        <v>36</v>
      </c>
      <c r="P76" s="186">
        <v>44459.549004629633</v>
      </c>
      <c r="R76" s="1" t="s">
        <v>38</v>
      </c>
      <c r="T76" s="1" t="s">
        <v>74</v>
      </c>
      <c r="U76" s="186">
        <v>44460.549004629633</v>
      </c>
      <c r="V76" s="1" t="s">
        <v>41</v>
      </c>
      <c r="W76" s="1" t="s">
        <v>49</v>
      </c>
      <c r="X76" s="13"/>
      <c r="Y76" s="2">
        <f t="shared" ca="1" si="6"/>
        <v>378</v>
      </c>
      <c r="Z76" s="14">
        <v>1</v>
      </c>
      <c r="AA76" s="1" t="str">
        <f t="shared" ca="1" si="7"/>
        <v>VENCIDO</v>
      </c>
      <c r="AB76" s="1" t="str">
        <f t="shared" si="8"/>
        <v>Dosa</v>
      </c>
      <c r="AC76" s="2" t="str">
        <f t="shared" si="11"/>
        <v xml:space="preserve"> CRISTINA </v>
      </c>
      <c r="AD76" s="2">
        <f t="shared" si="9"/>
        <v>5</v>
      </c>
      <c r="AE76" s="2">
        <f t="shared" ca="1" si="10"/>
        <v>-526.12726701388601</v>
      </c>
      <c r="AF76" s="15"/>
    </row>
    <row r="77" spans="1:32" hidden="1">
      <c r="A77" s="1">
        <v>7726658</v>
      </c>
      <c r="B77" s="1" t="s">
        <v>81</v>
      </c>
      <c r="C77" t="s">
        <v>240</v>
      </c>
      <c r="E77" s="2">
        <v>2107000206001</v>
      </c>
      <c r="F77" s="1" t="s">
        <v>29</v>
      </c>
      <c r="G77" s="1" t="s">
        <v>53</v>
      </c>
      <c r="H77" s="1" t="s">
        <v>262</v>
      </c>
      <c r="I77" s="1" t="s">
        <v>263</v>
      </c>
      <c r="J77" s="1" t="s">
        <v>164</v>
      </c>
      <c r="K77" t="s">
        <v>34</v>
      </c>
      <c r="M77" s="1" t="s">
        <v>35</v>
      </c>
      <c r="N77" s="1">
        <v>42318949</v>
      </c>
      <c r="O77" s="1" t="s">
        <v>36</v>
      </c>
      <c r="P77" s="186">
        <v>44459.549004629633</v>
      </c>
      <c r="R77" s="1" t="s">
        <v>38</v>
      </c>
      <c r="T77" s="1" t="s">
        <v>74</v>
      </c>
      <c r="U77" s="186">
        <v>44460.549004629633</v>
      </c>
      <c r="V77" s="1" t="s">
        <v>41</v>
      </c>
      <c r="W77" s="1" t="s">
        <v>49</v>
      </c>
      <c r="X77" s="13"/>
      <c r="Y77" s="2">
        <f t="shared" ca="1" si="6"/>
        <v>378</v>
      </c>
      <c r="Z77" s="14">
        <v>1</v>
      </c>
      <c r="AA77" s="1" t="str">
        <f t="shared" ca="1" si="7"/>
        <v>VENCIDO</v>
      </c>
      <c r="AB77" s="1" t="str">
        <f t="shared" si="8"/>
        <v>Dosa</v>
      </c>
      <c r="AC77" s="2" t="str">
        <f t="shared" si="11"/>
        <v xml:space="preserve"> ROSEMERE </v>
      </c>
      <c r="AD77" s="2">
        <f t="shared" si="9"/>
        <v>5</v>
      </c>
      <c r="AE77" s="2">
        <f t="shared" ca="1" si="10"/>
        <v>-526.12726701388601</v>
      </c>
      <c r="AF77" s="15"/>
    </row>
    <row r="78" spans="1:32" hidden="1">
      <c r="A78" s="1">
        <v>7726655</v>
      </c>
      <c r="B78" s="1" t="s">
        <v>81</v>
      </c>
      <c r="C78" t="s">
        <v>240</v>
      </c>
      <c r="E78" s="2">
        <v>1943000206001</v>
      </c>
      <c r="F78" s="1" t="s">
        <v>29</v>
      </c>
      <c r="G78" s="1" t="s">
        <v>53</v>
      </c>
      <c r="H78" s="1" t="s">
        <v>264</v>
      </c>
      <c r="I78" s="1" t="s">
        <v>265</v>
      </c>
      <c r="J78" s="1" t="s">
        <v>56</v>
      </c>
      <c r="K78" t="s">
        <v>34</v>
      </c>
      <c r="M78" s="1" t="s">
        <v>35</v>
      </c>
      <c r="N78" s="1">
        <v>42318949</v>
      </c>
      <c r="O78" s="1" t="s">
        <v>36</v>
      </c>
      <c r="P78" s="186">
        <v>44459.548993055556</v>
      </c>
      <c r="R78" s="1" t="s">
        <v>38</v>
      </c>
      <c r="T78" s="1" t="s">
        <v>74</v>
      </c>
      <c r="U78" s="186">
        <v>44460.548993055556</v>
      </c>
      <c r="V78" s="1" t="s">
        <v>41</v>
      </c>
      <c r="W78" s="1" t="s">
        <v>49</v>
      </c>
      <c r="X78" s="13"/>
      <c r="Y78" s="2">
        <f t="shared" ca="1" si="6"/>
        <v>378</v>
      </c>
      <c r="Z78" s="14">
        <v>1</v>
      </c>
      <c r="AA78" s="1" t="str">
        <f t="shared" ca="1" si="7"/>
        <v>VENCIDO</v>
      </c>
      <c r="AB78" s="1" t="str">
        <f t="shared" si="8"/>
        <v>Dosa</v>
      </c>
      <c r="AC78" s="2" t="str">
        <f t="shared" si="11"/>
        <v xml:space="preserve"> CRISTINA </v>
      </c>
      <c r="AD78" s="2">
        <f t="shared" si="9"/>
        <v>5</v>
      </c>
      <c r="AE78" s="2">
        <f t="shared" ca="1" si="10"/>
        <v>-526.12727858796279</v>
      </c>
      <c r="AF78" s="15"/>
    </row>
    <row r="79" spans="1:32">
      <c r="A79" s="1">
        <v>7726652</v>
      </c>
      <c r="B79" s="1" t="s">
        <v>81</v>
      </c>
      <c r="C79" t="s">
        <v>240</v>
      </c>
      <c r="E79" s="2">
        <v>1754000206001</v>
      </c>
      <c r="F79" s="1" t="s">
        <v>29</v>
      </c>
      <c r="G79" s="1" t="s">
        <v>53</v>
      </c>
      <c r="H79" s="1" t="s">
        <v>146</v>
      </c>
      <c r="I79" s="1" t="s">
        <v>147</v>
      </c>
      <c r="J79" s="1" t="s">
        <v>148</v>
      </c>
      <c r="K79" t="s">
        <v>34</v>
      </c>
      <c r="M79" s="1" t="s">
        <v>35</v>
      </c>
      <c r="N79" s="1">
        <v>42318949</v>
      </c>
      <c r="O79" s="1" t="s">
        <v>36</v>
      </c>
      <c r="P79" s="186">
        <v>44459.548993055556</v>
      </c>
      <c r="R79" s="1" t="s">
        <v>38</v>
      </c>
      <c r="T79" s="1" t="s">
        <v>74</v>
      </c>
      <c r="U79" s="186">
        <v>44460.548993055556</v>
      </c>
      <c r="V79" s="1" t="s">
        <v>41</v>
      </c>
      <c r="W79" s="1" t="s">
        <v>49</v>
      </c>
      <c r="X79" s="13"/>
      <c r="Y79" s="2">
        <f t="shared" ca="1" si="6"/>
        <v>378</v>
      </c>
      <c r="Z79" s="14">
        <v>1</v>
      </c>
      <c r="AA79" s="1" t="str">
        <f t="shared" ca="1" si="7"/>
        <v>VENCIDO</v>
      </c>
      <c r="AB79" s="1" t="str">
        <f t="shared" si="8"/>
        <v>Dosa</v>
      </c>
      <c r="AC79" s="2" t="str">
        <f t="shared" si="11"/>
        <v xml:space="preserve"> RINALDO </v>
      </c>
      <c r="AD79" s="2">
        <f t="shared" si="9"/>
        <v>5</v>
      </c>
      <c r="AE79" s="2">
        <f t="shared" ca="1" si="10"/>
        <v>-526.12727858796279</v>
      </c>
      <c r="AF79" s="15"/>
    </row>
    <row r="80" spans="1:32">
      <c r="A80" s="1">
        <v>7726651</v>
      </c>
      <c r="B80" s="1" t="s">
        <v>81</v>
      </c>
      <c r="C80" t="s">
        <v>240</v>
      </c>
      <c r="E80" s="2">
        <v>1362000206001</v>
      </c>
      <c r="F80" s="1" t="s">
        <v>29</v>
      </c>
      <c r="G80" s="1" t="s">
        <v>53</v>
      </c>
      <c r="H80" s="1" t="s">
        <v>268</v>
      </c>
      <c r="I80" s="1" t="s">
        <v>269</v>
      </c>
      <c r="J80" s="1" t="s">
        <v>90</v>
      </c>
      <c r="K80" t="s">
        <v>34</v>
      </c>
      <c r="M80" s="1" t="s">
        <v>35</v>
      </c>
      <c r="N80" s="1">
        <v>42318949</v>
      </c>
      <c r="O80" s="1" t="s">
        <v>36</v>
      </c>
      <c r="P80" s="186">
        <v>44459.548993055556</v>
      </c>
      <c r="R80" s="1" t="s">
        <v>38</v>
      </c>
      <c r="T80" s="1" t="s">
        <v>74</v>
      </c>
      <c r="U80" s="186">
        <v>44460.548993055556</v>
      </c>
      <c r="V80" s="1" t="s">
        <v>41</v>
      </c>
      <c r="W80" s="1" t="s">
        <v>49</v>
      </c>
      <c r="X80" s="13"/>
      <c r="Y80" s="2">
        <f t="shared" ca="1" si="6"/>
        <v>378</v>
      </c>
      <c r="Z80" s="14">
        <v>1</v>
      </c>
      <c r="AA80" s="1" t="str">
        <f t="shared" ca="1" si="7"/>
        <v>VENCIDO</v>
      </c>
      <c r="AB80" s="1" t="str">
        <f t="shared" si="8"/>
        <v>Dosa</v>
      </c>
      <c r="AC80" s="2" t="str">
        <f t="shared" si="11"/>
        <v xml:space="preserve"> RINALDO </v>
      </c>
      <c r="AD80" s="2">
        <f t="shared" si="9"/>
        <v>5</v>
      </c>
      <c r="AE80" s="2">
        <f t="shared" ca="1" si="10"/>
        <v>-526.12727858796279</v>
      </c>
      <c r="AF80" s="15"/>
    </row>
    <row r="81" spans="1:32" hidden="1">
      <c r="A81" s="1">
        <v>7726650</v>
      </c>
      <c r="B81" s="1" t="s">
        <v>81</v>
      </c>
      <c r="C81" t="s">
        <v>240</v>
      </c>
      <c r="E81" s="2">
        <v>1359000206001</v>
      </c>
      <c r="F81" s="1" t="s">
        <v>29</v>
      </c>
      <c r="G81" s="1" t="s">
        <v>53</v>
      </c>
      <c r="H81" s="1" t="s">
        <v>270</v>
      </c>
      <c r="I81" s="1" t="s">
        <v>271</v>
      </c>
      <c r="J81" s="1" t="s">
        <v>141</v>
      </c>
      <c r="K81" t="s">
        <v>34</v>
      </c>
      <c r="M81" s="1" t="s">
        <v>35</v>
      </c>
      <c r="N81" s="1">
        <v>42318949</v>
      </c>
      <c r="O81" s="1" t="s">
        <v>36</v>
      </c>
      <c r="P81" s="186">
        <v>44459.548993055556</v>
      </c>
      <c r="R81" s="1" t="s">
        <v>38</v>
      </c>
      <c r="T81" s="1" t="s">
        <v>74</v>
      </c>
      <c r="U81" s="186">
        <v>44460.548993055556</v>
      </c>
      <c r="V81" s="1" t="s">
        <v>41</v>
      </c>
      <c r="W81" s="1" t="s">
        <v>49</v>
      </c>
      <c r="X81" s="13"/>
      <c r="Y81" s="2">
        <f t="shared" ca="1" si="6"/>
        <v>378</v>
      </c>
      <c r="Z81" s="14">
        <v>1</v>
      </c>
      <c r="AA81" s="1" t="str">
        <f t="shared" ca="1" si="7"/>
        <v>VENCIDO</v>
      </c>
      <c r="AB81" s="1" t="str">
        <f t="shared" si="8"/>
        <v>Dosa</v>
      </c>
      <c r="AC81" s="2" t="str">
        <f t="shared" si="11"/>
        <v xml:space="preserve"> CRISTINA </v>
      </c>
      <c r="AD81" s="2">
        <f t="shared" si="9"/>
        <v>5</v>
      </c>
      <c r="AE81" s="2">
        <f t="shared" ca="1" si="10"/>
        <v>-526.12727858796279</v>
      </c>
      <c r="AF81" s="15"/>
    </row>
    <row r="82" spans="1:32" hidden="1">
      <c r="A82" s="1">
        <v>7726648</v>
      </c>
      <c r="B82" s="1" t="s">
        <v>81</v>
      </c>
      <c r="C82" t="s">
        <v>240</v>
      </c>
      <c r="E82" s="2">
        <v>1011000206001</v>
      </c>
      <c r="F82" s="1" t="s">
        <v>29</v>
      </c>
      <c r="G82" s="1" t="s">
        <v>53</v>
      </c>
      <c r="H82" s="1" t="s">
        <v>272</v>
      </c>
      <c r="I82" s="1" t="s">
        <v>273</v>
      </c>
      <c r="J82" s="1" t="s">
        <v>33</v>
      </c>
      <c r="K82" t="s">
        <v>34</v>
      </c>
      <c r="M82" s="1" t="s">
        <v>35</v>
      </c>
      <c r="N82" s="1">
        <v>42318949</v>
      </c>
      <c r="O82" s="1" t="s">
        <v>36</v>
      </c>
      <c r="P82" s="186">
        <v>44459.548981481479</v>
      </c>
      <c r="R82" s="1" t="s">
        <v>38</v>
      </c>
      <c r="T82" s="1" t="s">
        <v>74</v>
      </c>
      <c r="U82" s="186">
        <v>44460.548981481479</v>
      </c>
      <c r="V82" s="1" t="s">
        <v>41</v>
      </c>
      <c r="W82" s="1" t="s">
        <v>49</v>
      </c>
      <c r="X82" s="13"/>
      <c r="Y82" s="2">
        <f t="shared" ca="1" si="6"/>
        <v>378</v>
      </c>
      <c r="Z82" s="14">
        <v>1</v>
      </c>
      <c r="AA82" s="1" t="str">
        <f t="shared" ca="1" si="7"/>
        <v>VENCIDO</v>
      </c>
      <c r="AB82" s="1" t="str">
        <f t="shared" si="8"/>
        <v>Dosa</v>
      </c>
      <c r="AC82" s="2" t="str">
        <f t="shared" si="11"/>
        <v xml:space="preserve"> ROSEMERE </v>
      </c>
      <c r="AD82" s="2">
        <f t="shared" si="9"/>
        <v>5</v>
      </c>
      <c r="AE82" s="2">
        <f t="shared" ca="1" si="10"/>
        <v>-526.12729016203957</v>
      </c>
      <c r="AF82" s="15"/>
    </row>
    <row r="83" spans="1:32" hidden="1">
      <c r="A83" s="1">
        <v>7726647</v>
      </c>
      <c r="B83" s="1" t="s">
        <v>81</v>
      </c>
      <c r="C83" t="s">
        <v>240</v>
      </c>
      <c r="E83" s="2">
        <v>1049000206001</v>
      </c>
      <c r="F83" s="1" t="s">
        <v>29</v>
      </c>
      <c r="G83" s="1" t="s">
        <v>53</v>
      </c>
      <c r="H83" s="1" t="s">
        <v>169</v>
      </c>
      <c r="I83" s="1" t="s">
        <v>170</v>
      </c>
      <c r="J83" s="1" t="s">
        <v>164</v>
      </c>
      <c r="K83" t="s">
        <v>34</v>
      </c>
      <c r="M83" s="1" t="s">
        <v>35</v>
      </c>
      <c r="N83" s="1">
        <v>42318949</v>
      </c>
      <c r="O83" s="1" t="s">
        <v>36</v>
      </c>
      <c r="P83" s="186">
        <v>44459.548981481479</v>
      </c>
      <c r="R83" s="1" t="s">
        <v>38</v>
      </c>
      <c r="T83" s="1" t="s">
        <v>74</v>
      </c>
      <c r="U83" s="186">
        <v>44460.548981481479</v>
      </c>
      <c r="V83" s="1" t="s">
        <v>41</v>
      </c>
      <c r="W83" s="1" t="s">
        <v>49</v>
      </c>
      <c r="X83" s="13"/>
      <c r="Y83" s="2">
        <f t="shared" ca="1" si="6"/>
        <v>378</v>
      </c>
      <c r="Z83" s="14">
        <v>1</v>
      </c>
      <c r="AA83" s="1" t="str">
        <f t="shared" ca="1" si="7"/>
        <v>VENCIDO</v>
      </c>
      <c r="AB83" s="1" t="str">
        <f t="shared" si="8"/>
        <v>Dosa</v>
      </c>
      <c r="AC83" s="2" t="str">
        <f t="shared" si="11"/>
        <v xml:space="preserve"> ROSEMERE </v>
      </c>
      <c r="AD83" s="2">
        <f t="shared" si="9"/>
        <v>5</v>
      </c>
      <c r="AE83" s="2">
        <f t="shared" ca="1" si="10"/>
        <v>-526.12729016203957</v>
      </c>
      <c r="AF83" s="15"/>
    </row>
    <row r="84" spans="1:32">
      <c r="A84" s="1">
        <v>7726645</v>
      </c>
      <c r="B84" s="1" t="s">
        <v>81</v>
      </c>
      <c r="C84" t="s">
        <v>240</v>
      </c>
      <c r="E84" s="2">
        <v>2683000206001</v>
      </c>
      <c r="F84" s="1" t="s">
        <v>29</v>
      </c>
      <c r="G84" s="1" t="s">
        <v>53</v>
      </c>
      <c r="H84" s="1" t="s">
        <v>276</v>
      </c>
      <c r="I84" s="1" t="s">
        <v>277</v>
      </c>
      <c r="J84" s="1" t="s">
        <v>90</v>
      </c>
      <c r="K84" t="s">
        <v>34</v>
      </c>
      <c r="M84" s="1" t="s">
        <v>35</v>
      </c>
      <c r="N84" s="1">
        <v>42318949</v>
      </c>
      <c r="O84" s="1" t="s">
        <v>36</v>
      </c>
      <c r="P84" s="186">
        <v>44459.548981481479</v>
      </c>
      <c r="R84" s="1" t="s">
        <v>38</v>
      </c>
      <c r="T84" s="1" t="s">
        <v>74</v>
      </c>
      <c r="U84" s="186">
        <v>44460.548981481479</v>
      </c>
      <c r="V84" s="1" t="s">
        <v>41</v>
      </c>
      <c r="W84" s="1" t="s">
        <v>49</v>
      </c>
      <c r="X84" s="13"/>
      <c r="Y84" s="2">
        <f t="shared" ca="1" si="6"/>
        <v>378</v>
      </c>
      <c r="Z84" s="14">
        <v>1</v>
      </c>
      <c r="AA84" s="1" t="str">
        <f t="shared" ca="1" si="7"/>
        <v>VENCIDO</v>
      </c>
      <c r="AB84" s="1" t="str">
        <f t="shared" si="8"/>
        <v>Dosa</v>
      </c>
      <c r="AC84" s="2" t="str">
        <f t="shared" si="11"/>
        <v xml:space="preserve"> RINALDO </v>
      </c>
      <c r="AD84" s="2">
        <f t="shared" si="9"/>
        <v>5</v>
      </c>
      <c r="AE84" s="2">
        <f t="shared" ca="1" si="10"/>
        <v>-526.12729016203957</v>
      </c>
      <c r="AF84" s="15"/>
    </row>
    <row r="85" spans="1:32">
      <c r="A85" s="1">
        <v>7726643</v>
      </c>
      <c r="B85" s="1" t="s">
        <v>81</v>
      </c>
      <c r="C85" t="s">
        <v>240</v>
      </c>
      <c r="E85" s="2">
        <v>2156000206001</v>
      </c>
      <c r="F85" s="1" t="s">
        <v>29</v>
      </c>
      <c r="G85" s="1" t="s">
        <v>53</v>
      </c>
      <c r="H85" s="1" t="s">
        <v>278</v>
      </c>
      <c r="I85" s="1" t="s">
        <v>279</v>
      </c>
      <c r="J85" s="1" t="s">
        <v>211</v>
      </c>
      <c r="K85" t="s">
        <v>34</v>
      </c>
      <c r="M85" s="1" t="s">
        <v>35</v>
      </c>
      <c r="N85" s="1">
        <v>42318949</v>
      </c>
      <c r="O85" s="1" t="s">
        <v>36</v>
      </c>
      <c r="P85" s="186">
        <v>44459.548981481479</v>
      </c>
      <c r="R85" s="1" t="s">
        <v>38</v>
      </c>
      <c r="T85" s="1" t="s">
        <v>74</v>
      </c>
      <c r="U85" s="186">
        <v>44460.548981481479</v>
      </c>
      <c r="V85" s="1" t="s">
        <v>41</v>
      </c>
      <c r="W85" s="1" t="s">
        <v>49</v>
      </c>
      <c r="X85" s="13"/>
      <c r="Y85" s="2">
        <f t="shared" ca="1" si="6"/>
        <v>378</v>
      </c>
      <c r="Z85" s="14">
        <v>1</v>
      </c>
      <c r="AA85" s="1" t="str">
        <f t="shared" ca="1" si="7"/>
        <v>VENCIDO</v>
      </c>
      <c r="AB85" s="1" t="str">
        <f t="shared" si="8"/>
        <v>Dosa</v>
      </c>
      <c r="AC85" s="2" t="str">
        <f t="shared" si="11"/>
        <v xml:space="preserve"> RINALDO </v>
      </c>
      <c r="AD85" s="2">
        <f t="shared" si="9"/>
        <v>5</v>
      </c>
      <c r="AE85" s="2">
        <f t="shared" ca="1" si="10"/>
        <v>-526.12729016203957</v>
      </c>
      <c r="AF85" s="15"/>
    </row>
    <row r="86" spans="1:32">
      <c r="A86" s="1">
        <v>7726642</v>
      </c>
      <c r="B86" s="1" t="s">
        <v>81</v>
      </c>
      <c r="C86" t="s">
        <v>240</v>
      </c>
      <c r="E86" s="2">
        <v>1162000206001</v>
      </c>
      <c r="F86" s="1" t="s">
        <v>29</v>
      </c>
      <c r="G86" s="1" t="s">
        <v>53</v>
      </c>
      <c r="H86" s="1" t="s">
        <v>280</v>
      </c>
      <c r="I86" s="1" t="s">
        <v>281</v>
      </c>
      <c r="J86" s="1" t="s">
        <v>211</v>
      </c>
      <c r="K86" t="s">
        <v>34</v>
      </c>
      <c r="M86" s="1" t="s">
        <v>35</v>
      </c>
      <c r="N86" s="1">
        <v>42318949</v>
      </c>
      <c r="O86" s="1" t="s">
        <v>36</v>
      </c>
      <c r="P86" s="186">
        <v>44459.548981481479</v>
      </c>
      <c r="R86" s="1" t="s">
        <v>38</v>
      </c>
      <c r="T86" s="1" t="s">
        <v>74</v>
      </c>
      <c r="U86" s="186">
        <v>44460.548981481479</v>
      </c>
      <c r="V86" s="1" t="s">
        <v>41</v>
      </c>
      <c r="W86" s="1" t="s">
        <v>49</v>
      </c>
      <c r="X86" s="13"/>
      <c r="Y86" s="2">
        <f t="shared" ca="1" si="6"/>
        <v>378</v>
      </c>
      <c r="Z86" s="14">
        <v>1</v>
      </c>
      <c r="AA86" s="1" t="str">
        <f t="shared" ca="1" si="7"/>
        <v>VENCIDO</v>
      </c>
      <c r="AB86" s="1" t="str">
        <f t="shared" si="8"/>
        <v>Dosa</v>
      </c>
      <c r="AC86" s="2" t="str">
        <f t="shared" si="11"/>
        <v xml:space="preserve"> RINALDO </v>
      </c>
      <c r="AD86" s="2">
        <f t="shared" si="9"/>
        <v>5</v>
      </c>
      <c r="AE86" s="2">
        <f t="shared" ca="1" si="10"/>
        <v>-526.12729016203957</v>
      </c>
      <c r="AF86" s="15"/>
    </row>
    <row r="87" spans="1:32" hidden="1">
      <c r="A87" s="1">
        <v>7726640</v>
      </c>
      <c r="B87" s="1" t="s">
        <v>81</v>
      </c>
      <c r="C87" t="s">
        <v>240</v>
      </c>
      <c r="E87" s="2">
        <v>3243000206001</v>
      </c>
      <c r="F87" s="1" t="s">
        <v>29</v>
      </c>
      <c r="G87" s="1" t="s">
        <v>53</v>
      </c>
      <c r="H87" s="1" t="s">
        <v>282</v>
      </c>
      <c r="I87" s="1" t="s">
        <v>283</v>
      </c>
      <c r="J87" s="1" t="s">
        <v>46</v>
      </c>
      <c r="K87" t="s">
        <v>34</v>
      </c>
      <c r="M87" s="1" t="s">
        <v>35</v>
      </c>
      <c r="N87" s="1">
        <v>42318949</v>
      </c>
      <c r="O87" s="1" t="s">
        <v>36</v>
      </c>
      <c r="P87" s="186">
        <v>44459.54896990741</v>
      </c>
      <c r="R87" s="1" t="s">
        <v>38</v>
      </c>
      <c r="T87" s="1" t="s">
        <v>74</v>
      </c>
      <c r="U87" s="186">
        <v>44460.54896990741</v>
      </c>
      <c r="V87" s="1" t="s">
        <v>41</v>
      </c>
      <c r="W87" s="1" t="s">
        <v>49</v>
      </c>
      <c r="X87" s="13"/>
      <c r="Y87" s="2">
        <f t="shared" ca="1" si="6"/>
        <v>378</v>
      </c>
      <c r="Z87" s="14">
        <v>1</v>
      </c>
      <c r="AA87" s="1" t="str">
        <f t="shared" ca="1" si="7"/>
        <v>VENCIDO</v>
      </c>
      <c r="AB87" s="1" t="str">
        <f t="shared" si="8"/>
        <v>Dosa</v>
      </c>
      <c r="AC87" s="2" t="str">
        <f t="shared" si="11"/>
        <v xml:space="preserve"> CLEITON </v>
      </c>
      <c r="AD87" s="2">
        <f t="shared" si="9"/>
        <v>5</v>
      </c>
      <c r="AE87" s="2">
        <f t="shared" ca="1" si="10"/>
        <v>-526.12730173610908</v>
      </c>
      <c r="AF87" s="15"/>
    </row>
    <row r="88" spans="1:32">
      <c r="A88" s="1">
        <v>7726639</v>
      </c>
      <c r="B88" s="1" t="s">
        <v>81</v>
      </c>
      <c r="C88" t="s">
        <v>240</v>
      </c>
      <c r="E88" s="2">
        <v>1060000206001</v>
      </c>
      <c r="F88" s="1" t="s">
        <v>29</v>
      </c>
      <c r="G88" s="1" t="s">
        <v>53</v>
      </c>
      <c r="H88" s="1" t="s">
        <v>284</v>
      </c>
      <c r="I88" s="1" t="s">
        <v>285</v>
      </c>
      <c r="J88" s="1" t="s">
        <v>148</v>
      </c>
      <c r="K88" t="s">
        <v>34</v>
      </c>
      <c r="M88" s="1" t="s">
        <v>35</v>
      </c>
      <c r="N88" s="1">
        <v>42318949</v>
      </c>
      <c r="O88" s="1" t="s">
        <v>36</v>
      </c>
      <c r="P88" s="186">
        <v>44459.54896990741</v>
      </c>
      <c r="R88" s="1" t="s">
        <v>38</v>
      </c>
      <c r="T88" s="1" t="s">
        <v>74</v>
      </c>
      <c r="U88" s="186">
        <v>44460.54896990741</v>
      </c>
      <c r="V88" s="1" t="s">
        <v>41</v>
      </c>
      <c r="W88" s="1" t="s">
        <v>49</v>
      </c>
      <c r="X88" s="13"/>
      <c r="Y88" s="2">
        <f t="shared" ca="1" si="6"/>
        <v>378</v>
      </c>
      <c r="Z88" s="14">
        <v>1</v>
      </c>
      <c r="AA88" s="1" t="str">
        <f t="shared" ca="1" si="7"/>
        <v>VENCIDO</v>
      </c>
      <c r="AB88" s="1" t="str">
        <f t="shared" si="8"/>
        <v>Dosa</v>
      </c>
      <c r="AC88" s="2" t="str">
        <f t="shared" si="11"/>
        <v xml:space="preserve"> RINALDO </v>
      </c>
      <c r="AD88" s="2">
        <f t="shared" si="9"/>
        <v>5</v>
      </c>
      <c r="AE88" s="2">
        <f t="shared" ca="1" si="10"/>
        <v>-526.12730173610908</v>
      </c>
      <c r="AF88" s="15"/>
    </row>
    <row r="89" spans="1:32" hidden="1">
      <c r="A89" s="1">
        <v>7726637</v>
      </c>
      <c r="B89" s="1" t="s">
        <v>81</v>
      </c>
      <c r="C89" t="s">
        <v>240</v>
      </c>
      <c r="E89" s="2">
        <v>3237000206001</v>
      </c>
      <c r="F89" s="1" t="s">
        <v>29</v>
      </c>
      <c r="G89" s="1" t="s">
        <v>53</v>
      </c>
      <c r="H89" s="1" t="s">
        <v>287</v>
      </c>
      <c r="I89" s="1" t="s">
        <v>288</v>
      </c>
      <c r="J89" s="1" t="s">
        <v>46</v>
      </c>
      <c r="K89" t="s">
        <v>34</v>
      </c>
      <c r="M89" s="1" t="s">
        <v>35</v>
      </c>
      <c r="N89" s="1">
        <v>42318949</v>
      </c>
      <c r="O89" s="1" t="s">
        <v>36</v>
      </c>
      <c r="P89" s="186">
        <v>44459.54896990741</v>
      </c>
      <c r="R89" s="1" t="s">
        <v>38</v>
      </c>
      <c r="T89" s="1" t="s">
        <v>74</v>
      </c>
      <c r="U89" s="186">
        <v>44460.54896990741</v>
      </c>
      <c r="V89" s="1" t="s">
        <v>41</v>
      </c>
      <c r="W89" s="1" t="s">
        <v>49</v>
      </c>
      <c r="X89" s="13"/>
      <c r="Y89" s="2">
        <f t="shared" ca="1" si="6"/>
        <v>378</v>
      </c>
      <c r="Z89" s="14">
        <v>1</v>
      </c>
      <c r="AA89" s="1" t="str">
        <f t="shared" ca="1" si="7"/>
        <v>VENCIDO</v>
      </c>
      <c r="AB89" s="1" t="str">
        <f t="shared" si="8"/>
        <v>Dosa</v>
      </c>
      <c r="AC89" s="2" t="str">
        <f t="shared" si="11"/>
        <v xml:space="preserve"> CLEITON </v>
      </c>
      <c r="AD89" s="2">
        <f t="shared" si="9"/>
        <v>5</v>
      </c>
      <c r="AE89" s="2">
        <f t="shared" ca="1" si="10"/>
        <v>-526.12730173610908</v>
      </c>
      <c r="AF89" s="15"/>
    </row>
    <row r="90" spans="1:32" hidden="1">
      <c r="A90" s="1">
        <v>7726636</v>
      </c>
      <c r="B90" s="1" t="s">
        <v>81</v>
      </c>
      <c r="C90" t="s">
        <v>240</v>
      </c>
      <c r="E90" s="2">
        <v>1058000206001</v>
      </c>
      <c r="F90" s="1" t="s">
        <v>29</v>
      </c>
      <c r="G90" s="1" t="s">
        <v>53</v>
      </c>
      <c r="H90" s="1" t="s">
        <v>289</v>
      </c>
      <c r="I90" s="1" t="s">
        <v>290</v>
      </c>
      <c r="J90" s="1" t="s">
        <v>56</v>
      </c>
      <c r="K90" t="s">
        <v>34</v>
      </c>
      <c r="M90" s="1" t="s">
        <v>35</v>
      </c>
      <c r="N90" s="1">
        <v>42318949</v>
      </c>
      <c r="O90" s="1" t="s">
        <v>36</v>
      </c>
      <c r="P90" s="186">
        <v>44459.54896990741</v>
      </c>
      <c r="R90" s="1" t="s">
        <v>38</v>
      </c>
      <c r="T90" s="1" t="s">
        <v>74</v>
      </c>
      <c r="U90" s="186">
        <v>44460.54896990741</v>
      </c>
      <c r="V90" s="1" t="s">
        <v>41</v>
      </c>
      <c r="W90" s="1" t="s">
        <v>49</v>
      </c>
      <c r="X90" s="13"/>
      <c r="Y90" s="2">
        <f t="shared" ca="1" si="6"/>
        <v>378</v>
      </c>
      <c r="Z90" s="14">
        <v>1</v>
      </c>
      <c r="AA90" s="1" t="str">
        <f t="shared" ca="1" si="7"/>
        <v>VENCIDO</v>
      </c>
      <c r="AB90" s="1" t="str">
        <f t="shared" si="8"/>
        <v>Dosa</v>
      </c>
      <c r="AC90" s="2" t="str">
        <f t="shared" si="11"/>
        <v xml:space="preserve"> CRISTINA </v>
      </c>
      <c r="AD90" s="2">
        <f t="shared" si="9"/>
        <v>5</v>
      </c>
      <c r="AE90" s="2">
        <f t="shared" ca="1" si="10"/>
        <v>-526.12730173610908</v>
      </c>
      <c r="AF90" s="15"/>
    </row>
    <row r="91" spans="1:32" hidden="1">
      <c r="A91" s="1">
        <v>7726635</v>
      </c>
      <c r="B91" s="1" t="s">
        <v>81</v>
      </c>
      <c r="C91" t="s">
        <v>240</v>
      </c>
      <c r="E91" s="2">
        <v>4235000206001</v>
      </c>
      <c r="F91" s="1" t="s">
        <v>29</v>
      </c>
      <c r="G91" s="1" t="s">
        <v>53</v>
      </c>
      <c r="H91" s="1" t="s">
        <v>291</v>
      </c>
      <c r="I91" s="1" t="s">
        <v>292</v>
      </c>
      <c r="J91" s="1" t="s">
        <v>46</v>
      </c>
      <c r="K91" t="s">
        <v>34</v>
      </c>
      <c r="M91" s="1" t="s">
        <v>35</v>
      </c>
      <c r="N91" s="1">
        <v>42318949</v>
      </c>
      <c r="O91" s="1" t="s">
        <v>36</v>
      </c>
      <c r="P91" s="186">
        <v>44459.54896990741</v>
      </c>
      <c r="R91" s="1" t="s">
        <v>38</v>
      </c>
      <c r="T91" s="1" t="s">
        <v>74</v>
      </c>
      <c r="U91" s="186">
        <v>44460.54896990741</v>
      </c>
      <c r="V91" s="1" t="s">
        <v>41</v>
      </c>
      <c r="W91" s="1" t="s">
        <v>49</v>
      </c>
      <c r="X91" s="13"/>
      <c r="Y91" s="2">
        <f t="shared" ca="1" si="6"/>
        <v>378</v>
      </c>
      <c r="Z91" s="14">
        <v>1</v>
      </c>
      <c r="AA91" s="1" t="str">
        <f t="shared" ca="1" si="7"/>
        <v>VENCIDO</v>
      </c>
      <c r="AB91" s="1" t="str">
        <f t="shared" si="8"/>
        <v>Dosa</v>
      </c>
      <c r="AC91" s="2" t="str">
        <f t="shared" si="11"/>
        <v xml:space="preserve"> CLEITON </v>
      </c>
      <c r="AD91" s="2">
        <f t="shared" si="9"/>
        <v>5</v>
      </c>
      <c r="AE91" s="2">
        <f t="shared" ca="1" si="10"/>
        <v>-526.12730173610908</v>
      </c>
      <c r="AF91" s="15"/>
    </row>
    <row r="92" spans="1:32" hidden="1">
      <c r="A92" s="1">
        <v>7726633</v>
      </c>
      <c r="B92" s="1" t="s">
        <v>81</v>
      </c>
      <c r="C92" t="s">
        <v>240</v>
      </c>
      <c r="E92" s="2">
        <v>8634000206001</v>
      </c>
      <c r="F92" s="1" t="s">
        <v>29</v>
      </c>
      <c r="G92" s="1" t="s">
        <v>53</v>
      </c>
      <c r="H92" s="1" t="s">
        <v>293</v>
      </c>
      <c r="I92" s="1" t="s">
        <v>294</v>
      </c>
      <c r="J92" s="1" t="s">
        <v>46</v>
      </c>
      <c r="K92" t="s">
        <v>34</v>
      </c>
      <c r="M92" s="1" t="s">
        <v>35</v>
      </c>
      <c r="N92" s="1">
        <v>42318949</v>
      </c>
      <c r="O92" s="1" t="s">
        <v>36</v>
      </c>
      <c r="P92" s="186">
        <v>44459.54896990741</v>
      </c>
      <c r="R92" s="1" t="s">
        <v>38</v>
      </c>
      <c r="T92" s="1" t="s">
        <v>74</v>
      </c>
      <c r="U92" s="186">
        <v>44460.54896990741</v>
      </c>
      <c r="V92" s="1" t="s">
        <v>41</v>
      </c>
      <c r="W92" s="1" t="s">
        <v>49</v>
      </c>
      <c r="X92" s="13"/>
      <c r="Y92" s="2">
        <f t="shared" ca="1" si="6"/>
        <v>378</v>
      </c>
      <c r="Z92" s="14">
        <v>1</v>
      </c>
      <c r="AA92" s="1" t="str">
        <f t="shared" ca="1" si="7"/>
        <v>VENCIDO</v>
      </c>
      <c r="AB92" s="1" t="str">
        <f t="shared" si="8"/>
        <v>Dosa</v>
      </c>
      <c r="AC92" s="2" t="str">
        <f t="shared" si="11"/>
        <v xml:space="preserve"> CLEITON </v>
      </c>
      <c r="AD92" s="2">
        <f t="shared" si="9"/>
        <v>5</v>
      </c>
      <c r="AE92" s="2">
        <f t="shared" ca="1" si="10"/>
        <v>-526.12730173610908</v>
      </c>
      <c r="AF92" s="15"/>
    </row>
    <row r="93" spans="1:32">
      <c r="A93" s="1">
        <v>7726632</v>
      </c>
      <c r="B93" s="1" t="s">
        <v>81</v>
      </c>
      <c r="C93" t="s">
        <v>240</v>
      </c>
      <c r="E93" s="2">
        <v>1108000206001</v>
      </c>
      <c r="F93" s="1" t="s">
        <v>29</v>
      </c>
      <c r="G93" s="1" t="s">
        <v>53</v>
      </c>
      <c r="H93" s="1" t="s">
        <v>295</v>
      </c>
      <c r="I93" s="1" t="s">
        <v>296</v>
      </c>
      <c r="J93" s="1" t="s">
        <v>90</v>
      </c>
      <c r="K93" t="s">
        <v>34</v>
      </c>
      <c r="M93" s="1" t="s">
        <v>35</v>
      </c>
      <c r="N93" s="1">
        <v>42318949</v>
      </c>
      <c r="O93" s="1" t="s">
        <v>36</v>
      </c>
      <c r="P93" s="186">
        <v>44459.54896990741</v>
      </c>
      <c r="R93" s="1" t="s">
        <v>38</v>
      </c>
      <c r="T93" s="1" t="s">
        <v>74</v>
      </c>
      <c r="U93" s="186">
        <v>44460.54896990741</v>
      </c>
      <c r="V93" s="1" t="s">
        <v>41</v>
      </c>
      <c r="W93" s="1" t="s">
        <v>49</v>
      </c>
      <c r="X93" s="13"/>
      <c r="Y93" s="2">
        <f t="shared" ca="1" si="6"/>
        <v>378</v>
      </c>
      <c r="Z93" s="14">
        <v>1</v>
      </c>
      <c r="AA93" s="1" t="str">
        <f t="shared" ca="1" si="7"/>
        <v>VENCIDO</v>
      </c>
      <c r="AB93" s="1" t="str">
        <f t="shared" si="8"/>
        <v>Dosa</v>
      </c>
      <c r="AC93" s="2" t="str">
        <f t="shared" si="11"/>
        <v xml:space="preserve"> RINALDO </v>
      </c>
      <c r="AD93" s="2">
        <f t="shared" si="9"/>
        <v>5</v>
      </c>
      <c r="AE93" s="2">
        <f t="shared" ca="1" si="10"/>
        <v>-526.12730173610908</v>
      </c>
      <c r="AF93" s="15"/>
    </row>
    <row r="94" spans="1:32">
      <c r="A94" s="1">
        <v>7726631</v>
      </c>
      <c r="B94" s="1" t="s">
        <v>81</v>
      </c>
      <c r="C94" t="s">
        <v>240</v>
      </c>
      <c r="E94" s="2">
        <v>4119000206001</v>
      </c>
      <c r="F94" s="1" t="s">
        <v>29</v>
      </c>
      <c r="G94" s="1" t="s">
        <v>53</v>
      </c>
      <c r="H94" s="1" t="s">
        <v>297</v>
      </c>
      <c r="I94" s="1" t="s">
        <v>298</v>
      </c>
      <c r="J94" s="1" t="s">
        <v>211</v>
      </c>
      <c r="K94" t="s">
        <v>34</v>
      </c>
      <c r="M94" s="1" t="s">
        <v>35</v>
      </c>
      <c r="N94" s="1">
        <v>42318949</v>
      </c>
      <c r="O94" s="1" t="s">
        <v>36</v>
      </c>
      <c r="P94" s="186">
        <v>44459.548958333333</v>
      </c>
      <c r="R94" s="1" t="s">
        <v>38</v>
      </c>
      <c r="T94" s="1" t="s">
        <v>74</v>
      </c>
      <c r="U94" s="186">
        <v>44460.548958333333</v>
      </c>
      <c r="V94" s="1" t="s">
        <v>41</v>
      </c>
      <c r="W94" s="1" t="s">
        <v>49</v>
      </c>
      <c r="X94" s="13"/>
      <c r="Y94" s="2">
        <f t="shared" ca="1" si="6"/>
        <v>378</v>
      </c>
      <c r="Z94" s="14">
        <v>1</v>
      </c>
      <c r="AA94" s="1" t="str">
        <f t="shared" ca="1" si="7"/>
        <v>VENCIDO</v>
      </c>
      <c r="AB94" s="1" t="str">
        <f t="shared" si="8"/>
        <v>Dosa</v>
      </c>
      <c r="AC94" s="2" t="str">
        <f t="shared" si="11"/>
        <v xml:space="preserve"> RINALDO </v>
      </c>
      <c r="AD94" s="2">
        <f t="shared" si="9"/>
        <v>5</v>
      </c>
      <c r="AE94" s="2">
        <f t="shared" ca="1" si="10"/>
        <v>-526.12731331018585</v>
      </c>
      <c r="AF94" s="15"/>
    </row>
    <row r="95" spans="1:32" hidden="1">
      <c r="A95" s="1">
        <v>7726630</v>
      </c>
      <c r="B95" s="1" t="s">
        <v>81</v>
      </c>
      <c r="C95" t="s">
        <v>240</v>
      </c>
      <c r="E95" s="2">
        <v>2388000206001</v>
      </c>
      <c r="F95" s="1" t="s">
        <v>29</v>
      </c>
      <c r="G95" s="1" t="s">
        <v>53</v>
      </c>
      <c r="H95" s="1" t="s">
        <v>299</v>
      </c>
      <c r="I95" s="1" t="s">
        <v>300</v>
      </c>
      <c r="J95" s="1" t="s">
        <v>79</v>
      </c>
      <c r="K95" t="s">
        <v>34</v>
      </c>
      <c r="M95" s="1" t="s">
        <v>35</v>
      </c>
      <c r="N95" s="1">
        <v>42318949</v>
      </c>
      <c r="O95" s="1" t="s">
        <v>36</v>
      </c>
      <c r="P95" s="186">
        <v>44459.548958333333</v>
      </c>
      <c r="R95" s="1" t="s">
        <v>38</v>
      </c>
      <c r="T95" s="1" t="s">
        <v>74</v>
      </c>
      <c r="U95" s="186">
        <v>44460.548958333333</v>
      </c>
      <c r="V95" s="1" t="s">
        <v>41</v>
      </c>
      <c r="W95" s="1" t="s">
        <v>49</v>
      </c>
      <c r="X95" s="13"/>
      <c r="Y95" s="2">
        <f t="shared" ca="1" si="6"/>
        <v>378</v>
      </c>
      <c r="Z95" s="14">
        <v>1</v>
      </c>
      <c r="AA95" s="1" t="str">
        <f t="shared" ca="1" si="7"/>
        <v>VENCIDO</v>
      </c>
      <c r="AB95" s="1" t="str">
        <f t="shared" si="8"/>
        <v>Dosa</v>
      </c>
      <c r="AC95" s="2" t="str">
        <f t="shared" si="11"/>
        <v xml:space="preserve"> ROSEMERE </v>
      </c>
      <c r="AD95" s="2">
        <f t="shared" si="9"/>
        <v>5</v>
      </c>
      <c r="AE95" s="2">
        <f t="shared" ca="1" si="10"/>
        <v>-526.12731331018585</v>
      </c>
      <c r="AF95" s="15"/>
    </row>
    <row r="96" spans="1:32" hidden="1">
      <c r="A96" s="1">
        <v>7726629</v>
      </c>
      <c r="B96" s="1" t="s">
        <v>81</v>
      </c>
      <c r="C96" t="s">
        <v>240</v>
      </c>
      <c r="E96" s="2">
        <v>2326000206001</v>
      </c>
      <c r="F96" s="1" t="s">
        <v>29</v>
      </c>
      <c r="G96" s="1" t="s">
        <v>53</v>
      </c>
      <c r="H96" s="1" t="s">
        <v>191</v>
      </c>
      <c r="I96" s="1" t="s">
        <v>192</v>
      </c>
      <c r="J96" s="1" t="s">
        <v>46</v>
      </c>
      <c r="K96" t="s">
        <v>34</v>
      </c>
      <c r="M96" s="1" t="s">
        <v>35</v>
      </c>
      <c r="N96" s="1">
        <v>42318949</v>
      </c>
      <c r="O96" s="1" t="s">
        <v>36</v>
      </c>
      <c r="P96" s="186">
        <v>44459.548958333333</v>
      </c>
      <c r="R96" s="1" t="s">
        <v>38</v>
      </c>
      <c r="T96" s="1" t="s">
        <v>74</v>
      </c>
      <c r="U96" s="186">
        <v>44460.548958333333</v>
      </c>
      <c r="V96" s="1" t="s">
        <v>41</v>
      </c>
      <c r="W96" s="1" t="s">
        <v>49</v>
      </c>
      <c r="X96" s="13"/>
      <c r="Y96" s="2">
        <f t="shared" ca="1" si="6"/>
        <v>378</v>
      </c>
      <c r="Z96" s="14">
        <v>1</v>
      </c>
      <c r="AA96" s="1" t="str">
        <f t="shared" ca="1" si="7"/>
        <v>VENCIDO</v>
      </c>
      <c r="AB96" s="1" t="str">
        <f t="shared" si="8"/>
        <v>Dosa</v>
      </c>
      <c r="AC96" s="2" t="str">
        <f t="shared" si="11"/>
        <v xml:space="preserve"> CLEITON </v>
      </c>
      <c r="AD96" s="2">
        <f t="shared" si="9"/>
        <v>5</v>
      </c>
      <c r="AE96" s="2">
        <f t="shared" ca="1" si="10"/>
        <v>-526.12731331018585</v>
      </c>
      <c r="AF96" s="15"/>
    </row>
    <row r="97" spans="1:32" hidden="1">
      <c r="A97" s="1">
        <v>7726628</v>
      </c>
      <c r="B97" s="1" t="s">
        <v>81</v>
      </c>
      <c r="C97" t="s">
        <v>240</v>
      </c>
      <c r="E97" s="2">
        <v>1360000206001</v>
      </c>
      <c r="F97" s="1" t="s">
        <v>29</v>
      </c>
      <c r="G97" s="1" t="s">
        <v>53</v>
      </c>
      <c r="H97" s="1" t="s">
        <v>303</v>
      </c>
      <c r="I97" s="1" t="s">
        <v>304</v>
      </c>
      <c r="J97" s="1" t="s">
        <v>261</v>
      </c>
      <c r="K97" t="s">
        <v>34</v>
      </c>
      <c r="M97" s="1" t="s">
        <v>35</v>
      </c>
      <c r="N97" s="1">
        <v>42318949</v>
      </c>
      <c r="O97" s="1" t="s">
        <v>36</v>
      </c>
      <c r="P97" s="186">
        <v>44459.548958333333</v>
      </c>
      <c r="R97" s="1" t="s">
        <v>38</v>
      </c>
      <c r="T97" s="1" t="s">
        <v>74</v>
      </c>
      <c r="U97" s="186">
        <v>44460.548958333333</v>
      </c>
      <c r="V97" s="1" t="s">
        <v>41</v>
      </c>
      <c r="W97" s="1" t="s">
        <v>49</v>
      </c>
      <c r="X97" s="13"/>
      <c r="Y97" s="2">
        <f t="shared" ca="1" si="6"/>
        <v>378</v>
      </c>
      <c r="Z97" s="14">
        <v>1</v>
      </c>
      <c r="AA97" s="1" t="str">
        <f t="shared" ca="1" si="7"/>
        <v>VENCIDO</v>
      </c>
      <c r="AB97" s="1" t="str">
        <f t="shared" si="8"/>
        <v>Dosa</v>
      </c>
      <c r="AC97" s="2" t="str">
        <f t="shared" si="11"/>
        <v xml:space="preserve"> CRISTINA </v>
      </c>
      <c r="AD97" s="2">
        <f t="shared" si="9"/>
        <v>5</v>
      </c>
      <c r="AE97" s="2">
        <f t="shared" ca="1" si="10"/>
        <v>-526.12731331018585</v>
      </c>
      <c r="AF97" s="15"/>
    </row>
    <row r="98" spans="1:32" hidden="1">
      <c r="A98" s="1">
        <v>7726627</v>
      </c>
      <c r="B98" s="1" t="s">
        <v>81</v>
      </c>
      <c r="C98" t="s">
        <v>240</v>
      </c>
      <c r="E98" s="2">
        <v>1835000206001</v>
      </c>
      <c r="F98" s="1" t="s">
        <v>29</v>
      </c>
      <c r="G98" s="1" t="s">
        <v>53</v>
      </c>
      <c r="H98" s="1" t="s">
        <v>305</v>
      </c>
      <c r="I98" s="1" t="s">
        <v>306</v>
      </c>
      <c r="J98" s="1" t="s">
        <v>46</v>
      </c>
      <c r="K98" t="s">
        <v>34</v>
      </c>
      <c r="M98" s="1" t="s">
        <v>35</v>
      </c>
      <c r="N98" s="1">
        <v>42318949</v>
      </c>
      <c r="O98" s="1" t="s">
        <v>36</v>
      </c>
      <c r="P98" s="186">
        <v>44459.548958333333</v>
      </c>
      <c r="R98" s="1" t="s">
        <v>38</v>
      </c>
      <c r="T98" s="1" t="s">
        <v>74</v>
      </c>
      <c r="U98" s="186">
        <v>44460.548958333333</v>
      </c>
      <c r="V98" s="1" t="s">
        <v>41</v>
      </c>
      <c r="W98" s="1" t="s">
        <v>49</v>
      </c>
      <c r="X98" s="13"/>
      <c r="Y98" s="2">
        <f t="shared" ca="1" si="6"/>
        <v>378</v>
      </c>
      <c r="Z98" s="14">
        <v>1</v>
      </c>
      <c r="AA98" s="1" t="str">
        <f t="shared" ca="1" si="7"/>
        <v>VENCIDO</v>
      </c>
      <c r="AB98" s="1" t="str">
        <f t="shared" si="8"/>
        <v>Dosa</v>
      </c>
      <c r="AC98" s="2" t="str">
        <f t="shared" si="11"/>
        <v xml:space="preserve"> CLEITON </v>
      </c>
      <c r="AD98" s="2">
        <f t="shared" si="9"/>
        <v>5</v>
      </c>
      <c r="AE98" s="2">
        <f t="shared" ca="1" si="10"/>
        <v>-526.12731331018585</v>
      </c>
      <c r="AF98" s="15"/>
    </row>
    <row r="99" spans="1:32" hidden="1">
      <c r="A99" s="1">
        <v>7726626</v>
      </c>
      <c r="B99" s="1" t="s">
        <v>81</v>
      </c>
      <c r="C99" t="s">
        <v>240</v>
      </c>
      <c r="E99" s="2">
        <v>1664000206001</v>
      </c>
      <c r="F99" s="1" t="s">
        <v>29</v>
      </c>
      <c r="G99" s="1" t="s">
        <v>53</v>
      </c>
      <c r="H99" s="1" t="s">
        <v>307</v>
      </c>
      <c r="I99" s="1" t="s">
        <v>308</v>
      </c>
      <c r="J99" s="1" t="s">
        <v>164</v>
      </c>
      <c r="K99" t="s">
        <v>34</v>
      </c>
      <c r="M99" s="1" t="s">
        <v>35</v>
      </c>
      <c r="N99" s="1">
        <v>42318949</v>
      </c>
      <c r="O99" s="1" t="s">
        <v>36</v>
      </c>
      <c r="P99" s="186">
        <v>44459.548958333333</v>
      </c>
      <c r="R99" s="1" t="s">
        <v>38</v>
      </c>
      <c r="T99" s="1" t="s">
        <v>74</v>
      </c>
      <c r="U99" s="186">
        <v>44460.548958333333</v>
      </c>
      <c r="V99" s="1" t="s">
        <v>41</v>
      </c>
      <c r="W99" s="1" t="s">
        <v>49</v>
      </c>
      <c r="X99" s="13"/>
      <c r="Y99" s="2">
        <f t="shared" ca="1" si="6"/>
        <v>378</v>
      </c>
      <c r="Z99" s="14">
        <v>1</v>
      </c>
      <c r="AA99" s="1" t="str">
        <f t="shared" ca="1" si="7"/>
        <v>VENCIDO</v>
      </c>
      <c r="AB99" s="1" t="str">
        <f t="shared" si="8"/>
        <v>Dosa</v>
      </c>
      <c r="AC99" s="2" t="str">
        <f t="shared" si="11"/>
        <v xml:space="preserve"> ROSEMERE </v>
      </c>
      <c r="AD99" s="2">
        <f t="shared" si="9"/>
        <v>5</v>
      </c>
      <c r="AE99" s="2">
        <f t="shared" ca="1" si="10"/>
        <v>-526.12731331018585</v>
      </c>
      <c r="AF99" s="15"/>
    </row>
    <row r="100" spans="1:32" hidden="1">
      <c r="A100" s="1">
        <v>7726624</v>
      </c>
      <c r="B100" s="1" t="s">
        <v>81</v>
      </c>
      <c r="C100" t="s">
        <v>240</v>
      </c>
      <c r="E100" s="2">
        <v>1732000206001</v>
      </c>
      <c r="F100" s="1" t="s">
        <v>29</v>
      </c>
      <c r="G100" s="1" t="s">
        <v>53</v>
      </c>
      <c r="H100" s="1" t="s">
        <v>177</v>
      </c>
      <c r="I100" s="1" t="s">
        <v>178</v>
      </c>
      <c r="J100" s="1" t="s">
        <v>164</v>
      </c>
      <c r="K100" t="s">
        <v>34</v>
      </c>
      <c r="M100" s="1" t="s">
        <v>35</v>
      </c>
      <c r="N100" s="1">
        <v>42318949</v>
      </c>
      <c r="O100" s="1" t="s">
        <v>36</v>
      </c>
      <c r="P100" s="186">
        <v>44459.548958333333</v>
      </c>
      <c r="R100" s="1" t="s">
        <v>38</v>
      </c>
      <c r="T100" s="1" t="s">
        <v>74</v>
      </c>
      <c r="U100" s="186">
        <v>44460.548958333333</v>
      </c>
      <c r="V100" s="1" t="s">
        <v>41</v>
      </c>
      <c r="W100" s="1" t="s">
        <v>49</v>
      </c>
      <c r="X100" s="13"/>
      <c r="Y100" s="2">
        <f t="shared" ca="1" si="6"/>
        <v>378</v>
      </c>
      <c r="Z100" s="14">
        <v>1</v>
      </c>
      <c r="AA100" s="1" t="str">
        <f t="shared" ca="1" si="7"/>
        <v>VENCIDO</v>
      </c>
      <c r="AB100" s="1" t="str">
        <f t="shared" si="8"/>
        <v>Dosa</v>
      </c>
      <c r="AC100" s="2" t="str">
        <f t="shared" si="11"/>
        <v xml:space="preserve"> ROSEMERE </v>
      </c>
      <c r="AD100" s="2">
        <f t="shared" si="9"/>
        <v>5</v>
      </c>
      <c r="AE100" s="2">
        <f t="shared" ca="1" si="10"/>
        <v>-526.12731331018585</v>
      </c>
      <c r="AF100" s="15"/>
    </row>
    <row r="101" spans="1:32" hidden="1">
      <c r="A101" s="1">
        <v>7726620</v>
      </c>
      <c r="B101" s="1" t="s">
        <v>81</v>
      </c>
      <c r="C101" t="s">
        <v>240</v>
      </c>
      <c r="E101" s="2">
        <v>3924000206001</v>
      </c>
      <c r="F101" s="1" t="s">
        <v>29</v>
      </c>
      <c r="G101" s="1" t="s">
        <v>53</v>
      </c>
      <c r="H101" s="1" t="s">
        <v>153</v>
      </c>
      <c r="I101" s="1" t="s">
        <v>154</v>
      </c>
      <c r="J101" s="1" t="s">
        <v>56</v>
      </c>
      <c r="K101" t="s">
        <v>34</v>
      </c>
      <c r="M101" s="1" t="s">
        <v>35</v>
      </c>
      <c r="N101" s="1">
        <v>42318949</v>
      </c>
      <c r="O101" s="1" t="s">
        <v>36</v>
      </c>
      <c r="P101" s="186">
        <v>44459.548946759256</v>
      </c>
      <c r="R101" s="1" t="s">
        <v>38</v>
      </c>
      <c r="T101" s="1" t="s">
        <v>74</v>
      </c>
      <c r="U101" s="186">
        <v>44460.548946759256</v>
      </c>
      <c r="V101" s="1" t="s">
        <v>41</v>
      </c>
      <c r="W101" s="1" t="s">
        <v>49</v>
      </c>
      <c r="X101" s="13"/>
      <c r="Y101" s="2">
        <f t="shared" ca="1" si="6"/>
        <v>378</v>
      </c>
      <c r="Z101" s="14">
        <v>1</v>
      </c>
      <c r="AA101" s="1" t="str">
        <f t="shared" ca="1" si="7"/>
        <v>VENCIDO</v>
      </c>
      <c r="AB101" s="1" t="str">
        <f t="shared" si="8"/>
        <v>Dosa</v>
      </c>
      <c r="AC101" s="2" t="str">
        <f t="shared" si="11"/>
        <v xml:space="preserve"> CRISTINA </v>
      </c>
      <c r="AD101" s="2">
        <f t="shared" si="9"/>
        <v>5</v>
      </c>
      <c r="AE101" s="2">
        <f t="shared" ca="1" si="10"/>
        <v>-526.12732488426263</v>
      </c>
      <c r="AF101" s="15"/>
    </row>
    <row r="102" spans="1:32" hidden="1">
      <c r="A102" s="1">
        <v>7726617</v>
      </c>
      <c r="B102" s="1" t="s">
        <v>81</v>
      </c>
      <c r="C102" t="s">
        <v>240</v>
      </c>
      <c r="E102" s="2">
        <v>1361000206001</v>
      </c>
      <c r="F102" s="1" t="s">
        <v>29</v>
      </c>
      <c r="G102" s="1" t="s">
        <v>53</v>
      </c>
      <c r="H102" s="1" t="s">
        <v>309</v>
      </c>
      <c r="I102" s="1" t="s">
        <v>310</v>
      </c>
      <c r="J102" s="1" t="s">
        <v>46</v>
      </c>
      <c r="K102" t="s">
        <v>34</v>
      </c>
      <c r="M102" s="1" t="s">
        <v>35</v>
      </c>
      <c r="N102" s="1">
        <v>42318949</v>
      </c>
      <c r="O102" s="1" t="s">
        <v>36</v>
      </c>
      <c r="P102" s="186">
        <v>44459.548946759256</v>
      </c>
      <c r="R102" s="1" t="s">
        <v>38</v>
      </c>
      <c r="T102" s="1" t="s">
        <v>74</v>
      </c>
      <c r="U102" s="186">
        <v>44460.548946759256</v>
      </c>
      <c r="V102" s="1" t="s">
        <v>41</v>
      </c>
      <c r="W102" s="1" t="s">
        <v>49</v>
      </c>
      <c r="X102" s="13"/>
      <c r="Y102" s="2">
        <f t="shared" ca="1" si="6"/>
        <v>378</v>
      </c>
      <c r="Z102" s="14">
        <v>1</v>
      </c>
      <c r="AA102" s="1" t="str">
        <f t="shared" ca="1" si="7"/>
        <v>VENCIDO</v>
      </c>
      <c r="AB102" s="1" t="str">
        <f t="shared" si="8"/>
        <v>Dosa</v>
      </c>
      <c r="AC102" s="2" t="str">
        <f t="shared" si="11"/>
        <v xml:space="preserve"> CLEITON </v>
      </c>
      <c r="AD102" s="2">
        <f t="shared" si="9"/>
        <v>5</v>
      </c>
      <c r="AE102" s="2">
        <f t="shared" ca="1" si="10"/>
        <v>-526.12732488426263</v>
      </c>
      <c r="AF102" s="15"/>
    </row>
    <row r="103" spans="1:32">
      <c r="A103" s="1">
        <v>7726616</v>
      </c>
      <c r="B103" s="1" t="s">
        <v>81</v>
      </c>
      <c r="C103" t="s">
        <v>240</v>
      </c>
      <c r="E103" s="2">
        <v>2737000206001</v>
      </c>
      <c r="F103" s="1" t="s">
        <v>29</v>
      </c>
      <c r="G103" s="1" t="s">
        <v>53</v>
      </c>
      <c r="H103" s="1" t="s">
        <v>311</v>
      </c>
      <c r="I103" s="1" t="s">
        <v>312</v>
      </c>
      <c r="J103" s="1" t="s">
        <v>90</v>
      </c>
      <c r="K103" t="s">
        <v>34</v>
      </c>
      <c r="M103" s="1" t="s">
        <v>35</v>
      </c>
      <c r="N103" s="1">
        <v>42318949</v>
      </c>
      <c r="O103" s="1" t="s">
        <v>36</v>
      </c>
      <c r="P103" s="186">
        <v>44459.548935185187</v>
      </c>
      <c r="R103" s="1" t="s">
        <v>38</v>
      </c>
      <c r="T103" s="1" t="s">
        <v>74</v>
      </c>
      <c r="U103" s="186">
        <v>44460.548935185187</v>
      </c>
      <c r="V103" s="1" t="s">
        <v>41</v>
      </c>
      <c r="W103" s="1" t="s">
        <v>49</v>
      </c>
      <c r="X103" s="13"/>
      <c r="Y103" s="2">
        <f t="shared" ca="1" si="6"/>
        <v>378</v>
      </c>
      <c r="Z103" s="14">
        <v>1</v>
      </c>
      <c r="AA103" s="1" t="str">
        <f t="shared" ca="1" si="7"/>
        <v>VENCIDO</v>
      </c>
      <c r="AB103" s="1" t="str">
        <f t="shared" si="8"/>
        <v>Dosa</v>
      </c>
      <c r="AC103" s="2" t="str">
        <f t="shared" si="11"/>
        <v xml:space="preserve"> RINALDO </v>
      </c>
      <c r="AD103" s="2">
        <f t="shared" si="9"/>
        <v>5</v>
      </c>
      <c r="AE103" s="2">
        <f t="shared" ca="1" si="10"/>
        <v>-526.12733645833214</v>
      </c>
      <c r="AF103" s="15"/>
    </row>
    <row r="104" spans="1:32" hidden="1">
      <c r="A104" s="1">
        <v>7726614</v>
      </c>
      <c r="B104" s="1" t="s">
        <v>81</v>
      </c>
      <c r="C104" t="s">
        <v>240</v>
      </c>
      <c r="E104" s="2">
        <v>244000206001</v>
      </c>
      <c r="F104" s="1" t="s">
        <v>29</v>
      </c>
      <c r="G104" s="1" t="s">
        <v>53</v>
      </c>
      <c r="H104" s="1" t="s">
        <v>313</v>
      </c>
      <c r="I104" s="1" t="s">
        <v>314</v>
      </c>
      <c r="J104" s="1" t="s">
        <v>56</v>
      </c>
      <c r="K104" t="s">
        <v>34</v>
      </c>
      <c r="M104" s="1" t="s">
        <v>35</v>
      </c>
      <c r="N104" s="1">
        <v>42318949</v>
      </c>
      <c r="O104" s="1" t="s">
        <v>36</v>
      </c>
      <c r="P104" s="186">
        <v>44459.548935185187</v>
      </c>
      <c r="R104" s="1" t="s">
        <v>38</v>
      </c>
      <c r="T104" s="1" t="s">
        <v>74</v>
      </c>
      <c r="U104" s="186">
        <v>44460.548935185187</v>
      </c>
      <c r="V104" s="1" t="s">
        <v>41</v>
      </c>
      <c r="W104" s="1" t="s">
        <v>49</v>
      </c>
      <c r="X104" s="13"/>
      <c r="Y104" s="2">
        <f t="shared" ca="1" si="6"/>
        <v>378</v>
      </c>
      <c r="Z104" s="14">
        <v>1</v>
      </c>
      <c r="AA104" s="1" t="str">
        <f t="shared" ca="1" si="7"/>
        <v>VENCIDO</v>
      </c>
      <c r="AB104" s="1" t="str">
        <f t="shared" si="8"/>
        <v>Dosa</v>
      </c>
      <c r="AC104" s="2" t="str">
        <f t="shared" si="11"/>
        <v xml:space="preserve"> CRISTINA </v>
      </c>
      <c r="AD104" s="2">
        <f t="shared" si="9"/>
        <v>5</v>
      </c>
      <c r="AE104" s="2">
        <f t="shared" ca="1" si="10"/>
        <v>-526.12733645833214</v>
      </c>
      <c r="AF104" s="15"/>
    </row>
    <row r="105" spans="1:32">
      <c r="A105" s="1">
        <v>7726613</v>
      </c>
      <c r="B105" s="1" t="s">
        <v>81</v>
      </c>
      <c r="C105" t="s">
        <v>240</v>
      </c>
      <c r="E105" s="2">
        <v>1146000206001</v>
      </c>
      <c r="F105" s="1" t="s">
        <v>29</v>
      </c>
      <c r="G105" s="1" t="s">
        <v>53</v>
      </c>
      <c r="H105" s="1" t="s">
        <v>315</v>
      </c>
      <c r="I105" s="1" t="s">
        <v>316</v>
      </c>
      <c r="J105" s="1" t="s">
        <v>148</v>
      </c>
      <c r="K105" t="s">
        <v>34</v>
      </c>
      <c r="M105" s="1" t="s">
        <v>35</v>
      </c>
      <c r="N105" s="1">
        <v>42318949</v>
      </c>
      <c r="O105" s="1" t="s">
        <v>36</v>
      </c>
      <c r="P105" s="186">
        <v>44459.548935185187</v>
      </c>
      <c r="R105" s="1" t="s">
        <v>38</v>
      </c>
      <c r="T105" s="1" t="s">
        <v>74</v>
      </c>
      <c r="U105" s="186">
        <v>44460.548935185187</v>
      </c>
      <c r="V105" s="1" t="s">
        <v>41</v>
      </c>
      <c r="W105" s="1" t="s">
        <v>49</v>
      </c>
      <c r="X105" s="13"/>
      <c r="Y105" s="2">
        <f t="shared" ca="1" si="6"/>
        <v>378</v>
      </c>
      <c r="Z105" s="14">
        <v>1</v>
      </c>
      <c r="AA105" s="1" t="str">
        <f t="shared" ca="1" si="7"/>
        <v>VENCIDO</v>
      </c>
      <c r="AB105" s="1" t="str">
        <f t="shared" si="8"/>
        <v>Dosa</v>
      </c>
      <c r="AC105" s="2" t="str">
        <f t="shared" si="11"/>
        <v xml:space="preserve"> RINALDO </v>
      </c>
      <c r="AD105" s="2">
        <f t="shared" si="9"/>
        <v>5</v>
      </c>
      <c r="AE105" s="2">
        <f t="shared" ca="1" si="10"/>
        <v>-526.12733645833214</v>
      </c>
      <c r="AF105" s="15"/>
    </row>
    <row r="106" spans="1:32" hidden="1">
      <c r="A106" s="1">
        <v>7726612</v>
      </c>
      <c r="B106" s="1" t="s">
        <v>81</v>
      </c>
      <c r="C106" t="s">
        <v>240</v>
      </c>
      <c r="E106" s="2">
        <v>1012000206001</v>
      </c>
      <c r="F106" s="1" t="s">
        <v>29</v>
      </c>
      <c r="G106" s="1" t="s">
        <v>53</v>
      </c>
      <c r="H106" s="1" t="s">
        <v>172</v>
      </c>
      <c r="I106" s="1" t="s">
        <v>173</v>
      </c>
      <c r="J106" s="1" t="s">
        <v>164</v>
      </c>
      <c r="K106" t="s">
        <v>34</v>
      </c>
      <c r="M106" s="1" t="s">
        <v>35</v>
      </c>
      <c r="N106" s="1">
        <v>42318949</v>
      </c>
      <c r="O106" s="1" t="s">
        <v>36</v>
      </c>
      <c r="P106" s="186">
        <v>44459.548935185187</v>
      </c>
      <c r="R106" s="1" t="s">
        <v>38</v>
      </c>
      <c r="T106" s="1" t="s">
        <v>74</v>
      </c>
      <c r="U106" s="186">
        <v>44460.548935185187</v>
      </c>
      <c r="V106" s="1" t="s">
        <v>41</v>
      </c>
      <c r="W106" s="1" t="s">
        <v>49</v>
      </c>
      <c r="X106" s="13"/>
      <c r="Y106" s="2">
        <f t="shared" ca="1" si="6"/>
        <v>378</v>
      </c>
      <c r="Z106" s="14">
        <v>1</v>
      </c>
      <c r="AA106" s="1" t="str">
        <f t="shared" ca="1" si="7"/>
        <v>VENCIDO</v>
      </c>
      <c r="AB106" s="1" t="str">
        <f t="shared" si="8"/>
        <v>Dosa</v>
      </c>
      <c r="AC106" s="2" t="str">
        <f t="shared" si="11"/>
        <v xml:space="preserve"> ROSEMERE </v>
      </c>
      <c r="AD106" s="2">
        <f t="shared" si="9"/>
        <v>5</v>
      </c>
      <c r="AE106" s="2">
        <f t="shared" ca="1" si="10"/>
        <v>-526.12733645833214</v>
      </c>
      <c r="AF106" s="15"/>
    </row>
    <row r="107" spans="1:32" hidden="1">
      <c r="A107" s="1">
        <v>7726611</v>
      </c>
      <c r="B107" s="1" t="s">
        <v>81</v>
      </c>
      <c r="C107" t="s">
        <v>240</v>
      </c>
      <c r="E107" s="2">
        <v>2625000206001</v>
      </c>
      <c r="F107" s="1" t="s">
        <v>29</v>
      </c>
      <c r="G107" s="1" t="s">
        <v>53</v>
      </c>
      <c r="H107" s="1" t="s">
        <v>317</v>
      </c>
      <c r="I107" s="1" t="s">
        <v>318</v>
      </c>
      <c r="J107" s="1" t="s">
        <v>164</v>
      </c>
      <c r="K107" t="s">
        <v>34</v>
      </c>
      <c r="M107" s="1" t="s">
        <v>35</v>
      </c>
      <c r="N107" s="1">
        <v>42318949</v>
      </c>
      <c r="O107" s="1" t="s">
        <v>36</v>
      </c>
      <c r="P107" s="186">
        <v>44459.548935185187</v>
      </c>
      <c r="R107" s="1" t="s">
        <v>38</v>
      </c>
      <c r="T107" s="1" t="s">
        <v>74</v>
      </c>
      <c r="U107" s="186">
        <v>44460.548935185187</v>
      </c>
      <c r="V107" s="1" t="s">
        <v>41</v>
      </c>
      <c r="W107" s="1" t="s">
        <v>49</v>
      </c>
      <c r="X107" s="13"/>
      <c r="Y107" s="2">
        <f t="shared" ca="1" si="6"/>
        <v>378</v>
      </c>
      <c r="Z107" s="14">
        <v>1</v>
      </c>
      <c r="AA107" s="1" t="str">
        <f t="shared" ca="1" si="7"/>
        <v>VENCIDO</v>
      </c>
      <c r="AB107" s="1" t="str">
        <f t="shared" si="8"/>
        <v>Dosa</v>
      </c>
      <c r="AC107" s="2" t="str">
        <f t="shared" si="11"/>
        <v xml:space="preserve"> ROSEMERE </v>
      </c>
      <c r="AD107" s="2">
        <f t="shared" si="9"/>
        <v>5</v>
      </c>
      <c r="AE107" s="2">
        <f t="shared" ca="1" si="10"/>
        <v>-526.12733645833214</v>
      </c>
      <c r="AF107" s="15"/>
    </row>
    <row r="108" spans="1:32">
      <c r="A108" s="1">
        <v>7726608</v>
      </c>
      <c r="B108" s="1" t="s">
        <v>81</v>
      </c>
      <c r="C108" t="s">
        <v>240</v>
      </c>
      <c r="E108" s="2">
        <v>3802000206001</v>
      </c>
      <c r="F108" s="1" t="s">
        <v>29</v>
      </c>
      <c r="G108" s="1" t="s">
        <v>53</v>
      </c>
      <c r="H108" s="1" t="s">
        <v>319</v>
      </c>
      <c r="I108" s="1" t="s">
        <v>320</v>
      </c>
      <c r="J108" s="1" t="s">
        <v>148</v>
      </c>
      <c r="K108" t="s">
        <v>34</v>
      </c>
      <c r="M108" s="1" t="s">
        <v>35</v>
      </c>
      <c r="N108" s="1">
        <v>42318949</v>
      </c>
      <c r="O108" s="1" t="s">
        <v>36</v>
      </c>
      <c r="P108" s="186">
        <v>44459.54892361111</v>
      </c>
      <c r="R108" s="1" t="s">
        <v>38</v>
      </c>
      <c r="T108" s="1" t="s">
        <v>74</v>
      </c>
      <c r="U108" s="186">
        <v>44460.54892361111</v>
      </c>
      <c r="V108" s="1" t="s">
        <v>41</v>
      </c>
      <c r="W108" s="1" t="s">
        <v>49</v>
      </c>
      <c r="X108" s="13"/>
      <c r="Y108" s="2">
        <f t="shared" ca="1" si="6"/>
        <v>378</v>
      </c>
      <c r="Z108" s="14">
        <v>1</v>
      </c>
      <c r="AA108" s="1" t="str">
        <f t="shared" ca="1" si="7"/>
        <v>VENCIDO</v>
      </c>
      <c r="AB108" s="1" t="str">
        <f t="shared" si="8"/>
        <v>Dosa</v>
      </c>
      <c r="AC108" s="2" t="str">
        <f t="shared" si="11"/>
        <v xml:space="preserve"> RINALDO </v>
      </c>
      <c r="AD108" s="2">
        <f t="shared" si="9"/>
        <v>5</v>
      </c>
      <c r="AE108" s="2">
        <f t="shared" ca="1" si="10"/>
        <v>-526.12734803240892</v>
      </c>
      <c r="AF108" s="15"/>
    </row>
    <row r="109" spans="1:32" hidden="1">
      <c r="A109" s="1">
        <v>7726607</v>
      </c>
      <c r="B109" s="1" t="s">
        <v>81</v>
      </c>
      <c r="C109" t="s">
        <v>240</v>
      </c>
      <c r="E109" s="2">
        <v>3258000206001</v>
      </c>
      <c r="F109" s="1" t="s">
        <v>29</v>
      </c>
      <c r="G109" s="1" t="s">
        <v>53</v>
      </c>
      <c r="H109" s="1" t="s">
        <v>321</v>
      </c>
      <c r="I109" s="1" t="s">
        <v>322</v>
      </c>
      <c r="J109" s="1" t="s">
        <v>46</v>
      </c>
      <c r="K109" t="s">
        <v>34</v>
      </c>
      <c r="M109" s="1" t="s">
        <v>35</v>
      </c>
      <c r="N109" s="1">
        <v>42318949</v>
      </c>
      <c r="O109" s="1" t="s">
        <v>36</v>
      </c>
      <c r="P109" s="186">
        <v>44459.54892361111</v>
      </c>
      <c r="R109" s="1" t="s">
        <v>38</v>
      </c>
      <c r="T109" s="1" t="s">
        <v>74</v>
      </c>
      <c r="U109" s="186">
        <v>44460.54892361111</v>
      </c>
      <c r="V109" s="1" t="s">
        <v>41</v>
      </c>
      <c r="W109" s="1" t="s">
        <v>49</v>
      </c>
      <c r="X109" s="13"/>
      <c r="Y109" s="2">
        <f t="shared" ca="1" si="6"/>
        <v>378</v>
      </c>
      <c r="Z109" s="14">
        <v>1</v>
      </c>
      <c r="AA109" s="1" t="str">
        <f t="shared" ca="1" si="7"/>
        <v>VENCIDO</v>
      </c>
      <c r="AB109" s="1" t="str">
        <f t="shared" si="8"/>
        <v>Dosa</v>
      </c>
      <c r="AC109" s="2" t="str">
        <f t="shared" si="11"/>
        <v xml:space="preserve"> CLEITON </v>
      </c>
      <c r="AD109" s="2">
        <f t="shared" si="9"/>
        <v>5</v>
      </c>
      <c r="AE109" s="2">
        <f t="shared" ca="1" si="10"/>
        <v>-526.12734803240892</v>
      </c>
      <c r="AF109" s="15"/>
    </row>
    <row r="110" spans="1:32" hidden="1">
      <c r="A110" s="1">
        <v>7726606</v>
      </c>
      <c r="B110" s="1" t="s">
        <v>81</v>
      </c>
      <c r="C110" t="s">
        <v>240</v>
      </c>
      <c r="E110" s="2">
        <v>1120000206001</v>
      </c>
      <c r="F110" s="1" t="s">
        <v>29</v>
      </c>
      <c r="G110" s="1" t="s">
        <v>53</v>
      </c>
      <c r="H110" s="1" t="s">
        <v>181</v>
      </c>
      <c r="I110" s="1" t="s">
        <v>182</v>
      </c>
      <c r="J110" s="1" t="s">
        <v>164</v>
      </c>
      <c r="K110" t="s">
        <v>34</v>
      </c>
      <c r="M110" s="1" t="s">
        <v>35</v>
      </c>
      <c r="N110" s="1">
        <v>42318949</v>
      </c>
      <c r="O110" s="1" t="s">
        <v>36</v>
      </c>
      <c r="P110" s="186">
        <v>44459.54892361111</v>
      </c>
      <c r="R110" s="1" t="s">
        <v>38</v>
      </c>
      <c r="T110" s="1" t="s">
        <v>74</v>
      </c>
      <c r="U110" s="186">
        <v>44460.54892361111</v>
      </c>
      <c r="V110" s="1" t="s">
        <v>41</v>
      </c>
      <c r="W110" s="1" t="s">
        <v>49</v>
      </c>
      <c r="X110" s="13"/>
      <c r="Y110" s="2">
        <f t="shared" ca="1" si="6"/>
        <v>378</v>
      </c>
      <c r="Z110" s="14">
        <v>1</v>
      </c>
      <c r="AA110" s="1" t="str">
        <f t="shared" ca="1" si="7"/>
        <v>VENCIDO</v>
      </c>
      <c r="AB110" s="1" t="str">
        <f t="shared" si="8"/>
        <v>Dosa</v>
      </c>
      <c r="AC110" s="2" t="str">
        <f t="shared" si="11"/>
        <v xml:space="preserve"> ROSEMERE </v>
      </c>
      <c r="AD110" s="2">
        <f t="shared" si="9"/>
        <v>5</v>
      </c>
      <c r="AE110" s="2">
        <f t="shared" ca="1" si="10"/>
        <v>-526.12734803240892</v>
      </c>
      <c r="AF110" s="15"/>
    </row>
    <row r="111" spans="1:32" hidden="1">
      <c r="A111" s="1">
        <v>7726605</v>
      </c>
      <c r="B111" s="1" t="s">
        <v>81</v>
      </c>
      <c r="C111" t="s">
        <v>240</v>
      </c>
      <c r="E111" s="2">
        <v>3108000206001</v>
      </c>
      <c r="F111" s="1" t="s">
        <v>29</v>
      </c>
      <c r="G111" s="1" t="s">
        <v>53</v>
      </c>
      <c r="H111" s="1" t="s">
        <v>325</v>
      </c>
      <c r="I111" s="1" t="s">
        <v>326</v>
      </c>
      <c r="J111" s="1" t="s">
        <v>46</v>
      </c>
      <c r="K111" t="s">
        <v>34</v>
      </c>
      <c r="M111" s="1" t="s">
        <v>35</v>
      </c>
      <c r="N111" s="1">
        <v>42318949</v>
      </c>
      <c r="O111" s="1" t="s">
        <v>36</v>
      </c>
      <c r="P111" s="186">
        <v>44459.54892361111</v>
      </c>
      <c r="R111" s="1" t="s">
        <v>38</v>
      </c>
      <c r="T111" s="1" t="s">
        <v>74</v>
      </c>
      <c r="U111" s="186">
        <v>44460.54892361111</v>
      </c>
      <c r="V111" s="1" t="s">
        <v>41</v>
      </c>
      <c r="W111" s="1" t="s">
        <v>49</v>
      </c>
      <c r="X111" s="13"/>
      <c r="Y111" s="2">
        <f t="shared" ca="1" si="6"/>
        <v>378</v>
      </c>
      <c r="Z111" s="14">
        <v>1</v>
      </c>
      <c r="AA111" s="1" t="str">
        <f t="shared" ca="1" si="7"/>
        <v>VENCIDO</v>
      </c>
      <c r="AB111" s="1" t="str">
        <f t="shared" si="8"/>
        <v>Dosa</v>
      </c>
      <c r="AC111" s="2" t="str">
        <f t="shared" si="11"/>
        <v xml:space="preserve"> CLEITON </v>
      </c>
      <c r="AD111" s="2">
        <f t="shared" si="9"/>
        <v>5</v>
      </c>
      <c r="AE111" s="2">
        <f t="shared" ca="1" si="10"/>
        <v>-526.12734803240892</v>
      </c>
      <c r="AF111" s="15"/>
    </row>
    <row r="112" spans="1:32" hidden="1">
      <c r="A112" s="1">
        <v>7726604</v>
      </c>
      <c r="B112" s="1" t="s">
        <v>81</v>
      </c>
      <c r="C112" t="s">
        <v>240</v>
      </c>
      <c r="E112" s="2">
        <v>1710000206001</v>
      </c>
      <c r="F112" s="1" t="s">
        <v>29</v>
      </c>
      <c r="G112" s="1" t="s">
        <v>53</v>
      </c>
      <c r="H112" s="1" t="s">
        <v>327</v>
      </c>
      <c r="I112" s="1" t="s">
        <v>328</v>
      </c>
      <c r="J112" s="1" t="s">
        <v>261</v>
      </c>
      <c r="K112" t="s">
        <v>34</v>
      </c>
      <c r="M112" s="1" t="s">
        <v>35</v>
      </c>
      <c r="N112" s="1">
        <v>42318949</v>
      </c>
      <c r="O112" s="1" t="s">
        <v>36</v>
      </c>
      <c r="P112" s="186">
        <v>44459.54892361111</v>
      </c>
      <c r="R112" s="1" t="s">
        <v>38</v>
      </c>
      <c r="T112" s="1" t="s">
        <v>74</v>
      </c>
      <c r="U112" s="186">
        <v>44460.54892361111</v>
      </c>
      <c r="V112" s="1" t="s">
        <v>41</v>
      </c>
      <c r="W112" s="1" t="s">
        <v>49</v>
      </c>
      <c r="X112" s="13"/>
      <c r="Y112" s="2">
        <f t="shared" ca="1" si="6"/>
        <v>378</v>
      </c>
      <c r="Z112" s="14">
        <v>1</v>
      </c>
      <c r="AA112" s="1" t="str">
        <f t="shared" ca="1" si="7"/>
        <v>VENCIDO</v>
      </c>
      <c r="AB112" s="1" t="str">
        <f t="shared" si="8"/>
        <v>Dosa</v>
      </c>
      <c r="AC112" s="2" t="str">
        <f t="shared" si="11"/>
        <v xml:space="preserve"> CRISTINA </v>
      </c>
      <c r="AD112" s="2">
        <f t="shared" si="9"/>
        <v>5</v>
      </c>
      <c r="AE112" s="2">
        <f t="shared" ca="1" si="10"/>
        <v>-526.12734803240892</v>
      </c>
      <c r="AF112" s="15"/>
    </row>
    <row r="113" spans="1:32" hidden="1">
      <c r="A113" s="1">
        <v>7726603</v>
      </c>
      <c r="B113" s="1" t="s">
        <v>81</v>
      </c>
      <c r="C113" t="s">
        <v>240</v>
      </c>
      <c r="E113" s="2">
        <v>1052000206001</v>
      </c>
      <c r="F113" s="1" t="s">
        <v>29</v>
      </c>
      <c r="G113" s="1" t="s">
        <v>53</v>
      </c>
      <c r="H113" s="1" t="s">
        <v>329</v>
      </c>
      <c r="I113" s="1" t="s">
        <v>330</v>
      </c>
      <c r="J113" s="1" t="s">
        <v>79</v>
      </c>
      <c r="K113" t="s">
        <v>34</v>
      </c>
      <c r="M113" s="1" t="s">
        <v>35</v>
      </c>
      <c r="N113" s="1">
        <v>42318949</v>
      </c>
      <c r="O113" s="1" t="s">
        <v>36</v>
      </c>
      <c r="P113" s="186">
        <v>44459.54891203704</v>
      </c>
      <c r="R113" s="1" t="s">
        <v>38</v>
      </c>
      <c r="T113" s="1" t="s">
        <v>74</v>
      </c>
      <c r="U113" s="186">
        <v>44460.54891203704</v>
      </c>
      <c r="V113" s="1" t="s">
        <v>41</v>
      </c>
      <c r="W113" s="1" t="s">
        <v>49</v>
      </c>
      <c r="X113" s="13"/>
      <c r="Y113" s="2">
        <f t="shared" ca="1" si="6"/>
        <v>378</v>
      </c>
      <c r="Z113" s="14">
        <v>1</v>
      </c>
      <c r="AA113" s="1" t="str">
        <f t="shared" ca="1" si="7"/>
        <v>VENCIDO</v>
      </c>
      <c r="AB113" s="1" t="str">
        <f t="shared" si="8"/>
        <v>Dosa</v>
      </c>
      <c r="AC113" s="2" t="str">
        <f t="shared" si="11"/>
        <v xml:space="preserve"> ROSEMERE </v>
      </c>
      <c r="AD113" s="2">
        <f t="shared" si="9"/>
        <v>5</v>
      </c>
      <c r="AE113" s="2">
        <f t="shared" ca="1" si="10"/>
        <v>-526.12735960647842</v>
      </c>
      <c r="AF113" s="15"/>
    </row>
    <row r="114" spans="1:32">
      <c r="A114" s="1">
        <v>7726602</v>
      </c>
      <c r="B114" s="1" t="s">
        <v>81</v>
      </c>
      <c r="C114" t="s">
        <v>240</v>
      </c>
      <c r="E114" s="2">
        <v>899000206001</v>
      </c>
      <c r="F114" s="1" t="s">
        <v>29</v>
      </c>
      <c r="G114" s="1" t="s">
        <v>53</v>
      </c>
      <c r="H114" s="1" t="s">
        <v>175</v>
      </c>
      <c r="I114" s="1" t="s">
        <v>176</v>
      </c>
      <c r="J114" s="1" t="s">
        <v>90</v>
      </c>
      <c r="K114" t="s">
        <v>34</v>
      </c>
      <c r="M114" s="1" t="s">
        <v>35</v>
      </c>
      <c r="N114" s="1">
        <v>42318949</v>
      </c>
      <c r="O114" s="1" t="s">
        <v>36</v>
      </c>
      <c r="P114" s="186">
        <v>44459.54891203704</v>
      </c>
      <c r="R114" s="1" t="s">
        <v>38</v>
      </c>
      <c r="T114" s="1" t="s">
        <v>74</v>
      </c>
      <c r="U114" s="186">
        <v>44460.54891203704</v>
      </c>
      <c r="V114" s="1" t="s">
        <v>41</v>
      </c>
      <c r="W114" s="1" t="s">
        <v>49</v>
      </c>
      <c r="X114" s="13"/>
      <c r="Y114" s="2">
        <f t="shared" ca="1" si="6"/>
        <v>378</v>
      </c>
      <c r="Z114" s="14">
        <v>1</v>
      </c>
      <c r="AA114" s="1" t="str">
        <f t="shared" ca="1" si="7"/>
        <v>VENCIDO</v>
      </c>
      <c r="AB114" s="1" t="str">
        <f t="shared" si="8"/>
        <v>Dosa</v>
      </c>
      <c r="AC114" s="2" t="str">
        <f t="shared" si="11"/>
        <v xml:space="preserve"> RINALDO </v>
      </c>
      <c r="AD114" s="2">
        <f t="shared" si="9"/>
        <v>5</v>
      </c>
      <c r="AE114" s="2">
        <f t="shared" ca="1" si="10"/>
        <v>-526.12735960647842</v>
      </c>
      <c r="AF114" s="15"/>
    </row>
    <row r="115" spans="1:32" hidden="1">
      <c r="A115" s="1">
        <v>7726601</v>
      </c>
      <c r="B115" s="1" t="s">
        <v>81</v>
      </c>
      <c r="C115" t="s">
        <v>240</v>
      </c>
      <c r="E115" s="2">
        <v>159000206001</v>
      </c>
      <c r="F115" s="1" t="s">
        <v>29</v>
      </c>
      <c r="G115" s="1" t="s">
        <v>53</v>
      </c>
      <c r="H115" s="1" t="s">
        <v>331</v>
      </c>
      <c r="I115" s="1" t="s">
        <v>332</v>
      </c>
      <c r="J115" s="1" t="s">
        <v>79</v>
      </c>
      <c r="K115" t="s">
        <v>34</v>
      </c>
      <c r="M115" s="1" t="s">
        <v>35</v>
      </c>
      <c r="N115" s="1">
        <v>42318949</v>
      </c>
      <c r="O115" s="1" t="s">
        <v>36</v>
      </c>
      <c r="P115" s="186">
        <v>44459.54891203704</v>
      </c>
      <c r="R115" s="1" t="s">
        <v>38</v>
      </c>
      <c r="T115" s="1" t="s">
        <v>74</v>
      </c>
      <c r="U115" s="186">
        <v>44460.54891203704</v>
      </c>
      <c r="V115" s="1" t="s">
        <v>41</v>
      </c>
      <c r="W115" s="1" t="s">
        <v>49</v>
      </c>
      <c r="X115" s="13"/>
      <c r="Y115" s="2">
        <f t="shared" ca="1" si="6"/>
        <v>378</v>
      </c>
      <c r="Z115" s="14">
        <v>1</v>
      </c>
      <c r="AA115" s="1" t="str">
        <f t="shared" ca="1" si="7"/>
        <v>VENCIDO</v>
      </c>
      <c r="AB115" s="1" t="str">
        <f t="shared" si="8"/>
        <v>Dosa</v>
      </c>
      <c r="AC115" s="2" t="str">
        <f t="shared" si="11"/>
        <v xml:space="preserve"> ROSEMERE </v>
      </c>
      <c r="AD115" s="2">
        <f t="shared" si="9"/>
        <v>5</v>
      </c>
      <c r="AE115" s="2">
        <f t="shared" ca="1" si="10"/>
        <v>-526.12735960647842</v>
      </c>
      <c r="AF115" s="15"/>
    </row>
    <row r="116" spans="1:32" hidden="1">
      <c r="A116" s="1">
        <v>7726600</v>
      </c>
      <c r="B116" s="1" t="s">
        <v>81</v>
      </c>
      <c r="C116" t="s">
        <v>240</v>
      </c>
      <c r="E116" s="2">
        <v>2239000206001</v>
      </c>
      <c r="F116" s="1" t="s">
        <v>29</v>
      </c>
      <c r="G116" s="1" t="s">
        <v>53</v>
      </c>
      <c r="H116" s="1" t="s">
        <v>333</v>
      </c>
      <c r="I116" s="1" t="s">
        <v>334</v>
      </c>
      <c r="J116" s="1" t="s">
        <v>261</v>
      </c>
      <c r="K116" t="s">
        <v>34</v>
      </c>
      <c r="M116" s="1" t="s">
        <v>35</v>
      </c>
      <c r="N116" s="1">
        <v>42318949</v>
      </c>
      <c r="O116" s="1" t="s">
        <v>36</v>
      </c>
      <c r="P116" s="186">
        <v>44459.54891203704</v>
      </c>
      <c r="R116" s="1" t="s">
        <v>38</v>
      </c>
      <c r="T116" s="1" t="s">
        <v>74</v>
      </c>
      <c r="U116" s="186">
        <v>44460.54891203704</v>
      </c>
      <c r="V116" s="1" t="s">
        <v>41</v>
      </c>
      <c r="W116" s="1" t="s">
        <v>49</v>
      </c>
      <c r="X116" s="13"/>
      <c r="Y116" s="2">
        <f t="shared" ca="1" si="6"/>
        <v>378</v>
      </c>
      <c r="Z116" s="14">
        <v>1</v>
      </c>
      <c r="AA116" s="1" t="str">
        <f t="shared" ca="1" si="7"/>
        <v>VENCIDO</v>
      </c>
      <c r="AB116" s="1" t="str">
        <f t="shared" si="8"/>
        <v>Dosa</v>
      </c>
      <c r="AC116" s="2" t="str">
        <f t="shared" si="11"/>
        <v xml:space="preserve"> CRISTINA </v>
      </c>
      <c r="AD116" s="2">
        <f t="shared" si="9"/>
        <v>5</v>
      </c>
      <c r="AE116" s="2">
        <f t="shared" ca="1" si="10"/>
        <v>-526.12735960647842</v>
      </c>
      <c r="AF116" s="15"/>
    </row>
    <row r="117" spans="1:32" hidden="1">
      <c r="A117" s="1">
        <v>7726599</v>
      </c>
      <c r="B117" s="1" t="s">
        <v>81</v>
      </c>
      <c r="C117" t="s">
        <v>240</v>
      </c>
      <c r="E117" s="2">
        <v>550000206001</v>
      </c>
      <c r="F117" s="1" t="s">
        <v>29</v>
      </c>
      <c r="G117" s="1" t="s">
        <v>53</v>
      </c>
      <c r="H117" s="1" t="s">
        <v>337</v>
      </c>
      <c r="I117" s="1" t="s">
        <v>338</v>
      </c>
      <c r="J117" s="1" t="s">
        <v>164</v>
      </c>
      <c r="K117" t="s">
        <v>34</v>
      </c>
      <c r="M117" s="1" t="s">
        <v>35</v>
      </c>
      <c r="N117" s="1">
        <v>42318949</v>
      </c>
      <c r="O117" s="1" t="s">
        <v>36</v>
      </c>
      <c r="P117" s="186">
        <v>44459.54891203704</v>
      </c>
      <c r="R117" s="1" t="s">
        <v>38</v>
      </c>
      <c r="T117" s="1" t="s">
        <v>74</v>
      </c>
      <c r="U117" s="186">
        <v>44460.54891203704</v>
      </c>
      <c r="V117" s="1" t="s">
        <v>41</v>
      </c>
      <c r="W117" s="1" t="s">
        <v>49</v>
      </c>
      <c r="X117" s="13"/>
      <c r="Y117" s="2">
        <f t="shared" ca="1" si="6"/>
        <v>378</v>
      </c>
      <c r="Z117" s="14">
        <v>1</v>
      </c>
      <c r="AA117" s="1" t="str">
        <f t="shared" ca="1" si="7"/>
        <v>VENCIDO</v>
      </c>
      <c r="AB117" s="1" t="str">
        <f t="shared" si="8"/>
        <v>Dosa</v>
      </c>
      <c r="AC117" s="2" t="str">
        <f t="shared" si="11"/>
        <v xml:space="preserve"> ROSEMERE </v>
      </c>
      <c r="AD117" s="2">
        <f t="shared" si="9"/>
        <v>5</v>
      </c>
      <c r="AE117" s="2">
        <f t="shared" ca="1" si="10"/>
        <v>-526.12735960647842</v>
      </c>
      <c r="AF117" s="15"/>
    </row>
    <row r="118" spans="1:32" hidden="1">
      <c r="A118" s="1">
        <v>7726598</v>
      </c>
      <c r="B118" s="1" t="s">
        <v>81</v>
      </c>
      <c r="C118" t="s">
        <v>240</v>
      </c>
      <c r="E118" s="2">
        <v>2811000206001</v>
      </c>
      <c r="F118" s="1" t="s">
        <v>29</v>
      </c>
      <c r="G118" s="1" t="s">
        <v>53</v>
      </c>
      <c r="H118" s="1" t="s">
        <v>44</v>
      </c>
      <c r="I118" s="1" t="s">
        <v>45</v>
      </c>
      <c r="J118" s="1" t="s">
        <v>46</v>
      </c>
      <c r="K118" t="s">
        <v>34</v>
      </c>
      <c r="M118" s="1" t="s">
        <v>35</v>
      </c>
      <c r="N118" s="1">
        <v>42318949</v>
      </c>
      <c r="O118" s="1" t="s">
        <v>36</v>
      </c>
      <c r="P118" s="186">
        <v>44459.548900462964</v>
      </c>
      <c r="R118" s="1" t="s">
        <v>38</v>
      </c>
      <c r="T118" s="1" t="s">
        <v>74</v>
      </c>
      <c r="U118" s="186">
        <v>44460.548900462964</v>
      </c>
      <c r="V118" s="1" t="s">
        <v>41</v>
      </c>
      <c r="W118" s="1" t="s">
        <v>49</v>
      </c>
      <c r="X118" s="13"/>
      <c r="Y118" s="2">
        <f t="shared" ca="1" si="6"/>
        <v>378</v>
      </c>
      <c r="Z118" s="14">
        <v>1</v>
      </c>
      <c r="AA118" s="1" t="str">
        <f t="shared" ca="1" si="7"/>
        <v>VENCIDO</v>
      </c>
      <c r="AB118" s="1" t="str">
        <f t="shared" si="8"/>
        <v>Dosa</v>
      </c>
      <c r="AC118" s="2" t="str">
        <f t="shared" si="11"/>
        <v xml:space="preserve"> CLEITON </v>
      </c>
      <c r="AD118" s="2">
        <f t="shared" si="9"/>
        <v>5</v>
      </c>
      <c r="AE118" s="2">
        <f t="shared" ca="1" si="10"/>
        <v>-526.1273711805552</v>
      </c>
      <c r="AF118" s="15"/>
    </row>
    <row r="119" spans="1:32">
      <c r="A119" s="1">
        <v>7726597</v>
      </c>
      <c r="B119" s="1" t="s">
        <v>81</v>
      </c>
      <c r="C119" t="s">
        <v>240</v>
      </c>
      <c r="E119" s="2">
        <v>2229000206001</v>
      </c>
      <c r="F119" s="1" t="s">
        <v>29</v>
      </c>
      <c r="G119" s="1" t="s">
        <v>53</v>
      </c>
      <c r="H119" s="1" t="s">
        <v>339</v>
      </c>
      <c r="I119" s="1" t="s">
        <v>340</v>
      </c>
      <c r="J119" s="1" t="s">
        <v>211</v>
      </c>
      <c r="K119" t="s">
        <v>34</v>
      </c>
      <c r="M119" s="1" t="s">
        <v>35</v>
      </c>
      <c r="N119" s="1">
        <v>42318949</v>
      </c>
      <c r="O119" s="1" t="s">
        <v>36</v>
      </c>
      <c r="P119" s="186">
        <v>44459.548900462964</v>
      </c>
      <c r="R119" s="1" t="s">
        <v>38</v>
      </c>
      <c r="T119" s="1" t="s">
        <v>74</v>
      </c>
      <c r="U119" s="186">
        <v>44460.548900462964</v>
      </c>
      <c r="V119" s="1" t="s">
        <v>41</v>
      </c>
      <c r="W119" s="1" t="s">
        <v>49</v>
      </c>
      <c r="X119" s="13"/>
      <c r="Y119" s="2">
        <f t="shared" ca="1" si="6"/>
        <v>378</v>
      </c>
      <c r="Z119" s="14">
        <v>1</v>
      </c>
      <c r="AA119" s="1" t="str">
        <f t="shared" ca="1" si="7"/>
        <v>VENCIDO</v>
      </c>
      <c r="AB119" s="1" t="str">
        <f t="shared" si="8"/>
        <v>Dosa</v>
      </c>
      <c r="AC119" s="2" t="str">
        <f t="shared" si="11"/>
        <v xml:space="preserve"> RINALDO </v>
      </c>
      <c r="AD119" s="2">
        <f t="shared" si="9"/>
        <v>5</v>
      </c>
      <c r="AE119" s="2">
        <f t="shared" ca="1" si="10"/>
        <v>-526.1273711805552</v>
      </c>
      <c r="AF119" s="15"/>
    </row>
    <row r="120" spans="1:32" hidden="1">
      <c r="A120" s="1">
        <v>7726596</v>
      </c>
      <c r="B120" s="1" t="s">
        <v>81</v>
      </c>
      <c r="C120" t="s">
        <v>240</v>
      </c>
      <c r="E120" s="2">
        <v>3699000206001</v>
      </c>
      <c r="F120" s="1" t="s">
        <v>29</v>
      </c>
      <c r="G120" s="1" t="s">
        <v>53</v>
      </c>
      <c r="H120" s="1" t="s">
        <v>343</v>
      </c>
      <c r="I120" s="1" t="s">
        <v>344</v>
      </c>
      <c r="J120" s="1" t="s">
        <v>46</v>
      </c>
      <c r="K120" t="s">
        <v>34</v>
      </c>
      <c r="M120" s="1" t="s">
        <v>35</v>
      </c>
      <c r="N120" s="1">
        <v>42318949</v>
      </c>
      <c r="O120" s="1" t="s">
        <v>36</v>
      </c>
      <c r="P120" s="186">
        <v>44459.548900462964</v>
      </c>
      <c r="R120" s="1" t="s">
        <v>38</v>
      </c>
      <c r="T120" s="1" t="s">
        <v>74</v>
      </c>
      <c r="U120" s="186">
        <v>44460.548900462964</v>
      </c>
      <c r="V120" s="1" t="s">
        <v>41</v>
      </c>
      <c r="W120" s="1" t="s">
        <v>49</v>
      </c>
      <c r="X120" s="13"/>
      <c r="Y120" s="2">
        <f t="shared" ca="1" si="6"/>
        <v>378</v>
      </c>
      <c r="Z120" s="14">
        <v>1</v>
      </c>
      <c r="AA120" s="1" t="str">
        <f t="shared" ca="1" si="7"/>
        <v>VENCIDO</v>
      </c>
      <c r="AB120" s="1" t="str">
        <f t="shared" si="8"/>
        <v>Dosa</v>
      </c>
      <c r="AC120" s="2" t="str">
        <f t="shared" si="11"/>
        <v xml:space="preserve"> CLEITON </v>
      </c>
      <c r="AD120" s="2">
        <f t="shared" si="9"/>
        <v>5</v>
      </c>
      <c r="AE120" s="2">
        <f t="shared" ca="1" si="10"/>
        <v>-526.1273711805552</v>
      </c>
      <c r="AF120" s="15"/>
    </row>
    <row r="121" spans="1:32" hidden="1">
      <c r="A121" s="1">
        <v>7726594</v>
      </c>
      <c r="B121" s="1" t="s">
        <v>81</v>
      </c>
      <c r="C121" t="s">
        <v>240</v>
      </c>
      <c r="E121" s="2">
        <v>325000206001</v>
      </c>
      <c r="F121" s="1" t="s">
        <v>29</v>
      </c>
      <c r="G121" s="1" t="s">
        <v>53</v>
      </c>
      <c r="H121" s="1" t="s">
        <v>345</v>
      </c>
      <c r="I121" s="1" t="s">
        <v>346</v>
      </c>
      <c r="J121" s="1" t="s">
        <v>46</v>
      </c>
      <c r="K121" t="s">
        <v>34</v>
      </c>
      <c r="M121" s="1" t="s">
        <v>35</v>
      </c>
      <c r="N121" s="1">
        <v>42318949</v>
      </c>
      <c r="O121" s="1" t="s">
        <v>36</v>
      </c>
      <c r="P121" s="186">
        <v>44459.548900462964</v>
      </c>
      <c r="R121" s="1" t="s">
        <v>38</v>
      </c>
      <c r="T121" s="1" t="s">
        <v>74</v>
      </c>
      <c r="U121" s="186">
        <v>44460.548900462964</v>
      </c>
      <c r="V121" s="1" t="s">
        <v>41</v>
      </c>
      <c r="W121" s="1" t="s">
        <v>49</v>
      </c>
      <c r="X121" s="13"/>
      <c r="Y121" s="2">
        <f t="shared" ca="1" si="6"/>
        <v>378</v>
      </c>
      <c r="Z121" s="14">
        <v>1</v>
      </c>
      <c r="AA121" s="1" t="str">
        <f t="shared" ca="1" si="7"/>
        <v>VENCIDO</v>
      </c>
      <c r="AB121" s="1" t="str">
        <f t="shared" si="8"/>
        <v>Dosa</v>
      </c>
      <c r="AC121" s="2" t="str">
        <f t="shared" si="11"/>
        <v xml:space="preserve"> CLEITON </v>
      </c>
      <c r="AD121" s="2">
        <f t="shared" si="9"/>
        <v>5</v>
      </c>
      <c r="AE121" s="2">
        <f t="shared" ca="1" si="10"/>
        <v>-526.1273711805552</v>
      </c>
      <c r="AF121" s="15"/>
    </row>
    <row r="122" spans="1:32">
      <c r="A122" s="1">
        <v>7726593</v>
      </c>
      <c r="B122" s="1" t="s">
        <v>81</v>
      </c>
      <c r="C122" t="s">
        <v>240</v>
      </c>
      <c r="E122" s="2">
        <v>2699000206001</v>
      </c>
      <c r="F122" s="1" t="s">
        <v>29</v>
      </c>
      <c r="G122" s="1" t="s">
        <v>53</v>
      </c>
      <c r="H122" s="1" t="s">
        <v>347</v>
      </c>
      <c r="I122" s="1" t="s">
        <v>348</v>
      </c>
      <c r="J122" s="1" t="s">
        <v>148</v>
      </c>
      <c r="K122" t="s">
        <v>34</v>
      </c>
      <c r="M122" s="1" t="s">
        <v>35</v>
      </c>
      <c r="N122" s="1">
        <v>42318949</v>
      </c>
      <c r="O122" s="1" t="s">
        <v>36</v>
      </c>
      <c r="P122" s="186">
        <v>44459.548900462964</v>
      </c>
      <c r="R122" s="1" t="s">
        <v>38</v>
      </c>
      <c r="T122" s="1" t="s">
        <v>74</v>
      </c>
      <c r="U122" s="186">
        <v>44460.548900462964</v>
      </c>
      <c r="V122" s="1" t="s">
        <v>41</v>
      </c>
      <c r="W122" s="1" t="s">
        <v>49</v>
      </c>
      <c r="X122" s="13"/>
      <c r="Y122" s="2">
        <f t="shared" ca="1" si="6"/>
        <v>378</v>
      </c>
      <c r="Z122" s="14">
        <v>1</v>
      </c>
      <c r="AA122" s="1" t="str">
        <f t="shared" ca="1" si="7"/>
        <v>VENCIDO</v>
      </c>
      <c r="AB122" s="1" t="str">
        <f t="shared" si="8"/>
        <v>Dosa</v>
      </c>
      <c r="AC122" s="2" t="str">
        <f t="shared" si="11"/>
        <v xml:space="preserve"> RINALDO </v>
      </c>
      <c r="AD122" s="2">
        <f t="shared" si="9"/>
        <v>5</v>
      </c>
      <c r="AE122" s="2">
        <f t="shared" ca="1" si="10"/>
        <v>-526.1273711805552</v>
      </c>
      <c r="AF122" s="15"/>
    </row>
    <row r="123" spans="1:32" hidden="1">
      <c r="A123" s="1">
        <v>7726592</v>
      </c>
      <c r="B123" s="1" t="s">
        <v>81</v>
      </c>
      <c r="C123" t="s">
        <v>240</v>
      </c>
      <c r="E123" s="2">
        <v>4012000206001</v>
      </c>
      <c r="F123" s="1" t="s">
        <v>29</v>
      </c>
      <c r="G123" s="1" t="s">
        <v>53</v>
      </c>
      <c r="H123" s="1" t="s">
        <v>349</v>
      </c>
      <c r="I123" s="1" t="s">
        <v>350</v>
      </c>
      <c r="J123" s="1" t="s">
        <v>261</v>
      </c>
      <c r="K123" t="s">
        <v>34</v>
      </c>
      <c r="M123" s="1" t="s">
        <v>35</v>
      </c>
      <c r="N123" s="1">
        <v>42318949</v>
      </c>
      <c r="O123" s="1" t="s">
        <v>36</v>
      </c>
      <c r="P123" s="186">
        <v>44459.548888888887</v>
      </c>
      <c r="R123" s="1" t="s">
        <v>38</v>
      </c>
      <c r="T123" s="1" t="s">
        <v>74</v>
      </c>
      <c r="U123" s="186">
        <v>44460.548888888887</v>
      </c>
      <c r="V123" s="1" t="s">
        <v>41</v>
      </c>
      <c r="W123" s="1" t="s">
        <v>49</v>
      </c>
      <c r="X123" s="13"/>
      <c r="Y123" s="2">
        <f t="shared" ca="1" si="6"/>
        <v>378</v>
      </c>
      <c r="Z123" s="14">
        <v>1</v>
      </c>
      <c r="AA123" s="1" t="str">
        <f t="shared" ca="1" si="7"/>
        <v>VENCIDO</v>
      </c>
      <c r="AB123" s="1" t="str">
        <f t="shared" si="8"/>
        <v>Dosa</v>
      </c>
      <c r="AC123" s="2" t="str">
        <f t="shared" si="11"/>
        <v xml:space="preserve"> CRISTINA </v>
      </c>
      <c r="AD123" s="2">
        <f t="shared" si="9"/>
        <v>5</v>
      </c>
      <c r="AE123" s="2">
        <f t="shared" ca="1" si="10"/>
        <v>-526.12738275463198</v>
      </c>
      <c r="AF123" s="15"/>
    </row>
    <row r="124" spans="1:32" hidden="1">
      <c r="A124" s="1">
        <v>7726589</v>
      </c>
      <c r="B124" s="1" t="s">
        <v>81</v>
      </c>
      <c r="C124" t="s">
        <v>240</v>
      </c>
      <c r="E124" s="2">
        <v>2365000206001</v>
      </c>
      <c r="F124" s="1" t="s">
        <v>29</v>
      </c>
      <c r="G124" s="1" t="s">
        <v>53</v>
      </c>
      <c r="H124" s="1" t="s">
        <v>159</v>
      </c>
      <c r="I124" s="1" t="s">
        <v>160</v>
      </c>
      <c r="J124" s="1" t="s">
        <v>46</v>
      </c>
      <c r="K124" t="s">
        <v>34</v>
      </c>
      <c r="M124" s="1" t="s">
        <v>35</v>
      </c>
      <c r="N124" s="1">
        <v>42318949</v>
      </c>
      <c r="O124" s="1" t="s">
        <v>36</v>
      </c>
      <c r="P124" s="186">
        <v>44459.548888888887</v>
      </c>
      <c r="R124" s="1" t="s">
        <v>38</v>
      </c>
      <c r="T124" s="1" t="s">
        <v>74</v>
      </c>
      <c r="U124" s="186">
        <v>44460.548888888887</v>
      </c>
      <c r="V124" s="1" t="s">
        <v>41</v>
      </c>
      <c r="W124" s="1" t="s">
        <v>49</v>
      </c>
      <c r="X124" s="13"/>
      <c r="Y124" s="2">
        <f t="shared" ca="1" si="6"/>
        <v>378</v>
      </c>
      <c r="Z124" s="14">
        <v>1</v>
      </c>
      <c r="AA124" s="1" t="str">
        <f t="shared" ca="1" si="7"/>
        <v>VENCIDO</v>
      </c>
      <c r="AB124" s="1" t="str">
        <f t="shared" si="8"/>
        <v>Dosa</v>
      </c>
      <c r="AC124" s="2" t="str">
        <f t="shared" si="11"/>
        <v xml:space="preserve"> CLEITON </v>
      </c>
      <c r="AD124" s="2">
        <f t="shared" si="9"/>
        <v>5</v>
      </c>
      <c r="AE124" s="2">
        <f t="shared" ca="1" si="10"/>
        <v>-526.12738275463198</v>
      </c>
      <c r="AF124" s="15"/>
    </row>
    <row r="125" spans="1:32" hidden="1">
      <c r="A125" s="1">
        <v>7726588</v>
      </c>
      <c r="B125" s="1" t="s">
        <v>81</v>
      </c>
      <c r="C125" t="s">
        <v>240</v>
      </c>
      <c r="E125" s="2">
        <v>1264000206001</v>
      </c>
      <c r="F125" s="1" t="s">
        <v>29</v>
      </c>
      <c r="G125" s="1" t="s">
        <v>53</v>
      </c>
      <c r="H125" s="1" t="s">
        <v>351</v>
      </c>
      <c r="I125" s="1" t="s">
        <v>352</v>
      </c>
      <c r="J125" s="1" t="s">
        <v>110</v>
      </c>
      <c r="K125" t="s">
        <v>34</v>
      </c>
      <c r="M125" s="1" t="s">
        <v>35</v>
      </c>
      <c r="N125" s="1">
        <v>42318949</v>
      </c>
      <c r="O125" s="1" t="s">
        <v>36</v>
      </c>
      <c r="P125" s="186">
        <v>44459.548888888887</v>
      </c>
      <c r="R125" s="1" t="s">
        <v>38</v>
      </c>
      <c r="T125" s="1" t="s">
        <v>74</v>
      </c>
      <c r="U125" s="186">
        <v>44460.548888888887</v>
      </c>
      <c r="V125" s="1" t="s">
        <v>41</v>
      </c>
      <c r="W125" s="1" t="s">
        <v>49</v>
      </c>
      <c r="X125" s="13"/>
      <c r="Y125" s="2">
        <f t="shared" ca="1" si="6"/>
        <v>378</v>
      </c>
      <c r="Z125" s="14">
        <v>1</v>
      </c>
      <c r="AA125" s="1" t="str">
        <f t="shared" ca="1" si="7"/>
        <v>VENCIDO</v>
      </c>
      <c r="AB125" s="1" t="str">
        <f t="shared" si="8"/>
        <v>Dosa</v>
      </c>
      <c r="AC125" s="2" t="str">
        <f t="shared" si="11"/>
        <v xml:space="preserve"> CRISTINA </v>
      </c>
      <c r="AD125" s="2">
        <f t="shared" si="9"/>
        <v>5</v>
      </c>
      <c r="AE125" s="2">
        <f t="shared" ca="1" si="10"/>
        <v>-526.12738275463198</v>
      </c>
      <c r="AF125" s="15"/>
    </row>
    <row r="126" spans="1:32">
      <c r="A126" s="1">
        <v>7726587</v>
      </c>
      <c r="B126" s="1" t="s">
        <v>81</v>
      </c>
      <c r="C126" t="s">
        <v>240</v>
      </c>
      <c r="E126" s="2">
        <v>1069000206001</v>
      </c>
      <c r="F126" s="1" t="s">
        <v>29</v>
      </c>
      <c r="G126" s="1" t="s">
        <v>53</v>
      </c>
      <c r="H126" s="1" t="s">
        <v>353</v>
      </c>
      <c r="I126" s="1" t="s">
        <v>354</v>
      </c>
      <c r="J126" s="1" t="s">
        <v>211</v>
      </c>
      <c r="K126" t="s">
        <v>34</v>
      </c>
      <c r="M126" s="1" t="s">
        <v>35</v>
      </c>
      <c r="N126" s="1">
        <v>42318949</v>
      </c>
      <c r="O126" s="1" t="s">
        <v>36</v>
      </c>
      <c r="P126" s="186">
        <v>44459.548888888887</v>
      </c>
      <c r="R126" s="1" t="s">
        <v>38</v>
      </c>
      <c r="T126" s="1" t="s">
        <v>74</v>
      </c>
      <c r="U126" s="186">
        <v>44460.548888888887</v>
      </c>
      <c r="V126" s="1" t="s">
        <v>41</v>
      </c>
      <c r="W126" s="1" t="s">
        <v>49</v>
      </c>
      <c r="X126" s="13"/>
      <c r="Y126" s="2">
        <f t="shared" ca="1" si="6"/>
        <v>378</v>
      </c>
      <c r="Z126" s="14">
        <v>1</v>
      </c>
      <c r="AA126" s="1" t="str">
        <f t="shared" ca="1" si="7"/>
        <v>VENCIDO</v>
      </c>
      <c r="AB126" s="1" t="str">
        <f t="shared" si="8"/>
        <v>Dosa</v>
      </c>
      <c r="AC126" s="2" t="str">
        <f t="shared" si="11"/>
        <v xml:space="preserve"> RINALDO </v>
      </c>
      <c r="AD126" s="2">
        <f t="shared" si="9"/>
        <v>5</v>
      </c>
      <c r="AE126" s="2">
        <f t="shared" ca="1" si="10"/>
        <v>-526.12738275463198</v>
      </c>
      <c r="AF126" s="15"/>
    </row>
    <row r="127" spans="1:32" hidden="1">
      <c r="A127" s="1">
        <v>7726586</v>
      </c>
      <c r="B127" s="1" t="s">
        <v>81</v>
      </c>
      <c r="C127" t="s">
        <v>240</v>
      </c>
      <c r="E127" s="2">
        <v>2529000206001</v>
      </c>
      <c r="F127" s="1" t="s">
        <v>29</v>
      </c>
      <c r="G127" s="1" t="s">
        <v>53</v>
      </c>
      <c r="H127" s="1" t="s">
        <v>355</v>
      </c>
      <c r="I127" s="1" t="s">
        <v>356</v>
      </c>
      <c r="J127" s="1" t="s">
        <v>56</v>
      </c>
      <c r="K127" t="s">
        <v>34</v>
      </c>
      <c r="M127" s="1" t="s">
        <v>35</v>
      </c>
      <c r="N127" s="1">
        <v>42318949</v>
      </c>
      <c r="O127" s="1" t="s">
        <v>36</v>
      </c>
      <c r="P127" s="186">
        <v>44459.548888888887</v>
      </c>
      <c r="R127" s="1" t="s">
        <v>38</v>
      </c>
      <c r="T127" s="1" t="s">
        <v>74</v>
      </c>
      <c r="U127" s="186">
        <v>44460.548888888887</v>
      </c>
      <c r="V127" s="1" t="s">
        <v>41</v>
      </c>
      <c r="W127" s="1" t="s">
        <v>49</v>
      </c>
      <c r="X127" s="13"/>
      <c r="Y127" s="2">
        <f t="shared" ca="1" si="6"/>
        <v>378</v>
      </c>
      <c r="Z127" s="14">
        <v>1</v>
      </c>
      <c r="AA127" s="1" t="str">
        <f t="shared" ca="1" si="7"/>
        <v>VENCIDO</v>
      </c>
      <c r="AB127" s="1" t="str">
        <f t="shared" si="8"/>
        <v>Dosa</v>
      </c>
      <c r="AC127" s="2" t="str">
        <f t="shared" si="11"/>
        <v xml:space="preserve"> CRISTINA </v>
      </c>
      <c r="AD127" s="2">
        <f t="shared" si="9"/>
        <v>5</v>
      </c>
      <c r="AE127" s="2">
        <f t="shared" ca="1" si="10"/>
        <v>-526.12738275463198</v>
      </c>
      <c r="AF127" s="15"/>
    </row>
    <row r="128" spans="1:32" hidden="1">
      <c r="A128" s="1">
        <v>7726584</v>
      </c>
      <c r="B128" s="1" t="s">
        <v>81</v>
      </c>
      <c r="C128" t="s">
        <v>240</v>
      </c>
      <c r="E128" s="2">
        <v>1838000206001</v>
      </c>
      <c r="F128" s="1" t="s">
        <v>29</v>
      </c>
      <c r="G128" s="1" t="s">
        <v>53</v>
      </c>
      <c r="H128" s="1" t="s">
        <v>357</v>
      </c>
      <c r="I128" s="1" t="s">
        <v>358</v>
      </c>
      <c r="J128" s="1" t="s">
        <v>46</v>
      </c>
      <c r="K128" t="s">
        <v>34</v>
      </c>
      <c r="M128" s="1" t="s">
        <v>35</v>
      </c>
      <c r="N128" s="1">
        <v>42318949</v>
      </c>
      <c r="O128" s="1" t="s">
        <v>36</v>
      </c>
      <c r="P128" s="186">
        <v>44459.548877314817</v>
      </c>
      <c r="R128" s="1" t="s">
        <v>38</v>
      </c>
      <c r="T128" s="1" t="s">
        <v>74</v>
      </c>
      <c r="U128" s="186">
        <v>44460.548877314817</v>
      </c>
      <c r="V128" s="1" t="s">
        <v>41</v>
      </c>
      <c r="W128" s="1" t="s">
        <v>49</v>
      </c>
      <c r="X128" s="13"/>
      <c r="Y128" s="2">
        <f t="shared" ca="1" si="6"/>
        <v>378</v>
      </c>
      <c r="Z128" s="14">
        <v>1</v>
      </c>
      <c r="AA128" s="1" t="str">
        <f t="shared" ca="1" si="7"/>
        <v>VENCIDO</v>
      </c>
      <c r="AB128" s="1" t="str">
        <f t="shared" si="8"/>
        <v>Dosa</v>
      </c>
      <c r="AC128" s="2" t="str">
        <f t="shared" si="11"/>
        <v xml:space="preserve"> CLEITON </v>
      </c>
      <c r="AD128" s="2">
        <f t="shared" si="9"/>
        <v>5</v>
      </c>
      <c r="AE128" s="2">
        <f t="shared" ca="1" si="10"/>
        <v>-526.12739432870148</v>
      </c>
      <c r="AF128" s="15"/>
    </row>
    <row r="129" spans="1:32">
      <c r="A129" s="1">
        <v>7726583</v>
      </c>
      <c r="B129" s="1" t="s">
        <v>81</v>
      </c>
      <c r="C129" t="s">
        <v>240</v>
      </c>
      <c r="E129" s="2">
        <v>2739000206001</v>
      </c>
      <c r="F129" s="1" t="s">
        <v>29</v>
      </c>
      <c r="G129" s="1" t="s">
        <v>53</v>
      </c>
      <c r="H129" s="1" t="s">
        <v>359</v>
      </c>
      <c r="I129" s="1" t="s">
        <v>360</v>
      </c>
      <c r="J129" s="1" t="s">
        <v>85</v>
      </c>
      <c r="K129" t="s">
        <v>34</v>
      </c>
      <c r="M129" s="1" t="s">
        <v>35</v>
      </c>
      <c r="N129" s="1">
        <v>42318949</v>
      </c>
      <c r="O129" s="1" t="s">
        <v>36</v>
      </c>
      <c r="P129" s="186">
        <v>44459.548877314817</v>
      </c>
      <c r="R129" s="1" t="s">
        <v>38</v>
      </c>
      <c r="T129" s="1" t="s">
        <v>74</v>
      </c>
      <c r="U129" s="186">
        <v>44460.548877314817</v>
      </c>
      <c r="V129" s="1" t="s">
        <v>41</v>
      </c>
      <c r="W129" s="1" t="s">
        <v>49</v>
      </c>
      <c r="X129" s="13"/>
      <c r="Y129" s="2">
        <f t="shared" ca="1" si="6"/>
        <v>378</v>
      </c>
      <c r="Z129" s="14">
        <v>1</v>
      </c>
      <c r="AA129" s="1" t="str">
        <f t="shared" ca="1" si="7"/>
        <v>VENCIDO</v>
      </c>
      <c r="AB129" s="1" t="str">
        <f t="shared" si="8"/>
        <v>Dosa</v>
      </c>
      <c r="AC129" s="2" t="str">
        <f t="shared" si="11"/>
        <v xml:space="preserve"> RINALDO </v>
      </c>
      <c r="AD129" s="2">
        <f t="shared" si="9"/>
        <v>5</v>
      </c>
      <c r="AE129" s="2">
        <f t="shared" ca="1" si="10"/>
        <v>-526.12739432870148</v>
      </c>
      <c r="AF129" s="15"/>
    </row>
    <row r="130" spans="1:32" hidden="1">
      <c r="A130" s="1">
        <v>7726582</v>
      </c>
      <c r="B130" s="1" t="s">
        <v>81</v>
      </c>
      <c r="C130" t="s">
        <v>240</v>
      </c>
      <c r="E130" s="2">
        <v>1643000206001</v>
      </c>
      <c r="F130" s="1" t="s">
        <v>29</v>
      </c>
      <c r="G130" s="1" t="s">
        <v>53</v>
      </c>
      <c r="H130" s="1" t="s">
        <v>361</v>
      </c>
      <c r="I130" s="1" t="s">
        <v>362</v>
      </c>
      <c r="J130" s="1" t="s">
        <v>261</v>
      </c>
      <c r="K130" t="s">
        <v>34</v>
      </c>
      <c r="M130" s="1" t="s">
        <v>35</v>
      </c>
      <c r="N130" s="1">
        <v>42318949</v>
      </c>
      <c r="O130" s="1" t="s">
        <v>36</v>
      </c>
      <c r="P130" s="186">
        <v>44459.548877314817</v>
      </c>
      <c r="R130" s="1" t="s">
        <v>38</v>
      </c>
      <c r="T130" s="1" t="s">
        <v>74</v>
      </c>
      <c r="U130" s="186">
        <v>44460.548877314817</v>
      </c>
      <c r="V130" s="1" t="s">
        <v>41</v>
      </c>
      <c r="W130" s="1" t="s">
        <v>49</v>
      </c>
      <c r="X130" s="13"/>
      <c r="Y130" s="2">
        <f t="shared" ref="Y130:Y193" ca="1" si="12">NETWORKDAYS(P130,$Y$1)</f>
        <v>378</v>
      </c>
      <c r="Z130" s="14">
        <v>1</v>
      </c>
      <c r="AA130" s="1" t="str">
        <f t="shared" ref="AA130:AA193" ca="1" si="13">IF(AE130=0,"HOJE",IF(AE130&gt;0,"A VENCER",IF(AE130&lt;0,"VENCIDO")))</f>
        <v>VENCIDO</v>
      </c>
      <c r="AB130" s="1" t="str">
        <f t="shared" ref="AB130:AB193" si="14">IF(F130="GRPE-000001","C-14",IF(F130="GRPE-000002","C-14",IF(F130="GRPE-000003","C-14",IF(F130="GRPE-000004","SL-On",IF(F130="GRPE-000038","C-14",IF(F130="GRPE-900022","Dosa",IF(F130="GRPE-000029","Dosa",IF(F130="ATOS-000222","Dose","TAAe+"))))))))</f>
        <v>Dosa</v>
      </c>
      <c r="AC130" s="2" t="str">
        <f t="shared" si="11"/>
        <v xml:space="preserve"> CRISTINA </v>
      </c>
      <c r="AD130" s="2">
        <f t="shared" ref="AD130:AD193" si="15">IF(F130="GRPE-000001",5,IF(F130="GRPE-000002",5,IF(F130="GRPE-000003",15,IF(F130="GRPE-000004",1,IF(F130="GRPE-000038",5,IF(F130="GRPE-900022",5,IF(F130="GRPE-000029",5,IF(F130="ATOS-000222",5,8))))))))</f>
        <v>5</v>
      </c>
      <c r="AE130" s="2">
        <f t="shared" ref="AE130:AE193" ca="1" si="16">IF(U130=$AE$1,"",U130-$AE$1)</f>
        <v>-526.12739432870148</v>
      </c>
      <c r="AF130" s="15"/>
    </row>
    <row r="131" spans="1:32" hidden="1">
      <c r="A131" s="1">
        <v>7726581</v>
      </c>
      <c r="B131" s="1" t="s">
        <v>81</v>
      </c>
      <c r="C131" t="s">
        <v>240</v>
      </c>
      <c r="E131" s="2">
        <v>5898000206001</v>
      </c>
      <c r="F131" s="1" t="s">
        <v>29</v>
      </c>
      <c r="G131" s="1" t="s">
        <v>53</v>
      </c>
      <c r="H131" s="1" t="s">
        <v>365</v>
      </c>
      <c r="I131" s="1" t="s">
        <v>366</v>
      </c>
      <c r="J131" s="1" t="s">
        <v>164</v>
      </c>
      <c r="K131" t="s">
        <v>34</v>
      </c>
      <c r="M131" s="1" t="s">
        <v>35</v>
      </c>
      <c r="N131" s="1">
        <v>42318949</v>
      </c>
      <c r="O131" s="1" t="s">
        <v>36</v>
      </c>
      <c r="P131" s="186">
        <v>44459.548877314817</v>
      </c>
      <c r="R131" s="1" t="s">
        <v>38</v>
      </c>
      <c r="T131" s="1" t="s">
        <v>74</v>
      </c>
      <c r="U131" s="186">
        <v>44460.548877314817</v>
      </c>
      <c r="V131" s="1" t="s">
        <v>41</v>
      </c>
      <c r="W131" s="1" t="s">
        <v>49</v>
      </c>
      <c r="X131" s="13"/>
      <c r="Y131" s="2">
        <f t="shared" ca="1" si="12"/>
        <v>378</v>
      </c>
      <c r="Z131" s="14">
        <v>1</v>
      </c>
      <c r="AA131" s="1" t="str">
        <f t="shared" ca="1" si="13"/>
        <v>VENCIDO</v>
      </c>
      <c r="AB131" s="1" t="str">
        <f t="shared" si="14"/>
        <v>Dosa</v>
      </c>
      <c r="AC131" s="2" t="str">
        <f t="shared" ref="AC131:AC194" si="17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 xml:space="preserve"> ROSEMERE </v>
      </c>
      <c r="AD131" s="2">
        <f t="shared" si="15"/>
        <v>5</v>
      </c>
      <c r="AE131" s="2">
        <f t="shared" ca="1" si="16"/>
        <v>-526.12739432870148</v>
      </c>
      <c r="AF131" s="15"/>
    </row>
    <row r="132" spans="1:32" hidden="1">
      <c r="A132" s="1">
        <v>7726580</v>
      </c>
      <c r="B132" s="1" t="s">
        <v>81</v>
      </c>
      <c r="C132" t="s">
        <v>240</v>
      </c>
      <c r="E132" s="2">
        <v>834000206001</v>
      </c>
      <c r="F132" s="1" t="s">
        <v>29</v>
      </c>
      <c r="G132" s="1" t="s">
        <v>53</v>
      </c>
      <c r="H132" s="1" t="s">
        <v>367</v>
      </c>
      <c r="I132" s="1" t="s">
        <v>368</v>
      </c>
      <c r="J132" s="1" t="s">
        <v>261</v>
      </c>
      <c r="K132" t="s">
        <v>34</v>
      </c>
      <c r="M132" s="1" t="s">
        <v>35</v>
      </c>
      <c r="N132" s="1">
        <v>42318949</v>
      </c>
      <c r="O132" s="1" t="s">
        <v>36</v>
      </c>
      <c r="P132" s="186">
        <v>44459.548877314817</v>
      </c>
      <c r="R132" s="1" t="s">
        <v>38</v>
      </c>
      <c r="T132" s="1" t="s">
        <v>74</v>
      </c>
      <c r="U132" s="186">
        <v>44460.548877314817</v>
      </c>
      <c r="V132" s="1" t="s">
        <v>41</v>
      </c>
      <c r="W132" s="1" t="s">
        <v>49</v>
      </c>
      <c r="X132" s="13"/>
      <c r="Y132" s="2">
        <f t="shared" ca="1" si="12"/>
        <v>378</v>
      </c>
      <c r="Z132" s="14">
        <v>1</v>
      </c>
      <c r="AA132" s="1" t="str">
        <f t="shared" ca="1" si="13"/>
        <v>VENCIDO</v>
      </c>
      <c r="AB132" s="1" t="str">
        <f t="shared" si="14"/>
        <v>Dosa</v>
      </c>
      <c r="AC132" s="2" t="str">
        <f t="shared" si="17"/>
        <v xml:space="preserve"> CRISTINA </v>
      </c>
      <c r="AD132" s="2">
        <f t="shared" si="15"/>
        <v>5</v>
      </c>
      <c r="AE132" s="2">
        <f t="shared" ca="1" si="16"/>
        <v>-526.12739432870148</v>
      </c>
      <c r="AF132" s="15"/>
    </row>
    <row r="133" spans="1:32" hidden="1">
      <c r="A133" s="1">
        <v>7726579</v>
      </c>
      <c r="B133" s="1" t="s">
        <v>81</v>
      </c>
      <c r="C133" t="s">
        <v>240</v>
      </c>
      <c r="E133" s="2">
        <v>1833000206001</v>
      </c>
      <c r="F133" s="1" t="s">
        <v>29</v>
      </c>
      <c r="G133" s="1" t="s">
        <v>53</v>
      </c>
      <c r="H133" s="1" t="s">
        <v>369</v>
      </c>
      <c r="I133" s="1" t="s">
        <v>370</v>
      </c>
      <c r="J133" s="1" t="s">
        <v>46</v>
      </c>
      <c r="K133" t="s">
        <v>34</v>
      </c>
      <c r="M133" s="1" t="s">
        <v>35</v>
      </c>
      <c r="N133" s="1">
        <v>42318949</v>
      </c>
      <c r="O133" s="1" t="s">
        <v>36</v>
      </c>
      <c r="P133" s="186">
        <v>44459.54886574074</v>
      </c>
      <c r="R133" s="1" t="s">
        <v>38</v>
      </c>
      <c r="T133" s="1" t="s">
        <v>74</v>
      </c>
      <c r="U133" s="186">
        <v>44460.54886574074</v>
      </c>
      <c r="V133" s="1" t="s">
        <v>41</v>
      </c>
      <c r="W133" s="1" t="s">
        <v>49</v>
      </c>
      <c r="X133" s="13"/>
      <c r="Y133" s="2">
        <f t="shared" ca="1" si="12"/>
        <v>378</v>
      </c>
      <c r="Z133" s="14">
        <v>1</v>
      </c>
      <c r="AA133" s="1" t="str">
        <f t="shared" ca="1" si="13"/>
        <v>VENCIDO</v>
      </c>
      <c r="AB133" s="1" t="str">
        <f t="shared" si="14"/>
        <v>Dosa</v>
      </c>
      <c r="AC133" s="2" t="str">
        <f t="shared" si="17"/>
        <v xml:space="preserve"> CLEITON </v>
      </c>
      <c r="AD133" s="2">
        <f t="shared" si="15"/>
        <v>5</v>
      </c>
      <c r="AE133" s="2">
        <f t="shared" ca="1" si="16"/>
        <v>-526.12740590277826</v>
      </c>
      <c r="AF133" s="15"/>
    </row>
    <row r="134" spans="1:32" hidden="1">
      <c r="A134" s="1">
        <v>7726578</v>
      </c>
      <c r="B134" s="1" t="s">
        <v>81</v>
      </c>
      <c r="C134" t="s">
        <v>240</v>
      </c>
      <c r="E134" s="2">
        <v>3250000206001</v>
      </c>
      <c r="F134" s="1" t="s">
        <v>29</v>
      </c>
      <c r="G134" s="1" t="s">
        <v>53</v>
      </c>
      <c r="H134" s="1" t="s">
        <v>371</v>
      </c>
      <c r="I134" s="1" t="s">
        <v>372</v>
      </c>
      <c r="J134" s="1" t="s">
        <v>46</v>
      </c>
      <c r="K134" t="s">
        <v>34</v>
      </c>
      <c r="M134" s="1" t="s">
        <v>35</v>
      </c>
      <c r="N134" s="1">
        <v>42318949</v>
      </c>
      <c r="O134" s="1" t="s">
        <v>36</v>
      </c>
      <c r="P134" s="186">
        <v>44459.54886574074</v>
      </c>
      <c r="R134" s="1" t="s">
        <v>38</v>
      </c>
      <c r="T134" s="1" t="s">
        <v>74</v>
      </c>
      <c r="U134" s="186">
        <v>44460.54886574074</v>
      </c>
      <c r="V134" s="1" t="s">
        <v>41</v>
      </c>
      <c r="W134" s="1" t="s">
        <v>49</v>
      </c>
      <c r="X134" s="13"/>
      <c r="Y134" s="2">
        <f t="shared" ca="1" si="12"/>
        <v>378</v>
      </c>
      <c r="Z134" s="14">
        <v>1</v>
      </c>
      <c r="AA134" s="1" t="str">
        <f t="shared" ca="1" si="13"/>
        <v>VENCIDO</v>
      </c>
      <c r="AB134" s="1" t="str">
        <f t="shared" si="14"/>
        <v>Dosa</v>
      </c>
      <c r="AC134" s="2" t="str">
        <f t="shared" si="17"/>
        <v xml:space="preserve"> CLEITON </v>
      </c>
      <c r="AD134" s="2">
        <f t="shared" si="15"/>
        <v>5</v>
      </c>
      <c r="AE134" s="2">
        <f t="shared" ca="1" si="16"/>
        <v>-526.12740590277826</v>
      </c>
      <c r="AF134" s="15"/>
    </row>
    <row r="135" spans="1:32">
      <c r="A135" s="1">
        <v>7726576</v>
      </c>
      <c r="B135" s="1" t="s">
        <v>81</v>
      </c>
      <c r="C135" t="s">
        <v>240</v>
      </c>
      <c r="E135" s="2">
        <v>1059000206001</v>
      </c>
      <c r="F135" s="1" t="s">
        <v>29</v>
      </c>
      <c r="G135" s="1" t="s">
        <v>53</v>
      </c>
      <c r="H135" s="1" t="s">
        <v>88</v>
      </c>
      <c r="I135" s="1" t="s">
        <v>89</v>
      </c>
      <c r="J135" s="1" t="s">
        <v>90</v>
      </c>
      <c r="K135" t="s">
        <v>34</v>
      </c>
      <c r="M135" s="1" t="s">
        <v>35</v>
      </c>
      <c r="N135" s="1">
        <v>42318949</v>
      </c>
      <c r="O135" s="1" t="s">
        <v>36</v>
      </c>
      <c r="P135" s="186">
        <v>44459.54886574074</v>
      </c>
      <c r="R135" s="1" t="s">
        <v>38</v>
      </c>
      <c r="T135" s="1" t="s">
        <v>74</v>
      </c>
      <c r="U135" s="186">
        <v>44460.54886574074</v>
      </c>
      <c r="V135" s="1" t="s">
        <v>41</v>
      </c>
      <c r="W135" s="1" t="s">
        <v>49</v>
      </c>
      <c r="X135" s="13"/>
      <c r="Y135" s="2">
        <f t="shared" ca="1" si="12"/>
        <v>378</v>
      </c>
      <c r="Z135" s="14">
        <v>1</v>
      </c>
      <c r="AA135" s="1" t="str">
        <f t="shared" ca="1" si="13"/>
        <v>VENCIDO</v>
      </c>
      <c r="AB135" s="1" t="str">
        <f t="shared" si="14"/>
        <v>Dosa</v>
      </c>
      <c r="AC135" s="2" t="str">
        <f t="shared" si="17"/>
        <v xml:space="preserve"> RINALDO </v>
      </c>
      <c r="AD135" s="2">
        <f t="shared" si="15"/>
        <v>5</v>
      </c>
      <c r="AE135" s="2">
        <f t="shared" ca="1" si="16"/>
        <v>-526.12740590277826</v>
      </c>
      <c r="AF135" s="15"/>
    </row>
    <row r="136" spans="1:32" hidden="1">
      <c r="A136" s="1">
        <v>7726575</v>
      </c>
      <c r="B136" s="1" t="s">
        <v>81</v>
      </c>
      <c r="C136" t="s">
        <v>240</v>
      </c>
      <c r="E136" s="2">
        <v>1761000206001</v>
      </c>
      <c r="F136" s="1" t="s">
        <v>29</v>
      </c>
      <c r="G136" s="1" t="s">
        <v>53</v>
      </c>
      <c r="H136" s="1" t="s">
        <v>375</v>
      </c>
      <c r="I136" s="1" t="s">
        <v>376</v>
      </c>
      <c r="J136" s="1" t="s">
        <v>56</v>
      </c>
      <c r="K136" t="s">
        <v>34</v>
      </c>
      <c r="M136" s="1" t="s">
        <v>35</v>
      </c>
      <c r="N136" s="1">
        <v>42318949</v>
      </c>
      <c r="O136" s="1" t="s">
        <v>36</v>
      </c>
      <c r="P136" s="186">
        <v>44459.54886574074</v>
      </c>
      <c r="R136" s="1" t="s">
        <v>38</v>
      </c>
      <c r="T136" s="1" t="s">
        <v>74</v>
      </c>
      <c r="U136" s="186">
        <v>44460.54886574074</v>
      </c>
      <c r="V136" s="1" t="s">
        <v>41</v>
      </c>
      <c r="W136" s="1" t="s">
        <v>49</v>
      </c>
      <c r="X136" s="13"/>
      <c r="Y136" s="2">
        <f t="shared" ca="1" si="12"/>
        <v>378</v>
      </c>
      <c r="Z136" s="14">
        <v>1</v>
      </c>
      <c r="AA136" s="1" t="str">
        <f t="shared" ca="1" si="13"/>
        <v>VENCIDO</v>
      </c>
      <c r="AB136" s="1" t="str">
        <f t="shared" si="14"/>
        <v>Dosa</v>
      </c>
      <c r="AC136" s="2" t="str">
        <f t="shared" si="17"/>
        <v xml:space="preserve"> CRISTINA </v>
      </c>
      <c r="AD136" s="2">
        <f t="shared" si="15"/>
        <v>5</v>
      </c>
      <c r="AE136" s="2">
        <f t="shared" ca="1" si="16"/>
        <v>-526.12740590277826</v>
      </c>
      <c r="AF136" s="15"/>
    </row>
    <row r="137" spans="1:32" hidden="1">
      <c r="A137" s="1">
        <v>7726574</v>
      </c>
      <c r="B137" s="1" t="s">
        <v>81</v>
      </c>
      <c r="C137" t="s">
        <v>240</v>
      </c>
      <c r="E137" s="2">
        <v>714000206001</v>
      </c>
      <c r="F137" s="1" t="s">
        <v>29</v>
      </c>
      <c r="G137" s="1" t="s">
        <v>53</v>
      </c>
      <c r="H137" s="1" t="s">
        <v>377</v>
      </c>
      <c r="I137" s="1" t="s">
        <v>378</v>
      </c>
      <c r="J137" s="1" t="s">
        <v>46</v>
      </c>
      <c r="K137" t="s">
        <v>34</v>
      </c>
      <c r="M137" s="1" t="s">
        <v>35</v>
      </c>
      <c r="N137" s="1">
        <v>42318949</v>
      </c>
      <c r="O137" s="1" t="s">
        <v>36</v>
      </c>
      <c r="P137" s="186">
        <v>44459.54886574074</v>
      </c>
      <c r="R137" s="1" t="s">
        <v>38</v>
      </c>
      <c r="T137" s="1" t="s">
        <v>74</v>
      </c>
      <c r="U137" s="186">
        <v>44460.54886574074</v>
      </c>
      <c r="V137" s="1" t="s">
        <v>41</v>
      </c>
      <c r="W137" s="1" t="s">
        <v>49</v>
      </c>
      <c r="X137" s="13"/>
      <c r="Y137" s="2">
        <f t="shared" ca="1" si="12"/>
        <v>378</v>
      </c>
      <c r="Z137" s="14">
        <v>1</v>
      </c>
      <c r="AA137" s="1" t="str">
        <f t="shared" ca="1" si="13"/>
        <v>VENCIDO</v>
      </c>
      <c r="AB137" s="1" t="str">
        <f t="shared" si="14"/>
        <v>Dosa</v>
      </c>
      <c r="AC137" s="2" t="str">
        <f t="shared" si="17"/>
        <v xml:space="preserve"> CLEITON </v>
      </c>
      <c r="AD137" s="2">
        <f t="shared" si="15"/>
        <v>5</v>
      </c>
      <c r="AE137" s="2">
        <f t="shared" ca="1" si="16"/>
        <v>-526.12740590277826</v>
      </c>
      <c r="AF137" s="15"/>
    </row>
    <row r="138" spans="1:32" hidden="1">
      <c r="A138" s="1">
        <v>7726573</v>
      </c>
      <c r="B138" s="1" t="s">
        <v>81</v>
      </c>
      <c r="C138" t="s">
        <v>240</v>
      </c>
      <c r="E138" s="2">
        <v>2138000206001</v>
      </c>
      <c r="F138" s="1" t="s">
        <v>29</v>
      </c>
      <c r="G138" s="1" t="s">
        <v>53</v>
      </c>
      <c r="H138" s="1" t="s">
        <v>379</v>
      </c>
      <c r="I138" s="1" t="s">
        <v>380</v>
      </c>
      <c r="J138" s="1" t="s">
        <v>46</v>
      </c>
      <c r="K138" t="s">
        <v>34</v>
      </c>
      <c r="M138" s="1" t="s">
        <v>35</v>
      </c>
      <c r="N138" s="1">
        <v>42318949</v>
      </c>
      <c r="O138" s="1" t="s">
        <v>36</v>
      </c>
      <c r="P138" s="186">
        <v>44459.54886574074</v>
      </c>
      <c r="R138" s="1" t="s">
        <v>38</v>
      </c>
      <c r="T138" s="1" t="s">
        <v>74</v>
      </c>
      <c r="U138" s="186">
        <v>44460.54886574074</v>
      </c>
      <c r="V138" s="1" t="s">
        <v>41</v>
      </c>
      <c r="W138" s="1" t="s">
        <v>49</v>
      </c>
      <c r="X138" s="13"/>
      <c r="Y138" s="2">
        <f t="shared" ca="1" si="12"/>
        <v>378</v>
      </c>
      <c r="Z138" s="14">
        <v>1</v>
      </c>
      <c r="AA138" s="1" t="str">
        <f t="shared" ca="1" si="13"/>
        <v>VENCIDO</v>
      </c>
      <c r="AB138" s="1" t="str">
        <f t="shared" si="14"/>
        <v>Dosa</v>
      </c>
      <c r="AC138" s="2" t="str">
        <f t="shared" si="17"/>
        <v xml:space="preserve"> CLEITON </v>
      </c>
      <c r="AD138" s="2">
        <f t="shared" si="15"/>
        <v>5</v>
      </c>
      <c r="AE138" s="2">
        <f t="shared" ca="1" si="16"/>
        <v>-526.12740590277826</v>
      </c>
      <c r="AF138" s="15"/>
    </row>
    <row r="139" spans="1:32" hidden="1">
      <c r="A139" s="1">
        <v>7726572</v>
      </c>
      <c r="B139" s="1" t="s">
        <v>81</v>
      </c>
      <c r="C139" t="s">
        <v>240</v>
      </c>
      <c r="E139" s="2">
        <v>2257000206001</v>
      </c>
      <c r="F139" s="1" t="s">
        <v>29</v>
      </c>
      <c r="G139" s="1" t="s">
        <v>53</v>
      </c>
      <c r="H139" s="1" t="s">
        <v>381</v>
      </c>
      <c r="I139" s="1" t="s">
        <v>382</v>
      </c>
      <c r="J139" s="1" t="s">
        <v>110</v>
      </c>
      <c r="K139" t="s">
        <v>34</v>
      </c>
      <c r="M139" s="1" t="s">
        <v>35</v>
      </c>
      <c r="N139" s="1">
        <v>42318949</v>
      </c>
      <c r="O139" s="1" t="s">
        <v>36</v>
      </c>
      <c r="P139" s="186">
        <v>44459.54886574074</v>
      </c>
      <c r="R139" s="1" t="s">
        <v>38</v>
      </c>
      <c r="T139" s="1" t="s">
        <v>74</v>
      </c>
      <c r="U139" s="186">
        <v>44460.54886574074</v>
      </c>
      <c r="V139" s="1" t="s">
        <v>41</v>
      </c>
      <c r="W139" s="1" t="s">
        <v>49</v>
      </c>
      <c r="X139" s="13"/>
      <c r="Y139" s="2">
        <f t="shared" ca="1" si="12"/>
        <v>378</v>
      </c>
      <c r="Z139" s="14">
        <v>1</v>
      </c>
      <c r="AA139" s="1" t="str">
        <f t="shared" ca="1" si="13"/>
        <v>VENCIDO</v>
      </c>
      <c r="AB139" s="1" t="str">
        <f t="shared" si="14"/>
        <v>Dosa</v>
      </c>
      <c r="AC139" s="2" t="str">
        <f t="shared" si="17"/>
        <v xml:space="preserve"> CRISTINA </v>
      </c>
      <c r="AD139" s="2">
        <f t="shared" si="15"/>
        <v>5</v>
      </c>
      <c r="AE139" s="2">
        <f t="shared" ca="1" si="16"/>
        <v>-526.12740590277826</v>
      </c>
      <c r="AF139" s="15"/>
    </row>
    <row r="140" spans="1:32" hidden="1">
      <c r="A140" s="1">
        <v>7726571</v>
      </c>
      <c r="B140" s="1" t="s">
        <v>81</v>
      </c>
      <c r="C140" t="s">
        <v>240</v>
      </c>
      <c r="E140" s="2">
        <v>7000206001</v>
      </c>
      <c r="F140" s="1" t="s">
        <v>29</v>
      </c>
      <c r="G140" s="1" t="s">
        <v>53</v>
      </c>
      <c r="H140" s="1" t="s">
        <v>383</v>
      </c>
      <c r="I140" s="1" t="s">
        <v>384</v>
      </c>
      <c r="J140" s="1" t="s">
        <v>46</v>
      </c>
      <c r="K140" t="s">
        <v>34</v>
      </c>
      <c r="M140" s="1" t="s">
        <v>35</v>
      </c>
      <c r="N140" s="1">
        <v>42318949</v>
      </c>
      <c r="O140" s="1" t="s">
        <v>36</v>
      </c>
      <c r="P140" s="186">
        <v>44459.548854166664</v>
      </c>
      <c r="R140" s="1" t="s">
        <v>38</v>
      </c>
      <c r="T140" s="1" t="s">
        <v>74</v>
      </c>
      <c r="U140" s="186">
        <v>44460.548854166664</v>
      </c>
      <c r="V140" s="1" t="s">
        <v>41</v>
      </c>
      <c r="W140" s="1" t="s">
        <v>49</v>
      </c>
      <c r="X140" s="13"/>
      <c r="Y140" s="2">
        <f t="shared" ca="1" si="12"/>
        <v>378</v>
      </c>
      <c r="Z140" s="14">
        <v>1</v>
      </c>
      <c r="AA140" s="1" t="str">
        <f t="shared" ca="1" si="13"/>
        <v>VENCIDO</v>
      </c>
      <c r="AB140" s="1" t="str">
        <f t="shared" si="14"/>
        <v>Dosa</v>
      </c>
      <c r="AC140" s="2" t="str">
        <f t="shared" si="17"/>
        <v xml:space="preserve"> CLEITON </v>
      </c>
      <c r="AD140" s="2">
        <f t="shared" si="15"/>
        <v>5</v>
      </c>
      <c r="AE140" s="2">
        <f t="shared" ca="1" si="16"/>
        <v>-526.12741747685504</v>
      </c>
      <c r="AF140" s="15"/>
    </row>
    <row r="141" spans="1:32" hidden="1">
      <c r="A141" s="1">
        <v>7726569</v>
      </c>
      <c r="B141" s="1" t="s">
        <v>81</v>
      </c>
      <c r="C141" t="s">
        <v>240</v>
      </c>
      <c r="E141" s="2">
        <v>4274000206001</v>
      </c>
      <c r="F141" s="1" t="s">
        <v>29</v>
      </c>
      <c r="G141" s="1" t="s">
        <v>53</v>
      </c>
      <c r="H141" s="1" t="s">
        <v>386</v>
      </c>
      <c r="I141" s="1" t="s">
        <v>387</v>
      </c>
      <c r="J141" s="1" t="s">
        <v>46</v>
      </c>
      <c r="K141" t="s">
        <v>34</v>
      </c>
      <c r="M141" s="1" t="s">
        <v>35</v>
      </c>
      <c r="N141" s="1">
        <v>42318949</v>
      </c>
      <c r="O141" s="1" t="s">
        <v>36</v>
      </c>
      <c r="P141" s="186">
        <v>44459.548854166664</v>
      </c>
      <c r="R141" s="1" t="s">
        <v>38</v>
      </c>
      <c r="T141" s="1" t="s">
        <v>74</v>
      </c>
      <c r="U141" s="186">
        <v>44460.548854166664</v>
      </c>
      <c r="V141" s="1" t="s">
        <v>41</v>
      </c>
      <c r="W141" s="1" t="s">
        <v>49</v>
      </c>
      <c r="X141" s="13"/>
      <c r="Y141" s="2">
        <f t="shared" ca="1" si="12"/>
        <v>378</v>
      </c>
      <c r="Z141" s="14">
        <v>1</v>
      </c>
      <c r="AA141" s="1" t="str">
        <f t="shared" ca="1" si="13"/>
        <v>VENCIDO</v>
      </c>
      <c r="AB141" s="1" t="str">
        <f t="shared" si="14"/>
        <v>Dosa</v>
      </c>
      <c r="AC141" s="2" t="str">
        <f t="shared" si="17"/>
        <v xml:space="preserve"> CLEITON </v>
      </c>
      <c r="AD141" s="2">
        <f t="shared" si="15"/>
        <v>5</v>
      </c>
      <c r="AE141" s="2">
        <f t="shared" ca="1" si="16"/>
        <v>-526.12741747685504</v>
      </c>
      <c r="AF141" s="15"/>
    </row>
    <row r="142" spans="1:32" hidden="1">
      <c r="A142" s="1">
        <v>7726567</v>
      </c>
      <c r="B142" s="1" t="s">
        <v>81</v>
      </c>
      <c r="C142" t="s">
        <v>240</v>
      </c>
      <c r="E142" s="2">
        <v>2802000206001</v>
      </c>
      <c r="F142" s="1" t="s">
        <v>29</v>
      </c>
      <c r="G142" s="1" t="s">
        <v>53</v>
      </c>
      <c r="H142" s="1" t="s">
        <v>388</v>
      </c>
      <c r="I142" s="1" t="s">
        <v>389</v>
      </c>
      <c r="J142" s="1" t="s">
        <v>46</v>
      </c>
      <c r="K142" t="s">
        <v>34</v>
      </c>
      <c r="M142" s="1" t="s">
        <v>35</v>
      </c>
      <c r="N142" s="1">
        <v>42318949</v>
      </c>
      <c r="O142" s="1" t="s">
        <v>36</v>
      </c>
      <c r="P142" s="186">
        <v>44459.548854166664</v>
      </c>
      <c r="R142" s="1" t="s">
        <v>38</v>
      </c>
      <c r="T142" s="1" t="s">
        <v>74</v>
      </c>
      <c r="U142" s="186">
        <v>44460.548854166664</v>
      </c>
      <c r="V142" s="1" t="s">
        <v>41</v>
      </c>
      <c r="W142" s="1" t="s">
        <v>49</v>
      </c>
      <c r="X142" s="13"/>
      <c r="Y142" s="2">
        <f t="shared" ca="1" si="12"/>
        <v>378</v>
      </c>
      <c r="Z142" s="14">
        <v>1</v>
      </c>
      <c r="AA142" s="1" t="str">
        <f t="shared" ca="1" si="13"/>
        <v>VENCIDO</v>
      </c>
      <c r="AB142" s="1" t="str">
        <f t="shared" si="14"/>
        <v>Dosa</v>
      </c>
      <c r="AC142" s="2" t="str">
        <f t="shared" si="17"/>
        <v xml:space="preserve"> CLEITON </v>
      </c>
      <c r="AD142" s="2">
        <f t="shared" si="15"/>
        <v>5</v>
      </c>
      <c r="AE142" s="2">
        <f t="shared" ca="1" si="16"/>
        <v>-526.12741747685504</v>
      </c>
      <c r="AF142" s="15"/>
    </row>
    <row r="143" spans="1:32" hidden="1">
      <c r="A143" s="1">
        <v>7726563</v>
      </c>
      <c r="B143" s="1" t="s">
        <v>81</v>
      </c>
      <c r="C143" t="s">
        <v>240</v>
      </c>
      <c r="E143" s="2">
        <v>710000206001</v>
      </c>
      <c r="F143" s="1" t="s">
        <v>29</v>
      </c>
      <c r="G143" s="1" t="s">
        <v>53</v>
      </c>
      <c r="H143" s="1" t="s">
        <v>390</v>
      </c>
      <c r="I143" s="1" t="s">
        <v>391</v>
      </c>
      <c r="J143" s="1" t="s">
        <v>56</v>
      </c>
      <c r="K143" t="s">
        <v>34</v>
      </c>
      <c r="M143" s="1" t="s">
        <v>35</v>
      </c>
      <c r="N143" s="1">
        <v>42318949</v>
      </c>
      <c r="O143" s="1" t="s">
        <v>36</v>
      </c>
      <c r="P143" s="186">
        <v>44459.548842592594</v>
      </c>
      <c r="R143" s="1" t="s">
        <v>38</v>
      </c>
      <c r="T143" s="1" t="s">
        <v>74</v>
      </c>
      <c r="U143" s="186">
        <v>44460.548842592594</v>
      </c>
      <c r="V143" s="1" t="s">
        <v>41</v>
      </c>
      <c r="W143" s="1" t="s">
        <v>49</v>
      </c>
      <c r="X143" s="13"/>
      <c r="Y143" s="2">
        <f t="shared" ca="1" si="12"/>
        <v>378</v>
      </c>
      <c r="Z143" s="14">
        <v>1</v>
      </c>
      <c r="AA143" s="1" t="str">
        <f t="shared" ca="1" si="13"/>
        <v>VENCIDO</v>
      </c>
      <c r="AB143" s="1" t="str">
        <f t="shared" si="14"/>
        <v>Dosa</v>
      </c>
      <c r="AC143" s="2" t="str">
        <f t="shared" si="17"/>
        <v xml:space="preserve"> CRISTINA </v>
      </c>
      <c r="AD143" s="2">
        <f t="shared" si="15"/>
        <v>5</v>
      </c>
      <c r="AE143" s="2">
        <f t="shared" ca="1" si="16"/>
        <v>-526.12742905092455</v>
      </c>
      <c r="AF143" s="15"/>
    </row>
    <row r="144" spans="1:32">
      <c r="A144" s="1">
        <v>7726562</v>
      </c>
      <c r="B144" s="1" t="s">
        <v>81</v>
      </c>
      <c r="C144" t="s">
        <v>240</v>
      </c>
      <c r="E144" s="2">
        <v>2590000206001</v>
      </c>
      <c r="F144" s="1" t="s">
        <v>29</v>
      </c>
      <c r="G144" s="1" t="s">
        <v>53</v>
      </c>
      <c r="H144" s="1" t="s">
        <v>394</v>
      </c>
      <c r="I144" s="1" t="s">
        <v>395</v>
      </c>
      <c r="J144" s="1" t="s">
        <v>148</v>
      </c>
      <c r="K144" t="s">
        <v>34</v>
      </c>
      <c r="M144" s="1" t="s">
        <v>35</v>
      </c>
      <c r="N144" s="1">
        <v>42318949</v>
      </c>
      <c r="O144" s="1" t="s">
        <v>36</v>
      </c>
      <c r="P144" s="186">
        <v>44459.548842592594</v>
      </c>
      <c r="R144" s="1" t="s">
        <v>38</v>
      </c>
      <c r="T144" s="1" t="s">
        <v>74</v>
      </c>
      <c r="U144" s="186">
        <v>44460.548842592594</v>
      </c>
      <c r="V144" s="1" t="s">
        <v>41</v>
      </c>
      <c r="W144" s="1" t="s">
        <v>49</v>
      </c>
      <c r="X144" s="13"/>
      <c r="Y144" s="2">
        <f t="shared" ca="1" si="12"/>
        <v>378</v>
      </c>
      <c r="Z144" s="14">
        <v>1</v>
      </c>
      <c r="AA144" s="1" t="str">
        <f t="shared" ca="1" si="13"/>
        <v>VENCIDO</v>
      </c>
      <c r="AB144" s="1" t="str">
        <f t="shared" si="14"/>
        <v>Dosa</v>
      </c>
      <c r="AC144" s="2" t="str">
        <f t="shared" si="17"/>
        <v xml:space="preserve"> RINALDO </v>
      </c>
      <c r="AD144" s="2">
        <f t="shared" si="15"/>
        <v>5</v>
      </c>
      <c r="AE144" s="2">
        <f t="shared" ca="1" si="16"/>
        <v>-526.12742905092455</v>
      </c>
      <c r="AF144" s="15"/>
    </row>
    <row r="145" spans="1:32" hidden="1">
      <c r="A145" s="1">
        <v>7726561</v>
      </c>
      <c r="B145" s="1" t="s">
        <v>81</v>
      </c>
      <c r="C145" t="s">
        <v>240</v>
      </c>
      <c r="E145" s="2">
        <v>1814000206001</v>
      </c>
      <c r="F145" s="1" t="s">
        <v>29</v>
      </c>
      <c r="G145" s="1" t="s">
        <v>53</v>
      </c>
      <c r="H145" s="1" t="s">
        <v>396</v>
      </c>
      <c r="I145" s="1" t="s">
        <v>397</v>
      </c>
      <c r="J145" s="1" t="s">
        <v>46</v>
      </c>
      <c r="K145" t="s">
        <v>34</v>
      </c>
      <c r="M145" s="1" t="s">
        <v>35</v>
      </c>
      <c r="N145" s="1">
        <v>42318949</v>
      </c>
      <c r="O145" s="1" t="s">
        <v>36</v>
      </c>
      <c r="P145" s="186">
        <v>44459.548842592594</v>
      </c>
      <c r="R145" s="1" t="s">
        <v>38</v>
      </c>
      <c r="T145" s="1" t="s">
        <v>74</v>
      </c>
      <c r="U145" s="186">
        <v>44460.548842592594</v>
      </c>
      <c r="V145" s="1" t="s">
        <v>41</v>
      </c>
      <c r="W145" s="1" t="s">
        <v>49</v>
      </c>
      <c r="X145" s="13"/>
      <c r="Y145" s="2">
        <f t="shared" ca="1" si="12"/>
        <v>378</v>
      </c>
      <c r="Z145" s="14">
        <v>1</v>
      </c>
      <c r="AA145" s="1" t="str">
        <f t="shared" ca="1" si="13"/>
        <v>VENCIDO</v>
      </c>
      <c r="AB145" s="1" t="str">
        <f t="shared" si="14"/>
        <v>Dosa</v>
      </c>
      <c r="AC145" s="2" t="str">
        <f t="shared" si="17"/>
        <v xml:space="preserve"> CLEITON </v>
      </c>
      <c r="AD145" s="2">
        <f t="shared" si="15"/>
        <v>5</v>
      </c>
      <c r="AE145" s="2">
        <f t="shared" ca="1" si="16"/>
        <v>-526.12742905092455</v>
      </c>
      <c r="AF145" s="15"/>
    </row>
    <row r="146" spans="1:32" hidden="1">
      <c r="A146" s="1">
        <v>7726556</v>
      </c>
      <c r="B146" s="1" t="s">
        <v>81</v>
      </c>
      <c r="C146" t="s">
        <v>240</v>
      </c>
      <c r="E146" s="2">
        <v>3503000206001</v>
      </c>
      <c r="F146" s="1" t="s">
        <v>29</v>
      </c>
      <c r="G146" s="1" t="s">
        <v>53</v>
      </c>
      <c r="H146" s="1" t="s">
        <v>398</v>
      </c>
      <c r="I146" s="1" t="s">
        <v>399</v>
      </c>
      <c r="J146" s="1" t="s">
        <v>46</v>
      </c>
      <c r="K146" t="s">
        <v>34</v>
      </c>
      <c r="M146" s="1" t="s">
        <v>35</v>
      </c>
      <c r="N146" s="1">
        <v>42318949</v>
      </c>
      <c r="O146" s="1" t="s">
        <v>36</v>
      </c>
      <c r="P146" s="186">
        <v>44459.548831018517</v>
      </c>
      <c r="R146" s="1" t="s">
        <v>38</v>
      </c>
      <c r="T146" s="1" t="s">
        <v>74</v>
      </c>
      <c r="U146" s="186">
        <v>44460.548831018517</v>
      </c>
      <c r="V146" s="1" t="s">
        <v>41</v>
      </c>
      <c r="W146" s="1" t="s">
        <v>49</v>
      </c>
      <c r="X146" s="13"/>
      <c r="Y146" s="2">
        <f t="shared" ca="1" si="12"/>
        <v>378</v>
      </c>
      <c r="Z146" s="14">
        <v>1</v>
      </c>
      <c r="AA146" s="1" t="str">
        <f t="shared" ca="1" si="13"/>
        <v>VENCIDO</v>
      </c>
      <c r="AB146" s="1" t="str">
        <f t="shared" si="14"/>
        <v>Dosa</v>
      </c>
      <c r="AC146" s="2" t="str">
        <f t="shared" si="17"/>
        <v xml:space="preserve"> CLEITON </v>
      </c>
      <c r="AD146" s="2">
        <f t="shared" si="15"/>
        <v>5</v>
      </c>
      <c r="AE146" s="2">
        <f t="shared" ca="1" si="16"/>
        <v>-526.12744062500133</v>
      </c>
      <c r="AF146" s="15"/>
    </row>
    <row r="147" spans="1:32" hidden="1">
      <c r="A147" s="1">
        <v>7726555</v>
      </c>
      <c r="B147" s="1" t="s">
        <v>81</v>
      </c>
      <c r="C147" t="s">
        <v>240</v>
      </c>
      <c r="E147" s="2">
        <v>1620000206001</v>
      </c>
      <c r="F147" s="1" t="s">
        <v>29</v>
      </c>
      <c r="G147" s="1" t="s">
        <v>53</v>
      </c>
      <c r="H147" s="1" t="s">
        <v>402</v>
      </c>
      <c r="I147" s="1" t="s">
        <v>403</v>
      </c>
      <c r="J147" s="1" t="s">
        <v>46</v>
      </c>
      <c r="K147" t="s">
        <v>34</v>
      </c>
      <c r="M147" s="1" t="s">
        <v>35</v>
      </c>
      <c r="N147" s="1">
        <v>42318949</v>
      </c>
      <c r="O147" s="1" t="s">
        <v>36</v>
      </c>
      <c r="P147" s="186">
        <v>44459.548831018517</v>
      </c>
      <c r="R147" s="1" t="s">
        <v>38</v>
      </c>
      <c r="T147" s="1" t="s">
        <v>74</v>
      </c>
      <c r="U147" s="186">
        <v>44460.548831018517</v>
      </c>
      <c r="V147" s="1" t="s">
        <v>41</v>
      </c>
      <c r="W147" s="1" t="s">
        <v>49</v>
      </c>
      <c r="X147" s="13"/>
      <c r="Y147" s="2">
        <f t="shared" ca="1" si="12"/>
        <v>378</v>
      </c>
      <c r="Z147" s="14">
        <v>1</v>
      </c>
      <c r="AA147" s="1" t="str">
        <f t="shared" ca="1" si="13"/>
        <v>VENCIDO</v>
      </c>
      <c r="AB147" s="1" t="str">
        <f t="shared" si="14"/>
        <v>Dosa</v>
      </c>
      <c r="AC147" s="2" t="str">
        <f t="shared" si="17"/>
        <v xml:space="preserve"> CLEITON </v>
      </c>
      <c r="AD147" s="2">
        <f t="shared" si="15"/>
        <v>5</v>
      </c>
      <c r="AE147" s="2">
        <f t="shared" ca="1" si="16"/>
        <v>-526.12744062500133</v>
      </c>
      <c r="AF147" s="15"/>
    </row>
    <row r="148" spans="1:32" hidden="1">
      <c r="A148" s="1">
        <v>7726553</v>
      </c>
      <c r="B148" s="1" t="s">
        <v>81</v>
      </c>
      <c r="C148" t="s">
        <v>240</v>
      </c>
      <c r="E148" s="2">
        <v>67000206001</v>
      </c>
      <c r="F148" s="1" t="s">
        <v>29</v>
      </c>
      <c r="G148" s="1" t="s">
        <v>53</v>
      </c>
      <c r="H148" s="1" t="s">
        <v>404</v>
      </c>
      <c r="I148" s="1" t="s">
        <v>405</v>
      </c>
      <c r="J148" s="1" t="s">
        <v>164</v>
      </c>
      <c r="K148" t="s">
        <v>34</v>
      </c>
      <c r="M148" s="1" t="s">
        <v>35</v>
      </c>
      <c r="N148" s="1">
        <v>42318949</v>
      </c>
      <c r="O148" s="1" t="s">
        <v>36</v>
      </c>
      <c r="P148" s="186">
        <v>44459.548831018517</v>
      </c>
      <c r="R148" s="1" t="s">
        <v>38</v>
      </c>
      <c r="T148" s="1" t="s">
        <v>74</v>
      </c>
      <c r="U148" s="186">
        <v>44460.548831018517</v>
      </c>
      <c r="V148" s="1" t="s">
        <v>41</v>
      </c>
      <c r="W148" s="1" t="s">
        <v>49</v>
      </c>
      <c r="X148" s="13"/>
      <c r="Y148" s="2">
        <f t="shared" ca="1" si="12"/>
        <v>378</v>
      </c>
      <c r="Z148" s="14">
        <v>1</v>
      </c>
      <c r="AA148" s="1" t="str">
        <f t="shared" ca="1" si="13"/>
        <v>VENCIDO</v>
      </c>
      <c r="AB148" s="1" t="str">
        <f t="shared" si="14"/>
        <v>Dosa</v>
      </c>
      <c r="AC148" s="2" t="str">
        <f t="shared" si="17"/>
        <v xml:space="preserve"> ROSEMERE </v>
      </c>
      <c r="AD148" s="2">
        <f t="shared" si="15"/>
        <v>5</v>
      </c>
      <c r="AE148" s="2">
        <f t="shared" ca="1" si="16"/>
        <v>-526.12744062500133</v>
      </c>
      <c r="AF148" s="15"/>
    </row>
    <row r="149" spans="1:32" hidden="1">
      <c r="A149" s="1">
        <v>7726552</v>
      </c>
      <c r="B149" s="1" t="s">
        <v>81</v>
      </c>
      <c r="C149" t="s">
        <v>240</v>
      </c>
      <c r="E149" s="2">
        <v>4997000206001</v>
      </c>
      <c r="F149" s="1" t="s">
        <v>29</v>
      </c>
      <c r="G149" s="1" t="s">
        <v>53</v>
      </c>
      <c r="H149" s="1" t="s">
        <v>406</v>
      </c>
      <c r="I149" s="1" t="s">
        <v>407</v>
      </c>
      <c r="J149" s="1" t="s">
        <v>79</v>
      </c>
      <c r="K149" t="s">
        <v>34</v>
      </c>
      <c r="M149" s="1" t="s">
        <v>35</v>
      </c>
      <c r="N149" s="1">
        <v>42318949</v>
      </c>
      <c r="O149" s="1" t="s">
        <v>36</v>
      </c>
      <c r="P149" s="186">
        <v>44459.548831018517</v>
      </c>
      <c r="R149" s="1" t="s">
        <v>38</v>
      </c>
      <c r="T149" s="1" t="s">
        <v>74</v>
      </c>
      <c r="U149" s="186">
        <v>44460.548831018517</v>
      </c>
      <c r="V149" s="1" t="s">
        <v>41</v>
      </c>
      <c r="W149" s="1" t="s">
        <v>49</v>
      </c>
      <c r="X149" s="13"/>
      <c r="Y149" s="2">
        <f t="shared" ca="1" si="12"/>
        <v>378</v>
      </c>
      <c r="Z149" s="14">
        <v>1</v>
      </c>
      <c r="AA149" s="1" t="str">
        <f t="shared" ca="1" si="13"/>
        <v>VENCIDO</v>
      </c>
      <c r="AB149" s="1" t="str">
        <f t="shared" si="14"/>
        <v>Dosa</v>
      </c>
      <c r="AC149" s="2" t="str">
        <f t="shared" si="17"/>
        <v xml:space="preserve"> ROSEMERE </v>
      </c>
      <c r="AD149" s="2">
        <f t="shared" si="15"/>
        <v>5</v>
      </c>
      <c r="AE149" s="2">
        <f t="shared" ca="1" si="16"/>
        <v>-526.12744062500133</v>
      </c>
      <c r="AF149" s="15"/>
    </row>
    <row r="150" spans="1:32" hidden="1">
      <c r="A150" s="1">
        <v>7726550</v>
      </c>
      <c r="B150" s="1" t="s">
        <v>81</v>
      </c>
      <c r="C150" t="s">
        <v>240</v>
      </c>
      <c r="E150" s="2">
        <v>4118000206001</v>
      </c>
      <c r="F150" s="1" t="s">
        <v>29</v>
      </c>
      <c r="G150" s="1" t="s">
        <v>53</v>
      </c>
      <c r="H150" s="1" t="s">
        <v>71</v>
      </c>
      <c r="I150" s="1" t="s">
        <v>72</v>
      </c>
      <c r="J150" s="1" t="s">
        <v>46</v>
      </c>
      <c r="K150" t="s">
        <v>34</v>
      </c>
      <c r="M150" s="1" t="s">
        <v>35</v>
      </c>
      <c r="N150" s="1">
        <v>42318949</v>
      </c>
      <c r="O150" s="1" t="s">
        <v>36</v>
      </c>
      <c r="P150" s="186">
        <v>44459.548831018517</v>
      </c>
      <c r="R150" s="1" t="s">
        <v>38</v>
      </c>
      <c r="T150" s="1" t="s">
        <v>74</v>
      </c>
      <c r="U150" s="186">
        <v>44460.548831018517</v>
      </c>
      <c r="V150" s="1" t="s">
        <v>41</v>
      </c>
      <c r="W150" s="1" t="s">
        <v>49</v>
      </c>
      <c r="X150" s="13"/>
      <c r="Y150" s="2">
        <f t="shared" ca="1" si="12"/>
        <v>378</v>
      </c>
      <c r="Z150" s="14">
        <v>1</v>
      </c>
      <c r="AA150" s="1" t="str">
        <f t="shared" ca="1" si="13"/>
        <v>VENCIDO</v>
      </c>
      <c r="AB150" s="1" t="str">
        <f t="shared" si="14"/>
        <v>Dosa</v>
      </c>
      <c r="AC150" s="2" t="str">
        <f t="shared" si="17"/>
        <v xml:space="preserve"> CLEITON </v>
      </c>
      <c r="AD150" s="2">
        <f t="shared" si="15"/>
        <v>5</v>
      </c>
      <c r="AE150" s="2">
        <f t="shared" ca="1" si="16"/>
        <v>-526.12744062500133</v>
      </c>
      <c r="AF150" s="15"/>
    </row>
    <row r="151" spans="1:32" hidden="1">
      <c r="A151" s="1">
        <v>7726549</v>
      </c>
      <c r="B151" s="1" t="s">
        <v>81</v>
      </c>
      <c r="C151" t="s">
        <v>240</v>
      </c>
      <c r="E151" s="2">
        <v>1245000206001</v>
      </c>
      <c r="F151" s="1" t="s">
        <v>29</v>
      </c>
      <c r="G151" s="1" t="s">
        <v>53</v>
      </c>
      <c r="H151" s="1" t="s">
        <v>408</v>
      </c>
      <c r="I151" s="1" t="s">
        <v>409</v>
      </c>
      <c r="J151" s="1" t="s">
        <v>46</v>
      </c>
      <c r="K151" t="s">
        <v>34</v>
      </c>
      <c r="M151" s="1" t="s">
        <v>35</v>
      </c>
      <c r="N151" s="1">
        <v>42318949</v>
      </c>
      <c r="O151" s="1" t="s">
        <v>36</v>
      </c>
      <c r="P151" s="186">
        <v>44459.548819444448</v>
      </c>
      <c r="R151" s="1" t="s">
        <v>38</v>
      </c>
      <c r="T151" s="1" t="s">
        <v>74</v>
      </c>
      <c r="U151" s="186">
        <v>44460.548819444448</v>
      </c>
      <c r="V151" s="1" t="s">
        <v>41</v>
      </c>
      <c r="W151" s="1" t="s">
        <v>49</v>
      </c>
      <c r="X151" s="13"/>
      <c r="Y151" s="2">
        <f t="shared" ca="1" si="12"/>
        <v>378</v>
      </c>
      <c r="Z151" s="14">
        <v>1</v>
      </c>
      <c r="AA151" s="1" t="str">
        <f t="shared" ca="1" si="13"/>
        <v>VENCIDO</v>
      </c>
      <c r="AB151" s="1" t="str">
        <f t="shared" si="14"/>
        <v>Dosa</v>
      </c>
      <c r="AC151" s="2" t="str">
        <f t="shared" si="17"/>
        <v xml:space="preserve"> CLEITON </v>
      </c>
      <c r="AD151" s="2">
        <f t="shared" si="15"/>
        <v>5</v>
      </c>
      <c r="AE151" s="2">
        <f t="shared" ca="1" si="16"/>
        <v>-526.12745219907083</v>
      </c>
      <c r="AF151" s="15"/>
    </row>
    <row r="152" spans="1:32">
      <c r="A152" s="1">
        <v>7726548</v>
      </c>
      <c r="B152" s="1" t="s">
        <v>81</v>
      </c>
      <c r="C152" t="s">
        <v>240</v>
      </c>
      <c r="E152" s="2">
        <v>981000206001</v>
      </c>
      <c r="F152" s="1" t="s">
        <v>29</v>
      </c>
      <c r="G152" s="1" t="s">
        <v>53</v>
      </c>
      <c r="H152" s="1" t="s">
        <v>410</v>
      </c>
      <c r="I152" s="1" t="s">
        <v>411</v>
      </c>
      <c r="J152" s="1" t="s">
        <v>85</v>
      </c>
      <c r="K152" t="s">
        <v>34</v>
      </c>
      <c r="M152" s="1" t="s">
        <v>35</v>
      </c>
      <c r="N152" s="1">
        <v>42318949</v>
      </c>
      <c r="O152" s="1" t="s">
        <v>36</v>
      </c>
      <c r="P152" s="186">
        <v>44459.548819444448</v>
      </c>
      <c r="R152" s="1" t="s">
        <v>38</v>
      </c>
      <c r="T152" s="1" t="s">
        <v>74</v>
      </c>
      <c r="U152" s="186">
        <v>44460.548819444448</v>
      </c>
      <c r="V152" s="1" t="s">
        <v>41</v>
      </c>
      <c r="W152" s="1" t="s">
        <v>49</v>
      </c>
      <c r="X152" s="13"/>
      <c r="Y152" s="2">
        <f t="shared" ca="1" si="12"/>
        <v>378</v>
      </c>
      <c r="Z152" s="14">
        <v>1</v>
      </c>
      <c r="AA152" s="1" t="str">
        <f t="shared" ca="1" si="13"/>
        <v>VENCIDO</v>
      </c>
      <c r="AB152" s="1" t="str">
        <f t="shared" si="14"/>
        <v>Dosa</v>
      </c>
      <c r="AC152" s="2" t="str">
        <f t="shared" si="17"/>
        <v xml:space="preserve"> RINALDO </v>
      </c>
      <c r="AD152" s="2">
        <f t="shared" si="15"/>
        <v>5</v>
      </c>
      <c r="AE152" s="2">
        <f t="shared" ca="1" si="16"/>
        <v>-526.12745219907083</v>
      </c>
      <c r="AF152" s="15"/>
    </row>
    <row r="153" spans="1:32" hidden="1">
      <c r="A153" s="1">
        <v>7726545</v>
      </c>
      <c r="B153" s="1" t="s">
        <v>81</v>
      </c>
      <c r="C153" t="s">
        <v>240</v>
      </c>
      <c r="E153" s="2">
        <v>5816000206001</v>
      </c>
      <c r="F153" s="1" t="s">
        <v>29</v>
      </c>
      <c r="G153" s="1" t="s">
        <v>53</v>
      </c>
      <c r="H153" s="1" t="s">
        <v>412</v>
      </c>
      <c r="I153" s="1" t="s">
        <v>413</v>
      </c>
      <c r="J153" s="1" t="s">
        <v>46</v>
      </c>
      <c r="K153" t="s">
        <v>34</v>
      </c>
      <c r="M153" s="1" t="s">
        <v>35</v>
      </c>
      <c r="N153" s="1">
        <v>42318949</v>
      </c>
      <c r="O153" s="1" t="s">
        <v>36</v>
      </c>
      <c r="P153" s="186">
        <v>44459.548819444448</v>
      </c>
      <c r="R153" s="1" t="s">
        <v>38</v>
      </c>
      <c r="T153" s="1" t="s">
        <v>74</v>
      </c>
      <c r="U153" s="186">
        <v>44460.548819444448</v>
      </c>
      <c r="V153" s="1" t="s">
        <v>41</v>
      </c>
      <c r="W153" s="1" t="s">
        <v>49</v>
      </c>
      <c r="X153" s="13"/>
      <c r="Y153" s="2">
        <f t="shared" ca="1" si="12"/>
        <v>378</v>
      </c>
      <c r="Z153" s="14">
        <v>1</v>
      </c>
      <c r="AA153" s="1" t="str">
        <f t="shared" ca="1" si="13"/>
        <v>VENCIDO</v>
      </c>
      <c r="AB153" s="1" t="str">
        <f t="shared" si="14"/>
        <v>Dosa</v>
      </c>
      <c r="AC153" s="2" t="str">
        <f t="shared" si="17"/>
        <v xml:space="preserve"> CLEITON </v>
      </c>
      <c r="AD153" s="2">
        <f t="shared" si="15"/>
        <v>5</v>
      </c>
      <c r="AE153" s="2">
        <f t="shared" ca="1" si="16"/>
        <v>-526.12745219907083</v>
      </c>
      <c r="AF153" s="15"/>
    </row>
    <row r="154" spans="1:32" hidden="1">
      <c r="A154" s="1">
        <v>7726543</v>
      </c>
      <c r="B154" s="1" t="s">
        <v>81</v>
      </c>
      <c r="C154" t="s">
        <v>240</v>
      </c>
      <c r="E154" s="2">
        <v>1666000206001</v>
      </c>
      <c r="F154" s="1" t="s">
        <v>29</v>
      </c>
      <c r="G154" s="1" t="s">
        <v>53</v>
      </c>
      <c r="H154" s="1" t="s">
        <v>414</v>
      </c>
      <c r="I154" s="1" t="s">
        <v>415</v>
      </c>
      <c r="J154" s="1" t="s">
        <v>79</v>
      </c>
      <c r="K154" t="s">
        <v>34</v>
      </c>
      <c r="M154" s="1" t="s">
        <v>35</v>
      </c>
      <c r="N154" s="1">
        <v>42318949</v>
      </c>
      <c r="O154" s="1" t="s">
        <v>36</v>
      </c>
      <c r="P154" s="186">
        <v>44459.548819444448</v>
      </c>
      <c r="R154" s="1" t="s">
        <v>38</v>
      </c>
      <c r="T154" s="1" t="s">
        <v>74</v>
      </c>
      <c r="U154" s="186">
        <v>44460.548819444448</v>
      </c>
      <c r="V154" s="1" t="s">
        <v>41</v>
      </c>
      <c r="W154" s="1" t="s">
        <v>49</v>
      </c>
      <c r="X154" s="13"/>
      <c r="Y154" s="2">
        <f t="shared" ca="1" si="12"/>
        <v>378</v>
      </c>
      <c r="Z154" s="14">
        <v>1</v>
      </c>
      <c r="AA154" s="1" t="str">
        <f t="shared" ca="1" si="13"/>
        <v>VENCIDO</v>
      </c>
      <c r="AB154" s="1" t="str">
        <f t="shared" si="14"/>
        <v>Dosa</v>
      </c>
      <c r="AC154" s="2" t="str">
        <f t="shared" si="17"/>
        <v xml:space="preserve"> ROSEMERE </v>
      </c>
      <c r="AD154" s="2">
        <f t="shared" si="15"/>
        <v>5</v>
      </c>
      <c r="AE154" s="2">
        <f t="shared" ca="1" si="16"/>
        <v>-526.12745219907083</v>
      </c>
      <c r="AF154" s="15"/>
    </row>
    <row r="155" spans="1:32" hidden="1">
      <c r="A155" s="1">
        <v>7726541</v>
      </c>
      <c r="B155" s="1" t="s">
        <v>81</v>
      </c>
      <c r="C155" t="s">
        <v>240</v>
      </c>
      <c r="E155" s="2">
        <v>1739000206001</v>
      </c>
      <c r="F155" s="1" t="s">
        <v>29</v>
      </c>
      <c r="G155" s="1" t="s">
        <v>53</v>
      </c>
      <c r="H155" s="1" t="s">
        <v>162</v>
      </c>
      <c r="I155" s="1" t="s">
        <v>163</v>
      </c>
      <c r="J155" s="1" t="s">
        <v>164</v>
      </c>
      <c r="K155" t="s">
        <v>34</v>
      </c>
      <c r="M155" s="1" t="s">
        <v>35</v>
      </c>
      <c r="N155" s="1">
        <v>42318949</v>
      </c>
      <c r="O155" s="1" t="s">
        <v>36</v>
      </c>
      <c r="P155" s="186">
        <v>44459.548807870371</v>
      </c>
      <c r="R155" s="1" t="s">
        <v>38</v>
      </c>
      <c r="T155" s="1" t="s">
        <v>74</v>
      </c>
      <c r="U155" s="186">
        <v>44460.548807870371</v>
      </c>
      <c r="V155" s="1" t="s">
        <v>41</v>
      </c>
      <c r="W155" s="1" t="s">
        <v>49</v>
      </c>
      <c r="X155" s="13"/>
      <c r="Y155" s="2">
        <f t="shared" ca="1" si="12"/>
        <v>378</v>
      </c>
      <c r="Z155" s="14">
        <v>1</v>
      </c>
      <c r="AA155" s="1" t="str">
        <f t="shared" ca="1" si="13"/>
        <v>VENCIDO</v>
      </c>
      <c r="AB155" s="1" t="str">
        <f t="shared" si="14"/>
        <v>Dosa</v>
      </c>
      <c r="AC155" s="2" t="str">
        <f t="shared" si="17"/>
        <v xml:space="preserve"> ROSEMERE </v>
      </c>
      <c r="AD155" s="2">
        <f t="shared" si="15"/>
        <v>5</v>
      </c>
      <c r="AE155" s="2">
        <f t="shared" ca="1" si="16"/>
        <v>-526.12746377314761</v>
      </c>
      <c r="AF155" s="15"/>
    </row>
    <row r="156" spans="1:32">
      <c r="A156" s="1">
        <v>7726540</v>
      </c>
      <c r="B156" s="1" t="s">
        <v>81</v>
      </c>
      <c r="C156" t="s">
        <v>240</v>
      </c>
      <c r="E156" s="2">
        <v>2437000206001</v>
      </c>
      <c r="F156" s="1" t="s">
        <v>29</v>
      </c>
      <c r="G156" s="1" t="s">
        <v>53</v>
      </c>
      <c r="H156" s="1" t="s">
        <v>416</v>
      </c>
      <c r="I156" s="1" t="s">
        <v>417</v>
      </c>
      <c r="J156" s="1" t="s">
        <v>211</v>
      </c>
      <c r="K156" t="s">
        <v>34</v>
      </c>
      <c r="M156" s="1" t="s">
        <v>35</v>
      </c>
      <c r="N156" s="1">
        <v>42318949</v>
      </c>
      <c r="O156" s="1" t="s">
        <v>36</v>
      </c>
      <c r="P156" s="186">
        <v>44459.548807870371</v>
      </c>
      <c r="R156" s="1" t="s">
        <v>38</v>
      </c>
      <c r="T156" s="1" t="s">
        <v>74</v>
      </c>
      <c r="U156" s="186">
        <v>44460.548807870371</v>
      </c>
      <c r="V156" s="1" t="s">
        <v>41</v>
      </c>
      <c r="W156" s="1" t="s">
        <v>49</v>
      </c>
      <c r="X156" s="13"/>
      <c r="Y156" s="2">
        <f t="shared" ca="1" si="12"/>
        <v>378</v>
      </c>
      <c r="Z156" s="14">
        <v>1</v>
      </c>
      <c r="AA156" s="1" t="str">
        <f t="shared" ca="1" si="13"/>
        <v>VENCIDO</v>
      </c>
      <c r="AB156" s="1" t="str">
        <f t="shared" si="14"/>
        <v>Dosa</v>
      </c>
      <c r="AC156" s="2" t="str">
        <f t="shared" si="17"/>
        <v xml:space="preserve"> RINALDO </v>
      </c>
      <c r="AD156" s="2">
        <f t="shared" si="15"/>
        <v>5</v>
      </c>
      <c r="AE156" s="2">
        <f t="shared" ca="1" si="16"/>
        <v>-526.12746377314761</v>
      </c>
      <c r="AF156" s="15"/>
    </row>
    <row r="157" spans="1:32" hidden="1">
      <c r="A157" s="1">
        <v>7726539</v>
      </c>
      <c r="B157" s="1" t="s">
        <v>81</v>
      </c>
      <c r="C157" t="s">
        <v>240</v>
      </c>
      <c r="E157" s="2">
        <v>2889000206001</v>
      </c>
      <c r="F157" s="1" t="s">
        <v>29</v>
      </c>
      <c r="G157" s="1" t="s">
        <v>53</v>
      </c>
      <c r="H157" s="1" t="s">
        <v>418</v>
      </c>
      <c r="I157" s="1" t="s">
        <v>419</v>
      </c>
      <c r="J157" s="1" t="s">
        <v>46</v>
      </c>
      <c r="K157" t="s">
        <v>34</v>
      </c>
      <c r="M157" s="1" t="s">
        <v>35</v>
      </c>
      <c r="N157" s="1">
        <v>42318949</v>
      </c>
      <c r="O157" s="1" t="s">
        <v>36</v>
      </c>
      <c r="P157" s="186">
        <v>44459.548807870371</v>
      </c>
      <c r="R157" s="1" t="s">
        <v>38</v>
      </c>
      <c r="T157" s="1" t="s">
        <v>74</v>
      </c>
      <c r="U157" s="186">
        <v>44460.548807870371</v>
      </c>
      <c r="V157" s="1" t="s">
        <v>41</v>
      </c>
      <c r="W157" s="1" t="s">
        <v>49</v>
      </c>
      <c r="X157" s="13"/>
      <c r="Y157" s="2">
        <f t="shared" ca="1" si="12"/>
        <v>378</v>
      </c>
      <c r="Z157" s="14">
        <v>1</v>
      </c>
      <c r="AA157" s="1" t="str">
        <f t="shared" ca="1" si="13"/>
        <v>VENCIDO</v>
      </c>
      <c r="AB157" s="1" t="str">
        <f t="shared" si="14"/>
        <v>Dosa</v>
      </c>
      <c r="AC157" s="2" t="str">
        <f t="shared" si="17"/>
        <v xml:space="preserve"> CLEITON </v>
      </c>
      <c r="AD157" s="2">
        <f t="shared" si="15"/>
        <v>5</v>
      </c>
      <c r="AE157" s="2">
        <f t="shared" ca="1" si="16"/>
        <v>-526.12746377314761</v>
      </c>
      <c r="AF157" s="15"/>
    </row>
    <row r="158" spans="1:32">
      <c r="A158" s="1">
        <v>7726538</v>
      </c>
      <c r="B158" s="1" t="s">
        <v>81</v>
      </c>
      <c r="C158" t="s">
        <v>240</v>
      </c>
      <c r="E158" s="2">
        <v>605000206001</v>
      </c>
      <c r="F158" s="1" t="s">
        <v>29</v>
      </c>
      <c r="G158" s="1" t="s">
        <v>53</v>
      </c>
      <c r="H158" s="1" t="s">
        <v>420</v>
      </c>
      <c r="I158" s="1" t="s">
        <v>421</v>
      </c>
      <c r="J158" s="1" t="s">
        <v>90</v>
      </c>
      <c r="K158" t="s">
        <v>34</v>
      </c>
      <c r="M158" s="1" t="s">
        <v>35</v>
      </c>
      <c r="N158" s="1">
        <v>42318949</v>
      </c>
      <c r="O158" s="1" t="s">
        <v>36</v>
      </c>
      <c r="P158" s="186">
        <v>44459.548807870371</v>
      </c>
      <c r="R158" s="1" t="s">
        <v>38</v>
      </c>
      <c r="T158" s="1" t="s">
        <v>74</v>
      </c>
      <c r="U158" s="186">
        <v>44460.548807870371</v>
      </c>
      <c r="V158" s="1" t="s">
        <v>41</v>
      </c>
      <c r="W158" s="1" t="s">
        <v>49</v>
      </c>
      <c r="X158" s="13"/>
      <c r="Y158" s="2">
        <f t="shared" ca="1" si="12"/>
        <v>378</v>
      </c>
      <c r="Z158" s="14">
        <v>1</v>
      </c>
      <c r="AA158" s="1" t="str">
        <f t="shared" ca="1" si="13"/>
        <v>VENCIDO</v>
      </c>
      <c r="AB158" s="1" t="str">
        <f t="shared" si="14"/>
        <v>Dosa</v>
      </c>
      <c r="AC158" s="2" t="str">
        <f t="shared" si="17"/>
        <v xml:space="preserve"> RINALDO </v>
      </c>
      <c r="AD158" s="2">
        <f t="shared" si="15"/>
        <v>5</v>
      </c>
      <c r="AE158" s="2">
        <f t="shared" ca="1" si="16"/>
        <v>-526.12746377314761</v>
      </c>
      <c r="AF158" s="15"/>
    </row>
    <row r="159" spans="1:32" hidden="1">
      <c r="A159" s="1">
        <v>7726534</v>
      </c>
      <c r="B159" s="1" t="s">
        <v>81</v>
      </c>
      <c r="C159" t="s">
        <v>240</v>
      </c>
      <c r="E159" s="2">
        <v>721000206001</v>
      </c>
      <c r="F159" s="1" t="s">
        <v>29</v>
      </c>
      <c r="G159" s="1" t="s">
        <v>53</v>
      </c>
      <c r="H159" s="1" t="s">
        <v>422</v>
      </c>
      <c r="I159" s="1" t="s">
        <v>423</v>
      </c>
      <c r="J159" s="1" t="s">
        <v>79</v>
      </c>
      <c r="K159" t="s">
        <v>34</v>
      </c>
      <c r="M159" s="1" t="s">
        <v>35</v>
      </c>
      <c r="N159" s="1">
        <v>42318949</v>
      </c>
      <c r="O159" s="1" t="s">
        <v>36</v>
      </c>
      <c r="P159" s="186">
        <v>44459.548796296294</v>
      </c>
      <c r="R159" s="1" t="s">
        <v>38</v>
      </c>
      <c r="T159" s="1" t="s">
        <v>74</v>
      </c>
      <c r="U159" s="186">
        <v>44460.548796296294</v>
      </c>
      <c r="V159" s="1" t="s">
        <v>41</v>
      </c>
      <c r="W159" s="1" t="s">
        <v>49</v>
      </c>
      <c r="X159" s="13"/>
      <c r="Y159" s="2">
        <f t="shared" ca="1" si="12"/>
        <v>378</v>
      </c>
      <c r="Z159" s="14">
        <v>1</v>
      </c>
      <c r="AA159" s="1" t="str">
        <f t="shared" ca="1" si="13"/>
        <v>VENCIDO</v>
      </c>
      <c r="AB159" s="1" t="str">
        <f t="shared" si="14"/>
        <v>Dosa</v>
      </c>
      <c r="AC159" s="2" t="str">
        <f t="shared" si="17"/>
        <v xml:space="preserve"> ROSEMERE </v>
      </c>
      <c r="AD159" s="2">
        <f t="shared" si="15"/>
        <v>5</v>
      </c>
      <c r="AE159" s="2">
        <f t="shared" ca="1" si="16"/>
        <v>-526.12747534722439</v>
      </c>
      <c r="AF159" s="15"/>
    </row>
    <row r="160" spans="1:32" hidden="1">
      <c r="A160" s="1">
        <v>7726532</v>
      </c>
      <c r="B160" s="1" t="s">
        <v>81</v>
      </c>
      <c r="C160" t="s">
        <v>240</v>
      </c>
      <c r="E160" s="2">
        <v>233000206001</v>
      </c>
      <c r="F160" s="1" t="s">
        <v>29</v>
      </c>
      <c r="G160" s="1" t="s">
        <v>53</v>
      </c>
      <c r="H160" s="1" t="s">
        <v>424</v>
      </c>
      <c r="I160" s="1" t="s">
        <v>425</v>
      </c>
      <c r="J160" s="1" t="s">
        <v>261</v>
      </c>
      <c r="K160" t="s">
        <v>34</v>
      </c>
      <c r="M160" s="1" t="s">
        <v>35</v>
      </c>
      <c r="N160" s="1">
        <v>42318949</v>
      </c>
      <c r="O160" s="1" t="s">
        <v>36</v>
      </c>
      <c r="P160" s="186">
        <v>44459.548796296294</v>
      </c>
      <c r="R160" s="1" t="s">
        <v>38</v>
      </c>
      <c r="T160" s="1" t="s">
        <v>74</v>
      </c>
      <c r="U160" s="186">
        <v>44460.548796296294</v>
      </c>
      <c r="V160" s="1" t="s">
        <v>41</v>
      </c>
      <c r="W160" s="1" t="s">
        <v>49</v>
      </c>
      <c r="X160" s="13"/>
      <c r="Y160" s="2">
        <f t="shared" ca="1" si="12"/>
        <v>378</v>
      </c>
      <c r="Z160" s="14">
        <v>1</v>
      </c>
      <c r="AA160" s="1" t="str">
        <f t="shared" ca="1" si="13"/>
        <v>VENCIDO</v>
      </c>
      <c r="AB160" s="1" t="str">
        <f t="shared" si="14"/>
        <v>Dosa</v>
      </c>
      <c r="AC160" s="2" t="str">
        <f t="shared" si="17"/>
        <v xml:space="preserve"> CRISTINA </v>
      </c>
      <c r="AD160" s="2">
        <f t="shared" si="15"/>
        <v>5</v>
      </c>
      <c r="AE160" s="2">
        <f t="shared" ca="1" si="16"/>
        <v>-526.12747534722439</v>
      </c>
      <c r="AF160" s="15"/>
    </row>
    <row r="161" spans="1:32" hidden="1">
      <c r="A161" s="1">
        <v>7726531</v>
      </c>
      <c r="B161" s="1" t="s">
        <v>81</v>
      </c>
      <c r="C161" t="s">
        <v>240</v>
      </c>
      <c r="E161" s="2">
        <v>4076000206001</v>
      </c>
      <c r="F161" s="1" t="s">
        <v>29</v>
      </c>
      <c r="G161" s="1" t="s">
        <v>53</v>
      </c>
      <c r="H161" s="1" t="s">
        <v>426</v>
      </c>
      <c r="I161" s="1" t="s">
        <v>427</v>
      </c>
      <c r="J161" s="1" t="s">
        <v>79</v>
      </c>
      <c r="K161" t="s">
        <v>34</v>
      </c>
      <c r="M161" s="1" t="s">
        <v>35</v>
      </c>
      <c r="N161" s="1">
        <v>42318949</v>
      </c>
      <c r="O161" s="1" t="s">
        <v>36</v>
      </c>
      <c r="P161" s="186">
        <v>44459.548796296294</v>
      </c>
      <c r="R161" s="1" t="s">
        <v>38</v>
      </c>
      <c r="T161" s="1" t="s">
        <v>74</v>
      </c>
      <c r="U161" s="186">
        <v>44460.548796296294</v>
      </c>
      <c r="V161" s="1" t="s">
        <v>41</v>
      </c>
      <c r="W161" s="1" t="s">
        <v>49</v>
      </c>
      <c r="X161" s="13"/>
      <c r="Y161" s="2">
        <f t="shared" ca="1" si="12"/>
        <v>378</v>
      </c>
      <c r="Z161" s="14">
        <v>1</v>
      </c>
      <c r="AA161" s="1" t="str">
        <f t="shared" ca="1" si="13"/>
        <v>VENCIDO</v>
      </c>
      <c r="AB161" s="1" t="str">
        <f t="shared" si="14"/>
        <v>Dosa</v>
      </c>
      <c r="AC161" s="2" t="str">
        <f t="shared" si="17"/>
        <v xml:space="preserve"> ROSEMERE </v>
      </c>
      <c r="AD161" s="2">
        <f t="shared" si="15"/>
        <v>5</v>
      </c>
      <c r="AE161" s="2">
        <f t="shared" ca="1" si="16"/>
        <v>-526.12747534722439</v>
      </c>
      <c r="AF161" s="15"/>
    </row>
    <row r="162" spans="1:32" hidden="1">
      <c r="A162" s="1">
        <v>7726528</v>
      </c>
      <c r="B162" s="1" t="s">
        <v>81</v>
      </c>
      <c r="C162" t="s">
        <v>240</v>
      </c>
      <c r="E162" s="2">
        <v>934000206001</v>
      </c>
      <c r="F162" s="1" t="s">
        <v>29</v>
      </c>
      <c r="G162" s="1" t="s">
        <v>53</v>
      </c>
      <c r="H162" s="1" t="s">
        <v>428</v>
      </c>
      <c r="I162" s="1" t="s">
        <v>429</v>
      </c>
      <c r="J162" s="1" t="s">
        <v>46</v>
      </c>
      <c r="K162" t="s">
        <v>34</v>
      </c>
      <c r="M162" s="1" t="s">
        <v>35</v>
      </c>
      <c r="N162" s="1">
        <v>42318949</v>
      </c>
      <c r="O162" s="1" t="s">
        <v>36</v>
      </c>
      <c r="P162" s="186">
        <v>44459.548784722225</v>
      </c>
      <c r="R162" s="1" t="s">
        <v>38</v>
      </c>
      <c r="T162" s="1" t="s">
        <v>74</v>
      </c>
      <c r="U162" s="186">
        <v>44460.548784722225</v>
      </c>
      <c r="V162" s="1" t="s">
        <v>41</v>
      </c>
      <c r="W162" s="1" t="s">
        <v>49</v>
      </c>
      <c r="X162" s="13"/>
      <c r="Y162" s="2">
        <f t="shared" ca="1" si="12"/>
        <v>378</v>
      </c>
      <c r="Z162" s="14">
        <v>1</v>
      </c>
      <c r="AA162" s="1" t="str">
        <f t="shared" ca="1" si="13"/>
        <v>VENCIDO</v>
      </c>
      <c r="AB162" s="1" t="str">
        <f t="shared" si="14"/>
        <v>Dosa</v>
      </c>
      <c r="AC162" s="2" t="str">
        <f t="shared" si="17"/>
        <v xml:space="preserve"> CLEITON </v>
      </c>
      <c r="AD162" s="2">
        <f t="shared" si="15"/>
        <v>5</v>
      </c>
      <c r="AE162" s="2">
        <f t="shared" ca="1" si="16"/>
        <v>-526.12748692129389</v>
      </c>
      <c r="AF162" s="15"/>
    </row>
    <row r="163" spans="1:32" hidden="1">
      <c r="A163" s="1">
        <v>7726527</v>
      </c>
      <c r="B163" s="1" t="s">
        <v>81</v>
      </c>
      <c r="C163" t="s">
        <v>240</v>
      </c>
      <c r="E163" s="2">
        <v>5742000206001</v>
      </c>
      <c r="F163" s="1" t="s">
        <v>29</v>
      </c>
      <c r="G163" s="1" t="s">
        <v>53</v>
      </c>
      <c r="H163" s="1" t="s">
        <v>430</v>
      </c>
      <c r="I163" s="1" t="s">
        <v>431</v>
      </c>
      <c r="J163" s="1" t="s">
        <v>79</v>
      </c>
      <c r="K163" t="s">
        <v>34</v>
      </c>
      <c r="M163" s="1" t="s">
        <v>35</v>
      </c>
      <c r="N163" s="1">
        <v>42318949</v>
      </c>
      <c r="O163" s="1" t="s">
        <v>36</v>
      </c>
      <c r="P163" s="186">
        <v>44459.548784722225</v>
      </c>
      <c r="R163" s="1" t="s">
        <v>38</v>
      </c>
      <c r="T163" s="1" t="s">
        <v>74</v>
      </c>
      <c r="U163" s="186">
        <v>44460.548784722225</v>
      </c>
      <c r="V163" s="1" t="s">
        <v>41</v>
      </c>
      <c r="W163" s="1" t="s">
        <v>49</v>
      </c>
      <c r="X163" s="13"/>
      <c r="Y163" s="2">
        <f t="shared" ca="1" si="12"/>
        <v>378</v>
      </c>
      <c r="Z163" s="14">
        <v>1</v>
      </c>
      <c r="AA163" s="1" t="str">
        <f t="shared" ca="1" si="13"/>
        <v>VENCIDO</v>
      </c>
      <c r="AB163" s="1" t="str">
        <f t="shared" si="14"/>
        <v>Dosa</v>
      </c>
      <c r="AC163" s="2" t="str">
        <f t="shared" si="17"/>
        <v xml:space="preserve"> ROSEMERE </v>
      </c>
      <c r="AD163" s="2">
        <f t="shared" si="15"/>
        <v>5</v>
      </c>
      <c r="AE163" s="2">
        <f t="shared" ca="1" si="16"/>
        <v>-526.12748692129389</v>
      </c>
      <c r="AF163" s="15"/>
    </row>
    <row r="164" spans="1:32" hidden="1">
      <c r="A164" s="1">
        <v>7726525</v>
      </c>
      <c r="B164" s="1" t="s">
        <v>81</v>
      </c>
      <c r="C164" t="s">
        <v>240</v>
      </c>
      <c r="E164" s="2">
        <v>446000206001</v>
      </c>
      <c r="F164" s="1" t="s">
        <v>29</v>
      </c>
      <c r="G164" s="1" t="s">
        <v>53</v>
      </c>
      <c r="H164" s="1" t="s">
        <v>432</v>
      </c>
      <c r="I164" s="1" t="s">
        <v>433</v>
      </c>
      <c r="J164" s="1" t="s">
        <v>110</v>
      </c>
      <c r="K164" t="s">
        <v>34</v>
      </c>
      <c r="M164" s="1" t="s">
        <v>35</v>
      </c>
      <c r="N164" s="1">
        <v>42318949</v>
      </c>
      <c r="O164" s="1" t="s">
        <v>36</v>
      </c>
      <c r="P164" s="186">
        <v>44459.548784722225</v>
      </c>
      <c r="R164" s="1" t="s">
        <v>38</v>
      </c>
      <c r="T164" s="1" t="s">
        <v>74</v>
      </c>
      <c r="U164" s="186">
        <v>44460.548784722225</v>
      </c>
      <c r="V164" s="1" t="s">
        <v>41</v>
      </c>
      <c r="W164" s="1" t="s">
        <v>49</v>
      </c>
      <c r="X164" s="13"/>
      <c r="Y164" s="2">
        <f t="shared" ca="1" si="12"/>
        <v>378</v>
      </c>
      <c r="Z164" s="14">
        <v>1</v>
      </c>
      <c r="AA164" s="1" t="str">
        <f t="shared" ca="1" si="13"/>
        <v>VENCIDO</v>
      </c>
      <c r="AB164" s="1" t="str">
        <f t="shared" si="14"/>
        <v>Dosa</v>
      </c>
      <c r="AC164" s="2" t="str">
        <f t="shared" si="17"/>
        <v xml:space="preserve"> CRISTINA </v>
      </c>
      <c r="AD164" s="2">
        <f t="shared" si="15"/>
        <v>5</v>
      </c>
      <c r="AE164" s="2">
        <f t="shared" ca="1" si="16"/>
        <v>-526.12748692129389</v>
      </c>
      <c r="AF164" s="15"/>
    </row>
    <row r="165" spans="1:32">
      <c r="A165" s="1">
        <v>7726524</v>
      </c>
      <c r="B165" s="1" t="s">
        <v>81</v>
      </c>
      <c r="C165" t="s">
        <v>240</v>
      </c>
      <c r="E165" s="2">
        <v>570000206001</v>
      </c>
      <c r="F165" s="1" t="s">
        <v>29</v>
      </c>
      <c r="G165" s="1" t="s">
        <v>53</v>
      </c>
      <c r="H165" s="1" t="s">
        <v>434</v>
      </c>
      <c r="I165" s="1" t="s">
        <v>435</v>
      </c>
      <c r="J165" s="1" t="s">
        <v>148</v>
      </c>
      <c r="K165" t="s">
        <v>34</v>
      </c>
      <c r="M165" s="1" t="s">
        <v>35</v>
      </c>
      <c r="N165" s="1">
        <v>42318949</v>
      </c>
      <c r="O165" s="1" t="s">
        <v>36</v>
      </c>
      <c r="P165" s="186">
        <v>44459.548784722225</v>
      </c>
      <c r="R165" s="1" t="s">
        <v>38</v>
      </c>
      <c r="T165" s="1" t="s">
        <v>74</v>
      </c>
      <c r="U165" s="186">
        <v>44460.548784722225</v>
      </c>
      <c r="V165" s="1" t="s">
        <v>41</v>
      </c>
      <c r="W165" s="1" t="s">
        <v>49</v>
      </c>
      <c r="X165" s="13"/>
      <c r="Y165" s="2">
        <f t="shared" ca="1" si="12"/>
        <v>378</v>
      </c>
      <c r="Z165" s="14">
        <v>1</v>
      </c>
      <c r="AA165" s="1" t="str">
        <f t="shared" ca="1" si="13"/>
        <v>VENCIDO</v>
      </c>
      <c r="AB165" s="1" t="str">
        <f t="shared" si="14"/>
        <v>Dosa</v>
      </c>
      <c r="AC165" s="2" t="str">
        <f t="shared" si="17"/>
        <v xml:space="preserve"> RINALDO </v>
      </c>
      <c r="AD165" s="2">
        <f t="shared" si="15"/>
        <v>5</v>
      </c>
      <c r="AE165" s="2">
        <f t="shared" ca="1" si="16"/>
        <v>-526.12748692129389</v>
      </c>
      <c r="AF165" s="15"/>
    </row>
    <row r="166" spans="1:32">
      <c r="A166" s="1">
        <v>7726522</v>
      </c>
      <c r="B166" s="1" t="s">
        <v>81</v>
      </c>
      <c r="C166" t="s">
        <v>240</v>
      </c>
      <c r="E166" s="2">
        <v>917000206001</v>
      </c>
      <c r="F166" s="1" t="s">
        <v>29</v>
      </c>
      <c r="G166" s="1" t="s">
        <v>53</v>
      </c>
      <c r="H166" s="1" t="s">
        <v>83</v>
      </c>
      <c r="I166" s="1" t="s">
        <v>84</v>
      </c>
      <c r="J166" s="1" t="s">
        <v>85</v>
      </c>
      <c r="K166" t="s">
        <v>34</v>
      </c>
      <c r="M166" s="1" t="s">
        <v>35</v>
      </c>
      <c r="N166" s="1">
        <v>42318949</v>
      </c>
      <c r="O166" s="1" t="s">
        <v>36</v>
      </c>
      <c r="P166" s="186">
        <v>44459.548784722225</v>
      </c>
      <c r="R166" s="1" t="s">
        <v>38</v>
      </c>
      <c r="T166" s="1" t="s">
        <v>74</v>
      </c>
      <c r="U166" s="186">
        <v>44460.548784722225</v>
      </c>
      <c r="V166" s="1" t="s">
        <v>41</v>
      </c>
      <c r="W166" s="1" t="s">
        <v>49</v>
      </c>
      <c r="X166" s="13"/>
      <c r="Y166" s="2">
        <f t="shared" ca="1" si="12"/>
        <v>378</v>
      </c>
      <c r="Z166" s="14">
        <v>1</v>
      </c>
      <c r="AA166" s="1" t="str">
        <f t="shared" ca="1" si="13"/>
        <v>VENCIDO</v>
      </c>
      <c r="AB166" s="1" t="str">
        <f t="shared" si="14"/>
        <v>Dosa</v>
      </c>
      <c r="AC166" s="2" t="str">
        <f t="shared" si="17"/>
        <v xml:space="preserve"> RINALDO </v>
      </c>
      <c r="AD166" s="2">
        <f t="shared" si="15"/>
        <v>5</v>
      </c>
      <c r="AE166" s="2">
        <f t="shared" ca="1" si="16"/>
        <v>-526.12748692129389</v>
      </c>
      <c r="AF166" s="15"/>
    </row>
    <row r="167" spans="1:32">
      <c r="A167" s="1">
        <v>7726519</v>
      </c>
      <c r="B167" s="1" t="s">
        <v>81</v>
      </c>
      <c r="C167" t="s">
        <v>240</v>
      </c>
      <c r="E167" s="2">
        <v>608000206001</v>
      </c>
      <c r="F167" s="1" t="s">
        <v>29</v>
      </c>
      <c r="G167" s="1" t="s">
        <v>53</v>
      </c>
      <c r="H167" s="1" t="s">
        <v>438</v>
      </c>
      <c r="I167" s="1" t="s">
        <v>439</v>
      </c>
      <c r="J167" s="1" t="s">
        <v>148</v>
      </c>
      <c r="K167" t="s">
        <v>34</v>
      </c>
      <c r="M167" s="1" t="s">
        <v>35</v>
      </c>
      <c r="N167" s="1">
        <v>42318949</v>
      </c>
      <c r="O167" s="1" t="s">
        <v>36</v>
      </c>
      <c r="P167" s="186">
        <v>44459.548773148148</v>
      </c>
      <c r="R167" s="1" t="s">
        <v>38</v>
      </c>
      <c r="T167" s="1" t="s">
        <v>74</v>
      </c>
      <c r="U167" s="186">
        <v>44460.548773148148</v>
      </c>
      <c r="V167" s="1" t="s">
        <v>41</v>
      </c>
      <c r="W167" s="1" t="s">
        <v>49</v>
      </c>
      <c r="X167" s="13"/>
      <c r="Y167" s="2">
        <f t="shared" ca="1" si="12"/>
        <v>378</v>
      </c>
      <c r="Z167" s="14">
        <v>1</v>
      </c>
      <c r="AA167" s="1" t="str">
        <f t="shared" ca="1" si="13"/>
        <v>VENCIDO</v>
      </c>
      <c r="AB167" s="1" t="str">
        <f t="shared" si="14"/>
        <v>Dosa</v>
      </c>
      <c r="AC167" s="2" t="str">
        <f t="shared" si="17"/>
        <v xml:space="preserve"> RINALDO </v>
      </c>
      <c r="AD167" s="2">
        <f t="shared" si="15"/>
        <v>5</v>
      </c>
      <c r="AE167" s="2">
        <f t="shared" ca="1" si="16"/>
        <v>-526.12749849537067</v>
      </c>
      <c r="AF167" s="15"/>
    </row>
    <row r="168" spans="1:32" hidden="1">
      <c r="A168" s="1">
        <v>7726518</v>
      </c>
      <c r="B168" s="1" t="s">
        <v>81</v>
      </c>
      <c r="C168" t="s">
        <v>240</v>
      </c>
      <c r="E168" s="2">
        <v>537000206001</v>
      </c>
      <c r="F168" s="1" t="s">
        <v>29</v>
      </c>
      <c r="G168" s="1" t="s">
        <v>53</v>
      </c>
      <c r="H168" s="1" t="s">
        <v>442</v>
      </c>
      <c r="I168" s="1" t="s">
        <v>443</v>
      </c>
      <c r="J168" s="1" t="s">
        <v>79</v>
      </c>
      <c r="K168" t="s">
        <v>34</v>
      </c>
      <c r="M168" s="1" t="s">
        <v>35</v>
      </c>
      <c r="N168" s="1">
        <v>42318949</v>
      </c>
      <c r="O168" s="1" t="s">
        <v>36</v>
      </c>
      <c r="P168" s="186">
        <v>44459.548773148148</v>
      </c>
      <c r="R168" s="1" t="s">
        <v>38</v>
      </c>
      <c r="T168" s="1" t="s">
        <v>74</v>
      </c>
      <c r="U168" s="186">
        <v>44460.548773148148</v>
      </c>
      <c r="V168" s="1" t="s">
        <v>41</v>
      </c>
      <c r="W168" s="1" t="s">
        <v>49</v>
      </c>
      <c r="X168" s="13"/>
      <c r="Y168" s="2">
        <f t="shared" ca="1" si="12"/>
        <v>378</v>
      </c>
      <c r="Z168" s="14">
        <v>1</v>
      </c>
      <c r="AA168" s="1" t="str">
        <f t="shared" ca="1" si="13"/>
        <v>VENCIDO</v>
      </c>
      <c r="AB168" s="1" t="str">
        <f t="shared" si="14"/>
        <v>Dosa</v>
      </c>
      <c r="AC168" s="2" t="str">
        <f t="shared" si="17"/>
        <v xml:space="preserve"> ROSEMERE </v>
      </c>
      <c r="AD168" s="2">
        <f t="shared" si="15"/>
        <v>5</v>
      </c>
      <c r="AE168" s="2">
        <f t="shared" ca="1" si="16"/>
        <v>-526.12749849537067</v>
      </c>
      <c r="AF168" s="15"/>
    </row>
    <row r="169" spans="1:32" hidden="1">
      <c r="A169" s="1">
        <v>7726511</v>
      </c>
      <c r="B169" s="1" t="s">
        <v>81</v>
      </c>
      <c r="C169" t="s">
        <v>240</v>
      </c>
      <c r="E169" s="2">
        <v>594000206001</v>
      </c>
      <c r="F169" s="1" t="s">
        <v>29</v>
      </c>
      <c r="G169" s="1" t="s">
        <v>53</v>
      </c>
      <c r="H169" s="1" t="s">
        <v>444</v>
      </c>
      <c r="I169" s="1" t="s">
        <v>445</v>
      </c>
      <c r="J169" s="1" t="s">
        <v>33</v>
      </c>
      <c r="K169" t="s">
        <v>34</v>
      </c>
      <c r="M169" s="1" t="s">
        <v>35</v>
      </c>
      <c r="N169" s="1">
        <v>42318949</v>
      </c>
      <c r="O169" s="1" t="s">
        <v>36</v>
      </c>
      <c r="P169" s="186">
        <v>44459.548761574071</v>
      </c>
      <c r="R169" s="1" t="s">
        <v>38</v>
      </c>
      <c r="T169" s="1" t="s">
        <v>74</v>
      </c>
      <c r="U169" s="186">
        <v>44460.548761574071</v>
      </c>
      <c r="V169" s="1" t="s">
        <v>41</v>
      </c>
      <c r="W169" s="1" t="s">
        <v>42</v>
      </c>
      <c r="X169" s="13"/>
      <c r="Y169" s="2">
        <f t="shared" ca="1" si="12"/>
        <v>378</v>
      </c>
      <c r="Z169" s="14">
        <v>1</v>
      </c>
      <c r="AA169" s="1" t="str">
        <f t="shared" ca="1" si="13"/>
        <v>VENCIDO</v>
      </c>
      <c r="AB169" s="1" t="str">
        <f t="shared" si="14"/>
        <v>Dosa</v>
      </c>
      <c r="AC169" s="2" t="str">
        <f t="shared" si="17"/>
        <v xml:space="preserve"> ROSEMERE </v>
      </c>
      <c r="AD169" s="2">
        <f t="shared" si="15"/>
        <v>5</v>
      </c>
      <c r="AE169" s="2">
        <f t="shared" ca="1" si="16"/>
        <v>-526.12751006944745</v>
      </c>
      <c r="AF169" s="15"/>
    </row>
    <row r="170" spans="1:32" hidden="1">
      <c r="A170" s="1">
        <v>7726505</v>
      </c>
      <c r="B170" s="1" t="s">
        <v>81</v>
      </c>
      <c r="C170" t="s">
        <v>240</v>
      </c>
      <c r="E170" s="2">
        <v>2830000206001</v>
      </c>
      <c r="F170" s="1" t="s">
        <v>29</v>
      </c>
      <c r="G170" s="1" t="s">
        <v>53</v>
      </c>
      <c r="H170" s="1" t="s">
        <v>448</v>
      </c>
      <c r="I170" s="1" t="s">
        <v>449</v>
      </c>
      <c r="J170" s="1" t="s">
        <v>33</v>
      </c>
      <c r="K170" t="s">
        <v>34</v>
      </c>
      <c r="M170" s="1" t="s">
        <v>35</v>
      </c>
      <c r="N170" s="1">
        <v>42318949</v>
      </c>
      <c r="O170" s="1" t="s">
        <v>36</v>
      </c>
      <c r="P170" s="186">
        <v>44459.548761574071</v>
      </c>
      <c r="R170" s="1" t="s">
        <v>38</v>
      </c>
      <c r="T170" s="1" t="s">
        <v>74</v>
      </c>
      <c r="U170" s="186">
        <v>44460.548761574071</v>
      </c>
      <c r="V170" s="1" t="s">
        <v>41</v>
      </c>
      <c r="W170" s="1" t="s">
        <v>42</v>
      </c>
      <c r="X170" s="13"/>
      <c r="Y170" s="2">
        <f t="shared" ca="1" si="12"/>
        <v>378</v>
      </c>
      <c r="Z170" s="14">
        <v>1</v>
      </c>
      <c r="AA170" s="1" t="str">
        <f t="shared" ca="1" si="13"/>
        <v>VENCIDO</v>
      </c>
      <c r="AB170" s="1" t="str">
        <f t="shared" si="14"/>
        <v>Dosa</v>
      </c>
      <c r="AC170" s="2" t="str">
        <f t="shared" si="17"/>
        <v xml:space="preserve"> ROSEMERE </v>
      </c>
      <c r="AD170" s="2">
        <f t="shared" si="15"/>
        <v>5</v>
      </c>
      <c r="AE170" s="2">
        <f t="shared" ca="1" si="16"/>
        <v>-526.12751006944745</v>
      </c>
      <c r="AF170" s="15"/>
    </row>
    <row r="171" spans="1:32" hidden="1">
      <c r="A171" s="1">
        <v>7898328</v>
      </c>
      <c r="B171" s="1" t="s">
        <v>81</v>
      </c>
      <c r="C171" t="s">
        <v>450</v>
      </c>
      <c r="E171" s="2">
        <v>1664000206001</v>
      </c>
      <c r="F171" s="1" t="s">
        <v>29</v>
      </c>
      <c r="G171" s="1" t="s">
        <v>53</v>
      </c>
      <c r="H171" s="1" t="s">
        <v>307</v>
      </c>
      <c r="I171" s="1" t="s">
        <v>308</v>
      </c>
      <c r="J171" s="1" t="s">
        <v>164</v>
      </c>
      <c r="K171" t="s">
        <v>34</v>
      </c>
      <c r="M171" s="1" t="s">
        <v>35</v>
      </c>
      <c r="N171" s="1">
        <v>42318949</v>
      </c>
      <c r="O171" s="1" t="s">
        <v>36</v>
      </c>
      <c r="P171" s="186">
        <v>44466.810416666667</v>
      </c>
      <c r="R171" s="1" t="s">
        <v>38</v>
      </c>
      <c r="T171" s="1" t="s">
        <v>74</v>
      </c>
      <c r="U171" s="186">
        <v>44467.810416666667</v>
      </c>
      <c r="V171" s="1" t="s">
        <v>41</v>
      </c>
      <c r="W171" s="1" t="s">
        <v>49</v>
      </c>
      <c r="X171" s="13"/>
      <c r="Y171" s="2">
        <f t="shared" ca="1" si="12"/>
        <v>373</v>
      </c>
      <c r="Z171" s="14">
        <v>1</v>
      </c>
      <c r="AA171" s="1" t="str">
        <f t="shared" ca="1" si="13"/>
        <v>VENCIDO</v>
      </c>
      <c r="AB171" s="1" t="str">
        <f t="shared" si="14"/>
        <v>Dosa</v>
      </c>
      <c r="AC171" s="2" t="str">
        <f t="shared" si="17"/>
        <v xml:space="preserve"> ROSEMERE </v>
      </c>
      <c r="AD171" s="2">
        <f t="shared" si="15"/>
        <v>5</v>
      </c>
      <c r="AE171" s="2">
        <f t="shared" ca="1" si="16"/>
        <v>-518.86585497685155</v>
      </c>
      <c r="AF171" s="15"/>
    </row>
    <row r="172" spans="1:32" hidden="1">
      <c r="A172" s="1">
        <v>7898195</v>
      </c>
      <c r="B172" s="1" t="s">
        <v>81</v>
      </c>
      <c r="C172" t="s">
        <v>450</v>
      </c>
      <c r="E172" s="2">
        <v>2107000206001</v>
      </c>
      <c r="F172" s="1" t="s">
        <v>29</v>
      </c>
      <c r="G172" s="1" t="s">
        <v>53</v>
      </c>
      <c r="H172" s="1" t="s">
        <v>262</v>
      </c>
      <c r="I172" s="1" t="s">
        <v>263</v>
      </c>
      <c r="J172" s="1" t="s">
        <v>164</v>
      </c>
      <c r="K172" t="s">
        <v>34</v>
      </c>
      <c r="M172" s="1" t="s">
        <v>35</v>
      </c>
      <c r="N172" s="1">
        <v>42318949</v>
      </c>
      <c r="O172" s="1" t="s">
        <v>36</v>
      </c>
      <c r="P172" s="186">
        <v>44466.803553240738</v>
      </c>
      <c r="R172" s="1" t="s">
        <v>38</v>
      </c>
      <c r="T172" s="1" t="s">
        <v>74</v>
      </c>
      <c r="U172" s="186">
        <v>44467.803553240738</v>
      </c>
      <c r="V172" s="1" t="s">
        <v>41</v>
      </c>
      <c r="W172" s="1" t="s">
        <v>49</v>
      </c>
      <c r="X172" s="13"/>
      <c r="Y172" s="2">
        <f t="shared" ca="1" si="12"/>
        <v>373</v>
      </c>
      <c r="Z172" s="14">
        <v>1</v>
      </c>
      <c r="AA172" s="1" t="str">
        <f t="shared" ca="1" si="13"/>
        <v>VENCIDO</v>
      </c>
      <c r="AB172" s="1" t="str">
        <f t="shared" si="14"/>
        <v>Dosa</v>
      </c>
      <c r="AC172" s="2" t="str">
        <f t="shared" si="17"/>
        <v xml:space="preserve"> ROSEMERE </v>
      </c>
      <c r="AD172" s="2">
        <f t="shared" si="15"/>
        <v>5</v>
      </c>
      <c r="AE172" s="2">
        <f t="shared" ca="1" si="16"/>
        <v>-518.87271840278117</v>
      </c>
      <c r="AF172" s="15"/>
    </row>
    <row r="173" spans="1:32" hidden="1">
      <c r="A173" s="1">
        <v>7898176</v>
      </c>
      <c r="B173" s="1" t="s">
        <v>81</v>
      </c>
      <c r="C173" t="s">
        <v>450</v>
      </c>
      <c r="E173" s="2">
        <v>2559000206001</v>
      </c>
      <c r="F173" s="1" t="s">
        <v>29</v>
      </c>
      <c r="G173" s="1" t="s">
        <v>53</v>
      </c>
      <c r="H173" s="1" t="s">
        <v>259</v>
      </c>
      <c r="I173" s="1" t="s">
        <v>260</v>
      </c>
      <c r="J173" s="1" t="s">
        <v>261</v>
      </c>
      <c r="K173" t="s">
        <v>34</v>
      </c>
      <c r="M173" s="1" t="s">
        <v>35</v>
      </c>
      <c r="N173" s="1">
        <v>42318949</v>
      </c>
      <c r="O173" s="1" t="s">
        <v>36</v>
      </c>
      <c r="P173" s="186">
        <v>44466.803252314814</v>
      </c>
      <c r="R173" s="1" t="s">
        <v>38</v>
      </c>
      <c r="T173" s="1" t="s">
        <v>74</v>
      </c>
      <c r="U173" s="186">
        <v>44467.803252314814</v>
      </c>
      <c r="V173" s="1" t="s">
        <v>41</v>
      </c>
      <c r="W173" s="1" t="s">
        <v>49</v>
      </c>
      <c r="X173" s="13"/>
      <c r="Y173" s="2">
        <f t="shared" ca="1" si="12"/>
        <v>373</v>
      </c>
      <c r="Z173" s="14">
        <v>1</v>
      </c>
      <c r="AA173" s="1" t="str">
        <f t="shared" ca="1" si="13"/>
        <v>VENCIDO</v>
      </c>
      <c r="AB173" s="1" t="str">
        <f t="shared" si="14"/>
        <v>Dosa</v>
      </c>
      <c r="AC173" s="2" t="str">
        <f t="shared" si="17"/>
        <v xml:space="preserve"> CRISTINA </v>
      </c>
      <c r="AD173" s="2">
        <f t="shared" si="15"/>
        <v>5</v>
      </c>
      <c r="AE173" s="2">
        <f t="shared" ca="1" si="16"/>
        <v>-518.87301932870469</v>
      </c>
      <c r="AF173" s="15"/>
    </row>
    <row r="174" spans="1:32" hidden="1">
      <c r="A174" s="1">
        <v>7897993</v>
      </c>
      <c r="B174" s="1" t="s">
        <v>81</v>
      </c>
      <c r="C174" t="s">
        <v>450</v>
      </c>
      <c r="E174" s="2">
        <v>2564000206001</v>
      </c>
      <c r="F174" s="1" t="s">
        <v>29</v>
      </c>
      <c r="G174" s="1" t="s">
        <v>53</v>
      </c>
      <c r="H174" s="1" t="s">
        <v>255</v>
      </c>
      <c r="I174" s="1" t="s">
        <v>256</v>
      </c>
      <c r="J174" s="1" t="s">
        <v>164</v>
      </c>
      <c r="K174" t="s">
        <v>34</v>
      </c>
      <c r="M174" s="1" t="s">
        <v>35</v>
      </c>
      <c r="N174" s="1">
        <v>42318949</v>
      </c>
      <c r="O174" s="1" t="s">
        <v>36</v>
      </c>
      <c r="P174" s="186">
        <v>44466.802881944444</v>
      </c>
      <c r="R174" s="1" t="s">
        <v>38</v>
      </c>
      <c r="T174" s="1" t="s">
        <v>74</v>
      </c>
      <c r="U174" s="186">
        <v>44467.802881944444</v>
      </c>
      <c r="V174" s="1" t="s">
        <v>41</v>
      </c>
      <c r="W174" s="1" t="s">
        <v>49</v>
      </c>
      <c r="X174" s="13"/>
      <c r="Y174" s="2">
        <f t="shared" ca="1" si="12"/>
        <v>373</v>
      </c>
      <c r="Z174" s="14">
        <v>1</v>
      </c>
      <c r="AA174" s="1" t="str">
        <f t="shared" ca="1" si="13"/>
        <v>VENCIDO</v>
      </c>
      <c r="AB174" s="1" t="str">
        <f t="shared" si="14"/>
        <v>Dosa</v>
      </c>
      <c r="AC174" s="2" t="str">
        <f t="shared" si="17"/>
        <v xml:space="preserve"> ROSEMERE </v>
      </c>
      <c r="AD174" s="2">
        <f t="shared" si="15"/>
        <v>5</v>
      </c>
      <c r="AE174" s="2">
        <f t="shared" ca="1" si="16"/>
        <v>-518.87338969907432</v>
      </c>
      <c r="AF174" s="15"/>
    </row>
    <row r="175" spans="1:32" hidden="1">
      <c r="A175" s="1">
        <v>7973155</v>
      </c>
      <c r="B175" s="1" t="s">
        <v>62</v>
      </c>
      <c r="C175" t="s">
        <v>453</v>
      </c>
      <c r="E175" s="2">
        <v>1836000203000</v>
      </c>
      <c r="F175" s="1" t="s">
        <v>454</v>
      </c>
      <c r="G175" s="1" t="s">
        <v>53</v>
      </c>
      <c r="H175" s="1" t="s">
        <v>455</v>
      </c>
      <c r="I175" s="1" t="s">
        <v>456</v>
      </c>
      <c r="J175" s="1" t="s">
        <v>46</v>
      </c>
      <c r="K175" t="s">
        <v>457</v>
      </c>
      <c r="M175" s="1" t="s">
        <v>58</v>
      </c>
      <c r="N175" s="1">
        <v>0</v>
      </c>
      <c r="O175" s="1" t="s">
        <v>105</v>
      </c>
      <c r="P175" s="186">
        <v>44469.974490740744</v>
      </c>
      <c r="R175" s="1" t="s">
        <v>38</v>
      </c>
      <c r="T175" s="1" t="s">
        <v>157</v>
      </c>
      <c r="U175" s="186">
        <v>44508.75</v>
      </c>
      <c r="V175" s="1" t="s">
        <v>41</v>
      </c>
      <c r="W175" s="1" t="s">
        <v>49</v>
      </c>
      <c r="X175" s="13"/>
      <c r="Y175" s="2">
        <f t="shared" ca="1" si="12"/>
        <v>370</v>
      </c>
      <c r="Z175" s="14">
        <v>1</v>
      </c>
      <c r="AA175" s="1" t="str">
        <f t="shared" ca="1" si="13"/>
        <v>VENCIDO</v>
      </c>
      <c r="AB175" s="1" t="str">
        <f t="shared" si="14"/>
        <v>C-14</v>
      </c>
      <c r="AC175" s="2" t="str">
        <f t="shared" si="17"/>
        <v xml:space="preserve"> CLEITON </v>
      </c>
      <c r="AD175" s="2">
        <f t="shared" si="15"/>
        <v>5</v>
      </c>
      <c r="AE175" s="2">
        <f t="shared" ca="1" si="16"/>
        <v>-477.9262716435187</v>
      </c>
      <c r="AF175" s="15"/>
    </row>
    <row r="176" spans="1:32" hidden="1">
      <c r="A176" s="1">
        <v>7973154</v>
      </c>
      <c r="B176" s="1" t="s">
        <v>62</v>
      </c>
      <c r="C176" t="s">
        <v>453</v>
      </c>
      <c r="E176" s="2">
        <v>1836000203000</v>
      </c>
      <c r="F176" s="1" t="s">
        <v>454</v>
      </c>
      <c r="G176" s="1" t="s">
        <v>53</v>
      </c>
      <c r="H176" s="1" t="s">
        <v>455</v>
      </c>
      <c r="I176" s="1" t="s">
        <v>456</v>
      </c>
      <c r="J176" s="1" t="s">
        <v>46</v>
      </c>
      <c r="K176" t="s">
        <v>457</v>
      </c>
      <c r="M176" s="1" t="s">
        <v>58</v>
      </c>
      <c r="N176" s="1">
        <v>0</v>
      </c>
      <c r="O176" s="1" t="s">
        <v>105</v>
      </c>
      <c r="P176" s="186">
        <v>44469.974490740744</v>
      </c>
      <c r="R176" s="1" t="s">
        <v>38</v>
      </c>
      <c r="T176" s="1" t="s">
        <v>157</v>
      </c>
      <c r="U176" s="186">
        <v>44508.75</v>
      </c>
      <c r="V176" s="1" t="s">
        <v>41</v>
      </c>
      <c r="W176" s="1" t="s">
        <v>49</v>
      </c>
      <c r="X176" s="13"/>
      <c r="Y176" s="2">
        <f t="shared" ca="1" si="12"/>
        <v>370</v>
      </c>
      <c r="Z176" s="14">
        <v>1</v>
      </c>
      <c r="AA176" s="1" t="str">
        <f t="shared" ca="1" si="13"/>
        <v>VENCIDO</v>
      </c>
      <c r="AB176" s="1" t="str">
        <f t="shared" si="14"/>
        <v>C-14</v>
      </c>
      <c r="AC176" s="2" t="str">
        <f t="shared" si="17"/>
        <v xml:space="preserve"> CLEITON </v>
      </c>
      <c r="AD176" s="2">
        <f t="shared" si="15"/>
        <v>5</v>
      </c>
      <c r="AE176" s="2">
        <f t="shared" ca="1" si="16"/>
        <v>-477.9262716435187</v>
      </c>
      <c r="AF176" s="15"/>
    </row>
    <row r="177" spans="1:32" hidden="1">
      <c r="A177" s="1">
        <v>7973153</v>
      </c>
      <c r="B177" s="1" t="s">
        <v>62</v>
      </c>
      <c r="C177" t="s">
        <v>453</v>
      </c>
      <c r="E177" s="2">
        <v>1836000203000</v>
      </c>
      <c r="F177" s="1" t="s">
        <v>454</v>
      </c>
      <c r="G177" s="1" t="s">
        <v>53</v>
      </c>
      <c r="H177" s="1" t="s">
        <v>455</v>
      </c>
      <c r="I177" s="1" t="s">
        <v>456</v>
      </c>
      <c r="J177" s="1" t="s">
        <v>46</v>
      </c>
      <c r="K177" t="s">
        <v>457</v>
      </c>
      <c r="M177" s="1" t="s">
        <v>58</v>
      </c>
      <c r="N177" s="1">
        <v>0</v>
      </c>
      <c r="O177" s="1" t="s">
        <v>105</v>
      </c>
      <c r="P177" s="186">
        <v>44469.974490740744</v>
      </c>
      <c r="R177" s="1" t="s">
        <v>38</v>
      </c>
      <c r="T177" s="1" t="s">
        <v>157</v>
      </c>
      <c r="U177" s="186">
        <v>44508.75</v>
      </c>
      <c r="V177" s="1" t="s">
        <v>41</v>
      </c>
      <c r="W177" s="1" t="s">
        <v>49</v>
      </c>
      <c r="X177" s="13"/>
      <c r="Y177" s="2">
        <f t="shared" ca="1" si="12"/>
        <v>370</v>
      </c>
      <c r="Z177" s="14">
        <v>1</v>
      </c>
      <c r="AA177" s="1" t="str">
        <f t="shared" ca="1" si="13"/>
        <v>VENCIDO</v>
      </c>
      <c r="AB177" s="1" t="str">
        <f t="shared" si="14"/>
        <v>C-14</v>
      </c>
      <c r="AC177" s="2" t="str">
        <f t="shared" si="17"/>
        <v xml:space="preserve"> CLEITON </v>
      </c>
      <c r="AD177" s="2">
        <f t="shared" si="15"/>
        <v>5</v>
      </c>
      <c r="AE177" s="2">
        <f t="shared" ca="1" si="16"/>
        <v>-477.9262716435187</v>
      </c>
      <c r="AF177" s="15"/>
    </row>
    <row r="178" spans="1:32" hidden="1">
      <c r="A178" s="1">
        <v>7973152</v>
      </c>
      <c r="B178" s="1" t="s">
        <v>62</v>
      </c>
      <c r="C178" t="s">
        <v>453</v>
      </c>
      <c r="E178" s="2">
        <v>1836000203000</v>
      </c>
      <c r="F178" s="1" t="s">
        <v>454</v>
      </c>
      <c r="G178" s="1" t="s">
        <v>53</v>
      </c>
      <c r="H178" s="1" t="s">
        <v>455</v>
      </c>
      <c r="I178" s="1" t="s">
        <v>456</v>
      </c>
      <c r="J178" s="1" t="s">
        <v>46</v>
      </c>
      <c r="K178" t="s">
        <v>457</v>
      </c>
      <c r="M178" s="1" t="s">
        <v>58</v>
      </c>
      <c r="N178" s="1">
        <v>0</v>
      </c>
      <c r="O178" s="1" t="s">
        <v>105</v>
      </c>
      <c r="P178" s="186">
        <v>44469.974490740744</v>
      </c>
      <c r="R178" s="1" t="s">
        <v>38</v>
      </c>
      <c r="T178" s="1" t="s">
        <v>157</v>
      </c>
      <c r="U178" s="186">
        <v>44508.75</v>
      </c>
      <c r="V178" s="1" t="s">
        <v>41</v>
      </c>
      <c r="W178" s="1" t="s">
        <v>49</v>
      </c>
      <c r="X178" s="13"/>
      <c r="Y178" s="2">
        <f t="shared" ca="1" si="12"/>
        <v>370</v>
      </c>
      <c r="Z178" s="14">
        <v>1</v>
      </c>
      <c r="AA178" s="1" t="str">
        <f t="shared" ca="1" si="13"/>
        <v>VENCIDO</v>
      </c>
      <c r="AB178" s="1" t="str">
        <f t="shared" si="14"/>
        <v>C-14</v>
      </c>
      <c r="AC178" s="2" t="str">
        <f t="shared" si="17"/>
        <v xml:space="preserve"> CLEITON </v>
      </c>
      <c r="AD178" s="2">
        <f t="shared" si="15"/>
        <v>5</v>
      </c>
      <c r="AE178" s="2">
        <f t="shared" ca="1" si="16"/>
        <v>-477.9262716435187</v>
      </c>
      <c r="AF178" s="15"/>
    </row>
    <row r="179" spans="1:32" hidden="1">
      <c r="A179" s="1">
        <v>7973151</v>
      </c>
      <c r="B179" s="1" t="s">
        <v>62</v>
      </c>
      <c r="C179" t="s">
        <v>453</v>
      </c>
      <c r="E179" s="2">
        <v>1836000203000</v>
      </c>
      <c r="F179" s="1" t="s">
        <v>454</v>
      </c>
      <c r="G179" s="1" t="s">
        <v>53</v>
      </c>
      <c r="H179" s="1" t="s">
        <v>455</v>
      </c>
      <c r="I179" s="1" t="s">
        <v>456</v>
      </c>
      <c r="J179" s="1" t="s">
        <v>46</v>
      </c>
      <c r="K179" t="s">
        <v>457</v>
      </c>
      <c r="M179" s="1" t="s">
        <v>58</v>
      </c>
      <c r="N179" s="1">
        <v>0</v>
      </c>
      <c r="O179" s="1" t="s">
        <v>105</v>
      </c>
      <c r="P179" s="186">
        <v>44469.974490740744</v>
      </c>
      <c r="R179" s="1" t="s">
        <v>38</v>
      </c>
      <c r="T179" s="1" t="s">
        <v>157</v>
      </c>
      <c r="U179" s="186">
        <v>44508.75</v>
      </c>
      <c r="V179" s="1" t="s">
        <v>41</v>
      </c>
      <c r="W179" s="1" t="s">
        <v>49</v>
      </c>
      <c r="X179" s="13"/>
      <c r="Y179" s="2">
        <f t="shared" ca="1" si="12"/>
        <v>370</v>
      </c>
      <c r="Z179" s="14">
        <v>1</v>
      </c>
      <c r="AA179" s="1" t="str">
        <f t="shared" ca="1" si="13"/>
        <v>VENCIDO</v>
      </c>
      <c r="AB179" s="1" t="str">
        <f t="shared" si="14"/>
        <v>C-14</v>
      </c>
      <c r="AC179" s="2" t="str">
        <f t="shared" si="17"/>
        <v xml:space="preserve"> CLEITON </v>
      </c>
      <c r="AD179" s="2">
        <f t="shared" si="15"/>
        <v>5</v>
      </c>
      <c r="AE179" s="2">
        <f t="shared" ca="1" si="16"/>
        <v>-477.9262716435187</v>
      </c>
      <c r="AF179" s="15"/>
    </row>
    <row r="180" spans="1:32" hidden="1">
      <c r="A180" s="1">
        <v>7973150</v>
      </c>
      <c r="B180" s="1" t="s">
        <v>62</v>
      </c>
      <c r="C180" t="s">
        <v>453</v>
      </c>
      <c r="E180" s="2">
        <v>1836000203000</v>
      </c>
      <c r="F180" s="1" t="s">
        <v>454</v>
      </c>
      <c r="G180" s="1" t="s">
        <v>53</v>
      </c>
      <c r="H180" s="1" t="s">
        <v>455</v>
      </c>
      <c r="I180" s="1" t="s">
        <v>456</v>
      </c>
      <c r="J180" s="1" t="s">
        <v>46</v>
      </c>
      <c r="K180" t="s">
        <v>457</v>
      </c>
      <c r="M180" s="1" t="s">
        <v>58</v>
      </c>
      <c r="N180" s="1">
        <v>0</v>
      </c>
      <c r="O180" s="1" t="s">
        <v>105</v>
      </c>
      <c r="P180" s="186">
        <v>44469.974479166667</v>
      </c>
      <c r="R180" s="1" t="s">
        <v>38</v>
      </c>
      <c r="T180" s="1" t="s">
        <v>157</v>
      </c>
      <c r="U180" s="186">
        <v>44508.75</v>
      </c>
      <c r="V180" s="1" t="s">
        <v>41</v>
      </c>
      <c r="W180" s="1" t="s">
        <v>49</v>
      </c>
      <c r="X180" s="13"/>
      <c r="Y180" s="2">
        <f t="shared" ca="1" si="12"/>
        <v>370</v>
      </c>
      <c r="Z180" s="14">
        <v>1</v>
      </c>
      <c r="AA180" s="1" t="str">
        <f t="shared" ca="1" si="13"/>
        <v>VENCIDO</v>
      </c>
      <c r="AB180" s="1" t="str">
        <f t="shared" si="14"/>
        <v>C-14</v>
      </c>
      <c r="AC180" s="2" t="str">
        <f t="shared" si="17"/>
        <v xml:space="preserve"> CLEITON </v>
      </c>
      <c r="AD180" s="2">
        <f t="shared" si="15"/>
        <v>5</v>
      </c>
      <c r="AE180" s="2">
        <f t="shared" ca="1" si="16"/>
        <v>-477.9262716435187</v>
      </c>
      <c r="AF180" s="15"/>
    </row>
    <row r="181" spans="1:32" hidden="1">
      <c r="A181" s="1">
        <v>7973149</v>
      </c>
      <c r="B181" s="1" t="s">
        <v>62</v>
      </c>
      <c r="C181" t="s">
        <v>453</v>
      </c>
      <c r="E181" s="2">
        <v>1836000203000</v>
      </c>
      <c r="F181" s="1" t="s">
        <v>454</v>
      </c>
      <c r="G181" s="1" t="s">
        <v>53</v>
      </c>
      <c r="H181" s="1" t="s">
        <v>455</v>
      </c>
      <c r="I181" s="1" t="s">
        <v>456</v>
      </c>
      <c r="J181" s="1" t="s">
        <v>46</v>
      </c>
      <c r="K181" t="s">
        <v>457</v>
      </c>
      <c r="M181" s="1" t="s">
        <v>58</v>
      </c>
      <c r="N181" s="1">
        <v>0</v>
      </c>
      <c r="O181" s="1" t="s">
        <v>105</v>
      </c>
      <c r="P181" s="186">
        <v>44469.974479166667</v>
      </c>
      <c r="R181" s="1" t="s">
        <v>38</v>
      </c>
      <c r="T181" s="1" t="s">
        <v>157</v>
      </c>
      <c r="U181" s="186">
        <v>44508.75</v>
      </c>
      <c r="V181" s="1" t="s">
        <v>41</v>
      </c>
      <c r="W181" s="1" t="s">
        <v>49</v>
      </c>
      <c r="X181" s="13"/>
      <c r="Y181" s="2">
        <f t="shared" ca="1" si="12"/>
        <v>370</v>
      </c>
      <c r="Z181" s="14">
        <v>1</v>
      </c>
      <c r="AA181" s="1" t="str">
        <f t="shared" ca="1" si="13"/>
        <v>VENCIDO</v>
      </c>
      <c r="AB181" s="1" t="str">
        <f t="shared" si="14"/>
        <v>C-14</v>
      </c>
      <c r="AC181" s="2" t="str">
        <f t="shared" si="17"/>
        <v xml:space="preserve"> CLEITON </v>
      </c>
      <c r="AD181" s="2">
        <f t="shared" si="15"/>
        <v>5</v>
      </c>
      <c r="AE181" s="2">
        <f t="shared" ca="1" si="16"/>
        <v>-477.9262716435187</v>
      </c>
      <c r="AF181" s="15"/>
    </row>
    <row r="182" spans="1:32" hidden="1">
      <c r="A182" s="1">
        <v>7973089</v>
      </c>
      <c r="B182" s="1" t="s">
        <v>62</v>
      </c>
      <c r="C182" t="s">
        <v>453</v>
      </c>
      <c r="E182" s="2">
        <v>3242000203000</v>
      </c>
      <c r="F182" s="1" t="s">
        <v>454</v>
      </c>
      <c r="G182" s="1" t="s">
        <v>53</v>
      </c>
      <c r="H182" s="1" t="s">
        <v>461</v>
      </c>
      <c r="I182" s="1" t="s">
        <v>462</v>
      </c>
      <c r="J182" s="1" t="s">
        <v>46</v>
      </c>
      <c r="K182" t="s">
        <v>457</v>
      </c>
      <c r="M182" s="1" t="s">
        <v>58</v>
      </c>
      <c r="N182" s="1">
        <v>0</v>
      </c>
      <c r="O182" s="1" t="s">
        <v>105</v>
      </c>
      <c r="P182" s="186">
        <v>44469.974386574075</v>
      </c>
      <c r="R182" s="1" t="s">
        <v>38</v>
      </c>
      <c r="T182" s="1" t="s">
        <v>157</v>
      </c>
      <c r="U182" s="186">
        <v>44508.75</v>
      </c>
      <c r="V182" s="1" t="s">
        <v>41</v>
      </c>
      <c r="W182" s="1" t="s">
        <v>49</v>
      </c>
      <c r="X182" s="13"/>
      <c r="Y182" s="2">
        <f t="shared" ca="1" si="12"/>
        <v>370</v>
      </c>
      <c r="Z182" s="14">
        <v>1</v>
      </c>
      <c r="AA182" s="1" t="str">
        <f t="shared" ca="1" si="13"/>
        <v>VENCIDO</v>
      </c>
      <c r="AB182" s="1" t="str">
        <f t="shared" si="14"/>
        <v>C-14</v>
      </c>
      <c r="AC182" s="2" t="str">
        <f t="shared" si="17"/>
        <v xml:space="preserve"> CLEITON </v>
      </c>
      <c r="AD182" s="2">
        <f t="shared" si="15"/>
        <v>5</v>
      </c>
      <c r="AE182" s="2">
        <f t="shared" ca="1" si="16"/>
        <v>-477.9262716435187</v>
      </c>
      <c r="AF182" s="15"/>
    </row>
    <row r="183" spans="1:32" hidden="1">
      <c r="A183" s="1">
        <v>7973088</v>
      </c>
      <c r="B183" s="1" t="s">
        <v>62</v>
      </c>
      <c r="C183" t="s">
        <v>453</v>
      </c>
      <c r="E183" s="2">
        <v>3242000203000</v>
      </c>
      <c r="F183" s="1" t="s">
        <v>454</v>
      </c>
      <c r="G183" s="1" t="s">
        <v>53</v>
      </c>
      <c r="H183" s="1" t="s">
        <v>461</v>
      </c>
      <c r="I183" s="1" t="s">
        <v>462</v>
      </c>
      <c r="J183" s="1" t="s">
        <v>46</v>
      </c>
      <c r="K183" t="s">
        <v>457</v>
      </c>
      <c r="M183" s="1" t="s">
        <v>58</v>
      </c>
      <c r="N183" s="1">
        <v>0</v>
      </c>
      <c r="O183" s="1" t="s">
        <v>105</v>
      </c>
      <c r="P183" s="186">
        <v>44469.974386574075</v>
      </c>
      <c r="R183" s="1" t="s">
        <v>38</v>
      </c>
      <c r="T183" s="1" t="s">
        <v>157</v>
      </c>
      <c r="U183" s="186">
        <v>44508.75</v>
      </c>
      <c r="V183" s="1" t="s">
        <v>41</v>
      </c>
      <c r="W183" s="1" t="s">
        <v>49</v>
      </c>
      <c r="X183" s="13"/>
      <c r="Y183" s="2">
        <f t="shared" ca="1" si="12"/>
        <v>370</v>
      </c>
      <c r="Z183" s="14">
        <v>1</v>
      </c>
      <c r="AA183" s="1" t="str">
        <f t="shared" ca="1" si="13"/>
        <v>VENCIDO</v>
      </c>
      <c r="AB183" s="1" t="str">
        <f t="shared" si="14"/>
        <v>C-14</v>
      </c>
      <c r="AC183" s="2" t="str">
        <f t="shared" si="17"/>
        <v xml:space="preserve"> CLEITON </v>
      </c>
      <c r="AD183" s="2">
        <f t="shared" si="15"/>
        <v>5</v>
      </c>
      <c r="AE183" s="2">
        <f t="shared" ca="1" si="16"/>
        <v>-477.9262716435187</v>
      </c>
      <c r="AF183" s="15"/>
    </row>
    <row r="184" spans="1:32" hidden="1">
      <c r="A184" s="1">
        <v>7973087</v>
      </c>
      <c r="B184" s="1" t="s">
        <v>62</v>
      </c>
      <c r="C184" t="s">
        <v>453</v>
      </c>
      <c r="E184" s="2">
        <v>3242000203000</v>
      </c>
      <c r="F184" s="1" t="s">
        <v>454</v>
      </c>
      <c r="G184" s="1" t="s">
        <v>53</v>
      </c>
      <c r="H184" s="1" t="s">
        <v>461</v>
      </c>
      <c r="I184" s="1" t="s">
        <v>462</v>
      </c>
      <c r="J184" s="1" t="s">
        <v>46</v>
      </c>
      <c r="K184" t="s">
        <v>457</v>
      </c>
      <c r="M184" s="1" t="s">
        <v>58</v>
      </c>
      <c r="N184" s="1">
        <v>0</v>
      </c>
      <c r="O184" s="1" t="s">
        <v>105</v>
      </c>
      <c r="P184" s="186">
        <v>44469.974374999998</v>
      </c>
      <c r="R184" s="1" t="s">
        <v>38</v>
      </c>
      <c r="T184" s="1" t="s">
        <v>157</v>
      </c>
      <c r="U184" s="186">
        <v>44508.75</v>
      </c>
      <c r="V184" s="1" t="s">
        <v>41</v>
      </c>
      <c r="W184" s="1" t="s">
        <v>49</v>
      </c>
      <c r="X184" s="13"/>
      <c r="Y184" s="2">
        <f t="shared" ca="1" si="12"/>
        <v>370</v>
      </c>
      <c r="Z184" s="14">
        <v>1</v>
      </c>
      <c r="AA184" s="1" t="str">
        <f t="shared" ca="1" si="13"/>
        <v>VENCIDO</v>
      </c>
      <c r="AB184" s="1" t="str">
        <f t="shared" si="14"/>
        <v>C-14</v>
      </c>
      <c r="AC184" s="2" t="str">
        <f t="shared" si="17"/>
        <v xml:space="preserve"> CLEITON </v>
      </c>
      <c r="AD184" s="2">
        <f t="shared" si="15"/>
        <v>5</v>
      </c>
      <c r="AE184" s="2">
        <f t="shared" ca="1" si="16"/>
        <v>-477.9262716435187</v>
      </c>
      <c r="AF184" s="15"/>
    </row>
    <row r="185" spans="1:32" hidden="1">
      <c r="A185" s="1">
        <v>7973086</v>
      </c>
      <c r="B185" s="1" t="s">
        <v>62</v>
      </c>
      <c r="C185" t="s">
        <v>453</v>
      </c>
      <c r="E185" s="2">
        <v>3242000203000</v>
      </c>
      <c r="F185" s="1" t="s">
        <v>454</v>
      </c>
      <c r="G185" s="1" t="s">
        <v>53</v>
      </c>
      <c r="H185" s="1" t="s">
        <v>461</v>
      </c>
      <c r="I185" s="1" t="s">
        <v>462</v>
      </c>
      <c r="J185" s="1" t="s">
        <v>46</v>
      </c>
      <c r="K185" t="s">
        <v>457</v>
      </c>
      <c r="M185" s="1" t="s">
        <v>58</v>
      </c>
      <c r="N185" s="1">
        <v>0</v>
      </c>
      <c r="O185" s="1" t="s">
        <v>105</v>
      </c>
      <c r="P185" s="186">
        <v>44469.974374999998</v>
      </c>
      <c r="R185" s="1" t="s">
        <v>38</v>
      </c>
      <c r="T185" s="1" t="s">
        <v>157</v>
      </c>
      <c r="U185" s="186">
        <v>44508.75</v>
      </c>
      <c r="V185" s="1" t="s">
        <v>41</v>
      </c>
      <c r="W185" s="1" t="s">
        <v>49</v>
      </c>
      <c r="X185" s="13"/>
      <c r="Y185" s="2">
        <f t="shared" ca="1" si="12"/>
        <v>370</v>
      </c>
      <c r="Z185" s="14">
        <v>1</v>
      </c>
      <c r="AA185" s="1" t="str">
        <f t="shared" ca="1" si="13"/>
        <v>VENCIDO</v>
      </c>
      <c r="AB185" s="1" t="str">
        <f t="shared" si="14"/>
        <v>C-14</v>
      </c>
      <c r="AC185" s="2" t="str">
        <f t="shared" si="17"/>
        <v xml:space="preserve"> CLEITON </v>
      </c>
      <c r="AD185" s="2">
        <f t="shared" si="15"/>
        <v>5</v>
      </c>
      <c r="AE185" s="2">
        <f t="shared" ca="1" si="16"/>
        <v>-477.9262716435187</v>
      </c>
      <c r="AF185" s="15"/>
    </row>
    <row r="186" spans="1:32" hidden="1">
      <c r="A186" s="1">
        <v>7973085</v>
      </c>
      <c r="B186" s="1" t="s">
        <v>62</v>
      </c>
      <c r="C186" t="s">
        <v>453</v>
      </c>
      <c r="E186" s="2">
        <v>3242000203000</v>
      </c>
      <c r="F186" s="1" t="s">
        <v>454</v>
      </c>
      <c r="G186" s="1" t="s">
        <v>53</v>
      </c>
      <c r="H186" s="1" t="s">
        <v>461</v>
      </c>
      <c r="I186" s="1" t="s">
        <v>462</v>
      </c>
      <c r="J186" s="1" t="s">
        <v>46</v>
      </c>
      <c r="K186" t="s">
        <v>457</v>
      </c>
      <c r="M186" s="1" t="s">
        <v>58</v>
      </c>
      <c r="N186" s="1">
        <v>0</v>
      </c>
      <c r="O186" s="1" t="s">
        <v>105</v>
      </c>
      <c r="P186" s="186">
        <v>44469.974374999998</v>
      </c>
      <c r="R186" s="1" t="s">
        <v>38</v>
      </c>
      <c r="T186" s="1" t="s">
        <v>157</v>
      </c>
      <c r="U186" s="186">
        <v>44508.75</v>
      </c>
      <c r="V186" s="1" t="s">
        <v>41</v>
      </c>
      <c r="W186" s="1" t="s">
        <v>49</v>
      </c>
      <c r="X186" s="13"/>
      <c r="Y186" s="2">
        <f t="shared" ca="1" si="12"/>
        <v>370</v>
      </c>
      <c r="Z186" s="14">
        <v>1</v>
      </c>
      <c r="AA186" s="1" t="str">
        <f t="shared" ca="1" si="13"/>
        <v>VENCIDO</v>
      </c>
      <c r="AB186" s="1" t="str">
        <f t="shared" si="14"/>
        <v>C-14</v>
      </c>
      <c r="AC186" s="2" t="str">
        <f t="shared" si="17"/>
        <v xml:space="preserve"> CLEITON </v>
      </c>
      <c r="AD186" s="2">
        <f t="shared" si="15"/>
        <v>5</v>
      </c>
      <c r="AE186" s="2">
        <f t="shared" ca="1" si="16"/>
        <v>-477.9262716435187</v>
      </c>
      <c r="AF186" s="15"/>
    </row>
    <row r="187" spans="1:32" hidden="1">
      <c r="A187" s="1">
        <v>7970313</v>
      </c>
      <c r="B187" s="1" t="s">
        <v>62</v>
      </c>
      <c r="C187" t="s">
        <v>453</v>
      </c>
      <c r="E187" s="2">
        <v>1833000203000</v>
      </c>
      <c r="F187" s="1" t="s">
        <v>454</v>
      </c>
      <c r="G187" s="1" t="s">
        <v>53</v>
      </c>
      <c r="H187" s="1" t="s">
        <v>369</v>
      </c>
      <c r="I187" s="1" t="s">
        <v>370</v>
      </c>
      <c r="J187" s="1" t="s">
        <v>46</v>
      </c>
      <c r="K187" t="s">
        <v>457</v>
      </c>
      <c r="M187" s="1" t="s">
        <v>58</v>
      </c>
      <c r="N187" s="1">
        <v>0</v>
      </c>
      <c r="O187" s="1" t="s">
        <v>105</v>
      </c>
      <c r="P187" s="186">
        <v>44469.857291666667</v>
      </c>
      <c r="R187" s="1" t="s">
        <v>38</v>
      </c>
      <c r="T187" s="1" t="s">
        <v>157</v>
      </c>
      <c r="U187" s="186">
        <v>44508.75</v>
      </c>
      <c r="V187" s="1" t="s">
        <v>41</v>
      </c>
      <c r="W187" s="1" t="s">
        <v>49</v>
      </c>
      <c r="X187" s="13"/>
      <c r="Y187" s="2">
        <f t="shared" ca="1" si="12"/>
        <v>370</v>
      </c>
      <c r="Z187" s="14">
        <v>1</v>
      </c>
      <c r="AA187" s="1" t="str">
        <f t="shared" ca="1" si="13"/>
        <v>VENCIDO</v>
      </c>
      <c r="AB187" s="1" t="str">
        <f t="shared" si="14"/>
        <v>C-14</v>
      </c>
      <c r="AC187" s="2" t="str">
        <f t="shared" si="17"/>
        <v xml:space="preserve"> CLEITON </v>
      </c>
      <c r="AD187" s="2">
        <f t="shared" si="15"/>
        <v>5</v>
      </c>
      <c r="AE187" s="2">
        <f t="shared" ca="1" si="16"/>
        <v>-477.9262716435187</v>
      </c>
      <c r="AF187" s="15"/>
    </row>
    <row r="188" spans="1:32" hidden="1">
      <c r="A188" s="1">
        <v>7970312</v>
      </c>
      <c r="B188" s="1" t="s">
        <v>62</v>
      </c>
      <c r="C188" t="s">
        <v>453</v>
      </c>
      <c r="E188" s="2">
        <v>1833000203000</v>
      </c>
      <c r="F188" s="1" t="s">
        <v>454</v>
      </c>
      <c r="G188" s="1" t="s">
        <v>53</v>
      </c>
      <c r="H188" s="1" t="s">
        <v>369</v>
      </c>
      <c r="I188" s="1" t="s">
        <v>370</v>
      </c>
      <c r="J188" s="1" t="s">
        <v>46</v>
      </c>
      <c r="K188" t="s">
        <v>457</v>
      </c>
      <c r="M188" s="1" t="s">
        <v>58</v>
      </c>
      <c r="N188" s="1">
        <v>0</v>
      </c>
      <c r="O188" s="1" t="s">
        <v>105</v>
      </c>
      <c r="P188" s="186">
        <v>44469.857291666667</v>
      </c>
      <c r="R188" s="1" t="s">
        <v>38</v>
      </c>
      <c r="T188" s="1" t="s">
        <v>157</v>
      </c>
      <c r="U188" s="186">
        <v>44508.75</v>
      </c>
      <c r="V188" s="1" t="s">
        <v>41</v>
      </c>
      <c r="W188" s="1" t="s">
        <v>49</v>
      </c>
      <c r="X188" s="13"/>
      <c r="Y188" s="2">
        <f t="shared" ca="1" si="12"/>
        <v>370</v>
      </c>
      <c r="Z188" s="14">
        <v>1</v>
      </c>
      <c r="AA188" s="1" t="str">
        <f t="shared" ca="1" si="13"/>
        <v>VENCIDO</v>
      </c>
      <c r="AB188" s="1" t="str">
        <f t="shared" si="14"/>
        <v>C-14</v>
      </c>
      <c r="AC188" s="2" t="str">
        <f t="shared" si="17"/>
        <v xml:space="preserve"> CLEITON </v>
      </c>
      <c r="AD188" s="2">
        <f t="shared" si="15"/>
        <v>5</v>
      </c>
      <c r="AE188" s="2">
        <f t="shared" ca="1" si="16"/>
        <v>-477.9262716435187</v>
      </c>
      <c r="AF188" s="15"/>
    </row>
    <row r="189" spans="1:32" hidden="1">
      <c r="A189" s="1">
        <v>7970311</v>
      </c>
      <c r="B189" s="1" t="s">
        <v>62</v>
      </c>
      <c r="C189" t="s">
        <v>453</v>
      </c>
      <c r="E189" s="2">
        <v>1833000203000</v>
      </c>
      <c r="F189" s="1" t="s">
        <v>454</v>
      </c>
      <c r="G189" s="1" t="s">
        <v>53</v>
      </c>
      <c r="H189" s="1" t="s">
        <v>369</v>
      </c>
      <c r="I189" s="1" t="s">
        <v>370</v>
      </c>
      <c r="J189" s="1" t="s">
        <v>46</v>
      </c>
      <c r="K189" t="s">
        <v>457</v>
      </c>
      <c r="M189" s="1" t="s">
        <v>58</v>
      </c>
      <c r="N189" s="1">
        <v>0</v>
      </c>
      <c r="O189" s="1" t="s">
        <v>105</v>
      </c>
      <c r="P189" s="186">
        <v>44469.857291666667</v>
      </c>
      <c r="R189" s="1" t="s">
        <v>38</v>
      </c>
      <c r="T189" s="1" t="s">
        <v>157</v>
      </c>
      <c r="U189" s="186">
        <v>44508.75</v>
      </c>
      <c r="V189" s="1" t="s">
        <v>41</v>
      </c>
      <c r="W189" s="1" t="s">
        <v>49</v>
      </c>
      <c r="X189" s="13"/>
      <c r="Y189" s="2">
        <f t="shared" ca="1" si="12"/>
        <v>370</v>
      </c>
      <c r="Z189" s="14">
        <v>1</v>
      </c>
      <c r="AA189" s="1" t="str">
        <f t="shared" ca="1" si="13"/>
        <v>VENCIDO</v>
      </c>
      <c r="AB189" s="1" t="str">
        <f t="shared" si="14"/>
        <v>C-14</v>
      </c>
      <c r="AC189" s="2" t="str">
        <f t="shared" si="17"/>
        <v xml:space="preserve"> CLEITON </v>
      </c>
      <c r="AD189" s="2">
        <f t="shared" si="15"/>
        <v>5</v>
      </c>
      <c r="AE189" s="2">
        <f t="shared" ca="1" si="16"/>
        <v>-477.9262716435187</v>
      </c>
      <c r="AF189" s="15"/>
    </row>
    <row r="190" spans="1:32" hidden="1">
      <c r="A190" s="1">
        <v>7970310</v>
      </c>
      <c r="B190" s="1" t="s">
        <v>62</v>
      </c>
      <c r="C190" t="s">
        <v>453</v>
      </c>
      <c r="E190" s="2">
        <v>1833000203000</v>
      </c>
      <c r="F190" s="1" t="s">
        <v>454</v>
      </c>
      <c r="G190" s="1" t="s">
        <v>53</v>
      </c>
      <c r="H190" s="1" t="s">
        <v>369</v>
      </c>
      <c r="I190" s="1" t="s">
        <v>370</v>
      </c>
      <c r="J190" s="1" t="s">
        <v>46</v>
      </c>
      <c r="K190" t="s">
        <v>457</v>
      </c>
      <c r="M190" s="1" t="s">
        <v>58</v>
      </c>
      <c r="N190" s="1">
        <v>0</v>
      </c>
      <c r="O190" s="1" t="s">
        <v>105</v>
      </c>
      <c r="P190" s="186">
        <v>44469.857291666667</v>
      </c>
      <c r="R190" s="1" t="s">
        <v>38</v>
      </c>
      <c r="T190" s="1" t="s">
        <v>157</v>
      </c>
      <c r="U190" s="186">
        <v>44508.75</v>
      </c>
      <c r="V190" s="1" t="s">
        <v>41</v>
      </c>
      <c r="W190" s="1" t="s">
        <v>49</v>
      </c>
      <c r="X190" s="13"/>
      <c r="Y190" s="2">
        <f t="shared" ca="1" si="12"/>
        <v>370</v>
      </c>
      <c r="Z190" s="14">
        <v>1</v>
      </c>
      <c r="AA190" s="1" t="str">
        <f t="shared" ca="1" si="13"/>
        <v>VENCIDO</v>
      </c>
      <c r="AB190" s="1" t="str">
        <f t="shared" si="14"/>
        <v>C-14</v>
      </c>
      <c r="AC190" s="2" t="str">
        <f t="shared" si="17"/>
        <v xml:space="preserve"> CLEITON </v>
      </c>
      <c r="AD190" s="2">
        <f t="shared" si="15"/>
        <v>5</v>
      </c>
      <c r="AE190" s="2">
        <f t="shared" ca="1" si="16"/>
        <v>-477.9262716435187</v>
      </c>
      <c r="AF190" s="15"/>
    </row>
    <row r="191" spans="1:32" hidden="1">
      <c r="A191" s="1">
        <v>7970309</v>
      </c>
      <c r="B191" s="1" t="s">
        <v>62</v>
      </c>
      <c r="C191" t="s">
        <v>453</v>
      </c>
      <c r="E191" s="2">
        <v>1833000203000</v>
      </c>
      <c r="F191" s="1" t="s">
        <v>454</v>
      </c>
      <c r="G191" s="1" t="s">
        <v>53</v>
      </c>
      <c r="H191" s="1" t="s">
        <v>369</v>
      </c>
      <c r="I191" s="1" t="s">
        <v>370</v>
      </c>
      <c r="J191" s="1" t="s">
        <v>46</v>
      </c>
      <c r="K191" t="s">
        <v>457</v>
      </c>
      <c r="M191" s="1" t="s">
        <v>58</v>
      </c>
      <c r="N191" s="1">
        <v>0</v>
      </c>
      <c r="O191" s="1" t="s">
        <v>105</v>
      </c>
      <c r="P191" s="186">
        <v>44469.85728009259</v>
      </c>
      <c r="R191" s="1" t="s">
        <v>38</v>
      </c>
      <c r="T191" s="1" t="s">
        <v>157</v>
      </c>
      <c r="U191" s="186">
        <v>44508.75</v>
      </c>
      <c r="V191" s="1" t="s">
        <v>41</v>
      </c>
      <c r="W191" s="1" t="s">
        <v>49</v>
      </c>
      <c r="X191" s="13"/>
      <c r="Y191" s="2">
        <f t="shared" ca="1" si="12"/>
        <v>370</v>
      </c>
      <c r="Z191" s="14">
        <v>1</v>
      </c>
      <c r="AA191" s="1" t="str">
        <f t="shared" ca="1" si="13"/>
        <v>VENCIDO</v>
      </c>
      <c r="AB191" s="1" t="str">
        <f t="shared" si="14"/>
        <v>C-14</v>
      </c>
      <c r="AC191" s="2" t="str">
        <f t="shared" si="17"/>
        <v xml:space="preserve"> CLEITON </v>
      </c>
      <c r="AD191" s="2">
        <f t="shared" si="15"/>
        <v>5</v>
      </c>
      <c r="AE191" s="2">
        <f t="shared" ca="1" si="16"/>
        <v>-477.9262716435187</v>
      </c>
      <c r="AF191" s="15"/>
    </row>
    <row r="192" spans="1:32" hidden="1">
      <c r="A192" s="1">
        <v>7970308</v>
      </c>
      <c r="B192" s="1" t="s">
        <v>62</v>
      </c>
      <c r="C192" t="s">
        <v>453</v>
      </c>
      <c r="E192" s="2">
        <v>1833000203000</v>
      </c>
      <c r="F192" s="1" t="s">
        <v>454</v>
      </c>
      <c r="G192" s="1" t="s">
        <v>53</v>
      </c>
      <c r="H192" s="1" t="s">
        <v>369</v>
      </c>
      <c r="I192" s="1" t="s">
        <v>370</v>
      </c>
      <c r="J192" s="1" t="s">
        <v>46</v>
      </c>
      <c r="K192" t="s">
        <v>457</v>
      </c>
      <c r="M192" s="1" t="s">
        <v>58</v>
      </c>
      <c r="N192" s="1">
        <v>0</v>
      </c>
      <c r="O192" s="1" t="s">
        <v>105</v>
      </c>
      <c r="P192" s="186">
        <v>44469.85728009259</v>
      </c>
      <c r="R192" s="1" t="s">
        <v>38</v>
      </c>
      <c r="T192" s="1" t="s">
        <v>157</v>
      </c>
      <c r="U192" s="186">
        <v>44508.75</v>
      </c>
      <c r="V192" s="1" t="s">
        <v>41</v>
      </c>
      <c r="W192" s="1" t="s">
        <v>49</v>
      </c>
      <c r="X192" s="13"/>
      <c r="Y192" s="2">
        <f t="shared" ca="1" si="12"/>
        <v>370</v>
      </c>
      <c r="Z192" s="14">
        <v>1</v>
      </c>
      <c r="AA192" s="1" t="str">
        <f t="shared" ca="1" si="13"/>
        <v>VENCIDO</v>
      </c>
      <c r="AB192" s="1" t="str">
        <f t="shared" si="14"/>
        <v>C-14</v>
      </c>
      <c r="AC192" s="2" t="str">
        <f t="shared" si="17"/>
        <v xml:space="preserve"> CLEITON </v>
      </c>
      <c r="AD192" s="2">
        <f t="shared" si="15"/>
        <v>5</v>
      </c>
      <c r="AE192" s="2">
        <f t="shared" ca="1" si="16"/>
        <v>-477.9262716435187</v>
      </c>
      <c r="AF192" s="15"/>
    </row>
    <row r="193" spans="1:32" hidden="1">
      <c r="A193" s="1">
        <v>7970307</v>
      </c>
      <c r="B193" s="1" t="s">
        <v>62</v>
      </c>
      <c r="C193" t="s">
        <v>453</v>
      </c>
      <c r="E193" s="2">
        <v>1833000203000</v>
      </c>
      <c r="F193" s="1" t="s">
        <v>454</v>
      </c>
      <c r="G193" s="1" t="s">
        <v>53</v>
      </c>
      <c r="H193" s="1" t="s">
        <v>369</v>
      </c>
      <c r="I193" s="1" t="s">
        <v>370</v>
      </c>
      <c r="J193" s="1" t="s">
        <v>46</v>
      </c>
      <c r="K193" t="s">
        <v>457</v>
      </c>
      <c r="M193" s="1" t="s">
        <v>58</v>
      </c>
      <c r="N193" s="1">
        <v>0</v>
      </c>
      <c r="O193" s="1" t="s">
        <v>105</v>
      </c>
      <c r="P193" s="186">
        <v>44469.85728009259</v>
      </c>
      <c r="R193" s="1" t="s">
        <v>38</v>
      </c>
      <c r="T193" s="1" t="s">
        <v>157</v>
      </c>
      <c r="U193" s="186">
        <v>44508.75</v>
      </c>
      <c r="V193" s="1" t="s">
        <v>41</v>
      </c>
      <c r="W193" s="1" t="s">
        <v>49</v>
      </c>
      <c r="X193" s="13"/>
      <c r="Y193" s="2">
        <f t="shared" ca="1" si="12"/>
        <v>370</v>
      </c>
      <c r="Z193" s="14">
        <v>1</v>
      </c>
      <c r="AA193" s="1" t="str">
        <f t="shared" ca="1" si="13"/>
        <v>VENCIDO</v>
      </c>
      <c r="AB193" s="1" t="str">
        <f t="shared" si="14"/>
        <v>C-14</v>
      </c>
      <c r="AC193" s="2" t="str">
        <f t="shared" si="17"/>
        <v xml:space="preserve"> CLEITON </v>
      </c>
      <c r="AD193" s="2">
        <f t="shared" si="15"/>
        <v>5</v>
      </c>
      <c r="AE193" s="2">
        <f t="shared" ca="1" si="16"/>
        <v>-477.9262716435187</v>
      </c>
      <c r="AF193" s="15"/>
    </row>
    <row r="194" spans="1:32" hidden="1">
      <c r="A194" s="1">
        <v>7970306</v>
      </c>
      <c r="B194" s="1" t="s">
        <v>62</v>
      </c>
      <c r="C194" t="s">
        <v>453</v>
      </c>
      <c r="E194" s="2">
        <v>1833000203000</v>
      </c>
      <c r="F194" s="1" t="s">
        <v>454</v>
      </c>
      <c r="G194" s="1" t="s">
        <v>53</v>
      </c>
      <c r="H194" s="1" t="s">
        <v>369</v>
      </c>
      <c r="I194" s="1" t="s">
        <v>370</v>
      </c>
      <c r="J194" s="1" t="s">
        <v>46</v>
      </c>
      <c r="K194" t="s">
        <v>457</v>
      </c>
      <c r="M194" s="1" t="s">
        <v>58</v>
      </c>
      <c r="N194" s="1">
        <v>0</v>
      </c>
      <c r="O194" s="1" t="s">
        <v>105</v>
      </c>
      <c r="P194" s="186">
        <v>44469.85728009259</v>
      </c>
      <c r="R194" s="1" t="s">
        <v>38</v>
      </c>
      <c r="T194" s="1" t="s">
        <v>157</v>
      </c>
      <c r="U194" s="186">
        <v>44508.75</v>
      </c>
      <c r="V194" s="1" t="s">
        <v>41</v>
      </c>
      <c r="W194" s="1" t="s">
        <v>49</v>
      </c>
      <c r="X194" s="13"/>
      <c r="Y194" s="2">
        <f t="shared" ref="Y194:Y257" ca="1" si="18">NETWORKDAYS(P194,$Y$1)</f>
        <v>370</v>
      </c>
      <c r="Z194" s="14">
        <v>1</v>
      </c>
      <c r="AA194" s="1" t="str">
        <f t="shared" ref="AA194:AA257" ca="1" si="19">IF(AE194=0,"HOJE",IF(AE194&gt;0,"A VENCER",IF(AE194&lt;0,"VENCIDO")))</f>
        <v>VENCIDO</v>
      </c>
      <c r="AB194" s="1" t="str">
        <f t="shared" ref="AB194:AB257" si="20">IF(F194="GRPE-000001","C-14",IF(F194="GRPE-000002","C-14",IF(F194="GRPE-000003","C-14",IF(F194="GRPE-000004","SL-On",IF(F194="GRPE-000038","C-14",IF(F194="GRPE-900022","Dosa",IF(F194="GRPE-000029","Dosa",IF(F194="ATOS-000222","Dose","TAAe+"))))))))</f>
        <v>C-14</v>
      </c>
      <c r="AC194" s="2" t="str">
        <f t="shared" si="17"/>
        <v xml:space="preserve"> CLEITON </v>
      </c>
      <c r="AD194" s="2">
        <f t="shared" ref="AD194:AD257" si="21">IF(F194="GRPE-000001",5,IF(F194="GRPE-000002",5,IF(F194="GRPE-000003",15,IF(F194="GRPE-000004",1,IF(F194="GRPE-000038",5,IF(F194="GRPE-900022",5,IF(F194="GRPE-000029",5,IF(F194="ATOS-000222",5,8))))))))</f>
        <v>5</v>
      </c>
      <c r="AE194" s="2">
        <f t="shared" ref="AE194:AE257" ca="1" si="22">IF(U194=$AE$1,"",U194-$AE$1)</f>
        <v>-477.9262716435187</v>
      </c>
      <c r="AF194" s="15"/>
    </row>
    <row r="195" spans="1:32" hidden="1">
      <c r="A195" s="1">
        <v>7970305</v>
      </c>
      <c r="B195" s="1" t="s">
        <v>62</v>
      </c>
      <c r="C195" t="s">
        <v>453</v>
      </c>
      <c r="E195" s="2">
        <v>1833000203000</v>
      </c>
      <c r="F195" s="1" t="s">
        <v>454</v>
      </c>
      <c r="G195" s="1" t="s">
        <v>53</v>
      </c>
      <c r="H195" s="1" t="s">
        <v>369</v>
      </c>
      <c r="I195" s="1" t="s">
        <v>370</v>
      </c>
      <c r="J195" s="1" t="s">
        <v>46</v>
      </c>
      <c r="K195" t="s">
        <v>457</v>
      </c>
      <c r="M195" s="1" t="s">
        <v>58</v>
      </c>
      <c r="N195" s="1">
        <v>0</v>
      </c>
      <c r="O195" s="1" t="s">
        <v>105</v>
      </c>
      <c r="P195" s="186">
        <v>44469.85728009259</v>
      </c>
      <c r="R195" s="1" t="s">
        <v>38</v>
      </c>
      <c r="T195" s="1" t="s">
        <v>157</v>
      </c>
      <c r="U195" s="186">
        <v>44508.75</v>
      </c>
      <c r="V195" s="1" t="s">
        <v>41</v>
      </c>
      <c r="W195" s="1" t="s">
        <v>49</v>
      </c>
      <c r="X195" s="13"/>
      <c r="Y195" s="2">
        <f t="shared" ca="1" si="18"/>
        <v>370</v>
      </c>
      <c r="Z195" s="14">
        <v>1</v>
      </c>
      <c r="AA195" s="1" t="str">
        <f t="shared" ca="1" si="19"/>
        <v>VENCIDO</v>
      </c>
      <c r="AB195" s="1" t="str">
        <f t="shared" si="20"/>
        <v>C-14</v>
      </c>
      <c r="AC195" s="2" t="str">
        <f t="shared" ref="AC195:AC258" si="23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 xml:space="preserve"> CLEITON </v>
      </c>
      <c r="AD195" s="2">
        <f t="shared" si="21"/>
        <v>5</v>
      </c>
      <c r="AE195" s="2">
        <f t="shared" ca="1" si="22"/>
        <v>-477.9262716435187</v>
      </c>
      <c r="AF195" s="15"/>
    </row>
    <row r="196" spans="1:32" hidden="1">
      <c r="A196" s="1">
        <v>7970304</v>
      </c>
      <c r="B196" s="1" t="s">
        <v>62</v>
      </c>
      <c r="C196" t="s">
        <v>453</v>
      </c>
      <c r="E196" s="2">
        <v>1833000203000</v>
      </c>
      <c r="F196" s="1" t="s">
        <v>454</v>
      </c>
      <c r="G196" s="1" t="s">
        <v>53</v>
      </c>
      <c r="H196" s="1" t="s">
        <v>369</v>
      </c>
      <c r="I196" s="1" t="s">
        <v>370</v>
      </c>
      <c r="J196" s="1" t="s">
        <v>46</v>
      </c>
      <c r="K196" t="s">
        <v>457</v>
      </c>
      <c r="M196" s="1" t="s">
        <v>58</v>
      </c>
      <c r="N196" s="1">
        <v>0</v>
      </c>
      <c r="O196" s="1" t="s">
        <v>105</v>
      </c>
      <c r="P196" s="186">
        <v>44469.85728009259</v>
      </c>
      <c r="R196" s="1" t="s">
        <v>38</v>
      </c>
      <c r="T196" s="1" t="s">
        <v>157</v>
      </c>
      <c r="U196" s="186">
        <v>44508.75</v>
      </c>
      <c r="V196" s="1" t="s">
        <v>41</v>
      </c>
      <c r="W196" s="1" t="s">
        <v>49</v>
      </c>
      <c r="X196" s="13"/>
      <c r="Y196" s="2">
        <f t="shared" ca="1" si="18"/>
        <v>370</v>
      </c>
      <c r="Z196" s="14">
        <v>1</v>
      </c>
      <c r="AA196" s="1" t="str">
        <f t="shared" ca="1" si="19"/>
        <v>VENCIDO</v>
      </c>
      <c r="AB196" s="1" t="str">
        <f t="shared" si="20"/>
        <v>C-14</v>
      </c>
      <c r="AC196" s="2" t="str">
        <f t="shared" si="23"/>
        <v xml:space="preserve"> CLEITON </v>
      </c>
      <c r="AD196" s="2">
        <f t="shared" si="21"/>
        <v>5</v>
      </c>
      <c r="AE196" s="2">
        <f t="shared" ca="1" si="22"/>
        <v>-477.9262716435187</v>
      </c>
      <c r="AF196" s="15"/>
    </row>
    <row r="197" spans="1:32" hidden="1">
      <c r="A197" s="1">
        <v>7970303</v>
      </c>
      <c r="B197" s="1" t="s">
        <v>62</v>
      </c>
      <c r="C197" t="s">
        <v>453</v>
      </c>
      <c r="E197" s="2">
        <v>1833000203000</v>
      </c>
      <c r="F197" s="1" t="s">
        <v>454</v>
      </c>
      <c r="G197" s="1" t="s">
        <v>53</v>
      </c>
      <c r="H197" s="1" t="s">
        <v>369</v>
      </c>
      <c r="I197" s="1" t="s">
        <v>370</v>
      </c>
      <c r="J197" s="1" t="s">
        <v>46</v>
      </c>
      <c r="K197" t="s">
        <v>457</v>
      </c>
      <c r="M197" s="1" t="s">
        <v>58</v>
      </c>
      <c r="N197" s="1">
        <v>0</v>
      </c>
      <c r="O197" s="1" t="s">
        <v>105</v>
      </c>
      <c r="P197" s="186">
        <v>44469.85728009259</v>
      </c>
      <c r="R197" s="1" t="s">
        <v>38</v>
      </c>
      <c r="T197" s="1" t="s">
        <v>157</v>
      </c>
      <c r="U197" s="186">
        <v>44508.75</v>
      </c>
      <c r="V197" s="1" t="s">
        <v>41</v>
      </c>
      <c r="W197" s="1" t="s">
        <v>49</v>
      </c>
      <c r="X197" s="13"/>
      <c r="Y197" s="2">
        <f t="shared" ca="1" si="18"/>
        <v>370</v>
      </c>
      <c r="Z197" s="14">
        <v>1</v>
      </c>
      <c r="AA197" s="1" t="str">
        <f t="shared" ca="1" si="19"/>
        <v>VENCIDO</v>
      </c>
      <c r="AB197" s="1" t="str">
        <f t="shared" si="20"/>
        <v>C-14</v>
      </c>
      <c r="AC197" s="2" t="str">
        <f t="shared" si="23"/>
        <v xml:space="preserve"> CLEITON </v>
      </c>
      <c r="AD197" s="2">
        <f t="shared" si="21"/>
        <v>5</v>
      </c>
      <c r="AE197" s="2">
        <f t="shared" ca="1" si="22"/>
        <v>-477.9262716435187</v>
      </c>
      <c r="AF197" s="15"/>
    </row>
    <row r="198" spans="1:32" hidden="1">
      <c r="A198" s="1">
        <v>7970302</v>
      </c>
      <c r="B198" s="1" t="s">
        <v>62</v>
      </c>
      <c r="C198" t="s">
        <v>453</v>
      </c>
      <c r="E198" s="2">
        <v>1833000203000</v>
      </c>
      <c r="F198" s="1" t="s">
        <v>454</v>
      </c>
      <c r="G198" s="1" t="s">
        <v>53</v>
      </c>
      <c r="H198" s="1" t="s">
        <v>369</v>
      </c>
      <c r="I198" s="1" t="s">
        <v>370</v>
      </c>
      <c r="J198" s="1" t="s">
        <v>46</v>
      </c>
      <c r="K198" t="s">
        <v>457</v>
      </c>
      <c r="M198" s="1" t="s">
        <v>58</v>
      </c>
      <c r="N198" s="1">
        <v>0</v>
      </c>
      <c r="O198" s="1" t="s">
        <v>105</v>
      </c>
      <c r="P198" s="186">
        <v>44469.85728009259</v>
      </c>
      <c r="R198" s="1" t="s">
        <v>38</v>
      </c>
      <c r="T198" s="1" t="s">
        <v>157</v>
      </c>
      <c r="U198" s="186">
        <v>44508.75</v>
      </c>
      <c r="V198" s="1" t="s">
        <v>41</v>
      </c>
      <c r="W198" s="1" t="s">
        <v>49</v>
      </c>
      <c r="X198" s="13"/>
      <c r="Y198" s="2">
        <f t="shared" ca="1" si="18"/>
        <v>370</v>
      </c>
      <c r="Z198" s="14">
        <v>1</v>
      </c>
      <c r="AA198" s="1" t="str">
        <f t="shared" ca="1" si="19"/>
        <v>VENCIDO</v>
      </c>
      <c r="AB198" s="1" t="str">
        <f t="shared" si="20"/>
        <v>C-14</v>
      </c>
      <c r="AC198" s="2" t="str">
        <f t="shared" si="23"/>
        <v xml:space="preserve"> CLEITON </v>
      </c>
      <c r="AD198" s="2">
        <f t="shared" si="21"/>
        <v>5</v>
      </c>
      <c r="AE198" s="2">
        <f t="shared" ca="1" si="22"/>
        <v>-477.9262716435187</v>
      </c>
      <c r="AF198" s="15"/>
    </row>
    <row r="199" spans="1:32" hidden="1">
      <c r="A199" s="1">
        <v>7970301</v>
      </c>
      <c r="B199" s="1" t="s">
        <v>62</v>
      </c>
      <c r="C199" t="s">
        <v>453</v>
      </c>
      <c r="E199" s="2">
        <v>1833000203000</v>
      </c>
      <c r="F199" s="1" t="s">
        <v>454</v>
      </c>
      <c r="G199" s="1" t="s">
        <v>53</v>
      </c>
      <c r="H199" s="1" t="s">
        <v>369</v>
      </c>
      <c r="I199" s="1" t="s">
        <v>370</v>
      </c>
      <c r="J199" s="1" t="s">
        <v>46</v>
      </c>
      <c r="K199" t="s">
        <v>457</v>
      </c>
      <c r="M199" s="1" t="s">
        <v>58</v>
      </c>
      <c r="N199" s="1">
        <v>0</v>
      </c>
      <c r="O199" s="1" t="s">
        <v>105</v>
      </c>
      <c r="P199" s="186">
        <v>44469.857268518521</v>
      </c>
      <c r="R199" s="1" t="s">
        <v>38</v>
      </c>
      <c r="T199" s="1" t="s">
        <v>157</v>
      </c>
      <c r="U199" s="186">
        <v>44508.75</v>
      </c>
      <c r="V199" s="1" t="s">
        <v>41</v>
      </c>
      <c r="W199" s="1" t="s">
        <v>49</v>
      </c>
      <c r="X199" s="13"/>
      <c r="Y199" s="2">
        <f t="shared" ca="1" si="18"/>
        <v>370</v>
      </c>
      <c r="Z199" s="14">
        <v>1</v>
      </c>
      <c r="AA199" s="1" t="str">
        <f t="shared" ca="1" si="19"/>
        <v>VENCIDO</v>
      </c>
      <c r="AB199" s="1" t="str">
        <f t="shared" si="20"/>
        <v>C-14</v>
      </c>
      <c r="AC199" s="2" t="str">
        <f t="shared" si="23"/>
        <v xml:space="preserve"> CLEITON </v>
      </c>
      <c r="AD199" s="2">
        <f t="shared" si="21"/>
        <v>5</v>
      </c>
      <c r="AE199" s="2">
        <f t="shared" ca="1" si="22"/>
        <v>-477.9262716435187</v>
      </c>
      <c r="AF199" s="15"/>
    </row>
    <row r="200" spans="1:32" hidden="1">
      <c r="A200" s="1">
        <v>7970300</v>
      </c>
      <c r="B200" s="1" t="s">
        <v>62</v>
      </c>
      <c r="C200" t="s">
        <v>453</v>
      </c>
      <c r="E200" s="2">
        <v>1833000203000</v>
      </c>
      <c r="F200" s="1" t="s">
        <v>454</v>
      </c>
      <c r="G200" s="1" t="s">
        <v>53</v>
      </c>
      <c r="H200" s="1" t="s">
        <v>369</v>
      </c>
      <c r="I200" s="1" t="s">
        <v>370</v>
      </c>
      <c r="J200" s="1" t="s">
        <v>46</v>
      </c>
      <c r="K200" t="s">
        <v>457</v>
      </c>
      <c r="M200" s="1" t="s">
        <v>58</v>
      </c>
      <c r="N200" s="1">
        <v>0</v>
      </c>
      <c r="O200" s="1" t="s">
        <v>105</v>
      </c>
      <c r="P200" s="186">
        <v>44469.857268518521</v>
      </c>
      <c r="R200" s="1" t="s">
        <v>38</v>
      </c>
      <c r="T200" s="1" t="s">
        <v>157</v>
      </c>
      <c r="U200" s="186">
        <v>44508.75</v>
      </c>
      <c r="V200" s="1" t="s">
        <v>41</v>
      </c>
      <c r="W200" s="1" t="s">
        <v>49</v>
      </c>
      <c r="X200" s="13"/>
      <c r="Y200" s="2">
        <f t="shared" ca="1" si="18"/>
        <v>370</v>
      </c>
      <c r="Z200" s="14">
        <v>1</v>
      </c>
      <c r="AA200" s="1" t="str">
        <f t="shared" ca="1" si="19"/>
        <v>VENCIDO</v>
      </c>
      <c r="AB200" s="1" t="str">
        <f t="shared" si="20"/>
        <v>C-14</v>
      </c>
      <c r="AC200" s="2" t="str">
        <f t="shared" si="23"/>
        <v xml:space="preserve"> CLEITON </v>
      </c>
      <c r="AD200" s="2">
        <f t="shared" si="21"/>
        <v>5</v>
      </c>
      <c r="AE200" s="2">
        <f t="shared" ca="1" si="22"/>
        <v>-477.9262716435187</v>
      </c>
      <c r="AF200" s="15"/>
    </row>
    <row r="201" spans="1:32" hidden="1">
      <c r="A201" s="1">
        <v>7970299</v>
      </c>
      <c r="B201" s="1" t="s">
        <v>62</v>
      </c>
      <c r="C201" t="s">
        <v>453</v>
      </c>
      <c r="E201" s="2">
        <v>1833000203000</v>
      </c>
      <c r="F201" s="1" t="s">
        <v>454</v>
      </c>
      <c r="G201" s="1" t="s">
        <v>53</v>
      </c>
      <c r="H201" s="1" t="s">
        <v>369</v>
      </c>
      <c r="I201" s="1" t="s">
        <v>370</v>
      </c>
      <c r="J201" s="1" t="s">
        <v>46</v>
      </c>
      <c r="K201" t="s">
        <v>457</v>
      </c>
      <c r="M201" s="1" t="s">
        <v>58</v>
      </c>
      <c r="N201" s="1">
        <v>0</v>
      </c>
      <c r="O201" s="1" t="s">
        <v>105</v>
      </c>
      <c r="P201" s="186">
        <v>44469.857268518521</v>
      </c>
      <c r="R201" s="1" t="s">
        <v>38</v>
      </c>
      <c r="T201" s="1" t="s">
        <v>157</v>
      </c>
      <c r="U201" s="186">
        <v>44508.75</v>
      </c>
      <c r="V201" s="1" t="s">
        <v>41</v>
      </c>
      <c r="W201" s="1" t="s">
        <v>49</v>
      </c>
      <c r="X201" s="13"/>
      <c r="Y201" s="2">
        <f t="shared" ca="1" si="18"/>
        <v>370</v>
      </c>
      <c r="Z201" s="14">
        <v>1</v>
      </c>
      <c r="AA201" s="1" t="str">
        <f t="shared" ca="1" si="19"/>
        <v>VENCIDO</v>
      </c>
      <c r="AB201" s="1" t="str">
        <f t="shared" si="20"/>
        <v>C-14</v>
      </c>
      <c r="AC201" s="2" t="str">
        <f t="shared" si="23"/>
        <v xml:space="preserve"> CLEITON </v>
      </c>
      <c r="AD201" s="2">
        <f t="shared" si="21"/>
        <v>5</v>
      </c>
      <c r="AE201" s="2">
        <f t="shared" ca="1" si="22"/>
        <v>-477.9262716435187</v>
      </c>
      <c r="AF201" s="15"/>
    </row>
    <row r="202" spans="1:32" hidden="1">
      <c r="A202" s="1">
        <v>7970298</v>
      </c>
      <c r="B202" s="1" t="s">
        <v>62</v>
      </c>
      <c r="C202" t="s">
        <v>453</v>
      </c>
      <c r="E202" s="2">
        <v>1833000203000</v>
      </c>
      <c r="F202" s="1" t="s">
        <v>454</v>
      </c>
      <c r="G202" s="1" t="s">
        <v>53</v>
      </c>
      <c r="H202" s="1" t="s">
        <v>369</v>
      </c>
      <c r="I202" s="1" t="s">
        <v>370</v>
      </c>
      <c r="J202" s="1" t="s">
        <v>46</v>
      </c>
      <c r="K202" t="s">
        <v>457</v>
      </c>
      <c r="M202" s="1" t="s">
        <v>58</v>
      </c>
      <c r="N202" s="1">
        <v>0</v>
      </c>
      <c r="O202" s="1" t="s">
        <v>105</v>
      </c>
      <c r="P202" s="186">
        <v>44469.857268518521</v>
      </c>
      <c r="R202" s="1" t="s">
        <v>38</v>
      </c>
      <c r="T202" s="1" t="s">
        <v>157</v>
      </c>
      <c r="U202" s="186">
        <v>44508.75</v>
      </c>
      <c r="V202" s="1" t="s">
        <v>41</v>
      </c>
      <c r="W202" s="1" t="s">
        <v>49</v>
      </c>
      <c r="X202" s="13"/>
      <c r="Y202" s="2">
        <f t="shared" ca="1" si="18"/>
        <v>370</v>
      </c>
      <c r="Z202" s="14">
        <v>1</v>
      </c>
      <c r="AA202" s="1" t="str">
        <f t="shared" ca="1" si="19"/>
        <v>VENCIDO</v>
      </c>
      <c r="AB202" s="1" t="str">
        <f t="shared" si="20"/>
        <v>C-14</v>
      </c>
      <c r="AC202" s="2" t="str">
        <f t="shared" si="23"/>
        <v xml:space="preserve"> CLEITON </v>
      </c>
      <c r="AD202" s="2">
        <f t="shared" si="21"/>
        <v>5</v>
      </c>
      <c r="AE202" s="2">
        <f t="shared" ca="1" si="22"/>
        <v>-477.9262716435187</v>
      </c>
      <c r="AF202" s="15"/>
    </row>
    <row r="203" spans="1:32" hidden="1">
      <c r="A203" s="1">
        <v>7970297</v>
      </c>
      <c r="B203" s="1" t="s">
        <v>62</v>
      </c>
      <c r="C203" t="s">
        <v>453</v>
      </c>
      <c r="E203" s="2">
        <v>1833000203000</v>
      </c>
      <c r="F203" s="1" t="s">
        <v>454</v>
      </c>
      <c r="G203" s="1" t="s">
        <v>53</v>
      </c>
      <c r="H203" s="1" t="s">
        <v>369</v>
      </c>
      <c r="I203" s="1" t="s">
        <v>370</v>
      </c>
      <c r="J203" s="1" t="s">
        <v>46</v>
      </c>
      <c r="K203" t="s">
        <v>457</v>
      </c>
      <c r="M203" s="1" t="s">
        <v>58</v>
      </c>
      <c r="N203" s="1">
        <v>0</v>
      </c>
      <c r="O203" s="1" t="s">
        <v>105</v>
      </c>
      <c r="P203" s="186">
        <v>44469.857268518521</v>
      </c>
      <c r="R203" s="1" t="s">
        <v>38</v>
      </c>
      <c r="T203" s="1" t="s">
        <v>157</v>
      </c>
      <c r="U203" s="186">
        <v>44508.75</v>
      </c>
      <c r="V203" s="1" t="s">
        <v>41</v>
      </c>
      <c r="W203" s="1" t="s">
        <v>49</v>
      </c>
      <c r="X203" s="13"/>
      <c r="Y203" s="2">
        <f t="shared" ca="1" si="18"/>
        <v>370</v>
      </c>
      <c r="Z203" s="14">
        <v>1</v>
      </c>
      <c r="AA203" s="1" t="str">
        <f t="shared" ca="1" si="19"/>
        <v>VENCIDO</v>
      </c>
      <c r="AB203" s="1" t="str">
        <f t="shared" si="20"/>
        <v>C-14</v>
      </c>
      <c r="AC203" s="2" t="str">
        <f t="shared" si="23"/>
        <v xml:space="preserve"> CLEITON </v>
      </c>
      <c r="AD203" s="2">
        <f t="shared" si="21"/>
        <v>5</v>
      </c>
      <c r="AE203" s="2">
        <f t="shared" ca="1" si="22"/>
        <v>-477.9262716435187</v>
      </c>
      <c r="AF203" s="15"/>
    </row>
    <row r="204" spans="1:32" hidden="1">
      <c r="A204" s="1">
        <v>7970296</v>
      </c>
      <c r="B204" s="1" t="s">
        <v>62</v>
      </c>
      <c r="C204" t="s">
        <v>453</v>
      </c>
      <c r="E204" s="2">
        <v>1833000203000</v>
      </c>
      <c r="F204" s="1" t="s">
        <v>454</v>
      </c>
      <c r="G204" s="1" t="s">
        <v>53</v>
      </c>
      <c r="H204" s="1" t="s">
        <v>369</v>
      </c>
      <c r="I204" s="1" t="s">
        <v>370</v>
      </c>
      <c r="J204" s="1" t="s">
        <v>46</v>
      </c>
      <c r="K204" t="s">
        <v>457</v>
      </c>
      <c r="M204" s="1" t="s">
        <v>58</v>
      </c>
      <c r="N204" s="1">
        <v>0</v>
      </c>
      <c r="O204" s="1" t="s">
        <v>105</v>
      </c>
      <c r="P204" s="186">
        <v>44469.857268518521</v>
      </c>
      <c r="R204" s="1" t="s">
        <v>38</v>
      </c>
      <c r="T204" s="1" t="s">
        <v>157</v>
      </c>
      <c r="U204" s="186">
        <v>44508.75</v>
      </c>
      <c r="V204" s="1" t="s">
        <v>41</v>
      </c>
      <c r="W204" s="1" t="s">
        <v>49</v>
      </c>
      <c r="X204" s="13"/>
      <c r="Y204" s="2">
        <f t="shared" ca="1" si="18"/>
        <v>370</v>
      </c>
      <c r="Z204" s="14">
        <v>1</v>
      </c>
      <c r="AA204" s="1" t="str">
        <f t="shared" ca="1" si="19"/>
        <v>VENCIDO</v>
      </c>
      <c r="AB204" s="1" t="str">
        <f t="shared" si="20"/>
        <v>C-14</v>
      </c>
      <c r="AC204" s="2" t="str">
        <f t="shared" si="23"/>
        <v xml:space="preserve"> CLEITON </v>
      </c>
      <c r="AD204" s="2">
        <f t="shared" si="21"/>
        <v>5</v>
      </c>
      <c r="AE204" s="2">
        <f t="shared" ca="1" si="22"/>
        <v>-477.9262716435187</v>
      </c>
      <c r="AF204" s="15"/>
    </row>
    <row r="205" spans="1:32" hidden="1">
      <c r="A205" s="1">
        <v>7970241</v>
      </c>
      <c r="B205" s="1" t="s">
        <v>62</v>
      </c>
      <c r="C205" t="s">
        <v>453</v>
      </c>
      <c r="E205" s="2">
        <v>1792000203000</v>
      </c>
      <c r="F205" s="1" t="s">
        <v>454</v>
      </c>
      <c r="G205" s="1" t="s">
        <v>53</v>
      </c>
      <c r="H205" s="1" t="s">
        <v>467</v>
      </c>
      <c r="I205" s="1" t="s">
        <v>468</v>
      </c>
      <c r="J205" s="1" t="s">
        <v>110</v>
      </c>
      <c r="K205" t="s">
        <v>457</v>
      </c>
      <c r="M205" s="1" t="s">
        <v>58</v>
      </c>
      <c r="N205" s="1">
        <v>0</v>
      </c>
      <c r="O205" s="1" t="s">
        <v>105</v>
      </c>
      <c r="P205" s="186">
        <v>44469.857175925928</v>
      </c>
      <c r="R205" s="1" t="s">
        <v>38</v>
      </c>
      <c r="T205" s="1" t="s">
        <v>157</v>
      </c>
      <c r="U205" s="186">
        <v>44508.75</v>
      </c>
      <c r="V205" s="1" t="s">
        <v>41</v>
      </c>
      <c r="W205" s="1" t="s">
        <v>49</v>
      </c>
      <c r="X205" s="13"/>
      <c r="Y205" s="2">
        <f t="shared" ca="1" si="18"/>
        <v>370</v>
      </c>
      <c r="Z205" s="14">
        <v>1</v>
      </c>
      <c r="AA205" s="1" t="str">
        <f t="shared" ca="1" si="19"/>
        <v>VENCIDO</v>
      </c>
      <c r="AB205" s="1" t="str">
        <f t="shared" si="20"/>
        <v>C-14</v>
      </c>
      <c r="AC205" s="2" t="str">
        <f t="shared" si="23"/>
        <v xml:space="preserve"> CRISTINA </v>
      </c>
      <c r="AD205" s="2">
        <f t="shared" si="21"/>
        <v>5</v>
      </c>
      <c r="AE205" s="2">
        <f t="shared" ca="1" si="22"/>
        <v>-477.9262716435187</v>
      </c>
      <c r="AF205" s="15"/>
    </row>
    <row r="206" spans="1:32" hidden="1">
      <c r="A206" s="1">
        <v>7970240</v>
      </c>
      <c r="B206" s="1" t="s">
        <v>62</v>
      </c>
      <c r="C206" t="s">
        <v>453</v>
      </c>
      <c r="E206" s="2">
        <v>1792000203000</v>
      </c>
      <c r="F206" s="1" t="s">
        <v>454</v>
      </c>
      <c r="G206" s="1" t="s">
        <v>53</v>
      </c>
      <c r="H206" s="1" t="s">
        <v>467</v>
      </c>
      <c r="I206" s="1" t="s">
        <v>468</v>
      </c>
      <c r="J206" s="1" t="s">
        <v>110</v>
      </c>
      <c r="K206" t="s">
        <v>457</v>
      </c>
      <c r="M206" s="1" t="s">
        <v>58</v>
      </c>
      <c r="N206" s="1">
        <v>0</v>
      </c>
      <c r="O206" s="1" t="s">
        <v>105</v>
      </c>
      <c r="P206" s="186">
        <v>44469.857164351852</v>
      </c>
      <c r="R206" s="1" t="s">
        <v>38</v>
      </c>
      <c r="T206" s="1" t="s">
        <v>157</v>
      </c>
      <c r="U206" s="186">
        <v>44508.75</v>
      </c>
      <c r="V206" s="1" t="s">
        <v>41</v>
      </c>
      <c r="W206" s="1" t="s">
        <v>49</v>
      </c>
      <c r="X206" s="13"/>
      <c r="Y206" s="2">
        <f t="shared" ca="1" si="18"/>
        <v>370</v>
      </c>
      <c r="Z206" s="14">
        <v>1</v>
      </c>
      <c r="AA206" s="1" t="str">
        <f t="shared" ca="1" si="19"/>
        <v>VENCIDO</v>
      </c>
      <c r="AB206" s="1" t="str">
        <f t="shared" si="20"/>
        <v>C-14</v>
      </c>
      <c r="AC206" s="2" t="str">
        <f t="shared" si="23"/>
        <v xml:space="preserve"> CRISTINA </v>
      </c>
      <c r="AD206" s="2">
        <f t="shared" si="21"/>
        <v>5</v>
      </c>
      <c r="AE206" s="2">
        <f t="shared" ca="1" si="22"/>
        <v>-477.9262716435187</v>
      </c>
      <c r="AF206" s="15"/>
    </row>
    <row r="207" spans="1:32" hidden="1">
      <c r="A207" s="1">
        <v>7970239</v>
      </c>
      <c r="B207" s="1" t="s">
        <v>62</v>
      </c>
      <c r="C207" t="s">
        <v>453</v>
      </c>
      <c r="E207" s="2">
        <v>1792000203000</v>
      </c>
      <c r="F207" s="1" t="s">
        <v>454</v>
      </c>
      <c r="G207" s="1" t="s">
        <v>53</v>
      </c>
      <c r="H207" s="1" t="s">
        <v>467</v>
      </c>
      <c r="I207" s="1" t="s">
        <v>468</v>
      </c>
      <c r="J207" s="1" t="s">
        <v>110</v>
      </c>
      <c r="K207" t="s">
        <v>457</v>
      </c>
      <c r="M207" s="1" t="s">
        <v>58</v>
      </c>
      <c r="N207" s="1">
        <v>0</v>
      </c>
      <c r="O207" s="1" t="s">
        <v>105</v>
      </c>
      <c r="P207" s="186">
        <v>44469.857164351852</v>
      </c>
      <c r="R207" s="1" t="s">
        <v>38</v>
      </c>
      <c r="T207" s="1" t="s">
        <v>157</v>
      </c>
      <c r="U207" s="186">
        <v>44508.75</v>
      </c>
      <c r="V207" s="1" t="s">
        <v>41</v>
      </c>
      <c r="W207" s="1" t="s">
        <v>49</v>
      </c>
      <c r="X207" s="13"/>
      <c r="Y207" s="2">
        <f t="shared" ca="1" si="18"/>
        <v>370</v>
      </c>
      <c r="Z207" s="14">
        <v>1</v>
      </c>
      <c r="AA207" s="1" t="str">
        <f t="shared" ca="1" si="19"/>
        <v>VENCIDO</v>
      </c>
      <c r="AB207" s="1" t="str">
        <f t="shared" si="20"/>
        <v>C-14</v>
      </c>
      <c r="AC207" s="2" t="str">
        <f t="shared" si="23"/>
        <v xml:space="preserve"> CRISTINA </v>
      </c>
      <c r="AD207" s="2">
        <f t="shared" si="21"/>
        <v>5</v>
      </c>
      <c r="AE207" s="2">
        <f t="shared" ca="1" si="22"/>
        <v>-477.9262716435187</v>
      </c>
      <c r="AF207" s="15"/>
    </row>
    <row r="208" spans="1:32" hidden="1">
      <c r="A208" s="1">
        <v>7970238</v>
      </c>
      <c r="B208" s="1" t="s">
        <v>62</v>
      </c>
      <c r="C208" t="s">
        <v>453</v>
      </c>
      <c r="E208" s="2">
        <v>1792000203000</v>
      </c>
      <c r="F208" s="1" t="s">
        <v>454</v>
      </c>
      <c r="G208" s="1" t="s">
        <v>53</v>
      </c>
      <c r="H208" s="1" t="s">
        <v>467</v>
      </c>
      <c r="I208" s="1" t="s">
        <v>468</v>
      </c>
      <c r="J208" s="1" t="s">
        <v>110</v>
      </c>
      <c r="K208" t="s">
        <v>457</v>
      </c>
      <c r="M208" s="1" t="s">
        <v>58</v>
      </c>
      <c r="N208" s="1">
        <v>0</v>
      </c>
      <c r="O208" s="1" t="s">
        <v>105</v>
      </c>
      <c r="P208" s="186">
        <v>44469.857164351852</v>
      </c>
      <c r="R208" s="1" t="s">
        <v>38</v>
      </c>
      <c r="T208" s="1" t="s">
        <v>157</v>
      </c>
      <c r="U208" s="186">
        <v>44508.75</v>
      </c>
      <c r="V208" s="1" t="s">
        <v>41</v>
      </c>
      <c r="W208" s="1" t="s">
        <v>49</v>
      </c>
      <c r="X208" s="13"/>
      <c r="Y208" s="2">
        <f t="shared" ca="1" si="18"/>
        <v>370</v>
      </c>
      <c r="Z208" s="14">
        <v>1</v>
      </c>
      <c r="AA208" s="1" t="str">
        <f t="shared" ca="1" si="19"/>
        <v>VENCIDO</v>
      </c>
      <c r="AB208" s="1" t="str">
        <f t="shared" si="20"/>
        <v>C-14</v>
      </c>
      <c r="AC208" s="2" t="str">
        <f t="shared" si="23"/>
        <v xml:space="preserve"> CRISTINA </v>
      </c>
      <c r="AD208" s="2">
        <f t="shared" si="21"/>
        <v>5</v>
      </c>
      <c r="AE208" s="2">
        <f t="shared" ca="1" si="22"/>
        <v>-477.9262716435187</v>
      </c>
      <c r="AF208" s="15"/>
    </row>
    <row r="209" spans="1:32" hidden="1">
      <c r="A209" s="1">
        <v>7970237</v>
      </c>
      <c r="B209" s="1" t="s">
        <v>62</v>
      </c>
      <c r="C209" t="s">
        <v>453</v>
      </c>
      <c r="E209" s="2">
        <v>1792000203000</v>
      </c>
      <c r="F209" s="1" t="s">
        <v>454</v>
      </c>
      <c r="G209" s="1" t="s">
        <v>53</v>
      </c>
      <c r="H209" s="1" t="s">
        <v>467</v>
      </c>
      <c r="I209" s="1" t="s">
        <v>468</v>
      </c>
      <c r="J209" s="1" t="s">
        <v>110</v>
      </c>
      <c r="K209" t="s">
        <v>457</v>
      </c>
      <c r="M209" s="1" t="s">
        <v>58</v>
      </c>
      <c r="N209" s="1">
        <v>0</v>
      </c>
      <c r="O209" s="1" t="s">
        <v>105</v>
      </c>
      <c r="P209" s="186">
        <v>44469.857164351852</v>
      </c>
      <c r="R209" s="1" t="s">
        <v>38</v>
      </c>
      <c r="T209" s="1" t="s">
        <v>157</v>
      </c>
      <c r="U209" s="186">
        <v>44508.75</v>
      </c>
      <c r="V209" s="1" t="s">
        <v>41</v>
      </c>
      <c r="W209" s="1" t="s">
        <v>49</v>
      </c>
      <c r="X209" s="13"/>
      <c r="Y209" s="2">
        <f t="shared" ca="1" si="18"/>
        <v>370</v>
      </c>
      <c r="Z209" s="14">
        <v>1</v>
      </c>
      <c r="AA209" s="1" t="str">
        <f t="shared" ca="1" si="19"/>
        <v>VENCIDO</v>
      </c>
      <c r="AB209" s="1" t="str">
        <f t="shared" si="20"/>
        <v>C-14</v>
      </c>
      <c r="AC209" s="2" t="str">
        <f t="shared" si="23"/>
        <v xml:space="preserve"> CRISTINA </v>
      </c>
      <c r="AD209" s="2">
        <f t="shared" si="21"/>
        <v>5</v>
      </c>
      <c r="AE209" s="2">
        <f t="shared" ca="1" si="22"/>
        <v>-477.9262716435187</v>
      </c>
      <c r="AF209" s="15"/>
    </row>
    <row r="210" spans="1:32" hidden="1">
      <c r="A210" s="1">
        <v>7970218</v>
      </c>
      <c r="B210" s="1" t="s">
        <v>62</v>
      </c>
      <c r="C210" t="s">
        <v>453</v>
      </c>
      <c r="E210" s="2">
        <v>1363000203000</v>
      </c>
      <c r="F210" s="1" t="s">
        <v>454</v>
      </c>
      <c r="G210" s="1" t="s">
        <v>53</v>
      </c>
      <c r="H210" s="1" t="s">
        <v>108</v>
      </c>
      <c r="I210" s="1" t="s">
        <v>109</v>
      </c>
      <c r="J210" s="1" t="s">
        <v>110</v>
      </c>
      <c r="K210" t="s">
        <v>457</v>
      </c>
      <c r="M210" s="1" t="s">
        <v>58</v>
      </c>
      <c r="N210" s="1">
        <v>0</v>
      </c>
      <c r="O210" s="1" t="s">
        <v>36</v>
      </c>
      <c r="P210" s="186">
        <v>44469.857141203705</v>
      </c>
      <c r="R210" s="1" t="s">
        <v>38</v>
      </c>
      <c r="T210" s="1" t="s">
        <v>157</v>
      </c>
      <c r="U210" s="186">
        <v>44508.75</v>
      </c>
      <c r="V210" s="1" t="s">
        <v>41</v>
      </c>
      <c r="W210" s="1" t="s">
        <v>49</v>
      </c>
      <c r="X210" s="13"/>
      <c r="Y210" s="2">
        <f t="shared" ca="1" si="18"/>
        <v>370</v>
      </c>
      <c r="Z210" s="14">
        <v>1</v>
      </c>
      <c r="AA210" s="1" t="str">
        <f t="shared" ca="1" si="19"/>
        <v>VENCIDO</v>
      </c>
      <c r="AB210" s="1" t="str">
        <f t="shared" si="20"/>
        <v>C-14</v>
      </c>
      <c r="AC210" s="2" t="str">
        <f t="shared" si="23"/>
        <v xml:space="preserve"> CRISTINA </v>
      </c>
      <c r="AD210" s="2">
        <f t="shared" si="21"/>
        <v>5</v>
      </c>
      <c r="AE210" s="2">
        <f t="shared" ca="1" si="22"/>
        <v>-477.9262716435187</v>
      </c>
      <c r="AF210" s="15"/>
    </row>
    <row r="211" spans="1:32">
      <c r="A211" s="1">
        <v>7998831</v>
      </c>
      <c r="B211" s="1" t="s">
        <v>27</v>
      </c>
      <c r="C211" t="s">
        <v>470</v>
      </c>
      <c r="E211" s="2">
        <v>2229000206001</v>
      </c>
      <c r="F211" s="1" t="s">
        <v>29</v>
      </c>
      <c r="G211" s="1" t="s">
        <v>53</v>
      </c>
      <c r="H211" s="1" t="s">
        <v>339</v>
      </c>
      <c r="I211" s="1" t="s">
        <v>340</v>
      </c>
      <c r="J211" s="1" t="s">
        <v>211</v>
      </c>
      <c r="K211" t="s">
        <v>34</v>
      </c>
      <c r="M211" s="1" t="s">
        <v>35</v>
      </c>
      <c r="N211" s="1">
        <v>42318949</v>
      </c>
      <c r="O211" s="1" t="s">
        <v>105</v>
      </c>
      <c r="P211" s="186">
        <v>44474.679016203707</v>
      </c>
      <c r="R211" s="1" t="s">
        <v>38</v>
      </c>
      <c r="T211" s="1" t="s">
        <v>74</v>
      </c>
      <c r="U211" s="186">
        <v>44474.75</v>
      </c>
      <c r="V211" s="1" t="s">
        <v>41</v>
      </c>
      <c r="W211" s="1" t="s">
        <v>49</v>
      </c>
      <c r="X211" s="13"/>
      <c r="Y211" s="2">
        <f t="shared" ca="1" si="18"/>
        <v>367</v>
      </c>
      <c r="Z211" s="14">
        <v>1</v>
      </c>
      <c r="AA211" s="1" t="str">
        <f t="shared" ca="1" si="19"/>
        <v>VENCIDO</v>
      </c>
      <c r="AB211" s="1" t="str">
        <f t="shared" si="20"/>
        <v>Dosa</v>
      </c>
      <c r="AC211" s="2" t="str">
        <f t="shared" si="23"/>
        <v xml:space="preserve"> RINALDO </v>
      </c>
      <c r="AD211" s="2">
        <f t="shared" si="21"/>
        <v>5</v>
      </c>
      <c r="AE211" s="2">
        <f t="shared" ca="1" si="22"/>
        <v>-511.9262716435187</v>
      </c>
      <c r="AF211" s="15"/>
    </row>
    <row r="212" spans="1:32">
      <c r="A212" s="1">
        <v>8014132</v>
      </c>
      <c r="B212" s="1" t="s">
        <v>27</v>
      </c>
      <c r="C212" t="s">
        <v>470</v>
      </c>
      <c r="E212" s="2">
        <v>1069000206001</v>
      </c>
      <c r="F212" s="1" t="s">
        <v>29</v>
      </c>
      <c r="G212" s="1" t="s">
        <v>53</v>
      </c>
      <c r="H212" s="1" t="s">
        <v>353</v>
      </c>
      <c r="I212" s="1" t="s">
        <v>354</v>
      </c>
      <c r="J212" s="1" t="s">
        <v>211</v>
      </c>
      <c r="K212" t="s">
        <v>34</v>
      </c>
      <c r="M212" s="1" t="s">
        <v>35</v>
      </c>
      <c r="N212" s="1">
        <v>42318949</v>
      </c>
      <c r="O212" s="1" t="s">
        <v>105</v>
      </c>
      <c r="P212" s="186">
        <v>44480.687534722223</v>
      </c>
      <c r="R212" s="1" t="s">
        <v>38</v>
      </c>
      <c r="T212" s="1" t="s">
        <v>74</v>
      </c>
      <c r="U212" s="186">
        <v>44480.75</v>
      </c>
      <c r="V212" s="1" t="s">
        <v>41</v>
      </c>
      <c r="W212" s="1" t="s">
        <v>49</v>
      </c>
      <c r="X212" s="13"/>
      <c r="Y212" s="2">
        <f t="shared" ca="1" si="18"/>
        <v>363</v>
      </c>
      <c r="Z212" s="14">
        <v>1</v>
      </c>
      <c r="AA212" s="1" t="str">
        <f t="shared" ca="1" si="19"/>
        <v>VENCIDO</v>
      </c>
      <c r="AB212" s="1" t="str">
        <f t="shared" si="20"/>
        <v>Dosa</v>
      </c>
      <c r="AC212" s="2" t="str">
        <f t="shared" si="23"/>
        <v xml:space="preserve"> RINALDO </v>
      </c>
      <c r="AD212" s="2">
        <f t="shared" si="21"/>
        <v>5</v>
      </c>
      <c r="AE212" s="2">
        <f t="shared" ca="1" si="22"/>
        <v>-505.9262716435187</v>
      </c>
      <c r="AF212" s="15"/>
    </row>
    <row r="213" spans="1:32" hidden="1">
      <c r="A213" s="1">
        <v>8018140</v>
      </c>
      <c r="B213" s="1" t="s">
        <v>62</v>
      </c>
      <c r="C213" t="s">
        <v>475</v>
      </c>
      <c r="E213" s="2">
        <v>1664000203000</v>
      </c>
      <c r="F213" s="1" t="s">
        <v>454</v>
      </c>
      <c r="G213" s="1" t="s">
        <v>53</v>
      </c>
      <c r="H213" s="1" t="s">
        <v>307</v>
      </c>
      <c r="I213" s="1" t="s">
        <v>308</v>
      </c>
      <c r="J213" s="1" t="s">
        <v>164</v>
      </c>
      <c r="K213" t="s">
        <v>457</v>
      </c>
      <c r="M213" s="1" t="s">
        <v>58</v>
      </c>
      <c r="N213" s="1">
        <v>0</v>
      </c>
      <c r="O213" s="1" t="s">
        <v>36</v>
      </c>
      <c r="P213" s="186">
        <v>44482.53765046296</v>
      </c>
      <c r="R213" s="1" t="s">
        <v>38</v>
      </c>
      <c r="T213" s="1" t="s">
        <v>157</v>
      </c>
      <c r="U213" s="186">
        <v>44518.75</v>
      </c>
      <c r="V213" s="1" t="s">
        <v>41</v>
      </c>
      <c r="W213" s="1" t="s">
        <v>49</v>
      </c>
      <c r="X213" s="13"/>
      <c r="Y213" s="2">
        <f t="shared" ca="1" si="18"/>
        <v>361</v>
      </c>
      <c r="Z213" s="14">
        <v>1</v>
      </c>
      <c r="AA213" s="1" t="str">
        <f t="shared" ca="1" si="19"/>
        <v>VENCIDO</v>
      </c>
      <c r="AB213" s="1" t="str">
        <f t="shared" si="20"/>
        <v>C-14</v>
      </c>
      <c r="AC213" s="2" t="str">
        <f t="shared" si="23"/>
        <v xml:space="preserve"> ROSEMERE </v>
      </c>
      <c r="AD213" s="2">
        <f t="shared" si="21"/>
        <v>5</v>
      </c>
      <c r="AE213" s="2">
        <f t="shared" ca="1" si="22"/>
        <v>-467.9262716435187</v>
      </c>
      <c r="AF213" s="15"/>
    </row>
    <row r="214" spans="1:32">
      <c r="A214" s="1">
        <v>8017996</v>
      </c>
      <c r="B214" s="1" t="s">
        <v>27</v>
      </c>
      <c r="C214" t="s">
        <v>476</v>
      </c>
      <c r="E214" s="2">
        <v>2170000206001</v>
      </c>
      <c r="F214" s="1" t="s">
        <v>29</v>
      </c>
      <c r="G214" s="1" t="s">
        <v>53</v>
      </c>
      <c r="H214" s="1" t="s">
        <v>477</v>
      </c>
      <c r="I214" s="1" t="s">
        <v>478</v>
      </c>
      <c r="J214" s="1" t="s">
        <v>148</v>
      </c>
      <c r="K214" t="s">
        <v>34</v>
      </c>
      <c r="M214" s="1" t="s">
        <v>35</v>
      </c>
      <c r="N214" s="1">
        <v>42318949</v>
      </c>
      <c r="O214" s="1" t="s">
        <v>36</v>
      </c>
      <c r="P214" s="186">
        <v>44482.504745370374</v>
      </c>
      <c r="R214" s="1" t="s">
        <v>38</v>
      </c>
      <c r="T214" s="1" t="s">
        <v>74</v>
      </c>
      <c r="U214" s="186">
        <v>44482.75</v>
      </c>
      <c r="V214" s="1" t="s">
        <v>41</v>
      </c>
      <c r="W214" s="1" t="s">
        <v>49</v>
      </c>
      <c r="X214" s="13"/>
      <c r="Y214" s="2">
        <f t="shared" ca="1" si="18"/>
        <v>361</v>
      </c>
      <c r="Z214" s="14">
        <v>1</v>
      </c>
      <c r="AA214" s="1" t="str">
        <f t="shared" ca="1" si="19"/>
        <v>VENCIDO</v>
      </c>
      <c r="AB214" s="1" t="str">
        <f t="shared" si="20"/>
        <v>Dosa</v>
      </c>
      <c r="AC214" s="2" t="str">
        <f t="shared" si="23"/>
        <v xml:space="preserve"> RINALDO </v>
      </c>
      <c r="AD214" s="2">
        <f t="shared" si="21"/>
        <v>5</v>
      </c>
      <c r="AE214" s="2">
        <f t="shared" ca="1" si="22"/>
        <v>-503.9262716435187</v>
      </c>
      <c r="AF214" s="15"/>
    </row>
    <row r="215" spans="1:32">
      <c r="A215" s="1">
        <v>8021722</v>
      </c>
      <c r="B215" s="1" t="s">
        <v>62</v>
      </c>
      <c r="C215" t="s">
        <v>481</v>
      </c>
      <c r="E215" s="2">
        <v>2170000203010</v>
      </c>
      <c r="F215" s="1" t="s">
        <v>152</v>
      </c>
      <c r="G215" s="1" t="s">
        <v>53</v>
      </c>
      <c r="H215" s="1" t="s">
        <v>477</v>
      </c>
      <c r="I215" s="1" t="s">
        <v>478</v>
      </c>
      <c r="J215" s="1" t="s">
        <v>148</v>
      </c>
      <c r="K215" t="s">
        <v>155</v>
      </c>
      <c r="M215" s="1" t="s">
        <v>35</v>
      </c>
      <c r="N215" s="1">
        <v>42318949</v>
      </c>
      <c r="O215" s="1" t="s">
        <v>36</v>
      </c>
      <c r="P215" s="186">
        <v>44483.655069444445</v>
      </c>
      <c r="R215" s="1" t="s">
        <v>38</v>
      </c>
      <c r="T215" s="1" t="s">
        <v>157</v>
      </c>
      <c r="U215" s="186">
        <v>44519.75</v>
      </c>
      <c r="V215" s="1" t="s">
        <v>41</v>
      </c>
      <c r="W215" s="1" t="s">
        <v>49</v>
      </c>
      <c r="X215" s="13"/>
      <c r="Y215" s="2">
        <f t="shared" ca="1" si="18"/>
        <v>360</v>
      </c>
      <c r="Z215" s="14">
        <v>1</v>
      </c>
      <c r="AA215" s="1" t="str">
        <f t="shared" ca="1" si="19"/>
        <v>VENCIDO</v>
      </c>
      <c r="AB215" s="1" t="str">
        <f t="shared" si="20"/>
        <v>TAAe+</v>
      </c>
      <c r="AC215" s="2" t="str">
        <f t="shared" si="23"/>
        <v xml:space="preserve"> RINALDO </v>
      </c>
      <c r="AD215" s="2">
        <f t="shared" si="21"/>
        <v>8</v>
      </c>
      <c r="AE215" s="2">
        <f t="shared" ca="1" si="22"/>
        <v>-466.9262716435187</v>
      </c>
      <c r="AF215" s="15"/>
    </row>
    <row r="216" spans="1:32">
      <c r="A216" s="1">
        <v>8026505</v>
      </c>
      <c r="B216" s="1" t="s">
        <v>62</v>
      </c>
      <c r="C216" t="s">
        <v>484</v>
      </c>
      <c r="E216" s="2">
        <v>4119000203000</v>
      </c>
      <c r="F216" s="1" t="s">
        <v>454</v>
      </c>
      <c r="G216" s="1" t="s">
        <v>53</v>
      </c>
      <c r="H216" s="1" t="s">
        <v>297</v>
      </c>
      <c r="I216" s="1" t="s">
        <v>298</v>
      </c>
      <c r="J216" s="1" t="s">
        <v>211</v>
      </c>
      <c r="K216" t="s">
        <v>457</v>
      </c>
      <c r="M216" s="1" t="s">
        <v>58</v>
      </c>
      <c r="N216" s="1">
        <v>0</v>
      </c>
      <c r="O216" s="1" t="s">
        <v>36</v>
      </c>
      <c r="P216" s="186">
        <v>44485.650613425925</v>
      </c>
      <c r="R216" s="1" t="s">
        <v>38</v>
      </c>
      <c r="T216" s="1" t="s">
        <v>157</v>
      </c>
      <c r="U216" s="186">
        <v>44523.75</v>
      </c>
      <c r="V216" s="1" t="s">
        <v>41</v>
      </c>
      <c r="W216" s="1" t="s">
        <v>49</v>
      </c>
      <c r="X216" s="13"/>
      <c r="Y216" s="2">
        <f t="shared" ca="1" si="18"/>
        <v>358</v>
      </c>
      <c r="Z216" s="14">
        <v>1</v>
      </c>
      <c r="AA216" s="1" t="str">
        <f t="shared" ca="1" si="19"/>
        <v>VENCIDO</v>
      </c>
      <c r="AB216" s="1" t="str">
        <f t="shared" si="20"/>
        <v>C-14</v>
      </c>
      <c r="AC216" s="2" t="str">
        <f t="shared" si="23"/>
        <v xml:space="preserve"> RINALDO </v>
      </c>
      <c r="AD216" s="2">
        <f t="shared" si="21"/>
        <v>5</v>
      </c>
      <c r="AE216" s="2">
        <f t="shared" ca="1" si="22"/>
        <v>-462.9262716435187</v>
      </c>
      <c r="AF216" s="15"/>
    </row>
    <row r="217" spans="1:32" hidden="1">
      <c r="A217" s="1">
        <v>8034031</v>
      </c>
      <c r="B217" s="1" t="s">
        <v>62</v>
      </c>
      <c r="C217" t="s">
        <v>487</v>
      </c>
      <c r="E217" s="2">
        <v>9704000203000</v>
      </c>
      <c r="F217" s="1" t="s">
        <v>454</v>
      </c>
      <c r="G217" s="1" t="s">
        <v>53</v>
      </c>
      <c r="H217" s="1" t="s">
        <v>488</v>
      </c>
      <c r="I217" s="1" t="s">
        <v>489</v>
      </c>
      <c r="J217" s="1" t="s">
        <v>164</v>
      </c>
      <c r="K217" t="s">
        <v>457</v>
      </c>
      <c r="M217" s="1" t="s">
        <v>58</v>
      </c>
      <c r="N217" s="1">
        <v>0</v>
      </c>
      <c r="O217" s="1" t="s">
        <v>36</v>
      </c>
      <c r="P217" s="186">
        <v>44488.65121527778</v>
      </c>
      <c r="R217" s="1" t="s">
        <v>38</v>
      </c>
      <c r="T217" s="1" t="s">
        <v>157</v>
      </c>
      <c r="U217" s="186">
        <v>44524.75</v>
      </c>
      <c r="V217" s="1" t="s">
        <v>41</v>
      </c>
      <c r="W217" s="1" t="s">
        <v>49</v>
      </c>
      <c r="X217" s="13"/>
      <c r="Y217" s="2">
        <f t="shared" ca="1" si="18"/>
        <v>357</v>
      </c>
      <c r="Z217" s="14">
        <v>1</v>
      </c>
      <c r="AA217" s="1" t="str">
        <f t="shared" ca="1" si="19"/>
        <v>VENCIDO</v>
      </c>
      <c r="AB217" s="1" t="str">
        <f t="shared" si="20"/>
        <v>C-14</v>
      </c>
      <c r="AC217" s="2" t="str">
        <f t="shared" si="23"/>
        <v xml:space="preserve"> ROSEMERE </v>
      </c>
      <c r="AD217" s="2">
        <f t="shared" si="21"/>
        <v>5</v>
      </c>
      <c r="AE217" s="2">
        <f t="shared" ca="1" si="22"/>
        <v>-461.9262716435187</v>
      </c>
      <c r="AF217" s="15"/>
    </row>
    <row r="218" spans="1:32" hidden="1">
      <c r="A218" s="1">
        <v>8038627</v>
      </c>
      <c r="B218" s="1" t="s">
        <v>81</v>
      </c>
      <c r="C218" t="s">
        <v>240</v>
      </c>
      <c r="E218" s="2">
        <v>9704000206001</v>
      </c>
      <c r="F218" s="1" t="s">
        <v>29</v>
      </c>
      <c r="G218" s="1" t="s">
        <v>53</v>
      </c>
      <c r="H218" s="1" t="s">
        <v>488</v>
      </c>
      <c r="I218" s="1" t="s">
        <v>489</v>
      </c>
      <c r="J218" s="1" t="s">
        <v>164</v>
      </c>
      <c r="K218" t="s">
        <v>34</v>
      </c>
      <c r="M218" s="1" t="s">
        <v>35</v>
      </c>
      <c r="N218" s="1">
        <v>42318949</v>
      </c>
      <c r="O218" s="1" t="s">
        <v>36</v>
      </c>
      <c r="P218" s="186">
        <v>44489.679629629631</v>
      </c>
      <c r="R218" s="1" t="s">
        <v>38</v>
      </c>
      <c r="T218" s="1" t="s">
        <v>74</v>
      </c>
      <c r="U218" s="186">
        <v>44490.679629629631</v>
      </c>
      <c r="V218" s="1" t="s">
        <v>41</v>
      </c>
      <c r="W218" s="1" t="s">
        <v>49</v>
      </c>
      <c r="X218" s="13"/>
      <c r="Y218" s="2">
        <f t="shared" ca="1" si="18"/>
        <v>356</v>
      </c>
      <c r="Z218" s="14">
        <v>1</v>
      </c>
      <c r="AA218" s="1" t="str">
        <f t="shared" ca="1" si="19"/>
        <v>VENCIDO</v>
      </c>
      <c r="AB218" s="1" t="str">
        <f t="shared" si="20"/>
        <v>Dosa</v>
      </c>
      <c r="AC218" s="2" t="str">
        <f t="shared" si="23"/>
        <v xml:space="preserve"> ROSEMERE </v>
      </c>
      <c r="AD218" s="2">
        <f t="shared" si="21"/>
        <v>5</v>
      </c>
      <c r="AE218" s="2">
        <f t="shared" ca="1" si="22"/>
        <v>-495.99664201388805</v>
      </c>
      <c r="AF218" s="15"/>
    </row>
    <row r="219" spans="1:32" hidden="1">
      <c r="A219" s="1">
        <v>8038626</v>
      </c>
      <c r="B219" s="1" t="s">
        <v>81</v>
      </c>
      <c r="C219" t="s">
        <v>240</v>
      </c>
      <c r="E219" s="2">
        <v>9703000206001</v>
      </c>
      <c r="F219" s="1" t="s">
        <v>29</v>
      </c>
      <c r="G219" s="1" t="s">
        <v>53</v>
      </c>
      <c r="H219" s="1" t="s">
        <v>494</v>
      </c>
      <c r="I219" s="1" t="s">
        <v>495</v>
      </c>
      <c r="J219" s="1" t="s">
        <v>79</v>
      </c>
      <c r="K219" t="s">
        <v>34</v>
      </c>
      <c r="M219" s="1" t="s">
        <v>35</v>
      </c>
      <c r="N219" s="1">
        <v>42318949</v>
      </c>
      <c r="O219" s="1" t="s">
        <v>36</v>
      </c>
      <c r="P219" s="186">
        <v>44489.679629629631</v>
      </c>
      <c r="R219" s="1" t="s">
        <v>38</v>
      </c>
      <c r="T219" s="1" t="s">
        <v>74</v>
      </c>
      <c r="U219" s="186">
        <v>44490.679629629631</v>
      </c>
      <c r="V219" s="1" t="s">
        <v>41</v>
      </c>
      <c r="W219" s="1" t="s">
        <v>49</v>
      </c>
      <c r="X219" s="13"/>
      <c r="Y219" s="2">
        <f t="shared" ca="1" si="18"/>
        <v>356</v>
      </c>
      <c r="Z219" s="14">
        <v>1</v>
      </c>
      <c r="AA219" s="1" t="str">
        <f t="shared" ca="1" si="19"/>
        <v>VENCIDO</v>
      </c>
      <c r="AB219" s="1" t="str">
        <f t="shared" si="20"/>
        <v>Dosa</v>
      </c>
      <c r="AC219" s="2" t="str">
        <f t="shared" si="23"/>
        <v xml:space="preserve"> ROSEMERE </v>
      </c>
      <c r="AD219" s="2">
        <f t="shared" si="21"/>
        <v>5</v>
      </c>
      <c r="AE219" s="2">
        <f t="shared" ca="1" si="22"/>
        <v>-495.99664201388805</v>
      </c>
      <c r="AF219" s="15"/>
    </row>
    <row r="220" spans="1:32" hidden="1">
      <c r="A220" s="1">
        <v>8038016</v>
      </c>
      <c r="B220" s="1" t="s">
        <v>81</v>
      </c>
      <c r="C220" t="s">
        <v>240</v>
      </c>
      <c r="E220" s="2">
        <v>3613200206001</v>
      </c>
      <c r="F220" s="1" t="s">
        <v>29</v>
      </c>
      <c r="G220" s="1" t="s">
        <v>53</v>
      </c>
      <c r="H220" s="1" t="s">
        <v>496</v>
      </c>
      <c r="I220" s="1" t="s">
        <v>198</v>
      </c>
      <c r="J220" s="1" t="s">
        <v>46</v>
      </c>
      <c r="K220" t="s">
        <v>34</v>
      </c>
      <c r="M220" s="1" t="s">
        <v>35</v>
      </c>
      <c r="N220" s="1">
        <v>42318949</v>
      </c>
      <c r="O220" s="1" t="s">
        <v>36</v>
      </c>
      <c r="P220" s="186">
        <v>44489.67869212963</v>
      </c>
      <c r="R220" s="1" t="s">
        <v>38</v>
      </c>
      <c r="T220" s="1" t="s">
        <v>74</v>
      </c>
      <c r="U220" s="186">
        <v>44490.67869212963</v>
      </c>
      <c r="V220" s="1" t="s">
        <v>41</v>
      </c>
      <c r="W220" s="1" t="s">
        <v>49</v>
      </c>
      <c r="X220" s="13"/>
      <c r="Y220" s="2">
        <f t="shared" ca="1" si="18"/>
        <v>356</v>
      </c>
      <c r="Z220" s="14">
        <v>1</v>
      </c>
      <c r="AA220" s="1" t="str">
        <f t="shared" ca="1" si="19"/>
        <v>VENCIDO</v>
      </c>
      <c r="AB220" s="1" t="str">
        <f t="shared" si="20"/>
        <v>Dosa</v>
      </c>
      <c r="AC220" s="2" t="str">
        <f t="shared" si="23"/>
        <v xml:space="preserve"> CLEITON </v>
      </c>
      <c r="AD220" s="2">
        <f t="shared" si="21"/>
        <v>5</v>
      </c>
      <c r="AE220" s="2">
        <f t="shared" ca="1" si="22"/>
        <v>-495.99757951388892</v>
      </c>
      <c r="AF220" s="15"/>
    </row>
    <row r="221" spans="1:32" hidden="1">
      <c r="A221" s="1">
        <v>8037912</v>
      </c>
      <c r="B221" s="1" t="s">
        <v>81</v>
      </c>
      <c r="C221" t="s">
        <v>240</v>
      </c>
      <c r="E221" s="2">
        <v>3234160206001</v>
      </c>
      <c r="F221" s="1" t="s">
        <v>29</v>
      </c>
      <c r="G221" s="1" t="s">
        <v>53</v>
      </c>
      <c r="H221" s="1" t="s">
        <v>499</v>
      </c>
      <c r="I221" s="1" t="s">
        <v>500</v>
      </c>
      <c r="J221" s="1" t="s">
        <v>46</v>
      </c>
      <c r="K221" t="s">
        <v>34</v>
      </c>
      <c r="M221" s="1" t="s">
        <v>35</v>
      </c>
      <c r="N221" s="1">
        <v>42318949</v>
      </c>
      <c r="O221" s="1" t="s">
        <v>36</v>
      </c>
      <c r="P221" s="186">
        <v>44489.678518518522</v>
      </c>
      <c r="R221" s="1" t="s">
        <v>38</v>
      </c>
      <c r="T221" s="1" t="s">
        <v>74</v>
      </c>
      <c r="U221" s="186">
        <v>44490.678518518522</v>
      </c>
      <c r="V221" s="1" t="s">
        <v>41</v>
      </c>
      <c r="W221" s="1" t="s">
        <v>49</v>
      </c>
      <c r="X221" s="13"/>
      <c r="Y221" s="2">
        <f t="shared" ca="1" si="18"/>
        <v>356</v>
      </c>
      <c r="Z221" s="14">
        <v>1</v>
      </c>
      <c r="AA221" s="1" t="str">
        <f t="shared" ca="1" si="19"/>
        <v>VENCIDO</v>
      </c>
      <c r="AB221" s="1" t="str">
        <f t="shared" si="20"/>
        <v>Dosa</v>
      </c>
      <c r="AC221" s="2" t="str">
        <f t="shared" si="23"/>
        <v xml:space="preserve"> CLEITON </v>
      </c>
      <c r="AD221" s="2">
        <f t="shared" si="21"/>
        <v>5</v>
      </c>
      <c r="AE221" s="2">
        <f t="shared" ca="1" si="22"/>
        <v>-495.99775312499696</v>
      </c>
      <c r="AF221" s="15"/>
    </row>
    <row r="222" spans="1:32" hidden="1">
      <c r="A222" s="1">
        <v>8037881</v>
      </c>
      <c r="B222" s="1" t="s">
        <v>81</v>
      </c>
      <c r="C222" t="s">
        <v>240</v>
      </c>
      <c r="E222" s="2">
        <v>3108010206001</v>
      </c>
      <c r="F222" s="1" t="s">
        <v>29</v>
      </c>
      <c r="G222" s="1" t="s">
        <v>53</v>
      </c>
      <c r="H222" s="1" t="s">
        <v>503</v>
      </c>
      <c r="I222" s="1" t="s">
        <v>504</v>
      </c>
      <c r="J222" s="1" t="s">
        <v>46</v>
      </c>
      <c r="K222" t="s">
        <v>34</v>
      </c>
      <c r="M222" s="1" t="s">
        <v>35</v>
      </c>
      <c r="N222" s="1">
        <v>42318949</v>
      </c>
      <c r="O222" s="1" t="s">
        <v>36</v>
      </c>
      <c r="P222" s="186">
        <v>44489.678483796299</v>
      </c>
      <c r="R222" s="1" t="s">
        <v>38</v>
      </c>
      <c r="T222" s="1" t="s">
        <v>74</v>
      </c>
      <c r="U222" s="186">
        <v>44490.678483796299</v>
      </c>
      <c r="V222" s="1" t="s">
        <v>41</v>
      </c>
      <c r="W222" s="1" t="s">
        <v>49</v>
      </c>
      <c r="X222" s="13"/>
      <c r="Y222" s="2">
        <f t="shared" ca="1" si="18"/>
        <v>356</v>
      </c>
      <c r="Z222" s="14">
        <v>1</v>
      </c>
      <c r="AA222" s="1" t="str">
        <f t="shared" ca="1" si="19"/>
        <v>VENCIDO</v>
      </c>
      <c r="AB222" s="1" t="str">
        <f t="shared" si="20"/>
        <v>Dosa</v>
      </c>
      <c r="AC222" s="2" t="str">
        <f t="shared" si="23"/>
        <v xml:space="preserve"> CLEITON </v>
      </c>
      <c r="AD222" s="2">
        <f t="shared" si="21"/>
        <v>5</v>
      </c>
      <c r="AE222" s="2">
        <f t="shared" ca="1" si="22"/>
        <v>-495.99778784722002</v>
      </c>
      <c r="AF222" s="15"/>
    </row>
    <row r="223" spans="1:32" hidden="1">
      <c r="A223" s="1">
        <v>8037734</v>
      </c>
      <c r="B223" s="1" t="s">
        <v>81</v>
      </c>
      <c r="C223" t="s">
        <v>240</v>
      </c>
      <c r="E223" s="2">
        <v>2413000206001</v>
      </c>
      <c r="F223" s="1" t="s">
        <v>29</v>
      </c>
      <c r="G223" s="1" t="s">
        <v>53</v>
      </c>
      <c r="H223" s="1" t="s">
        <v>505</v>
      </c>
      <c r="I223" s="1" t="s">
        <v>506</v>
      </c>
      <c r="J223" s="1" t="s">
        <v>141</v>
      </c>
      <c r="K223" t="s">
        <v>34</v>
      </c>
      <c r="M223" s="1" t="s">
        <v>35</v>
      </c>
      <c r="N223" s="1">
        <v>42318949</v>
      </c>
      <c r="O223" s="1" t="s">
        <v>36</v>
      </c>
      <c r="P223" s="186">
        <v>44489.678206018521</v>
      </c>
      <c r="R223" s="1" t="s">
        <v>38</v>
      </c>
      <c r="T223" s="1" t="s">
        <v>74</v>
      </c>
      <c r="U223" s="186">
        <v>44490.678206018521</v>
      </c>
      <c r="V223" s="1" t="s">
        <v>41</v>
      </c>
      <c r="W223" s="1" t="s">
        <v>49</v>
      </c>
      <c r="X223" s="13"/>
      <c r="Y223" s="2">
        <f t="shared" ca="1" si="18"/>
        <v>356</v>
      </c>
      <c r="Z223" s="14">
        <v>1</v>
      </c>
      <c r="AA223" s="1" t="str">
        <f t="shared" ca="1" si="19"/>
        <v>VENCIDO</v>
      </c>
      <c r="AB223" s="1" t="str">
        <f t="shared" si="20"/>
        <v>Dosa</v>
      </c>
      <c r="AC223" s="2" t="str">
        <f t="shared" si="23"/>
        <v xml:space="preserve"> CRISTINA </v>
      </c>
      <c r="AD223" s="2">
        <f t="shared" si="21"/>
        <v>5</v>
      </c>
      <c r="AE223" s="2">
        <f t="shared" ca="1" si="22"/>
        <v>-495.99806562499725</v>
      </c>
      <c r="AF223" s="15"/>
    </row>
    <row r="224" spans="1:32" hidden="1">
      <c r="A224" s="1">
        <v>8037079</v>
      </c>
      <c r="B224" s="1" t="s">
        <v>81</v>
      </c>
      <c r="C224" t="s">
        <v>240</v>
      </c>
      <c r="E224" s="2">
        <v>7740206001</v>
      </c>
      <c r="F224" s="1" t="s">
        <v>29</v>
      </c>
      <c r="G224" s="1" t="s">
        <v>53</v>
      </c>
      <c r="H224" s="1" t="s">
        <v>187</v>
      </c>
      <c r="I224" s="1" t="s">
        <v>188</v>
      </c>
      <c r="J224" s="1" t="s">
        <v>46</v>
      </c>
      <c r="K224" t="s">
        <v>34</v>
      </c>
      <c r="M224" s="1" t="s">
        <v>35</v>
      </c>
      <c r="N224" s="1">
        <v>42318949</v>
      </c>
      <c r="O224" s="1" t="s">
        <v>36</v>
      </c>
      <c r="P224" s="186">
        <v>44489.677141203705</v>
      </c>
      <c r="R224" s="1" t="s">
        <v>38</v>
      </c>
      <c r="T224" s="1" t="s">
        <v>74</v>
      </c>
      <c r="U224" s="186">
        <v>44490.677141203705</v>
      </c>
      <c r="V224" s="1" t="s">
        <v>41</v>
      </c>
      <c r="W224" s="1" t="s">
        <v>49</v>
      </c>
      <c r="X224" s="13"/>
      <c r="Y224" s="2">
        <f t="shared" ca="1" si="18"/>
        <v>356</v>
      </c>
      <c r="Z224" s="14">
        <v>1</v>
      </c>
      <c r="AA224" s="1" t="str">
        <f t="shared" ca="1" si="19"/>
        <v>VENCIDO</v>
      </c>
      <c r="AB224" s="1" t="str">
        <f t="shared" si="20"/>
        <v>Dosa</v>
      </c>
      <c r="AC224" s="2" t="str">
        <f t="shared" si="23"/>
        <v xml:space="preserve"> CLEITON </v>
      </c>
      <c r="AD224" s="2">
        <f t="shared" si="21"/>
        <v>5</v>
      </c>
      <c r="AE224" s="2">
        <f t="shared" ca="1" si="22"/>
        <v>-495.9991304398136</v>
      </c>
      <c r="AF224" s="15"/>
    </row>
    <row r="225" spans="1:32" hidden="1">
      <c r="A225" s="1">
        <v>8050725</v>
      </c>
      <c r="B225" s="1" t="s">
        <v>62</v>
      </c>
      <c r="C225" t="s">
        <v>511</v>
      </c>
      <c r="E225" s="2">
        <v>4997000206001</v>
      </c>
      <c r="F225" s="1" t="s">
        <v>29</v>
      </c>
      <c r="G225" s="1" t="s">
        <v>53</v>
      </c>
      <c r="H225" s="1" t="s">
        <v>406</v>
      </c>
      <c r="I225" s="1" t="s">
        <v>407</v>
      </c>
      <c r="J225" s="1" t="s">
        <v>79</v>
      </c>
      <c r="K225" t="s">
        <v>34</v>
      </c>
      <c r="M225" s="1" t="s">
        <v>35</v>
      </c>
      <c r="N225" s="1">
        <v>42318949</v>
      </c>
      <c r="O225" s="1" t="s">
        <v>105</v>
      </c>
      <c r="P225" s="186">
        <v>44494.689618055556</v>
      </c>
      <c r="R225" s="1" t="s">
        <v>38</v>
      </c>
      <c r="T225" s="1" t="s">
        <v>74</v>
      </c>
      <c r="U225" s="186">
        <v>44537.75</v>
      </c>
      <c r="V225" s="1" t="s">
        <v>41</v>
      </c>
      <c r="W225" s="1" t="s">
        <v>49</v>
      </c>
      <c r="X225" s="13"/>
      <c r="Y225" s="2">
        <f t="shared" ca="1" si="18"/>
        <v>353</v>
      </c>
      <c r="Z225" s="14">
        <v>1</v>
      </c>
      <c r="AA225" s="1" t="str">
        <f t="shared" ca="1" si="19"/>
        <v>VENCIDO</v>
      </c>
      <c r="AB225" s="1" t="str">
        <f t="shared" si="20"/>
        <v>Dosa</v>
      </c>
      <c r="AC225" s="2" t="str">
        <f t="shared" si="23"/>
        <v xml:space="preserve"> ROSEMERE </v>
      </c>
      <c r="AD225" s="2">
        <f t="shared" si="21"/>
        <v>5</v>
      </c>
      <c r="AE225" s="2">
        <f t="shared" ca="1" si="22"/>
        <v>-448.9262716435187</v>
      </c>
      <c r="AF225" s="15"/>
    </row>
    <row r="226" spans="1:32" hidden="1">
      <c r="A226" s="1">
        <v>8127356</v>
      </c>
      <c r="B226" s="1" t="s">
        <v>62</v>
      </c>
      <c r="C226" t="s">
        <v>514</v>
      </c>
      <c r="E226" s="2">
        <v>537000206001</v>
      </c>
      <c r="F226" s="1" t="s">
        <v>29</v>
      </c>
      <c r="G226" s="1" t="s">
        <v>53</v>
      </c>
      <c r="H226" s="1" t="s">
        <v>442</v>
      </c>
      <c r="I226" s="1" t="s">
        <v>443</v>
      </c>
      <c r="J226" s="1" t="s">
        <v>79</v>
      </c>
      <c r="K226" t="s">
        <v>34</v>
      </c>
      <c r="M226" s="1" t="s">
        <v>35</v>
      </c>
      <c r="N226" s="1">
        <v>42318949</v>
      </c>
      <c r="O226" s="1" t="s">
        <v>36</v>
      </c>
      <c r="P226" s="186">
        <v>44518.723263888889</v>
      </c>
      <c r="R226" s="1" t="s">
        <v>38</v>
      </c>
      <c r="T226" s="1" t="s">
        <v>74</v>
      </c>
      <c r="U226" s="186">
        <v>44560.75</v>
      </c>
      <c r="V226" s="1" t="s">
        <v>41</v>
      </c>
      <c r="W226" s="1" t="s">
        <v>49</v>
      </c>
      <c r="X226" s="13"/>
      <c r="Y226" s="2">
        <f t="shared" ca="1" si="18"/>
        <v>335</v>
      </c>
      <c r="Z226" s="14">
        <v>1</v>
      </c>
      <c r="AA226" s="1" t="str">
        <f t="shared" ca="1" si="19"/>
        <v>VENCIDO</v>
      </c>
      <c r="AB226" s="1" t="str">
        <f t="shared" si="20"/>
        <v>Dosa</v>
      </c>
      <c r="AC226" s="2" t="str">
        <f t="shared" si="23"/>
        <v xml:space="preserve"> ROSEMERE </v>
      </c>
      <c r="AD226" s="2">
        <f t="shared" si="21"/>
        <v>5</v>
      </c>
      <c r="AE226" s="2">
        <f t="shared" ca="1" si="22"/>
        <v>-425.9262716435187</v>
      </c>
      <c r="AF226" s="15"/>
    </row>
    <row r="227" spans="1:32" hidden="1">
      <c r="A227" s="1">
        <v>8130031</v>
      </c>
      <c r="B227" s="1" t="s">
        <v>62</v>
      </c>
      <c r="C227" t="s">
        <v>515</v>
      </c>
      <c r="E227" s="2">
        <v>5742000206001</v>
      </c>
      <c r="F227" s="1" t="s">
        <v>29</v>
      </c>
      <c r="G227" s="1" t="s">
        <v>53</v>
      </c>
      <c r="H227" s="1" t="s">
        <v>430</v>
      </c>
      <c r="I227" s="1" t="s">
        <v>431</v>
      </c>
      <c r="J227" s="1" t="s">
        <v>79</v>
      </c>
      <c r="K227" t="s">
        <v>34</v>
      </c>
      <c r="M227" s="1" t="s">
        <v>35</v>
      </c>
      <c r="N227" s="1">
        <v>42318949</v>
      </c>
      <c r="O227" s="1" t="s">
        <v>105</v>
      </c>
      <c r="P227" s="186">
        <v>44519.716967592591</v>
      </c>
      <c r="R227" s="1" t="s">
        <v>38</v>
      </c>
      <c r="T227" s="1" t="s">
        <v>74</v>
      </c>
      <c r="U227" s="186">
        <v>44561.75</v>
      </c>
      <c r="V227" s="1" t="s">
        <v>41</v>
      </c>
      <c r="W227" s="1" t="s">
        <v>49</v>
      </c>
      <c r="X227" s="13"/>
      <c r="Y227" s="2">
        <f t="shared" ca="1" si="18"/>
        <v>334</v>
      </c>
      <c r="Z227" s="14">
        <v>1</v>
      </c>
      <c r="AA227" s="1" t="str">
        <f t="shared" ca="1" si="19"/>
        <v>VENCIDO</v>
      </c>
      <c r="AB227" s="1" t="str">
        <f t="shared" si="20"/>
        <v>Dosa</v>
      </c>
      <c r="AC227" s="2" t="str">
        <f t="shared" si="23"/>
        <v xml:space="preserve"> ROSEMERE </v>
      </c>
      <c r="AD227" s="2">
        <f t="shared" si="21"/>
        <v>5</v>
      </c>
      <c r="AE227" s="2">
        <f t="shared" ca="1" si="22"/>
        <v>-424.9262716435187</v>
      </c>
      <c r="AF227" s="15"/>
    </row>
    <row r="228" spans="1:32">
      <c r="A228" s="1">
        <v>8139932</v>
      </c>
      <c r="B228" s="1" t="s">
        <v>81</v>
      </c>
      <c r="C228" t="s">
        <v>518</v>
      </c>
      <c r="E228" s="2">
        <v>7419141893543</v>
      </c>
      <c r="F228" s="1" t="s">
        <v>128</v>
      </c>
      <c r="G228" s="1" t="s">
        <v>53</v>
      </c>
      <c r="H228" s="1" t="s">
        <v>519</v>
      </c>
      <c r="I228" s="1" t="s">
        <v>520</v>
      </c>
      <c r="J228" s="1" t="s">
        <v>90</v>
      </c>
      <c r="K228" t="s">
        <v>129</v>
      </c>
      <c r="M228" s="1" t="s">
        <v>58</v>
      </c>
      <c r="N228" s="1">
        <v>0</v>
      </c>
      <c r="O228" s="1" t="s">
        <v>105</v>
      </c>
      <c r="P228" s="186">
        <v>44524.020509259259</v>
      </c>
      <c r="R228" s="1">
        <v>14</v>
      </c>
      <c r="T228" s="1" t="s">
        <v>238</v>
      </c>
      <c r="U228" s="186">
        <v>44525.020509259259</v>
      </c>
      <c r="V228" s="1" t="s">
        <v>41</v>
      </c>
      <c r="W228" s="1" t="s">
        <v>49</v>
      </c>
      <c r="X228" s="13"/>
      <c r="Y228" s="2">
        <f t="shared" ca="1" si="18"/>
        <v>331</v>
      </c>
      <c r="Z228" s="14">
        <v>1</v>
      </c>
      <c r="AA228" s="1" t="str">
        <f t="shared" ca="1" si="19"/>
        <v>VENCIDO</v>
      </c>
      <c r="AB228" s="1" t="str">
        <f t="shared" si="20"/>
        <v>TAAe+</v>
      </c>
      <c r="AC228" s="2" t="str">
        <f t="shared" si="23"/>
        <v xml:space="preserve"> RINALDO </v>
      </c>
      <c r="AD228" s="2">
        <f t="shared" si="21"/>
        <v>8</v>
      </c>
      <c r="AE228" s="2">
        <f t="shared" ca="1" si="22"/>
        <v>-461.65576238426002</v>
      </c>
      <c r="AF228" s="15"/>
    </row>
    <row r="229" spans="1:32">
      <c r="A229" s="1">
        <v>8139913</v>
      </c>
      <c r="B229" s="1" t="s">
        <v>81</v>
      </c>
      <c r="C229" t="s">
        <v>518</v>
      </c>
      <c r="E229" s="2">
        <v>7417163284512</v>
      </c>
      <c r="F229" s="1" t="s">
        <v>131</v>
      </c>
      <c r="G229" s="1" t="s">
        <v>53</v>
      </c>
      <c r="H229" s="1" t="s">
        <v>519</v>
      </c>
      <c r="I229" s="1" t="s">
        <v>520</v>
      </c>
      <c r="J229" s="1" t="s">
        <v>90</v>
      </c>
      <c r="K229" t="s">
        <v>132</v>
      </c>
      <c r="M229" s="1" t="s">
        <v>58</v>
      </c>
      <c r="N229" s="1">
        <v>0</v>
      </c>
      <c r="O229" s="1" t="s">
        <v>105</v>
      </c>
      <c r="P229" s="186">
        <v>44524.020486111112</v>
      </c>
      <c r="R229" s="1">
        <v>14</v>
      </c>
      <c r="T229" s="1" t="s">
        <v>238</v>
      </c>
      <c r="U229" s="186">
        <v>44525.020486111112</v>
      </c>
      <c r="V229" s="1" t="s">
        <v>41</v>
      </c>
      <c r="W229" s="1" t="s">
        <v>49</v>
      </c>
      <c r="X229" s="13"/>
      <c r="Y229" s="2">
        <f t="shared" ca="1" si="18"/>
        <v>331</v>
      </c>
      <c r="Z229" s="14">
        <v>1</v>
      </c>
      <c r="AA229" s="1" t="str">
        <f t="shared" ca="1" si="19"/>
        <v>VENCIDO</v>
      </c>
      <c r="AB229" s="1" t="str">
        <f t="shared" si="20"/>
        <v>TAAe+</v>
      </c>
      <c r="AC229" s="2" t="str">
        <f t="shared" si="23"/>
        <v xml:space="preserve"> RINALDO </v>
      </c>
      <c r="AD229" s="2">
        <f t="shared" si="21"/>
        <v>8</v>
      </c>
      <c r="AE229" s="2">
        <f t="shared" ca="1" si="22"/>
        <v>-461.6557855324063</v>
      </c>
      <c r="AF229" s="15"/>
    </row>
    <row r="230" spans="1:32" hidden="1">
      <c r="A230" s="1">
        <v>8253667</v>
      </c>
      <c r="B230" s="1" t="s">
        <v>62</v>
      </c>
      <c r="C230" t="s">
        <v>525</v>
      </c>
      <c r="E230" s="2">
        <v>1902016589800</v>
      </c>
      <c r="F230" s="1" t="s">
        <v>64</v>
      </c>
      <c r="G230" s="1" t="s">
        <v>53</v>
      </c>
      <c r="H230" s="1" t="s">
        <v>365</v>
      </c>
      <c r="I230" s="1" t="s">
        <v>366</v>
      </c>
      <c r="J230" s="1" t="s">
        <v>164</v>
      </c>
      <c r="K230" t="s">
        <v>67</v>
      </c>
      <c r="M230" s="1" t="s">
        <v>35</v>
      </c>
      <c r="N230" s="1">
        <v>42318949</v>
      </c>
      <c r="O230" s="1" t="s">
        <v>36</v>
      </c>
      <c r="P230" s="186">
        <v>44565.451747685183</v>
      </c>
      <c r="R230" s="1">
        <v>1</v>
      </c>
      <c r="T230" s="1" t="s">
        <v>69</v>
      </c>
      <c r="U230" s="186">
        <v>44566.451747685183</v>
      </c>
      <c r="V230" s="1" t="s">
        <v>41</v>
      </c>
      <c r="W230" s="1" t="s">
        <v>49</v>
      </c>
      <c r="X230" s="13"/>
      <c r="Y230" s="2">
        <f t="shared" ca="1" si="18"/>
        <v>302</v>
      </c>
      <c r="Z230" s="14">
        <v>1</v>
      </c>
      <c r="AA230" s="1" t="str">
        <f t="shared" ca="1" si="19"/>
        <v>VENCIDO</v>
      </c>
      <c r="AB230" s="1" t="str">
        <f t="shared" si="20"/>
        <v>TAAe+</v>
      </c>
      <c r="AC230" s="2" t="str">
        <f t="shared" si="23"/>
        <v xml:space="preserve"> ROSEMERE </v>
      </c>
      <c r="AD230" s="2">
        <f t="shared" si="21"/>
        <v>8</v>
      </c>
      <c r="AE230" s="2">
        <f t="shared" ca="1" si="22"/>
        <v>-420.22452395833534</v>
      </c>
      <c r="AF230" s="15"/>
    </row>
    <row r="231" spans="1:32" hidden="1">
      <c r="A231" s="1">
        <v>8253660</v>
      </c>
      <c r="B231" s="1" t="s">
        <v>62</v>
      </c>
      <c r="C231" t="s">
        <v>525</v>
      </c>
      <c r="E231" s="2">
        <v>1902016083400</v>
      </c>
      <c r="F231" s="1" t="s">
        <v>64</v>
      </c>
      <c r="G231" s="1" t="s">
        <v>53</v>
      </c>
      <c r="H231" s="1" t="s">
        <v>367</v>
      </c>
      <c r="I231" s="1" t="s">
        <v>368</v>
      </c>
      <c r="J231" s="1" t="s">
        <v>261</v>
      </c>
      <c r="K231" t="s">
        <v>67</v>
      </c>
      <c r="M231" s="1" t="s">
        <v>35</v>
      </c>
      <c r="N231" s="1">
        <v>42318949</v>
      </c>
      <c r="O231" s="1" t="s">
        <v>36</v>
      </c>
      <c r="P231" s="186">
        <v>44565.451736111114</v>
      </c>
      <c r="R231" s="1">
        <v>1</v>
      </c>
      <c r="T231" s="1" t="s">
        <v>69</v>
      </c>
      <c r="U231" s="186">
        <v>44566.451736111114</v>
      </c>
      <c r="V231" s="1" t="s">
        <v>41</v>
      </c>
      <c r="W231" s="1" t="s">
        <v>49</v>
      </c>
      <c r="X231" s="13"/>
      <c r="Y231" s="2">
        <f t="shared" ca="1" si="18"/>
        <v>302</v>
      </c>
      <c r="Z231" s="14">
        <v>1</v>
      </c>
      <c r="AA231" s="1" t="str">
        <f t="shared" ca="1" si="19"/>
        <v>VENCIDO</v>
      </c>
      <c r="AB231" s="1" t="str">
        <f t="shared" si="20"/>
        <v>TAAe+</v>
      </c>
      <c r="AC231" s="2" t="str">
        <f t="shared" si="23"/>
        <v xml:space="preserve"> CRISTINA </v>
      </c>
      <c r="AD231" s="2">
        <f t="shared" si="21"/>
        <v>8</v>
      </c>
      <c r="AE231" s="2">
        <f t="shared" ca="1" si="22"/>
        <v>-420.22453553240484</v>
      </c>
      <c r="AF231" s="15"/>
    </row>
    <row r="232" spans="1:32">
      <c r="A232" s="1">
        <v>8253659</v>
      </c>
      <c r="B232" s="1" t="s">
        <v>62</v>
      </c>
      <c r="C232" t="s">
        <v>525</v>
      </c>
      <c r="E232" s="2">
        <v>1902016057000</v>
      </c>
      <c r="F232" s="1" t="s">
        <v>64</v>
      </c>
      <c r="G232" s="1" t="s">
        <v>53</v>
      </c>
      <c r="H232" s="1" t="s">
        <v>434</v>
      </c>
      <c r="I232" s="1" t="s">
        <v>435</v>
      </c>
      <c r="J232" s="1" t="s">
        <v>148</v>
      </c>
      <c r="K232" t="s">
        <v>67</v>
      </c>
      <c r="M232" s="1" t="s">
        <v>35</v>
      </c>
      <c r="N232" s="1">
        <v>42318949</v>
      </c>
      <c r="O232" s="1" t="s">
        <v>36</v>
      </c>
      <c r="P232" s="186">
        <v>44565.451736111114</v>
      </c>
      <c r="R232" s="1">
        <v>1</v>
      </c>
      <c r="T232" s="1" t="s">
        <v>69</v>
      </c>
      <c r="U232" s="186">
        <v>44566.451736111114</v>
      </c>
      <c r="V232" s="1" t="s">
        <v>41</v>
      </c>
      <c r="W232" s="1" t="s">
        <v>49</v>
      </c>
      <c r="X232" s="13"/>
      <c r="Y232" s="2">
        <f t="shared" ca="1" si="18"/>
        <v>302</v>
      </c>
      <c r="Z232" s="14">
        <v>1</v>
      </c>
      <c r="AA232" s="1" t="str">
        <f t="shared" ca="1" si="19"/>
        <v>VENCIDO</v>
      </c>
      <c r="AB232" s="1" t="str">
        <f t="shared" si="20"/>
        <v>TAAe+</v>
      </c>
      <c r="AC232" s="2" t="str">
        <f t="shared" si="23"/>
        <v xml:space="preserve"> RINALDO </v>
      </c>
      <c r="AD232" s="2">
        <f t="shared" si="21"/>
        <v>8</v>
      </c>
      <c r="AE232" s="2">
        <f t="shared" ca="1" si="22"/>
        <v>-420.22453553240484</v>
      </c>
      <c r="AF232" s="15"/>
    </row>
    <row r="233" spans="1:32" hidden="1">
      <c r="A233" s="1">
        <v>8253658</v>
      </c>
      <c r="B233" s="1" t="s">
        <v>62</v>
      </c>
      <c r="C233" t="s">
        <v>525</v>
      </c>
      <c r="E233" s="2">
        <v>1902016044600</v>
      </c>
      <c r="F233" s="1" t="s">
        <v>64</v>
      </c>
      <c r="G233" s="1" t="s">
        <v>53</v>
      </c>
      <c r="H233" s="1" t="s">
        <v>432</v>
      </c>
      <c r="I233" s="1" t="s">
        <v>433</v>
      </c>
      <c r="J233" s="1" t="s">
        <v>141</v>
      </c>
      <c r="K233" t="s">
        <v>67</v>
      </c>
      <c r="M233" s="1" t="s">
        <v>35</v>
      </c>
      <c r="N233" s="1">
        <v>42318949</v>
      </c>
      <c r="O233" s="1" t="s">
        <v>36</v>
      </c>
      <c r="P233" s="186">
        <v>44565.451736111114</v>
      </c>
      <c r="R233" s="1">
        <v>1</v>
      </c>
      <c r="T233" s="1" t="s">
        <v>69</v>
      </c>
      <c r="U233" s="186">
        <v>44566.451736111114</v>
      </c>
      <c r="V233" s="1" t="s">
        <v>41</v>
      </c>
      <c r="W233" s="1" t="s">
        <v>49</v>
      </c>
      <c r="X233" s="13"/>
      <c r="Y233" s="2">
        <f t="shared" ca="1" si="18"/>
        <v>302</v>
      </c>
      <c r="Z233" s="14">
        <v>1</v>
      </c>
      <c r="AA233" s="1" t="str">
        <f t="shared" ca="1" si="19"/>
        <v>VENCIDO</v>
      </c>
      <c r="AB233" s="1" t="str">
        <f t="shared" si="20"/>
        <v>TAAe+</v>
      </c>
      <c r="AC233" s="2" t="str">
        <f t="shared" si="23"/>
        <v xml:space="preserve"> CRISTINA </v>
      </c>
      <c r="AD233" s="2">
        <f t="shared" si="21"/>
        <v>8</v>
      </c>
      <c r="AE233" s="2">
        <f t="shared" ca="1" si="22"/>
        <v>-420.22453553240484</v>
      </c>
      <c r="AF233" s="15"/>
    </row>
    <row r="234" spans="1:32" hidden="1">
      <c r="A234" s="1">
        <v>8253656</v>
      </c>
      <c r="B234" s="1" t="s">
        <v>62</v>
      </c>
      <c r="C234" t="s">
        <v>525</v>
      </c>
      <c r="E234" s="2">
        <v>1902016015900</v>
      </c>
      <c r="F234" s="1" t="s">
        <v>64</v>
      </c>
      <c r="G234" s="1" t="s">
        <v>53</v>
      </c>
      <c r="H234" s="1" t="s">
        <v>331</v>
      </c>
      <c r="I234" s="1" t="s">
        <v>332</v>
      </c>
      <c r="J234" s="1" t="s">
        <v>79</v>
      </c>
      <c r="K234" t="s">
        <v>67</v>
      </c>
      <c r="M234" s="1" t="s">
        <v>35</v>
      </c>
      <c r="N234" s="1">
        <v>42318949</v>
      </c>
      <c r="O234" s="1" t="s">
        <v>36</v>
      </c>
      <c r="P234" s="186">
        <v>44565.451736111114</v>
      </c>
      <c r="R234" s="1">
        <v>1</v>
      </c>
      <c r="T234" s="1" t="s">
        <v>69</v>
      </c>
      <c r="U234" s="186">
        <v>44566.451736111114</v>
      </c>
      <c r="V234" s="1" t="s">
        <v>41</v>
      </c>
      <c r="W234" s="1" t="s">
        <v>49</v>
      </c>
      <c r="X234" s="13"/>
      <c r="Y234" s="2">
        <f t="shared" ca="1" si="18"/>
        <v>302</v>
      </c>
      <c r="Z234" s="14">
        <v>1</v>
      </c>
      <c r="AA234" s="1" t="str">
        <f t="shared" ca="1" si="19"/>
        <v>VENCIDO</v>
      </c>
      <c r="AB234" s="1" t="str">
        <f t="shared" si="20"/>
        <v>TAAe+</v>
      </c>
      <c r="AC234" s="2" t="str">
        <f t="shared" si="23"/>
        <v xml:space="preserve"> ROSEMERE </v>
      </c>
      <c r="AD234" s="2">
        <f t="shared" si="21"/>
        <v>8</v>
      </c>
      <c r="AE234" s="2">
        <f t="shared" ca="1" si="22"/>
        <v>-420.22453553240484</v>
      </c>
      <c r="AF234" s="15"/>
    </row>
    <row r="235" spans="1:32" hidden="1">
      <c r="A235" s="1">
        <v>8290700</v>
      </c>
      <c r="B235" s="1" t="s">
        <v>62</v>
      </c>
      <c r="C235" t="s">
        <v>530</v>
      </c>
      <c r="E235" s="2">
        <v>963000203010</v>
      </c>
      <c r="F235" s="1" t="s">
        <v>152</v>
      </c>
      <c r="G235" s="1" t="s">
        <v>53</v>
      </c>
      <c r="H235" s="1" t="s">
        <v>531</v>
      </c>
      <c r="I235" s="1" t="s">
        <v>532</v>
      </c>
      <c r="J235" s="1" t="s">
        <v>33</v>
      </c>
      <c r="K235" t="s">
        <v>155</v>
      </c>
      <c r="M235" s="1" t="s">
        <v>35</v>
      </c>
      <c r="N235" s="1">
        <v>42318949</v>
      </c>
      <c r="O235" s="1" t="s">
        <v>36</v>
      </c>
      <c r="P235" s="186">
        <v>44580.465891203705</v>
      </c>
      <c r="R235" s="1" t="s">
        <v>38</v>
      </c>
      <c r="T235" s="1" t="s">
        <v>157</v>
      </c>
      <c r="U235" s="186">
        <v>44614.75</v>
      </c>
      <c r="V235" s="1" t="s">
        <v>41</v>
      </c>
      <c r="W235" s="1" t="s">
        <v>49</v>
      </c>
      <c r="X235" s="13"/>
      <c r="Y235" s="2">
        <f t="shared" ca="1" si="18"/>
        <v>291</v>
      </c>
      <c r="Z235" s="14">
        <v>1</v>
      </c>
      <c r="AA235" s="1" t="str">
        <f t="shared" ca="1" si="19"/>
        <v>VENCIDO</v>
      </c>
      <c r="AB235" s="1" t="str">
        <f t="shared" si="20"/>
        <v>TAAe+</v>
      </c>
      <c r="AC235" s="2" t="str">
        <f t="shared" si="23"/>
        <v xml:space="preserve"> ROSEMERE </v>
      </c>
      <c r="AD235" s="2">
        <f t="shared" si="21"/>
        <v>8</v>
      </c>
      <c r="AE235" s="2">
        <f t="shared" ca="1" si="22"/>
        <v>-371.9262716435187</v>
      </c>
      <c r="AF235" s="15"/>
    </row>
    <row r="236" spans="1:32" hidden="1">
      <c r="A236" s="1">
        <v>8290676</v>
      </c>
      <c r="B236" s="1" t="s">
        <v>62</v>
      </c>
      <c r="C236" t="s">
        <v>530</v>
      </c>
      <c r="E236" s="2">
        <v>67000203010</v>
      </c>
      <c r="F236" s="1" t="s">
        <v>152</v>
      </c>
      <c r="G236" s="1" t="s">
        <v>53</v>
      </c>
      <c r="H236" s="1" t="s">
        <v>404</v>
      </c>
      <c r="I236" s="1" t="s">
        <v>405</v>
      </c>
      <c r="J236" s="1" t="s">
        <v>164</v>
      </c>
      <c r="K236" t="s">
        <v>155</v>
      </c>
      <c r="M236" s="1" t="s">
        <v>35</v>
      </c>
      <c r="N236" s="1">
        <v>42318949</v>
      </c>
      <c r="O236" s="1" t="s">
        <v>36</v>
      </c>
      <c r="P236" s="186">
        <v>44580.465844907405</v>
      </c>
      <c r="R236" s="1" t="s">
        <v>38</v>
      </c>
      <c r="T236" s="1" t="s">
        <v>157</v>
      </c>
      <c r="U236" s="186">
        <v>44614.75</v>
      </c>
      <c r="V236" s="1" t="s">
        <v>41</v>
      </c>
      <c r="W236" s="1" t="s">
        <v>49</v>
      </c>
      <c r="X236" s="13"/>
      <c r="Y236" s="2">
        <f t="shared" ca="1" si="18"/>
        <v>291</v>
      </c>
      <c r="Z236" s="14">
        <v>1</v>
      </c>
      <c r="AA236" s="1" t="str">
        <f t="shared" ca="1" si="19"/>
        <v>VENCIDO</v>
      </c>
      <c r="AB236" s="1" t="str">
        <f t="shared" si="20"/>
        <v>TAAe+</v>
      </c>
      <c r="AC236" s="2" t="str">
        <f t="shared" si="23"/>
        <v xml:space="preserve"> ROSEMERE </v>
      </c>
      <c r="AD236" s="2">
        <f t="shared" si="21"/>
        <v>8</v>
      </c>
      <c r="AE236" s="2">
        <f t="shared" ca="1" si="22"/>
        <v>-371.9262716435187</v>
      </c>
      <c r="AF236" s="15"/>
    </row>
    <row r="237" spans="1:32" hidden="1">
      <c r="A237" s="1">
        <v>8290634</v>
      </c>
      <c r="B237" s="1" t="s">
        <v>62</v>
      </c>
      <c r="C237" t="s">
        <v>530</v>
      </c>
      <c r="E237" s="2">
        <v>2988000203010</v>
      </c>
      <c r="F237" s="1" t="s">
        <v>152</v>
      </c>
      <c r="G237" s="1" t="s">
        <v>53</v>
      </c>
      <c r="H237" s="1" t="s">
        <v>536</v>
      </c>
      <c r="I237" s="1" t="s">
        <v>537</v>
      </c>
      <c r="J237" s="1" t="s">
        <v>46</v>
      </c>
      <c r="K237" t="s">
        <v>155</v>
      </c>
      <c r="M237" s="1" t="s">
        <v>35</v>
      </c>
      <c r="N237" s="1">
        <v>42318949</v>
      </c>
      <c r="O237" s="1" t="s">
        <v>36</v>
      </c>
      <c r="P237" s="186">
        <v>44580.465752314813</v>
      </c>
      <c r="R237" s="1" t="s">
        <v>38</v>
      </c>
      <c r="T237" s="1" t="s">
        <v>157</v>
      </c>
      <c r="U237" s="186">
        <v>44614.75</v>
      </c>
      <c r="V237" s="1" t="s">
        <v>41</v>
      </c>
      <c r="W237" s="1" t="s">
        <v>49</v>
      </c>
      <c r="X237" s="13"/>
      <c r="Y237" s="2">
        <f t="shared" ca="1" si="18"/>
        <v>291</v>
      </c>
      <c r="Z237" s="14">
        <v>1</v>
      </c>
      <c r="AA237" s="1" t="str">
        <f t="shared" ca="1" si="19"/>
        <v>VENCIDO</v>
      </c>
      <c r="AB237" s="1" t="str">
        <f t="shared" si="20"/>
        <v>TAAe+</v>
      </c>
      <c r="AC237" s="2" t="str">
        <f t="shared" si="23"/>
        <v xml:space="preserve"> CLEITON </v>
      </c>
      <c r="AD237" s="2">
        <f t="shared" si="21"/>
        <v>8</v>
      </c>
      <c r="AE237" s="2">
        <f t="shared" ca="1" si="22"/>
        <v>-371.9262716435187</v>
      </c>
      <c r="AF237" s="15"/>
    </row>
    <row r="238" spans="1:32" hidden="1">
      <c r="A238" s="1">
        <v>8290541</v>
      </c>
      <c r="B238" s="1" t="s">
        <v>62</v>
      </c>
      <c r="C238" t="s">
        <v>530</v>
      </c>
      <c r="E238" s="2">
        <v>1185000203010</v>
      </c>
      <c r="F238" s="1" t="s">
        <v>152</v>
      </c>
      <c r="G238" s="1" t="s">
        <v>53</v>
      </c>
      <c r="H238" s="1" t="s">
        <v>539</v>
      </c>
      <c r="I238" s="1" t="s">
        <v>540</v>
      </c>
      <c r="J238" s="1" t="s">
        <v>33</v>
      </c>
      <c r="K238" t="s">
        <v>155</v>
      </c>
      <c r="M238" s="1" t="s">
        <v>35</v>
      </c>
      <c r="N238" s="1">
        <v>42318949</v>
      </c>
      <c r="O238" s="1" t="s">
        <v>36</v>
      </c>
      <c r="P238" s="186">
        <v>44580.465567129628</v>
      </c>
      <c r="R238" s="1" t="s">
        <v>38</v>
      </c>
      <c r="T238" s="1" t="s">
        <v>157</v>
      </c>
      <c r="U238" s="186">
        <v>44614.75</v>
      </c>
      <c r="V238" s="1" t="s">
        <v>41</v>
      </c>
      <c r="W238" s="1" t="s">
        <v>42</v>
      </c>
      <c r="X238" s="13"/>
      <c r="Y238" s="2">
        <f t="shared" ca="1" si="18"/>
        <v>291</v>
      </c>
      <c r="Z238" s="14">
        <v>1</v>
      </c>
      <c r="AA238" s="1" t="str">
        <f t="shared" ca="1" si="19"/>
        <v>VENCIDO</v>
      </c>
      <c r="AB238" s="1" t="str">
        <f t="shared" si="20"/>
        <v>TAAe+</v>
      </c>
      <c r="AC238" s="2" t="str">
        <f t="shared" si="23"/>
        <v xml:space="preserve"> ROSEMERE </v>
      </c>
      <c r="AD238" s="2">
        <f t="shared" si="21"/>
        <v>8</v>
      </c>
      <c r="AE238" s="2">
        <f t="shared" ca="1" si="22"/>
        <v>-371.9262716435187</v>
      </c>
      <c r="AF238" s="15"/>
    </row>
    <row r="239" spans="1:32" hidden="1">
      <c r="A239" s="1">
        <v>8290533</v>
      </c>
      <c r="B239" s="1" t="s">
        <v>62</v>
      </c>
      <c r="C239" t="s">
        <v>530</v>
      </c>
      <c r="E239" s="2">
        <v>115000203010</v>
      </c>
      <c r="F239" s="1" t="s">
        <v>152</v>
      </c>
      <c r="G239" s="1" t="s">
        <v>53</v>
      </c>
      <c r="H239" s="1" t="s">
        <v>542</v>
      </c>
      <c r="I239" s="1" t="s">
        <v>543</v>
      </c>
      <c r="J239" s="1" t="s">
        <v>56</v>
      </c>
      <c r="K239" t="s">
        <v>155</v>
      </c>
      <c r="M239" s="1" t="s">
        <v>35</v>
      </c>
      <c r="N239" s="1">
        <v>42318949</v>
      </c>
      <c r="O239" s="1" t="s">
        <v>36</v>
      </c>
      <c r="P239" s="186">
        <v>44580.465555555558</v>
      </c>
      <c r="R239" s="1" t="s">
        <v>38</v>
      </c>
      <c r="T239" s="1" t="s">
        <v>157</v>
      </c>
      <c r="U239" s="186">
        <v>44614.75</v>
      </c>
      <c r="V239" s="1" t="s">
        <v>41</v>
      </c>
      <c r="W239" s="1" t="s">
        <v>49</v>
      </c>
      <c r="X239" s="13"/>
      <c r="Y239" s="2">
        <f t="shared" ca="1" si="18"/>
        <v>291</v>
      </c>
      <c r="Z239" s="14">
        <v>1</v>
      </c>
      <c r="AA239" s="1" t="str">
        <f t="shared" ca="1" si="19"/>
        <v>VENCIDO</v>
      </c>
      <c r="AB239" s="1" t="str">
        <f t="shared" si="20"/>
        <v>TAAe+</v>
      </c>
      <c r="AC239" s="2" t="str">
        <f t="shared" si="23"/>
        <v xml:space="preserve"> CRISTINA </v>
      </c>
      <c r="AD239" s="2">
        <f t="shared" si="21"/>
        <v>8</v>
      </c>
      <c r="AE239" s="2">
        <f t="shared" ca="1" si="22"/>
        <v>-371.9262716435187</v>
      </c>
      <c r="AF239" s="15"/>
    </row>
    <row r="240" spans="1:32">
      <c r="A240" s="1">
        <v>8290521</v>
      </c>
      <c r="B240" s="1" t="s">
        <v>62</v>
      </c>
      <c r="C240" t="s">
        <v>530</v>
      </c>
      <c r="E240" s="2">
        <v>1059000203010</v>
      </c>
      <c r="F240" s="1" t="s">
        <v>152</v>
      </c>
      <c r="G240" s="1" t="s">
        <v>53</v>
      </c>
      <c r="H240" s="1" t="s">
        <v>88</v>
      </c>
      <c r="I240" s="1" t="s">
        <v>89</v>
      </c>
      <c r="J240" s="1" t="s">
        <v>90</v>
      </c>
      <c r="K240" t="s">
        <v>155</v>
      </c>
      <c r="M240" s="1" t="s">
        <v>35</v>
      </c>
      <c r="N240" s="1">
        <v>42318949</v>
      </c>
      <c r="O240" s="1" t="s">
        <v>36</v>
      </c>
      <c r="P240" s="186">
        <v>44580.465520833335</v>
      </c>
      <c r="R240" s="1" t="s">
        <v>38</v>
      </c>
      <c r="T240" s="1" t="s">
        <v>157</v>
      </c>
      <c r="U240" s="186">
        <v>44614.75</v>
      </c>
      <c r="V240" s="1" t="s">
        <v>41</v>
      </c>
      <c r="W240" s="1" t="s">
        <v>49</v>
      </c>
      <c r="X240" s="13"/>
      <c r="Y240" s="2">
        <f t="shared" ca="1" si="18"/>
        <v>291</v>
      </c>
      <c r="Z240" s="14">
        <v>1</v>
      </c>
      <c r="AA240" s="1" t="str">
        <f t="shared" ca="1" si="19"/>
        <v>VENCIDO</v>
      </c>
      <c r="AB240" s="1" t="str">
        <f t="shared" si="20"/>
        <v>TAAe+</v>
      </c>
      <c r="AC240" s="2" t="str">
        <f t="shared" si="23"/>
        <v xml:space="preserve"> RINALDO </v>
      </c>
      <c r="AD240" s="2">
        <f t="shared" si="21"/>
        <v>8</v>
      </c>
      <c r="AE240" s="2">
        <f t="shared" ca="1" si="22"/>
        <v>-371.9262716435187</v>
      </c>
      <c r="AF240" s="15"/>
    </row>
    <row r="241" spans="1:32" hidden="1">
      <c r="A241" s="1">
        <v>8290456</v>
      </c>
      <c r="B241" s="1" t="s">
        <v>62</v>
      </c>
      <c r="C241" t="s">
        <v>530</v>
      </c>
      <c r="E241" s="2">
        <v>5816000203010</v>
      </c>
      <c r="F241" s="1" t="s">
        <v>152</v>
      </c>
      <c r="G241" s="1" t="s">
        <v>53</v>
      </c>
      <c r="H241" s="1" t="s">
        <v>412</v>
      </c>
      <c r="I241" s="1" t="s">
        <v>413</v>
      </c>
      <c r="J241" s="1" t="s">
        <v>46</v>
      </c>
      <c r="K241" t="s">
        <v>155</v>
      </c>
      <c r="M241" s="1" t="s">
        <v>35</v>
      </c>
      <c r="N241" s="1">
        <v>42318949</v>
      </c>
      <c r="O241" s="1" t="s">
        <v>36</v>
      </c>
      <c r="P241" s="186">
        <v>44580.465381944443</v>
      </c>
      <c r="R241" s="1" t="s">
        <v>38</v>
      </c>
      <c r="T241" s="1" t="s">
        <v>157</v>
      </c>
      <c r="U241" s="186">
        <v>44614.75</v>
      </c>
      <c r="V241" s="1" t="s">
        <v>41</v>
      </c>
      <c r="W241" s="1" t="s">
        <v>49</v>
      </c>
      <c r="X241" s="13"/>
      <c r="Y241" s="2">
        <f t="shared" ca="1" si="18"/>
        <v>291</v>
      </c>
      <c r="Z241" s="14">
        <v>1</v>
      </c>
      <c r="AA241" s="1" t="str">
        <f t="shared" ca="1" si="19"/>
        <v>VENCIDO</v>
      </c>
      <c r="AB241" s="1" t="str">
        <f t="shared" si="20"/>
        <v>TAAe+</v>
      </c>
      <c r="AC241" s="2" t="str">
        <f t="shared" si="23"/>
        <v xml:space="preserve"> CLEITON </v>
      </c>
      <c r="AD241" s="2">
        <f t="shared" si="21"/>
        <v>8</v>
      </c>
      <c r="AE241" s="2">
        <f t="shared" ca="1" si="22"/>
        <v>-371.9262716435187</v>
      </c>
      <c r="AF241" s="15"/>
    </row>
    <row r="242" spans="1:32" hidden="1">
      <c r="A242" s="1">
        <v>8290427</v>
      </c>
      <c r="B242" s="1" t="s">
        <v>62</v>
      </c>
      <c r="C242" t="s">
        <v>530</v>
      </c>
      <c r="E242" s="2">
        <v>2802000203010</v>
      </c>
      <c r="F242" s="1" t="s">
        <v>152</v>
      </c>
      <c r="G242" s="1" t="s">
        <v>53</v>
      </c>
      <c r="H242" s="1" t="s">
        <v>388</v>
      </c>
      <c r="I242" s="1" t="s">
        <v>389</v>
      </c>
      <c r="J242" s="1" t="s">
        <v>46</v>
      </c>
      <c r="K242" t="s">
        <v>155</v>
      </c>
      <c r="M242" s="1" t="s">
        <v>35</v>
      </c>
      <c r="N242" s="1">
        <v>42318949</v>
      </c>
      <c r="O242" s="1" t="s">
        <v>36</v>
      </c>
      <c r="P242" s="186">
        <v>44580.465312499997</v>
      </c>
      <c r="R242" s="1" t="s">
        <v>38</v>
      </c>
      <c r="T242" s="1" t="s">
        <v>157</v>
      </c>
      <c r="U242" s="186">
        <v>44614.75</v>
      </c>
      <c r="V242" s="1" t="s">
        <v>41</v>
      </c>
      <c r="W242" s="1" t="s">
        <v>49</v>
      </c>
      <c r="X242" s="13"/>
      <c r="Y242" s="2">
        <f t="shared" ca="1" si="18"/>
        <v>291</v>
      </c>
      <c r="Z242" s="14">
        <v>1</v>
      </c>
      <c r="AA242" s="1" t="str">
        <f t="shared" ca="1" si="19"/>
        <v>VENCIDO</v>
      </c>
      <c r="AB242" s="1" t="str">
        <f t="shared" si="20"/>
        <v>TAAe+</v>
      </c>
      <c r="AC242" s="2" t="str">
        <f t="shared" si="23"/>
        <v xml:space="preserve"> CLEITON </v>
      </c>
      <c r="AD242" s="2">
        <f t="shared" si="21"/>
        <v>8</v>
      </c>
      <c r="AE242" s="2">
        <f t="shared" ca="1" si="22"/>
        <v>-371.9262716435187</v>
      </c>
      <c r="AF242" s="15"/>
    </row>
    <row r="243" spans="1:32" hidden="1">
      <c r="A243" s="1">
        <v>8290375</v>
      </c>
      <c r="B243" s="1" t="s">
        <v>62</v>
      </c>
      <c r="C243" t="s">
        <v>530</v>
      </c>
      <c r="E243" s="2">
        <v>1138000203010</v>
      </c>
      <c r="F243" s="1" t="s">
        <v>152</v>
      </c>
      <c r="G243" s="1" t="s">
        <v>53</v>
      </c>
      <c r="H243" s="1" t="s">
        <v>548</v>
      </c>
      <c r="I243" s="1" t="s">
        <v>549</v>
      </c>
      <c r="J243" s="1" t="s">
        <v>46</v>
      </c>
      <c r="K243" t="s">
        <v>155</v>
      </c>
      <c r="M243" s="1" t="s">
        <v>35</v>
      </c>
      <c r="N243" s="1">
        <v>42318949</v>
      </c>
      <c r="O243" s="1" t="s">
        <v>36</v>
      </c>
      <c r="P243" s="186">
        <v>44580.465185185189</v>
      </c>
      <c r="R243" s="1" t="s">
        <v>38</v>
      </c>
      <c r="T243" s="1" t="s">
        <v>157</v>
      </c>
      <c r="U243" s="186">
        <v>44614.75</v>
      </c>
      <c r="V243" s="1" t="s">
        <v>41</v>
      </c>
      <c r="W243" s="1" t="s">
        <v>49</v>
      </c>
      <c r="X243" s="13"/>
      <c r="Y243" s="2">
        <f t="shared" ca="1" si="18"/>
        <v>291</v>
      </c>
      <c r="Z243" s="14">
        <v>1</v>
      </c>
      <c r="AA243" s="1" t="str">
        <f t="shared" ca="1" si="19"/>
        <v>VENCIDO</v>
      </c>
      <c r="AB243" s="1" t="str">
        <f t="shared" si="20"/>
        <v>TAAe+</v>
      </c>
      <c r="AC243" s="2" t="str">
        <f t="shared" si="23"/>
        <v xml:space="preserve"> CLEITON </v>
      </c>
      <c r="AD243" s="2">
        <f t="shared" si="21"/>
        <v>8</v>
      </c>
      <c r="AE243" s="2">
        <f t="shared" ca="1" si="22"/>
        <v>-371.9262716435187</v>
      </c>
      <c r="AF243" s="15"/>
    </row>
    <row r="244" spans="1:32" hidden="1">
      <c r="A244" s="1">
        <v>8338348</v>
      </c>
      <c r="B244" s="1" t="s">
        <v>62</v>
      </c>
      <c r="C244" t="s">
        <v>551</v>
      </c>
      <c r="E244" s="2">
        <v>934000203000</v>
      </c>
      <c r="F244" s="1" t="s">
        <v>454</v>
      </c>
      <c r="G244" s="1" t="s">
        <v>53</v>
      </c>
      <c r="H244" s="1" t="s">
        <v>428</v>
      </c>
      <c r="I244" s="1" t="s">
        <v>429</v>
      </c>
      <c r="J244" s="1" t="s">
        <v>46</v>
      </c>
      <c r="K244" t="s">
        <v>457</v>
      </c>
      <c r="M244" s="1" t="s">
        <v>58</v>
      </c>
      <c r="N244" s="1">
        <v>0</v>
      </c>
      <c r="O244" s="1" t="s">
        <v>36</v>
      </c>
      <c r="P244" s="186">
        <v>44595.603125000001</v>
      </c>
      <c r="R244" s="1" t="s">
        <v>38</v>
      </c>
      <c r="T244" s="1" t="s">
        <v>157</v>
      </c>
      <c r="U244" s="186">
        <v>44676.75</v>
      </c>
      <c r="V244" s="1" t="s">
        <v>41</v>
      </c>
      <c r="W244" s="1" t="s">
        <v>49</v>
      </c>
      <c r="X244" s="13"/>
      <c r="Y244" s="2">
        <f t="shared" ca="1" si="18"/>
        <v>280</v>
      </c>
      <c r="Z244" s="14">
        <v>1</v>
      </c>
      <c r="AA244" s="1" t="str">
        <f t="shared" ca="1" si="19"/>
        <v>VENCIDO</v>
      </c>
      <c r="AB244" s="1" t="str">
        <f t="shared" si="20"/>
        <v>C-14</v>
      </c>
      <c r="AC244" s="2" t="str">
        <f t="shared" si="23"/>
        <v xml:space="preserve"> CLEITON </v>
      </c>
      <c r="AD244" s="2">
        <f t="shared" si="21"/>
        <v>5</v>
      </c>
      <c r="AE244" s="2">
        <f t="shared" ca="1" si="22"/>
        <v>-309.9262716435187</v>
      </c>
      <c r="AF244" s="15"/>
    </row>
    <row r="245" spans="1:32" hidden="1">
      <c r="A245" s="1">
        <v>8362148</v>
      </c>
      <c r="B245" s="1" t="s">
        <v>62</v>
      </c>
      <c r="C245" t="s">
        <v>554</v>
      </c>
      <c r="E245" s="2">
        <v>2625000206001</v>
      </c>
      <c r="F245" s="1" t="s">
        <v>29</v>
      </c>
      <c r="G245" s="1" t="s">
        <v>53</v>
      </c>
      <c r="H245" s="1" t="s">
        <v>317</v>
      </c>
      <c r="I245" s="1" t="s">
        <v>318</v>
      </c>
      <c r="J245" s="1" t="s">
        <v>164</v>
      </c>
      <c r="K245" t="s">
        <v>34</v>
      </c>
      <c r="M245" s="1" t="s">
        <v>35</v>
      </c>
      <c r="N245" s="1">
        <v>42318949</v>
      </c>
      <c r="O245" s="1" t="s">
        <v>36</v>
      </c>
      <c r="P245" s="186">
        <v>44606.51085648148</v>
      </c>
      <c r="R245" s="1" t="s">
        <v>38</v>
      </c>
      <c r="T245" s="1" t="s">
        <v>74</v>
      </c>
      <c r="U245" s="186">
        <v>44649.75</v>
      </c>
      <c r="V245" s="1" t="s">
        <v>41</v>
      </c>
      <c r="W245" s="1" t="s">
        <v>49</v>
      </c>
      <c r="X245" s="13"/>
      <c r="Y245" s="2">
        <f t="shared" ca="1" si="18"/>
        <v>273</v>
      </c>
      <c r="Z245" s="14">
        <v>1</v>
      </c>
      <c r="AA245" s="1" t="str">
        <f t="shared" ca="1" si="19"/>
        <v>VENCIDO</v>
      </c>
      <c r="AB245" s="1" t="str">
        <f t="shared" si="20"/>
        <v>Dosa</v>
      </c>
      <c r="AC245" s="2" t="str">
        <f t="shared" si="23"/>
        <v xml:space="preserve"> ROSEMERE </v>
      </c>
      <c r="AD245" s="2">
        <f t="shared" si="21"/>
        <v>5</v>
      </c>
      <c r="AE245" s="2">
        <f t="shared" ca="1" si="22"/>
        <v>-336.9262716435187</v>
      </c>
      <c r="AF245" s="15"/>
    </row>
    <row r="246" spans="1:32">
      <c r="A246" s="1">
        <v>8430790</v>
      </c>
      <c r="B246" s="1" t="s">
        <v>62</v>
      </c>
      <c r="C246" t="s">
        <v>240</v>
      </c>
      <c r="E246" s="2">
        <v>2069000203000</v>
      </c>
      <c r="F246" s="1" t="s">
        <v>454</v>
      </c>
      <c r="G246" s="1" t="s">
        <v>53</v>
      </c>
      <c r="H246" s="1" t="s">
        <v>557</v>
      </c>
      <c r="I246" s="1" t="s">
        <v>558</v>
      </c>
      <c r="J246" s="1" t="s">
        <v>90</v>
      </c>
      <c r="K246" t="s">
        <v>457</v>
      </c>
      <c r="M246" s="1" t="s">
        <v>58</v>
      </c>
      <c r="N246" s="1">
        <v>0</v>
      </c>
      <c r="O246" s="1" t="s">
        <v>36</v>
      </c>
      <c r="P246" s="186">
        <v>44634.493680555555</v>
      </c>
      <c r="R246" s="1" t="s">
        <v>38</v>
      </c>
      <c r="T246" s="1" t="s">
        <v>157</v>
      </c>
      <c r="U246" s="186">
        <v>44669.75</v>
      </c>
      <c r="V246" s="1" t="s">
        <v>41</v>
      </c>
      <c r="W246" s="1" t="s">
        <v>49</v>
      </c>
      <c r="X246" s="13"/>
      <c r="Y246" s="2">
        <f t="shared" ca="1" si="18"/>
        <v>253</v>
      </c>
      <c r="Z246" s="14">
        <v>1</v>
      </c>
      <c r="AA246" s="1" t="str">
        <f t="shared" ca="1" si="19"/>
        <v>VENCIDO</v>
      </c>
      <c r="AB246" s="1" t="str">
        <f t="shared" si="20"/>
        <v>C-14</v>
      </c>
      <c r="AC246" s="2" t="str">
        <f t="shared" si="23"/>
        <v xml:space="preserve"> RINALDO </v>
      </c>
      <c r="AD246" s="2">
        <f t="shared" si="21"/>
        <v>5</v>
      </c>
      <c r="AE246" s="2">
        <f t="shared" ca="1" si="22"/>
        <v>-316.9262716435187</v>
      </c>
      <c r="AF246" s="15"/>
    </row>
    <row r="247" spans="1:32" hidden="1">
      <c r="A247" s="1">
        <v>8443380</v>
      </c>
      <c r="B247" s="1" t="s">
        <v>62</v>
      </c>
      <c r="C247" t="s">
        <v>530</v>
      </c>
      <c r="E247" s="2">
        <v>2669000203010</v>
      </c>
      <c r="F247" s="1" t="s">
        <v>152</v>
      </c>
      <c r="G247" s="1" t="s">
        <v>53</v>
      </c>
      <c r="H247" s="1" t="s">
        <v>561</v>
      </c>
      <c r="I247" s="1" t="s">
        <v>562</v>
      </c>
      <c r="J247" s="1" t="s">
        <v>261</v>
      </c>
      <c r="K247" t="s">
        <v>155</v>
      </c>
      <c r="M247" s="1" t="s">
        <v>35</v>
      </c>
      <c r="N247" s="1">
        <v>42318949</v>
      </c>
      <c r="O247" s="1" t="s">
        <v>36</v>
      </c>
      <c r="P247" s="186">
        <v>44638.41883101852</v>
      </c>
      <c r="R247" s="1" t="s">
        <v>38</v>
      </c>
      <c r="T247" s="1" t="s">
        <v>157</v>
      </c>
      <c r="U247" s="186">
        <v>44676.75</v>
      </c>
      <c r="V247" s="1" t="s">
        <v>41</v>
      </c>
      <c r="W247" s="1" t="s">
        <v>49</v>
      </c>
      <c r="X247" s="13"/>
      <c r="Y247" s="2">
        <f t="shared" ca="1" si="18"/>
        <v>249</v>
      </c>
      <c r="Z247" s="14">
        <v>1</v>
      </c>
      <c r="AA247" s="1" t="str">
        <f t="shared" ca="1" si="19"/>
        <v>VENCIDO</v>
      </c>
      <c r="AB247" s="1" t="str">
        <f t="shared" si="20"/>
        <v>TAAe+</v>
      </c>
      <c r="AC247" s="2" t="str">
        <f t="shared" si="23"/>
        <v xml:space="preserve"> CRISTINA </v>
      </c>
      <c r="AD247" s="2">
        <f t="shared" si="21"/>
        <v>8</v>
      </c>
      <c r="AE247" s="2">
        <f t="shared" ca="1" si="22"/>
        <v>-309.9262716435187</v>
      </c>
      <c r="AF247" s="15"/>
    </row>
    <row r="248" spans="1:32" hidden="1">
      <c r="A248" s="1">
        <v>8487590</v>
      </c>
      <c r="B248" s="1" t="s">
        <v>62</v>
      </c>
      <c r="C248" t="s">
        <v>564</v>
      </c>
      <c r="E248" s="2">
        <v>1902016053700</v>
      </c>
      <c r="F248" s="1" t="s">
        <v>64</v>
      </c>
      <c r="G248" s="1" t="s">
        <v>53</v>
      </c>
      <c r="H248" s="1" t="s">
        <v>442</v>
      </c>
      <c r="I248" s="1" t="s">
        <v>443</v>
      </c>
      <c r="J248" s="1" t="s">
        <v>79</v>
      </c>
      <c r="K248" t="s">
        <v>67</v>
      </c>
      <c r="M248" s="1" t="s">
        <v>35</v>
      </c>
      <c r="N248" s="1">
        <v>42318949</v>
      </c>
      <c r="O248" s="1" t="s">
        <v>36</v>
      </c>
      <c r="P248" s="186">
        <v>44655.642384259256</v>
      </c>
      <c r="R248" s="1">
        <v>1</v>
      </c>
      <c r="T248" s="1" t="s">
        <v>69</v>
      </c>
      <c r="U248" s="186">
        <v>44656.642384259256</v>
      </c>
      <c r="V248" s="1" t="s">
        <v>41</v>
      </c>
      <c r="W248" s="1" t="s">
        <v>49</v>
      </c>
      <c r="X248" s="13"/>
      <c r="Y248" s="2">
        <f t="shared" ca="1" si="18"/>
        <v>238</v>
      </c>
      <c r="Z248" s="14">
        <v>1</v>
      </c>
      <c r="AA248" s="1" t="str">
        <f t="shared" ca="1" si="19"/>
        <v>VENCIDO</v>
      </c>
      <c r="AB248" s="1" t="str">
        <f t="shared" si="20"/>
        <v>TAAe+</v>
      </c>
      <c r="AC248" s="2" t="str">
        <f t="shared" si="23"/>
        <v xml:space="preserve"> ROSEMERE </v>
      </c>
      <c r="AD248" s="2">
        <f t="shared" si="21"/>
        <v>8</v>
      </c>
      <c r="AE248" s="2">
        <f t="shared" ca="1" si="22"/>
        <v>-330.03388738426293</v>
      </c>
      <c r="AF248" s="15"/>
    </row>
    <row r="249" spans="1:32" hidden="1">
      <c r="A249" s="1">
        <v>8488912</v>
      </c>
      <c r="B249" s="1" t="s">
        <v>62</v>
      </c>
      <c r="C249" t="s">
        <v>567</v>
      </c>
      <c r="E249" s="2">
        <v>1902016192400</v>
      </c>
      <c r="F249" s="1" t="s">
        <v>64</v>
      </c>
      <c r="G249" s="1" t="s">
        <v>53</v>
      </c>
      <c r="H249" s="1" t="s">
        <v>568</v>
      </c>
      <c r="I249" s="1" t="s">
        <v>569</v>
      </c>
      <c r="J249" s="1" t="s">
        <v>33</v>
      </c>
      <c r="K249" t="s">
        <v>67</v>
      </c>
      <c r="M249" s="1" t="s">
        <v>35</v>
      </c>
      <c r="N249" s="1">
        <v>42318949</v>
      </c>
      <c r="O249" s="1" t="s">
        <v>36</v>
      </c>
      <c r="P249" s="186">
        <v>44656.359432870369</v>
      </c>
      <c r="R249" s="1" t="s">
        <v>571</v>
      </c>
      <c r="T249" s="1" t="s">
        <v>69</v>
      </c>
      <c r="U249" s="186">
        <v>44665.375</v>
      </c>
      <c r="V249" s="1" t="s">
        <v>41</v>
      </c>
      <c r="W249" s="1" t="s">
        <v>49</v>
      </c>
      <c r="X249" s="13"/>
      <c r="Y249" s="2">
        <f t="shared" ca="1" si="18"/>
        <v>237</v>
      </c>
      <c r="Z249" s="14">
        <v>1</v>
      </c>
      <c r="AA249" s="1" t="str">
        <f t="shared" ca="1" si="19"/>
        <v>VENCIDO</v>
      </c>
      <c r="AB249" s="1" t="str">
        <f t="shared" si="20"/>
        <v>TAAe+</v>
      </c>
      <c r="AC249" s="2" t="str">
        <f t="shared" si="23"/>
        <v xml:space="preserve"> ROSEMERE </v>
      </c>
      <c r="AD249" s="2">
        <f t="shared" si="21"/>
        <v>8</v>
      </c>
      <c r="AE249" s="2">
        <f t="shared" ca="1" si="22"/>
        <v>-321.3012716435187</v>
      </c>
      <c r="AF249" s="15"/>
    </row>
    <row r="250" spans="1:32" hidden="1">
      <c r="A250" s="1">
        <v>8555673</v>
      </c>
      <c r="B250" s="1" t="s">
        <v>101</v>
      </c>
      <c r="C250" t="s">
        <v>573</v>
      </c>
      <c r="E250" s="2">
        <v>1120000206001</v>
      </c>
      <c r="F250" s="1" t="s">
        <v>29</v>
      </c>
      <c r="G250" s="1" t="s">
        <v>53</v>
      </c>
      <c r="H250" s="1" t="s">
        <v>181</v>
      </c>
      <c r="I250" s="1" t="s">
        <v>182</v>
      </c>
      <c r="J250" s="1" t="s">
        <v>164</v>
      </c>
      <c r="K250" t="s">
        <v>34</v>
      </c>
      <c r="M250" s="1" t="s">
        <v>35</v>
      </c>
      <c r="N250" s="1">
        <v>42318949</v>
      </c>
      <c r="O250" s="1" t="s">
        <v>36</v>
      </c>
      <c r="P250" s="186">
        <v>44683.726759259262</v>
      </c>
      <c r="R250" s="1" t="s">
        <v>38</v>
      </c>
      <c r="T250" s="1" t="s">
        <v>74</v>
      </c>
      <c r="U250" s="186">
        <v>44684.75</v>
      </c>
      <c r="V250" s="1" t="s">
        <v>41</v>
      </c>
      <c r="W250" s="1" t="s">
        <v>49</v>
      </c>
      <c r="X250" s="13"/>
      <c r="Y250" s="2">
        <f t="shared" ca="1" si="18"/>
        <v>218</v>
      </c>
      <c r="Z250" s="14">
        <v>1</v>
      </c>
      <c r="AA250" s="1" t="str">
        <f t="shared" ca="1" si="19"/>
        <v>VENCIDO</v>
      </c>
      <c r="AB250" s="1" t="str">
        <f t="shared" si="20"/>
        <v>Dosa</v>
      </c>
      <c r="AC250" s="2" t="str">
        <f t="shared" si="23"/>
        <v xml:space="preserve"> ROSEMERE </v>
      </c>
      <c r="AD250" s="2">
        <f t="shared" si="21"/>
        <v>5</v>
      </c>
      <c r="AE250" s="2">
        <f t="shared" ca="1" si="22"/>
        <v>-301.9262716435187</v>
      </c>
      <c r="AF250" s="15"/>
    </row>
    <row r="251" spans="1:32" hidden="1">
      <c r="A251" s="1">
        <v>8555672</v>
      </c>
      <c r="B251" s="1" t="s">
        <v>101</v>
      </c>
      <c r="C251" t="s">
        <v>573</v>
      </c>
      <c r="E251" s="2">
        <v>1120000206001</v>
      </c>
      <c r="F251" s="1" t="s">
        <v>29</v>
      </c>
      <c r="G251" s="1" t="s">
        <v>53</v>
      </c>
      <c r="H251" s="1" t="s">
        <v>181</v>
      </c>
      <c r="I251" s="1" t="s">
        <v>182</v>
      </c>
      <c r="J251" s="1" t="s">
        <v>164</v>
      </c>
      <c r="K251" t="s">
        <v>34</v>
      </c>
      <c r="M251" s="1" t="s">
        <v>35</v>
      </c>
      <c r="N251" s="1">
        <v>42318949</v>
      </c>
      <c r="O251" s="1" t="s">
        <v>36</v>
      </c>
      <c r="P251" s="186">
        <v>44683.726759259262</v>
      </c>
      <c r="R251" s="1" t="s">
        <v>38</v>
      </c>
      <c r="T251" s="1" t="s">
        <v>74</v>
      </c>
      <c r="U251" s="186">
        <v>44684.75</v>
      </c>
      <c r="V251" s="1" t="s">
        <v>41</v>
      </c>
      <c r="W251" s="1" t="s">
        <v>49</v>
      </c>
      <c r="X251" s="13"/>
      <c r="Y251" s="2">
        <f t="shared" ca="1" si="18"/>
        <v>218</v>
      </c>
      <c r="Z251" s="14">
        <v>1</v>
      </c>
      <c r="AA251" s="1" t="str">
        <f t="shared" ca="1" si="19"/>
        <v>VENCIDO</v>
      </c>
      <c r="AB251" s="1" t="str">
        <f t="shared" si="20"/>
        <v>Dosa</v>
      </c>
      <c r="AC251" s="2" t="str">
        <f t="shared" si="23"/>
        <v xml:space="preserve"> ROSEMERE </v>
      </c>
      <c r="AD251" s="2">
        <f t="shared" si="21"/>
        <v>5</v>
      </c>
      <c r="AE251" s="2">
        <f t="shared" ca="1" si="22"/>
        <v>-301.9262716435187</v>
      </c>
      <c r="AF251" s="15"/>
    </row>
    <row r="252" spans="1:32" hidden="1">
      <c r="A252" s="1">
        <v>8555626</v>
      </c>
      <c r="B252" s="1" t="s">
        <v>101</v>
      </c>
      <c r="C252" t="s">
        <v>573</v>
      </c>
      <c r="E252" s="2">
        <v>1058000206001</v>
      </c>
      <c r="F252" s="1" t="s">
        <v>29</v>
      </c>
      <c r="G252" s="1" t="s">
        <v>53</v>
      </c>
      <c r="H252" s="1" t="s">
        <v>289</v>
      </c>
      <c r="I252" s="1" t="s">
        <v>290</v>
      </c>
      <c r="J252" s="1" t="s">
        <v>56</v>
      </c>
      <c r="K252" t="s">
        <v>34</v>
      </c>
      <c r="M252" s="1" t="s">
        <v>35</v>
      </c>
      <c r="N252" s="1">
        <v>42318949</v>
      </c>
      <c r="O252" s="1" t="s">
        <v>36</v>
      </c>
      <c r="P252" s="186">
        <v>44683.726666666669</v>
      </c>
      <c r="R252" s="1" t="s">
        <v>38</v>
      </c>
      <c r="T252" s="1" t="s">
        <v>74</v>
      </c>
      <c r="U252" s="186">
        <v>44684.75</v>
      </c>
      <c r="V252" s="1" t="s">
        <v>41</v>
      </c>
      <c r="W252" s="1" t="s">
        <v>49</v>
      </c>
      <c r="X252" s="13"/>
      <c r="Y252" s="2">
        <f t="shared" ca="1" si="18"/>
        <v>218</v>
      </c>
      <c r="Z252" s="14">
        <v>1</v>
      </c>
      <c r="AA252" s="1" t="str">
        <f t="shared" ca="1" si="19"/>
        <v>VENCIDO</v>
      </c>
      <c r="AB252" s="1" t="str">
        <f t="shared" si="20"/>
        <v>Dosa</v>
      </c>
      <c r="AC252" s="2" t="str">
        <f t="shared" si="23"/>
        <v xml:space="preserve"> CRISTINA </v>
      </c>
      <c r="AD252" s="2">
        <f t="shared" si="21"/>
        <v>5</v>
      </c>
      <c r="AE252" s="2">
        <f t="shared" ca="1" si="22"/>
        <v>-301.9262716435187</v>
      </c>
      <c r="AF252" s="15"/>
    </row>
    <row r="253" spans="1:32" hidden="1">
      <c r="A253" s="1">
        <v>8555625</v>
      </c>
      <c r="B253" s="1" t="s">
        <v>101</v>
      </c>
      <c r="C253" t="s">
        <v>573</v>
      </c>
      <c r="E253" s="2">
        <v>1058000206001</v>
      </c>
      <c r="F253" s="1" t="s">
        <v>29</v>
      </c>
      <c r="G253" s="1" t="s">
        <v>53</v>
      </c>
      <c r="H253" s="1" t="s">
        <v>289</v>
      </c>
      <c r="I253" s="1" t="s">
        <v>290</v>
      </c>
      <c r="J253" s="1" t="s">
        <v>56</v>
      </c>
      <c r="K253" t="s">
        <v>34</v>
      </c>
      <c r="M253" s="1" t="s">
        <v>35</v>
      </c>
      <c r="N253" s="1">
        <v>42318949</v>
      </c>
      <c r="O253" s="1" t="s">
        <v>36</v>
      </c>
      <c r="P253" s="186">
        <v>44683.726655092592</v>
      </c>
      <c r="R253" s="1" t="s">
        <v>38</v>
      </c>
      <c r="T253" s="1" t="s">
        <v>74</v>
      </c>
      <c r="U253" s="186">
        <v>44684.75</v>
      </c>
      <c r="V253" s="1" t="s">
        <v>41</v>
      </c>
      <c r="W253" s="1" t="s">
        <v>49</v>
      </c>
      <c r="X253" s="13"/>
      <c r="Y253" s="2">
        <f t="shared" ca="1" si="18"/>
        <v>218</v>
      </c>
      <c r="Z253" s="14">
        <v>1</v>
      </c>
      <c r="AA253" s="1" t="str">
        <f t="shared" ca="1" si="19"/>
        <v>VENCIDO</v>
      </c>
      <c r="AB253" s="1" t="str">
        <f t="shared" si="20"/>
        <v>Dosa</v>
      </c>
      <c r="AC253" s="2" t="str">
        <f t="shared" si="23"/>
        <v xml:space="preserve"> CRISTINA </v>
      </c>
      <c r="AD253" s="2">
        <f t="shared" si="21"/>
        <v>5</v>
      </c>
      <c r="AE253" s="2">
        <f t="shared" ca="1" si="22"/>
        <v>-301.9262716435187</v>
      </c>
      <c r="AF253" s="15"/>
    </row>
    <row r="254" spans="1:32" hidden="1">
      <c r="A254" s="1">
        <v>8555624</v>
      </c>
      <c r="B254" s="1" t="s">
        <v>101</v>
      </c>
      <c r="C254" t="s">
        <v>573</v>
      </c>
      <c r="E254" s="2">
        <v>1058000206001</v>
      </c>
      <c r="F254" s="1" t="s">
        <v>29</v>
      </c>
      <c r="G254" s="1" t="s">
        <v>53</v>
      </c>
      <c r="H254" s="1" t="s">
        <v>289</v>
      </c>
      <c r="I254" s="1" t="s">
        <v>290</v>
      </c>
      <c r="J254" s="1" t="s">
        <v>56</v>
      </c>
      <c r="K254" t="s">
        <v>34</v>
      </c>
      <c r="M254" s="1" t="s">
        <v>35</v>
      </c>
      <c r="N254" s="1">
        <v>42318949</v>
      </c>
      <c r="O254" s="1" t="s">
        <v>36</v>
      </c>
      <c r="P254" s="186">
        <v>44683.726655092592</v>
      </c>
      <c r="R254" s="1" t="s">
        <v>38</v>
      </c>
      <c r="T254" s="1" t="s">
        <v>74</v>
      </c>
      <c r="U254" s="186">
        <v>44684.75</v>
      </c>
      <c r="V254" s="1" t="s">
        <v>41</v>
      </c>
      <c r="W254" s="1" t="s">
        <v>49</v>
      </c>
      <c r="X254" s="13"/>
      <c r="Y254" s="2">
        <f t="shared" ca="1" si="18"/>
        <v>218</v>
      </c>
      <c r="Z254" s="14">
        <v>1</v>
      </c>
      <c r="AA254" s="1" t="str">
        <f t="shared" ca="1" si="19"/>
        <v>VENCIDO</v>
      </c>
      <c r="AB254" s="1" t="str">
        <f t="shared" si="20"/>
        <v>Dosa</v>
      </c>
      <c r="AC254" s="2" t="str">
        <f t="shared" si="23"/>
        <v xml:space="preserve"> CRISTINA </v>
      </c>
      <c r="AD254" s="2">
        <f t="shared" si="21"/>
        <v>5</v>
      </c>
      <c r="AE254" s="2">
        <f t="shared" ca="1" si="22"/>
        <v>-301.9262716435187</v>
      </c>
      <c r="AF254" s="15"/>
    </row>
    <row r="255" spans="1:32" hidden="1">
      <c r="A255" s="1">
        <v>8555329</v>
      </c>
      <c r="B255" s="1" t="s">
        <v>101</v>
      </c>
      <c r="C255" t="s">
        <v>573</v>
      </c>
      <c r="E255" s="2">
        <v>537000206001</v>
      </c>
      <c r="F255" s="1" t="s">
        <v>29</v>
      </c>
      <c r="G255" s="1" t="s">
        <v>53</v>
      </c>
      <c r="H255" s="1" t="s">
        <v>442</v>
      </c>
      <c r="I255" s="1" t="s">
        <v>443</v>
      </c>
      <c r="J255" s="1" t="s">
        <v>79</v>
      </c>
      <c r="K255" t="s">
        <v>34</v>
      </c>
      <c r="M255" s="1" t="s">
        <v>35</v>
      </c>
      <c r="N255" s="1">
        <v>42318949</v>
      </c>
      <c r="O255" s="1" t="s">
        <v>36</v>
      </c>
      <c r="P255" s="186">
        <v>44683.72587962963</v>
      </c>
      <c r="R255" s="1" t="s">
        <v>38</v>
      </c>
      <c r="T255" s="1" t="s">
        <v>74</v>
      </c>
      <c r="U255" s="186">
        <v>44684.75</v>
      </c>
      <c r="V255" s="1" t="s">
        <v>41</v>
      </c>
      <c r="W255" s="1" t="s">
        <v>49</v>
      </c>
      <c r="X255" s="13"/>
      <c r="Y255" s="2">
        <f t="shared" ca="1" si="18"/>
        <v>218</v>
      </c>
      <c r="Z255" s="14">
        <v>1</v>
      </c>
      <c r="AA255" s="1" t="str">
        <f t="shared" ca="1" si="19"/>
        <v>VENCIDO</v>
      </c>
      <c r="AB255" s="1" t="str">
        <f t="shared" si="20"/>
        <v>Dosa</v>
      </c>
      <c r="AC255" s="2" t="str">
        <f t="shared" si="23"/>
        <v xml:space="preserve"> ROSEMERE </v>
      </c>
      <c r="AD255" s="2">
        <f t="shared" si="21"/>
        <v>5</v>
      </c>
      <c r="AE255" s="2">
        <f t="shared" ca="1" si="22"/>
        <v>-301.9262716435187</v>
      </c>
      <c r="AF255" s="15"/>
    </row>
    <row r="256" spans="1:32" hidden="1">
      <c r="A256" s="1">
        <v>8591589</v>
      </c>
      <c r="B256" s="1" t="s">
        <v>27</v>
      </c>
      <c r="C256" t="s">
        <v>577</v>
      </c>
      <c r="E256" s="2">
        <v>9703000206201</v>
      </c>
      <c r="F256" s="1" t="s">
        <v>208</v>
      </c>
      <c r="G256" s="1" t="s">
        <v>53</v>
      </c>
      <c r="H256" s="1" t="s">
        <v>494</v>
      </c>
      <c r="I256" s="1" t="s">
        <v>495</v>
      </c>
      <c r="J256" s="1" t="s">
        <v>79</v>
      </c>
      <c r="K256" t="s">
        <v>212</v>
      </c>
      <c r="M256" s="1" t="s">
        <v>35</v>
      </c>
      <c r="N256" s="1">
        <v>42318949</v>
      </c>
      <c r="O256" s="1" t="s">
        <v>36</v>
      </c>
      <c r="P256" s="186">
        <v>44697.547592592593</v>
      </c>
      <c r="R256" s="1" t="s">
        <v>38</v>
      </c>
      <c r="T256" s="1" t="s">
        <v>74</v>
      </c>
      <c r="U256" s="186">
        <v>44739.75</v>
      </c>
      <c r="V256" s="1" t="s">
        <v>41</v>
      </c>
      <c r="W256" s="1" t="s">
        <v>49</v>
      </c>
      <c r="X256" s="13"/>
      <c r="Y256" s="2">
        <f t="shared" ca="1" si="18"/>
        <v>208</v>
      </c>
      <c r="Z256" s="14">
        <v>1</v>
      </c>
      <c r="AA256" s="1" t="str">
        <f t="shared" ca="1" si="19"/>
        <v>VENCIDO</v>
      </c>
      <c r="AB256" s="1" t="str">
        <f t="shared" si="20"/>
        <v>TAAe+</v>
      </c>
      <c r="AC256" s="2" t="str">
        <f t="shared" si="23"/>
        <v xml:space="preserve"> ROSEMERE </v>
      </c>
      <c r="AD256" s="2">
        <f t="shared" si="21"/>
        <v>8</v>
      </c>
      <c r="AE256" s="2">
        <f t="shared" ca="1" si="22"/>
        <v>-246.9262716435187</v>
      </c>
      <c r="AF256" s="15"/>
    </row>
    <row r="257" spans="1:32">
      <c r="A257" s="1">
        <v>8600371</v>
      </c>
      <c r="B257" s="1" t="s">
        <v>62</v>
      </c>
      <c r="C257" t="s">
        <v>578</v>
      </c>
      <c r="E257" s="2">
        <v>2437000203000</v>
      </c>
      <c r="F257" s="1" t="s">
        <v>454</v>
      </c>
      <c r="G257" s="1" t="s">
        <v>53</v>
      </c>
      <c r="H257" s="1" t="s">
        <v>416</v>
      </c>
      <c r="I257" s="1" t="s">
        <v>417</v>
      </c>
      <c r="J257" s="1" t="s">
        <v>211</v>
      </c>
      <c r="K257" t="s">
        <v>457</v>
      </c>
      <c r="M257" s="1" t="s">
        <v>58</v>
      </c>
      <c r="N257" s="1">
        <v>0</v>
      </c>
      <c r="O257" s="1" t="s">
        <v>36</v>
      </c>
      <c r="P257" s="186">
        <v>44700.687164351853</v>
      </c>
      <c r="R257" s="1">
        <v>1</v>
      </c>
      <c r="T257" s="1" t="s">
        <v>157</v>
      </c>
      <c r="U257" s="186">
        <v>44735.75</v>
      </c>
      <c r="V257" s="1" t="s">
        <v>41</v>
      </c>
      <c r="W257" s="1" t="s">
        <v>49</v>
      </c>
      <c r="X257" s="13"/>
      <c r="Y257" s="2">
        <f t="shared" ca="1" si="18"/>
        <v>205</v>
      </c>
      <c r="Z257" s="14">
        <v>1</v>
      </c>
      <c r="AA257" s="1" t="str">
        <f t="shared" ca="1" si="19"/>
        <v>VENCIDO</v>
      </c>
      <c r="AB257" s="1" t="str">
        <f t="shared" si="20"/>
        <v>C-14</v>
      </c>
      <c r="AC257" s="2" t="str">
        <f t="shared" si="23"/>
        <v xml:space="preserve"> RINALDO </v>
      </c>
      <c r="AD257" s="2">
        <f t="shared" si="21"/>
        <v>5</v>
      </c>
      <c r="AE257" s="2">
        <f t="shared" ca="1" si="22"/>
        <v>-250.9262716435187</v>
      </c>
      <c r="AF257" s="15"/>
    </row>
    <row r="258" spans="1:32" hidden="1">
      <c r="A258" s="1">
        <v>8624265</v>
      </c>
      <c r="B258" s="1" t="s">
        <v>27</v>
      </c>
      <c r="C258" t="s">
        <v>186</v>
      </c>
      <c r="E258" s="2">
        <v>2413000206001</v>
      </c>
      <c r="F258" s="1" t="s">
        <v>29</v>
      </c>
      <c r="G258" s="1" t="s">
        <v>53</v>
      </c>
      <c r="H258" s="1" t="s">
        <v>505</v>
      </c>
      <c r="I258" s="1" t="s">
        <v>506</v>
      </c>
      <c r="J258" s="1" t="s">
        <v>141</v>
      </c>
      <c r="K258" t="s">
        <v>34</v>
      </c>
      <c r="M258" s="1" t="s">
        <v>35</v>
      </c>
      <c r="N258" s="1">
        <v>42318949</v>
      </c>
      <c r="O258" s="1" t="s">
        <v>105</v>
      </c>
      <c r="P258" s="186">
        <v>44711.655636574076</v>
      </c>
      <c r="R258" s="1" t="s">
        <v>38</v>
      </c>
      <c r="T258" s="1" t="s">
        <v>74</v>
      </c>
      <c r="U258" s="186">
        <v>44711.75</v>
      </c>
      <c r="V258" s="1" t="s">
        <v>41</v>
      </c>
      <c r="W258" s="1" t="s">
        <v>49</v>
      </c>
      <c r="X258" s="13"/>
      <c r="Y258" s="2">
        <f t="shared" ref="Y258:Y321" ca="1" si="24">NETWORKDAYS(P258,$Y$1)</f>
        <v>198</v>
      </c>
      <c r="Z258" s="14">
        <v>1</v>
      </c>
      <c r="AA258" s="1" t="str">
        <f t="shared" ref="AA258:AA321" ca="1" si="25">IF(AE258=0,"HOJE",IF(AE258&gt;0,"A VENCER",IF(AE258&lt;0,"VENCIDO")))</f>
        <v>VENCIDO</v>
      </c>
      <c r="AB258" s="1" t="str">
        <f t="shared" ref="AB258:AB321" si="26">IF(F258="GRPE-000001","C-14",IF(F258="GRPE-000002","C-14",IF(F258="GRPE-000003","C-14",IF(F258="GRPE-000004","SL-On",IF(F258="GRPE-000038","C-14",IF(F258="GRPE-900022","Dosa",IF(F258="GRPE-000029","Dosa",IF(F258="ATOS-000222","Dose","TAAe+"))))))))</f>
        <v>Dosa</v>
      </c>
      <c r="AC258" s="2" t="str">
        <f t="shared" si="23"/>
        <v xml:space="preserve"> CRISTINA </v>
      </c>
      <c r="AD258" s="2">
        <f t="shared" ref="AD258:AD321" si="27">IF(F258="GRPE-000001",5,IF(F258="GRPE-000002",5,IF(F258="GRPE-000003",15,IF(F258="GRPE-000004",1,IF(F258="GRPE-000038",5,IF(F258="GRPE-900022",5,IF(F258="GRPE-000029",5,IF(F258="ATOS-000222",5,8))))))))</f>
        <v>5</v>
      </c>
      <c r="AE258" s="2">
        <f t="shared" ref="AE258:AE321" ca="1" si="28">IF(U258=$AE$1,"",U258-$AE$1)</f>
        <v>-274.9262716435187</v>
      </c>
      <c r="AF258" s="15"/>
    </row>
    <row r="259" spans="1:32" hidden="1">
      <c r="A259" s="1">
        <v>8624202</v>
      </c>
      <c r="B259" s="1" t="s">
        <v>27</v>
      </c>
      <c r="C259" t="s">
        <v>186</v>
      </c>
      <c r="E259" s="2">
        <v>673000206001</v>
      </c>
      <c r="F259" s="1" t="s">
        <v>29</v>
      </c>
      <c r="G259" s="1" t="s">
        <v>53</v>
      </c>
      <c r="H259" s="1" t="s">
        <v>581</v>
      </c>
      <c r="I259" s="1" t="s">
        <v>582</v>
      </c>
      <c r="J259" s="1" t="s">
        <v>110</v>
      </c>
      <c r="K259" t="s">
        <v>34</v>
      </c>
      <c r="M259" s="1" t="s">
        <v>35</v>
      </c>
      <c r="N259" s="1">
        <v>42318949</v>
      </c>
      <c r="O259" s="1" t="s">
        <v>36</v>
      </c>
      <c r="P259" s="186">
        <v>44711.655486111114</v>
      </c>
      <c r="R259" s="1" t="s">
        <v>38</v>
      </c>
      <c r="T259" s="1" t="s">
        <v>74</v>
      </c>
      <c r="U259" s="186">
        <v>44711.75</v>
      </c>
      <c r="V259" s="1" t="s">
        <v>41</v>
      </c>
      <c r="W259" s="1" t="s">
        <v>49</v>
      </c>
      <c r="X259" s="13"/>
      <c r="Y259" s="2">
        <f t="shared" ca="1" si="24"/>
        <v>198</v>
      </c>
      <c r="Z259" s="14">
        <v>1</v>
      </c>
      <c r="AA259" s="1" t="str">
        <f t="shared" ca="1" si="25"/>
        <v>VENCIDO</v>
      </c>
      <c r="AB259" s="1" t="str">
        <f t="shared" si="26"/>
        <v>Dosa</v>
      </c>
      <c r="AC259" s="2" t="str">
        <f t="shared" ref="AC259:AC322" si="29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 xml:space="preserve"> CRISTINA </v>
      </c>
      <c r="AD259" s="2">
        <f t="shared" si="27"/>
        <v>5</v>
      </c>
      <c r="AE259" s="2">
        <f t="shared" ca="1" si="28"/>
        <v>-274.9262716435187</v>
      </c>
      <c r="AF259" s="15"/>
    </row>
    <row r="260" spans="1:32" hidden="1">
      <c r="A260" s="1">
        <v>8624200</v>
      </c>
      <c r="B260" s="1" t="s">
        <v>27</v>
      </c>
      <c r="C260" t="s">
        <v>186</v>
      </c>
      <c r="E260" s="2">
        <v>7710206001</v>
      </c>
      <c r="F260" s="1" t="s">
        <v>29</v>
      </c>
      <c r="G260" s="1" t="s">
        <v>53</v>
      </c>
      <c r="H260" s="1" t="s">
        <v>228</v>
      </c>
      <c r="I260" s="1" t="s">
        <v>229</v>
      </c>
      <c r="J260" s="1" t="s">
        <v>46</v>
      </c>
      <c r="K260" t="s">
        <v>34</v>
      </c>
      <c r="M260" s="1" t="s">
        <v>35</v>
      </c>
      <c r="N260" s="1">
        <v>42318949</v>
      </c>
      <c r="O260" s="1" t="s">
        <v>105</v>
      </c>
      <c r="P260" s="186">
        <v>44711.655474537038</v>
      </c>
      <c r="R260" s="1" t="s">
        <v>38</v>
      </c>
      <c r="T260" s="1" t="s">
        <v>74</v>
      </c>
      <c r="U260" s="186">
        <v>44711.75</v>
      </c>
      <c r="V260" s="1" t="s">
        <v>41</v>
      </c>
      <c r="W260" s="1" t="s">
        <v>49</v>
      </c>
      <c r="X260" s="13"/>
      <c r="Y260" s="2">
        <f t="shared" ca="1" si="24"/>
        <v>198</v>
      </c>
      <c r="Z260" s="14">
        <v>1</v>
      </c>
      <c r="AA260" s="1" t="str">
        <f t="shared" ca="1" si="25"/>
        <v>VENCIDO</v>
      </c>
      <c r="AB260" s="1" t="str">
        <f t="shared" si="26"/>
        <v>Dosa</v>
      </c>
      <c r="AC260" s="2" t="str">
        <f t="shared" si="29"/>
        <v xml:space="preserve"> CLEITON </v>
      </c>
      <c r="AD260" s="2">
        <f t="shared" si="27"/>
        <v>5</v>
      </c>
      <c r="AE260" s="2">
        <f t="shared" ca="1" si="28"/>
        <v>-274.9262716435187</v>
      </c>
      <c r="AF260" s="15"/>
    </row>
    <row r="261" spans="1:32" hidden="1">
      <c r="A261" s="1">
        <v>8624105</v>
      </c>
      <c r="B261" s="1" t="s">
        <v>27</v>
      </c>
      <c r="C261" t="s">
        <v>186</v>
      </c>
      <c r="E261" s="2">
        <v>3504000206001</v>
      </c>
      <c r="F261" s="1" t="s">
        <v>29</v>
      </c>
      <c r="G261" s="1" t="s">
        <v>53</v>
      </c>
      <c r="H261" s="1" t="s">
        <v>585</v>
      </c>
      <c r="I261" s="1" t="s">
        <v>586</v>
      </c>
      <c r="J261" s="1" t="s">
        <v>46</v>
      </c>
      <c r="K261" t="s">
        <v>34</v>
      </c>
      <c r="M261" s="1" t="s">
        <v>35</v>
      </c>
      <c r="N261" s="1">
        <v>42318949</v>
      </c>
      <c r="O261" s="1" t="s">
        <v>105</v>
      </c>
      <c r="P261" s="186">
        <v>44711.655358796299</v>
      </c>
      <c r="R261" s="1" t="s">
        <v>38</v>
      </c>
      <c r="T261" s="1" t="s">
        <v>74</v>
      </c>
      <c r="U261" s="186">
        <v>44711.75</v>
      </c>
      <c r="V261" s="1" t="s">
        <v>41</v>
      </c>
      <c r="W261" s="1" t="s">
        <v>49</v>
      </c>
      <c r="X261" s="13"/>
      <c r="Y261" s="2">
        <f t="shared" ca="1" si="24"/>
        <v>198</v>
      </c>
      <c r="Z261" s="14">
        <v>1</v>
      </c>
      <c r="AA261" s="1" t="str">
        <f t="shared" ca="1" si="25"/>
        <v>VENCIDO</v>
      </c>
      <c r="AB261" s="1" t="str">
        <f t="shared" si="26"/>
        <v>Dosa</v>
      </c>
      <c r="AC261" s="2" t="str">
        <f t="shared" si="29"/>
        <v xml:space="preserve"> CLEITON </v>
      </c>
      <c r="AD261" s="2">
        <f t="shared" si="27"/>
        <v>5</v>
      </c>
      <c r="AE261" s="2">
        <f t="shared" ca="1" si="28"/>
        <v>-274.9262716435187</v>
      </c>
      <c r="AF261" s="15"/>
    </row>
    <row r="262" spans="1:32" hidden="1">
      <c r="A262" s="1">
        <v>8624102</v>
      </c>
      <c r="B262" s="1" t="s">
        <v>27</v>
      </c>
      <c r="C262" t="s">
        <v>186</v>
      </c>
      <c r="E262" s="2">
        <v>220000206001</v>
      </c>
      <c r="F262" s="1" t="s">
        <v>29</v>
      </c>
      <c r="G262" s="1" t="s">
        <v>53</v>
      </c>
      <c r="H262" s="1" t="s">
        <v>588</v>
      </c>
      <c r="I262" s="1" t="s">
        <v>589</v>
      </c>
      <c r="J262" s="1" t="s">
        <v>110</v>
      </c>
      <c r="K262" t="s">
        <v>34</v>
      </c>
      <c r="M262" s="1" t="s">
        <v>35</v>
      </c>
      <c r="N262" s="1">
        <v>42318949</v>
      </c>
      <c r="O262" s="1" t="s">
        <v>105</v>
      </c>
      <c r="P262" s="186">
        <v>44711.655358796299</v>
      </c>
      <c r="R262" s="1" t="s">
        <v>38</v>
      </c>
      <c r="T262" s="1" t="s">
        <v>74</v>
      </c>
      <c r="U262" s="186">
        <v>44711.75</v>
      </c>
      <c r="V262" s="1" t="s">
        <v>41</v>
      </c>
      <c r="W262" s="1" t="s">
        <v>49</v>
      </c>
      <c r="X262" s="13"/>
      <c r="Y262" s="2">
        <f t="shared" ca="1" si="24"/>
        <v>198</v>
      </c>
      <c r="Z262" s="14">
        <v>1</v>
      </c>
      <c r="AA262" s="1" t="str">
        <f t="shared" ca="1" si="25"/>
        <v>VENCIDO</v>
      </c>
      <c r="AB262" s="1" t="str">
        <f t="shared" si="26"/>
        <v>Dosa</v>
      </c>
      <c r="AC262" s="2" t="str">
        <f t="shared" si="29"/>
        <v xml:space="preserve"> CRISTINA </v>
      </c>
      <c r="AD262" s="2">
        <f t="shared" si="27"/>
        <v>5</v>
      </c>
      <c r="AE262" s="2">
        <f t="shared" ca="1" si="28"/>
        <v>-274.9262716435187</v>
      </c>
      <c r="AF262" s="15"/>
    </row>
    <row r="263" spans="1:32" hidden="1">
      <c r="A263" s="1">
        <v>8624013</v>
      </c>
      <c r="B263" s="1" t="s">
        <v>27</v>
      </c>
      <c r="C263" t="s">
        <v>186</v>
      </c>
      <c r="E263" s="2">
        <v>2081000206001</v>
      </c>
      <c r="F263" s="1" t="s">
        <v>29</v>
      </c>
      <c r="G263" s="1" t="s">
        <v>53</v>
      </c>
      <c r="H263" s="1" t="s">
        <v>590</v>
      </c>
      <c r="I263" s="1" t="s">
        <v>591</v>
      </c>
      <c r="J263" s="1" t="s">
        <v>261</v>
      </c>
      <c r="K263" t="s">
        <v>34</v>
      </c>
      <c r="M263" s="1" t="s">
        <v>35</v>
      </c>
      <c r="N263" s="1">
        <v>42318949</v>
      </c>
      <c r="O263" s="1" t="s">
        <v>105</v>
      </c>
      <c r="P263" s="186">
        <v>44711.65525462963</v>
      </c>
      <c r="R263" s="1" t="s">
        <v>38</v>
      </c>
      <c r="T263" s="1" t="s">
        <v>74</v>
      </c>
      <c r="U263" s="186">
        <v>44711.75</v>
      </c>
      <c r="V263" s="1" t="s">
        <v>41</v>
      </c>
      <c r="W263" s="1" t="s">
        <v>49</v>
      </c>
      <c r="X263" s="13"/>
      <c r="Y263" s="2">
        <f t="shared" ca="1" si="24"/>
        <v>198</v>
      </c>
      <c r="Z263" s="14">
        <v>1</v>
      </c>
      <c r="AA263" s="1" t="str">
        <f t="shared" ca="1" si="25"/>
        <v>VENCIDO</v>
      </c>
      <c r="AB263" s="1" t="str">
        <f t="shared" si="26"/>
        <v>Dosa</v>
      </c>
      <c r="AC263" s="2" t="str">
        <f t="shared" si="29"/>
        <v xml:space="preserve"> CRISTINA </v>
      </c>
      <c r="AD263" s="2">
        <f t="shared" si="27"/>
        <v>5</v>
      </c>
      <c r="AE263" s="2">
        <f t="shared" ca="1" si="28"/>
        <v>-274.9262716435187</v>
      </c>
      <c r="AF263" s="15"/>
    </row>
    <row r="264" spans="1:32" hidden="1">
      <c r="A264" s="1">
        <v>8623899</v>
      </c>
      <c r="B264" s="1" t="s">
        <v>27</v>
      </c>
      <c r="C264" t="s">
        <v>186</v>
      </c>
      <c r="E264" s="2">
        <v>1358000206001</v>
      </c>
      <c r="F264" s="1" t="s">
        <v>29</v>
      </c>
      <c r="G264" s="1" t="s">
        <v>53</v>
      </c>
      <c r="H264" s="1" t="s">
        <v>593</v>
      </c>
      <c r="I264" s="1" t="s">
        <v>594</v>
      </c>
      <c r="J264" s="1" t="s">
        <v>261</v>
      </c>
      <c r="K264" t="s">
        <v>34</v>
      </c>
      <c r="M264" s="1" t="s">
        <v>35</v>
      </c>
      <c r="N264" s="1">
        <v>42318949</v>
      </c>
      <c r="O264" s="1" t="s">
        <v>105</v>
      </c>
      <c r="P264" s="186">
        <v>44711.655104166668</v>
      </c>
      <c r="R264" s="1" t="s">
        <v>38</v>
      </c>
      <c r="T264" s="1" t="s">
        <v>74</v>
      </c>
      <c r="U264" s="186">
        <v>44711.75</v>
      </c>
      <c r="V264" s="1" t="s">
        <v>41</v>
      </c>
      <c r="W264" s="1" t="s">
        <v>49</v>
      </c>
      <c r="X264" s="13"/>
      <c r="Y264" s="2">
        <f t="shared" ca="1" si="24"/>
        <v>198</v>
      </c>
      <c r="Z264" s="14">
        <v>1</v>
      </c>
      <c r="AA264" s="1" t="str">
        <f t="shared" ca="1" si="25"/>
        <v>VENCIDO</v>
      </c>
      <c r="AB264" s="1" t="str">
        <f t="shared" si="26"/>
        <v>Dosa</v>
      </c>
      <c r="AC264" s="2" t="str">
        <f t="shared" si="29"/>
        <v xml:space="preserve"> CRISTINA </v>
      </c>
      <c r="AD264" s="2">
        <f t="shared" si="27"/>
        <v>5</v>
      </c>
      <c r="AE264" s="2">
        <f t="shared" ca="1" si="28"/>
        <v>-274.9262716435187</v>
      </c>
      <c r="AF264" s="15"/>
    </row>
    <row r="265" spans="1:32" hidden="1">
      <c r="A265" s="1">
        <v>8623844</v>
      </c>
      <c r="B265" s="1" t="s">
        <v>27</v>
      </c>
      <c r="C265" t="s">
        <v>186</v>
      </c>
      <c r="E265" s="2">
        <v>3503000206001</v>
      </c>
      <c r="F265" s="1" t="s">
        <v>29</v>
      </c>
      <c r="G265" s="1" t="s">
        <v>53</v>
      </c>
      <c r="H265" s="1" t="s">
        <v>398</v>
      </c>
      <c r="I265" s="1" t="s">
        <v>399</v>
      </c>
      <c r="J265" s="1" t="s">
        <v>46</v>
      </c>
      <c r="K265" t="s">
        <v>34</v>
      </c>
      <c r="M265" s="1" t="s">
        <v>35</v>
      </c>
      <c r="N265" s="1">
        <v>42318949</v>
      </c>
      <c r="O265" s="1" t="s">
        <v>105</v>
      </c>
      <c r="P265" s="186">
        <v>44711.655034722222</v>
      </c>
      <c r="R265" s="1" t="s">
        <v>38</v>
      </c>
      <c r="T265" s="1" t="s">
        <v>74</v>
      </c>
      <c r="U265" s="186">
        <v>44711.75</v>
      </c>
      <c r="V265" s="1" t="s">
        <v>41</v>
      </c>
      <c r="W265" s="1" t="s">
        <v>49</v>
      </c>
      <c r="X265" s="13"/>
      <c r="Y265" s="2">
        <f t="shared" ca="1" si="24"/>
        <v>198</v>
      </c>
      <c r="Z265" s="14">
        <v>1</v>
      </c>
      <c r="AA265" s="1" t="str">
        <f t="shared" ca="1" si="25"/>
        <v>VENCIDO</v>
      </c>
      <c r="AB265" s="1" t="str">
        <f t="shared" si="26"/>
        <v>Dosa</v>
      </c>
      <c r="AC265" s="2" t="str">
        <f t="shared" si="29"/>
        <v xml:space="preserve"> CLEITON </v>
      </c>
      <c r="AD265" s="2">
        <f t="shared" si="27"/>
        <v>5</v>
      </c>
      <c r="AE265" s="2">
        <f t="shared" ca="1" si="28"/>
        <v>-274.9262716435187</v>
      </c>
      <c r="AF265" s="15"/>
    </row>
    <row r="266" spans="1:32" hidden="1">
      <c r="A266" s="1">
        <v>8623731</v>
      </c>
      <c r="B266" s="1" t="s">
        <v>27</v>
      </c>
      <c r="C266" t="s">
        <v>186</v>
      </c>
      <c r="E266" s="2">
        <v>3234160206001</v>
      </c>
      <c r="F266" s="1" t="s">
        <v>29</v>
      </c>
      <c r="G266" s="1" t="s">
        <v>53</v>
      </c>
      <c r="H266" s="1" t="s">
        <v>499</v>
      </c>
      <c r="I266" s="1" t="s">
        <v>500</v>
      </c>
      <c r="J266" s="1" t="s">
        <v>46</v>
      </c>
      <c r="K266" t="s">
        <v>34</v>
      </c>
      <c r="M266" s="1" t="s">
        <v>35</v>
      </c>
      <c r="N266" s="1">
        <v>42318949</v>
      </c>
      <c r="O266" s="1" t="s">
        <v>105</v>
      </c>
      <c r="P266" s="186">
        <v>44711.65488425926</v>
      </c>
      <c r="R266" s="1" t="s">
        <v>38</v>
      </c>
      <c r="T266" s="1" t="s">
        <v>74</v>
      </c>
      <c r="U266" s="186">
        <v>44711.75</v>
      </c>
      <c r="V266" s="1" t="s">
        <v>41</v>
      </c>
      <c r="W266" s="1" t="s">
        <v>49</v>
      </c>
      <c r="X266" s="13"/>
      <c r="Y266" s="2">
        <f t="shared" ca="1" si="24"/>
        <v>198</v>
      </c>
      <c r="Z266" s="14">
        <v>1</v>
      </c>
      <c r="AA266" s="1" t="str">
        <f t="shared" ca="1" si="25"/>
        <v>VENCIDO</v>
      </c>
      <c r="AB266" s="1" t="str">
        <f t="shared" si="26"/>
        <v>Dosa</v>
      </c>
      <c r="AC266" s="2" t="str">
        <f t="shared" si="29"/>
        <v xml:space="preserve"> CLEITON </v>
      </c>
      <c r="AD266" s="2">
        <f t="shared" si="27"/>
        <v>5</v>
      </c>
      <c r="AE266" s="2">
        <f t="shared" ca="1" si="28"/>
        <v>-274.9262716435187</v>
      </c>
      <c r="AF266" s="15"/>
    </row>
    <row r="267" spans="1:32" hidden="1">
      <c r="A267" s="1">
        <v>8623708</v>
      </c>
      <c r="B267" s="1" t="s">
        <v>27</v>
      </c>
      <c r="C267" t="s">
        <v>186</v>
      </c>
      <c r="E267" s="2">
        <v>2018000206001</v>
      </c>
      <c r="F267" s="1" t="s">
        <v>29</v>
      </c>
      <c r="G267" s="1" t="s">
        <v>53</v>
      </c>
      <c r="H267" s="1" t="s">
        <v>598</v>
      </c>
      <c r="I267" s="1" t="s">
        <v>599</v>
      </c>
      <c r="J267" s="1" t="s">
        <v>79</v>
      </c>
      <c r="K267" t="s">
        <v>34</v>
      </c>
      <c r="M267" s="1" t="s">
        <v>35</v>
      </c>
      <c r="N267" s="1">
        <v>42318949</v>
      </c>
      <c r="O267" s="1" t="s">
        <v>105</v>
      </c>
      <c r="P267" s="186">
        <v>44711.654861111114</v>
      </c>
      <c r="R267" s="1" t="s">
        <v>38</v>
      </c>
      <c r="T267" s="1" t="s">
        <v>74</v>
      </c>
      <c r="U267" s="186">
        <v>44711.75</v>
      </c>
      <c r="V267" s="1" t="s">
        <v>41</v>
      </c>
      <c r="W267" s="1" t="s">
        <v>49</v>
      </c>
      <c r="X267" s="13"/>
      <c r="Y267" s="2">
        <f t="shared" ca="1" si="24"/>
        <v>198</v>
      </c>
      <c r="Z267" s="14">
        <v>1</v>
      </c>
      <c r="AA267" s="1" t="str">
        <f t="shared" ca="1" si="25"/>
        <v>VENCIDO</v>
      </c>
      <c r="AB267" s="1" t="str">
        <f t="shared" si="26"/>
        <v>Dosa</v>
      </c>
      <c r="AC267" s="2" t="str">
        <f t="shared" si="29"/>
        <v xml:space="preserve"> ROSEMERE </v>
      </c>
      <c r="AD267" s="2">
        <f t="shared" si="27"/>
        <v>5</v>
      </c>
      <c r="AE267" s="2">
        <f t="shared" ca="1" si="28"/>
        <v>-274.9262716435187</v>
      </c>
      <c r="AF267" s="15"/>
    </row>
    <row r="268" spans="1:32" hidden="1">
      <c r="A268" s="1">
        <v>8623572</v>
      </c>
      <c r="B268" s="1" t="s">
        <v>27</v>
      </c>
      <c r="C268" t="s">
        <v>186</v>
      </c>
      <c r="E268" s="2">
        <v>3108010206001</v>
      </c>
      <c r="F268" s="1" t="s">
        <v>29</v>
      </c>
      <c r="G268" s="1" t="s">
        <v>53</v>
      </c>
      <c r="H268" s="1" t="s">
        <v>503</v>
      </c>
      <c r="I268" s="1" t="s">
        <v>504</v>
      </c>
      <c r="J268" s="1" t="s">
        <v>46</v>
      </c>
      <c r="K268" t="s">
        <v>34</v>
      </c>
      <c r="M268" s="1" t="s">
        <v>35</v>
      </c>
      <c r="N268" s="1">
        <v>42318949</v>
      </c>
      <c r="O268" s="1" t="s">
        <v>105</v>
      </c>
      <c r="P268" s="186">
        <v>44711.654664351852</v>
      </c>
      <c r="R268" s="1" t="s">
        <v>38</v>
      </c>
      <c r="T268" s="1" t="s">
        <v>74</v>
      </c>
      <c r="U268" s="186">
        <v>44711.75</v>
      </c>
      <c r="V268" s="1" t="s">
        <v>41</v>
      </c>
      <c r="W268" s="1" t="s">
        <v>49</v>
      </c>
      <c r="X268" s="13"/>
      <c r="Y268" s="2">
        <f t="shared" ca="1" si="24"/>
        <v>198</v>
      </c>
      <c r="Z268" s="14">
        <v>1</v>
      </c>
      <c r="AA268" s="1" t="str">
        <f t="shared" ca="1" si="25"/>
        <v>VENCIDO</v>
      </c>
      <c r="AB268" s="1" t="str">
        <f t="shared" si="26"/>
        <v>Dosa</v>
      </c>
      <c r="AC268" s="2" t="str">
        <f t="shared" si="29"/>
        <v xml:space="preserve"> CLEITON </v>
      </c>
      <c r="AD268" s="2">
        <f t="shared" si="27"/>
        <v>5</v>
      </c>
      <c r="AE268" s="2">
        <f t="shared" ca="1" si="28"/>
        <v>-274.9262716435187</v>
      </c>
      <c r="AF268" s="15"/>
    </row>
    <row r="269" spans="1:32" hidden="1">
      <c r="A269" s="1">
        <v>8623522</v>
      </c>
      <c r="B269" s="1" t="s">
        <v>27</v>
      </c>
      <c r="C269" t="s">
        <v>186</v>
      </c>
      <c r="E269" s="2">
        <v>1421000206001</v>
      </c>
      <c r="F269" s="1" t="s">
        <v>29</v>
      </c>
      <c r="G269" s="1" t="s">
        <v>53</v>
      </c>
      <c r="H269" s="1" t="s">
        <v>179</v>
      </c>
      <c r="I269" s="1" t="s">
        <v>180</v>
      </c>
      <c r="J269" s="1" t="s">
        <v>79</v>
      </c>
      <c r="K269" t="s">
        <v>34</v>
      </c>
      <c r="M269" s="1" t="s">
        <v>35</v>
      </c>
      <c r="N269" s="1">
        <v>42318949</v>
      </c>
      <c r="O269" s="1" t="s">
        <v>36</v>
      </c>
      <c r="P269" s="186">
        <v>44711.654594907406</v>
      </c>
      <c r="R269" s="1" t="s">
        <v>38</v>
      </c>
      <c r="T269" s="1" t="s">
        <v>74</v>
      </c>
      <c r="U269" s="186">
        <v>44711.75</v>
      </c>
      <c r="V269" s="1" t="s">
        <v>41</v>
      </c>
      <c r="W269" s="1" t="s">
        <v>49</v>
      </c>
      <c r="X269" s="13"/>
      <c r="Y269" s="2">
        <f t="shared" ca="1" si="24"/>
        <v>198</v>
      </c>
      <c r="Z269" s="14">
        <v>1</v>
      </c>
      <c r="AA269" s="1" t="str">
        <f t="shared" ca="1" si="25"/>
        <v>VENCIDO</v>
      </c>
      <c r="AB269" s="1" t="str">
        <f t="shared" si="26"/>
        <v>Dosa</v>
      </c>
      <c r="AC269" s="2" t="str">
        <f t="shared" si="29"/>
        <v xml:space="preserve"> ROSEMERE </v>
      </c>
      <c r="AD269" s="2">
        <f t="shared" si="27"/>
        <v>5</v>
      </c>
      <c r="AE269" s="2">
        <f t="shared" ca="1" si="28"/>
        <v>-274.9262716435187</v>
      </c>
      <c r="AF269" s="15"/>
    </row>
    <row r="270" spans="1:32" hidden="1">
      <c r="A270" s="1">
        <v>8623509</v>
      </c>
      <c r="B270" s="1" t="s">
        <v>27</v>
      </c>
      <c r="C270" t="s">
        <v>186</v>
      </c>
      <c r="E270" s="2">
        <v>1643000206001</v>
      </c>
      <c r="F270" s="1" t="s">
        <v>29</v>
      </c>
      <c r="G270" s="1" t="s">
        <v>53</v>
      </c>
      <c r="H270" s="1" t="s">
        <v>361</v>
      </c>
      <c r="I270" s="1" t="s">
        <v>362</v>
      </c>
      <c r="J270" s="1" t="s">
        <v>261</v>
      </c>
      <c r="K270" t="s">
        <v>34</v>
      </c>
      <c r="M270" s="1" t="s">
        <v>35</v>
      </c>
      <c r="N270" s="1">
        <v>42318949</v>
      </c>
      <c r="O270" s="1" t="s">
        <v>105</v>
      </c>
      <c r="P270" s="186">
        <v>44711.65457175926</v>
      </c>
      <c r="R270" s="1" t="s">
        <v>38</v>
      </c>
      <c r="T270" s="1" t="s">
        <v>74</v>
      </c>
      <c r="U270" s="186">
        <v>44711.75</v>
      </c>
      <c r="V270" s="1" t="s">
        <v>41</v>
      </c>
      <c r="W270" s="1" t="s">
        <v>49</v>
      </c>
      <c r="X270" s="13"/>
      <c r="Y270" s="2">
        <f t="shared" ca="1" si="24"/>
        <v>198</v>
      </c>
      <c r="Z270" s="14">
        <v>1</v>
      </c>
      <c r="AA270" s="1" t="str">
        <f t="shared" ca="1" si="25"/>
        <v>VENCIDO</v>
      </c>
      <c r="AB270" s="1" t="str">
        <f t="shared" si="26"/>
        <v>Dosa</v>
      </c>
      <c r="AC270" s="2" t="str">
        <f t="shared" si="29"/>
        <v xml:space="preserve"> CRISTINA </v>
      </c>
      <c r="AD270" s="2">
        <f t="shared" si="27"/>
        <v>5</v>
      </c>
      <c r="AE270" s="2">
        <f t="shared" ca="1" si="28"/>
        <v>-274.9262716435187</v>
      </c>
      <c r="AF270" s="15"/>
    </row>
    <row r="271" spans="1:32" hidden="1">
      <c r="A271" s="1">
        <v>8623470</v>
      </c>
      <c r="B271" s="1" t="s">
        <v>27</v>
      </c>
      <c r="C271" t="s">
        <v>186</v>
      </c>
      <c r="E271" s="2">
        <v>5898000206001</v>
      </c>
      <c r="F271" s="1" t="s">
        <v>29</v>
      </c>
      <c r="G271" s="1" t="s">
        <v>53</v>
      </c>
      <c r="H271" s="1" t="s">
        <v>365</v>
      </c>
      <c r="I271" s="1" t="s">
        <v>366</v>
      </c>
      <c r="J271" s="1" t="s">
        <v>164</v>
      </c>
      <c r="K271" t="s">
        <v>34</v>
      </c>
      <c r="M271" s="1" t="s">
        <v>35</v>
      </c>
      <c r="N271" s="1">
        <v>42318949</v>
      </c>
      <c r="O271" s="1" t="s">
        <v>36</v>
      </c>
      <c r="P271" s="186">
        <v>44711.654513888891</v>
      </c>
      <c r="R271" s="1" t="s">
        <v>38</v>
      </c>
      <c r="T271" s="1" t="s">
        <v>74</v>
      </c>
      <c r="U271" s="186">
        <v>44711.75</v>
      </c>
      <c r="V271" s="1" t="s">
        <v>41</v>
      </c>
      <c r="W271" s="1" t="s">
        <v>49</v>
      </c>
      <c r="X271" s="13"/>
      <c r="Y271" s="2">
        <f t="shared" ca="1" si="24"/>
        <v>198</v>
      </c>
      <c r="Z271" s="14">
        <v>1</v>
      </c>
      <c r="AA271" s="1" t="str">
        <f t="shared" ca="1" si="25"/>
        <v>VENCIDO</v>
      </c>
      <c r="AB271" s="1" t="str">
        <f t="shared" si="26"/>
        <v>Dosa</v>
      </c>
      <c r="AC271" s="2" t="str">
        <f t="shared" si="29"/>
        <v xml:space="preserve"> ROSEMERE </v>
      </c>
      <c r="AD271" s="2">
        <f t="shared" si="27"/>
        <v>5</v>
      </c>
      <c r="AE271" s="2">
        <f t="shared" ca="1" si="28"/>
        <v>-274.9262716435187</v>
      </c>
      <c r="AF271" s="15"/>
    </row>
    <row r="272" spans="1:32" hidden="1">
      <c r="A272" s="1">
        <v>8623457</v>
      </c>
      <c r="B272" s="1" t="s">
        <v>27</v>
      </c>
      <c r="C272" t="s">
        <v>186</v>
      </c>
      <c r="E272" s="2">
        <v>4118000206001</v>
      </c>
      <c r="F272" s="1" t="s">
        <v>29</v>
      </c>
      <c r="G272" s="1" t="s">
        <v>53</v>
      </c>
      <c r="H272" s="1" t="s">
        <v>71</v>
      </c>
      <c r="I272" s="1" t="s">
        <v>72</v>
      </c>
      <c r="J272" s="1" t="s">
        <v>46</v>
      </c>
      <c r="K272" t="s">
        <v>34</v>
      </c>
      <c r="M272" s="1" t="s">
        <v>35</v>
      </c>
      <c r="N272" s="1">
        <v>42318949</v>
      </c>
      <c r="O272" s="1" t="s">
        <v>105</v>
      </c>
      <c r="P272" s="186">
        <v>44711.654502314814</v>
      </c>
      <c r="R272" s="1" t="s">
        <v>38</v>
      </c>
      <c r="T272" s="1" t="s">
        <v>74</v>
      </c>
      <c r="U272" s="186">
        <v>44711.75</v>
      </c>
      <c r="V272" s="1" t="s">
        <v>41</v>
      </c>
      <c r="W272" s="1" t="s">
        <v>49</v>
      </c>
      <c r="X272" s="13"/>
      <c r="Y272" s="2">
        <f t="shared" ca="1" si="24"/>
        <v>198</v>
      </c>
      <c r="Z272" s="14">
        <v>1</v>
      </c>
      <c r="AA272" s="1" t="str">
        <f t="shared" ca="1" si="25"/>
        <v>VENCIDO</v>
      </c>
      <c r="AB272" s="1" t="str">
        <f t="shared" si="26"/>
        <v>Dosa</v>
      </c>
      <c r="AC272" s="2" t="str">
        <f t="shared" si="29"/>
        <v xml:space="preserve"> CLEITON </v>
      </c>
      <c r="AD272" s="2">
        <f t="shared" si="27"/>
        <v>5</v>
      </c>
      <c r="AE272" s="2">
        <f t="shared" ca="1" si="28"/>
        <v>-274.9262716435187</v>
      </c>
      <c r="AF272" s="15"/>
    </row>
    <row r="273" spans="1:32" hidden="1">
      <c r="A273" s="1">
        <v>8623414</v>
      </c>
      <c r="B273" s="1" t="s">
        <v>27</v>
      </c>
      <c r="C273" t="s">
        <v>186</v>
      </c>
      <c r="E273" s="2">
        <v>2107000206001</v>
      </c>
      <c r="F273" s="1" t="s">
        <v>29</v>
      </c>
      <c r="G273" s="1" t="s">
        <v>53</v>
      </c>
      <c r="H273" s="1" t="s">
        <v>262</v>
      </c>
      <c r="I273" s="1" t="s">
        <v>263</v>
      </c>
      <c r="J273" s="1" t="s">
        <v>164</v>
      </c>
      <c r="K273" t="s">
        <v>34</v>
      </c>
      <c r="M273" s="1" t="s">
        <v>35</v>
      </c>
      <c r="N273" s="1">
        <v>42318949</v>
      </c>
      <c r="O273" s="1" t="s">
        <v>105</v>
      </c>
      <c r="P273" s="186">
        <v>44711.654444444444</v>
      </c>
      <c r="R273" s="1" t="s">
        <v>38</v>
      </c>
      <c r="T273" s="1" t="s">
        <v>74</v>
      </c>
      <c r="U273" s="186">
        <v>44711.75</v>
      </c>
      <c r="V273" s="1" t="s">
        <v>41</v>
      </c>
      <c r="W273" s="1" t="s">
        <v>49</v>
      </c>
      <c r="X273" s="13"/>
      <c r="Y273" s="2">
        <f t="shared" ca="1" si="24"/>
        <v>198</v>
      </c>
      <c r="Z273" s="14">
        <v>1</v>
      </c>
      <c r="AA273" s="1" t="str">
        <f t="shared" ca="1" si="25"/>
        <v>VENCIDO</v>
      </c>
      <c r="AB273" s="1" t="str">
        <f t="shared" si="26"/>
        <v>Dosa</v>
      </c>
      <c r="AC273" s="2" t="str">
        <f t="shared" si="29"/>
        <v xml:space="preserve"> ROSEMERE </v>
      </c>
      <c r="AD273" s="2">
        <f t="shared" si="27"/>
        <v>5</v>
      </c>
      <c r="AE273" s="2">
        <f t="shared" ca="1" si="28"/>
        <v>-274.9262716435187</v>
      </c>
      <c r="AF273" s="15"/>
    </row>
    <row r="274" spans="1:32" hidden="1">
      <c r="A274" s="1">
        <v>8623404</v>
      </c>
      <c r="B274" s="1" t="s">
        <v>27</v>
      </c>
      <c r="C274" t="s">
        <v>186</v>
      </c>
      <c r="E274" s="2">
        <v>2388000206001</v>
      </c>
      <c r="F274" s="1" t="s">
        <v>29</v>
      </c>
      <c r="G274" s="1" t="s">
        <v>53</v>
      </c>
      <c r="H274" s="1" t="s">
        <v>299</v>
      </c>
      <c r="I274" s="1" t="s">
        <v>300</v>
      </c>
      <c r="J274" s="1" t="s">
        <v>79</v>
      </c>
      <c r="K274" t="s">
        <v>34</v>
      </c>
      <c r="M274" s="1" t="s">
        <v>35</v>
      </c>
      <c r="N274" s="1">
        <v>42318949</v>
      </c>
      <c r="O274" s="1" t="s">
        <v>36</v>
      </c>
      <c r="P274" s="186">
        <v>44711.654432870368</v>
      </c>
      <c r="R274" s="1" t="s">
        <v>38</v>
      </c>
      <c r="T274" s="1" t="s">
        <v>74</v>
      </c>
      <c r="U274" s="186">
        <v>44711.75</v>
      </c>
      <c r="V274" s="1" t="s">
        <v>41</v>
      </c>
      <c r="W274" s="1" t="s">
        <v>49</v>
      </c>
      <c r="X274" s="13"/>
      <c r="Y274" s="2">
        <f t="shared" ca="1" si="24"/>
        <v>198</v>
      </c>
      <c r="Z274" s="14">
        <v>1</v>
      </c>
      <c r="AA274" s="1" t="str">
        <f t="shared" ca="1" si="25"/>
        <v>VENCIDO</v>
      </c>
      <c r="AB274" s="1" t="str">
        <f t="shared" si="26"/>
        <v>Dosa</v>
      </c>
      <c r="AC274" s="2" t="str">
        <f t="shared" si="29"/>
        <v xml:space="preserve"> ROSEMERE </v>
      </c>
      <c r="AD274" s="2">
        <f t="shared" si="27"/>
        <v>5</v>
      </c>
      <c r="AE274" s="2">
        <f t="shared" ca="1" si="28"/>
        <v>-274.9262716435187</v>
      </c>
      <c r="AF274" s="15"/>
    </row>
    <row r="275" spans="1:32" hidden="1">
      <c r="A275" s="1">
        <v>8623397</v>
      </c>
      <c r="B275" s="1" t="s">
        <v>27</v>
      </c>
      <c r="C275" t="s">
        <v>186</v>
      </c>
      <c r="E275" s="2">
        <v>1710000206001</v>
      </c>
      <c r="F275" s="1" t="s">
        <v>29</v>
      </c>
      <c r="G275" s="1" t="s">
        <v>53</v>
      </c>
      <c r="H275" s="1" t="s">
        <v>327</v>
      </c>
      <c r="I275" s="1" t="s">
        <v>328</v>
      </c>
      <c r="J275" s="1" t="s">
        <v>261</v>
      </c>
      <c r="K275" t="s">
        <v>34</v>
      </c>
      <c r="M275" s="1" t="s">
        <v>35</v>
      </c>
      <c r="N275" s="1">
        <v>42318949</v>
      </c>
      <c r="O275" s="1" t="s">
        <v>105</v>
      </c>
      <c r="P275" s="186">
        <v>44711.654421296298</v>
      </c>
      <c r="R275" s="1" t="s">
        <v>38</v>
      </c>
      <c r="T275" s="1" t="s">
        <v>74</v>
      </c>
      <c r="U275" s="186">
        <v>44711.75</v>
      </c>
      <c r="V275" s="1" t="s">
        <v>41</v>
      </c>
      <c r="W275" s="1" t="s">
        <v>49</v>
      </c>
      <c r="X275" s="13"/>
      <c r="Y275" s="2">
        <f t="shared" ca="1" si="24"/>
        <v>198</v>
      </c>
      <c r="Z275" s="14">
        <v>1</v>
      </c>
      <c r="AA275" s="1" t="str">
        <f t="shared" ca="1" si="25"/>
        <v>VENCIDO</v>
      </c>
      <c r="AB275" s="1" t="str">
        <f t="shared" si="26"/>
        <v>Dosa</v>
      </c>
      <c r="AC275" s="2" t="str">
        <f t="shared" si="29"/>
        <v xml:space="preserve"> CRISTINA </v>
      </c>
      <c r="AD275" s="2">
        <f t="shared" si="27"/>
        <v>5</v>
      </c>
      <c r="AE275" s="2">
        <f t="shared" ca="1" si="28"/>
        <v>-274.9262716435187</v>
      </c>
      <c r="AF275" s="15"/>
    </row>
    <row r="276" spans="1:32" hidden="1">
      <c r="A276" s="1">
        <v>8623394</v>
      </c>
      <c r="B276" s="1" t="s">
        <v>27</v>
      </c>
      <c r="C276" t="s">
        <v>186</v>
      </c>
      <c r="E276" s="2">
        <v>4274000206001</v>
      </c>
      <c r="F276" s="1" t="s">
        <v>29</v>
      </c>
      <c r="G276" s="1" t="s">
        <v>53</v>
      </c>
      <c r="H276" s="1" t="s">
        <v>386</v>
      </c>
      <c r="I276" s="1" t="s">
        <v>387</v>
      </c>
      <c r="J276" s="1" t="s">
        <v>46</v>
      </c>
      <c r="K276" t="s">
        <v>34</v>
      </c>
      <c r="M276" s="1" t="s">
        <v>35</v>
      </c>
      <c r="N276" s="1">
        <v>42318949</v>
      </c>
      <c r="O276" s="1" t="s">
        <v>36</v>
      </c>
      <c r="P276" s="186">
        <v>44711.654409722221</v>
      </c>
      <c r="R276" s="1" t="s">
        <v>38</v>
      </c>
      <c r="T276" s="1" t="s">
        <v>74</v>
      </c>
      <c r="U276" s="186">
        <v>44711.75</v>
      </c>
      <c r="V276" s="1" t="s">
        <v>41</v>
      </c>
      <c r="W276" s="1" t="s">
        <v>49</v>
      </c>
      <c r="X276" s="13"/>
      <c r="Y276" s="2">
        <f t="shared" ca="1" si="24"/>
        <v>198</v>
      </c>
      <c r="Z276" s="14">
        <v>1</v>
      </c>
      <c r="AA276" s="1" t="str">
        <f t="shared" ca="1" si="25"/>
        <v>VENCIDO</v>
      </c>
      <c r="AB276" s="1" t="str">
        <f t="shared" si="26"/>
        <v>Dosa</v>
      </c>
      <c r="AC276" s="2" t="str">
        <f t="shared" si="29"/>
        <v xml:space="preserve"> CLEITON </v>
      </c>
      <c r="AD276" s="2">
        <f t="shared" si="27"/>
        <v>5</v>
      </c>
      <c r="AE276" s="2">
        <f t="shared" ca="1" si="28"/>
        <v>-274.9262716435187</v>
      </c>
      <c r="AF276" s="15"/>
    </row>
    <row r="277" spans="1:32" hidden="1">
      <c r="A277" s="1">
        <v>8623366</v>
      </c>
      <c r="B277" s="1" t="s">
        <v>27</v>
      </c>
      <c r="C277" t="s">
        <v>186</v>
      </c>
      <c r="E277" s="2">
        <v>710000206001</v>
      </c>
      <c r="F277" s="1" t="s">
        <v>29</v>
      </c>
      <c r="G277" s="1" t="s">
        <v>53</v>
      </c>
      <c r="H277" s="1" t="s">
        <v>390</v>
      </c>
      <c r="I277" s="1" t="s">
        <v>391</v>
      </c>
      <c r="J277" s="1" t="s">
        <v>56</v>
      </c>
      <c r="K277" t="s">
        <v>34</v>
      </c>
      <c r="M277" s="1" t="s">
        <v>35</v>
      </c>
      <c r="N277" s="1">
        <v>42318949</v>
      </c>
      <c r="O277" s="1" t="s">
        <v>105</v>
      </c>
      <c r="P277" s="186">
        <v>44711.654374999998</v>
      </c>
      <c r="R277" s="1" t="s">
        <v>38</v>
      </c>
      <c r="T277" s="1" t="s">
        <v>74</v>
      </c>
      <c r="U277" s="186">
        <v>44711.75</v>
      </c>
      <c r="V277" s="1" t="s">
        <v>41</v>
      </c>
      <c r="W277" s="1" t="s">
        <v>49</v>
      </c>
      <c r="X277" s="13"/>
      <c r="Y277" s="2">
        <f t="shared" ca="1" si="24"/>
        <v>198</v>
      </c>
      <c r="Z277" s="14">
        <v>1</v>
      </c>
      <c r="AA277" s="1" t="str">
        <f t="shared" ca="1" si="25"/>
        <v>VENCIDO</v>
      </c>
      <c r="AB277" s="1" t="str">
        <f t="shared" si="26"/>
        <v>Dosa</v>
      </c>
      <c r="AC277" s="2" t="str">
        <f t="shared" si="29"/>
        <v xml:space="preserve"> CRISTINA </v>
      </c>
      <c r="AD277" s="2">
        <f t="shared" si="27"/>
        <v>5</v>
      </c>
      <c r="AE277" s="2">
        <f t="shared" ca="1" si="28"/>
        <v>-274.9262716435187</v>
      </c>
      <c r="AF277" s="15"/>
    </row>
    <row r="278" spans="1:32" hidden="1">
      <c r="A278" s="1">
        <v>8623339</v>
      </c>
      <c r="B278" s="1" t="s">
        <v>27</v>
      </c>
      <c r="C278" t="s">
        <v>186</v>
      </c>
      <c r="E278" s="2">
        <v>550000206001</v>
      </c>
      <c r="F278" s="1" t="s">
        <v>29</v>
      </c>
      <c r="G278" s="1" t="s">
        <v>53</v>
      </c>
      <c r="H278" s="1" t="s">
        <v>337</v>
      </c>
      <c r="I278" s="1" t="s">
        <v>338</v>
      </c>
      <c r="J278" s="1" t="s">
        <v>164</v>
      </c>
      <c r="K278" t="s">
        <v>34</v>
      </c>
      <c r="M278" s="1" t="s">
        <v>35</v>
      </c>
      <c r="N278" s="1">
        <v>42318949</v>
      </c>
      <c r="O278" s="1" t="s">
        <v>105</v>
      </c>
      <c r="P278" s="186">
        <v>44711.654340277775</v>
      </c>
      <c r="R278" s="1" t="s">
        <v>38</v>
      </c>
      <c r="T278" s="1" t="s">
        <v>74</v>
      </c>
      <c r="U278" s="186">
        <v>44711.75</v>
      </c>
      <c r="V278" s="1" t="s">
        <v>41</v>
      </c>
      <c r="W278" s="1" t="s">
        <v>49</v>
      </c>
      <c r="X278" s="13"/>
      <c r="Y278" s="2">
        <f t="shared" ca="1" si="24"/>
        <v>198</v>
      </c>
      <c r="Z278" s="14">
        <v>1</v>
      </c>
      <c r="AA278" s="1" t="str">
        <f t="shared" ca="1" si="25"/>
        <v>VENCIDO</v>
      </c>
      <c r="AB278" s="1" t="str">
        <f t="shared" si="26"/>
        <v>Dosa</v>
      </c>
      <c r="AC278" s="2" t="str">
        <f t="shared" si="29"/>
        <v xml:space="preserve"> ROSEMERE </v>
      </c>
      <c r="AD278" s="2">
        <f t="shared" si="27"/>
        <v>5</v>
      </c>
      <c r="AE278" s="2">
        <f t="shared" ca="1" si="28"/>
        <v>-274.9262716435187</v>
      </c>
      <c r="AF278" s="15"/>
    </row>
    <row r="279" spans="1:32" hidden="1">
      <c r="A279" s="1">
        <v>8623323</v>
      </c>
      <c r="B279" s="1" t="s">
        <v>27</v>
      </c>
      <c r="C279" t="s">
        <v>186</v>
      </c>
      <c r="E279" s="2">
        <v>1943000206001</v>
      </c>
      <c r="F279" s="1" t="s">
        <v>29</v>
      </c>
      <c r="G279" s="1" t="s">
        <v>53</v>
      </c>
      <c r="H279" s="1" t="s">
        <v>264</v>
      </c>
      <c r="I279" s="1" t="s">
        <v>265</v>
      </c>
      <c r="J279" s="1" t="s">
        <v>56</v>
      </c>
      <c r="K279" t="s">
        <v>34</v>
      </c>
      <c r="M279" s="1" t="s">
        <v>35</v>
      </c>
      <c r="N279" s="1">
        <v>42318949</v>
      </c>
      <c r="O279" s="1" t="s">
        <v>105</v>
      </c>
      <c r="P279" s="186">
        <v>44711.654328703706</v>
      </c>
      <c r="R279" s="1" t="s">
        <v>38</v>
      </c>
      <c r="T279" s="1" t="s">
        <v>74</v>
      </c>
      <c r="U279" s="186">
        <v>44711.75</v>
      </c>
      <c r="V279" s="1" t="s">
        <v>41</v>
      </c>
      <c r="W279" s="1" t="s">
        <v>49</v>
      </c>
      <c r="X279" s="13"/>
      <c r="Y279" s="2">
        <f t="shared" ca="1" si="24"/>
        <v>198</v>
      </c>
      <c r="Z279" s="14">
        <v>1</v>
      </c>
      <c r="AA279" s="1" t="str">
        <f t="shared" ca="1" si="25"/>
        <v>VENCIDO</v>
      </c>
      <c r="AB279" s="1" t="str">
        <f t="shared" si="26"/>
        <v>Dosa</v>
      </c>
      <c r="AC279" s="2" t="str">
        <f t="shared" si="29"/>
        <v xml:space="preserve"> CRISTINA </v>
      </c>
      <c r="AD279" s="2">
        <f t="shared" si="27"/>
        <v>5</v>
      </c>
      <c r="AE279" s="2">
        <f t="shared" ca="1" si="28"/>
        <v>-274.9262716435187</v>
      </c>
      <c r="AF279" s="15"/>
    </row>
    <row r="280" spans="1:32" hidden="1">
      <c r="A280" s="1">
        <v>8623269</v>
      </c>
      <c r="B280" s="1" t="s">
        <v>27</v>
      </c>
      <c r="C280" t="s">
        <v>186</v>
      </c>
      <c r="E280" s="2">
        <v>1761000206001</v>
      </c>
      <c r="F280" s="1" t="s">
        <v>29</v>
      </c>
      <c r="G280" s="1" t="s">
        <v>53</v>
      </c>
      <c r="H280" s="1" t="s">
        <v>375</v>
      </c>
      <c r="I280" s="1" t="s">
        <v>376</v>
      </c>
      <c r="J280" s="1" t="s">
        <v>56</v>
      </c>
      <c r="K280" t="s">
        <v>34</v>
      </c>
      <c r="M280" s="1" t="s">
        <v>35</v>
      </c>
      <c r="N280" s="1">
        <v>42318949</v>
      </c>
      <c r="O280" s="1" t="s">
        <v>105</v>
      </c>
      <c r="P280" s="186">
        <v>44711.65425925926</v>
      </c>
      <c r="R280" s="1" t="s">
        <v>38</v>
      </c>
      <c r="T280" s="1" t="s">
        <v>74</v>
      </c>
      <c r="U280" s="186">
        <v>44711.75</v>
      </c>
      <c r="V280" s="1" t="s">
        <v>41</v>
      </c>
      <c r="W280" s="1" t="s">
        <v>49</v>
      </c>
      <c r="X280" s="13"/>
      <c r="Y280" s="2">
        <f t="shared" ca="1" si="24"/>
        <v>198</v>
      </c>
      <c r="Z280" s="14">
        <v>1</v>
      </c>
      <c r="AA280" s="1" t="str">
        <f t="shared" ca="1" si="25"/>
        <v>VENCIDO</v>
      </c>
      <c r="AB280" s="1" t="str">
        <f t="shared" si="26"/>
        <v>Dosa</v>
      </c>
      <c r="AC280" s="2" t="str">
        <f t="shared" si="29"/>
        <v xml:space="preserve"> CRISTINA </v>
      </c>
      <c r="AD280" s="2">
        <f t="shared" si="27"/>
        <v>5</v>
      </c>
      <c r="AE280" s="2">
        <f t="shared" ca="1" si="28"/>
        <v>-274.9262716435187</v>
      </c>
      <c r="AF280" s="15"/>
    </row>
    <row r="281" spans="1:32" hidden="1">
      <c r="A281" s="1">
        <v>8623187</v>
      </c>
      <c r="B281" s="1" t="s">
        <v>27</v>
      </c>
      <c r="C281" t="s">
        <v>186</v>
      </c>
      <c r="E281" s="2">
        <v>2830000206001</v>
      </c>
      <c r="F281" s="1" t="s">
        <v>29</v>
      </c>
      <c r="G281" s="1" t="s">
        <v>53</v>
      </c>
      <c r="H281" s="1" t="s">
        <v>448</v>
      </c>
      <c r="I281" s="1" t="s">
        <v>449</v>
      </c>
      <c r="J281" s="1" t="s">
        <v>33</v>
      </c>
      <c r="K281" t="s">
        <v>34</v>
      </c>
      <c r="M281" s="1" t="s">
        <v>35</v>
      </c>
      <c r="N281" s="1">
        <v>42318949</v>
      </c>
      <c r="O281" s="1" t="s">
        <v>105</v>
      </c>
      <c r="P281" s="186">
        <v>44711.654143518521</v>
      </c>
      <c r="R281" s="1" t="s">
        <v>38</v>
      </c>
      <c r="T281" s="1" t="s">
        <v>74</v>
      </c>
      <c r="U281" s="186">
        <v>44711.75</v>
      </c>
      <c r="V281" s="1" t="s">
        <v>41</v>
      </c>
      <c r="W281" s="1" t="s">
        <v>42</v>
      </c>
      <c r="X281" s="13"/>
      <c r="Y281" s="2">
        <f t="shared" ca="1" si="24"/>
        <v>198</v>
      </c>
      <c r="Z281" s="14">
        <v>1</v>
      </c>
      <c r="AA281" s="1" t="str">
        <f t="shared" ca="1" si="25"/>
        <v>VENCIDO</v>
      </c>
      <c r="AB281" s="1" t="str">
        <f t="shared" si="26"/>
        <v>Dosa</v>
      </c>
      <c r="AC281" s="2" t="str">
        <f t="shared" si="29"/>
        <v xml:space="preserve"> ROSEMERE </v>
      </c>
      <c r="AD281" s="2">
        <f t="shared" si="27"/>
        <v>5</v>
      </c>
      <c r="AE281" s="2">
        <f t="shared" ca="1" si="28"/>
        <v>-274.9262716435187</v>
      </c>
      <c r="AF281" s="15"/>
    </row>
    <row r="282" spans="1:32" hidden="1">
      <c r="A282" s="1">
        <v>8623156</v>
      </c>
      <c r="B282" s="1" t="s">
        <v>27</v>
      </c>
      <c r="C282" t="s">
        <v>186</v>
      </c>
      <c r="E282" s="2">
        <v>1361000206001</v>
      </c>
      <c r="F282" s="1" t="s">
        <v>29</v>
      </c>
      <c r="G282" s="1" t="s">
        <v>53</v>
      </c>
      <c r="H282" s="1" t="s">
        <v>309</v>
      </c>
      <c r="I282" s="1" t="s">
        <v>310</v>
      </c>
      <c r="J282" s="1" t="s">
        <v>46</v>
      </c>
      <c r="K282" t="s">
        <v>34</v>
      </c>
      <c r="M282" s="1" t="s">
        <v>35</v>
      </c>
      <c r="N282" s="1">
        <v>42318949</v>
      </c>
      <c r="O282" s="1" t="s">
        <v>105</v>
      </c>
      <c r="P282" s="186">
        <v>44711.654108796298</v>
      </c>
      <c r="R282" s="1" t="s">
        <v>38</v>
      </c>
      <c r="T282" s="1" t="s">
        <v>74</v>
      </c>
      <c r="U282" s="186">
        <v>44711.75</v>
      </c>
      <c r="V282" s="1" t="s">
        <v>41</v>
      </c>
      <c r="W282" s="1" t="s">
        <v>49</v>
      </c>
      <c r="X282" s="13"/>
      <c r="Y282" s="2">
        <f t="shared" ca="1" si="24"/>
        <v>198</v>
      </c>
      <c r="Z282" s="14">
        <v>1</v>
      </c>
      <c r="AA282" s="1" t="str">
        <f t="shared" ca="1" si="25"/>
        <v>VENCIDO</v>
      </c>
      <c r="AB282" s="1" t="str">
        <f t="shared" si="26"/>
        <v>Dosa</v>
      </c>
      <c r="AC282" s="2" t="str">
        <f t="shared" si="29"/>
        <v xml:space="preserve"> CLEITON </v>
      </c>
      <c r="AD282" s="2">
        <f t="shared" si="27"/>
        <v>5</v>
      </c>
      <c r="AE282" s="2">
        <f t="shared" ca="1" si="28"/>
        <v>-274.9262716435187</v>
      </c>
      <c r="AF282" s="15"/>
    </row>
    <row r="283" spans="1:32" hidden="1">
      <c r="A283" s="1">
        <v>8623137</v>
      </c>
      <c r="B283" s="1" t="s">
        <v>27</v>
      </c>
      <c r="C283" t="s">
        <v>186</v>
      </c>
      <c r="E283" s="2">
        <v>1771000206001</v>
      </c>
      <c r="F283" s="1" t="s">
        <v>29</v>
      </c>
      <c r="G283" s="1" t="s">
        <v>53</v>
      </c>
      <c r="H283" s="1" t="s">
        <v>615</v>
      </c>
      <c r="I283" s="1" t="s">
        <v>616</v>
      </c>
      <c r="J283" s="1" t="s">
        <v>261</v>
      </c>
      <c r="K283" t="s">
        <v>34</v>
      </c>
      <c r="M283" s="1" t="s">
        <v>35</v>
      </c>
      <c r="N283" s="1">
        <v>42318949</v>
      </c>
      <c r="O283" s="1" t="s">
        <v>105</v>
      </c>
      <c r="P283" s="186">
        <v>44711.654085648152</v>
      </c>
      <c r="R283" s="1" t="s">
        <v>38</v>
      </c>
      <c r="T283" s="1" t="s">
        <v>74</v>
      </c>
      <c r="U283" s="186">
        <v>44711.75</v>
      </c>
      <c r="V283" s="1" t="s">
        <v>41</v>
      </c>
      <c r="W283" s="1" t="s">
        <v>49</v>
      </c>
      <c r="X283" s="13"/>
      <c r="Y283" s="2">
        <f t="shared" ca="1" si="24"/>
        <v>198</v>
      </c>
      <c r="Z283" s="14">
        <v>1</v>
      </c>
      <c r="AA283" s="1" t="str">
        <f t="shared" ca="1" si="25"/>
        <v>VENCIDO</v>
      </c>
      <c r="AB283" s="1" t="str">
        <f t="shared" si="26"/>
        <v>Dosa</v>
      </c>
      <c r="AC283" s="2" t="str">
        <f t="shared" si="29"/>
        <v xml:space="preserve"> CRISTINA </v>
      </c>
      <c r="AD283" s="2">
        <f t="shared" si="27"/>
        <v>5</v>
      </c>
      <c r="AE283" s="2">
        <f t="shared" ca="1" si="28"/>
        <v>-274.9262716435187</v>
      </c>
      <c r="AF283" s="15"/>
    </row>
    <row r="284" spans="1:32" hidden="1">
      <c r="A284" s="1">
        <v>8623124</v>
      </c>
      <c r="B284" s="1" t="s">
        <v>27</v>
      </c>
      <c r="C284" t="s">
        <v>186</v>
      </c>
      <c r="E284" s="2">
        <v>934000206001</v>
      </c>
      <c r="F284" s="1" t="s">
        <v>29</v>
      </c>
      <c r="G284" s="1" t="s">
        <v>53</v>
      </c>
      <c r="H284" s="1" t="s">
        <v>428</v>
      </c>
      <c r="I284" s="1" t="s">
        <v>429</v>
      </c>
      <c r="J284" s="1" t="s">
        <v>46</v>
      </c>
      <c r="K284" t="s">
        <v>34</v>
      </c>
      <c r="M284" s="1" t="s">
        <v>35</v>
      </c>
      <c r="N284" s="1">
        <v>42318949</v>
      </c>
      <c r="O284" s="1" t="s">
        <v>36</v>
      </c>
      <c r="P284" s="186">
        <v>44711.654062499998</v>
      </c>
      <c r="R284" s="1" t="s">
        <v>38</v>
      </c>
      <c r="T284" s="1" t="s">
        <v>74</v>
      </c>
      <c r="U284" s="186">
        <v>44711.75</v>
      </c>
      <c r="V284" s="1" t="s">
        <v>41</v>
      </c>
      <c r="W284" s="1" t="s">
        <v>49</v>
      </c>
      <c r="X284" s="13"/>
      <c r="Y284" s="2">
        <f t="shared" ca="1" si="24"/>
        <v>198</v>
      </c>
      <c r="Z284" s="14">
        <v>1</v>
      </c>
      <c r="AA284" s="1" t="str">
        <f t="shared" ca="1" si="25"/>
        <v>VENCIDO</v>
      </c>
      <c r="AB284" s="1" t="str">
        <f t="shared" si="26"/>
        <v>Dosa</v>
      </c>
      <c r="AC284" s="2" t="str">
        <f t="shared" si="29"/>
        <v xml:space="preserve"> CLEITON </v>
      </c>
      <c r="AD284" s="2">
        <f t="shared" si="27"/>
        <v>5</v>
      </c>
      <c r="AE284" s="2">
        <f t="shared" ca="1" si="28"/>
        <v>-274.9262716435187</v>
      </c>
      <c r="AF284" s="15"/>
    </row>
    <row r="285" spans="1:32" hidden="1">
      <c r="A285" s="1">
        <v>8623122</v>
      </c>
      <c r="B285" s="1" t="s">
        <v>27</v>
      </c>
      <c r="C285" t="s">
        <v>186</v>
      </c>
      <c r="E285" s="2">
        <v>1264000206001</v>
      </c>
      <c r="F285" s="1" t="s">
        <v>29</v>
      </c>
      <c r="G285" s="1" t="s">
        <v>53</v>
      </c>
      <c r="H285" s="1" t="s">
        <v>351</v>
      </c>
      <c r="I285" s="1" t="s">
        <v>352</v>
      </c>
      <c r="J285" s="1" t="s">
        <v>110</v>
      </c>
      <c r="K285" t="s">
        <v>34</v>
      </c>
      <c r="M285" s="1" t="s">
        <v>35</v>
      </c>
      <c r="N285" s="1">
        <v>42318949</v>
      </c>
      <c r="O285" s="1" t="s">
        <v>105</v>
      </c>
      <c r="P285" s="186">
        <v>44711.654062499998</v>
      </c>
      <c r="R285" s="1" t="s">
        <v>38</v>
      </c>
      <c r="T285" s="1" t="s">
        <v>74</v>
      </c>
      <c r="U285" s="186">
        <v>44711.75</v>
      </c>
      <c r="V285" s="1" t="s">
        <v>41</v>
      </c>
      <c r="W285" s="1" t="s">
        <v>49</v>
      </c>
      <c r="X285" s="13"/>
      <c r="Y285" s="2">
        <f t="shared" ca="1" si="24"/>
        <v>198</v>
      </c>
      <c r="Z285" s="14">
        <v>1</v>
      </c>
      <c r="AA285" s="1" t="str">
        <f t="shared" ca="1" si="25"/>
        <v>VENCIDO</v>
      </c>
      <c r="AB285" s="1" t="str">
        <f t="shared" si="26"/>
        <v>Dosa</v>
      </c>
      <c r="AC285" s="2" t="str">
        <f t="shared" si="29"/>
        <v xml:space="preserve"> CRISTINA </v>
      </c>
      <c r="AD285" s="2">
        <f t="shared" si="27"/>
        <v>5</v>
      </c>
      <c r="AE285" s="2">
        <f t="shared" ca="1" si="28"/>
        <v>-274.9262716435187</v>
      </c>
      <c r="AF285" s="15"/>
    </row>
    <row r="286" spans="1:32" hidden="1">
      <c r="A286" s="1">
        <v>8622823</v>
      </c>
      <c r="B286" s="1" t="s">
        <v>27</v>
      </c>
      <c r="C286" t="s">
        <v>186</v>
      </c>
      <c r="E286" s="2">
        <v>2855000206001</v>
      </c>
      <c r="F286" s="1" t="s">
        <v>29</v>
      </c>
      <c r="G286" s="1" t="s">
        <v>53</v>
      </c>
      <c r="H286" s="1" t="s">
        <v>249</v>
      </c>
      <c r="I286" s="1" t="s">
        <v>250</v>
      </c>
      <c r="J286" s="1" t="s">
        <v>56</v>
      </c>
      <c r="K286" t="s">
        <v>34</v>
      </c>
      <c r="M286" s="1" t="s">
        <v>35</v>
      </c>
      <c r="N286" s="1">
        <v>42318949</v>
      </c>
      <c r="O286" s="1" t="s">
        <v>105</v>
      </c>
      <c r="P286" s="186">
        <v>44711.653692129628</v>
      </c>
      <c r="R286" s="1" t="s">
        <v>38</v>
      </c>
      <c r="T286" s="1" t="s">
        <v>74</v>
      </c>
      <c r="U286" s="186">
        <v>44711.75</v>
      </c>
      <c r="V286" s="1" t="s">
        <v>41</v>
      </c>
      <c r="W286" s="1" t="s">
        <v>49</v>
      </c>
      <c r="X286" s="13"/>
      <c r="Y286" s="2">
        <f t="shared" ca="1" si="24"/>
        <v>198</v>
      </c>
      <c r="Z286" s="14">
        <v>1</v>
      </c>
      <c r="AA286" s="1" t="str">
        <f t="shared" ca="1" si="25"/>
        <v>VENCIDO</v>
      </c>
      <c r="AB286" s="1" t="str">
        <f t="shared" si="26"/>
        <v>Dosa</v>
      </c>
      <c r="AC286" s="2" t="str">
        <f t="shared" si="29"/>
        <v xml:space="preserve"> CRISTINA </v>
      </c>
      <c r="AD286" s="2">
        <f t="shared" si="27"/>
        <v>5</v>
      </c>
      <c r="AE286" s="2">
        <f t="shared" ca="1" si="28"/>
        <v>-274.9262716435187</v>
      </c>
      <c r="AF286" s="15"/>
    </row>
    <row r="287" spans="1:32" hidden="1">
      <c r="A287" s="1">
        <v>8622810</v>
      </c>
      <c r="B287" s="1" t="s">
        <v>27</v>
      </c>
      <c r="C287" t="s">
        <v>186</v>
      </c>
      <c r="E287" s="2">
        <v>1650000206001</v>
      </c>
      <c r="F287" s="1" t="s">
        <v>29</v>
      </c>
      <c r="G287" s="1" t="s">
        <v>53</v>
      </c>
      <c r="H287" s="1" t="s">
        <v>620</v>
      </c>
      <c r="I287" s="1" t="s">
        <v>621</v>
      </c>
      <c r="J287" s="1" t="s">
        <v>141</v>
      </c>
      <c r="K287" t="s">
        <v>34</v>
      </c>
      <c r="M287" s="1" t="s">
        <v>35</v>
      </c>
      <c r="N287" s="1">
        <v>42318949</v>
      </c>
      <c r="O287" s="1" t="s">
        <v>105</v>
      </c>
      <c r="P287" s="186">
        <v>44711.653668981482</v>
      </c>
      <c r="R287" s="1" t="s">
        <v>38</v>
      </c>
      <c r="T287" s="1" t="s">
        <v>74</v>
      </c>
      <c r="U287" s="186">
        <v>44711.75</v>
      </c>
      <c r="V287" s="1" t="s">
        <v>41</v>
      </c>
      <c r="W287" s="1" t="s">
        <v>49</v>
      </c>
      <c r="X287" s="13"/>
      <c r="Y287" s="2">
        <f t="shared" ca="1" si="24"/>
        <v>198</v>
      </c>
      <c r="Z287" s="14">
        <v>1</v>
      </c>
      <c r="AA287" s="1" t="str">
        <f t="shared" ca="1" si="25"/>
        <v>VENCIDO</v>
      </c>
      <c r="AB287" s="1" t="str">
        <f t="shared" si="26"/>
        <v>Dosa</v>
      </c>
      <c r="AC287" s="2" t="str">
        <f t="shared" si="29"/>
        <v xml:space="preserve"> CRISTINA </v>
      </c>
      <c r="AD287" s="2">
        <f t="shared" si="27"/>
        <v>5</v>
      </c>
      <c r="AE287" s="2">
        <f t="shared" ca="1" si="28"/>
        <v>-274.9262716435187</v>
      </c>
      <c r="AF287" s="15"/>
    </row>
    <row r="288" spans="1:32" hidden="1">
      <c r="A288" s="1">
        <v>8622799</v>
      </c>
      <c r="B288" s="1" t="s">
        <v>27</v>
      </c>
      <c r="C288" t="s">
        <v>186</v>
      </c>
      <c r="E288" s="2">
        <v>7740206001</v>
      </c>
      <c r="F288" s="1" t="s">
        <v>29</v>
      </c>
      <c r="G288" s="1" t="s">
        <v>53</v>
      </c>
      <c r="H288" s="1" t="s">
        <v>187</v>
      </c>
      <c r="I288" s="1" t="s">
        <v>188</v>
      </c>
      <c r="J288" s="1" t="s">
        <v>46</v>
      </c>
      <c r="K288" t="s">
        <v>34</v>
      </c>
      <c r="M288" s="1" t="s">
        <v>35</v>
      </c>
      <c r="N288" s="1">
        <v>42318949</v>
      </c>
      <c r="O288" s="1" t="s">
        <v>105</v>
      </c>
      <c r="P288" s="186">
        <v>44711.653657407405</v>
      </c>
      <c r="R288" s="1" t="s">
        <v>38</v>
      </c>
      <c r="T288" s="1" t="s">
        <v>74</v>
      </c>
      <c r="U288" s="186">
        <v>44711.75</v>
      </c>
      <c r="V288" s="1" t="s">
        <v>41</v>
      </c>
      <c r="W288" s="1" t="s">
        <v>49</v>
      </c>
      <c r="X288" s="13"/>
      <c r="Y288" s="2">
        <f t="shared" ca="1" si="24"/>
        <v>198</v>
      </c>
      <c r="Z288" s="14">
        <v>1</v>
      </c>
      <c r="AA288" s="1" t="str">
        <f t="shared" ca="1" si="25"/>
        <v>VENCIDO</v>
      </c>
      <c r="AB288" s="1" t="str">
        <f t="shared" si="26"/>
        <v>Dosa</v>
      </c>
      <c r="AC288" s="2" t="str">
        <f t="shared" si="29"/>
        <v xml:space="preserve"> CLEITON </v>
      </c>
      <c r="AD288" s="2">
        <f t="shared" si="27"/>
        <v>5</v>
      </c>
      <c r="AE288" s="2">
        <f t="shared" ca="1" si="28"/>
        <v>-274.9262716435187</v>
      </c>
      <c r="AF288" s="15"/>
    </row>
    <row r="289" spans="1:32" hidden="1">
      <c r="A289" s="1">
        <v>8622790</v>
      </c>
      <c r="B289" s="1" t="s">
        <v>27</v>
      </c>
      <c r="C289" t="s">
        <v>186</v>
      </c>
      <c r="E289" s="2">
        <v>1664000206001</v>
      </c>
      <c r="F289" s="1" t="s">
        <v>29</v>
      </c>
      <c r="G289" s="1" t="s">
        <v>53</v>
      </c>
      <c r="H289" s="1" t="s">
        <v>307</v>
      </c>
      <c r="I289" s="1" t="s">
        <v>308</v>
      </c>
      <c r="J289" s="1" t="s">
        <v>164</v>
      </c>
      <c r="K289" t="s">
        <v>34</v>
      </c>
      <c r="M289" s="1" t="s">
        <v>35</v>
      </c>
      <c r="N289" s="1">
        <v>42318949</v>
      </c>
      <c r="O289" s="1" t="s">
        <v>105</v>
      </c>
      <c r="P289" s="186">
        <v>44711.653645833336</v>
      </c>
      <c r="R289" s="1" t="s">
        <v>38</v>
      </c>
      <c r="T289" s="1" t="s">
        <v>74</v>
      </c>
      <c r="U289" s="186">
        <v>44711.75</v>
      </c>
      <c r="V289" s="1" t="s">
        <v>41</v>
      </c>
      <c r="W289" s="1" t="s">
        <v>49</v>
      </c>
      <c r="X289" s="13"/>
      <c r="Y289" s="2">
        <f t="shared" ca="1" si="24"/>
        <v>198</v>
      </c>
      <c r="Z289" s="14">
        <v>1</v>
      </c>
      <c r="AA289" s="1" t="str">
        <f t="shared" ca="1" si="25"/>
        <v>VENCIDO</v>
      </c>
      <c r="AB289" s="1" t="str">
        <f t="shared" si="26"/>
        <v>Dosa</v>
      </c>
      <c r="AC289" s="2" t="str">
        <f t="shared" si="29"/>
        <v xml:space="preserve"> ROSEMERE </v>
      </c>
      <c r="AD289" s="2">
        <f t="shared" si="27"/>
        <v>5</v>
      </c>
      <c r="AE289" s="2">
        <f t="shared" ca="1" si="28"/>
        <v>-274.9262716435187</v>
      </c>
      <c r="AF289" s="15"/>
    </row>
    <row r="290" spans="1:32" hidden="1">
      <c r="A290" s="1">
        <v>8622781</v>
      </c>
      <c r="B290" s="1" t="s">
        <v>27</v>
      </c>
      <c r="C290" t="s">
        <v>186</v>
      </c>
      <c r="E290" s="2">
        <v>834000206001</v>
      </c>
      <c r="F290" s="1" t="s">
        <v>29</v>
      </c>
      <c r="G290" s="1" t="s">
        <v>53</v>
      </c>
      <c r="H290" s="1" t="s">
        <v>367</v>
      </c>
      <c r="I290" s="1" t="s">
        <v>368</v>
      </c>
      <c r="J290" s="1" t="s">
        <v>261</v>
      </c>
      <c r="K290" t="s">
        <v>34</v>
      </c>
      <c r="M290" s="1" t="s">
        <v>35</v>
      </c>
      <c r="N290" s="1">
        <v>42318949</v>
      </c>
      <c r="O290" s="1" t="s">
        <v>105</v>
      </c>
      <c r="P290" s="186">
        <v>44711.653634259259</v>
      </c>
      <c r="R290" s="1" t="s">
        <v>38</v>
      </c>
      <c r="T290" s="1" t="s">
        <v>74</v>
      </c>
      <c r="U290" s="186">
        <v>44711.75</v>
      </c>
      <c r="V290" s="1" t="s">
        <v>41</v>
      </c>
      <c r="W290" s="1" t="s">
        <v>49</v>
      </c>
      <c r="X290" s="13"/>
      <c r="Y290" s="2">
        <f t="shared" ca="1" si="24"/>
        <v>198</v>
      </c>
      <c r="Z290" s="14">
        <v>1</v>
      </c>
      <c r="AA290" s="1" t="str">
        <f t="shared" ca="1" si="25"/>
        <v>VENCIDO</v>
      </c>
      <c r="AB290" s="1" t="str">
        <f t="shared" si="26"/>
        <v>Dosa</v>
      </c>
      <c r="AC290" s="2" t="str">
        <f t="shared" si="29"/>
        <v xml:space="preserve"> CRISTINA </v>
      </c>
      <c r="AD290" s="2">
        <f t="shared" si="27"/>
        <v>5</v>
      </c>
      <c r="AE290" s="2">
        <f t="shared" ca="1" si="28"/>
        <v>-274.9262716435187</v>
      </c>
      <c r="AF290" s="15"/>
    </row>
    <row r="291" spans="1:32" hidden="1">
      <c r="A291" s="1">
        <v>8622757</v>
      </c>
      <c r="B291" s="1" t="s">
        <v>27</v>
      </c>
      <c r="C291" t="s">
        <v>186</v>
      </c>
      <c r="E291" s="2">
        <v>5740000206001</v>
      </c>
      <c r="F291" s="1" t="s">
        <v>29</v>
      </c>
      <c r="G291" s="1" t="s">
        <v>53</v>
      </c>
      <c r="H291" s="1" t="s">
        <v>626</v>
      </c>
      <c r="I291" s="1" t="s">
        <v>627</v>
      </c>
      <c r="J291" s="1" t="s">
        <v>46</v>
      </c>
      <c r="K291" t="s">
        <v>34</v>
      </c>
      <c r="M291" s="1" t="s">
        <v>35</v>
      </c>
      <c r="N291" s="1">
        <v>42318949</v>
      </c>
      <c r="O291" s="1" t="s">
        <v>105</v>
      </c>
      <c r="P291" s="186">
        <v>44711.653599537036</v>
      </c>
      <c r="R291" s="1" t="s">
        <v>38</v>
      </c>
      <c r="T291" s="1" t="s">
        <v>74</v>
      </c>
      <c r="U291" s="186">
        <v>44711.75</v>
      </c>
      <c r="V291" s="1" t="s">
        <v>41</v>
      </c>
      <c r="W291" s="1" t="s">
        <v>49</v>
      </c>
      <c r="X291" s="13"/>
      <c r="Y291" s="2">
        <f t="shared" ca="1" si="24"/>
        <v>198</v>
      </c>
      <c r="Z291" s="14">
        <v>1</v>
      </c>
      <c r="AA291" s="1" t="str">
        <f t="shared" ca="1" si="25"/>
        <v>VENCIDO</v>
      </c>
      <c r="AB291" s="1" t="str">
        <f t="shared" si="26"/>
        <v>Dosa</v>
      </c>
      <c r="AC291" s="2" t="str">
        <f t="shared" si="29"/>
        <v xml:space="preserve"> CLEITON </v>
      </c>
      <c r="AD291" s="2">
        <f t="shared" si="27"/>
        <v>5</v>
      </c>
      <c r="AE291" s="2">
        <f t="shared" ca="1" si="28"/>
        <v>-274.9262716435187</v>
      </c>
      <c r="AF291" s="15"/>
    </row>
    <row r="292" spans="1:32" hidden="1">
      <c r="A292" s="1">
        <v>8622462</v>
      </c>
      <c r="B292" s="1" t="s">
        <v>27</v>
      </c>
      <c r="C292" t="s">
        <v>186</v>
      </c>
      <c r="E292" s="2">
        <v>3234150206001</v>
      </c>
      <c r="F292" s="1" t="s">
        <v>29</v>
      </c>
      <c r="G292" s="1" t="s">
        <v>53</v>
      </c>
      <c r="H292" s="1" t="s">
        <v>629</v>
      </c>
      <c r="I292" s="1" t="s">
        <v>630</v>
      </c>
      <c r="J292" s="1" t="s">
        <v>46</v>
      </c>
      <c r="K292" t="s">
        <v>34</v>
      </c>
      <c r="M292" s="1" t="s">
        <v>35</v>
      </c>
      <c r="N292" s="1">
        <v>42318949</v>
      </c>
      <c r="O292" s="1" t="s">
        <v>105</v>
      </c>
      <c r="P292" s="186">
        <v>44711.653229166666</v>
      </c>
      <c r="R292" s="1" t="s">
        <v>38</v>
      </c>
      <c r="T292" s="1" t="s">
        <v>74</v>
      </c>
      <c r="U292" s="186">
        <v>44711.75</v>
      </c>
      <c r="V292" s="1" t="s">
        <v>41</v>
      </c>
      <c r="W292" s="1" t="s">
        <v>49</v>
      </c>
      <c r="X292" s="13"/>
      <c r="Y292" s="2">
        <f t="shared" ca="1" si="24"/>
        <v>198</v>
      </c>
      <c r="Z292" s="14">
        <v>1</v>
      </c>
      <c r="AA292" s="1" t="str">
        <f t="shared" ca="1" si="25"/>
        <v>VENCIDO</v>
      </c>
      <c r="AB292" s="1" t="str">
        <f t="shared" si="26"/>
        <v>Dosa</v>
      </c>
      <c r="AC292" s="2" t="str">
        <f t="shared" si="29"/>
        <v xml:space="preserve"> CLEITON </v>
      </c>
      <c r="AD292" s="2">
        <f t="shared" si="27"/>
        <v>5</v>
      </c>
      <c r="AE292" s="2">
        <f t="shared" ca="1" si="28"/>
        <v>-274.9262716435187</v>
      </c>
      <c r="AF292" s="15"/>
    </row>
    <row r="293" spans="1:32" hidden="1">
      <c r="A293" s="1">
        <v>8622404</v>
      </c>
      <c r="B293" s="1" t="s">
        <v>27</v>
      </c>
      <c r="C293" t="s">
        <v>186</v>
      </c>
      <c r="E293" s="2">
        <v>4235000206001</v>
      </c>
      <c r="F293" s="1" t="s">
        <v>29</v>
      </c>
      <c r="G293" s="1" t="s">
        <v>53</v>
      </c>
      <c r="H293" s="1" t="s">
        <v>291</v>
      </c>
      <c r="I293" s="1" t="s">
        <v>292</v>
      </c>
      <c r="J293" s="1" t="s">
        <v>46</v>
      </c>
      <c r="K293" t="s">
        <v>34</v>
      </c>
      <c r="M293" s="1" t="s">
        <v>35</v>
      </c>
      <c r="N293" s="1">
        <v>42318949</v>
      </c>
      <c r="O293" s="1" t="s">
        <v>105</v>
      </c>
      <c r="P293" s="186">
        <v>44711.65315972222</v>
      </c>
      <c r="R293" s="1" t="s">
        <v>38</v>
      </c>
      <c r="T293" s="1" t="s">
        <v>74</v>
      </c>
      <c r="U293" s="186">
        <v>44711.75</v>
      </c>
      <c r="V293" s="1" t="s">
        <v>41</v>
      </c>
      <c r="W293" s="1" t="s">
        <v>49</v>
      </c>
      <c r="X293" s="13"/>
      <c r="Y293" s="2">
        <f t="shared" ca="1" si="24"/>
        <v>198</v>
      </c>
      <c r="Z293" s="14">
        <v>1</v>
      </c>
      <c r="AA293" s="1" t="str">
        <f t="shared" ca="1" si="25"/>
        <v>VENCIDO</v>
      </c>
      <c r="AB293" s="1" t="str">
        <f t="shared" si="26"/>
        <v>Dosa</v>
      </c>
      <c r="AC293" s="2" t="str">
        <f t="shared" si="29"/>
        <v xml:space="preserve"> CLEITON </v>
      </c>
      <c r="AD293" s="2">
        <f t="shared" si="27"/>
        <v>5</v>
      </c>
      <c r="AE293" s="2">
        <f t="shared" ca="1" si="28"/>
        <v>-274.9262716435187</v>
      </c>
      <c r="AF293" s="15"/>
    </row>
    <row r="294" spans="1:32" hidden="1">
      <c r="A294" s="1">
        <v>8622376</v>
      </c>
      <c r="B294" s="1" t="s">
        <v>27</v>
      </c>
      <c r="C294" t="s">
        <v>186</v>
      </c>
      <c r="E294" s="2">
        <v>4357000206001</v>
      </c>
      <c r="F294" s="1" t="s">
        <v>29</v>
      </c>
      <c r="G294" s="1" t="s">
        <v>53</v>
      </c>
      <c r="H294" s="1" t="s">
        <v>633</v>
      </c>
      <c r="I294" s="1" t="s">
        <v>634</v>
      </c>
      <c r="J294" s="1" t="s">
        <v>46</v>
      </c>
      <c r="K294" t="s">
        <v>34</v>
      </c>
      <c r="M294" s="1" t="s">
        <v>35</v>
      </c>
      <c r="N294" s="1">
        <v>42318949</v>
      </c>
      <c r="O294" s="1" t="s">
        <v>36</v>
      </c>
      <c r="P294" s="186">
        <v>44711.653113425928</v>
      </c>
      <c r="R294" s="1" t="s">
        <v>38</v>
      </c>
      <c r="T294" s="1" t="s">
        <v>74</v>
      </c>
      <c r="U294" s="186">
        <v>44711.75</v>
      </c>
      <c r="V294" s="1" t="s">
        <v>41</v>
      </c>
      <c r="W294" s="1" t="s">
        <v>49</v>
      </c>
      <c r="X294" s="13"/>
      <c r="Y294" s="2">
        <f t="shared" ca="1" si="24"/>
        <v>198</v>
      </c>
      <c r="Z294" s="14">
        <v>1</v>
      </c>
      <c r="AA294" s="1" t="str">
        <f t="shared" ca="1" si="25"/>
        <v>VENCIDO</v>
      </c>
      <c r="AB294" s="1" t="str">
        <f t="shared" si="26"/>
        <v>Dosa</v>
      </c>
      <c r="AC294" s="2" t="str">
        <f t="shared" si="29"/>
        <v xml:space="preserve"> CLEITON </v>
      </c>
      <c r="AD294" s="2">
        <f t="shared" si="27"/>
        <v>5</v>
      </c>
      <c r="AE294" s="2">
        <f t="shared" ca="1" si="28"/>
        <v>-274.9262716435187</v>
      </c>
      <c r="AF294" s="15"/>
    </row>
    <row r="295" spans="1:32" hidden="1">
      <c r="A295" s="1">
        <v>8622369</v>
      </c>
      <c r="B295" s="1" t="s">
        <v>27</v>
      </c>
      <c r="C295" t="s">
        <v>186</v>
      </c>
      <c r="E295" s="2">
        <v>3243000206001</v>
      </c>
      <c r="F295" s="1" t="s">
        <v>29</v>
      </c>
      <c r="G295" s="1" t="s">
        <v>53</v>
      </c>
      <c r="H295" s="1" t="s">
        <v>282</v>
      </c>
      <c r="I295" s="1" t="s">
        <v>283</v>
      </c>
      <c r="J295" s="1" t="s">
        <v>46</v>
      </c>
      <c r="K295" t="s">
        <v>34</v>
      </c>
      <c r="M295" s="1" t="s">
        <v>35</v>
      </c>
      <c r="N295" s="1">
        <v>42318949</v>
      </c>
      <c r="O295" s="1" t="s">
        <v>105</v>
      </c>
      <c r="P295" s="186">
        <v>44711.653113425928</v>
      </c>
      <c r="R295" s="1" t="s">
        <v>38</v>
      </c>
      <c r="T295" s="1" t="s">
        <v>74</v>
      </c>
      <c r="U295" s="186">
        <v>44711.75</v>
      </c>
      <c r="V295" s="1" t="s">
        <v>41</v>
      </c>
      <c r="W295" s="1" t="s">
        <v>49</v>
      </c>
      <c r="X295" s="13"/>
      <c r="Y295" s="2">
        <f t="shared" ca="1" si="24"/>
        <v>198</v>
      </c>
      <c r="Z295" s="14">
        <v>1</v>
      </c>
      <c r="AA295" s="1" t="str">
        <f t="shared" ca="1" si="25"/>
        <v>VENCIDO</v>
      </c>
      <c r="AB295" s="1" t="str">
        <f t="shared" si="26"/>
        <v>Dosa</v>
      </c>
      <c r="AC295" s="2" t="str">
        <f t="shared" si="29"/>
        <v xml:space="preserve"> CLEITON </v>
      </c>
      <c r="AD295" s="2">
        <f t="shared" si="27"/>
        <v>5</v>
      </c>
      <c r="AE295" s="2">
        <f t="shared" ca="1" si="28"/>
        <v>-274.9262716435187</v>
      </c>
      <c r="AF295" s="15"/>
    </row>
    <row r="296" spans="1:32" hidden="1">
      <c r="A296" s="1">
        <v>8622191</v>
      </c>
      <c r="B296" s="1" t="s">
        <v>27</v>
      </c>
      <c r="C296" t="s">
        <v>186</v>
      </c>
      <c r="E296" s="2">
        <v>2988000206001</v>
      </c>
      <c r="F296" s="1" t="s">
        <v>29</v>
      </c>
      <c r="G296" s="1" t="s">
        <v>53</v>
      </c>
      <c r="H296" s="1" t="s">
        <v>536</v>
      </c>
      <c r="I296" s="1" t="s">
        <v>537</v>
      </c>
      <c r="J296" s="1" t="s">
        <v>46</v>
      </c>
      <c r="K296" t="s">
        <v>34</v>
      </c>
      <c r="M296" s="1" t="s">
        <v>35</v>
      </c>
      <c r="N296" s="1">
        <v>42318949</v>
      </c>
      <c r="O296" s="1" t="s">
        <v>105</v>
      </c>
      <c r="P296" s="186">
        <v>44711.652870370373</v>
      </c>
      <c r="R296" s="1" t="s">
        <v>38</v>
      </c>
      <c r="T296" s="1" t="s">
        <v>74</v>
      </c>
      <c r="U296" s="186">
        <v>44711.75</v>
      </c>
      <c r="V296" s="1" t="s">
        <v>41</v>
      </c>
      <c r="W296" s="1" t="s">
        <v>49</v>
      </c>
      <c r="X296" s="13"/>
      <c r="Y296" s="2">
        <f t="shared" ca="1" si="24"/>
        <v>198</v>
      </c>
      <c r="Z296" s="14">
        <v>1</v>
      </c>
      <c r="AA296" s="1" t="str">
        <f t="shared" ca="1" si="25"/>
        <v>VENCIDO</v>
      </c>
      <c r="AB296" s="1" t="str">
        <f t="shared" si="26"/>
        <v>Dosa</v>
      </c>
      <c r="AC296" s="2" t="str">
        <f t="shared" si="29"/>
        <v xml:space="preserve"> CLEITON </v>
      </c>
      <c r="AD296" s="2">
        <f t="shared" si="27"/>
        <v>5</v>
      </c>
      <c r="AE296" s="2">
        <f t="shared" ca="1" si="28"/>
        <v>-274.9262716435187</v>
      </c>
      <c r="AF296" s="15"/>
    </row>
    <row r="297" spans="1:32" hidden="1">
      <c r="A297" s="1">
        <v>8622149</v>
      </c>
      <c r="B297" s="1" t="s">
        <v>27</v>
      </c>
      <c r="C297" t="s">
        <v>186</v>
      </c>
      <c r="E297" s="2">
        <v>3699000206001</v>
      </c>
      <c r="F297" s="1" t="s">
        <v>29</v>
      </c>
      <c r="G297" s="1" t="s">
        <v>53</v>
      </c>
      <c r="H297" s="1" t="s">
        <v>343</v>
      </c>
      <c r="I297" s="1" t="s">
        <v>344</v>
      </c>
      <c r="J297" s="1" t="s">
        <v>46</v>
      </c>
      <c r="K297" t="s">
        <v>34</v>
      </c>
      <c r="M297" s="1" t="s">
        <v>35</v>
      </c>
      <c r="N297" s="1">
        <v>42318949</v>
      </c>
      <c r="O297" s="1" t="s">
        <v>105</v>
      </c>
      <c r="P297" s="186">
        <v>44711.652824074074</v>
      </c>
      <c r="R297" s="1" t="s">
        <v>38</v>
      </c>
      <c r="T297" s="1" t="s">
        <v>74</v>
      </c>
      <c r="U297" s="186">
        <v>44711.75</v>
      </c>
      <c r="V297" s="1" t="s">
        <v>41</v>
      </c>
      <c r="W297" s="1" t="s">
        <v>49</v>
      </c>
      <c r="X297" s="13"/>
      <c r="Y297" s="2">
        <f t="shared" ca="1" si="24"/>
        <v>198</v>
      </c>
      <c r="Z297" s="14">
        <v>1</v>
      </c>
      <c r="AA297" s="1" t="str">
        <f t="shared" ca="1" si="25"/>
        <v>VENCIDO</v>
      </c>
      <c r="AB297" s="1" t="str">
        <f t="shared" si="26"/>
        <v>Dosa</v>
      </c>
      <c r="AC297" s="2" t="str">
        <f t="shared" si="29"/>
        <v xml:space="preserve"> CLEITON </v>
      </c>
      <c r="AD297" s="2">
        <f t="shared" si="27"/>
        <v>5</v>
      </c>
      <c r="AE297" s="2">
        <f t="shared" ca="1" si="28"/>
        <v>-274.9262716435187</v>
      </c>
      <c r="AF297" s="15"/>
    </row>
    <row r="298" spans="1:32" hidden="1">
      <c r="A298" s="1">
        <v>8622140</v>
      </c>
      <c r="B298" s="1" t="s">
        <v>27</v>
      </c>
      <c r="C298" t="s">
        <v>186</v>
      </c>
      <c r="E298" s="2">
        <v>1833000206001</v>
      </c>
      <c r="F298" s="1" t="s">
        <v>29</v>
      </c>
      <c r="G298" s="1" t="s">
        <v>53</v>
      </c>
      <c r="H298" s="1" t="s">
        <v>369</v>
      </c>
      <c r="I298" s="1" t="s">
        <v>370</v>
      </c>
      <c r="J298" s="1" t="s">
        <v>46</v>
      </c>
      <c r="K298" t="s">
        <v>34</v>
      </c>
      <c r="M298" s="1" t="s">
        <v>35</v>
      </c>
      <c r="N298" s="1">
        <v>42318949</v>
      </c>
      <c r="O298" s="1" t="s">
        <v>105</v>
      </c>
      <c r="P298" s="186">
        <v>44711.652812499997</v>
      </c>
      <c r="R298" s="1" t="s">
        <v>38</v>
      </c>
      <c r="T298" s="1" t="s">
        <v>74</v>
      </c>
      <c r="U298" s="186">
        <v>44711.75</v>
      </c>
      <c r="V298" s="1" t="s">
        <v>41</v>
      </c>
      <c r="W298" s="1" t="s">
        <v>49</v>
      </c>
      <c r="X298" s="13"/>
      <c r="Y298" s="2">
        <f t="shared" ca="1" si="24"/>
        <v>198</v>
      </c>
      <c r="Z298" s="14">
        <v>1</v>
      </c>
      <c r="AA298" s="1" t="str">
        <f t="shared" ca="1" si="25"/>
        <v>VENCIDO</v>
      </c>
      <c r="AB298" s="1" t="str">
        <f t="shared" si="26"/>
        <v>Dosa</v>
      </c>
      <c r="AC298" s="2" t="str">
        <f t="shared" si="29"/>
        <v xml:space="preserve"> CLEITON </v>
      </c>
      <c r="AD298" s="2">
        <f t="shared" si="27"/>
        <v>5</v>
      </c>
      <c r="AE298" s="2">
        <f t="shared" ca="1" si="28"/>
        <v>-274.9262716435187</v>
      </c>
      <c r="AF298" s="15"/>
    </row>
    <row r="299" spans="1:32" hidden="1">
      <c r="A299" s="1">
        <v>8622104</v>
      </c>
      <c r="B299" s="1" t="s">
        <v>27</v>
      </c>
      <c r="C299" t="s">
        <v>186</v>
      </c>
      <c r="E299" s="2">
        <v>1838000206001</v>
      </c>
      <c r="F299" s="1" t="s">
        <v>29</v>
      </c>
      <c r="G299" s="1" t="s">
        <v>53</v>
      </c>
      <c r="H299" s="1" t="s">
        <v>357</v>
      </c>
      <c r="I299" s="1" t="s">
        <v>358</v>
      </c>
      <c r="J299" s="1" t="s">
        <v>46</v>
      </c>
      <c r="K299" t="s">
        <v>34</v>
      </c>
      <c r="M299" s="1" t="s">
        <v>35</v>
      </c>
      <c r="N299" s="1">
        <v>42318949</v>
      </c>
      <c r="O299" s="1" t="s">
        <v>36</v>
      </c>
      <c r="P299" s="186">
        <v>44711.652766203704</v>
      </c>
      <c r="R299" s="1" t="s">
        <v>38</v>
      </c>
      <c r="T299" s="1" t="s">
        <v>74</v>
      </c>
      <c r="U299" s="186">
        <v>44711.75</v>
      </c>
      <c r="V299" s="1" t="s">
        <v>41</v>
      </c>
      <c r="W299" s="1" t="s">
        <v>49</v>
      </c>
      <c r="X299" s="13"/>
      <c r="Y299" s="2">
        <f t="shared" ca="1" si="24"/>
        <v>198</v>
      </c>
      <c r="Z299" s="14">
        <v>1</v>
      </c>
      <c r="AA299" s="1" t="str">
        <f t="shared" ca="1" si="25"/>
        <v>VENCIDO</v>
      </c>
      <c r="AB299" s="1" t="str">
        <f t="shared" si="26"/>
        <v>Dosa</v>
      </c>
      <c r="AC299" s="2" t="str">
        <f t="shared" si="29"/>
        <v xml:space="preserve"> CLEITON </v>
      </c>
      <c r="AD299" s="2">
        <f t="shared" si="27"/>
        <v>5</v>
      </c>
      <c r="AE299" s="2">
        <f t="shared" ca="1" si="28"/>
        <v>-274.9262716435187</v>
      </c>
      <c r="AF299" s="15"/>
    </row>
    <row r="300" spans="1:32" hidden="1">
      <c r="A300" s="1">
        <v>8627619</v>
      </c>
      <c r="B300" s="1" t="s">
        <v>27</v>
      </c>
      <c r="C300" t="s">
        <v>637</v>
      </c>
      <c r="E300" s="2">
        <v>9406000206001</v>
      </c>
      <c r="F300" s="1" t="s">
        <v>29</v>
      </c>
      <c r="G300" s="1" t="s">
        <v>53</v>
      </c>
      <c r="H300" s="1" t="s">
        <v>114</v>
      </c>
      <c r="I300" s="1" t="s">
        <v>115</v>
      </c>
      <c r="J300" s="1" t="s">
        <v>46</v>
      </c>
      <c r="K300" t="s">
        <v>34</v>
      </c>
      <c r="M300" s="1" t="s">
        <v>35</v>
      </c>
      <c r="N300" s="1">
        <v>42318949</v>
      </c>
      <c r="O300" s="1" t="s">
        <v>36</v>
      </c>
      <c r="P300" s="186">
        <v>44712.701180555552</v>
      </c>
      <c r="R300" s="1" t="s">
        <v>38</v>
      </c>
      <c r="T300" s="1" t="s">
        <v>74</v>
      </c>
      <c r="U300" s="186">
        <v>44712.75</v>
      </c>
      <c r="V300" s="1" t="s">
        <v>41</v>
      </c>
      <c r="W300" s="1" t="s">
        <v>49</v>
      </c>
      <c r="X300" s="13"/>
      <c r="Y300" s="2">
        <f t="shared" ca="1" si="24"/>
        <v>197</v>
      </c>
      <c r="Z300" s="14">
        <v>1</v>
      </c>
      <c r="AA300" s="1" t="str">
        <f t="shared" ca="1" si="25"/>
        <v>VENCIDO</v>
      </c>
      <c r="AB300" s="1" t="str">
        <f t="shared" si="26"/>
        <v>Dosa</v>
      </c>
      <c r="AC300" s="2" t="str">
        <f t="shared" si="29"/>
        <v xml:space="preserve"> CLEITON </v>
      </c>
      <c r="AD300" s="2">
        <f t="shared" si="27"/>
        <v>5</v>
      </c>
      <c r="AE300" s="2">
        <f t="shared" ca="1" si="28"/>
        <v>-273.9262716435187</v>
      </c>
      <c r="AF300" s="15"/>
    </row>
    <row r="301" spans="1:32" hidden="1">
      <c r="A301" s="1">
        <v>8627312</v>
      </c>
      <c r="B301" s="1" t="s">
        <v>62</v>
      </c>
      <c r="C301" t="s">
        <v>640</v>
      </c>
      <c r="E301" s="2">
        <v>1902016423500</v>
      </c>
      <c r="F301" s="1" t="s">
        <v>64</v>
      </c>
      <c r="G301" s="1" t="s">
        <v>53</v>
      </c>
      <c r="H301" s="1" t="s">
        <v>291</v>
      </c>
      <c r="I301" s="1" t="s">
        <v>292</v>
      </c>
      <c r="J301" s="1" t="s">
        <v>46</v>
      </c>
      <c r="K301" t="s">
        <v>67</v>
      </c>
      <c r="M301" s="1" t="s">
        <v>35</v>
      </c>
      <c r="N301" s="1">
        <v>42318949</v>
      </c>
      <c r="O301" s="1" t="s">
        <v>36</v>
      </c>
      <c r="P301" s="186">
        <v>44712.62332175926</v>
      </c>
      <c r="R301" s="1">
        <v>1</v>
      </c>
      <c r="T301" s="1" t="s">
        <v>69</v>
      </c>
      <c r="U301" s="186">
        <v>44713.62332175926</v>
      </c>
      <c r="V301" s="1" t="s">
        <v>41</v>
      </c>
      <c r="W301" s="1" t="s">
        <v>49</v>
      </c>
      <c r="X301" s="13"/>
      <c r="Y301" s="2">
        <f t="shared" ca="1" si="24"/>
        <v>197</v>
      </c>
      <c r="Z301" s="14">
        <v>1</v>
      </c>
      <c r="AA301" s="1" t="str">
        <f t="shared" ca="1" si="25"/>
        <v>VENCIDO</v>
      </c>
      <c r="AB301" s="1" t="str">
        <f t="shared" si="26"/>
        <v>TAAe+</v>
      </c>
      <c r="AC301" s="2" t="str">
        <f t="shared" si="29"/>
        <v xml:space="preserve"> CLEITON </v>
      </c>
      <c r="AD301" s="2">
        <f t="shared" si="27"/>
        <v>8</v>
      </c>
      <c r="AE301" s="2">
        <f t="shared" ca="1" si="28"/>
        <v>-273.05294988425885</v>
      </c>
      <c r="AF301" s="15"/>
    </row>
    <row r="302" spans="1:32">
      <c r="A302" s="1">
        <v>8646759</v>
      </c>
      <c r="B302" s="1" t="s">
        <v>101</v>
      </c>
      <c r="C302" t="s">
        <v>643</v>
      </c>
      <c r="D302" s="2">
        <v>220097008</v>
      </c>
      <c r="E302" s="2">
        <v>1362001400040</v>
      </c>
      <c r="F302" s="1" t="s">
        <v>644</v>
      </c>
      <c r="G302" s="1" t="s">
        <v>53</v>
      </c>
      <c r="H302" s="1" t="s">
        <v>268</v>
      </c>
      <c r="I302" s="1" t="s">
        <v>269</v>
      </c>
      <c r="J302" s="1" t="s">
        <v>90</v>
      </c>
      <c r="K302" t="s">
        <v>645</v>
      </c>
      <c r="M302" s="1" t="s">
        <v>58</v>
      </c>
      <c r="N302" s="1">
        <v>0</v>
      </c>
      <c r="O302" s="1" t="s">
        <v>105</v>
      </c>
      <c r="P302" s="186">
        <v>44713.458472222221</v>
      </c>
      <c r="R302" s="1">
        <v>3</v>
      </c>
      <c r="T302" s="1" t="s">
        <v>646</v>
      </c>
      <c r="U302" s="186">
        <v>44714.458472222221</v>
      </c>
      <c r="V302" s="1" t="s">
        <v>41</v>
      </c>
      <c r="W302" s="1" t="s">
        <v>49</v>
      </c>
      <c r="X302" s="13"/>
      <c r="Y302" s="2">
        <f t="shared" ca="1" si="24"/>
        <v>196</v>
      </c>
      <c r="Z302" s="14">
        <v>1</v>
      </c>
      <c r="AA302" s="1" t="str">
        <f t="shared" ca="1" si="25"/>
        <v>VENCIDO</v>
      </c>
      <c r="AB302" s="1" t="str">
        <f t="shared" si="26"/>
        <v>SL-On</v>
      </c>
      <c r="AC302" s="2" t="str">
        <f t="shared" si="29"/>
        <v xml:space="preserve"> RINALDO </v>
      </c>
      <c r="AD302" s="2">
        <f t="shared" si="27"/>
        <v>1</v>
      </c>
      <c r="AE302" s="2">
        <f t="shared" ca="1" si="28"/>
        <v>-272.21779942129797</v>
      </c>
      <c r="AF302" s="15"/>
    </row>
    <row r="303" spans="1:32" hidden="1">
      <c r="A303" s="1">
        <v>8645931</v>
      </c>
      <c r="B303" s="1" t="s">
        <v>101</v>
      </c>
      <c r="C303" t="s">
        <v>643</v>
      </c>
      <c r="D303" s="2">
        <v>220095864</v>
      </c>
      <c r="E303" s="2">
        <v>1120011400030</v>
      </c>
      <c r="F303" s="1" t="s">
        <v>647</v>
      </c>
      <c r="G303" s="1" t="s">
        <v>53</v>
      </c>
      <c r="H303" s="1" t="s">
        <v>648</v>
      </c>
      <c r="I303" s="1" t="s">
        <v>649</v>
      </c>
      <c r="J303" s="1" t="s">
        <v>164</v>
      </c>
      <c r="K303" t="s">
        <v>650</v>
      </c>
      <c r="M303" s="1" t="s">
        <v>58</v>
      </c>
      <c r="N303" s="1">
        <v>0</v>
      </c>
      <c r="O303" s="1" t="s">
        <v>105</v>
      </c>
      <c r="P303" s="186">
        <v>44713.426041666666</v>
      </c>
      <c r="R303" s="1">
        <v>4</v>
      </c>
      <c r="T303" s="1" t="s">
        <v>646</v>
      </c>
      <c r="U303" s="186">
        <v>44714.426053240742</v>
      </c>
      <c r="V303" s="1" t="s">
        <v>41</v>
      </c>
      <c r="W303" s="1" t="s">
        <v>49</v>
      </c>
      <c r="X303" s="13"/>
      <c r="Y303" s="2">
        <f t="shared" ca="1" si="24"/>
        <v>196</v>
      </c>
      <c r="Z303" s="14">
        <v>1</v>
      </c>
      <c r="AA303" s="1" t="str">
        <f t="shared" ca="1" si="25"/>
        <v>VENCIDO</v>
      </c>
      <c r="AB303" s="1" t="str">
        <f t="shared" si="26"/>
        <v>C-14</v>
      </c>
      <c r="AC303" s="2" t="str">
        <f t="shared" si="29"/>
        <v xml:space="preserve"> ROSEMERE </v>
      </c>
      <c r="AD303" s="2">
        <f t="shared" si="27"/>
        <v>15</v>
      </c>
      <c r="AE303" s="2">
        <f t="shared" ca="1" si="28"/>
        <v>-272.25021840277623</v>
      </c>
      <c r="AF303" s="15"/>
    </row>
    <row r="304" spans="1:32" hidden="1">
      <c r="A304" s="1">
        <v>8645897</v>
      </c>
      <c r="B304" s="1" t="s">
        <v>653</v>
      </c>
      <c r="C304" t="s">
        <v>654</v>
      </c>
      <c r="E304" s="2">
        <v>325001400040</v>
      </c>
      <c r="F304" s="1" t="s">
        <v>644</v>
      </c>
      <c r="G304" s="1" t="s">
        <v>53</v>
      </c>
      <c r="H304" s="1" t="s">
        <v>345</v>
      </c>
      <c r="I304" s="1" t="s">
        <v>346</v>
      </c>
      <c r="J304" s="1" t="s">
        <v>46</v>
      </c>
      <c r="K304" t="s">
        <v>645</v>
      </c>
      <c r="M304" s="1" t="s">
        <v>58</v>
      </c>
      <c r="N304" s="1">
        <v>0</v>
      </c>
      <c r="O304" s="1" t="s">
        <v>105</v>
      </c>
      <c r="P304" s="186">
        <v>44713.425162037034</v>
      </c>
      <c r="R304" s="1">
        <v>3</v>
      </c>
      <c r="T304" s="1" t="s">
        <v>646</v>
      </c>
      <c r="U304" s="186">
        <v>44714.425162037034</v>
      </c>
      <c r="V304" s="1" t="s">
        <v>41</v>
      </c>
      <c r="W304" s="1" t="s">
        <v>49</v>
      </c>
      <c r="X304" s="13"/>
      <c r="Y304" s="2">
        <f t="shared" ca="1" si="24"/>
        <v>196</v>
      </c>
      <c r="Z304" s="14">
        <v>1</v>
      </c>
      <c r="AA304" s="1" t="str">
        <f t="shared" ca="1" si="25"/>
        <v>VENCIDO</v>
      </c>
      <c r="AB304" s="1" t="str">
        <f t="shared" si="26"/>
        <v>SL-On</v>
      </c>
      <c r="AC304" s="2" t="str">
        <f t="shared" si="29"/>
        <v xml:space="preserve"> CLEITON </v>
      </c>
      <c r="AD304" s="2">
        <f t="shared" si="27"/>
        <v>1</v>
      </c>
      <c r="AE304" s="2">
        <f t="shared" ca="1" si="28"/>
        <v>-272.25110960648453</v>
      </c>
      <c r="AF304" s="15"/>
    </row>
    <row r="305" spans="1:32" hidden="1">
      <c r="A305" s="1">
        <v>8645870</v>
      </c>
      <c r="B305" s="1" t="s">
        <v>653</v>
      </c>
      <c r="C305" t="s">
        <v>654</v>
      </c>
      <c r="E305" s="2">
        <v>8573001400040</v>
      </c>
      <c r="F305" s="1" t="s">
        <v>644</v>
      </c>
      <c r="G305" s="1" t="s">
        <v>53</v>
      </c>
      <c r="H305" s="1" t="s">
        <v>657</v>
      </c>
      <c r="I305" s="1" t="s">
        <v>658</v>
      </c>
      <c r="J305" s="1" t="s">
        <v>33</v>
      </c>
      <c r="K305" t="s">
        <v>645</v>
      </c>
      <c r="M305" s="1" t="s">
        <v>58</v>
      </c>
      <c r="N305" s="1">
        <v>0</v>
      </c>
      <c r="O305" s="1" t="s">
        <v>105</v>
      </c>
      <c r="P305" s="186">
        <v>44713.425081018519</v>
      </c>
      <c r="R305" s="1">
        <v>3</v>
      </c>
      <c r="T305" s="1" t="s">
        <v>646</v>
      </c>
      <c r="U305" s="186">
        <v>44714.425081018519</v>
      </c>
      <c r="V305" s="1" t="s">
        <v>41</v>
      </c>
      <c r="W305" s="1" t="s">
        <v>49</v>
      </c>
      <c r="X305" s="13"/>
      <c r="Y305" s="2">
        <f t="shared" ca="1" si="24"/>
        <v>196</v>
      </c>
      <c r="Z305" s="14">
        <v>1</v>
      </c>
      <c r="AA305" s="1" t="str">
        <f t="shared" ca="1" si="25"/>
        <v>VENCIDO</v>
      </c>
      <c r="AB305" s="1" t="str">
        <f t="shared" si="26"/>
        <v>SL-On</v>
      </c>
      <c r="AC305" s="2" t="str">
        <f t="shared" si="29"/>
        <v xml:space="preserve"> ROSEMERE </v>
      </c>
      <c r="AD305" s="2">
        <f t="shared" si="27"/>
        <v>1</v>
      </c>
      <c r="AE305" s="2">
        <f t="shared" ca="1" si="28"/>
        <v>-272.25119062500016</v>
      </c>
      <c r="AF305" s="15"/>
    </row>
    <row r="306" spans="1:32" hidden="1">
      <c r="A306" s="1">
        <v>8645811</v>
      </c>
      <c r="B306" s="1" t="s">
        <v>653</v>
      </c>
      <c r="C306" t="s">
        <v>654</v>
      </c>
      <c r="E306" s="2">
        <v>8973001400040</v>
      </c>
      <c r="F306" s="1" t="s">
        <v>644</v>
      </c>
      <c r="G306" s="1" t="s">
        <v>53</v>
      </c>
      <c r="H306" s="1" t="s">
        <v>661</v>
      </c>
      <c r="I306" s="1" t="s">
        <v>662</v>
      </c>
      <c r="J306" s="1" t="s">
        <v>46</v>
      </c>
      <c r="K306" t="s">
        <v>645</v>
      </c>
      <c r="M306" s="1" t="s">
        <v>58</v>
      </c>
      <c r="N306" s="1">
        <v>0</v>
      </c>
      <c r="O306" s="1" t="s">
        <v>105</v>
      </c>
      <c r="P306" s="186">
        <v>44713.425011574072</v>
      </c>
      <c r="R306" s="1">
        <v>3</v>
      </c>
      <c r="T306" s="1" t="s">
        <v>646</v>
      </c>
      <c r="U306" s="186">
        <v>44714.425011574072</v>
      </c>
      <c r="V306" s="1" t="s">
        <v>41</v>
      </c>
      <c r="W306" s="1" t="s">
        <v>49</v>
      </c>
      <c r="X306" s="13"/>
      <c r="Y306" s="2">
        <f t="shared" ca="1" si="24"/>
        <v>196</v>
      </c>
      <c r="Z306" s="14">
        <v>1</v>
      </c>
      <c r="AA306" s="1" t="str">
        <f t="shared" ca="1" si="25"/>
        <v>VENCIDO</v>
      </c>
      <c r="AB306" s="1" t="str">
        <f t="shared" si="26"/>
        <v>SL-On</v>
      </c>
      <c r="AC306" s="2" t="str">
        <f t="shared" si="29"/>
        <v xml:space="preserve"> CLEITON </v>
      </c>
      <c r="AD306" s="2">
        <f t="shared" si="27"/>
        <v>1</v>
      </c>
      <c r="AE306" s="2">
        <f t="shared" ca="1" si="28"/>
        <v>-272.25126006944629</v>
      </c>
      <c r="AF306" s="15"/>
    </row>
    <row r="307" spans="1:32" hidden="1">
      <c r="A307" s="1">
        <v>8645204</v>
      </c>
      <c r="B307" s="1" t="s">
        <v>653</v>
      </c>
      <c r="C307" t="s">
        <v>654</v>
      </c>
      <c r="E307" s="2">
        <v>5898001400040</v>
      </c>
      <c r="F307" s="1" t="s">
        <v>644</v>
      </c>
      <c r="G307" s="1" t="s">
        <v>53</v>
      </c>
      <c r="H307" s="1" t="s">
        <v>365</v>
      </c>
      <c r="I307" s="1" t="s">
        <v>366</v>
      </c>
      <c r="J307" s="1" t="s">
        <v>164</v>
      </c>
      <c r="K307" t="s">
        <v>645</v>
      </c>
      <c r="M307" s="1" t="s">
        <v>58</v>
      </c>
      <c r="N307" s="1">
        <v>0</v>
      </c>
      <c r="O307" s="1" t="s">
        <v>105</v>
      </c>
      <c r="P307" s="186">
        <v>44713.423518518517</v>
      </c>
      <c r="R307" s="1">
        <v>2</v>
      </c>
      <c r="T307" s="1" t="s">
        <v>646</v>
      </c>
      <c r="U307" s="186">
        <v>44714.423518518517</v>
      </c>
      <c r="V307" s="1" t="s">
        <v>41</v>
      </c>
      <c r="W307" s="1" t="s">
        <v>49</v>
      </c>
      <c r="X307" s="13"/>
      <c r="Y307" s="2">
        <f t="shared" ca="1" si="24"/>
        <v>196</v>
      </c>
      <c r="Z307" s="14">
        <v>1</v>
      </c>
      <c r="AA307" s="1" t="str">
        <f t="shared" ca="1" si="25"/>
        <v>VENCIDO</v>
      </c>
      <c r="AB307" s="1" t="str">
        <f t="shared" si="26"/>
        <v>SL-On</v>
      </c>
      <c r="AC307" s="2" t="str">
        <f t="shared" si="29"/>
        <v xml:space="preserve"> ROSEMERE </v>
      </c>
      <c r="AD307" s="2">
        <f t="shared" si="27"/>
        <v>1</v>
      </c>
      <c r="AE307" s="2">
        <f t="shared" ca="1" si="28"/>
        <v>-272.25275312500162</v>
      </c>
      <c r="AF307" s="15"/>
    </row>
    <row r="308" spans="1:32" hidden="1">
      <c r="A308" s="1">
        <v>8645133</v>
      </c>
      <c r="B308" s="1" t="s">
        <v>653</v>
      </c>
      <c r="C308" t="s">
        <v>654</v>
      </c>
      <c r="E308" s="2">
        <v>5742001400040</v>
      </c>
      <c r="F308" s="1" t="s">
        <v>644</v>
      </c>
      <c r="G308" s="1" t="s">
        <v>53</v>
      </c>
      <c r="H308" s="1" t="s">
        <v>430</v>
      </c>
      <c r="I308" s="1" t="s">
        <v>431</v>
      </c>
      <c r="J308" s="1" t="s">
        <v>79</v>
      </c>
      <c r="K308" t="s">
        <v>645</v>
      </c>
      <c r="M308" s="1" t="s">
        <v>58</v>
      </c>
      <c r="N308" s="1">
        <v>0</v>
      </c>
      <c r="O308" s="1" t="s">
        <v>105</v>
      </c>
      <c r="P308" s="186">
        <v>44713.423067129632</v>
      </c>
      <c r="R308" s="1">
        <v>2</v>
      </c>
      <c r="T308" s="1" t="s">
        <v>646</v>
      </c>
      <c r="U308" s="186">
        <v>44714.423067129632</v>
      </c>
      <c r="V308" s="1" t="s">
        <v>41</v>
      </c>
      <c r="W308" s="1" t="s">
        <v>49</v>
      </c>
      <c r="X308" s="13"/>
      <c r="Y308" s="2">
        <f t="shared" ca="1" si="24"/>
        <v>196</v>
      </c>
      <c r="Z308" s="14">
        <v>1</v>
      </c>
      <c r="AA308" s="1" t="str">
        <f t="shared" ca="1" si="25"/>
        <v>VENCIDO</v>
      </c>
      <c r="AB308" s="1" t="str">
        <f t="shared" si="26"/>
        <v>SL-On</v>
      </c>
      <c r="AC308" s="2" t="str">
        <f t="shared" si="29"/>
        <v xml:space="preserve"> ROSEMERE </v>
      </c>
      <c r="AD308" s="2">
        <f t="shared" si="27"/>
        <v>1</v>
      </c>
      <c r="AE308" s="2">
        <f t="shared" ca="1" si="28"/>
        <v>-272.25320451388689</v>
      </c>
      <c r="AF308" s="15"/>
    </row>
    <row r="309" spans="1:32" hidden="1">
      <c r="A309" s="1">
        <v>8644779</v>
      </c>
      <c r="B309" s="1" t="s">
        <v>653</v>
      </c>
      <c r="C309" t="s">
        <v>654</v>
      </c>
      <c r="E309" s="2">
        <v>4623001400040</v>
      </c>
      <c r="F309" s="1" t="s">
        <v>644</v>
      </c>
      <c r="G309" s="1" t="s">
        <v>53</v>
      </c>
      <c r="H309" s="1" t="s">
        <v>669</v>
      </c>
      <c r="I309" s="1" t="s">
        <v>670</v>
      </c>
      <c r="J309" s="1" t="s">
        <v>33</v>
      </c>
      <c r="K309" t="s">
        <v>645</v>
      </c>
      <c r="M309" s="1" t="s">
        <v>58</v>
      </c>
      <c r="N309" s="1">
        <v>0</v>
      </c>
      <c r="O309" s="1" t="s">
        <v>105</v>
      </c>
      <c r="P309" s="186">
        <v>44713.421817129631</v>
      </c>
      <c r="R309" s="1">
        <v>2</v>
      </c>
      <c r="T309" s="1" t="s">
        <v>646</v>
      </c>
      <c r="U309" s="186">
        <v>44714.421817129631</v>
      </c>
      <c r="V309" s="1" t="s">
        <v>41</v>
      </c>
      <c r="W309" s="1" t="s">
        <v>42</v>
      </c>
      <c r="X309" s="13"/>
      <c r="Y309" s="2">
        <f t="shared" ca="1" si="24"/>
        <v>196</v>
      </c>
      <c r="Z309" s="14">
        <v>1</v>
      </c>
      <c r="AA309" s="1" t="str">
        <f t="shared" ca="1" si="25"/>
        <v>VENCIDO</v>
      </c>
      <c r="AB309" s="1" t="str">
        <f t="shared" si="26"/>
        <v>SL-On</v>
      </c>
      <c r="AC309" s="2" t="str">
        <f t="shared" si="29"/>
        <v xml:space="preserve"> ROSEMERE </v>
      </c>
      <c r="AD309" s="2">
        <f t="shared" si="27"/>
        <v>1</v>
      </c>
      <c r="AE309" s="2">
        <f t="shared" ca="1" si="28"/>
        <v>-272.25445451388805</v>
      </c>
      <c r="AF309" s="15"/>
    </row>
    <row r="310" spans="1:32" hidden="1">
      <c r="A310" s="1">
        <v>8644587</v>
      </c>
      <c r="B310" s="1" t="s">
        <v>653</v>
      </c>
      <c r="C310" t="s">
        <v>654</v>
      </c>
      <c r="E310" s="2">
        <v>4357001400040</v>
      </c>
      <c r="F310" s="1" t="s">
        <v>644</v>
      </c>
      <c r="G310" s="1" t="s">
        <v>53</v>
      </c>
      <c r="H310" s="1" t="s">
        <v>633</v>
      </c>
      <c r="I310" s="1" t="s">
        <v>634</v>
      </c>
      <c r="J310" s="1" t="s">
        <v>46</v>
      </c>
      <c r="K310" t="s">
        <v>645</v>
      </c>
      <c r="M310" s="1" t="s">
        <v>58</v>
      </c>
      <c r="N310" s="1">
        <v>0</v>
      </c>
      <c r="O310" s="1" t="s">
        <v>105</v>
      </c>
      <c r="P310" s="186">
        <v>44713.421180555553</v>
      </c>
      <c r="R310" s="1">
        <v>2</v>
      </c>
      <c r="T310" s="1" t="s">
        <v>646</v>
      </c>
      <c r="U310" s="186">
        <v>44714.421180555553</v>
      </c>
      <c r="V310" s="1" t="s">
        <v>41</v>
      </c>
      <c r="W310" s="1" t="s">
        <v>49</v>
      </c>
      <c r="X310" s="13"/>
      <c r="Y310" s="2">
        <f t="shared" ca="1" si="24"/>
        <v>196</v>
      </c>
      <c r="Z310" s="14">
        <v>1</v>
      </c>
      <c r="AA310" s="1" t="str">
        <f t="shared" ca="1" si="25"/>
        <v>VENCIDO</v>
      </c>
      <c r="AB310" s="1" t="str">
        <f t="shared" si="26"/>
        <v>SL-On</v>
      </c>
      <c r="AC310" s="2" t="str">
        <f t="shared" si="29"/>
        <v xml:space="preserve"> CLEITON </v>
      </c>
      <c r="AD310" s="2">
        <f t="shared" si="27"/>
        <v>1</v>
      </c>
      <c r="AE310" s="2">
        <f t="shared" ca="1" si="28"/>
        <v>-272.25509108796541</v>
      </c>
      <c r="AF310" s="15"/>
    </row>
    <row r="311" spans="1:32" hidden="1">
      <c r="A311" s="1">
        <v>8644506</v>
      </c>
      <c r="B311" s="1" t="s">
        <v>653</v>
      </c>
      <c r="C311" t="s">
        <v>654</v>
      </c>
      <c r="E311" s="2">
        <v>4235001400040</v>
      </c>
      <c r="F311" s="1" t="s">
        <v>644</v>
      </c>
      <c r="G311" s="1" t="s">
        <v>53</v>
      </c>
      <c r="H311" s="1" t="s">
        <v>291</v>
      </c>
      <c r="I311" s="1" t="s">
        <v>292</v>
      </c>
      <c r="J311" s="1" t="s">
        <v>46</v>
      </c>
      <c r="K311" t="s">
        <v>645</v>
      </c>
      <c r="M311" s="1" t="s">
        <v>58</v>
      </c>
      <c r="N311" s="1">
        <v>0</v>
      </c>
      <c r="O311" s="1" t="s">
        <v>105</v>
      </c>
      <c r="P311" s="186">
        <v>44713.420949074076</v>
      </c>
      <c r="R311" s="1">
        <v>2</v>
      </c>
      <c r="T311" s="1" t="s">
        <v>646</v>
      </c>
      <c r="U311" s="186">
        <v>44714.420949074076</v>
      </c>
      <c r="V311" s="1" t="s">
        <v>41</v>
      </c>
      <c r="W311" s="1" t="s">
        <v>49</v>
      </c>
      <c r="X311" s="13"/>
      <c r="Y311" s="2">
        <f t="shared" ca="1" si="24"/>
        <v>196</v>
      </c>
      <c r="Z311" s="14">
        <v>1</v>
      </c>
      <c r="AA311" s="1" t="str">
        <f t="shared" ca="1" si="25"/>
        <v>VENCIDO</v>
      </c>
      <c r="AB311" s="1" t="str">
        <f t="shared" si="26"/>
        <v>SL-On</v>
      </c>
      <c r="AC311" s="2" t="str">
        <f t="shared" si="29"/>
        <v xml:space="preserve"> CLEITON </v>
      </c>
      <c r="AD311" s="2">
        <f t="shared" si="27"/>
        <v>1</v>
      </c>
      <c r="AE311" s="2">
        <f t="shared" ca="1" si="28"/>
        <v>-272.2553225694428</v>
      </c>
      <c r="AF311" s="15"/>
    </row>
    <row r="312" spans="1:32" hidden="1">
      <c r="A312" s="1">
        <v>8644094</v>
      </c>
      <c r="B312" s="1" t="s">
        <v>653</v>
      </c>
      <c r="C312" t="s">
        <v>654</v>
      </c>
      <c r="E312" s="2">
        <v>3699001400040</v>
      </c>
      <c r="F312" s="1" t="s">
        <v>644</v>
      </c>
      <c r="G312" s="1" t="s">
        <v>53</v>
      </c>
      <c r="H312" s="1" t="s">
        <v>343</v>
      </c>
      <c r="I312" s="1" t="s">
        <v>344</v>
      </c>
      <c r="J312" s="1" t="s">
        <v>46</v>
      </c>
      <c r="K312" t="s">
        <v>645</v>
      </c>
      <c r="M312" s="1" t="s">
        <v>58</v>
      </c>
      <c r="N312" s="1">
        <v>0</v>
      </c>
      <c r="O312" s="1" t="s">
        <v>105</v>
      </c>
      <c r="P312" s="186">
        <v>44713.419710648152</v>
      </c>
      <c r="R312" s="1">
        <v>2</v>
      </c>
      <c r="T312" s="1" t="s">
        <v>646</v>
      </c>
      <c r="U312" s="186">
        <v>44714.419710648152</v>
      </c>
      <c r="V312" s="1" t="s">
        <v>41</v>
      </c>
      <c r="W312" s="1" t="s">
        <v>49</v>
      </c>
      <c r="X312" s="13"/>
      <c r="Y312" s="2">
        <f t="shared" ca="1" si="24"/>
        <v>196</v>
      </c>
      <c r="Z312" s="14">
        <v>1</v>
      </c>
      <c r="AA312" s="1" t="str">
        <f t="shared" ca="1" si="25"/>
        <v>VENCIDO</v>
      </c>
      <c r="AB312" s="1" t="str">
        <f t="shared" si="26"/>
        <v>SL-On</v>
      </c>
      <c r="AC312" s="2" t="str">
        <f t="shared" si="29"/>
        <v xml:space="preserve"> CLEITON </v>
      </c>
      <c r="AD312" s="2">
        <f t="shared" si="27"/>
        <v>1</v>
      </c>
      <c r="AE312" s="2">
        <f t="shared" ca="1" si="28"/>
        <v>-272.25656099536718</v>
      </c>
      <c r="AF312" s="15"/>
    </row>
    <row r="313" spans="1:32" hidden="1">
      <c r="A313" s="1">
        <v>8644017</v>
      </c>
      <c r="B313" s="1" t="s">
        <v>653</v>
      </c>
      <c r="C313" t="s">
        <v>654</v>
      </c>
      <c r="E313" s="2">
        <v>3613001400040</v>
      </c>
      <c r="F313" s="1" t="s">
        <v>644</v>
      </c>
      <c r="G313" s="1" t="s">
        <v>53</v>
      </c>
      <c r="H313" s="1" t="s">
        <v>679</v>
      </c>
      <c r="I313" s="1" t="s">
        <v>680</v>
      </c>
      <c r="J313" s="1" t="s">
        <v>46</v>
      </c>
      <c r="K313" t="s">
        <v>645</v>
      </c>
      <c r="M313" s="1" t="s">
        <v>58</v>
      </c>
      <c r="N313" s="1">
        <v>0</v>
      </c>
      <c r="O313" s="1" t="s">
        <v>105</v>
      </c>
      <c r="P313" s="186">
        <v>44713.419398148151</v>
      </c>
      <c r="R313" s="1">
        <v>3</v>
      </c>
      <c r="T313" s="1" t="s">
        <v>646</v>
      </c>
      <c r="U313" s="186">
        <v>44714.419398148151</v>
      </c>
      <c r="V313" s="1" t="s">
        <v>41</v>
      </c>
      <c r="W313" s="1" t="s">
        <v>49</v>
      </c>
      <c r="X313" s="13"/>
      <c r="Y313" s="2">
        <f t="shared" ca="1" si="24"/>
        <v>196</v>
      </c>
      <c r="Z313" s="14">
        <v>1</v>
      </c>
      <c r="AA313" s="1" t="str">
        <f t="shared" ca="1" si="25"/>
        <v>VENCIDO</v>
      </c>
      <c r="AB313" s="1" t="str">
        <f t="shared" si="26"/>
        <v>SL-On</v>
      </c>
      <c r="AC313" s="2" t="str">
        <f t="shared" si="29"/>
        <v xml:space="preserve"> CLEITON </v>
      </c>
      <c r="AD313" s="2">
        <f t="shared" si="27"/>
        <v>1</v>
      </c>
      <c r="AE313" s="2">
        <f t="shared" ca="1" si="28"/>
        <v>-272.25687349536747</v>
      </c>
      <c r="AF313" s="15"/>
    </row>
    <row r="314" spans="1:32" hidden="1">
      <c r="A314" s="1">
        <v>8644016</v>
      </c>
      <c r="B314" s="1" t="s">
        <v>653</v>
      </c>
      <c r="C314" t="s">
        <v>654</v>
      </c>
      <c r="E314" s="2">
        <v>3612001400040</v>
      </c>
      <c r="F314" s="1" t="s">
        <v>644</v>
      </c>
      <c r="G314" s="1" t="s">
        <v>53</v>
      </c>
      <c r="H314" s="1" t="s">
        <v>683</v>
      </c>
      <c r="I314" s="1" t="s">
        <v>684</v>
      </c>
      <c r="J314" s="1" t="s">
        <v>46</v>
      </c>
      <c r="K314" t="s">
        <v>645</v>
      </c>
      <c r="M314" s="1" t="s">
        <v>58</v>
      </c>
      <c r="N314" s="1">
        <v>0</v>
      </c>
      <c r="O314" s="1" t="s">
        <v>105</v>
      </c>
      <c r="P314" s="186">
        <v>44713.419398148151</v>
      </c>
      <c r="R314" s="1">
        <v>3</v>
      </c>
      <c r="T314" s="1" t="s">
        <v>646</v>
      </c>
      <c r="U314" s="186">
        <v>44714.419398148151</v>
      </c>
      <c r="V314" s="1" t="s">
        <v>41</v>
      </c>
      <c r="W314" s="1" t="s">
        <v>49</v>
      </c>
      <c r="X314" s="13"/>
      <c r="Y314" s="2">
        <f t="shared" ca="1" si="24"/>
        <v>196</v>
      </c>
      <c r="Z314" s="14">
        <v>1</v>
      </c>
      <c r="AA314" s="1" t="str">
        <f t="shared" ca="1" si="25"/>
        <v>VENCIDO</v>
      </c>
      <c r="AB314" s="1" t="str">
        <f t="shared" si="26"/>
        <v>SL-On</v>
      </c>
      <c r="AC314" s="2" t="str">
        <f t="shared" si="29"/>
        <v xml:space="preserve"> CLEITON </v>
      </c>
      <c r="AD314" s="2">
        <f t="shared" si="27"/>
        <v>1</v>
      </c>
      <c r="AE314" s="2">
        <f t="shared" ca="1" si="28"/>
        <v>-272.25687349536747</v>
      </c>
      <c r="AF314" s="15"/>
    </row>
    <row r="315" spans="1:32" hidden="1">
      <c r="A315" s="1">
        <v>8643946</v>
      </c>
      <c r="B315" s="1" t="s">
        <v>653</v>
      </c>
      <c r="C315" t="s">
        <v>654</v>
      </c>
      <c r="E315" s="2">
        <v>3504001400040</v>
      </c>
      <c r="F315" s="1" t="s">
        <v>644</v>
      </c>
      <c r="G315" s="1" t="s">
        <v>53</v>
      </c>
      <c r="H315" s="1" t="s">
        <v>585</v>
      </c>
      <c r="I315" s="1" t="s">
        <v>586</v>
      </c>
      <c r="J315" s="1" t="s">
        <v>46</v>
      </c>
      <c r="K315" t="s">
        <v>645</v>
      </c>
      <c r="M315" s="1" t="s">
        <v>58</v>
      </c>
      <c r="N315" s="1">
        <v>0</v>
      </c>
      <c r="O315" s="1" t="s">
        <v>105</v>
      </c>
      <c r="P315" s="186">
        <v>44713.419270833336</v>
      </c>
      <c r="R315" s="1">
        <v>3</v>
      </c>
      <c r="T315" s="1" t="s">
        <v>646</v>
      </c>
      <c r="U315" s="186">
        <v>44714.419270833336</v>
      </c>
      <c r="V315" s="1" t="s">
        <v>41</v>
      </c>
      <c r="W315" s="1" t="s">
        <v>49</v>
      </c>
      <c r="X315" s="13"/>
      <c r="Y315" s="2">
        <f t="shared" ca="1" si="24"/>
        <v>196</v>
      </c>
      <c r="Z315" s="14">
        <v>1</v>
      </c>
      <c r="AA315" s="1" t="str">
        <f t="shared" ca="1" si="25"/>
        <v>VENCIDO</v>
      </c>
      <c r="AB315" s="1" t="str">
        <f t="shared" si="26"/>
        <v>SL-On</v>
      </c>
      <c r="AC315" s="2" t="str">
        <f t="shared" si="29"/>
        <v xml:space="preserve"> CLEITON </v>
      </c>
      <c r="AD315" s="2">
        <f t="shared" si="27"/>
        <v>1</v>
      </c>
      <c r="AE315" s="2">
        <f t="shared" ca="1" si="28"/>
        <v>-272.25700081018294</v>
      </c>
      <c r="AF315" s="15"/>
    </row>
    <row r="316" spans="1:32" hidden="1">
      <c r="A316" s="1">
        <v>8643945</v>
      </c>
      <c r="B316" s="1" t="s">
        <v>653</v>
      </c>
      <c r="C316" t="s">
        <v>654</v>
      </c>
      <c r="E316" s="2">
        <v>3503001400040</v>
      </c>
      <c r="F316" s="1" t="s">
        <v>644</v>
      </c>
      <c r="G316" s="1" t="s">
        <v>53</v>
      </c>
      <c r="H316" s="1" t="s">
        <v>398</v>
      </c>
      <c r="I316" s="1" t="s">
        <v>399</v>
      </c>
      <c r="J316" s="1" t="s">
        <v>46</v>
      </c>
      <c r="K316" t="s">
        <v>645</v>
      </c>
      <c r="M316" s="1" t="s">
        <v>58</v>
      </c>
      <c r="N316" s="1">
        <v>0</v>
      </c>
      <c r="O316" s="1" t="s">
        <v>105</v>
      </c>
      <c r="P316" s="186">
        <v>44713.419270833336</v>
      </c>
      <c r="R316" s="1">
        <v>2</v>
      </c>
      <c r="T316" s="1" t="s">
        <v>646</v>
      </c>
      <c r="U316" s="186">
        <v>44714.419270833336</v>
      </c>
      <c r="V316" s="1" t="s">
        <v>41</v>
      </c>
      <c r="W316" s="1" t="s">
        <v>49</v>
      </c>
      <c r="X316" s="13"/>
      <c r="Y316" s="2">
        <f t="shared" ca="1" si="24"/>
        <v>196</v>
      </c>
      <c r="Z316" s="14">
        <v>1</v>
      </c>
      <c r="AA316" s="1" t="str">
        <f t="shared" ca="1" si="25"/>
        <v>VENCIDO</v>
      </c>
      <c r="AB316" s="1" t="str">
        <f t="shared" si="26"/>
        <v>SL-On</v>
      </c>
      <c r="AC316" s="2" t="str">
        <f t="shared" si="29"/>
        <v xml:space="preserve"> CLEITON </v>
      </c>
      <c r="AD316" s="2">
        <f t="shared" si="27"/>
        <v>1</v>
      </c>
      <c r="AE316" s="2">
        <f t="shared" ca="1" si="28"/>
        <v>-272.25700081018294</v>
      </c>
      <c r="AF316" s="15"/>
    </row>
    <row r="317" spans="1:32" hidden="1">
      <c r="A317" s="1">
        <v>8643755</v>
      </c>
      <c r="B317" s="1" t="s">
        <v>653</v>
      </c>
      <c r="C317" t="s">
        <v>654</v>
      </c>
      <c r="E317" s="2">
        <v>3258001400040</v>
      </c>
      <c r="F317" s="1" t="s">
        <v>644</v>
      </c>
      <c r="G317" s="1" t="s">
        <v>53</v>
      </c>
      <c r="H317" s="1" t="s">
        <v>321</v>
      </c>
      <c r="I317" s="1" t="s">
        <v>322</v>
      </c>
      <c r="J317" s="1" t="s">
        <v>46</v>
      </c>
      <c r="K317" t="s">
        <v>645</v>
      </c>
      <c r="M317" s="1" t="s">
        <v>58</v>
      </c>
      <c r="N317" s="1">
        <v>0</v>
      </c>
      <c r="O317" s="1" t="s">
        <v>105</v>
      </c>
      <c r="P317" s="186">
        <v>44713.418391203704</v>
      </c>
      <c r="R317" s="1">
        <v>2</v>
      </c>
      <c r="T317" s="1" t="s">
        <v>646</v>
      </c>
      <c r="U317" s="186">
        <v>44714.418391203704</v>
      </c>
      <c r="V317" s="1" t="s">
        <v>41</v>
      </c>
      <c r="W317" s="1" t="s">
        <v>49</v>
      </c>
      <c r="X317" s="13"/>
      <c r="Y317" s="2">
        <f t="shared" ca="1" si="24"/>
        <v>196</v>
      </c>
      <c r="Z317" s="14">
        <v>1</v>
      </c>
      <c r="AA317" s="1" t="str">
        <f t="shared" ca="1" si="25"/>
        <v>VENCIDO</v>
      </c>
      <c r="AB317" s="1" t="str">
        <f t="shared" si="26"/>
        <v>SL-On</v>
      </c>
      <c r="AC317" s="2" t="str">
        <f t="shared" si="29"/>
        <v xml:space="preserve"> CLEITON </v>
      </c>
      <c r="AD317" s="2">
        <f t="shared" si="27"/>
        <v>1</v>
      </c>
      <c r="AE317" s="2">
        <f t="shared" ca="1" si="28"/>
        <v>-272.25788043981447</v>
      </c>
      <c r="AF317" s="15"/>
    </row>
    <row r="318" spans="1:32" hidden="1">
      <c r="A318" s="1">
        <v>8643740</v>
      </c>
      <c r="B318" s="1" t="s">
        <v>653</v>
      </c>
      <c r="C318" t="s">
        <v>654</v>
      </c>
      <c r="E318" s="2">
        <v>3243001400040</v>
      </c>
      <c r="F318" s="1" t="s">
        <v>644</v>
      </c>
      <c r="G318" s="1" t="s">
        <v>53</v>
      </c>
      <c r="H318" s="1" t="s">
        <v>282</v>
      </c>
      <c r="I318" s="1" t="s">
        <v>283</v>
      </c>
      <c r="J318" s="1" t="s">
        <v>46</v>
      </c>
      <c r="K318" t="s">
        <v>645</v>
      </c>
      <c r="M318" s="1" t="s">
        <v>58</v>
      </c>
      <c r="N318" s="1">
        <v>0</v>
      </c>
      <c r="O318" s="1" t="s">
        <v>105</v>
      </c>
      <c r="P318" s="186">
        <v>44713.418356481481</v>
      </c>
      <c r="R318" s="1">
        <v>3</v>
      </c>
      <c r="T318" s="1" t="s">
        <v>646</v>
      </c>
      <c r="U318" s="186">
        <v>44714.418356481481</v>
      </c>
      <c r="V318" s="1" t="s">
        <v>41</v>
      </c>
      <c r="W318" s="1" t="s">
        <v>49</v>
      </c>
      <c r="X318" s="13"/>
      <c r="Y318" s="2">
        <f t="shared" ca="1" si="24"/>
        <v>196</v>
      </c>
      <c r="Z318" s="14">
        <v>1</v>
      </c>
      <c r="AA318" s="1" t="str">
        <f t="shared" ca="1" si="25"/>
        <v>VENCIDO</v>
      </c>
      <c r="AB318" s="1" t="str">
        <f t="shared" si="26"/>
        <v>SL-On</v>
      </c>
      <c r="AC318" s="2" t="str">
        <f t="shared" si="29"/>
        <v xml:space="preserve"> CLEITON </v>
      </c>
      <c r="AD318" s="2">
        <f t="shared" si="27"/>
        <v>1</v>
      </c>
      <c r="AE318" s="2">
        <f t="shared" ca="1" si="28"/>
        <v>-272.25791516203753</v>
      </c>
      <c r="AF318" s="15"/>
    </row>
    <row r="319" spans="1:32" hidden="1">
      <c r="A319" s="1">
        <v>8643737</v>
      </c>
      <c r="B319" s="1" t="s">
        <v>653</v>
      </c>
      <c r="C319" t="s">
        <v>654</v>
      </c>
      <c r="E319" s="2">
        <v>3237001400040</v>
      </c>
      <c r="F319" s="1" t="s">
        <v>644</v>
      </c>
      <c r="G319" s="1" t="s">
        <v>53</v>
      </c>
      <c r="H319" s="1" t="s">
        <v>287</v>
      </c>
      <c r="I319" s="1" t="s">
        <v>288</v>
      </c>
      <c r="J319" s="1" t="s">
        <v>46</v>
      </c>
      <c r="K319" t="s">
        <v>645</v>
      </c>
      <c r="M319" s="1" t="s">
        <v>58</v>
      </c>
      <c r="N319" s="1">
        <v>0</v>
      </c>
      <c r="O319" s="1" t="s">
        <v>105</v>
      </c>
      <c r="P319" s="186">
        <v>44713.418356481481</v>
      </c>
      <c r="R319" s="1">
        <v>2</v>
      </c>
      <c r="T319" s="1" t="s">
        <v>646</v>
      </c>
      <c r="U319" s="186">
        <v>44714.418356481481</v>
      </c>
      <c r="V319" s="1" t="s">
        <v>41</v>
      </c>
      <c r="W319" s="1" t="s">
        <v>49</v>
      </c>
      <c r="X319" s="13"/>
      <c r="Y319" s="2">
        <f t="shared" ca="1" si="24"/>
        <v>196</v>
      </c>
      <c r="Z319" s="14">
        <v>1</v>
      </c>
      <c r="AA319" s="1" t="str">
        <f t="shared" ca="1" si="25"/>
        <v>VENCIDO</v>
      </c>
      <c r="AB319" s="1" t="str">
        <f t="shared" si="26"/>
        <v>SL-On</v>
      </c>
      <c r="AC319" s="2" t="str">
        <f t="shared" si="29"/>
        <v xml:space="preserve"> CLEITON </v>
      </c>
      <c r="AD319" s="2">
        <f t="shared" si="27"/>
        <v>1</v>
      </c>
      <c r="AE319" s="2">
        <f t="shared" ca="1" si="28"/>
        <v>-272.25791516203753</v>
      </c>
      <c r="AF319" s="15"/>
    </row>
    <row r="320" spans="1:32" hidden="1">
      <c r="A320" s="1">
        <v>8643543</v>
      </c>
      <c r="B320" s="1" t="s">
        <v>653</v>
      </c>
      <c r="C320" t="s">
        <v>654</v>
      </c>
      <c r="E320" s="2">
        <v>2988001400040</v>
      </c>
      <c r="F320" s="1" t="s">
        <v>644</v>
      </c>
      <c r="G320" s="1" t="s">
        <v>53</v>
      </c>
      <c r="H320" s="1" t="s">
        <v>536</v>
      </c>
      <c r="I320" s="1" t="s">
        <v>537</v>
      </c>
      <c r="J320" s="1" t="s">
        <v>46</v>
      </c>
      <c r="K320" t="s">
        <v>645</v>
      </c>
      <c r="M320" s="1" t="s">
        <v>58</v>
      </c>
      <c r="N320" s="1">
        <v>0</v>
      </c>
      <c r="O320" s="1" t="s">
        <v>105</v>
      </c>
      <c r="P320" s="186">
        <v>44713.417546296296</v>
      </c>
      <c r="R320" s="1">
        <v>2</v>
      </c>
      <c r="T320" s="1" t="s">
        <v>646</v>
      </c>
      <c r="U320" s="186">
        <v>44714.417546296296</v>
      </c>
      <c r="V320" s="1" t="s">
        <v>41</v>
      </c>
      <c r="W320" s="1" t="s">
        <v>49</v>
      </c>
      <c r="X320" s="13"/>
      <c r="Y320" s="2">
        <f t="shared" ca="1" si="24"/>
        <v>196</v>
      </c>
      <c r="Z320" s="14">
        <v>1</v>
      </c>
      <c r="AA320" s="1" t="str">
        <f t="shared" ca="1" si="25"/>
        <v>VENCIDO</v>
      </c>
      <c r="AB320" s="1" t="str">
        <f t="shared" si="26"/>
        <v>SL-On</v>
      </c>
      <c r="AC320" s="2" t="str">
        <f t="shared" si="29"/>
        <v xml:space="preserve"> CLEITON </v>
      </c>
      <c r="AD320" s="2">
        <f t="shared" si="27"/>
        <v>1</v>
      </c>
      <c r="AE320" s="2">
        <f t="shared" ca="1" si="28"/>
        <v>-272.25872534722293</v>
      </c>
      <c r="AF320" s="15"/>
    </row>
    <row r="321" spans="1:32" hidden="1">
      <c r="A321" s="1">
        <v>8643415</v>
      </c>
      <c r="B321" s="1" t="s">
        <v>653</v>
      </c>
      <c r="C321" t="s">
        <v>654</v>
      </c>
      <c r="E321" s="2">
        <v>2830001400040</v>
      </c>
      <c r="F321" s="1" t="s">
        <v>644</v>
      </c>
      <c r="G321" s="1" t="s">
        <v>53</v>
      </c>
      <c r="H321" s="1" t="s">
        <v>448</v>
      </c>
      <c r="I321" s="1" t="s">
        <v>449</v>
      </c>
      <c r="J321" s="1" t="s">
        <v>33</v>
      </c>
      <c r="K321" t="s">
        <v>645</v>
      </c>
      <c r="M321" s="1" t="s">
        <v>58</v>
      </c>
      <c r="N321" s="1">
        <v>0</v>
      </c>
      <c r="O321" s="1" t="s">
        <v>105</v>
      </c>
      <c r="P321" s="186">
        <v>44713.417187500003</v>
      </c>
      <c r="R321" s="1">
        <v>2</v>
      </c>
      <c r="T321" s="1" t="s">
        <v>646</v>
      </c>
      <c r="U321" s="186">
        <v>44714.417187500003</v>
      </c>
      <c r="V321" s="1" t="s">
        <v>41</v>
      </c>
      <c r="W321" s="1" t="s">
        <v>42</v>
      </c>
      <c r="X321" s="13"/>
      <c r="Y321" s="2">
        <f t="shared" ca="1" si="24"/>
        <v>196</v>
      </c>
      <c r="Z321" s="14">
        <v>1</v>
      </c>
      <c r="AA321" s="1" t="str">
        <f t="shared" ca="1" si="25"/>
        <v>VENCIDO</v>
      </c>
      <c r="AB321" s="1" t="str">
        <f t="shared" si="26"/>
        <v>SL-On</v>
      </c>
      <c r="AC321" s="2" t="str">
        <f t="shared" si="29"/>
        <v xml:space="preserve"> ROSEMERE </v>
      </c>
      <c r="AD321" s="2">
        <f t="shared" si="27"/>
        <v>1</v>
      </c>
      <c r="AE321" s="2">
        <f t="shared" ca="1" si="28"/>
        <v>-272.25908414351579</v>
      </c>
      <c r="AF321" s="15"/>
    </row>
    <row r="322" spans="1:32" hidden="1">
      <c r="A322" s="1">
        <v>8643396</v>
      </c>
      <c r="B322" s="1" t="s">
        <v>653</v>
      </c>
      <c r="C322" t="s">
        <v>654</v>
      </c>
      <c r="E322" s="2">
        <v>2811001400040</v>
      </c>
      <c r="F322" s="1" t="s">
        <v>644</v>
      </c>
      <c r="G322" s="1" t="s">
        <v>53</v>
      </c>
      <c r="H322" s="1" t="s">
        <v>44</v>
      </c>
      <c r="I322" s="1" t="s">
        <v>45</v>
      </c>
      <c r="J322" s="1" t="s">
        <v>46</v>
      </c>
      <c r="K322" t="s">
        <v>645</v>
      </c>
      <c r="M322" s="1" t="s">
        <v>58</v>
      </c>
      <c r="N322" s="1">
        <v>0</v>
      </c>
      <c r="O322" s="1" t="s">
        <v>105</v>
      </c>
      <c r="P322" s="186">
        <v>44713.417094907411</v>
      </c>
      <c r="R322" s="1">
        <v>3</v>
      </c>
      <c r="T322" s="1" t="s">
        <v>646</v>
      </c>
      <c r="U322" s="186">
        <v>44714.417094907411</v>
      </c>
      <c r="V322" s="1" t="s">
        <v>41</v>
      </c>
      <c r="W322" s="1" t="s">
        <v>49</v>
      </c>
      <c r="X322" s="13"/>
      <c r="Y322" s="2">
        <f t="shared" ref="Y322:Y385" ca="1" si="30">NETWORKDAYS(P322,$Y$1)</f>
        <v>196</v>
      </c>
      <c r="Z322" s="14">
        <v>1</v>
      </c>
      <c r="AA322" s="1" t="str">
        <f t="shared" ref="AA322:AA385" ca="1" si="31">IF(AE322=0,"HOJE",IF(AE322&gt;0,"A VENCER",IF(AE322&lt;0,"VENCIDO")))</f>
        <v>VENCIDO</v>
      </c>
      <c r="AB322" s="1" t="str">
        <f t="shared" ref="AB322:AB385" si="32">IF(F322="GRPE-000001","C-14",IF(F322="GRPE-000002","C-14",IF(F322="GRPE-000003","C-14",IF(F322="GRPE-000004","SL-On",IF(F322="GRPE-000038","C-14",IF(F322="GRPE-900022","Dosa",IF(F322="GRPE-000029","Dosa",IF(F322="ATOS-000222","Dose","TAAe+"))))))))</f>
        <v>SL-On</v>
      </c>
      <c r="AC322" s="2" t="str">
        <f t="shared" si="29"/>
        <v xml:space="preserve"> CLEITON </v>
      </c>
      <c r="AD322" s="2">
        <f t="shared" ref="AD322:AD385" si="33">IF(F322="GRPE-000001",5,IF(F322="GRPE-000002",5,IF(F322="GRPE-000003",15,IF(F322="GRPE-000004",1,IF(F322="GRPE-000038",5,IF(F322="GRPE-900022",5,IF(F322="GRPE-000029",5,IF(F322="ATOS-000222",5,8))))))))</f>
        <v>1</v>
      </c>
      <c r="AE322" s="2">
        <f t="shared" ref="AE322:AE385" ca="1" si="34">IF(U322=$AE$1,"",U322-$AE$1)</f>
        <v>-272.2591767361082</v>
      </c>
      <c r="AF322" s="15"/>
    </row>
    <row r="323" spans="1:32" hidden="1">
      <c r="A323" s="1">
        <v>8643389</v>
      </c>
      <c r="B323" s="1" t="s">
        <v>653</v>
      </c>
      <c r="C323" t="s">
        <v>654</v>
      </c>
      <c r="E323" s="2">
        <v>2802001400040</v>
      </c>
      <c r="F323" s="1" t="s">
        <v>644</v>
      </c>
      <c r="G323" s="1" t="s">
        <v>53</v>
      </c>
      <c r="H323" s="1" t="s">
        <v>388</v>
      </c>
      <c r="I323" s="1" t="s">
        <v>389</v>
      </c>
      <c r="J323" s="1" t="s">
        <v>46</v>
      </c>
      <c r="K323" t="s">
        <v>645</v>
      </c>
      <c r="M323" s="1" t="s">
        <v>58</v>
      </c>
      <c r="N323" s="1">
        <v>0</v>
      </c>
      <c r="O323" s="1" t="s">
        <v>105</v>
      </c>
      <c r="P323" s="186">
        <v>44713.417083333334</v>
      </c>
      <c r="R323" s="1">
        <v>3</v>
      </c>
      <c r="T323" s="1" t="s">
        <v>646</v>
      </c>
      <c r="U323" s="186">
        <v>44714.417083333334</v>
      </c>
      <c r="V323" s="1" t="s">
        <v>41</v>
      </c>
      <c r="W323" s="1" t="s">
        <v>49</v>
      </c>
      <c r="X323" s="13"/>
      <c r="Y323" s="2">
        <f t="shared" ca="1" si="30"/>
        <v>196</v>
      </c>
      <c r="Z323" s="14">
        <v>1</v>
      </c>
      <c r="AA323" s="1" t="str">
        <f t="shared" ca="1" si="31"/>
        <v>VENCIDO</v>
      </c>
      <c r="AB323" s="1" t="str">
        <f t="shared" si="32"/>
        <v>SL-On</v>
      </c>
      <c r="AC323" s="2" t="str">
        <f t="shared" ref="AC323:AC386" si="35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 xml:space="preserve"> CLEITON </v>
      </c>
      <c r="AD323" s="2">
        <f t="shared" si="33"/>
        <v>1</v>
      </c>
      <c r="AE323" s="2">
        <f t="shared" ca="1" si="34"/>
        <v>-272.25918831018498</v>
      </c>
      <c r="AF323" s="15"/>
    </row>
    <row r="324" spans="1:32" hidden="1">
      <c r="A324" s="1">
        <v>8643232</v>
      </c>
      <c r="B324" s="1" t="s">
        <v>653</v>
      </c>
      <c r="C324" t="s">
        <v>654</v>
      </c>
      <c r="E324" s="2">
        <v>2625001400040</v>
      </c>
      <c r="F324" s="1" t="s">
        <v>644</v>
      </c>
      <c r="G324" s="1" t="s">
        <v>53</v>
      </c>
      <c r="H324" s="1" t="s">
        <v>317</v>
      </c>
      <c r="I324" s="1" t="s">
        <v>318</v>
      </c>
      <c r="J324" s="1" t="s">
        <v>164</v>
      </c>
      <c r="K324" t="s">
        <v>645</v>
      </c>
      <c r="M324" s="1" t="s">
        <v>58</v>
      </c>
      <c r="N324" s="1">
        <v>0</v>
      </c>
      <c r="O324" s="1" t="s">
        <v>105</v>
      </c>
      <c r="P324" s="186">
        <v>44713.416655092595</v>
      </c>
      <c r="R324" s="1">
        <v>3</v>
      </c>
      <c r="T324" s="1" t="s">
        <v>646</v>
      </c>
      <c r="U324" s="186">
        <v>44714.416655092595</v>
      </c>
      <c r="V324" s="1" t="s">
        <v>41</v>
      </c>
      <c r="W324" s="1" t="s">
        <v>49</v>
      </c>
      <c r="X324" s="13"/>
      <c r="Y324" s="2">
        <f t="shared" ca="1" si="30"/>
        <v>196</v>
      </c>
      <c r="Z324" s="14">
        <v>1</v>
      </c>
      <c r="AA324" s="1" t="str">
        <f t="shared" ca="1" si="31"/>
        <v>VENCIDO</v>
      </c>
      <c r="AB324" s="1" t="str">
        <f t="shared" si="32"/>
        <v>SL-On</v>
      </c>
      <c r="AC324" s="2" t="str">
        <f t="shared" si="35"/>
        <v xml:space="preserve"> ROSEMERE </v>
      </c>
      <c r="AD324" s="2">
        <f t="shared" si="33"/>
        <v>1</v>
      </c>
      <c r="AE324" s="2">
        <f t="shared" ca="1" si="34"/>
        <v>-272.25961655092397</v>
      </c>
      <c r="AF324" s="15"/>
    </row>
    <row r="325" spans="1:32" hidden="1">
      <c r="A325" s="1">
        <v>8643003</v>
      </c>
      <c r="B325" s="1" t="s">
        <v>653</v>
      </c>
      <c r="C325" t="s">
        <v>654</v>
      </c>
      <c r="E325" s="2">
        <v>2369001400040</v>
      </c>
      <c r="F325" s="1" t="s">
        <v>644</v>
      </c>
      <c r="G325" s="1" t="s">
        <v>53</v>
      </c>
      <c r="H325" s="1" t="s">
        <v>701</v>
      </c>
      <c r="I325" s="1" t="s">
        <v>702</v>
      </c>
      <c r="J325" s="1" t="s">
        <v>141</v>
      </c>
      <c r="K325" t="s">
        <v>645</v>
      </c>
      <c r="M325" s="1" t="s">
        <v>58</v>
      </c>
      <c r="N325" s="1">
        <v>0</v>
      </c>
      <c r="O325" s="1" t="s">
        <v>105</v>
      </c>
      <c r="P325" s="186">
        <v>44713.415312500001</v>
      </c>
      <c r="R325" s="1">
        <v>2</v>
      </c>
      <c r="T325" s="1" t="s">
        <v>646</v>
      </c>
      <c r="U325" s="186">
        <v>44714.415312500001</v>
      </c>
      <c r="V325" s="1" t="s">
        <v>41</v>
      </c>
      <c r="W325" s="1" t="s">
        <v>49</v>
      </c>
      <c r="X325" s="13"/>
      <c r="Y325" s="2">
        <f t="shared" ca="1" si="30"/>
        <v>196</v>
      </c>
      <c r="Z325" s="14">
        <v>1</v>
      </c>
      <c r="AA325" s="1" t="str">
        <f t="shared" ca="1" si="31"/>
        <v>VENCIDO</v>
      </c>
      <c r="AB325" s="1" t="str">
        <f t="shared" si="32"/>
        <v>SL-On</v>
      </c>
      <c r="AC325" s="2" t="str">
        <f t="shared" si="35"/>
        <v xml:space="preserve"> CRISTINA </v>
      </c>
      <c r="AD325" s="2">
        <f t="shared" si="33"/>
        <v>1</v>
      </c>
      <c r="AE325" s="2">
        <f t="shared" ca="1" si="34"/>
        <v>-272.26095914351754</v>
      </c>
      <c r="AF325" s="15"/>
    </row>
    <row r="326" spans="1:32" hidden="1">
      <c r="A326" s="1">
        <v>8643000</v>
      </c>
      <c r="B326" s="1" t="s">
        <v>653</v>
      </c>
      <c r="C326" t="s">
        <v>654</v>
      </c>
      <c r="E326" s="2">
        <v>2365001400040</v>
      </c>
      <c r="F326" s="1" t="s">
        <v>644</v>
      </c>
      <c r="G326" s="1" t="s">
        <v>53</v>
      </c>
      <c r="H326" s="1" t="s">
        <v>159</v>
      </c>
      <c r="I326" s="1" t="s">
        <v>160</v>
      </c>
      <c r="J326" s="1" t="s">
        <v>46</v>
      </c>
      <c r="K326" t="s">
        <v>645</v>
      </c>
      <c r="M326" s="1" t="s">
        <v>58</v>
      </c>
      <c r="N326" s="1">
        <v>0</v>
      </c>
      <c r="O326" s="1" t="s">
        <v>105</v>
      </c>
      <c r="P326" s="186">
        <v>44713.415300925924</v>
      </c>
      <c r="R326" s="1">
        <v>2</v>
      </c>
      <c r="T326" s="1" t="s">
        <v>646</v>
      </c>
      <c r="U326" s="186">
        <v>44714.415300925924</v>
      </c>
      <c r="V326" s="1" t="s">
        <v>41</v>
      </c>
      <c r="W326" s="1" t="s">
        <v>49</v>
      </c>
      <c r="X326" s="13"/>
      <c r="Y326" s="2">
        <f t="shared" ca="1" si="30"/>
        <v>196</v>
      </c>
      <c r="Z326" s="14">
        <v>1</v>
      </c>
      <c r="AA326" s="1" t="str">
        <f t="shared" ca="1" si="31"/>
        <v>VENCIDO</v>
      </c>
      <c r="AB326" s="1" t="str">
        <f t="shared" si="32"/>
        <v>SL-On</v>
      </c>
      <c r="AC326" s="2" t="str">
        <f t="shared" si="35"/>
        <v xml:space="preserve"> CLEITON </v>
      </c>
      <c r="AD326" s="2">
        <f t="shared" si="33"/>
        <v>1</v>
      </c>
      <c r="AE326" s="2">
        <f t="shared" ca="1" si="34"/>
        <v>-272.26097071759432</v>
      </c>
      <c r="AF326" s="15"/>
    </row>
    <row r="327" spans="1:32" hidden="1">
      <c r="A327" s="1">
        <v>8642964</v>
      </c>
      <c r="B327" s="1" t="s">
        <v>653</v>
      </c>
      <c r="C327" t="s">
        <v>654</v>
      </c>
      <c r="E327" s="2">
        <v>2326001400040</v>
      </c>
      <c r="F327" s="1" t="s">
        <v>644</v>
      </c>
      <c r="G327" s="1" t="s">
        <v>53</v>
      </c>
      <c r="H327" s="1" t="s">
        <v>191</v>
      </c>
      <c r="I327" s="1" t="s">
        <v>192</v>
      </c>
      <c r="J327" s="1" t="s">
        <v>46</v>
      </c>
      <c r="K327" t="s">
        <v>645</v>
      </c>
      <c r="M327" s="1" t="s">
        <v>58</v>
      </c>
      <c r="N327" s="1">
        <v>0</v>
      </c>
      <c r="O327" s="1" t="s">
        <v>105</v>
      </c>
      <c r="P327" s="186">
        <v>44713.41510416667</v>
      </c>
      <c r="R327" s="1">
        <v>2</v>
      </c>
      <c r="T327" s="1" t="s">
        <v>646</v>
      </c>
      <c r="U327" s="186">
        <v>44714.41510416667</v>
      </c>
      <c r="V327" s="1" t="s">
        <v>41</v>
      </c>
      <c r="W327" s="1" t="s">
        <v>49</v>
      </c>
      <c r="X327" s="13"/>
      <c r="Y327" s="2">
        <f t="shared" ca="1" si="30"/>
        <v>196</v>
      </c>
      <c r="Z327" s="14">
        <v>1</v>
      </c>
      <c r="AA327" s="1" t="str">
        <f t="shared" ca="1" si="31"/>
        <v>VENCIDO</v>
      </c>
      <c r="AB327" s="1" t="str">
        <f t="shared" si="32"/>
        <v>SL-On</v>
      </c>
      <c r="AC327" s="2" t="str">
        <f t="shared" si="35"/>
        <v xml:space="preserve"> CLEITON </v>
      </c>
      <c r="AD327" s="2">
        <f t="shared" si="33"/>
        <v>1</v>
      </c>
      <c r="AE327" s="2">
        <f t="shared" ca="1" si="34"/>
        <v>-272.26116747684864</v>
      </c>
      <c r="AF327" s="15"/>
    </row>
    <row r="328" spans="1:32" hidden="1">
      <c r="A328" s="1">
        <v>8642887</v>
      </c>
      <c r="B328" s="1" t="s">
        <v>653</v>
      </c>
      <c r="C328" t="s">
        <v>654</v>
      </c>
      <c r="E328" s="2">
        <v>2238001400040</v>
      </c>
      <c r="F328" s="1" t="s">
        <v>644</v>
      </c>
      <c r="G328" s="1" t="s">
        <v>53</v>
      </c>
      <c r="H328" s="1" t="s">
        <v>707</v>
      </c>
      <c r="I328" s="1" t="s">
        <v>708</v>
      </c>
      <c r="J328" s="1" t="s">
        <v>79</v>
      </c>
      <c r="K328" t="s">
        <v>645</v>
      </c>
      <c r="M328" s="1" t="s">
        <v>58</v>
      </c>
      <c r="N328" s="1">
        <v>0</v>
      </c>
      <c r="O328" s="1" t="s">
        <v>105</v>
      </c>
      <c r="P328" s="186">
        <v>44713.414976851855</v>
      </c>
      <c r="R328" s="1">
        <v>3</v>
      </c>
      <c r="T328" s="1" t="s">
        <v>646</v>
      </c>
      <c r="U328" s="186">
        <v>44714.414976851855</v>
      </c>
      <c r="V328" s="1" t="s">
        <v>41</v>
      </c>
      <c r="W328" s="1" t="s">
        <v>49</v>
      </c>
      <c r="X328" s="13"/>
      <c r="Y328" s="2">
        <f t="shared" ca="1" si="30"/>
        <v>196</v>
      </c>
      <c r="Z328" s="14">
        <v>1</v>
      </c>
      <c r="AA328" s="1" t="str">
        <f t="shared" ca="1" si="31"/>
        <v>VENCIDO</v>
      </c>
      <c r="AB328" s="1" t="str">
        <f t="shared" si="32"/>
        <v>SL-On</v>
      </c>
      <c r="AC328" s="2" t="str">
        <f t="shared" si="35"/>
        <v xml:space="preserve"> ROSEMERE </v>
      </c>
      <c r="AD328" s="2">
        <f t="shared" si="33"/>
        <v>1</v>
      </c>
      <c r="AE328" s="2">
        <f t="shared" ca="1" si="34"/>
        <v>-272.26129479166411</v>
      </c>
      <c r="AF328" s="15"/>
    </row>
    <row r="329" spans="1:32" hidden="1">
      <c r="A329" s="1">
        <v>8642791</v>
      </c>
      <c r="B329" s="1" t="s">
        <v>653</v>
      </c>
      <c r="C329" t="s">
        <v>654</v>
      </c>
      <c r="E329" s="2">
        <v>2138001400040</v>
      </c>
      <c r="F329" s="1" t="s">
        <v>644</v>
      </c>
      <c r="G329" s="1" t="s">
        <v>53</v>
      </c>
      <c r="H329" s="1" t="s">
        <v>379</v>
      </c>
      <c r="I329" s="1" t="s">
        <v>380</v>
      </c>
      <c r="J329" s="1" t="s">
        <v>46</v>
      </c>
      <c r="K329" t="s">
        <v>645</v>
      </c>
      <c r="M329" s="1" t="s">
        <v>58</v>
      </c>
      <c r="N329" s="1">
        <v>0</v>
      </c>
      <c r="O329" s="1" t="s">
        <v>105</v>
      </c>
      <c r="P329" s="186">
        <v>44713.41474537037</v>
      </c>
      <c r="R329" s="1">
        <v>3</v>
      </c>
      <c r="T329" s="1" t="s">
        <v>646</v>
      </c>
      <c r="U329" s="186">
        <v>44714.41474537037</v>
      </c>
      <c r="V329" s="1" t="s">
        <v>41</v>
      </c>
      <c r="W329" s="1" t="s">
        <v>49</v>
      </c>
      <c r="X329" s="13"/>
      <c r="Y329" s="2">
        <f t="shared" ca="1" si="30"/>
        <v>196</v>
      </c>
      <c r="Z329" s="14">
        <v>1</v>
      </c>
      <c r="AA329" s="1" t="str">
        <f t="shared" ca="1" si="31"/>
        <v>VENCIDO</v>
      </c>
      <c r="AB329" s="1" t="str">
        <f t="shared" si="32"/>
        <v>SL-On</v>
      </c>
      <c r="AC329" s="2" t="str">
        <f t="shared" si="35"/>
        <v xml:space="preserve"> CLEITON </v>
      </c>
      <c r="AD329" s="2">
        <f t="shared" si="33"/>
        <v>1</v>
      </c>
      <c r="AE329" s="2">
        <f t="shared" ca="1" si="34"/>
        <v>-272.26152627314877</v>
      </c>
      <c r="AF329" s="15"/>
    </row>
    <row r="330" spans="1:32" hidden="1">
      <c r="A330" s="1">
        <v>8642762</v>
      </c>
      <c r="B330" s="1" t="s">
        <v>653</v>
      </c>
      <c r="C330" t="s">
        <v>654</v>
      </c>
      <c r="E330" s="2">
        <v>2107001400040</v>
      </c>
      <c r="F330" s="1" t="s">
        <v>644</v>
      </c>
      <c r="G330" s="1" t="s">
        <v>53</v>
      </c>
      <c r="H330" s="1" t="s">
        <v>262</v>
      </c>
      <c r="I330" s="1" t="s">
        <v>263</v>
      </c>
      <c r="J330" s="1" t="s">
        <v>164</v>
      </c>
      <c r="K330" t="s">
        <v>645</v>
      </c>
      <c r="M330" s="1" t="s">
        <v>58</v>
      </c>
      <c r="N330" s="1">
        <v>0</v>
      </c>
      <c r="O330" s="1" t="s">
        <v>105</v>
      </c>
      <c r="P330" s="186">
        <v>44713.414351851854</v>
      </c>
      <c r="R330" s="1">
        <v>3</v>
      </c>
      <c r="T330" s="1" t="s">
        <v>646</v>
      </c>
      <c r="U330" s="186">
        <v>44714.414363425924</v>
      </c>
      <c r="V330" s="1" t="s">
        <v>41</v>
      </c>
      <c r="W330" s="1" t="s">
        <v>49</v>
      </c>
      <c r="X330" s="13"/>
      <c r="Y330" s="2">
        <f t="shared" ca="1" si="30"/>
        <v>196</v>
      </c>
      <c r="Z330" s="14">
        <v>1</v>
      </c>
      <c r="AA330" s="1" t="str">
        <f t="shared" ca="1" si="31"/>
        <v>VENCIDO</v>
      </c>
      <c r="AB330" s="1" t="str">
        <f t="shared" si="32"/>
        <v>SL-On</v>
      </c>
      <c r="AC330" s="2" t="str">
        <f t="shared" si="35"/>
        <v xml:space="preserve"> ROSEMERE </v>
      </c>
      <c r="AD330" s="2">
        <f t="shared" si="33"/>
        <v>1</v>
      </c>
      <c r="AE330" s="2">
        <f t="shared" ca="1" si="34"/>
        <v>-272.26190821759519</v>
      </c>
      <c r="AF330" s="15"/>
    </row>
    <row r="331" spans="1:32">
      <c r="A331" s="1">
        <v>8642730</v>
      </c>
      <c r="B331" s="1" t="s">
        <v>653</v>
      </c>
      <c r="C331" t="s">
        <v>654</v>
      </c>
      <c r="E331" s="2">
        <v>2069001400040</v>
      </c>
      <c r="F331" s="1" t="s">
        <v>644</v>
      </c>
      <c r="G331" s="1" t="s">
        <v>53</v>
      </c>
      <c r="H331" s="1" t="s">
        <v>557</v>
      </c>
      <c r="I331" s="1" t="s">
        <v>558</v>
      </c>
      <c r="J331" s="1" t="s">
        <v>90</v>
      </c>
      <c r="K331" t="s">
        <v>645</v>
      </c>
      <c r="M331" s="1" t="s">
        <v>58</v>
      </c>
      <c r="N331" s="1">
        <v>0</v>
      </c>
      <c r="O331" s="1" t="s">
        <v>105</v>
      </c>
      <c r="P331" s="186">
        <v>44713.414305555554</v>
      </c>
      <c r="R331" s="1">
        <v>2</v>
      </c>
      <c r="T331" s="1" t="s">
        <v>646</v>
      </c>
      <c r="U331" s="186">
        <v>44714.414305555554</v>
      </c>
      <c r="V331" s="1" t="s">
        <v>41</v>
      </c>
      <c r="W331" s="1" t="s">
        <v>49</v>
      </c>
      <c r="X331" s="13"/>
      <c r="Y331" s="2">
        <f t="shared" ca="1" si="30"/>
        <v>196</v>
      </c>
      <c r="Z331" s="14">
        <v>1</v>
      </c>
      <c r="AA331" s="1" t="str">
        <f t="shared" ca="1" si="31"/>
        <v>VENCIDO</v>
      </c>
      <c r="AB331" s="1" t="str">
        <f t="shared" si="32"/>
        <v>SL-On</v>
      </c>
      <c r="AC331" s="2" t="str">
        <f t="shared" si="35"/>
        <v xml:space="preserve"> RINALDO </v>
      </c>
      <c r="AD331" s="2">
        <f t="shared" si="33"/>
        <v>1</v>
      </c>
      <c r="AE331" s="2">
        <f t="shared" ca="1" si="34"/>
        <v>-272.26196608796454</v>
      </c>
      <c r="AF331" s="15"/>
    </row>
    <row r="332" spans="1:32" hidden="1">
      <c r="A332" s="1">
        <v>8642641</v>
      </c>
      <c r="B332" s="1" t="s">
        <v>653</v>
      </c>
      <c r="C332" t="s">
        <v>654</v>
      </c>
      <c r="E332" s="2">
        <v>1924001400040</v>
      </c>
      <c r="F332" s="1" t="s">
        <v>644</v>
      </c>
      <c r="G332" s="1" t="s">
        <v>53</v>
      </c>
      <c r="H332" s="1" t="s">
        <v>568</v>
      </c>
      <c r="I332" s="1" t="s">
        <v>569</v>
      </c>
      <c r="J332" s="1" t="s">
        <v>33</v>
      </c>
      <c r="K332" t="s">
        <v>645</v>
      </c>
      <c r="M332" s="1" t="s">
        <v>58</v>
      </c>
      <c r="N332" s="1">
        <v>0</v>
      </c>
      <c r="O332" s="1" t="s">
        <v>105</v>
      </c>
      <c r="P332" s="186">
        <v>44713.414050925923</v>
      </c>
      <c r="R332" s="1">
        <v>2</v>
      </c>
      <c r="T332" s="1" t="s">
        <v>646</v>
      </c>
      <c r="U332" s="186">
        <v>44714.414050925923</v>
      </c>
      <c r="V332" s="1" t="s">
        <v>41</v>
      </c>
      <c r="W332" s="1" t="s">
        <v>49</v>
      </c>
      <c r="X332" s="13"/>
      <c r="Y332" s="2">
        <f t="shared" ca="1" si="30"/>
        <v>196</v>
      </c>
      <c r="Z332" s="14">
        <v>1</v>
      </c>
      <c r="AA332" s="1" t="str">
        <f t="shared" ca="1" si="31"/>
        <v>VENCIDO</v>
      </c>
      <c r="AB332" s="1" t="str">
        <f t="shared" si="32"/>
        <v>SL-On</v>
      </c>
      <c r="AC332" s="2" t="str">
        <f t="shared" si="35"/>
        <v xml:space="preserve"> ROSEMERE </v>
      </c>
      <c r="AD332" s="2">
        <f t="shared" si="33"/>
        <v>1</v>
      </c>
      <c r="AE332" s="2">
        <f t="shared" ca="1" si="34"/>
        <v>-272.26222071759548</v>
      </c>
      <c r="AF332" s="15"/>
    </row>
    <row r="333" spans="1:32" hidden="1">
      <c r="A333" s="1">
        <v>8642588</v>
      </c>
      <c r="B333" s="1" t="s">
        <v>653</v>
      </c>
      <c r="C333" t="s">
        <v>654</v>
      </c>
      <c r="E333" s="2">
        <v>1838001400040</v>
      </c>
      <c r="F333" s="1" t="s">
        <v>644</v>
      </c>
      <c r="G333" s="1" t="s">
        <v>53</v>
      </c>
      <c r="H333" s="1" t="s">
        <v>357</v>
      </c>
      <c r="I333" s="1" t="s">
        <v>358</v>
      </c>
      <c r="J333" s="1" t="s">
        <v>46</v>
      </c>
      <c r="K333" t="s">
        <v>645</v>
      </c>
      <c r="M333" s="1" t="s">
        <v>58</v>
      </c>
      <c r="N333" s="1">
        <v>0</v>
      </c>
      <c r="O333" s="1" t="s">
        <v>105</v>
      </c>
      <c r="P333" s="186">
        <v>44713.413969907408</v>
      </c>
      <c r="R333" s="1">
        <v>2</v>
      </c>
      <c r="T333" s="1" t="s">
        <v>646</v>
      </c>
      <c r="U333" s="186">
        <v>44714.413969907408</v>
      </c>
      <c r="V333" s="1" t="s">
        <v>41</v>
      </c>
      <c r="W333" s="1" t="s">
        <v>49</v>
      </c>
      <c r="X333" s="13"/>
      <c r="Y333" s="2">
        <f t="shared" ca="1" si="30"/>
        <v>196</v>
      </c>
      <c r="Z333" s="14">
        <v>1</v>
      </c>
      <c r="AA333" s="1" t="str">
        <f t="shared" ca="1" si="31"/>
        <v>VENCIDO</v>
      </c>
      <c r="AB333" s="1" t="str">
        <f t="shared" si="32"/>
        <v>SL-On</v>
      </c>
      <c r="AC333" s="2" t="str">
        <f t="shared" si="35"/>
        <v xml:space="preserve"> CLEITON </v>
      </c>
      <c r="AD333" s="2">
        <f t="shared" si="33"/>
        <v>1</v>
      </c>
      <c r="AE333" s="2">
        <f t="shared" ca="1" si="34"/>
        <v>-272.26230173611111</v>
      </c>
      <c r="AF333" s="15"/>
    </row>
    <row r="334" spans="1:32" hidden="1">
      <c r="A334" s="1">
        <v>8642586</v>
      </c>
      <c r="B334" s="1" t="s">
        <v>653</v>
      </c>
      <c r="C334" t="s">
        <v>654</v>
      </c>
      <c r="E334" s="2">
        <v>1836001400040</v>
      </c>
      <c r="F334" s="1" t="s">
        <v>644</v>
      </c>
      <c r="G334" s="1" t="s">
        <v>53</v>
      </c>
      <c r="H334" s="1" t="s">
        <v>455</v>
      </c>
      <c r="I334" s="1" t="s">
        <v>456</v>
      </c>
      <c r="J334" s="1" t="s">
        <v>46</v>
      </c>
      <c r="K334" t="s">
        <v>645</v>
      </c>
      <c r="M334" s="1" t="s">
        <v>58</v>
      </c>
      <c r="N334" s="1">
        <v>0</v>
      </c>
      <c r="O334" s="1" t="s">
        <v>105</v>
      </c>
      <c r="P334" s="186">
        <v>44713.413958333331</v>
      </c>
      <c r="R334" s="1">
        <v>3</v>
      </c>
      <c r="T334" s="1" t="s">
        <v>646</v>
      </c>
      <c r="U334" s="186">
        <v>44714.413958333331</v>
      </c>
      <c r="V334" s="1" t="s">
        <v>41</v>
      </c>
      <c r="W334" s="1" t="s">
        <v>49</v>
      </c>
      <c r="X334" s="13"/>
      <c r="Y334" s="2">
        <f t="shared" ca="1" si="30"/>
        <v>196</v>
      </c>
      <c r="Z334" s="14">
        <v>1</v>
      </c>
      <c r="AA334" s="1" t="str">
        <f t="shared" ca="1" si="31"/>
        <v>VENCIDO</v>
      </c>
      <c r="AB334" s="1" t="str">
        <f t="shared" si="32"/>
        <v>SL-On</v>
      </c>
      <c r="AC334" s="2" t="str">
        <f t="shared" si="35"/>
        <v xml:space="preserve"> CLEITON </v>
      </c>
      <c r="AD334" s="2">
        <f t="shared" si="33"/>
        <v>1</v>
      </c>
      <c r="AE334" s="2">
        <f t="shared" ca="1" si="34"/>
        <v>-272.26231331018789</v>
      </c>
      <c r="AF334" s="15"/>
    </row>
    <row r="335" spans="1:32" hidden="1">
      <c r="A335" s="1">
        <v>8642585</v>
      </c>
      <c r="B335" s="1" t="s">
        <v>653</v>
      </c>
      <c r="C335" t="s">
        <v>654</v>
      </c>
      <c r="E335" s="2">
        <v>1835001400040</v>
      </c>
      <c r="F335" s="1" t="s">
        <v>644</v>
      </c>
      <c r="G335" s="1" t="s">
        <v>53</v>
      </c>
      <c r="H335" s="1" t="s">
        <v>305</v>
      </c>
      <c r="I335" s="1" t="s">
        <v>306</v>
      </c>
      <c r="J335" s="1" t="s">
        <v>46</v>
      </c>
      <c r="K335" t="s">
        <v>645</v>
      </c>
      <c r="M335" s="1" t="s">
        <v>58</v>
      </c>
      <c r="N335" s="1">
        <v>0</v>
      </c>
      <c r="O335" s="1" t="s">
        <v>105</v>
      </c>
      <c r="P335" s="186">
        <v>44713.413958333331</v>
      </c>
      <c r="R335" s="1">
        <v>3</v>
      </c>
      <c r="T335" s="1" t="s">
        <v>646</v>
      </c>
      <c r="U335" s="186">
        <v>44714.413958333331</v>
      </c>
      <c r="V335" s="1" t="s">
        <v>41</v>
      </c>
      <c r="W335" s="1" t="s">
        <v>49</v>
      </c>
      <c r="X335" s="13"/>
      <c r="Y335" s="2">
        <f t="shared" ca="1" si="30"/>
        <v>196</v>
      </c>
      <c r="Z335" s="14">
        <v>1</v>
      </c>
      <c r="AA335" s="1" t="str">
        <f t="shared" ca="1" si="31"/>
        <v>VENCIDO</v>
      </c>
      <c r="AB335" s="1" t="str">
        <f t="shared" si="32"/>
        <v>SL-On</v>
      </c>
      <c r="AC335" s="2" t="str">
        <f t="shared" si="35"/>
        <v xml:space="preserve"> CLEITON </v>
      </c>
      <c r="AD335" s="2">
        <f t="shared" si="33"/>
        <v>1</v>
      </c>
      <c r="AE335" s="2">
        <f t="shared" ca="1" si="34"/>
        <v>-272.26231331018789</v>
      </c>
      <c r="AF335" s="15"/>
    </row>
    <row r="336" spans="1:32" hidden="1">
      <c r="A336" s="1">
        <v>8642583</v>
      </c>
      <c r="B336" s="1" t="s">
        <v>653</v>
      </c>
      <c r="C336" t="s">
        <v>654</v>
      </c>
      <c r="E336" s="2">
        <v>1833001400040</v>
      </c>
      <c r="F336" s="1" t="s">
        <v>644</v>
      </c>
      <c r="G336" s="1" t="s">
        <v>53</v>
      </c>
      <c r="H336" s="1" t="s">
        <v>369</v>
      </c>
      <c r="I336" s="1" t="s">
        <v>370</v>
      </c>
      <c r="J336" s="1" t="s">
        <v>46</v>
      </c>
      <c r="K336" t="s">
        <v>645</v>
      </c>
      <c r="M336" s="1" t="s">
        <v>58</v>
      </c>
      <c r="N336" s="1">
        <v>0</v>
      </c>
      <c r="O336" s="1" t="s">
        <v>105</v>
      </c>
      <c r="P336" s="186">
        <v>44713.413958333331</v>
      </c>
      <c r="R336" s="1">
        <v>3</v>
      </c>
      <c r="T336" s="1" t="s">
        <v>646</v>
      </c>
      <c r="U336" s="186">
        <v>44714.413958333331</v>
      </c>
      <c r="V336" s="1" t="s">
        <v>41</v>
      </c>
      <c r="W336" s="1" t="s">
        <v>49</v>
      </c>
      <c r="X336" s="13"/>
      <c r="Y336" s="2">
        <f t="shared" ca="1" si="30"/>
        <v>196</v>
      </c>
      <c r="Z336" s="14">
        <v>1</v>
      </c>
      <c r="AA336" s="1" t="str">
        <f t="shared" ca="1" si="31"/>
        <v>VENCIDO</v>
      </c>
      <c r="AB336" s="1" t="str">
        <f t="shared" si="32"/>
        <v>SL-On</v>
      </c>
      <c r="AC336" s="2" t="str">
        <f t="shared" si="35"/>
        <v xml:space="preserve"> CLEITON </v>
      </c>
      <c r="AD336" s="2">
        <f t="shared" si="33"/>
        <v>1</v>
      </c>
      <c r="AE336" s="2">
        <f t="shared" ca="1" si="34"/>
        <v>-272.26231331018789</v>
      </c>
      <c r="AF336" s="15"/>
    </row>
    <row r="337" spans="1:32">
      <c r="A337" s="1">
        <v>8642527</v>
      </c>
      <c r="B337" s="1" t="s">
        <v>653</v>
      </c>
      <c r="C337" t="s">
        <v>654</v>
      </c>
      <c r="E337" s="2">
        <v>1764001400040</v>
      </c>
      <c r="F337" s="1" t="s">
        <v>644</v>
      </c>
      <c r="G337" s="1" t="s">
        <v>53</v>
      </c>
      <c r="H337" s="1" t="s">
        <v>722</v>
      </c>
      <c r="I337" s="1" t="s">
        <v>723</v>
      </c>
      <c r="J337" s="1" t="s">
        <v>90</v>
      </c>
      <c r="K337" t="s">
        <v>645</v>
      </c>
      <c r="M337" s="1" t="s">
        <v>58</v>
      </c>
      <c r="N337" s="1">
        <v>0</v>
      </c>
      <c r="O337" s="1" t="s">
        <v>36</v>
      </c>
      <c r="P337" s="186">
        <v>44713.413668981484</v>
      </c>
      <c r="R337" s="1">
        <v>2</v>
      </c>
      <c r="T337" s="1" t="s">
        <v>646</v>
      </c>
      <c r="U337" s="186">
        <v>44714.413668981484</v>
      </c>
      <c r="V337" s="1" t="s">
        <v>41</v>
      </c>
      <c r="W337" s="1" t="s">
        <v>49</v>
      </c>
      <c r="X337" s="13"/>
      <c r="Y337" s="2">
        <f t="shared" ca="1" si="30"/>
        <v>196</v>
      </c>
      <c r="Z337" s="14">
        <v>1</v>
      </c>
      <c r="AA337" s="1" t="str">
        <f t="shared" ca="1" si="31"/>
        <v>VENCIDO</v>
      </c>
      <c r="AB337" s="1" t="str">
        <f t="shared" si="32"/>
        <v>SL-On</v>
      </c>
      <c r="AC337" s="2" t="str">
        <f t="shared" si="35"/>
        <v xml:space="preserve"> RINALDO </v>
      </c>
      <c r="AD337" s="2">
        <f t="shared" si="33"/>
        <v>1</v>
      </c>
      <c r="AE337" s="2">
        <f t="shared" ca="1" si="34"/>
        <v>-272.26260266203462</v>
      </c>
      <c r="AF337" s="15"/>
    </row>
    <row r="338" spans="1:32" hidden="1">
      <c r="A338" s="1">
        <v>8642499</v>
      </c>
      <c r="B338" s="1" t="s">
        <v>653</v>
      </c>
      <c r="C338" t="s">
        <v>654</v>
      </c>
      <c r="E338" s="2">
        <v>1732001400040</v>
      </c>
      <c r="F338" s="1" t="s">
        <v>644</v>
      </c>
      <c r="G338" s="1" t="s">
        <v>53</v>
      </c>
      <c r="H338" s="1" t="s">
        <v>177</v>
      </c>
      <c r="I338" s="1" t="s">
        <v>178</v>
      </c>
      <c r="J338" s="1" t="s">
        <v>164</v>
      </c>
      <c r="K338" t="s">
        <v>645</v>
      </c>
      <c r="M338" s="1" t="s">
        <v>58</v>
      </c>
      <c r="N338" s="1">
        <v>0</v>
      </c>
      <c r="O338" s="1" t="s">
        <v>105</v>
      </c>
      <c r="P338" s="186">
        <v>44713.413622685184</v>
      </c>
      <c r="R338" s="1">
        <v>3</v>
      </c>
      <c r="T338" s="1" t="s">
        <v>646</v>
      </c>
      <c r="U338" s="186">
        <v>44714.413634259261</v>
      </c>
      <c r="V338" s="1" t="s">
        <v>41</v>
      </c>
      <c r="W338" s="1" t="s">
        <v>49</v>
      </c>
      <c r="X338" s="13"/>
      <c r="Y338" s="2">
        <f t="shared" ca="1" si="30"/>
        <v>196</v>
      </c>
      <c r="Z338" s="14">
        <v>1</v>
      </c>
      <c r="AA338" s="1" t="str">
        <f t="shared" ca="1" si="31"/>
        <v>VENCIDO</v>
      </c>
      <c r="AB338" s="1" t="str">
        <f t="shared" si="32"/>
        <v>SL-On</v>
      </c>
      <c r="AC338" s="2" t="str">
        <f t="shared" si="35"/>
        <v xml:space="preserve"> ROSEMERE </v>
      </c>
      <c r="AD338" s="2">
        <f t="shared" si="33"/>
        <v>1</v>
      </c>
      <c r="AE338" s="2">
        <f t="shared" ca="1" si="34"/>
        <v>-272.26263738425769</v>
      </c>
      <c r="AF338" s="15"/>
    </row>
    <row r="339" spans="1:32" hidden="1">
      <c r="A339" s="1">
        <v>8642435</v>
      </c>
      <c r="B339" s="1" t="s">
        <v>653</v>
      </c>
      <c r="C339" t="s">
        <v>654</v>
      </c>
      <c r="E339" s="2">
        <v>1664001400040</v>
      </c>
      <c r="F339" s="1" t="s">
        <v>644</v>
      </c>
      <c r="G339" s="1" t="s">
        <v>53</v>
      </c>
      <c r="H339" s="1" t="s">
        <v>307</v>
      </c>
      <c r="I339" s="1" t="s">
        <v>308</v>
      </c>
      <c r="J339" s="1" t="s">
        <v>164</v>
      </c>
      <c r="K339" t="s">
        <v>645</v>
      </c>
      <c r="M339" s="1" t="s">
        <v>58</v>
      </c>
      <c r="N339" s="1">
        <v>0</v>
      </c>
      <c r="O339" s="1" t="s">
        <v>105</v>
      </c>
      <c r="P339" s="186">
        <v>44713.413391203707</v>
      </c>
      <c r="R339" s="1">
        <v>2</v>
      </c>
      <c r="T339" s="1" t="s">
        <v>646</v>
      </c>
      <c r="U339" s="186">
        <v>44714.413391203707</v>
      </c>
      <c r="V339" s="1" t="s">
        <v>41</v>
      </c>
      <c r="W339" s="1" t="s">
        <v>49</v>
      </c>
      <c r="X339" s="13"/>
      <c r="Y339" s="2">
        <f t="shared" ca="1" si="30"/>
        <v>196</v>
      </c>
      <c r="Z339" s="14">
        <v>1</v>
      </c>
      <c r="AA339" s="1" t="str">
        <f t="shared" ca="1" si="31"/>
        <v>VENCIDO</v>
      </c>
      <c r="AB339" s="1" t="str">
        <f t="shared" si="32"/>
        <v>SL-On</v>
      </c>
      <c r="AC339" s="2" t="str">
        <f t="shared" si="35"/>
        <v xml:space="preserve"> ROSEMERE </v>
      </c>
      <c r="AD339" s="2">
        <f t="shared" si="33"/>
        <v>1</v>
      </c>
      <c r="AE339" s="2">
        <f t="shared" ca="1" si="34"/>
        <v>-272.26288043981185</v>
      </c>
      <c r="AF339" s="15"/>
    </row>
    <row r="340" spans="1:32" hidden="1">
      <c r="A340" s="1">
        <v>8642415</v>
      </c>
      <c r="B340" s="1" t="s">
        <v>653</v>
      </c>
      <c r="C340" t="s">
        <v>654</v>
      </c>
      <c r="E340" s="2">
        <v>1643001400040</v>
      </c>
      <c r="F340" s="1" t="s">
        <v>644</v>
      </c>
      <c r="G340" s="1" t="s">
        <v>53</v>
      </c>
      <c r="H340" s="1" t="s">
        <v>361</v>
      </c>
      <c r="I340" s="1" t="s">
        <v>362</v>
      </c>
      <c r="J340" s="1" t="s">
        <v>261</v>
      </c>
      <c r="K340" t="s">
        <v>645</v>
      </c>
      <c r="M340" s="1" t="s">
        <v>58</v>
      </c>
      <c r="N340" s="1">
        <v>0</v>
      </c>
      <c r="O340" s="1" t="s">
        <v>105</v>
      </c>
      <c r="P340" s="186">
        <v>44713.413356481484</v>
      </c>
      <c r="R340" s="1">
        <v>2</v>
      </c>
      <c r="T340" s="1" t="s">
        <v>646</v>
      </c>
      <c r="U340" s="186">
        <v>44714.413356481484</v>
      </c>
      <c r="V340" s="1" t="s">
        <v>41</v>
      </c>
      <c r="W340" s="1" t="s">
        <v>49</v>
      </c>
      <c r="X340" s="13"/>
      <c r="Y340" s="2">
        <f t="shared" ca="1" si="30"/>
        <v>196</v>
      </c>
      <c r="Z340" s="14">
        <v>1</v>
      </c>
      <c r="AA340" s="1" t="str">
        <f t="shared" ca="1" si="31"/>
        <v>VENCIDO</v>
      </c>
      <c r="AB340" s="1" t="str">
        <f t="shared" si="32"/>
        <v>SL-On</v>
      </c>
      <c r="AC340" s="2" t="str">
        <f t="shared" si="35"/>
        <v xml:space="preserve"> CRISTINA </v>
      </c>
      <c r="AD340" s="2">
        <f t="shared" si="33"/>
        <v>1</v>
      </c>
      <c r="AE340" s="2">
        <f t="shared" ca="1" si="34"/>
        <v>-272.26291516203491</v>
      </c>
      <c r="AF340" s="15"/>
    </row>
    <row r="341" spans="1:32" hidden="1">
      <c r="A341" s="1">
        <v>8642300</v>
      </c>
      <c r="B341" s="1" t="s">
        <v>653</v>
      </c>
      <c r="C341" t="s">
        <v>654</v>
      </c>
      <c r="E341" s="2">
        <v>1509001400040</v>
      </c>
      <c r="F341" s="1" t="s">
        <v>644</v>
      </c>
      <c r="G341" s="1" t="s">
        <v>53</v>
      </c>
      <c r="H341" s="1" t="s">
        <v>731</v>
      </c>
      <c r="I341" s="1" t="s">
        <v>732</v>
      </c>
      <c r="J341" s="1" t="s">
        <v>46</v>
      </c>
      <c r="K341" t="s">
        <v>645</v>
      </c>
      <c r="M341" s="1" t="s">
        <v>58</v>
      </c>
      <c r="N341" s="1">
        <v>0</v>
      </c>
      <c r="O341" s="1" t="s">
        <v>105</v>
      </c>
      <c r="P341" s="186">
        <v>44713.412974537037</v>
      </c>
      <c r="R341" s="1">
        <v>3</v>
      </c>
      <c r="T341" s="1" t="s">
        <v>646</v>
      </c>
      <c r="U341" s="186">
        <v>44714.412974537037</v>
      </c>
      <c r="V341" s="1" t="s">
        <v>41</v>
      </c>
      <c r="W341" s="1" t="s">
        <v>49</v>
      </c>
      <c r="X341" s="13"/>
      <c r="Y341" s="2">
        <f t="shared" ca="1" si="30"/>
        <v>196</v>
      </c>
      <c r="Z341" s="14">
        <v>1</v>
      </c>
      <c r="AA341" s="1" t="str">
        <f t="shared" ca="1" si="31"/>
        <v>VENCIDO</v>
      </c>
      <c r="AB341" s="1" t="str">
        <f t="shared" si="32"/>
        <v>SL-On</v>
      </c>
      <c r="AC341" s="2" t="str">
        <f t="shared" si="35"/>
        <v xml:space="preserve"> CLEITON </v>
      </c>
      <c r="AD341" s="2">
        <f t="shared" si="33"/>
        <v>1</v>
      </c>
      <c r="AE341" s="2">
        <f t="shared" ca="1" si="34"/>
        <v>-272.26329710648133</v>
      </c>
      <c r="AF341" s="15"/>
    </row>
    <row r="342" spans="1:32">
      <c r="A342" s="1">
        <v>8642161</v>
      </c>
      <c r="B342" s="1" t="s">
        <v>653</v>
      </c>
      <c r="C342" t="s">
        <v>654</v>
      </c>
      <c r="E342" s="2">
        <v>1362001400040</v>
      </c>
      <c r="F342" s="1" t="s">
        <v>644</v>
      </c>
      <c r="G342" s="1" t="s">
        <v>53</v>
      </c>
      <c r="H342" s="1" t="s">
        <v>268</v>
      </c>
      <c r="I342" s="1" t="s">
        <v>269</v>
      </c>
      <c r="J342" s="1" t="s">
        <v>90</v>
      </c>
      <c r="K342" t="s">
        <v>645</v>
      </c>
      <c r="M342" s="1" t="s">
        <v>58</v>
      </c>
      <c r="N342" s="1">
        <v>0</v>
      </c>
      <c r="O342" s="1" t="s">
        <v>105</v>
      </c>
      <c r="P342" s="186">
        <v>44713.412453703706</v>
      </c>
      <c r="R342" s="1">
        <v>3</v>
      </c>
      <c r="T342" s="1" t="s">
        <v>646</v>
      </c>
      <c r="U342" s="186">
        <v>44714.412453703706</v>
      </c>
      <c r="V342" s="1" t="s">
        <v>41</v>
      </c>
      <c r="W342" s="1" t="s">
        <v>49</v>
      </c>
      <c r="X342" s="13"/>
      <c r="Y342" s="2">
        <f t="shared" ca="1" si="30"/>
        <v>196</v>
      </c>
      <c r="Z342" s="14">
        <v>1</v>
      </c>
      <c r="AA342" s="1" t="str">
        <f t="shared" ca="1" si="31"/>
        <v>VENCIDO</v>
      </c>
      <c r="AB342" s="1" t="str">
        <f t="shared" si="32"/>
        <v>SL-On</v>
      </c>
      <c r="AC342" s="2" t="str">
        <f t="shared" si="35"/>
        <v xml:space="preserve"> RINALDO </v>
      </c>
      <c r="AD342" s="2">
        <f t="shared" si="33"/>
        <v>1</v>
      </c>
      <c r="AE342" s="2">
        <f t="shared" ca="1" si="34"/>
        <v>-272.26381793981272</v>
      </c>
      <c r="AF342" s="15"/>
    </row>
    <row r="343" spans="1:32" hidden="1">
      <c r="A343" s="1">
        <v>8642159</v>
      </c>
      <c r="B343" s="1" t="s">
        <v>653</v>
      </c>
      <c r="C343" t="s">
        <v>654</v>
      </c>
      <c r="E343" s="2">
        <v>1360001400040</v>
      </c>
      <c r="F343" s="1" t="s">
        <v>644</v>
      </c>
      <c r="G343" s="1" t="s">
        <v>53</v>
      </c>
      <c r="H343" s="1" t="s">
        <v>303</v>
      </c>
      <c r="I343" s="1" t="s">
        <v>304</v>
      </c>
      <c r="J343" s="1" t="s">
        <v>261</v>
      </c>
      <c r="K343" t="s">
        <v>645</v>
      </c>
      <c r="M343" s="1" t="s">
        <v>58</v>
      </c>
      <c r="N343" s="1">
        <v>0</v>
      </c>
      <c r="O343" s="1" t="s">
        <v>105</v>
      </c>
      <c r="P343" s="186">
        <v>44713.412453703706</v>
      </c>
      <c r="R343" s="1">
        <v>3</v>
      </c>
      <c r="T343" s="1" t="s">
        <v>646</v>
      </c>
      <c r="U343" s="186">
        <v>44714.412453703706</v>
      </c>
      <c r="V343" s="1" t="s">
        <v>41</v>
      </c>
      <c r="W343" s="1" t="s">
        <v>49</v>
      </c>
      <c r="X343" s="13"/>
      <c r="Y343" s="2">
        <f t="shared" ca="1" si="30"/>
        <v>196</v>
      </c>
      <c r="Z343" s="14">
        <v>1</v>
      </c>
      <c r="AA343" s="1" t="str">
        <f t="shared" ca="1" si="31"/>
        <v>VENCIDO</v>
      </c>
      <c r="AB343" s="1" t="str">
        <f t="shared" si="32"/>
        <v>SL-On</v>
      </c>
      <c r="AC343" s="2" t="str">
        <f t="shared" si="35"/>
        <v xml:space="preserve"> CRISTINA </v>
      </c>
      <c r="AD343" s="2">
        <f t="shared" si="33"/>
        <v>1</v>
      </c>
      <c r="AE343" s="2">
        <f t="shared" ca="1" si="34"/>
        <v>-272.26381793981272</v>
      </c>
      <c r="AF343" s="15"/>
    </row>
    <row r="344" spans="1:32" hidden="1">
      <c r="A344" s="1">
        <v>8642158</v>
      </c>
      <c r="B344" s="1" t="s">
        <v>653</v>
      </c>
      <c r="C344" t="s">
        <v>654</v>
      </c>
      <c r="E344" s="2">
        <v>1359001400040</v>
      </c>
      <c r="F344" s="1" t="s">
        <v>644</v>
      </c>
      <c r="G344" s="1" t="s">
        <v>53</v>
      </c>
      <c r="H344" s="1" t="s">
        <v>270</v>
      </c>
      <c r="I344" s="1" t="s">
        <v>271</v>
      </c>
      <c r="J344" s="1" t="s">
        <v>141</v>
      </c>
      <c r="K344" t="s">
        <v>645</v>
      </c>
      <c r="M344" s="1" t="s">
        <v>58</v>
      </c>
      <c r="N344" s="1">
        <v>0</v>
      </c>
      <c r="O344" s="1" t="s">
        <v>105</v>
      </c>
      <c r="P344" s="186">
        <v>44713.412453703706</v>
      </c>
      <c r="R344" s="1">
        <v>2</v>
      </c>
      <c r="T344" s="1" t="s">
        <v>646</v>
      </c>
      <c r="U344" s="186">
        <v>44714.412453703706</v>
      </c>
      <c r="V344" s="1" t="s">
        <v>41</v>
      </c>
      <c r="W344" s="1" t="s">
        <v>49</v>
      </c>
      <c r="X344" s="13"/>
      <c r="Y344" s="2">
        <f t="shared" ca="1" si="30"/>
        <v>196</v>
      </c>
      <c r="Z344" s="14">
        <v>1</v>
      </c>
      <c r="AA344" s="1" t="str">
        <f t="shared" ca="1" si="31"/>
        <v>VENCIDO</v>
      </c>
      <c r="AB344" s="1" t="str">
        <f t="shared" si="32"/>
        <v>SL-On</v>
      </c>
      <c r="AC344" s="2" t="str">
        <f t="shared" si="35"/>
        <v xml:space="preserve"> CRISTINA </v>
      </c>
      <c r="AD344" s="2">
        <f t="shared" si="33"/>
        <v>1</v>
      </c>
      <c r="AE344" s="2">
        <f t="shared" ca="1" si="34"/>
        <v>-272.26381793981272</v>
      </c>
      <c r="AF344" s="15"/>
    </row>
    <row r="345" spans="1:32">
      <c r="A345" s="1">
        <v>8641875</v>
      </c>
      <c r="B345" s="1" t="s">
        <v>653</v>
      </c>
      <c r="C345" t="s">
        <v>654</v>
      </c>
      <c r="E345" s="2">
        <v>1059001400040</v>
      </c>
      <c r="F345" s="1" t="s">
        <v>644</v>
      </c>
      <c r="G345" s="1" t="s">
        <v>53</v>
      </c>
      <c r="H345" s="1" t="s">
        <v>88</v>
      </c>
      <c r="I345" s="1" t="s">
        <v>89</v>
      </c>
      <c r="J345" s="1" t="s">
        <v>90</v>
      </c>
      <c r="K345" t="s">
        <v>645</v>
      </c>
      <c r="M345" s="1" t="s">
        <v>58</v>
      </c>
      <c r="N345" s="1">
        <v>0</v>
      </c>
      <c r="O345" s="1" t="s">
        <v>105</v>
      </c>
      <c r="P345" s="186">
        <v>44713.411435185182</v>
      </c>
      <c r="R345" s="1">
        <v>2</v>
      </c>
      <c r="T345" s="1" t="s">
        <v>646</v>
      </c>
      <c r="U345" s="186">
        <v>44714.411435185182</v>
      </c>
      <c r="V345" s="1" t="s">
        <v>41</v>
      </c>
      <c r="W345" s="1" t="s">
        <v>49</v>
      </c>
      <c r="X345" s="13"/>
      <c r="Y345" s="2">
        <f t="shared" ca="1" si="30"/>
        <v>196</v>
      </c>
      <c r="Z345" s="14">
        <v>1</v>
      </c>
      <c r="AA345" s="1" t="str">
        <f t="shared" ca="1" si="31"/>
        <v>VENCIDO</v>
      </c>
      <c r="AB345" s="1" t="str">
        <f t="shared" si="32"/>
        <v>SL-On</v>
      </c>
      <c r="AC345" s="2" t="str">
        <f t="shared" si="35"/>
        <v xml:space="preserve"> RINALDO </v>
      </c>
      <c r="AD345" s="2">
        <f t="shared" si="33"/>
        <v>1</v>
      </c>
      <c r="AE345" s="2">
        <f t="shared" ca="1" si="34"/>
        <v>-272.2648364583365</v>
      </c>
      <c r="AF345" s="15"/>
    </row>
    <row r="346" spans="1:32" hidden="1">
      <c r="A346" s="1">
        <v>8641866</v>
      </c>
      <c r="B346" s="1" t="s">
        <v>653</v>
      </c>
      <c r="C346" t="s">
        <v>654</v>
      </c>
      <c r="E346" s="2">
        <v>1049001400040</v>
      </c>
      <c r="F346" s="1" t="s">
        <v>644</v>
      </c>
      <c r="G346" s="1" t="s">
        <v>53</v>
      </c>
      <c r="H346" s="1" t="s">
        <v>169</v>
      </c>
      <c r="I346" s="1" t="s">
        <v>170</v>
      </c>
      <c r="J346" s="1" t="s">
        <v>164</v>
      </c>
      <c r="K346" t="s">
        <v>645</v>
      </c>
      <c r="M346" s="1" t="s">
        <v>58</v>
      </c>
      <c r="N346" s="1">
        <v>0</v>
      </c>
      <c r="O346" s="1" t="s">
        <v>105</v>
      </c>
      <c r="P346" s="186">
        <v>44713.411423611113</v>
      </c>
      <c r="R346" s="1">
        <v>2</v>
      </c>
      <c r="T346" s="1" t="s">
        <v>646</v>
      </c>
      <c r="U346" s="186">
        <v>44714.411423611113</v>
      </c>
      <c r="V346" s="1" t="s">
        <v>41</v>
      </c>
      <c r="W346" s="1" t="s">
        <v>49</v>
      </c>
      <c r="X346" s="13"/>
      <c r="Y346" s="2">
        <f t="shared" ca="1" si="30"/>
        <v>196</v>
      </c>
      <c r="Z346" s="14">
        <v>1</v>
      </c>
      <c r="AA346" s="1" t="str">
        <f t="shared" ca="1" si="31"/>
        <v>VENCIDO</v>
      </c>
      <c r="AB346" s="1" t="str">
        <f t="shared" si="32"/>
        <v>SL-On</v>
      </c>
      <c r="AC346" s="2" t="str">
        <f t="shared" si="35"/>
        <v xml:space="preserve"> ROSEMERE </v>
      </c>
      <c r="AD346" s="2">
        <f t="shared" si="33"/>
        <v>1</v>
      </c>
      <c r="AE346" s="2">
        <f t="shared" ca="1" si="34"/>
        <v>-272.26484803240601</v>
      </c>
      <c r="AF346" s="15"/>
    </row>
    <row r="347" spans="1:32" hidden="1">
      <c r="A347" s="1">
        <v>8641757</v>
      </c>
      <c r="B347" s="1" t="s">
        <v>653</v>
      </c>
      <c r="C347" t="s">
        <v>654</v>
      </c>
      <c r="E347" s="2">
        <v>934001400040</v>
      </c>
      <c r="F347" s="1" t="s">
        <v>644</v>
      </c>
      <c r="G347" s="1" t="s">
        <v>53</v>
      </c>
      <c r="H347" s="1" t="s">
        <v>428</v>
      </c>
      <c r="I347" s="1" t="s">
        <v>429</v>
      </c>
      <c r="J347" s="1" t="s">
        <v>46</v>
      </c>
      <c r="K347" t="s">
        <v>645</v>
      </c>
      <c r="M347" s="1" t="s">
        <v>58</v>
      </c>
      <c r="N347" s="1">
        <v>0</v>
      </c>
      <c r="O347" s="1" t="s">
        <v>105</v>
      </c>
      <c r="P347" s="186">
        <v>44713.411087962966</v>
      </c>
      <c r="R347" s="1">
        <v>2</v>
      </c>
      <c r="T347" s="1" t="s">
        <v>646</v>
      </c>
      <c r="U347" s="186">
        <v>44714.411087962966</v>
      </c>
      <c r="V347" s="1" t="s">
        <v>41</v>
      </c>
      <c r="W347" s="1" t="s">
        <v>49</v>
      </c>
      <c r="X347" s="13"/>
      <c r="Y347" s="2">
        <f t="shared" ca="1" si="30"/>
        <v>196</v>
      </c>
      <c r="Z347" s="14">
        <v>1</v>
      </c>
      <c r="AA347" s="1" t="str">
        <f t="shared" ca="1" si="31"/>
        <v>VENCIDO</v>
      </c>
      <c r="AB347" s="1" t="str">
        <f t="shared" si="32"/>
        <v>SL-On</v>
      </c>
      <c r="AC347" s="2" t="str">
        <f t="shared" si="35"/>
        <v xml:space="preserve"> CLEITON </v>
      </c>
      <c r="AD347" s="2">
        <f t="shared" si="33"/>
        <v>1</v>
      </c>
      <c r="AE347" s="2">
        <f t="shared" ca="1" si="34"/>
        <v>-272.26518368055258</v>
      </c>
      <c r="AF347" s="15"/>
    </row>
    <row r="348" spans="1:32" hidden="1">
      <c r="A348" s="1">
        <v>8641532</v>
      </c>
      <c r="B348" s="1" t="s">
        <v>653</v>
      </c>
      <c r="C348" t="s">
        <v>654</v>
      </c>
      <c r="E348" s="2">
        <v>714001400040</v>
      </c>
      <c r="F348" s="1" t="s">
        <v>644</v>
      </c>
      <c r="G348" s="1" t="s">
        <v>53</v>
      </c>
      <c r="H348" s="1" t="s">
        <v>377</v>
      </c>
      <c r="I348" s="1" t="s">
        <v>378</v>
      </c>
      <c r="J348" s="1" t="s">
        <v>46</v>
      </c>
      <c r="K348" t="s">
        <v>645</v>
      </c>
      <c r="M348" s="1" t="s">
        <v>58</v>
      </c>
      <c r="N348" s="1">
        <v>0</v>
      </c>
      <c r="O348" s="1" t="s">
        <v>105</v>
      </c>
      <c r="P348" s="186">
        <v>44713.410324074073</v>
      </c>
      <c r="R348" s="1">
        <v>3</v>
      </c>
      <c r="T348" s="1" t="s">
        <v>646</v>
      </c>
      <c r="U348" s="186">
        <v>44714.410324074073</v>
      </c>
      <c r="V348" s="1" t="s">
        <v>41</v>
      </c>
      <c r="W348" s="1" t="s">
        <v>49</v>
      </c>
      <c r="X348" s="13"/>
      <c r="Y348" s="2">
        <f t="shared" ca="1" si="30"/>
        <v>196</v>
      </c>
      <c r="Z348" s="14">
        <v>1</v>
      </c>
      <c r="AA348" s="1" t="str">
        <f t="shared" ca="1" si="31"/>
        <v>VENCIDO</v>
      </c>
      <c r="AB348" s="1" t="str">
        <f t="shared" si="32"/>
        <v>SL-On</v>
      </c>
      <c r="AC348" s="2" t="str">
        <f t="shared" si="35"/>
        <v xml:space="preserve"> CLEITON </v>
      </c>
      <c r="AD348" s="2">
        <f t="shared" si="33"/>
        <v>1</v>
      </c>
      <c r="AE348" s="2">
        <f t="shared" ca="1" si="34"/>
        <v>-272.26594756944542</v>
      </c>
      <c r="AF348" s="15"/>
    </row>
    <row r="349" spans="1:32" hidden="1">
      <c r="A349" s="1">
        <v>8641530</v>
      </c>
      <c r="B349" s="1" t="s">
        <v>653</v>
      </c>
      <c r="C349" t="s">
        <v>654</v>
      </c>
      <c r="E349" s="2">
        <v>711001400040</v>
      </c>
      <c r="F349" s="1" t="s">
        <v>644</v>
      </c>
      <c r="G349" s="1" t="s">
        <v>53</v>
      </c>
      <c r="H349" s="1" t="s">
        <v>77</v>
      </c>
      <c r="I349" s="1" t="s">
        <v>78</v>
      </c>
      <c r="J349" s="1" t="s">
        <v>79</v>
      </c>
      <c r="K349" t="s">
        <v>645</v>
      </c>
      <c r="M349" s="1" t="s">
        <v>58</v>
      </c>
      <c r="N349" s="1">
        <v>0</v>
      </c>
      <c r="O349" s="1" t="s">
        <v>105</v>
      </c>
      <c r="P349" s="186">
        <v>44713.410324074073</v>
      </c>
      <c r="R349" s="1">
        <v>2</v>
      </c>
      <c r="T349" s="1" t="s">
        <v>646</v>
      </c>
      <c r="U349" s="186">
        <v>44714.410324074073</v>
      </c>
      <c r="V349" s="1" t="s">
        <v>41</v>
      </c>
      <c r="W349" s="1" t="s">
        <v>49</v>
      </c>
      <c r="X349" s="13"/>
      <c r="Y349" s="2">
        <f t="shared" ca="1" si="30"/>
        <v>196</v>
      </c>
      <c r="Z349" s="14">
        <v>1</v>
      </c>
      <c r="AA349" s="1" t="str">
        <f t="shared" ca="1" si="31"/>
        <v>VENCIDO</v>
      </c>
      <c r="AB349" s="1" t="str">
        <f t="shared" si="32"/>
        <v>SL-On</v>
      </c>
      <c r="AC349" s="2" t="str">
        <f t="shared" si="35"/>
        <v xml:space="preserve"> ROSEMERE </v>
      </c>
      <c r="AD349" s="2">
        <f t="shared" si="33"/>
        <v>1</v>
      </c>
      <c r="AE349" s="2">
        <f t="shared" ca="1" si="34"/>
        <v>-272.26594756944542</v>
      </c>
      <c r="AF349" s="15"/>
    </row>
    <row r="350" spans="1:32" hidden="1">
      <c r="A350" s="1">
        <v>8641366</v>
      </c>
      <c r="B350" s="1" t="s">
        <v>653</v>
      </c>
      <c r="C350" t="s">
        <v>654</v>
      </c>
      <c r="E350" s="2">
        <v>550001400040</v>
      </c>
      <c r="F350" s="1" t="s">
        <v>644</v>
      </c>
      <c r="G350" s="1" t="s">
        <v>53</v>
      </c>
      <c r="H350" s="1" t="s">
        <v>337</v>
      </c>
      <c r="I350" s="1" t="s">
        <v>338</v>
      </c>
      <c r="J350" s="1" t="s">
        <v>164</v>
      </c>
      <c r="K350" t="s">
        <v>645</v>
      </c>
      <c r="M350" s="1" t="s">
        <v>58</v>
      </c>
      <c r="N350" s="1">
        <v>0</v>
      </c>
      <c r="O350" s="1" t="s">
        <v>105</v>
      </c>
      <c r="P350" s="186">
        <v>44713.40965277778</v>
      </c>
      <c r="R350" s="1">
        <v>3</v>
      </c>
      <c r="T350" s="1" t="s">
        <v>646</v>
      </c>
      <c r="U350" s="186">
        <v>44714.40965277778</v>
      </c>
      <c r="V350" s="1" t="s">
        <v>41</v>
      </c>
      <c r="W350" s="1" t="s">
        <v>49</v>
      </c>
      <c r="X350" s="13"/>
      <c r="Y350" s="2">
        <f t="shared" ca="1" si="30"/>
        <v>196</v>
      </c>
      <c r="Z350" s="14">
        <v>1</v>
      </c>
      <c r="AA350" s="1" t="str">
        <f t="shared" ca="1" si="31"/>
        <v>VENCIDO</v>
      </c>
      <c r="AB350" s="1" t="str">
        <f t="shared" si="32"/>
        <v>SL-On</v>
      </c>
      <c r="AC350" s="2" t="str">
        <f t="shared" si="35"/>
        <v xml:space="preserve"> ROSEMERE </v>
      </c>
      <c r="AD350" s="2">
        <f t="shared" si="33"/>
        <v>1</v>
      </c>
      <c r="AE350" s="2">
        <f t="shared" ca="1" si="34"/>
        <v>-272.26661886573856</v>
      </c>
      <c r="AF350" s="15"/>
    </row>
    <row r="351" spans="1:32" hidden="1">
      <c r="A351" s="1">
        <v>8641356</v>
      </c>
      <c r="B351" s="1" t="s">
        <v>653</v>
      </c>
      <c r="C351" t="s">
        <v>654</v>
      </c>
      <c r="E351" s="2">
        <v>537001400040</v>
      </c>
      <c r="F351" s="1" t="s">
        <v>644</v>
      </c>
      <c r="G351" s="1" t="s">
        <v>53</v>
      </c>
      <c r="H351" s="1" t="s">
        <v>442</v>
      </c>
      <c r="I351" s="1" t="s">
        <v>443</v>
      </c>
      <c r="J351" s="1" t="s">
        <v>79</v>
      </c>
      <c r="K351" t="s">
        <v>645</v>
      </c>
      <c r="M351" s="1" t="s">
        <v>58</v>
      </c>
      <c r="N351" s="1">
        <v>0</v>
      </c>
      <c r="O351" s="1" t="s">
        <v>105</v>
      </c>
      <c r="P351" s="186">
        <v>44713.409641203703</v>
      </c>
      <c r="R351" s="1">
        <v>2</v>
      </c>
      <c r="T351" s="1" t="s">
        <v>646</v>
      </c>
      <c r="U351" s="186">
        <v>44714.409641203703</v>
      </c>
      <c r="V351" s="1" t="s">
        <v>41</v>
      </c>
      <c r="W351" s="1" t="s">
        <v>49</v>
      </c>
      <c r="X351" s="13"/>
      <c r="Y351" s="2">
        <f t="shared" ca="1" si="30"/>
        <v>196</v>
      </c>
      <c r="Z351" s="14">
        <v>1</v>
      </c>
      <c r="AA351" s="1" t="str">
        <f t="shared" ca="1" si="31"/>
        <v>VENCIDO</v>
      </c>
      <c r="AB351" s="1" t="str">
        <f t="shared" si="32"/>
        <v>SL-On</v>
      </c>
      <c r="AC351" s="2" t="str">
        <f t="shared" si="35"/>
        <v xml:space="preserve"> ROSEMERE </v>
      </c>
      <c r="AD351" s="2">
        <f t="shared" si="33"/>
        <v>1</v>
      </c>
      <c r="AE351" s="2">
        <f t="shared" ca="1" si="34"/>
        <v>-272.26663043981534</v>
      </c>
      <c r="AF351" s="15"/>
    </row>
    <row r="352" spans="1:32" hidden="1">
      <c r="A352" s="1">
        <v>8641265</v>
      </c>
      <c r="B352" s="1" t="s">
        <v>653</v>
      </c>
      <c r="C352" t="s">
        <v>654</v>
      </c>
      <c r="E352" s="2">
        <v>446001400040</v>
      </c>
      <c r="F352" s="1" t="s">
        <v>644</v>
      </c>
      <c r="G352" s="1" t="s">
        <v>53</v>
      </c>
      <c r="H352" s="1" t="s">
        <v>432</v>
      </c>
      <c r="I352" s="1" t="s">
        <v>433</v>
      </c>
      <c r="J352" s="1" t="s">
        <v>110</v>
      </c>
      <c r="K352" t="s">
        <v>645</v>
      </c>
      <c r="M352" s="1" t="s">
        <v>58</v>
      </c>
      <c r="N352" s="1">
        <v>0</v>
      </c>
      <c r="O352" s="1" t="s">
        <v>105</v>
      </c>
      <c r="P352" s="186">
        <v>44713.409317129626</v>
      </c>
      <c r="R352" s="1">
        <v>3</v>
      </c>
      <c r="T352" s="1" t="s">
        <v>646</v>
      </c>
      <c r="U352" s="186">
        <v>44714.409328703703</v>
      </c>
      <c r="V352" s="1" t="s">
        <v>41</v>
      </c>
      <c r="W352" s="1" t="s">
        <v>49</v>
      </c>
      <c r="X352" s="13"/>
      <c r="Y352" s="2">
        <f t="shared" ca="1" si="30"/>
        <v>196</v>
      </c>
      <c r="Z352" s="14">
        <v>1</v>
      </c>
      <c r="AA352" s="1" t="str">
        <f t="shared" ca="1" si="31"/>
        <v>VENCIDO</v>
      </c>
      <c r="AB352" s="1" t="str">
        <f t="shared" si="32"/>
        <v>SL-On</v>
      </c>
      <c r="AC352" s="2" t="str">
        <f t="shared" si="35"/>
        <v xml:space="preserve"> CRISTINA </v>
      </c>
      <c r="AD352" s="2">
        <f t="shared" si="33"/>
        <v>1</v>
      </c>
      <c r="AE352" s="2">
        <f t="shared" ca="1" si="34"/>
        <v>-272.26694293981564</v>
      </c>
      <c r="AF352" s="15"/>
    </row>
    <row r="353" spans="1:32" hidden="1">
      <c r="A353" s="1">
        <v>8641027</v>
      </c>
      <c r="B353" s="1" t="s">
        <v>653</v>
      </c>
      <c r="C353" t="s">
        <v>654</v>
      </c>
      <c r="E353" s="2">
        <v>233001400040</v>
      </c>
      <c r="F353" s="1" t="s">
        <v>644</v>
      </c>
      <c r="G353" s="1" t="s">
        <v>53</v>
      </c>
      <c r="H353" s="1" t="s">
        <v>424</v>
      </c>
      <c r="I353" s="1" t="s">
        <v>425</v>
      </c>
      <c r="J353" s="1" t="s">
        <v>261</v>
      </c>
      <c r="K353" t="s">
        <v>645</v>
      </c>
      <c r="M353" s="1" t="s">
        <v>58</v>
      </c>
      <c r="N353" s="1">
        <v>0</v>
      </c>
      <c r="O353" s="1" t="s">
        <v>105</v>
      </c>
      <c r="P353" s="186">
        <v>44713.408125000002</v>
      </c>
      <c r="R353" s="1">
        <v>2</v>
      </c>
      <c r="T353" s="1" t="s">
        <v>646</v>
      </c>
      <c r="U353" s="186">
        <v>44714.408125000002</v>
      </c>
      <c r="V353" s="1" t="s">
        <v>41</v>
      </c>
      <c r="W353" s="1" t="s">
        <v>49</v>
      </c>
      <c r="X353" s="13"/>
      <c r="Y353" s="2">
        <f t="shared" ca="1" si="30"/>
        <v>196</v>
      </c>
      <c r="Z353" s="14">
        <v>1</v>
      </c>
      <c r="AA353" s="1" t="str">
        <f t="shared" ca="1" si="31"/>
        <v>VENCIDO</v>
      </c>
      <c r="AB353" s="1" t="str">
        <f t="shared" si="32"/>
        <v>SL-On</v>
      </c>
      <c r="AC353" s="2" t="str">
        <f t="shared" si="35"/>
        <v xml:space="preserve"> CRISTINA </v>
      </c>
      <c r="AD353" s="2">
        <f t="shared" si="33"/>
        <v>1</v>
      </c>
      <c r="AE353" s="2">
        <f t="shared" ca="1" si="34"/>
        <v>-272.26814664351696</v>
      </c>
      <c r="AF353" s="15"/>
    </row>
    <row r="354" spans="1:32" hidden="1">
      <c r="A354" s="1">
        <v>8640672</v>
      </c>
      <c r="B354" s="1" t="s">
        <v>653</v>
      </c>
      <c r="C354" t="s">
        <v>752</v>
      </c>
      <c r="E354" s="2">
        <v>7802341400030</v>
      </c>
      <c r="F354" s="1" t="s">
        <v>647</v>
      </c>
      <c r="G354" s="1" t="s">
        <v>53</v>
      </c>
      <c r="H354" s="1" t="s">
        <v>753</v>
      </c>
      <c r="I354" s="1" t="s">
        <v>754</v>
      </c>
      <c r="J354" s="1" t="s">
        <v>46</v>
      </c>
      <c r="K354" t="s">
        <v>650</v>
      </c>
      <c r="M354" s="1" t="s">
        <v>58</v>
      </c>
      <c r="N354" s="1">
        <v>0</v>
      </c>
      <c r="O354" s="1" t="s">
        <v>105</v>
      </c>
      <c r="P354" s="186">
        <v>44713.406956018516</v>
      </c>
      <c r="R354" s="1">
        <v>4</v>
      </c>
      <c r="T354" s="1" t="s">
        <v>646</v>
      </c>
      <c r="U354" s="186">
        <v>44714.406956018516</v>
      </c>
      <c r="V354" s="1" t="s">
        <v>41</v>
      </c>
      <c r="W354" s="1" t="s">
        <v>49</v>
      </c>
      <c r="X354" s="13"/>
      <c r="Y354" s="2">
        <f t="shared" ca="1" si="30"/>
        <v>196</v>
      </c>
      <c r="Z354" s="14">
        <v>1</v>
      </c>
      <c r="AA354" s="1" t="str">
        <f t="shared" ca="1" si="31"/>
        <v>VENCIDO</v>
      </c>
      <c r="AB354" s="1" t="str">
        <f t="shared" si="32"/>
        <v>C-14</v>
      </c>
      <c r="AC354" s="2" t="str">
        <f t="shared" si="35"/>
        <v xml:space="preserve"> CLEITON </v>
      </c>
      <c r="AD354" s="2">
        <f t="shared" si="33"/>
        <v>15</v>
      </c>
      <c r="AE354" s="2">
        <f t="shared" ca="1" si="34"/>
        <v>-272.26931562500249</v>
      </c>
      <c r="AF354" s="15"/>
    </row>
    <row r="355" spans="1:32" hidden="1">
      <c r="A355" s="1">
        <v>8640671</v>
      </c>
      <c r="B355" s="1" t="s">
        <v>653</v>
      </c>
      <c r="C355" t="s">
        <v>752</v>
      </c>
      <c r="E355" s="2">
        <v>7802281400030</v>
      </c>
      <c r="F355" s="1" t="s">
        <v>647</v>
      </c>
      <c r="G355" s="1" t="s">
        <v>53</v>
      </c>
      <c r="H355" s="1" t="s">
        <v>757</v>
      </c>
      <c r="I355" s="1" t="s">
        <v>758</v>
      </c>
      <c r="J355" s="1" t="s">
        <v>46</v>
      </c>
      <c r="K355" t="s">
        <v>650</v>
      </c>
      <c r="M355" s="1" t="s">
        <v>58</v>
      </c>
      <c r="N355" s="1">
        <v>0</v>
      </c>
      <c r="O355" s="1" t="s">
        <v>105</v>
      </c>
      <c r="P355" s="186">
        <v>44713.406956018516</v>
      </c>
      <c r="R355" s="1">
        <v>4</v>
      </c>
      <c r="T355" s="1" t="s">
        <v>646</v>
      </c>
      <c r="U355" s="186">
        <v>44714.406956018516</v>
      </c>
      <c r="V355" s="1" t="s">
        <v>41</v>
      </c>
      <c r="W355" s="1" t="s">
        <v>49</v>
      </c>
      <c r="X355" s="13"/>
      <c r="Y355" s="2">
        <f t="shared" ca="1" si="30"/>
        <v>196</v>
      </c>
      <c r="Z355" s="14">
        <v>1</v>
      </c>
      <c r="AA355" s="1" t="str">
        <f t="shared" ca="1" si="31"/>
        <v>VENCIDO</v>
      </c>
      <c r="AB355" s="1" t="str">
        <f t="shared" si="32"/>
        <v>C-14</v>
      </c>
      <c r="AC355" s="2" t="str">
        <f t="shared" si="35"/>
        <v xml:space="preserve"> CLEITON </v>
      </c>
      <c r="AD355" s="2">
        <f t="shared" si="33"/>
        <v>15</v>
      </c>
      <c r="AE355" s="2">
        <f t="shared" ca="1" si="34"/>
        <v>-272.26931562500249</v>
      </c>
      <c r="AF355" s="15"/>
    </row>
    <row r="356" spans="1:32" hidden="1">
      <c r="A356" s="1">
        <v>8640670</v>
      </c>
      <c r="B356" s="1" t="s">
        <v>653</v>
      </c>
      <c r="C356" t="s">
        <v>752</v>
      </c>
      <c r="E356" s="2">
        <v>7802221400030</v>
      </c>
      <c r="F356" s="1" t="s">
        <v>647</v>
      </c>
      <c r="G356" s="1" t="s">
        <v>53</v>
      </c>
      <c r="H356" s="1" t="s">
        <v>759</v>
      </c>
      <c r="I356" s="1" t="s">
        <v>760</v>
      </c>
      <c r="J356" s="1" t="s">
        <v>46</v>
      </c>
      <c r="K356" t="s">
        <v>650</v>
      </c>
      <c r="M356" s="1" t="s">
        <v>58</v>
      </c>
      <c r="N356" s="1">
        <v>0</v>
      </c>
      <c r="O356" s="1" t="s">
        <v>105</v>
      </c>
      <c r="P356" s="186">
        <v>44713.406956018516</v>
      </c>
      <c r="R356" s="1">
        <v>4</v>
      </c>
      <c r="T356" s="1" t="s">
        <v>646</v>
      </c>
      <c r="U356" s="186">
        <v>44714.406956018516</v>
      </c>
      <c r="V356" s="1" t="s">
        <v>41</v>
      </c>
      <c r="W356" s="1" t="s">
        <v>49</v>
      </c>
      <c r="X356" s="13"/>
      <c r="Y356" s="2">
        <f t="shared" ca="1" si="30"/>
        <v>196</v>
      </c>
      <c r="Z356" s="14">
        <v>1</v>
      </c>
      <c r="AA356" s="1" t="str">
        <f t="shared" ca="1" si="31"/>
        <v>VENCIDO</v>
      </c>
      <c r="AB356" s="1" t="str">
        <f t="shared" si="32"/>
        <v>C-14</v>
      </c>
      <c r="AC356" s="2" t="str">
        <f t="shared" si="35"/>
        <v xml:space="preserve"> CLEITON </v>
      </c>
      <c r="AD356" s="2">
        <f t="shared" si="33"/>
        <v>15</v>
      </c>
      <c r="AE356" s="2">
        <f t="shared" ca="1" si="34"/>
        <v>-272.26931562500249</v>
      </c>
      <c r="AF356" s="15"/>
    </row>
    <row r="357" spans="1:32" hidden="1">
      <c r="A357" s="1">
        <v>8640669</v>
      </c>
      <c r="B357" s="1" t="s">
        <v>653</v>
      </c>
      <c r="C357" t="s">
        <v>752</v>
      </c>
      <c r="E357" s="2">
        <v>7802211400030</v>
      </c>
      <c r="F357" s="1" t="s">
        <v>647</v>
      </c>
      <c r="G357" s="1" t="s">
        <v>53</v>
      </c>
      <c r="H357" s="1" t="s">
        <v>761</v>
      </c>
      <c r="I357" s="1" t="s">
        <v>762</v>
      </c>
      <c r="J357" s="1" t="s">
        <v>46</v>
      </c>
      <c r="K357" t="s">
        <v>650</v>
      </c>
      <c r="M357" s="1" t="s">
        <v>58</v>
      </c>
      <c r="N357" s="1">
        <v>0</v>
      </c>
      <c r="O357" s="1" t="s">
        <v>105</v>
      </c>
      <c r="P357" s="186">
        <v>44713.406956018516</v>
      </c>
      <c r="R357" s="1">
        <v>4</v>
      </c>
      <c r="T357" s="1" t="s">
        <v>646</v>
      </c>
      <c r="U357" s="186">
        <v>44714.406956018516</v>
      </c>
      <c r="V357" s="1" t="s">
        <v>41</v>
      </c>
      <c r="W357" s="1" t="s">
        <v>49</v>
      </c>
      <c r="X357" s="13"/>
      <c r="Y357" s="2">
        <f t="shared" ca="1" si="30"/>
        <v>196</v>
      </c>
      <c r="Z357" s="14">
        <v>1</v>
      </c>
      <c r="AA357" s="1" t="str">
        <f t="shared" ca="1" si="31"/>
        <v>VENCIDO</v>
      </c>
      <c r="AB357" s="1" t="str">
        <f t="shared" si="32"/>
        <v>C-14</v>
      </c>
      <c r="AC357" s="2" t="str">
        <f t="shared" si="35"/>
        <v xml:space="preserve"> CLEITON </v>
      </c>
      <c r="AD357" s="2">
        <f t="shared" si="33"/>
        <v>15</v>
      </c>
      <c r="AE357" s="2">
        <f t="shared" ca="1" si="34"/>
        <v>-272.26931562500249</v>
      </c>
      <c r="AF357" s="15"/>
    </row>
    <row r="358" spans="1:32" hidden="1">
      <c r="A358" s="1">
        <v>8640668</v>
      </c>
      <c r="B358" s="1" t="s">
        <v>653</v>
      </c>
      <c r="C358" t="s">
        <v>752</v>
      </c>
      <c r="E358" s="2">
        <v>7802191400030</v>
      </c>
      <c r="F358" s="1" t="s">
        <v>647</v>
      </c>
      <c r="G358" s="1" t="s">
        <v>53</v>
      </c>
      <c r="H358" s="1" t="s">
        <v>763</v>
      </c>
      <c r="I358" s="1" t="s">
        <v>764</v>
      </c>
      <c r="J358" s="1" t="s">
        <v>46</v>
      </c>
      <c r="K358" t="s">
        <v>650</v>
      </c>
      <c r="M358" s="1" t="s">
        <v>58</v>
      </c>
      <c r="N358" s="1">
        <v>0</v>
      </c>
      <c r="O358" s="1" t="s">
        <v>105</v>
      </c>
      <c r="P358" s="186">
        <v>44713.406944444447</v>
      </c>
      <c r="R358" s="1">
        <v>4</v>
      </c>
      <c r="T358" s="1" t="s">
        <v>646</v>
      </c>
      <c r="U358" s="186">
        <v>44714.406956018516</v>
      </c>
      <c r="V358" s="1" t="s">
        <v>41</v>
      </c>
      <c r="W358" s="1" t="s">
        <v>49</v>
      </c>
      <c r="X358" s="13"/>
      <c r="Y358" s="2">
        <f t="shared" ca="1" si="30"/>
        <v>196</v>
      </c>
      <c r="Z358" s="14">
        <v>1</v>
      </c>
      <c r="AA358" s="1" t="str">
        <f t="shared" ca="1" si="31"/>
        <v>VENCIDO</v>
      </c>
      <c r="AB358" s="1" t="str">
        <f t="shared" si="32"/>
        <v>C-14</v>
      </c>
      <c r="AC358" s="2" t="str">
        <f t="shared" si="35"/>
        <v xml:space="preserve"> CLEITON </v>
      </c>
      <c r="AD358" s="2">
        <f t="shared" si="33"/>
        <v>15</v>
      </c>
      <c r="AE358" s="2">
        <f t="shared" ca="1" si="34"/>
        <v>-272.26931562500249</v>
      </c>
      <c r="AF358" s="15"/>
    </row>
    <row r="359" spans="1:32" hidden="1">
      <c r="A359" s="1">
        <v>8640667</v>
      </c>
      <c r="B359" s="1" t="s">
        <v>653</v>
      </c>
      <c r="C359" t="s">
        <v>752</v>
      </c>
      <c r="E359" s="2">
        <v>7802181400030</v>
      </c>
      <c r="F359" s="1" t="s">
        <v>647</v>
      </c>
      <c r="G359" s="1" t="s">
        <v>53</v>
      </c>
      <c r="H359" s="1" t="s">
        <v>766</v>
      </c>
      <c r="I359" s="1" t="s">
        <v>767</v>
      </c>
      <c r="J359" s="1" t="s">
        <v>46</v>
      </c>
      <c r="K359" t="s">
        <v>650</v>
      </c>
      <c r="M359" s="1" t="s">
        <v>58</v>
      </c>
      <c r="N359" s="1">
        <v>0</v>
      </c>
      <c r="O359" s="1" t="s">
        <v>105</v>
      </c>
      <c r="P359" s="186">
        <v>44713.406944444447</v>
      </c>
      <c r="R359" s="1">
        <v>4</v>
      </c>
      <c r="T359" s="1" t="s">
        <v>646</v>
      </c>
      <c r="U359" s="186">
        <v>44714.406944444447</v>
      </c>
      <c r="V359" s="1" t="s">
        <v>41</v>
      </c>
      <c r="W359" s="1" t="s">
        <v>49</v>
      </c>
      <c r="X359" s="13"/>
      <c r="Y359" s="2">
        <f t="shared" ca="1" si="30"/>
        <v>196</v>
      </c>
      <c r="Z359" s="14">
        <v>1</v>
      </c>
      <c r="AA359" s="1" t="str">
        <f t="shared" ca="1" si="31"/>
        <v>VENCIDO</v>
      </c>
      <c r="AB359" s="1" t="str">
        <f t="shared" si="32"/>
        <v>C-14</v>
      </c>
      <c r="AC359" s="2" t="str">
        <f t="shared" si="35"/>
        <v xml:space="preserve"> CLEITON </v>
      </c>
      <c r="AD359" s="2">
        <f t="shared" si="33"/>
        <v>15</v>
      </c>
      <c r="AE359" s="2">
        <f t="shared" ca="1" si="34"/>
        <v>-272.26932719907199</v>
      </c>
      <c r="AF359" s="15"/>
    </row>
    <row r="360" spans="1:32" hidden="1">
      <c r="A360" s="1">
        <v>8640666</v>
      </c>
      <c r="B360" s="1" t="s">
        <v>653</v>
      </c>
      <c r="C360" t="s">
        <v>752</v>
      </c>
      <c r="E360" s="2">
        <v>7802171400030</v>
      </c>
      <c r="F360" s="1" t="s">
        <v>647</v>
      </c>
      <c r="G360" s="1" t="s">
        <v>53</v>
      </c>
      <c r="H360" s="1" t="s">
        <v>769</v>
      </c>
      <c r="I360" s="1" t="s">
        <v>770</v>
      </c>
      <c r="J360" s="1" t="s">
        <v>46</v>
      </c>
      <c r="K360" t="s">
        <v>650</v>
      </c>
      <c r="M360" s="1" t="s">
        <v>58</v>
      </c>
      <c r="N360" s="1">
        <v>0</v>
      </c>
      <c r="O360" s="1" t="s">
        <v>105</v>
      </c>
      <c r="P360" s="186">
        <v>44713.406944444447</v>
      </c>
      <c r="R360" s="1">
        <v>4</v>
      </c>
      <c r="T360" s="1" t="s">
        <v>646</v>
      </c>
      <c r="U360" s="186">
        <v>44714.406944444447</v>
      </c>
      <c r="V360" s="1" t="s">
        <v>41</v>
      </c>
      <c r="W360" s="1" t="s">
        <v>49</v>
      </c>
      <c r="X360" s="13"/>
      <c r="Y360" s="2">
        <f t="shared" ca="1" si="30"/>
        <v>196</v>
      </c>
      <c r="Z360" s="14">
        <v>1</v>
      </c>
      <c r="AA360" s="1" t="str">
        <f t="shared" ca="1" si="31"/>
        <v>VENCIDO</v>
      </c>
      <c r="AB360" s="1" t="str">
        <f t="shared" si="32"/>
        <v>C-14</v>
      </c>
      <c r="AC360" s="2" t="str">
        <f t="shared" si="35"/>
        <v xml:space="preserve"> CLEITON </v>
      </c>
      <c r="AD360" s="2">
        <f t="shared" si="33"/>
        <v>15</v>
      </c>
      <c r="AE360" s="2">
        <f t="shared" ca="1" si="34"/>
        <v>-272.26932719907199</v>
      </c>
      <c r="AF360" s="15"/>
    </row>
    <row r="361" spans="1:32" hidden="1">
      <c r="A361" s="1">
        <v>8640665</v>
      </c>
      <c r="B361" s="1" t="s">
        <v>653</v>
      </c>
      <c r="C361" t="s">
        <v>752</v>
      </c>
      <c r="E361" s="2">
        <v>7802051400030</v>
      </c>
      <c r="F361" s="1" t="s">
        <v>647</v>
      </c>
      <c r="G361" s="1" t="s">
        <v>53</v>
      </c>
      <c r="H361" s="1" t="s">
        <v>771</v>
      </c>
      <c r="I361" s="1" t="s">
        <v>772</v>
      </c>
      <c r="J361" s="1" t="s">
        <v>46</v>
      </c>
      <c r="K361" t="s">
        <v>650</v>
      </c>
      <c r="M361" s="1" t="s">
        <v>58</v>
      </c>
      <c r="N361" s="1">
        <v>0</v>
      </c>
      <c r="O361" s="1" t="s">
        <v>105</v>
      </c>
      <c r="P361" s="186">
        <v>44713.406944444447</v>
      </c>
      <c r="R361" s="1">
        <v>4</v>
      </c>
      <c r="T361" s="1" t="s">
        <v>646</v>
      </c>
      <c r="U361" s="186">
        <v>44714.406944444447</v>
      </c>
      <c r="V361" s="1" t="s">
        <v>41</v>
      </c>
      <c r="W361" s="1" t="s">
        <v>49</v>
      </c>
      <c r="X361" s="13"/>
      <c r="Y361" s="2">
        <f t="shared" ca="1" si="30"/>
        <v>196</v>
      </c>
      <c r="Z361" s="14">
        <v>1</v>
      </c>
      <c r="AA361" s="1" t="str">
        <f t="shared" ca="1" si="31"/>
        <v>VENCIDO</v>
      </c>
      <c r="AB361" s="1" t="str">
        <f t="shared" si="32"/>
        <v>C-14</v>
      </c>
      <c r="AC361" s="2" t="str">
        <f t="shared" si="35"/>
        <v xml:space="preserve"> CLEITON </v>
      </c>
      <c r="AD361" s="2">
        <f t="shared" si="33"/>
        <v>15</v>
      </c>
      <c r="AE361" s="2">
        <f t="shared" ca="1" si="34"/>
        <v>-272.26932719907199</v>
      </c>
      <c r="AF361" s="15"/>
    </row>
    <row r="362" spans="1:32" hidden="1">
      <c r="A362" s="1">
        <v>8640664</v>
      </c>
      <c r="B362" s="1" t="s">
        <v>653</v>
      </c>
      <c r="C362" t="s">
        <v>752</v>
      </c>
      <c r="E362" s="2">
        <v>7802041400030</v>
      </c>
      <c r="F362" s="1" t="s">
        <v>647</v>
      </c>
      <c r="G362" s="1" t="s">
        <v>53</v>
      </c>
      <c r="H362" s="1" t="s">
        <v>773</v>
      </c>
      <c r="I362" s="1" t="s">
        <v>774</v>
      </c>
      <c r="J362" s="1" t="s">
        <v>46</v>
      </c>
      <c r="K362" t="s">
        <v>650</v>
      </c>
      <c r="M362" s="1" t="s">
        <v>58</v>
      </c>
      <c r="N362" s="1">
        <v>0</v>
      </c>
      <c r="O362" s="1" t="s">
        <v>105</v>
      </c>
      <c r="P362" s="186">
        <v>44713.406944444447</v>
      </c>
      <c r="R362" s="1">
        <v>4</v>
      </c>
      <c r="T362" s="1" t="s">
        <v>646</v>
      </c>
      <c r="U362" s="186">
        <v>44714.406944444447</v>
      </c>
      <c r="V362" s="1" t="s">
        <v>41</v>
      </c>
      <c r="W362" s="1" t="s">
        <v>49</v>
      </c>
      <c r="X362" s="13"/>
      <c r="Y362" s="2">
        <f t="shared" ca="1" si="30"/>
        <v>196</v>
      </c>
      <c r="Z362" s="14">
        <v>1</v>
      </c>
      <c r="AA362" s="1" t="str">
        <f t="shared" ca="1" si="31"/>
        <v>VENCIDO</v>
      </c>
      <c r="AB362" s="1" t="str">
        <f t="shared" si="32"/>
        <v>C-14</v>
      </c>
      <c r="AC362" s="2" t="str">
        <f t="shared" si="35"/>
        <v xml:space="preserve"> CLEITON </v>
      </c>
      <c r="AD362" s="2">
        <f t="shared" si="33"/>
        <v>15</v>
      </c>
      <c r="AE362" s="2">
        <f t="shared" ca="1" si="34"/>
        <v>-272.26932719907199</v>
      </c>
      <c r="AF362" s="15"/>
    </row>
    <row r="363" spans="1:32" hidden="1">
      <c r="A363" s="1">
        <v>8640663</v>
      </c>
      <c r="B363" s="1" t="s">
        <v>653</v>
      </c>
      <c r="C363" t="s">
        <v>752</v>
      </c>
      <c r="E363" s="2">
        <v>7802021400030</v>
      </c>
      <c r="F363" s="1" t="s">
        <v>647</v>
      </c>
      <c r="G363" s="1" t="s">
        <v>53</v>
      </c>
      <c r="H363" s="1" t="s">
        <v>775</v>
      </c>
      <c r="I363" s="1" t="s">
        <v>776</v>
      </c>
      <c r="J363" s="1" t="s">
        <v>46</v>
      </c>
      <c r="K363" t="s">
        <v>650</v>
      </c>
      <c r="M363" s="1" t="s">
        <v>58</v>
      </c>
      <c r="N363" s="1">
        <v>0</v>
      </c>
      <c r="O363" s="1" t="s">
        <v>36</v>
      </c>
      <c r="P363" s="186">
        <v>44713.406944444447</v>
      </c>
      <c r="R363" s="1">
        <v>4</v>
      </c>
      <c r="T363" s="1" t="s">
        <v>646</v>
      </c>
      <c r="U363" s="186">
        <v>44714.406944444447</v>
      </c>
      <c r="V363" s="1" t="s">
        <v>41</v>
      </c>
      <c r="W363" s="1" t="s">
        <v>49</v>
      </c>
      <c r="X363" s="13"/>
      <c r="Y363" s="2">
        <f t="shared" ca="1" si="30"/>
        <v>196</v>
      </c>
      <c r="Z363" s="14">
        <v>1</v>
      </c>
      <c r="AA363" s="1" t="str">
        <f t="shared" ca="1" si="31"/>
        <v>VENCIDO</v>
      </c>
      <c r="AB363" s="1" t="str">
        <f t="shared" si="32"/>
        <v>C-14</v>
      </c>
      <c r="AC363" s="2" t="str">
        <f t="shared" si="35"/>
        <v xml:space="preserve"> CLEITON </v>
      </c>
      <c r="AD363" s="2">
        <f t="shared" si="33"/>
        <v>15</v>
      </c>
      <c r="AE363" s="2">
        <f t="shared" ca="1" si="34"/>
        <v>-272.26932719907199</v>
      </c>
      <c r="AF363" s="15"/>
    </row>
    <row r="364" spans="1:32" hidden="1">
      <c r="A364" s="1">
        <v>8640662</v>
      </c>
      <c r="B364" s="1" t="s">
        <v>653</v>
      </c>
      <c r="C364" t="s">
        <v>752</v>
      </c>
      <c r="E364" s="2">
        <v>7802011400030</v>
      </c>
      <c r="F364" s="1" t="s">
        <v>647</v>
      </c>
      <c r="G364" s="1" t="s">
        <v>53</v>
      </c>
      <c r="H364" s="1" t="s">
        <v>777</v>
      </c>
      <c r="I364" s="1" t="s">
        <v>778</v>
      </c>
      <c r="J364" s="1" t="s">
        <v>46</v>
      </c>
      <c r="K364" t="s">
        <v>650</v>
      </c>
      <c r="M364" s="1" t="s">
        <v>58</v>
      </c>
      <c r="N364" s="1">
        <v>0</v>
      </c>
      <c r="O364" s="1" t="s">
        <v>36</v>
      </c>
      <c r="P364" s="186">
        <v>44713.406944444447</v>
      </c>
      <c r="R364" s="1">
        <v>4</v>
      </c>
      <c r="T364" s="1" t="s">
        <v>646</v>
      </c>
      <c r="U364" s="186">
        <v>44714.406944444447</v>
      </c>
      <c r="V364" s="1" t="s">
        <v>41</v>
      </c>
      <c r="W364" s="1" t="s">
        <v>49</v>
      </c>
      <c r="X364" s="13"/>
      <c r="Y364" s="2">
        <f t="shared" ca="1" si="30"/>
        <v>196</v>
      </c>
      <c r="Z364" s="14">
        <v>1</v>
      </c>
      <c r="AA364" s="1" t="str">
        <f t="shared" ca="1" si="31"/>
        <v>VENCIDO</v>
      </c>
      <c r="AB364" s="1" t="str">
        <f t="shared" si="32"/>
        <v>C-14</v>
      </c>
      <c r="AC364" s="2" t="str">
        <f t="shared" si="35"/>
        <v xml:space="preserve"> CLEITON </v>
      </c>
      <c r="AD364" s="2">
        <f t="shared" si="33"/>
        <v>15</v>
      </c>
      <c r="AE364" s="2">
        <f t="shared" ca="1" si="34"/>
        <v>-272.26932719907199</v>
      </c>
      <c r="AF364" s="15"/>
    </row>
    <row r="365" spans="1:32" hidden="1">
      <c r="A365" s="1">
        <v>8640517</v>
      </c>
      <c r="B365" s="1" t="s">
        <v>653</v>
      </c>
      <c r="C365" t="s">
        <v>752</v>
      </c>
      <c r="E365" s="2">
        <v>4890081400030</v>
      </c>
      <c r="F365" s="1" t="s">
        <v>647</v>
      </c>
      <c r="G365" s="1" t="s">
        <v>53</v>
      </c>
      <c r="H365" s="1" t="s">
        <v>779</v>
      </c>
      <c r="I365" s="1" t="s">
        <v>780</v>
      </c>
      <c r="J365" s="1" t="s">
        <v>46</v>
      </c>
      <c r="K365" t="s">
        <v>650</v>
      </c>
      <c r="M365" s="1" t="s">
        <v>58</v>
      </c>
      <c r="N365" s="1">
        <v>0</v>
      </c>
      <c r="O365" s="1" t="s">
        <v>105</v>
      </c>
      <c r="P365" s="186">
        <v>44713.406608796293</v>
      </c>
      <c r="R365" s="1">
        <v>4</v>
      </c>
      <c r="T365" s="1" t="s">
        <v>646</v>
      </c>
      <c r="U365" s="186">
        <v>44714.406608796293</v>
      </c>
      <c r="V365" s="1" t="s">
        <v>41</v>
      </c>
      <c r="W365" s="1" t="s">
        <v>49</v>
      </c>
      <c r="X365" s="13"/>
      <c r="Y365" s="2">
        <f t="shared" ca="1" si="30"/>
        <v>196</v>
      </c>
      <c r="Z365" s="14">
        <v>1</v>
      </c>
      <c r="AA365" s="1" t="str">
        <f t="shared" ca="1" si="31"/>
        <v>VENCIDO</v>
      </c>
      <c r="AB365" s="1" t="str">
        <f t="shared" si="32"/>
        <v>C-14</v>
      </c>
      <c r="AC365" s="2" t="str">
        <f t="shared" si="35"/>
        <v xml:space="preserve"> CLEITON </v>
      </c>
      <c r="AD365" s="2">
        <f t="shared" si="33"/>
        <v>15</v>
      </c>
      <c r="AE365" s="2">
        <f t="shared" ca="1" si="34"/>
        <v>-272.26966284722585</v>
      </c>
      <c r="AF365" s="15"/>
    </row>
    <row r="366" spans="1:32" hidden="1">
      <c r="A366" s="1">
        <v>8640516</v>
      </c>
      <c r="B366" s="1" t="s">
        <v>653</v>
      </c>
      <c r="C366" t="s">
        <v>752</v>
      </c>
      <c r="E366" s="2">
        <v>4890071400030</v>
      </c>
      <c r="F366" s="1" t="s">
        <v>647</v>
      </c>
      <c r="G366" s="1" t="s">
        <v>53</v>
      </c>
      <c r="H366" s="1" t="s">
        <v>783</v>
      </c>
      <c r="I366" s="1" t="s">
        <v>784</v>
      </c>
      <c r="J366" s="1" t="s">
        <v>46</v>
      </c>
      <c r="K366" t="s">
        <v>650</v>
      </c>
      <c r="M366" s="1" t="s">
        <v>58</v>
      </c>
      <c r="N366" s="1">
        <v>0</v>
      </c>
      <c r="O366" s="1" t="s">
        <v>105</v>
      </c>
      <c r="P366" s="186">
        <v>44713.406608796293</v>
      </c>
      <c r="R366" s="1">
        <v>4</v>
      </c>
      <c r="T366" s="1" t="s">
        <v>646</v>
      </c>
      <c r="U366" s="186">
        <v>44714.406608796293</v>
      </c>
      <c r="V366" s="1" t="s">
        <v>41</v>
      </c>
      <c r="W366" s="1" t="s">
        <v>49</v>
      </c>
      <c r="X366" s="13"/>
      <c r="Y366" s="2">
        <f t="shared" ca="1" si="30"/>
        <v>196</v>
      </c>
      <c r="Z366" s="14">
        <v>1</v>
      </c>
      <c r="AA366" s="1" t="str">
        <f t="shared" ca="1" si="31"/>
        <v>VENCIDO</v>
      </c>
      <c r="AB366" s="1" t="str">
        <f t="shared" si="32"/>
        <v>C-14</v>
      </c>
      <c r="AC366" s="2" t="str">
        <f t="shared" si="35"/>
        <v xml:space="preserve"> CLEITON </v>
      </c>
      <c r="AD366" s="2">
        <f t="shared" si="33"/>
        <v>15</v>
      </c>
      <c r="AE366" s="2">
        <f t="shared" ca="1" si="34"/>
        <v>-272.26966284722585</v>
      </c>
      <c r="AF366" s="15"/>
    </row>
    <row r="367" spans="1:32" hidden="1">
      <c r="A367" s="1">
        <v>8640515</v>
      </c>
      <c r="B367" s="1" t="s">
        <v>653</v>
      </c>
      <c r="C367" t="s">
        <v>752</v>
      </c>
      <c r="E367" s="2">
        <v>4890061400030</v>
      </c>
      <c r="F367" s="1" t="s">
        <v>647</v>
      </c>
      <c r="G367" s="1" t="s">
        <v>53</v>
      </c>
      <c r="H367" s="1" t="s">
        <v>785</v>
      </c>
      <c r="I367" s="1" t="s">
        <v>786</v>
      </c>
      <c r="J367" s="1" t="s">
        <v>46</v>
      </c>
      <c r="K367" t="s">
        <v>650</v>
      </c>
      <c r="M367" s="1" t="s">
        <v>58</v>
      </c>
      <c r="N367" s="1">
        <v>0</v>
      </c>
      <c r="O367" s="1" t="s">
        <v>105</v>
      </c>
      <c r="P367" s="186">
        <v>44713.406608796293</v>
      </c>
      <c r="R367" s="1">
        <v>4</v>
      </c>
      <c r="T367" s="1" t="s">
        <v>646</v>
      </c>
      <c r="U367" s="186">
        <v>44714.406608796293</v>
      </c>
      <c r="V367" s="1" t="s">
        <v>41</v>
      </c>
      <c r="W367" s="1" t="s">
        <v>49</v>
      </c>
      <c r="X367" s="13"/>
      <c r="Y367" s="2">
        <f t="shared" ca="1" si="30"/>
        <v>196</v>
      </c>
      <c r="Z367" s="14">
        <v>1</v>
      </c>
      <c r="AA367" s="1" t="str">
        <f t="shared" ca="1" si="31"/>
        <v>VENCIDO</v>
      </c>
      <c r="AB367" s="1" t="str">
        <f t="shared" si="32"/>
        <v>C-14</v>
      </c>
      <c r="AC367" s="2" t="str">
        <f t="shared" si="35"/>
        <v xml:space="preserve"> CLEITON </v>
      </c>
      <c r="AD367" s="2">
        <f t="shared" si="33"/>
        <v>15</v>
      </c>
      <c r="AE367" s="2">
        <f t="shared" ca="1" si="34"/>
        <v>-272.26966284722585</v>
      </c>
      <c r="AF367" s="15"/>
    </row>
    <row r="368" spans="1:32" hidden="1">
      <c r="A368" s="1">
        <v>8640514</v>
      </c>
      <c r="B368" s="1" t="s">
        <v>653</v>
      </c>
      <c r="C368" t="s">
        <v>752</v>
      </c>
      <c r="E368" s="2">
        <v>4890051400030</v>
      </c>
      <c r="F368" s="1" t="s">
        <v>647</v>
      </c>
      <c r="G368" s="1" t="s">
        <v>53</v>
      </c>
      <c r="H368" s="1" t="s">
        <v>787</v>
      </c>
      <c r="I368" s="1" t="s">
        <v>788</v>
      </c>
      <c r="J368" s="1" t="s">
        <v>46</v>
      </c>
      <c r="K368" t="s">
        <v>650</v>
      </c>
      <c r="M368" s="1" t="s">
        <v>58</v>
      </c>
      <c r="N368" s="1">
        <v>0</v>
      </c>
      <c r="O368" s="1" t="s">
        <v>105</v>
      </c>
      <c r="P368" s="186">
        <v>44713.406597222223</v>
      </c>
      <c r="R368" s="1">
        <v>4</v>
      </c>
      <c r="T368" s="1" t="s">
        <v>646</v>
      </c>
      <c r="U368" s="186">
        <v>44714.406597222223</v>
      </c>
      <c r="V368" s="1" t="s">
        <v>41</v>
      </c>
      <c r="W368" s="1" t="s">
        <v>49</v>
      </c>
      <c r="X368" s="13"/>
      <c r="Y368" s="2">
        <f t="shared" ca="1" si="30"/>
        <v>196</v>
      </c>
      <c r="Z368" s="14">
        <v>1</v>
      </c>
      <c r="AA368" s="1" t="str">
        <f t="shared" ca="1" si="31"/>
        <v>VENCIDO</v>
      </c>
      <c r="AB368" s="1" t="str">
        <f t="shared" si="32"/>
        <v>C-14</v>
      </c>
      <c r="AC368" s="2" t="str">
        <f t="shared" si="35"/>
        <v xml:space="preserve"> CLEITON </v>
      </c>
      <c r="AD368" s="2">
        <f t="shared" si="33"/>
        <v>15</v>
      </c>
      <c r="AE368" s="2">
        <f t="shared" ca="1" si="34"/>
        <v>-272.26967442129535</v>
      </c>
      <c r="AF368" s="15"/>
    </row>
    <row r="369" spans="1:32" hidden="1">
      <c r="A369" s="1">
        <v>8640513</v>
      </c>
      <c r="B369" s="1" t="s">
        <v>653</v>
      </c>
      <c r="C369" t="s">
        <v>752</v>
      </c>
      <c r="E369" s="2">
        <v>4890041400030</v>
      </c>
      <c r="F369" s="1" t="s">
        <v>647</v>
      </c>
      <c r="G369" s="1" t="s">
        <v>53</v>
      </c>
      <c r="H369" s="1" t="s">
        <v>791</v>
      </c>
      <c r="I369" s="1" t="s">
        <v>792</v>
      </c>
      <c r="J369" s="1" t="s">
        <v>46</v>
      </c>
      <c r="K369" t="s">
        <v>650</v>
      </c>
      <c r="M369" s="1" t="s">
        <v>58</v>
      </c>
      <c r="N369" s="1">
        <v>0</v>
      </c>
      <c r="O369" s="1" t="s">
        <v>105</v>
      </c>
      <c r="P369" s="186">
        <v>44713.406597222223</v>
      </c>
      <c r="R369" s="1">
        <v>4</v>
      </c>
      <c r="T369" s="1" t="s">
        <v>646</v>
      </c>
      <c r="U369" s="186">
        <v>44714.406597222223</v>
      </c>
      <c r="V369" s="1" t="s">
        <v>41</v>
      </c>
      <c r="W369" s="1" t="s">
        <v>49</v>
      </c>
      <c r="X369" s="13"/>
      <c r="Y369" s="2">
        <f t="shared" ca="1" si="30"/>
        <v>196</v>
      </c>
      <c r="Z369" s="14">
        <v>1</v>
      </c>
      <c r="AA369" s="1" t="str">
        <f t="shared" ca="1" si="31"/>
        <v>VENCIDO</v>
      </c>
      <c r="AB369" s="1" t="str">
        <f t="shared" si="32"/>
        <v>C-14</v>
      </c>
      <c r="AC369" s="2" t="str">
        <f t="shared" si="35"/>
        <v xml:space="preserve"> CLEITON </v>
      </c>
      <c r="AD369" s="2">
        <f t="shared" si="33"/>
        <v>15</v>
      </c>
      <c r="AE369" s="2">
        <f t="shared" ca="1" si="34"/>
        <v>-272.26967442129535</v>
      </c>
      <c r="AF369" s="15"/>
    </row>
    <row r="370" spans="1:32" hidden="1">
      <c r="A370" s="1">
        <v>8640512</v>
      </c>
      <c r="B370" s="1" t="s">
        <v>653</v>
      </c>
      <c r="C370" t="s">
        <v>752</v>
      </c>
      <c r="E370" s="2">
        <v>4890031400030</v>
      </c>
      <c r="F370" s="1" t="s">
        <v>647</v>
      </c>
      <c r="G370" s="1" t="s">
        <v>53</v>
      </c>
      <c r="H370" s="1" t="s">
        <v>793</v>
      </c>
      <c r="I370" s="1" t="s">
        <v>794</v>
      </c>
      <c r="J370" s="1" t="s">
        <v>46</v>
      </c>
      <c r="K370" t="s">
        <v>650</v>
      </c>
      <c r="M370" s="1" t="s">
        <v>58</v>
      </c>
      <c r="N370" s="1">
        <v>0</v>
      </c>
      <c r="O370" s="1" t="s">
        <v>105</v>
      </c>
      <c r="P370" s="186">
        <v>44713.406597222223</v>
      </c>
      <c r="R370" s="1">
        <v>4</v>
      </c>
      <c r="T370" s="1" t="s">
        <v>646</v>
      </c>
      <c r="U370" s="186">
        <v>44714.406597222223</v>
      </c>
      <c r="V370" s="1" t="s">
        <v>41</v>
      </c>
      <c r="W370" s="1" t="s">
        <v>49</v>
      </c>
      <c r="X370" s="13"/>
      <c r="Y370" s="2">
        <f t="shared" ca="1" si="30"/>
        <v>196</v>
      </c>
      <c r="Z370" s="14">
        <v>1</v>
      </c>
      <c r="AA370" s="1" t="str">
        <f t="shared" ca="1" si="31"/>
        <v>VENCIDO</v>
      </c>
      <c r="AB370" s="1" t="str">
        <f t="shared" si="32"/>
        <v>C-14</v>
      </c>
      <c r="AC370" s="2" t="str">
        <f t="shared" si="35"/>
        <v xml:space="preserve"> CLEITON </v>
      </c>
      <c r="AD370" s="2">
        <f t="shared" si="33"/>
        <v>15</v>
      </c>
      <c r="AE370" s="2">
        <f t="shared" ca="1" si="34"/>
        <v>-272.26967442129535</v>
      </c>
      <c r="AF370" s="15"/>
    </row>
    <row r="371" spans="1:32" hidden="1">
      <c r="A371" s="1">
        <v>8640367</v>
      </c>
      <c r="B371" s="1" t="s">
        <v>653</v>
      </c>
      <c r="C371" t="s">
        <v>752</v>
      </c>
      <c r="E371" s="2">
        <v>3237011400030</v>
      </c>
      <c r="F371" s="1" t="s">
        <v>647</v>
      </c>
      <c r="G371" s="1" t="s">
        <v>53</v>
      </c>
      <c r="H371" s="1" t="s">
        <v>795</v>
      </c>
      <c r="I371" s="1" t="s">
        <v>796</v>
      </c>
      <c r="J371" s="1" t="s">
        <v>46</v>
      </c>
      <c r="K371" t="s">
        <v>650</v>
      </c>
      <c r="M371" s="1" t="s">
        <v>58</v>
      </c>
      <c r="N371" s="1">
        <v>0</v>
      </c>
      <c r="O371" s="1" t="s">
        <v>105</v>
      </c>
      <c r="P371" s="186">
        <v>44713.406099537038</v>
      </c>
      <c r="R371" s="1">
        <v>4</v>
      </c>
      <c r="T371" s="1" t="s">
        <v>646</v>
      </c>
      <c r="U371" s="186">
        <v>44714.406099537038</v>
      </c>
      <c r="V371" s="1" t="s">
        <v>41</v>
      </c>
      <c r="W371" s="1" t="s">
        <v>49</v>
      </c>
      <c r="X371" s="13"/>
      <c r="Y371" s="2">
        <f t="shared" ca="1" si="30"/>
        <v>196</v>
      </c>
      <c r="Z371" s="14">
        <v>1</v>
      </c>
      <c r="AA371" s="1" t="str">
        <f t="shared" ca="1" si="31"/>
        <v>VENCIDO</v>
      </c>
      <c r="AB371" s="1" t="str">
        <f t="shared" si="32"/>
        <v>C-14</v>
      </c>
      <c r="AC371" s="2" t="str">
        <f t="shared" si="35"/>
        <v xml:space="preserve"> CLEITON </v>
      </c>
      <c r="AD371" s="2">
        <f t="shared" si="33"/>
        <v>15</v>
      </c>
      <c r="AE371" s="2">
        <f t="shared" ca="1" si="34"/>
        <v>-272.27017210648046</v>
      </c>
      <c r="AF371" s="15"/>
    </row>
    <row r="372" spans="1:32" hidden="1">
      <c r="A372" s="1">
        <v>8640366</v>
      </c>
      <c r="B372" s="1" t="s">
        <v>653</v>
      </c>
      <c r="C372" t="s">
        <v>752</v>
      </c>
      <c r="E372" s="2">
        <v>3234171400030</v>
      </c>
      <c r="F372" s="1" t="s">
        <v>647</v>
      </c>
      <c r="G372" s="1" t="s">
        <v>53</v>
      </c>
      <c r="H372" s="1" t="s">
        <v>799</v>
      </c>
      <c r="I372" s="1" t="s">
        <v>800</v>
      </c>
      <c r="J372" s="1" t="s">
        <v>46</v>
      </c>
      <c r="K372" t="s">
        <v>650</v>
      </c>
      <c r="M372" s="1" t="s">
        <v>58</v>
      </c>
      <c r="N372" s="1">
        <v>0</v>
      </c>
      <c r="O372" s="1" t="s">
        <v>105</v>
      </c>
      <c r="P372" s="186">
        <v>44713.406099537038</v>
      </c>
      <c r="R372" s="1">
        <v>4</v>
      </c>
      <c r="T372" s="1" t="s">
        <v>646</v>
      </c>
      <c r="U372" s="186">
        <v>44714.406099537038</v>
      </c>
      <c r="V372" s="1" t="s">
        <v>41</v>
      </c>
      <c r="W372" s="1" t="s">
        <v>49</v>
      </c>
      <c r="X372" s="13"/>
      <c r="Y372" s="2">
        <f t="shared" ca="1" si="30"/>
        <v>196</v>
      </c>
      <c r="Z372" s="14">
        <v>1</v>
      </c>
      <c r="AA372" s="1" t="str">
        <f t="shared" ca="1" si="31"/>
        <v>VENCIDO</v>
      </c>
      <c r="AB372" s="1" t="str">
        <f t="shared" si="32"/>
        <v>C-14</v>
      </c>
      <c r="AC372" s="2" t="str">
        <f t="shared" si="35"/>
        <v xml:space="preserve"> CLEITON </v>
      </c>
      <c r="AD372" s="2">
        <f t="shared" si="33"/>
        <v>15</v>
      </c>
      <c r="AE372" s="2">
        <f t="shared" ca="1" si="34"/>
        <v>-272.27017210648046</v>
      </c>
      <c r="AF372" s="15"/>
    </row>
    <row r="373" spans="1:32" hidden="1">
      <c r="A373" s="1">
        <v>8640365</v>
      </c>
      <c r="B373" s="1" t="s">
        <v>653</v>
      </c>
      <c r="C373" t="s">
        <v>752</v>
      </c>
      <c r="E373" s="2">
        <v>3234161400030</v>
      </c>
      <c r="F373" s="1" t="s">
        <v>647</v>
      </c>
      <c r="G373" s="1" t="s">
        <v>53</v>
      </c>
      <c r="H373" s="1" t="s">
        <v>499</v>
      </c>
      <c r="I373" s="1" t="s">
        <v>500</v>
      </c>
      <c r="J373" s="1" t="s">
        <v>46</v>
      </c>
      <c r="K373" t="s">
        <v>650</v>
      </c>
      <c r="M373" s="1" t="s">
        <v>58</v>
      </c>
      <c r="N373" s="1">
        <v>0</v>
      </c>
      <c r="O373" s="1" t="s">
        <v>105</v>
      </c>
      <c r="P373" s="186">
        <v>44713.406099537038</v>
      </c>
      <c r="R373" s="1">
        <v>4</v>
      </c>
      <c r="T373" s="1" t="s">
        <v>646</v>
      </c>
      <c r="U373" s="186">
        <v>44714.406099537038</v>
      </c>
      <c r="V373" s="1" t="s">
        <v>41</v>
      </c>
      <c r="W373" s="1" t="s">
        <v>49</v>
      </c>
      <c r="X373" s="13"/>
      <c r="Y373" s="2">
        <f t="shared" ca="1" si="30"/>
        <v>196</v>
      </c>
      <c r="Z373" s="14">
        <v>1</v>
      </c>
      <c r="AA373" s="1" t="str">
        <f t="shared" ca="1" si="31"/>
        <v>VENCIDO</v>
      </c>
      <c r="AB373" s="1" t="str">
        <f t="shared" si="32"/>
        <v>C-14</v>
      </c>
      <c r="AC373" s="2" t="str">
        <f t="shared" si="35"/>
        <v xml:space="preserve"> CLEITON </v>
      </c>
      <c r="AD373" s="2">
        <f t="shared" si="33"/>
        <v>15</v>
      </c>
      <c r="AE373" s="2">
        <f t="shared" ca="1" si="34"/>
        <v>-272.27017210648046</v>
      </c>
      <c r="AF373" s="15"/>
    </row>
    <row r="374" spans="1:32" hidden="1">
      <c r="A374" s="1">
        <v>8640364</v>
      </c>
      <c r="B374" s="1" t="s">
        <v>653</v>
      </c>
      <c r="C374" t="s">
        <v>752</v>
      </c>
      <c r="E374" s="2">
        <v>3234151400030</v>
      </c>
      <c r="F374" s="1" t="s">
        <v>647</v>
      </c>
      <c r="G374" s="1" t="s">
        <v>53</v>
      </c>
      <c r="H374" s="1" t="s">
        <v>629</v>
      </c>
      <c r="I374" s="1" t="s">
        <v>630</v>
      </c>
      <c r="J374" s="1" t="s">
        <v>46</v>
      </c>
      <c r="K374" t="s">
        <v>650</v>
      </c>
      <c r="M374" s="1" t="s">
        <v>58</v>
      </c>
      <c r="N374" s="1">
        <v>0</v>
      </c>
      <c r="O374" s="1" t="s">
        <v>105</v>
      </c>
      <c r="P374" s="186">
        <v>44713.406099537038</v>
      </c>
      <c r="R374" s="1">
        <v>4</v>
      </c>
      <c r="T374" s="1" t="s">
        <v>646</v>
      </c>
      <c r="U374" s="186">
        <v>44714.406099537038</v>
      </c>
      <c r="V374" s="1" t="s">
        <v>41</v>
      </c>
      <c r="W374" s="1" t="s">
        <v>49</v>
      </c>
      <c r="X374" s="13"/>
      <c r="Y374" s="2">
        <f t="shared" ca="1" si="30"/>
        <v>196</v>
      </c>
      <c r="Z374" s="14">
        <v>1</v>
      </c>
      <c r="AA374" s="1" t="str">
        <f t="shared" ca="1" si="31"/>
        <v>VENCIDO</v>
      </c>
      <c r="AB374" s="1" t="str">
        <f t="shared" si="32"/>
        <v>C-14</v>
      </c>
      <c r="AC374" s="2" t="str">
        <f t="shared" si="35"/>
        <v xml:space="preserve"> CLEITON </v>
      </c>
      <c r="AD374" s="2">
        <f t="shared" si="33"/>
        <v>15</v>
      </c>
      <c r="AE374" s="2">
        <f t="shared" ca="1" si="34"/>
        <v>-272.27017210648046</v>
      </c>
      <c r="AF374" s="15"/>
    </row>
    <row r="375" spans="1:32" hidden="1">
      <c r="A375" s="1">
        <v>8640315</v>
      </c>
      <c r="B375" s="1" t="s">
        <v>653</v>
      </c>
      <c r="C375" t="s">
        <v>752</v>
      </c>
      <c r="E375" s="2">
        <v>2889031400030</v>
      </c>
      <c r="F375" s="1" t="s">
        <v>647</v>
      </c>
      <c r="G375" s="1" t="s">
        <v>53</v>
      </c>
      <c r="H375" s="1" t="s">
        <v>801</v>
      </c>
      <c r="I375" s="1" t="s">
        <v>802</v>
      </c>
      <c r="J375" s="1" t="s">
        <v>46</v>
      </c>
      <c r="K375" t="s">
        <v>650</v>
      </c>
      <c r="M375" s="1" t="s">
        <v>58</v>
      </c>
      <c r="N375" s="1">
        <v>0</v>
      </c>
      <c r="O375" s="1" t="s">
        <v>105</v>
      </c>
      <c r="P375" s="186">
        <v>44713.406030092592</v>
      </c>
      <c r="R375" s="1">
        <v>4</v>
      </c>
      <c r="T375" s="1" t="s">
        <v>646</v>
      </c>
      <c r="U375" s="186">
        <v>44714.406041666669</v>
      </c>
      <c r="V375" s="1" t="s">
        <v>41</v>
      </c>
      <c r="W375" s="1" t="s">
        <v>49</v>
      </c>
      <c r="X375" s="13"/>
      <c r="Y375" s="2">
        <f t="shared" ca="1" si="30"/>
        <v>196</v>
      </c>
      <c r="Z375" s="14">
        <v>1</v>
      </c>
      <c r="AA375" s="1" t="str">
        <f t="shared" ca="1" si="31"/>
        <v>VENCIDO</v>
      </c>
      <c r="AB375" s="1" t="str">
        <f t="shared" si="32"/>
        <v>C-14</v>
      </c>
      <c r="AC375" s="2" t="str">
        <f t="shared" si="35"/>
        <v xml:space="preserve"> CLEITON </v>
      </c>
      <c r="AD375" s="2">
        <f t="shared" si="33"/>
        <v>15</v>
      </c>
      <c r="AE375" s="2">
        <f t="shared" ca="1" si="34"/>
        <v>-272.27022997684981</v>
      </c>
      <c r="AF375" s="15"/>
    </row>
    <row r="376" spans="1:32" hidden="1">
      <c r="A376" s="1">
        <v>8640314</v>
      </c>
      <c r="B376" s="1" t="s">
        <v>653</v>
      </c>
      <c r="C376" t="s">
        <v>752</v>
      </c>
      <c r="E376" s="2">
        <v>2889011400030</v>
      </c>
      <c r="F376" s="1" t="s">
        <v>647</v>
      </c>
      <c r="G376" s="1" t="s">
        <v>53</v>
      </c>
      <c r="H376" s="1" t="s">
        <v>805</v>
      </c>
      <c r="I376" s="1" t="s">
        <v>806</v>
      </c>
      <c r="J376" s="1" t="s">
        <v>46</v>
      </c>
      <c r="K376" t="s">
        <v>650</v>
      </c>
      <c r="M376" s="1" t="s">
        <v>58</v>
      </c>
      <c r="N376" s="1">
        <v>0</v>
      </c>
      <c r="O376" s="1" t="s">
        <v>105</v>
      </c>
      <c r="P376" s="186">
        <v>44713.406030092592</v>
      </c>
      <c r="R376" s="1">
        <v>4</v>
      </c>
      <c r="T376" s="1" t="s">
        <v>646</v>
      </c>
      <c r="U376" s="186">
        <v>44714.406030092592</v>
      </c>
      <c r="V376" s="1" t="s">
        <v>41</v>
      </c>
      <c r="W376" s="1" t="s">
        <v>49</v>
      </c>
      <c r="X376" s="13"/>
      <c r="Y376" s="2">
        <f t="shared" ca="1" si="30"/>
        <v>196</v>
      </c>
      <c r="Z376" s="14">
        <v>1</v>
      </c>
      <c r="AA376" s="1" t="str">
        <f t="shared" ca="1" si="31"/>
        <v>VENCIDO</v>
      </c>
      <c r="AB376" s="1" t="str">
        <f t="shared" si="32"/>
        <v>C-14</v>
      </c>
      <c r="AC376" s="2" t="str">
        <f t="shared" si="35"/>
        <v xml:space="preserve"> CLEITON </v>
      </c>
      <c r="AD376" s="2">
        <f t="shared" si="33"/>
        <v>15</v>
      </c>
      <c r="AE376" s="2">
        <f t="shared" ca="1" si="34"/>
        <v>-272.27024155092658</v>
      </c>
      <c r="AF376" s="15"/>
    </row>
    <row r="377" spans="1:32" hidden="1">
      <c r="A377" s="1">
        <v>8640259</v>
      </c>
      <c r="B377" s="1" t="s">
        <v>653</v>
      </c>
      <c r="C377" t="s">
        <v>752</v>
      </c>
      <c r="E377" s="2">
        <v>2365131400030</v>
      </c>
      <c r="F377" s="1" t="s">
        <v>647</v>
      </c>
      <c r="G377" s="1" t="s">
        <v>53</v>
      </c>
      <c r="H377" s="1" t="s">
        <v>807</v>
      </c>
      <c r="I377" s="1" t="s">
        <v>808</v>
      </c>
      <c r="J377" s="1" t="s">
        <v>46</v>
      </c>
      <c r="K377" t="s">
        <v>650</v>
      </c>
      <c r="M377" s="1" t="s">
        <v>58</v>
      </c>
      <c r="N377" s="1">
        <v>0</v>
      </c>
      <c r="O377" s="1" t="s">
        <v>105</v>
      </c>
      <c r="P377" s="186">
        <v>44713.405856481484</v>
      </c>
      <c r="R377" s="1">
        <v>4</v>
      </c>
      <c r="T377" s="1" t="s">
        <v>646</v>
      </c>
      <c r="U377" s="186">
        <v>44714.405856481484</v>
      </c>
      <c r="V377" s="1" t="s">
        <v>41</v>
      </c>
      <c r="W377" s="1" t="s">
        <v>49</v>
      </c>
      <c r="X377" s="13"/>
      <c r="Y377" s="2">
        <f t="shared" ca="1" si="30"/>
        <v>196</v>
      </c>
      <c r="Z377" s="14">
        <v>1</v>
      </c>
      <c r="AA377" s="1" t="str">
        <f t="shared" ca="1" si="31"/>
        <v>VENCIDO</v>
      </c>
      <c r="AB377" s="1" t="str">
        <f t="shared" si="32"/>
        <v>C-14</v>
      </c>
      <c r="AC377" s="2" t="str">
        <f t="shared" si="35"/>
        <v xml:space="preserve"> CLEITON </v>
      </c>
      <c r="AD377" s="2">
        <f t="shared" si="33"/>
        <v>15</v>
      </c>
      <c r="AE377" s="2">
        <f t="shared" ca="1" si="34"/>
        <v>-272.27041516203462</v>
      </c>
      <c r="AF377" s="15"/>
    </row>
    <row r="378" spans="1:32" hidden="1">
      <c r="A378" s="1">
        <v>8640213</v>
      </c>
      <c r="B378" s="1" t="s">
        <v>653</v>
      </c>
      <c r="C378" t="s">
        <v>752</v>
      </c>
      <c r="E378" s="2">
        <v>1833041400030</v>
      </c>
      <c r="F378" s="1" t="s">
        <v>647</v>
      </c>
      <c r="G378" s="1" t="s">
        <v>53</v>
      </c>
      <c r="H378" s="1" t="s">
        <v>811</v>
      </c>
      <c r="I378" s="1" t="s">
        <v>812</v>
      </c>
      <c r="J378" s="1" t="s">
        <v>46</v>
      </c>
      <c r="K378" t="s">
        <v>650</v>
      </c>
      <c r="M378" s="1" t="s">
        <v>58</v>
      </c>
      <c r="N378" s="1">
        <v>0</v>
      </c>
      <c r="O378" s="1" t="s">
        <v>105</v>
      </c>
      <c r="P378" s="186">
        <v>44713.405787037038</v>
      </c>
      <c r="R378" s="1">
        <v>4</v>
      </c>
      <c r="T378" s="1" t="s">
        <v>646</v>
      </c>
      <c r="U378" s="186">
        <v>44714.405787037038</v>
      </c>
      <c r="V378" s="1" t="s">
        <v>41</v>
      </c>
      <c r="W378" s="1" t="s">
        <v>49</v>
      </c>
      <c r="X378" s="13"/>
      <c r="Y378" s="2">
        <f t="shared" ca="1" si="30"/>
        <v>196</v>
      </c>
      <c r="Z378" s="14">
        <v>1</v>
      </c>
      <c r="AA378" s="1" t="str">
        <f t="shared" ca="1" si="31"/>
        <v>VENCIDO</v>
      </c>
      <c r="AB378" s="1" t="str">
        <f t="shared" si="32"/>
        <v>C-14</v>
      </c>
      <c r="AC378" s="2" t="str">
        <f t="shared" si="35"/>
        <v xml:space="preserve"> CLEITON </v>
      </c>
      <c r="AD378" s="2">
        <f t="shared" si="33"/>
        <v>15</v>
      </c>
      <c r="AE378" s="2">
        <f t="shared" ca="1" si="34"/>
        <v>-272.27048460648075</v>
      </c>
      <c r="AF378" s="15"/>
    </row>
    <row r="379" spans="1:32" hidden="1">
      <c r="A379" s="1">
        <v>8640115</v>
      </c>
      <c r="B379" s="1" t="s">
        <v>653</v>
      </c>
      <c r="C379" t="s">
        <v>752</v>
      </c>
      <c r="E379" s="2">
        <v>1120011400030</v>
      </c>
      <c r="F379" s="1" t="s">
        <v>647</v>
      </c>
      <c r="G379" s="1" t="s">
        <v>53</v>
      </c>
      <c r="H379" s="1" t="s">
        <v>648</v>
      </c>
      <c r="I379" s="1" t="s">
        <v>649</v>
      </c>
      <c r="J379" s="1" t="s">
        <v>164</v>
      </c>
      <c r="K379" t="s">
        <v>650</v>
      </c>
      <c r="M379" s="1" t="s">
        <v>58</v>
      </c>
      <c r="N379" s="1">
        <v>0</v>
      </c>
      <c r="O379" s="1" t="s">
        <v>105</v>
      </c>
      <c r="P379" s="186">
        <v>44713.405532407407</v>
      </c>
      <c r="R379" s="1">
        <v>4</v>
      </c>
      <c r="T379" s="1" t="s">
        <v>646</v>
      </c>
      <c r="U379" s="186">
        <v>44714.405532407407</v>
      </c>
      <c r="V379" s="1" t="s">
        <v>41</v>
      </c>
      <c r="W379" s="1" t="s">
        <v>49</v>
      </c>
      <c r="X379" s="13"/>
      <c r="Y379" s="2">
        <f t="shared" ca="1" si="30"/>
        <v>196</v>
      </c>
      <c r="Z379" s="14">
        <v>1</v>
      </c>
      <c r="AA379" s="1" t="str">
        <f t="shared" ca="1" si="31"/>
        <v>VENCIDO</v>
      </c>
      <c r="AB379" s="1" t="str">
        <f t="shared" si="32"/>
        <v>C-14</v>
      </c>
      <c r="AC379" s="2" t="str">
        <f t="shared" si="35"/>
        <v xml:space="preserve"> ROSEMERE </v>
      </c>
      <c r="AD379" s="2">
        <f t="shared" si="33"/>
        <v>15</v>
      </c>
      <c r="AE379" s="2">
        <f t="shared" ca="1" si="34"/>
        <v>-272.27073923611169</v>
      </c>
      <c r="AF379" s="15"/>
    </row>
    <row r="380" spans="1:32" hidden="1">
      <c r="A380" s="1">
        <v>8640085</v>
      </c>
      <c r="B380" s="1" t="s">
        <v>653</v>
      </c>
      <c r="C380" t="s">
        <v>752</v>
      </c>
      <c r="E380" s="2">
        <v>821071400030</v>
      </c>
      <c r="F380" s="1" t="s">
        <v>647</v>
      </c>
      <c r="G380" s="1" t="s">
        <v>53</v>
      </c>
      <c r="H380" s="1" t="s">
        <v>817</v>
      </c>
      <c r="I380" s="1" t="s">
        <v>818</v>
      </c>
      <c r="J380" s="1" t="s">
        <v>46</v>
      </c>
      <c r="K380" t="s">
        <v>650</v>
      </c>
      <c r="M380" s="1" t="s">
        <v>58</v>
      </c>
      <c r="N380" s="1">
        <v>0</v>
      </c>
      <c r="O380" s="1" t="s">
        <v>105</v>
      </c>
      <c r="P380" s="186">
        <v>44713.405486111114</v>
      </c>
      <c r="R380" s="1">
        <v>4</v>
      </c>
      <c r="T380" s="1" t="s">
        <v>646</v>
      </c>
      <c r="U380" s="186">
        <v>44714.405486111114</v>
      </c>
      <c r="V380" s="1" t="s">
        <v>41</v>
      </c>
      <c r="W380" s="1" t="s">
        <v>49</v>
      </c>
      <c r="X380" s="13"/>
      <c r="Y380" s="2">
        <f t="shared" ca="1" si="30"/>
        <v>196</v>
      </c>
      <c r="Z380" s="14">
        <v>1</v>
      </c>
      <c r="AA380" s="1" t="str">
        <f t="shared" ca="1" si="31"/>
        <v>VENCIDO</v>
      </c>
      <c r="AB380" s="1" t="str">
        <f t="shared" si="32"/>
        <v>C-14</v>
      </c>
      <c r="AC380" s="2" t="str">
        <f t="shared" si="35"/>
        <v xml:space="preserve"> CLEITON </v>
      </c>
      <c r="AD380" s="2">
        <f t="shared" si="33"/>
        <v>15</v>
      </c>
      <c r="AE380" s="2">
        <f t="shared" ca="1" si="34"/>
        <v>-272.27078553240426</v>
      </c>
      <c r="AF380" s="15"/>
    </row>
    <row r="381" spans="1:32" hidden="1">
      <c r="A381" s="1">
        <v>8640000</v>
      </c>
      <c r="B381" s="1" t="s">
        <v>653</v>
      </c>
      <c r="C381" t="s">
        <v>752</v>
      </c>
      <c r="E381" s="2">
        <v>325091400030</v>
      </c>
      <c r="F381" s="1" t="s">
        <v>647</v>
      </c>
      <c r="G381" s="1" t="s">
        <v>53</v>
      </c>
      <c r="H381" s="1" t="s">
        <v>821</v>
      </c>
      <c r="I381" s="1" t="s">
        <v>822</v>
      </c>
      <c r="J381" s="1" t="s">
        <v>46</v>
      </c>
      <c r="K381" t="s">
        <v>650</v>
      </c>
      <c r="M381" s="1" t="s">
        <v>58</v>
      </c>
      <c r="N381" s="1">
        <v>0</v>
      </c>
      <c r="O381" s="1" t="s">
        <v>105</v>
      </c>
      <c r="P381" s="186">
        <v>44713.405138888891</v>
      </c>
      <c r="R381" s="1">
        <v>4</v>
      </c>
      <c r="T381" s="1" t="s">
        <v>646</v>
      </c>
      <c r="U381" s="186">
        <v>44714.405138888891</v>
      </c>
      <c r="V381" s="1" t="s">
        <v>41</v>
      </c>
      <c r="W381" s="1" t="s">
        <v>49</v>
      </c>
      <c r="X381" s="13"/>
      <c r="Y381" s="2">
        <f t="shared" ca="1" si="30"/>
        <v>196</v>
      </c>
      <c r="Z381" s="14">
        <v>1</v>
      </c>
      <c r="AA381" s="1" t="str">
        <f t="shared" ca="1" si="31"/>
        <v>VENCIDO</v>
      </c>
      <c r="AB381" s="1" t="str">
        <f t="shared" si="32"/>
        <v>C-14</v>
      </c>
      <c r="AC381" s="2" t="str">
        <f t="shared" si="35"/>
        <v xml:space="preserve"> CLEITON </v>
      </c>
      <c r="AD381" s="2">
        <f t="shared" si="33"/>
        <v>15</v>
      </c>
      <c r="AE381" s="2">
        <f t="shared" ca="1" si="34"/>
        <v>-272.27113275462762</v>
      </c>
      <c r="AF381" s="15"/>
    </row>
    <row r="382" spans="1:32" hidden="1">
      <c r="A382" s="1">
        <v>8639902</v>
      </c>
      <c r="B382" s="1" t="s">
        <v>653</v>
      </c>
      <c r="C382" t="s">
        <v>752</v>
      </c>
      <c r="E382" s="2">
        <v>69161400030</v>
      </c>
      <c r="F382" s="1" t="s">
        <v>647</v>
      </c>
      <c r="G382" s="1" t="s">
        <v>53</v>
      </c>
      <c r="H382" s="1" t="s">
        <v>234</v>
      </c>
      <c r="I382" s="1" t="s">
        <v>235</v>
      </c>
      <c r="J382" s="1" t="s">
        <v>33</v>
      </c>
      <c r="K382" t="s">
        <v>650</v>
      </c>
      <c r="M382" s="1" t="s">
        <v>58</v>
      </c>
      <c r="N382" s="1">
        <v>0</v>
      </c>
      <c r="O382" s="1" t="s">
        <v>105</v>
      </c>
      <c r="P382" s="186">
        <v>44713.404826388891</v>
      </c>
      <c r="R382" s="1">
        <v>4</v>
      </c>
      <c r="T382" s="1" t="s">
        <v>646</v>
      </c>
      <c r="U382" s="186">
        <v>44714.404826388891</v>
      </c>
      <c r="V382" s="1" t="s">
        <v>41</v>
      </c>
      <c r="W382" s="1" t="s">
        <v>42</v>
      </c>
      <c r="X382" s="13"/>
      <c r="Y382" s="2">
        <f t="shared" ca="1" si="30"/>
        <v>196</v>
      </c>
      <c r="Z382" s="14">
        <v>1</v>
      </c>
      <c r="AA382" s="1" t="str">
        <f t="shared" ca="1" si="31"/>
        <v>VENCIDO</v>
      </c>
      <c r="AB382" s="1" t="str">
        <f t="shared" si="32"/>
        <v>C-14</v>
      </c>
      <c r="AC382" s="2" t="str">
        <f t="shared" si="35"/>
        <v xml:space="preserve"> ROSEMERE </v>
      </c>
      <c r="AD382" s="2">
        <f t="shared" si="33"/>
        <v>15</v>
      </c>
      <c r="AE382" s="2">
        <f t="shared" ca="1" si="34"/>
        <v>-272.27144525462791</v>
      </c>
      <c r="AF382" s="15"/>
    </row>
    <row r="383" spans="1:32" hidden="1">
      <c r="A383" s="1">
        <v>8639870</v>
      </c>
      <c r="B383" s="1" t="s">
        <v>653</v>
      </c>
      <c r="C383" t="s">
        <v>752</v>
      </c>
      <c r="E383" s="2">
        <v>7651400030</v>
      </c>
      <c r="F383" s="1" t="s">
        <v>647</v>
      </c>
      <c r="G383" s="1" t="s">
        <v>53</v>
      </c>
      <c r="H383" s="1" t="s">
        <v>827</v>
      </c>
      <c r="I383" s="1" t="s">
        <v>828</v>
      </c>
      <c r="J383" s="1" t="s">
        <v>46</v>
      </c>
      <c r="K383" t="s">
        <v>650</v>
      </c>
      <c r="M383" s="1" t="s">
        <v>58</v>
      </c>
      <c r="N383" s="1">
        <v>0</v>
      </c>
      <c r="O383" s="1" t="s">
        <v>105</v>
      </c>
      <c r="P383" s="186">
        <v>44713.404780092591</v>
      </c>
      <c r="R383" s="1">
        <v>4</v>
      </c>
      <c r="T383" s="1" t="s">
        <v>646</v>
      </c>
      <c r="U383" s="186">
        <v>44714.404780092591</v>
      </c>
      <c r="V383" s="1" t="s">
        <v>41</v>
      </c>
      <c r="W383" s="1" t="s">
        <v>49</v>
      </c>
      <c r="X383" s="13"/>
      <c r="Y383" s="2">
        <f t="shared" ca="1" si="30"/>
        <v>196</v>
      </c>
      <c r="Z383" s="14">
        <v>1</v>
      </c>
      <c r="AA383" s="1" t="str">
        <f t="shared" ca="1" si="31"/>
        <v>VENCIDO</v>
      </c>
      <c r="AB383" s="1" t="str">
        <f t="shared" si="32"/>
        <v>C-14</v>
      </c>
      <c r="AC383" s="2" t="str">
        <f t="shared" si="35"/>
        <v xml:space="preserve"> CLEITON </v>
      </c>
      <c r="AD383" s="2">
        <f t="shared" si="33"/>
        <v>15</v>
      </c>
      <c r="AE383" s="2">
        <f t="shared" ca="1" si="34"/>
        <v>-272.27149155092775</v>
      </c>
      <c r="AF383" s="15"/>
    </row>
    <row r="384" spans="1:32" hidden="1">
      <c r="A384" s="1">
        <v>8639844</v>
      </c>
      <c r="B384" s="1" t="s">
        <v>653</v>
      </c>
      <c r="C384" t="s">
        <v>752</v>
      </c>
      <c r="E384" s="2">
        <v>8573001400030</v>
      </c>
      <c r="F384" s="1" t="s">
        <v>647</v>
      </c>
      <c r="G384" s="1" t="s">
        <v>53</v>
      </c>
      <c r="H384" s="1" t="s">
        <v>657</v>
      </c>
      <c r="I384" s="1" t="s">
        <v>658</v>
      </c>
      <c r="J384" s="1" t="s">
        <v>33</v>
      </c>
      <c r="K384" t="s">
        <v>650</v>
      </c>
      <c r="M384" s="1" t="s">
        <v>58</v>
      </c>
      <c r="N384" s="1">
        <v>0</v>
      </c>
      <c r="O384" s="1" t="s">
        <v>105</v>
      </c>
      <c r="P384" s="186">
        <v>44713.40457175926</v>
      </c>
      <c r="R384" s="1">
        <v>4</v>
      </c>
      <c r="T384" s="1" t="s">
        <v>646</v>
      </c>
      <c r="U384" s="186">
        <v>44714.40457175926</v>
      </c>
      <c r="V384" s="1" t="s">
        <v>41</v>
      </c>
      <c r="W384" s="1" t="s">
        <v>49</v>
      </c>
      <c r="X384" s="13"/>
      <c r="Y384" s="2">
        <f t="shared" ca="1" si="30"/>
        <v>196</v>
      </c>
      <c r="Z384" s="14">
        <v>1</v>
      </c>
      <c r="AA384" s="1" t="str">
        <f t="shared" ca="1" si="31"/>
        <v>VENCIDO</v>
      </c>
      <c r="AB384" s="1" t="str">
        <f t="shared" si="32"/>
        <v>C-14</v>
      </c>
      <c r="AC384" s="2" t="str">
        <f t="shared" si="35"/>
        <v xml:space="preserve"> ROSEMERE </v>
      </c>
      <c r="AD384" s="2">
        <f t="shared" si="33"/>
        <v>15</v>
      </c>
      <c r="AE384" s="2">
        <f t="shared" ca="1" si="34"/>
        <v>-272.27169988425885</v>
      </c>
      <c r="AF384" s="15"/>
    </row>
    <row r="385" spans="1:32" hidden="1">
      <c r="A385" s="1">
        <v>8639813</v>
      </c>
      <c r="B385" s="1" t="s">
        <v>653</v>
      </c>
      <c r="C385" t="s">
        <v>752</v>
      </c>
      <c r="E385" s="2">
        <v>8973001400030</v>
      </c>
      <c r="F385" s="1" t="s">
        <v>647</v>
      </c>
      <c r="G385" s="1" t="s">
        <v>53</v>
      </c>
      <c r="H385" s="1" t="s">
        <v>661</v>
      </c>
      <c r="I385" s="1" t="s">
        <v>662</v>
      </c>
      <c r="J385" s="1" t="s">
        <v>46</v>
      </c>
      <c r="K385" t="s">
        <v>650</v>
      </c>
      <c r="M385" s="1" t="s">
        <v>58</v>
      </c>
      <c r="N385" s="1">
        <v>0</v>
      </c>
      <c r="O385" s="1" t="s">
        <v>105</v>
      </c>
      <c r="P385" s="186">
        <v>44713.40452546296</v>
      </c>
      <c r="R385" s="1">
        <v>4</v>
      </c>
      <c r="T385" s="1" t="s">
        <v>646</v>
      </c>
      <c r="U385" s="186">
        <v>44714.404537037037</v>
      </c>
      <c r="V385" s="1" t="s">
        <v>41</v>
      </c>
      <c r="W385" s="1" t="s">
        <v>49</v>
      </c>
      <c r="X385" s="13"/>
      <c r="Y385" s="2">
        <f t="shared" ca="1" si="30"/>
        <v>196</v>
      </c>
      <c r="Z385" s="14">
        <v>1</v>
      </c>
      <c r="AA385" s="1" t="str">
        <f t="shared" ca="1" si="31"/>
        <v>VENCIDO</v>
      </c>
      <c r="AB385" s="1" t="str">
        <f t="shared" si="32"/>
        <v>C-14</v>
      </c>
      <c r="AC385" s="2" t="str">
        <f t="shared" si="35"/>
        <v xml:space="preserve"> CLEITON </v>
      </c>
      <c r="AD385" s="2">
        <f t="shared" si="33"/>
        <v>15</v>
      </c>
      <c r="AE385" s="2">
        <f t="shared" ca="1" si="34"/>
        <v>-272.27173460648191</v>
      </c>
      <c r="AF385" s="15"/>
    </row>
    <row r="386" spans="1:32" hidden="1">
      <c r="A386" s="1">
        <v>8639796</v>
      </c>
      <c r="B386" s="1" t="s">
        <v>653</v>
      </c>
      <c r="C386" t="s">
        <v>752</v>
      </c>
      <c r="E386" s="2">
        <v>8633001400030</v>
      </c>
      <c r="F386" s="1" t="s">
        <v>647</v>
      </c>
      <c r="G386" s="1" t="s">
        <v>53</v>
      </c>
      <c r="H386" s="1" t="s">
        <v>835</v>
      </c>
      <c r="I386" s="1" t="s">
        <v>836</v>
      </c>
      <c r="J386" s="1" t="s">
        <v>46</v>
      </c>
      <c r="K386" t="s">
        <v>650</v>
      </c>
      <c r="M386" s="1" t="s">
        <v>58</v>
      </c>
      <c r="N386" s="1">
        <v>0</v>
      </c>
      <c r="O386" s="1" t="s">
        <v>105</v>
      </c>
      <c r="P386" s="186">
        <v>44713.404502314814</v>
      </c>
      <c r="R386" s="1">
        <v>4</v>
      </c>
      <c r="T386" s="1" t="s">
        <v>646</v>
      </c>
      <c r="U386" s="186">
        <v>44714.404513888891</v>
      </c>
      <c r="V386" s="1" t="s">
        <v>41</v>
      </c>
      <c r="W386" s="1" t="s">
        <v>49</v>
      </c>
      <c r="X386" s="13"/>
      <c r="Y386" s="2">
        <f t="shared" ref="Y386:Y449" ca="1" si="36">NETWORKDAYS(P386,$Y$1)</f>
        <v>196</v>
      </c>
      <c r="Z386" s="14">
        <v>1</v>
      </c>
      <c r="AA386" s="1" t="str">
        <f t="shared" ref="AA386:AA449" ca="1" si="37">IF(AE386=0,"HOJE",IF(AE386&gt;0,"A VENCER",IF(AE386&lt;0,"VENCIDO")))</f>
        <v>VENCIDO</v>
      </c>
      <c r="AB386" s="1" t="str">
        <f t="shared" ref="AB386:AB449" si="38">IF(F386="GRPE-000001","C-14",IF(F386="GRPE-000002","C-14",IF(F386="GRPE-000003","C-14",IF(F386="GRPE-000004","SL-On",IF(F386="GRPE-000038","C-14",IF(F386="GRPE-900022","Dosa",IF(F386="GRPE-000029","Dosa",IF(F386="ATOS-000222","Dose","TAAe+"))))))))</f>
        <v>C-14</v>
      </c>
      <c r="AC386" s="2" t="str">
        <f t="shared" si="35"/>
        <v xml:space="preserve"> CLEITON </v>
      </c>
      <c r="AD386" s="2">
        <f t="shared" ref="AD386:AD449" si="39">IF(F386="GRPE-000001",5,IF(F386="GRPE-000002",5,IF(F386="GRPE-000003",15,IF(F386="GRPE-000004",1,IF(F386="GRPE-000038",5,IF(F386="GRPE-900022",5,IF(F386="GRPE-000029",5,IF(F386="ATOS-000222",5,8))))))))</f>
        <v>15</v>
      </c>
      <c r="AE386" s="2">
        <f t="shared" ref="AE386:AE449" ca="1" si="40">IF(U386=$AE$1,"",U386-$AE$1)</f>
        <v>-272.2717577546282</v>
      </c>
      <c r="AF386" s="15"/>
    </row>
    <row r="387" spans="1:32" hidden="1">
      <c r="A387" s="1">
        <v>8639265</v>
      </c>
      <c r="B387" s="1" t="s">
        <v>653</v>
      </c>
      <c r="C387" t="s">
        <v>752</v>
      </c>
      <c r="E387" s="2">
        <v>5898001400030</v>
      </c>
      <c r="F387" s="1" t="s">
        <v>647</v>
      </c>
      <c r="G387" s="1" t="s">
        <v>53</v>
      </c>
      <c r="H387" s="1" t="s">
        <v>365</v>
      </c>
      <c r="I387" s="1" t="s">
        <v>366</v>
      </c>
      <c r="J387" s="1" t="s">
        <v>164</v>
      </c>
      <c r="K387" t="s">
        <v>650</v>
      </c>
      <c r="M387" s="1" t="s">
        <v>58</v>
      </c>
      <c r="N387" s="1">
        <v>0</v>
      </c>
      <c r="O387" s="1" t="s">
        <v>105</v>
      </c>
      <c r="P387" s="186">
        <v>44713.403090277781</v>
      </c>
      <c r="R387" s="1">
        <v>4</v>
      </c>
      <c r="T387" s="1" t="s">
        <v>646</v>
      </c>
      <c r="U387" s="186">
        <v>44714.403090277781</v>
      </c>
      <c r="V387" s="1" t="s">
        <v>41</v>
      </c>
      <c r="W387" s="1" t="s">
        <v>49</v>
      </c>
      <c r="X387" s="13"/>
      <c r="Y387" s="2">
        <f t="shared" ca="1" si="36"/>
        <v>196</v>
      </c>
      <c r="Z387" s="14">
        <v>1</v>
      </c>
      <c r="AA387" s="1" t="str">
        <f t="shared" ca="1" si="37"/>
        <v>VENCIDO</v>
      </c>
      <c r="AB387" s="1" t="str">
        <f t="shared" si="38"/>
        <v>C-14</v>
      </c>
      <c r="AC387" s="2" t="str">
        <f t="shared" ref="AC387:AC450" si="41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 xml:space="preserve"> ROSEMERE </v>
      </c>
      <c r="AD387" s="2">
        <f t="shared" si="39"/>
        <v>15</v>
      </c>
      <c r="AE387" s="2">
        <f t="shared" ca="1" si="40"/>
        <v>-272.2731813657374</v>
      </c>
      <c r="AF387" s="15"/>
    </row>
    <row r="388" spans="1:32" hidden="1">
      <c r="A388" s="1">
        <v>8639240</v>
      </c>
      <c r="B388" s="1" t="s">
        <v>653</v>
      </c>
      <c r="C388" t="s">
        <v>752</v>
      </c>
      <c r="E388" s="2">
        <v>5816001400030</v>
      </c>
      <c r="F388" s="1" t="s">
        <v>647</v>
      </c>
      <c r="G388" s="1" t="s">
        <v>53</v>
      </c>
      <c r="H388" s="1" t="s">
        <v>412</v>
      </c>
      <c r="I388" s="1" t="s">
        <v>413</v>
      </c>
      <c r="J388" s="1" t="s">
        <v>46</v>
      </c>
      <c r="K388" t="s">
        <v>650</v>
      </c>
      <c r="M388" s="1" t="s">
        <v>58</v>
      </c>
      <c r="N388" s="1">
        <v>0</v>
      </c>
      <c r="O388" s="1" t="s">
        <v>105</v>
      </c>
      <c r="P388" s="186">
        <v>44713.403055555558</v>
      </c>
      <c r="R388" s="1">
        <v>4</v>
      </c>
      <c r="T388" s="1" t="s">
        <v>646</v>
      </c>
      <c r="U388" s="186">
        <v>44714.403055555558</v>
      </c>
      <c r="V388" s="1" t="s">
        <v>41</v>
      </c>
      <c r="W388" s="1" t="s">
        <v>49</v>
      </c>
      <c r="X388" s="13"/>
      <c r="Y388" s="2">
        <f t="shared" ca="1" si="36"/>
        <v>196</v>
      </c>
      <c r="Z388" s="14">
        <v>1</v>
      </c>
      <c r="AA388" s="1" t="str">
        <f t="shared" ca="1" si="37"/>
        <v>VENCIDO</v>
      </c>
      <c r="AB388" s="1" t="str">
        <f t="shared" si="38"/>
        <v>C-14</v>
      </c>
      <c r="AC388" s="2" t="str">
        <f t="shared" si="41"/>
        <v xml:space="preserve"> CLEITON </v>
      </c>
      <c r="AD388" s="2">
        <f t="shared" si="39"/>
        <v>15</v>
      </c>
      <c r="AE388" s="2">
        <f t="shared" ca="1" si="40"/>
        <v>-272.27321608796046</v>
      </c>
      <c r="AF388" s="15"/>
    </row>
    <row r="389" spans="1:32" hidden="1">
      <c r="A389" s="1">
        <v>8639199</v>
      </c>
      <c r="B389" s="1" t="s">
        <v>653</v>
      </c>
      <c r="C389" t="s">
        <v>752</v>
      </c>
      <c r="E389" s="2">
        <v>5755001400030</v>
      </c>
      <c r="F389" s="1" t="s">
        <v>647</v>
      </c>
      <c r="G389" s="1" t="s">
        <v>53</v>
      </c>
      <c r="H389" s="1" t="s">
        <v>841</v>
      </c>
      <c r="I389" s="1" t="s">
        <v>842</v>
      </c>
      <c r="J389" s="1" t="s">
        <v>46</v>
      </c>
      <c r="K389" t="s">
        <v>650</v>
      </c>
      <c r="M389" s="1" t="s">
        <v>58</v>
      </c>
      <c r="N389" s="1">
        <v>0</v>
      </c>
      <c r="O389" s="1" t="s">
        <v>105</v>
      </c>
      <c r="P389" s="186">
        <v>44713.402881944443</v>
      </c>
      <c r="R389" s="1">
        <v>4</v>
      </c>
      <c r="T389" s="1" t="s">
        <v>646</v>
      </c>
      <c r="U389" s="186">
        <v>44714.402881944443</v>
      </c>
      <c r="V389" s="1" t="s">
        <v>41</v>
      </c>
      <c r="W389" s="1" t="s">
        <v>49</v>
      </c>
      <c r="X389" s="13"/>
      <c r="Y389" s="2">
        <f t="shared" ca="1" si="36"/>
        <v>196</v>
      </c>
      <c r="Z389" s="14">
        <v>1</v>
      </c>
      <c r="AA389" s="1" t="str">
        <f t="shared" ca="1" si="37"/>
        <v>VENCIDO</v>
      </c>
      <c r="AB389" s="1" t="str">
        <f t="shared" si="38"/>
        <v>C-14</v>
      </c>
      <c r="AC389" s="2" t="str">
        <f t="shared" si="41"/>
        <v xml:space="preserve"> CLEITON </v>
      </c>
      <c r="AD389" s="2">
        <f t="shared" si="39"/>
        <v>15</v>
      </c>
      <c r="AE389" s="2">
        <f t="shared" ca="1" si="40"/>
        <v>-272.27338969907578</v>
      </c>
      <c r="AF389" s="15"/>
    </row>
    <row r="390" spans="1:32" hidden="1">
      <c r="A390" s="1">
        <v>8639195</v>
      </c>
      <c r="B390" s="1" t="s">
        <v>653</v>
      </c>
      <c r="C390" t="s">
        <v>752</v>
      </c>
      <c r="E390" s="2">
        <v>5742001400030</v>
      </c>
      <c r="F390" s="1" t="s">
        <v>647</v>
      </c>
      <c r="G390" s="1" t="s">
        <v>53</v>
      </c>
      <c r="H390" s="1" t="s">
        <v>430</v>
      </c>
      <c r="I390" s="1" t="s">
        <v>431</v>
      </c>
      <c r="J390" s="1" t="s">
        <v>79</v>
      </c>
      <c r="K390" t="s">
        <v>650</v>
      </c>
      <c r="M390" s="1" t="s">
        <v>58</v>
      </c>
      <c r="N390" s="1">
        <v>0</v>
      </c>
      <c r="O390" s="1" t="s">
        <v>105</v>
      </c>
      <c r="P390" s="186">
        <v>44713.402881944443</v>
      </c>
      <c r="R390" s="1">
        <v>4</v>
      </c>
      <c r="T390" s="1" t="s">
        <v>646</v>
      </c>
      <c r="U390" s="186">
        <v>44714.402881944443</v>
      </c>
      <c r="V390" s="1" t="s">
        <v>41</v>
      </c>
      <c r="W390" s="1" t="s">
        <v>49</v>
      </c>
      <c r="X390" s="13"/>
      <c r="Y390" s="2">
        <f t="shared" ca="1" si="36"/>
        <v>196</v>
      </c>
      <c r="Z390" s="14">
        <v>1</v>
      </c>
      <c r="AA390" s="1" t="str">
        <f t="shared" ca="1" si="37"/>
        <v>VENCIDO</v>
      </c>
      <c r="AB390" s="1" t="str">
        <f t="shared" si="38"/>
        <v>C-14</v>
      </c>
      <c r="AC390" s="2" t="str">
        <f t="shared" si="41"/>
        <v xml:space="preserve"> ROSEMERE </v>
      </c>
      <c r="AD390" s="2">
        <f t="shared" si="39"/>
        <v>15</v>
      </c>
      <c r="AE390" s="2">
        <f t="shared" ca="1" si="40"/>
        <v>-272.27338969907578</v>
      </c>
      <c r="AF390" s="15"/>
    </row>
    <row r="391" spans="1:32" hidden="1">
      <c r="A391" s="1">
        <v>8639194</v>
      </c>
      <c r="B391" s="1" t="s">
        <v>653</v>
      </c>
      <c r="C391" t="s">
        <v>752</v>
      </c>
      <c r="E391" s="2">
        <v>5740001400030</v>
      </c>
      <c r="F391" s="1" t="s">
        <v>647</v>
      </c>
      <c r="G391" s="1" t="s">
        <v>53</v>
      </c>
      <c r="H391" s="1" t="s">
        <v>626</v>
      </c>
      <c r="I391" s="1" t="s">
        <v>627</v>
      </c>
      <c r="J391" s="1" t="s">
        <v>46</v>
      </c>
      <c r="K391" t="s">
        <v>650</v>
      </c>
      <c r="M391" s="1" t="s">
        <v>58</v>
      </c>
      <c r="N391" s="1">
        <v>0</v>
      </c>
      <c r="O391" s="1" t="s">
        <v>105</v>
      </c>
      <c r="P391" s="186">
        <v>44713.402870370373</v>
      </c>
      <c r="R391" s="1">
        <v>4</v>
      </c>
      <c r="T391" s="1" t="s">
        <v>646</v>
      </c>
      <c r="U391" s="186">
        <v>44714.402881944443</v>
      </c>
      <c r="V391" s="1" t="s">
        <v>41</v>
      </c>
      <c r="W391" s="1" t="s">
        <v>49</v>
      </c>
      <c r="X391" s="13"/>
      <c r="Y391" s="2">
        <f t="shared" ca="1" si="36"/>
        <v>196</v>
      </c>
      <c r="Z391" s="14">
        <v>1</v>
      </c>
      <c r="AA391" s="1" t="str">
        <f t="shared" ca="1" si="37"/>
        <v>VENCIDO</v>
      </c>
      <c r="AB391" s="1" t="str">
        <f t="shared" si="38"/>
        <v>C-14</v>
      </c>
      <c r="AC391" s="2" t="str">
        <f t="shared" si="41"/>
        <v xml:space="preserve"> CLEITON </v>
      </c>
      <c r="AD391" s="2">
        <f t="shared" si="39"/>
        <v>15</v>
      </c>
      <c r="AE391" s="2">
        <f t="shared" ca="1" si="40"/>
        <v>-272.27338969907578</v>
      </c>
      <c r="AF391" s="15"/>
    </row>
    <row r="392" spans="1:32" hidden="1">
      <c r="A392" s="1">
        <v>8639017</v>
      </c>
      <c r="B392" s="1" t="s">
        <v>653</v>
      </c>
      <c r="C392" t="s">
        <v>752</v>
      </c>
      <c r="E392" s="2">
        <v>4997001400030</v>
      </c>
      <c r="F392" s="1" t="s">
        <v>647</v>
      </c>
      <c r="G392" s="1" t="s">
        <v>53</v>
      </c>
      <c r="H392" s="1" t="s">
        <v>406</v>
      </c>
      <c r="I392" s="1" t="s">
        <v>407</v>
      </c>
      <c r="J392" s="1" t="s">
        <v>79</v>
      </c>
      <c r="K392" t="s">
        <v>650</v>
      </c>
      <c r="M392" s="1" t="s">
        <v>58</v>
      </c>
      <c r="N392" s="1">
        <v>0</v>
      </c>
      <c r="O392" s="1" t="s">
        <v>36</v>
      </c>
      <c r="P392" s="186">
        <v>44713.402326388888</v>
      </c>
      <c r="R392" s="1">
        <v>4</v>
      </c>
      <c r="T392" s="1" t="s">
        <v>646</v>
      </c>
      <c r="U392" s="186">
        <v>44714.402326388888</v>
      </c>
      <c r="V392" s="1" t="s">
        <v>41</v>
      </c>
      <c r="W392" s="1" t="s">
        <v>49</v>
      </c>
      <c r="X392" s="13"/>
      <c r="Y392" s="2">
        <f t="shared" ca="1" si="36"/>
        <v>196</v>
      </c>
      <c r="Z392" s="14">
        <v>1</v>
      </c>
      <c r="AA392" s="1" t="str">
        <f t="shared" ca="1" si="37"/>
        <v>VENCIDO</v>
      </c>
      <c r="AB392" s="1" t="str">
        <f t="shared" si="38"/>
        <v>C-14</v>
      </c>
      <c r="AC392" s="2" t="str">
        <f t="shared" si="41"/>
        <v xml:space="preserve"> ROSEMERE </v>
      </c>
      <c r="AD392" s="2">
        <f t="shared" si="39"/>
        <v>15</v>
      </c>
      <c r="AE392" s="2">
        <f t="shared" ca="1" si="40"/>
        <v>-272.27394525463023</v>
      </c>
      <c r="AF392" s="15"/>
    </row>
    <row r="393" spans="1:32" hidden="1">
      <c r="A393" s="1">
        <v>8638862</v>
      </c>
      <c r="B393" s="1" t="s">
        <v>653</v>
      </c>
      <c r="C393" t="s">
        <v>752</v>
      </c>
      <c r="E393" s="2">
        <v>4637001400030</v>
      </c>
      <c r="F393" s="1" t="s">
        <v>647</v>
      </c>
      <c r="G393" s="1" t="s">
        <v>53</v>
      </c>
      <c r="H393" s="1" t="s">
        <v>848</v>
      </c>
      <c r="I393" s="1" t="s">
        <v>849</v>
      </c>
      <c r="J393" s="1" t="s">
        <v>79</v>
      </c>
      <c r="K393" t="s">
        <v>650</v>
      </c>
      <c r="M393" s="1" t="s">
        <v>58</v>
      </c>
      <c r="N393" s="1">
        <v>0</v>
      </c>
      <c r="O393" s="1" t="s">
        <v>105</v>
      </c>
      <c r="P393" s="186">
        <v>44713.401967592596</v>
      </c>
      <c r="R393" s="1">
        <v>4</v>
      </c>
      <c r="T393" s="1" t="s">
        <v>646</v>
      </c>
      <c r="U393" s="186">
        <v>44714.401967592596</v>
      </c>
      <c r="V393" s="1" t="s">
        <v>41</v>
      </c>
      <c r="W393" s="1" t="s">
        <v>49</v>
      </c>
      <c r="X393" s="13"/>
      <c r="Y393" s="2">
        <f t="shared" ca="1" si="36"/>
        <v>196</v>
      </c>
      <c r="Z393" s="14">
        <v>1</v>
      </c>
      <c r="AA393" s="1" t="str">
        <f t="shared" ca="1" si="37"/>
        <v>VENCIDO</v>
      </c>
      <c r="AB393" s="1" t="str">
        <f t="shared" si="38"/>
        <v>C-14</v>
      </c>
      <c r="AC393" s="2" t="str">
        <f t="shared" si="41"/>
        <v xml:space="preserve"> ROSEMERE </v>
      </c>
      <c r="AD393" s="2">
        <f t="shared" si="39"/>
        <v>15</v>
      </c>
      <c r="AE393" s="2">
        <f t="shared" ca="1" si="40"/>
        <v>-272.27430405092309</v>
      </c>
      <c r="AF393" s="15"/>
    </row>
    <row r="394" spans="1:32" hidden="1">
      <c r="A394" s="1">
        <v>8638849</v>
      </c>
      <c r="B394" s="1" t="s">
        <v>653</v>
      </c>
      <c r="C394" t="s">
        <v>752</v>
      </c>
      <c r="E394" s="2">
        <v>4623001400030</v>
      </c>
      <c r="F394" s="1" t="s">
        <v>647</v>
      </c>
      <c r="G394" s="1" t="s">
        <v>53</v>
      </c>
      <c r="H394" s="1" t="s">
        <v>669</v>
      </c>
      <c r="I394" s="1" t="s">
        <v>670</v>
      </c>
      <c r="J394" s="1" t="s">
        <v>33</v>
      </c>
      <c r="K394" t="s">
        <v>650</v>
      </c>
      <c r="M394" s="1" t="s">
        <v>58</v>
      </c>
      <c r="N394" s="1">
        <v>0</v>
      </c>
      <c r="O394" s="1" t="s">
        <v>105</v>
      </c>
      <c r="P394" s="186">
        <v>44713.401956018519</v>
      </c>
      <c r="R394" s="1">
        <v>4</v>
      </c>
      <c r="T394" s="1" t="s">
        <v>646</v>
      </c>
      <c r="U394" s="186">
        <v>44714.401956018519</v>
      </c>
      <c r="V394" s="1" t="s">
        <v>41</v>
      </c>
      <c r="W394" s="1" t="s">
        <v>42</v>
      </c>
      <c r="X394" s="13"/>
      <c r="Y394" s="2">
        <f t="shared" ca="1" si="36"/>
        <v>196</v>
      </c>
      <c r="Z394" s="14">
        <v>1</v>
      </c>
      <c r="AA394" s="1" t="str">
        <f t="shared" ca="1" si="37"/>
        <v>VENCIDO</v>
      </c>
      <c r="AB394" s="1" t="str">
        <f t="shared" si="38"/>
        <v>C-14</v>
      </c>
      <c r="AC394" s="2" t="str">
        <f t="shared" si="41"/>
        <v xml:space="preserve"> ROSEMERE </v>
      </c>
      <c r="AD394" s="2">
        <f t="shared" si="39"/>
        <v>15</v>
      </c>
      <c r="AE394" s="2">
        <f t="shared" ca="1" si="40"/>
        <v>-272.27431562499987</v>
      </c>
      <c r="AF394" s="15"/>
    </row>
    <row r="395" spans="1:32" hidden="1">
      <c r="A395" s="1">
        <v>8638655</v>
      </c>
      <c r="B395" s="1" t="s">
        <v>653</v>
      </c>
      <c r="C395" t="s">
        <v>752</v>
      </c>
      <c r="E395" s="2">
        <v>4357001400030</v>
      </c>
      <c r="F395" s="1" t="s">
        <v>647</v>
      </c>
      <c r="G395" s="1" t="s">
        <v>53</v>
      </c>
      <c r="H395" s="1" t="s">
        <v>633</v>
      </c>
      <c r="I395" s="1" t="s">
        <v>634</v>
      </c>
      <c r="J395" s="1" t="s">
        <v>46</v>
      </c>
      <c r="K395" t="s">
        <v>650</v>
      </c>
      <c r="M395" s="1" t="s">
        <v>58</v>
      </c>
      <c r="N395" s="1">
        <v>0</v>
      </c>
      <c r="O395" s="1" t="s">
        <v>105</v>
      </c>
      <c r="P395" s="186">
        <v>44713.40111111111</v>
      </c>
      <c r="R395" s="1">
        <v>4</v>
      </c>
      <c r="T395" s="1" t="s">
        <v>646</v>
      </c>
      <c r="U395" s="186">
        <v>44714.40111111111</v>
      </c>
      <c r="V395" s="1" t="s">
        <v>41</v>
      </c>
      <c r="W395" s="1" t="s">
        <v>49</v>
      </c>
      <c r="X395" s="13"/>
      <c r="Y395" s="2">
        <f t="shared" ca="1" si="36"/>
        <v>196</v>
      </c>
      <c r="Z395" s="14">
        <v>1</v>
      </c>
      <c r="AA395" s="1" t="str">
        <f t="shared" ca="1" si="37"/>
        <v>VENCIDO</v>
      </c>
      <c r="AB395" s="1" t="str">
        <f t="shared" si="38"/>
        <v>C-14</v>
      </c>
      <c r="AC395" s="2" t="str">
        <f t="shared" si="41"/>
        <v xml:space="preserve"> CLEITON </v>
      </c>
      <c r="AD395" s="2">
        <f t="shared" si="39"/>
        <v>15</v>
      </c>
      <c r="AE395" s="2">
        <f t="shared" ca="1" si="40"/>
        <v>-272.27516053240834</v>
      </c>
      <c r="AF395" s="15"/>
    </row>
    <row r="396" spans="1:32" hidden="1">
      <c r="A396" s="1">
        <v>8638579</v>
      </c>
      <c r="B396" s="1" t="s">
        <v>653</v>
      </c>
      <c r="C396" t="s">
        <v>752</v>
      </c>
      <c r="E396" s="2">
        <v>4235001400030</v>
      </c>
      <c r="F396" s="1" t="s">
        <v>647</v>
      </c>
      <c r="G396" s="1" t="s">
        <v>53</v>
      </c>
      <c r="H396" s="1" t="s">
        <v>291</v>
      </c>
      <c r="I396" s="1" t="s">
        <v>292</v>
      </c>
      <c r="J396" s="1" t="s">
        <v>46</v>
      </c>
      <c r="K396" t="s">
        <v>650</v>
      </c>
      <c r="M396" s="1" t="s">
        <v>58</v>
      </c>
      <c r="N396" s="1">
        <v>0</v>
      </c>
      <c r="O396" s="1" t="s">
        <v>105</v>
      </c>
      <c r="P396" s="186">
        <v>44713.400752314818</v>
      </c>
      <c r="R396" s="1">
        <v>4</v>
      </c>
      <c r="T396" s="1" t="s">
        <v>646</v>
      </c>
      <c r="U396" s="186">
        <v>44714.400752314818</v>
      </c>
      <c r="V396" s="1" t="s">
        <v>41</v>
      </c>
      <c r="W396" s="1" t="s">
        <v>49</v>
      </c>
      <c r="X396" s="13"/>
      <c r="Y396" s="2">
        <f t="shared" ca="1" si="36"/>
        <v>196</v>
      </c>
      <c r="Z396" s="14">
        <v>1</v>
      </c>
      <c r="AA396" s="1" t="str">
        <f t="shared" ca="1" si="37"/>
        <v>VENCIDO</v>
      </c>
      <c r="AB396" s="1" t="str">
        <f t="shared" si="38"/>
        <v>C-14</v>
      </c>
      <c r="AC396" s="2" t="str">
        <f t="shared" si="41"/>
        <v xml:space="preserve"> CLEITON </v>
      </c>
      <c r="AD396" s="2">
        <f t="shared" si="39"/>
        <v>15</v>
      </c>
      <c r="AE396" s="2">
        <f t="shared" ca="1" si="40"/>
        <v>-272.27551932870119</v>
      </c>
      <c r="AF396" s="15"/>
    </row>
    <row r="397" spans="1:32" hidden="1">
      <c r="A397" s="1">
        <v>8638488</v>
      </c>
      <c r="B397" s="1" t="s">
        <v>653</v>
      </c>
      <c r="C397" t="s">
        <v>752</v>
      </c>
      <c r="E397" s="2">
        <v>4118001400030</v>
      </c>
      <c r="F397" s="1" t="s">
        <v>647</v>
      </c>
      <c r="G397" s="1" t="s">
        <v>53</v>
      </c>
      <c r="H397" s="1" t="s">
        <v>71</v>
      </c>
      <c r="I397" s="1" t="s">
        <v>72</v>
      </c>
      <c r="J397" s="1" t="s">
        <v>46</v>
      </c>
      <c r="K397" t="s">
        <v>650</v>
      </c>
      <c r="M397" s="1" t="s">
        <v>58</v>
      </c>
      <c r="N397" s="1">
        <v>0</v>
      </c>
      <c r="O397" s="1" t="s">
        <v>105</v>
      </c>
      <c r="P397" s="186">
        <v>44713.40047453704</v>
      </c>
      <c r="R397" s="1">
        <v>4</v>
      </c>
      <c r="T397" s="1" t="s">
        <v>646</v>
      </c>
      <c r="U397" s="186">
        <v>44714.40047453704</v>
      </c>
      <c r="V397" s="1" t="s">
        <v>41</v>
      </c>
      <c r="W397" s="1" t="s">
        <v>49</v>
      </c>
      <c r="X397" s="13"/>
      <c r="Y397" s="2">
        <f t="shared" ca="1" si="36"/>
        <v>196</v>
      </c>
      <c r="Z397" s="14">
        <v>1</v>
      </c>
      <c r="AA397" s="1" t="str">
        <f t="shared" ca="1" si="37"/>
        <v>VENCIDO</v>
      </c>
      <c r="AB397" s="1" t="str">
        <f t="shared" si="38"/>
        <v>C-14</v>
      </c>
      <c r="AC397" s="2" t="str">
        <f t="shared" si="41"/>
        <v xml:space="preserve"> CLEITON </v>
      </c>
      <c r="AD397" s="2">
        <f t="shared" si="39"/>
        <v>15</v>
      </c>
      <c r="AE397" s="2">
        <f t="shared" ca="1" si="40"/>
        <v>-272.27579710647842</v>
      </c>
      <c r="AF397" s="15"/>
    </row>
    <row r="398" spans="1:32" hidden="1">
      <c r="A398" s="1">
        <v>8638189</v>
      </c>
      <c r="B398" s="1" t="s">
        <v>653</v>
      </c>
      <c r="C398" t="s">
        <v>752</v>
      </c>
      <c r="E398" s="2">
        <v>3699001400030</v>
      </c>
      <c r="F398" s="1" t="s">
        <v>647</v>
      </c>
      <c r="G398" s="1" t="s">
        <v>53</v>
      </c>
      <c r="H398" s="1" t="s">
        <v>343</v>
      </c>
      <c r="I398" s="1" t="s">
        <v>344</v>
      </c>
      <c r="J398" s="1" t="s">
        <v>46</v>
      </c>
      <c r="K398" t="s">
        <v>650</v>
      </c>
      <c r="M398" s="1" t="s">
        <v>58</v>
      </c>
      <c r="N398" s="1">
        <v>0</v>
      </c>
      <c r="O398" s="1" t="s">
        <v>105</v>
      </c>
      <c r="P398" s="186">
        <v>44713.399594907409</v>
      </c>
      <c r="R398" s="1">
        <v>4</v>
      </c>
      <c r="T398" s="1" t="s">
        <v>646</v>
      </c>
      <c r="U398" s="186">
        <v>44714.399594907409</v>
      </c>
      <c r="V398" s="1" t="s">
        <v>41</v>
      </c>
      <c r="W398" s="1" t="s">
        <v>49</v>
      </c>
      <c r="X398" s="13"/>
      <c r="Y398" s="2">
        <f t="shared" ca="1" si="36"/>
        <v>196</v>
      </c>
      <c r="Z398" s="14">
        <v>1</v>
      </c>
      <c r="AA398" s="1" t="str">
        <f t="shared" ca="1" si="37"/>
        <v>VENCIDO</v>
      </c>
      <c r="AB398" s="1" t="str">
        <f t="shared" si="38"/>
        <v>C-14</v>
      </c>
      <c r="AC398" s="2" t="str">
        <f t="shared" si="41"/>
        <v xml:space="preserve"> CLEITON </v>
      </c>
      <c r="AD398" s="2">
        <f t="shared" si="39"/>
        <v>15</v>
      </c>
      <c r="AE398" s="2">
        <f t="shared" ca="1" si="40"/>
        <v>-272.27667673610995</v>
      </c>
      <c r="AF398" s="15"/>
    </row>
    <row r="399" spans="1:32" hidden="1">
      <c r="A399" s="1">
        <v>8638122</v>
      </c>
      <c r="B399" s="1" t="s">
        <v>653</v>
      </c>
      <c r="C399" t="s">
        <v>752</v>
      </c>
      <c r="E399" s="2">
        <v>3613001400030</v>
      </c>
      <c r="F399" s="1" t="s">
        <v>647</v>
      </c>
      <c r="G399" s="1" t="s">
        <v>53</v>
      </c>
      <c r="H399" s="1" t="s">
        <v>679</v>
      </c>
      <c r="I399" s="1" t="s">
        <v>680</v>
      </c>
      <c r="J399" s="1" t="s">
        <v>46</v>
      </c>
      <c r="K399" t="s">
        <v>650</v>
      </c>
      <c r="M399" s="1" t="s">
        <v>58</v>
      </c>
      <c r="N399" s="1">
        <v>0</v>
      </c>
      <c r="O399" s="1" t="s">
        <v>105</v>
      </c>
      <c r="P399" s="186">
        <v>44713.39949074074</v>
      </c>
      <c r="R399" s="1">
        <v>4</v>
      </c>
      <c r="T399" s="1" t="s">
        <v>646</v>
      </c>
      <c r="U399" s="186">
        <v>44714.39949074074</v>
      </c>
      <c r="V399" s="1" t="s">
        <v>41</v>
      </c>
      <c r="W399" s="1" t="s">
        <v>49</v>
      </c>
      <c r="X399" s="13"/>
      <c r="Y399" s="2">
        <f t="shared" ca="1" si="36"/>
        <v>196</v>
      </c>
      <c r="Z399" s="14">
        <v>1</v>
      </c>
      <c r="AA399" s="1" t="str">
        <f t="shared" ca="1" si="37"/>
        <v>VENCIDO</v>
      </c>
      <c r="AB399" s="1" t="str">
        <f t="shared" si="38"/>
        <v>C-14</v>
      </c>
      <c r="AC399" s="2" t="str">
        <f t="shared" si="41"/>
        <v xml:space="preserve"> CLEITON </v>
      </c>
      <c r="AD399" s="2">
        <f t="shared" si="39"/>
        <v>15</v>
      </c>
      <c r="AE399" s="2">
        <f t="shared" ca="1" si="40"/>
        <v>-272.27678090277914</v>
      </c>
      <c r="AF399" s="15"/>
    </row>
    <row r="400" spans="1:32" hidden="1">
      <c r="A400" s="1">
        <v>8638121</v>
      </c>
      <c r="B400" s="1" t="s">
        <v>653</v>
      </c>
      <c r="C400" t="s">
        <v>752</v>
      </c>
      <c r="E400" s="2">
        <v>3612001400030</v>
      </c>
      <c r="F400" s="1" t="s">
        <v>647</v>
      </c>
      <c r="G400" s="1" t="s">
        <v>53</v>
      </c>
      <c r="H400" s="1" t="s">
        <v>683</v>
      </c>
      <c r="I400" s="1" t="s">
        <v>684</v>
      </c>
      <c r="J400" s="1" t="s">
        <v>46</v>
      </c>
      <c r="K400" t="s">
        <v>650</v>
      </c>
      <c r="M400" s="1" t="s">
        <v>58</v>
      </c>
      <c r="N400" s="1">
        <v>0</v>
      </c>
      <c r="O400" s="1" t="s">
        <v>105</v>
      </c>
      <c r="P400" s="186">
        <v>44713.39949074074</v>
      </c>
      <c r="R400" s="1">
        <v>4</v>
      </c>
      <c r="T400" s="1" t="s">
        <v>646</v>
      </c>
      <c r="U400" s="186">
        <v>44714.39949074074</v>
      </c>
      <c r="V400" s="1" t="s">
        <v>41</v>
      </c>
      <c r="W400" s="1" t="s">
        <v>49</v>
      </c>
      <c r="X400" s="13"/>
      <c r="Y400" s="2">
        <f t="shared" ca="1" si="36"/>
        <v>196</v>
      </c>
      <c r="Z400" s="14">
        <v>1</v>
      </c>
      <c r="AA400" s="1" t="str">
        <f t="shared" ca="1" si="37"/>
        <v>VENCIDO</v>
      </c>
      <c r="AB400" s="1" t="str">
        <f t="shared" si="38"/>
        <v>C-14</v>
      </c>
      <c r="AC400" s="2" t="str">
        <f t="shared" si="41"/>
        <v xml:space="preserve"> CLEITON </v>
      </c>
      <c r="AD400" s="2">
        <f t="shared" si="39"/>
        <v>15</v>
      </c>
      <c r="AE400" s="2">
        <f t="shared" ca="1" si="40"/>
        <v>-272.27678090277914</v>
      </c>
      <c r="AF400" s="15"/>
    </row>
    <row r="401" spans="1:32" hidden="1">
      <c r="A401" s="1">
        <v>8638058</v>
      </c>
      <c r="B401" s="1" t="s">
        <v>653</v>
      </c>
      <c r="C401" t="s">
        <v>752</v>
      </c>
      <c r="E401" s="2">
        <v>3504001400030</v>
      </c>
      <c r="F401" s="1" t="s">
        <v>647</v>
      </c>
      <c r="G401" s="1" t="s">
        <v>53</v>
      </c>
      <c r="H401" s="1" t="s">
        <v>585</v>
      </c>
      <c r="I401" s="1" t="s">
        <v>586</v>
      </c>
      <c r="J401" s="1" t="s">
        <v>46</v>
      </c>
      <c r="K401" t="s">
        <v>650</v>
      </c>
      <c r="M401" s="1" t="s">
        <v>58</v>
      </c>
      <c r="N401" s="1">
        <v>0</v>
      </c>
      <c r="O401" s="1" t="s">
        <v>105</v>
      </c>
      <c r="P401" s="186">
        <v>44713.399282407408</v>
      </c>
      <c r="R401" s="1">
        <v>4</v>
      </c>
      <c r="T401" s="1" t="s">
        <v>646</v>
      </c>
      <c r="U401" s="186">
        <v>44714.399282407408</v>
      </c>
      <c r="V401" s="1" t="s">
        <v>41</v>
      </c>
      <c r="W401" s="1" t="s">
        <v>49</v>
      </c>
      <c r="X401" s="13"/>
      <c r="Y401" s="2">
        <f t="shared" ca="1" si="36"/>
        <v>196</v>
      </c>
      <c r="Z401" s="14">
        <v>1</v>
      </c>
      <c r="AA401" s="1" t="str">
        <f t="shared" ca="1" si="37"/>
        <v>VENCIDO</v>
      </c>
      <c r="AB401" s="1" t="str">
        <f t="shared" si="38"/>
        <v>C-14</v>
      </c>
      <c r="AC401" s="2" t="str">
        <f t="shared" si="41"/>
        <v xml:space="preserve"> CLEITON </v>
      </c>
      <c r="AD401" s="2">
        <f t="shared" si="39"/>
        <v>15</v>
      </c>
      <c r="AE401" s="2">
        <f t="shared" ca="1" si="40"/>
        <v>-272.27698923611024</v>
      </c>
      <c r="AF401" s="15"/>
    </row>
    <row r="402" spans="1:32" hidden="1">
      <c r="A402" s="1">
        <v>8638057</v>
      </c>
      <c r="B402" s="1" t="s">
        <v>653</v>
      </c>
      <c r="C402" t="s">
        <v>752</v>
      </c>
      <c r="E402" s="2">
        <v>3503001400030</v>
      </c>
      <c r="F402" s="1" t="s">
        <v>647</v>
      </c>
      <c r="G402" s="1" t="s">
        <v>53</v>
      </c>
      <c r="H402" s="1" t="s">
        <v>398</v>
      </c>
      <c r="I402" s="1" t="s">
        <v>399</v>
      </c>
      <c r="J402" s="1" t="s">
        <v>46</v>
      </c>
      <c r="K402" t="s">
        <v>650</v>
      </c>
      <c r="M402" s="1" t="s">
        <v>58</v>
      </c>
      <c r="N402" s="1">
        <v>0</v>
      </c>
      <c r="O402" s="1" t="s">
        <v>105</v>
      </c>
      <c r="P402" s="186">
        <v>44713.399282407408</v>
      </c>
      <c r="R402" s="1">
        <v>4</v>
      </c>
      <c r="T402" s="1" t="s">
        <v>646</v>
      </c>
      <c r="U402" s="186">
        <v>44714.399282407408</v>
      </c>
      <c r="V402" s="1" t="s">
        <v>41</v>
      </c>
      <c r="W402" s="1" t="s">
        <v>49</v>
      </c>
      <c r="X402" s="13"/>
      <c r="Y402" s="2">
        <f t="shared" ca="1" si="36"/>
        <v>196</v>
      </c>
      <c r="Z402" s="14">
        <v>1</v>
      </c>
      <c r="AA402" s="1" t="str">
        <f t="shared" ca="1" si="37"/>
        <v>VENCIDO</v>
      </c>
      <c r="AB402" s="1" t="str">
        <f t="shared" si="38"/>
        <v>C-14</v>
      </c>
      <c r="AC402" s="2" t="str">
        <f t="shared" si="41"/>
        <v xml:space="preserve"> CLEITON </v>
      </c>
      <c r="AD402" s="2">
        <f t="shared" si="39"/>
        <v>15</v>
      </c>
      <c r="AE402" s="2">
        <f t="shared" ca="1" si="40"/>
        <v>-272.27698923611024</v>
      </c>
      <c r="AF402" s="15"/>
    </row>
    <row r="403" spans="1:32" hidden="1">
      <c r="A403" s="1">
        <v>8637889</v>
      </c>
      <c r="B403" s="1" t="s">
        <v>653</v>
      </c>
      <c r="C403" t="s">
        <v>752</v>
      </c>
      <c r="E403" s="2">
        <v>3258001400030</v>
      </c>
      <c r="F403" s="1" t="s">
        <v>647</v>
      </c>
      <c r="G403" s="1" t="s">
        <v>53</v>
      </c>
      <c r="H403" s="1" t="s">
        <v>321</v>
      </c>
      <c r="I403" s="1" t="s">
        <v>322</v>
      </c>
      <c r="J403" s="1" t="s">
        <v>46</v>
      </c>
      <c r="K403" t="s">
        <v>650</v>
      </c>
      <c r="M403" s="1" t="s">
        <v>58</v>
      </c>
      <c r="N403" s="1">
        <v>0</v>
      </c>
      <c r="O403" s="1" t="s">
        <v>105</v>
      </c>
      <c r="P403" s="186">
        <v>44713.398854166669</v>
      </c>
      <c r="R403" s="1">
        <v>4</v>
      </c>
      <c r="T403" s="1" t="s">
        <v>646</v>
      </c>
      <c r="U403" s="186">
        <v>44714.398854166669</v>
      </c>
      <c r="V403" s="1" t="s">
        <v>41</v>
      </c>
      <c r="W403" s="1" t="s">
        <v>49</v>
      </c>
      <c r="X403" s="13"/>
      <c r="Y403" s="2">
        <f t="shared" ca="1" si="36"/>
        <v>196</v>
      </c>
      <c r="Z403" s="14">
        <v>1</v>
      </c>
      <c r="AA403" s="1" t="str">
        <f t="shared" ca="1" si="37"/>
        <v>VENCIDO</v>
      </c>
      <c r="AB403" s="1" t="str">
        <f t="shared" si="38"/>
        <v>C-14</v>
      </c>
      <c r="AC403" s="2" t="str">
        <f t="shared" si="41"/>
        <v xml:space="preserve"> CLEITON </v>
      </c>
      <c r="AD403" s="2">
        <f t="shared" si="39"/>
        <v>15</v>
      </c>
      <c r="AE403" s="2">
        <f t="shared" ca="1" si="40"/>
        <v>-272.27741747684922</v>
      </c>
      <c r="AF403" s="15"/>
    </row>
    <row r="404" spans="1:32" hidden="1">
      <c r="A404" s="1">
        <v>8637878</v>
      </c>
      <c r="B404" s="1" t="s">
        <v>653</v>
      </c>
      <c r="C404" t="s">
        <v>752</v>
      </c>
      <c r="E404" s="2">
        <v>3243001400030</v>
      </c>
      <c r="F404" s="1" t="s">
        <v>647</v>
      </c>
      <c r="G404" s="1" t="s">
        <v>53</v>
      </c>
      <c r="H404" s="1" t="s">
        <v>282</v>
      </c>
      <c r="I404" s="1" t="s">
        <v>283</v>
      </c>
      <c r="J404" s="1" t="s">
        <v>46</v>
      </c>
      <c r="K404" t="s">
        <v>650</v>
      </c>
      <c r="M404" s="1" t="s">
        <v>58</v>
      </c>
      <c r="N404" s="1">
        <v>0</v>
      </c>
      <c r="O404" s="1" t="s">
        <v>105</v>
      </c>
      <c r="P404" s="186">
        <v>44713.398842592593</v>
      </c>
      <c r="R404" s="1">
        <v>4</v>
      </c>
      <c r="T404" s="1" t="s">
        <v>646</v>
      </c>
      <c r="U404" s="186">
        <v>44714.398842592593</v>
      </c>
      <c r="V404" s="1" t="s">
        <v>41</v>
      </c>
      <c r="W404" s="1" t="s">
        <v>49</v>
      </c>
      <c r="X404" s="13"/>
      <c r="Y404" s="2">
        <f t="shared" ca="1" si="36"/>
        <v>196</v>
      </c>
      <c r="Z404" s="14">
        <v>1</v>
      </c>
      <c r="AA404" s="1" t="str">
        <f t="shared" ca="1" si="37"/>
        <v>VENCIDO</v>
      </c>
      <c r="AB404" s="1" t="str">
        <f t="shared" si="38"/>
        <v>C-14</v>
      </c>
      <c r="AC404" s="2" t="str">
        <f t="shared" si="41"/>
        <v xml:space="preserve"> CLEITON </v>
      </c>
      <c r="AD404" s="2">
        <f t="shared" si="39"/>
        <v>15</v>
      </c>
      <c r="AE404" s="2">
        <f t="shared" ca="1" si="40"/>
        <v>-272.277429050926</v>
      </c>
      <c r="AF404" s="15"/>
    </row>
    <row r="405" spans="1:32" hidden="1">
      <c r="A405" s="1">
        <v>8637875</v>
      </c>
      <c r="B405" s="1" t="s">
        <v>653</v>
      </c>
      <c r="C405" t="s">
        <v>752</v>
      </c>
      <c r="E405" s="2">
        <v>3237001400030</v>
      </c>
      <c r="F405" s="1" t="s">
        <v>647</v>
      </c>
      <c r="G405" s="1" t="s">
        <v>53</v>
      </c>
      <c r="H405" s="1" t="s">
        <v>287</v>
      </c>
      <c r="I405" s="1" t="s">
        <v>288</v>
      </c>
      <c r="J405" s="1" t="s">
        <v>46</v>
      </c>
      <c r="K405" t="s">
        <v>650</v>
      </c>
      <c r="M405" s="1" t="s">
        <v>58</v>
      </c>
      <c r="N405" s="1">
        <v>0</v>
      </c>
      <c r="O405" s="1" t="s">
        <v>105</v>
      </c>
      <c r="P405" s="186">
        <v>44713.398831018516</v>
      </c>
      <c r="R405" s="1">
        <v>4</v>
      </c>
      <c r="T405" s="1" t="s">
        <v>646</v>
      </c>
      <c r="U405" s="186">
        <v>44714.398831018516</v>
      </c>
      <c r="V405" s="1" t="s">
        <v>41</v>
      </c>
      <c r="W405" s="1" t="s">
        <v>49</v>
      </c>
      <c r="X405" s="13"/>
      <c r="Y405" s="2">
        <f t="shared" ca="1" si="36"/>
        <v>196</v>
      </c>
      <c r="Z405" s="14">
        <v>1</v>
      </c>
      <c r="AA405" s="1" t="str">
        <f t="shared" ca="1" si="37"/>
        <v>VENCIDO</v>
      </c>
      <c r="AB405" s="1" t="str">
        <f t="shared" si="38"/>
        <v>C-14</v>
      </c>
      <c r="AC405" s="2" t="str">
        <f t="shared" si="41"/>
        <v xml:space="preserve"> CLEITON </v>
      </c>
      <c r="AD405" s="2">
        <f t="shared" si="39"/>
        <v>15</v>
      </c>
      <c r="AE405" s="2">
        <f t="shared" ca="1" si="40"/>
        <v>-272.27744062500278</v>
      </c>
      <c r="AF405" s="15"/>
    </row>
    <row r="406" spans="1:32" hidden="1">
      <c r="A406" s="1">
        <v>8637700</v>
      </c>
      <c r="B406" s="1" t="s">
        <v>653</v>
      </c>
      <c r="C406" t="s">
        <v>752</v>
      </c>
      <c r="E406" s="2">
        <v>2988001400030</v>
      </c>
      <c r="F406" s="1" t="s">
        <v>647</v>
      </c>
      <c r="G406" s="1" t="s">
        <v>53</v>
      </c>
      <c r="H406" s="1" t="s">
        <v>536</v>
      </c>
      <c r="I406" s="1" t="s">
        <v>537</v>
      </c>
      <c r="J406" s="1" t="s">
        <v>46</v>
      </c>
      <c r="K406" t="s">
        <v>650</v>
      </c>
      <c r="M406" s="1" t="s">
        <v>58</v>
      </c>
      <c r="N406" s="1">
        <v>0</v>
      </c>
      <c r="O406" s="1" t="s">
        <v>105</v>
      </c>
      <c r="P406" s="186">
        <v>44713.398344907408</v>
      </c>
      <c r="R406" s="1">
        <v>4</v>
      </c>
      <c r="T406" s="1" t="s">
        <v>646</v>
      </c>
      <c r="U406" s="186">
        <v>44714.398356481484</v>
      </c>
      <c r="V406" s="1" t="s">
        <v>41</v>
      </c>
      <c r="W406" s="1" t="s">
        <v>49</v>
      </c>
      <c r="X406" s="13"/>
      <c r="Y406" s="2">
        <f t="shared" ca="1" si="36"/>
        <v>196</v>
      </c>
      <c r="Z406" s="14">
        <v>1</v>
      </c>
      <c r="AA406" s="1" t="str">
        <f t="shared" ca="1" si="37"/>
        <v>VENCIDO</v>
      </c>
      <c r="AB406" s="1" t="str">
        <f t="shared" si="38"/>
        <v>C-14</v>
      </c>
      <c r="AC406" s="2" t="str">
        <f t="shared" si="41"/>
        <v xml:space="preserve"> CLEITON </v>
      </c>
      <c r="AD406" s="2">
        <f t="shared" si="39"/>
        <v>15</v>
      </c>
      <c r="AE406" s="2">
        <f t="shared" ca="1" si="40"/>
        <v>-272.27791516203433</v>
      </c>
      <c r="AF406" s="15"/>
    </row>
    <row r="407" spans="1:32" hidden="1">
      <c r="A407" s="1">
        <v>8637582</v>
      </c>
      <c r="B407" s="1" t="s">
        <v>653</v>
      </c>
      <c r="C407" t="s">
        <v>752</v>
      </c>
      <c r="E407" s="2">
        <v>2830001400030</v>
      </c>
      <c r="F407" s="1" t="s">
        <v>647</v>
      </c>
      <c r="G407" s="1" t="s">
        <v>53</v>
      </c>
      <c r="H407" s="1" t="s">
        <v>448</v>
      </c>
      <c r="I407" s="1" t="s">
        <v>449</v>
      </c>
      <c r="J407" s="1" t="s">
        <v>33</v>
      </c>
      <c r="K407" t="s">
        <v>650</v>
      </c>
      <c r="M407" s="1" t="s">
        <v>58</v>
      </c>
      <c r="N407" s="1">
        <v>0</v>
      </c>
      <c r="O407" s="1" t="s">
        <v>105</v>
      </c>
      <c r="P407" s="186">
        <v>44713.397939814815</v>
      </c>
      <c r="R407" s="1">
        <v>4</v>
      </c>
      <c r="T407" s="1" t="s">
        <v>646</v>
      </c>
      <c r="U407" s="186">
        <v>44714.397939814815</v>
      </c>
      <c r="V407" s="1" t="s">
        <v>41</v>
      </c>
      <c r="W407" s="1" t="s">
        <v>42</v>
      </c>
      <c r="X407" s="13"/>
      <c r="Y407" s="2">
        <f t="shared" ca="1" si="36"/>
        <v>196</v>
      </c>
      <c r="Z407" s="14">
        <v>1</v>
      </c>
      <c r="AA407" s="1" t="str">
        <f t="shared" ca="1" si="37"/>
        <v>VENCIDO</v>
      </c>
      <c r="AB407" s="1" t="str">
        <f t="shared" si="38"/>
        <v>C-14</v>
      </c>
      <c r="AC407" s="2" t="str">
        <f t="shared" si="41"/>
        <v xml:space="preserve"> ROSEMERE </v>
      </c>
      <c r="AD407" s="2">
        <f t="shared" si="39"/>
        <v>15</v>
      </c>
      <c r="AE407" s="2">
        <f t="shared" ca="1" si="40"/>
        <v>-272.27833182870381</v>
      </c>
      <c r="AF407" s="15"/>
    </row>
    <row r="408" spans="1:32" hidden="1">
      <c r="A408" s="1">
        <v>8637567</v>
      </c>
      <c r="B408" s="1" t="s">
        <v>653</v>
      </c>
      <c r="C408" t="s">
        <v>752</v>
      </c>
      <c r="E408" s="2">
        <v>2811001400030</v>
      </c>
      <c r="F408" s="1" t="s">
        <v>647</v>
      </c>
      <c r="G408" s="1" t="s">
        <v>53</v>
      </c>
      <c r="H408" s="1" t="s">
        <v>44</v>
      </c>
      <c r="I408" s="1" t="s">
        <v>45</v>
      </c>
      <c r="J408" s="1" t="s">
        <v>46</v>
      </c>
      <c r="K408" t="s">
        <v>650</v>
      </c>
      <c r="M408" s="1" t="s">
        <v>58</v>
      </c>
      <c r="N408" s="1">
        <v>0</v>
      </c>
      <c r="O408" s="1" t="s">
        <v>105</v>
      </c>
      <c r="P408" s="186">
        <v>44713.397928240738</v>
      </c>
      <c r="R408" s="1">
        <v>4</v>
      </c>
      <c r="T408" s="1" t="s">
        <v>646</v>
      </c>
      <c r="U408" s="186">
        <v>44714.397928240738</v>
      </c>
      <c r="V408" s="1" t="s">
        <v>41</v>
      </c>
      <c r="W408" s="1" t="s">
        <v>49</v>
      </c>
      <c r="X408" s="13"/>
      <c r="Y408" s="2">
        <f t="shared" ca="1" si="36"/>
        <v>196</v>
      </c>
      <c r="Z408" s="14">
        <v>1</v>
      </c>
      <c r="AA408" s="1" t="str">
        <f t="shared" ca="1" si="37"/>
        <v>VENCIDO</v>
      </c>
      <c r="AB408" s="1" t="str">
        <f t="shared" si="38"/>
        <v>C-14</v>
      </c>
      <c r="AC408" s="2" t="str">
        <f t="shared" si="41"/>
        <v xml:space="preserve"> CLEITON </v>
      </c>
      <c r="AD408" s="2">
        <f t="shared" si="39"/>
        <v>15</v>
      </c>
      <c r="AE408" s="2">
        <f t="shared" ca="1" si="40"/>
        <v>-272.27834340278059</v>
      </c>
      <c r="AF408" s="15"/>
    </row>
    <row r="409" spans="1:32" hidden="1">
      <c r="A409" s="1">
        <v>8637560</v>
      </c>
      <c r="B409" s="1" t="s">
        <v>653</v>
      </c>
      <c r="C409" t="s">
        <v>752</v>
      </c>
      <c r="E409" s="2">
        <v>2802001400030</v>
      </c>
      <c r="F409" s="1" t="s">
        <v>647</v>
      </c>
      <c r="G409" s="1" t="s">
        <v>53</v>
      </c>
      <c r="H409" s="1" t="s">
        <v>388</v>
      </c>
      <c r="I409" s="1" t="s">
        <v>389</v>
      </c>
      <c r="J409" s="1" t="s">
        <v>46</v>
      </c>
      <c r="K409" t="s">
        <v>650</v>
      </c>
      <c r="M409" s="1" t="s">
        <v>58</v>
      </c>
      <c r="N409" s="1">
        <v>0</v>
      </c>
      <c r="O409" s="1" t="s">
        <v>105</v>
      </c>
      <c r="P409" s="186">
        <v>44713.397916666669</v>
      </c>
      <c r="R409" s="1">
        <v>4</v>
      </c>
      <c r="T409" s="1" t="s">
        <v>646</v>
      </c>
      <c r="U409" s="186">
        <v>44714.397916666669</v>
      </c>
      <c r="V409" s="1" t="s">
        <v>41</v>
      </c>
      <c r="W409" s="1" t="s">
        <v>49</v>
      </c>
      <c r="X409" s="13"/>
      <c r="Y409" s="2">
        <f t="shared" ca="1" si="36"/>
        <v>196</v>
      </c>
      <c r="Z409" s="14">
        <v>1</v>
      </c>
      <c r="AA409" s="1" t="str">
        <f t="shared" ca="1" si="37"/>
        <v>VENCIDO</v>
      </c>
      <c r="AB409" s="1" t="str">
        <f t="shared" si="38"/>
        <v>C-14</v>
      </c>
      <c r="AC409" s="2" t="str">
        <f t="shared" si="41"/>
        <v xml:space="preserve"> CLEITON </v>
      </c>
      <c r="AD409" s="2">
        <f t="shared" si="39"/>
        <v>15</v>
      </c>
      <c r="AE409" s="2">
        <f t="shared" ca="1" si="40"/>
        <v>-272.2783549768501</v>
      </c>
      <c r="AF409" s="15"/>
    </row>
    <row r="410" spans="1:32" hidden="1">
      <c r="A410" s="1">
        <v>8637412</v>
      </c>
      <c r="B410" s="1" t="s">
        <v>653</v>
      </c>
      <c r="C410" t="s">
        <v>752</v>
      </c>
      <c r="E410" s="2">
        <v>2625001400030</v>
      </c>
      <c r="F410" s="1" t="s">
        <v>647</v>
      </c>
      <c r="G410" s="1" t="s">
        <v>53</v>
      </c>
      <c r="H410" s="1" t="s">
        <v>317</v>
      </c>
      <c r="I410" s="1" t="s">
        <v>318</v>
      </c>
      <c r="J410" s="1" t="s">
        <v>164</v>
      </c>
      <c r="K410" t="s">
        <v>650</v>
      </c>
      <c r="M410" s="1" t="s">
        <v>58</v>
      </c>
      <c r="N410" s="1">
        <v>0</v>
      </c>
      <c r="O410" s="1" t="s">
        <v>105</v>
      </c>
      <c r="P410" s="186">
        <v>44713.397581018522</v>
      </c>
      <c r="R410" s="1">
        <v>4</v>
      </c>
      <c r="T410" s="1" t="s">
        <v>646</v>
      </c>
      <c r="U410" s="186">
        <v>44714.397581018522</v>
      </c>
      <c r="V410" s="1" t="s">
        <v>41</v>
      </c>
      <c r="W410" s="1" t="s">
        <v>49</v>
      </c>
      <c r="X410" s="13"/>
      <c r="Y410" s="2">
        <f t="shared" ca="1" si="36"/>
        <v>196</v>
      </c>
      <c r="Z410" s="14">
        <v>1</v>
      </c>
      <c r="AA410" s="1" t="str">
        <f t="shared" ca="1" si="37"/>
        <v>VENCIDO</v>
      </c>
      <c r="AB410" s="1" t="str">
        <f t="shared" si="38"/>
        <v>C-14</v>
      </c>
      <c r="AC410" s="2" t="str">
        <f t="shared" si="41"/>
        <v xml:space="preserve"> ROSEMERE </v>
      </c>
      <c r="AD410" s="2">
        <f t="shared" si="39"/>
        <v>15</v>
      </c>
      <c r="AE410" s="2">
        <f t="shared" ca="1" si="40"/>
        <v>-272.27869062499667</v>
      </c>
      <c r="AF410" s="15"/>
    </row>
    <row r="411" spans="1:32" hidden="1">
      <c r="A411" s="1">
        <v>8637224</v>
      </c>
      <c r="B411" s="1" t="s">
        <v>653</v>
      </c>
      <c r="C411" t="s">
        <v>752</v>
      </c>
      <c r="E411" s="2">
        <v>2388001400030</v>
      </c>
      <c r="F411" s="1" t="s">
        <v>647</v>
      </c>
      <c r="G411" s="1" t="s">
        <v>53</v>
      </c>
      <c r="H411" s="1" t="s">
        <v>299</v>
      </c>
      <c r="I411" s="1" t="s">
        <v>300</v>
      </c>
      <c r="J411" s="1" t="s">
        <v>79</v>
      </c>
      <c r="K411" t="s">
        <v>650</v>
      </c>
      <c r="M411" s="1" t="s">
        <v>58</v>
      </c>
      <c r="N411" s="1">
        <v>0</v>
      </c>
      <c r="O411" s="1" t="s">
        <v>105</v>
      </c>
      <c r="P411" s="186">
        <v>44713.397094907406</v>
      </c>
      <c r="R411" s="1">
        <v>4</v>
      </c>
      <c r="T411" s="1" t="s">
        <v>646</v>
      </c>
      <c r="U411" s="186">
        <v>44714.397094907406</v>
      </c>
      <c r="V411" s="1" t="s">
        <v>41</v>
      </c>
      <c r="W411" s="1" t="s">
        <v>49</v>
      </c>
      <c r="X411" s="13"/>
      <c r="Y411" s="2">
        <f t="shared" ca="1" si="36"/>
        <v>196</v>
      </c>
      <c r="Z411" s="14">
        <v>1</v>
      </c>
      <c r="AA411" s="1" t="str">
        <f t="shared" ca="1" si="37"/>
        <v>VENCIDO</v>
      </c>
      <c r="AB411" s="1" t="str">
        <f t="shared" si="38"/>
        <v>C-14</v>
      </c>
      <c r="AC411" s="2" t="str">
        <f t="shared" si="41"/>
        <v xml:space="preserve"> ROSEMERE </v>
      </c>
      <c r="AD411" s="2">
        <f t="shared" si="39"/>
        <v>15</v>
      </c>
      <c r="AE411" s="2">
        <f t="shared" ca="1" si="40"/>
        <v>-272.27917673611228</v>
      </c>
      <c r="AF411" s="15"/>
    </row>
    <row r="412" spans="1:32" hidden="1">
      <c r="A412" s="1">
        <v>8637210</v>
      </c>
      <c r="B412" s="1" t="s">
        <v>653</v>
      </c>
      <c r="C412" t="s">
        <v>752</v>
      </c>
      <c r="E412" s="2">
        <v>2369001400030</v>
      </c>
      <c r="F412" s="1" t="s">
        <v>647</v>
      </c>
      <c r="G412" s="1" t="s">
        <v>53</v>
      </c>
      <c r="H412" s="1" t="s">
        <v>701</v>
      </c>
      <c r="I412" s="1" t="s">
        <v>702</v>
      </c>
      <c r="J412" s="1" t="s">
        <v>141</v>
      </c>
      <c r="K412" t="s">
        <v>650</v>
      </c>
      <c r="M412" s="1" t="s">
        <v>58</v>
      </c>
      <c r="N412" s="1">
        <v>0</v>
      </c>
      <c r="O412" s="1" t="s">
        <v>105</v>
      </c>
      <c r="P412" s="186">
        <v>44713.39707175926</v>
      </c>
      <c r="R412" s="1">
        <v>4</v>
      </c>
      <c r="T412" s="1" t="s">
        <v>646</v>
      </c>
      <c r="U412" s="186">
        <v>44714.39707175926</v>
      </c>
      <c r="V412" s="1" t="s">
        <v>41</v>
      </c>
      <c r="W412" s="1" t="s">
        <v>49</v>
      </c>
      <c r="X412" s="13"/>
      <c r="Y412" s="2">
        <f t="shared" ca="1" si="36"/>
        <v>196</v>
      </c>
      <c r="Z412" s="14">
        <v>1</v>
      </c>
      <c r="AA412" s="1" t="str">
        <f t="shared" ca="1" si="37"/>
        <v>VENCIDO</v>
      </c>
      <c r="AB412" s="1" t="str">
        <f t="shared" si="38"/>
        <v>C-14</v>
      </c>
      <c r="AC412" s="2" t="str">
        <f t="shared" si="41"/>
        <v xml:space="preserve"> CRISTINA </v>
      </c>
      <c r="AD412" s="2">
        <f t="shared" si="39"/>
        <v>15</v>
      </c>
      <c r="AE412" s="2">
        <f t="shared" ca="1" si="40"/>
        <v>-272.27919988425856</v>
      </c>
      <c r="AF412" s="15"/>
    </row>
    <row r="413" spans="1:32" hidden="1">
      <c r="A413" s="1">
        <v>8637207</v>
      </c>
      <c r="B413" s="1" t="s">
        <v>653</v>
      </c>
      <c r="C413" t="s">
        <v>752</v>
      </c>
      <c r="E413" s="2">
        <v>2365001400030</v>
      </c>
      <c r="F413" s="1" t="s">
        <v>647</v>
      </c>
      <c r="G413" s="1" t="s">
        <v>53</v>
      </c>
      <c r="H413" s="1" t="s">
        <v>159</v>
      </c>
      <c r="I413" s="1" t="s">
        <v>160</v>
      </c>
      <c r="J413" s="1" t="s">
        <v>46</v>
      </c>
      <c r="K413" t="s">
        <v>650</v>
      </c>
      <c r="M413" s="1" t="s">
        <v>58</v>
      </c>
      <c r="N413" s="1">
        <v>0</v>
      </c>
      <c r="O413" s="1" t="s">
        <v>105</v>
      </c>
      <c r="P413" s="186">
        <v>44713.397060185183</v>
      </c>
      <c r="R413" s="1">
        <v>4</v>
      </c>
      <c r="T413" s="1" t="s">
        <v>646</v>
      </c>
      <c r="U413" s="186">
        <v>44714.39707175926</v>
      </c>
      <c r="V413" s="1" t="s">
        <v>41</v>
      </c>
      <c r="W413" s="1" t="s">
        <v>49</v>
      </c>
      <c r="X413" s="13"/>
      <c r="Y413" s="2">
        <f t="shared" ca="1" si="36"/>
        <v>196</v>
      </c>
      <c r="Z413" s="14">
        <v>1</v>
      </c>
      <c r="AA413" s="1" t="str">
        <f t="shared" ca="1" si="37"/>
        <v>VENCIDO</v>
      </c>
      <c r="AB413" s="1" t="str">
        <f t="shared" si="38"/>
        <v>C-14</v>
      </c>
      <c r="AC413" s="2" t="str">
        <f t="shared" si="41"/>
        <v xml:space="preserve"> CLEITON </v>
      </c>
      <c r="AD413" s="2">
        <f t="shared" si="39"/>
        <v>15</v>
      </c>
      <c r="AE413" s="2">
        <f t="shared" ca="1" si="40"/>
        <v>-272.27919988425856</v>
      </c>
      <c r="AF413" s="15"/>
    </row>
    <row r="414" spans="1:32" hidden="1">
      <c r="A414" s="1">
        <v>8637176</v>
      </c>
      <c r="B414" s="1" t="s">
        <v>653</v>
      </c>
      <c r="C414" t="s">
        <v>752</v>
      </c>
      <c r="E414" s="2">
        <v>2326001400030</v>
      </c>
      <c r="F414" s="1" t="s">
        <v>647</v>
      </c>
      <c r="G414" s="1" t="s">
        <v>53</v>
      </c>
      <c r="H414" s="1" t="s">
        <v>191</v>
      </c>
      <c r="I414" s="1" t="s">
        <v>192</v>
      </c>
      <c r="J414" s="1" t="s">
        <v>46</v>
      </c>
      <c r="K414" t="s">
        <v>650</v>
      </c>
      <c r="M414" s="1" t="s">
        <v>58</v>
      </c>
      <c r="N414" s="1">
        <v>0</v>
      </c>
      <c r="O414" s="1" t="s">
        <v>105</v>
      </c>
      <c r="P414" s="186">
        <v>44713.397013888891</v>
      </c>
      <c r="R414" s="1">
        <v>4</v>
      </c>
      <c r="T414" s="1" t="s">
        <v>646</v>
      </c>
      <c r="U414" s="186">
        <v>44714.397013888891</v>
      </c>
      <c r="V414" s="1" t="s">
        <v>41</v>
      </c>
      <c r="W414" s="1" t="s">
        <v>49</v>
      </c>
      <c r="X414" s="13"/>
      <c r="Y414" s="2">
        <f t="shared" ca="1" si="36"/>
        <v>196</v>
      </c>
      <c r="Z414" s="14">
        <v>1</v>
      </c>
      <c r="AA414" s="1" t="str">
        <f t="shared" ca="1" si="37"/>
        <v>VENCIDO</v>
      </c>
      <c r="AB414" s="1" t="str">
        <f t="shared" si="38"/>
        <v>C-14</v>
      </c>
      <c r="AC414" s="2" t="str">
        <f t="shared" si="41"/>
        <v xml:space="preserve"> CLEITON </v>
      </c>
      <c r="AD414" s="2">
        <f t="shared" si="39"/>
        <v>15</v>
      </c>
      <c r="AE414" s="2">
        <f t="shared" ca="1" si="40"/>
        <v>-272.27925775462791</v>
      </c>
      <c r="AF414" s="15"/>
    </row>
    <row r="415" spans="1:32" hidden="1">
      <c r="A415" s="1">
        <v>8637101</v>
      </c>
      <c r="B415" s="1" t="s">
        <v>653</v>
      </c>
      <c r="C415" t="s">
        <v>752</v>
      </c>
      <c r="E415" s="2">
        <v>2238001400030</v>
      </c>
      <c r="F415" s="1" t="s">
        <v>647</v>
      </c>
      <c r="G415" s="1" t="s">
        <v>53</v>
      </c>
      <c r="H415" s="1" t="s">
        <v>707</v>
      </c>
      <c r="I415" s="1" t="s">
        <v>708</v>
      </c>
      <c r="J415" s="1" t="s">
        <v>79</v>
      </c>
      <c r="K415" t="s">
        <v>650</v>
      </c>
      <c r="M415" s="1" t="s">
        <v>58</v>
      </c>
      <c r="N415" s="1">
        <v>0</v>
      </c>
      <c r="O415" s="1" t="s">
        <v>105</v>
      </c>
      <c r="P415" s="186">
        <v>44713.396805555552</v>
      </c>
      <c r="R415" s="1">
        <v>4</v>
      </c>
      <c r="T415" s="1" t="s">
        <v>646</v>
      </c>
      <c r="U415" s="186">
        <v>44714.396817129629</v>
      </c>
      <c r="V415" s="1" t="s">
        <v>41</v>
      </c>
      <c r="W415" s="1" t="s">
        <v>49</v>
      </c>
      <c r="X415" s="13"/>
      <c r="Y415" s="2">
        <f t="shared" ca="1" si="36"/>
        <v>196</v>
      </c>
      <c r="Z415" s="14">
        <v>1</v>
      </c>
      <c r="AA415" s="1" t="str">
        <f t="shared" ca="1" si="37"/>
        <v>VENCIDO</v>
      </c>
      <c r="AB415" s="1" t="str">
        <f t="shared" si="38"/>
        <v>C-14</v>
      </c>
      <c r="AC415" s="2" t="str">
        <f t="shared" si="41"/>
        <v xml:space="preserve"> ROSEMERE </v>
      </c>
      <c r="AD415" s="2">
        <f t="shared" si="39"/>
        <v>15</v>
      </c>
      <c r="AE415" s="2">
        <f t="shared" ca="1" si="40"/>
        <v>-272.2794545138895</v>
      </c>
      <c r="AF415" s="15"/>
    </row>
    <row r="416" spans="1:32" hidden="1">
      <c r="A416" s="1">
        <v>8637084</v>
      </c>
      <c r="B416" s="1" t="s">
        <v>653</v>
      </c>
      <c r="C416" t="s">
        <v>752</v>
      </c>
      <c r="E416" s="2">
        <v>2219001400030</v>
      </c>
      <c r="F416" s="1" t="s">
        <v>647</v>
      </c>
      <c r="G416" s="1" t="s">
        <v>53</v>
      </c>
      <c r="H416" s="1" t="s">
        <v>893</v>
      </c>
      <c r="I416" s="1" t="s">
        <v>894</v>
      </c>
      <c r="J416" s="1" t="s">
        <v>141</v>
      </c>
      <c r="K416" t="s">
        <v>650</v>
      </c>
      <c r="M416" s="1" t="s">
        <v>58</v>
      </c>
      <c r="N416" s="1">
        <v>0</v>
      </c>
      <c r="O416" s="1" t="s">
        <v>105</v>
      </c>
      <c r="P416" s="186">
        <v>44713.396793981483</v>
      </c>
      <c r="R416" s="1">
        <v>4</v>
      </c>
      <c r="T416" s="1" t="s">
        <v>646</v>
      </c>
      <c r="U416" s="186">
        <v>44714.396793981483</v>
      </c>
      <c r="V416" s="1" t="s">
        <v>41</v>
      </c>
      <c r="W416" s="1" t="s">
        <v>49</v>
      </c>
      <c r="X416" s="13"/>
      <c r="Y416" s="2">
        <f t="shared" ca="1" si="36"/>
        <v>196</v>
      </c>
      <c r="Z416" s="14">
        <v>1</v>
      </c>
      <c r="AA416" s="1" t="str">
        <f t="shared" ca="1" si="37"/>
        <v>VENCIDO</v>
      </c>
      <c r="AB416" s="1" t="str">
        <f t="shared" si="38"/>
        <v>C-14</v>
      </c>
      <c r="AC416" s="2" t="str">
        <f t="shared" si="41"/>
        <v xml:space="preserve"> CRISTINA </v>
      </c>
      <c r="AD416" s="2">
        <f t="shared" si="39"/>
        <v>15</v>
      </c>
      <c r="AE416" s="2">
        <f t="shared" ca="1" si="40"/>
        <v>-272.27947766203579</v>
      </c>
      <c r="AF416" s="15"/>
    </row>
    <row r="417" spans="1:32" hidden="1">
      <c r="A417" s="1">
        <v>8637010</v>
      </c>
      <c r="B417" s="1" t="s">
        <v>653</v>
      </c>
      <c r="C417" t="s">
        <v>752</v>
      </c>
      <c r="E417" s="2">
        <v>2138001400030</v>
      </c>
      <c r="F417" s="1" t="s">
        <v>647</v>
      </c>
      <c r="G417" s="1" t="s">
        <v>53</v>
      </c>
      <c r="H417" s="1" t="s">
        <v>379</v>
      </c>
      <c r="I417" s="1" t="s">
        <v>380</v>
      </c>
      <c r="J417" s="1" t="s">
        <v>46</v>
      </c>
      <c r="K417" t="s">
        <v>650</v>
      </c>
      <c r="M417" s="1" t="s">
        <v>58</v>
      </c>
      <c r="N417" s="1">
        <v>0</v>
      </c>
      <c r="O417" s="1" t="s">
        <v>105</v>
      </c>
      <c r="P417" s="186">
        <v>44713.396608796298</v>
      </c>
      <c r="R417" s="1">
        <v>4</v>
      </c>
      <c r="T417" s="1" t="s">
        <v>646</v>
      </c>
      <c r="U417" s="186">
        <v>44714.396608796298</v>
      </c>
      <c r="V417" s="1" t="s">
        <v>41</v>
      </c>
      <c r="W417" s="1" t="s">
        <v>49</v>
      </c>
      <c r="X417" s="13"/>
      <c r="Y417" s="2">
        <f t="shared" ca="1" si="36"/>
        <v>196</v>
      </c>
      <c r="Z417" s="14">
        <v>1</v>
      </c>
      <c r="AA417" s="1" t="str">
        <f t="shared" ca="1" si="37"/>
        <v>VENCIDO</v>
      </c>
      <c r="AB417" s="1" t="str">
        <f t="shared" si="38"/>
        <v>C-14</v>
      </c>
      <c r="AC417" s="2" t="str">
        <f t="shared" si="41"/>
        <v xml:space="preserve"> CLEITON </v>
      </c>
      <c r="AD417" s="2">
        <f t="shared" si="39"/>
        <v>15</v>
      </c>
      <c r="AE417" s="2">
        <f t="shared" ca="1" si="40"/>
        <v>-272.27966284722061</v>
      </c>
      <c r="AF417" s="15"/>
    </row>
    <row r="418" spans="1:32">
      <c r="A418" s="1">
        <v>8636954</v>
      </c>
      <c r="B418" s="1" t="s">
        <v>653</v>
      </c>
      <c r="C418" t="s">
        <v>752</v>
      </c>
      <c r="E418" s="2">
        <v>2069001400030</v>
      </c>
      <c r="F418" s="1" t="s">
        <v>647</v>
      </c>
      <c r="G418" s="1" t="s">
        <v>53</v>
      </c>
      <c r="H418" s="1" t="s">
        <v>557</v>
      </c>
      <c r="I418" s="1" t="s">
        <v>558</v>
      </c>
      <c r="J418" s="1" t="s">
        <v>90</v>
      </c>
      <c r="K418" t="s">
        <v>650</v>
      </c>
      <c r="M418" s="1" t="s">
        <v>58</v>
      </c>
      <c r="N418" s="1">
        <v>0</v>
      </c>
      <c r="O418" s="1" t="s">
        <v>105</v>
      </c>
      <c r="P418" s="186">
        <v>44713.396458333336</v>
      </c>
      <c r="R418" s="1">
        <v>4</v>
      </c>
      <c r="T418" s="1" t="s">
        <v>646</v>
      </c>
      <c r="U418" s="186">
        <v>44714.396458333336</v>
      </c>
      <c r="V418" s="1" t="s">
        <v>41</v>
      </c>
      <c r="W418" s="1" t="s">
        <v>49</v>
      </c>
      <c r="X418" s="13"/>
      <c r="Y418" s="2">
        <f t="shared" ca="1" si="36"/>
        <v>196</v>
      </c>
      <c r="Z418" s="14">
        <v>1</v>
      </c>
      <c r="AA418" s="1" t="str">
        <f t="shared" ca="1" si="37"/>
        <v>VENCIDO</v>
      </c>
      <c r="AB418" s="1" t="str">
        <f t="shared" si="38"/>
        <v>C-14</v>
      </c>
      <c r="AC418" s="2" t="str">
        <f t="shared" si="41"/>
        <v xml:space="preserve"> RINALDO </v>
      </c>
      <c r="AD418" s="2">
        <f t="shared" si="39"/>
        <v>15</v>
      </c>
      <c r="AE418" s="2">
        <f t="shared" ca="1" si="40"/>
        <v>-272.27981331018236</v>
      </c>
      <c r="AF418" s="15"/>
    </row>
    <row r="419" spans="1:32" hidden="1">
      <c r="A419" s="1">
        <v>8636914</v>
      </c>
      <c r="B419" s="1" t="s">
        <v>653</v>
      </c>
      <c r="C419" t="s">
        <v>752</v>
      </c>
      <c r="E419" s="2">
        <v>2018001400030</v>
      </c>
      <c r="F419" s="1" t="s">
        <v>647</v>
      </c>
      <c r="G419" s="1" t="s">
        <v>53</v>
      </c>
      <c r="H419" s="1" t="s">
        <v>598</v>
      </c>
      <c r="I419" s="1" t="s">
        <v>599</v>
      </c>
      <c r="J419" s="1" t="s">
        <v>79</v>
      </c>
      <c r="K419" t="s">
        <v>650</v>
      </c>
      <c r="M419" s="1" t="s">
        <v>58</v>
      </c>
      <c r="N419" s="1">
        <v>0</v>
      </c>
      <c r="O419" s="1" t="s">
        <v>105</v>
      </c>
      <c r="P419" s="186">
        <v>44713.39640046296</v>
      </c>
      <c r="R419" s="1">
        <v>4</v>
      </c>
      <c r="T419" s="1" t="s">
        <v>646</v>
      </c>
      <c r="U419" s="186">
        <v>44714.39640046296</v>
      </c>
      <c r="V419" s="1" t="s">
        <v>41</v>
      </c>
      <c r="W419" s="1" t="s">
        <v>49</v>
      </c>
      <c r="X419" s="13"/>
      <c r="Y419" s="2">
        <f t="shared" ca="1" si="36"/>
        <v>196</v>
      </c>
      <c r="Z419" s="14">
        <v>1</v>
      </c>
      <c r="AA419" s="1" t="str">
        <f t="shared" ca="1" si="37"/>
        <v>VENCIDO</v>
      </c>
      <c r="AB419" s="1" t="str">
        <f t="shared" si="38"/>
        <v>C-14</v>
      </c>
      <c r="AC419" s="2" t="str">
        <f t="shared" si="41"/>
        <v xml:space="preserve"> ROSEMERE </v>
      </c>
      <c r="AD419" s="2">
        <f t="shared" si="39"/>
        <v>15</v>
      </c>
      <c r="AE419" s="2">
        <f t="shared" ca="1" si="40"/>
        <v>-272.27987118055898</v>
      </c>
      <c r="AF419" s="15"/>
    </row>
    <row r="420" spans="1:32" hidden="1">
      <c r="A420" s="1">
        <v>8636827</v>
      </c>
      <c r="B420" s="1" t="s">
        <v>653</v>
      </c>
      <c r="C420" t="s">
        <v>752</v>
      </c>
      <c r="E420" s="2">
        <v>1838001400030</v>
      </c>
      <c r="F420" s="1" t="s">
        <v>647</v>
      </c>
      <c r="G420" s="1" t="s">
        <v>53</v>
      </c>
      <c r="H420" s="1" t="s">
        <v>357</v>
      </c>
      <c r="I420" s="1" t="s">
        <v>358</v>
      </c>
      <c r="J420" s="1" t="s">
        <v>46</v>
      </c>
      <c r="K420" t="s">
        <v>650</v>
      </c>
      <c r="M420" s="1" t="s">
        <v>58</v>
      </c>
      <c r="N420" s="1">
        <v>0</v>
      </c>
      <c r="O420" s="1" t="s">
        <v>105</v>
      </c>
      <c r="P420" s="186">
        <v>44713.396203703705</v>
      </c>
      <c r="R420" s="1">
        <v>4</v>
      </c>
      <c r="T420" s="1" t="s">
        <v>646</v>
      </c>
      <c r="U420" s="186">
        <v>44714.396203703705</v>
      </c>
      <c r="V420" s="1" t="s">
        <v>41</v>
      </c>
      <c r="W420" s="1" t="s">
        <v>49</v>
      </c>
      <c r="X420" s="13"/>
      <c r="Y420" s="2">
        <f t="shared" ca="1" si="36"/>
        <v>196</v>
      </c>
      <c r="Z420" s="14">
        <v>1</v>
      </c>
      <c r="AA420" s="1" t="str">
        <f t="shared" ca="1" si="37"/>
        <v>VENCIDO</v>
      </c>
      <c r="AB420" s="1" t="str">
        <f t="shared" si="38"/>
        <v>C-14</v>
      </c>
      <c r="AC420" s="2" t="str">
        <f t="shared" si="41"/>
        <v xml:space="preserve"> CLEITON </v>
      </c>
      <c r="AD420" s="2">
        <f t="shared" si="39"/>
        <v>15</v>
      </c>
      <c r="AE420" s="2">
        <f t="shared" ca="1" si="40"/>
        <v>-272.28006793981331</v>
      </c>
      <c r="AF420" s="15"/>
    </row>
    <row r="421" spans="1:32" hidden="1">
      <c r="A421" s="1">
        <v>8636825</v>
      </c>
      <c r="B421" s="1" t="s">
        <v>653</v>
      </c>
      <c r="C421" t="s">
        <v>752</v>
      </c>
      <c r="E421" s="2">
        <v>1836001400030</v>
      </c>
      <c r="F421" s="1" t="s">
        <v>647</v>
      </c>
      <c r="G421" s="1" t="s">
        <v>53</v>
      </c>
      <c r="H421" s="1" t="s">
        <v>455</v>
      </c>
      <c r="I421" s="1" t="s">
        <v>456</v>
      </c>
      <c r="J421" s="1" t="s">
        <v>46</v>
      </c>
      <c r="K421" t="s">
        <v>650</v>
      </c>
      <c r="M421" s="1" t="s">
        <v>58</v>
      </c>
      <c r="N421" s="1">
        <v>0</v>
      </c>
      <c r="O421" s="1" t="s">
        <v>105</v>
      </c>
      <c r="P421" s="186">
        <v>44713.396203703705</v>
      </c>
      <c r="R421" s="1">
        <v>4</v>
      </c>
      <c r="T421" s="1" t="s">
        <v>646</v>
      </c>
      <c r="U421" s="186">
        <v>44714.396203703705</v>
      </c>
      <c r="V421" s="1" t="s">
        <v>41</v>
      </c>
      <c r="W421" s="1" t="s">
        <v>49</v>
      </c>
      <c r="X421" s="13"/>
      <c r="Y421" s="2">
        <f t="shared" ca="1" si="36"/>
        <v>196</v>
      </c>
      <c r="Z421" s="14">
        <v>1</v>
      </c>
      <c r="AA421" s="1" t="str">
        <f t="shared" ca="1" si="37"/>
        <v>VENCIDO</v>
      </c>
      <c r="AB421" s="1" t="str">
        <f t="shared" si="38"/>
        <v>C-14</v>
      </c>
      <c r="AC421" s="2" t="str">
        <f t="shared" si="41"/>
        <v xml:space="preserve"> CLEITON </v>
      </c>
      <c r="AD421" s="2">
        <f t="shared" si="39"/>
        <v>15</v>
      </c>
      <c r="AE421" s="2">
        <f t="shared" ca="1" si="40"/>
        <v>-272.28006793981331</v>
      </c>
      <c r="AF421" s="15"/>
    </row>
    <row r="422" spans="1:32" hidden="1">
      <c r="A422" s="1">
        <v>8636824</v>
      </c>
      <c r="B422" s="1" t="s">
        <v>653</v>
      </c>
      <c r="C422" t="s">
        <v>752</v>
      </c>
      <c r="E422" s="2">
        <v>1835001400030</v>
      </c>
      <c r="F422" s="1" t="s">
        <v>647</v>
      </c>
      <c r="G422" s="1" t="s">
        <v>53</v>
      </c>
      <c r="H422" s="1" t="s">
        <v>305</v>
      </c>
      <c r="I422" s="1" t="s">
        <v>306</v>
      </c>
      <c r="J422" s="1" t="s">
        <v>46</v>
      </c>
      <c r="K422" t="s">
        <v>650</v>
      </c>
      <c r="M422" s="1" t="s">
        <v>58</v>
      </c>
      <c r="N422" s="1">
        <v>0</v>
      </c>
      <c r="O422" s="1" t="s">
        <v>105</v>
      </c>
      <c r="P422" s="186">
        <v>44713.396203703705</v>
      </c>
      <c r="R422" s="1">
        <v>4</v>
      </c>
      <c r="T422" s="1" t="s">
        <v>646</v>
      </c>
      <c r="U422" s="186">
        <v>44714.396203703705</v>
      </c>
      <c r="V422" s="1" t="s">
        <v>41</v>
      </c>
      <c r="W422" s="1" t="s">
        <v>49</v>
      </c>
      <c r="X422" s="13"/>
      <c r="Y422" s="2">
        <f t="shared" ca="1" si="36"/>
        <v>196</v>
      </c>
      <c r="Z422" s="14">
        <v>1</v>
      </c>
      <c r="AA422" s="1" t="str">
        <f t="shared" ca="1" si="37"/>
        <v>VENCIDO</v>
      </c>
      <c r="AB422" s="1" t="str">
        <f t="shared" si="38"/>
        <v>C-14</v>
      </c>
      <c r="AC422" s="2" t="str">
        <f t="shared" si="41"/>
        <v xml:space="preserve"> CLEITON </v>
      </c>
      <c r="AD422" s="2">
        <f t="shared" si="39"/>
        <v>15</v>
      </c>
      <c r="AE422" s="2">
        <f t="shared" ca="1" si="40"/>
        <v>-272.28006793981331</v>
      </c>
      <c r="AF422" s="15"/>
    </row>
    <row r="423" spans="1:32" hidden="1">
      <c r="A423" s="1">
        <v>8636822</v>
      </c>
      <c r="B423" s="1" t="s">
        <v>653</v>
      </c>
      <c r="C423" t="s">
        <v>752</v>
      </c>
      <c r="E423" s="2">
        <v>1833001400030</v>
      </c>
      <c r="F423" s="1" t="s">
        <v>647</v>
      </c>
      <c r="G423" s="1" t="s">
        <v>53</v>
      </c>
      <c r="H423" s="1" t="s">
        <v>369</v>
      </c>
      <c r="I423" s="1" t="s">
        <v>370</v>
      </c>
      <c r="J423" s="1" t="s">
        <v>46</v>
      </c>
      <c r="K423" t="s">
        <v>650</v>
      </c>
      <c r="M423" s="1" t="s">
        <v>58</v>
      </c>
      <c r="N423" s="1">
        <v>0</v>
      </c>
      <c r="O423" s="1" t="s">
        <v>105</v>
      </c>
      <c r="P423" s="186">
        <v>44713.396192129629</v>
      </c>
      <c r="R423" s="1">
        <v>4</v>
      </c>
      <c r="T423" s="1" t="s">
        <v>646</v>
      </c>
      <c r="U423" s="186">
        <v>44714.396203703705</v>
      </c>
      <c r="V423" s="1" t="s">
        <v>41</v>
      </c>
      <c r="W423" s="1" t="s">
        <v>49</v>
      </c>
      <c r="X423" s="13"/>
      <c r="Y423" s="2">
        <f t="shared" ca="1" si="36"/>
        <v>196</v>
      </c>
      <c r="Z423" s="14">
        <v>1</v>
      </c>
      <c r="AA423" s="1" t="str">
        <f t="shared" ca="1" si="37"/>
        <v>VENCIDO</v>
      </c>
      <c r="AB423" s="1" t="str">
        <f t="shared" si="38"/>
        <v>C-14</v>
      </c>
      <c r="AC423" s="2" t="str">
        <f t="shared" si="41"/>
        <v xml:space="preserve"> CLEITON </v>
      </c>
      <c r="AD423" s="2">
        <f t="shared" si="39"/>
        <v>15</v>
      </c>
      <c r="AE423" s="2">
        <f t="shared" ca="1" si="40"/>
        <v>-272.28006793981331</v>
      </c>
      <c r="AF423" s="15"/>
    </row>
    <row r="424" spans="1:32">
      <c r="A424" s="1">
        <v>8636773</v>
      </c>
      <c r="B424" s="1" t="s">
        <v>653</v>
      </c>
      <c r="C424" t="s">
        <v>752</v>
      </c>
      <c r="E424" s="2">
        <v>1764001400030</v>
      </c>
      <c r="F424" s="1" t="s">
        <v>647</v>
      </c>
      <c r="G424" s="1" t="s">
        <v>53</v>
      </c>
      <c r="H424" s="1" t="s">
        <v>722</v>
      </c>
      <c r="I424" s="1" t="s">
        <v>723</v>
      </c>
      <c r="J424" s="1" t="s">
        <v>90</v>
      </c>
      <c r="K424" t="s">
        <v>650</v>
      </c>
      <c r="M424" s="1" t="s">
        <v>58</v>
      </c>
      <c r="N424" s="1">
        <v>0</v>
      </c>
      <c r="O424" s="1" t="s">
        <v>36</v>
      </c>
      <c r="P424" s="186">
        <v>44713.396122685182</v>
      </c>
      <c r="R424" s="1">
        <v>4</v>
      </c>
      <c r="T424" s="1" t="s">
        <v>646</v>
      </c>
      <c r="U424" s="186">
        <v>44714.396122685182</v>
      </c>
      <c r="V424" s="1" t="s">
        <v>41</v>
      </c>
      <c r="W424" s="1" t="s">
        <v>49</v>
      </c>
      <c r="X424" s="13"/>
      <c r="Y424" s="2">
        <f t="shared" ca="1" si="36"/>
        <v>196</v>
      </c>
      <c r="Z424" s="14">
        <v>1</v>
      </c>
      <c r="AA424" s="1" t="str">
        <f t="shared" ca="1" si="37"/>
        <v>VENCIDO</v>
      </c>
      <c r="AB424" s="1" t="str">
        <f t="shared" si="38"/>
        <v>C-14</v>
      </c>
      <c r="AC424" s="2" t="str">
        <f t="shared" si="41"/>
        <v xml:space="preserve"> RINALDO </v>
      </c>
      <c r="AD424" s="2">
        <f t="shared" si="39"/>
        <v>15</v>
      </c>
      <c r="AE424" s="2">
        <f t="shared" ca="1" si="40"/>
        <v>-272.28014895833621</v>
      </c>
      <c r="AF424" s="15"/>
    </row>
    <row r="425" spans="1:32" hidden="1">
      <c r="A425" s="1">
        <v>8636745</v>
      </c>
      <c r="B425" s="1" t="s">
        <v>653</v>
      </c>
      <c r="C425" t="s">
        <v>752</v>
      </c>
      <c r="E425" s="2">
        <v>1732001400030</v>
      </c>
      <c r="F425" s="1" t="s">
        <v>647</v>
      </c>
      <c r="G425" s="1" t="s">
        <v>53</v>
      </c>
      <c r="H425" s="1" t="s">
        <v>177</v>
      </c>
      <c r="I425" s="1" t="s">
        <v>178</v>
      </c>
      <c r="J425" s="1" t="s">
        <v>164</v>
      </c>
      <c r="K425" t="s">
        <v>650</v>
      </c>
      <c r="M425" s="1" t="s">
        <v>58</v>
      </c>
      <c r="N425" s="1">
        <v>0</v>
      </c>
      <c r="O425" s="1" t="s">
        <v>105</v>
      </c>
      <c r="P425" s="186">
        <v>44713.395995370367</v>
      </c>
      <c r="R425" s="1">
        <v>4</v>
      </c>
      <c r="T425" s="1" t="s">
        <v>646</v>
      </c>
      <c r="U425" s="186">
        <v>44714.396006944444</v>
      </c>
      <c r="V425" s="1" t="s">
        <v>41</v>
      </c>
      <c r="W425" s="1" t="s">
        <v>49</v>
      </c>
      <c r="X425" s="13"/>
      <c r="Y425" s="2">
        <f t="shared" ca="1" si="36"/>
        <v>196</v>
      </c>
      <c r="Z425" s="14">
        <v>1</v>
      </c>
      <c r="AA425" s="1" t="str">
        <f t="shared" ca="1" si="37"/>
        <v>VENCIDO</v>
      </c>
      <c r="AB425" s="1" t="str">
        <f t="shared" si="38"/>
        <v>C-14</v>
      </c>
      <c r="AC425" s="2" t="str">
        <f t="shared" si="41"/>
        <v xml:space="preserve"> ROSEMERE </v>
      </c>
      <c r="AD425" s="2">
        <f t="shared" si="39"/>
        <v>15</v>
      </c>
      <c r="AE425" s="2">
        <f t="shared" ca="1" si="40"/>
        <v>-272.28026469907491</v>
      </c>
      <c r="AF425" s="15"/>
    </row>
    <row r="426" spans="1:32" hidden="1">
      <c r="A426" s="1">
        <v>8636688</v>
      </c>
      <c r="B426" s="1" t="s">
        <v>653</v>
      </c>
      <c r="C426" t="s">
        <v>752</v>
      </c>
      <c r="E426" s="2">
        <v>1664001400030</v>
      </c>
      <c r="F426" s="1" t="s">
        <v>647</v>
      </c>
      <c r="G426" s="1" t="s">
        <v>53</v>
      </c>
      <c r="H426" s="1" t="s">
        <v>307</v>
      </c>
      <c r="I426" s="1" t="s">
        <v>308</v>
      </c>
      <c r="J426" s="1" t="s">
        <v>164</v>
      </c>
      <c r="K426" t="s">
        <v>650</v>
      </c>
      <c r="M426" s="1" t="s">
        <v>58</v>
      </c>
      <c r="N426" s="1">
        <v>0</v>
      </c>
      <c r="O426" s="1" t="s">
        <v>105</v>
      </c>
      <c r="P426" s="186">
        <v>44713.395914351851</v>
      </c>
      <c r="R426" s="1">
        <v>4</v>
      </c>
      <c r="T426" s="1" t="s">
        <v>646</v>
      </c>
      <c r="U426" s="186">
        <v>44714.395914351851</v>
      </c>
      <c r="V426" s="1" t="s">
        <v>41</v>
      </c>
      <c r="W426" s="1" t="s">
        <v>49</v>
      </c>
      <c r="X426" s="13"/>
      <c r="Y426" s="2">
        <f t="shared" ca="1" si="36"/>
        <v>196</v>
      </c>
      <c r="Z426" s="14">
        <v>1</v>
      </c>
      <c r="AA426" s="1" t="str">
        <f t="shared" ca="1" si="37"/>
        <v>VENCIDO</v>
      </c>
      <c r="AB426" s="1" t="str">
        <f t="shared" si="38"/>
        <v>C-14</v>
      </c>
      <c r="AC426" s="2" t="str">
        <f t="shared" si="41"/>
        <v xml:space="preserve"> ROSEMERE </v>
      </c>
      <c r="AD426" s="2">
        <f t="shared" si="39"/>
        <v>15</v>
      </c>
      <c r="AE426" s="2">
        <f t="shared" ca="1" si="40"/>
        <v>-272.28035729166731</v>
      </c>
      <c r="AF426" s="15"/>
    </row>
    <row r="427" spans="1:32" hidden="1">
      <c r="A427" s="1">
        <v>8636669</v>
      </c>
      <c r="B427" s="1" t="s">
        <v>653</v>
      </c>
      <c r="C427" t="s">
        <v>752</v>
      </c>
      <c r="E427" s="2">
        <v>1643001400030</v>
      </c>
      <c r="F427" s="1" t="s">
        <v>647</v>
      </c>
      <c r="G427" s="1" t="s">
        <v>53</v>
      </c>
      <c r="H427" s="1" t="s">
        <v>361</v>
      </c>
      <c r="I427" s="1" t="s">
        <v>362</v>
      </c>
      <c r="J427" s="1" t="s">
        <v>261</v>
      </c>
      <c r="K427" t="s">
        <v>650</v>
      </c>
      <c r="M427" s="1" t="s">
        <v>58</v>
      </c>
      <c r="N427" s="1">
        <v>0</v>
      </c>
      <c r="O427" s="1" t="s">
        <v>105</v>
      </c>
      <c r="P427" s="186">
        <v>44713.395891203705</v>
      </c>
      <c r="R427" s="1">
        <v>4</v>
      </c>
      <c r="T427" s="1" t="s">
        <v>646</v>
      </c>
      <c r="U427" s="186">
        <v>44714.395891203705</v>
      </c>
      <c r="V427" s="1" t="s">
        <v>41</v>
      </c>
      <c r="W427" s="1" t="s">
        <v>49</v>
      </c>
      <c r="X427" s="13"/>
      <c r="Y427" s="2">
        <f t="shared" ca="1" si="36"/>
        <v>196</v>
      </c>
      <c r="Z427" s="14">
        <v>1</v>
      </c>
      <c r="AA427" s="1" t="str">
        <f t="shared" ca="1" si="37"/>
        <v>VENCIDO</v>
      </c>
      <c r="AB427" s="1" t="str">
        <f t="shared" si="38"/>
        <v>C-14</v>
      </c>
      <c r="AC427" s="2" t="str">
        <f t="shared" si="41"/>
        <v xml:space="preserve"> CRISTINA </v>
      </c>
      <c r="AD427" s="2">
        <f t="shared" si="39"/>
        <v>15</v>
      </c>
      <c r="AE427" s="2">
        <f t="shared" ca="1" si="40"/>
        <v>-272.2803804398136</v>
      </c>
      <c r="AF427" s="15"/>
    </row>
    <row r="428" spans="1:32" hidden="1">
      <c r="A428" s="1">
        <v>8636651</v>
      </c>
      <c r="B428" s="1" t="s">
        <v>653</v>
      </c>
      <c r="C428" t="s">
        <v>752</v>
      </c>
      <c r="E428" s="2">
        <v>1620001400030</v>
      </c>
      <c r="F428" s="1" t="s">
        <v>647</v>
      </c>
      <c r="G428" s="1" t="s">
        <v>53</v>
      </c>
      <c r="H428" s="1" t="s">
        <v>402</v>
      </c>
      <c r="I428" s="1" t="s">
        <v>403</v>
      </c>
      <c r="J428" s="1" t="s">
        <v>46</v>
      </c>
      <c r="K428" t="s">
        <v>650</v>
      </c>
      <c r="M428" s="1" t="s">
        <v>58</v>
      </c>
      <c r="N428" s="1">
        <v>0</v>
      </c>
      <c r="O428" s="1" t="s">
        <v>36</v>
      </c>
      <c r="P428" s="186">
        <v>44713.395775462966</v>
      </c>
      <c r="R428" s="1">
        <v>4</v>
      </c>
      <c r="T428" s="1" t="s">
        <v>646</v>
      </c>
      <c r="U428" s="186">
        <v>44714.395775462966</v>
      </c>
      <c r="V428" s="1" t="s">
        <v>41</v>
      </c>
      <c r="W428" s="1" t="s">
        <v>49</v>
      </c>
      <c r="X428" s="13"/>
      <c r="Y428" s="2">
        <f t="shared" ca="1" si="36"/>
        <v>196</v>
      </c>
      <c r="Z428" s="14">
        <v>1</v>
      </c>
      <c r="AA428" s="1" t="str">
        <f t="shared" ca="1" si="37"/>
        <v>VENCIDO</v>
      </c>
      <c r="AB428" s="1" t="str">
        <f t="shared" si="38"/>
        <v>C-14</v>
      </c>
      <c r="AC428" s="2" t="str">
        <f t="shared" si="41"/>
        <v xml:space="preserve"> CLEITON </v>
      </c>
      <c r="AD428" s="2">
        <f t="shared" si="39"/>
        <v>15</v>
      </c>
      <c r="AE428" s="2">
        <f t="shared" ca="1" si="40"/>
        <v>-272.28049618055229</v>
      </c>
      <c r="AF428" s="15"/>
    </row>
    <row r="429" spans="1:32" hidden="1">
      <c r="A429" s="1">
        <v>8636574</v>
      </c>
      <c r="B429" s="1" t="s">
        <v>653</v>
      </c>
      <c r="C429" t="s">
        <v>752</v>
      </c>
      <c r="E429" s="2">
        <v>1509001400030</v>
      </c>
      <c r="F429" s="1" t="s">
        <v>647</v>
      </c>
      <c r="G429" s="1" t="s">
        <v>53</v>
      </c>
      <c r="H429" s="1" t="s">
        <v>731</v>
      </c>
      <c r="I429" s="1" t="s">
        <v>732</v>
      </c>
      <c r="J429" s="1" t="s">
        <v>46</v>
      </c>
      <c r="K429" t="s">
        <v>650</v>
      </c>
      <c r="M429" s="1" t="s">
        <v>58</v>
      </c>
      <c r="N429" s="1">
        <v>0</v>
      </c>
      <c r="O429" s="1" t="s">
        <v>105</v>
      </c>
      <c r="P429" s="186">
        <v>44713.39565972222</v>
      </c>
      <c r="R429" s="1">
        <v>4</v>
      </c>
      <c r="T429" s="1" t="s">
        <v>646</v>
      </c>
      <c r="U429" s="186">
        <v>44714.395671296297</v>
      </c>
      <c r="V429" s="1" t="s">
        <v>41</v>
      </c>
      <c r="W429" s="1" t="s">
        <v>49</v>
      </c>
      <c r="X429" s="13"/>
      <c r="Y429" s="2">
        <f t="shared" ca="1" si="36"/>
        <v>196</v>
      </c>
      <c r="Z429" s="14">
        <v>1</v>
      </c>
      <c r="AA429" s="1" t="str">
        <f t="shared" ca="1" si="37"/>
        <v>VENCIDO</v>
      </c>
      <c r="AB429" s="1" t="str">
        <f t="shared" si="38"/>
        <v>C-14</v>
      </c>
      <c r="AC429" s="2" t="str">
        <f t="shared" si="41"/>
        <v xml:space="preserve"> CLEITON </v>
      </c>
      <c r="AD429" s="2">
        <f t="shared" si="39"/>
        <v>15</v>
      </c>
      <c r="AE429" s="2">
        <f t="shared" ca="1" si="40"/>
        <v>-272.28060034722148</v>
      </c>
      <c r="AF429" s="15"/>
    </row>
    <row r="430" spans="1:32">
      <c r="A430" s="1">
        <v>8636441</v>
      </c>
      <c r="B430" s="1" t="s">
        <v>653</v>
      </c>
      <c r="C430" t="s">
        <v>752</v>
      </c>
      <c r="E430" s="2">
        <v>1362001400030</v>
      </c>
      <c r="F430" s="1" t="s">
        <v>647</v>
      </c>
      <c r="G430" s="1" t="s">
        <v>53</v>
      </c>
      <c r="H430" s="1" t="s">
        <v>268</v>
      </c>
      <c r="I430" s="1" t="s">
        <v>269</v>
      </c>
      <c r="J430" s="1" t="s">
        <v>90</v>
      </c>
      <c r="K430" t="s">
        <v>650</v>
      </c>
      <c r="M430" s="1" t="s">
        <v>58</v>
      </c>
      <c r="N430" s="1">
        <v>0</v>
      </c>
      <c r="O430" s="1" t="s">
        <v>105</v>
      </c>
      <c r="P430" s="186">
        <v>44713.395324074074</v>
      </c>
      <c r="R430" s="1">
        <v>4</v>
      </c>
      <c r="T430" s="1" t="s">
        <v>646</v>
      </c>
      <c r="U430" s="186">
        <v>44714.395324074074</v>
      </c>
      <c r="V430" s="1" t="s">
        <v>41</v>
      </c>
      <c r="W430" s="1" t="s">
        <v>49</v>
      </c>
      <c r="X430" s="13"/>
      <c r="Y430" s="2">
        <f t="shared" ca="1" si="36"/>
        <v>196</v>
      </c>
      <c r="Z430" s="14">
        <v>1</v>
      </c>
      <c r="AA430" s="1" t="str">
        <f t="shared" ca="1" si="37"/>
        <v>VENCIDO</v>
      </c>
      <c r="AB430" s="1" t="str">
        <f t="shared" si="38"/>
        <v>C-14</v>
      </c>
      <c r="AC430" s="2" t="str">
        <f t="shared" si="41"/>
        <v xml:space="preserve"> RINALDO </v>
      </c>
      <c r="AD430" s="2">
        <f t="shared" si="39"/>
        <v>15</v>
      </c>
      <c r="AE430" s="2">
        <f t="shared" ca="1" si="40"/>
        <v>-272.28094756944483</v>
      </c>
      <c r="AF430" s="15"/>
    </row>
    <row r="431" spans="1:32" hidden="1">
      <c r="A431" s="1">
        <v>8636439</v>
      </c>
      <c r="B431" s="1" t="s">
        <v>653</v>
      </c>
      <c r="C431" t="s">
        <v>752</v>
      </c>
      <c r="E431" s="2">
        <v>1360001400030</v>
      </c>
      <c r="F431" s="1" t="s">
        <v>647</v>
      </c>
      <c r="G431" s="1" t="s">
        <v>53</v>
      </c>
      <c r="H431" s="1" t="s">
        <v>303</v>
      </c>
      <c r="I431" s="1" t="s">
        <v>304</v>
      </c>
      <c r="J431" s="1" t="s">
        <v>261</v>
      </c>
      <c r="K431" t="s">
        <v>650</v>
      </c>
      <c r="M431" s="1" t="s">
        <v>58</v>
      </c>
      <c r="N431" s="1">
        <v>0</v>
      </c>
      <c r="O431" s="1" t="s">
        <v>105</v>
      </c>
      <c r="P431" s="186">
        <v>44713.395324074074</v>
      </c>
      <c r="R431" s="1">
        <v>4</v>
      </c>
      <c r="T431" s="1" t="s">
        <v>646</v>
      </c>
      <c r="U431" s="186">
        <v>44714.395324074074</v>
      </c>
      <c r="V431" s="1" t="s">
        <v>41</v>
      </c>
      <c r="W431" s="1" t="s">
        <v>49</v>
      </c>
      <c r="X431" s="13"/>
      <c r="Y431" s="2">
        <f t="shared" ca="1" si="36"/>
        <v>196</v>
      </c>
      <c r="Z431" s="14">
        <v>1</v>
      </c>
      <c r="AA431" s="1" t="str">
        <f t="shared" ca="1" si="37"/>
        <v>VENCIDO</v>
      </c>
      <c r="AB431" s="1" t="str">
        <f t="shared" si="38"/>
        <v>C-14</v>
      </c>
      <c r="AC431" s="2" t="str">
        <f t="shared" si="41"/>
        <v xml:space="preserve"> CRISTINA </v>
      </c>
      <c r="AD431" s="2">
        <f t="shared" si="39"/>
        <v>15</v>
      </c>
      <c r="AE431" s="2">
        <f t="shared" ca="1" si="40"/>
        <v>-272.28094756944483</v>
      </c>
      <c r="AF431" s="15"/>
    </row>
    <row r="432" spans="1:32" hidden="1">
      <c r="A432" s="1">
        <v>8636438</v>
      </c>
      <c r="B432" s="1" t="s">
        <v>653</v>
      </c>
      <c r="C432" t="s">
        <v>752</v>
      </c>
      <c r="E432" s="2">
        <v>1359001400030</v>
      </c>
      <c r="F432" s="1" t="s">
        <v>647</v>
      </c>
      <c r="G432" s="1" t="s">
        <v>53</v>
      </c>
      <c r="H432" s="1" t="s">
        <v>270</v>
      </c>
      <c r="I432" s="1" t="s">
        <v>271</v>
      </c>
      <c r="J432" s="1" t="s">
        <v>141</v>
      </c>
      <c r="K432" t="s">
        <v>650</v>
      </c>
      <c r="M432" s="1" t="s">
        <v>58</v>
      </c>
      <c r="N432" s="1">
        <v>0</v>
      </c>
      <c r="O432" s="1" t="s">
        <v>105</v>
      </c>
      <c r="P432" s="186">
        <v>44713.395312499997</v>
      </c>
      <c r="R432" s="1">
        <v>4</v>
      </c>
      <c r="T432" s="1" t="s">
        <v>646</v>
      </c>
      <c r="U432" s="186">
        <v>44714.395324074074</v>
      </c>
      <c r="V432" s="1" t="s">
        <v>41</v>
      </c>
      <c r="W432" s="1" t="s">
        <v>49</v>
      </c>
      <c r="X432" s="13"/>
      <c r="Y432" s="2">
        <f t="shared" ca="1" si="36"/>
        <v>196</v>
      </c>
      <c r="Z432" s="14">
        <v>1</v>
      </c>
      <c r="AA432" s="1" t="str">
        <f t="shared" ca="1" si="37"/>
        <v>VENCIDO</v>
      </c>
      <c r="AB432" s="1" t="str">
        <f t="shared" si="38"/>
        <v>C-14</v>
      </c>
      <c r="AC432" s="2" t="str">
        <f t="shared" si="41"/>
        <v xml:space="preserve"> CRISTINA </v>
      </c>
      <c r="AD432" s="2">
        <f t="shared" si="39"/>
        <v>15</v>
      </c>
      <c r="AE432" s="2">
        <f t="shared" ca="1" si="40"/>
        <v>-272.28094756944483</v>
      </c>
      <c r="AF432" s="15"/>
    </row>
    <row r="433" spans="1:32">
      <c r="A433" s="1">
        <v>8636177</v>
      </c>
      <c r="B433" s="1" t="s">
        <v>653</v>
      </c>
      <c r="C433" t="s">
        <v>752</v>
      </c>
      <c r="E433" s="2">
        <v>1059001400030</v>
      </c>
      <c r="F433" s="1" t="s">
        <v>647</v>
      </c>
      <c r="G433" s="1" t="s">
        <v>53</v>
      </c>
      <c r="H433" s="1" t="s">
        <v>88</v>
      </c>
      <c r="I433" s="1" t="s">
        <v>89</v>
      </c>
      <c r="J433" s="1" t="s">
        <v>90</v>
      </c>
      <c r="K433" t="s">
        <v>650</v>
      </c>
      <c r="M433" s="1" t="s">
        <v>58</v>
      </c>
      <c r="N433" s="1">
        <v>0</v>
      </c>
      <c r="O433" s="1" t="s">
        <v>105</v>
      </c>
      <c r="P433" s="186">
        <v>44713.394780092596</v>
      </c>
      <c r="R433" s="1">
        <v>4</v>
      </c>
      <c r="T433" s="1" t="s">
        <v>646</v>
      </c>
      <c r="U433" s="186">
        <v>44714.394780092596</v>
      </c>
      <c r="V433" s="1" t="s">
        <v>41</v>
      </c>
      <c r="W433" s="1" t="s">
        <v>49</v>
      </c>
      <c r="X433" s="13"/>
      <c r="Y433" s="2">
        <f t="shared" ca="1" si="36"/>
        <v>196</v>
      </c>
      <c r="Z433" s="14">
        <v>1</v>
      </c>
      <c r="AA433" s="1" t="str">
        <f t="shared" ca="1" si="37"/>
        <v>VENCIDO</v>
      </c>
      <c r="AB433" s="1" t="str">
        <f t="shared" si="38"/>
        <v>C-14</v>
      </c>
      <c r="AC433" s="2" t="str">
        <f t="shared" si="41"/>
        <v xml:space="preserve"> RINALDO </v>
      </c>
      <c r="AD433" s="2">
        <f t="shared" si="39"/>
        <v>15</v>
      </c>
      <c r="AE433" s="2">
        <f t="shared" ca="1" si="40"/>
        <v>-272.28149155092251</v>
      </c>
      <c r="AF433" s="15"/>
    </row>
    <row r="434" spans="1:32" hidden="1">
      <c r="A434" s="1">
        <v>8636168</v>
      </c>
      <c r="B434" s="1" t="s">
        <v>653</v>
      </c>
      <c r="C434" t="s">
        <v>752</v>
      </c>
      <c r="E434" s="2">
        <v>1049001400030</v>
      </c>
      <c r="F434" s="1" t="s">
        <v>647</v>
      </c>
      <c r="G434" s="1" t="s">
        <v>53</v>
      </c>
      <c r="H434" s="1" t="s">
        <v>169</v>
      </c>
      <c r="I434" s="1" t="s">
        <v>170</v>
      </c>
      <c r="J434" s="1" t="s">
        <v>164</v>
      </c>
      <c r="K434" t="s">
        <v>650</v>
      </c>
      <c r="M434" s="1" t="s">
        <v>58</v>
      </c>
      <c r="N434" s="1">
        <v>0</v>
      </c>
      <c r="O434" s="1" t="s">
        <v>105</v>
      </c>
      <c r="P434" s="186">
        <v>44713.394768518519</v>
      </c>
      <c r="R434" s="1">
        <v>4</v>
      </c>
      <c r="T434" s="1" t="s">
        <v>646</v>
      </c>
      <c r="U434" s="186">
        <v>44714.394768518519</v>
      </c>
      <c r="V434" s="1" t="s">
        <v>41</v>
      </c>
      <c r="W434" s="1" t="s">
        <v>49</v>
      </c>
      <c r="X434" s="13"/>
      <c r="Y434" s="2">
        <f t="shared" ca="1" si="36"/>
        <v>196</v>
      </c>
      <c r="Z434" s="14">
        <v>1</v>
      </c>
      <c r="AA434" s="1" t="str">
        <f t="shared" ca="1" si="37"/>
        <v>VENCIDO</v>
      </c>
      <c r="AB434" s="1" t="str">
        <f t="shared" si="38"/>
        <v>C-14</v>
      </c>
      <c r="AC434" s="2" t="str">
        <f t="shared" si="41"/>
        <v xml:space="preserve"> ROSEMERE </v>
      </c>
      <c r="AD434" s="2">
        <f t="shared" si="39"/>
        <v>15</v>
      </c>
      <c r="AE434" s="2">
        <f t="shared" ca="1" si="40"/>
        <v>-272.28150312499929</v>
      </c>
      <c r="AF434" s="15"/>
    </row>
    <row r="435" spans="1:32" hidden="1">
      <c r="A435" s="1">
        <v>8636064</v>
      </c>
      <c r="B435" s="1" t="s">
        <v>653</v>
      </c>
      <c r="C435" t="s">
        <v>752</v>
      </c>
      <c r="E435" s="2">
        <v>934001400030</v>
      </c>
      <c r="F435" s="1" t="s">
        <v>647</v>
      </c>
      <c r="G435" s="1" t="s">
        <v>53</v>
      </c>
      <c r="H435" s="1" t="s">
        <v>428</v>
      </c>
      <c r="I435" s="1" t="s">
        <v>429</v>
      </c>
      <c r="J435" s="1" t="s">
        <v>46</v>
      </c>
      <c r="K435" t="s">
        <v>650</v>
      </c>
      <c r="M435" s="1" t="s">
        <v>58</v>
      </c>
      <c r="N435" s="1">
        <v>0</v>
      </c>
      <c r="O435" s="1" t="s">
        <v>105</v>
      </c>
      <c r="P435" s="186">
        <v>44713.394525462965</v>
      </c>
      <c r="R435" s="1">
        <v>4</v>
      </c>
      <c r="T435" s="1" t="s">
        <v>646</v>
      </c>
      <c r="U435" s="186">
        <v>44714.394525462965</v>
      </c>
      <c r="V435" s="1" t="s">
        <v>41</v>
      </c>
      <c r="W435" s="1" t="s">
        <v>49</v>
      </c>
      <c r="X435" s="13"/>
      <c r="Y435" s="2">
        <f t="shared" ca="1" si="36"/>
        <v>196</v>
      </c>
      <c r="Z435" s="14">
        <v>1</v>
      </c>
      <c r="AA435" s="1" t="str">
        <f t="shared" ca="1" si="37"/>
        <v>VENCIDO</v>
      </c>
      <c r="AB435" s="1" t="str">
        <f t="shared" si="38"/>
        <v>C-14</v>
      </c>
      <c r="AC435" s="2" t="str">
        <f t="shared" si="41"/>
        <v xml:space="preserve"> CLEITON </v>
      </c>
      <c r="AD435" s="2">
        <f t="shared" si="39"/>
        <v>15</v>
      </c>
      <c r="AE435" s="2">
        <f t="shared" ca="1" si="40"/>
        <v>-272.28174618055345</v>
      </c>
      <c r="AF435" s="15"/>
    </row>
    <row r="436" spans="1:32" hidden="1">
      <c r="A436" s="1">
        <v>8635859</v>
      </c>
      <c r="B436" s="1" t="s">
        <v>653</v>
      </c>
      <c r="C436" t="s">
        <v>752</v>
      </c>
      <c r="E436" s="2">
        <v>714001400030</v>
      </c>
      <c r="F436" s="1" t="s">
        <v>647</v>
      </c>
      <c r="G436" s="1" t="s">
        <v>53</v>
      </c>
      <c r="H436" s="1" t="s">
        <v>377</v>
      </c>
      <c r="I436" s="1" t="s">
        <v>378</v>
      </c>
      <c r="J436" s="1" t="s">
        <v>46</v>
      </c>
      <c r="K436" t="s">
        <v>650</v>
      </c>
      <c r="M436" s="1" t="s">
        <v>58</v>
      </c>
      <c r="N436" s="1">
        <v>0</v>
      </c>
      <c r="O436" s="1" t="s">
        <v>105</v>
      </c>
      <c r="P436" s="186">
        <v>44713.394085648149</v>
      </c>
      <c r="R436" s="1">
        <v>4</v>
      </c>
      <c r="T436" s="1" t="s">
        <v>646</v>
      </c>
      <c r="U436" s="186">
        <v>44714.394085648149</v>
      </c>
      <c r="V436" s="1" t="s">
        <v>41</v>
      </c>
      <c r="W436" s="1" t="s">
        <v>49</v>
      </c>
      <c r="X436" s="13"/>
      <c r="Y436" s="2">
        <f t="shared" ca="1" si="36"/>
        <v>196</v>
      </c>
      <c r="Z436" s="14">
        <v>1</v>
      </c>
      <c r="AA436" s="1" t="str">
        <f t="shared" ca="1" si="37"/>
        <v>VENCIDO</v>
      </c>
      <c r="AB436" s="1" t="str">
        <f t="shared" si="38"/>
        <v>C-14</v>
      </c>
      <c r="AC436" s="2" t="str">
        <f t="shared" si="41"/>
        <v xml:space="preserve"> CLEITON </v>
      </c>
      <c r="AD436" s="2">
        <f t="shared" si="39"/>
        <v>15</v>
      </c>
      <c r="AE436" s="2">
        <f t="shared" ca="1" si="40"/>
        <v>-272.28218599536922</v>
      </c>
      <c r="AF436" s="15"/>
    </row>
    <row r="437" spans="1:32" hidden="1">
      <c r="A437" s="1">
        <v>8635857</v>
      </c>
      <c r="B437" s="1" t="s">
        <v>653</v>
      </c>
      <c r="C437" t="s">
        <v>752</v>
      </c>
      <c r="E437" s="2">
        <v>711001400030</v>
      </c>
      <c r="F437" s="1" t="s">
        <v>647</v>
      </c>
      <c r="G437" s="1" t="s">
        <v>53</v>
      </c>
      <c r="H437" s="1" t="s">
        <v>77</v>
      </c>
      <c r="I437" s="1" t="s">
        <v>78</v>
      </c>
      <c r="J437" s="1" t="s">
        <v>79</v>
      </c>
      <c r="K437" t="s">
        <v>650</v>
      </c>
      <c r="M437" s="1" t="s">
        <v>58</v>
      </c>
      <c r="N437" s="1">
        <v>0</v>
      </c>
      <c r="O437" s="1" t="s">
        <v>105</v>
      </c>
      <c r="P437" s="186">
        <v>44713.394074074073</v>
      </c>
      <c r="R437" s="1">
        <v>4</v>
      </c>
      <c r="T437" s="1" t="s">
        <v>646</v>
      </c>
      <c r="U437" s="186">
        <v>44714.394074074073</v>
      </c>
      <c r="V437" s="1" t="s">
        <v>41</v>
      </c>
      <c r="W437" s="1" t="s">
        <v>49</v>
      </c>
      <c r="X437" s="13"/>
      <c r="Y437" s="2">
        <f t="shared" ca="1" si="36"/>
        <v>196</v>
      </c>
      <c r="Z437" s="14">
        <v>1</v>
      </c>
      <c r="AA437" s="1" t="str">
        <f t="shared" ca="1" si="37"/>
        <v>VENCIDO</v>
      </c>
      <c r="AB437" s="1" t="str">
        <f t="shared" si="38"/>
        <v>C-14</v>
      </c>
      <c r="AC437" s="2" t="str">
        <f t="shared" si="41"/>
        <v xml:space="preserve"> ROSEMERE </v>
      </c>
      <c r="AD437" s="2">
        <f t="shared" si="39"/>
        <v>15</v>
      </c>
      <c r="AE437" s="2">
        <f t="shared" ca="1" si="40"/>
        <v>-272.282197569446</v>
      </c>
      <c r="AF437" s="15"/>
    </row>
    <row r="438" spans="1:32" hidden="1">
      <c r="A438" s="1">
        <v>8635856</v>
      </c>
      <c r="B438" s="1" t="s">
        <v>653</v>
      </c>
      <c r="C438" t="s">
        <v>752</v>
      </c>
      <c r="E438" s="2">
        <v>710001400030</v>
      </c>
      <c r="F438" s="1" t="s">
        <v>647</v>
      </c>
      <c r="G438" s="1" t="s">
        <v>53</v>
      </c>
      <c r="H438" s="1" t="s">
        <v>390</v>
      </c>
      <c r="I438" s="1" t="s">
        <v>391</v>
      </c>
      <c r="J438" s="1" t="s">
        <v>56</v>
      </c>
      <c r="K438" t="s">
        <v>650</v>
      </c>
      <c r="M438" s="1" t="s">
        <v>58</v>
      </c>
      <c r="N438" s="1">
        <v>0</v>
      </c>
      <c r="O438" s="1" t="s">
        <v>36</v>
      </c>
      <c r="P438" s="186">
        <v>44713.394074074073</v>
      </c>
      <c r="R438" s="1">
        <v>4</v>
      </c>
      <c r="T438" s="1" t="s">
        <v>646</v>
      </c>
      <c r="U438" s="186">
        <v>44714.394074074073</v>
      </c>
      <c r="V438" s="1" t="s">
        <v>41</v>
      </c>
      <c r="W438" s="1" t="s">
        <v>49</v>
      </c>
      <c r="X438" s="13"/>
      <c r="Y438" s="2">
        <f t="shared" ca="1" si="36"/>
        <v>196</v>
      </c>
      <c r="Z438" s="14">
        <v>1</v>
      </c>
      <c r="AA438" s="1" t="str">
        <f t="shared" ca="1" si="37"/>
        <v>VENCIDO</v>
      </c>
      <c r="AB438" s="1" t="str">
        <f t="shared" si="38"/>
        <v>C-14</v>
      </c>
      <c r="AC438" s="2" t="str">
        <f t="shared" si="41"/>
        <v xml:space="preserve"> CRISTINA </v>
      </c>
      <c r="AD438" s="2">
        <f t="shared" si="39"/>
        <v>15</v>
      </c>
      <c r="AE438" s="2">
        <f t="shared" ca="1" si="40"/>
        <v>-272.282197569446</v>
      </c>
      <c r="AF438" s="15"/>
    </row>
    <row r="439" spans="1:32" hidden="1">
      <c r="A439" s="1">
        <v>8635705</v>
      </c>
      <c r="B439" s="1" t="s">
        <v>653</v>
      </c>
      <c r="C439" t="s">
        <v>752</v>
      </c>
      <c r="E439" s="2">
        <v>550001400030</v>
      </c>
      <c r="F439" s="1" t="s">
        <v>647</v>
      </c>
      <c r="G439" s="1" t="s">
        <v>53</v>
      </c>
      <c r="H439" s="1" t="s">
        <v>337</v>
      </c>
      <c r="I439" s="1" t="s">
        <v>338</v>
      </c>
      <c r="J439" s="1" t="s">
        <v>164</v>
      </c>
      <c r="K439" t="s">
        <v>650</v>
      </c>
      <c r="M439" s="1" t="s">
        <v>58</v>
      </c>
      <c r="N439" s="1">
        <v>0</v>
      </c>
      <c r="O439" s="1" t="s">
        <v>105</v>
      </c>
      <c r="P439" s="186">
        <v>44713.39371527778</v>
      </c>
      <c r="R439" s="1">
        <v>4</v>
      </c>
      <c r="T439" s="1" t="s">
        <v>646</v>
      </c>
      <c r="U439" s="186">
        <v>44714.39371527778</v>
      </c>
      <c r="V439" s="1" t="s">
        <v>41</v>
      </c>
      <c r="W439" s="1" t="s">
        <v>49</v>
      </c>
      <c r="X439" s="13"/>
      <c r="Y439" s="2">
        <f t="shared" ca="1" si="36"/>
        <v>196</v>
      </c>
      <c r="Z439" s="14">
        <v>1</v>
      </c>
      <c r="AA439" s="1" t="str">
        <f t="shared" ca="1" si="37"/>
        <v>VENCIDO</v>
      </c>
      <c r="AB439" s="1" t="str">
        <f t="shared" si="38"/>
        <v>C-14</v>
      </c>
      <c r="AC439" s="2" t="str">
        <f t="shared" si="41"/>
        <v xml:space="preserve"> ROSEMERE </v>
      </c>
      <c r="AD439" s="2">
        <f t="shared" si="39"/>
        <v>15</v>
      </c>
      <c r="AE439" s="2">
        <f t="shared" ca="1" si="40"/>
        <v>-272.28255636573886</v>
      </c>
      <c r="AF439" s="15"/>
    </row>
    <row r="440" spans="1:32" hidden="1">
      <c r="A440" s="1">
        <v>8635695</v>
      </c>
      <c r="B440" s="1" t="s">
        <v>653</v>
      </c>
      <c r="C440" t="s">
        <v>752</v>
      </c>
      <c r="E440" s="2">
        <v>537001400030</v>
      </c>
      <c r="F440" s="1" t="s">
        <v>647</v>
      </c>
      <c r="G440" s="1" t="s">
        <v>53</v>
      </c>
      <c r="H440" s="1" t="s">
        <v>442</v>
      </c>
      <c r="I440" s="1" t="s">
        <v>443</v>
      </c>
      <c r="J440" s="1" t="s">
        <v>79</v>
      </c>
      <c r="K440" t="s">
        <v>650</v>
      </c>
      <c r="M440" s="1" t="s">
        <v>58</v>
      </c>
      <c r="N440" s="1">
        <v>0</v>
      </c>
      <c r="O440" s="1" t="s">
        <v>105</v>
      </c>
      <c r="P440" s="186">
        <v>44713.393703703703</v>
      </c>
      <c r="R440" s="1">
        <v>4</v>
      </c>
      <c r="T440" s="1" t="s">
        <v>646</v>
      </c>
      <c r="U440" s="186">
        <v>44714.393703703703</v>
      </c>
      <c r="V440" s="1" t="s">
        <v>41</v>
      </c>
      <c r="W440" s="1" t="s">
        <v>49</v>
      </c>
      <c r="X440" s="13"/>
      <c r="Y440" s="2">
        <f t="shared" ca="1" si="36"/>
        <v>196</v>
      </c>
      <c r="Z440" s="14">
        <v>1</v>
      </c>
      <c r="AA440" s="1" t="str">
        <f t="shared" ca="1" si="37"/>
        <v>VENCIDO</v>
      </c>
      <c r="AB440" s="1" t="str">
        <f t="shared" si="38"/>
        <v>C-14</v>
      </c>
      <c r="AC440" s="2" t="str">
        <f t="shared" si="41"/>
        <v xml:space="preserve"> ROSEMERE </v>
      </c>
      <c r="AD440" s="2">
        <f t="shared" si="39"/>
        <v>15</v>
      </c>
      <c r="AE440" s="2">
        <f t="shared" ca="1" si="40"/>
        <v>-272.28256793981564</v>
      </c>
      <c r="AF440" s="15"/>
    </row>
    <row r="441" spans="1:32" hidden="1">
      <c r="A441" s="1">
        <v>8635610</v>
      </c>
      <c r="B441" s="1" t="s">
        <v>653</v>
      </c>
      <c r="C441" t="s">
        <v>752</v>
      </c>
      <c r="E441" s="2">
        <v>446001400030</v>
      </c>
      <c r="F441" s="1" t="s">
        <v>647</v>
      </c>
      <c r="G441" s="1" t="s">
        <v>53</v>
      </c>
      <c r="H441" s="1" t="s">
        <v>432</v>
      </c>
      <c r="I441" s="1" t="s">
        <v>433</v>
      </c>
      <c r="J441" s="1" t="s">
        <v>110</v>
      </c>
      <c r="K441" t="s">
        <v>650</v>
      </c>
      <c r="M441" s="1" t="s">
        <v>58</v>
      </c>
      <c r="N441" s="1">
        <v>0</v>
      </c>
      <c r="O441" s="1" t="s">
        <v>105</v>
      </c>
      <c r="P441" s="186">
        <v>44713.393518518518</v>
      </c>
      <c r="R441" s="1">
        <v>4</v>
      </c>
      <c r="T441" s="1" t="s">
        <v>646</v>
      </c>
      <c r="U441" s="186">
        <v>44714.393518518518</v>
      </c>
      <c r="V441" s="1" t="s">
        <v>41</v>
      </c>
      <c r="W441" s="1" t="s">
        <v>49</v>
      </c>
      <c r="X441" s="13"/>
      <c r="Y441" s="2">
        <f t="shared" ca="1" si="36"/>
        <v>196</v>
      </c>
      <c r="Z441" s="14">
        <v>1</v>
      </c>
      <c r="AA441" s="1" t="str">
        <f t="shared" ca="1" si="37"/>
        <v>VENCIDO</v>
      </c>
      <c r="AB441" s="1" t="str">
        <f t="shared" si="38"/>
        <v>C-14</v>
      </c>
      <c r="AC441" s="2" t="str">
        <f t="shared" si="41"/>
        <v xml:space="preserve"> CRISTINA </v>
      </c>
      <c r="AD441" s="2">
        <f t="shared" si="39"/>
        <v>15</v>
      </c>
      <c r="AE441" s="2">
        <f t="shared" ca="1" si="40"/>
        <v>-272.28275312500045</v>
      </c>
      <c r="AF441" s="15"/>
    </row>
    <row r="442" spans="1:32" hidden="1">
      <c r="A442" s="1">
        <v>8635412</v>
      </c>
      <c r="B442" s="1" t="s">
        <v>653</v>
      </c>
      <c r="C442" t="s">
        <v>752</v>
      </c>
      <c r="E442" s="2">
        <v>233001400030</v>
      </c>
      <c r="F442" s="1" t="s">
        <v>647</v>
      </c>
      <c r="G442" s="1" t="s">
        <v>53</v>
      </c>
      <c r="H442" s="1" t="s">
        <v>424</v>
      </c>
      <c r="I442" s="1" t="s">
        <v>425</v>
      </c>
      <c r="J442" s="1" t="s">
        <v>261</v>
      </c>
      <c r="K442" t="s">
        <v>650</v>
      </c>
      <c r="M442" s="1" t="s">
        <v>58</v>
      </c>
      <c r="N442" s="1">
        <v>0</v>
      </c>
      <c r="O442" s="1" t="s">
        <v>105</v>
      </c>
      <c r="P442" s="186">
        <v>44713.393101851849</v>
      </c>
      <c r="R442" s="1">
        <v>4</v>
      </c>
      <c r="T442" s="1" t="s">
        <v>646</v>
      </c>
      <c r="U442" s="186">
        <v>44714.393101851849</v>
      </c>
      <c r="V442" s="1" t="s">
        <v>41</v>
      </c>
      <c r="W442" s="1" t="s">
        <v>49</v>
      </c>
      <c r="X442" s="13"/>
      <c r="Y442" s="2">
        <f t="shared" ca="1" si="36"/>
        <v>196</v>
      </c>
      <c r="Z442" s="14">
        <v>1</v>
      </c>
      <c r="AA442" s="1" t="str">
        <f t="shared" ca="1" si="37"/>
        <v>VENCIDO</v>
      </c>
      <c r="AB442" s="1" t="str">
        <f t="shared" si="38"/>
        <v>C-14</v>
      </c>
      <c r="AC442" s="2" t="str">
        <f t="shared" si="41"/>
        <v xml:space="preserve"> CRISTINA </v>
      </c>
      <c r="AD442" s="2">
        <f t="shared" si="39"/>
        <v>15</v>
      </c>
      <c r="AE442" s="2">
        <f t="shared" ca="1" si="40"/>
        <v>-272.28316979166993</v>
      </c>
      <c r="AF442" s="15"/>
    </row>
    <row r="443" spans="1:32" hidden="1">
      <c r="A443" s="1">
        <v>8635253</v>
      </c>
      <c r="B443" s="1" t="s">
        <v>653</v>
      </c>
      <c r="C443" t="s">
        <v>935</v>
      </c>
      <c r="E443" s="2">
        <v>325001400010</v>
      </c>
      <c r="F443" s="1" t="s">
        <v>936</v>
      </c>
      <c r="G443" s="1" t="s">
        <v>53</v>
      </c>
      <c r="H443" s="1" t="s">
        <v>345</v>
      </c>
      <c r="I443" s="1" t="s">
        <v>346</v>
      </c>
      <c r="J443" s="1" t="s">
        <v>46</v>
      </c>
      <c r="K443" t="s">
        <v>937</v>
      </c>
      <c r="M443" s="1" t="s">
        <v>58</v>
      </c>
      <c r="N443" s="1">
        <v>0</v>
      </c>
      <c r="O443" s="1" t="s">
        <v>105</v>
      </c>
      <c r="P443" s="186">
        <v>44713.392777777779</v>
      </c>
      <c r="R443" s="1">
        <v>3</v>
      </c>
      <c r="T443" s="1" t="s">
        <v>646</v>
      </c>
      <c r="U443" s="186">
        <v>44714.392777777779</v>
      </c>
      <c r="V443" s="1" t="s">
        <v>41</v>
      </c>
      <c r="W443" s="1" t="s">
        <v>49</v>
      </c>
      <c r="X443" s="13"/>
      <c r="Y443" s="2">
        <f t="shared" ca="1" si="36"/>
        <v>196</v>
      </c>
      <c r="Z443" s="14">
        <v>1</v>
      </c>
      <c r="AA443" s="1" t="str">
        <f t="shared" ca="1" si="37"/>
        <v>VENCIDO</v>
      </c>
      <c r="AB443" s="1" t="str">
        <f t="shared" si="38"/>
        <v>C-14</v>
      </c>
      <c r="AC443" s="2" t="str">
        <f t="shared" si="41"/>
        <v xml:space="preserve"> CLEITON </v>
      </c>
      <c r="AD443" s="2">
        <f t="shared" si="39"/>
        <v>5</v>
      </c>
      <c r="AE443" s="2">
        <f t="shared" ca="1" si="40"/>
        <v>-272.28349386573973</v>
      </c>
      <c r="AF443" s="15"/>
    </row>
    <row r="444" spans="1:32" hidden="1">
      <c r="A444" s="1">
        <v>8635179</v>
      </c>
      <c r="B444" s="1" t="s">
        <v>653</v>
      </c>
      <c r="C444" t="s">
        <v>935</v>
      </c>
      <c r="E444" s="2">
        <v>8973001400010</v>
      </c>
      <c r="F444" s="1" t="s">
        <v>936</v>
      </c>
      <c r="G444" s="1" t="s">
        <v>53</v>
      </c>
      <c r="H444" s="1" t="s">
        <v>661</v>
      </c>
      <c r="I444" s="1" t="s">
        <v>662</v>
      </c>
      <c r="J444" s="1" t="s">
        <v>46</v>
      </c>
      <c r="K444" t="s">
        <v>937</v>
      </c>
      <c r="M444" s="1" t="s">
        <v>58</v>
      </c>
      <c r="N444" s="1">
        <v>0</v>
      </c>
      <c r="O444" s="1" t="s">
        <v>105</v>
      </c>
      <c r="P444" s="186">
        <v>44713.392581018517</v>
      </c>
      <c r="R444" s="1">
        <v>3</v>
      </c>
      <c r="T444" s="1" t="s">
        <v>646</v>
      </c>
      <c r="U444" s="186">
        <v>44714.392581018517</v>
      </c>
      <c r="V444" s="1" t="s">
        <v>41</v>
      </c>
      <c r="W444" s="1" t="s">
        <v>49</v>
      </c>
      <c r="X444" s="13"/>
      <c r="Y444" s="2">
        <f t="shared" ca="1" si="36"/>
        <v>196</v>
      </c>
      <c r="Z444" s="14">
        <v>1</v>
      </c>
      <c r="AA444" s="1" t="str">
        <f t="shared" ca="1" si="37"/>
        <v>VENCIDO</v>
      </c>
      <c r="AB444" s="1" t="str">
        <f t="shared" si="38"/>
        <v>C-14</v>
      </c>
      <c r="AC444" s="2" t="str">
        <f t="shared" si="41"/>
        <v xml:space="preserve"> CLEITON </v>
      </c>
      <c r="AD444" s="2">
        <f t="shared" si="39"/>
        <v>5</v>
      </c>
      <c r="AE444" s="2">
        <f t="shared" ca="1" si="40"/>
        <v>-272.28369062500133</v>
      </c>
      <c r="AF444" s="15"/>
    </row>
    <row r="445" spans="1:32" hidden="1">
      <c r="A445" s="1">
        <v>8635156</v>
      </c>
      <c r="B445" s="1" t="s">
        <v>653</v>
      </c>
      <c r="C445" t="s">
        <v>935</v>
      </c>
      <c r="E445" s="2">
        <v>8633001400010</v>
      </c>
      <c r="F445" s="1" t="s">
        <v>936</v>
      </c>
      <c r="G445" s="1" t="s">
        <v>53</v>
      </c>
      <c r="H445" s="1" t="s">
        <v>835</v>
      </c>
      <c r="I445" s="1" t="s">
        <v>836</v>
      </c>
      <c r="J445" s="1" t="s">
        <v>46</v>
      </c>
      <c r="K445" t="s">
        <v>937</v>
      </c>
      <c r="M445" s="1" t="s">
        <v>58</v>
      </c>
      <c r="N445" s="1">
        <v>0</v>
      </c>
      <c r="O445" s="1" t="s">
        <v>105</v>
      </c>
      <c r="P445" s="186">
        <v>44713.392557870371</v>
      </c>
      <c r="R445" s="1">
        <v>3</v>
      </c>
      <c r="T445" s="1" t="s">
        <v>646</v>
      </c>
      <c r="U445" s="186">
        <v>44714.392557870371</v>
      </c>
      <c r="V445" s="1" t="s">
        <v>41</v>
      </c>
      <c r="W445" s="1" t="s">
        <v>49</v>
      </c>
      <c r="X445" s="13"/>
      <c r="Y445" s="2">
        <f t="shared" ca="1" si="36"/>
        <v>196</v>
      </c>
      <c r="Z445" s="14">
        <v>1</v>
      </c>
      <c r="AA445" s="1" t="str">
        <f t="shared" ca="1" si="37"/>
        <v>VENCIDO</v>
      </c>
      <c r="AB445" s="1" t="str">
        <f t="shared" si="38"/>
        <v>C-14</v>
      </c>
      <c r="AC445" s="2" t="str">
        <f t="shared" si="41"/>
        <v xml:space="preserve"> CLEITON </v>
      </c>
      <c r="AD445" s="2">
        <f t="shared" si="39"/>
        <v>5</v>
      </c>
      <c r="AE445" s="2">
        <f t="shared" ca="1" si="40"/>
        <v>-272.28371377314761</v>
      </c>
      <c r="AF445" s="15"/>
    </row>
    <row r="446" spans="1:32" hidden="1">
      <c r="A446" s="1">
        <v>8634660</v>
      </c>
      <c r="B446" s="1" t="s">
        <v>653</v>
      </c>
      <c r="C446" t="s">
        <v>935</v>
      </c>
      <c r="E446" s="2">
        <v>5898001400010</v>
      </c>
      <c r="F446" s="1" t="s">
        <v>936</v>
      </c>
      <c r="G446" s="1" t="s">
        <v>53</v>
      </c>
      <c r="H446" s="1" t="s">
        <v>365</v>
      </c>
      <c r="I446" s="1" t="s">
        <v>366</v>
      </c>
      <c r="J446" s="1" t="s">
        <v>164</v>
      </c>
      <c r="K446" t="s">
        <v>937</v>
      </c>
      <c r="M446" s="1" t="s">
        <v>58</v>
      </c>
      <c r="N446" s="1">
        <v>0</v>
      </c>
      <c r="O446" s="1" t="s">
        <v>105</v>
      </c>
      <c r="P446" s="186">
        <v>44713.390601851854</v>
      </c>
      <c r="R446" s="1">
        <v>3</v>
      </c>
      <c r="T446" s="1" t="s">
        <v>646</v>
      </c>
      <c r="U446" s="186">
        <v>44714.390601851854</v>
      </c>
      <c r="V446" s="1" t="s">
        <v>41</v>
      </c>
      <c r="W446" s="1" t="s">
        <v>49</v>
      </c>
      <c r="X446" s="13"/>
      <c r="Y446" s="2">
        <f t="shared" ca="1" si="36"/>
        <v>196</v>
      </c>
      <c r="Z446" s="14">
        <v>1</v>
      </c>
      <c r="AA446" s="1" t="str">
        <f t="shared" ca="1" si="37"/>
        <v>VENCIDO</v>
      </c>
      <c r="AB446" s="1" t="str">
        <f t="shared" si="38"/>
        <v>C-14</v>
      </c>
      <c r="AC446" s="2" t="str">
        <f t="shared" si="41"/>
        <v xml:space="preserve"> ROSEMERE </v>
      </c>
      <c r="AD446" s="2">
        <f t="shared" si="39"/>
        <v>5</v>
      </c>
      <c r="AE446" s="2">
        <f t="shared" ca="1" si="40"/>
        <v>-272.28566979166499</v>
      </c>
      <c r="AF446" s="15"/>
    </row>
    <row r="447" spans="1:32" hidden="1">
      <c r="A447" s="1">
        <v>8634637</v>
      </c>
      <c r="B447" s="1" t="s">
        <v>653</v>
      </c>
      <c r="C447" t="s">
        <v>935</v>
      </c>
      <c r="E447" s="2">
        <v>5816001400010</v>
      </c>
      <c r="F447" s="1" t="s">
        <v>936</v>
      </c>
      <c r="G447" s="1" t="s">
        <v>53</v>
      </c>
      <c r="H447" s="1" t="s">
        <v>412</v>
      </c>
      <c r="I447" s="1" t="s">
        <v>413</v>
      </c>
      <c r="J447" s="1" t="s">
        <v>46</v>
      </c>
      <c r="K447" t="s">
        <v>937</v>
      </c>
      <c r="M447" s="1" t="s">
        <v>58</v>
      </c>
      <c r="N447" s="1">
        <v>0</v>
      </c>
      <c r="O447" s="1" t="s">
        <v>105</v>
      </c>
      <c r="P447" s="186">
        <v>44713.390567129631</v>
      </c>
      <c r="R447" s="1">
        <v>3</v>
      </c>
      <c r="T447" s="1" t="s">
        <v>646</v>
      </c>
      <c r="U447" s="186">
        <v>44714.390567129631</v>
      </c>
      <c r="V447" s="1" t="s">
        <v>41</v>
      </c>
      <c r="W447" s="1" t="s">
        <v>49</v>
      </c>
      <c r="X447" s="13"/>
      <c r="Y447" s="2">
        <f t="shared" ca="1" si="36"/>
        <v>196</v>
      </c>
      <c r="Z447" s="14">
        <v>1</v>
      </c>
      <c r="AA447" s="1" t="str">
        <f t="shared" ca="1" si="37"/>
        <v>VENCIDO</v>
      </c>
      <c r="AB447" s="1" t="str">
        <f t="shared" si="38"/>
        <v>C-14</v>
      </c>
      <c r="AC447" s="2" t="str">
        <f t="shared" si="41"/>
        <v xml:space="preserve"> CLEITON </v>
      </c>
      <c r="AD447" s="2">
        <f t="shared" si="39"/>
        <v>5</v>
      </c>
      <c r="AE447" s="2">
        <f t="shared" ca="1" si="40"/>
        <v>-272.28570451388805</v>
      </c>
      <c r="AF447" s="15"/>
    </row>
    <row r="448" spans="1:32" hidden="1">
      <c r="A448" s="1">
        <v>8634603</v>
      </c>
      <c r="B448" s="1" t="s">
        <v>653</v>
      </c>
      <c r="C448" t="s">
        <v>935</v>
      </c>
      <c r="E448" s="2">
        <v>5755001400010</v>
      </c>
      <c r="F448" s="1" t="s">
        <v>936</v>
      </c>
      <c r="G448" s="1" t="s">
        <v>53</v>
      </c>
      <c r="H448" s="1" t="s">
        <v>841</v>
      </c>
      <c r="I448" s="1" t="s">
        <v>842</v>
      </c>
      <c r="J448" s="1" t="s">
        <v>46</v>
      </c>
      <c r="K448" t="s">
        <v>937</v>
      </c>
      <c r="M448" s="1" t="s">
        <v>58</v>
      </c>
      <c r="N448" s="1">
        <v>0</v>
      </c>
      <c r="O448" s="1" t="s">
        <v>105</v>
      </c>
      <c r="P448" s="186">
        <v>44713.390509259261</v>
      </c>
      <c r="R448" s="1">
        <v>3</v>
      </c>
      <c r="T448" s="1" t="s">
        <v>646</v>
      </c>
      <c r="U448" s="186">
        <v>44714.390509259261</v>
      </c>
      <c r="V448" s="1" t="s">
        <v>41</v>
      </c>
      <c r="W448" s="1" t="s">
        <v>49</v>
      </c>
      <c r="X448" s="13"/>
      <c r="Y448" s="2">
        <f t="shared" ca="1" si="36"/>
        <v>196</v>
      </c>
      <c r="Z448" s="14">
        <v>1</v>
      </c>
      <c r="AA448" s="1" t="str">
        <f t="shared" ca="1" si="37"/>
        <v>VENCIDO</v>
      </c>
      <c r="AB448" s="1" t="str">
        <f t="shared" si="38"/>
        <v>C-14</v>
      </c>
      <c r="AC448" s="2" t="str">
        <f t="shared" si="41"/>
        <v xml:space="preserve"> CLEITON </v>
      </c>
      <c r="AD448" s="2">
        <f t="shared" si="39"/>
        <v>5</v>
      </c>
      <c r="AE448" s="2">
        <f t="shared" ca="1" si="40"/>
        <v>-272.2857623842574</v>
      </c>
      <c r="AF448" s="15"/>
    </row>
    <row r="449" spans="1:32" hidden="1">
      <c r="A449" s="1">
        <v>8634599</v>
      </c>
      <c r="B449" s="1" t="s">
        <v>653</v>
      </c>
      <c r="C449" t="s">
        <v>935</v>
      </c>
      <c r="E449" s="2">
        <v>5742001400010</v>
      </c>
      <c r="F449" s="1" t="s">
        <v>936</v>
      </c>
      <c r="G449" s="1" t="s">
        <v>53</v>
      </c>
      <c r="H449" s="1" t="s">
        <v>430</v>
      </c>
      <c r="I449" s="1" t="s">
        <v>431</v>
      </c>
      <c r="J449" s="1" t="s">
        <v>79</v>
      </c>
      <c r="K449" t="s">
        <v>937</v>
      </c>
      <c r="M449" s="1" t="s">
        <v>58</v>
      </c>
      <c r="N449" s="1">
        <v>0</v>
      </c>
      <c r="O449" s="1" t="s">
        <v>105</v>
      </c>
      <c r="P449" s="186">
        <v>44713.390509259261</v>
      </c>
      <c r="R449" s="1">
        <v>3</v>
      </c>
      <c r="T449" s="1" t="s">
        <v>646</v>
      </c>
      <c r="U449" s="186">
        <v>44714.390509259261</v>
      </c>
      <c r="V449" s="1" t="s">
        <v>41</v>
      </c>
      <c r="W449" s="1" t="s">
        <v>49</v>
      </c>
      <c r="X449" s="13"/>
      <c r="Y449" s="2">
        <f t="shared" ca="1" si="36"/>
        <v>196</v>
      </c>
      <c r="Z449" s="14">
        <v>1</v>
      </c>
      <c r="AA449" s="1" t="str">
        <f t="shared" ca="1" si="37"/>
        <v>VENCIDO</v>
      </c>
      <c r="AB449" s="1" t="str">
        <f t="shared" si="38"/>
        <v>C-14</v>
      </c>
      <c r="AC449" s="2" t="str">
        <f t="shared" si="41"/>
        <v xml:space="preserve"> ROSEMERE </v>
      </c>
      <c r="AD449" s="2">
        <f t="shared" si="39"/>
        <v>5</v>
      </c>
      <c r="AE449" s="2">
        <f t="shared" ca="1" si="40"/>
        <v>-272.2857623842574</v>
      </c>
      <c r="AF449" s="15"/>
    </row>
    <row r="450" spans="1:32" hidden="1">
      <c r="A450" s="1">
        <v>8634597</v>
      </c>
      <c r="B450" s="1" t="s">
        <v>653</v>
      </c>
      <c r="C450" t="s">
        <v>935</v>
      </c>
      <c r="E450" s="2">
        <v>5740001400010</v>
      </c>
      <c r="F450" s="1" t="s">
        <v>936</v>
      </c>
      <c r="G450" s="1" t="s">
        <v>53</v>
      </c>
      <c r="H450" s="1" t="s">
        <v>626</v>
      </c>
      <c r="I450" s="1" t="s">
        <v>627</v>
      </c>
      <c r="J450" s="1" t="s">
        <v>46</v>
      </c>
      <c r="K450" t="s">
        <v>937</v>
      </c>
      <c r="M450" s="1" t="s">
        <v>58</v>
      </c>
      <c r="N450" s="1">
        <v>0</v>
      </c>
      <c r="O450" s="1" t="s">
        <v>105</v>
      </c>
      <c r="P450" s="186">
        <v>44713.390509259261</v>
      </c>
      <c r="R450" s="1">
        <v>3</v>
      </c>
      <c r="T450" s="1" t="s">
        <v>646</v>
      </c>
      <c r="U450" s="186">
        <v>44714.390509259261</v>
      </c>
      <c r="V450" s="1" t="s">
        <v>41</v>
      </c>
      <c r="W450" s="1" t="s">
        <v>49</v>
      </c>
      <c r="X450" s="13"/>
      <c r="Y450" s="2">
        <f t="shared" ref="Y450:Y513" ca="1" si="42">NETWORKDAYS(P450,$Y$1)</f>
        <v>196</v>
      </c>
      <c r="Z450" s="14">
        <v>1</v>
      </c>
      <c r="AA450" s="1" t="str">
        <f t="shared" ref="AA450:AA513" ca="1" si="43">IF(AE450=0,"HOJE",IF(AE450&gt;0,"A VENCER",IF(AE450&lt;0,"VENCIDO")))</f>
        <v>VENCIDO</v>
      </c>
      <c r="AB450" s="1" t="str">
        <f t="shared" ref="AB450:AB513" si="44">IF(F450="GRPE-000001","C-14",IF(F450="GRPE-000002","C-14",IF(F450="GRPE-000003","C-14",IF(F450="GRPE-000004","SL-On",IF(F450="GRPE-000038","C-14",IF(F450="GRPE-900022","Dosa",IF(F450="GRPE-000029","Dosa",IF(F450="ATOS-000222","Dose","TAAe+"))))))))</f>
        <v>C-14</v>
      </c>
      <c r="AC450" s="2" t="str">
        <f t="shared" si="41"/>
        <v xml:space="preserve"> CLEITON </v>
      </c>
      <c r="AD450" s="2">
        <f t="shared" ref="AD450:AD513" si="45">IF(F450="GRPE-000001",5,IF(F450="GRPE-000002",5,IF(F450="GRPE-000003",15,IF(F450="GRPE-000004",1,IF(F450="GRPE-000038",5,IF(F450="GRPE-900022",5,IF(F450="GRPE-000029",5,IF(F450="ATOS-000222",5,8))))))))</f>
        <v>5</v>
      </c>
      <c r="AE450" s="2">
        <f t="shared" ref="AE450:AE513" ca="1" si="46">IF(U450=$AE$1,"",U450-$AE$1)</f>
        <v>-272.2857623842574</v>
      </c>
      <c r="AF450" s="15"/>
    </row>
    <row r="451" spans="1:32" hidden="1">
      <c r="A451" s="1">
        <v>8634419</v>
      </c>
      <c r="B451" s="1" t="s">
        <v>653</v>
      </c>
      <c r="C451" t="s">
        <v>935</v>
      </c>
      <c r="E451" s="2">
        <v>4997001400010</v>
      </c>
      <c r="F451" s="1" t="s">
        <v>936</v>
      </c>
      <c r="G451" s="1" t="s">
        <v>53</v>
      </c>
      <c r="H451" s="1" t="s">
        <v>406</v>
      </c>
      <c r="I451" s="1" t="s">
        <v>407</v>
      </c>
      <c r="J451" s="1" t="s">
        <v>79</v>
      </c>
      <c r="K451" t="s">
        <v>937</v>
      </c>
      <c r="M451" s="1" t="s">
        <v>58</v>
      </c>
      <c r="N451" s="1">
        <v>0</v>
      </c>
      <c r="O451" s="1" t="s">
        <v>36</v>
      </c>
      <c r="P451" s="186">
        <v>44713.390104166669</v>
      </c>
      <c r="R451" s="1">
        <v>3</v>
      </c>
      <c r="T451" s="1" t="s">
        <v>646</v>
      </c>
      <c r="U451" s="186">
        <v>44714.390104166669</v>
      </c>
      <c r="V451" s="1" t="s">
        <v>41</v>
      </c>
      <c r="W451" s="1" t="s">
        <v>49</v>
      </c>
      <c r="X451" s="13"/>
      <c r="Y451" s="2">
        <f t="shared" ca="1" si="42"/>
        <v>196</v>
      </c>
      <c r="Z451" s="14">
        <v>1</v>
      </c>
      <c r="AA451" s="1" t="str">
        <f t="shared" ca="1" si="43"/>
        <v>VENCIDO</v>
      </c>
      <c r="AB451" s="1" t="str">
        <f t="shared" si="44"/>
        <v>C-14</v>
      </c>
      <c r="AC451" s="2" t="str">
        <f t="shared" ref="AC451:AC514" si="47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 xml:space="preserve"> ROSEMERE </v>
      </c>
      <c r="AD451" s="2">
        <f t="shared" si="45"/>
        <v>5</v>
      </c>
      <c r="AE451" s="2">
        <f t="shared" ca="1" si="46"/>
        <v>-272.2861674768501</v>
      </c>
      <c r="AF451" s="15"/>
    </row>
    <row r="452" spans="1:32" hidden="1">
      <c r="A452" s="1">
        <v>8634261</v>
      </c>
      <c r="B452" s="1" t="s">
        <v>653</v>
      </c>
      <c r="C452" t="s">
        <v>935</v>
      </c>
      <c r="E452" s="2">
        <v>4637001400010</v>
      </c>
      <c r="F452" s="1" t="s">
        <v>936</v>
      </c>
      <c r="G452" s="1" t="s">
        <v>53</v>
      </c>
      <c r="H452" s="1" t="s">
        <v>848</v>
      </c>
      <c r="I452" s="1" t="s">
        <v>849</v>
      </c>
      <c r="J452" s="1" t="s">
        <v>79</v>
      </c>
      <c r="K452" t="s">
        <v>937</v>
      </c>
      <c r="M452" s="1" t="s">
        <v>58</v>
      </c>
      <c r="N452" s="1">
        <v>0</v>
      </c>
      <c r="O452" s="1" t="s">
        <v>105</v>
      </c>
      <c r="P452" s="186">
        <v>44713.389722222222</v>
      </c>
      <c r="R452" s="1">
        <v>3</v>
      </c>
      <c r="T452" s="1" t="s">
        <v>646</v>
      </c>
      <c r="U452" s="186">
        <v>44714.389733796299</v>
      </c>
      <c r="V452" s="1" t="s">
        <v>41</v>
      </c>
      <c r="W452" s="1" t="s">
        <v>49</v>
      </c>
      <c r="X452" s="13"/>
      <c r="Y452" s="2">
        <f t="shared" ca="1" si="42"/>
        <v>196</v>
      </c>
      <c r="Z452" s="14">
        <v>1</v>
      </c>
      <c r="AA452" s="1" t="str">
        <f t="shared" ca="1" si="43"/>
        <v>VENCIDO</v>
      </c>
      <c r="AB452" s="1" t="str">
        <f t="shared" si="44"/>
        <v>C-14</v>
      </c>
      <c r="AC452" s="2" t="str">
        <f t="shared" si="47"/>
        <v xml:space="preserve"> ROSEMERE </v>
      </c>
      <c r="AD452" s="2">
        <f t="shared" si="45"/>
        <v>5</v>
      </c>
      <c r="AE452" s="2">
        <f t="shared" ca="1" si="46"/>
        <v>-272.28653784721973</v>
      </c>
      <c r="AF452" s="15"/>
    </row>
    <row r="453" spans="1:32" hidden="1">
      <c r="A453" s="1">
        <v>8634248</v>
      </c>
      <c r="B453" s="1" t="s">
        <v>653</v>
      </c>
      <c r="C453" t="s">
        <v>935</v>
      </c>
      <c r="E453" s="2">
        <v>4623001400010</v>
      </c>
      <c r="F453" s="1" t="s">
        <v>936</v>
      </c>
      <c r="G453" s="1" t="s">
        <v>53</v>
      </c>
      <c r="H453" s="1" t="s">
        <v>669</v>
      </c>
      <c r="I453" s="1" t="s">
        <v>670</v>
      </c>
      <c r="J453" s="1" t="s">
        <v>33</v>
      </c>
      <c r="K453" t="s">
        <v>937</v>
      </c>
      <c r="M453" s="1" t="s">
        <v>58</v>
      </c>
      <c r="N453" s="1">
        <v>0</v>
      </c>
      <c r="O453" s="1" t="s">
        <v>105</v>
      </c>
      <c r="P453" s="186">
        <v>44713.389710648145</v>
      </c>
      <c r="R453" s="1">
        <v>3</v>
      </c>
      <c r="T453" s="1" t="s">
        <v>646</v>
      </c>
      <c r="U453" s="186">
        <v>44714.389710648145</v>
      </c>
      <c r="V453" s="1" t="s">
        <v>41</v>
      </c>
      <c r="W453" s="1" t="s">
        <v>42</v>
      </c>
      <c r="X453" s="13"/>
      <c r="Y453" s="2">
        <f t="shared" ca="1" si="42"/>
        <v>196</v>
      </c>
      <c r="Z453" s="14">
        <v>1</v>
      </c>
      <c r="AA453" s="1" t="str">
        <f t="shared" ca="1" si="43"/>
        <v>VENCIDO</v>
      </c>
      <c r="AB453" s="1" t="str">
        <f t="shared" si="44"/>
        <v>C-14</v>
      </c>
      <c r="AC453" s="2" t="str">
        <f t="shared" si="47"/>
        <v xml:space="preserve"> ROSEMERE </v>
      </c>
      <c r="AD453" s="2">
        <f t="shared" si="45"/>
        <v>5</v>
      </c>
      <c r="AE453" s="2">
        <f t="shared" ca="1" si="46"/>
        <v>-272.28656099537329</v>
      </c>
      <c r="AF453" s="15"/>
    </row>
    <row r="454" spans="1:32" hidden="1">
      <c r="A454" s="1">
        <v>8634067</v>
      </c>
      <c r="B454" s="1" t="s">
        <v>653</v>
      </c>
      <c r="C454" t="s">
        <v>935</v>
      </c>
      <c r="E454" s="2">
        <v>4357001400010</v>
      </c>
      <c r="F454" s="1" t="s">
        <v>936</v>
      </c>
      <c r="G454" s="1" t="s">
        <v>53</v>
      </c>
      <c r="H454" s="1" t="s">
        <v>633</v>
      </c>
      <c r="I454" s="1" t="s">
        <v>634</v>
      </c>
      <c r="J454" s="1" t="s">
        <v>46</v>
      </c>
      <c r="K454" t="s">
        <v>937</v>
      </c>
      <c r="M454" s="1" t="s">
        <v>58</v>
      </c>
      <c r="N454" s="1">
        <v>0</v>
      </c>
      <c r="O454" s="1" t="s">
        <v>105</v>
      </c>
      <c r="P454" s="186">
        <v>44713.389305555553</v>
      </c>
      <c r="R454" s="1">
        <v>3</v>
      </c>
      <c r="T454" s="1" t="s">
        <v>646</v>
      </c>
      <c r="U454" s="186">
        <v>44714.389305555553</v>
      </c>
      <c r="V454" s="1" t="s">
        <v>41</v>
      </c>
      <c r="W454" s="1" t="s">
        <v>49</v>
      </c>
      <c r="X454" s="13"/>
      <c r="Y454" s="2">
        <f t="shared" ca="1" si="42"/>
        <v>196</v>
      </c>
      <c r="Z454" s="14">
        <v>1</v>
      </c>
      <c r="AA454" s="1" t="str">
        <f t="shared" ca="1" si="43"/>
        <v>VENCIDO</v>
      </c>
      <c r="AB454" s="1" t="str">
        <f t="shared" si="44"/>
        <v>C-14</v>
      </c>
      <c r="AC454" s="2" t="str">
        <f t="shared" si="47"/>
        <v xml:space="preserve"> CLEITON </v>
      </c>
      <c r="AD454" s="2">
        <f t="shared" si="45"/>
        <v>5</v>
      </c>
      <c r="AE454" s="2">
        <f t="shared" ca="1" si="46"/>
        <v>-272.28696608796599</v>
      </c>
      <c r="AF454" s="15"/>
    </row>
    <row r="455" spans="1:32" hidden="1">
      <c r="A455" s="1">
        <v>8633996</v>
      </c>
      <c r="B455" s="1" t="s">
        <v>653</v>
      </c>
      <c r="C455" t="s">
        <v>935</v>
      </c>
      <c r="E455" s="2">
        <v>4235001400010</v>
      </c>
      <c r="F455" s="1" t="s">
        <v>936</v>
      </c>
      <c r="G455" s="1" t="s">
        <v>53</v>
      </c>
      <c r="H455" s="1" t="s">
        <v>291</v>
      </c>
      <c r="I455" s="1" t="s">
        <v>292</v>
      </c>
      <c r="J455" s="1" t="s">
        <v>46</v>
      </c>
      <c r="K455" t="s">
        <v>937</v>
      </c>
      <c r="M455" s="1" t="s">
        <v>58</v>
      </c>
      <c r="N455" s="1">
        <v>0</v>
      </c>
      <c r="O455" s="1" t="s">
        <v>105</v>
      </c>
      <c r="P455" s="186">
        <v>44713.38921296296</v>
      </c>
      <c r="R455" s="1">
        <v>3</v>
      </c>
      <c r="T455" s="1" t="s">
        <v>646</v>
      </c>
      <c r="U455" s="186">
        <v>44714.38921296296</v>
      </c>
      <c r="V455" s="1" t="s">
        <v>41</v>
      </c>
      <c r="W455" s="1" t="s">
        <v>49</v>
      </c>
      <c r="X455" s="13"/>
      <c r="Y455" s="2">
        <f t="shared" ca="1" si="42"/>
        <v>196</v>
      </c>
      <c r="Z455" s="14">
        <v>1</v>
      </c>
      <c r="AA455" s="1" t="str">
        <f t="shared" ca="1" si="43"/>
        <v>VENCIDO</v>
      </c>
      <c r="AB455" s="1" t="str">
        <f t="shared" si="44"/>
        <v>C-14</v>
      </c>
      <c r="AC455" s="2" t="str">
        <f t="shared" si="47"/>
        <v xml:space="preserve"> CLEITON </v>
      </c>
      <c r="AD455" s="2">
        <f t="shared" si="45"/>
        <v>5</v>
      </c>
      <c r="AE455" s="2">
        <f t="shared" ca="1" si="46"/>
        <v>-272.2870586805584</v>
      </c>
      <c r="AF455" s="15"/>
    </row>
    <row r="456" spans="1:32" hidden="1">
      <c r="A456" s="1">
        <v>8633745</v>
      </c>
      <c r="B456" s="1" t="s">
        <v>653</v>
      </c>
      <c r="C456" t="s">
        <v>935</v>
      </c>
      <c r="E456" s="2">
        <v>3918001400010</v>
      </c>
      <c r="F456" s="1" t="s">
        <v>936</v>
      </c>
      <c r="G456" s="1" t="s">
        <v>53</v>
      </c>
      <c r="H456" s="1" t="s">
        <v>858</v>
      </c>
      <c r="I456" s="1" t="s">
        <v>859</v>
      </c>
      <c r="J456" s="1" t="s">
        <v>33</v>
      </c>
      <c r="K456" t="s">
        <v>937</v>
      </c>
      <c r="M456" s="1" t="s">
        <v>58</v>
      </c>
      <c r="N456" s="1">
        <v>0</v>
      </c>
      <c r="O456" s="1" t="s">
        <v>105</v>
      </c>
      <c r="P456" s="186">
        <v>44713.388645833336</v>
      </c>
      <c r="R456" s="1">
        <v>3</v>
      </c>
      <c r="T456" s="1" t="s">
        <v>646</v>
      </c>
      <c r="U456" s="186">
        <v>44714.388645833336</v>
      </c>
      <c r="V456" s="1" t="s">
        <v>41</v>
      </c>
      <c r="W456" s="1" t="s">
        <v>49</v>
      </c>
      <c r="X456" s="13"/>
      <c r="Y456" s="2">
        <f t="shared" ca="1" si="42"/>
        <v>196</v>
      </c>
      <c r="Z456" s="14">
        <v>1</v>
      </c>
      <c r="AA456" s="1" t="str">
        <f t="shared" ca="1" si="43"/>
        <v>VENCIDO</v>
      </c>
      <c r="AB456" s="1" t="str">
        <f t="shared" si="44"/>
        <v>C-14</v>
      </c>
      <c r="AC456" s="2" t="str">
        <f t="shared" si="47"/>
        <v xml:space="preserve"> ROSEMERE </v>
      </c>
      <c r="AD456" s="2">
        <f t="shared" si="45"/>
        <v>5</v>
      </c>
      <c r="AE456" s="2">
        <f t="shared" ca="1" si="46"/>
        <v>-272.28762581018236</v>
      </c>
      <c r="AF456" s="15"/>
    </row>
    <row r="457" spans="1:32" hidden="1">
      <c r="A457" s="1">
        <v>8633594</v>
      </c>
      <c r="B457" s="1" t="s">
        <v>653</v>
      </c>
      <c r="C457" t="s">
        <v>935</v>
      </c>
      <c r="E457" s="2">
        <v>3699001400010</v>
      </c>
      <c r="F457" s="1" t="s">
        <v>936</v>
      </c>
      <c r="G457" s="1" t="s">
        <v>53</v>
      </c>
      <c r="H457" s="1" t="s">
        <v>343</v>
      </c>
      <c r="I457" s="1" t="s">
        <v>344</v>
      </c>
      <c r="J457" s="1" t="s">
        <v>46</v>
      </c>
      <c r="K457" t="s">
        <v>937</v>
      </c>
      <c r="M457" s="1" t="s">
        <v>58</v>
      </c>
      <c r="N457" s="1">
        <v>0</v>
      </c>
      <c r="O457" s="1" t="s">
        <v>105</v>
      </c>
      <c r="P457" s="186">
        <v>44713.388356481482</v>
      </c>
      <c r="R457" s="1">
        <v>3</v>
      </c>
      <c r="T457" s="1" t="s">
        <v>646</v>
      </c>
      <c r="U457" s="186">
        <v>44714.388356481482</v>
      </c>
      <c r="V457" s="1" t="s">
        <v>41</v>
      </c>
      <c r="W457" s="1" t="s">
        <v>49</v>
      </c>
      <c r="X457" s="13"/>
      <c r="Y457" s="2">
        <f t="shared" ca="1" si="42"/>
        <v>196</v>
      </c>
      <c r="Z457" s="14">
        <v>1</v>
      </c>
      <c r="AA457" s="1" t="str">
        <f t="shared" ca="1" si="43"/>
        <v>VENCIDO</v>
      </c>
      <c r="AB457" s="1" t="str">
        <f t="shared" si="44"/>
        <v>C-14</v>
      </c>
      <c r="AC457" s="2" t="str">
        <f t="shared" si="47"/>
        <v xml:space="preserve"> CLEITON </v>
      </c>
      <c r="AD457" s="2">
        <f t="shared" si="45"/>
        <v>5</v>
      </c>
      <c r="AE457" s="2">
        <f t="shared" ca="1" si="46"/>
        <v>-272.28791516203637</v>
      </c>
      <c r="AF457" s="15"/>
    </row>
    <row r="458" spans="1:32" hidden="1">
      <c r="A458" s="1">
        <v>8633518</v>
      </c>
      <c r="B458" s="1" t="s">
        <v>653</v>
      </c>
      <c r="C458" t="s">
        <v>935</v>
      </c>
      <c r="E458" s="2">
        <v>3613001400010</v>
      </c>
      <c r="F458" s="1" t="s">
        <v>936</v>
      </c>
      <c r="G458" s="1" t="s">
        <v>53</v>
      </c>
      <c r="H458" s="1" t="s">
        <v>679</v>
      </c>
      <c r="I458" s="1" t="s">
        <v>680</v>
      </c>
      <c r="J458" s="1" t="s">
        <v>46</v>
      </c>
      <c r="K458" t="s">
        <v>937</v>
      </c>
      <c r="M458" s="1" t="s">
        <v>58</v>
      </c>
      <c r="N458" s="1">
        <v>0</v>
      </c>
      <c r="O458" s="1" t="s">
        <v>105</v>
      </c>
      <c r="P458" s="186">
        <v>44713.388171296298</v>
      </c>
      <c r="R458" s="1">
        <v>3</v>
      </c>
      <c r="T458" s="1" t="s">
        <v>646</v>
      </c>
      <c r="U458" s="186">
        <v>44714.388171296298</v>
      </c>
      <c r="V458" s="1" t="s">
        <v>41</v>
      </c>
      <c r="W458" s="1" t="s">
        <v>49</v>
      </c>
      <c r="X458" s="13"/>
      <c r="Y458" s="2">
        <f t="shared" ca="1" si="42"/>
        <v>196</v>
      </c>
      <c r="Z458" s="14">
        <v>1</v>
      </c>
      <c r="AA458" s="1" t="str">
        <f t="shared" ca="1" si="43"/>
        <v>VENCIDO</v>
      </c>
      <c r="AB458" s="1" t="str">
        <f t="shared" si="44"/>
        <v>C-14</v>
      </c>
      <c r="AC458" s="2" t="str">
        <f t="shared" si="47"/>
        <v xml:space="preserve"> CLEITON </v>
      </c>
      <c r="AD458" s="2">
        <f t="shared" si="45"/>
        <v>5</v>
      </c>
      <c r="AE458" s="2">
        <f t="shared" ca="1" si="46"/>
        <v>-272.28810034722119</v>
      </c>
      <c r="AF458" s="15"/>
    </row>
    <row r="459" spans="1:32" hidden="1">
      <c r="A459" s="1">
        <v>8633517</v>
      </c>
      <c r="B459" s="1" t="s">
        <v>653</v>
      </c>
      <c r="C459" t="s">
        <v>935</v>
      </c>
      <c r="E459" s="2">
        <v>3612001400010</v>
      </c>
      <c r="F459" s="1" t="s">
        <v>936</v>
      </c>
      <c r="G459" s="1" t="s">
        <v>53</v>
      </c>
      <c r="H459" s="1" t="s">
        <v>683</v>
      </c>
      <c r="I459" s="1" t="s">
        <v>684</v>
      </c>
      <c r="J459" s="1" t="s">
        <v>46</v>
      </c>
      <c r="K459" t="s">
        <v>937</v>
      </c>
      <c r="M459" s="1" t="s">
        <v>58</v>
      </c>
      <c r="N459" s="1">
        <v>0</v>
      </c>
      <c r="O459" s="1" t="s">
        <v>105</v>
      </c>
      <c r="P459" s="186">
        <v>44713.388171296298</v>
      </c>
      <c r="R459" s="1">
        <v>3</v>
      </c>
      <c r="T459" s="1" t="s">
        <v>646</v>
      </c>
      <c r="U459" s="186">
        <v>44714.388171296298</v>
      </c>
      <c r="V459" s="1" t="s">
        <v>41</v>
      </c>
      <c r="W459" s="1" t="s">
        <v>49</v>
      </c>
      <c r="X459" s="13"/>
      <c r="Y459" s="2">
        <f t="shared" ca="1" si="42"/>
        <v>196</v>
      </c>
      <c r="Z459" s="14">
        <v>1</v>
      </c>
      <c r="AA459" s="1" t="str">
        <f t="shared" ca="1" si="43"/>
        <v>VENCIDO</v>
      </c>
      <c r="AB459" s="1" t="str">
        <f t="shared" si="44"/>
        <v>C-14</v>
      </c>
      <c r="AC459" s="2" t="str">
        <f t="shared" si="47"/>
        <v xml:space="preserve"> CLEITON </v>
      </c>
      <c r="AD459" s="2">
        <f t="shared" si="45"/>
        <v>5</v>
      </c>
      <c r="AE459" s="2">
        <f t="shared" ca="1" si="46"/>
        <v>-272.28810034722119</v>
      </c>
      <c r="AF459" s="15"/>
    </row>
    <row r="460" spans="1:32" hidden="1">
      <c r="A460" s="1">
        <v>8633446</v>
      </c>
      <c r="B460" s="1" t="s">
        <v>653</v>
      </c>
      <c r="C460" t="s">
        <v>935</v>
      </c>
      <c r="E460" s="2">
        <v>3504001400010</v>
      </c>
      <c r="F460" s="1" t="s">
        <v>936</v>
      </c>
      <c r="G460" s="1" t="s">
        <v>53</v>
      </c>
      <c r="H460" s="1" t="s">
        <v>585</v>
      </c>
      <c r="I460" s="1" t="s">
        <v>586</v>
      </c>
      <c r="J460" s="1" t="s">
        <v>46</v>
      </c>
      <c r="K460" t="s">
        <v>937</v>
      </c>
      <c r="M460" s="1" t="s">
        <v>58</v>
      </c>
      <c r="N460" s="1">
        <v>0</v>
      </c>
      <c r="O460" s="1" t="s">
        <v>105</v>
      </c>
      <c r="P460" s="186">
        <v>44713.387997685182</v>
      </c>
      <c r="R460" s="1">
        <v>3</v>
      </c>
      <c r="T460" s="1" t="s">
        <v>646</v>
      </c>
      <c r="U460" s="186">
        <v>44714.387997685182</v>
      </c>
      <c r="V460" s="1" t="s">
        <v>41</v>
      </c>
      <c r="W460" s="1" t="s">
        <v>49</v>
      </c>
      <c r="X460" s="13"/>
      <c r="Y460" s="2">
        <f t="shared" ca="1" si="42"/>
        <v>196</v>
      </c>
      <c r="Z460" s="14">
        <v>1</v>
      </c>
      <c r="AA460" s="1" t="str">
        <f t="shared" ca="1" si="43"/>
        <v>VENCIDO</v>
      </c>
      <c r="AB460" s="1" t="str">
        <f t="shared" si="44"/>
        <v>C-14</v>
      </c>
      <c r="AC460" s="2" t="str">
        <f t="shared" si="47"/>
        <v xml:space="preserve"> CLEITON </v>
      </c>
      <c r="AD460" s="2">
        <f t="shared" si="45"/>
        <v>5</v>
      </c>
      <c r="AE460" s="2">
        <f t="shared" ca="1" si="46"/>
        <v>-272.2882739583365</v>
      </c>
      <c r="AF460" s="15"/>
    </row>
    <row r="461" spans="1:32" hidden="1">
      <c r="A461" s="1">
        <v>8633445</v>
      </c>
      <c r="B461" s="1" t="s">
        <v>653</v>
      </c>
      <c r="C461" t="s">
        <v>935</v>
      </c>
      <c r="E461" s="2">
        <v>3503001400010</v>
      </c>
      <c r="F461" s="1" t="s">
        <v>936</v>
      </c>
      <c r="G461" s="1" t="s">
        <v>53</v>
      </c>
      <c r="H461" s="1" t="s">
        <v>398</v>
      </c>
      <c r="I461" s="1" t="s">
        <v>399</v>
      </c>
      <c r="J461" s="1" t="s">
        <v>46</v>
      </c>
      <c r="K461" t="s">
        <v>937</v>
      </c>
      <c r="M461" s="1" t="s">
        <v>58</v>
      </c>
      <c r="N461" s="1">
        <v>0</v>
      </c>
      <c r="O461" s="1" t="s">
        <v>105</v>
      </c>
      <c r="P461" s="186">
        <v>44713.387997685182</v>
      </c>
      <c r="R461" s="1">
        <v>3</v>
      </c>
      <c r="T461" s="1" t="s">
        <v>646</v>
      </c>
      <c r="U461" s="186">
        <v>44714.387997685182</v>
      </c>
      <c r="V461" s="1" t="s">
        <v>41</v>
      </c>
      <c r="W461" s="1" t="s">
        <v>49</v>
      </c>
      <c r="X461" s="13"/>
      <c r="Y461" s="2">
        <f t="shared" ca="1" si="42"/>
        <v>196</v>
      </c>
      <c r="Z461" s="14">
        <v>1</v>
      </c>
      <c r="AA461" s="1" t="str">
        <f t="shared" ca="1" si="43"/>
        <v>VENCIDO</v>
      </c>
      <c r="AB461" s="1" t="str">
        <f t="shared" si="44"/>
        <v>C-14</v>
      </c>
      <c r="AC461" s="2" t="str">
        <f t="shared" si="47"/>
        <v xml:space="preserve"> CLEITON </v>
      </c>
      <c r="AD461" s="2">
        <f t="shared" si="45"/>
        <v>5</v>
      </c>
      <c r="AE461" s="2">
        <f t="shared" ca="1" si="46"/>
        <v>-272.2882739583365</v>
      </c>
      <c r="AF461" s="15"/>
    </row>
    <row r="462" spans="1:32" hidden="1">
      <c r="A462" s="1">
        <v>8633297</v>
      </c>
      <c r="B462" s="1" t="s">
        <v>653</v>
      </c>
      <c r="C462" t="s">
        <v>935</v>
      </c>
      <c r="E462" s="2">
        <v>3258001400010</v>
      </c>
      <c r="F462" s="1" t="s">
        <v>936</v>
      </c>
      <c r="G462" s="1" t="s">
        <v>53</v>
      </c>
      <c r="H462" s="1" t="s">
        <v>321</v>
      </c>
      <c r="I462" s="1" t="s">
        <v>322</v>
      </c>
      <c r="J462" s="1" t="s">
        <v>46</v>
      </c>
      <c r="K462" t="s">
        <v>937</v>
      </c>
      <c r="M462" s="1" t="s">
        <v>58</v>
      </c>
      <c r="N462" s="1">
        <v>0</v>
      </c>
      <c r="O462" s="1" t="s">
        <v>105</v>
      </c>
      <c r="P462" s="186">
        <v>44713.387743055559</v>
      </c>
      <c r="R462" s="1">
        <v>3</v>
      </c>
      <c r="T462" s="1" t="s">
        <v>646</v>
      </c>
      <c r="U462" s="186">
        <v>44714.387743055559</v>
      </c>
      <c r="V462" s="1" t="s">
        <v>41</v>
      </c>
      <c r="W462" s="1" t="s">
        <v>49</v>
      </c>
      <c r="X462" s="13"/>
      <c r="Y462" s="2">
        <f t="shared" ca="1" si="42"/>
        <v>196</v>
      </c>
      <c r="Z462" s="14">
        <v>1</v>
      </c>
      <c r="AA462" s="1" t="str">
        <f t="shared" ca="1" si="43"/>
        <v>VENCIDO</v>
      </c>
      <c r="AB462" s="1" t="str">
        <f t="shared" si="44"/>
        <v>C-14</v>
      </c>
      <c r="AC462" s="2" t="str">
        <f t="shared" si="47"/>
        <v xml:space="preserve"> CLEITON </v>
      </c>
      <c r="AD462" s="2">
        <f t="shared" si="45"/>
        <v>5</v>
      </c>
      <c r="AE462" s="2">
        <f t="shared" ca="1" si="46"/>
        <v>-272.28852858796017</v>
      </c>
      <c r="AF462" s="15"/>
    </row>
    <row r="463" spans="1:32" hidden="1">
      <c r="A463" s="1">
        <v>8633288</v>
      </c>
      <c r="B463" s="1" t="s">
        <v>653</v>
      </c>
      <c r="C463" t="s">
        <v>935</v>
      </c>
      <c r="E463" s="2">
        <v>3250001400010</v>
      </c>
      <c r="F463" s="1" t="s">
        <v>936</v>
      </c>
      <c r="G463" s="1" t="s">
        <v>53</v>
      </c>
      <c r="H463" s="1" t="s">
        <v>371</v>
      </c>
      <c r="I463" s="1" t="s">
        <v>372</v>
      </c>
      <c r="J463" s="1" t="s">
        <v>46</v>
      </c>
      <c r="K463" t="s">
        <v>937</v>
      </c>
      <c r="M463" s="1" t="s">
        <v>58</v>
      </c>
      <c r="N463" s="1">
        <v>0</v>
      </c>
      <c r="O463" s="1" t="s">
        <v>105</v>
      </c>
      <c r="P463" s="186">
        <v>44713.387731481482</v>
      </c>
      <c r="R463" s="1">
        <v>3</v>
      </c>
      <c r="T463" s="1" t="s">
        <v>646</v>
      </c>
      <c r="U463" s="186">
        <v>44714.387731481482</v>
      </c>
      <c r="V463" s="1" t="s">
        <v>41</v>
      </c>
      <c r="W463" s="1" t="s">
        <v>49</v>
      </c>
      <c r="X463" s="13"/>
      <c r="Y463" s="2">
        <f t="shared" ca="1" si="42"/>
        <v>196</v>
      </c>
      <c r="Z463" s="14">
        <v>1</v>
      </c>
      <c r="AA463" s="1" t="str">
        <f t="shared" ca="1" si="43"/>
        <v>VENCIDO</v>
      </c>
      <c r="AB463" s="1" t="str">
        <f t="shared" si="44"/>
        <v>C-14</v>
      </c>
      <c r="AC463" s="2" t="str">
        <f t="shared" si="47"/>
        <v xml:space="preserve"> CLEITON </v>
      </c>
      <c r="AD463" s="2">
        <f t="shared" si="45"/>
        <v>5</v>
      </c>
      <c r="AE463" s="2">
        <f t="shared" ca="1" si="46"/>
        <v>-272.28854016203695</v>
      </c>
      <c r="AF463" s="15"/>
    </row>
    <row r="464" spans="1:32" hidden="1">
      <c r="A464" s="1">
        <v>8633283</v>
      </c>
      <c r="B464" s="1" t="s">
        <v>653</v>
      </c>
      <c r="C464" t="s">
        <v>935</v>
      </c>
      <c r="E464" s="2">
        <v>3243001400010</v>
      </c>
      <c r="F464" s="1" t="s">
        <v>936</v>
      </c>
      <c r="G464" s="1" t="s">
        <v>53</v>
      </c>
      <c r="H464" s="1" t="s">
        <v>282</v>
      </c>
      <c r="I464" s="1" t="s">
        <v>283</v>
      </c>
      <c r="J464" s="1" t="s">
        <v>46</v>
      </c>
      <c r="K464" t="s">
        <v>937</v>
      </c>
      <c r="M464" s="1" t="s">
        <v>58</v>
      </c>
      <c r="N464" s="1">
        <v>0</v>
      </c>
      <c r="O464" s="1" t="s">
        <v>105</v>
      </c>
      <c r="P464" s="186">
        <v>44713.387719907405</v>
      </c>
      <c r="R464" s="1">
        <v>3</v>
      </c>
      <c r="T464" s="1" t="s">
        <v>646</v>
      </c>
      <c r="U464" s="186">
        <v>44714.387719907405</v>
      </c>
      <c r="V464" s="1" t="s">
        <v>41</v>
      </c>
      <c r="W464" s="1" t="s">
        <v>49</v>
      </c>
      <c r="X464" s="13"/>
      <c r="Y464" s="2">
        <f t="shared" ca="1" si="42"/>
        <v>196</v>
      </c>
      <c r="Z464" s="14">
        <v>1</v>
      </c>
      <c r="AA464" s="1" t="str">
        <f t="shared" ca="1" si="43"/>
        <v>VENCIDO</v>
      </c>
      <c r="AB464" s="1" t="str">
        <f t="shared" si="44"/>
        <v>C-14</v>
      </c>
      <c r="AC464" s="2" t="str">
        <f t="shared" si="47"/>
        <v xml:space="preserve"> CLEITON </v>
      </c>
      <c r="AD464" s="2">
        <f t="shared" si="45"/>
        <v>5</v>
      </c>
      <c r="AE464" s="2">
        <f t="shared" ca="1" si="46"/>
        <v>-272.28855173611373</v>
      </c>
      <c r="AF464" s="15"/>
    </row>
    <row r="465" spans="1:32" hidden="1">
      <c r="A465" s="1">
        <v>8633279</v>
      </c>
      <c r="B465" s="1" t="s">
        <v>653</v>
      </c>
      <c r="C465" t="s">
        <v>935</v>
      </c>
      <c r="E465" s="2">
        <v>3234171400010</v>
      </c>
      <c r="F465" s="1" t="s">
        <v>936</v>
      </c>
      <c r="G465" s="1" t="s">
        <v>53</v>
      </c>
      <c r="H465" s="1" t="s">
        <v>799</v>
      </c>
      <c r="I465" s="1" t="s">
        <v>800</v>
      </c>
      <c r="J465" s="1" t="s">
        <v>46</v>
      </c>
      <c r="K465" t="s">
        <v>937</v>
      </c>
      <c r="M465" s="1" t="s">
        <v>58</v>
      </c>
      <c r="N465" s="1">
        <v>0</v>
      </c>
      <c r="O465" s="1" t="s">
        <v>105</v>
      </c>
      <c r="P465" s="186">
        <v>44713.387719907405</v>
      </c>
      <c r="R465" s="1">
        <v>3</v>
      </c>
      <c r="T465" s="1" t="s">
        <v>646</v>
      </c>
      <c r="U465" s="186">
        <v>44714.387719907405</v>
      </c>
      <c r="V465" s="1" t="s">
        <v>41</v>
      </c>
      <c r="W465" s="1" t="s">
        <v>49</v>
      </c>
      <c r="X465" s="13"/>
      <c r="Y465" s="2">
        <f t="shared" ca="1" si="42"/>
        <v>196</v>
      </c>
      <c r="Z465" s="14">
        <v>1</v>
      </c>
      <c r="AA465" s="1" t="str">
        <f t="shared" ca="1" si="43"/>
        <v>VENCIDO</v>
      </c>
      <c r="AB465" s="1" t="str">
        <f t="shared" si="44"/>
        <v>C-14</v>
      </c>
      <c r="AC465" s="2" t="str">
        <f t="shared" si="47"/>
        <v xml:space="preserve"> CLEITON </v>
      </c>
      <c r="AD465" s="2">
        <f t="shared" si="45"/>
        <v>5</v>
      </c>
      <c r="AE465" s="2">
        <f t="shared" ca="1" si="46"/>
        <v>-272.28855173611373</v>
      </c>
      <c r="AF465" s="15"/>
    </row>
    <row r="466" spans="1:32" hidden="1">
      <c r="A466" s="1">
        <v>8633278</v>
      </c>
      <c r="B466" s="1" t="s">
        <v>653</v>
      </c>
      <c r="C466" t="s">
        <v>935</v>
      </c>
      <c r="E466" s="2">
        <v>3234161400010</v>
      </c>
      <c r="F466" s="1" t="s">
        <v>936</v>
      </c>
      <c r="G466" s="1" t="s">
        <v>53</v>
      </c>
      <c r="H466" s="1" t="s">
        <v>499</v>
      </c>
      <c r="I466" s="1" t="s">
        <v>500</v>
      </c>
      <c r="J466" s="1" t="s">
        <v>46</v>
      </c>
      <c r="K466" t="s">
        <v>937</v>
      </c>
      <c r="M466" s="1" t="s">
        <v>58</v>
      </c>
      <c r="N466" s="1">
        <v>0</v>
      </c>
      <c r="O466" s="1" t="s">
        <v>105</v>
      </c>
      <c r="P466" s="186">
        <v>44713.387708333335</v>
      </c>
      <c r="R466" s="1">
        <v>3</v>
      </c>
      <c r="T466" s="1" t="s">
        <v>646</v>
      </c>
      <c r="U466" s="186">
        <v>44714.387719907405</v>
      </c>
      <c r="V466" s="1" t="s">
        <v>41</v>
      </c>
      <c r="W466" s="1" t="s">
        <v>49</v>
      </c>
      <c r="X466" s="13"/>
      <c r="Y466" s="2">
        <f t="shared" ca="1" si="42"/>
        <v>196</v>
      </c>
      <c r="Z466" s="14">
        <v>1</v>
      </c>
      <c r="AA466" s="1" t="str">
        <f t="shared" ca="1" si="43"/>
        <v>VENCIDO</v>
      </c>
      <c r="AB466" s="1" t="str">
        <f t="shared" si="44"/>
        <v>C-14</v>
      </c>
      <c r="AC466" s="2" t="str">
        <f t="shared" si="47"/>
        <v xml:space="preserve"> CLEITON </v>
      </c>
      <c r="AD466" s="2">
        <f t="shared" si="45"/>
        <v>5</v>
      </c>
      <c r="AE466" s="2">
        <f t="shared" ca="1" si="46"/>
        <v>-272.28855173611373</v>
      </c>
      <c r="AF466" s="15"/>
    </row>
    <row r="467" spans="1:32" hidden="1">
      <c r="A467" s="1">
        <v>8633277</v>
      </c>
      <c r="B467" s="1" t="s">
        <v>653</v>
      </c>
      <c r="C467" t="s">
        <v>935</v>
      </c>
      <c r="E467" s="2">
        <v>3234151400010</v>
      </c>
      <c r="F467" s="1" t="s">
        <v>936</v>
      </c>
      <c r="G467" s="1" t="s">
        <v>53</v>
      </c>
      <c r="H467" s="1" t="s">
        <v>629</v>
      </c>
      <c r="I467" s="1" t="s">
        <v>630</v>
      </c>
      <c r="J467" s="1" t="s">
        <v>46</v>
      </c>
      <c r="K467" t="s">
        <v>937</v>
      </c>
      <c r="M467" s="1" t="s">
        <v>58</v>
      </c>
      <c r="N467" s="1">
        <v>0</v>
      </c>
      <c r="O467" s="1" t="s">
        <v>105</v>
      </c>
      <c r="P467" s="186">
        <v>44713.387708333335</v>
      </c>
      <c r="R467" s="1">
        <v>3</v>
      </c>
      <c r="T467" s="1" t="s">
        <v>646</v>
      </c>
      <c r="U467" s="186">
        <v>44714.387708333335</v>
      </c>
      <c r="V467" s="1" t="s">
        <v>41</v>
      </c>
      <c r="W467" s="1" t="s">
        <v>49</v>
      </c>
      <c r="X467" s="13"/>
      <c r="Y467" s="2">
        <f t="shared" ca="1" si="42"/>
        <v>196</v>
      </c>
      <c r="Z467" s="14">
        <v>1</v>
      </c>
      <c r="AA467" s="1" t="str">
        <f t="shared" ca="1" si="43"/>
        <v>VENCIDO</v>
      </c>
      <c r="AB467" s="1" t="str">
        <f t="shared" si="44"/>
        <v>C-14</v>
      </c>
      <c r="AC467" s="2" t="str">
        <f t="shared" si="47"/>
        <v xml:space="preserve"> CLEITON </v>
      </c>
      <c r="AD467" s="2">
        <f t="shared" si="45"/>
        <v>5</v>
      </c>
      <c r="AE467" s="2">
        <f t="shared" ca="1" si="46"/>
        <v>-272.28856331018324</v>
      </c>
      <c r="AF467" s="15"/>
    </row>
    <row r="468" spans="1:32" hidden="1">
      <c r="A468" s="1">
        <v>8633187</v>
      </c>
      <c r="B468" s="1" t="s">
        <v>653</v>
      </c>
      <c r="C468" t="s">
        <v>935</v>
      </c>
      <c r="E468" s="2">
        <v>3108011400010</v>
      </c>
      <c r="F468" s="1" t="s">
        <v>936</v>
      </c>
      <c r="G468" s="1" t="s">
        <v>53</v>
      </c>
      <c r="H468" s="1" t="s">
        <v>503</v>
      </c>
      <c r="I468" s="1" t="s">
        <v>504</v>
      </c>
      <c r="J468" s="1" t="s">
        <v>46</v>
      </c>
      <c r="K468" t="s">
        <v>937</v>
      </c>
      <c r="M468" s="1" t="s">
        <v>58</v>
      </c>
      <c r="N468" s="1">
        <v>0</v>
      </c>
      <c r="O468" s="1" t="s">
        <v>105</v>
      </c>
      <c r="P468" s="186">
        <v>44713.387546296297</v>
      </c>
      <c r="R468" s="1">
        <v>3</v>
      </c>
      <c r="T468" s="1" t="s">
        <v>646</v>
      </c>
      <c r="U468" s="186">
        <v>44714.387546296297</v>
      </c>
      <c r="V468" s="1" t="s">
        <v>41</v>
      </c>
      <c r="W468" s="1" t="s">
        <v>49</v>
      </c>
      <c r="X468" s="13"/>
      <c r="Y468" s="2">
        <f t="shared" ca="1" si="42"/>
        <v>196</v>
      </c>
      <c r="Z468" s="14">
        <v>1</v>
      </c>
      <c r="AA468" s="1" t="str">
        <f t="shared" ca="1" si="43"/>
        <v>VENCIDO</v>
      </c>
      <c r="AB468" s="1" t="str">
        <f t="shared" si="44"/>
        <v>C-14</v>
      </c>
      <c r="AC468" s="2" t="str">
        <f t="shared" si="47"/>
        <v xml:space="preserve"> CLEITON </v>
      </c>
      <c r="AD468" s="2">
        <f t="shared" si="45"/>
        <v>5</v>
      </c>
      <c r="AE468" s="2">
        <f t="shared" ca="1" si="46"/>
        <v>-272.28872534722177</v>
      </c>
      <c r="AF468" s="15"/>
    </row>
    <row r="469" spans="1:32" hidden="1">
      <c r="A469" s="1">
        <v>8633186</v>
      </c>
      <c r="B469" s="1" t="s">
        <v>653</v>
      </c>
      <c r="C469" t="s">
        <v>935</v>
      </c>
      <c r="E469" s="2">
        <v>3108001400010</v>
      </c>
      <c r="F469" s="1" t="s">
        <v>936</v>
      </c>
      <c r="G469" s="1" t="s">
        <v>53</v>
      </c>
      <c r="H469" s="1" t="s">
        <v>325</v>
      </c>
      <c r="I469" s="1" t="s">
        <v>326</v>
      </c>
      <c r="J469" s="1" t="s">
        <v>46</v>
      </c>
      <c r="K469" t="s">
        <v>937</v>
      </c>
      <c r="M469" s="1" t="s">
        <v>58</v>
      </c>
      <c r="N469" s="1">
        <v>0</v>
      </c>
      <c r="O469" s="1" t="s">
        <v>105</v>
      </c>
      <c r="P469" s="186">
        <v>44713.387546296297</v>
      </c>
      <c r="R469" s="1">
        <v>3</v>
      </c>
      <c r="T469" s="1" t="s">
        <v>646</v>
      </c>
      <c r="U469" s="186">
        <v>44714.387546296297</v>
      </c>
      <c r="V469" s="1" t="s">
        <v>41</v>
      </c>
      <c r="W469" s="1" t="s">
        <v>49</v>
      </c>
      <c r="X469" s="13"/>
      <c r="Y469" s="2">
        <f t="shared" ca="1" si="42"/>
        <v>196</v>
      </c>
      <c r="Z469" s="14">
        <v>1</v>
      </c>
      <c r="AA469" s="1" t="str">
        <f t="shared" ca="1" si="43"/>
        <v>VENCIDO</v>
      </c>
      <c r="AB469" s="1" t="str">
        <f t="shared" si="44"/>
        <v>C-14</v>
      </c>
      <c r="AC469" s="2" t="str">
        <f t="shared" si="47"/>
        <v xml:space="preserve"> CLEITON </v>
      </c>
      <c r="AD469" s="2">
        <f t="shared" si="45"/>
        <v>5</v>
      </c>
      <c r="AE469" s="2">
        <f t="shared" ca="1" si="46"/>
        <v>-272.28872534722177</v>
      </c>
      <c r="AF469" s="15"/>
    </row>
    <row r="470" spans="1:32" hidden="1">
      <c r="A470" s="1">
        <v>8633096</v>
      </c>
      <c r="B470" s="1" t="s">
        <v>653</v>
      </c>
      <c r="C470" t="s">
        <v>935</v>
      </c>
      <c r="E470" s="2">
        <v>2988001400010</v>
      </c>
      <c r="F470" s="1" t="s">
        <v>936</v>
      </c>
      <c r="G470" s="1" t="s">
        <v>53</v>
      </c>
      <c r="H470" s="1" t="s">
        <v>536</v>
      </c>
      <c r="I470" s="1" t="s">
        <v>537</v>
      </c>
      <c r="J470" s="1" t="s">
        <v>46</v>
      </c>
      <c r="K470" t="s">
        <v>937</v>
      </c>
      <c r="M470" s="1" t="s">
        <v>58</v>
      </c>
      <c r="N470" s="1">
        <v>0</v>
      </c>
      <c r="O470" s="1" t="s">
        <v>105</v>
      </c>
      <c r="P470" s="186">
        <v>44713.387361111112</v>
      </c>
      <c r="R470" s="1">
        <v>3</v>
      </c>
      <c r="T470" s="1" t="s">
        <v>646</v>
      </c>
      <c r="U470" s="186">
        <v>44714.387372685182</v>
      </c>
      <c r="V470" s="1" t="s">
        <v>41</v>
      </c>
      <c r="W470" s="1" t="s">
        <v>49</v>
      </c>
      <c r="X470" s="13"/>
      <c r="Y470" s="2">
        <f t="shared" ca="1" si="42"/>
        <v>196</v>
      </c>
      <c r="Z470" s="14">
        <v>1</v>
      </c>
      <c r="AA470" s="1" t="str">
        <f t="shared" ca="1" si="43"/>
        <v>VENCIDO</v>
      </c>
      <c r="AB470" s="1" t="str">
        <f t="shared" si="44"/>
        <v>C-14</v>
      </c>
      <c r="AC470" s="2" t="str">
        <f t="shared" si="47"/>
        <v xml:space="preserve"> CLEITON </v>
      </c>
      <c r="AD470" s="2">
        <f t="shared" si="45"/>
        <v>5</v>
      </c>
      <c r="AE470" s="2">
        <f t="shared" ca="1" si="46"/>
        <v>-272.28889895833709</v>
      </c>
      <c r="AF470" s="15"/>
    </row>
    <row r="471" spans="1:32" hidden="1">
      <c r="A471" s="1">
        <v>8633016</v>
      </c>
      <c r="B471" s="1" t="s">
        <v>653</v>
      </c>
      <c r="C471" t="s">
        <v>935</v>
      </c>
      <c r="E471" s="2">
        <v>2889001400010</v>
      </c>
      <c r="F471" s="1" t="s">
        <v>936</v>
      </c>
      <c r="G471" s="1" t="s">
        <v>53</v>
      </c>
      <c r="H471" s="1" t="s">
        <v>418</v>
      </c>
      <c r="I471" s="1" t="s">
        <v>419</v>
      </c>
      <c r="J471" s="1" t="s">
        <v>46</v>
      </c>
      <c r="K471" t="s">
        <v>937</v>
      </c>
      <c r="M471" s="1" t="s">
        <v>58</v>
      </c>
      <c r="N471" s="1">
        <v>0</v>
      </c>
      <c r="O471" s="1" t="s">
        <v>105</v>
      </c>
      <c r="P471" s="186">
        <v>44713.38721064815</v>
      </c>
      <c r="R471" s="1">
        <v>3</v>
      </c>
      <c r="T471" s="1" t="s">
        <v>646</v>
      </c>
      <c r="U471" s="186">
        <v>44714.38721064815</v>
      </c>
      <c r="V471" s="1" t="s">
        <v>41</v>
      </c>
      <c r="W471" s="1" t="s">
        <v>49</v>
      </c>
      <c r="X471" s="13"/>
      <c r="Y471" s="2">
        <f t="shared" ca="1" si="42"/>
        <v>196</v>
      </c>
      <c r="Z471" s="14">
        <v>1</v>
      </c>
      <c r="AA471" s="1" t="str">
        <f t="shared" ca="1" si="43"/>
        <v>VENCIDO</v>
      </c>
      <c r="AB471" s="1" t="str">
        <f t="shared" si="44"/>
        <v>C-14</v>
      </c>
      <c r="AC471" s="2" t="str">
        <f t="shared" si="47"/>
        <v xml:space="preserve"> CLEITON </v>
      </c>
      <c r="AD471" s="2">
        <f t="shared" si="45"/>
        <v>5</v>
      </c>
      <c r="AE471" s="2">
        <f t="shared" ca="1" si="46"/>
        <v>-272.28906099536835</v>
      </c>
      <c r="AF471" s="15"/>
    </row>
    <row r="472" spans="1:32" hidden="1">
      <c r="A472" s="1">
        <v>8632974</v>
      </c>
      <c r="B472" s="1" t="s">
        <v>653</v>
      </c>
      <c r="C472" t="s">
        <v>935</v>
      </c>
      <c r="E472" s="2">
        <v>2830001400010</v>
      </c>
      <c r="F472" s="1" t="s">
        <v>936</v>
      </c>
      <c r="G472" s="1" t="s">
        <v>53</v>
      </c>
      <c r="H472" s="1" t="s">
        <v>448</v>
      </c>
      <c r="I472" s="1" t="s">
        <v>449</v>
      </c>
      <c r="J472" s="1" t="s">
        <v>33</v>
      </c>
      <c r="K472" t="s">
        <v>937</v>
      </c>
      <c r="M472" s="1" t="s">
        <v>58</v>
      </c>
      <c r="N472" s="1">
        <v>0</v>
      </c>
      <c r="O472" s="1" t="s">
        <v>105</v>
      </c>
      <c r="P472" s="186">
        <v>44713.387164351851</v>
      </c>
      <c r="R472" s="1">
        <v>3</v>
      </c>
      <c r="T472" s="1" t="s">
        <v>646</v>
      </c>
      <c r="U472" s="186">
        <v>44714.387164351851</v>
      </c>
      <c r="V472" s="1" t="s">
        <v>41</v>
      </c>
      <c r="W472" s="1" t="s">
        <v>42</v>
      </c>
      <c r="X472" s="13"/>
      <c r="Y472" s="2">
        <f t="shared" ca="1" si="42"/>
        <v>196</v>
      </c>
      <c r="Z472" s="14">
        <v>1</v>
      </c>
      <c r="AA472" s="1" t="str">
        <f t="shared" ca="1" si="43"/>
        <v>VENCIDO</v>
      </c>
      <c r="AB472" s="1" t="str">
        <f t="shared" si="44"/>
        <v>C-14</v>
      </c>
      <c r="AC472" s="2" t="str">
        <f t="shared" si="47"/>
        <v xml:space="preserve"> ROSEMERE </v>
      </c>
      <c r="AD472" s="2">
        <f t="shared" si="45"/>
        <v>5</v>
      </c>
      <c r="AE472" s="2">
        <f t="shared" ca="1" si="46"/>
        <v>-272.28910729166819</v>
      </c>
      <c r="AF472" s="15"/>
    </row>
    <row r="473" spans="1:32" hidden="1">
      <c r="A473" s="1">
        <v>8632958</v>
      </c>
      <c r="B473" s="1" t="s">
        <v>653</v>
      </c>
      <c r="C473" t="s">
        <v>935</v>
      </c>
      <c r="E473" s="2">
        <v>2811001400010</v>
      </c>
      <c r="F473" s="1" t="s">
        <v>936</v>
      </c>
      <c r="G473" s="1" t="s">
        <v>53</v>
      </c>
      <c r="H473" s="1" t="s">
        <v>44</v>
      </c>
      <c r="I473" s="1" t="s">
        <v>45</v>
      </c>
      <c r="J473" s="1" t="s">
        <v>46</v>
      </c>
      <c r="K473" t="s">
        <v>937</v>
      </c>
      <c r="M473" s="1" t="s">
        <v>58</v>
      </c>
      <c r="N473" s="1">
        <v>0</v>
      </c>
      <c r="O473" s="1" t="s">
        <v>105</v>
      </c>
      <c r="P473" s="186">
        <v>44713.387141203704</v>
      </c>
      <c r="R473" s="1">
        <v>3</v>
      </c>
      <c r="T473" s="1" t="s">
        <v>646</v>
      </c>
      <c r="U473" s="186">
        <v>44714.387141203704</v>
      </c>
      <c r="V473" s="1" t="s">
        <v>41</v>
      </c>
      <c r="W473" s="1" t="s">
        <v>49</v>
      </c>
      <c r="X473" s="13"/>
      <c r="Y473" s="2">
        <f t="shared" ca="1" si="42"/>
        <v>196</v>
      </c>
      <c r="Z473" s="14">
        <v>1</v>
      </c>
      <c r="AA473" s="1" t="str">
        <f t="shared" ca="1" si="43"/>
        <v>VENCIDO</v>
      </c>
      <c r="AB473" s="1" t="str">
        <f t="shared" si="44"/>
        <v>C-14</v>
      </c>
      <c r="AC473" s="2" t="str">
        <f t="shared" si="47"/>
        <v xml:space="preserve"> CLEITON </v>
      </c>
      <c r="AD473" s="2">
        <f t="shared" si="45"/>
        <v>5</v>
      </c>
      <c r="AE473" s="2">
        <f t="shared" ca="1" si="46"/>
        <v>-272.28913043981447</v>
      </c>
      <c r="AF473" s="15"/>
    </row>
    <row r="474" spans="1:32" hidden="1">
      <c r="A474" s="1">
        <v>8632950</v>
      </c>
      <c r="B474" s="1" t="s">
        <v>653</v>
      </c>
      <c r="C474" t="s">
        <v>935</v>
      </c>
      <c r="E474" s="2">
        <v>2802001400010</v>
      </c>
      <c r="F474" s="1" t="s">
        <v>936</v>
      </c>
      <c r="G474" s="1" t="s">
        <v>53</v>
      </c>
      <c r="H474" s="1" t="s">
        <v>388</v>
      </c>
      <c r="I474" s="1" t="s">
        <v>389</v>
      </c>
      <c r="J474" s="1" t="s">
        <v>46</v>
      </c>
      <c r="K474" t="s">
        <v>937</v>
      </c>
      <c r="M474" s="1" t="s">
        <v>58</v>
      </c>
      <c r="N474" s="1">
        <v>0</v>
      </c>
      <c r="O474" s="1" t="s">
        <v>105</v>
      </c>
      <c r="P474" s="186">
        <v>44713.387071759258</v>
      </c>
      <c r="R474" s="1">
        <v>3</v>
      </c>
      <c r="T474" s="1" t="s">
        <v>646</v>
      </c>
      <c r="U474" s="186">
        <v>44714.387071759258</v>
      </c>
      <c r="V474" s="1" t="s">
        <v>41</v>
      </c>
      <c r="W474" s="1" t="s">
        <v>49</v>
      </c>
      <c r="X474" s="13"/>
      <c r="Y474" s="2">
        <f t="shared" ca="1" si="42"/>
        <v>196</v>
      </c>
      <c r="Z474" s="14">
        <v>1</v>
      </c>
      <c r="AA474" s="1" t="str">
        <f t="shared" ca="1" si="43"/>
        <v>VENCIDO</v>
      </c>
      <c r="AB474" s="1" t="str">
        <f t="shared" si="44"/>
        <v>C-14</v>
      </c>
      <c r="AC474" s="2" t="str">
        <f t="shared" si="47"/>
        <v xml:space="preserve"> CLEITON </v>
      </c>
      <c r="AD474" s="2">
        <f t="shared" si="45"/>
        <v>5</v>
      </c>
      <c r="AE474" s="2">
        <f t="shared" ca="1" si="46"/>
        <v>-272.2891998842606</v>
      </c>
      <c r="AF474" s="15"/>
    </row>
    <row r="475" spans="1:32">
      <c r="A475" s="1">
        <v>8632849</v>
      </c>
      <c r="B475" s="1" t="s">
        <v>653</v>
      </c>
      <c r="C475" t="s">
        <v>935</v>
      </c>
      <c r="E475" s="2">
        <v>2683001400010</v>
      </c>
      <c r="F475" s="1" t="s">
        <v>936</v>
      </c>
      <c r="G475" s="1" t="s">
        <v>53</v>
      </c>
      <c r="H475" s="1" t="s">
        <v>276</v>
      </c>
      <c r="I475" s="1" t="s">
        <v>277</v>
      </c>
      <c r="J475" s="1" t="s">
        <v>90</v>
      </c>
      <c r="K475" t="s">
        <v>937</v>
      </c>
      <c r="M475" s="1" t="s">
        <v>58</v>
      </c>
      <c r="N475" s="1">
        <v>0</v>
      </c>
      <c r="O475" s="1" t="s">
        <v>105</v>
      </c>
      <c r="P475" s="186">
        <v>44713.386886574073</v>
      </c>
      <c r="R475" s="1">
        <v>3</v>
      </c>
      <c r="T475" s="1" t="s">
        <v>646</v>
      </c>
      <c r="U475" s="186">
        <v>44714.386886574073</v>
      </c>
      <c r="V475" s="1" t="s">
        <v>41</v>
      </c>
      <c r="W475" s="1" t="s">
        <v>49</v>
      </c>
      <c r="X475" s="13"/>
      <c r="Y475" s="2">
        <f t="shared" ca="1" si="42"/>
        <v>196</v>
      </c>
      <c r="Z475" s="14">
        <v>1</v>
      </c>
      <c r="AA475" s="1" t="str">
        <f t="shared" ca="1" si="43"/>
        <v>VENCIDO</v>
      </c>
      <c r="AB475" s="1" t="str">
        <f t="shared" si="44"/>
        <v>C-14</v>
      </c>
      <c r="AC475" s="2" t="str">
        <f t="shared" si="47"/>
        <v xml:space="preserve"> RINALDO </v>
      </c>
      <c r="AD475" s="2">
        <f t="shared" si="45"/>
        <v>5</v>
      </c>
      <c r="AE475" s="2">
        <f t="shared" ca="1" si="46"/>
        <v>-272.28938506944542</v>
      </c>
      <c r="AF475" s="15"/>
    </row>
    <row r="476" spans="1:32" hidden="1">
      <c r="A476" s="1">
        <v>8632846</v>
      </c>
      <c r="B476" s="1" t="s">
        <v>653</v>
      </c>
      <c r="C476" t="s">
        <v>935</v>
      </c>
      <c r="E476" s="2">
        <v>2678001400010</v>
      </c>
      <c r="F476" s="1" t="s">
        <v>936</v>
      </c>
      <c r="G476" s="1" t="s">
        <v>53</v>
      </c>
      <c r="H476" s="1" t="s">
        <v>992</v>
      </c>
      <c r="I476" s="1" t="s">
        <v>993</v>
      </c>
      <c r="J476" s="1" t="s">
        <v>33</v>
      </c>
      <c r="K476" t="s">
        <v>937</v>
      </c>
      <c r="M476" s="1" t="s">
        <v>58</v>
      </c>
      <c r="N476" s="1">
        <v>0</v>
      </c>
      <c r="O476" s="1" t="s">
        <v>105</v>
      </c>
      <c r="P476" s="186">
        <v>44713.386886574073</v>
      </c>
      <c r="R476" s="1">
        <v>3</v>
      </c>
      <c r="T476" s="1" t="s">
        <v>646</v>
      </c>
      <c r="U476" s="186">
        <v>44714.386886574073</v>
      </c>
      <c r="V476" s="1" t="s">
        <v>41</v>
      </c>
      <c r="W476" s="1" t="s">
        <v>42</v>
      </c>
      <c r="X476" s="13"/>
      <c r="Y476" s="2">
        <f t="shared" ca="1" si="42"/>
        <v>196</v>
      </c>
      <c r="Z476" s="14">
        <v>1</v>
      </c>
      <c r="AA476" s="1" t="str">
        <f t="shared" ca="1" si="43"/>
        <v>VENCIDO</v>
      </c>
      <c r="AB476" s="1" t="str">
        <f t="shared" si="44"/>
        <v>C-14</v>
      </c>
      <c r="AC476" s="2" t="str">
        <f t="shared" si="47"/>
        <v xml:space="preserve"> ROSEMERE </v>
      </c>
      <c r="AD476" s="2">
        <f t="shared" si="45"/>
        <v>5</v>
      </c>
      <c r="AE476" s="2">
        <f t="shared" ca="1" si="46"/>
        <v>-272.28938506944542</v>
      </c>
      <c r="AF476" s="15"/>
    </row>
    <row r="477" spans="1:32" hidden="1">
      <c r="A477" s="1">
        <v>8632805</v>
      </c>
      <c r="B477" s="1" t="s">
        <v>653</v>
      </c>
      <c r="C477" t="s">
        <v>935</v>
      </c>
      <c r="E477" s="2">
        <v>2625001400010</v>
      </c>
      <c r="F477" s="1" t="s">
        <v>936</v>
      </c>
      <c r="G477" s="1" t="s">
        <v>53</v>
      </c>
      <c r="H477" s="1" t="s">
        <v>317</v>
      </c>
      <c r="I477" s="1" t="s">
        <v>318</v>
      </c>
      <c r="J477" s="1" t="s">
        <v>164</v>
      </c>
      <c r="K477" t="s">
        <v>937</v>
      </c>
      <c r="M477" s="1" t="s">
        <v>58</v>
      </c>
      <c r="N477" s="1">
        <v>0</v>
      </c>
      <c r="O477" s="1" t="s">
        <v>105</v>
      </c>
      <c r="P477" s="186">
        <v>44713.386840277781</v>
      </c>
      <c r="R477" s="1">
        <v>3</v>
      </c>
      <c r="T477" s="1" t="s">
        <v>646</v>
      </c>
      <c r="U477" s="186">
        <v>44714.386840277781</v>
      </c>
      <c r="V477" s="1" t="s">
        <v>41</v>
      </c>
      <c r="W477" s="1" t="s">
        <v>49</v>
      </c>
      <c r="X477" s="13"/>
      <c r="Y477" s="2">
        <f t="shared" ca="1" si="42"/>
        <v>196</v>
      </c>
      <c r="Z477" s="14">
        <v>1</v>
      </c>
      <c r="AA477" s="1" t="str">
        <f t="shared" ca="1" si="43"/>
        <v>VENCIDO</v>
      </c>
      <c r="AB477" s="1" t="str">
        <f t="shared" si="44"/>
        <v>C-14</v>
      </c>
      <c r="AC477" s="2" t="str">
        <f t="shared" si="47"/>
        <v xml:space="preserve"> ROSEMERE </v>
      </c>
      <c r="AD477" s="2">
        <f t="shared" si="45"/>
        <v>5</v>
      </c>
      <c r="AE477" s="2">
        <f t="shared" ca="1" si="46"/>
        <v>-272.28943136573798</v>
      </c>
      <c r="AF477" s="15"/>
    </row>
    <row r="478" spans="1:32" hidden="1">
      <c r="A478" s="1">
        <v>8632750</v>
      </c>
      <c r="B478" s="1" t="s">
        <v>653</v>
      </c>
      <c r="C478" t="s">
        <v>935</v>
      </c>
      <c r="E478" s="2">
        <v>2564001400010</v>
      </c>
      <c r="F478" s="1" t="s">
        <v>936</v>
      </c>
      <c r="G478" s="1" t="s">
        <v>53</v>
      </c>
      <c r="H478" s="1" t="s">
        <v>255</v>
      </c>
      <c r="I478" s="1" t="s">
        <v>256</v>
      </c>
      <c r="J478" s="1" t="s">
        <v>164</v>
      </c>
      <c r="K478" t="s">
        <v>937</v>
      </c>
      <c r="M478" s="1" t="s">
        <v>58</v>
      </c>
      <c r="N478" s="1">
        <v>0</v>
      </c>
      <c r="O478" s="1" t="s">
        <v>105</v>
      </c>
      <c r="P478" s="186">
        <v>44713.386759259258</v>
      </c>
      <c r="R478" s="1">
        <v>3</v>
      </c>
      <c r="T478" s="1" t="s">
        <v>646</v>
      </c>
      <c r="U478" s="186">
        <v>44714.386759259258</v>
      </c>
      <c r="V478" s="1" t="s">
        <v>41</v>
      </c>
      <c r="W478" s="1" t="s">
        <v>49</v>
      </c>
      <c r="X478" s="13"/>
      <c r="Y478" s="2">
        <f t="shared" ca="1" si="42"/>
        <v>196</v>
      </c>
      <c r="Z478" s="14">
        <v>1</v>
      </c>
      <c r="AA478" s="1" t="str">
        <f t="shared" ca="1" si="43"/>
        <v>VENCIDO</v>
      </c>
      <c r="AB478" s="1" t="str">
        <f t="shared" si="44"/>
        <v>C-14</v>
      </c>
      <c r="AC478" s="2" t="str">
        <f t="shared" si="47"/>
        <v xml:space="preserve"> ROSEMERE </v>
      </c>
      <c r="AD478" s="2">
        <f t="shared" si="45"/>
        <v>5</v>
      </c>
      <c r="AE478" s="2">
        <f t="shared" ca="1" si="46"/>
        <v>-272.28951238426089</v>
      </c>
      <c r="AF478" s="15"/>
    </row>
    <row r="479" spans="1:32" hidden="1">
      <c r="A479" s="1">
        <v>8632637</v>
      </c>
      <c r="B479" s="1" t="s">
        <v>653</v>
      </c>
      <c r="C479" t="s">
        <v>935</v>
      </c>
      <c r="E479" s="2">
        <v>2413001400010</v>
      </c>
      <c r="F479" s="1" t="s">
        <v>936</v>
      </c>
      <c r="G479" s="1" t="s">
        <v>53</v>
      </c>
      <c r="H479" s="1" t="s">
        <v>505</v>
      </c>
      <c r="I479" s="1" t="s">
        <v>506</v>
      </c>
      <c r="J479" s="1" t="s">
        <v>141</v>
      </c>
      <c r="K479" t="s">
        <v>937</v>
      </c>
      <c r="M479" s="1" t="s">
        <v>58</v>
      </c>
      <c r="N479" s="1">
        <v>0</v>
      </c>
      <c r="O479" s="1" t="s">
        <v>105</v>
      </c>
      <c r="P479" s="186">
        <v>44713.386631944442</v>
      </c>
      <c r="R479" s="1">
        <v>3</v>
      </c>
      <c r="T479" s="1" t="s">
        <v>646</v>
      </c>
      <c r="U479" s="186">
        <v>44714.386631944442</v>
      </c>
      <c r="V479" s="1" t="s">
        <v>41</v>
      </c>
      <c r="W479" s="1" t="s">
        <v>49</v>
      </c>
      <c r="X479" s="13"/>
      <c r="Y479" s="2">
        <f t="shared" ca="1" si="42"/>
        <v>196</v>
      </c>
      <c r="Z479" s="14">
        <v>1</v>
      </c>
      <c r="AA479" s="1" t="str">
        <f t="shared" ca="1" si="43"/>
        <v>VENCIDO</v>
      </c>
      <c r="AB479" s="1" t="str">
        <f t="shared" si="44"/>
        <v>C-14</v>
      </c>
      <c r="AC479" s="2" t="str">
        <f t="shared" si="47"/>
        <v xml:space="preserve"> CRISTINA </v>
      </c>
      <c r="AD479" s="2">
        <f t="shared" si="45"/>
        <v>5</v>
      </c>
      <c r="AE479" s="2">
        <f t="shared" ca="1" si="46"/>
        <v>-272.28963969907636</v>
      </c>
      <c r="AF479" s="15"/>
    </row>
    <row r="480" spans="1:32">
      <c r="A480" s="1">
        <v>8632603</v>
      </c>
      <c r="B480" s="1" t="s">
        <v>653</v>
      </c>
      <c r="C480" t="s">
        <v>935</v>
      </c>
      <c r="E480" s="2">
        <v>2371001400010</v>
      </c>
      <c r="F480" s="1" t="s">
        <v>936</v>
      </c>
      <c r="G480" s="1" t="s">
        <v>53</v>
      </c>
      <c r="H480" s="1" t="s">
        <v>1000</v>
      </c>
      <c r="I480" s="1" t="s">
        <v>1001</v>
      </c>
      <c r="J480" s="1" t="s">
        <v>90</v>
      </c>
      <c r="K480" t="s">
        <v>937</v>
      </c>
      <c r="M480" s="1" t="s">
        <v>58</v>
      </c>
      <c r="N480" s="1">
        <v>0</v>
      </c>
      <c r="O480" s="1" t="s">
        <v>105</v>
      </c>
      <c r="P480" s="186">
        <v>44713.386597222219</v>
      </c>
      <c r="R480" s="1">
        <v>3</v>
      </c>
      <c r="T480" s="1" t="s">
        <v>646</v>
      </c>
      <c r="U480" s="186">
        <v>44714.386597222219</v>
      </c>
      <c r="V480" s="1" t="s">
        <v>41</v>
      </c>
      <c r="W480" s="1" t="s">
        <v>49</v>
      </c>
      <c r="X480" s="13"/>
      <c r="Y480" s="2">
        <f t="shared" ca="1" si="42"/>
        <v>196</v>
      </c>
      <c r="Z480" s="14">
        <v>1</v>
      </c>
      <c r="AA480" s="1" t="str">
        <f t="shared" ca="1" si="43"/>
        <v>VENCIDO</v>
      </c>
      <c r="AB480" s="1" t="str">
        <f t="shared" si="44"/>
        <v>C-14</v>
      </c>
      <c r="AC480" s="2" t="str">
        <f t="shared" si="47"/>
        <v xml:space="preserve"> RINALDO </v>
      </c>
      <c r="AD480" s="2">
        <f t="shared" si="45"/>
        <v>5</v>
      </c>
      <c r="AE480" s="2">
        <f t="shared" ca="1" si="46"/>
        <v>-272.28967442129942</v>
      </c>
      <c r="AF480" s="15"/>
    </row>
    <row r="481" spans="1:32" hidden="1">
      <c r="A481" s="1">
        <v>8632602</v>
      </c>
      <c r="B481" s="1" t="s">
        <v>653</v>
      </c>
      <c r="C481" t="s">
        <v>935</v>
      </c>
      <c r="E481" s="2">
        <v>2369001400010</v>
      </c>
      <c r="F481" s="1" t="s">
        <v>936</v>
      </c>
      <c r="G481" s="1" t="s">
        <v>53</v>
      </c>
      <c r="H481" s="1" t="s">
        <v>701</v>
      </c>
      <c r="I481" s="1" t="s">
        <v>702</v>
      </c>
      <c r="J481" s="1" t="s">
        <v>141</v>
      </c>
      <c r="K481" t="s">
        <v>937</v>
      </c>
      <c r="M481" s="1" t="s">
        <v>58</v>
      </c>
      <c r="N481" s="1">
        <v>0</v>
      </c>
      <c r="O481" s="1" t="s">
        <v>105</v>
      </c>
      <c r="P481" s="186">
        <v>44713.38658564815</v>
      </c>
      <c r="R481" s="1">
        <v>3</v>
      </c>
      <c r="T481" s="1" t="s">
        <v>646</v>
      </c>
      <c r="U481" s="186">
        <v>44714.38658564815</v>
      </c>
      <c r="V481" s="1" t="s">
        <v>41</v>
      </c>
      <c r="W481" s="1" t="s">
        <v>49</v>
      </c>
      <c r="X481" s="13"/>
      <c r="Y481" s="2">
        <f t="shared" ca="1" si="42"/>
        <v>196</v>
      </c>
      <c r="Z481" s="14">
        <v>1</v>
      </c>
      <c r="AA481" s="1" t="str">
        <f t="shared" ca="1" si="43"/>
        <v>VENCIDO</v>
      </c>
      <c r="AB481" s="1" t="str">
        <f t="shared" si="44"/>
        <v>C-14</v>
      </c>
      <c r="AC481" s="2" t="str">
        <f t="shared" si="47"/>
        <v xml:space="preserve"> CRISTINA </v>
      </c>
      <c r="AD481" s="2">
        <f t="shared" si="45"/>
        <v>5</v>
      </c>
      <c r="AE481" s="2">
        <f t="shared" ca="1" si="46"/>
        <v>-272.28968599536893</v>
      </c>
      <c r="AF481" s="15"/>
    </row>
    <row r="482" spans="1:32" hidden="1">
      <c r="A482" s="1">
        <v>8632599</v>
      </c>
      <c r="B482" s="1" t="s">
        <v>653</v>
      </c>
      <c r="C482" t="s">
        <v>935</v>
      </c>
      <c r="E482" s="2">
        <v>2365001400010</v>
      </c>
      <c r="F482" s="1" t="s">
        <v>936</v>
      </c>
      <c r="G482" s="1" t="s">
        <v>53</v>
      </c>
      <c r="H482" s="1" t="s">
        <v>159</v>
      </c>
      <c r="I482" s="1" t="s">
        <v>160</v>
      </c>
      <c r="J482" s="1" t="s">
        <v>46</v>
      </c>
      <c r="K482" t="s">
        <v>937</v>
      </c>
      <c r="M482" s="1" t="s">
        <v>58</v>
      </c>
      <c r="N482" s="1">
        <v>0</v>
      </c>
      <c r="O482" s="1" t="s">
        <v>105</v>
      </c>
      <c r="P482" s="186">
        <v>44713.38658564815</v>
      </c>
      <c r="R482" s="1">
        <v>3</v>
      </c>
      <c r="T482" s="1" t="s">
        <v>646</v>
      </c>
      <c r="U482" s="186">
        <v>44714.38658564815</v>
      </c>
      <c r="V482" s="1" t="s">
        <v>41</v>
      </c>
      <c r="W482" s="1" t="s">
        <v>49</v>
      </c>
      <c r="X482" s="13"/>
      <c r="Y482" s="2">
        <f t="shared" ca="1" si="42"/>
        <v>196</v>
      </c>
      <c r="Z482" s="14">
        <v>1</v>
      </c>
      <c r="AA482" s="1" t="str">
        <f t="shared" ca="1" si="43"/>
        <v>VENCIDO</v>
      </c>
      <c r="AB482" s="1" t="str">
        <f t="shared" si="44"/>
        <v>C-14</v>
      </c>
      <c r="AC482" s="2" t="str">
        <f t="shared" si="47"/>
        <v xml:space="preserve"> CLEITON </v>
      </c>
      <c r="AD482" s="2">
        <f t="shared" si="45"/>
        <v>5</v>
      </c>
      <c r="AE482" s="2">
        <f t="shared" ca="1" si="46"/>
        <v>-272.28968599536893</v>
      </c>
      <c r="AF482" s="15"/>
    </row>
    <row r="483" spans="1:32" hidden="1">
      <c r="A483" s="1">
        <v>8632568</v>
      </c>
      <c r="B483" s="1" t="s">
        <v>653</v>
      </c>
      <c r="C483" t="s">
        <v>935</v>
      </c>
      <c r="E483" s="2">
        <v>2326001400010</v>
      </c>
      <c r="F483" s="1" t="s">
        <v>936</v>
      </c>
      <c r="G483" s="1" t="s">
        <v>53</v>
      </c>
      <c r="H483" s="1" t="s">
        <v>191</v>
      </c>
      <c r="I483" s="1" t="s">
        <v>192</v>
      </c>
      <c r="J483" s="1" t="s">
        <v>46</v>
      </c>
      <c r="K483" t="s">
        <v>937</v>
      </c>
      <c r="M483" s="1" t="s">
        <v>58</v>
      </c>
      <c r="N483" s="1">
        <v>0</v>
      </c>
      <c r="O483" s="1" t="s">
        <v>105</v>
      </c>
      <c r="P483" s="186">
        <v>44713.386550925927</v>
      </c>
      <c r="R483" s="1">
        <v>3</v>
      </c>
      <c r="T483" s="1" t="s">
        <v>646</v>
      </c>
      <c r="U483" s="186">
        <v>44714.386550925927</v>
      </c>
      <c r="V483" s="1" t="s">
        <v>41</v>
      </c>
      <c r="W483" s="1" t="s">
        <v>49</v>
      </c>
      <c r="X483" s="13"/>
      <c r="Y483" s="2">
        <f t="shared" ca="1" si="42"/>
        <v>196</v>
      </c>
      <c r="Z483" s="14">
        <v>1</v>
      </c>
      <c r="AA483" s="1" t="str">
        <f t="shared" ca="1" si="43"/>
        <v>VENCIDO</v>
      </c>
      <c r="AB483" s="1" t="str">
        <f t="shared" si="44"/>
        <v>C-14</v>
      </c>
      <c r="AC483" s="2" t="str">
        <f t="shared" si="47"/>
        <v xml:space="preserve"> CLEITON </v>
      </c>
      <c r="AD483" s="2">
        <f t="shared" si="45"/>
        <v>5</v>
      </c>
      <c r="AE483" s="2">
        <f t="shared" ca="1" si="46"/>
        <v>-272.28972071759199</v>
      </c>
      <c r="AF483" s="15"/>
    </row>
    <row r="484" spans="1:32" hidden="1">
      <c r="A484" s="1">
        <v>8632476</v>
      </c>
      <c r="B484" s="1" t="s">
        <v>653</v>
      </c>
      <c r="C484" t="s">
        <v>935</v>
      </c>
      <c r="E484" s="2">
        <v>2219001400010</v>
      </c>
      <c r="F484" s="1" t="s">
        <v>936</v>
      </c>
      <c r="G484" s="1" t="s">
        <v>53</v>
      </c>
      <c r="H484" s="1" t="s">
        <v>893</v>
      </c>
      <c r="I484" s="1" t="s">
        <v>894</v>
      </c>
      <c r="J484" s="1" t="s">
        <v>141</v>
      </c>
      <c r="K484" t="s">
        <v>937</v>
      </c>
      <c r="M484" s="1" t="s">
        <v>58</v>
      </c>
      <c r="N484" s="1">
        <v>0</v>
      </c>
      <c r="O484" s="1" t="s">
        <v>105</v>
      </c>
      <c r="P484" s="186">
        <v>44713.386423611111</v>
      </c>
      <c r="R484" s="1">
        <v>3</v>
      </c>
      <c r="T484" s="1" t="s">
        <v>646</v>
      </c>
      <c r="U484" s="186">
        <v>44714.386423611111</v>
      </c>
      <c r="V484" s="1" t="s">
        <v>41</v>
      </c>
      <c r="W484" s="1" t="s">
        <v>49</v>
      </c>
      <c r="X484" s="13"/>
      <c r="Y484" s="2">
        <f t="shared" ca="1" si="42"/>
        <v>196</v>
      </c>
      <c r="Z484" s="14">
        <v>1</v>
      </c>
      <c r="AA484" s="1" t="str">
        <f t="shared" ca="1" si="43"/>
        <v>VENCIDO</v>
      </c>
      <c r="AB484" s="1" t="str">
        <f t="shared" si="44"/>
        <v>C-14</v>
      </c>
      <c r="AC484" s="2" t="str">
        <f t="shared" si="47"/>
        <v xml:space="preserve"> CRISTINA </v>
      </c>
      <c r="AD484" s="2">
        <f t="shared" si="45"/>
        <v>5</v>
      </c>
      <c r="AE484" s="2">
        <f t="shared" ca="1" si="46"/>
        <v>-272.28984803240746</v>
      </c>
      <c r="AF484" s="15"/>
    </row>
    <row r="485" spans="1:32" hidden="1">
      <c r="A485" s="1">
        <v>8632402</v>
      </c>
      <c r="B485" s="1" t="s">
        <v>653</v>
      </c>
      <c r="C485" t="s">
        <v>935</v>
      </c>
      <c r="E485" s="2">
        <v>2138001400010</v>
      </c>
      <c r="F485" s="1" t="s">
        <v>936</v>
      </c>
      <c r="G485" s="1" t="s">
        <v>53</v>
      </c>
      <c r="H485" s="1" t="s">
        <v>379</v>
      </c>
      <c r="I485" s="1" t="s">
        <v>380</v>
      </c>
      <c r="J485" s="1" t="s">
        <v>46</v>
      </c>
      <c r="K485" t="s">
        <v>937</v>
      </c>
      <c r="M485" s="1" t="s">
        <v>58</v>
      </c>
      <c r="N485" s="1">
        <v>0</v>
      </c>
      <c r="O485" s="1" t="s">
        <v>105</v>
      </c>
      <c r="P485" s="186">
        <v>44713.386331018519</v>
      </c>
      <c r="R485" s="1">
        <v>3</v>
      </c>
      <c r="T485" s="1" t="s">
        <v>646</v>
      </c>
      <c r="U485" s="186">
        <v>44714.386331018519</v>
      </c>
      <c r="V485" s="1" t="s">
        <v>41</v>
      </c>
      <c r="W485" s="1" t="s">
        <v>49</v>
      </c>
      <c r="X485" s="13"/>
      <c r="Y485" s="2">
        <f t="shared" ca="1" si="42"/>
        <v>196</v>
      </c>
      <c r="Z485" s="14">
        <v>1</v>
      </c>
      <c r="AA485" s="1" t="str">
        <f t="shared" ca="1" si="43"/>
        <v>VENCIDO</v>
      </c>
      <c r="AB485" s="1" t="str">
        <f t="shared" si="44"/>
        <v>C-14</v>
      </c>
      <c r="AC485" s="2" t="str">
        <f t="shared" si="47"/>
        <v xml:space="preserve"> CLEITON </v>
      </c>
      <c r="AD485" s="2">
        <f t="shared" si="45"/>
        <v>5</v>
      </c>
      <c r="AE485" s="2">
        <f t="shared" ca="1" si="46"/>
        <v>-272.28994062499987</v>
      </c>
      <c r="AF485" s="15"/>
    </row>
    <row r="486" spans="1:32" hidden="1">
      <c r="A486" s="1">
        <v>8632379</v>
      </c>
      <c r="B486" s="1" t="s">
        <v>653</v>
      </c>
      <c r="C486" t="s">
        <v>935</v>
      </c>
      <c r="E486" s="2">
        <v>2107001400010</v>
      </c>
      <c r="F486" s="1" t="s">
        <v>936</v>
      </c>
      <c r="G486" s="1" t="s">
        <v>53</v>
      </c>
      <c r="H486" s="1" t="s">
        <v>262</v>
      </c>
      <c r="I486" s="1" t="s">
        <v>263</v>
      </c>
      <c r="J486" s="1" t="s">
        <v>164</v>
      </c>
      <c r="K486" t="s">
        <v>937</v>
      </c>
      <c r="M486" s="1" t="s">
        <v>58</v>
      </c>
      <c r="N486" s="1">
        <v>0</v>
      </c>
      <c r="O486" s="1" t="s">
        <v>105</v>
      </c>
      <c r="P486" s="186">
        <v>44713.386307870373</v>
      </c>
      <c r="R486" s="1">
        <v>3</v>
      </c>
      <c r="T486" s="1" t="s">
        <v>646</v>
      </c>
      <c r="U486" s="186">
        <v>44714.386307870373</v>
      </c>
      <c r="V486" s="1" t="s">
        <v>41</v>
      </c>
      <c r="W486" s="1" t="s">
        <v>49</v>
      </c>
      <c r="X486" s="13"/>
      <c r="Y486" s="2">
        <f t="shared" ca="1" si="42"/>
        <v>196</v>
      </c>
      <c r="Z486" s="14">
        <v>1</v>
      </c>
      <c r="AA486" s="1" t="str">
        <f t="shared" ca="1" si="43"/>
        <v>VENCIDO</v>
      </c>
      <c r="AB486" s="1" t="str">
        <f t="shared" si="44"/>
        <v>C-14</v>
      </c>
      <c r="AC486" s="2" t="str">
        <f t="shared" si="47"/>
        <v xml:space="preserve"> ROSEMERE </v>
      </c>
      <c r="AD486" s="2">
        <f t="shared" si="45"/>
        <v>5</v>
      </c>
      <c r="AE486" s="2">
        <f t="shared" ca="1" si="46"/>
        <v>-272.28996377314616</v>
      </c>
      <c r="AF486" s="15"/>
    </row>
    <row r="487" spans="1:32">
      <c r="A487" s="1">
        <v>8632349</v>
      </c>
      <c r="B487" s="1" t="s">
        <v>653</v>
      </c>
      <c r="C487" t="s">
        <v>935</v>
      </c>
      <c r="E487" s="2">
        <v>2069001400010</v>
      </c>
      <c r="F487" s="1" t="s">
        <v>936</v>
      </c>
      <c r="G487" s="1" t="s">
        <v>53</v>
      </c>
      <c r="H487" s="1" t="s">
        <v>557</v>
      </c>
      <c r="I487" s="1" t="s">
        <v>558</v>
      </c>
      <c r="J487" s="1" t="s">
        <v>90</v>
      </c>
      <c r="K487" t="s">
        <v>937</v>
      </c>
      <c r="M487" s="1" t="s">
        <v>58</v>
      </c>
      <c r="N487" s="1">
        <v>0</v>
      </c>
      <c r="O487" s="1" t="s">
        <v>105</v>
      </c>
      <c r="P487" s="186">
        <v>44713.386273148149</v>
      </c>
      <c r="R487" s="1">
        <v>3</v>
      </c>
      <c r="T487" s="1" t="s">
        <v>646</v>
      </c>
      <c r="U487" s="186">
        <v>44714.386273148149</v>
      </c>
      <c r="V487" s="1" t="s">
        <v>41</v>
      </c>
      <c r="W487" s="1" t="s">
        <v>49</v>
      </c>
      <c r="X487" s="13"/>
      <c r="Y487" s="2">
        <f t="shared" ca="1" si="42"/>
        <v>196</v>
      </c>
      <c r="Z487" s="14">
        <v>1</v>
      </c>
      <c r="AA487" s="1" t="str">
        <f t="shared" ca="1" si="43"/>
        <v>VENCIDO</v>
      </c>
      <c r="AB487" s="1" t="str">
        <f t="shared" si="44"/>
        <v>C-14</v>
      </c>
      <c r="AC487" s="2" t="str">
        <f t="shared" si="47"/>
        <v xml:space="preserve"> RINALDO </v>
      </c>
      <c r="AD487" s="2">
        <f t="shared" si="45"/>
        <v>5</v>
      </c>
      <c r="AE487" s="2">
        <f t="shared" ca="1" si="46"/>
        <v>-272.28999849536922</v>
      </c>
      <c r="AF487" s="15"/>
    </row>
    <row r="488" spans="1:32" hidden="1">
      <c r="A488" s="1">
        <v>8632235</v>
      </c>
      <c r="B488" s="1" t="s">
        <v>653</v>
      </c>
      <c r="C488" t="s">
        <v>935</v>
      </c>
      <c r="E488" s="2">
        <v>1838001400010</v>
      </c>
      <c r="F488" s="1" t="s">
        <v>936</v>
      </c>
      <c r="G488" s="1" t="s">
        <v>53</v>
      </c>
      <c r="H488" s="1" t="s">
        <v>357</v>
      </c>
      <c r="I488" s="1" t="s">
        <v>358</v>
      </c>
      <c r="J488" s="1" t="s">
        <v>46</v>
      </c>
      <c r="K488" t="s">
        <v>937</v>
      </c>
      <c r="M488" s="1" t="s">
        <v>58</v>
      </c>
      <c r="N488" s="1">
        <v>0</v>
      </c>
      <c r="O488" s="1" t="s">
        <v>105</v>
      </c>
      <c r="P488" s="186">
        <v>44713.386134259257</v>
      </c>
      <c r="R488" s="1">
        <v>3</v>
      </c>
      <c r="T488" s="1" t="s">
        <v>646</v>
      </c>
      <c r="U488" s="186">
        <v>44714.386134259257</v>
      </c>
      <c r="V488" s="1" t="s">
        <v>41</v>
      </c>
      <c r="W488" s="1" t="s">
        <v>49</v>
      </c>
      <c r="X488" s="13"/>
      <c r="Y488" s="2">
        <f t="shared" ca="1" si="42"/>
        <v>196</v>
      </c>
      <c r="Z488" s="14">
        <v>1</v>
      </c>
      <c r="AA488" s="1" t="str">
        <f t="shared" ca="1" si="43"/>
        <v>VENCIDO</v>
      </c>
      <c r="AB488" s="1" t="str">
        <f t="shared" si="44"/>
        <v>C-14</v>
      </c>
      <c r="AC488" s="2" t="str">
        <f t="shared" si="47"/>
        <v xml:space="preserve"> CLEITON </v>
      </c>
      <c r="AD488" s="2">
        <f t="shared" si="45"/>
        <v>5</v>
      </c>
      <c r="AE488" s="2">
        <f t="shared" ca="1" si="46"/>
        <v>-272.29013738426147</v>
      </c>
      <c r="AF488" s="15"/>
    </row>
    <row r="489" spans="1:32" hidden="1">
      <c r="A489" s="1">
        <v>8632233</v>
      </c>
      <c r="B489" s="1" t="s">
        <v>653</v>
      </c>
      <c r="C489" t="s">
        <v>935</v>
      </c>
      <c r="E489" s="2">
        <v>1836001400010</v>
      </c>
      <c r="F489" s="1" t="s">
        <v>936</v>
      </c>
      <c r="G489" s="1" t="s">
        <v>53</v>
      </c>
      <c r="H489" s="1" t="s">
        <v>455</v>
      </c>
      <c r="I489" s="1" t="s">
        <v>456</v>
      </c>
      <c r="J489" s="1" t="s">
        <v>46</v>
      </c>
      <c r="K489" t="s">
        <v>937</v>
      </c>
      <c r="M489" s="1" t="s">
        <v>58</v>
      </c>
      <c r="N489" s="1">
        <v>0</v>
      </c>
      <c r="O489" s="1" t="s">
        <v>105</v>
      </c>
      <c r="P489" s="186">
        <v>44713.386134259257</v>
      </c>
      <c r="R489" s="1">
        <v>3</v>
      </c>
      <c r="T489" s="1" t="s">
        <v>646</v>
      </c>
      <c r="U489" s="186">
        <v>44714.386134259257</v>
      </c>
      <c r="V489" s="1" t="s">
        <v>41</v>
      </c>
      <c r="W489" s="1" t="s">
        <v>49</v>
      </c>
      <c r="X489" s="13"/>
      <c r="Y489" s="2">
        <f t="shared" ca="1" si="42"/>
        <v>196</v>
      </c>
      <c r="Z489" s="14">
        <v>1</v>
      </c>
      <c r="AA489" s="1" t="str">
        <f t="shared" ca="1" si="43"/>
        <v>VENCIDO</v>
      </c>
      <c r="AB489" s="1" t="str">
        <f t="shared" si="44"/>
        <v>C-14</v>
      </c>
      <c r="AC489" s="2" t="str">
        <f t="shared" si="47"/>
        <v xml:space="preserve"> CLEITON </v>
      </c>
      <c r="AD489" s="2">
        <f t="shared" si="45"/>
        <v>5</v>
      </c>
      <c r="AE489" s="2">
        <f t="shared" ca="1" si="46"/>
        <v>-272.29013738426147</v>
      </c>
      <c r="AF489" s="15"/>
    </row>
    <row r="490" spans="1:32" hidden="1">
      <c r="A490" s="1">
        <v>8632232</v>
      </c>
      <c r="B490" s="1" t="s">
        <v>653</v>
      </c>
      <c r="C490" t="s">
        <v>935</v>
      </c>
      <c r="E490" s="2">
        <v>1835001400010</v>
      </c>
      <c r="F490" s="1" t="s">
        <v>936</v>
      </c>
      <c r="G490" s="1" t="s">
        <v>53</v>
      </c>
      <c r="H490" s="1" t="s">
        <v>305</v>
      </c>
      <c r="I490" s="1" t="s">
        <v>306</v>
      </c>
      <c r="J490" s="1" t="s">
        <v>46</v>
      </c>
      <c r="K490" t="s">
        <v>937</v>
      </c>
      <c r="M490" s="1" t="s">
        <v>58</v>
      </c>
      <c r="N490" s="1">
        <v>0</v>
      </c>
      <c r="O490" s="1" t="s">
        <v>105</v>
      </c>
      <c r="P490" s="186">
        <v>44713.386134259257</v>
      </c>
      <c r="R490" s="1">
        <v>3</v>
      </c>
      <c r="T490" s="1" t="s">
        <v>646</v>
      </c>
      <c r="U490" s="186">
        <v>44714.386134259257</v>
      </c>
      <c r="V490" s="1" t="s">
        <v>41</v>
      </c>
      <c r="W490" s="1" t="s">
        <v>49</v>
      </c>
      <c r="X490" s="13"/>
      <c r="Y490" s="2">
        <f t="shared" ca="1" si="42"/>
        <v>196</v>
      </c>
      <c r="Z490" s="14">
        <v>1</v>
      </c>
      <c r="AA490" s="1" t="str">
        <f t="shared" ca="1" si="43"/>
        <v>VENCIDO</v>
      </c>
      <c r="AB490" s="1" t="str">
        <f t="shared" si="44"/>
        <v>C-14</v>
      </c>
      <c r="AC490" s="2" t="str">
        <f t="shared" si="47"/>
        <v xml:space="preserve"> CLEITON </v>
      </c>
      <c r="AD490" s="2">
        <f t="shared" si="45"/>
        <v>5</v>
      </c>
      <c r="AE490" s="2">
        <f t="shared" ca="1" si="46"/>
        <v>-272.29013738426147</v>
      </c>
      <c r="AF490" s="15"/>
    </row>
    <row r="491" spans="1:32" hidden="1">
      <c r="A491" s="1">
        <v>8632230</v>
      </c>
      <c r="B491" s="1" t="s">
        <v>653</v>
      </c>
      <c r="C491" t="s">
        <v>935</v>
      </c>
      <c r="E491" s="2">
        <v>1833041400010</v>
      </c>
      <c r="F491" s="1" t="s">
        <v>936</v>
      </c>
      <c r="G491" s="1" t="s">
        <v>53</v>
      </c>
      <c r="H491" s="1" t="s">
        <v>811</v>
      </c>
      <c r="I491" s="1" t="s">
        <v>812</v>
      </c>
      <c r="J491" s="1" t="s">
        <v>46</v>
      </c>
      <c r="K491" t="s">
        <v>937</v>
      </c>
      <c r="M491" s="1" t="s">
        <v>58</v>
      </c>
      <c r="N491" s="1">
        <v>0</v>
      </c>
      <c r="O491" s="1" t="s">
        <v>105</v>
      </c>
      <c r="P491" s="186">
        <v>44713.386134259257</v>
      </c>
      <c r="R491" s="1">
        <v>3</v>
      </c>
      <c r="T491" s="1" t="s">
        <v>646</v>
      </c>
      <c r="U491" s="186">
        <v>44714.386134259257</v>
      </c>
      <c r="V491" s="1" t="s">
        <v>41</v>
      </c>
      <c r="W491" s="1" t="s">
        <v>49</v>
      </c>
      <c r="X491" s="13"/>
      <c r="Y491" s="2">
        <f t="shared" ca="1" si="42"/>
        <v>196</v>
      </c>
      <c r="Z491" s="14">
        <v>1</v>
      </c>
      <c r="AA491" s="1" t="str">
        <f t="shared" ca="1" si="43"/>
        <v>VENCIDO</v>
      </c>
      <c r="AB491" s="1" t="str">
        <f t="shared" si="44"/>
        <v>C-14</v>
      </c>
      <c r="AC491" s="2" t="str">
        <f t="shared" si="47"/>
        <v xml:space="preserve"> CLEITON </v>
      </c>
      <c r="AD491" s="2">
        <f t="shared" si="45"/>
        <v>5</v>
      </c>
      <c r="AE491" s="2">
        <f t="shared" ca="1" si="46"/>
        <v>-272.29013738426147</v>
      </c>
      <c r="AF491" s="15"/>
    </row>
    <row r="492" spans="1:32" hidden="1">
      <c r="A492" s="1">
        <v>8632229</v>
      </c>
      <c r="B492" s="1" t="s">
        <v>653</v>
      </c>
      <c r="C492" t="s">
        <v>935</v>
      </c>
      <c r="E492" s="2">
        <v>1833001400010</v>
      </c>
      <c r="F492" s="1" t="s">
        <v>936</v>
      </c>
      <c r="G492" s="1" t="s">
        <v>53</v>
      </c>
      <c r="H492" s="1" t="s">
        <v>369</v>
      </c>
      <c r="I492" s="1" t="s">
        <v>370</v>
      </c>
      <c r="J492" s="1" t="s">
        <v>46</v>
      </c>
      <c r="K492" t="s">
        <v>937</v>
      </c>
      <c r="M492" s="1" t="s">
        <v>58</v>
      </c>
      <c r="N492" s="1">
        <v>0</v>
      </c>
      <c r="O492" s="1" t="s">
        <v>105</v>
      </c>
      <c r="P492" s="186">
        <v>44713.386134259257</v>
      </c>
      <c r="R492" s="1">
        <v>3</v>
      </c>
      <c r="T492" s="1" t="s">
        <v>646</v>
      </c>
      <c r="U492" s="186">
        <v>44714.386134259257</v>
      </c>
      <c r="V492" s="1" t="s">
        <v>41</v>
      </c>
      <c r="W492" s="1" t="s">
        <v>49</v>
      </c>
      <c r="X492" s="13"/>
      <c r="Y492" s="2">
        <f t="shared" ca="1" si="42"/>
        <v>196</v>
      </c>
      <c r="Z492" s="14">
        <v>1</v>
      </c>
      <c r="AA492" s="1" t="str">
        <f t="shared" ca="1" si="43"/>
        <v>VENCIDO</v>
      </c>
      <c r="AB492" s="1" t="str">
        <f t="shared" si="44"/>
        <v>C-14</v>
      </c>
      <c r="AC492" s="2" t="str">
        <f t="shared" si="47"/>
        <v xml:space="preserve"> CLEITON </v>
      </c>
      <c r="AD492" s="2">
        <f t="shared" si="45"/>
        <v>5</v>
      </c>
      <c r="AE492" s="2">
        <f t="shared" ca="1" si="46"/>
        <v>-272.29013738426147</v>
      </c>
      <c r="AF492" s="15"/>
    </row>
    <row r="493" spans="1:32" hidden="1">
      <c r="A493" s="1">
        <v>8632217</v>
      </c>
      <c r="B493" s="1" t="s">
        <v>653</v>
      </c>
      <c r="C493" t="s">
        <v>935</v>
      </c>
      <c r="E493" s="2">
        <v>1814031400010</v>
      </c>
      <c r="F493" s="1" t="s">
        <v>936</v>
      </c>
      <c r="G493" s="1" t="s">
        <v>53</v>
      </c>
      <c r="H493" s="1" t="s">
        <v>719</v>
      </c>
      <c r="I493" s="1" t="s">
        <v>188</v>
      </c>
      <c r="J493" s="1" t="s">
        <v>46</v>
      </c>
      <c r="K493" t="s">
        <v>937</v>
      </c>
      <c r="M493" s="1" t="s">
        <v>58</v>
      </c>
      <c r="N493" s="1">
        <v>0</v>
      </c>
      <c r="O493" s="1" t="s">
        <v>105</v>
      </c>
      <c r="P493" s="186">
        <v>44713.386111111111</v>
      </c>
      <c r="R493" s="1">
        <v>3</v>
      </c>
      <c r="T493" s="1" t="s">
        <v>646</v>
      </c>
      <c r="U493" s="186">
        <v>44714.386111111111</v>
      </c>
      <c r="V493" s="1" t="s">
        <v>41</v>
      </c>
      <c r="W493" s="1" t="s">
        <v>49</v>
      </c>
      <c r="X493" s="13"/>
      <c r="Y493" s="2">
        <f t="shared" ca="1" si="42"/>
        <v>196</v>
      </c>
      <c r="Z493" s="14">
        <v>1</v>
      </c>
      <c r="AA493" s="1" t="str">
        <f t="shared" ca="1" si="43"/>
        <v>VENCIDO</v>
      </c>
      <c r="AB493" s="1" t="str">
        <f t="shared" si="44"/>
        <v>C-14</v>
      </c>
      <c r="AC493" s="2" t="str">
        <f t="shared" si="47"/>
        <v xml:space="preserve"> CLEITON </v>
      </c>
      <c r="AD493" s="2">
        <f t="shared" si="45"/>
        <v>5</v>
      </c>
      <c r="AE493" s="2">
        <f t="shared" ca="1" si="46"/>
        <v>-272.29016053240775</v>
      </c>
      <c r="AF493" s="15"/>
    </row>
    <row r="494" spans="1:32" hidden="1">
      <c r="A494" s="1">
        <v>8632154</v>
      </c>
      <c r="B494" s="1" t="s">
        <v>653</v>
      </c>
      <c r="C494" t="s">
        <v>935</v>
      </c>
      <c r="E494" s="2">
        <v>1739001400010</v>
      </c>
      <c r="F494" s="1" t="s">
        <v>936</v>
      </c>
      <c r="G494" s="1" t="s">
        <v>53</v>
      </c>
      <c r="H494" s="1" t="s">
        <v>162</v>
      </c>
      <c r="I494" s="1" t="s">
        <v>163</v>
      </c>
      <c r="J494" s="1" t="s">
        <v>164</v>
      </c>
      <c r="K494" t="s">
        <v>937</v>
      </c>
      <c r="M494" s="1" t="s">
        <v>58</v>
      </c>
      <c r="N494" s="1">
        <v>0</v>
      </c>
      <c r="O494" s="1" t="s">
        <v>105</v>
      </c>
      <c r="P494" s="186">
        <v>44713.386030092595</v>
      </c>
      <c r="R494" s="1">
        <v>3</v>
      </c>
      <c r="T494" s="1" t="s">
        <v>646</v>
      </c>
      <c r="U494" s="186">
        <v>44714.386030092595</v>
      </c>
      <c r="V494" s="1" t="s">
        <v>41</v>
      </c>
      <c r="W494" s="1" t="s">
        <v>49</v>
      </c>
      <c r="X494" s="13"/>
      <c r="Y494" s="2">
        <f t="shared" ca="1" si="42"/>
        <v>196</v>
      </c>
      <c r="Z494" s="14">
        <v>1</v>
      </c>
      <c r="AA494" s="1" t="str">
        <f t="shared" ca="1" si="43"/>
        <v>VENCIDO</v>
      </c>
      <c r="AB494" s="1" t="str">
        <f t="shared" si="44"/>
        <v>C-14</v>
      </c>
      <c r="AC494" s="2" t="str">
        <f t="shared" si="47"/>
        <v xml:space="preserve"> ROSEMERE </v>
      </c>
      <c r="AD494" s="2">
        <f t="shared" si="45"/>
        <v>5</v>
      </c>
      <c r="AE494" s="2">
        <f t="shared" ca="1" si="46"/>
        <v>-272.29024155092338</v>
      </c>
      <c r="AF494" s="15"/>
    </row>
    <row r="495" spans="1:32" hidden="1">
      <c r="A495" s="1">
        <v>8632150</v>
      </c>
      <c r="B495" s="1" t="s">
        <v>653</v>
      </c>
      <c r="C495" t="s">
        <v>935</v>
      </c>
      <c r="E495" s="2">
        <v>1732001400010</v>
      </c>
      <c r="F495" s="1" t="s">
        <v>936</v>
      </c>
      <c r="G495" s="1" t="s">
        <v>53</v>
      </c>
      <c r="H495" s="1" t="s">
        <v>177</v>
      </c>
      <c r="I495" s="1" t="s">
        <v>178</v>
      </c>
      <c r="J495" s="1" t="s">
        <v>164</v>
      </c>
      <c r="K495" t="s">
        <v>937</v>
      </c>
      <c r="M495" s="1" t="s">
        <v>58</v>
      </c>
      <c r="N495" s="1">
        <v>0</v>
      </c>
      <c r="O495" s="1" t="s">
        <v>105</v>
      </c>
      <c r="P495" s="186">
        <v>44713.386030092595</v>
      </c>
      <c r="R495" s="1">
        <v>3</v>
      </c>
      <c r="T495" s="1" t="s">
        <v>646</v>
      </c>
      <c r="U495" s="186">
        <v>44714.386030092595</v>
      </c>
      <c r="V495" s="1" t="s">
        <v>41</v>
      </c>
      <c r="W495" s="1" t="s">
        <v>49</v>
      </c>
      <c r="X495" s="13"/>
      <c r="Y495" s="2">
        <f t="shared" ca="1" si="42"/>
        <v>196</v>
      </c>
      <c r="Z495" s="14">
        <v>1</v>
      </c>
      <c r="AA495" s="1" t="str">
        <f t="shared" ca="1" si="43"/>
        <v>VENCIDO</v>
      </c>
      <c r="AB495" s="1" t="str">
        <f t="shared" si="44"/>
        <v>C-14</v>
      </c>
      <c r="AC495" s="2" t="str">
        <f t="shared" si="47"/>
        <v xml:space="preserve"> ROSEMERE </v>
      </c>
      <c r="AD495" s="2">
        <f t="shared" si="45"/>
        <v>5</v>
      </c>
      <c r="AE495" s="2">
        <f t="shared" ca="1" si="46"/>
        <v>-272.29024155092338</v>
      </c>
      <c r="AF495" s="15"/>
    </row>
    <row r="496" spans="1:32" hidden="1">
      <c r="A496" s="1">
        <v>8632090</v>
      </c>
      <c r="B496" s="1" t="s">
        <v>653</v>
      </c>
      <c r="C496" t="s">
        <v>935</v>
      </c>
      <c r="E496" s="2">
        <v>1664001400010</v>
      </c>
      <c r="F496" s="1" t="s">
        <v>936</v>
      </c>
      <c r="G496" s="1" t="s">
        <v>53</v>
      </c>
      <c r="H496" s="1" t="s">
        <v>307</v>
      </c>
      <c r="I496" s="1" t="s">
        <v>308</v>
      </c>
      <c r="J496" s="1" t="s">
        <v>164</v>
      </c>
      <c r="K496" t="s">
        <v>937</v>
      </c>
      <c r="M496" s="1" t="s">
        <v>58</v>
      </c>
      <c r="N496" s="1">
        <v>0</v>
      </c>
      <c r="O496" s="1" t="s">
        <v>105</v>
      </c>
      <c r="P496" s="186">
        <v>44713.385949074072</v>
      </c>
      <c r="R496" s="1">
        <v>3</v>
      </c>
      <c r="T496" s="1" t="s">
        <v>646</v>
      </c>
      <c r="U496" s="186">
        <v>44714.385949074072</v>
      </c>
      <c r="V496" s="1" t="s">
        <v>41</v>
      </c>
      <c r="W496" s="1" t="s">
        <v>49</v>
      </c>
      <c r="X496" s="13"/>
      <c r="Y496" s="2">
        <f t="shared" ca="1" si="42"/>
        <v>196</v>
      </c>
      <c r="Z496" s="14">
        <v>1</v>
      </c>
      <c r="AA496" s="1" t="str">
        <f t="shared" ca="1" si="43"/>
        <v>VENCIDO</v>
      </c>
      <c r="AB496" s="1" t="str">
        <f t="shared" si="44"/>
        <v>C-14</v>
      </c>
      <c r="AC496" s="2" t="str">
        <f t="shared" si="47"/>
        <v xml:space="preserve"> ROSEMERE </v>
      </c>
      <c r="AD496" s="2">
        <f t="shared" si="45"/>
        <v>5</v>
      </c>
      <c r="AE496" s="2">
        <f t="shared" ca="1" si="46"/>
        <v>-272.29032256944629</v>
      </c>
      <c r="AF496" s="15"/>
    </row>
    <row r="497" spans="1:32" hidden="1">
      <c r="A497" s="1">
        <v>8632071</v>
      </c>
      <c r="B497" s="1" t="s">
        <v>653</v>
      </c>
      <c r="C497" t="s">
        <v>935</v>
      </c>
      <c r="E497" s="2">
        <v>1643001400010</v>
      </c>
      <c r="F497" s="1" t="s">
        <v>936</v>
      </c>
      <c r="G497" s="1" t="s">
        <v>53</v>
      </c>
      <c r="H497" s="1" t="s">
        <v>361</v>
      </c>
      <c r="I497" s="1" t="s">
        <v>362</v>
      </c>
      <c r="J497" s="1" t="s">
        <v>261</v>
      </c>
      <c r="K497" t="s">
        <v>937</v>
      </c>
      <c r="M497" s="1" t="s">
        <v>58</v>
      </c>
      <c r="N497" s="1">
        <v>0</v>
      </c>
      <c r="O497" s="1" t="s">
        <v>105</v>
      </c>
      <c r="P497" s="186">
        <v>44713.385925925926</v>
      </c>
      <c r="R497" s="1">
        <v>3</v>
      </c>
      <c r="T497" s="1" t="s">
        <v>646</v>
      </c>
      <c r="U497" s="186">
        <v>44714.385925925926</v>
      </c>
      <c r="V497" s="1" t="s">
        <v>41</v>
      </c>
      <c r="W497" s="1" t="s">
        <v>49</v>
      </c>
      <c r="X497" s="13"/>
      <c r="Y497" s="2">
        <f t="shared" ca="1" si="42"/>
        <v>196</v>
      </c>
      <c r="Z497" s="14">
        <v>1</v>
      </c>
      <c r="AA497" s="1" t="str">
        <f t="shared" ca="1" si="43"/>
        <v>VENCIDO</v>
      </c>
      <c r="AB497" s="1" t="str">
        <f t="shared" si="44"/>
        <v>C-14</v>
      </c>
      <c r="AC497" s="2" t="str">
        <f t="shared" si="47"/>
        <v xml:space="preserve"> CRISTINA </v>
      </c>
      <c r="AD497" s="2">
        <f t="shared" si="45"/>
        <v>5</v>
      </c>
      <c r="AE497" s="2">
        <f t="shared" ca="1" si="46"/>
        <v>-272.29034571759257</v>
      </c>
      <c r="AF497" s="15"/>
    </row>
    <row r="498" spans="1:32" hidden="1">
      <c r="A498" s="1">
        <v>8632049</v>
      </c>
      <c r="B498" s="1" t="s">
        <v>653</v>
      </c>
      <c r="C498" t="s">
        <v>935</v>
      </c>
      <c r="E498" s="2">
        <v>1620001400010</v>
      </c>
      <c r="F498" s="1" t="s">
        <v>936</v>
      </c>
      <c r="G498" s="1" t="s">
        <v>53</v>
      </c>
      <c r="H498" s="1" t="s">
        <v>402</v>
      </c>
      <c r="I498" s="1" t="s">
        <v>403</v>
      </c>
      <c r="J498" s="1" t="s">
        <v>46</v>
      </c>
      <c r="K498" t="s">
        <v>937</v>
      </c>
      <c r="M498" s="1" t="s">
        <v>58</v>
      </c>
      <c r="N498" s="1">
        <v>0</v>
      </c>
      <c r="O498" s="1" t="s">
        <v>105</v>
      </c>
      <c r="P498" s="186">
        <v>44713.38590277778</v>
      </c>
      <c r="R498" s="1">
        <v>3</v>
      </c>
      <c r="T498" s="1" t="s">
        <v>646</v>
      </c>
      <c r="U498" s="186">
        <v>44714.38590277778</v>
      </c>
      <c r="V498" s="1" t="s">
        <v>41</v>
      </c>
      <c r="W498" s="1" t="s">
        <v>49</v>
      </c>
      <c r="X498" s="13"/>
      <c r="Y498" s="2">
        <f t="shared" ca="1" si="42"/>
        <v>196</v>
      </c>
      <c r="Z498" s="14">
        <v>1</v>
      </c>
      <c r="AA498" s="1" t="str">
        <f t="shared" ca="1" si="43"/>
        <v>VENCIDO</v>
      </c>
      <c r="AB498" s="1" t="str">
        <f t="shared" si="44"/>
        <v>C-14</v>
      </c>
      <c r="AC498" s="2" t="str">
        <f t="shared" si="47"/>
        <v xml:space="preserve"> CLEITON </v>
      </c>
      <c r="AD498" s="2">
        <f t="shared" si="45"/>
        <v>5</v>
      </c>
      <c r="AE498" s="2">
        <f t="shared" ca="1" si="46"/>
        <v>-272.29036886573886</v>
      </c>
      <c r="AF498" s="15"/>
    </row>
    <row r="499" spans="1:32" hidden="1">
      <c r="A499" s="1">
        <v>8631960</v>
      </c>
      <c r="B499" s="1" t="s">
        <v>653</v>
      </c>
      <c r="C499" t="s">
        <v>935</v>
      </c>
      <c r="E499" s="2">
        <v>1509001400010</v>
      </c>
      <c r="F499" s="1" t="s">
        <v>936</v>
      </c>
      <c r="G499" s="1" t="s">
        <v>53</v>
      </c>
      <c r="H499" s="1" t="s">
        <v>731</v>
      </c>
      <c r="I499" s="1" t="s">
        <v>732</v>
      </c>
      <c r="J499" s="1" t="s">
        <v>46</v>
      </c>
      <c r="K499" t="s">
        <v>937</v>
      </c>
      <c r="M499" s="1" t="s">
        <v>58</v>
      </c>
      <c r="N499" s="1">
        <v>0</v>
      </c>
      <c r="O499" s="1" t="s">
        <v>105</v>
      </c>
      <c r="P499" s="186">
        <v>44713.385787037034</v>
      </c>
      <c r="R499" s="1">
        <v>3</v>
      </c>
      <c r="T499" s="1" t="s">
        <v>646</v>
      </c>
      <c r="U499" s="186">
        <v>44714.385787037034</v>
      </c>
      <c r="V499" s="1" t="s">
        <v>41</v>
      </c>
      <c r="W499" s="1" t="s">
        <v>49</v>
      </c>
      <c r="X499" s="13"/>
      <c r="Y499" s="2">
        <f t="shared" ca="1" si="42"/>
        <v>196</v>
      </c>
      <c r="Z499" s="14">
        <v>1</v>
      </c>
      <c r="AA499" s="1" t="str">
        <f t="shared" ca="1" si="43"/>
        <v>VENCIDO</v>
      </c>
      <c r="AB499" s="1" t="str">
        <f t="shared" si="44"/>
        <v>C-14</v>
      </c>
      <c r="AC499" s="2" t="str">
        <f t="shared" si="47"/>
        <v xml:space="preserve"> CLEITON </v>
      </c>
      <c r="AD499" s="2">
        <f t="shared" si="45"/>
        <v>5</v>
      </c>
      <c r="AE499" s="2">
        <f t="shared" ca="1" si="46"/>
        <v>-272.29048460648482</v>
      </c>
      <c r="AF499" s="15"/>
    </row>
    <row r="500" spans="1:32" hidden="1">
      <c r="A500" s="1">
        <v>8631881</v>
      </c>
      <c r="B500" s="1" t="s">
        <v>653</v>
      </c>
      <c r="C500" t="s">
        <v>935</v>
      </c>
      <c r="E500" s="2">
        <v>1421001400010</v>
      </c>
      <c r="F500" s="1" t="s">
        <v>936</v>
      </c>
      <c r="G500" s="1" t="s">
        <v>53</v>
      </c>
      <c r="H500" s="1" t="s">
        <v>179</v>
      </c>
      <c r="I500" s="1" t="s">
        <v>180</v>
      </c>
      <c r="J500" s="1" t="s">
        <v>79</v>
      </c>
      <c r="K500" t="s">
        <v>937</v>
      </c>
      <c r="M500" s="1" t="s">
        <v>58</v>
      </c>
      <c r="N500" s="1">
        <v>0</v>
      </c>
      <c r="O500" s="1" t="s">
        <v>105</v>
      </c>
      <c r="P500" s="186">
        <v>44713.385671296295</v>
      </c>
      <c r="R500" s="1">
        <v>3</v>
      </c>
      <c r="T500" s="1" t="s">
        <v>646</v>
      </c>
      <c r="U500" s="186">
        <v>44714.385671296295</v>
      </c>
      <c r="V500" s="1" t="s">
        <v>41</v>
      </c>
      <c r="W500" s="1" t="s">
        <v>49</v>
      </c>
      <c r="X500" s="13"/>
      <c r="Y500" s="2">
        <f t="shared" ca="1" si="42"/>
        <v>196</v>
      </c>
      <c r="Z500" s="14">
        <v>1</v>
      </c>
      <c r="AA500" s="1" t="str">
        <f t="shared" ca="1" si="43"/>
        <v>VENCIDO</v>
      </c>
      <c r="AB500" s="1" t="str">
        <f t="shared" si="44"/>
        <v>C-14</v>
      </c>
      <c r="AC500" s="2" t="str">
        <f t="shared" si="47"/>
        <v xml:space="preserve"> ROSEMERE </v>
      </c>
      <c r="AD500" s="2">
        <f t="shared" si="45"/>
        <v>5</v>
      </c>
      <c r="AE500" s="2">
        <f t="shared" ca="1" si="46"/>
        <v>-272.29060034722352</v>
      </c>
      <c r="AF500" s="15"/>
    </row>
    <row r="501" spans="1:32">
      <c r="A501" s="1">
        <v>8631827</v>
      </c>
      <c r="B501" s="1" t="s">
        <v>653</v>
      </c>
      <c r="C501" t="s">
        <v>935</v>
      </c>
      <c r="E501" s="2">
        <v>1362001400010</v>
      </c>
      <c r="F501" s="1" t="s">
        <v>936</v>
      </c>
      <c r="G501" s="1" t="s">
        <v>53</v>
      </c>
      <c r="H501" s="1" t="s">
        <v>268</v>
      </c>
      <c r="I501" s="1" t="s">
        <v>269</v>
      </c>
      <c r="J501" s="1" t="s">
        <v>90</v>
      </c>
      <c r="K501" t="s">
        <v>937</v>
      </c>
      <c r="M501" s="1" t="s">
        <v>58</v>
      </c>
      <c r="N501" s="1">
        <v>0</v>
      </c>
      <c r="O501" s="1" t="s">
        <v>105</v>
      </c>
      <c r="P501" s="186">
        <v>44713.385601851849</v>
      </c>
      <c r="R501" s="1">
        <v>3</v>
      </c>
      <c r="T501" s="1" t="s">
        <v>646</v>
      </c>
      <c r="U501" s="186">
        <v>44714.385601851849</v>
      </c>
      <c r="V501" s="1" t="s">
        <v>41</v>
      </c>
      <c r="W501" s="1" t="s">
        <v>49</v>
      </c>
      <c r="X501" s="13"/>
      <c r="Y501" s="2">
        <f t="shared" ca="1" si="42"/>
        <v>196</v>
      </c>
      <c r="Z501" s="14">
        <v>1</v>
      </c>
      <c r="AA501" s="1" t="str">
        <f t="shared" ca="1" si="43"/>
        <v>VENCIDO</v>
      </c>
      <c r="AB501" s="1" t="str">
        <f t="shared" si="44"/>
        <v>C-14</v>
      </c>
      <c r="AC501" s="2" t="str">
        <f t="shared" si="47"/>
        <v xml:space="preserve"> RINALDO </v>
      </c>
      <c r="AD501" s="2">
        <f t="shared" si="45"/>
        <v>5</v>
      </c>
      <c r="AE501" s="2">
        <f t="shared" ca="1" si="46"/>
        <v>-272.29066979166964</v>
      </c>
      <c r="AF501" s="15"/>
    </row>
    <row r="502" spans="1:32" hidden="1">
      <c r="A502" s="1">
        <v>8631826</v>
      </c>
      <c r="B502" s="1" t="s">
        <v>653</v>
      </c>
      <c r="C502" t="s">
        <v>935</v>
      </c>
      <c r="E502" s="2">
        <v>1361001400010</v>
      </c>
      <c r="F502" s="1" t="s">
        <v>936</v>
      </c>
      <c r="G502" s="1" t="s">
        <v>53</v>
      </c>
      <c r="H502" s="1" t="s">
        <v>309</v>
      </c>
      <c r="I502" s="1" t="s">
        <v>310</v>
      </c>
      <c r="J502" s="1" t="s">
        <v>46</v>
      </c>
      <c r="K502" t="s">
        <v>937</v>
      </c>
      <c r="M502" s="1" t="s">
        <v>58</v>
      </c>
      <c r="N502" s="1">
        <v>0</v>
      </c>
      <c r="O502" s="1" t="s">
        <v>105</v>
      </c>
      <c r="P502" s="186">
        <v>44713.385601851849</v>
      </c>
      <c r="R502" s="1">
        <v>3</v>
      </c>
      <c r="T502" s="1" t="s">
        <v>646</v>
      </c>
      <c r="U502" s="186">
        <v>44714.385601851849</v>
      </c>
      <c r="V502" s="1" t="s">
        <v>41</v>
      </c>
      <c r="W502" s="1" t="s">
        <v>49</v>
      </c>
      <c r="X502" s="13"/>
      <c r="Y502" s="2">
        <f t="shared" ca="1" si="42"/>
        <v>196</v>
      </c>
      <c r="Z502" s="14">
        <v>1</v>
      </c>
      <c r="AA502" s="1" t="str">
        <f t="shared" ca="1" si="43"/>
        <v>VENCIDO</v>
      </c>
      <c r="AB502" s="1" t="str">
        <f t="shared" si="44"/>
        <v>C-14</v>
      </c>
      <c r="AC502" s="2" t="str">
        <f t="shared" si="47"/>
        <v xml:space="preserve"> CLEITON </v>
      </c>
      <c r="AD502" s="2">
        <f t="shared" si="45"/>
        <v>5</v>
      </c>
      <c r="AE502" s="2">
        <f t="shared" ca="1" si="46"/>
        <v>-272.29066979166964</v>
      </c>
      <c r="AF502" s="15"/>
    </row>
    <row r="503" spans="1:32" hidden="1">
      <c r="A503" s="1">
        <v>8631825</v>
      </c>
      <c r="B503" s="1" t="s">
        <v>653</v>
      </c>
      <c r="C503" t="s">
        <v>935</v>
      </c>
      <c r="E503" s="2">
        <v>1360001400010</v>
      </c>
      <c r="F503" s="1" t="s">
        <v>936</v>
      </c>
      <c r="G503" s="1" t="s">
        <v>53</v>
      </c>
      <c r="H503" s="1" t="s">
        <v>303</v>
      </c>
      <c r="I503" s="1" t="s">
        <v>304</v>
      </c>
      <c r="J503" s="1" t="s">
        <v>261</v>
      </c>
      <c r="K503" t="s">
        <v>937</v>
      </c>
      <c r="M503" s="1" t="s">
        <v>58</v>
      </c>
      <c r="N503" s="1">
        <v>0</v>
      </c>
      <c r="O503" s="1" t="s">
        <v>105</v>
      </c>
      <c r="P503" s="186">
        <v>44713.385601851849</v>
      </c>
      <c r="R503" s="1">
        <v>3</v>
      </c>
      <c r="T503" s="1" t="s">
        <v>646</v>
      </c>
      <c r="U503" s="186">
        <v>44714.385601851849</v>
      </c>
      <c r="V503" s="1" t="s">
        <v>41</v>
      </c>
      <c r="W503" s="1" t="s">
        <v>49</v>
      </c>
      <c r="X503" s="13"/>
      <c r="Y503" s="2">
        <f t="shared" ca="1" si="42"/>
        <v>196</v>
      </c>
      <c r="Z503" s="14">
        <v>1</v>
      </c>
      <c r="AA503" s="1" t="str">
        <f t="shared" ca="1" si="43"/>
        <v>VENCIDO</v>
      </c>
      <c r="AB503" s="1" t="str">
        <f t="shared" si="44"/>
        <v>C-14</v>
      </c>
      <c r="AC503" s="2" t="str">
        <f t="shared" si="47"/>
        <v xml:space="preserve"> CRISTINA </v>
      </c>
      <c r="AD503" s="2">
        <f t="shared" si="45"/>
        <v>5</v>
      </c>
      <c r="AE503" s="2">
        <f t="shared" ca="1" si="46"/>
        <v>-272.29066979166964</v>
      </c>
      <c r="AF503" s="15"/>
    </row>
    <row r="504" spans="1:32" hidden="1">
      <c r="A504" s="1">
        <v>8631824</v>
      </c>
      <c r="B504" s="1" t="s">
        <v>653</v>
      </c>
      <c r="C504" t="s">
        <v>935</v>
      </c>
      <c r="E504" s="2">
        <v>1359001400010</v>
      </c>
      <c r="F504" s="1" t="s">
        <v>936</v>
      </c>
      <c r="G504" s="1" t="s">
        <v>53</v>
      </c>
      <c r="H504" s="1" t="s">
        <v>270</v>
      </c>
      <c r="I504" s="1" t="s">
        <v>271</v>
      </c>
      <c r="J504" s="1" t="s">
        <v>141</v>
      </c>
      <c r="K504" t="s">
        <v>937</v>
      </c>
      <c r="M504" s="1" t="s">
        <v>58</v>
      </c>
      <c r="N504" s="1">
        <v>0</v>
      </c>
      <c r="O504" s="1" t="s">
        <v>105</v>
      </c>
      <c r="P504" s="186">
        <v>44713.385601851849</v>
      </c>
      <c r="R504" s="1">
        <v>3</v>
      </c>
      <c r="T504" s="1" t="s">
        <v>646</v>
      </c>
      <c r="U504" s="186">
        <v>44714.385601851849</v>
      </c>
      <c r="V504" s="1" t="s">
        <v>41</v>
      </c>
      <c r="W504" s="1" t="s">
        <v>49</v>
      </c>
      <c r="X504" s="13"/>
      <c r="Y504" s="2">
        <f t="shared" ca="1" si="42"/>
        <v>196</v>
      </c>
      <c r="Z504" s="14">
        <v>1</v>
      </c>
      <c r="AA504" s="1" t="str">
        <f t="shared" ca="1" si="43"/>
        <v>VENCIDO</v>
      </c>
      <c r="AB504" s="1" t="str">
        <f t="shared" si="44"/>
        <v>C-14</v>
      </c>
      <c r="AC504" s="2" t="str">
        <f t="shared" si="47"/>
        <v xml:space="preserve"> CRISTINA </v>
      </c>
      <c r="AD504" s="2">
        <f t="shared" si="45"/>
        <v>5</v>
      </c>
      <c r="AE504" s="2">
        <f t="shared" ca="1" si="46"/>
        <v>-272.29066979166964</v>
      </c>
      <c r="AF504" s="15"/>
    </row>
    <row r="505" spans="1:32" hidden="1">
      <c r="A505" s="1">
        <v>8631649</v>
      </c>
      <c r="B505" s="1" t="s">
        <v>653</v>
      </c>
      <c r="C505" t="s">
        <v>935</v>
      </c>
      <c r="E505" s="2">
        <v>1153001400010</v>
      </c>
      <c r="F505" s="1" t="s">
        <v>936</v>
      </c>
      <c r="G505" s="1" t="s">
        <v>53</v>
      </c>
      <c r="H505" s="1" t="s">
        <v>1031</v>
      </c>
      <c r="I505" s="1" t="s">
        <v>1032</v>
      </c>
      <c r="J505" s="1" t="s">
        <v>79</v>
      </c>
      <c r="K505" t="s">
        <v>937</v>
      </c>
      <c r="M505" s="1" t="s">
        <v>58</v>
      </c>
      <c r="N505" s="1">
        <v>0</v>
      </c>
      <c r="O505" s="1" t="s">
        <v>105</v>
      </c>
      <c r="P505" s="186">
        <v>44713.385370370372</v>
      </c>
      <c r="R505" s="1">
        <v>3</v>
      </c>
      <c r="T505" s="1" t="s">
        <v>646</v>
      </c>
      <c r="U505" s="186">
        <v>44714.385381944441</v>
      </c>
      <c r="V505" s="1" t="s">
        <v>41</v>
      </c>
      <c r="W505" s="1" t="s">
        <v>49</v>
      </c>
      <c r="X505" s="13"/>
      <c r="Y505" s="2">
        <f t="shared" ca="1" si="42"/>
        <v>196</v>
      </c>
      <c r="Z505" s="14">
        <v>1</v>
      </c>
      <c r="AA505" s="1" t="str">
        <f t="shared" ca="1" si="43"/>
        <v>VENCIDO</v>
      </c>
      <c r="AB505" s="1" t="str">
        <f t="shared" si="44"/>
        <v>C-14</v>
      </c>
      <c r="AC505" s="2" t="str">
        <f t="shared" si="47"/>
        <v xml:space="preserve"> ROSEMERE </v>
      </c>
      <c r="AD505" s="2">
        <f t="shared" si="45"/>
        <v>5</v>
      </c>
      <c r="AE505" s="2">
        <f t="shared" ca="1" si="46"/>
        <v>-272.29088969907752</v>
      </c>
      <c r="AF505" s="15"/>
    </row>
    <row r="506" spans="1:32" hidden="1">
      <c r="A506" s="1">
        <v>8631615</v>
      </c>
      <c r="B506" s="1" t="s">
        <v>653</v>
      </c>
      <c r="C506" t="s">
        <v>935</v>
      </c>
      <c r="E506" s="2">
        <v>1120001400010</v>
      </c>
      <c r="F506" s="1" t="s">
        <v>936</v>
      </c>
      <c r="G506" s="1" t="s">
        <v>53</v>
      </c>
      <c r="H506" s="1" t="s">
        <v>181</v>
      </c>
      <c r="I506" s="1" t="s">
        <v>182</v>
      </c>
      <c r="J506" s="1" t="s">
        <v>164</v>
      </c>
      <c r="K506" t="s">
        <v>937</v>
      </c>
      <c r="M506" s="1" t="s">
        <v>58</v>
      </c>
      <c r="N506" s="1">
        <v>0</v>
      </c>
      <c r="O506" s="1" t="s">
        <v>105</v>
      </c>
      <c r="P506" s="186">
        <v>44713.385335648149</v>
      </c>
      <c r="R506" s="1">
        <v>3</v>
      </c>
      <c r="T506" s="1" t="s">
        <v>646</v>
      </c>
      <c r="U506" s="186">
        <v>44714.385335648149</v>
      </c>
      <c r="V506" s="1" t="s">
        <v>41</v>
      </c>
      <c r="W506" s="1" t="s">
        <v>49</v>
      </c>
      <c r="X506" s="13"/>
      <c r="Y506" s="2">
        <f t="shared" ca="1" si="42"/>
        <v>196</v>
      </c>
      <c r="Z506" s="14">
        <v>1</v>
      </c>
      <c r="AA506" s="1" t="str">
        <f t="shared" ca="1" si="43"/>
        <v>VENCIDO</v>
      </c>
      <c r="AB506" s="1" t="str">
        <f t="shared" si="44"/>
        <v>C-14</v>
      </c>
      <c r="AC506" s="2" t="str">
        <f t="shared" si="47"/>
        <v xml:space="preserve"> ROSEMERE </v>
      </c>
      <c r="AD506" s="2">
        <f t="shared" si="45"/>
        <v>5</v>
      </c>
      <c r="AE506" s="2">
        <f t="shared" ca="1" si="46"/>
        <v>-272.29093599537009</v>
      </c>
      <c r="AF506" s="15"/>
    </row>
    <row r="507" spans="1:32">
      <c r="A507" s="1">
        <v>8631560</v>
      </c>
      <c r="B507" s="1" t="s">
        <v>653</v>
      </c>
      <c r="C507" t="s">
        <v>935</v>
      </c>
      <c r="E507" s="2">
        <v>1059001400010</v>
      </c>
      <c r="F507" s="1" t="s">
        <v>936</v>
      </c>
      <c r="G507" s="1" t="s">
        <v>53</v>
      </c>
      <c r="H507" s="1" t="s">
        <v>88</v>
      </c>
      <c r="I507" s="1" t="s">
        <v>89</v>
      </c>
      <c r="J507" s="1" t="s">
        <v>90</v>
      </c>
      <c r="K507" t="s">
        <v>937</v>
      </c>
      <c r="M507" s="1" t="s">
        <v>58</v>
      </c>
      <c r="N507" s="1">
        <v>0</v>
      </c>
      <c r="O507" s="1" t="s">
        <v>105</v>
      </c>
      <c r="P507" s="186">
        <v>44713.385277777779</v>
      </c>
      <c r="R507" s="1">
        <v>3</v>
      </c>
      <c r="T507" s="1" t="s">
        <v>646</v>
      </c>
      <c r="U507" s="186">
        <v>44714.385277777779</v>
      </c>
      <c r="V507" s="1" t="s">
        <v>41</v>
      </c>
      <c r="W507" s="1" t="s">
        <v>49</v>
      </c>
      <c r="X507" s="13"/>
      <c r="Y507" s="2">
        <f t="shared" ca="1" si="42"/>
        <v>196</v>
      </c>
      <c r="Z507" s="14">
        <v>1</v>
      </c>
      <c r="AA507" s="1" t="str">
        <f t="shared" ca="1" si="43"/>
        <v>VENCIDO</v>
      </c>
      <c r="AB507" s="1" t="str">
        <f t="shared" si="44"/>
        <v>C-14</v>
      </c>
      <c r="AC507" s="2" t="str">
        <f t="shared" si="47"/>
        <v xml:space="preserve"> RINALDO </v>
      </c>
      <c r="AD507" s="2">
        <f t="shared" si="45"/>
        <v>5</v>
      </c>
      <c r="AE507" s="2">
        <f t="shared" ca="1" si="46"/>
        <v>-272.29099386573944</v>
      </c>
      <c r="AF507" s="15"/>
    </row>
    <row r="508" spans="1:32" hidden="1">
      <c r="A508" s="1">
        <v>8631548</v>
      </c>
      <c r="B508" s="1" t="s">
        <v>653</v>
      </c>
      <c r="C508" t="s">
        <v>935</v>
      </c>
      <c r="E508" s="2">
        <v>1049001400010</v>
      </c>
      <c r="F508" s="1" t="s">
        <v>936</v>
      </c>
      <c r="G508" s="1" t="s">
        <v>53</v>
      </c>
      <c r="H508" s="1" t="s">
        <v>169</v>
      </c>
      <c r="I508" s="1" t="s">
        <v>170</v>
      </c>
      <c r="J508" s="1" t="s">
        <v>164</v>
      </c>
      <c r="K508" t="s">
        <v>937</v>
      </c>
      <c r="M508" s="1" t="s">
        <v>58</v>
      </c>
      <c r="N508" s="1">
        <v>0</v>
      </c>
      <c r="O508" s="1" t="s">
        <v>105</v>
      </c>
      <c r="P508" s="186">
        <v>44713.385254629633</v>
      </c>
      <c r="R508" s="1">
        <v>3</v>
      </c>
      <c r="T508" s="1" t="s">
        <v>646</v>
      </c>
      <c r="U508" s="186">
        <v>44714.385254629633</v>
      </c>
      <c r="V508" s="1" t="s">
        <v>41</v>
      </c>
      <c r="W508" s="1" t="s">
        <v>49</v>
      </c>
      <c r="X508" s="13"/>
      <c r="Y508" s="2">
        <f t="shared" ca="1" si="42"/>
        <v>196</v>
      </c>
      <c r="Z508" s="14">
        <v>1</v>
      </c>
      <c r="AA508" s="1" t="str">
        <f t="shared" ca="1" si="43"/>
        <v>VENCIDO</v>
      </c>
      <c r="AB508" s="1" t="str">
        <f t="shared" si="44"/>
        <v>C-14</v>
      </c>
      <c r="AC508" s="2" t="str">
        <f t="shared" si="47"/>
        <v xml:space="preserve"> ROSEMERE </v>
      </c>
      <c r="AD508" s="2">
        <f t="shared" si="45"/>
        <v>5</v>
      </c>
      <c r="AE508" s="2">
        <f t="shared" ca="1" si="46"/>
        <v>-272.29101701388572</v>
      </c>
      <c r="AF508" s="15"/>
    </row>
    <row r="509" spans="1:32" hidden="1">
      <c r="A509" s="1">
        <v>8631442</v>
      </c>
      <c r="B509" s="1" t="s">
        <v>653</v>
      </c>
      <c r="C509" t="s">
        <v>935</v>
      </c>
      <c r="E509" s="2">
        <v>934001400010</v>
      </c>
      <c r="F509" s="1" t="s">
        <v>936</v>
      </c>
      <c r="G509" s="1" t="s">
        <v>53</v>
      </c>
      <c r="H509" s="1" t="s">
        <v>428</v>
      </c>
      <c r="I509" s="1" t="s">
        <v>429</v>
      </c>
      <c r="J509" s="1" t="s">
        <v>46</v>
      </c>
      <c r="K509" t="s">
        <v>937</v>
      </c>
      <c r="M509" s="1" t="s">
        <v>58</v>
      </c>
      <c r="N509" s="1">
        <v>0</v>
      </c>
      <c r="O509" s="1" t="s">
        <v>105</v>
      </c>
      <c r="P509" s="186">
        <v>44713.385138888887</v>
      </c>
      <c r="R509" s="1">
        <v>3</v>
      </c>
      <c r="T509" s="1" t="s">
        <v>646</v>
      </c>
      <c r="U509" s="186">
        <v>44714.385150462964</v>
      </c>
      <c r="V509" s="1" t="s">
        <v>41</v>
      </c>
      <c r="W509" s="1" t="s">
        <v>49</v>
      </c>
      <c r="X509" s="13"/>
      <c r="Y509" s="2">
        <f t="shared" ca="1" si="42"/>
        <v>196</v>
      </c>
      <c r="Z509" s="14">
        <v>1</v>
      </c>
      <c r="AA509" s="1" t="str">
        <f t="shared" ca="1" si="43"/>
        <v>VENCIDO</v>
      </c>
      <c r="AB509" s="1" t="str">
        <f t="shared" si="44"/>
        <v>C-14</v>
      </c>
      <c r="AC509" s="2" t="str">
        <f t="shared" si="47"/>
        <v xml:space="preserve"> CLEITON </v>
      </c>
      <c r="AD509" s="2">
        <f t="shared" si="45"/>
        <v>5</v>
      </c>
      <c r="AE509" s="2">
        <f t="shared" ca="1" si="46"/>
        <v>-272.29112118055491</v>
      </c>
      <c r="AF509" s="15"/>
    </row>
    <row r="510" spans="1:32">
      <c r="A510" s="1">
        <v>8631407</v>
      </c>
      <c r="B510" s="1" t="s">
        <v>653</v>
      </c>
      <c r="C510" t="s">
        <v>935</v>
      </c>
      <c r="E510" s="2">
        <v>899001400010</v>
      </c>
      <c r="F510" s="1" t="s">
        <v>936</v>
      </c>
      <c r="G510" s="1" t="s">
        <v>53</v>
      </c>
      <c r="H510" s="1" t="s">
        <v>175</v>
      </c>
      <c r="I510" s="1" t="s">
        <v>176</v>
      </c>
      <c r="J510" s="1" t="s">
        <v>90</v>
      </c>
      <c r="K510" t="s">
        <v>937</v>
      </c>
      <c r="M510" s="1" t="s">
        <v>58</v>
      </c>
      <c r="N510" s="1">
        <v>0</v>
      </c>
      <c r="O510" s="1" t="s">
        <v>105</v>
      </c>
      <c r="P510" s="186">
        <v>44713.385104166664</v>
      </c>
      <c r="R510" s="1">
        <v>3</v>
      </c>
      <c r="T510" s="1" t="s">
        <v>646</v>
      </c>
      <c r="U510" s="186">
        <v>44714.385104166664</v>
      </c>
      <c r="V510" s="1" t="s">
        <v>41</v>
      </c>
      <c r="W510" s="1" t="s">
        <v>49</v>
      </c>
      <c r="X510" s="13"/>
      <c r="Y510" s="2">
        <f t="shared" ca="1" si="42"/>
        <v>196</v>
      </c>
      <c r="Z510" s="14">
        <v>1</v>
      </c>
      <c r="AA510" s="1" t="str">
        <f t="shared" ca="1" si="43"/>
        <v>VENCIDO</v>
      </c>
      <c r="AB510" s="1" t="str">
        <f t="shared" si="44"/>
        <v>C-14</v>
      </c>
      <c r="AC510" s="2" t="str">
        <f t="shared" si="47"/>
        <v xml:space="preserve"> RINALDO </v>
      </c>
      <c r="AD510" s="2">
        <f t="shared" si="45"/>
        <v>5</v>
      </c>
      <c r="AE510" s="2">
        <f t="shared" ca="1" si="46"/>
        <v>-272.29116747685475</v>
      </c>
      <c r="AF510" s="15"/>
    </row>
    <row r="511" spans="1:32" hidden="1">
      <c r="A511" s="1">
        <v>8631233</v>
      </c>
      <c r="B511" s="1" t="s">
        <v>653</v>
      </c>
      <c r="C511" t="s">
        <v>935</v>
      </c>
      <c r="E511" s="2">
        <v>721001400010</v>
      </c>
      <c r="F511" s="1" t="s">
        <v>936</v>
      </c>
      <c r="G511" s="1" t="s">
        <v>53</v>
      </c>
      <c r="H511" s="1" t="s">
        <v>422</v>
      </c>
      <c r="I511" s="1" t="s">
        <v>423</v>
      </c>
      <c r="J511" s="1" t="s">
        <v>79</v>
      </c>
      <c r="K511" t="s">
        <v>937</v>
      </c>
      <c r="M511" s="1" t="s">
        <v>58</v>
      </c>
      <c r="N511" s="1">
        <v>0</v>
      </c>
      <c r="O511" s="1" t="s">
        <v>105</v>
      </c>
      <c r="P511" s="186">
        <v>44713.384895833333</v>
      </c>
      <c r="R511" s="1">
        <v>3</v>
      </c>
      <c r="T511" s="1" t="s">
        <v>646</v>
      </c>
      <c r="U511" s="186">
        <v>44714.384895833333</v>
      </c>
      <c r="V511" s="1" t="s">
        <v>41</v>
      </c>
      <c r="W511" s="1" t="s">
        <v>49</v>
      </c>
      <c r="X511" s="13"/>
      <c r="Y511" s="2">
        <f t="shared" ca="1" si="42"/>
        <v>196</v>
      </c>
      <c r="Z511" s="14">
        <v>1</v>
      </c>
      <c r="AA511" s="1" t="str">
        <f t="shared" ca="1" si="43"/>
        <v>VENCIDO</v>
      </c>
      <c r="AB511" s="1" t="str">
        <f t="shared" si="44"/>
        <v>C-14</v>
      </c>
      <c r="AC511" s="2" t="str">
        <f t="shared" si="47"/>
        <v xml:space="preserve"> ROSEMERE </v>
      </c>
      <c r="AD511" s="2">
        <f t="shared" si="45"/>
        <v>5</v>
      </c>
      <c r="AE511" s="2">
        <f t="shared" ca="1" si="46"/>
        <v>-272.29137581018585</v>
      </c>
      <c r="AF511" s="15"/>
    </row>
    <row r="512" spans="1:32" hidden="1">
      <c r="A512" s="1">
        <v>8631225</v>
      </c>
      <c r="B512" s="1" t="s">
        <v>653</v>
      </c>
      <c r="C512" t="s">
        <v>935</v>
      </c>
      <c r="E512" s="2">
        <v>714001400010</v>
      </c>
      <c r="F512" s="1" t="s">
        <v>936</v>
      </c>
      <c r="G512" s="1" t="s">
        <v>53</v>
      </c>
      <c r="H512" s="1" t="s">
        <v>377</v>
      </c>
      <c r="I512" s="1" t="s">
        <v>378</v>
      </c>
      <c r="J512" s="1" t="s">
        <v>46</v>
      </c>
      <c r="K512" t="s">
        <v>937</v>
      </c>
      <c r="M512" s="1" t="s">
        <v>58</v>
      </c>
      <c r="N512" s="1">
        <v>0</v>
      </c>
      <c r="O512" s="1" t="s">
        <v>105</v>
      </c>
      <c r="P512" s="186">
        <v>44713.384895833333</v>
      </c>
      <c r="R512" s="1">
        <v>3</v>
      </c>
      <c r="T512" s="1" t="s">
        <v>646</v>
      </c>
      <c r="U512" s="186">
        <v>44714.384895833333</v>
      </c>
      <c r="V512" s="1" t="s">
        <v>41</v>
      </c>
      <c r="W512" s="1" t="s">
        <v>49</v>
      </c>
      <c r="X512" s="13"/>
      <c r="Y512" s="2">
        <f t="shared" ca="1" si="42"/>
        <v>196</v>
      </c>
      <c r="Z512" s="14">
        <v>1</v>
      </c>
      <c r="AA512" s="1" t="str">
        <f t="shared" ca="1" si="43"/>
        <v>VENCIDO</v>
      </c>
      <c r="AB512" s="1" t="str">
        <f t="shared" si="44"/>
        <v>C-14</v>
      </c>
      <c r="AC512" s="2" t="str">
        <f t="shared" si="47"/>
        <v xml:space="preserve"> CLEITON </v>
      </c>
      <c r="AD512" s="2">
        <f t="shared" si="45"/>
        <v>5</v>
      </c>
      <c r="AE512" s="2">
        <f t="shared" ca="1" si="46"/>
        <v>-272.29137581018585</v>
      </c>
      <c r="AF512" s="15"/>
    </row>
    <row r="513" spans="1:32" hidden="1">
      <c r="A513" s="1">
        <v>8631223</v>
      </c>
      <c r="B513" s="1" t="s">
        <v>653</v>
      </c>
      <c r="C513" t="s">
        <v>935</v>
      </c>
      <c r="E513" s="2">
        <v>711001400010</v>
      </c>
      <c r="F513" s="1" t="s">
        <v>936</v>
      </c>
      <c r="G513" s="1" t="s">
        <v>53</v>
      </c>
      <c r="H513" s="1" t="s">
        <v>77</v>
      </c>
      <c r="I513" s="1" t="s">
        <v>78</v>
      </c>
      <c r="J513" s="1" t="s">
        <v>79</v>
      </c>
      <c r="K513" t="s">
        <v>937</v>
      </c>
      <c r="M513" s="1" t="s">
        <v>58</v>
      </c>
      <c r="N513" s="1">
        <v>0</v>
      </c>
      <c r="O513" s="1" t="s">
        <v>105</v>
      </c>
      <c r="P513" s="186">
        <v>44713.384884259256</v>
      </c>
      <c r="R513" s="1">
        <v>3</v>
      </c>
      <c r="T513" s="1" t="s">
        <v>646</v>
      </c>
      <c r="U513" s="186">
        <v>44714.384895833333</v>
      </c>
      <c r="V513" s="1" t="s">
        <v>41</v>
      </c>
      <c r="W513" s="1" t="s">
        <v>49</v>
      </c>
      <c r="X513" s="13"/>
      <c r="Y513" s="2">
        <f t="shared" ca="1" si="42"/>
        <v>196</v>
      </c>
      <c r="Z513" s="14">
        <v>1</v>
      </c>
      <c r="AA513" s="1" t="str">
        <f t="shared" ca="1" si="43"/>
        <v>VENCIDO</v>
      </c>
      <c r="AB513" s="1" t="str">
        <f t="shared" si="44"/>
        <v>C-14</v>
      </c>
      <c r="AC513" s="2" t="str">
        <f t="shared" si="47"/>
        <v xml:space="preserve"> ROSEMERE </v>
      </c>
      <c r="AD513" s="2">
        <f t="shared" si="45"/>
        <v>5</v>
      </c>
      <c r="AE513" s="2">
        <f t="shared" ca="1" si="46"/>
        <v>-272.29137581018585</v>
      </c>
      <c r="AF513" s="15"/>
    </row>
    <row r="514" spans="1:32" hidden="1">
      <c r="A514" s="1">
        <v>8631222</v>
      </c>
      <c r="B514" s="1" t="s">
        <v>653</v>
      </c>
      <c r="C514" t="s">
        <v>935</v>
      </c>
      <c r="E514" s="2">
        <v>710001400010</v>
      </c>
      <c r="F514" s="1" t="s">
        <v>936</v>
      </c>
      <c r="G514" s="1" t="s">
        <v>53</v>
      </c>
      <c r="H514" s="1" t="s">
        <v>390</v>
      </c>
      <c r="I514" s="1" t="s">
        <v>391</v>
      </c>
      <c r="J514" s="1" t="s">
        <v>56</v>
      </c>
      <c r="K514" t="s">
        <v>937</v>
      </c>
      <c r="M514" s="1" t="s">
        <v>58</v>
      </c>
      <c r="N514" s="1">
        <v>0</v>
      </c>
      <c r="O514" s="1" t="s">
        <v>105</v>
      </c>
      <c r="P514" s="186">
        <v>44713.384884259256</v>
      </c>
      <c r="R514" s="1">
        <v>3</v>
      </c>
      <c r="T514" s="1" t="s">
        <v>646</v>
      </c>
      <c r="U514" s="186">
        <v>44714.384884259256</v>
      </c>
      <c r="V514" s="1" t="s">
        <v>41</v>
      </c>
      <c r="W514" s="1" t="s">
        <v>49</v>
      </c>
      <c r="X514" s="13"/>
      <c r="Y514" s="2">
        <f t="shared" ref="Y514:Y577" ca="1" si="48">NETWORKDAYS(P514,$Y$1)</f>
        <v>196</v>
      </c>
      <c r="Z514" s="14">
        <v>1</v>
      </c>
      <c r="AA514" s="1" t="str">
        <f t="shared" ref="AA514:AA577" ca="1" si="49">IF(AE514=0,"HOJE",IF(AE514&gt;0,"A VENCER",IF(AE514&lt;0,"VENCIDO")))</f>
        <v>VENCIDO</v>
      </c>
      <c r="AB514" s="1" t="str">
        <f t="shared" ref="AB514:AB577" si="50">IF(F514="GRPE-000001","C-14",IF(F514="GRPE-000002","C-14",IF(F514="GRPE-000003","C-14",IF(F514="GRPE-000004","SL-On",IF(F514="GRPE-000038","C-14",IF(F514="GRPE-900022","Dosa",IF(F514="GRPE-000029","Dosa",IF(F514="ATOS-000222","Dose","TAAe+"))))))))</f>
        <v>C-14</v>
      </c>
      <c r="AC514" s="2" t="str">
        <f t="shared" si="47"/>
        <v xml:space="preserve"> CRISTINA </v>
      </c>
      <c r="AD514" s="2">
        <f t="shared" ref="AD514:AD577" si="51">IF(F514="GRPE-000001",5,IF(F514="GRPE-000002",5,IF(F514="GRPE-000003",15,IF(F514="GRPE-000004",1,IF(F514="GRPE-000038",5,IF(F514="GRPE-900022",5,IF(F514="GRPE-000029",5,IF(F514="ATOS-000222",5,8))))))))</f>
        <v>5</v>
      </c>
      <c r="AE514" s="2">
        <f t="shared" ref="AE514:AE577" ca="1" si="52">IF(U514=$AE$1,"",U514-$AE$1)</f>
        <v>-272.29138738426263</v>
      </c>
      <c r="AF514" s="15"/>
    </row>
    <row r="515" spans="1:32" hidden="1">
      <c r="A515" s="1">
        <v>8631065</v>
      </c>
      <c r="B515" s="1" t="s">
        <v>653</v>
      </c>
      <c r="C515" t="s">
        <v>935</v>
      </c>
      <c r="E515" s="2">
        <v>550001400010</v>
      </c>
      <c r="F515" s="1" t="s">
        <v>936</v>
      </c>
      <c r="G515" s="1" t="s">
        <v>53</v>
      </c>
      <c r="H515" s="1" t="s">
        <v>337</v>
      </c>
      <c r="I515" s="1" t="s">
        <v>338</v>
      </c>
      <c r="J515" s="1" t="s">
        <v>164</v>
      </c>
      <c r="K515" t="s">
        <v>937</v>
      </c>
      <c r="M515" s="1" t="s">
        <v>58</v>
      </c>
      <c r="N515" s="1">
        <v>0</v>
      </c>
      <c r="O515" s="1" t="s">
        <v>105</v>
      </c>
      <c r="P515" s="186">
        <v>44713.384710648148</v>
      </c>
      <c r="R515" s="1">
        <v>3</v>
      </c>
      <c r="T515" s="1" t="s">
        <v>646</v>
      </c>
      <c r="U515" s="186">
        <v>44714.384722222225</v>
      </c>
      <c r="V515" s="1" t="s">
        <v>41</v>
      </c>
      <c r="W515" s="1" t="s">
        <v>49</v>
      </c>
      <c r="X515" s="13"/>
      <c r="Y515" s="2">
        <f t="shared" ca="1" si="48"/>
        <v>196</v>
      </c>
      <c r="Z515" s="14">
        <v>1</v>
      </c>
      <c r="AA515" s="1" t="str">
        <f t="shared" ca="1" si="49"/>
        <v>VENCIDO</v>
      </c>
      <c r="AB515" s="1" t="str">
        <f t="shared" si="50"/>
        <v>C-14</v>
      </c>
      <c r="AC515" s="2" t="str">
        <f t="shared" ref="AC515:AC578" si="53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 xml:space="preserve"> ROSEMERE </v>
      </c>
      <c r="AD515" s="2">
        <f t="shared" si="51"/>
        <v>5</v>
      </c>
      <c r="AE515" s="2">
        <f t="shared" ca="1" si="52"/>
        <v>-272.29154942129389</v>
      </c>
      <c r="AF515" s="15"/>
    </row>
    <row r="516" spans="1:32" hidden="1">
      <c r="A516" s="1">
        <v>8631054</v>
      </c>
      <c r="B516" s="1" t="s">
        <v>653</v>
      </c>
      <c r="C516" t="s">
        <v>935</v>
      </c>
      <c r="E516" s="2">
        <v>537001400010</v>
      </c>
      <c r="F516" s="1" t="s">
        <v>936</v>
      </c>
      <c r="G516" s="1" t="s">
        <v>53</v>
      </c>
      <c r="H516" s="1" t="s">
        <v>442</v>
      </c>
      <c r="I516" s="1" t="s">
        <v>443</v>
      </c>
      <c r="J516" s="1" t="s">
        <v>79</v>
      </c>
      <c r="K516" t="s">
        <v>937</v>
      </c>
      <c r="M516" s="1" t="s">
        <v>58</v>
      </c>
      <c r="N516" s="1">
        <v>0</v>
      </c>
      <c r="O516" s="1" t="s">
        <v>105</v>
      </c>
      <c r="P516" s="186">
        <v>44713.384699074071</v>
      </c>
      <c r="R516" s="1">
        <v>3</v>
      </c>
      <c r="T516" s="1" t="s">
        <v>646</v>
      </c>
      <c r="U516" s="186">
        <v>44714.384699074071</v>
      </c>
      <c r="V516" s="1" t="s">
        <v>41</v>
      </c>
      <c r="W516" s="1" t="s">
        <v>49</v>
      </c>
      <c r="X516" s="13"/>
      <c r="Y516" s="2">
        <f t="shared" ca="1" si="48"/>
        <v>196</v>
      </c>
      <c r="Z516" s="14">
        <v>1</v>
      </c>
      <c r="AA516" s="1" t="str">
        <f t="shared" ca="1" si="49"/>
        <v>VENCIDO</v>
      </c>
      <c r="AB516" s="1" t="str">
        <f t="shared" si="50"/>
        <v>C-14</v>
      </c>
      <c r="AC516" s="2" t="str">
        <f t="shared" si="53"/>
        <v xml:space="preserve"> ROSEMERE </v>
      </c>
      <c r="AD516" s="2">
        <f t="shared" si="51"/>
        <v>5</v>
      </c>
      <c r="AE516" s="2">
        <f t="shared" ca="1" si="52"/>
        <v>-272.29157256944745</v>
      </c>
      <c r="AF516" s="15"/>
    </row>
    <row r="517" spans="1:32" hidden="1">
      <c r="A517" s="1">
        <v>8630966</v>
      </c>
      <c r="B517" s="1" t="s">
        <v>653</v>
      </c>
      <c r="C517" t="s">
        <v>935</v>
      </c>
      <c r="E517" s="2">
        <v>446001400010</v>
      </c>
      <c r="F517" s="1" t="s">
        <v>936</v>
      </c>
      <c r="G517" s="1" t="s">
        <v>53</v>
      </c>
      <c r="H517" s="1" t="s">
        <v>432</v>
      </c>
      <c r="I517" s="1" t="s">
        <v>433</v>
      </c>
      <c r="J517" s="1" t="s">
        <v>110</v>
      </c>
      <c r="K517" t="s">
        <v>937</v>
      </c>
      <c r="M517" s="1" t="s">
        <v>58</v>
      </c>
      <c r="N517" s="1">
        <v>0</v>
      </c>
      <c r="O517" s="1" t="s">
        <v>105</v>
      </c>
      <c r="P517" s="186">
        <v>44713.384594907409</v>
      </c>
      <c r="R517" s="1">
        <v>3</v>
      </c>
      <c r="T517" s="1" t="s">
        <v>646</v>
      </c>
      <c r="U517" s="186">
        <v>44714.384594907409</v>
      </c>
      <c r="V517" s="1" t="s">
        <v>41</v>
      </c>
      <c r="W517" s="1" t="s">
        <v>49</v>
      </c>
      <c r="X517" s="13"/>
      <c r="Y517" s="2">
        <f t="shared" ca="1" si="48"/>
        <v>196</v>
      </c>
      <c r="Z517" s="14">
        <v>1</v>
      </c>
      <c r="AA517" s="1" t="str">
        <f t="shared" ca="1" si="49"/>
        <v>VENCIDO</v>
      </c>
      <c r="AB517" s="1" t="str">
        <f t="shared" si="50"/>
        <v>C-14</v>
      </c>
      <c r="AC517" s="2" t="str">
        <f t="shared" si="53"/>
        <v xml:space="preserve"> CRISTINA </v>
      </c>
      <c r="AD517" s="2">
        <f t="shared" si="51"/>
        <v>5</v>
      </c>
      <c r="AE517" s="2">
        <f t="shared" ca="1" si="52"/>
        <v>-272.29167673610937</v>
      </c>
      <c r="AF517" s="15"/>
    </row>
    <row r="518" spans="1:32" hidden="1">
      <c r="A518" s="1">
        <v>8630840</v>
      </c>
      <c r="B518" s="1" t="s">
        <v>653</v>
      </c>
      <c r="C518" t="s">
        <v>935</v>
      </c>
      <c r="E518" s="2">
        <v>325091400010</v>
      </c>
      <c r="F518" s="1" t="s">
        <v>936</v>
      </c>
      <c r="G518" s="1" t="s">
        <v>53</v>
      </c>
      <c r="H518" s="1" t="s">
        <v>821</v>
      </c>
      <c r="I518" s="1" t="s">
        <v>822</v>
      </c>
      <c r="J518" s="1" t="s">
        <v>46</v>
      </c>
      <c r="K518" t="s">
        <v>937</v>
      </c>
      <c r="M518" s="1" t="s">
        <v>58</v>
      </c>
      <c r="N518" s="1">
        <v>0</v>
      </c>
      <c r="O518" s="1" t="s">
        <v>105</v>
      </c>
      <c r="P518" s="186">
        <v>44713.384456018517</v>
      </c>
      <c r="R518" s="1">
        <v>3</v>
      </c>
      <c r="T518" s="1" t="s">
        <v>646</v>
      </c>
      <c r="U518" s="186">
        <v>44714.384456018517</v>
      </c>
      <c r="V518" s="1" t="s">
        <v>41</v>
      </c>
      <c r="W518" s="1" t="s">
        <v>49</v>
      </c>
      <c r="X518" s="13"/>
      <c r="Y518" s="2">
        <f t="shared" ca="1" si="48"/>
        <v>196</v>
      </c>
      <c r="Z518" s="14">
        <v>1</v>
      </c>
      <c r="AA518" s="1" t="str">
        <f t="shared" ca="1" si="49"/>
        <v>VENCIDO</v>
      </c>
      <c r="AB518" s="1" t="str">
        <f t="shared" si="50"/>
        <v>C-14</v>
      </c>
      <c r="AC518" s="2" t="str">
        <f t="shared" si="53"/>
        <v xml:space="preserve"> CLEITON </v>
      </c>
      <c r="AD518" s="2">
        <f t="shared" si="51"/>
        <v>5</v>
      </c>
      <c r="AE518" s="2">
        <f t="shared" ca="1" si="52"/>
        <v>-272.29181562500162</v>
      </c>
      <c r="AF518" s="15"/>
    </row>
    <row r="519" spans="1:32" hidden="1">
      <c r="A519" s="1">
        <v>8630740</v>
      </c>
      <c r="B519" s="1" t="s">
        <v>653</v>
      </c>
      <c r="C519" t="s">
        <v>935</v>
      </c>
      <c r="E519" s="2">
        <v>233001400010</v>
      </c>
      <c r="F519" s="1" t="s">
        <v>936</v>
      </c>
      <c r="G519" s="1" t="s">
        <v>53</v>
      </c>
      <c r="H519" s="1" t="s">
        <v>424</v>
      </c>
      <c r="I519" s="1" t="s">
        <v>425</v>
      </c>
      <c r="J519" s="1" t="s">
        <v>261</v>
      </c>
      <c r="K519" t="s">
        <v>937</v>
      </c>
      <c r="M519" s="1" t="s">
        <v>58</v>
      </c>
      <c r="N519" s="1">
        <v>0</v>
      </c>
      <c r="O519" s="1" t="s">
        <v>105</v>
      </c>
      <c r="P519" s="186">
        <v>44713.384340277778</v>
      </c>
      <c r="R519" s="1">
        <v>3</v>
      </c>
      <c r="T519" s="1" t="s">
        <v>646</v>
      </c>
      <c r="U519" s="186">
        <v>44714.384340277778</v>
      </c>
      <c r="V519" s="1" t="s">
        <v>41</v>
      </c>
      <c r="W519" s="1" t="s">
        <v>49</v>
      </c>
      <c r="X519" s="13"/>
      <c r="Y519" s="2">
        <f t="shared" ca="1" si="48"/>
        <v>196</v>
      </c>
      <c r="Z519" s="14">
        <v>1</v>
      </c>
      <c r="AA519" s="1" t="str">
        <f t="shared" ca="1" si="49"/>
        <v>VENCIDO</v>
      </c>
      <c r="AB519" s="1" t="str">
        <f t="shared" si="50"/>
        <v>C-14</v>
      </c>
      <c r="AC519" s="2" t="str">
        <f t="shared" si="53"/>
        <v xml:space="preserve"> CRISTINA </v>
      </c>
      <c r="AD519" s="2">
        <f t="shared" si="51"/>
        <v>5</v>
      </c>
      <c r="AE519" s="2">
        <f t="shared" ca="1" si="52"/>
        <v>-272.29193136574031</v>
      </c>
      <c r="AF519" s="15"/>
    </row>
    <row r="520" spans="1:32" hidden="1">
      <c r="A520" s="1">
        <v>8630705</v>
      </c>
      <c r="B520" s="1" t="s">
        <v>653</v>
      </c>
      <c r="C520" t="s">
        <v>935</v>
      </c>
      <c r="E520" s="2">
        <v>196001400010</v>
      </c>
      <c r="F520" s="1" t="s">
        <v>936</v>
      </c>
      <c r="G520" s="1" t="s">
        <v>53</v>
      </c>
      <c r="H520" s="1" t="s">
        <v>1060</v>
      </c>
      <c r="I520" s="1" t="s">
        <v>1061</v>
      </c>
      <c r="J520" s="1" t="s">
        <v>79</v>
      </c>
      <c r="K520" t="s">
        <v>937</v>
      </c>
      <c r="M520" s="1" t="s">
        <v>58</v>
      </c>
      <c r="N520" s="1">
        <v>0</v>
      </c>
      <c r="O520" s="1" t="s">
        <v>105</v>
      </c>
      <c r="P520" s="186">
        <v>44713.384305555555</v>
      </c>
      <c r="R520" s="1">
        <v>3</v>
      </c>
      <c r="T520" s="1" t="s">
        <v>646</v>
      </c>
      <c r="U520" s="186">
        <v>44714.384305555555</v>
      </c>
      <c r="V520" s="1" t="s">
        <v>41</v>
      </c>
      <c r="W520" s="1" t="s">
        <v>49</v>
      </c>
      <c r="X520" s="13"/>
      <c r="Y520" s="2">
        <f t="shared" ca="1" si="48"/>
        <v>196</v>
      </c>
      <c r="Z520" s="14">
        <v>1</v>
      </c>
      <c r="AA520" s="1" t="str">
        <f t="shared" ca="1" si="49"/>
        <v>VENCIDO</v>
      </c>
      <c r="AB520" s="1" t="str">
        <f t="shared" si="50"/>
        <v>C-14</v>
      </c>
      <c r="AC520" s="2" t="str">
        <f t="shared" si="53"/>
        <v xml:space="preserve"> ROSEMERE </v>
      </c>
      <c r="AD520" s="2">
        <f t="shared" si="51"/>
        <v>5</v>
      </c>
      <c r="AE520" s="2">
        <f t="shared" ca="1" si="52"/>
        <v>-272.29196608796337</v>
      </c>
      <c r="AF520" s="15"/>
    </row>
    <row r="521" spans="1:32" hidden="1">
      <c r="A521" s="1">
        <v>8630554</v>
      </c>
      <c r="B521" s="1" t="s">
        <v>653</v>
      </c>
      <c r="C521" t="s">
        <v>935</v>
      </c>
      <c r="E521" s="2">
        <v>7651400010</v>
      </c>
      <c r="F521" s="1" t="s">
        <v>936</v>
      </c>
      <c r="G521" s="1" t="s">
        <v>53</v>
      </c>
      <c r="H521" s="1" t="s">
        <v>827</v>
      </c>
      <c r="I521" s="1" t="s">
        <v>828</v>
      </c>
      <c r="J521" s="1" t="s">
        <v>46</v>
      </c>
      <c r="K521" t="s">
        <v>937</v>
      </c>
      <c r="M521" s="1" t="s">
        <v>58</v>
      </c>
      <c r="N521" s="1">
        <v>0</v>
      </c>
      <c r="O521" s="1" t="s">
        <v>105</v>
      </c>
      <c r="P521" s="186">
        <v>44713.384120370371</v>
      </c>
      <c r="R521" s="1">
        <v>3</v>
      </c>
      <c r="T521" s="1" t="s">
        <v>646</v>
      </c>
      <c r="U521" s="186">
        <v>44714.384120370371</v>
      </c>
      <c r="V521" s="1" t="s">
        <v>41</v>
      </c>
      <c r="W521" s="1" t="s">
        <v>49</v>
      </c>
      <c r="X521" s="13"/>
      <c r="Y521" s="2">
        <f t="shared" ca="1" si="48"/>
        <v>196</v>
      </c>
      <c r="Z521" s="14">
        <v>1</v>
      </c>
      <c r="AA521" s="1" t="str">
        <f t="shared" ca="1" si="49"/>
        <v>VENCIDO</v>
      </c>
      <c r="AB521" s="1" t="str">
        <f t="shared" si="50"/>
        <v>C-14</v>
      </c>
      <c r="AC521" s="2" t="str">
        <f t="shared" si="53"/>
        <v xml:space="preserve"> CLEITON </v>
      </c>
      <c r="AD521" s="2">
        <f t="shared" si="51"/>
        <v>5</v>
      </c>
      <c r="AE521" s="2">
        <f t="shared" ca="1" si="52"/>
        <v>-272.29215127314819</v>
      </c>
      <c r="AF521" s="15"/>
    </row>
    <row r="522" spans="1:32">
      <c r="A522" s="1">
        <v>8630381</v>
      </c>
      <c r="B522" s="1" t="s">
        <v>101</v>
      </c>
      <c r="C522" t="s">
        <v>643</v>
      </c>
      <c r="D522" s="2">
        <v>220094909</v>
      </c>
      <c r="E522" s="2">
        <v>1362001400030</v>
      </c>
      <c r="F522" s="1" t="s">
        <v>647</v>
      </c>
      <c r="G522" s="1" t="s">
        <v>53</v>
      </c>
      <c r="H522" s="1" t="s">
        <v>268</v>
      </c>
      <c r="I522" s="1" t="s">
        <v>269</v>
      </c>
      <c r="J522" s="1" t="s">
        <v>90</v>
      </c>
      <c r="K522" t="s">
        <v>650</v>
      </c>
      <c r="M522" s="1" t="s">
        <v>58</v>
      </c>
      <c r="N522" s="1">
        <v>0</v>
      </c>
      <c r="O522" s="1" t="s">
        <v>105</v>
      </c>
      <c r="P522" s="186">
        <v>44713.377708333333</v>
      </c>
      <c r="R522" s="1">
        <v>4</v>
      </c>
      <c r="T522" s="1" t="s">
        <v>646</v>
      </c>
      <c r="U522" s="186">
        <v>44714.377708333333</v>
      </c>
      <c r="V522" s="1" t="s">
        <v>41</v>
      </c>
      <c r="W522" s="1" t="s">
        <v>49</v>
      </c>
      <c r="X522" s="13"/>
      <c r="Y522" s="2">
        <f t="shared" ca="1" si="48"/>
        <v>196</v>
      </c>
      <c r="Z522" s="14">
        <v>1</v>
      </c>
      <c r="AA522" s="1" t="str">
        <f t="shared" ca="1" si="49"/>
        <v>VENCIDO</v>
      </c>
      <c r="AB522" s="1" t="str">
        <f t="shared" si="50"/>
        <v>C-14</v>
      </c>
      <c r="AC522" s="2" t="str">
        <f t="shared" si="53"/>
        <v xml:space="preserve"> RINALDO </v>
      </c>
      <c r="AD522" s="2">
        <f t="shared" si="51"/>
        <v>15</v>
      </c>
      <c r="AE522" s="2">
        <f t="shared" ca="1" si="52"/>
        <v>-272.29856331018527</v>
      </c>
      <c r="AF522" s="15"/>
    </row>
    <row r="523" spans="1:32" hidden="1">
      <c r="A523" s="1">
        <v>8630306</v>
      </c>
      <c r="B523" s="1" t="s">
        <v>101</v>
      </c>
      <c r="C523" t="s">
        <v>643</v>
      </c>
      <c r="D523" s="2">
        <v>220094756</v>
      </c>
      <c r="E523" s="2">
        <v>1049001400030</v>
      </c>
      <c r="F523" s="1" t="s">
        <v>647</v>
      </c>
      <c r="G523" s="1" t="s">
        <v>53</v>
      </c>
      <c r="H523" s="1" t="s">
        <v>169</v>
      </c>
      <c r="I523" s="1" t="s">
        <v>170</v>
      </c>
      <c r="J523" s="1" t="s">
        <v>164</v>
      </c>
      <c r="K523" t="s">
        <v>650</v>
      </c>
      <c r="M523" s="1" t="s">
        <v>58</v>
      </c>
      <c r="N523" s="1">
        <v>0</v>
      </c>
      <c r="O523" s="1" t="s">
        <v>105</v>
      </c>
      <c r="P523" s="186">
        <v>44713.373645833337</v>
      </c>
      <c r="R523" s="1">
        <v>4</v>
      </c>
      <c r="T523" s="1" t="s">
        <v>646</v>
      </c>
      <c r="U523" s="186">
        <v>44714.373657407406</v>
      </c>
      <c r="V523" s="1" t="s">
        <v>41</v>
      </c>
      <c r="W523" s="1" t="s">
        <v>49</v>
      </c>
      <c r="X523" s="13"/>
      <c r="Y523" s="2">
        <f t="shared" ca="1" si="48"/>
        <v>196</v>
      </c>
      <c r="Z523" s="14">
        <v>1</v>
      </c>
      <c r="AA523" s="1" t="str">
        <f t="shared" ca="1" si="49"/>
        <v>VENCIDO</v>
      </c>
      <c r="AB523" s="1" t="str">
        <f t="shared" si="50"/>
        <v>C-14</v>
      </c>
      <c r="AC523" s="2" t="str">
        <f t="shared" si="53"/>
        <v xml:space="preserve"> ROSEMERE </v>
      </c>
      <c r="AD523" s="2">
        <f t="shared" si="51"/>
        <v>15</v>
      </c>
      <c r="AE523" s="2">
        <f t="shared" ca="1" si="52"/>
        <v>-272.30261423611228</v>
      </c>
      <c r="AF523" s="15"/>
    </row>
    <row r="524" spans="1:32">
      <c r="A524" s="1">
        <v>8629148</v>
      </c>
      <c r="B524" s="1" t="s">
        <v>101</v>
      </c>
      <c r="C524" t="s">
        <v>643</v>
      </c>
      <c r="D524" s="2">
        <v>220092695</v>
      </c>
      <c r="E524" s="2">
        <v>1362001400010</v>
      </c>
      <c r="F524" s="1" t="s">
        <v>936</v>
      </c>
      <c r="G524" s="1" t="s">
        <v>53</v>
      </c>
      <c r="H524" s="1" t="s">
        <v>268</v>
      </c>
      <c r="I524" s="1" t="s">
        <v>269</v>
      </c>
      <c r="J524" s="1" t="s">
        <v>90</v>
      </c>
      <c r="K524" t="s">
        <v>937</v>
      </c>
      <c r="M524" s="1" t="s">
        <v>58</v>
      </c>
      <c r="N524" s="1">
        <v>0</v>
      </c>
      <c r="O524" s="1" t="s">
        <v>105</v>
      </c>
      <c r="P524" s="186">
        <v>44713.314988425926</v>
      </c>
      <c r="R524" s="1">
        <v>3</v>
      </c>
      <c r="T524" s="1" t="s">
        <v>646</v>
      </c>
      <c r="U524" s="186">
        <v>44714.314988425926</v>
      </c>
      <c r="V524" s="1" t="s">
        <v>41</v>
      </c>
      <c r="W524" s="1" t="s">
        <v>49</v>
      </c>
      <c r="X524" s="13"/>
      <c r="Y524" s="2">
        <f t="shared" ca="1" si="48"/>
        <v>196</v>
      </c>
      <c r="Z524" s="14">
        <v>1</v>
      </c>
      <c r="AA524" s="1" t="str">
        <f t="shared" ca="1" si="49"/>
        <v>VENCIDO</v>
      </c>
      <c r="AB524" s="1" t="str">
        <f t="shared" si="50"/>
        <v>C-14</v>
      </c>
      <c r="AC524" s="2" t="str">
        <f t="shared" si="53"/>
        <v xml:space="preserve"> RINALDO </v>
      </c>
      <c r="AD524" s="2">
        <f t="shared" si="51"/>
        <v>5</v>
      </c>
      <c r="AE524" s="2">
        <f t="shared" ca="1" si="52"/>
        <v>-272.36128321759315</v>
      </c>
      <c r="AF524" s="15"/>
    </row>
    <row r="525" spans="1:32" hidden="1">
      <c r="A525" s="1">
        <v>8629041</v>
      </c>
      <c r="B525" s="1" t="s">
        <v>101</v>
      </c>
      <c r="C525" t="s">
        <v>643</v>
      </c>
      <c r="D525" s="2">
        <v>220092544</v>
      </c>
      <c r="E525" s="2">
        <v>1049001400010</v>
      </c>
      <c r="F525" s="1" t="s">
        <v>936</v>
      </c>
      <c r="G525" s="1" t="s">
        <v>53</v>
      </c>
      <c r="H525" s="1" t="s">
        <v>169</v>
      </c>
      <c r="I525" s="1" t="s">
        <v>170</v>
      </c>
      <c r="J525" s="1" t="s">
        <v>164</v>
      </c>
      <c r="K525" t="s">
        <v>937</v>
      </c>
      <c r="M525" s="1" t="s">
        <v>58</v>
      </c>
      <c r="N525" s="1">
        <v>0</v>
      </c>
      <c r="O525" s="1" t="s">
        <v>105</v>
      </c>
      <c r="P525" s="186">
        <v>44713.308981481481</v>
      </c>
      <c r="R525" s="1">
        <v>3</v>
      </c>
      <c r="T525" s="1" t="s">
        <v>646</v>
      </c>
      <c r="U525" s="186">
        <v>44714.308981481481</v>
      </c>
      <c r="V525" s="1" t="s">
        <v>41</v>
      </c>
      <c r="W525" s="1" t="s">
        <v>49</v>
      </c>
      <c r="X525" s="13"/>
      <c r="Y525" s="2">
        <f t="shared" ca="1" si="48"/>
        <v>196</v>
      </c>
      <c r="Z525" s="14">
        <v>1</v>
      </c>
      <c r="AA525" s="1" t="str">
        <f t="shared" ca="1" si="49"/>
        <v>VENCIDO</v>
      </c>
      <c r="AB525" s="1" t="str">
        <f t="shared" si="50"/>
        <v>C-14</v>
      </c>
      <c r="AC525" s="2" t="str">
        <f t="shared" si="53"/>
        <v xml:space="preserve"> ROSEMERE </v>
      </c>
      <c r="AD525" s="2">
        <f t="shared" si="51"/>
        <v>5</v>
      </c>
      <c r="AE525" s="2">
        <f t="shared" ca="1" si="52"/>
        <v>-272.36729016203753</v>
      </c>
      <c r="AF525" s="15"/>
    </row>
    <row r="526" spans="1:32">
      <c r="A526" s="1">
        <v>8672365</v>
      </c>
      <c r="B526" s="1" t="s">
        <v>62</v>
      </c>
      <c r="C526" t="s">
        <v>1074</v>
      </c>
      <c r="E526" s="2">
        <v>2156000203000</v>
      </c>
      <c r="F526" s="1" t="s">
        <v>454</v>
      </c>
      <c r="G526" s="1" t="s">
        <v>53</v>
      </c>
      <c r="H526" s="1" t="s">
        <v>278</v>
      </c>
      <c r="I526" s="1" t="s">
        <v>279</v>
      </c>
      <c r="J526" s="1" t="s">
        <v>211</v>
      </c>
      <c r="K526" t="s">
        <v>457</v>
      </c>
      <c r="M526" s="1" t="s">
        <v>58</v>
      </c>
      <c r="N526" s="1">
        <v>0</v>
      </c>
      <c r="O526" s="1" t="s">
        <v>105</v>
      </c>
      <c r="P526" s="186">
        <v>44722.462719907409</v>
      </c>
      <c r="R526" s="1">
        <v>1</v>
      </c>
      <c r="T526" s="1" t="s">
        <v>157</v>
      </c>
      <c r="U526" s="186">
        <v>44757.75</v>
      </c>
      <c r="V526" s="1" t="s">
        <v>41</v>
      </c>
      <c r="W526" s="1" t="s">
        <v>49</v>
      </c>
      <c r="X526" s="13"/>
      <c r="Y526" s="2">
        <f t="shared" ca="1" si="48"/>
        <v>189</v>
      </c>
      <c r="Z526" s="14">
        <v>1</v>
      </c>
      <c r="AA526" s="1" t="str">
        <f t="shared" ca="1" si="49"/>
        <v>VENCIDO</v>
      </c>
      <c r="AB526" s="1" t="str">
        <f t="shared" si="50"/>
        <v>C-14</v>
      </c>
      <c r="AC526" s="2" t="str">
        <f t="shared" si="53"/>
        <v xml:space="preserve"> RINALDO </v>
      </c>
      <c r="AD526" s="2">
        <f t="shared" si="51"/>
        <v>5</v>
      </c>
      <c r="AE526" s="2">
        <f t="shared" ca="1" si="52"/>
        <v>-228.9262716435187</v>
      </c>
      <c r="AF526" s="15"/>
    </row>
    <row r="527" spans="1:32" hidden="1">
      <c r="A527" s="1">
        <v>8711475</v>
      </c>
      <c r="B527" s="1" t="s">
        <v>62</v>
      </c>
      <c r="C527" t="s">
        <v>1075</v>
      </c>
      <c r="E527" s="2">
        <v>7420000203000</v>
      </c>
      <c r="F527" s="1" t="s">
        <v>454</v>
      </c>
      <c r="G527" s="1" t="s">
        <v>30</v>
      </c>
      <c r="H527" s="1" t="s">
        <v>1076</v>
      </c>
      <c r="I527" s="1" t="s">
        <v>1077</v>
      </c>
      <c r="J527" s="1" t="s">
        <v>46</v>
      </c>
      <c r="K527" t="s">
        <v>457</v>
      </c>
      <c r="M527" s="1" t="s">
        <v>58</v>
      </c>
      <c r="N527" s="1">
        <v>0</v>
      </c>
      <c r="O527" s="1" t="s">
        <v>36</v>
      </c>
      <c r="P527" s="186">
        <v>44740.585196759261</v>
      </c>
      <c r="R527" s="1" t="s">
        <v>38</v>
      </c>
      <c r="T527" s="1" t="s">
        <v>157</v>
      </c>
      <c r="U527" s="186">
        <v>44810.75</v>
      </c>
      <c r="V527" s="1" t="s">
        <v>41</v>
      </c>
      <c r="W527" s="1" t="s">
        <v>49</v>
      </c>
      <c r="X527" s="13"/>
      <c r="Y527" s="2">
        <f t="shared" ca="1" si="48"/>
        <v>177</v>
      </c>
      <c r="Z527" s="14">
        <v>1</v>
      </c>
      <c r="AA527" s="1" t="str">
        <f t="shared" ca="1" si="49"/>
        <v>VENCIDO</v>
      </c>
      <c r="AB527" s="1" t="str">
        <f t="shared" si="50"/>
        <v>C-14</v>
      </c>
      <c r="AC527" s="2" t="str">
        <f t="shared" si="53"/>
        <v xml:space="preserve"> CLEITON </v>
      </c>
      <c r="AD527" s="2">
        <f t="shared" si="51"/>
        <v>5</v>
      </c>
      <c r="AE527" s="2">
        <f t="shared" ca="1" si="52"/>
        <v>-175.9262716435187</v>
      </c>
      <c r="AF527" s="15"/>
    </row>
    <row r="528" spans="1:32">
      <c r="A528" s="1">
        <v>8733876</v>
      </c>
      <c r="B528" s="1" t="s">
        <v>62</v>
      </c>
      <c r="C528" t="s">
        <v>1078</v>
      </c>
      <c r="E528" s="2">
        <v>1028000203000</v>
      </c>
      <c r="F528" s="1" t="s">
        <v>454</v>
      </c>
      <c r="G528" s="1" t="s">
        <v>53</v>
      </c>
      <c r="H528" s="1" t="s">
        <v>1079</v>
      </c>
      <c r="I528" s="1" t="s">
        <v>1080</v>
      </c>
      <c r="J528" s="1" t="s">
        <v>85</v>
      </c>
      <c r="K528" t="s">
        <v>457</v>
      </c>
      <c r="M528" s="1" t="s">
        <v>58</v>
      </c>
      <c r="N528" s="1">
        <v>0</v>
      </c>
      <c r="O528" s="1" t="s">
        <v>36</v>
      </c>
      <c r="P528" s="186">
        <v>44749.648923611108</v>
      </c>
      <c r="R528" s="1">
        <v>1</v>
      </c>
      <c r="T528" s="1" t="s">
        <v>157</v>
      </c>
      <c r="U528" s="186">
        <v>44783.75</v>
      </c>
      <c r="V528" s="1" t="s">
        <v>41</v>
      </c>
      <c r="W528" s="1" t="s">
        <v>49</v>
      </c>
      <c r="X528" s="13"/>
      <c r="Y528" s="2">
        <f t="shared" ca="1" si="48"/>
        <v>170</v>
      </c>
      <c r="Z528" s="14">
        <v>1</v>
      </c>
      <c r="AA528" s="1" t="str">
        <f t="shared" ca="1" si="49"/>
        <v>VENCIDO</v>
      </c>
      <c r="AB528" s="1" t="str">
        <f t="shared" si="50"/>
        <v>C-14</v>
      </c>
      <c r="AC528" s="2" t="str">
        <f t="shared" si="53"/>
        <v xml:space="preserve"> RINALDO </v>
      </c>
      <c r="AD528" s="2">
        <f t="shared" si="51"/>
        <v>5</v>
      </c>
      <c r="AE528" s="2">
        <f t="shared" ca="1" si="52"/>
        <v>-202.9262716435187</v>
      </c>
      <c r="AF528" s="15"/>
    </row>
    <row r="529" spans="1:32">
      <c r="A529" s="1">
        <v>8736689</v>
      </c>
      <c r="B529" s="1" t="s">
        <v>62</v>
      </c>
      <c r="C529" t="s">
        <v>1083</v>
      </c>
      <c r="E529" s="2">
        <v>600000203000</v>
      </c>
      <c r="F529" s="1" t="s">
        <v>454</v>
      </c>
      <c r="G529" s="1" t="s">
        <v>53</v>
      </c>
      <c r="H529" s="1" t="s">
        <v>1084</v>
      </c>
      <c r="I529" s="1" t="s">
        <v>1085</v>
      </c>
      <c r="J529" s="1" t="s">
        <v>90</v>
      </c>
      <c r="K529" t="s">
        <v>457</v>
      </c>
      <c r="M529" s="1" t="s">
        <v>58</v>
      </c>
      <c r="N529" s="1">
        <v>0</v>
      </c>
      <c r="O529" s="1" t="s">
        <v>36</v>
      </c>
      <c r="P529" s="186">
        <v>44750.694236111114</v>
      </c>
      <c r="R529" s="1">
        <v>1</v>
      </c>
      <c r="T529" s="1" t="s">
        <v>157</v>
      </c>
      <c r="U529" s="186">
        <v>44784.75</v>
      </c>
      <c r="V529" s="1" t="s">
        <v>41</v>
      </c>
      <c r="W529" s="1" t="s">
        <v>49</v>
      </c>
      <c r="X529" s="13"/>
      <c r="Y529" s="2">
        <f t="shared" ca="1" si="48"/>
        <v>169</v>
      </c>
      <c r="Z529" s="14">
        <v>1</v>
      </c>
      <c r="AA529" s="1" t="str">
        <f t="shared" ca="1" si="49"/>
        <v>VENCIDO</v>
      </c>
      <c r="AB529" s="1" t="str">
        <f t="shared" si="50"/>
        <v>C-14</v>
      </c>
      <c r="AC529" s="2" t="str">
        <f t="shared" si="53"/>
        <v xml:space="preserve"> RINALDO </v>
      </c>
      <c r="AD529" s="2">
        <f t="shared" si="51"/>
        <v>5</v>
      </c>
      <c r="AE529" s="2">
        <f t="shared" ca="1" si="52"/>
        <v>-201.9262716435187</v>
      </c>
      <c r="AF529" s="15"/>
    </row>
    <row r="530" spans="1:32" hidden="1">
      <c r="A530" s="1">
        <v>8741273</v>
      </c>
      <c r="B530" s="1" t="s">
        <v>62</v>
      </c>
      <c r="C530" t="s">
        <v>1086</v>
      </c>
      <c r="E530" s="2">
        <v>3924000202021</v>
      </c>
      <c r="F530" s="1" t="s">
        <v>103</v>
      </c>
      <c r="G530" s="1" t="s">
        <v>53</v>
      </c>
      <c r="H530" s="1" t="s">
        <v>153</v>
      </c>
      <c r="I530" s="1" t="s">
        <v>154</v>
      </c>
      <c r="J530" s="1" t="s">
        <v>56</v>
      </c>
      <c r="K530" t="s">
        <v>104</v>
      </c>
      <c r="M530" s="1" t="s">
        <v>58</v>
      </c>
      <c r="N530" s="1">
        <v>0</v>
      </c>
      <c r="O530" s="1" t="s">
        <v>36</v>
      </c>
      <c r="P530" s="186">
        <v>44753.486932870372</v>
      </c>
      <c r="R530" s="1" t="s">
        <v>38</v>
      </c>
      <c r="T530" s="1" t="s">
        <v>74</v>
      </c>
      <c r="U530" s="186">
        <v>44792.75</v>
      </c>
      <c r="V530" s="1" t="s">
        <v>41</v>
      </c>
      <c r="W530" s="1" t="s">
        <v>49</v>
      </c>
      <c r="X530" s="13"/>
      <c r="Y530" s="2">
        <f t="shared" ca="1" si="48"/>
        <v>168</v>
      </c>
      <c r="Z530" s="14">
        <v>1</v>
      </c>
      <c r="AA530" s="1" t="str">
        <f t="shared" ca="1" si="49"/>
        <v>VENCIDO</v>
      </c>
      <c r="AB530" s="1" t="str">
        <f t="shared" si="50"/>
        <v>Dosa</v>
      </c>
      <c r="AC530" s="2" t="str">
        <f t="shared" si="53"/>
        <v xml:space="preserve"> CRISTINA </v>
      </c>
      <c r="AD530" s="2">
        <f t="shared" si="51"/>
        <v>5</v>
      </c>
      <c r="AE530" s="2">
        <f t="shared" ca="1" si="52"/>
        <v>-193.9262716435187</v>
      </c>
      <c r="AF530" s="15"/>
    </row>
    <row r="531" spans="1:32" hidden="1">
      <c r="A531" s="1">
        <v>8741199</v>
      </c>
      <c r="B531" s="1" t="s">
        <v>1087</v>
      </c>
      <c r="C531" t="s">
        <v>1088</v>
      </c>
      <c r="E531" s="2">
        <v>244000206021</v>
      </c>
      <c r="F531" s="1" t="s">
        <v>103</v>
      </c>
      <c r="G531" s="1" t="s">
        <v>53</v>
      </c>
      <c r="H531" s="1" t="s">
        <v>313</v>
      </c>
      <c r="I531" s="1" t="s">
        <v>314</v>
      </c>
      <c r="J531" s="1" t="s">
        <v>56</v>
      </c>
      <c r="K531" t="s">
        <v>104</v>
      </c>
      <c r="M531" s="1" t="s">
        <v>58</v>
      </c>
      <c r="N531" s="1">
        <v>0</v>
      </c>
      <c r="O531" s="1" t="s">
        <v>105</v>
      </c>
      <c r="P531" s="186">
        <v>44753.480740740742</v>
      </c>
      <c r="R531" s="1" t="s">
        <v>38</v>
      </c>
      <c r="T531" s="1" t="s">
        <v>74</v>
      </c>
      <c r="U531" s="186">
        <v>44792.75</v>
      </c>
      <c r="V531" s="1" t="s">
        <v>41</v>
      </c>
      <c r="W531" s="1" t="s">
        <v>49</v>
      </c>
      <c r="X531" s="13"/>
      <c r="Y531" s="2">
        <f t="shared" ca="1" si="48"/>
        <v>168</v>
      </c>
      <c r="Z531" s="14">
        <v>1</v>
      </c>
      <c r="AA531" s="1" t="str">
        <f t="shared" ca="1" si="49"/>
        <v>VENCIDO</v>
      </c>
      <c r="AB531" s="1" t="str">
        <f t="shared" si="50"/>
        <v>Dosa</v>
      </c>
      <c r="AC531" s="2" t="str">
        <f t="shared" si="53"/>
        <v xml:space="preserve"> CRISTINA </v>
      </c>
      <c r="AD531" s="2">
        <f t="shared" si="51"/>
        <v>5</v>
      </c>
      <c r="AE531" s="2">
        <f t="shared" ca="1" si="52"/>
        <v>-193.9262716435187</v>
      </c>
      <c r="AF531" s="15"/>
    </row>
    <row r="532" spans="1:32" hidden="1">
      <c r="A532" s="1">
        <v>8756684</v>
      </c>
      <c r="B532" s="1" t="s">
        <v>62</v>
      </c>
      <c r="C532" t="s">
        <v>1089</v>
      </c>
      <c r="E532" s="2">
        <v>3258000203000</v>
      </c>
      <c r="F532" s="1" t="s">
        <v>454</v>
      </c>
      <c r="G532" s="1" t="s">
        <v>53</v>
      </c>
      <c r="H532" s="1" t="s">
        <v>321</v>
      </c>
      <c r="I532" s="1" t="s">
        <v>322</v>
      </c>
      <c r="J532" s="1" t="s">
        <v>46</v>
      </c>
      <c r="K532" t="s">
        <v>457</v>
      </c>
      <c r="M532" s="1" t="s">
        <v>58</v>
      </c>
      <c r="N532" s="1">
        <v>0</v>
      </c>
      <c r="O532" s="1" t="s">
        <v>36</v>
      </c>
      <c r="P532" s="186">
        <v>44760.389502314814</v>
      </c>
      <c r="R532" s="1">
        <v>1</v>
      </c>
      <c r="T532" s="1" t="s">
        <v>157</v>
      </c>
      <c r="U532" s="186">
        <v>44833.75</v>
      </c>
      <c r="V532" s="1" t="s">
        <v>41</v>
      </c>
      <c r="W532" s="1" t="s">
        <v>49</v>
      </c>
      <c r="X532" s="13"/>
      <c r="Y532" s="2">
        <f t="shared" ca="1" si="48"/>
        <v>163</v>
      </c>
      <c r="Z532" s="14">
        <v>1</v>
      </c>
      <c r="AA532" s="1" t="str">
        <f t="shared" ca="1" si="49"/>
        <v>VENCIDO</v>
      </c>
      <c r="AB532" s="1" t="str">
        <f t="shared" si="50"/>
        <v>C-14</v>
      </c>
      <c r="AC532" s="2" t="str">
        <f t="shared" si="53"/>
        <v xml:space="preserve"> CLEITON </v>
      </c>
      <c r="AD532" s="2">
        <f t="shared" si="51"/>
        <v>5</v>
      </c>
      <c r="AE532" s="2">
        <f t="shared" ca="1" si="52"/>
        <v>-152.9262716435187</v>
      </c>
      <c r="AF532" s="15"/>
    </row>
    <row r="533" spans="1:32" hidden="1">
      <c r="A533" s="1">
        <v>8773434</v>
      </c>
      <c r="B533" s="1" t="s">
        <v>62</v>
      </c>
      <c r="C533" t="s">
        <v>1092</v>
      </c>
      <c r="E533" s="2">
        <v>1049000203010</v>
      </c>
      <c r="F533" s="1" t="s">
        <v>152</v>
      </c>
      <c r="G533" s="1" t="s">
        <v>53</v>
      </c>
      <c r="H533" s="1" t="s">
        <v>169</v>
      </c>
      <c r="I533" s="1" t="s">
        <v>170</v>
      </c>
      <c r="J533" s="1" t="s">
        <v>164</v>
      </c>
      <c r="K533" t="s">
        <v>155</v>
      </c>
      <c r="M533" s="1" t="s">
        <v>35</v>
      </c>
      <c r="N533" s="1">
        <v>42318949</v>
      </c>
      <c r="O533" s="1" t="s">
        <v>36</v>
      </c>
      <c r="P533" s="186">
        <v>44767.715925925928</v>
      </c>
      <c r="R533" s="1">
        <v>1</v>
      </c>
      <c r="T533" s="1" t="s">
        <v>157</v>
      </c>
      <c r="U533" s="186">
        <v>44799.75</v>
      </c>
      <c r="V533" s="1" t="s">
        <v>41</v>
      </c>
      <c r="W533" s="1" t="s">
        <v>49</v>
      </c>
      <c r="X533" s="13"/>
      <c r="Y533" s="2">
        <f t="shared" ca="1" si="48"/>
        <v>158</v>
      </c>
      <c r="Z533" s="14">
        <v>1</v>
      </c>
      <c r="AA533" s="1" t="str">
        <f t="shared" ca="1" si="49"/>
        <v>VENCIDO</v>
      </c>
      <c r="AB533" s="1" t="str">
        <f t="shared" si="50"/>
        <v>TAAe+</v>
      </c>
      <c r="AC533" s="2" t="str">
        <f t="shared" si="53"/>
        <v xml:space="preserve"> ROSEMERE </v>
      </c>
      <c r="AD533" s="2">
        <f t="shared" si="51"/>
        <v>8</v>
      </c>
      <c r="AE533" s="2">
        <f t="shared" ca="1" si="52"/>
        <v>-186.9262716435187</v>
      </c>
      <c r="AF533" s="15"/>
    </row>
    <row r="534" spans="1:32">
      <c r="A534" s="1">
        <v>8792760</v>
      </c>
      <c r="B534" s="1" t="s">
        <v>62</v>
      </c>
      <c r="C534" t="s">
        <v>1095</v>
      </c>
      <c r="E534" s="2">
        <v>605000203000</v>
      </c>
      <c r="F534" s="1" t="s">
        <v>454</v>
      </c>
      <c r="G534" s="1" t="s">
        <v>53</v>
      </c>
      <c r="H534" s="1" t="s">
        <v>420</v>
      </c>
      <c r="I534" s="1" t="s">
        <v>421</v>
      </c>
      <c r="J534" s="1" t="s">
        <v>90</v>
      </c>
      <c r="K534" t="s">
        <v>457</v>
      </c>
      <c r="M534" s="1" t="s">
        <v>58</v>
      </c>
      <c r="N534" s="1">
        <v>0</v>
      </c>
      <c r="O534" s="1" t="s">
        <v>105</v>
      </c>
      <c r="P534" s="186">
        <v>44774.393900462965</v>
      </c>
      <c r="R534" s="1">
        <v>1</v>
      </c>
      <c r="T534" s="1" t="s">
        <v>157</v>
      </c>
      <c r="U534" s="186">
        <v>44806.75</v>
      </c>
      <c r="V534" s="1" t="s">
        <v>41</v>
      </c>
      <c r="W534" s="1" t="s">
        <v>49</v>
      </c>
      <c r="X534" s="13"/>
      <c r="Y534" s="2">
        <f t="shared" ca="1" si="48"/>
        <v>153</v>
      </c>
      <c r="Z534" s="14">
        <v>1</v>
      </c>
      <c r="AA534" s="1" t="str">
        <f t="shared" ca="1" si="49"/>
        <v>VENCIDO</v>
      </c>
      <c r="AB534" s="1" t="str">
        <f t="shared" si="50"/>
        <v>C-14</v>
      </c>
      <c r="AC534" s="2" t="str">
        <f t="shared" si="53"/>
        <v xml:space="preserve"> RINALDO </v>
      </c>
      <c r="AD534" s="2">
        <f t="shared" si="51"/>
        <v>5</v>
      </c>
      <c r="AE534" s="2">
        <f t="shared" ca="1" si="52"/>
        <v>-179.9262716435187</v>
      </c>
      <c r="AF534" s="15"/>
    </row>
    <row r="535" spans="1:32">
      <c r="A535" s="1">
        <v>8791670</v>
      </c>
      <c r="B535" s="1" t="s">
        <v>101</v>
      </c>
      <c r="C535" t="s">
        <v>643</v>
      </c>
      <c r="D535" s="2">
        <v>220127985</v>
      </c>
      <c r="E535" s="2">
        <v>2069001400030</v>
      </c>
      <c r="F535" s="1" t="s">
        <v>647</v>
      </c>
      <c r="G535" s="1" t="s">
        <v>53</v>
      </c>
      <c r="H535" s="1" t="s">
        <v>557</v>
      </c>
      <c r="I535" s="1" t="s">
        <v>558</v>
      </c>
      <c r="J535" s="1" t="s">
        <v>90</v>
      </c>
      <c r="K535" t="s">
        <v>650</v>
      </c>
      <c r="M535" s="1" t="s">
        <v>58</v>
      </c>
      <c r="N535" s="1">
        <v>0</v>
      </c>
      <c r="O535" s="1" t="s">
        <v>105</v>
      </c>
      <c r="P535" s="186">
        <v>44774.303842592592</v>
      </c>
      <c r="R535" s="1">
        <v>4</v>
      </c>
      <c r="T535" s="1" t="s">
        <v>646</v>
      </c>
      <c r="U535" s="186">
        <v>44775.303842592592</v>
      </c>
      <c r="V535" s="1" t="s">
        <v>41</v>
      </c>
      <c r="W535" s="1" t="s">
        <v>49</v>
      </c>
      <c r="X535" s="13"/>
      <c r="Y535" s="2">
        <f t="shared" ca="1" si="48"/>
        <v>153</v>
      </c>
      <c r="Z535" s="14">
        <v>1</v>
      </c>
      <c r="AA535" s="1" t="str">
        <f t="shared" ca="1" si="49"/>
        <v>VENCIDO</v>
      </c>
      <c r="AB535" s="1" t="str">
        <f t="shared" si="50"/>
        <v>C-14</v>
      </c>
      <c r="AC535" s="2" t="str">
        <f t="shared" si="53"/>
        <v xml:space="preserve"> RINALDO </v>
      </c>
      <c r="AD535" s="2">
        <f t="shared" si="51"/>
        <v>15</v>
      </c>
      <c r="AE535" s="2">
        <f t="shared" ca="1" si="52"/>
        <v>-211.37242905092717</v>
      </c>
      <c r="AF535" s="15"/>
    </row>
    <row r="536" spans="1:32">
      <c r="A536" s="1">
        <v>8790817</v>
      </c>
      <c r="B536" s="1" t="s">
        <v>101</v>
      </c>
      <c r="C536" t="s">
        <v>643</v>
      </c>
      <c r="D536" s="2">
        <v>220129376</v>
      </c>
      <c r="E536" s="2">
        <v>1059001400040</v>
      </c>
      <c r="F536" s="1" t="s">
        <v>644</v>
      </c>
      <c r="G536" s="1" t="s">
        <v>53</v>
      </c>
      <c r="H536" s="1" t="s">
        <v>88</v>
      </c>
      <c r="I536" s="1" t="s">
        <v>89</v>
      </c>
      <c r="J536" s="1" t="s">
        <v>90</v>
      </c>
      <c r="K536" t="s">
        <v>645</v>
      </c>
      <c r="M536" s="1" t="s">
        <v>58</v>
      </c>
      <c r="N536" s="1">
        <v>0</v>
      </c>
      <c r="O536" s="1" t="s">
        <v>105</v>
      </c>
      <c r="P536" s="186">
        <v>44774.250196759262</v>
      </c>
      <c r="R536" s="1">
        <v>2</v>
      </c>
      <c r="T536" s="1" t="s">
        <v>646</v>
      </c>
      <c r="U536" s="186">
        <v>44775.250208333331</v>
      </c>
      <c r="V536" s="1" t="s">
        <v>41</v>
      </c>
      <c r="W536" s="1" t="s">
        <v>49</v>
      </c>
      <c r="X536" s="13"/>
      <c r="Y536" s="2">
        <f t="shared" ca="1" si="48"/>
        <v>153</v>
      </c>
      <c r="Z536" s="14">
        <v>1</v>
      </c>
      <c r="AA536" s="1" t="str">
        <f t="shared" ca="1" si="49"/>
        <v>VENCIDO</v>
      </c>
      <c r="AB536" s="1" t="str">
        <f t="shared" si="50"/>
        <v>SL-On</v>
      </c>
      <c r="AC536" s="2" t="str">
        <f t="shared" si="53"/>
        <v xml:space="preserve"> RINALDO </v>
      </c>
      <c r="AD536" s="2">
        <f t="shared" si="51"/>
        <v>1</v>
      </c>
      <c r="AE536" s="2">
        <f t="shared" ca="1" si="52"/>
        <v>-211.4260633101876</v>
      </c>
      <c r="AF536" s="15"/>
    </row>
    <row r="537" spans="1:32">
      <c r="A537" s="1">
        <v>8790458</v>
      </c>
      <c r="B537" s="1" t="s">
        <v>101</v>
      </c>
      <c r="C537" t="s">
        <v>643</v>
      </c>
      <c r="D537" s="2">
        <v>220127616</v>
      </c>
      <c r="E537" s="2">
        <v>1059001400030</v>
      </c>
      <c r="F537" s="1" t="s">
        <v>647</v>
      </c>
      <c r="G537" s="1" t="s">
        <v>53</v>
      </c>
      <c r="H537" s="1" t="s">
        <v>88</v>
      </c>
      <c r="I537" s="1" t="s">
        <v>89</v>
      </c>
      <c r="J537" s="1" t="s">
        <v>90</v>
      </c>
      <c r="K537" t="s">
        <v>650</v>
      </c>
      <c r="M537" s="1" t="s">
        <v>58</v>
      </c>
      <c r="N537" s="1">
        <v>0</v>
      </c>
      <c r="O537" s="1" t="s">
        <v>105</v>
      </c>
      <c r="P537" s="186">
        <v>44774.226747685185</v>
      </c>
      <c r="R537" s="1">
        <v>4</v>
      </c>
      <c r="T537" s="1" t="s">
        <v>646</v>
      </c>
      <c r="U537" s="186">
        <v>44775.226747685185</v>
      </c>
      <c r="V537" s="1" t="s">
        <v>41</v>
      </c>
      <c r="W537" s="1" t="s">
        <v>49</v>
      </c>
      <c r="X537" s="13"/>
      <c r="Y537" s="2">
        <f t="shared" ca="1" si="48"/>
        <v>153</v>
      </c>
      <c r="Z537" s="14">
        <v>1</v>
      </c>
      <c r="AA537" s="1" t="str">
        <f t="shared" ca="1" si="49"/>
        <v>VENCIDO</v>
      </c>
      <c r="AB537" s="1" t="str">
        <f t="shared" si="50"/>
        <v>C-14</v>
      </c>
      <c r="AC537" s="2" t="str">
        <f t="shared" si="53"/>
        <v xml:space="preserve"> RINALDO </v>
      </c>
      <c r="AD537" s="2">
        <f t="shared" si="51"/>
        <v>15</v>
      </c>
      <c r="AE537" s="2">
        <f t="shared" ca="1" si="52"/>
        <v>-211.44952395833388</v>
      </c>
      <c r="AF537" s="15"/>
    </row>
    <row r="538" spans="1:32">
      <c r="A538" s="1">
        <v>8789842</v>
      </c>
      <c r="B538" s="1" t="s">
        <v>101</v>
      </c>
      <c r="C538" t="s">
        <v>643</v>
      </c>
      <c r="D538" s="2">
        <v>220125834</v>
      </c>
      <c r="E538" s="2">
        <v>2069001400010</v>
      </c>
      <c r="F538" s="1" t="s">
        <v>936</v>
      </c>
      <c r="G538" s="1" t="s">
        <v>53</v>
      </c>
      <c r="H538" s="1" t="s">
        <v>557</v>
      </c>
      <c r="I538" s="1" t="s">
        <v>558</v>
      </c>
      <c r="J538" s="1" t="s">
        <v>90</v>
      </c>
      <c r="K538" t="s">
        <v>937</v>
      </c>
      <c r="M538" s="1" t="s">
        <v>58</v>
      </c>
      <c r="N538" s="1">
        <v>0</v>
      </c>
      <c r="O538" s="1" t="s">
        <v>105</v>
      </c>
      <c r="P538" s="186">
        <v>44774.195625</v>
      </c>
      <c r="R538" s="1">
        <v>3</v>
      </c>
      <c r="T538" s="1" t="s">
        <v>646</v>
      </c>
      <c r="U538" s="186">
        <v>44775.195625</v>
      </c>
      <c r="V538" s="1" t="s">
        <v>41</v>
      </c>
      <c r="W538" s="1" t="s">
        <v>49</v>
      </c>
      <c r="X538" s="13"/>
      <c r="Y538" s="2">
        <f t="shared" ca="1" si="48"/>
        <v>153</v>
      </c>
      <c r="Z538" s="14">
        <v>1</v>
      </c>
      <c r="AA538" s="1" t="str">
        <f t="shared" ca="1" si="49"/>
        <v>VENCIDO</v>
      </c>
      <c r="AB538" s="1" t="str">
        <f t="shared" si="50"/>
        <v>C-14</v>
      </c>
      <c r="AC538" s="2" t="str">
        <f t="shared" si="53"/>
        <v xml:space="preserve"> RINALDO </v>
      </c>
      <c r="AD538" s="2">
        <f t="shared" si="51"/>
        <v>5</v>
      </c>
      <c r="AE538" s="2">
        <f t="shared" ca="1" si="52"/>
        <v>-211.48064664351841</v>
      </c>
      <c r="AF538" s="15"/>
    </row>
    <row r="539" spans="1:32">
      <c r="A539" s="1">
        <v>8789783</v>
      </c>
      <c r="B539" s="1" t="s">
        <v>101</v>
      </c>
      <c r="C539" t="s">
        <v>643</v>
      </c>
      <c r="D539" s="2">
        <v>220125480</v>
      </c>
      <c r="E539" s="2">
        <v>1059001400010</v>
      </c>
      <c r="F539" s="1" t="s">
        <v>936</v>
      </c>
      <c r="G539" s="1" t="s">
        <v>53</v>
      </c>
      <c r="H539" s="1" t="s">
        <v>88</v>
      </c>
      <c r="I539" s="1" t="s">
        <v>89</v>
      </c>
      <c r="J539" s="1" t="s">
        <v>90</v>
      </c>
      <c r="K539" t="s">
        <v>937</v>
      </c>
      <c r="M539" s="1" t="s">
        <v>58</v>
      </c>
      <c r="N539" s="1">
        <v>0</v>
      </c>
      <c r="O539" s="1" t="s">
        <v>105</v>
      </c>
      <c r="P539" s="186">
        <v>44774.190578703703</v>
      </c>
      <c r="R539" s="1">
        <v>3</v>
      </c>
      <c r="T539" s="1" t="s">
        <v>646</v>
      </c>
      <c r="U539" s="186">
        <v>44775.190578703703</v>
      </c>
      <c r="V539" s="1" t="s">
        <v>41</v>
      </c>
      <c r="W539" s="1" t="s">
        <v>49</v>
      </c>
      <c r="X539" s="13"/>
      <c r="Y539" s="2">
        <f t="shared" ca="1" si="48"/>
        <v>153</v>
      </c>
      <c r="Z539" s="14">
        <v>1</v>
      </c>
      <c r="AA539" s="1" t="str">
        <f t="shared" ca="1" si="49"/>
        <v>VENCIDO</v>
      </c>
      <c r="AB539" s="1" t="str">
        <f t="shared" si="50"/>
        <v>C-14</v>
      </c>
      <c r="AC539" s="2" t="str">
        <f t="shared" si="53"/>
        <v xml:space="preserve"> RINALDO </v>
      </c>
      <c r="AD539" s="2">
        <f t="shared" si="51"/>
        <v>5</v>
      </c>
      <c r="AE539" s="2">
        <f t="shared" ca="1" si="52"/>
        <v>-211.48569293981564</v>
      </c>
      <c r="AF539" s="15"/>
    </row>
    <row r="540" spans="1:32" hidden="1">
      <c r="A540" s="1">
        <v>8789228</v>
      </c>
      <c r="B540" s="1" t="s">
        <v>101</v>
      </c>
      <c r="C540" t="s">
        <v>643</v>
      </c>
      <c r="D540" s="2">
        <v>220129740</v>
      </c>
      <c r="E540" s="2">
        <v>2107001400040</v>
      </c>
      <c r="F540" s="1" t="s">
        <v>644</v>
      </c>
      <c r="G540" s="1" t="s">
        <v>53</v>
      </c>
      <c r="H540" s="1" t="s">
        <v>262</v>
      </c>
      <c r="I540" s="1" t="s">
        <v>263</v>
      </c>
      <c r="J540" s="1" t="s">
        <v>164</v>
      </c>
      <c r="K540" t="s">
        <v>645</v>
      </c>
      <c r="M540" s="1" t="s">
        <v>58</v>
      </c>
      <c r="N540" s="1">
        <v>0</v>
      </c>
      <c r="O540" s="1" t="s">
        <v>36</v>
      </c>
      <c r="P540" s="186">
        <v>44774.150763888887</v>
      </c>
      <c r="R540" s="1">
        <v>3</v>
      </c>
      <c r="T540" s="1" t="s">
        <v>646</v>
      </c>
      <c r="U540" s="186">
        <v>44775.150775462964</v>
      </c>
      <c r="V540" s="1" t="s">
        <v>41</v>
      </c>
      <c r="W540" s="1" t="s">
        <v>49</v>
      </c>
      <c r="X540" s="13"/>
      <c r="Y540" s="2">
        <f t="shared" ca="1" si="48"/>
        <v>153</v>
      </c>
      <c r="Z540" s="14">
        <v>1</v>
      </c>
      <c r="AA540" s="1" t="str">
        <f t="shared" ca="1" si="49"/>
        <v>VENCIDO</v>
      </c>
      <c r="AB540" s="1" t="str">
        <f t="shared" si="50"/>
        <v>SL-On</v>
      </c>
      <c r="AC540" s="2" t="str">
        <f t="shared" si="53"/>
        <v xml:space="preserve"> ROSEMERE </v>
      </c>
      <c r="AD540" s="2">
        <f t="shared" si="51"/>
        <v>1</v>
      </c>
      <c r="AE540" s="2">
        <f t="shared" ca="1" si="52"/>
        <v>-211.52549618055491</v>
      </c>
      <c r="AF540" s="15"/>
    </row>
    <row r="541" spans="1:32">
      <c r="A541" s="1">
        <v>8789210</v>
      </c>
      <c r="B541" s="1" t="s">
        <v>101</v>
      </c>
      <c r="C541" t="s">
        <v>643</v>
      </c>
      <c r="D541" s="2">
        <v>220129727</v>
      </c>
      <c r="E541" s="2">
        <v>2069001400040</v>
      </c>
      <c r="F541" s="1" t="s">
        <v>644</v>
      </c>
      <c r="G541" s="1" t="s">
        <v>53</v>
      </c>
      <c r="H541" s="1" t="s">
        <v>557</v>
      </c>
      <c r="I541" s="1" t="s">
        <v>558</v>
      </c>
      <c r="J541" s="1" t="s">
        <v>90</v>
      </c>
      <c r="K541" t="s">
        <v>645</v>
      </c>
      <c r="M541" s="1" t="s">
        <v>58</v>
      </c>
      <c r="N541" s="1">
        <v>0</v>
      </c>
      <c r="O541" s="1" t="s">
        <v>105</v>
      </c>
      <c r="P541" s="186">
        <v>44774.150150462963</v>
      </c>
      <c r="R541" s="1">
        <v>2</v>
      </c>
      <c r="T541" s="1" t="s">
        <v>646</v>
      </c>
      <c r="U541" s="186">
        <v>44775.150150462963</v>
      </c>
      <c r="V541" s="1" t="s">
        <v>41</v>
      </c>
      <c r="W541" s="1" t="s">
        <v>49</v>
      </c>
      <c r="X541" s="13"/>
      <c r="Y541" s="2">
        <f t="shared" ca="1" si="48"/>
        <v>153</v>
      </c>
      <c r="Z541" s="14">
        <v>1</v>
      </c>
      <c r="AA541" s="1" t="str">
        <f t="shared" ca="1" si="49"/>
        <v>VENCIDO</v>
      </c>
      <c r="AB541" s="1" t="str">
        <f t="shared" si="50"/>
        <v>SL-On</v>
      </c>
      <c r="AC541" s="2" t="str">
        <f t="shared" si="53"/>
        <v xml:space="preserve"> RINALDO </v>
      </c>
      <c r="AD541" s="2">
        <f t="shared" si="51"/>
        <v>1</v>
      </c>
      <c r="AE541" s="2">
        <f t="shared" ca="1" si="52"/>
        <v>-211.52612118055549</v>
      </c>
      <c r="AF541" s="15"/>
    </row>
    <row r="542" spans="1:32">
      <c r="A542" s="1">
        <v>8788278</v>
      </c>
      <c r="B542" s="1" t="s">
        <v>101</v>
      </c>
      <c r="C542" t="s">
        <v>643</v>
      </c>
      <c r="D542" s="2">
        <v>220127916</v>
      </c>
      <c r="E542" s="2">
        <v>1764001400030</v>
      </c>
      <c r="F542" s="1" t="s">
        <v>647</v>
      </c>
      <c r="G542" s="1" t="s">
        <v>53</v>
      </c>
      <c r="H542" s="1" t="s">
        <v>722</v>
      </c>
      <c r="I542" s="1" t="s">
        <v>723</v>
      </c>
      <c r="J542" s="1" t="s">
        <v>90</v>
      </c>
      <c r="K542" t="s">
        <v>650</v>
      </c>
      <c r="M542" s="1" t="s">
        <v>58</v>
      </c>
      <c r="N542" s="1">
        <v>0</v>
      </c>
      <c r="O542" s="1" t="s">
        <v>105</v>
      </c>
      <c r="P542" s="186">
        <v>44774.09547453704</v>
      </c>
      <c r="R542" s="1">
        <v>4</v>
      </c>
      <c r="T542" s="1" t="s">
        <v>646</v>
      </c>
      <c r="U542" s="186">
        <v>44775.09547453704</v>
      </c>
      <c r="V542" s="1" t="s">
        <v>41</v>
      </c>
      <c r="W542" s="1" t="s">
        <v>49</v>
      </c>
      <c r="X542" s="13"/>
      <c r="Y542" s="2">
        <f t="shared" ca="1" si="48"/>
        <v>153</v>
      </c>
      <c r="Z542" s="14">
        <v>1</v>
      </c>
      <c r="AA542" s="1" t="str">
        <f t="shared" ca="1" si="49"/>
        <v>VENCIDO</v>
      </c>
      <c r="AB542" s="1" t="str">
        <f t="shared" si="50"/>
        <v>C-14</v>
      </c>
      <c r="AC542" s="2" t="str">
        <f t="shared" si="53"/>
        <v xml:space="preserve"> RINALDO </v>
      </c>
      <c r="AD542" s="2">
        <f t="shared" si="51"/>
        <v>15</v>
      </c>
      <c r="AE542" s="2">
        <f t="shared" ca="1" si="52"/>
        <v>-211.58079710647871</v>
      </c>
      <c r="AF542" s="15"/>
    </row>
    <row r="543" spans="1:32" hidden="1">
      <c r="A543" s="1">
        <v>8802595</v>
      </c>
      <c r="B543" s="1" t="s">
        <v>62</v>
      </c>
      <c r="C543" t="s">
        <v>1114</v>
      </c>
      <c r="E543" s="2">
        <v>3918000206001</v>
      </c>
      <c r="F543" s="1" t="s">
        <v>29</v>
      </c>
      <c r="G543" s="1" t="s">
        <v>53</v>
      </c>
      <c r="H543" s="1" t="s">
        <v>858</v>
      </c>
      <c r="I543" s="1" t="s">
        <v>859</v>
      </c>
      <c r="J543" s="1" t="s">
        <v>33</v>
      </c>
      <c r="K543" t="s">
        <v>34</v>
      </c>
      <c r="M543" s="1" t="s">
        <v>35</v>
      </c>
      <c r="N543" s="1">
        <v>42318949</v>
      </c>
      <c r="O543" s="1" t="s">
        <v>36</v>
      </c>
      <c r="P543" s="186">
        <v>44777.52611111111</v>
      </c>
      <c r="R543" s="1" t="s">
        <v>38</v>
      </c>
      <c r="T543" s="1" t="s">
        <v>74</v>
      </c>
      <c r="U543" s="186">
        <v>44819.75</v>
      </c>
      <c r="V543" s="1" t="s">
        <v>41</v>
      </c>
      <c r="W543" s="1" t="s">
        <v>49</v>
      </c>
      <c r="X543" s="13"/>
      <c r="Y543" s="2">
        <f t="shared" ca="1" si="48"/>
        <v>150</v>
      </c>
      <c r="Z543" s="14">
        <v>1</v>
      </c>
      <c r="AA543" s="1" t="str">
        <f t="shared" ca="1" si="49"/>
        <v>VENCIDO</v>
      </c>
      <c r="AB543" s="1" t="str">
        <f t="shared" si="50"/>
        <v>Dosa</v>
      </c>
      <c r="AC543" s="2" t="str">
        <f t="shared" si="53"/>
        <v xml:space="preserve"> ROSEMERE </v>
      </c>
      <c r="AD543" s="2">
        <f t="shared" si="51"/>
        <v>5</v>
      </c>
      <c r="AE543" s="2">
        <f t="shared" ca="1" si="52"/>
        <v>-166.9262716435187</v>
      </c>
      <c r="AF543" s="15"/>
    </row>
    <row r="544" spans="1:32">
      <c r="A544" s="1">
        <v>8802516</v>
      </c>
      <c r="B544" s="1" t="s">
        <v>62</v>
      </c>
      <c r="C544" t="s">
        <v>1114</v>
      </c>
      <c r="E544" s="2">
        <v>2737000206001</v>
      </c>
      <c r="F544" s="1" t="s">
        <v>29</v>
      </c>
      <c r="G544" s="1" t="s">
        <v>53</v>
      </c>
      <c r="H544" s="1" t="s">
        <v>311</v>
      </c>
      <c r="I544" s="1" t="s">
        <v>312</v>
      </c>
      <c r="J544" s="1" t="s">
        <v>90</v>
      </c>
      <c r="K544" t="s">
        <v>34</v>
      </c>
      <c r="M544" s="1" t="s">
        <v>35</v>
      </c>
      <c r="N544" s="1">
        <v>42318949</v>
      </c>
      <c r="O544" s="1" t="s">
        <v>105</v>
      </c>
      <c r="P544" s="186">
        <v>44777.526006944441</v>
      </c>
      <c r="R544" s="1" t="s">
        <v>38</v>
      </c>
      <c r="T544" s="1" t="s">
        <v>74</v>
      </c>
      <c r="U544" s="186">
        <v>44819.75</v>
      </c>
      <c r="V544" s="1" t="s">
        <v>41</v>
      </c>
      <c r="W544" s="1" t="s">
        <v>49</v>
      </c>
      <c r="X544" s="13"/>
      <c r="Y544" s="2">
        <f t="shared" ca="1" si="48"/>
        <v>150</v>
      </c>
      <c r="Z544" s="14">
        <v>1</v>
      </c>
      <c r="AA544" s="1" t="str">
        <f t="shared" ca="1" si="49"/>
        <v>VENCIDO</v>
      </c>
      <c r="AB544" s="1" t="str">
        <f t="shared" si="50"/>
        <v>Dosa</v>
      </c>
      <c r="AC544" s="2" t="str">
        <f t="shared" si="53"/>
        <v xml:space="preserve"> RINALDO </v>
      </c>
      <c r="AD544" s="2">
        <f t="shared" si="51"/>
        <v>5</v>
      </c>
      <c r="AE544" s="2">
        <f t="shared" ca="1" si="52"/>
        <v>-166.9262716435187</v>
      </c>
      <c r="AF544" s="15"/>
    </row>
    <row r="545" spans="1:32" hidden="1">
      <c r="A545" s="1">
        <v>8802513</v>
      </c>
      <c r="B545" s="1" t="s">
        <v>62</v>
      </c>
      <c r="C545" t="s">
        <v>1114</v>
      </c>
      <c r="E545" s="2">
        <v>2693000206001</v>
      </c>
      <c r="F545" s="1" t="s">
        <v>29</v>
      </c>
      <c r="G545" s="1" t="s">
        <v>53</v>
      </c>
      <c r="H545" s="1" t="s">
        <v>253</v>
      </c>
      <c r="I545" s="1" t="s">
        <v>254</v>
      </c>
      <c r="J545" s="1" t="s">
        <v>56</v>
      </c>
      <c r="K545" t="s">
        <v>34</v>
      </c>
      <c r="M545" s="1" t="s">
        <v>35</v>
      </c>
      <c r="N545" s="1">
        <v>42318949</v>
      </c>
      <c r="O545" s="1" t="s">
        <v>105</v>
      </c>
      <c r="P545" s="186">
        <v>44777.526006944441</v>
      </c>
      <c r="R545" s="1" t="s">
        <v>38</v>
      </c>
      <c r="T545" s="1" t="s">
        <v>74</v>
      </c>
      <c r="U545" s="186">
        <v>44819.75</v>
      </c>
      <c r="V545" s="1" t="s">
        <v>41</v>
      </c>
      <c r="W545" s="1" t="s">
        <v>49</v>
      </c>
      <c r="X545" s="13"/>
      <c r="Y545" s="2">
        <f t="shared" ca="1" si="48"/>
        <v>150</v>
      </c>
      <c r="Z545" s="14">
        <v>1</v>
      </c>
      <c r="AA545" s="1" t="str">
        <f t="shared" ca="1" si="49"/>
        <v>VENCIDO</v>
      </c>
      <c r="AB545" s="1" t="str">
        <f t="shared" si="50"/>
        <v>Dosa</v>
      </c>
      <c r="AC545" s="2" t="str">
        <f t="shared" si="53"/>
        <v xml:space="preserve"> CRISTINA </v>
      </c>
      <c r="AD545" s="2">
        <f t="shared" si="51"/>
        <v>5</v>
      </c>
      <c r="AE545" s="2">
        <f t="shared" ca="1" si="52"/>
        <v>-166.9262716435187</v>
      </c>
      <c r="AF545" s="15"/>
    </row>
    <row r="546" spans="1:32">
      <c r="A546" s="1">
        <v>8802505</v>
      </c>
      <c r="B546" s="1" t="s">
        <v>62</v>
      </c>
      <c r="C546" t="s">
        <v>1114</v>
      </c>
      <c r="E546" s="2">
        <v>2590000206001</v>
      </c>
      <c r="F546" s="1" t="s">
        <v>29</v>
      </c>
      <c r="G546" s="1" t="s">
        <v>53</v>
      </c>
      <c r="H546" s="1" t="s">
        <v>394</v>
      </c>
      <c r="I546" s="1" t="s">
        <v>395</v>
      </c>
      <c r="J546" s="1" t="s">
        <v>148</v>
      </c>
      <c r="K546" t="s">
        <v>34</v>
      </c>
      <c r="M546" s="1" t="s">
        <v>35</v>
      </c>
      <c r="N546" s="1">
        <v>42318949</v>
      </c>
      <c r="O546" s="1" t="s">
        <v>105</v>
      </c>
      <c r="P546" s="186">
        <v>44777.525995370372</v>
      </c>
      <c r="R546" s="1" t="s">
        <v>38</v>
      </c>
      <c r="T546" s="1" t="s">
        <v>74</v>
      </c>
      <c r="U546" s="186">
        <v>44819.75</v>
      </c>
      <c r="V546" s="1" t="s">
        <v>41</v>
      </c>
      <c r="W546" s="1" t="s">
        <v>49</v>
      </c>
      <c r="X546" s="13"/>
      <c r="Y546" s="2">
        <f t="shared" ca="1" si="48"/>
        <v>150</v>
      </c>
      <c r="Z546" s="14">
        <v>1</v>
      </c>
      <c r="AA546" s="1" t="str">
        <f t="shared" ca="1" si="49"/>
        <v>VENCIDO</v>
      </c>
      <c r="AB546" s="1" t="str">
        <f t="shared" si="50"/>
        <v>Dosa</v>
      </c>
      <c r="AC546" s="2" t="str">
        <f t="shared" si="53"/>
        <v xml:space="preserve"> RINALDO </v>
      </c>
      <c r="AD546" s="2">
        <f t="shared" si="51"/>
        <v>5</v>
      </c>
      <c r="AE546" s="2">
        <f t="shared" ca="1" si="52"/>
        <v>-166.9262716435187</v>
      </c>
      <c r="AF546" s="15"/>
    </row>
    <row r="547" spans="1:32">
      <c r="A547" s="1">
        <v>8802477</v>
      </c>
      <c r="B547" s="1" t="s">
        <v>62</v>
      </c>
      <c r="C547" t="s">
        <v>1114</v>
      </c>
      <c r="E547" s="2">
        <v>2229000206001</v>
      </c>
      <c r="F547" s="1" t="s">
        <v>29</v>
      </c>
      <c r="G547" s="1" t="s">
        <v>53</v>
      </c>
      <c r="H547" s="1" t="s">
        <v>339</v>
      </c>
      <c r="I547" s="1" t="s">
        <v>340</v>
      </c>
      <c r="J547" s="1" t="s">
        <v>211</v>
      </c>
      <c r="K547" t="s">
        <v>34</v>
      </c>
      <c r="M547" s="1" t="s">
        <v>35</v>
      </c>
      <c r="N547" s="1">
        <v>42318949</v>
      </c>
      <c r="O547" s="1" t="s">
        <v>105</v>
      </c>
      <c r="P547" s="186">
        <v>44777.525960648149</v>
      </c>
      <c r="R547" s="1" t="s">
        <v>38</v>
      </c>
      <c r="T547" s="1" t="s">
        <v>74</v>
      </c>
      <c r="U547" s="186">
        <v>44819.75</v>
      </c>
      <c r="V547" s="1" t="s">
        <v>41</v>
      </c>
      <c r="W547" s="1" t="s">
        <v>49</v>
      </c>
      <c r="X547" s="13"/>
      <c r="Y547" s="2">
        <f t="shared" ca="1" si="48"/>
        <v>150</v>
      </c>
      <c r="Z547" s="14">
        <v>1</v>
      </c>
      <c r="AA547" s="1" t="str">
        <f t="shared" ca="1" si="49"/>
        <v>VENCIDO</v>
      </c>
      <c r="AB547" s="1" t="str">
        <f t="shared" si="50"/>
        <v>Dosa</v>
      </c>
      <c r="AC547" s="2" t="str">
        <f t="shared" si="53"/>
        <v xml:space="preserve"> RINALDO </v>
      </c>
      <c r="AD547" s="2">
        <f t="shared" si="51"/>
        <v>5</v>
      </c>
      <c r="AE547" s="2">
        <f t="shared" ca="1" si="52"/>
        <v>-166.9262716435187</v>
      </c>
      <c r="AF547" s="15"/>
    </row>
    <row r="548" spans="1:32" hidden="1">
      <c r="A548" s="1">
        <v>8802445</v>
      </c>
      <c r="B548" s="1" t="s">
        <v>62</v>
      </c>
      <c r="C548" t="s">
        <v>1114</v>
      </c>
      <c r="E548" s="2">
        <v>1761000206001</v>
      </c>
      <c r="F548" s="1" t="s">
        <v>29</v>
      </c>
      <c r="G548" s="1" t="s">
        <v>53</v>
      </c>
      <c r="H548" s="1" t="s">
        <v>375</v>
      </c>
      <c r="I548" s="1" t="s">
        <v>376</v>
      </c>
      <c r="J548" s="1" t="s">
        <v>56</v>
      </c>
      <c r="K548" t="s">
        <v>34</v>
      </c>
      <c r="M548" s="1" t="s">
        <v>35</v>
      </c>
      <c r="N548" s="1">
        <v>42318949</v>
      </c>
      <c r="O548" s="1" t="s">
        <v>105</v>
      </c>
      <c r="P548" s="186">
        <v>44777.525914351849</v>
      </c>
      <c r="R548" s="1" t="s">
        <v>38</v>
      </c>
      <c r="T548" s="1" t="s">
        <v>74</v>
      </c>
      <c r="U548" s="186">
        <v>44819.75</v>
      </c>
      <c r="V548" s="1" t="s">
        <v>41</v>
      </c>
      <c r="W548" s="1" t="s">
        <v>49</v>
      </c>
      <c r="X548" s="13"/>
      <c r="Y548" s="2">
        <f t="shared" ca="1" si="48"/>
        <v>150</v>
      </c>
      <c r="Z548" s="14">
        <v>1</v>
      </c>
      <c r="AA548" s="1" t="str">
        <f t="shared" ca="1" si="49"/>
        <v>VENCIDO</v>
      </c>
      <c r="AB548" s="1" t="str">
        <f t="shared" si="50"/>
        <v>Dosa</v>
      </c>
      <c r="AC548" s="2" t="str">
        <f t="shared" si="53"/>
        <v xml:space="preserve"> CRISTINA </v>
      </c>
      <c r="AD548" s="2">
        <f t="shared" si="51"/>
        <v>5</v>
      </c>
      <c r="AE548" s="2">
        <f t="shared" ca="1" si="52"/>
        <v>-166.9262716435187</v>
      </c>
      <c r="AF548" s="15"/>
    </row>
    <row r="549" spans="1:32">
      <c r="A549" s="1">
        <v>8802382</v>
      </c>
      <c r="B549" s="1" t="s">
        <v>62</v>
      </c>
      <c r="C549" t="s">
        <v>1114</v>
      </c>
      <c r="E549" s="2">
        <v>1028000206001</v>
      </c>
      <c r="F549" s="1" t="s">
        <v>29</v>
      </c>
      <c r="G549" s="1" t="s">
        <v>53</v>
      </c>
      <c r="H549" s="1" t="s">
        <v>1079</v>
      </c>
      <c r="I549" s="1" t="s">
        <v>1080</v>
      </c>
      <c r="J549" s="1" t="s">
        <v>85</v>
      </c>
      <c r="K549" t="s">
        <v>34</v>
      </c>
      <c r="M549" s="1" t="s">
        <v>35</v>
      </c>
      <c r="N549" s="1">
        <v>42318949</v>
      </c>
      <c r="O549" s="1" t="s">
        <v>105</v>
      </c>
      <c r="P549" s="186">
        <v>44777.525810185187</v>
      </c>
      <c r="R549" s="1" t="s">
        <v>38</v>
      </c>
      <c r="T549" s="1" t="s">
        <v>74</v>
      </c>
      <c r="U549" s="186">
        <v>44819.75</v>
      </c>
      <c r="V549" s="1" t="s">
        <v>41</v>
      </c>
      <c r="W549" s="1" t="s">
        <v>49</v>
      </c>
      <c r="X549" s="13"/>
      <c r="Y549" s="2">
        <f t="shared" ca="1" si="48"/>
        <v>150</v>
      </c>
      <c r="Z549" s="14">
        <v>1</v>
      </c>
      <c r="AA549" s="1" t="str">
        <f t="shared" ca="1" si="49"/>
        <v>VENCIDO</v>
      </c>
      <c r="AB549" s="1" t="str">
        <f t="shared" si="50"/>
        <v>Dosa</v>
      </c>
      <c r="AC549" s="2" t="str">
        <f t="shared" si="53"/>
        <v xml:space="preserve"> RINALDO </v>
      </c>
      <c r="AD549" s="2">
        <f t="shared" si="51"/>
        <v>5</v>
      </c>
      <c r="AE549" s="2">
        <f t="shared" ca="1" si="52"/>
        <v>-166.9262716435187</v>
      </c>
      <c r="AF549" s="15"/>
    </row>
    <row r="550" spans="1:32">
      <c r="A550" s="1">
        <v>8802376</v>
      </c>
      <c r="B550" s="1" t="s">
        <v>62</v>
      </c>
      <c r="C550" t="s">
        <v>1114</v>
      </c>
      <c r="E550" s="2">
        <v>981000206001</v>
      </c>
      <c r="F550" s="1" t="s">
        <v>29</v>
      </c>
      <c r="G550" s="1" t="s">
        <v>53</v>
      </c>
      <c r="H550" s="1" t="s">
        <v>410</v>
      </c>
      <c r="I550" s="1" t="s">
        <v>411</v>
      </c>
      <c r="J550" s="1" t="s">
        <v>85</v>
      </c>
      <c r="K550" t="s">
        <v>34</v>
      </c>
      <c r="M550" s="1" t="s">
        <v>35</v>
      </c>
      <c r="N550" s="1">
        <v>42318949</v>
      </c>
      <c r="O550" s="1" t="s">
        <v>36</v>
      </c>
      <c r="P550" s="186">
        <v>44777.525810185187</v>
      </c>
      <c r="R550" s="1" t="s">
        <v>38</v>
      </c>
      <c r="T550" s="1" t="s">
        <v>74</v>
      </c>
      <c r="U550" s="186">
        <v>44819.75</v>
      </c>
      <c r="V550" s="1" t="s">
        <v>41</v>
      </c>
      <c r="W550" s="1" t="s">
        <v>49</v>
      </c>
      <c r="X550" s="13"/>
      <c r="Y550" s="2">
        <f t="shared" ca="1" si="48"/>
        <v>150</v>
      </c>
      <c r="Z550" s="14">
        <v>1</v>
      </c>
      <c r="AA550" s="1" t="str">
        <f t="shared" ca="1" si="49"/>
        <v>VENCIDO</v>
      </c>
      <c r="AB550" s="1" t="str">
        <f t="shared" si="50"/>
        <v>Dosa</v>
      </c>
      <c r="AC550" s="2" t="str">
        <f t="shared" si="53"/>
        <v xml:space="preserve"> RINALDO </v>
      </c>
      <c r="AD550" s="2">
        <f t="shared" si="51"/>
        <v>5</v>
      </c>
      <c r="AE550" s="2">
        <f t="shared" ca="1" si="52"/>
        <v>-166.9262716435187</v>
      </c>
      <c r="AF550" s="15"/>
    </row>
    <row r="551" spans="1:32">
      <c r="A551" s="1">
        <v>8802339</v>
      </c>
      <c r="B551" s="1" t="s">
        <v>62</v>
      </c>
      <c r="C551" t="s">
        <v>1114</v>
      </c>
      <c r="E551" s="2">
        <v>608000206001</v>
      </c>
      <c r="F551" s="1" t="s">
        <v>29</v>
      </c>
      <c r="G551" s="1" t="s">
        <v>53</v>
      </c>
      <c r="H551" s="1" t="s">
        <v>438</v>
      </c>
      <c r="I551" s="1" t="s">
        <v>439</v>
      </c>
      <c r="J551" s="1" t="s">
        <v>148</v>
      </c>
      <c r="K551" t="s">
        <v>34</v>
      </c>
      <c r="M551" s="1" t="s">
        <v>35</v>
      </c>
      <c r="N551" s="1">
        <v>42318949</v>
      </c>
      <c r="O551" s="1" t="s">
        <v>105</v>
      </c>
      <c r="P551" s="186">
        <v>44777.525763888887</v>
      </c>
      <c r="R551" s="1" t="s">
        <v>38</v>
      </c>
      <c r="T551" s="1" t="s">
        <v>74</v>
      </c>
      <c r="U551" s="186">
        <v>44819.75</v>
      </c>
      <c r="V551" s="1" t="s">
        <v>41</v>
      </c>
      <c r="W551" s="1" t="s">
        <v>49</v>
      </c>
      <c r="X551" s="13"/>
      <c r="Y551" s="2">
        <f t="shared" ca="1" si="48"/>
        <v>150</v>
      </c>
      <c r="Z551" s="14">
        <v>1</v>
      </c>
      <c r="AA551" s="1" t="str">
        <f t="shared" ca="1" si="49"/>
        <v>VENCIDO</v>
      </c>
      <c r="AB551" s="1" t="str">
        <f t="shared" si="50"/>
        <v>Dosa</v>
      </c>
      <c r="AC551" s="2" t="str">
        <f t="shared" si="53"/>
        <v xml:space="preserve"> RINALDO </v>
      </c>
      <c r="AD551" s="2">
        <f t="shared" si="51"/>
        <v>5</v>
      </c>
      <c r="AE551" s="2">
        <f t="shared" ca="1" si="52"/>
        <v>-166.9262716435187</v>
      </c>
      <c r="AF551" s="15"/>
    </row>
    <row r="552" spans="1:32" hidden="1">
      <c r="A552" s="1">
        <v>8802198</v>
      </c>
      <c r="B552" s="1" t="s">
        <v>62</v>
      </c>
      <c r="C552" t="s">
        <v>1114</v>
      </c>
      <c r="E552" s="2">
        <v>721000206001</v>
      </c>
      <c r="F552" s="1" t="s">
        <v>29</v>
      </c>
      <c r="G552" s="1" t="s">
        <v>53</v>
      </c>
      <c r="H552" s="1" t="s">
        <v>422</v>
      </c>
      <c r="I552" s="1" t="s">
        <v>423</v>
      </c>
      <c r="J552" s="1" t="s">
        <v>79</v>
      </c>
      <c r="K552" t="s">
        <v>34</v>
      </c>
      <c r="M552" s="1" t="s">
        <v>35</v>
      </c>
      <c r="N552" s="1">
        <v>42318949</v>
      </c>
      <c r="O552" s="1" t="s">
        <v>36</v>
      </c>
      <c r="P552" s="186">
        <v>44777.525543981479</v>
      </c>
      <c r="R552" s="1" t="s">
        <v>38</v>
      </c>
      <c r="T552" s="1" t="s">
        <v>74</v>
      </c>
      <c r="U552" s="186">
        <v>44819.75</v>
      </c>
      <c r="V552" s="1" t="s">
        <v>41</v>
      </c>
      <c r="W552" s="1" t="s">
        <v>49</v>
      </c>
      <c r="X552" s="13"/>
      <c r="Y552" s="2">
        <f t="shared" ca="1" si="48"/>
        <v>150</v>
      </c>
      <c r="Z552" s="14">
        <v>1</v>
      </c>
      <c r="AA552" s="1" t="str">
        <f t="shared" ca="1" si="49"/>
        <v>VENCIDO</v>
      </c>
      <c r="AB552" s="1" t="str">
        <f t="shared" si="50"/>
        <v>Dosa</v>
      </c>
      <c r="AC552" s="2" t="str">
        <f t="shared" si="53"/>
        <v xml:space="preserve"> ROSEMERE </v>
      </c>
      <c r="AD552" s="2">
        <f t="shared" si="51"/>
        <v>5</v>
      </c>
      <c r="AE552" s="2">
        <f t="shared" ca="1" si="52"/>
        <v>-166.9262716435187</v>
      </c>
      <c r="AF552" s="15"/>
    </row>
    <row r="553" spans="1:32">
      <c r="A553" s="1">
        <v>8802177</v>
      </c>
      <c r="B553" s="1" t="s">
        <v>62</v>
      </c>
      <c r="C553" t="s">
        <v>1114</v>
      </c>
      <c r="E553" s="2">
        <v>1754000206001</v>
      </c>
      <c r="F553" s="1" t="s">
        <v>29</v>
      </c>
      <c r="G553" s="1" t="s">
        <v>53</v>
      </c>
      <c r="H553" s="1" t="s">
        <v>146</v>
      </c>
      <c r="I553" s="1" t="s">
        <v>147</v>
      </c>
      <c r="J553" s="1" t="s">
        <v>148</v>
      </c>
      <c r="K553" t="s">
        <v>34</v>
      </c>
      <c r="M553" s="1" t="s">
        <v>35</v>
      </c>
      <c r="N553" s="1">
        <v>42318949</v>
      </c>
      <c r="O553" s="1" t="s">
        <v>105</v>
      </c>
      <c r="P553" s="186">
        <v>44777.525509259256</v>
      </c>
      <c r="R553" s="1" t="s">
        <v>38</v>
      </c>
      <c r="T553" s="1" t="s">
        <v>74</v>
      </c>
      <c r="U553" s="186">
        <v>44819.75</v>
      </c>
      <c r="V553" s="1" t="s">
        <v>41</v>
      </c>
      <c r="W553" s="1" t="s">
        <v>49</v>
      </c>
      <c r="X553" s="13"/>
      <c r="Y553" s="2">
        <f t="shared" ca="1" si="48"/>
        <v>150</v>
      </c>
      <c r="Z553" s="14">
        <v>1</v>
      </c>
      <c r="AA553" s="1" t="str">
        <f t="shared" ca="1" si="49"/>
        <v>VENCIDO</v>
      </c>
      <c r="AB553" s="1" t="str">
        <f t="shared" si="50"/>
        <v>Dosa</v>
      </c>
      <c r="AC553" s="2" t="str">
        <f t="shared" si="53"/>
        <v xml:space="preserve"> RINALDO </v>
      </c>
      <c r="AD553" s="2">
        <f t="shared" si="51"/>
        <v>5</v>
      </c>
      <c r="AE553" s="2">
        <f t="shared" ca="1" si="52"/>
        <v>-166.9262716435187</v>
      </c>
      <c r="AF553" s="15"/>
    </row>
    <row r="554" spans="1:32">
      <c r="A554" s="1">
        <v>8819471</v>
      </c>
      <c r="B554" s="1" t="s">
        <v>101</v>
      </c>
      <c r="C554" t="s">
        <v>1125</v>
      </c>
      <c r="E554" s="2">
        <v>9705000206001</v>
      </c>
      <c r="F554" s="1" t="s">
        <v>29</v>
      </c>
      <c r="G554" s="1" t="s">
        <v>53</v>
      </c>
      <c r="H554" s="1" t="s">
        <v>204</v>
      </c>
      <c r="I554" s="1" t="s">
        <v>205</v>
      </c>
      <c r="J554" s="1" t="s">
        <v>90</v>
      </c>
      <c r="K554" t="s">
        <v>34</v>
      </c>
      <c r="M554" s="1" t="s">
        <v>35</v>
      </c>
      <c r="N554" s="1">
        <v>42318949</v>
      </c>
      <c r="O554" s="1" t="s">
        <v>36</v>
      </c>
      <c r="P554" s="186">
        <v>44781.761643518519</v>
      </c>
      <c r="R554" s="1" t="s">
        <v>38</v>
      </c>
      <c r="T554" s="1" t="s">
        <v>74</v>
      </c>
      <c r="U554" s="186">
        <v>44782.75</v>
      </c>
      <c r="V554" s="1" t="s">
        <v>41</v>
      </c>
      <c r="W554" s="1" t="s">
        <v>49</v>
      </c>
      <c r="X554" s="13"/>
      <c r="Y554" s="2">
        <f t="shared" ca="1" si="48"/>
        <v>148</v>
      </c>
      <c r="Z554" s="14">
        <v>1</v>
      </c>
      <c r="AA554" s="1" t="str">
        <f t="shared" ca="1" si="49"/>
        <v>VENCIDO</v>
      </c>
      <c r="AB554" s="1" t="str">
        <f t="shared" si="50"/>
        <v>Dosa</v>
      </c>
      <c r="AC554" s="2" t="str">
        <f t="shared" si="53"/>
        <v xml:space="preserve"> RINALDO </v>
      </c>
      <c r="AD554" s="2">
        <f t="shared" si="51"/>
        <v>5</v>
      </c>
      <c r="AE554" s="2">
        <f t="shared" ca="1" si="52"/>
        <v>-203.9262716435187</v>
      </c>
      <c r="AF554" s="15"/>
    </row>
    <row r="555" spans="1:32" hidden="1">
      <c r="A555" s="1">
        <v>8818302</v>
      </c>
      <c r="B555" s="1" t="s">
        <v>101</v>
      </c>
      <c r="C555" t="s">
        <v>1125</v>
      </c>
      <c r="E555" s="2">
        <v>4637000206001</v>
      </c>
      <c r="F555" s="1" t="s">
        <v>29</v>
      </c>
      <c r="G555" s="1" t="s">
        <v>53</v>
      </c>
      <c r="H555" s="1" t="s">
        <v>848</v>
      </c>
      <c r="I555" s="1" t="s">
        <v>849</v>
      </c>
      <c r="J555" s="1" t="s">
        <v>79</v>
      </c>
      <c r="K555" t="s">
        <v>34</v>
      </c>
      <c r="M555" s="1" t="s">
        <v>35</v>
      </c>
      <c r="N555" s="1">
        <v>42318949</v>
      </c>
      <c r="O555" s="1" t="s">
        <v>105</v>
      </c>
      <c r="P555" s="186">
        <v>44781.75980324074</v>
      </c>
      <c r="R555" s="1" t="s">
        <v>38</v>
      </c>
      <c r="T555" s="1" t="s">
        <v>74</v>
      </c>
      <c r="U555" s="186">
        <v>44782.75</v>
      </c>
      <c r="V555" s="1" t="s">
        <v>41</v>
      </c>
      <c r="W555" s="1" t="s">
        <v>49</v>
      </c>
      <c r="X555" s="13"/>
      <c r="Y555" s="2">
        <f t="shared" ca="1" si="48"/>
        <v>148</v>
      </c>
      <c r="Z555" s="14">
        <v>1</v>
      </c>
      <c r="AA555" s="1" t="str">
        <f t="shared" ca="1" si="49"/>
        <v>VENCIDO</v>
      </c>
      <c r="AB555" s="1" t="str">
        <f t="shared" si="50"/>
        <v>Dosa</v>
      </c>
      <c r="AC555" s="2" t="str">
        <f t="shared" si="53"/>
        <v xml:space="preserve"> ROSEMERE </v>
      </c>
      <c r="AD555" s="2">
        <f t="shared" si="51"/>
        <v>5</v>
      </c>
      <c r="AE555" s="2">
        <f t="shared" ca="1" si="52"/>
        <v>-203.9262716435187</v>
      </c>
      <c r="AF555" s="15"/>
    </row>
    <row r="556" spans="1:32" hidden="1">
      <c r="A556" s="1">
        <v>8816066</v>
      </c>
      <c r="B556" s="1" t="s">
        <v>101</v>
      </c>
      <c r="C556" t="s">
        <v>1125</v>
      </c>
      <c r="E556" s="2">
        <v>1732000206001</v>
      </c>
      <c r="F556" s="1" t="s">
        <v>29</v>
      </c>
      <c r="G556" s="1" t="s">
        <v>53</v>
      </c>
      <c r="H556" s="1" t="s">
        <v>177</v>
      </c>
      <c r="I556" s="1" t="s">
        <v>178</v>
      </c>
      <c r="J556" s="1" t="s">
        <v>164</v>
      </c>
      <c r="K556" t="s">
        <v>34</v>
      </c>
      <c r="M556" s="1" t="s">
        <v>35</v>
      </c>
      <c r="N556" s="1">
        <v>42318949</v>
      </c>
      <c r="O556" s="1" t="s">
        <v>105</v>
      </c>
      <c r="P556" s="186">
        <v>44781.756666666668</v>
      </c>
      <c r="R556" s="1" t="s">
        <v>38</v>
      </c>
      <c r="T556" s="1" t="s">
        <v>74</v>
      </c>
      <c r="U556" s="186">
        <v>44782.75</v>
      </c>
      <c r="V556" s="1" t="s">
        <v>41</v>
      </c>
      <c r="W556" s="1" t="s">
        <v>49</v>
      </c>
      <c r="X556" s="13"/>
      <c r="Y556" s="2">
        <f t="shared" ca="1" si="48"/>
        <v>148</v>
      </c>
      <c r="Z556" s="14">
        <v>1</v>
      </c>
      <c r="AA556" s="1" t="str">
        <f t="shared" ca="1" si="49"/>
        <v>VENCIDO</v>
      </c>
      <c r="AB556" s="1" t="str">
        <f t="shared" si="50"/>
        <v>Dosa</v>
      </c>
      <c r="AC556" s="2" t="str">
        <f t="shared" si="53"/>
        <v xml:space="preserve"> ROSEMERE </v>
      </c>
      <c r="AD556" s="2">
        <f t="shared" si="51"/>
        <v>5</v>
      </c>
      <c r="AE556" s="2">
        <f t="shared" ca="1" si="52"/>
        <v>-203.9262716435187</v>
      </c>
      <c r="AF556" s="15"/>
    </row>
    <row r="557" spans="1:32" hidden="1">
      <c r="A557" s="1">
        <v>8815493</v>
      </c>
      <c r="B557" s="1" t="s">
        <v>101</v>
      </c>
      <c r="C557" t="s">
        <v>1125</v>
      </c>
      <c r="E557" s="2">
        <v>1120000206001</v>
      </c>
      <c r="F557" s="1" t="s">
        <v>29</v>
      </c>
      <c r="G557" s="1" t="s">
        <v>53</v>
      </c>
      <c r="H557" s="1" t="s">
        <v>181</v>
      </c>
      <c r="I557" s="1" t="s">
        <v>182</v>
      </c>
      <c r="J557" s="1" t="s">
        <v>164</v>
      </c>
      <c r="K557" t="s">
        <v>34</v>
      </c>
      <c r="M557" s="1" t="s">
        <v>35</v>
      </c>
      <c r="N557" s="1">
        <v>42318949</v>
      </c>
      <c r="O557" s="1" t="s">
        <v>36</v>
      </c>
      <c r="P557" s="186">
        <v>44781.755798611113</v>
      </c>
      <c r="R557" s="1" t="s">
        <v>38</v>
      </c>
      <c r="T557" s="1" t="s">
        <v>74</v>
      </c>
      <c r="U557" s="186">
        <v>44782.75</v>
      </c>
      <c r="V557" s="1" t="s">
        <v>41</v>
      </c>
      <c r="W557" s="1" t="s">
        <v>49</v>
      </c>
      <c r="X557" s="13"/>
      <c r="Y557" s="2">
        <f t="shared" ca="1" si="48"/>
        <v>148</v>
      </c>
      <c r="Z557" s="14">
        <v>1</v>
      </c>
      <c r="AA557" s="1" t="str">
        <f t="shared" ca="1" si="49"/>
        <v>VENCIDO</v>
      </c>
      <c r="AB557" s="1" t="str">
        <f t="shared" si="50"/>
        <v>Dosa</v>
      </c>
      <c r="AC557" s="2" t="str">
        <f t="shared" si="53"/>
        <v xml:space="preserve"> ROSEMERE </v>
      </c>
      <c r="AD557" s="2">
        <f t="shared" si="51"/>
        <v>5</v>
      </c>
      <c r="AE557" s="2">
        <f t="shared" ca="1" si="52"/>
        <v>-203.9262716435187</v>
      </c>
      <c r="AF557" s="15"/>
    </row>
    <row r="558" spans="1:32" hidden="1">
      <c r="A558" s="1">
        <v>8815426</v>
      </c>
      <c r="B558" s="1" t="s">
        <v>101</v>
      </c>
      <c r="C558" t="s">
        <v>1125</v>
      </c>
      <c r="E558" s="2">
        <v>1049000206001</v>
      </c>
      <c r="F558" s="1" t="s">
        <v>29</v>
      </c>
      <c r="G558" s="1" t="s">
        <v>53</v>
      </c>
      <c r="H558" s="1" t="s">
        <v>169</v>
      </c>
      <c r="I558" s="1" t="s">
        <v>170</v>
      </c>
      <c r="J558" s="1" t="s">
        <v>164</v>
      </c>
      <c r="K558" t="s">
        <v>34</v>
      </c>
      <c r="M558" s="1" t="s">
        <v>35</v>
      </c>
      <c r="N558" s="1">
        <v>42318949</v>
      </c>
      <c r="O558" s="1" t="s">
        <v>105</v>
      </c>
      <c r="P558" s="186">
        <v>44781.755694444444</v>
      </c>
      <c r="R558" s="1" t="s">
        <v>38</v>
      </c>
      <c r="T558" s="1" t="s">
        <v>74</v>
      </c>
      <c r="U558" s="186">
        <v>44782.75</v>
      </c>
      <c r="V558" s="1" t="s">
        <v>41</v>
      </c>
      <c r="W558" s="1" t="s">
        <v>49</v>
      </c>
      <c r="X558" s="13"/>
      <c r="Y558" s="2">
        <f t="shared" ca="1" si="48"/>
        <v>148</v>
      </c>
      <c r="Z558" s="14">
        <v>1</v>
      </c>
      <c r="AA558" s="1" t="str">
        <f t="shared" ca="1" si="49"/>
        <v>VENCIDO</v>
      </c>
      <c r="AB558" s="1" t="str">
        <f t="shared" si="50"/>
        <v>Dosa</v>
      </c>
      <c r="AC558" s="2" t="str">
        <f t="shared" si="53"/>
        <v xml:space="preserve"> ROSEMERE </v>
      </c>
      <c r="AD558" s="2">
        <f t="shared" si="51"/>
        <v>5</v>
      </c>
      <c r="AE558" s="2">
        <f t="shared" ca="1" si="52"/>
        <v>-203.9262716435187</v>
      </c>
      <c r="AF558" s="15"/>
    </row>
    <row r="559" spans="1:32">
      <c r="A559" s="1">
        <v>8815270</v>
      </c>
      <c r="B559" s="1" t="s">
        <v>101</v>
      </c>
      <c r="C559" t="s">
        <v>1125</v>
      </c>
      <c r="E559" s="2">
        <v>899000206001</v>
      </c>
      <c r="F559" s="1" t="s">
        <v>29</v>
      </c>
      <c r="G559" s="1" t="s">
        <v>53</v>
      </c>
      <c r="H559" s="1" t="s">
        <v>175</v>
      </c>
      <c r="I559" s="1" t="s">
        <v>176</v>
      </c>
      <c r="J559" s="1" t="s">
        <v>90</v>
      </c>
      <c r="K559" t="s">
        <v>34</v>
      </c>
      <c r="M559" s="1" t="s">
        <v>35</v>
      </c>
      <c r="N559" s="1">
        <v>42318949</v>
      </c>
      <c r="O559" s="1" t="s">
        <v>36</v>
      </c>
      <c r="P559" s="186">
        <v>44781.75545138889</v>
      </c>
      <c r="R559" s="1" t="s">
        <v>38</v>
      </c>
      <c r="T559" s="1" t="s">
        <v>74</v>
      </c>
      <c r="U559" s="186">
        <v>44782.75</v>
      </c>
      <c r="V559" s="1" t="s">
        <v>41</v>
      </c>
      <c r="W559" s="1" t="s">
        <v>49</v>
      </c>
      <c r="X559" s="13"/>
      <c r="Y559" s="2">
        <f t="shared" ca="1" si="48"/>
        <v>148</v>
      </c>
      <c r="Z559" s="14">
        <v>1</v>
      </c>
      <c r="AA559" s="1" t="str">
        <f t="shared" ca="1" si="49"/>
        <v>VENCIDO</v>
      </c>
      <c r="AB559" s="1" t="str">
        <f t="shared" si="50"/>
        <v>Dosa</v>
      </c>
      <c r="AC559" s="2" t="str">
        <f t="shared" si="53"/>
        <v xml:space="preserve"> RINALDO </v>
      </c>
      <c r="AD559" s="2">
        <f t="shared" si="51"/>
        <v>5</v>
      </c>
      <c r="AE559" s="2">
        <f t="shared" ca="1" si="52"/>
        <v>-203.9262716435187</v>
      </c>
      <c r="AF559" s="15"/>
    </row>
    <row r="560" spans="1:32" hidden="1">
      <c r="A560" s="1">
        <v>8814941</v>
      </c>
      <c r="B560" s="1" t="s">
        <v>101</v>
      </c>
      <c r="C560" t="s">
        <v>1125</v>
      </c>
      <c r="E560" s="2">
        <v>594000206001</v>
      </c>
      <c r="F560" s="1" t="s">
        <v>29</v>
      </c>
      <c r="G560" s="1" t="s">
        <v>53</v>
      </c>
      <c r="H560" s="1" t="s">
        <v>444</v>
      </c>
      <c r="I560" s="1" t="s">
        <v>445</v>
      </c>
      <c r="J560" s="1" t="s">
        <v>33</v>
      </c>
      <c r="K560" t="s">
        <v>34</v>
      </c>
      <c r="M560" s="1" t="s">
        <v>35</v>
      </c>
      <c r="N560" s="1">
        <v>42318949</v>
      </c>
      <c r="O560" s="1" t="s">
        <v>36</v>
      </c>
      <c r="P560" s="186">
        <v>44781.754965277774</v>
      </c>
      <c r="R560" s="1" t="s">
        <v>38</v>
      </c>
      <c r="T560" s="1" t="s">
        <v>74</v>
      </c>
      <c r="U560" s="186">
        <v>44782.75</v>
      </c>
      <c r="V560" s="1" t="s">
        <v>41</v>
      </c>
      <c r="W560" s="1" t="s">
        <v>42</v>
      </c>
      <c r="X560" s="13"/>
      <c r="Y560" s="2">
        <f t="shared" ca="1" si="48"/>
        <v>148</v>
      </c>
      <c r="Z560" s="14">
        <v>1</v>
      </c>
      <c r="AA560" s="1" t="str">
        <f t="shared" ca="1" si="49"/>
        <v>VENCIDO</v>
      </c>
      <c r="AB560" s="1" t="str">
        <f t="shared" si="50"/>
        <v>Dosa</v>
      </c>
      <c r="AC560" s="2" t="str">
        <f t="shared" si="53"/>
        <v xml:space="preserve"> ROSEMERE </v>
      </c>
      <c r="AD560" s="2">
        <f t="shared" si="51"/>
        <v>5</v>
      </c>
      <c r="AE560" s="2">
        <f t="shared" ca="1" si="52"/>
        <v>-203.9262716435187</v>
      </c>
      <c r="AF560" s="15"/>
    </row>
    <row r="561" spans="1:32">
      <c r="A561" s="1">
        <v>8814916</v>
      </c>
      <c r="B561" s="1" t="s">
        <v>101</v>
      </c>
      <c r="C561" t="s">
        <v>1125</v>
      </c>
      <c r="E561" s="2">
        <v>570000206001</v>
      </c>
      <c r="F561" s="1" t="s">
        <v>29</v>
      </c>
      <c r="G561" s="1" t="s">
        <v>53</v>
      </c>
      <c r="H561" s="1" t="s">
        <v>434</v>
      </c>
      <c r="I561" s="1" t="s">
        <v>435</v>
      </c>
      <c r="J561" s="1" t="s">
        <v>148</v>
      </c>
      <c r="K561" t="s">
        <v>34</v>
      </c>
      <c r="M561" s="1" t="s">
        <v>35</v>
      </c>
      <c r="N561" s="1">
        <v>42318949</v>
      </c>
      <c r="O561" s="1" t="s">
        <v>36</v>
      </c>
      <c r="P561" s="186">
        <v>44781.754930555559</v>
      </c>
      <c r="R561" s="1" t="s">
        <v>38</v>
      </c>
      <c r="T561" s="1" t="s">
        <v>74</v>
      </c>
      <c r="U561" s="186">
        <v>44782.75</v>
      </c>
      <c r="V561" s="1" t="s">
        <v>41</v>
      </c>
      <c r="W561" s="1" t="s">
        <v>49</v>
      </c>
      <c r="X561" s="13"/>
      <c r="Y561" s="2">
        <f t="shared" ca="1" si="48"/>
        <v>148</v>
      </c>
      <c r="Z561" s="14">
        <v>1</v>
      </c>
      <c r="AA561" s="1" t="str">
        <f t="shared" ca="1" si="49"/>
        <v>VENCIDO</v>
      </c>
      <c r="AB561" s="1" t="str">
        <f t="shared" si="50"/>
        <v>Dosa</v>
      </c>
      <c r="AC561" s="2" t="str">
        <f t="shared" si="53"/>
        <v xml:space="preserve"> RINALDO </v>
      </c>
      <c r="AD561" s="2">
        <f t="shared" si="51"/>
        <v>5</v>
      </c>
      <c r="AE561" s="2">
        <f t="shared" ca="1" si="52"/>
        <v>-203.9262716435187</v>
      </c>
      <c r="AF561" s="15"/>
    </row>
    <row r="562" spans="1:32" hidden="1">
      <c r="A562" s="1">
        <v>8814895</v>
      </c>
      <c r="B562" s="1" t="s">
        <v>101</v>
      </c>
      <c r="C562" t="s">
        <v>1125</v>
      </c>
      <c r="E562" s="2">
        <v>550000206001</v>
      </c>
      <c r="F562" s="1" t="s">
        <v>29</v>
      </c>
      <c r="G562" s="1" t="s">
        <v>53</v>
      </c>
      <c r="H562" s="1" t="s">
        <v>337</v>
      </c>
      <c r="I562" s="1" t="s">
        <v>338</v>
      </c>
      <c r="J562" s="1" t="s">
        <v>164</v>
      </c>
      <c r="K562" t="s">
        <v>34</v>
      </c>
      <c r="M562" s="1" t="s">
        <v>35</v>
      </c>
      <c r="N562" s="1">
        <v>42318949</v>
      </c>
      <c r="O562" s="1" t="s">
        <v>105</v>
      </c>
      <c r="P562" s="186">
        <v>44781.754895833335</v>
      </c>
      <c r="R562" s="1" t="s">
        <v>38</v>
      </c>
      <c r="T562" s="1" t="s">
        <v>74</v>
      </c>
      <c r="U562" s="186">
        <v>44782.75</v>
      </c>
      <c r="V562" s="1" t="s">
        <v>41</v>
      </c>
      <c r="W562" s="1" t="s">
        <v>49</v>
      </c>
      <c r="X562" s="13"/>
      <c r="Y562" s="2">
        <f t="shared" ca="1" si="48"/>
        <v>148</v>
      </c>
      <c r="Z562" s="14">
        <v>1</v>
      </c>
      <c r="AA562" s="1" t="str">
        <f t="shared" ca="1" si="49"/>
        <v>VENCIDO</v>
      </c>
      <c r="AB562" s="1" t="str">
        <f t="shared" si="50"/>
        <v>Dosa</v>
      </c>
      <c r="AC562" s="2" t="str">
        <f t="shared" si="53"/>
        <v xml:space="preserve"> ROSEMERE </v>
      </c>
      <c r="AD562" s="2">
        <f t="shared" si="51"/>
        <v>5</v>
      </c>
      <c r="AE562" s="2">
        <f t="shared" ca="1" si="52"/>
        <v>-203.9262716435187</v>
      </c>
      <c r="AF562" s="15"/>
    </row>
    <row r="563" spans="1:32">
      <c r="A563" s="1">
        <v>8812545</v>
      </c>
      <c r="B563" s="1" t="s">
        <v>101</v>
      </c>
      <c r="C563" t="s">
        <v>1134</v>
      </c>
      <c r="E563" s="2">
        <v>9705000206001</v>
      </c>
      <c r="F563" s="1" t="s">
        <v>29</v>
      </c>
      <c r="G563" s="1" t="s">
        <v>53</v>
      </c>
      <c r="H563" s="1" t="s">
        <v>204</v>
      </c>
      <c r="I563" s="1" t="s">
        <v>205</v>
      </c>
      <c r="J563" s="1" t="s">
        <v>90</v>
      </c>
      <c r="K563" t="s">
        <v>34</v>
      </c>
      <c r="M563" s="1" t="s">
        <v>35</v>
      </c>
      <c r="N563" s="1">
        <v>42318949</v>
      </c>
      <c r="O563" s="1" t="s">
        <v>105</v>
      </c>
      <c r="P563" s="186">
        <v>44781.506111111114</v>
      </c>
      <c r="R563" s="1" t="s">
        <v>38</v>
      </c>
      <c r="T563" s="1" t="s">
        <v>74</v>
      </c>
      <c r="U563" s="186">
        <v>44781.75</v>
      </c>
      <c r="V563" s="1" t="s">
        <v>41</v>
      </c>
      <c r="W563" s="1" t="s">
        <v>49</v>
      </c>
      <c r="X563" s="13"/>
      <c r="Y563" s="2">
        <f t="shared" ca="1" si="48"/>
        <v>148</v>
      </c>
      <c r="Z563" s="14">
        <v>1</v>
      </c>
      <c r="AA563" s="1" t="str">
        <f t="shared" ca="1" si="49"/>
        <v>VENCIDO</v>
      </c>
      <c r="AB563" s="1" t="str">
        <f t="shared" si="50"/>
        <v>Dosa</v>
      </c>
      <c r="AC563" s="2" t="str">
        <f t="shared" si="53"/>
        <v xml:space="preserve"> RINALDO </v>
      </c>
      <c r="AD563" s="2">
        <f t="shared" si="51"/>
        <v>5</v>
      </c>
      <c r="AE563" s="2">
        <f t="shared" ca="1" si="52"/>
        <v>-204.9262716435187</v>
      </c>
      <c r="AF563" s="15"/>
    </row>
    <row r="564" spans="1:32">
      <c r="A564" s="1">
        <v>8812544</v>
      </c>
      <c r="B564" s="1" t="s">
        <v>101</v>
      </c>
      <c r="C564" t="s">
        <v>1134</v>
      </c>
      <c r="E564" s="2">
        <v>9705000206001</v>
      </c>
      <c r="F564" s="1" t="s">
        <v>29</v>
      </c>
      <c r="G564" s="1" t="s">
        <v>53</v>
      </c>
      <c r="H564" s="1" t="s">
        <v>204</v>
      </c>
      <c r="I564" s="1" t="s">
        <v>205</v>
      </c>
      <c r="J564" s="1" t="s">
        <v>90</v>
      </c>
      <c r="K564" t="s">
        <v>34</v>
      </c>
      <c r="M564" s="1" t="s">
        <v>35</v>
      </c>
      <c r="N564" s="1">
        <v>42318949</v>
      </c>
      <c r="O564" s="1" t="s">
        <v>105</v>
      </c>
      <c r="P564" s="186">
        <v>44781.506111111114</v>
      </c>
      <c r="R564" s="1" t="s">
        <v>38</v>
      </c>
      <c r="T564" s="1" t="s">
        <v>74</v>
      </c>
      <c r="U564" s="186">
        <v>44781.75</v>
      </c>
      <c r="V564" s="1" t="s">
        <v>41</v>
      </c>
      <c r="W564" s="1" t="s">
        <v>49</v>
      </c>
      <c r="X564" s="13"/>
      <c r="Y564" s="2">
        <f t="shared" ca="1" si="48"/>
        <v>148</v>
      </c>
      <c r="Z564" s="14">
        <v>1</v>
      </c>
      <c r="AA564" s="1" t="str">
        <f t="shared" ca="1" si="49"/>
        <v>VENCIDO</v>
      </c>
      <c r="AB564" s="1" t="str">
        <f t="shared" si="50"/>
        <v>Dosa</v>
      </c>
      <c r="AC564" s="2" t="str">
        <f t="shared" si="53"/>
        <v xml:space="preserve"> RINALDO </v>
      </c>
      <c r="AD564" s="2">
        <f t="shared" si="51"/>
        <v>5</v>
      </c>
      <c r="AE564" s="2">
        <f t="shared" ca="1" si="52"/>
        <v>-204.9262716435187</v>
      </c>
      <c r="AF564" s="15"/>
    </row>
    <row r="565" spans="1:32">
      <c r="A565" s="1">
        <v>8812543</v>
      </c>
      <c r="B565" s="1" t="s">
        <v>101</v>
      </c>
      <c r="C565" t="s">
        <v>1134</v>
      </c>
      <c r="E565" s="2">
        <v>9705000206001</v>
      </c>
      <c r="F565" s="1" t="s">
        <v>29</v>
      </c>
      <c r="G565" s="1" t="s">
        <v>53</v>
      </c>
      <c r="H565" s="1" t="s">
        <v>204</v>
      </c>
      <c r="I565" s="1" t="s">
        <v>205</v>
      </c>
      <c r="J565" s="1" t="s">
        <v>90</v>
      </c>
      <c r="K565" t="s">
        <v>34</v>
      </c>
      <c r="M565" s="1" t="s">
        <v>35</v>
      </c>
      <c r="N565" s="1">
        <v>42318949</v>
      </c>
      <c r="O565" s="1" t="s">
        <v>105</v>
      </c>
      <c r="P565" s="186">
        <v>44781.506111111114</v>
      </c>
      <c r="R565" s="1" t="s">
        <v>38</v>
      </c>
      <c r="T565" s="1" t="s">
        <v>74</v>
      </c>
      <c r="U565" s="186">
        <v>44781.75</v>
      </c>
      <c r="V565" s="1" t="s">
        <v>41</v>
      </c>
      <c r="W565" s="1" t="s">
        <v>49</v>
      </c>
      <c r="X565" s="13"/>
      <c r="Y565" s="2">
        <f t="shared" ca="1" si="48"/>
        <v>148</v>
      </c>
      <c r="Z565" s="14">
        <v>1</v>
      </c>
      <c r="AA565" s="1" t="str">
        <f t="shared" ca="1" si="49"/>
        <v>VENCIDO</v>
      </c>
      <c r="AB565" s="1" t="str">
        <f t="shared" si="50"/>
        <v>Dosa</v>
      </c>
      <c r="AC565" s="2" t="str">
        <f t="shared" si="53"/>
        <v xml:space="preserve"> RINALDO </v>
      </c>
      <c r="AD565" s="2">
        <f t="shared" si="51"/>
        <v>5</v>
      </c>
      <c r="AE565" s="2">
        <f t="shared" ca="1" si="52"/>
        <v>-204.9262716435187</v>
      </c>
      <c r="AF565" s="15"/>
    </row>
    <row r="566" spans="1:32" hidden="1">
      <c r="A566" s="1">
        <v>8812542</v>
      </c>
      <c r="B566" s="1" t="s">
        <v>101</v>
      </c>
      <c r="C566" t="s">
        <v>1134</v>
      </c>
      <c r="E566" s="2">
        <v>9704000206001</v>
      </c>
      <c r="F566" s="1" t="s">
        <v>29</v>
      </c>
      <c r="G566" s="1" t="s">
        <v>53</v>
      </c>
      <c r="H566" s="1" t="s">
        <v>488</v>
      </c>
      <c r="I566" s="1" t="s">
        <v>489</v>
      </c>
      <c r="J566" s="1" t="s">
        <v>164</v>
      </c>
      <c r="K566" t="s">
        <v>34</v>
      </c>
      <c r="M566" s="1" t="s">
        <v>35</v>
      </c>
      <c r="N566" s="1">
        <v>42318949</v>
      </c>
      <c r="O566" s="1" t="s">
        <v>105</v>
      </c>
      <c r="P566" s="186">
        <v>44781.506111111114</v>
      </c>
      <c r="R566" s="1" t="s">
        <v>38</v>
      </c>
      <c r="T566" s="1" t="s">
        <v>74</v>
      </c>
      <c r="U566" s="186">
        <v>44781.75</v>
      </c>
      <c r="V566" s="1" t="s">
        <v>41</v>
      </c>
      <c r="W566" s="1" t="s">
        <v>49</v>
      </c>
      <c r="X566" s="13"/>
      <c r="Y566" s="2">
        <f t="shared" ca="1" si="48"/>
        <v>148</v>
      </c>
      <c r="Z566" s="14">
        <v>1</v>
      </c>
      <c r="AA566" s="1" t="str">
        <f t="shared" ca="1" si="49"/>
        <v>VENCIDO</v>
      </c>
      <c r="AB566" s="1" t="str">
        <f t="shared" si="50"/>
        <v>Dosa</v>
      </c>
      <c r="AC566" s="2" t="str">
        <f t="shared" si="53"/>
        <v xml:space="preserve"> ROSEMERE </v>
      </c>
      <c r="AD566" s="2">
        <f t="shared" si="51"/>
        <v>5</v>
      </c>
      <c r="AE566" s="2">
        <f t="shared" ca="1" si="52"/>
        <v>-204.9262716435187</v>
      </c>
      <c r="AF566" s="15"/>
    </row>
    <row r="567" spans="1:32" hidden="1">
      <c r="A567" s="1">
        <v>8812541</v>
      </c>
      <c r="B567" s="1" t="s">
        <v>101</v>
      </c>
      <c r="C567" t="s">
        <v>1134</v>
      </c>
      <c r="E567" s="2">
        <v>9704000206001</v>
      </c>
      <c r="F567" s="1" t="s">
        <v>29</v>
      </c>
      <c r="G567" s="1" t="s">
        <v>53</v>
      </c>
      <c r="H567" s="1" t="s">
        <v>488</v>
      </c>
      <c r="I567" s="1" t="s">
        <v>489</v>
      </c>
      <c r="J567" s="1" t="s">
        <v>164</v>
      </c>
      <c r="K567" t="s">
        <v>34</v>
      </c>
      <c r="M567" s="1" t="s">
        <v>35</v>
      </c>
      <c r="N567" s="1">
        <v>42318949</v>
      </c>
      <c r="O567" s="1" t="s">
        <v>105</v>
      </c>
      <c r="P567" s="186">
        <v>44781.506111111114</v>
      </c>
      <c r="R567" s="1" t="s">
        <v>38</v>
      </c>
      <c r="T567" s="1" t="s">
        <v>74</v>
      </c>
      <c r="U567" s="186">
        <v>44781.75</v>
      </c>
      <c r="V567" s="1" t="s">
        <v>41</v>
      </c>
      <c r="W567" s="1" t="s">
        <v>49</v>
      </c>
      <c r="X567" s="13"/>
      <c r="Y567" s="2">
        <f t="shared" ca="1" si="48"/>
        <v>148</v>
      </c>
      <c r="Z567" s="14">
        <v>1</v>
      </c>
      <c r="AA567" s="1" t="str">
        <f t="shared" ca="1" si="49"/>
        <v>VENCIDO</v>
      </c>
      <c r="AB567" s="1" t="str">
        <f t="shared" si="50"/>
        <v>Dosa</v>
      </c>
      <c r="AC567" s="2" t="str">
        <f t="shared" si="53"/>
        <v xml:space="preserve"> ROSEMERE </v>
      </c>
      <c r="AD567" s="2">
        <f t="shared" si="51"/>
        <v>5</v>
      </c>
      <c r="AE567" s="2">
        <f t="shared" ca="1" si="52"/>
        <v>-204.9262716435187</v>
      </c>
      <c r="AF567" s="15"/>
    </row>
    <row r="568" spans="1:32" hidden="1">
      <c r="A568" s="1">
        <v>8812540</v>
      </c>
      <c r="B568" s="1" t="s">
        <v>101</v>
      </c>
      <c r="C568" t="s">
        <v>1134</v>
      </c>
      <c r="E568" s="2">
        <v>9704000206001</v>
      </c>
      <c r="F568" s="1" t="s">
        <v>29</v>
      </c>
      <c r="G568" s="1" t="s">
        <v>53</v>
      </c>
      <c r="H568" s="1" t="s">
        <v>488</v>
      </c>
      <c r="I568" s="1" t="s">
        <v>489</v>
      </c>
      <c r="J568" s="1" t="s">
        <v>164</v>
      </c>
      <c r="K568" t="s">
        <v>34</v>
      </c>
      <c r="M568" s="1" t="s">
        <v>35</v>
      </c>
      <c r="N568" s="1">
        <v>42318949</v>
      </c>
      <c r="O568" s="1" t="s">
        <v>105</v>
      </c>
      <c r="P568" s="186">
        <v>44781.506111111114</v>
      </c>
      <c r="R568" s="1" t="s">
        <v>38</v>
      </c>
      <c r="T568" s="1" t="s">
        <v>74</v>
      </c>
      <c r="U568" s="186">
        <v>44781.75</v>
      </c>
      <c r="V568" s="1" t="s">
        <v>41</v>
      </c>
      <c r="W568" s="1" t="s">
        <v>49</v>
      </c>
      <c r="X568" s="13"/>
      <c r="Y568" s="2">
        <f t="shared" ca="1" si="48"/>
        <v>148</v>
      </c>
      <c r="Z568" s="14">
        <v>1</v>
      </c>
      <c r="AA568" s="1" t="str">
        <f t="shared" ca="1" si="49"/>
        <v>VENCIDO</v>
      </c>
      <c r="AB568" s="1" t="str">
        <f t="shared" si="50"/>
        <v>Dosa</v>
      </c>
      <c r="AC568" s="2" t="str">
        <f t="shared" si="53"/>
        <v xml:space="preserve"> ROSEMERE </v>
      </c>
      <c r="AD568" s="2">
        <f t="shared" si="51"/>
        <v>5</v>
      </c>
      <c r="AE568" s="2">
        <f t="shared" ca="1" si="52"/>
        <v>-204.9262716435187</v>
      </c>
      <c r="AF568" s="15"/>
    </row>
    <row r="569" spans="1:32" hidden="1">
      <c r="A569" s="1">
        <v>8812539</v>
      </c>
      <c r="B569" s="1" t="s">
        <v>101</v>
      </c>
      <c r="C569" t="s">
        <v>1134</v>
      </c>
      <c r="E569" s="2">
        <v>9704000206001</v>
      </c>
      <c r="F569" s="1" t="s">
        <v>29</v>
      </c>
      <c r="G569" s="1" t="s">
        <v>53</v>
      </c>
      <c r="H569" s="1" t="s">
        <v>488</v>
      </c>
      <c r="I569" s="1" t="s">
        <v>489</v>
      </c>
      <c r="J569" s="1" t="s">
        <v>164</v>
      </c>
      <c r="K569" t="s">
        <v>34</v>
      </c>
      <c r="M569" s="1" t="s">
        <v>35</v>
      </c>
      <c r="N569" s="1">
        <v>42318949</v>
      </c>
      <c r="O569" s="1" t="s">
        <v>105</v>
      </c>
      <c r="P569" s="186">
        <v>44781.506111111114</v>
      </c>
      <c r="R569" s="1" t="s">
        <v>38</v>
      </c>
      <c r="T569" s="1" t="s">
        <v>74</v>
      </c>
      <c r="U569" s="186">
        <v>44781.75</v>
      </c>
      <c r="V569" s="1" t="s">
        <v>41</v>
      </c>
      <c r="W569" s="1" t="s">
        <v>49</v>
      </c>
      <c r="X569" s="13"/>
      <c r="Y569" s="2">
        <f t="shared" ca="1" si="48"/>
        <v>148</v>
      </c>
      <c r="Z569" s="14">
        <v>1</v>
      </c>
      <c r="AA569" s="1" t="str">
        <f t="shared" ca="1" si="49"/>
        <v>VENCIDO</v>
      </c>
      <c r="AB569" s="1" t="str">
        <f t="shared" si="50"/>
        <v>Dosa</v>
      </c>
      <c r="AC569" s="2" t="str">
        <f t="shared" si="53"/>
        <v xml:space="preserve"> ROSEMERE </v>
      </c>
      <c r="AD569" s="2">
        <f t="shared" si="51"/>
        <v>5</v>
      </c>
      <c r="AE569" s="2">
        <f t="shared" ca="1" si="52"/>
        <v>-204.9262716435187</v>
      </c>
      <c r="AF569" s="15"/>
    </row>
    <row r="570" spans="1:32">
      <c r="A570" s="1">
        <v>8812535</v>
      </c>
      <c r="B570" s="1" t="s">
        <v>101</v>
      </c>
      <c r="C570" t="s">
        <v>1134</v>
      </c>
      <c r="E570" s="2">
        <v>9700000206001</v>
      </c>
      <c r="F570" s="1" t="s">
        <v>29</v>
      </c>
      <c r="G570" s="1" t="s">
        <v>53</v>
      </c>
      <c r="H570" s="1" t="s">
        <v>209</v>
      </c>
      <c r="I570" s="1" t="s">
        <v>210</v>
      </c>
      <c r="J570" s="1" t="s">
        <v>211</v>
      </c>
      <c r="K570" t="s">
        <v>34</v>
      </c>
      <c r="M570" s="1" t="s">
        <v>35</v>
      </c>
      <c r="N570" s="1">
        <v>42318949</v>
      </c>
      <c r="O570" s="1" t="s">
        <v>105</v>
      </c>
      <c r="P570" s="186">
        <v>44781.506099537037</v>
      </c>
      <c r="R570" s="1" t="s">
        <v>38</v>
      </c>
      <c r="T570" s="1" t="s">
        <v>74</v>
      </c>
      <c r="U570" s="186">
        <v>44781.75</v>
      </c>
      <c r="V570" s="1" t="s">
        <v>41</v>
      </c>
      <c r="W570" s="1" t="s">
        <v>49</v>
      </c>
      <c r="X570" s="13"/>
      <c r="Y570" s="2">
        <f t="shared" ca="1" si="48"/>
        <v>148</v>
      </c>
      <c r="Z570" s="14">
        <v>1</v>
      </c>
      <c r="AA570" s="1" t="str">
        <f t="shared" ca="1" si="49"/>
        <v>VENCIDO</v>
      </c>
      <c r="AB570" s="1" t="str">
        <f t="shared" si="50"/>
        <v>Dosa</v>
      </c>
      <c r="AC570" s="2" t="str">
        <f t="shared" si="53"/>
        <v xml:space="preserve"> RINALDO </v>
      </c>
      <c r="AD570" s="2">
        <f t="shared" si="51"/>
        <v>5</v>
      </c>
      <c r="AE570" s="2">
        <f t="shared" ca="1" si="52"/>
        <v>-204.9262716435187</v>
      </c>
      <c r="AF570" s="15"/>
    </row>
    <row r="571" spans="1:32">
      <c r="A571" s="1">
        <v>8812533</v>
      </c>
      <c r="B571" s="1" t="s">
        <v>101</v>
      </c>
      <c r="C571" t="s">
        <v>1134</v>
      </c>
      <c r="E571" s="2">
        <v>9700000206001</v>
      </c>
      <c r="F571" s="1" t="s">
        <v>29</v>
      </c>
      <c r="G571" s="1" t="s">
        <v>53</v>
      </c>
      <c r="H571" s="1" t="s">
        <v>209</v>
      </c>
      <c r="I571" s="1" t="s">
        <v>210</v>
      </c>
      <c r="J571" s="1" t="s">
        <v>211</v>
      </c>
      <c r="K571" t="s">
        <v>34</v>
      </c>
      <c r="M571" s="1" t="s">
        <v>35</v>
      </c>
      <c r="N571" s="1">
        <v>42318949</v>
      </c>
      <c r="O571" s="1" t="s">
        <v>105</v>
      </c>
      <c r="P571" s="186">
        <v>44781.506099537037</v>
      </c>
      <c r="R571" s="1" t="s">
        <v>38</v>
      </c>
      <c r="T571" s="1" t="s">
        <v>74</v>
      </c>
      <c r="U571" s="186">
        <v>44781.75</v>
      </c>
      <c r="V571" s="1" t="s">
        <v>41</v>
      </c>
      <c r="W571" s="1" t="s">
        <v>49</v>
      </c>
      <c r="X571" s="13"/>
      <c r="Y571" s="2">
        <f t="shared" ca="1" si="48"/>
        <v>148</v>
      </c>
      <c r="Z571" s="14">
        <v>1</v>
      </c>
      <c r="AA571" s="1" t="str">
        <f t="shared" ca="1" si="49"/>
        <v>VENCIDO</v>
      </c>
      <c r="AB571" s="1" t="str">
        <f t="shared" si="50"/>
        <v>Dosa</v>
      </c>
      <c r="AC571" s="2" t="str">
        <f t="shared" si="53"/>
        <v xml:space="preserve"> RINALDO </v>
      </c>
      <c r="AD571" s="2">
        <f t="shared" si="51"/>
        <v>5</v>
      </c>
      <c r="AE571" s="2">
        <f t="shared" ca="1" si="52"/>
        <v>-204.9262716435187</v>
      </c>
      <c r="AF571" s="15"/>
    </row>
    <row r="572" spans="1:32">
      <c r="A572" s="1">
        <v>8812532</v>
      </c>
      <c r="B572" s="1" t="s">
        <v>101</v>
      </c>
      <c r="C572" t="s">
        <v>1134</v>
      </c>
      <c r="E572" s="2">
        <v>9700000206001</v>
      </c>
      <c r="F572" s="1" t="s">
        <v>29</v>
      </c>
      <c r="G572" s="1" t="s">
        <v>53</v>
      </c>
      <c r="H572" s="1" t="s">
        <v>209</v>
      </c>
      <c r="I572" s="1" t="s">
        <v>210</v>
      </c>
      <c r="J572" s="1" t="s">
        <v>211</v>
      </c>
      <c r="K572" t="s">
        <v>34</v>
      </c>
      <c r="M572" s="1" t="s">
        <v>35</v>
      </c>
      <c r="N572" s="1">
        <v>42318949</v>
      </c>
      <c r="O572" s="1" t="s">
        <v>105</v>
      </c>
      <c r="P572" s="186">
        <v>44781.506099537037</v>
      </c>
      <c r="R572" s="1" t="s">
        <v>38</v>
      </c>
      <c r="T572" s="1" t="s">
        <v>74</v>
      </c>
      <c r="U572" s="186">
        <v>44781.75</v>
      </c>
      <c r="V572" s="1" t="s">
        <v>41</v>
      </c>
      <c r="W572" s="1" t="s">
        <v>49</v>
      </c>
      <c r="X572" s="13"/>
      <c r="Y572" s="2">
        <f t="shared" ca="1" si="48"/>
        <v>148</v>
      </c>
      <c r="Z572" s="14">
        <v>1</v>
      </c>
      <c r="AA572" s="1" t="str">
        <f t="shared" ca="1" si="49"/>
        <v>VENCIDO</v>
      </c>
      <c r="AB572" s="1" t="str">
        <f t="shared" si="50"/>
        <v>Dosa</v>
      </c>
      <c r="AC572" s="2" t="str">
        <f t="shared" si="53"/>
        <v xml:space="preserve"> RINALDO </v>
      </c>
      <c r="AD572" s="2">
        <f t="shared" si="51"/>
        <v>5</v>
      </c>
      <c r="AE572" s="2">
        <f t="shared" ca="1" si="52"/>
        <v>-204.9262716435187</v>
      </c>
      <c r="AF572" s="15"/>
    </row>
    <row r="573" spans="1:32" hidden="1">
      <c r="A573" s="1">
        <v>8811822</v>
      </c>
      <c r="B573" s="1" t="s">
        <v>101</v>
      </c>
      <c r="C573" t="s">
        <v>1134</v>
      </c>
      <c r="E573" s="2">
        <v>4637000206001</v>
      </c>
      <c r="F573" s="1" t="s">
        <v>29</v>
      </c>
      <c r="G573" s="1" t="s">
        <v>53</v>
      </c>
      <c r="H573" s="1" t="s">
        <v>848</v>
      </c>
      <c r="I573" s="1" t="s">
        <v>849</v>
      </c>
      <c r="J573" s="1" t="s">
        <v>79</v>
      </c>
      <c r="K573" t="s">
        <v>34</v>
      </c>
      <c r="M573" s="1" t="s">
        <v>35</v>
      </c>
      <c r="N573" s="1">
        <v>42318949</v>
      </c>
      <c r="O573" s="1" t="s">
        <v>105</v>
      </c>
      <c r="P573" s="186">
        <v>44781.505231481482</v>
      </c>
      <c r="R573" s="1" t="s">
        <v>38</v>
      </c>
      <c r="T573" s="1" t="s">
        <v>74</v>
      </c>
      <c r="U573" s="186">
        <v>44781.75</v>
      </c>
      <c r="V573" s="1" t="s">
        <v>41</v>
      </c>
      <c r="W573" s="1" t="s">
        <v>49</v>
      </c>
      <c r="X573" s="13"/>
      <c r="Y573" s="2">
        <f t="shared" ca="1" si="48"/>
        <v>148</v>
      </c>
      <c r="Z573" s="14">
        <v>1</v>
      </c>
      <c r="AA573" s="1" t="str">
        <f t="shared" ca="1" si="49"/>
        <v>VENCIDO</v>
      </c>
      <c r="AB573" s="1" t="str">
        <f t="shared" si="50"/>
        <v>Dosa</v>
      </c>
      <c r="AC573" s="2" t="str">
        <f t="shared" si="53"/>
        <v xml:space="preserve"> ROSEMERE </v>
      </c>
      <c r="AD573" s="2">
        <f t="shared" si="51"/>
        <v>5</v>
      </c>
      <c r="AE573" s="2">
        <f t="shared" ca="1" si="52"/>
        <v>-204.9262716435187</v>
      </c>
      <c r="AF573" s="15"/>
    </row>
    <row r="574" spans="1:32">
      <c r="A574" s="1">
        <v>8811127</v>
      </c>
      <c r="B574" s="1" t="s">
        <v>101</v>
      </c>
      <c r="C574" t="s">
        <v>1134</v>
      </c>
      <c r="E574" s="2">
        <v>2437000206001</v>
      </c>
      <c r="F574" s="1" t="s">
        <v>29</v>
      </c>
      <c r="G574" s="1" t="s">
        <v>53</v>
      </c>
      <c r="H574" s="1" t="s">
        <v>416</v>
      </c>
      <c r="I574" s="1" t="s">
        <v>417</v>
      </c>
      <c r="J574" s="1" t="s">
        <v>211</v>
      </c>
      <c r="K574" t="s">
        <v>34</v>
      </c>
      <c r="M574" s="1" t="s">
        <v>35</v>
      </c>
      <c r="N574" s="1">
        <v>42318949</v>
      </c>
      <c r="O574" s="1" t="s">
        <v>105</v>
      </c>
      <c r="P574" s="186">
        <v>44781.504340277781</v>
      </c>
      <c r="R574" s="1" t="s">
        <v>38</v>
      </c>
      <c r="T574" s="1" t="s">
        <v>74</v>
      </c>
      <c r="U574" s="186">
        <v>44781.75</v>
      </c>
      <c r="V574" s="1" t="s">
        <v>41</v>
      </c>
      <c r="W574" s="1" t="s">
        <v>49</v>
      </c>
      <c r="X574" s="13"/>
      <c r="Y574" s="2">
        <f t="shared" ca="1" si="48"/>
        <v>148</v>
      </c>
      <c r="Z574" s="14">
        <v>1</v>
      </c>
      <c r="AA574" s="1" t="str">
        <f t="shared" ca="1" si="49"/>
        <v>VENCIDO</v>
      </c>
      <c r="AB574" s="1" t="str">
        <f t="shared" si="50"/>
        <v>Dosa</v>
      </c>
      <c r="AC574" s="2" t="str">
        <f t="shared" si="53"/>
        <v xml:space="preserve"> RINALDO </v>
      </c>
      <c r="AD574" s="2">
        <f t="shared" si="51"/>
        <v>5</v>
      </c>
      <c r="AE574" s="2">
        <f t="shared" ca="1" si="52"/>
        <v>-204.9262716435187</v>
      </c>
      <c r="AF574" s="15"/>
    </row>
    <row r="575" spans="1:32">
      <c r="A575" s="1">
        <v>8811126</v>
      </c>
      <c r="B575" s="1" t="s">
        <v>101</v>
      </c>
      <c r="C575" t="s">
        <v>1134</v>
      </c>
      <c r="E575" s="2">
        <v>2437000206001</v>
      </c>
      <c r="F575" s="1" t="s">
        <v>29</v>
      </c>
      <c r="G575" s="1" t="s">
        <v>53</v>
      </c>
      <c r="H575" s="1" t="s">
        <v>416</v>
      </c>
      <c r="I575" s="1" t="s">
        <v>417</v>
      </c>
      <c r="J575" s="1" t="s">
        <v>211</v>
      </c>
      <c r="K575" t="s">
        <v>34</v>
      </c>
      <c r="M575" s="1" t="s">
        <v>35</v>
      </c>
      <c r="N575" s="1">
        <v>42318949</v>
      </c>
      <c r="O575" s="1" t="s">
        <v>105</v>
      </c>
      <c r="P575" s="186">
        <v>44781.504340277781</v>
      </c>
      <c r="R575" s="1" t="s">
        <v>38</v>
      </c>
      <c r="T575" s="1" t="s">
        <v>74</v>
      </c>
      <c r="U575" s="186">
        <v>44781.75</v>
      </c>
      <c r="V575" s="1" t="s">
        <v>41</v>
      </c>
      <c r="W575" s="1" t="s">
        <v>49</v>
      </c>
      <c r="X575" s="13"/>
      <c r="Y575" s="2">
        <f t="shared" ca="1" si="48"/>
        <v>148</v>
      </c>
      <c r="Z575" s="14">
        <v>1</v>
      </c>
      <c r="AA575" s="1" t="str">
        <f t="shared" ca="1" si="49"/>
        <v>VENCIDO</v>
      </c>
      <c r="AB575" s="1" t="str">
        <f t="shared" si="50"/>
        <v>Dosa</v>
      </c>
      <c r="AC575" s="2" t="str">
        <f t="shared" si="53"/>
        <v xml:space="preserve"> RINALDO </v>
      </c>
      <c r="AD575" s="2">
        <f t="shared" si="51"/>
        <v>5</v>
      </c>
      <c r="AE575" s="2">
        <f t="shared" ca="1" si="52"/>
        <v>-204.9262716435187</v>
      </c>
      <c r="AF575" s="15"/>
    </row>
    <row r="576" spans="1:32">
      <c r="A576" s="1">
        <v>8811125</v>
      </c>
      <c r="B576" s="1" t="s">
        <v>101</v>
      </c>
      <c r="C576" t="s">
        <v>1134</v>
      </c>
      <c r="E576" s="2">
        <v>2437000206001</v>
      </c>
      <c r="F576" s="1" t="s">
        <v>29</v>
      </c>
      <c r="G576" s="1" t="s">
        <v>53</v>
      </c>
      <c r="H576" s="1" t="s">
        <v>416</v>
      </c>
      <c r="I576" s="1" t="s">
        <v>417</v>
      </c>
      <c r="J576" s="1" t="s">
        <v>211</v>
      </c>
      <c r="K576" t="s">
        <v>34</v>
      </c>
      <c r="M576" s="1" t="s">
        <v>35</v>
      </c>
      <c r="N576" s="1">
        <v>42318949</v>
      </c>
      <c r="O576" s="1" t="s">
        <v>105</v>
      </c>
      <c r="P576" s="186">
        <v>44781.504340277781</v>
      </c>
      <c r="R576" s="1" t="s">
        <v>38</v>
      </c>
      <c r="T576" s="1" t="s">
        <v>74</v>
      </c>
      <c r="U576" s="186">
        <v>44781.75</v>
      </c>
      <c r="V576" s="1" t="s">
        <v>41</v>
      </c>
      <c r="W576" s="1" t="s">
        <v>49</v>
      </c>
      <c r="X576" s="13"/>
      <c r="Y576" s="2">
        <f t="shared" ca="1" si="48"/>
        <v>148</v>
      </c>
      <c r="Z576" s="14">
        <v>1</v>
      </c>
      <c r="AA576" s="1" t="str">
        <f t="shared" ca="1" si="49"/>
        <v>VENCIDO</v>
      </c>
      <c r="AB576" s="1" t="str">
        <f t="shared" si="50"/>
        <v>Dosa</v>
      </c>
      <c r="AC576" s="2" t="str">
        <f t="shared" si="53"/>
        <v xml:space="preserve"> RINALDO </v>
      </c>
      <c r="AD576" s="2">
        <f t="shared" si="51"/>
        <v>5</v>
      </c>
      <c r="AE576" s="2">
        <f t="shared" ca="1" si="52"/>
        <v>-204.9262716435187</v>
      </c>
      <c r="AF576" s="15"/>
    </row>
    <row r="577" spans="1:32" hidden="1">
      <c r="A577" s="1">
        <v>8810874</v>
      </c>
      <c r="B577" s="1" t="s">
        <v>101</v>
      </c>
      <c r="C577" t="s">
        <v>1134</v>
      </c>
      <c r="E577" s="2">
        <v>1739000206001</v>
      </c>
      <c r="F577" s="1" t="s">
        <v>29</v>
      </c>
      <c r="G577" s="1" t="s">
        <v>53</v>
      </c>
      <c r="H577" s="1" t="s">
        <v>162</v>
      </c>
      <c r="I577" s="1" t="s">
        <v>163</v>
      </c>
      <c r="J577" s="1" t="s">
        <v>164</v>
      </c>
      <c r="K577" t="s">
        <v>34</v>
      </c>
      <c r="M577" s="1" t="s">
        <v>35</v>
      </c>
      <c r="N577" s="1">
        <v>42318949</v>
      </c>
      <c r="O577" s="1" t="s">
        <v>105</v>
      </c>
      <c r="P577" s="186">
        <v>44781.503969907404</v>
      </c>
      <c r="R577" s="1" t="s">
        <v>38</v>
      </c>
      <c r="T577" s="1" t="s">
        <v>74</v>
      </c>
      <c r="U577" s="186">
        <v>44781.75</v>
      </c>
      <c r="V577" s="1" t="s">
        <v>41</v>
      </c>
      <c r="W577" s="1" t="s">
        <v>49</v>
      </c>
      <c r="X577" s="13"/>
      <c r="Y577" s="2">
        <f t="shared" ca="1" si="48"/>
        <v>148</v>
      </c>
      <c r="Z577" s="14">
        <v>1</v>
      </c>
      <c r="AA577" s="1" t="str">
        <f t="shared" ca="1" si="49"/>
        <v>VENCIDO</v>
      </c>
      <c r="AB577" s="1" t="str">
        <f t="shared" si="50"/>
        <v>Dosa</v>
      </c>
      <c r="AC577" s="2" t="str">
        <f t="shared" si="53"/>
        <v xml:space="preserve"> ROSEMERE </v>
      </c>
      <c r="AD577" s="2">
        <f t="shared" si="51"/>
        <v>5</v>
      </c>
      <c r="AE577" s="2">
        <f t="shared" ca="1" si="52"/>
        <v>-204.9262716435187</v>
      </c>
      <c r="AF577" s="15"/>
    </row>
    <row r="578" spans="1:32" hidden="1">
      <c r="A578" s="1">
        <v>8810866</v>
      </c>
      <c r="B578" s="1" t="s">
        <v>101</v>
      </c>
      <c r="C578" t="s">
        <v>1134</v>
      </c>
      <c r="E578" s="2">
        <v>1732000206001</v>
      </c>
      <c r="F578" s="1" t="s">
        <v>29</v>
      </c>
      <c r="G578" s="1" t="s">
        <v>53</v>
      </c>
      <c r="H578" s="1" t="s">
        <v>177</v>
      </c>
      <c r="I578" s="1" t="s">
        <v>178</v>
      </c>
      <c r="J578" s="1" t="s">
        <v>164</v>
      </c>
      <c r="K578" t="s">
        <v>34</v>
      </c>
      <c r="M578" s="1" t="s">
        <v>35</v>
      </c>
      <c r="N578" s="1">
        <v>42318949</v>
      </c>
      <c r="O578" s="1" t="s">
        <v>105</v>
      </c>
      <c r="P578" s="186">
        <v>44781.503958333335</v>
      </c>
      <c r="R578" s="1" t="s">
        <v>38</v>
      </c>
      <c r="T578" s="1" t="s">
        <v>74</v>
      </c>
      <c r="U578" s="186">
        <v>44781.75</v>
      </c>
      <c r="V578" s="1" t="s">
        <v>41</v>
      </c>
      <c r="W578" s="1" t="s">
        <v>49</v>
      </c>
      <c r="X578" s="13"/>
      <c r="Y578" s="2">
        <f t="shared" ref="Y578:Y641" ca="1" si="54">NETWORKDAYS(P578,$Y$1)</f>
        <v>148</v>
      </c>
      <c r="Z578" s="14">
        <v>1</v>
      </c>
      <c r="AA578" s="1" t="str">
        <f t="shared" ref="AA578:AA641" ca="1" si="55">IF(AE578=0,"HOJE",IF(AE578&gt;0,"A VENCER",IF(AE578&lt;0,"VENCIDO")))</f>
        <v>VENCIDO</v>
      </c>
      <c r="AB578" s="1" t="str">
        <f t="shared" ref="AB578:AB641" si="56">IF(F578="GRPE-000001","C-14",IF(F578="GRPE-000002","C-14",IF(F578="GRPE-000003","C-14",IF(F578="GRPE-000004","SL-On",IF(F578="GRPE-000038","C-14",IF(F578="GRPE-900022","Dosa",IF(F578="GRPE-000029","Dosa",IF(F578="ATOS-000222","Dose","TAAe+"))))))))</f>
        <v>Dosa</v>
      </c>
      <c r="AC578" s="2" t="str">
        <f t="shared" si="53"/>
        <v xml:space="preserve"> ROSEMERE </v>
      </c>
      <c r="AD578" s="2">
        <f t="shared" ref="AD578:AD641" si="57">IF(F578="GRPE-000001",5,IF(F578="GRPE-000002",5,IF(F578="GRPE-000003",15,IF(F578="GRPE-000004",1,IF(F578="GRPE-000038",5,IF(F578="GRPE-900022",5,IF(F578="GRPE-000029",5,IF(F578="ATOS-000222",5,8))))))))</f>
        <v>5</v>
      </c>
      <c r="AE578" s="2">
        <f t="shared" ref="AE578:AE641" ca="1" si="58">IF(U578=$AE$1,"",U578-$AE$1)</f>
        <v>-204.9262716435187</v>
      </c>
      <c r="AF578" s="15"/>
    </row>
    <row r="579" spans="1:32" hidden="1">
      <c r="A579" s="1">
        <v>8810674</v>
      </c>
      <c r="B579" s="1" t="s">
        <v>101</v>
      </c>
      <c r="C579" t="s">
        <v>1134</v>
      </c>
      <c r="E579" s="2">
        <v>1363000206001</v>
      </c>
      <c r="F579" s="1" t="s">
        <v>29</v>
      </c>
      <c r="G579" s="1" t="s">
        <v>53</v>
      </c>
      <c r="H579" s="1" t="s">
        <v>108</v>
      </c>
      <c r="I579" s="1" t="s">
        <v>109</v>
      </c>
      <c r="J579" s="1" t="s">
        <v>110</v>
      </c>
      <c r="K579" t="s">
        <v>34</v>
      </c>
      <c r="M579" s="1" t="s">
        <v>35</v>
      </c>
      <c r="N579" s="1">
        <v>42318949</v>
      </c>
      <c r="O579" s="1" t="s">
        <v>36</v>
      </c>
      <c r="P579" s="186">
        <v>44781.503622685188</v>
      </c>
      <c r="R579" s="1" t="s">
        <v>38</v>
      </c>
      <c r="T579" s="1" t="s">
        <v>74</v>
      </c>
      <c r="U579" s="186">
        <v>44781.75</v>
      </c>
      <c r="V579" s="1" t="s">
        <v>41</v>
      </c>
      <c r="W579" s="1" t="s">
        <v>49</v>
      </c>
      <c r="X579" s="13"/>
      <c r="Y579" s="2">
        <f t="shared" ca="1" si="54"/>
        <v>148</v>
      </c>
      <c r="Z579" s="14">
        <v>1</v>
      </c>
      <c r="AA579" s="1" t="str">
        <f t="shared" ca="1" si="55"/>
        <v>VENCIDO</v>
      </c>
      <c r="AB579" s="1" t="str">
        <f t="shared" si="56"/>
        <v>Dosa</v>
      </c>
      <c r="AC579" s="2" t="str">
        <f t="shared" ref="AC579:AC642" si="5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 xml:space="preserve"> CRISTINA </v>
      </c>
      <c r="AD579" s="2">
        <f t="shared" si="57"/>
        <v>5</v>
      </c>
      <c r="AE579" s="2">
        <f t="shared" ca="1" si="58"/>
        <v>-204.9262716435187</v>
      </c>
      <c r="AF579" s="15"/>
    </row>
    <row r="580" spans="1:32" hidden="1">
      <c r="A580" s="1">
        <v>8810582</v>
      </c>
      <c r="B580" s="1" t="s">
        <v>101</v>
      </c>
      <c r="C580" t="s">
        <v>1134</v>
      </c>
      <c r="E580" s="2">
        <v>1153000206001</v>
      </c>
      <c r="F580" s="1" t="s">
        <v>29</v>
      </c>
      <c r="G580" s="1" t="s">
        <v>53</v>
      </c>
      <c r="H580" s="1" t="s">
        <v>1031</v>
      </c>
      <c r="I580" s="1" t="s">
        <v>1032</v>
      </c>
      <c r="J580" s="1" t="s">
        <v>79</v>
      </c>
      <c r="K580" t="s">
        <v>34</v>
      </c>
      <c r="M580" s="1" t="s">
        <v>35</v>
      </c>
      <c r="N580" s="1">
        <v>42318949</v>
      </c>
      <c r="O580" s="1" t="s">
        <v>36</v>
      </c>
      <c r="P580" s="186">
        <v>44781.503506944442</v>
      </c>
      <c r="R580" s="1" t="s">
        <v>38</v>
      </c>
      <c r="T580" s="1" t="s">
        <v>74</v>
      </c>
      <c r="U580" s="186">
        <v>44781.75</v>
      </c>
      <c r="V580" s="1" t="s">
        <v>41</v>
      </c>
      <c r="W580" s="1" t="s">
        <v>49</v>
      </c>
      <c r="X580" s="13"/>
      <c r="Y580" s="2">
        <f t="shared" ca="1" si="54"/>
        <v>148</v>
      </c>
      <c r="Z580" s="14">
        <v>1</v>
      </c>
      <c r="AA580" s="1" t="str">
        <f t="shared" ca="1" si="55"/>
        <v>VENCIDO</v>
      </c>
      <c r="AB580" s="1" t="str">
        <f t="shared" si="56"/>
        <v>Dosa</v>
      </c>
      <c r="AC580" s="2" t="str">
        <f t="shared" si="59"/>
        <v xml:space="preserve"> ROSEMERE </v>
      </c>
      <c r="AD580" s="2">
        <f t="shared" si="57"/>
        <v>5</v>
      </c>
      <c r="AE580" s="2">
        <f t="shared" ca="1" si="58"/>
        <v>-204.9262716435187</v>
      </c>
      <c r="AF580" s="15"/>
    </row>
    <row r="581" spans="1:32" hidden="1">
      <c r="A581" s="1">
        <v>8810573</v>
      </c>
      <c r="B581" s="1" t="s">
        <v>101</v>
      </c>
      <c r="C581" t="s">
        <v>1134</v>
      </c>
      <c r="E581" s="2">
        <v>1120000206001</v>
      </c>
      <c r="F581" s="1" t="s">
        <v>29</v>
      </c>
      <c r="G581" s="1" t="s">
        <v>53</v>
      </c>
      <c r="H581" s="1" t="s">
        <v>181</v>
      </c>
      <c r="I581" s="1" t="s">
        <v>182</v>
      </c>
      <c r="J581" s="1" t="s">
        <v>164</v>
      </c>
      <c r="K581" t="s">
        <v>34</v>
      </c>
      <c r="M581" s="1" t="s">
        <v>35</v>
      </c>
      <c r="N581" s="1">
        <v>42318949</v>
      </c>
      <c r="O581" s="1" t="s">
        <v>36</v>
      </c>
      <c r="P581" s="186">
        <v>44781.503495370373</v>
      </c>
      <c r="R581" s="1" t="s">
        <v>38</v>
      </c>
      <c r="T581" s="1" t="s">
        <v>74</v>
      </c>
      <c r="U581" s="186">
        <v>44781.75</v>
      </c>
      <c r="V581" s="1" t="s">
        <v>41</v>
      </c>
      <c r="W581" s="1" t="s">
        <v>49</v>
      </c>
      <c r="X581" s="13"/>
      <c r="Y581" s="2">
        <f t="shared" ca="1" si="54"/>
        <v>148</v>
      </c>
      <c r="Z581" s="14">
        <v>1</v>
      </c>
      <c r="AA581" s="1" t="str">
        <f t="shared" ca="1" si="55"/>
        <v>VENCIDO</v>
      </c>
      <c r="AB581" s="1" t="str">
        <f t="shared" si="56"/>
        <v>Dosa</v>
      </c>
      <c r="AC581" s="2" t="str">
        <f t="shared" si="59"/>
        <v xml:space="preserve"> ROSEMERE </v>
      </c>
      <c r="AD581" s="2">
        <f t="shared" si="57"/>
        <v>5</v>
      </c>
      <c r="AE581" s="2">
        <f t="shared" ca="1" si="58"/>
        <v>-204.9262716435187</v>
      </c>
      <c r="AF581" s="15"/>
    </row>
    <row r="582" spans="1:32" hidden="1">
      <c r="A582" s="1">
        <v>8810572</v>
      </c>
      <c r="B582" s="1" t="s">
        <v>101</v>
      </c>
      <c r="C582" t="s">
        <v>1134</v>
      </c>
      <c r="E582" s="2">
        <v>1120000206001</v>
      </c>
      <c r="F582" s="1" t="s">
        <v>29</v>
      </c>
      <c r="G582" s="1" t="s">
        <v>53</v>
      </c>
      <c r="H582" s="1" t="s">
        <v>181</v>
      </c>
      <c r="I582" s="1" t="s">
        <v>182</v>
      </c>
      <c r="J582" s="1" t="s">
        <v>164</v>
      </c>
      <c r="K582" t="s">
        <v>34</v>
      </c>
      <c r="M582" s="1" t="s">
        <v>35</v>
      </c>
      <c r="N582" s="1">
        <v>42318949</v>
      </c>
      <c r="O582" s="1" t="s">
        <v>105</v>
      </c>
      <c r="P582" s="186">
        <v>44781.503483796296</v>
      </c>
      <c r="R582" s="1" t="s">
        <v>38</v>
      </c>
      <c r="T582" s="1" t="s">
        <v>74</v>
      </c>
      <c r="U582" s="186">
        <v>44781.75</v>
      </c>
      <c r="V582" s="1" t="s">
        <v>41</v>
      </c>
      <c r="W582" s="1" t="s">
        <v>49</v>
      </c>
      <c r="X582" s="13"/>
      <c r="Y582" s="2">
        <f t="shared" ca="1" si="54"/>
        <v>148</v>
      </c>
      <c r="Z582" s="14">
        <v>1</v>
      </c>
      <c r="AA582" s="1" t="str">
        <f t="shared" ca="1" si="55"/>
        <v>VENCIDO</v>
      </c>
      <c r="AB582" s="1" t="str">
        <f t="shared" si="56"/>
        <v>Dosa</v>
      </c>
      <c r="AC582" s="2" t="str">
        <f t="shared" si="59"/>
        <v xml:space="preserve"> ROSEMERE </v>
      </c>
      <c r="AD582" s="2">
        <f t="shared" si="57"/>
        <v>5</v>
      </c>
      <c r="AE582" s="2">
        <f t="shared" ca="1" si="58"/>
        <v>-204.9262716435187</v>
      </c>
      <c r="AF582" s="15"/>
    </row>
    <row r="583" spans="1:32">
      <c r="A583" s="1">
        <v>8810531</v>
      </c>
      <c r="B583" s="1" t="s">
        <v>101</v>
      </c>
      <c r="C583" t="s">
        <v>1134</v>
      </c>
      <c r="E583" s="2">
        <v>1060000206001</v>
      </c>
      <c r="F583" s="1" t="s">
        <v>29</v>
      </c>
      <c r="G583" s="1" t="s">
        <v>53</v>
      </c>
      <c r="H583" s="1" t="s">
        <v>284</v>
      </c>
      <c r="I583" s="1" t="s">
        <v>285</v>
      </c>
      <c r="J583" s="1" t="s">
        <v>148</v>
      </c>
      <c r="K583" t="s">
        <v>34</v>
      </c>
      <c r="M583" s="1" t="s">
        <v>35</v>
      </c>
      <c r="N583" s="1">
        <v>42318949</v>
      </c>
      <c r="O583" s="1" t="s">
        <v>105</v>
      </c>
      <c r="P583" s="186">
        <v>44781.503437500003</v>
      </c>
      <c r="R583" s="1" t="s">
        <v>38</v>
      </c>
      <c r="T583" s="1" t="s">
        <v>74</v>
      </c>
      <c r="U583" s="186">
        <v>44781.75</v>
      </c>
      <c r="V583" s="1" t="s">
        <v>41</v>
      </c>
      <c r="W583" s="1" t="s">
        <v>49</v>
      </c>
      <c r="X583" s="13"/>
      <c r="Y583" s="2">
        <f t="shared" ca="1" si="54"/>
        <v>148</v>
      </c>
      <c r="Z583" s="14">
        <v>1</v>
      </c>
      <c r="AA583" s="1" t="str">
        <f t="shared" ca="1" si="55"/>
        <v>VENCIDO</v>
      </c>
      <c r="AB583" s="1" t="str">
        <f t="shared" si="56"/>
        <v>Dosa</v>
      </c>
      <c r="AC583" s="2" t="str">
        <f t="shared" si="59"/>
        <v xml:space="preserve"> RINALDO </v>
      </c>
      <c r="AD583" s="2">
        <f t="shared" si="57"/>
        <v>5</v>
      </c>
      <c r="AE583" s="2">
        <f t="shared" ca="1" si="58"/>
        <v>-204.9262716435187</v>
      </c>
      <c r="AF583" s="15"/>
    </row>
    <row r="584" spans="1:32">
      <c r="A584" s="1">
        <v>8810530</v>
      </c>
      <c r="B584" s="1" t="s">
        <v>101</v>
      </c>
      <c r="C584" t="s">
        <v>1134</v>
      </c>
      <c r="E584" s="2">
        <v>1059000206001</v>
      </c>
      <c r="F584" s="1" t="s">
        <v>29</v>
      </c>
      <c r="G584" s="1" t="s">
        <v>53</v>
      </c>
      <c r="H584" s="1" t="s">
        <v>88</v>
      </c>
      <c r="I584" s="1" t="s">
        <v>89</v>
      </c>
      <c r="J584" s="1" t="s">
        <v>90</v>
      </c>
      <c r="K584" t="s">
        <v>34</v>
      </c>
      <c r="M584" s="1" t="s">
        <v>35</v>
      </c>
      <c r="N584" s="1">
        <v>42318949</v>
      </c>
      <c r="O584" s="1" t="s">
        <v>105</v>
      </c>
      <c r="P584" s="186">
        <v>44781.503437500003</v>
      </c>
      <c r="R584" s="1" t="s">
        <v>38</v>
      </c>
      <c r="T584" s="1" t="s">
        <v>74</v>
      </c>
      <c r="U584" s="186">
        <v>44781.75</v>
      </c>
      <c r="V584" s="1" t="s">
        <v>41</v>
      </c>
      <c r="W584" s="1" t="s">
        <v>49</v>
      </c>
      <c r="X584" s="13"/>
      <c r="Y584" s="2">
        <f t="shared" ca="1" si="54"/>
        <v>148</v>
      </c>
      <c r="Z584" s="14">
        <v>1</v>
      </c>
      <c r="AA584" s="1" t="str">
        <f t="shared" ca="1" si="55"/>
        <v>VENCIDO</v>
      </c>
      <c r="AB584" s="1" t="str">
        <f t="shared" si="56"/>
        <v>Dosa</v>
      </c>
      <c r="AC584" s="2" t="str">
        <f t="shared" si="59"/>
        <v xml:space="preserve"> RINALDO </v>
      </c>
      <c r="AD584" s="2">
        <f t="shared" si="57"/>
        <v>5</v>
      </c>
      <c r="AE584" s="2">
        <f t="shared" ca="1" si="58"/>
        <v>-204.9262716435187</v>
      </c>
      <c r="AF584" s="15"/>
    </row>
    <row r="585" spans="1:32" hidden="1">
      <c r="A585" s="1">
        <v>8810529</v>
      </c>
      <c r="B585" s="1" t="s">
        <v>101</v>
      </c>
      <c r="C585" t="s">
        <v>1134</v>
      </c>
      <c r="E585" s="2">
        <v>1058000206001</v>
      </c>
      <c r="F585" s="1" t="s">
        <v>29</v>
      </c>
      <c r="G585" s="1" t="s">
        <v>53</v>
      </c>
      <c r="H585" s="1" t="s">
        <v>289</v>
      </c>
      <c r="I585" s="1" t="s">
        <v>290</v>
      </c>
      <c r="J585" s="1" t="s">
        <v>56</v>
      </c>
      <c r="K585" t="s">
        <v>34</v>
      </c>
      <c r="M585" s="1" t="s">
        <v>35</v>
      </c>
      <c r="N585" s="1">
        <v>42318949</v>
      </c>
      <c r="O585" s="1" t="s">
        <v>105</v>
      </c>
      <c r="P585" s="186">
        <v>44781.503437500003</v>
      </c>
      <c r="R585" s="1" t="s">
        <v>38</v>
      </c>
      <c r="T585" s="1" t="s">
        <v>74</v>
      </c>
      <c r="U585" s="186">
        <v>44781.75</v>
      </c>
      <c r="V585" s="1" t="s">
        <v>41</v>
      </c>
      <c r="W585" s="1" t="s">
        <v>49</v>
      </c>
      <c r="X585" s="13"/>
      <c r="Y585" s="2">
        <f t="shared" ca="1" si="54"/>
        <v>148</v>
      </c>
      <c r="Z585" s="14">
        <v>1</v>
      </c>
      <c r="AA585" s="1" t="str">
        <f t="shared" ca="1" si="55"/>
        <v>VENCIDO</v>
      </c>
      <c r="AB585" s="1" t="str">
        <f t="shared" si="56"/>
        <v>Dosa</v>
      </c>
      <c r="AC585" s="2" t="str">
        <f t="shared" si="59"/>
        <v xml:space="preserve"> CRISTINA </v>
      </c>
      <c r="AD585" s="2">
        <f t="shared" si="57"/>
        <v>5</v>
      </c>
      <c r="AE585" s="2">
        <f t="shared" ca="1" si="58"/>
        <v>-204.9262716435187</v>
      </c>
      <c r="AF585" s="15"/>
    </row>
    <row r="586" spans="1:32" hidden="1">
      <c r="A586" s="1">
        <v>8810528</v>
      </c>
      <c r="B586" s="1" t="s">
        <v>101</v>
      </c>
      <c r="C586" t="s">
        <v>1134</v>
      </c>
      <c r="E586" s="2">
        <v>1058000206001</v>
      </c>
      <c r="F586" s="1" t="s">
        <v>29</v>
      </c>
      <c r="G586" s="1" t="s">
        <v>53</v>
      </c>
      <c r="H586" s="1" t="s">
        <v>289</v>
      </c>
      <c r="I586" s="1" t="s">
        <v>290</v>
      </c>
      <c r="J586" s="1" t="s">
        <v>56</v>
      </c>
      <c r="K586" t="s">
        <v>34</v>
      </c>
      <c r="M586" s="1" t="s">
        <v>35</v>
      </c>
      <c r="N586" s="1">
        <v>42318949</v>
      </c>
      <c r="O586" s="1" t="s">
        <v>105</v>
      </c>
      <c r="P586" s="186">
        <v>44781.503437500003</v>
      </c>
      <c r="R586" s="1" t="s">
        <v>38</v>
      </c>
      <c r="T586" s="1" t="s">
        <v>74</v>
      </c>
      <c r="U586" s="186">
        <v>44781.75</v>
      </c>
      <c r="V586" s="1" t="s">
        <v>41</v>
      </c>
      <c r="W586" s="1" t="s">
        <v>49</v>
      </c>
      <c r="X586" s="13"/>
      <c r="Y586" s="2">
        <f t="shared" ca="1" si="54"/>
        <v>148</v>
      </c>
      <c r="Z586" s="14">
        <v>1</v>
      </c>
      <c r="AA586" s="1" t="str">
        <f t="shared" ca="1" si="55"/>
        <v>VENCIDO</v>
      </c>
      <c r="AB586" s="1" t="str">
        <f t="shared" si="56"/>
        <v>Dosa</v>
      </c>
      <c r="AC586" s="2" t="str">
        <f t="shared" si="59"/>
        <v xml:space="preserve"> CRISTINA </v>
      </c>
      <c r="AD586" s="2">
        <f t="shared" si="57"/>
        <v>5</v>
      </c>
      <c r="AE586" s="2">
        <f t="shared" ca="1" si="58"/>
        <v>-204.9262716435187</v>
      </c>
      <c r="AF586" s="15"/>
    </row>
    <row r="587" spans="1:32" hidden="1">
      <c r="A587" s="1">
        <v>8810527</v>
      </c>
      <c r="B587" s="1" t="s">
        <v>101</v>
      </c>
      <c r="C587" t="s">
        <v>1134</v>
      </c>
      <c r="E587" s="2">
        <v>1058000206001</v>
      </c>
      <c r="F587" s="1" t="s">
        <v>29</v>
      </c>
      <c r="G587" s="1" t="s">
        <v>53</v>
      </c>
      <c r="H587" s="1" t="s">
        <v>289</v>
      </c>
      <c r="I587" s="1" t="s">
        <v>290</v>
      </c>
      <c r="J587" s="1" t="s">
        <v>56</v>
      </c>
      <c r="K587" t="s">
        <v>34</v>
      </c>
      <c r="M587" s="1" t="s">
        <v>35</v>
      </c>
      <c r="N587" s="1">
        <v>42318949</v>
      </c>
      <c r="O587" s="1" t="s">
        <v>105</v>
      </c>
      <c r="P587" s="186">
        <v>44781.503437500003</v>
      </c>
      <c r="R587" s="1" t="s">
        <v>38</v>
      </c>
      <c r="T587" s="1" t="s">
        <v>74</v>
      </c>
      <c r="U587" s="186">
        <v>44781.75</v>
      </c>
      <c r="V587" s="1" t="s">
        <v>41</v>
      </c>
      <c r="W587" s="1" t="s">
        <v>49</v>
      </c>
      <c r="X587" s="13"/>
      <c r="Y587" s="2">
        <f t="shared" ca="1" si="54"/>
        <v>148</v>
      </c>
      <c r="Z587" s="14">
        <v>1</v>
      </c>
      <c r="AA587" s="1" t="str">
        <f t="shared" ca="1" si="55"/>
        <v>VENCIDO</v>
      </c>
      <c r="AB587" s="1" t="str">
        <f t="shared" si="56"/>
        <v>Dosa</v>
      </c>
      <c r="AC587" s="2" t="str">
        <f t="shared" si="59"/>
        <v xml:space="preserve"> CRISTINA </v>
      </c>
      <c r="AD587" s="2">
        <f t="shared" si="57"/>
        <v>5</v>
      </c>
      <c r="AE587" s="2">
        <f t="shared" ca="1" si="58"/>
        <v>-204.9262716435187</v>
      </c>
      <c r="AF587" s="15"/>
    </row>
    <row r="588" spans="1:32" hidden="1">
      <c r="A588" s="1">
        <v>8810526</v>
      </c>
      <c r="B588" s="1" t="s">
        <v>101</v>
      </c>
      <c r="C588" t="s">
        <v>1134</v>
      </c>
      <c r="E588" s="2">
        <v>1058000206001</v>
      </c>
      <c r="F588" s="1" t="s">
        <v>29</v>
      </c>
      <c r="G588" s="1" t="s">
        <v>53</v>
      </c>
      <c r="H588" s="1" t="s">
        <v>289</v>
      </c>
      <c r="I588" s="1" t="s">
        <v>290</v>
      </c>
      <c r="J588" s="1" t="s">
        <v>56</v>
      </c>
      <c r="K588" t="s">
        <v>34</v>
      </c>
      <c r="M588" s="1" t="s">
        <v>35</v>
      </c>
      <c r="N588" s="1">
        <v>42318949</v>
      </c>
      <c r="O588" s="1" t="s">
        <v>105</v>
      </c>
      <c r="P588" s="186">
        <v>44781.503437500003</v>
      </c>
      <c r="R588" s="1" t="s">
        <v>38</v>
      </c>
      <c r="T588" s="1" t="s">
        <v>74</v>
      </c>
      <c r="U588" s="186">
        <v>44781.75</v>
      </c>
      <c r="V588" s="1" t="s">
        <v>41</v>
      </c>
      <c r="W588" s="1" t="s">
        <v>49</v>
      </c>
      <c r="X588" s="13"/>
      <c r="Y588" s="2">
        <f t="shared" ca="1" si="54"/>
        <v>148</v>
      </c>
      <c r="Z588" s="14">
        <v>1</v>
      </c>
      <c r="AA588" s="1" t="str">
        <f t="shared" ca="1" si="55"/>
        <v>VENCIDO</v>
      </c>
      <c r="AB588" s="1" t="str">
        <f t="shared" si="56"/>
        <v>Dosa</v>
      </c>
      <c r="AC588" s="2" t="str">
        <f t="shared" si="59"/>
        <v xml:space="preserve"> CRISTINA </v>
      </c>
      <c r="AD588" s="2">
        <f t="shared" si="57"/>
        <v>5</v>
      </c>
      <c r="AE588" s="2">
        <f t="shared" ca="1" si="58"/>
        <v>-204.9262716435187</v>
      </c>
      <c r="AF588" s="15"/>
    </row>
    <row r="589" spans="1:32" hidden="1">
      <c r="A589" s="1">
        <v>8810525</v>
      </c>
      <c r="B589" s="1" t="s">
        <v>101</v>
      </c>
      <c r="C589" t="s">
        <v>1134</v>
      </c>
      <c r="E589" s="2">
        <v>1058000206001</v>
      </c>
      <c r="F589" s="1" t="s">
        <v>29</v>
      </c>
      <c r="G589" s="1" t="s">
        <v>53</v>
      </c>
      <c r="H589" s="1" t="s">
        <v>289</v>
      </c>
      <c r="I589" s="1" t="s">
        <v>290</v>
      </c>
      <c r="J589" s="1" t="s">
        <v>56</v>
      </c>
      <c r="K589" t="s">
        <v>34</v>
      </c>
      <c r="M589" s="1" t="s">
        <v>35</v>
      </c>
      <c r="N589" s="1">
        <v>42318949</v>
      </c>
      <c r="O589" s="1" t="s">
        <v>105</v>
      </c>
      <c r="P589" s="186">
        <v>44781.503437500003</v>
      </c>
      <c r="R589" s="1" t="s">
        <v>38</v>
      </c>
      <c r="T589" s="1" t="s">
        <v>74</v>
      </c>
      <c r="U589" s="186">
        <v>44781.75</v>
      </c>
      <c r="V589" s="1" t="s">
        <v>41</v>
      </c>
      <c r="W589" s="1" t="s">
        <v>49</v>
      </c>
      <c r="X589" s="13"/>
      <c r="Y589" s="2">
        <f t="shared" ca="1" si="54"/>
        <v>148</v>
      </c>
      <c r="Z589" s="14">
        <v>1</v>
      </c>
      <c r="AA589" s="1" t="str">
        <f t="shared" ca="1" si="55"/>
        <v>VENCIDO</v>
      </c>
      <c r="AB589" s="1" t="str">
        <f t="shared" si="56"/>
        <v>Dosa</v>
      </c>
      <c r="AC589" s="2" t="str">
        <f t="shared" si="59"/>
        <v xml:space="preserve"> CRISTINA </v>
      </c>
      <c r="AD589" s="2">
        <f t="shared" si="57"/>
        <v>5</v>
      </c>
      <c r="AE589" s="2">
        <f t="shared" ca="1" si="58"/>
        <v>-204.9262716435187</v>
      </c>
      <c r="AF589" s="15"/>
    </row>
    <row r="590" spans="1:32" hidden="1">
      <c r="A590" s="1">
        <v>8810524</v>
      </c>
      <c r="B590" s="1" t="s">
        <v>101</v>
      </c>
      <c r="C590" t="s">
        <v>1134</v>
      </c>
      <c r="E590" s="2">
        <v>1058000206001</v>
      </c>
      <c r="F590" s="1" t="s">
        <v>29</v>
      </c>
      <c r="G590" s="1" t="s">
        <v>53</v>
      </c>
      <c r="H590" s="1" t="s">
        <v>289</v>
      </c>
      <c r="I590" s="1" t="s">
        <v>290</v>
      </c>
      <c r="J590" s="1" t="s">
        <v>56</v>
      </c>
      <c r="K590" t="s">
        <v>34</v>
      </c>
      <c r="M590" s="1" t="s">
        <v>35</v>
      </c>
      <c r="N590" s="1">
        <v>42318949</v>
      </c>
      <c r="O590" s="1" t="s">
        <v>105</v>
      </c>
      <c r="P590" s="186">
        <v>44781.503437500003</v>
      </c>
      <c r="R590" s="1" t="s">
        <v>38</v>
      </c>
      <c r="T590" s="1" t="s">
        <v>74</v>
      </c>
      <c r="U590" s="186">
        <v>44781.75</v>
      </c>
      <c r="V590" s="1" t="s">
        <v>41</v>
      </c>
      <c r="W590" s="1" t="s">
        <v>49</v>
      </c>
      <c r="X590" s="13"/>
      <c r="Y590" s="2">
        <f t="shared" ca="1" si="54"/>
        <v>148</v>
      </c>
      <c r="Z590" s="14">
        <v>1</v>
      </c>
      <c r="AA590" s="1" t="str">
        <f t="shared" ca="1" si="55"/>
        <v>VENCIDO</v>
      </c>
      <c r="AB590" s="1" t="str">
        <f t="shared" si="56"/>
        <v>Dosa</v>
      </c>
      <c r="AC590" s="2" t="str">
        <f t="shared" si="59"/>
        <v xml:space="preserve"> CRISTINA </v>
      </c>
      <c r="AD590" s="2">
        <f t="shared" si="57"/>
        <v>5</v>
      </c>
      <c r="AE590" s="2">
        <f t="shared" ca="1" si="58"/>
        <v>-204.9262716435187</v>
      </c>
      <c r="AF590" s="15"/>
    </row>
    <row r="591" spans="1:32" hidden="1">
      <c r="A591" s="1">
        <v>8810520</v>
      </c>
      <c r="B591" s="1" t="s">
        <v>101</v>
      </c>
      <c r="C591" t="s">
        <v>1134</v>
      </c>
      <c r="E591" s="2">
        <v>1052000206001</v>
      </c>
      <c r="F591" s="1" t="s">
        <v>29</v>
      </c>
      <c r="G591" s="1" t="s">
        <v>53</v>
      </c>
      <c r="H591" s="1" t="s">
        <v>329</v>
      </c>
      <c r="I591" s="1" t="s">
        <v>330</v>
      </c>
      <c r="J591" s="1" t="s">
        <v>79</v>
      </c>
      <c r="K591" t="s">
        <v>34</v>
      </c>
      <c r="M591" s="1" t="s">
        <v>35</v>
      </c>
      <c r="N591" s="1">
        <v>42318949</v>
      </c>
      <c r="O591" s="1" t="s">
        <v>105</v>
      </c>
      <c r="P591" s="186">
        <v>44781.503425925926</v>
      </c>
      <c r="R591" s="1" t="s">
        <v>38</v>
      </c>
      <c r="T591" s="1" t="s">
        <v>74</v>
      </c>
      <c r="U591" s="186">
        <v>44781.75</v>
      </c>
      <c r="V591" s="1" t="s">
        <v>41</v>
      </c>
      <c r="W591" s="1" t="s">
        <v>49</v>
      </c>
      <c r="X591" s="13"/>
      <c r="Y591" s="2">
        <f t="shared" ca="1" si="54"/>
        <v>148</v>
      </c>
      <c r="Z591" s="14">
        <v>1</v>
      </c>
      <c r="AA591" s="1" t="str">
        <f t="shared" ca="1" si="55"/>
        <v>VENCIDO</v>
      </c>
      <c r="AB591" s="1" t="str">
        <f t="shared" si="56"/>
        <v>Dosa</v>
      </c>
      <c r="AC591" s="2" t="str">
        <f t="shared" si="59"/>
        <v xml:space="preserve"> ROSEMERE </v>
      </c>
      <c r="AD591" s="2">
        <f t="shared" si="57"/>
        <v>5</v>
      </c>
      <c r="AE591" s="2">
        <f t="shared" ca="1" si="58"/>
        <v>-204.9262716435187</v>
      </c>
      <c r="AF591" s="15"/>
    </row>
    <row r="592" spans="1:32" hidden="1">
      <c r="A592" s="1">
        <v>8810519</v>
      </c>
      <c r="B592" s="1" t="s">
        <v>101</v>
      </c>
      <c r="C592" t="s">
        <v>1134</v>
      </c>
      <c r="E592" s="2">
        <v>1052000206001</v>
      </c>
      <c r="F592" s="1" t="s">
        <v>29</v>
      </c>
      <c r="G592" s="1" t="s">
        <v>53</v>
      </c>
      <c r="H592" s="1" t="s">
        <v>329</v>
      </c>
      <c r="I592" s="1" t="s">
        <v>330</v>
      </c>
      <c r="J592" s="1" t="s">
        <v>79</v>
      </c>
      <c r="K592" t="s">
        <v>34</v>
      </c>
      <c r="M592" s="1" t="s">
        <v>35</v>
      </c>
      <c r="N592" s="1">
        <v>42318949</v>
      </c>
      <c r="O592" s="1" t="s">
        <v>105</v>
      </c>
      <c r="P592" s="186">
        <v>44781.503425925926</v>
      </c>
      <c r="R592" s="1" t="s">
        <v>38</v>
      </c>
      <c r="T592" s="1" t="s">
        <v>74</v>
      </c>
      <c r="U592" s="186">
        <v>44781.75</v>
      </c>
      <c r="V592" s="1" t="s">
        <v>41</v>
      </c>
      <c r="W592" s="1" t="s">
        <v>49</v>
      </c>
      <c r="X592" s="13"/>
      <c r="Y592" s="2">
        <f t="shared" ca="1" si="54"/>
        <v>148</v>
      </c>
      <c r="Z592" s="14">
        <v>1</v>
      </c>
      <c r="AA592" s="1" t="str">
        <f t="shared" ca="1" si="55"/>
        <v>VENCIDO</v>
      </c>
      <c r="AB592" s="1" t="str">
        <f t="shared" si="56"/>
        <v>Dosa</v>
      </c>
      <c r="AC592" s="2" t="str">
        <f t="shared" si="59"/>
        <v xml:space="preserve"> ROSEMERE </v>
      </c>
      <c r="AD592" s="2">
        <f t="shared" si="57"/>
        <v>5</v>
      </c>
      <c r="AE592" s="2">
        <f t="shared" ca="1" si="58"/>
        <v>-204.9262716435187</v>
      </c>
      <c r="AF592" s="15"/>
    </row>
    <row r="593" spans="1:32" hidden="1">
      <c r="A593" s="1">
        <v>8810243</v>
      </c>
      <c r="B593" s="1" t="s">
        <v>101</v>
      </c>
      <c r="C593" t="s">
        <v>1134</v>
      </c>
      <c r="E593" s="2">
        <v>550000206001</v>
      </c>
      <c r="F593" s="1" t="s">
        <v>29</v>
      </c>
      <c r="G593" s="1" t="s">
        <v>53</v>
      </c>
      <c r="H593" s="1" t="s">
        <v>337</v>
      </c>
      <c r="I593" s="1" t="s">
        <v>338</v>
      </c>
      <c r="J593" s="1" t="s">
        <v>164</v>
      </c>
      <c r="K593" t="s">
        <v>34</v>
      </c>
      <c r="M593" s="1" t="s">
        <v>35</v>
      </c>
      <c r="N593" s="1">
        <v>42318949</v>
      </c>
      <c r="O593" s="1" t="s">
        <v>105</v>
      </c>
      <c r="P593" s="186">
        <v>44781.50309027778</v>
      </c>
      <c r="R593" s="1" t="s">
        <v>38</v>
      </c>
      <c r="T593" s="1" t="s">
        <v>74</v>
      </c>
      <c r="U593" s="186">
        <v>44781.75</v>
      </c>
      <c r="V593" s="1" t="s">
        <v>41</v>
      </c>
      <c r="W593" s="1" t="s">
        <v>49</v>
      </c>
      <c r="X593" s="13"/>
      <c r="Y593" s="2">
        <f t="shared" ca="1" si="54"/>
        <v>148</v>
      </c>
      <c r="Z593" s="14">
        <v>1</v>
      </c>
      <c r="AA593" s="1" t="str">
        <f t="shared" ca="1" si="55"/>
        <v>VENCIDO</v>
      </c>
      <c r="AB593" s="1" t="str">
        <f t="shared" si="56"/>
        <v>Dosa</v>
      </c>
      <c r="AC593" s="2" t="str">
        <f t="shared" si="59"/>
        <v xml:space="preserve"> ROSEMERE </v>
      </c>
      <c r="AD593" s="2">
        <f t="shared" si="57"/>
        <v>5</v>
      </c>
      <c r="AE593" s="2">
        <f t="shared" ca="1" si="58"/>
        <v>-204.9262716435187</v>
      </c>
      <c r="AF593" s="15"/>
    </row>
    <row r="594" spans="1:32" hidden="1">
      <c r="A594" s="1">
        <v>8810238</v>
      </c>
      <c r="B594" s="1" t="s">
        <v>101</v>
      </c>
      <c r="C594" t="s">
        <v>1134</v>
      </c>
      <c r="E594" s="2">
        <v>537000206001</v>
      </c>
      <c r="F594" s="1" t="s">
        <v>29</v>
      </c>
      <c r="G594" s="1" t="s">
        <v>53</v>
      </c>
      <c r="H594" s="1" t="s">
        <v>442</v>
      </c>
      <c r="I594" s="1" t="s">
        <v>443</v>
      </c>
      <c r="J594" s="1" t="s">
        <v>79</v>
      </c>
      <c r="K594" t="s">
        <v>34</v>
      </c>
      <c r="M594" s="1" t="s">
        <v>35</v>
      </c>
      <c r="N594" s="1">
        <v>42318949</v>
      </c>
      <c r="O594" s="1" t="s">
        <v>36</v>
      </c>
      <c r="P594" s="186">
        <v>44781.503078703703</v>
      </c>
      <c r="R594" s="1" t="s">
        <v>38</v>
      </c>
      <c r="T594" s="1" t="s">
        <v>74</v>
      </c>
      <c r="U594" s="186">
        <v>44781.75</v>
      </c>
      <c r="V594" s="1" t="s">
        <v>41</v>
      </c>
      <c r="W594" s="1" t="s">
        <v>49</v>
      </c>
      <c r="X594" s="13"/>
      <c r="Y594" s="2">
        <f t="shared" ca="1" si="54"/>
        <v>148</v>
      </c>
      <c r="Z594" s="14">
        <v>1</v>
      </c>
      <c r="AA594" s="1" t="str">
        <f t="shared" ca="1" si="55"/>
        <v>VENCIDO</v>
      </c>
      <c r="AB594" s="1" t="str">
        <f t="shared" si="56"/>
        <v>Dosa</v>
      </c>
      <c r="AC594" s="2" t="str">
        <f t="shared" si="59"/>
        <v xml:space="preserve"> ROSEMERE </v>
      </c>
      <c r="AD594" s="2">
        <f t="shared" si="57"/>
        <v>5</v>
      </c>
      <c r="AE594" s="2">
        <f t="shared" ca="1" si="58"/>
        <v>-204.9262716435187</v>
      </c>
      <c r="AF594" s="15"/>
    </row>
    <row r="595" spans="1:32">
      <c r="A595" s="1">
        <v>8824380</v>
      </c>
      <c r="B595" s="1" t="s">
        <v>62</v>
      </c>
      <c r="C595" t="s">
        <v>1148</v>
      </c>
      <c r="E595" s="2">
        <v>2229000203000</v>
      </c>
      <c r="F595" s="1" t="s">
        <v>454</v>
      </c>
      <c r="G595" s="1" t="s">
        <v>53</v>
      </c>
      <c r="H595" s="1" t="s">
        <v>339</v>
      </c>
      <c r="I595" s="1" t="s">
        <v>340</v>
      </c>
      <c r="J595" s="1" t="s">
        <v>211</v>
      </c>
      <c r="K595" t="s">
        <v>457</v>
      </c>
      <c r="M595" s="1" t="s">
        <v>58</v>
      </c>
      <c r="N595" s="1">
        <v>0</v>
      </c>
      <c r="O595" s="1" t="s">
        <v>36</v>
      </c>
      <c r="P595" s="186">
        <v>44783.627187500002</v>
      </c>
      <c r="R595" s="1">
        <v>1</v>
      </c>
      <c r="T595" s="1" t="s">
        <v>157</v>
      </c>
      <c r="U595" s="186">
        <v>44818.75</v>
      </c>
      <c r="V595" s="1" t="s">
        <v>41</v>
      </c>
      <c r="W595" s="1" t="s">
        <v>49</v>
      </c>
      <c r="X595" s="13"/>
      <c r="Y595" s="2">
        <f t="shared" ca="1" si="54"/>
        <v>146</v>
      </c>
      <c r="Z595" s="14">
        <v>1</v>
      </c>
      <c r="AA595" s="1" t="str">
        <f t="shared" ca="1" si="55"/>
        <v>VENCIDO</v>
      </c>
      <c r="AB595" s="1" t="str">
        <f t="shared" si="56"/>
        <v>C-14</v>
      </c>
      <c r="AC595" s="2" t="str">
        <f t="shared" si="59"/>
        <v xml:space="preserve"> RINALDO </v>
      </c>
      <c r="AD595" s="2">
        <f t="shared" si="57"/>
        <v>5</v>
      </c>
      <c r="AE595" s="2">
        <f t="shared" ca="1" si="58"/>
        <v>-167.9262716435187</v>
      </c>
      <c r="AF595" s="15"/>
    </row>
    <row r="596" spans="1:32">
      <c r="A596" s="1">
        <v>8823141</v>
      </c>
      <c r="B596" s="1" t="s">
        <v>62</v>
      </c>
      <c r="C596" t="s">
        <v>1151</v>
      </c>
      <c r="E596" s="2">
        <v>2156000203000</v>
      </c>
      <c r="F596" s="1" t="s">
        <v>454</v>
      </c>
      <c r="G596" s="1" t="s">
        <v>53</v>
      </c>
      <c r="H596" s="1" t="s">
        <v>278</v>
      </c>
      <c r="I596" s="1" t="s">
        <v>279</v>
      </c>
      <c r="J596" s="1" t="s">
        <v>211</v>
      </c>
      <c r="K596" t="s">
        <v>457</v>
      </c>
      <c r="M596" s="1" t="s">
        <v>58</v>
      </c>
      <c r="N596" s="1">
        <v>0</v>
      </c>
      <c r="O596" s="1" t="s">
        <v>36</v>
      </c>
      <c r="P596" s="186">
        <v>44783.379814814813</v>
      </c>
      <c r="R596" s="1">
        <v>1</v>
      </c>
      <c r="T596" s="1" t="s">
        <v>157</v>
      </c>
      <c r="U596" s="186">
        <v>44818.75</v>
      </c>
      <c r="V596" s="1" t="s">
        <v>41</v>
      </c>
      <c r="W596" s="1" t="s">
        <v>49</v>
      </c>
      <c r="X596" s="13"/>
      <c r="Y596" s="2">
        <f t="shared" ca="1" si="54"/>
        <v>146</v>
      </c>
      <c r="Z596" s="14">
        <v>1</v>
      </c>
      <c r="AA596" s="1" t="str">
        <f t="shared" ca="1" si="55"/>
        <v>VENCIDO</v>
      </c>
      <c r="AB596" s="1" t="str">
        <f t="shared" si="56"/>
        <v>C-14</v>
      </c>
      <c r="AC596" s="2" t="str">
        <f t="shared" si="59"/>
        <v xml:space="preserve"> RINALDO </v>
      </c>
      <c r="AD596" s="2">
        <f t="shared" si="57"/>
        <v>5</v>
      </c>
      <c r="AE596" s="2">
        <f t="shared" ca="1" si="58"/>
        <v>-167.9262716435187</v>
      </c>
      <c r="AF596" s="15"/>
    </row>
    <row r="597" spans="1:32" hidden="1">
      <c r="A597" s="1">
        <v>8827051</v>
      </c>
      <c r="B597" s="1" t="s">
        <v>1153</v>
      </c>
      <c r="C597" t="s">
        <v>1154</v>
      </c>
      <c r="D597" s="2">
        <v>20228489000013</v>
      </c>
      <c r="E597" s="2">
        <v>7417172315843</v>
      </c>
      <c r="F597" s="1" t="s">
        <v>1155</v>
      </c>
      <c r="G597" s="1" t="s">
        <v>53</v>
      </c>
      <c r="H597" s="1" t="s">
        <v>1156</v>
      </c>
      <c r="I597" s="1" t="s">
        <v>1157</v>
      </c>
      <c r="J597" s="1" t="s">
        <v>46</v>
      </c>
      <c r="K597" t="s">
        <v>1158</v>
      </c>
      <c r="M597" s="1" t="s">
        <v>58</v>
      </c>
      <c r="N597" s="1">
        <v>0</v>
      </c>
      <c r="O597" s="1" t="s">
        <v>36</v>
      </c>
      <c r="P597" s="186">
        <v>44784.603321759256</v>
      </c>
      <c r="R597" s="1">
        <v>22</v>
      </c>
      <c r="T597" s="1" t="s">
        <v>1160</v>
      </c>
      <c r="U597" s="186">
        <v>44789.436655092592</v>
      </c>
      <c r="V597" s="1" t="s">
        <v>41</v>
      </c>
      <c r="W597" s="1" t="s">
        <v>49</v>
      </c>
      <c r="X597" s="13"/>
      <c r="Y597" s="2">
        <f t="shared" ca="1" si="54"/>
        <v>145</v>
      </c>
      <c r="Z597" s="14">
        <v>1</v>
      </c>
      <c r="AA597" s="1" t="str">
        <f t="shared" ca="1" si="55"/>
        <v>VENCIDO</v>
      </c>
      <c r="AB597" s="1" t="str">
        <f t="shared" si="56"/>
        <v>TAAe+</v>
      </c>
      <c r="AC597" s="2" t="str">
        <f t="shared" si="59"/>
        <v xml:space="preserve"> CLEITON </v>
      </c>
      <c r="AD597" s="2">
        <f t="shared" si="57"/>
        <v>8</v>
      </c>
      <c r="AE597" s="2">
        <f t="shared" ca="1" si="58"/>
        <v>-197.23961655092717</v>
      </c>
      <c r="AF597" s="15"/>
    </row>
    <row r="598" spans="1:32" hidden="1">
      <c r="A598" s="1">
        <v>8833673</v>
      </c>
      <c r="B598" s="1" t="s">
        <v>62</v>
      </c>
      <c r="C598" t="s">
        <v>1162</v>
      </c>
      <c r="E598" s="2">
        <v>3108000206001</v>
      </c>
      <c r="F598" s="1" t="s">
        <v>29</v>
      </c>
      <c r="G598" s="1" t="s">
        <v>53</v>
      </c>
      <c r="H598" s="1" t="s">
        <v>325</v>
      </c>
      <c r="I598" s="1" t="s">
        <v>326</v>
      </c>
      <c r="J598" s="1" t="s">
        <v>46</v>
      </c>
      <c r="K598" t="s">
        <v>34</v>
      </c>
      <c r="M598" s="1" t="s">
        <v>35</v>
      </c>
      <c r="N598" s="1">
        <v>42318949</v>
      </c>
      <c r="O598" s="1" t="s">
        <v>36</v>
      </c>
      <c r="P598" s="186">
        <v>44788.457800925928</v>
      </c>
      <c r="R598" s="1" t="s">
        <v>38</v>
      </c>
      <c r="T598" s="1" t="s">
        <v>74</v>
      </c>
      <c r="U598" s="186">
        <v>44830.75</v>
      </c>
      <c r="V598" s="1" t="s">
        <v>41</v>
      </c>
      <c r="W598" s="1" t="s">
        <v>49</v>
      </c>
      <c r="X598" s="13"/>
      <c r="Y598" s="2">
        <f t="shared" ca="1" si="54"/>
        <v>143</v>
      </c>
      <c r="Z598" s="14">
        <v>1</v>
      </c>
      <c r="AA598" s="1" t="str">
        <f t="shared" ca="1" si="55"/>
        <v>VENCIDO</v>
      </c>
      <c r="AB598" s="1" t="str">
        <f t="shared" si="56"/>
        <v>Dosa</v>
      </c>
      <c r="AC598" s="2" t="str">
        <f t="shared" si="59"/>
        <v xml:space="preserve"> CLEITON </v>
      </c>
      <c r="AD598" s="2">
        <f t="shared" si="57"/>
        <v>5</v>
      </c>
      <c r="AE598" s="2">
        <f t="shared" ca="1" si="58"/>
        <v>-155.9262716435187</v>
      </c>
      <c r="AF598" s="15"/>
    </row>
    <row r="599" spans="1:32" hidden="1">
      <c r="A599" s="1">
        <v>8839442</v>
      </c>
      <c r="B599" s="1" t="s">
        <v>62</v>
      </c>
      <c r="C599" t="s">
        <v>1165</v>
      </c>
      <c r="E599" s="2">
        <v>7420380203000</v>
      </c>
      <c r="F599" s="1" t="s">
        <v>454</v>
      </c>
      <c r="G599" s="1" t="s">
        <v>30</v>
      </c>
      <c r="H599" s="1" t="s">
        <v>1166</v>
      </c>
      <c r="I599" s="1" t="s">
        <v>1167</v>
      </c>
      <c r="J599" s="1" t="s">
        <v>46</v>
      </c>
      <c r="K599" t="s">
        <v>457</v>
      </c>
      <c r="M599" s="1" t="s">
        <v>58</v>
      </c>
      <c r="N599" s="1">
        <v>0</v>
      </c>
      <c r="O599" s="1" t="s">
        <v>105</v>
      </c>
      <c r="P599" s="186">
        <v>44790.487199074072</v>
      </c>
      <c r="R599" s="1" t="s">
        <v>38</v>
      </c>
      <c r="T599" s="1" t="s">
        <v>157</v>
      </c>
      <c r="U599" s="186">
        <v>44825.75</v>
      </c>
      <c r="V599" s="1" t="s">
        <v>41</v>
      </c>
      <c r="W599" s="1" t="s">
        <v>49</v>
      </c>
      <c r="X599" s="13"/>
      <c r="Y599" s="2">
        <f t="shared" ca="1" si="54"/>
        <v>141</v>
      </c>
      <c r="Z599" s="14">
        <v>1</v>
      </c>
      <c r="AA599" s="1" t="str">
        <f t="shared" ca="1" si="55"/>
        <v>VENCIDO</v>
      </c>
      <c r="AB599" s="1" t="str">
        <f t="shared" si="56"/>
        <v>C-14</v>
      </c>
      <c r="AC599" s="2" t="str">
        <f t="shared" si="59"/>
        <v xml:space="preserve"> CLEITON </v>
      </c>
      <c r="AD599" s="2">
        <f t="shared" si="57"/>
        <v>5</v>
      </c>
      <c r="AE599" s="2">
        <f t="shared" ca="1" si="58"/>
        <v>-160.9262716435187</v>
      </c>
      <c r="AF599" s="15"/>
    </row>
    <row r="600" spans="1:32" hidden="1">
      <c r="A600" s="1">
        <v>8844322</v>
      </c>
      <c r="B600" s="1" t="s">
        <v>62</v>
      </c>
      <c r="C600" t="s">
        <v>1170</v>
      </c>
      <c r="E600" s="2">
        <v>714000203000</v>
      </c>
      <c r="F600" s="1" t="s">
        <v>454</v>
      </c>
      <c r="G600" s="1" t="s">
        <v>53</v>
      </c>
      <c r="H600" s="1" t="s">
        <v>377</v>
      </c>
      <c r="I600" s="1" t="s">
        <v>378</v>
      </c>
      <c r="J600" s="1" t="s">
        <v>46</v>
      </c>
      <c r="K600" t="s">
        <v>457</v>
      </c>
      <c r="M600" s="1" t="s">
        <v>58</v>
      </c>
      <c r="N600" s="1">
        <v>0</v>
      </c>
      <c r="O600" s="1" t="s">
        <v>36</v>
      </c>
      <c r="P600" s="186">
        <v>44792.402997685182</v>
      </c>
      <c r="R600" s="1">
        <v>1</v>
      </c>
      <c r="T600" s="1" t="s">
        <v>157</v>
      </c>
      <c r="U600" s="186">
        <v>44827.75</v>
      </c>
      <c r="V600" s="1" t="s">
        <v>41</v>
      </c>
      <c r="W600" s="1" t="s">
        <v>49</v>
      </c>
      <c r="X600" s="13"/>
      <c r="Y600" s="2">
        <f t="shared" ca="1" si="54"/>
        <v>139</v>
      </c>
      <c r="Z600" s="14">
        <v>1</v>
      </c>
      <c r="AA600" s="1" t="str">
        <f t="shared" ca="1" si="55"/>
        <v>VENCIDO</v>
      </c>
      <c r="AB600" s="1" t="str">
        <f t="shared" si="56"/>
        <v>C-14</v>
      </c>
      <c r="AC600" s="2" t="str">
        <f t="shared" si="59"/>
        <v xml:space="preserve"> CLEITON </v>
      </c>
      <c r="AD600" s="2">
        <f t="shared" si="57"/>
        <v>5</v>
      </c>
      <c r="AE600" s="2">
        <f t="shared" ca="1" si="58"/>
        <v>-158.9262716435187</v>
      </c>
      <c r="AF600" s="15"/>
    </row>
    <row r="601" spans="1:32" hidden="1">
      <c r="A601" s="1">
        <v>8844316</v>
      </c>
      <c r="B601" s="1" t="s">
        <v>62</v>
      </c>
      <c r="C601" t="s">
        <v>1173</v>
      </c>
      <c r="E601" s="2">
        <v>714000206001</v>
      </c>
      <c r="F601" s="1" t="s">
        <v>29</v>
      </c>
      <c r="G601" s="1" t="s">
        <v>53</v>
      </c>
      <c r="H601" s="1" t="s">
        <v>377</v>
      </c>
      <c r="I601" s="1" t="s">
        <v>378</v>
      </c>
      <c r="J601" s="1" t="s">
        <v>46</v>
      </c>
      <c r="K601" t="s">
        <v>34</v>
      </c>
      <c r="M601" s="1" t="s">
        <v>35</v>
      </c>
      <c r="N601" s="1">
        <v>42318949</v>
      </c>
      <c r="O601" s="1" t="s">
        <v>36</v>
      </c>
      <c r="P601" s="186">
        <v>44792.402361111112</v>
      </c>
      <c r="R601" s="1" t="s">
        <v>38</v>
      </c>
      <c r="T601" s="1" t="s">
        <v>74</v>
      </c>
      <c r="U601" s="186">
        <v>44834.75</v>
      </c>
      <c r="V601" s="1" t="s">
        <v>41</v>
      </c>
      <c r="W601" s="1" t="s">
        <v>49</v>
      </c>
      <c r="X601" s="13"/>
      <c r="Y601" s="2">
        <f t="shared" ca="1" si="54"/>
        <v>139</v>
      </c>
      <c r="Z601" s="14">
        <v>1</v>
      </c>
      <c r="AA601" s="1" t="str">
        <f t="shared" ca="1" si="55"/>
        <v>VENCIDO</v>
      </c>
      <c r="AB601" s="1" t="str">
        <f t="shared" si="56"/>
        <v>Dosa</v>
      </c>
      <c r="AC601" s="2" t="str">
        <f t="shared" si="59"/>
        <v xml:space="preserve"> CLEITON </v>
      </c>
      <c r="AD601" s="2">
        <f t="shared" si="57"/>
        <v>5</v>
      </c>
      <c r="AE601" s="2">
        <f t="shared" ca="1" si="58"/>
        <v>-151.9262716435187</v>
      </c>
      <c r="AF601" s="15"/>
    </row>
    <row r="602" spans="1:32">
      <c r="A602" s="1">
        <v>8851834</v>
      </c>
      <c r="B602" s="1" t="s">
        <v>101</v>
      </c>
      <c r="C602" t="s">
        <v>1176</v>
      </c>
      <c r="E602" s="2">
        <v>9705000206121</v>
      </c>
      <c r="F602" s="1" t="s">
        <v>113</v>
      </c>
      <c r="G602" s="1" t="s">
        <v>53</v>
      </c>
      <c r="H602" s="1" t="s">
        <v>204</v>
      </c>
      <c r="I602" s="1" t="s">
        <v>205</v>
      </c>
      <c r="J602" s="1" t="s">
        <v>90</v>
      </c>
      <c r="K602" t="s">
        <v>116</v>
      </c>
      <c r="M602" s="1" t="s">
        <v>35</v>
      </c>
      <c r="N602" s="1">
        <v>42318949</v>
      </c>
      <c r="O602" s="1" t="s">
        <v>36</v>
      </c>
      <c r="P602" s="186">
        <v>44795.769953703704</v>
      </c>
      <c r="R602" s="1" t="s">
        <v>38</v>
      </c>
      <c r="T602" s="1" t="s">
        <v>74</v>
      </c>
      <c r="U602" s="186">
        <v>44796.75</v>
      </c>
      <c r="V602" s="1" t="s">
        <v>41</v>
      </c>
      <c r="W602" s="1" t="s">
        <v>49</v>
      </c>
      <c r="X602" s="13"/>
      <c r="Y602" s="2">
        <f t="shared" ca="1" si="54"/>
        <v>138</v>
      </c>
      <c r="Z602" s="14">
        <v>1</v>
      </c>
      <c r="AA602" s="1" t="str">
        <f t="shared" ca="1" si="55"/>
        <v>VENCIDO</v>
      </c>
      <c r="AB602" s="1" t="str">
        <f t="shared" si="56"/>
        <v>TAAe+</v>
      </c>
      <c r="AC602" s="2" t="str">
        <f t="shared" si="59"/>
        <v xml:space="preserve"> RINALDO </v>
      </c>
      <c r="AD602" s="2">
        <f t="shared" si="57"/>
        <v>8</v>
      </c>
      <c r="AE602" s="2">
        <f t="shared" ca="1" si="58"/>
        <v>-189.9262716435187</v>
      </c>
      <c r="AF602" s="15"/>
    </row>
    <row r="603" spans="1:32">
      <c r="A603" s="1">
        <v>8851833</v>
      </c>
      <c r="B603" s="1" t="s">
        <v>101</v>
      </c>
      <c r="C603" t="s">
        <v>1176</v>
      </c>
      <c r="E603" s="2">
        <v>9705000206121</v>
      </c>
      <c r="F603" s="1" t="s">
        <v>113</v>
      </c>
      <c r="G603" s="1" t="s">
        <v>53</v>
      </c>
      <c r="H603" s="1" t="s">
        <v>204</v>
      </c>
      <c r="I603" s="1" t="s">
        <v>205</v>
      </c>
      <c r="J603" s="1" t="s">
        <v>90</v>
      </c>
      <c r="K603" t="s">
        <v>116</v>
      </c>
      <c r="M603" s="1" t="s">
        <v>35</v>
      </c>
      <c r="N603" s="1">
        <v>42318949</v>
      </c>
      <c r="O603" s="1" t="s">
        <v>36</v>
      </c>
      <c r="P603" s="186">
        <v>44795.769953703704</v>
      </c>
      <c r="R603" s="1" t="s">
        <v>38</v>
      </c>
      <c r="T603" s="1" t="s">
        <v>74</v>
      </c>
      <c r="U603" s="186">
        <v>44796.75</v>
      </c>
      <c r="V603" s="1" t="s">
        <v>41</v>
      </c>
      <c r="W603" s="1" t="s">
        <v>49</v>
      </c>
      <c r="X603" s="13"/>
      <c r="Y603" s="2">
        <f t="shared" ca="1" si="54"/>
        <v>138</v>
      </c>
      <c r="Z603" s="14">
        <v>1</v>
      </c>
      <c r="AA603" s="1" t="str">
        <f t="shared" ca="1" si="55"/>
        <v>VENCIDO</v>
      </c>
      <c r="AB603" s="1" t="str">
        <f t="shared" si="56"/>
        <v>TAAe+</v>
      </c>
      <c r="AC603" s="2" t="str">
        <f t="shared" si="59"/>
        <v xml:space="preserve"> RINALDO </v>
      </c>
      <c r="AD603" s="2">
        <f t="shared" si="57"/>
        <v>8</v>
      </c>
      <c r="AE603" s="2">
        <f t="shared" ca="1" si="58"/>
        <v>-189.9262716435187</v>
      </c>
      <c r="AF603" s="15"/>
    </row>
    <row r="604" spans="1:32">
      <c r="A604" s="1">
        <v>8851832</v>
      </c>
      <c r="B604" s="1" t="s">
        <v>101</v>
      </c>
      <c r="C604" t="s">
        <v>1176</v>
      </c>
      <c r="E604" s="2">
        <v>9705000206121</v>
      </c>
      <c r="F604" s="1" t="s">
        <v>113</v>
      </c>
      <c r="G604" s="1" t="s">
        <v>53</v>
      </c>
      <c r="H604" s="1" t="s">
        <v>204</v>
      </c>
      <c r="I604" s="1" t="s">
        <v>205</v>
      </c>
      <c r="J604" s="1" t="s">
        <v>90</v>
      </c>
      <c r="K604" t="s">
        <v>116</v>
      </c>
      <c r="M604" s="1" t="s">
        <v>35</v>
      </c>
      <c r="N604" s="1">
        <v>42318949</v>
      </c>
      <c r="O604" s="1" t="s">
        <v>36</v>
      </c>
      <c r="P604" s="186">
        <v>44795.769953703704</v>
      </c>
      <c r="R604" s="1" t="s">
        <v>38</v>
      </c>
      <c r="T604" s="1" t="s">
        <v>74</v>
      </c>
      <c r="U604" s="186">
        <v>44796.75</v>
      </c>
      <c r="V604" s="1" t="s">
        <v>41</v>
      </c>
      <c r="W604" s="1" t="s">
        <v>49</v>
      </c>
      <c r="X604" s="13"/>
      <c r="Y604" s="2">
        <f t="shared" ca="1" si="54"/>
        <v>138</v>
      </c>
      <c r="Z604" s="14">
        <v>1</v>
      </c>
      <c r="AA604" s="1" t="str">
        <f t="shared" ca="1" si="55"/>
        <v>VENCIDO</v>
      </c>
      <c r="AB604" s="1" t="str">
        <f t="shared" si="56"/>
        <v>TAAe+</v>
      </c>
      <c r="AC604" s="2" t="str">
        <f t="shared" si="59"/>
        <v xml:space="preserve"> RINALDO </v>
      </c>
      <c r="AD604" s="2">
        <f t="shared" si="57"/>
        <v>8</v>
      </c>
      <c r="AE604" s="2">
        <f t="shared" ca="1" si="58"/>
        <v>-189.9262716435187</v>
      </c>
      <c r="AF604" s="15"/>
    </row>
    <row r="605" spans="1:32">
      <c r="A605" s="1">
        <v>8851831</v>
      </c>
      <c r="B605" s="1" t="s">
        <v>101</v>
      </c>
      <c r="C605" t="s">
        <v>1176</v>
      </c>
      <c r="E605" s="2">
        <v>9704000206121</v>
      </c>
      <c r="F605" s="1" t="s">
        <v>113</v>
      </c>
      <c r="G605" s="1" t="s">
        <v>53</v>
      </c>
      <c r="H605" s="1" t="s">
        <v>488</v>
      </c>
      <c r="I605" s="1" t="s">
        <v>489</v>
      </c>
      <c r="J605" s="1" t="s">
        <v>90</v>
      </c>
      <c r="K605" t="s">
        <v>116</v>
      </c>
      <c r="M605" s="1" t="s">
        <v>35</v>
      </c>
      <c r="N605" s="1">
        <v>42318949</v>
      </c>
      <c r="O605" s="1" t="s">
        <v>105</v>
      </c>
      <c r="P605" s="186">
        <v>44795.769953703704</v>
      </c>
      <c r="R605" s="1" t="s">
        <v>38</v>
      </c>
      <c r="T605" s="1" t="s">
        <v>74</v>
      </c>
      <c r="U605" s="186">
        <v>44796.75</v>
      </c>
      <c r="V605" s="1" t="s">
        <v>41</v>
      </c>
      <c r="W605" s="1" t="s">
        <v>49</v>
      </c>
      <c r="X605" s="13"/>
      <c r="Y605" s="2">
        <f t="shared" ca="1" si="54"/>
        <v>138</v>
      </c>
      <c r="Z605" s="14">
        <v>1</v>
      </c>
      <c r="AA605" s="1" t="str">
        <f t="shared" ca="1" si="55"/>
        <v>VENCIDO</v>
      </c>
      <c r="AB605" s="1" t="str">
        <f t="shared" si="56"/>
        <v>TAAe+</v>
      </c>
      <c r="AC605" s="2" t="str">
        <f t="shared" si="59"/>
        <v xml:space="preserve"> RINALDO </v>
      </c>
      <c r="AD605" s="2">
        <f t="shared" si="57"/>
        <v>8</v>
      </c>
      <c r="AE605" s="2">
        <f t="shared" ca="1" si="58"/>
        <v>-189.9262716435187</v>
      </c>
      <c r="AF605" s="15"/>
    </row>
    <row r="606" spans="1:32">
      <c r="A606" s="1">
        <v>8851830</v>
      </c>
      <c r="B606" s="1" t="s">
        <v>101</v>
      </c>
      <c r="C606" t="s">
        <v>1176</v>
      </c>
      <c r="E606" s="2">
        <v>9704000206121</v>
      </c>
      <c r="F606" s="1" t="s">
        <v>113</v>
      </c>
      <c r="G606" s="1" t="s">
        <v>53</v>
      </c>
      <c r="H606" s="1" t="s">
        <v>488</v>
      </c>
      <c r="I606" s="1" t="s">
        <v>489</v>
      </c>
      <c r="J606" s="1" t="s">
        <v>90</v>
      </c>
      <c r="K606" t="s">
        <v>116</v>
      </c>
      <c r="M606" s="1" t="s">
        <v>35</v>
      </c>
      <c r="N606" s="1">
        <v>42318949</v>
      </c>
      <c r="O606" s="1" t="s">
        <v>105</v>
      </c>
      <c r="P606" s="186">
        <v>44795.769953703704</v>
      </c>
      <c r="R606" s="1" t="s">
        <v>38</v>
      </c>
      <c r="T606" s="1" t="s">
        <v>74</v>
      </c>
      <c r="U606" s="186">
        <v>44796.75</v>
      </c>
      <c r="V606" s="1" t="s">
        <v>41</v>
      </c>
      <c r="W606" s="1" t="s">
        <v>49</v>
      </c>
      <c r="X606" s="13"/>
      <c r="Y606" s="2">
        <f t="shared" ca="1" si="54"/>
        <v>138</v>
      </c>
      <c r="Z606" s="14">
        <v>1</v>
      </c>
      <c r="AA606" s="1" t="str">
        <f t="shared" ca="1" si="55"/>
        <v>VENCIDO</v>
      </c>
      <c r="AB606" s="1" t="str">
        <f t="shared" si="56"/>
        <v>TAAe+</v>
      </c>
      <c r="AC606" s="2" t="str">
        <f t="shared" si="59"/>
        <v xml:space="preserve"> RINALDO </v>
      </c>
      <c r="AD606" s="2">
        <f t="shared" si="57"/>
        <v>8</v>
      </c>
      <c r="AE606" s="2">
        <f t="shared" ca="1" si="58"/>
        <v>-189.9262716435187</v>
      </c>
      <c r="AF606" s="15"/>
    </row>
    <row r="607" spans="1:32">
      <c r="A607" s="1">
        <v>8851829</v>
      </c>
      <c r="B607" s="1" t="s">
        <v>101</v>
      </c>
      <c r="C607" t="s">
        <v>1176</v>
      </c>
      <c r="E607" s="2">
        <v>9704000206121</v>
      </c>
      <c r="F607" s="1" t="s">
        <v>113</v>
      </c>
      <c r="G607" s="1" t="s">
        <v>53</v>
      </c>
      <c r="H607" s="1" t="s">
        <v>488</v>
      </c>
      <c r="I607" s="1" t="s">
        <v>489</v>
      </c>
      <c r="J607" s="1" t="s">
        <v>90</v>
      </c>
      <c r="K607" t="s">
        <v>116</v>
      </c>
      <c r="M607" s="1" t="s">
        <v>35</v>
      </c>
      <c r="N607" s="1">
        <v>42318949</v>
      </c>
      <c r="O607" s="1" t="s">
        <v>105</v>
      </c>
      <c r="P607" s="186">
        <v>44795.769953703704</v>
      </c>
      <c r="R607" s="1" t="s">
        <v>38</v>
      </c>
      <c r="T607" s="1" t="s">
        <v>74</v>
      </c>
      <c r="U607" s="186">
        <v>44796.75</v>
      </c>
      <c r="V607" s="1" t="s">
        <v>41</v>
      </c>
      <c r="W607" s="1" t="s">
        <v>49</v>
      </c>
      <c r="X607" s="13"/>
      <c r="Y607" s="2">
        <f t="shared" ca="1" si="54"/>
        <v>138</v>
      </c>
      <c r="Z607" s="14">
        <v>1</v>
      </c>
      <c r="AA607" s="1" t="str">
        <f t="shared" ca="1" si="55"/>
        <v>VENCIDO</v>
      </c>
      <c r="AB607" s="1" t="str">
        <f t="shared" si="56"/>
        <v>TAAe+</v>
      </c>
      <c r="AC607" s="2" t="str">
        <f t="shared" si="59"/>
        <v xml:space="preserve"> RINALDO </v>
      </c>
      <c r="AD607" s="2">
        <f t="shared" si="57"/>
        <v>8</v>
      </c>
      <c r="AE607" s="2">
        <f t="shared" ca="1" si="58"/>
        <v>-189.9262716435187</v>
      </c>
      <c r="AF607" s="15"/>
    </row>
    <row r="608" spans="1:32">
      <c r="A608" s="1">
        <v>8851826</v>
      </c>
      <c r="B608" s="1" t="s">
        <v>101</v>
      </c>
      <c r="C608" t="s">
        <v>1176</v>
      </c>
      <c r="E608" s="2">
        <v>9700000206121</v>
      </c>
      <c r="F608" s="1" t="s">
        <v>113</v>
      </c>
      <c r="G608" s="1" t="s">
        <v>53</v>
      </c>
      <c r="H608" s="1" t="s">
        <v>209</v>
      </c>
      <c r="I608" s="1" t="s">
        <v>210</v>
      </c>
      <c r="J608" s="1" t="s">
        <v>211</v>
      </c>
      <c r="K608" t="s">
        <v>116</v>
      </c>
      <c r="M608" s="1" t="s">
        <v>35</v>
      </c>
      <c r="N608" s="1">
        <v>42318949</v>
      </c>
      <c r="O608" s="1" t="s">
        <v>105</v>
      </c>
      <c r="P608" s="186">
        <v>44795.769953703704</v>
      </c>
      <c r="R608" s="1" t="s">
        <v>38</v>
      </c>
      <c r="T608" s="1" t="s">
        <v>74</v>
      </c>
      <c r="U608" s="186">
        <v>44796.75</v>
      </c>
      <c r="V608" s="1" t="s">
        <v>41</v>
      </c>
      <c r="W608" s="1" t="s">
        <v>49</v>
      </c>
      <c r="X608" s="13"/>
      <c r="Y608" s="2">
        <f t="shared" ca="1" si="54"/>
        <v>138</v>
      </c>
      <c r="Z608" s="14">
        <v>1</v>
      </c>
      <c r="AA608" s="1" t="str">
        <f t="shared" ca="1" si="55"/>
        <v>VENCIDO</v>
      </c>
      <c r="AB608" s="1" t="str">
        <f t="shared" si="56"/>
        <v>TAAe+</v>
      </c>
      <c r="AC608" s="2" t="str">
        <f t="shared" si="59"/>
        <v xml:space="preserve"> RINALDO </v>
      </c>
      <c r="AD608" s="2">
        <f t="shared" si="57"/>
        <v>8</v>
      </c>
      <c r="AE608" s="2">
        <f t="shared" ca="1" si="58"/>
        <v>-189.9262716435187</v>
      </c>
      <c r="AF608" s="15"/>
    </row>
    <row r="609" spans="1:32">
      <c r="A609" s="1">
        <v>8851825</v>
      </c>
      <c r="B609" s="1" t="s">
        <v>101</v>
      </c>
      <c r="C609" t="s">
        <v>1176</v>
      </c>
      <c r="E609" s="2">
        <v>9700000206121</v>
      </c>
      <c r="F609" s="1" t="s">
        <v>113</v>
      </c>
      <c r="G609" s="1" t="s">
        <v>53</v>
      </c>
      <c r="H609" s="1" t="s">
        <v>209</v>
      </c>
      <c r="I609" s="1" t="s">
        <v>210</v>
      </c>
      <c r="J609" s="1" t="s">
        <v>211</v>
      </c>
      <c r="K609" t="s">
        <v>116</v>
      </c>
      <c r="M609" s="1" t="s">
        <v>35</v>
      </c>
      <c r="N609" s="1">
        <v>42318949</v>
      </c>
      <c r="O609" s="1" t="s">
        <v>105</v>
      </c>
      <c r="P609" s="186">
        <v>44795.769953703704</v>
      </c>
      <c r="R609" s="1" t="s">
        <v>38</v>
      </c>
      <c r="T609" s="1" t="s">
        <v>74</v>
      </c>
      <c r="U609" s="186">
        <v>44796.75</v>
      </c>
      <c r="V609" s="1" t="s">
        <v>41</v>
      </c>
      <c r="W609" s="1" t="s">
        <v>49</v>
      </c>
      <c r="X609" s="13"/>
      <c r="Y609" s="2">
        <f t="shared" ca="1" si="54"/>
        <v>138</v>
      </c>
      <c r="Z609" s="14">
        <v>1</v>
      </c>
      <c r="AA609" s="1" t="str">
        <f t="shared" ca="1" si="55"/>
        <v>VENCIDO</v>
      </c>
      <c r="AB609" s="1" t="str">
        <f t="shared" si="56"/>
        <v>TAAe+</v>
      </c>
      <c r="AC609" s="2" t="str">
        <f t="shared" si="59"/>
        <v xml:space="preserve"> RINALDO </v>
      </c>
      <c r="AD609" s="2">
        <f t="shared" si="57"/>
        <v>8</v>
      </c>
      <c r="AE609" s="2">
        <f t="shared" ca="1" si="58"/>
        <v>-189.9262716435187</v>
      </c>
      <c r="AF609" s="15"/>
    </row>
    <row r="610" spans="1:32" hidden="1">
      <c r="A610" s="1">
        <v>8851534</v>
      </c>
      <c r="B610" s="1" t="s">
        <v>101</v>
      </c>
      <c r="C610" t="s">
        <v>1176</v>
      </c>
      <c r="E610" s="2">
        <v>9406000206121</v>
      </c>
      <c r="F610" s="1" t="s">
        <v>113</v>
      </c>
      <c r="G610" s="1" t="s">
        <v>53</v>
      </c>
      <c r="H610" s="1" t="s">
        <v>114</v>
      </c>
      <c r="I610" s="1" t="s">
        <v>115</v>
      </c>
      <c r="J610" s="1" t="s">
        <v>46</v>
      </c>
      <c r="K610" t="s">
        <v>116</v>
      </c>
      <c r="M610" s="1" t="s">
        <v>35</v>
      </c>
      <c r="N610" s="1">
        <v>42318949</v>
      </c>
      <c r="O610" s="1" t="s">
        <v>105</v>
      </c>
      <c r="P610" s="186">
        <v>44795.769618055558</v>
      </c>
      <c r="R610" s="1" t="s">
        <v>38</v>
      </c>
      <c r="T610" s="1" t="s">
        <v>74</v>
      </c>
      <c r="U610" s="186">
        <v>44796.75</v>
      </c>
      <c r="V610" s="1" t="s">
        <v>41</v>
      </c>
      <c r="W610" s="1" t="s">
        <v>49</v>
      </c>
      <c r="X610" s="13"/>
      <c r="Y610" s="2">
        <f t="shared" ca="1" si="54"/>
        <v>138</v>
      </c>
      <c r="Z610" s="14">
        <v>1</v>
      </c>
      <c r="AA610" s="1" t="str">
        <f t="shared" ca="1" si="55"/>
        <v>VENCIDO</v>
      </c>
      <c r="AB610" s="1" t="str">
        <f t="shared" si="56"/>
        <v>TAAe+</v>
      </c>
      <c r="AC610" s="2" t="str">
        <f t="shared" si="59"/>
        <v xml:space="preserve"> CLEITON </v>
      </c>
      <c r="AD610" s="2">
        <f t="shared" si="57"/>
        <v>8</v>
      </c>
      <c r="AE610" s="2">
        <f t="shared" ca="1" si="58"/>
        <v>-189.9262716435187</v>
      </c>
      <c r="AF610" s="15"/>
    </row>
    <row r="611" spans="1:32" hidden="1">
      <c r="A611" s="1">
        <v>8851533</v>
      </c>
      <c r="B611" s="1" t="s">
        <v>101</v>
      </c>
      <c r="C611" t="s">
        <v>1176</v>
      </c>
      <c r="E611" s="2">
        <v>9406000206121</v>
      </c>
      <c r="F611" s="1" t="s">
        <v>113</v>
      </c>
      <c r="G611" s="1" t="s">
        <v>53</v>
      </c>
      <c r="H611" s="1" t="s">
        <v>114</v>
      </c>
      <c r="I611" s="1" t="s">
        <v>115</v>
      </c>
      <c r="J611" s="1" t="s">
        <v>46</v>
      </c>
      <c r="K611" t="s">
        <v>116</v>
      </c>
      <c r="M611" s="1" t="s">
        <v>35</v>
      </c>
      <c r="N611" s="1">
        <v>42318949</v>
      </c>
      <c r="O611" s="1" t="s">
        <v>105</v>
      </c>
      <c r="P611" s="186">
        <v>44795.769618055558</v>
      </c>
      <c r="R611" s="1" t="s">
        <v>38</v>
      </c>
      <c r="T611" s="1" t="s">
        <v>74</v>
      </c>
      <c r="U611" s="186">
        <v>44796.75</v>
      </c>
      <c r="V611" s="1" t="s">
        <v>41</v>
      </c>
      <c r="W611" s="1" t="s">
        <v>49</v>
      </c>
      <c r="X611" s="13"/>
      <c r="Y611" s="2">
        <f t="shared" ca="1" si="54"/>
        <v>138</v>
      </c>
      <c r="Z611" s="14">
        <v>1</v>
      </c>
      <c r="AA611" s="1" t="str">
        <f t="shared" ca="1" si="55"/>
        <v>VENCIDO</v>
      </c>
      <c r="AB611" s="1" t="str">
        <f t="shared" si="56"/>
        <v>TAAe+</v>
      </c>
      <c r="AC611" s="2" t="str">
        <f t="shared" si="59"/>
        <v xml:space="preserve"> CLEITON </v>
      </c>
      <c r="AD611" s="2">
        <f t="shared" si="57"/>
        <v>8</v>
      </c>
      <c r="AE611" s="2">
        <f t="shared" ca="1" si="58"/>
        <v>-189.9262716435187</v>
      </c>
      <c r="AF611" s="15"/>
    </row>
    <row r="612" spans="1:32" hidden="1">
      <c r="A612" s="1">
        <v>8851532</v>
      </c>
      <c r="B612" s="1" t="s">
        <v>101</v>
      </c>
      <c r="C612" t="s">
        <v>1176</v>
      </c>
      <c r="E612" s="2">
        <v>9406000206121</v>
      </c>
      <c r="F612" s="1" t="s">
        <v>113</v>
      </c>
      <c r="G612" s="1" t="s">
        <v>53</v>
      </c>
      <c r="H612" s="1" t="s">
        <v>114</v>
      </c>
      <c r="I612" s="1" t="s">
        <v>115</v>
      </c>
      <c r="J612" s="1" t="s">
        <v>46</v>
      </c>
      <c r="K612" t="s">
        <v>116</v>
      </c>
      <c r="M612" s="1" t="s">
        <v>35</v>
      </c>
      <c r="N612" s="1">
        <v>42318949</v>
      </c>
      <c r="O612" s="1" t="s">
        <v>105</v>
      </c>
      <c r="P612" s="186">
        <v>44795.769618055558</v>
      </c>
      <c r="R612" s="1" t="s">
        <v>38</v>
      </c>
      <c r="T612" s="1" t="s">
        <v>74</v>
      </c>
      <c r="U612" s="186">
        <v>44796.75</v>
      </c>
      <c r="V612" s="1" t="s">
        <v>41</v>
      </c>
      <c r="W612" s="1" t="s">
        <v>49</v>
      </c>
      <c r="X612" s="13"/>
      <c r="Y612" s="2">
        <f t="shared" ca="1" si="54"/>
        <v>138</v>
      </c>
      <c r="Z612" s="14">
        <v>1</v>
      </c>
      <c r="AA612" s="1" t="str">
        <f t="shared" ca="1" si="55"/>
        <v>VENCIDO</v>
      </c>
      <c r="AB612" s="1" t="str">
        <f t="shared" si="56"/>
        <v>TAAe+</v>
      </c>
      <c r="AC612" s="2" t="str">
        <f t="shared" si="59"/>
        <v xml:space="preserve"> CLEITON </v>
      </c>
      <c r="AD612" s="2">
        <f t="shared" si="57"/>
        <v>8</v>
      </c>
      <c r="AE612" s="2">
        <f t="shared" ca="1" si="58"/>
        <v>-189.9262716435187</v>
      </c>
      <c r="AF612" s="15"/>
    </row>
    <row r="613" spans="1:32" hidden="1">
      <c r="A613" s="1">
        <v>8851531</v>
      </c>
      <c r="B613" s="1" t="s">
        <v>101</v>
      </c>
      <c r="C613" t="s">
        <v>1176</v>
      </c>
      <c r="E613" s="2">
        <v>9406000206121</v>
      </c>
      <c r="F613" s="1" t="s">
        <v>113</v>
      </c>
      <c r="G613" s="1" t="s">
        <v>53</v>
      </c>
      <c r="H613" s="1" t="s">
        <v>114</v>
      </c>
      <c r="I613" s="1" t="s">
        <v>115</v>
      </c>
      <c r="J613" s="1" t="s">
        <v>46</v>
      </c>
      <c r="K613" t="s">
        <v>116</v>
      </c>
      <c r="M613" s="1" t="s">
        <v>35</v>
      </c>
      <c r="N613" s="1">
        <v>42318949</v>
      </c>
      <c r="O613" s="1" t="s">
        <v>105</v>
      </c>
      <c r="P613" s="186">
        <v>44795.769618055558</v>
      </c>
      <c r="R613" s="1" t="s">
        <v>38</v>
      </c>
      <c r="T613" s="1" t="s">
        <v>74</v>
      </c>
      <c r="U613" s="186">
        <v>44796.75</v>
      </c>
      <c r="V613" s="1" t="s">
        <v>41</v>
      </c>
      <c r="W613" s="1" t="s">
        <v>49</v>
      </c>
      <c r="X613" s="13"/>
      <c r="Y613" s="2">
        <f t="shared" ca="1" si="54"/>
        <v>138</v>
      </c>
      <c r="Z613" s="14">
        <v>1</v>
      </c>
      <c r="AA613" s="1" t="str">
        <f t="shared" ca="1" si="55"/>
        <v>VENCIDO</v>
      </c>
      <c r="AB613" s="1" t="str">
        <f t="shared" si="56"/>
        <v>TAAe+</v>
      </c>
      <c r="AC613" s="2" t="str">
        <f t="shared" si="59"/>
        <v xml:space="preserve"> CLEITON </v>
      </c>
      <c r="AD613" s="2">
        <f t="shared" si="57"/>
        <v>8</v>
      </c>
      <c r="AE613" s="2">
        <f t="shared" ca="1" si="58"/>
        <v>-189.9262716435187</v>
      </c>
      <c r="AF613" s="15"/>
    </row>
    <row r="614" spans="1:32" hidden="1">
      <c r="A614" s="1">
        <v>8851530</v>
      </c>
      <c r="B614" s="1" t="s">
        <v>101</v>
      </c>
      <c r="C614" t="s">
        <v>1176</v>
      </c>
      <c r="E614" s="2">
        <v>9406000206121</v>
      </c>
      <c r="F614" s="1" t="s">
        <v>113</v>
      </c>
      <c r="G614" s="1" t="s">
        <v>53</v>
      </c>
      <c r="H614" s="1" t="s">
        <v>114</v>
      </c>
      <c r="I614" s="1" t="s">
        <v>115</v>
      </c>
      <c r="J614" s="1" t="s">
        <v>46</v>
      </c>
      <c r="K614" t="s">
        <v>116</v>
      </c>
      <c r="M614" s="1" t="s">
        <v>35</v>
      </c>
      <c r="N614" s="1">
        <v>42318949</v>
      </c>
      <c r="O614" s="1" t="s">
        <v>105</v>
      </c>
      <c r="P614" s="186">
        <v>44795.769606481481</v>
      </c>
      <c r="R614" s="1" t="s">
        <v>38</v>
      </c>
      <c r="T614" s="1" t="s">
        <v>74</v>
      </c>
      <c r="U614" s="186">
        <v>44796.75</v>
      </c>
      <c r="V614" s="1" t="s">
        <v>41</v>
      </c>
      <c r="W614" s="1" t="s">
        <v>49</v>
      </c>
      <c r="X614" s="13"/>
      <c r="Y614" s="2">
        <f t="shared" ca="1" si="54"/>
        <v>138</v>
      </c>
      <c r="Z614" s="14">
        <v>1</v>
      </c>
      <c r="AA614" s="1" t="str">
        <f t="shared" ca="1" si="55"/>
        <v>VENCIDO</v>
      </c>
      <c r="AB614" s="1" t="str">
        <f t="shared" si="56"/>
        <v>TAAe+</v>
      </c>
      <c r="AC614" s="2" t="str">
        <f t="shared" si="59"/>
        <v xml:space="preserve"> CLEITON </v>
      </c>
      <c r="AD614" s="2">
        <f t="shared" si="57"/>
        <v>8</v>
      </c>
      <c r="AE614" s="2">
        <f t="shared" ca="1" si="58"/>
        <v>-189.9262716435187</v>
      </c>
      <c r="AF614" s="15"/>
    </row>
    <row r="615" spans="1:32" hidden="1">
      <c r="A615" s="1">
        <v>8851529</v>
      </c>
      <c r="B615" s="1" t="s">
        <v>101</v>
      </c>
      <c r="C615" t="s">
        <v>1176</v>
      </c>
      <c r="E615" s="2">
        <v>9406000206121</v>
      </c>
      <c r="F615" s="1" t="s">
        <v>113</v>
      </c>
      <c r="G615" s="1" t="s">
        <v>53</v>
      </c>
      <c r="H615" s="1" t="s">
        <v>114</v>
      </c>
      <c r="I615" s="1" t="s">
        <v>115</v>
      </c>
      <c r="J615" s="1" t="s">
        <v>46</v>
      </c>
      <c r="K615" t="s">
        <v>116</v>
      </c>
      <c r="M615" s="1" t="s">
        <v>35</v>
      </c>
      <c r="N615" s="1">
        <v>42318949</v>
      </c>
      <c r="O615" s="1" t="s">
        <v>105</v>
      </c>
      <c r="P615" s="186">
        <v>44795.769606481481</v>
      </c>
      <c r="R615" s="1" t="s">
        <v>38</v>
      </c>
      <c r="T615" s="1" t="s">
        <v>74</v>
      </c>
      <c r="U615" s="186">
        <v>44796.75</v>
      </c>
      <c r="V615" s="1" t="s">
        <v>41</v>
      </c>
      <c r="W615" s="1" t="s">
        <v>49</v>
      </c>
      <c r="X615" s="13"/>
      <c r="Y615" s="2">
        <f t="shared" ca="1" si="54"/>
        <v>138</v>
      </c>
      <c r="Z615" s="14">
        <v>1</v>
      </c>
      <c r="AA615" s="1" t="str">
        <f t="shared" ca="1" si="55"/>
        <v>VENCIDO</v>
      </c>
      <c r="AB615" s="1" t="str">
        <f t="shared" si="56"/>
        <v>TAAe+</v>
      </c>
      <c r="AC615" s="2" t="str">
        <f t="shared" si="59"/>
        <v xml:space="preserve"> CLEITON </v>
      </c>
      <c r="AD615" s="2">
        <f t="shared" si="57"/>
        <v>8</v>
      </c>
      <c r="AE615" s="2">
        <f t="shared" ca="1" si="58"/>
        <v>-189.9262716435187</v>
      </c>
      <c r="AF615" s="15"/>
    </row>
    <row r="616" spans="1:32" hidden="1">
      <c r="A616" s="1">
        <v>8851528</v>
      </c>
      <c r="B616" s="1" t="s">
        <v>101</v>
      </c>
      <c r="C616" t="s">
        <v>1176</v>
      </c>
      <c r="E616" s="2">
        <v>9406000206121</v>
      </c>
      <c r="F616" s="1" t="s">
        <v>113</v>
      </c>
      <c r="G616" s="1" t="s">
        <v>53</v>
      </c>
      <c r="H616" s="1" t="s">
        <v>114</v>
      </c>
      <c r="I616" s="1" t="s">
        <v>115</v>
      </c>
      <c r="J616" s="1" t="s">
        <v>46</v>
      </c>
      <c r="K616" t="s">
        <v>116</v>
      </c>
      <c r="M616" s="1" t="s">
        <v>35</v>
      </c>
      <c r="N616" s="1">
        <v>42318949</v>
      </c>
      <c r="O616" s="1" t="s">
        <v>105</v>
      </c>
      <c r="P616" s="186">
        <v>44795.769606481481</v>
      </c>
      <c r="R616" s="1" t="s">
        <v>38</v>
      </c>
      <c r="T616" s="1" t="s">
        <v>74</v>
      </c>
      <c r="U616" s="186">
        <v>44796.75</v>
      </c>
      <c r="V616" s="1" t="s">
        <v>41</v>
      </c>
      <c r="W616" s="1" t="s">
        <v>49</v>
      </c>
      <c r="X616" s="13"/>
      <c r="Y616" s="2">
        <f t="shared" ca="1" si="54"/>
        <v>138</v>
      </c>
      <c r="Z616" s="14">
        <v>1</v>
      </c>
      <c r="AA616" s="1" t="str">
        <f t="shared" ca="1" si="55"/>
        <v>VENCIDO</v>
      </c>
      <c r="AB616" s="1" t="str">
        <f t="shared" si="56"/>
        <v>TAAe+</v>
      </c>
      <c r="AC616" s="2" t="str">
        <f t="shared" si="59"/>
        <v xml:space="preserve"> CLEITON </v>
      </c>
      <c r="AD616" s="2">
        <f t="shared" si="57"/>
        <v>8</v>
      </c>
      <c r="AE616" s="2">
        <f t="shared" ca="1" si="58"/>
        <v>-189.9262716435187</v>
      </c>
      <c r="AF616" s="15"/>
    </row>
    <row r="617" spans="1:32">
      <c r="A617" s="1">
        <v>8854131</v>
      </c>
      <c r="B617" s="1" t="s">
        <v>62</v>
      </c>
      <c r="C617" t="s">
        <v>1181</v>
      </c>
      <c r="E617" s="2">
        <v>600000203000</v>
      </c>
      <c r="F617" s="1" t="s">
        <v>454</v>
      </c>
      <c r="G617" s="1" t="s">
        <v>53</v>
      </c>
      <c r="H617" s="1" t="s">
        <v>1084</v>
      </c>
      <c r="I617" s="1" t="s">
        <v>1085</v>
      </c>
      <c r="J617" s="1" t="s">
        <v>90</v>
      </c>
      <c r="K617" t="s">
        <v>457</v>
      </c>
      <c r="M617" s="1" t="s">
        <v>58</v>
      </c>
      <c r="N617" s="1">
        <v>0</v>
      </c>
      <c r="O617" s="1" t="s">
        <v>36</v>
      </c>
      <c r="P617" s="186">
        <v>44796.643958333334</v>
      </c>
      <c r="R617" s="1">
        <v>1</v>
      </c>
      <c r="T617" s="1" t="s">
        <v>157</v>
      </c>
      <c r="U617" s="186">
        <v>44831.75</v>
      </c>
      <c r="V617" s="1" t="s">
        <v>41</v>
      </c>
      <c r="W617" s="1" t="s">
        <v>49</v>
      </c>
      <c r="X617" s="13"/>
      <c r="Y617" s="2">
        <f t="shared" ca="1" si="54"/>
        <v>137</v>
      </c>
      <c r="Z617" s="14">
        <v>1</v>
      </c>
      <c r="AA617" s="1" t="str">
        <f t="shared" ca="1" si="55"/>
        <v>VENCIDO</v>
      </c>
      <c r="AB617" s="1" t="str">
        <f t="shared" si="56"/>
        <v>C-14</v>
      </c>
      <c r="AC617" s="2" t="str">
        <f t="shared" si="59"/>
        <v xml:space="preserve"> RINALDO </v>
      </c>
      <c r="AD617" s="2">
        <f t="shared" si="57"/>
        <v>5</v>
      </c>
      <c r="AE617" s="2">
        <f t="shared" ca="1" si="58"/>
        <v>-154.9262716435187</v>
      </c>
      <c r="AF617" s="15"/>
    </row>
    <row r="618" spans="1:32">
      <c r="A618" s="1">
        <v>8861317</v>
      </c>
      <c r="B618" s="1" t="s">
        <v>62</v>
      </c>
      <c r="C618" t="s">
        <v>3027</v>
      </c>
      <c r="E618" s="2">
        <v>2170000206001</v>
      </c>
      <c r="F618" s="1" t="s">
        <v>29</v>
      </c>
      <c r="G618" s="1" t="s">
        <v>53</v>
      </c>
      <c r="H618" s="1" t="s">
        <v>477</v>
      </c>
      <c r="I618" s="1" t="s">
        <v>478</v>
      </c>
      <c r="J618" s="1" t="s">
        <v>148</v>
      </c>
      <c r="K618" t="s">
        <v>34</v>
      </c>
      <c r="M618" s="1" t="s">
        <v>35</v>
      </c>
      <c r="N618" s="1">
        <v>42318949</v>
      </c>
      <c r="O618" s="1" t="s">
        <v>36</v>
      </c>
      <c r="P618" s="186">
        <v>44799.364745370367</v>
      </c>
      <c r="R618" s="1" t="s">
        <v>38</v>
      </c>
      <c r="T618" s="1" t="s">
        <v>74</v>
      </c>
      <c r="U618" s="186">
        <v>44841.75</v>
      </c>
      <c r="V618" s="1" t="s">
        <v>41</v>
      </c>
      <c r="W618" s="1" t="s">
        <v>49</v>
      </c>
      <c r="X618" s="13"/>
      <c r="Y618" s="2">
        <f t="shared" ca="1" si="54"/>
        <v>134</v>
      </c>
      <c r="Z618" s="14">
        <v>1</v>
      </c>
      <c r="AA618" s="1" t="str">
        <f t="shared" ca="1" si="55"/>
        <v>VENCIDO</v>
      </c>
      <c r="AB618" s="1" t="str">
        <f t="shared" si="56"/>
        <v>Dosa</v>
      </c>
      <c r="AC618" s="2" t="str">
        <f t="shared" si="59"/>
        <v xml:space="preserve"> RINALDO </v>
      </c>
      <c r="AD618" s="2">
        <f t="shared" si="57"/>
        <v>5</v>
      </c>
      <c r="AE618" s="2">
        <f t="shared" ca="1" si="58"/>
        <v>-144.9262716435187</v>
      </c>
      <c r="AF618" s="15"/>
    </row>
    <row r="619" spans="1:32" hidden="1">
      <c r="A619" s="1">
        <v>8870241</v>
      </c>
      <c r="B619" s="1" t="s">
        <v>62</v>
      </c>
      <c r="C619" t="s">
        <v>3028</v>
      </c>
      <c r="E619" s="2">
        <v>2830000203000</v>
      </c>
      <c r="F619" s="1" t="s">
        <v>454</v>
      </c>
      <c r="G619" s="1" t="s">
        <v>53</v>
      </c>
      <c r="H619" s="1" t="s">
        <v>448</v>
      </c>
      <c r="I619" s="1" t="s">
        <v>449</v>
      </c>
      <c r="J619" s="1" t="s">
        <v>33</v>
      </c>
      <c r="K619" t="s">
        <v>457</v>
      </c>
      <c r="M619" s="1" t="s">
        <v>58</v>
      </c>
      <c r="N619" s="1">
        <v>0</v>
      </c>
      <c r="O619" s="1" t="s">
        <v>36</v>
      </c>
      <c r="P619" s="186">
        <v>44803.491261574076</v>
      </c>
      <c r="R619" s="1">
        <v>1</v>
      </c>
      <c r="T619" s="1" t="s">
        <v>157</v>
      </c>
      <c r="U619" s="186">
        <v>44838.75</v>
      </c>
      <c r="V619" s="1" t="s">
        <v>41</v>
      </c>
      <c r="W619" s="1" t="s">
        <v>42</v>
      </c>
      <c r="X619" s="13"/>
      <c r="Y619" s="2">
        <f t="shared" ca="1" si="54"/>
        <v>132</v>
      </c>
      <c r="Z619" s="14">
        <v>1</v>
      </c>
      <c r="AA619" s="1" t="str">
        <f t="shared" ca="1" si="55"/>
        <v>VENCIDO</v>
      </c>
      <c r="AB619" s="1" t="str">
        <f t="shared" si="56"/>
        <v>C-14</v>
      </c>
      <c r="AC619" s="2" t="str">
        <f t="shared" si="59"/>
        <v xml:space="preserve"> ROSEMERE </v>
      </c>
      <c r="AD619" s="2">
        <f t="shared" si="57"/>
        <v>5</v>
      </c>
      <c r="AE619" s="2">
        <f t="shared" ca="1" si="58"/>
        <v>-147.9262716435187</v>
      </c>
      <c r="AF619" s="15"/>
    </row>
    <row r="620" spans="1:32" hidden="1">
      <c r="A620" s="1">
        <v>8873349</v>
      </c>
      <c r="B620" s="1" t="s">
        <v>62</v>
      </c>
      <c r="C620" t="s">
        <v>1186</v>
      </c>
      <c r="E620" s="2">
        <v>1902016236500</v>
      </c>
      <c r="F620" s="1" t="s">
        <v>64</v>
      </c>
      <c r="G620" s="1" t="s">
        <v>53</v>
      </c>
      <c r="H620" s="1" t="s">
        <v>159</v>
      </c>
      <c r="I620" s="1" t="s">
        <v>160</v>
      </c>
      <c r="J620" s="1" t="s">
        <v>46</v>
      </c>
      <c r="K620" t="s">
        <v>67</v>
      </c>
      <c r="M620" s="1" t="s">
        <v>35</v>
      </c>
      <c r="N620" s="1">
        <v>42318949</v>
      </c>
      <c r="O620" s="1" t="s">
        <v>36</v>
      </c>
      <c r="P620" s="186">
        <v>44804.567094907405</v>
      </c>
      <c r="R620" s="1">
        <v>1</v>
      </c>
      <c r="T620" s="1" t="s">
        <v>69</v>
      </c>
      <c r="U620" s="186">
        <v>44805.567094907405</v>
      </c>
      <c r="V620" s="1" t="s">
        <v>41</v>
      </c>
      <c r="W620" s="1" t="s">
        <v>49</v>
      </c>
      <c r="X620" s="13"/>
      <c r="Y620" s="2">
        <f t="shared" ca="1" si="54"/>
        <v>131</v>
      </c>
      <c r="Z620" s="14">
        <v>1</v>
      </c>
      <c r="AA620" s="1" t="str">
        <f t="shared" ca="1" si="55"/>
        <v>VENCIDO</v>
      </c>
      <c r="AB620" s="1" t="str">
        <f t="shared" si="56"/>
        <v>TAAe+</v>
      </c>
      <c r="AC620" s="2" t="str">
        <f t="shared" si="59"/>
        <v xml:space="preserve"> CLEITON </v>
      </c>
      <c r="AD620" s="2">
        <f t="shared" si="57"/>
        <v>8</v>
      </c>
      <c r="AE620" s="2">
        <f t="shared" ca="1" si="58"/>
        <v>-181.10917673611402</v>
      </c>
      <c r="AF620" s="15"/>
    </row>
    <row r="621" spans="1:32" hidden="1">
      <c r="A621" s="1">
        <v>8873348</v>
      </c>
      <c r="B621" s="1" t="s">
        <v>62</v>
      </c>
      <c r="C621" t="s">
        <v>1186</v>
      </c>
      <c r="E621" s="2">
        <v>1902016232600</v>
      </c>
      <c r="F621" s="1" t="s">
        <v>64</v>
      </c>
      <c r="G621" s="1" t="s">
        <v>53</v>
      </c>
      <c r="H621" s="1" t="s">
        <v>191</v>
      </c>
      <c r="I621" s="1" t="s">
        <v>192</v>
      </c>
      <c r="J621" s="1" t="s">
        <v>46</v>
      </c>
      <c r="K621" t="s">
        <v>67</v>
      </c>
      <c r="M621" s="1" t="s">
        <v>35</v>
      </c>
      <c r="N621" s="1">
        <v>42318949</v>
      </c>
      <c r="O621" s="1" t="s">
        <v>36</v>
      </c>
      <c r="P621" s="186">
        <v>44804.567094907405</v>
      </c>
      <c r="R621" s="1">
        <v>1</v>
      </c>
      <c r="T621" s="1" t="s">
        <v>69</v>
      </c>
      <c r="U621" s="186">
        <v>44805.567094907405</v>
      </c>
      <c r="V621" s="1" t="s">
        <v>41</v>
      </c>
      <c r="W621" s="1" t="s">
        <v>49</v>
      </c>
      <c r="X621" s="13"/>
      <c r="Y621" s="2">
        <f t="shared" ca="1" si="54"/>
        <v>131</v>
      </c>
      <c r="Z621" s="14">
        <v>1</v>
      </c>
      <c r="AA621" s="1" t="str">
        <f t="shared" ca="1" si="55"/>
        <v>VENCIDO</v>
      </c>
      <c r="AB621" s="1" t="str">
        <f t="shared" si="56"/>
        <v>TAAe+</v>
      </c>
      <c r="AC621" s="2" t="str">
        <f t="shared" si="59"/>
        <v xml:space="preserve"> CLEITON </v>
      </c>
      <c r="AD621" s="2">
        <f t="shared" si="57"/>
        <v>8</v>
      </c>
      <c r="AE621" s="2">
        <f t="shared" ca="1" si="58"/>
        <v>-181.10917673611402</v>
      </c>
      <c r="AF621" s="15"/>
    </row>
    <row r="622" spans="1:32">
      <c r="A622" s="1">
        <v>8873343</v>
      </c>
      <c r="B622" s="1" t="s">
        <v>62</v>
      </c>
      <c r="C622" t="s">
        <v>1186</v>
      </c>
      <c r="E622" s="2">
        <v>1902016136200</v>
      </c>
      <c r="F622" s="1" t="s">
        <v>64</v>
      </c>
      <c r="G622" s="1" t="s">
        <v>53</v>
      </c>
      <c r="H622" s="1" t="s">
        <v>268</v>
      </c>
      <c r="I622" s="1" t="s">
        <v>269</v>
      </c>
      <c r="J622" s="1" t="s">
        <v>90</v>
      </c>
      <c r="K622" t="s">
        <v>67</v>
      </c>
      <c r="M622" s="1" t="s">
        <v>35</v>
      </c>
      <c r="N622" s="1">
        <v>42318949</v>
      </c>
      <c r="O622" s="1" t="s">
        <v>36</v>
      </c>
      <c r="P622" s="186">
        <v>44804.567083333335</v>
      </c>
      <c r="R622" s="1">
        <v>1</v>
      </c>
      <c r="T622" s="1" t="s">
        <v>69</v>
      </c>
      <c r="U622" s="186">
        <v>44805.567083333335</v>
      </c>
      <c r="V622" s="1" t="s">
        <v>41</v>
      </c>
      <c r="W622" s="1" t="s">
        <v>49</v>
      </c>
      <c r="X622" s="13"/>
      <c r="Y622" s="2">
        <f t="shared" ca="1" si="54"/>
        <v>131</v>
      </c>
      <c r="Z622" s="14">
        <v>1</v>
      </c>
      <c r="AA622" s="1" t="str">
        <f t="shared" ca="1" si="55"/>
        <v>VENCIDO</v>
      </c>
      <c r="AB622" s="1" t="str">
        <f t="shared" si="56"/>
        <v>TAAe+</v>
      </c>
      <c r="AC622" s="2" t="str">
        <f t="shared" si="59"/>
        <v xml:space="preserve"> RINALDO </v>
      </c>
      <c r="AD622" s="2">
        <f t="shared" si="57"/>
        <v>8</v>
      </c>
      <c r="AE622" s="2">
        <f t="shared" ca="1" si="58"/>
        <v>-181.10918831018353</v>
      </c>
      <c r="AF622" s="15"/>
    </row>
    <row r="623" spans="1:32" hidden="1">
      <c r="A623" s="1">
        <v>8873342</v>
      </c>
      <c r="B623" s="1" t="s">
        <v>62</v>
      </c>
      <c r="C623" t="s">
        <v>1186</v>
      </c>
      <c r="E623" s="2">
        <v>1902016112800</v>
      </c>
      <c r="F623" s="1" t="s">
        <v>64</v>
      </c>
      <c r="G623" s="1" t="s">
        <v>53</v>
      </c>
      <c r="H623" s="1" t="s">
        <v>1191</v>
      </c>
      <c r="I623" s="1" t="s">
        <v>1192</v>
      </c>
      <c r="J623" s="1" t="s">
        <v>33</v>
      </c>
      <c r="K623" t="s">
        <v>67</v>
      </c>
      <c r="M623" s="1" t="s">
        <v>35</v>
      </c>
      <c r="N623" s="1">
        <v>42318949</v>
      </c>
      <c r="O623" s="1" t="s">
        <v>36</v>
      </c>
      <c r="P623" s="186">
        <v>44804.567083333335</v>
      </c>
      <c r="R623" s="1">
        <v>1</v>
      </c>
      <c r="T623" s="1" t="s">
        <v>69</v>
      </c>
      <c r="U623" s="186">
        <v>44805.567083333335</v>
      </c>
      <c r="V623" s="1" t="s">
        <v>41</v>
      </c>
      <c r="W623" s="1" t="s">
        <v>49</v>
      </c>
      <c r="X623" s="13"/>
      <c r="Y623" s="2">
        <f t="shared" ca="1" si="54"/>
        <v>131</v>
      </c>
      <c r="Z623" s="14">
        <v>1</v>
      </c>
      <c r="AA623" s="1" t="str">
        <f t="shared" ca="1" si="55"/>
        <v>VENCIDO</v>
      </c>
      <c r="AB623" s="1" t="str">
        <f t="shared" si="56"/>
        <v>TAAe+</v>
      </c>
      <c r="AC623" s="2" t="str">
        <f t="shared" si="59"/>
        <v xml:space="preserve"> ROSEMERE </v>
      </c>
      <c r="AD623" s="2">
        <f t="shared" si="57"/>
        <v>8</v>
      </c>
      <c r="AE623" s="2">
        <f t="shared" ca="1" si="58"/>
        <v>-181.10918831018353</v>
      </c>
      <c r="AF623" s="15"/>
    </row>
    <row r="624" spans="1:32">
      <c r="A624" s="1">
        <v>8873335</v>
      </c>
      <c r="B624" s="1" t="s">
        <v>62</v>
      </c>
      <c r="C624" t="s">
        <v>1186</v>
      </c>
      <c r="E624" s="2">
        <v>1902016024600</v>
      </c>
      <c r="F624" s="1" t="s">
        <v>64</v>
      </c>
      <c r="G624" s="1" t="s">
        <v>53</v>
      </c>
      <c r="H624" s="1" t="s">
        <v>1193</v>
      </c>
      <c r="I624" s="1" t="s">
        <v>1194</v>
      </c>
      <c r="J624" s="1" t="s">
        <v>85</v>
      </c>
      <c r="K624" t="s">
        <v>67</v>
      </c>
      <c r="M624" s="1" t="s">
        <v>35</v>
      </c>
      <c r="N624" s="1">
        <v>42318949</v>
      </c>
      <c r="O624" s="1" t="s">
        <v>36</v>
      </c>
      <c r="P624" s="186">
        <v>44804.567071759258</v>
      </c>
      <c r="R624" s="1">
        <v>1</v>
      </c>
      <c r="T624" s="1" t="s">
        <v>69</v>
      </c>
      <c r="U624" s="186">
        <v>44805.567071759258</v>
      </c>
      <c r="V624" s="1" t="s">
        <v>41</v>
      </c>
      <c r="W624" s="1" t="s">
        <v>49</v>
      </c>
      <c r="X624" s="13"/>
      <c r="Y624" s="2">
        <f t="shared" ca="1" si="54"/>
        <v>131</v>
      </c>
      <c r="Z624" s="14">
        <v>1</v>
      </c>
      <c r="AA624" s="1" t="str">
        <f t="shared" ca="1" si="55"/>
        <v>VENCIDO</v>
      </c>
      <c r="AB624" s="1" t="str">
        <f t="shared" si="56"/>
        <v>TAAe+</v>
      </c>
      <c r="AC624" s="2" t="str">
        <f t="shared" si="59"/>
        <v xml:space="preserve"> RINALDO </v>
      </c>
      <c r="AD624" s="2">
        <f t="shared" si="57"/>
        <v>8</v>
      </c>
      <c r="AE624" s="2">
        <f t="shared" ca="1" si="58"/>
        <v>-181.10919988426031</v>
      </c>
      <c r="AF624" s="15"/>
    </row>
    <row r="625" spans="1:32" hidden="1">
      <c r="A625" s="1">
        <v>8879008</v>
      </c>
      <c r="B625" s="1" t="s">
        <v>62</v>
      </c>
      <c r="C625" t="s">
        <v>1195</v>
      </c>
      <c r="E625" s="2">
        <v>2365000203000</v>
      </c>
      <c r="F625" s="1" t="s">
        <v>454</v>
      </c>
      <c r="G625" s="1" t="s">
        <v>53</v>
      </c>
      <c r="H625" s="1" t="s">
        <v>159</v>
      </c>
      <c r="I625" s="1" t="s">
        <v>160</v>
      </c>
      <c r="J625" s="1" t="s">
        <v>46</v>
      </c>
      <c r="K625" t="s">
        <v>457</v>
      </c>
      <c r="M625" s="1" t="s">
        <v>58</v>
      </c>
      <c r="N625" s="1">
        <v>0</v>
      </c>
      <c r="O625" s="1" t="s">
        <v>36</v>
      </c>
      <c r="P625" s="186">
        <v>44806.652106481481</v>
      </c>
      <c r="R625" s="1">
        <v>1</v>
      </c>
      <c r="T625" s="1" t="s">
        <v>157</v>
      </c>
      <c r="U625" s="186">
        <v>44841.75</v>
      </c>
      <c r="V625" s="1" t="s">
        <v>41</v>
      </c>
      <c r="W625" s="1" t="s">
        <v>49</v>
      </c>
      <c r="X625" s="13"/>
      <c r="Y625" s="2">
        <f t="shared" ca="1" si="54"/>
        <v>129</v>
      </c>
      <c r="Z625" s="14">
        <v>1</v>
      </c>
      <c r="AA625" s="1" t="str">
        <f t="shared" ca="1" si="55"/>
        <v>VENCIDO</v>
      </c>
      <c r="AB625" s="1" t="str">
        <f t="shared" si="56"/>
        <v>C-14</v>
      </c>
      <c r="AC625" s="2" t="str">
        <f t="shared" si="59"/>
        <v xml:space="preserve"> CLEITON </v>
      </c>
      <c r="AD625" s="2">
        <f t="shared" si="57"/>
        <v>5</v>
      </c>
      <c r="AE625" s="2">
        <f t="shared" ca="1" si="58"/>
        <v>-144.9262716435187</v>
      </c>
      <c r="AF625" s="15"/>
    </row>
    <row r="626" spans="1:32" hidden="1">
      <c r="A626" s="1">
        <v>8878112</v>
      </c>
      <c r="B626" s="1" t="s">
        <v>62</v>
      </c>
      <c r="C626" t="s">
        <v>1198</v>
      </c>
      <c r="E626" s="2">
        <v>3108000203000</v>
      </c>
      <c r="F626" s="1" t="s">
        <v>454</v>
      </c>
      <c r="G626" s="1" t="s">
        <v>53</v>
      </c>
      <c r="H626" s="1" t="s">
        <v>325</v>
      </c>
      <c r="I626" s="1" t="s">
        <v>326</v>
      </c>
      <c r="J626" s="1" t="s">
        <v>46</v>
      </c>
      <c r="K626" t="s">
        <v>457</v>
      </c>
      <c r="M626" s="1" t="s">
        <v>58</v>
      </c>
      <c r="N626" s="1">
        <v>0</v>
      </c>
      <c r="O626" s="1" t="s">
        <v>36</v>
      </c>
      <c r="P626" s="186">
        <v>44806.460034722222</v>
      </c>
      <c r="R626" s="1">
        <v>1</v>
      </c>
      <c r="T626" s="1" t="s">
        <v>157</v>
      </c>
      <c r="U626" s="186">
        <v>44841.75</v>
      </c>
      <c r="V626" s="1" t="s">
        <v>41</v>
      </c>
      <c r="W626" s="1" t="s">
        <v>49</v>
      </c>
      <c r="X626" s="13"/>
      <c r="Y626" s="2">
        <f t="shared" ca="1" si="54"/>
        <v>129</v>
      </c>
      <c r="Z626" s="14">
        <v>1</v>
      </c>
      <c r="AA626" s="1" t="str">
        <f t="shared" ca="1" si="55"/>
        <v>VENCIDO</v>
      </c>
      <c r="AB626" s="1" t="str">
        <f t="shared" si="56"/>
        <v>C-14</v>
      </c>
      <c r="AC626" s="2" t="str">
        <f t="shared" si="59"/>
        <v xml:space="preserve"> CLEITON </v>
      </c>
      <c r="AD626" s="2">
        <f t="shared" si="57"/>
        <v>5</v>
      </c>
      <c r="AE626" s="2">
        <f t="shared" ca="1" si="58"/>
        <v>-144.9262716435187</v>
      </c>
      <c r="AF626" s="15"/>
    </row>
    <row r="627" spans="1:32">
      <c r="A627" s="1">
        <v>8894073</v>
      </c>
      <c r="B627" s="1" t="s">
        <v>62</v>
      </c>
      <c r="C627" t="s">
        <v>1200</v>
      </c>
      <c r="E627" s="2">
        <v>870000206001</v>
      </c>
      <c r="F627" s="1" t="s">
        <v>29</v>
      </c>
      <c r="G627" s="1" t="s">
        <v>53</v>
      </c>
      <c r="H627" s="1" t="s">
        <v>183</v>
      </c>
      <c r="I627" s="1" t="s">
        <v>184</v>
      </c>
      <c r="J627" s="1" t="s">
        <v>90</v>
      </c>
      <c r="K627" t="s">
        <v>34</v>
      </c>
      <c r="M627" s="1" t="s">
        <v>35</v>
      </c>
      <c r="N627" s="1">
        <v>42318949</v>
      </c>
      <c r="O627" s="1" t="s">
        <v>36</v>
      </c>
      <c r="P627" s="186">
        <v>44813.574618055558</v>
      </c>
      <c r="R627" s="1" t="s">
        <v>38</v>
      </c>
      <c r="T627" s="1" t="s">
        <v>74</v>
      </c>
      <c r="U627" s="186">
        <v>44855.75</v>
      </c>
      <c r="V627" s="1" t="s">
        <v>41</v>
      </c>
      <c r="W627" s="1" t="s">
        <v>49</v>
      </c>
      <c r="X627" s="13"/>
      <c r="Y627" s="2">
        <f t="shared" ca="1" si="54"/>
        <v>124</v>
      </c>
      <c r="Z627" s="14">
        <v>1</v>
      </c>
      <c r="AA627" s="1" t="str">
        <f t="shared" ca="1" si="55"/>
        <v>VENCIDO</v>
      </c>
      <c r="AB627" s="1" t="str">
        <f t="shared" si="56"/>
        <v>Dosa</v>
      </c>
      <c r="AC627" s="2" t="str">
        <f t="shared" si="59"/>
        <v xml:space="preserve"> RINALDO </v>
      </c>
      <c r="AD627" s="2">
        <f t="shared" si="57"/>
        <v>5</v>
      </c>
      <c r="AE627" s="2">
        <f t="shared" ca="1" si="58"/>
        <v>-130.9262716435187</v>
      </c>
      <c r="AF627" s="15"/>
    </row>
    <row r="628" spans="1:32" hidden="1">
      <c r="A628" s="1">
        <v>8894047</v>
      </c>
      <c r="B628" s="1" t="s">
        <v>62</v>
      </c>
      <c r="C628" t="s">
        <v>1203</v>
      </c>
      <c r="E628" s="2">
        <v>1011000206001</v>
      </c>
      <c r="F628" s="1" t="s">
        <v>29</v>
      </c>
      <c r="G628" s="1" t="s">
        <v>53</v>
      </c>
      <c r="H628" s="1" t="s">
        <v>272</v>
      </c>
      <c r="I628" s="1" t="s">
        <v>273</v>
      </c>
      <c r="J628" s="1" t="s">
        <v>33</v>
      </c>
      <c r="K628" t="s">
        <v>34</v>
      </c>
      <c r="M628" s="1" t="s">
        <v>35</v>
      </c>
      <c r="N628" s="1">
        <v>42318949</v>
      </c>
      <c r="O628" s="1" t="s">
        <v>36</v>
      </c>
      <c r="P628" s="186">
        <v>44813.573217592595</v>
      </c>
      <c r="R628" s="1" t="s">
        <v>38</v>
      </c>
      <c r="T628" s="1" t="s">
        <v>74</v>
      </c>
      <c r="U628" s="186">
        <v>44855.75</v>
      </c>
      <c r="V628" s="1" t="s">
        <v>41</v>
      </c>
      <c r="W628" s="1" t="s">
        <v>49</v>
      </c>
      <c r="X628" s="13"/>
      <c r="Y628" s="2">
        <f t="shared" ca="1" si="54"/>
        <v>124</v>
      </c>
      <c r="Z628" s="14">
        <v>1</v>
      </c>
      <c r="AA628" s="1" t="str">
        <f t="shared" ca="1" si="55"/>
        <v>VENCIDO</v>
      </c>
      <c r="AB628" s="1" t="str">
        <f t="shared" si="56"/>
        <v>Dosa</v>
      </c>
      <c r="AC628" s="2" t="str">
        <f t="shared" si="59"/>
        <v xml:space="preserve"> ROSEMERE </v>
      </c>
      <c r="AD628" s="2">
        <f t="shared" si="57"/>
        <v>5</v>
      </c>
      <c r="AE628" s="2">
        <f t="shared" ca="1" si="58"/>
        <v>-130.9262716435187</v>
      </c>
      <c r="AF628" s="15"/>
    </row>
    <row r="629" spans="1:32" hidden="1">
      <c r="A629" s="1">
        <v>8898899</v>
      </c>
      <c r="B629" s="1" t="s">
        <v>226</v>
      </c>
      <c r="C629" t="s">
        <v>1205</v>
      </c>
      <c r="E629" s="2">
        <v>69000206001</v>
      </c>
      <c r="F629" s="1" t="s">
        <v>29</v>
      </c>
      <c r="G629" s="1" t="s">
        <v>53</v>
      </c>
      <c r="H629" s="1" t="s">
        <v>1206</v>
      </c>
      <c r="I629" s="1" t="s">
        <v>1207</v>
      </c>
      <c r="J629" s="1" t="s">
        <v>33</v>
      </c>
      <c r="K629" t="s">
        <v>34</v>
      </c>
      <c r="M629" s="1" t="s">
        <v>35</v>
      </c>
      <c r="N629" s="1">
        <v>42318949</v>
      </c>
      <c r="O629" s="1" t="s">
        <v>105</v>
      </c>
      <c r="P629" s="186">
        <v>44816.473333333335</v>
      </c>
      <c r="R629" s="1" t="s">
        <v>38</v>
      </c>
      <c r="T629" s="1" t="s">
        <v>74</v>
      </c>
      <c r="U629" s="186">
        <v>44858.75</v>
      </c>
      <c r="V629" s="1" t="s">
        <v>41</v>
      </c>
      <c r="W629" s="1" t="s">
        <v>42</v>
      </c>
      <c r="X629" s="13"/>
      <c r="Y629" s="2">
        <f t="shared" ca="1" si="54"/>
        <v>123</v>
      </c>
      <c r="Z629" s="14">
        <v>1</v>
      </c>
      <c r="AA629" s="1" t="str">
        <f t="shared" ca="1" si="55"/>
        <v>VENCIDO</v>
      </c>
      <c r="AB629" s="1" t="str">
        <f t="shared" si="56"/>
        <v>Dosa</v>
      </c>
      <c r="AC629" s="2" t="str">
        <f t="shared" si="59"/>
        <v xml:space="preserve"> ROSEMERE </v>
      </c>
      <c r="AD629" s="2">
        <f t="shared" si="57"/>
        <v>5</v>
      </c>
      <c r="AE629" s="2">
        <f t="shared" ca="1" si="58"/>
        <v>-127.9262716435187</v>
      </c>
      <c r="AF629" s="15"/>
    </row>
    <row r="630" spans="1:32">
      <c r="A630" s="1">
        <v>8903976</v>
      </c>
      <c r="B630" s="1" t="s">
        <v>81</v>
      </c>
      <c r="C630" t="s">
        <v>1210</v>
      </c>
      <c r="E630" s="2">
        <v>7419141891975</v>
      </c>
      <c r="F630" s="1" t="s">
        <v>128</v>
      </c>
      <c r="G630" s="1" t="s">
        <v>53</v>
      </c>
      <c r="H630" s="1" t="s">
        <v>519</v>
      </c>
      <c r="I630" s="1" t="s">
        <v>520</v>
      </c>
      <c r="J630" s="1" t="s">
        <v>90</v>
      </c>
      <c r="K630" t="s">
        <v>129</v>
      </c>
      <c r="M630" s="1" t="s">
        <v>58</v>
      </c>
      <c r="N630" s="1">
        <v>0</v>
      </c>
      <c r="O630" s="1" t="s">
        <v>105</v>
      </c>
      <c r="P630" s="186">
        <v>44817.729791666665</v>
      </c>
      <c r="R630" s="1">
        <v>14</v>
      </c>
      <c r="T630" s="1" t="s">
        <v>238</v>
      </c>
      <c r="U630" s="186">
        <v>44818.730555555558</v>
      </c>
      <c r="V630" s="1" t="s">
        <v>41</v>
      </c>
      <c r="W630" s="1" t="s">
        <v>49</v>
      </c>
      <c r="X630" s="13"/>
      <c r="Y630" s="2">
        <f t="shared" ca="1" si="54"/>
        <v>122</v>
      </c>
      <c r="Z630" s="14">
        <v>1</v>
      </c>
      <c r="AA630" s="1" t="str">
        <f t="shared" ca="1" si="55"/>
        <v>VENCIDO</v>
      </c>
      <c r="AB630" s="1" t="str">
        <f t="shared" si="56"/>
        <v>TAAe+</v>
      </c>
      <c r="AC630" s="2" t="str">
        <f t="shared" si="59"/>
        <v xml:space="preserve"> RINALDO </v>
      </c>
      <c r="AD630" s="2">
        <f t="shared" si="57"/>
        <v>8</v>
      </c>
      <c r="AE630" s="2">
        <f t="shared" ca="1" si="58"/>
        <v>-167.94571608796105</v>
      </c>
      <c r="AF630" s="15"/>
    </row>
    <row r="631" spans="1:32">
      <c r="A631" s="1">
        <v>8903971</v>
      </c>
      <c r="B631" s="1" t="s">
        <v>81</v>
      </c>
      <c r="C631" t="s">
        <v>1210</v>
      </c>
      <c r="E631" s="2">
        <v>7417202020515</v>
      </c>
      <c r="F631" s="1" t="s">
        <v>1213</v>
      </c>
      <c r="G631" s="1" t="s">
        <v>53</v>
      </c>
      <c r="H631" s="1" t="s">
        <v>519</v>
      </c>
      <c r="I631" s="1" t="s">
        <v>520</v>
      </c>
      <c r="J631" s="1" t="s">
        <v>90</v>
      </c>
      <c r="K631" t="s">
        <v>1214</v>
      </c>
      <c r="M631" s="1" t="s">
        <v>58</v>
      </c>
      <c r="N631" s="1">
        <v>0</v>
      </c>
      <c r="O631" s="1" t="s">
        <v>105</v>
      </c>
      <c r="P631" s="186">
        <v>44817.725960648146</v>
      </c>
      <c r="R631" s="1">
        <v>14</v>
      </c>
      <c r="T631" s="1" t="s">
        <v>238</v>
      </c>
      <c r="U631" s="186">
        <v>44818.727361111109</v>
      </c>
      <c r="V631" s="1" t="s">
        <v>41</v>
      </c>
      <c r="W631" s="1" t="s">
        <v>49</v>
      </c>
      <c r="X631" s="13"/>
      <c r="Y631" s="2">
        <f t="shared" ca="1" si="54"/>
        <v>122</v>
      </c>
      <c r="Z631" s="14">
        <v>1</v>
      </c>
      <c r="AA631" s="1" t="str">
        <f t="shared" ca="1" si="55"/>
        <v>VENCIDO</v>
      </c>
      <c r="AB631" s="1" t="str">
        <f t="shared" si="56"/>
        <v>TAAe+</v>
      </c>
      <c r="AC631" s="2" t="str">
        <f t="shared" si="59"/>
        <v xml:space="preserve"> RINALDO </v>
      </c>
      <c r="AD631" s="2">
        <f t="shared" si="57"/>
        <v>8</v>
      </c>
      <c r="AE631" s="2">
        <f t="shared" ca="1" si="58"/>
        <v>-167.94891053241008</v>
      </c>
      <c r="AF631" s="15"/>
    </row>
    <row r="632" spans="1:32">
      <c r="A632" s="1">
        <v>8903953</v>
      </c>
      <c r="B632" s="1" t="s">
        <v>81</v>
      </c>
      <c r="C632" t="s">
        <v>1210</v>
      </c>
      <c r="E632" s="2">
        <v>7417161483328</v>
      </c>
      <c r="F632" s="1" t="s">
        <v>1217</v>
      </c>
      <c r="G632" s="1" t="s">
        <v>53</v>
      </c>
      <c r="H632" s="1" t="s">
        <v>519</v>
      </c>
      <c r="I632" s="1" t="s">
        <v>520</v>
      </c>
      <c r="J632" s="1" t="s">
        <v>90</v>
      </c>
      <c r="K632" t="s">
        <v>1218</v>
      </c>
      <c r="M632" s="1" t="s">
        <v>58</v>
      </c>
      <c r="N632" s="1">
        <v>0</v>
      </c>
      <c r="O632" s="1" t="s">
        <v>105</v>
      </c>
      <c r="P632" s="186">
        <v>44817.722349537034</v>
      </c>
      <c r="R632" s="1">
        <v>14</v>
      </c>
      <c r="T632" s="1" t="s">
        <v>238</v>
      </c>
      <c r="U632" s="186">
        <v>44818.72315972222</v>
      </c>
      <c r="V632" s="1" t="s">
        <v>41</v>
      </c>
      <c r="W632" s="1" t="s">
        <v>49</v>
      </c>
      <c r="X632" s="13"/>
      <c r="Y632" s="2">
        <f t="shared" ca="1" si="54"/>
        <v>122</v>
      </c>
      <c r="Z632" s="14">
        <v>1</v>
      </c>
      <c r="AA632" s="1" t="str">
        <f t="shared" ca="1" si="55"/>
        <v>VENCIDO</v>
      </c>
      <c r="AB632" s="1" t="str">
        <f t="shared" si="56"/>
        <v>TAAe+</v>
      </c>
      <c r="AC632" s="2" t="str">
        <f t="shared" si="59"/>
        <v xml:space="preserve"> RINALDO </v>
      </c>
      <c r="AD632" s="2">
        <f t="shared" si="57"/>
        <v>8</v>
      </c>
      <c r="AE632" s="2">
        <f t="shared" ca="1" si="58"/>
        <v>-167.95311192129884</v>
      </c>
      <c r="AF632" s="15"/>
    </row>
    <row r="633" spans="1:32">
      <c r="A633" s="1">
        <v>8903941</v>
      </c>
      <c r="B633" s="1" t="s">
        <v>81</v>
      </c>
      <c r="C633" t="s">
        <v>1221</v>
      </c>
      <c r="E633" s="2">
        <v>7419143323230</v>
      </c>
      <c r="F633" s="1" t="s">
        <v>1222</v>
      </c>
      <c r="G633" s="1" t="s">
        <v>53</v>
      </c>
      <c r="H633" s="1" t="s">
        <v>519</v>
      </c>
      <c r="I633" s="1" t="s">
        <v>520</v>
      </c>
      <c r="J633" s="1" t="s">
        <v>90</v>
      </c>
      <c r="K633" t="s">
        <v>1223</v>
      </c>
      <c r="M633" s="1" t="s">
        <v>58</v>
      </c>
      <c r="N633" s="1">
        <v>0</v>
      </c>
      <c r="O633" s="1" t="s">
        <v>105</v>
      </c>
      <c r="P633" s="186">
        <v>44817.717372685183</v>
      </c>
      <c r="R633" s="1">
        <v>14</v>
      </c>
      <c r="T633" s="1" t="s">
        <v>238</v>
      </c>
      <c r="U633" s="186">
        <v>44818.718124999999</v>
      </c>
      <c r="V633" s="1" t="s">
        <v>41</v>
      </c>
      <c r="W633" s="1" t="s">
        <v>49</v>
      </c>
      <c r="X633" s="13"/>
      <c r="Y633" s="2">
        <f t="shared" ca="1" si="54"/>
        <v>122</v>
      </c>
      <c r="Z633" s="14">
        <v>1</v>
      </c>
      <c r="AA633" s="1" t="str">
        <f t="shared" ca="1" si="55"/>
        <v>VENCIDO</v>
      </c>
      <c r="AB633" s="1" t="str">
        <f t="shared" si="56"/>
        <v>TAAe+</v>
      </c>
      <c r="AC633" s="2" t="str">
        <f t="shared" si="59"/>
        <v xml:space="preserve"> RINALDO </v>
      </c>
      <c r="AD633" s="2">
        <f t="shared" si="57"/>
        <v>8</v>
      </c>
      <c r="AE633" s="2">
        <f t="shared" ca="1" si="58"/>
        <v>-167.95814664351929</v>
      </c>
      <c r="AF633" s="15"/>
    </row>
    <row r="634" spans="1:32">
      <c r="A634" s="1">
        <v>8907264</v>
      </c>
      <c r="B634" s="1" t="s">
        <v>62</v>
      </c>
      <c r="C634" t="s">
        <v>3029</v>
      </c>
      <c r="E634" s="2">
        <v>870000203000</v>
      </c>
      <c r="F634" s="1" t="s">
        <v>454</v>
      </c>
      <c r="G634" s="1" t="s">
        <v>53</v>
      </c>
      <c r="H634" s="1" t="s">
        <v>183</v>
      </c>
      <c r="I634" s="1" t="s">
        <v>184</v>
      </c>
      <c r="J634" s="1" t="s">
        <v>90</v>
      </c>
      <c r="K634" t="s">
        <v>457</v>
      </c>
      <c r="M634" s="1" t="s">
        <v>58</v>
      </c>
      <c r="N634" s="1">
        <v>0</v>
      </c>
      <c r="O634" s="1" t="s">
        <v>36</v>
      </c>
      <c r="P634" s="186">
        <v>44819.450868055559</v>
      </c>
      <c r="R634" s="1">
        <v>1</v>
      </c>
      <c r="T634" s="1" t="s">
        <v>157</v>
      </c>
      <c r="U634" s="186">
        <v>44854.75</v>
      </c>
      <c r="V634" s="1" t="s">
        <v>41</v>
      </c>
      <c r="W634" s="1" t="s">
        <v>49</v>
      </c>
      <c r="X634" s="13"/>
      <c r="Y634" s="2">
        <f t="shared" ca="1" si="54"/>
        <v>120</v>
      </c>
      <c r="Z634" s="14">
        <v>1</v>
      </c>
      <c r="AA634" s="1" t="str">
        <f t="shared" ca="1" si="55"/>
        <v>VENCIDO</v>
      </c>
      <c r="AB634" s="1" t="str">
        <f t="shared" si="56"/>
        <v>C-14</v>
      </c>
      <c r="AC634" s="2" t="str">
        <f t="shared" si="59"/>
        <v xml:space="preserve"> RINALDO </v>
      </c>
      <c r="AD634" s="2">
        <f t="shared" si="57"/>
        <v>5</v>
      </c>
      <c r="AE634" s="2">
        <f t="shared" ca="1" si="58"/>
        <v>-131.9262716435187</v>
      </c>
      <c r="AF634" s="15"/>
    </row>
    <row r="635" spans="1:32" hidden="1">
      <c r="A635" s="1">
        <v>8914733</v>
      </c>
      <c r="B635" s="1" t="s">
        <v>62</v>
      </c>
      <c r="C635" t="s">
        <v>1203</v>
      </c>
      <c r="E635" s="2">
        <v>1924000206001</v>
      </c>
      <c r="F635" s="1" t="s">
        <v>29</v>
      </c>
      <c r="G635" s="1" t="s">
        <v>53</v>
      </c>
      <c r="H635" s="1" t="s">
        <v>568</v>
      </c>
      <c r="I635" s="1" t="s">
        <v>569</v>
      </c>
      <c r="J635" s="1" t="s">
        <v>33</v>
      </c>
      <c r="K635" t="s">
        <v>34</v>
      </c>
      <c r="M635" s="1" t="s">
        <v>35</v>
      </c>
      <c r="N635" s="1">
        <v>42318949</v>
      </c>
      <c r="O635" s="1" t="s">
        <v>36</v>
      </c>
      <c r="P635" s="186">
        <v>44823.434999999998</v>
      </c>
      <c r="R635" s="1" t="s">
        <v>38</v>
      </c>
      <c r="T635" s="1" t="s">
        <v>74</v>
      </c>
      <c r="U635" s="186">
        <v>44865.75</v>
      </c>
      <c r="V635" s="1" t="s">
        <v>41</v>
      </c>
      <c r="W635" s="1" t="s">
        <v>49</v>
      </c>
      <c r="X635" s="13"/>
      <c r="Y635" s="2">
        <f t="shared" ca="1" si="54"/>
        <v>118</v>
      </c>
      <c r="Z635" s="14">
        <v>1</v>
      </c>
      <c r="AA635" s="1" t="str">
        <f t="shared" ca="1" si="55"/>
        <v>VENCIDO</v>
      </c>
      <c r="AB635" s="1" t="str">
        <f t="shared" si="56"/>
        <v>Dosa</v>
      </c>
      <c r="AC635" s="2" t="str">
        <f t="shared" si="59"/>
        <v xml:space="preserve"> ROSEMERE </v>
      </c>
      <c r="AD635" s="2">
        <f t="shared" si="57"/>
        <v>5</v>
      </c>
      <c r="AE635" s="2">
        <f t="shared" ca="1" si="58"/>
        <v>-120.9262716435187</v>
      </c>
      <c r="AF635" s="15"/>
    </row>
    <row r="636" spans="1:32">
      <c r="A636" s="1">
        <v>8937635</v>
      </c>
      <c r="B636" s="1" t="s">
        <v>62</v>
      </c>
      <c r="C636" t="s">
        <v>1231</v>
      </c>
      <c r="E636" s="2">
        <v>1764000203000</v>
      </c>
      <c r="F636" s="1" t="s">
        <v>454</v>
      </c>
      <c r="G636" s="1" t="s">
        <v>53</v>
      </c>
      <c r="H636" s="1" t="s">
        <v>722</v>
      </c>
      <c r="I636" s="1" t="s">
        <v>723</v>
      </c>
      <c r="J636" s="1" t="s">
        <v>90</v>
      </c>
      <c r="K636" t="s">
        <v>457</v>
      </c>
      <c r="M636" s="1" t="s">
        <v>58</v>
      </c>
      <c r="N636" s="1">
        <v>0</v>
      </c>
      <c r="O636" s="1" t="s">
        <v>105</v>
      </c>
      <c r="P636" s="186">
        <v>44833.385520833333</v>
      </c>
      <c r="R636" s="1">
        <v>1</v>
      </c>
      <c r="T636" s="1" t="s">
        <v>157</v>
      </c>
      <c r="U636" s="186">
        <v>44869.75</v>
      </c>
      <c r="V636" s="1" t="s">
        <v>41</v>
      </c>
      <c r="W636" s="1" t="s">
        <v>49</v>
      </c>
      <c r="X636" s="13"/>
      <c r="Y636" s="2">
        <f t="shared" ca="1" si="54"/>
        <v>110</v>
      </c>
      <c r="Z636" s="14">
        <v>1</v>
      </c>
      <c r="AA636" s="1" t="str">
        <f t="shared" ca="1" si="55"/>
        <v>VENCIDO</v>
      </c>
      <c r="AB636" s="1" t="str">
        <f t="shared" si="56"/>
        <v>C-14</v>
      </c>
      <c r="AC636" s="2" t="str">
        <f t="shared" si="59"/>
        <v xml:space="preserve"> RINALDO </v>
      </c>
      <c r="AD636" s="2">
        <f t="shared" si="57"/>
        <v>5</v>
      </c>
      <c r="AE636" s="2">
        <f t="shared" ca="1" si="58"/>
        <v>-116.9262716435187</v>
      </c>
      <c r="AF636" s="15"/>
    </row>
    <row r="637" spans="1:32" hidden="1">
      <c r="A637" s="1">
        <v>8948448</v>
      </c>
      <c r="B637" s="1" t="s">
        <v>101</v>
      </c>
      <c r="C637" t="s">
        <v>643</v>
      </c>
      <c r="D637" s="2">
        <v>220161643</v>
      </c>
      <c r="E637" s="2">
        <v>4076001400030</v>
      </c>
      <c r="F637" s="1" t="s">
        <v>647</v>
      </c>
      <c r="G637" s="1" t="s">
        <v>53</v>
      </c>
      <c r="H637" s="1" t="s">
        <v>426</v>
      </c>
      <c r="I637" s="1" t="s">
        <v>427</v>
      </c>
      <c r="J637" s="1" t="s">
        <v>79</v>
      </c>
      <c r="K637" t="s">
        <v>650</v>
      </c>
      <c r="M637" s="1" t="s">
        <v>58</v>
      </c>
      <c r="N637" s="1">
        <v>0</v>
      </c>
      <c r="O637" s="1" t="s">
        <v>105</v>
      </c>
      <c r="P637" s="186">
        <v>44837.261319444442</v>
      </c>
      <c r="R637" s="1">
        <v>4</v>
      </c>
      <c r="T637" s="1" t="s">
        <v>646</v>
      </c>
      <c r="U637" s="186">
        <v>44838.261319444442</v>
      </c>
      <c r="V637" s="1" t="s">
        <v>41</v>
      </c>
      <c r="W637" s="1" t="s">
        <v>49</v>
      </c>
      <c r="X637" s="13"/>
      <c r="Y637" s="2">
        <f t="shared" ca="1" si="54"/>
        <v>108</v>
      </c>
      <c r="Z637" s="14">
        <v>1</v>
      </c>
      <c r="AA637" s="1" t="str">
        <f t="shared" ca="1" si="55"/>
        <v>VENCIDO</v>
      </c>
      <c r="AB637" s="1" t="str">
        <f t="shared" si="56"/>
        <v>C-14</v>
      </c>
      <c r="AC637" s="2" t="str">
        <f t="shared" si="59"/>
        <v xml:space="preserve"> ROSEMERE </v>
      </c>
      <c r="AD637" s="2">
        <f t="shared" si="57"/>
        <v>15</v>
      </c>
      <c r="AE637" s="2">
        <f t="shared" ca="1" si="58"/>
        <v>-148.41495219907665</v>
      </c>
      <c r="AF637" s="15"/>
    </row>
    <row r="638" spans="1:32" hidden="1">
      <c r="A638" s="1">
        <v>8947938</v>
      </c>
      <c r="B638" s="1" t="s">
        <v>101</v>
      </c>
      <c r="C638" t="s">
        <v>643</v>
      </c>
      <c r="D638" s="2">
        <v>220160524</v>
      </c>
      <c r="E638" s="2">
        <v>4076001400010</v>
      </c>
      <c r="F638" s="1" t="s">
        <v>936</v>
      </c>
      <c r="G638" s="1" t="s">
        <v>53</v>
      </c>
      <c r="H638" s="1" t="s">
        <v>426</v>
      </c>
      <c r="I638" s="1" t="s">
        <v>427</v>
      </c>
      <c r="J638" s="1" t="s">
        <v>79</v>
      </c>
      <c r="K638" t="s">
        <v>937</v>
      </c>
      <c r="M638" s="1" t="s">
        <v>58</v>
      </c>
      <c r="N638" s="1">
        <v>0</v>
      </c>
      <c r="O638" s="1" t="s">
        <v>105</v>
      </c>
      <c r="P638" s="186">
        <v>44837.213599537034</v>
      </c>
      <c r="R638" s="1">
        <v>3</v>
      </c>
      <c r="T638" s="1" t="s">
        <v>646</v>
      </c>
      <c r="U638" s="186">
        <v>44838.21361111111</v>
      </c>
      <c r="V638" s="1" t="s">
        <v>41</v>
      </c>
      <c r="W638" s="1" t="s">
        <v>49</v>
      </c>
      <c r="X638" s="13"/>
      <c r="Y638" s="2">
        <f t="shared" ca="1" si="54"/>
        <v>108</v>
      </c>
      <c r="Z638" s="14">
        <v>1</v>
      </c>
      <c r="AA638" s="1" t="str">
        <f t="shared" ca="1" si="55"/>
        <v>VENCIDO</v>
      </c>
      <c r="AB638" s="1" t="str">
        <f t="shared" si="56"/>
        <v>C-14</v>
      </c>
      <c r="AC638" s="2" t="str">
        <f t="shared" si="59"/>
        <v xml:space="preserve"> ROSEMERE </v>
      </c>
      <c r="AD638" s="2">
        <f t="shared" si="57"/>
        <v>5</v>
      </c>
      <c r="AE638" s="2">
        <f t="shared" ca="1" si="58"/>
        <v>-148.46266053240834</v>
      </c>
      <c r="AF638" s="15"/>
    </row>
    <row r="639" spans="1:32" hidden="1">
      <c r="A639" s="1">
        <v>8946342</v>
      </c>
      <c r="B639" s="1" t="s">
        <v>101</v>
      </c>
      <c r="C639" t="s">
        <v>643</v>
      </c>
      <c r="D639" s="2">
        <v>220163016</v>
      </c>
      <c r="E639" s="2">
        <v>4076001400040</v>
      </c>
      <c r="F639" s="1" t="s">
        <v>644</v>
      </c>
      <c r="G639" s="1" t="s">
        <v>53</v>
      </c>
      <c r="H639" s="1" t="s">
        <v>426</v>
      </c>
      <c r="I639" s="1" t="s">
        <v>427</v>
      </c>
      <c r="J639" s="1" t="s">
        <v>79</v>
      </c>
      <c r="K639" t="s">
        <v>645</v>
      </c>
      <c r="M639" s="1" t="s">
        <v>58</v>
      </c>
      <c r="N639" s="1">
        <v>0</v>
      </c>
      <c r="O639" s="1" t="s">
        <v>105</v>
      </c>
      <c r="P639" s="186">
        <v>44837.102939814817</v>
      </c>
      <c r="R639" s="1">
        <v>3</v>
      </c>
      <c r="T639" s="1" t="s">
        <v>646</v>
      </c>
      <c r="U639" s="186">
        <v>44838.102939814817</v>
      </c>
      <c r="V639" s="1" t="s">
        <v>41</v>
      </c>
      <c r="W639" s="1" t="s">
        <v>49</v>
      </c>
      <c r="X639" s="13"/>
      <c r="Y639" s="2">
        <f t="shared" ca="1" si="54"/>
        <v>108</v>
      </c>
      <c r="Z639" s="14">
        <v>1</v>
      </c>
      <c r="AA639" s="1" t="str">
        <f t="shared" ca="1" si="55"/>
        <v>VENCIDO</v>
      </c>
      <c r="AB639" s="1" t="str">
        <f t="shared" si="56"/>
        <v>SL-On</v>
      </c>
      <c r="AC639" s="2" t="str">
        <f t="shared" si="59"/>
        <v xml:space="preserve"> ROSEMERE </v>
      </c>
      <c r="AD639" s="2">
        <f t="shared" si="57"/>
        <v>1</v>
      </c>
      <c r="AE639" s="2">
        <f t="shared" ca="1" si="58"/>
        <v>-148.57333182870207</v>
      </c>
      <c r="AF639" s="15"/>
    </row>
    <row r="640" spans="1:32" hidden="1">
      <c r="A640" s="1">
        <v>8961211</v>
      </c>
      <c r="B640" s="1" t="s">
        <v>81</v>
      </c>
      <c r="C640" t="s">
        <v>1240</v>
      </c>
      <c r="E640" s="2">
        <v>1128000206022</v>
      </c>
      <c r="F640" s="1" t="s">
        <v>103</v>
      </c>
      <c r="G640" s="1" t="s">
        <v>53</v>
      </c>
      <c r="H640" s="1" t="s">
        <v>1191</v>
      </c>
      <c r="I640" s="1" t="s">
        <v>1192</v>
      </c>
      <c r="J640" s="1" t="s">
        <v>33</v>
      </c>
      <c r="K640" t="s">
        <v>104</v>
      </c>
      <c r="M640" s="1" t="s">
        <v>58</v>
      </c>
      <c r="N640" s="1">
        <v>0</v>
      </c>
      <c r="O640" s="1" t="s">
        <v>105</v>
      </c>
      <c r="P640" s="186">
        <v>44840.655717592592</v>
      </c>
      <c r="R640" s="1" t="s">
        <v>38</v>
      </c>
      <c r="T640" s="1" t="s">
        <v>74</v>
      </c>
      <c r="U640" s="186">
        <v>44841.655717592592</v>
      </c>
      <c r="V640" s="1" t="s">
        <v>41</v>
      </c>
      <c r="W640" s="1" t="s">
        <v>49</v>
      </c>
      <c r="X640" s="13"/>
      <c r="Y640" s="2">
        <f t="shared" ca="1" si="54"/>
        <v>105</v>
      </c>
      <c r="Z640" s="14">
        <v>1</v>
      </c>
      <c r="AA640" s="1" t="str">
        <f t="shared" ca="1" si="55"/>
        <v>VENCIDO</v>
      </c>
      <c r="AB640" s="1" t="str">
        <f t="shared" si="56"/>
        <v>Dosa</v>
      </c>
      <c r="AC640" s="2" t="str">
        <f t="shared" si="59"/>
        <v xml:space="preserve"> ROSEMERE </v>
      </c>
      <c r="AD640" s="2">
        <f t="shared" si="57"/>
        <v>5</v>
      </c>
      <c r="AE640" s="2">
        <f t="shared" ca="1" si="58"/>
        <v>-145.02055405092688</v>
      </c>
      <c r="AF640" s="15"/>
    </row>
    <row r="641" spans="1:32" hidden="1">
      <c r="A641" s="1">
        <v>8963507</v>
      </c>
      <c r="B641" s="1" t="s">
        <v>1153</v>
      </c>
      <c r="C641" t="s">
        <v>1243</v>
      </c>
      <c r="D641" s="2">
        <v>20228362000085</v>
      </c>
      <c r="E641" s="2">
        <v>7417172316147</v>
      </c>
      <c r="F641" s="1" t="s">
        <v>1155</v>
      </c>
      <c r="G641" s="1" t="s">
        <v>53</v>
      </c>
      <c r="H641" s="1" t="s">
        <v>1244</v>
      </c>
      <c r="I641" s="1" t="s">
        <v>1245</v>
      </c>
      <c r="J641" s="1" t="s">
        <v>46</v>
      </c>
      <c r="K641" t="s">
        <v>1158</v>
      </c>
      <c r="M641" s="1" t="s">
        <v>58</v>
      </c>
      <c r="N641" s="1">
        <v>0</v>
      </c>
      <c r="O641" s="1" t="s">
        <v>36</v>
      </c>
      <c r="P641" s="186">
        <v>44841.398495370369</v>
      </c>
      <c r="R641" s="1">
        <v>22</v>
      </c>
      <c r="T641" s="1" t="s">
        <v>1160</v>
      </c>
      <c r="U641" s="186">
        <v>44845.606828703705</v>
      </c>
      <c r="V641" s="1" t="s">
        <v>41</v>
      </c>
      <c r="W641" s="1" t="s">
        <v>49</v>
      </c>
      <c r="X641" s="13"/>
      <c r="Y641" s="2">
        <f t="shared" ca="1" si="54"/>
        <v>104</v>
      </c>
      <c r="Z641" s="14">
        <v>1</v>
      </c>
      <c r="AA641" s="1" t="str">
        <f t="shared" ca="1" si="55"/>
        <v>VENCIDO</v>
      </c>
      <c r="AB641" s="1" t="str">
        <f t="shared" si="56"/>
        <v>TAAe+</v>
      </c>
      <c r="AC641" s="2" t="str">
        <f t="shared" si="59"/>
        <v xml:space="preserve"> CLEITON </v>
      </c>
      <c r="AD641" s="2">
        <f t="shared" si="57"/>
        <v>8</v>
      </c>
      <c r="AE641" s="2">
        <f t="shared" ca="1" si="58"/>
        <v>-141.0694429398136</v>
      </c>
      <c r="AF641" s="15"/>
    </row>
    <row r="642" spans="1:32" hidden="1">
      <c r="A642" s="1">
        <v>8974248</v>
      </c>
      <c r="B642" s="1" t="s">
        <v>1153</v>
      </c>
      <c r="C642" t="s">
        <v>1248</v>
      </c>
      <c r="D642" s="2">
        <v>20228362000086</v>
      </c>
      <c r="E642" s="2">
        <v>7417172315342</v>
      </c>
      <c r="F642" s="1" t="s">
        <v>1155</v>
      </c>
      <c r="G642" s="1" t="s">
        <v>53</v>
      </c>
      <c r="H642" s="1" t="s">
        <v>1244</v>
      </c>
      <c r="I642" s="1" t="s">
        <v>1245</v>
      </c>
      <c r="J642" s="1" t="s">
        <v>46</v>
      </c>
      <c r="K642" t="s">
        <v>1158</v>
      </c>
      <c r="M642" s="1" t="s">
        <v>58</v>
      </c>
      <c r="N642" s="1">
        <v>0</v>
      </c>
      <c r="O642" s="1" t="s">
        <v>36</v>
      </c>
      <c r="P642" s="186">
        <v>44844.663564814815</v>
      </c>
      <c r="R642" s="1">
        <v>22</v>
      </c>
      <c r="T642" s="1" t="s">
        <v>1160</v>
      </c>
      <c r="U642" s="186">
        <v>44848.496898148151</v>
      </c>
      <c r="V642" s="1" t="s">
        <v>41</v>
      </c>
      <c r="W642" s="1" t="s">
        <v>49</v>
      </c>
      <c r="X642" s="13"/>
      <c r="Y642" s="2">
        <f t="shared" ref="Y642:Y699" ca="1" si="60">NETWORKDAYS(P642,$Y$1)</f>
        <v>103</v>
      </c>
      <c r="Z642" s="14">
        <v>1</v>
      </c>
      <c r="AA642" s="1" t="str">
        <f t="shared" ref="AA642:AA699" ca="1" si="61">IF(AE642=0,"HOJE",IF(AE642&gt;0,"A VENCER",IF(AE642&lt;0,"VENCIDO")))</f>
        <v>VENCIDO</v>
      </c>
      <c r="AB642" s="1" t="str">
        <f t="shared" ref="AB642:AB699" si="62">IF(F642="GRPE-000001","C-14",IF(F642="GRPE-000002","C-14",IF(F642="GRPE-000003","C-14",IF(F642="GRPE-000004","SL-On",IF(F642="GRPE-000038","C-14",IF(F642="GRPE-900022","Dosa",IF(F642="GRPE-000029","Dosa",IF(F642="ATOS-000222","Dose","TAAe+"))))))))</f>
        <v>TAAe+</v>
      </c>
      <c r="AC642" s="2" t="str">
        <f t="shared" si="59"/>
        <v xml:space="preserve"> CLEITON </v>
      </c>
      <c r="AD642" s="2">
        <f t="shared" ref="AD642:AD699" si="63">IF(F642="GRPE-000001",5,IF(F642="GRPE-000002",5,IF(F642="GRPE-000003",15,IF(F642="GRPE-000004",1,IF(F642="GRPE-000038",5,IF(F642="GRPE-900022",5,IF(F642="GRPE-000029",5,IF(F642="ATOS-000222",5,8))))))))</f>
        <v>8</v>
      </c>
      <c r="AE642" s="2">
        <f t="shared" ref="AE642:AE699" ca="1" si="64">IF(U642=$AE$1,"",U642-$AE$1)</f>
        <v>-138.17937349536805</v>
      </c>
      <c r="AF642" s="15"/>
    </row>
    <row r="643" spans="1:32" hidden="1">
      <c r="A643" s="1">
        <v>8987410</v>
      </c>
      <c r="B643" s="1" t="s">
        <v>81</v>
      </c>
      <c r="C643" t="s">
        <v>1251</v>
      </c>
      <c r="E643" s="2">
        <v>2196000206001</v>
      </c>
      <c r="F643" s="1" t="s">
        <v>29</v>
      </c>
      <c r="G643" s="1" t="s">
        <v>53</v>
      </c>
      <c r="H643" s="1" t="s">
        <v>1252</v>
      </c>
      <c r="I643" s="1" t="s">
        <v>1253</v>
      </c>
      <c r="J643" s="1" t="s">
        <v>33</v>
      </c>
      <c r="K643" t="s">
        <v>34</v>
      </c>
      <c r="M643" s="1" t="s">
        <v>35</v>
      </c>
      <c r="N643" s="1">
        <v>42318949</v>
      </c>
      <c r="O643" s="1" t="s">
        <v>105</v>
      </c>
      <c r="P643" s="186">
        <v>44848.643437500003</v>
      </c>
      <c r="R643" s="1" t="s">
        <v>38</v>
      </c>
      <c r="T643" s="1" t="s">
        <v>74</v>
      </c>
      <c r="U643" s="186">
        <v>44849.643437500003</v>
      </c>
      <c r="V643" s="1" t="s">
        <v>41</v>
      </c>
      <c r="W643" s="1" t="s">
        <v>42</v>
      </c>
      <c r="X643" s="13"/>
      <c r="Y643" s="2">
        <f t="shared" ca="1" si="60"/>
        <v>99</v>
      </c>
      <c r="Z643" s="14">
        <v>1</v>
      </c>
      <c r="AA643" s="1" t="str">
        <f t="shared" ca="1" si="61"/>
        <v>VENCIDO</v>
      </c>
      <c r="AB643" s="1" t="str">
        <f t="shared" si="62"/>
        <v>Dosa</v>
      </c>
      <c r="AC643" s="2" t="str">
        <f t="shared" ref="AC643:AC699" si="65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 xml:space="preserve"> ROSEMERE </v>
      </c>
      <c r="AD643" s="2">
        <f t="shared" si="63"/>
        <v>5</v>
      </c>
      <c r="AE643" s="2">
        <f t="shared" ca="1" si="64"/>
        <v>-137.03283414351608</v>
      </c>
      <c r="AF643" s="15"/>
    </row>
    <row r="644" spans="1:32" hidden="1">
      <c r="A644" s="1">
        <v>9003116</v>
      </c>
      <c r="B644" s="1" t="s">
        <v>62</v>
      </c>
      <c r="C644" t="s">
        <v>1256</v>
      </c>
      <c r="E644" s="2">
        <v>8074000203010</v>
      </c>
      <c r="F644" s="1" t="s">
        <v>152</v>
      </c>
      <c r="G644" s="1" t="s">
        <v>53</v>
      </c>
      <c r="H644" s="1" t="s">
        <v>1257</v>
      </c>
      <c r="I644" s="1" t="s">
        <v>1258</v>
      </c>
      <c r="J644" s="1" t="s">
        <v>33</v>
      </c>
      <c r="K644" t="s">
        <v>155</v>
      </c>
      <c r="M644" s="1" t="s">
        <v>35</v>
      </c>
      <c r="N644" s="1">
        <v>42318949</v>
      </c>
      <c r="O644" s="1" t="s">
        <v>36</v>
      </c>
      <c r="P644" s="186">
        <v>44853.518310185187</v>
      </c>
      <c r="R644" s="1">
        <v>1</v>
      </c>
      <c r="T644" s="1" t="s">
        <v>157</v>
      </c>
      <c r="U644" s="186">
        <v>44889.75</v>
      </c>
      <c r="V644" s="1" t="s">
        <v>41</v>
      </c>
      <c r="W644" s="1" t="s">
        <v>49</v>
      </c>
      <c r="X644" s="13"/>
      <c r="Y644" s="2">
        <f t="shared" ca="1" si="60"/>
        <v>96</v>
      </c>
      <c r="Z644" s="14">
        <v>1</v>
      </c>
      <c r="AA644" s="1" t="str">
        <f t="shared" ca="1" si="61"/>
        <v>VENCIDO</v>
      </c>
      <c r="AB644" s="1" t="str">
        <f t="shared" si="62"/>
        <v>TAAe+</v>
      </c>
      <c r="AC644" s="2" t="str">
        <f t="shared" si="65"/>
        <v xml:space="preserve"> ROSEMERE </v>
      </c>
      <c r="AD644" s="2">
        <f t="shared" si="63"/>
        <v>8</v>
      </c>
      <c r="AE644" s="2">
        <f t="shared" ca="1" si="64"/>
        <v>-96.926271643518703</v>
      </c>
      <c r="AF644" s="15"/>
    </row>
    <row r="645" spans="1:32" hidden="1">
      <c r="A645" s="1">
        <v>9002878</v>
      </c>
      <c r="B645" s="1" t="s">
        <v>62</v>
      </c>
      <c r="C645" t="s">
        <v>1261</v>
      </c>
      <c r="E645" s="2">
        <v>1732000203010</v>
      </c>
      <c r="F645" s="1" t="s">
        <v>152</v>
      </c>
      <c r="G645" s="1" t="s">
        <v>53</v>
      </c>
      <c r="H645" s="1" t="s">
        <v>177</v>
      </c>
      <c r="I645" s="1" t="s">
        <v>178</v>
      </c>
      <c r="J645" s="1" t="s">
        <v>164</v>
      </c>
      <c r="K645" t="s">
        <v>155</v>
      </c>
      <c r="M645" s="1" t="s">
        <v>35</v>
      </c>
      <c r="N645" s="1">
        <v>42318949</v>
      </c>
      <c r="O645" s="1" t="s">
        <v>36</v>
      </c>
      <c r="P645" s="186">
        <v>44853.517974537041</v>
      </c>
      <c r="R645" s="1">
        <v>1</v>
      </c>
      <c r="T645" s="1" t="s">
        <v>157</v>
      </c>
      <c r="U645" s="186">
        <v>44889.75</v>
      </c>
      <c r="V645" s="1" t="s">
        <v>41</v>
      </c>
      <c r="W645" s="1" t="s">
        <v>49</v>
      </c>
      <c r="X645" s="13"/>
      <c r="Y645" s="2">
        <f t="shared" ca="1" si="60"/>
        <v>96</v>
      </c>
      <c r="Z645" s="14">
        <v>1</v>
      </c>
      <c r="AA645" s="1" t="str">
        <f t="shared" ca="1" si="61"/>
        <v>VENCIDO</v>
      </c>
      <c r="AB645" s="1" t="str">
        <f t="shared" si="62"/>
        <v>TAAe+</v>
      </c>
      <c r="AC645" s="2" t="str">
        <f t="shared" si="65"/>
        <v xml:space="preserve"> ROSEMERE </v>
      </c>
      <c r="AD645" s="2">
        <f t="shared" si="63"/>
        <v>8</v>
      </c>
      <c r="AE645" s="2">
        <f t="shared" ca="1" si="64"/>
        <v>-96.926271643518703</v>
      </c>
      <c r="AF645" s="15"/>
    </row>
    <row r="646" spans="1:32">
      <c r="A646" s="1">
        <v>9011010</v>
      </c>
      <c r="B646" s="1" t="s">
        <v>62</v>
      </c>
      <c r="C646" t="s">
        <v>1263</v>
      </c>
      <c r="E646" s="2">
        <v>2156000206021</v>
      </c>
      <c r="F646" s="1" t="s">
        <v>103</v>
      </c>
      <c r="G646" s="1" t="s">
        <v>53</v>
      </c>
      <c r="H646" s="1" t="s">
        <v>278</v>
      </c>
      <c r="I646" s="1" t="s">
        <v>279</v>
      </c>
      <c r="J646" s="1" t="s">
        <v>211</v>
      </c>
      <c r="K646" t="s">
        <v>104</v>
      </c>
      <c r="M646" s="1" t="s">
        <v>58</v>
      </c>
      <c r="N646" s="1">
        <v>0</v>
      </c>
      <c r="O646" s="1" t="s">
        <v>36</v>
      </c>
      <c r="P646" s="186">
        <v>44855.757037037038</v>
      </c>
      <c r="R646" s="1" t="s">
        <v>38</v>
      </c>
      <c r="T646" s="1" t="s">
        <v>74</v>
      </c>
      <c r="U646" s="186">
        <v>44901.75</v>
      </c>
      <c r="V646" s="1" t="s">
        <v>41</v>
      </c>
      <c r="W646" s="1" t="s">
        <v>49</v>
      </c>
      <c r="X646" s="13"/>
      <c r="Y646" s="2">
        <f t="shared" ca="1" si="60"/>
        <v>94</v>
      </c>
      <c r="Z646" s="14">
        <v>1</v>
      </c>
      <c r="AA646" s="1" t="str">
        <f t="shared" ca="1" si="61"/>
        <v>VENCIDO</v>
      </c>
      <c r="AB646" s="1" t="str">
        <f t="shared" si="62"/>
        <v>Dosa</v>
      </c>
      <c r="AC646" s="2" t="str">
        <f t="shared" si="65"/>
        <v xml:space="preserve"> RINALDO </v>
      </c>
      <c r="AD646" s="2">
        <f t="shared" si="63"/>
        <v>5</v>
      </c>
      <c r="AE646" s="2">
        <f t="shared" ca="1" si="64"/>
        <v>-84.926271643518703</v>
      </c>
      <c r="AF646" s="15"/>
    </row>
    <row r="647" spans="1:32">
      <c r="A647" s="1">
        <v>9011009</v>
      </c>
      <c r="B647" s="1" t="s">
        <v>62</v>
      </c>
      <c r="C647" t="s">
        <v>1266</v>
      </c>
      <c r="E647" s="2">
        <v>2156000206021</v>
      </c>
      <c r="F647" s="1" t="s">
        <v>103</v>
      </c>
      <c r="G647" s="1" t="s">
        <v>53</v>
      </c>
      <c r="H647" s="1" t="s">
        <v>278</v>
      </c>
      <c r="I647" s="1" t="s">
        <v>279</v>
      </c>
      <c r="J647" s="1" t="s">
        <v>211</v>
      </c>
      <c r="K647" t="s">
        <v>104</v>
      </c>
      <c r="M647" s="1" t="s">
        <v>58</v>
      </c>
      <c r="N647" s="1">
        <v>0</v>
      </c>
      <c r="O647" s="1" t="s">
        <v>36</v>
      </c>
      <c r="P647" s="186">
        <v>44855.756736111114</v>
      </c>
      <c r="R647" s="1" t="s">
        <v>38</v>
      </c>
      <c r="T647" s="1" t="s">
        <v>74</v>
      </c>
      <c r="U647" s="186">
        <v>44901.75</v>
      </c>
      <c r="V647" s="1" t="s">
        <v>41</v>
      </c>
      <c r="W647" s="1" t="s">
        <v>49</v>
      </c>
      <c r="X647" s="13"/>
      <c r="Y647" s="2">
        <f t="shared" ca="1" si="60"/>
        <v>94</v>
      </c>
      <c r="Z647" s="14">
        <v>1</v>
      </c>
      <c r="AA647" s="1" t="str">
        <f t="shared" ca="1" si="61"/>
        <v>VENCIDO</v>
      </c>
      <c r="AB647" s="1" t="str">
        <f t="shared" si="62"/>
        <v>Dosa</v>
      </c>
      <c r="AC647" s="2" t="str">
        <f t="shared" si="65"/>
        <v xml:space="preserve"> RINALDO </v>
      </c>
      <c r="AD647" s="2">
        <f t="shared" si="63"/>
        <v>5</v>
      </c>
      <c r="AE647" s="2">
        <f t="shared" ca="1" si="64"/>
        <v>-84.926271643518703</v>
      </c>
      <c r="AF647" s="15"/>
    </row>
    <row r="648" spans="1:32">
      <c r="A648" s="1">
        <v>9011008</v>
      </c>
      <c r="B648" s="1" t="s">
        <v>62</v>
      </c>
      <c r="C648" t="s">
        <v>1266</v>
      </c>
      <c r="E648" s="2">
        <v>2156000206021</v>
      </c>
      <c r="F648" s="1" t="s">
        <v>103</v>
      </c>
      <c r="G648" s="1" t="s">
        <v>53</v>
      </c>
      <c r="H648" s="1" t="s">
        <v>278</v>
      </c>
      <c r="I648" s="1" t="s">
        <v>279</v>
      </c>
      <c r="J648" s="1" t="s">
        <v>211</v>
      </c>
      <c r="K648" t="s">
        <v>104</v>
      </c>
      <c r="M648" s="1" t="s">
        <v>58</v>
      </c>
      <c r="N648" s="1">
        <v>0</v>
      </c>
      <c r="O648" s="1" t="s">
        <v>36</v>
      </c>
      <c r="P648" s="186">
        <v>44855.756435185183</v>
      </c>
      <c r="R648" s="1" t="s">
        <v>38</v>
      </c>
      <c r="T648" s="1" t="s">
        <v>74</v>
      </c>
      <c r="U648" s="186">
        <v>44901.75</v>
      </c>
      <c r="V648" s="1" t="s">
        <v>41</v>
      </c>
      <c r="W648" s="1" t="s">
        <v>49</v>
      </c>
      <c r="X648" s="13"/>
      <c r="Y648" s="2">
        <f t="shared" ca="1" si="60"/>
        <v>94</v>
      </c>
      <c r="Z648" s="14">
        <v>1</v>
      </c>
      <c r="AA648" s="1" t="str">
        <f t="shared" ca="1" si="61"/>
        <v>VENCIDO</v>
      </c>
      <c r="AB648" s="1" t="str">
        <f t="shared" si="62"/>
        <v>Dosa</v>
      </c>
      <c r="AC648" s="2" t="str">
        <f t="shared" si="65"/>
        <v xml:space="preserve"> RINALDO </v>
      </c>
      <c r="AD648" s="2">
        <f t="shared" si="63"/>
        <v>5</v>
      </c>
      <c r="AE648" s="2">
        <f t="shared" ca="1" si="64"/>
        <v>-84.926271643518703</v>
      </c>
      <c r="AF648" s="15"/>
    </row>
    <row r="649" spans="1:32">
      <c r="A649" s="1">
        <v>9011007</v>
      </c>
      <c r="B649" s="1" t="s">
        <v>62</v>
      </c>
      <c r="C649" t="s">
        <v>1266</v>
      </c>
      <c r="E649" s="2">
        <v>2156000206021</v>
      </c>
      <c r="F649" s="1" t="s">
        <v>103</v>
      </c>
      <c r="G649" s="1" t="s">
        <v>53</v>
      </c>
      <c r="H649" s="1" t="s">
        <v>278</v>
      </c>
      <c r="I649" s="1" t="s">
        <v>279</v>
      </c>
      <c r="J649" s="1" t="s">
        <v>211</v>
      </c>
      <c r="K649" t="s">
        <v>104</v>
      </c>
      <c r="M649" s="1" t="s">
        <v>58</v>
      </c>
      <c r="N649" s="1">
        <v>0</v>
      </c>
      <c r="O649" s="1" t="s">
        <v>36</v>
      </c>
      <c r="P649" s="186">
        <v>44855.756111111114</v>
      </c>
      <c r="R649" s="1" t="s">
        <v>38</v>
      </c>
      <c r="T649" s="1" t="s">
        <v>74</v>
      </c>
      <c r="U649" s="186">
        <v>44901.75</v>
      </c>
      <c r="V649" s="1" t="s">
        <v>41</v>
      </c>
      <c r="W649" s="1" t="s">
        <v>49</v>
      </c>
      <c r="X649" s="13"/>
      <c r="Y649" s="2">
        <f t="shared" ca="1" si="60"/>
        <v>94</v>
      </c>
      <c r="Z649" s="14">
        <v>1</v>
      </c>
      <c r="AA649" s="1" t="str">
        <f t="shared" ca="1" si="61"/>
        <v>VENCIDO</v>
      </c>
      <c r="AB649" s="1" t="str">
        <f t="shared" si="62"/>
        <v>Dosa</v>
      </c>
      <c r="AC649" s="2" t="str">
        <f t="shared" si="65"/>
        <v xml:space="preserve"> RINALDO </v>
      </c>
      <c r="AD649" s="2">
        <f t="shared" si="63"/>
        <v>5</v>
      </c>
      <c r="AE649" s="2">
        <f t="shared" ca="1" si="64"/>
        <v>-84.926271643518703</v>
      </c>
      <c r="AF649" s="15"/>
    </row>
    <row r="650" spans="1:32">
      <c r="A650" s="1">
        <v>9017924</v>
      </c>
      <c r="B650" s="1" t="s">
        <v>1153</v>
      </c>
      <c r="C650" t="s">
        <v>1270</v>
      </c>
      <c r="D650" s="2">
        <v>220174476</v>
      </c>
      <c r="E650" s="2">
        <v>4119001400030</v>
      </c>
      <c r="F650" s="1" t="s">
        <v>647</v>
      </c>
      <c r="G650" s="1" t="s">
        <v>53</v>
      </c>
      <c r="H650" s="1" t="s">
        <v>297</v>
      </c>
      <c r="I650" s="1" t="s">
        <v>298</v>
      </c>
      <c r="J650" s="1" t="s">
        <v>211</v>
      </c>
      <c r="K650" t="s">
        <v>650</v>
      </c>
      <c r="M650" s="1" t="s">
        <v>58</v>
      </c>
      <c r="N650" s="1">
        <v>0</v>
      </c>
      <c r="O650" s="1" t="s">
        <v>36</v>
      </c>
      <c r="P650" s="186">
        <v>44859.516435185185</v>
      </c>
      <c r="R650" s="1">
        <v>4</v>
      </c>
      <c r="T650" s="1" t="s">
        <v>646</v>
      </c>
      <c r="U650" s="186">
        <v>44860.537268518521</v>
      </c>
      <c r="V650" s="1" t="s">
        <v>41</v>
      </c>
      <c r="W650" s="1" t="s">
        <v>49</v>
      </c>
      <c r="X650" s="13"/>
      <c r="Y650" s="2">
        <f t="shared" ca="1" si="60"/>
        <v>92</v>
      </c>
      <c r="Z650" s="14">
        <v>1</v>
      </c>
      <c r="AA650" s="1" t="str">
        <f t="shared" ca="1" si="61"/>
        <v>VENCIDO</v>
      </c>
      <c r="AB650" s="1" t="str">
        <f t="shared" si="62"/>
        <v>C-14</v>
      </c>
      <c r="AC650" s="2" t="str">
        <f t="shared" si="65"/>
        <v xml:space="preserve"> RINALDO </v>
      </c>
      <c r="AD650" s="2">
        <f t="shared" si="63"/>
        <v>15</v>
      </c>
      <c r="AE650" s="2">
        <f t="shared" ca="1" si="64"/>
        <v>-126.13900312499754</v>
      </c>
      <c r="AF650" s="15"/>
    </row>
    <row r="651" spans="1:32" hidden="1">
      <c r="A651" s="1">
        <v>9020963</v>
      </c>
      <c r="B651" s="1" t="s">
        <v>1153</v>
      </c>
      <c r="C651" t="s">
        <v>1273</v>
      </c>
      <c r="D651" s="2">
        <v>20228489000019</v>
      </c>
      <c r="E651" s="2">
        <v>7417172315969</v>
      </c>
      <c r="F651" s="1" t="s">
        <v>1155</v>
      </c>
      <c r="G651" s="1" t="s">
        <v>53</v>
      </c>
      <c r="H651" s="1" t="s">
        <v>1156</v>
      </c>
      <c r="I651" s="1" t="s">
        <v>1157</v>
      </c>
      <c r="J651" s="1" t="s">
        <v>46</v>
      </c>
      <c r="K651" t="s">
        <v>1158</v>
      </c>
      <c r="M651" s="1" t="s">
        <v>58</v>
      </c>
      <c r="N651" s="1">
        <v>0</v>
      </c>
      <c r="O651" s="1" t="s">
        <v>36</v>
      </c>
      <c r="P651" s="186">
        <v>44860.644363425927</v>
      </c>
      <c r="R651" s="1">
        <v>22</v>
      </c>
      <c r="T651" s="1" t="s">
        <v>1160</v>
      </c>
      <c r="U651" s="186">
        <v>44865.477696759262</v>
      </c>
      <c r="V651" s="1" t="s">
        <v>41</v>
      </c>
      <c r="W651" s="1" t="s">
        <v>49</v>
      </c>
      <c r="X651" s="13"/>
      <c r="Y651" s="2">
        <f t="shared" ca="1" si="60"/>
        <v>91</v>
      </c>
      <c r="Z651" s="14">
        <v>1</v>
      </c>
      <c r="AA651" s="1" t="str">
        <f t="shared" ca="1" si="61"/>
        <v>VENCIDO</v>
      </c>
      <c r="AB651" s="1" t="str">
        <f t="shared" si="62"/>
        <v>TAAe+</v>
      </c>
      <c r="AC651" s="2" t="str">
        <f t="shared" si="65"/>
        <v xml:space="preserve"> CLEITON </v>
      </c>
      <c r="AD651" s="2">
        <f t="shared" si="63"/>
        <v>8</v>
      </c>
      <c r="AE651" s="2">
        <f t="shared" ca="1" si="64"/>
        <v>-121.19857488425623</v>
      </c>
      <c r="AF651" s="15"/>
    </row>
    <row r="652" spans="1:32" hidden="1">
      <c r="A652" s="1">
        <v>9022234</v>
      </c>
      <c r="B652" s="1" t="s">
        <v>1153</v>
      </c>
      <c r="C652" t="s">
        <v>1276</v>
      </c>
      <c r="D652" s="2">
        <v>20228489000020</v>
      </c>
      <c r="E652" s="2">
        <v>7417172314989</v>
      </c>
      <c r="F652" s="1" t="s">
        <v>1155</v>
      </c>
      <c r="G652" s="1" t="s">
        <v>53</v>
      </c>
      <c r="H652" s="1" t="s">
        <v>1156</v>
      </c>
      <c r="I652" s="1" t="s">
        <v>1157</v>
      </c>
      <c r="J652" s="1" t="s">
        <v>46</v>
      </c>
      <c r="K652" t="s">
        <v>1158</v>
      </c>
      <c r="M652" s="1" t="s">
        <v>58</v>
      </c>
      <c r="N652" s="1">
        <v>0</v>
      </c>
      <c r="O652" s="1" t="s">
        <v>36</v>
      </c>
      <c r="P652" s="186">
        <v>44861.392812500002</v>
      </c>
      <c r="R652" s="1">
        <v>22</v>
      </c>
      <c r="T652" s="1" t="s">
        <v>1160</v>
      </c>
      <c r="U652" s="186">
        <v>44865.601145833331</v>
      </c>
      <c r="V652" s="1" t="s">
        <v>41</v>
      </c>
      <c r="W652" s="1" t="s">
        <v>49</v>
      </c>
      <c r="X652" s="13"/>
      <c r="Y652" s="2">
        <f t="shared" ca="1" si="60"/>
        <v>90</v>
      </c>
      <c r="Z652" s="14">
        <v>1</v>
      </c>
      <c r="AA652" s="1" t="str">
        <f t="shared" ca="1" si="61"/>
        <v>VENCIDO</v>
      </c>
      <c r="AB652" s="1" t="str">
        <f t="shared" si="62"/>
        <v>TAAe+</v>
      </c>
      <c r="AC652" s="2" t="str">
        <f t="shared" si="65"/>
        <v xml:space="preserve"> CLEITON </v>
      </c>
      <c r="AD652" s="2">
        <f t="shared" si="63"/>
        <v>8</v>
      </c>
      <c r="AE652" s="2">
        <f t="shared" ca="1" si="64"/>
        <v>-121.07512581018818</v>
      </c>
      <c r="AF652" s="15"/>
    </row>
    <row r="653" spans="1:32" hidden="1">
      <c r="A653" s="1">
        <v>9025533</v>
      </c>
      <c r="B653" s="1" t="s">
        <v>62</v>
      </c>
      <c r="C653" t="s">
        <v>1277</v>
      </c>
      <c r="E653" s="2">
        <v>7420000203000</v>
      </c>
      <c r="F653" s="1" t="s">
        <v>454</v>
      </c>
      <c r="G653" s="1" t="s">
        <v>30</v>
      </c>
      <c r="H653" s="1" t="s">
        <v>1076</v>
      </c>
      <c r="I653" s="1" t="s">
        <v>1077</v>
      </c>
      <c r="J653" s="1" t="s">
        <v>46</v>
      </c>
      <c r="K653" t="s">
        <v>457</v>
      </c>
      <c r="M653" s="1" t="s">
        <v>58</v>
      </c>
      <c r="N653" s="1">
        <v>0</v>
      </c>
      <c r="O653" s="1" t="s">
        <v>105</v>
      </c>
      <c r="P653" s="186">
        <v>44862.608275462961</v>
      </c>
      <c r="R653" s="1" t="s">
        <v>38</v>
      </c>
      <c r="T653" s="1" t="s">
        <v>157</v>
      </c>
      <c r="U653" s="186">
        <v>44900.75</v>
      </c>
      <c r="V653" s="1" t="s">
        <v>41</v>
      </c>
      <c r="W653" s="1" t="s">
        <v>49</v>
      </c>
      <c r="X653" s="13"/>
      <c r="Y653" s="2">
        <f t="shared" ca="1" si="60"/>
        <v>89</v>
      </c>
      <c r="Z653" s="14">
        <v>1</v>
      </c>
      <c r="AA653" s="1" t="str">
        <f t="shared" ca="1" si="61"/>
        <v>VENCIDO</v>
      </c>
      <c r="AB653" s="1" t="str">
        <f t="shared" si="62"/>
        <v>C-14</v>
      </c>
      <c r="AC653" s="2" t="str">
        <f t="shared" si="65"/>
        <v xml:space="preserve"> CLEITON </v>
      </c>
      <c r="AD653" s="2">
        <f t="shared" si="63"/>
        <v>5</v>
      </c>
      <c r="AE653" s="2">
        <f t="shared" ca="1" si="64"/>
        <v>-85.926271643518703</v>
      </c>
      <c r="AF653" s="15"/>
    </row>
    <row r="654" spans="1:32" hidden="1">
      <c r="A654" s="1">
        <v>9024940</v>
      </c>
      <c r="B654" s="1" t="s">
        <v>1153</v>
      </c>
      <c r="C654" t="s">
        <v>1280</v>
      </c>
      <c r="D654" s="2">
        <v>220176632</v>
      </c>
      <c r="E654" s="2">
        <v>1761001400030</v>
      </c>
      <c r="F654" s="1" t="s">
        <v>647</v>
      </c>
      <c r="G654" s="1" t="s">
        <v>53</v>
      </c>
      <c r="H654" s="1" t="s">
        <v>375</v>
      </c>
      <c r="I654" s="1" t="s">
        <v>376</v>
      </c>
      <c r="J654" s="1" t="s">
        <v>56</v>
      </c>
      <c r="K654" t="s">
        <v>650</v>
      </c>
      <c r="M654" s="1" t="s">
        <v>58</v>
      </c>
      <c r="N654" s="1">
        <v>0</v>
      </c>
      <c r="O654" s="1" t="s">
        <v>36</v>
      </c>
      <c r="P654" s="186">
        <v>44862.474780092591</v>
      </c>
      <c r="R654" s="1">
        <v>4</v>
      </c>
      <c r="T654" s="1" t="s">
        <v>646</v>
      </c>
      <c r="U654" s="186">
        <v>44873.628472222219</v>
      </c>
      <c r="V654" s="1" t="s">
        <v>41</v>
      </c>
      <c r="W654" s="1" t="s">
        <v>49</v>
      </c>
      <c r="X654" s="13"/>
      <c r="Y654" s="2">
        <f t="shared" ca="1" si="60"/>
        <v>89</v>
      </c>
      <c r="Z654" s="14">
        <v>1</v>
      </c>
      <c r="AA654" s="1" t="str">
        <f t="shared" ca="1" si="61"/>
        <v>VENCIDO</v>
      </c>
      <c r="AB654" s="1" t="str">
        <f t="shared" si="62"/>
        <v>C-14</v>
      </c>
      <c r="AC654" s="2" t="str">
        <f t="shared" si="65"/>
        <v xml:space="preserve"> CRISTINA </v>
      </c>
      <c r="AD654" s="2">
        <f t="shared" si="63"/>
        <v>15</v>
      </c>
      <c r="AE654" s="2">
        <f t="shared" ca="1" si="64"/>
        <v>-113.04779942129971</v>
      </c>
      <c r="AF654" s="15"/>
    </row>
    <row r="655" spans="1:32">
      <c r="A655" s="1">
        <v>9030748</v>
      </c>
      <c r="B655" s="1" t="s">
        <v>1153</v>
      </c>
      <c r="C655" t="s">
        <v>1283</v>
      </c>
      <c r="D655" s="2">
        <v>220177570</v>
      </c>
      <c r="E655" s="2">
        <v>1028001400030</v>
      </c>
      <c r="F655" s="1" t="s">
        <v>647</v>
      </c>
      <c r="G655" s="1" t="s">
        <v>53</v>
      </c>
      <c r="H655" s="1" t="s">
        <v>1079</v>
      </c>
      <c r="I655" s="1" t="s">
        <v>1080</v>
      </c>
      <c r="J655" s="1" t="s">
        <v>85</v>
      </c>
      <c r="K655" t="s">
        <v>650</v>
      </c>
      <c r="M655" s="1" t="s">
        <v>58</v>
      </c>
      <c r="N655" s="1">
        <v>0</v>
      </c>
      <c r="O655" s="1" t="s">
        <v>36</v>
      </c>
      <c r="P655" s="186">
        <v>44865.564710648148</v>
      </c>
      <c r="R655" s="1">
        <v>4</v>
      </c>
      <c r="T655" s="1" t="s">
        <v>646</v>
      </c>
      <c r="U655" s="186">
        <v>44866.585543981484</v>
      </c>
      <c r="V655" s="1" t="s">
        <v>41</v>
      </c>
      <c r="W655" s="1" t="s">
        <v>49</v>
      </c>
      <c r="X655" s="13"/>
      <c r="Y655" s="2">
        <f t="shared" ca="1" si="60"/>
        <v>88</v>
      </c>
      <c r="Z655" s="14">
        <v>1</v>
      </c>
      <c r="AA655" s="1" t="str">
        <f t="shared" ca="1" si="61"/>
        <v>VENCIDO</v>
      </c>
      <c r="AB655" s="1" t="str">
        <f t="shared" si="62"/>
        <v>C-14</v>
      </c>
      <c r="AC655" s="2" t="str">
        <f t="shared" si="65"/>
        <v xml:space="preserve"> RINALDO </v>
      </c>
      <c r="AD655" s="2">
        <f t="shared" si="63"/>
        <v>15</v>
      </c>
      <c r="AE655" s="2">
        <f t="shared" ca="1" si="64"/>
        <v>-120.09072766203462</v>
      </c>
      <c r="AF655" s="15"/>
    </row>
    <row r="656" spans="1:32">
      <c r="A656" s="1">
        <v>9030747</v>
      </c>
      <c r="B656" s="1" t="s">
        <v>1153</v>
      </c>
      <c r="C656" t="s">
        <v>1286</v>
      </c>
      <c r="D656" s="2">
        <v>220177573</v>
      </c>
      <c r="E656" s="2">
        <v>1028001400030</v>
      </c>
      <c r="F656" s="1" t="s">
        <v>647</v>
      </c>
      <c r="G656" s="1" t="s">
        <v>53</v>
      </c>
      <c r="H656" s="1" t="s">
        <v>1079</v>
      </c>
      <c r="I656" s="1" t="s">
        <v>1080</v>
      </c>
      <c r="J656" s="1" t="s">
        <v>85</v>
      </c>
      <c r="K656" t="s">
        <v>650</v>
      </c>
      <c r="M656" s="1" t="s">
        <v>58</v>
      </c>
      <c r="N656" s="1">
        <v>0</v>
      </c>
      <c r="O656" s="1" t="s">
        <v>36</v>
      </c>
      <c r="P656" s="186">
        <v>44865.564652777779</v>
      </c>
      <c r="R656" s="1">
        <v>4</v>
      </c>
      <c r="T656" s="1" t="s">
        <v>646</v>
      </c>
      <c r="U656" s="186">
        <v>44866.585486111115</v>
      </c>
      <c r="V656" s="1" t="s">
        <v>41</v>
      </c>
      <c r="W656" s="1" t="s">
        <v>49</v>
      </c>
      <c r="X656" s="13"/>
      <c r="Y656" s="2">
        <f t="shared" ca="1" si="60"/>
        <v>88</v>
      </c>
      <c r="Z656" s="14">
        <v>1</v>
      </c>
      <c r="AA656" s="1" t="str">
        <f t="shared" ca="1" si="61"/>
        <v>VENCIDO</v>
      </c>
      <c r="AB656" s="1" t="str">
        <f t="shared" si="62"/>
        <v>C-14</v>
      </c>
      <c r="AC656" s="2" t="str">
        <f t="shared" si="65"/>
        <v xml:space="preserve"> RINALDO </v>
      </c>
      <c r="AD656" s="2">
        <f t="shared" si="63"/>
        <v>15</v>
      </c>
      <c r="AE656" s="2">
        <f t="shared" ca="1" si="64"/>
        <v>-120.09078553240397</v>
      </c>
      <c r="AF656" s="15"/>
    </row>
    <row r="657" spans="1:32">
      <c r="A657" s="1">
        <v>9030746</v>
      </c>
      <c r="B657" s="1" t="s">
        <v>1153</v>
      </c>
      <c r="C657" t="s">
        <v>1289</v>
      </c>
      <c r="D657" s="2">
        <v>220177571</v>
      </c>
      <c r="E657" s="2">
        <v>1028001400030</v>
      </c>
      <c r="F657" s="1" t="s">
        <v>647</v>
      </c>
      <c r="G657" s="1" t="s">
        <v>53</v>
      </c>
      <c r="H657" s="1" t="s">
        <v>1079</v>
      </c>
      <c r="I657" s="1" t="s">
        <v>1080</v>
      </c>
      <c r="J657" s="1" t="s">
        <v>85</v>
      </c>
      <c r="K657" t="s">
        <v>650</v>
      </c>
      <c r="M657" s="1" t="s">
        <v>58</v>
      </c>
      <c r="N657" s="1">
        <v>0</v>
      </c>
      <c r="O657" s="1" t="s">
        <v>36</v>
      </c>
      <c r="P657" s="186">
        <v>44865.564583333333</v>
      </c>
      <c r="R657" s="1">
        <v>4</v>
      </c>
      <c r="T657" s="1" t="s">
        <v>646</v>
      </c>
      <c r="U657" s="186">
        <v>44866.585416666669</v>
      </c>
      <c r="V657" s="1" t="s">
        <v>41</v>
      </c>
      <c r="W657" s="1" t="s">
        <v>49</v>
      </c>
      <c r="X657" s="13"/>
      <c r="Y657" s="2">
        <f t="shared" ca="1" si="60"/>
        <v>88</v>
      </c>
      <c r="Z657" s="14">
        <v>1</v>
      </c>
      <c r="AA657" s="1" t="str">
        <f t="shared" ca="1" si="61"/>
        <v>VENCIDO</v>
      </c>
      <c r="AB657" s="1" t="str">
        <f t="shared" si="62"/>
        <v>C-14</v>
      </c>
      <c r="AC657" s="2" t="str">
        <f t="shared" si="65"/>
        <v xml:space="preserve"> RINALDO </v>
      </c>
      <c r="AD657" s="2">
        <f t="shared" si="63"/>
        <v>15</v>
      </c>
      <c r="AE657" s="2">
        <f t="shared" ca="1" si="64"/>
        <v>-120.0908549768501</v>
      </c>
      <c r="AF657" s="15"/>
    </row>
    <row r="658" spans="1:32">
      <c r="A658" s="1">
        <v>9030743</v>
      </c>
      <c r="B658" s="1" t="s">
        <v>1153</v>
      </c>
      <c r="C658" t="s">
        <v>1290</v>
      </c>
      <c r="D658" s="2">
        <v>220177524</v>
      </c>
      <c r="E658" s="2">
        <v>1028001400030</v>
      </c>
      <c r="F658" s="1" t="s">
        <v>647</v>
      </c>
      <c r="G658" s="1" t="s">
        <v>53</v>
      </c>
      <c r="H658" s="1" t="s">
        <v>1079</v>
      </c>
      <c r="I658" s="1" t="s">
        <v>1080</v>
      </c>
      <c r="J658" s="1" t="s">
        <v>85</v>
      </c>
      <c r="K658" t="s">
        <v>650</v>
      </c>
      <c r="M658" s="1" t="s">
        <v>58</v>
      </c>
      <c r="N658" s="1">
        <v>0</v>
      </c>
      <c r="O658" s="1" t="s">
        <v>36</v>
      </c>
      <c r="P658" s="186">
        <v>44865.564386574071</v>
      </c>
      <c r="R658" s="1">
        <v>4</v>
      </c>
      <c r="T658" s="1" t="s">
        <v>646</v>
      </c>
      <c r="U658" s="186">
        <v>44866.585219907407</v>
      </c>
      <c r="V658" s="1" t="s">
        <v>41</v>
      </c>
      <c r="W658" s="1" t="s">
        <v>49</v>
      </c>
      <c r="X658" s="13"/>
      <c r="Y658" s="2">
        <f t="shared" ca="1" si="60"/>
        <v>88</v>
      </c>
      <c r="Z658" s="14">
        <v>1</v>
      </c>
      <c r="AA658" s="1" t="str">
        <f t="shared" ca="1" si="61"/>
        <v>VENCIDO</v>
      </c>
      <c r="AB658" s="1" t="str">
        <f t="shared" si="62"/>
        <v>C-14</v>
      </c>
      <c r="AC658" s="2" t="str">
        <f t="shared" si="65"/>
        <v xml:space="preserve"> RINALDO </v>
      </c>
      <c r="AD658" s="2">
        <f t="shared" si="63"/>
        <v>15</v>
      </c>
      <c r="AE658" s="2">
        <f t="shared" ca="1" si="64"/>
        <v>-120.09105173611169</v>
      </c>
      <c r="AF658" s="15"/>
    </row>
    <row r="659" spans="1:32">
      <c r="A659" s="1">
        <v>9030733</v>
      </c>
      <c r="B659" s="1" t="s">
        <v>1153</v>
      </c>
      <c r="C659" t="s">
        <v>1293</v>
      </c>
      <c r="D659" s="2">
        <v>220177525</v>
      </c>
      <c r="E659" s="2">
        <v>1028001400030</v>
      </c>
      <c r="F659" s="1" t="s">
        <v>647</v>
      </c>
      <c r="G659" s="1" t="s">
        <v>53</v>
      </c>
      <c r="H659" s="1" t="s">
        <v>1079</v>
      </c>
      <c r="I659" s="1" t="s">
        <v>1080</v>
      </c>
      <c r="J659" s="1" t="s">
        <v>85</v>
      </c>
      <c r="K659" t="s">
        <v>650</v>
      </c>
      <c r="M659" s="1" t="s">
        <v>58</v>
      </c>
      <c r="N659" s="1">
        <v>0</v>
      </c>
      <c r="O659" s="1" t="s">
        <v>36</v>
      </c>
      <c r="P659" s="186">
        <v>44865.558194444442</v>
      </c>
      <c r="R659" s="1">
        <v>4</v>
      </c>
      <c r="T659" s="1" t="s">
        <v>646</v>
      </c>
      <c r="U659" s="186">
        <v>44866.579027777778</v>
      </c>
      <c r="V659" s="1" t="s">
        <v>41</v>
      </c>
      <c r="W659" s="1" t="s">
        <v>49</v>
      </c>
      <c r="X659" s="13"/>
      <c r="Y659" s="2">
        <f t="shared" ca="1" si="60"/>
        <v>88</v>
      </c>
      <c r="Z659" s="14">
        <v>1</v>
      </c>
      <c r="AA659" s="1" t="str">
        <f t="shared" ca="1" si="61"/>
        <v>VENCIDO</v>
      </c>
      <c r="AB659" s="1" t="str">
        <f t="shared" si="62"/>
        <v>C-14</v>
      </c>
      <c r="AC659" s="2" t="str">
        <f t="shared" si="65"/>
        <v xml:space="preserve"> RINALDO </v>
      </c>
      <c r="AD659" s="2">
        <f t="shared" si="63"/>
        <v>15</v>
      </c>
      <c r="AE659" s="2">
        <f t="shared" ca="1" si="64"/>
        <v>-120.09724386574089</v>
      </c>
      <c r="AF659" s="15"/>
    </row>
    <row r="660" spans="1:32">
      <c r="A660" s="1">
        <v>9037912</v>
      </c>
      <c r="B660" s="1" t="s">
        <v>62</v>
      </c>
      <c r="C660" t="s">
        <v>1296</v>
      </c>
      <c r="E660" s="2">
        <v>1069000203000</v>
      </c>
      <c r="F660" s="1" t="s">
        <v>454</v>
      </c>
      <c r="G660" s="1" t="s">
        <v>53</v>
      </c>
      <c r="H660" s="1" t="s">
        <v>353</v>
      </c>
      <c r="I660" s="1" t="s">
        <v>354</v>
      </c>
      <c r="J660" s="1" t="s">
        <v>211</v>
      </c>
      <c r="K660" t="s">
        <v>457</v>
      </c>
      <c r="M660" s="1" t="s">
        <v>58</v>
      </c>
      <c r="N660" s="1">
        <v>0</v>
      </c>
      <c r="O660" s="1" t="s">
        <v>36</v>
      </c>
      <c r="P660" s="186">
        <v>44868.619062500002</v>
      </c>
      <c r="R660" s="1">
        <v>1</v>
      </c>
      <c r="T660" s="1" t="s">
        <v>157</v>
      </c>
      <c r="U660" s="186">
        <v>44903.75</v>
      </c>
      <c r="V660" s="1" t="s">
        <v>41</v>
      </c>
      <c r="W660" s="1" t="s">
        <v>49</v>
      </c>
      <c r="X660" s="13"/>
      <c r="Y660" s="2">
        <f t="shared" ca="1" si="60"/>
        <v>85</v>
      </c>
      <c r="Z660" s="14">
        <v>1</v>
      </c>
      <c r="AA660" s="1" t="str">
        <f t="shared" ca="1" si="61"/>
        <v>VENCIDO</v>
      </c>
      <c r="AB660" s="1" t="str">
        <f t="shared" si="62"/>
        <v>C-14</v>
      </c>
      <c r="AC660" s="2" t="str">
        <f t="shared" si="65"/>
        <v xml:space="preserve"> RINALDO </v>
      </c>
      <c r="AD660" s="2">
        <f t="shared" si="63"/>
        <v>5</v>
      </c>
      <c r="AE660" s="2">
        <f t="shared" ca="1" si="64"/>
        <v>-82.926271643518703</v>
      </c>
      <c r="AF660" s="15"/>
    </row>
    <row r="661" spans="1:32" hidden="1">
      <c r="A661" s="1">
        <v>9036877</v>
      </c>
      <c r="B661" s="1" t="s">
        <v>62</v>
      </c>
      <c r="C661" t="s">
        <v>1299</v>
      </c>
      <c r="E661" s="2">
        <v>5898000203000</v>
      </c>
      <c r="F661" s="1" t="s">
        <v>454</v>
      </c>
      <c r="G661" s="1" t="s">
        <v>53</v>
      </c>
      <c r="H661" s="1" t="s">
        <v>365</v>
      </c>
      <c r="I661" s="1" t="s">
        <v>366</v>
      </c>
      <c r="J661" s="1" t="s">
        <v>164</v>
      </c>
      <c r="K661" t="s">
        <v>457</v>
      </c>
      <c r="M661" s="1" t="s">
        <v>58</v>
      </c>
      <c r="N661" s="1">
        <v>0</v>
      </c>
      <c r="O661" s="1" t="s">
        <v>105</v>
      </c>
      <c r="P661" s="186">
        <v>44868.440532407411</v>
      </c>
      <c r="R661" s="1">
        <v>1</v>
      </c>
      <c r="T661" s="1" t="s">
        <v>157</v>
      </c>
      <c r="U661" s="186">
        <v>44903.75</v>
      </c>
      <c r="V661" s="1" t="s">
        <v>41</v>
      </c>
      <c r="W661" s="1" t="s">
        <v>49</v>
      </c>
      <c r="X661" s="13"/>
      <c r="Y661" s="2">
        <f t="shared" ca="1" si="60"/>
        <v>85</v>
      </c>
      <c r="Z661" s="14">
        <v>1</v>
      </c>
      <c r="AA661" s="1" t="str">
        <f t="shared" ca="1" si="61"/>
        <v>VENCIDO</v>
      </c>
      <c r="AB661" s="1" t="str">
        <f t="shared" si="62"/>
        <v>C-14</v>
      </c>
      <c r="AC661" s="2" t="str">
        <f t="shared" si="65"/>
        <v xml:space="preserve"> ROSEMERE </v>
      </c>
      <c r="AD661" s="2">
        <f t="shared" si="63"/>
        <v>5</v>
      </c>
      <c r="AE661" s="2">
        <f t="shared" ca="1" si="64"/>
        <v>-82.926271643518703</v>
      </c>
      <c r="AF661" s="15"/>
    </row>
    <row r="662" spans="1:32">
      <c r="A662" s="1">
        <v>9044943</v>
      </c>
      <c r="B662" s="1" t="s">
        <v>62</v>
      </c>
      <c r="C662" t="s">
        <v>1301</v>
      </c>
      <c r="E662" s="2">
        <v>1902016089900</v>
      </c>
      <c r="F662" s="1" t="s">
        <v>64</v>
      </c>
      <c r="G662" s="1" t="s">
        <v>53</v>
      </c>
      <c r="H662" s="1" t="s">
        <v>175</v>
      </c>
      <c r="I662" s="1" t="s">
        <v>176</v>
      </c>
      <c r="J662" s="1" t="s">
        <v>90</v>
      </c>
      <c r="K662" t="s">
        <v>67</v>
      </c>
      <c r="M662" s="1" t="s">
        <v>35</v>
      </c>
      <c r="N662" s="1">
        <v>42318949</v>
      </c>
      <c r="O662" s="1" t="s">
        <v>36</v>
      </c>
      <c r="P662" s="186">
        <v>44872.504502314812</v>
      </c>
      <c r="R662" s="1" t="s">
        <v>571</v>
      </c>
      <c r="T662" s="1" t="s">
        <v>69</v>
      </c>
      <c r="U662" s="186">
        <v>44881.504502314812</v>
      </c>
      <c r="V662" s="1" t="s">
        <v>41</v>
      </c>
      <c r="W662" s="1" t="s">
        <v>49</v>
      </c>
      <c r="X662" s="13"/>
      <c r="Y662" s="2">
        <f t="shared" ca="1" si="60"/>
        <v>83</v>
      </c>
      <c r="Z662" s="14">
        <v>1</v>
      </c>
      <c r="AA662" s="1" t="str">
        <f t="shared" ca="1" si="61"/>
        <v>VENCIDO</v>
      </c>
      <c r="AB662" s="1" t="str">
        <f t="shared" si="62"/>
        <v>TAAe+</v>
      </c>
      <c r="AC662" s="2" t="str">
        <f t="shared" si="65"/>
        <v xml:space="preserve"> RINALDO </v>
      </c>
      <c r="AD662" s="2">
        <f t="shared" si="63"/>
        <v>8</v>
      </c>
      <c r="AE662" s="2">
        <f t="shared" ca="1" si="64"/>
        <v>-105.17176932870643</v>
      </c>
      <c r="AF662" s="15"/>
    </row>
    <row r="663" spans="1:32" hidden="1">
      <c r="A663" s="1">
        <v>9044117</v>
      </c>
      <c r="B663" s="1" t="s">
        <v>62</v>
      </c>
      <c r="C663" t="s">
        <v>1304</v>
      </c>
      <c r="E663" s="2">
        <v>9703000203000</v>
      </c>
      <c r="F663" s="1" t="s">
        <v>454</v>
      </c>
      <c r="G663" s="1" t="s">
        <v>53</v>
      </c>
      <c r="H663" s="1" t="s">
        <v>494</v>
      </c>
      <c r="I663" s="1" t="s">
        <v>495</v>
      </c>
      <c r="J663" s="1" t="s">
        <v>79</v>
      </c>
      <c r="K663" t="s">
        <v>457</v>
      </c>
      <c r="M663" s="1" t="s">
        <v>58</v>
      </c>
      <c r="N663" s="1">
        <v>0</v>
      </c>
      <c r="O663" s="1" t="s">
        <v>36</v>
      </c>
      <c r="P663" s="186">
        <v>44872.406840277778</v>
      </c>
      <c r="R663" s="1">
        <v>1</v>
      </c>
      <c r="T663" s="1" t="s">
        <v>157</v>
      </c>
      <c r="U663" s="186">
        <v>44907.75</v>
      </c>
      <c r="V663" s="1" t="s">
        <v>41</v>
      </c>
      <c r="W663" s="1" t="s">
        <v>49</v>
      </c>
      <c r="X663" s="13"/>
      <c r="Y663" s="2">
        <f t="shared" ca="1" si="60"/>
        <v>83</v>
      </c>
      <c r="Z663" s="14">
        <v>1</v>
      </c>
      <c r="AA663" s="1" t="str">
        <f t="shared" ca="1" si="61"/>
        <v>VENCIDO</v>
      </c>
      <c r="AB663" s="1" t="str">
        <f t="shared" si="62"/>
        <v>C-14</v>
      </c>
      <c r="AC663" s="2" t="str">
        <f t="shared" si="65"/>
        <v xml:space="preserve"> ROSEMERE </v>
      </c>
      <c r="AD663" s="2">
        <f t="shared" si="63"/>
        <v>5</v>
      </c>
      <c r="AE663" s="2">
        <f t="shared" ca="1" si="64"/>
        <v>-78.926271643518703</v>
      </c>
      <c r="AF663" s="15"/>
    </row>
    <row r="664" spans="1:32" hidden="1">
      <c r="A664" s="1">
        <v>9047108</v>
      </c>
      <c r="B664" s="1" t="s">
        <v>62</v>
      </c>
      <c r="C664" t="s">
        <v>1307</v>
      </c>
      <c r="E664" s="2">
        <v>9703000206024</v>
      </c>
      <c r="F664" s="1" t="s">
        <v>103</v>
      </c>
      <c r="G664" s="1" t="s">
        <v>53</v>
      </c>
      <c r="H664" s="1" t="s">
        <v>494</v>
      </c>
      <c r="I664" s="1" t="s">
        <v>495</v>
      </c>
      <c r="J664" s="1" t="s">
        <v>79</v>
      </c>
      <c r="K664" t="s">
        <v>104</v>
      </c>
      <c r="M664" s="1" t="s">
        <v>35</v>
      </c>
      <c r="N664" s="1">
        <v>42318949</v>
      </c>
      <c r="O664" s="1" t="s">
        <v>36</v>
      </c>
      <c r="P664" s="186">
        <v>44873.392905092594</v>
      </c>
      <c r="R664" s="1" t="s">
        <v>38</v>
      </c>
      <c r="T664" s="1" t="s">
        <v>74</v>
      </c>
      <c r="U664" s="186">
        <v>44915.75</v>
      </c>
      <c r="V664" s="1" t="s">
        <v>41</v>
      </c>
      <c r="W664" s="1" t="s">
        <v>49</v>
      </c>
      <c r="X664" s="13"/>
      <c r="Y664" s="2">
        <f t="shared" ca="1" si="60"/>
        <v>82</v>
      </c>
      <c r="Z664" s="14">
        <v>1</v>
      </c>
      <c r="AA664" s="1" t="str">
        <f t="shared" ca="1" si="61"/>
        <v>VENCIDO</v>
      </c>
      <c r="AB664" s="1" t="str">
        <f t="shared" si="62"/>
        <v>Dosa</v>
      </c>
      <c r="AC664" s="2" t="str">
        <f t="shared" si="65"/>
        <v xml:space="preserve"> ROSEMERE </v>
      </c>
      <c r="AD664" s="2">
        <f t="shared" si="63"/>
        <v>5</v>
      </c>
      <c r="AE664" s="2">
        <f t="shared" ca="1" si="64"/>
        <v>-70.926271643518703</v>
      </c>
      <c r="AF664" s="15"/>
    </row>
    <row r="665" spans="1:32" hidden="1">
      <c r="A665" s="1">
        <v>9047065</v>
      </c>
      <c r="B665" s="1" t="s">
        <v>62</v>
      </c>
      <c r="C665" t="s">
        <v>1310</v>
      </c>
      <c r="E665" s="2">
        <v>9703000206001</v>
      </c>
      <c r="F665" s="1" t="s">
        <v>29</v>
      </c>
      <c r="G665" s="1" t="s">
        <v>53</v>
      </c>
      <c r="H665" s="1" t="s">
        <v>494</v>
      </c>
      <c r="I665" s="1" t="s">
        <v>495</v>
      </c>
      <c r="J665" s="1" t="s">
        <v>79</v>
      </c>
      <c r="K665" t="s">
        <v>34</v>
      </c>
      <c r="M665" s="1" t="s">
        <v>35</v>
      </c>
      <c r="N665" s="1">
        <v>42318949</v>
      </c>
      <c r="O665" s="1" t="s">
        <v>36</v>
      </c>
      <c r="P665" s="186">
        <v>44873.385509259257</v>
      </c>
      <c r="R665" s="1" t="s">
        <v>38</v>
      </c>
      <c r="T665" s="1" t="s">
        <v>74</v>
      </c>
      <c r="U665" s="186">
        <v>44915.75</v>
      </c>
      <c r="V665" s="1" t="s">
        <v>41</v>
      </c>
      <c r="W665" s="1" t="s">
        <v>49</v>
      </c>
      <c r="X665" s="13"/>
      <c r="Y665" s="2">
        <f t="shared" ca="1" si="60"/>
        <v>82</v>
      </c>
      <c r="Z665" s="14">
        <v>1</v>
      </c>
      <c r="AA665" s="1" t="str">
        <f t="shared" ca="1" si="61"/>
        <v>VENCIDO</v>
      </c>
      <c r="AB665" s="1" t="str">
        <f t="shared" si="62"/>
        <v>Dosa</v>
      </c>
      <c r="AC665" s="2" t="str">
        <f t="shared" si="65"/>
        <v xml:space="preserve"> ROSEMERE </v>
      </c>
      <c r="AD665" s="2">
        <f t="shared" si="63"/>
        <v>5</v>
      </c>
      <c r="AE665" s="2">
        <f t="shared" ca="1" si="64"/>
        <v>-70.926271643518703</v>
      </c>
      <c r="AF665" s="15"/>
    </row>
    <row r="666" spans="1:32" hidden="1">
      <c r="A666" s="1">
        <v>9051455</v>
      </c>
      <c r="B666" s="1" t="s">
        <v>27</v>
      </c>
      <c r="C666" t="s">
        <v>1312</v>
      </c>
      <c r="E666" s="2">
        <v>1792000206001</v>
      </c>
      <c r="F666" s="1" t="s">
        <v>29</v>
      </c>
      <c r="G666" s="1" t="s">
        <v>53</v>
      </c>
      <c r="H666" s="1" t="s">
        <v>467</v>
      </c>
      <c r="I666" s="1" t="s">
        <v>468</v>
      </c>
      <c r="J666" s="1" t="s">
        <v>110</v>
      </c>
      <c r="K666" t="s">
        <v>34</v>
      </c>
      <c r="M666" s="1" t="s">
        <v>35</v>
      </c>
      <c r="N666" s="1">
        <v>42318949</v>
      </c>
      <c r="O666" s="1" t="s">
        <v>36</v>
      </c>
      <c r="P666" s="186">
        <v>44874.715046296296</v>
      </c>
      <c r="R666" s="1" t="s">
        <v>38</v>
      </c>
      <c r="T666" s="1" t="s">
        <v>74</v>
      </c>
      <c r="U666" s="186">
        <v>44875.75</v>
      </c>
      <c r="V666" s="1" t="s">
        <v>41</v>
      </c>
      <c r="W666" s="1" t="s">
        <v>49</v>
      </c>
      <c r="X666" s="13"/>
      <c r="Y666" s="2">
        <f t="shared" ca="1" si="60"/>
        <v>81</v>
      </c>
      <c r="Z666" s="14">
        <v>1</v>
      </c>
      <c r="AA666" s="1" t="str">
        <f t="shared" ca="1" si="61"/>
        <v>VENCIDO</v>
      </c>
      <c r="AB666" s="1" t="str">
        <f t="shared" si="62"/>
        <v>Dosa</v>
      </c>
      <c r="AC666" s="2" t="str">
        <f t="shared" si="65"/>
        <v xml:space="preserve"> CRISTINA </v>
      </c>
      <c r="AD666" s="2">
        <f t="shared" si="63"/>
        <v>5</v>
      </c>
      <c r="AE666" s="2">
        <f t="shared" ca="1" si="64"/>
        <v>-110.9262716435187</v>
      </c>
      <c r="AF666" s="15"/>
    </row>
    <row r="667" spans="1:32" hidden="1">
      <c r="A667" s="1">
        <v>9050458</v>
      </c>
      <c r="B667" s="1" t="s">
        <v>81</v>
      </c>
      <c r="C667" t="s">
        <v>1210</v>
      </c>
      <c r="E667" s="2">
        <v>7417183024674</v>
      </c>
      <c r="F667" s="1" t="s">
        <v>1313</v>
      </c>
      <c r="G667" s="1" t="s">
        <v>53</v>
      </c>
      <c r="H667" s="1" t="s">
        <v>1314</v>
      </c>
      <c r="I667" s="1" t="s">
        <v>1315</v>
      </c>
      <c r="J667" s="1" t="s">
        <v>164</v>
      </c>
      <c r="K667" t="s">
        <v>1316</v>
      </c>
      <c r="M667" s="1" t="s">
        <v>58</v>
      </c>
      <c r="N667" s="1">
        <v>0</v>
      </c>
      <c r="O667" s="1" t="s">
        <v>105</v>
      </c>
      <c r="P667" s="186">
        <v>44874.485636574071</v>
      </c>
      <c r="R667" s="1">
        <v>15</v>
      </c>
      <c r="T667" s="1" t="s">
        <v>238</v>
      </c>
      <c r="U667" s="186">
        <v>44875.489884259259</v>
      </c>
      <c r="V667" s="1" t="s">
        <v>41</v>
      </c>
      <c r="W667" s="1" t="s">
        <v>49</v>
      </c>
      <c r="X667" s="13"/>
      <c r="Y667" s="2">
        <f t="shared" ca="1" si="60"/>
        <v>81</v>
      </c>
      <c r="Z667" s="14">
        <v>1</v>
      </c>
      <c r="AA667" s="1" t="str">
        <f t="shared" ca="1" si="61"/>
        <v>VENCIDO</v>
      </c>
      <c r="AB667" s="1" t="str">
        <f t="shared" si="62"/>
        <v>TAAe+</v>
      </c>
      <c r="AC667" s="2" t="str">
        <f t="shared" si="65"/>
        <v xml:space="preserve"> ROSEMERE </v>
      </c>
      <c r="AD667" s="2">
        <f t="shared" si="63"/>
        <v>8</v>
      </c>
      <c r="AE667" s="2">
        <f t="shared" ca="1" si="64"/>
        <v>-111.18638738425943</v>
      </c>
      <c r="AF667" s="15"/>
    </row>
    <row r="668" spans="1:32" hidden="1">
      <c r="A668" s="1">
        <v>9056147</v>
      </c>
      <c r="B668" s="1" t="s">
        <v>62</v>
      </c>
      <c r="C668" t="s">
        <v>1319</v>
      </c>
      <c r="E668" s="2">
        <v>159000206001</v>
      </c>
      <c r="F668" s="1" t="s">
        <v>29</v>
      </c>
      <c r="G668" s="1" t="s">
        <v>53</v>
      </c>
      <c r="H668" s="1" t="s">
        <v>331</v>
      </c>
      <c r="I668" s="1" t="s">
        <v>332</v>
      </c>
      <c r="J668" s="1" t="s">
        <v>79</v>
      </c>
      <c r="K668" t="s">
        <v>34</v>
      </c>
      <c r="M668" s="1" t="s">
        <v>35</v>
      </c>
      <c r="N668" s="1">
        <v>42318949</v>
      </c>
      <c r="O668" s="1" t="s">
        <v>105</v>
      </c>
      <c r="P668" s="186">
        <v>44876.61822916667</v>
      </c>
      <c r="R668" s="1" t="s">
        <v>38</v>
      </c>
      <c r="T668" s="1" t="s">
        <v>74</v>
      </c>
      <c r="U668" s="186">
        <v>44918.75</v>
      </c>
      <c r="V668" s="1" t="s">
        <v>41</v>
      </c>
      <c r="W668" s="1" t="s">
        <v>49</v>
      </c>
      <c r="X668" s="13"/>
      <c r="Y668" s="2">
        <f t="shared" ca="1" si="60"/>
        <v>79</v>
      </c>
      <c r="Z668" s="14">
        <v>1</v>
      </c>
      <c r="AA668" s="1" t="str">
        <f t="shared" ca="1" si="61"/>
        <v>VENCIDO</v>
      </c>
      <c r="AB668" s="1" t="str">
        <f t="shared" si="62"/>
        <v>Dosa</v>
      </c>
      <c r="AC668" s="2" t="str">
        <f t="shared" si="65"/>
        <v xml:space="preserve"> ROSEMERE </v>
      </c>
      <c r="AD668" s="2">
        <f t="shared" si="63"/>
        <v>5</v>
      </c>
      <c r="AE668" s="2">
        <f t="shared" ca="1" si="64"/>
        <v>-67.926271643518703</v>
      </c>
      <c r="AF668" s="15"/>
    </row>
    <row r="669" spans="1:32" hidden="1">
      <c r="A669" s="1">
        <v>9065338</v>
      </c>
      <c r="B669" s="1" t="s">
        <v>1153</v>
      </c>
      <c r="C669" t="s">
        <v>1322</v>
      </c>
      <c r="D669" s="2">
        <v>220184615</v>
      </c>
      <c r="E669" s="2">
        <v>2138001400030</v>
      </c>
      <c r="F669" s="1" t="s">
        <v>647</v>
      </c>
      <c r="G669" s="1" t="s">
        <v>53</v>
      </c>
      <c r="H669" s="1" t="s">
        <v>379</v>
      </c>
      <c r="I669" s="1" t="s">
        <v>380</v>
      </c>
      <c r="J669" s="1" t="s">
        <v>46</v>
      </c>
      <c r="K669" t="s">
        <v>650</v>
      </c>
      <c r="M669" s="1" t="s">
        <v>58</v>
      </c>
      <c r="N669" s="1">
        <v>0</v>
      </c>
      <c r="O669" s="1" t="s">
        <v>36</v>
      </c>
      <c r="P669" s="186">
        <v>44879.701990740738</v>
      </c>
      <c r="R669" s="1">
        <v>4</v>
      </c>
      <c r="T669" s="1" t="s">
        <v>646</v>
      </c>
      <c r="U669" s="186">
        <v>44887.479166666664</v>
      </c>
      <c r="V669" s="1" t="s">
        <v>41</v>
      </c>
      <c r="W669" s="1" t="s">
        <v>49</v>
      </c>
      <c r="X669" s="13"/>
      <c r="Y669" s="2">
        <f t="shared" ca="1" si="60"/>
        <v>78</v>
      </c>
      <c r="Z669" s="14">
        <v>1</v>
      </c>
      <c r="AA669" s="1" t="str">
        <f t="shared" ca="1" si="61"/>
        <v>VENCIDO</v>
      </c>
      <c r="AB669" s="1" t="str">
        <f t="shared" si="62"/>
        <v>C-14</v>
      </c>
      <c r="AC669" s="2" t="str">
        <f t="shared" si="65"/>
        <v xml:space="preserve"> CLEITON </v>
      </c>
      <c r="AD669" s="2">
        <f t="shared" si="63"/>
        <v>15</v>
      </c>
      <c r="AE669" s="2">
        <f t="shared" ca="1" si="64"/>
        <v>-99.197104976854462</v>
      </c>
      <c r="AF669" s="15"/>
    </row>
    <row r="670" spans="1:32" hidden="1">
      <c r="A670" s="1">
        <v>9095498</v>
      </c>
      <c r="B670" s="1" t="s">
        <v>1153</v>
      </c>
      <c r="C670" t="s">
        <v>1324</v>
      </c>
      <c r="D670" s="2">
        <v>220188160</v>
      </c>
      <c r="E670" s="2">
        <v>1049001400030</v>
      </c>
      <c r="F670" s="1" t="s">
        <v>647</v>
      </c>
      <c r="G670" s="1" t="s">
        <v>53</v>
      </c>
      <c r="H670" s="1" t="s">
        <v>169</v>
      </c>
      <c r="I670" s="1" t="s">
        <v>170</v>
      </c>
      <c r="J670" s="1" t="s">
        <v>164</v>
      </c>
      <c r="K670" t="s">
        <v>650</v>
      </c>
      <c r="M670" s="1" t="s">
        <v>58</v>
      </c>
      <c r="N670" s="1">
        <v>0</v>
      </c>
      <c r="O670" s="1" t="s">
        <v>36</v>
      </c>
      <c r="P670" s="186">
        <v>44888.677094907405</v>
      </c>
      <c r="R670" s="1">
        <v>4</v>
      </c>
      <c r="T670" s="1" t="s">
        <v>646</v>
      </c>
      <c r="U670" s="186">
        <v>44895.489594907405</v>
      </c>
      <c r="V670" s="1" t="s">
        <v>41</v>
      </c>
      <c r="W670" s="1" t="s">
        <v>49</v>
      </c>
      <c r="X670" s="13"/>
      <c r="Y670" s="2">
        <f t="shared" ca="1" si="60"/>
        <v>71</v>
      </c>
      <c r="Z670" s="14">
        <v>1</v>
      </c>
      <c r="AA670" s="1" t="str">
        <f t="shared" ca="1" si="61"/>
        <v>VENCIDO</v>
      </c>
      <c r="AB670" s="1" t="str">
        <f t="shared" si="62"/>
        <v>C-14</v>
      </c>
      <c r="AC670" s="2" t="str">
        <f t="shared" si="65"/>
        <v xml:space="preserve"> ROSEMERE </v>
      </c>
      <c r="AD670" s="2">
        <f t="shared" si="63"/>
        <v>15</v>
      </c>
      <c r="AE670" s="2">
        <f t="shared" ca="1" si="64"/>
        <v>-91.186676736113441</v>
      </c>
      <c r="AF670" s="15"/>
    </row>
    <row r="671" spans="1:32" hidden="1">
      <c r="A671" s="1">
        <v>9095341</v>
      </c>
      <c r="B671" s="1" t="s">
        <v>62</v>
      </c>
      <c r="C671" t="s">
        <v>3030</v>
      </c>
      <c r="E671" s="2">
        <v>2335000203000</v>
      </c>
      <c r="F671" s="1" t="s">
        <v>454</v>
      </c>
      <c r="G671" s="1" t="s">
        <v>53</v>
      </c>
      <c r="H671" s="1" t="s">
        <v>194</v>
      </c>
      <c r="I671" s="1" t="s">
        <v>195</v>
      </c>
      <c r="J671" s="1" t="s">
        <v>110</v>
      </c>
      <c r="K671" t="s">
        <v>457</v>
      </c>
      <c r="M671" s="1" t="s">
        <v>58</v>
      </c>
      <c r="N671" s="1">
        <v>0</v>
      </c>
      <c r="O671" s="1" t="s">
        <v>36</v>
      </c>
      <c r="P671" s="186">
        <v>44888.655601851853</v>
      </c>
      <c r="R671" s="1">
        <v>1</v>
      </c>
      <c r="T671" s="1" t="s">
        <v>157</v>
      </c>
      <c r="U671" s="186">
        <v>44928.75</v>
      </c>
      <c r="V671" s="1" t="s">
        <v>41</v>
      </c>
      <c r="W671" s="1" t="s">
        <v>49</v>
      </c>
      <c r="X671" s="13"/>
      <c r="Y671" s="2">
        <f t="shared" ca="1" si="60"/>
        <v>71</v>
      </c>
      <c r="Z671" s="14">
        <v>1</v>
      </c>
      <c r="AA671" s="1" t="str">
        <f t="shared" ca="1" si="61"/>
        <v>VENCIDO</v>
      </c>
      <c r="AB671" s="1" t="str">
        <f t="shared" si="62"/>
        <v>C-14</v>
      </c>
      <c r="AC671" s="2" t="str">
        <f t="shared" si="65"/>
        <v xml:space="preserve"> CRISTINA </v>
      </c>
      <c r="AD671" s="2">
        <f t="shared" si="63"/>
        <v>5</v>
      </c>
      <c r="AE671" s="2">
        <f t="shared" ca="1" si="64"/>
        <v>-57.926271643518703</v>
      </c>
      <c r="AF671" s="15"/>
    </row>
    <row r="672" spans="1:32">
      <c r="A672" s="1">
        <v>9093400</v>
      </c>
      <c r="B672" s="1" t="s">
        <v>101</v>
      </c>
      <c r="C672" t="s">
        <v>643</v>
      </c>
      <c r="D672" s="2">
        <v>220160091</v>
      </c>
      <c r="E672" s="2">
        <v>68001400010</v>
      </c>
      <c r="F672" s="1" t="s">
        <v>936</v>
      </c>
      <c r="G672" s="1" t="s">
        <v>53</v>
      </c>
      <c r="H672" s="1" t="s">
        <v>1330</v>
      </c>
      <c r="I672" s="1" t="s">
        <v>1331</v>
      </c>
      <c r="J672" s="1" t="s">
        <v>211</v>
      </c>
      <c r="K672" t="s">
        <v>937</v>
      </c>
      <c r="M672" s="1" t="s">
        <v>58</v>
      </c>
      <c r="N672" s="1">
        <v>0</v>
      </c>
      <c r="O672" s="1" t="s">
        <v>105</v>
      </c>
      <c r="P672" s="186">
        <v>44888.350393518522</v>
      </c>
      <c r="R672" s="1">
        <v>3</v>
      </c>
      <c r="T672" s="1" t="s">
        <v>646</v>
      </c>
      <c r="U672" s="186">
        <v>44889.350393518522</v>
      </c>
      <c r="V672" s="1" t="s">
        <v>41</v>
      </c>
      <c r="W672" s="1" t="s">
        <v>49</v>
      </c>
      <c r="X672" s="13"/>
      <c r="Y672" s="2">
        <f t="shared" ca="1" si="60"/>
        <v>71</v>
      </c>
      <c r="Z672" s="14">
        <v>1</v>
      </c>
      <c r="AA672" s="1" t="str">
        <f t="shared" ca="1" si="61"/>
        <v>VENCIDO</v>
      </c>
      <c r="AB672" s="1" t="str">
        <f t="shared" si="62"/>
        <v>C-14</v>
      </c>
      <c r="AC672" s="2" t="str">
        <f t="shared" si="65"/>
        <v xml:space="preserve"> RINALDO </v>
      </c>
      <c r="AD672" s="2">
        <f t="shared" si="63"/>
        <v>5</v>
      </c>
      <c r="AE672" s="2">
        <f t="shared" ca="1" si="64"/>
        <v>-97.325878124996962</v>
      </c>
      <c r="AF672" s="15"/>
    </row>
    <row r="673" spans="1:32" hidden="1">
      <c r="A673" s="1">
        <v>9093399</v>
      </c>
      <c r="B673" s="1" t="s">
        <v>101</v>
      </c>
      <c r="C673" t="s">
        <v>643</v>
      </c>
      <c r="D673" s="2">
        <v>220160090</v>
      </c>
      <c r="E673" s="2">
        <v>67001400010</v>
      </c>
      <c r="F673" s="1" t="s">
        <v>936</v>
      </c>
      <c r="G673" s="1" t="s">
        <v>53</v>
      </c>
      <c r="H673" s="1" t="s">
        <v>404</v>
      </c>
      <c r="I673" s="1" t="s">
        <v>405</v>
      </c>
      <c r="J673" s="1" t="s">
        <v>164</v>
      </c>
      <c r="K673" t="s">
        <v>937</v>
      </c>
      <c r="M673" s="1" t="s">
        <v>58</v>
      </c>
      <c r="N673" s="1">
        <v>0</v>
      </c>
      <c r="O673" s="1" t="s">
        <v>105</v>
      </c>
      <c r="P673" s="186">
        <v>44888.350335648145</v>
      </c>
      <c r="R673" s="1">
        <v>3</v>
      </c>
      <c r="T673" s="1" t="s">
        <v>646</v>
      </c>
      <c r="U673" s="186">
        <v>44889.350335648145</v>
      </c>
      <c r="V673" s="1" t="s">
        <v>41</v>
      </c>
      <c r="W673" s="1" t="s">
        <v>49</v>
      </c>
      <c r="X673" s="13"/>
      <c r="Y673" s="2">
        <f t="shared" ca="1" si="60"/>
        <v>71</v>
      </c>
      <c r="Z673" s="14">
        <v>1</v>
      </c>
      <c r="AA673" s="1" t="str">
        <f t="shared" ca="1" si="61"/>
        <v>VENCIDO</v>
      </c>
      <c r="AB673" s="1" t="str">
        <f t="shared" si="62"/>
        <v>C-14</v>
      </c>
      <c r="AC673" s="2" t="str">
        <f t="shared" si="65"/>
        <v xml:space="preserve"> ROSEMERE </v>
      </c>
      <c r="AD673" s="2">
        <f t="shared" si="63"/>
        <v>5</v>
      </c>
      <c r="AE673" s="2">
        <f t="shared" ca="1" si="64"/>
        <v>-97.325935995373584</v>
      </c>
      <c r="AF673" s="15"/>
    </row>
    <row r="674" spans="1:32" hidden="1">
      <c r="A674" s="1">
        <v>9110613</v>
      </c>
      <c r="B674" s="1" t="s">
        <v>62</v>
      </c>
      <c r="C674" t="s">
        <v>1336</v>
      </c>
      <c r="E674" s="2">
        <v>2830000203010</v>
      </c>
      <c r="F674" s="1" t="s">
        <v>152</v>
      </c>
      <c r="G674" s="1" t="s">
        <v>53</v>
      </c>
      <c r="H674" s="1" t="s">
        <v>448</v>
      </c>
      <c r="I674" s="1" t="s">
        <v>449</v>
      </c>
      <c r="J674" s="1" t="s">
        <v>33</v>
      </c>
      <c r="K674" t="s">
        <v>155</v>
      </c>
      <c r="M674" s="1" t="s">
        <v>35</v>
      </c>
      <c r="N674" s="1">
        <v>42318949</v>
      </c>
      <c r="O674" s="1" t="s">
        <v>105</v>
      </c>
      <c r="P674" s="186">
        <v>44893.494722222225</v>
      </c>
      <c r="R674" s="1">
        <v>1</v>
      </c>
      <c r="T674" s="1" t="s">
        <v>157</v>
      </c>
      <c r="U674" s="186">
        <v>44925.75</v>
      </c>
      <c r="V674" s="1" t="s">
        <v>41</v>
      </c>
      <c r="W674" s="1" t="s">
        <v>42</v>
      </c>
      <c r="X674" s="13"/>
      <c r="Y674" s="2">
        <f t="shared" ca="1" si="60"/>
        <v>68</v>
      </c>
      <c r="Z674" s="14">
        <v>1</v>
      </c>
      <c r="AA674" s="1" t="str">
        <f t="shared" ca="1" si="61"/>
        <v>VENCIDO</v>
      </c>
      <c r="AB674" s="1" t="str">
        <f t="shared" si="62"/>
        <v>TAAe+</v>
      </c>
      <c r="AC674" s="2" t="str">
        <f t="shared" si="65"/>
        <v xml:space="preserve"> ROSEMERE </v>
      </c>
      <c r="AD674" s="2">
        <f t="shared" si="63"/>
        <v>8</v>
      </c>
      <c r="AE674" s="2">
        <f t="shared" ca="1" si="64"/>
        <v>-60.926271643518703</v>
      </c>
      <c r="AF674" s="15"/>
    </row>
    <row r="675" spans="1:32" hidden="1">
      <c r="A675" s="1">
        <v>9110065</v>
      </c>
      <c r="B675" s="1" t="s">
        <v>62</v>
      </c>
      <c r="C675" t="s">
        <v>1339</v>
      </c>
      <c r="E675" s="2">
        <v>9703000206021</v>
      </c>
      <c r="F675" s="1" t="s">
        <v>103</v>
      </c>
      <c r="G675" s="1" t="s">
        <v>53</v>
      </c>
      <c r="H675" s="1" t="s">
        <v>494</v>
      </c>
      <c r="I675" s="1" t="s">
        <v>495</v>
      </c>
      <c r="J675" s="1" t="s">
        <v>79</v>
      </c>
      <c r="K675" t="s">
        <v>104</v>
      </c>
      <c r="M675" s="1" t="s">
        <v>58</v>
      </c>
      <c r="N675" s="1">
        <v>0</v>
      </c>
      <c r="O675" s="1" t="s">
        <v>105</v>
      </c>
      <c r="P675" s="186">
        <v>44893.425879629627</v>
      </c>
      <c r="R675" s="1" t="s">
        <v>38</v>
      </c>
      <c r="T675" s="1" t="s">
        <v>74</v>
      </c>
      <c r="U675" s="186">
        <v>44932.75</v>
      </c>
      <c r="V675" s="1" t="s">
        <v>41</v>
      </c>
      <c r="W675" s="1" t="s">
        <v>49</v>
      </c>
      <c r="X675" s="13"/>
      <c r="Y675" s="2">
        <f t="shared" ca="1" si="60"/>
        <v>68</v>
      </c>
      <c r="Z675" s="14">
        <v>1</v>
      </c>
      <c r="AA675" s="1" t="str">
        <f t="shared" ca="1" si="61"/>
        <v>VENCIDO</v>
      </c>
      <c r="AB675" s="1" t="str">
        <f t="shared" si="62"/>
        <v>Dosa</v>
      </c>
      <c r="AC675" s="2" t="str">
        <f t="shared" si="65"/>
        <v xml:space="preserve"> ROSEMERE </v>
      </c>
      <c r="AD675" s="2">
        <f t="shared" si="63"/>
        <v>5</v>
      </c>
      <c r="AE675" s="2">
        <f t="shared" ca="1" si="64"/>
        <v>-53.926271643518703</v>
      </c>
      <c r="AF675" s="15"/>
    </row>
    <row r="676" spans="1:32" hidden="1">
      <c r="A676" s="1">
        <v>9110056</v>
      </c>
      <c r="B676" s="1" t="s">
        <v>62</v>
      </c>
      <c r="C676" t="s">
        <v>1342</v>
      </c>
      <c r="E676" s="2">
        <v>9703000206021</v>
      </c>
      <c r="F676" s="1" t="s">
        <v>103</v>
      </c>
      <c r="G676" s="1" t="s">
        <v>53</v>
      </c>
      <c r="H676" s="1" t="s">
        <v>494</v>
      </c>
      <c r="I676" s="1" t="s">
        <v>495</v>
      </c>
      <c r="J676" s="1" t="s">
        <v>79</v>
      </c>
      <c r="K676" t="s">
        <v>104</v>
      </c>
      <c r="M676" s="1" t="s">
        <v>58</v>
      </c>
      <c r="N676" s="1">
        <v>0</v>
      </c>
      <c r="O676" s="1" t="s">
        <v>105</v>
      </c>
      <c r="P676" s="186">
        <v>44893.424502314818</v>
      </c>
      <c r="R676" s="1" t="s">
        <v>38</v>
      </c>
      <c r="T676" s="1" t="s">
        <v>74</v>
      </c>
      <c r="U676" s="186">
        <v>44932.75</v>
      </c>
      <c r="V676" s="1" t="s">
        <v>41</v>
      </c>
      <c r="W676" s="1" t="s">
        <v>49</v>
      </c>
      <c r="X676" s="13"/>
      <c r="Y676" s="2">
        <f t="shared" ca="1" si="60"/>
        <v>68</v>
      </c>
      <c r="Z676" s="14">
        <v>1</v>
      </c>
      <c r="AA676" s="1" t="str">
        <f t="shared" ca="1" si="61"/>
        <v>VENCIDO</v>
      </c>
      <c r="AB676" s="1" t="str">
        <f t="shared" si="62"/>
        <v>Dosa</v>
      </c>
      <c r="AC676" s="2" t="str">
        <f t="shared" si="65"/>
        <v xml:space="preserve"> ROSEMERE </v>
      </c>
      <c r="AD676" s="2">
        <f t="shared" si="63"/>
        <v>5</v>
      </c>
      <c r="AE676" s="2">
        <f t="shared" ca="1" si="64"/>
        <v>-53.926271643518703</v>
      </c>
      <c r="AF676" s="15"/>
    </row>
    <row r="677" spans="1:32" hidden="1">
      <c r="A677" s="1">
        <v>9110055</v>
      </c>
      <c r="B677" s="1" t="s">
        <v>62</v>
      </c>
      <c r="C677" t="s">
        <v>1342</v>
      </c>
      <c r="E677" s="2">
        <v>9703000206021</v>
      </c>
      <c r="F677" s="1" t="s">
        <v>103</v>
      </c>
      <c r="G677" s="1" t="s">
        <v>53</v>
      </c>
      <c r="H677" s="1" t="s">
        <v>494</v>
      </c>
      <c r="I677" s="1" t="s">
        <v>495</v>
      </c>
      <c r="J677" s="1" t="s">
        <v>79</v>
      </c>
      <c r="K677" t="s">
        <v>104</v>
      </c>
      <c r="M677" s="1" t="s">
        <v>58</v>
      </c>
      <c r="N677" s="1">
        <v>0</v>
      </c>
      <c r="O677" s="1" t="s">
        <v>105</v>
      </c>
      <c r="P677" s="186">
        <v>44893.423750000002</v>
      </c>
      <c r="R677" s="1" t="s">
        <v>38</v>
      </c>
      <c r="T677" s="1" t="s">
        <v>74</v>
      </c>
      <c r="U677" s="186">
        <v>44932.75</v>
      </c>
      <c r="V677" s="1" t="s">
        <v>41</v>
      </c>
      <c r="W677" s="1" t="s">
        <v>49</v>
      </c>
      <c r="X677" s="13"/>
      <c r="Y677" s="2">
        <f t="shared" ca="1" si="60"/>
        <v>68</v>
      </c>
      <c r="Z677" s="14">
        <v>1</v>
      </c>
      <c r="AA677" s="1" t="str">
        <f t="shared" ca="1" si="61"/>
        <v>VENCIDO</v>
      </c>
      <c r="AB677" s="1" t="str">
        <f t="shared" si="62"/>
        <v>Dosa</v>
      </c>
      <c r="AC677" s="2" t="str">
        <f t="shared" si="65"/>
        <v xml:space="preserve"> ROSEMERE </v>
      </c>
      <c r="AD677" s="2">
        <f t="shared" si="63"/>
        <v>5</v>
      </c>
      <c r="AE677" s="2">
        <f t="shared" ca="1" si="64"/>
        <v>-53.926271643518703</v>
      </c>
      <c r="AF677" s="15"/>
    </row>
    <row r="678" spans="1:32" hidden="1">
      <c r="A678" s="1">
        <v>9110054</v>
      </c>
      <c r="B678" s="1" t="s">
        <v>27</v>
      </c>
      <c r="C678" t="s">
        <v>1342</v>
      </c>
      <c r="E678" s="2">
        <v>9703000206021</v>
      </c>
      <c r="F678" s="1" t="s">
        <v>103</v>
      </c>
      <c r="G678" s="1" t="s">
        <v>53</v>
      </c>
      <c r="H678" s="1" t="s">
        <v>494</v>
      </c>
      <c r="I678" s="1" t="s">
        <v>495</v>
      </c>
      <c r="K678" t="s">
        <v>104</v>
      </c>
      <c r="M678" s="1" t="s">
        <v>58</v>
      </c>
      <c r="N678" s="1">
        <v>0</v>
      </c>
      <c r="O678" s="1" t="s">
        <v>105</v>
      </c>
      <c r="P678" s="186">
        <v>44893.423159722224</v>
      </c>
      <c r="R678" s="1" t="s">
        <v>38</v>
      </c>
      <c r="T678" s="1" t="s">
        <v>74</v>
      </c>
      <c r="U678" s="186">
        <v>44932.75</v>
      </c>
      <c r="V678" s="1" t="s">
        <v>41</v>
      </c>
      <c r="W678" s="1" t="s">
        <v>49</v>
      </c>
      <c r="X678" s="13"/>
      <c r="Y678" s="2">
        <f t="shared" ca="1" si="60"/>
        <v>68</v>
      </c>
      <c r="Z678" s="14">
        <v>1</v>
      </c>
      <c r="AA678" s="1" t="str">
        <f t="shared" ca="1" si="61"/>
        <v>VENCIDO</v>
      </c>
      <c r="AB678" s="1" t="str">
        <f t="shared" si="62"/>
        <v>Dosa</v>
      </c>
      <c r="AC678" s="2">
        <f t="shared" si="65"/>
        <v>0</v>
      </c>
      <c r="AD678" s="2">
        <f t="shared" si="63"/>
        <v>5</v>
      </c>
      <c r="AE678" s="2">
        <f t="shared" ca="1" si="64"/>
        <v>-53.926271643518703</v>
      </c>
      <c r="AF678" s="15"/>
    </row>
    <row r="679" spans="1:32" hidden="1">
      <c r="A679" s="1">
        <v>9110053</v>
      </c>
      <c r="B679" s="1" t="s">
        <v>62</v>
      </c>
      <c r="C679" t="s">
        <v>1346</v>
      </c>
      <c r="E679" s="2">
        <v>9703000206021</v>
      </c>
      <c r="F679" s="1" t="s">
        <v>103</v>
      </c>
      <c r="G679" s="1" t="s">
        <v>53</v>
      </c>
      <c r="H679" s="1" t="s">
        <v>494</v>
      </c>
      <c r="I679" s="1" t="s">
        <v>495</v>
      </c>
      <c r="J679" s="1" t="s">
        <v>79</v>
      </c>
      <c r="K679" t="s">
        <v>104</v>
      </c>
      <c r="M679" s="1" t="s">
        <v>58</v>
      </c>
      <c r="N679" s="1">
        <v>0</v>
      </c>
      <c r="O679" s="1" t="s">
        <v>105</v>
      </c>
      <c r="P679" s="186">
        <v>44893.422430555554</v>
      </c>
      <c r="R679" s="1" t="s">
        <v>38</v>
      </c>
      <c r="T679" s="1" t="s">
        <v>74</v>
      </c>
      <c r="U679" s="186">
        <v>44932.75</v>
      </c>
      <c r="V679" s="1" t="s">
        <v>41</v>
      </c>
      <c r="W679" s="1" t="s">
        <v>49</v>
      </c>
      <c r="X679" s="13"/>
      <c r="Y679" s="2">
        <f t="shared" ca="1" si="60"/>
        <v>68</v>
      </c>
      <c r="Z679" s="14">
        <v>1</v>
      </c>
      <c r="AA679" s="1" t="str">
        <f t="shared" ca="1" si="61"/>
        <v>VENCIDO</v>
      </c>
      <c r="AB679" s="1" t="str">
        <f t="shared" si="62"/>
        <v>Dosa</v>
      </c>
      <c r="AC679" s="2" t="str">
        <f t="shared" si="65"/>
        <v xml:space="preserve"> ROSEMERE </v>
      </c>
      <c r="AD679" s="2">
        <f t="shared" si="63"/>
        <v>5</v>
      </c>
      <c r="AE679" s="2">
        <f t="shared" ca="1" si="64"/>
        <v>-53.926271643518703</v>
      </c>
      <c r="AF679" s="15"/>
    </row>
    <row r="680" spans="1:32">
      <c r="A680" s="1">
        <v>9119774</v>
      </c>
      <c r="B680" s="1" t="s">
        <v>1153</v>
      </c>
      <c r="C680" t="s">
        <v>1348</v>
      </c>
      <c r="D680" s="2">
        <v>220190443</v>
      </c>
      <c r="E680" s="2">
        <v>1146001400030</v>
      </c>
      <c r="F680" s="1" t="s">
        <v>647</v>
      </c>
      <c r="G680" s="1" t="s">
        <v>53</v>
      </c>
      <c r="H680" s="1" t="s">
        <v>315</v>
      </c>
      <c r="I680" s="1" t="s">
        <v>316</v>
      </c>
      <c r="J680" s="1" t="s">
        <v>148</v>
      </c>
      <c r="K680" t="s">
        <v>650</v>
      </c>
      <c r="M680" s="1" t="s">
        <v>58</v>
      </c>
      <c r="N680" s="1">
        <v>0</v>
      </c>
      <c r="O680" s="1" t="s">
        <v>36</v>
      </c>
      <c r="P680" s="186">
        <v>44895.552025462966</v>
      </c>
      <c r="R680" s="1">
        <v>4</v>
      </c>
      <c r="T680" s="1" t="s">
        <v>646</v>
      </c>
      <c r="U680" s="186">
        <v>44896.572858796295</v>
      </c>
      <c r="V680" s="1" t="s">
        <v>41</v>
      </c>
      <c r="W680" s="1" t="s">
        <v>49</v>
      </c>
      <c r="X680" s="13"/>
      <c r="Y680" s="2">
        <f t="shared" ca="1" si="60"/>
        <v>66</v>
      </c>
      <c r="Z680" s="14">
        <v>1</v>
      </c>
      <c r="AA680" s="1" t="str">
        <f t="shared" ca="1" si="61"/>
        <v>VENCIDO</v>
      </c>
      <c r="AB680" s="1" t="str">
        <f t="shared" si="62"/>
        <v>C-14</v>
      </c>
      <c r="AC680" s="2" t="str">
        <f t="shared" si="65"/>
        <v xml:space="preserve"> RINALDO </v>
      </c>
      <c r="AD680" s="2">
        <f t="shared" si="63"/>
        <v>15</v>
      </c>
      <c r="AE680" s="2">
        <f t="shared" ca="1" si="64"/>
        <v>-90.103412847223808</v>
      </c>
      <c r="AF680" s="15"/>
    </row>
    <row r="681" spans="1:32" hidden="1">
      <c r="A681" s="1">
        <v>9131493</v>
      </c>
      <c r="B681" s="1" t="s">
        <v>101</v>
      </c>
      <c r="C681" t="s">
        <v>643</v>
      </c>
      <c r="D681" s="2">
        <v>220197038</v>
      </c>
      <c r="E681" s="2">
        <v>834001400040</v>
      </c>
      <c r="F681" s="1" t="s">
        <v>644</v>
      </c>
      <c r="G681" s="1" t="s">
        <v>53</v>
      </c>
      <c r="H681" s="1" t="s">
        <v>367</v>
      </c>
      <c r="I681" s="1" t="s">
        <v>368</v>
      </c>
      <c r="J681" s="1" t="s">
        <v>261</v>
      </c>
      <c r="K681" t="s">
        <v>645</v>
      </c>
      <c r="M681" s="1" t="s">
        <v>58</v>
      </c>
      <c r="N681" s="1">
        <v>0</v>
      </c>
      <c r="O681" s="1" t="s">
        <v>105</v>
      </c>
      <c r="P681" s="186">
        <v>44896.698067129626</v>
      </c>
      <c r="R681" s="1">
        <v>2</v>
      </c>
      <c r="T681" s="1" t="s">
        <v>646</v>
      </c>
      <c r="U681" s="186">
        <v>44897.698067129626</v>
      </c>
      <c r="V681" s="1" t="s">
        <v>41</v>
      </c>
      <c r="W681" s="1" t="s">
        <v>49</v>
      </c>
      <c r="X681" s="13"/>
      <c r="Y681" s="2">
        <f t="shared" ca="1" si="60"/>
        <v>65</v>
      </c>
      <c r="Z681" s="14">
        <v>1</v>
      </c>
      <c r="AA681" s="1" t="str">
        <f t="shared" ca="1" si="61"/>
        <v>VENCIDO</v>
      </c>
      <c r="AB681" s="1" t="str">
        <f t="shared" si="62"/>
        <v>SL-On</v>
      </c>
      <c r="AC681" s="2" t="str">
        <f t="shared" si="65"/>
        <v xml:space="preserve"> CRISTINA </v>
      </c>
      <c r="AD681" s="2">
        <f t="shared" si="63"/>
        <v>1</v>
      </c>
      <c r="AE681" s="2">
        <f t="shared" ca="1" si="64"/>
        <v>-88.978204513892706</v>
      </c>
      <c r="AF681" s="15"/>
    </row>
    <row r="682" spans="1:32" hidden="1">
      <c r="A682" s="1">
        <v>9131454</v>
      </c>
      <c r="B682" s="1" t="s">
        <v>101</v>
      </c>
      <c r="C682" t="s">
        <v>643</v>
      </c>
      <c r="D682" s="2">
        <v>220197033</v>
      </c>
      <c r="E682" s="2">
        <v>821001400040</v>
      </c>
      <c r="F682" s="1" t="s">
        <v>644</v>
      </c>
      <c r="G682" s="1" t="s">
        <v>53</v>
      </c>
      <c r="H682" s="1" t="s">
        <v>1351</v>
      </c>
      <c r="I682" s="1" t="s">
        <v>1352</v>
      </c>
      <c r="J682" s="1" t="s">
        <v>46</v>
      </c>
      <c r="K682" t="s">
        <v>645</v>
      </c>
      <c r="M682" s="1" t="s">
        <v>58</v>
      </c>
      <c r="N682" s="1">
        <v>0</v>
      </c>
      <c r="O682" s="1" t="s">
        <v>105</v>
      </c>
      <c r="P682" s="186">
        <v>44896.696782407409</v>
      </c>
      <c r="R682" s="1">
        <v>2</v>
      </c>
      <c r="T682" s="1" t="s">
        <v>646</v>
      </c>
      <c r="U682" s="186">
        <v>44897.696782407409</v>
      </c>
      <c r="V682" s="1" t="s">
        <v>41</v>
      </c>
      <c r="W682" s="1" t="s">
        <v>49</v>
      </c>
      <c r="X682" s="13"/>
      <c r="Y682" s="2">
        <f t="shared" ca="1" si="60"/>
        <v>65</v>
      </c>
      <c r="Z682" s="14">
        <v>1</v>
      </c>
      <c r="AA682" s="1" t="str">
        <f t="shared" ca="1" si="61"/>
        <v>VENCIDO</v>
      </c>
      <c r="AB682" s="1" t="str">
        <f t="shared" si="62"/>
        <v>SL-On</v>
      </c>
      <c r="AC682" s="2" t="str">
        <f t="shared" si="65"/>
        <v xml:space="preserve"> CLEITON </v>
      </c>
      <c r="AD682" s="2">
        <f t="shared" si="63"/>
        <v>1</v>
      </c>
      <c r="AE682" s="2">
        <f t="shared" ca="1" si="64"/>
        <v>-88.979489236109657</v>
      </c>
      <c r="AF682" s="15"/>
    </row>
    <row r="683" spans="1:32" hidden="1">
      <c r="A683" s="1">
        <v>9131400</v>
      </c>
      <c r="B683" s="1" t="s">
        <v>101</v>
      </c>
      <c r="C683" t="s">
        <v>643</v>
      </c>
      <c r="D683" s="2">
        <v>220195352</v>
      </c>
      <c r="E683" s="2">
        <v>1732001400030</v>
      </c>
      <c r="F683" s="1" t="s">
        <v>647</v>
      </c>
      <c r="G683" s="1" t="s">
        <v>53</v>
      </c>
      <c r="H683" s="1" t="s">
        <v>177</v>
      </c>
      <c r="I683" s="1" t="s">
        <v>178</v>
      </c>
      <c r="J683" s="1" t="s">
        <v>164</v>
      </c>
      <c r="K683" t="s">
        <v>650</v>
      </c>
      <c r="M683" s="1" t="s">
        <v>58</v>
      </c>
      <c r="N683" s="1">
        <v>0</v>
      </c>
      <c r="O683" s="1" t="s">
        <v>105</v>
      </c>
      <c r="P683" s="186">
        <v>44896.694756944446</v>
      </c>
      <c r="R683" s="1">
        <v>4</v>
      </c>
      <c r="T683" s="1" t="s">
        <v>646</v>
      </c>
      <c r="U683" s="186">
        <v>44897.694756944446</v>
      </c>
      <c r="V683" s="1" t="s">
        <v>41</v>
      </c>
      <c r="W683" s="1" t="s">
        <v>49</v>
      </c>
      <c r="X683" s="13"/>
      <c r="Y683" s="2">
        <f t="shared" ca="1" si="60"/>
        <v>65</v>
      </c>
      <c r="Z683" s="14">
        <v>1</v>
      </c>
      <c r="AA683" s="1" t="str">
        <f t="shared" ca="1" si="61"/>
        <v>VENCIDO</v>
      </c>
      <c r="AB683" s="1" t="str">
        <f t="shared" si="62"/>
        <v>C-14</v>
      </c>
      <c r="AC683" s="2" t="str">
        <f t="shared" si="65"/>
        <v xml:space="preserve"> ROSEMERE </v>
      </c>
      <c r="AD683" s="2">
        <f t="shared" si="63"/>
        <v>15</v>
      </c>
      <c r="AE683" s="2">
        <f t="shared" ca="1" si="64"/>
        <v>-88.981514699073159</v>
      </c>
      <c r="AF683" s="15"/>
    </row>
    <row r="684" spans="1:32" hidden="1">
      <c r="A684" s="1">
        <v>9131376</v>
      </c>
      <c r="B684" s="1" t="s">
        <v>101</v>
      </c>
      <c r="C684" t="s">
        <v>643</v>
      </c>
      <c r="D684" s="2">
        <v>220195375</v>
      </c>
      <c r="E684" s="2">
        <v>1792001400030</v>
      </c>
      <c r="F684" s="1" t="s">
        <v>647</v>
      </c>
      <c r="G684" s="1" t="s">
        <v>53</v>
      </c>
      <c r="H684" s="1" t="s">
        <v>467</v>
      </c>
      <c r="I684" s="1" t="s">
        <v>468</v>
      </c>
      <c r="J684" s="1" t="s">
        <v>110</v>
      </c>
      <c r="K684" t="s">
        <v>650</v>
      </c>
      <c r="M684" s="1" t="s">
        <v>58</v>
      </c>
      <c r="N684" s="1">
        <v>0</v>
      </c>
      <c r="O684" s="1" t="s">
        <v>105</v>
      </c>
      <c r="P684" s="186">
        <v>44896.693680555552</v>
      </c>
      <c r="R684" s="1">
        <v>4</v>
      </c>
      <c r="T684" s="1" t="s">
        <v>646</v>
      </c>
      <c r="U684" s="186">
        <v>44897.693692129629</v>
      </c>
      <c r="V684" s="1" t="s">
        <v>41</v>
      </c>
      <c r="W684" s="1" t="s">
        <v>49</v>
      </c>
      <c r="X684" s="13"/>
      <c r="Y684" s="2">
        <f t="shared" ca="1" si="60"/>
        <v>65</v>
      </c>
      <c r="Z684" s="14">
        <v>1</v>
      </c>
      <c r="AA684" s="1" t="str">
        <f t="shared" ca="1" si="61"/>
        <v>VENCIDO</v>
      </c>
      <c r="AB684" s="1" t="str">
        <f t="shared" si="62"/>
        <v>C-14</v>
      </c>
      <c r="AC684" s="2" t="str">
        <f t="shared" si="65"/>
        <v xml:space="preserve"> CRISTINA </v>
      </c>
      <c r="AD684" s="2">
        <f t="shared" si="63"/>
        <v>15</v>
      </c>
      <c r="AE684" s="2">
        <f t="shared" ca="1" si="64"/>
        <v>-88.982579513889505</v>
      </c>
      <c r="AF684" s="15"/>
    </row>
    <row r="685" spans="1:32" hidden="1">
      <c r="A685" s="1">
        <v>9131244</v>
      </c>
      <c r="B685" s="1" t="s">
        <v>101</v>
      </c>
      <c r="C685" t="s">
        <v>643</v>
      </c>
      <c r="D685" s="2">
        <v>220197571</v>
      </c>
      <c r="E685" s="2">
        <v>2326001400040</v>
      </c>
      <c r="F685" s="1" t="s">
        <v>644</v>
      </c>
      <c r="G685" s="1" t="s">
        <v>53</v>
      </c>
      <c r="H685" s="1" t="s">
        <v>191</v>
      </c>
      <c r="I685" s="1" t="s">
        <v>192</v>
      </c>
      <c r="J685" s="1" t="s">
        <v>46</v>
      </c>
      <c r="K685" t="s">
        <v>645</v>
      </c>
      <c r="M685" s="1" t="s">
        <v>58</v>
      </c>
      <c r="N685" s="1">
        <v>0</v>
      </c>
      <c r="O685" s="1" t="s">
        <v>105</v>
      </c>
      <c r="P685" s="186">
        <v>44896.684918981482</v>
      </c>
      <c r="R685" s="1">
        <v>2</v>
      </c>
      <c r="T685" s="1" t="s">
        <v>646</v>
      </c>
      <c r="U685" s="186">
        <v>44897.684930555559</v>
      </c>
      <c r="V685" s="1" t="s">
        <v>41</v>
      </c>
      <c r="W685" s="1" t="s">
        <v>49</v>
      </c>
      <c r="X685" s="13"/>
      <c r="Y685" s="2">
        <f t="shared" ca="1" si="60"/>
        <v>65</v>
      </c>
      <c r="Z685" s="14">
        <v>1</v>
      </c>
      <c r="AA685" s="1" t="str">
        <f t="shared" ca="1" si="61"/>
        <v>VENCIDO</v>
      </c>
      <c r="AB685" s="1" t="str">
        <f t="shared" si="62"/>
        <v>SL-On</v>
      </c>
      <c r="AC685" s="2" t="str">
        <f t="shared" si="65"/>
        <v xml:space="preserve"> CLEITON </v>
      </c>
      <c r="AD685" s="2">
        <f t="shared" si="63"/>
        <v>1</v>
      </c>
      <c r="AE685" s="2">
        <f t="shared" ca="1" si="64"/>
        <v>-88.991341087959881</v>
      </c>
      <c r="AF685" s="15"/>
    </row>
    <row r="686" spans="1:32" hidden="1">
      <c r="A686" s="1">
        <v>9131189</v>
      </c>
      <c r="B686" s="1" t="s">
        <v>101</v>
      </c>
      <c r="C686" t="s">
        <v>643</v>
      </c>
      <c r="D686" s="2">
        <v>220197881</v>
      </c>
      <c r="E686" s="2">
        <v>3504001400040</v>
      </c>
      <c r="F686" s="1" t="s">
        <v>644</v>
      </c>
      <c r="G686" s="1" t="s">
        <v>53</v>
      </c>
      <c r="H686" s="1" t="s">
        <v>585</v>
      </c>
      <c r="I686" s="1" t="s">
        <v>586</v>
      </c>
      <c r="J686" s="1" t="s">
        <v>46</v>
      </c>
      <c r="K686" t="s">
        <v>645</v>
      </c>
      <c r="M686" s="1" t="s">
        <v>58</v>
      </c>
      <c r="N686" s="1">
        <v>0</v>
      </c>
      <c r="O686" s="1" t="s">
        <v>105</v>
      </c>
      <c r="P686" s="186">
        <v>44896.682210648149</v>
      </c>
      <c r="R686" s="1">
        <v>3</v>
      </c>
      <c r="T686" s="1" t="s">
        <v>646</v>
      </c>
      <c r="U686" s="186">
        <v>44897.682210648149</v>
      </c>
      <c r="V686" s="1" t="s">
        <v>41</v>
      </c>
      <c r="W686" s="1" t="s">
        <v>49</v>
      </c>
      <c r="X686" s="13"/>
      <c r="Y686" s="2">
        <f t="shared" ca="1" si="60"/>
        <v>65</v>
      </c>
      <c r="Z686" s="14">
        <v>1</v>
      </c>
      <c r="AA686" s="1" t="str">
        <f t="shared" ca="1" si="61"/>
        <v>VENCIDO</v>
      </c>
      <c r="AB686" s="1" t="str">
        <f t="shared" si="62"/>
        <v>SL-On</v>
      </c>
      <c r="AC686" s="2" t="str">
        <f t="shared" si="65"/>
        <v xml:space="preserve"> CLEITON </v>
      </c>
      <c r="AD686" s="2">
        <f t="shared" si="63"/>
        <v>1</v>
      </c>
      <c r="AE686" s="2">
        <f t="shared" ca="1" si="64"/>
        <v>-88.994060995370091</v>
      </c>
      <c r="AF686" s="15"/>
    </row>
    <row r="687" spans="1:32" hidden="1">
      <c r="A687" s="1">
        <v>9131113</v>
      </c>
      <c r="B687" s="1" t="s">
        <v>101</v>
      </c>
      <c r="C687" t="s">
        <v>643</v>
      </c>
      <c r="D687" s="2">
        <v>220196664</v>
      </c>
      <c r="E687" s="2">
        <v>233001400040</v>
      </c>
      <c r="F687" s="1" t="s">
        <v>644</v>
      </c>
      <c r="G687" s="1" t="s">
        <v>53</v>
      </c>
      <c r="H687" s="1" t="s">
        <v>424</v>
      </c>
      <c r="I687" s="1" t="s">
        <v>425</v>
      </c>
      <c r="J687" s="1" t="s">
        <v>261</v>
      </c>
      <c r="K687" t="s">
        <v>645</v>
      </c>
      <c r="M687" s="1" t="s">
        <v>58</v>
      </c>
      <c r="N687" s="1">
        <v>0</v>
      </c>
      <c r="O687" s="1" t="s">
        <v>105</v>
      </c>
      <c r="P687" s="186">
        <v>44896.678414351853</v>
      </c>
      <c r="R687" s="1">
        <v>2</v>
      </c>
      <c r="T687" s="1" t="s">
        <v>646</v>
      </c>
      <c r="U687" s="186">
        <v>44897.678425925929</v>
      </c>
      <c r="V687" s="1" t="s">
        <v>41</v>
      </c>
      <c r="W687" s="1" t="s">
        <v>49</v>
      </c>
      <c r="X687" s="13"/>
      <c r="Y687" s="2">
        <f t="shared" ca="1" si="60"/>
        <v>65</v>
      </c>
      <c r="Z687" s="14">
        <v>1</v>
      </c>
      <c r="AA687" s="1" t="str">
        <f t="shared" ca="1" si="61"/>
        <v>VENCIDO</v>
      </c>
      <c r="AB687" s="1" t="str">
        <f t="shared" si="62"/>
        <v>SL-On</v>
      </c>
      <c r="AC687" s="2" t="str">
        <f t="shared" si="65"/>
        <v xml:space="preserve"> CRISTINA </v>
      </c>
      <c r="AD687" s="2">
        <f t="shared" si="63"/>
        <v>1</v>
      </c>
      <c r="AE687" s="2">
        <f t="shared" ca="1" si="64"/>
        <v>-88.997845717589371</v>
      </c>
      <c r="AF687" s="15"/>
    </row>
    <row r="688" spans="1:32" hidden="1">
      <c r="A688" s="1">
        <v>9131108</v>
      </c>
      <c r="B688" s="1" t="s">
        <v>101</v>
      </c>
      <c r="C688" t="s">
        <v>643</v>
      </c>
      <c r="D688" s="2">
        <v>220196140</v>
      </c>
      <c r="E688" s="2">
        <v>821071400030</v>
      </c>
      <c r="F688" s="1" t="s">
        <v>647</v>
      </c>
      <c r="G688" s="1" t="s">
        <v>53</v>
      </c>
      <c r="H688" s="1" t="s">
        <v>817</v>
      </c>
      <c r="I688" s="1" t="s">
        <v>818</v>
      </c>
      <c r="J688" s="1" t="s">
        <v>46</v>
      </c>
      <c r="K688" t="s">
        <v>650</v>
      </c>
      <c r="M688" s="1" t="s">
        <v>58</v>
      </c>
      <c r="N688" s="1">
        <v>0</v>
      </c>
      <c r="O688" s="1" t="s">
        <v>105</v>
      </c>
      <c r="P688" s="186">
        <v>44896.678136574075</v>
      </c>
      <c r="R688" s="1">
        <v>4</v>
      </c>
      <c r="T688" s="1" t="s">
        <v>646</v>
      </c>
      <c r="U688" s="186">
        <v>44897.678136574075</v>
      </c>
      <c r="V688" s="1" t="s">
        <v>41</v>
      </c>
      <c r="W688" s="1" t="s">
        <v>49</v>
      </c>
      <c r="X688" s="13"/>
      <c r="Y688" s="2">
        <f t="shared" ca="1" si="60"/>
        <v>65</v>
      </c>
      <c r="Z688" s="14">
        <v>1</v>
      </c>
      <c r="AA688" s="1" t="str">
        <f t="shared" ca="1" si="61"/>
        <v>VENCIDO</v>
      </c>
      <c r="AB688" s="1" t="str">
        <f t="shared" si="62"/>
        <v>C-14</v>
      </c>
      <c r="AC688" s="2" t="str">
        <f t="shared" si="65"/>
        <v xml:space="preserve"> CLEITON </v>
      </c>
      <c r="AD688" s="2">
        <f t="shared" si="63"/>
        <v>15</v>
      </c>
      <c r="AE688" s="2">
        <f t="shared" ca="1" si="64"/>
        <v>-88.998135069443379</v>
      </c>
      <c r="AF688" s="15"/>
    </row>
    <row r="689" spans="1:32" hidden="1">
      <c r="A689" s="1">
        <v>9131076</v>
      </c>
      <c r="B689" s="1" t="s">
        <v>101</v>
      </c>
      <c r="C689" t="s">
        <v>643</v>
      </c>
      <c r="D689" s="2">
        <v>220196663</v>
      </c>
      <c r="E689" s="2">
        <v>232001400040</v>
      </c>
      <c r="F689" s="1" t="s">
        <v>644</v>
      </c>
      <c r="G689" s="1" t="s">
        <v>53</v>
      </c>
      <c r="H689" s="1" t="s">
        <v>1363</v>
      </c>
      <c r="I689" s="1" t="s">
        <v>1364</v>
      </c>
      <c r="J689" s="1" t="s">
        <v>141</v>
      </c>
      <c r="K689" t="s">
        <v>645</v>
      </c>
      <c r="M689" s="1" t="s">
        <v>58</v>
      </c>
      <c r="N689" s="1">
        <v>0</v>
      </c>
      <c r="O689" s="1" t="s">
        <v>105</v>
      </c>
      <c r="P689" s="186">
        <v>44896.676157407404</v>
      </c>
      <c r="R689" s="1">
        <v>3</v>
      </c>
      <c r="T689" s="1" t="s">
        <v>646</v>
      </c>
      <c r="U689" s="186">
        <v>44897.676168981481</v>
      </c>
      <c r="V689" s="1" t="s">
        <v>41</v>
      </c>
      <c r="W689" s="1" t="s">
        <v>49</v>
      </c>
      <c r="X689" s="13"/>
      <c r="Y689" s="2">
        <f t="shared" ca="1" si="60"/>
        <v>65</v>
      </c>
      <c r="Z689" s="14">
        <v>1</v>
      </c>
      <c r="AA689" s="1" t="str">
        <f t="shared" ca="1" si="61"/>
        <v>VENCIDO</v>
      </c>
      <c r="AB689" s="1" t="str">
        <f t="shared" si="62"/>
        <v>SL-On</v>
      </c>
      <c r="AC689" s="2" t="str">
        <f t="shared" si="65"/>
        <v xml:space="preserve"> CRISTINA </v>
      </c>
      <c r="AD689" s="2">
        <f t="shared" si="63"/>
        <v>1</v>
      </c>
      <c r="AE689" s="2">
        <f t="shared" ca="1" si="64"/>
        <v>-89.000102662037534</v>
      </c>
      <c r="AF689" s="15"/>
    </row>
    <row r="690" spans="1:32" hidden="1">
      <c r="A690" s="1">
        <v>9131028</v>
      </c>
      <c r="B690" s="1" t="s">
        <v>101</v>
      </c>
      <c r="C690" t="s">
        <v>643</v>
      </c>
      <c r="D690" s="2">
        <v>220196655</v>
      </c>
      <c r="E690" s="2">
        <v>220001400040</v>
      </c>
      <c r="F690" s="1" t="s">
        <v>644</v>
      </c>
      <c r="G690" s="1" t="s">
        <v>53</v>
      </c>
      <c r="H690" s="1" t="s">
        <v>588</v>
      </c>
      <c r="I690" s="1" t="s">
        <v>589</v>
      </c>
      <c r="J690" s="1" t="s">
        <v>110</v>
      </c>
      <c r="K690" t="s">
        <v>645</v>
      </c>
      <c r="M690" s="1" t="s">
        <v>58</v>
      </c>
      <c r="N690" s="1">
        <v>0</v>
      </c>
      <c r="O690" s="1" t="s">
        <v>105</v>
      </c>
      <c r="P690" s="186">
        <v>44896.673981481479</v>
      </c>
      <c r="R690" s="1">
        <v>2</v>
      </c>
      <c r="T690" s="1" t="s">
        <v>646</v>
      </c>
      <c r="U690" s="186">
        <v>44897.673981481479</v>
      </c>
      <c r="V690" s="1" t="s">
        <v>41</v>
      </c>
      <c r="W690" s="1" t="s">
        <v>49</v>
      </c>
      <c r="X690" s="13"/>
      <c r="Y690" s="2">
        <f t="shared" ca="1" si="60"/>
        <v>65</v>
      </c>
      <c r="Z690" s="14">
        <v>1</v>
      </c>
      <c r="AA690" s="1" t="str">
        <f t="shared" ca="1" si="61"/>
        <v>VENCIDO</v>
      </c>
      <c r="AB690" s="1" t="str">
        <f t="shared" si="62"/>
        <v>SL-On</v>
      </c>
      <c r="AC690" s="2" t="str">
        <f t="shared" si="65"/>
        <v xml:space="preserve"> CRISTINA </v>
      </c>
      <c r="AD690" s="2">
        <f t="shared" si="63"/>
        <v>1</v>
      </c>
      <c r="AE690" s="2">
        <f t="shared" ca="1" si="64"/>
        <v>-89.002290162039571</v>
      </c>
      <c r="AF690" s="15"/>
    </row>
    <row r="691" spans="1:32" hidden="1">
      <c r="A691" s="1">
        <v>9131012</v>
      </c>
      <c r="B691" s="1" t="s">
        <v>101</v>
      </c>
      <c r="C691" t="s">
        <v>643</v>
      </c>
      <c r="D691" s="2">
        <v>220194569</v>
      </c>
      <c r="E691" s="2">
        <v>233001400030</v>
      </c>
      <c r="F691" s="1" t="s">
        <v>647</v>
      </c>
      <c r="G691" s="1" t="s">
        <v>53</v>
      </c>
      <c r="H691" s="1" t="s">
        <v>424</v>
      </c>
      <c r="I691" s="1" t="s">
        <v>425</v>
      </c>
      <c r="J691" s="1" t="s">
        <v>261</v>
      </c>
      <c r="K691" t="s">
        <v>650</v>
      </c>
      <c r="M691" s="1" t="s">
        <v>58</v>
      </c>
      <c r="N691" s="1">
        <v>0</v>
      </c>
      <c r="O691" s="1" t="s">
        <v>105</v>
      </c>
      <c r="P691" s="186">
        <v>44896.672835648147</v>
      </c>
      <c r="R691" s="1">
        <v>4</v>
      </c>
      <c r="T691" s="1" t="s">
        <v>646</v>
      </c>
      <c r="U691" s="186">
        <v>44897.672835648147</v>
      </c>
      <c r="V691" s="1" t="s">
        <v>41</v>
      </c>
      <c r="W691" s="1" t="s">
        <v>49</v>
      </c>
      <c r="X691" s="13"/>
      <c r="Y691" s="2">
        <f t="shared" ca="1" si="60"/>
        <v>65</v>
      </c>
      <c r="Z691" s="14">
        <v>1</v>
      </c>
      <c r="AA691" s="1" t="str">
        <f t="shared" ca="1" si="61"/>
        <v>VENCIDO</v>
      </c>
      <c r="AB691" s="1" t="str">
        <f t="shared" si="62"/>
        <v>C-14</v>
      </c>
      <c r="AC691" s="2" t="str">
        <f t="shared" si="65"/>
        <v xml:space="preserve"> CRISTINA </v>
      </c>
      <c r="AD691" s="2">
        <f t="shared" si="63"/>
        <v>15</v>
      </c>
      <c r="AE691" s="2">
        <f t="shared" ca="1" si="64"/>
        <v>-89.003435995371547</v>
      </c>
      <c r="AF691" s="15"/>
    </row>
    <row r="692" spans="1:32" hidden="1">
      <c r="A692" s="1">
        <v>9131002</v>
      </c>
      <c r="B692" s="1" t="s">
        <v>101</v>
      </c>
      <c r="C692" t="s">
        <v>643</v>
      </c>
      <c r="D692" s="2">
        <v>220194560</v>
      </c>
      <c r="E692" s="2">
        <v>220001400030</v>
      </c>
      <c r="F692" s="1" t="s">
        <v>647</v>
      </c>
      <c r="G692" s="1" t="s">
        <v>53</v>
      </c>
      <c r="H692" s="1" t="s">
        <v>588</v>
      </c>
      <c r="I692" s="1" t="s">
        <v>589</v>
      </c>
      <c r="J692" s="1" t="s">
        <v>110</v>
      </c>
      <c r="K692" t="s">
        <v>650</v>
      </c>
      <c r="M692" s="1" t="s">
        <v>58</v>
      </c>
      <c r="N692" s="1">
        <v>0</v>
      </c>
      <c r="O692" s="1" t="s">
        <v>105</v>
      </c>
      <c r="P692" s="186">
        <v>44896.672418981485</v>
      </c>
      <c r="R692" s="1">
        <v>4</v>
      </c>
      <c r="T692" s="1" t="s">
        <v>646</v>
      </c>
      <c r="U692" s="186">
        <v>44897.672418981485</v>
      </c>
      <c r="V692" s="1" t="s">
        <v>41</v>
      </c>
      <c r="W692" s="1" t="s">
        <v>49</v>
      </c>
      <c r="X692" s="13"/>
      <c r="Y692" s="2">
        <f t="shared" ca="1" si="60"/>
        <v>65</v>
      </c>
      <c r="Z692" s="14">
        <v>1</v>
      </c>
      <c r="AA692" s="1" t="str">
        <f t="shared" ca="1" si="61"/>
        <v>VENCIDO</v>
      </c>
      <c r="AB692" s="1" t="str">
        <f t="shared" si="62"/>
        <v>C-14</v>
      </c>
      <c r="AC692" s="2" t="str">
        <f t="shared" si="65"/>
        <v xml:space="preserve"> CRISTINA </v>
      </c>
      <c r="AD692" s="2">
        <f t="shared" si="63"/>
        <v>15</v>
      </c>
      <c r="AE692" s="2">
        <f t="shared" ca="1" si="64"/>
        <v>-89.003852662033751</v>
      </c>
      <c r="AF692" s="15"/>
    </row>
    <row r="693" spans="1:32" hidden="1">
      <c r="A693" s="1">
        <v>9130951</v>
      </c>
      <c r="B693" s="1" t="s">
        <v>101</v>
      </c>
      <c r="C693" t="s">
        <v>643</v>
      </c>
      <c r="D693" s="2">
        <v>220194568</v>
      </c>
      <c r="E693" s="2">
        <v>232001400030</v>
      </c>
      <c r="F693" s="1" t="s">
        <v>647</v>
      </c>
      <c r="G693" s="1" t="s">
        <v>53</v>
      </c>
      <c r="H693" s="1" t="s">
        <v>1363</v>
      </c>
      <c r="I693" s="1" t="s">
        <v>1364</v>
      </c>
      <c r="J693" s="1" t="s">
        <v>141</v>
      </c>
      <c r="K693" t="s">
        <v>650</v>
      </c>
      <c r="M693" s="1" t="s">
        <v>58</v>
      </c>
      <c r="N693" s="1">
        <v>0</v>
      </c>
      <c r="O693" s="1" t="s">
        <v>105</v>
      </c>
      <c r="P693" s="186">
        <v>44896.670624999999</v>
      </c>
      <c r="R693" s="1">
        <v>4</v>
      </c>
      <c r="T693" s="1" t="s">
        <v>646</v>
      </c>
      <c r="U693" s="186">
        <v>44897.670624999999</v>
      </c>
      <c r="V693" s="1" t="s">
        <v>41</v>
      </c>
      <c r="W693" s="1" t="s">
        <v>49</v>
      </c>
      <c r="X693" s="13"/>
      <c r="Y693" s="2">
        <f t="shared" ca="1" si="60"/>
        <v>65</v>
      </c>
      <c r="Z693" s="14">
        <v>1</v>
      </c>
      <c r="AA693" s="1" t="str">
        <f t="shared" ca="1" si="61"/>
        <v>VENCIDO</v>
      </c>
      <c r="AB693" s="1" t="str">
        <f t="shared" si="62"/>
        <v>C-14</v>
      </c>
      <c r="AC693" s="2" t="str">
        <f t="shared" si="65"/>
        <v xml:space="preserve"> CRISTINA </v>
      </c>
      <c r="AD693" s="2">
        <f t="shared" si="63"/>
        <v>15</v>
      </c>
      <c r="AE693" s="2">
        <f t="shared" ca="1" si="64"/>
        <v>-89.005646643519867</v>
      </c>
      <c r="AF693" s="15"/>
    </row>
    <row r="694" spans="1:32" hidden="1">
      <c r="A694" s="1">
        <v>9130904</v>
      </c>
      <c r="B694" s="1" t="s">
        <v>101</v>
      </c>
      <c r="C694" t="s">
        <v>643</v>
      </c>
      <c r="D694" s="2">
        <v>220195003</v>
      </c>
      <c r="E694" s="2">
        <v>922001400030</v>
      </c>
      <c r="F694" s="1" t="s">
        <v>647</v>
      </c>
      <c r="G694" s="1" t="s">
        <v>53</v>
      </c>
      <c r="H694" s="1" t="s">
        <v>1375</v>
      </c>
      <c r="I694" s="1" t="s">
        <v>1376</v>
      </c>
      <c r="J694" s="1" t="s">
        <v>261</v>
      </c>
      <c r="K694" t="s">
        <v>650</v>
      </c>
      <c r="M694" s="1" t="s">
        <v>58</v>
      </c>
      <c r="N694" s="1">
        <v>0</v>
      </c>
      <c r="O694" s="1" t="s">
        <v>105</v>
      </c>
      <c r="P694" s="186">
        <v>44896.668622685182</v>
      </c>
      <c r="R694" s="1">
        <v>4</v>
      </c>
      <c r="T694" s="1" t="s">
        <v>646</v>
      </c>
      <c r="U694" s="186">
        <v>44897.668622685182</v>
      </c>
      <c r="V694" s="1" t="s">
        <v>41</v>
      </c>
      <c r="W694" s="1" t="s">
        <v>49</v>
      </c>
      <c r="X694" s="13"/>
      <c r="Y694" s="2">
        <f t="shared" ca="1" si="60"/>
        <v>65</v>
      </c>
      <c r="Z694" s="14">
        <v>1</v>
      </c>
      <c r="AA694" s="1" t="str">
        <f t="shared" ca="1" si="61"/>
        <v>VENCIDO</v>
      </c>
      <c r="AB694" s="1" t="str">
        <f t="shared" si="62"/>
        <v>C-14</v>
      </c>
      <c r="AC694" s="2" t="str">
        <f t="shared" si="65"/>
        <v xml:space="preserve"> CRISTINA </v>
      </c>
      <c r="AD694" s="2">
        <f t="shared" si="63"/>
        <v>15</v>
      </c>
      <c r="AE694" s="2">
        <f t="shared" ca="1" si="64"/>
        <v>-89.007648958337086</v>
      </c>
      <c r="AF694" s="15"/>
    </row>
    <row r="695" spans="1:32">
      <c r="A695" s="1">
        <v>9130901</v>
      </c>
      <c r="B695" s="1" t="s">
        <v>101</v>
      </c>
      <c r="C695" t="s">
        <v>643</v>
      </c>
      <c r="D695" s="2">
        <v>220195001</v>
      </c>
      <c r="E695" s="2">
        <v>917001400030</v>
      </c>
      <c r="F695" s="1" t="s">
        <v>647</v>
      </c>
      <c r="G695" s="1" t="s">
        <v>53</v>
      </c>
      <c r="H695" s="1" t="s">
        <v>83</v>
      </c>
      <c r="I695" s="1" t="s">
        <v>84</v>
      </c>
      <c r="J695" s="1" t="s">
        <v>85</v>
      </c>
      <c r="K695" t="s">
        <v>650</v>
      </c>
      <c r="M695" s="1" t="s">
        <v>58</v>
      </c>
      <c r="N695" s="1">
        <v>0</v>
      </c>
      <c r="O695" s="1" t="s">
        <v>105</v>
      </c>
      <c r="P695" s="186">
        <v>44896.668437499997</v>
      </c>
      <c r="R695" s="1">
        <v>4</v>
      </c>
      <c r="T695" s="1" t="s">
        <v>646</v>
      </c>
      <c r="U695" s="186">
        <v>44897.668449074074</v>
      </c>
      <c r="V695" s="1" t="s">
        <v>41</v>
      </c>
      <c r="W695" s="1" t="s">
        <v>49</v>
      </c>
      <c r="X695" s="13"/>
      <c r="Y695" s="2">
        <f t="shared" ca="1" si="60"/>
        <v>65</v>
      </c>
      <c r="Z695" s="14">
        <v>1</v>
      </c>
      <c r="AA695" s="1" t="str">
        <f t="shared" ca="1" si="61"/>
        <v>VENCIDO</v>
      </c>
      <c r="AB695" s="1" t="str">
        <f t="shared" si="62"/>
        <v>C-14</v>
      </c>
      <c r="AC695" s="2" t="str">
        <f t="shared" si="65"/>
        <v xml:space="preserve"> RINALDO </v>
      </c>
      <c r="AD695" s="2">
        <f t="shared" si="63"/>
        <v>15</v>
      </c>
      <c r="AE695" s="2">
        <f t="shared" ca="1" si="64"/>
        <v>-89.007822569445125</v>
      </c>
      <c r="AF695" s="15"/>
    </row>
    <row r="696" spans="1:32" hidden="1">
      <c r="A696" s="1">
        <v>9130897</v>
      </c>
      <c r="B696" s="1" t="s">
        <v>101</v>
      </c>
      <c r="C696" t="s">
        <v>643</v>
      </c>
      <c r="D696" s="2">
        <v>220195329</v>
      </c>
      <c r="E696" s="2">
        <v>1664001400030</v>
      </c>
      <c r="F696" s="1" t="s">
        <v>647</v>
      </c>
      <c r="G696" s="1" t="s">
        <v>53</v>
      </c>
      <c r="H696" s="1" t="s">
        <v>307</v>
      </c>
      <c r="I696" s="1" t="s">
        <v>308</v>
      </c>
      <c r="J696" s="1" t="s">
        <v>164</v>
      </c>
      <c r="K696" t="s">
        <v>650</v>
      </c>
      <c r="M696" s="1" t="s">
        <v>58</v>
      </c>
      <c r="N696" s="1">
        <v>0</v>
      </c>
      <c r="O696" s="1" t="s">
        <v>105</v>
      </c>
      <c r="P696" s="186">
        <v>44896.668263888889</v>
      </c>
      <c r="R696" s="1">
        <v>4</v>
      </c>
      <c r="T696" s="1" t="s">
        <v>646</v>
      </c>
      <c r="U696" s="186">
        <v>44897.668263888889</v>
      </c>
      <c r="V696" s="1" t="s">
        <v>41</v>
      </c>
      <c r="W696" s="1" t="s">
        <v>49</v>
      </c>
      <c r="X696" s="13"/>
      <c r="Y696" s="2">
        <f t="shared" ca="1" si="60"/>
        <v>65</v>
      </c>
      <c r="Z696" s="14">
        <v>1</v>
      </c>
      <c r="AA696" s="1" t="str">
        <f t="shared" ca="1" si="61"/>
        <v>VENCIDO</v>
      </c>
      <c r="AB696" s="1" t="str">
        <f t="shared" si="62"/>
        <v>C-14</v>
      </c>
      <c r="AC696" s="2" t="str">
        <f t="shared" si="65"/>
        <v xml:space="preserve"> ROSEMERE </v>
      </c>
      <c r="AD696" s="2">
        <f t="shared" si="63"/>
        <v>15</v>
      </c>
      <c r="AE696" s="2">
        <f t="shared" ca="1" si="64"/>
        <v>-89.008007754629944</v>
      </c>
      <c r="AF696" s="15"/>
    </row>
    <row r="697" spans="1:32">
      <c r="A697" s="1">
        <v>9130892</v>
      </c>
      <c r="B697" s="1" t="s">
        <v>101</v>
      </c>
      <c r="C697" t="s">
        <v>643</v>
      </c>
      <c r="D697" s="2">
        <v>220194993</v>
      </c>
      <c r="E697" s="2">
        <v>899001400030</v>
      </c>
      <c r="F697" s="1" t="s">
        <v>647</v>
      </c>
      <c r="G697" s="1" t="s">
        <v>53</v>
      </c>
      <c r="H697" s="1" t="s">
        <v>175</v>
      </c>
      <c r="I697" s="1" t="s">
        <v>176</v>
      </c>
      <c r="J697" s="1" t="s">
        <v>90</v>
      </c>
      <c r="K697" t="s">
        <v>650</v>
      </c>
      <c r="M697" s="1" t="s">
        <v>58</v>
      </c>
      <c r="N697" s="1">
        <v>0</v>
      </c>
      <c r="O697" s="1" t="s">
        <v>36</v>
      </c>
      <c r="P697" s="186">
        <v>44896.667962962965</v>
      </c>
      <c r="R697" s="1">
        <v>4</v>
      </c>
      <c r="T697" s="1" t="s">
        <v>646</v>
      </c>
      <c r="U697" s="186">
        <v>44897.667962962965</v>
      </c>
      <c r="V697" s="1" t="s">
        <v>41</v>
      </c>
      <c r="W697" s="1" t="s">
        <v>49</v>
      </c>
      <c r="X697" s="13"/>
      <c r="Y697" s="2">
        <f t="shared" ca="1" si="60"/>
        <v>65</v>
      </c>
      <c r="Z697" s="14">
        <v>1</v>
      </c>
      <c r="AA697" s="1" t="str">
        <f t="shared" ca="1" si="61"/>
        <v>VENCIDO</v>
      </c>
      <c r="AB697" s="1" t="str">
        <f t="shared" si="62"/>
        <v>C-14</v>
      </c>
      <c r="AC697" s="2" t="str">
        <f t="shared" si="65"/>
        <v xml:space="preserve"> RINALDO </v>
      </c>
      <c r="AD697" s="2">
        <f t="shared" si="63"/>
        <v>15</v>
      </c>
      <c r="AE697" s="2">
        <f t="shared" ca="1" si="64"/>
        <v>-89.008308680553455</v>
      </c>
      <c r="AF697" s="15"/>
    </row>
    <row r="698" spans="1:32" hidden="1">
      <c r="A698" s="1">
        <v>9130879</v>
      </c>
      <c r="B698" s="1" t="s">
        <v>101</v>
      </c>
      <c r="C698" t="s">
        <v>643</v>
      </c>
      <c r="D698" s="2">
        <v>220195319</v>
      </c>
      <c r="E698" s="2">
        <v>1643001400030</v>
      </c>
      <c r="F698" s="1" t="s">
        <v>647</v>
      </c>
      <c r="G698" s="1" t="s">
        <v>53</v>
      </c>
      <c r="H698" s="1" t="s">
        <v>361</v>
      </c>
      <c r="I698" s="1" t="s">
        <v>362</v>
      </c>
      <c r="J698" s="1" t="s">
        <v>261</v>
      </c>
      <c r="K698" t="s">
        <v>650</v>
      </c>
      <c r="M698" s="1" t="s">
        <v>58</v>
      </c>
      <c r="N698" s="1">
        <v>0</v>
      </c>
      <c r="O698" s="1" t="s">
        <v>105</v>
      </c>
      <c r="P698" s="186">
        <v>44896.667164351849</v>
      </c>
      <c r="R698" s="1">
        <v>4</v>
      </c>
      <c r="T698" s="1" t="s">
        <v>646</v>
      </c>
      <c r="U698" s="186">
        <v>44897.667175925926</v>
      </c>
      <c r="V698" s="1" t="s">
        <v>41</v>
      </c>
      <c r="W698" s="1" t="s">
        <v>49</v>
      </c>
      <c r="X698" s="13"/>
      <c r="Y698" s="2">
        <f t="shared" ca="1" si="60"/>
        <v>65</v>
      </c>
      <c r="Z698" s="14">
        <v>1</v>
      </c>
      <c r="AA698" s="1" t="str">
        <f t="shared" ca="1" si="61"/>
        <v>VENCIDO</v>
      </c>
      <c r="AB698" s="1" t="str">
        <f t="shared" si="62"/>
        <v>C-14</v>
      </c>
      <c r="AC698" s="2" t="str">
        <f t="shared" si="65"/>
        <v xml:space="preserve"> CRISTINA </v>
      </c>
      <c r="AD698" s="2">
        <f t="shared" si="63"/>
        <v>15</v>
      </c>
      <c r="AE698" s="2">
        <f t="shared" ca="1" si="64"/>
        <v>-89.009095717592572</v>
      </c>
      <c r="AF698" s="15"/>
    </row>
    <row r="699" spans="1:32" hidden="1">
      <c r="A699" s="1">
        <v>9130800</v>
      </c>
      <c r="B699" s="1" t="s">
        <v>101</v>
      </c>
      <c r="C699" t="s">
        <v>643</v>
      </c>
      <c r="D699" s="2">
        <v>220194313</v>
      </c>
      <c r="E699" s="2">
        <v>5898001400010</v>
      </c>
      <c r="F699" s="1" t="s">
        <v>936</v>
      </c>
      <c r="G699" s="1" t="s">
        <v>53</v>
      </c>
      <c r="H699" s="1" t="s">
        <v>365</v>
      </c>
      <c r="I699" s="1" t="s">
        <v>366</v>
      </c>
      <c r="J699" s="1" t="s">
        <v>164</v>
      </c>
      <c r="K699" t="s">
        <v>937</v>
      </c>
      <c r="M699" s="1" t="s">
        <v>58</v>
      </c>
      <c r="N699" s="1">
        <v>0</v>
      </c>
      <c r="O699" s="1" t="s">
        <v>105</v>
      </c>
      <c r="P699" s="186">
        <v>44896.663101851853</v>
      </c>
      <c r="R699" s="1">
        <v>3</v>
      </c>
      <c r="T699" s="1" t="s">
        <v>646</v>
      </c>
      <c r="U699" s="186">
        <v>44897.663113425922</v>
      </c>
      <c r="V699" s="1" t="s">
        <v>41</v>
      </c>
      <c r="W699" s="1" t="s">
        <v>49</v>
      </c>
      <c r="X699" s="13"/>
      <c r="Y699" s="2">
        <f t="shared" ca="1" si="60"/>
        <v>65</v>
      </c>
      <c r="Z699" s="14">
        <v>1</v>
      </c>
      <c r="AA699" s="1" t="str">
        <f t="shared" ca="1" si="61"/>
        <v>VENCIDO</v>
      </c>
      <c r="AB699" s="1" t="str">
        <f t="shared" si="62"/>
        <v>C-14</v>
      </c>
      <c r="AC699" s="2" t="str">
        <f t="shared" si="65"/>
        <v xml:space="preserve"> ROSEMERE </v>
      </c>
      <c r="AD699" s="2">
        <f t="shared" si="63"/>
        <v>5</v>
      </c>
      <c r="AE699" s="2">
        <f t="shared" ca="1" si="64"/>
        <v>-89.013158217596356</v>
      </c>
      <c r="AF699" s="15"/>
    </row>
    <row r="700" spans="1:32" hidden="1">
      <c r="A700" s="1">
        <v>9130797</v>
      </c>
      <c r="B700" s="1" t="s">
        <v>101</v>
      </c>
      <c r="C700" t="s">
        <v>643</v>
      </c>
      <c r="D700" s="2">
        <v>220193787</v>
      </c>
      <c r="E700" s="2">
        <v>3108001400010</v>
      </c>
      <c r="F700" s="1" t="s">
        <v>936</v>
      </c>
      <c r="G700" s="1" t="s">
        <v>53</v>
      </c>
      <c r="H700" s="1" t="s">
        <v>325</v>
      </c>
      <c r="I700" s="1" t="s">
        <v>326</v>
      </c>
      <c r="J700" s="1" t="s">
        <v>46</v>
      </c>
      <c r="K700" t="s">
        <v>937</v>
      </c>
      <c r="M700" s="1" t="s">
        <v>58</v>
      </c>
      <c r="N700" s="1">
        <v>0</v>
      </c>
      <c r="O700" s="1" t="s">
        <v>105</v>
      </c>
      <c r="P700" s="186">
        <v>44896.662974537037</v>
      </c>
      <c r="R700" s="1">
        <v>3</v>
      </c>
      <c r="T700" s="1" t="s">
        <v>646</v>
      </c>
      <c r="U700" s="186">
        <v>44897.662974537037</v>
      </c>
      <c r="V700" s="1" t="s">
        <v>41</v>
      </c>
      <c r="W700" s="1" t="s">
        <v>49</v>
      </c>
      <c r="Z700" s="14"/>
      <c r="AC700" s="2"/>
      <c r="AE700" s="20"/>
    </row>
    <row r="701" spans="1:32" hidden="1">
      <c r="A701" s="1">
        <v>9130702</v>
      </c>
      <c r="B701" s="1" t="s">
        <v>101</v>
      </c>
      <c r="C701" t="s">
        <v>643</v>
      </c>
      <c r="D701" s="2">
        <v>220197503</v>
      </c>
      <c r="E701" s="2">
        <v>2081001400040</v>
      </c>
      <c r="F701" s="1" t="s">
        <v>644</v>
      </c>
      <c r="G701" s="1" t="s">
        <v>53</v>
      </c>
      <c r="H701" s="1" t="s">
        <v>590</v>
      </c>
      <c r="I701" s="1" t="s">
        <v>591</v>
      </c>
      <c r="J701" s="1" t="s">
        <v>261</v>
      </c>
      <c r="K701" t="s">
        <v>645</v>
      </c>
      <c r="M701" s="1" t="s">
        <v>58</v>
      </c>
      <c r="N701" s="1">
        <v>0</v>
      </c>
      <c r="O701" s="1" t="s">
        <v>105</v>
      </c>
      <c r="P701" s="186">
        <v>44896.658819444441</v>
      </c>
      <c r="R701" s="1">
        <v>2</v>
      </c>
      <c r="T701" s="1" t="s">
        <v>646</v>
      </c>
      <c r="U701" s="186">
        <v>44897.658819444441</v>
      </c>
      <c r="V701" s="1" t="s">
        <v>41</v>
      </c>
      <c r="W701" s="1" t="s">
        <v>49</v>
      </c>
      <c r="Z701" s="14"/>
      <c r="AC701" s="2"/>
      <c r="AE701" s="20"/>
    </row>
    <row r="702" spans="1:32" hidden="1">
      <c r="A702" s="1">
        <v>9130686</v>
      </c>
      <c r="B702" s="1" t="s">
        <v>101</v>
      </c>
      <c r="C702" t="s">
        <v>643</v>
      </c>
      <c r="D702" s="2">
        <v>220197392</v>
      </c>
      <c r="E702" s="2">
        <v>1643001400040</v>
      </c>
      <c r="F702" s="1" t="s">
        <v>644</v>
      </c>
      <c r="G702" s="1" t="s">
        <v>53</v>
      </c>
      <c r="H702" s="1" t="s">
        <v>361</v>
      </c>
      <c r="I702" s="1" t="s">
        <v>362</v>
      </c>
      <c r="J702" s="1" t="s">
        <v>261</v>
      </c>
      <c r="K702" t="s">
        <v>645</v>
      </c>
      <c r="M702" s="1" t="s">
        <v>58</v>
      </c>
      <c r="N702" s="1">
        <v>0</v>
      </c>
      <c r="O702" s="1" t="s">
        <v>105</v>
      </c>
      <c r="P702" s="186">
        <v>44896.657835648148</v>
      </c>
      <c r="R702" s="1">
        <v>2</v>
      </c>
      <c r="T702" s="1" t="s">
        <v>646</v>
      </c>
      <c r="U702" s="186">
        <v>44897.657835648148</v>
      </c>
      <c r="V702" s="1" t="s">
        <v>41</v>
      </c>
      <c r="W702" s="1" t="s">
        <v>49</v>
      </c>
      <c r="Z702" s="14"/>
      <c r="AC702" s="2"/>
      <c r="AE702" s="20"/>
    </row>
    <row r="703" spans="1:32" hidden="1">
      <c r="A703" s="1">
        <v>9130671</v>
      </c>
      <c r="B703" s="1" t="s">
        <v>101</v>
      </c>
      <c r="C703" t="s">
        <v>643</v>
      </c>
      <c r="D703" s="2">
        <v>220197182</v>
      </c>
      <c r="E703" s="2">
        <v>1120001400040</v>
      </c>
      <c r="F703" s="1" t="s">
        <v>644</v>
      </c>
      <c r="G703" s="1" t="s">
        <v>53</v>
      </c>
      <c r="H703" s="1" t="s">
        <v>181</v>
      </c>
      <c r="I703" s="1" t="s">
        <v>182</v>
      </c>
      <c r="J703" s="1" t="s">
        <v>164</v>
      </c>
      <c r="K703" t="s">
        <v>645</v>
      </c>
      <c r="M703" s="1" t="s">
        <v>58</v>
      </c>
      <c r="N703" s="1">
        <v>0</v>
      </c>
      <c r="O703" s="1" t="s">
        <v>105</v>
      </c>
      <c r="P703" s="186">
        <v>44896.657141203701</v>
      </c>
      <c r="R703" s="1">
        <v>2</v>
      </c>
      <c r="T703" s="1" t="s">
        <v>646</v>
      </c>
      <c r="U703" s="186">
        <v>44897.657152777778</v>
      </c>
      <c r="V703" s="1" t="s">
        <v>41</v>
      </c>
      <c r="W703" s="1" t="s">
        <v>49</v>
      </c>
      <c r="Z703" s="14"/>
      <c r="AC703" s="2"/>
      <c r="AE703" s="20"/>
    </row>
    <row r="704" spans="1:32">
      <c r="A704" s="1">
        <v>9130635</v>
      </c>
      <c r="B704" s="1" t="s">
        <v>101</v>
      </c>
      <c r="C704" t="s">
        <v>643</v>
      </c>
      <c r="D704" s="2">
        <v>220197154</v>
      </c>
      <c r="E704" s="2">
        <v>1069001400040</v>
      </c>
      <c r="F704" s="1" t="s">
        <v>644</v>
      </c>
      <c r="G704" s="1" t="s">
        <v>53</v>
      </c>
      <c r="H704" s="1" t="s">
        <v>353</v>
      </c>
      <c r="I704" s="1" t="s">
        <v>354</v>
      </c>
      <c r="J704" s="1" t="s">
        <v>211</v>
      </c>
      <c r="K704" t="s">
        <v>645</v>
      </c>
      <c r="M704" s="1" t="s">
        <v>58</v>
      </c>
      <c r="N704" s="1">
        <v>0</v>
      </c>
      <c r="O704" s="1" t="s">
        <v>105</v>
      </c>
      <c r="P704" s="186">
        <v>44896.655428240738</v>
      </c>
      <c r="R704" s="1">
        <v>3</v>
      </c>
      <c r="T704" s="1" t="s">
        <v>646</v>
      </c>
      <c r="U704" s="186">
        <v>44897.655428240738</v>
      </c>
      <c r="V704" s="1" t="s">
        <v>41</v>
      </c>
      <c r="W704" s="1" t="s">
        <v>49</v>
      </c>
      <c r="Z704" s="14"/>
      <c r="AC704" s="2"/>
      <c r="AE704" s="20"/>
    </row>
    <row r="705" spans="1:31" hidden="1">
      <c r="A705" s="1">
        <v>9130628</v>
      </c>
      <c r="B705" s="1" t="s">
        <v>101</v>
      </c>
      <c r="C705" t="s">
        <v>643</v>
      </c>
      <c r="D705" s="2">
        <v>220197147</v>
      </c>
      <c r="E705" s="2">
        <v>1049001400040</v>
      </c>
      <c r="F705" s="1" t="s">
        <v>644</v>
      </c>
      <c r="G705" s="1" t="s">
        <v>53</v>
      </c>
      <c r="H705" s="1" t="s">
        <v>169</v>
      </c>
      <c r="I705" s="1" t="s">
        <v>170</v>
      </c>
      <c r="J705" s="1" t="s">
        <v>164</v>
      </c>
      <c r="K705" t="s">
        <v>645</v>
      </c>
      <c r="M705" s="1" t="s">
        <v>58</v>
      </c>
      <c r="N705" s="1">
        <v>0</v>
      </c>
      <c r="O705" s="1" t="s">
        <v>105</v>
      </c>
      <c r="P705" s="186">
        <v>44896.655034722222</v>
      </c>
      <c r="R705" s="1">
        <v>2</v>
      </c>
      <c r="T705" s="1" t="s">
        <v>646</v>
      </c>
      <c r="U705" s="186">
        <v>44897.655046296299</v>
      </c>
      <c r="V705" s="1" t="s">
        <v>41</v>
      </c>
      <c r="W705" s="1" t="s">
        <v>49</v>
      </c>
      <c r="Z705" s="14"/>
      <c r="AC705" s="2"/>
      <c r="AE705" s="20"/>
    </row>
    <row r="706" spans="1:31">
      <c r="A706" s="1">
        <v>9130446</v>
      </c>
      <c r="B706" s="1" t="s">
        <v>101</v>
      </c>
      <c r="C706" t="s">
        <v>643</v>
      </c>
      <c r="D706" s="2">
        <v>220197516</v>
      </c>
      <c r="E706" s="2">
        <v>2125001400040</v>
      </c>
      <c r="F706" s="1" t="s">
        <v>644</v>
      </c>
      <c r="G706" s="1" t="s">
        <v>53</v>
      </c>
      <c r="H706" s="1" t="s">
        <v>1399</v>
      </c>
      <c r="I706" s="1" t="s">
        <v>1400</v>
      </c>
      <c r="J706" s="1" t="s">
        <v>211</v>
      </c>
      <c r="K706" t="s">
        <v>645</v>
      </c>
      <c r="M706" s="1" t="s">
        <v>58</v>
      </c>
      <c r="N706" s="1">
        <v>0</v>
      </c>
      <c r="O706" s="1" t="s">
        <v>105</v>
      </c>
      <c r="P706" s="186">
        <v>44896.646354166667</v>
      </c>
      <c r="R706" s="1">
        <v>3</v>
      </c>
      <c r="T706" s="1" t="s">
        <v>646</v>
      </c>
      <c r="U706" s="186">
        <v>44897.646354166667</v>
      </c>
      <c r="V706" s="1" t="s">
        <v>41</v>
      </c>
      <c r="W706" s="1" t="s">
        <v>49</v>
      </c>
      <c r="Z706" s="14"/>
      <c r="AC706" s="20"/>
      <c r="AE706" s="20"/>
    </row>
    <row r="707" spans="1:31" hidden="1">
      <c r="A707" s="1">
        <v>9130242</v>
      </c>
      <c r="B707" s="1" t="s">
        <v>101</v>
      </c>
      <c r="C707" t="s">
        <v>643</v>
      </c>
      <c r="D707" s="2">
        <v>220195741</v>
      </c>
      <c r="E707" s="2">
        <v>3243001400030</v>
      </c>
      <c r="F707" s="1" t="s">
        <v>647</v>
      </c>
      <c r="G707" s="1" t="s">
        <v>53</v>
      </c>
      <c r="H707" s="1" t="s">
        <v>282</v>
      </c>
      <c r="I707" s="1" t="s">
        <v>283</v>
      </c>
      <c r="J707" s="1" t="s">
        <v>46</v>
      </c>
      <c r="K707" t="s">
        <v>650</v>
      </c>
      <c r="M707" s="1" t="s">
        <v>58</v>
      </c>
      <c r="N707" s="1">
        <v>0</v>
      </c>
      <c r="O707" s="1" t="s">
        <v>105</v>
      </c>
      <c r="P707" s="186">
        <v>44896.636863425927</v>
      </c>
      <c r="R707" s="1">
        <v>4</v>
      </c>
      <c r="T707" s="1" t="s">
        <v>646</v>
      </c>
      <c r="U707" s="186">
        <v>44897.636863425927</v>
      </c>
      <c r="V707" s="1" t="s">
        <v>41</v>
      </c>
      <c r="W707" s="1" t="s">
        <v>49</v>
      </c>
      <c r="Z707" s="14"/>
      <c r="AC707" s="20"/>
      <c r="AE707" s="20"/>
    </row>
    <row r="708" spans="1:31" hidden="1">
      <c r="A708" s="1">
        <v>9130123</v>
      </c>
      <c r="B708" s="1" t="s">
        <v>101</v>
      </c>
      <c r="C708" t="s">
        <v>643</v>
      </c>
      <c r="D708" s="2">
        <v>220194957</v>
      </c>
      <c r="E708" s="2">
        <v>834001400030</v>
      </c>
      <c r="F708" s="1" t="s">
        <v>647</v>
      </c>
      <c r="G708" s="1" t="s">
        <v>53</v>
      </c>
      <c r="H708" s="1" t="s">
        <v>367</v>
      </c>
      <c r="I708" s="1" t="s">
        <v>368</v>
      </c>
      <c r="J708" s="1" t="s">
        <v>261</v>
      </c>
      <c r="K708" t="s">
        <v>650</v>
      </c>
      <c r="M708" s="1" t="s">
        <v>58</v>
      </c>
      <c r="N708" s="1">
        <v>0</v>
      </c>
      <c r="O708" s="1" t="s">
        <v>105</v>
      </c>
      <c r="P708" s="186">
        <v>44896.630219907405</v>
      </c>
      <c r="R708" s="1">
        <v>4</v>
      </c>
      <c r="T708" s="1" t="s">
        <v>646</v>
      </c>
      <c r="U708" s="186">
        <v>44897.630219907405</v>
      </c>
      <c r="V708" s="1" t="s">
        <v>41</v>
      </c>
      <c r="W708" s="1" t="s">
        <v>49</v>
      </c>
      <c r="Z708" s="14"/>
      <c r="AC708" s="20"/>
      <c r="AE708" s="20"/>
    </row>
    <row r="709" spans="1:31" hidden="1">
      <c r="A709" s="1">
        <v>9130118</v>
      </c>
      <c r="B709" s="1" t="s">
        <v>101</v>
      </c>
      <c r="C709" t="s">
        <v>643</v>
      </c>
      <c r="D709" s="2">
        <v>220194952</v>
      </c>
      <c r="E709" s="2">
        <v>821001400030</v>
      </c>
      <c r="F709" s="1" t="s">
        <v>647</v>
      </c>
      <c r="G709" s="1" t="s">
        <v>53</v>
      </c>
      <c r="H709" s="1" t="s">
        <v>1351</v>
      </c>
      <c r="I709" s="1" t="s">
        <v>1352</v>
      </c>
      <c r="J709" s="1" t="s">
        <v>46</v>
      </c>
      <c r="K709" t="s">
        <v>650</v>
      </c>
      <c r="M709" s="1" t="s">
        <v>58</v>
      </c>
      <c r="N709" s="1">
        <v>0</v>
      </c>
      <c r="O709" s="1" t="s">
        <v>105</v>
      </c>
      <c r="P709" s="186">
        <v>44896.629907407405</v>
      </c>
      <c r="R709" s="1">
        <v>4</v>
      </c>
      <c r="T709" s="1" t="s">
        <v>646</v>
      </c>
      <c r="U709" s="186">
        <v>44897.629907407405</v>
      </c>
      <c r="V709" s="1" t="s">
        <v>41</v>
      </c>
      <c r="W709" s="1" t="s">
        <v>49</v>
      </c>
      <c r="Z709" s="14"/>
      <c r="AC709" s="20"/>
      <c r="AE709" s="20"/>
    </row>
    <row r="710" spans="1:31">
      <c r="A710" s="1">
        <v>9130071</v>
      </c>
      <c r="B710" s="1" t="s">
        <v>101</v>
      </c>
      <c r="C710" t="s">
        <v>643</v>
      </c>
      <c r="D710" s="2">
        <v>220194820</v>
      </c>
      <c r="E710" s="2">
        <v>608001400030</v>
      </c>
      <c r="F710" s="1" t="s">
        <v>647</v>
      </c>
      <c r="G710" s="1" t="s">
        <v>53</v>
      </c>
      <c r="H710" s="1" t="s">
        <v>438</v>
      </c>
      <c r="I710" s="1" t="s">
        <v>439</v>
      </c>
      <c r="J710" s="1" t="s">
        <v>148</v>
      </c>
      <c r="K710" t="s">
        <v>650</v>
      </c>
      <c r="M710" s="1" t="s">
        <v>58</v>
      </c>
      <c r="N710" s="1">
        <v>0</v>
      </c>
      <c r="O710" s="1" t="s">
        <v>105</v>
      </c>
      <c r="P710" s="186">
        <v>44896.627546296295</v>
      </c>
      <c r="R710" s="1">
        <v>4</v>
      </c>
      <c r="T710" s="1" t="s">
        <v>646</v>
      </c>
      <c r="U710" s="186">
        <v>44897.627557870372</v>
      </c>
      <c r="V710" s="1" t="s">
        <v>41</v>
      </c>
      <c r="W710" s="1" t="s">
        <v>49</v>
      </c>
      <c r="Z710" s="14"/>
      <c r="AC710" s="20"/>
      <c r="AE710" s="20"/>
    </row>
    <row r="711" spans="1:31" hidden="1">
      <c r="A711" s="1">
        <v>9129981</v>
      </c>
      <c r="B711" s="1" t="s">
        <v>101</v>
      </c>
      <c r="C711" t="s">
        <v>643</v>
      </c>
      <c r="D711" s="2">
        <v>220194118</v>
      </c>
      <c r="E711" s="2">
        <v>4637001400010</v>
      </c>
      <c r="F711" s="1" t="s">
        <v>936</v>
      </c>
      <c r="G711" s="1" t="s">
        <v>53</v>
      </c>
      <c r="H711" s="1" t="s">
        <v>848</v>
      </c>
      <c r="I711" s="1" t="s">
        <v>849</v>
      </c>
      <c r="J711" s="1" t="s">
        <v>79</v>
      </c>
      <c r="K711" t="s">
        <v>937</v>
      </c>
      <c r="M711" s="1" t="s">
        <v>58</v>
      </c>
      <c r="N711" s="1">
        <v>0</v>
      </c>
      <c r="O711" s="1" t="s">
        <v>105</v>
      </c>
      <c r="P711" s="186">
        <v>44896.623657407406</v>
      </c>
      <c r="R711" s="1">
        <v>3</v>
      </c>
      <c r="T711" s="1" t="s">
        <v>646</v>
      </c>
      <c r="U711" s="186">
        <v>44897.623657407406</v>
      </c>
      <c r="V711" s="1" t="s">
        <v>41</v>
      </c>
      <c r="W711" s="1" t="s">
        <v>49</v>
      </c>
      <c r="Z711" s="14"/>
      <c r="AC711" s="20"/>
      <c r="AE711" s="20"/>
    </row>
    <row r="712" spans="1:31" hidden="1">
      <c r="A712" s="1">
        <v>9129978</v>
      </c>
      <c r="B712" s="1" t="s">
        <v>101</v>
      </c>
      <c r="C712" t="s">
        <v>643</v>
      </c>
      <c r="D712" s="2">
        <v>220194116</v>
      </c>
      <c r="E712" s="2">
        <v>4623001400010</v>
      </c>
      <c r="F712" s="1" t="s">
        <v>936</v>
      </c>
      <c r="G712" s="1" t="s">
        <v>53</v>
      </c>
      <c r="H712" s="1" t="s">
        <v>669</v>
      </c>
      <c r="I712" s="1" t="s">
        <v>670</v>
      </c>
      <c r="J712" s="1" t="s">
        <v>33</v>
      </c>
      <c r="K712" t="s">
        <v>937</v>
      </c>
      <c r="M712" s="1" t="s">
        <v>58</v>
      </c>
      <c r="N712" s="1">
        <v>0</v>
      </c>
      <c r="O712" s="1" t="s">
        <v>105</v>
      </c>
      <c r="P712" s="186">
        <v>44896.623541666668</v>
      </c>
      <c r="R712" s="1">
        <v>3</v>
      </c>
      <c r="T712" s="1" t="s">
        <v>646</v>
      </c>
      <c r="U712" s="186">
        <v>44897.623541666668</v>
      </c>
      <c r="V712" s="1" t="s">
        <v>41</v>
      </c>
      <c r="W712" s="1" t="s">
        <v>42</v>
      </c>
      <c r="Z712" s="14"/>
      <c r="AC712" s="20"/>
      <c r="AE712" s="20"/>
    </row>
    <row r="713" spans="1:31" hidden="1">
      <c r="A713" s="1">
        <v>9129941</v>
      </c>
      <c r="B713" s="1" t="s">
        <v>101</v>
      </c>
      <c r="C713" t="s">
        <v>643</v>
      </c>
      <c r="D713" s="2">
        <v>220194187</v>
      </c>
      <c r="E713" s="2">
        <v>4997001400010</v>
      </c>
      <c r="F713" s="1" t="s">
        <v>936</v>
      </c>
      <c r="G713" s="1" t="s">
        <v>53</v>
      </c>
      <c r="H713" s="1" t="s">
        <v>406</v>
      </c>
      <c r="I713" s="1" t="s">
        <v>407</v>
      </c>
      <c r="J713" s="1" t="s">
        <v>79</v>
      </c>
      <c r="K713" t="s">
        <v>937</v>
      </c>
      <c r="M713" s="1" t="s">
        <v>58</v>
      </c>
      <c r="N713" s="1">
        <v>0</v>
      </c>
      <c r="O713" s="1" t="s">
        <v>105</v>
      </c>
      <c r="P713" s="186">
        <v>44896.621840277781</v>
      </c>
      <c r="R713" s="1">
        <v>3</v>
      </c>
      <c r="T713" s="1" t="s">
        <v>646</v>
      </c>
      <c r="U713" s="186">
        <v>44897.621840277781</v>
      </c>
      <c r="V713" s="1" t="s">
        <v>41</v>
      </c>
      <c r="W713" s="1" t="s">
        <v>49</v>
      </c>
      <c r="Z713" s="14"/>
      <c r="AC713" s="20"/>
      <c r="AE713" s="20"/>
    </row>
    <row r="714" spans="1:31" hidden="1">
      <c r="A714" s="1">
        <v>9129868</v>
      </c>
      <c r="B714" s="1" t="s">
        <v>101</v>
      </c>
      <c r="C714" t="s">
        <v>643</v>
      </c>
      <c r="D714" s="2">
        <v>220193412</v>
      </c>
      <c r="E714" s="2">
        <v>1643001400010</v>
      </c>
      <c r="F714" s="1" t="s">
        <v>936</v>
      </c>
      <c r="G714" s="1" t="s">
        <v>53</v>
      </c>
      <c r="H714" s="1" t="s">
        <v>361</v>
      </c>
      <c r="I714" s="1" t="s">
        <v>362</v>
      </c>
      <c r="J714" s="1" t="s">
        <v>261</v>
      </c>
      <c r="K714" t="s">
        <v>937</v>
      </c>
      <c r="M714" s="1" t="s">
        <v>58</v>
      </c>
      <c r="N714" s="1">
        <v>0</v>
      </c>
      <c r="O714" s="1" t="s">
        <v>105</v>
      </c>
      <c r="P714" s="186">
        <v>44896.618703703702</v>
      </c>
      <c r="R714" s="1">
        <v>3</v>
      </c>
      <c r="T714" s="1" t="s">
        <v>646</v>
      </c>
      <c r="U714" s="186">
        <v>44897.618703703702</v>
      </c>
      <c r="V714" s="1" t="s">
        <v>41</v>
      </c>
      <c r="W714" s="1" t="s">
        <v>49</v>
      </c>
      <c r="Z714" s="14"/>
      <c r="AA714" s="14"/>
      <c r="AC714" s="1"/>
      <c r="AE714" s="1"/>
    </row>
    <row r="715" spans="1:31" hidden="1">
      <c r="A715" s="1">
        <v>9129798</v>
      </c>
      <c r="B715" s="1" t="s">
        <v>101</v>
      </c>
      <c r="C715" t="s">
        <v>643</v>
      </c>
      <c r="D715" s="2">
        <v>220193269</v>
      </c>
      <c r="E715" s="2">
        <v>1264001400010</v>
      </c>
      <c r="F715" s="1" t="s">
        <v>936</v>
      </c>
      <c r="G715" s="1" t="s">
        <v>53</v>
      </c>
      <c r="H715" s="1" t="s">
        <v>351</v>
      </c>
      <c r="I715" s="1" t="s">
        <v>352</v>
      </c>
      <c r="J715" s="1" t="s">
        <v>110</v>
      </c>
      <c r="K715" t="s">
        <v>937</v>
      </c>
      <c r="M715" s="1" t="s">
        <v>58</v>
      </c>
      <c r="N715" s="1">
        <v>0</v>
      </c>
      <c r="O715" s="1" t="s">
        <v>105</v>
      </c>
      <c r="P715" s="186">
        <v>44896.615624999999</v>
      </c>
      <c r="R715" s="1">
        <v>3</v>
      </c>
      <c r="T715" s="1" t="s">
        <v>646</v>
      </c>
      <c r="U715" s="186">
        <v>44897.615624999999</v>
      </c>
      <c r="V715" s="1" t="s">
        <v>41</v>
      </c>
      <c r="W715" s="1" t="s">
        <v>49</v>
      </c>
      <c r="Z715" s="14"/>
      <c r="AA715" s="14"/>
      <c r="AC715" s="1"/>
      <c r="AE715" s="1"/>
    </row>
    <row r="716" spans="1:31" hidden="1">
      <c r="A716" s="1">
        <v>9129788</v>
      </c>
      <c r="B716" s="1" t="s">
        <v>101</v>
      </c>
      <c r="C716" t="s">
        <v>643</v>
      </c>
      <c r="D716" s="2">
        <v>220193262</v>
      </c>
      <c r="E716" s="2">
        <v>1245001400010</v>
      </c>
      <c r="F716" s="1" t="s">
        <v>936</v>
      </c>
      <c r="G716" s="1" t="s">
        <v>53</v>
      </c>
      <c r="H716" s="1" t="s">
        <v>408</v>
      </c>
      <c r="I716" s="1" t="s">
        <v>409</v>
      </c>
      <c r="J716" s="1" t="s">
        <v>46</v>
      </c>
      <c r="K716" t="s">
        <v>937</v>
      </c>
      <c r="M716" s="1" t="s">
        <v>58</v>
      </c>
      <c r="N716" s="1">
        <v>0</v>
      </c>
      <c r="O716" s="1" t="s">
        <v>105</v>
      </c>
      <c r="P716" s="186">
        <v>44896.61519675926</v>
      </c>
      <c r="R716" s="1">
        <v>3</v>
      </c>
      <c r="T716" s="1" t="s">
        <v>646</v>
      </c>
      <c r="U716" s="186">
        <v>44897.61519675926</v>
      </c>
      <c r="V716" s="1" t="s">
        <v>41</v>
      </c>
      <c r="W716" s="1" t="s">
        <v>49</v>
      </c>
      <c r="Z716" s="14"/>
      <c r="AA716" s="14"/>
      <c r="AC716" s="1"/>
      <c r="AE716" s="1"/>
    </row>
    <row r="717" spans="1:31" hidden="1">
      <c r="A717" s="1">
        <v>9129743</v>
      </c>
      <c r="B717" s="1" t="s">
        <v>101</v>
      </c>
      <c r="C717" t="s">
        <v>643</v>
      </c>
      <c r="D717" s="2">
        <v>220193731</v>
      </c>
      <c r="E717" s="2">
        <v>2855001400010</v>
      </c>
      <c r="F717" s="1" t="s">
        <v>936</v>
      </c>
      <c r="G717" s="1" t="s">
        <v>53</v>
      </c>
      <c r="H717" s="1" t="s">
        <v>249</v>
      </c>
      <c r="I717" s="1" t="s">
        <v>250</v>
      </c>
      <c r="J717" s="1" t="s">
        <v>56</v>
      </c>
      <c r="K717" t="s">
        <v>937</v>
      </c>
      <c r="M717" s="1" t="s">
        <v>58</v>
      </c>
      <c r="N717" s="1">
        <v>0</v>
      </c>
      <c r="O717" s="1" t="s">
        <v>105</v>
      </c>
      <c r="P717" s="186">
        <v>44896.61341435185</v>
      </c>
      <c r="R717" s="1">
        <v>3</v>
      </c>
      <c r="T717" s="1" t="s">
        <v>646</v>
      </c>
      <c r="U717" s="186">
        <v>44897.61341435185</v>
      </c>
      <c r="V717" s="1" t="s">
        <v>41</v>
      </c>
      <c r="W717" s="1" t="s">
        <v>49</v>
      </c>
      <c r="Z717" s="14"/>
      <c r="AA717" s="14"/>
      <c r="AC717" s="1"/>
      <c r="AE717" s="1"/>
    </row>
    <row r="718" spans="1:31" hidden="1">
      <c r="A718" s="1">
        <v>9129736</v>
      </c>
      <c r="B718" s="1" t="s">
        <v>101</v>
      </c>
      <c r="C718" t="s">
        <v>643</v>
      </c>
      <c r="D718" s="2">
        <v>220193724</v>
      </c>
      <c r="E718" s="2">
        <v>2830001400010</v>
      </c>
      <c r="F718" s="1" t="s">
        <v>936</v>
      </c>
      <c r="G718" s="1" t="s">
        <v>53</v>
      </c>
      <c r="H718" s="1" t="s">
        <v>448</v>
      </c>
      <c r="I718" s="1" t="s">
        <v>449</v>
      </c>
      <c r="J718" s="1" t="s">
        <v>33</v>
      </c>
      <c r="K718" t="s">
        <v>937</v>
      </c>
      <c r="M718" s="1" t="s">
        <v>58</v>
      </c>
      <c r="N718" s="1">
        <v>0</v>
      </c>
      <c r="O718" s="1" t="s">
        <v>105</v>
      </c>
      <c r="P718" s="186">
        <v>44896.613055555557</v>
      </c>
      <c r="R718" s="1">
        <v>3</v>
      </c>
      <c r="T718" s="1" t="s">
        <v>646</v>
      </c>
      <c r="U718" s="186">
        <v>44897.613055555557</v>
      </c>
      <c r="V718" s="1" t="s">
        <v>41</v>
      </c>
      <c r="W718" s="1" t="s">
        <v>42</v>
      </c>
      <c r="Z718" s="14"/>
      <c r="AA718" s="14"/>
      <c r="AC718" s="1"/>
      <c r="AE718" s="1"/>
    </row>
    <row r="719" spans="1:31">
      <c r="A719" s="1">
        <v>9129707</v>
      </c>
      <c r="B719" s="1" t="s">
        <v>101</v>
      </c>
      <c r="C719" t="s">
        <v>643</v>
      </c>
      <c r="D719" s="2">
        <v>220193132</v>
      </c>
      <c r="E719" s="2">
        <v>981001400010</v>
      </c>
      <c r="F719" s="1" t="s">
        <v>936</v>
      </c>
      <c r="G719" s="1" t="s">
        <v>53</v>
      </c>
      <c r="H719" s="1" t="s">
        <v>410</v>
      </c>
      <c r="I719" s="1" t="s">
        <v>411</v>
      </c>
      <c r="J719" s="1" t="s">
        <v>85</v>
      </c>
      <c r="K719" t="s">
        <v>937</v>
      </c>
      <c r="M719" s="1" t="s">
        <v>58</v>
      </c>
      <c r="N719" s="1">
        <v>0</v>
      </c>
      <c r="O719" s="1" t="s">
        <v>105</v>
      </c>
      <c r="P719" s="186">
        <v>44896.611238425925</v>
      </c>
      <c r="R719" s="1">
        <v>3</v>
      </c>
      <c r="T719" s="1" t="s">
        <v>646</v>
      </c>
      <c r="U719" s="186">
        <v>44897.611238425925</v>
      </c>
      <c r="V719" s="1" t="s">
        <v>41</v>
      </c>
      <c r="W719" s="1" t="s">
        <v>49</v>
      </c>
      <c r="Z719" s="14"/>
      <c r="AA719" s="14"/>
      <c r="AC719" s="1"/>
      <c r="AE719" s="1"/>
    </row>
    <row r="720" spans="1:31" hidden="1">
      <c r="A720" s="1">
        <v>9129576</v>
      </c>
      <c r="B720" s="1" t="s">
        <v>101</v>
      </c>
      <c r="C720" t="s">
        <v>643</v>
      </c>
      <c r="D720" s="2">
        <v>220198413</v>
      </c>
      <c r="E720" s="2">
        <v>1943001400040</v>
      </c>
      <c r="F720" s="1" t="s">
        <v>644</v>
      </c>
      <c r="G720" s="1" t="s">
        <v>53</v>
      </c>
      <c r="H720" s="1" t="s">
        <v>264</v>
      </c>
      <c r="I720" s="1" t="s">
        <v>265</v>
      </c>
      <c r="J720" s="1" t="s">
        <v>56</v>
      </c>
      <c r="K720" t="s">
        <v>645</v>
      </c>
      <c r="M720" s="1" t="s">
        <v>58</v>
      </c>
      <c r="N720" s="1">
        <v>0</v>
      </c>
      <c r="O720" s="1" t="s">
        <v>105</v>
      </c>
      <c r="P720" s="186">
        <v>44896.605173611111</v>
      </c>
      <c r="R720" s="1">
        <v>2</v>
      </c>
      <c r="T720" s="1" t="s">
        <v>646</v>
      </c>
      <c r="U720" s="186">
        <v>44897.605185185188</v>
      </c>
      <c r="V720" s="1" t="s">
        <v>41</v>
      </c>
      <c r="W720" s="1" t="s">
        <v>49</v>
      </c>
      <c r="Z720" s="14"/>
      <c r="AA720" s="14"/>
      <c r="AC720" s="1"/>
      <c r="AE720" s="1"/>
    </row>
    <row r="721" spans="1:31" hidden="1">
      <c r="A721" s="1">
        <v>9129532</v>
      </c>
      <c r="B721" s="1" t="s">
        <v>101</v>
      </c>
      <c r="C721" t="s">
        <v>643</v>
      </c>
      <c r="D721" s="2">
        <v>220198370</v>
      </c>
      <c r="E721" s="2">
        <v>5898001400040</v>
      </c>
      <c r="F721" s="1" t="s">
        <v>644</v>
      </c>
      <c r="G721" s="1" t="s">
        <v>53</v>
      </c>
      <c r="H721" s="1" t="s">
        <v>365</v>
      </c>
      <c r="I721" s="1" t="s">
        <v>366</v>
      </c>
      <c r="J721" s="1" t="s">
        <v>164</v>
      </c>
      <c r="K721" t="s">
        <v>645</v>
      </c>
      <c r="M721" s="1" t="s">
        <v>58</v>
      </c>
      <c r="N721" s="1">
        <v>0</v>
      </c>
      <c r="O721" s="1" t="s">
        <v>105</v>
      </c>
      <c r="P721" s="186">
        <v>44896.602442129632</v>
      </c>
      <c r="R721" s="1">
        <v>2</v>
      </c>
      <c r="T721" s="1" t="s">
        <v>646</v>
      </c>
      <c r="U721" s="186">
        <v>44897.602453703701</v>
      </c>
      <c r="V721" s="1" t="s">
        <v>41</v>
      </c>
      <c r="W721" s="1" t="s">
        <v>49</v>
      </c>
      <c r="Z721" s="14"/>
      <c r="AA721" s="14"/>
      <c r="AC721" s="1"/>
      <c r="AE721" s="1"/>
    </row>
    <row r="722" spans="1:31" hidden="1">
      <c r="A722" s="1">
        <v>9129469</v>
      </c>
      <c r="B722" s="1" t="s">
        <v>101</v>
      </c>
      <c r="C722" t="s">
        <v>643</v>
      </c>
      <c r="D722" s="2">
        <v>220198152</v>
      </c>
      <c r="E722" s="2">
        <v>4637001400040</v>
      </c>
      <c r="F722" s="1" t="s">
        <v>644</v>
      </c>
      <c r="G722" s="1" t="s">
        <v>53</v>
      </c>
      <c r="H722" s="1" t="s">
        <v>848</v>
      </c>
      <c r="I722" s="1" t="s">
        <v>849</v>
      </c>
      <c r="J722" s="1" t="s">
        <v>79</v>
      </c>
      <c r="K722" t="s">
        <v>645</v>
      </c>
      <c r="M722" s="1" t="s">
        <v>58</v>
      </c>
      <c r="N722" s="1">
        <v>0</v>
      </c>
      <c r="O722" s="1" t="s">
        <v>105</v>
      </c>
      <c r="P722" s="186">
        <v>44896.599282407406</v>
      </c>
      <c r="R722" s="1">
        <v>3</v>
      </c>
      <c r="T722" s="1" t="s">
        <v>646</v>
      </c>
      <c r="U722" s="186">
        <v>44897.599282407406</v>
      </c>
      <c r="V722" s="1" t="s">
        <v>41</v>
      </c>
      <c r="W722" s="1" t="s">
        <v>49</v>
      </c>
      <c r="Z722" s="14"/>
      <c r="AA722" s="14"/>
      <c r="AC722" s="1"/>
      <c r="AE722" s="1"/>
    </row>
    <row r="723" spans="1:31" hidden="1">
      <c r="A723" s="1">
        <v>9129466</v>
      </c>
      <c r="B723" s="1" t="s">
        <v>101</v>
      </c>
      <c r="C723" t="s">
        <v>643</v>
      </c>
      <c r="D723" s="2">
        <v>220198149</v>
      </c>
      <c r="E723" s="2">
        <v>4623001400040</v>
      </c>
      <c r="F723" s="1" t="s">
        <v>644</v>
      </c>
      <c r="G723" s="1" t="s">
        <v>53</v>
      </c>
      <c r="H723" s="1" t="s">
        <v>669</v>
      </c>
      <c r="I723" s="1" t="s">
        <v>670</v>
      </c>
      <c r="J723" s="1" t="s">
        <v>33</v>
      </c>
      <c r="K723" t="s">
        <v>645</v>
      </c>
      <c r="M723" s="1" t="s">
        <v>58</v>
      </c>
      <c r="N723" s="1">
        <v>0</v>
      </c>
      <c r="O723" s="1" t="s">
        <v>105</v>
      </c>
      <c r="P723" s="186">
        <v>44896.599108796298</v>
      </c>
      <c r="R723" s="1">
        <v>2</v>
      </c>
      <c r="T723" s="1" t="s">
        <v>646</v>
      </c>
      <c r="U723" s="186">
        <v>44897.599120370367</v>
      </c>
      <c r="V723" s="1" t="s">
        <v>41</v>
      </c>
      <c r="W723" s="1" t="s">
        <v>42</v>
      </c>
      <c r="Z723" s="14"/>
      <c r="AA723" s="14"/>
      <c r="AC723" s="21"/>
      <c r="AE723" s="21"/>
    </row>
    <row r="724" spans="1:31" hidden="1">
      <c r="A724" s="1">
        <v>9129293</v>
      </c>
      <c r="B724" s="1" t="s">
        <v>101</v>
      </c>
      <c r="C724" t="s">
        <v>643</v>
      </c>
      <c r="D724" s="2">
        <v>220197353</v>
      </c>
      <c r="E724" s="2">
        <v>1509001400040</v>
      </c>
      <c r="F724" s="1" t="s">
        <v>644</v>
      </c>
      <c r="G724" s="1" t="s">
        <v>53</v>
      </c>
      <c r="H724" s="1" t="s">
        <v>731</v>
      </c>
      <c r="I724" s="1" t="s">
        <v>732</v>
      </c>
      <c r="J724" s="1" t="s">
        <v>46</v>
      </c>
      <c r="K724" t="s">
        <v>645</v>
      </c>
      <c r="M724" s="1" t="s">
        <v>58</v>
      </c>
      <c r="N724" s="1">
        <v>0</v>
      </c>
      <c r="O724" s="1" t="s">
        <v>105</v>
      </c>
      <c r="P724" s="186">
        <v>44896.590925925928</v>
      </c>
      <c r="R724" s="1">
        <v>3</v>
      </c>
      <c r="T724" s="1" t="s">
        <v>646</v>
      </c>
      <c r="U724" s="186">
        <v>44897.590925925928</v>
      </c>
      <c r="V724" s="1" t="s">
        <v>41</v>
      </c>
      <c r="W724" s="1" t="s">
        <v>49</v>
      </c>
      <c r="Z724" s="14"/>
      <c r="AA724" s="14"/>
      <c r="AC724" s="21"/>
      <c r="AE724" s="21"/>
    </row>
    <row r="725" spans="1:31">
      <c r="A725" s="1">
        <v>9129253</v>
      </c>
      <c r="B725" s="1" t="s">
        <v>101</v>
      </c>
      <c r="C725" t="s">
        <v>643</v>
      </c>
      <c r="D725" s="2">
        <v>220197205</v>
      </c>
      <c r="E725" s="2">
        <v>1162001400040</v>
      </c>
      <c r="F725" s="1" t="s">
        <v>644</v>
      </c>
      <c r="G725" s="1" t="s">
        <v>53</v>
      </c>
      <c r="H725" s="1" t="s">
        <v>280</v>
      </c>
      <c r="I725" s="1" t="s">
        <v>281</v>
      </c>
      <c r="J725" s="1" t="s">
        <v>211</v>
      </c>
      <c r="K725" t="s">
        <v>645</v>
      </c>
      <c r="M725" s="1" t="s">
        <v>58</v>
      </c>
      <c r="N725" s="1">
        <v>0</v>
      </c>
      <c r="O725" s="1" t="s">
        <v>105</v>
      </c>
      <c r="P725" s="186">
        <v>44896.588958333334</v>
      </c>
      <c r="R725" s="1">
        <v>3</v>
      </c>
      <c r="T725" s="1" t="s">
        <v>646</v>
      </c>
      <c r="U725" s="186">
        <v>44897.588958333334</v>
      </c>
      <c r="V725" s="1" t="s">
        <v>41</v>
      </c>
      <c r="W725" s="1" t="s">
        <v>49</v>
      </c>
      <c r="Z725" s="14"/>
      <c r="AA725" s="14"/>
      <c r="AC725" s="22"/>
      <c r="AE725" s="22"/>
    </row>
    <row r="726" spans="1:31" hidden="1">
      <c r="A726" s="1">
        <v>9129235</v>
      </c>
      <c r="B726" s="1" t="s">
        <v>101</v>
      </c>
      <c r="C726" t="s">
        <v>643</v>
      </c>
      <c r="D726" s="2">
        <v>220197191</v>
      </c>
      <c r="E726" s="2">
        <v>1138001400040</v>
      </c>
      <c r="F726" s="1" t="s">
        <v>644</v>
      </c>
      <c r="G726" s="1" t="s">
        <v>53</v>
      </c>
      <c r="H726" s="1" t="s">
        <v>548</v>
      </c>
      <c r="I726" s="1" t="s">
        <v>549</v>
      </c>
      <c r="J726" s="1" t="s">
        <v>46</v>
      </c>
      <c r="K726" t="s">
        <v>645</v>
      </c>
      <c r="M726" s="1" t="s">
        <v>58</v>
      </c>
      <c r="N726" s="1">
        <v>0</v>
      </c>
      <c r="O726" s="1" t="s">
        <v>105</v>
      </c>
      <c r="P726" s="186">
        <v>44896.588101851848</v>
      </c>
      <c r="R726" s="1">
        <v>2</v>
      </c>
      <c r="T726" s="1" t="s">
        <v>646</v>
      </c>
      <c r="U726" s="186">
        <v>44897.588113425925</v>
      </c>
      <c r="V726" s="1" t="s">
        <v>41</v>
      </c>
      <c r="W726" s="1" t="s">
        <v>49</v>
      </c>
      <c r="Z726" s="14"/>
      <c r="AA726" s="14"/>
      <c r="AC726" s="21"/>
      <c r="AE726" s="21"/>
    </row>
    <row r="727" spans="1:31" hidden="1">
      <c r="A727" s="1">
        <v>9129192</v>
      </c>
      <c r="B727" s="1" t="s">
        <v>101</v>
      </c>
      <c r="C727" t="s">
        <v>643</v>
      </c>
      <c r="D727" s="2">
        <v>220197715</v>
      </c>
      <c r="E727" s="2">
        <v>2830001400040</v>
      </c>
      <c r="F727" s="1" t="s">
        <v>644</v>
      </c>
      <c r="G727" s="1" t="s">
        <v>53</v>
      </c>
      <c r="H727" s="1" t="s">
        <v>448</v>
      </c>
      <c r="I727" s="1" t="s">
        <v>449</v>
      </c>
      <c r="J727" s="1" t="s">
        <v>33</v>
      </c>
      <c r="K727" t="s">
        <v>645</v>
      </c>
      <c r="M727" s="1" t="s">
        <v>58</v>
      </c>
      <c r="N727" s="1">
        <v>0</v>
      </c>
      <c r="O727" s="1" t="s">
        <v>105</v>
      </c>
      <c r="P727" s="186">
        <v>44896.585763888892</v>
      </c>
      <c r="R727" s="1">
        <v>2</v>
      </c>
      <c r="T727" s="1" t="s">
        <v>646</v>
      </c>
      <c r="U727" s="186">
        <v>44897.585775462961</v>
      </c>
      <c r="V727" s="1" t="s">
        <v>41</v>
      </c>
      <c r="W727" s="1" t="s">
        <v>42</v>
      </c>
      <c r="Z727" s="14"/>
      <c r="AA727" s="14"/>
      <c r="AC727" s="21"/>
      <c r="AE727" s="21"/>
    </row>
    <row r="728" spans="1:31" hidden="1">
      <c r="A728" s="1">
        <v>9129186</v>
      </c>
      <c r="B728" s="1" t="s">
        <v>101</v>
      </c>
      <c r="C728" t="s">
        <v>643</v>
      </c>
      <c r="D728" s="2">
        <v>220197710</v>
      </c>
      <c r="E728" s="2">
        <v>2802001400040</v>
      </c>
      <c r="F728" s="1" t="s">
        <v>644</v>
      </c>
      <c r="G728" s="1" t="s">
        <v>53</v>
      </c>
      <c r="H728" s="1" t="s">
        <v>388</v>
      </c>
      <c r="I728" s="1" t="s">
        <v>389</v>
      </c>
      <c r="J728" s="1" t="s">
        <v>46</v>
      </c>
      <c r="K728" t="s">
        <v>645</v>
      </c>
      <c r="M728" s="1" t="s">
        <v>58</v>
      </c>
      <c r="N728" s="1">
        <v>0</v>
      </c>
      <c r="O728" s="1" t="s">
        <v>105</v>
      </c>
      <c r="P728" s="186">
        <v>44896.585370370369</v>
      </c>
      <c r="R728" s="1">
        <v>3</v>
      </c>
      <c r="T728" s="1" t="s">
        <v>646</v>
      </c>
      <c r="U728" s="186">
        <v>44897.585370370369</v>
      </c>
      <c r="V728" s="1" t="s">
        <v>41</v>
      </c>
      <c r="W728" s="1" t="s">
        <v>49</v>
      </c>
      <c r="Z728" s="14"/>
      <c r="AA728" s="14"/>
      <c r="AC728" s="21"/>
      <c r="AE728" s="21"/>
    </row>
    <row r="729" spans="1:31" hidden="1">
      <c r="A729" s="1">
        <v>9129147</v>
      </c>
      <c r="B729" s="1" t="s">
        <v>101</v>
      </c>
      <c r="C729" t="s">
        <v>643</v>
      </c>
      <c r="D729" s="2">
        <v>220197682</v>
      </c>
      <c r="E729" s="2">
        <v>2693001400040</v>
      </c>
      <c r="F729" s="1" t="s">
        <v>644</v>
      </c>
      <c r="G729" s="1" t="s">
        <v>53</v>
      </c>
      <c r="H729" s="1" t="s">
        <v>253</v>
      </c>
      <c r="I729" s="1" t="s">
        <v>254</v>
      </c>
      <c r="J729" s="1" t="s">
        <v>56</v>
      </c>
      <c r="K729" t="s">
        <v>645</v>
      </c>
      <c r="M729" s="1" t="s">
        <v>58</v>
      </c>
      <c r="N729" s="1">
        <v>0</v>
      </c>
      <c r="O729" s="1" t="s">
        <v>105</v>
      </c>
      <c r="P729" s="186">
        <v>44896.583495370367</v>
      </c>
      <c r="R729" s="1">
        <v>2</v>
      </c>
      <c r="T729" s="1" t="s">
        <v>646</v>
      </c>
      <c r="U729" s="186">
        <v>44897.583506944444</v>
      </c>
      <c r="V729" s="1" t="s">
        <v>41</v>
      </c>
      <c r="W729" s="1" t="s">
        <v>49</v>
      </c>
      <c r="Z729" s="14"/>
      <c r="AA729" s="14"/>
      <c r="AC729" s="21"/>
      <c r="AE729" s="21"/>
    </row>
    <row r="730" spans="1:31" hidden="1">
      <c r="A730" s="1">
        <v>9129072</v>
      </c>
      <c r="B730" s="1" t="s">
        <v>101</v>
      </c>
      <c r="C730" t="s">
        <v>643</v>
      </c>
      <c r="D730" s="2">
        <v>220197722</v>
      </c>
      <c r="E730" s="2">
        <v>2855001400040</v>
      </c>
      <c r="F730" s="1" t="s">
        <v>644</v>
      </c>
      <c r="G730" s="1" t="s">
        <v>53</v>
      </c>
      <c r="H730" s="1" t="s">
        <v>249</v>
      </c>
      <c r="I730" s="1" t="s">
        <v>250</v>
      </c>
      <c r="J730" s="1" t="s">
        <v>56</v>
      </c>
      <c r="K730" t="s">
        <v>645</v>
      </c>
      <c r="M730" s="1" t="s">
        <v>58</v>
      </c>
      <c r="N730" s="1">
        <v>0</v>
      </c>
      <c r="O730" s="1" t="s">
        <v>105</v>
      </c>
      <c r="P730" s="186">
        <v>44896.580439814818</v>
      </c>
      <c r="R730" s="1">
        <v>2</v>
      </c>
      <c r="T730" s="1" t="s">
        <v>646</v>
      </c>
      <c r="U730" s="186">
        <v>44897.580451388887</v>
      </c>
      <c r="V730" s="1" t="s">
        <v>41</v>
      </c>
      <c r="W730" s="1" t="s">
        <v>49</v>
      </c>
      <c r="Z730" s="14"/>
      <c r="AA730" s="14"/>
      <c r="AC730" s="21"/>
      <c r="AE730" s="21"/>
    </row>
    <row r="731" spans="1:31" hidden="1">
      <c r="A731" s="1">
        <v>9129043</v>
      </c>
      <c r="B731" s="1" t="s">
        <v>101</v>
      </c>
      <c r="C731" t="s">
        <v>643</v>
      </c>
      <c r="D731" s="2">
        <v>220196970</v>
      </c>
      <c r="E731" s="2">
        <v>710001400040</v>
      </c>
      <c r="F731" s="1" t="s">
        <v>644</v>
      </c>
      <c r="G731" s="1" t="s">
        <v>53</v>
      </c>
      <c r="H731" s="1" t="s">
        <v>390</v>
      </c>
      <c r="I731" s="1" t="s">
        <v>391</v>
      </c>
      <c r="J731" s="1" t="s">
        <v>56</v>
      </c>
      <c r="K731" t="s">
        <v>645</v>
      </c>
      <c r="M731" s="1" t="s">
        <v>58</v>
      </c>
      <c r="N731" s="1">
        <v>0</v>
      </c>
      <c r="O731" s="1" t="s">
        <v>105</v>
      </c>
      <c r="P731" s="186">
        <v>44896.579571759263</v>
      </c>
      <c r="R731" s="1">
        <v>2</v>
      </c>
      <c r="T731" s="1" t="s">
        <v>646</v>
      </c>
      <c r="U731" s="186">
        <v>44897.579583333332</v>
      </c>
      <c r="V731" s="1" t="s">
        <v>41</v>
      </c>
      <c r="W731" s="1" t="s">
        <v>49</v>
      </c>
      <c r="Z731" s="14"/>
      <c r="AA731" s="14"/>
      <c r="AC731" s="21"/>
      <c r="AE731" s="21"/>
    </row>
    <row r="732" spans="1:31" hidden="1">
      <c r="A732" s="1">
        <v>9128854</v>
      </c>
      <c r="B732" s="1" t="s">
        <v>101</v>
      </c>
      <c r="C732" t="s">
        <v>643</v>
      </c>
      <c r="D732" s="2">
        <v>220196470</v>
      </c>
      <c r="E732" s="2">
        <v>8259001400030</v>
      </c>
      <c r="F732" s="1" t="s">
        <v>647</v>
      </c>
      <c r="G732" s="1" t="s">
        <v>53</v>
      </c>
      <c r="H732" s="1" t="s">
        <v>245</v>
      </c>
      <c r="I732" s="1" t="s">
        <v>246</v>
      </c>
      <c r="J732" s="1" t="s">
        <v>56</v>
      </c>
      <c r="K732" t="s">
        <v>650</v>
      </c>
      <c r="M732" s="1" t="s">
        <v>58</v>
      </c>
      <c r="N732" s="1">
        <v>0</v>
      </c>
      <c r="O732" s="1" t="s">
        <v>105</v>
      </c>
      <c r="P732" s="186">
        <v>44896.569606481484</v>
      </c>
      <c r="R732" s="1">
        <v>4</v>
      </c>
      <c r="T732" s="1" t="s">
        <v>646</v>
      </c>
      <c r="U732" s="186">
        <v>44897.569606481484</v>
      </c>
      <c r="V732" s="1" t="s">
        <v>41</v>
      </c>
      <c r="W732" s="1" t="s">
        <v>49</v>
      </c>
      <c r="Z732" s="14"/>
      <c r="AA732" s="14"/>
      <c r="AC732" s="21"/>
      <c r="AE732" s="21"/>
    </row>
    <row r="733" spans="1:31" hidden="1">
      <c r="A733" s="1">
        <v>9128754</v>
      </c>
      <c r="B733" s="1" t="s">
        <v>101</v>
      </c>
      <c r="C733" t="s">
        <v>643</v>
      </c>
      <c r="D733" s="2">
        <v>220196094</v>
      </c>
      <c r="E733" s="2">
        <v>4623001400030</v>
      </c>
      <c r="F733" s="1" t="s">
        <v>647</v>
      </c>
      <c r="G733" s="1" t="s">
        <v>53</v>
      </c>
      <c r="H733" s="1" t="s">
        <v>669</v>
      </c>
      <c r="I733" s="1" t="s">
        <v>670</v>
      </c>
      <c r="J733" s="1" t="s">
        <v>33</v>
      </c>
      <c r="K733" t="s">
        <v>650</v>
      </c>
      <c r="M733" s="1" t="s">
        <v>58</v>
      </c>
      <c r="N733" s="1">
        <v>0</v>
      </c>
      <c r="O733" s="1" t="s">
        <v>105</v>
      </c>
      <c r="P733" s="186">
        <v>44896.566134259258</v>
      </c>
      <c r="R733" s="1">
        <v>4</v>
      </c>
      <c r="T733" s="1" t="s">
        <v>646</v>
      </c>
      <c r="U733" s="186">
        <v>44897.566145833334</v>
      </c>
      <c r="V733" s="1" t="s">
        <v>41</v>
      </c>
      <c r="W733" s="1" t="s">
        <v>42</v>
      </c>
      <c r="Z733" s="14"/>
      <c r="AA733" s="14"/>
      <c r="AC733" s="21"/>
      <c r="AE733" s="21"/>
    </row>
    <row r="734" spans="1:31" hidden="1">
      <c r="A734" s="1">
        <v>9128723</v>
      </c>
      <c r="B734" s="1" t="s">
        <v>101</v>
      </c>
      <c r="C734" t="s">
        <v>643</v>
      </c>
      <c r="D734" s="2">
        <v>220196098</v>
      </c>
      <c r="E734" s="2">
        <v>4637001400030</v>
      </c>
      <c r="F734" s="1" t="s">
        <v>647</v>
      </c>
      <c r="G734" s="1" t="s">
        <v>53</v>
      </c>
      <c r="H734" s="1" t="s">
        <v>848</v>
      </c>
      <c r="I734" s="1" t="s">
        <v>849</v>
      </c>
      <c r="J734" s="1" t="s">
        <v>79</v>
      </c>
      <c r="K734" t="s">
        <v>650</v>
      </c>
      <c r="M734" s="1" t="s">
        <v>58</v>
      </c>
      <c r="N734" s="1">
        <v>0</v>
      </c>
      <c r="O734" s="1" t="s">
        <v>105</v>
      </c>
      <c r="P734" s="186">
        <v>44896.564293981479</v>
      </c>
      <c r="R734" s="1">
        <v>4</v>
      </c>
      <c r="T734" s="1" t="s">
        <v>646</v>
      </c>
      <c r="U734" s="186">
        <v>44897.564305555556</v>
      </c>
      <c r="V734" s="1" t="s">
        <v>41</v>
      </c>
      <c r="W734" s="1" t="s">
        <v>49</v>
      </c>
      <c r="Z734" s="14"/>
      <c r="AA734" s="14"/>
      <c r="AC734" s="21"/>
      <c r="AE734" s="21"/>
    </row>
    <row r="735" spans="1:31" hidden="1">
      <c r="A735" s="1">
        <v>9128704</v>
      </c>
      <c r="B735" s="1" t="s">
        <v>101</v>
      </c>
      <c r="C735" t="s">
        <v>643</v>
      </c>
      <c r="D735" s="2">
        <v>220195914</v>
      </c>
      <c r="E735" s="2">
        <v>4012001400030</v>
      </c>
      <c r="F735" s="1" t="s">
        <v>647</v>
      </c>
      <c r="G735" s="1" t="s">
        <v>53</v>
      </c>
      <c r="H735" s="1" t="s">
        <v>349</v>
      </c>
      <c r="I735" s="1" t="s">
        <v>350</v>
      </c>
      <c r="J735" s="1" t="s">
        <v>261</v>
      </c>
      <c r="K735" t="s">
        <v>650</v>
      </c>
      <c r="M735" s="1" t="s">
        <v>58</v>
      </c>
      <c r="N735" s="1">
        <v>0</v>
      </c>
      <c r="O735" s="1" t="s">
        <v>105</v>
      </c>
      <c r="P735" s="186">
        <v>44896.563391203701</v>
      </c>
      <c r="R735" s="1">
        <v>4</v>
      </c>
      <c r="T735" s="1" t="s">
        <v>646</v>
      </c>
      <c r="U735" s="186">
        <v>44897.563391203701</v>
      </c>
      <c r="V735" s="1" t="s">
        <v>41</v>
      </c>
      <c r="W735" s="1" t="s">
        <v>49</v>
      </c>
      <c r="Z735" s="14"/>
      <c r="AA735" s="14"/>
      <c r="AC735" s="21"/>
      <c r="AE735" s="21"/>
    </row>
    <row r="736" spans="1:31" hidden="1">
      <c r="A736" s="1">
        <v>9128584</v>
      </c>
      <c r="B736" s="1" t="s">
        <v>101</v>
      </c>
      <c r="C736" t="s">
        <v>643</v>
      </c>
      <c r="D736" s="2">
        <v>220195562</v>
      </c>
      <c r="E736" s="2">
        <v>2529001400030</v>
      </c>
      <c r="F736" s="1" t="s">
        <v>647</v>
      </c>
      <c r="G736" s="1" t="s">
        <v>53</v>
      </c>
      <c r="H736" s="1" t="s">
        <v>355</v>
      </c>
      <c r="I736" s="1" t="s">
        <v>356</v>
      </c>
      <c r="J736" s="1" t="s">
        <v>56</v>
      </c>
      <c r="K736" t="s">
        <v>650</v>
      </c>
      <c r="M736" s="1" t="s">
        <v>58</v>
      </c>
      <c r="N736" s="1">
        <v>0</v>
      </c>
      <c r="O736" s="1" t="s">
        <v>105</v>
      </c>
      <c r="P736" s="186">
        <v>44896.558148148149</v>
      </c>
      <c r="R736" s="1">
        <v>4</v>
      </c>
      <c r="T736" s="1" t="s">
        <v>646</v>
      </c>
      <c r="U736" s="186">
        <v>44897.558148148149</v>
      </c>
      <c r="V736" s="1" t="s">
        <v>41</v>
      </c>
      <c r="W736" s="1" t="s">
        <v>49</v>
      </c>
      <c r="Z736" s="14"/>
      <c r="AA736" s="14"/>
      <c r="AC736" s="21"/>
      <c r="AE736" s="21"/>
    </row>
    <row r="737" spans="1:31" hidden="1">
      <c r="A737" s="1">
        <v>9128556</v>
      </c>
      <c r="B737" s="1" t="s">
        <v>101</v>
      </c>
      <c r="C737" t="s">
        <v>643</v>
      </c>
      <c r="D737" s="2">
        <v>220195542</v>
      </c>
      <c r="E737" s="2">
        <v>2473001400030</v>
      </c>
      <c r="F737" s="1" t="s">
        <v>647</v>
      </c>
      <c r="G737" s="1" t="s">
        <v>53</v>
      </c>
      <c r="H737" s="1" t="s">
        <v>1459</v>
      </c>
      <c r="I737" s="1" t="s">
        <v>1460</v>
      </c>
      <c r="J737" s="1" t="s">
        <v>261</v>
      </c>
      <c r="K737" t="s">
        <v>650</v>
      </c>
      <c r="M737" s="1" t="s">
        <v>58</v>
      </c>
      <c r="N737" s="1">
        <v>0</v>
      </c>
      <c r="O737" s="1" t="s">
        <v>105</v>
      </c>
      <c r="P737" s="186">
        <v>44896.556932870371</v>
      </c>
      <c r="R737" s="1">
        <v>4</v>
      </c>
      <c r="T737" s="1" t="s">
        <v>646</v>
      </c>
      <c r="U737" s="186">
        <v>44897.556932870371</v>
      </c>
      <c r="V737" s="1" t="s">
        <v>41</v>
      </c>
      <c r="W737" s="1" t="s">
        <v>49</v>
      </c>
      <c r="Z737" s="14"/>
      <c r="AA737" s="14"/>
      <c r="AC737" s="21"/>
      <c r="AE737" s="21"/>
    </row>
    <row r="738" spans="1:31" hidden="1">
      <c r="A738" s="1">
        <v>9128525</v>
      </c>
      <c r="B738" s="1" t="s">
        <v>101</v>
      </c>
      <c r="C738" t="s">
        <v>643</v>
      </c>
      <c r="D738" s="2">
        <v>220195522</v>
      </c>
      <c r="E738" s="2">
        <v>2413001400030</v>
      </c>
      <c r="F738" s="1" t="s">
        <v>647</v>
      </c>
      <c r="G738" s="1" t="s">
        <v>53</v>
      </c>
      <c r="H738" s="1" t="s">
        <v>505</v>
      </c>
      <c r="I738" s="1" t="s">
        <v>506</v>
      </c>
      <c r="J738" s="1" t="s">
        <v>141</v>
      </c>
      <c r="K738" t="s">
        <v>650</v>
      </c>
      <c r="M738" s="1" t="s">
        <v>58</v>
      </c>
      <c r="N738" s="1">
        <v>0</v>
      </c>
      <c r="O738" s="1" t="s">
        <v>105</v>
      </c>
      <c r="P738" s="186">
        <v>44896.555879629632</v>
      </c>
      <c r="R738" s="1">
        <v>4</v>
      </c>
      <c r="T738" s="1" t="s">
        <v>646</v>
      </c>
      <c r="U738" s="186">
        <v>44897.555891203701</v>
      </c>
      <c r="V738" s="1" t="s">
        <v>41</v>
      </c>
      <c r="W738" s="1" t="s">
        <v>49</v>
      </c>
      <c r="Z738" s="14"/>
      <c r="AA738" s="14"/>
      <c r="AC738" s="21"/>
      <c r="AE738" s="21"/>
    </row>
    <row r="739" spans="1:31" hidden="1">
      <c r="A739" s="1">
        <v>9128505</v>
      </c>
      <c r="B739" s="1" t="s">
        <v>101</v>
      </c>
      <c r="C739" t="s">
        <v>643</v>
      </c>
      <c r="D739" s="2">
        <v>220195710</v>
      </c>
      <c r="E739" s="2">
        <v>3108001400030</v>
      </c>
      <c r="F739" s="1" t="s">
        <v>647</v>
      </c>
      <c r="G739" s="1" t="s">
        <v>53</v>
      </c>
      <c r="H739" s="1" t="s">
        <v>325</v>
      </c>
      <c r="I739" s="1" t="s">
        <v>326</v>
      </c>
      <c r="J739" s="1" t="s">
        <v>46</v>
      </c>
      <c r="K739" t="s">
        <v>650</v>
      </c>
      <c r="M739" s="1" t="s">
        <v>58</v>
      </c>
      <c r="N739" s="1">
        <v>0</v>
      </c>
      <c r="O739" s="1" t="s">
        <v>105</v>
      </c>
      <c r="P739" s="186">
        <v>44896.555162037039</v>
      </c>
      <c r="R739" s="1">
        <v>4</v>
      </c>
      <c r="T739" s="1" t="s">
        <v>646</v>
      </c>
      <c r="U739" s="186">
        <v>44897.555162037039</v>
      </c>
      <c r="V739" s="1" t="s">
        <v>41</v>
      </c>
      <c r="W739" s="1" t="s">
        <v>49</v>
      </c>
      <c r="Z739" s="14"/>
      <c r="AA739" s="14"/>
      <c r="AC739" s="21"/>
      <c r="AE739" s="21"/>
    </row>
    <row r="740" spans="1:31">
      <c r="A740" s="1">
        <v>9128485</v>
      </c>
      <c r="B740" s="1" t="s">
        <v>101</v>
      </c>
      <c r="C740" t="s">
        <v>643</v>
      </c>
      <c r="D740" s="2">
        <v>220195128</v>
      </c>
      <c r="E740" s="2">
        <v>1162001400030</v>
      </c>
      <c r="F740" s="1" t="s">
        <v>647</v>
      </c>
      <c r="G740" s="1" t="s">
        <v>53</v>
      </c>
      <c r="H740" s="1" t="s">
        <v>280</v>
      </c>
      <c r="I740" s="1" t="s">
        <v>281</v>
      </c>
      <c r="J740" s="1" t="s">
        <v>211</v>
      </c>
      <c r="K740" t="s">
        <v>650</v>
      </c>
      <c r="M740" s="1" t="s">
        <v>58</v>
      </c>
      <c r="N740" s="1">
        <v>0</v>
      </c>
      <c r="O740" s="1" t="s">
        <v>105</v>
      </c>
      <c r="P740" s="186">
        <v>44896.553865740738</v>
      </c>
      <c r="R740" s="1">
        <v>4</v>
      </c>
      <c r="T740" s="1" t="s">
        <v>646</v>
      </c>
      <c r="U740" s="186">
        <v>44897.553877314815</v>
      </c>
      <c r="V740" s="1" t="s">
        <v>41</v>
      </c>
      <c r="W740" s="1" t="s">
        <v>49</v>
      </c>
      <c r="Z740" s="14"/>
      <c r="AA740" s="14"/>
      <c r="AC740" s="21"/>
      <c r="AE740" s="21"/>
    </row>
    <row r="741" spans="1:31" hidden="1">
      <c r="A741" s="1">
        <v>9128470</v>
      </c>
      <c r="B741" s="1" t="s">
        <v>101</v>
      </c>
      <c r="C741" t="s">
        <v>643</v>
      </c>
      <c r="D741" s="2">
        <v>220195114</v>
      </c>
      <c r="E741" s="2">
        <v>1138001400030</v>
      </c>
      <c r="F741" s="1" t="s">
        <v>647</v>
      </c>
      <c r="G741" s="1" t="s">
        <v>53</v>
      </c>
      <c r="H741" s="1" t="s">
        <v>548</v>
      </c>
      <c r="I741" s="1" t="s">
        <v>549</v>
      </c>
      <c r="J741" s="1" t="s">
        <v>46</v>
      </c>
      <c r="K741" t="s">
        <v>650</v>
      </c>
      <c r="M741" s="1" t="s">
        <v>58</v>
      </c>
      <c r="N741" s="1">
        <v>0</v>
      </c>
      <c r="O741" s="1" t="s">
        <v>105</v>
      </c>
      <c r="P741" s="186">
        <v>44896.553067129629</v>
      </c>
      <c r="R741" s="1">
        <v>4</v>
      </c>
      <c r="T741" s="1" t="s">
        <v>646</v>
      </c>
      <c r="U741" s="186">
        <v>44897.553067129629</v>
      </c>
      <c r="V741" s="1" t="s">
        <v>41</v>
      </c>
      <c r="W741" s="1" t="s">
        <v>49</v>
      </c>
      <c r="Z741" s="14"/>
      <c r="AA741" s="14"/>
      <c r="AC741" s="21"/>
      <c r="AE741" s="21"/>
    </row>
    <row r="742" spans="1:31" hidden="1">
      <c r="A742" s="1">
        <v>9128428</v>
      </c>
      <c r="B742" s="1" t="s">
        <v>101</v>
      </c>
      <c r="C742" t="s">
        <v>643</v>
      </c>
      <c r="D742" s="2">
        <v>220195184</v>
      </c>
      <c r="E742" s="2">
        <v>1291001400030</v>
      </c>
      <c r="F742" s="1" t="s">
        <v>647</v>
      </c>
      <c r="G742" s="1" t="s">
        <v>53</v>
      </c>
      <c r="H742" s="1" t="s">
        <v>136</v>
      </c>
      <c r="I742" s="1" t="s">
        <v>137</v>
      </c>
      <c r="J742" s="1" t="s">
        <v>33</v>
      </c>
      <c r="K742" t="s">
        <v>650</v>
      </c>
      <c r="M742" s="1" t="s">
        <v>58</v>
      </c>
      <c r="N742" s="1">
        <v>0</v>
      </c>
      <c r="O742" s="1" t="s">
        <v>105</v>
      </c>
      <c r="P742" s="186">
        <v>44896.551354166666</v>
      </c>
      <c r="R742" s="1">
        <v>4</v>
      </c>
      <c r="T742" s="1" t="s">
        <v>646</v>
      </c>
      <c r="U742" s="186">
        <v>44897.551354166666</v>
      </c>
      <c r="V742" s="1" t="s">
        <v>41</v>
      </c>
      <c r="W742" s="1" t="s">
        <v>42</v>
      </c>
      <c r="Z742" s="14"/>
      <c r="AA742" s="14"/>
      <c r="AC742" s="21"/>
      <c r="AE742" s="21"/>
    </row>
    <row r="743" spans="1:31" hidden="1">
      <c r="A743" s="1">
        <v>9128421</v>
      </c>
      <c r="B743" s="1" t="s">
        <v>101</v>
      </c>
      <c r="C743" t="s">
        <v>643</v>
      </c>
      <c r="D743" s="2">
        <v>220195177</v>
      </c>
      <c r="E743" s="2">
        <v>1264001400030</v>
      </c>
      <c r="F743" s="1" t="s">
        <v>647</v>
      </c>
      <c r="G743" s="1" t="s">
        <v>53</v>
      </c>
      <c r="H743" s="1" t="s">
        <v>351</v>
      </c>
      <c r="I743" s="1" t="s">
        <v>352</v>
      </c>
      <c r="J743" s="1" t="s">
        <v>110</v>
      </c>
      <c r="K743" t="s">
        <v>650</v>
      </c>
      <c r="M743" s="1" t="s">
        <v>58</v>
      </c>
      <c r="N743" s="1">
        <v>0</v>
      </c>
      <c r="O743" s="1" t="s">
        <v>105</v>
      </c>
      <c r="P743" s="186">
        <v>44896.550949074073</v>
      </c>
      <c r="R743" s="1">
        <v>4</v>
      </c>
      <c r="T743" s="1" t="s">
        <v>646</v>
      </c>
      <c r="U743" s="186">
        <v>44897.550949074073</v>
      </c>
      <c r="V743" s="1" t="s">
        <v>41</v>
      </c>
      <c r="W743" s="1" t="s">
        <v>49</v>
      </c>
      <c r="Z743" s="14"/>
      <c r="AA743" s="14"/>
      <c r="AC743" s="21"/>
      <c r="AE743" s="21"/>
    </row>
    <row r="744" spans="1:31" hidden="1">
      <c r="A744" s="1">
        <v>9128414</v>
      </c>
      <c r="B744" s="1" t="s">
        <v>101</v>
      </c>
      <c r="C744" t="s">
        <v>643</v>
      </c>
      <c r="D744" s="2">
        <v>220195170</v>
      </c>
      <c r="E744" s="2">
        <v>1245001400030</v>
      </c>
      <c r="F744" s="1" t="s">
        <v>647</v>
      </c>
      <c r="G744" s="1" t="s">
        <v>53</v>
      </c>
      <c r="H744" s="1" t="s">
        <v>408</v>
      </c>
      <c r="I744" s="1" t="s">
        <v>409</v>
      </c>
      <c r="J744" s="1" t="s">
        <v>46</v>
      </c>
      <c r="K744" t="s">
        <v>650</v>
      </c>
      <c r="M744" s="1" t="s">
        <v>58</v>
      </c>
      <c r="N744" s="1">
        <v>0</v>
      </c>
      <c r="O744" s="1" t="s">
        <v>105</v>
      </c>
      <c r="P744" s="186">
        <v>44896.550543981481</v>
      </c>
      <c r="R744" s="1">
        <v>4</v>
      </c>
      <c r="T744" s="1" t="s">
        <v>646</v>
      </c>
      <c r="U744" s="186">
        <v>44897.550555555557</v>
      </c>
      <c r="V744" s="1" t="s">
        <v>41</v>
      </c>
      <c r="W744" s="1" t="s">
        <v>49</v>
      </c>
      <c r="Z744" s="14"/>
      <c r="AA744" s="14"/>
      <c r="AC744" s="21"/>
      <c r="AE744" s="21"/>
    </row>
    <row r="745" spans="1:31" hidden="1">
      <c r="A745" s="1">
        <v>9128339</v>
      </c>
      <c r="B745" s="1" t="s">
        <v>101</v>
      </c>
      <c r="C745" t="s">
        <v>643</v>
      </c>
      <c r="D745" s="2">
        <v>220194788</v>
      </c>
      <c r="E745" s="2">
        <v>550001400030</v>
      </c>
      <c r="F745" s="1" t="s">
        <v>647</v>
      </c>
      <c r="G745" s="1" t="s">
        <v>53</v>
      </c>
      <c r="H745" s="1" t="s">
        <v>337</v>
      </c>
      <c r="I745" s="1" t="s">
        <v>338</v>
      </c>
      <c r="J745" s="1" t="s">
        <v>164</v>
      </c>
      <c r="K745" t="s">
        <v>650</v>
      </c>
      <c r="M745" s="1" t="s">
        <v>58</v>
      </c>
      <c r="N745" s="1">
        <v>0</v>
      </c>
      <c r="O745" s="1" t="s">
        <v>105</v>
      </c>
      <c r="P745" s="186">
        <v>44896.547627314816</v>
      </c>
      <c r="R745" s="1">
        <v>4</v>
      </c>
      <c r="T745" s="1" t="s">
        <v>646</v>
      </c>
      <c r="U745" s="186">
        <v>44897.547638888886</v>
      </c>
      <c r="V745" s="1" t="s">
        <v>41</v>
      </c>
      <c r="W745" s="1" t="s">
        <v>49</v>
      </c>
      <c r="Z745" s="14"/>
      <c r="AA745" s="14"/>
      <c r="AC745" s="21"/>
      <c r="AE745" s="21"/>
    </row>
    <row r="746" spans="1:31" hidden="1">
      <c r="A746" s="1">
        <v>9128332</v>
      </c>
      <c r="B746" s="1" t="s">
        <v>101</v>
      </c>
      <c r="C746" t="s">
        <v>643</v>
      </c>
      <c r="D746" s="2">
        <v>220194783</v>
      </c>
      <c r="E746" s="2">
        <v>537001400030</v>
      </c>
      <c r="F746" s="1" t="s">
        <v>647</v>
      </c>
      <c r="G746" s="1" t="s">
        <v>53</v>
      </c>
      <c r="H746" s="1" t="s">
        <v>442</v>
      </c>
      <c r="I746" s="1" t="s">
        <v>443</v>
      </c>
      <c r="J746" s="1" t="s">
        <v>79</v>
      </c>
      <c r="K746" t="s">
        <v>650</v>
      </c>
      <c r="M746" s="1" t="s">
        <v>58</v>
      </c>
      <c r="N746" s="1">
        <v>0</v>
      </c>
      <c r="O746" s="1" t="s">
        <v>105</v>
      </c>
      <c r="P746" s="186">
        <v>44896.547268518516</v>
      </c>
      <c r="R746" s="1">
        <v>4</v>
      </c>
      <c r="T746" s="1" t="s">
        <v>646</v>
      </c>
      <c r="U746" s="186">
        <v>44897.547268518516</v>
      </c>
      <c r="V746" s="1" t="s">
        <v>41</v>
      </c>
      <c r="W746" s="1" t="s">
        <v>49</v>
      </c>
      <c r="Z746" s="14"/>
      <c r="AA746" s="14"/>
      <c r="AC746" s="21"/>
      <c r="AE746" s="21"/>
    </row>
    <row r="747" spans="1:31" hidden="1">
      <c r="A747" s="1">
        <v>9128273</v>
      </c>
      <c r="B747" s="1" t="s">
        <v>101</v>
      </c>
      <c r="C747" t="s">
        <v>643</v>
      </c>
      <c r="D747" s="2">
        <v>220194638</v>
      </c>
      <c r="E747" s="2">
        <v>325091400030</v>
      </c>
      <c r="F747" s="1" t="s">
        <v>647</v>
      </c>
      <c r="G747" s="1" t="s">
        <v>53</v>
      </c>
      <c r="H747" s="1" t="s">
        <v>821</v>
      </c>
      <c r="I747" s="1" t="s">
        <v>822</v>
      </c>
      <c r="J747" s="1" t="s">
        <v>46</v>
      </c>
      <c r="K747" t="s">
        <v>650</v>
      </c>
      <c r="M747" s="1" t="s">
        <v>58</v>
      </c>
      <c r="N747" s="1">
        <v>0</v>
      </c>
      <c r="O747" s="1" t="s">
        <v>105</v>
      </c>
      <c r="P747" s="186">
        <v>44896.544502314813</v>
      </c>
      <c r="R747" s="1">
        <v>4</v>
      </c>
      <c r="T747" s="1" t="s">
        <v>646</v>
      </c>
      <c r="U747" s="186">
        <v>44897.544502314813</v>
      </c>
      <c r="V747" s="1" t="s">
        <v>41</v>
      </c>
      <c r="W747" s="1" t="s">
        <v>49</v>
      </c>
      <c r="Z747" s="14"/>
      <c r="AA747" s="14"/>
      <c r="AC747" s="21"/>
      <c r="AE747" s="21"/>
    </row>
    <row r="748" spans="1:31" hidden="1">
      <c r="A748" s="1">
        <v>9128237</v>
      </c>
      <c r="B748" s="1" t="s">
        <v>101</v>
      </c>
      <c r="C748" t="s">
        <v>643</v>
      </c>
      <c r="D748" s="2">
        <v>220194807</v>
      </c>
      <c r="E748" s="2">
        <v>582001400030</v>
      </c>
      <c r="F748" s="1" t="s">
        <v>647</v>
      </c>
      <c r="G748" s="1" t="s">
        <v>53</v>
      </c>
      <c r="H748" s="1" t="s">
        <v>139</v>
      </c>
      <c r="I748" s="1" t="s">
        <v>140</v>
      </c>
      <c r="J748" s="1" t="s">
        <v>141</v>
      </c>
      <c r="K748" t="s">
        <v>650</v>
      </c>
      <c r="M748" s="1" t="s">
        <v>58</v>
      </c>
      <c r="N748" s="1">
        <v>0</v>
      </c>
      <c r="O748" s="1" t="s">
        <v>105</v>
      </c>
      <c r="P748" s="186">
        <v>44896.542384259257</v>
      </c>
      <c r="R748" s="1">
        <v>4</v>
      </c>
      <c r="T748" s="1" t="s">
        <v>646</v>
      </c>
      <c r="U748" s="186">
        <v>44897.542384259257</v>
      </c>
      <c r="V748" s="1" t="s">
        <v>41</v>
      </c>
      <c r="W748" s="1" t="s">
        <v>49</v>
      </c>
      <c r="Z748" s="14"/>
      <c r="AA748" s="14"/>
      <c r="AC748" s="21"/>
      <c r="AE748" s="21"/>
    </row>
    <row r="749" spans="1:31" hidden="1">
      <c r="A749" s="1">
        <v>9128165</v>
      </c>
      <c r="B749" s="1" t="s">
        <v>101</v>
      </c>
      <c r="C749" t="s">
        <v>643</v>
      </c>
      <c r="D749" s="2">
        <v>220194363</v>
      </c>
      <c r="E749" s="2">
        <v>5755001400010</v>
      </c>
      <c r="F749" s="1" t="s">
        <v>936</v>
      </c>
      <c r="G749" s="1" t="s">
        <v>53</v>
      </c>
      <c r="H749" s="1" t="s">
        <v>841</v>
      </c>
      <c r="I749" s="1" t="s">
        <v>842</v>
      </c>
      <c r="J749" s="1" t="s">
        <v>46</v>
      </c>
      <c r="K749" t="s">
        <v>937</v>
      </c>
      <c r="M749" s="1" t="s">
        <v>58</v>
      </c>
      <c r="N749" s="1">
        <v>0</v>
      </c>
      <c r="O749" s="1" t="s">
        <v>105</v>
      </c>
      <c r="P749" s="186">
        <v>44896.5387962963</v>
      </c>
      <c r="R749" s="1">
        <v>3</v>
      </c>
      <c r="T749" s="1" t="s">
        <v>646</v>
      </c>
      <c r="U749" s="186">
        <v>44897.5387962963</v>
      </c>
      <c r="V749" s="1" t="s">
        <v>41</v>
      </c>
      <c r="W749" s="1" t="s">
        <v>49</v>
      </c>
      <c r="Z749" s="14"/>
      <c r="AA749" s="14"/>
      <c r="AC749" s="21"/>
      <c r="AE749" s="21"/>
    </row>
    <row r="750" spans="1:31" hidden="1">
      <c r="A750" s="1">
        <v>9128005</v>
      </c>
      <c r="B750" s="1" t="s">
        <v>101</v>
      </c>
      <c r="C750" t="s">
        <v>643</v>
      </c>
      <c r="D750" s="2">
        <v>220193965</v>
      </c>
      <c r="E750" s="2">
        <v>4012001400010</v>
      </c>
      <c r="F750" s="1" t="s">
        <v>936</v>
      </c>
      <c r="G750" s="1" t="s">
        <v>53</v>
      </c>
      <c r="H750" s="1" t="s">
        <v>349</v>
      </c>
      <c r="I750" s="1" t="s">
        <v>350</v>
      </c>
      <c r="J750" s="1" t="s">
        <v>261</v>
      </c>
      <c r="K750" t="s">
        <v>937</v>
      </c>
      <c r="M750" s="1" t="s">
        <v>58</v>
      </c>
      <c r="N750" s="1">
        <v>0</v>
      </c>
      <c r="O750" s="1" t="s">
        <v>105</v>
      </c>
      <c r="P750" s="186">
        <v>44896.531909722224</v>
      </c>
      <c r="R750" s="1">
        <v>3</v>
      </c>
      <c r="T750" s="1" t="s">
        <v>646</v>
      </c>
      <c r="U750" s="186">
        <v>44897.531921296293</v>
      </c>
      <c r="V750" s="1" t="s">
        <v>41</v>
      </c>
      <c r="W750" s="1" t="s">
        <v>49</v>
      </c>
      <c r="Z750" s="14"/>
      <c r="AA750" s="14"/>
      <c r="AC750" s="21"/>
      <c r="AE750" s="21"/>
    </row>
    <row r="751" spans="1:31" hidden="1">
      <c r="A751" s="1">
        <v>9127889</v>
      </c>
      <c r="B751" s="1" t="s">
        <v>101</v>
      </c>
      <c r="C751" t="s">
        <v>643</v>
      </c>
      <c r="D751" s="2">
        <v>220193587</v>
      </c>
      <c r="E751" s="2">
        <v>2326001400010</v>
      </c>
      <c r="F751" s="1" t="s">
        <v>936</v>
      </c>
      <c r="G751" s="1" t="s">
        <v>53</v>
      </c>
      <c r="H751" s="1" t="s">
        <v>191</v>
      </c>
      <c r="I751" s="1" t="s">
        <v>192</v>
      </c>
      <c r="J751" s="1" t="s">
        <v>46</v>
      </c>
      <c r="K751" t="s">
        <v>937</v>
      </c>
      <c r="M751" s="1" t="s">
        <v>58</v>
      </c>
      <c r="N751" s="1">
        <v>0</v>
      </c>
      <c r="O751" s="1" t="s">
        <v>105</v>
      </c>
      <c r="P751" s="186">
        <v>44896.527627314812</v>
      </c>
      <c r="R751" s="1">
        <v>3</v>
      </c>
      <c r="T751" s="1" t="s">
        <v>646</v>
      </c>
      <c r="U751" s="186">
        <v>44897.527627314812</v>
      </c>
      <c r="V751" s="1" t="s">
        <v>41</v>
      </c>
      <c r="W751" s="1" t="s">
        <v>49</v>
      </c>
      <c r="Z751" s="14"/>
      <c r="AA751" s="14"/>
      <c r="AC751" s="21"/>
      <c r="AE751" s="21"/>
    </row>
    <row r="752" spans="1:31" hidden="1">
      <c r="A752" s="1">
        <v>9127850</v>
      </c>
      <c r="B752" s="1" t="s">
        <v>101</v>
      </c>
      <c r="C752" t="s">
        <v>643</v>
      </c>
      <c r="D752" s="2">
        <v>220193445</v>
      </c>
      <c r="E752" s="2">
        <v>1732001400010</v>
      </c>
      <c r="F752" s="1" t="s">
        <v>936</v>
      </c>
      <c r="G752" s="1" t="s">
        <v>53</v>
      </c>
      <c r="H752" s="1" t="s">
        <v>177</v>
      </c>
      <c r="I752" s="1" t="s">
        <v>178</v>
      </c>
      <c r="J752" s="1" t="s">
        <v>164</v>
      </c>
      <c r="K752" t="s">
        <v>937</v>
      </c>
      <c r="M752" s="1" t="s">
        <v>58</v>
      </c>
      <c r="N752" s="1">
        <v>0</v>
      </c>
      <c r="O752" s="1" t="s">
        <v>105</v>
      </c>
      <c r="P752" s="186">
        <v>44896.526493055557</v>
      </c>
      <c r="R752" s="1">
        <v>3</v>
      </c>
      <c r="T752" s="1" t="s">
        <v>646</v>
      </c>
      <c r="U752" s="186">
        <v>44897.526493055557</v>
      </c>
      <c r="V752" s="1" t="s">
        <v>41</v>
      </c>
      <c r="W752" s="1" t="s">
        <v>49</v>
      </c>
      <c r="Z752" s="14"/>
      <c r="AA752" s="14"/>
      <c r="AC752" s="21"/>
      <c r="AE752" s="21"/>
    </row>
    <row r="753" spans="1:31" hidden="1">
      <c r="A753" s="1">
        <v>9127804</v>
      </c>
      <c r="B753" s="1" t="s">
        <v>101</v>
      </c>
      <c r="C753" t="s">
        <v>643</v>
      </c>
      <c r="D753" s="2">
        <v>220193422</v>
      </c>
      <c r="E753" s="2">
        <v>1664001400010</v>
      </c>
      <c r="F753" s="1" t="s">
        <v>936</v>
      </c>
      <c r="G753" s="1" t="s">
        <v>53</v>
      </c>
      <c r="H753" s="1" t="s">
        <v>307</v>
      </c>
      <c r="I753" s="1" t="s">
        <v>308</v>
      </c>
      <c r="J753" s="1" t="s">
        <v>164</v>
      </c>
      <c r="K753" t="s">
        <v>937</v>
      </c>
      <c r="M753" s="1" t="s">
        <v>58</v>
      </c>
      <c r="N753" s="1">
        <v>0</v>
      </c>
      <c r="O753" s="1" t="s">
        <v>105</v>
      </c>
      <c r="P753" s="186">
        <v>44896.523692129631</v>
      </c>
      <c r="R753" s="1">
        <v>3</v>
      </c>
      <c r="T753" s="1" t="s">
        <v>646</v>
      </c>
      <c r="U753" s="186">
        <v>44897.523692129631</v>
      </c>
      <c r="V753" s="1" t="s">
        <v>41</v>
      </c>
      <c r="W753" s="1" t="s">
        <v>49</v>
      </c>
      <c r="Z753" s="14"/>
      <c r="AA753" s="14"/>
      <c r="AC753" s="21"/>
      <c r="AE753" s="21"/>
    </row>
    <row r="754" spans="1:31" hidden="1">
      <c r="A754" s="1">
        <v>9127801</v>
      </c>
      <c r="B754" s="1" t="s">
        <v>101</v>
      </c>
      <c r="C754" t="s">
        <v>643</v>
      </c>
      <c r="D754" s="2">
        <v>220193719</v>
      </c>
      <c r="E754" s="2">
        <v>2802001400010</v>
      </c>
      <c r="F754" s="1" t="s">
        <v>936</v>
      </c>
      <c r="G754" s="1" t="s">
        <v>53</v>
      </c>
      <c r="H754" s="1" t="s">
        <v>388</v>
      </c>
      <c r="I754" s="1" t="s">
        <v>389</v>
      </c>
      <c r="J754" s="1" t="s">
        <v>46</v>
      </c>
      <c r="K754" t="s">
        <v>937</v>
      </c>
      <c r="M754" s="1" t="s">
        <v>58</v>
      </c>
      <c r="N754" s="1">
        <v>0</v>
      </c>
      <c r="O754" s="1" t="s">
        <v>105</v>
      </c>
      <c r="P754" s="186">
        <v>44896.5234837963</v>
      </c>
      <c r="R754" s="1">
        <v>3</v>
      </c>
      <c r="T754" s="1" t="s">
        <v>646</v>
      </c>
      <c r="U754" s="186">
        <v>44897.5234837963</v>
      </c>
      <c r="V754" s="1" t="s">
        <v>41</v>
      </c>
      <c r="W754" s="1" t="s">
        <v>49</v>
      </c>
      <c r="Z754" s="14"/>
      <c r="AA754" s="14"/>
      <c r="AC754" s="21"/>
      <c r="AE754" s="21"/>
    </row>
    <row r="755" spans="1:31">
      <c r="A755" s="1">
        <v>9127762</v>
      </c>
      <c r="B755" s="1" t="s">
        <v>101</v>
      </c>
      <c r="C755" t="s">
        <v>643</v>
      </c>
      <c r="D755" s="2">
        <v>220193223</v>
      </c>
      <c r="E755" s="2">
        <v>1162001400010</v>
      </c>
      <c r="F755" s="1" t="s">
        <v>936</v>
      </c>
      <c r="G755" s="1" t="s">
        <v>53</v>
      </c>
      <c r="H755" s="1" t="s">
        <v>280</v>
      </c>
      <c r="I755" s="1" t="s">
        <v>281</v>
      </c>
      <c r="J755" s="1" t="s">
        <v>211</v>
      </c>
      <c r="K755" t="s">
        <v>937</v>
      </c>
      <c r="M755" s="1" t="s">
        <v>58</v>
      </c>
      <c r="N755" s="1">
        <v>0</v>
      </c>
      <c r="O755" s="1" t="s">
        <v>105</v>
      </c>
      <c r="P755" s="186">
        <v>44896.521273148152</v>
      </c>
      <c r="R755" s="1">
        <v>3</v>
      </c>
      <c r="T755" s="1" t="s">
        <v>646</v>
      </c>
      <c r="U755" s="186">
        <v>44897.521273148152</v>
      </c>
      <c r="V755" s="1" t="s">
        <v>41</v>
      </c>
      <c r="W755" s="1" t="s">
        <v>49</v>
      </c>
      <c r="Z755" s="14"/>
      <c r="AA755" s="14"/>
      <c r="AC755" s="21"/>
      <c r="AE755" s="21"/>
    </row>
    <row r="756" spans="1:31" hidden="1">
      <c r="A756" s="1">
        <v>9127748</v>
      </c>
      <c r="B756" s="1" t="s">
        <v>101</v>
      </c>
      <c r="C756" t="s">
        <v>643</v>
      </c>
      <c r="D756" s="2">
        <v>220193209</v>
      </c>
      <c r="E756" s="2">
        <v>1138001400010</v>
      </c>
      <c r="F756" s="1" t="s">
        <v>936</v>
      </c>
      <c r="G756" s="1" t="s">
        <v>53</v>
      </c>
      <c r="H756" s="1" t="s">
        <v>548</v>
      </c>
      <c r="I756" s="1" t="s">
        <v>549</v>
      </c>
      <c r="J756" s="1" t="s">
        <v>46</v>
      </c>
      <c r="K756" t="s">
        <v>937</v>
      </c>
      <c r="M756" s="1" t="s">
        <v>58</v>
      </c>
      <c r="N756" s="1">
        <v>0</v>
      </c>
      <c r="O756" s="1" t="s">
        <v>105</v>
      </c>
      <c r="P756" s="186">
        <v>44896.520439814813</v>
      </c>
      <c r="R756" s="1">
        <v>3</v>
      </c>
      <c r="T756" s="1" t="s">
        <v>646</v>
      </c>
      <c r="U756" s="186">
        <v>44897.520439814813</v>
      </c>
      <c r="V756" s="1" t="s">
        <v>41</v>
      </c>
      <c r="W756" s="1" t="s">
        <v>49</v>
      </c>
      <c r="Z756" s="14"/>
      <c r="AA756" s="14"/>
      <c r="AC756" s="21"/>
      <c r="AE756" s="21"/>
    </row>
    <row r="757" spans="1:31" hidden="1">
      <c r="A757" s="1">
        <v>9127732</v>
      </c>
      <c r="B757" s="1" t="s">
        <v>101</v>
      </c>
      <c r="C757" t="s">
        <v>643</v>
      </c>
      <c r="D757" s="2">
        <v>220193201</v>
      </c>
      <c r="E757" s="2">
        <v>1120001400010</v>
      </c>
      <c r="F757" s="1" t="s">
        <v>936</v>
      </c>
      <c r="G757" s="1" t="s">
        <v>53</v>
      </c>
      <c r="H757" s="1" t="s">
        <v>181</v>
      </c>
      <c r="I757" s="1" t="s">
        <v>182</v>
      </c>
      <c r="J757" s="1" t="s">
        <v>164</v>
      </c>
      <c r="K757" t="s">
        <v>937</v>
      </c>
      <c r="M757" s="1" t="s">
        <v>58</v>
      </c>
      <c r="N757" s="1">
        <v>0</v>
      </c>
      <c r="O757" s="1" t="s">
        <v>105</v>
      </c>
      <c r="P757" s="186">
        <v>44896.519768518519</v>
      </c>
      <c r="R757" s="1">
        <v>3</v>
      </c>
      <c r="T757" s="1" t="s">
        <v>646</v>
      </c>
      <c r="U757" s="186">
        <v>44897.519780092596</v>
      </c>
      <c r="V757" s="1" t="s">
        <v>41</v>
      </c>
      <c r="W757" s="1" t="s">
        <v>49</v>
      </c>
      <c r="Z757" s="14"/>
      <c r="AA757" s="14"/>
      <c r="AC757" s="21"/>
      <c r="AE757" s="21"/>
    </row>
    <row r="758" spans="1:31">
      <c r="A758" s="1">
        <v>9127696</v>
      </c>
      <c r="B758" s="1" t="s">
        <v>101</v>
      </c>
      <c r="C758" t="s">
        <v>643</v>
      </c>
      <c r="D758" s="2">
        <v>220193173</v>
      </c>
      <c r="E758" s="2">
        <v>1069001400010</v>
      </c>
      <c r="F758" s="1" t="s">
        <v>936</v>
      </c>
      <c r="G758" s="1" t="s">
        <v>53</v>
      </c>
      <c r="H758" s="1" t="s">
        <v>353</v>
      </c>
      <c r="I758" s="1" t="s">
        <v>354</v>
      </c>
      <c r="J758" s="1" t="s">
        <v>211</v>
      </c>
      <c r="K758" t="s">
        <v>937</v>
      </c>
      <c r="M758" s="1" t="s">
        <v>58</v>
      </c>
      <c r="N758" s="1">
        <v>0</v>
      </c>
      <c r="O758" s="1" t="s">
        <v>105</v>
      </c>
      <c r="P758" s="186">
        <v>44896.518217592595</v>
      </c>
      <c r="R758" s="1">
        <v>3</v>
      </c>
      <c r="T758" s="1" t="s">
        <v>646</v>
      </c>
      <c r="U758" s="186">
        <v>44897.518217592595</v>
      </c>
      <c r="V758" s="1" t="s">
        <v>41</v>
      </c>
      <c r="W758" s="1" t="s">
        <v>49</v>
      </c>
      <c r="Z758" s="14"/>
      <c r="AA758" s="14"/>
      <c r="AC758" s="21"/>
      <c r="AE758" s="21"/>
    </row>
    <row r="759" spans="1:31" hidden="1">
      <c r="A759" s="1">
        <v>9127689</v>
      </c>
      <c r="B759" s="1" t="s">
        <v>101</v>
      </c>
      <c r="C759" t="s">
        <v>643</v>
      </c>
      <c r="D759" s="2">
        <v>220193166</v>
      </c>
      <c r="E759" s="2">
        <v>1049001400010</v>
      </c>
      <c r="F759" s="1" t="s">
        <v>936</v>
      </c>
      <c r="G759" s="1" t="s">
        <v>53</v>
      </c>
      <c r="H759" s="1" t="s">
        <v>169</v>
      </c>
      <c r="I759" s="1" t="s">
        <v>170</v>
      </c>
      <c r="J759" s="1" t="s">
        <v>164</v>
      </c>
      <c r="K759" t="s">
        <v>937</v>
      </c>
      <c r="M759" s="1" t="s">
        <v>58</v>
      </c>
      <c r="N759" s="1">
        <v>0</v>
      </c>
      <c r="O759" s="1" t="s">
        <v>105</v>
      </c>
      <c r="P759" s="186">
        <v>44896.517824074072</v>
      </c>
      <c r="R759" s="1">
        <v>3</v>
      </c>
      <c r="T759" s="1" t="s">
        <v>646</v>
      </c>
      <c r="U759" s="186">
        <v>44897.517835648148</v>
      </c>
      <c r="V759" s="1" t="s">
        <v>41</v>
      </c>
      <c r="W759" s="1" t="s">
        <v>49</v>
      </c>
      <c r="Z759" s="14"/>
      <c r="AA759" s="14"/>
      <c r="AC759" s="21"/>
      <c r="AE759" s="21"/>
    </row>
    <row r="760" spans="1:31" hidden="1">
      <c r="A760" s="1">
        <v>9127671</v>
      </c>
      <c r="B760" s="1" t="s">
        <v>101</v>
      </c>
      <c r="C760" t="s">
        <v>643</v>
      </c>
      <c r="D760" s="2">
        <v>220193148</v>
      </c>
      <c r="E760" s="2">
        <v>1012001400010</v>
      </c>
      <c r="F760" s="1" t="s">
        <v>936</v>
      </c>
      <c r="G760" s="1" t="s">
        <v>53</v>
      </c>
      <c r="H760" s="1" t="s">
        <v>172</v>
      </c>
      <c r="I760" s="1" t="s">
        <v>173</v>
      </c>
      <c r="J760" s="1" t="s">
        <v>164</v>
      </c>
      <c r="K760" t="s">
        <v>937</v>
      </c>
      <c r="M760" s="1" t="s">
        <v>58</v>
      </c>
      <c r="N760" s="1">
        <v>0</v>
      </c>
      <c r="O760" s="1" t="s">
        <v>105</v>
      </c>
      <c r="P760" s="186">
        <v>44896.516817129632</v>
      </c>
      <c r="R760" s="1">
        <v>3</v>
      </c>
      <c r="T760" s="1" t="s">
        <v>646</v>
      </c>
      <c r="U760" s="186">
        <v>44897.516828703701</v>
      </c>
      <c r="V760" s="1" t="s">
        <v>41</v>
      </c>
      <c r="W760" s="1" t="s">
        <v>49</v>
      </c>
      <c r="Z760" s="14"/>
      <c r="AA760" s="14"/>
      <c r="AC760" s="21"/>
      <c r="AE760" s="21"/>
    </row>
    <row r="761" spans="1:31" hidden="1">
      <c r="A761" s="1">
        <v>9127658</v>
      </c>
      <c r="B761" s="1" t="s">
        <v>101</v>
      </c>
      <c r="C761" t="s">
        <v>643</v>
      </c>
      <c r="D761" s="2">
        <v>220192961</v>
      </c>
      <c r="E761" s="2">
        <v>673001400010</v>
      </c>
      <c r="F761" s="1" t="s">
        <v>936</v>
      </c>
      <c r="G761" s="1" t="s">
        <v>53</v>
      </c>
      <c r="H761" s="1" t="s">
        <v>581</v>
      </c>
      <c r="I761" s="1" t="s">
        <v>582</v>
      </c>
      <c r="J761" s="1" t="s">
        <v>110</v>
      </c>
      <c r="K761" t="s">
        <v>937</v>
      </c>
      <c r="M761" s="1" t="s">
        <v>58</v>
      </c>
      <c r="N761" s="1">
        <v>0</v>
      </c>
      <c r="O761" s="1" t="s">
        <v>105</v>
      </c>
      <c r="P761" s="186">
        <v>44896.516053240739</v>
      </c>
      <c r="R761" s="1">
        <v>3</v>
      </c>
      <c r="T761" s="1" t="s">
        <v>646</v>
      </c>
      <c r="U761" s="186">
        <v>44897.516053240739</v>
      </c>
      <c r="V761" s="1" t="s">
        <v>41</v>
      </c>
      <c r="W761" s="1" t="s">
        <v>49</v>
      </c>
      <c r="Z761" s="14"/>
      <c r="AA761" s="14"/>
      <c r="AC761" s="21"/>
      <c r="AE761" s="21"/>
    </row>
    <row r="762" spans="1:31" hidden="1">
      <c r="A762" s="1">
        <v>9127594</v>
      </c>
      <c r="B762" s="1" t="s">
        <v>101</v>
      </c>
      <c r="C762" t="s">
        <v>643</v>
      </c>
      <c r="D762" s="2">
        <v>220192987</v>
      </c>
      <c r="E762" s="2">
        <v>714001400010</v>
      </c>
      <c r="F762" s="1" t="s">
        <v>936</v>
      </c>
      <c r="G762" s="1" t="s">
        <v>53</v>
      </c>
      <c r="H762" s="1" t="s">
        <v>377</v>
      </c>
      <c r="I762" s="1" t="s">
        <v>378</v>
      </c>
      <c r="J762" s="1" t="s">
        <v>46</v>
      </c>
      <c r="K762" t="s">
        <v>937</v>
      </c>
      <c r="M762" s="1" t="s">
        <v>58</v>
      </c>
      <c r="N762" s="1">
        <v>0</v>
      </c>
      <c r="O762" s="1" t="s">
        <v>105</v>
      </c>
      <c r="P762" s="186">
        <v>44896.513252314813</v>
      </c>
      <c r="R762" s="1">
        <v>3</v>
      </c>
      <c r="T762" s="1" t="s">
        <v>646</v>
      </c>
      <c r="U762" s="186">
        <v>44897.513252314813</v>
      </c>
      <c r="V762" s="1" t="s">
        <v>41</v>
      </c>
      <c r="W762" s="1" t="s">
        <v>49</v>
      </c>
      <c r="Z762" s="14"/>
      <c r="AA762" s="14"/>
      <c r="AC762" s="21"/>
      <c r="AE762" s="21"/>
    </row>
    <row r="763" spans="1:31" hidden="1">
      <c r="A763" s="1">
        <v>9127562</v>
      </c>
      <c r="B763" s="1" t="s">
        <v>101</v>
      </c>
      <c r="C763" t="s">
        <v>643</v>
      </c>
      <c r="D763" s="2">
        <v>220192986</v>
      </c>
      <c r="E763" s="2">
        <v>710001400010</v>
      </c>
      <c r="F763" s="1" t="s">
        <v>936</v>
      </c>
      <c r="G763" s="1" t="s">
        <v>53</v>
      </c>
      <c r="H763" s="1" t="s">
        <v>390</v>
      </c>
      <c r="I763" s="1" t="s">
        <v>391</v>
      </c>
      <c r="J763" s="1" t="s">
        <v>56</v>
      </c>
      <c r="K763" t="s">
        <v>937</v>
      </c>
      <c r="M763" s="1" t="s">
        <v>58</v>
      </c>
      <c r="N763" s="1">
        <v>0</v>
      </c>
      <c r="O763" s="1" t="s">
        <v>105</v>
      </c>
      <c r="P763" s="186">
        <v>44896.511631944442</v>
      </c>
      <c r="R763" s="1">
        <v>3</v>
      </c>
      <c r="T763" s="1" t="s">
        <v>646</v>
      </c>
      <c r="U763" s="186">
        <v>44897.511631944442</v>
      </c>
      <c r="V763" s="1" t="s">
        <v>41</v>
      </c>
      <c r="W763" s="1" t="s">
        <v>49</v>
      </c>
      <c r="Z763" s="14"/>
      <c r="AA763" s="14"/>
      <c r="AC763" s="21"/>
      <c r="AE763" s="21"/>
    </row>
    <row r="764" spans="1:31">
      <c r="A764" s="1">
        <v>9127512</v>
      </c>
      <c r="B764" s="1" t="s">
        <v>101</v>
      </c>
      <c r="C764" t="s">
        <v>643</v>
      </c>
      <c r="D764" s="2">
        <v>220192919</v>
      </c>
      <c r="E764" s="2">
        <v>608001400010</v>
      </c>
      <c r="F764" s="1" t="s">
        <v>936</v>
      </c>
      <c r="G764" s="1" t="s">
        <v>53</v>
      </c>
      <c r="H764" s="1" t="s">
        <v>438</v>
      </c>
      <c r="I764" s="1" t="s">
        <v>439</v>
      </c>
      <c r="J764" s="1" t="s">
        <v>148</v>
      </c>
      <c r="K764" t="s">
        <v>937</v>
      </c>
      <c r="M764" s="1" t="s">
        <v>58</v>
      </c>
      <c r="N764" s="1">
        <v>0</v>
      </c>
      <c r="O764" s="1" t="s">
        <v>105</v>
      </c>
      <c r="P764" s="186">
        <v>44896.50886574074</v>
      </c>
      <c r="R764" s="1">
        <v>3</v>
      </c>
      <c r="T764" s="1" t="s">
        <v>646</v>
      </c>
      <c r="U764" s="186">
        <v>44897.50886574074</v>
      </c>
      <c r="V764" s="1" t="s">
        <v>41</v>
      </c>
      <c r="W764" s="1" t="s">
        <v>49</v>
      </c>
      <c r="Z764" s="14"/>
      <c r="AA764" s="14"/>
      <c r="AC764" s="21"/>
      <c r="AE764" s="21"/>
    </row>
    <row r="765" spans="1:31" hidden="1">
      <c r="A765" s="1">
        <v>9127225</v>
      </c>
      <c r="B765" s="1" t="s">
        <v>101</v>
      </c>
      <c r="C765" t="s">
        <v>643</v>
      </c>
      <c r="D765" s="2">
        <v>220198224</v>
      </c>
      <c r="E765" s="2">
        <v>4997001400040</v>
      </c>
      <c r="F765" s="1" t="s">
        <v>644</v>
      </c>
      <c r="G765" s="1" t="s">
        <v>53</v>
      </c>
      <c r="H765" s="1" t="s">
        <v>406</v>
      </c>
      <c r="I765" s="1" t="s">
        <v>407</v>
      </c>
      <c r="J765" s="1" t="s">
        <v>79</v>
      </c>
      <c r="K765" t="s">
        <v>645</v>
      </c>
      <c r="M765" s="1" t="s">
        <v>58</v>
      </c>
      <c r="N765" s="1">
        <v>0</v>
      </c>
      <c r="O765" s="1" t="s">
        <v>105</v>
      </c>
      <c r="P765" s="186">
        <v>44896.493680555555</v>
      </c>
      <c r="R765" s="1">
        <v>3</v>
      </c>
      <c r="T765" s="1" t="s">
        <v>646</v>
      </c>
      <c r="U765" s="186">
        <v>44897.493680555555</v>
      </c>
      <c r="V765" s="1" t="s">
        <v>41</v>
      </c>
      <c r="W765" s="1" t="s">
        <v>49</v>
      </c>
      <c r="Z765" s="14"/>
      <c r="AA765" s="14"/>
      <c r="AC765" s="21"/>
      <c r="AE765" s="21"/>
    </row>
    <row r="766" spans="1:31" hidden="1">
      <c r="A766" s="1">
        <v>9127174</v>
      </c>
      <c r="B766" s="1" t="s">
        <v>101</v>
      </c>
      <c r="C766" t="s">
        <v>643</v>
      </c>
      <c r="D766" s="2">
        <v>220198258</v>
      </c>
      <c r="E766" s="2">
        <v>5742001400040</v>
      </c>
      <c r="F766" s="1" t="s">
        <v>644</v>
      </c>
      <c r="G766" s="1" t="s">
        <v>53</v>
      </c>
      <c r="H766" s="1" t="s">
        <v>430</v>
      </c>
      <c r="I766" s="1" t="s">
        <v>431</v>
      </c>
      <c r="J766" s="1" t="s">
        <v>79</v>
      </c>
      <c r="K766" t="s">
        <v>645</v>
      </c>
      <c r="M766" s="1" t="s">
        <v>58</v>
      </c>
      <c r="N766" s="1">
        <v>0</v>
      </c>
      <c r="O766" s="1" t="s">
        <v>105</v>
      </c>
      <c r="P766" s="186">
        <v>44896.49145833333</v>
      </c>
      <c r="R766" s="1">
        <v>2</v>
      </c>
      <c r="T766" s="1" t="s">
        <v>646</v>
      </c>
      <c r="U766" s="186">
        <v>44897.49145833333</v>
      </c>
      <c r="V766" s="1" t="s">
        <v>41</v>
      </c>
      <c r="W766" s="1" t="s">
        <v>49</v>
      </c>
      <c r="Z766" s="14"/>
      <c r="AA766" s="14"/>
      <c r="AC766" s="21"/>
      <c r="AE766" s="21"/>
    </row>
    <row r="767" spans="1:31" hidden="1">
      <c r="A767" s="1">
        <v>9126916</v>
      </c>
      <c r="B767" s="1" t="s">
        <v>101</v>
      </c>
      <c r="C767" t="s">
        <v>643</v>
      </c>
      <c r="D767" s="2">
        <v>220197812</v>
      </c>
      <c r="E767" s="2">
        <v>3243001400040</v>
      </c>
      <c r="F767" s="1" t="s">
        <v>644</v>
      </c>
      <c r="G767" s="1" t="s">
        <v>53</v>
      </c>
      <c r="H767" s="1" t="s">
        <v>282</v>
      </c>
      <c r="I767" s="1" t="s">
        <v>283</v>
      </c>
      <c r="J767" s="1" t="s">
        <v>46</v>
      </c>
      <c r="K767" t="s">
        <v>645</v>
      </c>
      <c r="M767" s="1" t="s">
        <v>58</v>
      </c>
      <c r="N767" s="1">
        <v>0</v>
      </c>
      <c r="O767" s="1" t="s">
        <v>105</v>
      </c>
      <c r="P767" s="186">
        <v>44896.480451388888</v>
      </c>
      <c r="R767" s="1">
        <v>3</v>
      </c>
      <c r="T767" s="1" t="s">
        <v>646</v>
      </c>
      <c r="U767" s="186">
        <v>44897.480451388888</v>
      </c>
      <c r="V767" s="1" t="s">
        <v>41</v>
      </c>
      <c r="W767" s="1" t="s">
        <v>49</v>
      </c>
      <c r="Z767" s="14"/>
      <c r="AA767" s="14"/>
      <c r="AC767" s="21"/>
      <c r="AE767" s="21"/>
    </row>
    <row r="768" spans="1:31" hidden="1">
      <c r="A768" s="1">
        <v>9126874</v>
      </c>
      <c r="B768" s="1" t="s">
        <v>101</v>
      </c>
      <c r="C768" t="s">
        <v>643</v>
      </c>
      <c r="D768" s="2">
        <v>220197782</v>
      </c>
      <c r="E768" s="2">
        <v>3108001400040</v>
      </c>
      <c r="F768" s="1" t="s">
        <v>644</v>
      </c>
      <c r="G768" s="1" t="s">
        <v>53</v>
      </c>
      <c r="H768" s="1" t="s">
        <v>325</v>
      </c>
      <c r="I768" s="1" t="s">
        <v>326</v>
      </c>
      <c r="J768" s="1" t="s">
        <v>46</v>
      </c>
      <c r="K768" t="s">
        <v>645</v>
      </c>
      <c r="M768" s="1" t="s">
        <v>58</v>
      </c>
      <c r="N768" s="1">
        <v>0</v>
      </c>
      <c r="O768" s="1" t="s">
        <v>105</v>
      </c>
      <c r="P768" s="186">
        <v>44896.478715277779</v>
      </c>
      <c r="R768" s="1">
        <v>3</v>
      </c>
      <c r="T768" s="1" t="s">
        <v>646</v>
      </c>
      <c r="U768" s="186">
        <v>44897.478715277779</v>
      </c>
      <c r="V768" s="1" t="s">
        <v>41</v>
      </c>
      <c r="W768" s="1" t="s">
        <v>49</v>
      </c>
      <c r="Z768" s="14"/>
      <c r="AA768" s="14"/>
      <c r="AC768" s="21"/>
      <c r="AE768" s="21"/>
    </row>
    <row r="769" spans="1:31" hidden="1">
      <c r="A769" s="1">
        <v>9126750</v>
      </c>
      <c r="B769" s="1" t="s">
        <v>101</v>
      </c>
      <c r="C769" t="s">
        <v>643</v>
      </c>
      <c r="D769" s="2">
        <v>220197982</v>
      </c>
      <c r="E769" s="2">
        <v>4012001400040</v>
      </c>
      <c r="F769" s="1" t="s">
        <v>644</v>
      </c>
      <c r="G769" s="1" t="s">
        <v>53</v>
      </c>
      <c r="H769" s="1" t="s">
        <v>349</v>
      </c>
      <c r="I769" s="1" t="s">
        <v>350</v>
      </c>
      <c r="J769" s="1" t="s">
        <v>261</v>
      </c>
      <c r="K769" t="s">
        <v>645</v>
      </c>
      <c r="M769" s="1" t="s">
        <v>58</v>
      </c>
      <c r="N769" s="1">
        <v>0</v>
      </c>
      <c r="O769" s="1" t="s">
        <v>105</v>
      </c>
      <c r="P769" s="186">
        <v>44896.474027777775</v>
      </c>
      <c r="R769" s="1">
        <v>3</v>
      </c>
      <c r="T769" s="1" t="s">
        <v>646</v>
      </c>
      <c r="U769" s="186">
        <v>44897.474027777775</v>
      </c>
      <c r="V769" s="1" t="s">
        <v>41</v>
      </c>
      <c r="W769" s="1" t="s">
        <v>49</v>
      </c>
      <c r="Z769" s="14"/>
      <c r="AA769" s="14"/>
      <c r="AC769" s="21"/>
      <c r="AE769" s="21"/>
    </row>
    <row r="770" spans="1:31" hidden="1">
      <c r="A770" s="1">
        <v>9126716</v>
      </c>
      <c r="B770" s="1" t="s">
        <v>101</v>
      </c>
      <c r="C770" t="s">
        <v>643</v>
      </c>
      <c r="D770" s="2">
        <v>220197478</v>
      </c>
      <c r="E770" s="2">
        <v>2018001400040</v>
      </c>
      <c r="F770" s="1" t="s">
        <v>644</v>
      </c>
      <c r="G770" s="1" t="s">
        <v>53</v>
      </c>
      <c r="H770" s="1" t="s">
        <v>598</v>
      </c>
      <c r="I770" s="1" t="s">
        <v>599</v>
      </c>
      <c r="J770" s="1" t="s">
        <v>79</v>
      </c>
      <c r="K770" t="s">
        <v>645</v>
      </c>
      <c r="M770" s="1" t="s">
        <v>58</v>
      </c>
      <c r="N770" s="1">
        <v>0</v>
      </c>
      <c r="O770" s="1" t="s">
        <v>105</v>
      </c>
      <c r="P770" s="186">
        <v>44896.471365740741</v>
      </c>
      <c r="R770" s="1">
        <v>2</v>
      </c>
      <c r="T770" s="1" t="s">
        <v>646</v>
      </c>
      <c r="U770" s="186">
        <v>44897.471377314818</v>
      </c>
      <c r="V770" s="1" t="s">
        <v>41</v>
      </c>
      <c r="W770" s="1" t="s">
        <v>49</v>
      </c>
      <c r="Z770" s="14"/>
      <c r="AA770" s="14"/>
      <c r="AC770" s="21"/>
      <c r="AE770" s="21"/>
    </row>
    <row r="771" spans="1:31" hidden="1">
      <c r="A771" s="1">
        <v>9126674</v>
      </c>
      <c r="B771" s="1" t="s">
        <v>101</v>
      </c>
      <c r="C771" t="s">
        <v>643</v>
      </c>
      <c r="D771" s="2">
        <v>220197259</v>
      </c>
      <c r="E771" s="2">
        <v>1291001400040</v>
      </c>
      <c r="F771" s="1" t="s">
        <v>644</v>
      </c>
      <c r="G771" s="1" t="s">
        <v>53</v>
      </c>
      <c r="H771" s="1" t="s">
        <v>136</v>
      </c>
      <c r="I771" s="1" t="s">
        <v>137</v>
      </c>
      <c r="J771" s="1" t="s">
        <v>33</v>
      </c>
      <c r="K771" t="s">
        <v>645</v>
      </c>
      <c r="M771" s="1" t="s">
        <v>58</v>
      </c>
      <c r="N771" s="1">
        <v>0</v>
      </c>
      <c r="O771" s="1" t="s">
        <v>105</v>
      </c>
      <c r="P771" s="186">
        <v>44896.469618055555</v>
      </c>
      <c r="R771" s="1">
        <v>3</v>
      </c>
      <c r="T771" s="1" t="s">
        <v>646</v>
      </c>
      <c r="U771" s="186">
        <v>44897.469629629632</v>
      </c>
      <c r="V771" s="1" t="s">
        <v>41</v>
      </c>
      <c r="W771" s="1" t="s">
        <v>42</v>
      </c>
      <c r="Z771" s="14"/>
      <c r="AA771" s="14"/>
      <c r="AC771" s="21"/>
      <c r="AE771" s="21"/>
    </row>
    <row r="772" spans="1:31" hidden="1">
      <c r="A772" s="1">
        <v>9126667</v>
      </c>
      <c r="B772" s="1" t="s">
        <v>101</v>
      </c>
      <c r="C772" t="s">
        <v>643</v>
      </c>
      <c r="D772" s="2">
        <v>220197252</v>
      </c>
      <c r="E772" s="2">
        <v>1264001400040</v>
      </c>
      <c r="F772" s="1" t="s">
        <v>644</v>
      </c>
      <c r="G772" s="1" t="s">
        <v>53</v>
      </c>
      <c r="H772" s="1" t="s">
        <v>351</v>
      </c>
      <c r="I772" s="1" t="s">
        <v>352</v>
      </c>
      <c r="J772" s="1" t="s">
        <v>110</v>
      </c>
      <c r="K772" t="s">
        <v>645</v>
      </c>
      <c r="M772" s="1" t="s">
        <v>58</v>
      </c>
      <c r="N772" s="1">
        <v>0</v>
      </c>
      <c r="O772" s="1" t="s">
        <v>105</v>
      </c>
      <c r="P772" s="186">
        <v>44896.469212962962</v>
      </c>
      <c r="R772" s="1">
        <v>2</v>
      </c>
      <c r="T772" s="1" t="s">
        <v>646</v>
      </c>
      <c r="U772" s="186">
        <v>44897.469212962962</v>
      </c>
      <c r="V772" s="1" t="s">
        <v>41</v>
      </c>
      <c r="W772" s="1" t="s">
        <v>49</v>
      </c>
      <c r="Z772" s="14"/>
      <c r="AA772" s="14"/>
      <c r="AC772" s="21"/>
      <c r="AE772" s="21"/>
    </row>
    <row r="773" spans="1:31" hidden="1">
      <c r="A773" s="1">
        <v>9126655</v>
      </c>
      <c r="B773" s="1" t="s">
        <v>101</v>
      </c>
      <c r="C773" t="s">
        <v>643</v>
      </c>
      <c r="D773" s="2">
        <v>220197635</v>
      </c>
      <c r="E773" s="2">
        <v>2529001400040</v>
      </c>
      <c r="F773" s="1" t="s">
        <v>644</v>
      </c>
      <c r="G773" s="1" t="s">
        <v>53</v>
      </c>
      <c r="H773" s="1" t="s">
        <v>355</v>
      </c>
      <c r="I773" s="1" t="s">
        <v>356</v>
      </c>
      <c r="J773" s="1" t="s">
        <v>56</v>
      </c>
      <c r="K773" t="s">
        <v>645</v>
      </c>
      <c r="M773" s="1" t="s">
        <v>58</v>
      </c>
      <c r="N773" s="1">
        <v>0</v>
      </c>
      <c r="O773" s="1" t="s">
        <v>105</v>
      </c>
      <c r="P773" s="186">
        <v>44896.468472222223</v>
      </c>
      <c r="R773" s="1">
        <v>2</v>
      </c>
      <c r="T773" s="1" t="s">
        <v>646</v>
      </c>
      <c r="U773" s="186">
        <v>44897.468472222223</v>
      </c>
      <c r="V773" s="1" t="s">
        <v>41</v>
      </c>
      <c r="W773" s="1" t="s">
        <v>49</v>
      </c>
      <c r="Z773" s="14"/>
      <c r="AA773" s="14"/>
      <c r="AC773" s="21"/>
      <c r="AE773" s="21"/>
    </row>
    <row r="774" spans="1:31" hidden="1">
      <c r="A774" s="1">
        <v>9126627</v>
      </c>
      <c r="B774" s="1" t="s">
        <v>101</v>
      </c>
      <c r="C774" t="s">
        <v>643</v>
      </c>
      <c r="D774" s="2">
        <v>220197615</v>
      </c>
      <c r="E774" s="2">
        <v>2473001400040</v>
      </c>
      <c r="F774" s="1" t="s">
        <v>644</v>
      </c>
      <c r="G774" s="1" t="s">
        <v>53</v>
      </c>
      <c r="H774" s="1" t="s">
        <v>1459</v>
      </c>
      <c r="I774" s="1" t="s">
        <v>1460</v>
      </c>
      <c r="J774" s="1" t="s">
        <v>261</v>
      </c>
      <c r="K774" t="s">
        <v>645</v>
      </c>
      <c r="M774" s="1" t="s">
        <v>58</v>
      </c>
      <c r="N774" s="1">
        <v>0</v>
      </c>
      <c r="O774" s="1" t="s">
        <v>105</v>
      </c>
      <c r="P774" s="186">
        <v>44896.467326388891</v>
      </c>
      <c r="R774" s="1">
        <v>2</v>
      </c>
      <c r="T774" s="1" t="s">
        <v>646</v>
      </c>
      <c r="U774" s="186">
        <v>44897.467326388891</v>
      </c>
      <c r="V774" s="1" t="s">
        <v>41</v>
      </c>
      <c r="W774" s="1" t="s">
        <v>49</v>
      </c>
      <c r="Z774" s="14"/>
      <c r="AA774" s="14"/>
      <c r="AC774" s="21"/>
      <c r="AE774" s="21"/>
    </row>
    <row r="775" spans="1:31" hidden="1">
      <c r="A775" s="1">
        <v>9126604</v>
      </c>
      <c r="B775" s="1" t="s">
        <v>101</v>
      </c>
      <c r="C775" t="s">
        <v>643</v>
      </c>
      <c r="D775" s="2">
        <v>220197647</v>
      </c>
      <c r="E775" s="2">
        <v>2564001400040</v>
      </c>
      <c r="F775" s="1" t="s">
        <v>644</v>
      </c>
      <c r="G775" s="1" t="s">
        <v>53</v>
      </c>
      <c r="H775" s="1" t="s">
        <v>255</v>
      </c>
      <c r="I775" s="1" t="s">
        <v>256</v>
      </c>
      <c r="J775" s="1" t="s">
        <v>164</v>
      </c>
      <c r="K775" t="s">
        <v>645</v>
      </c>
      <c r="M775" s="1" t="s">
        <v>58</v>
      </c>
      <c r="N775" s="1">
        <v>0</v>
      </c>
      <c r="O775" s="1" t="s">
        <v>105</v>
      </c>
      <c r="P775" s="186">
        <v>44896.466203703705</v>
      </c>
      <c r="R775" s="1">
        <v>3</v>
      </c>
      <c r="T775" s="1" t="s">
        <v>646</v>
      </c>
      <c r="U775" s="186">
        <v>44897.466215277775</v>
      </c>
      <c r="V775" s="1" t="s">
        <v>41</v>
      </c>
      <c r="W775" s="1" t="s">
        <v>49</v>
      </c>
      <c r="Z775" s="14"/>
      <c r="AA775" s="14"/>
      <c r="AC775" s="21"/>
      <c r="AE775" s="21"/>
    </row>
    <row r="776" spans="1:31" hidden="1">
      <c r="A776" s="1">
        <v>9126586</v>
      </c>
      <c r="B776" s="1" t="s">
        <v>101</v>
      </c>
      <c r="C776" t="s">
        <v>643</v>
      </c>
      <c r="D776" s="2">
        <v>220197595</v>
      </c>
      <c r="E776" s="2">
        <v>2413001400040</v>
      </c>
      <c r="F776" s="1" t="s">
        <v>644</v>
      </c>
      <c r="G776" s="1" t="s">
        <v>53</v>
      </c>
      <c r="H776" s="1" t="s">
        <v>505</v>
      </c>
      <c r="I776" s="1" t="s">
        <v>506</v>
      </c>
      <c r="J776" s="1" t="s">
        <v>141</v>
      </c>
      <c r="K776" t="s">
        <v>645</v>
      </c>
      <c r="M776" s="1" t="s">
        <v>58</v>
      </c>
      <c r="N776" s="1">
        <v>0</v>
      </c>
      <c r="O776" s="1" t="s">
        <v>105</v>
      </c>
      <c r="P776" s="186">
        <v>44896.465173611112</v>
      </c>
      <c r="R776" s="1">
        <v>2</v>
      </c>
      <c r="T776" s="1" t="s">
        <v>646</v>
      </c>
      <c r="U776" s="186">
        <v>44897.465185185189</v>
      </c>
      <c r="V776" s="1" t="s">
        <v>41</v>
      </c>
      <c r="W776" s="1" t="s">
        <v>49</v>
      </c>
      <c r="Z776" s="14"/>
      <c r="AA776" s="14"/>
      <c r="AC776" s="21"/>
      <c r="AE776" s="21"/>
    </row>
    <row r="777" spans="1:31" hidden="1">
      <c r="A777" s="1">
        <v>9126537</v>
      </c>
      <c r="B777" s="1" t="s">
        <v>101</v>
      </c>
      <c r="C777" t="s">
        <v>643</v>
      </c>
      <c r="D777" s="2">
        <v>220197299</v>
      </c>
      <c r="E777" s="2">
        <v>1363001400040</v>
      </c>
      <c r="F777" s="1" t="s">
        <v>644</v>
      </c>
      <c r="G777" s="1" t="s">
        <v>53</v>
      </c>
      <c r="H777" s="1" t="s">
        <v>108</v>
      </c>
      <c r="I777" s="1" t="s">
        <v>109</v>
      </c>
      <c r="J777" s="1" t="s">
        <v>110</v>
      </c>
      <c r="K777" t="s">
        <v>645</v>
      </c>
      <c r="M777" s="1" t="s">
        <v>58</v>
      </c>
      <c r="N777" s="1">
        <v>0</v>
      </c>
      <c r="O777" s="1" t="s">
        <v>105</v>
      </c>
      <c r="P777" s="186">
        <v>44896.462777777779</v>
      </c>
      <c r="R777" s="1">
        <v>3</v>
      </c>
      <c r="T777" s="1" t="s">
        <v>646</v>
      </c>
      <c r="U777" s="186">
        <v>44897.462789351855</v>
      </c>
      <c r="V777" s="1" t="s">
        <v>41</v>
      </c>
      <c r="W777" s="1" t="s">
        <v>49</v>
      </c>
      <c r="Z777" s="14"/>
      <c r="AA777" s="14"/>
      <c r="AC777" s="21"/>
      <c r="AE777" s="21"/>
    </row>
    <row r="778" spans="1:31">
      <c r="A778" s="1">
        <v>9126536</v>
      </c>
      <c r="B778" s="1" t="s">
        <v>101</v>
      </c>
      <c r="C778" t="s">
        <v>643</v>
      </c>
      <c r="D778" s="2">
        <v>220197298</v>
      </c>
      <c r="E778" s="2">
        <v>1362001400040</v>
      </c>
      <c r="F778" s="1" t="s">
        <v>644</v>
      </c>
      <c r="G778" s="1" t="s">
        <v>53</v>
      </c>
      <c r="H778" s="1" t="s">
        <v>268</v>
      </c>
      <c r="I778" s="1" t="s">
        <v>269</v>
      </c>
      <c r="J778" s="1" t="s">
        <v>90</v>
      </c>
      <c r="K778" t="s">
        <v>645</v>
      </c>
      <c r="M778" s="1" t="s">
        <v>58</v>
      </c>
      <c r="N778" s="1">
        <v>0</v>
      </c>
      <c r="O778" s="1" t="s">
        <v>105</v>
      </c>
      <c r="P778" s="186">
        <v>44896.462708333333</v>
      </c>
      <c r="R778" s="1">
        <v>3</v>
      </c>
      <c r="T778" s="1" t="s">
        <v>646</v>
      </c>
      <c r="U778" s="186">
        <v>44897.462708333333</v>
      </c>
      <c r="V778" s="1" t="s">
        <v>41</v>
      </c>
      <c r="W778" s="1" t="s">
        <v>49</v>
      </c>
      <c r="Z778" s="14"/>
      <c r="AA778" s="14"/>
      <c r="AC778" s="21"/>
      <c r="AE778" s="21"/>
    </row>
    <row r="779" spans="1:31" hidden="1">
      <c r="A779" s="1">
        <v>9126535</v>
      </c>
      <c r="B779" s="1" t="s">
        <v>101</v>
      </c>
      <c r="C779" t="s">
        <v>643</v>
      </c>
      <c r="D779" s="2">
        <v>220197297</v>
      </c>
      <c r="E779" s="2">
        <v>1360001400040</v>
      </c>
      <c r="F779" s="1" t="s">
        <v>644</v>
      </c>
      <c r="G779" s="1" t="s">
        <v>53</v>
      </c>
      <c r="H779" s="1" t="s">
        <v>303</v>
      </c>
      <c r="I779" s="1" t="s">
        <v>304</v>
      </c>
      <c r="J779" s="1" t="s">
        <v>261</v>
      </c>
      <c r="K779" t="s">
        <v>645</v>
      </c>
      <c r="M779" s="1" t="s">
        <v>58</v>
      </c>
      <c r="N779" s="1">
        <v>0</v>
      </c>
      <c r="O779" s="1" t="s">
        <v>105</v>
      </c>
      <c r="P779" s="186">
        <v>44896.462638888886</v>
      </c>
      <c r="R779" s="1">
        <v>3</v>
      </c>
      <c r="T779" s="1" t="s">
        <v>646</v>
      </c>
      <c r="U779" s="186">
        <v>44897.462650462963</v>
      </c>
      <c r="V779" s="1" t="s">
        <v>41</v>
      </c>
      <c r="W779" s="1" t="s">
        <v>49</v>
      </c>
      <c r="Z779" s="14"/>
      <c r="AA779" s="14"/>
      <c r="AC779" s="21"/>
      <c r="AE779" s="21"/>
    </row>
    <row r="780" spans="1:31" hidden="1">
      <c r="A780" s="1">
        <v>9126534</v>
      </c>
      <c r="B780" s="1" t="s">
        <v>101</v>
      </c>
      <c r="C780" t="s">
        <v>643</v>
      </c>
      <c r="D780" s="2">
        <v>220197296</v>
      </c>
      <c r="E780" s="2">
        <v>1359001400040</v>
      </c>
      <c r="F780" s="1" t="s">
        <v>644</v>
      </c>
      <c r="G780" s="1" t="s">
        <v>53</v>
      </c>
      <c r="H780" s="1" t="s">
        <v>270</v>
      </c>
      <c r="I780" s="1" t="s">
        <v>271</v>
      </c>
      <c r="J780" s="1" t="s">
        <v>141</v>
      </c>
      <c r="K780" t="s">
        <v>645</v>
      </c>
      <c r="M780" s="1" t="s">
        <v>58</v>
      </c>
      <c r="N780" s="1">
        <v>0</v>
      </c>
      <c r="O780" s="1" t="s">
        <v>105</v>
      </c>
      <c r="P780" s="186">
        <v>44896.462569444448</v>
      </c>
      <c r="R780" s="1">
        <v>2</v>
      </c>
      <c r="T780" s="1" t="s">
        <v>646</v>
      </c>
      <c r="U780" s="186">
        <v>44897.462569444448</v>
      </c>
      <c r="V780" s="1" t="s">
        <v>41</v>
      </c>
      <c r="W780" s="1" t="s">
        <v>49</v>
      </c>
      <c r="Z780" s="14"/>
      <c r="AA780" s="14"/>
      <c r="AC780" s="21"/>
      <c r="AE780" s="21"/>
    </row>
    <row r="781" spans="1:31" hidden="1">
      <c r="A781" s="1">
        <v>9126515</v>
      </c>
      <c r="B781" s="1" t="s">
        <v>101</v>
      </c>
      <c r="C781" t="s">
        <v>643</v>
      </c>
      <c r="D781" s="2">
        <v>220197245</v>
      </c>
      <c r="E781" s="2">
        <v>1245001400040</v>
      </c>
      <c r="F781" s="1" t="s">
        <v>644</v>
      </c>
      <c r="G781" s="1" t="s">
        <v>53</v>
      </c>
      <c r="H781" s="1" t="s">
        <v>408</v>
      </c>
      <c r="I781" s="1" t="s">
        <v>409</v>
      </c>
      <c r="J781" s="1" t="s">
        <v>46</v>
      </c>
      <c r="K781" t="s">
        <v>645</v>
      </c>
      <c r="M781" s="1" t="s">
        <v>58</v>
      </c>
      <c r="N781" s="1">
        <v>0</v>
      </c>
      <c r="O781" s="1" t="s">
        <v>105</v>
      </c>
      <c r="P781" s="186">
        <v>44896.461180555554</v>
      </c>
      <c r="R781" s="1">
        <v>2</v>
      </c>
      <c r="T781" s="1" t="s">
        <v>646</v>
      </c>
      <c r="U781" s="186">
        <v>44897.461192129631</v>
      </c>
      <c r="V781" s="1" t="s">
        <v>41</v>
      </c>
      <c r="W781" s="1" t="s">
        <v>49</v>
      </c>
      <c r="Z781" s="14"/>
      <c r="AA781" s="14"/>
      <c r="AC781" s="21"/>
      <c r="AE781" s="21"/>
    </row>
    <row r="782" spans="1:31" hidden="1">
      <c r="A782" s="1">
        <v>9126424</v>
      </c>
      <c r="B782" s="1" t="s">
        <v>101</v>
      </c>
      <c r="C782" t="s">
        <v>643</v>
      </c>
      <c r="D782" s="2">
        <v>220197448</v>
      </c>
      <c r="E782" s="2">
        <v>1792001400040</v>
      </c>
      <c r="F782" s="1" t="s">
        <v>644</v>
      </c>
      <c r="G782" s="1" t="s">
        <v>53</v>
      </c>
      <c r="H782" s="1" t="s">
        <v>467</v>
      </c>
      <c r="I782" s="1" t="s">
        <v>468</v>
      </c>
      <c r="J782" s="1" t="s">
        <v>110</v>
      </c>
      <c r="K782" t="s">
        <v>645</v>
      </c>
      <c r="M782" s="1" t="s">
        <v>58</v>
      </c>
      <c r="N782" s="1">
        <v>0</v>
      </c>
      <c r="O782" s="1" t="s">
        <v>105</v>
      </c>
      <c r="P782" s="186">
        <v>44896.457650462966</v>
      </c>
      <c r="R782" s="1">
        <v>2</v>
      </c>
      <c r="T782" s="1" t="s">
        <v>646</v>
      </c>
      <c r="U782" s="186">
        <v>44897.457662037035</v>
      </c>
      <c r="V782" s="1" t="s">
        <v>41</v>
      </c>
      <c r="W782" s="1" t="s">
        <v>49</v>
      </c>
      <c r="Z782" s="14"/>
      <c r="AA782" s="14"/>
      <c r="AC782" s="21"/>
      <c r="AE782" s="21"/>
    </row>
    <row r="783" spans="1:31" hidden="1">
      <c r="A783" s="1">
        <v>9126382</v>
      </c>
      <c r="B783" s="1" t="s">
        <v>101</v>
      </c>
      <c r="C783" t="s">
        <v>643</v>
      </c>
      <c r="D783" s="2">
        <v>220197425</v>
      </c>
      <c r="E783" s="2">
        <v>1732001400040</v>
      </c>
      <c r="F783" s="1" t="s">
        <v>644</v>
      </c>
      <c r="G783" s="1" t="s">
        <v>53</v>
      </c>
      <c r="H783" s="1" t="s">
        <v>177</v>
      </c>
      <c r="I783" s="1" t="s">
        <v>178</v>
      </c>
      <c r="J783" s="1" t="s">
        <v>164</v>
      </c>
      <c r="K783" t="s">
        <v>645</v>
      </c>
      <c r="M783" s="1" t="s">
        <v>58</v>
      </c>
      <c r="N783" s="1">
        <v>0</v>
      </c>
      <c r="O783" s="1" t="s">
        <v>105</v>
      </c>
      <c r="P783" s="186">
        <v>44896.456192129626</v>
      </c>
      <c r="R783" s="1">
        <v>3</v>
      </c>
      <c r="T783" s="1" t="s">
        <v>646</v>
      </c>
      <c r="U783" s="186">
        <v>44897.456192129626</v>
      </c>
      <c r="V783" s="1" t="s">
        <v>41</v>
      </c>
      <c r="W783" s="1" t="s">
        <v>49</v>
      </c>
      <c r="Z783" s="14"/>
      <c r="AA783" s="14"/>
      <c r="AC783" s="21"/>
      <c r="AE783" s="21"/>
    </row>
    <row r="784" spans="1:31" hidden="1">
      <c r="A784" s="1">
        <v>9126343</v>
      </c>
      <c r="B784" s="1" t="s">
        <v>101</v>
      </c>
      <c r="C784" t="s">
        <v>643</v>
      </c>
      <c r="D784" s="2">
        <v>220197402</v>
      </c>
      <c r="E784" s="2">
        <v>1664001400040</v>
      </c>
      <c r="F784" s="1" t="s">
        <v>644</v>
      </c>
      <c r="G784" s="1" t="s">
        <v>53</v>
      </c>
      <c r="H784" s="1" t="s">
        <v>307</v>
      </c>
      <c r="I784" s="1" t="s">
        <v>308</v>
      </c>
      <c r="J784" s="1" t="s">
        <v>164</v>
      </c>
      <c r="K784" t="s">
        <v>645</v>
      </c>
      <c r="M784" s="1" t="s">
        <v>58</v>
      </c>
      <c r="N784" s="1">
        <v>0</v>
      </c>
      <c r="O784" s="1" t="s">
        <v>105</v>
      </c>
      <c r="P784" s="186">
        <v>44896.454652777778</v>
      </c>
      <c r="R784" s="1">
        <v>2</v>
      </c>
      <c r="T784" s="1" t="s">
        <v>646</v>
      </c>
      <c r="U784" s="186">
        <v>44897.454652777778</v>
      </c>
      <c r="V784" s="1" t="s">
        <v>41</v>
      </c>
      <c r="W784" s="1" t="s">
        <v>49</v>
      </c>
      <c r="Z784" s="14"/>
      <c r="AA784" s="14"/>
      <c r="AC784" s="21"/>
      <c r="AE784" s="21"/>
    </row>
    <row r="785" spans="1:31" hidden="1">
      <c r="A785" s="1">
        <v>9126340</v>
      </c>
      <c r="B785" s="1" t="s">
        <v>101</v>
      </c>
      <c r="C785" t="s">
        <v>643</v>
      </c>
      <c r="D785" s="2">
        <v>220197678</v>
      </c>
      <c r="E785" s="2">
        <v>2678001400040</v>
      </c>
      <c r="F785" s="1" t="s">
        <v>644</v>
      </c>
      <c r="G785" s="1" t="s">
        <v>53</v>
      </c>
      <c r="H785" s="1" t="s">
        <v>992</v>
      </c>
      <c r="I785" s="1" t="s">
        <v>993</v>
      </c>
      <c r="J785" s="1" t="s">
        <v>33</v>
      </c>
      <c r="K785" t="s">
        <v>645</v>
      </c>
      <c r="M785" s="1" t="s">
        <v>58</v>
      </c>
      <c r="N785" s="1">
        <v>0</v>
      </c>
      <c r="O785" s="1" t="s">
        <v>105</v>
      </c>
      <c r="P785" s="186">
        <v>44896.454444444447</v>
      </c>
      <c r="R785" s="1">
        <v>2</v>
      </c>
      <c r="T785" s="1" t="s">
        <v>646</v>
      </c>
      <c r="U785" s="186">
        <v>44897.454456018517</v>
      </c>
      <c r="V785" s="1" t="s">
        <v>41</v>
      </c>
      <c r="W785" s="1" t="s">
        <v>42</v>
      </c>
      <c r="Z785" s="14"/>
      <c r="AA785" s="14"/>
      <c r="AC785" s="21"/>
      <c r="AE785" s="21"/>
    </row>
    <row r="786" spans="1:31" hidden="1">
      <c r="A786" s="1">
        <v>9126315</v>
      </c>
      <c r="B786" s="1" t="s">
        <v>101</v>
      </c>
      <c r="C786" t="s">
        <v>643</v>
      </c>
      <c r="D786" s="2">
        <v>220196945</v>
      </c>
      <c r="E786" s="2">
        <v>673001400040</v>
      </c>
      <c r="F786" s="1" t="s">
        <v>644</v>
      </c>
      <c r="G786" s="1" t="s">
        <v>53</v>
      </c>
      <c r="H786" s="1" t="s">
        <v>581</v>
      </c>
      <c r="I786" s="1" t="s">
        <v>582</v>
      </c>
      <c r="J786" s="1" t="s">
        <v>110</v>
      </c>
      <c r="K786" t="s">
        <v>645</v>
      </c>
      <c r="M786" s="1" t="s">
        <v>58</v>
      </c>
      <c r="N786" s="1">
        <v>0</v>
      </c>
      <c r="O786" s="1" t="s">
        <v>105</v>
      </c>
      <c r="P786" s="186">
        <v>44896.452546296299</v>
      </c>
      <c r="R786" s="1">
        <v>2</v>
      </c>
      <c r="T786" s="1" t="s">
        <v>646</v>
      </c>
      <c r="U786" s="186">
        <v>44897.452557870369</v>
      </c>
      <c r="V786" s="1" t="s">
        <v>41</v>
      </c>
      <c r="W786" s="1" t="s">
        <v>49</v>
      </c>
      <c r="Z786" s="14"/>
      <c r="AA786" s="14"/>
      <c r="AC786" s="21"/>
      <c r="AE786" s="21"/>
    </row>
    <row r="787" spans="1:31">
      <c r="A787" s="1">
        <v>9126276</v>
      </c>
      <c r="B787" s="1" t="s">
        <v>101</v>
      </c>
      <c r="C787" t="s">
        <v>643</v>
      </c>
      <c r="D787" s="2">
        <v>220197114</v>
      </c>
      <c r="E787" s="2">
        <v>981001400040</v>
      </c>
      <c r="F787" s="1" t="s">
        <v>644</v>
      </c>
      <c r="G787" s="1" t="s">
        <v>53</v>
      </c>
      <c r="H787" s="1" t="s">
        <v>410</v>
      </c>
      <c r="I787" s="1" t="s">
        <v>411</v>
      </c>
      <c r="J787" s="1" t="s">
        <v>85</v>
      </c>
      <c r="K787" t="s">
        <v>645</v>
      </c>
      <c r="M787" s="1" t="s">
        <v>58</v>
      </c>
      <c r="N787" s="1">
        <v>0</v>
      </c>
      <c r="O787" s="1" t="s">
        <v>105</v>
      </c>
      <c r="P787" s="186">
        <v>44896.450682870367</v>
      </c>
      <c r="R787" s="1">
        <v>3</v>
      </c>
      <c r="T787" s="1" t="s">
        <v>646</v>
      </c>
      <c r="U787" s="186">
        <v>44897.450682870367</v>
      </c>
      <c r="V787" s="1" t="s">
        <v>41</v>
      </c>
      <c r="W787" s="1" t="s">
        <v>49</v>
      </c>
      <c r="Z787" s="14"/>
      <c r="AA787" s="14"/>
      <c r="AC787" s="21"/>
      <c r="AE787" s="21"/>
    </row>
    <row r="788" spans="1:31">
      <c r="A788" s="1">
        <v>9126219</v>
      </c>
      <c r="B788" s="1" t="s">
        <v>101</v>
      </c>
      <c r="C788" t="s">
        <v>643</v>
      </c>
      <c r="D788" s="2">
        <v>220196904</v>
      </c>
      <c r="E788" s="2">
        <v>608001400040</v>
      </c>
      <c r="F788" s="1" t="s">
        <v>644</v>
      </c>
      <c r="G788" s="1" t="s">
        <v>53</v>
      </c>
      <c r="H788" s="1" t="s">
        <v>438</v>
      </c>
      <c r="I788" s="1" t="s">
        <v>439</v>
      </c>
      <c r="J788" s="1" t="s">
        <v>148</v>
      </c>
      <c r="K788" t="s">
        <v>645</v>
      </c>
      <c r="M788" s="1" t="s">
        <v>58</v>
      </c>
      <c r="N788" s="1">
        <v>0</v>
      </c>
      <c r="O788" s="1" t="s">
        <v>105</v>
      </c>
      <c r="P788" s="186">
        <v>44896.447650462964</v>
      </c>
      <c r="R788" s="1">
        <v>3</v>
      </c>
      <c r="T788" s="1" t="s">
        <v>646</v>
      </c>
      <c r="U788" s="186">
        <v>44897.447650462964</v>
      </c>
      <c r="V788" s="1" t="s">
        <v>41</v>
      </c>
      <c r="W788" s="1" t="s">
        <v>49</v>
      </c>
      <c r="Z788" s="14"/>
      <c r="AA788" s="14"/>
      <c r="AC788" s="21"/>
      <c r="AE788" s="21"/>
    </row>
    <row r="789" spans="1:31" hidden="1">
      <c r="A789" s="1">
        <v>9126206</v>
      </c>
      <c r="B789" s="1" t="s">
        <v>101</v>
      </c>
      <c r="C789" t="s">
        <v>643</v>
      </c>
      <c r="D789" s="2">
        <v>220196891</v>
      </c>
      <c r="E789" s="2">
        <v>582001400040</v>
      </c>
      <c r="F789" s="1" t="s">
        <v>644</v>
      </c>
      <c r="G789" s="1" t="s">
        <v>53</v>
      </c>
      <c r="H789" s="1" t="s">
        <v>139</v>
      </c>
      <c r="I789" s="1" t="s">
        <v>140</v>
      </c>
      <c r="J789" s="1" t="s">
        <v>141</v>
      </c>
      <c r="K789" t="s">
        <v>645</v>
      </c>
      <c r="M789" s="1" t="s">
        <v>58</v>
      </c>
      <c r="N789" s="1">
        <v>0</v>
      </c>
      <c r="O789" s="1" t="s">
        <v>105</v>
      </c>
      <c r="P789" s="186">
        <v>44896.446828703702</v>
      </c>
      <c r="R789" s="1">
        <v>3</v>
      </c>
      <c r="T789" s="1" t="s">
        <v>646</v>
      </c>
      <c r="U789" s="186">
        <v>44897.446828703702</v>
      </c>
      <c r="V789" s="1" t="s">
        <v>41</v>
      </c>
      <c r="W789" s="1" t="s">
        <v>49</v>
      </c>
      <c r="Z789" s="14"/>
      <c r="AA789" s="14"/>
      <c r="AC789" s="21"/>
      <c r="AE789" s="21"/>
    </row>
    <row r="790" spans="1:31" hidden="1">
      <c r="A790" s="1">
        <v>9126187</v>
      </c>
      <c r="B790" s="1" t="s">
        <v>101</v>
      </c>
      <c r="C790" t="s">
        <v>643</v>
      </c>
      <c r="D790" s="2">
        <v>220196872</v>
      </c>
      <c r="E790" s="2">
        <v>550001400040</v>
      </c>
      <c r="F790" s="1" t="s">
        <v>644</v>
      </c>
      <c r="G790" s="1" t="s">
        <v>53</v>
      </c>
      <c r="H790" s="1" t="s">
        <v>337</v>
      </c>
      <c r="I790" s="1" t="s">
        <v>338</v>
      </c>
      <c r="J790" s="1" t="s">
        <v>164</v>
      </c>
      <c r="K790" t="s">
        <v>645</v>
      </c>
      <c r="M790" s="1" t="s">
        <v>58</v>
      </c>
      <c r="N790" s="1">
        <v>0</v>
      </c>
      <c r="O790" s="1" t="s">
        <v>105</v>
      </c>
      <c r="P790" s="186">
        <v>44896.445625</v>
      </c>
      <c r="R790" s="1">
        <v>3</v>
      </c>
      <c r="T790" s="1" t="s">
        <v>646</v>
      </c>
      <c r="U790" s="186">
        <v>44897.445636574077</v>
      </c>
      <c r="V790" s="1" t="s">
        <v>41</v>
      </c>
      <c r="W790" s="1" t="s">
        <v>49</v>
      </c>
      <c r="Z790" s="14"/>
      <c r="AA790" s="14"/>
      <c r="AC790" s="21"/>
      <c r="AE790" s="21"/>
    </row>
    <row r="791" spans="1:31" hidden="1">
      <c r="A791" s="1">
        <v>9126178</v>
      </c>
      <c r="B791" s="1" t="s">
        <v>101</v>
      </c>
      <c r="C791" t="s">
        <v>643</v>
      </c>
      <c r="D791" s="2">
        <v>220196867</v>
      </c>
      <c r="E791" s="2">
        <v>537001400040</v>
      </c>
      <c r="F791" s="1" t="s">
        <v>644</v>
      </c>
      <c r="G791" s="1" t="s">
        <v>53</v>
      </c>
      <c r="H791" s="1" t="s">
        <v>442</v>
      </c>
      <c r="I791" s="1" t="s">
        <v>443</v>
      </c>
      <c r="J791" s="1" t="s">
        <v>79</v>
      </c>
      <c r="K791" t="s">
        <v>645</v>
      </c>
      <c r="M791" s="1" t="s">
        <v>58</v>
      </c>
      <c r="N791" s="1">
        <v>0</v>
      </c>
      <c r="O791" s="1" t="s">
        <v>105</v>
      </c>
      <c r="P791" s="186">
        <v>44896.445023148146</v>
      </c>
      <c r="R791" s="1">
        <v>2</v>
      </c>
      <c r="T791" s="1" t="s">
        <v>646</v>
      </c>
      <c r="U791" s="186">
        <v>44897.445023148146</v>
      </c>
      <c r="V791" s="1" t="s">
        <v>41</v>
      </c>
      <c r="W791" s="1" t="s">
        <v>49</v>
      </c>
      <c r="Z791" s="14"/>
      <c r="AA791" s="14"/>
      <c r="AC791" s="21"/>
      <c r="AE791" s="21"/>
    </row>
    <row r="792" spans="1:31" hidden="1">
      <c r="A792" s="1">
        <v>9126149</v>
      </c>
      <c r="B792" s="1" t="s">
        <v>101</v>
      </c>
      <c r="C792" t="s">
        <v>643</v>
      </c>
      <c r="D792" s="2">
        <v>220197129</v>
      </c>
      <c r="E792" s="2">
        <v>1012001400040</v>
      </c>
      <c r="F792" s="1" t="s">
        <v>644</v>
      </c>
      <c r="G792" s="1" t="s">
        <v>53</v>
      </c>
      <c r="H792" s="1" t="s">
        <v>172</v>
      </c>
      <c r="I792" s="1" t="s">
        <v>173</v>
      </c>
      <c r="J792" s="1" t="s">
        <v>164</v>
      </c>
      <c r="K792" t="s">
        <v>645</v>
      </c>
      <c r="M792" s="1" t="s">
        <v>58</v>
      </c>
      <c r="N792" s="1">
        <v>0</v>
      </c>
      <c r="O792" s="1" t="s">
        <v>105</v>
      </c>
      <c r="P792" s="186">
        <v>44896.443888888891</v>
      </c>
      <c r="R792" s="1">
        <v>2</v>
      </c>
      <c r="T792" s="1" t="s">
        <v>646</v>
      </c>
      <c r="U792" s="186">
        <v>44897.443888888891</v>
      </c>
      <c r="V792" s="1" t="s">
        <v>41</v>
      </c>
      <c r="W792" s="1" t="s">
        <v>49</v>
      </c>
      <c r="Z792" s="14"/>
      <c r="AA792" s="14"/>
      <c r="AC792" s="21"/>
      <c r="AE792" s="21"/>
    </row>
    <row r="793" spans="1:31">
      <c r="A793" s="1">
        <v>9126105</v>
      </c>
      <c r="B793" s="1" t="s">
        <v>101</v>
      </c>
      <c r="C793" t="s">
        <v>643</v>
      </c>
      <c r="D793" s="2">
        <v>220197072</v>
      </c>
      <c r="E793" s="2">
        <v>899001400040</v>
      </c>
      <c r="F793" s="1" t="s">
        <v>644</v>
      </c>
      <c r="G793" s="1" t="s">
        <v>53</v>
      </c>
      <c r="H793" s="1" t="s">
        <v>175</v>
      </c>
      <c r="I793" s="1" t="s">
        <v>176</v>
      </c>
      <c r="J793" s="1" t="s">
        <v>90</v>
      </c>
      <c r="K793" t="s">
        <v>645</v>
      </c>
      <c r="M793" s="1" t="s">
        <v>58</v>
      </c>
      <c r="N793" s="1">
        <v>0</v>
      </c>
      <c r="O793" s="1" t="s">
        <v>36</v>
      </c>
      <c r="P793" s="186">
        <v>44896.441180555557</v>
      </c>
      <c r="R793" s="1">
        <v>2</v>
      </c>
      <c r="T793" s="1" t="s">
        <v>646</v>
      </c>
      <c r="U793" s="186">
        <v>44897.441180555557</v>
      </c>
      <c r="V793" s="1" t="s">
        <v>41</v>
      </c>
      <c r="W793" s="1" t="s">
        <v>49</v>
      </c>
      <c r="Z793" s="14"/>
      <c r="AA793" s="14"/>
      <c r="AC793" s="21"/>
      <c r="AE793" s="21"/>
    </row>
    <row r="794" spans="1:31" hidden="1">
      <c r="A794" s="1">
        <v>9125943</v>
      </c>
      <c r="B794" s="1" t="s">
        <v>101</v>
      </c>
      <c r="C794" t="s">
        <v>643</v>
      </c>
      <c r="D794" s="2">
        <v>220197093</v>
      </c>
      <c r="E794" s="2">
        <v>934001400040</v>
      </c>
      <c r="F794" s="1" t="s">
        <v>644</v>
      </c>
      <c r="G794" s="1" t="s">
        <v>53</v>
      </c>
      <c r="H794" s="1" t="s">
        <v>428</v>
      </c>
      <c r="I794" s="1" t="s">
        <v>429</v>
      </c>
      <c r="J794" s="1" t="s">
        <v>46</v>
      </c>
      <c r="K794" t="s">
        <v>645</v>
      </c>
      <c r="M794" s="1" t="s">
        <v>58</v>
      </c>
      <c r="N794" s="1">
        <v>0</v>
      </c>
      <c r="O794" s="1" t="s">
        <v>105</v>
      </c>
      <c r="P794" s="186">
        <v>44896.434560185182</v>
      </c>
      <c r="R794" s="1">
        <v>2</v>
      </c>
      <c r="T794" s="1" t="s">
        <v>646</v>
      </c>
      <c r="U794" s="186">
        <v>44897.434560185182</v>
      </c>
      <c r="V794" s="1" t="s">
        <v>41</v>
      </c>
      <c r="W794" s="1" t="s">
        <v>49</v>
      </c>
      <c r="Z794" s="14"/>
      <c r="AA794" s="14"/>
      <c r="AC794" s="21"/>
      <c r="AE794" s="21"/>
    </row>
    <row r="795" spans="1:31" hidden="1">
      <c r="A795" s="1">
        <v>9125924</v>
      </c>
      <c r="B795" s="1" t="s">
        <v>101</v>
      </c>
      <c r="C795" t="s">
        <v>643</v>
      </c>
      <c r="D795" s="2">
        <v>220197082</v>
      </c>
      <c r="E795" s="2">
        <v>922001400040</v>
      </c>
      <c r="F795" s="1" t="s">
        <v>644</v>
      </c>
      <c r="G795" s="1" t="s">
        <v>53</v>
      </c>
      <c r="H795" s="1" t="s">
        <v>1375</v>
      </c>
      <c r="I795" s="1" t="s">
        <v>1376</v>
      </c>
      <c r="J795" s="1" t="s">
        <v>261</v>
      </c>
      <c r="K795" t="s">
        <v>645</v>
      </c>
      <c r="M795" s="1" t="s">
        <v>58</v>
      </c>
      <c r="N795" s="1">
        <v>0</v>
      </c>
      <c r="O795" s="1" t="s">
        <v>105</v>
      </c>
      <c r="P795" s="186">
        <v>44896.433796296296</v>
      </c>
      <c r="R795" s="1">
        <v>3</v>
      </c>
      <c r="T795" s="1" t="s">
        <v>646</v>
      </c>
      <c r="U795" s="186">
        <v>44897.433796296296</v>
      </c>
      <c r="V795" s="1" t="s">
        <v>41</v>
      </c>
      <c r="W795" s="1" t="s">
        <v>49</v>
      </c>
      <c r="Z795" s="14"/>
      <c r="AA795" s="14"/>
      <c r="AC795" s="21"/>
      <c r="AE795" s="21"/>
    </row>
    <row r="796" spans="1:31">
      <c r="A796" s="1">
        <v>9125919</v>
      </c>
      <c r="B796" s="1" t="s">
        <v>101</v>
      </c>
      <c r="C796" t="s">
        <v>643</v>
      </c>
      <c r="D796" s="2">
        <v>220197080</v>
      </c>
      <c r="E796" s="2">
        <v>917001400040</v>
      </c>
      <c r="F796" s="1" t="s">
        <v>644</v>
      </c>
      <c r="G796" s="1" t="s">
        <v>53</v>
      </c>
      <c r="H796" s="1" t="s">
        <v>83</v>
      </c>
      <c r="I796" s="1" t="s">
        <v>84</v>
      </c>
      <c r="J796" s="1" t="s">
        <v>85</v>
      </c>
      <c r="K796" t="s">
        <v>645</v>
      </c>
      <c r="M796" s="1" t="s">
        <v>58</v>
      </c>
      <c r="N796" s="1">
        <v>0</v>
      </c>
      <c r="O796" s="1" t="s">
        <v>105</v>
      </c>
      <c r="P796" s="186">
        <v>44896.433657407404</v>
      </c>
      <c r="R796" s="1">
        <v>3</v>
      </c>
      <c r="T796" s="1" t="s">
        <v>646</v>
      </c>
      <c r="U796" s="186">
        <v>44897.433657407404</v>
      </c>
      <c r="V796" s="1" t="s">
        <v>41</v>
      </c>
      <c r="W796" s="1" t="s">
        <v>49</v>
      </c>
      <c r="Z796" s="14"/>
      <c r="AA796" s="14"/>
      <c r="AC796" s="21"/>
      <c r="AE796" s="21"/>
    </row>
    <row r="797" spans="1:31" hidden="1">
      <c r="A797" s="1">
        <v>9125717</v>
      </c>
      <c r="B797" s="1" t="s">
        <v>101</v>
      </c>
      <c r="C797" t="s">
        <v>643</v>
      </c>
      <c r="D797" s="2">
        <v>220196408</v>
      </c>
      <c r="E797" s="2">
        <v>5755001400030</v>
      </c>
      <c r="F797" s="1" t="s">
        <v>647</v>
      </c>
      <c r="G797" s="1" t="s">
        <v>53</v>
      </c>
      <c r="H797" s="1" t="s">
        <v>841</v>
      </c>
      <c r="I797" s="1" t="s">
        <v>842</v>
      </c>
      <c r="J797" s="1" t="s">
        <v>46</v>
      </c>
      <c r="K797" t="s">
        <v>650</v>
      </c>
      <c r="M797" s="1" t="s">
        <v>58</v>
      </c>
      <c r="N797" s="1">
        <v>0</v>
      </c>
      <c r="O797" s="1" t="s">
        <v>105</v>
      </c>
      <c r="P797" s="186">
        <v>44896.422476851854</v>
      </c>
      <c r="R797" s="1">
        <v>4</v>
      </c>
      <c r="T797" s="1" t="s">
        <v>646</v>
      </c>
      <c r="U797" s="186">
        <v>44897.422476851854</v>
      </c>
      <c r="V797" s="1" t="s">
        <v>41</v>
      </c>
      <c r="W797" s="1" t="s">
        <v>49</v>
      </c>
      <c r="Z797" s="14"/>
      <c r="AA797" s="14"/>
      <c r="AC797" s="21"/>
      <c r="AE797" s="21"/>
    </row>
    <row r="798" spans="1:31" hidden="1">
      <c r="A798" s="1">
        <v>9125693</v>
      </c>
      <c r="B798" s="1" t="s">
        <v>101</v>
      </c>
      <c r="C798" t="s">
        <v>643</v>
      </c>
      <c r="D798" s="2">
        <v>220196378</v>
      </c>
      <c r="E798" s="2">
        <v>1943001400030</v>
      </c>
      <c r="F798" s="1" t="s">
        <v>647</v>
      </c>
      <c r="G798" s="1" t="s">
        <v>53</v>
      </c>
      <c r="H798" s="1" t="s">
        <v>264</v>
      </c>
      <c r="I798" s="1" t="s">
        <v>265</v>
      </c>
      <c r="J798" s="1" t="s">
        <v>56</v>
      </c>
      <c r="K798" t="s">
        <v>650</v>
      </c>
      <c r="M798" s="1" t="s">
        <v>58</v>
      </c>
      <c r="N798" s="1">
        <v>0</v>
      </c>
      <c r="O798" s="1" t="s">
        <v>105</v>
      </c>
      <c r="P798" s="186">
        <v>44896.421620370369</v>
      </c>
      <c r="R798" s="1">
        <v>4</v>
      </c>
      <c r="T798" s="1" t="s">
        <v>646</v>
      </c>
      <c r="U798" s="186">
        <v>44897.421620370369</v>
      </c>
      <c r="V798" s="1" t="s">
        <v>41</v>
      </c>
      <c r="W798" s="1" t="s">
        <v>49</v>
      </c>
      <c r="Z798" s="14"/>
      <c r="AA798" s="14"/>
      <c r="AC798" s="21"/>
      <c r="AE798" s="21"/>
    </row>
    <row r="799" spans="1:31" hidden="1">
      <c r="A799" s="1">
        <v>9125609</v>
      </c>
      <c r="B799" s="1" t="s">
        <v>101</v>
      </c>
      <c r="C799" t="s">
        <v>643</v>
      </c>
      <c r="D799" s="2">
        <v>220196332</v>
      </c>
      <c r="E799" s="2">
        <v>5898001400030</v>
      </c>
      <c r="F799" s="1" t="s">
        <v>647</v>
      </c>
      <c r="G799" s="1" t="s">
        <v>53</v>
      </c>
      <c r="H799" s="1" t="s">
        <v>365</v>
      </c>
      <c r="I799" s="1" t="s">
        <v>366</v>
      </c>
      <c r="J799" s="1" t="s">
        <v>164</v>
      </c>
      <c r="K799" t="s">
        <v>650</v>
      </c>
      <c r="M799" s="1" t="s">
        <v>58</v>
      </c>
      <c r="N799" s="1">
        <v>0</v>
      </c>
      <c r="O799" s="1" t="s">
        <v>105</v>
      </c>
      <c r="P799" s="186">
        <v>44896.417812500003</v>
      </c>
      <c r="R799" s="1">
        <v>4</v>
      </c>
      <c r="T799" s="1" t="s">
        <v>646</v>
      </c>
      <c r="U799" s="186">
        <v>44897.417812500003</v>
      </c>
      <c r="V799" s="1" t="s">
        <v>41</v>
      </c>
      <c r="W799" s="1" t="s">
        <v>49</v>
      </c>
      <c r="Z799" s="14"/>
      <c r="AA799" s="14"/>
      <c r="AC799" s="21"/>
      <c r="AE799" s="21"/>
    </row>
    <row r="800" spans="1:31" hidden="1">
      <c r="A800" s="1">
        <v>9125460</v>
      </c>
      <c r="B800" s="1" t="s">
        <v>101</v>
      </c>
      <c r="C800" t="s">
        <v>643</v>
      </c>
      <c r="D800" s="2">
        <v>220196217</v>
      </c>
      <c r="E800" s="2">
        <v>5742001400030</v>
      </c>
      <c r="F800" s="1" t="s">
        <v>647</v>
      </c>
      <c r="G800" s="1" t="s">
        <v>53</v>
      </c>
      <c r="H800" s="1" t="s">
        <v>430</v>
      </c>
      <c r="I800" s="1" t="s">
        <v>431</v>
      </c>
      <c r="J800" s="1" t="s">
        <v>79</v>
      </c>
      <c r="K800" t="s">
        <v>650</v>
      </c>
      <c r="M800" s="1" t="s">
        <v>58</v>
      </c>
      <c r="N800" s="1">
        <v>0</v>
      </c>
      <c r="O800" s="1" t="s">
        <v>105</v>
      </c>
      <c r="P800" s="186">
        <v>44896.409247685187</v>
      </c>
      <c r="R800" s="1">
        <v>4</v>
      </c>
      <c r="T800" s="1" t="s">
        <v>646</v>
      </c>
      <c r="U800" s="186">
        <v>44897.409247685187</v>
      </c>
      <c r="V800" s="1" t="s">
        <v>41</v>
      </c>
      <c r="W800" s="1" t="s">
        <v>49</v>
      </c>
      <c r="Z800" s="14"/>
      <c r="AA800" s="14"/>
      <c r="AC800" s="21"/>
      <c r="AE800" s="21"/>
    </row>
    <row r="801" spans="1:31" hidden="1">
      <c r="A801" s="1">
        <v>9125444</v>
      </c>
      <c r="B801" s="1" t="s">
        <v>101</v>
      </c>
      <c r="C801" t="s">
        <v>643</v>
      </c>
      <c r="D801" s="2">
        <v>220196207</v>
      </c>
      <c r="E801" s="2">
        <v>7651400030</v>
      </c>
      <c r="F801" s="1" t="s">
        <v>647</v>
      </c>
      <c r="G801" s="1" t="s">
        <v>53</v>
      </c>
      <c r="H801" s="1" t="s">
        <v>827</v>
      </c>
      <c r="I801" s="1" t="s">
        <v>828</v>
      </c>
      <c r="J801" s="1" t="s">
        <v>46</v>
      </c>
      <c r="K801" t="s">
        <v>650</v>
      </c>
      <c r="M801" s="1" t="s">
        <v>58</v>
      </c>
      <c r="N801" s="1">
        <v>0</v>
      </c>
      <c r="O801" s="1" t="s">
        <v>105</v>
      </c>
      <c r="P801" s="186">
        <v>44896.408101851855</v>
      </c>
      <c r="R801" s="1">
        <v>4</v>
      </c>
      <c r="T801" s="1" t="s">
        <v>646</v>
      </c>
      <c r="U801" s="186">
        <v>44897.408101851855</v>
      </c>
      <c r="V801" s="1" t="s">
        <v>41</v>
      </c>
      <c r="W801" s="1" t="s">
        <v>49</v>
      </c>
      <c r="Z801" s="14"/>
      <c r="AA801" s="14"/>
      <c r="AC801" s="21"/>
      <c r="AE801" s="21"/>
    </row>
    <row r="802" spans="1:31" hidden="1">
      <c r="A802" s="1">
        <v>9125404</v>
      </c>
      <c r="B802" s="1" t="s">
        <v>101</v>
      </c>
      <c r="C802" t="s">
        <v>643</v>
      </c>
      <c r="D802" s="2">
        <v>220196178</v>
      </c>
      <c r="E802" s="2">
        <v>4997001400030</v>
      </c>
      <c r="F802" s="1" t="s">
        <v>647</v>
      </c>
      <c r="G802" s="1" t="s">
        <v>53</v>
      </c>
      <c r="H802" s="1" t="s">
        <v>406</v>
      </c>
      <c r="I802" s="1" t="s">
        <v>407</v>
      </c>
      <c r="J802" s="1" t="s">
        <v>79</v>
      </c>
      <c r="K802" t="s">
        <v>650</v>
      </c>
      <c r="M802" s="1" t="s">
        <v>58</v>
      </c>
      <c r="N802" s="1">
        <v>0</v>
      </c>
      <c r="O802" s="1" t="s">
        <v>105</v>
      </c>
      <c r="P802" s="186">
        <v>44896.4062037037</v>
      </c>
      <c r="R802" s="1">
        <v>4</v>
      </c>
      <c r="T802" s="1" t="s">
        <v>646</v>
      </c>
      <c r="U802" s="186">
        <v>44897.4062037037</v>
      </c>
      <c r="V802" s="1" t="s">
        <v>41</v>
      </c>
      <c r="W802" s="1" t="s">
        <v>49</v>
      </c>
      <c r="Z802" s="14"/>
      <c r="AA802" s="14"/>
      <c r="AC802" s="21"/>
      <c r="AE802" s="21"/>
    </row>
    <row r="803" spans="1:31" hidden="1">
      <c r="A803" s="1">
        <v>9125383</v>
      </c>
      <c r="B803" s="1" t="s">
        <v>101</v>
      </c>
      <c r="C803" t="s">
        <v>643</v>
      </c>
      <c r="D803" s="2">
        <v>220196166</v>
      </c>
      <c r="E803" s="2">
        <v>1120011400030</v>
      </c>
      <c r="F803" s="1" t="s">
        <v>647</v>
      </c>
      <c r="G803" s="1" t="s">
        <v>53</v>
      </c>
      <c r="H803" s="1" t="s">
        <v>648</v>
      </c>
      <c r="I803" s="1" t="s">
        <v>649</v>
      </c>
      <c r="J803" s="1" t="s">
        <v>164</v>
      </c>
      <c r="K803" t="s">
        <v>650</v>
      </c>
      <c r="M803" s="1" t="s">
        <v>58</v>
      </c>
      <c r="N803" s="1">
        <v>0</v>
      </c>
      <c r="O803" s="1" t="s">
        <v>105</v>
      </c>
      <c r="P803" s="186">
        <v>44896.405462962961</v>
      </c>
      <c r="R803" s="1">
        <v>4</v>
      </c>
      <c r="T803" s="1" t="s">
        <v>646</v>
      </c>
      <c r="U803" s="186">
        <v>44897.405462962961</v>
      </c>
      <c r="V803" s="1" t="s">
        <v>41</v>
      </c>
      <c r="W803" s="1" t="s">
        <v>49</v>
      </c>
      <c r="Z803" s="14"/>
      <c r="AA803" s="14"/>
      <c r="AC803" s="21"/>
      <c r="AE803" s="21"/>
    </row>
    <row r="804" spans="1:31">
      <c r="A804" s="1">
        <v>9125336</v>
      </c>
      <c r="B804" s="1" t="s">
        <v>101</v>
      </c>
      <c r="C804" t="s">
        <v>643</v>
      </c>
      <c r="D804" s="2">
        <v>220195971</v>
      </c>
      <c r="E804" s="2">
        <v>68051400030</v>
      </c>
      <c r="F804" s="1" t="s">
        <v>647</v>
      </c>
      <c r="G804" s="1" t="s">
        <v>53</v>
      </c>
      <c r="H804" s="1" t="s">
        <v>1575</v>
      </c>
      <c r="I804" s="1" t="s">
        <v>1576</v>
      </c>
      <c r="J804" s="1" t="s">
        <v>211</v>
      </c>
      <c r="K804" t="s">
        <v>650</v>
      </c>
      <c r="M804" s="1" t="s">
        <v>58</v>
      </c>
      <c r="N804" s="1">
        <v>0</v>
      </c>
      <c r="O804" s="1" t="s">
        <v>105</v>
      </c>
      <c r="P804" s="186">
        <v>44896.403761574074</v>
      </c>
      <c r="R804" s="1">
        <v>4</v>
      </c>
      <c r="T804" s="1" t="s">
        <v>646</v>
      </c>
      <c r="U804" s="186">
        <v>44897.403761574074</v>
      </c>
      <c r="V804" s="1" t="s">
        <v>41</v>
      </c>
      <c r="W804" s="1" t="s">
        <v>49</v>
      </c>
      <c r="Z804" s="14"/>
      <c r="AA804" s="14"/>
      <c r="AC804" s="21"/>
      <c r="AE804" s="21"/>
    </row>
    <row r="805" spans="1:31" hidden="1">
      <c r="A805" s="1">
        <v>9125234</v>
      </c>
      <c r="B805" s="1" t="s">
        <v>101</v>
      </c>
      <c r="C805" t="s">
        <v>643</v>
      </c>
      <c r="D805" s="2">
        <v>220195649</v>
      </c>
      <c r="E805" s="2">
        <v>2855001400030</v>
      </c>
      <c r="F805" s="1" t="s">
        <v>647</v>
      </c>
      <c r="G805" s="1" t="s">
        <v>53</v>
      </c>
      <c r="H805" s="1" t="s">
        <v>249</v>
      </c>
      <c r="I805" s="1" t="s">
        <v>250</v>
      </c>
      <c r="J805" s="1" t="s">
        <v>56</v>
      </c>
      <c r="K805" t="s">
        <v>650</v>
      </c>
      <c r="M805" s="1" t="s">
        <v>58</v>
      </c>
      <c r="N805" s="1">
        <v>0</v>
      </c>
      <c r="O805" s="1" t="s">
        <v>105</v>
      </c>
      <c r="P805" s="186">
        <v>44896.397905092592</v>
      </c>
      <c r="R805" s="1">
        <v>4</v>
      </c>
      <c r="T805" s="1" t="s">
        <v>646</v>
      </c>
      <c r="U805" s="186">
        <v>44897.397905092592</v>
      </c>
      <c r="V805" s="1" t="s">
        <v>41</v>
      </c>
      <c r="W805" s="1" t="s">
        <v>49</v>
      </c>
      <c r="Z805" s="14"/>
      <c r="AA805" s="14"/>
      <c r="AC805" s="21"/>
      <c r="AE805" s="21"/>
    </row>
    <row r="806" spans="1:31" hidden="1">
      <c r="A806" s="1">
        <v>9125221</v>
      </c>
      <c r="B806" s="1" t="s">
        <v>101</v>
      </c>
      <c r="C806" t="s">
        <v>643</v>
      </c>
      <c r="D806" s="2">
        <v>220195642</v>
      </c>
      <c r="E806" s="2">
        <v>2830001400030</v>
      </c>
      <c r="F806" s="1" t="s">
        <v>647</v>
      </c>
      <c r="G806" s="1" t="s">
        <v>53</v>
      </c>
      <c r="H806" s="1" t="s">
        <v>448</v>
      </c>
      <c r="I806" s="1" t="s">
        <v>449</v>
      </c>
      <c r="J806" s="1" t="s">
        <v>33</v>
      </c>
      <c r="K806" t="s">
        <v>650</v>
      </c>
      <c r="M806" s="1" t="s">
        <v>58</v>
      </c>
      <c r="N806" s="1">
        <v>0</v>
      </c>
      <c r="O806" s="1" t="s">
        <v>105</v>
      </c>
      <c r="P806" s="186">
        <v>44896.39738425926</v>
      </c>
      <c r="R806" s="1">
        <v>4</v>
      </c>
      <c r="T806" s="1" t="s">
        <v>646</v>
      </c>
      <c r="U806" s="186">
        <v>44897.39738425926</v>
      </c>
      <c r="V806" s="1" t="s">
        <v>41</v>
      </c>
      <c r="W806" s="1" t="s">
        <v>42</v>
      </c>
      <c r="Z806" s="14"/>
      <c r="AA806" s="14"/>
      <c r="AC806" s="21"/>
      <c r="AE806" s="21"/>
    </row>
    <row r="807" spans="1:31" hidden="1">
      <c r="A807" s="1">
        <v>9125216</v>
      </c>
      <c r="B807" s="1" t="s">
        <v>101</v>
      </c>
      <c r="C807" t="s">
        <v>643</v>
      </c>
      <c r="D807" s="2">
        <v>220195637</v>
      </c>
      <c r="E807" s="2">
        <v>2802001400030</v>
      </c>
      <c r="F807" s="1" t="s">
        <v>647</v>
      </c>
      <c r="G807" s="1" t="s">
        <v>53</v>
      </c>
      <c r="H807" s="1" t="s">
        <v>388</v>
      </c>
      <c r="I807" s="1" t="s">
        <v>389</v>
      </c>
      <c r="J807" s="1" t="s">
        <v>46</v>
      </c>
      <c r="K807" t="s">
        <v>650</v>
      </c>
      <c r="M807" s="1" t="s">
        <v>58</v>
      </c>
      <c r="N807" s="1">
        <v>0</v>
      </c>
      <c r="O807" s="1" t="s">
        <v>105</v>
      </c>
      <c r="P807" s="186">
        <v>44896.397083333337</v>
      </c>
      <c r="R807" s="1">
        <v>4</v>
      </c>
      <c r="T807" s="1" t="s">
        <v>646</v>
      </c>
      <c r="U807" s="186">
        <v>44897.397083333337</v>
      </c>
      <c r="V807" s="1" t="s">
        <v>41</v>
      </c>
      <c r="W807" s="1" t="s">
        <v>49</v>
      </c>
      <c r="Z807" s="14"/>
      <c r="AA807" s="14"/>
      <c r="AC807" s="21"/>
      <c r="AE807" s="21"/>
    </row>
    <row r="808" spans="1:31" hidden="1">
      <c r="A808" s="1">
        <v>9125183</v>
      </c>
      <c r="B808" s="1" t="s">
        <v>101</v>
      </c>
      <c r="C808" t="s">
        <v>643</v>
      </c>
      <c r="D808" s="2">
        <v>220195609</v>
      </c>
      <c r="E808" s="2">
        <v>2693001400030</v>
      </c>
      <c r="F808" s="1" t="s">
        <v>647</v>
      </c>
      <c r="G808" s="1" t="s">
        <v>53</v>
      </c>
      <c r="H808" s="1" t="s">
        <v>253</v>
      </c>
      <c r="I808" s="1" t="s">
        <v>254</v>
      </c>
      <c r="J808" s="1" t="s">
        <v>56</v>
      </c>
      <c r="K808" t="s">
        <v>650</v>
      </c>
      <c r="M808" s="1" t="s">
        <v>58</v>
      </c>
      <c r="N808" s="1">
        <v>0</v>
      </c>
      <c r="O808" s="1" t="s">
        <v>105</v>
      </c>
      <c r="P808" s="186">
        <v>44896.395219907405</v>
      </c>
      <c r="R808" s="1">
        <v>4</v>
      </c>
      <c r="T808" s="1" t="s">
        <v>646</v>
      </c>
      <c r="U808" s="186">
        <v>44897.395219907405</v>
      </c>
      <c r="V808" s="1" t="s">
        <v>41</v>
      </c>
      <c r="W808" s="1" t="s">
        <v>49</v>
      </c>
      <c r="Z808" s="14"/>
      <c r="AA808" s="14"/>
      <c r="AC808" s="21"/>
      <c r="AE808" s="21"/>
    </row>
    <row r="809" spans="1:31" hidden="1">
      <c r="A809" s="1">
        <v>9125136</v>
      </c>
      <c r="B809" s="1" t="s">
        <v>101</v>
      </c>
      <c r="C809" t="s">
        <v>643</v>
      </c>
      <c r="D809" s="2">
        <v>220195574</v>
      </c>
      <c r="E809" s="2">
        <v>2564001400030</v>
      </c>
      <c r="F809" s="1" t="s">
        <v>647</v>
      </c>
      <c r="G809" s="1" t="s">
        <v>53</v>
      </c>
      <c r="H809" s="1" t="s">
        <v>255</v>
      </c>
      <c r="I809" s="1" t="s">
        <v>256</v>
      </c>
      <c r="J809" s="1" t="s">
        <v>164</v>
      </c>
      <c r="K809" t="s">
        <v>650</v>
      </c>
      <c r="M809" s="1" t="s">
        <v>58</v>
      </c>
      <c r="N809" s="1">
        <v>0</v>
      </c>
      <c r="O809" s="1" t="s">
        <v>105</v>
      </c>
      <c r="P809" s="186">
        <v>44896.393055555556</v>
      </c>
      <c r="R809" s="1">
        <v>4</v>
      </c>
      <c r="T809" s="1" t="s">
        <v>646</v>
      </c>
      <c r="U809" s="186">
        <v>44897.393055555556</v>
      </c>
      <c r="V809" s="1" t="s">
        <v>41</v>
      </c>
      <c r="W809" s="1" t="s">
        <v>49</v>
      </c>
      <c r="Z809" s="14"/>
      <c r="AA809" s="14"/>
      <c r="AC809" s="21"/>
      <c r="AE809" s="21"/>
    </row>
    <row r="810" spans="1:31" hidden="1">
      <c r="A810" s="1">
        <v>9125100</v>
      </c>
      <c r="B810" s="1" t="s">
        <v>101</v>
      </c>
      <c r="C810" t="s">
        <v>643</v>
      </c>
      <c r="D810" s="2">
        <v>220195812</v>
      </c>
      <c r="E810" s="2">
        <v>3504001400030</v>
      </c>
      <c r="F810" s="1" t="s">
        <v>647</v>
      </c>
      <c r="G810" s="1" t="s">
        <v>53</v>
      </c>
      <c r="H810" s="1" t="s">
        <v>585</v>
      </c>
      <c r="I810" s="1" t="s">
        <v>586</v>
      </c>
      <c r="J810" s="1" t="s">
        <v>46</v>
      </c>
      <c r="K810" t="s">
        <v>650</v>
      </c>
      <c r="M810" s="1" t="s">
        <v>58</v>
      </c>
      <c r="N810" s="1">
        <v>0</v>
      </c>
      <c r="O810" s="1" t="s">
        <v>105</v>
      </c>
      <c r="P810" s="186">
        <v>44896.390706018516</v>
      </c>
      <c r="R810" s="1">
        <v>4</v>
      </c>
      <c r="T810" s="1" t="s">
        <v>646</v>
      </c>
      <c r="U810" s="186">
        <v>44897.390717592592</v>
      </c>
      <c r="V810" s="1" t="s">
        <v>41</v>
      </c>
      <c r="W810" s="1" t="s">
        <v>49</v>
      </c>
      <c r="Z810" s="14"/>
      <c r="AA810" s="14"/>
      <c r="AC810" s="21"/>
      <c r="AE810" s="21"/>
    </row>
    <row r="811" spans="1:31" hidden="1">
      <c r="A811" s="1">
        <v>9125015</v>
      </c>
      <c r="B811" s="1" t="s">
        <v>101</v>
      </c>
      <c r="C811" t="s">
        <v>643</v>
      </c>
      <c r="D811" s="2">
        <v>220195498</v>
      </c>
      <c r="E811" s="2">
        <v>2326001400030</v>
      </c>
      <c r="F811" s="1" t="s">
        <v>647</v>
      </c>
      <c r="G811" s="1" t="s">
        <v>53</v>
      </c>
      <c r="H811" s="1" t="s">
        <v>191</v>
      </c>
      <c r="I811" s="1" t="s">
        <v>192</v>
      </c>
      <c r="J811" s="1" t="s">
        <v>46</v>
      </c>
      <c r="K811" t="s">
        <v>650</v>
      </c>
      <c r="M811" s="1" t="s">
        <v>58</v>
      </c>
      <c r="N811" s="1">
        <v>0</v>
      </c>
      <c r="O811" s="1" t="s">
        <v>105</v>
      </c>
      <c r="P811" s="186">
        <v>44896.387881944444</v>
      </c>
      <c r="R811" s="1">
        <v>4</v>
      </c>
      <c r="T811" s="1" t="s">
        <v>646</v>
      </c>
      <c r="U811" s="186">
        <v>44897.387881944444</v>
      </c>
      <c r="V811" s="1" t="s">
        <v>41</v>
      </c>
      <c r="W811" s="1" t="s">
        <v>49</v>
      </c>
      <c r="Z811" s="14"/>
      <c r="AA811" s="14"/>
      <c r="AC811" s="21"/>
      <c r="AE811" s="21"/>
    </row>
    <row r="812" spans="1:31">
      <c r="A812" s="1">
        <v>9124937</v>
      </c>
      <c r="B812" s="1" t="s">
        <v>101</v>
      </c>
      <c r="C812" t="s">
        <v>643</v>
      </c>
      <c r="D812" s="2">
        <v>220195443</v>
      </c>
      <c r="E812" s="2">
        <v>2125001400030</v>
      </c>
      <c r="F812" s="1" t="s">
        <v>647</v>
      </c>
      <c r="G812" s="1" t="s">
        <v>53</v>
      </c>
      <c r="H812" s="1" t="s">
        <v>1399</v>
      </c>
      <c r="I812" s="1" t="s">
        <v>1400</v>
      </c>
      <c r="J812" s="1" t="s">
        <v>211</v>
      </c>
      <c r="K812" t="s">
        <v>650</v>
      </c>
      <c r="M812" s="1" t="s">
        <v>58</v>
      </c>
      <c r="N812" s="1">
        <v>0</v>
      </c>
      <c r="O812" s="1" t="s">
        <v>105</v>
      </c>
      <c r="P812" s="186">
        <v>44896.383877314816</v>
      </c>
      <c r="R812" s="1">
        <v>4</v>
      </c>
      <c r="T812" s="1" t="s">
        <v>646</v>
      </c>
      <c r="U812" s="186">
        <v>44897.383877314816</v>
      </c>
      <c r="V812" s="1" t="s">
        <v>41</v>
      </c>
      <c r="W812" s="1" t="s">
        <v>49</v>
      </c>
      <c r="Z812" s="14"/>
      <c r="AA812" s="14"/>
      <c r="AC812" s="21"/>
      <c r="AE812" s="21"/>
    </row>
    <row r="813" spans="1:31" hidden="1">
      <c r="A813" s="1">
        <v>9124924</v>
      </c>
      <c r="B813" s="1" t="s">
        <v>101</v>
      </c>
      <c r="C813" t="s">
        <v>643</v>
      </c>
      <c r="D813" s="2">
        <v>220195430</v>
      </c>
      <c r="E813" s="2">
        <v>2081001400030</v>
      </c>
      <c r="F813" s="1" t="s">
        <v>647</v>
      </c>
      <c r="G813" s="1" t="s">
        <v>53</v>
      </c>
      <c r="H813" s="1" t="s">
        <v>590</v>
      </c>
      <c r="I813" s="1" t="s">
        <v>591</v>
      </c>
      <c r="J813" s="1" t="s">
        <v>261</v>
      </c>
      <c r="K813" t="s">
        <v>650</v>
      </c>
      <c r="M813" s="1" t="s">
        <v>58</v>
      </c>
      <c r="N813" s="1">
        <v>0</v>
      </c>
      <c r="O813" s="1" t="s">
        <v>105</v>
      </c>
      <c r="P813" s="186">
        <v>44896.383043981485</v>
      </c>
      <c r="R813" s="1">
        <v>4</v>
      </c>
      <c r="T813" s="1" t="s">
        <v>646</v>
      </c>
      <c r="U813" s="186">
        <v>44897.383043981485</v>
      </c>
      <c r="V813" s="1" t="s">
        <v>41</v>
      </c>
      <c r="W813" s="1" t="s">
        <v>49</v>
      </c>
      <c r="Z813" s="14"/>
      <c r="AA813" s="14"/>
      <c r="AC813" s="21"/>
      <c r="AE813" s="21"/>
    </row>
    <row r="814" spans="1:31" hidden="1">
      <c r="A814" s="1">
        <v>9124894</v>
      </c>
      <c r="B814" s="1" t="s">
        <v>101</v>
      </c>
      <c r="C814" t="s">
        <v>643</v>
      </c>
      <c r="D814" s="2">
        <v>220195405</v>
      </c>
      <c r="E814" s="2">
        <v>2018001400030</v>
      </c>
      <c r="F814" s="1" t="s">
        <v>647</v>
      </c>
      <c r="G814" s="1" t="s">
        <v>53</v>
      </c>
      <c r="H814" s="1" t="s">
        <v>598</v>
      </c>
      <c r="I814" s="1" t="s">
        <v>599</v>
      </c>
      <c r="J814" s="1" t="s">
        <v>79</v>
      </c>
      <c r="K814" t="s">
        <v>650</v>
      </c>
      <c r="M814" s="1" t="s">
        <v>58</v>
      </c>
      <c r="N814" s="1">
        <v>0</v>
      </c>
      <c r="O814" s="1" t="s">
        <v>105</v>
      </c>
      <c r="P814" s="186">
        <v>44896.381458333337</v>
      </c>
      <c r="R814" s="1">
        <v>4</v>
      </c>
      <c r="T814" s="1" t="s">
        <v>646</v>
      </c>
      <c r="U814" s="186">
        <v>44897.381458333337</v>
      </c>
      <c r="V814" s="1" t="s">
        <v>41</v>
      </c>
      <c r="W814" s="1" t="s">
        <v>49</v>
      </c>
      <c r="Z814" s="14"/>
      <c r="AA814" s="14"/>
      <c r="AC814" s="21"/>
      <c r="AE814" s="21"/>
    </row>
    <row r="815" spans="1:31" hidden="1">
      <c r="A815" s="1">
        <v>9124865</v>
      </c>
      <c r="B815" s="1" t="s">
        <v>101</v>
      </c>
      <c r="C815" t="s">
        <v>643</v>
      </c>
      <c r="D815" s="2">
        <v>220195224</v>
      </c>
      <c r="E815" s="2">
        <v>1363001400030</v>
      </c>
      <c r="F815" s="1" t="s">
        <v>647</v>
      </c>
      <c r="G815" s="1" t="s">
        <v>53</v>
      </c>
      <c r="H815" s="1" t="s">
        <v>108</v>
      </c>
      <c r="I815" s="1" t="s">
        <v>109</v>
      </c>
      <c r="J815" s="1" t="s">
        <v>110</v>
      </c>
      <c r="K815" t="s">
        <v>650</v>
      </c>
      <c r="M815" s="1" t="s">
        <v>58</v>
      </c>
      <c r="N815" s="1">
        <v>0</v>
      </c>
      <c r="O815" s="1" t="s">
        <v>105</v>
      </c>
      <c r="P815" s="186">
        <v>44896.381076388891</v>
      </c>
      <c r="R815" s="1">
        <v>4</v>
      </c>
      <c r="T815" s="1" t="s">
        <v>646</v>
      </c>
      <c r="U815" s="186">
        <v>44897.381076388891</v>
      </c>
      <c r="V815" s="1" t="s">
        <v>41</v>
      </c>
      <c r="W815" s="1" t="s">
        <v>49</v>
      </c>
      <c r="Z815" s="14"/>
      <c r="AA815" s="14"/>
      <c r="AC815" s="21"/>
      <c r="AE815" s="21"/>
    </row>
    <row r="816" spans="1:31" hidden="1">
      <c r="A816" s="1">
        <v>9124835</v>
      </c>
      <c r="B816" s="1" t="s">
        <v>101</v>
      </c>
      <c r="C816" t="s">
        <v>643</v>
      </c>
      <c r="D816" s="2">
        <v>220195278</v>
      </c>
      <c r="E816" s="2">
        <v>1509001400030</v>
      </c>
      <c r="F816" s="1" t="s">
        <v>647</v>
      </c>
      <c r="G816" s="1" t="s">
        <v>53</v>
      </c>
      <c r="H816" s="1" t="s">
        <v>731</v>
      </c>
      <c r="I816" s="1" t="s">
        <v>732</v>
      </c>
      <c r="J816" s="1" t="s">
        <v>46</v>
      </c>
      <c r="K816" t="s">
        <v>650</v>
      </c>
      <c r="M816" s="1" t="s">
        <v>58</v>
      </c>
      <c r="N816" s="1">
        <v>0</v>
      </c>
      <c r="O816" s="1" t="s">
        <v>105</v>
      </c>
      <c r="P816" s="186">
        <v>44896.380069444444</v>
      </c>
      <c r="R816" s="1">
        <v>4</v>
      </c>
      <c r="T816" s="1" t="s">
        <v>646</v>
      </c>
      <c r="U816" s="186">
        <v>44897.380069444444</v>
      </c>
      <c r="V816" s="1" t="s">
        <v>41</v>
      </c>
      <c r="W816" s="1" t="s">
        <v>49</v>
      </c>
      <c r="Z816" s="14"/>
      <c r="AA816" s="14"/>
      <c r="AC816" s="21"/>
      <c r="AE816" s="21"/>
    </row>
    <row r="817" spans="1:31" hidden="1">
      <c r="A817" s="1">
        <v>9124788</v>
      </c>
      <c r="B817" s="1" t="s">
        <v>101</v>
      </c>
      <c r="C817" t="s">
        <v>643</v>
      </c>
      <c r="D817" s="2">
        <v>220195222</v>
      </c>
      <c r="E817" s="2">
        <v>1360001400030</v>
      </c>
      <c r="F817" s="1" t="s">
        <v>647</v>
      </c>
      <c r="G817" s="1" t="s">
        <v>53</v>
      </c>
      <c r="H817" s="1" t="s">
        <v>303</v>
      </c>
      <c r="I817" s="1" t="s">
        <v>304</v>
      </c>
      <c r="J817" s="1" t="s">
        <v>261</v>
      </c>
      <c r="K817" t="s">
        <v>650</v>
      </c>
      <c r="M817" s="1" t="s">
        <v>58</v>
      </c>
      <c r="N817" s="1">
        <v>0</v>
      </c>
      <c r="O817" s="1" t="s">
        <v>105</v>
      </c>
      <c r="P817" s="186">
        <v>44896.378483796296</v>
      </c>
      <c r="R817" s="1">
        <v>4</v>
      </c>
      <c r="T817" s="1" t="s">
        <v>646</v>
      </c>
      <c r="U817" s="186">
        <v>44897.378483796296</v>
      </c>
      <c r="V817" s="1" t="s">
        <v>41</v>
      </c>
      <c r="W817" s="1" t="s">
        <v>49</v>
      </c>
      <c r="Z817" s="14"/>
      <c r="AA817" s="14"/>
      <c r="AC817" s="21"/>
      <c r="AE817" s="21"/>
    </row>
    <row r="818" spans="1:31" hidden="1">
      <c r="A818" s="1">
        <v>9124763</v>
      </c>
      <c r="B818" s="1" t="s">
        <v>101</v>
      </c>
      <c r="C818" t="s">
        <v>643</v>
      </c>
      <c r="D818" s="2">
        <v>220195221</v>
      </c>
      <c r="E818" s="2">
        <v>1359001400030</v>
      </c>
      <c r="F818" s="1" t="s">
        <v>647</v>
      </c>
      <c r="G818" s="1" t="s">
        <v>53</v>
      </c>
      <c r="H818" s="1" t="s">
        <v>270</v>
      </c>
      <c r="I818" s="1" t="s">
        <v>271</v>
      </c>
      <c r="J818" s="1" t="s">
        <v>141</v>
      </c>
      <c r="K818" t="s">
        <v>650</v>
      </c>
      <c r="M818" s="1" t="s">
        <v>58</v>
      </c>
      <c r="N818" s="1">
        <v>0</v>
      </c>
      <c r="O818" s="1" t="s">
        <v>105</v>
      </c>
      <c r="P818" s="186">
        <v>44896.37703703704</v>
      </c>
      <c r="R818" s="1">
        <v>4</v>
      </c>
      <c r="T818" s="1" t="s">
        <v>646</v>
      </c>
      <c r="U818" s="186">
        <v>44897.37703703704</v>
      </c>
      <c r="V818" s="1" t="s">
        <v>41</v>
      </c>
      <c r="W818" s="1" t="s">
        <v>49</v>
      </c>
      <c r="Z818" s="14"/>
      <c r="AA818" s="14"/>
      <c r="AC818" s="21"/>
      <c r="AE818" s="21"/>
    </row>
    <row r="819" spans="1:31">
      <c r="A819" s="1">
        <v>9124743</v>
      </c>
      <c r="B819" s="1" t="s">
        <v>101</v>
      </c>
      <c r="C819" t="s">
        <v>643</v>
      </c>
      <c r="D819" s="2">
        <v>220195223</v>
      </c>
      <c r="E819" s="2">
        <v>1362001400030</v>
      </c>
      <c r="F819" s="1" t="s">
        <v>647</v>
      </c>
      <c r="G819" s="1" t="s">
        <v>53</v>
      </c>
      <c r="H819" s="1" t="s">
        <v>268</v>
      </c>
      <c r="I819" s="1" t="s">
        <v>269</v>
      </c>
      <c r="J819" s="1" t="s">
        <v>90</v>
      </c>
      <c r="K819" t="s">
        <v>650</v>
      </c>
      <c r="M819" s="1" t="s">
        <v>58</v>
      </c>
      <c r="N819" s="1">
        <v>0</v>
      </c>
      <c r="O819" s="1" t="s">
        <v>105</v>
      </c>
      <c r="P819" s="186">
        <v>44896.376018518517</v>
      </c>
      <c r="R819" s="1">
        <v>4</v>
      </c>
      <c r="T819" s="1" t="s">
        <v>646</v>
      </c>
      <c r="U819" s="186">
        <v>44897.376018518517</v>
      </c>
      <c r="V819" s="1" t="s">
        <v>41</v>
      </c>
      <c r="W819" s="1" t="s">
        <v>49</v>
      </c>
      <c r="Z819" s="14"/>
      <c r="AA819" s="14"/>
      <c r="AC819" s="21"/>
      <c r="AE819" s="21"/>
    </row>
    <row r="820" spans="1:31" hidden="1">
      <c r="A820" s="1">
        <v>9124708</v>
      </c>
      <c r="B820" s="1" t="s">
        <v>101</v>
      </c>
      <c r="C820" t="s">
        <v>643</v>
      </c>
      <c r="D820" s="2">
        <v>220195015</v>
      </c>
      <c r="E820" s="2">
        <v>934001400030</v>
      </c>
      <c r="F820" s="1" t="s">
        <v>647</v>
      </c>
      <c r="G820" s="1" t="s">
        <v>53</v>
      </c>
      <c r="H820" s="1" t="s">
        <v>428</v>
      </c>
      <c r="I820" s="1" t="s">
        <v>429</v>
      </c>
      <c r="J820" s="1" t="s">
        <v>46</v>
      </c>
      <c r="K820" t="s">
        <v>650</v>
      </c>
      <c r="M820" s="1" t="s">
        <v>58</v>
      </c>
      <c r="N820" s="1">
        <v>0</v>
      </c>
      <c r="O820" s="1" t="s">
        <v>105</v>
      </c>
      <c r="P820" s="186">
        <v>44896.374155092592</v>
      </c>
      <c r="R820" s="1">
        <v>4</v>
      </c>
      <c r="T820" s="1" t="s">
        <v>646</v>
      </c>
      <c r="U820" s="186">
        <v>44897.374155092592</v>
      </c>
      <c r="V820" s="1" t="s">
        <v>41</v>
      </c>
      <c r="W820" s="1" t="s">
        <v>49</v>
      </c>
      <c r="Z820" s="14"/>
      <c r="AA820" s="14"/>
      <c r="AC820" s="21"/>
      <c r="AE820" s="21"/>
    </row>
    <row r="821" spans="1:31">
      <c r="A821" s="1">
        <v>9124706</v>
      </c>
      <c r="B821" s="1" t="s">
        <v>101</v>
      </c>
      <c r="C821" t="s">
        <v>643</v>
      </c>
      <c r="D821" s="2">
        <v>220195077</v>
      </c>
      <c r="E821" s="2">
        <v>1069001400030</v>
      </c>
      <c r="F821" s="1" t="s">
        <v>647</v>
      </c>
      <c r="G821" s="1" t="s">
        <v>53</v>
      </c>
      <c r="H821" s="1" t="s">
        <v>353</v>
      </c>
      <c r="I821" s="1" t="s">
        <v>354</v>
      </c>
      <c r="J821" s="1" t="s">
        <v>211</v>
      </c>
      <c r="K821" t="s">
        <v>650</v>
      </c>
      <c r="M821" s="1" t="s">
        <v>58</v>
      </c>
      <c r="N821" s="1">
        <v>0</v>
      </c>
      <c r="O821" s="1" t="s">
        <v>105</v>
      </c>
      <c r="P821" s="186">
        <v>44896.374039351853</v>
      </c>
      <c r="R821" s="1">
        <v>4</v>
      </c>
      <c r="T821" s="1" t="s">
        <v>646</v>
      </c>
      <c r="U821" s="186">
        <v>44897.374039351853</v>
      </c>
      <c r="V821" s="1" t="s">
        <v>41</v>
      </c>
      <c r="W821" s="1" t="s">
        <v>49</v>
      </c>
      <c r="Z821" s="14"/>
      <c r="AA821" s="14"/>
      <c r="AC821" s="21"/>
      <c r="AE821" s="21"/>
    </row>
    <row r="822" spans="1:31" hidden="1">
      <c r="A822" s="1">
        <v>9124678</v>
      </c>
      <c r="B822" s="1" t="s">
        <v>101</v>
      </c>
      <c r="C822" t="s">
        <v>643</v>
      </c>
      <c r="D822" s="2">
        <v>220195052</v>
      </c>
      <c r="E822" s="2">
        <v>1012001400030</v>
      </c>
      <c r="F822" s="1" t="s">
        <v>647</v>
      </c>
      <c r="G822" s="1" t="s">
        <v>53</v>
      </c>
      <c r="H822" s="1" t="s">
        <v>172</v>
      </c>
      <c r="I822" s="1" t="s">
        <v>173</v>
      </c>
      <c r="J822" s="1" t="s">
        <v>164</v>
      </c>
      <c r="K822" t="s">
        <v>650</v>
      </c>
      <c r="M822" s="1" t="s">
        <v>58</v>
      </c>
      <c r="N822" s="1">
        <v>0</v>
      </c>
      <c r="O822" s="1" t="s">
        <v>105</v>
      </c>
      <c r="P822" s="186">
        <v>44896.372511574074</v>
      </c>
      <c r="R822" s="1">
        <v>4</v>
      </c>
      <c r="T822" s="1" t="s">
        <v>646</v>
      </c>
      <c r="U822" s="186">
        <v>44897.372511574074</v>
      </c>
      <c r="V822" s="1" t="s">
        <v>41</v>
      </c>
      <c r="W822" s="1" t="s">
        <v>49</v>
      </c>
      <c r="Z822" s="14"/>
      <c r="AA822" s="14"/>
      <c r="AC822" s="21"/>
      <c r="AE822" s="21"/>
    </row>
    <row r="823" spans="1:31">
      <c r="A823" s="1">
        <v>9124643</v>
      </c>
      <c r="B823" s="1" t="s">
        <v>101</v>
      </c>
      <c r="C823" t="s">
        <v>643</v>
      </c>
      <c r="D823" s="2">
        <v>220195037</v>
      </c>
      <c r="E823" s="2">
        <v>981001400030</v>
      </c>
      <c r="F823" s="1" t="s">
        <v>647</v>
      </c>
      <c r="G823" s="1" t="s">
        <v>53</v>
      </c>
      <c r="H823" s="1" t="s">
        <v>410</v>
      </c>
      <c r="I823" s="1" t="s">
        <v>411</v>
      </c>
      <c r="J823" s="1" t="s">
        <v>85</v>
      </c>
      <c r="K823" t="s">
        <v>650</v>
      </c>
      <c r="M823" s="1" t="s">
        <v>58</v>
      </c>
      <c r="N823" s="1">
        <v>0</v>
      </c>
      <c r="O823" s="1" t="s">
        <v>105</v>
      </c>
      <c r="P823" s="186">
        <v>44896.371180555558</v>
      </c>
      <c r="R823" s="1">
        <v>4</v>
      </c>
      <c r="T823" s="1" t="s">
        <v>646</v>
      </c>
      <c r="U823" s="186">
        <v>44897.371180555558</v>
      </c>
      <c r="V823" s="1" t="s">
        <v>41</v>
      </c>
      <c r="W823" s="1" t="s">
        <v>49</v>
      </c>
      <c r="Z823" s="14"/>
      <c r="AA823" s="14"/>
      <c r="AC823" s="21"/>
      <c r="AE823" s="21"/>
    </row>
    <row r="824" spans="1:31" hidden="1">
      <c r="A824" s="1">
        <v>9124615</v>
      </c>
      <c r="B824" s="1" t="s">
        <v>101</v>
      </c>
      <c r="C824" t="s">
        <v>643</v>
      </c>
      <c r="D824" s="2">
        <v>220195070</v>
      </c>
      <c r="E824" s="2">
        <v>1049001400030</v>
      </c>
      <c r="F824" s="1" t="s">
        <v>647</v>
      </c>
      <c r="G824" s="1" t="s">
        <v>53</v>
      </c>
      <c r="H824" s="1" t="s">
        <v>169</v>
      </c>
      <c r="I824" s="1" t="s">
        <v>170</v>
      </c>
      <c r="J824" s="1" t="s">
        <v>164</v>
      </c>
      <c r="K824" t="s">
        <v>650</v>
      </c>
      <c r="M824" s="1" t="s">
        <v>58</v>
      </c>
      <c r="N824" s="1">
        <v>0</v>
      </c>
      <c r="O824" s="1" t="s">
        <v>105</v>
      </c>
      <c r="P824" s="186">
        <v>44896.369490740741</v>
      </c>
      <c r="R824" s="1">
        <v>4</v>
      </c>
      <c r="T824" s="1" t="s">
        <v>646</v>
      </c>
      <c r="U824" s="186">
        <v>44897.369490740741</v>
      </c>
      <c r="V824" s="1" t="s">
        <v>41</v>
      </c>
      <c r="W824" s="1" t="s">
        <v>49</v>
      </c>
      <c r="Z824" s="14"/>
      <c r="AA824" s="14"/>
      <c r="AC824" s="21"/>
      <c r="AE824" s="21"/>
    </row>
    <row r="825" spans="1:31" hidden="1">
      <c r="A825" s="1">
        <v>9124603</v>
      </c>
      <c r="B825" s="1" t="s">
        <v>101</v>
      </c>
      <c r="C825" t="s">
        <v>643</v>
      </c>
      <c r="D825" s="2">
        <v>220195105</v>
      </c>
      <c r="E825" s="2">
        <v>1120001400030</v>
      </c>
      <c r="F825" s="1" t="s">
        <v>647</v>
      </c>
      <c r="G825" s="1" t="s">
        <v>53</v>
      </c>
      <c r="H825" s="1" t="s">
        <v>181</v>
      </c>
      <c r="I825" s="1" t="s">
        <v>182</v>
      </c>
      <c r="J825" s="1" t="s">
        <v>164</v>
      </c>
      <c r="K825" t="s">
        <v>650</v>
      </c>
      <c r="M825" s="1" t="s">
        <v>58</v>
      </c>
      <c r="N825" s="1">
        <v>0</v>
      </c>
      <c r="O825" s="1" t="s">
        <v>105</v>
      </c>
      <c r="P825" s="186">
        <v>44896.368831018517</v>
      </c>
      <c r="R825" s="1">
        <v>4</v>
      </c>
      <c r="T825" s="1" t="s">
        <v>646</v>
      </c>
      <c r="U825" s="186">
        <v>44897.368842592594</v>
      </c>
      <c r="V825" s="1" t="s">
        <v>41</v>
      </c>
      <c r="W825" s="1" t="s">
        <v>49</v>
      </c>
      <c r="Z825" s="14"/>
      <c r="AA825" s="14"/>
      <c r="AC825" s="21"/>
      <c r="AE825" s="21"/>
    </row>
    <row r="826" spans="1:31" hidden="1">
      <c r="A826" s="1">
        <v>9124567</v>
      </c>
      <c r="B826" s="1" t="s">
        <v>101</v>
      </c>
      <c r="C826" t="s">
        <v>643</v>
      </c>
      <c r="D826" s="2">
        <v>220194886</v>
      </c>
      <c r="E826" s="2">
        <v>710001400030</v>
      </c>
      <c r="F826" s="1" t="s">
        <v>647</v>
      </c>
      <c r="G826" s="1" t="s">
        <v>53</v>
      </c>
      <c r="H826" s="1" t="s">
        <v>390</v>
      </c>
      <c r="I826" s="1" t="s">
        <v>391</v>
      </c>
      <c r="J826" s="1" t="s">
        <v>56</v>
      </c>
      <c r="K826" t="s">
        <v>650</v>
      </c>
      <c r="M826" s="1" t="s">
        <v>58</v>
      </c>
      <c r="N826" s="1">
        <v>0</v>
      </c>
      <c r="O826" s="1" t="s">
        <v>105</v>
      </c>
      <c r="P826" s="186">
        <v>44896.367569444446</v>
      </c>
      <c r="R826" s="1">
        <v>4</v>
      </c>
      <c r="T826" s="1" t="s">
        <v>646</v>
      </c>
      <c r="U826" s="186">
        <v>44897.367569444446</v>
      </c>
      <c r="V826" s="1" t="s">
        <v>41</v>
      </c>
      <c r="W826" s="1" t="s">
        <v>49</v>
      </c>
      <c r="Z826" s="14"/>
      <c r="AA826" s="14"/>
      <c r="AC826" s="21"/>
      <c r="AE826" s="21"/>
    </row>
    <row r="827" spans="1:31" hidden="1">
      <c r="A827" s="1">
        <v>9124538</v>
      </c>
      <c r="B827" s="1" t="s">
        <v>101</v>
      </c>
      <c r="C827" t="s">
        <v>643</v>
      </c>
      <c r="D827" s="2">
        <v>220194887</v>
      </c>
      <c r="E827" s="2">
        <v>714001400030</v>
      </c>
      <c r="F827" s="1" t="s">
        <v>647</v>
      </c>
      <c r="G827" s="1" t="s">
        <v>53</v>
      </c>
      <c r="H827" s="1" t="s">
        <v>377</v>
      </c>
      <c r="I827" s="1" t="s">
        <v>378</v>
      </c>
      <c r="J827" s="1" t="s">
        <v>46</v>
      </c>
      <c r="K827" t="s">
        <v>650</v>
      </c>
      <c r="M827" s="1" t="s">
        <v>58</v>
      </c>
      <c r="N827" s="1">
        <v>0</v>
      </c>
      <c r="O827" s="1" t="s">
        <v>105</v>
      </c>
      <c r="P827" s="186">
        <v>44896.365960648145</v>
      </c>
      <c r="R827" s="1">
        <v>4</v>
      </c>
      <c r="T827" s="1" t="s">
        <v>646</v>
      </c>
      <c r="U827" s="186">
        <v>44897.365960648145</v>
      </c>
      <c r="V827" s="1" t="s">
        <v>41</v>
      </c>
      <c r="W827" s="1" t="s">
        <v>49</v>
      </c>
      <c r="Z827" s="14"/>
      <c r="AA827" s="14"/>
      <c r="AC827" s="21"/>
      <c r="AE827" s="21"/>
    </row>
    <row r="828" spans="1:31" hidden="1">
      <c r="A828" s="1">
        <v>9124463</v>
      </c>
      <c r="B828" s="1" t="s">
        <v>101</v>
      </c>
      <c r="C828" t="s">
        <v>643</v>
      </c>
      <c r="D828" s="2">
        <v>220194861</v>
      </c>
      <c r="E828" s="2">
        <v>673001400030</v>
      </c>
      <c r="F828" s="1" t="s">
        <v>647</v>
      </c>
      <c r="G828" s="1" t="s">
        <v>53</v>
      </c>
      <c r="H828" s="1" t="s">
        <v>581</v>
      </c>
      <c r="I828" s="1" t="s">
        <v>582</v>
      </c>
      <c r="J828" s="1" t="s">
        <v>110</v>
      </c>
      <c r="K828" t="s">
        <v>650</v>
      </c>
      <c r="M828" s="1" t="s">
        <v>58</v>
      </c>
      <c r="N828" s="1">
        <v>0</v>
      </c>
      <c r="O828" s="1" t="s">
        <v>105</v>
      </c>
      <c r="P828" s="186">
        <v>44896.362638888888</v>
      </c>
      <c r="R828" s="1">
        <v>4</v>
      </c>
      <c r="T828" s="1" t="s">
        <v>646</v>
      </c>
      <c r="U828" s="186">
        <v>44897.362638888888</v>
      </c>
      <c r="V828" s="1" t="s">
        <v>41</v>
      </c>
      <c r="W828" s="1" t="s">
        <v>49</v>
      </c>
      <c r="Z828" s="14"/>
      <c r="AA828" s="14"/>
      <c r="AC828" s="21"/>
      <c r="AE828" s="21"/>
    </row>
    <row r="829" spans="1:31" hidden="1">
      <c r="A829" s="1">
        <v>9124142</v>
      </c>
      <c r="B829" s="1" t="s">
        <v>101</v>
      </c>
      <c r="C829" t="s">
        <v>643</v>
      </c>
      <c r="D829" s="2">
        <v>220194221</v>
      </c>
      <c r="E829" s="2">
        <v>5742001400010</v>
      </c>
      <c r="F829" s="1" t="s">
        <v>936</v>
      </c>
      <c r="G829" s="1" t="s">
        <v>53</v>
      </c>
      <c r="H829" s="1" t="s">
        <v>430</v>
      </c>
      <c r="I829" s="1" t="s">
        <v>431</v>
      </c>
      <c r="J829" s="1" t="s">
        <v>79</v>
      </c>
      <c r="K829" t="s">
        <v>937</v>
      </c>
      <c r="M829" s="1" t="s">
        <v>58</v>
      </c>
      <c r="N829" s="1">
        <v>0</v>
      </c>
      <c r="O829" s="1" t="s">
        <v>105</v>
      </c>
      <c r="P829" s="186">
        <v>44896.342835648145</v>
      </c>
      <c r="R829" s="1">
        <v>3</v>
      </c>
      <c r="T829" s="1" t="s">
        <v>646</v>
      </c>
      <c r="U829" s="186">
        <v>44897.342847222222</v>
      </c>
      <c r="V829" s="1" t="s">
        <v>41</v>
      </c>
      <c r="W829" s="1" t="s">
        <v>49</v>
      </c>
      <c r="Z829" s="14"/>
      <c r="AA829" s="14"/>
      <c r="AC829" s="21"/>
      <c r="AE829" s="21"/>
    </row>
    <row r="830" spans="1:31" hidden="1">
      <c r="A830" s="1">
        <v>9124126</v>
      </c>
      <c r="B830" s="1" t="s">
        <v>101</v>
      </c>
      <c r="C830" t="s">
        <v>643</v>
      </c>
      <c r="D830" s="2">
        <v>220194213</v>
      </c>
      <c r="E830" s="2">
        <v>7651400010</v>
      </c>
      <c r="F830" s="1" t="s">
        <v>936</v>
      </c>
      <c r="G830" s="1" t="s">
        <v>53</v>
      </c>
      <c r="H830" s="1" t="s">
        <v>827</v>
      </c>
      <c r="I830" s="1" t="s">
        <v>828</v>
      </c>
      <c r="J830" s="1" t="s">
        <v>46</v>
      </c>
      <c r="K830" t="s">
        <v>937</v>
      </c>
      <c r="M830" s="1" t="s">
        <v>58</v>
      </c>
      <c r="N830" s="1">
        <v>0</v>
      </c>
      <c r="O830" s="1" t="s">
        <v>105</v>
      </c>
      <c r="P830" s="186">
        <v>44896.342395833337</v>
      </c>
      <c r="R830" s="1">
        <v>3</v>
      </c>
      <c r="T830" s="1" t="s">
        <v>646</v>
      </c>
      <c r="U830" s="186">
        <v>44897.342395833337</v>
      </c>
      <c r="V830" s="1" t="s">
        <v>41</v>
      </c>
      <c r="W830" s="1" t="s">
        <v>49</v>
      </c>
      <c r="Z830" s="14"/>
      <c r="AA830" s="14"/>
      <c r="AC830" s="21"/>
      <c r="AE830" s="21"/>
    </row>
    <row r="831" spans="1:31" hidden="1">
      <c r="A831" s="1">
        <v>9123907</v>
      </c>
      <c r="B831" s="1" t="s">
        <v>101</v>
      </c>
      <c r="C831" t="s">
        <v>643</v>
      </c>
      <c r="D831" s="2">
        <v>220193815</v>
      </c>
      <c r="E831" s="2">
        <v>3243001400010</v>
      </c>
      <c r="F831" s="1" t="s">
        <v>936</v>
      </c>
      <c r="G831" s="1" t="s">
        <v>53</v>
      </c>
      <c r="H831" s="1" t="s">
        <v>282</v>
      </c>
      <c r="I831" s="1" t="s">
        <v>283</v>
      </c>
      <c r="J831" s="1" t="s">
        <v>46</v>
      </c>
      <c r="K831" t="s">
        <v>937</v>
      </c>
      <c r="M831" s="1" t="s">
        <v>58</v>
      </c>
      <c r="N831" s="1">
        <v>0</v>
      </c>
      <c r="O831" s="1" t="s">
        <v>105</v>
      </c>
      <c r="P831" s="186">
        <v>44896.331388888888</v>
      </c>
      <c r="R831" s="1">
        <v>3</v>
      </c>
      <c r="T831" s="1" t="s">
        <v>646</v>
      </c>
      <c r="U831" s="186">
        <v>44897.331388888888</v>
      </c>
      <c r="V831" s="1" t="s">
        <v>41</v>
      </c>
      <c r="W831" s="1" t="s">
        <v>49</v>
      </c>
      <c r="Z831" s="14"/>
      <c r="AA831" s="14"/>
      <c r="AC831" s="21"/>
      <c r="AE831" s="21"/>
    </row>
    <row r="832" spans="1:31" hidden="1">
      <c r="A832" s="1">
        <v>9123817</v>
      </c>
      <c r="B832" s="1" t="s">
        <v>101</v>
      </c>
      <c r="C832" t="s">
        <v>643</v>
      </c>
      <c r="D832" s="2">
        <v>220193863</v>
      </c>
      <c r="E832" s="2">
        <v>3504001400010</v>
      </c>
      <c r="F832" s="1" t="s">
        <v>936</v>
      </c>
      <c r="G832" s="1" t="s">
        <v>53</v>
      </c>
      <c r="H832" s="1" t="s">
        <v>585</v>
      </c>
      <c r="I832" s="1" t="s">
        <v>586</v>
      </c>
      <c r="J832" s="1" t="s">
        <v>46</v>
      </c>
      <c r="K832" t="s">
        <v>937</v>
      </c>
      <c r="M832" s="1" t="s">
        <v>58</v>
      </c>
      <c r="N832" s="1">
        <v>0</v>
      </c>
      <c r="O832" s="1" t="s">
        <v>105</v>
      </c>
      <c r="P832" s="186">
        <v>44896.327175925922</v>
      </c>
      <c r="R832" s="1">
        <v>3</v>
      </c>
      <c r="T832" s="1" t="s">
        <v>646</v>
      </c>
      <c r="U832" s="186">
        <v>44897.327175925922</v>
      </c>
      <c r="V832" s="1" t="s">
        <v>41</v>
      </c>
      <c r="W832" s="1" t="s">
        <v>49</v>
      </c>
      <c r="Z832" s="14"/>
      <c r="AA832" s="14"/>
      <c r="AC832" s="21"/>
      <c r="AE832" s="21"/>
    </row>
    <row r="833" spans="1:31" hidden="1">
      <c r="A833" s="1">
        <v>9123799</v>
      </c>
      <c r="B833" s="1" t="s">
        <v>101</v>
      </c>
      <c r="C833" t="s">
        <v>643</v>
      </c>
      <c r="D833" s="2">
        <v>220193693</v>
      </c>
      <c r="E833" s="2">
        <v>2693001400010</v>
      </c>
      <c r="F833" s="1" t="s">
        <v>936</v>
      </c>
      <c r="G833" s="1" t="s">
        <v>53</v>
      </c>
      <c r="H833" s="1" t="s">
        <v>253</v>
      </c>
      <c r="I833" s="1" t="s">
        <v>254</v>
      </c>
      <c r="J833" s="1" t="s">
        <v>56</v>
      </c>
      <c r="K833" t="s">
        <v>937</v>
      </c>
      <c r="M833" s="1" t="s">
        <v>58</v>
      </c>
      <c r="N833" s="1">
        <v>0</v>
      </c>
      <c r="O833" s="1" t="s">
        <v>105</v>
      </c>
      <c r="P833" s="186">
        <v>44896.325995370367</v>
      </c>
      <c r="R833" s="1">
        <v>3</v>
      </c>
      <c r="T833" s="1" t="s">
        <v>646</v>
      </c>
      <c r="U833" s="186">
        <v>44897.326006944444</v>
      </c>
      <c r="V833" s="1" t="s">
        <v>41</v>
      </c>
      <c r="W833" s="1" t="s">
        <v>49</v>
      </c>
      <c r="Z833" s="14"/>
      <c r="AA833" s="14"/>
      <c r="AC833" s="21"/>
      <c r="AE833" s="21"/>
    </row>
    <row r="834" spans="1:31" hidden="1">
      <c r="A834" s="1">
        <v>9123759</v>
      </c>
      <c r="B834" s="1" t="s">
        <v>101</v>
      </c>
      <c r="C834" t="s">
        <v>643</v>
      </c>
      <c r="D834" s="2">
        <v>220193661</v>
      </c>
      <c r="E834" s="2">
        <v>2564001400010</v>
      </c>
      <c r="F834" s="1" t="s">
        <v>936</v>
      </c>
      <c r="G834" s="1" t="s">
        <v>53</v>
      </c>
      <c r="H834" s="1" t="s">
        <v>255</v>
      </c>
      <c r="I834" s="1" t="s">
        <v>256</v>
      </c>
      <c r="J834" s="1" t="s">
        <v>164</v>
      </c>
      <c r="K834" t="s">
        <v>937</v>
      </c>
      <c r="M834" s="1" t="s">
        <v>58</v>
      </c>
      <c r="N834" s="1">
        <v>0</v>
      </c>
      <c r="O834" s="1" t="s">
        <v>105</v>
      </c>
      <c r="P834" s="186">
        <v>44896.323981481481</v>
      </c>
      <c r="R834" s="1">
        <v>3</v>
      </c>
      <c r="T834" s="1" t="s">
        <v>646</v>
      </c>
      <c r="U834" s="186">
        <v>44897.323981481481</v>
      </c>
      <c r="V834" s="1" t="s">
        <v>41</v>
      </c>
      <c r="W834" s="1" t="s">
        <v>49</v>
      </c>
      <c r="Z834" s="14"/>
      <c r="AA834" s="14"/>
      <c r="AC834" s="21"/>
      <c r="AE834" s="21"/>
    </row>
    <row r="835" spans="1:31" hidden="1">
      <c r="A835" s="1">
        <v>9123743</v>
      </c>
      <c r="B835" s="1" t="s">
        <v>101</v>
      </c>
      <c r="C835" t="s">
        <v>643</v>
      </c>
      <c r="D835" s="2">
        <v>220193649</v>
      </c>
      <c r="E835" s="2">
        <v>2529001400010</v>
      </c>
      <c r="F835" s="1" t="s">
        <v>936</v>
      </c>
      <c r="G835" s="1" t="s">
        <v>53</v>
      </c>
      <c r="H835" s="1" t="s">
        <v>355</v>
      </c>
      <c r="I835" s="1" t="s">
        <v>356</v>
      </c>
      <c r="J835" s="1" t="s">
        <v>56</v>
      </c>
      <c r="K835" t="s">
        <v>937</v>
      </c>
      <c r="M835" s="1" t="s">
        <v>58</v>
      </c>
      <c r="N835" s="1">
        <v>0</v>
      </c>
      <c r="O835" s="1" t="s">
        <v>105</v>
      </c>
      <c r="P835" s="186">
        <v>44896.323252314818</v>
      </c>
      <c r="R835" s="1">
        <v>3</v>
      </c>
      <c r="T835" s="1" t="s">
        <v>646</v>
      </c>
      <c r="U835" s="186">
        <v>44897.323252314818</v>
      </c>
      <c r="V835" s="1" t="s">
        <v>41</v>
      </c>
      <c r="W835" s="1" t="s">
        <v>49</v>
      </c>
      <c r="Z835" s="14"/>
      <c r="AA835" s="14"/>
      <c r="AC835" s="21"/>
      <c r="AE835" s="21"/>
    </row>
    <row r="836" spans="1:31" hidden="1">
      <c r="A836" s="1">
        <v>9123722</v>
      </c>
      <c r="B836" s="1" t="s">
        <v>101</v>
      </c>
      <c r="C836" t="s">
        <v>643</v>
      </c>
      <c r="D836" s="2">
        <v>220193628</v>
      </c>
      <c r="E836" s="2">
        <v>2473001400010</v>
      </c>
      <c r="F836" s="1" t="s">
        <v>936</v>
      </c>
      <c r="G836" s="1" t="s">
        <v>53</v>
      </c>
      <c r="H836" s="1" t="s">
        <v>1459</v>
      </c>
      <c r="I836" s="1" t="s">
        <v>1460</v>
      </c>
      <c r="J836" s="1" t="s">
        <v>261</v>
      </c>
      <c r="K836" t="s">
        <v>937</v>
      </c>
      <c r="M836" s="1" t="s">
        <v>58</v>
      </c>
      <c r="N836" s="1">
        <v>0</v>
      </c>
      <c r="O836" s="1" t="s">
        <v>105</v>
      </c>
      <c r="P836" s="186">
        <v>44896.321979166663</v>
      </c>
      <c r="R836" s="1">
        <v>3</v>
      </c>
      <c r="T836" s="1" t="s">
        <v>646</v>
      </c>
      <c r="U836" s="186">
        <v>44897.321979166663</v>
      </c>
      <c r="V836" s="1" t="s">
        <v>41</v>
      </c>
      <c r="W836" s="1" t="s">
        <v>49</v>
      </c>
      <c r="Z836" s="14"/>
      <c r="AA836" s="14"/>
      <c r="AC836" s="21"/>
      <c r="AE836" s="21"/>
    </row>
    <row r="837" spans="1:31" hidden="1">
      <c r="A837" s="1">
        <v>9123696</v>
      </c>
      <c r="B837" s="1" t="s">
        <v>101</v>
      </c>
      <c r="C837" t="s">
        <v>643</v>
      </c>
      <c r="D837" s="2">
        <v>220193610</v>
      </c>
      <c r="E837" s="2">
        <v>2413001400010</v>
      </c>
      <c r="F837" s="1" t="s">
        <v>936</v>
      </c>
      <c r="G837" s="1" t="s">
        <v>53</v>
      </c>
      <c r="H837" s="1" t="s">
        <v>505</v>
      </c>
      <c r="I837" s="1" t="s">
        <v>506</v>
      </c>
      <c r="J837" s="1" t="s">
        <v>141</v>
      </c>
      <c r="K837" t="s">
        <v>937</v>
      </c>
      <c r="M837" s="1" t="s">
        <v>58</v>
      </c>
      <c r="N837" s="1">
        <v>0</v>
      </c>
      <c r="O837" s="1" t="s">
        <v>105</v>
      </c>
      <c r="P837" s="186">
        <v>44896.320925925924</v>
      </c>
      <c r="R837" s="1">
        <v>3</v>
      </c>
      <c r="T837" s="1" t="s">
        <v>646</v>
      </c>
      <c r="U837" s="186">
        <v>44897.320925925924</v>
      </c>
      <c r="V837" s="1" t="s">
        <v>41</v>
      </c>
      <c r="W837" s="1" t="s">
        <v>49</v>
      </c>
      <c r="Z837" s="14"/>
      <c r="AA837" s="14"/>
      <c r="AC837" s="21"/>
      <c r="AE837" s="21"/>
    </row>
    <row r="838" spans="1:31">
      <c r="A838" s="1">
        <v>9123651</v>
      </c>
      <c r="B838" s="1" t="s">
        <v>101</v>
      </c>
      <c r="C838" t="s">
        <v>643</v>
      </c>
      <c r="D838" s="2">
        <v>220193532</v>
      </c>
      <c r="E838" s="2">
        <v>2125001400010</v>
      </c>
      <c r="F838" s="1" t="s">
        <v>936</v>
      </c>
      <c r="G838" s="1" t="s">
        <v>53</v>
      </c>
      <c r="H838" s="1" t="s">
        <v>1399</v>
      </c>
      <c r="I838" s="1" t="s">
        <v>1400</v>
      </c>
      <c r="J838" s="1" t="s">
        <v>211</v>
      </c>
      <c r="K838" t="s">
        <v>937</v>
      </c>
      <c r="M838" s="1" t="s">
        <v>58</v>
      </c>
      <c r="N838" s="1">
        <v>0</v>
      </c>
      <c r="O838" s="1" t="s">
        <v>105</v>
      </c>
      <c r="P838" s="186">
        <v>44896.317893518521</v>
      </c>
      <c r="R838" s="1">
        <v>3</v>
      </c>
      <c r="T838" s="1" t="s">
        <v>646</v>
      </c>
      <c r="U838" s="186">
        <v>44897.317893518521</v>
      </c>
      <c r="V838" s="1" t="s">
        <v>41</v>
      </c>
      <c r="W838" s="1" t="s">
        <v>49</v>
      </c>
      <c r="Z838" s="14"/>
      <c r="AA838" s="14"/>
      <c r="AC838" s="21"/>
      <c r="AE838" s="21"/>
    </row>
    <row r="839" spans="1:31" hidden="1">
      <c r="A839" s="1">
        <v>9123585</v>
      </c>
      <c r="B839" s="1" t="s">
        <v>101</v>
      </c>
      <c r="C839" t="s">
        <v>643</v>
      </c>
      <c r="D839" s="2">
        <v>220193497</v>
      </c>
      <c r="E839" s="2">
        <v>2018001400010</v>
      </c>
      <c r="F839" s="1" t="s">
        <v>936</v>
      </c>
      <c r="G839" s="1" t="s">
        <v>53</v>
      </c>
      <c r="H839" s="1" t="s">
        <v>598</v>
      </c>
      <c r="I839" s="1" t="s">
        <v>599</v>
      </c>
      <c r="J839" s="1" t="s">
        <v>79</v>
      </c>
      <c r="K839" t="s">
        <v>937</v>
      </c>
      <c r="M839" s="1" t="s">
        <v>58</v>
      </c>
      <c r="N839" s="1">
        <v>0</v>
      </c>
      <c r="O839" s="1" t="s">
        <v>105</v>
      </c>
      <c r="P839" s="186">
        <v>44896.315046296295</v>
      </c>
      <c r="R839" s="1">
        <v>3</v>
      </c>
      <c r="T839" s="1" t="s">
        <v>646</v>
      </c>
      <c r="U839" s="186">
        <v>44897.315057870372</v>
      </c>
      <c r="V839" s="1" t="s">
        <v>41</v>
      </c>
      <c r="W839" s="1" t="s">
        <v>49</v>
      </c>
      <c r="Z839" s="14"/>
      <c r="AA839" s="14"/>
      <c r="AC839" s="21"/>
      <c r="AE839" s="21"/>
    </row>
    <row r="840" spans="1:31" hidden="1">
      <c r="A840" s="1">
        <v>9123569</v>
      </c>
      <c r="B840" s="1" t="s">
        <v>101</v>
      </c>
      <c r="C840" t="s">
        <v>643</v>
      </c>
      <c r="D840" s="2">
        <v>220193370</v>
      </c>
      <c r="E840" s="2">
        <v>1509001400010</v>
      </c>
      <c r="F840" s="1" t="s">
        <v>936</v>
      </c>
      <c r="G840" s="1" t="s">
        <v>53</v>
      </c>
      <c r="H840" s="1" t="s">
        <v>731</v>
      </c>
      <c r="I840" s="1" t="s">
        <v>732</v>
      </c>
      <c r="J840" s="1" t="s">
        <v>46</v>
      </c>
      <c r="K840" t="s">
        <v>937</v>
      </c>
      <c r="M840" s="1" t="s">
        <v>58</v>
      </c>
      <c r="N840" s="1">
        <v>0</v>
      </c>
      <c r="O840" s="1" t="s">
        <v>105</v>
      </c>
      <c r="P840" s="186">
        <v>44896.31386574074</v>
      </c>
      <c r="R840" s="1">
        <v>3</v>
      </c>
      <c r="T840" s="1" t="s">
        <v>646</v>
      </c>
      <c r="U840" s="186">
        <v>44897.31386574074</v>
      </c>
      <c r="V840" s="1" t="s">
        <v>41</v>
      </c>
      <c r="W840" s="1" t="s">
        <v>49</v>
      </c>
      <c r="Z840" s="14"/>
      <c r="AA840" s="14"/>
      <c r="AC840" s="21"/>
      <c r="AE840" s="21"/>
    </row>
    <row r="841" spans="1:31" hidden="1">
      <c r="A841" s="1">
        <v>9123507</v>
      </c>
      <c r="B841" s="1" t="s">
        <v>101</v>
      </c>
      <c r="C841" t="s">
        <v>643</v>
      </c>
      <c r="D841" s="2">
        <v>220193316</v>
      </c>
      <c r="E841" s="2">
        <v>1363001400010</v>
      </c>
      <c r="F841" s="1" t="s">
        <v>936</v>
      </c>
      <c r="G841" s="1" t="s">
        <v>53</v>
      </c>
      <c r="H841" s="1" t="s">
        <v>108</v>
      </c>
      <c r="I841" s="1" t="s">
        <v>109</v>
      </c>
      <c r="J841" s="1" t="s">
        <v>110</v>
      </c>
      <c r="K841" t="s">
        <v>937</v>
      </c>
      <c r="M841" s="1" t="s">
        <v>58</v>
      </c>
      <c r="N841" s="1">
        <v>0</v>
      </c>
      <c r="O841" s="1" t="s">
        <v>105</v>
      </c>
      <c r="P841" s="186">
        <v>44896.31077546296</v>
      </c>
      <c r="R841" s="1">
        <v>3</v>
      </c>
      <c r="T841" s="1" t="s">
        <v>646</v>
      </c>
      <c r="U841" s="186">
        <v>44897.31077546296</v>
      </c>
      <c r="V841" s="1" t="s">
        <v>41</v>
      </c>
      <c r="W841" s="1" t="s">
        <v>49</v>
      </c>
      <c r="Z841" s="14"/>
      <c r="AA841" s="14"/>
      <c r="AC841" s="21"/>
      <c r="AE841" s="21"/>
    </row>
    <row r="842" spans="1:31">
      <c r="A842" s="1">
        <v>9123506</v>
      </c>
      <c r="B842" s="1" t="s">
        <v>101</v>
      </c>
      <c r="C842" t="s">
        <v>643</v>
      </c>
      <c r="D842" s="2">
        <v>220193315</v>
      </c>
      <c r="E842" s="2">
        <v>1362001400010</v>
      </c>
      <c r="F842" s="1" t="s">
        <v>936</v>
      </c>
      <c r="G842" s="1" t="s">
        <v>53</v>
      </c>
      <c r="H842" s="1" t="s">
        <v>268</v>
      </c>
      <c r="I842" s="1" t="s">
        <v>269</v>
      </c>
      <c r="J842" s="1" t="s">
        <v>90</v>
      </c>
      <c r="K842" t="s">
        <v>937</v>
      </c>
      <c r="M842" s="1" t="s">
        <v>58</v>
      </c>
      <c r="N842" s="1">
        <v>0</v>
      </c>
      <c r="O842" s="1" t="s">
        <v>105</v>
      </c>
      <c r="P842" s="186">
        <v>44896.310717592591</v>
      </c>
      <c r="R842" s="1">
        <v>3</v>
      </c>
      <c r="T842" s="1" t="s">
        <v>646</v>
      </c>
      <c r="U842" s="186">
        <v>44897.310717592591</v>
      </c>
      <c r="V842" s="1" t="s">
        <v>41</v>
      </c>
      <c r="W842" s="1" t="s">
        <v>49</v>
      </c>
      <c r="Z842" s="14"/>
      <c r="AA842" s="14"/>
      <c r="AC842" s="21"/>
      <c r="AE842" s="21"/>
    </row>
    <row r="843" spans="1:31" hidden="1">
      <c r="A843" s="1">
        <v>9123505</v>
      </c>
      <c r="B843" s="1" t="s">
        <v>101</v>
      </c>
      <c r="C843" t="s">
        <v>643</v>
      </c>
      <c r="D843" s="2">
        <v>220193314</v>
      </c>
      <c r="E843" s="2">
        <v>1360001400010</v>
      </c>
      <c r="F843" s="1" t="s">
        <v>936</v>
      </c>
      <c r="G843" s="1" t="s">
        <v>53</v>
      </c>
      <c r="H843" s="1" t="s">
        <v>303</v>
      </c>
      <c r="I843" s="1" t="s">
        <v>304</v>
      </c>
      <c r="J843" s="1" t="s">
        <v>261</v>
      </c>
      <c r="K843" t="s">
        <v>937</v>
      </c>
      <c r="M843" s="1" t="s">
        <v>58</v>
      </c>
      <c r="N843" s="1">
        <v>0</v>
      </c>
      <c r="O843" s="1" t="s">
        <v>105</v>
      </c>
      <c r="P843" s="186">
        <v>44896.310659722221</v>
      </c>
      <c r="R843" s="1">
        <v>3</v>
      </c>
      <c r="T843" s="1" t="s">
        <v>646</v>
      </c>
      <c r="U843" s="186">
        <v>44897.310659722221</v>
      </c>
      <c r="V843" s="1" t="s">
        <v>41</v>
      </c>
      <c r="W843" s="1" t="s">
        <v>49</v>
      </c>
      <c r="Z843" s="14"/>
      <c r="AA843" s="14"/>
      <c r="AC843" s="21"/>
      <c r="AE843" s="21"/>
    </row>
    <row r="844" spans="1:31" hidden="1">
      <c r="A844" s="1">
        <v>9123504</v>
      </c>
      <c r="B844" s="1" t="s">
        <v>101</v>
      </c>
      <c r="C844" t="s">
        <v>643</v>
      </c>
      <c r="D844" s="2">
        <v>220193313</v>
      </c>
      <c r="E844" s="2">
        <v>1359001400010</v>
      </c>
      <c r="F844" s="1" t="s">
        <v>936</v>
      </c>
      <c r="G844" s="1" t="s">
        <v>53</v>
      </c>
      <c r="H844" s="1" t="s">
        <v>270</v>
      </c>
      <c r="I844" s="1" t="s">
        <v>271</v>
      </c>
      <c r="J844" s="1" t="s">
        <v>141</v>
      </c>
      <c r="K844" t="s">
        <v>937</v>
      </c>
      <c r="M844" s="1" t="s">
        <v>58</v>
      </c>
      <c r="N844" s="1">
        <v>0</v>
      </c>
      <c r="O844" s="1" t="s">
        <v>105</v>
      </c>
      <c r="P844" s="186">
        <v>44896.310601851852</v>
      </c>
      <c r="R844" s="1">
        <v>3</v>
      </c>
      <c r="T844" s="1" t="s">
        <v>646</v>
      </c>
      <c r="U844" s="186">
        <v>44897.310601851852</v>
      </c>
      <c r="V844" s="1" t="s">
        <v>41</v>
      </c>
      <c r="W844" s="1" t="s">
        <v>49</v>
      </c>
      <c r="Z844" s="14"/>
      <c r="AA844" s="14"/>
      <c r="AC844" s="21"/>
      <c r="AE844" s="21"/>
    </row>
    <row r="845" spans="1:31" hidden="1">
      <c r="A845" s="1">
        <v>9123455</v>
      </c>
      <c r="B845" s="1" t="s">
        <v>101</v>
      </c>
      <c r="C845" t="s">
        <v>643</v>
      </c>
      <c r="D845" s="2">
        <v>220193276</v>
      </c>
      <c r="E845" s="2">
        <v>1291001400010</v>
      </c>
      <c r="F845" s="1" t="s">
        <v>936</v>
      </c>
      <c r="G845" s="1" t="s">
        <v>53</v>
      </c>
      <c r="H845" s="1" t="s">
        <v>136</v>
      </c>
      <c r="I845" s="1" t="s">
        <v>137</v>
      </c>
      <c r="J845" s="1" t="s">
        <v>33</v>
      </c>
      <c r="K845" t="s">
        <v>937</v>
      </c>
      <c r="M845" s="1" t="s">
        <v>58</v>
      </c>
      <c r="N845" s="1">
        <v>0</v>
      </c>
      <c r="O845" s="1" t="s">
        <v>105</v>
      </c>
      <c r="P845" s="186">
        <v>44896.308368055557</v>
      </c>
      <c r="R845" s="1">
        <v>3</v>
      </c>
      <c r="T845" s="1" t="s">
        <v>646</v>
      </c>
      <c r="U845" s="186">
        <v>44897.308368055557</v>
      </c>
      <c r="V845" s="1" t="s">
        <v>41</v>
      </c>
      <c r="W845" s="1" t="s">
        <v>42</v>
      </c>
      <c r="Z845" s="14"/>
      <c r="AA845" s="14"/>
      <c r="AC845" s="21"/>
      <c r="AE845" s="21"/>
    </row>
    <row r="846" spans="1:31" hidden="1">
      <c r="A846" s="1">
        <v>9123430</v>
      </c>
      <c r="B846" s="1" t="s">
        <v>101</v>
      </c>
      <c r="C846" t="s">
        <v>643</v>
      </c>
      <c r="D846" s="2">
        <v>220193099</v>
      </c>
      <c r="E846" s="2">
        <v>922001400010</v>
      </c>
      <c r="F846" s="1" t="s">
        <v>936</v>
      </c>
      <c r="G846" s="1" t="s">
        <v>53</v>
      </c>
      <c r="H846" s="1" t="s">
        <v>1375</v>
      </c>
      <c r="I846" s="1" t="s">
        <v>1376</v>
      </c>
      <c r="J846" s="1" t="s">
        <v>261</v>
      </c>
      <c r="K846" t="s">
        <v>937</v>
      </c>
      <c r="M846" s="1" t="s">
        <v>58</v>
      </c>
      <c r="N846" s="1">
        <v>0</v>
      </c>
      <c r="O846" s="1" t="s">
        <v>105</v>
      </c>
      <c r="P846" s="186">
        <v>44896.303182870368</v>
      </c>
      <c r="R846" s="1">
        <v>3</v>
      </c>
      <c r="T846" s="1" t="s">
        <v>646</v>
      </c>
      <c r="U846" s="186">
        <v>44897.303182870368</v>
      </c>
      <c r="V846" s="1" t="s">
        <v>41</v>
      </c>
      <c r="W846" s="1" t="s">
        <v>49</v>
      </c>
      <c r="Z846" s="14"/>
      <c r="AA846" s="14"/>
      <c r="AC846" s="21"/>
      <c r="AE846" s="21"/>
    </row>
    <row r="847" spans="1:31">
      <c r="A847" s="1">
        <v>9123424</v>
      </c>
      <c r="B847" s="1" t="s">
        <v>101</v>
      </c>
      <c r="C847" t="s">
        <v>643</v>
      </c>
      <c r="D847" s="2">
        <v>220193097</v>
      </c>
      <c r="E847" s="2">
        <v>917001400010</v>
      </c>
      <c r="F847" s="1" t="s">
        <v>936</v>
      </c>
      <c r="G847" s="1" t="s">
        <v>53</v>
      </c>
      <c r="H847" s="1" t="s">
        <v>83</v>
      </c>
      <c r="I847" s="1" t="s">
        <v>84</v>
      </c>
      <c r="J847" s="1" t="s">
        <v>85</v>
      </c>
      <c r="K847" t="s">
        <v>937</v>
      </c>
      <c r="M847" s="1" t="s">
        <v>58</v>
      </c>
      <c r="N847" s="1">
        <v>0</v>
      </c>
      <c r="O847" s="1" t="s">
        <v>105</v>
      </c>
      <c r="P847" s="186">
        <v>44896.303067129629</v>
      </c>
      <c r="R847" s="1">
        <v>3</v>
      </c>
      <c r="T847" s="1" t="s">
        <v>646</v>
      </c>
      <c r="U847" s="186">
        <v>44897.303067129629</v>
      </c>
      <c r="V847" s="1" t="s">
        <v>41</v>
      </c>
      <c r="W847" s="1" t="s">
        <v>49</v>
      </c>
      <c r="Z847" s="14"/>
      <c r="AA847" s="14"/>
      <c r="AC847" s="21"/>
      <c r="AE847" s="21"/>
    </row>
    <row r="848" spans="1:31" hidden="1">
      <c r="A848" s="1">
        <v>9123416</v>
      </c>
      <c r="B848" s="1" t="s">
        <v>101</v>
      </c>
      <c r="C848" t="s">
        <v>643</v>
      </c>
      <c r="D848" s="2">
        <v>220193110</v>
      </c>
      <c r="E848" s="2">
        <v>934001400010</v>
      </c>
      <c r="F848" s="1" t="s">
        <v>936</v>
      </c>
      <c r="G848" s="1" t="s">
        <v>53</v>
      </c>
      <c r="H848" s="1" t="s">
        <v>428</v>
      </c>
      <c r="I848" s="1" t="s">
        <v>429</v>
      </c>
      <c r="J848" s="1" t="s">
        <v>46</v>
      </c>
      <c r="K848" t="s">
        <v>937</v>
      </c>
      <c r="M848" s="1" t="s">
        <v>58</v>
      </c>
      <c r="N848" s="1">
        <v>0</v>
      </c>
      <c r="O848" s="1" t="s">
        <v>105</v>
      </c>
      <c r="P848" s="186">
        <v>44896.302604166667</v>
      </c>
      <c r="R848" s="1">
        <v>3</v>
      </c>
      <c r="T848" s="1" t="s">
        <v>646</v>
      </c>
      <c r="U848" s="186">
        <v>44897.302604166667</v>
      </c>
      <c r="V848" s="1" t="s">
        <v>41</v>
      </c>
      <c r="W848" s="1" t="s">
        <v>49</v>
      </c>
      <c r="Z848" s="14"/>
      <c r="AA848" s="14"/>
      <c r="AC848" s="21"/>
      <c r="AE848" s="21"/>
    </row>
    <row r="849" spans="1:31">
      <c r="A849" s="1">
        <v>9123392</v>
      </c>
      <c r="B849" s="1" t="s">
        <v>101</v>
      </c>
      <c r="C849" t="s">
        <v>643</v>
      </c>
      <c r="D849" s="2">
        <v>220193089</v>
      </c>
      <c r="E849" s="2">
        <v>899001400010</v>
      </c>
      <c r="F849" s="1" t="s">
        <v>936</v>
      </c>
      <c r="G849" s="1" t="s">
        <v>53</v>
      </c>
      <c r="H849" s="1" t="s">
        <v>175</v>
      </c>
      <c r="I849" s="1" t="s">
        <v>176</v>
      </c>
      <c r="J849" s="1" t="s">
        <v>90</v>
      </c>
      <c r="K849" t="s">
        <v>937</v>
      </c>
      <c r="M849" s="1" t="s">
        <v>58</v>
      </c>
      <c r="N849" s="1">
        <v>0</v>
      </c>
      <c r="O849" s="1" t="s">
        <v>36</v>
      </c>
      <c r="P849" s="186">
        <v>44896.301493055558</v>
      </c>
      <c r="R849" s="1">
        <v>3</v>
      </c>
      <c r="T849" s="1" t="s">
        <v>646</v>
      </c>
      <c r="U849" s="186">
        <v>44897.301493055558</v>
      </c>
      <c r="V849" s="1" t="s">
        <v>41</v>
      </c>
      <c r="W849" s="1" t="s">
        <v>49</v>
      </c>
      <c r="Z849" s="14"/>
      <c r="AA849" s="14"/>
      <c r="AC849" s="21"/>
      <c r="AE849" s="21"/>
    </row>
    <row r="850" spans="1:31" hidden="1">
      <c r="A850" s="1">
        <v>9123373</v>
      </c>
      <c r="B850" s="1" t="s">
        <v>101</v>
      </c>
      <c r="C850" t="s">
        <v>643</v>
      </c>
      <c r="D850" s="2">
        <v>220193054</v>
      </c>
      <c r="E850" s="2">
        <v>834001400010</v>
      </c>
      <c r="F850" s="1" t="s">
        <v>936</v>
      </c>
      <c r="G850" s="1" t="s">
        <v>53</v>
      </c>
      <c r="H850" s="1" t="s">
        <v>367</v>
      </c>
      <c r="I850" s="1" t="s">
        <v>368</v>
      </c>
      <c r="J850" s="1" t="s">
        <v>261</v>
      </c>
      <c r="K850" t="s">
        <v>937</v>
      </c>
      <c r="M850" s="1" t="s">
        <v>58</v>
      </c>
      <c r="N850" s="1">
        <v>0</v>
      </c>
      <c r="O850" s="1" t="s">
        <v>105</v>
      </c>
      <c r="P850" s="186">
        <v>44896.300370370373</v>
      </c>
      <c r="R850" s="1">
        <v>3</v>
      </c>
      <c r="T850" s="1" t="s">
        <v>646</v>
      </c>
      <c r="U850" s="186">
        <v>44897.300381944442</v>
      </c>
      <c r="V850" s="1" t="s">
        <v>41</v>
      </c>
      <c r="W850" s="1" t="s">
        <v>49</v>
      </c>
      <c r="Z850" s="14"/>
      <c r="AA850" s="14"/>
      <c r="AC850" s="21"/>
      <c r="AE850" s="21"/>
    </row>
    <row r="851" spans="1:31" hidden="1">
      <c r="A851" s="1">
        <v>9123368</v>
      </c>
      <c r="B851" s="1" t="s">
        <v>101</v>
      </c>
      <c r="C851" t="s">
        <v>643</v>
      </c>
      <c r="D851" s="2">
        <v>220193049</v>
      </c>
      <c r="E851" s="2">
        <v>821001400010</v>
      </c>
      <c r="F851" s="1" t="s">
        <v>936</v>
      </c>
      <c r="G851" s="1" t="s">
        <v>53</v>
      </c>
      <c r="H851" s="1" t="s">
        <v>1351</v>
      </c>
      <c r="I851" s="1" t="s">
        <v>1352</v>
      </c>
      <c r="J851" s="1" t="s">
        <v>46</v>
      </c>
      <c r="K851" t="s">
        <v>937</v>
      </c>
      <c r="M851" s="1" t="s">
        <v>58</v>
      </c>
      <c r="N851" s="1">
        <v>0</v>
      </c>
      <c r="O851" s="1" t="s">
        <v>105</v>
      </c>
      <c r="P851" s="186">
        <v>44896.300046296295</v>
      </c>
      <c r="R851" s="1">
        <v>3</v>
      </c>
      <c r="T851" s="1" t="s">
        <v>646</v>
      </c>
      <c r="U851" s="186">
        <v>44897.300057870372</v>
      </c>
      <c r="V851" s="1" t="s">
        <v>41</v>
      </c>
      <c r="W851" s="1" t="s">
        <v>49</v>
      </c>
      <c r="Z851" s="14"/>
      <c r="AA851" s="14"/>
      <c r="AC851" s="21"/>
      <c r="AE851" s="21"/>
    </row>
    <row r="852" spans="1:31" hidden="1">
      <c r="A852" s="1">
        <v>9123299</v>
      </c>
      <c r="B852" s="1" t="s">
        <v>101</v>
      </c>
      <c r="C852" t="s">
        <v>643</v>
      </c>
      <c r="D852" s="2">
        <v>220192827</v>
      </c>
      <c r="E852" s="2">
        <v>446001400010</v>
      </c>
      <c r="F852" s="1" t="s">
        <v>936</v>
      </c>
      <c r="G852" s="1" t="s">
        <v>53</v>
      </c>
      <c r="H852" s="1" t="s">
        <v>432</v>
      </c>
      <c r="I852" s="1" t="s">
        <v>433</v>
      </c>
      <c r="J852" s="1" t="s">
        <v>110</v>
      </c>
      <c r="K852" t="s">
        <v>937</v>
      </c>
      <c r="M852" s="1" t="s">
        <v>58</v>
      </c>
      <c r="N852" s="1">
        <v>0</v>
      </c>
      <c r="O852" s="1" t="s">
        <v>36</v>
      </c>
      <c r="P852" s="186">
        <v>44896.296458333331</v>
      </c>
      <c r="R852" s="1">
        <v>3</v>
      </c>
      <c r="T852" s="1" t="s">
        <v>646</v>
      </c>
      <c r="U852" s="186">
        <v>44897.296458333331</v>
      </c>
      <c r="V852" s="1" t="s">
        <v>41</v>
      </c>
      <c r="W852" s="1" t="s">
        <v>49</v>
      </c>
      <c r="Z852" s="14"/>
      <c r="AA852" s="14"/>
      <c r="AC852" s="21"/>
      <c r="AE852" s="21"/>
    </row>
    <row r="853" spans="1:31" hidden="1">
      <c r="A853" s="1">
        <v>9123248</v>
      </c>
      <c r="B853" s="1" t="s">
        <v>101</v>
      </c>
      <c r="C853" t="s">
        <v>643</v>
      </c>
      <c r="D853" s="2">
        <v>220192887</v>
      </c>
      <c r="E853" s="2">
        <v>550001400010</v>
      </c>
      <c r="F853" s="1" t="s">
        <v>936</v>
      </c>
      <c r="G853" s="1" t="s">
        <v>53</v>
      </c>
      <c r="H853" s="1" t="s">
        <v>337</v>
      </c>
      <c r="I853" s="1" t="s">
        <v>338</v>
      </c>
      <c r="J853" s="1" t="s">
        <v>164</v>
      </c>
      <c r="K853" t="s">
        <v>937</v>
      </c>
      <c r="M853" s="1" t="s">
        <v>58</v>
      </c>
      <c r="N853" s="1">
        <v>0</v>
      </c>
      <c r="O853" s="1" t="s">
        <v>105</v>
      </c>
      <c r="P853" s="186">
        <v>44896.294189814813</v>
      </c>
      <c r="R853" s="1">
        <v>3</v>
      </c>
      <c r="T853" s="1" t="s">
        <v>646</v>
      </c>
      <c r="U853" s="186">
        <v>44897.294189814813</v>
      </c>
      <c r="V853" s="1" t="s">
        <v>41</v>
      </c>
      <c r="W853" s="1" t="s">
        <v>49</v>
      </c>
      <c r="Z853" s="14"/>
      <c r="AA853" s="14"/>
      <c r="AC853" s="21"/>
      <c r="AE853" s="21"/>
    </row>
    <row r="854" spans="1:31" hidden="1">
      <c r="A854" s="1">
        <v>9123242</v>
      </c>
      <c r="B854" s="1" t="s">
        <v>101</v>
      </c>
      <c r="C854" t="s">
        <v>643</v>
      </c>
      <c r="D854" s="2">
        <v>220192881</v>
      </c>
      <c r="E854" s="2">
        <v>537001400010</v>
      </c>
      <c r="F854" s="1" t="s">
        <v>936</v>
      </c>
      <c r="G854" s="1" t="s">
        <v>53</v>
      </c>
      <c r="H854" s="1" t="s">
        <v>442</v>
      </c>
      <c r="I854" s="1" t="s">
        <v>443</v>
      </c>
      <c r="J854" s="1" t="s">
        <v>79</v>
      </c>
      <c r="K854" t="s">
        <v>937</v>
      </c>
      <c r="M854" s="1" t="s">
        <v>58</v>
      </c>
      <c r="N854" s="1">
        <v>0</v>
      </c>
      <c r="O854" s="1" t="s">
        <v>105</v>
      </c>
      <c r="P854" s="186">
        <v>44896.293796296297</v>
      </c>
      <c r="R854" s="1">
        <v>3</v>
      </c>
      <c r="T854" s="1" t="s">
        <v>646</v>
      </c>
      <c r="U854" s="186">
        <v>44897.293796296297</v>
      </c>
      <c r="V854" s="1" t="s">
        <v>41</v>
      </c>
      <c r="W854" s="1" t="s">
        <v>49</v>
      </c>
      <c r="Z854" s="14"/>
      <c r="AA854" s="14"/>
      <c r="AC854" s="21"/>
      <c r="AE854" s="21"/>
    </row>
    <row r="855" spans="1:31" hidden="1">
      <c r="A855" s="1">
        <v>9123204</v>
      </c>
      <c r="B855" s="1" t="s">
        <v>101</v>
      </c>
      <c r="C855" t="s">
        <v>643</v>
      </c>
      <c r="D855" s="2">
        <v>220192907</v>
      </c>
      <c r="E855" s="2">
        <v>582001400010</v>
      </c>
      <c r="F855" s="1" t="s">
        <v>936</v>
      </c>
      <c r="G855" s="1" t="s">
        <v>53</v>
      </c>
      <c r="H855" s="1" t="s">
        <v>139</v>
      </c>
      <c r="I855" s="1" t="s">
        <v>140</v>
      </c>
      <c r="J855" s="1" t="s">
        <v>141</v>
      </c>
      <c r="K855" t="s">
        <v>937</v>
      </c>
      <c r="M855" s="1" t="s">
        <v>58</v>
      </c>
      <c r="N855" s="1">
        <v>0</v>
      </c>
      <c r="O855" s="1" t="s">
        <v>105</v>
      </c>
      <c r="P855" s="186">
        <v>44896.292037037034</v>
      </c>
      <c r="R855" s="1">
        <v>3</v>
      </c>
      <c r="T855" s="1" t="s">
        <v>646</v>
      </c>
      <c r="U855" s="186">
        <v>44897.292037037034</v>
      </c>
      <c r="V855" s="1" t="s">
        <v>41</v>
      </c>
      <c r="W855" s="1" t="s">
        <v>49</v>
      </c>
      <c r="Z855" s="14"/>
      <c r="AA855" s="14"/>
      <c r="AC855" s="21"/>
      <c r="AE855" s="21"/>
    </row>
    <row r="856" spans="1:31" hidden="1">
      <c r="A856" s="1">
        <v>9123184</v>
      </c>
      <c r="B856" s="1" t="s">
        <v>101</v>
      </c>
      <c r="C856" t="s">
        <v>643</v>
      </c>
      <c r="D856" s="2">
        <v>220192743</v>
      </c>
      <c r="E856" s="2">
        <v>325091400010</v>
      </c>
      <c r="F856" s="1" t="s">
        <v>936</v>
      </c>
      <c r="G856" s="1" t="s">
        <v>53</v>
      </c>
      <c r="H856" s="1" t="s">
        <v>821</v>
      </c>
      <c r="I856" s="1" t="s">
        <v>822</v>
      </c>
      <c r="J856" s="1" t="s">
        <v>46</v>
      </c>
      <c r="K856" t="s">
        <v>937</v>
      </c>
      <c r="M856" s="1" t="s">
        <v>58</v>
      </c>
      <c r="N856" s="1">
        <v>0</v>
      </c>
      <c r="O856" s="1" t="s">
        <v>105</v>
      </c>
      <c r="P856" s="186">
        <v>44896.290462962963</v>
      </c>
      <c r="R856" s="1">
        <v>3</v>
      </c>
      <c r="T856" s="1" t="s">
        <v>646</v>
      </c>
      <c r="U856" s="186">
        <v>44897.290462962963</v>
      </c>
      <c r="V856" s="1" t="s">
        <v>41</v>
      </c>
      <c r="W856" s="1" t="s">
        <v>49</v>
      </c>
      <c r="Z856" s="14"/>
      <c r="AA856" s="14"/>
      <c r="AC856" s="21"/>
      <c r="AE856" s="21"/>
    </row>
    <row r="857" spans="1:31" hidden="1">
      <c r="A857" s="1">
        <v>9123102</v>
      </c>
      <c r="B857" s="1" t="s">
        <v>101</v>
      </c>
      <c r="C857" t="s">
        <v>643</v>
      </c>
      <c r="D857" s="2">
        <v>220192673</v>
      </c>
      <c r="E857" s="2">
        <v>233001400010</v>
      </c>
      <c r="F857" s="1" t="s">
        <v>936</v>
      </c>
      <c r="G857" s="1" t="s">
        <v>53</v>
      </c>
      <c r="H857" s="1" t="s">
        <v>424</v>
      </c>
      <c r="I857" s="1" t="s">
        <v>425</v>
      </c>
      <c r="J857" s="1" t="s">
        <v>261</v>
      </c>
      <c r="K857" t="s">
        <v>937</v>
      </c>
      <c r="M857" s="1" t="s">
        <v>58</v>
      </c>
      <c r="N857" s="1">
        <v>0</v>
      </c>
      <c r="O857" s="1" t="s">
        <v>105</v>
      </c>
      <c r="P857" s="186">
        <v>44896.286504629628</v>
      </c>
      <c r="R857" s="1">
        <v>3</v>
      </c>
      <c r="T857" s="1" t="s">
        <v>646</v>
      </c>
      <c r="U857" s="186">
        <v>44897.286516203705</v>
      </c>
      <c r="V857" s="1" t="s">
        <v>41</v>
      </c>
      <c r="W857" s="1" t="s">
        <v>49</v>
      </c>
      <c r="Z857" s="14"/>
      <c r="AA857" s="14"/>
      <c r="AC857" s="21"/>
      <c r="AE857" s="21"/>
    </row>
    <row r="858" spans="1:31" hidden="1">
      <c r="A858" s="1">
        <v>9123093</v>
      </c>
      <c r="B858" s="1" t="s">
        <v>101</v>
      </c>
      <c r="C858" t="s">
        <v>643</v>
      </c>
      <c r="D858" s="2">
        <v>220192664</v>
      </c>
      <c r="E858" s="2">
        <v>220001400010</v>
      </c>
      <c r="F858" s="1" t="s">
        <v>936</v>
      </c>
      <c r="G858" s="1" t="s">
        <v>53</v>
      </c>
      <c r="H858" s="1" t="s">
        <v>588</v>
      </c>
      <c r="I858" s="1" t="s">
        <v>589</v>
      </c>
      <c r="J858" s="1" t="s">
        <v>110</v>
      </c>
      <c r="K858" t="s">
        <v>937</v>
      </c>
      <c r="M858" s="1" t="s">
        <v>58</v>
      </c>
      <c r="N858" s="1">
        <v>0</v>
      </c>
      <c r="O858" s="1" t="s">
        <v>105</v>
      </c>
      <c r="P858" s="186">
        <v>44896.286006944443</v>
      </c>
      <c r="R858" s="1">
        <v>3</v>
      </c>
      <c r="T858" s="1" t="s">
        <v>646</v>
      </c>
      <c r="U858" s="186">
        <v>44897.286006944443</v>
      </c>
      <c r="V858" s="1" t="s">
        <v>41</v>
      </c>
      <c r="W858" s="1" t="s">
        <v>49</v>
      </c>
      <c r="Z858" s="14"/>
      <c r="AA858" s="14"/>
      <c r="AC858" s="21"/>
      <c r="AE858" s="21"/>
    </row>
    <row r="859" spans="1:31" hidden="1">
      <c r="A859" s="1">
        <v>9135166</v>
      </c>
      <c r="B859" s="1" t="s">
        <v>62</v>
      </c>
      <c r="C859" t="s">
        <v>1686</v>
      </c>
      <c r="E859" s="2">
        <v>9703000206053</v>
      </c>
      <c r="F859" s="1" t="s">
        <v>113</v>
      </c>
      <c r="G859" s="1" t="s">
        <v>53</v>
      </c>
      <c r="H859" s="1" t="s">
        <v>494</v>
      </c>
      <c r="I859" s="1" t="s">
        <v>495</v>
      </c>
      <c r="J859" s="1" t="s">
        <v>79</v>
      </c>
      <c r="K859" t="s">
        <v>116</v>
      </c>
      <c r="M859" s="1" t="s">
        <v>35</v>
      </c>
      <c r="N859" s="1">
        <v>42318949</v>
      </c>
      <c r="O859" s="1" t="s">
        <v>105</v>
      </c>
      <c r="P859" s="186">
        <v>44897.528333333335</v>
      </c>
      <c r="R859" s="1" t="s">
        <v>38</v>
      </c>
      <c r="T859" s="1" t="s">
        <v>74</v>
      </c>
      <c r="U859" s="186">
        <v>44938.75</v>
      </c>
      <c r="V859" s="1" t="s">
        <v>41</v>
      </c>
      <c r="W859" s="1" t="s">
        <v>49</v>
      </c>
      <c r="Z859" s="14"/>
      <c r="AA859" s="14"/>
      <c r="AC859" s="21"/>
      <c r="AE859" s="21"/>
    </row>
    <row r="860" spans="1:31">
      <c r="A860" s="1">
        <v>9134233</v>
      </c>
      <c r="B860" s="1" t="s">
        <v>62</v>
      </c>
      <c r="C860" t="s">
        <v>1689</v>
      </c>
      <c r="E860" s="2">
        <v>1108000203010</v>
      </c>
      <c r="F860" s="1" t="s">
        <v>152</v>
      </c>
      <c r="G860" s="1" t="s">
        <v>53</v>
      </c>
      <c r="H860" s="1" t="s">
        <v>295</v>
      </c>
      <c r="I860" s="1" t="s">
        <v>296</v>
      </c>
      <c r="J860" s="1" t="s">
        <v>90</v>
      </c>
      <c r="K860" t="s">
        <v>155</v>
      </c>
      <c r="M860" s="1" t="s">
        <v>35</v>
      </c>
      <c r="N860" s="1">
        <v>42318949</v>
      </c>
      <c r="O860" s="1" t="s">
        <v>105</v>
      </c>
      <c r="P860" s="186">
        <v>44897.387280092589</v>
      </c>
      <c r="R860" s="1">
        <v>1</v>
      </c>
      <c r="T860" s="1" t="s">
        <v>157</v>
      </c>
      <c r="U860" s="186">
        <v>44931.75</v>
      </c>
      <c r="V860" s="1" t="s">
        <v>41</v>
      </c>
      <c r="W860" s="1" t="s">
        <v>49</v>
      </c>
      <c r="Z860" s="14"/>
      <c r="AA860" s="14"/>
      <c r="AC860" s="21"/>
      <c r="AE860" s="21"/>
    </row>
    <row r="861" spans="1:31" hidden="1">
      <c r="A861" s="1">
        <v>9152756</v>
      </c>
      <c r="B861" s="1" t="s">
        <v>62</v>
      </c>
      <c r="C861" t="s">
        <v>1692</v>
      </c>
      <c r="E861" s="2">
        <v>2138000206001</v>
      </c>
      <c r="F861" s="1" t="s">
        <v>29</v>
      </c>
      <c r="G861" s="1" t="s">
        <v>53</v>
      </c>
      <c r="H861" s="1" t="s">
        <v>379</v>
      </c>
      <c r="I861" s="1" t="s">
        <v>380</v>
      </c>
      <c r="J861" s="1" t="s">
        <v>46</v>
      </c>
      <c r="K861" t="s">
        <v>34</v>
      </c>
      <c r="M861" s="1" t="s">
        <v>35</v>
      </c>
      <c r="N861" s="1">
        <v>42318949</v>
      </c>
      <c r="O861" s="1" t="s">
        <v>36</v>
      </c>
      <c r="P861" s="186">
        <v>44901.595775462964</v>
      </c>
      <c r="R861" s="1" t="s">
        <v>38</v>
      </c>
      <c r="T861" s="1" t="s">
        <v>74</v>
      </c>
      <c r="U861" s="186">
        <v>44942.75</v>
      </c>
      <c r="V861" s="1" t="s">
        <v>41</v>
      </c>
      <c r="W861" s="1" t="s">
        <v>49</v>
      </c>
      <c r="Z861" s="14"/>
      <c r="AA861" s="14"/>
      <c r="AC861" s="21"/>
      <c r="AE861" s="21"/>
    </row>
    <row r="862" spans="1:31" hidden="1">
      <c r="A862" s="1">
        <v>9151711</v>
      </c>
      <c r="B862" s="1" t="s">
        <v>62</v>
      </c>
      <c r="C862" t="s">
        <v>1695</v>
      </c>
      <c r="E862" s="2">
        <v>1902016208100</v>
      </c>
      <c r="F862" s="1" t="s">
        <v>64</v>
      </c>
      <c r="G862" s="1" t="s">
        <v>53</v>
      </c>
      <c r="H862" s="1" t="s">
        <v>590</v>
      </c>
      <c r="I862" s="1" t="s">
        <v>591</v>
      </c>
      <c r="J862" s="1" t="s">
        <v>261</v>
      </c>
      <c r="K862" t="s">
        <v>67</v>
      </c>
      <c r="M862" s="1" t="s">
        <v>35</v>
      </c>
      <c r="N862" s="1">
        <v>42318949</v>
      </c>
      <c r="O862" s="1" t="s">
        <v>36</v>
      </c>
      <c r="P862" s="186">
        <v>44901.465289351851</v>
      </c>
      <c r="R862" s="1" t="s">
        <v>571</v>
      </c>
      <c r="T862" s="1" t="s">
        <v>69</v>
      </c>
      <c r="U862" s="186">
        <v>44910.465289351851</v>
      </c>
      <c r="V862" s="1" t="s">
        <v>41</v>
      </c>
      <c r="W862" s="1" t="s">
        <v>49</v>
      </c>
      <c r="Z862" s="14"/>
      <c r="AA862" s="14"/>
      <c r="AC862" s="21"/>
      <c r="AE862" s="21"/>
    </row>
    <row r="863" spans="1:31">
      <c r="A863" s="1">
        <v>9158610</v>
      </c>
      <c r="B863" s="1" t="s">
        <v>62</v>
      </c>
      <c r="C863" t="s">
        <v>1698</v>
      </c>
      <c r="E863" s="2">
        <v>4119000203000</v>
      </c>
      <c r="F863" s="1" t="s">
        <v>454</v>
      </c>
      <c r="G863" s="1" t="s">
        <v>53</v>
      </c>
      <c r="H863" s="1" t="s">
        <v>297</v>
      </c>
      <c r="I863" s="1" t="s">
        <v>298</v>
      </c>
      <c r="J863" s="1" t="s">
        <v>211</v>
      </c>
      <c r="K863" t="s">
        <v>457</v>
      </c>
      <c r="M863" s="1" t="s">
        <v>58</v>
      </c>
      <c r="N863" s="1">
        <v>0</v>
      </c>
      <c r="O863" s="1" t="s">
        <v>36</v>
      </c>
      <c r="P863" s="186">
        <v>44902.665810185186</v>
      </c>
      <c r="R863" s="1">
        <v>1</v>
      </c>
      <c r="T863" s="1" t="s">
        <v>157</v>
      </c>
      <c r="U863" s="186">
        <v>44936.75</v>
      </c>
      <c r="V863" s="1" t="s">
        <v>41</v>
      </c>
      <c r="W863" s="1" t="s">
        <v>49</v>
      </c>
      <c r="Z863" s="14"/>
      <c r="AA863" s="14"/>
      <c r="AC863" s="21"/>
      <c r="AE863" s="21"/>
    </row>
    <row r="864" spans="1:31" hidden="1">
      <c r="A864" s="1">
        <v>9158041</v>
      </c>
      <c r="B864" s="1" t="s">
        <v>62</v>
      </c>
      <c r="C864" t="s">
        <v>1699</v>
      </c>
      <c r="E864" s="2">
        <v>963000203010</v>
      </c>
      <c r="F864" s="1" t="s">
        <v>152</v>
      </c>
      <c r="G864" s="1" t="s">
        <v>53</v>
      </c>
      <c r="H864" s="1" t="s">
        <v>531</v>
      </c>
      <c r="I864" s="1" t="s">
        <v>532</v>
      </c>
      <c r="J864" s="1" t="s">
        <v>33</v>
      </c>
      <c r="K864" t="s">
        <v>155</v>
      </c>
      <c r="M864" s="1" t="s">
        <v>35</v>
      </c>
      <c r="N864" s="1">
        <v>42318949</v>
      </c>
      <c r="O864" s="1" t="s">
        <v>36</v>
      </c>
      <c r="P864" s="186">
        <v>44902.592615740738</v>
      </c>
      <c r="R864" s="1">
        <v>1</v>
      </c>
      <c r="T864" s="1" t="s">
        <v>157</v>
      </c>
      <c r="U864" s="186">
        <v>44936.75</v>
      </c>
      <c r="V864" s="1" t="s">
        <v>41</v>
      </c>
      <c r="W864" s="1" t="s">
        <v>49</v>
      </c>
      <c r="Z864" s="14"/>
      <c r="AA864" s="14"/>
      <c r="AC864" s="21"/>
      <c r="AE864" s="21"/>
    </row>
    <row r="865" spans="1:31" hidden="1">
      <c r="A865" s="1">
        <v>9158023</v>
      </c>
      <c r="B865" s="1" t="s">
        <v>62</v>
      </c>
      <c r="C865" t="s">
        <v>1699</v>
      </c>
      <c r="E865" s="2">
        <v>3918000203010</v>
      </c>
      <c r="F865" s="1" t="s">
        <v>152</v>
      </c>
      <c r="G865" s="1" t="s">
        <v>53</v>
      </c>
      <c r="H865" s="1" t="s">
        <v>858</v>
      </c>
      <c r="I865" s="1" t="s">
        <v>859</v>
      </c>
      <c r="J865" s="1" t="s">
        <v>33</v>
      </c>
      <c r="K865" t="s">
        <v>155</v>
      </c>
      <c r="M865" s="1" t="s">
        <v>35</v>
      </c>
      <c r="N865" s="1">
        <v>42318949</v>
      </c>
      <c r="O865" s="1" t="s">
        <v>36</v>
      </c>
      <c r="P865" s="186">
        <v>44902.592581018522</v>
      </c>
      <c r="R865" s="1">
        <v>1</v>
      </c>
      <c r="T865" s="1" t="s">
        <v>157</v>
      </c>
      <c r="U865" s="186">
        <v>44936.75</v>
      </c>
      <c r="V865" s="1" t="s">
        <v>41</v>
      </c>
      <c r="W865" s="1" t="s">
        <v>49</v>
      </c>
      <c r="Z865" s="14"/>
      <c r="AA865" s="14"/>
      <c r="AC865" s="21"/>
      <c r="AE865" s="21"/>
    </row>
    <row r="866" spans="1:31" hidden="1">
      <c r="A866" s="1">
        <v>9157070</v>
      </c>
      <c r="B866" s="1" t="s">
        <v>62</v>
      </c>
      <c r="C866" t="s">
        <v>1699</v>
      </c>
      <c r="E866" s="2">
        <v>2830000203010</v>
      </c>
      <c r="F866" s="1" t="s">
        <v>152</v>
      </c>
      <c r="G866" s="1" t="s">
        <v>53</v>
      </c>
      <c r="H866" s="1" t="s">
        <v>448</v>
      </c>
      <c r="I866" s="1" t="s">
        <v>449</v>
      </c>
      <c r="J866" s="1" t="s">
        <v>33</v>
      </c>
      <c r="K866" t="s">
        <v>155</v>
      </c>
      <c r="M866" s="1" t="s">
        <v>35</v>
      </c>
      <c r="N866" s="1">
        <v>42318949</v>
      </c>
      <c r="O866" s="1" t="s">
        <v>36</v>
      </c>
      <c r="P866" s="186">
        <v>44902.480925925927</v>
      </c>
      <c r="R866" s="1">
        <v>1</v>
      </c>
      <c r="T866" s="1" t="s">
        <v>157</v>
      </c>
      <c r="U866" s="186">
        <v>44936.75</v>
      </c>
      <c r="V866" s="1" t="s">
        <v>41</v>
      </c>
      <c r="W866" s="1" t="s">
        <v>42</v>
      </c>
      <c r="Z866" s="14"/>
      <c r="AA866" s="14"/>
      <c r="AC866" s="21"/>
      <c r="AE866" s="21"/>
    </row>
    <row r="867" spans="1:31" hidden="1">
      <c r="A867" s="1">
        <v>9157063</v>
      </c>
      <c r="B867" s="1" t="s">
        <v>62</v>
      </c>
      <c r="C867" t="s">
        <v>1699</v>
      </c>
      <c r="E867" s="2">
        <v>1833000203010</v>
      </c>
      <c r="F867" s="1" t="s">
        <v>152</v>
      </c>
      <c r="G867" s="1" t="s">
        <v>53</v>
      </c>
      <c r="H867" s="1" t="s">
        <v>369</v>
      </c>
      <c r="I867" s="1" t="s">
        <v>370</v>
      </c>
      <c r="J867" s="1" t="s">
        <v>46</v>
      </c>
      <c r="K867" t="s">
        <v>155</v>
      </c>
      <c r="M867" s="1" t="s">
        <v>35</v>
      </c>
      <c r="N867" s="1">
        <v>42318949</v>
      </c>
      <c r="O867" s="1" t="s">
        <v>36</v>
      </c>
      <c r="P867" s="186">
        <v>44902.480914351851</v>
      </c>
      <c r="R867" s="1">
        <v>1</v>
      </c>
      <c r="T867" s="1" t="s">
        <v>157</v>
      </c>
      <c r="U867" s="186">
        <v>44936.75</v>
      </c>
      <c r="V867" s="1" t="s">
        <v>41</v>
      </c>
      <c r="W867" s="1" t="s">
        <v>49</v>
      </c>
      <c r="Z867" s="14"/>
      <c r="AA867" s="14"/>
      <c r="AC867" s="21"/>
      <c r="AE867" s="21"/>
    </row>
    <row r="868" spans="1:31" hidden="1">
      <c r="A868" s="1">
        <v>9157035</v>
      </c>
      <c r="B868" s="1" t="s">
        <v>62</v>
      </c>
      <c r="C868" t="s">
        <v>1699</v>
      </c>
      <c r="E868" s="2">
        <v>3924000203010</v>
      </c>
      <c r="F868" s="1" t="s">
        <v>152</v>
      </c>
      <c r="G868" s="1" t="s">
        <v>53</v>
      </c>
      <c r="H868" s="1" t="s">
        <v>153</v>
      </c>
      <c r="I868" s="1" t="s">
        <v>154</v>
      </c>
      <c r="J868" s="1" t="s">
        <v>56</v>
      </c>
      <c r="K868" t="s">
        <v>155</v>
      </c>
      <c r="M868" s="1" t="s">
        <v>35</v>
      </c>
      <c r="N868" s="1">
        <v>42318949</v>
      </c>
      <c r="O868" s="1" t="s">
        <v>36</v>
      </c>
      <c r="P868" s="186">
        <v>44902.480879629627</v>
      </c>
      <c r="R868" s="1">
        <v>1</v>
      </c>
      <c r="T868" s="1" t="s">
        <v>157</v>
      </c>
      <c r="U868" s="186">
        <v>44942.75</v>
      </c>
      <c r="V868" s="1" t="s">
        <v>41</v>
      </c>
      <c r="W868" s="1" t="s">
        <v>49</v>
      </c>
      <c r="Z868" s="14"/>
      <c r="AA868" s="14"/>
      <c r="AC868" s="21"/>
      <c r="AE868" s="21"/>
    </row>
    <row r="869" spans="1:31">
      <c r="A869" s="1">
        <v>9157015</v>
      </c>
      <c r="B869" s="1" t="s">
        <v>62</v>
      </c>
      <c r="C869" t="s">
        <v>1699</v>
      </c>
      <c r="E869" s="2">
        <v>1059000203010</v>
      </c>
      <c r="F869" s="1" t="s">
        <v>152</v>
      </c>
      <c r="G869" s="1" t="s">
        <v>53</v>
      </c>
      <c r="H869" s="1" t="s">
        <v>88</v>
      </c>
      <c r="I869" s="1" t="s">
        <v>89</v>
      </c>
      <c r="J869" s="1" t="s">
        <v>90</v>
      </c>
      <c r="K869" t="s">
        <v>155</v>
      </c>
      <c r="M869" s="1" t="s">
        <v>35</v>
      </c>
      <c r="N869" s="1">
        <v>42318949</v>
      </c>
      <c r="O869" s="1" t="s">
        <v>36</v>
      </c>
      <c r="P869" s="186">
        <v>44902.480844907404</v>
      </c>
      <c r="R869" s="1">
        <v>1</v>
      </c>
      <c r="T869" s="1" t="s">
        <v>157</v>
      </c>
      <c r="U869" s="186">
        <v>44936.75</v>
      </c>
      <c r="V869" s="1" t="s">
        <v>41</v>
      </c>
      <c r="W869" s="1" t="s">
        <v>49</v>
      </c>
      <c r="Z869" s="14"/>
      <c r="AA869" s="14"/>
      <c r="AC869" s="21"/>
      <c r="AE869" s="21"/>
    </row>
    <row r="870" spans="1:31">
      <c r="A870" s="1">
        <v>9156995</v>
      </c>
      <c r="B870" s="1" t="s">
        <v>62</v>
      </c>
      <c r="C870" t="s">
        <v>1699</v>
      </c>
      <c r="E870" s="2">
        <v>2069000203010</v>
      </c>
      <c r="F870" s="1" t="s">
        <v>152</v>
      </c>
      <c r="G870" s="1" t="s">
        <v>53</v>
      </c>
      <c r="H870" s="1" t="s">
        <v>557</v>
      </c>
      <c r="I870" s="1" t="s">
        <v>558</v>
      </c>
      <c r="J870" s="1" t="s">
        <v>90</v>
      </c>
      <c r="K870" t="s">
        <v>155</v>
      </c>
      <c r="M870" s="1" t="s">
        <v>35</v>
      </c>
      <c r="N870" s="1">
        <v>42318949</v>
      </c>
      <c r="O870" s="1" t="s">
        <v>36</v>
      </c>
      <c r="P870" s="186">
        <v>44902.480810185189</v>
      </c>
      <c r="R870" s="1">
        <v>1</v>
      </c>
      <c r="T870" s="1" t="s">
        <v>157</v>
      </c>
      <c r="U870" s="186">
        <v>44936.75</v>
      </c>
      <c r="V870" s="1" t="s">
        <v>41</v>
      </c>
      <c r="W870" s="1" t="s">
        <v>49</v>
      </c>
      <c r="Z870" s="14"/>
      <c r="AA870" s="14"/>
      <c r="AC870" s="21"/>
      <c r="AE870" s="21"/>
    </row>
    <row r="871" spans="1:31">
      <c r="A871" s="1">
        <v>9162440</v>
      </c>
      <c r="B871" s="1" t="s">
        <v>62</v>
      </c>
      <c r="C871" t="s">
        <v>1705</v>
      </c>
      <c r="E871" s="2">
        <v>68000203010</v>
      </c>
      <c r="F871" s="1" t="s">
        <v>152</v>
      </c>
      <c r="G871" s="1" t="s">
        <v>53</v>
      </c>
      <c r="H871" s="1" t="s">
        <v>1330</v>
      </c>
      <c r="I871" s="1" t="s">
        <v>1331</v>
      </c>
      <c r="J871" s="1" t="s">
        <v>211</v>
      </c>
      <c r="K871" t="s">
        <v>155</v>
      </c>
      <c r="M871" s="1" t="s">
        <v>35</v>
      </c>
      <c r="N871" s="1">
        <v>42318949</v>
      </c>
      <c r="O871" s="1" t="s">
        <v>36</v>
      </c>
      <c r="P871" s="186">
        <v>44903.531909722224</v>
      </c>
      <c r="R871" s="1">
        <v>1</v>
      </c>
      <c r="T871" s="1" t="s">
        <v>157</v>
      </c>
      <c r="U871" s="186">
        <v>44937.75</v>
      </c>
      <c r="V871" s="1" t="s">
        <v>41</v>
      </c>
      <c r="W871" s="1" t="s">
        <v>49</v>
      </c>
      <c r="Z871" s="14"/>
      <c r="AA871" s="14"/>
      <c r="AC871" s="21"/>
      <c r="AE871" s="21"/>
    </row>
    <row r="872" spans="1:31">
      <c r="A872" s="1">
        <v>9168008</v>
      </c>
      <c r="B872" s="1" t="s">
        <v>62</v>
      </c>
      <c r="C872" t="s">
        <v>1706</v>
      </c>
      <c r="E872" s="2">
        <v>2069000203000</v>
      </c>
      <c r="F872" s="1" t="s">
        <v>454</v>
      </c>
      <c r="G872" s="1" t="s">
        <v>53</v>
      </c>
      <c r="H872" s="1" t="s">
        <v>557</v>
      </c>
      <c r="I872" s="1" t="s">
        <v>558</v>
      </c>
      <c r="J872" s="1" t="s">
        <v>90</v>
      </c>
      <c r="K872" t="s">
        <v>457</v>
      </c>
      <c r="M872" s="1" t="s">
        <v>58</v>
      </c>
      <c r="N872" s="1">
        <v>0</v>
      </c>
      <c r="O872" s="1" t="s">
        <v>36</v>
      </c>
      <c r="P872" s="186">
        <v>44904.703738425924</v>
      </c>
      <c r="R872" s="1">
        <v>1</v>
      </c>
      <c r="T872" s="1" t="s">
        <v>157</v>
      </c>
      <c r="U872" s="186">
        <v>44938.75</v>
      </c>
      <c r="V872" s="1" t="s">
        <v>41</v>
      </c>
      <c r="W872" s="1" t="s">
        <v>49</v>
      </c>
      <c r="Z872" s="14"/>
      <c r="AA872" s="14"/>
      <c r="AC872" s="21"/>
      <c r="AE872" s="21"/>
    </row>
    <row r="873" spans="1:31">
      <c r="A873" s="1">
        <v>9180276</v>
      </c>
      <c r="B873" s="1" t="s">
        <v>62</v>
      </c>
      <c r="C873" t="s">
        <v>1707</v>
      </c>
      <c r="E873" s="2">
        <v>1902016006800</v>
      </c>
      <c r="F873" s="1" t="s">
        <v>64</v>
      </c>
      <c r="G873" s="1" t="s">
        <v>53</v>
      </c>
      <c r="H873" s="1" t="s">
        <v>1330</v>
      </c>
      <c r="I873" s="1" t="s">
        <v>1331</v>
      </c>
      <c r="J873" s="1" t="s">
        <v>211</v>
      </c>
      <c r="K873" t="s">
        <v>67</v>
      </c>
      <c r="M873" s="1" t="s">
        <v>35</v>
      </c>
      <c r="N873" s="1">
        <v>42318949</v>
      </c>
      <c r="O873" s="1" t="s">
        <v>36</v>
      </c>
      <c r="P873" s="186">
        <v>44907.687534722223</v>
      </c>
      <c r="R873" s="1" t="s">
        <v>571</v>
      </c>
      <c r="T873" s="1" t="s">
        <v>69</v>
      </c>
      <c r="U873" s="186">
        <v>44916.687534722223</v>
      </c>
      <c r="V873" s="1" t="s">
        <v>41</v>
      </c>
      <c r="W873" s="1" t="s">
        <v>49</v>
      </c>
      <c r="Z873" s="14"/>
      <c r="AA873" s="14"/>
      <c r="AC873" s="21"/>
      <c r="AE873" s="21"/>
    </row>
    <row r="874" spans="1:31" hidden="1">
      <c r="A874" s="1">
        <v>9177930</v>
      </c>
      <c r="B874" s="1" t="s">
        <v>226</v>
      </c>
      <c r="C874" t="s">
        <v>1708</v>
      </c>
      <c r="E874" s="2">
        <v>1902016179200</v>
      </c>
      <c r="F874" s="1" t="s">
        <v>64</v>
      </c>
      <c r="G874" s="1" t="s">
        <v>53</v>
      </c>
      <c r="H874" s="1" t="s">
        <v>467</v>
      </c>
      <c r="I874" s="1" t="s">
        <v>468</v>
      </c>
      <c r="J874" s="1" t="s">
        <v>110</v>
      </c>
      <c r="K874" t="s">
        <v>67</v>
      </c>
      <c r="M874" s="1" t="s">
        <v>35</v>
      </c>
      <c r="N874" s="1">
        <v>42318949</v>
      </c>
      <c r="O874" s="1" t="s">
        <v>105</v>
      </c>
      <c r="P874" s="186">
        <v>44907.415682870371</v>
      </c>
      <c r="R874" s="1" t="s">
        <v>571</v>
      </c>
      <c r="T874" s="1" t="s">
        <v>69</v>
      </c>
      <c r="U874" s="186">
        <v>44909.415682870371</v>
      </c>
      <c r="V874" s="1" t="s">
        <v>41</v>
      </c>
      <c r="W874" s="1" t="s">
        <v>49</v>
      </c>
      <c r="Z874" s="14"/>
      <c r="AA874" s="14"/>
      <c r="AC874" s="21"/>
      <c r="AE874" s="21"/>
    </row>
    <row r="875" spans="1:31" hidden="1">
      <c r="A875" s="1">
        <v>9188220</v>
      </c>
      <c r="B875" s="1" t="s">
        <v>62</v>
      </c>
      <c r="C875" t="s">
        <v>1709</v>
      </c>
      <c r="E875" s="2">
        <v>1902016298800</v>
      </c>
      <c r="F875" s="1" t="s">
        <v>64</v>
      </c>
      <c r="G875" s="1" t="s">
        <v>53</v>
      </c>
      <c r="H875" s="1" t="s">
        <v>536</v>
      </c>
      <c r="I875" s="1" t="s">
        <v>537</v>
      </c>
      <c r="J875" s="1" t="s">
        <v>46</v>
      </c>
      <c r="K875" t="s">
        <v>67</v>
      </c>
      <c r="M875" s="1" t="s">
        <v>35</v>
      </c>
      <c r="N875" s="1">
        <v>42318949</v>
      </c>
      <c r="O875" s="1" t="s">
        <v>36</v>
      </c>
      <c r="P875" s="186">
        <v>44909.40121527778</v>
      </c>
      <c r="R875" s="1" t="s">
        <v>571</v>
      </c>
      <c r="T875" s="1" t="s">
        <v>69</v>
      </c>
      <c r="U875" s="186">
        <v>44918.40121527778</v>
      </c>
      <c r="V875" s="1" t="s">
        <v>41</v>
      </c>
      <c r="W875" s="1" t="s">
        <v>49</v>
      </c>
      <c r="Z875" s="14"/>
      <c r="AA875" s="14"/>
      <c r="AC875" s="21"/>
      <c r="AE875" s="21"/>
    </row>
    <row r="876" spans="1:31">
      <c r="A876" s="1">
        <v>9188182</v>
      </c>
      <c r="B876" s="1" t="s">
        <v>62</v>
      </c>
      <c r="C876" t="s">
        <v>1712</v>
      </c>
      <c r="E876" s="2">
        <v>1902016087000</v>
      </c>
      <c r="F876" s="1" t="s">
        <v>64</v>
      </c>
      <c r="G876" s="1" t="s">
        <v>53</v>
      </c>
      <c r="H876" s="1" t="s">
        <v>183</v>
      </c>
      <c r="I876" s="1" t="s">
        <v>184</v>
      </c>
      <c r="J876" s="1" t="s">
        <v>90</v>
      </c>
      <c r="K876" t="s">
        <v>67</v>
      </c>
      <c r="M876" s="1" t="s">
        <v>35</v>
      </c>
      <c r="N876" s="1">
        <v>42318949</v>
      </c>
      <c r="O876" s="1" t="s">
        <v>36</v>
      </c>
      <c r="P876" s="186">
        <v>44909.398680555554</v>
      </c>
      <c r="R876" s="1" t="s">
        <v>571</v>
      </c>
      <c r="T876" s="1" t="s">
        <v>69</v>
      </c>
      <c r="U876" s="186">
        <v>44918.398680555554</v>
      </c>
      <c r="V876" s="1" t="s">
        <v>41</v>
      </c>
      <c r="W876" s="1" t="s">
        <v>49</v>
      </c>
      <c r="Z876" s="14"/>
      <c r="AA876" s="14"/>
      <c r="AC876" s="21"/>
      <c r="AE876" s="21"/>
    </row>
    <row r="877" spans="1:31" hidden="1">
      <c r="A877" s="1">
        <v>9188168</v>
      </c>
      <c r="B877" s="1" t="s">
        <v>62</v>
      </c>
      <c r="C877" t="s">
        <v>1713</v>
      </c>
      <c r="E877" s="2">
        <v>1902016006700</v>
      </c>
      <c r="F877" s="1" t="s">
        <v>64</v>
      </c>
      <c r="G877" s="1" t="s">
        <v>53</v>
      </c>
      <c r="H877" s="1" t="s">
        <v>404</v>
      </c>
      <c r="I877" s="1" t="s">
        <v>405</v>
      </c>
      <c r="J877" s="1" t="s">
        <v>164</v>
      </c>
      <c r="K877" t="s">
        <v>67</v>
      </c>
      <c r="M877" s="1" t="s">
        <v>35</v>
      </c>
      <c r="N877" s="1">
        <v>42318949</v>
      </c>
      <c r="O877" s="1" t="s">
        <v>36</v>
      </c>
      <c r="P877" s="186">
        <v>44909.395740740743</v>
      </c>
      <c r="R877" s="1" t="s">
        <v>571</v>
      </c>
      <c r="T877" s="1" t="s">
        <v>69</v>
      </c>
      <c r="U877" s="186">
        <v>44918.395740740743</v>
      </c>
      <c r="V877" s="1" t="s">
        <v>41</v>
      </c>
      <c r="W877" s="1" t="s">
        <v>49</v>
      </c>
      <c r="Z877" s="14"/>
      <c r="AA877" s="14"/>
      <c r="AC877" s="21"/>
      <c r="AE877" s="21"/>
    </row>
    <row r="878" spans="1:31" hidden="1">
      <c r="A878" s="1">
        <v>9257159</v>
      </c>
      <c r="B878" s="1" t="s">
        <v>1717</v>
      </c>
      <c r="C878" t="s">
        <v>1723</v>
      </c>
      <c r="D878" s="2">
        <v>20228573000031</v>
      </c>
      <c r="E878" s="2">
        <v>7417193051272</v>
      </c>
      <c r="F878" s="1" t="s">
        <v>1719</v>
      </c>
      <c r="G878" s="1" t="s">
        <v>53</v>
      </c>
      <c r="H878" s="1" t="s">
        <v>657</v>
      </c>
      <c r="I878" s="1" t="s">
        <v>658</v>
      </c>
      <c r="J878" s="1" t="s">
        <v>33</v>
      </c>
      <c r="K878" t="s">
        <v>1720</v>
      </c>
      <c r="M878" s="1" t="s">
        <v>58</v>
      </c>
      <c r="N878" s="1">
        <v>0</v>
      </c>
      <c r="O878" s="1" t="s">
        <v>36</v>
      </c>
      <c r="P878" s="186">
        <v>44924.464942129627</v>
      </c>
      <c r="R878" s="1">
        <v>22</v>
      </c>
      <c r="T878" s="1" t="s">
        <v>1160</v>
      </c>
      <c r="U878" s="186">
        <v>44925.47146990741</v>
      </c>
      <c r="V878" s="1" t="s">
        <v>41</v>
      </c>
      <c r="W878" s="1" t="s">
        <v>49</v>
      </c>
      <c r="Z878" s="14"/>
      <c r="AA878" s="14"/>
      <c r="AC878" s="21"/>
      <c r="AE878" s="21"/>
    </row>
    <row r="879" spans="1:31" hidden="1">
      <c r="A879" s="1">
        <v>9273288</v>
      </c>
      <c r="B879" s="1" t="s">
        <v>1153</v>
      </c>
      <c r="C879" t="s">
        <v>1726</v>
      </c>
      <c r="D879" s="2">
        <v>20232678000001</v>
      </c>
      <c r="E879" s="2">
        <v>7417192420963</v>
      </c>
      <c r="F879" s="1" t="s">
        <v>1727</v>
      </c>
      <c r="G879" s="1" t="s">
        <v>53</v>
      </c>
      <c r="H879" s="1" t="s">
        <v>992</v>
      </c>
      <c r="I879" s="1" t="s">
        <v>993</v>
      </c>
      <c r="J879" s="1" t="s">
        <v>33</v>
      </c>
      <c r="K879" t="s">
        <v>1728</v>
      </c>
      <c r="M879" s="1" t="s">
        <v>58</v>
      </c>
      <c r="N879" s="1">
        <v>0</v>
      </c>
      <c r="O879" s="1" t="s">
        <v>36</v>
      </c>
      <c r="P879" s="186">
        <v>44928.436076388891</v>
      </c>
      <c r="R879" s="1">
        <v>22</v>
      </c>
      <c r="T879" s="1" t="s">
        <v>1160</v>
      </c>
      <c r="U879" s="186">
        <v>44930.644409722219</v>
      </c>
      <c r="V879" s="1" t="s">
        <v>41</v>
      </c>
      <c r="W879" s="1" t="s">
        <v>42</v>
      </c>
      <c r="Z879" s="14"/>
      <c r="AA879" s="14"/>
      <c r="AC879" s="21"/>
      <c r="AE879" s="21"/>
    </row>
    <row r="880" spans="1:31" hidden="1">
      <c r="A880" s="1">
        <v>9271243</v>
      </c>
      <c r="B880" s="1" t="s">
        <v>101</v>
      </c>
      <c r="C880" t="s">
        <v>643</v>
      </c>
      <c r="D880" s="2">
        <v>230001652</v>
      </c>
      <c r="E880" s="2">
        <v>1358001400040</v>
      </c>
      <c r="F880" s="1" t="s">
        <v>644</v>
      </c>
      <c r="G880" s="1" t="s">
        <v>53</v>
      </c>
      <c r="H880" s="1" t="s">
        <v>593</v>
      </c>
      <c r="I880" s="1" t="s">
        <v>594</v>
      </c>
      <c r="J880" s="1" t="s">
        <v>261</v>
      </c>
      <c r="K880" t="s">
        <v>645</v>
      </c>
      <c r="M880" s="1" t="s">
        <v>58</v>
      </c>
      <c r="N880" s="1">
        <v>0</v>
      </c>
      <c r="O880" s="1" t="s">
        <v>105</v>
      </c>
      <c r="P880" s="186">
        <v>44928.004988425928</v>
      </c>
      <c r="R880" s="1">
        <v>3</v>
      </c>
      <c r="T880" s="1" t="s">
        <v>646</v>
      </c>
      <c r="U880" s="186">
        <v>44929.004999999997</v>
      </c>
      <c r="V880" s="1" t="s">
        <v>41</v>
      </c>
      <c r="W880" s="1" t="s">
        <v>49</v>
      </c>
      <c r="Z880" s="14"/>
      <c r="AA880" s="14"/>
      <c r="AC880" s="21"/>
      <c r="AE880" s="21"/>
    </row>
    <row r="881" spans="1:31" hidden="1">
      <c r="A881" s="1">
        <v>9271230</v>
      </c>
      <c r="B881" s="1" t="s">
        <v>101</v>
      </c>
      <c r="C881" t="s">
        <v>643</v>
      </c>
      <c r="D881" s="2">
        <v>230001642</v>
      </c>
      <c r="E881" s="2">
        <v>1792001400030</v>
      </c>
      <c r="F881" s="1" t="s">
        <v>647</v>
      </c>
      <c r="G881" s="1" t="s">
        <v>53</v>
      </c>
      <c r="H881" s="1" t="s">
        <v>467</v>
      </c>
      <c r="I881" s="1" t="s">
        <v>468</v>
      </c>
      <c r="J881" s="1" t="s">
        <v>110</v>
      </c>
      <c r="K881" t="s">
        <v>650</v>
      </c>
      <c r="M881" s="1" t="s">
        <v>58</v>
      </c>
      <c r="N881" s="1">
        <v>0</v>
      </c>
      <c r="O881" s="1" t="s">
        <v>105</v>
      </c>
      <c r="P881" s="186">
        <v>44928.004513888889</v>
      </c>
      <c r="R881" s="1">
        <v>4</v>
      </c>
      <c r="T881" s="1" t="s">
        <v>646</v>
      </c>
      <c r="U881" s="186">
        <v>44929.004513888889</v>
      </c>
      <c r="V881" s="1" t="s">
        <v>41</v>
      </c>
      <c r="W881" s="1" t="s">
        <v>49</v>
      </c>
      <c r="Z881" s="14"/>
      <c r="AA881" s="14"/>
      <c r="AC881" s="21"/>
      <c r="AE881" s="21"/>
    </row>
    <row r="882" spans="1:31" hidden="1">
      <c r="A882" s="1">
        <v>9271227</v>
      </c>
      <c r="B882" s="1" t="s">
        <v>101</v>
      </c>
      <c r="C882" t="s">
        <v>643</v>
      </c>
      <c r="D882" s="2">
        <v>230001658</v>
      </c>
      <c r="E882" s="2">
        <v>5740001400040</v>
      </c>
      <c r="F882" s="1" t="s">
        <v>644</v>
      </c>
      <c r="G882" s="1" t="s">
        <v>53</v>
      </c>
      <c r="H882" s="1" t="s">
        <v>626</v>
      </c>
      <c r="I882" s="1" t="s">
        <v>627</v>
      </c>
      <c r="J882" s="1" t="s">
        <v>46</v>
      </c>
      <c r="K882" t="s">
        <v>645</v>
      </c>
      <c r="M882" s="1" t="s">
        <v>58</v>
      </c>
      <c r="N882" s="1">
        <v>0</v>
      </c>
      <c r="O882" s="1" t="s">
        <v>105</v>
      </c>
      <c r="P882" s="186">
        <v>44928.004340277781</v>
      </c>
      <c r="R882" s="1">
        <v>3</v>
      </c>
      <c r="T882" s="1" t="s">
        <v>646</v>
      </c>
      <c r="U882" s="186">
        <v>44929.004340277781</v>
      </c>
      <c r="V882" s="1" t="s">
        <v>41</v>
      </c>
      <c r="W882" s="1" t="s">
        <v>49</v>
      </c>
      <c r="Z882" s="14"/>
      <c r="AA882" s="14"/>
      <c r="AC882" s="21"/>
      <c r="AE882" s="21"/>
    </row>
    <row r="883" spans="1:31" hidden="1">
      <c r="A883" s="1">
        <v>9280165</v>
      </c>
      <c r="B883" s="1" t="s">
        <v>1153</v>
      </c>
      <c r="C883" t="s">
        <v>1737</v>
      </c>
      <c r="D883" s="2">
        <v>230002991</v>
      </c>
      <c r="E883" s="2">
        <v>3613001400030</v>
      </c>
      <c r="F883" s="1" t="s">
        <v>647</v>
      </c>
      <c r="G883" s="1" t="s">
        <v>53</v>
      </c>
      <c r="H883" s="1" t="s">
        <v>679</v>
      </c>
      <c r="I883" s="1" t="s">
        <v>680</v>
      </c>
      <c r="J883" s="1" t="s">
        <v>46</v>
      </c>
      <c r="K883" t="s">
        <v>650</v>
      </c>
      <c r="M883" s="1" t="s">
        <v>58</v>
      </c>
      <c r="N883" s="1">
        <v>0</v>
      </c>
      <c r="O883" s="1" t="s">
        <v>36</v>
      </c>
      <c r="P883" s="186">
        <v>44929.666481481479</v>
      </c>
      <c r="R883" s="1">
        <v>4</v>
      </c>
      <c r="T883" s="1" t="s">
        <v>646</v>
      </c>
      <c r="U883" s="186">
        <v>44937.729166666664</v>
      </c>
      <c r="V883" s="1" t="s">
        <v>41</v>
      </c>
      <c r="W883" s="1" t="s">
        <v>49</v>
      </c>
      <c r="Z883" s="14"/>
      <c r="AA883" s="14"/>
      <c r="AC883" s="21"/>
      <c r="AE883" s="21"/>
    </row>
    <row r="884" spans="1:31" hidden="1">
      <c r="A884" s="1">
        <v>9285222</v>
      </c>
      <c r="B884" s="1" t="s">
        <v>101</v>
      </c>
      <c r="C884" t="s">
        <v>1740</v>
      </c>
      <c r="E884" s="2">
        <v>7417163050348</v>
      </c>
      <c r="F884" s="1" t="s">
        <v>1741</v>
      </c>
      <c r="G884" s="1" t="s">
        <v>53</v>
      </c>
      <c r="H884" s="1" t="s">
        <v>1742</v>
      </c>
      <c r="I884" s="1" t="s">
        <v>1743</v>
      </c>
      <c r="J884" s="1" t="s">
        <v>141</v>
      </c>
      <c r="K884" t="s">
        <v>1744</v>
      </c>
      <c r="M884" s="1" t="s">
        <v>58</v>
      </c>
      <c r="N884" s="1">
        <v>0</v>
      </c>
      <c r="O884" s="1" t="s">
        <v>105</v>
      </c>
      <c r="P884" s="186">
        <v>44930.678425925929</v>
      </c>
      <c r="R884" s="1">
        <v>14</v>
      </c>
      <c r="T884" s="1" t="s">
        <v>238</v>
      </c>
      <c r="U884" s="186">
        <v>44930.678425925929</v>
      </c>
      <c r="V884" s="1" t="s">
        <v>41</v>
      </c>
      <c r="W884" s="1" t="s">
        <v>49</v>
      </c>
      <c r="Z884" s="14"/>
      <c r="AA884" s="14"/>
      <c r="AC884" s="21"/>
      <c r="AE884" s="21"/>
    </row>
    <row r="885" spans="1:31" hidden="1">
      <c r="A885" s="1">
        <v>9283021</v>
      </c>
      <c r="B885" s="1" t="s">
        <v>1153</v>
      </c>
      <c r="C885" t="s">
        <v>1746</v>
      </c>
      <c r="D885" s="2">
        <v>230003174</v>
      </c>
      <c r="E885" s="2">
        <v>1264001400030</v>
      </c>
      <c r="F885" s="1" t="s">
        <v>647</v>
      </c>
      <c r="G885" s="1" t="s">
        <v>53</v>
      </c>
      <c r="H885" s="1" t="s">
        <v>351</v>
      </c>
      <c r="I885" s="1" t="s">
        <v>352</v>
      </c>
      <c r="J885" s="1" t="s">
        <v>110</v>
      </c>
      <c r="K885" t="s">
        <v>650</v>
      </c>
      <c r="M885" s="1" t="s">
        <v>58</v>
      </c>
      <c r="N885" s="1">
        <v>0</v>
      </c>
      <c r="O885" s="1" t="s">
        <v>36</v>
      </c>
      <c r="P885" s="186">
        <v>44930.391539351855</v>
      </c>
      <c r="R885" s="1">
        <v>4</v>
      </c>
      <c r="T885" s="1" t="s">
        <v>646</v>
      </c>
      <c r="U885" s="186">
        <v>44935.645833333336</v>
      </c>
      <c r="V885" s="1" t="s">
        <v>41</v>
      </c>
      <c r="W885" s="1" t="s">
        <v>49</v>
      </c>
      <c r="Z885" s="14"/>
      <c r="AA885" s="14"/>
      <c r="AC885" s="21"/>
      <c r="AE885" s="21"/>
    </row>
    <row r="886" spans="1:31" hidden="1">
      <c r="A886" s="1">
        <v>9289476</v>
      </c>
      <c r="B886" s="1" t="s">
        <v>1153</v>
      </c>
      <c r="C886" t="s">
        <v>1747</v>
      </c>
      <c r="D886" s="2">
        <v>20234924000013</v>
      </c>
      <c r="E886" s="2">
        <v>7417163281264</v>
      </c>
      <c r="F886" s="1" t="s">
        <v>131</v>
      </c>
      <c r="G886" s="1" t="s">
        <v>53</v>
      </c>
      <c r="H886" s="1" t="s">
        <v>1748</v>
      </c>
      <c r="I886" s="1" t="s">
        <v>1749</v>
      </c>
      <c r="J886" s="1" t="s">
        <v>79</v>
      </c>
      <c r="K886" t="s">
        <v>132</v>
      </c>
      <c r="M886" s="1" t="s">
        <v>58</v>
      </c>
      <c r="N886" s="1">
        <v>0</v>
      </c>
      <c r="O886" s="1" t="s">
        <v>36</v>
      </c>
      <c r="P886" s="186">
        <v>44931.581041666665</v>
      </c>
      <c r="R886" s="1">
        <v>14</v>
      </c>
      <c r="T886" s="1" t="s">
        <v>238</v>
      </c>
      <c r="U886" s="186">
        <v>44931.581041666665</v>
      </c>
      <c r="V886" s="1" t="s">
        <v>41</v>
      </c>
      <c r="W886" s="1" t="s">
        <v>49</v>
      </c>
      <c r="Z886" s="14"/>
      <c r="AA886" s="14"/>
      <c r="AC886" s="21"/>
      <c r="AE886" s="21"/>
    </row>
    <row r="887" spans="1:31">
      <c r="A887" s="1">
        <v>9303921</v>
      </c>
      <c r="B887" s="1" t="s">
        <v>101</v>
      </c>
      <c r="C887" t="s">
        <v>1751</v>
      </c>
      <c r="E887" s="2">
        <v>9705000206201</v>
      </c>
      <c r="F887" s="1" t="s">
        <v>208</v>
      </c>
      <c r="G887" s="1" t="s">
        <v>53</v>
      </c>
      <c r="H887" s="1" t="s">
        <v>204</v>
      </c>
      <c r="I887" s="1" t="s">
        <v>205</v>
      </c>
      <c r="J887" s="1" t="s">
        <v>90</v>
      </c>
      <c r="K887" t="s">
        <v>212</v>
      </c>
      <c r="M887" s="1" t="s">
        <v>35</v>
      </c>
      <c r="N887" s="1">
        <v>42318949</v>
      </c>
      <c r="O887" s="1" t="s">
        <v>105</v>
      </c>
      <c r="P887" s="11" t="s">
        <v>1752</v>
      </c>
      <c r="R887" s="1" t="s">
        <v>38</v>
      </c>
      <c r="T887" s="1" t="s">
        <v>74</v>
      </c>
      <c r="U887" s="11" t="s">
        <v>1341</v>
      </c>
      <c r="V887" s="1" t="s">
        <v>41</v>
      </c>
      <c r="W887" s="1" t="s">
        <v>49</v>
      </c>
      <c r="Z887" s="14"/>
      <c r="AA887" s="14"/>
      <c r="AC887" s="21"/>
      <c r="AE887" s="21"/>
    </row>
    <row r="888" spans="1:31" hidden="1">
      <c r="A888" s="1">
        <v>9303920</v>
      </c>
      <c r="B888" s="1" t="s">
        <v>101</v>
      </c>
      <c r="C888" t="s">
        <v>1751</v>
      </c>
      <c r="E888" s="2">
        <v>9704000206201</v>
      </c>
      <c r="F888" s="1" t="s">
        <v>208</v>
      </c>
      <c r="G888" s="1" t="s">
        <v>53</v>
      </c>
      <c r="H888" s="1" t="s">
        <v>488</v>
      </c>
      <c r="I888" s="1" t="s">
        <v>489</v>
      </c>
      <c r="J888" s="1" t="s">
        <v>164</v>
      </c>
      <c r="K888" t="s">
        <v>212</v>
      </c>
      <c r="M888" s="1" t="s">
        <v>35</v>
      </c>
      <c r="N888" s="1">
        <v>42318949</v>
      </c>
      <c r="O888" s="1" t="s">
        <v>105</v>
      </c>
      <c r="P888" s="11" t="s">
        <v>1752</v>
      </c>
      <c r="R888" s="1" t="s">
        <v>38</v>
      </c>
      <c r="T888" s="1" t="s">
        <v>74</v>
      </c>
      <c r="U888" s="11" t="s">
        <v>1341</v>
      </c>
      <c r="V888" s="1" t="s">
        <v>41</v>
      </c>
      <c r="W888" s="1" t="s">
        <v>49</v>
      </c>
      <c r="Z888" s="14"/>
      <c r="AA888" s="14"/>
      <c r="AC888" s="21"/>
      <c r="AE888" s="21"/>
    </row>
    <row r="889" spans="1:31" hidden="1">
      <c r="A889" s="1">
        <v>9303919</v>
      </c>
      <c r="B889" s="1" t="s">
        <v>101</v>
      </c>
      <c r="C889" t="s">
        <v>1751</v>
      </c>
      <c r="E889" s="2">
        <v>9703000206201</v>
      </c>
      <c r="F889" s="1" t="s">
        <v>208</v>
      </c>
      <c r="G889" s="1" t="s">
        <v>53</v>
      </c>
      <c r="H889" s="1" t="s">
        <v>494</v>
      </c>
      <c r="I889" s="1" t="s">
        <v>495</v>
      </c>
      <c r="J889" s="1" t="s">
        <v>79</v>
      </c>
      <c r="K889" t="s">
        <v>212</v>
      </c>
      <c r="M889" s="1" t="s">
        <v>35</v>
      </c>
      <c r="N889" s="1">
        <v>42318949</v>
      </c>
      <c r="O889" s="1" t="s">
        <v>105</v>
      </c>
      <c r="P889" s="11" t="s">
        <v>1752</v>
      </c>
      <c r="R889" s="1" t="s">
        <v>38</v>
      </c>
      <c r="T889" s="1" t="s">
        <v>74</v>
      </c>
      <c r="U889" s="11" t="s">
        <v>1341</v>
      </c>
      <c r="V889" s="1" t="s">
        <v>41</v>
      </c>
      <c r="W889" s="1" t="s">
        <v>49</v>
      </c>
      <c r="Z889" s="14"/>
      <c r="AA889" s="14"/>
      <c r="AC889" s="21"/>
      <c r="AE889" s="21"/>
    </row>
    <row r="890" spans="1:31">
      <c r="A890" s="1">
        <v>9303918</v>
      </c>
      <c r="B890" s="1" t="s">
        <v>101</v>
      </c>
      <c r="C890" t="s">
        <v>1751</v>
      </c>
      <c r="E890" s="2">
        <v>9700000206201</v>
      </c>
      <c r="F890" s="1" t="s">
        <v>208</v>
      </c>
      <c r="G890" s="1" t="s">
        <v>53</v>
      </c>
      <c r="H890" s="1" t="s">
        <v>209</v>
      </c>
      <c r="I890" s="1" t="s">
        <v>210</v>
      </c>
      <c r="J890" s="1" t="s">
        <v>211</v>
      </c>
      <c r="K890" t="s">
        <v>212</v>
      </c>
      <c r="M890" s="1" t="s">
        <v>35</v>
      </c>
      <c r="N890" s="1">
        <v>42318949</v>
      </c>
      <c r="O890" s="1" t="s">
        <v>105</v>
      </c>
      <c r="P890" s="11" t="s">
        <v>1753</v>
      </c>
      <c r="R890" s="1" t="s">
        <v>38</v>
      </c>
      <c r="T890" s="1" t="s">
        <v>74</v>
      </c>
      <c r="U890" s="186">
        <v>44932.75</v>
      </c>
      <c r="V890" s="1" t="s">
        <v>41</v>
      </c>
      <c r="W890" s="1" t="s">
        <v>49</v>
      </c>
      <c r="Z890" s="14"/>
      <c r="AA890" s="14"/>
      <c r="AC890" s="21"/>
      <c r="AE890" s="21"/>
    </row>
    <row r="891" spans="1:31" hidden="1">
      <c r="A891" s="1">
        <v>9303886</v>
      </c>
      <c r="B891" s="1" t="s">
        <v>101</v>
      </c>
      <c r="C891" t="s">
        <v>1751</v>
      </c>
      <c r="E891" s="2">
        <v>9661000206201</v>
      </c>
      <c r="F891" s="1" t="s">
        <v>208</v>
      </c>
      <c r="G891" s="1" t="s">
        <v>53</v>
      </c>
      <c r="H891" s="1" t="s">
        <v>31</v>
      </c>
      <c r="I891" s="1" t="s">
        <v>32</v>
      </c>
      <c r="J891" s="1" t="s">
        <v>33</v>
      </c>
      <c r="K891" t="s">
        <v>212</v>
      </c>
      <c r="M891" s="1" t="s">
        <v>35</v>
      </c>
      <c r="N891" s="1">
        <v>42318949</v>
      </c>
      <c r="O891" s="1" t="s">
        <v>105</v>
      </c>
      <c r="P891" s="11" t="s">
        <v>1754</v>
      </c>
      <c r="R891" s="1" t="s">
        <v>38</v>
      </c>
      <c r="T891" s="1" t="s">
        <v>74</v>
      </c>
      <c r="U891" s="11" t="s">
        <v>1341</v>
      </c>
      <c r="V891" s="1" t="s">
        <v>41</v>
      </c>
      <c r="W891" s="1" t="s">
        <v>42</v>
      </c>
      <c r="Z891" s="14"/>
      <c r="AA891" s="14"/>
      <c r="AC891" s="21"/>
      <c r="AE891" s="21"/>
    </row>
    <row r="892" spans="1:31" hidden="1">
      <c r="A892" s="1">
        <v>9303849</v>
      </c>
      <c r="B892" s="1" t="s">
        <v>101</v>
      </c>
      <c r="C892" t="s">
        <v>1751</v>
      </c>
      <c r="E892" s="2">
        <v>9406000206201</v>
      </c>
      <c r="F892" s="1" t="s">
        <v>208</v>
      </c>
      <c r="G892" s="1" t="s">
        <v>53</v>
      </c>
      <c r="H892" s="1" t="s">
        <v>114</v>
      </c>
      <c r="I892" s="1" t="s">
        <v>115</v>
      </c>
      <c r="J892" s="1" t="s">
        <v>46</v>
      </c>
      <c r="K892" t="s">
        <v>212</v>
      </c>
      <c r="M892" s="1" t="s">
        <v>35</v>
      </c>
      <c r="N892" s="1">
        <v>42318949</v>
      </c>
      <c r="O892" s="1" t="s">
        <v>105</v>
      </c>
      <c r="P892" s="11" t="s">
        <v>1755</v>
      </c>
      <c r="R892" s="1" t="s">
        <v>38</v>
      </c>
      <c r="T892" s="1" t="s">
        <v>74</v>
      </c>
      <c r="U892" s="11" t="s">
        <v>1341</v>
      </c>
      <c r="V892" s="1" t="s">
        <v>41</v>
      </c>
      <c r="W892" s="1" t="s">
        <v>49</v>
      </c>
      <c r="Z892" s="14"/>
      <c r="AA892" s="14"/>
      <c r="AC892" s="21"/>
      <c r="AE892" s="21"/>
    </row>
    <row r="893" spans="1:31">
      <c r="A893" s="1">
        <v>9303360</v>
      </c>
      <c r="B893" s="1" t="s">
        <v>101</v>
      </c>
      <c r="C893" t="s">
        <v>1756</v>
      </c>
      <c r="E893" s="2">
        <v>9705000206001</v>
      </c>
      <c r="F893" s="1" t="s">
        <v>29</v>
      </c>
      <c r="G893" s="1" t="s">
        <v>53</v>
      </c>
      <c r="H893" s="1" t="s">
        <v>204</v>
      </c>
      <c r="I893" s="1" t="s">
        <v>205</v>
      </c>
      <c r="J893" s="1" t="s">
        <v>90</v>
      </c>
      <c r="K893" t="s">
        <v>34</v>
      </c>
      <c r="M893" s="1" t="s">
        <v>35</v>
      </c>
      <c r="N893" s="1">
        <v>42318949</v>
      </c>
      <c r="O893" s="1" t="s">
        <v>105</v>
      </c>
      <c r="P893" s="11" t="s">
        <v>1757</v>
      </c>
      <c r="R893" s="1" t="s">
        <v>38</v>
      </c>
      <c r="T893" s="1" t="s">
        <v>74</v>
      </c>
      <c r="U893" s="11" t="s">
        <v>1341</v>
      </c>
      <c r="V893" s="1" t="s">
        <v>41</v>
      </c>
      <c r="W893" s="1" t="s">
        <v>49</v>
      </c>
      <c r="Z893" s="14"/>
      <c r="AA893" s="14"/>
      <c r="AC893" s="21"/>
      <c r="AE893" s="21"/>
    </row>
    <row r="894" spans="1:31">
      <c r="A894" s="1">
        <v>9303359</v>
      </c>
      <c r="B894" s="1" t="s">
        <v>101</v>
      </c>
      <c r="C894" t="s">
        <v>1756</v>
      </c>
      <c r="E894" s="2">
        <v>9705000206001</v>
      </c>
      <c r="F894" s="1" t="s">
        <v>29</v>
      </c>
      <c r="G894" s="1" t="s">
        <v>53</v>
      </c>
      <c r="H894" s="1" t="s">
        <v>204</v>
      </c>
      <c r="I894" s="1" t="s">
        <v>205</v>
      </c>
      <c r="J894" s="1" t="s">
        <v>90</v>
      </c>
      <c r="K894" t="s">
        <v>34</v>
      </c>
      <c r="M894" s="1" t="s">
        <v>35</v>
      </c>
      <c r="N894" s="1">
        <v>42318949</v>
      </c>
      <c r="O894" s="1" t="s">
        <v>105</v>
      </c>
      <c r="P894" s="11" t="s">
        <v>1757</v>
      </c>
      <c r="R894" s="1" t="s">
        <v>38</v>
      </c>
      <c r="T894" s="1" t="s">
        <v>74</v>
      </c>
      <c r="U894" s="11" t="s">
        <v>1341</v>
      </c>
      <c r="V894" s="1" t="s">
        <v>41</v>
      </c>
      <c r="W894" s="1" t="s">
        <v>49</v>
      </c>
      <c r="Z894" s="14"/>
      <c r="AA894" s="14"/>
      <c r="AC894" s="21"/>
      <c r="AE894" s="21"/>
    </row>
    <row r="895" spans="1:31">
      <c r="A895" s="1">
        <v>9303358</v>
      </c>
      <c r="B895" s="1" t="s">
        <v>101</v>
      </c>
      <c r="C895" t="s">
        <v>1756</v>
      </c>
      <c r="E895" s="2">
        <v>9705000206001</v>
      </c>
      <c r="F895" s="1" t="s">
        <v>29</v>
      </c>
      <c r="G895" s="1" t="s">
        <v>53</v>
      </c>
      <c r="H895" s="1" t="s">
        <v>204</v>
      </c>
      <c r="I895" s="1" t="s">
        <v>205</v>
      </c>
      <c r="J895" s="1" t="s">
        <v>90</v>
      </c>
      <c r="K895" t="s">
        <v>34</v>
      </c>
      <c r="M895" s="1" t="s">
        <v>35</v>
      </c>
      <c r="N895" s="1">
        <v>42318949</v>
      </c>
      <c r="O895" s="1" t="s">
        <v>105</v>
      </c>
      <c r="P895" s="11" t="s">
        <v>1757</v>
      </c>
      <c r="R895" s="1" t="s">
        <v>38</v>
      </c>
      <c r="T895" s="1" t="s">
        <v>74</v>
      </c>
      <c r="U895" s="11" t="s">
        <v>1341</v>
      </c>
      <c r="V895" s="1" t="s">
        <v>41</v>
      </c>
      <c r="W895" s="1" t="s">
        <v>49</v>
      </c>
      <c r="Z895" s="14"/>
      <c r="AA895" s="14"/>
    </row>
    <row r="896" spans="1:31" hidden="1">
      <c r="A896" s="1">
        <v>9303357</v>
      </c>
      <c r="B896" s="1" t="s">
        <v>101</v>
      </c>
      <c r="C896" t="s">
        <v>1756</v>
      </c>
      <c r="E896" s="2">
        <v>9704000206001</v>
      </c>
      <c r="F896" s="1" t="s">
        <v>29</v>
      </c>
      <c r="G896" s="1" t="s">
        <v>53</v>
      </c>
      <c r="H896" s="1" t="s">
        <v>488</v>
      </c>
      <c r="I896" s="1" t="s">
        <v>489</v>
      </c>
      <c r="J896" s="1" t="s">
        <v>164</v>
      </c>
      <c r="K896" t="s">
        <v>34</v>
      </c>
      <c r="M896" s="1" t="s">
        <v>35</v>
      </c>
      <c r="N896" s="1">
        <v>42318949</v>
      </c>
      <c r="O896" s="1" t="s">
        <v>105</v>
      </c>
      <c r="P896" s="11" t="s">
        <v>1757</v>
      </c>
      <c r="R896" s="1" t="s">
        <v>38</v>
      </c>
      <c r="T896" s="1" t="s">
        <v>74</v>
      </c>
      <c r="U896" s="11" t="s">
        <v>1341</v>
      </c>
      <c r="V896" s="1" t="s">
        <v>41</v>
      </c>
      <c r="W896" s="1" t="s">
        <v>49</v>
      </c>
      <c r="Z896" s="14"/>
      <c r="AA896" s="14"/>
    </row>
    <row r="897" spans="1:27" hidden="1">
      <c r="A897" s="1">
        <v>9303356</v>
      </c>
      <c r="B897" s="1" t="s">
        <v>101</v>
      </c>
      <c r="C897" t="s">
        <v>1756</v>
      </c>
      <c r="E897" s="2">
        <v>9704000206001</v>
      </c>
      <c r="F897" s="1" t="s">
        <v>29</v>
      </c>
      <c r="G897" s="1" t="s">
        <v>53</v>
      </c>
      <c r="H897" s="1" t="s">
        <v>488</v>
      </c>
      <c r="I897" s="1" t="s">
        <v>489</v>
      </c>
      <c r="J897" s="1" t="s">
        <v>164</v>
      </c>
      <c r="K897" t="s">
        <v>34</v>
      </c>
      <c r="M897" s="1" t="s">
        <v>35</v>
      </c>
      <c r="N897" s="1">
        <v>42318949</v>
      </c>
      <c r="O897" s="1" t="s">
        <v>105</v>
      </c>
      <c r="P897" s="11" t="s">
        <v>1757</v>
      </c>
      <c r="R897" s="1" t="s">
        <v>38</v>
      </c>
      <c r="T897" s="1" t="s">
        <v>74</v>
      </c>
      <c r="U897" s="11" t="s">
        <v>1341</v>
      </c>
      <c r="V897" s="1" t="s">
        <v>41</v>
      </c>
      <c r="W897" s="1" t="s">
        <v>49</v>
      </c>
      <c r="Z897" s="14"/>
      <c r="AA897" s="14"/>
    </row>
    <row r="898" spans="1:27" hidden="1">
      <c r="A898" s="1">
        <v>9303355</v>
      </c>
      <c r="B898" s="1" t="s">
        <v>101</v>
      </c>
      <c r="C898" t="s">
        <v>1756</v>
      </c>
      <c r="E898" s="2">
        <v>9704000206001</v>
      </c>
      <c r="F898" s="1" t="s">
        <v>29</v>
      </c>
      <c r="G898" s="1" t="s">
        <v>53</v>
      </c>
      <c r="H898" s="1" t="s">
        <v>488</v>
      </c>
      <c r="I898" s="1" t="s">
        <v>489</v>
      </c>
      <c r="J898" s="1" t="s">
        <v>164</v>
      </c>
      <c r="K898" t="s">
        <v>34</v>
      </c>
      <c r="M898" s="1" t="s">
        <v>35</v>
      </c>
      <c r="N898" s="1">
        <v>42318949</v>
      </c>
      <c r="O898" s="1" t="s">
        <v>105</v>
      </c>
      <c r="P898" s="11" t="s">
        <v>1757</v>
      </c>
      <c r="R898" s="1" t="s">
        <v>38</v>
      </c>
      <c r="T898" s="1" t="s">
        <v>74</v>
      </c>
      <c r="U898" s="11" t="s">
        <v>1341</v>
      </c>
      <c r="V898" s="1" t="s">
        <v>41</v>
      </c>
      <c r="W898" s="1" t="s">
        <v>49</v>
      </c>
      <c r="Z898" s="14"/>
      <c r="AA898" s="14"/>
    </row>
    <row r="899" spans="1:27" hidden="1">
      <c r="A899" s="1">
        <v>9303354</v>
      </c>
      <c r="B899" s="1" t="s">
        <v>101</v>
      </c>
      <c r="C899" t="s">
        <v>1756</v>
      </c>
      <c r="E899" s="2">
        <v>9703000206001</v>
      </c>
      <c r="F899" s="1" t="s">
        <v>29</v>
      </c>
      <c r="G899" s="1" t="s">
        <v>53</v>
      </c>
      <c r="H899" s="1" t="s">
        <v>494</v>
      </c>
      <c r="I899" s="1" t="s">
        <v>495</v>
      </c>
      <c r="J899" s="1" t="s">
        <v>79</v>
      </c>
      <c r="K899" t="s">
        <v>34</v>
      </c>
      <c r="M899" s="1" t="s">
        <v>35</v>
      </c>
      <c r="N899" s="1">
        <v>42318949</v>
      </c>
      <c r="O899" s="1" t="s">
        <v>105</v>
      </c>
      <c r="P899" s="11" t="s">
        <v>1757</v>
      </c>
      <c r="R899" s="1" t="s">
        <v>38</v>
      </c>
      <c r="T899" s="1" t="s">
        <v>74</v>
      </c>
      <c r="U899" s="11" t="s">
        <v>1341</v>
      </c>
      <c r="V899" s="1" t="s">
        <v>41</v>
      </c>
      <c r="W899" s="1" t="s">
        <v>49</v>
      </c>
      <c r="Z899" s="14"/>
      <c r="AA899" s="14"/>
    </row>
    <row r="900" spans="1:27" hidden="1">
      <c r="A900" s="1">
        <v>9303353</v>
      </c>
      <c r="B900" s="1" t="s">
        <v>101</v>
      </c>
      <c r="C900" t="s">
        <v>1756</v>
      </c>
      <c r="E900" s="2">
        <v>9703000206001</v>
      </c>
      <c r="F900" s="1" t="s">
        <v>29</v>
      </c>
      <c r="G900" s="1" t="s">
        <v>53</v>
      </c>
      <c r="H900" s="1" t="s">
        <v>494</v>
      </c>
      <c r="I900" s="1" t="s">
        <v>495</v>
      </c>
      <c r="J900" s="1" t="s">
        <v>79</v>
      </c>
      <c r="K900" t="s">
        <v>34</v>
      </c>
      <c r="M900" s="1" t="s">
        <v>35</v>
      </c>
      <c r="N900" s="1">
        <v>42318949</v>
      </c>
      <c r="O900" s="1" t="s">
        <v>105</v>
      </c>
      <c r="P900" s="11" t="s">
        <v>1757</v>
      </c>
      <c r="R900" s="1" t="s">
        <v>38</v>
      </c>
      <c r="T900" s="1" t="s">
        <v>74</v>
      </c>
      <c r="U900" s="11" t="s">
        <v>1341</v>
      </c>
      <c r="V900" s="1" t="s">
        <v>41</v>
      </c>
      <c r="W900" s="1" t="s">
        <v>49</v>
      </c>
      <c r="Z900" s="14"/>
      <c r="AA900" s="14"/>
    </row>
    <row r="901" spans="1:27">
      <c r="A901" s="1">
        <v>9303352</v>
      </c>
      <c r="B901" s="1" t="s">
        <v>101</v>
      </c>
      <c r="C901" t="s">
        <v>1756</v>
      </c>
      <c r="E901" s="2">
        <v>9700000206001</v>
      </c>
      <c r="F901" s="1" t="s">
        <v>29</v>
      </c>
      <c r="G901" s="1" t="s">
        <v>53</v>
      </c>
      <c r="H901" s="1" t="s">
        <v>209</v>
      </c>
      <c r="I901" s="1" t="s">
        <v>210</v>
      </c>
      <c r="J901" s="1" t="s">
        <v>211</v>
      </c>
      <c r="K901" t="s">
        <v>34</v>
      </c>
      <c r="M901" s="1" t="s">
        <v>35</v>
      </c>
      <c r="N901" s="1">
        <v>42318949</v>
      </c>
      <c r="O901" s="1" t="s">
        <v>105</v>
      </c>
      <c r="P901" s="11" t="s">
        <v>1758</v>
      </c>
      <c r="R901" s="1" t="s">
        <v>38</v>
      </c>
      <c r="T901" s="1" t="s">
        <v>74</v>
      </c>
      <c r="U901" s="11" t="s">
        <v>1341</v>
      </c>
      <c r="V901" s="1" t="s">
        <v>41</v>
      </c>
      <c r="W901" s="1" t="s">
        <v>49</v>
      </c>
      <c r="Z901" s="14"/>
      <c r="AA901" s="14"/>
    </row>
    <row r="902" spans="1:27">
      <c r="A902" s="1">
        <v>9303351</v>
      </c>
      <c r="B902" s="1" t="s">
        <v>101</v>
      </c>
      <c r="C902" t="s">
        <v>1756</v>
      </c>
      <c r="E902" s="2">
        <v>9700000206001</v>
      </c>
      <c r="F902" s="1" t="s">
        <v>29</v>
      </c>
      <c r="G902" s="1" t="s">
        <v>53</v>
      </c>
      <c r="H902" s="1" t="s">
        <v>209</v>
      </c>
      <c r="I902" s="1" t="s">
        <v>210</v>
      </c>
      <c r="J902" s="1" t="s">
        <v>211</v>
      </c>
      <c r="K902" t="s">
        <v>34</v>
      </c>
      <c r="M902" s="1" t="s">
        <v>35</v>
      </c>
      <c r="N902" s="1">
        <v>42318949</v>
      </c>
      <c r="O902" s="1" t="s">
        <v>105</v>
      </c>
      <c r="P902" s="11" t="s">
        <v>1758</v>
      </c>
      <c r="R902" s="1" t="s">
        <v>38</v>
      </c>
      <c r="T902" s="1" t="s">
        <v>74</v>
      </c>
      <c r="U902" s="11" t="s">
        <v>1341</v>
      </c>
      <c r="V902" s="1" t="s">
        <v>41</v>
      </c>
      <c r="W902" s="1" t="s">
        <v>49</v>
      </c>
      <c r="Z902" s="14"/>
      <c r="AA902" s="14"/>
    </row>
    <row r="903" spans="1:27" hidden="1">
      <c r="A903" s="1">
        <v>9303071</v>
      </c>
      <c r="B903" s="1" t="s">
        <v>101</v>
      </c>
      <c r="C903" t="s">
        <v>1756</v>
      </c>
      <c r="E903" s="2">
        <v>9406000206001</v>
      </c>
      <c r="F903" s="1" t="s">
        <v>29</v>
      </c>
      <c r="G903" s="1" t="s">
        <v>53</v>
      </c>
      <c r="H903" s="1" t="s">
        <v>114</v>
      </c>
      <c r="I903" s="1" t="s">
        <v>115</v>
      </c>
      <c r="J903" s="1" t="s">
        <v>46</v>
      </c>
      <c r="K903" t="s">
        <v>34</v>
      </c>
      <c r="M903" s="1" t="s">
        <v>35</v>
      </c>
      <c r="N903" s="1">
        <v>42318949</v>
      </c>
      <c r="O903" s="1" t="s">
        <v>105</v>
      </c>
      <c r="P903" s="11" t="s">
        <v>1759</v>
      </c>
      <c r="R903" s="1" t="s">
        <v>38</v>
      </c>
      <c r="T903" s="1" t="s">
        <v>74</v>
      </c>
      <c r="U903" s="11" t="s">
        <v>1341</v>
      </c>
      <c r="V903" s="1" t="s">
        <v>41</v>
      </c>
      <c r="W903" s="1" t="s">
        <v>49</v>
      </c>
      <c r="Z903" s="14"/>
      <c r="AA903" s="14"/>
    </row>
    <row r="904" spans="1:27" hidden="1">
      <c r="A904" s="1">
        <v>9303070</v>
      </c>
      <c r="B904" s="1" t="s">
        <v>101</v>
      </c>
      <c r="C904" t="s">
        <v>1756</v>
      </c>
      <c r="E904" s="2">
        <v>9406000206001</v>
      </c>
      <c r="F904" s="1" t="s">
        <v>29</v>
      </c>
      <c r="G904" s="1" t="s">
        <v>53</v>
      </c>
      <c r="H904" s="1" t="s">
        <v>114</v>
      </c>
      <c r="I904" s="1" t="s">
        <v>115</v>
      </c>
      <c r="J904" s="1" t="s">
        <v>46</v>
      </c>
      <c r="K904" t="s">
        <v>34</v>
      </c>
      <c r="M904" s="1" t="s">
        <v>35</v>
      </c>
      <c r="N904" s="1">
        <v>42318949</v>
      </c>
      <c r="O904" s="1" t="s">
        <v>105</v>
      </c>
      <c r="P904" s="11" t="s">
        <v>1760</v>
      </c>
      <c r="R904" s="1" t="s">
        <v>38</v>
      </c>
      <c r="T904" s="1" t="s">
        <v>74</v>
      </c>
      <c r="U904" s="11" t="s">
        <v>1341</v>
      </c>
      <c r="V904" s="1" t="s">
        <v>41</v>
      </c>
      <c r="W904" s="1" t="s">
        <v>49</v>
      </c>
      <c r="Z904" s="14"/>
      <c r="AA904" s="14"/>
    </row>
    <row r="905" spans="1:27" hidden="1">
      <c r="A905" s="1">
        <v>9303069</v>
      </c>
      <c r="B905" s="1" t="s">
        <v>101</v>
      </c>
      <c r="C905" t="s">
        <v>1756</v>
      </c>
      <c r="E905" s="2">
        <v>9406000206001</v>
      </c>
      <c r="F905" s="1" t="s">
        <v>29</v>
      </c>
      <c r="G905" s="1" t="s">
        <v>53</v>
      </c>
      <c r="H905" s="1" t="s">
        <v>114</v>
      </c>
      <c r="I905" s="1" t="s">
        <v>115</v>
      </c>
      <c r="J905" s="1" t="s">
        <v>46</v>
      </c>
      <c r="K905" t="s">
        <v>34</v>
      </c>
      <c r="M905" s="1" t="s">
        <v>35</v>
      </c>
      <c r="N905" s="1">
        <v>42318949</v>
      </c>
      <c r="O905" s="1" t="s">
        <v>105</v>
      </c>
      <c r="P905" s="11" t="s">
        <v>1760</v>
      </c>
      <c r="R905" s="1" t="s">
        <v>38</v>
      </c>
      <c r="T905" s="1" t="s">
        <v>74</v>
      </c>
      <c r="U905" s="11" t="s">
        <v>1341</v>
      </c>
      <c r="V905" s="1" t="s">
        <v>41</v>
      </c>
      <c r="W905" s="1" t="s">
        <v>49</v>
      </c>
      <c r="Z905" s="14"/>
      <c r="AA905" s="14"/>
    </row>
    <row r="906" spans="1:27" hidden="1">
      <c r="A906" s="1">
        <v>9303068</v>
      </c>
      <c r="B906" s="1" t="s">
        <v>101</v>
      </c>
      <c r="C906" t="s">
        <v>1756</v>
      </c>
      <c r="E906" s="2">
        <v>9406000206001</v>
      </c>
      <c r="F906" s="1" t="s">
        <v>29</v>
      </c>
      <c r="G906" s="1" t="s">
        <v>53</v>
      </c>
      <c r="H906" s="1" t="s">
        <v>114</v>
      </c>
      <c r="I906" s="1" t="s">
        <v>115</v>
      </c>
      <c r="J906" s="1" t="s">
        <v>46</v>
      </c>
      <c r="K906" t="s">
        <v>34</v>
      </c>
      <c r="M906" s="1" t="s">
        <v>35</v>
      </c>
      <c r="N906" s="1">
        <v>42318949</v>
      </c>
      <c r="O906" s="1" t="s">
        <v>105</v>
      </c>
      <c r="P906" s="11" t="s">
        <v>1760</v>
      </c>
      <c r="R906" s="1" t="s">
        <v>38</v>
      </c>
      <c r="T906" s="1" t="s">
        <v>74</v>
      </c>
      <c r="U906" s="11" t="s">
        <v>1341</v>
      </c>
      <c r="V906" s="1" t="s">
        <v>41</v>
      </c>
      <c r="W906" s="1" t="s">
        <v>49</v>
      </c>
      <c r="Z906" s="14"/>
      <c r="AA906" s="14"/>
    </row>
    <row r="907" spans="1:27" hidden="1">
      <c r="A907" s="1">
        <v>9303067</v>
      </c>
      <c r="B907" s="1" t="s">
        <v>101</v>
      </c>
      <c r="C907" t="s">
        <v>1756</v>
      </c>
      <c r="E907" s="2">
        <v>9406000206001</v>
      </c>
      <c r="F907" s="1" t="s">
        <v>29</v>
      </c>
      <c r="G907" s="1" t="s">
        <v>53</v>
      </c>
      <c r="H907" s="1" t="s">
        <v>114</v>
      </c>
      <c r="I907" s="1" t="s">
        <v>115</v>
      </c>
      <c r="J907" s="1" t="s">
        <v>46</v>
      </c>
      <c r="K907" t="s">
        <v>34</v>
      </c>
      <c r="M907" s="1" t="s">
        <v>35</v>
      </c>
      <c r="N907" s="1">
        <v>42318949</v>
      </c>
      <c r="O907" s="1" t="s">
        <v>105</v>
      </c>
      <c r="P907" s="11" t="s">
        <v>1760</v>
      </c>
      <c r="R907" s="1" t="s">
        <v>38</v>
      </c>
      <c r="T907" s="1" t="s">
        <v>74</v>
      </c>
      <c r="U907" s="11" t="s">
        <v>1341</v>
      </c>
      <c r="V907" s="1" t="s">
        <v>41</v>
      </c>
      <c r="W907" s="1" t="s">
        <v>49</v>
      </c>
      <c r="Z907" s="14"/>
      <c r="AA907" s="14"/>
    </row>
    <row r="908" spans="1:27" hidden="1">
      <c r="A908" s="1">
        <v>9303066</v>
      </c>
      <c r="B908" s="1" t="s">
        <v>101</v>
      </c>
      <c r="C908" t="s">
        <v>1756</v>
      </c>
      <c r="E908" s="2">
        <v>9406000206001</v>
      </c>
      <c r="F908" s="1" t="s">
        <v>29</v>
      </c>
      <c r="G908" s="1" t="s">
        <v>53</v>
      </c>
      <c r="H908" s="1" t="s">
        <v>114</v>
      </c>
      <c r="I908" s="1" t="s">
        <v>115</v>
      </c>
      <c r="J908" s="1" t="s">
        <v>46</v>
      </c>
      <c r="K908" t="s">
        <v>34</v>
      </c>
      <c r="M908" s="1" t="s">
        <v>35</v>
      </c>
      <c r="N908" s="1">
        <v>42318949</v>
      </c>
      <c r="O908" s="1" t="s">
        <v>105</v>
      </c>
      <c r="P908" s="11" t="s">
        <v>1760</v>
      </c>
      <c r="R908" s="1" t="s">
        <v>38</v>
      </c>
      <c r="T908" s="1" t="s">
        <v>74</v>
      </c>
      <c r="U908" s="11" t="s">
        <v>1341</v>
      </c>
      <c r="V908" s="1" t="s">
        <v>41</v>
      </c>
      <c r="W908" s="1" t="s">
        <v>49</v>
      </c>
      <c r="Z908" s="14"/>
      <c r="AA908" s="14"/>
    </row>
    <row r="909" spans="1:27" hidden="1">
      <c r="A909" s="1">
        <v>9303065</v>
      </c>
      <c r="B909" s="1" t="s">
        <v>101</v>
      </c>
      <c r="C909" t="s">
        <v>1756</v>
      </c>
      <c r="E909" s="2">
        <v>9406000206001</v>
      </c>
      <c r="F909" s="1" t="s">
        <v>29</v>
      </c>
      <c r="G909" s="1" t="s">
        <v>53</v>
      </c>
      <c r="H909" s="1" t="s">
        <v>114</v>
      </c>
      <c r="I909" s="1" t="s">
        <v>115</v>
      </c>
      <c r="J909" s="1" t="s">
        <v>46</v>
      </c>
      <c r="K909" t="s">
        <v>34</v>
      </c>
      <c r="M909" s="1" t="s">
        <v>35</v>
      </c>
      <c r="N909" s="1">
        <v>42318949</v>
      </c>
      <c r="O909" s="1" t="s">
        <v>105</v>
      </c>
      <c r="P909" s="11" t="s">
        <v>1760</v>
      </c>
      <c r="R909" s="1" t="s">
        <v>38</v>
      </c>
      <c r="T909" s="1" t="s">
        <v>74</v>
      </c>
      <c r="U909" s="11" t="s">
        <v>1341</v>
      </c>
      <c r="V909" s="1" t="s">
        <v>41</v>
      </c>
      <c r="W909" s="1" t="s">
        <v>49</v>
      </c>
      <c r="Z909" s="14"/>
      <c r="AA909" s="14"/>
    </row>
    <row r="910" spans="1:27">
      <c r="A910" s="1">
        <v>9301763</v>
      </c>
      <c r="B910" s="1" t="s">
        <v>101</v>
      </c>
      <c r="C910" t="s">
        <v>1761</v>
      </c>
      <c r="E910" s="2">
        <v>9705000206001</v>
      </c>
      <c r="F910" s="1" t="s">
        <v>29</v>
      </c>
      <c r="G910" s="1" t="s">
        <v>53</v>
      </c>
      <c r="H910" s="1" t="s">
        <v>204</v>
      </c>
      <c r="I910" s="1" t="s">
        <v>205</v>
      </c>
      <c r="J910" s="1" t="s">
        <v>90</v>
      </c>
      <c r="K910" t="s">
        <v>34</v>
      </c>
      <c r="M910" s="1" t="s">
        <v>35</v>
      </c>
      <c r="N910" s="1">
        <v>42318949</v>
      </c>
      <c r="O910" s="1" t="s">
        <v>105</v>
      </c>
      <c r="P910" s="11" t="s">
        <v>1762</v>
      </c>
      <c r="R910" s="1" t="s">
        <v>38</v>
      </c>
      <c r="T910" s="1" t="s">
        <v>74</v>
      </c>
      <c r="U910" s="11" t="s">
        <v>1341</v>
      </c>
      <c r="V910" s="1" t="s">
        <v>41</v>
      </c>
      <c r="W910" s="1" t="s">
        <v>49</v>
      </c>
      <c r="Z910" s="14"/>
      <c r="AA910" s="14"/>
    </row>
    <row r="911" spans="1:27">
      <c r="A911" s="1">
        <v>9301762</v>
      </c>
      <c r="B911" s="1" t="s">
        <v>101</v>
      </c>
      <c r="C911" t="s">
        <v>1761</v>
      </c>
      <c r="E911" s="2">
        <v>9705000206001</v>
      </c>
      <c r="F911" s="1" t="s">
        <v>29</v>
      </c>
      <c r="G911" s="1" t="s">
        <v>53</v>
      </c>
      <c r="H911" s="1" t="s">
        <v>204</v>
      </c>
      <c r="I911" s="1" t="s">
        <v>205</v>
      </c>
      <c r="J911" s="1" t="s">
        <v>90</v>
      </c>
      <c r="K911" t="s">
        <v>34</v>
      </c>
      <c r="M911" s="1" t="s">
        <v>35</v>
      </c>
      <c r="N911" s="1">
        <v>42318949</v>
      </c>
      <c r="O911" s="1" t="s">
        <v>105</v>
      </c>
      <c r="P911" s="11" t="s">
        <v>1762</v>
      </c>
      <c r="R911" s="1" t="s">
        <v>38</v>
      </c>
      <c r="T911" s="1" t="s">
        <v>74</v>
      </c>
      <c r="U911" s="11" t="s">
        <v>1341</v>
      </c>
      <c r="V911" s="1" t="s">
        <v>41</v>
      </c>
      <c r="W911" s="1" t="s">
        <v>49</v>
      </c>
      <c r="Z911" s="14"/>
      <c r="AA911" s="14"/>
    </row>
    <row r="912" spans="1:27">
      <c r="A912" s="1">
        <v>9301761</v>
      </c>
      <c r="B912" s="1" t="s">
        <v>101</v>
      </c>
      <c r="C912" t="s">
        <v>1761</v>
      </c>
      <c r="E912" s="2">
        <v>9705000206001</v>
      </c>
      <c r="F912" s="1" t="s">
        <v>29</v>
      </c>
      <c r="G912" s="1" t="s">
        <v>53</v>
      </c>
      <c r="H912" s="1" t="s">
        <v>204</v>
      </c>
      <c r="I912" s="1" t="s">
        <v>205</v>
      </c>
      <c r="J912" s="1" t="s">
        <v>90</v>
      </c>
      <c r="K912" t="s">
        <v>34</v>
      </c>
      <c r="M912" s="1" t="s">
        <v>35</v>
      </c>
      <c r="N912" s="1">
        <v>42318949</v>
      </c>
      <c r="O912" s="1" t="s">
        <v>105</v>
      </c>
      <c r="P912" s="11" t="s">
        <v>1762</v>
      </c>
      <c r="R912" s="1" t="s">
        <v>38</v>
      </c>
      <c r="T912" s="1" t="s">
        <v>74</v>
      </c>
      <c r="U912" s="11" t="s">
        <v>1341</v>
      </c>
      <c r="V912" s="1" t="s">
        <v>41</v>
      </c>
      <c r="W912" s="1" t="s">
        <v>49</v>
      </c>
      <c r="Z912" s="14"/>
      <c r="AA912" s="14"/>
    </row>
    <row r="913" spans="1:27" hidden="1">
      <c r="A913" s="1">
        <v>9301760</v>
      </c>
      <c r="B913" s="1" t="s">
        <v>101</v>
      </c>
      <c r="C913" t="s">
        <v>1761</v>
      </c>
      <c r="E913" s="2">
        <v>9704000206001</v>
      </c>
      <c r="F913" s="1" t="s">
        <v>29</v>
      </c>
      <c r="G913" s="1" t="s">
        <v>53</v>
      </c>
      <c r="H913" s="1" t="s">
        <v>488</v>
      </c>
      <c r="I913" s="1" t="s">
        <v>489</v>
      </c>
      <c r="J913" s="1" t="s">
        <v>164</v>
      </c>
      <c r="K913" t="s">
        <v>34</v>
      </c>
      <c r="M913" s="1" t="s">
        <v>35</v>
      </c>
      <c r="N913" s="1">
        <v>42318949</v>
      </c>
      <c r="O913" s="1" t="s">
        <v>105</v>
      </c>
      <c r="P913" s="11" t="s">
        <v>1762</v>
      </c>
      <c r="R913" s="1" t="s">
        <v>38</v>
      </c>
      <c r="T913" s="1" t="s">
        <v>74</v>
      </c>
      <c r="U913" s="11" t="s">
        <v>1341</v>
      </c>
      <c r="V913" s="1" t="s">
        <v>41</v>
      </c>
      <c r="W913" s="1" t="s">
        <v>49</v>
      </c>
      <c r="Z913" s="14"/>
      <c r="AA913" s="14"/>
    </row>
    <row r="914" spans="1:27" hidden="1">
      <c r="A914" s="1">
        <v>9301759</v>
      </c>
      <c r="B914" s="1" t="s">
        <v>101</v>
      </c>
      <c r="C914" t="s">
        <v>1761</v>
      </c>
      <c r="E914" s="2">
        <v>9704000206001</v>
      </c>
      <c r="F914" s="1" t="s">
        <v>29</v>
      </c>
      <c r="G914" s="1" t="s">
        <v>53</v>
      </c>
      <c r="H914" s="1" t="s">
        <v>488</v>
      </c>
      <c r="I914" s="1" t="s">
        <v>489</v>
      </c>
      <c r="J914" s="1" t="s">
        <v>164</v>
      </c>
      <c r="K914" t="s">
        <v>34</v>
      </c>
      <c r="M914" s="1" t="s">
        <v>35</v>
      </c>
      <c r="N914" s="1">
        <v>42318949</v>
      </c>
      <c r="O914" s="1" t="s">
        <v>105</v>
      </c>
      <c r="P914" s="11" t="s">
        <v>1762</v>
      </c>
      <c r="R914" s="1" t="s">
        <v>38</v>
      </c>
      <c r="T914" s="1" t="s">
        <v>74</v>
      </c>
      <c r="U914" s="11" t="s">
        <v>1341</v>
      </c>
      <c r="V914" s="1" t="s">
        <v>41</v>
      </c>
      <c r="W914" s="1" t="s">
        <v>49</v>
      </c>
      <c r="Z914" s="14"/>
      <c r="AA914" s="14"/>
    </row>
    <row r="915" spans="1:27" hidden="1">
      <c r="A915" s="1">
        <v>9301758</v>
      </c>
      <c r="B915" s="1" t="s">
        <v>101</v>
      </c>
      <c r="C915" t="s">
        <v>1761</v>
      </c>
      <c r="E915" s="2">
        <v>9704000206001</v>
      </c>
      <c r="F915" s="1" t="s">
        <v>29</v>
      </c>
      <c r="G915" s="1" t="s">
        <v>53</v>
      </c>
      <c r="H915" s="1" t="s">
        <v>488</v>
      </c>
      <c r="I915" s="1" t="s">
        <v>489</v>
      </c>
      <c r="J915" s="1" t="s">
        <v>164</v>
      </c>
      <c r="K915" t="s">
        <v>34</v>
      </c>
      <c r="M915" s="1" t="s">
        <v>35</v>
      </c>
      <c r="N915" s="1">
        <v>42318949</v>
      </c>
      <c r="O915" s="1" t="s">
        <v>105</v>
      </c>
      <c r="P915" s="11" t="s">
        <v>1762</v>
      </c>
      <c r="R915" s="1" t="s">
        <v>38</v>
      </c>
      <c r="T915" s="1" t="s">
        <v>74</v>
      </c>
      <c r="U915" s="11" t="s">
        <v>1341</v>
      </c>
      <c r="V915" s="1" t="s">
        <v>41</v>
      </c>
      <c r="W915" s="1" t="s">
        <v>49</v>
      </c>
      <c r="Z915" s="14"/>
      <c r="AA915" s="14"/>
    </row>
    <row r="916" spans="1:27" hidden="1">
      <c r="A916" s="1">
        <v>9301757</v>
      </c>
      <c r="B916" s="1" t="s">
        <v>101</v>
      </c>
      <c r="C916" t="s">
        <v>1761</v>
      </c>
      <c r="E916" s="2">
        <v>9704000206001</v>
      </c>
      <c r="F916" s="1" t="s">
        <v>29</v>
      </c>
      <c r="G916" s="1" t="s">
        <v>53</v>
      </c>
      <c r="H916" s="1" t="s">
        <v>488</v>
      </c>
      <c r="I916" s="1" t="s">
        <v>489</v>
      </c>
      <c r="J916" s="1" t="s">
        <v>164</v>
      </c>
      <c r="K916" t="s">
        <v>34</v>
      </c>
      <c r="M916" s="1" t="s">
        <v>35</v>
      </c>
      <c r="N916" s="1">
        <v>42318949</v>
      </c>
      <c r="O916" s="1" t="s">
        <v>105</v>
      </c>
      <c r="P916" s="11" t="s">
        <v>1762</v>
      </c>
      <c r="R916" s="1" t="s">
        <v>38</v>
      </c>
      <c r="T916" s="1" t="s">
        <v>74</v>
      </c>
      <c r="U916" s="11" t="s">
        <v>1341</v>
      </c>
      <c r="V916" s="1" t="s">
        <v>41</v>
      </c>
      <c r="W916" s="1" t="s">
        <v>49</v>
      </c>
      <c r="Z916" s="14"/>
      <c r="AA916" s="14"/>
    </row>
    <row r="917" spans="1:27" hidden="1">
      <c r="A917" s="1">
        <v>9301756</v>
      </c>
      <c r="B917" s="1" t="s">
        <v>101</v>
      </c>
      <c r="C917" t="s">
        <v>1761</v>
      </c>
      <c r="E917" s="2">
        <v>9703000206001</v>
      </c>
      <c r="F917" s="1" t="s">
        <v>29</v>
      </c>
      <c r="G917" s="1" t="s">
        <v>53</v>
      </c>
      <c r="H917" s="1" t="s">
        <v>494</v>
      </c>
      <c r="I917" s="1" t="s">
        <v>495</v>
      </c>
      <c r="J917" s="1" t="s">
        <v>79</v>
      </c>
      <c r="K917" t="s">
        <v>34</v>
      </c>
      <c r="M917" s="1" t="s">
        <v>35</v>
      </c>
      <c r="N917" s="1">
        <v>42318949</v>
      </c>
      <c r="O917" s="1" t="s">
        <v>105</v>
      </c>
      <c r="P917" s="11" t="s">
        <v>1763</v>
      </c>
      <c r="R917" s="1" t="s">
        <v>38</v>
      </c>
      <c r="T917" s="1" t="s">
        <v>74</v>
      </c>
      <c r="U917" s="11" t="s">
        <v>1341</v>
      </c>
      <c r="V917" s="1" t="s">
        <v>41</v>
      </c>
      <c r="W917" s="1" t="s">
        <v>49</v>
      </c>
      <c r="Z917" s="14"/>
      <c r="AA917" s="14"/>
    </row>
    <row r="918" spans="1:27" hidden="1">
      <c r="A918" s="1">
        <v>9301755</v>
      </c>
      <c r="B918" s="1" t="s">
        <v>101</v>
      </c>
      <c r="C918" t="s">
        <v>1761</v>
      </c>
      <c r="E918" s="2">
        <v>9703000206001</v>
      </c>
      <c r="F918" s="1" t="s">
        <v>29</v>
      </c>
      <c r="G918" s="1" t="s">
        <v>53</v>
      </c>
      <c r="H918" s="1" t="s">
        <v>494</v>
      </c>
      <c r="I918" s="1" t="s">
        <v>495</v>
      </c>
      <c r="J918" s="1" t="s">
        <v>79</v>
      </c>
      <c r="K918" t="s">
        <v>34</v>
      </c>
      <c r="M918" s="1" t="s">
        <v>35</v>
      </c>
      <c r="N918" s="1">
        <v>42318949</v>
      </c>
      <c r="O918" s="1" t="s">
        <v>105</v>
      </c>
      <c r="P918" s="11" t="s">
        <v>1763</v>
      </c>
      <c r="R918" s="1" t="s">
        <v>38</v>
      </c>
      <c r="T918" s="1" t="s">
        <v>74</v>
      </c>
      <c r="U918" s="11" t="s">
        <v>1341</v>
      </c>
      <c r="V918" s="1" t="s">
        <v>41</v>
      </c>
      <c r="W918" s="1" t="s">
        <v>49</v>
      </c>
      <c r="Z918" s="14"/>
      <c r="AA918" s="14"/>
    </row>
    <row r="919" spans="1:27" hidden="1">
      <c r="A919" s="1">
        <v>9301754</v>
      </c>
      <c r="B919" s="1" t="s">
        <v>101</v>
      </c>
      <c r="C919" t="s">
        <v>1761</v>
      </c>
      <c r="E919" s="2">
        <v>9703000206001</v>
      </c>
      <c r="F919" s="1" t="s">
        <v>29</v>
      </c>
      <c r="G919" s="1" t="s">
        <v>53</v>
      </c>
      <c r="H919" s="1" t="s">
        <v>494</v>
      </c>
      <c r="I919" s="1" t="s">
        <v>495</v>
      </c>
      <c r="J919" s="1" t="s">
        <v>79</v>
      </c>
      <c r="K919" t="s">
        <v>34</v>
      </c>
      <c r="M919" s="1" t="s">
        <v>35</v>
      </c>
      <c r="N919" s="1">
        <v>42318949</v>
      </c>
      <c r="O919" s="1" t="s">
        <v>105</v>
      </c>
      <c r="P919" s="11" t="s">
        <v>1763</v>
      </c>
      <c r="R919" s="1" t="s">
        <v>38</v>
      </c>
      <c r="T919" s="1" t="s">
        <v>74</v>
      </c>
      <c r="U919" s="11" t="s">
        <v>1341</v>
      </c>
      <c r="V919" s="1" t="s">
        <v>41</v>
      </c>
      <c r="W919" s="1" t="s">
        <v>49</v>
      </c>
      <c r="Z919" s="14"/>
      <c r="AA919" s="14"/>
    </row>
    <row r="920" spans="1:27">
      <c r="A920" s="1">
        <v>9301753</v>
      </c>
      <c r="B920" s="1" t="s">
        <v>101</v>
      </c>
      <c r="C920" t="s">
        <v>1761</v>
      </c>
      <c r="E920" s="2">
        <v>9700000206001</v>
      </c>
      <c r="F920" s="1" t="s">
        <v>29</v>
      </c>
      <c r="G920" s="1" t="s">
        <v>53</v>
      </c>
      <c r="H920" s="1" t="s">
        <v>209</v>
      </c>
      <c r="I920" s="1" t="s">
        <v>210</v>
      </c>
      <c r="J920" s="1" t="s">
        <v>211</v>
      </c>
      <c r="K920" t="s">
        <v>34</v>
      </c>
      <c r="M920" s="1" t="s">
        <v>35</v>
      </c>
      <c r="N920" s="1">
        <v>42318949</v>
      </c>
      <c r="O920" s="1" t="s">
        <v>105</v>
      </c>
      <c r="P920" s="11" t="s">
        <v>1763</v>
      </c>
      <c r="R920" s="1" t="s">
        <v>38</v>
      </c>
      <c r="T920" s="1" t="s">
        <v>74</v>
      </c>
      <c r="U920" s="11" t="s">
        <v>1341</v>
      </c>
      <c r="V920" s="1" t="s">
        <v>41</v>
      </c>
      <c r="W920" s="1" t="s">
        <v>49</v>
      </c>
      <c r="Z920" s="14"/>
      <c r="AA920" s="14"/>
    </row>
    <row r="921" spans="1:27">
      <c r="A921" s="1">
        <v>9301752</v>
      </c>
      <c r="B921" s="1" t="s">
        <v>101</v>
      </c>
      <c r="C921" t="s">
        <v>1761</v>
      </c>
      <c r="E921" s="2">
        <v>9700000206001</v>
      </c>
      <c r="F921" s="1" t="s">
        <v>29</v>
      </c>
      <c r="G921" s="1" t="s">
        <v>53</v>
      </c>
      <c r="H921" s="1" t="s">
        <v>209</v>
      </c>
      <c r="I921" s="1" t="s">
        <v>210</v>
      </c>
      <c r="J921" s="1" t="s">
        <v>211</v>
      </c>
      <c r="K921" t="s">
        <v>34</v>
      </c>
      <c r="M921" s="1" t="s">
        <v>35</v>
      </c>
      <c r="N921" s="1">
        <v>42318949</v>
      </c>
      <c r="O921" s="1" t="s">
        <v>105</v>
      </c>
      <c r="P921" s="11" t="s">
        <v>1763</v>
      </c>
      <c r="R921" s="1" t="s">
        <v>38</v>
      </c>
      <c r="T921" s="1" t="s">
        <v>74</v>
      </c>
      <c r="U921" s="11" t="s">
        <v>1341</v>
      </c>
      <c r="V921" s="1" t="s">
        <v>41</v>
      </c>
      <c r="W921" s="1" t="s">
        <v>49</v>
      </c>
      <c r="Z921" s="14"/>
      <c r="AA921" s="14"/>
    </row>
    <row r="922" spans="1:27">
      <c r="A922" s="1">
        <v>9301751</v>
      </c>
      <c r="B922" s="1" t="s">
        <v>101</v>
      </c>
      <c r="C922" t="s">
        <v>1761</v>
      </c>
      <c r="E922" s="2">
        <v>9700000206001</v>
      </c>
      <c r="F922" s="1" t="s">
        <v>29</v>
      </c>
      <c r="G922" s="1" t="s">
        <v>53</v>
      </c>
      <c r="H922" s="1" t="s">
        <v>209</v>
      </c>
      <c r="I922" s="1" t="s">
        <v>210</v>
      </c>
      <c r="J922" s="1" t="s">
        <v>211</v>
      </c>
      <c r="K922" t="s">
        <v>34</v>
      </c>
      <c r="M922" s="1" t="s">
        <v>35</v>
      </c>
      <c r="N922" s="1">
        <v>42318949</v>
      </c>
      <c r="O922" s="1" t="s">
        <v>105</v>
      </c>
      <c r="P922" s="11" t="s">
        <v>1763</v>
      </c>
      <c r="R922" s="1" t="s">
        <v>38</v>
      </c>
      <c r="T922" s="1" t="s">
        <v>74</v>
      </c>
      <c r="U922" s="11" t="s">
        <v>1341</v>
      </c>
      <c r="V922" s="1" t="s">
        <v>41</v>
      </c>
      <c r="W922" s="1" t="s">
        <v>49</v>
      </c>
      <c r="Z922" s="14"/>
      <c r="AA922" s="14"/>
    </row>
    <row r="923" spans="1:27" hidden="1">
      <c r="A923" s="1">
        <v>9301660</v>
      </c>
      <c r="B923" s="1" t="s">
        <v>101</v>
      </c>
      <c r="C923" t="s">
        <v>1761</v>
      </c>
      <c r="E923" s="2">
        <v>9661000206001</v>
      </c>
      <c r="F923" s="1" t="s">
        <v>29</v>
      </c>
      <c r="G923" s="1" t="s">
        <v>53</v>
      </c>
      <c r="H923" s="1" t="s">
        <v>31</v>
      </c>
      <c r="I923" s="1" t="s">
        <v>32</v>
      </c>
      <c r="J923" s="1" t="s">
        <v>33</v>
      </c>
      <c r="K923" t="s">
        <v>34</v>
      </c>
      <c r="M923" s="1" t="s">
        <v>35</v>
      </c>
      <c r="N923" s="1">
        <v>42318949</v>
      </c>
      <c r="O923" s="1" t="s">
        <v>105</v>
      </c>
      <c r="P923" s="11" t="s">
        <v>1764</v>
      </c>
      <c r="R923" s="1" t="s">
        <v>38</v>
      </c>
      <c r="T923" s="1" t="s">
        <v>74</v>
      </c>
      <c r="U923" s="11" t="s">
        <v>1341</v>
      </c>
      <c r="V923" s="1" t="s">
        <v>41</v>
      </c>
      <c r="W923" s="1" t="s">
        <v>42</v>
      </c>
      <c r="Z923" s="14"/>
      <c r="AA923" s="14"/>
    </row>
    <row r="924" spans="1:27" hidden="1">
      <c r="A924" s="1">
        <v>9301659</v>
      </c>
      <c r="B924" s="1" t="s">
        <v>101</v>
      </c>
      <c r="C924" t="s">
        <v>1761</v>
      </c>
      <c r="E924" s="2">
        <v>9661000206001</v>
      </c>
      <c r="F924" s="1" t="s">
        <v>29</v>
      </c>
      <c r="G924" s="1" t="s">
        <v>53</v>
      </c>
      <c r="H924" s="1" t="s">
        <v>31</v>
      </c>
      <c r="I924" s="1" t="s">
        <v>32</v>
      </c>
      <c r="J924" s="1" t="s">
        <v>33</v>
      </c>
      <c r="K924" t="s">
        <v>34</v>
      </c>
      <c r="M924" s="1" t="s">
        <v>35</v>
      </c>
      <c r="N924" s="1">
        <v>42318949</v>
      </c>
      <c r="O924" s="1" t="s">
        <v>105</v>
      </c>
      <c r="P924" s="11" t="s">
        <v>1764</v>
      </c>
      <c r="R924" s="1" t="s">
        <v>38</v>
      </c>
      <c r="T924" s="1" t="s">
        <v>74</v>
      </c>
      <c r="U924" s="11" t="s">
        <v>1341</v>
      </c>
      <c r="V924" s="1" t="s">
        <v>41</v>
      </c>
      <c r="W924" s="1" t="s">
        <v>42</v>
      </c>
      <c r="Z924" s="14"/>
      <c r="AA924" s="14"/>
    </row>
    <row r="925" spans="1:27" hidden="1">
      <c r="A925" s="1">
        <v>9301480</v>
      </c>
      <c r="B925" s="1" t="s">
        <v>101</v>
      </c>
      <c r="C925" t="s">
        <v>1761</v>
      </c>
      <c r="E925" s="2">
        <v>9406000206001</v>
      </c>
      <c r="F925" s="1" t="s">
        <v>29</v>
      </c>
      <c r="G925" s="1" t="s">
        <v>53</v>
      </c>
      <c r="H925" s="1" t="s">
        <v>114</v>
      </c>
      <c r="I925" s="1" t="s">
        <v>115</v>
      </c>
      <c r="J925" s="1" t="s">
        <v>46</v>
      </c>
      <c r="K925" t="s">
        <v>34</v>
      </c>
      <c r="M925" s="1" t="s">
        <v>35</v>
      </c>
      <c r="N925" s="1">
        <v>42318949</v>
      </c>
      <c r="O925" s="1" t="s">
        <v>105</v>
      </c>
      <c r="P925" s="11" t="s">
        <v>1765</v>
      </c>
      <c r="R925" s="1" t="s">
        <v>38</v>
      </c>
      <c r="T925" s="1" t="s">
        <v>74</v>
      </c>
      <c r="U925" s="11" t="s">
        <v>1341</v>
      </c>
      <c r="V925" s="1" t="s">
        <v>41</v>
      </c>
      <c r="W925" s="1" t="s">
        <v>49</v>
      </c>
      <c r="Z925" s="14"/>
      <c r="AA925" s="14"/>
    </row>
    <row r="926" spans="1:27" hidden="1">
      <c r="A926" s="1">
        <v>9301479</v>
      </c>
      <c r="B926" s="1" t="s">
        <v>101</v>
      </c>
      <c r="C926" t="s">
        <v>1761</v>
      </c>
      <c r="E926" s="2">
        <v>9406000206001</v>
      </c>
      <c r="F926" s="1" t="s">
        <v>29</v>
      </c>
      <c r="G926" s="1" t="s">
        <v>53</v>
      </c>
      <c r="H926" s="1" t="s">
        <v>114</v>
      </c>
      <c r="I926" s="1" t="s">
        <v>115</v>
      </c>
      <c r="J926" s="1" t="s">
        <v>46</v>
      </c>
      <c r="K926" t="s">
        <v>34</v>
      </c>
      <c r="M926" s="1" t="s">
        <v>35</v>
      </c>
      <c r="N926" s="1">
        <v>42318949</v>
      </c>
      <c r="O926" s="1" t="s">
        <v>105</v>
      </c>
      <c r="P926" s="11" t="s">
        <v>1765</v>
      </c>
      <c r="R926" s="1" t="s">
        <v>38</v>
      </c>
      <c r="T926" s="1" t="s">
        <v>74</v>
      </c>
      <c r="U926" s="11" t="s">
        <v>1341</v>
      </c>
      <c r="V926" s="1" t="s">
        <v>41</v>
      </c>
      <c r="W926" s="1" t="s">
        <v>49</v>
      </c>
      <c r="Z926" s="14"/>
      <c r="AA926" s="14"/>
    </row>
    <row r="927" spans="1:27" hidden="1">
      <c r="A927" s="1">
        <v>9301478</v>
      </c>
      <c r="B927" s="1" t="s">
        <v>101</v>
      </c>
      <c r="C927" t="s">
        <v>1761</v>
      </c>
      <c r="E927" s="2">
        <v>9406000206001</v>
      </c>
      <c r="F927" s="1" t="s">
        <v>29</v>
      </c>
      <c r="G927" s="1" t="s">
        <v>53</v>
      </c>
      <c r="H927" s="1" t="s">
        <v>114</v>
      </c>
      <c r="I927" s="1" t="s">
        <v>115</v>
      </c>
      <c r="J927" s="1" t="s">
        <v>46</v>
      </c>
      <c r="K927" t="s">
        <v>34</v>
      </c>
      <c r="M927" s="1" t="s">
        <v>35</v>
      </c>
      <c r="N927" s="1">
        <v>42318949</v>
      </c>
      <c r="O927" s="1" t="s">
        <v>105</v>
      </c>
      <c r="P927" s="11" t="s">
        <v>1765</v>
      </c>
      <c r="R927" s="1" t="s">
        <v>38</v>
      </c>
      <c r="T927" s="1" t="s">
        <v>74</v>
      </c>
      <c r="U927" s="11" t="s">
        <v>1341</v>
      </c>
      <c r="V927" s="1" t="s">
        <v>41</v>
      </c>
      <c r="W927" s="1" t="s">
        <v>49</v>
      </c>
      <c r="Z927" s="14"/>
      <c r="AA927" s="14"/>
    </row>
    <row r="928" spans="1:27" hidden="1">
      <c r="A928" s="1">
        <v>9301477</v>
      </c>
      <c r="B928" s="1" t="s">
        <v>101</v>
      </c>
      <c r="C928" t="s">
        <v>1761</v>
      </c>
      <c r="E928" s="2">
        <v>9406000206001</v>
      </c>
      <c r="F928" s="1" t="s">
        <v>29</v>
      </c>
      <c r="G928" s="1" t="s">
        <v>53</v>
      </c>
      <c r="H928" s="1" t="s">
        <v>114</v>
      </c>
      <c r="I928" s="1" t="s">
        <v>115</v>
      </c>
      <c r="J928" s="1" t="s">
        <v>46</v>
      </c>
      <c r="K928" t="s">
        <v>34</v>
      </c>
      <c r="M928" s="1" t="s">
        <v>35</v>
      </c>
      <c r="N928" s="1">
        <v>42318949</v>
      </c>
      <c r="O928" s="1" t="s">
        <v>105</v>
      </c>
      <c r="P928" s="11" t="s">
        <v>1765</v>
      </c>
      <c r="R928" s="1" t="s">
        <v>38</v>
      </c>
      <c r="T928" s="1" t="s">
        <v>74</v>
      </c>
      <c r="U928" s="11" t="s">
        <v>1341</v>
      </c>
      <c r="V928" s="1" t="s">
        <v>41</v>
      </c>
      <c r="W928" s="1" t="s">
        <v>49</v>
      </c>
      <c r="Z928" s="14"/>
      <c r="AA928" s="14"/>
    </row>
    <row r="929" spans="1:27" hidden="1">
      <c r="A929" s="1">
        <v>9301476</v>
      </c>
      <c r="B929" s="1" t="s">
        <v>101</v>
      </c>
      <c r="C929" t="s">
        <v>1761</v>
      </c>
      <c r="E929" s="2">
        <v>9406000206001</v>
      </c>
      <c r="F929" s="1" t="s">
        <v>29</v>
      </c>
      <c r="G929" s="1" t="s">
        <v>53</v>
      </c>
      <c r="H929" s="1" t="s">
        <v>114</v>
      </c>
      <c r="I929" s="1" t="s">
        <v>115</v>
      </c>
      <c r="J929" s="1" t="s">
        <v>46</v>
      </c>
      <c r="K929" t="s">
        <v>34</v>
      </c>
      <c r="M929" s="1" t="s">
        <v>35</v>
      </c>
      <c r="N929" s="1">
        <v>42318949</v>
      </c>
      <c r="O929" s="1" t="s">
        <v>105</v>
      </c>
      <c r="P929" s="11" t="s">
        <v>1765</v>
      </c>
      <c r="R929" s="1" t="s">
        <v>38</v>
      </c>
      <c r="T929" s="1" t="s">
        <v>74</v>
      </c>
      <c r="U929" s="11" t="s">
        <v>1341</v>
      </c>
      <c r="V929" s="1" t="s">
        <v>41</v>
      </c>
      <c r="W929" s="1" t="s">
        <v>49</v>
      </c>
      <c r="Z929" s="14"/>
      <c r="AA929" s="14"/>
    </row>
    <row r="930" spans="1:27" hidden="1">
      <c r="A930" s="1">
        <v>9301475</v>
      </c>
      <c r="B930" s="1" t="s">
        <v>101</v>
      </c>
      <c r="C930" t="s">
        <v>1761</v>
      </c>
      <c r="E930" s="2">
        <v>9406000206001</v>
      </c>
      <c r="F930" s="1" t="s">
        <v>29</v>
      </c>
      <c r="G930" s="1" t="s">
        <v>53</v>
      </c>
      <c r="H930" s="1" t="s">
        <v>114</v>
      </c>
      <c r="I930" s="1" t="s">
        <v>115</v>
      </c>
      <c r="J930" s="1" t="s">
        <v>46</v>
      </c>
      <c r="K930" t="s">
        <v>34</v>
      </c>
      <c r="M930" s="1" t="s">
        <v>35</v>
      </c>
      <c r="N930" s="1">
        <v>42318949</v>
      </c>
      <c r="O930" s="1" t="s">
        <v>105</v>
      </c>
      <c r="P930" s="11" t="s">
        <v>1766</v>
      </c>
      <c r="R930" s="1" t="s">
        <v>38</v>
      </c>
      <c r="T930" s="1" t="s">
        <v>74</v>
      </c>
      <c r="U930" s="11" t="s">
        <v>1341</v>
      </c>
      <c r="V930" s="1" t="s">
        <v>41</v>
      </c>
      <c r="W930" s="1" t="s">
        <v>49</v>
      </c>
      <c r="Z930" s="14"/>
      <c r="AA930" s="14"/>
    </row>
    <row r="931" spans="1:27" hidden="1">
      <c r="A931" s="1">
        <v>9301474</v>
      </c>
      <c r="B931" s="1" t="s">
        <v>101</v>
      </c>
      <c r="C931" t="s">
        <v>1761</v>
      </c>
      <c r="E931" s="2">
        <v>9406000206001</v>
      </c>
      <c r="F931" s="1" t="s">
        <v>29</v>
      </c>
      <c r="G931" s="1" t="s">
        <v>53</v>
      </c>
      <c r="H931" s="1" t="s">
        <v>114</v>
      </c>
      <c r="I931" s="1" t="s">
        <v>115</v>
      </c>
      <c r="J931" s="1" t="s">
        <v>46</v>
      </c>
      <c r="K931" t="s">
        <v>34</v>
      </c>
      <c r="M931" s="1" t="s">
        <v>35</v>
      </c>
      <c r="N931" s="1">
        <v>42318949</v>
      </c>
      <c r="O931" s="1" t="s">
        <v>105</v>
      </c>
      <c r="P931" s="11" t="s">
        <v>1766</v>
      </c>
      <c r="R931" s="1" t="s">
        <v>38</v>
      </c>
      <c r="T931" s="1" t="s">
        <v>74</v>
      </c>
      <c r="U931" s="11" t="s">
        <v>1341</v>
      </c>
      <c r="V931" s="1" t="s">
        <v>41</v>
      </c>
      <c r="W931" s="1" t="s">
        <v>49</v>
      </c>
      <c r="Z931" s="14"/>
      <c r="AA931" s="14"/>
    </row>
    <row r="932" spans="1:27" hidden="1">
      <c r="A932" s="1">
        <v>9301473</v>
      </c>
      <c r="B932" s="1" t="s">
        <v>101</v>
      </c>
      <c r="C932" t="s">
        <v>1761</v>
      </c>
      <c r="E932" s="2">
        <v>9406000206001</v>
      </c>
      <c r="F932" s="1" t="s">
        <v>29</v>
      </c>
      <c r="G932" s="1" t="s">
        <v>53</v>
      </c>
      <c r="H932" s="1" t="s">
        <v>114</v>
      </c>
      <c r="I932" s="1" t="s">
        <v>115</v>
      </c>
      <c r="J932" s="1" t="s">
        <v>46</v>
      </c>
      <c r="K932" t="s">
        <v>34</v>
      </c>
      <c r="M932" s="1" t="s">
        <v>35</v>
      </c>
      <c r="N932" s="1">
        <v>42318949</v>
      </c>
      <c r="O932" s="1" t="s">
        <v>105</v>
      </c>
      <c r="P932" s="11" t="s">
        <v>1766</v>
      </c>
      <c r="R932" s="1" t="s">
        <v>38</v>
      </c>
      <c r="T932" s="1" t="s">
        <v>74</v>
      </c>
      <c r="U932" s="11" t="s">
        <v>1341</v>
      </c>
      <c r="V932" s="1" t="s">
        <v>41</v>
      </c>
      <c r="W932" s="1" t="s">
        <v>49</v>
      </c>
      <c r="Z932" s="14"/>
      <c r="AA932" s="14"/>
    </row>
    <row r="933" spans="1:27" hidden="1">
      <c r="A933" s="1">
        <v>9301472</v>
      </c>
      <c r="B933" s="1" t="s">
        <v>101</v>
      </c>
      <c r="C933" t="s">
        <v>1761</v>
      </c>
      <c r="E933" s="2">
        <v>9406000206001</v>
      </c>
      <c r="F933" s="1" t="s">
        <v>29</v>
      </c>
      <c r="G933" s="1" t="s">
        <v>53</v>
      </c>
      <c r="H933" s="1" t="s">
        <v>114</v>
      </c>
      <c r="I933" s="1" t="s">
        <v>115</v>
      </c>
      <c r="J933" s="1" t="s">
        <v>46</v>
      </c>
      <c r="K933" t="s">
        <v>34</v>
      </c>
      <c r="M933" s="1" t="s">
        <v>35</v>
      </c>
      <c r="N933" s="1">
        <v>42318949</v>
      </c>
      <c r="O933" s="1" t="s">
        <v>105</v>
      </c>
      <c r="P933" s="11" t="s">
        <v>1766</v>
      </c>
      <c r="R933" s="1" t="s">
        <v>38</v>
      </c>
      <c r="T933" s="1" t="s">
        <v>74</v>
      </c>
      <c r="U933" s="11" t="s">
        <v>1341</v>
      </c>
      <c r="V933" s="1" t="s">
        <v>41</v>
      </c>
      <c r="W933" s="1" t="s">
        <v>49</v>
      </c>
      <c r="Z933" s="14"/>
      <c r="AA933" s="14"/>
    </row>
    <row r="934" spans="1:27" hidden="1">
      <c r="A934" s="1">
        <v>9301471</v>
      </c>
      <c r="B934" s="1" t="s">
        <v>101</v>
      </c>
      <c r="C934" t="s">
        <v>1761</v>
      </c>
      <c r="E934" s="2">
        <v>9406000206001</v>
      </c>
      <c r="F934" s="1" t="s">
        <v>29</v>
      </c>
      <c r="G934" s="1" t="s">
        <v>53</v>
      </c>
      <c r="H934" s="1" t="s">
        <v>114</v>
      </c>
      <c r="I934" s="1" t="s">
        <v>115</v>
      </c>
      <c r="J934" s="1" t="s">
        <v>46</v>
      </c>
      <c r="K934" t="s">
        <v>34</v>
      </c>
      <c r="M934" s="1" t="s">
        <v>35</v>
      </c>
      <c r="N934" s="1">
        <v>42318949</v>
      </c>
      <c r="O934" s="1" t="s">
        <v>105</v>
      </c>
      <c r="P934" s="11" t="s">
        <v>1766</v>
      </c>
      <c r="R934" s="1" t="s">
        <v>38</v>
      </c>
      <c r="T934" s="1" t="s">
        <v>74</v>
      </c>
      <c r="U934" s="11" t="s">
        <v>1341</v>
      </c>
      <c r="V934" s="1" t="s">
        <v>41</v>
      </c>
      <c r="W934" s="1" t="s">
        <v>49</v>
      </c>
      <c r="Z934" s="14"/>
      <c r="AA934" s="14"/>
    </row>
    <row r="935" spans="1:27" hidden="1">
      <c r="A935" s="1">
        <v>9301080</v>
      </c>
      <c r="B935" s="1" t="s">
        <v>101</v>
      </c>
      <c r="C935" t="s">
        <v>1761</v>
      </c>
      <c r="E935" s="2">
        <v>4997000206001</v>
      </c>
      <c r="F935" s="1" t="s">
        <v>29</v>
      </c>
      <c r="G935" s="1" t="s">
        <v>53</v>
      </c>
      <c r="H935" s="1" t="s">
        <v>406</v>
      </c>
      <c r="I935" s="1" t="s">
        <v>407</v>
      </c>
      <c r="J935" s="1" t="s">
        <v>79</v>
      </c>
      <c r="K935" t="s">
        <v>34</v>
      </c>
      <c r="M935" s="1" t="s">
        <v>35</v>
      </c>
      <c r="N935" s="1">
        <v>42318949</v>
      </c>
      <c r="O935" s="1" t="s">
        <v>105</v>
      </c>
      <c r="P935" s="11" t="s">
        <v>1767</v>
      </c>
      <c r="R935" s="1" t="s">
        <v>38</v>
      </c>
      <c r="T935" s="1" t="s">
        <v>74</v>
      </c>
      <c r="U935" s="11" t="s">
        <v>1341</v>
      </c>
      <c r="V935" s="1" t="s">
        <v>41</v>
      </c>
      <c r="W935" s="1" t="s">
        <v>49</v>
      </c>
      <c r="Z935" s="14"/>
      <c r="AA935" s="14"/>
    </row>
    <row r="936" spans="1:27" hidden="1">
      <c r="A936" s="1">
        <v>9301028</v>
      </c>
      <c r="B936" s="1" t="s">
        <v>101</v>
      </c>
      <c r="C936" t="s">
        <v>1761</v>
      </c>
      <c r="E936" s="2">
        <v>4637000206001</v>
      </c>
      <c r="F936" s="1" t="s">
        <v>29</v>
      </c>
      <c r="G936" s="1" t="s">
        <v>53</v>
      </c>
      <c r="H936" s="1" t="s">
        <v>848</v>
      </c>
      <c r="I936" s="1" t="s">
        <v>849</v>
      </c>
      <c r="J936" s="1" t="s">
        <v>79</v>
      </c>
      <c r="K936" t="s">
        <v>34</v>
      </c>
      <c r="M936" s="1" t="s">
        <v>35</v>
      </c>
      <c r="N936" s="1">
        <v>42318949</v>
      </c>
      <c r="O936" s="1" t="s">
        <v>105</v>
      </c>
      <c r="P936" s="11" t="s">
        <v>1768</v>
      </c>
      <c r="R936" s="1" t="s">
        <v>38</v>
      </c>
      <c r="T936" s="1" t="s">
        <v>74</v>
      </c>
      <c r="U936" s="11" t="s">
        <v>1341</v>
      </c>
      <c r="V936" s="1" t="s">
        <v>41</v>
      </c>
      <c r="W936" s="1" t="s">
        <v>49</v>
      </c>
      <c r="Z936" s="14"/>
      <c r="AA936" s="14"/>
    </row>
    <row r="937" spans="1:27" hidden="1">
      <c r="A937" s="1">
        <v>9301024</v>
      </c>
      <c r="B937" s="1" t="s">
        <v>101</v>
      </c>
      <c r="C937" t="s">
        <v>1761</v>
      </c>
      <c r="E937" s="2">
        <v>4623000206001</v>
      </c>
      <c r="F937" s="1" t="s">
        <v>29</v>
      </c>
      <c r="G937" s="1" t="s">
        <v>53</v>
      </c>
      <c r="H937" s="1" t="s">
        <v>669</v>
      </c>
      <c r="I937" s="1" t="s">
        <v>670</v>
      </c>
      <c r="J937" s="1" t="s">
        <v>33</v>
      </c>
      <c r="K937" t="s">
        <v>34</v>
      </c>
      <c r="M937" s="1" t="s">
        <v>35</v>
      </c>
      <c r="N937" s="1">
        <v>42318949</v>
      </c>
      <c r="O937" s="1" t="s">
        <v>105</v>
      </c>
      <c r="P937" s="11" t="s">
        <v>1769</v>
      </c>
      <c r="R937" s="1" t="s">
        <v>38</v>
      </c>
      <c r="T937" s="1" t="s">
        <v>74</v>
      </c>
      <c r="U937" s="11" t="s">
        <v>1341</v>
      </c>
      <c r="V937" s="1" t="s">
        <v>41</v>
      </c>
      <c r="W937" s="1" t="s">
        <v>42</v>
      </c>
      <c r="Z937" s="14"/>
      <c r="AA937" s="14"/>
    </row>
    <row r="938" spans="1:27" hidden="1">
      <c r="A938" s="1">
        <v>9301023</v>
      </c>
      <c r="B938" s="1" t="s">
        <v>101</v>
      </c>
      <c r="C938" t="s">
        <v>1761</v>
      </c>
      <c r="E938" s="2">
        <v>4623000206001</v>
      </c>
      <c r="F938" s="1" t="s">
        <v>29</v>
      </c>
      <c r="G938" s="1" t="s">
        <v>53</v>
      </c>
      <c r="H938" s="1" t="s">
        <v>669</v>
      </c>
      <c r="I938" s="1" t="s">
        <v>670</v>
      </c>
      <c r="J938" s="1" t="s">
        <v>33</v>
      </c>
      <c r="K938" t="s">
        <v>34</v>
      </c>
      <c r="M938" s="1" t="s">
        <v>35</v>
      </c>
      <c r="N938" s="1">
        <v>42318949</v>
      </c>
      <c r="O938" s="1" t="s">
        <v>105</v>
      </c>
      <c r="P938" s="11" t="s">
        <v>1769</v>
      </c>
      <c r="R938" s="1" t="s">
        <v>38</v>
      </c>
      <c r="T938" s="1" t="s">
        <v>74</v>
      </c>
      <c r="U938" s="11" t="s">
        <v>1341</v>
      </c>
      <c r="V938" s="1" t="s">
        <v>41</v>
      </c>
      <c r="W938" s="1" t="s">
        <v>42</v>
      </c>
      <c r="Z938" s="14"/>
      <c r="AA938" s="14"/>
    </row>
    <row r="939" spans="1:27" hidden="1">
      <c r="A939" s="1">
        <v>9301022</v>
      </c>
      <c r="B939" s="1" t="s">
        <v>101</v>
      </c>
      <c r="C939" t="s">
        <v>1761</v>
      </c>
      <c r="E939" s="2">
        <v>4623000206001</v>
      </c>
      <c r="F939" s="1" t="s">
        <v>29</v>
      </c>
      <c r="G939" s="1" t="s">
        <v>53</v>
      </c>
      <c r="H939" s="1" t="s">
        <v>669</v>
      </c>
      <c r="I939" s="1" t="s">
        <v>670</v>
      </c>
      <c r="J939" s="1" t="s">
        <v>33</v>
      </c>
      <c r="K939" t="s">
        <v>34</v>
      </c>
      <c r="M939" s="1" t="s">
        <v>35</v>
      </c>
      <c r="N939" s="1">
        <v>42318949</v>
      </c>
      <c r="O939" s="1" t="s">
        <v>105</v>
      </c>
      <c r="P939" s="11" t="s">
        <v>1769</v>
      </c>
      <c r="R939" s="1" t="s">
        <v>38</v>
      </c>
      <c r="T939" s="1" t="s">
        <v>74</v>
      </c>
      <c r="U939" s="11" t="s">
        <v>1341</v>
      </c>
      <c r="V939" s="1" t="s">
        <v>41</v>
      </c>
      <c r="W939" s="1" t="s">
        <v>42</v>
      </c>
      <c r="Z939" s="14"/>
      <c r="AA939" s="14"/>
    </row>
    <row r="940" spans="1:27" hidden="1">
      <c r="A940" s="1">
        <v>9300867</v>
      </c>
      <c r="B940" s="1" t="s">
        <v>101</v>
      </c>
      <c r="C940" t="s">
        <v>1761</v>
      </c>
      <c r="E940" s="2">
        <v>4012000206001</v>
      </c>
      <c r="F940" s="1" t="s">
        <v>29</v>
      </c>
      <c r="G940" s="1" t="s">
        <v>53</v>
      </c>
      <c r="H940" s="1" t="s">
        <v>349</v>
      </c>
      <c r="I940" s="1" t="s">
        <v>350</v>
      </c>
      <c r="J940" s="1" t="s">
        <v>261</v>
      </c>
      <c r="K940" t="s">
        <v>34</v>
      </c>
      <c r="M940" s="1" t="s">
        <v>35</v>
      </c>
      <c r="N940" s="1">
        <v>42318949</v>
      </c>
      <c r="O940" s="1" t="s">
        <v>105</v>
      </c>
      <c r="P940" s="11" t="s">
        <v>3031</v>
      </c>
      <c r="R940" s="1" t="s">
        <v>38</v>
      </c>
      <c r="T940" s="1" t="s">
        <v>74</v>
      </c>
      <c r="U940" s="11" t="s">
        <v>1341</v>
      </c>
      <c r="V940" s="1" t="s">
        <v>41</v>
      </c>
      <c r="W940" s="1" t="s">
        <v>49</v>
      </c>
      <c r="Z940" s="14"/>
      <c r="AA940" s="14"/>
    </row>
    <row r="941" spans="1:27" hidden="1">
      <c r="A941" s="1">
        <v>9300825</v>
      </c>
      <c r="B941" s="1" t="s">
        <v>101</v>
      </c>
      <c r="C941" t="s">
        <v>1761</v>
      </c>
      <c r="E941" s="2">
        <v>3924000206001</v>
      </c>
      <c r="F941" s="1" t="s">
        <v>29</v>
      </c>
      <c r="G941" s="1" t="s">
        <v>53</v>
      </c>
      <c r="H941" s="1" t="s">
        <v>153</v>
      </c>
      <c r="I941" s="1" t="s">
        <v>154</v>
      </c>
      <c r="J941" s="1" t="s">
        <v>56</v>
      </c>
      <c r="K941" t="s">
        <v>34</v>
      </c>
      <c r="M941" s="1" t="s">
        <v>35</v>
      </c>
      <c r="N941" s="1">
        <v>42318949</v>
      </c>
      <c r="O941" s="1" t="s">
        <v>105</v>
      </c>
      <c r="P941" s="11" t="s">
        <v>1770</v>
      </c>
      <c r="R941" s="1" t="s">
        <v>38</v>
      </c>
      <c r="T941" s="1" t="s">
        <v>74</v>
      </c>
      <c r="U941" s="11" t="s">
        <v>1341</v>
      </c>
      <c r="V941" s="1" t="s">
        <v>41</v>
      </c>
      <c r="W941" s="1" t="s">
        <v>49</v>
      </c>
      <c r="Z941" s="14"/>
      <c r="AA941" s="14"/>
    </row>
    <row r="942" spans="1:27" hidden="1">
      <c r="A942" s="1">
        <v>9300610</v>
      </c>
      <c r="B942" s="1" t="s">
        <v>101</v>
      </c>
      <c r="C942" t="s">
        <v>1761</v>
      </c>
      <c r="E942" s="2">
        <v>3258000206001</v>
      </c>
      <c r="F942" s="1" t="s">
        <v>29</v>
      </c>
      <c r="G942" s="1" t="s">
        <v>53</v>
      </c>
      <c r="H942" s="1" t="s">
        <v>321</v>
      </c>
      <c r="I942" s="1" t="s">
        <v>322</v>
      </c>
      <c r="J942" s="1" t="s">
        <v>46</v>
      </c>
      <c r="K942" t="s">
        <v>34</v>
      </c>
      <c r="M942" s="1" t="s">
        <v>35</v>
      </c>
      <c r="N942" s="1">
        <v>42318949</v>
      </c>
      <c r="O942" s="1" t="s">
        <v>105</v>
      </c>
      <c r="P942" s="11" t="s">
        <v>1771</v>
      </c>
      <c r="R942" s="1" t="s">
        <v>38</v>
      </c>
      <c r="T942" s="1" t="s">
        <v>74</v>
      </c>
      <c r="U942" s="11" t="s">
        <v>1341</v>
      </c>
      <c r="V942" s="1" t="s">
        <v>41</v>
      </c>
      <c r="W942" s="1" t="s">
        <v>49</v>
      </c>
      <c r="Z942" s="14"/>
      <c r="AA942" s="14"/>
    </row>
    <row r="943" spans="1:27" hidden="1">
      <c r="A943" s="1">
        <v>9300609</v>
      </c>
      <c r="B943" s="1" t="s">
        <v>101</v>
      </c>
      <c r="C943" t="s">
        <v>1761</v>
      </c>
      <c r="E943" s="2">
        <v>3258000206001</v>
      </c>
      <c r="F943" s="1" t="s">
        <v>29</v>
      </c>
      <c r="G943" s="1" t="s">
        <v>53</v>
      </c>
      <c r="H943" s="1" t="s">
        <v>321</v>
      </c>
      <c r="I943" s="1" t="s">
        <v>322</v>
      </c>
      <c r="J943" s="1" t="s">
        <v>46</v>
      </c>
      <c r="K943" t="s">
        <v>34</v>
      </c>
      <c r="M943" s="1" t="s">
        <v>35</v>
      </c>
      <c r="N943" s="1">
        <v>42318949</v>
      </c>
      <c r="O943" s="1" t="s">
        <v>105</v>
      </c>
      <c r="P943" s="11" t="s">
        <v>1771</v>
      </c>
      <c r="R943" s="1" t="s">
        <v>38</v>
      </c>
      <c r="T943" s="1" t="s">
        <v>74</v>
      </c>
      <c r="U943" s="11" t="s">
        <v>1341</v>
      </c>
      <c r="V943" s="1" t="s">
        <v>41</v>
      </c>
      <c r="W943" s="1" t="s">
        <v>49</v>
      </c>
      <c r="Z943" s="14"/>
      <c r="AA943" s="14"/>
    </row>
    <row r="944" spans="1:27" hidden="1">
      <c r="A944" s="1">
        <v>9300513</v>
      </c>
      <c r="B944" s="1" t="s">
        <v>101</v>
      </c>
      <c r="C944" t="s">
        <v>1761</v>
      </c>
      <c r="E944" s="2">
        <v>3056000206001</v>
      </c>
      <c r="F944" s="1" t="s">
        <v>29</v>
      </c>
      <c r="G944" s="1" t="s">
        <v>53</v>
      </c>
      <c r="H944" s="1" t="s">
        <v>1772</v>
      </c>
      <c r="I944" s="1" t="s">
        <v>1773</v>
      </c>
      <c r="J944" s="1" t="s">
        <v>46</v>
      </c>
      <c r="K944" t="s">
        <v>34</v>
      </c>
      <c r="M944" s="1" t="s">
        <v>35</v>
      </c>
      <c r="N944" s="1">
        <v>42318949</v>
      </c>
      <c r="O944" s="1" t="s">
        <v>105</v>
      </c>
      <c r="P944" s="11" t="s">
        <v>1774</v>
      </c>
      <c r="R944" s="1" t="s">
        <v>38</v>
      </c>
      <c r="T944" s="1" t="s">
        <v>74</v>
      </c>
      <c r="U944" s="11" t="s">
        <v>1341</v>
      </c>
      <c r="V944" s="1" t="s">
        <v>41</v>
      </c>
      <c r="W944" s="1" t="s">
        <v>49</v>
      </c>
      <c r="Z944" s="14"/>
      <c r="AA944" s="14"/>
    </row>
    <row r="945" spans="1:27" hidden="1">
      <c r="A945" s="1">
        <v>9300512</v>
      </c>
      <c r="B945" s="1" t="s">
        <v>101</v>
      </c>
      <c r="C945" t="s">
        <v>1761</v>
      </c>
      <c r="E945" s="2">
        <v>3056000206001</v>
      </c>
      <c r="F945" s="1" t="s">
        <v>29</v>
      </c>
      <c r="G945" s="1" t="s">
        <v>53</v>
      </c>
      <c r="H945" s="1" t="s">
        <v>1772</v>
      </c>
      <c r="I945" s="1" t="s">
        <v>1773</v>
      </c>
      <c r="J945" s="1" t="s">
        <v>46</v>
      </c>
      <c r="K945" t="s">
        <v>34</v>
      </c>
      <c r="M945" s="1" t="s">
        <v>35</v>
      </c>
      <c r="N945" s="1">
        <v>42318949</v>
      </c>
      <c r="O945" s="1" t="s">
        <v>105</v>
      </c>
      <c r="P945" s="11" t="s">
        <v>1774</v>
      </c>
      <c r="R945" s="1" t="s">
        <v>38</v>
      </c>
      <c r="T945" s="1" t="s">
        <v>74</v>
      </c>
      <c r="U945" s="11" t="s">
        <v>1341</v>
      </c>
      <c r="V945" s="1" t="s">
        <v>41</v>
      </c>
      <c r="W945" s="1" t="s">
        <v>49</v>
      </c>
      <c r="Z945" s="14"/>
      <c r="AA945" s="14"/>
    </row>
    <row r="946" spans="1:27" hidden="1">
      <c r="A946" s="1">
        <v>9300511</v>
      </c>
      <c r="B946" s="1" t="s">
        <v>101</v>
      </c>
      <c r="C946" t="s">
        <v>1761</v>
      </c>
      <c r="E946" s="2">
        <v>3056000206001</v>
      </c>
      <c r="F946" s="1" t="s">
        <v>29</v>
      </c>
      <c r="G946" s="1" t="s">
        <v>53</v>
      </c>
      <c r="H946" s="1" t="s">
        <v>1772</v>
      </c>
      <c r="I946" s="1" t="s">
        <v>1773</v>
      </c>
      <c r="J946" s="1" t="s">
        <v>46</v>
      </c>
      <c r="K946" t="s">
        <v>34</v>
      </c>
      <c r="M946" s="1" t="s">
        <v>35</v>
      </c>
      <c r="N946" s="1">
        <v>42318949</v>
      </c>
      <c r="O946" s="1" t="s">
        <v>105</v>
      </c>
      <c r="P946" s="11" t="s">
        <v>1774</v>
      </c>
      <c r="R946" s="1" t="s">
        <v>38</v>
      </c>
      <c r="T946" s="1" t="s">
        <v>74</v>
      </c>
      <c r="U946" s="11" t="s">
        <v>1341</v>
      </c>
      <c r="V946" s="1" t="s">
        <v>41</v>
      </c>
      <c r="W946" s="1" t="s">
        <v>49</v>
      </c>
      <c r="Z946" s="14"/>
      <c r="AA946" s="14"/>
    </row>
    <row r="947" spans="1:27">
      <c r="A947" s="1">
        <v>9300380</v>
      </c>
      <c r="B947" s="1" t="s">
        <v>101</v>
      </c>
      <c r="C947" t="s">
        <v>1761</v>
      </c>
      <c r="E947" s="2">
        <v>2739000206001</v>
      </c>
      <c r="F947" s="1" t="s">
        <v>29</v>
      </c>
      <c r="G947" s="1" t="s">
        <v>53</v>
      </c>
      <c r="H947" s="1" t="s">
        <v>359</v>
      </c>
      <c r="I947" s="1" t="s">
        <v>360</v>
      </c>
      <c r="J947" s="1" t="s">
        <v>85</v>
      </c>
      <c r="K947" t="s">
        <v>34</v>
      </c>
      <c r="M947" s="1" t="s">
        <v>35</v>
      </c>
      <c r="N947" s="1">
        <v>42318949</v>
      </c>
      <c r="O947" s="1" t="s">
        <v>36</v>
      </c>
      <c r="P947" s="11" t="s">
        <v>1775</v>
      </c>
      <c r="R947" s="1" t="s">
        <v>38</v>
      </c>
      <c r="T947" s="1" t="s">
        <v>74</v>
      </c>
      <c r="U947" s="11" t="s">
        <v>1341</v>
      </c>
      <c r="V947" s="1" t="s">
        <v>41</v>
      </c>
      <c r="W947" s="1" t="s">
        <v>49</v>
      </c>
      <c r="Z947" s="14"/>
      <c r="AA947" s="14"/>
    </row>
    <row r="948" spans="1:27" hidden="1">
      <c r="A948" s="1">
        <v>9300311</v>
      </c>
      <c r="B948" s="1" t="s">
        <v>101</v>
      </c>
      <c r="C948" t="s">
        <v>1761</v>
      </c>
      <c r="E948" s="2">
        <v>2625000206001</v>
      </c>
      <c r="F948" s="1" t="s">
        <v>29</v>
      </c>
      <c r="G948" s="1" t="s">
        <v>53</v>
      </c>
      <c r="H948" s="1" t="s">
        <v>317</v>
      </c>
      <c r="I948" s="1" t="s">
        <v>318</v>
      </c>
      <c r="J948" s="1" t="s">
        <v>164</v>
      </c>
      <c r="K948" t="s">
        <v>34</v>
      </c>
      <c r="M948" s="1" t="s">
        <v>35</v>
      </c>
      <c r="N948" s="1">
        <v>42318949</v>
      </c>
      <c r="O948" s="1" t="s">
        <v>105</v>
      </c>
      <c r="P948" s="11" t="s">
        <v>1776</v>
      </c>
      <c r="R948" s="1" t="s">
        <v>38</v>
      </c>
      <c r="T948" s="1" t="s">
        <v>74</v>
      </c>
      <c r="U948" s="11" t="s">
        <v>1341</v>
      </c>
      <c r="V948" s="1" t="s">
        <v>41</v>
      </c>
      <c r="W948" s="1" t="s">
        <v>49</v>
      </c>
      <c r="Z948" s="14"/>
      <c r="AA948" s="14"/>
    </row>
    <row r="949" spans="1:27">
      <c r="A949" s="1">
        <v>9300300</v>
      </c>
      <c r="B949" s="1" t="s">
        <v>101</v>
      </c>
      <c r="C949" t="s">
        <v>1761</v>
      </c>
      <c r="E949" s="2">
        <v>2590000206001</v>
      </c>
      <c r="F949" s="1" t="s">
        <v>29</v>
      </c>
      <c r="G949" s="1" t="s">
        <v>53</v>
      </c>
      <c r="H949" s="1" t="s">
        <v>394</v>
      </c>
      <c r="I949" s="1" t="s">
        <v>395</v>
      </c>
      <c r="J949" s="1" t="s">
        <v>148</v>
      </c>
      <c r="K949" t="s">
        <v>34</v>
      </c>
      <c r="M949" s="1" t="s">
        <v>35</v>
      </c>
      <c r="N949" s="1">
        <v>42318949</v>
      </c>
      <c r="O949" s="1" t="s">
        <v>105</v>
      </c>
      <c r="P949" s="11" t="s">
        <v>1777</v>
      </c>
      <c r="R949" s="1" t="s">
        <v>38</v>
      </c>
      <c r="T949" s="1" t="s">
        <v>74</v>
      </c>
      <c r="U949" s="11" t="s">
        <v>1341</v>
      </c>
      <c r="V949" s="1" t="s">
        <v>41</v>
      </c>
      <c r="W949" s="1" t="s">
        <v>49</v>
      </c>
      <c r="Z949" s="14"/>
      <c r="AA949" s="14"/>
    </row>
    <row r="950" spans="1:27" hidden="1">
      <c r="A950" s="1">
        <v>9300280</v>
      </c>
      <c r="B950" s="1" t="s">
        <v>101</v>
      </c>
      <c r="C950" t="s">
        <v>1761</v>
      </c>
      <c r="E950" s="2">
        <v>2529000206001</v>
      </c>
      <c r="F950" s="1" t="s">
        <v>29</v>
      </c>
      <c r="G950" s="1" t="s">
        <v>53</v>
      </c>
      <c r="H950" s="1" t="s">
        <v>355</v>
      </c>
      <c r="I950" s="1" t="s">
        <v>356</v>
      </c>
      <c r="J950" s="1" t="s">
        <v>56</v>
      </c>
      <c r="K950" t="s">
        <v>34</v>
      </c>
      <c r="M950" s="1" t="s">
        <v>35</v>
      </c>
      <c r="N950" s="1">
        <v>42318949</v>
      </c>
      <c r="O950" s="1" t="s">
        <v>105</v>
      </c>
      <c r="P950" s="11" t="s">
        <v>1778</v>
      </c>
      <c r="R950" s="1" t="s">
        <v>38</v>
      </c>
      <c r="T950" s="1" t="s">
        <v>74</v>
      </c>
      <c r="U950" s="11" t="s">
        <v>1341</v>
      </c>
      <c r="V950" s="1" t="s">
        <v>41</v>
      </c>
      <c r="W950" s="1" t="s">
        <v>49</v>
      </c>
      <c r="Z950" s="14"/>
      <c r="AA950" s="14"/>
    </row>
    <row r="951" spans="1:27" hidden="1">
      <c r="A951" s="1">
        <v>9300272</v>
      </c>
      <c r="B951" s="1" t="s">
        <v>101</v>
      </c>
      <c r="C951" t="s">
        <v>1761</v>
      </c>
      <c r="E951" s="2">
        <v>2473000206001</v>
      </c>
      <c r="F951" s="1" t="s">
        <v>29</v>
      </c>
      <c r="G951" s="1" t="s">
        <v>53</v>
      </c>
      <c r="H951" s="1" t="s">
        <v>1459</v>
      </c>
      <c r="I951" s="1" t="s">
        <v>1460</v>
      </c>
      <c r="J951" s="1" t="s">
        <v>261</v>
      </c>
      <c r="K951" t="s">
        <v>34</v>
      </c>
      <c r="M951" s="1" t="s">
        <v>35</v>
      </c>
      <c r="N951" s="1">
        <v>42318949</v>
      </c>
      <c r="O951" s="1" t="s">
        <v>105</v>
      </c>
      <c r="P951" s="11" t="s">
        <v>1779</v>
      </c>
      <c r="R951" s="1" t="s">
        <v>38</v>
      </c>
      <c r="T951" s="1" t="s">
        <v>74</v>
      </c>
      <c r="U951" s="11" t="s">
        <v>1341</v>
      </c>
      <c r="V951" s="1" t="s">
        <v>41</v>
      </c>
      <c r="W951" s="1" t="s">
        <v>49</v>
      </c>
      <c r="Z951" s="14"/>
      <c r="AA951" s="14"/>
    </row>
    <row r="952" spans="1:27">
      <c r="A952" s="1">
        <v>9300254</v>
      </c>
      <c r="B952" s="1" t="s">
        <v>101</v>
      </c>
      <c r="C952" t="s">
        <v>1761</v>
      </c>
      <c r="E952" s="2">
        <v>2437000206001</v>
      </c>
      <c r="F952" s="1" t="s">
        <v>29</v>
      </c>
      <c r="G952" s="1" t="s">
        <v>53</v>
      </c>
      <c r="H952" s="1" t="s">
        <v>416</v>
      </c>
      <c r="I952" s="1" t="s">
        <v>417</v>
      </c>
      <c r="J952" s="1" t="s">
        <v>211</v>
      </c>
      <c r="K952" t="s">
        <v>34</v>
      </c>
      <c r="M952" s="1" t="s">
        <v>35</v>
      </c>
      <c r="N952" s="1">
        <v>42318949</v>
      </c>
      <c r="O952" s="1" t="s">
        <v>105</v>
      </c>
      <c r="P952" s="11" t="s">
        <v>1780</v>
      </c>
      <c r="R952" s="1" t="s">
        <v>38</v>
      </c>
      <c r="T952" s="1" t="s">
        <v>74</v>
      </c>
      <c r="U952" s="11" t="s">
        <v>1341</v>
      </c>
      <c r="V952" s="1" t="s">
        <v>41</v>
      </c>
      <c r="W952" s="1" t="s">
        <v>49</v>
      </c>
      <c r="Z952" s="14"/>
      <c r="AA952" s="14"/>
    </row>
    <row r="953" spans="1:27">
      <c r="A953" s="1">
        <v>9300253</v>
      </c>
      <c r="B953" s="1" t="s">
        <v>101</v>
      </c>
      <c r="C953" t="s">
        <v>1761</v>
      </c>
      <c r="E953" s="2">
        <v>2437000206001</v>
      </c>
      <c r="F953" s="1" t="s">
        <v>29</v>
      </c>
      <c r="G953" s="1" t="s">
        <v>53</v>
      </c>
      <c r="H953" s="1" t="s">
        <v>416</v>
      </c>
      <c r="I953" s="1" t="s">
        <v>417</v>
      </c>
      <c r="J953" s="1" t="s">
        <v>211</v>
      </c>
      <c r="K953" t="s">
        <v>34</v>
      </c>
      <c r="M953" s="1" t="s">
        <v>35</v>
      </c>
      <c r="N953" s="1">
        <v>42318949</v>
      </c>
      <c r="O953" s="1" t="s">
        <v>105</v>
      </c>
      <c r="P953" s="11" t="s">
        <v>1780</v>
      </c>
      <c r="R953" s="1" t="s">
        <v>38</v>
      </c>
      <c r="T953" s="1" t="s">
        <v>74</v>
      </c>
      <c r="U953" s="11" t="s">
        <v>1341</v>
      </c>
      <c r="V953" s="1" t="s">
        <v>41</v>
      </c>
      <c r="W953" s="1" t="s">
        <v>49</v>
      </c>
      <c r="Z953" s="14"/>
      <c r="AA953" s="14"/>
    </row>
    <row r="954" spans="1:27">
      <c r="A954" s="1">
        <v>9300252</v>
      </c>
      <c r="B954" s="1" t="s">
        <v>101</v>
      </c>
      <c r="C954" t="s">
        <v>1761</v>
      </c>
      <c r="E954" s="2">
        <v>2437000206001</v>
      </c>
      <c r="F954" s="1" t="s">
        <v>29</v>
      </c>
      <c r="G954" s="1" t="s">
        <v>53</v>
      </c>
      <c r="H954" s="1" t="s">
        <v>416</v>
      </c>
      <c r="I954" s="1" t="s">
        <v>417</v>
      </c>
      <c r="J954" s="1" t="s">
        <v>211</v>
      </c>
      <c r="K954" t="s">
        <v>34</v>
      </c>
      <c r="M954" s="1" t="s">
        <v>35</v>
      </c>
      <c r="N954" s="1">
        <v>42318949</v>
      </c>
      <c r="O954" s="1" t="s">
        <v>105</v>
      </c>
      <c r="P954" s="11" t="s">
        <v>1780</v>
      </c>
      <c r="R954" s="1" t="s">
        <v>38</v>
      </c>
      <c r="T954" s="1" t="s">
        <v>74</v>
      </c>
      <c r="U954" s="11" t="s">
        <v>1341</v>
      </c>
      <c r="V954" s="1" t="s">
        <v>41</v>
      </c>
      <c r="W954" s="1" t="s">
        <v>49</v>
      </c>
      <c r="Z954" s="14"/>
      <c r="AA954" s="14"/>
    </row>
    <row r="955" spans="1:27" hidden="1">
      <c r="A955" s="1">
        <v>9300229</v>
      </c>
      <c r="B955" s="1" t="s">
        <v>101</v>
      </c>
      <c r="C955" t="s">
        <v>1761</v>
      </c>
      <c r="E955" s="2">
        <v>2388000206001</v>
      </c>
      <c r="F955" s="1" t="s">
        <v>29</v>
      </c>
      <c r="G955" s="1" t="s">
        <v>53</v>
      </c>
      <c r="H955" s="1" t="s">
        <v>299</v>
      </c>
      <c r="I955" s="1" t="s">
        <v>300</v>
      </c>
      <c r="J955" s="1" t="s">
        <v>79</v>
      </c>
      <c r="K955" t="s">
        <v>34</v>
      </c>
      <c r="M955" s="1" t="s">
        <v>35</v>
      </c>
      <c r="N955" s="1">
        <v>42318949</v>
      </c>
      <c r="O955" s="1" t="s">
        <v>105</v>
      </c>
      <c r="P955" s="11" t="s">
        <v>1781</v>
      </c>
      <c r="R955" s="1" t="s">
        <v>38</v>
      </c>
      <c r="T955" s="1" t="s">
        <v>74</v>
      </c>
      <c r="U955" s="11" t="s">
        <v>1341</v>
      </c>
      <c r="V955" s="1" t="s">
        <v>41</v>
      </c>
      <c r="W955" s="1" t="s">
        <v>49</v>
      </c>
      <c r="Z955" s="14"/>
      <c r="AA955" s="14"/>
    </row>
    <row r="956" spans="1:27" hidden="1">
      <c r="A956" s="1">
        <v>9300228</v>
      </c>
      <c r="B956" s="1" t="s">
        <v>101</v>
      </c>
      <c r="C956" t="s">
        <v>1761</v>
      </c>
      <c r="E956" s="2">
        <v>2388000206001</v>
      </c>
      <c r="F956" s="1" t="s">
        <v>29</v>
      </c>
      <c r="G956" s="1" t="s">
        <v>53</v>
      </c>
      <c r="H956" s="1" t="s">
        <v>299</v>
      </c>
      <c r="I956" s="1" t="s">
        <v>300</v>
      </c>
      <c r="J956" s="1" t="s">
        <v>79</v>
      </c>
      <c r="K956" t="s">
        <v>34</v>
      </c>
      <c r="M956" s="1" t="s">
        <v>35</v>
      </c>
      <c r="N956" s="1">
        <v>42318949</v>
      </c>
      <c r="O956" s="1" t="s">
        <v>105</v>
      </c>
      <c r="P956" s="11" t="s">
        <v>1781</v>
      </c>
      <c r="R956" s="1" t="s">
        <v>38</v>
      </c>
      <c r="T956" s="1" t="s">
        <v>74</v>
      </c>
      <c r="U956" s="11" t="s">
        <v>1341</v>
      </c>
      <c r="V956" s="1" t="s">
        <v>41</v>
      </c>
      <c r="W956" s="1" t="s">
        <v>49</v>
      </c>
      <c r="Z956" s="14"/>
      <c r="AA956" s="14"/>
    </row>
    <row r="957" spans="1:27" hidden="1">
      <c r="A957" s="1">
        <v>9300194</v>
      </c>
      <c r="B957" s="1" t="s">
        <v>101</v>
      </c>
      <c r="C957" t="s">
        <v>1761</v>
      </c>
      <c r="E957" s="2">
        <v>2326000206001</v>
      </c>
      <c r="F957" s="1" t="s">
        <v>29</v>
      </c>
      <c r="G957" s="1" t="s">
        <v>53</v>
      </c>
      <c r="H957" s="1" t="s">
        <v>191</v>
      </c>
      <c r="I957" s="1" t="s">
        <v>192</v>
      </c>
      <c r="J957" s="1" t="s">
        <v>46</v>
      </c>
      <c r="K957" t="s">
        <v>34</v>
      </c>
      <c r="M957" s="1" t="s">
        <v>35</v>
      </c>
      <c r="N957" s="1">
        <v>42318949</v>
      </c>
      <c r="O957" s="1" t="s">
        <v>105</v>
      </c>
      <c r="P957" s="11" t="s">
        <v>1782</v>
      </c>
      <c r="R957" s="1" t="s">
        <v>38</v>
      </c>
      <c r="T957" s="1" t="s">
        <v>74</v>
      </c>
      <c r="U957" s="11" t="s">
        <v>1341</v>
      </c>
      <c r="V957" s="1" t="s">
        <v>41</v>
      </c>
      <c r="W957" s="1" t="s">
        <v>49</v>
      </c>
      <c r="Z957" s="14"/>
      <c r="AA957" s="14"/>
    </row>
    <row r="958" spans="1:27" hidden="1">
      <c r="A958" s="1">
        <v>9300193</v>
      </c>
      <c r="B958" s="1" t="s">
        <v>101</v>
      </c>
      <c r="C958" t="s">
        <v>1761</v>
      </c>
      <c r="E958" s="2">
        <v>2326000206001</v>
      </c>
      <c r="F958" s="1" t="s">
        <v>29</v>
      </c>
      <c r="G958" s="1" t="s">
        <v>53</v>
      </c>
      <c r="H958" s="1" t="s">
        <v>191</v>
      </c>
      <c r="I958" s="1" t="s">
        <v>192</v>
      </c>
      <c r="J958" s="1" t="s">
        <v>46</v>
      </c>
      <c r="K958" t="s">
        <v>34</v>
      </c>
      <c r="M958" s="1" t="s">
        <v>35</v>
      </c>
      <c r="N958" s="1">
        <v>42318949</v>
      </c>
      <c r="O958" s="1" t="s">
        <v>105</v>
      </c>
      <c r="P958" s="11" t="s">
        <v>1782</v>
      </c>
      <c r="R958" s="1" t="s">
        <v>38</v>
      </c>
      <c r="T958" s="1" t="s">
        <v>74</v>
      </c>
      <c r="U958" s="11" t="s">
        <v>1341</v>
      </c>
      <c r="V958" s="1" t="s">
        <v>41</v>
      </c>
      <c r="W958" s="1" t="s">
        <v>49</v>
      </c>
      <c r="Z958" s="14"/>
      <c r="AA958" s="14"/>
    </row>
    <row r="959" spans="1:27" hidden="1">
      <c r="A959" s="1">
        <v>9300192</v>
      </c>
      <c r="B959" s="1" t="s">
        <v>101</v>
      </c>
      <c r="C959" t="s">
        <v>1761</v>
      </c>
      <c r="E959" s="2">
        <v>2326000206001</v>
      </c>
      <c r="F959" s="1" t="s">
        <v>29</v>
      </c>
      <c r="G959" s="1" t="s">
        <v>53</v>
      </c>
      <c r="H959" s="1" t="s">
        <v>191</v>
      </c>
      <c r="I959" s="1" t="s">
        <v>192</v>
      </c>
      <c r="J959" s="1" t="s">
        <v>46</v>
      </c>
      <c r="K959" t="s">
        <v>34</v>
      </c>
      <c r="M959" s="1" t="s">
        <v>35</v>
      </c>
      <c r="N959" s="1">
        <v>42318949</v>
      </c>
      <c r="O959" s="1" t="s">
        <v>105</v>
      </c>
      <c r="P959" s="11" t="s">
        <v>1782</v>
      </c>
      <c r="R959" s="1" t="s">
        <v>38</v>
      </c>
      <c r="T959" s="1" t="s">
        <v>74</v>
      </c>
      <c r="U959" s="11" t="s">
        <v>1341</v>
      </c>
      <c r="V959" s="1" t="s">
        <v>41</v>
      </c>
      <c r="W959" s="1" t="s">
        <v>49</v>
      </c>
      <c r="Z959" s="14"/>
      <c r="AA959" s="14"/>
    </row>
    <row r="960" spans="1:27" hidden="1">
      <c r="A960" s="1">
        <v>9300118</v>
      </c>
      <c r="B960" s="1" t="s">
        <v>101</v>
      </c>
      <c r="C960" t="s">
        <v>1761</v>
      </c>
      <c r="E960" s="2">
        <v>2219000206001</v>
      </c>
      <c r="F960" s="1" t="s">
        <v>29</v>
      </c>
      <c r="G960" s="1" t="s">
        <v>53</v>
      </c>
      <c r="H960" s="1" t="s">
        <v>893</v>
      </c>
      <c r="I960" s="1" t="s">
        <v>894</v>
      </c>
      <c r="J960" s="1" t="s">
        <v>141</v>
      </c>
      <c r="K960" t="s">
        <v>34</v>
      </c>
      <c r="M960" s="1" t="s">
        <v>35</v>
      </c>
      <c r="N960" s="1">
        <v>42318949</v>
      </c>
      <c r="O960" s="1" t="s">
        <v>105</v>
      </c>
      <c r="P960" s="11" t="s">
        <v>1783</v>
      </c>
      <c r="R960" s="1" t="s">
        <v>38</v>
      </c>
      <c r="T960" s="1" t="s">
        <v>74</v>
      </c>
      <c r="U960" s="11" t="s">
        <v>1341</v>
      </c>
      <c r="V960" s="1" t="s">
        <v>41</v>
      </c>
      <c r="W960" s="1" t="s">
        <v>49</v>
      </c>
      <c r="Z960" s="14"/>
      <c r="AA960" s="14"/>
    </row>
    <row r="961" spans="1:27">
      <c r="A961" s="1">
        <v>9300088</v>
      </c>
      <c r="B961" s="1" t="s">
        <v>101</v>
      </c>
      <c r="C961" t="s">
        <v>1761</v>
      </c>
      <c r="E961" s="2">
        <v>2170000206001</v>
      </c>
      <c r="F961" s="1" t="s">
        <v>29</v>
      </c>
      <c r="G961" s="1" t="s">
        <v>53</v>
      </c>
      <c r="H961" s="1" t="s">
        <v>477</v>
      </c>
      <c r="I961" s="1" t="s">
        <v>478</v>
      </c>
      <c r="J961" s="1" t="s">
        <v>148</v>
      </c>
      <c r="K961" t="s">
        <v>34</v>
      </c>
      <c r="M961" s="1" t="s">
        <v>35</v>
      </c>
      <c r="N961" s="1">
        <v>42318949</v>
      </c>
      <c r="O961" s="1" t="s">
        <v>105</v>
      </c>
      <c r="P961" s="11" t="s">
        <v>1784</v>
      </c>
      <c r="R961" s="1" t="s">
        <v>38</v>
      </c>
      <c r="T961" s="1" t="s">
        <v>74</v>
      </c>
      <c r="U961" s="11" t="s">
        <v>1341</v>
      </c>
      <c r="V961" s="1" t="s">
        <v>41</v>
      </c>
      <c r="W961" s="1" t="s">
        <v>49</v>
      </c>
      <c r="Z961" s="14"/>
      <c r="AA961" s="14"/>
    </row>
    <row r="962" spans="1:27">
      <c r="A962" s="1">
        <v>9300087</v>
      </c>
      <c r="B962" s="1" t="s">
        <v>101</v>
      </c>
      <c r="C962" t="s">
        <v>1761</v>
      </c>
      <c r="E962" s="2">
        <v>2170000206001</v>
      </c>
      <c r="F962" s="1" t="s">
        <v>29</v>
      </c>
      <c r="G962" s="1" t="s">
        <v>53</v>
      </c>
      <c r="H962" s="1" t="s">
        <v>477</v>
      </c>
      <c r="I962" s="1" t="s">
        <v>478</v>
      </c>
      <c r="J962" s="1" t="s">
        <v>148</v>
      </c>
      <c r="K962" t="s">
        <v>34</v>
      </c>
      <c r="M962" s="1" t="s">
        <v>35</v>
      </c>
      <c r="N962" s="1">
        <v>42318949</v>
      </c>
      <c r="O962" s="1" t="s">
        <v>105</v>
      </c>
      <c r="P962" s="11" t="s">
        <v>1784</v>
      </c>
      <c r="R962" s="1" t="s">
        <v>38</v>
      </c>
      <c r="T962" s="1" t="s">
        <v>74</v>
      </c>
      <c r="U962" s="11" t="s">
        <v>1341</v>
      </c>
      <c r="V962" s="1" t="s">
        <v>41</v>
      </c>
      <c r="W962" s="1" t="s">
        <v>49</v>
      </c>
      <c r="Z962" s="14"/>
      <c r="AA962" s="14"/>
    </row>
    <row r="963" spans="1:27" hidden="1">
      <c r="A963" s="1">
        <v>9299999</v>
      </c>
      <c r="B963" s="1" t="s">
        <v>101</v>
      </c>
      <c r="C963" t="s">
        <v>1761</v>
      </c>
      <c r="E963" s="2">
        <v>1837000206001</v>
      </c>
      <c r="F963" s="1" t="s">
        <v>29</v>
      </c>
      <c r="G963" s="1" t="s">
        <v>53</v>
      </c>
      <c r="H963" s="1" t="s">
        <v>1785</v>
      </c>
      <c r="I963" s="1" t="s">
        <v>1786</v>
      </c>
      <c r="J963" s="1" t="s">
        <v>46</v>
      </c>
      <c r="K963" t="s">
        <v>34</v>
      </c>
      <c r="M963" s="1" t="s">
        <v>35</v>
      </c>
      <c r="N963" s="1">
        <v>42318949</v>
      </c>
      <c r="O963" s="1" t="s">
        <v>105</v>
      </c>
      <c r="P963" s="11" t="s">
        <v>1787</v>
      </c>
      <c r="R963" s="1" t="s">
        <v>38</v>
      </c>
      <c r="T963" s="1" t="s">
        <v>74</v>
      </c>
      <c r="U963" s="11" t="s">
        <v>1341</v>
      </c>
      <c r="V963" s="1" t="s">
        <v>41</v>
      </c>
      <c r="W963" s="1" t="s">
        <v>49</v>
      </c>
      <c r="Z963" s="14"/>
      <c r="AA963" s="14"/>
    </row>
    <row r="964" spans="1:27" hidden="1">
      <c r="A964" s="1">
        <v>9299998</v>
      </c>
      <c r="B964" s="1" t="s">
        <v>101</v>
      </c>
      <c r="C964" t="s">
        <v>1761</v>
      </c>
      <c r="E964" s="2">
        <v>1837000206001</v>
      </c>
      <c r="F964" s="1" t="s">
        <v>29</v>
      </c>
      <c r="G964" s="1" t="s">
        <v>53</v>
      </c>
      <c r="H964" s="1" t="s">
        <v>1785</v>
      </c>
      <c r="I964" s="1" t="s">
        <v>1786</v>
      </c>
      <c r="J964" s="1" t="s">
        <v>46</v>
      </c>
      <c r="K964" t="s">
        <v>34</v>
      </c>
      <c r="M964" s="1" t="s">
        <v>35</v>
      </c>
      <c r="N964" s="1">
        <v>42318949</v>
      </c>
      <c r="O964" s="1" t="s">
        <v>105</v>
      </c>
      <c r="P964" s="11" t="s">
        <v>1787</v>
      </c>
      <c r="R964" s="1" t="s">
        <v>38</v>
      </c>
      <c r="T964" s="1" t="s">
        <v>74</v>
      </c>
      <c r="U964" s="11" t="s">
        <v>1341</v>
      </c>
      <c r="V964" s="1" t="s">
        <v>41</v>
      </c>
      <c r="W964" s="1" t="s">
        <v>49</v>
      </c>
      <c r="Z964" s="14"/>
      <c r="AA964" s="14"/>
    </row>
    <row r="965" spans="1:27" hidden="1">
      <c r="A965" s="1">
        <v>9299997</v>
      </c>
      <c r="B965" s="1" t="s">
        <v>101</v>
      </c>
      <c r="C965" t="s">
        <v>1761</v>
      </c>
      <c r="E965" s="2">
        <v>1837000206001</v>
      </c>
      <c r="F965" s="1" t="s">
        <v>29</v>
      </c>
      <c r="G965" s="1" t="s">
        <v>53</v>
      </c>
      <c r="H965" s="1" t="s">
        <v>1785</v>
      </c>
      <c r="I965" s="1" t="s">
        <v>1786</v>
      </c>
      <c r="J965" s="1" t="s">
        <v>46</v>
      </c>
      <c r="K965" t="s">
        <v>34</v>
      </c>
      <c r="M965" s="1" t="s">
        <v>35</v>
      </c>
      <c r="N965" s="1">
        <v>42318949</v>
      </c>
      <c r="O965" s="1" t="s">
        <v>105</v>
      </c>
      <c r="P965" s="11" t="s">
        <v>1788</v>
      </c>
      <c r="R965" s="1" t="s">
        <v>38</v>
      </c>
      <c r="T965" s="1" t="s">
        <v>74</v>
      </c>
      <c r="U965" s="11" t="s">
        <v>1341</v>
      </c>
      <c r="V965" s="1" t="s">
        <v>41</v>
      </c>
      <c r="W965" s="1" t="s">
        <v>49</v>
      </c>
      <c r="Z965" s="14"/>
      <c r="AA965" s="14"/>
    </row>
    <row r="966" spans="1:27" hidden="1">
      <c r="A966" s="1">
        <v>9299964</v>
      </c>
      <c r="B966" s="1" t="s">
        <v>101</v>
      </c>
      <c r="C966" t="s">
        <v>1761</v>
      </c>
      <c r="E966" s="2">
        <v>1739000206001</v>
      </c>
      <c r="F966" s="1" t="s">
        <v>29</v>
      </c>
      <c r="G966" s="1" t="s">
        <v>53</v>
      </c>
      <c r="H966" s="1" t="s">
        <v>162</v>
      </c>
      <c r="I966" s="1" t="s">
        <v>163</v>
      </c>
      <c r="J966" s="1" t="s">
        <v>164</v>
      </c>
      <c r="K966" t="s">
        <v>34</v>
      </c>
      <c r="M966" s="1" t="s">
        <v>35</v>
      </c>
      <c r="N966" s="1">
        <v>42318949</v>
      </c>
      <c r="O966" s="1" t="s">
        <v>105</v>
      </c>
      <c r="P966" s="11" t="s">
        <v>1789</v>
      </c>
      <c r="R966" s="1" t="s">
        <v>38</v>
      </c>
      <c r="T966" s="1" t="s">
        <v>74</v>
      </c>
      <c r="U966" s="11" t="s">
        <v>1341</v>
      </c>
      <c r="V966" s="1" t="s">
        <v>41</v>
      </c>
      <c r="W966" s="1" t="s">
        <v>49</v>
      </c>
      <c r="Z966" s="14"/>
      <c r="AA966" s="14"/>
    </row>
    <row r="967" spans="1:27" hidden="1">
      <c r="A967" s="1">
        <v>9299963</v>
      </c>
      <c r="B967" s="1" t="s">
        <v>101</v>
      </c>
      <c r="C967" t="s">
        <v>1761</v>
      </c>
      <c r="E967" s="2">
        <v>1739000206001</v>
      </c>
      <c r="F967" s="1" t="s">
        <v>29</v>
      </c>
      <c r="G967" s="1" t="s">
        <v>53</v>
      </c>
      <c r="H967" s="1" t="s">
        <v>162</v>
      </c>
      <c r="I967" s="1" t="s">
        <v>163</v>
      </c>
      <c r="J967" s="1" t="s">
        <v>164</v>
      </c>
      <c r="K967" t="s">
        <v>34</v>
      </c>
      <c r="M967" s="1" t="s">
        <v>35</v>
      </c>
      <c r="N967" s="1">
        <v>42318949</v>
      </c>
      <c r="O967" s="1" t="s">
        <v>105</v>
      </c>
      <c r="P967" s="11" t="s">
        <v>1790</v>
      </c>
      <c r="R967" s="1" t="s">
        <v>38</v>
      </c>
      <c r="T967" s="1" t="s">
        <v>74</v>
      </c>
      <c r="U967" s="11" t="s">
        <v>1341</v>
      </c>
      <c r="V967" s="1" t="s">
        <v>41</v>
      </c>
      <c r="W967" s="1" t="s">
        <v>49</v>
      </c>
      <c r="Z967" s="14"/>
      <c r="AA967" s="14"/>
    </row>
    <row r="968" spans="1:27" hidden="1">
      <c r="A968" s="1">
        <v>9299962</v>
      </c>
      <c r="B968" s="1" t="s">
        <v>101</v>
      </c>
      <c r="C968" t="s">
        <v>1761</v>
      </c>
      <c r="E968" s="2">
        <v>1739000206001</v>
      </c>
      <c r="F968" s="1" t="s">
        <v>29</v>
      </c>
      <c r="G968" s="1" t="s">
        <v>53</v>
      </c>
      <c r="H968" s="1" t="s">
        <v>162</v>
      </c>
      <c r="I968" s="1" t="s">
        <v>163</v>
      </c>
      <c r="J968" s="1" t="s">
        <v>164</v>
      </c>
      <c r="K968" t="s">
        <v>34</v>
      </c>
      <c r="M968" s="1" t="s">
        <v>35</v>
      </c>
      <c r="N968" s="1">
        <v>42318949</v>
      </c>
      <c r="O968" s="1" t="s">
        <v>105</v>
      </c>
      <c r="P968" s="11" t="s">
        <v>1790</v>
      </c>
      <c r="R968" s="1" t="s">
        <v>38</v>
      </c>
      <c r="T968" s="1" t="s">
        <v>74</v>
      </c>
      <c r="U968" s="11" t="s">
        <v>1341</v>
      </c>
      <c r="V968" s="1" t="s">
        <v>41</v>
      </c>
      <c r="W968" s="1" t="s">
        <v>49</v>
      </c>
      <c r="Z968" s="14"/>
      <c r="AA968" s="14"/>
    </row>
    <row r="969" spans="1:27" hidden="1">
      <c r="A969" s="1">
        <v>9299956</v>
      </c>
      <c r="B969" s="1" t="s">
        <v>101</v>
      </c>
      <c r="C969" t="s">
        <v>1761</v>
      </c>
      <c r="E969" s="2">
        <v>1732000206001</v>
      </c>
      <c r="F969" s="1" t="s">
        <v>29</v>
      </c>
      <c r="G969" s="1" t="s">
        <v>53</v>
      </c>
      <c r="H969" s="1" t="s">
        <v>177</v>
      </c>
      <c r="I969" s="1" t="s">
        <v>178</v>
      </c>
      <c r="J969" s="1" t="s">
        <v>164</v>
      </c>
      <c r="K969" t="s">
        <v>34</v>
      </c>
      <c r="M969" s="1" t="s">
        <v>35</v>
      </c>
      <c r="N969" s="1">
        <v>42318949</v>
      </c>
      <c r="O969" s="1" t="s">
        <v>105</v>
      </c>
      <c r="P969" s="11" t="s">
        <v>1790</v>
      </c>
      <c r="R969" s="1" t="s">
        <v>38</v>
      </c>
      <c r="T969" s="1" t="s">
        <v>74</v>
      </c>
      <c r="U969" s="11" t="s">
        <v>1341</v>
      </c>
      <c r="V969" s="1" t="s">
        <v>41</v>
      </c>
      <c r="W969" s="1" t="s">
        <v>49</v>
      </c>
      <c r="Z969" s="14"/>
      <c r="AA969" s="14"/>
    </row>
    <row r="970" spans="1:27" hidden="1">
      <c r="A970" s="1">
        <v>9299911</v>
      </c>
      <c r="B970" s="1" t="s">
        <v>101</v>
      </c>
      <c r="C970" t="s">
        <v>1761</v>
      </c>
      <c r="E970" s="2">
        <v>1650000206001</v>
      </c>
      <c r="F970" s="1" t="s">
        <v>29</v>
      </c>
      <c r="G970" s="1" t="s">
        <v>53</v>
      </c>
      <c r="H970" s="1" t="s">
        <v>620</v>
      </c>
      <c r="I970" s="1" t="s">
        <v>621</v>
      </c>
      <c r="J970" s="1" t="s">
        <v>141</v>
      </c>
      <c r="K970" t="s">
        <v>34</v>
      </c>
      <c r="M970" s="1" t="s">
        <v>35</v>
      </c>
      <c r="N970" s="1">
        <v>42318949</v>
      </c>
      <c r="O970" s="1" t="s">
        <v>105</v>
      </c>
      <c r="P970" s="11" t="s">
        <v>1791</v>
      </c>
      <c r="R970" s="1" t="s">
        <v>38</v>
      </c>
      <c r="T970" s="1" t="s">
        <v>74</v>
      </c>
      <c r="U970" s="11" t="s">
        <v>1341</v>
      </c>
      <c r="V970" s="1" t="s">
        <v>41</v>
      </c>
      <c r="W970" s="1" t="s">
        <v>49</v>
      </c>
      <c r="Z970" s="14"/>
      <c r="AA970" s="14"/>
    </row>
    <row r="971" spans="1:27" hidden="1">
      <c r="A971" s="1">
        <v>9299910</v>
      </c>
      <c r="B971" s="1" t="s">
        <v>101</v>
      </c>
      <c r="C971" t="s">
        <v>1761</v>
      </c>
      <c r="E971" s="2">
        <v>1650000206001</v>
      </c>
      <c r="F971" s="1" t="s">
        <v>29</v>
      </c>
      <c r="G971" s="1" t="s">
        <v>53</v>
      </c>
      <c r="H971" s="1" t="s">
        <v>620</v>
      </c>
      <c r="I971" s="1" t="s">
        <v>621</v>
      </c>
      <c r="J971" s="1" t="s">
        <v>141</v>
      </c>
      <c r="K971" t="s">
        <v>34</v>
      </c>
      <c r="M971" s="1" t="s">
        <v>35</v>
      </c>
      <c r="N971" s="1">
        <v>42318949</v>
      </c>
      <c r="O971" s="1" t="s">
        <v>105</v>
      </c>
      <c r="P971" s="11" t="s">
        <v>1791</v>
      </c>
      <c r="R971" s="1" t="s">
        <v>38</v>
      </c>
      <c r="T971" s="1" t="s">
        <v>74</v>
      </c>
      <c r="U971" s="11" t="s">
        <v>1341</v>
      </c>
      <c r="V971" s="1" t="s">
        <v>41</v>
      </c>
      <c r="W971" s="1" t="s">
        <v>49</v>
      </c>
      <c r="Z971" s="14"/>
      <c r="AA971" s="14"/>
    </row>
    <row r="972" spans="1:27" hidden="1">
      <c r="A972" s="1">
        <v>9299909</v>
      </c>
      <c r="B972" s="1" t="s">
        <v>101</v>
      </c>
      <c r="C972" t="s">
        <v>1761</v>
      </c>
      <c r="E972" s="2">
        <v>1650000206001</v>
      </c>
      <c r="F972" s="1" t="s">
        <v>29</v>
      </c>
      <c r="G972" s="1" t="s">
        <v>53</v>
      </c>
      <c r="H972" s="1" t="s">
        <v>620</v>
      </c>
      <c r="I972" s="1" t="s">
        <v>621</v>
      </c>
      <c r="J972" s="1" t="s">
        <v>141</v>
      </c>
      <c r="K972" t="s">
        <v>34</v>
      </c>
      <c r="M972" s="1" t="s">
        <v>35</v>
      </c>
      <c r="N972" s="1">
        <v>42318949</v>
      </c>
      <c r="O972" s="1" t="s">
        <v>105</v>
      </c>
      <c r="P972" s="11" t="s">
        <v>1791</v>
      </c>
      <c r="R972" s="1" t="s">
        <v>38</v>
      </c>
      <c r="T972" s="1" t="s">
        <v>74</v>
      </c>
      <c r="U972" s="11" t="s">
        <v>1341</v>
      </c>
      <c r="V972" s="1" t="s">
        <v>41</v>
      </c>
      <c r="W972" s="1" t="s">
        <v>49</v>
      </c>
      <c r="Z972" s="14"/>
      <c r="AA972" s="14"/>
    </row>
    <row r="973" spans="1:27" hidden="1">
      <c r="A973" s="1">
        <v>9299908</v>
      </c>
      <c r="B973" s="1" t="s">
        <v>101</v>
      </c>
      <c r="C973" t="s">
        <v>1761</v>
      </c>
      <c r="E973" s="2">
        <v>1643000206001</v>
      </c>
      <c r="F973" s="1" t="s">
        <v>29</v>
      </c>
      <c r="G973" s="1" t="s">
        <v>53</v>
      </c>
      <c r="H973" s="1" t="s">
        <v>361</v>
      </c>
      <c r="I973" s="1" t="s">
        <v>362</v>
      </c>
      <c r="J973" s="1" t="s">
        <v>261</v>
      </c>
      <c r="K973" t="s">
        <v>34</v>
      </c>
      <c r="M973" s="1" t="s">
        <v>35</v>
      </c>
      <c r="N973" s="1">
        <v>42318949</v>
      </c>
      <c r="O973" s="1" t="s">
        <v>105</v>
      </c>
      <c r="P973" s="11" t="s">
        <v>1791</v>
      </c>
      <c r="R973" s="1" t="s">
        <v>38</v>
      </c>
      <c r="T973" s="1" t="s">
        <v>74</v>
      </c>
      <c r="U973" s="11" t="s">
        <v>1341</v>
      </c>
      <c r="V973" s="1" t="s">
        <v>41</v>
      </c>
      <c r="W973" s="1" t="s">
        <v>49</v>
      </c>
      <c r="Z973" s="14"/>
      <c r="AA973" s="14"/>
    </row>
    <row r="974" spans="1:27" hidden="1">
      <c r="A974" s="1">
        <v>9299907</v>
      </c>
      <c r="B974" s="1" t="s">
        <v>101</v>
      </c>
      <c r="C974" t="s">
        <v>1761</v>
      </c>
      <c r="E974" s="2">
        <v>1643000206001</v>
      </c>
      <c r="F974" s="1" t="s">
        <v>29</v>
      </c>
      <c r="G974" s="1" t="s">
        <v>53</v>
      </c>
      <c r="H974" s="1" t="s">
        <v>361</v>
      </c>
      <c r="I974" s="1" t="s">
        <v>362</v>
      </c>
      <c r="J974" s="1" t="s">
        <v>261</v>
      </c>
      <c r="K974" t="s">
        <v>34</v>
      </c>
      <c r="M974" s="1" t="s">
        <v>35</v>
      </c>
      <c r="N974" s="1">
        <v>42318949</v>
      </c>
      <c r="O974" s="1" t="s">
        <v>105</v>
      </c>
      <c r="P974" s="11" t="s">
        <v>1791</v>
      </c>
      <c r="R974" s="1" t="s">
        <v>38</v>
      </c>
      <c r="T974" s="1" t="s">
        <v>74</v>
      </c>
      <c r="U974" s="11" t="s">
        <v>1341</v>
      </c>
      <c r="V974" s="1" t="s">
        <v>41</v>
      </c>
      <c r="W974" s="1" t="s">
        <v>49</v>
      </c>
      <c r="Z974" s="14"/>
      <c r="AA974" s="14"/>
    </row>
    <row r="975" spans="1:27" hidden="1">
      <c r="A975" s="1">
        <v>9299906</v>
      </c>
      <c r="B975" s="1" t="s">
        <v>101</v>
      </c>
      <c r="C975" t="s">
        <v>1761</v>
      </c>
      <c r="E975" s="2">
        <v>1643000206001</v>
      </c>
      <c r="F975" s="1" t="s">
        <v>29</v>
      </c>
      <c r="G975" s="1" t="s">
        <v>53</v>
      </c>
      <c r="H975" s="1" t="s">
        <v>361</v>
      </c>
      <c r="I975" s="1" t="s">
        <v>362</v>
      </c>
      <c r="J975" s="1" t="s">
        <v>261</v>
      </c>
      <c r="K975" t="s">
        <v>34</v>
      </c>
      <c r="M975" s="1" t="s">
        <v>35</v>
      </c>
      <c r="N975" s="1">
        <v>42318949</v>
      </c>
      <c r="O975" s="1" t="s">
        <v>105</v>
      </c>
      <c r="P975" s="11" t="s">
        <v>1791</v>
      </c>
      <c r="R975" s="1" t="s">
        <v>38</v>
      </c>
      <c r="T975" s="1" t="s">
        <v>74</v>
      </c>
      <c r="U975" s="11" t="s">
        <v>1341</v>
      </c>
      <c r="V975" s="1" t="s">
        <v>41</v>
      </c>
      <c r="W975" s="1" t="s">
        <v>49</v>
      </c>
      <c r="Z975" s="14"/>
      <c r="AA975" s="14"/>
    </row>
    <row r="976" spans="1:27" hidden="1">
      <c r="A976" s="1">
        <v>9299748</v>
      </c>
      <c r="B976" s="1" t="s">
        <v>101</v>
      </c>
      <c r="C976" t="s">
        <v>1761</v>
      </c>
      <c r="E976" s="2">
        <v>1363000206001</v>
      </c>
      <c r="F976" s="1" t="s">
        <v>29</v>
      </c>
      <c r="G976" s="1" t="s">
        <v>53</v>
      </c>
      <c r="H976" s="1" t="s">
        <v>108</v>
      </c>
      <c r="I976" s="1" t="s">
        <v>109</v>
      </c>
      <c r="J976" s="1" t="s">
        <v>110</v>
      </c>
      <c r="K976" t="s">
        <v>34</v>
      </c>
      <c r="M976" s="1" t="s">
        <v>35</v>
      </c>
      <c r="N976" s="1">
        <v>42318949</v>
      </c>
      <c r="O976" s="1" t="s">
        <v>105</v>
      </c>
      <c r="P976" s="11" t="s">
        <v>1792</v>
      </c>
      <c r="R976" s="1" t="s">
        <v>38</v>
      </c>
      <c r="T976" s="1" t="s">
        <v>74</v>
      </c>
      <c r="U976" s="11" t="s">
        <v>1341</v>
      </c>
      <c r="V976" s="1" t="s">
        <v>41</v>
      </c>
      <c r="W976" s="1" t="s">
        <v>49</v>
      </c>
      <c r="Z976" s="14"/>
      <c r="AA976" s="14"/>
    </row>
    <row r="977" spans="1:27" hidden="1">
      <c r="A977" s="1">
        <v>9299747</v>
      </c>
      <c r="B977" s="1" t="s">
        <v>101</v>
      </c>
      <c r="C977" t="s">
        <v>1761</v>
      </c>
      <c r="E977" s="2">
        <v>1363000206001</v>
      </c>
      <c r="F977" s="1" t="s">
        <v>29</v>
      </c>
      <c r="G977" s="1" t="s">
        <v>53</v>
      </c>
      <c r="H977" s="1" t="s">
        <v>108</v>
      </c>
      <c r="I977" s="1" t="s">
        <v>109</v>
      </c>
      <c r="J977" s="1" t="s">
        <v>110</v>
      </c>
      <c r="K977" t="s">
        <v>34</v>
      </c>
      <c r="M977" s="1" t="s">
        <v>35</v>
      </c>
      <c r="N977" s="1">
        <v>42318949</v>
      </c>
      <c r="O977" s="1" t="s">
        <v>105</v>
      </c>
      <c r="P977" s="11" t="s">
        <v>1792</v>
      </c>
      <c r="R977" s="1" t="s">
        <v>38</v>
      </c>
      <c r="T977" s="1" t="s">
        <v>74</v>
      </c>
      <c r="U977" s="11" t="s">
        <v>1341</v>
      </c>
      <c r="V977" s="1" t="s">
        <v>41</v>
      </c>
      <c r="W977" s="1" t="s">
        <v>49</v>
      </c>
      <c r="Z977" s="14"/>
      <c r="AA977" s="14"/>
    </row>
    <row r="978" spans="1:27" hidden="1">
      <c r="A978" s="1">
        <v>9299712</v>
      </c>
      <c r="B978" s="1" t="s">
        <v>101</v>
      </c>
      <c r="C978" t="s">
        <v>1761</v>
      </c>
      <c r="E978" s="2">
        <v>1291000206001</v>
      </c>
      <c r="F978" s="1" t="s">
        <v>29</v>
      </c>
      <c r="G978" s="1" t="s">
        <v>53</v>
      </c>
      <c r="H978" s="1" t="s">
        <v>136</v>
      </c>
      <c r="I978" s="1" t="s">
        <v>137</v>
      </c>
      <c r="J978" s="1" t="s">
        <v>33</v>
      </c>
      <c r="K978" t="s">
        <v>34</v>
      </c>
      <c r="M978" s="1" t="s">
        <v>35</v>
      </c>
      <c r="N978" s="1">
        <v>42318949</v>
      </c>
      <c r="O978" s="1" t="s">
        <v>105</v>
      </c>
      <c r="P978" s="11" t="s">
        <v>1793</v>
      </c>
      <c r="R978" s="1" t="s">
        <v>38</v>
      </c>
      <c r="T978" s="1" t="s">
        <v>74</v>
      </c>
      <c r="U978" s="11" t="s">
        <v>1341</v>
      </c>
      <c r="V978" s="1" t="s">
        <v>41</v>
      </c>
      <c r="W978" s="1" t="s">
        <v>42</v>
      </c>
      <c r="Z978" s="14"/>
      <c r="AA978" s="14"/>
    </row>
    <row r="979" spans="1:27" hidden="1">
      <c r="A979" s="1">
        <v>9299701</v>
      </c>
      <c r="B979" s="1" t="s">
        <v>101</v>
      </c>
      <c r="C979" t="s">
        <v>1761</v>
      </c>
      <c r="E979" s="2">
        <v>1264000206001</v>
      </c>
      <c r="F979" s="1" t="s">
        <v>29</v>
      </c>
      <c r="G979" s="1" t="s">
        <v>53</v>
      </c>
      <c r="H979" s="1" t="s">
        <v>351</v>
      </c>
      <c r="I979" s="1" t="s">
        <v>352</v>
      </c>
      <c r="J979" s="1" t="s">
        <v>110</v>
      </c>
      <c r="K979" t="s">
        <v>34</v>
      </c>
      <c r="M979" s="1" t="s">
        <v>35</v>
      </c>
      <c r="N979" s="1">
        <v>42318949</v>
      </c>
      <c r="O979" s="1" t="s">
        <v>105</v>
      </c>
      <c r="P979" s="11" t="s">
        <v>1794</v>
      </c>
      <c r="R979" s="1" t="s">
        <v>38</v>
      </c>
      <c r="T979" s="1" t="s">
        <v>74</v>
      </c>
      <c r="U979" s="11" t="s">
        <v>1341</v>
      </c>
      <c r="V979" s="1" t="s">
        <v>41</v>
      </c>
      <c r="W979" s="1" t="s">
        <v>49</v>
      </c>
      <c r="Z979" s="14"/>
      <c r="AA979" s="14"/>
    </row>
    <row r="980" spans="1:27" hidden="1">
      <c r="A980" s="1">
        <v>9299700</v>
      </c>
      <c r="B980" s="1" t="s">
        <v>101</v>
      </c>
      <c r="C980" t="s">
        <v>1761</v>
      </c>
      <c r="E980" s="2">
        <v>1264000206001</v>
      </c>
      <c r="F980" s="1" t="s">
        <v>29</v>
      </c>
      <c r="G980" s="1" t="s">
        <v>53</v>
      </c>
      <c r="H980" s="1" t="s">
        <v>351</v>
      </c>
      <c r="I980" s="1" t="s">
        <v>352</v>
      </c>
      <c r="J980" s="1" t="s">
        <v>110</v>
      </c>
      <c r="K980" t="s">
        <v>34</v>
      </c>
      <c r="M980" s="1" t="s">
        <v>35</v>
      </c>
      <c r="N980" s="1">
        <v>42318949</v>
      </c>
      <c r="O980" s="1" t="s">
        <v>105</v>
      </c>
      <c r="P980" s="11" t="s">
        <v>1794</v>
      </c>
      <c r="R980" s="1" t="s">
        <v>38</v>
      </c>
      <c r="T980" s="1" t="s">
        <v>74</v>
      </c>
      <c r="U980" s="11" t="s">
        <v>1341</v>
      </c>
      <c r="V980" s="1" t="s">
        <v>41</v>
      </c>
      <c r="W980" s="1" t="s">
        <v>49</v>
      </c>
      <c r="Z980" s="14"/>
      <c r="AA980" s="14"/>
    </row>
    <row r="981" spans="1:27" hidden="1">
      <c r="A981" s="1">
        <v>9299699</v>
      </c>
      <c r="B981" s="1" t="s">
        <v>101</v>
      </c>
      <c r="C981" t="s">
        <v>1761</v>
      </c>
      <c r="E981" s="2">
        <v>1264000206001</v>
      </c>
      <c r="F981" s="1" t="s">
        <v>29</v>
      </c>
      <c r="G981" s="1" t="s">
        <v>53</v>
      </c>
      <c r="H981" s="1" t="s">
        <v>351</v>
      </c>
      <c r="I981" s="1" t="s">
        <v>352</v>
      </c>
      <c r="J981" s="1" t="s">
        <v>110</v>
      </c>
      <c r="K981" t="s">
        <v>34</v>
      </c>
      <c r="M981" s="1" t="s">
        <v>35</v>
      </c>
      <c r="N981" s="1">
        <v>42318949</v>
      </c>
      <c r="O981" s="1" t="s">
        <v>105</v>
      </c>
      <c r="P981" s="11" t="s">
        <v>1794</v>
      </c>
      <c r="R981" s="1" t="s">
        <v>38</v>
      </c>
      <c r="T981" s="1" t="s">
        <v>74</v>
      </c>
      <c r="U981" s="11" t="s">
        <v>1341</v>
      </c>
      <c r="V981" s="1" t="s">
        <v>41</v>
      </c>
      <c r="W981" s="1" t="s">
        <v>49</v>
      </c>
      <c r="Z981" s="14"/>
      <c r="AA981" s="14"/>
    </row>
    <row r="982" spans="1:27" hidden="1">
      <c r="A982" s="1">
        <v>9299638</v>
      </c>
      <c r="B982" s="1" t="s">
        <v>101</v>
      </c>
      <c r="C982" t="s">
        <v>1761</v>
      </c>
      <c r="E982" s="2">
        <v>1153000206001</v>
      </c>
      <c r="F982" s="1" t="s">
        <v>29</v>
      </c>
      <c r="G982" s="1" t="s">
        <v>53</v>
      </c>
      <c r="H982" s="1" t="s">
        <v>1031</v>
      </c>
      <c r="I982" s="1" t="s">
        <v>1032</v>
      </c>
      <c r="J982" s="1" t="s">
        <v>79</v>
      </c>
      <c r="K982" t="s">
        <v>34</v>
      </c>
      <c r="M982" s="1" t="s">
        <v>35</v>
      </c>
      <c r="N982" s="1">
        <v>42318949</v>
      </c>
      <c r="O982" s="1" t="s">
        <v>105</v>
      </c>
      <c r="P982" s="11" t="s">
        <v>1795</v>
      </c>
      <c r="R982" s="1" t="s">
        <v>38</v>
      </c>
      <c r="T982" s="1" t="s">
        <v>74</v>
      </c>
      <c r="U982" s="11" t="s">
        <v>1341</v>
      </c>
      <c r="V982" s="1" t="s">
        <v>41</v>
      </c>
      <c r="W982" s="1" t="s">
        <v>49</v>
      </c>
      <c r="Z982" s="14"/>
      <c r="AA982" s="14"/>
    </row>
    <row r="983" spans="1:27" hidden="1">
      <c r="A983" s="1">
        <v>9299629</v>
      </c>
      <c r="B983" s="1" t="s">
        <v>101</v>
      </c>
      <c r="C983" t="s">
        <v>1761</v>
      </c>
      <c r="E983" s="2">
        <v>1120000206001</v>
      </c>
      <c r="F983" s="1" t="s">
        <v>29</v>
      </c>
      <c r="G983" s="1" t="s">
        <v>53</v>
      </c>
      <c r="H983" s="1" t="s">
        <v>181</v>
      </c>
      <c r="I983" s="1" t="s">
        <v>182</v>
      </c>
      <c r="J983" s="1" t="s">
        <v>164</v>
      </c>
      <c r="K983" t="s">
        <v>34</v>
      </c>
      <c r="M983" s="1" t="s">
        <v>35</v>
      </c>
      <c r="N983" s="1">
        <v>42318949</v>
      </c>
      <c r="O983" s="1" t="s">
        <v>105</v>
      </c>
      <c r="P983" s="11" t="s">
        <v>3032</v>
      </c>
      <c r="R983" s="1" t="s">
        <v>38</v>
      </c>
      <c r="T983" s="1" t="s">
        <v>74</v>
      </c>
      <c r="U983" s="11" t="s">
        <v>1341</v>
      </c>
      <c r="V983" s="1" t="s">
        <v>41</v>
      </c>
      <c r="W983" s="1" t="s">
        <v>49</v>
      </c>
      <c r="Z983" s="14"/>
      <c r="AA983" s="14"/>
    </row>
    <row r="984" spans="1:27" hidden="1">
      <c r="A984" s="1">
        <v>9299628</v>
      </c>
      <c r="B984" s="1" t="s">
        <v>101</v>
      </c>
      <c r="C984" t="s">
        <v>1761</v>
      </c>
      <c r="E984" s="2">
        <v>1120000206001</v>
      </c>
      <c r="F984" s="1" t="s">
        <v>29</v>
      </c>
      <c r="G984" s="1" t="s">
        <v>53</v>
      </c>
      <c r="H984" s="1" t="s">
        <v>181</v>
      </c>
      <c r="I984" s="1" t="s">
        <v>182</v>
      </c>
      <c r="J984" s="1" t="s">
        <v>164</v>
      </c>
      <c r="K984" t="s">
        <v>34</v>
      </c>
      <c r="M984" s="1" t="s">
        <v>35</v>
      </c>
      <c r="N984" s="1">
        <v>42318949</v>
      </c>
      <c r="O984" s="1" t="s">
        <v>105</v>
      </c>
      <c r="P984" s="11" t="s">
        <v>1796</v>
      </c>
      <c r="R984" s="1" t="s">
        <v>38</v>
      </c>
      <c r="T984" s="1" t="s">
        <v>74</v>
      </c>
      <c r="U984" s="11" t="s">
        <v>1341</v>
      </c>
      <c r="V984" s="1" t="s">
        <v>41</v>
      </c>
      <c r="W984" s="1" t="s">
        <v>49</v>
      </c>
      <c r="Z984" s="14"/>
      <c r="AA984" s="14"/>
    </row>
    <row r="985" spans="1:27">
      <c r="A985" s="1">
        <v>9299585</v>
      </c>
      <c r="B985" s="1" t="s">
        <v>101</v>
      </c>
      <c r="C985" t="s">
        <v>1761</v>
      </c>
      <c r="E985" s="2">
        <v>1060000206001</v>
      </c>
      <c r="F985" s="1" t="s">
        <v>29</v>
      </c>
      <c r="G985" s="1" t="s">
        <v>53</v>
      </c>
      <c r="H985" s="1" t="s">
        <v>284</v>
      </c>
      <c r="I985" s="1" t="s">
        <v>285</v>
      </c>
      <c r="J985" s="1" t="s">
        <v>148</v>
      </c>
      <c r="K985" t="s">
        <v>34</v>
      </c>
      <c r="M985" s="1" t="s">
        <v>35</v>
      </c>
      <c r="N985" s="1">
        <v>42318949</v>
      </c>
      <c r="O985" s="1" t="s">
        <v>105</v>
      </c>
      <c r="P985" s="11" t="s">
        <v>1797</v>
      </c>
      <c r="R985" s="1" t="s">
        <v>38</v>
      </c>
      <c r="T985" s="1" t="s">
        <v>74</v>
      </c>
      <c r="U985" s="11" t="s">
        <v>1341</v>
      </c>
      <c r="V985" s="1" t="s">
        <v>41</v>
      </c>
      <c r="W985" s="1" t="s">
        <v>49</v>
      </c>
      <c r="Z985" s="14"/>
      <c r="AA985" s="14"/>
    </row>
    <row r="986" spans="1:27">
      <c r="A986" s="1">
        <v>9299584</v>
      </c>
      <c r="B986" s="1" t="s">
        <v>101</v>
      </c>
      <c r="C986" t="s">
        <v>1761</v>
      </c>
      <c r="E986" s="2">
        <v>1060000206001</v>
      </c>
      <c r="F986" s="1" t="s">
        <v>29</v>
      </c>
      <c r="G986" s="1" t="s">
        <v>53</v>
      </c>
      <c r="H986" s="1" t="s">
        <v>284</v>
      </c>
      <c r="I986" s="1" t="s">
        <v>285</v>
      </c>
      <c r="J986" s="1" t="s">
        <v>148</v>
      </c>
      <c r="K986" t="s">
        <v>34</v>
      </c>
      <c r="M986" s="1" t="s">
        <v>35</v>
      </c>
      <c r="N986" s="1">
        <v>42318949</v>
      </c>
      <c r="O986" s="1" t="s">
        <v>105</v>
      </c>
      <c r="P986" s="11" t="s">
        <v>1797</v>
      </c>
      <c r="R986" s="1" t="s">
        <v>38</v>
      </c>
      <c r="T986" s="1" t="s">
        <v>74</v>
      </c>
      <c r="U986" s="11" t="s">
        <v>1341</v>
      </c>
      <c r="V986" s="1" t="s">
        <v>41</v>
      </c>
      <c r="W986" s="1" t="s">
        <v>49</v>
      </c>
      <c r="Z986" s="14"/>
      <c r="AA986" s="14"/>
    </row>
    <row r="987" spans="1:27">
      <c r="A987" s="1">
        <v>9299582</v>
      </c>
      <c r="B987" s="1" t="s">
        <v>101</v>
      </c>
      <c r="C987" t="s">
        <v>1761</v>
      </c>
      <c r="E987" s="2">
        <v>1059000206001</v>
      </c>
      <c r="F987" s="1" t="s">
        <v>29</v>
      </c>
      <c r="G987" s="1" t="s">
        <v>53</v>
      </c>
      <c r="H987" s="1" t="s">
        <v>88</v>
      </c>
      <c r="I987" s="1" t="s">
        <v>89</v>
      </c>
      <c r="J987" s="1" t="s">
        <v>90</v>
      </c>
      <c r="K987" t="s">
        <v>34</v>
      </c>
      <c r="M987" s="1" t="s">
        <v>35</v>
      </c>
      <c r="N987" s="1">
        <v>42318949</v>
      </c>
      <c r="O987" s="1" t="s">
        <v>105</v>
      </c>
      <c r="P987" s="11" t="s">
        <v>1797</v>
      </c>
      <c r="R987" s="1" t="s">
        <v>38</v>
      </c>
      <c r="T987" s="1" t="s">
        <v>74</v>
      </c>
      <c r="U987" s="11" t="s">
        <v>1341</v>
      </c>
      <c r="V987" s="1" t="s">
        <v>41</v>
      </c>
      <c r="W987" s="1" t="s">
        <v>49</v>
      </c>
      <c r="Z987" s="14"/>
      <c r="AA987" s="14"/>
    </row>
    <row r="988" spans="1:27" hidden="1">
      <c r="A988" s="1">
        <v>9299581</v>
      </c>
      <c r="B988" s="1" t="s">
        <v>101</v>
      </c>
      <c r="C988" t="s">
        <v>1761</v>
      </c>
      <c r="E988" s="2">
        <v>1058000206001</v>
      </c>
      <c r="F988" s="1" t="s">
        <v>29</v>
      </c>
      <c r="G988" s="1" t="s">
        <v>53</v>
      </c>
      <c r="H988" s="1" t="s">
        <v>289</v>
      </c>
      <c r="I988" s="1" t="s">
        <v>290</v>
      </c>
      <c r="J988" s="1" t="s">
        <v>56</v>
      </c>
      <c r="K988" t="s">
        <v>34</v>
      </c>
      <c r="M988" s="1" t="s">
        <v>35</v>
      </c>
      <c r="N988" s="1">
        <v>42318949</v>
      </c>
      <c r="O988" s="1" t="s">
        <v>105</v>
      </c>
      <c r="P988" s="11" t="s">
        <v>1797</v>
      </c>
      <c r="R988" s="1" t="s">
        <v>38</v>
      </c>
      <c r="T988" s="1" t="s">
        <v>74</v>
      </c>
      <c r="U988" s="11" t="s">
        <v>1341</v>
      </c>
      <c r="V988" s="1" t="s">
        <v>41</v>
      </c>
      <c r="W988" s="1" t="s">
        <v>49</v>
      </c>
      <c r="Z988" s="14"/>
      <c r="AA988" s="14"/>
    </row>
    <row r="989" spans="1:27" hidden="1">
      <c r="A989" s="1">
        <v>9299580</v>
      </c>
      <c r="B989" s="1" t="s">
        <v>101</v>
      </c>
      <c r="C989" t="s">
        <v>1761</v>
      </c>
      <c r="E989" s="2">
        <v>1058000206001</v>
      </c>
      <c r="F989" s="1" t="s">
        <v>29</v>
      </c>
      <c r="G989" s="1" t="s">
        <v>53</v>
      </c>
      <c r="H989" s="1" t="s">
        <v>289</v>
      </c>
      <c r="I989" s="1" t="s">
        <v>290</v>
      </c>
      <c r="J989" s="1" t="s">
        <v>56</v>
      </c>
      <c r="K989" t="s">
        <v>34</v>
      </c>
      <c r="M989" s="1" t="s">
        <v>35</v>
      </c>
      <c r="N989" s="1">
        <v>42318949</v>
      </c>
      <c r="O989" s="1" t="s">
        <v>105</v>
      </c>
      <c r="P989" s="11" t="s">
        <v>1797</v>
      </c>
      <c r="R989" s="1" t="s">
        <v>38</v>
      </c>
      <c r="T989" s="1" t="s">
        <v>74</v>
      </c>
      <c r="U989" s="11" t="s">
        <v>1341</v>
      </c>
      <c r="V989" s="1" t="s">
        <v>41</v>
      </c>
      <c r="W989" s="1" t="s">
        <v>49</v>
      </c>
      <c r="Z989" s="14"/>
      <c r="AA989" s="14"/>
    </row>
    <row r="990" spans="1:27" hidden="1">
      <c r="A990" s="1">
        <v>9299579</v>
      </c>
      <c r="B990" s="1" t="s">
        <v>101</v>
      </c>
      <c r="C990" t="s">
        <v>1761</v>
      </c>
      <c r="E990" s="2">
        <v>1058000206001</v>
      </c>
      <c r="F990" s="1" t="s">
        <v>29</v>
      </c>
      <c r="G990" s="1" t="s">
        <v>53</v>
      </c>
      <c r="H990" s="1" t="s">
        <v>289</v>
      </c>
      <c r="I990" s="1" t="s">
        <v>290</v>
      </c>
      <c r="J990" s="1" t="s">
        <v>56</v>
      </c>
      <c r="K990" t="s">
        <v>34</v>
      </c>
      <c r="M990" s="1" t="s">
        <v>35</v>
      </c>
      <c r="N990" s="1">
        <v>42318949</v>
      </c>
      <c r="O990" s="1" t="s">
        <v>105</v>
      </c>
      <c r="P990" s="11" t="s">
        <v>1797</v>
      </c>
      <c r="R990" s="1" t="s">
        <v>38</v>
      </c>
      <c r="T990" s="1" t="s">
        <v>74</v>
      </c>
      <c r="U990" s="11" t="s">
        <v>1341</v>
      </c>
      <c r="V990" s="1" t="s">
        <v>41</v>
      </c>
      <c r="W990" s="1" t="s">
        <v>49</v>
      </c>
      <c r="Z990" s="14"/>
      <c r="AA990" s="14"/>
    </row>
    <row r="991" spans="1:27" hidden="1">
      <c r="A991" s="1">
        <v>9299578</v>
      </c>
      <c r="B991" s="1" t="s">
        <v>101</v>
      </c>
      <c r="C991" t="s">
        <v>1761</v>
      </c>
      <c r="E991" s="2">
        <v>1058000206001</v>
      </c>
      <c r="F991" s="1" t="s">
        <v>29</v>
      </c>
      <c r="G991" s="1" t="s">
        <v>53</v>
      </c>
      <c r="H991" s="1" t="s">
        <v>289</v>
      </c>
      <c r="I991" s="1" t="s">
        <v>290</v>
      </c>
      <c r="J991" s="1" t="s">
        <v>56</v>
      </c>
      <c r="K991" t="s">
        <v>34</v>
      </c>
      <c r="M991" s="1" t="s">
        <v>35</v>
      </c>
      <c r="N991" s="1">
        <v>42318949</v>
      </c>
      <c r="O991" s="1" t="s">
        <v>105</v>
      </c>
      <c r="P991" s="11" t="s">
        <v>1797</v>
      </c>
      <c r="R991" s="1" t="s">
        <v>38</v>
      </c>
      <c r="T991" s="1" t="s">
        <v>74</v>
      </c>
      <c r="U991" s="11" t="s">
        <v>1341</v>
      </c>
      <c r="V991" s="1" t="s">
        <v>41</v>
      </c>
      <c r="W991" s="1" t="s">
        <v>49</v>
      </c>
      <c r="Z991" s="14"/>
      <c r="AA991" s="14"/>
    </row>
    <row r="992" spans="1:27" hidden="1">
      <c r="A992" s="1">
        <v>9299577</v>
      </c>
      <c r="B992" s="1" t="s">
        <v>101</v>
      </c>
      <c r="C992" t="s">
        <v>1761</v>
      </c>
      <c r="E992" s="2">
        <v>1058000206001</v>
      </c>
      <c r="F992" s="1" t="s">
        <v>29</v>
      </c>
      <c r="G992" s="1" t="s">
        <v>53</v>
      </c>
      <c r="H992" s="1" t="s">
        <v>289</v>
      </c>
      <c r="I992" s="1" t="s">
        <v>290</v>
      </c>
      <c r="J992" s="1" t="s">
        <v>56</v>
      </c>
      <c r="K992" t="s">
        <v>34</v>
      </c>
      <c r="M992" s="1" t="s">
        <v>35</v>
      </c>
      <c r="N992" s="1">
        <v>42318949</v>
      </c>
      <c r="O992" s="1" t="s">
        <v>105</v>
      </c>
      <c r="P992" s="11" t="s">
        <v>1797</v>
      </c>
      <c r="R992" s="1" t="s">
        <v>38</v>
      </c>
      <c r="T992" s="1" t="s">
        <v>74</v>
      </c>
      <c r="U992" s="11" t="s">
        <v>1341</v>
      </c>
      <c r="V992" s="1" t="s">
        <v>41</v>
      </c>
      <c r="W992" s="1" t="s">
        <v>49</v>
      </c>
      <c r="Z992" s="14"/>
      <c r="AA992" s="14"/>
    </row>
    <row r="993" spans="1:27" hidden="1">
      <c r="A993" s="1">
        <v>9299576</v>
      </c>
      <c r="B993" s="1" t="s">
        <v>101</v>
      </c>
      <c r="C993" t="s">
        <v>1761</v>
      </c>
      <c r="E993" s="2">
        <v>1058000206001</v>
      </c>
      <c r="F993" s="1" t="s">
        <v>29</v>
      </c>
      <c r="G993" s="1" t="s">
        <v>53</v>
      </c>
      <c r="H993" s="1" t="s">
        <v>289</v>
      </c>
      <c r="I993" s="1" t="s">
        <v>290</v>
      </c>
      <c r="J993" s="1" t="s">
        <v>56</v>
      </c>
      <c r="K993" t="s">
        <v>34</v>
      </c>
      <c r="M993" s="1" t="s">
        <v>35</v>
      </c>
      <c r="N993" s="1">
        <v>42318949</v>
      </c>
      <c r="O993" s="1" t="s">
        <v>105</v>
      </c>
      <c r="P993" s="11" t="s">
        <v>1798</v>
      </c>
      <c r="R993" s="1" t="s">
        <v>38</v>
      </c>
      <c r="T993" s="1" t="s">
        <v>74</v>
      </c>
      <c r="U993" s="11" t="s">
        <v>1341</v>
      </c>
      <c r="V993" s="1" t="s">
        <v>41</v>
      </c>
      <c r="W993" s="1" t="s">
        <v>49</v>
      </c>
      <c r="Z993" s="14"/>
      <c r="AA993" s="14"/>
    </row>
    <row r="994" spans="1:27" hidden="1">
      <c r="A994" s="1">
        <v>9299572</v>
      </c>
      <c r="B994" s="1" t="s">
        <v>101</v>
      </c>
      <c r="C994" t="s">
        <v>1761</v>
      </c>
      <c r="E994" s="2">
        <v>1052000206001</v>
      </c>
      <c r="F994" s="1" t="s">
        <v>29</v>
      </c>
      <c r="G994" s="1" t="s">
        <v>53</v>
      </c>
      <c r="H994" s="1" t="s">
        <v>329</v>
      </c>
      <c r="I994" s="1" t="s">
        <v>330</v>
      </c>
      <c r="J994" s="1" t="s">
        <v>79</v>
      </c>
      <c r="K994" t="s">
        <v>34</v>
      </c>
      <c r="M994" s="1" t="s">
        <v>35</v>
      </c>
      <c r="N994" s="1">
        <v>42318949</v>
      </c>
      <c r="O994" s="1" t="s">
        <v>105</v>
      </c>
      <c r="P994" s="11" t="s">
        <v>1798</v>
      </c>
      <c r="R994" s="1" t="s">
        <v>38</v>
      </c>
      <c r="T994" s="1" t="s">
        <v>74</v>
      </c>
      <c r="U994" s="11" t="s">
        <v>1341</v>
      </c>
      <c r="V994" s="1" t="s">
        <v>41</v>
      </c>
      <c r="W994" s="1" t="s">
        <v>49</v>
      </c>
      <c r="Z994" s="14"/>
      <c r="AA994" s="14"/>
    </row>
    <row r="995" spans="1:27" hidden="1">
      <c r="A995" s="1">
        <v>9299571</v>
      </c>
      <c r="B995" s="1" t="s">
        <v>101</v>
      </c>
      <c r="C995" t="s">
        <v>1761</v>
      </c>
      <c r="E995" s="2">
        <v>1052000206001</v>
      </c>
      <c r="F995" s="1" t="s">
        <v>29</v>
      </c>
      <c r="G995" s="1" t="s">
        <v>53</v>
      </c>
      <c r="H995" s="1" t="s">
        <v>329</v>
      </c>
      <c r="I995" s="1" t="s">
        <v>330</v>
      </c>
      <c r="J995" s="1" t="s">
        <v>79</v>
      </c>
      <c r="K995" t="s">
        <v>34</v>
      </c>
      <c r="M995" s="1" t="s">
        <v>35</v>
      </c>
      <c r="N995" s="1">
        <v>42318949</v>
      </c>
      <c r="O995" s="1" t="s">
        <v>105</v>
      </c>
      <c r="P995" s="11" t="s">
        <v>1798</v>
      </c>
      <c r="R995" s="1" t="s">
        <v>38</v>
      </c>
      <c r="T995" s="1" t="s">
        <v>74</v>
      </c>
      <c r="U995" s="11" t="s">
        <v>1341</v>
      </c>
      <c r="V995" s="1" t="s">
        <v>41</v>
      </c>
      <c r="W995" s="1" t="s">
        <v>49</v>
      </c>
      <c r="Z995" s="14"/>
      <c r="AA995" s="14"/>
    </row>
    <row r="996" spans="1:27" hidden="1">
      <c r="A996" s="1">
        <v>9299552</v>
      </c>
      <c r="B996" s="1" t="s">
        <v>101</v>
      </c>
      <c r="C996" t="s">
        <v>1761</v>
      </c>
      <c r="E996" s="2">
        <v>1011000206001</v>
      </c>
      <c r="F996" s="1" t="s">
        <v>29</v>
      </c>
      <c r="G996" s="1" t="s">
        <v>53</v>
      </c>
      <c r="H996" s="1" t="s">
        <v>272</v>
      </c>
      <c r="I996" s="1" t="s">
        <v>273</v>
      </c>
      <c r="J996" s="1" t="s">
        <v>33</v>
      </c>
      <c r="K996" t="s">
        <v>34</v>
      </c>
      <c r="M996" s="1" t="s">
        <v>35</v>
      </c>
      <c r="N996" s="1">
        <v>42318949</v>
      </c>
      <c r="O996" s="1" t="s">
        <v>105</v>
      </c>
      <c r="P996" s="11" t="s">
        <v>3033</v>
      </c>
      <c r="R996" s="1" t="s">
        <v>38</v>
      </c>
      <c r="T996" s="1" t="s">
        <v>74</v>
      </c>
      <c r="U996" s="11" t="s">
        <v>1341</v>
      </c>
      <c r="V996" s="1" t="s">
        <v>41</v>
      </c>
      <c r="W996" s="1" t="s">
        <v>49</v>
      </c>
      <c r="Z996" s="14"/>
      <c r="AA996" s="14"/>
    </row>
    <row r="997" spans="1:27">
      <c r="A997" s="1">
        <v>9299516</v>
      </c>
      <c r="B997" s="1" t="s">
        <v>101</v>
      </c>
      <c r="C997" t="s">
        <v>1761</v>
      </c>
      <c r="E997" s="2">
        <v>981000206001</v>
      </c>
      <c r="F997" s="1" t="s">
        <v>29</v>
      </c>
      <c r="G997" s="1" t="s">
        <v>53</v>
      </c>
      <c r="H997" s="1" t="s">
        <v>410</v>
      </c>
      <c r="I997" s="1" t="s">
        <v>411</v>
      </c>
      <c r="J997" s="1" t="s">
        <v>85</v>
      </c>
      <c r="K997" t="s">
        <v>34</v>
      </c>
      <c r="M997" s="1" t="s">
        <v>35</v>
      </c>
      <c r="N997" s="1">
        <v>42318949</v>
      </c>
      <c r="O997" s="1" t="s">
        <v>105</v>
      </c>
      <c r="P997" s="11" t="s">
        <v>1799</v>
      </c>
      <c r="R997" s="1" t="s">
        <v>38</v>
      </c>
      <c r="T997" s="1" t="s">
        <v>74</v>
      </c>
      <c r="U997" s="11" t="s">
        <v>1341</v>
      </c>
      <c r="V997" s="1" t="s">
        <v>41</v>
      </c>
      <c r="W997" s="1" t="s">
        <v>49</v>
      </c>
      <c r="Z997" s="14"/>
      <c r="AA997" s="14"/>
    </row>
    <row r="998" spans="1:27">
      <c r="A998" s="1">
        <v>9299457</v>
      </c>
      <c r="B998" s="1" t="s">
        <v>101</v>
      </c>
      <c r="C998" t="s">
        <v>1761</v>
      </c>
      <c r="E998" s="2">
        <v>917000206001</v>
      </c>
      <c r="F998" s="1" t="s">
        <v>29</v>
      </c>
      <c r="G998" s="1" t="s">
        <v>53</v>
      </c>
      <c r="H998" s="1" t="s">
        <v>83</v>
      </c>
      <c r="I998" s="1" t="s">
        <v>84</v>
      </c>
      <c r="J998" s="1" t="s">
        <v>85</v>
      </c>
      <c r="K998" t="s">
        <v>34</v>
      </c>
      <c r="M998" s="1" t="s">
        <v>35</v>
      </c>
      <c r="N998" s="1">
        <v>42318949</v>
      </c>
      <c r="O998" s="1" t="s">
        <v>105</v>
      </c>
      <c r="P998" s="11" t="s">
        <v>1800</v>
      </c>
      <c r="R998" s="1" t="s">
        <v>38</v>
      </c>
      <c r="T998" s="1" t="s">
        <v>74</v>
      </c>
      <c r="U998" s="11" t="s">
        <v>1341</v>
      </c>
      <c r="V998" s="1" t="s">
        <v>41</v>
      </c>
      <c r="W998" s="1" t="s">
        <v>49</v>
      </c>
      <c r="Z998" s="14"/>
      <c r="AA998" s="14"/>
    </row>
    <row r="999" spans="1:27" hidden="1">
      <c r="A999" s="1">
        <v>9299432</v>
      </c>
      <c r="B999" s="1" t="s">
        <v>101</v>
      </c>
      <c r="C999" t="s">
        <v>1761</v>
      </c>
      <c r="E999" s="2">
        <v>834000206001</v>
      </c>
      <c r="F999" s="1" t="s">
        <v>29</v>
      </c>
      <c r="G999" s="1" t="s">
        <v>53</v>
      </c>
      <c r="H999" s="1" t="s">
        <v>367</v>
      </c>
      <c r="I999" s="1" t="s">
        <v>368</v>
      </c>
      <c r="J999" s="1" t="s">
        <v>261</v>
      </c>
      <c r="K999" t="s">
        <v>34</v>
      </c>
      <c r="M999" s="1" t="s">
        <v>35</v>
      </c>
      <c r="N999" s="1">
        <v>42318949</v>
      </c>
      <c r="O999" s="1" t="s">
        <v>105</v>
      </c>
      <c r="P999" s="11" t="s">
        <v>1801</v>
      </c>
      <c r="R999" s="1" t="s">
        <v>38</v>
      </c>
      <c r="T999" s="1" t="s">
        <v>74</v>
      </c>
      <c r="U999" s="11" t="s">
        <v>1341</v>
      </c>
      <c r="V999" s="1" t="s">
        <v>41</v>
      </c>
      <c r="W999" s="1" t="s">
        <v>49</v>
      </c>
      <c r="Z999" s="14"/>
      <c r="AA999" s="14"/>
    </row>
    <row r="1000" spans="1:27" hidden="1">
      <c r="A1000" s="1">
        <v>9299374</v>
      </c>
      <c r="B1000" s="1" t="s">
        <v>101</v>
      </c>
      <c r="C1000" t="s">
        <v>1761</v>
      </c>
      <c r="E1000" s="2">
        <v>711000206001</v>
      </c>
      <c r="F1000" s="1" t="s">
        <v>29</v>
      </c>
      <c r="G1000" s="1" t="s">
        <v>53</v>
      </c>
      <c r="H1000" s="1" t="s">
        <v>77</v>
      </c>
      <c r="I1000" s="1" t="s">
        <v>78</v>
      </c>
      <c r="J1000" s="1" t="s">
        <v>79</v>
      </c>
      <c r="K1000" t="s">
        <v>34</v>
      </c>
      <c r="M1000" s="1" t="s">
        <v>35</v>
      </c>
      <c r="N1000" s="1">
        <v>42318949</v>
      </c>
      <c r="O1000" s="1" t="s">
        <v>105</v>
      </c>
      <c r="P1000" s="11" t="s">
        <v>1802</v>
      </c>
      <c r="R1000" s="1" t="s">
        <v>38</v>
      </c>
      <c r="T1000" s="1" t="s">
        <v>74</v>
      </c>
      <c r="U1000" s="11" t="s">
        <v>1341</v>
      </c>
      <c r="V1000" s="1" t="s">
        <v>41</v>
      </c>
      <c r="W1000" s="1" t="s">
        <v>49</v>
      </c>
      <c r="Z1000" s="14"/>
      <c r="AA1000" s="14"/>
    </row>
    <row r="1001" spans="1:27" hidden="1">
      <c r="A1001" s="1">
        <v>9299373</v>
      </c>
      <c r="B1001" s="1" t="s">
        <v>101</v>
      </c>
      <c r="C1001" t="s">
        <v>1761</v>
      </c>
      <c r="E1001" s="2">
        <v>711000206001</v>
      </c>
      <c r="F1001" s="1" t="s">
        <v>29</v>
      </c>
      <c r="G1001" s="1" t="s">
        <v>53</v>
      </c>
      <c r="H1001" s="1" t="s">
        <v>77</v>
      </c>
      <c r="I1001" s="1" t="s">
        <v>78</v>
      </c>
      <c r="J1001" s="1" t="s">
        <v>79</v>
      </c>
      <c r="K1001" t="s">
        <v>34</v>
      </c>
      <c r="M1001" s="1" t="s">
        <v>35</v>
      </c>
      <c r="N1001" s="1">
        <v>42318949</v>
      </c>
      <c r="O1001" s="1" t="s">
        <v>105</v>
      </c>
      <c r="P1001" s="11" t="s">
        <v>1802</v>
      </c>
      <c r="R1001" s="1" t="s">
        <v>38</v>
      </c>
      <c r="T1001" s="1" t="s">
        <v>74</v>
      </c>
      <c r="U1001" s="11" t="s">
        <v>1341</v>
      </c>
      <c r="V1001" s="1" t="s">
        <v>41</v>
      </c>
      <c r="W1001" s="1" t="s">
        <v>49</v>
      </c>
      <c r="Z1001" s="14"/>
      <c r="AA1001" s="14"/>
    </row>
    <row r="1002" spans="1:27" hidden="1">
      <c r="A1002" s="1">
        <v>9299372</v>
      </c>
      <c r="B1002" s="1" t="s">
        <v>101</v>
      </c>
      <c r="C1002" t="s">
        <v>1761</v>
      </c>
      <c r="E1002" s="2">
        <v>711000206001</v>
      </c>
      <c r="F1002" s="1" t="s">
        <v>29</v>
      </c>
      <c r="G1002" s="1" t="s">
        <v>53</v>
      </c>
      <c r="H1002" s="1" t="s">
        <v>77</v>
      </c>
      <c r="I1002" s="1" t="s">
        <v>78</v>
      </c>
      <c r="J1002" s="1" t="s">
        <v>79</v>
      </c>
      <c r="K1002" t="s">
        <v>34</v>
      </c>
      <c r="M1002" s="1" t="s">
        <v>35</v>
      </c>
      <c r="N1002" s="1">
        <v>42318949</v>
      </c>
      <c r="O1002" s="1" t="s">
        <v>105</v>
      </c>
      <c r="P1002" s="11" t="s">
        <v>1802</v>
      </c>
      <c r="R1002" s="1" t="s">
        <v>38</v>
      </c>
      <c r="T1002" s="1" t="s">
        <v>74</v>
      </c>
      <c r="U1002" s="11" t="s">
        <v>1341</v>
      </c>
      <c r="V1002" s="1" t="s">
        <v>41</v>
      </c>
      <c r="W1002" s="1" t="s">
        <v>49</v>
      </c>
      <c r="Z1002" s="14"/>
      <c r="AA1002" s="14"/>
    </row>
    <row r="1003" spans="1:27" hidden="1">
      <c r="A1003" s="1">
        <v>9299371</v>
      </c>
      <c r="B1003" s="1" t="s">
        <v>101</v>
      </c>
      <c r="C1003" t="s">
        <v>1761</v>
      </c>
      <c r="E1003" s="2">
        <v>711000206001</v>
      </c>
      <c r="F1003" s="1" t="s">
        <v>29</v>
      </c>
      <c r="G1003" s="1" t="s">
        <v>53</v>
      </c>
      <c r="H1003" s="1" t="s">
        <v>77</v>
      </c>
      <c r="I1003" s="1" t="s">
        <v>78</v>
      </c>
      <c r="J1003" s="1" t="s">
        <v>79</v>
      </c>
      <c r="K1003" t="s">
        <v>34</v>
      </c>
      <c r="M1003" s="1" t="s">
        <v>35</v>
      </c>
      <c r="N1003" s="1">
        <v>42318949</v>
      </c>
      <c r="O1003" s="1" t="s">
        <v>105</v>
      </c>
      <c r="P1003" s="11" t="s">
        <v>1802</v>
      </c>
      <c r="R1003" s="1" t="s">
        <v>38</v>
      </c>
      <c r="T1003" s="1" t="s">
        <v>74</v>
      </c>
      <c r="U1003" s="11" t="s">
        <v>1341</v>
      </c>
      <c r="V1003" s="1" t="s">
        <v>41</v>
      </c>
      <c r="W1003" s="1" t="s">
        <v>49</v>
      </c>
      <c r="Z1003" s="14"/>
      <c r="AA1003" s="14"/>
    </row>
    <row r="1004" spans="1:27" hidden="1">
      <c r="A1004" s="1">
        <v>9299370</v>
      </c>
      <c r="B1004" s="1" t="s">
        <v>101</v>
      </c>
      <c r="C1004" t="s">
        <v>1761</v>
      </c>
      <c r="E1004" s="2">
        <v>711000206001</v>
      </c>
      <c r="F1004" s="1" t="s">
        <v>29</v>
      </c>
      <c r="G1004" s="1" t="s">
        <v>53</v>
      </c>
      <c r="H1004" s="1" t="s">
        <v>77</v>
      </c>
      <c r="I1004" s="1" t="s">
        <v>78</v>
      </c>
      <c r="J1004" s="1" t="s">
        <v>79</v>
      </c>
      <c r="K1004" t="s">
        <v>34</v>
      </c>
      <c r="M1004" s="1" t="s">
        <v>35</v>
      </c>
      <c r="N1004" s="1">
        <v>42318949</v>
      </c>
      <c r="O1004" s="1" t="s">
        <v>105</v>
      </c>
      <c r="P1004" s="11" t="s">
        <v>1802</v>
      </c>
      <c r="R1004" s="1" t="s">
        <v>38</v>
      </c>
      <c r="T1004" s="1" t="s">
        <v>74</v>
      </c>
      <c r="U1004" s="11" t="s">
        <v>1341</v>
      </c>
      <c r="V1004" s="1" t="s">
        <v>41</v>
      </c>
      <c r="W1004" s="1" t="s">
        <v>49</v>
      </c>
      <c r="Z1004" s="14"/>
      <c r="AA1004" s="14"/>
    </row>
    <row r="1005" spans="1:27" hidden="1">
      <c r="A1005" s="1">
        <v>9299369</v>
      </c>
      <c r="B1005" s="1" t="s">
        <v>101</v>
      </c>
      <c r="C1005" t="s">
        <v>1761</v>
      </c>
      <c r="E1005" s="2">
        <v>710000206001</v>
      </c>
      <c r="F1005" s="1" t="s">
        <v>29</v>
      </c>
      <c r="G1005" s="1" t="s">
        <v>53</v>
      </c>
      <c r="H1005" s="1" t="s">
        <v>390</v>
      </c>
      <c r="I1005" s="1" t="s">
        <v>391</v>
      </c>
      <c r="J1005" s="1" t="s">
        <v>56</v>
      </c>
      <c r="K1005" t="s">
        <v>34</v>
      </c>
      <c r="M1005" s="1" t="s">
        <v>35</v>
      </c>
      <c r="N1005" s="1">
        <v>42318949</v>
      </c>
      <c r="O1005" s="1" t="s">
        <v>105</v>
      </c>
      <c r="P1005" s="11" t="s">
        <v>1802</v>
      </c>
      <c r="R1005" s="1" t="s">
        <v>38</v>
      </c>
      <c r="T1005" s="1" t="s">
        <v>74</v>
      </c>
      <c r="U1005" s="11" t="s">
        <v>1341</v>
      </c>
      <c r="V1005" s="1" t="s">
        <v>41</v>
      </c>
      <c r="W1005" s="1" t="s">
        <v>49</v>
      </c>
      <c r="Z1005" s="14"/>
      <c r="AA1005" s="14"/>
    </row>
    <row r="1006" spans="1:27" hidden="1">
      <c r="A1006" s="1">
        <v>9299368</v>
      </c>
      <c r="B1006" s="1" t="s">
        <v>101</v>
      </c>
      <c r="C1006" t="s">
        <v>1761</v>
      </c>
      <c r="E1006" s="2">
        <v>710000206001</v>
      </c>
      <c r="F1006" s="1" t="s">
        <v>29</v>
      </c>
      <c r="G1006" s="1" t="s">
        <v>53</v>
      </c>
      <c r="H1006" s="1" t="s">
        <v>390</v>
      </c>
      <c r="I1006" s="1" t="s">
        <v>391</v>
      </c>
      <c r="J1006" s="1" t="s">
        <v>56</v>
      </c>
      <c r="K1006" t="s">
        <v>34</v>
      </c>
      <c r="M1006" s="1" t="s">
        <v>35</v>
      </c>
      <c r="N1006" s="1">
        <v>42318949</v>
      </c>
      <c r="O1006" s="1" t="s">
        <v>105</v>
      </c>
      <c r="P1006" s="11" t="s">
        <v>1802</v>
      </c>
      <c r="R1006" s="1" t="s">
        <v>38</v>
      </c>
      <c r="T1006" s="1" t="s">
        <v>74</v>
      </c>
      <c r="U1006" s="11" t="s">
        <v>1341</v>
      </c>
      <c r="V1006" s="1" t="s">
        <v>41</v>
      </c>
      <c r="W1006" s="1" t="s">
        <v>49</v>
      </c>
      <c r="Z1006" s="14"/>
      <c r="AA1006" s="14"/>
    </row>
    <row r="1007" spans="1:27" hidden="1">
      <c r="A1007" s="1">
        <v>9299367</v>
      </c>
      <c r="B1007" s="1" t="s">
        <v>101</v>
      </c>
      <c r="C1007" t="s">
        <v>1761</v>
      </c>
      <c r="E1007" s="2">
        <v>710000206001</v>
      </c>
      <c r="F1007" s="1" t="s">
        <v>29</v>
      </c>
      <c r="G1007" s="1" t="s">
        <v>53</v>
      </c>
      <c r="H1007" s="1" t="s">
        <v>390</v>
      </c>
      <c r="I1007" s="1" t="s">
        <v>391</v>
      </c>
      <c r="J1007" s="1" t="s">
        <v>56</v>
      </c>
      <c r="K1007" t="s">
        <v>34</v>
      </c>
      <c r="M1007" s="1" t="s">
        <v>35</v>
      </c>
      <c r="N1007" s="1">
        <v>42318949</v>
      </c>
      <c r="O1007" s="1" t="s">
        <v>105</v>
      </c>
      <c r="P1007" s="11" t="s">
        <v>1802</v>
      </c>
      <c r="R1007" s="1" t="s">
        <v>38</v>
      </c>
      <c r="T1007" s="1" t="s">
        <v>74</v>
      </c>
      <c r="U1007" s="11" t="s">
        <v>1341</v>
      </c>
      <c r="V1007" s="1" t="s">
        <v>41</v>
      </c>
      <c r="W1007" s="1" t="s">
        <v>49</v>
      </c>
      <c r="Z1007" s="14"/>
      <c r="AA1007" s="14"/>
    </row>
    <row r="1008" spans="1:27" hidden="1">
      <c r="A1008" s="1">
        <v>9299366</v>
      </c>
      <c r="B1008" s="1" t="s">
        <v>101</v>
      </c>
      <c r="C1008" t="s">
        <v>1761</v>
      </c>
      <c r="E1008" s="2">
        <v>710000206001</v>
      </c>
      <c r="F1008" s="1" t="s">
        <v>29</v>
      </c>
      <c r="G1008" s="1" t="s">
        <v>53</v>
      </c>
      <c r="H1008" s="1" t="s">
        <v>390</v>
      </c>
      <c r="I1008" s="1" t="s">
        <v>391</v>
      </c>
      <c r="J1008" s="1" t="s">
        <v>56</v>
      </c>
      <c r="K1008" t="s">
        <v>34</v>
      </c>
      <c r="M1008" s="1" t="s">
        <v>35</v>
      </c>
      <c r="N1008" s="1">
        <v>42318949</v>
      </c>
      <c r="O1008" s="1" t="s">
        <v>36</v>
      </c>
      <c r="P1008" s="11" t="s">
        <v>1802</v>
      </c>
      <c r="R1008" s="1" t="s">
        <v>38</v>
      </c>
      <c r="T1008" s="1" t="s">
        <v>74</v>
      </c>
      <c r="U1008" s="11" t="s">
        <v>1341</v>
      </c>
      <c r="V1008" s="1" t="s">
        <v>41</v>
      </c>
      <c r="W1008" s="1" t="s">
        <v>49</v>
      </c>
      <c r="Z1008" s="14"/>
      <c r="AA1008" s="14"/>
    </row>
    <row r="1009" spans="1:27">
      <c r="A1009" s="1">
        <v>9299314</v>
      </c>
      <c r="B1009" s="1" t="s">
        <v>101</v>
      </c>
      <c r="C1009" t="s">
        <v>1761</v>
      </c>
      <c r="E1009" s="2">
        <v>608000206001</v>
      </c>
      <c r="F1009" s="1" t="s">
        <v>29</v>
      </c>
      <c r="G1009" s="1" t="s">
        <v>53</v>
      </c>
      <c r="H1009" s="1" t="s">
        <v>438</v>
      </c>
      <c r="I1009" s="1" t="s">
        <v>439</v>
      </c>
      <c r="J1009" s="1" t="s">
        <v>148</v>
      </c>
      <c r="K1009" t="s">
        <v>34</v>
      </c>
      <c r="M1009" s="1" t="s">
        <v>35</v>
      </c>
      <c r="N1009" s="1">
        <v>42318949</v>
      </c>
      <c r="O1009" s="1" t="s">
        <v>105</v>
      </c>
      <c r="P1009" s="11" t="s">
        <v>1803</v>
      </c>
      <c r="R1009" s="1" t="s">
        <v>38</v>
      </c>
      <c r="T1009" s="1" t="s">
        <v>74</v>
      </c>
      <c r="U1009" s="11" t="s">
        <v>1341</v>
      </c>
      <c r="V1009" s="1" t="s">
        <v>41</v>
      </c>
      <c r="W1009" s="1" t="s">
        <v>49</v>
      </c>
      <c r="Z1009" s="14"/>
      <c r="AA1009" s="14"/>
    </row>
    <row r="1010" spans="1:27">
      <c r="A1010" s="1">
        <v>9299313</v>
      </c>
      <c r="B1010" s="1" t="s">
        <v>101</v>
      </c>
      <c r="C1010" t="s">
        <v>1761</v>
      </c>
      <c r="E1010" s="2">
        <v>608000206001</v>
      </c>
      <c r="F1010" s="1" t="s">
        <v>29</v>
      </c>
      <c r="G1010" s="1" t="s">
        <v>53</v>
      </c>
      <c r="H1010" s="1" t="s">
        <v>438</v>
      </c>
      <c r="I1010" s="1" t="s">
        <v>439</v>
      </c>
      <c r="J1010" s="1" t="s">
        <v>148</v>
      </c>
      <c r="K1010" t="s">
        <v>34</v>
      </c>
      <c r="M1010" s="1" t="s">
        <v>35</v>
      </c>
      <c r="N1010" s="1">
        <v>42318949</v>
      </c>
      <c r="O1010" s="1" t="s">
        <v>105</v>
      </c>
      <c r="P1010" s="11" t="s">
        <v>1803</v>
      </c>
      <c r="R1010" s="1" t="s">
        <v>38</v>
      </c>
      <c r="T1010" s="1" t="s">
        <v>74</v>
      </c>
      <c r="U1010" s="11" t="s">
        <v>1341</v>
      </c>
      <c r="V1010" s="1" t="s">
        <v>41</v>
      </c>
      <c r="W1010" s="1" t="s">
        <v>49</v>
      </c>
      <c r="Z1010" s="14"/>
      <c r="AA1010" s="14"/>
    </row>
    <row r="1011" spans="1:27">
      <c r="A1011" s="1">
        <v>9299309</v>
      </c>
      <c r="B1011" s="1" t="s">
        <v>101</v>
      </c>
      <c r="C1011" t="s">
        <v>1761</v>
      </c>
      <c r="E1011" s="2">
        <v>605000206001</v>
      </c>
      <c r="F1011" s="1" t="s">
        <v>29</v>
      </c>
      <c r="G1011" s="1" t="s">
        <v>53</v>
      </c>
      <c r="H1011" s="1" t="s">
        <v>420</v>
      </c>
      <c r="I1011" s="1" t="s">
        <v>421</v>
      </c>
      <c r="J1011" s="1" t="s">
        <v>90</v>
      </c>
      <c r="K1011" t="s">
        <v>34</v>
      </c>
      <c r="M1011" s="1" t="s">
        <v>35</v>
      </c>
      <c r="N1011" s="1">
        <v>42318949</v>
      </c>
      <c r="O1011" s="1" t="s">
        <v>105</v>
      </c>
      <c r="P1011" s="11" t="s">
        <v>1804</v>
      </c>
      <c r="R1011" s="1" t="s">
        <v>38</v>
      </c>
      <c r="T1011" s="1" t="s">
        <v>74</v>
      </c>
      <c r="U1011" s="11" t="s">
        <v>1341</v>
      </c>
      <c r="V1011" s="1" t="s">
        <v>41</v>
      </c>
      <c r="W1011" s="1" t="s">
        <v>49</v>
      </c>
      <c r="Z1011" s="14"/>
      <c r="AA1011" s="14"/>
    </row>
    <row r="1012" spans="1:27">
      <c r="A1012" s="1">
        <v>9299303</v>
      </c>
      <c r="B1012" s="1" t="s">
        <v>101</v>
      </c>
      <c r="C1012" t="s">
        <v>1761</v>
      </c>
      <c r="E1012" s="2">
        <v>600000206001</v>
      </c>
      <c r="F1012" s="1" t="s">
        <v>29</v>
      </c>
      <c r="G1012" s="1" t="s">
        <v>53</v>
      </c>
      <c r="H1012" s="1" t="s">
        <v>1084</v>
      </c>
      <c r="I1012" s="1" t="s">
        <v>1085</v>
      </c>
      <c r="J1012" s="1" t="s">
        <v>90</v>
      </c>
      <c r="K1012" t="s">
        <v>34</v>
      </c>
      <c r="M1012" s="1" t="s">
        <v>35</v>
      </c>
      <c r="N1012" s="1">
        <v>42318949</v>
      </c>
      <c r="O1012" s="1" t="s">
        <v>36</v>
      </c>
      <c r="P1012" s="11" t="s">
        <v>1805</v>
      </c>
      <c r="R1012" s="1" t="s">
        <v>38</v>
      </c>
      <c r="T1012" s="1" t="s">
        <v>74</v>
      </c>
      <c r="U1012" s="11" t="s">
        <v>1341</v>
      </c>
      <c r="V1012" s="1" t="s">
        <v>41</v>
      </c>
      <c r="W1012" s="1" t="s">
        <v>49</v>
      </c>
      <c r="Z1012" s="14"/>
      <c r="AA1012" s="14"/>
    </row>
    <row r="1013" spans="1:27">
      <c r="A1013" s="1">
        <v>9299302</v>
      </c>
      <c r="B1013" s="1" t="s">
        <v>101</v>
      </c>
      <c r="C1013" t="s">
        <v>1761</v>
      </c>
      <c r="E1013" s="2">
        <v>600000206001</v>
      </c>
      <c r="F1013" s="1" t="s">
        <v>29</v>
      </c>
      <c r="G1013" s="1" t="s">
        <v>53</v>
      </c>
      <c r="H1013" s="1" t="s">
        <v>1084</v>
      </c>
      <c r="I1013" s="1" t="s">
        <v>1085</v>
      </c>
      <c r="J1013" s="1" t="s">
        <v>90</v>
      </c>
      <c r="K1013" t="s">
        <v>34</v>
      </c>
      <c r="M1013" s="1" t="s">
        <v>35</v>
      </c>
      <c r="N1013" s="1">
        <v>42318949</v>
      </c>
      <c r="O1013" s="1" t="s">
        <v>36</v>
      </c>
      <c r="P1013" s="11" t="s">
        <v>1805</v>
      </c>
      <c r="R1013" s="1" t="s">
        <v>38</v>
      </c>
      <c r="T1013" s="1" t="s">
        <v>74</v>
      </c>
      <c r="U1013" s="11" t="s">
        <v>1341</v>
      </c>
      <c r="V1013" s="1" t="s">
        <v>41</v>
      </c>
      <c r="W1013" s="1" t="s">
        <v>49</v>
      </c>
      <c r="Z1013" s="14"/>
      <c r="AA1013" s="14"/>
    </row>
    <row r="1014" spans="1:27">
      <c r="A1014" s="1">
        <v>9299301</v>
      </c>
      <c r="B1014" s="1" t="s">
        <v>101</v>
      </c>
      <c r="C1014" t="s">
        <v>1761</v>
      </c>
      <c r="E1014" s="2">
        <v>600000206001</v>
      </c>
      <c r="F1014" s="1" t="s">
        <v>29</v>
      </c>
      <c r="G1014" s="1" t="s">
        <v>53</v>
      </c>
      <c r="H1014" s="1" t="s">
        <v>1084</v>
      </c>
      <c r="I1014" s="1" t="s">
        <v>1085</v>
      </c>
      <c r="J1014" s="1" t="s">
        <v>90</v>
      </c>
      <c r="K1014" t="s">
        <v>34</v>
      </c>
      <c r="M1014" s="1" t="s">
        <v>35</v>
      </c>
      <c r="N1014" s="1">
        <v>42318949</v>
      </c>
      <c r="O1014" s="1" t="s">
        <v>36</v>
      </c>
      <c r="P1014" s="11" t="s">
        <v>1805</v>
      </c>
      <c r="R1014" s="1" t="s">
        <v>38</v>
      </c>
      <c r="T1014" s="1" t="s">
        <v>74</v>
      </c>
      <c r="U1014" s="11" t="s">
        <v>1341</v>
      </c>
      <c r="V1014" s="1" t="s">
        <v>41</v>
      </c>
      <c r="W1014" s="1" t="s">
        <v>49</v>
      </c>
      <c r="Z1014" s="14"/>
      <c r="AA1014" s="14"/>
    </row>
    <row r="1015" spans="1:27">
      <c r="A1015" s="1">
        <v>9299300</v>
      </c>
      <c r="B1015" s="1" t="s">
        <v>101</v>
      </c>
      <c r="C1015" t="s">
        <v>1761</v>
      </c>
      <c r="E1015" s="2">
        <v>600000206001</v>
      </c>
      <c r="F1015" s="1" t="s">
        <v>29</v>
      </c>
      <c r="G1015" s="1" t="s">
        <v>53</v>
      </c>
      <c r="H1015" s="1" t="s">
        <v>1084</v>
      </c>
      <c r="I1015" s="1" t="s">
        <v>1085</v>
      </c>
      <c r="J1015" s="1" t="s">
        <v>90</v>
      </c>
      <c r="K1015" t="s">
        <v>34</v>
      </c>
      <c r="M1015" s="1" t="s">
        <v>35</v>
      </c>
      <c r="N1015" s="1">
        <v>42318949</v>
      </c>
      <c r="O1015" s="1" t="s">
        <v>36</v>
      </c>
      <c r="P1015" s="11" t="s">
        <v>1805</v>
      </c>
      <c r="R1015" s="1" t="s">
        <v>38</v>
      </c>
      <c r="T1015" s="1" t="s">
        <v>74</v>
      </c>
      <c r="U1015" s="11" t="s">
        <v>1341</v>
      </c>
      <c r="V1015" s="1" t="s">
        <v>41</v>
      </c>
      <c r="W1015" s="1" t="s">
        <v>49</v>
      </c>
      <c r="Z1015" s="14"/>
      <c r="AA1015" s="14"/>
    </row>
    <row r="1016" spans="1:27">
      <c r="A1016" s="1">
        <v>9299299</v>
      </c>
      <c r="B1016" s="1" t="s">
        <v>101</v>
      </c>
      <c r="C1016" t="s">
        <v>1761</v>
      </c>
      <c r="E1016" s="2">
        <v>600000206001</v>
      </c>
      <c r="F1016" s="1" t="s">
        <v>29</v>
      </c>
      <c r="G1016" s="1" t="s">
        <v>53</v>
      </c>
      <c r="H1016" s="1" t="s">
        <v>1084</v>
      </c>
      <c r="I1016" s="1" t="s">
        <v>1085</v>
      </c>
      <c r="J1016" s="1" t="s">
        <v>90</v>
      </c>
      <c r="K1016" t="s">
        <v>34</v>
      </c>
      <c r="M1016" s="1" t="s">
        <v>35</v>
      </c>
      <c r="N1016" s="1">
        <v>42318949</v>
      </c>
      <c r="O1016" s="1" t="s">
        <v>36</v>
      </c>
      <c r="P1016" s="11" t="s">
        <v>1805</v>
      </c>
      <c r="R1016" s="1" t="s">
        <v>38</v>
      </c>
      <c r="T1016" s="1" t="s">
        <v>74</v>
      </c>
      <c r="U1016" s="11" t="s">
        <v>1341</v>
      </c>
      <c r="V1016" s="1" t="s">
        <v>41</v>
      </c>
      <c r="W1016" s="1" t="s">
        <v>49</v>
      </c>
      <c r="Z1016" s="14"/>
      <c r="AA1016" s="14"/>
    </row>
    <row r="1017" spans="1:27" hidden="1">
      <c r="A1017" s="1">
        <v>9299279</v>
      </c>
      <c r="B1017" s="1" t="s">
        <v>101</v>
      </c>
      <c r="C1017" t="s">
        <v>1761</v>
      </c>
      <c r="E1017" s="2">
        <v>550000206001</v>
      </c>
      <c r="F1017" s="1" t="s">
        <v>29</v>
      </c>
      <c r="G1017" s="1" t="s">
        <v>53</v>
      </c>
      <c r="H1017" s="1" t="s">
        <v>337</v>
      </c>
      <c r="I1017" s="1" t="s">
        <v>338</v>
      </c>
      <c r="J1017" s="1" t="s">
        <v>164</v>
      </c>
      <c r="K1017" t="s">
        <v>34</v>
      </c>
      <c r="M1017" s="1" t="s">
        <v>35</v>
      </c>
      <c r="N1017" s="1">
        <v>42318949</v>
      </c>
      <c r="O1017" s="1" t="s">
        <v>105</v>
      </c>
      <c r="P1017" s="11" t="s">
        <v>1806</v>
      </c>
      <c r="R1017" s="1" t="s">
        <v>38</v>
      </c>
      <c r="T1017" s="1" t="s">
        <v>74</v>
      </c>
      <c r="U1017" s="11" t="s">
        <v>1341</v>
      </c>
      <c r="V1017" s="1" t="s">
        <v>41</v>
      </c>
      <c r="W1017" s="1" t="s">
        <v>49</v>
      </c>
      <c r="Z1017" s="14"/>
      <c r="AA1017" s="14"/>
    </row>
    <row r="1018" spans="1:27" hidden="1">
      <c r="A1018" s="1">
        <v>9299275</v>
      </c>
      <c r="B1018" s="1" t="s">
        <v>101</v>
      </c>
      <c r="C1018" t="s">
        <v>1761</v>
      </c>
      <c r="E1018" s="2">
        <v>537000206001</v>
      </c>
      <c r="F1018" s="1" t="s">
        <v>29</v>
      </c>
      <c r="G1018" s="1" t="s">
        <v>53</v>
      </c>
      <c r="H1018" s="1" t="s">
        <v>442</v>
      </c>
      <c r="I1018" s="1" t="s">
        <v>443</v>
      </c>
      <c r="J1018" s="1" t="s">
        <v>79</v>
      </c>
      <c r="K1018" t="s">
        <v>34</v>
      </c>
      <c r="M1018" s="1" t="s">
        <v>35</v>
      </c>
      <c r="N1018" s="1">
        <v>42318949</v>
      </c>
      <c r="O1018" s="1" t="s">
        <v>105</v>
      </c>
      <c r="P1018" s="11" t="s">
        <v>3034</v>
      </c>
      <c r="R1018" s="1" t="s">
        <v>38</v>
      </c>
      <c r="T1018" s="1" t="s">
        <v>74</v>
      </c>
      <c r="U1018" s="11" t="s">
        <v>1341</v>
      </c>
      <c r="V1018" s="1" t="s">
        <v>41</v>
      </c>
      <c r="W1018" s="1" t="s">
        <v>49</v>
      </c>
      <c r="Z1018" s="14"/>
      <c r="AA1018" s="14"/>
    </row>
    <row r="1019" spans="1:27" hidden="1">
      <c r="A1019" s="1">
        <v>9299274</v>
      </c>
      <c r="B1019" s="1" t="s">
        <v>101</v>
      </c>
      <c r="C1019" t="s">
        <v>1761</v>
      </c>
      <c r="E1019" s="2">
        <v>537000206001</v>
      </c>
      <c r="F1019" s="1" t="s">
        <v>29</v>
      </c>
      <c r="G1019" s="1" t="s">
        <v>53</v>
      </c>
      <c r="H1019" s="1" t="s">
        <v>442</v>
      </c>
      <c r="I1019" s="1" t="s">
        <v>443</v>
      </c>
      <c r="J1019" s="1" t="s">
        <v>79</v>
      </c>
      <c r="K1019" t="s">
        <v>34</v>
      </c>
      <c r="M1019" s="1" t="s">
        <v>35</v>
      </c>
      <c r="N1019" s="1">
        <v>42318949</v>
      </c>
      <c r="O1019" s="1" t="s">
        <v>105</v>
      </c>
      <c r="P1019" s="11" t="s">
        <v>3034</v>
      </c>
      <c r="R1019" s="1" t="s">
        <v>38</v>
      </c>
      <c r="T1019" s="1" t="s">
        <v>74</v>
      </c>
      <c r="U1019" s="11" t="s">
        <v>1341</v>
      </c>
      <c r="V1019" s="1" t="s">
        <v>41</v>
      </c>
      <c r="W1019" s="1" t="s">
        <v>49</v>
      </c>
      <c r="Z1019" s="14"/>
      <c r="AA1019" s="14"/>
    </row>
    <row r="1020" spans="1:27" hidden="1">
      <c r="A1020" s="1">
        <v>9299223</v>
      </c>
      <c r="B1020" s="1" t="s">
        <v>101</v>
      </c>
      <c r="C1020" t="s">
        <v>1761</v>
      </c>
      <c r="E1020" s="2">
        <v>446000206001</v>
      </c>
      <c r="F1020" s="1" t="s">
        <v>29</v>
      </c>
      <c r="G1020" s="1" t="s">
        <v>53</v>
      </c>
      <c r="H1020" s="1" t="s">
        <v>432</v>
      </c>
      <c r="I1020" s="1" t="s">
        <v>433</v>
      </c>
      <c r="J1020" s="1" t="s">
        <v>110</v>
      </c>
      <c r="K1020" t="s">
        <v>34</v>
      </c>
      <c r="M1020" s="1" t="s">
        <v>35</v>
      </c>
      <c r="N1020" s="1">
        <v>42318949</v>
      </c>
      <c r="O1020" s="1" t="s">
        <v>105</v>
      </c>
      <c r="P1020" s="11" t="s">
        <v>1807</v>
      </c>
      <c r="R1020" s="1" t="s">
        <v>38</v>
      </c>
      <c r="T1020" s="1" t="s">
        <v>74</v>
      </c>
      <c r="U1020" s="11" t="s">
        <v>1341</v>
      </c>
      <c r="V1020" s="1" t="s">
        <v>41</v>
      </c>
      <c r="W1020" s="1" t="s">
        <v>49</v>
      </c>
      <c r="Z1020" s="14"/>
      <c r="AA1020" s="14"/>
    </row>
    <row r="1021" spans="1:27" hidden="1">
      <c r="A1021" s="1">
        <v>9299222</v>
      </c>
      <c r="B1021" s="1" t="s">
        <v>101</v>
      </c>
      <c r="C1021" t="s">
        <v>1761</v>
      </c>
      <c r="E1021" s="2">
        <v>446000206001</v>
      </c>
      <c r="F1021" s="1" t="s">
        <v>29</v>
      </c>
      <c r="G1021" s="1" t="s">
        <v>53</v>
      </c>
      <c r="H1021" s="1" t="s">
        <v>432</v>
      </c>
      <c r="I1021" s="1" t="s">
        <v>433</v>
      </c>
      <c r="J1021" s="1" t="s">
        <v>110</v>
      </c>
      <c r="K1021" t="s">
        <v>34</v>
      </c>
      <c r="M1021" s="1" t="s">
        <v>35</v>
      </c>
      <c r="N1021" s="1">
        <v>42318949</v>
      </c>
      <c r="O1021" s="1" t="s">
        <v>105</v>
      </c>
      <c r="P1021" s="11" t="s">
        <v>1807</v>
      </c>
      <c r="R1021" s="1" t="s">
        <v>38</v>
      </c>
      <c r="T1021" s="1" t="s">
        <v>74</v>
      </c>
      <c r="U1021" s="11" t="s">
        <v>1341</v>
      </c>
      <c r="V1021" s="1" t="s">
        <v>41</v>
      </c>
      <c r="W1021" s="1" t="s">
        <v>49</v>
      </c>
      <c r="Z1021" s="14"/>
      <c r="AA1021" s="14"/>
    </row>
    <row r="1022" spans="1:27" hidden="1">
      <c r="A1022" s="1">
        <v>9299221</v>
      </c>
      <c r="B1022" s="1" t="s">
        <v>101</v>
      </c>
      <c r="C1022" t="s">
        <v>1761</v>
      </c>
      <c r="E1022" s="2">
        <v>446000206001</v>
      </c>
      <c r="F1022" s="1" t="s">
        <v>29</v>
      </c>
      <c r="G1022" s="1" t="s">
        <v>53</v>
      </c>
      <c r="H1022" s="1" t="s">
        <v>432</v>
      </c>
      <c r="I1022" s="1" t="s">
        <v>433</v>
      </c>
      <c r="J1022" s="1" t="s">
        <v>110</v>
      </c>
      <c r="K1022" t="s">
        <v>34</v>
      </c>
      <c r="M1022" s="1" t="s">
        <v>35</v>
      </c>
      <c r="N1022" s="1">
        <v>42318949</v>
      </c>
      <c r="O1022" s="1" t="s">
        <v>105</v>
      </c>
      <c r="P1022" s="12">
        <v>44932.477256944447</v>
      </c>
      <c r="R1022" s="1" t="s">
        <v>38</v>
      </c>
      <c r="T1022" s="1" t="s">
        <v>74</v>
      </c>
      <c r="U1022" s="12">
        <v>44932.75</v>
      </c>
      <c r="V1022" s="1" t="s">
        <v>41</v>
      </c>
      <c r="W1022" s="1" t="s">
        <v>49</v>
      </c>
      <c r="Z1022" s="14"/>
      <c r="AA1022" s="14"/>
    </row>
    <row r="1023" spans="1:27" hidden="1">
      <c r="A1023" s="1">
        <v>9299220</v>
      </c>
      <c r="B1023" s="1" t="s">
        <v>101</v>
      </c>
      <c r="C1023" t="s">
        <v>1761</v>
      </c>
      <c r="E1023" s="2">
        <v>446000206001</v>
      </c>
      <c r="F1023" s="1" t="s">
        <v>29</v>
      </c>
      <c r="G1023" s="1" t="s">
        <v>53</v>
      </c>
      <c r="H1023" s="1" t="s">
        <v>432</v>
      </c>
      <c r="I1023" s="1" t="s">
        <v>433</v>
      </c>
      <c r="J1023" s="1" t="s">
        <v>110</v>
      </c>
      <c r="K1023" t="s">
        <v>34</v>
      </c>
      <c r="M1023" s="1" t="s">
        <v>35</v>
      </c>
      <c r="N1023" s="1">
        <v>42318949</v>
      </c>
      <c r="O1023" s="1" t="s">
        <v>105</v>
      </c>
      <c r="P1023" s="12">
        <v>44932.477256944447</v>
      </c>
      <c r="R1023" s="1" t="s">
        <v>38</v>
      </c>
      <c r="T1023" s="1" t="s">
        <v>74</v>
      </c>
      <c r="U1023" s="12">
        <v>44932.75</v>
      </c>
      <c r="V1023" s="1" t="s">
        <v>41</v>
      </c>
      <c r="W1023" s="1" t="s">
        <v>49</v>
      </c>
      <c r="Z1023" s="14"/>
      <c r="AA1023" s="14"/>
    </row>
    <row r="1024" spans="1:27">
      <c r="A1024" s="1">
        <v>9299075</v>
      </c>
      <c r="B1024" s="1" t="s">
        <v>101</v>
      </c>
      <c r="C1024" t="s">
        <v>1761</v>
      </c>
      <c r="E1024" s="2">
        <v>246000206001</v>
      </c>
      <c r="F1024" s="1" t="s">
        <v>29</v>
      </c>
      <c r="G1024" s="1" t="s">
        <v>53</v>
      </c>
      <c r="H1024" s="1" t="s">
        <v>1193</v>
      </c>
      <c r="I1024" s="1" t="s">
        <v>1194</v>
      </c>
      <c r="J1024" s="1" t="s">
        <v>85</v>
      </c>
      <c r="K1024" t="s">
        <v>34</v>
      </c>
      <c r="M1024" s="1" t="s">
        <v>35</v>
      </c>
      <c r="N1024" s="1">
        <v>42318949</v>
      </c>
      <c r="O1024" s="1" t="s">
        <v>105</v>
      </c>
      <c r="P1024" s="12">
        <v>44932.477048611108</v>
      </c>
      <c r="R1024" s="1" t="s">
        <v>38</v>
      </c>
      <c r="T1024" s="1" t="s">
        <v>74</v>
      </c>
      <c r="U1024" s="12">
        <v>44932.75</v>
      </c>
      <c r="V1024" s="1" t="s">
        <v>41</v>
      </c>
      <c r="W1024" s="1" t="s">
        <v>49</v>
      </c>
      <c r="Z1024" s="14"/>
      <c r="AA1024" s="14"/>
    </row>
    <row r="1025" spans="1:27">
      <c r="A1025" s="1">
        <v>9299074</v>
      </c>
      <c r="B1025" s="1" t="s">
        <v>101</v>
      </c>
      <c r="C1025" t="s">
        <v>1761</v>
      </c>
      <c r="E1025" s="2">
        <v>246000206001</v>
      </c>
      <c r="F1025" s="1" t="s">
        <v>29</v>
      </c>
      <c r="G1025" s="1" t="s">
        <v>53</v>
      </c>
      <c r="H1025" s="1" t="s">
        <v>1193</v>
      </c>
      <c r="I1025" s="1" t="s">
        <v>1194</v>
      </c>
      <c r="J1025" s="1" t="s">
        <v>85</v>
      </c>
      <c r="K1025" t="s">
        <v>34</v>
      </c>
      <c r="M1025" s="1" t="s">
        <v>35</v>
      </c>
      <c r="N1025" s="1">
        <v>42318949</v>
      </c>
      <c r="O1025" s="1" t="s">
        <v>105</v>
      </c>
      <c r="P1025" s="12">
        <v>44932.477048611108</v>
      </c>
      <c r="R1025" s="1" t="s">
        <v>38</v>
      </c>
      <c r="T1025" s="1" t="s">
        <v>74</v>
      </c>
      <c r="U1025" s="12">
        <v>44932.75</v>
      </c>
      <c r="V1025" s="1" t="s">
        <v>41</v>
      </c>
      <c r="W1025" s="1" t="s">
        <v>49</v>
      </c>
      <c r="Z1025" s="14"/>
      <c r="AA1025" s="14"/>
    </row>
    <row r="1026" spans="1:27">
      <c r="A1026" s="1">
        <v>9299073</v>
      </c>
      <c r="B1026" s="1" t="s">
        <v>101</v>
      </c>
      <c r="C1026" t="s">
        <v>1761</v>
      </c>
      <c r="E1026" s="2">
        <v>246000206001</v>
      </c>
      <c r="F1026" s="1" t="s">
        <v>29</v>
      </c>
      <c r="G1026" s="1" t="s">
        <v>53</v>
      </c>
      <c r="H1026" s="1" t="s">
        <v>1193</v>
      </c>
      <c r="I1026" s="1" t="s">
        <v>1194</v>
      </c>
      <c r="J1026" s="1" t="s">
        <v>85</v>
      </c>
      <c r="K1026" t="s">
        <v>34</v>
      </c>
      <c r="M1026" s="1" t="s">
        <v>35</v>
      </c>
      <c r="N1026" s="1">
        <v>42318949</v>
      </c>
      <c r="O1026" s="1" t="s">
        <v>105</v>
      </c>
      <c r="P1026" s="12">
        <v>44932.477048611108</v>
      </c>
      <c r="R1026" s="1" t="s">
        <v>38</v>
      </c>
      <c r="T1026" s="1" t="s">
        <v>74</v>
      </c>
      <c r="U1026" s="12">
        <v>44932.75</v>
      </c>
      <c r="V1026" s="1" t="s">
        <v>41</v>
      </c>
      <c r="W1026" s="1" t="s">
        <v>49</v>
      </c>
      <c r="Z1026" s="14"/>
      <c r="AA1026" s="14"/>
    </row>
    <row r="1027" spans="1:27">
      <c r="A1027" s="1">
        <v>9299072</v>
      </c>
      <c r="B1027" s="1" t="s">
        <v>101</v>
      </c>
      <c r="C1027" t="s">
        <v>1761</v>
      </c>
      <c r="E1027" s="2">
        <v>246000206001</v>
      </c>
      <c r="F1027" s="1" t="s">
        <v>29</v>
      </c>
      <c r="G1027" s="1" t="s">
        <v>53</v>
      </c>
      <c r="H1027" s="1" t="s">
        <v>1193</v>
      </c>
      <c r="I1027" s="1" t="s">
        <v>1194</v>
      </c>
      <c r="J1027" s="1" t="s">
        <v>85</v>
      </c>
      <c r="K1027" t="s">
        <v>34</v>
      </c>
      <c r="M1027" s="1" t="s">
        <v>35</v>
      </c>
      <c r="N1027" s="1">
        <v>42318949</v>
      </c>
      <c r="O1027" s="1" t="s">
        <v>105</v>
      </c>
      <c r="P1027" s="12">
        <v>44932.477048611108</v>
      </c>
      <c r="R1027" s="1" t="s">
        <v>38</v>
      </c>
      <c r="T1027" s="1" t="s">
        <v>74</v>
      </c>
      <c r="U1027" s="12">
        <v>44932.75</v>
      </c>
      <c r="V1027" s="1" t="s">
        <v>41</v>
      </c>
      <c r="W1027" s="1" t="s">
        <v>49</v>
      </c>
      <c r="Z1027" s="14"/>
      <c r="AA1027" s="14"/>
    </row>
    <row r="1028" spans="1:27" hidden="1">
      <c r="A1028" s="1">
        <v>9299071</v>
      </c>
      <c r="B1028" s="1" t="s">
        <v>101</v>
      </c>
      <c r="C1028" t="s">
        <v>1761</v>
      </c>
      <c r="E1028" s="2">
        <v>244000206001</v>
      </c>
      <c r="F1028" s="1" t="s">
        <v>29</v>
      </c>
      <c r="G1028" s="1" t="s">
        <v>53</v>
      </c>
      <c r="H1028" s="1" t="s">
        <v>313</v>
      </c>
      <c r="I1028" s="1" t="s">
        <v>314</v>
      </c>
      <c r="J1028" s="1" t="s">
        <v>56</v>
      </c>
      <c r="K1028" t="s">
        <v>34</v>
      </c>
      <c r="M1028" s="1" t="s">
        <v>35</v>
      </c>
      <c r="N1028" s="1">
        <v>42318949</v>
      </c>
      <c r="O1028" s="1" t="s">
        <v>105</v>
      </c>
      <c r="P1028" s="12">
        <v>44932.477037037039</v>
      </c>
      <c r="R1028" s="1" t="s">
        <v>38</v>
      </c>
      <c r="T1028" s="1" t="s">
        <v>74</v>
      </c>
      <c r="U1028" s="12">
        <v>44932.75</v>
      </c>
      <c r="V1028" s="1" t="s">
        <v>41</v>
      </c>
      <c r="W1028" s="1" t="s">
        <v>49</v>
      </c>
      <c r="Z1028" s="14"/>
      <c r="AA1028" s="14"/>
    </row>
    <row r="1029" spans="1:27" hidden="1">
      <c r="A1029" s="1">
        <v>9299059</v>
      </c>
      <c r="B1029" s="1" t="s">
        <v>101</v>
      </c>
      <c r="C1029" t="s">
        <v>1761</v>
      </c>
      <c r="E1029" s="2">
        <v>220000206001</v>
      </c>
      <c r="F1029" s="1" t="s">
        <v>29</v>
      </c>
      <c r="G1029" s="1" t="s">
        <v>53</v>
      </c>
      <c r="H1029" s="1" t="s">
        <v>588</v>
      </c>
      <c r="I1029" s="1" t="s">
        <v>589</v>
      </c>
      <c r="J1029" s="1" t="s">
        <v>110</v>
      </c>
      <c r="K1029" t="s">
        <v>34</v>
      </c>
      <c r="M1029" s="1" t="s">
        <v>35</v>
      </c>
      <c r="N1029" s="1">
        <v>42318949</v>
      </c>
      <c r="O1029" s="1" t="s">
        <v>105</v>
      </c>
      <c r="P1029" s="12">
        <v>44932.477025462962</v>
      </c>
      <c r="R1029" s="1" t="s">
        <v>38</v>
      </c>
      <c r="T1029" s="1" t="s">
        <v>74</v>
      </c>
      <c r="U1029" s="12">
        <v>44932.75</v>
      </c>
      <c r="V1029" s="1" t="s">
        <v>41</v>
      </c>
      <c r="W1029" s="1" t="s">
        <v>49</v>
      </c>
      <c r="Z1029" s="14"/>
      <c r="AA1029" s="14"/>
    </row>
    <row r="1030" spans="1:27" hidden="1">
      <c r="A1030" s="1">
        <v>9299058</v>
      </c>
      <c r="B1030" s="1" t="s">
        <v>101</v>
      </c>
      <c r="C1030" t="s">
        <v>1761</v>
      </c>
      <c r="E1030" s="2">
        <v>220000206001</v>
      </c>
      <c r="F1030" s="1" t="s">
        <v>29</v>
      </c>
      <c r="G1030" s="1" t="s">
        <v>53</v>
      </c>
      <c r="H1030" s="1" t="s">
        <v>588</v>
      </c>
      <c r="I1030" s="1" t="s">
        <v>589</v>
      </c>
      <c r="J1030" s="1" t="s">
        <v>110</v>
      </c>
      <c r="K1030" t="s">
        <v>34</v>
      </c>
      <c r="M1030" s="1" t="s">
        <v>35</v>
      </c>
      <c r="N1030" s="1">
        <v>42318949</v>
      </c>
      <c r="O1030" s="1" t="s">
        <v>105</v>
      </c>
      <c r="P1030" s="12">
        <v>44932.477025462962</v>
      </c>
      <c r="R1030" s="1" t="s">
        <v>38</v>
      </c>
      <c r="T1030" s="1" t="s">
        <v>74</v>
      </c>
      <c r="U1030" s="12">
        <v>44932.75</v>
      </c>
      <c r="V1030" s="1" t="s">
        <v>41</v>
      </c>
      <c r="W1030" s="1" t="s">
        <v>49</v>
      </c>
      <c r="Z1030" s="14"/>
      <c r="AA1030" s="14"/>
    </row>
    <row r="1031" spans="1:27" hidden="1">
      <c r="A1031" s="1">
        <v>9299057</v>
      </c>
      <c r="B1031" s="1" t="s">
        <v>101</v>
      </c>
      <c r="C1031" t="s">
        <v>1761</v>
      </c>
      <c r="E1031" s="2">
        <v>220000206001</v>
      </c>
      <c r="F1031" s="1" t="s">
        <v>29</v>
      </c>
      <c r="G1031" s="1" t="s">
        <v>53</v>
      </c>
      <c r="H1031" s="1" t="s">
        <v>588</v>
      </c>
      <c r="I1031" s="1" t="s">
        <v>589</v>
      </c>
      <c r="J1031" s="1" t="s">
        <v>110</v>
      </c>
      <c r="K1031" t="s">
        <v>34</v>
      </c>
      <c r="M1031" s="1" t="s">
        <v>35</v>
      </c>
      <c r="N1031" s="1">
        <v>42318949</v>
      </c>
      <c r="O1031" s="1" t="s">
        <v>105</v>
      </c>
      <c r="P1031" s="12">
        <v>44932.477025462962</v>
      </c>
      <c r="R1031" s="1" t="s">
        <v>38</v>
      </c>
      <c r="T1031" s="1" t="s">
        <v>74</v>
      </c>
      <c r="U1031" s="12">
        <v>44932.75</v>
      </c>
      <c r="V1031" s="1" t="s">
        <v>41</v>
      </c>
      <c r="W1031" s="1" t="s">
        <v>49</v>
      </c>
      <c r="Z1031" s="14"/>
      <c r="AA1031" s="14"/>
    </row>
    <row r="1032" spans="1:27" hidden="1">
      <c r="A1032" s="1">
        <v>9299056</v>
      </c>
      <c r="B1032" s="1" t="s">
        <v>101</v>
      </c>
      <c r="C1032" t="s">
        <v>1761</v>
      </c>
      <c r="E1032" s="2">
        <v>220000206001</v>
      </c>
      <c r="F1032" s="1" t="s">
        <v>29</v>
      </c>
      <c r="G1032" s="1" t="s">
        <v>53</v>
      </c>
      <c r="H1032" s="1" t="s">
        <v>588</v>
      </c>
      <c r="I1032" s="1" t="s">
        <v>589</v>
      </c>
      <c r="J1032" s="1" t="s">
        <v>110</v>
      </c>
      <c r="K1032" t="s">
        <v>34</v>
      </c>
      <c r="M1032" s="1" t="s">
        <v>35</v>
      </c>
      <c r="N1032" s="1">
        <v>42318949</v>
      </c>
      <c r="O1032" s="1" t="s">
        <v>105</v>
      </c>
      <c r="P1032" s="12">
        <v>44932.477025462962</v>
      </c>
      <c r="R1032" s="1" t="s">
        <v>38</v>
      </c>
      <c r="T1032" s="1" t="s">
        <v>74</v>
      </c>
      <c r="U1032" s="12">
        <v>44932.75</v>
      </c>
      <c r="V1032" s="1" t="s">
        <v>41</v>
      </c>
      <c r="W1032" s="1" t="s">
        <v>49</v>
      </c>
      <c r="Z1032" s="14"/>
      <c r="AA1032" s="14"/>
    </row>
    <row r="1033" spans="1:27" hidden="1">
      <c r="A1033" s="1">
        <v>9299055</v>
      </c>
      <c r="B1033" s="1" t="s">
        <v>101</v>
      </c>
      <c r="C1033" t="s">
        <v>1761</v>
      </c>
      <c r="E1033" s="2">
        <v>220000206001</v>
      </c>
      <c r="F1033" s="1" t="s">
        <v>29</v>
      </c>
      <c r="G1033" s="1" t="s">
        <v>53</v>
      </c>
      <c r="H1033" s="1" t="s">
        <v>588</v>
      </c>
      <c r="I1033" s="1" t="s">
        <v>589</v>
      </c>
      <c r="J1033" s="1" t="s">
        <v>110</v>
      </c>
      <c r="K1033" t="s">
        <v>34</v>
      </c>
      <c r="M1033" s="1" t="s">
        <v>35</v>
      </c>
      <c r="N1033" s="1">
        <v>42318949</v>
      </c>
      <c r="O1033" s="1" t="s">
        <v>105</v>
      </c>
      <c r="P1033" s="12">
        <v>44932.477013888885</v>
      </c>
      <c r="R1033" s="1" t="s">
        <v>38</v>
      </c>
      <c r="T1033" s="1" t="s">
        <v>74</v>
      </c>
      <c r="U1033" s="12">
        <v>44932.75</v>
      </c>
      <c r="V1033" s="1" t="s">
        <v>41</v>
      </c>
      <c r="W1033" s="1" t="s">
        <v>49</v>
      </c>
      <c r="Z1033" s="14"/>
      <c r="AA1033" s="14"/>
    </row>
    <row r="1034" spans="1:27">
      <c r="A1034" s="1">
        <v>9298529</v>
      </c>
      <c r="B1034" s="1" t="s">
        <v>101</v>
      </c>
      <c r="C1034" t="s">
        <v>1810</v>
      </c>
      <c r="E1034" s="2">
        <v>9705000206001</v>
      </c>
      <c r="F1034" s="1" t="s">
        <v>29</v>
      </c>
      <c r="G1034" s="1" t="s">
        <v>53</v>
      </c>
      <c r="H1034" s="1" t="s">
        <v>204</v>
      </c>
      <c r="I1034" s="1" t="s">
        <v>205</v>
      </c>
      <c r="J1034" s="1" t="s">
        <v>90</v>
      </c>
      <c r="K1034" t="s">
        <v>34</v>
      </c>
      <c r="M1034" s="1" t="s">
        <v>35</v>
      </c>
      <c r="N1034" s="1">
        <v>42318949</v>
      </c>
      <c r="O1034" s="1" t="s">
        <v>105</v>
      </c>
      <c r="P1034" s="12">
        <v>44932.437754629631</v>
      </c>
      <c r="R1034" s="1" t="s">
        <v>38</v>
      </c>
      <c r="T1034" s="1" t="s">
        <v>74</v>
      </c>
      <c r="U1034" s="12">
        <v>44932.75</v>
      </c>
      <c r="V1034" s="1" t="s">
        <v>41</v>
      </c>
      <c r="W1034" s="1" t="s">
        <v>49</v>
      </c>
      <c r="Z1034" s="14"/>
      <c r="AA1034" s="14"/>
    </row>
    <row r="1035" spans="1:27" hidden="1">
      <c r="A1035" s="1">
        <v>9298528</v>
      </c>
      <c r="B1035" s="1" t="s">
        <v>101</v>
      </c>
      <c r="C1035" t="s">
        <v>1810</v>
      </c>
      <c r="E1035" s="2">
        <v>9704000206001</v>
      </c>
      <c r="F1035" s="1" t="s">
        <v>29</v>
      </c>
      <c r="G1035" s="1" t="s">
        <v>53</v>
      </c>
      <c r="H1035" s="1" t="s">
        <v>488</v>
      </c>
      <c r="I1035" s="1" t="s">
        <v>489</v>
      </c>
      <c r="J1035" s="1" t="s">
        <v>164</v>
      </c>
      <c r="K1035" t="s">
        <v>34</v>
      </c>
      <c r="M1035" s="1" t="s">
        <v>35</v>
      </c>
      <c r="N1035" s="1">
        <v>42318949</v>
      </c>
      <c r="O1035" s="1" t="s">
        <v>105</v>
      </c>
      <c r="P1035" s="12">
        <v>44932.437754629631</v>
      </c>
      <c r="R1035" s="1" t="s">
        <v>38</v>
      </c>
      <c r="T1035" s="1" t="s">
        <v>74</v>
      </c>
      <c r="U1035" s="12">
        <v>44932.75</v>
      </c>
      <c r="V1035" s="1" t="s">
        <v>41</v>
      </c>
      <c r="W1035" s="1" t="s">
        <v>49</v>
      </c>
      <c r="Z1035" s="14"/>
      <c r="AA1035" s="14"/>
    </row>
    <row r="1036" spans="1:27">
      <c r="A1036" s="1">
        <v>9298527</v>
      </c>
      <c r="B1036" s="1" t="s">
        <v>101</v>
      </c>
      <c r="C1036" t="s">
        <v>1810</v>
      </c>
      <c r="E1036" s="2">
        <v>9700000206001</v>
      </c>
      <c r="F1036" s="1" t="s">
        <v>29</v>
      </c>
      <c r="G1036" s="1" t="s">
        <v>53</v>
      </c>
      <c r="H1036" s="1" t="s">
        <v>209</v>
      </c>
      <c r="I1036" s="1" t="s">
        <v>210</v>
      </c>
      <c r="J1036" s="1" t="s">
        <v>211</v>
      </c>
      <c r="K1036" t="s">
        <v>34</v>
      </c>
      <c r="M1036" s="1" t="s">
        <v>35</v>
      </c>
      <c r="N1036" s="1">
        <v>42318949</v>
      </c>
      <c r="O1036" s="1" t="s">
        <v>105</v>
      </c>
      <c r="P1036" s="12">
        <v>44932.437754629631</v>
      </c>
      <c r="R1036" s="1" t="s">
        <v>38</v>
      </c>
      <c r="T1036" s="1" t="s">
        <v>74</v>
      </c>
      <c r="U1036" s="12">
        <v>44932.75</v>
      </c>
      <c r="V1036" s="1" t="s">
        <v>41</v>
      </c>
      <c r="W1036" s="1" t="s">
        <v>49</v>
      </c>
      <c r="Z1036" s="14"/>
      <c r="AA1036" s="14"/>
    </row>
    <row r="1037" spans="1:27" hidden="1">
      <c r="A1037" s="1">
        <v>9298495</v>
      </c>
      <c r="B1037" s="1" t="s">
        <v>101</v>
      </c>
      <c r="C1037" t="s">
        <v>1810</v>
      </c>
      <c r="E1037" s="2">
        <v>9661000206001</v>
      </c>
      <c r="F1037" s="1" t="s">
        <v>29</v>
      </c>
      <c r="G1037" s="1" t="s">
        <v>53</v>
      </c>
      <c r="H1037" s="1" t="s">
        <v>31</v>
      </c>
      <c r="I1037" s="1" t="s">
        <v>32</v>
      </c>
      <c r="J1037" s="1" t="s">
        <v>33</v>
      </c>
      <c r="K1037" t="s">
        <v>34</v>
      </c>
      <c r="M1037" s="1" t="s">
        <v>35</v>
      </c>
      <c r="N1037" s="1">
        <v>42318949</v>
      </c>
      <c r="O1037" s="1" t="s">
        <v>105</v>
      </c>
      <c r="P1037" s="12">
        <v>44932.437696759262</v>
      </c>
      <c r="R1037" s="1" t="s">
        <v>38</v>
      </c>
      <c r="T1037" s="1" t="s">
        <v>74</v>
      </c>
      <c r="U1037" s="12">
        <v>44932.75</v>
      </c>
      <c r="V1037" s="1" t="s">
        <v>41</v>
      </c>
      <c r="W1037" s="1" t="s">
        <v>42</v>
      </c>
      <c r="Z1037" s="14"/>
      <c r="AA1037" s="14"/>
    </row>
    <row r="1038" spans="1:27" hidden="1">
      <c r="A1038" s="1">
        <v>9298454</v>
      </c>
      <c r="B1038" s="1" t="s">
        <v>101</v>
      </c>
      <c r="C1038" t="s">
        <v>1810</v>
      </c>
      <c r="E1038" s="2">
        <v>9406000206001</v>
      </c>
      <c r="F1038" s="1" t="s">
        <v>29</v>
      </c>
      <c r="G1038" s="1" t="s">
        <v>53</v>
      </c>
      <c r="H1038" s="1" t="s">
        <v>114</v>
      </c>
      <c r="I1038" s="1" t="s">
        <v>115</v>
      </c>
      <c r="J1038" s="1" t="s">
        <v>46</v>
      </c>
      <c r="K1038" t="s">
        <v>34</v>
      </c>
      <c r="M1038" s="1" t="s">
        <v>35</v>
      </c>
      <c r="N1038" s="1">
        <v>42318949</v>
      </c>
      <c r="O1038" s="1" t="s">
        <v>105</v>
      </c>
      <c r="P1038" s="12">
        <v>44932.437627314815</v>
      </c>
      <c r="R1038" s="1" t="s">
        <v>38</v>
      </c>
      <c r="T1038" s="1" t="s">
        <v>74</v>
      </c>
      <c r="U1038" s="12">
        <v>44932.75</v>
      </c>
      <c r="V1038" s="1" t="s">
        <v>41</v>
      </c>
      <c r="W1038" s="1" t="s">
        <v>49</v>
      </c>
      <c r="Z1038" s="14"/>
      <c r="AA1038" s="14"/>
    </row>
    <row r="1039" spans="1:27" hidden="1">
      <c r="A1039" s="1">
        <v>9298409</v>
      </c>
      <c r="B1039" s="1" t="s">
        <v>101</v>
      </c>
      <c r="C1039" t="s">
        <v>1810</v>
      </c>
      <c r="E1039" s="2">
        <v>8634000206001</v>
      </c>
      <c r="F1039" s="1" t="s">
        <v>29</v>
      </c>
      <c r="G1039" s="1" t="s">
        <v>53</v>
      </c>
      <c r="H1039" s="1" t="s">
        <v>293</v>
      </c>
      <c r="I1039" s="1" t="s">
        <v>294</v>
      </c>
      <c r="J1039" s="1" t="s">
        <v>46</v>
      </c>
      <c r="K1039" t="s">
        <v>34</v>
      </c>
      <c r="M1039" s="1" t="s">
        <v>35</v>
      </c>
      <c r="N1039" s="1">
        <v>42318949</v>
      </c>
      <c r="O1039" s="1" t="s">
        <v>105</v>
      </c>
      <c r="P1039" s="12">
        <v>44932.437557870369</v>
      </c>
      <c r="R1039" s="1" t="s">
        <v>38</v>
      </c>
      <c r="T1039" s="1" t="s">
        <v>74</v>
      </c>
      <c r="U1039" s="12">
        <v>44932.75</v>
      </c>
      <c r="V1039" s="1" t="s">
        <v>41</v>
      </c>
      <c r="W1039" s="1" t="s">
        <v>49</v>
      </c>
      <c r="Z1039" s="14"/>
      <c r="AA1039" s="14"/>
    </row>
    <row r="1040" spans="1:27" hidden="1">
      <c r="A1040" s="1">
        <v>9298408</v>
      </c>
      <c r="B1040" s="1" t="s">
        <v>101</v>
      </c>
      <c r="C1040" t="s">
        <v>1810</v>
      </c>
      <c r="E1040" s="2">
        <v>8633000206001</v>
      </c>
      <c r="F1040" s="1" t="s">
        <v>29</v>
      </c>
      <c r="G1040" s="1" t="s">
        <v>53</v>
      </c>
      <c r="H1040" s="1" t="s">
        <v>835</v>
      </c>
      <c r="I1040" s="1" t="s">
        <v>836</v>
      </c>
      <c r="J1040" s="1" t="s">
        <v>46</v>
      </c>
      <c r="K1040" t="s">
        <v>34</v>
      </c>
      <c r="M1040" s="1" t="s">
        <v>35</v>
      </c>
      <c r="N1040" s="1">
        <v>42318949</v>
      </c>
      <c r="O1040" s="1" t="s">
        <v>105</v>
      </c>
      <c r="P1040" s="12">
        <v>44932.4375462963</v>
      </c>
      <c r="R1040" s="1" t="s">
        <v>38</v>
      </c>
      <c r="T1040" s="1" t="s">
        <v>74</v>
      </c>
      <c r="U1040" s="12">
        <v>44932.75</v>
      </c>
      <c r="V1040" s="1" t="s">
        <v>41</v>
      </c>
      <c r="W1040" s="1" t="s">
        <v>49</v>
      </c>
      <c r="Z1040" s="14"/>
      <c r="AA1040" s="14"/>
    </row>
    <row r="1041" spans="1:27" hidden="1">
      <c r="A1041" s="1">
        <v>9298263</v>
      </c>
      <c r="B1041" s="1" t="s">
        <v>101</v>
      </c>
      <c r="C1041" t="s">
        <v>1810</v>
      </c>
      <c r="E1041" s="2">
        <v>8074000206001</v>
      </c>
      <c r="F1041" s="1" t="s">
        <v>29</v>
      </c>
      <c r="G1041" s="1" t="s">
        <v>53</v>
      </c>
      <c r="H1041" s="1" t="s">
        <v>1257</v>
      </c>
      <c r="I1041" s="1" t="s">
        <v>1258</v>
      </c>
      <c r="J1041" s="1" t="s">
        <v>33</v>
      </c>
      <c r="K1041" t="s">
        <v>34</v>
      </c>
      <c r="M1041" s="1" t="s">
        <v>35</v>
      </c>
      <c r="N1041" s="1">
        <v>42318949</v>
      </c>
      <c r="O1041" s="1" t="s">
        <v>105</v>
      </c>
      <c r="P1041" s="12">
        <v>44932.437280092592</v>
      </c>
      <c r="R1041" s="1" t="s">
        <v>38</v>
      </c>
      <c r="T1041" s="1" t="s">
        <v>74</v>
      </c>
      <c r="U1041" s="12">
        <v>44932.75</v>
      </c>
      <c r="V1041" s="1" t="s">
        <v>41</v>
      </c>
      <c r="W1041" s="1" t="s">
        <v>49</v>
      </c>
      <c r="Z1041" s="14"/>
      <c r="AA1041" s="14"/>
    </row>
    <row r="1042" spans="1:27" hidden="1">
      <c r="A1042" s="1">
        <v>9298238</v>
      </c>
      <c r="B1042" s="1" t="s">
        <v>101</v>
      </c>
      <c r="C1042" t="s">
        <v>1810</v>
      </c>
      <c r="E1042" s="2">
        <v>7420000206001</v>
      </c>
      <c r="F1042" s="1" t="s">
        <v>29</v>
      </c>
      <c r="G1042" s="1" t="s">
        <v>53</v>
      </c>
      <c r="H1042" s="1" t="s">
        <v>1076</v>
      </c>
      <c r="I1042" s="1" t="s">
        <v>1077</v>
      </c>
      <c r="J1042" s="1" t="s">
        <v>46</v>
      </c>
      <c r="K1042" t="s">
        <v>34</v>
      </c>
      <c r="M1042" s="1" t="s">
        <v>35</v>
      </c>
      <c r="N1042" s="1">
        <v>42318949</v>
      </c>
      <c r="O1042" s="1" t="s">
        <v>105</v>
      </c>
      <c r="P1042" s="12">
        <v>44932.4372337963</v>
      </c>
      <c r="R1042" s="1" t="s">
        <v>38</v>
      </c>
      <c r="T1042" s="1" t="s">
        <v>74</v>
      </c>
      <c r="U1042" s="12">
        <v>44932.75</v>
      </c>
      <c r="V1042" s="1" t="s">
        <v>41</v>
      </c>
      <c r="W1042" s="1" t="s">
        <v>49</v>
      </c>
      <c r="Z1042" s="14"/>
      <c r="AA1042" s="14"/>
    </row>
    <row r="1043" spans="1:27" hidden="1">
      <c r="A1043" s="1">
        <v>9297776</v>
      </c>
      <c r="B1043" s="1" t="s">
        <v>101</v>
      </c>
      <c r="C1043" t="s">
        <v>1810</v>
      </c>
      <c r="E1043" s="2">
        <v>5898000206001</v>
      </c>
      <c r="F1043" s="1" t="s">
        <v>29</v>
      </c>
      <c r="G1043" s="1" t="s">
        <v>53</v>
      </c>
      <c r="H1043" s="1" t="s">
        <v>365</v>
      </c>
      <c r="I1043" s="1" t="s">
        <v>366</v>
      </c>
      <c r="J1043" s="1" t="s">
        <v>164</v>
      </c>
      <c r="K1043" t="s">
        <v>34</v>
      </c>
      <c r="M1043" s="1" t="s">
        <v>35</v>
      </c>
      <c r="N1043" s="1">
        <v>42318949</v>
      </c>
      <c r="O1043" s="1" t="s">
        <v>105</v>
      </c>
      <c r="P1043" s="12">
        <v>44932.436226851853</v>
      </c>
      <c r="R1043" s="1" t="s">
        <v>38</v>
      </c>
      <c r="T1043" s="1" t="s">
        <v>74</v>
      </c>
      <c r="U1043" s="12">
        <v>44932.75</v>
      </c>
      <c r="V1043" s="1" t="s">
        <v>41</v>
      </c>
      <c r="W1043" s="1" t="s">
        <v>49</v>
      </c>
      <c r="Z1043" s="14"/>
      <c r="AA1043" s="14"/>
    </row>
    <row r="1044" spans="1:27" hidden="1">
      <c r="A1044" s="1">
        <v>9297748</v>
      </c>
      <c r="B1044" s="1" t="s">
        <v>101</v>
      </c>
      <c r="C1044" t="s">
        <v>1810</v>
      </c>
      <c r="E1044" s="2">
        <v>5816000206001</v>
      </c>
      <c r="F1044" s="1" t="s">
        <v>29</v>
      </c>
      <c r="G1044" s="1" t="s">
        <v>53</v>
      </c>
      <c r="H1044" s="1" t="s">
        <v>412</v>
      </c>
      <c r="I1044" s="1" t="s">
        <v>413</v>
      </c>
      <c r="J1044" s="1" t="s">
        <v>46</v>
      </c>
      <c r="K1044" t="s">
        <v>34</v>
      </c>
      <c r="M1044" s="1" t="s">
        <v>35</v>
      </c>
      <c r="N1044" s="1">
        <v>42318949</v>
      </c>
      <c r="O1044" s="1" t="s">
        <v>105</v>
      </c>
      <c r="P1044" s="12">
        <v>44932.436122685183</v>
      </c>
      <c r="R1044" s="1" t="s">
        <v>38</v>
      </c>
      <c r="T1044" s="1" t="s">
        <v>74</v>
      </c>
      <c r="U1044" s="12">
        <v>44932.75</v>
      </c>
      <c r="V1044" s="1" t="s">
        <v>41</v>
      </c>
      <c r="W1044" s="1" t="s">
        <v>49</v>
      </c>
      <c r="Z1044" s="14"/>
      <c r="AA1044" s="14"/>
    </row>
    <row r="1045" spans="1:27" hidden="1">
      <c r="A1045" s="1">
        <v>9297710</v>
      </c>
      <c r="B1045" s="1" t="s">
        <v>101</v>
      </c>
      <c r="C1045" t="s">
        <v>1810</v>
      </c>
      <c r="E1045" s="2">
        <v>5755000206001</v>
      </c>
      <c r="F1045" s="1" t="s">
        <v>29</v>
      </c>
      <c r="G1045" s="1" t="s">
        <v>53</v>
      </c>
      <c r="H1045" s="1" t="s">
        <v>841</v>
      </c>
      <c r="I1045" s="1" t="s">
        <v>842</v>
      </c>
      <c r="J1045" s="1" t="s">
        <v>46</v>
      </c>
      <c r="K1045" t="s">
        <v>34</v>
      </c>
      <c r="M1045" s="1" t="s">
        <v>35</v>
      </c>
      <c r="N1045" s="1">
        <v>42318949</v>
      </c>
      <c r="O1045" s="1" t="s">
        <v>105</v>
      </c>
      <c r="P1045" s="12">
        <v>44932.436064814814</v>
      </c>
      <c r="R1045" s="1" t="s">
        <v>38</v>
      </c>
      <c r="T1045" s="1" t="s">
        <v>74</v>
      </c>
      <c r="U1045" s="12">
        <v>44932.75</v>
      </c>
      <c r="V1045" s="1" t="s">
        <v>41</v>
      </c>
      <c r="W1045" s="1" t="s">
        <v>49</v>
      </c>
      <c r="Z1045" s="14"/>
      <c r="AA1045" s="14"/>
    </row>
    <row r="1046" spans="1:27" hidden="1">
      <c r="A1046" s="1">
        <v>9297706</v>
      </c>
      <c r="B1046" s="1" t="s">
        <v>101</v>
      </c>
      <c r="C1046" t="s">
        <v>1810</v>
      </c>
      <c r="E1046" s="2">
        <v>5749000206001</v>
      </c>
      <c r="F1046" s="1" t="s">
        <v>29</v>
      </c>
      <c r="G1046" s="1" t="s">
        <v>53</v>
      </c>
      <c r="H1046" s="1" t="s">
        <v>1811</v>
      </c>
      <c r="I1046" s="1" t="s">
        <v>1812</v>
      </c>
      <c r="J1046" s="1" t="s">
        <v>33</v>
      </c>
      <c r="K1046" t="s">
        <v>34</v>
      </c>
      <c r="M1046" s="1" t="s">
        <v>35</v>
      </c>
      <c r="N1046" s="1">
        <v>42318949</v>
      </c>
      <c r="O1046" s="1" t="s">
        <v>105</v>
      </c>
      <c r="P1046" s="12">
        <v>44932.436053240737</v>
      </c>
      <c r="R1046" s="1" t="s">
        <v>38</v>
      </c>
      <c r="T1046" s="1" t="s">
        <v>74</v>
      </c>
      <c r="U1046" s="12">
        <v>44932.75</v>
      </c>
      <c r="V1046" s="1" t="s">
        <v>41</v>
      </c>
      <c r="W1046" s="1" t="s">
        <v>42</v>
      </c>
      <c r="Z1046" s="14"/>
      <c r="AA1046" s="14"/>
    </row>
    <row r="1047" spans="1:27" hidden="1">
      <c r="A1047" s="1">
        <v>9297704</v>
      </c>
      <c r="B1047" s="1" t="s">
        <v>101</v>
      </c>
      <c r="C1047" t="s">
        <v>1810</v>
      </c>
      <c r="E1047" s="2">
        <v>5742000206001</v>
      </c>
      <c r="F1047" s="1" t="s">
        <v>29</v>
      </c>
      <c r="G1047" s="1" t="s">
        <v>53</v>
      </c>
      <c r="H1047" s="1" t="s">
        <v>430</v>
      </c>
      <c r="I1047" s="1" t="s">
        <v>431</v>
      </c>
      <c r="J1047" s="1" t="s">
        <v>79</v>
      </c>
      <c r="K1047" t="s">
        <v>34</v>
      </c>
      <c r="M1047" s="1" t="s">
        <v>35</v>
      </c>
      <c r="N1047" s="1">
        <v>42318949</v>
      </c>
      <c r="O1047" s="1" t="s">
        <v>105</v>
      </c>
      <c r="P1047" s="12">
        <v>44932.436053240737</v>
      </c>
      <c r="R1047" s="1" t="s">
        <v>38</v>
      </c>
      <c r="T1047" s="1" t="s">
        <v>74</v>
      </c>
      <c r="U1047" s="12">
        <v>44932.75</v>
      </c>
      <c r="V1047" s="1" t="s">
        <v>41</v>
      </c>
      <c r="W1047" s="1" t="s">
        <v>49</v>
      </c>
      <c r="Z1047" s="14"/>
      <c r="AA1047" s="14"/>
    </row>
    <row r="1048" spans="1:27" hidden="1">
      <c r="A1048" s="1">
        <v>9297703</v>
      </c>
      <c r="B1048" s="1" t="s">
        <v>101</v>
      </c>
      <c r="C1048" t="s">
        <v>1810</v>
      </c>
      <c r="E1048" s="2">
        <v>5740000206001</v>
      </c>
      <c r="F1048" s="1" t="s">
        <v>29</v>
      </c>
      <c r="G1048" s="1" t="s">
        <v>53</v>
      </c>
      <c r="H1048" s="1" t="s">
        <v>626</v>
      </c>
      <c r="I1048" s="1" t="s">
        <v>627</v>
      </c>
      <c r="J1048" s="1" t="s">
        <v>46</v>
      </c>
      <c r="K1048" t="s">
        <v>34</v>
      </c>
      <c r="M1048" s="1" t="s">
        <v>35</v>
      </c>
      <c r="N1048" s="1">
        <v>42318949</v>
      </c>
      <c r="O1048" s="1" t="s">
        <v>105</v>
      </c>
      <c r="P1048" s="12">
        <v>44932.436053240737</v>
      </c>
      <c r="R1048" s="1" t="s">
        <v>38</v>
      </c>
      <c r="T1048" s="1" t="s">
        <v>74</v>
      </c>
      <c r="U1048" s="12">
        <v>44932.75</v>
      </c>
      <c r="V1048" s="1" t="s">
        <v>41</v>
      </c>
      <c r="W1048" s="1" t="s">
        <v>49</v>
      </c>
      <c r="Z1048" s="14"/>
      <c r="AA1048" s="14"/>
    </row>
    <row r="1049" spans="1:27" hidden="1">
      <c r="A1049" s="1">
        <v>9297518</v>
      </c>
      <c r="B1049" s="1" t="s">
        <v>101</v>
      </c>
      <c r="C1049" t="s">
        <v>1810</v>
      </c>
      <c r="E1049" s="2">
        <v>4997000206001</v>
      </c>
      <c r="F1049" s="1" t="s">
        <v>29</v>
      </c>
      <c r="G1049" s="1" t="s">
        <v>53</v>
      </c>
      <c r="H1049" s="1" t="s">
        <v>406</v>
      </c>
      <c r="I1049" s="1" t="s">
        <v>407</v>
      </c>
      <c r="J1049" s="1" t="s">
        <v>79</v>
      </c>
      <c r="K1049" t="s">
        <v>34</v>
      </c>
      <c r="M1049" s="1" t="s">
        <v>35</v>
      </c>
      <c r="N1049" s="1">
        <v>42318949</v>
      </c>
      <c r="O1049" s="1" t="s">
        <v>105</v>
      </c>
      <c r="P1049" s="12">
        <v>44932.435624999998</v>
      </c>
      <c r="R1049" s="1" t="s">
        <v>38</v>
      </c>
      <c r="T1049" s="1" t="s">
        <v>74</v>
      </c>
      <c r="U1049" s="12">
        <v>44932.75</v>
      </c>
      <c r="V1049" s="1" t="s">
        <v>41</v>
      </c>
      <c r="W1049" s="1" t="s">
        <v>49</v>
      </c>
      <c r="Z1049" s="14"/>
      <c r="AA1049" s="14"/>
    </row>
    <row r="1050" spans="1:27" hidden="1">
      <c r="A1050" s="1">
        <v>9297506</v>
      </c>
      <c r="B1050" s="1" t="s">
        <v>101</v>
      </c>
      <c r="C1050" t="s">
        <v>1810</v>
      </c>
      <c r="E1050" s="2">
        <v>4930000206001</v>
      </c>
      <c r="F1050" s="1" t="s">
        <v>29</v>
      </c>
      <c r="G1050" s="1" t="s">
        <v>53</v>
      </c>
      <c r="H1050" s="1" t="s">
        <v>1813</v>
      </c>
      <c r="I1050" s="1" t="s">
        <v>1814</v>
      </c>
      <c r="J1050" s="1" t="s">
        <v>46</v>
      </c>
      <c r="K1050" t="s">
        <v>34</v>
      </c>
      <c r="M1050" s="1" t="s">
        <v>35</v>
      </c>
      <c r="N1050" s="1">
        <v>42318949</v>
      </c>
      <c r="O1050" s="1" t="s">
        <v>105</v>
      </c>
      <c r="P1050" s="12">
        <v>44932.435613425929</v>
      </c>
      <c r="R1050" s="1" t="s">
        <v>38</v>
      </c>
      <c r="T1050" s="1" t="s">
        <v>74</v>
      </c>
      <c r="U1050" s="12">
        <v>44932.75</v>
      </c>
      <c r="V1050" s="1" t="s">
        <v>41</v>
      </c>
      <c r="W1050" s="1" t="s">
        <v>49</v>
      </c>
      <c r="Z1050" s="14"/>
      <c r="AA1050" s="14"/>
    </row>
    <row r="1051" spans="1:27">
      <c r="A1051" s="1">
        <v>9297463</v>
      </c>
      <c r="B1051" s="1" t="s">
        <v>101</v>
      </c>
      <c r="C1051" t="s">
        <v>1810</v>
      </c>
      <c r="E1051" s="2">
        <v>4844920206001</v>
      </c>
      <c r="F1051" s="1" t="s">
        <v>29</v>
      </c>
      <c r="G1051" s="1" t="s">
        <v>53</v>
      </c>
      <c r="H1051" s="1" t="s">
        <v>1815</v>
      </c>
      <c r="I1051" s="1" t="s">
        <v>1816</v>
      </c>
      <c r="J1051" s="1" t="s">
        <v>211</v>
      </c>
      <c r="K1051" t="s">
        <v>34</v>
      </c>
      <c r="M1051" s="1" t="s">
        <v>35</v>
      </c>
      <c r="N1051" s="1">
        <v>42318949</v>
      </c>
      <c r="O1051" s="1" t="s">
        <v>105</v>
      </c>
      <c r="P1051" s="12">
        <v>44932.435555555552</v>
      </c>
      <c r="R1051" s="1" t="s">
        <v>38</v>
      </c>
      <c r="T1051" s="1" t="s">
        <v>74</v>
      </c>
      <c r="U1051" s="12">
        <v>44932.75</v>
      </c>
      <c r="V1051" s="1" t="s">
        <v>41</v>
      </c>
      <c r="W1051" s="1" t="s">
        <v>49</v>
      </c>
      <c r="Z1051" s="14"/>
      <c r="AA1051" s="14"/>
    </row>
    <row r="1052" spans="1:27" hidden="1">
      <c r="A1052" s="1">
        <v>9297342</v>
      </c>
      <c r="B1052" s="1" t="s">
        <v>101</v>
      </c>
      <c r="C1052" t="s">
        <v>1810</v>
      </c>
      <c r="E1052" s="2">
        <v>4637000206001</v>
      </c>
      <c r="F1052" s="1" t="s">
        <v>29</v>
      </c>
      <c r="G1052" s="1" t="s">
        <v>53</v>
      </c>
      <c r="H1052" s="1" t="s">
        <v>848</v>
      </c>
      <c r="I1052" s="1" t="s">
        <v>849</v>
      </c>
      <c r="J1052" s="1" t="s">
        <v>79</v>
      </c>
      <c r="K1052" t="s">
        <v>34</v>
      </c>
      <c r="M1052" s="1" t="s">
        <v>35</v>
      </c>
      <c r="N1052" s="1">
        <v>42318949</v>
      </c>
      <c r="O1052" s="1" t="s">
        <v>105</v>
      </c>
      <c r="P1052" s="12">
        <v>44932.435243055559</v>
      </c>
      <c r="R1052" s="1" t="s">
        <v>38</v>
      </c>
      <c r="T1052" s="1" t="s">
        <v>74</v>
      </c>
      <c r="U1052" s="12">
        <v>44932.75</v>
      </c>
      <c r="V1052" s="1" t="s">
        <v>41</v>
      </c>
      <c r="W1052" s="1" t="s">
        <v>49</v>
      </c>
      <c r="Z1052" s="14"/>
      <c r="AA1052" s="14"/>
    </row>
    <row r="1053" spans="1:27" hidden="1">
      <c r="A1053" s="1">
        <v>9297329</v>
      </c>
      <c r="B1053" s="1" t="s">
        <v>101</v>
      </c>
      <c r="C1053" t="s">
        <v>1810</v>
      </c>
      <c r="E1053" s="2">
        <v>4623000206001</v>
      </c>
      <c r="F1053" s="1" t="s">
        <v>29</v>
      </c>
      <c r="G1053" s="1" t="s">
        <v>53</v>
      </c>
      <c r="H1053" s="1" t="s">
        <v>669</v>
      </c>
      <c r="I1053" s="1" t="s">
        <v>670</v>
      </c>
      <c r="J1053" s="1" t="s">
        <v>33</v>
      </c>
      <c r="K1053" t="s">
        <v>34</v>
      </c>
      <c r="M1053" s="1" t="s">
        <v>35</v>
      </c>
      <c r="N1053" s="1">
        <v>42318949</v>
      </c>
      <c r="O1053" s="1" t="s">
        <v>105</v>
      </c>
      <c r="P1053" s="12">
        <v>44932.435219907406</v>
      </c>
      <c r="R1053" s="1" t="s">
        <v>38</v>
      </c>
      <c r="T1053" s="1" t="s">
        <v>74</v>
      </c>
      <c r="U1053" s="12">
        <v>44932.75</v>
      </c>
      <c r="V1053" s="1" t="s">
        <v>41</v>
      </c>
      <c r="W1053" s="1" t="s">
        <v>42</v>
      </c>
      <c r="Z1053" s="14"/>
      <c r="AA1053" s="14"/>
    </row>
    <row r="1054" spans="1:27" hidden="1">
      <c r="A1054" s="1">
        <v>9297061</v>
      </c>
      <c r="B1054" s="1" t="s">
        <v>101</v>
      </c>
      <c r="C1054" t="s">
        <v>1810</v>
      </c>
      <c r="E1054" s="2">
        <v>4235000206001</v>
      </c>
      <c r="F1054" s="1" t="s">
        <v>29</v>
      </c>
      <c r="G1054" s="1" t="s">
        <v>53</v>
      </c>
      <c r="H1054" s="1" t="s">
        <v>291</v>
      </c>
      <c r="I1054" s="1" t="s">
        <v>292</v>
      </c>
      <c r="J1054" s="1" t="s">
        <v>46</v>
      </c>
      <c r="K1054" t="s">
        <v>34</v>
      </c>
      <c r="M1054" s="1" t="s">
        <v>35</v>
      </c>
      <c r="N1054" s="1">
        <v>42318949</v>
      </c>
      <c r="O1054" s="1" t="s">
        <v>105</v>
      </c>
      <c r="P1054" s="12">
        <v>44932.434629629628</v>
      </c>
      <c r="R1054" s="1" t="s">
        <v>38</v>
      </c>
      <c r="T1054" s="1" t="s">
        <v>74</v>
      </c>
      <c r="U1054" s="12">
        <v>44932.75</v>
      </c>
      <c r="V1054" s="1" t="s">
        <v>41</v>
      </c>
      <c r="W1054" s="1" t="s">
        <v>49</v>
      </c>
      <c r="Z1054" s="14"/>
      <c r="AA1054" s="14"/>
    </row>
    <row r="1055" spans="1:27" hidden="1">
      <c r="A1055" s="1">
        <v>9296970</v>
      </c>
      <c r="B1055" s="1" t="s">
        <v>101</v>
      </c>
      <c r="C1055" t="s">
        <v>1810</v>
      </c>
      <c r="E1055" s="2">
        <v>4118000206001</v>
      </c>
      <c r="F1055" s="1" t="s">
        <v>29</v>
      </c>
      <c r="G1055" s="1" t="s">
        <v>53</v>
      </c>
      <c r="H1055" s="1" t="s">
        <v>71</v>
      </c>
      <c r="I1055" s="1" t="s">
        <v>72</v>
      </c>
      <c r="J1055" s="1" t="s">
        <v>46</v>
      </c>
      <c r="K1055" t="s">
        <v>34</v>
      </c>
      <c r="M1055" s="1" t="s">
        <v>35</v>
      </c>
      <c r="N1055" s="1">
        <v>42318949</v>
      </c>
      <c r="O1055" s="1" t="s">
        <v>105</v>
      </c>
      <c r="P1055" s="12">
        <v>44932.434421296297</v>
      </c>
      <c r="R1055" s="1" t="s">
        <v>38</v>
      </c>
      <c r="T1055" s="1" t="s">
        <v>74</v>
      </c>
      <c r="U1055" s="12">
        <v>44932.75</v>
      </c>
      <c r="V1055" s="1" t="s">
        <v>41</v>
      </c>
      <c r="W1055" s="1" t="s">
        <v>49</v>
      </c>
      <c r="Z1055" s="14"/>
      <c r="AA1055" s="14"/>
    </row>
    <row r="1056" spans="1:27" hidden="1">
      <c r="A1056" s="1">
        <v>9296940</v>
      </c>
      <c r="B1056" s="1" t="s">
        <v>101</v>
      </c>
      <c r="C1056" t="s">
        <v>1810</v>
      </c>
      <c r="E1056" s="2">
        <v>4076000206001</v>
      </c>
      <c r="F1056" s="1" t="s">
        <v>29</v>
      </c>
      <c r="G1056" s="1" t="s">
        <v>53</v>
      </c>
      <c r="H1056" s="1" t="s">
        <v>426</v>
      </c>
      <c r="I1056" s="1" t="s">
        <v>427</v>
      </c>
      <c r="J1056" s="1" t="s">
        <v>79</v>
      </c>
      <c r="K1056" t="s">
        <v>34</v>
      </c>
      <c r="M1056" s="1" t="s">
        <v>35</v>
      </c>
      <c r="N1056" s="1">
        <v>42318949</v>
      </c>
      <c r="O1056" s="1" t="s">
        <v>105</v>
      </c>
      <c r="P1056" s="12">
        <v>44932.434317129628</v>
      </c>
      <c r="R1056" s="1" t="s">
        <v>38</v>
      </c>
      <c r="T1056" s="1" t="s">
        <v>74</v>
      </c>
      <c r="U1056" s="12">
        <v>44932.75</v>
      </c>
      <c r="V1056" s="1" t="s">
        <v>41</v>
      </c>
      <c r="W1056" s="1" t="s">
        <v>49</v>
      </c>
      <c r="Z1056" s="14"/>
      <c r="AA1056" s="14"/>
    </row>
    <row r="1057" spans="1:27" hidden="1">
      <c r="A1057" s="1">
        <v>9296891</v>
      </c>
      <c r="B1057" s="1" t="s">
        <v>101</v>
      </c>
      <c r="C1057" t="s">
        <v>1810</v>
      </c>
      <c r="E1057" s="2">
        <v>4012000206001</v>
      </c>
      <c r="F1057" s="1" t="s">
        <v>29</v>
      </c>
      <c r="G1057" s="1" t="s">
        <v>53</v>
      </c>
      <c r="H1057" s="1" t="s">
        <v>349</v>
      </c>
      <c r="I1057" s="1" t="s">
        <v>350</v>
      </c>
      <c r="J1057" s="1" t="s">
        <v>261</v>
      </c>
      <c r="K1057" t="s">
        <v>34</v>
      </c>
      <c r="M1057" s="1" t="s">
        <v>35</v>
      </c>
      <c r="N1057" s="1">
        <v>42318949</v>
      </c>
      <c r="O1057" s="1" t="s">
        <v>105</v>
      </c>
      <c r="P1057" s="12">
        <v>44932.434236111112</v>
      </c>
      <c r="R1057" s="1" t="s">
        <v>38</v>
      </c>
      <c r="T1057" s="1" t="s">
        <v>74</v>
      </c>
      <c r="U1057" s="12">
        <v>44932.75</v>
      </c>
      <c r="V1057" s="1" t="s">
        <v>41</v>
      </c>
      <c r="W1057" s="1" t="s">
        <v>49</v>
      </c>
      <c r="Z1057" s="14"/>
      <c r="AA1057" s="14"/>
    </row>
    <row r="1058" spans="1:27" hidden="1">
      <c r="A1058" s="1">
        <v>9296815</v>
      </c>
      <c r="B1058" s="1" t="s">
        <v>101</v>
      </c>
      <c r="C1058" t="s">
        <v>1810</v>
      </c>
      <c r="E1058" s="2">
        <v>3924000206001</v>
      </c>
      <c r="F1058" s="1" t="s">
        <v>29</v>
      </c>
      <c r="G1058" s="1" t="s">
        <v>53</v>
      </c>
      <c r="H1058" s="1" t="s">
        <v>153</v>
      </c>
      <c r="I1058" s="1" t="s">
        <v>154</v>
      </c>
      <c r="J1058" s="1" t="s">
        <v>56</v>
      </c>
      <c r="K1058" t="s">
        <v>34</v>
      </c>
      <c r="M1058" s="1" t="s">
        <v>35</v>
      </c>
      <c r="N1058" s="1">
        <v>42318949</v>
      </c>
      <c r="O1058" s="1" t="s">
        <v>105</v>
      </c>
      <c r="P1058" s="12">
        <v>44932.434120370373</v>
      </c>
      <c r="R1058" s="1" t="s">
        <v>38</v>
      </c>
      <c r="T1058" s="1" t="s">
        <v>74</v>
      </c>
      <c r="U1058" s="12">
        <v>44932.75</v>
      </c>
      <c r="V1058" s="1" t="s">
        <v>41</v>
      </c>
      <c r="W1058" s="1" t="s">
        <v>49</v>
      </c>
      <c r="Z1058" s="14"/>
      <c r="AA1058" s="14"/>
    </row>
    <row r="1059" spans="1:27">
      <c r="A1059" s="1">
        <v>9296722</v>
      </c>
      <c r="B1059" s="1" t="s">
        <v>101</v>
      </c>
      <c r="C1059" t="s">
        <v>1810</v>
      </c>
      <c r="E1059" s="2">
        <v>3802000206001</v>
      </c>
      <c r="F1059" s="1" t="s">
        <v>29</v>
      </c>
      <c r="G1059" s="1" t="s">
        <v>53</v>
      </c>
      <c r="H1059" s="1" t="s">
        <v>319</v>
      </c>
      <c r="I1059" s="1" t="s">
        <v>320</v>
      </c>
      <c r="J1059" s="1" t="s">
        <v>148</v>
      </c>
      <c r="K1059" t="s">
        <v>34</v>
      </c>
      <c r="M1059" s="1" t="s">
        <v>35</v>
      </c>
      <c r="N1059" s="1">
        <v>42318949</v>
      </c>
      <c r="O1059" s="1" t="s">
        <v>105</v>
      </c>
      <c r="P1059" s="12">
        <v>44932.433958333335</v>
      </c>
      <c r="R1059" s="1" t="s">
        <v>38</v>
      </c>
      <c r="T1059" s="1" t="s">
        <v>74</v>
      </c>
      <c r="U1059" s="12">
        <v>44932.75</v>
      </c>
      <c r="V1059" s="1" t="s">
        <v>41</v>
      </c>
      <c r="W1059" s="1" t="s">
        <v>49</v>
      </c>
      <c r="Z1059" s="14"/>
      <c r="AA1059" s="14"/>
    </row>
    <row r="1060" spans="1:27" hidden="1">
      <c r="A1060" s="1">
        <v>9296577</v>
      </c>
      <c r="B1060" s="1" t="s">
        <v>101</v>
      </c>
      <c r="C1060" t="s">
        <v>1810</v>
      </c>
      <c r="E1060" s="2">
        <v>3613200206001</v>
      </c>
      <c r="F1060" s="1" t="s">
        <v>29</v>
      </c>
      <c r="G1060" s="1" t="s">
        <v>53</v>
      </c>
      <c r="H1060" s="1" t="s">
        <v>496</v>
      </c>
      <c r="I1060" s="1" t="s">
        <v>198</v>
      </c>
      <c r="J1060" s="1" t="s">
        <v>46</v>
      </c>
      <c r="K1060" t="s">
        <v>34</v>
      </c>
      <c r="M1060" s="1" t="s">
        <v>35</v>
      </c>
      <c r="N1060" s="1">
        <v>42318949</v>
      </c>
      <c r="O1060" s="1" t="s">
        <v>105</v>
      </c>
      <c r="P1060" s="12">
        <v>44932.433738425927</v>
      </c>
      <c r="R1060" s="1" t="s">
        <v>38</v>
      </c>
      <c r="T1060" s="1" t="s">
        <v>74</v>
      </c>
      <c r="U1060" s="12">
        <v>44932.75</v>
      </c>
      <c r="V1060" s="1" t="s">
        <v>41</v>
      </c>
      <c r="W1060" s="1" t="s">
        <v>49</v>
      </c>
      <c r="Z1060" s="14"/>
      <c r="AA1060" s="14"/>
    </row>
    <row r="1061" spans="1:27" hidden="1">
      <c r="A1061" s="1">
        <v>9296500</v>
      </c>
      <c r="B1061" s="1" t="s">
        <v>101</v>
      </c>
      <c r="C1061" t="s">
        <v>1810</v>
      </c>
      <c r="E1061" s="2">
        <v>3504000206001</v>
      </c>
      <c r="F1061" s="1" t="s">
        <v>29</v>
      </c>
      <c r="G1061" s="1" t="s">
        <v>53</v>
      </c>
      <c r="H1061" s="1" t="s">
        <v>585</v>
      </c>
      <c r="I1061" s="1" t="s">
        <v>586</v>
      </c>
      <c r="J1061" s="1" t="s">
        <v>46</v>
      </c>
      <c r="K1061" t="s">
        <v>34</v>
      </c>
      <c r="M1061" s="1" t="s">
        <v>35</v>
      </c>
      <c r="N1061" s="1">
        <v>42318949</v>
      </c>
      <c r="O1061" s="1" t="s">
        <v>105</v>
      </c>
      <c r="P1061" s="12">
        <v>44932.433541666665</v>
      </c>
      <c r="R1061" s="1" t="s">
        <v>38</v>
      </c>
      <c r="T1061" s="1" t="s">
        <v>74</v>
      </c>
      <c r="U1061" s="12">
        <v>44932.75</v>
      </c>
      <c r="V1061" s="1" t="s">
        <v>41</v>
      </c>
      <c r="W1061" s="1" t="s">
        <v>49</v>
      </c>
      <c r="Z1061" s="14"/>
      <c r="AA1061" s="14"/>
    </row>
    <row r="1062" spans="1:27" hidden="1">
      <c r="A1062" s="1">
        <v>9296499</v>
      </c>
      <c r="B1062" s="1" t="s">
        <v>101</v>
      </c>
      <c r="C1062" t="s">
        <v>1810</v>
      </c>
      <c r="E1062" s="2">
        <v>3503000206001</v>
      </c>
      <c r="F1062" s="1" t="s">
        <v>29</v>
      </c>
      <c r="G1062" s="1" t="s">
        <v>53</v>
      </c>
      <c r="H1062" s="1" t="s">
        <v>398</v>
      </c>
      <c r="I1062" s="1" t="s">
        <v>399</v>
      </c>
      <c r="J1062" s="1" t="s">
        <v>46</v>
      </c>
      <c r="K1062" t="s">
        <v>34</v>
      </c>
      <c r="M1062" s="1" t="s">
        <v>35</v>
      </c>
      <c r="N1062" s="1">
        <v>42318949</v>
      </c>
      <c r="O1062" s="1" t="s">
        <v>105</v>
      </c>
      <c r="P1062" s="12">
        <v>44932.433541666665</v>
      </c>
      <c r="R1062" s="1" t="s">
        <v>38</v>
      </c>
      <c r="T1062" s="1" t="s">
        <v>74</v>
      </c>
      <c r="U1062" s="12">
        <v>44932.75</v>
      </c>
      <c r="V1062" s="1" t="s">
        <v>41</v>
      </c>
      <c r="W1062" s="1" t="s">
        <v>49</v>
      </c>
      <c r="Z1062" s="14"/>
      <c r="AA1062" s="14"/>
    </row>
    <row r="1063" spans="1:27" hidden="1">
      <c r="A1063" s="1">
        <v>9296455</v>
      </c>
      <c r="B1063" s="1" t="s">
        <v>101</v>
      </c>
      <c r="C1063" t="s">
        <v>1810</v>
      </c>
      <c r="E1063" s="2">
        <v>3434000206001</v>
      </c>
      <c r="F1063" s="1" t="s">
        <v>29</v>
      </c>
      <c r="G1063" s="1" t="s">
        <v>53</v>
      </c>
      <c r="H1063" s="1" t="s">
        <v>1825</v>
      </c>
      <c r="I1063" s="1" t="s">
        <v>1826</v>
      </c>
      <c r="J1063" s="1" t="s">
        <v>46</v>
      </c>
      <c r="K1063" t="s">
        <v>34</v>
      </c>
      <c r="M1063" s="1" t="s">
        <v>35</v>
      </c>
      <c r="N1063" s="1">
        <v>42318949</v>
      </c>
      <c r="O1063" s="1" t="s">
        <v>105</v>
      </c>
      <c r="P1063" s="12">
        <v>44932.433472222219</v>
      </c>
      <c r="R1063" s="1" t="s">
        <v>38</v>
      </c>
      <c r="T1063" s="1" t="s">
        <v>74</v>
      </c>
      <c r="U1063" s="12">
        <v>44932.75</v>
      </c>
      <c r="V1063" s="1" t="s">
        <v>41</v>
      </c>
      <c r="W1063" s="1" t="s">
        <v>49</v>
      </c>
      <c r="Z1063" s="14"/>
      <c r="AA1063" s="14"/>
    </row>
    <row r="1064" spans="1:27" hidden="1">
      <c r="A1064" s="1">
        <v>9296322</v>
      </c>
      <c r="B1064" s="1" t="s">
        <v>101</v>
      </c>
      <c r="C1064" t="s">
        <v>1810</v>
      </c>
      <c r="E1064" s="2">
        <v>3258000206001</v>
      </c>
      <c r="F1064" s="1" t="s">
        <v>29</v>
      </c>
      <c r="G1064" s="1" t="s">
        <v>53</v>
      </c>
      <c r="H1064" s="1" t="s">
        <v>321</v>
      </c>
      <c r="I1064" s="1" t="s">
        <v>322</v>
      </c>
      <c r="J1064" s="1" t="s">
        <v>46</v>
      </c>
      <c r="K1064" t="s">
        <v>34</v>
      </c>
      <c r="M1064" s="1" t="s">
        <v>35</v>
      </c>
      <c r="N1064" s="1">
        <v>42318949</v>
      </c>
      <c r="O1064" s="1" t="s">
        <v>105</v>
      </c>
      <c r="P1064" s="12">
        <v>44932.433171296296</v>
      </c>
      <c r="R1064" s="1" t="s">
        <v>38</v>
      </c>
      <c r="T1064" s="1" t="s">
        <v>74</v>
      </c>
      <c r="U1064" s="12">
        <v>44932.75</v>
      </c>
      <c r="V1064" s="1" t="s">
        <v>41</v>
      </c>
      <c r="W1064" s="1" t="s">
        <v>49</v>
      </c>
      <c r="Z1064" s="14"/>
      <c r="AA1064" s="14"/>
    </row>
    <row r="1065" spans="1:27" hidden="1">
      <c r="A1065" s="1">
        <v>9296314</v>
      </c>
      <c r="B1065" s="1" t="s">
        <v>101</v>
      </c>
      <c r="C1065" t="s">
        <v>1810</v>
      </c>
      <c r="E1065" s="2">
        <v>3250000206001</v>
      </c>
      <c r="F1065" s="1" t="s">
        <v>29</v>
      </c>
      <c r="G1065" s="1" t="s">
        <v>53</v>
      </c>
      <c r="H1065" s="1" t="s">
        <v>371</v>
      </c>
      <c r="I1065" s="1" t="s">
        <v>372</v>
      </c>
      <c r="J1065" s="1" t="s">
        <v>46</v>
      </c>
      <c r="K1065" t="s">
        <v>34</v>
      </c>
      <c r="M1065" s="1" t="s">
        <v>35</v>
      </c>
      <c r="N1065" s="1">
        <v>42318949</v>
      </c>
      <c r="O1065" s="1" t="s">
        <v>105</v>
      </c>
      <c r="P1065" s="12">
        <v>44932.433159722219</v>
      </c>
      <c r="R1065" s="1" t="s">
        <v>38</v>
      </c>
      <c r="T1065" s="1" t="s">
        <v>74</v>
      </c>
      <c r="U1065" s="12">
        <v>44932.75</v>
      </c>
      <c r="V1065" s="1" t="s">
        <v>41</v>
      </c>
      <c r="W1065" s="1" t="s">
        <v>49</v>
      </c>
      <c r="Z1065" s="14"/>
      <c r="AA1065" s="14"/>
    </row>
    <row r="1066" spans="1:27" hidden="1">
      <c r="A1066" s="1">
        <v>9296309</v>
      </c>
      <c r="B1066" s="1" t="s">
        <v>101</v>
      </c>
      <c r="C1066" t="s">
        <v>1810</v>
      </c>
      <c r="E1066" s="2">
        <v>3243000206001</v>
      </c>
      <c r="F1066" s="1" t="s">
        <v>29</v>
      </c>
      <c r="G1066" s="1" t="s">
        <v>53</v>
      </c>
      <c r="H1066" s="1" t="s">
        <v>282</v>
      </c>
      <c r="I1066" s="1" t="s">
        <v>283</v>
      </c>
      <c r="J1066" s="1" t="s">
        <v>46</v>
      </c>
      <c r="K1066" t="s">
        <v>34</v>
      </c>
      <c r="M1066" s="1" t="s">
        <v>35</v>
      </c>
      <c r="N1066" s="1">
        <v>42318949</v>
      </c>
      <c r="O1066" s="1" t="s">
        <v>105</v>
      </c>
      <c r="P1066" s="12">
        <v>44932.433159722219</v>
      </c>
      <c r="R1066" s="1" t="s">
        <v>38</v>
      </c>
      <c r="T1066" s="1" t="s">
        <v>74</v>
      </c>
      <c r="U1066" s="12">
        <v>44932.75</v>
      </c>
      <c r="V1066" s="1" t="s">
        <v>41</v>
      </c>
      <c r="W1066" s="1" t="s">
        <v>49</v>
      </c>
      <c r="Z1066" s="14"/>
      <c r="AA1066" s="14"/>
    </row>
    <row r="1067" spans="1:27" hidden="1">
      <c r="A1067" s="1">
        <v>9296308</v>
      </c>
      <c r="B1067" s="1" t="s">
        <v>101</v>
      </c>
      <c r="C1067" t="s">
        <v>1810</v>
      </c>
      <c r="E1067" s="2">
        <v>3242000206001</v>
      </c>
      <c r="F1067" s="1" t="s">
        <v>29</v>
      </c>
      <c r="G1067" s="1" t="s">
        <v>53</v>
      </c>
      <c r="H1067" s="1" t="s">
        <v>461</v>
      </c>
      <c r="I1067" s="1" t="s">
        <v>462</v>
      </c>
      <c r="J1067" s="1" t="s">
        <v>46</v>
      </c>
      <c r="K1067" t="s">
        <v>34</v>
      </c>
      <c r="M1067" s="1" t="s">
        <v>35</v>
      </c>
      <c r="N1067" s="1">
        <v>42318949</v>
      </c>
      <c r="O1067" s="1" t="s">
        <v>105</v>
      </c>
      <c r="P1067" s="12">
        <v>44932.433148148149</v>
      </c>
      <c r="R1067" s="1" t="s">
        <v>38</v>
      </c>
      <c r="T1067" s="1" t="s">
        <v>74</v>
      </c>
      <c r="U1067" s="12">
        <v>44932.75</v>
      </c>
      <c r="V1067" s="1" t="s">
        <v>41</v>
      </c>
      <c r="W1067" s="1" t="s">
        <v>49</v>
      </c>
      <c r="Z1067" s="14"/>
      <c r="AA1067" s="14"/>
    </row>
    <row r="1068" spans="1:27" hidden="1">
      <c r="A1068" s="1">
        <v>9296305</v>
      </c>
      <c r="B1068" s="1" t="s">
        <v>101</v>
      </c>
      <c r="C1068" t="s">
        <v>1810</v>
      </c>
      <c r="E1068" s="2">
        <v>3237000206001</v>
      </c>
      <c r="F1068" s="1" t="s">
        <v>29</v>
      </c>
      <c r="G1068" s="1" t="s">
        <v>53</v>
      </c>
      <c r="H1068" s="1" t="s">
        <v>287</v>
      </c>
      <c r="I1068" s="1" t="s">
        <v>288</v>
      </c>
      <c r="J1068" s="1" t="s">
        <v>46</v>
      </c>
      <c r="K1068" t="s">
        <v>34</v>
      </c>
      <c r="M1068" s="1" t="s">
        <v>35</v>
      </c>
      <c r="N1068" s="1">
        <v>42318949</v>
      </c>
      <c r="O1068" s="1" t="s">
        <v>105</v>
      </c>
      <c r="P1068" s="12">
        <v>44932.433148148149</v>
      </c>
      <c r="R1068" s="1" t="s">
        <v>38</v>
      </c>
      <c r="T1068" s="1" t="s">
        <v>74</v>
      </c>
      <c r="U1068" s="12">
        <v>44932.75</v>
      </c>
      <c r="V1068" s="1" t="s">
        <v>41</v>
      </c>
      <c r="W1068" s="1" t="s">
        <v>49</v>
      </c>
      <c r="Z1068" s="14"/>
      <c r="AA1068" s="14"/>
    </row>
    <row r="1069" spans="1:27" hidden="1">
      <c r="A1069" s="1">
        <v>9296304</v>
      </c>
      <c r="B1069" s="1" t="s">
        <v>101</v>
      </c>
      <c r="C1069" t="s">
        <v>1810</v>
      </c>
      <c r="E1069" s="2">
        <v>3234000206001</v>
      </c>
      <c r="F1069" s="1" t="s">
        <v>29</v>
      </c>
      <c r="G1069" s="1" t="s">
        <v>53</v>
      </c>
      <c r="H1069" s="1" t="s">
        <v>1830</v>
      </c>
      <c r="I1069" s="1" t="s">
        <v>1831</v>
      </c>
      <c r="J1069" s="1" t="s">
        <v>46</v>
      </c>
      <c r="K1069" t="s">
        <v>34</v>
      </c>
      <c r="M1069" s="1" t="s">
        <v>35</v>
      </c>
      <c r="N1069" s="1">
        <v>42318949</v>
      </c>
      <c r="O1069" s="1" t="s">
        <v>105</v>
      </c>
      <c r="P1069" s="12">
        <v>44932.433148148149</v>
      </c>
      <c r="R1069" s="1" t="s">
        <v>38</v>
      </c>
      <c r="T1069" s="1" t="s">
        <v>74</v>
      </c>
      <c r="U1069" s="12">
        <v>44932.75</v>
      </c>
      <c r="V1069" s="1" t="s">
        <v>41</v>
      </c>
      <c r="W1069" s="1" t="s">
        <v>49</v>
      </c>
      <c r="Z1069" s="14"/>
      <c r="AA1069" s="14"/>
    </row>
    <row r="1070" spans="1:27" hidden="1">
      <c r="A1070" s="1">
        <v>9296208</v>
      </c>
      <c r="B1070" s="1" t="s">
        <v>101</v>
      </c>
      <c r="C1070" t="s">
        <v>1810</v>
      </c>
      <c r="E1070" s="2">
        <v>3108010206001</v>
      </c>
      <c r="F1070" s="1" t="s">
        <v>29</v>
      </c>
      <c r="G1070" s="1" t="s">
        <v>53</v>
      </c>
      <c r="H1070" s="1" t="s">
        <v>503</v>
      </c>
      <c r="I1070" s="1" t="s">
        <v>504</v>
      </c>
      <c r="J1070" s="1" t="s">
        <v>46</v>
      </c>
      <c r="K1070" t="s">
        <v>34</v>
      </c>
      <c r="M1070" s="1" t="s">
        <v>35</v>
      </c>
      <c r="N1070" s="1">
        <v>42318949</v>
      </c>
      <c r="O1070" s="1" t="s">
        <v>105</v>
      </c>
      <c r="P1070" s="12">
        <v>44932.432997685188</v>
      </c>
      <c r="R1070" s="1" t="s">
        <v>38</v>
      </c>
      <c r="T1070" s="1" t="s">
        <v>74</v>
      </c>
      <c r="U1070" s="12">
        <v>44932.75</v>
      </c>
      <c r="V1070" s="1" t="s">
        <v>41</v>
      </c>
      <c r="W1070" s="1" t="s">
        <v>49</v>
      </c>
      <c r="Z1070" s="14"/>
      <c r="AA1070" s="14"/>
    </row>
    <row r="1071" spans="1:27" hidden="1">
      <c r="A1071" s="1">
        <v>9296118</v>
      </c>
      <c r="B1071" s="1" t="s">
        <v>101</v>
      </c>
      <c r="C1071" t="s">
        <v>1810</v>
      </c>
      <c r="E1071" s="2">
        <v>2988000206001</v>
      </c>
      <c r="F1071" s="1" t="s">
        <v>29</v>
      </c>
      <c r="G1071" s="1" t="s">
        <v>53</v>
      </c>
      <c r="H1071" s="1" t="s">
        <v>536</v>
      </c>
      <c r="I1071" s="1" t="s">
        <v>537</v>
      </c>
      <c r="J1071" s="1" t="s">
        <v>46</v>
      </c>
      <c r="K1071" t="s">
        <v>34</v>
      </c>
      <c r="M1071" s="1" t="s">
        <v>35</v>
      </c>
      <c r="N1071" s="1">
        <v>42318949</v>
      </c>
      <c r="O1071" s="1" t="s">
        <v>105</v>
      </c>
      <c r="P1071" s="12">
        <v>44932.432847222219</v>
      </c>
      <c r="R1071" s="1" t="s">
        <v>38</v>
      </c>
      <c r="T1071" s="1" t="s">
        <v>74</v>
      </c>
      <c r="U1071" s="12">
        <v>44932.75</v>
      </c>
      <c r="V1071" s="1" t="s">
        <v>41</v>
      </c>
      <c r="W1071" s="1" t="s">
        <v>49</v>
      </c>
      <c r="Z1071" s="14"/>
      <c r="AA1071" s="14"/>
    </row>
    <row r="1072" spans="1:27" hidden="1">
      <c r="A1072" s="1">
        <v>9296035</v>
      </c>
      <c r="B1072" s="1" t="s">
        <v>101</v>
      </c>
      <c r="C1072" t="s">
        <v>1810</v>
      </c>
      <c r="E1072" s="2">
        <v>2889000206001</v>
      </c>
      <c r="F1072" s="1" t="s">
        <v>29</v>
      </c>
      <c r="G1072" s="1" t="s">
        <v>53</v>
      </c>
      <c r="H1072" s="1" t="s">
        <v>418</v>
      </c>
      <c r="I1072" s="1" t="s">
        <v>419</v>
      </c>
      <c r="J1072" s="1" t="s">
        <v>46</v>
      </c>
      <c r="K1072" t="s">
        <v>34</v>
      </c>
      <c r="M1072" s="1" t="s">
        <v>35</v>
      </c>
      <c r="N1072" s="1">
        <v>42318949</v>
      </c>
      <c r="O1072" s="1" t="s">
        <v>105</v>
      </c>
      <c r="P1072" s="12">
        <v>44932.432708333334</v>
      </c>
      <c r="R1072" s="1" t="s">
        <v>38</v>
      </c>
      <c r="T1072" s="1" t="s">
        <v>74</v>
      </c>
      <c r="U1072" s="12">
        <v>44932.75</v>
      </c>
      <c r="V1072" s="1" t="s">
        <v>41</v>
      </c>
      <c r="W1072" s="1" t="s">
        <v>49</v>
      </c>
      <c r="Z1072" s="14"/>
      <c r="AA1072" s="14"/>
    </row>
    <row r="1073" spans="1:27" hidden="1">
      <c r="A1073" s="1">
        <v>9296006</v>
      </c>
      <c r="B1073" s="1" t="s">
        <v>101</v>
      </c>
      <c r="C1073" t="s">
        <v>1810</v>
      </c>
      <c r="E1073" s="2">
        <v>2855000206001</v>
      </c>
      <c r="F1073" s="1" t="s">
        <v>29</v>
      </c>
      <c r="G1073" s="1" t="s">
        <v>53</v>
      </c>
      <c r="H1073" s="1" t="s">
        <v>249</v>
      </c>
      <c r="I1073" s="1" t="s">
        <v>250</v>
      </c>
      <c r="J1073" s="1" t="s">
        <v>56</v>
      </c>
      <c r="K1073" t="s">
        <v>34</v>
      </c>
      <c r="M1073" s="1" t="s">
        <v>35</v>
      </c>
      <c r="N1073" s="1">
        <v>42318949</v>
      </c>
      <c r="O1073" s="1" t="s">
        <v>105</v>
      </c>
      <c r="P1073" s="12">
        <v>44932.432662037034</v>
      </c>
      <c r="R1073" s="1" t="s">
        <v>38</v>
      </c>
      <c r="T1073" s="1" t="s">
        <v>74</v>
      </c>
      <c r="U1073" s="12">
        <v>44932.75</v>
      </c>
      <c r="V1073" s="1" t="s">
        <v>41</v>
      </c>
      <c r="W1073" s="1" t="s">
        <v>49</v>
      </c>
      <c r="Z1073" s="14"/>
      <c r="AA1073" s="14"/>
    </row>
    <row r="1074" spans="1:27" hidden="1">
      <c r="A1074" s="1">
        <v>9295986</v>
      </c>
      <c r="B1074" s="1" t="s">
        <v>101</v>
      </c>
      <c r="C1074" t="s">
        <v>1810</v>
      </c>
      <c r="E1074" s="2">
        <v>2830000206001</v>
      </c>
      <c r="F1074" s="1" t="s">
        <v>29</v>
      </c>
      <c r="G1074" s="1" t="s">
        <v>53</v>
      </c>
      <c r="H1074" s="1" t="s">
        <v>448</v>
      </c>
      <c r="I1074" s="1" t="s">
        <v>449</v>
      </c>
      <c r="J1074" s="1" t="s">
        <v>33</v>
      </c>
      <c r="K1074" t="s">
        <v>34</v>
      </c>
      <c r="M1074" s="1" t="s">
        <v>35</v>
      </c>
      <c r="N1074" s="1">
        <v>42318949</v>
      </c>
      <c r="O1074" s="1" t="s">
        <v>105</v>
      </c>
      <c r="P1074" s="12">
        <v>44932.432638888888</v>
      </c>
      <c r="R1074" s="1" t="s">
        <v>38</v>
      </c>
      <c r="T1074" s="1" t="s">
        <v>74</v>
      </c>
      <c r="U1074" s="12">
        <v>44932.75</v>
      </c>
      <c r="V1074" s="1" t="s">
        <v>41</v>
      </c>
      <c r="W1074" s="1" t="s">
        <v>42</v>
      </c>
      <c r="Z1074" s="14"/>
      <c r="AA1074" s="14"/>
    </row>
    <row r="1075" spans="1:27" hidden="1">
      <c r="A1075" s="1">
        <v>9295960</v>
      </c>
      <c r="B1075" s="1" t="s">
        <v>101</v>
      </c>
      <c r="C1075" t="s">
        <v>1810</v>
      </c>
      <c r="E1075" s="2">
        <v>2802080206001</v>
      </c>
      <c r="F1075" s="1" t="s">
        <v>29</v>
      </c>
      <c r="G1075" s="1" t="s">
        <v>53</v>
      </c>
      <c r="H1075" s="1" t="s">
        <v>1834</v>
      </c>
      <c r="I1075" s="1" t="s">
        <v>500</v>
      </c>
      <c r="J1075" s="1" t="s">
        <v>46</v>
      </c>
      <c r="K1075" t="s">
        <v>34</v>
      </c>
      <c r="M1075" s="1" t="s">
        <v>35</v>
      </c>
      <c r="N1075" s="1">
        <v>42318949</v>
      </c>
      <c r="O1075" s="1" t="s">
        <v>105</v>
      </c>
      <c r="P1075" s="12">
        <v>44932.432604166665</v>
      </c>
      <c r="R1075" s="1" t="s">
        <v>38</v>
      </c>
      <c r="T1075" s="1" t="s">
        <v>74</v>
      </c>
      <c r="U1075" s="12">
        <v>44932.75</v>
      </c>
      <c r="V1075" s="1" t="s">
        <v>41</v>
      </c>
      <c r="W1075" s="1" t="s">
        <v>49</v>
      </c>
      <c r="Z1075" s="14"/>
      <c r="AA1075" s="14"/>
    </row>
    <row r="1076" spans="1:27" hidden="1">
      <c r="A1076" s="1">
        <v>9295959</v>
      </c>
      <c r="B1076" s="1" t="s">
        <v>101</v>
      </c>
      <c r="C1076" t="s">
        <v>1810</v>
      </c>
      <c r="E1076" s="2">
        <v>2802000206001</v>
      </c>
      <c r="F1076" s="1" t="s">
        <v>29</v>
      </c>
      <c r="G1076" s="1" t="s">
        <v>53</v>
      </c>
      <c r="H1076" s="1" t="s">
        <v>388</v>
      </c>
      <c r="I1076" s="1" t="s">
        <v>389</v>
      </c>
      <c r="J1076" s="1" t="s">
        <v>46</v>
      </c>
      <c r="K1076" t="s">
        <v>34</v>
      </c>
      <c r="M1076" s="1" t="s">
        <v>35</v>
      </c>
      <c r="N1076" s="1">
        <v>42318949</v>
      </c>
      <c r="O1076" s="1" t="s">
        <v>105</v>
      </c>
      <c r="P1076" s="12">
        <v>44932.432592592595</v>
      </c>
      <c r="R1076" s="1" t="s">
        <v>38</v>
      </c>
      <c r="T1076" s="1" t="s">
        <v>74</v>
      </c>
      <c r="U1076" s="12">
        <v>44932.75</v>
      </c>
      <c r="V1076" s="1" t="s">
        <v>41</v>
      </c>
      <c r="W1076" s="1" t="s">
        <v>49</v>
      </c>
      <c r="Z1076" s="14"/>
      <c r="AA1076" s="14"/>
    </row>
    <row r="1077" spans="1:27">
      <c r="A1077" s="1">
        <v>9295897</v>
      </c>
      <c r="B1077" s="1" t="s">
        <v>101</v>
      </c>
      <c r="C1077" t="s">
        <v>1810</v>
      </c>
      <c r="E1077" s="2">
        <v>2737000206001</v>
      </c>
      <c r="F1077" s="1" t="s">
        <v>29</v>
      </c>
      <c r="G1077" s="1" t="s">
        <v>53</v>
      </c>
      <c r="H1077" s="1" t="s">
        <v>311</v>
      </c>
      <c r="I1077" s="1" t="s">
        <v>312</v>
      </c>
      <c r="J1077" s="1" t="s">
        <v>90</v>
      </c>
      <c r="K1077" t="s">
        <v>34</v>
      </c>
      <c r="M1077" s="1" t="s">
        <v>35</v>
      </c>
      <c r="N1077" s="1">
        <v>42318949</v>
      </c>
      <c r="O1077" s="1" t="s">
        <v>105</v>
      </c>
      <c r="P1077" s="12">
        <v>44932.432511574072</v>
      </c>
      <c r="R1077" s="1" t="s">
        <v>38</v>
      </c>
      <c r="T1077" s="1" t="s">
        <v>74</v>
      </c>
      <c r="U1077" s="12">
        <v>44932.75</v>
      </c>
      <c r="V1077" s="1" t="s">
        <v>41</v>
      </c>
      <c r="W1077" s="1" t="s">
        <v>49</v>
      </c>
      <c r="Z1077" s="14"/>
      <c r="AA1077" s="14"/>
    </row>
    <row r="1078" spans="1:27" hidden="1">
      <c r="A1078" s="1">
        <v>9295858</v>
      </c>
      <c r="B1078" s="1" t="s">
        <v>101</v>
      </c>
      <c r="C1078" t="s">
        <v>1810</v>
      </c>
      <c r="E1078" s="2">
        <v>2693000206001</v>
      </c>
      <c r="F1078" s="1" t="s">
        <v>29</v>
      </c>
      <c r="G1078" s="1" t="s">
        <v>53</v>
      </c>
      <c r="H1078" s="1" t="s">
        <v>253</v>
      </c>
      <c r="I1078" s="1" t="s">
        <v>254</v>
      </c>
      <c r="J1078" s="1" t="s">
        <v>56</v>
      </c>
      <c r="K1078" t="s">
        <v>34</v>
      </c>
      <c r="M1078" s="1" t="s">
        <v>35</v>
      </c>
      <c r="N1078" s="1">
        <v>42318949</v>
      </c>
      <c r="O1078" s="1" t="s">
        <v>105</v>
      </c>
      <c r="P1078" s="12">
        <v>44932.432453703703</v>
      </c>
      <c r="R1078" s="1" t="s">
        <v>38</v>
      </c>
      <c r="T1078" s="1" t="s">
        <v>74</v>
      </c>
      <c r="U1078" s="12">
        <v>44932.75</v>
      </c>
      <c r="V1078" s="1" t="s">
        <v>41</v>
      </c>
      <c r="W1078" s="1" t="s">
        <v>49</v>
      </c>
      <c r="Z1078" s="14"/>
      <c r="AA1078" s="14"/>
    </row>
    <row r="1079" spans="1:27">
      <c r="A1079" s="1">
        <v>9295849</v>
      </c>
      <c r="B1079" s="1" t="s">
        <v>101</v>
      </c>
      <c r="C1079" t="s">
        <v>1810</v>
      </c>
      <c r="E1079" s="2">
        <v>2683000206001</v>
      </c>
      <c r="F1079" s="1" t="s">
        <v>29</v>
      </c>
      <c r="G1079" s="1" t="s">
        <v>53</v>
      </c>
      <c r="H1079" s="1" t="s">
        <v>276</v>
      </c>
      <c r="I1079" s="1" t="s">
        <v>277</v>
      </c>
      <c r="J1079" s="1" t="s">
        <v>90</v>
      </c>
      <c r="K1079" t="s">
        <v>34</v>
      </c>
      <c r="M1079" s="1" t="s">
        <v>35</v>
      </c>
      <c r="N1079" s="1">
        <v>42318949</v>
      </c>
      <c r="O1079" s="1" t="s">
        <v>105</v>
      </c>
      <c r="P1079" s="12">
        <v>44932.432442129626</v>
      </c>
      <c r="R1079" s="1" t="s">
        <v>38</v>
      </c>
      <c r="T1079" s="1" t="s">
        <v>74</v>
      </c>
      <c r="U1079" s="12">
        <v>44932.75</v>
      </c>
      <c r="V1079" s="1" t="s">
        <v>41</v>
      </c>
      <c r="W1079" s="1" t="s">
        <v>49</v>
      </c>
      <c r="Z1079" s="14"/>
      <c r="AA1079" s="14"/>
    </row>
    <row r="1080" spans="1:27" hidden="1">
      <c r="A1080" s="1">
        <v>9295845</v>
      </c>
      <c r="B1080" s="1" t="s">
        <v>101</v>
      </c>
      <c r="C1080" t="s">
        <v>1810</v>
      </c>
      <c r="E1080" s="2">
        <v>2678000206001</v>
      </c>
      <c r="F1080" s="1" t="s">
        <v>29</v>
      </c>
      <c r="G1080" s="1" t="s">
        <v>53</v>
      </c>
      <c r="H1080" s="1" t="s">
        <v>992</v>
      </c>
      <c r="I1080" s="1" t="s">
        <v>993</v>
      </c>
      <c r="J1080" s="1" t="s">
        <v>33</v>
      </c>
      <c r="K1080" t="s">
        <v>34</v>
      </c>
      <c r="M1080" s="1" t="s">
        <v>35</v>
      </c>
      <c r="N1080" s="1">
        <v>42318949</v>
      </c>
      <c r="O1080" s="1" t="s">
        <v>105</v>
      </c>
      <c r="P1080" s="12">
        <v>44932.432442129626</v>
      </c>
      <c r="R1080" s="1" t="s">
        <v>38</v>
      </c>
      <c r="T1080" s="1" t="s">
        <v>74</v>
      </c>
      <c r="U1080" s="12">
        <v>44932.75</v>
      </c>
      <c r="V1080" s="1" t="s">
        <v>41</v>
      </c>
      <c r="W1080" s="1" t="s">
        <v>42</v>
      </c>
      <c r="Z1080" s="14"/>
      <c r="AA1080" s="14"/>
    </row>
    <row r="1081" spans="1:27" hidden="1">
      <c r="A1081" s="1">
        <v>9295840</v>
      </c>
      <c r="B1081" s="1" t="s">
        <v>101</v>
      </c>
      <c r="C1081" t="s">
        <v>1810</v>
      </c>
      <c r="E1081" s="2">
        <v>2669000206001</v>
      </c>
      <c r="F1081" s="1" t="s">
        <v>29</v>
      </c>
      <c r="G1081" s="1" t="s">
        <v>53</v>
      </c>
      <c r="H1081" s="1" t="s">
        <v>561</v>
      </c>
      <c r="I1081" s="1" t="s">
        <v>562</v>
      </c>
      <c r="J1081" s="1" t="s">
        <v>110</v>
      </c>
      <c r="K1081" t="s">
        <v>34</v>
      </c>
      <c r="M1081" s="1" t="s">
        <v>35</v>
      </c>
      <c r="N1081" s="1">
        <v>42318949</v>
      </c>
      <c r="O1081" s="1" t="s">
        <v>36</v>
      </c>
      <c r="P1081" s="12">
        <v>44932.432430555556</v>
      </c>
      <c r="R1081" s="1" t="s">
        <v>38</v>
      </c>
      <c r="T1081" s="1" t="s">
        <v>74</v>
      </c>
      <c r="U1081" s="12">
        <v>44932.75</v>
      </c>
      <c r="V1081" s="1" t="s">
        <v>41</v>
      </c>
      <c r="W1081" s="1" t="s">
        <v>49</v>
      </c>
      <c r="Z1081" s="14"/>
      <c r="AA1081" s="14"/>
    </row>
    <row r="1082" spans="1:27" hidden="1">
      <c r="A1082" s="1">
        <v>9295800</v>
      </c>
      <c r="B1082" s="1" t="s">
        <v>101</v>
      </c>
      <c r="C1082" t="s">
        <v>1810</v>
      </c>
      <c r="E1082" s="2">
        <v>2625000206001</v>
      </c>
      <c r="F1082" s="1" t="s">
        <v>29</v>
      </c>
      <c r="G1082" s="1" t="s">
        <v>53</v>
      </c>
      <c r="H1082" s="1" t="s">
        <v>317</v>
      </c>
      <c r="I1082" s="1" t="s">
        <v>318</v>
      </c>
      <c r="J1082" s="1" t="s">
        <v>164</v>
      </c>
      <c r="K1082" t="s">
        <v>34</v>
      </c>
      <c r="M1082" s="1" t="s">
        <v>35</v>
      </c>
      <c r="N1082" s="1">
        <v>42318949</v>
      </c>
      <c r="O1082" s="1" t="s">
        <v>105</v>
      </c>
      <c r="P1082" s="12">
        <v>44932.432384259257</v>
      </c>
      <c r="R1082" s="1" t="s">
        <v>38</v>
      </c>
      <c r="T1082" s="1" t="s">
        <v>74</v>
      </c>
      <c r="U1082" s="12">
        <v>44932.75</v>
      </c>
      <c r="V1082" s="1" t="s">
        <v>41</v>
      </c>
      <c r="W1082" s="1" t="s">
        <v>49</v>
      </c>
      <c r="Z1082" s="14"/>
      <c r="AA1082" s="14"/>
    </row>
    <row r="1083" spans="1:27">
      <c r="A1083" s="1">
        <v>9295771</v>
      </c>
      <c r="B1083" s="1" t="s">
        <v>101</v>
      </c>
      <c r="C1083" t="s">
        <v>1810</v>
      </c>
      <c r="E1083" s="2">
        <v>2590000206001</v>
      </c>
      <c r="F1083" s="1" t="s">
        <v>29</v>
      </c>
      <c r="G1083" s="1" t="s">
        <v>53</v>
      </c>
      <c r="H1083" s="1" t="s">
        <v>394</v>
      </c>
      <c r="I1083" s="1" t="s">
        <v>395</v>
      </c>
      <c r="J1083" s="1" t="s">
        <v>148</v>
      </c>
      <c r="K1083" t="s">
        <v>34</v>
      </c>
      <c r="M1083" s="1" t="s">
        <v>35</v>
      </c>
      <c r="N1083" s="1">
        <v>42318949</v>
      </c>
      <c r="O1083" s="1" t="s">
        <v>105</v>
      </c>
      <c r="P1083" s="12">
        <v>44932.432337962964</v>
      </c>
      <c r="R1083" s="1" t="s">
        <v>38</v>
      </c>
      <c r="T1083" s="1" t="s">
        <v>74</v>
      </c>
      <c r="U1083" s="12">
        <v>44932.75</v>
      </c>
      <c r="V1083" s="1" t="s">
        <v>41</v>
      </c>
      <c r="W1083" s="1" t="s">
        <v>49</v>
      </c>
      <c r="Z1083" s="14"/>
      <c r="AA1083" s="14"/>
    </row>
    <row r="1084" spans="1:27" hidden="1">
      <c r="A1084" s="1">
        <v>9295742</v>
      </c>
      <c r="B1084" s="1" t="s">
        <v>101</v>
      </c>
      <c r="C1084" t="s">
        <v>1810</v>
      </c>
      <c r="E1084" s="2">
        <v>2564000206001</v>
      </c>
      <c r="F1084" s="1" t="s">
        <v>29</v>
      </c>
      <c r="G1084" s="1" t="s">
        <v>53</v>
      </c>
      <c r="H1084" s="1" t="s">
        <v>255</v>
      </c>
      <c r="I1084" s="1" t="s">
        <v>256</v>
      </c>
      <c r="J1084" s="1" t="s">
        <v>164</v>
      </c>
      <c r="K1084" t="s">
        <v>34</v>
      </c>
      <c r="M1084" s="1" t="s">
        <v>35</v>
      </c>
      <c r="N1084" s="1">
        <v>42318949</v>
      </c>
      <c r="O1084" s="1" t="s">
        <v>105</v>
      </c>
      <c r="P1084" s="12">
        <v>44932.432303240741</v>
      </c>
      <c r="R1084" s="1" t="s">
        <v>38</v>
      </c>
      <c r="T1084" s="1" t="s">
        <v>74</v>
      </c>
      <c r="U1084" s="12">
        <v>44932.75</v>
      </c>
      <c r="V1084" s="1" t="s">
        <v>41</v>
      </c>
      <c r="W1084" s="1" t="s">
        <v>49</v>
      </c>
      <c r="Z1084" s="14"/>
      <c r="AA1084" s="14"/>
    </row>
    <row r="1085" spans="1:27" hidden="1">
      <c r="A1085" s="1">
        <v>9295739</v>
      </c>
      <c r="B1085" s="1" t="s">
        <v>101</v>
      </c>
      <c r="C1085" t="s">
        <v>1810</v>
      </c>
      <c r="E1085" s="2">
        <v>2559000206001</v>
      </c>
      <c r="F1085" s="1" t="s">
        <v>29</v>
      </c>
      <c r="G1085" s="1" t="s">
        <v>53</v>
      </c>
      <c r="H1085" s="1" t="s">
        <v>259</v>
      </c>
      <c r="I1085" s="1" t="s">
        <v>260</v>
      </c>
      <c r="J1085" s="1" t="s">
        <v>261</v>
      </c>
      <c r="K1085" t="s">
        <v>34</v>
      </c>
      <c r="M1085" s="1" t="s">
        <v>35</v>
      </c>
      <c r="N1085" s="1">
        <v>42318949</v>
      </c>
      <c r="O1085" s="1" t="s">
        <v>105</v>
      </c>
      <c r="P1085" s="12">
        <v>44932.432291666664</v>
      </c>
      <c r="R1085" s="1" t="s">
        <v>38</v>
      </c>
      <c r="T1085" s="1" t="s">
        <v>74</v>
      </c>
      <c r="U1085" s="12">
        <v>44932.75</v>
      </c>
      <c r="V1085" s="1" t="s">
        <v>41</v>
      </c>
      <c r="W1085" s="1" t="s">
        <v>49</v>
      </c>
      <c r="Z1085" s="14"/>
      <c r="AA1085" s="14"/>
    </row>
    <row r="1086" spans="1:27" hidden="1">
      <c r="A1086" s="1">
        <v>9295714</v>
      </c>
      <c r="B1086" s="1" t="s">
        <v>101</v>
      </c>
      <c r="C1086" t="s">
        <v>1810</v>
      </c>
      <c r="E1086" s="2">
        <v>2529000206001</v>
      </c>
      <c r="F1086" s="1" t="s">
        <v>29</v>
      </c>
      <c r="G1086" s="1" t="s">
        <v>53</v>
      </c>
      <c r="H1086" s="1" t="s">
        <v>355</v>
      </c>
      <c r="I1086" s="1" t="s">
        <v>356</v>
      </c>
      <c r="J1086" s="1" t="s">
        <v>56</v>
      </c>
      <c r="K1086" t="s">
        <v>34</v>
      </c>
      <c r="M1086" s="1" t="s">
        <v>35</v>
      </c>
      <c r="N1086" s="1">
        <v>42318949</v>
      </c>
      <c r="O1086" s="1" t="s">
        <v>105</v>
      </c>
      <c r="P1086" s="12">
        <v>44932.432256944441</v>
      </c>
      <c r="R1086" s="1" t="s">
        <v>38</v>
      </c>
      <c r="T1086" s="1" t="s">
        <v>74</v>
      </c>
      <c r="U1086" s="12">
        <v>44932.75</v>
      </c>
      <c r="V1086" s="1" t="s">
        <v>41</v>
      </c>
      <c r="W1086" s="1" t="s">
        <v>49</v>
      </c>
      <c r="Z1086" s="14"/>
      <c r="AA1086" s="14"/>
    </row>
    <row r="1087" spans="1:27" hidden="1">
      <c r="A1087" s="1">
        <v>9295672</v>
      </c>
      <c r="B1087" s="1" t="s">
        <v>101</v>
      </c>
      <c r="C1087" t="s">
        <v>1810</v>
      </c>
      <c r="E1087" s="2">
        <v>2473000206001</v>
      </c>
      <c r="F1087" s="1" t="s">
        <v>29</v>
      </c>
      <c r="G1087" s="1" t="s">
        <v>53</v>
      </c>
      <c r="H1087" s="1" t="s">
        <v>1459</v>
      </c>
      <c r="I1087" s="1" t="s">
        <v>1460</v>
      </c>
      <c r="J1087" s="1" t="s">
        <v>261</v>
      </c>
      <c r="K1087" t="s">
        <v>34</v>
      </c>
      <c r="M1087" s="1" t="s">
        <v>35</v>
      </c>
      <c r="N1087" s="1">
        <v>42318949</v>
      </c>
      <c r="O1087" s="1" t="s">
        <v>105</v>
      </c>
      <c r="P1087" s="12">
        <v>44932.432199074072</v>
      </c>
      <c r="R1087" s="1" t="s">
        <v>38</v>
      </c>
      <c r="T1087" s="1" t="s">
        <v>74</v>
      </c>
      <c r="U1087" s="12">
        <v>44932.75</v>
      </c>
      <c r="V1087" s="1" t="s">
        <v>41</v>
      </c>
      <c r="W1087" s="1" t="s">
        <v>49</v>
      </c>
      <c r="Z1087" s="14"/>
      <c r="AA1087" s="14"/>
    </row>
    <row r="1088" spans="1:27">
      <c r="A1088" s="1">
        <v>9295637</v>
      </c>
      <c r="B1088" s="1" t="s">
        <v>101</v>
      </c>
      <c r="C1088" t="s">
        <v>1810</v>
      </c>
      <c r="E1088" s="2">
        <v>2437000206001</v>
      </c>
      <c r="F1088" s="1" t="s">
        <v>29</v>
      </c>
      <c r="G1088" s="1" t="s">
        <v>53</v>
      </c>
      <c r="H1088" s="1" t="s">
        <v>416</v>
      </c>
      <c r="I1088" s="1" t="s">
        <v>417</v>
      </c>
      <c r="J1088" s="1" t="s">
        <v>211</v>
      </c>
      <c r="K1088" t="s">
        <v>34</v>
      </c>
      <c r="M1088" s="1" t="s">
        <v>35</v>
      </c>
      <c r="N1088" s="1">
        <v>42318949</v>
      </c>
      <c r="O1088" s="1" t="s">
        <v>105</v>
      </c>
      <c r="P1088" s="12">
        <v>44932.432141203702</v>
      </c>
      <c r="R1088" s="1" t="s">
        <v>38</v>
      </c>
      <c r="T1088" s="1" t="s">
        <v>74</v>
      </c>
      <c r="U1088" s="12">
        <v>44932.75</v>
      </c>
      <c r="V1088" s="1" t="s">
        <v>41</v>
      </c>
      <c r="W1088" s="1" t="s">
        <v>49</v>
      </c>
      <c r="Z1088" s="14"/>
      <c r="AA1088" s="14"/>
    </row>
    <row r="1089" spans="1:27">
      <c r="A1089" s="1">
        <v>9295622</v>
      </c>
      <c r="B1089" s="1" t="s">
        <v>101</v>
      </c>
      <c r="C1089" t="s">
        <v>1810</v>
      </c>
      <c r="E1089" s="2">
        <v>2422000206001</v>
      </c>
      <c r="F1089" s="1" t="s">
        <v>29</v>
      </c>
      <c r="G1089" s="1" t="s">
        <v>53</v>
      </c>
      <c r="H1089" s="1" t="s">
        <v>1844</v>
      </c>
      <c r="I1089" s="1" t="s">
        <v>1845</v>
      </c>
      <c r="J1089" s="1" t="s">
        <v>211</v>
      </c>
      <c r="K1089" t="s">
        <v>34</v>
      </c>
      <c r="M1089" s="1" t="s">
        <v>35</v>
      </c>
      <c r="N1089" s="1">
        <v>42318949</v>
      </c>
      <c r="O1089" s="1" t="s">
        <v>105</v>
      </c>
      <c r="P1089" s="12">
        <v>44932.432118055556</v>
      </c>
      <c r="R1089" s="1" t="s">
        <v>38</v>
      </c>
      <c r="T1089" s="1" t="s">
        <v>74</v>
      </c>
      <c r="U1089" s="12">
        <v>44932.75</v>
      </c>
      <c r="V1089" s="1" t="s">
        <v>41</v>
      </c>
      <c r="W1089" s="1" t="s">
        <v>49</v>
      </c>
      <c r="Z1089" s="14"/>
      <c r="AA1089" s="14"/>
    </row>
    <row r="1090" spans="1:27" hidden="1">
      <c r="A1090" s="1">
        <v>9295613</v>
      </c>
      <c r="B1090" s="1" t="s">
        <v>101</v>
      </c>
      <c r="C1090" t="s">
        <v>1810</v>
      </c>
      <c r="E1090" s="2">
        <v>2413000206001</v>
      </c>
      <c r="F1090" s="1" t="s">
        <v>29</v>
      </c>
      <c r="G1090" s="1" t="s">
        <v>53</v>
      </c>
      <c r="H1090" s="1" t="s">
        <v>505</v>
      </c>
      <c r="I1090" s="1" t="s">
        <v>506</v>
      </c>
      <c r="J1090" s="1" t="s">
        <v>141</v>
      </c>
      <c r="K1090" t="s">
        <v>34</v>
      </c>
      <c r="M1090" s="1" t="s">
        <v>35</v>
      </c>
      <c r="N1090" s="1">
        <v>42318949</v>
      </c>
      <c r="O1090" s="1" t="s">
        <v>105</v>
      </c>
      <c r="P1090" s="12">
        <v>44932.432106481479</v>
      </c>
      <c r="R1090" s="1" t="s">
        <v>38</v>
      </c>
      <c r="T1090" s="1" t="s">
        <v>74</v>
      </c>
      <c r="U1090" s="12">
        <v>44932.75</v>
      </c>
      <c r="V1090" s="1" t="s">
        <v>41</v>
      </c>
      <c r="W1090" s="1" t="s">
        <v>49</v>
      </c>
      <c r="Z1090" s="14"/>
      <c r="AA1090" s="14"/>
    </row>
    <row r="1091" spans="1:27" hidden="1">
      <c r="A1091" s="1">
        <v>9295593</v>
      </c>
      <c r="B1091" s="1" t="s">
        <v>101</v>
      </c>
      <c r="C1091" t="s">
        <v>1810</v>
      </c>
      <c r="E1091" s="2">
        <v>2388000206001</v>
      </c>
      <c r="F1091" s="1" t="s">
        <v>29</v>
      </c>
      <c r="G1091" s="1" t="s">
        <v>53</v>
      </c>
      <c r="H1091" s="1" t="s">
        <v>299</v>
      </c>
      <c r="I1091" s="1" t="s">
        <v>300</v>
      </c>
      <c r="J1091" s="1" t="s">
        <v>79</v>
      </c>
      <c r="K1091" t="s">
        <v>34</v>
      </c>
      <c r="M1091" s="1" t="s">
        <v>35</v>
      </c>
      <c r="N1091" s="1">
        <v>42318949</v>
      </c>
      <c r="O1091" s="1" t="s">
        <v>105</v>
      </c>
      <c r="P1091" s="12">
        <v>44932.432083333333</v>
      </c>
      <c r="R1091" s="1" t="s">
        <v>38</v>
      </c>
      <c r="T1091" s="1" t="s">
        <v>74</v>
      </c>
      <c r="U1091" s="12">
        <v>44932.75</v>
      </c>
      <c r="V1091" s="1" t="s">
        <v>41</v>
      </c>
      <c r="W1091" s="1" t="s">
        <v>49</v>
      </c>
      <c r="Z1091" s="14"/>
      <c r="AA1091" s="14"/>
    </row>
    <row r="1092" spans="1:27">
      <c r="A1092" s="181">
        <v>9295576</v>
      </c>
      <c r="B1092" s="181" t="s">
        <v>101</v>
      </c>
      <c r="C1092" s="182" t="s">
        <v>3035</v>
      </c>
      <c r="D1092" s="183"/>
      <c r="E1092" s="183">
        <v>2371000206001</v>
      </c>
      <c r="F1092" s="181" t="s">
        <v>29</v>
      </c>
      <c r="G1092" s="181" t="s">
        <v>53</v>
      </c>
      <c r="H1092" s="181" t="s">
        <v>1000</v>
      </c>
      <c r="I1092" s="181" t="s">
        <v>1001</v>
      </c>
      <c r="J1092" s="181" t="s">
        <v>90</v>
      </c>
      <c r="K1092" t="s">
        <v>34</v>
      </c>
      <c r="M1092" s="1" t="s">
        <v>35</v>
      </c>
      <c r="N1092" s="1">
        <v>42318949</v>
      </c>
      <c r="O1092" s="1" t="s">
        <v>36</v>
      </c>
      <c r="P1092" s="12">
        <v>44932.432060185187</v>
      </c>
      <c r="R1092" s="1" t="s">
        <v>38</v>
      </c>
      <c r="T1092" s="1" t="s">
        <v>74</v>
      </c>
      <c r="U1092" s="12">
        <v>44932.75</v>
      </c>
      <c r="V1092" s="1" t="s">
        <v>41</v>
      </c>
      <c r="W1092" s="1" t="s">
        <v>49</v>
      </c>
      <c r="Z1092" s="14"/>
      <c r="AA1092" s="14"/>
    </row>
    <row r="1093" spans="1:27" hidden="1">
      <c r="A1093" s="1">
        <v>9295575</v>
      </c>
      <c r="B1093" s="1" t="s">
        <v>101</v>
      </c>
      <c r="C1093" t="s">
        <v>1810</v>
      </c>
      <c r="E1093" s="2">
        <v>2369000206001</v>
      </c>
      <c r="F1093" s="1" t="s">
        <v>29</v>
      </c>
      <c r="G1093" s="1" t="s">
        <v>53</v>
      </c>
      <c r="H1093" s="1" t="s">
        <v>701</v>
      </c>
      <c r="I1093" s="1" t="s">
        <v>702</v>
      </c>
      <c r="J1093" s="1" t="s">
        <v>141</v>
      </c>
      <c r="K1093" t="s">
        <v>34</v>
      </c>
      <c r="M1093" s="1" t="s">
        <v>35</v>
      </c>
      <c r="N1093" s="1">
        <v>42318949</v>
      </c>
      <c r="O1093" s="1" t="s">
        <v>105</v>
      </c>
      <c r="P1093" s="12">
        <v>44932.432060185187</v>
      </c>
      <c r="R1093" s="1" t="s">
        <v>38</v>
      </c>
      <c r="T1093" s="1" t="s">
        <v>74</v>
      </c>
      <c r="U1093" s="12">
        <v>44932.75</v>
      </c>
      <c r="V1093" s="1" t="s">
        <v>41</v>
      </c>
      <c r="W1093" s="1" t="s">
        <v>49</v>
      </c>
      <c r="Z1093" s="14"/>
      <c r="AA1093" s="14"/>
    </row>
    <row r="1094" spans="1:27" hidden="1">
      <c r="A1094" s="1">
        <v>9295544</v>
      </c>
      <c r="B1094" s="1" t="s">
        <v>101</v>
      </c>
      <c r="C1094" t="s">
        <v>1810</v>
      </c>
      <c r="E1094" s="2">
        <v>2335000206001</v>
      </c>
      <c r="F1094" s="1" t="s">
        <v>29</v>
      </c>
      <c r="G1094" s="1" t="s">
        <v>53</v>
      </c>
      <c r="H1094" s="1" t="s">
        <v>194</v>
      </c>
      <c r="I1094" s="1" t="s">
        <v>195</v>
      </c>
      <c r="J1094" s="1" t="s">
        <v>110</v>
      </c>
      <c r="K1094" t="s">
        <v>34</v>
      </c>
      <c r="M1094" s="1" t="s">
        <v>35</v>
      </c>
      <c r="N1094" s="1">
        <v>42318949</v>
      </c>
      <c r="O1094" s="1" t="s">
        <v>105</v>
      </c>
      <c r="P1094" s="12">
        <v>44932.432013888887</v>
      </c>
      <c r="R1094" s="1" t="s">
        <v>38</v>
      </c>
      <c r="T1094" s="1" t="s">
        <v>74</v>
      </c>
      <c r="U1094" s="12">
        <v>44932.75</v>
      </c>
      <c r="V1094" s="1" t="s">
        <v>41</v>
      </c>
      <c r="W1094" s="1" t="s">
        <v>49</v>
      </c>
      <c r="Z1094" s="14"/>
      <c r="AA1094" s="14"/>
    </row>
    <row r="1095" spans="1:27" hidden="1">
      <c r="A1095" s="1">
        <v>9295538</v>
      </c>
      <c r="B1095" s="1" t="s">
        <v>101</v>
      </c>
      <c r="C1095" t="s">
        <v>1810</v>
      </c>
      <c r="E1095" s="2">
        <v>2326000206001</v>
      </c>
      <c r="F1095" s="1" t="s">
        <v>29</v>
      </c>
      <c r="G1095" s="1" t="s">
        <v>53</v>
      </c>
      <c r="H1095" s="1" t="s">
        <v>191</v>
      </c>
      <c r="I1095" s="1" t="s">
        <v>192</v>
      </c>
      <c r="J1095" s="1" t="s">
        <v>46</v>
      </c>
      <c r="K1095" t="s">
        <v>34</v>
      </c>
      <c r="M1095" s="1" t="s">
        <v>35</v>
      </c>
      <c r="N1095" s="1">
        <v>42318949</v>
      </c>
      <c r="O1095" s="1" t="s">
        <v>105</v>
      </c>
      <c r="P1095" s="12">
        <v>44932.432002314818</v>
      </c>
      <c r="R1095" s="1" t="s">
        <v>38</v>
      </c>
      <c r="T1095" s="1" t="s">
        <v>74</v>
      </c>
      <c r="U1095" s="12">
        <v>44932.75</v>
      </c>
      <c r="V1095" s="1" t="s">
        <v>41</v>
      </c>
      <c r="W1095" s="1" t="s">
        <v>49</v>
      </c>
      <c r="Z1095" s="14"/>
      <c r="AA1095" s="14"/>
    </row>
    <row r="1096" spans="1:27" hidden="1">
      <c r="A1096" s="1">
        <v>9295476</v>
      </c>
      <c r="B1096" s="1" t="s">
        <v>101</v>
      </c>
      <c r="C1096" t="s">
        <v>1810</v>
      </c>
      <c r="E1096" s="2">
        <v>2257000206001</v>
      </c>
      <c r="F1096" s="1" t="s">
        <v>29</v>
      </c>
      <c r="G1096" s="1" t="s">
        <v>53</v>
      </c>
      <c r="H1096" s="1" t="s">
        <v>381</v>
      </c>
      <c r="I1096" s="1" t="s">
        <v>382</v>
      </c>
      <c r="J1096" s="1" t="s">
        <v>110</v>
      </c>
      <c r="K1096" t="s">
        <v>34</v>
      </c>
      <c r="M1096" s="1" t="s">
        <v>35</v>
      </c>
      <c r="N1096" s="1">
        <v>42318949</v>
      </c>
      <c r="O1096" s="1" t="s">
        <v>105</v>
      </c>
      <c r="P1096" s="12">
        <v>44932.431921296295</v>
      </c>
      <c r="R1096" s="1" t="s">
        <v>38</v>
      </c>
      <c r="T1096" s="1" t="s">
        <v>74</v>
      </c>
      <c r="U1096" s="12">
        <v>44932.75</v>
      </c>
      <c r="V1096" s="1" t="s">
        <v>41</v>
      </c>
      <c r="W1096" s="1" t="s">
        <v>49</v>
      </c>
      <c r="Z1096" s="14"/>
      <c r="AA1096" s="14"/>
    </row>
    <row r="1097" spans="1:27" hidden="1">
      <c r="A1097" s="1">
        <v>9295463</v>
      </c>
      <c r="B1097" s="1" t="s">
        <v>101</v>
      </c>
      <c r="C1097" t="s">
        <v>1810</v>
      </c>
      <c r="E1097" s="2">
        <v>2244000206001</v>
      </c>
      <c r="F1097" s="1" t="s">
        <v>29</v>
      </c>
      <c r="G1097" s="1" t="s">
        <v>53</v>
      </c>
      <c r="H1097" s="1" t="s">
        <v>1853</v>
      </c>
      <c r="I1097" s="1" t="s">
        <v>1854</v>
      </c>
      <c r="J1097" s="1" t="s">
        <v>79</v>
      </c>
      <c r="K1097" t="s">
        <v>34</v>
      </c>
      <c r="M1097" s="1" t="s">
        <v>35</v>
      </c>
      <c r="N1097" s="1">
        <v>42318949</v>
      </c>
      <c r="O1097" s="1" t="s">
        <v>105</v>
      </c>
      <c r="P1097" s="12">
        <v>44932.431909722225</v>
      </c>
      <c r="R1097" s="1" t="s">
        <v>38</v>
      </c>
      <c r="T1097" s="1" t="s">
        <v>74</v>
      </c>
      <c r="U1097" s="12">
        <v>44932.75</v>
      </c>
      <c r="V1097" s="1" t="s">
        <v>41</v>
      </c>
      <c r="W1097" s="1" t="s">
        <v>49</v>
      </c>
      <c r="Z1097" s="14"/>
      <c r="AA1097" s="14"/>
    </row>
    <row r="1098" spans="1:27" hidden="1">
      <c r="A1098" s="1">
        <v>9295457</v>
      </c>
      <c r="B1098" s="1" t="s">
        <v>101</v>
      </c>
      <c r="C1098" t="s">
        <v>1810</v>
      </c>
      <c r="E1098" s="2">
        <v>2238000206001</v>
      </c>
      <c r="F1098" s="1" t="s">
        <v>29</v>
      </c>
      <c r="G1098" s="1" t="s">
        <v>53</v>
      </c>
      <c r="H1098" s="1" t="s">
        <v>707</v>
      </c>
      <c r="I1098" s="1" t="s">
        <v>708</v>
      </c>
      <c r="J1098" s="1" t="s">
        <v>79</v>
      </c>
      <c r="K1098" t="s">
        <v>34</v>
      </c>
      <c r="M1098" s="1" t="s">
        <v>35</v>
      </c>
      <c r="N1098" s="1">
        <v>42318949</v>
      </c>
      <c r="O1098" s="1" t="s">
        <v>105</v>
      </c>
      <c r="P1098" s="12">
        <v>44932.431898148148</v>
      </c>
      <c r="R1098" s="1" t="s">
        <v>38</v>
      </c>
      <c r="T1098" s="1" t="s">
        <v>74</v>
      </c>
      <c r="U1098" s="12">
        <v>44932.75</v>
      </c>
      <c r="V1098" s="1" t="s">
        <v>41</v>
      </c>
      <c r="W1098" s="1" t="s">
        <v>49</v>
      </c>
      <c r="Z1098" s="14"/>
      <c r="AA1098" s="14"/>
    </row>
    <row r="1099" spans="1:27">
      <c r="A1099" s="1">
        <v>9295448</v>
      </c>
      <c r="B1099" s="1" t="s">
        <v>101</v>
      </c>
      <c r="C1099" t="s">
        <v>1810</v>
      </c>
      <c r="E1099" s="2">
        <v>2229000206001</v>
      </c>
      <c r="F1099" s="1" t="s">
        <v>29</v>
      </c>
      <c r="G1099" s="1" t="s">
        <v>53</v>
      </c>
      <c r="H1099" s="1" t="s">
        <v>339</v>
      </c>
      <c r="I1099" s="1" t="s">
        <v>340</v>
      </c>
      <c r="J1099" s="1" t="s">
        <v>211</v>
      </c>
      <c r="K1099" t="s">
        <v>34</v>
      </c>
      <c r="M1099" s="1" t="s">
        <v>35</v>
      </c>
      <c r="N1099" s="1">
        <v>42318949</v>
      </c>
      <c r="O1099" s="1" t="s">
        <v>105</v>
      </c>
      <c r="P1099" s="12">
        <v>44932.431886574072</v>
      </c>
      <c r="R1099" s="1" t="s">
        <v>38</v>
      </c>
      <c r="T1099" s="1" t="s">
        <v>74</v>
      </c>
      <c r="U1099" s="12">
        <v>44932.75</v>
      </c>
      <c r="V1099" s="1" t="s">
        <v>41</v>
      </c>
      <c r="W1099" s="1" t="s">
        <v>49</v>
      </c>
      <c r="Z1099" s="14"/>
      <c r="AA1099" s="14"/>
    </row>
    <row r="1100" spans="1:27" hidden="1">
      <c r="A1100" s="1">
        <v>9295438</v>
      </c>
      <c r="B1100" s="1" t="s">
        <v>101</v>
      </c>
      <c r="C1100" t="s">
        <v>1810</v>
      </c>
      <c r="E1100" s="2">
        <v>2219000206001</v>
      </c>
      <c r="F1100" s="1" t="s">
        <v>29</v>
      </c>
      <c r="G1100" s="1" t="s">
        <v>53</v>
      </c>
      <c r="H1100" s="1" t="s">
        <v>893</v>
      </c>
      <c r="I1100" s="1" t="s">
        <v>894</v>
      </c>
      <c r="J1100" s="1" t="s">
        <v>141</v>
      </c>
      <c r="K1100" t="s">
        <v>34</v>
      </c>
      <c r="M1100" s="1" t="s">
        <v>35</v>
      </c>
      <c r="N1100" s="1">
        <v>42318949</v>
      </c>
      <c r="O1100" s="1" t="s">
        <v>105</v>
      </c>
      <c r="P1100" s="12">
        <v>44932.431875000002</v>
      </c>
      <c r="R1100" s="1" t="s">
        <v>38</v>
      </c>
      <c r="T1100" s="1" t="s">
        <v>74</v>
      </c>
      <c r="U1100" s="12">
        <v>44932.75</v>
      </c>
      <c r="V1100" s="1" t="s">
        <v>41</v>
      </c>
      <c r="W1100" s="1" t="s">
        <v>49</v>
      </c>
      <c r="Z1100" s="14"/>
      <c r="AA1100" s="14"/>
    </row>
    <row r="1101" spans="1:27" hidden="1">
      <c r="A1101" s="1">
        <v>9295414</v>
      </c>
      <c r="B1101" s="1" t="s">
        <v>101</v>
      </c>
      <c r="C1101" t="s">
        <v>1810</v>
      </c>
      <c r="E1101" s="2">
        <v>2196000206001</v>
      </c>
      <c r="F1101" s="1" t="s">
        <v>29</v>
      </c>
      <c r="G1101" s="1" t="s">
        <v>53</v>
      </c>
      <c r="H1101" s="1" t="s">
        <v>1252</v>
      </c>
      <c r="I1101" s="1" t="s">
        <v>1253</v>
      </c>
      <c r="J1101" s="1" t="s">
        <v>33</v>
      </c>
      <c r="K1101" t="s">
        <v>34</v>
      </c>
      <c r="M1101" s="1" t="s">
        <v>35</v>
      </c>
      <c r="N1101" s="1">
        <v>42318949</v>
      </c>
      <c r="O1101" s="1" t="s">
        <v>105</v>
      </c>
      <c r="P1101" s="12">
        <v>44932.431840277779</v>
      </c>
      <c r="R1101" s="1" t="s">
        <v>38</v>
      </c>
      <c r="T1101" s="1" t="s">
        <v>74</v>
      </c>
      <c r="U1101" s="12">
        <v>44932.75</v>
      </c>
      <c r="V1101" s="1" t="s">
        <v>41</v>
      </c>
      <c r="W1101" s="1" t="s">
        <v>42</v>
      </c>
      <c r="Z1101" s="14"/>
      <c r="AA1101" s="14"/>
    </row>
    <row r="1102" spans="1:27">
      <c r="A1102" s="1">
        <v>9295387</v>
      </c>
      <c r="B1102" s="1" t="s">
        <v>101</v>
      </c>
      <c r="C1102" t="s">
        <v>1810</v>
      </c>
      <c r="E1102" s="2">
        <v>2170000206001</v>
      </c>
      <c r="F1102" s="1" t="s">
        <v>29</v>
      </c>
      <c r="G1102" s="1" t="s">
        <v>53</v>
      </c>
      <c r="H1102" s="1" t="s">
        <v>477</v>
      </c>
      <c r="I1102" s="1" t="s">
        <v>478</v>
      </c>
      <c r="J1102" s="1" t="s">
        <v>148</v>
      </c>
      <c r="K1102" t="s">
        <v>34</v>
      </c>
      <c r="M1102" s="1" t="s">
        <v>35</v>
      </c>
      <c r="N1102" s="1">
        <v>42318949</v>
      </c>
      <c r="O1102" s="1" t="s">
        <v>105</v>
      </c>
      <c r="P1102" s="12">
        <v>44932.431793981479</v>
      </c>
      <c r="R1102" s="1" t="s">
        <v>38</v>
      </c>
      <c r="T1102" s="1" t="s">
        <v>74</v>
      </c>
      <c r="U1102" s="12">
        <v>44932.75</v>
      </c>
      <c r="V1102" s="1" t="s">
        <v>41</v>
      </c>
      <c r="W1102" s="1" t="s">
        <v>49</v>
      </c>
      <c r="AA1102" s="14"/>
    </row>
    <row r="1103" spans="1:27" hidden="1">
      <c r="A1103" s="1">
        <v>9295358</v>
      </c>
      <c r="B1103" s="1" t="s">
        <v>101</v>
      </c>
      <c r="C1103" t="s">
        <v>1810</v>
      </c>
      <c r="E1103" s="2">
        <v>2138000206001</v>
      </c>
      <c r="F1103" s="1" t="s">
        <v>29</v>
      </c>
      <c r="G1103" s="1" t="s">
        <v>53</v>
      </c>
      <c r="H1103" s="1" t="s">
        <v>379</v>
      </c>
      <c r="I1103" s="1" t="s">
        <v>380</v>
      </c>
      <c r="J1103" s="1" t="s">
        <v>46</v>
      </c>
      <c r="K1103" t="s">
        <v>34</v>
      </c>
      <c r="M1103" s="1" t="s">
        <v>35</v>
      </c>
      <c r="N1103" s="1">
        <v>42318949</v>
      </c>
      <c r="O1103" s="1" t="s">
        <v>105</v>
      </c>
      <c r="P1103" s="12">
        <v>44932.431759259256</v>
      </c>
      <c r="R1103" s="1" t="s">
        <v>38</v>
      </c>
      <c r="T1103" s="1" t="s">
        <v>74</v>
      </c>
      <c r="U1103" s="12">
        <v>44932.75</v>
      </c>
      <c r="V1103" s="1" t="s">
        <v>41</v>
      </c>
      <c r="W1103" s="1" t="s">
        <v>49</v>
      </c>
      <c r="AA1103" s="14"/>
    </row>
    <row r="1104" spans="1:27">
      <c r="A1104" s="1">
        <v>9295348</v>
      </c>
      <c r="B1104" s="1" t="s">
        <v>101</v>
      </c>
      <c r="C1104" t="s">
        <v>1810</v>
      </c>
      <c r="E1104" s="2">
        <v>2125000206001</v>
      </c>
      <c r="F1104" s="1" t="s">
        <v>29</v>
      </c>
      <c r="G1104" s="1" t="s">
        <v>53</v>
      </c>
      <c r="H1104" s="1" t="s">
        <v>1399</v>
      </c>
      <c r="I1104" s="1" t="s">
        <v>1400</v>
      </c>
      <c r="J1104" s="1" t="s">
        <v>211</v>
      </c>
      <c r="K1104" t="s">
        <v>34</v>
      </c>
      <c r="M1104" s="1" t="s">
        <v>35</v>
      </c>
      <c r="N1104" s="1">
        <v>42318949</v>
      </c>
      <c r="O1104" s="1" t="s">
        <v>105</v>
      </c>
      <c r="P1104" s="12">
        <v>44932.431747685187</v>
      </c>
      <c r="R1104" s="1" t="s">
        <v>38</v>
      </c>
      <c r="T1104" s="1" t="s">
        <v>74</v>
      </c>
      <c r="U1104" s="12">
        <v>44932.75</v>
      </c>
      <c r="V1104" s="1" t="s">
        <v>41</v>
      </c>
      <c r="W1104" s="1" t="s">
        <v>49</v>
      </c>
      <c r="AA1104" s="14"/>
    </row>
    <row r="1105" spans="1:27" hidden="1">
      <c r="A1105" s="1">
        <v>9295334</v>
      </c>
      <c r="B1105" s="1" t="s">
        <v>101</v>
      </c>
      <c r="C1105" t="s">
        <v>1810</v>
      </c>
      <c r="E1105" s="2">
        <v>2107000206001</v>
      </c>
      <c r="F1105" s="1" t="s">
        <v>29</v>
      </c>
      <c r="G1105" s="1" t="s">
        <v>53</v>
      </c>
      <c r="H1105" s="1" t="s">
        <v>262</v>
      </c>
      <c r="I1105" s="1" t="s">
        <v>263</v>
      </c>
      <c r="J1105" s="1" t="s">
        <v>164</v>
      </c>
      <c r="K1105" t="s">
        <v>34</v>
      </c>
      <c r="M1105" s="1" t="s">
        <v>35</v>
      </c>
      <c r="N1105" s="1">
        <v>42318949</v>
      </c>
      <c r="O1105" s="1" t="s">
        <v>105</v>
      </c>
      <c r="P1105" s="12">
        <v>44932.43172453704</v>
      </c>
      <c r="R1105" s="1" t="s">
        <v>38</v>
      </c>
      <c r="T1105" s="1" t="s">
        <v>74</v>
      </c>
      <c r="U1105" s="12">
        <v>44932.75</v>
      </c>
      <c r="V1105" s="1" t="s">
        <v>41</v>
      </c>
      <c r="W1105" s="1" t="s">
        <v>49</v>
      </c>
      <c r="AA1105" s="14"/>
    </row>
    <row r="1106" spans="1:27" hidden="1">
      <c r="A1106" s="1">
        <v>9295312</v>
      </c>
      <c r="B1106" s="1" t="s">
        <v>101</v>
      </c>
      <c r="C1106" t="s">
        <v>1810</v>
      </c>
      <c r="E1106" s="2">
        <v>2081000206001</v>
      </c>
      <c r="F1106" s="1" t="s">
        <v>29</v>
      </c>
      <c r="G1106" s="1" t="s">
        <v>53</v>
      </c>
      <c r="H1106" s="1" t="s">
        <v>590</v>
      </c>
      <c r="I1106" s="1" t="s">
        <v>591</v>
      </c>
      <c r="J1106" s="1" t="s">
        <v>261</v>
      </c>
      <c r="K1106" t="s">
        <v>34</v>
      </c>
      <c r="M1106" s="1" t="s">
        <v>35</v>
      </c>
      <c r="N1106" s="1">
        <v>42318949</v>
      </c>
      <c r="O1106" s="1" t="s">
        <v>105</v>
      </c>
      <c r="P1106" s="12">
        <v>44932.431689814817</v>
      </c>
      <c r="R1106" s="1" t="s">
        <v>38</v>
      </c>
      <c r="T1106" s="1" t="s">
        <v>74</v>
      </c>
      <c r="U1106" s="12">
        <v>44932.75</v>
      </c>
      <c r="V1106" s="1" t="s">
        <v>41</v>
      </c>
      <c r="W1106" s="1" t="s">
        <v>49</v>
      </c>
      <c r="AA1106" s="14"/>
    </row>
    <row r="1107" spans="1:27">
      <c r="A1107" s="1">
        <v>9295301</v>
      </c>
      <c r="B1107" s="1" t="s">
        <v>101</v>
      </c>
      <c r="C1107" t="s">
        <v>1810</v>
      </c>
      <c r="E1107" s="2">
        <v>2069000206001</v>
      </c>
      <c r="F1107" s="1" t="s">
        <v>29</v>
      </c>
      <c r="G1107" s="1" t="s">
        <v>53</v>
      </c>
      <c r="H1107" s="1" t="s">
        <v>557</v>
      </c>
      <c r="I1107" s="1" t="s">
        <v>558</v>
      </c>
      <c r="J1107" s="1" t="s">
        <v>90</v>
      </c>
      <c r="K1107" t="s">
        <v>34</v>
      </c>
      <c r="M1107" s="1" t="s">
        <v>35</v>
      </c>
      <c r="N1107" s="1">
        <v>42318949</v>
      </c>
      <c r="O1107" s="1" t="s">
        <v>105</v>
      </c>
      <c r="P1107" s="12">
        <v>44932.43167824074</v>
      </c>
      <c r="R1107" s="1" t="s">
        <v>38</v>
      </c>
      <c r="T1107" s="1" t="s">
        <v>74</v>
      </c>
      <c r="U1107" s="12">
        <v>44932.75</v>
      </c>
      <c r="V1107" s="1" t="s">
        <v>41</v>
      </c>
      <c r="W1107" s="1" t="s">
        <v>49</v>
      </c>
      <c r="AA1107" s="14"/>
    </row>
    <row r="1108" spans="1:27" hidden="1">
      <c r="A1108" s="1">
        <v>9295258</v>
      </c>
      <c r="B1108" s="1" t="s">
        <v>101</v>
      </c>
      <c r="C1108" t="s">
        <v>1810</v>
      </c>
      <c r="E1108" s="2">
        <v>2018000206001</v>
      </c>
      <c r="F1108" s="1" t="s">
        <v>29</v>
      </c>
      <c r="G1108" s="1" t="s">
        <v>53</v>
      </c>
      <c r="H1108" s="1" t="s">
        <v>598</v>
      </c>
      <c r="I1108" s="1" t="s">
        <v>599</v>
      </c>
      <c r="J1108" s="1" t="s">
        <v>79</v>
      </c>
      <c r="K1108" t="s">
        <v>34</v>
      </c>
      <c r="M1108" s="1" t="s">
        <v>35</v>
      </c>
      <c r="N1108" s="1">
        <v>42318949</v>
      </c>
      <c r="O1108" s="1" t="s">
        <v>105</v>
      </c>
      <c r="P1108" s="12">
        <v>44932.431597222225</v>
      </c>
      <c r="R1108" s="1" t="s">
        <v>38</v>
      </c>
      <c r="T1108" s="1" t="s">
        <v>74</v>
      </c>
      <c r="U1108" s="12">
        <v>44932.75</v>
      </c>
      <c r="V1108" s="1" t="s">
        <v>41</v>
      </c>
      <c r="W1108" s="1" t="s">
        <v>49</v>
      </c>
      <c r="AA1108" s="14"/>
    </row>
    <row r="1109" spans="1:27" hidden="1">
      <c r="A1109" s="1">
        <v>9295224</v>
      </c>
      <c r="B1109" s="1" t="s">
        <v>101</v>
      </c>
      <c r="C1109" t="s">
        <v>1810</v>
      </c>
      <c r="E1109" s="2">
        <v>1943000206001</v>
      </c>
      <c r="F1109" s="1" t="s">
        <v>29</v>
      </c>
      <c r="G1109" s="1" t="s">
        <v>53</v>
      </c>
      <c r="H1109" s="1" t="s">
        <v>264</v>
      </c>
      <c r="I1109" s="1" t="s">
        <v>265</v>
      </c>
      <c r="J1109" s="1" t="s">
        <v>56</v>
      </c>
      <c r="K1109" t="s">
        <v>34</v>
      </c>
      <c r="M1109" s="1" t="s">
        <v>35</v>
      </c>
      <c r="N1109" s="1">
        <v>42318949</v>
      </c>
      <c r="O1109" s="1" t="s">
        <v>105</v>
      </c>
      <c r="P1109" s="12">
        <v>44932.431550925925</v>
      </c>
      <c r="R1109" s="1" t="s">
        <v>38</v>
      </c>
      <c r="T1109" s="1" t="s">
        <v>74</v>
      </c>
      <c r="U1109" s="12">
        <v>44932.75</v>
      </c>
      <c r="V1109" s="1" t="s">
        <v>41</v>
      </c>
      <c r="W1109" s="1" t="s">
        <v>49</v>
      </c>
      <c r="AA1109" s="14"/>
    </row>
    <row r="1110" spans="1:27" hidden="1">
      <c r="A1110" s="1">
        <v>9295212</v>
      </c>
      <c r="B1110" s="1" t="s">
        <v>101</v>
      </c>
      <c r="C1110" t="s">
        <v>1810</v>
      </c>
      <c r="E1110" s="2">
        <v>1924000206001</v>
      </c>
      <c r="F1110" s="1" t="s">
        <v>29</v>
      </c>
      <c r="G1110" s="1" t="s">
        <v>53</v>
      </c>
      <c r="H1110" s="1" t="s">
        <v>568</v>
      </c>
      <c r="I1110" s="1" t="s">
        <v>569</v>
      </c>
      <c r="J1110" s="1" t="s">
        <v>33</v>
      </c>
      <c r="K1110" t="s">
        <v>34</v>
      </c>
      <c r="M1110" s="1" t="s">
        <v>35</v>
      </c>
      <c r="N1110" s="1">
        <v>42318949</v>
      </c>
      <c r="O1110" s="1" t="s">
        <v>105</v>
      </c>
      <c r="P1110" s="12">
        <v>44932.431539351855</v>
      </c>
      <c r="R1110" s="1" t="s">
        <v>38</v>
      </c>
      <c r="T1110" s="1" t="s">
        <v>74</v>
      </c>
      <c r="U1110" s="12">
        <v>44932.75</v>
      </c>
      <c r="V1110" s="1" t="s">
        <v>41</v>
      </c>
      <c r="W1110" s="1" t="s">
        <v>49</v>
      </c>
      <c r="AA1110" s="14"/>
    </row>
    <row r="1111" spans="1:27">
      <c r="A1111" s="1">
        <v>9295207</v>
      </c>
      <c r="B1111" s="1" t="s">
        <v>101</v>
      </c>
      <c r="C1111" t="s">
        <v>1810</v>
      </c>
      <c r="E1111" s="2">
        <v>1903220206001</v>
      </c>
      <c r="F1111" s="1" t="s">
        <v>29</v>
      </c>
      <c r="G1111" s="1" t="s">
        <v>53</v>
      </c>
      <c r="H1111" s="1" t="s">
        <v>1867</v>
      </c>
      <c r="I1111" s="1" t="s">
        <v>1868</v>
      </c>
      <c r="J1111" s="1" t="s">
        <v>211</v>
      </c>
      <c r="K1111" t="s">
        <v>34</v>
      </c>
      <c r="M1111" s="1" t="s">
        <v>35</v>
      </c>
      <c r="N1111" s="1">
        <v>42318949</v>
      </c>
      <c r="O1111" s="1" t="s">
        <v>105</v>
      </c>
      <c r="P1111" s="12">
        <v>44932.431527777779</v>
      </c>
      <c r="R1111" s="1" t="s">
        <v>38</v>
      </c>
      <c r="T1111" s="1" t="s">
        <v>74</v>
      </c>
      <c r="U1111" s="12">
        <v>44932.75</v>
      </c>
      <c r="V1111" s="1" t="s">
        <v>41</v>
      </c>
      <c r="W1111" s="1" t="s">
        <v>49</v>
      </c>
      <c r="AA1111" s="14"/>
    </row>
    <row r="1112" spans="1:27" hidden="1">
      <c r="A1112" s="1">
        <v>9295158</v>
      </c>
      <c r="B1112" s="1" t="s">
        <v>101</v>
      </c>
      <c r="C1112" t="s">
        <v>1810</v>
      </c>
      <c r="E1112" s="2">
        <v>1838000206001</v>
      </c>
      <c r="F1112" s="1" t="s">
        <v>29</v>
      </c>
      <c r="G1112" s="1" t="s">
        <v>53</v>
      </c>
      <c r="H1112" s="1" t="s">
        <v>357</v>
      </c>
      <c r="I1112" s="1" t="s">
        <v>358</v>
      </c>
      <c r="J1112" s="1" t="s">
        <v>46</v>
      </c>
      <c r="K1112" t="s">
        <v>34</v>
      </c>
      <c r="M1112" s="1" t="s">
        <v>35</v>
      </c>
      <c r="N1112" s="1">
        <v>42318949</v>
      </c>
      <c r="O1112" s="1" t="s">
        <v>105</v>
      </c>
      <c r="P1112" s="12">
        <v>44932.431458333333</v>
      </c>
      <c r="R1112" s="1" t="s">
        <v>38</v>
      </c>
      <c r="T1112" s="1" t="s">
        <v>74</v>
      </c>
      <c r="U1112" s="12">
        <v>44932.75</v>
      </c>
      <c r="V1112" s="1" t="s">
        <v>41</v>
      </c>
      <c r="W1112" s="1" t="s">
        <v>49</v>
      </c>
      <c r="AA1112" s="14"/>
    </row>
    <row r="1113" spans="1:27" hidden="1">
      <c r="A1113" s="1">
        <v>9295157</v>
      </c>
      <c r="B1113" s="1" t="s">
        <v>101</v>
      </c>
      <c r="C1113" t="s">
        <v>1810</v>
      </c>
      <c r="E1113" s="2">
        <v>1837000206001</v>
      </c>
      <c r="F1113" s="1" t="s">
        <v>29</v>
      </c>
      <c r="G1113" s="1" t="s">
        <v>53</v>
      </c>
      <c r="H1113" s="1" t="s">
        <v>1785</v>
      </c>
      <c r="I1113" s="1" t="s">
        <v>1786</v>
      </c>
      <c r="J1113" s="1" t="s">
        <v>46</v>
      </c>
      <c r="K1113" t="s">
        <v>34</v>
      </c>
      <c r="M1113" s="1" t="s">
        <v>35</v>
      </c>
      <c r="N1113" s="1">
        <v>42318949</v>
      </c>
      <c r="O1113" s="1" t="s">
        <v>105</v>
      </c>
      <c r="P1113" s="186">
        <v>44932.431458333333</v>
      </c>
      <c r="R1113" s="1" t="s">
        <v>38</v>
      </c>
      <c r="T1113" s="1" t="s">
        <v>74</v>
      </c>
      <c r="U1113" s="186">
        <v>44932.75</v>
      </c>
      <c r="V1113" s="1" t="s">
        <v>41</v>
      </c>
      <c r="W1113" s="1" t="s">
        <v>49</v>
      </c>
      <c r="AA1113" s="14"/>
    </row>
    <row r="1114" spans="1:27" hidden="1">
      <c r="A1114" s="1">
        <v>9295156</v>
      </c>
      <c r="B1114" s="1" t="s">
        <v>101</v>
      </c>
      <c r="C1114" t="s">
        <v>1810</v>
      </c>
      <c r="E1114" s="2">
        <v>1835000206001</v>
      </c>
      <c r="F1114" s="1" t="s">
        <v>29</v>
      </c>
      <c r="G1114" s="1" t="s">
        <v>53</v>
      </c>
      <c r="H1114" s="1" t="s">
        <v>305</v>
      </c>
      <c r="I1114" s="1" t="s">
        <v>306</v>
      </c>
      <c r="J1114" s="1" t="s">
        <v>46</v>
      </c>
      <c r="K1114" t="s">
        <v>34</v>
      </c>
      <c r="M1114" s="1" t="s">
        <v>35</v>
      </c>
      <c r="N1114" s="1">
        <v>42318949</v>
      </c>
      <c r="O1114" s="1" t="s">
        <v>105</v>
      </c>
      <c r="P1114" s="186">
        <v>44932.431458333333</v>
      </c>
      <c r="R1114" s="1" t="s">
        <v>38</v>
      </c>
      <c r="T1114" s="1" t="s">
        <v>74</v>
      </c>
      <c r="U1114" s="186">
        <v>44932.75</v>
      </c>
      <c r="V1114" s="1" t="s">
        <v>41</v>
      </c>
      <c r="W1114" s="1" t="s">
        <v>49</v>
      </c>
      <c r="AA1114" s="14"/>
    </row>
    <row r="1115" spans="1:27" hidden="1">
      <c r="A1115" s="1">
        <v>9295154</v>
      </c>
      <c r="B1115" s="1" t="s">
        <v>101</v>
      </c>
      <c r="C1115" t="s">
        <v>1810</v>
      </c>
      <c r="E1115" s="2">
        <v>1833000206001</v>
      </c>
      <c r="F1115" s="1" t="s">
        <v>29</v>
      </c>
      <c r="G1115" s="1" t="s">
        <v>53</v>
      </c>
      <c r="H1115" s="1" t="s">
        <v>369</v>
      </c>
      <c r="I1115" s="1" t="s">
        <v>370</v>
      </c>
      <c r="J1115" s="1" t="s">
        <v>46</v>
      </c>
      <c r="K1115" t="s">
        <v>34</v>
      </c>
      <c r="M1115" s="1" t="s">
        <v>35</v>
      </c>
      <c r="N1115" s="1">
        <v>42318949</v>
      </c>
      <c r="O1115" s="1" t="s">
        <v>105</v>
      </c>
      <c r="P1115" s="186">
        <v>44932.431446759256</v>
      </c>
      <c r="R1115" s="1" t="s">
        <v>38</v>
      </c>
      <c r="T1115" s="1" t="s">
        <v>74</v>
      </c>
      <c r="U1115" s="186">
        <v>44932.75</v>
      </c>
      <c r="V1115" s="1" t="s">
        <v>41</v>
      </c>
      <c r="W1115" s="1" t="s">
        <v>49</v>
      </c>
      <c r="AA1115" s="14"/>
    </row>
    <row r="1116" spans="1:27" hidden="1">
      <c r="A1116" s="1">
        <v>9295142</v>
      </c>
      <c r="B1116" s="1" t="s">
        <v>101</v>
      </c>
      <c r="C1116" t="s">
        <v>1810</v>
      </c>
      <c r="E1116" s="2">
        <v>1814000206001</v>
      </c>
      <c r="F1116" s="1" t="s">
        <v>29</v>
      </c>
      <c r="G1116" s="1" t="s">
        <v>53</v>
      </c>
      <c r="H1116" s="1" t="s">
        <v>396</v>
      </c>
      <c r="I1116" s="1" t="s">
        <v>397</v>
      </c>
      <c r="J1116" s="1" t="s">
        <v>46</v>
      </c>
      <c r="K1116" t="s">
        <v>34</v>
      </c>
      <c r="M1116" s="1" t="s">
        <v>35</v>
      </c>
      <c r="N1116" s="1">
        <v>42318949</v>
      </c>
      <c r="O1116" s="1" t="s">
        <v>105</v>
      </c>
      <c r="P1116" s="186">
        <v>44932.431435185186</v>
      </c>
      <c r="R1116" s="1" t="s">
        <v>38</v>
      </c>
      <c r="T1116" s="1" t="s">
        <v>74</v>
      </c>
      <c r="U1116" s="186">
        <v>44932.75</v>
      </c>
      <c r="V1116" s="1" t="s">
        <v>41</v>
      </c>
      <c r="W1116" s="1" t="s">
        <v>49</v>
      </c>
      <c r="AA1116" s="14"/>
    </row>
    <row r="1117" spans="1:27" hidden="1">
      <c r="A1117" s="1">
        <v>9295124</v>
      </c>
      <c r="B1117" s="1" t="s">
        <v>101</v>
      </c>
      <c r="C1117" t="s">
        <v>1810</v>
      </c>
      <c r="E1117" s="2">
        <v>1792000206001</v>
      </c>
      <c r="F1117" s="1" t="s">
        <v>29</v>
      </c>
      <c r="G1117" s="1" t="s">
        <v>53</v>
      </c>
      <c r="H1117" s="1" t="s">
        <v>467</v>
      </c>
      <c r="I1117" s="1" t="s">
        <v>468</v>
      </c>
      <c r="J1117" s="1" t="s">
        <v>110</v>
      </c>
      <c r="K1117" t="s">
        <v>34</v>
      </c>
      <c r="M1117" s="1" t="s">
        <v>35</v>
      </c>
      <c r="N1117" s="1">
        <v>42318949</v>
      </c>
      <c r="O1117" s="1" t="s">
        <v>105</v>
      </c>
      <c r="P1117" s="186">
        <v>44932.431400462963</v>
      </c>
      <c r="R1117" s="1" t="s">
        <v>38</v>
      </c>
      <c r="T1117" s="1" t="s">
        <v>74</v>
      </c>
      <c r="U1117" s="186">
        <v>44932.75</v>
      </c>
      <c r="V1117" s="1" t="s">
        <v>41</v>
      </c>
      <c r="W1117" s="1" t="s">
        <v>49</v>
      </c>
      <c r="AA1117" s="14"/>
    </row>
    <row r="1118" spans="1:27">
      <c r="A1118" s="1">
        <v>9295100</v>
      </c>
      <c r="B1118" s="1" t="s">
        <v>101</v>
      </c>
      <c r="C1118" t="s">
        <v>1810</v>
      </c>
      <c r="E1118" s="2">
        <v>1764000206001</v>
      </c>
      <c r="F1118" s="1" t="s">
        <v>29</v>
      </c>
      <c r="G1118" s="1" t="s">
        <v>53</v>
      </c>
      <c r="H1118" s="1" t="s">
        <v>722</v>
      </c>
      <c r="I1118" s="1" t="s">
        <v>723</v>
      </c>
      <c r="J1118" s="1" t="s">
        <v>90</v>
      </c>
      <c r="K1118" t="s">
        <v>34</v>
      </c>
      <c r="M1118" s="1" t="s">
        <v>35</v>
      </c>
      <c r="N1118" s="1">
        <v>42318949</v>
      </c>
      <c r="O1118" s="1" t="s">
        <v>105</v>
      </c>
      <c r="P1118" s="186">
        <v>44932.43136574074</v>
      </c>
      <c r="R1118" s="1" t="s">
        <v>38</v>
      </c>
      <c r="T1118" s="1" t="s">
        <v>74</v>
      </c>
      <c r="U1118" s="186">
        <v>44932.75</v>
      </c>
      <c r="V1118" s="1" t="s">
        <v>41</v>
      </c>
      <c r="W1118" s="1" t="s">
        <v>49</v>
      </c>
      <c r="AA1118" s="14"/>
    </row>
    <row r="1119" spans="1:27" hidden="1">
      <c r="A1119" s="1">
        <v>9295076</v>
      </c>
      <c r="B1119" s="1" t="s">
        <v>101</v>
      </c>
      <c r="C1119" t="s">
        <v>1810</v>
      </c>
      <c r="E1119" s="2">
        <v>1739000206001</v>
      </c>
      <c r="F1119" s="1" t="s">
        <v>29</v>
      </c>
      <c r="G1119" s="1" t="s">
        <v>53</v>
      </c>
      <c r="H1119" s="1" t="s">
        <v>162</v>
      </c>
      <c r="I1119" s="1" t="s">
        <v>163</v>
      </c>
      <c r="J1119" s="1" t="s">
        <v>164</v>
      </c>
      <c r="K1119" t="s">
        <v>34</v>
      </c>
      <c r="M1119" s="1" t="s">
        <v>35</v>
      </c>
      <c r="N1119" s="1">
        <v>42318949</v>
      </c>
      <c r="O1119" s="1" t="s">
        <v>105</v>
      </c>
      <c r="P1119" s="186">
        <v>44932.431331018517</v>
      </c>
      <c r="R1119" s="1" t="s">
        <v>38</v>
      </c>
      <c r="T1119" s="1" t="s">
        <v>74</v>
      </c>
      <c r="U1119" s="186">
        <v>44932.75</v>
      </c>
      <c r="V1119" s="1" t="s">
        <v>41</v>
      </c>
      <c r="W1119" s="1" t="s">
        <v>49</v>
      </c>
      <c r="AA1119" s="14"/>
    </row>
    <row r="1120" spans="1:27" hidden="1">
      <c r="A1120" s="1">
        <v>9295072</v>
      </c>
      <c r="B1120" s="1" t="s">
        <v>101</v>
      </c>
      <c r="C1120" t="s">
        <v>1810</v>
      </c>
      <c r="E1120" s="2">
        <v>1732000206001</v>
      </c>
      <c r="F1120" s="1" t="s">
        <v>29</v>
      </c>
      <c r="G1120" s="1" t="s">
        <v>53</v>
      </c>
      <c r="H1120" s="1" t="s">
        <v>177</v>
      </c>
      <c r="I1120" s="1" t="s">
        <v>178</v>
      </c>
      <c r="J1120" s="1" t="s">
        <v>164</v>
      </c>
      <c r="K1120" t="s">
        <v>34</v>
      </c>
      <c r="M1120" s="1" t="s">
        <v>35</v>
      </c>
      <c r="N1120" s="1">
        <v>42318949</v>
      </c>
      <c r="O1120" s="1" t="s">
        <v>105</v>
      </c>
      <c r="P1120" s="186">
        <v>44932.431331018517</v>
      </c>
      <c r="R1120" s="1" t="s">
        <v>38</v>
      </c>
      <c r="T1120" s="1" t="s">
        <v>74</v>
      </c>
      <c r="U1120" s="186">
        <v>44932.75</v>
      </c>
      <c r="V1120" s="1" t="s">
        <v>41</v>
      </c>
      <c r="W1120" s="1" t="s">
        <v>49</v>
      </c>
      <c r="AA1120" s="14"/>
    </row>
    <row r="1121" spans="1:27" hidden="1">
      <c r="A1121" s="1">
        <v>9295049</v>
      </c>
      <c r="B1121" s="1" t="s">
        <v>101</v>
      </c>
      <c r="C1121" t="s">
        <v>1810</v>
      </c>
      <c r="E1121" s="2">
        <v>1710000206001</v>
      </c>
      <c r="F1121" s="1" t="s">
        <v>29</v>
      </c>
      <c r="G1121" s="1" t="s">
        <v>53</v>
      </c>
      <c r="H1121" s="1" t="s">
        <v>327</v>
      </c>
      <c r="I1121" s="1" t="s">
        <v>328</v>
      </c>
      <c r="J1121" s="1" t="s">
        <v>261</v>
      </c>
      <c r="K1121" t="s">
        <v>34</v>
      </c>
      <c r="M1121" s="1" t="s">
        <v>35</v>
      </c>
      <c r="N1121" s="1">
        <v>42318949</v>
      </c>
      <c r="O1121" s="1" t="s">
        <v>105</v>
      </c>
      <c r="P1121" s="186">
        <v>44932.431296296294</v>
      </c>
      <c r="R1121" s="1" t="s">
        <v>38</v>
      </c>
      <c r="T1121" s="1" t="s">
        <v>74</v>
      </c>
      <c r="U1121" s="186">
        <v>44932.75</v>
      </c>
      <c r="V1121" s="1" t="s">
        <v>41</v>
      </c>
      <c r="W1121" s="1" t="s">
        <v>49</v>
      </c>
      <c r="AA1121" s="14"/>
    </row>
    <row r="1122" spans="1:27" hidden="1">
      <c r="A1122" s="1">
        <v>9295007</v>
      </c>
      <c r="B1122" s="1" t="s">
        <v>101</v>
      </c>
      <c r="C1122" t="s">
        <v>1810</v>
      </c>
      <c r="E1122" s="2">
        <v>1666000206001</v>
      </c>
      <c r="F1122" s="1" t="s">
        <v>29</v>
      </c>
      <c r="G1122" s="1" t="s">
        <v>53</v>
      </c>
      <c r="H1122" s="1" t="s">
        <v>414</v>
      </c>
      <c r="I1122" s="1" t="s">
        <v>415</v>
      </c>
      <c r="J1122" s="1" t="s">
        <v>79</v>
      </c>
      <c r="K1122" t="s">
        <v>34</v>
      </c>
      <c r="M1122" s="1" t="s">
        <v>35</v>
      </c>
      <c r="N1122" s="1">
        <v>42318949</v>
      </c>
      <c r="O1122" s="1" t="s">
        <v>36</v>
      </c>
      <c r="P1122" s="186">
        <v>44932.431215277778</v>
      </c>
      <c r="R1122" s="1" t="s">
        <v>38</v>
      </c>
      <c r="T1122" s="1" t="s">
        <v>74</v>
      </c>
      <c r="U1122" s="186">
        <v>44932.75</v>
      </c>
      <c r="V1122" s="1" t="s">
        <v>41</v>
      </c>
      <c r="W1122" s="1" t="s">
        <v>49</v>
      </c>
      <c r="AA1122" s="14"/>
    </row>
    <row r="1123" spans="1:27" hidden="1">
      <c r="A1123" s="1">
        <v>9295003</v>
      </c>
      <c r="B1123" s="1" t="s">
        <v>101</v>
      </c>
      <c r="C1123" t="s">
        <v>1810</v>
      </c>
      <c r="E1123" s="2">
        <v>1664000206001</v>
      </c>
      <c r="F1123" s="1" t="s">
        <v>29</v>
      </c>
      <c r="G1123" s="1" t="s">
        <v>53</v>
      </c>
      <c r="H1123" s="1" t="s">
        <v>307</v>
      </c>
      <c r="I1123" s="1" t="s">
        <v>308</v>
      </c>
      <c r="J1123" s="1" t="s">
        <v>164</v>
      </c>
      <c r="K1123" t="s">
        <v>34</v>
      </c>
      <c r="M1123" s="1" t="s">
        <v>35</v>
      </c>
      <c r="N1123" s="1">
        <v>42318949</v>
      </c>
      <c r="O1123" s="1" t="s">
        <v>105</v>
      </c>
      <c r="P1123" s="186">
        <v>44932.431215277778</v>
      </c>
      <c r="R1123" s="1" t="s">
        <v>38</v>
      </c>
      <c r="T1123" s="1" t="s">
        <v>74</v>
      </c>
      <c r="U1123" s="186">
        <v>44932.75</v>
      </c>
      <c r="V1123" s="1" t="s">
        <v>41</v>
      </c>
      <c r="W1123" s="1" t="s">
        <v>49</v>
      </c>
      <c r="AA1123" s="14"/>
    </row>
    <row r="1124" spans="1:27" hidden="1">
      <c r="A1124" s="1">
        <v>9294987</v>
      </c>
      <c r="B1124" s="1" t="s">
        <v>101</v>
      </c>
      <c r="C1124" t="s">
        <v>1810</v>
      </c>
      <c r="E1124" s="2">
        <v>1650000206001</v>
      </c>
      <c r="F1124" s="1" t="s">
        <v>29</v>
      </c>
      <c r="G1124" s="1" t="s">
        <v>53</v>
      </c>
      <c r="H1124" s="1" t="s">
        <v>620</v>
      </c>
      <c r="I1124" s="1" t="s">
        <v>621</v>
      </c>
      <c r="J1124" s="1" t="s">
        <v>141</v>
      </c>
      <c r="K1124" t="s">
        <v>34</v>
      </c>
      <c r="M1124" s="1" t="s">
        <v>35</v>
      </c>
      <c r="N1124" s="1">
        <v>42318949</v>
      </c>
      <c r="O1124" s="1" t="s">
        <v>105</v>
      </c>
      <c r="P1124" s="186">
        <v>44932.431192129632</v>
      </c>
      <c r="R1124" s="1" t="s">
        <v>38</v>
      </c>
      <c r="T1124" s="1" t="s">
        <v>74</v>
      </c>
      <c r="U1124" s="186">
        <v>44932.75</v>
      </c>
      <c r="V1124" s="1" t="s">
        <v>41</v>
      </c>
      <c r="W1124" s="1" t="s">
        <v>49</v>
      </c>
      <c r="AA1124" s="14"/>
    </row>
    <row r="1125" spans="1:27" hidden="1">
      <c r="A1125" s="1">
        <v>9294979</v>
      </c>
      <c r="B1125" s="1" t="s">
        <v>101</v>
      </c>
      <c r="C1125" t="s">
        <v>1810</v>
      </c>
      <c r="E1125" s="2">
        <v>1643000206001</v>
      </c>
      <c r="F1125" s="1" t="s">
        <v>29</v>
      </c>
      <c r="G1125" s="1" t="s">
        <v>53</v>
      </c>
      <c r="H1125" s="1" t="s">
        <v>361</v>
      </c>
      <c r="I1125" s="1" t="s">
        <v>362</v>
      </c>
      <c r="J1125" s="1" t="s">
        <v>261</v>
      </c>
      <c r="K1125" t="s">
        <v>34</v>
      </c>
      <c r="M1125" s="1" t="s">
        <v>35</v>
      </c>
      <c r="N1125" s="1">
        <v>42318949</v>
      </c>
      <c r="O1125" s="1" t="s">
        <v>105</v>
      </c>
      <c r="P1125" s="186">
        <v>44932.431168981479</v>
      </c>
      <c r="R1125" s="1" t="s">
        <v>38</v>
      </c>
      <c r="T1125" s="1" t="s">
        <v>74</v>
      </c>
      <c r="U1125" s="186">
        <v>44932.75</v>
      </c>
      <c r="V1125" s="1" t="s">
        <v>41</v>
      </c>
      <c r="W1125" s="1" t="s">
        <v>49</v>
      </c>
      <c r="AA1125" s="14"/>
    </row>
    <row r="1126" spans="1:27" hidden="1">
      <c r="A1126" s="1">
        <v>9294958</v>
      </c>
      <c r="B1126" s="1" t="s">
        <v>101</v>
      </c>
      <c r="C1126" t="s">
        <v>1810</v>
      </c>
      <c r="E1126" s="2">
        <v>1620000206001</v>
      </c>
      <c r="F1126" s="1" t="s">
        <v>29</v>
      </c>
      <c r="G1126" s="1" t="s">
        <v>53</v>
      </c>
      <c r="H1126" s="1" t="s">
        <v>402</v>
      </c>
      <c r="I1126" s="1" t="s">
        <v>403</v>
      </c>
      <c r="J1126" s="1" t="s">
        <v>46</v>
      </c>
      <c r="K1126" t="s">
        <v>34</v>
      </c>
      <c r="M1126" s="1" t="s">
        <v>35</v>
      </c>
      <c r="N1126" s="1">
        <v>42318949</v>
      </c>
      <c r="O1126" s="1" t="s">
        <v>105</v>
      </c>
      <c r="P1126" s="186">
        <v>44932.431145833332</v>
      </c>
      <c r="R1126" s="1" t="s">
        <v>38</v>
      </c>
      <c r="T1126" s="1" t="s">
        <v>74</v>
      </c>
      <c r="U1126" s="186">
        <v>44932.75</v>
      </c>
      <c r="V1126" s="1" t="s">
        <v>41</v>
      </c>
      <c r="W1126" s="1" t="s">
        <v>49</v>
      </c>
      <c r="AA1126" s="14"/>
    </row>
    <row r="1127" spans="1:27" hidden="1">
      <c r="A1127" s="1">
        <v>9294857</v>
      </c>
      <c r="B1127" s="1" t="s">
        <v>101</v>
      </c>
      <c r="C1127" t="s">
        <v>1810</v>
      </c>
      <c r="E1127" s="2">
        <v>1509000206001</v>
      </c>
      <c r="F1127" s="1" t="s">
        <v>29</v>
      </c>
      <c r="G1127" s="1" t="s">
        <v>53</v>
      </c>
      <c r="H1127" s="1" t="s">
        <v>731</v>
      </c>
      <c r="I1127" s="1" t="s">
        <v>732</v>
      </c>
      <c r="J1127" s="1" t="s">
        <v>46</v>
      </c>
      <c r="K1127" t="s">
        <v>34</v>
      </c>
      <c r="M1127" s="1" t="s">
        <v>35</v>
      </c>
      <c r="N1127" s="1">
        <v>42318949</v>
      </c>
      <c r="O1127" s="1" t="s">
        <v>105</v>
      </c>
      <c r="P1127" s="186">
        <v>44932.430960648147</v>
      </c>
      <c r="R1127" s="1" t="s">
        <v>38</v>
      </c>
      <c r="T1127" s="1" t="s">
        <v>74</v>
      </c>
      <c r="U1127" s="186">
        <v>44932.75</v>
      </c>
      <c r="V1127" s="1" t="s">
        <v>41</v>
      </c>
      <c r="W1127" s="1" t="s">
        <v>49</v>
      </c>
      <c r="AA1127" s="14"/>
    </row>
    <row r="1128" spans="1:27" hidden="1">
      <c r="A1128" s="1">
        <v>9294767</v>
      </c>
      <c r="B1128" s="1" t="s">
        <v>101</v>
      </c>
      <c r="C1128" t="s">
        <v>1810</v>
      </c>
      <c r="E1128" s="2">
        <v>1421000206001</v>
      </c>
      <c r="F1128" s="1" t="s">
        <v>29</v>
      </c>
      <c r="G1128" s="1" t="s">
        <v>53</v>
      </c>
      <c r="H1128" s="1" t="s">
        <v>179</v>
      </c>
      <c r="I1128" s="1" t="s">
        <v>180</v>
      </c>
      <c r="J1128" s="1" t="s">
        <v>79</v>
      </c>
      <c r="K1128" t="s">
        <v>34</v>
      </c>
      <c r="M1128" s="1" t="s">
        <v>35</v>
      </c>
      <c r="N1128" s="1">
        <v>42318949</v>
      </c>
      <c r="O1128" s="1" t="s">
        <v>105</v>
      </c>
      <c r="P1128" s="186">
        <v>44932.430775462963</v>
      </c>
      <c r="R1128" s="1" t="s">
        <v>38</v>
      </c>
      <c r="T1128" s="1" t="s">
        <v>74</v>
      </c>
      <c r="U1128" s="186">
        <v>44932.75</v>
      </c>
      <c r="V1128" s="1" t="s">
        <v>41</v>
      </c>
      <c r="W1128" s="1" t="s">
        <v>49</v>
      </c>
      <c r="AA1128" s="14"/>
    </row>
    <row r="1129" spans="1:27" hidden="1">
      <c r="A1129" s="1">
        <v>9294711</v>
      </c>
      <c r="B1129" s="1" t="s">
        <v>101</v>
      </c>
      <c r="C1129" t="s">
        <v>1810</v>
      </c>
      <c r="E1129" s="2">
        <v>1363000206001</v>
      </c>
      <c r="F1129" s="1" t="s">
        <v>29</v>
      </c>
      <c r="G1129" s="1" t="s">
        <v>53</v>
      </c>
      <c r="H1129" s="1" t="s">
        <v>108</v>
      </c>
      <c r="I1129" s="1" t="s">
        <v>109</v>
      </c>
      <c r="J1129" s="1" t="s">
        <v>110</v>
      </c>
      <c r="K1129" t="s">
        <v>34</v>
      </c>
      <c r="M1129" s="1" t="s">
        <v>35</v>
      </c>
      <c r="N1129" s="1">
        <v>42318949</v>
      </c>
      <c r="O1129" s="1" t="s">
        <v>105</v>
      </c>
      <c r="P1129" s="186">
        <v>44932.430659722224</v>
      </c>
      <c r="R1129" s="1" t="s">
        <v>38</v>
      </c>
      <c r="T1129" s="1" t="s">
        <v>74</v>
      </c>
      <c r="U1129" s="186">
        <v>44932.75</v>
      </c>
      <c r="V1129" s="1" t="s">
        <v>41</v>
      </c>
      <c r="W1129" s="1" t="s">
        <v>49</v>
      </c>
      <c r="AA1129" s="14"/>
    </row>
    <row r="1130" spans="1:27">
      <c r="A1130" s="1">
        <v>9294710</v>
      </c>
      <c r="B1130" s="1" t="s">
        <v>101</v>
      </c>
      <c r="C1130" t="s">
        <v>1810</v>
      </c>
      <c r="E1130" s="2">
        <v>1362000206001</v>
      </c>
      <c r="F1130" s="1" t="s">
        <v>29</v>
      </c>
      <c r="G1130" s="1" t="s">
        <v>53</v>
      </c>
      <c r="H1130" s="1" t="s">
        <v>268</v>
      </c>
      <c r="I1130" s="1" t="s">
        <v>269</v>
      </c>
      <c r="J1130" s="1" t="s">
        <v>90</v>
      </c>
      <c r="K1130" t="s">
        <v>34</v>
      </c>
      <c r="M1130" s="1" t="s">
        <v>35</v>
      </c>
      <c r="N1130" s="1">
        <v>42318949</v>
      </c>
      <c r="O1130" s="1" t="s">
        <v>105</v>
      </c>
      <c r="P1130" s="186">
        <v>44932.430659722224</v>
      </c>
      <c r="R1130" s="1" t="s">
        <v>38</v>
      </c>
      <c r="T1130" s="1" t="s">
        <v>74</v>
      </c>
      <c r="U1130" s="186">
        <v>44932.75</v>
      </c>
      <c r="V1130" s="1" t="s">
        <v>41</v>
      </c>
      <c r="W1130" s="1" t="s">
        <v>49</v>
      </c>
      <c r="AA1130" s="14"/>
    </row>
    <row r="1131" spans="1:27" hidden="1">
      <c r="A1131" s="1">
        <v>9294709</v>
      </c>
      <c r="B1131" s="1" t="s">
        <v>101</v>
      </c>
      <c r="C1131" t="s">
        <v>1810</v>
      </c>
      <c r="E1131" s="2">
        <v>1361000206001</v>
      </c>
      <c r="F1131" s="1" t="s">
        <v>29</v>
      </c>
      <c r="G1131" s="1" t="s">
        <v>53</v>
      </c>
      <c r="H1131" s="1" t="s">
        <v>309</v>
      </c>
      <c r="I1131" s="1" t="s">
        <v>310</v>
      </c>
      <c r="J1131" s="1" t="s">
        <v>46</v>
      </c>
      <c r="K1131" t="s">
        <v>34</v>
      </c>
      <c r="M1131" s="1" t="s">
        <v>35</v>
      </c>
      <c r="N1131" s="1">
        <v>42318949</v>
      </c>
      <c r="O1131" s="1" t="s">
        <v>105</v>
      </c>
      <c r="P1131" s="186">
        <v>44932.430659722224</v>
      </c>
      <c r="R1131" s="1" t="s">
        <v>38</v>
      </c>
      <c r="T1131" s="1" t="s">
        <v>74</v>
      </c>
      <c r="U1131" s="186">
        <v>44932.75</v>
      </c>
      <c r="V1131" s="1" t="s">
        <v>41</v>
      </c>
      <c r="W1131" s="1" t="s">
        <v>49</v>
      </c>
      <c r="AA1131" s="14"/>
    </row>
    <row r="1132" spans="1:27" hidden="1">
      <c r="A1132" s="1">
        <v>9294708</v>
      </c>
      <c r="B1132" s="1" t="s">
        <v>101</v>
      </c>
      <c r="C1132" t="s">
        <v>1810</v>
      </c>
      <c r="E1132" s="2">
        <v>1360000206001</v>
      </c>
      <c r="F1132" s="1" t="s">
        <v>29</v>
      </c>
      <c r="G1132" s="1" t="s">
        <v>53</v>
      </c>
      <c r="H1132" s="1" t="s">
        <v>303</v>
      </c>
      <c r="I1132" s="1" t="s">
        <v>304</v>
      </c>
      <c r="J1132" s="1" t="s">
        <v>261</v>
      </c>
      <c r="K1132" t="s">
        <v>34</v>
      </c>
      <c r="M1132" s="1" t="s">
        <v>35</v>
      </c>
      <c r="N1132" s="1">
        <v>42318949</v>
      </c>
      <c r="O1132" s="1" t="s">
        <v>105</v>
      </c>
      <c r="P1132" s="186">
        <v>44932.430659722224</v>
      </c>
      <c r="R1132" s="1" t="s">
        <v>38</v>
      </c>
      <c r="T1132" s="1" t="s">
        <v>74</v>
      </c>
      <c r="U1132" s="186">
        <v>44932.75</v>
      </c>
      <c r="V1132" s="1" t="s">
        <v>41</v>
      </c>
      <c r="W1132" s="1" t="s">
        <v>49</v>
      </c>
      <c r="AA1132" s="14"/>
    </row>
    <row r="1133" spans="1:27" hidden="1">
      <c r="A1133" s="1">
        <v>9294706</v>
      </c>
      <c r="B1133" s="1" t="s">
        <v>101</v>
      </c>
      <c r="C1133" t="s">
        <v>1810</v>
      </c>
      <c r="E1133" s="2">
        <v>1358000206001</v>
      </c>
      <c r="F1133" s="1" t="s">
        <v>29</v>
      </c>
      <c r="G1133" s="1" t="s">
        <v>53</v>
      </c>
      <c r="H1133" s="1" t="s">
        <v>593</v>
      </c>
      <c r="I1133" s="1" t="s">
        <v>594</v>
      </c>
      <c r="J1133" s="1" t="s">
        <v>261</v>
      </c>
      <c r="K1133" t="s">
        <v>34</v>
      </c>
      <c r="M1133" s="1" t="s">
        <v>35</v>
      </c>
      <c r="N1133" s="1">
        <v>42318949</v>
      </c>
      <c r="O1133" s="1" t="s">
        <v>105</v>
      </c>
      <c r="P1133" s="186">
        <v>44932.430659722224</v>
      </c>
      <c r="R1133" s="1" t="s">
        <v>38</v>
      </c>
      <c r="T1133" s="1" t="s">
        <v>74</v>
      </c>
      <c r="U1133" s="186">
        <v>44932.75</v>
      </c>
      <c r="V1133" s="1" t="s">
        <v>41</v>
      </c>
      <c r="W1133" s="1" t="s">
        <v>49</v>
      </c>
      <c r="AA1133" s="14"/>
    </row>
    <row r="1134" spans="1:27" hidden="1">
      <c r="A1134" s="1">
        <v>9294627</v>
      </c>
      <c r="B1134" s="1" t="s">
        <v>101</v>
      </c>
      <c r="C1134" t="s">
        <v>1810</v>
      </c>
      <c r="E1134" s="2">
        <v>1264000206001</v>
      </c>
      <c r="F1134" s="1" t="s">
        <v>29</v>
      </c>
      <c r="G1134" s="1" t="s">
        <v>53</v>
      </c>
      <c r="H1134" s="1" t="s">
        <v>351</v>
      </c>
      <c r="I1134" s="1" t="s">
        <v>352</v>
      </c>
      <c r="J1134" s="1" t="s">
        <v>110</v>
      </c>
      <c r="K1134" t="s">
        <v>34</v>
      </c>
      <c r="M1134" s="1" t="s">
        <v>35</v>
      </c>
      <c r="N1134" s="1">
        <v>42318949</v>
      </c>
      <c r="O1134" s="1" t="s">
        <v>105</v>
      </c>
      <c r="P1134" s="186">
        <v>44932.430497685185</v>
      </c>
      <c r="R1134" s="1" t="s">
        <v>38</v>
      </c>
      <c r="T1134" s="1" t="s">
        <v>74</v>
      </c>
      <c r="U1134" s="186">
        <v>44932.75</v>
      </c>
      <c r="V1134" s="1" t="s">
        <v>41</v>
      </c>
      <c r="W1134" s="1" t="s">
        <v>49</v>
      </c>
      <c r="AA1134" s="14"/>
    </row>
    <row r="1135" spans="1:27" hidden="1">
      <c r="A1135" s="1">
        <v>9294610</v>
      </c>
      <c r="B1135" s="1" t="s">
        <v>101</v>
      </c>
      <c r="C1135" t="s">
        <v>1810</v>
      </c>
      <c r="E1135" s="2">
        <v>1245000206001</v>
      </c>
      <c r="F1135" s="1" t="s">
        <v>29</v>
      </c>
      <c r="G1135" s="1" t="s">
        <v>53</v>
      </c>
      <c r="H1135" s="1" t="s">
        <v>408</v>
      </c>
      <c r="I1135" s="1" t="s">
        <v>409</v>
      </c>
      <c r="J1135" s="1" t="s">
        <v>46</v>
      </c>
      <c r="K1135" t="s">
        <v>34</v>
      </c>
      <c r="M1135" s="1" t="s">
        <v>35</v>
      </c>
      <c r="N1135" s="1">
        <v>42318949</v>
      </c>
      <c r="O1135" s="1" t="s">
        <v>105</v>
      </c>
      <c r="P1135" s="186">
        <v>44932.430462962962</v>
      </c>
      <c r="R1135" s="1" t="s">
        <v>38</v>
      </c>
      <c r="T1135" s="1" t="s">
        <v>74</v>
      </c>
      <c r="U1135" s="186">
        <v>44932.75</v>
      </c>
      <c r="V1135" s="1" t="s">
        <v>41</v>
      </c>
      <c r="W1135" s="1" t="s">
        <v>49</v>
      </c>
      <c r="AA1135" s="14"/>
    </row>
    <row r="1136" spans="1:27" hidden="1">
      <c r="A1136" s="1">
        <v>9294550</v>
      </c>
      <c r="B1136" s="1" t="s">
        <v>101</v>
      </c>
      <c r="C1136" t="s">
        <v>1810</v>
      </c>
      <c r="E1136" s="2">
        <v>1185000206001</v>
      </c>
      <c r="F1136" s="1" t="s">
        <v>29</v>
      </c>
      <c r="G1136" s="1" t="s">
        <v>53</v>
      </c>
      <c r="H1136" s="1" t="s">
        <v>539</v>
      </c>
      <c r="I1136" s="1" t="s">
        <v>540</v>
      </c>
      <c r="J1136" s="1" t="s">
        <v>33</v>
      </c>
      <c r="K1136" t="s">
        <v>34</v>
      </c>
      <c r="M1136" s="1" t="s">
        <v>35</v>
      </c>
      <c r="N1136" s="1">
        <v>42318949</v>
      </c>
      <c r="O1136" s="1" t="s">
        <v>105</v>
      </c>
      <c r="P1136" s="186">
        <v>44932.430358796293</v>
      </c>
      <c r="R1136" s="1" t="s">
        <v>38</v>
      </c>
      <c r="T1136" s="1" t="s">
        <v>74</v>
      </c>
      <c r="U1136" s="186">
        <v>44932.75</v>
      </c>
      <c r="V1136" s="1" t="s">
        <v>41</v>
      </c>
      <c r="W1136" s="1" t="s">
        <v>42</v>
      </c>
      <c r="AA1136" s="14"/>
    </row>
    <row r="1137" spans="1:27">
      <c r="A1137" s="1">
        <v>9294531</v>
      </c>
      <c r="B1137" s="1" t="s">
        <v>101</v>
      </c>
      <c r="C1137" t="s">
        <v>1810</v>
      </c>
      <c r="E1137" s="2">
        <v>1162000206001</v>
      </c>
      <c r="F1137" s="1" t="s">
        <v>29</v>
      </c>
      <c r="G1137" s="1" t="s">
        <v>53</v>
      </c>
      <c r="H1137" s="1" t="s">
        <v>280</v>
      </c>
      <c r="I1137" s="1" t="s">
        <v>281</v>
      </c>
      <c r="J1137" s="1" t="s">
        <v>211</v>
      </c>
      <c r="K1137" t="s">
        <v>34</v>
      </c>
      <c r="M1137" s="1" t="s">
        <v>35</v>
      </c>
      <c r="N1137" s="1">
        <v>42318949</v>
      </c>
      <c r="O1137" s="1" t="s">
        <v>105</v>
      </c>
      <c r="P1137" s="186">
        <v>44932.430324074077</v>
      </c>
      <c r="R1137" s="1" t="s">
        <v>38</v>
      </c>
      <c r="T1137" s="1" t="s">
        <v>74</v>
      </c>
      <c r="U1137" s="186">
        <v>44932.75</v>
      </c>
      <c r="V1137" s="1" t="s">
        <v>41</v>
      </c>
      <c r="W1137" s="1" t="s">
        <v>49</v>
      </c>
      <c r="AA1137" s="14"/>
    </row>
    <row r="1138" spans="1:27" hidden="1">
      <c r="A1138" s="1">
        <v>9294523</v>
      </c>
      <c r="B1138" s="1" t="s">
        <v>101</v>
      </c>
      <c r="C1138" t="s">
        <v>1810</v>
      </c>
      <c r="E1138" s="2">
        <v>1153000206001</v>
      </c>
      <c r="F1138" s="1" t="s">
        <v>29</v>
      </c>
      <c r="G1138" s="1" t="s">
        <v>53</v>
      </c>
      <c r="H1138" s="1" t="s">
        <v>1031</v>
      </c>
      <c r="I1138" s="1" t="s">
        <v>1032</v>
      </c>
      <c r="J1138" s="1" t="s">
        <v>79</v>
      </c>
      <c r="K1138" t="s">
        <v>34</v>
      </c>
      <c r="M1138" s="1" t="s">
        <v>35</v>
      </c>
      <c r="N1138" s="1">
        <v>42318949</v>
      </c>
      <c r="O1138" s="1" t="s">
        <v>105</v>
      </c>
      <c r="P1138" s="186">
        <v>44932.430312500001</v>
      </c>
      <c r="R1138" s="1" t="s">
        <v>38</v>
      </c>
      <c r="T1138" s="1" t="s">
        <v>74</v>
      </c>
      <c r="U1138" s="186">
        <v>44932.75</v>
      </c>
      <c r="V1138" s="1" t="s">
        <v>41</v>
      </c>
      <c r="W1138" s="1" t="s">
        <v>49</v>
      </c>
      <c r="AA1138" s="14"/>
    </row>
    <row r="1139" spans="1:27" hidden="1">
      <c r="A1139" s="1">
        <v>9294508</v>
      </c>
      <c r="B1139" s="1" t="s">
        <v>101</v>
      </c>
      <c r="C1139" t="s">
        <v>1810</v>
      </c>
      <c r="E1139" s="2">
        <v>1138000206001</v>
      </c>
      <c r="F1139" s="1" t="s">
        <v>29</v>
      </c>
      <c r="G1139" s="1" t="s">
        <v>53</v>
      </c>
      <c r="H1139" s="1" t="s">
        <v>548</v>
      </c>
      <c r="I1139" s="1" t="s">
        <v>549</v>
      </c>
      <c r="J1139" s="1" t="s">
        <v>46</v>
      </c>
      <c r="K1139" t="s">
        <v>34</v>
      </c>
      <c r="M1139" s="1" t="s">
        <v>35</v>
      </c>
      <c r="N1139" s="1">
        <v>42318949</v>
      </c>
      <c r="O1139" s="1" t="s">
        <v>105</v>
      </c>
      <c r="P1139" s="186">
        <v>44932.430289351854</v>
      </c>
      <c r="R1139" s="1" t="s">
        <v>38</v>
      </c>
      <c r="T1139" s="1" t="s">
        <v>74</v>
      </c>
      <c r="U1139" s="186">
        <v>44932.75</v>
      </c>
      <c r="V1139" s="1" t="s">
        <v>41</v>
      </c>
      <c r="W1139" s="1" t="s">
        <v>49</v>
      </c>
      <c r="AA1139" s="14"/>
    </row>
    <row r="1140" spans="1:27" hidden="1">
      <c r="A1140" s="1">
        <v>9294499</v>
      </c>
      <c r="B1140" s="1" t="s">
        <v>101</v>
      </c>
      <c r="C1140" t="s">
        <v>1810</v>
      </c>
      <c r="E1140" s="2">
        <v>1128000206001</v>
      </c>
      <c r="F1140" s="1" t="s">
        <v>29</v>
      </c>
      <c r="G1140" s="1" t="s">
        <v>53</v>
      </c>
      <c r="H1140" s="1" t="s">
        <v>1191</v>
      </c>
      <c r="I1140" s="1" t="s">
        <v>1192</v>
      </c>
      <c r="J1140" s="1" t="s">
        <v>33</v>
      </c>
      <c r="K1140" t="s">
        <v>34</v>
      </c>
      <c r="M1140" s="1" t="s">
        <v>35</v>
      </c>
      <c r="N1140" s="1">
        <v>42318949</v>
      </c>
      <c r="O1140" s="1" t="s">
        <v>36</v>
      </c>
      <c r="P1140" s="186">
        <v>44932.430277777778</v>
      </c>
      <c r="R1140" s="1" t="s">
        <v>38</v>
      </c>
      <c r="T1140" s="1" t="s">
        <v>74</v>
      </c>
      <c r="U1140" s="186">
        <v>44932.75</v>
      </c>
      <c r="V1140" s="1" t="s">
        <v>41</v>
      </c>
      <c r="W1140" s="1" t="s">
        <v>49</v>
      </c>
      <c r="AA1140" s="14"/>
    </row>
    <row r="1141" spans="1:27" hidden="1">
      <c r="A1141" s="1">
        <v>9294491</v>
      </c>
      <c r="B1141" s="1" t="s">
        <v>101</v>
      </c>
      <c r="C1141" t="s">
        <v>1810</v>
      </c>
      <c r="E1141" s="2">
        <v>1120000206001</v>
      </c>
      <c r="F1141" s="1" t="s">
        <v>29</v>
      </c>
      <c r="G1141" s="1" t="s">
        <v>53</v>
      </c>
      <c r="H1141" s="1" t="s">
        <v>181</v>
      </c>
      <c r="I1141" s="1" t="s">
        <v>182</v>
      </c>
      <c r="J1141" s="1" t="s">
        <v>164</v>
      </c>
      <c r="K1141" t="s">
        <v>34</v>
      </c>
      <c r="M1141" s="1" t="s">
        <v>35</v>
      </c>
      <c r="N1141" s="1">
        <v>42318949</v>
      </c>
      <c r="O1141" s="1" t="s">
        <v>105</v>
      </c>
      <c r="P1141" s="186">
        <v>44932.430266203701</v>
      </c>
      <c r="R1141" s="1" t="s">
        <v>38</v>
      </c>
      <c r="T1141" s="1" t="s">
        <v>74</v>
      </c>
      <c r="U1141" s="186">
        <v>44932.75</v>
      </c>
      <c r="V1141" s="1" t="s">
        <v>41</v>
      </c>
      <c r="W1141" s="1" t="s">
        <v>49</v>
      </c>
      <c r="AA1141" s="14"/>
    </row>
    <row r="1142" spans="1:27">
      <c r="A1142" s="1">
        <v>9294445</v>
      </c>
      <c r="B1142" s="1" t="s">
        <v>101</v>
      </c>
      <c r="C1142" t="s">
        <v>1810</v>
      </c>
      <c r="E1142" s="2">
        <v>1069000206001</v>
      </c>
      <c r="F1142" s="1" t="s">
        <v>29</v>
      </c>
      <c r="G1142" s="1" t="s">
        <v>53</v>
      </c>
      <c r="H1142" s="1" t="s">
        <v>353</v>
      </c>
      <c r="I1142" s="1" t="s">
        <v>354</v>
      </c>
      <c r="J1142" s="1" t="s">
        <v>211</v>
      </c>
      <c r="K1142" t="s">
        <v>34</v>
      </c>
      <c r="M1142" s="1" t="s">
        <v>35</v>
      </c>
      <c r="N1142" s="1">
        <v>42318949</v>
      </c>
      <c r="O1142" s="1" t="s">
        <v>105</v>
      </c>
      <c r="P1142" s="186">
        <v>44932.430208333331</v>
      </c>
      <c r="R1142" s="1" t="s">
        <v>38</v>
      </c>
      <c r="T1142" s="1" t="s">
        <v>74</v>
      </c>
      <c r="U1142" s="186">
        <v>44932.75</v>
      </c>
      <c r="V1142" s="1" t="s">
        <v>41</v>
      </c>
      <c r="W1142" s="1" t="s">
        <v>49</v>
      </c>
      <c r="AA1142" s="14"/>
    </row>
    <row r="1143" spans="1:27">
      <c r="A1143" s="1">
        <v>9294436</v>
      </c>
      <c r="B1143" s="1" t="s">
        <v>101</v>
      </c>
      <c r="C1143" t="s">
        <v>1810</v>
      </c>
      <c r="E1143" s="2">
        <v>1059000206001</v>
      </c>
      <c r="F1143" s="1" t="s">
        <v>29</v>
      </c>
      <c r="G1143" s="1" t="s">
        <v>53</v>
      </c>
      <c r="H1143" s="1" t="s">
        <v>88</v>
      </c>
      <c r="I1143" s="1" t="s">
        <v>89</v>
      </c>
      <c r="J1143" s="1" t="s">
        <v>90</v>
      </c>
      <c r="K1143" t="s">
        <v>34</v>
      </c>
      <c r="M1143" s="1" t="s">
        <v>35</v>
      </c>
      <c r="N1143" s="1">
        <v>42318949</v>
      </c>
      <c r="O1143" s="1" t="s">
        <v>105</v>
      </c>
      <c r="P1143" s="186">
        <v>44932.430196759262</v>
      </c>
      <c r="R1143" s="1" t="s">
        <v>38</v>
      </c>
      <c r="T1143" s="1" t="s">
        <v>74</v>
      </c>
      <c r="U1143" s="186">
        <v>44932.75</v>
      </c>
      <c r="V1143" s="1" t="s">
        <v>41</v>
      </c>
      <c r="W1143" s="1" t="s">
        <v>49</v>
      </c>
      <c r="AA1143" s="14"/>
    </row>
    <row r="1144" spans="1:27" hidden="1">
      <c r="A1144" s="1">
        <v>9294435</v>
      </c>
      <c r="B1144" s="1" t="s">
        <v>101</v>
      </c>
      <c r="C1144" t="s">
        <v>1810</v>
      </c>
      <c r="E1144" s="2">
        <v>1058000206001</v>
      </c>
      <c r="F1144" s="1" t="s">
        <v>29</v>
      </c>
      <c r="G1144" s="1" t="s">
        <v>53</v>
      </c>
      <c r="H1144" s="1" t="s">
        <v>289</v>
      </c>
      <c r="I1144" s="1" t="s">
        <v>290</v>
      </c>
      <c r="J1144" s="1" t="s">
        <v>56</v>
      </c>
      <c r="K1144" t="s">
        <v>34</v>
      </c>
      <c r="M1144" s="1" t="s">
        <v>35</v>
      </c>
      <c r="N1144" s="1">
        <v>42318949</v>
      </c>
      <c r="O1144" s="1" t="s">
        <v>105</v>
      </c>
      <c r="P1144" s="186">
        <v>44932.430196759262</v>
      </c>
      <c r="R1144" s="1" t="s">
        <v>38</v>
      </c>
      <c r="T1144" s="1" t="s">
        <v>74</v>
      </c>
      <c r="U1144" s="186">
        <v>44932.75</v>
      </c>
      <c r="V1144" s="1" t="s">
        <v>41</v>
      </c>
      <c r="W1144" s="1" t="s">
        <v>49</v>
      </c>
      <c r="AA1144" s="14"/>
    </row>
    <row r="1145" spans="1:27" hidden="1">
      <c r="A1145" s="1">
        <v>9294424</v>
      </c>
      <c r="B1145" s="1" t="s">
        <v>101</v>
      </c>
      <c r="C1145" t="s">
        <v>1810</v>
      </c>
      <c r="E1145" s="2">
        <v>1049000206001</v>
      </c>
      <c r="F1145" s="1" t="s">
        <v>29</v>
      </c>
      <c r="G1145" s="1" t="s">
        <v>53</v>
      </c>
      <c r="H1145" s="1" t="s">
        <v>169</v>
      </c>
      <c r="I1145" s="1" t="s">
        <v>170</v>
      </c>
      <c r="J1145" s="1" t="s">
        <v>164</v>
      </c>
      <c r="K1145" t="s">
        <v>34</v>
      </c>
      <c r="M1145" s="1" t="s">
        <v>35</v>
      </c>
      <c r="N1145" s="1">
        <v>42318949</v>
      </c>
      <c r="O1145" s="1" t="s">
        <v>105</v>
      </c>
      <c r="P1145" s="186">
        <v>44932.430173611108</v>
      </c>
      <c r="R1145" s="1" t="s">
        <v>38</v>
      </c>
      <c r="T1145" s="1" t="s">
        <v>74</v>
      </c>
      <c r="U1145" s="186">
        <v>44932.75</v>
      </c>
      <c r="V1145" s="1" t="s">
        <v>41</v>
      </c>
      <c r="W1145" s="1" t="s">
        <v>49</v>
      </c>
      <c r="AA1145" s="14"/>
    </row>
    <row r="1146" spans="1:27">
      <c r="A1146" s="1">
        <v>9294406</v>
      </c>
      <c r="B1146" s="1" t="s">
        <v>101</v>
      </c>
      <c r="C1146" t="s">
        <v>1810</v>
      </c>
      <c r="E1146" s="2">
        <v>1028000206001</v>
      </c>
      <c r="F1146" s="1" t="s">
        <v>29</v>
      </c>
      <c r="G1146" s="1" t="s">
        <v>53</v>
      </c>
      <c r="H1146" s="1" t="s">
        <v>1079</v>
      </c>
      <c r="I1146" s="1" t="s">
        <v>1080</v>
      </c>
      <c r="J1146" s="1" t="s">
        <v>85</v>
      </c>
      <c r="K1146" t="s">
        <v>34</v>
      </c>
      <c r="M1146" s="1" t="s">
        <v>35</v>
      </c>
      <c r="N1146" s="1">
        <v>42318949</v>
      </c>
      <c r="O1146" s="1" t="s">
        <v>105</v>
      </c>
      <c r="P1146" s="186">
        <v>44932.430150462962</v>
      </c>
      <c r="R1146" s="1" t="s">
        <v>38</v>
      </c>
      <c r="T1146" s="1" t="s">
        <v>74</v>
      </c>
      <c r="U1146" s="186">
        <v>44932.75</v>
      </c>
      <c r="V1146" s="1" t="s">
        <v>41</v>
      </c>
      <c r="W1146" s="1" t="s">
        <v>49</v>
      </c>
      <c r="AA1146" s="14"/>
    </row>
    <row r="1147" spans="1:27" hidden="1">
      <c r="A1147" s="1">
        <v>9294391</v>
      </c>
      <c r="B1147" s="1" t="s">
        <v>101</v>
      </c>
      <c r="C1147" t="s">
        <v>1810</v>
      </c>
      <c r="E1147" s="2">
        <v>1012000206001</v>
      </c>
      <c r="F1147" s="1" t="s">
        <v>29</v>
      </c>
      <c r="G1147" s="1" t="s">
        <v>53</v>
      </c>
      <c r="H1147" s="1" t="s">
        <v>172</v>
      </c>
      <c r="I1147" s="1" t="s">
        <v>173</v>
      </c>
      <c r="J1147" s="1" t="s">
        <v>164</v>
      </c>
      <c r="K1147" t="s">
        <v>34</v>
      </c>
      <c r="M1147" s="1" t="s">
        <v>35</v>
      </c>
      <c r="N1147" s="1">
        <v>42318949</v>
      </c>
      <c r="O1147" s="1" t="s">
        <v>105</v>
      </c>
      <c r="P1147" s="186">
        <v>44932.430138888885</v>
      </c>
      <c r="R1147" s="1" t="s">
        <v>38</v>
      </c>
      <c r="T1147" s="1" t="s">
        <v>74</v>
      </c>
      <c r="U1147" s="186">
        <v>44932.75</v>
      </c>
      <c r="V1147" s="1" t="s">
        <v>41</v>
      </c>
      <c r="W1147" s="1" t="s">
        <v>49</v>
      </c>
      <c r="AA1147" s="14"/>
    </row>
    <row r="1148" spans="1:27">
      <c r="A1148" s="1">
        <v>9294359</v>
      </c>
      <c r="B1148" s="1" t="s">
        <v>101</v>
      </c>
      <c r="C1148" t="s">
        <v>1810</v>
      </c>
      <c r="E1148" s="2">
        <v>981000206001</v>
      </c>
      <c r="F1148" s="1" t="s">
        <v>29</v>
      </c>
      <c r="G1148" s="1" t="s">
        <v>53</v>
      </c>
      <c r="H1148" s="1" t="s">
        <v>410</v>
      </c>
      <c r="I1148" s="1" t="s">
        <v>411</v>
      </c>
      <c r="J1148" s="1" t="s">
        <v>85</v>
      </c>
      <c r="K1148" t="s">
        <v>34</v>
      </c>
      <c r="M1148" s="1" t="s">
        <v>35</v>
      </c>
      <c r="N1148" s="1">
        <v>42318949</v>
      </c>
      <c r="O1148" s="1" t="s">
        <v>105</v>
      </c>
      <c r="P1148" s="186">
        <v>44932.430081018516</v>
      </c>
      <c r="R1148" s="1" t="s">
        <v>38</v>
      </c>
      <c r="T1148" s="1" t="s">
        <v>74</v>
      </c>
      <c r="U1148" s="186">
        <v>44932.75</v>
      </c>
      <c r="V1148" s="1" t="s">
        <v>41</v>
      </c>
      <c r="W1148" s="1" t="s">
        <v>49</v>
      </c>
      <c r="AA1148" s="14"/>
    </row>
    <row r="1149" spans="1:27" hidden="1">
      <c r="A1149" s="1">
        <v>9294339</v>
      </c>
      <c r="B1149" s="1" t="s">
        <v>101</v>
      </c>
      <c r="C1149" t="s">
        <v>1810</v>
      </c>
      <c r="E1149" s="2">
        <v>963000206001</v>
      </c>
      <c r="F1149" s="1" t="s">
        <v>29</v>
      </c>
      <c r="G1149" s="1" t="s">
        <v>53</v>
      </c>
      <c r="H1149" s="1" t="s">
        <v>531</v>
      </c>
      <c r="I1149" s="1" t="s">
        <v>532</v>
      </c>
      <c r="J1149" s="1" t="s">
        <v>33</v>
      </c>
      <c r="K1149" t="s">
        <v>34</v>
      </c>
      <c r="M1149" s="1" t="s">
        <v>35</v>
      </c>
      <c r="N1149" s="1">
        <v>42318949</v>
      </c>
      <c r="O1149" s="1" t="s">
        <v>105</v>
      </c>
      <c r="P1149" s="186">
        <v>44932.430046296293</v>
      </c>
      <c r="R1149" s="1" t="s">
        <v>38</v>
      </c>
      <c r="T1149" s="1" t="s">
        <v>74</v>
      </c>
      <c r="U1149" s="186">
        <v>44932.75</v>
      </c>
      <c r="V1149" s="1" t="s">
        <v>41</v>
      </c>
      <c r="W1149" s="1" t="s">
        <v>49</v>
      </c>
      <c r="AA1149" s="14"/>
    </row>
    <row r="1150" spans="1:27" hidden="1">
      <c r="A1150" s="1">
        <v>9294307</v>
      </c>
      <c r="B1150" s="1" t="s">
        <v>101</v>
      </c>
      <c r="C1150" t="s">
        <v>1810</v>
      </c>
      <c r="E1150" s="2">
        <v>934000206001</v>
      </c>
      <c r="F1150" s="1" t="s">
        <v>29</v>
      </c>
      <c r="G1150" s="1" t="s">
        <v>53</v>
      </c>
      <c r="H1150" s="1" t="s">
        <v>428</v>
      </c>
      <c r="I1150" s="1" t="s">
        <v>429</v>
      </c>
      <c r="J1150" s="1" t="s">
        <v>46</v>
      </c>
      <c r="K1150" t="s">
        <v>34</v>
      </c>
      <c r="M1150" s="1" t="s">
        <v>35</v>
      </c>
      <c r="N1150" s="1">
        <v>42318949</v>
      </c>
      <c r="O1150" s="1" t="s">
        <v>105</v>
      </c>
      <c r="P1150" s="186">
        <v>44932.43</v>
      </c>
      <c r="R1150" s="1" t="s">
        <v>38</v>
      </c>
      <c r="T1150" s="1" t="s">
        <v>74</v>
      </c>
      <c r="U1150" s="186">
        <v>44932.75</v>
      </c>
      <c r="V1150" s="1" t="s">
        <v>41</v>
      </c>
      <c r="W1150" s="1" t="s">
        <v>49</v>
      </c>
      <c r="AA1150" s="14"/>
    </row>
    <row r="1151" spans="1:27" hidden="1">
      <c r="A1151" s="1">
        <v>9294293</v>
      </c>
      <c r="B1151" s="1" t="s">
        <v>101</v>
      </c>
      <c r="C1151" t="s">
        <v>1810</v>
      </c>
      <c r="E1151" s="2">
        <v>922000206001</v>
      </c>
      <c r="F1151" s="1" t="s">
        <v>29</v>
      </c>
      <c r="G1151" s="1" t="s">
        <v>53</v>
      </c>
      <c r="H1151" s="1" t="s">
        <v>1375</v>
      </c>
      <c r="I1151" s="1" t="s">
        <v>1376</v>
      </c>
      <c r="J1151" s="1" t="s">
        <v>261</v>
      </c>
      <c r="K1151" t="s">
        <v>34</v>
      </c>
      <c r="M1151" s="1" t="s">
        <v>35</v>
      </c>
      <c r="N1151" s="1">
        <v>42318949</v>
      </c>
      <c r="O1151" s="1" t="s">
        <v>105</v>
      </c>
      <c r="P1151" s="186">
        <v>44932.429988425924</v>
      </c>
      <c r="R1151" s="1" t="s">
        <v>38</v>
      </c>
      <c r="T1151" s="1" t="s">
        <v>74</v>
      </c>
      <c r="U1151" s="186">
        <v>44932.75</v>
      </c>
      <c r="V1151" s="1" t="s">
        <v>41</v>
      </c>
      <c r="W1151" s="1" t="s">
        <v>49</v>
      </c>
      <c r="AA1151" s="14"/>
    </row>
    <row r="1152" spans="1:27">
      <c r="A1152" s="1">
        <v>9294269</v>
      </c>
      <c r="B1152" s="1" t="s">
        <v>101</v>
      </c>
      <c r="C1152" t="s">
        <v>1810</v>
      </c>
      <c r="E1152" s="2">
        <v>899000206001</v>
      </c>
      <c r="F1152" s="1" t="s">
        <v>29</v>
      </c>
      <c r="G1152" s="1" t="s">
        <v>53</v>
      </c>
      <c r="H1152" s="1" t="s">
        <v>175</v>
      </c>
      <c r="I1152" s="1" t="s">
        <v>176</v>
      </c>
      <c r="J1152" s="1" t="s">
        <v>90</v>
      </c>
      <c r="K1152" t="s">
        <v>34</v>
      </c>
      <c r="M1152" s="1" t="s">
        <v>35</v>
      </c>
      <c r="N1152" s="1">
        <v>42318949</v>
      </c>
      <c r="O1152" s="1" t="s">
        <v>36</v>
      </c>
      <c r="P1152" s="186">
        <v>44932.429942129631</v>
      </c>
      <c r="R1152" s="1" t="s">
        <v>38</v>
      </c>
      <c r="T1152" s="1" t="s">
        <v>74</v>
      </c>
      <c r="U1152" s="186">
        <v>44932.75</v>
      </c>
      <c r="V1152" s="1" t="s">
        <v>41</v>
      </c>
      <c r="W1152" s="1" t="s">
        <v>49</v>
      </c>
      <c r="AA1152" s="14"/>
    </row>
    <row r="1153" spans="1:27">
      <c r="A1153" s="1">
        <v>9294239</v>
      </c>
      <c r="B1153" s="1" t="s">
        <v>101</v>
      </c>
      <c r="C1153" t="s">
        <v>1810</v>
      </c>
      <c r="E1153" s="2">
        <v>870000206001</v>
      </c>
      <c r="F1153" s="1" t="s">
        <v>29</v>
      </c>
      <c r="G1153" s="1" t="s">
        <v>53</v>
      </c>
      <c r="H1153" s="1" t="s">
        <v>183</v>
      </c>
      <c r="I1153" s="1" t="s">
        <v>184</v>
      </c>
      <c r="J1153" s="1" t="s">
        <v>90</v>
      </c>
      <c r="K1153" t="s">
        <v>34</v>
      </c>
      <c r="M1153" s="1" t="s">
        <v>35</v>
      </c>
      <c r="N1153" s="1">
        <v>42318949</v>
      </c>
      <c r="O1153" s="1" t="s">
        <v>105</v>
      </c>
      <c r="P1153" s="186">
        <v>44932.429907407408</v>
      </c>
      <c r="R1153" s="1" t="s">
        <v>38</v>
      </c>
      <c r="T1153" s="1" t="s">
        <v>74</v>
      </c>
      <c r="U1153" s="186">
        <v>44932.75</v>
      </c>
      <c r="V1153" s="1" t="s">
        <v>41</v>
      </c>
      <c r="W1153" s="1" t="s">
        <v>49</v>
      </c>
      <c r="AA1153" s="14"/>
    </row>
    <row r="1154" spans="1:27" hidden="1">
      <c r="A1154" s="1">
        <v>9294195</v>
      </c>
      <c r="B1154" s="1" t="s">
        <v>101</v>
      </c>
      <c r="C1154" t="s">
        <v>1810</v>
      </c>
      <c r="E1154" s="2">
        <v>834000206001</v>
      </c>
      <c r="F1154" s="1" t="s">
        <v>29</v>
      </c>
      <c r="G1154" s="1" t="s">
        <v>53</v>
      </c>
      <c r="H1154" s="1" t="s">
        <v>367</v>
      </c>
      <c r="I1154" s="1" t="s">
        <v>368</v>
      </c>
      <c r="J1154" s="1" t="s">
        <v>261</v>
      </c>
      <c r="K1154" t="s">
        <v>34</v>
      </c>
      <c r="M1154" s="1" t="s">
        <v>35</v>
      </c>
      <c r="N1154" s="1">
        <v>42318949</v>
      </c>
      <c r="O1154" s="1" t="s">
        <v>105</v>
      </c>
      <c r="P1154" s="186">
        <v>44932.429837962962</v>
      </c>
      <c r="R1154" s="1" t="s">
        <v>38</v>
      </c>
      <c r="T1154" s="1" t="s">
        <v>74</v>
      </c>
      <c r="U1154" s="186">
        <v>44932.75</v>
      </c>
      <c r="V1154" s="1" t="s">
        <v>41</v>
      </c>
      <c r="W1154" s="1" t="s">
        <v>49</v>
      </c>
      <c r="AA1154" s="14"/>
    </row>
    <row r="1155" spans="1:27" hidden="1">
      <c r="A1155" s="1">
        <v>9294183</v>
      </c>
      <c r="B1155" s="1" t="s">
        <v>101</v>
      </c>
      <c r="C1155" t="s">
        <v>1810</v>
      </c>
      <c r="E1155" s="2">
        <v>821000206001</v>
      </c>
      <c r="F1155" s="1" t="s">
        <v>29</v>
      </c>
      <c r="G1155" s="1" t="s">
        <v>53</v>
      </c>
      <c r="H1155" s="1" t="s">
        <v>1351</v>
      </c>
      <c r="I1155" s="1" t="s">
        <v>1352</v>
      </c>
      <c r="J1155" s="1" t="s">
        <v>46</v>
      </c>
      <c r="K1155" t="s">
        <v>34</v>
      </c>
      <c r="M1155" s="1" t="s">
        <v>35</v>
      </c>
      <c r="N1155" s="1">
        <v>42318949</v>
      </c>
      <c r="O1155" s="1" t="s">
        <v>105</v>
      </c>
      <c r="P1155" s="186">
        <v>44932.429814814815</v>
      </c>
      <c r="R1155" s="1" t="s">
        <v>38</v>
      </c>
      <c r="T1155" s="1" t="s">
        <v>74</v>
      </c>
      <c r="U1155" s="186">
        <v>44932.75</v>
      </c>
      <c r="V1155" s="1" t="s">
        <v>41</v>
      </c>
      <c r="W1155" s="1" t="s">
        <v>49</v>
      </c>
      <c r="AA1155" s="14"/>
    </row>
    <row r="1156" spans="1:27" hidden="1">
      <c r="A1156" s="1">
        <v>9294081</v>
      </c>
      <c r="B1156" s="1" t="s">
        <v>101</v>
      </c>
      <c r="C1156" t="s">
        <v>1810</v>
      </c>
      <c r="E1156" s="2">
        <v>721000206001</v>
      </c>
      <c r="F1156" s="1" t="s">
        <v>29</v>
      </c>
      <c r="G1156" s="1" t="s">
        <v>53</v>
      </c>
      <c r="H1156" s="1" t="s">
        <v>422</v>
      </c>
      <c r="I1156" s="1" t="s">
        <v>423</v>
      </c>
      <c r="J1156" s="1" t="s">
        <v>79</v>
      </c>
      <c r="K1156" t="s">
        <v>34</v>
      </c>
      <c r="M1156" s="1" t="s">
        <v>35</v>
      </c>
      <c r="N1156" s="1">
        <v>42318949</v>
      </c>
      <c r="O1156" s="1" t="s">
        <v>105</v>
      </c>
      <c r="P1156" s="186">
        <v>44932.429664351854</v>
      </c>
      <c r="R1156" s="1" t="s">
        <v>38</v>
      </c>
      <c r="T1156" s="1" t="s">
        <v>74</v>
      </c>
      <c r="U1156" s="186">
        <v>44932.75</v>
      </c>
      <c r="V1156" s="1" t="s">
        <v>41</v>
      </c>
      <c r="W1156" s="1" t="s">
        <v>49</v>
      </c>
      <c r="AA1156" s="14"/>
    </row>
    <row r="1157" spans="1:27" hidden="1">
      <c r="A1157" s="1">
        <v>9294073</v>
      </c>
      <c r="B1157" s="1" t="s">
        <v>101</v>
      </c>
      <c r="C1157" t="s">
        <v>1810</v>
      </c>
      <c r="E1157" s="2">
        <v>714000206001</v>
      </c>
      <c r="F1157" s="1" t="s">
        <v>29</v>
      </c>
      <c r="G1157" s="1" t="s">
        <v>53</v>
      </c>
      <c r="H1157" s="1" t="s">
        <v>377</v>
      </c>
      <c r="I1157" s="1" t="s">
        <v>378</v>
      </c>
      <c r="J1157" s="1" t="s">
        <v>46</v>
      </c>
      <c r="K1157" t="s">
        <v>34</v>
      </c>
      <c r="M1157" s="1" t="s">
        <v>35</v>
      </c>
      <c r="N1157" s="1">
        <v>42318949</v>
      </c>
      <c r="O1157" s="1" t="s">
        <v>105</v>
      </c>
      <c r="P1157" s="186">
        <v>44932.429652777777</v>
      </c>
      <c r="R1157" s="1" t="s">
        <v>38</v>
      </c>
      <c r="T1157" s="1" t="s">
        <v>74</v>
      </c>
      <c r="U1157" s="186">
        <v>44932.75</v>
      </c>
      <c r="V1157" s="1" t="s">
        <v>41</v>
      </c>
      <c r="W1157" s="1" t="s">
        <v>49</v>
      </c>
      <c r="AA1157" s="14"/>
    </row>
    <row r="1158" spans="1:27" hidden="1">
      <c r="A1158" s="1">
        <v>9294069</v>
      </c>
      <c r="B1158" s="1" t="s">
        <v>101</v>
      </c>
      <c r="C1158" t="s">
        <v>1810</v>
      </c>
      <c r="E1158" s="2">
        <v>711000206001</v>
      </c>
      <c r="F1158" s="1" t="s">
        <v>29</v>
      </c>
      <c r="G1158" s="1" t="s">
        <v>53</v>
      </c>
      <c r="H1158" s="1" t="s">
        <v>77</v>
      </c>
      <c r="I1158" s="1" t="s">
        <v>78</v>
      </c>
      <c r="J1158" s="1" t="s">
        <v>79</v>
      </c>
      <c r="K1158" t="s">
        <v>34</v>
      </c>
      <c r="M1158" s="1" t="s">
        <v>35</v>
      </c>
      <c r="N1158" s="1">
        <v>42318949</v>
      </c>
      <c r="O1158" s="1" t="s">
        <v>105</v>
      </c>
      <c r="P1158" s="186">
        <v>44932.4296412037</v>
      </c>
      <c r="R1158" s="1" t="s">
        <v>38</v>
      </c>
      <c r="T1158" s="1" t="s">
        <v>74</v>
      </c>
      <c r="U1158" s="186">
        <v>44932.75</v>
      </c>
      <c r="V1158" s="1" t="s">
        <v>41</v>
      </c>
      <c r="W1158" s="1" t="s">
        <v>49</v>
      </c>
      <c r="AA1158" s="14"/>
    </row>
    <row r="1159" spans="1:27" hidden="1">
      <c r="A1159" s="1">
        <v>9294068</v>
      </c>
      <c r="B1159" s="1" t="s">
        <v>101</v>
      </c>
      <c r="C1159" t="s">
        <v>1810</v>
      </c>
      <c r="E1159" s="2">
        <v>710000206001</v>
      </c>
      <c r="F1159" s="1" t="s">
        <v>29</v>
      </c>
      <c r="G1159" s="1" t="s">
        <v>53</v>
      </c>
      <c r="H1159" s="1" t="s">
        <v>390</v>
      </c>
      <c r="I1159" s="1" t="s">
        <v>391</v>
      </c>
      <c r="J1159" s="1" t="s">
        <v>56</v>
      </c>
      <c r="K1159" t="s">
        <v>34</v>
      </c>
      <c r="M1159" s="1" t="s">
        <v>35</v>
      </c>
      <c r="N1159" s="1">
        <v>42318949</v>
      </c>
      <c r="O1159" s="1" t="s">
        <v>36</v>
      </c>
      <c r="P1159" s="186">
        <v>44932.4296412037</v>
      </c>
      <c r="R1159" s="1" t="s">
        <v>38</v>
      </c>
      <c r="T1159" s="1" t="s">
        <v>74</v>
      </c>
      <c r="U1159" s="186">
        <v>44932.75</v>
      </c>
      <c r="V1159" s="1" t="s">
        <v>41</v>
      </c>
      <c r="W1159" s="1" t="s">
        <v>49</v>
      </c>
      <c r="AA1159" s="14"/>
    </row>
    <row r="1160" spans="1:27" hidden="1">
      <c r="A1160" s="1">
        <v>9294054</v>
      </c>
      <c r="B1160" s="1" t="s">
        <v>101</v>
      </c>
      <c r="C1160" t="s">
        <v>1810</v>
      </c>
      <c r="E1160" s="2">
        <v>697000206001</v>
      </c>
      <c r="F1160" s="1" t="s">
        <v>29</v>
      </c>
      <c r="G1160" s="1" t="s">
        <v>53</v>
      </c>
      <c r="H1160" s="1" t="s">
        <v>65</v>
      </c>
      <c r="I1160" s="1" t="s">
        <v>66</v>
      </c>
      <c r="J1160" s="1" t="s">
        <v>46</v>
      </c>
      <c r="K1160" t="s">
        <v>34</v>
      </c>
      <c r="M1160" s="1" t="s">
        <v>35</v>
      </c>
      <c r="N1160" s="1">
        <v>42318949</v>
      </c>
      <c r="O1160" s="1" t="s">
        <v>105</v>
      </c>
      <c r="P1160" s="186">
        <v>44932.429618055554</v>
      </c>
      <c r="R1160" s="1" t="s">
        <v>38</v>
      </c>
      <c r="T1160" s="1" t="s">
        <v>74</v>
      </c>
      <c r="U1160" s="186">
        <v>44932.75</v>
      </c>
      <c r="V1160" s="1" t="s">
        <v>41</v>
      </c>
      <c r="W1160" s="1" t="s">
        <v>49</v>
      </c>
      <c r="AA1160" s="14"/>
    </row>
    <row r="1161" spans="1:27" hidden="1">
      <c r="A1161" s="1">
        <v>9294030</v>
      </c>
      <c r="B1161" s="1" t="s">
        <v>101</v>
      </c>
      <c r="C1161" t="s">
        <v>1810</v>
      </c>
      <c r="E1161" s="2">
        <v>673000206001</v>
      </c>
      <c r="F1161" s="1" t="s">
        <v>29</v>
      </c>
      <c r="G1161" s="1" t="s">
        <v>53</v>
      </c>
      <c r="H1161" s="1" t="s">
        <v>581</v>
      </c>
      <c r="I1161" s="1" t="s">
        <v>582</v>
      </c>
      <c r="J1161" s="1" t="s">
        <v>110</v>
      </c>
      <c r="K1161" t="s">
        <v>34</v>
      </c>
      <c r="M1161" s="1" t="s">
        <v>35</v>
      </c>
      <c r="N1161" s="1">
        <v>42318949</v>
      </c>
      <c r="O1161" s="1" t="s">
        <v>105</v>
      </c>
      <c r="P1161" s="186">
        <v>44932.429583333331</v>
      </c>
      <c r="R1161" s="1" t="s">
        <v>38</v>
      </c>
      <c r="T1161" s="1" t="s">
        <v>74</v>
      </c>
      <c r="U1161" s="186">
        <v>44932.75</v>
      </c>
      <c r="V1161" s="1" t="s">
        <v>41</v>
      </c>
      <c r="W1161" s="1" t="s">
        <v>49</v>
      </c>
      <c r="AA1161" s="14"/>
    </row>
    <row r="1162" spans="1:27">
      <c r="A1162" s="1">
        <v>9293955</v>
      </c>
      <c r="B1162" s="1" t="s">
        <v>101</v>
      </c>
      <c r="C1162" t="s">
        <v>1810</v>
      </c>
      <c r="E1162" s="2">
        <v>608000206001</v>
      </c>
      <c r="F1162" s="1" t="s">
        <v>29</v>
      </c>
      <c r="G1162" s="1" t="s">
        <v>53</v>
      </c>
      <c r="H1162" s="1" t="s">
        <v>438</v>
      </c>
      <c r="I1162" s="1" t="s">
        <v>439</v>
      </c>
      <c r="J1162" s="1" t="s">
        <v>148</v>
      </c>
      <c r="K1162" t="s">
        <v>34</v>
      </c>
      <c r="M1162" s="1" t="s">
        <v>35</v>
      </c>
      <c r="N1162" s="1">
        <v>42318949</v>
      </c>
      <c r="O1162" s="1" t="s">
        <v>105</v>
      </c>
      <c r="P1162" s="186">
        <v>44932.429467592592</v>
      </c>
      <c r="R1162" s="1" t="s">
        <v>38</v>
      </c>
      <c r="T1162" s="1" t="s">
        <v>74</v>
      </c>
      <c r="U1162" s="186">
        <v>44932.75</v>
      </c>
      <c r="V1162" s="1" t="s">
        <v>41</v>
      </c>
      <c r="W1162" s="1" t="s">
        <v>49</v>
      </c>
      <c r="AA1162" s="14"/>
    </row>
    <row r="1163" spans="1:27">
      <c r="A1163" s="1">
        <v>9293952</v>
      </c>
      <c r="B1163" s="1" t="s">
        <v>101</v>
      </c>
      <c r="C1163" t="s">
        <v>1810</v>
      </c>
      <c r="E1163" s="2">
        <v>605000206001</v>
      </c>
      <c r="F1163" s="1" t="s">
        <v>29</v>
      </c>
      <c r="G1163" s="1" t="s">
        <v>53</v>
      </c>
      <c r="H1163" s="1" t="s">
        <v>420</v>
      </c>
      <c r="I1163" s="1" t="s">
        <v>421</v>
      </c>
      <c r="J1163" s="1" t="s">
        <v>90</v>
      </c>
      <c r="K1163" t="s">
        <v>34</v>
      </c>
      <c r="M1163" s="1" t="s">
        <v>35</v>
      </c>
      <c r="N1163" s="1">
        <v>42318949</v>
      </c>
      <c r="O1163" s="1" t="s">
        <v>105</v>
      </c>
      <c r="P1163" s="186">
        <v>44932.429456018515</v>
      </c>
      <c r="R1163" s="1" t="s">
        <v>38</v>
      </c>
      <c r="T1163" s="1" t="s">
        <v>74</v>
      </c>
      <c r="U1163" s="186">
        <v>44932.75</v>
      </c>
      <c r="V1163" s="1" t="s">
        <v>41</v>
      </c>
      <c r="W1163" s="1" t="s">
        <v>49</v>
      </c>
      <c r="AA1163" s="14"/>
    </row>
    <row r="1164" spans="1:27" hidden="1">
      <c r="A1164" s="1">
        <v>9293925</v>
      </c>
      <c r="B1164" s="1" t="s">
        <v>101</v>
      </c>
      <c r="C1164" t="s">
        <v>1810</v>
      </c>
      <c r="E1164" s="2">
        <v>582000206001</v>
      </c>
      <c r="F1164" s="1" t="s">
        <v>29</v>
      </c>
      <c r="G1164" s="1" t="s">
        <v>53</v>
      </c>
      <c r="H1164" s="1" t="s">
        <v>139</v>
      </c>
      <c r="I1164" s="1" t="s">
        <v>140</v>
      </c>
      <c r="J1164" s="1" t="s">
        <v>141</v>
      </c>
      <c r="K1164" t="s">
        <v>34</v>
      </c>
      <c r="M1164" s="1" t="s">
        <v>35</v>
      </c>
      <c r="N1164" s="1">
        <v>42318949</v>
      </c>
      <c r="O1164" s="1" t="s">
        <v>105</v>
      </c>
      <c r="P1164" s="186">
        <v>44932.4294212963</v>
      </c>
      <c r="R1164" s="1" t="s">
        <v>38</v>
      </c>
      <c r="T1164" s="1" t="s">
        <v>74</v>
      </c>
      <c r="U1164" s="186">
        <v>44932.75</v>
      </c>
      <c r="V1164" s="1" t="s">
        <v>41</v>
      </c>
      <c r="W1164" s="1" t="s">
        <v>49</v>
      </c>
      <c r="AA1164" s="14"/>
    </row>
    <row r="1165" spans="1:27">
      <c r="A1165" s="1">
        <v>9293913</v>
      </c>
      <c r="B1165" s="1" t="s">
        <v>101</v>
      </c>
      <c r="C1165" t="s">
        <v>1810</v>
      </c>
      <c r="E1165" s="2">
        <v>570000206001</v>
      </c>
      <c r="F1165" s="1" t="s">
        <v>29</v>
      </c>
      <c r="G1165" s="1" t="s">
        <v>53</v>
      </c>
      <c r="H1165" s="1" t="s">
        <v>434</v>
      </c>
      <c r="I1165" s="1" t="s">
        <v>435</v>
      </c>
      <c r="J1165" s="1" t="s">
        <v>148</v>
      </c>
      <c r="K1165" t="s">
        <v>34</v>
      </c>
      <c r="M1165" s="1" t="s">
        <v>35</v>
      </c>
      <c r="N1165" s="1">
        <v>42318949</v>
      </c>
      <c r="O1165" s="1" t="s">
        <v>105</v>
      </c>
      <c r="P1165" s="186">
        <v>44932.429398148146</v>
      </c>
      <c r="R1165" s="1" t="s">
        <v>38</v>
      </c>
      <c r="T1165" s="1" t="s">
        <v>74</v>
      </c>
      <c r="U1165" s="186">
        <v>44932.75</v>
      </c>
      <c r="V1165" s="1" t="s">
        <v>41</v>
      </c>
      <c r="W1165" s="1" t="s">
        <v>49</v>
      </c>
      <c r="AA1165" s="14"/>
    </row>
    <row r="1166" spans="1:27" hidden="1">
      <c r="A1166" s="1">
        <v>9293892</v>
      </c>
      <c r="B1166" s="1" t="s">
        <v>101</v>
      </c>
      <c r="C1166" t="s">
        <v>1810</v>
      </c>
      <c r="E1166" s="2">
        <v>550000206001</v>
      </c>
      <c r="F1166" s="1" t="s">
        <v>29</v>
      </c>
      <c r="G1166" s="1" t="s">
        <v>53</v>
      </c>
      <c r="H1166" s="1" t="s">
        <v>337</v>
      </c>
      <c r="I1166" s="1" t="s">
        <v>338</v>
      </c>
      <c r="J1166" s="1" t="s">
        <v>164</v>
      </c>
      <c r="K1166" t="s">
        <v>34</v>
      </c>
      <c r="M1166" s="1" t="s">
        <v>35</v>
      </c>
      <c r="N1166" s="1">
        <v>42318949</v>
      </c>
      <c r="O1166" s="1" t="s">
        <v>105</v>
      </c>
      <c r="P1166" s="186">
        <v>44932.429363425923</v>
      </c>
      <c r="R1166" s="1" t="s">
        <v>38</v>
      </c>
      <c r="T1166" s="1" t="s">
        <v>74</v>
      </c>
      <c r="U1166" s="186">
        <v>44932.75</v>
      </c>
      <c r="V1166" s="1" t="s">
        <v>41</v>
      </c>
      <c r="W1166" s="1" t="s">
        <v>49</v>
      </c>
      <c r="AA1166" s="14"/>
    </row>
    <row r="1167" spans="1:27" hidden="1">
      <c r="A1167" s="1">
        <v>9293880</v>
      </c>
      <c r="B1167" s="1" t="s">
        <v>101</v>
      </c>
      <c r="C1167" t="s">
        <v>1810</v>
      </c>
      <c r="E1167" s="2">
        <v>537000206001</v>
      </c>
      <c r="F1167" s="1" t="s">
        <v>29</v>
      </c>
      <c r="G1167" s="1" t="s">
        <v>53</v>
      </c>
      <c r="H1167" s="1" t="s">
        <v>442</v>
      </c>
      <c r="I1167" s="1" t="s">
        <v>443</v>
      </c>
      <c r="J1167" s="1" t="s">
        <v>79</v>
      </c>
      <c r="K1167" t="s">
        <v>34</v>
      </c>
      <c r="M1167" s="1" t="s">
        <v>35</v>
      </c>
      <c r="N1167" s="1">
        <v>42318949</v>
      </c>
      <c r="O1167" s="1" t="s">
        <v>105</v>
      </c>
      <c r="P1167" s="186">
        <v>44932.429351851853</v>
      </c>
      <c r="R1167" s="1" t="s">
        <v>38</v>
      </c>
      <c r="T1167" s="1" t="s">
        <v>74</v>
      </c>
      <c r="U1167" s="186">
        <v>44932.75</v>
      </c>
      <c r="V1167" s="1" t="s">
        <v>41</v>
      </c>
      <c r="W1167" s="1" t="s">
        <v>49</v>
      </c>
      <c r="AA1167" s="14"/>
    </row>
    <row r="1168" spans="1:27" hidden="1">
      <c r="A1168" s="1">
        <v>9293775</v>
      </c>
      <c r="B1168" s="1" t="s">
        <v>101</v>
      </c>
      <c r="C1168" t="s">
        <v>1810</v>
      </c>
      <c r="E1168" s="2">
        <v>446000206001</v>
      </c>
      <c r="F1168" s="1" t="s">
        <v>29</v>
      </c>
      <c r="G1168" s="1" t="s">
        <v>53</v>
      </c>
      <c r="H1168" s="1" t="s">
        <v>432</v>
      </c>
      <c r="I1168" s="1" t="s">
        <v>433</v>
      </c>
      <c r="J1168" s="1" t="s">
        <v>110</v>
      </c>
      <c r="K1168" t="s">
        <v>34</v>
      </c>
      <c r="M1168" s="1" t="s">
        <v>35</v>
      </c>
      <c r="N1168" s="1">
        <v>42318949</v>
      </c>
      <c r="O1168" s="1" t="s">
        <v>36</v>
      </c>
      <c r="P1168" s="186">
        <v>44932.429189814815</v>
      </c>
      <c r="R1168" s="1" t="s">
        <v>38</v>
      </c>
      <c r="T1168" s="1" t="s">
        <v>74</v>
      </c>
      <c r="U1168" s="186">
        <v>44932.75</v>
      </c>
      <c r="V1168" s="1" t="s">
        <v>41</v>
      </c>
      <c r="W1168" s="1" t="s">
        <v>49</v>
      </c>
      <c r="AA1168" s="14"/>
    </row>
    <row r="1169" spans="1:27" hidden="1">
      <c r="A1169" s="1">
        <v>9293508</v>
      </c>
      <c r="B1169" s="1" t="s">
        <v>101</v>
      </c>
      <c r="C1169" t="s">
        <v>1810</v>
      </c>
      <c r="E1169" s="2">
        <v>233000206001</v>
      </c>
      <c r="F1169" s="1" t="s">
        <v>29</v>
      </c>
      <c r="G1169" s="1" t="s">
        <v>53</v>
      </c>
      <c r="H1169" s="1" t="s">
        <v>424</v>
      </c>
      <c r="I1169" s="1" t="s">
        <v>425</v>
      </c>
      <c r="J1169" s="1" t="s">
        <v>261</v>
      </c>
      <c r="K1169" t="s">
        <v>34</v>
      </c>
      <c r="M1169" s="1" t="s">
        <v>35</v>
      </c>
      <c r="N1169" s="1">
        <v>42318949</v>
      </c>
      <c r="O1169" s="1" t="s">
        <v>105</v>
      </c>
      <c r="P1169" s="186">
        <v>44932.428796296299</v>
      </c>
      <c r="R1169" s="1" t="s">
        <v>38</v>
      </c>
      <c r="T1169" s="1" t="s">
        <v>74</v>
      </c>
      <c r="U1169" s="186">
        <v>44932.75</v>
      </c>
      <c r="V1169" s="1" t="s">
        <v>41</v>
      </c>
      <c r="W1169" s="1" t="s">
        <v>49</v>
      </c>
      <c r="AA1169" s="14"/>
    </row>
    <row r="1170" spans="1:27" hidden="1">
      <c r="A1170" s="1">
        <v>9293507</v>
      </c>
      <c r="B1170" s="1" t="s">
        <v>101</v>
      </c>
      <c r="C1170" t="s">
        <v>1810</v>
      </c>
      <c r="E1170" s="2">
        <v>232000206001</v>
      </c>
      <c r="F1170" s="1" t="s">
        <v>29</v>
      </c>
      <c r="G1170" s="1" t="s">
        <v>53</v>
      </c>
      <c r="H1170" s="1" t="s">
        <v>1363</v>
      </c>
      <c r="I1170" s="1" t="s">
        <v>1364</v>
      </c>
      <c r="J1170" s="1" t="s">
        <v>141</v>
      </c>
      <c r="K1170" t="s">
        <v>34</v>
      </c>
      <c r="M1170" s="1" t="s">
        <v>35</v>
      </c>
      <c r="N1170" s="1">
        <v>42318949</v>
      </c>
      <c r="O1170" s="1" t="s">
        <v>105</v>
      </c>
      <c r="P1170" s="186">
        <v>44932.428796296299</v>
      </c>
      <c r="R1170" s="1" t="s">
        <v>38</v>
      </c>
      <c r="T1170" s="1" t="s">
        <v>74</v>
      </c>
      <c r="U1170" s="186">
        <v>44932.75</v>
      </c>
      <c r="V1170" s="1" t="s">
        <v>41</v>
      </c>
      <c r="W1170" s="1" t="s">
        <v>49</v>
      </c>
      <c r="AA1170" s="14"/>
    </row>
    <row r="1171" spans="1:27" hidden="1">
      <c r="A1171" s="1">
        <v>9293492</v>
      </c>
      <c r="B1171" s="1" t="s">
        <v>101</v>
      </c>
      <c r="C1171" t="s">
        <v>1810</v>
      </c>
      <c r="E1171" s="2">
        <v>220000206001</v>
      </c>
      <c r="F1171" s="1" t="s">
        <v>29</v>
      </c>
      <c r="G1171" s="1" t="s">
        <v>53</v>
      </c>
      <c r="H1171" s="1" t="s">
        <v>588</v>
      </c>
      <c r="I1171" s="1" t="s">
        <v>589</v>
      </c>
      <c r="J1171" s="1" t="s">
        <v>110</v>
      </c>
      <c r="K1171" t="s">
        <v>34</v>
      </c>
      <c r="M1171" s="1" t="s">
        <v>35</v>
      </c>
      <c r="N1171" s="1">
        <v>42318949</v>
      </c>
      <c r="O1171" s="1" t="s">
        <v>105</v>
      </c>
      <c r="P1171" s="186">
        <v>44932.428784722222</v>
      </c>
      <c r="R1171" s="1" t="s">
        <v>38</v>
      </c>
      <c r="T1171" s="1" t="s">
        <v>74</v>
      </c>
      <c r="U1171" s="186">
        <v>44932.75</v>
      </c>
      <c r="V1171" s="1" t="s">
        <v>41</v>
      </c>
      <c r="W1171" s="1" t="s">
        <v>49</v>
      </c>
      <c r="AA1171" s="14"/>
    </row>
    <row r="1172" spans="1:27" hidden="1">
      <c r="A1172" s="1">
        <v>9293462</v>
      </c>
      <c r="B1172" s="1" t="s">
        <v>101</v>
      </c>
      <c r="C1172" t="s">
        <v>1810</v>
      </c>
      <c r="E1172" s="2">
        <v>196000206001</v>
      </c>
      <c r="F1172" s="1" t="s">
        <v>29</v>
      </c>
      <c r="G1172" s="1" t="s">
        <v>53</v>
      </c>
      <c r="H1172" s="1" t="s">
        <v>1060</v>
      </c>
      <c r="I1172" s="1" t="s">
        <v>1061</v>
      </c>
      <c r="J1172" s="1" t="s">
        <v>79</v>
      </c>
      <c r="K1172" t="s">
        <v>34</v>
      </c>
      <c r="M1172" s="1" t="s">
        <v>35</v>
      </c>
      <c r="N1172" s="1">
        <v>42318949</v>
      </c>
      <c r="O1172" s="1" t="s">
        <v>105</v>
      </c>
      <c r="P1172" s="186">
        <v>44932.428738425922</v>
      </c>
      <c r="R1172" s="1" t="s">
        <v>38</v>
      </c>
      <c r="T1172" s="1" t="s">
        <v>74</v>
      </c>
      <c r="U1172" s="186">
        <v>44932.75</v>
      </c>
      <c r="V1172" s="1" t="s">
        <v>41</v>
      </c>
      <c r="W1172" s="1" t="s">
        <v>49</v>
      </c>
      <c r="AA1172" s="14"/>
    </row>
    <row r="1173" spans="1:27" hidden="1">
      <c r="A1173" s="1">
        <v>9293363</v>
      </c>
      <c r="B1173" s="1" t="s">
        <v>101</v>
      </c>
      <c r="C1173" t="s">
        <v>1810</v>
      </c>
      <c r="E1173" s="2">
        <v>115000206001</v>
      </c>
      <c r="F1173" s="1" t="s">
        <v>29</v>
      </c>
      <c r="G1173" s="1" t="s">
        <v>53</v>
      </c>
      <c r="H1173" s="1" t="s">
        <v>542</v>
      </c>
      <c r="I1173" s="1" t="s">
        <v>543</v>
      </c>
      <c r="J1173" s="1" t="s">
        <v>56</v>
      </c>
      <c r="K1173" t="s">
        <v>34</v>
      </c>
      <c r="M1173" s="1" t="s">
        <v>35</v>
      </c>
      <c r="N1173" s="1">
        <v>42318949</v>
      </c>
      <c r="O1173" s="1" t="s">
        <v>105</v>
      </c>
      <c r="P1173" s="186">
        <v>44932.428587962961</v>
      </c>
      <c r="R1173" s="1" t="s">
        <v>38</v>
      </c>
      <c r="T1173" s="1" t="s">
        <v>74</v>
      </c>
      <c r="U1173" s="186">
        <v>44932.75</v>
      </c>
      <c r="V1173" s="1" t="s">
        <v>41</v>
      </c>
      <c r="W1173" s="1" t="s">
        <v>49</v>
      </c>
      <c r="AA1173" s="14"/>
    </row>
    <row r="1174" spans="1:27">
      <c r="A1174" s="1">
        <v>9293306</v>
      </c>
      <c r="B1174" s="1" t="s">
        <v>101</v>
      </c>
      <c r="C1174" t="s">
        <v>1810</v>
      </c>
      <c r="E1174" s="2">
        <v>68000206001</v>
      </c>
      <c r="F1174" s="1" t="s">
        <v>29</v>
      </c>
      <c r="G1174" s="1" t="s">
        <v>53</v>
      </c>
      <c r="H1174" s="1" t="s">
        <v>1330</v>
      </c>
      <c r="I1174" s="1" t="s">
        <v>1331</v>
      </c>
      <c r="J1174" s="1" t="s">
        <v>211</v>
      </c>
      <c r="K1174" t="s">
        <v>34</v>
      </c>
      <c r="M1174" s="1" t="s">
        <v>35</v>
      </c>
      <c r="N1174" s="1">
        <v>42318949</v>
      </c>
      <c r="O1174" s="1" t="s">
        <v>105</v>
      </c>
      <c r="P1174" s="186">
        <v>44932.428495370368</v>
      </c>
      <c r="R1174" s="1" t="s">
        <v>38</v>
      </c>
      <c r="T1174" s="1" t="s">
        <v>74</v>
      </c>
      <c r="U1174" s="186">
        <v>44932.75</v>
      </c>
      <c r="V1174" s="1" t="s">
        <v>41</v>
      </c>
      <c r="W1174" s="1" t="s">
        <v>49</v>
      </c>
      <c r="AA1174" s="14"/>
    </row>
    <row r="1175" spans="1:27" hidden="1">
      <c r="A1175" s="1">
        <v>9293305</v>
      </c>
      <c r="B1175" s="1" t="s">
        <v>101</v>
      </c>
      <c r="C1175" t="s">
        <v>1810</v>
      </c>
      <c r="E1175" s="2">
        <v>67000206001</v>
      </c>
      <c r="F1175" s="1" t="s">
        <v>29</v>
      </c>
      <c r="G1175" s="1" t="s">
        <v>53</v>
      </c>
      <c r="H1175" s="1" t="s">
        <v>404</v>
      </c>
      <c r="I1175" s="1" t="s">
        <v>405</v>
      </c>
      <c r="J1175" s="1" t="s">
        <v>164</v>
      </c>
      <c r="K1175" t="s">
        <v>34</v>
      </c>
      <c r="M1175" s="1" t="s">
        <v>35</v>
      </c>
      <c r="N1175" s="1">
        <v>42318949</v>
      </c>
      <c r="O1175" s="1" t="s">
        <v>105</v>
      </c>
      <c r="P1175" s="186">
        <v>44932.428495370368</v>
      </c>
      <c r="R1175" s="1" t="s">
        <v>38</v>
      </c>
      <c r="T1175" s="1" t="s">
        <v>74</v>
      </c>
      <c r="U1175" s="186">
        <v>44932.75</v>
      </c>
      <c r="V1175" s="1" t="s">
        <v>41</v>
      </c>
      <c r="W1175" s="1" t="s">
        <v>49</v>
      </c>
      <c r="AA1175" s="14"/>
    </row>
    <row r="1176" spans="1:27" hidden="1">
      <c r="A1176" s="1">
        <v>9293224</v>
      </c>
      <c r="B1176" s="1" t="s">
        <v>101</v>
      </c>
      <c r="C1176" t="s">
        <v>1810</v>
      </c>
      <c r="E1176" s="2">
        <v>7750206001</v>
      </c>
      <c r="F1176" s="1" t="s">
        <v>29</v>
      </c>
      <c r="G1176" s="1" t="s">
        <v>53</v>
      </c>
      <c r="H1176" s="1" t="s">
        <v>1921</v>
      </c>
      <c r="I1176" s="1" t="s">
        <v>630</v>
      </c>
      <c r="J1176" s="1" t="s">
        <v>46</v>
      </c>
      <c r="K1176" t="s">
        <v>34</v>
      </c>
      <c r="M1176" s="1" t="s">
        <v>35</v>
      </c>
      <c r="N1176" s="1">
        <v>42318949</v>
      </c>
      <c r="O1176" s="1" t="s">
        <v>105</v>
      </c>
      <c r="P1176" s="186">
        <v>44932.428379629629</v>
      </c>
      <c r="R1176" s="1" t="s">
        <v>38</v>
      </c>
      <c r="T1176" s="1" t="s">
        <v>74</v>
      </c>
      <c r="U1176" s="186">
        <v>44932.75</v>
      </c>
      <c r="V1176" s="1" t="s">
        <v>41</v>
      </c>
      <c r="W1176" s="1" t="s">
        <v>49</v>
      </c>
      <c r="AA1176" s="14"/>
    </row>
    <row r="1177" spans="1:27" hidden="1">
      <c r="A1177" s="1">
        <v>9293223</v>
      </c>
      <c r="B1177" s="1" t="s">
        <v>101</v>
      </c>
      <c r="C1177" t="s">
        <v>1810</v>
      </c>
      <c r="E1177" s="2">
        <v>7740206001</v>
      </c>
      <c r="F1177" s="1" t="s">
        <v>29</v>
      </c>
      <c r="G1177" s="1" t="s">
        <v>53</v>
      </c>
      <c r="H1177" s="1" t="s">
        <v>187</v>
      </c>
      <c r="I1177" s="1" t="s">
        <v>188</v>
      </c>
      <c r="J1177" s="1" t="s">
        <v>46</v>
      </c>
      <c r="K1177" t="s">
        <v>34</v>
      </c>
      <c r="M1177" s="1" t="s">
        <v>35</v>
      </c>
      <c r="N1177" s="1">
        <v>42318949</v>
      </c>
      <c r="O1177" s="1" t="s">
        <v>105</v>
      </c>
      <c r="P1177" s="186">
        <v>44932.428379629629</v>
      </c>
      <c r="R1177" s="1" t="s">
        <v>38</v>
      </c>
      <c r="T1177" s="1" t="s">
        <v>74</v>
      </c>
      <c r="U1177" s="186">
        <v>44932.75</v>
      </c>
      <c r="V1177" s="1" t="s">
        <v>41</v>
      </c>
      <c r="W1177" s="1" t="s">
        <v>49</v>
      </c>
      <c r="AA1177" s="14"/>
    </row>
    <row r="1178" spans="1:27" hidden="1">
      <c r="A1178" s="1">
        <v>9293222</v>
      </c>
      <c r="B1178" s="1" t="s">
        <v>101</v>
      </c>
      <c r="C1178" t="s">
        <v>1810</v>
      </c>
      <c r="E1178" s="2">
        <v>7710206001</v>
      </c>
      <c r="F1178" s="1" t="s">
        <v>29</v>
      </c>
      <c r="G1178" s="1" t="s">
        <v>53</v>
      </c>
      <c r="H1178" s="1" t="s">
        <v>228</v>
      </c>
      <c r="I1178" s="1" t="s">
        <v>229</v>
      </c>
      <c r="J1178" s="1" t="s">
        <v>46</v>
      </c>
      <c r="K1178" t="s">
        <v>34</v>
      </c>
      <c r="M1178" s="1" t="s">
        <v>35</v>
      </c>
      <c r="N1178" s="1">
        <v>42318949</v>
      </c>
      <c r="O1178" s="1" t="s">
        <v>105</v>
      </c>
      <c r="P1178" s="186">
        <v>44932.428368055553</v>
      </c>
      <c r="R1178" s="1" t="s">
        <v>38</v>
      </c>
      <c r="T1178" s="1" t="s">
        <v>74</v>
      </c>
      <c r="U1178" s="186">
        <v>44932.75</v>
      </c>
      <c r="V1178" s="1" t="s">
        <v>41</v>
      </c>
      <c r="W1178" s="1" t="s">
        <v>49</v>
      </c>
      <c r="AA1178" s="14"/>
    </row>
    <row r="1179" spans="1:27" hidden="1">
      <c r="A1179" s="1">
        <v>9293221</v>
      </c>
      <c r="B1179" s="1" t="s">
        <v>101</v>
      </c>
      <c r="C1179" t="s">
        <v>1810</v>
      </c>
      <c r="E1179" s="2">
        <v>7000206001</v>
      </c>
      <c r="F1179" s="1" t="s">
        <v>29</v>
      </c>
      <c r="G1179" s="1" t="s">
        <v>53</v>
      </c>
      <c r="H1179" s="1" t="s">
        <v>383</v>
      </c>
      <c r="I1179" s="1" t="s">
        <v>384</v>
      </c>
      <c r="J1179" s="1" t="s">
        <v>46</v>
      </c>
      <c r="K1179" t="s">
        <v>34</v>
      </c>
      <c r="M1179" s="1" t="s">
        <v>35</v>
      </c>
      <c r="N1179" s="1">
        <v>42318949</v>
      </c>
      <c r="O1179" s="1" t="s">
        <v>105</v>
      </c>
      <c r="P1179" s="186">
        <v>44932.428368055553</v>
      </c>
      <c r="R1179" s="1" t="s">
        <v>38</v>
      </c>
      <c r="T1179" s="1" t="s">
        <v>74</v>
      </c>
      <c r="U1179" s="186">
        <v>44932.75</v>
      </c>
      <c r="V1179" s="1" t="s">
        <v>41</v>
      </c>
      <c r="W1179" s="1" t="s">
        <v>49</v>
      </c>
      <c r="AA1179" s="14"/>
    </row>
    <row r="1180" spans="1:27" hidden="1">
      <c r="A1180" s="1">
        <v>9316562</v>
      </c>
      <c r="B1180" s="1" t="s">
        <v>1924</v>
      </c>
      <c r="C1180" t="s">
        <v>1925</v>
      </c>
      <c r="D1180" s="2">
        <v>20234623000002</v>
      </c>
      <c r="E1180" s="2">
        <v>7417202020353</v>
      </c>
      <c r="F1180" s="1" t="s">
        <v>1213</v>
      </c>
      <c r="G1180" s="1" t="s">
        <v>53</v>
      </c>
      <c r="H1180" s="1" t="s">
        <v>1926</v>
      </c>
      <c r="I1180" s="1" t="s">
        <v>1927</v>
      </c>
      <c r="J1180" s="1" t="s">
        <v>33</v>
      </c>
      <c r="K1180" t="s">
        <v>1214</v>
      </c>
      <c r="M1180" s="1" t="s">
        <v>58</v>
      </c>
      <c r="N1180" s="1">
        <v>0</v>
      </c>
      <c r="O1180" s="1" t="s">
        <v>36</v>
      </c>
      <c r="P1180" s="11" t="s">
        <v>1928</v>
      </c>
      <c r="R1180" s="1">
        <v>14</v>
      </c>
      <c r="T1180" s="1" t="s">
        <v>238</v>
      </c>
      <c r="U1180" s="11" t="s">
        <v>1929</v>
      </c>
      <c r="V1180" s="1" t="s">
        <v>41</v>
      </c>
      <c r="W1180" s="1" t="s">
        <v>42</v>
      </c>
      <c r="AA1180" s="14"/>
    </row>
    <row r="1181" spans="1:27" hidden="1">
      <c r="A1181" s="1">
        <v>9314411</v>
      </c>
      <c r="B1181" s="1" t="s">
        <v>1153</v>
      </c>
      <c r="C1181" t="s">
        <v>1930</v>
      </c>
      <c r="D1181" s="2">
        <v>20231850000003</v>
      </c>
      <c r="E1181" s="2">
        <v>7417193050573</v>
      </c>
      <c r="F1181" s="1" t="s">
        <v>1719</v>
      </c>
      <c r="G1181" s="1" t="s">
        <v>53</v>
      </c>
      <c r="H1181" s="1" t="s">
        <v>1931</v>
      </c>
      <c r="I1181" s="1" t="s">
        <v>1932</v>
      </c>
      <c r="J1181" s="1" t="s">
        <v>46</v>
      </c>
      <c r="K1181" t="s">
        <v>1720</v>
      </c>
      <c r="M1181" s="1" t="s">
        <v>58</v>
      </c>
      <c r="N1181" s="1">
        <v>0</v>
      </c>
      <c r="O1181" s="1" t="s">
        <v>36</v>
      </c>
      <c r="P1181" s="11" t="s">
        <v>1933</v>
      </c>
      <c r="R1181" s="1">
        <v>22</v>
      </c>
      <c r="T1181" s="1" t="s">
        <v>1160</v>
      </c>
      <c r="U1181" s="11" t="s">
        <v>1934</v>
      </c>
      <c r="V1181" s="1" t="s">
        <v>41</v>
      </c>
      <c r="W1181" s="1" t="s">
        <v>49</v>
      </c>
      <c r="AA1181" s="14"/>
    </row>
    <row r="1182" spans="1:27">
      <c r="A1182" s="1">
        <v>9326301</v>
      </c>
      <c r="B1182" s="1" t="s">
        <v>81</v>
      </c>
      <c r="C1182" t="s">
        <v>1935</v>
      </c>
      <c r="E1182" s="2">
        <v>7417211830514</v>
      </c>
      <c r="F1182" s="1" t="s">
        <v>1936</v>
      </c>
      <c r="G1182" s="1" t="s">
        <v>53</v>
      </c>
      <c r="H1182" s="1" t="s">
        <v>1937</v>
      </c>
      <c r="I1182" s="1" t="s">
        <v>1938</v>
      </c>
      <c r="J1182" s="1" t="s">
        <v>90</v>
      </c>
      <c r="K1182" t="s">
        <v>1939</v>
      </c>
      <c r="M1182" s="1" t="s">
        <v>58</v>
      </c>
      <c r="N1182" s="1">
        <v>0</v>
      </c>
      <c r="O1182" s="1" t="s">
        <v>105</v>
      </c>
      <c r="P1182" s="11" t="s">
        <v>1940</v>
      </c>
      <c r="R1182" s="1">
        <v>14</v>
      </c>
      <c r="T1182" s="1" t="s">
        <v>238</v>
      </c>
      <c r="U1182" s="11" t="s">
        <v>1941</v>
      </c>
      <c r="V1182" s="1" t="s">
        <v>41</v>
      </c>
      <c r="W1182" s="1" t="s">
        <v>49</v>
      </c>
      <c r="AA1182" s="14"/>
    </row>
    <row r="1183" spans="1:27" hidden="1">
      <c r="A1183" s="1">
        <v>9331062</v>
      </c>
      <c r="B1183" s="1" t="s">
        <v>62</v>
      </c>
      <c r="C1183" t="s">
        <v>1942</v>
      </c>
      <c r="E1183" s="2">
        <v>2039000203000</v>
      </c>
      <c r="F1183" s="1" t="s">
        <v>454</v>
      </c>
      <c r="G1183" s="1" t="s">
        <v>53</v>
      </c>
      <c r="H1183" s="1" t="s">
        <v>1943</v>
      </c>
      <c r="I1183" s="1" t="s">
        <v>1944</v>
      </c>
      <c r="J1183" s="1" t="s">
        <v>110</v>
      </c>
      <c r="K1183" t="s">
        <v>457</v>
      </c>
      <c r="M1183" s="1" t="s">
        <v>58</v>
      </c>
      <c r="N1183" s="1">
        <v>0</v>
      </c>
      <c r="O1183" s="1" t="s">
        <v>36</v>
      </c>
      <c r="P1183" s="11" t="s">
        <v>1945</v>
      </c>
      <c r="R1183" s="1">
        <v>1</v>
      </c>
      <c r="T1183" s="1" t="s">
        <v>157</v>
      </c>
      <c r="U1183" s="11" t="s">
        <v>1946</v>
      </c>
      <c r="V1183" s="1" t="s">
        <v>41</v>
      </c>
      <c r="W1183" s="1" t="s">
        <v>49</v>
      </c>
      <c r="AA1183" s="14"/>
    </row>
    <row r="1184" spans="1:27" hidden="1">
      <c r="A1184" s="1">
        <v>9348557</v>
      </c>
      <c r="B1184" s="1" t="s">
        <v>81</v>
      </c>
      <c r="C1184" t="s">
        <v>1947</v>
      </c>
      <c r="E1184" s="2">
        <v>9600113561034</v>
      </c>
      <c r="F1184" s="1" t="s">
        <v>233</v>
      </c>
      <c r="G1184" s="1" t="s">
        <v>30</v>
      </c>
      <c r="H1184" s="1" t="s">
        <v>1948</v>
      </c>
      <c r="I1184" s="1" t="s">
        <v>1949</v>
      </c>
      <c r="J1184" s="1" t="s">
        <v>46</v>
      </c>
      <c r="K1184" t="s">
        <v>236</v>
      </c>
      <c r="M1184" s="1" t="s">
        <v>58</v>
      </c>
      <c r="N1184" s="1">
        <v>0</v>
      </c>
      <c r="O1184" s="1" t="s">
        <v>105</v>
      </c>
      <c r="P1184" s="11" t="s">
        <v>1950</v>
      </c>
      <c r="R1184" s="1">
        <v>15</v>
      </c>
      <c r="T1184" s="1" t="s">
        <v>238</v>
      </c>
      <c r="U1184" s="11" t="s">
        <v>1951</v>
      </c>
      <c r="V1184" s="1" t="s">
        <v>41</v>
      </c>
      <c r="W1184" s="1" t="s">
        <v>49</v>
      </c>
      <c r="AA1184" s="14"/>
    </row>
    <row r="1185" spans="1:27" hidden="1">
      <c r="A1185" s="1">
        <v>9352258</v>
      </c>
      <c r="B1185" s="1" t="s">
        <v>62</v>
      </c>
      <c r="C1185" t="s">
        <v>1952</v>
      </c>
      <c r="E1185" s="2">
        <v>1049000206001</v>
      </c>
      <c r="F1185" s="1" t="s">
        <v>29</v>
      </c>
      <c r="G1185" s="1" t="s">
        <v>53</v>
      </c>
      <c r="H1185" s="1" t="s">
        <v>169</v>
      </c>
      <c r="I1185" s="1" t="s">
        <v>170</v>
      </c>
      <c r="J1185" s="1" t="s">
        <v>164</v>
      </c>
      <c r="K1185" t="s">
        <v>34</v>
      </c>
      <c r="M1185" s="1" t="s">
        <v>35</v>
      </c>
      <c r="N1185" s="1">
        <v>42318949</v>
      </c>
      <c r="O1185" s="1" t="s">
        <v>36</v>
      </c>
      <c r="P1185" s="11" t="s">
        <v>1953</v>
      </c>
      <c r="R1185" s="1" t="s">
        <v>38</v>
      </c>
      <c r="T1185" s="1" t="s">
        <v>74</v>
      </c>
      <c r="U1185" s="11" t="s">
        <v>1954</v>
      </c>
      <c r="V1185" s="1" t="s">
        <v>41</v>
      </c>
      <c r="W1185" s="1" t="s">
        <v>49</v>
      </c>
      <c r="AA1185" s="14"/>
    </row>
    <row r="1186" spans="1:27" hidden="1">
      <c r="A1186" s="1">
        <v>9351974</v>
      </c>
      <c r="B1186" s="1" t="s">
        <v>62</v>
      </c>
      <c r="C1186" t="s">
        <v>1955</v>
      </c>
      <c r="E1186" s="2">
        <v>2442000203000</v>
      </c>
      <c r="F1186" s="1" t="s">
        <v>454</v>
      </c>
      <c r="G1186" s="1" t="s">
        <v>53</v>
      </c>
      <c r="H1186" s="1" t="s">
        <v>1956</v>
      </c>
      <c r="I1186" s="1" t="s">
        <v>1957</v>
      </c>
      <c r="J1186" s="1" t="s">
        <v>33</v>
      </c>
      <c r="K1186" t="s">
        <v>457</v>
      </c>
      <c r="M1186" s="1" t="s">
        <v>58</v>
      </c>
      <c r="N1186" s="1">
        <v>0</v>
      </c>
      <c r="O1186" s="1" t="s">
        <v>36</v>
      </c>
      <c r="P1186" s="11" t="s">
        <v>1958</v>
      </c>
      <c r="R1186" s="1">
        <v>1</v>
      </c>
      <c r="T1186" s="1" t="s">
        <v>157</v>
      </c>
      <c r="U1186" s="11" t="s">
        <v>1959</v>
      </c>
      <c r="V1186" s="1" t="s">
        <v>41</v>
      </c>
      <c r="W1186" s="1" t="s">
        <v>42</v>
      </c>
      <c r="AA1186" s="14"/>
    </row>
    <row r="1187" spans="1:27" hidden="1">
      <c r="A1187" s="1">
        <v>9351542</v>
      </c>
      <c r="B1187" s="1" t="s">
        <v>1153</v>
      </c>
      <c r="C1187" t="s">
        <v>1960</v>
      </c>
      <c r="D1187" s="2">
        <v>230009076</v>
      </c>
      <c r="E1187" s="2">
        <v>711001400020</v>
      </c>
      <c r="F1187" s="1" t="s">
        <v>1961</v>
      </c>
      <c r="G1187" s="1" t="s">
        <v>53</v>
      </c>
      <c r="H1187" s="1" t="s">
        <v>77</v>
      </c>
      <c r="I1187" s="1" t="s">
        <v>78</v>
      </c>
      <c r="J1187" s="1" t="s">
        <v>79</v>
      </c>
      <c r="K1187" t="s">
        <v>1962</v>
      </c>
      <c r="M1187" s="1" t="s">
        <v>58</v>
      </c>
      <c r="N1187" s="1">
        <v>0</v>
      </c>
      <c r="O1187" s="1" t="s">
        <v>36</v>
      </c>
      <c r="P1187" s="11" t="s">
        <v>1963</v>
      </c>
      <c r="R1187" s="1">
        <v>4</v>
      </c>
      <c r="T1187" s="1" t="s">
        <v>646</v>
      </c>
      <c r="U1187" s="11" t="s">
        <v>1964</v>
      </c>
      <c r="V1187" s="1" t="s">
        <v>41</v>
      </c>
      <c r="W1187" s="1" t="s">
        <v>49</v>
      </c>
      <c r="AA1187" s="14"/>
    </row>
    <row r="1188" spans="1:27" hidden="1">
      <c r="A1188" s="1">
        <v>9351053</v>
      </c>
      <c r="B1188" s="1" t="s">
        <v>1153</v>
      </c>
      <c r="C1188" t="s">
        <v>1965</v>
      </c>
      <c r="D1188" s="2">
        <v>20234923000021</v>
      </c>
      <c r="E1188" s="2">
        <v>7417183020099</v>
      </c>
      <c r="F1188" s="1" t="s">
        <v>1313</v>
      </c>
      <c r="G1188" s="1" t="s">
        <v>53</v>
      </c>
      <c r="H1188" s="1" t="s">
        <v>1966</v>
      </c>
      <c r="I1188" s="1" t="s">
        <v>1967</v>
      </c>
      <c r="J1188" s="1" t="s">
        <v>46</v>
      </c>
      <c r="K1188" t="s">
        <v>1316</v>
      </c>
      <c r="M1188" s="1" t="s">
        <v>58</v>
      </c>
      <c r="N1188" s="1">
        <v>0</v>
      </c>
      <c r="O1188" s="1" t="s">
        <v>36</v>
      </c>
      <c r="P1188" s="11" t="s">
        <v>1968</v>
      </c>
      <c r="R1188" s="1">
        <v>13</v>
      </c>
      <c r="T1188" s="1" t="s">
        <v>238</v>
      </c>
      <c r="U1188" s="11" t="s">
        <v>1969</v>
      </c>
      <c r="V1188" s="1" t="s">
        <v>41</v>
      </c>
      <c r="W1188" s="1" t="s">
        <v>49</v>
      </c>
      <c r="AA1188" s="14"/>
    </row>
    <row r="1189" spans="1:27">
      <c r="A1189" s="1">
        <v>9357855</v>
      </c>
      <c r="B1189" s="1" t="s">
        <v>1970</v>
      </c>
      <c r="C1189" t="s">
        <v>1971</v>
      </c>
      <c r="D1189" s="2">
        <v>20231059000005</v>
      </c>
      <c r="E1189" s="2">
        <v>7417163284288</v>
      </c>
      <c r="F1189" s="1" t="s">
        <v>131</v>
      </c>
      <c r="G1189" s="1" t="s">
        <v>53</v>
      </c>
      <c r="H1189" s="1" t="s">
        <v>1972</v>
      </c>
      <c r="I1189" s="1" t="s">
        <v>1973</v>
      </c>
      <c r="J1189" s="1" t="s">
        <v>90</v>
      </c>
      <c r="K1189" t="s">
        <v>132</v>
      </c>
      <c r="M1189" s="1" t="s">
        <v>58</v>
      </c>
      <c r="N1189" s="1">
        <v>0</v>
      </c>
      <c r="O1189" s="1" t="s">
        <v>105</v>
      </c>
      <c r="P1189" s="11" t="s">
        <v>1974</v>
      </c>
      <c r="R1189" s="1">
        <v>14</v>
      </c>
      <c r="T1189" s="1" t="s">
        <v>238</v>
      </c>
      <c r="U1189" s="11" t="s">
        <v>1975</v>
      </c>
      <c r="V1189" s="1" t="s">
        <v>41</v>
      </c>
      <c r="W1189" s="1" t="s">
        <v>49</v>
      </c>
      <c r="AA1189" s="14"/>
    </row>
    <row r="1190" spans="1:27" hidden="1">
      <c r="A1190" s="1">
        <v>9357732</v>
      </c>
      <c r="B1190" s="1" t="s">
        <v>1970</v>
      </c>
      <c r="C1190" t="s">
        <v>1971</v>
      </c>
      <c r="D1190" s="2">
        <v>20234924000023</v>
      </c>
      <c r="E1190" s="2">
        <v>7417163282399</v>
      </c>
      <c r="F1190" s="1" t="s">
        <v>131</v>
      </c>
      <c r="G1190" s="1" t="s">
        <v>53</v>
      </c>
      <c r="H1190" s="1" t="s">
        <v>1748</v>
      </c>
      <c r="I1190" s="1" t="s">
        <v>1749</v>
      </c>
      <c r="J1190" s="1" t="s">
        <v>79</v>
      </c>
      <c r="K1190" t="s">
        <v>132</v>
      </c>
      <c r="M1190" s="1" t="s">
        <v>58</v>
      </c>
      <c r="N1190" s="1">
        <v>0</v>
      </c>
      <c r="O1190" s="1" t="s">
        <v>36</v>
      </c>
      <c r="P1190" s="11" t="s">
        <v>1976</v>
      </c>
      <c r="R1190" s="1">
        <v>14</v>
      </c>
      <c r="T1190" s="1" t="s">
        <v>238</v>
      </c>
      <c r="U1190" s="11" t="s">
        <v>1977</v>
      </c>
      <c r="V1190" s="1" t="s">
        <v>41</v>
      </c>
      <c r="W1190" s="1" t="s">
        <v>49</v>
      </c>
      <c r="AA1190" s="14"/>
    </row>
    <row r="1191" spans="1:27" hidden="1">
      <c r="A1191" s="1">
        <v>9357615</v>
      </c>
      <c r="B1191" s="1" t="s">
        <v>101</v>
      </c>
      <c r="C1191" t="s">
        <v>1978</v>
      </c>
      <c r="D1191" s="2">
        <v>20232219000007</v>
      </c>
      <c r="E1191" s="2">
        <v>7417161480633</v>
      </c>
      <c r="F1191" s="1" t="s">
        <v>1979</v>
      </c>
      <c r="G1191" s="1" t="s">
        <v>53</v>
      </c>
      <c r="H1191" s="1" t="s">
        <v>1980</v>
      </c>
      <c r="I1191" s="1" t="s">
        <v>1981</v>
      </c>
      <c r="J1191" s="1" t="s">
        <v>141</v>
      </c>
      <c r="K1191" t="s">
        <v>1982</v>
      </c>
      <c r="M1191" s="1" t="s">
        <v>58</v>
      </c>
      <c r="N1191" s="1">
        <v>0</v>
      </c>
      <c r="O1191" s="1" t="s">
        <v>36</v>
      </c>
      <c r="P1191" s="11" t="s">
        <v>1983</v>
      </c>
      <c r="R1191" s="1">
        <v>14</v>
      </c>
      <c r="T1191" s="1" t="s">
        <v>238</v>
      </c>
      <c r="U1191" s="11" t="s">
        <v>1983</v>
      </c>
      <c r="V1191" s="1" t="s">
        <v>41</v>
      </c>
      <c r="W1191" s="1" t="s">
        <v>49</v>
      </c>
      <c r="AA1191" s="14"/>
    </row>
    <row r="1192" spans="1:27">
      <c r="A1192" s="1">
        <v>9357204</v>
      </c>
      <c r="B1192" s="1" t="s">
        <v>1153</v>
      </c>
      <c r="C1192" t="s">
        <v>1984</v>
      </c>
      <c r="D1192" s="2">
        <v>20230605000012</v>
      </c>
      <c r="E1192" s="2">
        <v>7417163280932</v>
      </c>
      <c r="F1192" s="1" t="s">
        <v>131</v>
      </c>
      <c r="G1192" s="1" t="s">
        <v>53</v>
      </c>
      <c r="H1192" s="1" t="s">
        <v>1985</v>
      </c>
      <c r="I1192" s="1" t="s">
        <v>1986</v>
      </c>
      <c r="J1192" s="1" t="s">
        <v>90</v>
      </c>
      <c r="K1192" t="s">
        <v>132</v>
      </c>
      <c r="M1192" s="1" t="s">
        <v>58</v>
      </c>
      <c r="N1192" s="1">
        <v>0</v>
      </c>
      <c r="O1192" s="1" t="s">
        <v>36</v>
      </c>
      <c r="P1192" s="11" t="s">
        <v>1987</v>
      </c>
      <c r="R1192" s="1">
        <v>14</v>
      </c>
      <c r="T1192" s="1" t="s">
        <v>238</v>
      </c>
      <c r="U1192" s="11" t="s">
        <v>1987</v>
      </c>
      <c r="V1192" s="1" t="s">
        <v>41</v>
      </c>
      <c r="W1192" s="1" t="s">
        <v>49</v>
      </c>
      <c r="AA1192" s="14"/>
    </row>
    <row r="1193" spans="1:27" hidden="1">
      <c r="A1193" s="1">
        <v>9356193</v>
      </c>
      <c r="B1193" s="1" t="s">
        <v>1153</v>
      </c>
      <c r="C1193" t="s">
        <v>1988</v>
      </c>
      <c r="D1193" s="2">
        <v>20238259000001</v>
      </c>
      <c r="E1193" s="2">
        <v>7417172796319</v>
      </c>
      <c r="F1193" s="1" t="s">
        <v>1989</v>
      </c>
      <c r="G1193" s="1" t="s">
        <v>53</v>
      </c>
      <c r="H1193" s="1" t="s">
        <v>245</v>
      </c>
      <c r="I1193" s="1" t="s">
        <v>246</v>
      </c>
      <c r="J1193" s="1" t="s">
        <v>56</v>
      </c>
      <c r="K1193" t="s">
        <v>1990</v>
      </c>
      <c r="M1193" s="1" t="s">
        <v>58</v>
      </c>
      <c r="N1193" s="1">
        <v>0</v>
      </c>
      <c r="O1193" s="1" t="s">
        <v>36</v>
      </c>
      <c r="P1193" s="11" t="s">
        <v>1991</v>
      </c>
      <c r="R1193" s="1">
        <v>22</v>
      </c>
      <c r="T1193" s="1" t="s">
        <v>1160</v>
      </c>
      <c r="U1193" s="11" t="s">
        <v>1992</v>
      </c>
      <c r="V1193" s="1" t="s">
        <v>41</v>
      </c>
      <c r="W1193" s="1" t="s">
        <v>49</v>
      </c>
      <c r="AA1193" s="14"/>
    </row>
    <row r="1194" spans="1:27" hidden="1">
      <c r="A1194" s="1">
        <v>9363015</v>
      </c>
      <c r="B1194" s="1" t="s">
        <v>62</v>
      </c>
      <c r="C1194" t="s">
        <v>1993</v>
      </c>
      <c r="E1194" s="2">
        <v>1837000203000</v>
      </c>
      <c r="F1194" s="1" t="s">
        <v>454</v>
      </c>
      <c r="G1194" s="1" t="s">
        <v>53</v>
      </c>
      <c r="H1194" s="1" t="s">
        <v>1785</v>
      </c>
      <c r="I1194" s="1" t="s">
        <v>1786</v>
      </c>
      <c r="J1194" s="1" t="s">
        <v>46</v>
      </c>
      <c r="K1194" t="s">
        <v>457</v>
      </c>
      <c r="M1194" s="1" t="s">
        <v>58</v>
      </c>
      <c r="N1194" s="1">
        <v>0</v>
      </c>
      <c r="O1194" s="1" t="s">
        <v>36</v>
      </c>
      <c r="P1194" s="11" t="s">
        <v>1994</v>
      </c>
      <c r="R1194" s="1">
        <v>1</v>
      </c>
      <c r="T1194" s="1" t="s">
        <v>157</v>
      </c>
      <c r="U1194" s="11" t="s">
        <v>1995</v>
      </c>
      <c r="V1194" s="1" t="s">
        <v>41</v>
      </c>
      <c r="W1194" s="1" t="s">
        <v>49</v>
      </c>
      <c r="AA1194" s="14"/>
    </row>
    <row r="1195" spans="1:27">
      <c r="A1195" s="1">
        <v>9362806</v>
      </c>
      <c r="B1195" s="1" t="s">
        <v>1153</v>
      </c>
      <c r="C1195" t="s">
        <v>3036</v>
      </c>
      <c r="D1195" s="2">
        <v>20232437000012</v>
      </c>
      <c r="E1195" s="2">
        <v>9600123330823</v>
      </c>
      <c r="F1195" s="1" t="s">
        <v>1997</v>
      </c>
      <c r="G1195" s="1" t="s">
        <v>53</v>
      </c>
      <c r="H1195" s="1" t="s">
        <v>1998</v>
      </c>
      <c r="I1195" s="1" t="s">
        <v>1999</v>
      </c>
      <c r="J1195" s="1" t="s">
        <v>211</v>
      </c>
      <c r="K1195" t="s">
        <v>2000</v>
      </c>
      <c r="M1195" s="1" t="s">
        <v>58</v>
      </c>
      <c r="N1195" s="1">
        <v>0</v>
      </c>
      <c r="O1195" s="1" t="s">
        <v>36</v>
      </c>
      <c r="P1195" s="11" t="s">
        <v>2001</v>
      </c>
      <c r="R1195" s="1">
        <v>21</v>
      </c>
      <c r="T1195" s="1" t="s">
        <v>1160</v>
      </c>
      <c r="U1195" s="11" t="s">
        <v>2002</v>
      </c>
      <c r="V1195" s="1" t="s">
        <v>41</v>
      </c>
      <c r="W1195" s="1" t="s">
        <v>49</v>
      </c>
      <c r="AA1195" s="14"/>
    </row>
    <row r="1196" spans="1:27" hidden="1">
      <c r="A1196" s="1">
        <v>9361555</v>
      </c>
      <c r="B1196" s="1" t="s">
        <v>1153</v>
      </c>
      <c r="C1196" t="s">
        <v>2007</v>
      </c>
      <c r="D1196" s="2">
        <v>20232529000002</v>
      </c>
      <c r="E1196" s="2">
        <v>7419141893855</v>
      </c>
      <c r="F1196" s="1" t="s">
        <v>128</v>
      </c>
      <c r="G1196" s="1" t="s">
        <v>53</v>
      </c>
      <c r="H1196" s="1" t="s">
        <v>2008</v>
      </c>
      <c r="I1196" s="1" t="s">
        <v>2009</v>
      </c>
      <c r="J1196" s="1" t="s">
        <v>56</v>
      </c>
      <c r="K1196" t="s">
        <v>129</v>
      </c>
      <c r="M1196" s="1" t="s">
        <v>58</v>
      </c>
      <c r="N1196" s="1">
        <v>0</v>
      </c>
      <c r="O1196" s="1" t="s">
        <v>36</v>
      </c>
      <c r="P1196" s="11" t="s">
        <v>2010</v>
      </c>
      <c r="R1196" s="1">
        <v>14</v>
      </c>
      <c r="T1196" s="1" t="s">
        <v>238</v>
      </c>
      <c r="U1196" s="11" t="s">
        <v>2010</v>
      </c>
      <c r="V1196" s="1" t="s">
        <v>41</v>
      </c>
      <c r="W1196" s="1" t="s">
        <v>49</v>
      </c>
      <c r="AA1196" s="14"/>
    </row>
    <row r="1197" spans="1:27" hidden="1">
      <c r="A1197" s="1">
        <v>9361190</v>
      </c>
      <c r="B1197" s="1" t="s">
        <v>62</v>
      </c>
      <c r="C1197" t="s">
        <v>2011</v>
      </c>
      <c r="E1197" s="2">
        <v>3918000203000</v>
      </c>
      <c r="F1197" s="1" t="s">
        <v>454</v>
      </c>
      <c r="G1197" s="1" t="s">
        <v>53</v>
      </c>
      <c r="H1197" s="1" t="s">
        <v>858</v>
      </c>
      <c r="I1197" s="1" t="s">
        <v>859</v>
      </c>
      <c r="J1197" s="1" t="s">
        <v>33</v>
      </c>
      <c r="K1197" t="s">
        <v>457</v>
      </c>
      <c r="M1197" s="1" t="s">
        <v>58</v>
      </c>
      <c r="N1197" s="1">
        <v>0</v>
      </c>
      <c r="O1197" s="1" t="s">
        <v>105</v>
      </c>
      <c r="P1197" s="11" t="s">
        <v>2012</v>
      </c>
      <c r="R1197" s="1">
        <v>1</v>
      </c>
      <c r="T1197" s="1" t="s">
        <v>157</v>
      </c>
      <c r="U1197" s="11" t="s">
        <v>1995</v>
      </c>
      <c r="V1197" s="1" t="s">
        <v>41</v>
      </c>
      <c r="W1197" s="1" t="s">
        <v>49</v>
      </c>
      <c r="AA1197" s="14"/>
    </row>
    <row r="1198" spans="1:27" hidden="1">
      <c r="A1198" s="1">
        <v>9378351</v>
      </c>
      <c r="B1198" s="1" t="s">
        <v>62</v>
      </c>
      <c r="C1198" t="s">
        <v>2013</v>
      </c>
      <c r="E1198" s="2">
        <v>2238000206001</v>
      </c>
      <c r="F1198" s="1" t="s">
        <v>29</v>
      </c>
      <c r="G1198" s="1" t="s">
        <v>53</v>
      </c>
      <c r="H1198" s="1" t="s">
        <v>707</v>
      </c>
      <c r="I1198" s="1" t="s">
        <v>708</v>
      </c>
      <c r="J1198" s="1" t="s">
        <v>79</v>
      </c>
      <c r="K1198" t="s">
        <v>34</v>
      </c>
      <c r="M1198" s="1" t="s">
        <v>35</v>
      </c>
      <c r="N1198" s="1">
        <v>42318949</v>
      </c>
      <c r="O1198" s="1" t="s">
        <v>36</v>
      </c>
      <c r="P1198" s="11" t="s">
        <v>2014</v>
      </c>
      <c r="R1198" s="1" t="s">
        <v>38</v>
      </c>
      <c r="T1198" s="1" t="s">
        <v>74</v>
      </c>
      <c r="U1198" s="11" t="s">
        <v>2015</v>
      </c>
      <c r="V1198" s="1" t="s">
        <v>41</v>
      </c>
      <c r="W1198" s="1" t="s">
        <v>49</v>
      </c>
      <c r="AA1198" s="14"/>
    </row>
    <row r="1199" spans="1:27">
      <c r="A1199" s="1">
        <v>9377451</v>
      </c>
      <c r="B1199" s="1" t="s">
        <v>1153</v>
      </c>
      <c r="C1199" s="178" t="s">
        <v>2016</v>
      </c>
      <c r="E1199" s="2">
        <v>9705000206021</v>
      </c>
      <c r="F1199" s="1" t="s">
        <v>103</v>
      </c>
      <c r="G1199" s="1" t="s">
        <v>53</v>
      </c>
      <c r="H1199" s="1" t="s">
        <v>204</v>
      </c>
      <c r="I1199" s="1" t="s">
        <v>205</v>
      </c>
      <c r="J1199" s="1" t="s">
        <v>90</v>
      </c>
      <c r="K1199" t="s">
        <v>104</v>
      </c>
      <c r="M1199" s="1" t="s">
        <v>58</v>
      </c>
      <c r="N1199" s="1">
        <v>0</v>
      </c>
      <c r="O1199" s="1" t="s">
        <v>36</v>
      </c>
      <c r="P1199" s="11" t="s">
        <v>2017</v>
      </c>
      <c r="R1199" s="1" t="s">
        <v>38</v>
      </c>
      <c r="T1199" s="1" t="s">
        <v>74</v>
      </c>
      <c r="U1199" s="11" t="s">
        <v>2018</v>
      </c>
      <c r="V1199" s="1" t="s">
        <v>41</v>
      </c>
      <c r="W1199" s="1" t="s">
        <v>49</v>
      </c>
      <c r="AA1199" s="14"/>
    </row>
    <row r="1200" spans="1:27">
      <c r="A1200" s="1">
        <v>9376105</v>
      </c>
      <c r="B1200" s="1" t="s">
        <v>1153</v>
      </c>
      <c r="C1200" t="s">
        <v>2019</v>
      </c>
      <c r="D1200" s="2">
        <v>20230870000010</v>
      </c>
      <c r="E1200" s="2">
        <v>7419141893543</v>
      </c>
      <c r="F1200" s="1" t="s">
        <v>128</v>
      </c>
      <c r="G1200" s="1" t="s">
        <v>53</v>
      </c>
      <c r="H1200" s="1" t="s">
        <v>519</v>
      </c>
      <c r="I1200" s="1" t="s">
        <v>520</v>
      </c>
      <c r="J1200" s="1" t="s">
        <v>90</v>
      </c>
      <c r="K1200" t="s">
        <v>129</v>
      </c>
      <c r="M1200" s="1" t="s">
        <v>58</v>
      </c>
      <c r="N1200" s="1">
        <v>0</v>
      </c>
      <c r="O1200" s="1" t="s">
        <v>36</v>
      </c>
      <c r="P1200" s="11" t="s">
        <v>2020</v>
      </c>
      <c r="R1200" s="1">
        <v>14</v>
      </c>
      <c r="T1200" s="1" t="s">
        <v>238</v>
      </c>
      <c r="U1200" s="11" t="s">
        <v>2020</v>
      </c>
      <c r="V1200" s="1" t="s">
        <v>41</v>
      </c>
      <c r="W1200" s="1" t="s">
        <v>49</v>
      </c>
      <c r="AA1200" s="14"/>
    </row>
    <row r="1201" spans="1:27" hidden="1">
      <c r="A1201" s="1">
        <v>9372193</v>
      </c>
      <c r="B1201" s="1" t="s">
        <v>1153</v>
      </c>
      <c r="C1201" t="s">
        <v>2021</v>
      </c>
      <c r="E1201" s="2">
        <v>446000206001</v>
      </c>
      <c r="F1201" s="1" t="s">
        <v>29</v>
      </c>
      <c r="G1201" s="1" t="s">
        <v>53</v>
      </c>
      <c r="H1201" s="1" t="s">
        <v>432</v>
      </c>
      <c r="I1201" s="1" t="s">
        <v>433</v>
      </c>
      <c r="J1201" s="1" t="s">
        <v>110</v>
      </c>
      <c r="K1201" t="s">
        <v>34</v>
      </c>
      <c r="M1201" s="1" t="s">
        <v>35</v>
      </c>
      <c r="N1201" s="1">
        <v>42318949</v>
      </c>
      <c r="O1201" s="1" t="s">
        <v>36</v>
      </c>
      <c r="P1201" s="11" t="s">
        <v>2022</v>
      </c>
      <c r="R1201" s="1" t="s">
        <v>38</v>
      </c>
      <c r="T1201" s="1" t="s">
        <v>74</v>
      </c>
      <c r="U1201" s="11" t="s">
        <v>2023</v>
      </c>
      <c r="V1201" s="1" t="s">
        <v>41</v>
      </c>
      <c r="W1201" s="1" t="s">
        <v>49</v>
      </c>
      <c r="AA1201" s="14"/>
    </row>
    <row r="1202" spans="1:27" hidden="1">
      <c r="A1202" s="1">
        <v>9382865</v>
      </c>
      <c r="B1202" s="1" t="s">
        <v>1153</v>
      </c>
      <c r="C1202" t="s">
        <v>2024</v>
      </c>
      <c r="D1202" s="2">
        <v>230012536</v>
      </c>
      <c r="E1202" s="2">
        <v>1650001400010</v>
      </c>
      <c r="F1202" s="1" t="s">
        <v>936</v>
      </c>
      <c r="G1202" s="1" t="s">
        <v>53</v>
      </c>
      <c r="H1202" s="1" t="s">
        <v>620</v>
      </c>
      <c r="I1202" s="1" t="s">
        <v>621</v>
      </c>
      <c r="J1202" s="1" t="s">
        <v>141</v>
      </c>
      <c r="K1202" t="s">
        <v>937</v>
      </c>
      <c r="M1202" s="1" t="s">
        <v>58</v>
      </c>
      <c r="N1202" s="1">
        <v>0</v>
      </c>
      <c r="O1202" s="1" t="s">
        <v>36</v>
      </c>
      <c r="P1202" s="11" t="s">
        <v>2025</v>
      </c>
      <c r="R1202" s="1">
        <v>3</v>
      </c>
      <c r="T1202" s="1" t="s">
        <v>646</v>
      </c>
      <c r="U1202" s="11" t="s">
        <v>2026</v>
      </c>
      <c r="V1202" s="1" t="s">
        <v>41</v>
      </c>
      <c r="W1202" s="1" t="s">
        <v>49</v>
      </c>
      <c r="AA1202" s="14"/>
    </row>
    <row r="1203" spans="1:27">
      <c r="A1203" s="1">
        <v>9381861</v>
      </c>
      <c r="B1203" s="1" t="s">
        <v>62</v>
      </c>
      <c r="C1203" t="s">
        <v>2027</v>
      </c>
      <c r="E1203" s="2">
        <v>1069000203000</v>
      </c>
      <c r="F1203" s="1" t="s">
        <v>454</v>
      </c>
      <c r="G1203" s="1" t="s">
        <v>53</v>
      </c>
      <c r="H1203" s="1" t="s">
        <v>353</v>
      </c>
      <c r="I1203" s="1" t="s">
        <v>354</v>
      </c>
      <c r="J1203" s="1" t="s">
        <v>211</v>
      </c>
      <c r="K1203" t="s">
        <v>457</v>
      </c>
      <c r="M1203" s="1" t="s">
        <v>58</v>
      </c>
      <c r="N1203" s="1">
        <v>0</v>
      </c>
      <c r="O1203" s="1" t="s">
        <v>105</v>
      </c>
      <c r="P1203" s="11" t="s">
        <v>2028</v>
      </c>
      <c r="R1203" s="1">
        <v>1</v>
      </c>
      <c r="T1203" s="1" t="s">
        <v>157</v>
      </c>
      <c r="U1203" s="11" t="s">
        <v>1954</v>
      </c>
      <c r="V1203" s="1" t="s">
        <v>41</v>
      </c>
      <c r="W1203" s="1" t="s">
        <v>49</v>
      </c>
      <c r="AA1203" s="14"/>
    </row>
    <row r="1204" spans="1:27">
      <c r="A1204" s="1">
        <v>9386899</v>
      </c>
      <c r="B1204" s="1" t="s">
        <v>1153</v>
      </c>
      <c r="C1204" s="182" t="s">
        <v>2034</v>
      </c>
      <c r="D1204" s="2">
        <v>230012987</v>
      </c>
      <c r="E1204" s="2">
        <v>1162001400010</v>
      </c>
      <c r="F1204" s="1" t="s">
        <v>936</v>
      </c>
      <c r="G1204" s="1" t="s">
        <v>53</v>
      </c>
      <c r="H1204" s="1" t="s">
        <v>280</v>
      </c>
      <c r="I1204" s="1" t="s">
        <v>281</v>
      </c>
      <c r="J1204" s="1" t="s">
        <v>211</v>
      </c>
      <c r="K1204" t="s">
        <v>937</v>
      </c>
      <c r="M1204" s="1" t="s">
        <v>58</v>
      </c>
      <c r="N1204" s="1">
        <v>0</v>
      </c>
      <c r="O1204" s="1" t="s">
        <v>36</v>
      </c>
      <c r="P1204" s="11" t="s">
        <v>2035</v>
      </c>
      <c r="R1204" s="1">
        <v>3</v>
      </c>
      <c r="T1204" s="1" t="s">
        <v>646</v>
      </c>
      <c r="U1204" s="11" t="s">
        <v>2036</v>
      </c>
      <c r="V1204" s="1" t="s">
        <v>41</v>
      </c>
      <c r="W1204" s="1" t="s">
        <v>49</v>
      </c>
      <c r="AA1204" s="14"/>
    </row>
    <row r="1205" spans="1:27" hidden="1">
      <c r="A1205" s="1">
        <v>9386321</v>
      </c>
      <c r="B1205" s="1" t="s">
        <v>1153</v>
      </c>
      <c r="C1205" t="s">
        <v>2037</v>
      </c>
      <c r="E1205" s="2">
        <v>3108010206001</v>
      </c>
      <c r="F1205" s="1" t="s">
        <v>29</v>
      </c>
      <c r="G1205" s="1" t="s">
        <v>53</v>
      </c>
      <c r="H1205" s="1" t="s">
        <v>503</v>
      </c>
      <c r="I1205" s="1" t="s">
        <v>504</v>
      </c>
      <c r="J1205" s="1" t="s">
        <v>46</v>
      </c>
      <c r="K1205" t="s">
        <v>34</v>
      </c>
      <c r="M1205" s="1" t="s">
        <v>35</v>
      </c>
      <c r="N1205" s="1">
        <v>42318949</v>
      </c>
      <c r="O1205" s="1" t="s">
        <v>36</v>
      </c>
      <c r="P1205" s="11" t="s">
        <v>2038</v>
      </c>
      <c r="R1205" s="1" t="s">
        <v>38</v>
      </c>
      <c r="T1205" s="1" t="s">
        <v>74</v>
      </c>
      <c r="U1205" s="11" t="s">
        <v>2039</v>
      </c>
      <c r="V1205" s="1" t="s">
        <v>41</v>
      </c>
      <c r="W1205" s="1" t="s">
        <v>49</v>
      </c>
      <c r="AA1205" s="14"/>
    </row>
    <row r="1206" spans="1:27">
      <c r="A1206" s="1">
        <v>9385840</v>
      </c>
      <c r="B1206" s="1" t="s">
        <v>1153</v>
      </c>
      <c r="C1206" t="s">
        <v>2040</v>
      </c>
      <c r="E1206" s="2">
        <v>2170000206001</v>
      </c>
      <c r="F1206" s="1" t="s">
        <v>29</v>
      </c>
      <c r="G1206" s="1" t="s">
        <v>53</v>
      </c>
      <c r="H1206" s="1" t="s">
        <v>477</v>
      </c>
      <c r="I1206" s="1" t="s">
        <v>478</v>
      </c>
      <c r="J1206" s="1" t="s">
        <v>148</v>
      </c>
      <c r="K1206" t="s">
        <v>34</v>
      </c>
      <c r="M1206" s="1" t="s">
        <v>35</v>
      </c>
      <c r="N1206" s="1">
        <v>42318949</v>
      </c>
      <c r="O1206" s="1" t="s">
        <v>36</v>
      </c>
      <c r="P1206" s="11" t="s">
        <v>2041</v>
      </c>
      <c r="R1206" s="1" t="s">
        <v>38</v>
      </c>
      <c r="T1206" s="1" t="s">
        <v>74</v>
      </c>
      <c r="U1206" s="11" t="s">
        <v>2042</v>
      </c>
      <c r="V1206" s="1" t="s">
        <v>41</v>
      </c>
      <c r="W1206" s="1" t="s">
        <v>49</v>
      </c>
      <c r="AA1206" s="14"/>
    </row>
    <row r="1207" spans="1:27" hidden="1">
      <c r="A1207" s="1">
        <v>9385440</v>
      </c>
      <c r="B1207" s="1" t="s">
        <v>1153</v>
      </c>
      <c r="C1207" t="s">
        <v>2043</v>
      </c>
      <c r="E1207" s="2">
        <v>446000206001</v>
      </c>
      <c r="F1207" s="1" t="s">
        <v>29</v>
      </c>
      <c r="G1207" s="1" t="s">
        <v>53</v>
      </c>
      <c r="H1207" s="1" t="s">
        <v>432</v>
      </c>
      <c r="I1207" s="1" t="s">
        <v>433</v>
      </c>
      <c r="J1207" s="1" t="s">
        <v>110</v>
      </c>
      <c r="K1207" t="s">
        <v>34</v>
      </c>
      <c r="M1207" s="1" t="s">
        <v>35</v>
      </c>
      <c r="N1207" s="1">
        <v>42318949</v>
      </c>
      <c r="O1207" s="1" t="s">
        <v>36</v>
      </c>
      <c r="P1207" s="11" t="s">
        <v>2044</v>
      </c>
      <c r="R1207" s="1" t="s">
        <v>38</v>
      </c>
      <c r="T1207" s="1" t="s">
        <v>74</v>
      </c>
      <c r="U1207" s="11" t="s">
        <v>2023</v>
      </c>
      <c r="V1207" s="1" t="s">
        <v>41</v>
      </c>
      <c r="W1207" s="1" t="s">
        <v>49</v>
      </c>
      <c r="AA1207" s="14"/>
    </row>
    <row r="1208" spans="1:27">
      <c r="A1208" s="1">
        <v>9396912</v>
      </c>
      <c r="B1208" s="1" t="s">
        <v>62</v>
      </c>
      <c r="C1208" t="s">
        <v>2045</v>
      </c>
      <c r="D1208" s="2">
        <v>230014141</v>
      </c>
      <c r="E1208" s="2">
        <v>870001400020</v>
      </c>
      <c r="F1208" s="1" t="s">
        <v>1961</v>
      </c>
      <c r="G1208" s="1" t="s">
        <v>53</v>
      </c>
      <c r="H1208" s="1" t="s">
        <v>183</v>
      </c>
      <c r="I1208" s="1" t="s">
        <v>184</v>
      </c>
      <c r="J1208" s="1" t="s">
        <v>90</v>
      </c>
      <c r="K1208" t="s">
        <v>1962</v>
      </c>
      <c r="M1208" s="1" t="s">
        <v>58</v>
      </c>
      <c r="N1208" s="1">
        <v>0</v>
      </c>
      <c r="O1208" s="1" t="s">
        <v>36</v>
      </c>
      <c r="P1208" s="11" t="s">
        <v>2046</v>
      </c>
      <c r="R1208" s="1">
        <v>4</v>
      </c>
      <c r="T1208" s="1" t="s">
        <v>646</v>
      </c>
      <c r="U1208" s="11" t="s">
        <v>2047</v>
      </c>
      <c r="V1208" s="1" t="s">
        <v>41</v>
      </c>
      <c r="W1208" s="1" t="s">
        <v>49</v>
      </c>
      <c r="AA1208" s="14"/>
    </row>
    <row r="1209" spans="1:27">
      <c r="A1209" s="1">
        <v>9396835</v>
      </c>
      <c r="B1209" s="1" t="s">
        <v>1153</v>
      </c>
      <c r="C1209" s="182" t="s">
        <v>2048</v>
      </c>
      <c r="D1209" s="2">
        <v>20231069000005</v>
      </c>
      <c r="E1209" s="2">
        <v>7417210950276</v>
      </c>
      <c r="F1209" s="1" t="s">
        <v>1213</v>
      </c>
      <c r="G1209" s="1" t="s">
        <v>53</v>
      </c>
      <c r="H1209" s="1" t="s">
        <v>2049</v>
      </c>
      <c r="I1209" s="1" t="s">
        <v>2050</v>
      </c>
      <c r="J1209" s="1" t="s">
        <v>211</v>
      </c>
      <c r="K1209" t="s">
        <v>1214</v>
      </c>
      <c r="M1209" s="1" t="s">
        <v>58</v>
      </c>
      <c r="N1209" s="1">
        <v>0</v>
      </c>
      <c r="O1209" s="1" t="s">
        <v>36</v>
      </c>
      <c r="P1209" s="11" t="s">
        <v>2051</v>
      </c>
      <c r="R1209" s="1">
        <v>14</v>
      </c>
      <c r="T1209" s="1" t="s">
        <v>238</v>
      </c>
      <c r="U1209" s="11" t="s">
        <v>2051</v>
      </c>
      <c r="V1209" s="1" t="s">
        <v>41</v>
      </c>
      <c r="W1209" s="1" t="s">
        <v>49</v>
      </c>
      <c r="AA1209" s="14"/>
    </row>
    <row r="1210" spans="1:27">
      <c r="A1210" s="1">
        <v>9395678</v>
      </c>
      <c r="B1210" s="1" t="s">
        <v>1153</v>
      </c>
      <c r="C1210" s="182" t="s">
        <v>2052</v>
      </c>
      <c r="D1210" s="2">
        <v>20234119000004</v>
      </c>
      <c r="E1210" s="2">
        <v>7417183022947</v>
      </c>
      <c r="F1210" s="1" t="s">
        <v>1313</v>
      </c>
      <c r="G1210" s="1" t="s">
        <v>53</v>
      </c>
      <c r="H1210" s="1" t="s">
        <v>2053</v>
      </c>
      <c r="I1210" s="1" t="s">
        <v>2054</v>
      </c>
      <c r="J1210" s="1" t="s">
        <v>211</v>
      </c>
      <c r="K1210" t="s">
        <v>1316</v>
      </c>
      <c r="M1210" s="1" t="s">
        <v>58</v>
      </c>
      <c r="N1210" s="1">
        <v>0</v>
      </c>
      <c r="O1210" s="1" t="s">
        <v>36</v>
      </c>
      <c r="P1210" s="11" t="s">
        <v>3037</v>
      </c>
      <c r="R1210" s="1">
        <v>14</v>
      </c>
      <c r="T1210" s="1" t="s">
        <v>238</v>
      </c>
      <c r="U1210" s="11" t="s">
        <v>3037</v>
      </c>
      <c r="V1210" s="1" t="s">
        <v>41</v>
      </c>
      <c r="W1210" s="1" t="s">
        <v>49</v>
      </c>
      <c r="AA1210" s="14"/>
    </row>
    <row r="1211" spans="1:27" hidden="1">
      <c r="A1211" s="1">
        <v>9395597</v>
      </c>
      <c r="B1211" s="1" t="s">
        <v>62</v>
      </c>
      <c r="C1211" t="s">
        <v>2055</v>
      </c>
      <c r="E1211" s="2">
        <v>9406000206001</v>
      </c>
      <c r="F1211" s="1" t="s">
        <v>29</v>
      </c>
      <c r="G1211" s="1" t="s">
        <v>53</v>
      </c>
      <c r="H1211" s="1" t="s">
        <v>114</v>
      </c>
      <c r="I1211" s="1" t="s">
        <v>115</v>
      </c>
      <c r="J1211" s="1" t="s">
        <v>46</v>
      </c>
      <c r="K1211" t="s">
        <v>34</v>
      </c>
      <c r="M1211" s="1" t="s">
        <v>35</v>
      </c>
      <c r="N1211" s="1">
        <v>42318949</v>
      </c>
      <c r="O1211" s="1" t="s">
        <v>105</v>
      </c>
      <c r="P1211" s="11" t="s">
        <v>3038</v>
      </c>
      <c r="R1211" s="1" t="s">
        <v>38</v>
      </c>
      <c r="T1211" s="1" t="s">
        <v>74</v>
      </c>
      <c r="U1211" s="11" t="s">
        <v>2057</v>
      </c>
      <c r="V1211" s="1" t="s">
        <v>41</v>
      </c>
      <c r="W1211" s="1" t="s">
        <v>49</v>
      </c>
      <c r="AA1211" s="14"/>
    </row>
    <row r="1212" spans="1:27" hidden="1">
      <c r="A1212" s="1">
        <v>9395595</v>
      </c>
      <c r="B1212" s="1" t="s">
        <v>62</v>
      </c>
      <c r="C1212" t="s">
        <v>2055</v>
      </c>
      <c r="E1212" s="2">
        <v>9406000206001</v>
      </c>
      <c r="F1212" s="1" t="s">
        <v>29</v>
      </c>
      <c r="G1212" s="1" t="s">
        <v>53</v>
      </c>
      <c r="H1212" s="1" t="s">
        <v>114</v>
      </c>
      <c r="I1212" s="1" t="s">
        <v>115</v>
      </c>
      <c r="J1212" s="1" t="s">
        <v>46</v>
      </c>
      <c r="K1212" t="s">
        <v>34</v>
      </c>
      <c r="M1212" s="1" t="s">
        <v>35</v>
      </c>
      <c r="N1212" s="1">
        <v>42318949</v>
      </c>
      <c r="O1212" s="1" t="s">
        <v>105</v>
      </c>
      <c r="P1212" s="11" t="s">
        <v>2056</v>
      </c>
      <c r="R1212" s="1" t="s">
        <v>38</v>
      </c>
      <c r="T1212" s="1" t="s">
        <v>74</v>
      </c>
      <c r="U1212" s="11" t="s">
        <v>2057</v>
      </c>
      <c r="V1212" s="1" t="s">
        <v>41</v>
      </c>
      <c r="W1212" s="1" t="s">
        <v>49</v>
      </c>
      <c r="AA1212" s="14"/>
    </row>
    <row r="1213" spans="1:27" hidden="1">
      <c r="A1213" s="1">
        <v>9395577</v>
      </c>
      <c r="B1213" s="1" t="s">
        <v>1153</v>
      </c>
      <c r="C1213" t="s">
        <v>2019</v>
      </c>
      <c r="D1213" s="2">
        <v>20234844000256</v>
      </c>
      <c r="E1213" s="2">
        <v>7419151140206</v>
      </c>
      <c r="F1213" s="1" t="s">
        <v>2058</v>
      </c>
      <c r="G1213" s="1" t="s">
        <v>53</v>
      </c>
      <c r="H1213" s="1" t="s">
        <v>2059</v>
      </c>
      <c r="I1213" s="1" t="s">
        <v>2060</v>
      </c>
      <c r="J1213" s="1" t="s">
        <v>46</v>
      </c>
      <c r="K1213" t="s">
        <v>2061</v>
      </c>
      <c r="M1213" s="1" t="s">
        <v>58</v>
      </c>
      <c r="N1213" s="1">
        <v>0</v>
      </c>
      <c r="O1213" s="1" t="s">
        <v>36</v>
      </c>
      <c r="P1213" s="11" t="s">
        <v>2062</v>
      </c>
      <c r="R1213" s="1">
        <v>13</v>
      </c>
      <c r="T1213" s="1" t="s">
        <v>238</v>
      </c>
      <c r="U1213" s="11" t="s">
        <v>2062</v>
      </c>
      <c r="V1213" s="1" t="s">
        <v>41</v>
      </c>
      <c r="W1213" s="1" t="s">
        <v>49</v>
      </c>
      <c r="AA1213" s="14"/>
    </row>
    <row r="1214" spans="1:27" hidden="1">
      <c r="A1214" s="1">
        <v>9395035</v>
      </c>
      <c r="B1214" s="1" t="s">
        <v>81</v>
      </c>
      <c r="C1214" t="s">
        <v>2063</v>
      </c>
      <c r="E1214" s="2">
        <v>7417163050344</v>
      </c>
      <c r="F1214" s="1" t="s">
        <v>1741</v>
      </c>
      <c r="G1214" s="1" t="s">
        <v>53</v>
      </c>
      <c r="H1214" s="1" t="s">
        <v>2064</v>
      </c>
      <c r="I1214" s="1" t="s">
        <v>2065</v>
      </c>
      <c r="J1214" s="1" t="s">
        <v>46</v>
      </c>
      <c r="K1214" t="s">
        <v>1744</v>
      </c>
      <c r="M1214" s="1" t="s">
        <v>58</v>
      </c>
      <c r="N1214" s="1">
        <v>0</v>
      </c>
      <c r="O1214" s="1" t="s">
        <v>105</v>
      </c>
      <c r="P1214" s="11" t="s">
        <v>2066</v>
      </c>
      <c r="R1214" s="1">
        <v>14</v>
      </c>
      <c r="T1214" s="1" t="s">
        <v>238</v>
      </c>
      <c r="U1214" s="11" t="s">
        <v>2067</v>
      </c>
      <c r="V1214" s="1" t="s">
        <v>41</v>
      </c>
      <c r="W1214" s="1" t="s">
        <v>49</v>
      </c>
      <c r="AA1214" s="14"/>
    </row>
    <row r="1215" spans="1:27" hidden="1">
      <c r="A1215" s="1">
        <v>9409622</v>
      </c>
      <c r="B1215" s="1" t="s">
        <v>1153</v>
      </c>
      <c r="C1215" t="s">
        <v>2068</v>
      </c>
      <c r="E1215" s="2">
        <v>1902016019600</v>
      </c>
      <c r="F1215" s="1" t="s">
        <v>64</v>
      </c>
      <c r="G1215" s="1" t="s">
        <v>53</v>
      </c>
      <c r="H1215" s="1" t="s">
        <v>1060</v>
      </c>
      <c r="I1215" s="1" t="s">
        <v>1061</v>
      </c>
      <c r="J1215" s="1" t="s">
        <v>79</v>
      </c>
      <c r="K1215" t="s">
        <v>67</v>
      </c>
      <c r="M1215" s="1" t="s">
        <v>35</v>
      </c>
      <c r="N1215" s="1">
        <v>42318949</v>
      </c>
      <c r="O1215" s="1" t="s">
        <v>36</v>
      </c>
      <c r="P1215" s="11" t="s">
        <v>3039</v>
      </c>
      <c r="R1215" s="1" t="s">
        <v>571</v>
      </c>
      <c r="T1215" s="1" t="s">
        <v>69</v>
      </c>
      <c r="U1215" s="11" t="s">
        <v>3040</v>
      </c>
      <c r="V1215" s="1" t="s">
        <v>41</v>
      </c>
      <c r="W1215" s="1" t="s">
        <v>49</v>
      </c>
      <c r="AA1215" s="14"/>
    </row>
    <row r="1216" spans="1:27" hidden="1">
      <c r="A1216" s="1">
        <v>9408142</v>
      </c>
      <c r="B1216" s="1" t="s">
        <v>1153</v>
      </c>
      <c r="C1216" t="s">
        <v>2072</v>
      </c>
      <c r="E1216" s="2">
        <v>9704000206021</v>
      </c>
      <c r="F1216" s="1" t="s">
        <v>103</v>
      </c>
      <c r="G1216" s="1" t="s">
        <v>53</v>
      </c>
      <c r="H1216" s="1" t="s">
        <v>488</v>
      </c>
      <c r="I1216" s="1" t="s">
        <v>489</v>
      </c>
      <c r="J1216" s="1" t="s">
        <v>164</v>
      </c>
      <c r="K1216" t="s">
        <v>104</v>
      </c>
      <c r="M1216" s="1" t="s">
        <v>58</v>
      </c>
      <c r="N1216" s="1">
        <v>0</v>
      </c>
      <c r="O1216" s="1" t="s">
        <v>36</v>
      </c>
      <c r="P1216" s="11" t="s">
        <v>2073</v>
      </c>
      <c r="R1216" s="1" t="s">
        <v>38</v>
      </c>
      <c r="T1216" s="1" t="s">
        <v>74</v>
      </c>
      <c r="U1216" s="11" t="s">
        <v>3041</v>
      </c>
      <c r="V1216" s="1" t="s">
        <v>41</v>
      </c>
      <c r="W1216" s="1" t="s">
        <v>49</v>
      </c>
      <c r="AA1216" s="14"/>
    </row>
    <row r="1217" spans="1:27">
      <c r="A1217" s="1">
        <v>9413534</v>
      </c>
      <c r="B1217" s="1" t="s">
        <v>1153</v>
      </c>
      <c r="C1217" t="s">
        <v>3042</v>
      </c>
      <c r="D1217" s="2">
        <v>20231162000004</v>
      </c>
      <c r="E1217" s="2">
        <v>7417211830409</v>
      </c>
      <c r="F1217" s="1" t="s">
        <v>1936</v>
      </c>
      <c r="G1217" s="1" t="s">
        <v>53</v>
      </c>
      <c r="H1217" s="1" t="s">
        <v>2077</v>
      </c>
      <c r="I1217" s="1" t="s">
        <v>2078</v>
      </c>
      <c r="J1217" s="1" t="s">
        <v>211</v>
      </c>
      <c r="K1217" t="s">
        <v>1939</v>
      </c>
      <c r="M1217" s="1" t="s">
        <v>58</v>
      </c>
      <c r="N1217" s="1">
        <v>0</v>
      </c>
      <c r="O1217" s="1" t="s">
        <v>36</v>
      </c>
      <c r="P1217" s="11" t="s">
        <v>3043</v>
      </c>
      <c r="R1217" s="1">
        <v>14</v>
      </c>
      <c r="T1217" s="1" t="s">
        <v>238</v>
      </c>
      <c r="U1217" s="11" t="s">
        <v>3043</v>
      </c>
      <c r="V1217" s="1" t="s">
        <v>41</v>
      </c>
      <c r="W1217" s="1" t="s">
        <v>49</v>
      </c>
      <c r="AA1217" s="14"/>
    </row>
    <row r="1218" spans="1:27" hidden="1">
      <c r="A1218" s="1">
        <v>9413399</v>
      </c>
      <c r="B1218" s="1" t="s">
        <v>1153</v>
      </c>
      <c r="C1218" t="s">
        <v>2079</v>
      </c>
      <c r="D1218" s="2">
        <v>230015482</v>
      </c>
      <c r="E1218" s="2">
        <v>232001400010</v>
      </c>
      <c r="F1218" s="1" t="s">
        <v>936</v>
      </c>
      <c r="G1218" s="1" t="s">
        <v>53</v>
      </c>
      <c r="H1218" s="1" t="s">
        <v>1363</v>
      </c>
      <c r="I1218" s="1" t="s">
        <v>1364</v>
      </c>
      <c r="J1218" s="1" t="s">
        <v>141</v>
      </c>
      <c r="K1218" t="s">
        <v>937</v>
      </c>
      <c r="M1218" s="1" t="s">
        <v>58</v>
      </c>
      <c r="N1218" s="1">
        <v>0</v>
      </c>
      <c r="O1218" s="1" t="s">
        <v>36</v>
      </c>
      <c r="P1218" s="11" t="s">
        <v>2080</v>
      </c>
      <c r="R1218" s="1">
        <v>3</v>
      </c>
      <c r="T1218" s="1" t="s">
        <v>646</v>
      </c>
      <c r="U1218" s="11" t="s">
        <v>3044</v>
      </c>
      <c r="V1218" s="1" t="s">
        <v>41</v>
      </c>
      <c r="W1218" s="1" t="s">
        <v>49</v>
      </c>
      <c r="AA1218" s="14"/>
    </row>
    <row r="1219" spans="1:27">
      <c r="A1219" s="1">
        <v>9412469</v>
      </c>
      <c r="B1219" s="1" t="s">
        <v>1153</v>
      </c>
      <c r="C1219" s="182" t="s">
        <v>2094</v>
      </c>
      <c r="E1219" s="2">
        <v>246000206001</v>
      </c>
      <c r="F1219" s="1" t="s">
        <v>29</v>
      </c>
      <c r="G1219" s="1" t="s">
        <v>53</v>
      </c>
      <c r="H1219" s="1" t="s">
        <v>1193</v>
      </c>
      <c r="I1219" s="1" t="s">
        <v>1194</v>
      </c>
      <c r="J1219" s="1" t="s">
        <v>85</v>
      </c>
      <c r="K1219" t="s">
        <v>34</v>
      </c>
      <c r="M1219" s="1" t="s">
        <v>35</v>
      </c>
      <c r="N1219" s="1">
        <v>42318949</v>
      </c>
      <c r="O1219" s="1" t="s">
        <v>36</v>
      </c>
      <c r="P1219" s="11" t="s">
        <v>3045</v>
      </c>
      <c r="R1219" s="1" t="s">
        <v>38</v>
      </c>
      <c r="T1219" s="1" t="s">
        <v>74</v>
      </c>
      <c r="U1219" s="11" t="s">
        <v>2042</v>
      </c>
      <c r="V1219" s="1" t="s">
        <v>41</v>
      </c>
      <c r="W1219" s="1" t="s">
        <v>49</v>
      </c>
      <c r="AA1219" s="14"/>
    </row>
    <row r="1220" spans="1:27" hidden="1">
      <c r="A1220" s="1">
        <v>9412308</v>
      </c>
      <c r="B1220" s="1" t="s">
        <v>1153</v>
      </c>
      <c r="C1220" t="s">
        <v>2095</v>
      </c>
      <c r="D1220" s="2">
        <v>230015317</v>
      </c>
      <c r="E1220" s="2">
        <v>2365001400030</v>
      </c>
      <c r="F1220" s="1" t="s">
        <v>647</v>
      </c>
      <c r="G1220" s="1" t="s">
        <v>53</v>
      </c>
      <c r="H1220" s="1" t="s">
        <v>159</v>
      </c>
      <c r="I1220" s="1" t="s">
        <v>160</v>
      </c>
      <c r="J1220" s="1" t="s">
        <v>46</v>
      </c>
      <c r="K1220" t="s">
        <v>650</v>
      </c>
      <c r="M1220" s="1" t="s">
        <v>58</v>
      </c>
      <c r="N1220" s="1">
        <v>0</v>
      </c>
      <c r="O1220" s="1" t="s">
        <v>36</v>
      </c>
      <c r="P1220" s="11" t="s">
        <v>3046</v>
      </c>
      <c r="R1220" s="1">
        <v>4</v>
      </c>
      <c r="T1220" s="1" t="s">
        <v>646</v>
      </c>
      <c r="U1220" s="11" t="s">
        <v>3047</v>
      </c>
      <c r="V1220" s="1" t="s">
        <v>41</v>
      </c>
      <c r="W1220" s="1" t="s">
        <v>49</v>
      </c>
      <c r="AA1220" s="14"/>
    </row>
    <row r="1221" spans="1:27" hidden="1">
      <c r="A1221" s="1">
        <v>9423972</v>
      </c>
      <c r="B1221" s="1" t="s">
        <v>101</v>
      </c>
      <c r="C1221" t="s">
        <v>643</v>
      </c>
      <c r="D1221" s="2">
        <v>230021460</v>
      </c>
      <c r="E1221" s="2">
        <v>2196001400040</v>
      </c>
      <c r="F1221" s="1" t="s">
        <v>644</v>
      </c>
      <c r="G1221" s="1" t="s">
        <v>53</v>
      </c>
      <c r="H1221" s="1" t="s">
        <v>1252</v>
      </c>
      <c r="I1221" s="1" t="s">
        <v>1253</v>
      </c>
      <c r="J1221" s="1" t="s">
        <v>33</v>
      </c>
      <c r="K1221" t="s">
        <v>645</v>
      </c>
      <c r="M1221" s="1" t="s">
        <v>58</v>
      </c>
      <c r="N1221" s="1">
        <v>0</v>
      </c>
      <c r="O1221" s="1" t="s">
        <v>105</v>
      </c>
      <c r="P1221" s="11" t="s">
        <v>2096</v>
      </c>
      <c r="R1221" s="1">
        <v>2</v>
      </c>
      <c r="T1221" s="1" t="s">
        <v>646</v>
      </c>
      <c r="U1221" s="11" t="s">
        <v>2097</v>
      </c>
      <c r="V1221" s="1" t="s">
        <v>41</v>
      </c>
      <c r="W1221" s="1" t="s">
        <v>42</v>
      </c>
      <c r="AA1221" s="14"/>
    </row>
    <row r="1222" spans="1:27">
      <c r="A1222" s="1">
        <v>9423924</v>
      </c>
      <c r="B1222" s="1" t="s">
        <v>101</v>
      </c>
      <c r="C1222" t="s">
        <v>643</v>
      </c>
      <c r="D1222" s="2">
        <v>230021340</v>
      </c>
      <c r="E1222" s="2">
        <v>1764001400040</v>
      </c>
      <c r="F1222" s="1" t="s">
        <v>644</v>
      </c>
      <c r="G1222" s="1" t="s">
        <v>53</v>
      </c>
      <c r="H1222" s="1" t="s">
        <v>722</v>
      </c>
      <c r="I1222" s="1" t="s">
        <v>723</v>
      </c>
      <c r="J1222" s="1" t="s">
        <v>90</v>
      </c>
      <c r="K1222" t="s">
        <v>645</v>
      </c>
      <c r="M1222" s="1" t="s">
        <v>58</v>
      </c>
      <c r="N1222" s="1">
        <v>0</v>
      </c>
      <c r="O1222" s="1" t="s">
        <v>105</v>
      </c>
      <c r="P1222" s="11" t="s">
        <v>2098</v>
      </c>
      <c r="R1222" s="1">
        <v>2</v>
      </c>
      <c r="T1222" s="1" t="s">
        <v>646</v>
      </c>
      <c r="U1222" s="11" t="s">
        <v>2099</v>
      </c>
      <c r="V1222" s="1" t="s">
        <v>41</v>
      </c>
      <c r="W1222" s="1" t="s">
        <v>49</v>
      </c>
      <c r="AA1222" s="14"/>
    </row>
    <row r="1223" spans="1:27" hidden="1">
      <c r="A1223" s="1">
        <v>9423771</v>
      </c>
      <c r="B1223" s="1" t="s">
        <v>101</v>
      </c>
      <c r="C1223" t="s">
        <v>643</v>
      </c>
      <c r="D1223" s="2">
        <v>230020921</v>
      </c>
      <c r="E1223" s="2">
        <v>721001400040</v>
      </c>
      <c r="F1223" s="1" t="s">
        <v>644</v>
      </c>
      <c r="G1223" s="1" t="s">
        <v>53</v>
      </c>
      <c r="H1223" s="1" t="s">
        <v>422</v>
      </c>
      <c r="I1223" s="1" t="s">
        <v>423</v>
      </c>
      <c r="J1223" s="1" t="s">
        <v>79</v>
      </c>
      <c r="K1223" t="s">
        <v>645</v>
      </c>
      <c r="M1223" s="1" t="s">
        <v>58</v>
      </c>
      <c r="N1223" s="1">
        <v>0</v>
      </c>
      <c r="O1223" s="1" t="s">
        <v>105</v>
      </c>
      <c r="P1223" s="11" t="s">
        <v>2100</v>
      </c>
      <c r="R1223" s="1">
        <v>3</v>
      </c>
      <c r="T1223" s="1" t="s">
        <v>646</v>
      </c>
      <c r="U1223" s="11" t="s">
        <v>3048</v>
      </c>
      <c r="V1223" s="1" t="s">
        <v>41</v>
      </c>
      <c r="W1223" s="1" t="s">
        <v>49</v>
      </c>
      <c r="AA1223" s="14"/>
    </row>
    <row r="1224" spans="1:27" hidden="1">
      <c r="A1224" s="1">
        <v>9423767</v>
      </c>
      <c r="B1224" s="1" t="s">
        <v>101</v>
      </c>
      <c r="C1224" t="s">
        <v>643</v>
      </c>
      <c r="D1224" s="2">
        <v>230020919</v>
      </c>
      <c r="E1224" s="2">
        <v>711001400040</v>
      </c>
      <c r="F1224" s="1" t="s">
        <v>644</v>
      </c>
      <c r="G1224" s="1" t="s">
        <v>53</v>
      </c>
      <c r="H1224" s="1" t="s">
        <v>77</v>
      </c>
      <c r="I1224" s="1" t="s">
        <v>78</v>
      </c>
      <c r="J1224" s="1" t="s">
        <v>79</v>
      </c>
      <c r="K1224" t="s">
        <v>645</v>
      </c>
      <c r="M1224" s="1" t="s">
        <v>58</v>
      </c>
      <c r="N1224" s="1">
        <v>0</v>
      </c>
      <c r="O1224" s="1" t="s">
        <v>105</v>
      </c>
      <c r="P1224" s="11" t="s">
        <v>2101</v>
      </c>
      <c r="R1224" s="1">
        <v>2</v>
      </c>
      <c r="T1224" s="1" t="s">
        <v>646</v>
      </c>
      <c r="U1224" s="11" t="s">
        <v>2102</v>
      </c>
      <c r="V1224" s="1" t="s">
        <v>41</v>
      </c>
      <c r="W1224" s="1" t="s">
        <v>49</v>
      </c>
      <c r="AA1224" s="14"/>
    </row>
    <row r="1225" spans="1:27">
      <c r="A1225" s="1">
        <v>9423601</v>
      </c>
      <c r="B1225" s="1" t="s">
        <v>101</v>
      </c>
      <c r="C1225" t="s">
        <v>643</v>
      </c>
      <c r="D1225" s="2">
        <v>230020893</v>
      </c>
      <c r="E1225" s="2">
        <v>605001400040</v>
      </c>
      <c r="F1225" s="1" t="s">
        <v>644</v>
      </c>
      <c r="G1225" s="1" t="s">
        <v>53</v>
      </c>
      <c r="H1225" s="1" t="s">
        <v>420</v>
      </c>
      <c r="I1225" s="1" t="s">
        <v>421</v>
      </c>
      <c r="J1225" s="1" t="s">
        <v>90</v>
      </c>
      <c r="K1225" t="s">
        <v>645</v>
      </c>
      <c r="M1225" s="1" t="s">
        <v>58</v>
      </c>
      <c r="N1225" s="1">
        <v>0</v>
      </c>
      <c r="O1225" s="1" t="s">
        <v>105</v>
      </c>
      <c r="P1225" s="11" t="s">
        <v>2103</v>
      </c>
      <c r="R1225" s="1">
        <v>3</v>
      </c>
      <c r="T1225" s="1" t="s">
        <v>646</v>
      </c>
      <c r="U1225" s="11" t="s">
        <v>2104</v>
      </c>
      <c r="V1225" s="1" t="s">
        <v>41</v>
      </c>
      <c r="W1225" s="1" t="s">
        <v>49</v>
      </c>
      <c r="AA1225" s="14"/>
    </row>
    <row r="1226" spans="1:27">
      <c r="A1226" s="1">
        <v>9423596</v>
      </c>
      <c r="B1226" s="1" t="s">
        <v>101</v>
      </c>
      <c r="C1226" t="s">
        <v>643</v>
      </c>
      <c r="D1226" s="2">
        <v>230020890</v>
      </c>
      <c r="E1226" s="2">
        <v>600001400040</v>
      </c>
      <c r="F1226" s="1" t="s">
        <v>644</v>
      </c>
      <c r="G1226" s="1" t="s">
        <v>53</v>
      </c>
      <c r="H1226" s="1" t="s">
        <v>1084</v>
      </c>
      <c r="I1226" s="1" t="s">
        <v>1085</v>
      </c>
      <c r="J1226" s="1" t="s">
        <v>90</v>
      </c>
      <c r="K1226" t="s">
        <v>645</v>
      </c>
      <c r="M1226" s="1" t="s">
        <v>58</v>
      </c>
      <c r="N1226" s="1">
        <v>0</v>
      </c>
      <c r="O1226" s="1" t="s">
        <v>105</v>
      </c>
      <c r="P1226" s="11" t="s">
        <v>2105</v>
      </c>
      <c r="R1226" s="1">
        <v>2</v>
      </c>
      <c r="T1226" s="1" t="s">
        <v>646</v>
      </c>
      <c r="U1226" s="11" t="s">
        <v>3049</v>
      </c>
      <c r="V1226" s="1" t="s">
        <v>41</v>
      </c>
      <c r="W1226" s="1" t="s">
        <v>49</v>
      </c>
      <c r="AA1226" s="14"/>
    </row>
    <row r="1227" spans="1:27">
      <c r="A1227" s="1">
        <v>9423590</v>
      </c>
      <c r="B1227" s="1" t="s">
        <v>1153</v>
      </c>
      <c r="C1227" s="182" t="s">
        <v>2106</v>
      </c>
      <c r="D1227" s="2">
        <v>20231028000006</v>
      </c>
      <c r="E1227" s="2">
        <v>7417163283625</v>
      </c>
      <c r="F1227" s="1" t="s">
        <v>131</v>
      </c>
      <c r="G1227" s="1" t="s">
        <v>53</v>
      </c>
      <c r="H1227" s="1" t="s">
        <v>2107</v>
      </c>
      <c r="I1227" s="1" t="s">
        <v>2108</v>
      </c>
      <c r="J1227" s="1" t="s">
        <v>85</v>
      </c>
      <c r="K1227" t="s">
        <v>132</v>
      </c>
      <c r="M1227" s="1" t="s">
        <v>58</v>
      </c>
      <c r="N1227" s="1">
        <v>0</v>
      </c>
      <c r="O1227" s="1" t="s">
        <v>36</v>
      </c>
      <c r="P1227" s="11" t="s">
        <v>2109</v>
      </c>
      <c r="R1227" s="1">
        <v>14</v>
      </c>
      <c r="T1227" s="1" t="s">
        <v>238</v>
      </c>
      <c r="U1227" s="186">
        <v>44958.689085648148</v>
      </c>
      <c r="V1227" s="1" t="s">
        <v>41</v>
      </c>
      <c r="W1227" s="1" t="s">
        <v>49</v>
      </c>
      <c r="AA1227" s="14"/>
    </row>
    <row r="1228" spans="1:27" hidden="1">
      <c r="A1228" s="1">
        <v>9423511</v>
      </c>
      <c r="B1228" s="1" t="s">
        <v>1153</v>
      </c>
      <c r="C1228" t="s">
        <v>2110</v>
      </c>
      <c r="D1228" s="2">
        <v>230022801</v>
      </c>
      <c r="E1228" s="2">
        <v>3250001400030</v>
      </c>
      <c r="F1228" s="1" t="s">
        <v>647</v>
      </c>
      <c r="G1228" s="1" t="s">
        <v>53</v>
      </c>
      <c r="H1228" s="1" t="s">
        <v>371</v>
      </c>
      <c r="I1228" s="1" t="s">
        <v>372</v>
      </c>
      <c r="J1228" s="1" t="s">
        <v>46</v>
      </c>
      <c r="K1228" t="s">
        <v>650</v>
      </c>
      <c r="M1228" s="1" t="s">
        <v>58</v>
      </c>
      <c r="N1228" s="1">
        <v>0</v>
      </c>
      <c r="O1228" s="1" t="s">
        <v>36</v>
      </c>
      <c r="P1228" s="11" t="s">
        <v>2111</v>
      </c>
      <c r="R1228" s="1">
        <v>4</v>
      </c>
      <c r="T1228" s="1" t="s">
        <v>646</v>
      </c>
      <c r="U1228" s="186">
        <v>44959.73940972222</v>
      </c>
      <c r="V1228" s="1" t="s">
        <v>41</v>
      </c>
      <c r="W1228" s="1" t="s">
        <v>49</v>
      </c>
      <c r="AA1228" s="14"/>
    </row>
    <row r="1229" spans="1:27" hidden="1">
      <c r="A1229" s="1">
        <v>9423443</v>
      </c>
      <c r="B1229" s="1" t="s">
        <v>101</v>
      </c>
      <c r="C1229" t="s">
        <v>643</v>
      </c>
      <c r="D1229" s="2">
        <v>230021326</v>
      </c>
      <c r="E1229" s="2">
        <v>1739001400040</v>
      </c>
      <c r="F1229" s="1" t="s">
        <v>644</v>
      </c>
      <c r="G1229" s="1" t="s">
        <v>53</v>
      </c>
      <c r="H1229" s="1" t="s">
        <v>162</v>
      </c>
      <c r="I1229" s="1" t="s">
        <v>163</v>
      </c>
      <c r="J1229" s="1" t="s">
        <v>164</v>
      </c>
      <c r="K1229" t="s">
        <v>645</v>
      </c>
      <c r="M1229" s="1" t="s">
        <v>58</v>
      </c>
      <c r="N1229" s="1">
        <v>0</v>
      </c>
      <c r="O1229" s="1" t="s">
        <v>105</v>
      </c>
      <c r="P1229" s="11" t="s">
        <v>2113</v>
      </c>
      <c r="R1229" s="1">
        <v>3</v>
      </c>
      <c r="T1229" s="1" t="s">
        <v>646</v>
      </c>
      <c r="U1229" s="186">
        <v>44959.714675925927</v>
      </c>
      <c r="V1229" s="1" t="s">
        <v>41</v>
      </c>
      <c r="W1229" s="1" t="s">
        <v>49</v>
      </c>
      <c r="AA1229" s="14"/>
    </row>
    <row r="1230" spans="1:27" hidden="1">
      <c r="A1230" s="1">
        <v>9423416</v>
      </c>
      <c r="B1230" s="1" t="s">
        <v>101</v>
      </c>
      <c r="C1230" t="s">
        <v>643</v>
      </c>
      <c r="D1230" s="2">
        <v>230021315</v>
      </c>
      <c r="E1230" s="2">
        <v>1710001400040</v>
      </c>
      <c r="F1230" s="1" t="s">
        <v>644</v>
      </c>
      <c r="G1230" s="1" t="s">
        <v>53</v>
      </c>
      <c r="H1230" s="1" t="s">
        <v>327</v>
      </c>
      <c r="I1230" s="1" t="s">
        <v>328</v>
      </c>
      <c r="J1230" s="1" t="s">
        <v>261</v>
      </c>
      <c r="K1230" t="s">
        <v>645</v>
      </c>
      <c r="M1230" s="1" t="s">
        <v>58</v>
      </c>
      <c r="N1230" s="1">
        <v>0</v>
      </c>
      <c r="O1230" s="1" t="s">
        <v>105</v>
      </c>
      <c r="P1230" s="11" t="s">
        <v>2115</v>
      </c>
      <c r="R1230" s="1">
        <v>2</v>
      </c>
      <c r="T1230" s="1" t="s">
        <v>646</v>
      </c>
      <c r="U1230" s="186">
        <v>44959.713321759256</v>
      </c>
      <c r="V1230" s="1" t="s">
        <v>41</v>
      </c>
      <c r="W1230" s="1" t="s">
        <v>49</v>
      </c>
      <c r="AA1230" s="14"/>
    </row>
    <row r="1231" spans="1:27" hidden="1">
      <c r="A1231" s="1">
        <v>9423393</v>
      </c>
      <c r="B1231" s="1" t="s">
        <v>101</v>
      </c>
      <c r="C1231" t="s">
        <v>643</v>
      </c>
      <c r="D1231" s="2">
        <v>230021306</v>
      </c>
      <c r="E1231" s="2">
        <v>1689001400040</v>
      </c>
      <c r="F1231" s="1" t="s">
        <v>644</v>
      </c>
      <c r="G1231" s="1" t="s">
        <v>53</v>
      </c>
      <c r="H1231" s="1" t="s">
        <v>2117</v>
      </c>
      <c r="I1231" s="1" t="s">
        <v>2118</v>
      </c>
      <c r="J1231" s="1" t="s">
        <v>79</v>
      </c>
      <c r="K1231" t="s">
        <v>645</v>
      </c>
      <c r="M1231" s="1" t="s">
        <v>58</v>
      </c>
      <c r="N1231" s="1">
        <v>0</v>
      </c>
      <c r="O1231" s="1" t="s">
        <v>105</v>
      </c>
      <c r="P1231" s="11" t="s">
        <v>2119</v>
      </c>
      <c r="R1231" s="1">
        <v>2</v>
      </c>
      <c r="T1231" s="1" t="s">
        <v>646</v>
      </c>
      <c r="U1231" s="186">
        <v>44959.712106481478</v>
      </c>
      <c r="V1231" s="1" t="s">
        <v>41</v>
      </c>
      <c r="W1231" s="1" t="s">
        <v>49</v>
      </c>
      <c r="AA1231" s="14"/>
    </row>
    <row r="1232" spans="1:27" hidden="1">
      <c r="A1232" s="1">
        <v>9423359</v>
      </c>
      <c r="B1232" s="1" t="s">
        <v>101</v>
      </c>
      <c r="C1232" t="s">
        <v>643</v>
      </c>
      <c r="D1232" s="2">
        <v>230021290</v>
      </c>
      <c r="E1232" s="2">
        <v>1650001400040</v>
      </c>
      <c r="F1232" s="1" t="s">
        <v>644</v>
      </c>
      <c r="G1232" s="1" t="s">
        <v>53</v>
      </c>
      <c r="H1232" s="1" t="s">
        <v>620</v>
      </c>
      <c r="I1232" s="1" t="s">
        <v>621</v>
      </c>
      <c r="J1232" s="1" t="s">
        <v>141</v>
      </c>
      <c r="K1232" t="s">
        <v>645</v>
      </c>
      <c r="M1232" s="1" t="s">
        <v>58</v>
      </c>
      <c r="N1232" s="1">
        <v>0</v>
      </c>
      <c r="O1232" s="1" t="s">
        <v>105</v>
      </c>
      <c r="P1232" s="11" t="s">
        <v>2120</v>
      </c>
      <c r="R1232" s="1">
        <v>2</v>
      </c>
      <c r="T1232" s="1" t="s">
        <v>646</v>
      </c>
      <c r="U1232" s="186">
        <v>44959.710069444445</v>
      </c>
      <c r="V1232" s="1" t="s">
        <v>41</v>
      </c>
      <c r="W1232" s="1" t="s">
        <v>49</v>
      </c>
      <c r="AA1232" s="14"/>
    </row>
    <row r="1233" spans="1:27" hidden="1">
      <c r="A1233" s="1">
        <v>9422929</v>
      </c>
      <c r="B1233" s="1" t="s">
        <v>101</v>
      </c>
      <c r="C1233" t="s">
        <v>643</v>
      </c>
      <c r="D1233" s="2">
        <v>230020003</v>
      </c>
      <c r="E1233" s="2">
        <v>2889031400030</v>
      </c>
      <c r="F1233" s="1" t="s">
        <v>647</v>
      </c>
      <c r="G1233" s="1" t="s">
        <v>53</v>
      </c>
      <c r="H1233" s="1" t="s">
        <v>801</v>
      </c>
      <c r="I1233" s="1" t="s">
        <v>802</v>
      </c>
      <c r="J1233" s="1" t="s">
        <v>46</v>
      </c>
      <c r="K1233" t="s">
        <v>650</v>
      </c>
      <c r="M1233" s="1" t="s">
        <v>58</v>
      </c>
      <c r="N1233" s="1">
        <v>0</v>
      </c>
      <c r="O1233" s="1" t="s">
        <v>105</v>
      </c>
      <c r="P1233" s="11" t="s">
        <v>2122</v>
      </c>
      <c r="R1233" s="1">
        <v>4</v>
      </c>
      <c r="T1233" s="1" t="s">
        <v>646</v>
      </c>
      <c r="U1233" s="186">
        <v>44959.685208333336</v>
      </c>
      <c r="V1233" s="1" t="s">
        <v>41</v>
      </c>
      <c r="W1233" s="1" t="s">
        <v>49</v>
      </c>
      <c r="AA1233" s="14"/>
    </row>
    <row r="1234" spans="1:27" hidden="1">
      <c r="A1234" s="1">
        <v>9422926</v>
      </c>
      <c r="B1234" s="1" t="s">
        <v>101</v>
      </c>
      <c r="C1234" t="s">
        <v>643</v>
      </c>
      <c r="D1234" s="2">
        <v>230020002</v>
      </c>
      <c r="E1234" s="2">
        <v>2889011400030</v>
      </c>
      <c r="F1234" s="1" t="s">
        <v>647</v>
      </c>
      <c r="G1234" s="1" t="s">
        <v>53</v>
      </c>
      <c r="H1234" s="1" t="s">
        <v>805</v>
      </c>
      <c r="I1234" s="1" t="s">
        <v>806</v>
      </c>
      <c r="J1234" s="1" t="s">
        <v>46</v>
      </c>
      <c r="K1234" t="s">
        <v>650</v>
      </c>
      <c r="M1234" s="1" t="s">
        <v>58</v>
      </c>
      <c r="N1234" s="1">
        <v>0</v>
      </c>
      <c r="O1234" s="1" t="s">
        <v>105</v>
      </c>
      <c r="P1234" s="11" t="s">
        <v>2124</v>
      </c>
      <c r="R1234" s="1">
        <v>4</v>
      </c>
      <c r="T1234" s="1" t="s">
        <v>646</v>
      </c>
      <c r="U1234" s="186">
        <v>44959.685057870367</v>
      </c>
      <c r="V1234" s="1" t="s">
        <v>41</v>
      </c>
      <c r="W1234" s="1" t="s">
        <v>49</v>
      </c>
      <c r="AA1234" s="14"/>
    </row>
    <row r="1235" spans="1:27" hidden="1">
      <c r="A1235" s="1">
        <v>9422925</v>
      </c>
      <c r="B1235" s="1" t="s">
        <v>101</v>
      </c>
      <c r="C1235" t="s">
        <v>643</v>
      </c>
      <c r="D1235" s="2">
        <v>230020001</v>
      </c>
      <c r="E1235" s="2">
        <v>2889001400030</v>
      </c>
      <c r="F1235" s="1" t="s">
        <v>647</v>
      </c>
      <c r="G1235" s="1" t="s">
        <v>53</v>
      </c>
      <c r="H1235" s="1" t="s">
        <v>418</v>
      </c>
      <c r="I1235" s="1" t="s">
        <v>419</v>
      </c>
      <c r="J1235" s="1" t="s">
        <v>46</v>
      </c>
      <c r="K1235" t="s">
        <v>650</v>
      </c>
      <c r="M1235" s="1" t="s">
        <v>58</v>
      </c>
      <c r="N1235" s="1">
        <v>0</v>
      </c>
      <c r="O1235" s="1" t="s">
        <v>105</v>
      </c>
      <c r="P1235" s="11" t="s">
        <v>2126</v>
      </c>
      <c r="R1235" s="1">
        <v>4</v>
      </c>
      <c r="T1235" s="1" t="s">
        <v>646</v>
      </c>
      <c r="U1235" s="186">
        <v>44959.684965277775</v>
      </c>
      <c r="V1235" s="1" t="s">
        <v>41</v>
      </c>
      <c r="W1235" s="1" t="s">
        <v>49</v>
      </c>
      <c r="AA1235" s="14"/>
    </row>
    <row r="1236" spans="1:27">
      <c r="A1236" s="1">
        <v>9422866</v>
      </c>
      <c r="B1236" s="1" t="s">
        <v>101</v>
      </c>
      <c r="C1236" t="s">
        <v>643</v>
      </c>
      <c r="D1236" s="2">
        <v>230019683</v>
      </c>
      <c r="E1236" s="2">
        <v>2069001400030</v>
      </c>
      <c r="F1236" s="1" t="s">
        <v>647</v>
      </c>
      <c r="G1236" s="1" t="s">
        <v>53</v>
      </c>
      <c r="H1236" s="1" t="s">
        <v>557</v>
      </c>
      <c r="I1236" s="1" t="s">
        <v>558</v>
      </c>
      <c r="J1236" s="1" t="s">
        <v>90</v>
      </c>
      <c r="K1236" t="s">
        <v>650</v>
      </c>
      <c r="M1236" s="1" t="s">
        <v>58</v>
      </c>
      <c r="N1236" s="1">
        <v>0</v>
      </c>
      <c r="O1236" s="1" t="s">
        <v>105</v>
      </c>
      <c r="P1236" s="11" t="s">
        <v>2128</v>
      </c>
      <c r="R1236" s="1">
        <v>4</v>
      </c>
      <c r="T1236" s="1" t="s">
        <v>646</v>
      </c>
      <c r="U1236" s="11" t="s">
        <v>2129</v>
      </c>
      <c r="V1236" s="1" t="s">
        <v>41</v>
      </c>
      <c r="W1236" s="1" t="s">
        <v>49</v>
      </c>
      <c r="AA1236" s="14"/>
    </row>
    <row r="1237" spans="1:27" hidden="1">
      <c r="A1237" s="1">
        <v>9422511</v>
      </c>
      <c r="B1237" s="1" t="s">
        <v>101</v>
      </c>
      <c r="C1237" t="s">
        <v>643</v>
      </c>
      <c r="D1237" s="2">
        <v>230019646</v>
      </c>
      <c r="E1237" s="2">
        <v>1838001400030</v>
      </c>
      <c r="F1237" s="1" t="s">
        <v>647</v>
      </c>
      <c r="G1237" s="1" t="s">
        <v>53</v>
      </c>
      <c r="H1237" s="1" t="s">
        <v>357</v>
      </c>
      <c r="I1237" s="1" t="s">
        <v>358</v>
      </c>
      <c r="J1237" s="1" t="s">
        <v>46</v>
      </c>
      <c r="K1237" t="s">
        <v>650</v>
      </c>
      <c r="M1237" s="1" t="s">
        <v>58</v>
      </c>
      <c r="N1237" s="1">
        <v>0</v>
      </c>
      <c r="O1237" s="1" t="s">
        <v>105</v>
      </c>
      <c r="P1237" s="11" t="s">
        <v>2134</v>
      </c>
      <c r="R1237" s="1">
        <v>4</v>
      </c>
      <c r="T1237" s="1" t="s">
        <v>646</v>
      </c>
      <c r="U1237" s="186">
        <v>44959.635497685187</v>
      </c>
      <c r="V1237" s="1" t="s">
        <v>41</v>
      </c>
      <c r="W1237" s="1" t="s">
        <v>49</v>
      </c>
      <c r="AA1237" s="14"/>
    </row>
    <row r="1238" spans="1:27" hidden="1">
      <c r="A1238" s="1">
        <v>9422510</v>
      </c>
      <c r="B1238" s="1" t="s">
        <v>101</v>
      </c>
      <c r="C1238" t="s">
        <v>643</v>
      </c>
      <c r="D1238" s="2">
        <v>230019645</v>
      </c>
      <c r="E1238" s="2">
        <v>1837001400030</v>
      </c>
      <c r="F1238" s="1" t="s">
        <v>647</v>
      </c>
      <c r="G1238" s="1" t="s">
        <v>53</v>
      </c>
      <c r="H1238" s="1" t="s">
        <v>1785</v>
      </c>
      <c r="I1238" s="1" t="s">
        <v>1786</v>
      </c>
      <c r="J1238" s="1" t="s">
        <v>46</v>
      </c>
      <c r="K1238" t="s">
        <v>650</v>
      </c>
      <c r="M1238" s="1" t="s">
        <v>58</v>
      </c>
      <c r="N1238" s="1">
        <v>0</v>
      </c>
      <c r="O1238" s="1" t="s">
        <v>105</v>
      </c>
      <c r="P1238" s="11" t="s">
        <v>2136</v>
      </c>
      <c r="R1238" s="1">
        <v>4</v>
      </c>
      <c r="T1238" s="1" t="s">
        <v>646</v>
      </c>
      <c r="U1238" s="186">
        <v>44959.635405092595</v>
      </c>
      <c r="V1238" s="1" t="s">
        <v>41</v>
      </c>
      <c r="W1238" s="1" t="s">
        <v>49</v>
      </c>
      <c r="AA1238" s="14"/>
    </row>
    <row r="1239" spans="1:27" hidden="1">
      <c r="A1239" s="1">
        <v>9422509</v>
      </c>
      <c r="B1239" s="1" t="s">
        <v>101</v>
      </c>
      <c r="C1239" t="s">
        <v>643</v>
      </c>
      <c r="D1239" s="2">
        <v>230019644</v>
      </c>
      <c r="E1239" s="2">
        <v>1836001400030</v>
      </c>
      <c r="F1239" s="1" t="s">
        <v>647</v>
      </c>
      <c r="G1239" s="1" t="s">
        <v>53</v>
      </c>
      <c r="H1239" s="1" t="s">
        <v>455</v>
      </c>
      <c r="I1239" s="1" t="s">
        <v>456</v>
      </c>
      <c r="J1239" s="1" t="s">
        <v>46</v>
      </c>
      <c r="K1239" t="s">
        <v>650</v>
      </c>
      <c r="M1239" s="1" t="s">
        <v>58</v>
      </c>
      <c r="N1239" s="1">
        <v>0</v>
      </c>
      <c r="O1239" s="1" t="s">
        <v>105</v>
      </c>
      <c r="P1239" s="11" t="s">
        <v>2138</v>
      </c>
      <c r="R1239" s="1">
        <v>4</v>
      </c>
      <c r="T1239" s="1" t="s">
        <v>646</v>
      </c>
      <c r="U1239" s="11" t="s">
        <v>2139</v>
      </c>
      <c r="V1239" s="1" t="s">
        <v>41</v>
      </c>
      <c r="W1239" s="1" t="s">
        <v>49</v>
      </c>
    </row>
    <row r="1240" spans="1:27" hidden="1">
      <c r="A1240" s="1">
        <v>9422508</v>
      </c>
      <c r="B1240" s="1" t="s">
        <v>101</v>
      </c>
      <c r="C1240" t="s">
        <v>643</v>
      </c>
      <c r="D1240" s="2">
        <v>230019643</v>
      </c>
      <c r="E1240" s="2">
        <v>1835001400030</v>
      </c>
      <c r="F1240" s="1" t="s">
        <v>647</v>
      </c>
      <c r="G1240" s="1" t="s">
        <v>53</v>
      </c>
      <c r="H1240" s="1" t="s">
        <v>305</v>
      </c>
      <c r="I1240" s="1" t="s">
        <v>306</v>
      </c>
      <c r="J1240" s="1" t="s">
        <v>46</v>
      </c>
      <c r="K1240" t="s">
        <v>650</v>
      </c>
      <c r="M1240" s="1" t="s">
        <v>58</v>
      </c>
      <c r="N1240" s="1">
        <v>0</v>
      </c>
      <c r="O1240" s="1" t="s">
        <v>105</v>
      </c>
      <c r="P1240" s="11" t="s">
        <v>2140</v>
      </c>
      <c r="R1240" s="1">
        <v>4</v>
      </c>
      <c r="T1240" s="1" t="s">
        <v>646</v>
      </c>
      <c r="U1240" s="11" t="s">
        <v>2141</v>
      </c>
      <c r="V1240" s="1" t="s">
        <v>41</v>
      </c>
      <c r="W1240" s="1" t="s">
        <v>49</v>
      </c>
    </row>
    <row r="1241" spans="1:27" hidden="1">
      <c r="A1241" s="1">
        <v>9422507</v>
      </c>
      <c r="B1241" s="1" t="s">
        <v>101</v>
      </c>
      <c r="C1241" t="s">
        <v>643</v>
      </c>
      <c r="D1241" s="2">
        <v>230019642</v>
      </c>
      <c r="E1241" s="2">
        <v>1833041400030</v>
      </c>
      <c r="F1241" s="1" t="s">
        <v>647</v>
      </c>
      <c r="G1241" s="1" t="s">
        <v>53</v>
      </c>
      <c r="H1241" s="1" t="s">
        <v>811</v>
      </c>
      <c r="I1241" s="1" t="s">
        <v>812</v>
      </c>
      <c r="J1241" s="1" t="s">
        <v>46</v>
      </c>
      <c r="K1241" t="s">
        <v>650</v>
      </c>
      <c r="M1241" s="1" t="s">
        <v>58</v>
      </c>
      <c r="N1241" s="1">
        <v>0</v>
      </c>
      <c r="O1241" s="1" t="s">
        <v>105</v>
      </c>
      <c r="P1241" s="11" t="s">
        <v>2142</v>
      </c>
      <c r="R1241" s="1">
        <v>4</v>
      </c>
      <c r="T1241" s="1" t="s">
        <v>646</v>
      </c>
      <c r="U1241" s="11" t="s">
        <v>2143</v>
      </c>
      <c r="V1241" s="1" t="s">
        <v>41</v>
      </c>
      <c r="W1241" s="1" t="s">
        <v>49</v>
      </c>
    </row>
    <row r="1242" spans="1:27" hidden="1">
      <c r="A1242" s="1">
        <v>9422506</v>
      </c>
      <c r="B1242" s="1" t="s">
        <v>101</v>
      </c>
      <c r="C1242" t="s">
        <v>643</v>
      </c>
      <c r="D1242" s="2">
        <v>230019641</v>
      </c>
      <c r="E1242" s="2">
        <v>1833001400030</v>
      </c>
      <c r="F1242" s="1" t="s">
        <v>647</v>
      </c>
      <c r="G1242" s="1" t="s">
        <v>53</v>
      </c>
      <c r="H1242" s="1" t="s">
        <v>369</v>
      </c>
      <c r="I1242" s="1" t="s">
        <v>370</v>
      </c>
      <c r="J1242" s="1" t="s">
        <v>46</v>
      </c>
      <c r="K1242" t="s">
        <v>650</v>
      </c>
      <c r="M1242" s="1" t="s">
        <v>58</v>
      </c>
      <c r="N1242" s="1">
        <v>0</v>
      </c>
      <c r="O1242" s="1" t="s">
        <v>105</v>
      </c>
      <c r="P1242" s="11" t="s">
        <v>2144</v>
      </c>
      <c r="R1242" s="1">
        <v>4</v>
      </c>
      <c r="T1242" s="1" t="s">
        <v>646</v>
      </c>
      <c r="U1242" s="11" t="s">
        <v>2145</v>
      </c>
      <c r="V1242" s="1" t="s">
        <v>41</v>
      </c>
      <c r="W1242" s="1" t="s">
        <v>49</v>
      </c>
    </row>
    <row r="1243" spans="1:27" hidden="1">
      <c r="A1243" s="1">
        <v>9422498</v>
      </c>
      <c r="B1243" s="1" t="s">
        <v>101</v>
      </c>
      <c r="C1243" t="s">
        <v>643</v>
      </c>
      <c r="D1243" s="2">
        <v>230019633</v>
      </c>
      <c r="E1243" s="2">
        <v>1814031400030</v>
      </c>
      <c r="F1243" s="1" t="s">
        <v>647</v>
      </c>
      <c r="G1243" s="1" t="s">
        <v>53</v>
      </c>
      <c r="H1243" s="1" t="s">
        <v>719</v>
      </c>
      <c r="I1243" s="1" t="s">
        <v>188</v>
      </c>
      <c r="J1243" s="1" t="s">
        <v>46</v>
      </c>
      <c r="K1243" t="s">
        <v>650</v>
      </c>
      <c r="M1243" s="1" t="s">
        <v>58</v>
      </c>
      <c r="N1243" s="1">
        <v>0</v>
      </c>
      <c r="O1243" s="1" t="s">
        <v>105</v>
      </c>
      <c r="P1243" s="11" t="s">
        <v>2146</v>
      </c>
      <c r="R1243" s="1">
        <v>4</v>
      </c>
      <c r="T1243" s="1" t="s">
        <v>646</v>
      </c>
      <c r="U1243" s="11" t="s">
        <v>2147</v>
      </c>
      <c r="V1243" s="1" t="s">
        <v>41</v>
      </c>
      <c r="W1243" s="1" t="s">
        <v>49</v>
      </c>
    </row>
    <row r="1244" spans="1:27" hidden="1">
      <c r="A1244" s="1">
        <v>9422497</v>
      </c>
      <c r="B1244" s="1" t="s">
        <v>101</v>
      </c>
      <c r="C1244" t="s">
        <v>643</v>
      </c>
      <c r="D1244" s="2">
        <v>230019632</v>
      </c>
      <c r="E1244" s="2">
        <v>1814001400030</v>
      </c>
      <c r="F1244" s="1" t="s">
        <v>647</v>
      </c>
      <c r="G1244" s="1" t="s">
        <v>53</v>
      </c>
      <c r="H1244" s="1" t="s">
        <v>396</v>
      </c>
      <c r="I1244" s="1" t="s">
        <v>397</v>
      </c>
      <c r="J1244" s="1" t="s">
        <v>46</v>
      </c>
      <c r="K1244" t="s">
        <v>650</v>
      </c>
      <c r="M1244" s="1" t="s">
        <v>58</v>
      </c>
      <c r="N1244" s="1">
        <v>0</v>
      </c>
      <c r="O1244" s="1" t="s">
        <v>105</v>
      </c>
      <c r="P1244" s="11" t="s">
        <v>2148</v>
      </c>
      <c r="R1244" s="1">
        <v>4</v>
      </c>
      <c r="T1244" s="1" t="s">
        <v>646</v>
      </c>
      <c r="U1244" s="11" t="s">
        <v>2149</v>
      </c>
      <c r="V1244" s="1" t="s">
        <v>41</v>
      </c>
      <c r="W1244" s="1" t="s">
        <v>49</v>
      </c>
    </row>
    <row r="1245" spans="1:27" hidden="1">
      <c r="A1245" s="1">
        <v>9422255</v>
      </c>
      <c r="B1245" s="1" t="s">
        <v>101</v>
      </c>
      <c r="C1245" t="s">
        <v>643</v>
      </c>
      <c r="D1245" s="2">
        <v>230018197</v>
      </c>
      <c r="E1245" s="2">
        <v>2257001400010</v>
      </c>
      <c r="F1245" s="1" t="s">
        <v>936</v>
      </c>
      <c r="G1245" s="1" t="s">
        <v>53</v>
      </c>
      <c r="H1245" s="1" t="s">
        <v>381</v>
      </c>
      <c r="I1245" s="1" t="s">
        <v>382</v>
      </c>
      <c r="J1245" s="1" t="s">
        <v>110</v>
      </c>
      <c r="K1245" t="s">
        <v>937</v>
      </c>
      <c r="M1245" s="1" t="s">
        <v>58</v>
      </c>
      <c r="N1245" s="1">
        <v>0</v>
      </c>
      <c r="O1245" s="1" t="s">
        <v>105</v>
      </c>
      <c r="P1245" s="11" t="s">
        <v>2150</v>
      </c>
      <c r="R1245" s="1">
        <v>3</v>
      </c>
      <c r="T1245" s="1" t="s">
        <v>646</v>
      </c>
      <c r="U1245" s="11" t="s">
        <v>2151</v>
      </c>
      <c r="V1245" s="1" t="s">
        <v>41</v>
      </c>
      <c r="W1245" s="1" t="s">
        <v>49</v>
      </c>
    </row>
    <row r="1246" spans="1:27" hidden="1">
      <c r="A1246" s="1">
        <v>9422243</v>
      </c>
      <c r="B1246" s="1" t="s">
        <v>101</v>
      </c>
      <c r="C1246" t="s">
        <v>643</v>
      </c>
      <c r="D1246" s="2">
        <v>230017788</v>
      </c>
      <c r="E1246" s="2">
        <v>1153001400010</v>
      </c>
      <c r="F1246" s="1" t="s">
        <v>936</v>
      </c>
      <c r="G1246" s="1" t="s">
        <v>53</v>
      </c>
      <c r="H1246" s="1" t="s">
        <v>1031</v>
      </c>
      <c r="I1246" s="1" t="s">
        <v>1032</v>
      </c>
      <c r="J1246" s="1" t="s">
        <v>79</v>
      </c>
      <c r="K1246" t="s">
        <v>937</v>
      </c>
      <c r="M1246" s="1" t="s">
        <v>58</v>
      </c>
      <c r="N1246" s="1">
        <v>0</v>
      </c>
      <c r="O1246" s="1" t="s">
        <v>105</v>
      </c>
      <c r="P1246" s="11" t="s">
        <v>2152</v>
      </c>
      <c r="R1246" s="1">
        <v>3</v>
      </c>
      <c r="T1246" s="1" t="s">
        <v>646</v>
      </c>
      <c r="U1246" s="11" t="s">
        <v>2153</v>
      </c>
      <c r="V1246" s="1" t="s">
        <v>41</v>
      </c>
      <c r="W1246" s="1" t="s">
        <v>49</v>
      </c>
    </row>
    <row r="1247" spans="1:27" hidden="1">
      <c r="A1247" s="1">
        <v>9422222</v>
      </c>
      <c r="B1247" s="1" t="s">
        <v>101</v>
      </c>
      <c r="C1247" t="s">
        <v>643</v>
      </c>
      <c r="D1247" s="2">
        <v>230021493</v>
      </c>
      <c r="E1247" s="2">
        <v>2257001400040</v>
      </c>
      <c r="F1247" s="1" t="s">
        <v>644</v>
      </c>
      <c r="G1247" s="1" t="s">
        <v>53</v>
      </c>
      <c r="H1247" s="1" t="s">
        <v>381</v>
      </c>
      <c r="I1247" s="1" t="s">
        <v>382</v>
      </c>
      <c r="J1247" s="1" t="s">
        <v>110</v>
      </c>
      <c r="K1247" t="s">
        <v>645</v>
      </c>
      <c r="M1247" s="1" t="s">
        <v>58</v>
      </c>
      <c r="N1247" s="1">
        <v>0</v>
      </c>
      <c r="O1247" s="1" t="s">
        <v>105</v>
      </c>
      <c r="P1247" s="11" t="s">
        <v>2154</v>
      </c>
      <c r="R1247" s="1">
        <v>3</v>
      </c>
      <c r="T1247" s="1" t="s">
        <v>646</v>
      </c>
      <c r="U1247" s="11" t="s">
        <v>2155</v>
      </c>
      <c r="V1247" s="1" t="s">
        <v>41</v>
      </c>
      <c r="W1247" s="1" t="s">
        <v>49</v>
      </c>
    </row>
    <row r="1248" spans="1:27">
      <c r="A1248" s="1">
        <v>9422108</v>
      </c>
      <c r="B1248" s="1" t="s">
        <v>101</v>
      </c>
      <c r="C1248" t="s">
        <v>643</v>
      </c>
      <c r="D1248" s="2">
        <v>230021478</v>
      </c>
      <c r="E1248" s="2">
        <v>2229001400040</v>
      </c>
      <c r="F1248" s="1" t="s">
        <v>644</v>
      </c>
      <c r="G1248" s="1" t="s">
        <v>53</v>
      </c>
      <c r="H1248" s="1" t="s">
        <v>339</v>
      </c>
      <c r="I1248" s="1" t="s">
        <v>340</v>
      </c>
      <c r="J1248" s="1" t="s">
        <v>211</v>
      </c>
      <c r="K1248" t="s">
        <v>645</v>
      </c>
      <c r="M1248" s="1" t="s">
        <v>58</v>
      </c>
      <c r="N1248" s="1">
        <v>0</v>
      </c>
      <c r="O1248" s="1" t="s">
        <v>105</v>
      </c>
      <c r="P1248" s="11" t="s">
        <v>2158</v>
      </c>
      <c r="R1248" s="1">
        <v>2</v>
      </c>
      <c r="T1248" s="1" t="s">
        <v>646</v>
      </c>
      <c r="U1248" s="11" t="s">
        <v>2159</v>
      </c>
      <c r="V1248" s="1" t="s">
        <v>41</v>
      </c>
      <c r="W1248" s="1" t="s">
        <v>49</v>
      </c>
    </row>
    <row r="1249" spans="1:23" hidden="1">
      <c r="A1249" s="1">
        <v>9421550</v>
      </c>
      <c r="B1249" s="1" t="s">
        <v>101</v>
      </c>
      <c r="C1249" t="s">
        <v>643</v>
      </c>
      <c r="D1249" s="2">
        <v>230019696</v>
      </c>
      <c r="E1249" s="2">
        <v>2107001400030</v>
      </c>
      <c r="F1249" s="1" t="s">
        <v>647</v>
      </c>
      <c r="G1249" s="1" t="s">
        <v>53</v>
      </c>
      <c r="H1249" s="1" t="s">
        <v>262</v>
      </c>
      <c r="I1249" s="1" t="s">
        <v>263</v>
      </c>
      <c r="J1249" s="1" t="s">
        <v>164</v>
      </c>
      <c r="K1249" t="s">
        <v>650</v>
      </c>
      <c r="M1249" s="1" t="s">
        <v>58</v>
      </c>
      <c r="N1249" s="1">
        <v>0</v>
      </c>
      <c r="O1249" s="1" t="s">
        <v>105</v>
      </c>
      <c r="P1249" s="11" t="s">
        <v>2162</v>
      </c>
      <c r="R1249" s="1">
        <v>4</v>
      </c>
      <c r="T1249" s="1" t="s">
        <v>646</v>
      </c>
      <c r="U1249" s="11" t="s">
        <v>2163</v>
      </c>
      <c r="V1249" s="1" t="s">
        <v>41</v>
      </c>
      <c r="W1249" s="1" t="s">
        <v>49</v>
      </c>
    </row>
    <row r="1250" spans="1:23">
      <c r="A1250" s="1">
        <v>9421489</v>
      </c>
      <c r="B1250" s="1" t="s">
        <v>101</v>
      </c>
      <c r="C1250" t="s">
        <v>643</v>
      </c>
      <c r="D1250" s="2">
        <v>230021042</v>
      </c>
      <c r="E1250" s="2">
        <v>1028001400040</v>
      </c>
      <c r="F1250" s="1" t="s">
        <v>644</v>
      </c>
      <c r="G1250" s="1" t="s">
        <v>53</v>
      </c>
      <c r="H1250" s="1" t="s">
        <v>1079</v>
      </c>
      <c r="I1250" s="1" t="s">
        <v>1080</v>
      </c>
      <c r="J1250" s="1" t="s">
        <v>85</v>
      </c>
      <c r="K1250" t="s">
        <v>645</v>
      </c>
      <c r="M1250" s="1" t="s">
        <v>58</v>
      </c>
      <c r="N1250" s="1">
        <v>0</v>
      </c>
      <c r="O1250" s="1" t="s">
        <v>105</v>
      </c>
      <c r="P1250" s="11" t="s">
        <v>2164</v>
      </c>
      <c r="R1250" s="1">
        <v>3</v>
      </c>
      <c r="T1250" s="1" t="s">
        <v>646</v>
      </c>
      <c r="U1250" s="11" t="s">
        <v>2165</v>
      </c>
      <c r="V1250" s="1" t="s">
        <v>41</v>
      </c>
      <c r="W1250" s="1" t="s">
        <v>49</v>
      </c>
    </row>
    <row r="1251" spans="1:23">
      <c r="A1251" s="1">
        <v>9421441</v>
      </c>
      <c r="B1251" s="1" t="s">
        <v>101</v>
      </c>
      <c r="C1251" t="s">
        <v>643</v>
      </c>
      <c r="D1251" s="2">
        <v>230019840</v>
      </c>
      <c r="E1251" s="2">
        <v>2422001400030</v>
      </c>
      <c r="F1251" s="1" t="s">
        <v>647</v>
      </c>
      <c r="G1251" s="1" t="s">
        <v>53</v>
      </c>
      <c r="H1251" s="1" t="s">
        <v>1844</v>
      </c>
      <c r="I1251" s="1" t="s">
        <v>1845</v>
      </c>
      <c r="J1251" s="1" t="s">
        <v>211</v>
      </c>
      <c r="K1251" t="s">
        <v>650</v>
      </c>
      <c r="M1251" s="1" t="s">
        <v>58</v>
      </c>
      <c r="N1251" s="1">
        <v>0</v>
      </c>
      <c r="O1251" s="1" t="s">
        <v>105</v>
      </c>
      <c r="P1251" s="11" t="s">
        <v>2166</v>
      </c>
      <c r="R1251" s="1">
        <v>4</v>
      </c>
      <c r="T1251" s="1" t="s">
        <v>646</v>
      </c>
      <c r="U1251" s="11" t="s">
        <v>2167</v>
      </c>
      <c r="V1251" s="1" t="s">
        <v>41</v>
      </c>
      <c r="W1251" s="1" t="s">
        <v>49</v>
      </c>
    </row>
    <row r="1252" spans="1:23" hidden="1">
      <c r="A1252" s="1">
        <v>9421337</v>
      </c>
      <c r="B1252" s="1" t="s">
        <v>101</v>
      </c>
      <c r="C1252" t="s">
        <v>643</v>
      </c>
      <c r="D1252" s="2">
        <v>230021014</v>
      </c>
      <c r="E1252" s="2">
        <v>963001400040</v>
      </c>
      <c r="F1252" s="1" t="s">
        <v>644</v>
      </c>
      <c r="G1252" s="1" t="s">
        <v>53</v>
      </c>
      <c r="H1252" s="1" t="s">
        <v>531</v>
      </c>
      <c r="I1252" s="1" t="s">
        <v>532</v>
      </c>
      <c r="J1252" s="1" t="s">
        <v>33</v>
      </c>
      <c r="K1252" t="s">
        <v>645</v>
      </c>
      <c r="M1252" s="1" t="s">
        <v>58</v>
      </c>
      <c r="N1252" s="1">
        <v>0</v>
      </c>
      <c r="O1252" s="1" t="s">
        <v>105</v>
      </c>
      <c r="P1252" s="11" t="s">
        <v>2168</v>
      </c>
      <c r="R1252" s="1">
        <v>3</v>
      </c>
      <c r="T1252" s="1" t="s">
        <v>646</v>
      </c>
      <c r="U1252" s="11" t="s">
        <v>2169</v>
      </c>
      <c r="V1252" s="1" t="s">
        <v>41</v>
      </c>
      <c r="W1252" s="1" t="s">
        <v>49</v>
      </c>
    </row>
    <row r="1253" spans="1:23" hidden="1">
      <c r="A1253" s="1">
        <v>9421295</v>
      </c>
      <c r="B1253" s="1" t="s">
        <v>101</v>
      </c>
      <c r="C1253" t="s">
        <v>643</v>
      </c>
      <c r="D1253" s="2">
        <v>230019817</v>
      </c>
      <c r="E1253" s="2">
        <v>2365001400030</v>
      </c>
      <c r="F1253" s="1" t="s">
        <v>647</v>
      </c>
      <c r="G1253" s="1" t="s">
        <v>53</v>
      </c>
      <c r="H1253" s="1" t="s">
        <v>159</v>
      </c>
      <c r="I1253" s="1" t="s">
        <v>160</v>
      </c>
      <c r="J1253" s="1" t="s">
        <v>46</v>
      </c>
      <c r="K1253" t="s">
        <v>650</v>
      </c>
      <c r="M1253" s="1" t="s">
        <v>58</v>
      </c>
      <c r="N1253" s="1">
        <v>0</v>
      </c>
      <c r="O1253" s="1" t="s">
        <v>36</v>
      </c>
      <c r="P1253" s="11" t="s">
        <v>2170</v>
      </c>
      <c r="R1253" s="1">
        <v>4</v>
      </c>
      <c r="T1253" s="1" t="s">
        <v>646</v>
      </c>
      <c r="U1253" s="11" t="s">
        <v>2171</v>
      </c>
      <c r="V1253" s="1" t="s">
        <v>41</v>
      </c>
      <c r="W1253" s="1" t="s">
        <v>49</v>
      </c>
    </row>
    <row r="1254" spans="1:23" hidden="1">
      <c r="A1254" s="1">
        <v>9421222</v>
      </c>
      <c r="B1254" s="1" t="s">
        <v>101</v>
      </c>
      <c r="C1254" t="s">
        <v>643</v>
      </c>
      <c r="D1254" s="2">
        <v>230019179</v>
      </c>
      <c r="E1254" s="2">
        <v>721001400030</v>
      </c>
      <c r="F1254" s="1" t="s">
        <v>647</v>
      </c>
      <c r="G1254" s="1" t="s">
        <v>53</v>
      </c>
      <c r="H1254" s="1" t="s">
        <v>422</v>
      </c>
      <c r="I1254" s="1" t="s">
        <v>423</v>
      </c>
      <c r="J1254" s="1" t="s">
        <v>79</v>
      </c>
      <c r="K1254" t="s">
        <v>650</v>
      </c>
      <c r="M1254" s="1" t="s">
        <v>58</v>
      </c>
      <c r="N1254" s="1">
        <v>0</v>
      </c>
      <c r="O1254" s="1" t="s">
        <v>105</v>
      </c>
      <c r="P1254" s="11" t="s">
        <v>2172</v>
      </c>
      <c r="R1254" s="1">
        <v>4</v>
      </c>
      <c r="T1254" s="1" t="s">
        <v>646</v>
      </c>
      <c r="U1254" s="11" t="s">
        <v>2173</v>
      </c>
      <c r="V1254" s="1" t="s">
        <v>41</v>
      </c>
      <c r="W1254" s="1" t="s">
        <v>49</v>
      </c>
    </row>
    <row r="1255" spans="1:23" hidden="1">
      <c r="A1255" s="1">
        <v>9421220</v>
      </c>
      <c r="B1255" s="1" t="s">
        <v>101</v>
      </c>
      <c r="C1255" t="s">
        <v>643</v>
      </c>
      <c r="D1255" s="2">
        <v>230019177</v>
      </c>
      <c r="E1255" s="2">
        <v>711001400030</v>
      </c>
      <c r="F1255" s="1" t="s">
        <v>647</v>
      </c>
      <c r="G1255" s="1" t="s">
        <v>53</v>
      </c>
      <c r="H1255" s="1" t="s">
        <v>77</v>
      </c>
      <c r="I1255" s="1" t="s">
        <v>78</v>
      </c>
      <c r="J1255" s="1" t="s">
        <v>79</v>
      </c>
      <c r="K1255" t="s">
        <v>650</v>
      </c>
      <c r="M1255" s="1" t="s">
        <v>58</v>
      </c>
      <c r="N1255" s="1">
        <v>0</v>
      </c>
      <c r="O1255" s="1" t="s">
        <v>105</v>
      </c>
      <c r="P1255" s="11" t="s">
        <v>2174</v>
      </c>
      <c r="R1255" s="1">
        <v>4</v>
      </c>
      <c r="T1255" s="1" t="s">
        <v>646</v>
      </c>
      <c r="U1255" s="11" t="s">
        <v>3050</v>
      </c>
      <c r="V1255" s="1" t="s">
        <v>41</v>
      </c>
      <c r="W1255" s="1" t="s">
        <v>49</v>
      </c>
    </row>
    <row r="1256" spans="1:23">
      <c r="A1256" s="1">
        <v>9421182</v>
      </c>
      <c r="B1256" s="1" t="s">
        <v>101</v>
      </c>
      <c r="C1256" t="s">
        <v>643</v>
      </c>
      <c r="D1256" s="2">
        <v>230019149</v>
      </c>
      <c r="E1256" s="2">
        <v>605001400030</v>
      </c>
      <c r="F1256" s="1" t="s">
        <v>647</v>
      </c>
      <c r="G1256" s="1" t="s">
        <v>53</v>
      </c>
      <c r="H1256" s="1" t="s">
        <v>420</v>
      </c>
      <c r="I1256" s="1" t="s">
        <v>421</v>
      </c>
      <c r="J1256" s="1" t="s">
        <v>90</v>
      </c>
      <c r="K1256" t="s">
        <v>650</v>
      </c>
      <c r="M1256" s="1" t="s">
        <v>58</v>
      </c>
      <c r="N1256" s="1">
        <v>0</v>
      </c>
      <c r="O1256" s="1" t="s">
        <v>105</v>
      </c>
      <c r="P1256" s="11" t="s">
        <v>2175</v>
      </c>
      <c r="R1256" s="1">
        <v>4</v>
      </c>
      <c r="T1256" s="1" t="s">
        <v>646</v>
      </c>
      <c r="U1256" s="11" t="s">
        <v>2176</v>
      </c>
      <c r="V1256" s="1" t="s">
        <v>41</v>
      </c>
      <c r="W1256" s="1" t="s">
        <v>49</v>
      </c>
    </row>
    <row r="1257" spans="1:23">
      <c r="A1257" s="1">
        <v>9421178</v>
      </c>
      <c r="B1257" s="1" t="s">
        <v>101</v>
      </c>
      <c r="C1257" t="s">
        <v>643</v>
      </c>
      <c r="D1257" s="2">
        <v>230019146</v>
      </c>
      <c r="E1257" s="2">
        <v>600001400030</v>
      </c>
      <c r="F1257" s="1" t="s">
        <v>647</v>
      </c>
      <c r="G1257" s="1" t="s">
        <v>53</v>
      </c>
      <c r="H1257" s="1" t="s">
        <v>1084</v>
      </c>
      <c r="I1257" s="1" t="s">
        <v>1085</v>
      </c>
      <c r="J1257" s="1" t="s">
        <v>90</v>
      </c>
      <c r="K1257" t="s">
        <v>650</v>
      </c>
      <c r="M1257" s="1" t="s">
        <v>58</v>
      </c>
      <c r="N1257" s="1">
        <v>0</v>
      </c>
      <c r="O1257" s="1" t="s">
        <v>105</v>
      </c>
      <c r="P1257" s="11" t="s">
        <v>2177</v>
      </c>
      <c r="R1257" s="1">
        <v>4</v>
      </c>
      <c r="T1257" s="1" t="s">
        <v>646</v>
      </c>
      <c r="U1257" s="11" t="s">
        <v>2178</v>
      </c>
      <c r="V1257" s="1" t="s">
        <v>41</v>
      </c>
      <c r="W1257" s="1" t="s">
        <v>49</v>
      </c>
    </row>
    <row r="1258" spans="1:23">
      <c r="A1258" s="1">
        <v>9421141</v>
      </c>
      <c r="B1258" s="1" t="s">
        <v>101</v>
      </c>
      <c r="C1258" t="s">
        <v>643</v>
      </c>
      <c r="D1258" s="2">
        <v>230019316</v>
      </c>
      <c r="E1258" s="2">
        <v>1061001400030</v>
      </c>
      <c r="F1258" s="1" t="s">
        <v>647</v>
      </c>
      <c r="G1258" s="1" t="s">
        <v>53</v>
      </c>
      <c r="H1258" s="1" t="s">
        <v>166</v>
      </c>
      <c r="I1258" s="1" t="s">
        <v>167</v>
      </c>
      <c r="J1258" s="1" t="s">
        <v>85</v>
      </c>
      <c r="K1258" t="s">
        <v>650</v>
      </c>
      <c r="M1258" s="1" t="s">
        <v>58</v>
      </c>
      <c r="N1258" s="1">
        <v>0</v>
      </c>
      <c r="O1258" s="1" t="s">
        <v>105</v>
      </c>
      <c r="P1258" s="11" t="s">
        <v>2182</v>
      </c>
      <c r="R1258" s="1">
        <v>4</v>
      </c>
      <c r="T1258" s="1" t="s">
        <v>646</v>
      </c>
      <c r="U1258" s="186">
        <v>44959.547372685185</v>
      </c>
      <c r="V1258" s="1" t="s">
        <v>41</v>
      </c>
      <c r="W1258" s="1" t="s">
        <v>49</v>
      </c>
    </row>
    <row r="1259" spans="1:23">
      <c r="A1259" s="1">
        <v>9421140</v>
      </c>
      <c r="B1259" s="1" t="s">
        <v>101</v>
      </c>
      <c r="C1259" t="s">
        <v>643</v>
      </c>
      <c r="D1259" s="2">
        <v>230019315</v>
      </c>
      <c r="E1259" s="2">
        <v>1059001400030</v>
      </c>
      <c r="F1259" s="1" t="s">
        <v>647</v>
      </c>
      <c r="G1259" s="1" t="s">
        <v>53</v>
      </c>
      <c r="H1259" s="1" t="s">
        <v>88</v>
      </c>
      <c r="I1259" s="1" t="s">
        <v>89</v>
      </c>
      <c r="J1259" s="1" t="s">
        <v>90</v>
      </c>
      <c r="K1259" t="s">
        <v>650</v>
      </c>
      <c r="M1259" s="1" t="s">
        <v>58</v>
      </c>
      <c r="N1259" s="1">
        <v>0</v>
      </c>
      <c r="O1259" s="1" t="s">
        <v>105</v>
      </c>
      <c r="P1259" s="11" t="s">
        <v>2184</v>
      </c>
      <c r="R1259" s="1">
        <v>4</v>
      </c>
      <c r="T1259" s="1" t="s">
        <v>646</v>
      </c>
      <c r="U1259" s="186">
        <v>44959.547280092593</v>
      </c>
      <c r="V1259" s="1" t="s">
        <v>41</v>
      </c>
      <c r="W1259" s="1" t="s">
        <v>49</v>
      </c>
    </row>
    <row r="1260" spans="1:23">
      <c r="A1260" s="1">
        <v>9421115</v>
      </c>
      <c r="B1260" s="1" t="s">
        <v>101</v>
      </c>
      <c r="C1260" t="s">
        <v>643</v>
      </c>
      <c r="D1260" s="2">
        <v>230019301</v>
      </c>
      <c r="E1260" s="2">
        <v>1028001400030</v>
      </c>
      <c r="F1260" s="1" t="s">
        <v>647</v>
      </c>
      <c r="G1260" s="1" t="s">
        <v>53</v>
      </c>
      <c r="H1260" s="1" t="s">
        <v>1079</v>
      </c>
      <c r="I1260" s="1" t="s">
        <v>1080</v>
      </c>
      <c r="J1260" s="1" t="s">
        <v>85</v>
      </c>
      <c r="K1260" t="s">
        <v>650</v>
      </c>
      <c r="M1260" s="1" t="s">
        <v>58</v>
      </c>
      <c r="N1260" s="1">
        <v>0</v>
      </c>
      <c r="O1260" s="1" t="s">
        <v>105</v>
      </c>
      <c r="P1260" s="11" t="s">
        <v>2186</v>
      </c>
      <c r="R1260" s="1">
        <v>4</v>
      </c>
      <c r="T1260" s="1" t="s">
        <v>646</v>
      </c>
      <c r="U1260" s="186">
        <v>44959.545763888891</v>
      </c>
      <c r="V1260" s="1" t="s">
        <v>41</v>
      </c>
      <c r="W1260" s="1" t="s">
        <v>49</v>
      </c>
    </row>
    <row r="1261" spans="1:23" hidden="1">
      <c r="A1261" s="1">
        <v>9421027</v>
      </c>
      <c r="B1261" s="1" t="s">
        <v>101</v>
      </c>
      <c r="C1261" t="s">
        <v>643</v>
      </c>
      <c r="D1261" s="2">
        <v>230018996</v>
      </c>
      <c r="E1261" s="2">
        <v>115001400030</v>
      </c>
      <c r="F1261" s="1" t="s">
        <v>647</v>
      </c>
      <c r="G1261" s="1" t="s">
        <v>53</v>
      </c>
      <c r="H1261" s="1" t="s">
        <v>542</v>
      </c>
      <c r="I1261" s="1" t="s">
        <v>543</v>
      </c>
      <c r="J1261" s="1" t="s">
        <v>56</v>
      </c>
      <c r="K1261" t="s">
        <v>650</v>
      </c>
      <c r="M1261" s="1" t="s">
        <v>58</v>
      </c>
      <c r="N1261" s="1">
        <v>0</v>
      </c>
      <c r="O1261" s="1" t="s">
        <v>105</v>
      </c>
      <c r="P1261" s="11" t="s">
        <v>2188</v>
      </c>
      <c r="R1261" s="1">
        <v>4</v>
      </c>
      <c r="T1261" s="1" t="s">
        <v>646</v>
      </c>
      <c r="U1261" s="186">
        <v>44959.540162037039</v>
      </c>
      <c r="V1261" s="1" t="s">
        <v>41</v>
      </c>
      <c r="W1261" s="1" t="s">
        <v>49</v>
      </c>
    </row>
    <row r="1262" spans="1:23" hidden="1">
      <c r="A1262" s="1">
        <v>9420968</v>
      </c>
      <c r="B1262" s="1" t="s">
        <v>101</v>
      </c>
      <c r="C1262" t="s">
        <v>643</v>
      </c>
      <c r="D1262" s="2">
        <v>230019349</v>
      </c>
      <c r="E1262" s="2">
        <v>1153001400030</v>
      </c>
      <c r="F1262" s="1" t="s">
        <v>647</v>
      </c>
      <c r="G1262" s="1" t="s">
        <v>53</v>
      </c>
      <c r="H1262" s="1" t="s">
        <v>1031</v>
      </c>
      <c r="I1262" s="1" t="s">
        <v>1032</v>
      </c>
      <c r="J1262" s="1" t="s">
        <v>79</v>
      </c>
      <c r="K1262" t="s">
        <v>650</v>
      </c>
      <c r="M1262" s="1" t="s">
        <v>58</v>
      </c>
      <c r="N1262" s="1">
        <v>0</v>
      </c>
      <c r="O1262" s="1" t="s">
        <v>105</v>
      </c>
      <c r="P1262" s="11" t="s">
        <v>2190</v>
      </c>
      <c r="R1262" s="1">
        <v>4</v>
      </c>
      <c r="T1262" s="1" t="s">
        <v>646</v>
      </c>
      <c r="U1262" s="186">
        <v>44959.535960648151</v>
      </c>
      <c r="V1262" s="1" t="s">
        <v>41</v>
      </c>
      <c r="W1262" s="1" t="s">
        <v>49</v>
      </c>
    </row>
    <row r="1263" spans="1:23" hidden="1">
      <c r="A1263" s="1">
        <v>9420806</v>
      </c>
      <c r="B1263" s="1" t="s">
        <v>101</v>
      </c>
      <c r="C1263" t="s">
        <v>643</v>
      </c>
      <c r="D1263" s="2">
        <v>230018165</v>
      </c>
      <c r="E1263" s="2">
        <v>2196001400010</v>
      </c>
      <c r="F1263" s="1" t="s">
        <v>936</v>
      </c>
      <c r="G1263" s="1" t="s">
        <v>53</v>
      </c>
      <c r="H1263" s="1" t="s">
        <v>1252</v>
      </c>
      <c r="I1263" s="1" t="s">
        <v>1253</v>
      </c>
      <c r="J1263" s="1" t="s">
        <v>33</v>
      </c>
      <c r="K1263" t="s">
        <v>937</v>
      </c>
      <c r="M1263" s="1" t="s">
        <v>58</v>
      </c>
      <c r="N1263" s="1">
        <v>0</v>
      </c>
      <c r="O1263" s="1" t="s">
        <v>105</v>
      </c>
      <c r="P1263" s="11" t="s">
        <v>2192</v>
      </c>
      <c r="R1263" s="1">
        <v>3</v>
      </c>
      <c r="T1263" s="1" t="s">
        <v>646</v>
      </c>
      <c r="U1263" s="186">
        <v>44959.530046296299</v>
      </c>
      <c r="V1263" s="1" t="s">
        <v>41</v>
      </c>
      <c r="W1263" s="1" t="s">
        <v>42</v>
      </c>
    </row>
    <row r="1264" spans="1:23" hidden="1">
      <c r="A1264" s="1">
        <v>9420756</v>
      </c>
      <c r="B1264" s="1" t="s">
        <v>101</v>
      </c>
      <c r="C1264" t="s">
        <v>643</v>
      </c>
      <c r="D1264" s="2">
        <v>230018030</v>
      </c>
      <c r="E1264" s="2">
        <v>1739001400010</v>
      </c>
      <c r="F1264" s="1" t="s">
        <v>936</v>
      </c>
      <c r="G1264" s="1" t="s">
        <v>53</v>
      </c>
      <c r="H1264" s="1" t="s">
        <v>162</v>
      </c>
      <c r="I1264" s="1" t="s">
        <v>163</v>
      </c>
      <c r="J1264" s="1" t="s">
        <v>164</v>
      </c>
      <c r="K1264" t="s">
        <v>937</v>
      </c>
      <c r="M1264" s="1" t="s">
        <v>58</v>
      </c>
      <c r="N1264" s="1">
        <v>0</v>
      </c>
      <c r="O1264" s="1" t="s">
        <v>105</v>
      </c>
      <c r="P1264" s="11" t="s">
        <v>2194</v>
      </c>
      <c r="R1264" s="1">
        <v>3</v>
      </c>
      <c r="T1264" s="1" t="s">
        <v>646</v>
      </c>
      <c r="U1264" s="186">
        <v>44959.527395833335</v>
      </c>
      <c r="V1264" s="1" t="s">
        <v>41</v>
      </c>
      <c r="W1264" s="1" t="s">
        <v>49</v>
      </c>
    </row>
    <row r="1265" spans="1:23" hidden="1">
      <c r="A1265" s="1">
        <v>9420720</v>
      </c>
      <c r="B1265" s="1" t="s">
        <v>101</v>
      </c>
      <c r="C1265" t="s">
        <v>643</v>
      </c>
      <c r="D1265" s="2">
        <v>230017994</v>
      </c>
      <c r="E1265" s="2">
        <v>1650001400010</v>
      </c>
      <c r="F1265" s="1" t="s">
        <v>936</v>
      </c>
      <c r="G1265" s="1" t="s">
        <v>53</v>
      </c>
      <c r="H1265" s="1" t="s">
        <v>620</v>
      </c>
      <c r="I1265" s="1" t="s">
        <v>621</v>
      </c>
      <c r="J1265" s="1" t="s">
        <v>141</v>
      </c>
      <c r="K1265" t="s">
        <v>937</v>
      </c>
      <c r="M1265" s="1" t="s">
        <v>58</v>
      </c>
      <c r="N1265" s="1">
        <v>0</v>
      </c>
      <c r="O1265" s="1" t="s">
        <v>105</v>
      </c>
      <c r="P1265" s="11" t="s">
        <v>2196</v>
      </c>
      <c r="R1265" s="1">
        <v>3</v>
      </c>
      <c r="T1265" s="1" t="s">
        <v>646</v>
      </c>
      <c r="U1265" s="11" t="s">
        <v>2197</v>
      </c>
      <c r="V1265" s="1" t="s">
        <v>41</v>
      </c>
      <c r="W1265" s="1" t="s">
        <v>49</v>
      </c>
    </row>
    <row r="1266" spans="1:23" hidden="1">
      <c r="A1266" s="1">
        <v>9420712</v>
      </c>
      <c r="B1266" s="1" t="s">
        <v>101</v>
      </c>
      <c r="C1266" t="s">
        <v>643</v>
      </c>
      <c r="D1266" s="2">
        <v>230018010</v>
      </c>
      <c r="E1266" s="2">
        <v>1689001400010</v>
      </c>
      <c r="F1266" s="1" t="s">
        <v>936</v>
      </c>
      <c r="G1266" s="1" t="s">
        <v>53</v>
      </c>
      <c r="H1266" s="1" t="s">
        <v>2117</v>
      </c>
      <c r="I1266" s="1" t="s">
        <v>2118</v>
      </c>
      <c r="J1266" s="1" t="s">
        <v>79</v>
      </c>
      <c r="K1266" t="s">
        <v>937</v>
      </c>
      <c r="M1266" s="1" t="s">
        <v>58</v>
      </c>
      <c r="N1266" s="1">
        <v>0</v>
      </c>
      <c r="O1266" s="1" t="s">
        <v>105</v>
      </c>
      <c r="P1266" s="11" t="s">
        <v>2198</v>
      </c>
      <c r="R1266" s="1">
        <v>3</v>
      </c>
      <c r="T1266" s="1" t="s">
        <v>646</v>
      </c>
      <c r="U1266" s="11" t="s">
        <v>2199</v>
      </c>
      <c r="V1266" s="1" t="s">
        <v>41</v>
      </c>
      <c r="W1266" s="1" t="s">
        <v>49</v>
      </c>
    </row>
    <row r="1267" spans="1:23">
      <c r="A1267" s="1">
        <v>9420700</v>
      </c>
      <c r="B1267" s="1" t="s">
        <v>101</v>
      </c>
      <c r="C1267" t="s">
        <v>643</v>
      </c>
      <c r="D1267" s="2">
        <v>230018183</v>
      </c>
      <c r="E1267" s="2">
        <v>2229001400010</v>
      </c>
      <c r="F1267" s="1" t="s">
        <v>936</v>
      </c>
      <c r="G1267" s="1" t="s">
        <v>53</v>
      </c>
      <c r="H1267" s="1" t="s">
        <v>339</v>
      </c>
      <c r="I1267" s="1" t="s">
        <v>340</v>
      </c>
      <c r="J1267" s="1" t="s">
        <v>211</v>
      </c>
      <c r="K1267" t="s">
        <v>937</v>
      </c>
      <c r="M1267" s="1" t="s">
        <v>58</v>
      </c>
      <c r="N1267" s="1">
        <v>0</v>
      </c>
      <c r="O1267" s="1" t="s">
        <v>105</v>
      </c>
      <c r="P1267" s="11" t="s">
        <v>2200</v>
      </c>
      <c r="R1267" s="1">
        <v>3</v>
      </c>
      <c r="T1267" s="1" t="s">
        <v>646</v>
      </c>
      <c r="U1267" s="11" t="s">
        <v>2201</v>
      </c>
      <c r="V1267" s="1" t="s">
        <v>41</v>
      </c>
      <c r="W1267" s="1" t="s">
        <v>49</v>
      </c>
    </row>
    <row r="1268" spans="1:23" hidden="1">
      <c r="A1268" s="1">
        <v>9420634</v>
      </c>
      <c r="B1268" s="1" t="s">
        <v>101</v>
      </c>
      <c r="C1268" t="s">
        <v>643</v>
      </c>
      <c r="D1268" s="2">
        <v>230018019</v>
      </c>
      <c r="E1268" s="2">
        <v>1710001400010</v>
      </c>
      <c r="F1268" s="1" t="s">
        <v>936</v>
      </c>
      <c r="G1268" s="1" t="s">
        <v>53</v>
      </c>
      <c r="H1268" s="1" t="s">
        <v>327</v>
      </c>
      <c r="I1268" s="1" t="s">
        <v>328</v>
      </c>
      <c r="J1268" s="1" t="s">
        <v>261</v>
      </c>
      <c r="K1268" t="s">
        <v>937</v>
      </c>
      <c r="M1268" s="1" t="s">
        <v>58</v>
      </c>
      <c r="N1268" s="1">
        <v>0</v>
      </c>
      <c r="O1268" s="1" t="s">
        <v>105</v>
      </c>
      <c r="P1268" s="11" t="s">
        <v>2204</v>
      </c>
      <c r="R1268" s="1">
        <v>3</v>
      </c>
      <c r="T1268" s="1" t="s">
        <v>646</v>
      </c>
      <c r="U1268" s="11" t="s">
        <v>2205</v>
      </c>
      <c r="V1268" s="1" t="s">
        <v>41</v>
      </c>
      <c r="W1268" s="1" t="s">
        <v>49</v>
      </c>
    </row>
    <row r="1269" spans="1:23" hidden="1">
      <c r="A1269" s="1">
        <v>9420518</v>
      </c>
      <c r="B1269" s="1" t="s">
        <v>101</v>
      </c>
      <c r="C1269" t="s">
        <v>643</v>
      </c>
      <c r="D1269" s="2">
        <v>230018414</v>
      </c>
      <c r="E1269" s="2">
        <v>2889001400010</v>
      </c>
      <c r="F1269" s="1" t="s">
        <v>936</v>
      </c>
      <c r="G1269" s="1" t="s">
        <v>53</v>
      </c>
      <c r="H1269" s="1" t="s">
        <v>418</v>
      </c>
      <c r="I1269" s="1" t="s">
        <v>419</v>
      </c>
      <c r="J1269" s="1" t="s">
        <v>46</v>
      </c>
      <c r="K1269" t="s">
        <v>937</v>
      </c>
      <c r="M1269" s="1" t="s">
        <v>58</v>
      </c>
      <c r="N1269" s="1">
        <v>0</v>
      </c>
      <c r="O1269" s="1" t="s">
        <v>105</v>
      </c>
      <c r="P1269" s="11" t="s">
        <v>2208</v>
      </c>
      <c r="R1269" s="1">
        <v>3</v>
      </c>
      <c r="T1269" s="1" t="s">
        <v>646</v>
      </c>
      <c r="U1269" s="11" t="s">
        <v>2209</v>
      </c>
      <c r="V1269" s="1" t="s">
        <v>41</v>
      </c>
      <c r="W1269" s="1" t="s">
        <v>49</v>
      </c>
    </row>
    <row r="1270" spans="1:23">
      <c r="A1270" s="1">
        <v>9420480</v>
      </c>
      <c r="B1270" s="1" t="s">
        <v>101</v>
      </c>
      <c r="C1270" t="s">
        <v>643</v>
      </c>
      <c r="D1270" s="2">
        <v>230018152</v>
      </c>
      <c r="E1270" s="2">
        <v>2170001400010</v>
      </c>
      <c r="F1270" s="1" t="s">
        <v>936</v>
      </c>
      <c r="G1270" s="1" t="s">
        <v>53</v>
      </c>
      <c r="H1270" s="1" t="s">
        <v>477</v>
      </c>
      <c r="I1270" s="1" t="s">
        <v>478</v>
      </c>
      <c r="J1270" s="1" t="s">
        <v>148</v>
      </c>
      <c r="K1270" t="s">
        <v>937</v>
      </c>
      <c r="M1270" s="1" t="s">
        <v>58</v>
      </c>
      <c r="N1270" s="1">
        <v>0</v>
      </c>
      <c r="O1270" s="1" t="s">
        <v>105</v>
      </c>
      <c r="P1270" s="11" t="s">
        <v>2210</v>
      </c>
      <c r="R1270" s="1">
        <v>3</v>
      </c>
      <c r="T1270" s="1" t="s">
        <v>646</v>
      </c>
      <c r="U1270" s="11" t="s">
        <v>2211</v>
      </c>
      <c r="V1270" s="1" t="s">
        <v>41</v>
      </c>
      <c r="W1270" s="1" t="s">
        <v>49</v>
      </c>
    </row>
    <row r="1271" spans="1:23" hidden="1">
      <c r="A1271" s="1">
        <v>9420284</v>
      </c>
      <c r="B1271" s="1" t="s">
        <v>101</v>
      </c>
      <c r="C1271" t="s">
        <v>643</v>
      </c>
      <c r="D1271" s="2">
        <v>230017858</v>
      </c>
      <c r="E1271" s="2">
        <v>1361001400010</v>
      </c>
      <c r="F1271" s="1" t="s">
        <v>936</v>
      </c>
      <c r="G1271" s="1" t="s">
        <v>53</v>
      </c>
      <c r="H1271" s="1" t="s">
        <v>309</v>
      </c>
      <c r="I1271" s="1" t="s">
        <v>310</v>
      </c>
      <c r="J1271" s="1" t="s">
        <v>46</v>
      </c>
      <c r="K1271" t="s">
        <v>937</v>
      </c>
      <c r="M1271" s="1" t="s">
        <v>58</v>
      </c>
      <c r="N1271" s="1">
        <v>0</v>
      </c>
      <c r="O1271" s="1" t="s">
        <v>105</v>
      </c>
      <c r="P1271" s="11" t="s">
        <v>2212</v>
      </c>
      <c r="R1271" s="1">
        <v>3</v>
      </c>
      <c r="T1271" s="1" t="s">
        <v>646</v>
      </c>
      <c r="U1271" s="11" t="s">
        <v>2213</v>
      </c>
      <c r="V1271" s="1" t="s">
        <v>41</v>
      </c>
      <c r="W1271" s="1" t="s">
        <v>49</v>
      </c>
    </row>
    <row r="1272" spans="1:23" hidden="1">
      <c r="A1272" s="1">
        <v>9420231</v>
      </c>
      <c r="B1272" s="1" t="s">
        <v>101</v>
      </c>
      <c r="C1272" t="s">
        <v>643</v>
      </c>
      <c r="D1272" s="2">
        <v>230017980</v>
      </c>
      <c r="E1272" s="2">
        <v>1620001400010</v>
      </c>
      <c r="F1272" s="1" t="s">
        <v>936</v>
      </c>
      <c r="G1272" s="1" t="s">
        <v>53</v>
      </c>
      <c r="H1272" s="1" t="s">
        <v>402</v>
      </c>
      <c r="I1272" s="1" t="s">
        <v>403</v>
      </c>
      <c r="J1272" s="1" t="s">
        <v>46</v>
      </c>
      <c r="K1272" t="s">
        <v>937</v>
      </c>
      <c r="M1272" s="1" t="s">
        <v>58</v>
      </c>
      <c r="N1272" s="1">
        <v>0</v>
      </c>
      <c r="O1272" s="1" t="s">
        <v>105</v>
      </c>
      <c r="P1272" s="11" t="s">
        <v>2214</v>
      </c>
      <c r="R1272" s="1">
        <v>3</v>
      </c>
      <c r="T1272" s="1" t="s">
        <v>646</v>
      </c>
      <c r="U1272" s="11" t="s">
        <v>2215</v>
      </c>
      <c r="V1272" s="1" t="s">
        <v>41</v>
      </c>
      <c r="W1272" s="1" t="s">
        <v>49</v>
      </c>
    </row>
    <row r="1273" spans="1:23" hidden="1">
      <c r="A1273" s="1">
        <v>9420175</v>
      </c>
      <c r="B1273" s="1" t="s">
        <v>101</v>
      </c>
      <c r="C1273" t="s">
        <v>643</v>
      </c>
      <c r="D1273" s="2">
        <v>230017622</v>
      </c>
      <c r="E1273" s="2">
        <v>721001400010</v>
      </c>
      <c r="F1273" s="1" t="s">
        <v>936</v>
      </c>
      <c r="G1273" s="1" t="s">
        <v>53</v>
      </c>
      <c r="H1273" s="1" t="s">
        <v>422</v>
      </c>
      <c r="I1273" s="1" t="s">
        <v>423</v>
      </c>
      <c r="J1273" s="1" t="s">
        <v>79</v>
      </c>
      <c r="K1273" t="s">
        <v>937</v>
      </c>
      <c r="M1273" s="1" t="s">
        <v>58</v>
      </c>
      <c r="N1273" s="1">
        <v>0</v>
      </c>
      <c r="O1273" s="1" t="s">
        <v>105</v>
      </c>
      <c r="P1273" s="11" t="s">
        <v>2216</v>
      </c>
      <c r="R1273" s="1">
        <v>3</v>
      </c>
      <c r="T1273" s="1" t="s">
        <v>646</v>
      </c>
      <c r="U1273" s="11" t="s">
        <v>2217</v>
      </c>
      <c r="V1273" s="1" t="s">
        <v>41</v>
      </c>
      <c r="W1273" s="1" t="s">
        <v>49</v>
      </c>
    </row>
    <row r="1274" spans="1:23" hidden="1">
      <c r="A1274" s="1">
        <v>9419921</v>
      </c>
      <c r="B1274" s="1" t="s">
        <v>101</v>
      </c>
      <c r="C1274" t="s">
        <v>643</v>
      </c>
      <c r="D1274" s="2">
        <v>230021431</v>
      </c>
      <c r="E1274" s="2">
        <v>2138001400040</v>
      </c>
      <c r="F1274" s="1" t="s">
        <v>644</v>
      </c>
      <c r="G1274" s="1" t="s">
        <v>53</v>
      </c>
      <c r="H1274" s="1" t="s">
        <v>379</v>
      </c>
      <c r="I1274" s="1" t="s">
        <v>380</v>
      </c>
      <c r="J1274" s="1" t="s">
        <v>46</v>
      </c>
      <c r="K1274" t="s">
        <v>645</v>
      </c>
      <c r="M1274" s="1" t="s">
        <v>58</v>
      </c>
      <c r="N1274" s="1">
        <v>0</v>
      </c>
      <c r="O1274" s="1" t="s">
        <v>105</v>
      </c>
      <c r="P1274" s="11" t="s">
        <v>2220</v>
      </c>
      <c r="R1274" s="1">
        <v>3</v>
      </c>
      <c r="T1274" s="1" t="s">
        <v>646</v>
      </c>
      <c r="U1274" s="11" t="s">
        <v>2221</v>
      </c>
      <c r="V1274" s="1" t="s">
        <v>41</v>
      </c>
      <c r="W1274" s="1" t="s">
        <v>49</v>
      </c>
    </row>
    <row r="1275" spans="1:23" hidden="1">
      <c r="A1275" s="1">
        <v>9419909</v>
      </c>
      <c r="B1275" s="1" t="s">
        <v>101</v>
      </c>
      <c r="C1275" t="s">
        <v>643</v>
      </c>
      <c r="D1275" s="2">
        <v>230021419</v>
      </c>
      <c r="E1275" s="2">
        <v>2107001400040</v>
      </c>
      <c r="F1275" s="1" t="s">
        <v>644</v>
      </c>
      <c r="G1275" s="1" t="s">
        <v>53</v>
      </c>
      <c r="H1275" s="1" t="s">
        <v>262</v>
      </c>
      <c r="I1275" s="1" t="s">
        <v>263</v>
      </c>
      <c r="J1275" s="1" t="s">
        <v>164</v>
      </c>
      <c r="K1275" t="s">
        <v>645</v>
      </c>
      <c r="M1275" s="1" t="s">
        <v>58</v>
      </c>
      <c r="N1275" s="1">
        <v>0</v>
      </c>
      <c r="O1275" s="1" t="s">
        <v>105</v>
      </c>
      <c r="P1275" s="11" t="s">
        <v>2222</v>
      </c>
      <c r="R1275" s="1">
        <v>3</v>
      </c>
      <c r="T1275" s="1" t="s">
        <v>646</v>
      </c>
      <c r="U1275" s="11" t="s">
        <v>2223</v>
      </c>
      <c r="V1275" s="1" t="s">
        <v>41</v>
      </c>
      <c r="W1275" s="1" t="s">
        <v>49</v>
      </c>
    </row>
    <row r="1276" spans="1:23">
      <c r="A1276" s="1">
        <v>9419884</v>
      </c>
      <c r="B1276" s="1" t="s">
        <v>101</v>
      </c>
      <c r="C1276" t="s">
        <v>643</v>
      </c>
      <c r="D1276" s="2">
        <v>230021406</v>
      </c>
      <c r="E1276" s="2">
        <v>2069001400040</v>
      </c>
      <c r="F1276" s="1" t="s">
        <v>644</v>
      </c>
      <c r="G1276" s="1" t="s">
        <v>53</v>
      </c>
      <c r="H1276" s="1" t="s">
        <v>557</v>
      </c>
      <c r="I1276" s="1" t="s">
        <v>558</v>
      </c>
      <c r="J1276" s="1" t="s">
        <v>90</v>
      </c>
      <c r="K1276" t="s">
        <v>645</v>
      </c>
      <c r="M1276" s="1" t="s">
        <v>58</v>
      </c>
      <c r="N1276" s="1">
        <v>0</v>
      </c>
      <c r="O1276" s="1" t="s">
        <v>105</v>
      </c>
      <c r="P1276" s="11" t="s">
        <v>2224</v>
      </c>
      <c r="R1276" s="1">
        <v>2</v>
      </c>
      <c r="T1276" s="1" t="s">
        <v>646</v>
      </c>
      <c r="U1276" s="11" t="s">
        <v>2225</v>
      </c>
      <c r="V1276" s="1" t="s">
        <v>41</v>
      </c>
      <c r="W1276" s="1" t="s">
        <v>49</v>
      </c>
    </row>
    <row r="1277" spans="1:23" hidden="1">
      <c r="A1277" s="1">
        <v>9419831</v>
      </c>
      <c r="B1277" s="1" t="s">
        <v>101</v>
      </c>
      <c r="C1277" t="s">
        <v>643</v>
      </c>
      <c r="D1277" s="2">
        <v>230021369</v>
      </c>
      <c r="E1277" s="2">
        <v>1838001400040</v>
      </c>
      <c r="F1277" s="1" t="s">
        <v>644</v>
      </c>
      <c r="G1277" s="1" t="s">
        <v>53</v>
      </c>
      <c r="H1277" s="1" t="s">
        <v>357</v>
      </c>
      <c r="I1277" s="1" t="s">
        <v>358</v>
      </c>
      <c r="J1277" s="1" t="s">
        <v>46</v>
      </c>
      <c r="K1277" t="s">
        <v>645</v>
      </c>
      <c r="M1277" s="1" t="s">
        <v>58</v>
      </c>
      <c r="N1277" s="1">
        <v>0</v>
      </c>
      <c r="O1277" s="1" t="s">
        <v>105</v>
      </c>
      <c r="P1277" s="11" t="s">
        <v>2226</v>
      </c>
      <c r="R1277" s="1">
        <v>2</v>
      </c>
      <c r="T1277" s="1" t="s">
        <v>646</v>
      </c>
      <c r="U1277" s="11" t="s">
        <v>2227</v>
      </c>
      <c r="V1277" s="1" t="s">
        <v>41</v>
      </c>
      <c r="W1277" s="1" t="s">
        <v>49</v>
      </c>
    </row>
    <row r="1278" spans="1:23" hidden="1">
      <c r="A1278" s="1">
        <v>9419830</v>
      </c>
      <c r="B1278" s="1" t="s">
        <v>101</v>
      </c>
      <c r="C1278" t="s">
        <v>643</v>
      </c>
      <c r="D1278" s="2">
        <v>230021368</v>
      </c>
      <c r="E1278" s="2">
        <v>1837001400040</v>
      </c>
      <c r="F1278" s="1" t="s">
        <v>644</v>
      </c>
      <c r="G1278" s="1" t="s">
        <v>53</v>
      </c>
      <c r="H1278" s="1" t="s">
        <v>1785</v>
      </c>
      <c r="I1278" s="1" t="s">
        <v>1786</v>
      </c>
      <c r="J1278" s="1" t="s">
        <v>46</v>
      </c>
      <c r="K1278" t="s">
        <v>645</v>
      </c>
      <c r="M1278" s="1" t="s">
        <v>58</v>
      </c>
      <c r="N1278" s="1">
        <v>0</v>
      </c>
      <c r="O1278" s="1" t="s">
        <v>105</v>
      </c>
      <c r="P1278" s="11" t="s">
        <v>2228</v>
      </c>
      <c r="R1278" s="1">
        <v>2</v>
      </c>
      <c r="T1278" s="1" t="s">
        <v>646</v>
      </c>
      <c r="U1278" s="11" t="s">
        <v>2229</v>
      </c>
      <c r="V1278" s="1" t="s">
        <v>41</v>
      </c>
      <c r="W1278" s="1" t="s">
        <v>49</v>
      </c>
    </row>
    <row r="1279" spans="1:23" hidden="1">
      <c r="A1279" s="1">
        <v>9419828</v>
      </c>
      <c r="B1279" s="1" t="s">
        <v>101</v>
      </c>
      <c r="C1279" t="s">
        <v>643</v>
      </c>
      <c r="D1279" s="2">
        <v>230021367</v>
      </c>
      <c r="E1279" s="2">
        <v>1836001400040</v>
      </c>
      <c r="F1279" s="1" t="s">
        <v>644</v>
      </c>
      <c r="G1279" s="1" t="s">
        <v>53</v>
      </c>
      <c r="H1279" s="1" t="s">
        <v>455</v>
      </c>
      <c r="I1279" s="1" t="s">
        <v>456</v>
      </c>
      <c r="J1279" s="1" t="s">
        <v>46</v>
      </c>
      <c r="K1279" t="s">
        <v>645</v>
      </c>
      <c r="M1279" s="1" t="s">
        <v>58</v>
      </c>
      <c r="N1279" s="1">
        <v>0</v>
      </c>
      <c r="O1279" s="1" t="s">
        <v>105</v>
      </c>
      <c r="P1279" s="11" t="s">
        <v>2230</v>
      </c>
      <c r="R1279" s="1">
        <v>3</v>
      </c>
      <c r="T1279" s="1" t="s">
        <v>646</v>
      </c>
      <c r="U1279" s="11" t="s">
        <v>2231</v>
      </c>
      <c r="V1279" s="1" t="s">
        <v>41</v>
      </c>
      <c r="W1279" s="1" t="s">
        <v>49</v>
      </c>
    </row>
    <row r="1280" spans="1:23" hidden="1">
      <c r="A1280" s="1">
        <v>9419827</v>
      </c>
      <c r="B1280" s="1" t="s">
        <v>101</v>
      </c>
      <c r="C1280" t="s">
        <v>643</v>
      </c>
      <c r="D1280" s="2">
        <v>230021366</v>
      </c>
      <c r="E1280" s="2">
        <v>1835001400040</v>
      </c>
      <c r="F1280" s="1" t="s">
        <v>644</v>
      </c>
      <c r="G1280" s="1" t="s">
        <v>53</v>
      </c>
      <c r="H1280" s="1" t="s">
        <v>305</v>
      </c>
      <c r="I1280" s="1" t="s">
        <v>306</v>
      </c>
      <c r="J1280" s="1" t="s">
        <v>46</v>
      </c>
      <c r="K1280" t="s">
        <v>645</v>
      </c>
      <c r="M1280" s="1" t="s">
        <v>58</v>
      </c>
      <c r="N1280" s="1">
        <v>0</v>
      </c>
      <c r="O1280" s="1" t="s">
        <v>105</v>
      </c>
      <c r="P1280" s="11" t="s">
        <v>2232</v>
      </c>
      <c r="R1280" s="1">
        <v>3</v>
      </c>
      <c r="T1280" s="1" t="s">
        <v>646</v>
      </c>
      <c r="U1280" s="186">
        <v>44959.476712962962</v>
      </c>
      <c r="V1280" s="1" t="s">
        <v>41</v>
      </c>
      <c r="W1280" s="1" t="s">
        <v>49</v>
      </c>
    </row>
    <row r="1281" spans="1:23" hidden="1">
      <c r="A1281" s="1">
        <v>9419826</v>
      </c>
      <c r="B1281" s="1" t="s">
        <v>101</v>
      </c>
      <c r="C1281" t="s">
        <v>643</v>
      </c>
      <c r="D1281" s="2">
        <v>230021365</v>
      </c>
      <c r="E1281" s="2">
        <v>1833001400040</v>
      </c>
      <c r="F1281" s="1" t="s">
        <v>644</v>
      </c>
      <c r="G1281" s="1" t="s">
        <v>53</v>
      </c>
      <c r="H1281" s="1" t="s">
        <v>369</v>
      </c>
      <c r="I1281" s="1" t="s">
        <v>370</v>
      </c>
      <c r="J1281" s="1" t="s">
        <v>46</v>
      </c>
      <c r="K1281" t="s">
        <v>645</v>
      </c>
      <c r="M1281" s="1" t="s">
        <v>58</v>
      </c>
      <c r="N1281" s="1">
        <v>0</v>
      </c>
      <c r="O1281" s="1" t="s">
        <v>105</v>
      </c>
      <c r="P1281" s="11" t="s">
        <v>2234</v>
      </c>
      <c r="R1281" s="1">
        <v>3</v>
      </c>
      <c r="T1281" s="1" t="s">
        <v>646</v>
      </c>
      <c r="U1281" s="186">
        <v>44959.4766087963</v>
      </c>
      <c r="V1281" s="1" t="s">
        <v>41</v>
      </c>
      <c r="W1281" s="1" t="s">
        <v>49</v>
      </c>
    </row>
    <row r="1282" spans="1:23" hidden="1">
      <c r="A1282" s="1">
        <v>9419817</v>
      </c>
      <c r="B1282" s="1" t="s">
        <v>101</v>
      </c>
      <c r="C1282" t="s">
        <v>643</v>
      </c>
      <c r="D1282" s="2">
        <v>230021358</v>
      </c>
      <c r="E1282" s="2">
        <v>1814031400040</v>
      </c>
      <c r="F1282" s="1" t="s">
        <v>644</v>
      </c>
      <c r="G1282" s="1" t="s">
        <v>53</v>
      </c>
      <c r="H1282" s="1" t="s">
        <v>719</v>
      </c>
      <c r="I1282" s="1" t="s">
        <v>188</v>
      </c>
      <c r="J1282" s="1" t="s">
        <v>46</v>
      </c>
      <c r="K1282" t="s">
        <v>645</v>
      </c>
      <c r="M1282" s="1" t="s">
        <v>58</v>
      </c>
      <c r="N1282" s="1">
        <v>0</v>
      </c>
      <c r="O1282" s="1" t="s">
        <v>105</v>
      </c>
      <c r="P1282" s="11" t="s">
        <v>2236</v>
      </c>
      <c r="R1282" s="1">
        <v>3</v>
      </c>
      <c r="T1282" s="1" t="s">
        <v>646</v>
      </c>
      <c r="U1282" s="11" t="s">
        <v>2237</v>
      </c>
      <c r="V1282" s="1" t="s">
        <v>41</v>
      </c>
      <c r="W1282" s="1" t="s">
        <v>49</v>
      </c>
    </row>
    <row r="1283" spans="1:23" hidden="1">
      <c r="A1283" s="1">
        <v>9419815</v>
      </c>
      <c r="B1283" s="1" t="s">
        <v>101</v>
      </c>
      <c r="C1283" t="s">
        <v>643</v>
      </c>
      <c r="D1283" s="2">
        <v>230021357</v>
      </c>
      <c r="E1283" s="2">
        <v>1814001400040</v>
      </c>
      <c r="F1283" s="1" t="s">
        <v>644</v>
      </c>
      <c r="G1283" s="1" t="s">
        <v>53</v>
      </c>
      <c r="H1283" s="1" t="s">
        <v>396</v>
      </c>
      <c r="I1283" s="1" t="s">
        <v>397</v>
      </c>
      <c r="J1283" s="1" t="s">
        <v>46</v>
      </c>
      <c r="K1283" t="s">
        <v>645</v>
      </c>
      <c r="M1283" s="1" t="s">
        <v>58</v>
      </c>
      <c r="N1283" s="1">
        <v>0</v>
      </c>
      <c r="O1283" s="1" t="s">
        <v>105</v>
      </c>
      <c r="P1283" s="11" t="s">
        <v>2238</v>
      </c>
      <c r="R1283" s="1">
        <v>2</v>
      </c>
      <c r="T1283" s="1" t="s">
        <v>646</v>
      </c>
      <c r="U1283" s="11" t="s">
        <v>2239</v>
      </c>
      <c r="V1283" s="1" t="s">
        <v>41</v>
      </c>
      <c r="W1283" s="1" t="s">
        <v>49</v>
      </c>
    </row>
    <row r="1284" spans="1:23">
      <c r="A1284" s="1">
        <v>9419654</v>
      </c>
      <c r="B1284" s="1" t="s">
        <v>101</v>
      </c>
      <c r="C1284" t="s">
        <v>643</v>
      </c>
      <c r="D1284" s="2">
        <v>230021562</v>
      </c>
      <c r="E1284" s="2">
        <v>2422001400040</v>
      </c>
      <c r="F1284" s="1" t="s">
        <v>644</v>
      </c>
      <c r="G1284" s="1" t="s">
        <v>53</v>
      </c>
      <c r="H1284" s="1" t="s">
        <v>1844</v>
      </c>
      <c r="I1284" s="1" t="s">
        <v>1845</v>
      </c>
      <c r="J1284" s="1" t="s">
        <v>211</v>
      </c>
      <c r="K1284" t="s">
        <v>645</v>
      </c>
      <c r="M1284" s="1" t="s">
        <v>58</v>
      </c>
      <c r="N1284" s="1">
        <v>0</v>
      </c>
      <c r="O1284" s="1" t="s">
        <v>105</v>
      </c>
      <c r="P1284" s="11" t="s">
        <v>2240</v>
      </c>
      <c r="R1284" s="1">
        <v>2</v>
      </c>
      <c r="T1284" s="1" t="s">
        <v>646</v>
      </c>
      <c r="U1284" s="11" t="s">
        <v>2241</v>
      </c>
      <c r="V1284" s="1" t="s">
        <v>41</v>
      </c>
      <c r="W1284" s="1" t="s">
        <v>49</v>
      </c>
    </row>
    <row r="1285" spans="1:23" hidden="1">
      <c r="A1285" s="1">
        <v>9419577</v>
      </c>
      <c r="B1285" s="1" t="s">
        <v>101</v>
      </c>
      <c r="C1285" t="s">
        <v>643</v>
      </c>
      <c r="D1285" s="2">
        <v>230021757</v>
      </c>
      <c r="E1285" s="2">
        <v>2988001400040</v>
      </c>
      <c r="F1285" s="1" t="s">
        <v>644</v>
      </c>
      <c r="G1285" s="1" t="s">
        <v>53</v>
      </c>
      <c r="H1285" s="1" t="s">
        <v>536</v>
      </c>
      <c r="I1285" s="1" t="s">
        <v>537</v>
      </c>
      <c r="J1285" s="1" t="s">
        <v>46</v>
      </c>
      <c r="K1285" t="s">
        <v>645</v>
      </c>
      <c r="M1285" s="1" t="s">
        <v>58</v>
      </c>
      <c r="N1285" s="1">
        <v>0</v>
      </c>
      <c r="O1285" s="1" t="s">
        <v>105</v>
      </c>
      <c r="P1285" s="11" t="s">
        <v>2242</v>
      </c>
      <c r="R1285" s="1">
        <v>2</v>
      </c>
      <c r="T1285" s="1" t="s">
        <v>646</v>
      </c>
      <c r="U1285" s="186">
        <v>44959.458240740743</v>
      </c>
      <c r="V1285" s="1" t="s">
        <v>41</v>
      </c>
      <c r="W1285" s="1" t="s">
        <v>49</v>
      </c>
    </row>
    <row r="1286" spans="1:23">
      <c r="A1286" s="1">
        <v>9419561</v>
      </c>
      <c r="B1286" s="1" t="s">
        <v>101</v>
      </c>
      <c r="C1286" t="s">
        <v>643</v>
      </c>
      <c r="D1286" s="2">
        <v>230021447</v>
      </c>
      <c r="E1286" s="2">
        <v>2170001400040</v>
      </c>
      <c r="F1286" s="1" t="s">
        <v>644</v>
      </c>
      <c r="G1286" s="1" t="s">
        <v>53</v>
      </c>
      <c r="H1286" s="1" t="s">
        <v>477</v>
      </c>
      <c r="I1286" s="1" t="s">
        <v>478</v>
      </c>
      <c r="J1286" s="1" t="s">
        <v>148</v>
      </c>
      <c r="K1286" t="s">
        <v>645</v>
      </c>
      <c r="M1286" s="1" t="s">
        <v>58</v>
      </c>
      <c r="N1286" s="1">
        <v>0</v>
      </c>
      <c r="O1286" s="1" t="s">
        <v>105</v>
      </c>
      <c r="P1286" s="11" t="s">
        <v>2244</v>
      </c>
      <c r="R1286" s="1">
        <v>3</v>
      </c>
      <c r="T1286" s="1" t="s">
        <v>646</v>
      </c>
      <c r="U1286" s="186">
        <v>44959.457002314812</v>
      </c>
      <c r="V1286" s="1" t="s">
        <v>41</v>
      </c>
      <c r="W1286" s="1" t="s">
        <v>49</v>
      </c>
    </row>
    <row r="1287" spans="1:23" hidden="1">
      <c r="A1287" s="1">
        <v>9419525</v>
      </c>
      <c r="B1287" s="1" t="s">
        <v>101</v>
      </c>
      <c r="C1287" t="s">
        <v>643</v>
      </c>
      <c r="D1287" s="2">
        <v>230021156</v>
      </c>
      <c r="E1287" s="2">
        <v>1361001400040</v>
      </c>
      <c r="F1287" s="1" t="s">
        <v>644</v>
      </c>
      <c r="G1287" s="1" t="s">
        <v>53</v>
      </c>
      <c r="H1287" s="1" t="s">
        <v>309</v>
      </c>
      <c r="I1287" s="1" t="s">
        <v>310</v>
      </c>
      <c r="J1287" s="1" t="s">
        <v>46</v>
      </c>
      <c r="K1287" t="s">
        <v>645</v>
      </c>
      <c r="M1287" s="1" t="s">
        <v>58</v>
      </c>
      <c r="N1287" s="1">
        <v>0</v>
      </c>
      <c r="O1287" s="1" t="s">
        <v>105</v>
      </c>
      <c r="P1287" s="11" t="s">
        <v>2246</v>
      </c>
      <c r="R1287" s="1">
        <v>3</v>
      </c>
      <c r="T1287" s="1" t="s">
        <v>646</v>
      </c>
      <c r="U1287" s="11" t="s">
        <v>2247</v>
      </c>
      <c r="V1287" s="1" t="s">
        <v>41</v>
      </c>
      <c r="W1287" s="1" t="s">
        <v>49</v>
      </c>
    </row>
    <row r="1288" spans="1:23" hidden="1">
      <c r="A1288" s="1">
        <v>9419422</v>
      </c>
      <c r="B1288" s="1" t="s">
        <v>101</v>
      </c>
      <c r="C1288" t="s">
        <v>643</v>
      </c>
      <c r="D1288" s="2">
        <v>230021088</v>
      </c>
      <c r="E1288" s="2">
        <v>1153001400040</v>
      </c>
      <c r="F1288" s="1" t="s">
        <v>644</v>
      </c>
      <c r="G1288" s="1" t="s">
        <v>53</v>
      </c>
      <c r="H1288" s="1" t="s">
        <v>1031</v>
      </c>
      <c r="I1288" s="1" t="s">
        <v>1032</v>
      </c>
      <c r="J1288" s="1" t="s">
        <v>79</v>
      </c>
      <c r="K1288" t="s">
        <v>645</v>
      </c>
      <c r="M1288" s="1" t="s">
        <v>58</v>
      </c>
      <c r="N1288" s="1">
        <v>0</v>
      </c>
      <c r="O1288" s="1" t="s">
        <v>105</v>
      </c>
      <c r="P1288" s="11" t="s">
        <v>2248</v>
      </c>
      <c r="R1288" s="1">
        <v>3</v>
      </c>
      <c r="T1288" s="1" t="s">
        <v>646</v>
      </c>
      <c r="U1288" s="11" t="s">
        <v>2249</v>
      </c>
      <c r="V1288" s="1" t="s">
        <v>41</v>
      </c>
      <c r="W1288" s="1" t="s">
        <v>49</v>
      </c>
    </row>
    <row r="1289" spans="1:23">
      <c r="A1289" s="1">
        <v>9419377</v>
      </c>
      <c r="B1289" s="1" t="s">
        <v>101</v>
      </c>
      <c r="C1289" t="s">
        <v>643</v>
      </c>
      <c r="D1289" s="2">
        <v>230021055</v>
      </c>
      <c r="E1289" s="2">
        <v>1059001400040</v>
      </c>
      <c r="F1289" s="1" t="s">
        <v>644</v>
      </c>
      <c r="G1289" s="1" t="s">
        <v>53</v>
      </c>
      <c r="H1289" s="1" t="s">
        <v>88</v>
      </c>
      <c r="I1289" s="1" t="s">
        <v>89</v>
      </c>
      <c r="J1289" s="1" t="s">
        <v>90</v>
      </c>
      <c r="K1289" t="s">
        <v>645</v>
      </c>
      <c r="M1289" s="1" t="s">
        <v>58</v>
      </c>
      <c r="N1289" s="1">
        <v>0</v>
      </c>
      <c r="O1289" s="1" t="s">
        <v>105</v>
      </c>
      <c r="P1289" s="11" t="s">
        <v>3051</v>
      </c>
      <c r="R1289" s="1">
        <v>2</v>
      </c>
      <c r="T1289" s="1" t="s">
        <v>646</v>
      </c>
      <c r="U1289" s="186">
        <v>44959.445428240739</v>
      </c>
      <c r="V1289" s="1" t="s">
        <v>41</v>
      </c>
      <c r="W1289" s="1" t="s">
        <v>49</v>
      </c>
    </row>
    <row r="1290" spans="1:23" hidden="1">
      <c r="A1290" s="1">
        <v>9419293</v>
      </c>
      <c r="B1290" s="1" t="s">
        <v>101</v>
      </c>
      <c r="C1290" t="s">
        <v>643</v>
      </c>
      <c r="D1290" s="2">
        <v>230021183</v>
      </c>
      <c r="E1290" s="2">
        <v>1421001400040</v>
      </c>
      <c r="F1290" s="1" t="s">
        <v>644</v>
      </c>
      <c r="G1290" s="1" t="s">
        <v>53</v>
      </c>
      <c r="H1290" s="1" t="s">
        <v>179</v>
      </c>
      <c r="I1290" s="1" t="s">
        <v>180</v>
      </c>
      <c r="J1290" s="1" t="s">
        <v>79</v>
      </c>
      <c r="K1290" t="s">
        <v>645</v>
      </c>
      <c r="M1290" s="1" t="s">
        <v>58</v>
      </c>
      <c r="N1290" s="1">
        <v>0</v>
      </c>
      <c r="O1290" s="1" t="s">
        <v>105</v>
      </c>
      <c r="P1290" s="11" t="s">
        <v>3052</v>
      </c>
      <c r="R1290" s="1">
        <v>2</v>
      </c>
      <c r="T1290" s="1" t="s">
        <v>646</v>
      </c>
      <c r="U1290" s="186">
        <v>44959.440381944441</v>
      </c>
      <c r="V1290" s="1" t="s">
        <v>41</v>
      </c>
      <c r="W1290" s="1" t="s">
        <v>49</v>
      </c>
    </row>
    <row r="1291" spans="1:23" hidden="1">
      <c r="A1291" s="1">
        <v>9419109</v>
      </c>
      <c r="B1291" s="1" t="s">
        <v>101</v>
      </c>
      <c r="C1291" t="s">
        <v>643</v>
      </c>
      <c r="D1291" s="2">
        <v>230020746</v>
      </c>
      <c r="E1291" s="2">
        <v>115001400040</v>
      </c>
      <c r="F1291" s="1" t="s">
        <v>644</v>
      </c>
      <c r="G1291" s="1" t="s">
        <v>53</v>
      </c>
      <c r="H1291" s="1" t="s">
        <v>542</v>
      </c>
      <c r="I1291" s="1" t="s">
        <v>543</v>
      </c>
      <c r="J1291" s="1" t="s">
        <v>56</v>
      </c>
      <c r="K1291" t="s">
        <v>645</v>
      </c>
      <c r="M1291" s="1" t="s">
        <v>58</v>
      </c>
      <c r="N1291" s="1">
        <v>0</v>
      </c>
      <c r="O1291" s="1" t="s">
        <v>105</v>
      </c>
      <c r="P1291" s="11" t="s">
        <v>3053</v>
      </c>
      <c r="R1291" s="1">
        <v>3</v>
      </c>
      <c r="T1291" s="1" t="s">
        <v>646</v>
      </c>
      <c r="U1291" s="186">
        <v>44959.432187500002</v>
      </c>
      <c r="V1291" s="1" t="s">
        <v>41</v>
      </c>
      <c r="W1291" s="1" t="s">
        <v>49</v>
      </c>
    </row>
    <row r="1292" spans="1:23" hidden="1">
      <c r="A1292" s="1">
        <v>9418826</v>
      </c>
      <c r="B1292" s="1" t="s">
        <v>101</v>
      </c>
      <c r="C1292" t="s">
        <v>643</v>
      </c>
      <c r="D1292" s="2">
        <v>230020410</v>
      </c>
      <c r="E1292" s="2">
        <v>2365131400030</v>
      </c>
      <c r="F1292" s="1" t="s">
        <v>647</v>
      </c>
      <c r="G1292" s="1" t="s">
        <v>53</v>
      </c>
      <c r="H1292" s="1" t="s">
        <v>807</v>
      </c>
      <c r="I1292" s="1" t="s">
        <v>808</v>
      </c>
      <c r="J1292" s="1" t="s">
        <v>46</v>
      </c>
      <c r="K1292" t="s">
        <v>650</v>
      </c>
      <c r="M1292" s="1" t="s">
        <v>58</v>
      </c>
      <c r="N1292" s="1">
        <v>0</v>
      </c>
      <c r="O1292" s="1" t="s">
        <v>105</v>
      </c>
      <c r="P1292" s="11" t="s">
        <v>3054</v>
      </c>
      <c r="R1292" s="1">
        <v>4</v>
      </c>
      <c r="T1292" s="1" t="s">
        <v>646</v>
      </c>
      <c r="U1292" s="186">
        <v>44959.416805555556</v>
      </c>
      <c r="V1292" s="1" t="s">
        <v>41</v>
      </c>
      <c r="W1292" s="1" t="s">
        <v>49</v>
      </c>
    </row>
    <row r="1293" spans="1:23">
      <c r="A1293" s="1">
        <v>9418770</v>
      </c>
      <c r="B1293" s="1" t="s">
        <v>101</v>
      </c>
      <c r="C1293" t="s">
        <v>643</v>
      </c>
      <c r="D1293" s="2">
        <v>230020783</v>
      </c>
      <c r="E1293" s="2">
        <v>246001400040</v>
      </c>
      <c r="F1293" s="1" t="s">
        <v>644</v>
      </c>
      <c r="G1293" s="1" t="s">
        <v>53</v>
      </c>
      <c r="H1293" s="1" t="s">
        <v>1193</v>
      </c>
      <c r="I1293" s="1" t="s">
        <v>1194</v>
      </c>
      <c r="J1293" s="1" t="s">
        <v>85</v>
      </c>
      <c r="K1293" t="s">
        <v>645</v>
      </c>
      <c r="M1293" s="1" t="s">
        <v>58</v>
      </c>
      <c r="N1293" s="1">
        <v>0</v>
      </c>
      <c r="O1293" s="1" t="s">
        <v>105</v>
      </c>
      <c r="P1293" s="11" t="s">
        <v>2252</v>
      </c>
      <c r="R1293" s="1">
        <v>2</v>
      </c>
      <c r="T1293" s="1" t="s">
        <v>646</v>
      </c>
      <c r="U1293" s="186">
        <v>44959.413946759261</v>
      </c>
      <c r="V1293" s="1" t="s">
        <v>41</v>
      </c>
      <c r="W1293" s="1" t="s">
        <v>49</v>
      </c>
    </row>
    <row r="1294" spans="1:23" hidden="1">
      <c r="A1294" s="1">
        <v>9418769</v>
      </c>
      <c r="B1294" s="1" t="s">
        <v>101</v>
      </c>
      <c r="C1294" t="s">
        <v>643</v>
      </c>
      <c r="D1294" s="2">
        <v>230020782</v>
      </c>
      <c r="E1294" s="2">
        <v>244001400040</v>
      </c>
      <c r="F1294" s="1" t="s">
        <v>644</v>
      </c>
      <c r="G1294" s="1" t="s">
        <v>53</v>
      </c>
      <c r="H1294" s="1" t="s">
        <v>313</v>
      </c>
      <c r="I1294" s="1" t="s">
        <v>314</v>
      </c>
      <c r="J1294" s="1" t="s">
        <v>56</v>
      </c>
      <c r="K1294" t="s">
        <v>645</v>
      </c>
      <c r="M1294" s="1" t="s">
        <v>58</v>
      </c>
      <c r="N1294" s="1">
        <v>0</v>
      </c>
      <c r="O1294" s="1" t="s">
        <v>105</v>
      </c>
      <c r="P1294" s="11" t="s">
        <v>2254</v>
      </c>
      <c r="R1294" s="1">
        <v>3</v>
      </c>
      <c r="T1294" s="1" t="s">
        <v>646</v>
      </c>
      <c r="U1294" s="11" t="s">
        <v>2255</v>
      </c>
      <c r="V1294" s="1" t="s">
        <v>41</v>
      </c>
      <c r="W1294" s="1" t="s">
        <v>49</v>
      </c>
    </row>
    <row r="1295" spans="1:23" hidden="1">
      <c r="A1295" s="1">
        <v>9418760</v>
      </c>
      <c r="B1295" s="1" t="s">
        <v>101</v>
      </c>
      <c r="C1295" t="s">
        <v>643</v>
      </c>
      <c r="D1295" s="2">
        <v>230020773</v>
      </c>
      <c r="E1295" s="2">
        <v>196001400040</v>
      </c>
      <c r="F1295" s="1" t="s">
        <v>644</v>
      </c>
      <c r="G1295" s="1" t="s">
        <v>53</v>
      </c>
      <c r="H1295" s="1" t="s">
        <v>1060</v>
      </c>
      <c r="I1295" s="1" t="s">
        <v>1061</v>
      </c>
      <c r="J1295" s="1" t="s">
        <v>79</v>
      </c>
      <c r="K1295" t="s">
        <v>645</v>
      </c>
      <c r="M1295" s="1" t="s">
        <v>58</v>
      </c>
      <c r="N1295" s="1">
        <v>0</v>
      </c>
      <c r="O1295" s="1" t="s">
        <v>105</v>
      </c>
      <c r="P1295" s="11" t="s">
        <v>2256</v>
      </c>
      <c r="R1295" s="1">
        <v>2</v>
      </c>
      <c r="T1295" s="1" t="s">
        <v>646</v>
      </c>
      <c r="U1295" s="11" t="s">
        <v>3055</v>
      </c>
      <c r="V1295" s="1" t="s">
        <v>41</v>
      </c>
      <c r="W1295" s="1" t="s">
        <v>49</v>
      </c>
    </row>
    <row r="1296" spans="1:23">
      <c r="A1296" s="1">
        <v>9418531</v>
      </c>
      <c r="B1296" s="1" t="s">
        <v>101</v>
      </c>
      <c r="C1296" t="s">
        <v>643</v>
      </c>
      <c r="D1296" s="2">
        <v>230019757</v>
      </c>
      <c r="E1296" s="2">
        <v>2229001400030</v>
      </c>
      <c r="F1296" s="1" t="s">
        <v>647</v>
      </c>
      <c r="G1296" s="1" t="s">
        <v>53</v>
      </c>
      <c r="H1296" s="1" t="s">
        <v>339</v>
      </c>
      <c r="I1296" s="1" t="s">
        <v>340</v>
      </c>
      <c r="J1296" s="1" t="s">
        <v>211</v>
      </c>
      <c r="K1296" t="s">
        <v>650</v>
      </c>
      <c r="M1296" s="1" t="s">
        <v>58</v>
      </c>
      <c r="N1296" s="1">
        <v>0</v>
      </c>
      <c r="O1296" s="1" t="s">
        <v>105</v>
      </c>
      <c r="P1296" s="11" t="s">
        <v>2257</v>
      </c>
      <c r="R1296" s="1">
        <v>4</v>
      </c>
      <c r="T1296" s="1" t="s">
        <v>646</v>
      </c>
      <c r="U1296" s="11" t="s">
        <v>3056</v>
      </c>
      <c r="V1296" s="1" t="s">
        <v>41</v>
      </c>
      <c r="W1296" s="1" t="s">
        <v>49</v>
      </c>
    </row>
    <row r="1297" spans="1:23" hidden="1">
      <c r="A1297" s="1">
        <v>9418504</v>
      </c>
      <c r="B1297" s="1" t="s">
        <v>101</v>
      </c>
      <c r="C1297" t="s">
        <v>643</v>
      </c>
      <c r="D1297" s="2">
        <v>230019738</v>
      </c>
      <c r="E1297" s="2">
        <v>2196001400030</v>
      </c>
      <c r="F1297" s="1" t="s">
        <v>647</v>
      </c>
      <c r="G1297" s="1" t="s">
        <v>53</v>
      </c>
      <c r="H1297" s="1" t="s">
        <v>1252</v>
      </c>
      <c r="I1297" s="1" t="s">
        <v>1253</v>
      </c>
      <c r="J1297" s="1" t="s">
        <v>33</v>
      </c>
      <c r="K1297" t="s">
        <v>650</v>
      </c>
      <c r="M1297" s="1" t="s">
        <v>58</v>
      </c>
      <c r="N1297" s="1">
        <v>0</v>
      </c>
      <c r="O1297" s="1" t="s">
        <v>105</v>
      </c>
      <c r="P1297" s="11" t="s">
        <v>2260</v>
      </c>
      <c r="R1297" s="1">
        <v>4</v>
      </c>
      <c r="T1297" s="1" t="s">
        <v>646</v>
      </c>
      <c r="U1297" s="11" t="s">
        <v>2261</v>
      </c>
      <c r="V1297" s="1" t="s">
        <v>41</v>
      </c>
      <c r="W1297" s="1" t="s">
        <v>42</v>
      </c>
    </row>
    <row r="1298" spans="1:23">
      <c r="A1298" s="1">
        <v>9418473</v>
      </c>
      <c r="B1298" s="1" t="s">
        <v>101</v>
      </c>
      <c r="C1298" t="s">
        <v>643</v>
      </c>
      <c r="D1298" s="2">
        <v>230019725</v>
      </c>
      <c r="E1298" s="2">
        <v>2170001400030</v>
      </c>
      <c r="F1298" s="1" t="s">
        <v>647</v>
      </c>
      <c r="G1298" s="1" t="s">
        <v>53</v>
      </c>
      <c r="H1298" s="1" t="s">
        <v>477</v>
      </c>
      <c r="I1298" s="1" t="s">
        <v>478</v>
      </c>
      <c r="J1298" s="1" t="s">
        <v>148</v>
      </c>
      <c r="K1298" t="s">
        <v>650</v>
      </c>
      <c r="M1298" s="1" t="s">
        <v>58</v>
      </c>
      <c r="N1298" s="1">
        <v>0</v>
      </c>
      <c r="O1298" s="1" t="s">
        <v>105</v>
      </c>
      <c r="P1298" s="11" t="s">
        <v>2262</v>
      </c>
      <c r="R1298" s="1">
        <v>4</v>
      </c>
      <c r="T1298" s="1" t="s">
        <v>646</v>
      </c>
      <c r="U1298" s="186">
        <v>44959.396168981482</v>
      </c>
      <c r="V1298" s="1" t="s">
        <v>41</v>
      </c>
      <c r="W1298" s="1" t="s">
        <v>49</v>
      </c>
    </row>
    <row r="1299" spans="1:23" hidden="1">
      <c r="A1299" s="1">
        <v>9418455</v>
      </c>
      <c r="B1299" s="1" t="s">
        <v>101</v>
      </c>
      <c r="C1299" t="s">
        <v>643</v>
      </c>
      <c r="D1299" s="2">
        <v>230019708</v>
      </c>
      <c r="E1299" s="2">
        <v>2138001400030</v>
      </c>
      <c r="F1299" s="1" t="s">
        <v>647</v>
      </c>
      <c r="G1299" s="1" t="s">
        <v>53</v>
      </c>
      <c r="H1299" s="1" t="s">
        <v>379</v>
      </c>
      <c r="I1299" s="1" t="s">
        <v>380</v>
      </c>
      <c r="J1299" s="1" t="s">
        <v>46</v>
      </c>
      <c r="K1299" t="s">
        <v>650</v>
      </c>
      <c r="M1299" s="1" t="s">
        <v>58</v>
      </c>
      <c r="N1299" s="1">
        <v>0</v>
      </c>
      <c r="O1299" s="1" t="s">
        <v>105</v>
      </c>
      <c r="P1299" s="11" t="s">
        <v>2264</v>
      </c>
      <c r="R1299" s="1">
        <v>4</v>
      </c>
      <c r="T1299" s="1" t="s">
        <v>646</v>
      </c>
      <c r="U1299" s="11" t="s">
        <v>2265</v>
      </c>
      <c r="V1299" s="1" t="s">
        <v>41</v>
      </c>
      <c r="W1299" s="1" t="s">
        <v>49</v>
      </c>
    </row>
    <row r="1300" spans="1:23">
      <c r="A1300" s="1">
        <v>9418331</v>
      </c>
      <c r="B1300" s="1" t="s">
        <v>101</v>
      </c>
      <c r="C1300" t="s">
        <v>643</v>
      </c>
      <c r="D1300" s="2">
        <v>230019888</v>
      </c>
      <c r="E1300" s="2">
        <v>2590001400030</v>
      </c>
      <c r="F1300" s="1" t="s">
        <v>647</v>
      </c>
      <c r="G1300" s="1" t="s">
        <v>53</v>
      </c>
      <c r="H1300" s="1" t="s">
        <v>394</v>
      </c>
      <c r="I1300" s="1" t="s">
        <v>395</v>
      </c>
      <c r="J1300" s="1" t="s">
        <v>148</v>
      </c>
      <c r="K1300" t="s">
        <v>650</v>
      </c>
      <c r="M1300" s="1" t="s">
        <v>58</v>
      </c>
      <c r="N1300" s="1">
        <v>0</v>
      </c>
      <c r="O1300" s="1" t="s">
        <v>105</v>
      </c>
      <c r="P1300" s="11" t="s">
        <v>2267</v>
      </c>
      <c r="R1300" s="1">
        <v>4</v>
      </c>
      <c r="T1300" s="1" t="s">
        <v>646</v>
      </c>
      <c r="U1300" s="11" t="s">
        <v>2268</v>
      </c>
      <c r="V1300" s="1" t="s">
        <v>41</v>
      </c>
      <c r="W1300" s="1" t="s">
        <v>49</v>
      </c>
    </row>
    <row r="1301" spans="1:23" hidden="1">
      <c r="A1301" s="1">
        <v>9418162</v>
      </c>
      <c r="B1301" s="1" t="s">
        <v>101</v>
      </c>
      <c r="C1301" t="s">
        <v>643</v>
      </c>
      <c r="D1301" s="2">
        <v>230020107</v>
      </c>
      <c r="E1301" s="2">
        <v>3108011400030</v>
      </c>
      <c r="F1301" s="1" t="s">
        <v>647</v>
      </c>
      <c r="G1301" s="1" t="s">
        <v>53</v>
      </c>
      <c r="H1301" s="1" t="s">
        <v>503</v>
      </c>
      <c r="I1301" s="1" t="s">
        <v>504</v>
      </c>
      <c r="J1301" s="1" t="s">
        <v>46</v>
      </c>
      <c r="K1301" t="s">
        <v>650</v>
      </c>
      <c r="M1301" s="1" t="s">
        <v>58</v>
      </c>
      <c r="N1301" s="1">
        <v>0</v>
      </c>
      <c r="O1301" s="1" t="s">
        <v>105</v>
      </c>
      <c r="P1301" s="11" t="s">
        <v>3057</v>
      </c>
      <c r="R1301" s="1">
        <v>4</v>
      </c>
      <c r="T1301" s="1" t="s">
        <v>646</v>
      </c>
      <c r="U1301" s="11" t="s">
        <v>3058</v>
      </c>
      <c r="V1301" s="1" t="s">
        <v>41</v>
      </c>
      <c r="W1301" s="1" t="s">
        <v>49</v>
      </c>
    </row>
    <row r="1302" spans="1:23" hidden="1">
      <c r="A1302" s="1">
        <v>9418133</v>
      </c>
      <c r="B1302" s="1" t="s">
        <v>101</v>
      </c>
      <c r="C1302" t="s">
        <v>643</v>
      </c>
      <c r="D1302" s="2">
        <v>230020053</v>
      </c>
      <c r="E1302" s="2">
        <v>2988001400030</v>
      </c>
      <c r="F1302" s="1" t="s">
        <v>647</v>
      </c>
      <c r="G1302" s="1" t="s">
        <v>53</v>
      </c>
      <c r="H1302" s="1" t="s">
        <v>536</v>
      </c>
      <c r="I1302" s="1" t="s">
        <v>537</v>
      </c>
      <c r="J1302" s="1" t="s">
        <v>46</v>
      </c>
      <c r="K1302" t="s">
        <v>650</v>
      </c>
      <c r="M1302" s="1" t="s">
        <v>58</v>
      </c>
      <c r="N1302" s="1">
        <v>0</v>
      </c>
      <c r="O1302" s="1" t="s">
        <v>105</v>
      </c>
      <c r="P1302" s="11" t="s">
        <v>3059</v>
      </c>
      <c r="R1302" s="1">
        <v>4</v>
      </c>
      <c r="T1302" s="1" t="s">
        <v>646</v>
      </c>
      <c r="U1302" s="11" t="s">
        <v>3060</v>
      </c>
      <c r="V1302" s="1" t="s">
        <v>41</v>
      </c>
      <c r="W1302" s="1" t="s">
        <v>49</v>
      </c>
    </row>
    <row r="1303" spans="1:23">
      <c r="A1303" s="1">
        <v>9418017</v>
      </c>
      <c r="B1303" s="1" t="s">
        <v>101</v>
      </c>
      <c r="C1303" t="s">
        <v>643</v>
      </c>
      <c r="D1303" s="2">
        <v>230019614</v>
      </c>
      <c r="E1303" s="2">
        <v>1764001400030</v>
      </c>
      <c r="F1303" s="1" t="s">
        <v>647</v>
      </c>
      <c r="G1303" s="1" t="s">
        <v>53</v>
      </c>
      <c r="H1303" s="1" t="s">
        <v>722</v>
      </c>
      <c r="I1303" s="1" t="s">
        <v>723</v>
      </c>
      <c r="J1303" s="1" t="s">
        <v>90</v>
      </c>
      <c r="K1303" t="s">
        <v>650</v>
      </c>
      <c r="M1303" s="1" t="s">
        <v>58</v>
      </c>
      <c r="N1303" s="1">
        <v>0</v>
      </c>
      <c r="O1303" s="1" t="s">
        <v>105</v>
      </c>
      <c r="P1303" s="11" t="s">
        <v>3061</v>
      </c>
      <c r="R1303" s="1">
        <v>4</v>
      </c>
      <c r="T1303" s="1" t="s">
        <v>646</v>
      </c>
      <c r="U1303" s="11" t="s">
        <v>3062</v>
      </c>
      <c r="V1303" s="1" t="s">
        <v>41</v>
      </c>
      <c r="W1303" s="1" t="s">
        <v>49</v>
      </c>
    </row>
    <row r="1304" spans="1:23" hidden="1">
      <c r="A1304" s="1">
        <v>9418009</v>
      </c>
      <c r="B1304" s="1" t="s">
        <v>1153</v>
      </c>
      <c r="C1304" t="s">
        <v>2269</v>
      </c>
      <c r="E1304" s="2">
        <v>1012000206001</v>
      </c>
      <c r="F1304" s="1" t="s">
        <v>29</v>
      </c>
      <c r="G1304" s="1" t="s">
        <v>53</v>
      </c>
      <c r="H1304" s="1" t="s">
        <v>172</v>
      </c>
      <c r="I1304" s="1" t="s">
        <v>173</v>
      </c>
      <c r="J1304" s="1" t="s">
        <v>164</v>
      </c>
      <c r="K1304" t="s">
        <v>34</v>
      </c>
      <c r="M1304" s="1" t="s">
        <v>35</v>
      </c>
      <c r="N1304" s="1">
        <v>42318949</v>
      </c>
      <c r="O1304" s="1" t="s">
        <v>36</v>
      </c>
      <c r="P1304" s="11" t="s">
        <v>3063</v>
      </c>
      <c r="R1304" s="1" t="s">
        <v>38</v>
      </c>
      <c r="T1304" s="1" t="s">
        <v>74</v>
      </c>
      <c r="U1304" s="186">
        <v>44979.708333333336</v>
      </c>
      <c r="V1304" s="1" t="s">
        <v>41</v>
      </c>
      <c r="W1304" s="1" t="s">
        <v>49</v>
      </c>
    </row>
    <row r="1305" spans="1:23" hidden="1">
      <c r="A1305" s="1">
        <v>9417996</v>
      </c>
      <c r="B1305" s="1" t="s">
        <v>101</v>
      </c>
      <c r="C1305" t="s">
        <v>643</v>
      </c>
      <c r="D1305" s="2">
        <v>230019599</v>
      </c>
      <c r="E1305" s="2">
        <v>1739001400030</v>
      </c>
      <c r="F1305" s="1" t="s">
        <v>647</v>
      </c>
      <c r="G1305" s="1" t="s">
        <v>53</v>
      </c>
      <c r="H1305" s="1" t="s">
        <v>162</v>
      </c>
      <c r="I1305" s="1" t="s">
        <v>163</v>
      </c>
      <c r="J1305" s="1" t="s">
        <v>164</v>
      </c>
      <c r="K1305" t="s">
        <v>650</v>
      </c>
      <c r="M1305" s="1" t="s">
        <v>58</v>
      </c>
      <c r="N1305" s="1">
        <v>0</v>
      </c>
      <c r="O1305" s="1" t="s">
        <v>105</v>
      </c>
      <c r="P1305" s="11" t="s">
        <v>2270</v>
      </c>
      <c r="R1305" s="1">
        <v>4</v>
      </c>
      <c r="T1305" s="1" t="s">
        <v>646</v>
      </c>
      <c r="U1305" s="186">
        <v>44959.36650462963</v>
      </c>
      <c r="V1305" s="1" t="s">
        <v>41</v>
      </c>
      <c r="W1305" s="1" t="s">
        <v>49</v>
      </c>
    </row>
    <row r="1306" spans="1:23" hidden="1">
      <c r="A1306" s="1">
        <v>9417969</v>
      </c>
      <c r="B1306" s="1" t="s">
        <v>101</v>
      </c>
      <c r="C1306" t="s">
        <v>643</v>
      </c>
      <c r="D1306" s="2">
        <v>230019588</v>
      </c>
      <c r="E1306" s="2">
        <v>1710001400030</v>
      </c>
      <c r="F1306" s="1" t="s">
        <v>647</v>
      </c>
      <c r="G1306" s="1" t="s">
        <v>53</v>
      </c>
      <c r="H1306" s="1" t="s">
        <v>327</v>
      </c>
      <c r="I1306" s="1" t="s">
        <v>328</v>
      </c>
      <c r="J1306" s="1" t="s">
        <v>261</v>
      </c>
      <c r="K1306" t="s">
        <v>650</v>
      </c>
      <c r="M1306" s="1" t="s">
        <v>58</v>
      </c>
      <c r="N1306" s="1">
        <v>0</v>
      </c>
      <c r="O1306" s="1" t="s">
        <v>105</v>
      </c>
      <c r="P1306" s="11" t="s">
        <v>2272</v>
      </c>
      <c r="R1306" s="1">
        <v>4</v>
      </c>
      <c r="T1306" s="1" t="s">
        <v>646</v>
      </c>
      <c r="U1306" s="186">
        <v>44959.36546296296</v>
      </c>
      <c r="V1306" s="1" t="s">
        <v>41</v>
      </c>
      <c r="W1306" s="1" t="s">
        <v>49</v>
      </c>
    </row>
    <row r="1307" spans="1:23" hidden="1">
      <c r="A1307" s="1">
        <v>9417956</v>
      </c>
      <c r="B1307" s="1" t="s">
        <v>101</v>
      </c>
      <c r="C1307" t="s">
        <v>643</v>
      </c>
      <c r="D1307" s="2">
        <v>230019578</v>
      </c>
      <c r="E1307" s="2">
        <v>1689001400030</v>
      </c>
      <c r="F1307" s="1" t="s">
        <v>647</v>
      </c>
      <c r="G1307" s="1" t="s">
        <v>53</v>
      </c>
      <c r="H1307" s="1" t="s">
        <v>2117</v>
      </c>
      <c r="I1307" s="1" t="s">
        <v>2118</v>
      </c>
      <c r="J1307" s="1" t="s">
        <v>79</v>
      </c>
      <c r="K1307" t="s">
        <v>650</v>
      </c>
      <c r="M1307" s="1" t="s">
        <v>58</v>
      </c>
      <c r="N1307" s="1">
        <v>0</v>
      </c>
      <c r="O1307" s="1" t="s">
        <v>105</v>
      </c>
      <c r="P1307" s="11" t="s">
        <v>3064</v>
      </c>
      <c r="R1307" s="1">
        <v>4</v>
      </c>
      <c r="T1307" s="1" t="s">
        <v>646</v>
      </c>
      <c r="U1307" s="186">
        <v>44959.364641203705</v>
      </c>
      <c r="V1307" s="1" t="s">
        <v>41</v>
      </c>
      <c r="W1307" s="1" t="s">
        <v>49</v>
      </c>
    </row>
    <row r="1308" spans="1:23" hidden="1">
      <c r="A1308" s="1">
        <v>9417939</v>
      </c>
      <c r="B1308" s="1" t="s">
        <v>101</v>
      </c>
      <c r="C1308" t="s">
        <v>643</v>
      </c>
      <c r="D1308" s="2">
        <v>230019562</v>
      </c>
      <c r="E1308" s="2">
        <v>1650001400030</v>
      </c>
      <c r="F1308" s="1" t="s">
        <v>647</v>
      </c>
      <c r="G1308" s="1" t="s">
        <v>53</v>
      </c>
      <c r="H1308" s="1" t="s">
        <v>620</v>
      </c>
      <c r="I1308" s="1" t="s">
        <v>621</v>
      </c>
      <c r="J1308" s="1" t="s">
        <v>141</v>
      </c>
      <c r="K1308" t="s">
        <v>650</v>
      </c>
      <c r="M1308" s="1" t="s">
        <v>58</v>
      </c>
      <c r="N1308" s="1">
        <v>0</v>
      </c>
      <c r="O1308" s="1" t="s">
        <v>105</v>
      </c>
      <c r="P1308" s="11" t="s">
        <v>2274</v>
      </c>
      <c r="R1308" s="1">
        <v>4</v>
      </c>
      <c r="T1308" s="1" t="s">
        <v>646</v>
      </c>
      <c r="U1308" s="186">
        <v>44959.363310185188</v>
      </c>
      <c r="V1308" s="1" t="s">
        <v>41</v>
      </c>
      <c r="W1308" s="1" t="s">
        <v>49</v>
      </c>
    </row>
    <row r="1309" spans="1:23" hidden="1">
      <c r="A1309" s="1">
        <v>9417911</v>
      </c>
      <c r="B1309" s="1" t="s">
        <v>101</v>
      </c>
      <c r="C1309" t="s">
        <v>643</v>
      </c>
      <c r="D1309" s="2">
        <v>230019546</v>
      </c>
      <c r="E1309" s="2">
        <v>1620001400030</v>
      </c>
      <c r="F1309" s="1" t="s">
        <v>647</v>
      </c>
      <c r="G1309" s="1" t="s">
        <v>53</v>
      </c>
      <c r="H1309" s="1" t="s">
        <v>402</v>
      </c>
      <c r="I1309" s="1" t="s">
        <v>403</v>
      </c>
      <c r="J1309" s="1" t="s">
        <v>46</v>
      </c>
      <c r="K1309" t="s">
        <v>650</v>
      </c>
      <c r="M1309" s="1" t="s">
        <v>58</v>
      </c>
      <c r="N1309" s="1">
        <v>0</v>
      </c>
      <c r="O1309" s="1" t="s">
        <v>105</v>
      </c>
      <c r="P1309" s="11" t="s">
        <v>2276</v>
      </c>
      <c r="R1309" s="1">
        <v>4</v>
      </c>
      <c r="T1309" s="1" t="s">
        <v>646</v>
      </c>
      <c r="U1309" s="11" t="s">
        <v>2277</v>
      </c>
      <c r="V1309" s="1" t="s">
        <v>41</v>
      </c>
      <c r="W1309" s="1" t="s">
        <v>49</v>
      </c>
    </row>
    <row r="1310" spans="1:23" hidden="1">
      <c r="A1310" s="1">
        <v>9417871</v>
      </c>
      <c r="B1310" s="1" t="s">
        <v>101</v>
      </c>
      <c r="C1310" t="s">
        <v>643</v>
      </c>
      <c r="D1310" s="2">
        <v>230019450</v>
      </c>
      <c r="E1310" s="2">
        <v>1421001400030</v>
      </c>
      <c r="F1310" s="1" t="s">
        <v>647</v>
      </c>
      <c r="G1310" s="1" t="s">
        <v>53</v>
      </c>
      <c r="H1310" s="1" t="s">
        <v>179</v>
      </c>
      <c r="I1310" s="1" t="s">
        <v>180</v>
      </c>
      <c r="J1310" s="1" t="s">
        <v>79</v>
      </c>
      <c r="K1310" t="s">
        <v>650</v>
      </c>
      <c r="M1310" s="1" t="s">
        <v>58</v>
      </c>
      <c r="N1310" s="1">
        <v>0</v>
      </c>
      <c r="O1310" s="1" t="s">
        <v>105</v>
      </c>
      <c r="P1310" s="11" t="s">
        <v>3065</v>
      </c>
      <c r="R1310" s="1">
        <v>4</v>
      </c>
      <c r="T1310" s="1" t="s">
        <v>646</v>
      </c>
      <c r="U1310" s="11" t="s">
        <v>3066</v>
      </c>
      <c r="V1310" s="1" t="s">
        <v>41</v>
      </c>
      <c r="W1310" s="1" t="s">
        <v>49</v>
      </c>
    </row>
    <row r="1311" spans="1:23" hidden="1">
      <c r="A1311" s="1">
        <v>9417830</v>
      </c>
      <c r="B1311" s="1" t="s">
        <v>101</v>
      </c>
      <c r="C1311" t="s">
        <v>643</v>
      </c>
      <c r="D1311" s="2">
        <v>230019421</v>
      </c>
      <c r="E1311" s="2">
        <v>1361001400030</v>
      </c>
      <c r="F1311" s="1" t="s">
        <v>647</v>
      </c>
      <c r="G1311" s="1" t="s">
        <v>53</v>
      </c>
      <c r="H1311" s="1" t="s">
        <v>309</v>
      </c>
      <c r="I1311" s="1" t="s">
        <v>310</v>
      </c>
      <c r="J1311" s="1" t="s">
        <v>46</v>
      </c>
      <c r="K1311" t="s">
        <v>650</v>
      </c>
      <c r="M1311" s="1" t="s">
        <v>58</v>
      </c>
      <c r="N1311" s="1">
        <v>0</v>
      </c>
      <c r="O1311" s="1" t="s">
        <v>105</v>
      </c>
      <c r="P1311" s="11" t="s">
        <v>2278</v>
      </c>
      <c r="R1311" s="1">
        <v>4</v>
      </c>
      <c r="T1311" s="1" t="s">
        <v>646</v>
      </c>
      <c r="U1311" s="11" t="s">
        <v>2279</v>
      </c>
      <c r="V1311" s="1" t="s">
        <v>41</v>
      </c>
      <c r="W1311" s="1" t="s">
        <v>49</v>
      </c>
    </row>
    <row r="1312" spans="1:23" hidden="1">
      <c r="A1312" s="1">
        <v>9417682</v>
      </c>
      <c r="B1312" s="1" t="s">
        <v>101</v>
      </c>
      <c r="C1312" t="s">
        <v>643</v>
      </c>
      <c r="D1312" s="2">
        <v>230019273</v>
      </c>
      <c r="E1312" s="2">
        <v>963001400030</v>
      </c>
      <c r="F1312" s="1" t="s">
        <v>647</v>
      </c>
      <c r="G1312" s="1" t="s">
        <v>53</v>
      </c>
      <c r="H1312" s="1" t="s">
        <v>531</v>
      </c>
      <c r="I1312" s="1" t="s">
        <v>532</v>
      </c>
      <c r="J1312" s="1" t="s">
        <v>33</v>
      </c>
      <c r="K1312" t="s">
        <v>650</v>
      </c>
      <c r="M1312" s="1" t="s">
        <v>58</v>
      </c>
      <c r="N1312" s="1">
        <v>0</v>
      </c>
      <c r="O1312" s="1" t="s">
        <v>105</v>
      </c>
      <c r="P1312" s="11" t="s">
        <v>3067</v>
      </c>
      <c r="R1312" s="1">
        <v>4</v>
      </c>
      <c r="T1312" s="1" t="s">
        <v>646</v>
      </c>
      <c r="U1312" s="11" t="s">
        <v>3068</v>
      </c>
      <c r="V1312" s="1" t="s">
        <v>41</v>
      </c>
      <c r="W1312" s="1" t="s">
        <v>49</v>
      </c>
    </row>
    <row r="1313" spans="1:23" hidden="1">
      <c r="A1313" s="1">
        <v>9417663</v>
      </c>
      <c r="B1313" s="1" t="s">
        <v>101</v>
      </c>
      <c r="C1313" t="s">
        <v>643</v>
      </c>
      <c r="D1313" s="2">
        <v>230019027</v>
      </c>
      <c r="E1313" s="2">
        <v>196001400030</v>
      </c>
      <c r="F1313" s="1" t="s">
        <v>647</v>
      </c>
      <c r="G1313" s="1" t="s">
        <v>53</v>
      </c>
      <c r="H1313" s="1" t="s">
        <v>1060</v>
      </c>
      <c r="I1313" s="1" t="s">
        <v>1061</v>
      </c>
      <c r="J1313" s="1" t="s">
        <v>79</v>
      </c>
      <c r="K1313" t="s">
        <v>650</v>
      </c>
      <c r="M1313" s="1" t="s">
        <v>58</v>
      </c>
      <c r="N1313" s="1">
        <v>0</v>
      </c>
      <c r="O1313" s="1" t="s">
        <v>105</v>
      </c>
      <c r="P1313" s="11" t="s">
        <v>2280</v>
      </c>
      <c r="R1313" s="1">
        <v>4</v>
      </c>
      <c r="T1313" s="1" t="s">
        <v>646</v>
      </c>
      <c r="U1313" s="11" t="s">
        <v>2281</v>
      </c>
      <c r="V1313" s="1" t="s">
        <v>41</v>
      </c>
      <c r="W1313" s="1" t="s">
        <v>49</v>
      </c>
    </row>
    <row r="1314" spans="1:23">
      <c r="A1314" s="1">
        <v>9417399</v>
      </c>
      <c r="B1314" s="1" t="s">
        <v>101</v>
      </c>
      <c r="C1314" t="s">
        <v>643</v>
      </c>
      <c r="D1314" s="2">
        <v>230019038</v>
      </c>
      <c r="E1314" s="2">
        <v>246001400030</v>
      </c>
      <c r="F1314" s="1" t="s">
        <v>647</v>
      </c>
      <c r="G1314" s="1" t="s">
        <v>53</v>
      </c>
      <c r="H1314" s="1" t="s">
        <v>1193</v>
      </c>
      <c r="I1314" s="1" t="s">
        <v>1194</v>
      </c>
      <c r="J1314" s="1" t="s">
        <v>85</v>
      </c>
      <c r="K1314" t="s">
        <v>650</v>
      </c>
      <c r="M1314" s="1" t="s">
        <v>58</v>
      </c>
      <c r="N1314" s="1">
        <v>0</v>
      </c>
      <c r="O1314" s="1" t="s">
        <v>105</v>
      </c>
      <c r="P1314" s="11" t="s">
        <v>3069</v>
      </c>
      <c r="R1314" s="1">
        <v>4</v>
      </c>
      <c r="T1314" s="1" t="s">
        <v>646</v>
      </c>
      <c r="U1314" s="186">
        <v>44959.33148148148</v>
      </c>
      <c r="V1314" s="1" t="s">
        <v>41</v>
      </c>
      <c r="W1314" s="1" t="s">
        <v>49</v>
      </c>
    </row>
    <row r="1315" spans="1:23" hidden="1">
      <c r="A1315" s="1">
        <v>9417398</v>
      </c>
      <c r="B1315" s="1" t="s">
        <v>101</v>
      </c>
      <c r="C1315" t="s">
        <v>643</v>
      </c>
      <c r="D1315" s="2">
        <v>230019037</v>
      </c>
      <c r="E1315" s="2">
        <v>244001400030</v>
      </c>
      <c r="F1315" s="1" t="s">
        <v>647</v>
      </c>
      <c r="G1315" s="1" t="s">
        <v>53</v>
      </c>
      <c r="H1315" s="1" t="s">
        <v>313</v>
      </c>
      <c r="I1315" s="1" t="s">
        <v>314</v>
      </c>
      <c r="J1315" s="1" t="s">
        <v>56</v>
      </c>
      <c r="K1315" t="s">
        <v>650</v>
      </c>
      <c r="M1315" s="1" t="s">
        <v>58</v>
      </c>
      <c r="N1315" s="1">
        <v>0</v>
      </c>
      <c r="O1315" s="1" t="s">
        <v>105</v>
      </c>
      <c r="P1315" s="11" t="s">
        <v>3070</v>
      </c>
      <c r="R1315" s="1">
        <v>4</v>
      </c>
      <c r="T1315" s="1" t="s">
        <v>646</v>
      </c>
      <c r="U1315" s="186">
        <v>44959.331423611111</v>
      </c>
      <c r="V1315" s="1" t="s">
        <v>41</v>
      </c>
      <c r="W1315" s="1" t="s">
        <v>49</v>
      </c>
    </row>
    <row r="1316" spans="1:23" hidden="1">
      <c r="A1316" s="1">
        <v>9417212</v>
      </c>
      <c r="B1316" s="1" t="s">
        <v>101</v>
      </c>
      <c r="C1316" t="s">
        <v>643</v>
      </c>
      <c r="D1316" s="2">
        <v>230018456</v>
      </c>
      <c r="E1316" s="2">
        <v>2988001400010</v>
      </c>
      <c r="F1316" s="1" t="s">
        <v>936</v>
      </c>
      <c r="G1316" s="1" t="s">
        <v>53</v>
      </c>
      <c r="H1316" s="1" t="s">
        <v>536</v>
      </c>
      <c r="I1316" s="1" t="s">
        <v>537</v>
      </c>
      <c r="J1316" s="1" t="s">
        <v>46</v>
      </c>
      <c r="K1316" t="s">
        <v>937</v>
      </c>
      <c r="M1316" s="1" t="s">
        <v>58</v>
      </c>
      <c r="N1316" s="1">
        <v>0</v>
      </c>
      <c r="O1316" s="1" t="s">
        <v>105</v>
      </c>
      <c r="P1316" s="11" t="s">
        <v>2282</v>
      </c>
      <c r="R1316" s="1">
        <v>3</v>
      </c>
      <c r="T1316" s="1" t="s">
        <v>646</v>
      </c>
      <c r="U1316" s="186">
        <v>44959.319374999999</v>
      </c>
      <c r="V1316" s="1" t="s">
        <v>41</v>
      </c>
      <c r="W1316" s="1" t="s">
        <v>49</v>
      </c>
    </row>
    <row r="1317" spans="1:23" hidden="1">
      <c r="A1317" s="1">
        <v>9417149</v>
      </c>
      <c r="B1317" s="1" t="s">
        <v>101</v>
      </c>
      <c r="C1317" t="s">
        <v>643</v>
      </c>
      <c r="D1317" s="2">
        <v>230018509</v>
      </c>
      <c r="E1317" s="2">
        <v>3108011400010</v>
      </c>
      <c r="F1317" s="1" t="s">
        <v>936</v>
      </c>
      <c r="G1317" s="1" t="s">
        <v>53</v>
      </c>
      <c r="H1317" s="1" t="s">
        <v>503</v>
      </c>
      <c r="I1317" s="1" t="s">
        <v>504</v>
      </c>
      <c r="J1317" s="1" t="s">
        <v>46</v>
      </c>
      <c r="K1317" t="s">
        <v>937</v>
      </c>
      <c r="M1317" s="1" t="s">
        <v>58</v>
      </c>
      <c r="N1317" s="1">
        <v>0</v>
      </c>
      <c r="O1317" s="1" t="s">
        <v>105</v>
      </c>
      <c r="P1317" s="11" t="s">
        <v>2284</v>
      </c>
      <c r="R1317" s="1">
        <v>3</v>
      </c>
      <c r="T1317" s="1" t="s">
        <v>646</v>
      </c>
      <c r="U1317" s="186">
        <v>44959.315439814818</v>
      </c>
      <c r="V1317" s="1" t="s">
        <v>41</v>
      </c>
      <c r="W1317" s="1" t="s">
        <v>49</v>
      </c>
    </row>
    <row r="1318" spans="1:23">
      <c r="A1318" s="1">
        <v>9417113</v>
      </c>
      <c r="B1318" s="1" t="s">
        <v>101</v>
      </c>
      <c r="C1318" t="s">
        <v>643</v>
      </c>
      <c r="D1318" s="2">
        <v>230018311</v>
      </c>
      <c r="E1318" s="2">
        <v>2590001400010</v>
      </c>
      <c r="F1318" s="1" t="s">
        <v>936</v>
      </c>
      <c r="G1318" s="1" t="s">
        <v>53</v>
      </c>
      <c r="H1318" s="1" t="s">
        <v>394</v>
      </c>
      <c r="I1318" s="1" t="s">
        <v>395</v>
      </c>
      <c r="J1318" s="1" t="s">
        <v>148</v>
      </c>
      <c r="K1318" t="s">
        <v>937</v>
      </c>
      <c r="M1318" s="1" t="s">
        <v>58</v>
      </c>
      <c r="N1318" s="1">
        <v>0</v>
      </c>
      <c r="O1318" s="1" t="s">
        <v>105</v>
      </c>
      <c r="P1318" s="11" t="s">
        <v>2286</v>
      </c>
      <c r="R1318" s="1">
        <v>3</v>
      </c>
      <c r="T1318" s="1" t="s">
        <v>646</v>
      </c>
      <c r="U1318" s="186">
        <v>44959.312662037039</v>
      </c>
      <c r="V1318" s="1" t="s">
        <v>41</v>
      </c>
      <c r="W1318" s="1" t="s">
        <v>49</v>
      </c>
    </row>
    <row r="1319" spans="1:23">
      <c r="A1319" s="1">
        <v>9417043</v>
      </c>
      <c r="B1319" s="1" t="s">
        <v>101</v>
      </c>
      <c r="C1319" t="s">
        <v>643</v>
      </c>
      <c r="D1319" s="2">
        <v>230018262</v>
      </c>
      <c r="E1319" s="2">
        <v>2422001400010</v>
      </c>
      <c r="F1319" s="1" t="s">
        <v>936</v>
      </c>
      <c r="G1319" s="1" t="s">
        <v>53</v>
      </c>
      <c r="H1319" s="1" t="s">
        <v>1844</v>
      </c>
      <c r="I1319" s="1" t="s">
        <v>1845</v>
      </c>
      <c r="J1319" s="1" t="s">
        <v>211</v>
      </c>
      <c r="K1319" t="s">
        <v>937</v>
      </c>
      <c r="M1319" s="1" t="s">
        <v>58</v>
      </c>
      <c r="N1319" s="1">
        <v>0</v>
      </c>
      <c r="O1319" s="1" t="s">
        <v>105</v>
      </c>
      <c r="P1319" s="11" t="s">
        <v>2288</v>
      </c>
      <c r="R1319" s="1">
        <v>3</v>
      </c>
      <c r="T1319" s="1" t="s">
        <v>646</v>
      </c>
      <c r="U1319" s="186">
        <v>44959.308923611112</v>
      </c>
      <c r="V1319" s="1" t="s">
        <v>41</v>
      </c>
      <c r="W1319" s="1" t="s">
        <v>49</v>
      </c>
    </row>
    <row r="1320" spans="1:23" hidden="1">
      <c r="A1320" s="1">
        <v>9416985</v>
      </c>
      <c r="B1320" s="1" t="s">
        <v>101</v>
      </c>
      <c r="C1320" t="s">
        <v>643</v>
      </c>
      <c r="D1320" s="2">
        <v>230018075</v>
      </c>
      <c r="E1320" s="2">
        <v>1838001400010</v>
      </c>
      <c r="F1320" s="1" t="s">
        <v>936</v>
      </c>
      <c r="G1320" s="1" t="s">
        <v>53</v>
      </c>
      <c r="H1320" s="1" t="s">
        <v>357</v>
      </c>
      <c r="I1320" s="1" t="s">
        <v>358</v>
      </c>
      <c r="J1320" s="1" t="s">
        <v>46</v>
      </c>
      <c r="K1320" t="s">
        <v>937</v>
      </c>
      <c r="M1320" s="1" t="s">
        <v>58</v>
      </c>
      <c r="N1320" s="1">
        <v>0</v>
      </c>
      <c r="O1320" s="1" t="s">
        <v>105</v>
      </c>
      <c r="P1320" s="11" t="s">
        <v>2290</v>
      </c>
      <c r="R1320" s="1">
        <v>3</v>
      </c>
      <c r="T1320" s="1" t="s">
        <v>646</v>
      </c>
      <c r="U1320" s="186">
        <v>44959.306064814817</v>
      </c>
      <c r="V1320" s="1" t="s">
        <v>41</v>
      </c>
      <c r="W1320" s="1" t="s">
        <v>49</v>
      </c>
    </row>
    <row r="1321" spans="1:23" hidden="1">
      <c r="A1321" s="1">
        <v>9416984</v>
      </c>
      <c r="B1321" s="1" t="s">
        <v>101</v>
      </c>
      <c r="C1321" t="s">
        <v>643</v>
      </c>
      <c r="D1321" s="2">
        <v>230018074</v>
      </c>
      <c r="E1321" s="2">
        <v>1837001400010</v>
      </c>
      <c r="F1321" s="1" t="s">
        <v>936</v>
      </c>
      <c r="G1321" s="1" t="s">
        <v>53</v>
      </c>
      <c r="H1321" s="1" t="s">
        <v>1785</v>
      </c>
      <c r="I1321" s="1" t="s">
        <v>1786</v>
      </c>
      <c r="J1321" s="1" t="s">
        <v>46</v>
      </c>
      <c r="K1321" t="s">
        <v>937</v>
      </c>
      <c r="M1321" s="1" t="s">
        <v>58</v>
      </c>
      <c r="N1321" s="1">
        <v>0</v>
      </c>
      <c r="O1321" s="1" t="s">
        <v>105</v>
      </c>
      <c r="P1321" s="11" t="s">
        <v>2292</v>
      </c>
      <c r="R1321" s="1">
        <v>3</v>
      </c>
      <c r="T1321" s="1" t="s">
        <v>646</v>
      </c>
      <c r="U1321" s="186">
        <v>44959.305995370371</v>
      </c>
      <c r="V1321" s="1" t="s">
        <v>41</v>
      </c>
      <c r="W1321" s="1" t="s">
        <v>49</v>
      </c>
    </row>
    <row r="1322" spans="1:23" hidden="1">
      <c r="A1322" s="1">
        <v>9416983</v>
      </c>
      <c r="B1322" s="1" t="s">
        <v>101</v>
      </c>
      <c r="C1322" t="s">
        <v>643</v>
      </c>
      <c r="D1322" s="2">
        <v>230018073</v>
      </c>
      <c r="E1322" s="2">
        <v>1836001400010</v>
      </c>
      <c r="F1322" s="1" t="s">
        <v>936</v>
      </c>
      <c r="G1322" s="1" t="s">
        <v>53</v>
      </c>
      <c r="H1322" s="1" t="s">
        <v>455</v>
      </c>
      <c r="I1322" s="1" t="s">
        <v>456</v>
      </c>
      <c r="J1322" s="1" t="s">
        <v>46</v>
      </c>
      <c r="K1322" t="s">
        <v>937</v>
      </c>
      <c r="M1322" s="1" t="s">
        <v>58</v>
      </c>
      <c r="N1322" s="1">
        <v>0</v>
      </c>
      <c r="O1322" s="1" t="s">
        <v>105</v>
      </c>
      <c r="P1322" s="11" t="s">
        <v>2294</v>
      </c>
      <c r="R1322" s="1">
        <v>3</v>
      </c>
      <c r="T1322" s="1" t="s">
        <v>646</v>
      </c>
      <c r="U1322" s="186">
        <v>44959.305937500001</v>
      </c>
      <c r="V1322" s="1" t="s">
        <v>41</v>
      </c>
      <c r="W1322" s="1" t="s">
        <v>49</v>
      </c>
    </row>
    <row r="1323" spans="1:23" hidden="1">
      <c r="A1323" s="1">
        <v>9416982</v>
      </c>
      <c r="B1323" s="1" t="s">
        <v>101</v>
      </c>
      <c r="C1323" t="s">
        <v>643</v>
      </c>
      <c r="D1323" s="2">
        <v>230018072</v>
      </c>
      <c r="E1323" s="2">
        <v>1835001400010</v>
      </c>
      <c r="F1323" s="1" t="s">
        <v>936</v>
      </c>
      <c r="G1323" s="1" t="s">
        <v>53</v>
      </c>
      <c r="H1323" s="1" t="s">
        <v>305</v>
      </c>
      <c r="I1323" s="1" t="s">
        <v>306</v>
      </c>
      <c r="J1323" s="1" t="s">
        <v>46</v>
      </c>
      <c r="K1323" t="s">
        <v>937</v>
      </c>
      <c r="M1323" s="1" t="s">
        <v>58</v>
      </c>
      <c r="N1323" s="1">
        <v>0</v>
      </c>
      <c r="O1323" s="1" t="s">
        <v>105</v>
      </c>
      <c r="P1323" s="11" t="s">
        <v>2296</v>
      </c>
      <c r="R1323" s="1">
        <v>3</v>
      </c>
      <c r="T1323" s="1" t="s">
        <v>646</v>
      </c>
      <c r="U1323" s="186">
        <v>44959.305891203701</v>
      </c>
      <c r="V1323" s="1" t="s">
        <v>41</v>
      </c>
      <c r="W1323" s="1" t="s">
        <v>49</v>
      </c>
    </row>
    <row r="1324" spans="1:23" hidden="1">
      <c r="A1324" s="1">
        <v>9416981</v>
      </c>
      <c r="B1324" s="1" t="s">
        <v>101</v>
      </c>
      <c r="C1324" t="s">
        <v>643</v>
      </c>
      <c r="D1324" s="2">
        <v>230018071</v>
      </c>
      <c r="E1324" s="2">
        <v>1833041400010</v>
      </c>
      <c r="F1324" s="1" t="s">
        <v>936</v>
      </c>
      <c r="G1324" s="1" t="s">
        <v>53</v>
      </c>
      <c r="H1324" s="1" t="s">
        <v>811</v>
      </c>
      <c r="I1324" s="1" t="s">
        <v>812</v>
      </c>
      <c r="J1324" s="1" t="s">
        <v>46</v>
      </c>
      <c r="K1324" t="s">
        <v>937</v>
      </c>
      <c r="M1324" s="1" t="s">
        <v>58</v>
      </c>
      <c r="N1324" s="1">
        <v>0</v>
      </c>
      <c r="O1324" s="1" t="s">
        <v>105</v>
      </c>
      <c r="P1324" s="11" t="s">
        <v>3071</v>
      </c>
      <c r="R1324" s="1">
        <v>3</v>
      </c>
      <c r="T1324" s="1" t="s">
        <v>646</v>
      </c>
      <c r="U1324" s="186">
        <v>44959.305844907409</v>
      </c>
      <c r="V1324" s="1" t="s">
        <v>41</v>
      </c>
      <c r="W1324" s="1" t="s">
        <v>49</v>
      </c>
    </row>
    <row r="1325" spans="1:23" hidden="1">
      <c r="A1325" s="1">
        <v>9416980</v>
      </c>
      <c r="B1325" s="1" t="s">
        <v>101</v>
      </c>
      <c r="C1325" t="s">
        <v>643</v>
      </c>
      <c r="D1325" s="2">
        <v>230018070</v>
      </c>
      <c r="E1325" s="2">
        <v>1833001400010</v>
      </c>
      <c r="F1325" s="1" t="s">
        <v>936</v>
      </c>
      <c r="G1325" s="1" t="s">
        <v>53</v>
      </c>
      <c r="H1325" s="1" t="s">
        <v>369</v>
      </c>
      <c r="I1325" s="1" t="s">
        <v>370</v>
      </c>
      <c r="J1325" s="1" t="s">
        <v>46</v>
      </c>
      <c r="K1325" t="s">
        <v>937</v>
      </c>
      <c r="M1325" s="1" t="s">
        <v>58</v>
      </c>
      <c r="N1325" s="1">
        <v>0</v>
      </c>
      <c r="O1325" s="1" t="s">
        <v>105</v>
      </c>
      <c r="P1325" s="11" t="s">
        <v>2298</v>
      </c>
      <c r="R1325" s="1">
        <v>3</v>
      </c>
      <c r="T1325" s="1" t="s">
        <v>646</v>
      </c>
      <c r="U1325" s="186">
        <v>44959.305787037039</v>
      </c>
      <c r="V1325" s="1" t="s">
        <v>41</v>
      </c>
      <c r="W1325" s="1" t="s">
        <v>49</v>
      </c>
    </row>
    <row r="1326" spans="1:23" hidden="1">
      <c r="A1326" s="1">
        <v>9416969</v>
      </c>
      <c r="B1326" s="1" t="s">
        <v>101</v>
      </c>
      <c r="C1326" t="s">
        <v>643</v>
      </c>
      <c r="D1326" s="2">
        <v>230018063</v>
      </c>
      <c r="E1326" s="2">
        <v>1814031400010</v>
      </c>
      <c r="F1326" s="1" t="s">
        <v>936</v>
      </c>
      <c r="G1326" s="1" t="s">
        <v>53</v>
      </c>
      <c r="H1326" s="1" t="s">
        <v>719</v>
      </c>
      <c r="I1326" s="1" t="s">
        <v>188</v>
      </c>
      <c r="J1326" s="1" t="s">
        <v>46</v>
      </c>
      <c r="K1326" t="s">
        <v>937</v>
      </c>
      <c r="M1326" s="1" t="s">
        <v>58</v>
      </c>
      <c r="N1326" s="1">
        <v>0</v>
      </c>
      <c r="O1326" s="1" t="s">
        <v>105</v>
      </c>
      <c r="P1326" s="11" t="s">
        <v>3072</v>
      </c>
      <c r="R1326" s="1">
        <v>3</v>
      </c>
      <c r="T1326" s="1" t="s">
        <v>646</v>
      </c>
      <c r="U1326" s="186">
        <v>44959.305428240739</v>
      </c>
      <c r="V1326" s="1" t="s">
        <v>41</v>
      </c>
      <c r="W1326" s="1" t="s">
        <v>49</v>
      </c>
    </row>
    <row r="1327" spans="1:23" hidden="1">
      <c r="A1327" s="1">
        <v>9416968</v>
      </c>
      <c r="B1327" s="1" t="s">
        <v>101</v>
      </c>
      <c r="C1327" t="s">
        <v>643</v>
      </c>
      <c r="D1327" s="2">
        <v>230018062</v>
      </c>
      <c r="E1327" s="2">
        <v>1814001400010</v>
      </c>
      <c r="F1327" s="1" t="s">
        <v>936</v>
      </c>
      <c r="G1327" s="1" t="s">
        <v>53</v>
      </c>
      <c r="H1327" s="1" t="s">
        <v>396</v>
      </c>
      <c r="I1327" s="1" t="s">
        <v>397</v>
      </c>
      <c r="J1327" s="1" t="s">
        <v>46</v>
      </c>
      <c r="K1327" t="s">
        <v>937</v>
      </c>
      <c r="M1327" s="1" t="s">
        <v>58</v>
      </c>
      <c r="N1327" s="1">
        <v>0</v>
      </c>
      <c r="O1327" s="1" t="s">
        <v>105</v>
      </c>
      <c r="P1327" s="11" t="s">
        <v>3073</v>
      </c>
      <c r="R1327" s="1">
        <v>3</v>
      </c>
      <c r="T1327" s="1" t="s">
        <v>646</v>
      </c>
      <c r="U1327" s="186">
        <v>44959.30537037037</v>
      </c>
      <c r="V1327" s="1" t="s">
        <v>41</v>
      </c>
      <c r="W1327" s="1" t="s">
        <v>49</v>
      </c>
    </row>
    <row r="1328" spans="1:23">
      <c r="A1328" s="1">
        <v>9416942</v>
      </c>
      <c r="B1328" s="1" t="s">
        <v>101</v>
      </c>
      <c r="C1328" t="s">
        <v>643</v>
      </c>
      <c r="D1328" s="2">
        <v>230018044</v>
      </c>
      <c r="E1328" s="2">
        <v>1764001400010</v>
      </c>
      <c r="F1328" s="1" t="s">
        <v>936</v>
      </c>
      <c r="G1328" s="1" t="s">
        <v>53</v>
      </c>
      <c r="H1328" s="1" t="s">
        <v>722</v>
      </c>
      <c r="I1328" s="1" t="s">
        <v>723</v>
      </c>
      <c r="J1328" s="1" t="s">
        <v>90</v>
      </c>
      <c r="K1328" t="s">
        <v>937</v>
      </c>
      <c r="M1328" s="1" t="s">
        <v>58</v>
      </c>
      <c r="N1328" s="1">
        <v>0</v>
      </c>
      <c r="O1328" s="1" t="s">
        <v>105</v>
      </c>
      <c r="P1328" s="11" t="s">
        <v>2300</v>
      </c>
      <c r="R1328" s="1">
        <v>3</v>
      </c>
      <c r="T1328" s="1" t="s">
        <v>646</v>
      </c>
      <c r="U1328" s="186">
        <v>44959.304444444446</v>
      </c>
      <c r="V1328" s="1" t="s">
        <v>41</v>
      </c>
      <c r="W1328" s="1" t="s">
        <v>49</v>
      </c>
    </row>
    <row r="1329" spans="1:23" hidden="1">
      <c r="A1329" s="1">
        <v>9416933</v>
      </c>
      <c r="B1329" s="1" t="s">
        <v>101</v>
      </c>
      <c r="C1329" t="s">
        <v>643</v>
      </c>
      <c r="D1329" s="2">
        <v>230018135</v>
      </c>
      <c r="E1329" s="2">
        <v>2138001400010</v>
      </c>
      <c r="F1329" s="1" t="s">
        <v>936</v>
      </c>
      <c r="G1329" s="1" t="s">
        <v>53</v>
      </c>
      <c r="H1329" s="1" t="s">
        <v>379</v>
      </c>
      <c r="I1329" s="1" t="s">
        <v>380</v>
      </c>
      <c r="J1329" s="1" t="s">
        <v>46</v>
      </c>
      <c r="K1329" t="s">
        <v>937</v>
      </c>
      <c r="M1329" s="1" t="s">
        <v>58</v>
      </c>
      <c r="N1329" s="1">
        <v>0</v>
      </c>
      <c r="O1329" s="1" t="s">
        <v>105</v>
      </c>
      <c r="P1329" s="11" t="s">
        <v>3074</v>
      </c>
      <c r="R1329" s="1">
        <v>3</v>
      </c>
      <c r="T1329" s="1" t="s">
        <v>646</v>
      </c>
      <c r="U1329" s="186">
        <v>44959.303981481484</v>
      </c>
      <c r="V1329" s="1" t="s">
        <v>41</v>
      </c>
      <c r="W1329" s="1" t="s">
        <v>49</v>
      </c>
    </row>
    <row r="1330" spans="1:23" hidden="1">
      <c r="A1330" s="1">
        <v>9416921</v>
      </c>
      <c r="B1330" s="1" t="s">
        <v>101</v>
      </c>
      <c r="C1330" t="s">
        <v>643</v>
      </c>
      <c r="D1330" s="2">
        <v>230018123</v>
      </c>
      <c r="E1330" s="2">
        <v>2107001400010</v>
      </c>
      <c r="F1330" s="1" t="s">
        <v>936</v>
      </c>
      <c r="G1330" s="1" t="s">
        <v>53</v>
      </c>
      <c r="H1330" s="1" t="s">
        <v>262</v>
      </c>
      <c r="I1330" s="1" t="s">
        <v>263</v>
      </c>
      <c r="J1330" s="1" t="s">
        <v>164</v>
      </c>
      <c r="K1330" t="s">
        <v>937</v>
      </c>
      <c r="M1330" s="1" t="s">
        <v>58</v>
      </c>
      <c r="N1330" s="1">
        <v>0</v>
      </c>
      <c r="O1330" s="1" t="s">
        <v>105</v>
      </c>
      <c r="P1330" s="11" t="s">
        <v>2303</v>
      </c>
      <c r="R1330" s="1">
        <v>3</v>
      </c>
      <c r="T1330" s="1" t="s">
        <v>646</v>
      </c>
      <c r="U1330" s="186">
        <v>44959.303344907406</v>
      </c>
      <c r="V1330" s="1" t="s">
        <v>41</v>
      </c>
      <c r="W1330" s="1" t="s">
        <v>49</v>
      </c>
    </row>
    <row r="1331" spans="1:23">
      <c r="A1331" s="1">
        <v>9416908</v>
      </c>
      <c r="B1331" s="1" t="s">
        <v>101</v>
      </c>
      <c r="C1331" t="s">
        <v>643</v>
      </c>
      <c r="D1331" s="2">
        <v>230018110</v>
      </c>
      <c r="E1331" s="2">
        <v>2069001400010</v>
      </c>
      <c r="F1331" s="1" t="s">
        <v>936</v>
      </c>
      <c r="G1331" s="1" t="s">
        <v>53</v>
      </c>
      <c r="H1331" s="1" t="s">
        <v>557</v>
      </c>
      <c r="I1331" s="1" t="s">
        <v>558</v>
      </c>
      <c r="J1331" s="1" t="s">
        <v>90</v>
      </c>
      <c r="K1331" t="s">
        <v>937</v>
      </c>
      <c r="M1331" s="1" t="s">
        <v>58</v>
      </c>
      <c r="N1331" s="1">
        <v>0</v>
      </c>
      <c r="O1331" s="1" t="s">
        <v>105</v>
      </c>
      <c r="P1331" s="11" t="s">
        <v>2304</v>
      </c>
      <c r="R1331" s="1">
        <v>3</v>
      </c>
      <c r="T1331" s="1" t="s">
        <v>646</v>
      </c>
      <c r="U1331" s="186">
        <v>44959.302662037036</v>
      </c>
      <c r="V1331" s="1" t="s">
        <v>41</v>
      </c>
      <c r="W1331" s="1" t="s">
        <v>49</v>
      </c>
    </row>
    <row r="1332" spans="1:23" hidden="1">
      <c r="A1332" s="1">
        <v>9416899</v>
      </c>
      <c r="B1332" s="1" t="s">
        <v>101</v>
      </c>
      <c r="C1332" t="s">
        <v>643</v>
      </c>
      <c r="D1332" s="2">
        <v>230018101</v>
      </c>
      <c r="E1332" s="2">
        <v>2039001400010</v>
      </c>
      <c r="F1332" s="1" t="s">
        <v>936</v>
      </c>
      <c r="G1332" s="1" t="s">
        <v>53</v>
      </c>
      <c r="H1332" s="1" t="s">
        <v>1943</v>
      </c>
      <c r="I1332" s="1" t="s">
        <v>1944</v>
      </c>
      <c r="J1332" s="1" t="s">
        <v>110</v>
      </c>
      <c r="K1332" t="s">
        <v>937</v>
      </c>
      <c r="M1332" s="1" t="s">
        <v>58</v>
      </c>
      <c r="N1332" s="1">
        <v>0</v>
      </c>
      <c r="O1332" s="1" t="s">
        <v>36</v>
      </c>
      <c r="P1332" s="11" t="s">
        <v>2306</v>
      </c>
      <c r="R1332" s="1">
        <v>3</v>
      </c>
      <c r="T1332" s="1" t="s">
        <v>646</v>
      </c>
      <c r="U1332" s="186">
        <v>44959.302175925928</v>
      </c>
      <c r="V1332" s="1" t="s">
        <v>41</v>
      </c>
      <c r="W1332" s="1" t="s">
        <v>49</v>
      </c>
    </row>
    <row r="1333" spans="1:23" hidden="1">
      <c r="A1333" s="1">
        <v>9416812</v>
      </c>
      <c r="B1333" s="1" t="s">
        <v>101</v>
      </c>
      <c r="C1333" t="s">
        <v>643</v>
      </c>
      <c r="D1333" s="2">
        <v>230017885</v>
      </c>
      <c r="E1333" s="2">
        <v>1421001400010</v>
      </c>
      <c r="F1333" s="1" t="s">
        <v>936</v>
      </c>
      <c r="G1333" s="1" t="s">
        <v>53</v>
      </c>
      <c r="H1333" s="1" t="s">
        <v>179</v>
      </c>
      <c r="I1333" s="1" t="s">
        <v>180</v>
      </c>
      <c r="J1333" s="1" t="s">
        <v>79</v>
      </c>
      <c r="K1333" t="s">
        <v>937</v>
      </c>
      <c r="M1333" s="1" t="s">
        <v>58</v>
      </c>
      <c r="N1333" s="1">
        <v>0</v>
      </c>
      <c r="O1333" s="1" t="s">
        <v>105</v>
      </c>
      <c r="P1333" s="11" t="s">
        <v>2308</v>
      </c>
      <c r="R1333" s="1">
        <v>3</v>
      </c>
      <c r="T1333" s="1" t="s">
        <v>646</v>
      </c>
      <c r="U1333" s="186">
        <v>44959.298020833332</v>
      </c>
      <c r="V1333" s="1" t="s">
        <v>41</v>
      </c>
      <c r="W1333" s="1" t="s">
        <v>49</v>
      </c>
    </row>
    <row r="1334" spans="1:23">
      <c r="A1334" s="1">
        <v>9416765</v>
      </c>
      <c r="B1334" s="1" t="s">
        <v>101</v>
      </c>
      <c r="C1334" t="s">
        <v>643</v>
      </c>
      <c r="D1334" s="2">
        <v>230017755</v>
      </c>
      <c r="E1334" s="2">
        <v>1059001400010</v>
      </c>
      <c r="F1334" s="1" t="s">
        <v>936</v>
      </c>
      <c r="G1334" s="1" t="s">
        <v>53</v>
      </c>
      <c r="H1334" s="1" t="s">
        <v>88</v>
      </c>
      <c r="I1334" s="1" t="s">
        <v>89</v>
      </c>
      <c r="J1334" s="1" t="s">
        <v>90</v>
      </c>
      <c r="K1334" t="s">
        <v>937</v>
      </c>
      <c r="M1334" s="1" t="s">
        <v>58</v>
      </c>
      <c r="N1334" s="1">
        <v>0</v>
      </c>
      <c r="O1334" s="1" t="s">
        <v>105</v>
      </c>
      <c r="P1334" s="11" t="s">
        <v>2310</v>
      </c>
      <c r="R1334" s="1">
        <v>3</v>
      </c>
      <c r="T1334" s="1" t="s">
        <v>646</v>
      </c>
      <c r="U1334" s="186">
        <v>44959.295763888891</v>
      </c>
      <c r="V1334" s="1" t="s">
        <v>41</v>
      </c>
      <c r="W1334" s="1" t="s">
        <v>49</v>
      </c>
    </row>
    <row r="1335" spans="1:23" hidden="1">
      <c r="A1335" s="1">
        <v>9416764</v>
      </c>
      <c r="B1335" s="1" t="s">
        <v>101</v>
      </c>
      <c r="C1335" t="s">
        <v>643</v>
      </c>
      <c r="D1335" s="2">
        <v>230017754</v>
      </c>
      <c r="E1335" s="2">
        <v>1058001400010</v>
      </c>
      <c r="F1335" s="1" t="s">
        <v>936</v>
      </c>
      <c r="G1335" s="1" t="s">
        <v>53</v>
      </c>
      <c r="H1335" s="1" t="s">
        <v>289</v>
      </c>
      <c r="I1335" s="1" t="s">
        <v>290</v>
      </c>
      <c r="J1335" s="1" t="s">
        <v>56</v>
      </c>
      <c r="K1335" t="s">
        <v>937</v>
      </c>
      <c r="M1335" s="1" t="s">
        <v>58</v>
      </c>
      <c r="N1335" s="1">
        <v>0</v>
      </c>
      <c r="O1335" s="1" t="s">
        <v>105</v>
      </c>
      <c r="P1335" s="11" t="s">
        <v>3075</v>
      </c>
      <c r="R1335" s="1">
        <v>3</v>
      </c>
      <c r="T1335" s="1" t="s">
        <v>646</v>
      </c>
      <c r="U1335" s="11" t="s">
        <v>3076</v>
      </c>
      <c r="V1335" s="1" t="s">
        <v>41</v>
      </c>
      <c r="W1335" s="1" t="s">
        <v>49</v>
      </c>
    </row>
    <row r="1336" spans="1:23">
      <c r="A1336" s="1">
        <v>9416746</v>
      </c>
      <c r="B1336" s="1" t="s">
        <v>101</v>
      </c>
      <c r="C1336" t="s">
        <v>643</v>
      </c>
      <c r="D1336" s="2">
        <v>230017740</v>
      </c>
      <c r="E1336" s="2">
        <v>1028001400010</v>
      </c>
      <c r="F1336" s="1" t="s">
        <v>936</v>
      </c>
      <c r="G1336" s="1" t="s">
        <v>53</v>
      </c>
      <c r="H1336" s="1" t="s">
        <v>1079</v>
      </c>
      <c r="I1336" s="1" t="s">
        <v>1080</v>
      </c>
      <c r="J1336" s="1" t="s">
        <v>85</v>
      </c>
      <c r="K1336" t="s">
        <v>937</v>
      </c>
      <c r="M1336" s="1" t="s">
        <v>58</v>
      </c>
      <c r="N1336" s="1">
        <v>0</v>
      </c>
      <c r="O1336" s="1" t="s">
        <v>105</v>
      </c>
      <c r="P1336" s="11" t="s">
        <v>2312</v>
      </c>
      <c r="R1336" s="1">
        <v>3</v>
      </c>
      <c r="T1336" s="1" t="s">
        <v>646</v>
      </c>
      <c r="U1336" s="11" t="s">
        <v>2313</v>
      </c>
      <c r="V1336" s="1" t="s">
        <v>41</v>
      </c>
      <c r="W1336" s="1" t="s">
        <v>49</v>
      </c>
    </row>
    <row r="1337" spans="1:23" hidden="1">
      <c r="A1337" s="1">
        <v>9416712</v>
      </c>
      <c r="B1337" s="1" t="s">
        <v>101</v>
      </c>
      <c r="C1337" t="s">
        <v>643</v>
      </c>
      <c r="D1337" s="2">
        <v>230017714</v>
      </c>
      <c r="E1337" s="2">
        <v>963001400010</v>
      </c>
      <c r="F1337" s="1" t="s">
        <v>936</v>
      </c>
      <c r="G1337" s="1" t="s">
        <v>53</v>
      </c>
      <c r="H1337" s="1" t="s">
        <v>531</v>
      </c>
      <c r="I1337" s="1" t="s">
        <v>532</v>
      </c>
      <c r="J1337" s="1" t="s">
        <v>33</v>
      </c>
      <c r="K1337" t="s">
        <v>937</v>
      </c>
      <c r="M1337" s="1" t="s">
        <v>58</v>
      </c>
      <c r="N1337" s="1">
        <v>0</v>
      </c>
      <c r="O1337" s="1" t="s">
        <v>105</v>
      </c>
      <c r="P1337" s="11" t="s">
        <v>3077</v>
      </c>
      <c r="R1337" s="1">
        <v>3</v>
      </c>
      <c r="T1337" s="1" t="s">
        <v>646</v>
      </c>
      <c r="U1337" s="11" t="s">
        <v>3078</v>
      </c>
      <c r="V1337" s="1" t="s">
        <v>41</v>
      </c>
      <c r="W1337" s="1" t="s">
        <v>49</v>
      </c>
    </row>
    <row r="1338" spans="1:23" hidden="1">
      <c r="A1338" s="1">
        <v>9416578</v>
      </c>
      <c r="B1338" s="1" t="s">
        <v>101</v>
      </c>
      <c r="C1338" t="s">
        <v>643</v>
      </c>
      <c r="D1338" s="2">
        <v>230017619</v>
      </c>
      <c r="E1338" s="2">
        <v>711001400010</v>
      </c>
      <c r="F1338" s="1" t="s">
        <v>936</v>
      </c>
      <c r="G1338" s="1" t="s">
        <v>53</v>
      </c>
      <c r="H1338" s="1" t="s">
        <v>77</v>
      </c>
      <c r="I1338" s="1" t="s">
        <v>78</v>
      </c>
      <c r="J1338" s="1" t="s">
        <v>79</v>
      </c>
      <c r="K1338" t="s">
        <v>937</v>
      </c>
      <c r="M1338" s="1" t="s">
        <v>58</v>
      </c>
      <c r="N1338" s="1">
        <v>0</v>
      </c>
      <c r="O1338" s="1" t="s">
        <v>105</v>
      </c>
      <c r="P1338" s="11" t="s">
        <v>2316</v>
      </c>
      <c r="R1338" s="1">
        <v>3</v>
      </c>
      <c r="T1338" s="1" t="s">
        <v>646</v>
      </c>
      <c r="U1338" s="11" t="s">
        <v>2317</v>
      </c>
      <c r="V1338" s="1" t="s">
        <v>41</v>
      </c>
      <c r="W1338" s="1" t="s">
        <v>49</v>
      </c>
    </row>
    <row r="1339" spans="1:23">
      <c r="A1339" s="1">
        <v>9416566</v>
      </c>
      <c r="B1339" s="1" t="s">
        <v>101</v>
      </c>
      <c r="C1339" t="s">
        <v>643</v>
      </c>
      <c r="D1339" s="2">
        <v>230017592</v>
      </c>
      <c r="E1339" s="2">
        <v>605001400010</v>
      </c>
      <c r="F1339" s="1" t="s">
        <v>936</v>
      </c>
      <c r="G1339" s="1" t="s">
        <v>53</v>
      </c>
      <c r="H1339" s="1" t="s">
        <v>420</v>
      </c>
      <c r="I1339" s="1" t="s">
        <v>421</v>
      </c>
      <c r="J1339" s="1" t="s">
        <v>90</v>
      </c>
      <c r="K1339" t="s">
        <v>937</v>
      </c>
      <c r="M1339" s="1" t="s">
        <v>58</v>
      </c>
      <c r="N1339" s="1">
        <v>0</v>
      </c>
      <c r="O1339" s="1" t="s">
        <v>105</v>
      </c>
      <c r="P1339" s="11" t="s">
        <v>3079</v>
      </c>
      <c r="R1339" s="1">
        <v>3</v>
      </c>
      <c r="T1339" s="1" t="s">
        <v>646</v>
      </c>
      <c r="U1339" s="11" t="s">
        <v>3080</v>
      </c>
      <c r="V1339" s="1" t="s">
        <v>41</v>
      </c>
      <c r="W1339" s="1" t="s">
        <v>49</v>
      </c>
    </row>
    <row r="1340" spans="1:23">
      <c r="A1340" s="1">
        <v>9416563</v>
      </c>
      <c r="B1340" s="1" t="s">
        <v>101</v>
      </c>
      <c r="C1340" t="s">
        <v>643</v>
      </c>
      <c r="D1340" s="2">
        <v>230017589</v>
      </c>
      <c r="E1340" s="2">
        <v>600001400010</v>
      </c>
      <c r="F1340" s="1" t="s">
        <v>936</v>
      </c>
      <c r="G1340" s="1" t="s">
        <v>53</v>
      </c>
      <c r="H1340" s="1" t="s">
        <v>1084</v>
      </c>
      <c r="I1340" s="1" t="s">
        <v>1085</v>
      </c>
      <c r="J1340" s="1" t="s">
        <v>90</v>
      </c>
      <c r="K1340" t="s">
        <v>937</v>
      </c>
      <c r="M1340" s="1" t="s">
        <v>58</v>
      </c>
      <c r="N1340" s="1">
        <v>0</v>
      </c>
      <c r="O1340" s="1" t="s">
        <v>105</v>
      </c>
      <c r="P1340" s="11" t="s">
        <v>3081</v>
      </c>
      <c r="R1340" s="1">
        <v>3</v>
      </c>
      <c r="T1340" s="1" t="s">
        <v>646</v>
      </c>
      <c r="U1340" s="11" t="s">
        <v>3082</v>
      </c>
      <c r="V1340" s="1" t="s">
        <v>41</v>
      </c>
      <c r="W1340" s="1" t="s">
        <v>49</v>
      </c>
    </row>
    <row r="1341" spans="1:23" hidden="1">
      <c r="A1341" s="1">
        <v>9416512</v>
      </c>
      <c r="B1341" s="1" t="s">
        <v>101</v>
      </c>
      <c r="C1341" t="s">
        <v>643</v>
      </c>
      <c r="D1341" s="2">
        <v>230017447</v>
      </c>
      <c r="E1341" s="2">
        <v>115001400010</v>
      </c>
      <c r="F1341" s="1" t="s">
        <v>936</v>
      </c>
      <c r="G1341" s="1" t="s">
        <v>53</v>
      </c>
      <c r="H1341" s="1" t="s">
        <v>542</v>
      </c>
      <c r="I1341" s="1" t="s">
        <v>543</v>
      </c>
      <c r="J1341" s="1" t="s">
        <v>56</v>
      </c>
      <c r="K1341" t="s">
        <v>937</v>
      </c>
      <c r="M1341" s="1" t="s">
        <v>58</v>
      </c>
      <c r="N1341" s="1">
        <v>0</v>
      </c>
      <c r="O1341" s="1" t="s">
        <v>105</v>
      </c>
      <c r="P1341" s="11" t="s">
        <v>3083</v>
      </c>
      <c r="R1341" s="1">
        <v>3</v>
      </c>
      <c r="T1341" s="1" t="s">
        <v>646</v>
      </c>
      <c r="U1341" s="11" t="s">
        <v>3084</v>
      </c>
      <c r="V1341" s="1" t="s">
        <v>41</v>
      </c>
      <c r="W1341" s="1" t="s">
        <v>49</v>
      </c>
    </row>
    <row r="1342" spans="1:23">
      <c r="A1342" s="1">
        <v>9416481</v>
      </c>
      <c r="B1342" s="1" t="s">
        <v>101</v>
      </c>
      <c r="C1342" t="s">
        <v>643</v>
      </c>
      <c r="D1342" s="2">
        <v>230017484</v>
      </c>
      <c r="E1342" s="2">
        <v>246001400010</v>
      </c>
      <c r="F1342" s="1" t="s">
        <v>936</v>
      </c>
      <c r="G1342" s="1" t="s">
        <v>53</v>
      </c>
      <c r="H1342" s="1" t="s">
        <v>1193</v>
      </c>
      <c r="I1342" s="1" t="s">
        <v>1194</v>
      </c>
      <c r="J1342" s="1" t="s">
        <v>85</v>
      </c>
      <c r="K1342" t="s">
        <v>937</v>
      </c>
      <c r="M1342" s="1" t="s">
        <v>58</v>
      </c>
      <c r="N1342" s="1">
        <v>0</v>
      </c>
      <c r="O1342" s="1" t="s">
        <v>105</v>
      </c>
      <c r="P1342" s="11" t="s">
        <v>2318</v>
      </c>
      <c r="R1342" s="1">
        <v>3</v>
      </c>
      <c r="T1342" s="1" t="s">
        <v>646</v>
      </c>
      <c r="U1342" s="11" t="s">
        <v>2319</v>
      </c>
      <c r="V1342" s="1" t="s">
        <v>41</v>
      </c>
      <c r="W1342" s="1" t="s">
        <v>49</v>
      </c>
    </row>
    <row r="1343" spans="1:23" hidden="1">
      <c r="A1343" s="1">
        <v>9416477</v>
      </c>
      <c r="B1343" s="1" t="s">
        <v>101</v>
      </c>
      <c r="C1343" t="s">
        <v>643</v>
      </c>
      <c r="D1343" s="2">
        <v>230017483</v>
      </c>
      <c r="E1343" s="2">
        <v>244001400010</v>
      </c>
      <c r="F1343" s="1" t="s">
        <v>936</v>
      </c>
      <c r="G1343" s="1" t="s">
        <v>53</v>
      </c>
      <c r="H1343" s="1" t="s">
        <v>313</v>
      </c>
      <c r="I1343" s="1" t="s">
        <v>314</v>
      </c>
      <c r="J1343" s="1" t="s">
        <v>56</v>
      </c>
      <c r="K1343" t="s">
        <v>937</v>
      </c>
      <c r="M1343" s="1" t="s">
        <v>58</v>
      </c>
      <c r="N1343" s="1">
        <v>0</v>
      </c>
      <c r="O1343" s="1" t="s">
        <v>105</v>
      </c>
      <c r="P1343" s="11" t="s">
        <v>3085</v>
      </c>
      <c r="R1343" s="1">
        <v>3</v>
      </c>
      <c r="T1343" s="1" t="s">
        <v>646</v>
      </c>
      <c r="U1343" s="11" t="s">
        <v>3086</v>
      </c>
      <c r="V1343" s="1" t="s">
        <v>41</v>
      </c>
      <c r="W1343" s="1" t="s">
        <v>49</v>
      </c>
    </row>
    <row r="1344" spans="1:23" hidden="1">
      <c r="A1344" s="1">
        <v>9416437</v>
      </c>
      <c r="B1344" s="1" t="s">
        <v>101</v>
      </c>
      <c r="C1344" t="s">
        <v>643</v>
      </c>
      <c r="D1344" s="2">
        <v>230017474</v>
      </c>
      <c r="E1344" s="2">
        <v>196001400010</v>
      </c>
      <c r="F1344" s="1" t="s">
        <v>936</v>
      </c>
      <c r="G1344" s="1" t="s">
        <v>53</v>
      </c>
      <c r="H1344" s="1" t="s">
        <v>1060</v>
      </c>
      <c r="I1344" s="1" t="s">
        <v>1061</v>
      </c>
      <c r="J1344" s="1" t="s">
        <v>79</v>
      </c>
      <c r="K1344" t="s">
        <v>937</v>
      </c>
      <c r="M1344" s="1" t="s">
        <v>58</v>
      </c>
      <c r="N1344" s="1">
        <v>0</v>
      </c>
      <c r="O1344" s="1" t="s">
        <v>105</v>
      </c>
      <c r="P1344" s="11" t="s">
        <v>3087</v>
      </c>
      <c r="R1344" s="1">
        <v>3</v>
      </c>
      <c r="T1344" s="1" t="s">
        <v>646</v>
      </c>
      <c r="U1344" s="11" t="s">
        <v>3088</v>
      </c>
      <c r="V1344" s="1" t="s">
        <v>41</v>
      </c>
      <c r="W1344" s="1" t="s">
        <v>49</v>
      </c>
    </row>
    <row r="1345" spans="1:23">
      <c r="A1345" s="1">
        <v>9428942</v>
      </c>
      <c r="B1345" s="1" t="s">
        <v>1153</v>
      </c>
      <c r="C1345" t="s">
        <v>3089</v>
      </c>
      <c r="D1345" s="2">
        <v>20230246000008</v>
      </c>
      <c r="E1345" s="2">
        <v>7417163284192</v>
      </c>
      <c r="F1345" s="1" t="s">
        <v>131</v>
      </c>
      <c r="G1345" s="1" t="s">
        <v>53</v>
      </c>
      <c r="H1345" s="1" t="s">
        <v>2321</v>
      </c>
      <c r="I1345" s="1" t="s">
        <v>2322</v>
      </c>
      <c r="J1345" s="1" t="s">
        <v>85</v>
      </c>
      <c r="K1345" t="s">
        <v>132</v>
      </c>
      <c r="M1345" s="1" t="s">
        <v>58</v>
      </c>
      <c r="N1345" s="1">
        <v>0</v>
      </c>
      <c r="O1345" s="1" t="s">
        <v>36</v>
      </c>
      <c r="P1345" s="11" t="s">
        <v>2323</v>
      </c>
      <c r="R1345" s="1">
        <v>14</v>
      </c>
      <c r="T1345" s="1" t="s">
        <v>238</v>
      </c>
      <c r="U1345" s="11" t="s">
        <v>2324</v>
      </c>
      <c r="V1345" s="1" t="s">
        <v>41</v>
      </c>
      <c r="W1345" s="1" t="s">
        <v>49</v>
      </c>
    </row>
    <row r="1346" spans="1:23">
      <c r="A1346" s="1">
        <v>9428127</v>
      </c>
      <c r="B1346" s="1" t="s">
        <v>1153</v>
      </c>
      <c r="C1346" s="178" t="s">
        <v>3090</v>
      </c>
      <c r="E1346" s="2">
        <v>2590000206001</v>
      </c>
      <c r="F1346" s="1" t="s">
        <v>29</v>
      </c>
      <c r="G1346" s="1" t="s">
        <v>53</v>
      </c>
      <c r="H1346" s="1" t="s">
        <v>394</v>
      </c>
      <c r="I1346" s="1" t="s">
        <v>395</v>
      </c>
      <c r="J1346" s="1" t="s">
        <v>148</v>
      </c>
      <c r="K1346" t="s">
        <v>34</v>
      </c>
      <c r="M1346" s="1" t="s">
        <v>35</v>
      </c>
      <c r="N1346" s="1">
        <v>42318949</v>
      </c>
      <c r="O1346" s="1" t="s">
        <v>36</v>
      </c>
      <c r="P1346" s="11" t="s">
        <v>3091</v>
      </c>
      <c r="R1346" s="1" t="s">
        <v>38</v>
      </c>
      <c r="T1346" s="1" t="s">
        <v>74</v>
      </c>
      <c r="U1346" s="11" t="s">
        <v>3092</v>
      </c>
      <c r="V1346" s="1" t="s">
        <v>41</v>
      </c>
      <c r="W1346" s="1" t="s">
        <v>49</v>
      </c>
    </row>
    <row r="1347" spans="1:23">
      <c r="A1347" s="1">
        <v>9428003</v>
      </c>
      <c r="B1347" s="1" t="s">
        <v>1153</v>
      </c>
      <c r="C1347" s="182" t="s">
        <v>2331</v>
      </c>
      <c r="D1347" s="2">
        <v>20231059000013</v>
      </c>
      <c r="E1347" s="2">
        <v>7417163284288</v>
      </c>
      <c r="F1347" s="1" t="s">
        <v>131</v>
      </c>
      <c r="G1347" s="1" t="s">
        <v>53</v>
      </c>
      <c r="H1347" s="1" t="s">
        <v>1972</v>
      </c>
      <c r="I1347" s="1" t="s">
        <v>1973</v>
      </c>
      <c r="J1347" s="1" t="s">
        <v>90</v>
      </c>
      <c r="K1347" t="s">
        <v>132</v>
      </c>
      <c r="M1347" s="1" t="s">
        <v>58</v>
      </c>
      <c r="N1347" s="1">
        <v>0</v>
      </c>
      <c r="O1347" s="1" t="s">
        <v>36</v>
      </c>
      <c r="P1347" s="11" t="s">
        <v>3093</v>
      </c>
      <c r="R1347" s="1">
        <v>14</v>
      </c>
      <c r="T1347" s="1" t="s">
        <v>238</v>
      </c>
      <c r="U1347" s="11" t="s">
        <v>3093</v>
      </c>
      <c r="V1347" s="1" t="s">
        <v>41</v>
      </c>
      <c r="W1347" s="1" t="s">
        <v>49</v>
      </c>
    </row>
    <row r="1348" spans="1:23" hidden="1">
      <c r="A1348" s="1">
        <v>9427875</v>
      </c>
      <c r="B1348" s="1" t="s">
        <v>1153</v>
      </c>
      <c r="C1348" t="s">
        <v>2332</v>
      </c>
      <c r="D1348" s="2">
        <v>20234844000329</v>
      </c>
      <c r="E1348" s="2">
        <v>7417183022492</v>
      </c>
      <c r="F1348" s="1" t="s">
        <v>1313</v>
      </c>
      <c r="G1348" s="1" t="s">
        <v>53</v>
      </c>
      <c r="H1348" s="1" t="s">
        <v>2333</v>
      </c>
      <c r="I1348" s="1" t="s">
        <v>2334</v>
      </c>
      <c r="J1348" s="1" t="s">
        <v>46</v>
      </c>
      <c r="K1348" t="s">
        <v>1316</v>
      </c>
      <c r="M1348" s="1" t="s">
        <v>58</v>
      </c>
      <c r="N1348" s="1">
        <v>0</v>
      </c>
      <c r="O1348" s="1" t="s">
        <v>36</v>
      </c>
      <c r="P1348" s="11" t="s">
        <v>3094</v>
      </c>
      <c r="R1348" s="1">
        <v>13</v>
      </c>
      <c r="T1348" s="1" t="s">
        <v>238</v>
      </c>
      <c r="U1348" s="11" t="s">
        <v>3094</v>
      </c>
      <c r="V1348" s="1" t="s">
        <v>41</v>
      </c>
      <c r="W1348" s="1" t="s">
        <v>49</v>
      </c>
    </row>
    <row r="1349" spans="1:23" hidden="1">
      <c r="A1349" s="1">
        <v>9427703</v>
      </c>
      <c r="B1349" s="1" t="s">
        <v>1153</v>
      </c>
      <c r="C1349" t="s">
        <v>2335</v>
      </c>
      <c r="E1349" s="2">
        <v>1049000206001</v>
      </c>
      <c r="F1349" s="1" t="s">
        <v>29</v>
      </c>
      <c r="G1349" s="1" t="s">
        <v>53</v>
      </c>
      <c r="H1349" s="1" t="s">
        <v>169</v>
      </c>
      <c r="I1349" s="1" t="s">
        <v>170</v>
      </c>
      <c r="J1349" s="1" t="s">
        <v>164</v>
      </c>
      <c r="K1349" t="s">
        <v>34</v>
      </c>
      <c r="M1349" s="1" t="s">
        <v>35</v>
      </c>
      <c r="N1349" s="1">
        <v>42318949</v>
      </c>
      <c r="O1349" s="1" t="s">
        <v>36</v>
      </c>
      <c r="P1349" s="11" t="s">
        <v>3095</v>
      </c>
      <c r="R1349" s="1" t="s">
        <v>38</v>
      </c>
      <c r="T1349" s="1" t="s">
        <v>74</v>
      </c>
      <c r="U1349" s="11" t="s">
        <v>3096</v>
      </c>
      <c r="V1349" s="1" t="s">
        <v>41</v>
      </c>
      <c r="W1349" s="1" t="s">
        <v>49</v>
      </c>
    </row>
    <row r="1350" spans="1:23">
      <c r="A1350" s="1">
        <v>9426529</v>
      </c>
      <c r="B1350" s="1" t="s">
        <v>1153</v>
      </c>
      <c r="C1350" t="s">
        <v>2336</v>
      </c>
      <c r="E1350" s="2">
        <v>2125000206001</v>
      </c>
      <c r="F1350" s="1" t="s">
        <v>29</v>
      </c>
      <c r="G1350" s="1" t="s">
        <v>53</v>
      </c>
      <c r="H1350" s="1" t="s">
        <v>1399</v>
      </c>
      <c r="I1350" s="1" t="s">
        <v>1400</v>
      </c>
      <c r="J1350" s="1" t="s">
        <v>211</v>
      </c>
      <c r="K1350" t="s">
        <v>34</v>
      </c>
      <c r="M1350" s="1" t="s">
        <v>35</v>
      </c>
      <c r="N1350" s="1">
        <v>42318949</v>
      </c>
      <c r="O1350" s="1" t="s">
        <v>36</v>
      </c>
      <c r="P1350" s="11" t="s">
        <v>2337</v>
      </c>
      <c r="R1350" s="1" t="s">
        <v>38</v>
      </c>
      <c r="T1350" s="1" t="s">
        <v>74</v>
      </c>
      <c r="U1350" s="11" t="s">
        <v>2516</v>
      </c>
      <c r="V1350" s="1" t="s">
        <v>41</v>
      </c>
      <c r="W1350" s="1" t="s">
        <v>49</v>
      </c>
    </row>
    <row r="1351" spans="1:23" hidden="1">
      <c r="A1351" s="1">
        <v>9426501</v>
      </c>
      <c r="B1351" s="1" t="s">
        <v>1153</v>
      </c>
      <c r="C1351" t="s">
        <v>2339</v>
      </c>
      <c r="D1351" s="2">
        <v>20235718000299</v>
      </c>
      <c r="E1351" s="2">
        <v>7417192423265</v>
      </c>
      <c r="F1351" s="1" t="s">
        <v>1727</v>
      </c>
      <c r="G1351" s="1" t="s">
        <v>53</v>
      </c>
      <c r="H1351" s="1" t="s">
        <v>1244</v>
      </c>
      <c r="I1351" s="1" t="s">
        <v>1245</v>
      </c>
      <c r="J1351" s="1" t="s">
        <v>46</v>
      </c>
      <c r="K1351" t="s">
        <v>1728</v>
      </c>
      <c r="M1351" s="1" t="s">
        <v>58</v>
      </c>
      <c r="N1351" s="1">
        <v>0</v>
      </c>
      <c r="O1351" s="1" t="s">
        <v>36</v>
      </c>
      <c r="P1351" s="11" t="s">
        <v>2340</v>
      </c>
      <c r="R1351" s="1">
        <v>22</v>
      </c>
      <c r="T1351" s="1" t="s">
        <v>1160</v>
      </c>
      <c r="U1351" s="11" t="s">
        <v>2341</v>
      </c>
      <c r="V1351" s="1" t="s">
        <v>41</v>
      </c>
      <c r="W1351" s="1" t="s">
        <v>49</v>
      </c>
    </row>
    <row r="1352" spans="1:23" hidden="1">
      <c r="A1352" s="1">
        <v>9433742</v>
      </c>
      <c r="B1352" s="1" t="s">
        <v>1153</v>
      </c>
      <c r="C1352" t="s">
        <v>2347</v>
      </c>
      <c r="D1352" s="2">
        <v>20234844000356</v>
      </c>
      <c r="E1352" s="2">
        <v>7419141894942</v>
      </c>
      <c r="F1352" s="1" t="s">
        <v>128</v>
      </c>
      <c r="G1352" s="1" t="s">
        <v>53</v>
      </c>
      <c r="H1352" s="1" t="s">
        <v>2348</v>
      </c>
      <c r="I1352" s="1" t="s">
        <v>2349</v>
      </c>
      <c r="J1352" s="1" t="s">
        <v>46</v>
      </c>
      <c r="K1352" t="s">
        <v>129</v>
      </c>
      <c r="M1352" s="1" t="s">
        <v>58</v>
      </c>
      <c r="N1352" s="1">
        <v>0</v>
      </c>
      <c r="O1352" s="1" t="s">
        <v>36</v>
      </c>
      <c r="P1352" s="11" t="s">
        <v>2350</v>
      </c>
      <c r="R1352" s="1">
        <v>13</v>
      </c>
      <c r="T1352" s="1" t="s">
        <v>238</v>
      </c>
      <c r="U1352" s="11" t="s">
        <v>2346</v>
      </c>
      <c r="V1352" s="1" t="s">
        <v>41</v>
      </c>
      <c r="W1352" s="1" t="s">
        <v>49</v>
      </c>
    </row>
    <row r="1353" spans="1:23" hidden="1">
      <c r="A1353" s="1">
        <v>9433457</v>
      </c>
      <c r="B1353" s="1" t="s">
        <v>1153</v>
      </c>
      <c r="C1353" t="s">
        <v>2353</v>
      </c>
      <c r="D1353" s="2">
        <v>230023961</v>
      </c>
      <c r="E1353" s="2">
        <v>196001400010</v>
      </c>
      <c r="F1353" s="1" t="s">
        <v>936</v>
      </c>
      <c r="G1353" s="1" t="s">
        <v>53</v>
      </c>
      <c r="H1353" s="1" t="s">
        <v>1060</v>
      </c>
      <c r="I1353" s="1" t="s">
        <v>1061</v>
      </c>
      <c r="J1353" s="1" t="s">
        <v>33</v>
      </c>
      <c r="K1353" t="s">
        <v>937</v>
      </c>
      <c r="M1353" s="1" t="s">
        <v>58</v>
      </c>
      <c r="N1353" s="1">
        <v>0</v>
      </c>
      <c r="O1353" s="1" t="s">
        <v>36</v>
      </c>
      <c r="P1353" s="11" t="s">
        <v>2354</v>
      </c>
      <c r="R1353" s="1">
        <v>3</v>
      </c>
      <c r="T1353" s="1" t="s">
        <v>646</v>
      </c>
      <c r="U1353" s="11" t="s">
        <v>2355</v>
      </c>
      <c r="V1353" s="1" t="s">
        <v>41</v>
      </c>
      <c r="W1353" s="1" t="s">
        <v>49</v>
      </c>
    </row>
    <row r="1354" spans="1:23" hidden="1">
      <c r="A1354" s="1">
        <v>9433413</v>
      </c>
      <c r="B1354" s="1" t="s">
        <v>1153</v>
      </c>
      <c r="C1354" t="s">
        <v>2356</v>
      </c>
      <c r="D1354" s="2">
        <v>20234844000350</v>
      </c>
      <c r="E1354" s="2">
        <v>7419141892809</v>
      </c>
      <c r="F1354" s="1" t="s">
        <v>128</v>
      </c>
      <c r="G1354" s="1" t="s">
        <v>53</v>
      </c>
      <c r="H1354" s="1" t="s">
        <v>2357</v>
      </c>
      <c r="I1354" s="1" t="s">
        <v>2358</v>
      </c>
      <c r="J1354" s="1" t="s">
        <v>46</v>
      </c>
      <c r="K1354" t="s">
        <v>129</v>
      </c>
      <c r="M1354" s="1" t="s">
        <v>58</v>
      </c>
      <c r="N1354" s="1">
        <v>0</v>
      </c>
      <c r="O1354" s="1" t="s">
        <v>36</v>
      </c>
      <c r="P1354" s="11" t="s">
        <v>2359</v>
      </c>
      <c r="R1354" s="1">
        <v>13</v>
      </c>
      <c r="T1354" s="1" t="s">
        <v>238</v>
      </c>
      <c r="U1354" s="11" t="s">
        <v>2359</v>
      </c>
      <c r="V1354" s="1" t="s">
        <v>41</v>
      </c>
      <c r="W1354" s="1" t="s">
        <v>49</v>
      </c>
    </row>
    <row r="1355" spans="1:23" hidden="1">
      <c r="A1355" s="1">
        <v>9433255</v>
      </c>
      <c r="B1355" s="1" t="s">
        <v>1153</v>
      </c>
      <c r="C1355" t="s">
        <v>2364</v>
      </c>
      <c r="D1355" s="2">
        <v>20231732000006</v>
      </c>
      <c r="E1355" s="2">
        <v>7417163281555</v>
      </c>
      <c r="F1355" s="1" t="s">
        <v>131</v>
      </c>
      <c r="G1355" s="1" t="s">
        <v>53</v>
      </c>
      <c r="H1355" s="1" t="s">
        <v>2361</v>
      </c>
      <c r="I1355" s="1" t="s">
        <v>2362</v>
      </c>
      <c r="J1355" s="1" t="s">
        <v>164</v>
      </c>
      <c r="K1355" t="s">
        <v>132</v>
      </c>
      <c r="M1355" s="1" t="s">
        <v>58</v>
      </c>
      <c r="N1355" s="1">
        <v>0</v>
      </c>
      <c r="O1355" s="1" t="s">
        <v>36</v>
      </c>
      <c r="P1355" s="11" t="s">
        <v>2365</v>
      </c>
      <c r="R1355" s="1">
        <v>14</v>
      </c>
      <c r="T1355" s="1" t="s">
        <v>238</v>
      </c>
      <c r="U1355" s="11" t="s">
        <v>2365</v>
      </c>
      <c r="V1355" s="1" t="s">
        <v>41</v>
      </c>
      <c r="W1355" s="1" t="s">
        <v>49</v>
      </c>
    </row>
    <row r="1356" spans="1:23" hidden="1">
      <c r="A1356" s="1">
        <v>9433050</v>
      </c>
      <c r="B1356" s="1" t="s">
        <v>1153</v>
      </c>
      <c r="C1356" t="s">
        <v>2366</v>
      </c>
      <c r="D1356" s="2">
        <v>20234923000053</v>
      </c>
      <c r="E1356" s="2">
        <v>7417172789125</v>
      </c>
      <c r="F1356" s="1" t="s">
        <v>1989</v>
      </c>
      <c r="G1356" s="1" t="s">
        <v>53</v>
      </c>
      <c r="H1356" s="1" t="s">
        <v>1351</v>
      </c>
      <c r="I1356" s="1" t="s">
        <v>1352</v>
      </c>
      <c r="J1356" s="1" t="s">
        <v>46</v>
      </c>
      <c r="K1356" t="s">
        <v>1990</v>
      </c>
      <c r="M1356" s="1" t="s">
        <v>58</v>
      </c>
      <c r="N1356" s="1">
        <v>0</v>
      </c>
      <c r="O1356" s="1" t="s">
        <v>36</v>
      </c>
      <c r="P1356" s="11" t="s">
        <v>3097</v>
      </c>
      <c r="R1356" s="1">
        <v>22</v>
      </c>
      <c r="T1356" s="1" t="s">
        <v>1160</v>
      </c>
      <c r="U1356" s="11" t="s">
        <v>3098</v>
      </c>
      <c r="V1356" s="1" t="s">
        <v>41</v>
      </c>
      <c r="W1356" s="1" t="s">
        <v>49</v>
      </c>
    </row>
    <row r="1357" spans="1:23" hidden="1">
      <c r="A1357" s="1">
        <v>9433012</v>
      </c>
      <c r="B1357" s="1" t="s">
        <v>1153</v>
      </c>
      <c r="C1357" t="s">
        <v>2367</v>
      </c>
      <c r="E1357" s="2">
        <v>1902016179200</v>
      </c>
      <c r="F1357" s="1" t="s">
        <v>64</v>
      </c>
      <c r="G1357" s="1" t="s">
        <v>53</v>
      </c>
      <c r="H1357" s="1" t="s">
        <v>467</v>
      </c>
      <c r="I1357" s="1" t="s">
        <v>468</v>
      </c>
      <c r="J1357" s="1" t="s">
        <v>46</v>
      </c>
      <c r="K1357" t="s">
        <v>67</v>
      </c>
      <c r="M1357" s="1" t="s">
        <v>35</v>
      </c>
      <c r="N1357" s="1">
        <v>42318949</v>
      </c>
      <c r="O1357" s="1" t="s">
        <v>105</v>
      </c>
      <c r="P1357" s="11" t="s">
        <v>2368</v>
      </c>
      <c r="R1357" s="1" t="s">
        <v>571</v>
      </c>
      <c r="T1357" s="1" t="s">
        <v>69</v>
      </c>
      <c r="U1357" s="11" t="s">
        <v>2369</v>
      </c>
      <c r="V1357" s="1" t="s">
        <v>41</v>
      </c>
      <c r="W1357" s="1" t="s">
        <v>49</v>
      </c>
    </row>
    <row r="1358" spans="1:23" hidden="1">
      <c r="A1358" s="1">
        <v>9432979</v>
      </c>
      <c r="B1358" s="1" t="s">
        <v>1153</v>
      </c>
      <c r="C1358" t="s">
        <v>2370</v>
      </c>
      <c r="D1358" s="2">
        <v>20234844000347</v>
      </c>
      <c r="E1358" s="2">
        <v>7417183020626</v>
      </c>
      <c r="F1358" s="1" t="s">
        <v>1313</v>
      </c>
      <c r="G1358" s="1" t="s">
        <v>53</v>
      </c>
      <c r="H1358" s="1" t="s">
        <v>2059</v>
      </c>
      <c r="I1358" s="1" t="s">
        <v>2060</v>
      </c>
      <c r="J1358" s="1" t="s">
        <v>46</v>
      </c>
      <c r="K1358" t="s">
        <v>1316</v>
      </c>
      <c r="M1358" s="1" t="s">
        <v>58</v>
      </c>
      <c r="N1358" s="1">
        <v>0</v>
      </c>
      <c r="O1358" s="1" t="s">
        <v>36</v>
      </c>
      <c r="P1358" s="11" t="s">
        <v>2371</v>
      </c>
      <c r="R1358" s="1">
        <v>13</v>
      </c>
      <c r="T1358" s="1" t="s">
        <v>238</v>
      </c>
      <c r="U1358" s="11" t="s">
        <v>2371</v>
      </c>
      <c r="V1358" s="1" t="s">
        <v>41</v>
      </c>
      <c r="W1358" s="1" t="s">
        <v>49</v>
      </c>
    </row>
    <row r="1359" spans="1:23" hidden="1">
      <c r="A1359" s="1">
        <v>9432437</v>
      </c>
      <c r="B1359" s="1" t="s">
        <v>62</v>
      </c>
      <c r="C1359" t="s">
        <v>2372</v>
      </c>
      <c r="E1359" s="2">
        <v>1833000206001</v>
      </c>
      <c r="F1359" s="1" t="s">
        <v>29</v>
      </c>
      <c r="G1359" s="1" t="s">
        <v>53</v>
      </c>
      <c r="H1359" s="1" t="s">
        <v>369</v>
      </c>
      <c r="I1359" s="1" t="s">
        <v>370</v>
      </c>
      <c r="J1359" s="1" t="s">
        <v>46</v>
      </c>
      <c r="K1359" t="s">
        <v>34</v>
      </c>
      <c r="M1359" s="1" t="s">
        <v>35</v>
      </c>
      <c r="N1359" s="1">
        <v>42318949</v>
      </c>
      <c r="O1359" s="1" t="s">
        <v>36</v>
      </c>
      <c r="P1359" s="11" t="s">
        <v>3099</v>
      </c>
      <c r="R1359" s="1" t="s">
        <v>38</v>
      </c>
      <c r="T1359" s="1" t="s">
        <v>74</v>
      </c>
      <c r="U1359" s="11" t="s">
        <v>3100</v>
      </c>
      <c r="V1359" s="1" t="s">
        <v>41</v>
      </c>
      <c r="W1359" s="1" t="s">
        <v>49</v>
      </c>
    </row>
    <row r="1360" spans="1:23" hidden="1">
      <c r="A1360" s="1">
        <v>9432115</v>
      </c>
      <c r="B1360" s="1" t="s">
        <v>1153</v>
      </c>
      <c r="C1360" t="s">
        <v>2373</v>
      </c>
      <c r="D1360" s="2">
        <v>20232257000015</v>
      </c>
      <c r="E1360" s="2">
        <v>7417183022203</v>
      </c>
      <c r="F1360" s="1" t="s">
        <v>1313</v>
      </c>
      <c r="G1360" s="1" t="s">
        <v>53</v>
      </c>
      <c r="H1360" s="1" t="s">
        <v>2326</v>
      </c>
      <c r="I1360" s="1" t="s">
        <v>2327</v>
      </c>
      <c r="J1360" s="1" t="s">
        <v>110</v>
      </c>
      <c r="K1360" t="s">
        <v>1316</v>
      </c>
      <c r="M1360" s="1" t="s">
        <v>58</v>
      </c>
      <c r="N1360" s="1">
        <v>0</v>
      </c>
      <c r="O1360" s="1" t="s">
        <v>36</v>
      </c>
      <c r="P1360" s="11" t="s">
        <v>2374</v>
      </c>
      <c r="R1360" s="1">
        <v>14</v>
      </c>
      <c r="T1360" s="1" t="s">
        <v>238</v>
      </c>
      <c r="U1360" s="11" t="s">
        <v>2374</v>
      </c>
      <c r="V1360" s="1" t="s">
        <v>41</v>
      </c>
      <c r="W1360" s="1" t="s">
        <v>49</v>
      </c>
    </row>
    <row r="1361" spans="1:23" hidden="1">
      <c r="A1361" s="1">
        <v>9431494</v>
      </c>
      <c r="B1361" s="1" t="s">
        <v>1153</v>
      </c>
      <c r="C1361" t="s">
        <v>2378</v>
      </c>
      <c r="D1361" s="2">
        <v>20237712000002</v>
      </c>
      <c r="E1361" s="2">
        <v>7417193051914</v>
      </c>
      <c r="F1361" s="1" t="s">
        <v>1719</v>
      </c>
      <c r="G1361" s="1" t="s">
        <v>53</v>
      </c>
      <c r="H1361" s="1" t="s">
        <v>2379</v>
      </c>
      <c r="I1361" s="1" t="s">
        <v>2380</v>
      </c>
      <c r="J1361" s="1" t="s">
        <v>46</v>
      </c>
      <c r="K1361" t="s">
        <v>1720</v>
      </c>
      <c r="M1361" s="1" t="s">
        <v>58</v>
      </c>
      <c r="N1361" s="1">
        <v>0</v>
      </c>
      <c r="O1361" s="1" t="s">
        <v>36</v>
      </c>
      <c r="P1361" s="11" t="s">
        <v>2381</v>
      </c>
      <c r="R1361" s="1">
        <v>22</v>
      </c>
      <c r="T1361" s="1" t="s">
        <v>1160</v>
      </c>
      <c r="U1361" s="11" t="s">
        <v>2382</v>
      </c>
      <c r="V1361" s="1" t="s">
        <v>41</v>
      </c>
      <c r="W1361" s="1" t="s">
        <v>49</v>
      </c>
    </row>
    <row r="1362" spans="1:23" hidden="1">
      <c r="A1362" s="1">
        <v>9431491</v>
      </c>
      <c r="B1362" s="1" t="s">
        <v>1153</v>
      </c>
      <c r="C1362" t="s">
        <v>2383</v>
      </c>
      <c r="D1362" s="2">
        <v>20237712000001</v>
      </c>
      <c r="E1362" s="2">
        <v>7417193051942</v>
      </c>
      <c r="F1362" s="1" t="s">
        <v>1719</v>
      </c>
      <c r="G1362" s="1" t="s">
        <v>53</v>
      </c>
      <c r="H1362" s="1" t="s">
        <v>2379</v>
      </c>
      <c r="I1362" s="1" t="s">
        <v>2380</v>
      </c>
      <c r="J1362" s="1" t="s">
        <v>46</v>
      </c>
      <c r="K1362" t="s">
        <v>1720</v>
      </c>
      <c r="M1362" s="1" t="s">
        <v>58</v>
      </c>
      <c r="N1362" s="1">
        <v>0</v>
      </c>
      <c r="O1362" s="1" t="s">
        <v>36</v>
      </c>
      <c r="P1362" s="11" t="s">
        <v>2384</v>
      </c>
      <c r="R1362" s="1">
        <v>22</v>
      </c>
      <c r="T1362" s="1" t="s">
        <v>1160</v>
      </c>
      <c r="U1362" s="11" t="s">
        <v>2385</v>
      </c>
      <c r="V1362" s="1" t="s">
        <v>41</v>
      </c>
      <c r="W1362" s="1" t="s">
        <v>49</v>
      </c>
    </row>
    <row r="1363" spans="1:23" hidden="1">
      <c r="A1363" s="1">
        <v>9431050</v>
      </c>
      <c r="B1363" s="1" t="s">
        <v>1153</v>
      </c>
      <c r="C1363" t="s">
        <v>2386</v>
      </c>
      <c r="D1363" s="2">
        <v>20232559000002</v>
      </c>
      <c r="E1363" s="2">
        <v>7419151141120</v>
      </c>
      <c r="F1363" s="1" t="s">
        <v>123</v>
      </c>
      <c r="G1363" s="1" t="s">
        <v>53</v>
      </c>
      <c r="H1363" s="1" t="s">
        <v>2387</v>
      </c>
      <c r="I1363" s="1" t="s">
        <v>2388</v>
      </c>
      <c r="J1363" s="1" t="s">
        <v>261</v>
      </c>
      <c r="K1363" t="s">
        <v>126</v>
      </c>
      <c r="M1363" s="1" t="s">
        <v>58</v>
      </c>
      <c r="N1363" s="1">
        <v>0</v>
      </c>
      <c r="O1363" s="1" t="s">
        <v>36</v>
      </c>
      <c r="P1363" s="11" t="s">
        <v>2389</v>
      </c>
      <c r="R1363" s="1">
        <v>14</v>
      </c>
      <c r="T1363" s="1" t="s">
        <v>238</v>
      </c>
      <c r="U1363" s="11" t="s">
        <v>2324</v>
      </c>
      <c r="V1363" s="1" t="s">
        <v>41</v>
      </c>
      <c r="W1363" s="1" t="s">
        <v>49</v>
      </c>
    </row>
    <row r="1364" spans="1:23" hidden="1">
      <c r="A1364" s="1">
        <v>9430989</v>
      </c>
      <c r="B1364" s="1" t="s">
        <v>62</v>
      </c>
      <c r="C1364" t="s">
        <v>2390</v>
      </c>
      <c r="E1364" s="2">
        <v>3258000206001</v>
      </c>
      <c r="F1364" s="1" t="s">
        <v>29</v>
      </c>
      <c r="G1364" s="1" t="s">
        <v>53</v>
      </c>
      <c r="H1364" s="1" t="s">
        <v>321</v>
      </c>
      <c r="I1364" s="1" t="s">
        <v>322</v>
      </c>
      <c r="J1364" s="1" t="s">
        <v>46</v>
      </c>
      <c r="K1364" t="s">
        <v>34</v>
      </c>
      <c r="M1364" s="1" t="s">
        <v>35</v>
      </c>
      <c r="N1364" s="1">
        <v>42318949</v>
      </c>
      <c r="O1364" s="1" t="s">
        <v>105</v>
      </c>
      <c r="P1364" s="11" t="s">
        <v>3101</v>
      </c>
      <c r="R1364" s="1" t="s">
        <v>38</v>
      </c>
      <c r="T1364" s="1" t="s">
        <v>74</v>
      </c>
      <c r="U1364" s="11" t="s">
        <v>3100</v>
      </c>
      <c r="V1364" s="1" t="s">
        <v>41</v>
      </c>
      <c r="W1364" s="1" t="s">
        <v>49</v>
      </c>
    </row>
    <row r="1365" spans="1:23" hidden="1">
      <c r="A1365" s="1">
        <v>9445712</v>
      </c>
      <c r="B1365" s="1" t="s">
        <v>1153</v>
      </c>
      <c r="C1365" t="s">
        <v>2391</v>
      </c>
      <c r="D1365" s="2">
        <v>230024766</v>
      </c>
      <c r="E1365" s="2">
        <v>3924001400030</v>
      </c>
      <c r="F1365" s="1" t="s">
        <v>647</v>
      </c>
      <c r="G1365" s="1" t="s">
        <v>53</v>
      </c>
      <c r="H1365" s="1" t="s">
        <v>153</v>
      </c>
      <c r="I1365" s="1" t="s">
        <v>154</v>
      </c>
      <c r="J1365" s="1" t="s">
        <v>56</v>
      </c>
      <c r="K1365" t="s">
        <v>650</v>
      </c>
      <c r="M1365" s="1" t="s">
        <v>58</v>
      </c>
      <c r="N1365" s="1">
        <v>0</v>
      </c>
      <c r="O1365" s="1" t="s">
        <v>36</v>
      </c>
      <c r="P1365" s="11" t="s">
        <v>3102</v>
      </c>
      <c r="R1365" s="1">
        <v>4</v>
      </c>
      <c r="T1365" s="1" t="s">
        <v>646</v>
      </c>
      <c r="U1365" s="11" t="s">
        <v>3103</v>
      </c>
      <c r="V1365" s="1" t="s">
        <v>41</v>
      </c>
      <c r="W1365" s="1" t="s">
        <v>49</v>
      </c>
    </row>
    <row r="1366" spans="1:23" hidden="1">
      <c r="A1366" s="1">
        <v>9445663</v>
      </c>
      <c r="B1366" s="1" t="s">
        <v>1153</v>
      </c>
      <c r="C1366" t="s">
        <v>2394</v>
      </c>
      <c r="D1366" s="2">
        <v>20234844000375</v>
      </c>
      <c r="E1366" s="2">
        <v>7417163283072</v>
      </c>
      <c r="F1366" s="1" t="s">
        <v>131</v>
      </c>
      <c r="G1366" s="1" t="s">
        <v>53</v>
      </c>
      <c r="H1366" s="1" t="s">
        <v>2395</v>
      </c>
      <c r="I1366" s="1" t="s">
        <v>2396</v>
      </c>
      <c r="J1366" s="1" t="s">
        <v>46</v>
      </c>
      <c r="K1366" t="s">
        <v>132</v>
      </c>
      <c r="M1366" s="1" t="s">
        <v>58</v>
      </c>
      <c r="N1366" s="1">
        <v>0</v>
      </c>
      <c r="O1366" s="1" t="s">
        <v>36</v>
      </c>
      <c r="P1366" s="11" t="s">
        <v>2397</v>
      </c>
      <c r="R1366" s="1">
        <v>13</v>
      </c>
      <c r="T1366" s="1" t="s">
        <v>238</v>
      </c>
      <c r="U1366" s="186">
        <v>44963.692141203705</v>
      </c>
      <c r="V1366" s="1" t="s">
        <v>41</v>
      </c>
      <c r="W1366" s="1" t="s">
        <v>49</v>
      </c>
    </row>
    <row r="1367" spans="1:23" hidden="1">
      <c r="A1367" s="1">
        <v>9445662</v>
      </c>
      <c r="B1367" s="1" t="s">
        <v>1153</v>
      </c>
      <c r="C1367" t="s">
        <v>2398</v>
      </c>
      <c r="D1367" s="2">
        <v>20231153000011</v>
      </c>
      <c r="E1367" s="2">
        <v>7417163284286</v>
      </c>
      <c r="F1367" s="1" t="s">
        <v>131</v>
      </c>
      <c r="G1367" s="1" t="s">
        <v>53</v>
      </c>
      <c r="H1367" s="1" t="s">
        <v>2399</v>
      </c>
      <c r="I1367" s="1" t="s">
        <v>2400</v>
      </c>
      <c r="J1367" s="1" t="s">
        <v>79</v>
      </c>
      <c r="K1367" t="s">
        <v>132</v>
      </c>
      <c r="M1367" s="1" t="s">
        <v>58</v>
      </c>
      <c r="N1367" s="1">
        <v>0</v>
      </c>
      <c r="O1367" s="1" t="s">
        <v>36</v>
      </c>
      <c r="P1367" s="11" t="s">
        <v>2401</v>
      </c>
      <c r="R1367" s="1">
        <v>14</v>
      </c>
      <c r="T1367" s="1" t="s">
        <v>238</v>
      </c>
      <c r="U1367" s="186">
        <v>44963.698900462965</v>
      </c>
      <c r="V1367" s="1" t="s">
        <v>41</v>
      </c>
      <c r="W1367" s="1" t="s">
        <v>49</v>
      </c>
    </row>
    <row r="1368" spans="1:23" hidden="1">
      <c r="A1368" s="1">
        <v>9445531</v>
      </c>
      <c r="B1368" s="1" t="s">
        <v>1153</v>
      </c>
      <c r="C1368" t="s">
        <v>2402</v>
      </c>
      <c r="E1368" s="2">
        <v>1902016807400</v>
      </c>
      <c r="F1368" s="1" t="s">
        <v>64</v>
      </c>
      <c r="G1368" s="1" t="s">
        <v>53</v>
      </c>
      <c r="H1368" s="1" t="s">
        <v>1257</v>
      </c>
      <c r="I1368" s="1" t="s">
        <v>1258</v>
      </c>
      <c r="J1368" s="1" t="s">
        <v>33</v>
      </c>
      <c r="K1368" t="s">
        <v>67</v>
      </c>
      <c r="M1368" s="1" t="s">
        <v>35</v>
      </c>
      <c r="N1368" s="1">
        <v>42318949</v>
      </c>
      <c r="O1368" s="1" t="s">
        <v>105</v>
      </c>
      <c r="P1368" s="11" t="s">
        <v>2403</v>
      </c>
      <c r="R1368" s="1" t="s">
        <v>571</v>
      </c>
      <c r="T1368" s="1" t="s">
        <v>69</v>
      </c>
      <c r="U1368" s="186">
        <v>44965.688321759262</v>
      </c>
      <c r="V1368" s="1" t="s">
        <v>41</v>
      </c>
      <c r="W1368" s="1" t="s">
        <v>49</v>
      </c>
    </row>
    <row r="1369" spans="1:23" hidden="1">
      <c r="A1369" s="1">
        <v>9445321</v>
      </c>
      <c r="B1369" s="1" t="s">
        <v>1153</v>
      </c>
      <c r="C1369" t="s">
        <v>2405</v>
      </c>
      <c r="D1369" s="2">
        <v>20234844000372</v>
      </c>
      <c r="E1369" s="2">
        <v>7417183020624</v>
      </c>
      <c r="F1369" s="1" t="s">
        <v>1313</v>
      </c>
      <c r="G1369" s="1" t="s">
        <v>53</v>
      </c>
      <c r="H1369" s="1" t="s">
        <v>2348</v>
      </c>
      <c r="I1369" s="1" t="s">
        <v>2349</v>
      </c>
      <c r="J1369" s="1" t="s">
        <v>46</v>
      </c>
      <c r="K1369" t="s">
        <v>1316</v>
      </c>
      <c r="M1369" s="1" t="s">
        <v>58</v>
      </c>
      <c r="N1369" s="1">
        <v>0</v>
      </c>
      <c r="O1369" s="1" t="s">
        <v>36</v>
      </c>
      <c r="P1369" s="11" t="s">
        <v>2406</v>
      </c>
      <c r="R1369" s="1">
        <v>13</v>
      </c>
      <c r="T1369" s="1" t="s">
        <v>238</v>
      </c>
      <c r="U1369" s="186">
        <v>44963.656493055554</v>
      </c>
      <c r="V1369" s="1" t="s">
        <v>41</v>
      </c>
      <c r="W1369" s="1" t="s">
        <v>49</v>
      </c>
    </row>
    <row r="1370" spans="1:23">
      <c r="A1370" s="1">
        <v>9444909</v>
      </c>
      <c r="B1370" s="1" t="s">
        <v>62</v>
      </c>
      <c r="C1370" t="s">
        <v>2414</v>
      </c>
      <c r="E1370" s="2">
        <v>2156000203000</v>
      </c>
      <c r="F1370" s="1" t="s">
        <v>454</v>
      </c>
      <c r="G1370" s="1" t="s">
        <v>53</v>
      </c>
      <c r="H1370" s="1" t="s">
        <v>278</v>
      </c>
      <c r="I1370" s="1" t="s">
        <v>279</v>
      </c>
      <c r="J1370" s="1" t="s">
        <v>211</v>
      </c>
      <c r="K1370" t="s">
        <v>457</v>
      </c>
      <c r="M1370" s="1" t="s">
        <v>58</v>
      </c>
      <c r="N1370" s="1">
        <v>0</v>
      </c>
      <c r="O1370" s="1" t="s">
        <v>105</v>
      </c>
      <c r="P1370" s="11" t="s">
        <v>2415</v>
      </c>
      <c r="R1370" s="1">
        <v>1</v>
      </c>
      <c r="T1370" s="1" t="s">
        <v>157</v>
      </c>
      <c r="U1370" s="186">
        <v>44999.75</v>
      </c>
      <c r="V1370" s="1" t="s">
        <v>41</v>
      </c>
      <c r="W1370" s="1" t="s">
        <v>49</v>
      </c>
    </row>
    <row r="1371" spans="1:23">
      <c r="A1371" s="1">
        <v>9444862</v>
      </c>
      <c r="B1371" s="1" t="s">
        <v>1153</v>
      </c>
      <c r="C1371" s="182" t="s">
        <v>2417</v>
      </c>
      <c r="D1371" s="2">
        <v>20232437000020</v>
      </c>
      <c r="E1371" s="2">
        <v>7419141893534</v>
      </c>
      <c r="F1371" s="1" t="s">
        <v>128</v>
      </c>
      <c r="G1371" s="1" t="s">
        <v>53</v>
      </c>
      <c r="H1371" s="1" t="s">
        <v>2418</v>
      </c>
      <c r="I1371" s="1" t="s">
        <v>2419</v>
      </c>
      <c r="J1371" s="1" t="s">
        <v>211</v>
      </c>
      <c r="K1371" t="s">
        <v>129</v>
      </c>
      <c r="M1371" s="1" t="s">
        <v>58</v>
      </c>
      <c r="N1371" s="1">
        <v>0</v>
      </c>
      <c r="O1371" s="1" t="s">
        <v>36</v>
      </c>
      <c r="P1371" s="11" t="s">
        <v>2420</v>
      </c>
      <c r="R1371" s="1">
        <v>14</v>
      </c>
      <c r="T1371" s="1" t="s">
        <v>238</v>
      </c>
      <c r="U1371" s="186">
        <v>44963.587824074071</v>
      </c>
      <c r="V1371" s="1" t="s">
        <v>41</v>
      </c>
      <c r="W1371" s="1" t="s">
        <v>49</v>
      </c>
    </row>
    <row r="1372" spans="1:23" hidden="1">
      <c r="A1372" s="1">
        <v>9444634</v>
      </c>
      <c r="B1372" s="1" t="s">
        <v>1153</v>
      </c>
      <c r="C1372" t="s">
        <v>2425</v>
      </c>
      <c r="D1372" s="2">
        <v>20230721000019</v>
      </c>
      <c r="E1372" s="2">
        <v>7417163284633</v>
      </c>
      <c r="F1372" s="1" t="s">
        <v>131</v>
      </c>
      <c r="G1372" s="1" t="s">
        <v>53</v>
      </c>
      <c r="H1372" s="1" t="s">
        <v>2426</v>
      </c>
      <c r="I1372" s="1" t="s">
        <v>2427</v>
      </c>
      <c r="J1372" s="1" t="s">
        <v>79</v>
      </c>
      <c r="K1372" t="s">
        <v>132</v>
      </c>
      <c r="M1372" s="1" t="s">
        <v>58</v>
      </c>
      <c r="N1372" s="1">
        <v>0</v>
      </c>
      <c r="O1372" s="1" t="s">
        <v>36</v>
      </c>
      <c r="P1372" s="11" t="s">
        <v>2428</v>
      </c>
      <c r="R1372" s="1">
        <v>14</v>
      </c>
      <c r="T1372" s="1" t="s">
        <v>238</v>
      </c>
      <c r="U1372" s="186">
        <v>44963.558703703704</v>
      </c>
      <c r="V1372" s="1" t="s">
        <v>41</v>
      </c>
      <c r="W1372" s="1" t="s">
        <v>49</v>
      </c>
    </row>
    <row r="1373" spans="1:23">
      <c r="A1373" s="1">
        <v>9444346</v>
      </c>
      <c r="B1373" s="1" t="s">
        <v>1153</v>
      </c>
      <c r="C1373" t="s">
        <v>3104</v>
      </c>
      <c r="E1373" s="2">
        <v>1162000206001</v>
      </c>
      <c r="F1373" s="1" t="s">
        <v>29</v>
      </c>
      <c r="G1373" s="1" t="s">
        <v>53</v>
      </c>
      <c r="H1373" s="1" t="s">
        <v>280</v>
      </c>
      <c r="I1373" s="1" t="s">
        <v>281</v>
      </c>
      <c r="J1373" s="1" t="s">
        <v>211</v>
      </c>
      <c r="K1373" t="s">
        <v>34</v>
      </c>
      <c r="M1373" s="1" t="s">
        <v>35</v>
      </c>
      <c r="N1373" s="1">
        <v>42318949</v>
      </c>
      <c r="O1373" s="1" t="s">
        <v>36</v>
      </c>
      <c r="P1373" s="11" t="s">
        <v>2430</v>
      </c>
      <c r="R1373" s="1" t="s">
        <v>38</v>
      </c>
      <c r="T1373" s="1" t="s">
        <v>74</v>
      </c>
      <c r="U1373" s="186">
        <v>44973.607638888891</v>
      </c>
      <c r="V1373" s="1" t="s">
        <v>41</v>
      </c>
      <c r="W1373" s="1" t="s">
        <v>49</v>
      </c>
    </row>
    <row r="1374" spans="1:23" hidden="1">
      <c r="A1374" s="1">
        <v>9444226</v>
      </c>
      <c r="B1374" s="1" t="s">
        <v>1153</v>
      </c>
      <c r="C1374" t="s">
        <v>2431</v>
      </c>
      <c r="D1374" s="2">
        <v>20234844000364</v>
      </c>
      <c r="E1374" s="2">
        <v>7419151140094</v>
      </c>
      <c r="F1374" s="1" t="s">
        <v>2058</v>
      </c>
      <c r="G1374" s="1" t="s">
        <v>53</v>
      </c>
      <c r="H1374" s="1" t="s">
        <v>2432</v>
      </c>
      <c r="I1374" s="1" t="s">
        <v>2433</v>
      </c>
      <c r="J1374" s="1" t="s">
        <v>46</v>
      </c>
      <c r="K1374" t="s">
        <v>2061</v>
      </c>
      <c r="M1374" s="1" t="s">
        <v>58</v>
      </c>
      <c r="N1374" s="1">
        <v>0</v>
      </c>
      <c r="O1374" s="1" t="s">
        <v>36</v>
      </c>
      <c r="P1374" s="11" t="s">
        <v>2434</v>
      </c>
      <c r="R1374" s="1">
        <v>13</v>
      </c>
      <c r="T1374" s="1" t="s">
        <v>238</v>
      </c>
      <c r="U1374" s="11" t="s">
        <v>2434</v>
      </c>
      <c r="V1374" s="1" t="s">
        <v>41</v>
      </c>
      <c r="W1374" s="1" t="s">
        <v>49</v>
      </c>
    </row>
    <row r="1375" spans="1:23" hidden="1">
      <c r="A1375" s="1">
        <v>9444115</v>
      </c>
      <c r="B1375" s="1" t="s">
        <v>1153</v>
      </c>
      <c r="C1375" t="s">
        <v>2435</v>
      </c>
      <c r="D1375" s="2">
        <v>20230067000014</v>
      </c>
      <c r="E1375" s="2">
        <v>7417163283167</v>
      </c>
      <c r="F1375" s="1" t="s">
        <v>131</v>
      </c>
      <c r="G1375" s="1" t="s">
        <v>53</v>
      </c>
      <c r="H1375" s="1" t="s">
        <v>2091</v>
      </c>
      <c r="I1375" s="1" t="s">
        <v>2092</v>
      </c>
      <c r="J1375" s="1" t="s">
        <v>164</v>
      </c>
      <c r="K1375" t="s">
        <v>132</v>
      </c>
      <c r="M1375" s="1" t="s">
        <v>58</v>
      </c>
      <c r="N1375" s="1">
        <v>0</v>
      </c>
      <c r="O1375" s="1" t="s">
        <v>36</v>
      </c>
      <c r="P1375" s="11" t="s">
        <v>2436</v>
      </c>
      <c r="R1375" s="1">
        <v>14</v>
      </c>
      <c r="T1375" s="1" t="s">
        <v>238</v>
      </c>
      <c r="U1375" s="11" t="s">
        <v>2436</v>
      </c>
      <c r="V1375" s="1" t="s">
        <v>41</v>
      </c>
      <c r="W1375" s="1" t="s">
        <v>49</v>
      </c>
    </row>
    <row r="1376" spans="1:23" hidden="1">
      <c r="A1376" s="1">
        <v>9443812</v>
      </c>
      <c r="B1376" s="1" t="s">
        <v>1153</v>
      </c>
      <c r="C1376" t="s">
        <v>2440</v>
      </c>
      <c r="D1376" s="2">
        <v>20231838000003</v>
      </c>
      <c r="E1376" s="2">
        <v>7417172790813</v>
      </c>
      <c r="F1376" s="1" t="s">
        <v>1989</v>
      </c>
      <c r="G1376" s="1" t="s">
        <v>53</v>
      </c>
      <c r="H1376" s="1" t="s">
        <v>357</v>
      </c>
      <c r="I1376" s="1" t="s">
        <v>358</v>
      </c>
      <c r="J1376" s="1" t="s">
        <v>46</v>
      </c>
      <c r="K1376" t="s">
        <v>1990</v>
      </c>
      <c r="M1376" s="1" t="s">
        <v>58</v>
      </c>
      <c r="N1376" s="1">
        <v>0</v>
      </c>
      <c r="O1376" s="1" t="s">
        <v>36</v>
      </c>
      <c r="P1376" s="11" t="s">
        <v>2441</v>
      </c>
      <c r="R1376" s="1">
        <v>22</v>
      </c>
      <c r="T1376" s="1" t="s">
        <v>1160</v>
      </c>
      <c r="U1376" s="11" t="s">
        <v>2442</v>
      </c>
      <c r="V1376" s="1" t="s">
        <v>41</v>
      </c>
      <c r="W1376" s="1" t="s">
        <v>49</v>
      </c>
    </row>
    <row r="1377" spans="1:23" hidden="1">
      <c r="A1377" s="1">
        <v>9443716</v>
      </c>
      <c r="B1377" s="1" t="s">
        <v>1153</v>
      </c>
      <c r="C1377" t="s">
        <v>2443</v>
      </c>
      <c r="D1377" s="2">
        <v>20234844000359</v>
      </c>
      <c r="E1377" s="2">
        <v>7417163283005</v>
      </c>
      <c r="F1377" s="1" t="s">
        <v>131</v>
      </c>
      <c r="G1377" s="1" t="s">
        <v>53</v>
      </c>
      <c r="H1377" s="1" t="s">
        <v>2444</v>
      </c>
      <c r="I1377" s="1" t="s">
        <v>2445</v>
      </c>
      <c r="J1377" s="1" t="s">
        <v>46</v>
      </c>
      <c r="K1377" t="s">
        <v>132</v>
      </c>
      <c r="M1377" s="1" t="s">
        <v>58</v>
      </c>
      <c r="N1377" s="1">
        <v>0</v>
      </c>
      <c r="O1377" s="1" t="s">
        <v>36</v>
      </c>
      <c r="P1377" s="11" t="s">
        <v>2446</v>
      </c>
      <c r="R1377" s="1">
        <v>13</v>
      </c>
      <c r="T1377" s="1" t="s">
        <v>238</v>
      </c>
      <c r="U1377" s="11" t="s">
        <v>2446</v>
      </c>
      <c r="V1377" s="1" t="s">
        <v>41</v>
      </c>
      <c r="W1377" s="1" t="s">
        <v>49</v>
      </c>
    </row>
    <row r="1378" spans="1:23" hidden="1">
      <c r="A1378" s="1">
        <v>9443334</v>
      </c>
      <c r="B1378" s="1" t="s">
        <v>1153</v>
      </c>
      <c r="C1378" t="s">
        <v>2447</v>
      </c>
      <c r="E1378" s="2">
        <v>710000206001</v>
      </c>
      <c r="F1378" s="1" t="s">
        <v>29</v>
      </c>
      <c r="G1378" s="1" t="s">
        <v>53</v>
      </c>
      <c r="H1378" s="1" t="s">
        <v>390</v>
      </c>
      <c r="I1378" s="1" t="s">
        <v>391</v>
      </c>
      <c r="J1378" s="1" t="s">
        <v>56</v>
      </c>
      <c r="K1378" t="s">
        <v>34</v>
      </c>
      <c r="M1378" s="1" t="s">
        <v>35</v>
      </c>
      <c r="N1378" s="1">
        <v>42318949</v>
      </c>
      <c r="O1378" s="1" t="s">
        <v>36</v>
      </c>
      <c r="P1378" s="11" t="s">
        <v>2448</v>
      </c>
      <c r="R1378" s="1" t="s">
        <v>38</v>
      </c>
      <c r="T1378" s="1" t="s">
        <v>74</v>
      </c>
      <c r="U1378" s="11" t="s">
        <v>2449</v>
      </c>
      <c r="V1378" s="1" t="s">
        <v>41</v>
      </c>
      <c r="W1378" s="1" t="s">
        <v>49</v>
      </c>
    </row>
    <row r="1379" spans="1:23" hidden="1">
      <c r="A1379" s="1">
        <v>9443139</v>
      </c>
      <c r="B1379" s="1" t="s">
        <v>27</v>
      </c>
      <c r="C1379" t="s">
        <v>2450</v>
      </c>
      <c r="E1379" s="2">
        <v>594000206001</v>
      </c>
      <c r="F1379" s="1" t="s">
        <v>29</v>
      </c>
      <c r="G1379" s="1" t="s">
        <v>53</v>
      </c>
      <c r="H1379" s="1" t="s">
        <v>444</v>
      </c>
      <c r="I1379" s="1" t="s">
        <v>445</v>
      </c>
      <c r="J1379" s="1" t="s">
        <v>33</v>
      </c>
      <c r="K1379" t="s">
        <v>34</v>
      </c>
      <c r="M1379" s="1" t="s">
        <v>35</v>
      </c>
      <c r="N1379" s="1">
        <v>42318949</v>
      </c>
      <c r="O1379" s="1" t="s">
        <v>36</v>
      </c>
      <c r="P1379" s="11" t="s">
        <v>2451</v>
      </c>
      <c r="R1379" s="1" t="s">
        <v>38</v>
      </c>
      <c r="T1379" s="1" t="s">
        <v>74</v>
      </c>
      <c r="U1379" s="11" t="s">
        <v>2452</v>
      </c>
      <c r="V1379" s="1" t="s">
        <v>41</v>
      </c>
      <c r="W1379" s="1" t="s">
        <v>42</v>
      </c>
    </row>
    <row r="1380" spans="1:23" hidden="1">
      <c r="A1380" s="1">
        <v>9443045</v>
      </c>
      <c r="B1380" s="1" t="s">
        <v>1153</v>
      </c>
      <c r="C1380" t="s">
        <v>2453</v>
      </c>
      <c r="E1380" s="2">
        <v>69000206001</v>
      </c>
      <c r="F1380" s="1" t="s">
        <v>29</v>
      </c>
      <c r="G1380" s="1" t="s">
        <v>53</v>
      </c>
      <c r="H1380" s="1" t="s">
        <v>1206</v>
      </c>
      <c r="I1380" s="1" t="s">
        <v>1207</v>
      </c>
      <c r="J1380" s="1" t="s">
        <v>33</v>
      </c>
      <c r="K1380" t="s">
        <v>34</v>
      </c>
      <c r="M1380" s="1" t="s">
        <v>35</v>
      </c>
      <c r="N1380" s="1">
        <v>42318949</v>
      </c>
      <c r="O1380" s="1" t="s">
        <v>36</v>
      </c>
      <c r="P1380" s="11" t="s">
        <v>2454</v>
      </c>
      <c r="R1380" s="1" t="s">
        <v>38</v>
      </c>
      <c r="T1380" s="1" t="s">
        <v>74</v>
      </c>
      <c r="U1380" s="11" t="s">
        <v>3105</v>
      </c>
      <c r="V1380" s="1" t="s">
        <v>41</v>
      </c>
      <c r="W1380" s="1" t="s">
        <v>42</v>
      </c>
    </row>
    <row r="1381" spans="1:23" hidden="1">
      <c r="A1381" s="1">
        <v>9440330</v>
      </c>
      <c r="B1381" s="1" t="s">
        <v>1153</v>
      </c>
      <c r="C1381" t="s">
        <v>2459</v>
      </c>
      <c r="E1381" s="2">
        <v>2669000203000</v>
      </c>
      <c r="F1381" s="1" t="s">
        <v>454</v>
      </c>
      <c r="G1381" s="1" t="s">
        <v>53</v>
      </c>
      <c r="H1381" s="1" t="s">
        <v>561</v>
      </c>
      <c r="I1381" s="1" t="s">
        <v>562</v>
      </c>
      <c r="J1381" s="1" t="s">
        <v>110</v>
      </c>
      <c r="K1381" t="s">
        <v>457</v>
      </c>
      <c r="M1381" s="1" t="s">
        <v>58</v>
      </c>
      <c r="N1381" s="1">
        <v>0</v>
      </c>
      <c r="O1381" s="1" t="s">
        <v>36</v>
      </c>
      <c r="P1381" s="11" t="s">
        <v>2460</v>
      </c>
      <c r="R1381" s="1">
        <v>1</v>
      </c>
      <c r="T1381" s="1" t="s">
        <v>157</v>
      </c>
      <c r="U1381" s="11" t="s">
        <v>2461</v>
      </c>
      <c r="V1381" s="1" t="s">
        <v>41</v>
      </c>
      <c r="W1381" s="1" t="s">
        <v>49</v>
      </c>
    </row>
    <row r="1382" spans="1:23" hidden="1">
      <c r="A1382" s="1">
        <v>9439880</v>
      </c>
      <c r="B1382" s="1" t="s">
        <v>1153</v>
      </c>
      <c r="C1382" t="s">
        <v>2462</v>
      </c>
      <c r="E1382" s="2">
        <v>1771000203000</v>
      </c>
      <c r="F1382" s="1" t="s">
        <v>454</v>
      </c>
      <c r="G1382" s="1" t="s">
        <v>53</v>
      </c>
      <c r="H1382" s="1" t="s">
        <v>615</v>
      </c>
      <c r="I1382" s="1" t="s">
        <v>616</v>
      </c>
      <c r="J1382" s="1" t="s">
        <v>261</v>
      </c>
      <c r="K1382" t="s">
        <v>457</v>
      </c>
      <c r="M1382" s="1" t="s">
        <v>58</v>
      </c>
      <c r="N1382" s="1">
        <v>0</v>
      </c>
      <c r="O1382" s="1" t="s">
        <v>36</v>
      </c>
      <c r="P1382" s="11" t="s">
        <v>2463</v>
      </c>
      <c r="R1382" s="1">
        <v>1</v>
      </c>
      <c r="T1382" s="1" t="s">
        <v>157</v>
      </c>
      <c r="U1382" s="11" t="s">
        <v>2464</v>
      </c>
      <c r="V1382" s="1" t="s">
        <v>41</v>
      </c>
      <c r="W1382" s="1" t="s">
        <v>49</v>
      </c>
    </row>
    <row r="1383" spans="1:23" hidden="1">
      <c r="A1383" s="1">
        <v>9439699</v>
      </c>
      <c r="B1383" s="1" t="s">
        <v>1153</v>
      </c>
      <c r="C1383" t="s">
        <v>2465</v>
      </c>
      <c r="E1383" s="2">
        <v>1792000206001</v>
      </c>
      <c r="F1383" s="1" t="s">
        <v>29</v>
      </c>
      <c r="G1383" s="1" t="s">
        <v>53</v>
      </c>
      <c r="H1383" s="1" t="s">
        <v>467</v>
      </c>
      <c r="I1383" s="1" t="s">
        <v>468</v>
      </c>
      <c r="J1383" s="1" t="s">
        <v>110</v>
      </c>
      <c r="K1383" t="s">
        <v>34</v>
      </c>
      <c r="M1383" s="1" t="s">
        <v>35</v>
      </c>
      <c r="N1383" s="1">
        <v>42318949</v>
      </c>
      <c r="O1383" s="1" t="s">
        <v>36</v>
      </c>
      <c r="P1383" s="11" t="s">
        <v>2466</v>
      </c>
      <c r="R1383" s="1" t="s">
        <v>38</v>
      </c>
      <c r="T1383" s="1" t="s">
        <v>74</v>
      </c>
      <c r="U1383" s="11" t="s">
        <v>2023</v>
      </c>
      <c r="V1383" s="1" t="s">
        <v>41</v>
      </c>
      <c r="W1383" s="1" t="s">
        <v>49</v>
      </c>
    </row>
    <row r="1384" spans="1:23" hidden="1">
      <c r="A1384" s="1">
        <v>9439691</v>
      </c>
      <c r="B1384" s="1" t="s">
        <v>1153</v>
      </c>
      <c r="C1384" t="s">
        <v>2467</v>
      </c>
      <c r="E1384" s="2">
        <v>5898000206001</v>
      </c>
      <c r="F1384" s="1" t="s">
        <v>29</v>
      </c>
      <c r="G1384" s="1" t="s">
        <v>53</v>
      </c>
      <c r="H1384" s="1" t="s">
        <v>365</v>
      </c>
      <c r="I1384" s="1" t="s">
        <v>366</v>
      </c>
      <c r="J1384" s="1" t="s">
        <v>164</v>
      </c>
      <c r="K1384" t="s">
        <v>34</v>
      </c>
      <c r="M1384" s="1" t="s">
        <v>35</v>
      </c>
      <c r="N1384" s="1">
        <v>42318949</v>
      </c>
      <c r="O1384" s="1" t="s">
        <v>36</v>
      </c>
      <c r="P1384" s="11" t="s">
        <v>2468</v>
      </c>
      <c r="R1384" s="1" t="s">
        <v>38</v>
      </c>
      <c r="T1384" s="1" t="s">
        <v>74</v>
      </c>
      <c r="U1384" s="11" t="s">
        <v>3105</v>
      </c>
      <c r="V1384" s="1" t="s">
        <v>41</v>
      </c>
      <c r="W1384" s="1" t="s">
        <v>49</v>
      </c>
    </row>
    <row r="1385" spans="1:23" hidden="1">
      <c r="A1385" s="1">
        <v>9439641</v>
      </c>
      <c r="B1385" s="1" t="s">
        <v>1153</v>
      </c>
      <c r="C1385" t="s">
        <v>2469</v>
      </c>
      <c r="E1385" s="2">
        <v>7740206001</v>
      </c>
      <c r="F1385" s="1" t="s">
        <v>29</v>
      </c>
      <c r="G1385" s="1" t="s">
        <v>53</v>
      </c>
      <c r="H1385" s="1" t="s">
        <v>187</v>
      </c>
      <c r="I1385" s="1" t="s">
        <v>188</v>
      </c>
      <c r="J1385" s="1" t="s">
        <v>46</v>
      </c>
      <c r="K1385" t="s">
        <v>34</v>
      </c>
      <c r="M1385" s="1" t="s">
        <v>35</v>
      </c>
      <c r="N1385" s="1">
        <v>42318949</v>
      </c>
      <c r="O1385" s="1" t="s">
        <v>36</v>
      </c>
      <c r="P1385" s="11" t="s">
        <v>2470</v>
      </c>
      <c r="R1385" s="1" t="s">
        <v>38</v>
      </c>
      <c r="T1385" s="1" t="s">
        <v>74</v>
      </c>
      <c r="U1385" s="11" t="s">
        <v>2471</v>
      </c>
      <c r="V1385" s="1" t="s">
        <v>41</v>
      </c>
      <c r="W1385" s="1" t="s">
        <v>49</v>
      </c>
    </row>
    <row r="1386" spans="1:23" hidden="1">
      <c r="A1386" s="1">
        <v>9439434</v>
      </c>
      <c r="B1386" s="1" t="s">
        <v>1153</v>
      </c>
      <c r="C1386" t="s">
        <v>2472</v>
      </c>
      <c r="E1386" s="2">
        <v>2564000203000</v>
      </c>
      <c r="F1386" s="1" t="s">
        <v>454</v>
      </c>
      <c r="G1386" s="1" t="s">
        <v>53</v>
      </c>
      <c r="H1386" s="1" t="s">
        <v>255</v>
      </c>
      <c r="I1386" s="1" t="s">
        <v>256</v>
      </c>
      <c r="J1386" s="1" t="s">
        <v>164</v>
      </c>
      <c r="K1386" t="s">
        <v>457</v>
      </c>
      <c r="M1386" s="1" t="s">
        <v>58</v>
      </c>
      <c r="N1386" s="1">
        <v>0</v>
      </c>
      <c r="O1386" s="1" t="s">
        <v>36</v>
      </c>
      <c r="P1386" s="11" t="s">
        <v>2473</v>
      </c>
      <c r="R1386" s="1">
        <v>1</v>
      </c>
      <c r="T1386" s="1" t="s">
        <v>157</v>
      </c>
      <c r="U1386" s="11" t="s">
        <v>2474</v>
      </c>
      <c r="V1386" s="1" t="s">
        <v>41</v>
      </c>
      <c r="W1386" s="1" t="s">
        <v>49</v>
      </c>
    </row>
    <row r="1387" spans="1:23">
      <c r="A1387" s="1">
        <v>9439379</v>
      </c>
      <c r="B1387" s="1" t="s">
        <v>1153</v>
      </c>
      <c r="C1387" t="s">
        <v>3106</v>
      </c>
      <c r="E1387" s="2">
        <v>1162000206001</v>
      </c>
      <c r="F1387" s="1" t="s">
        <v>29</v>
      </c>
      <c r="G1387" s="1" t="s">
        <v>53</v>
      </c>
      <c r="H1387" s="1" t="s">
        <v>280</v>
      </c>
      <c r="I1387" s="1" t="s">
        <v>281</v>
      </c>
      <c r="J1387" s="1" t="s">
        <v>211</v>
      </c>
      <c r="K1387" t="s">
        <v>34</v>
      </c>
      <c r="M1387" s="1" t="s">
        <v>35</v>
      </c>
      <c r="N1387" s="1">
        <v>42318949</v>
      </c>
      <c r="O1387" s="1" t="s">
        <v>36</v>
      </c>
      <c r="P1387" s="11" t="s">
        <v>2476</v>
      </c>
      <c r="R1387" s="1" t="s">
        <v>38</v>
      </c>
      <c r="T1387" s="1" t="s">
        <v>74</v>
      </c>
      <c r="U1387" s="11" t="s">
        <v>2018</v>
      </c>
      <c r="V1387" s="1" t="s">
        <v>41</v>
      </c>
      <c r="W1387" s="1" t="s">
        <v>49</v>
      </c>
    </row>
    <row r="1388" spans="1:23" hidden="1">
      <c r="A1388" s="1">
        <v>9451053</v>
      </c>
      <c r="B1388" s="1" t="s">
        <v>1153</v>
      </c>
      <c r="C1388" t="s">
        <v>2480</v>
      </c>
      <c r="D1388" s="2">
        <v>20231012000002</v>
      </c>
      <c r="E1388" s="2">
        <v>7417183025975</v>
      </c>
      <c r="F1388" s="1" t="s">
        <v>1313</v>
      </c>
      <c r="G1388" s="1" t="s">
        <v>53</v>
      </c>
      <c r="H1388" s="1" t="s">
        <v>2481</v>
      </c>
      <c r="I1388" s="1" t="s">
        <v>2482</v>
      </c>
      <c r="J1388" s="1" t="s">
        <v>164</v>
      </c>
      <c r="K1388" t="s">
        <v>1316</v>
      </c>
      <c r="M1388" s="1" t="s">
        <v>58</v>
      </c>
      <c r="N1388" s="1">
        <v>0</v>
      </c>
      <c r="O1388" s="1" t="s">
        <v>36</v>
      </c>
      <c r="P1388" s="11" t="s">
        <v>2483</v>
      </c>
      <c r="R1388" s="1">
        <v>15</v>
      </c>
      <c r="T1388" s="1" t="s">
        <v>238</v>
      </c>
      <c r="U1388" s="186">
        <v>44965.416666666664</v>
      </c>
      <c r="V1388" s="1" t="s">
        <v>41</v>
      </c>
      <c r="W1388" s="1" t="s">
        <v>49</v>
      </c>
    </row>
    <row r="1389" spans="1:23" hidden="1">
      <c r="A1389" s="1">
        <v>9450670</v>
      </c>
      <c r="B1389" s="1" t="s">
        <v>1153</v>
      </c>
      <c r="C1389" t="s">
        <v>2488</v>
      </c>
      <c r="D1389" s="2">
        <v>20232442000019</v>
      </c>
      <c r="E1389" s="2">
        <v>7417163281771</v>
      </c>
      <c r="F1389" s="1" t="s">
        <v>131</v>
      </c>
      <c r="G1389" s="1" t="s">
        <v>53</v>
      </c>
      <c r="H1389" s="1" t="s">
        <v>2489</v>
      </c>
      <c r="I1389" s="1" t="s">
        <v>2490</v>
      </c>
      <c r="J1389" s="1" t="s">
        <v>33</v>
      </c>
      <c r="K1389" t="s">
        <v>132</v>
      </c>
      <c r="M1389" s="1" t="s">
        <v>58</v>
      </c>
      <c r="N1389" s="1">
        <v>0</v>
      </c>
      <c r="O1389" s="1" t="s">
        <v>36</v>
      </c>
      <c r="P1389" s="11" t="s">
        <v>2491</v>
      </c>
      <c r="R1389" s="1">
        <v>15</v>
      </c>
      <c r="T1389" s="1" t="s">
        <v>238</v>
      </c>
      <c r="U1389" s="186">
        <v>44964.683622685188</v>
      </c>
      <c r="V1389" s="1" t="s">
        <v>41</v>
      </c>
      <c r="W1389" s="1" t="s">
        <v>42</v>
      </c>
    </row>
    <row r="1390" spans="1:23" hidden="1">
      <c r="A1390" s="1">
        <v>9450561</v>
      </c>
      <c r="B1390" s="1" t="s">
        <v>1153</v>
      </c>
      <c r="C1390" t="s">
        <v>2492</v>
      </c>
      <c r="D1390" s="2">
        <v>20234844000396</v>
      </c>
      <c r="E1390" s="2">
        <v>7419141893520</v>
      </c>
      <c r="F1390" s="1" t="s">
        <v>128</v>
      </c>
      <c r="G1390" s="1" t="s">
        <v>53</v>
      </c>
      <c r="H1390" s="1" t="s">
        <v>2493</v>
      </c>
      <c r="I1390" s="1" t="s">
        <v>2494</v>
      </c>
      <c r="J1390" s="1" t="s">
        <v>46</v>
      </c>
      <c r="K1390" t="s">
        <v>129</v>
      </c>
      <c r="M1390" s="1" t="s">
        <v>58</v>
      </c>
      <c r="N1390" s="1">
        <v>0</v>
      </c>
      <c r="O1390" s="1" t="s">
        <v>36</v>
      </c>
      <c r="P1390" s="11" t="s">
        <v>2495</v>
      </c>
      <c r="R1390" s="1">
        <v>13</v>
      </c>
      <c r="T1390" s="1" t="s">
        <v>238</v>
      </c>
      <c r="U1390" s="186">
        <v>44964.67046296296</v>
      </c>
      <c r="V1390" s="1" t="s">
        <v>41</v>
      </c>
      <c r="W1390" s="1" t="s">
        <v>49</v>
      </c>
    </row>
    <row r="1391" spans="1:23" hidden="1">
      <c r="A1391" s="1">
        <v>9450304</v>
      </c>
      <c r="B1391" s="1" t="s">
        <v>2497</v>
      </c>
      <c r="C1391" t="s">
        <v>2498</v>
      </c>
      <c r="E1391" s="2">
        <v>9406000206021</v>
      </c>
      <c r="F1391" s="1" t="s">
        <v>103</v>
      </c>
      <c r="G1391" s="1" t="s">
        <v>53</v>
      </c>
      <c r="H1391" s="1" t="s">
        <v>114</v>
      </c>
      <c r="I1391" s="1" t="s">
        <v>115</v>
      </c>
      <c r="J1391" s="1" t="s">
        <v>46</v>
      </c>
      <c r="K1391" t="s">
        <v>104</v>
      </c>
      <c r="M1391" s="1" t="s">
        <v>35</v>
      </c>
      <c r="N1391" s="1">
        <v>42318949</v>
      </c>
      <c r="O1391" s="1" t="s">
        <v>105</v>
      </c>
      <c r="P1391" s="11" t="s">
        <v>3107</v>
      </c>
      <c r="R1391" s="1" t="s">
        <v>38</v>
      </c>
      <c r="T1391" s="1" t="s">
        <v>74</v>
      </c>
      <c r="U1391" s="186">
        <v>45007.75</v>
      </c>
      <c r="V1391" s="1" t="s">
        <v>41</v>
      </c>
      <c r="W1391" s="1" t="s">
        <v>49</v>
      </c>
    </row>
    <row r="1392" spans="1:23" hidden="1">
      <c r="A1392" s="1">
        <v>9450156</v>
      </c>
      <c r="B1392" s="1" t="s">
        <v>1153</v>
      </c>
      <c r="C1392" t="s">
        <v>2499</v>
      </c>
      <c r="D1392" s="2">
        <v>20231185000014</v>
      </c>
      <c r="E1392" s="2">
        <v>7417202021213</v>
      </c>
      <c r="F1392" s="1" t="s">
        <v>1213</v>
      </c>
      <c r="G1392" s="1" t="s">
        <v>53</v>
      </c>
      <c r="H1392" s="1" t="s">
        <v>2500</v>
      </c>
      <c r="I1392" s="1" t="s">
        <v>2501</v>
      </c>
      <c r="J1392" s="1" t="s">
        <v>33</v>
      </c>
      <c r="K1392" t="s">
        <v>1214</v>
      </c>
      <c r="M1392" s="1" t="s">
        <v>58</v>
      </c>
      <c r="N1392" s="1">
        <v>0</v>
      </c>
      <c r="O1392" s="1" t="s">
        <v>36</v>
      </c>
      <c r="P1392" s="11" t="s">
        <v>2502</v>
      </c>
      <c r="R1392" s="1">
        <v>14</v>
      </c>
      <c r="T1392" s="1" t="s">
        <v>238</v>
      </c>
      <c r="U1392" s="186">
        <v>44964.608483796299</v>
      </c>
      <c r="V1392" s="1" t="s">
        <v>41</v>
      </c>
      <c r="W1392" s="1" t="s">
        <v>42</v>
      </c>
    </row>
    <row r="1393" spans="1:23" hidden="1">
      <c r="A1393" s="1">
        <v>9450107</v>
      </c>
      <c r="B1393" s="1" t="s">
        <v>1153</v>
      </c>
      <c r="C1393" t="s">
        <v>2503</v>
      </c>
      <c r="D1393" s="2">
        <v>20231850000008</v>
      </c>
      <c r="E1393" s="2">
        <v>7417193050568</v>
      </c>
      <c r="F1393" s="1" t="s">
        <v>1719</v>
      </c>
      <c r="G1393" s="1" t="s">
        <v>53</v>
      </c>
      <c r="H1393" s="1" t="s">
        <v>1931</v>
      </c>
      <c r="I1393" s="1" t="s">
        <v>1932</v>
      </c>
      <c r="J1393" s="1" t="s">
        <v>46</v>
      </c>
      <c r="K1393" t="s">
        <v>1720</v>
      </c>
      <c r="M1393" s="1" t="s">
        <v>58</v>
      </c>
      <c r="N1393" s="1">
        <v>0</v>
      </c>
      <c r="O1393" s="1" t="s">
        <v>36</v>
      </c>
      <c r="P1393" s="11" t="s">
        <v>2504</v>
      </c>
      <c r="R1393" s="1">
        <v>22</v>
      </c>
      <c r="T1393" s="1" t="s">
        <v>1160</v>
      </c>
      <c r="U1393" s="186">
        <v>44967.432500000003</v>
      </c>
      <c r="V1393" s="1" t="s">
        <v>41</v>
      </c>
      <c r="W1393" s="1" t="s">
        <v>49</v>
      </c>
    </row>
    <row r="1394" spans="1:23" hidden="1">
      <c r="A1394" s="1">
        <v>9449961</v>
      </c>
      <c r="B1394" s="1" t="s">
        <v>1153</v>
      </c>
      <c r="C1394" t="s">
        <v>2506</v>
      </c>
      <c r="D1394" s="2">
        <v>20230537000006</v>
      </c>
      <c r="E1394" s="2">
        <v>7417202021163</v>
      </c>
      <c r="F1394" s="1" t="s">
        <v>1213</v>
      </c>
      <c r="G1394" s="1" t="s">
        <v>53</v>
      </c>
      <c r="H1394" s="1" t="s">
        <v>2507</v>
      </c>
      <c r="I1394" s="1" t="s">
        <v>2508</v>
      </c>
      <c r="J1394" s="1" t="s">
        <v>79</v>
      </c>
      <c r="K1394" t="s">
        <v>1214</v>
      </c>
      <c r="M1394" s="1" t="s">
        <v>58</v>
      </c>
      <c r="N1394" s="1">
        <v>0</v>
      </c>
      <c r="O1394" s="1" t="s">
        <v>36</v>
      </c>
      <c r="P1394" s="11" t="s">
        <v>2509</v>
      </c>
      <c r="R1394" s="1">
        <v>14</v>
      </c>
      <c r="T1394" s="1" t="s">
        <v>238</v>
      </c>
      <c r="U1394" s="186">
        <v>44964.585902777777</v>
      </c>
      <c r="V1394" s="1" t="s">
        <v>41</v>
      </c>
      <c r="W1394" s="1" t="s">
        <v>49</v>
      </c>
    </row>
    <row r="1395" spans="1:23" hidden="1">
      <c r="A1395" s="1">
        <v>9449888</v>
      </c>
      <c r="B1395" s="1" t="s">
        <v>1153</v>
      </c>
      <c r="C1395" t="s">
        <v>2510</v>
      </c>
      <c r="D1395" s="2">
        <v>20230582000007</v>
      </c>
      <c r="E1395" s="2">
        <v>7417183023862</v>
      </c>
      <c r="F1395" s="1" t="s">
        <v>1313</v>
      </c>
      <c r="G1395" s="1" t="s">
        <v>53</v>
      </c>
      <c r="H1395" s="1" t="s">
        <v>2511</v>
      </c>
      <c r="I1395" s="1" t="s">
        <v>2512</v>
      </c>
      <c r="J1395" s="1" t="s">
        <v>141</v>
      </c>
      <c r="K1395" t="s">
        <v>1316</v>
      </c>
      <c r="M1395" s="1" t="s">
        <v>58</v>
      </c>
      <c r="N1395" s="1">
        <v>0</v>
      </c>
      <c r="O1395" s="1" t="s">
        <v>36</v>
      </c>
      <c r="P1395" s="11" t="s">
        <v>2513</v>
      </c>
      <c r="R1395" s="1">
        <v>14</v>
      </c>
      <c r="T1395" s="1" t="s">
        <v>238</v>
      </c>
      <c r="U1395" s="186">
        <v>44964.570497685185</v>
      </c>
      <c r="V1395" s="1" t="s">
        <v>41</v>
      </c>
      <c r="W1395" s="1" t="s">
        <v>49</v>
      </c>
    </row>
    <row r="1396" spans="1:23" hidden="1">
      <c r="A1396" s="1">
        <v>9449460</v>
      </c>
      <c r="B1396" s="1" t="s">
        <v>1153</v>
      </c>
      <c r="C1396" t="s">
        <v>2517</v>
      </c>
      <c r="D1396" s="2">
        <v>20234844000391</v>
      </c>
      <c r="E1396" s="2">
        <v>7417183020643</v>
      </c>
      <c r="F1396" s="1" t="s">
        <v>1313</v>
      </c>
      <c r="G1396" s="1" t="s">
        <v>53</v>
      </c>
      <c r="H1396" s="1" t="s">
        <v>2444</v>
      </c>
      <c r="I1396" s="1" t="s">
        <v>2445</v>
      </c>
      <c r="J1396" s="1" t="s">
        <v>46</v>
      </c>
      <c r="K1396" t="s">
        <v>1316</v>
      </c>
      <c r="M1396" s="1" t="s">
        <v>58</v>
      </c>
      <c r="N1396" s="1">
        <v>0</v>
      </c>
      <c r="O1396" s="1" t="s">
        <v>36</v>
      </c>
      <c r="P1396" s="11" t="s">
        <v>2518</v>
      </c>
      <c r="R1396" s="1">
        <v>13</v>
      </c>
      <c r="T1396" s="1" t="s">
        <v>238</v>
      </c>
      <c r="U1396" s="186">
        <v>44964.514328703706</v>
      </c>
      <c r="V1396" s="1" t="s">
        <v>41</v>
      </c>
      <c r="W1396" s="1" t="s">
        <v>49</v>
      </c>
    </row>
    <row r="1397" spans="1:23" hidden="1">
      <c r="A1397" s="1">
        <v>9449450</v>
      </c>
      <c r="B1397" s="1" t="s">
        <v>1153</v>
      </c>
      <c r="C1397" t="s">
        <v>2519</v>
      </c>
      <c r="D1397" s="2">
        <v>20233433000006</v>
      </c>
      <c r="E1397" s="2">
        <v>7417191614659</v>
      </c>
      <c r="F1397" s="1" t="s">
        <v>1719</v>
      </c>
      <c r="G1397" s="1" t="s">
        <v>53</v>
      </c>
      <c r="H1397" s="1" t="s">
        <v>2520</v>
      </c>
      <c r="I1397" s="1" t="s">
        <v>2521</v>
      </c>
      <c r="J1397" s="1" t="s">
        <v>46</v>
      </c>
      <c r="K1397" t="s">
        <v>1720</v>
      </c>
      <c r="M1397" s="1" t="s">
        <v>58</v>
      </c>
      <c r="N1397" s="1">
        <v>0</v>
      </c>
      <c r="O1397" s="1" t="s">
        <v>36</v>
      </c>
      <c r="P1397" s="11" t="s">
        <v>2522</v>
      </c>
      <c r="R1397" s="1">
        <v>22</v>
      </c>
      <c r="T1397" s="1" t="s">
        <v>1160</v>
      </c>
      <c r="U1397" s="186">
        <v>44966.724212962959</v>
      </c>
      <c r="V1397" s="1" t="s">
        <v>41</v>
      </c>
      <c r="W1397" s="1" t="s">
        <v>49</v>
      </c>
    </row>
    <row r="1398" spans="1:23" hidden="1">
      <c r="A1398" s="1">
        <v>9449448</v>
      </c>
      <c r="B1398" s="1" t="s">
        <v>1153</v>
      </c>
      <c r="C1398" t="s">
        <v>2524</v>
      </c>
      <c r="D1398" s="2">
        <v>20233433000005</v>
      </c>
      <c r="E1398" s="2">
        <v>7417191614842</v>
      </c>
      <c r="F1398" s="1" t="s">
        <v>1719</v>
      </c>
      <c r="G1398" s="1" t="s">
        <v>53</v>
      </c>
      <c r="H1398" s="1" t="s">
        <v>2520</v>
      </c>
      <c r="I1398" s="1" t="s">
        <v>2521</v>
      </c>
      <c r="J1398" s="1" t="s">
        <v>33</v>
      </c>
      <c r="K1398" t="s">
        <v>1720</v>
      </c>
      <c r="M1398" s="1" t="s">
        <v>58</v>
      </c>
      <c r="N1398" s="1">
        <v>0</v>
      </c>
      <c r="O1398" s="1" t="s">
        <v>36</v>
      </c>
      <c r="P1398" s="11" t="s">
        <v>2525</v>
      </c>
      <c r="R1398" s="1">
        <v>22</v>
      </c>
      <c r="T1398" s="1" t="s">
        <v>1160</v>
      </c>
      <c r="U1398" s="186">
        <v>44966.722696759258</v>
      </c>
      <c r="V1398" s="1" t="s">
        <v>41</v>
      </c>
      <c r="W1398" s="1" t="s">
        <v>49</v>
      </c>
    </row>
    <row r="1399" spans="1:23" hidden="1">
      <c r="A1399" s="1">
        <v>9449339</v>
      </c>
      <c r="B1399" s="1" t="s">
        <v>1153</v>
      </c>
      <c r="C1399" t="s">
        <v>2527</v>
      </c>
      <c r="D1399" s="2">
        <v>20231120000005</v>
      </c>
      <c r="E1399" s="2">
        <v>7417163280559</v>
      </c>
      <c r="F1399" s="1" t="s">
        <v>131</v>
      </c>
      <c r="G1399" s="1" t="s">
        <v>53</v>
      </c>
      <c r="H1399" s="1" t="s">
        <v>2528</v>
      </c>
      <c r="I1399" s="1" t="s">
        <v>2529</v>
      </c>
      <c r="J1399" s="1" t="s">
        <v>164</v>
      </c>
      <c r="K1399" t="s">
        <v>132</v>
      </c>
      <c r="M1399" s="1" t="s">
        <v>58</v>
      </c>
      <c r="N1399" s="1">
        <v>0</v>
      </c>
      <c r="O1399" s="1" t="s">
        <v>36</v>
      </c>
      <c r="P1399" s="11" t="s">
        <v>2530</v>
      </c>
      <c r="R1399" s="1">
        <v>14</v>
      </c>
      <c r="T1399" s="1" t="s">
        <v>238</v>
      </c>
      <c r="U1399" s="186">
        <v>44964.504212962966</v>
      </c>
      <c r="V1399" s="1" t="s">
        <v>41</v>
      </c>
      <c r="W1399" s="1" t="s">
        <v>49</v>
      </c>
    </row>
    <row r="1400" spans="1:23">
      <c r="A1400" s="1">
        <v>9449335</v>
      </c>
      <c r="B1400" s="1" t="s">
        <v>1153</v>
      </c>
      <c r="C1400" t="s">
        <v>3108</v>
      </c>
      <c r="D1400" s="2">
        <v>20230246000010</v>
      </c>
      <c r="E1400" s="2">
        <v>7417202020064</v>
      </c>
      <c r="F1400" s="1" t="s">
        <v>1213</v>
      </c>
      <c r="G1400" s="1" t="s">
        <v>53</v>
      </c>
      <c r="H1400" s="1" t="s">
        <v>2321</v>
      </c>
      <c r="I1400" s="1" t="s">
        <v>2322</v>
      </c>
      <c r="J1400" s="1" t="s">
        <v>85</v>
      </c>
      <c r="K1400" t="s">
        <v>1214</v>
      </c>
      <c r="M1400" s="1" t="s">
        <v>58</v>
      </c>
      <c r="N1400" s="1">
        <v>0</v>
      </c>
      <c r="O1400" s="1" t="s">
        <v>36</v>
      </c>
      <c r="P1400" s="11" t="s">
        <v>2532</v>
      </c>
      <c r="R1400" s="1">
        <v>14</v>
      </c>
      <c r="T1400" s="1" t="s">
        <v>238</v>
      </c>
      <c r="U1400" s="186">
        <v>44964.502951388888</v>
      </c>
      <c r="V1400" s="1" t="s">
        <v>41</v>
      </c>
      <c r="W1400" s="1" t="s">
        <v>49</v>
      </c>
    </row>
    <row r="1401" spans="1:23" hidden="1">
      <c r="A1401" s="1">
        <v>9449008</v>
      </c>
      <c r="B1401" s="1" t="s">
        <v>1153</v>
      </c>
      <c r="C1401" t="s">
        <v>2440</v>
      </c>
      <c r="D1401" s="2">
        <v>20234981000001</v>
      </c>
      <c r="E1401" s="2">
        <v>7419152405218</v>
      </c>
      <c r="F1401" s="1" t="s">
        <v>2533</v>
      </c>
      <c r="G1401" s="1" t="s">
        <v>53</v>
      </c>
      <c r="H1401" s="1" t="s">
        <v>2534</v>
      </c>
      <c r="I1401" s="1" t="s">
        <v>2535</v>
      </c>
      <c r="J1401" s="1" t="s">
        <v>46</v>
      </c>
      <c r="K1401" t="s">
        <v>2536</v>
      </c>
      <c r="M1401" s="1" t="s">
        <v>58</v>
      </c>
      <c r="N1401" s="1">
        <v>0</v>
      </c>
      <c r="O1401" s="1" t="s">
        <v>36</v>
      </c>
      <c r="P1401" s="11" t="s">
        <v>2537</v>
      </c>
      <c r="R1401" s="1">
        <v>22</v>
      </c>
      <c r="T1401" s="1" t="s">
        <v>1160</v>
      </c>
      <c r="U1401" s="186">
        <v>44966.659895833334</v>
      </c>
      <c r="V1401" s="1" t="s">
        <v>41</v>
      </c>
      <c r="W1401" s="1" t="s">
        <v>49</v>
      </c>
    </row>
    <row r="1402" spans="1:23" hidden="1">
      <c r="A1402" s="1">
        <v>9448922</v>
      </c>
      <c r="B1402" s="1" t="s">
        <v>1153</v>
      </c>
      <c r="C1402" t="s">
        <v>2539</v>
      </c>
      <c r="D1402" s="2">
        <v>20234844000385</v>
      </c>
      <c r="E1402" s="2">
        <v>7417161483344</v>
      </c>
      <c r="F1402" s="1" t="s">
        <v>1217</v>
      </c>
      <c r="G1402" s="1" t="s">
        <v>53</v>
      </c>
      <c r="H1402" s="1" t="s">
        <v>2540</v>
      </c>
      <c r="I1402" s="1" t="s">
        <v>2541</v>
      </c>
      <c r="J1402" s="1" t="s">
        <v>46</v>
      </c>
      <c r="K1402" t="s">
        <v>1218</v>
      </c>
      <c r="M1402" s="1" t="s">
        <v>58</v>
      </c>
      <c r="N1402" s="1">
        <v>0</v>
      </c>
      <c r="O1402" s="1" t="s">
        <v>36</v>
      </c>
      <c r="P1402" s="11" t="s">
        <v>2542</v>
      </c>
      <c r="R1402" s="1">
        <v>13</v>
      </c>
      <c r="T1402" s="1" t="s">
        <v>238</v>
      </c>
      <c r="U1402" s="186">
        <v>44964.438483796293</v>
      </c>
      <c r="V1402" s="1" t="s">
        <v>41</v>
      </c>
      <c r="W1402" s="1" t="s">
        <v>49</v>
      </c>
    </row>
    <row r="1403" spans="1:23">
      <c r="A1403" s="1">
        <v>9448803</v>
      </c>
      <c r="B1403" s="1" t="s">
        <v>1153</v>
      </c>
      <c r="C1403" s="201" t="s">
        <v>2543</v>
      </c>
      <c r="D1403" s="2">
        <v>20232737000010</v>
      </c>
      <c r="E1403" s="2">
        <v>7417163284489</v>
      </c>
      <c r="F1403" s="1" t="s">
        <v>131</v>
      </c>
      <c r="G1403" s="1" t="s">
        <v>53</v>
      </c>
      <c r="H1403" s="1" t="s">
        <v>2544</v>
      </c>
      <c r="I1403" s="1" t="s">
        <v>2545</v>
      </c>
      <c r="J1403" s="1" t="s">
        <v>90</v>
      </c>
      <c r="K1403" t="s">
        <v>132</v>
      </c>
      <c r="M1403" s="1" t="s">
        <v>58</v>
      </c>
      <c r="N1403" s="1">
        <v>0</v>
      </c>
      <c r="O1403" s="1" t="s">
        <v>36</v>
      </c>
      <c r="P1403" s="11" t="s">
        <v>2546</v>
      </c>
      <c r="R1403" s="1">
        <v>14</v>
      </c>
      <c r="T1403" s="1" t="s">
        <v>238</v>
      </c>
      <c r="U1403" s="186">
        <v>44964.431805555556</v>
      </c>
      <c r="V1403" s="1" t="s">
        <v>41</v>
      </c>
      <c r="W1403" s="1" t="s">
        <v>49</v>
      </c>
    </row>
    <row r="1404" spans="1:23" hidden="1">
      <c r="A1404" s="1">
        <v>9448764</v>
      </c>
      <c r="B1404" s="1" t="s">
        <v>1153</v>
      </c>
      <c r="C1404" t="s">
        <v>2547</v>
      </c>
      <c r="E1404" s="2">
        <v>1360000206001</v>
      </c>
      <c r="F1404" s="1" t="s">
        <v>29</v>
      </c>
      <c r="G1404" s="1" t="s">
        <v>53</v>
      </c>
      <c r="H1404" s="1" t="s">
        <v>303</v>
      </c>
      <c r="I1404" s="1" t="s">
        <v>304</v>
      </c>
      <c r="J1404" s="1" t="s">
        <v>261</v>
      </c>
      <c r="K1404" t="s">
        <v>34</v>
      </c>
      <c r="M1404" s="1" t="s">
        <v>35</v>
      </c>
      <c r="N1404" s="1">
        <v>42318949</v>
      </c>
      <c r="O1404" s="1" t="s">
        <v>36</v>
      </c>
      <c r="P1404" s="11" t="s">
        <v>2548</v>
      </c>
      <c r="R1404" s="1" t="s">
        <v>38</v>
      </c>
      <c r="T1404" s="1" t="s">
        <v>74</v>
      </c>
      <c r="U1404" s="186">
        <v>44985.708333333336</v>
      </c>
      <c r="V1404" s="1" t="s">
        <v>41</v>
      </c>
      <c r="W1404" s="1" t="s">
        <v>49</v>
      </c>
    </row>
    <row r="1405" spans="1:23" hidden="1">
      <c r="A1405" s="1">
        <v>9448733</v>
      </c>
      <c r="B1405" s="1" t="s">
        <v>1153</v>
      </c>
      <c r="C1405" t="s">
        <v>2549</v>
      </c>
      <c r="D1405" s="2">
        <v>20234844000384</v>
      </c>
      <c r="E1405" s="2">
        <v>7417183020675</v>
      </c>
      <c r="F1405" s="1" t="s">
        <v>1313</v>
      </c>
      <c r="G1405" s="1" t="s">
        <v>53</v>
      </c>
      <c r="H1405" s="1" t="s">
        <v>2550</v>
      </c>
      <c r="I1405" s="1" t="s">
        <v>2551</v>
      </c>
      <c r="J1405" s="1" t="s">
        <v>46</v>
      </c>
      <c r="K1405" t="s">
        <v>1316</v>
      </c>
      <c r="M1405" s="1" t="s">
        <v>58</v>
      </c>
      <c r="N1405" s="1">
        <v>0</v>
      </c>
      <c r="O1405" s="1" t="s">
        <v>36</v>
      </c>
      <c r="P1405" s="11" t="s">
        <v>2552</v>
      </c>
      <c r="R1405" s="1">
        <v>13</v>
      </c>
      <c r="T1405" s="1" t="s">
        <v>238</v>
      </c>
      <c r="U1405" s="186">
        <v>44964.421956018516</v>
      </c>
      <c r="V1405" s="1" t="s">
        <v>41</v>
      </c>
      <c r="W1405" s="1" t="s">
        <v>49</v>
      </c>
    </row>
    <row r="1406" spans="1:23" hidden="1">
      <c r="A1406" s="1">
        <v>9448626</v>
      </c>
      <c r="B1406" s="1" t="s">
        <v>1153</v>
      </c>
      <c r="C1406" t="s">
        <v>2555</v>
      </c>
      <c r="D1406" s="2">
        <v>20230710000007</v>
      </c>
      <c r="E1406" s="2">
        <v>7419141894913</v>
      </c>
      <c r="F1406" s="1" t="s">
        <v>128</v>
      </c>
      <c r="G1406" s="1" t="s">
        <v>53</v>
      </c>
      <c r="H1406" s="1" t="s">
        <v>2556</v>
      </c>
      <c r="I1406" s="1" t="s">
        <v>2557</v>
      </c>
      <c r="J1406" s="1" t="s">
        <v>56</v>
      </c>
      <c r="K1406" t="s">
        <v>129</v>
      </c>
      <c r="M1406" s="1" t="s">
        <v>58</v>
      </c>
      <c r="N1406" s="1">
        <v>0</v>
      </c>
      <c r="O1406" s="1" t="s">
        <v>36</v>
      </c>
      <c r="P1406" s="11" t="s">
        <v>2558</v>
      </c>
      <c r="R1406" s="1">
        <v>14</v>
      </c>
      <c r="T1406" s="1" t="s">
        <v>238</v>
      </c>
      <c r="U1406" s="186">
        <v>44964.411261574074</v>
      </c>
      <c r="V1406" s="1" t="s">
        <v>41</v>
      </c>
      <c r="W1406" s="1" t="s">
        <v>49</v>
      </c>
    </row>
    <row r="1407" spans="1:23" hidden="1">
      <c r="A1407" s="1">
        <v>9448398</v>
      </c>
      <c r="B1407" s="1" t="s">
        <v>1153</v>
      </c>
      <c r="C1407" t="s">
        <v>2559</v>
      </c>
      <c r="D1407" s="2">
        <v>20231052000011</v>
      </c>
      <c r="E1407" s="2">
        <v>7417163285093</v>
      </c>
      <c r="F1407" s="1" t="s">
        <v>131</v>
      </c>
      <c r="G1407" s="1" t="s">
        <v>53</v>
      </c>
      <c r="H1407" s="1" t="s">
        <v>2560</v>
      </c>
      <c r="I1407" s="1" t="s">
        <v>2561</v>
      </c>
      <c r="J1407" s="1" t="s">
        <v>79</v>
      </c>
      <c r="K1407" t="s">
        <v>132</v>
      </c>
      <c r="M1407" s="1" t="s">
        <v>58</v>
      </c>
      <c r="N1407" s="1">
        <v>0</v>
      </c>
      <c r="O1407" s="1" t="s">
        <v>36</v>
      </c>
      <c r="P1407" s="11" t="s">
        <v>2562</v>
      </c>
      <c r="R1407" s="1">
        <v>14</v>
      </c>
      <c r="T1407" s="1" t="s">
        <v>238</v>
      </c>
      <c r="U1407" s="186">
        <v>44964.395833333336</v>
      </c>
      <c r="V1407" s="1" t="s">
        <v>41</v>
      </c>
      <c r="W1407" s="1" t="s">
        <v>49</v>
      </c>
    </row>
    <row r="1408" spans="1:23" hidden="1">
      <c r="A1408" s="1">
        <v>9448238</v>
      </c>
      <c r="B1408" s="1" t="s">
        <v>1153</v>
      </c>
      <c r="C1408" t="s">
        <v>2564</v>
      </c>
      <c r="D1408" s="2">
        <v>20234844000379</v>
      </c>
      <c r="E1408" s="2">
        <v>7417183020628</v>
      </c>
      <c r="F1408" s="1" t="s">
        <v>1313</v>
      </c>
      <c r="G1408" s="1" t="s">
        <v>53</v>
      </c>
      <c r="H1408" s="1" t="s">
        <v>2478</v>
      </c>
      <c r="I1408" s="1" t="s">
        <v>2479</v>
      </c>
      <c r="J1408" s="1" t="s">
        <v>46</v>
      </c>
      <c r="K1408" t="s">
        <v>1316</v>
      </c>
      <c r="M1408" s="1" t="s">
        <v>58</v>
      </c>
      <c r="N1408" s="1">
        <v>0</v>
      </c>
      <c r="O1408" s="1" t="s">
        <v>36</v>
      </c>
      <c r="P1408" s="11" t="s">
        <v>2565</v>
      </c>
      <c r="R1408" s="1">
        <v>13</v>
      </c>
      <c r="T1408" s="1" t="s">
        <v>238</v>
      </c>
      <c r="U1408" s="186">
        <v>44964.395833333336</v>
      </c>
      <c r="V1408" s="1" t="s">
        <v>41</v>
      </c>
      <c r="W1408" s="1" t="s">
        <v>49</v>
      </c>
    </row>
    <row r="1409" spans="1:23" hidden="1">
      <c r="A1409" s="1">
        <v>9448003</v>
      </c>
      <c r="B1409" s="1" t="s">
        <v>1153</v>
      </c>
      <c r="C1409" t="s">
        <v>2566</v>
      </c>
      <c r="E1409" s="2">
        <v>54569</v>
      </c>
      <c r="F1409" s="1" t="s">
        <v>2567</v>
      </c>
      <c r="G1409" s="1" t="s">
        <v>53</v>
      </c>
      <c r="H1409" s="1" t="s">
        <v>351</v>
      </c>
      <c r="I1409" s="1" t="s">
        <v>352</v>
      </c>
      <c r="J1409" s="1" t="s">
        <v>110</v>
      </c>
      <c r="K1409" t="s">
        <v>2568</v>
      </c>
      <c r="M1409" s="1" t="s">
        <v>35</v>
      </c>
      <c r="N1409" s="1">
        <v>42318949</v>
      </c>
      <c r="O1409" s="1" t="s">
        <v>36</v>
      </c>
      <c r="P1409" s="11" t="s">
        <v>2569</v>
      </c>
      <c r="R1409" s="1" t="s">
        <v>38</v>
      </c>
      <c r="T1409" s="1" t="s">
        <v>74</v>
      </c>
      <c r="U1409" s="186">
        <v>44985.708333333336</v>
      </c>
      <c r="V1409" s="1" t="s">
        <v>41</v>
      </c>
      <c r="W1409" s="1" t="s">
        <v>49</v>
      </c>
    </row>
    <row r="1410" spans="1:23" hidden="1">
      <c r="A1410" s="1">
        <v>9456048</v>
      </c>
      <c r="B1410" s="1" t="s">
        <v>1153</v>
      </c>
      <c r="C1410" t="s">
        <v>2570</v>
      </c>
      <c r="D1410" s="2">
        <v>20235846000004</v>
      </c>
      <c r="E1410" s="2">
        <v>7419152406688</v>
      </c>
      <c r="F1410" s="1" t="s">
        <v>2533</v>
      </c>
      <c r="G1410" s="1" t="s">
        <v>53</v>
      </c>
      <c r="H1410" s="1" t="s">
        <v>2571</v>
      </c>
      <c r="I1410" s="1" t="s">
        <v>2572</v>
      </c>
      <c r="J1410" s="1" t="s">
        <v>46</v>
      </c>
      <c r="K1410" t="s">
        <v>2536</v>
      </c>
      <c r="M1410" s="1" t="s">
        <v>58</v>
      </c>
      <c r="N1410" s="1">
        <v>0</v>
      </c>
      <c r="O1410" s="1" t="s">
        <v>36</v>
      </c>
      <c r="P1410" s="11" t="s">
        <v>3109</v>
      </c>
      <c r="R1410" s="1">
        <v>22</v>
      </c>
      <c r="T1410" s="1" t="s">
        <v>1160</v>
      </c>
      <c r="U1410" s="186">
        <v>44970.583333333336</v>
      </c>
      <c r="V1410" s="1" t="s">
        <v>41</v>
      </c>
      <c r="W1410" s="1" t="s">
        <v>49</v>
      </c>
    </row>
    <row r="1411" spans="1:23" hidden="1">
      <c r="A1411" s="1">
        <v>9456005</v>
      </c>
      <c r="B1411" s="1" t="s">
        <v>1153</v>
      </c>
      <c r="C1411" t="s">
        <v>2573</v>
      </c>
      <c r="D1411" s="2">
        <v>20234844000414</v>
      </c>
      <c r="E1411" s="2">
        <v>7419141891941</v>
      </c>
      <c r="F1411" s="1" t="s">
        <v>128</v>
      </c>
      <c r="G1411" s="1" t="s">
        <v>53</v>
      </c>
      <c r="H1411" s="1" t="s">
        <v>2574</v>
      </c>
      <c r="I1411" s="1" t="s">
        <v>2575</v>
      </c>
      <c r="J1411" s="1" t="s">
        <v>46</v>
      </c>
      <c r="K1411" t="s">
        <v>129</v>
      </c>
      <c r="M1411" s="1" t="s">
        <v>58</v>
      </c>
      <c r="N1411" s="1">
        <v>0</v>
      </c>
      <c r="O1411" s="1" t="s">
        <v>36</v>
      </c>
      <c r="P1411" s="11" t="s">
        <v>2576</v>
      </c>
      <c r="R1411" s="1">
        <v>13</v>
      </c>
      <c r="T1411" s="1" t="s">
        <v>238</v>
      </c>
      <c r="U1411" s="186">
        <v>44966.395833333336</v>
      </c>
      <c r="V1411" s="1" t="s">
        <v>41</v>
      </c>
      <c r="W1411" s="1" t="s">
        <v>49</v>
      </c>
    </row>
    <row r="1412" spans="1:23" hidden="1">
      <c r="A1412" s="1">
        <v>9455714</v>
      </c>
      <c r="B1412" s="1" t="s">
        <v>1153</v>
      </c>
      <c r="C1412" t="s">
        <v>2578</v>
      </c>
      <c r="D1412" s="2">
        <v>20230244000007</v>
      </c>
      <c r="E1412" s="2">
        <v>7417210950125</v>
      </c>
      <c r="F1412" s="1" t="s">
        <v>1213</v>
      </c>
      <c r="G1412" s="1" t="s">
        <v>53</v>
      </c>
      <c r="H1412" s="1" t="s">
        <v>2579</v>
      </c>
      <c r="I1412" s="1" t="s">
        <v>2580</v>
      </c>
      <c r="J1412" s="1" t="s">
        <v>56</v>
      </c>
      <c r="K1412" t="s">
        <v>1214</v>
      </c>
      <c r="M1412" s="1" t="s">
        <v>58</v>
      </c>
      <c r="N1412" s="1">
        <v>0</v>
      </c>
      <c r="O1412" s="1" t="s">
        <v>36</v>
      </c>
      <c r="P1412" s="11" t="s">
        <v>2581</v>
      </c>
      <c r="R1412" s="1">
        <v>14</v>
      </c>
      <c r="T1412" s="1" t="s">
        <v>238</v>
      </c>
      <c r="U1412" s="186">
        <v>44965.704652777778</v>
      </c>
      <c r="V1412" s="1" t="s">
        <v>41</v>
      </c>
      <c r="W1412" s="1" t="s">
        <v>49</v>
      </c>
    </row>
    <row r="1413" spans="1:23" hidden="1">
      <c r="A1413" s="1">
        <v>9455659</v>
      </c>
      <c r="B1413" s="1" t="s">
        <v>62</v>
      </c>
      <c r="C1413" t="s">
        <v>2582</v>
      </c>
      <c r="E1413" s="2">
        <v>3258000206001</v>
      </c>
      <c r="F1413" s="1" t="s">
        <v>29</v>
      </c>
      <c r="G1413" s="1" t="s">
        <v>53</v>
      </c>
      <c r="H1413" s="1" t="s">
        <v>321</v>
      </c>
      <c r="I1413" s="1" t="s">
        <v>322</v>
      </c>
      <c r="J1413" s="1" t="s">
        <v>46</v>
      </c>
      <c r="K1413" t="s">
        <v>34</v>
      </c>
      <c r="M1413" s="1" t="s">
        <v>35</v>
      </c>
      <c r="N1413" s="1">
        <v>42318949</v>
      </c>
      <c r="O1413" s="1" t="s">
        <v>105</v>
      </c>
      <c r="P1413" s="11" t="s">
        <v>2583</v>
      </c>
      <c r="R1413" s="1" t="s">
        <v>38</v>
      </c>
      <c r="T1413" s="1" t="s">
        <v>74</v>
      </c>
      <c r="U1413" s="186">
        <v>45008.75</v>
      </c>
      <c r="V1413" s="1" t="s">
        <v>41</v>
      </c>
      <c r="W1413" s="1" t="s">
        <v>49</v>
      </c>
    </row>
    <row r="1414" spans="1:23" hidden="1">
      <c r="A1414" s="1">
        <v>9455160</v>
      </c>
      <c r="B1414" s="1" t="s">
        <v>1153</v>
      </c>
      <c r="C1414" t="s">
        <v>2588</v>
      </c>
      <c r="D1414" s="2">
        <v>20234844000411</v>
      </c>
      <c r="E1414" s="2">
        <v>7417183020623</v>
      </c>
      <c r="F1414" s="1" t="s">
        <v>1313</v>
      </c>
      <c r="G1414" s="1" t="s">
        <v>53</v>
      </c>
      <c r="H1414" s="1" t="s">
        <v>2348</v>
      </c>
      <c r="I1414" s="1" t="s">
        <v>2349</v>
      </c>
      <c r="J1414" s="1" t="s">
        <v>46</v>
      </c>
      <c r="K1414" t="s">
        <v>1316</v>
      </c>
      <c r="M1414" s="1" t="s">
        <v>58</v>
      </c>
      <c r="N1414" s="1">
        <v>0</v>
      </c>
      <c r="O1414" s="1" t="s">
        <v>36</v>
      </c>
      <c r="P1414" s="11" t="s">
        <v>2589</v>
      </c>
      <c r="R1414" s="1">
        <v>13</v>
      </c>
      <c r="T1414" s="1" t="s">
        <v>238</v>
      </c>
      <c r="U1414" s="186">
        <v>44965.631886574076</v>
      </c>
      <c r="V1414" s="1" t="s">
        <v>41</v>
      </c>
      <c r="W1414" s="1" t="s">
        <v>49</v>
      </c>
    </row>
    <row r="1415" spans="1:23" hidden="1">
      <c r="A1415" s="1">
        <v>9454837</v>
      </c>
      <c r="B1415" s="1" t="s">
        <v>1153</v>
      </c>
      <c r="C1415" t="s">
        <v>2590</v>
      </c>
      <c r="D1415" s="2">
        <v>20230115000011</v>
      </c>
      <c r="E1415" s="2">
        <v>7417202020304</v>
      </c>
      <c r="F1415" s="1" t="s">
        <v>1213</v>
      </c>
      <c r="G1415" s="1" t="s">
        <v>53</v>
      </c>
      <c r="H1415" s="1" t="s">
        <v>2591</v>
      </c>
      <c r="I1415" s="1" t="s">
        <v>2592</v>
      </c>
      <c r="J1415" s="1" t="s">
        <v>56</v>
      </c>
      <c r="K1415" t="s">
        <v>1214</v>
      </c>
      <c r="M1415" s="1" t="s">
        <v>58</v>
      </c>
      <c r="N1415" s="1">
        <v>0</v>
      </c>
      <c r="O1415" s="1" t="s">
        <v>36</v>
      </c>
      <c r="P1415" s="11" t="s">
        <v>2593</v>
      </c>
      <c r="R1415" s="1">
        <v>14</v>
      </c>
      <c r="T1415" s="1" t="s">
        <v>238</v>
      </c>
      <c r="U1415" s="186">
        <v>44965.57172453704</v>
      </c>
      <c r="V1415" s="1" t="s">
        <v>41</v>
      </c>
      <c r="W1415" s="1" t="s">
        <v>49</v>
      </c>
    </row>
    <row r="1416" spans="1:23" hidden="1">
      <c r="A1416" s="1">
        <v>9454830</v>
      </c>
      <c r="B1416" s="1" t="s">
        <v>1153</v>
      </c>
      <c r="C1416" t="s">
        <v>2594</v>
      </c>
      <c r="D1416" s="2">
        <v>20230582000008</v>
      </c>
      <c r="E1416" s="2">
        <v>7417183023985</v>
      </c>
      <c r="F1416" s="1" t="s">
        <v>1313</v>
      </c>
      <c r="G1416" s="1" t="s">
        <v>53</v>
      </c>
      <c r="H1416" s="1" t="s">
        <v>2511</v>
      </c>
      <c r="I1416" s="1" t="s">
        <v>2512</v>
      </c>
      <c r="J1416" s="1" t="s">
        <v>141</v>
      </c>
      <c r="K1416" t="s">
        <v>1316</v>
      </c>
      <c r="M1416" s="1" t="s">
        <v>58</v>
      </c>
      <c r="N1416" s="1">
        <v>0</v>
      </c>
      <c r="O1416" s="1" t="s">
        <v>36</v>
      </c>
      <c r="P1416" s="11" t="s">
        <v>3110</v>
      </c>
      <c r="R1416" s="1">
        <v>14</v>
      </c>
      <c r="T1416" s="1" t="s">
        <v>238</v>
      </c>
      <c r="U1416" s="186">
        <v>44965.574340277781</v>
      </c>
      <c r="V1416" s="1" t="s">
        <v>41</v>
      </c>
      <c r="W1416" s="1" t="s">
        <v>49</v>
      </c>
    </row>
    <row r="1417" spans="1:23">
      <c r="A1417" s="181">
        <v>9454801</v>
      </c>
      <c r="B1417" s="181" t="s">
        <v>1153</v>
      </c>
      <c r="C1417" s="182" t="s">
        <v>2595</v>
      </c>
      <c r="D1417" s="183"/>
      <c r="E1417" s="183">
        <v>246000206021</v>
      </c>
      <c r="F1417" s="181" t="s">
        <v>103</v>
      </c>
      <c r="G1417" s="181" t="s">
        <v>53</v>
      </c>
      <c r="H1417" s="181" t="s">
        <v>1193</v>
      </c>
      <c r="I1417" s="181" t="s">
        <v>1194</v>
      </c>
      <c r="J1417" s="181" t="s">
        <v>85</v>
      </c>
      <c r="K1417" t="s">
        <v>104</v>
      </c>
      <c r="M1417" s="1" t="s">
        <v>58</v>
      </c>
      <c r="N1417" s="1">
        <v>0</v>
      </c>
      <c r="O1417" s="1" t="s">
        <v>36</v>
      </c>
      <c r="P1417" s="11" t="s">
        <v>3111</v>
      </c>
      <c r="R1417" s="1" t="s">
        <v>38</v>
      </c>
      <c r="T1417" s="1" t="s">
        <v>74</v>
      </c>
      <c r="U1417" s="186">
        <v>44979.649305555555</v>
      </c>
      <c r="V1417" s="1" t="s">
        <v>41</v>
      </c>
      <c r="W1417" s="1" t="s">
        <v>49</v>
      </c>
    </row>
    <row r="1418" spans="1:23" hidden="1">
      <c r="A1418" s="1">
        <v>9454312</v>
      </c>
      <c r="B1418" s="1" t="s">
        <v>1153</v>
      </c>
      <c r="C1418" t="s">
        <v>2596</v>
      </c>
      <c r="E1418" s="2">
        <v>2529000206001</v>
      </c>
      <c r="F1418" s="1" t="s">
        <v>29</v>
      </c>
      <c r="G1418" s="1" t="s">
        <v>53</v>
      </c>
      <c r="H1418" s="1" t="s">
        <v>355</v>
      </c>
      <c r="I1418" s="1" t="s">
        <v>356</v>
      </c>
      <c r="J1418" s="1" t="s">
        <v>56</v>
      </c>
      <c r="K1418" t="s">
        <v>34</v>
      </c>
      <c r="M1418" s="1" t="s">
        <v>35</v>
      </c>
      <c r="N1418" s="1">
        <v>42318949</v>
      </c>
      <c r="O1418" s="1" t="s">
        <v>36</v>
      </c>
      <c r="P1418" s="11" t="s">
        <v>2597</v>
      </c>
      <c r="R1418" s="1" t="s">
        <v>38</v>
      </c>
      <c r="T1418" s="1" t="s">
        <v>74</v>
      </c>
      <c r="U1418" s="186">
        <v>44972.604166666664</v>
      </c>
      <c r="V1418" s="1" t="s">
        <v>41</v>
      </c>
      <c r="W1418" s="1" t="s">
        <v>49</v>
      </c>
    </row>
    <row r="1419" spans="1:23" hidden="1">
      <c r="A1419" s="1">
        <v>9453994</v>
      </c>
      <c r="B1419" s="1" t="s">
        <v>1153</v>
      </c>
      <c r="C1419" t="s">
        <v>2600</v>
      </c>
      <c r="E1419" s="2">
        <v>159000206001</v>
      </c>
      <c r="F1419" s="1" t="s">
        <v>29</v>
      </c>
      <c r="G1419" s="1" t="s">
        <v>53</v>
      </c>
      <c r="H1419" s="1" t="s">
        <v>331</v>
      </c>
      <c r="I1419" s="1" t="s">
        <v>332</v>
      </c>
      <c r="J1419" s="1" t="s">
        <v>79</v>
      </c>
      <c r="K1419" t="s">
        <v>34</v>
      </c>
      <c r="M1419" s="1" t="s">
        <v>35</v>
      </c>
      <c r="N1419" s="1">
        <v>42318949</v>
      </c>
      <c r="O1419" s="1" t="s">
        <v>36</v>
      </c>
      <c r="P1419" s="11" t="s">
        <v>2601</v>
      </c>
      <c r="R1419" s="1" t="s">
        <v>38</v>
      </c>
      <c r="T1419" s="1" t="s">
        <v>74</v>
      </c>
      <c r="U1419" s="186">
        <v>44979.458333333336</v>
      </c>
      <c r="V1419" s="1" t="s">
        <v>41</v>
      </c>
      <c r="W1419" s="1" t="s">
        <v>49</v>
      </c>
    </row>
    <row r="1420" spans="1:23">
      <c r="A1420" s="1">
        <v>9453394</v>
      </c>
      <c r="B1420" s="1" t="s">
        <v>1153</v>
      </c>
      <c r="C1420" t="s">
        <v>2613</v>
      </c>
      <c r="E1420" s="2">
        <v>2125000206001</v>
      </c>
      <c r="F1420" s="1" t="s">
        <v>29</v>
      </c>
      <c r="G1420" s="1" t="s">
        <v>53</v>
      </c>
      <c r="H1420" s="1" t="s">
        <v>1399</v>
      </c>
      <c r="I1420" s="1" t="s">
        <v>1400</v>
      </c>
      <c r="J1420" s="1" t="s">
        <v>211</v>
      </c>
      <c r="K1420" t="s">
        <v>34</v>
      </c>
      <c r="M1420" s="1" t="s">
        <v>35</v>
      </c>
      <c r="N1420" s="1">
        <v>42318949</v>
      </c>
      <c r="O1420" s="1" t="s">
        <v>36</v>
      </c>
      <c r="P1420" s="11" t="s">
        <v>2614</v>
      </c>
      <c r="R1420" s="1" t="s">
        <v>38</v>
      </c>
      <c r="T1420" s="1" t="s">
        <v>74</v>
      </c>
      <c r="U1420" s="186">
        <v>44979.607638888891</v>
      </c>
      <c r="V1420" s="1" t="s">
        <v>41</v>
      </c>
      <c r="W1420" s="1" t="s">
        <v>49</v>
      </c>
    </row>
    <row r="1421" spans="1:23">
      <c r="A1421" s="1">
        <v>9453353</v>
      </c>
      <c r="B1421" s="1" t="s">
        <v>1153</v>
      </c>
      <c r="C1421" s="182" t="s">
        <v>2616</v>
      </c>
      <c r="E1421" s="2">
        <v>246000206001</v>
      </c>
      <c r="F1421" s="1" t="s">
        <v>29</v>
      </c>
      <c r="G1421" s="1" t="s">
        <v>53</v>
      </c>
      <c r="H1421" s="1" t="s">
        <v>1193</v>
      </c>
      <c r="I1421" s="1" t="s">
        <v>1194</v>
      </c>
      <c r="J1421" s="1" t="s">
        <v>85</v>
      </c>
      <c r="K1421" t="s">
        <v>34</v>
      </c>
      <c r="M1421" s="1" t="s">
        <v>35</v>
      </c>
      <c r="N1421" s="1">
        <v>42318949</v>
      </c>
      <c r="O1421" s="1" t="s">
        <v>36</v>
      </c>
      <c r="P1421" s="11" t="s">
        <v>2617</v>
      </c>
      <c r="R1421" s="1" t="s">
        <v>38</v>
      </c>
      <c r="T1421" s="1" t="s">
        <v>74</v>
      </c>
      <c r="U1421" s="186">
        <v>44979.75</v>
      </c>
      <c r="V1421" s="1" t="s">
        <v>41</v>
      </c>
      <c r="W1421" s="1" t="s">
        <v>49</v>
      </c>
    </row>
    <row r="1422" spans="1:23" hidden="1">
      <c r="A1422" s="1">
        <v>9453118</v>
      </c>
      <c r="B1422" s="1" t="s">
        <v>1153</v>
      </c>
      <c r="C1422" t="s">
        <v>2619</v>
      </c>
      <c r="E1422" s="2">
        <v>1689000206001</v>
      </c>
      <c r="F1422" s="1" t="s">
        <v>29</v>
      </c>
      <c r="G1422" s="1" t="s">
        <v>53</v>
      </c>
      <c r="H1422" s="1" t="s">
        <v>2117</v>
      </c>
      <c r="I1422" s="1" t="s">
        <v>2118</v>
      </c>
      <c r="J1422" s="1" t="s">
        <v>79</v>
      </c>
      <c r="K1422" t="s">
        <v>34</v>
      </c>
      <c r="M1422" s="1" t="s">
        <v>35</v>
      </c>
      <c r="N1422" s="1">
        <v>42318949</v>
      </c>
      <c r="O1422" s="1" t="s">
        <v>36</v>
      </c>
      <c r="P1422" s="11" t="s">
        <v>3112</v>
      </c>
      <c r="R1422" s="1" t="s">
        <v>38</v>
      </c>
      <c r="T1422" s="1" t="s">
        <v>74</v>
      </c>
      <c r="U1422" s="186">
        <v>44979.645833333336</v>
      </c>
      <c r="V1422" s="1" t="s">
        <v>41</v>
      </c>
      <c r="W1422" s="1" t="s">
        <v>49</v>
      </c>
    </row>
    <row r="1423" spans="1:23" hidden="1">
      <c r="A1423" s="1">
        <v>9453117</v>
      </c>
      <c r="B1423" s="1" t="s">
        <v>1153</v>
      </c>
      <c r="C1423" t="s">
        <v>2620</v>
      </c>
      <c r="E1423" s="2">
        <v>3924000206001</v>
      </c>
      <c r="F1423" s="1" t="s">
        <v>29</v>
      </c>
      <c r="G1423" s="1" t="s">
        <v>53</v>
      </c>
      <c r="H1423" s="1" t="s">
        <v>153</v>
      </c>
      <c r="I1423" s="1" t="s">
        <v>154</v>
      </c>
      <c r="J1423" s="1" t="s">
        <v>56</v>
      </c>
      <c r="K1423" t="s">
        <v>34</v>
      </c>
      <c r="M1423" s="1" t="s">
        <v>35</v>
      </c>
      <c r="N1423" s="1">
        <v>42318949</v>
      </c>
      <c r="O1423" s="1" t="s">
        <v>36</v>
      </c>
      <c r="P1423" s="11" t="s">
        <v>2621</v>
      </c>
      <c r="R1423" s="1" t="s">
        <v>38</v>
      </c>
      <c r="T1423" s="1" t="s">
        <v>74</v>
      </c>
      <c r="U1423" s="186">
        <v>44979.708333333336</v>
      </c>
      <c r="V1423" s="1" t="s">
        <v>41</v>
      </c>
      <c r="W1423" s="1" t="s">
        <v>49</v>
      </c>
    </row>
    <row r="1424" spans="1:23">
      <c r="A1424" s="1">
        <v>9460910</v>
      </c>
      <c r="B1424" s="1" t="s">
        <v>1153</v>
      </c>
      <c r="C1424" s="182" t="s">
        <v>2622</v>
      </c>
      <c r="D1424" s="2">
        <v>20230068000017</v>
      </c>
      <c r="E1424" s="2">
        <v>7419141893515</v>
      </c>
      <c r="F1424" s="1" t="s">
        <v>128</v>
      </c>
      <c r="G1424" s="1" t="s">
        <v>53</v>
      </c>
      <c r="H1424" s="1" t="s">
        <v>2623</v>
      </c>
      <c r="I1424" s="1" t="s">
        <v>2624</v>
      </c>
      <c r="J1424" s="1" t="s">
        <v>211</v>
      </c>
      <c r="K1424" t="s">
        <v>129</v>
      </c>
      <c r="M1424" s="1" t="s">
        <v>58</v>
      </c>
      <c r="N1424" s="1">
        <v>0</v>
      </c>
      <c r="O1424" s="1" t="s">
        <v>36</v>
      </c>
      <c r="P1424" s="11" t="s">
        <v>2625</v>
      </c>
      <c r="R1424" s="1">
        <v>14</v>
      </c>
      <c r="T1424" s="1" t="s">
        <v>238</v>
      </c>
      <c r="U1424" s="186">
        <v>44967.395833333336</v>
      </c>
      <c r="V1424" s="1" t="s">
        <v>41</v>
      </c>
      <c r="W1424" s="1" t="s">
        <v>49</v>
      </c>
    </row>
    <row r="1425" spans="1:23" hidden="1">
      <c r="A1425" s="1">
        <v>9460686</v>
      </c>
      <c r="B1425" s="1" t="s">
        <v>1153</v>
      </c>
      <c r="C1425" t="s">
        <v>2631</v>
      </c>
      <c r="D1425" s="2">
        <v>20234844000425</v>
      </c>
      <c r="E1425" s="2">
        <v>7417163285132</v>
      </c>
      <c r="F1425" s="1" t="s">
        <v>131</v>
      </c>
      <c r="G1425" s="1" t="s">
        <v>53</v>
      </c>
      <c r="H1425" s="1" t="s">
        <v>2632</v>
      </c>
      <c r="I1425" s="1" t="s">
        <v>2633</v>
      </c>
      <c r="J1425" s="1" t="s">
        <v>46</v>
      </c>
      <c r="K1425" t="s">
        <v>132</v>
      </c>
      <c r="M1425" s="1" t="s">
        <v>58</v>
      </c>
      <c r="N1425" s="1">
        <v>0</v>
      </c>
      <c r="O1425" s="1" t="s">
        <v>105</v>
      </c>
      <c r="P1425" s="11" t="s">
        <v>2634</v>
      </c>
      <c r="R1425" s="1">
        <v>13</v>
      </c>
      <c r="T1425" s="1" t="s">
        <v>238</v>
      </c>
      <c r="U1425" s="186">
        <v>44967.395833333336</v>
      </c>
      <c r="V1425" s="1" t="s">
        <v>41</v>
      </c>
      <c r="W1425" s="1" t="s">
        <v>49</v>
      </c>
    </row>
    <row r="1426" spans="1:23" hidden="1">
      <c r="A1426" s="1">
        <v>9460685</v>
      </c>
      <c r="B1426" s="1" t="s">
        <v>1153</v>
      </c>
      <c r="C1426" t="s">
        <v>2635</v>
      </c>
      <c r="D1426" s="2">
        <v>20234844000424</v>
      </c>
      <c r="E1426" s="2">
        <v>7417163285131</v>
      </c>
      <c r="F1426" s="1" t="s">
        <v>131</v>
      </c>
      <c r="G1426" s="1" t="s">
        <v>53</v>
      </c>
      <c r="H1426" s="1" t="s">
        <v>2632</v>
      </c>
      <c r="I1426" s="1" t="s">
        <v>2633</v>
      </c>
      <c r="J1426" s="1" t="s">
        <v>46</v>
      </c>
      <c r="K1426" t="s">
        <v>132</v>
      </c>
      <c r="M1426" s="1" t="s">
        <v>58</v>
      </c>
      <c r="N1426" s="1">
        <v>0</v>
      </c>
      <c r="O1426" s="1" t="s">
        <v>105</v>
      </c>
      <c r="P1426" s="11" t="s">
        <v>2636</v>
      </c>
      <c r="R1426" s="1">
        <v>13</v>
      </c>
      <c r="T1426" s="1" t="s">
        <v>238</v>
      </c>
      <c r="U1426" s="186">
        <v>44967.395833333336</v>
      </c>
      <c r="V1426" s="1" t="s">
        <v>41</v>
      </c>
      <c r="W1426" s="1" t="s">
        <v>49</v>
      </c>
    </row>
    <row r="1427" spans="1:23">
      <c r="A1427" s="181">
        <v>9460624</v>
      </c>
      <c r="B1427" s="181" t="s">
        <v>1153</v>
      </c>
      <c r="C1427" s="182" t="s">
        <v>2638</v>
      </c>
      <c r="D1427" s="183"/>
      <c r="E1427" s="183">
        <v>246000206021</v>
      </c>
      <c r="F1427" s="181" t="s">
        <v>103</v>
      </c>
      <c r="G1427" s="181" t="s">
        <v>53</v>
      </c>
      <c r="H1427" s="181" t="s">
        <v>1193</v>
      </c>
      <c r="I1427" s="181" t="s">
        <v>1194</v>
      </c>
      <c r="J1427" s="181" t="s">
        <v>85</v>
      </c>
      <c r="K1427" t="s">
        <v>104</v>
      </c>
      <c r="M1427" s="1" t="s">
        <v>58</v>
      </c>
      <c r="N1427" s="1">
        <v>0</v>
      </c>
      <c r="O1427" s="1" t="s">
        <v>36</v>
      </c>
      <c r="P1427" s="11" t="s">
        <v>2639</v>
      </c>
      <c r="R1427" s="1" t="s">
        <v>38</v>
      </c>
      <c r="T1427" s="1" t="s">
        <v>74</v>
      </c>
      <c r="U1427" s="186">
        <v>44973.649305555555</v>
      </c>
      <c r="V1427" s="1" t="s">
        <v>41</v>
      </c>
      <c r="W1427" s="1" t="s">
        <v>49</v>
      </c>
    </row>
    <row r="1428" spans="1:23">
      <c r="A1428" s="1">
        <v>9460566</v>
      </c>
      <c r="B1428" s="1" t="s">
        <v>1153</v>
      </c>
      <c r="C1428" t="s">
        <v>2640</v>
      </c>
      <c r="E1428" s="2">
        <v>2156000206001</v>
      </c>
      <c r="F1428" s="1" t="s">
        <v>29</v>
      </c>
      <c r="G1428" s="1" t="s">
        <v>53</v>
      </c>
      <c r="H1428" s="1" t="s">
        <v>278</v>
      </c>
      <c r="I1428" s="1" t="s">
        <v>279</v>
      </c>
      <c r="J1428" s="1" t="s">
        <v>211</v>
      </c>
      <c r="K1428" t="s">
        <v>34</v>
      </c>
      <c r="M1428" s="1" t="s">
        <v>35</v>
      </c>
      <c r="N1428" s="1">
        <v>42318949</v>
      </c>
      <c r="O1428" s="1" t="s">
        <v>36</v>
      </c>
      <c r="P1428" s="11" t="s">
        <v>2641</v>
      </c>
      <c r="R1428" s="1" t="s">
        <v>38</v>
      </c>
      <c r="T1428" s="1" t="s">
        <v>74</v>
      </c>
      <c r="U1428" s="186">
        <v>44973.607638888891</v>
      </c>
      <c r="V1428" s="1" t="s">
        <v>41</v>
      </c>
      <c r="W1428" s="1" t="s">
        <v>49</v>
      </c>
    </row>
    <row r="1429" spans="1:23" hidden="1">
      <c r="A1429" s="1">
        <v>9460442</v>
      </c>
      <c r="B1429" s="1" t="s">
        <v>1153</v>
      </c>
      <c r="C1429" t="s">
        <v>2642</v>
      </c>
      <c r="D1429" s="2">
        <v>20232335000004</v>
      </c>
      <c r="E1429" s="2">
        <v>7419141892794</v>
      </c>
      <c r="F1429" s="1" t="s">
        <v>128</v>
      </c>
      <c r="G1429" s="1" t="s">
        <v>53</v>
      </c>
      <c r="H1429" s="1" t="s">
        <v>2643</v>
      </c>
      <c r="I1429" s="1" t="s">
        <v>2644</v>
      </c>
      <c r="J1429" s="1" t="s">
        <v>110</v>
      </c>
      <c r="K1429" t="s">
        <v>129</v>
      </c>
      <c r="M1429" s="1" t="s">
        <v>58</v>
      </c>
      <c r="N1429" s="1">
        <v>0</v>
      </c>
      <c r="O1429" s="1" t="s">
        <v>36</v>
      </c>
      <c r="P1429" s="11" t="s">
        <v>3113</v>
      </c>
      <c r="R1429" s="1">
        <v>14</v>
      </c>
      <c r="T1429" s="1" t="s">
        <v>238</v>
      </c>
      <c r="U1429" s="186">
        <v>44966.686898148146</v>
      </c>
      <c r="V1429" s="1" t="s">
        <v>41</v>
      </c>
      <c r="W1429" s="1" t="s">
        <v>49</v>
      </c>
    </row>
    <row r="1430" spans="1:23" hidden="1">
      <c r="A1430" s="1">
        <v>9460378</v>
      </c>
      <c r="B1430" s="1" t="s">
        <v>1153</v>
      </c>
      <c r="C1430" t="s">
        <v>2645</v>
      </c>
      <c r="D1430" s="2">
        <v>20234923000061</v>
      </c>
      <c r="E1430" s="2">
        <v>7417183020097</v>
      </c>
      <c r="F1430" s="1" t="s">
        <v>1313</v>
      </c>
      <c r="G1430" s="1" t="s">
        <v>53</v>
      </c>
      <c r="H1430" s="1" t="s">
        <v>1966</v>
      </c>
      <c r="I1430" s="1" t="s">
        <v>1967</v>
      </c>
      <c r="J1430" s="1" t="s">
        <v>46</v>
      </c>
      <c r="K1430" t="s">
        <v>1316</v>
      </c>
      <c r="M1430" s="1" t="s">
        <v>58</v>
      </c>
      <c r="N1430" s="1">
        <v>0</v>
      </c>
      <c r="O1430" s="1" t="s">
        <v>36</v>
      </c>
      <c r="P1430" s="11" t="s">
        <v>3114</v>
      </c>
      <c r="R1430" s="1">
        <v>13</v>
      </c>
      <c r="T1430" s="1" t="s">
        <v>238</v>
      </c>
      <c r="U1430" s="186">
        <v>44966.677245370367</v>
      </c>
      <c r="V1430" s="1" t="s">
        <v>41</v>
      </c>
      <c r="W1430" s="1" t="s">
        <v>49</v>
      </c>
    </row>
    <row r="1431" spans="1:23" hidden="1">
      <c r="A1431" s="1">
        <v>9460375</v>
      </c>
      <c r="B1431" s="1" t="s">
        <v>1153</v>
      </c>
      <c r="C1431" t="s">
        <v>2646</v>
      </c>
      <c r="D1431" s="2">
        <v>20232369000005</v>
      </c>
      <c r="E1431" s="2">
        <v>9600123331814</v>
      </c>
      <c r="F1431" s="1" t="s">
        <v>1997</v>
      </c>
      <c r="G1431" s="1" t="s">
        <v>53</v>
      </c>
      <c r="H1431" s="1" t="s">
        <v>701</v>
      </c>
      <c r="I1431" s="1" t="s">
        <v>702</v>
      </c>
      <c r="J1431" s="1" t="s">
        <v>141</v>
      </c>
      <c r="K1431" t="s">
        <v>2000</v>
      </c>
      <c r="M1431" s="1" t="s">
        <v>58</v>
      </c>
      <c r="N1431" s="1">
        <v>0</v>
      </c>
      <c r="O1431" s="1" t="s">
        <v>36</v>
      </c>
      <c r="P1431" s="11" t="s">
        <v>2647</v>
      </c>
      <c r="R1431" s="1">
        <v>21</v>
      </c>
      <c r="T1431" s="1" t="s">
        <v>1160</v>
      </c>
      <c r="U1431" s="186">
        <v>44971.386608796296</v>
      </c>
      <c r="V1431" s="1" t="s">
        <v>41</v>
      </c>
      <c r="W1431" s="1" t="s">
        <v>49</v>
      </c>
    </row>
    <row r="1432" spans="1:23" hidden="1">
      <c r="A1432" s="1">
        <v>9460265</v>
      </c>
      <c r="B1432" s="1" t="s">
        <v>1153</v>
      </c>
      <c r="C1432" t="s">
        <v>2649</v>
      </c>
      <c r="E1432" s="2">
        <v>1666000206001</v>
      </c>
      <c r="F1432" s="1" t="s">
        <v>29</v>
      </c>
      <c r="G1432" s="1" t="s">
        <v>53</v>
      </c>
      <c r="H1432" s="1" t="s">
        <v>414</v>
      </c>
      <c r="I1432" s="1" t="s">
        <v>415</v>
      </c>
      <c r="J1432" s="1" t="s">
        <v>79</v>
      </c>
      <c r="K1432" t="s">
        <v>34</v>
      </c>
      <c r="M1432" s="1" t="s">
        <v>35</v>
      </c>
      <c r="N1432" s="1">
        <v>42318949</v>
      </c>
      <c r="O1432" s="1" t="s">
        <v>36</v>
      </c>
      <c r="P1432" s="11" t="s">
        <v>2650</v>
      </c>
      <c r="R1432" s="1" t="s">
        <v>38</v>
      </c>
      <c r="T1432" s="1" t="s">
        <v>74</v>
      </c>
      <c r="U1432" s="186">
        <v>44979.625</v>
      </c>
      <c r="V1432" s="1" t="s">
        <v>41</v>
      </c>
      <c r="W1432" s="1" t="s">
        <v>49</v>
      </c>
    </row>
    <row r="1433" spans="1:23" hidden="1">
      <c r="A1433" s="1">
        <v>9460188</v>
      </c>
      <c r="B1433" s="1" t="s">
        <v>81</v>
      </c>
      <c r="C1433" t="s">
        <v>2651</v>
      </c>
      <c r="E1433" s="2">
        <v>1902016136000</v>
      </c>
      <c r="F1433" s="1" t="s">
        <v>64</v>
      </c>
      <c r="G1433" s="1" t="s">
        <v>53</v>
      </c>
      <c r="H1433" s="1" t="s">
        <v>303</v>
      </c>
      <c r="I1433" s="1" t="s">
        <v>304</v>
      </c>
      <c r="J1433" s="1" t="s">
        <v>261</v>
      </c>
      <c r="K1433" t="s">
        <v>67</v>
      </c>
      <c r="M1433" s="1" t="s">
        <v>35</v>
      </c>
      <c r="N1433" s="1">
        <v>42318949</v>
      </c>
      <c r="O1433" s="1" t="s">
        <v>105</v>
      </c>
      <c r="P1433" s="11" t="s">
        <v>2652</v>
      </c>
      <c r="R1433" s="1" t="s">
        <v>571</v>
      </c>
      <c r="T1433" s="1" t="s">
        <v>69</v>
      </c>
      <c r="U1433" s="186">
        <v>44967.665300925924</v>
      </c>
      <c r="V1433" s="1" t="s">
        <v>41</v>
      </c>
      <c r="W1433" s="1" t="s">
        <v>49</v>
      </c>
    </row>
    <row r="1434" spans="1:23" hidden="1">
      <c r="A1434" s="1">
        <v>9460151</v>
      </c>
      <c r="B1434" s="1" t="s">
        <v>1153</v>
      </c>
      <c r="C1434" t="s">
        <v>2654</v>
      </c>
      <c r="D1434" s="2">
        <v>20234844000423</v>
      </c>
      <c r="E1434" s="2">
        <v>7417163284187</v>
      </c>
      <c r="F1434" s="1" t="s">
        <v>131</v>
      </c>
      <c r="G1434" s="1" t="s">
        <v>53</v>
      </c>
      <c r="H1434" s="1" t="s">
        <v>2655</v>
      </c>
      <c r="I1434" s="1" t="s">
        <v>2656</v>
      </c>
      <c r="J1434" s="1" t="s">
        <v>46</v>
      </c>
      <c r="K1434" t="s">
        <v>132</v>
      </c>
      <c r="M1434" s="1" t="s">
        <v>58</v>
      </c>
      <c r="N1434" s="1">
        <v>0</v>
      </c>
      <c r="O1434" s="1" t="s">
        <v>36</v>
      </c>
      <c r="P1434" s="11" t="s">
        <v>2657</v>
      </c>
      <c r="R1434" s="1">
        <v>13</v>
      </c>
      <c r="T1434" s="1" t="s">
        <v>238</v>
      </c>
      <c r="U1434" s="186">
        <v>44966.647581018522</v>
      </c>
      <c r="V1434" s="1" t="s">
        <v>41</v>
      </c>
      <c r="W1434" s="1" t="s">
        <v>49</v>
      </c>
    </row>
    <row r="1435" spans="1:23" hidden="1">
      <c r="A1435" s="1">
        <v>9460038</v>
      </c>
      <c r="B1435" s="1" t="s">
        <v>62</v>
      </c>
      <c r="C1435" t="s">
        <v>2658</v>
      </c>
      <c r="E1435" s="2">
        <v>5749000203000</v>
      </c>
      <c r="F1435" s="1" t="s">
        <v>454</v>
      </c>
      <c r="G1435" s="1" t="s">
        <v>53</v>
      </c>
      <c r="H1435" s="1" t="s">
        <v>1811</v>
      </c>
      <c r="I1435" s="1" t="s">
        <v>1812</v>
      </c>
      <c r="J1435" s="1" t="s">
        <v>33</v>
      </c>
      <c r="K1435" t="s">
        <v>457</v>
      </c>
      <c r="M1435" s="1" t="s">
        <v>58</v>
      </c>
      <c r="N1435" s="1">
        <v>0</v>
      </c>
      <c r="O1435" s="1" t="s">
        <v>36</v>
      </c>
      <c r="P1435" s="11" t="s">
        <v>2659</v>
      </c>
      <c r="R1435" s="1">
        <v>1</v>
      </c>
      <c r="T1435" s="1" t="s">
        <v>157</v>
      </c>
      <c r="U1435" s="186">
        <v>45002.75</v>
      </c>
      <c r="V1435" s="1" t="s">
        <v>41</v>
      </c>
      <c r="W1435" s="1" t="s">
        <v>42</v>
      </c>
    </row>
    <row r="1436" spans="1:23" hidden="1">
      <c r="A1436" s="1">
        <v>9459814</v>
      </c>
      <c r="B1436" s="1" t="s">
        <v>1153</v>
      </c>
      <c r="C1436" t="s">
        <v>2662</v>
      </c>
      <c r="D1436" s="2">
        <v>20234844000422</v>
      </c>
      <c r="E1436" s="2">
        <v>7419143321849</v>
      </c>
      <c r="F1436" s="1" t="s">
        <v>1222</v>
      </c>
      <c r="G1436" s="1" t="s">
        <v>53</v>
      </c>
      <c r="H1436" s="1" t="s">
        <v>2663</v>
      </c>
      <c r="I1436" s="1" t="s">
        <v>2664</v>
      </c>
      <c r="J1436" s="1" t="s">
        <v>46</v>
      </c>
      <c r="K1436" t="s">
        <v>1223</v>
      </c>
      <c r="M1436" s="1" t="s">
        <v>58</v>
      </c>
      <c r="N1436" s="1">
        <v>0</v>
      </c>
      <c r="O1436" s="1" t="s">
        <v>36</v>
      </c>
      <c r="P1436" s="11" t="s">
        <v>2665</v>
      </c>
      <c r="R1436" s="1">
        <v>13</v>
      </c>
      <c r="T1436" s="1" t="s">
        <v>238</v>
      </c>
      <c r="U1436" s="186">
        <v>44966.596377314818</v>
      </c>
      <c r="V1436" s="1" t="s">
        <v>41</v>
      </c>
      <c r="W1436" s="1" t="s">
        <v>49</v>
      </c>
    </row>
    <row r="1437" spans="1:23" hidden="1">
      <c r="A1437" s="1">
        <v>9459750</v>
      </c>
      <c r="B1437" s="1" t="s">
        <v>1153</v>
      </c>
      <c r="C1437" t="s">
        <v>2666</v>
      </c>
      <c r="D1437" s="2">
        <v>230027043</v>
      </c>
      <c r="E1437" s="2">
        <v>2442001400020</v>
      </c>
      <c r="F1437" s="1" t="s">
        <v>1961</v>
      </c>
      <c r="G1437" s="1" t="s">
        <v>53</v>
      </c>
      <c r="H1437" s="1" t="s">
        <v>1956</v>
      </c>
      <c r="I1437" s="1" t="s">
        <v>1957</v>
      </c>
      <c r="J1437" s="1" t="s">
        <v>33</v>
      </c>
      <c r="K1437" t="s">
        <v>1962</v>
      </c>
      <c r="M1437" s="1" t="s">
        <v>58</v>
      </c>
      <c r="N1437" s="1">
        <v>0</v>
      </c>
      <c r="O1437" s="1" t="s">
        <v>36</v>
      </c>
      <c r="P1437" s="11" t="s">
        <v>2667</v>
      </c>
      <c r="R1437" s="1">
        <v>4</v>
      </c>
      <c r="T1437" s="1" t="s">
        <v>646</v>
      </c>
      <c r="U1437" s="186">
        <v>44984.395833333336</v>
      </c>
      <c r="V1437" s="1" t="s">
        <v>41</v>
      </c>
      <c r="W1437" s="1" t="s">
        <v>42</v>
      </c>
    </row>
    <row r="1438" spans="1:23" hidden="1">
      <c r="A1438" s="1">
        <v>9459631</v>
      </c>
      <c r="B1438" s="1" t="s">
        <v>1153</v>
      </c>
      <c r="C1438" t="s">
        <v>2668</v>
      </c>
      <c r="D1438" s="2">
        <v>20230922000025</v>
      </c>
      <c r="E1438" s="2">
        <v>7417163282959</v>
      </c>
      <c r="F1438" s="1" t="s">
        <v>131</v>
      </c>
      <c r="G1438" s="1" t="s">
        <v>53</v>
      </c>
      <c r="H1438" s="1" t="s">
        <v>2410</v>
      </c>
      <c r="I1438" s="1" t="s">
        <v>2411</v>
      </c>
      <c r="J1438" s="1" t="s">
        <v>261</v>
      </c>
      <c r="K1438" t="s">
        <v>132</v>
      </c>
      <c r="M1438" s="1" t="s">
        <v>58</v>
      </c>
      <c r="N1438" s="1">
        <v>0</v>
      </c>
      <c r="O1438" s="1" t="s">
        <v>36</v>
      </c>
      <c r="P1438" s="11" t="s">
        <v>2669</v>
      </c>
      <c r="R1438" s="1">
        <v>14</v>
      </c>
      <c r="T1438" s="1" t="s">
        <v>238</v>
      </c>
      <c r="U1438" s="186">
        <v>44966.564780092594</v>
      </c>
      <c r="V1438" s="1" t="s">
        <v>41</v>
      </c>
      <c r="W1438" s="1" t="s">
        <v>49</v>
      </c>
    </row>
    <row r="1439" spans="1:23">
      <c r="A1439" s="1">
        <v>9459559</v>
      </c>
      <c r="B1439" s="1" t="s">
        <v>1153</v>
      </c>
      <c r="C1439" t="s">
        <v>2670</v>
      </c>
      <c r="D1439" s="2">
        <v>20231059000014</v>
      </c>
      <c r="E1439" s="2">
        <v>7419141893204</v>
      </c>
      <c r="F1439" s="1" t="s">
        <v>128</v>
      </c>
      <c r="G1439" s="1" t="s">
        <v>53</v>
      </c>
      <c r="H1439" s="1" t="s">
        <v>1972</v>
      </c>
      <c r="I1439" s="1" t="s">
        <v>1973</v>
      </c>
      <c r="J1439" s="1" t="s">
        <v>90</v>
      </c>
      <c r="K1439" t="s">
        <v>129</v>
      </c>
      <c r="M1439" s="1" t="s">
        <v>58</v>
      </c>
      <c r="N1439" s="1">
        <v>0</v>
      </c>
      <c r="O1439" s="1" t="s">
        <v>36</v>
      </c>
      <c r="P1439" s="11" t="s">
        <v>2671</v>
      </c>
      <c r="R1439" s="1">
        <v>14</v>
      </c>
      <c r="T1439" s="1" t="s">
        <v>238</v>
      </c>
      <c r="U1439" s="186">
        <v>44966.553587962961</v>
      </c>
      <c r="V1439" s="1" t="s">
        <v>41</v>
      </c>
      <c r="W1439" s="1" t="s">
        <v>49</v>
      </c>
    </row>
    <row r="1440" spans="1:23" hidden="1">
      <c r="A1440" s="1">
        <v>9459206</v>
      </c>
      <c r="B1440" s="1" t="s">
        <v>1153</v>
      </c>
      <c r="C1440" t="s">
        <v>2672</v>
      </c>
      <c r="E1440" s="2">
        <v>1185000206001</v>
      </c>
      <c r="F1440" s="1" t="s">
        <v>29</v>
      </c>
      <c r="G1440" s="1" t="s">
        <v>53</v>
      </c>
      <c r="H1440" s="1" t="s">
        <v>539</v>
      </c>
      <c r="I1440" s="1" t="s">
        <v>540</v>
      </c>
      <c r="J1440" s="1" t="s">
        <v>33</v>
      </c>
      <c r="K1440" t="s">
        <v>34</v>
      </c>
      <c r="M1440" s="1" t="s">
        <v>35</v>
      </c>
      <c r="N1440" s="1">
        <v>42318949</v>
      </c>
      <c r="O1440" s="1" t="s">
        <v>36</v>
      </c>
      <c r="P1440" s="11" t="s">
        <v>3115</v>
      </c>
      <c r="R1440" s="1" t="s">
        <v>38</v>
      </c>
      <c r="T1440" s="1" t="s">
        <v>74</v>
      </c>
      <c r="U1440" s="186">
        <v>44979.708333333336</v>
      </c>
      <c r="V1440" s="1" t="s">
        <v>41</v>
      </c>
      <c r="W1440" s="1" t="s">
        <v>42</v>
      </c>
    </row>
    <row r="1441" spans="1:23" hidden="1">
      <c r="A1441" s="1">
        <v>9459203</v>
      </c>
      <c r="B1441" s="1" t="s">
        <v>1153</v>
      </c>
      <c r="C1441" t="s">
        <v>2673</v>
      </c>
      <c r="D1441" s="2">
        <v>230026788</v>
      </c>
      <c r="E1441" s="2">
        <v>2830001400020</v>
      </c>
      <c r="F1441" s="1" t="s">
        <v>1961</v>
      </c>
      <c r="G1441" s="1" t="s">
        <v>53</v>
      </c>
      <c r="H1441" s="1" t="s">
        <v>448</v>
      </c>
      <c r="I1441" s="1" t="s">
        <v>449</v>
      </c>
      <c r="J1441" s="1" t="s">
        <v>33</v>
      </c>
      <c r="K1441" t="s">
        <v>1962</v>
      </c>
      <c r="M1441" s="1" t="s">
        <v>58</v>
      </c>
      <c r="N1441" s="1">
        <v>0</v>
      </c>
      <c r="O1441" s="1" t="s">
        <v>36</v>
      </c>
      <c r="P1441" s="11" t="s">
        <v>3116</v>
      </c>
      <c r="R1441" s="1">
        <v>4</v>
      </c>
      <c r="T1441" s="1" t="s">
        <v>646</v>
      </c>
      <c r="U1441" s="186">
        <v>44979.645833333336</v>
      </c>
      <c r="V1441" s="1" t="s">
        <v>41</v>
      </c>
      <c r="W1441" s="1" t="s">
        <v>42</v>
      </c>
    </row>
    <row r="1442" spans="1:23" hidden="1">
      <c r="A1442" s="1">
        <v>9459149</v>
      </c>
      <c r="B1442" s="1" t="s">
        <v>1153</v>
      </c>
      <c r="C1442" t="s">
        <v>2674</v>
      </c>
      <c r="E1442" s="2">
        <v>1052000203000</v>
      </c>
      <c r="F1442" s="1" t="s">
        <v>454</v>
      </c>
      <c r="G1442" s="1" t="s">
        <v>53</v>
      </c>
      <c r="H1442" s="1" t="s">
        <v>329</v>
      </c>
      <c r="I1442" s="1" t="s">
        <v>330</v>
      </c>
      <c r="J1442" s="1" t="s">
        <v>79</v>
      </c>
      <c r="K1442" t="s">
        <v>457</v>
      </c>
      <c r="M1442" s="1" t="s">
        <v>58</v>
      </c>
      <c r="N1442" s="1">
        <v>0</v>
      </c>
      <c r="O1442" s="1" t="s">
        <v>36</v>
      </c>
      <c r="P1442" s="11" t="s">
        <v>3117</v>
      </c>
      <c r="R1442" s="1">
        <v>1</v>
      </c>
      <c r="T1442" s="1" t="s">
        <v>157</v>
      </c>
      <c r="U1442" s="186">
        <v>44967.500844907408</v>
      </c>
      <c r="V1442" s="1" t="s">
        <v>41</v>
      </c>
      <c r="W1442" s="1" t="s">
        <v>49</v>
      </c>
    </row>
    <row r="1443" spans="1:23">
      <c r="A1443" s="1">
        <v>9459066</v>
      </c>
      <c r="B1443" s="1" t="s">
        <v>1153</v>
      </c>
      <c r="C1443" t="s">
        <v>2675</v>
      </c>
      <c r="E1443" s="2">
        <v>2437000206001</v>
      </c>
      <c r="F1443" s="1" t="s">
        <v>29</v>
      </c>
      <c r="G1443" s="1" t="s">
        <v>53</v>
      </c>
      <c r="H1443" s="1" t="s">
        <v>416</v>
      </c>
      <c r="I1443" s="1" t="s">
        <v>417</v>
      </c>
      <c r="J1443" s="1" t="s">
        <v>211</v>
      </c>
      <c r="K1443" t="s">
        <v>34</v>
      </c>
      <c r="M1443" s="1" t="s">
        <v>35</v>
      </c>
      <c r="N1443" s="1">
        <v>42318949</v>
      </c>
      <c r="O1443" s="1" t="s">
        <v>36</v>
      </c>
      <c r="P1443" s="11" t="s">
        <v>3118</v>
      </c>
      <c r="R1443" s="1" t="s">
        <v>38</v>
      </c>
      <c r="T1443" s="1" t="s">
        <v>74</v>
      </c>
      <c r="U1443" s="186">
        <v>44980.607638888891</v>
      </c>
      <c r="V1443" s="1" t="s">
        <v>41</v>
      </c>
      <c r="W1443" s="1" t="s">
        <v>49</v>
      </c>
    </row>
    <row r="1444" spans="1:23" hidden="1">
      <c r="A1444" s="1">
        <v>9459041</v>
      </c>
      <c r="B1444" s="1" t="s">
        <v>1153</v>
      </c>
      <c r="C1444" t="s">
        <v>2676</v>
      </c>
      <c r="D1444" s="2">
        <v>230026759</v>
      </c>
      <c r="E1444" s="2">
        <v>2196001400010</v>
      </c>
      <c r="F1444" s="1" t="s">
        <v>936</v>
      </c>
      <c r="G1444" s="1" t="s">
        <v>53</v>
      </c>
      <c r="H1444" s="1" t="s">
        <v>1252</v>
      </c>
      <c r="I1444" s="1" t="s">
        <v>1253</v>
      </c>
      <c r="J1444" s="1" t="s">
        <v>33</v>
      </c>
      <c r="K1444" t="s">
        <v>937</v>
      </c>
      <c r="M1444" s="1" t="s">
        <v>58</v>
      </c>
      <c r="N1444" s="1">
        <v>0</v>
      </c>
      <c r="O1444" s="1" t="s">
        <v>36</v>
      </c>
      <c r="P1444" s="11" t="s">
        <v>3119</v>
      </c>
      <c r="R1444" s="1">
        <v>3</v>
      </c>
      <c r="T1444" s="1" t="s">
        <v>646</v>
      </c>
      <c r="U1444" s="186">
        <v>44979.625</v>
      </c>
      <c r="V1444" s="1" t="s">
        <v>41</v>
      </c>
      <c r="W1444" s="1" t="s">
        <v>42</v>
      </c>
    </row>
    <row r="1445" spans="1:23" hidden="1">
      <c r="A1445" s="1">
        <v>9458690</v>
      </c>
      <c r="B1445" s="1" t="s">
        <v>1153</v>
      </c>
      <c r="C1445" t="s">
        <v>2681</v>
      </c>
      <c r="D1445" s="2">
        <v>20234923000060</v>
      </c>
      <c r="E1445" s="2">
        <v>7417202020393</v>
      </c>
      <c r="F1445" s="1" t="s">
        <v>1213</v>
      </c>
      <c r="G1445" s="1" t="s">
        <v>53</v>
      </c>
      <c r="H1445" s="1" t="s">
        <v>2682</v>
      </c>
      <c r="I1445" s="1" t="s">
        <v>2683</v>
      </c>
      <c r="J1445" s="1" t="s">
        <v>46</v>
      </c>
      <c r="K1445" t="s">
        <v>1214</v>
      </c>
      <c r="M1445" s="1" t="s">
        <v>58</v>
      </c>
      <c r="N1445" s="1">
        <v>0</v>
      </c>
      <c r="O1445" s="1" t="s">
        <v>36</v>
      </c>
      <c r="P1445" s="11" t="s">
        <v>3120</v>
      </c>
      <c r="R1445" s="1">
        <v>13</v>
      </c>
      <c r="T1445" s="1" t="s">
        <v>238</v>
      </c>
      <c r="U1445" s="186">
        <v>44966.432384259257</v>
      </c>
      <c r="V1445" s="1" t="s">
        <v>41</v>
      </c>
      <c r="W1445" s="1" t="s">
        <v>49</v>
      </c>
    </row>
    <row r="1446" spans="1:23" hidden="1">
      <c r="A1446" s="1">
        <v>9458689</v>
      </c>
      <c r="B1446" s="1" t="s">
        <v>1153</v>
      </c>
      <c r="C1446" t="s">
        <v>2684</v>
      </c>
      <c r="D1446" s="2">
        <v>20234923000059</v>
      </c>
      <c r="E1446" s="2">
        <v>7417183022494</v>
      </c>
      <c r="F1446" s="1" t="s">
        <v>1313</v>
      </c>
      <c r="G1446" s="1" t="s">
        <v>53</v>
      </c>
      <c r="H1446" s="1" t="s">
        <v>2685</v>
      </c>
      <c r="I1446" s="1" t="s">
        <v>2686</v>
      </c>
      <c r="J1446" s="1" t="s">
        <v>46</v>
      </c>
      <c r="K1446" t="s">
        <v>1316</v>
      </c>
      <c r="M1446" s="1" t="s">
        <v>58</v>
      </c>
      <c r="N1446" s="1">
        <v>0</v>
      </c>
      <c r="O1446" s="1" t="s">
        <v>36</v>
      </c>
      <c r="P1446" s="11" t="s">
        <v>3121</v>
      </c>
      <c r="R1446" s="1">
        <v>14</v>
      </c>
      <c r="T1446" s="1" t="s">
        <v>238</v>
      </c>
      <c r="U1446" s="186">
        <v>44966.432372685187</v>
      </c>
      <c r="V1446" s="1" t="s">
        <v>41</v>
      </c>
      <c r="W1446" s="1" t="s">
        <v>49</v>
      </c>
    </row>
    <row r="1447" spans="1:23" hidden="1">
      <c r="A1447" s="1">
        <v>9458608</v>
      </c>
      <c r="B1447" s="1" t="s">
        <v>1153</v>
      </c>
      <c r="C1447" t="s">
        <v>2689</v>
      </c>
      <c r="D1447" s="2">
        <v>20234844000418</v>
      </c>
      <c r="E1447" s="2">
        <v>7417183020621</v>
      </c>
      <c r="F1447" s="1" t="s">
        <v>1313</v>
      </c>
      <c r="G1447" s="1" t="s">
        <v>53</v>
      </c>
      <c r="H1447" s="1" t="s">
        <v>2690</v>
      </c>
      <c r="I1447" s="1" t="s">
        <v>2691</v>
      </c>
      <c r="J1447" s="1" t="s">
        <v>46</v>
      </c>
      <c r="K1447" t="s">
        <v>1316</v>
      </c>
      <c r="M1447" s="1" t="s">
        <v>58</v>
      </c>
      <c r="N1447" s="1">
        <v>0</v>
      </c>
      <c r="O1447" s="1" t="s">
        <v>36</v>
      </c>
      <c r="P1447" s="11" t="s">
        <v>2692</v>
      </c>
      <c r="R1447" s="1">
        <v>13</v>
      </c>
      <c r="T1447" s="1" t="s">
        <v>238</v>
      </c>
      <c r="U1447" s="186">
        <v>44966.416516203702</v>
      </c>
      <c r="V1447" s="1" t="s">
        <v>41</v>
      </c>
      <c r="W1447" s="1" t="s">
        <v>49</v>
      </c>
    </row>
    <row r="1448" spans="1:23" hidden="1">
      <c r="A1448" s="1">
        <v>9458399</v>
      </c>
      <c r="B1448" s="1" t="s">
        <v>1153</v>
      </c>
      <c r="C1448" t="s">
        <v>2693</v>
      </c>
      <c r="D1448" s="2">
        <v>20232388000002</v>
      </c>
      <c r="E1448" s="2">
        <v>7417172782988</v>
      </c>
      <c r="F1448" s="1" t="s">
        <v>1989</v>
      </c>
      <c r="G1448" s="1" t="s">
        <v>53</v>
      </c>
      <c r="H1448" s="1" t="s">
        <v>299</v>
      </c>
      <c r="I1448" s="1" t="s">
        <v>300</v>
      </c>
      <c r="J1448" s="1" t="s">
        <v>79</v>
      </c>
      <c r="K1448" t="s">
        <v>1990</v>
      </c>
      <c r="M1448" s="1" t="s">
        <v>58</v>
      </c>
      <c r="N1448" s="1">
        <v>0</v>
      </c>
      <c r="O1448" s="1" t="s">
        <v>36</v>
      </c>
      <c r="P1448" s="11" t="s">
        <v>3122</v>
      </c>
      <c r="R1448" s="1">
        <v>22</v>
      </c>
      <c r="T1448" s="1" t="s">
        <v>1160</v>
      </c>
      <c r="U1448" s="186">
        <v>44970.60465277778</v>
      </c>
      <c r="V1448" s="1" t="s">
        <v>41</v>
      </c>
      <c r="W1448" s="1" t="s">
        <v>49</v>
      </c>
    </row>
    <row r="1449" spans="1:23" hidden="1">
      <c r="A1449" s="1">
        <v>9458312</v>
      </c>
      <c r="B1449" s="1" t="s">
        <v>1153</v>
      </c>
      <c r="C1449" t="s">
        <v>2694</v>
      </c>
      <c r="D1449" s="2">
        <v>20232442000020</v>
      </c>
      <c r="E1449" s="2">
        <v>7417163283361</v>
      </c>
      <c r="F1449" s="1" t="s">
        <v>131</v>
      </c>
      <c r="G1449" s="1" t="s">
        <v>53</v>
      </c>
      <c r="H1449" s="1" t="s">
        <v>2489</v>
      </c>
      <c r="I1449" s="1" t="s">
        <v>2490</v>
      </c>
      <c r="J1449" s="1" t="s">
        <v>33</v>
      </c>
      <c r="K1449" t="s">
        <v>132</v>
      </c>
      <c r="M1449" s="1" t="s">
        <v>58</v>
      </c>
      <c r="N1449" s="1">
        <v>0</v>
      </c>
      <c r="O1449" s="1" t="s">
        <v>36</v>
      </c>
      <c r="P1449" s="11" t="s">
        <v>2695</v>
      </c>
      <c r="R1449" s="1">
        <v>15</v>
      </c>
      <c r="T1449" s="1" t="s">
        <v>238</v>
      </c>
      <c r="U1449" s="186">
        <v>44966.416666666664</v>
      </c>
      <c r="V1449" s="1" t="s">
        <v>41</v>
      </c>
      <c r="W1449" s="1" t="s">
        <v>42</v>
      </c>
    </row>
    <row r="1450" spans="1:23" hidden="1">
      <c r="A1450" s="1">
        <v>9458173</v>
      </c>
      <c r="B1450" s="1" t="s">
        <v>1153</v>
      </c>
      <c r="C1450" t="s">
        <v>2697</v>
      </c>
      <c r="D1450" s="2">
        <v>20234804001469</v>
      </c>
      <c r="E1450" s="2">
        <v>7417193471170</v>
      </c>
      <c r="F1450" s="1" t="s">
        <v>2698</v>
      </c>
      <c r="G1450" s="1" t="s">
        <v>53</v>
      </c>
      <c r="H1450" s="1" t="s">
        <v>2699</v>
      </c>
      <c r="I1450" s="1" t="s">
        <v>2700</v>
      </c>
      <c r="J1450" s="1" t="s">
        <v>46</v>
      </c>
      <c r="K1450" t="s">
        <v>2701</v>
      </c>
      <c r="M1450" s="1" t="s">
        <v>58</v>
      </c>
      <c r="N1450" s="1">
        <v>0</v>
      </c>
      <c r="O1450" s="1" t="s">
        <v>36</v>
      </c>
      <c r="P1450" s="11" t="s">
        <v>2702</v>
      </c>
      <c r="R1450" s="1">
        <v>13</v>
      </c>
      <c r="S1450" s="1">
        <v>4804</v>
      </c>
      <c r="T1450" s="1" t="s">
        <v>238</v>
      </c>
      <c r="U1450" s="186">
        <v>44966.395833333336</v>
      </c>
      <c r="V1450" s="1" t="s">
        <v>41</v>
      </c>
      <c r="W1450" s="1" t="s">
        <v>49</v>
      </c>
    </row>
    <row r="1451" spans="1:23" hidden="1">
      <c r="A1451" s="1">
        <v>9457892</v>
      </c>
      <c r="B1451" s="1" t="s">
        <v>1153</v>
      </c>
      <c r="C1451" t="s">
        <v>2703</v>
      </c>
      <c r="E1451" s="2">
        <v>1264000206001</v>
      </c>
      <c r="F1451" s="1" t="s">
        <v>29</v>
      </c>
      <c r="G1451" s="1" t="s">
        <v>53</v>
      </c>
      <c r="H1451" s="1" t="s">
        <v>351</v>
      </c>
      <c r="I1451" s="1" t="s">
        <v>352</v>
      </c>
      <c r="J1451" s="1" t="s">
        <v>110</v>
      </c>
      <c r="K1451" t="s">
        <v>34</v>
      </c>
      <c r="M1451" s="1" t="s">
        <v>35</v>
      </c>
      <c r="N1451" s="1">
        <v>42318949</v>
      </c>
      <c r="O1451" s="1" t="s">
        <v>36</v>
      </c>
      <c r="P1451" s="11" t="s">
        <v>3123</v>
      </c>
      <c r="R1451" s="1" t="s">
        <v>38</v>
      </c>
      <c r="T1451" s="1" t="s">
        <v>74</v>
      </c>
      <c r="U1451" s="186">
        <v>44973.625</v>
      </c>
      <c r="V1451" s="1" t="s">
        <v>41</v>
      </c>
      <c r="W1451" s="1" t="s">
        <v>49</v>
      </c>
    </row>
    <row r="1452" spans="1:23">
      <c r="A1452" s="1">
        <v>9465880</v>
      </c>
      <c r="B1452" s="1" t="s">
        <v>1153</v>
      </c>
      <c r="C1452" t="s">
        <v>2704</v>
      </c>
      <c r="D1452" s="2">
        <v>230027811</v>
      </c>
      <c r="E1452" s="2">
        <v>68001400030</v>
      </c>
      <c r="F1452" s="1" t="s">
        <v>647</v>
      </c>
      <c r="G1452" s="1" t="s">
        <v>53</v>
      </c>
      <c r="H1452" s="1" t="s">
        <v>1330</v>
      </c>
      <c r="I1452" s="1" t="s">
        <v>1331</v>
      </c>
      <c r="J1452" s="1" t="s">
        <v>211</v>
      </c>
      <c r="K1452" t="s">
        <v>650</v>
      </c>
      <c r="M1452" s="1" t="s">
        <v>58</v>
      </c>
      <c r="N1452" s="1">
        <v>0</v>
      </c>
      <c r="O1452" s="1" t="s">
        <v>36</v>
      </c>
      <c r="P1452" s="11" t="s">
        <v>2705</v>
      </c>
      <c r="R1452" s="1">
        <v>4</v>
      </c>
      <c r="T1452" s="1" t="s">
        <v>646</v>
      </c>
      <c r="U1452" s="186">
        <v>44981.708333333336</v>
      </c>
      <c r="V1452" s="1" t="s">
        <v>41</v>
      </c>
      <c r="W1452" s="1" t="s">
        <v>49</v>
      </c>
    </row>
    <row r="1453" spans="1:23">
      <c r="A1453" s="1">
        <v>9465855</v>
      </c>
      <c r="B1453" s="1" t="s">
        <v>1153</v>
      </c>
      <c r="C1453" t="s">
        <v>2704</v>
      </c>
      <c r="D1453" s="2">
        <v>230027810</v>
      </c>
      <c r="E1453" s="2">
        <v>68001400030</v>
      </c>
      <c r="F1453" s="1" t="s">
        <v>647</v>
      </c>
      <c r="G1453" s="1" t="s">
        <v>53</v>
      </c>
      <c r="H1453" s="1" t="s">
        <v>1330</v>
      </c>
      <c r="I1453" s="1" t="s">
        <v>1331</v>
      </c>
      <c r="J1453" s="1" t="s">
        <v>211</v>
      </c>
      <c r="K1453" t="s">
        <v>650</v>
      </c>
      <c r="M1453" s="1" t="s">
        <v>58</v>
      </c>
      <c r="N1453" s="1">
        <v>0</v>
      </c>
      <c r="O1453" s="1" t="s">
        <v>36</v>
      </c>
      <c r="P1453" s="11" t="s">
        <v>2707</v>
      </c>
      <c r="R1453" s="1">
        <v>4</v>
      </c>
      <c r="T1453" s="1" t="s">
        <v>646</v>
      </c>
      <c r="U1453" s="186">
        <v>44981.708333333336</v>
      </c>
      <c r="V1453" s="1" t="s">
        <v>41</v>
      </c>
      <c r="W1453" s="1" t="s">
        <v>49</v>
      </c>
    </row>
    <row r="1454" spans="1:23" hidden="1">
      <c r="A1454" s="1">
        <v>9465602</v>
      </c>
      <c r="B1454" s="1" t="s">
        <v>1153</v>
      </c>
      <c r="C1454" t="s">
        <v>2708</v>
      </c>
      <c r="D1454" s="2">
        <v>230027784</v>
      </c>
      <c r="E1454" s="2">
        <v>2335001400030</v>
      </c>
      <c r="F1454" s="1" t="s">
        <v>647</v>
      </c>
      <c r="G1454" s="1" t="s">
        <v>53</v>
      </c>
      <c r="H1454" s="1" t="s">
        <v>194</v>
      </c>
      <c r="I1454" s="1" t="s">
        <v>195</v>
      </c>
      <c r="J1454" s="1" t="s">
        <v>261</v>
      </c>
      <c r="K1454" t="s">
        <v>650</v>
      </c>
      <c r="M1454" s="1" t="s">
        <v>58</v>
      </c>
      <c r="N1454" s="1">
        <v>0</v>
      </c>
      <c r="O1454" s="1" t="s">
        <v>36</v>
      </c>
      <c r="P1454" s="11" t="s">
        <v>2709</v>
      </c>
      <c r="R1454" s="1">
        <v>4</v>
      </c>
      <c r="T1454" s="1" t="s">
        <v>646</v>
      </c>
      <c r="U1454" s="186">
        <v>44973.729166666664</v>
      </c>
      <c r="V1454" s="1" t="s">
        <v>41</v>
      </c>
      <c r="W1454" s="1" t="s">
        <v>49</v>
      </c>
    </row>
    <row r="1455" spans="1:23" hidden="1">
      <c r="A1455" s="1">
        <v>9465360</v>
      </c>
      <c r="B1455" s="1" t="s">
        <v>1153</v>
      </c>
      <c r="C1455" t="s">
        <v>2714</v>
      </c>
      <c r="E1455" s="2">
        <v>2196000203000</v>
      </c>
      <c r="F1455" s="1" t="s">
        <v>454</v>
      </c>
      <c r="G1455" s="1" t="s">
        <v>53</v>
      </c>
      <c r="H1455" s="1" t="s">
        <v>1252</v>
      </c>
      <c r="I1455" s="1" t="s">
        <v>1253</v>
      </c>
      <c r="J1455" s="1" t="s">
        <v>33</v>
      </c>
      <c r="K1455" t="s">
        <v>457</v>
      </c>
      <c r="M1455" s="1" t="s">
        <v>58</v>
      </c>
      <c r="N1455" s="1">
        <v>0</v>
      </c>
      <c r="O1455" s="1" t="s">
        <v>36</v>
      </c>
      <c r="P1455" s="11" t="s">
        <v>3124</v>
      </c>
      <c r="R1455" s="1">
        <v>1</v>
      </c>
      <c r="T1455" s="1" t="s">
        <v>157</v>
      </c>
      <c r="U1455" s="186">
        <v>44968.698298611111</v>
      </c>
      <c r="V1455" s="1" t="s">
        <v>41</v>
      </c>
      <c r="W1455" s="1" t="s">
        <v>42</v>
      </c>
    </row>
    <row r="1456" spans="1:23" hidden="1">
      <c r="A1456" s="1">
        <v>9465308</v>
      </c>
      <c r="B1456" s="1" t="s">
        <v>1153</v>
      </c>
      <c r="C1456" t="s">
        <v>2715</v>
      </c>
      <c r="D1456" s="2">
        <v>20230233000016</v>
      </c>
      <c r="E1456" s="2">
        <v>7417161480635</v>
      </c>
      <c r="F1456" s="1" t="s">
        <v>1979</v>
      </c>
      <c r="G1456" s="1" t="s">
        <v>53</v>
      </c>
      <c r="H1456" s="1" t="s">
        <v>2716</v>
      </c>
      <c r="I1456" s="1" t="s">
        <v>2717</v>
      </c>
      <c r="J1456" s="1" t="s">
        <v>261</v>
      </c>
      <c r="K1456" t="s">
        <v>1982</v>
      </c>
      <c r="M1456" s="1" t="s">
        <v>58</v>
      </c>
      <c r="N1456" s="1">
        <v>0</v>
      </c>
      <c r="O1456" s="1" t="s">
        <v>36</v>
      </c>
      <c r="P1456" s="11" t="s">
        <v>3125</v>
      </c>
      <c r="R1456" s="1">
        <v>14</v>
      </c>
      <c r="T1456" s="1" t="s">
        <v>238</v>
      </c>
      <c r="U1456" s="186">
        <v>44967.674456018518</v>
      </c>
      <c r="V1456" s="1" t="s">
        <v>41</v>
      </c>
      <c r="W1456" s="1" t="s">
        <v>49</v>
      </c>
    </row>
    <row r="1457" spans="1:23" hidden="1">
      <c r="A1457" s="1">
        <v>9465233</v>
      </c>
      <c r="B1457" s="1" t="s">
        <v>1153</v>
      </c>
      <c r="C1457" t="s">
        <v>2719</v>
      </c>
      <c r="D1457" s="2">
        <v>20234844000434</v>
      </c>
      <c r="E1457" s="2">
        <v>7417161483730</v>
      </c>
      <c r="F1457" s="1" t="s">
        <v>1217</v>
      </c>
      <c r="G1457" s="1" t="s">
        <v>53</v>
      </c>
      <c r="H1457" s="1" t="s">
        <v>2632</v>
      </c>
      <c r="I1457" s="1" t="s">
        <v>2633</v>
      </c>
      <c r="J1457" s="1" t="s">
        <v>46</v>
      </c>
      <c r="K1457" t="s">
        <v>1218</v>
      </c>
      <c r="M1457" s="1" t="s">
        <v>58</v>
      </c>
      <c r="N1457" s="1">
        <v>0</v>
      </c>
      <c r="O1457" s="1" t="s">
        <v>105</v>
      </c>
      <c r="P1457" s="11" t="s">
        <v>3126</v>
      </c>
      <c r="R1457" s="1">
        <v>13</v>
      </c>
      <c r="T1457" s="1" t="s">
        <v>238</v>
      </c>
      <c r="U1457" s="186">
        <v>44967.662662037037</v>
      </c>
      <c r="V1457" s="1" t="s">
        <v>41</v>
      </c>
      <c r="W1457" s="1" t="s">
        <v>49</v>
      </c>
    </row>
    <row r="1458" spans="1:23">
      <c r="A1458" s="1">
        <v>9465184</v>
      </c>
      <c r="B1458" s="1" t="s">
        <v>1153</v>
      </c>
      <c r="C1458" t="s">
        <v>2720</v>
      </c>
      <c r="E1458" s="2">
        <v>9705000206001</v>
      </c>
      <c r="F1458" s="1" t="s">
        <v>29</v>
      </c>
      <c r="G1458" s="1" t="s">
        <v>53</v>
      </c>
      <c r="H1458" s="1" t="s">
        <v>204</v>
      </c>
      <c r="I1458" s="1" t="s">
        <v>205</v>
      </c>
      <c r="J1458" s="1" t="s">
        <v>90</v>
      </c>
      <c r="K1458" t="s">
        <v>34</v>
      </c>
      <c r="M1458" s="1" t="s">
        <v>35</v>
      </c>
      <c r="N1458" s="1">
        <v>42318949</v>
      </c>
      <c r="O1458" s="1" t="s">
        <v>36</v>
      </c>
      <c r="P1458" s="11" t="s">
        <v>3127</v>
      </c>
      <c r="R1458" s="1" t="s">
        <v>38</v>
      </c>
      <c r="T1458" s="1" t="s">
        <v>74</v>
      </c>
      <c r="U1458" s="186">
        <v>44979.607638888891</v>
      </c>
      <c r="V1458" s="1" t="s">
        <v>41</v>
      </c>
      <c r="W1458" s="1" t="s">
        <v>49</v>
      </c>
    </row>
    <row r="1459" spans="1:23" hidden="1">
      <c r="A1459" s="1">
        <v>9465182</v>
      </c>
      <c r="B1459" s="1" t="s">
        <v>1153</v>
      </c>
      <c r="C1459" t="s">
        <v>2721</v>
      </c>
      <c r="D1459" s="2">
        <v>230027724</v>
      </c>
      <c r="E1459" s="2">
        <v>1049001400010</v>
      </c>
      <c r="F1459" s="1" t="s">
        <v>936</v>
      </c>
      <c r="G1459" s="1" t="s">
        <v>53</v>
      </c>
      <c r="H1459" s="1" t="s">
        <v>169</v>
      </c>
      <c r="I1459" s="1" t="s">
        <v>170</v>
      </c>
      <c r="J1459" s="1" t="s">
        <v>164</v>
      </c>
      <c r="K1459" t="s">
        <v>937</v>
      </c>
      <c r="M1459" s="1" t="s">
        <v>58</v>
      </c>
      <c r="N1459" s="1">
        <v>0</v>
      </c>
      <c r="O1459" s="1" t="s">
        <v>105</v>
      </c>
      <c r="P1459" s="11" t="s">
        <v>2722</v>
      </c>
      <c r="R1459" s="1">
        <v>3</v>
      </c>
      <c r="T1459" s="1" t="s">
        <v>646</v>
      </c>
      <c r="U1459" s="186">
        <v>44974.447222222225</v>
      </c>
      <c r="V1459" s="1" t="s">
        <v>41</v>
      </c>
      <c r="W1459" s="1" t="s">
        <v>49</v>
      </c>
    </row>
    <row r="1460" spans="1:23" hidden="1">
      <c r="A1460" s="1">
        <v>9465086</v>
      </c>
      <c r="B1460" s="1" t="s">
        <v>1153</v>
      </c>
      <c r="C1460" t="s">
        <v>2725</v>
      </c>
      <c r="E1460" s="2">
        <v>2802000203000</v>
      </c>
      <c r="F1460" s="1" t="s">
        <v>454</v>
      </c>
      <c r="G1460" s="1" t="s">
        <v>53</v>
      </c>
      <c r="H1460" s="1" t="s">
        <v>388</v>
      </c>
      <c r="I1460" s="1" t="s">
        <v>389</v>
      </c>
      <c r="J1460" s="1" t="s">
        <v>46</v>
      </c>
      <c r="K1460" t="s">
        <v>457</v>
      </c>
      <c r="M1460" s="1" t="s">
        <v>58</v>
      </c>
      <c r="N1460" s="1">
        <v>0</v>
      </c>
      <c r="O1460" s="1" t="s">
        <v>36</v>
      </c>
      <c r="P1460" s="11" t="s">
        <v>3128</v>
      </c>
      <c r="R1460" s="1">
        <v>1</v>
      </c>
      <c r="T1460" s="1" t="s">
        <v>157</v>
      </c>
      <c r="U1460" s="186">
        <v>44968.657002314816</v>
      </c>
      <c r="V1460" s="1" t="s">
        <v>41</v>
      </c>
      <c r="W1460" s="1" t="s">
        <v>49</v>
      </c>
    </row>
    <row r="1461" spans="1:23" hidden="1">
      <c r="A1461" s="1">
        <v>9464931</v>
      </c>
      <c r="B1461" s="1" t="s">
        <v>1153</v>
      </c>
      <c r="C1461" t="s">
        <v>2726</v>
      </c>
      <c r="D1461" s="2">
        <v>230027675</v>
      </c>
      <c r="E1461" s="2">
        <v>2257001400010</v>
      </c>
      <c r="F1461" s="1" t="s">
        <v>936</v>
      </c>
      <c r="G1461" s="1" t="s">
        <v>53</v>
      </c>
      <c r="H1461" s="1" t="s">
        <v>381</v>
      </c>
      <c r="I1461" s="1" t="s">
        <v>382</v>
      </c>
      <c r="J1461" s="1" t="s">
        <v>110</v>
      </c>
      <c r="K1461" t="s">
        <v>937</v>
      </c>
      <c r="M1461" s="1" t="s">
        <v>58</v>
      </c>
      <c r="N1461" s="1">
        <v>0</v>
      </c>
      <c r="O1461" s="1" t="s">
        <v>36</v>
      </c>
      <c r="P1461" s="11" t="s">
        <v>3129</v>
      </c>
      <c r="R1461" s="1">
        <v>3</v>
      </c>
      <c r="T1461" s="1" t="s">
        <v>646</v>
      </c>
      <c r="U1461" s="186">
        <v>44979.6875</v>
      </c>
      <c r="V1461" s="1" t="s">
        <v>41</v>
      </c>
      <c r="W1461" s="1" t="s">
        <v>49</v>
      </c>
    </row>
    <row r="1462" spans="1:23" hidden="1">
      <c r="A1462" s="1">
        <v>9464926</v>
      </c>
      <c r="B1462" s="1" t="s">
        <v>1153</v>
      </c>
      <c r="C1462" t="s">
        <v>2727</v>
      </c>
      <c r="D1462" s="2">
        <v>20234923000065</v>
      </c>
      <c r="E1462" s="2">
        <v>7419141893008</v>
      </c>
      <c r="F1462" s="1" t="s">
        <v>128</v>
      </c>
      <c r="G1462" s="1" t="s">
        <v>53</v>
      </c>
      <c r="H1462" s="1" t="s">
        <v>1966</v>
      </c>
      <c r="I1462" s="1" t="s">
        <v>1967</v>
      </c>
      <c r="J1462" s="1" t="s">
        <v>46</v>
      </c>
      <c r="K1462" t="s">
        <v>129</v>
      </c>
      <c r="M1462" s="1" t="s">
        <v>58</v>
      </c>
      <c r="N1462" s="1">
        <v>0</v>
      </c>
      <c r="O1462" s="1" t="s">
        <v>36</v>
      </c>
      <c r="P1462" s="11" t="s">
        <v>3130</v>
      </c>
      <c r="R1462" s="1">
        <v>13</v>
      </c>
      <c r="T1462" s="1" t="s">
        <v>238</v>
      </c>
      <c r="U1462" s="186">
        <v>44967.626956018517</v>
      </c>
      <c r="V1462" s="1" t="s">
        <v>41</v>
      </c>
      <c r="W1462" s="1" t="s">
        <v>49</v>
      </c>
    </row>
    <row r="1463" spans="1:23" hidden="1">
      <c r="A1463" s="1">
        <v>9464783</v>
      </c>
      <c r="B1463" s="1" t="s">
        <v>1153</v>
      </c>
      <c r="C1463" t="s">
        <v>2728</v>
      </c>
      <c r="D1463" s="2">
        <v>20230721000020</v>
      </c>
      <c r="E1463" s="2">
        <v>7417172784707</v>
      </c>
      <c r="F1463" s="1" t="s">
        <v>1989</v>
      </c>
      <c r="G1463" s="1" t="s">
        <v>53</v>
      </c>
      <c r="H1463" s="1" t="s">
        <v>422</v>
      </c>
      <c r="I1463" s="1" t="s">
        <v>423</v>
      </c>
      <c r="J1463" s="1" t="s">
        <v>79</v>
      </c>
      <c r="K1463" t="s">
        <v>1990</v>
      </c>
      <c r="M1463" s="1" t="s">
        <v>58</v>
      </c>
      <c r="N1463" s="1">
        <v>0</v>
      </c>
      <c r="O1463" s="1" t="s">
        <v>105</v>
      </c>
      <c r="P1463" s="11" t="s">
        <v>3131</v>
      </c>
      <c r="R1463" s="1">
        <v>22</v>
      </c>
      <c r="T1463" s="1" t="s">
        <v>1160</v>
      </c>
      <c r="U1463" s="186">
        <v>44972.437928240739</v>
      </c>
      <c r="V1463" s="1" t="s">
        <v>41</v>
      </c>
      <c r="W1463" s="1" t="s">
        <v>49</v>
      </c>
    </row>
    <row r="1464" spans="1:23" hidden="1">
      <c r="A1464" s="1">
        <v>9464595</v>
      </c>
      <c r="B1464" s="1" t="s">
        <v>81</v>
      </c>
      <c r="C1464" t="s">
        <v>2733</v>
      </c>
      <c r="E1464" s="2">
        <v>2564000206001</v>
      </c>
      <c r="F1464" s="1" t="s">
        <v>29</v>
      </c>
      <c r="G1464" s="1" t="s">
        <v>53</v>
      </c>
      <c r="H1464" s="1" t="s">
        <v>255</v>
      </c>
      <c r="I1464" s="1" t="s">
        <v>256</v>
      </c>
      <c r="J1464" s="1" t="s">
        <v>164</v>
      </c>
      <c r="K1464" t="s">
        <v>34</v>
      </c>
      <c r="M1464" s="1" t="s">
        <v>35</v>
      </c>
      <c r="N1464" s="1">
        <v>42318949</v>
      </c>
      <c r="O1464" s="1" t="s">
        <v>105</v>
      </c>
      <c r="P1464" s="11" t="s">
        <v>2734</v>
      </c>
      <c r="R1464" s="1" t="s">
        <v>38</v>
      </c>
      <c r="T1464" s="1" t="s">
        <v>74</v>
      </c>
      <c r="U1464" s="186">
        <v>44968.590173611112</v>
      </c>
      <c r="V1464" s="1" t="s">
        <v>41</v>
      </c>
      <c r="W1464" s="1" t="s">
        <v>49</v>
      </c>
    </row>
    <row r="1465" spans="1:23" hidden="1">
      <c r="A1465" s="1">
        <v>9464594</v>
      </c>
      <c r="B1465" s="1" t="s">
        <v>81</v>
      </c>
      <c r="C1465" t="s">
        <v>2733</v>
      </c>
      <c r="E1465" s="2">
        <v>2559000206001</v>
      </c>
      <c r="F1465" s="1" t="s">
        <v>29</v>
      </c>
      <c r="G1465" s="1" t="s">
        <v>53</v>
      </c>
      <c r="H1465" s="1" t="s">
        <v>259</v>
      </c>
      <c r="I1465" s="1" t="s">
        <v>260</v>
      </c>
      <c r="J1465" s="1" t="s">
        <v>261</v>
      </c>
      <c r="K1465" t="s">
        <v>34</v>
      </c>
      <c r="M1465" s="1" t="s">
        <v>35</v>
      </c>
      <c r="N1465" s="1">
        <v>42318949</v>
      </c>
      <c r="O1465" s="1" t="s">
        <v>105</v>
      </c>
      <c r="P1465" s="11" t="s">
        <v>2734</v>
      </c>
      <c r="R1465" s="1" t="s">
        <v>38</v>
      </c>
      <c r="T1465" s="1" t="s">
        <v>74</v>
      </c>
      <c r="U1465" s="186">
        <v>44968.590173611112</v>
      </c>
      <c r="V1465" s="1" t="s">
        <v>41</v>
      </c>
      <c r="W1465" s="1" t="s">
        <v>49</v>
      </c>
    </row>
    <row r="1466" spans="1:23" hidden="1">
      <c r="A1466" s="1">
        <v>9464591</v>
      </c>
      <c r="B1466" s="1" t="s">
        <v>81</v>
      </c>
      <c r="C1466" t="s">
        <v>2733</v>
      </c>
      <c r="E1466" s="2">
        <v>2257000206001</v>
      </c>
      <c r="F1466" s="1" t="s">
        <v>29</v>
      </c>
      <c r="G1466" s="1" t="s">
        <v>53</v>
      </c>
      <c r="H1466" s="1" t="s">
        <v>381</v>
      </c>
      <c r="I1466" s="1" t="s">
        <v>382</v>
      </c>
      <c r="J1466" s="1" t="s">
        <v>110</v>
      </c>
      <c r="K1466" t="s">
        <v>34</v>
      </c>
      <c r="M1466" s="1" t="s">
        <v>35</v>
      </c>
      <c r="N1466" s="1">
        <v>42318949</v>
      </c>
      <c r="O1466" s="1" t="s">
        <v>105</v>
      </c>
      <c r="P1466" s="11" t="s">
        <v>3132</v>
      </c>
      <c r="R1466" s="1" t="s">
        <v>38</v>
      </c>
      <c r="T1466" s="1" t="s">
        <v>74</v>
      </c>
      <c r="U1466" s="186">
        <v>44968.590162037035</v>
      </c>
      <c r="V1466" s="1" t="s">
        <v>41</v>
      </c>
      <c r="W1466" s="1" t="s">
        <v>49</v>
      </c>
    </row>
    <row r="1467" spans="1:23">
      <c r="A1467" s="1">
        <v>9464589</v>
      </c>
      <c r="B1467" s="1" t="s">
        <v>81</v>
      </c>
      <c r="C1467" t="s">
        <v>2733</v>
      </c>
      <c r="E1467" s="2">
        <v>2156000206001</v>
      </c>
      <c r="F1467" s="1" t="s">
        <v>29</v>
      </c>
      <c r="G1467" s="1" t="s">
        <v>53</v>
      </c>
      <c r="H1467" s="1" t="s">
        <v>278</v>
      </c>
      <c r="I1467" s="1" t="s">
        <v>279</v>
      </c>
      <c r="J1467" s="1" t="s">
        <v>211</v>
      </c>
      <c r="K1467" t="s">
        <v>34</v>
      </c>
      <c r="M1467" s="1" t="s">
        <v>35</v>
      </c>
      <c r="N1467" s="1">
        <v>42318949</v>
      </c>
      <c r="O1467" s="1" t="s">
        <v>105</v>
      </c>
      <c r="P1467" s="11" t="s">
        <v>3132</v>
      </c>
      <c r="R1467" s="1" t="s">
        <v>38</v>
      </c>
      <c r="T1467" s="1" t="s">
        <v>74</v>
      </c>
      <c r="U1467" s="186">
        <v>44968.590162037035</v>
      </c>
      <c r="V1467" s="1" t="s">
        <v>41</v>
      </c>
      <c r="W1467" s="1" t="s">
        <v>49</v>
      </c>
    </row>
    <row r="1468" spans="1:23" hidden="1">
      <c r="A1468" s="1">
        <v>9464575</v>
      </c>
      <c r="B1468" s="1" t="s">
        <v>81</v>
      </c>
      <c r="C1468" t="s">
        <v>2733</v>
      </c>
      <c r="E1468" s="2">
        <v>582000206001</v>
      </c>
      <c r="F1468" s="1" t="s">
        <v>29</v>
      </c>
      <c r="G1468" s="1" t="s">
        <v>53</v>
      </c>
      <c r="H1468" s="1" t="s">
        <v>139</v>
      </c>
      <c r="I1468" s="1" t="s">
        <v>140</v>
      </c>
      <c r="J1468" s="1" t="s">
        <v>141</v>
      </c>
      <c r="K1468" t="s">
        <v>34</v>
      </c>
      <c r="M1468" s="1" t="s">
        <v>35</v>
      </c>
      <c r="N1468" s="1">
        <v>42318949</v>
      </c>
      <c r="O1468" s="1" t="s">
        <v>105</v>
      </c>
      <c r="P1468" s="11" t="s">
        <v>3133</v>
      </c>
      <c r="R1468" s="1" t="s">
        <v>38</v>
      </c>
      <c r="T1468" s="1" t="s">
        <v>74</v>
      </c>
      <c r="U1468" s="186">
        <v>44968.590138888889</v>
      </c>
      <c r="V1468" s="1" t="s">
        <v>41</v>
      </c>
      <c r="W1468" s="1" t="s">
        <v>49</v>
      </c>
    </row>
    <row r="1469" spans="1:23" hidden="1">
      <c r="A1469" s="1">
        <v>9464504</v>
      </c>
      <c r="B1469" s="1" t="s">
        <v>81</v>
      </c>
      <c r="C1469" t="s">
        <v>2733</v>
      </c>
      <c r="E1469" s="2">
        <v>2802000206001</v>
      </c>
      <c r="F1469" s="1" t="s">
        <v>29</v>
      </c>
      <c r="G1469" s="1" t="s">
        <v>53</v>
      </c>
      <c r="H1469" s="1" t="s">
        <v>388</v>
      </c>
      <c r="I1469" s="1" t="s">
        <v>389</v>
      </c>
      <c r="J1469" s="1" t="s">
        <v>46</v>
      </c>
      <c r="K1469" t="s">
        <v>34</v>
      </c>
      <c r="M1469" s="1" t="s">
        <v>35</v>
      </c>
      <c r="N1469" s="1">
        <v>42318949</v>
      </c>
      <c r="O1469" s="1" t="s">
        <v>105</v>
      </c>
      <c r="P1469" s="11" t="s">
        <v>3134</v>
      </c>
      <c r="R1469" s="1" t="s">
        <v>38</v>
      </c>
      <c r="T1469" s="1" t="s">
        <v>74</v>
      </c>
      <c r="U1469" s="186">
        <v>44968.59002314815</v>
      </c>
      <c r="V1469" s="1" t="s">
        <v>41</v>
      </c>
      <c r="W1469" s="1" t="s">
        <v>49</v>
      </c>
    </row>
    <row r="1470" spans="1:23" hidden="1">
      <c r="A1470" s="1">
        <v>9464461</v>
      </c>
      <c r="B1470" s="1" t="s">
        <v>81</v>
      </c>
      <c r="C1470" t="s">
        <v>2733</v>
      </c>
      <c r="E1470" s="2">
        <v>1245000206001</v>
      </c>
      <c r="F1470" s="1" t="s">
        <v>29</v>
      </c>
      <c r="G1470" s="1" t="s">
        <v>53</v>
      </c>
      <c r="H1470" s="1" t="s">
        <v>408</v>
      </c>
      <c r="I1470" s="1" t="s">
        <v>409</v>
      </c>
      <c r="J1470" s="1" t="s">
        <v>46</v>
      </c>
      <c r="K1470" t="s">
        <v>34</v>
      </c>
      <c r="M1470" s="1" t="s">
        <v>35</v>
      </c>
      <c r="N1470" s="1">
        <v>42318949</v>
      </c>
      <c r="O1470" s="1" t="s">
        <v>105</v>
      </c>
      <c r="P1470" s="11" t="s">
        <v>3135</v>
      </c>
      <c r="R1470" s="1" t="s">
        <v>38</v>
      </c>
      <c r="T1470" s="1" t="s">
        <v>74</v>
      </c>
      <c r="U1470" s="186">
        <v>44968.589930555558</v>
      </c>
      <c r="V1470" s="1" t="s">
        <v>41</v>
      </c>
      <c r="W1470" s="1" t="s">
        <v>49</v>
      </c>
    </row>
    <row r="1471" spans="1:23" hidden="1">
      <c r="A1471" s="1">
        <v>9464457</v>
      </c>
      <c r="B1471" s="1" t="s">
        <v>81</v>
      </c>
      <c r="C1471" t="s">
        <v>2733</v>
      </c>
      <c r="E1471" s="2">
        <v>1128000206001</v>
      </c>
      <c r="F1471" s="1" t="s">
        <v>29</v>
      </c>
      <c r="G1471" s="1" t="s">
        <v>53</v>
      </c>
      <c r="H1471" s="1" t="s">
        <v>1191</v>
      </c>
      <c r="I1471" s="1" t="s">
        <v>1192</v>
      </c>
      <c r="J1471" s="1" t="s">
        <v>33</v>
      </c>
      <c r="K1471" t="s">
        <v>34</v>
      </c>
      <c r="M1471" s="1" t="s">
        <v>35</v>
      </c>
      <c r="N1471" s="1">
        <v>42318949</v>
      </c>
      <c r="O1471" s="1" t="s">
        <v>105</v>
      </c>
      <c r="P1471" s="11" t="s">
        <v>2736</v>
      </c>
      <c r="R1471" s="1" t="s">
        <v>38</v>
      </c>
      <c r="T1471" s="1" t="s">
        <v>74</v>
      </c>
      <c r="U1471" s="186">
        <v>44968.589930555558</v>
      </c>
      <c r="V1471" s="1" t="s">
        <v>41</v>
      </c>
      <c r="W1471" s="1" t="s">
        <v>49</v>
      </c>
    </row>
    <row r="1472" spans="1:23" hidden="1">
      <c r="A1472" s="1">
        <v>9464451</v>
      </c>
      <c r="B1472" s="1" t="s">
        <v>81</v>
      </c>
      <c r="C1472" t="s">
        <v>2733</v>
      </c>
      <c r="E1472" s="2">
        <v>963000206001</v>
      </c>
      <c r="F1472" s="1" t="s">
        <v>29</v>
      </c>
      <c r="G1472" s="1" t="s">
        <v>53</v>
      </c>
      <c r="H1472" s="1" t="s">
        <v>531</v>
      </c>
      <c r="I1472" s="1" t="s">
        <v>532</v>
      </c>
      <c r="J1472" s="1" t="s">
        <v>33</v>
      </c>
      <c r="K1472" t="s">
        <v>34</v>
      </c>
      <c r="M1472" s="1" t="s">
        <v>35</v>
      </c>
      <c r="N1472" s="1">
        <v>42318949</v>
      </c>
      <c r="O1472" s="1" t="s">
        <v>105</v>
      </c>
      <c r="P1472" s="11" t="s">
        <v>2736</v>
      </c>
      <c r="R1472" s="1" t="s">
        <v>38</v>
      </c>
      <c r="T1472" s="1" t="s">
        <v>74</v>
      </c>
      <c r="U1472" s="186">
        <v>44968.589918981481</v>
      </c>
      <c r="V1472" s="1" t="s">
        <v>41</v>
      </c>
      <c r="W1472" s="1" t="s">
        <v>49</v>
      </c>
    </row>
    <row r="1473" spans="1:23" hidden="1">
      <c r="A1473" s="1">
        <v>9464394</v>
      </c>
      <c r="B1473" s="1" t="s">
        <v>81</v>
      </c>
      <c r="C1473" t="s">
        <v>2733</v>
      </c>
      <c r="E1473" s="2">
        <v>67000206001</v>
      </c>
      <c r="F1473" s="1" t="s">
        <v>29</v>
      </c>
      <c r="G1473" s="1" t="s">
        <v>53</v>
      </c>
      <c r="H1473" s="1" t="s">
        <v>404</v>
      </c>
      <c r="I1473" s="1" t="s">
        <v>405</v>
      </c>
      <c r="J1473" s="1" t="s">
        <v>164</v>
      </c>
      <c r="K1473" t="s">
        <v>34</v>
      </c>
      <c r="M1473" s="1" t="s">
        <v>35</v>
      </c>
      <c r="N1473" s="1">
        <v>42318949</v>
      </c>
      <c r="O1473" s="1" t="s">
        <v>105</v>
      </c>
      <c r="P1473" s="11" t="s">
        <v>2738</v>
      </c>
      <c r="R1473" s="1" t="s">
        <v>38</v>
      </c>
      <c r="T1473" s="1" t="s">
        <v>74</v>
      </c>
      <c r="U1473" s="186">
        <v>44968.589814814812</v>
      </c>
      <c r="V1473" s="1" t="s">
        <v>41</v>
      </c>
      <c r="W1473" s="1" t="s">
        <v>49</v>
      </c>
    </row>
    <row r="1474" spans="1:23" hidden="1">
      <c r="A1474" s="1">
        <v>9464332</v>
      </c>
      <c r="B1474" s="1" t="s">
        <v>1153</v>
      </c>
      <c r="C1474" t="s">
        <v>2743</v>
      </c>
      <c r="D1474" s="2">
        <v>20231835000005</v>
      </c>
      <c r="E1474" s="2">
        <v>7419152464465</v>
      </c>
      <c r="F1474" s="1" t="s">
        <v>2744</v>
      </c>
      <c r="G1474" s="1" t="s">
        <v>53</v>
      </c>
      <c r="H1474" s="1" t="s">
        <v>305</v>
      </c>
      <c r="I1474" s="1" t="s">
        <v>306</v>
      </c>
      <c r="J1474" s="1" t="s">
        <v>46</v>
      </c>
      <c r="K1474" t="s">
        <v>2745</v>
      </c>
      <c r="M1474" s="1" t="s">
        <v>58</v>
      </c>
      <c r="N1474" s="1">
        <v>0</v>
      </c>
      <c r="O1474" s="1" t="s">
        <v>36</v>
      </c>
      <c r="P1474" s="11" t="s">
        <v>2746</v>
      </c>
      <c r="R1474" s="1">
        <v>22</v>
      </c>
      <c r="T1474" s="1" t="s">
        <v>1160</v>
      </c>
      <c r="U1474" s="186">
        <v>44972.398368055554</v>
      </c>
      <c r="V1474" s="1" t="s">
        <v>41</v>
      </c>
      <c r="W1474" s="1" t="s">
        <v>49</v>
      </c>
    </row>
    <row r="1475" spans="1:23" hidden="1">
      <c r="A1475" s="1">
        <v>9464098</v>
      </c>
      <c r="B1475" s="1" t="s">
        <v>1153</v>
      </c>
      <c r="C1475" t="s">
        <v>2753</v>
      </c>
      <c r="D1475" s="2">
        <v>20234844000432</v>
      </c>
      <c r="E1475" s="2">
        <v>7417183020684</v>
      </c>
      <c r="F1475" s="1" t="s">
        <v>1313</v>
      </c>
      <c r="G1475" s="1" t="s">
        <v>53</v>
      </c>
      <c r="H1475" s="1" t="s">
        <v>2632</v>
      </c>
      <c r="I1475" s="1" t="s">
        <v>2633</v>
      </c>
      <c r="J1475" s="1" t="s">
        <v>46</v>
      </c>
      <c r="K1475" t="s">
        <v>1316</v>
      </c>
      <c r="M1475" s="1" t="s">
        <v>58</v>
      </c>
      <c r="N1475" s="1">
        <v>0</v>
      </c>
      <c r="O1475" s="1" t="s">
        <v>105</v>
      </c>
      <c r="P1475" s="11" t="s">
        <v>2754</v>
      </c>
      <c r="R1475" s="1">
        <v>13</v>
      </c>
      <c r="T1475" s="1" t="s">
        <v>238</v>
      </c>
      <c r="U1475" s="186">
        <v>44967.526666666665</v>
      </c>
      <c r="V1475" s="1" t="s">
        <v>41</v>
      </c>
      <c r="W1475" s="1" t="s">
        <v>49</v>
      </c>
    </row>
    <row r="1476" spans="1:23" hidden="1">
      <c r="A1476" s="1">
        <v>9464090</v>
      </c>
      <c r="B1476" s="1" t="s">
        <v>1153</v>
      </c>
      <c r="C1476" t="s">
        <v>2755</v>
      </c>
      <c r="D1476" s="2">
        <v>20232855000002</v>
      </c>
      <c r="E1476" s="2">
        <v>7417210950117</v>
      </c>
      <c r="F1476" s="1" t="s">
        <v>1213</v>
      </c>
      <c r="G1476" s="1" t="s">
        <v>53</v>
      </c>
      <c r="H1476" s="1" t="s">
        <v>2756</v>
      </c>
      <c r="I1476" s="1" t="s">
        <v>2757</v>
      </c>
      <c r="J1476" s="1" t="s">
        <v>56</v>
      </c>
      <c r="K1476" t="s">
        <v>1214</v>
      </c>
      <c r="M1476" s="1" t="s">
        <v>58</v>
      </c>
      <c r="N1476" s="1">
        <v>0</v>
      </c>
      <c r="O1476" s="1" t="s">
        <v>36</v>
      </c>
      <c r="P1476" s="11" t="s">
        <v>2758</v>
      </c>
      <c r="R1476" s="1">
        <v>14</v>
      </c>
      <c r="T1476" s="1" t="s">
        <v>238</v>
      </c>
      <c r="U1476" s="186">
        <v>44967.531388888892</v>
      </c>
      <c r="V1476" s="1" t="s">
        <v>41</v>
      </c>
      <c r="W1476" s="1" t="s">
        <v>49</v>
      </c>
    </row>
    <row r="1477" spans="1:23" hidden="1">
      <c r="A1477" s="1">
        <v>9463997</v>
      </c>
      <c r="B1477" s="1" t="s">
        <v>1153</v>
      </c>
      <c r="C1477" t="s">
        <v>2759</v>
      </c>
      <c r="D1477" s="2">
        <v>20234844000431</v>
      </c>
      <c r="E1477" s="2">
        <v>7417193390971</v>
      </c>
      <c r="F1477" s="1" t="s">
        <v>2760</v>
      </c>
      <c r="G1477" s="1" t="s">
        <v>53</v>
      </c>
      <c r="H1477" s="1" t="s">
        <v>626</v>
      </c>
      <c r="I1477" s="1" t="s">
        <v>627</v>
      </c>
      <c r="J1477" s="1" t="s">
        <v>46</v>
      </c>
      <c r="K1477" t="s">
        <v>2761</v>
      </c>
      <c r="M1477" s="1" t="s">
        <v>58</v>
      </c>
      <c r="N1477" s="1">
        <v>0</v>
      </c>
      <c r="O1477" s="1" t="s">
        <v>36</v>
      </c>
      <c r="P1477" s="11" t="s">
        <v>2762</v>
      </c>
      <c r="R1477" s="1">
        <v>22</v>
      </c>
      <c r="T1477" s="1" t="s">
        <v>1160</v>
      </c>
      <c r="U1477" s="186">
        <v>44971.718206018515</v>
      </c>
      <c r="V1477" s="1" t="s">
        <v>41</v>
      </c>
      <c r="W1477" s="1" t="s">
        <v>49</v>
      </c>
    </row>
    <row r="1478" spans="1:23">
      <c r="A1478" s="1">
        <v>9463988</v>
      </c>
      <c r="B1478" s="1" t="s">
        <v>1153</v>
      </c>
      <c r="C1478" t="s">
        <v>3136</v>
      </c>
      <c r="D1478" s="2">
        <v>20234119000009</v>
      </c>
      <c r="E1478" s="2">
        <v>7419152172053</v>
      </c>
      <c r="F1478" s="1" t="s">
        <v>52</v>
      </c>
      <c r="G1478" s="1" t="s">
        <v>53</v>
      </c>
      <c r="H1478" s="1" t="s">
        <v>297</v>
      </c>
      <c r="I1478" s="1" t="s">
        <v>298</v>
      </c>
      <c r="J1478" s="1" t="s">
        <v>211</v>
      </c>
      <c r="K1478" t="s">
        <v>57</v>
      </c>
      <c r="M1478" s="1" t="s">
        <v>58</v>
      </c>
      <c r="N1478" s="1">
        <v>0</v>
      </c>
      <c r="O1478" s="1" t="s">
        <v>36</v>
      </c>
      <c r="P1478" s="11" t="s">
        <v>2765</v>
      </c>
      <c r="R1478" s="1">
        <v>8</v>
      </c>
      <c r="T1478" s="1" t="s">
        <v>238</v>
      </c>
      <c r="U1478" s="186">
        <v>44968.518483796295</v>
      </c>
      <c r="V1478" s="1" t="s">
        <v>41</v>
      </c>
      <c r="W1478" s="1" t="s">
        <v>49</v>
      </c>
    </row>
    <row r="1479" spans="1:23" hidden="1">
      <c r="A1479" s="1">
        <v>9463921</v>
      </c>
      <c r="B1479" s="1" t="s">
        <v>1153</v>
      </c>
      <c r="C1479" t="s">
        <v>2769</v>
      </c>
      <c r="D1479" s="2">
        <v>20234923000063</v>
      </c>
      <c r="E1479" s="2">
        <v>7417160931763</v>
      </c>
      <c r="F1479" s="1" t="s">
        <v>2770</v>
      </c>
      <c r="G1479" s="1" t="s">
        <v>53</v>
      </c>
      <c r="H1479" s="1" t="s">
        <v>1351</v>
      </c>
      <c r="I1479" s="1" t="s">
        <v>1352</v>
      </c>
      <c r="J1479" s="1" t="s">
        <v>46</v>
      </c>
      <c r="K1479" t="s">
        <v>2771</v>
      </c>
      <c r="M1479" s="1" t="s">
        <v>58</v>
      </c>
      <c r="N1479" s="1">
        <v>0</v>
      </c>
      <c r="O1479" s="1" t="s">
        <v>36</v>
      </c>
      <c r="P1479" s="11" t="s">
        <v>3137</v>
      </c>
      <c r="R1479" s="1">
        <v>23</v>
      </c>
      <c r="T1479" s="1" t="s">
        <v>1160</v>
      </c>
      <c r="U1479" s="186">
        <v>44973.493402777778</v>
      </c>
      <c r="V1479" s="1" t="s">
        <v>41</v>
      </c>
      <c r="W1479" s="1" t="s">
        <v>49</v>
      </c>
    </row>
    <row r="1480" spans="1:23" hidden="1">
      <c r="A1480" s="1">
        <v>9463914</v>
      </c>
      <c r="B1480" s="1" t="s">
        <v>1153</v>
      </c>
      <c r="C1480" t="s">
        <v>2774</v>
      </c>
      <c r="D1480" s="2">
        <v>20232107000001</v>
      </c>
      <c r="E1480" s="2">
        <v>7417183023328</v>
      </c>
      <c r="F1480" s="1" t="s">
        <v>1313</v>
      </c>
      <c r="G1480" s="1" t="s">
        <v>53</v>
      </c>
      <c r="H1480" s="1" t="s">
        <v>2775</v>
      </c>
      <c r="I1480" s="1" t="s">
        <v>2776</v>
      </c>
      <c r="J1480" s="1" t="s">
        <v>164</v>
      </c>
      <c r="K1480" t="s">
        <v>1316</v>
      </c>
      <c r="M1480" s="1" t="s">
        <v>58</v>
      </c>
      <c r="N1480" s="1">
        <v>0</v>
      </c>
      <c r="O1480" s="1" t="s">
        <v>36</v>
      </c>
      <c r="P1480" s="11" t="s">
        <v>3138</v>
      </c>
      <c r="R1480" s="1">
        <v>14</v>
      </c>
      <c r="T1480" s="1" t="s">
        <v>238</v>
      </c>
      <c r="U1480" s="186">
        <v>44967.499363425923</v>
      </c>
      <c r="V1480" s="1" t="s">
        <v>41</v>
      </c>
      <c r="W1480" s="1" t="s">
        <v>49</v>
      </c>
    </row>
    <row r="1481" spans="1:23" hidden="1">
      <c r="A1481" s="1">
        <v>9463910</v>
      </c>
      <c r="B1481" s="1" t="s">
        <v>1153</v>
      </c>
      <c r="C1481" t="s">
        <v>2777</v>
      </c>
      <c r="D1481" s="2">
        <v>20230673000010</v>
      </c>
      <c r="E1481" s="2">
        <v>7419152459789</v>
      </c>
      <c r="F1481" s="1" t="s">
        <v>2744</v>
      </c>
      <c r="G1481" s="1" t="s">
        <v>53</v>
      </c>
      <c r="H1481" s="1" t="s">
        <v>581</v>
      </c>
      <c r="I1481" s="1" t="s">
        <v>582</v>
      </c>
      <c r="J1481" s="1" t="s">
        <v>110</v>
      </c>
      <c r="K1481" t="s">
        <v>2745</v>
      </c>
      <c r="M1481" s="1" t="s">
        <v>58</v>
      </c>
      <c r="N1481" s="1">
        <v>0</v>
      </c>
      <c r="O1481" s="1" t="s">
        <v>36</v>
      </c>
      <c r="P1481" s="11" t="s">
        <v>3139</v>
      </c>
      <c r="R1481" s="1">
        <v>22</v>
      </c>
      <c r="T1481" s="1" t="s">
        <v>1160</v>
      </c>
      <c r="U1481" s="186">
        <v>44971.699675925927</v>
      </c>
      <c r="V1481" s="1" t="s">
        <v>41</v>
      </c>
      <c r="W1481" s="1" t="s">
        <v>49</v>
      </c>
    </row>
    <row r="1482" spans="1:23" hidden="1">
      <c r="A1482" s="1">
        <v>9463836</v>
      </c>
      <c r="B1482" s="1" t="s">
        <v>1153</v>
      </c>
      <c r="C1482" t="s">
        <v>2778</v>
      </c>
      <c r="D1482" s="2">
        <v>20230673000009</v>
      </c>
      <c r="E1482" s="2">
        <v>7419152459789</v>
      </c>
      <c r="F1482" s="1" t="s">
        <v>2744</v>
      </c>
      <c r="G1482" s="1" t="s">
        <v>53</v>
      </c>
      <c r="H1482" s="1" t="s">
        <v>581</v>
      </c>
      <c r="I1482" s="1" t="s">
        <v>582</v>
      </c>
      <c r="J1482" s="1" t="s">
        <v>110</v>
      </c>
      <c r="K1482" t="s">
        <v>2745</v>
      </c>
      <c r="M1482" s="1" t="s">
        <v>58</v>
      </c>
      <c r="N1482" s="1">
        <v>0</v>
      </c>
      <c r="O1482" s="1" t="s">
        <v>36</v>
      </c>
      <c r="P1482" s="11" t="s">
        <v>2779</v>
      </c>
      <c r="R1482" s="1">
        <v>22</v>
      </c>
      <c r="T1482" s="1" t="s">
        <v>1160</v>
      </c>
      <c r="U1482" s="186">
        <v>44971.696921296294</v>
      </c>
      <c r="V1482" s="1" t="s">
        <v>41</v>
      </c>
      <c r="W1482" s="1" t="s">
        <v>49</v>
      </c>
    </row>
    <row r="1483" spans="1:23" hidden="1">
      <c r="A1483" s="1">
        <v>9463783</v>
      </c>
      <c r="B1483" s="1" t="s">
        <v>1153</v>
      </c>
      <c r="C1483" t="s">
        <v>2781</v>
      </c>
      <c r="D1483" s="2">
        <v>20231363000015</v>
      </c>
      <c r="E1483" s="2">
        <v>7417172790231</v>
      </c>
      <c r="F1483" s="1" t="s">
        <v>1989</v>
      </c>
      <c r="G1483" s="1" t="s">
        <v>53</v>
      </c>
      <c r="H1483" s="1" t="s">
        <v>108</v>
      </c>
      <c r="I1483" s="1" t="s">
        <v>109</v>
      </c>
      <c r="J1483" s="1" t="s">
        <v>110</v>
      </c>
      <c r="K1483" t="s">
        <v>1990</v>
      </c>
      <c r="M1483" s="1" t="s">
        <v>58</v>
      </c>
      <c r="N1483" s="1">
        <v>0</v>
      </c>
      <c r="O1483" s="1" t="s">
        <v>105</v>
      </c>
      <c r="P1483" s="11" t="s">
        <v>2782</v>
      </c>
      <c r="R1483" s="1">
        <v>22</v>
      </c>
      <c r="T1483" s="1" t="s">
        <v>1160</v>
      </c>
      <c r="U1483" s="186">
        <v>44971.684120370373</v>
      </c>
      <c r="V1483" s="1" t="s">
        <v>41</v>
      </c>
      <c r="W1483" s="1" t="s">
        <v>49</v>
      </c>
    </row>
    <row r="1484" spans="1:23" hidden="1">
      <c r="A1484" s="1">
        <v>9463716</v>
      </c>
      <c r="B1484" s="1" t="s">
        <v>1153</v>
      </c>
      <c r="C1484" t="s">
        <v>2790</v>
      </c>
      <c r="E1484" s="2">
        <v>9406000206001</v>
      </c>
      <c r="F1484" s="1" t="s">
        <v>29</v>
      </c>
      <c r="G1484" s="1" t="s">
        <v>53</v>
      </c>
      <c r="H1484" s="1" t="s">
        <v>114</v>
      </c>
      <c r="I1484" s="1" t="s">
        <v>115</v>
      </c>
      <c r="J1484" s="1" t="s">
        <v>46</v>
      </c>
      <c r="K1484" t="s">
        <v>34</v>
      </c>
      <c r="M1484" s="1" t="s">
        <v>35</v>
      </c>
      <c r="N1484" s="1">
        <v>42318949</v>
      </c>
      <c r="O1484" s="1" t="s">
        <v>36</v>
      </c>
      <c r="P1484" s="11" t="s">
        <v>3140</v>
      </c>
      <c r="R1484" s="1" t="s">
        <v>38</v>
      </c>
      <c r="T1484" s="1" t="s">
        <v>74</v>
      </c>
      <c r="U1484" s="186">
        <v>44973.604166666664</v>
      </c>
      <c r="V1484" s="1" t="s">
        <v>41</v>
      </c>
      <c r="W1484" s="1" t="s">
        <v>49</v>
      </c>
    </row>
    <row r="1485" spans="1:23" hidden="1">
      <c r="A1485" s="1">
        <v>9463526</v>
      </c>
      <c r="B1485" s="1" t="s">
        <v>1153</v>
      </c>
      <c r="C1485" t="s">
        <v>2791</v>
      </c>
      <c r="D1485" s="2">
        <v>20234076000009</v>
      </c>
      <c r="E1485" s="2">
        <v>7421162080646</v>
      </c>
      <c r="F1485" s="1" t="s">
        <v>2792</v>
      </c>
      <c r="G1485" s="1" t="s">
        <v>53</v>
      </c>
      <c r="H1485" s="1" t="s">
        <v>426</v>
      </c>
      <c r="I1485" s="1" t="s">
        <v>427</v>
      </c>
      <c r="J1485" s="1" t="s">
        <v>79</v>
      </c>
      <c r="K1485" t="s">
        <v>2793</v>
      </c>
      <c r="M1485" s="1" t="s">
        <v>58</v>
      </c>
      <c r="N1485" s="1">
        <v>0</v>
      </c>
      <c r="O1485" s="1" t="s">
        <v>105</v>
      </c>
      <c r="P1485" s="11" t="s">
        <v>3141</v>
      </c>
      <c r="R1485" s="1">
        <v>22</v>
      </c>
      <c r="T1485" s="1" t="s">
        <v>1160</v>
      </c>
      <c r="U1485" s="186">
        <v>44971.649930555555</v>
      </c>
      <c r="V1485" s="1" t="s">
        <v>41</v>
      </c>
      <c r="W1485" s="1" t="s">
        <v>49</v>
      </c>
    </row>
    <row r="1486" spans="1:23" hidden="1">
      <c r="A1486" s="1">
        <v>9463456</v>
      </c>
      <c r="B1486" s="1" t="s">
        <v>1153</v>
      </c>
      <c r="C1486" t="s">
        <v>2795</v>
      </c>
      <c r="D1486" s="2">
        <v>20234844000428</v>
      </c>
      <c r="E1486" s="2">
        <v>7417183020147</v>
      </c>
      <c r="F1486" s="1" t="s">
        <v>1313</v>
      </c>
      <c r="G1486" s="1" t="s">
        <v>53</v>
      </c>
      <c r="H1486" s="1" t="s">
        <v>2796</v>
      </c>
      <c r="I1486" s="1" t="s">
        <v>2797</v>
      </c>
      <c r="J1486" s="1" t="s">
        <v>46</v>
      </c>
      <c r="K1486" t="s">
        <v>1316</v>
      </c>
      <c r="M1486" s="1" t="s">
        <v>58</v>
      </c>
      <c r="N1486" s="1">
        <v>0</v>
      </c>
      <c r="O1486" s="1" t="s">
        <v>36</v>
      </c>
      <c r="P1486" s="11" t="s">
        <v>2798</v>
      </c>
      <c r="R1486" s="1">
        <v>13</v>
      </c>
      <c r="T1486" s="1" t="s">
        <v>238</v>
      </c>
      <c r="U1486" s="186">
        <v>44967.426226851851</v>
      </c>
      <c r="V1486" s="1" t="s">
        <v>41</v>
      </c>
      <c r="W1486" s="1" t="s">
        <v>49</v>
      </c>
    </row>
    <row r="1487" spans="1:23" hidden="1">
      <c r="A1487" s="1">
        <v>9463181</v>
      </c>
      <c r="B1487" s="1" t="s">
        <v>1153</v>
      </c>
      <c r="C1487" t="s">
        <v>2801</v>
      </c>
      <c r="E1487" s="2">
        <v>4997000206001</v>
      </c>
      <c r="F1487" s="1" t="s">
        <v>29</v>
      </c>
      <c r="G1487" s="1" t="s">
        <v>53</v>
      </c>
      <c r="H1487" s="1" t="s">
        <v>406</v>
      </c>
      <c r="I1487" s="1" t="s">
        <v>407</v>
      </c>
      <c r="J1487" s="1" t="s">
        <v>79</v>
      </c>
      <c r="K1487" t="s">
        <v>34</v>
      </c>
      <c r="M1487" s="1" t="s">
        <v>35</v>
      </c>
      <c r="N1487" s="1">
        <v>42318949</v>
      </c>
      <c r="O1487" s="1" t="s">
        <v>36</v>
      </c>
      <c r="P1487" s="11" t="s">
        <v>2802</v>
      </c>
      <c r="R1487" s="1" t="s">
        <v>38</v>
      </c>
      <c r="T1487" s="1" t="s">
        <v>74</v>
      </c>
      <c r="U1487" s="186">
        <v>44979.708333333336</v>
      </c>
      <c r="V1487" s="1" t="s">
        <v>41</v>
      </c>
      <c r="W1487" s="1" t="s">
        <v>49</v>
      </c>
    </row>
    <row r="1488" spans="1:23" hidden="1">
      <c r="A1488" s="1">
        <v>9463157</v>
      </c>
      <c r="B1488" s="1" t="s">
        <v>1153</v>
      </c>
      <c r="C1488" t="s">
        <v>2803</v>
      </c>
      <c r="D1488" s="2">
        <v>230027366</v>
      </c>
      <c r="E1488" s="2">
        <v>4637001400010</v>
      </c>
      <c r="F1488" s="1" t="s">
        <v>936</v>
      </c>
      <c r="G1488" s="1" t="s">
        <v>53</v>
      </c>
      <c r="H1488" s="1" t="s">
        <v>848</v>
      </c>
      <c r="I1488" s="1" t="s">
        <v>849</v>
      </c>
      <c r="J1488" s="1" t="s">
        <v>79</v>
      </c>
      <c r="K1488" t="s">
        <v>937</v>
      </c>
      <c r="M1488" s="1" t="s">
        <v>58</v>
      </c>
      <c r="N1488" s="1">
        <v>0</v>
      </c>
      <c r="O1488" s="1" t="s">
        <v>36</v>
      </c>
      <c r="P1488" s="11" t="s">
        <v>2804</v>
      </c>
      <c r="R1488" s="1">
        <v>3</v>
      </c>
      <c r="T1488" s="1" t="s">
        <v>646</v>
      </c>
      <c r="U1488" s="186">
        <v>44974.4375</v>
      </c>
      <c r="V1488" s="1" t="s">
        <v>41</v>
      </c>
      <c r="W1488" s="1" t="s">
        <v>49</v>
      </c>
    </row>
    <row r="1489" spans="1:23" hidden="1">
      <c r="A1489" s="1">
        <v>9463054</v>
      </c>
      <c r="B1489" s="1" t="s">
        <v>1153</v>
      </c>
      <c r="C1489" t="s">
        <v>2806</v>
      </c>
      <c r="D1489" s="2">
        <v>20234844000427</v>
      </c>
      <c r="E1489" s="2">
        <v>7417183020641</v>
      </c>
      <c r="F1489" s="1" t="s">
        <v>1313</v>
      </c>
      <c r="G1489" s="1" t="s">
        <v>53</v>
      </c>
      <c r="H1489" s="1" t="s">
        <v>2444</v>
      </c>
      <c r="I1489" s="1" t="s">
        <v>2445</v>
      </c>
      <c r="J1489" s="1" t="s">
        <v>46</v>
      </c>
      <c r="K1489" t="s">
        <v>1316</v>
      </c>
      <c r="M1489" s="1" t="s">
        <v>58</v>
      </c>
      <c r="N1489" s="1">
        <v>0</v>
      </c>
      <c r="O1489" s="1" t="s">
        <v>105</v>
      </c>
      <c r="P1489" s="11" t="s">
        <v>2807</v>
      </c>
      <c r="R1489" s="1">
        <v>13</v>
      </c>
      <c r="T1489" s="1" t="s">
        <v>238</v>
      </c>
      <c r="U1489" s="186">
        <v>44967.395833333336</v>
      </c>
      <c r="V1489" s="1" t="s">
        <v>41</v>
      </c>
      <c r="W1489" s="1" t="s">
        <v>49</v>
      </c>
    </row>
    <row r="1490" spans="1:23">
      <c r="A1490" s="1">
        <v>9478527</v>
      </c>
      <c r="B1490" s="1" t="s">
        <v>101</v>
      </c>
      <c r="C1490" t="s">
        <v>1978</v>
      </c>
      <c r="D1490" s="2">
        <v>20232437000021</v>
      </c>
      <c r="E1490" s="2">
        <v>7419141893524</v>
      </c>
      <c r="F1490" s="1" t="s">
        <v>128</v>
      </c>
      <c r="G1490" s="1" t="s">
        <v>53</v>
      </c>
      <c r="H1490" s="1" t="s">
        <v>2418</v>
      </c>
      <c r="I1490" s="1" t="s">
        <v>2419</v>
      </c>
      <c r="J1490" s="1" t="s">
        <v>211</v>
      </c>
      <c r="K1490" t="s">
        <v>129</v>
      </c>
      <c r="M1490" s="1" t="s">
        <v>58</v>
      </c>
      <c r="N1490" s="1">
        <v>0</v>
      </c>
      <c r="O1490" s="1" t="s">
        <v>105</v>
      </c>
      <c r="P1490" s="11" t="s">
        <v>3142</v>
      </c>
      <c r="R1490" s="1">
        <v>14</v>
      </c>
      <c r="T1490" s="1" t="s">
        <v>238</v>
      </c>
      <c r="U1490" s="11" t="s">
        <v>3142</v>
      </c>
      <c r="V1490" s="1" t="s">
        <v>41</v>
      </c>
      <c r="W1490" s="1" t="s">
        <v>49</v>
      </c>
    </row>
    <row r="1491" spans="1:23" hidden="1">
      <c r="A1491" s="1">
        <v>9478476</v>
      </c>
      <c r="B1491" s="1" t="s">
        <v>101</v>
      </c>
      <c r="C1491" t="s">
        <v>1978</v>
      </c>
      <c r="D1491" s="2">
        <v>20232678000014</v>
      </c>
      <c r="E1491" s="2">
        <v>7417163281860</v>
      </c>
      <c r="F1491" s="1" t="s">
        <v>131</v>
      </c>
      <c r="G1491" s="1" t="s">
        <v>53</v>
      </c>
      <c r="H1491" s="1" t="s">
        <v>2814</v>
      </c>
      <c r="I1491" s="1" t="s">
        <v>2815</v>
      </c>
      <c r="J1491" s="1" t="s">
        <v>33</v>
      </c>
      <c r="K1491" t="s">
        <v>132</v>
      </c>
      <c r="M1491" s="1" t="s">
        <v>58</v>
      </c>
      <c r="N1491" s="1">
        <v>0</v>
      </c>
      <c r="O1491" s="1" t="s">
        <v>105</v>
      </c>
      <c r="P1491" s="11" t="s">
        <v>3143</v>
      </c>
      <c r="R1491" s="1">
        <v>15</v>
      </c>
      <c r="T1491" s="1" t="s">
        <v>238</v>
      </c>
      <c r="U1491" s="11" t="s">
        <v>3143</v>
      </c>
      <c r="V1491" s="1" t="s">
        <v>41</v>
      </c>
      <c r="W1491" s="1" t="s">
        <v>42</v>
      </c>
    </row>
    <row r="1492" spans="1:23" hidden="1">
      <c r="A1492" s="1">
        <v>9478382</v>
      </c>
      <c r="B1492" s="1" t="s">
        <v>101</v>
      </c>
      <c r="C1492" t="s">
        <v>1978</v>
      </c>
      <c r="D1492" s="2">
        <v>20234923000067</v>
      </c>
      <c r="E1492" s="2">
        <v>7419141892150</v>
      </c>
      <c r="F1492" s="1" t="s">
        <v>128</v>
      </c>
      <c r="G1492" s="1" t="s">
        <v>53</v>
      </c>
      <c r="H1492" s="1" t="s">
        <v>1966</v>
      </c>
      <c r="I1492" s="1" t="s">
        <v>1967</v>
      </c>
      <c r="J1492" s="1" t="s">
        <v>46</v>
      </c>
      <c r="K1492" t="s">
        <v>129</v>
      </c>
      <c r="M1492" s="1" t="s">
        <v>58</v>
      </c>
      <c r="N1492" s="1">
        <v>0</v>
      </c>
      <c r="O1492" s="1" t="s">
        <v>105</v>
      </c>
      <c r="P1492" s="11" t="s">
        <v>3144</v>
      </c>
      <c r="R1492" s="1">
        <v>13</v>
      </c>
      <c r="T1492" s="1" t="s">
        <v>238</v>
      </c>
      <c r="U1492" s="11" t="s">
        <v>3144</v>
      </c>
      <c r="V1492" s="1" t="s">
        <v>41</v>
      </c>
      <c r="W1492" s="1" t="s">
        <v>49</v>
      </c>
    </row>
    <row r="1493" spans="1:23" hidden="1">
      <c r="A1493" s="1">
        <v>9478325</v>
      </c>
      <c r="B1493" s="1" t="s">
        <v>101</v>
      </c>
      <c r="C1493" t="s">
        <v>1978</v>
      </c>
      <c r="D1493" s="2">
        <v>20234844000453</v>
      </c>
      <c r="E1493" s="2">
        <v>7417163282352</v>
      </c>
      <c r="F1493" s="1" t="s">
        <v>131</v>
      </c>
      <c r="G1493" s="1" t="s">
        <v>53</v>
      </c>
      <c r="H1493" s="1" t="s">
        <v>2816</v>
      </c>
      <c r="I1493" s="1" t="s">
        <v>2817</v>
      </c>
      <c r="J1493" s="1" t="s">
        <v>46</v>
      </c>
      <c r="K1493" t="s">
        <v>132</v>
      </c>
      <c r="M1493" s="1" t="s">
        <v>58</v>
      </c>
      <c r="N1493" s="1">
        <v>0</v>
      </c>
      <c r="O1493" s="1" t="s">
        <v>105</v>
      </c>
      <c r="P1493" s="11" t="s">
        <v>3145</v>
      </c>
      <c r="R1493" s="1">
        <v>13</v>
      </c>
      <c r="T1493" s="1" t="s">
        <v>238</v>
      </c>
      <c r="U1493" s="11" t="s">
        <v>3145</v>
      </c>
      <c r="V1493" s="1" t="s">
        <v>41</v>
      </c>
      <c r="W1493" s="1" t="s">
        <v>49</v>
      </c>
    </row>
    <row r="1494" spans="1:23" hidden="1">
      <c r="A1494" s="1">
        <v>9478324</v>
      </c>
      <c r="B1494" s="1" t="s">
        <v>101</v>
      </c>
      <c r="C1494" t="s">
        <v>1978</v>
      </c>
      <c r="D1494" s="2">
        <v>20234637000008</v>
      </c>
      <c r="E1494" s="2">
        <v>7417163284105</v>
      </c>
      <c r="F1494" s="1" t="s">
        <v>131</v>
      </c>
      <c r="G1494" s="1" t="s">
        <v>53</v>
      </c>
      <c r="H1494" s="1" t="s">
        <v>2004</v>
      </c>
      <c r="I1494" s="1" t="s">
        <v>2005</v>
      </c>
      <c r="J1494" s="1" t="s">
        <v>79</v>
      </c>
      <c r="K1494" t="s">
        <v>132</v>
      </c>
      <c r="M1494" s="1" t="s">
        <v>58</v>
      </c>
      <c r="N1494" s="1">
        <v>0</v>
      </c>
      <c r="O1494" s="1" t="s">
        <v>105</v>
      </c>
      <c r="P1494" s="11" t="s">
        <v>3146</v>
      </c>
      <c r="R1494" s="1">
        <v>14</v>
      </c>
      <c r="T1494" s="1" t="s">
        <v>238</v>
      </c>
      <c r="U1494" s="11" t="s">
        <v>3146</v>
      </c>
      <c r="V1494" s="1" t="s">
        <v>41</v>
      </c>
      <c r="W1494" s="1" t="s">
        <v>49</v>
      </c>
    </row>
    <row r="1495" spans="1:23" hidden="1">
      <c r="A1495" s="1">
        <v>9478256</v>
      </c>
      <c r="B1495" s="1" t="s">
        <v>101</v>
      </c>
      <c r="C1495" t="s">
        <v>1978</v>
      </c>
      <c r="D1495" s="2">
        <v>20234844000452</v>
      </c>
      <c r="E1495" s="2">
        <v>7417183020637</v>
      </c>
      <c r="F1495" s="1" t="s">
        <v>1313</v>
      </c>
      <c r="G1495" s="1" t="s">
        <v>53</v>
      </c>
      <c r="H1495" s="1" t="s">
        <v>2816</v>
      </c>
      <c r="I1495" s="1" t="s">
        <v>2817</v>
      </c>
      <c r="J1495" s="1" t="s">
        <v>46</v>
      </c>
      <c r="K1495" t="s">
        <v>1316</v>
      </c>
      <c r="M1495" s="1" t="s">
        <v>58</v>
      </c>
      <c r="N1495" s="1">
        <v>0</v>
      </c>
      <c r="O1495" s="1" t="s">
        <v>105</v>
      </c>
      <c r="P1495" s="11" t="s">
        <v>3147</v>
      </c>
      <c r="R1495" s="1">
        <v>13</v>
      </c>
      <c r="T1495" s="1" t="s">
        <v>238</v>
      </c>
      <c r="U1495" s="11" t="s">
        <v>3147</v>
      </c>
      <c r="V1495" s="1" t="s">
        <v>41</v>
      </c>
      <c r="W1495" s="1" t="s">
        <v>49</v>
      </c>
    </row>
    <row r="1496" spans="1:23" hidden="1">
      <c r="A1496" s="1">
        <v>9478195</v>
      </c>
      <c r="B1496" s="1" t="s">
        <v>101</v>
      </c>
      <c r="C1496" t="s">
        <v>1978</v>
      </c>
      <c r="D1496" s="2">
        <v>20234844000451</v>
      </c>
      <c r="E1496" s="2">
        <v>7417163282362</v>
      </c>
      <c r="F1496" s="1" t="s">
        <v>131</v>
      </c>
      <c r="G1496" s="1" t="s">
        <v>53</v>
      </c>
      <c r="H1496" s="1" t="s">
        <v>2821</v>
      </c>
      <c r="I1496" s="1" t="s">
        <v>2822</v>
      </c>
      <c r="J1496" s="1" t="s">
        <v>46</v>
      </c>
      <c r="K1496" t="s">
        <v>132</v>
      </c>
      <c r="M1496" s="1" t="s">
        <v>58</v>
      </c>
      <c r="N1496" s="1">
        <v>0</v>
      </c>
      <c r="O1496" s="1" t="s">
        <v>105</v>
      </c>
      <c r="P1496" s="11" t="s">
        <v>3148</v>
      </c>
      <c r="R1496" s="1">
        <v>13</v>
      </c>
      <c r="T1496" s="1" t="s">
        <v>238</v>
      </c>
      <c r="U1496" s="11" t="s">
        <v>3148</v>
      </c>
      <c r="V1496" s="1" t="s">
        <v>41</v>
      </c>
      <c r="W1496" s="1" t="s">
        <v>49</v>
      </c>
    </row>
    <row r="1497" spans="1:23" hidden="1">
      <c r="A1497" s="1">
        <v>9478156</v>
      </c>
      <c r="B1497" s="1" t="s">
        <v>1153</v>
      </c>
      <c r="C1497" t="s">
        <v>2823</v>
      </c>
      <c r="D1497" s="2">
        <v>20232244000011</v>
      </c>
      <c r="E1497" s="2">
        <v>7417202021003</v>
      </c>
      <c r="F1497" s="1" t="s">
        <v>1213</v>
      </c>
      <c r="G1497" s="1" t="s">
        <v>53</v>
      </c>
      <c r="H1497" s="1" t="s">
        <v>2824</v>
      </c>
      <c r="I1497" s="1" t="s">
        <v>2825</v>
      </c>
      <c r="J1497" s="1" t="s">
        <v>79</v>
      </c>
      <c r="K1497" t="s">
        <v>1214</v>
      </c>
      <c r="M1497" s="1" t="s">
        <v>58</v>
      </c>
      <c r="N1497" s="1">
        <v>0</v>
      </c>
      <c r="O1497" s="1" t="s">
        <v>36</v>
      </c>
      <c r="P1497" s="11" t="s">
        <v>3149</v>
      </c>
      <c r="R1497" s="1">
        <v>14</v>
      </c>
      <c r="T1497" s="1" t="s">
        <v>238</v>
      </c>
      <c r="U1497" s="11" t="s">
        <v>2836</v>
      </c>
      <c r="V1497" s="1" t="s">
        <v>41</v>
      </c>
      <c r="W1497" s="1" t="s">
        <v>49</v>
      </c>
    </row>
    <row r="1498" spans="1:23">
      <c r="A1498" s="1">
        <v>9478110</v>
      </c>
      <c r="B1498" s="1" t="s">
        <v>1970</v>
      </c>
      <c r="C1498" t="s">
        <v>1971</v>
      </c>
      <c r="D1498" s="2">
        <v>20231059000017</v>
      </c>
      <c r="E1498" s="2">
        <v>7419141894708</v>
      </c>
      <c r="F1498" s="1" t="s">
        <v>128</v>
      </c>
      <c r="G1498" s="1" t="s">
        <v>53</v>
      </c>
      <c r="H1498" s="1" t="s">
        <v>1972</v>
      </c>
      <c r="I1498" s="1" t="s">
        <v>1973</v>
      </c>
      <c r="J1498" s="1" t="s">
        <v>90</v>
      </c>
      <c r="K1498" t="s">
        <v>129</v>
      </c>
      <c r="M1498" s="1" t="s">
        <v>58</v>
      </c>
      <c r="N1498" s="1">
        <v>0</v>
      </c>
      <c r="O1498" s="1" t="s">
        <v>105</v>
      </c>
      <c r="P1498" s="11" t="s">
        <v>3150</v>
      </c>
      <c r="R1498" s="1">
        <v>14</v>
      </c>
      <c r="T1498" s="1" t="s">
        <v>238</v>
      </c>
      <c r="U1498" s="11" t="s">
        <v>3151</v>
      </c>
      <c r="V1498" s="1" t="s">
        <v>41</v>
      </c>
      <c r="W1498" s="1" t="s">
        <v>49</v>
      </c>
    </row>
    <row r="1499" spans="1:23" hidden="1">
      <c r="A1499" s="1">
        <v>9478043</v>
      </c>
      <c r="B1499" s="1" t="s">
        <v>1970</v>
      </c>
      <c r="C1499" t="s">
        <v>1971</v>
      </c>
      <c r="D1499" s="2">
        <v>20234844000450</v>
      </c>
      <c r="E1499" s="2">
        <v>7417163285199</v>
      </c>
      <c r="F1499" s="1" t="s">
        <v>131</v>
      </c>
      <c r="G1499" s="1" t="s">
        <v>53</v>
      </c>
      <c r="H1499" s="1" t="s">
        <v>2348</v>
      </c>
      <c r="I1499" s="1" t="s">
        <v>2349</v>
      </c>
      <c r="J1499" s="1" t="s">
        <v>46</v>
      </c>
      <c r="K1499" t="s">
        <v>132</v>
      </c>
      <c r="M1499" s="1" t="s">
        <v>58</v>
      </c>
      <c r="N1499" s="1">
        <v>0</v>
      </c>
      <c r="O1499" s="1" t="s">
        <v>105</v>
      </c>
      <c r="P1499" s="11" t="s">
        <v>3152</v>
      </c>
      <c r="R1499" s="1">
        <v>13</v>
      </c>
      <c r="T1499" s="1" t="s">
        <v>238</v>
      </c>
      <c r="U1499" s="11" t="s">
        <v>3153</v>
      </c>
      <c r="V1499" s="1" t="s">
        <v>41</v>
      </c>
      <c r="W1499" s="1" t="s">
        <v>49</v>
      </c>
    </row>
    <row r="1500" spans="1:23" hidden="1">
      <c r="A1500" s="1">
        <v>9478042</v>
      </c>
      <c r="B1500" s="1" t="s">
        <v>1970</v>
      </c>
      <c r="C1500" t="s">
        <v>1971</v>
      </c>
      <c r="D1500" s="2">
        <v>20231052000013</v>
      </c>
      <c r="E1500" s="2">
        <v>7417163285093</v>
      </c>
      <c r="F1500" s="1" t="s">
        <v>131</v>
      </c>
      <c r="G1500" s="1" t="s">
        <v>53</v>
      </c>
      <c r="H1500" s="1" t="s">
        <v>2560</v>
      </c>
      <c r="I1500" s="1" t="s">
        <v>2561</v>
      </c>
      <c r="J1500" s="1" t="s">
        <v>79</v>
      </c>
      <c r="K1500" t="s">
        <v>132</v>
      </c>
      <c r="M1500" s="1" t="s">
        <v>58</v>
      </c>
      <c r="N1500" s="1">
        <v>0</v>
      </c>
      <c r="O1500" s="1" t="s">
        <v>105</v>
      </c>
      <c r="P1500" s="11" t="s">
        <v>3154</v>
      </c>
      <c r="R1500" s="1">
        <v>14</v>
      </c>
      <c r="T1500" s="1" t="s">
        <v>238</v>
      </c>
      <c r="U1500" s="11" t="s">
        <v>3153</v>
      </c>
      <c r="V1500" s="1" t="s">
        <v>41</v>
      </c>
      <c r="W1500" s="1" t="s">
        <v>49</v>
      </c>
    </row>
    <row r="1501" spans="1:23">
      <c r="A1501" s="1">
        <v>9477977</v>
      </c>
      <c r="B1501" s="1" t="s">
        <v>1970</v>
      </c>
      <c r="C1501" t="s">
        <v>1971</v>
      </c>
      <c r="D1501" s="2">
        <v>20230870000025</v>
      </c>
      <c r="E1501" s="2">
        <v>7417163283610</v>
      </c>
      <c r="F1501" s="1" t="s">
        <v>131</v>
      </c>
      <c r="G1501" s="1" t="s">
        <v>53</v>
      </c>
      <c r="H1501" s="1" t="s">
        <v>519</v>
      </c>
      <c r="I1501" s="1" t="s">
        <v>520</v>
      </c>
      <c r="J1501" s="1" t="s">
        <v>90</v>
      </c>
      <c r="K1501" t="s">
        <v>132</v>
      </c>
      <c r="M1501" s="1" t="s">
        <v>58</v>
      </c>
      <c r="N1501" s="1">
        <v>0</v>
      </c>
      <c r="O1501" s="1" t="s">
        <v>105</v>
      </c>
      <c r="P1501" s="11" t="s">
        <v>3155</v>
      </c>
      <c r="R1501" s="1">
        <v>14</v>
      </c>
      <c r="T1501" s="1" t="s">
        <v>238</v>
      </c>
      <c r="U1501" s="11" t="s">
        <v>3156</v>
      </c>
      <c r="V1501" s="1" t="s">
        <v>41</v>
      </c>
      <c r="W1501" s="1" t="s">
        <v>49</v>
      </c>
    </row>
    <row r="1502" spans="1:23" hidden="1">
      <c r="A1502" s="1">
        <v>9477966</v>
      </c>
      <c r="B1502" s="1" t="s">
        <v>1970</v>
      </c>
      <c r="C1502" t="s">
        <v>1971</v>
      </c>
      <c r="D1502" s="2">
        <v>20232678000013</v>
      </c>
      <c r="E1502" s="2">
        <v>7417163282981</v>
      </c>
      <c r="F1502" s="1" t="s">
        <v>131</v>
      </c>
      <c r="G1502" s="1" t="s">
        <v>53</v>
      </c>
      <c r="H1502" s="1" t="s">
        <v>2814</v>
      </c>
      <c r="I1502" s="1" t="s">
        <v>2815</v>
      </c>
      <c r="J1502" s="1" t="s">
        <v>33</v>
      </c>
      <c r="K1502" t="s">
        <v>132</v>
      </c>
      <c r="M1502" s="1" t="s">
        <v>58</v>
      </c>
      <c r="N1502" s="1">
        <v>0</v>
      </c>
      <c r="O1502" s="1" t="s">
        <v>105</v>
      </c>
      <c r="P1502" s="11" t="s">
        <v>3157</v>
      </c>
      <c r="R1502" s="1">
        <v>15</v>
      </c>
      <c r="T1502" s="1" t="s">
        <v>238</v>
      </c>
      <c r="U1502" s="11" t="s">
        <v>3158</v>
      </c>
      <c r="V1502" s="1" t="s">
        <v>41</v>
      </c>
      <c r="W1502" s="1" t="s">
        <v>42</v>
      </c>
    </row>
    <row r="1503" spans="1:23" hidden="1">
      <c r="A1503" s="1">
        <v>9477885</v>
      </c>
      <c r="B1503" s="1" t="s">
        <v>1970</v>
      </c>
      <c r="C1503" t="s">
        <v>1971</v>
      </c>
      <c r="D1503" s="2">
        <v>20231059000016</v>
      </c>
      <c r="E1503" s="2">
        <v>7417161482599</v>
      </c>
      <c r="F1503" s="1" t="s">
        <v>1217</v>
      </c>
      <c r="G1503" s="1" t="s">
        <v>53</v>
      </c>
      <c r="H1503" s="1" t="s">
        <v>1972</v>
      </c>
      <c r="I1503" s="1" t="s">
        <v>1973</v>
      </c>
      <c r="K1503" t="s">
        <v>1218</v>
      </c>
      <c r="M1503" s="1" t="s">
        <v>58</v>
      </c>
      <c r="N1503" s="1">
        <v>0</v>
      </c>
      <c r="O1503" s="1" t="s">
        <v>105</v>
      </c>
      <c r="P1503" s="11" t="s">
        <v>2826</v>
      </c>
      <c r="R1503" s="1">
        <v>14</v>
      </c>
      <c r="T1503" s="1" t="s">
        <v>238</v>
      </c>
      <c r="U1503" s="11" t="s">
        <v>2827</v>
      </c>
      <c r="V1503" s="1" t="s">
        <v>41</v>
      </c>
      <c r="W1503" s="1" t="s">
        <v>49</v>
      </c>
    </row>
    <row r="1504" spans="1:23">
      <c r="A1504" s="1">
        <v>9477841</v>
      </c>
      <c r="B1504" s="1" t="s">
        <v>1153</v>
      </c>
      <c r="C1504" t="s">
        <v>2831</v>
      </c>
      <c r="D1504" s="2">
        <v>230028573</v>
      </c>
      <c r="E1504" s="2">
        <v>2156001400020</v>
      </c>
      <c r="F1504" s="1" t="s">
        <v>1961</v>
      </c>
      <c r="G1504" s="1" t="s">
        <v>53</v>
      </c>
      <c r="H1504" s="1" t="s">
        <v>278</v>
      </c>
      <c r="I1504" s="1" t="s">
        <v>279</v>
      </c>
      <c r="J1504" s="1" t="s">
        <v>211</v>
      </c>
      <c r="K1504" t="s">
        <v>1962</v>
      </c>
      <c r="M1504" s="1" t="s">
        <v>58</v>
      </c>
      <c r="N1504" s="1">
        <v>0</v>
      </c>
      <c r="O1504" s="1" t="s">
        <v>36</v>
      </c>
      <c r="P1504" s="11" t="s">
        <v>2832</v>
      </c>
      <c r="R1504" s="1">
        <v>4</v>
      </c>
      <c r="T1504" s="1" t="s">
        <v>646</v>
      </c>
      <c r="U1504" s="11" t="s">
        <v>1959</v>
      </c>
      <c r="V1504" s="1" t="s">
        <v>41</v>
      </c>
      <c r="W1504" s="1" t="s">
        <v>49</v>
      </c>
    </row>
    <row r="1505" spans="1:23" hidden="1">
      <c r="A1505" s="1">
        <v>9477809</v>
      </c>
      <c r="B1505" s="1" t="s">
        <v>1153</v>
      </c>
      <c r="C1505" t="s">
        <v>2834</v>
      </c>
      <c r="D1505" s="2">
        <v>20234844000449</v>
      </c>
      <c r="E1505" s="2">
        <v>7419143322508</v>
      </c>
      <c r="F1505" s="1" t="s">
        <v>1222</v>
      </c>
      <c r="G1505" s="1" t="s">
        <v>53</v>
      </c>
      <c r="H1505" s="1" t="s">
        <v>2632</v>
      </c>
      <c r="I1505" s="1" t="s">
        <v>2633</v>
      </c>
      <c r="J1505" s="1" t="s">
        <v>46</v>
      </c>
      <c r="K1505" t="s">
        <v>1223</v>
      </c>
      <c r="M1505" s="1" t="s">
        <v>58</v>
      </c>
      <c r="N1505" s="1">
        <v>0</v>
      </c>
      <c r="O1505" s="1" t="s">
        <v>105</v>
      </c>
      <c r="P1505" s="11" t="s">
        <v>2835</v>
      </c>
      <c r="R1505" s="1">
        <v>13</v>
      </c>
      <c r="T1505" s="1" t="s">
        <v>238</v>
      </c>
      <c r="U1505" s="11" t="s">
        <v>2836</v>
      </c>
      <c r="V1505" s="1" t="s">
        <v>41</v>
      </c>
      <c r="W1505" s="1" t="s">
        <v>49</v>
      </c>
    </row>
    <row r="1506" spans="1:23" hidden="1">
      <c r="A1506" s="1">
        <v>9477533</v>
      </c>
      <c r="B1506" s="1" t="s">
        <v>62</v>
      </c>
      <c r="C1506" t="s">
        <v>2845</v>
      </c>
      <c r="E1506" s="2">
        <v>7417183022889</v>
      </c>
      <c r="F1506" s="1" t="s">
        <v>1313</v>
      </c>
      <c r="G1506" s="1" t="s">
        <v>53</v>
      </c>
      <c r="H1506" s="1" t="s">
        <v>2846</v>
      </c>
      <c r="I1506" s="1" t="s">
        <v>2847</v>
      </c>
      <c r="J1506" s="1" t="s">
        <v>110</v>
      </c>
      <c r="K1506" t="s">
        <v>1316</v>
      </c>
      <c r="M1506" s="1" t="s">
        <v>58</v>
      </c>
      <c r="N1506" s="1">
        <v>0</v>
      </c>
      <c r="O1506" s="1" t="s">
        <v>105</v>
      </c>
      <c r="P1506" s="11" t="s">
        <v>3159</v>
      </c>
      <c r="R1506" s="1">
        <v>14</v>
      </c>
      <c r="T1506" s="1" t="s">
        <v>238</v>
      </c>
      <c r="U1506" s="11" t="s">
        <v>3160</v>
      </c>
      <c r="V1506" s="1" t="s">
        <v>41</v>
      </c>
      <c r="W1506" s="1" t="s">
        <v>49</v>
      </c>
    </row>
    <row r="1507" spans="1:23">
      <c r="A1507" s="1">
        <v>9477367</v>
      </c>
      <c r="B1507" s="1" t="s">
        <v>1153</v>
      </c>
      <c r="C1507" t="s">
        <v>3161</v>
      </c>
      <c r="E1507" s="2">
        <v>246000206021</v>
      </c>
      <c r="F1507" s="1" t="s">
        <v>103</v>
      </c>
      <c r="G1507" s="1" t="s">
        <v>53</v>
      </c>
      <c r="H1507" s="1" t="s">
        <v>1193</v>
      </c>
      <c r="I1507" s="1" t="s">
        <v>1194</v>
      </c>
      <c r="J1507" s="1" t="s">
        <v>85</v>
      </c>
      <c r="K1507" t="s">
        <v>104</v>
      </c>
      <c r="M1507" s="1" t="s">
        <v>58</v>
      </c>
      <c r="N1507" s="1">
        <v>0</v>
      </c>
      <c r="O1507" s="1" t="s">
        <v>36</v>
      </c>
      <c r="P1507" s="11" t="s">
        <v>3162</v>
      </c>
      <c r="R1507" s="1" t="s">
        <v>38</v>
      </c>
      <c r="T1507" s="1" t="s">
        <v>74</v>
      </c>
      <c r="U1507" s="11" t="s">
        <v>1959</v>
      </c>
      <c r="V1507" s="1" t="s">
        <v>41</v>
      </c>
      <c r="W1507" s="1" t="s">
        <v>49</v>
      </c>
    </row>
    <row r="1508" spans="1:23" hidden="1">
      <c r="A1508" s="1">
        <v>9477347</v>
      </c>
      <c r="B1508" s="1" t="s">
        <v>1153</v>
      </c>
      <c r="C1508" t="s">
        <v>2849</v>
      </c>
      <c r="D1508" s="2">
        <v>20234844000448</v>
      </c>
      <c r="E1508" s="2">
        <v>7417183020602</v>
      </c>
      <c r="F1508" s="1" t="s">
        <v>1313</v>
      </c>
      <c r="G1508" s="1" t="s">
        <v>53</v>
      </c>
      <c r="H1508" s="1" t="s">
        <v>2850</v>
      </c>
      <c r="I1508" s="1" t="s">
        <v>2851</v>
      </c>
      <c r="J1508" s="1" t="s">
        <v>46</v>
      </c>
      <c r="K1508" t="s">
        <v>1316</v>
      </c>
      <c r="M1508" s="1" t="s">
        <v>58</v>
      </c>
      <c r="N1508" s="1">
        <v>0</v>
      </c>
      <c r="O1508" s="1" t="s">
        <v>105</v>
      </c>
      <c r="P1508" s="11" t="s">
        <v>2852</v>
      </c>
      <c r="R1508" s="1">
        <v>13</v>
      </c>
      <c r="T1508" s="1" t="s">
        <v>238</v>
      </c>
      <c r="U1508" s="11" t="s">
        <v>2852</v>
      </c>
      <c r="V1508" s="1" t="s">
        <v>41</v>
      </c>
      <c r="W1508" s="1" t="s">
        <v>49</v>
      </c>
    </row>
    <row r="1509" spans="1:23" hidden="1">
      <c r="A1509" s="1">
        <v>9477241</v>
      </c>
      <c r="B1509" s="1" t="s">
        <v>1153</v>
      </c>
      <c r="C1509" t="s">
        <v>2853</v>
      </c>
      <c r="D1509" s="2">
        <v>20231421000012</v>
      </c>
      <c r="E1509" s="2">
        <v>7417202021229</v>
      </c>
      <c r="F1509" s="1" t="s">
        <v>1213</v>
      </c>
      <c r="G1509" s="1" t="s">
        <v>53</v>
      </c>
      <c r="H1509" s="1" t="s">
        <v>2854</v>
      </c>
      <c r="I1509" s="1" t="s">
        <v>2855</v>
      </c>
      <c r="J1509" s="1" t="s">
        <v>79</v>
      </c>
      <c r="K1509" t="s">
        <v>1214</v>
      </c>
      <c r="M1509" s="1" t="s">
        <v>58</v>
      </c>
      <c r="N1509" s="1">
        <v>0</v>
      </c>
      <c r="O1509" s="1" t="s">
        <v>105</v>
      </c>
      <c r="P1509" s="11" t="s">
        <v>3163</v>
      </c>
      <c r="R1509" s="1">
        <v>14</v>
      </c>
      <c r="T1509" s="1" t="s">
        <v>238</v>
      </c>
      <c r="U1509" s="11" t="s">
        <v>3163</v>
      </c>
      <c r="V1509" s="1" t="s">
        <v>41</v>
      </c>
      <c r="W1509" s="1" t="s">
        <v>49</v>
      </c>
    </row>
    <row r="1510" spans="1:23" hidden="1">
      <c r="A1510" s="1">
        <v>9477100</v>
      </c>
      <c r="B1510" s="1" t="s">
        <v>1153</v>
      </c>
      <c r="C1510" t="s">
        <v>2857</v>
      </c>
      <c r="D1510" s="2">
        <v>20230711000013</v>
      </c>
      <c r="E1510" s="2">
        <v>7419141893475</v>
      </c>
      <c r="F1510" s="1" t="s">
        <v>128</v>
      </c>
      <c r="G1510" s="1" t="s">
        <v>53</v>
      </c>
      <c r="H1510" s="1" t="s">
        <v>2858</v>
      </c>
      <c r="I1510" s="1" t="s">
        <v>2859</v>
      </c>
      <c r="J1510" s="1" t="s">
        <v>79</v>
      </c>
      <c r="K1510" t="s">
        <v>129</v>
      </c>
      <c r="M1510" s="1" t="s">
        <v>58</v>
      </c>
      <c r="N1510" s="1">
        <v>0</v>
      </c>
      <c r="O1510" s="1" t="s">
        <v>105</v>
      </c>
      <c r="P1510" s="11" t="s">
        <v>3164</v>
      </c>
      <c r="R1510" s="1">
        <v>14</v>
      </c>
      <c r="T1510" s="1" t="s">
        <v>238</v>
      </c>
      <c r="U1510" s="11" t="s">
        <v>3164</v>
      </c>
      <c r="V1510" s="1" t="s">
        <v>41</v>
      </c>
      <c r="W1510" s="1" t="s">
        <v>49</v>
      </c>
    </row>
    <row r="1511" spans="1:23" hidden="1">
      <c r="A1511" s="1">
        <v>9477020</v>
      </c>
      <c r="B1511" s="1" t="s">
        <v>1153</v>
      </c>
      <c r="C1511" t="s">
        <v>2860</v>
      </c>
      <c r="D1511" s="2">
        <v>20232244000010</v>
      </c>
      <c r="E1511" s="2">
        <v>7419152431369</v>
      </c>
      <c r="F1511" s="1" t="s">
        <v>2744</v>
      </c>
      <c r="G1511" s="1" t="s">
        <v>53</v>
      </c>
      <c r="H1511" s="1" t="s">
        <v>1853</v>
      </c>
      <c r="I1511" s="1" t="s">
        <v>1854</v>
      </c>
      <c r="J1511" s="1" t="s">
        <v>79</v>
      </c>
      <c r="K1511" t="s">
        <v>2745</v>
      </c>
      <c r="M1511" s="1" t="s">
        <v>58</v>
      </c>
      <c r="N1511" s="1">
        <v>0</v>
      </c>
      <c r="O1511" s="1" t="s">
        <v>105</v>
      </c>
      <c r="P1511" s="11" t="s">
        <v>3165</v>
      </c>
      <c r="R1511" s="1">
        <v>22</v>
      </c>
      <c r="T1511" s="1" t="s">
        <v>1160</v>
      </c>
      <c r="U1511" s="11" t="s">
        <v>3166</v>
      </c>
      <c r="V1511" s="1" t="s">
        <v>41</v>
      </c>
      <c r="W1511" s="1" t="s">
        <v>49</v>
      </c>
    </row>
    <row r="1512" spans="1:23" hidden="1">
      <c r="A1512" s="1">
        <v>9476939</v>
      </c>
      <c r="B1512" s="1" t="s">
        <v>1153</v>
      </c>
      <c r="C1512" t="s">
        <v>2862</v>
      </c>
      <c r="D1512" s="2">
        <v>230028336</v>
      </c>
      <c r="E1512" s="2">
        <v>1128001400020</v>
      </c>
      <c r="F1512" s="1" t="s">
        <v>1961</v>
      </c>
      <c r="G1512" s="1" t="s">
        <v>53</v>
      </c>
      <c r="H1512" s="1" t="s">
        <v>1191</v>
      </c>
      <c r="I1512" s="1" t="s">
        <v>1192</v>
      </c>
      <c r="J1512" s="1" t="s">
        <v>33</v>
      </c>
      <c r="K1512" t="s">
        <v>1962</v>
      </c>
      <c r="M1512" s="1" t="s">
        <v>58</v>
      </c>
      <c r="N1512" s="1">
        <v>0</v>
      </c>
      <c r="O1512" s="1" t="s">
        <v>36</v>
      </c>
      <c r="P1512" s="11" t="s">
        <v>3167</v>
      </c>
      <c r="R1512" s="1">
        <v>4</v>
      </c>
      <c r="T1512" s="1" t="s">
        <v>646</v>
      </c>
      <c r="U1512" s="11" t="s">
        <v>3168</v>
      </c>
      <c r="V1512" s="1" t="s">
        <v>41</v>
      </c>
      <c r="W1512" s="1" t="s">
        <v>49</v>
      </c>
    </row>
    <row r="1513" spans="1:23" hidden="1">
      <c r="A1513" s="1">
        <v>9476906</v>
      </c>
      <c r="B1513" s="1" t="s">
        <v>1153</v>
      </c>
      <c r="C1513" t="s">
        <v>2863</v>
      </c>
      <c r="D1513" s="2">
        <v>20234844000446</v>
      </c>
      <c r="E1513" s="2">
        <v>7417183020619</v>
      </c>
      <c r="F1513" s="1" t="s">
        <v>1313</v>
      </c>
      <c r="G1513" s="1" t="s">
        <v>53</v>
      </c>
      <c r="H1513" s="1" t="s">
        <v>2493</v>
      </c>
      <c r="I1513" s="1" t="s">
        <v>2494</v>
      </c>
      <c r="J1513" s="1" t="s">
        <v>46</v>
      </c>
      <c r="K1513" t="s">
        <v>1316</v>
      </c>
      <c r="M1513" s="1" t="s">
        <v>58</v>
      </c>
      <c r="N1513" s="1">
        <v>0</v>
      </c>
      <c r="O1513" s="1" t="s">
        <v>105</v>
      </c>
      <c r="P1513" s="11" t="s">
        <v>3169</v>
      </c>
      <c r="R1513" s="1">
        <v>13</v>
      </c>
      <c r="T1513" s="1" t="s">
        <v>238</v>
      </c>
      <c r="U1513" s="11" t="s">
        <v>3169</v>
      </c>
      <c r="V1513" s="1" t="s">
        <v>41</v>
      </c>
      <c r="W1513" s="1" t="s">
        <v>49</v>
      </c>
    </row>
    <row r="1514" spans="1:23" hidden="1">
      <c r="A1514" s="1">
        <v>9476840</v>
      </c>
      <c r="B1514" s="1" t="s">
        <v>1153</v>
      </c>
      <c r="C1514" t="s">
        <v>2864</v>
      </c>
      <c r="D1514" s="2">
        <v>20232219000012</v>
      </c>
      <c r="E1514" s="2">
        <v>7417163284045</v>
      </c>
      <c r="F1514" s="1" t="s">
        <v>131</v>
      </c>
      <c r="G1514" s="1" t="s">
        <v>53</v>
      </c>
      <c r="H1514" s="1" t="s">
        <v>1980</v>
      </c>
      <c r="I1514" s="1" t="s">
        <v>1981</v>
      </c>
      <c r="J1514" s="1" t="s">
        <v>141</v>
      </c>
      <c r="K1514" t="s">
        <v>132</v>
      </c>
      <c r="M1514" s="1" t="s">
        <v>58</v>
      </c>
      <c r="N1514" s="1">
        <v>0</v>
      </c>
      <c r="O1514" s="1" t="s">
        <v>36</v>
      </c>
      <c r="P1514" s="11" t="s">
        <v>3170</v>
      </c>
      <c r="R1514" s="1">
        <v>14</v>
      </c>
      <c r="T1514" s="1" t="s">
        <v>238</v>
      </c>
      <c r="U1514" s="11" t="s">
        <v>3170</v>
      </c>
      <c r="V1514" s="1" t="s">
        <v>41</v>
      </c>
      <c r="W1514" s="1" t="s">
        <v>49</v>
      </c>
    </row>
    <row r="1515" spans="1:23" hidden="1">
      <c r="A1515" s="1">
        <v>9476686</v>
      </c>
      <c r="B1515" s="1" t="s">
        <v>1153</v>
      </c>
      <c r="C1515" t="s">
        <v>2865</v>
      </c>
      <c r="D1515" s="2">
        <v>20238074000005</v>
      </c>
      <c r="E1515" s="2">
        <v>7417210950046</v>
      </c>
      <c r="F1515" s="1" t="s">
        <v>1213</v>
      </c>
      <c r="G1515" s="1" t="s">
        <v>53</v>
      </c>
      <c r="H1515" s="1" t="s">
        <v>2866</v>
      </c>
      <c r="I1515" s="1" t="s">
        <v>2867</v>
      </c>
      <c r="J1515" s="1" t="s">
        <v>33</v>
      </c>
      <c r="K1515" t="s">
        <v>1214</v>
      </c>
      <c r="M1515" s="1" t="s">
        <v>58</v>
      </c>
      <c r="N1515" s="1">
        <v>0</v>
      </c>
      <c r="O1515" s="1" t="s">
        <v>36</v>
      </c>
      <c r="P1515" s="11" t="s">
        <v>3171</v>
      </c>
      <c r="R1515" s="1">
        <v>14</v>
      </c>
      <c r="T1515" s="1" t="s">
        <v>238</v>
      </c>
      <c r="U1515" s="11" t="s">
        <v>3171</v>
      </c>
      <c r="V1515" s="1" t="s">
        <v>41</v>
      </c>
      <c r="W1515" s="1" t="s">
        <v>49</v>
      </c>
    </row>
    <row r="1516" spans="1:23" hidden="1">
      <c r="A1516" s="1">
        <v>9476606</v>
      </c>
      <c r="B1516" s="1" t="s">
        <v>1153</v>
      </c>
      <c r="C1516" t="s">
        <v>2869</v>
      </c>
      <c r="D1516" s="2">
        <v>20234923000066</v>
      </c>
      <c r="E1516" s="2">
        <v>7417161480617</v>
      </c>
      <c r="F1516" s="1" t="s">
        <v>1979</v>
      </c>
      <c r="G1516" s="1" t="s">
        <v>53</v>
      </c>
      <c r="H1516" s="1" t="s">
        <v>2870</v>
      </c>
      <c r="I1516" s="1" t="s">
        <v>2871</v>
      </c>
      <c r="J1516" s="1" t="s">
        <v>46</v>
      </c>
      <c r="K1516" t="s">
        <v>1982</v>
      </c>
      <c r="M1516" s="1" t="s">
        <v>58</v>
      </c>
      <c r="N1516" s="1">
        <v>0</v>
      </c>
      <c r="O1516" s="1" t="s">
        <v>105</v>
      </c>
      <c r="P1516" s="11" t="s">
        <v>3172</v>
      </c>
      <c r="R1516" s="1">
        <v>13</v>
      </c>
      <c r="T1516" s="1" t="s">
        <v>238</v>
      </c>
      <c r="U1516" s="11" t="s">
        <v>3172</v>
      </c>
      <c r="V1516" s="1" t="s">
        <v>41</v>
      </c>
      <c r="W1516" s="1" t="s">
        <v>49</v>
      </c>
    </row>
    <row r="1517" spans="1:23" hidden="1">
      <c r="A1517" s="1">
        <v>9476598</v>
      </c>
      <c r="B1517" s="1" t="s">
        <v>1153</v>
      </c>
      <c r="C1517" t="s">
        <v>2872</v>
      </c>
      <c r="D1517" s="2">
        <v>20234844000445</v>
      </c>
      <c r="E1517" s="2">
        <v>7417172789396</v>
      </c>
      <c r="F1517" s="1" t="s">
        <v>1989</v>
      </c>
      <c r="G1517" s="1" t="s">
        <v>53</v>
      </c>
      <c r="H1517" s="1" t="s">
        <v>2873</v>
      </c>
      <c r="I1517" s="1" t="s">
        <v>2874</v>
      </c>
      <c r="J1517" s="1" t="s">
        <v>46</v>
      </c>
      <c r="K1517" t="s">
        <v>1990</v>
      </c>
      <c r="M1517" s="1" t="s">
        <v>58</v>
      </c>
      <c r="N1517" s="1">
        <v>0</v>
      </c>
      <c r="O1517" s="1" t="s">
        <v>36</v>
      </c>
      <c r="P1517" s="11" t="s">
        <v>3173</v>
      </c>
      <c r="R1517" s="1">
        <v>22</v>
      </c>
      <c r="T1517" s="1" t="s">
        <v>1160</v>
      </c>
      <c r="U1517" s="11" t="s">
        <v>3174</v>
      </c>
      <c r="V1517" s="1" t="s">
        <v>41</v>
      </c>
      <c r="W1517" s="1" t="s">
        <v>49</v>
      </c>
    </row>
    <row r="1518" spans="1:23" hidden="1">
      <c r="A1518" s="1">
        <v>9476530</v>
      </c>
      <c r="B1518" s="1" t="s">
        <v>1153</v>
      </c>
      <c r="C1518" t="s">
        <v>2880</v>
      </c>
      <c r="D1518" s="2">
        <v>20231732000010</v>
      </c>
      <c r="E1518" s="2">
        <v>7417202020715</v>
      </c>
      <c r="F1518" s="1" t="s">
        <v>1213</v>
      </c>
      <c r="G1518" s="1" t="s">
        <v>53</v>
      </c>
      <c r="H1518" s="1" t="s">
        <v>2361</v>
      </c>
      <c r="I1518" s="1" t="s">
        <v>2362</v>
      </c>
      <c r="J1518" s="1" t="s">
        <v>164</v>
      </c>
      <c r="K1518" t="s">
        <v>1214</v>
      </c>
      <c r="M1518" s="1" t="s">
        <v>58</v>
      </c>
      <c r="N1518" s="1">
        <v>0</v>
      </c>
      <c r="O1518" s="1" t="s">
        <v>36</v>
      </c>
      <c r="P1518" s="11" t="s">
        <v>2881</v>
      </c>
      <c r="R1518" s="1">
        <v>14</v>
      </c>
      <c r="T1518" s="1" t="s">
        <v>238</v>
      </c>
      <c r="U1518" s="11" t="s">
        <v>2881</v>
      </c>
      <c r="V1518" s="1" t="s">
        <v>41</v>
      </c>
      <c r="W1518" s="1" t="s">
        <v>49</v>
      </c>
    </row>
    <row r="1519" spans="1:23" hidden="1">
      <c r="A1519" s="1">
        <v>9476515</v>
      </c>
      <c r="B1519" s="1" t="s">
        <v>1153</v>
      </c>
      <c r="C1519" t="s">
        <v>3175</v>
      </c>
      <c r="D1519" s="2">
        <v>20231421000011</v>
      </c>
      <c r="E1519" s="2">
        <v>7417202021230</v>
      </c>
      <c r="F1519" s="1" t="s">
        <v>1213</v>
      </c>
      <c r="G1519" s="1" t="s">
        <v>53</v>
      </c>
      <c r="H1519" s="1" t="s">
        <v>2854</v>
      </c>
      <c r="I1519" s="1" t="s">
        <v>2855</v>
      </c>
      <c r="J1519" s="1" t="s">
        <v>79</v>
      </c>
      <c r="K1519" t="s">
        <v>1214</v>
      </c>
      <c r="M1519" s="1" t="s">
        <v>58</v>
      </c>
      <c r="N1519" s="1">
        <v>0</v>
      </c>
      <c r="O1519" s="1" t="s">
        <v>105</v>
      </c>
      <c r="P1519" s="11" t="s">
        <v>3176</v>
      </c>
      <c r="R1519" s="1">
        <v>14</v>
      </c>
      <c r="T1519" s="1" t="s">
        <v>238</v>
      </c>
      <c r="U1519" s="11" t="s">
        <v>3176</v>
      </c>
      <c r="V1519" s="1" t="s">
        <v>41</v>
      </c>
      <c r="W1519" s="1" t="s">
        <v>49</v>
      </c>
    </row>
    <row r="1520" spans="1:23" hidden="1">
      <c r="A1520" s="1">
        <v>9476444</v>
      </c>
      <c r="B1520" s="1" t="s">
        <v>1153</v>
      </c>
      <c r="C1520" t="s">
        <v>2882</v>
      </c>
      <c r="D1520" s="2">
        <v>20234844000442</v>
      </c>
      <c r="E1520" s="2">
        <v>7417183020644</v>
      </c>
      <c r="F1520" s="1" t="s">
        <v>1313</v>
      </c>
      <c r="G1520" s="1" t="s">
        <v>53</v>
      </c>
      <c r="H1520" s="1" t="s">
        <v>2883</v>
      </c>
      <c r="I1520" s="1" t="s">
        <v>2884</v>
      </c>
      <c r="J1520" s="1" t="s">
        <v>46</v>
      </c>
      <c r="K1520" t="s">
        <v>1316</v>
      </c>
      <c r="M1520" s="1" t="s">
        <v>58</v>
      </c>
      <c r="N1520" s="1">
        <v>0</v>
      </c>
      <c r="O1520" s="1" t="s">
        <v>36</v>
      </c>
      <c r="P1520" s="11" t="s">
        <v>3177</v>
      </c>
      <c r="R1520" s="1">
        <v>13</v>
      </c>
      <c r="T1520" s="1" t="s">
        <v>238</v>
      </c>
      <c r="U1520" s="11" t="s">
        <v>3177</v>
      </c>
      <c r="V1520" s="1" t="s">
        <v>41</v>
      </c>
      <c r="W1520" s="1" t="s">
        <v>49</v>
      </c>
    </row>
    <row r="1521" spans="1:23" hidden="1">
      <c r="A1521" s="1">
        <v>9476408</v>
      </c>
      <c r="B1521" s="1" t="s">
        <v>1153</v>
      </c>
      <c r="C1521" t="s">
        <v>2886</v>
      </c>
      <c r="E1521" s="2">
        <v>1732000203010</v>
      </c>
      <c r="F1521" s="1" t="s">
        <v>152</v>
      </c>
      <c r="G1521" s="1" t="s">
        <v>53</v>
      </c>
      <c r="H1521" s="1" t="s">
        <v>177</v>
      </c>
      <c r="I1521" s="1" t="s">
        <v>178</v>
      </c>
      <c r="J1521" s="1" t="s">
        <v>164</v>
      </c>
      <c r="K1521" t="s">
        <v>155</v>
      </c>
      <c r="M1521" s="1" t="s">
        <v>35</v>
      </c>
      <c r="N1521" s="1">
        <v>42318949</v>
      </c>
      <c r="O1521" s="1" t="s">
        <v>36</v>
      </c>
      <c r="P1521" s="11" t="s">
        <v>3178</v>
      </c>
      <c r="R1521" s="1">
        <v>1</v>
      </c>
      <c r="T1521" s="1" t="s">
        <v>157</v>
      </c>
      <c r="U1521" s="11" t="s">
        <v>3179</v>
      </c>
      <c r="V1521" s="1" t="s">
        <v>41</v>
      </c>
      <c r="W1521" s="1" t="s">
        <v>49</v>
      </c>
    </row>
    <row r="1522" spans="1:23" hidden="1">
      <c r="A1522" s="1">
        <v>9476369</v>
      </c>
      <c r="B1522" s="1" t="s">
        <v>1153</v>
      </c>
      <c r="C1522" t="s">
        <v>2887</v>
      </c>
      <c r="D1522" s="2">
        <v>20231666000012</v>
      </c>
      <c r="E1522" s="2">
        <v>7417202020767</v>
      </c>
      <c r="F1522" s="1" t="s">
        <v>1213</v>
      </c>
      <c r="G1522" s="1" t="s">
        <v>53</v>
      </c>
      <c r="H1522" s="1" t="s">
        <v>2679</v>
      </c>
      <c r="I1522" s="1" t="s">
        <v>2680</v>
      </c>
      <c r="J1522" s="1" t="s">
        <v>79</v>
      </c>
      <c r="K1522" t="s">
        <v>1214</v>
      </c>
      <c r="M1522" s="1" t="s">
        <v>58</v>
      </c>
      <c r="N1522" s="1">
        <v>0</v>
      </c>
      <c r="O1522" s="1" t="s">
        <v>105</v>
      </c>
      <c r="P1522" s="11" t="s">
        <v>3180</v>
      </c>
      <c r="R1522" s="1">
        <v>14</v>
      </c>
      <c r="T1522" s="1" t="s">
        <v>238</v>
      </c>
      <c r="U1522" s="11" t="s">
        <v>3180</v>
      </c>
      <c r="V1522" s="1" t="s">
        <v>41</v>
      </c>
      <c r="W1522" s="1" t="s">
        <v>49</v>
      </c>
    </row>
    <row r="1523" spans="1:23" hidden="1">
      <c r="A1523" s="1">
        <v>9476344</v>
      </c>
      <c r="B1523" s="1" t="s">
        <v>1153</v>
      </c>
      <c r="C1523" t="s">
        <v>2888</v>
      </c>
      <c r="E1523" s="2">
        <v>2830000206001</v>
      </c>
      <c r="F1523" s="1" t="s">
        <v>29</v>
      </c>
      <c r="G1523" s="1" t="s">
        <v>53</v>
      </c>
      <c r="H1523" s="1" t="s">
        <v>448</v>
      </c>
      <c r="I1523" s="1" t="s">
        <v>449</v>
      </c>
      <c r="J1523" s="1" t="s">
        <v>33</v>
      </c>
      <c r="K1523" t="s">
        <v>34</v>
      </c>
      <c r="M1523" s="1" t="s">
        <v>35</v>
      </c>
      <c r="N1523" s="1">
        <v>42318949</v>
      </c>
      <c r="O1523" s="1" t="s">
        <v>36</v>
      </c>
      <c r="P1523" s="11" t="s">
        <v>3181</v>
      </c>
      <c r="R1523" s="1" t="s">
        <v>38</v>
      </c>
      <c r="T1523" s="1" t="s">
        <v>74</v>
      </c>
      <c r="U1523" s="11" t="s">
        <v>3182</v>
      </c>
      <c r="V1523" s="1" t="s">
        <v>41</v>
      </c>
      <c r="W1523" s="1" t="s">
        <v>42</v>
      </c>
    </row>
    <row r="1524" spans="1:23" hidden="1">
      <c r="A1524" s="1">
        <v>9476284</v>
      </c>
      <c r="B1524" s="1" t="s">
        <v>1153</v>
      </c>
      <c r="C1524" t="s">
        <v>2889</v>
      </c>
      <c r="D1524" s="2">
        <v>20230067000017</v>
      </c>
      <c r="E1524" s="2">
        <v>7417202020224</v>
      </c>
      <c r="F1524" s="1" t="s">
        <v>1213</v>
      </c>
      <c r="G1524" s="1" t="s">
        <v>53</v>
      </c>
      <c r="H1524" s="1" t="s">
        <v>2091</v>
      </c>
      <c r="I1524" s="1" t="s">
        <v>2092</v>
      </c>
      <c r="J1524" s="1" t="s">
        <v>164</v>
      </c>
      <c r="K1524" t="s">
        <v>1214</v>
      </c>
      <c r="M1524" s="1" t="s">
        <v>58</v>
      </c>
      <c r="N1524" s="1">
        <v>0</v>
      </c>
      <c r="O1524" s="1" t="s">
        <v>36</v>
      </c>
      <c r="P1524" s="11" t="s">
        <v>3183</v>
      </c>
      <c r="R1524" s="1">
        <v>14</v>
      </c>
      <c r="T1524" s="1" t="s">
        <v>238</v>
      </c>
      <c r="U1524" s="11" t="s">
        <v>3183</v>
      </c>
      <c r="V1524" s="1" t="s">
        <v>41</v>
      </c>
      <c r="W1524" s="1" t="s">
        <v>49</v>
      </c>
    </row>
    <row r="1525" spans="1:23" hidden="1">
      <c r="A1525" s="1">
        <v>9476194</v>
      </c>
      <c r="B1525" s="1" t="s">
        <v>1153</v>
      </c>
      <c r="C1525" t="s">
        <v>2890</v>
      </c>
      <c r="D1525" s="2">
        <v>20231739000003</v>
      </c>
      <c r="E1525" s="2">
        <v>7417210950311</v>
      </c>
      <c r="F1525" s="1" t="s">
        <v>1213</v>
      </c>
      <c r="G1525" s="1" t="s">
        <v>53</v>
      </c>
      <c r="H1525" s="1" t="s">
        <v>2891</v>
      </c>
      <c r="I1525" s="1" t="s">
        <v>2892</v>
      </c>
      <c r="J1525" s="1" t="s">
        <v>164</v>
      </c>
      <c r="K1525" t="s">
        <v>1214</v>
      </c>
      <c r="M1525" s="1" t="s">
        <v>58</v>
      </c>
      <c r="N1525" s="1">
        <v>0</v>
      </c>
      <c r="O1525" s="1" t="s">
        <v>36</v>
      </c>
      <c r="P1525" s="11" t="s">
        <v>3184</v>
      </c>
      <c r="R1525" s="1">
        <v>14</v>
      </c>
      <c r="T1525" s="1" t="s">
        <v>238</v>
      </c>
      <c r="U1525" s="11" t="s">
        <v>3184</v>
      </c>
      <c r="V1525" s="1" t="s">
        <v>41</v>
      </c>
      <c r="W1525" s="1" t="s">
        <v>49</v>
      </c>
    </row>
    <row r="1526" spans="1:23" hidden="1">
      <c r="A1526" s="1">
        <v>9476101</v>
      </c>
      <c r="B1526" s="1" t="s">
        <v>1153</v>
      </c>
      <c r="C1526" t="s">
        <v>2894</v>
      </c>
      <c r="D1526" s="2">
        <v>20231052000012</v>
      </c>
      <c r="E1526" s="2">
        <v>7417183020683</v>
      </c>
      <c r="F1526" s="1" t="s">
        <v>1313</v>
      </c>
      <c r="G1526" s="1" t="s">
        <v>53</v>
      </c>
      <c r="H1526" s="1" t="s">
        <v>2560</v>
      </c>
      <c r="I1526" s="1" t="s">
        <v>2561</v>
      </c>
      <c r="J1526" s="1" t="s">
        <v>79</v>
      </c>
      <c r="K1526" t="s">
        <v>1316</v>
      </c>
      <c r="M1526" s="1" t="s">
        <v>58</v>
      </c>
      <c r="N1526" s="1">
        <v>0</v>
      </c>
      <c r="O1526" s="1" t="s">
        <v>105</v>
      </c>
      <c r="P1526" s="11" t="s">
        <v>2895</v>
      </c>
      <c r="R1526" s="1">
        <v>14</v>
      </c>
      <c r="T1526" s="1" t="s">
        <v>238</v>
      </c>
      <c r="U1526" s="11" t="s">
        <v>2895</v>
      </c>
      <c r="V1526" s="1" t="s">
        <v>41</v>
      </c>
      <c r="W1526" s="1" t="s">
        <v>49</v>
      </c>
    </row>
    <row r="1527" spans="1:23">
      <c r="A1527" s="1">
        <v>9475814</v>
      </c>
      <c r="B1527" s="1" t="s">
        <v>1153</v>
      </c>
      <c r="C1527" t="s">
        <v>2896</v>
      </c>
      <c r="D1527" s="2">
        <v>20234119000010</v>
      </c>
      <c r="E1527" s="2">
        <v>7417202020221</v>
      </c>
      <c r="F1527" s="1" t="s">
        <v>1213</v>
      </c>
      <c r="G1527" s="1" t="s">
        <v>53</v>
      </c>
      <c r="H1527" s="1" t="s">
        <v>2053</v>
      </c>
      <c r="I1527" s="1" t="s">
        <v>2054</v>
      </c>
      <c r="J1527" s="1" t="s">
        <v>211</v>
      </c>
      <c r="K1527" t="s">
        <v>1214</v>
      </c>
      <c r="M1527" s="1" t="s">
        <v>58</v>
      </c>
      <c r="N1527" s="1">
        <v>0</v>
      </c>
      <c r="O1527" s="1" t="s">
        <v>105</v>
      </c>
      <c r="P1527" s="11" t="s">
        <v>2897</v>
      </c>
      <c r="R1527" s="1">
        <v>14</v>
      </c>
      <c r="T1527" s="1" t="s">
        <v>238</v>
      </c>
      <c r="U1527" s="11" t="s">
        <v>2897</v>
      </c>
      <c r="V1527" s="1" t="s">
        <v>41</v>
      </c>
      <c r="W1527" s="1" t="s">
        <v>49</v>
      </c>
    </row>
    <row r="1528" spans="1:23" hidden="1">
      <c r="A1528" s="1">
        <v>9475811</v>
      </c>
      <c r="B1528" s="1" t="s">
        <v>1153</v>
      </c>
      <c r="C1528" t="s">
        <v>2898</v>
      </c>
      <c r="D1528" s="2">
        <v>20234844000437</v>
      </c>
      <c r="E1528" s="2">
        <v>7417202734139</v>
      </c>
      <c r="F1528" s="1" t="s">
        <v>1727</v>
      </c>
      <c r="G1528" s="1" t="s">
        <v>53</v>
      </c>
      <c r="H1528" s="1" t="s">
        <v>2690</v>
      </c>
      <c r="I1528" s="1" t="s">
        <v>2691</v>
      </c>
      <c r="J1528" s="1" t="s">
        <v>46</v>
      </c>
      <c r="K1528" t="s">
        <v>1728</v>
      </c>
      <c r="M1528" s="1" t="s">
        <v>58</v>
      </c>
      <c r="N1528" s="1">
        <v>0</v>
      </c>
      <c r="O1528" s="1" t="s">
        <v>36</v>
      </c>
      <c r="P1528" s="11" t="s">
        <v>3185</v>
      </c>
      <c r="R1528" s="1">
        <v>22</v>
      </c>
      <c r="T1528" s="1" t="s">
        <v>1160</v>
      </c>
      <c r="U1528" s="11" t="s">
        <v>3186</v>
      </c>
      <c r="V1528" s="1" t="s">
        <v>41</v>
      </c>
      <c r="W1528" s="1" t="s">
        <v>49</v>
      </c>
    </row>
    <row r="1529" spans="1:23">
      <c r="A1529" s="1">
        <v>9475757</v>
      </c>
      <c r="B1529" s="1" t="s">
        <v>1153</v>
      </c>
      <c r="C1529" t="s">
        <v>2903</v>
      </c>
      <c r="D1529" s="2">
        <v>230028057</v>
      </c>
      <c r="E1529" s="2">
        <v>2437001400010</v>
      </c>
      <c r="F1529" s="1" t="s">
        <v>936</v>
      </c>
      <c r="G1529" s="1" t="s">
        <v>53</v>
      </c>
      <c r="H1529" s="1" t="s">
        <v>416</v>
      </c>
      <c r="I1529" s="1" t="s">
        <v>417</v>
      </c>
      <c r="J1529" s="1" t="s">
        <v>211</v>
      </c>
      <c r="K1529" t="s">
        <v>937</v>
      </c>
      <c r="M1529" s="1" t="s">
        <v>58</v>
      </c>
      <c r="N1529" s="1">
        <v>0</v>
      </c>
      <c r="O1529" s="1" t="s">
        <v>36</v>
      </c>
      <c r="P1529" s="11" t="s">
        <v>2904</v>
      </c>
      <c r="R1529" s="1">
        <v>3</v>
      </c>
      <c r="T1529" s="1" t="s">
        <v>646</v>
      </c>
      <c r="U1529" s="11" t="s">
        <v>2905</v>
      </c>
      <c r="V1529" s="1" t="s">
        <v>41</v>
      </c>
      <c r="W1529" s="1" t="s">
        <v>49</v>
      </c>
    </row>
    <row r="1530" spans="1:23">
      <c r="A1530" s="1">
        <v>9475584</v>
      </c>
      <c r="B1530" s="1" t="s">
        <v>101</v>
      </c>
      <c r="C1530" t="s">
        <v>1740</v>
      </c>
      <c r="E1530" s="2">
        <v>7419151140262</v>
      </c>
      <c r="F1530" s="1" t="s">
        <v>2058</v>
      </c>
      <c r="G1530" s="1" t="s">
        <v>53</v>
      </c>
      <c r="H1530" s="1" t="s">
        <v>2910</v>
      </c>
      <c r="I1530" s="1" t="s">
        <v>2911</v>
      </c>
      <c r="J1530" s="1" t="s">
        <v>90</v>
      </c>
      <c r="K1530" t="s">
        <v>2061</v>
      </c>
      <c r="M1530" s="1" t="s">
        <v>58</v>
      </c>
      <c r="N1530" s="1">
        <v>0</v>
      </c>
      <c r="O1530" s="1" t="s">
        <v>36</v>
      </c>
      <c r="P1530" s="11" t="s">
        <v>2912</v>
      </c>
      <c r="R1530" s="1">
        <v>14</v>
      </c>
      <c r="T1530" s="1" t="s">
        <v>238</v>
      </c>
      <c r="U1530" s="11" t="s">
        <v>2912</v>
      </c>
      <c r="V1530" s="1" t="s">
        <v>41</v>
      </c>
      <c r="W1530" s="1" t="s">
        <v>49</v>
      </c>
    </row>
    <row r="1531" spans="1:23" hidden="1">
      <c r="A1531" s="1">
        <v>9475572</v>
      </c>
      <c r="B1531" s="1" t="s">
        <v>1153</v>
      </c>
      <c r="C1531" t="s">
        <v>2915</v>
      </c>
      <c r="D1531" s="2">
        <v>20234844000436</v>
      </c>
      <c r="E1531" s="2">
        <v>7417163284247</v>
      </c>
      <c r="F1531" s="1" t="s">
        <v>131</v>
      </c>
      <c r="G1531" s="1" t="s">
        <v>53</v>
      </c>
      <c r="H1531" s="1" t="s">
        <v>2883</v>
      </c>
      <c r="I1531" s="1" t="s">
        <v>2884</v>
      </c>
      <c r="J1531" s="1" t="s">
        <v>46</v>
      </c>
      <c r="K1531" t="s">
        <v>132</v>
      </c>
      <c r="M1531" s="1" t="s">
        <v>58</v>
      </c>
      <c r="N1531" s="1">
        <v>0</v>
      </c>
      <c r="O1531" s="1" t="s">
        <v>36</v>
      </c>
      <c r="P1531" s="11" t="s">
        <v>3187</v>
      </c>
      <c r="R1531" s="1">
        <v>13</v>
      </c>
      <c r="T1531" s="1" t="s">
        <v>238</v>
      </c>
      <c r="U1531" s="11" t="s">
        <v>3187</v>
      </c>
      <c r="V1531" s="1" t="s">
        <v>41</v>
      </c>
      <c r="W1531" s="1" t="s">
        <v>49</v>
      </c>
    </row>
    <row r="1532" spans="1:23" hidden="1">
      <c r="A1532" s="1">
        <v>9475571</v>
      </c>
      <c r="B1532" s="1" t="s">
        <v>1153</v>
      </c>
      <c r="C1532" t="s">
        <v>2916</v>
      </c>
      <c r="D1532" s="2">
        <v>20238889000056</v>
      </c>
      <c r="E1532" s="2">
        <v>7417163282971</v>
      </c>
      <c r="F1532" s="1" t="s">
        <v>131</v>
      </c>
      <c r="G1532" s="1" t="s">
        <v>53</v>
      </c>
      <c r="H1532" s="1" t="s">
        <v>2917</v>
      </c>
      <c r="I1532" s="1" t="s">
        <v>2918</v>
      </c>
      <c r="J1532" s="1" t="s">
        <v>33</v>
      </c>
      <c r="K1532" t="s">
        <v>132</v>
      </c>
      <c r="M1532" s="1" t="s">
        <v>58</v>
      </c>
      <c r="N1532" s="1">
        <v>0</v>
      </c>
      <c r="O1532" s="1" t="s">
        <v>36</v>
      </c>
      <c r="P1532" s="11" t="s">
        <v>3188</v>
      </c>
      <c r="R1532" s="1">
        <v>14</v>
      </c>
      <c r="T1532" s="1" t="s">
        <v>238</v>
      </c>
      <c r="U1532" s="11" t="s">
        <v>3188</v>
      </c>
      <c r="V1532" s="1" t="s">
        <v>41</v>
      </c>
      <c r="W1532" s="1" t="s">
        <v>49</v>
      </c>
    </row>
    <row r="1533" spans="1:23" hidden="1">
      <c r="A1533" s="1">
        <v>9475564</v>
      </c>
      <c r="B1533" s="1" t="s">
        <v>1153</v>
      </c>
      <c r="C1533" t="s">
        <v>2921</v>
      </c>
      <c r="D1533" s="2">
        <v>20231363000016</v>
      </c>
      <c r="E1533" s="2">
        <v>7419152461296</v>
      </c>
      <c r="F1533" s="1" t="s">
        <v>2744</v>
      </c>
      <c r="G1533" s="1" t="s">
        <v>53</v>
      </c>
      <c r="H1533" s="1" t="s">
        <v>108</v>
      </c>
      <c r="I1533" s="1" t="s">
        <v>109</v>
      </c>
      <c r="J1533" s="1" t="s">
        <v>110</v>
      </c>
      <c r="K1533" t="s">
        <v>2745</v>
      </c>
      <c r="M1533" s="1" t="s">
        <v>58</v>
      </c>
      <c r="N1533" s="1">
        <v>0</v>
      </c>
      <c r="O1533" s="1" t="s">
        <v>36</v>
      </c>
      <c r="P1533" s="11" t="s">
        <v>2922</v>
      </c>
      <c r="R1533" s="1">
        <v>22</v>
      </c>
      <c r="T1533" s="1" t="s">
        <v>1160</v>
      </c>
      <c r="U1533" s="11" t="s">
        <v>2923</v>
      </c>
      <c r="V1533" s="1" t="s">
        <v>41</v>
      </c>
      <c r="W1533" s="1" t="s">
        <v>49</v>
      </c>
    </row>
    <row r="1534" spans="1:23" hidden="1">
      <c r="A1534" s="1">
        <v>9475382</v>
      </c>
      <c r="B1534" s="1" t="s">
        <v>1153</v>
      </c>
      <c r="C1534" t="s">
        <v>2924</v>
      </c>
      <c r="D1534" s="2">
        <v>20232388000005</v>
      </c>
      <c r="E1534" s="2">
        <v>7417183024351</v>
      </c>
      <c r="F1534" s="1" t="s">
        <v>1313</v>
      </c>
      <c r="G1534" s="1" t="s">
        <v>53</v>
      </c>
      <c r="H1534" s="1" t="s">
        <v>2925</v>
      </c>
      <c r="I1534" s="1" t="s">
        <v>2926</v>
      </c>
      <c r="J1534" s="1" t="s">
        <v>79</v>
      </c>
      <c r="K1534" t="s">
        <v>1316</v>
      </c>
      <c r="M1534" s="1" t="s">
        <v>58</v>
      </c>
      <c r="N1534" s="1">
        <v>0</v>
      </c>
      <c r="O1534" s="1" t="s">
        <v>105</v>
      </c>
      <c r="P1534" s="11" t="s">
        <v>3189</v>
      </c>
      <c r="R1534" s="1">
        <v>14</v>
      </c>
      <c r="T1534" s="1" t="s">
        <v>238</v>
      </c>
      <c r="U1534" s="11" t="s">
        <v>3189</v>
      </c>
      <c r="V1534" s="1" t="s">
        <v>41</v>
      </c>
      <c r="W1534" s="1" t="s">
        <v>49</v>
      </c>
    </row>
    <row r="1535" spans="1:23" hidden="1">
      <c r="A1535" s="1">
        <v>9475280</v>
      </c>
      <c r="B1535" s="1" t="s">
        <v>1153</v>
      </c>
      <c r="C1535" t="s">
        <v>2927</v>
      </c>
      <c r="D1535" s="2">
        <v>20231792000008</v>
      </c>
      <c r="E1535" s="2">
        <v>7417183020630</v>
      </c>
      <c r="F1535" s="1" t="s">
        <v>1313</v>
      </c>
      <c r="G1535" s="1" t="s">
        <v>53</v>
      </c>
      <c r="H1535" s="1" t="s">
        <v>2478</v>
      </c>
      <c r="I1535" s="1" t="s">
        <v>2479</v>
      </c>
      <c r="J1535" s="1" t="s">
        <v>46</v>
      </c>
      <c r="K1535" t="s">
        <v>1316</v>
      </c>
      <c r="M1535" s="1" t="s">
        <v>58</v>
      </c>
      <c r="N1535" s="1">
        <v>0</v>
      </c>
      <c r="O1535" s="1" t="s">
        <v>105</v>
      </c>
      <c r="P1535" s="11" t="s">
        <v>3190</v>
      </c>
      <c r="R1535" s="1">
        <v>15</v>
      </c>
      <c r="T1535" s="1" t="s">
        <v>238</v>
      </c>
      <c r="U1535" s="11" t="s">
        <v>3191</v>
      </c>
      <c r="V1535" s="1" t="s">
        <v>41</v>
      </c>
      <c r="W1535" s="1" t="s">
        <v>49</v>
      </c>
    </row>
    <row r="1536" spans="1:23" hidden="1">
      <c r="A1536" s="1">
        <v>9475240</v>
      </c>
      <c r="B1536" s="1" t="s">
        <v>1153</v>
      </c>
      <c r="C1536" t="s">
        <v>2928</v>
      </c>
      <c r="E1536" s="2">
        <v>2442000206001</v>
      </c>
      <c r="F1536" s="1" t="s">
        <v>29</v>
      </c>
      <c r="G1536" s="1" t="s">
        <v>53</v>
      </c>
      <c r="H1536" s="1" t="s">
        <v>1956</v>
      </c>
      <c r="I1536" s="1" t="s">
        <v>1957</v>
      </c>
      <c r="J1536" s="1" t="s">
        <v>33</v>
      </c>
      <c r="K1536" t="s">
        <v>34</v>
      </c>
      <c r="M1536" s="1" t="s">
        <v>35</v>
      </c>
      <c r="N1536" s="1">
        <v>42318949</v>
      </c>
      <c r="O1536" s="1" t="s">
        <v>36</v>
      </c>
      <c r="P1536" s="11" t="s">
        <v>3192</v>
      </c>
      <c r="R1536" s="1" t="s">
        <v>38</v>
      </c>
      <c r="T1536" s="1" t="s">
        <v>74</v>
      </c>
      <c r="U1536" s="11" t="s">
        <v>3041</v>
      </c>
      <c r="V1536" s="1" t="s">
        <v>41</v>
      </c>
      <c r="W1536" s="1" t="s">
        <v>42</v>
      </c>
    </row>
    <row r="1537" spans="1:23">
      <c r="A1537" s="1">
        <v>9475024</v>
      </c>
      <c r="B1537" s="1" t="s">
        <v>1153</v>
      </c>
      <c r="C1537" t="s">
        <v>3193</v>
      </c>
      <c r="D1537" s="2">
        <v>230027889</v>
      </c>
      <c r="E1537" s="2">
        <v>1108001400030</v>
      </c>
      <c r="F1537" s="1" t="s">
        <v>647</v>
      </c>
      <c r="G1537" s="1" t="s">
        <v>53</v>
      </c>
      <c r="H1537" s="1" t="s">
        <v>295</v>
      </c>
      <c r="I1537" s="1" t="s">
        <v>296</v>
      </c>
      <c r="J1537" s="1" t="s">
        <v>90</v>
      </c>
      <c r="K1537" t="s">
        <v>650</v>
      </c>
      <c r="M1537" s="1" t="s">
        <v>58</v>
      </c>
      <c r="N1537" s="1">
        <v>0</v>
      </c>
      <c r="O1537" s="1" t="s">
        <v>36</v>
      </c>
      <c r="P1537" s="11" t="s">
        <v>3194</v>
      </c>
      <c r="R1537" s="1">
        <v>4</v>
      </c>
      <c r="T1537" s="1" t="s">
        <v>646</v>
      </c>
      <c r="U1537" s="11" t="s">
        <v>1959</v>
      </c>
      <c r="V1537" s="1" t="s">
        <v>41</v>
      </c>
      <c r="W1537" s="1" t="s">
        <v>49</v>
      </c>
    </row>
    <row r="1538" spans="1:23">
      <c r="A1538" s="1">
        <v>9474970</v>
      </c>
      <c r="B1538" s="1" t="s">
        <v>1153</v>
      </c>
      <c r="C1538" t="s">
        <v>2930</v>
      </c>
      <c r="E1538" s="2">
        <v>2156000203000</v>
      </c>
      <c r="F1538" s="1" t="s">
        <v>454</v>
      </c>
      <c r="G1538" s="1" t="s">
        <v>53</v>
      </c>
      <c r="H1538" s="1" t="s">
        <v>278</v>
      </c>
      <c r="I1538" s="1" t="s">
        <v>279</v>
      </c>
      <c r="J1538" s="1" t="s">
        <v>211</v>
      </c>
      <c r="K1538" t="s">
        <v>457</v>
      </c>
      <c r="M1538" s="1" t="s">
        <v>58</v>
      </c>
      <c r="N1538" s="1">
        <v>0</v>
      </c>
      <c r="O1538" s="1" t="s">
        <v>36</v>
      </c>
      <c r="P1538" s="11" t="s">
        <v>3195</v>
      </c>
      <c r="R1538" s="1">
        <v>1</v>
      </c>
      <c r="T1538" s="1" t="s">
        <v>157</v>
      </c>
      <c r="U1538" s="11" t="s">
        <v>3196</v>
      </c>
      <c r="V1538" s="1" t="s">
        <v>41</v>
      </c>
      <c r="W1538" s="1" t="s">
        <v>49</v>
      </c>
    </row>
    <row r="1539" spans="1:23">
      <c r="A1539" s="1">
        <v>9474759</v>
      </c>
      <c r="B1539" s="1" t="s">
        <v>1153</v>
      </c>
      <c r="C1539" t="s">
        <v>3197</v>
      </c>
      <c r="D1539" s="2">
        <v>230027818</v>
      </c>
      <c r="E1539" s="2">
        <v>2304001400010</v>
      </c>
      <c r="F1539" s="1" t="s">
        <v>936</v>
      </c>
      <c r="G1539" s="1" t="s">
        <v>53</v>
      </c>
      <c r="H1539" s="1" t="s">
        <v>2711</v>
      </c>
      <c r="I1539" s="1" t="s">
        <v>2712</v>
      </c>
      <c r="J1539" s="1" t="s">
        <v>85</v>
      </c>
      <c r="K1539" t="s">
        <v>937</v>
      </c>
      <c r="M1539" s="1" t="s">
        <v>58</v>
      </c>
      <c r="N1539" s="1">
        <v>0</v>
      </c>
      <c r="O1539" s="1" t="s">
        <v>36</v>
      </c>
      <c r="P1539" s="11" t="s">
        <v>2934</v>
      </c>
      <c r="R1539" s="1">
        <v>3</v>
      </c>
      <c r="T1539" s="1" t="s">
        <v>646</v>
      </c>
      <c r="U1539" s="11" t="s">
        <v>2516</v>
      </c>
      <c r="V1539" s="1" t="s">
        <v>41</v>
      </c>
      <c r="W1539" s="1" t="s">
        <v>49</v>
      </c>
    </row>
    <row r="1540" spans="1:23" hidden="1">
      <c r="A1540" s="1">
        <v>9474736</v>
      </c>
      <c r="B1540" s="1" t="s">
        <v>1153</v>
      </c>
      <c r="C1540" t="s">
        <v>2935</v>
      </c>
      <c r="E1540" s="2">
        <v>1902016281100</v>
      </c>
      <c r="F1540" s="1" t="s">
        <v>64</v>
      </c>
      <c r="G1540" s="1" t="s">
        <v>53</v>
      </c>
      <c r="H1540" s="1" t="s">
        <v>44</v>
      </c>
      <c r="I1540" s="1" t="s">
        <v>45</v>
      </c>
      <c r="J1540" s="1" t="s">
        <v>46</v>
      </c>
      <c r="K1540" t="s">
        <v>67</v>
      </c>
      <c r="M1540" s="1" t="s">
        <v>35</v>
      </c>
      <c r="N1540" s="1">
        <v>42318949</v>
      </c>
      <c r="O1540" s="1" t="s">
        <v>36</v>
      </c>
      <c r="P1540" s="11" t="s">
        <v>2936</v>
      </c>
      <c r="R1540" s="1" t="s">
        <v>2937</v>
      </c>
      <c r="T1540" s="1" t="s">
        <v>69</v>
      </c>
      <c r="U1540" s="11" t="s">
        <v>2938</v>
      </c>
      <c r="V1540" s="1" t="s">
        <v>41</v>
      </c>
      <c r="W1540" s="1" t="s">
        <v>49</v>
      </c>
    </row>
    <row r="1541" spans="1:23" hidden="1">
      <c r="A1541" s="1">
        <v>9474659</v>
      </c>
      <c r="B1541" s="1" t="s">
        <v>1153</v>
      </c>
      <c r="C1541" t="s">
        <v>2940</v>
      </c>
      <c r="D1541" s="2">
        <v>20234804001543</v>
      </c>
      <c r="E1541" s="2">
        <v>7417183022672</v>
      </c>
      <c r="F1541" s="1" t="s">
        <v>1313</v>
      </c>
      <c r="G1541" s="1" t="s">
        <v>53</v>
      </c>
      <c r="H1541" s="1" t="s">
        <v>2941</v>
      </c>
      <c r="I1541" s="1" t="s">
        <v>2942</v>
      </c>
      <c r="J1541" s="1" t="s">
        <v>46</v>
      </c>
      <c r="K1541" t="s">
        <v>1316</v>
      </c>
      <c r="M1541" s="1" t="s">
        <v>58</v>
      </c>
      <c r="N1541" s="1">
        <v>0</v>
      </c>
      <c r="O1541" s="1" t="s">
        <v>36</v>
      </c>
      <c r="P1541" s="11" t="s">
        <v>2943</v>
      </c>
      <c r="R1541" s="1">
        <v>13</v>
      </c>
      <c r="S1541" s="1">
        <v>4804</v>
      </c>
      <c r="T1541" s="1" t="s">
        <v>238</v>
      </c>
      <c r="U1541" s="11" t="s">
        <v>2944</v>
      </c>
      <c r="V1541" s="1" t="s">
        <v>41</v>
      </c>
      <c r="W1541" s="1" t="s">
        <v>49</v>
      </c>
    </row>
    <row r="1542" spans="1:23">
      <c r="A1542" s="1">
        <v>9472544</v>
      </c>
      <c r="B1542" s="1" t="s">
        <v>1153</v>
      </c>
      <c r="C1542" t="s">
        <v>2945</v>
      </c>
      <c r="E1542" s="2">
        <v>2156000206001</v>
      </c>
      <c r="F1542" s="1" t="s">
        <v>29</v>
      </c>
      <c r="G1542" s="1" t="s">
        <v>53</v>
      </c>
      <c r="H1542" s="1" t="s">
        <v>278</v>
      </c>
      <c r="I1542" s="1" t="s">
        <v>279</v>
      </c>
      <c r="J1542" s="1" t="s">
        <v>211</v>
      </c>
      <c r="K1542" t="s">
        <v>34</v>
      </c>
      <c r="M1542" s="1" t="s">
        <v>35</v>
      </c>
      <c r="N1542" s="1">
        <v>42318949</v>
      </c>
      <c r="O1542" s="1" t="s">
        <v>36</v>
      </c>
      <c r="P1542" s="11" t="s">
        <v>2946</v>
      </c>
      <c r="R1542" s="1" t="s">
        <v>38</v>
      </c>
      <c r="T1542" s="1" t="s">
        <v>74</v>
      </c>
      <c r="U1542" s="11" t="s">
        <v>2615</v>
      </c>
      <c r="V1542" s="1" t="s">
        <v>41</v>
      </c>
      <c r="W1542" s="1" t="s">
        <v>49</v>
      </c>
    </row>
    <row r="1543" spans="1:23">
      <c r="A1543" s="1">
        <v>9472509</v>
      </c>
      <c r="B1543" s="1" t="s">
        <v>1153</v>
      </c>
      <c r="C1543" t="s">
        <v>2947</v>
      </c>
      <c r="E1543" s="2">
        <v>570000206001</v>
      </c>
      <c r="F1543" s="1" t="s">
        <v>29</v>
      </c>
      <c r="G1543" s="1" t="s">
        <v>53</v>
      </c>
      <c r="H1543" s="1" t="s">
        <v>434</v>
      </c>
      <c r="I1543" s="1" t="s">
        <v>435</v>
      </c>
      <c r="J1543" s="1" t="s">
        <v>148</v>
      </c>
      <c r="K1543" t="s">
        <v>34</v>
      </c>
      <c r="M1543" s="1" t="s">
        <v>35</v>
      </c>
      <c r="N1543" s="1">
        <v>42318949</v>
      </c>
      <c r="O1543" s="1" t="s">
        <v>36</v>
      </c>
      <c r="P1543" s="11" t="s">
        <v>2948</v>
      </c>
      <c r="R1543" s="1" t="s">
        <v>38</v>
      </c>
      <c r="T1543" s="1" t="s">
        <v>74</v>
      </c>
      <c r="U1543" s="11" t="s">
        <v>2949</v>
      </c>
      <c r="V1543" s="1" t="s">
        <v>41</v>
      </c>
      <c r="W1543" s="1" t="s">
        <v>49</v>
      </c>
    </row>
    <row r="1544" spans="1:23" hidden="1">
      <c r="A1544" s="1">
        <v>9471869</v>
      </c>
      <c r="B1544" s="1" t="s">
        <v>1153</v>
      </c>
      <c r="C1544" t="s">
        <v>2950</v>
      </c>
      <c r="E1544" s="2">
        <v>244000206001</v>
      </c>
      <c r="F1544" s="1" t="s">
        <v>29</v>
      </c>
      <c r="G1544" s="1" t="s">
        <v>53</v>
      </c>
      <c r="H1544" s="1" t="s">
        <v>313</v>
      </c>
      <c r="I1544" s="1" t="s">
        <v>314</v>
      </c>
      <c r="J1544" s="1" t="s">
        <v>56</v>
      </c>
      <c r="K1544" t="s">
        <v>34</v>
      </c>
      <c r="M1544" s="1" t="s">
        <v>35</v>
      </c>
      <c r="N1544" s="1">
        <v>42318949</v>
      </c>
      <c r="O1544" s="1" t="s">
        <v>36</v>
      </c>
      <c r="P1544" s="11" t="s">
        <v>3198</v>
      </c>
      <c r="R1544" s="1" t="s">
        <v>38</v>
      </c>
      <c r="T1544" s="1" t="s">
        <v>74</v>
      </c>
      <c r="U1544" s="11" t="s">
        <v>2516</v>
      </c>
      <c r="V1544" s="1" t="s">
        <v>41</v>
      </c>
      <c r="W1544" s="1" t="s">
        <v>49</v>
      </c>
    </row>
    <row r="1545" spans="1:23" hidden="1">
      <c r="A1545" s="1">
        <v>9471786</v>
      </c>
      <c r="B1545" s="1" t="s">
        <v>1153</v>
      </c>
      <c r="C1545" t="s">
        <v>2955</v>
      </c>
      <c r="E1545" s="2">
        <v>3504000206001</v>
      </c>
      <c r="F1545" s="1" t="s">
        <v>29</v>
      </c>
      <c r="G1545" s="1" t="s">
        <v>53</v>
      </c>
      <c r="H1545" s="1" t="s">
        <v>585</v>
      </c>
      <c r="I1545" s="1" t="s">
        <v>586</v>
      </c>
      <c r="J1545" s="1" t="s">
        <v>46</v>
      </c>
      <c r="K1545" t="s">
        <v>34</v>
      </c>
      <c r="M1545" s="1" t="s">
        <v>35</v>
      </c>
      <c r="N1545" s="1">
        <v>42318949</v>
      </c>
      <c r="O1545" s="1" t="s">
        <v>36</v>
      </c>
      <c r="P1545" s="11" t="s">
        <v>3199</v>
      </c>
      <c r="R1545" s="1" t="s">
        <v>38</v>
      </c>
      <c r="T1545" s="1" t="s">
        <v>74</v>
      </c>
      <c r="U1545" s="11" t="s">
        <v>2516</v>
      </c>
      <c r="V1545" s="1" t="s">
        <v>41</v>
      </c>
      <c r="W1545" s="1" t="s">
        <v>49</v>
      </c>
    </row>
    <row r="1546" spans="1:23" hidden="1">
      <c r="A1546" s="1">
        <v>9471778</v>
      </c>
      <c r="B1546" s="1" t="s">
        <v>1153</v>
      </c>
      <c r="C1546" t="s">
        <v>2956</v>
      </c>
      <c r="E1546" s="2">
        <v>4637000206001</v>
      </c>
      <c r="F1546" s="1" t="s">
        <v>29</v>
      </c>
      <c r="G1546" s="1" t="s">
        <v>53</v>
      </c>
      <c r="H1546" s="1" t="s">
        <v>848</v>
      </c>
      <c r="I1546" s="1" t="s">
        <v>849</v>
      </c>
      <c r="J1546" s="1" t="s">
        <v>79</v>
      </c>
      <c r="K1546" t="s">
        <v>34</v>
      </c>
      <c r="M1546" s="1" t="s">
        <v>35</v>
      </c>
      <c r="N1546" s="1">
        <v>42318949</v>
      </c>
      <c r="O1546" s="1" t="s">
        <v>36</v>
      </c>
      <c r="P1546" s="11" t="s">
        <v>3200</v>
      </c>
      <c r="R1546" s="1" t="s">
        <v>38</v>
      </c>
      <c r="T1546" s="1" t="s">
        <v>74</v>
      </c>
      <c r="U1546" s="11" t="s">
        <v>2612</v>
      </c>
      <c r="V1546" s="1" t="s">
        <v>41</v>
      </c>
      <c r="W1546" s="1" t="s">
        <v>49</v>
      </c>
    </row>
    <row r="1547" spans="1:23" hidden="1">
      <c r="A1547" s="1">
        <v>9471628</v>
      </c>
      <c r="B1547" s="1" t="s">
        <v>1153</v>
      </c>
      <c r="C1547" t="s">
        <v>2960</v>
      </c>
      <c r="E1547" s="2">
        <v>5742000206001</v>
      </c>
      <c r="F1547" s="1" t="s">
        <v>29</v>
      </c>
      <c r="G1547" s="1" t="s">
        <v>53</v>
      </c>
      <c r="H1547" s="1" t="s">
        <v>430</v>
      </c>
      <c r="I1547" s="1" t="s">
        <v>431</v>
      </c>
      <c r="J1547" s="1" t="s">
        <v>79</v>
      </c>
      <c r="K1547" t="s">
        <v>34</v>
      </c>
      <c r="M1547" s="1" t="s">
        <v>35</v>
      </c>
      <c r="N1547" s="1">
        <v>42318949</v>
      </c>
      <c r="O1547" s="1" t="s">
        <v>36</v>
      </c>
      <c r="P1547" s="11" t="s">
        <v>3201</v>
      </c>
      <c r="R1547" s="1" t="s">
        <v>38</v>
      </c>
      <c r="T1547" s="1" t="s">
        <v>74</v>
      </c>
      <c r="U1547" s="11" t="s">
        <v>2612</v>
      </c>
      <c r="V1547" s="1" t="s">
        <v>41</v>
      </c>
      <c r="W1547" s="1" t="s">
        <v>49</v>
      </c>
    </row>
    <row r="1548" spans="1:23" hidden="1">
      <c r="A1548" s="1">
        <v>9471624</v>
      </c>
      <c r="B1548" s="1" t="s">
        <v>1153</v>
      </c>
      <c r="C1548" t="s">
        <v>2961</v>
      </c>
      <c r="E1548" s="2">
        <v>2138000206001</v>
      </c>
      <c r="F1548" s="1" t="s">
        <v>29</v>
      </c>
      <c r="G1548" s="1" t="s">
        <v>53</v>
      </c>
      <c r="H1548" s="1" t="s">
        <v>379</v>
      </c>
      <c r="I1548" s="1" t="s">
        <v>380</v>
      </c>
      <c r="J1548" s="1" t="s">
        <v>46</v>
      </c>
      <c r="K1548" t="s">
        <v>34</v>
      </c>
      <c r="M1548" s="1" t="s">
        <v>35</v>
      </c>
      <c r="N1548" s="1">
        <v>42318949</v>
      </c>
      <c r="O1548" s="1" t="s">
        <v>36</v>
      </c>
      <c r="P1548" s="11" t="s">
        <v>3202</v>
      </c>
      <c r="R1548" s="1" t="s">
        <v>38</v>
      </c>
      <c r="T1548" s="1" t="s">
        <v>74</v>
      </c>
      <c r="U1548" s="11" t="s">
        <v>2516</v>
      </c>
      <c r="V1548" s="1" t="s">
        <v>41</v>
      </c>
      <c r="W1548" s="1" t="s">
        <v>49</v>
      </c>
    </row>
    <row r="1549" spans="1:23" hidden="1">
      <c r="A1549" s="1">
        <v>9471572</v>
      </c>
      <c r="B1549" s="1" t="s">
        <v>1153</v>
      </c>
      <c r="C1549" t="s">
        <v>2962</v>
      </c>
      <c r="E1549" s="2">
        <v>5740000206001</v>
      </c>
      <c r="F1549" s="1" t="s">
        <v>29</v>
      </c>
      <c r="G1549" s="1" t="s">
        <v>53</v>
      </c>
      <c r="H1549" s="1" t="s">
        <v>626</v>
      </c>
      <c r="I1549" s="1" t="s">
        <v>627</v>
      </c>
      <c r="J1549" s="1" t="s">
        <v>46</v>
      </c>
      <c r="K1549" t="s">
        <v>34</v>
      </c>
      <c r="M1549" s="1" t="s">
        <v>35</v>
      </c>
      <c r="N1549" s="1">
        <v>42318949</v>
      </c>
      <c r="O1549" s="1" t="s">
        <v>36</v>
      </c>
      <c r="P1549" s="11" t="s">
        <v>3203</v>
      </c>
      <c r="R1549" s="1" t="s">
        <v>38</v>
      </c>
      <c r="T1549" s="1" t="s">
        <v>74</v>
      </c>
      <c r="U1549" s="11" t="s">
        <v>2516</v>
      </c>
      <c r="V1549" s="1" t="s">
        <v>41</v>
      </c>
      <c r="W1549" s="1" t="s">
        <v>49</v>
      </c>
    </row>
    <row r="1550" spans="1:23">
      <c r="A1550" s="1">
        <v>9471530</v>
      </c>
      <c r="B1550" s="1" t="s">
        <v>1153</v>
      </c>
      <c r="C1550" t="s">
        <v>2963</v>
      </c>
      <c r="E1550" s="2">
        <v>2683000206001</v>
      </c>
      <c r="F1550" s="1" t="s">
        <v>29</v>
      </c>
      <c r="G1550" s="1" t="s">
        <v>53</v>
      </c>
      <c r="H1550" s="1" t="s">
        <v>276</v>
      </c>
      <c r="I1550" s="1" t="s">
        <v>277</v>
      </c>
      <c r="J1550" s="1" t="s">
        <v>90</v>
      </c>
      <c r="K1550" t="s">
        <v>34</v>
      </c>
      <c r="M1550" s="1" t="s">
        <v>35</v>
      </c>
      <c r="N1550" s="1">
        <v>42318949</v>
      </c>
      <c r="O1550" s="1" t="s">
        <v>36</v>
      </c>
      <c r="P1550" s="11" t="s">
        <v>3204</v>
      </c>
      <c r="R1550" s="1" t="s">
        <v>38</v>
      </c>
      <c r="T1550" s="1" t="s">
        <v>74</v>
      </c>
      <c r="U1550" s="11" t="s">
        <v>2615</v>
      </c>
      <c r="V1550" s="1" t="s">
        <v>41</v>
      </c>
      <c r="W1550" s="1" t="s">
        <v>49</v>
      </c>
    </row>
    <row r="1551" spans="1:23">
      <c r="A1551" s="1">
        <v>9471374</v>
      </c>
      <c r="B1551" s="1" t="s">
        <v>1153</v>
      </c>
      <c r="C1551" t="s">
        <v>2966</v>
      </c>
      <c r="E1551" s="2">
        <v>1069000203000</v>
      </c>
      <c r="F1551" s="1" t="s">
        <v>454</v>
      </c>
      <c r="G1551" s="1" t="s">
        <v>53</v>
      </c>
      <c r="H1551" s="1" t="s">
        <v>353</v>
      </c>
      <c r="I1551" s="1" t="s">
        <v>354</v>
      </c>
      <c r="J1551" s="1" t="s">
        <v>211</v>
      </c>
      <c r="K1551" t="s">
        <v>457</v>
      </c>
      <c r="M1551" s="1" t="s">
        <v>58</v>
      </c>
      <c r="N1551" s="1">
        <v>0</v>
      </c>
      <c r="O1551" s="1" t="s">
        <v>36</v>
      </c>
      <c r="P1551" s="11" t="s">
        <v>2968</v>
      </c>
      <c r="R1551" s="1">
        <v>1</v>
      </c>
      <c r="T1551" s="1" t="s">
        <v>157</v>
      </c>
      <c r="U1551" s="186">
        <v>44970.417604166665</v>
      </c>
      <c r="V1551" s="1" t="s">
        <v>41</v>
      </c>
      <c r="W1551" s="1" t="s">
        <v>49</v>
      </c>
    </row>
    <row r="1552" spans="1:23" hidden="1">
      <c r="A1552" s="1">
        <v>9471370</v>
      </c>
      <c r="B1552" s="1" t="s">
        <v>1153</v>
      </c>
      <c r="C1552" t="s">
        <v>2966</v>
      </c>
      <c r="E1552" s="2">
        <v>1049000203000</v>
      </c>
      <c r="F1552" s="1" t="s">
        <v>454</v>
      </c>
      <c r="G1552" s="1" t="s">
        <v>53</v>
      </c>
      <c r="H1552" s="1" t="s">
        <v>169</v>
      </c>
      <c r="I1552" s="1" t="s">
        <v>170</v>
      </c>
      <c r="J1552" s="1" t="s">
        <v>164</v>
      </c>
      <c r="K1552" t="s">
        <v>457</v>
      </c>
      <c r="M1552" s="1" t="s">
        <v>58</v>
      </c>
      <c r="N1552" s="1">
        <v>0</v>
      </c>
      <c r="O1552" s="1" t="s">
        <v>36</v>
      </c>
      <c r="P1552" s="11" t="s">
        <v>2970</v>
      </c>
      <c r="R1552" s="1">
        <v>1</v>
      </c>
      <c r="T1552" s="1" t="s">
        <v>157</v>
      </c>
      <c r="U1552" s="11" t="s">
        <v>2971</v>
      </c>
      <c r="V1552" s="1" t="s">
        <v>41</v>
      </c>
      <c r="W1552" s="1" t="s">
        <v>49</v>
      </c>
    </row>
    <row r="1553" spans="1:23" hidden="1">
      <c r="A1553" s="1">
        <v>9471368</v>
      </c>
      <c r="B1553" s="1" t="s">
        <v>1153</v>
      </c>
      <c r="C1553" t="s">
        <v>2966</v>
      </c>
      <c r="E1553" s="2">
        <v>1011000203000</v>
      </c>
      <c r="F1553" s="1" t="s">
        <v>454</v>
      </c>
      <c r="G1553" s="1" t="s">
        <v>53</v>
      </c>
      <c r="H1553" s="1" t="s">
        <v>272</v>
      </c>
      <c r="I1553" s="1" t="s">
        <v>273</v>
      </c>
      <c r="J1553" s="1" t="s">
        <v>33</v>
      </c>
      <c r="K1553" t="s">
        <v>457</v>
      </c>
      <c r="M1553" s="1" t="s">
        <v>58</v>
      </c>
      <c r="N1553" s="1">
        <v>0</v>
      </c>
      <c r="O1553" s="1" t="s">
        <v>36</v>
      </c>
      <c r="P1553" s="11" t="s">
        <v>2972</v>
      </c>
      <c r="R1553" s="1">
        <v>1</v>
      </c>
      <c r="T1553" s="1" t="s">
        <v>157</v>
      </c>
      <c r="U1553" s="11" t="s">
        <v>2973</v>
      </c>
      <c r="V1553" s="1" t="s">
        <v>41</v>
      </c>
      <c r="W1553" s="1" t="s">
        <v>49</v>
      </c>
    </row>
    <row r="1554" spans="1:23">
      <c r="A1554" s="1">
        <v>9471333</v>
      </c>
      <c r="B1554" s="1" t="s">
        <v>1153</v>
      </c>
      <c r="C1554" t="s">
        <v>2966</v>
      </c>
      <c r="E1554" s="2">
        <v>68000203000</v>
      </c>
      <c r="F1554" s="1" t="s">
        <v>454</v>
      </c>
      <c r="G1554" s="1" t="s">
        <v>53</v>
      </c>
      <c r="H1554" s="1" t="s">
        <v>1330</v>
      </c>
      <c r="I1554" s="1" t="s">
        <v>1331</v>
      </c>
      <c r="J1554" s="1" t="s">
        <v>211</v>
      </c>
      <c r="K1554" t="s">
        <v>457</v>
      </c>
      <c r="M1554" s="1" t="s">
        <v>58</v>
      </c>
      <c r="N1554" s="1">
        <v>0</v>
      </c>
      <c r="O1554" s="1" t="s">
        <v>36</v>
      </c>
      <c r="P1554" s="11" t="s">
        <v>2975</v>
      </c>
      <c r="R1554" s="1">
        <v>1</v>
      </c>
      <c r="T1554" s="1" t="s">
        <v>157</v>
      </c>
      <c r="U1554" s="11" t="s">
        <v>2976</v>
      </c>
      <c r="V1554" s="1" t="s">
        <v>41</v>
      </c>
      <c r="W1554" s="1" t="s">
        <v>49</v>
      </c>
    </row>
    <row r="1555" spans="1:23" hidden="1">
      <c r="A1555" s="1">
        <v>9471332</v>
      </c>
      <c r="B1555" s="1" t="s">
        <v>1153</v>
      </c>
      <c r="C1555" t="s">
        <v>2966</v>
      </c>
      <c r="E1555" s="2">
        <v>7740203000</v>
      </c>
      <c r="F1555" s="1" t="s">
        <v>454</v>
      </c>
      <c r="G1555" s="1" t="s">
        <v>53</v>
      </c>
      <c r="H1555" s="1" t="s">
        <v>187</v>
      </c>
      <c r="I1555" s="1" t="s">
        <v>188</v>
      </c>
      <c r="J1555" s="1" t="s">
        <v>46</v>
      </c>
      <c r="K1555" t="s">
        <v>457</v>
      </c>
      <c r="M1555" s="1" t="s">
        <v>58</v>
      </c>
      <c r="N1555" s="1">
        <v>0</v>
      </c>
      <c r="O1555" s="1" t="s">
        <v>36</v>
      </c>
      <c r="P1555" s="11" t="s">
        <v>2977</v>
      </c>
      <c r="R1555" s="1">
        <v>1</v>
      </c>
      <c r="T1555" s="1" t="s">
        <v>157</v>
      </c>
      <c r="U1555" s="11" t="s">
        <v>2978</v>
      </c>
      <c r="V1555" s="1" t="s">
        <v>41</v>
      </c>
      <c r="W1555" s="1" t="s">
        <v>49</v>
      </c>
    </row>
    <row r="1556" spans="1:23">
      <c r="A1556" s="1">
        <v>9471313</v>
      </c>
      <c r="B1556" s="1" t="s">
        <v>1153</v>
      </c>
      <c r="C1556" t="s">
        <v>2979</v>
      </c>
      <c r="E1556" s="2">
        <v>981000206001</v>
      </c>
      <c r="F1556" s="1" t="s">
        <v>29</v>
      </c>
      <c r="G1556" s="1" t="s">
        <v>53</v>
      </c>
      <c r="H1556" s="1" t="s">
        <v>410</v>
      </c>
      <c r="I1556" s="1" t="s">
        <v>411</v>
      </c>
      <c r="J1556" s="1" t="s">
        <v>85</v>
      </c>
      <c r="K1556" t="s">
        <v>34</v>
      </c>
      <c r="M1556" s="1" t="s">
        <v>35</v>
      </c>
      <c r="N1556" s="1">
        <v>42318949</v>
      </c>
      <c r="O1556" s="1" t="s">
        <v>36</v>
      </c>
      <c r="P1556" s="11" t="s">
        <v>2980</v>
      </c>
      <c r="R1556" s="1" t="s">
        <v>38</v>
      </c>
      <c r="T1556" s="1" t="s">
        <v>74</v>
      </c>
      <c r="U1556" s="186">
        <v>44973.625</v>
      </c>
      <c r="V1556" s="1" t="s">
        <v>41</v>
      </c>
      <c r="W1556" s="1" t="s">
        <v>49</v>
      </c>
    </row>
    <row r="1557" spans="1:23" hidden="1">
      <c r="A1557" s="1">
        <v>9471187</v>
      </c>
      <c r="B1557" s="1" t="s">
        <v>1153</v>
      </c>
      <c r="C1557" t="s">
        <v>2981</v>
      </c>
      <c r="E1557" s="2">
        <v>1185000203000</v>
      </c>
      <c r="F1557" s="1" t="s">
        <v>454</v>
      </c>
      <c r="G1557" s="1" t="s">
        <v>53</v>
      </c>
      <c r="H1557" s="1" t="s">
        <v>539</v>
      </c>
      <c r="I1557" s="1" t="s">
        <v>540</v>
      </c>
      <c r="J1557" s="1" t="s">
        <v>33</v>
      </c>
      <c r="K1557" t="s">
        <v>457</v>
      </c>
      <c r="M1557" s="1" t="s">
        <v>58</v>
      </c>
      <c r="N1557" s="1">
        <v>0</v>
      </c>
      <c r="O1557" s="1" t="s">
        <v>36</v>
      </c>
      <c r="P1557" s="11" t="s">
        <v>2982</v>
      </c>
      <c r="R1557" s="1">
        <v>1</v>
      </c>
      <c r="T1557" s="1" t="s">
        <v>157</v>
      </c>
      <c r="U1557" s="186">
        <v>44970.376111111109</v>
      </c>
      <c r="V1557" s="1" t="s">
        <v>41</v>
      </c>
      <c r="W1557" s="1" t="s">
        <v>42</v>
      </c>
    </row>
    <row r="1558" spans="1:23" hidden="1">
      <c r="A1558" s="1">
        <v>9483471</v>
      </c>
      <c r="B1558" s="1" t="s">
        <v>226</v>
      </c>
      <c r="C1558" t="s">
        <v>3205</v>
      </c>
      <c r="D1558" s="2">
        <v>230027215</v>
      </c>
      <c r="E1558" s="2">
        <v>550001400010</v>
      </c>
      <c r="F1558" s="1" t="s">
        <v>936</v>
      </c>
      <c r="G1558" s="1" t="s">
        <v>53</v>
      </c>
      <c r="H1558" s="1" t="s">
        <v>337</v>
      </c>
      <c r="I1558" s="1" t="s">
        <v>338</v>
      </c>
      <c r="J1558" s="1" t="s">
        <v>164</v>
      </c>
      <c r="K1558" t="s">
        <v>937</v>
      </c>
      <c r="M1558" s="1" t="s">
        <v>58</v>
      </c>
      <c r="N1558" s="1">
        <v>0</v>
      </c>
      <c r="O1558" s="1" t="s">
        <v>105</v>
      </c>
      <c r="P1558" s="11" t="s">
        <v>3206</v>
      </c>
      <c r="R1558" s="1">
        <v>3</v>
      </c>
      <c r="T1558" s="1" t="s">
        <v>646</v>
      </c>
      <c r="U1558" s="11"/>
      <c r="V1558" s="1" t="s">
        <v>41</v>
      </c>
      <c r="W1558" s="1" t="s">
        <v>49</v>
      </c>
    </row>
    <row r="1559" spans="1:23" hidden="1">
      <c r="A1559" s="1">
        <v>9483154</v>
      </c>
      <c r="B1559" s="1" t="s">
        <v>1153</v>
      </c>
      <c r="C1559" t="s">
        <v>3207</v>
      </c>
      <c r="D1559" s="2">
        <v>20234844000468</v>
      </c>
      <c r="E1559" s="2">
        <v>7417192423347</v>
      </c>
      <c r="F1559" s="1" t="s">
        <v>1727</v>
      </c>
      <c r="G1559" s="1" t="s">
        <v>53</v>
      </c>
      <c r="H1559" s="1" t="s">
        <v>841</v>
      </c>
      <c r="I1559" s="1" t="s">
        <v>842</v>
      </c>
      <c r="J1559" s="1" t="s">
        <v>46</v>
      </c>
      <c r="K1559" t="s">
        <v>1728</v>
      </c>
      <c r="M1559" s="1" t="s">
        <v>58</v>
      </c>
      <c r="N1559" s="1">
        <v>0</v>
      </c>
      <c r="O1559" s="1" t="s">
        <v>105</v>
      </c>
      <c r="P1559" s="11" t="s">
        <v>3208</v>
      </c>
      <c r="R1559" s="1">
        <v>22</v>
      </c>
      <c r="T1559" s="1" t="s">
        <v>1160</v>
      </c>
      <c r="U1559" s="186">
        <v>44974.577384259261</v>
      </c>
      <c r="V1559" s="1" t="s">
        <v>41</v>
      </c>
      <c r="W1559" s="1" t="s">
        <v>49</v>
      </c>
    </row>
    <row r="1560" spans="1:23" hidden="1">
      <c r="A1560" s="1">
        <v>9483064</v>
      </c>
      <c r="B1560" s="1" t="s">
        <v>1153</v>
      </c>
      <c r="C1560" t="s">
        <v>3209</v>
      </c>
      <c r="D1560" s="2">
        <v>20234844000467</v>
      </c>
      <c r="E1560" s="2">
        <v>7417161480619</v>
      </c>
      <c r="F1560" s="1" t="s">
        <v>1979</v>
      </c>
      <c r="G1560" s="1" t="s">
        <v>53</v>
      </c>
      <c r="H1560" s="1" t="s">
        <v>2883</v>
      </c>
      <c r="I1560" s="1" t="s">
        <v>2884</v>
      </c>
      <c r="J1560" s="1" t="s">
        <v>46</v>
      </c>
      <c r="K1560" t="s">
        <v>1982</v>
      </c>
      <c r="M1560" s="1" t="s">
        <v>58</v>
      </c>
      <c r="N1560" s="1">
        <v>0</v>
      </c>
      <c r="O1560" s="1" t="s">
        <v>105</v>
      </c>
      <c r="P1560" s="11" t="s">
        <v>3210</v>
      </c>
      <c r="R1560" s="1">
        <v>13</v>
      </c>
      <c r="T1560" s="1" t="s">
        <v>238</v>
      </c>
      <c r="U1560" s="186">
        <v>44972.395833333336</v>
      </c>
      <c r="V1560" s="1" t="s">
        <v>41</v>
      </c>
      <c r="W1560" s="1" t="s">
        <v>49</v>
      </c>
    </row>
    <row r="1561" spans="1:23">
      <c r="A1561" s="1">
        <v>9483056</v>
      </c>
      <c r="B1561" s="1" t="s">
        <v>62</v>
      </c>
      <c r="C1561" t="s">
        <v>3211</v>
      </c>
      <c r="E1561" s="2">
        <v>68000203000</v>
      </c>
      <c r="F1561" s="1" t="s">
        <v>454</v>
      </c>
      <c r="G1561" s="1" t="s">
        <v>53</v>
      </c>
      <c r="H1561" s="1" t="s">
        <v>1330</v>
      </c>
      <c r="I1561" s="1" t="s">
        <v>1331</v>
      </c>
      <c r="J1561" s="1" t="s">
        <v>211</v>
      </c>
      <c r="K1561" t="s">
        <v>457</v>
      </c>
      <c r="M1561" s="1" t="s">
        <v>58</v>
      </c>
      <c r="N1561" s="1">
        <v>0</v>
      </c>
      <c r="O1561" s="1" t="s">
        <v>105</v>
      </c>
      <c r="P1561" s="11" t="s">
        <v>3212</v>
      </c>
      <c r="R1561" s="1">
        <v>1</v>
      </c>
      <c r="T1561" s="1" t="s">
        <v>157</v>
      </c>
      <c r="U1561" s="186">
        <v>45007.75</v>
      </c>
      <c r="V1561" s="1" t="s">
        <v>41</v>
      </c>
      <c r="W1561" s="1" t="s">
        <v>49</v>
      </c>
    </row>
    <row r="1562" spans="1:23">
      <c r="A1562" s="1">
        <v>9483038</v>
      </c>
      <c r="B1562" s="1" t="s">
        <v>1153</v>
      </c>
      <c r="C1562" t="s">
        <v>3213</v>
      </c>
      <c r="E1562" s="2">
        <v>1061000203000</v>
      </c>
      <c r="F1562" s="1" t="s">
        <v>454</v>
      </c>
      <c r="G1562" s="1" t="s">
        <v>53</v>
      </c>
      <c r="H1562" s="1" t="s">
        <v>166</v>
      </c>
      <c r="I1562" s="1" t="s">
        <v>167</v>
      </c>
      <c r="J1562" s="1" t="s">
        <v>85</v>
      </c>
      <c r="K1562" t="s">
        <v>457</v>
      </c>
      <c r="M1562" s="1" t="s">
        <v>58</v>
      </c>
      <c r="N1562" s="1">
        <v>0</v>
      </c>
      <c r="O1562" s="1" t="s">
        <v>36</v>
      </c>
      <c r="P1562" s="11" t="s">
        <v>3214</v>
      </c>
      <c r="R1562" s="1">
        <v>1</v>
      </c>
      <c r="T1562" s="1" t="s">
        <v>157</v>
      </c>
      <c r="U1562" s="186">
        <v>44972.729756944442</v>
      </c>
      <c r="V1562" s="1" t="s">
        <v>41</v>
      </c>
      <c r="W1562" s="1" t="s">
        <v>49</v>
      </c>
    </row>
    <row r="1563" spans="1:23" hidden="1">
      <c r="A1563" s="1">
        <v>9483036</v>
      </c>
      <c r="B1563" s="1" t="s">
        <v>1153</v>
      </c>
      <c r="C1563" t="s">
        <v>3215</v>
      </c>
      <c r="E1563" s="2">
        <v>2219000206001</v>
      </c>
      <c r="F1563" s="1" t="s">
        <v>29</v>
      </c>
      <c r="G1563" s="1" t="s">
        <v>53</v>
      </c>
      <c r="H1563" s="1" t="s">
        <v>893</v>
      </c>
      <c r="I1563" s="1" t="s">
        <v>894</v>
      </c>
      <c r="J1563" s="1" t="s">
        <v>141</v>
      </c>
      <c r="K1563" t="s">
        <v>34</v>
      </c>
      <c r="M1563" s="1" t="s">
        <v>35</v>
      </c>
      <c r="N1563" s="1">
        <v>42318949</v>
      </c>
      <c r="O1563" s="1" t="s">
        <v>36</v>
      </c>
      <c r="P1563" s="11" t="s">
        <v>3216</v>
      </c>
      <c r="R1563" s="1" t="s">
        <v>38</v>
      </c>
      <c r="T1563" s="1" t="s">
        <v>74</v>
      </c>
      <c r="U1563" s="186">
        <v>44985.708333333336</v>
      </c>
      <c r="V1563" s="1" t="s">
        <v>41</v>
      </c>
      <c r="W1563" s="1" t="s">
        <v>49</v>
      </c>
    </row>
    <row r="1564" spans="1:23" hidden="1">
      <c r="A1564" s="1">
        <v>9482926</v>
      </c>
      <c r="B1564" s="1" t="s">
        <v>1153</v>
      </c>
      <c r="C1564" t="s">
        <v>3217</v>
      </c>
      <c r="D1564" s="2">
        <v>20234844000466</v>
      </c>
      <c r="E1564" s="2">
        <v>7419143322534</v>
      </c>
      <c r="F1564" s="1" t="s">
        <v>1222</v>
      </c>
      <c r="G1564" s="1" t="s">
        <v>53</v>
      </c>
      <c r="H1564" s="1" t="s">
        <v>2821</v>
      </c>
      <c r="I1564" s="1" t="s">
        <v>2822</v>
      </c>
      <c r="J1564" s="1" t="s">
        <v>46</v>
      </c>
      <c r="K1564" t="s">
        <v>1223</v>
      </c>
      <c r="M1564" s="1" t="s">
        <v>58</v>
      </c>
      <c r="N1564" s="1">
        <v>0</v>
      </c>
      <c r="O1564" s="1" t="s">
        <v>105</v>
      </c>
      <c r="P1564" s="11" t="s">
        <v>3218</v>
      </c>
      <c r="R1564" s="1">
        <v>13</v>
      </c>
      <c r="T1564" s="1" t="s">
        <v>238</v>
      </c>
      <c r="U1564" s="186">
        <v>44971.699918981481</v>
      </c>
      <c r="V1564" s="1" t="s">
        <v>41</v>
      </c>
      <c r="W1564" s="1" t="s">
        <v>49</v>
      </c>
    </row>
    <row r="1565" spans="1:23" hidden="1">
      <c r="A1565" s="1">
        <v>9482851</v>
      </c>
      <c r="B1565" s="1" t="s">
        <v>1153</v>
      </c>
      <c r="C1565" t="s">
        <v>3219</v>
      </c>
      <c r="D1565" s="2">
        <v>20234844000465</v>
      </c>
      <c r="E1565" s="2">
        <v>7419141893532</v>
      </c>
      <c r="F1565" s="1" t="s">
        <v>128</v>
      </c>
      <c r="G1565" s="1" t="s">
        <v>53</v>
      </c>
      <c r="H1565" s="1" t="s">
        <v>2395</v>
      </c>
      <c r="I1565" s="1" t="s">
        <v>2396</v>
      </c>
      <c r="J1565" s="1" t="s">
        <v>46</v>
      </c>
      <c r="K1565" t="s">
        <v>129</v>
      </c>
      <c r="M1565" s="1" t="s">
        <v>58</v>
      </c>
      <c r="N1565" s="1">
        <v>0</v>
      </c>
      <c r="O1565" s="1" t="s">
        <v>105</v>
      </c>
      <c r="P1565" s="11" t="s">
        <v>3220</v>
      </c>
      <c r="R1565" s="1">
        <v>13</v>
      </c>
      <c r="T1565" s="1" t="s">
        <v>238</v>
      </c>
      <c r="U1565" s="186">
        <v>44971.687256944446</v>
      </c>
      <c r="V1565" s="1" t="s">
        <v>41</v>
      </c>
      <c r="W1565" s="1" t="s">
        <v>49</v>
      </c>
    </row>
    <row r="1566" spans="1:23" hidden="1">
      <c r="A1566" s="1">
        <v>9482824</v>
      </c>
      <c r="B1566" s="1" t="s">
        <v>1153</v>
      </c>
      <c r="C1566" t="s">
        <v>3221</v>
      </c>
      <c r="E1566" s="2">
        <v>3504000203000</v>
      </c>
      <c r="F1566" s="1" t="s">
        <v>454</v>
      </c>
      <c r="G1566" s="1" t="s">
        <v>53</v>
      </c>
      <c r="H1566" s="1" t="s">
        <v>585</v>
      </c>
      <c r="I1566" s="1" t="s">
        <v>586</v>
      </c>
      <c r="J1566" s="1" t="s">
        <v>46</v>
      </c>
      <c r="K1566" t="s">
        <v>457</v>
      </c>
      <c r="M1566" s="1" t="s">
        <v>58</v>
      </c>
      <c r="N1566" s="1">
        <v>0</v>
      </c>
      <c r="O1566" s="1" t="s">
        <v>36</v>
      </c>
      <c r="P1566" s="11" t="s">
        <v>3222</v>
      </c>
      <c r="R1566" s="1">
        <v>1</v>
      </c>
      <c r="T1566" s="1" t="s">
        <v>157</v>
      </c>
      <c r="U1566" s="186">
        <v>44972.698460648149</v>
      </c>
      <c r="V1566" s="1" t="s">
        <v>41</v>
      </c>
      <c r="W1566" s="1" t="s">
        <v>49</v>
      </c>
    </row>
    <row r="1567" spans="1:23" hidden="1">
      <c r="A1567" s="1">
        <v>9482775</v>
      </c>
      <c r="B1567" s="1" t="s">
        <v>1153</v>
      </c>
      <c r="C1567" t="s">
        <v>3223</v>
      </c>
      <c r="D1567" s="2">
        <v>20230711000015</v>
      </c>
      <c r="E1567" s="2">
        <v>7417211830257</v>
      </c>
      <c r="F1567" s="1" t="s">
        <v>1936</v>
      </c>
      <c r="G1567" s="1" t="s">
        <v>53</v>
      </c>
      <c r="H1567" s="1" t="s">
        <v>2858</v>
      </c>
      <c r="I1567" s="1" t="s">
        <v>2859</v>
      </c>
      <c r="J1567" s="1" t="s">
        <v>79</v>
      </c>
      <c r="K1567" t="s">
        <v>1939</v>
      </c>
      <c r="M1567" s="1" t="s">
        <v>58</v>
      </c>
      <c r="N1567" s="1">
        <v>0</v>
      </c>
      <c r="O1567" s="1" t="s">
        <v>105</v>
      </c>
      <c r="P1567" s="11" t="s">
        <v>3224</v>
      </c>
      <c r="R1567" s="1">
        <v>14</v>
      </c>
      <c r="T1567" s="1" t="s">
        <v>238</v>
      </c>
      <c r="U1567" s="186">
        <v>44971.676377314812</v>
      </c>
      <c r="V1567" s="1" t="s">
        <v>41</v>
      </c>
      <c r="W1567" s="1" t="s">
        <v>49</v>
      </c>
    </row>
    <row r="1568" spans="1:23" hidden="1">
      <c r="A1568" s="1">
        <v>9482660</v>
      </c>
      <c r="B1568" s="1" t="s">
        <v>1153</v>
      </c>
      <c r="C1568" t="s">
        <v>3225</v>
      </c>
      <c r="D1568" s="2">
        <v>20232219000013</v>
      </c>
      <c r="E1568" s="2">
        <v>7417202020217</v>
      </c>
      <c r="F1568" s="1" t="s">
        <v>1213</v>
      </c>
      <c r="G1568" s="1" t="s">
        <v>53</v>
      </c>
      <c r="H1568" s="1" t="s">
        <v>1980</v>
      </c>
      <c r="I1568" s="1" t="s">
        <v>1981</v>
      </c>
      <c r="J1568" s="1" t="s">
        <v>141</v>
      </c>
      <c r="K1568" t="s">
        <v>1214</v>
      </c>
      <c r="M1568" s="1" t="s">
        <v>58</v>
      </c>
      <c r="N1568" s="1">
        <v>0</v>
      </c>
      <c r="O1568" s="1" t="s">
        <v>105</v>
      </c>
      <c r="P1568" s="11" t="s">
        <v>3226</v>
      </c>
      <c r="R1568" s="1">
        <v>14</v>
      </c>
      <c r="T1568" s="1" t="s">
        <v>238</v>
      </c>
      <c r="U1568" s="186">
        <v>44971.656493055554</v>
      </c>
      <c r="V1568" s="1" t="s">
        <v>41</v>
      </c>
      <c r="W1568" s="1" t="s">
        <v>49</v>
      </c>
    </row>
    <row r="1569" spans="1:23" hidden="1">
      <c r="A1569" s="1">
        <v>9482649</v>
      </c>
      <c r="B1569" s="1" t="s">
        <v>1153</v>
      </c>
      <c r="C1569" t="s">
        <v>3227</v>
      </c>
      <c r="D1569" s="2">
        <v>20231012000005</v>
      </c>
      <c r="E1569" s="2">
        <v>7417202020693</v>
      </c>
      <c r="F1569" s="1" t="s">
        <v>1213</v>
      </c>
      <c r="G1569" s="1" t="s">
        <v>53</v>
      </c>
      <c r="H1569" s="1" t="s">
        <v>2481</v>
      </c>
      <c r="I1569" s="1" t="s">
        <v>2482</v>
      </c>
      <c r="J1569" s="1" t="s">
        <v>164</v>
      </c>
      <c r="K1569" t="s">
        <v>1214</v>
      </c>
      <c r="M1569" s="1" t="s">
        <v>58</v>
      </c>
      <c r="N1569" s="1">
        <v>0</v>
      </c>
      <c r="O1569" s="1" t="s">
        <v>105</v>
      </c>
      <c r="P1569" s="11" t="s">
        <v>3228</v>
      </c>
      <c r="R1569" s="1">
        <v>15</v>
      </c>
      <c r="T1569" s="1" t="s">
        <v>238</v>
      </c>
      <c r="U1569" s="186">
        <v>44971.662743055553</v>
      </c>
      <c r="V1569" s="1" t="s">
        <v>41</v>
      </c>
      <c r="W1569" s="1" t="s">
        <v>49</v>
      </c>
    </row>
    <row r="1570" spans="1:23" hidden="1">
      <c r="A1570" s="1">
        <v>9482637</v>
      </c>
      <c r="B1570" s="1" t="s">
        <v>1153</v>
      </c>
      <c r="C1570" t="s">
        <v>3229</v>
      </c>
      <c r="D1570" s="2">
        <v>20234844000464</v>
      </c>
      <c r="E1570" s="2">
        <v>7417163283071</v>
      </c>
      <c r="F1570" s="1" t="s">
        <v>131</v>
      </c>
      <c r="G1570" s="1" t="s">
        <v>53</v>
      </c>
      <c r="H1570" s="1" t="s">
        <v>2395</v>
      </c>
      <c r="I1570" s="1" t="s">
        <v>2396</v>
      </c>
      <c r="J1570" s="1" t="s">
        <v>46</v>
      </c>
      <c r="K1570" t="s">
        <v>132</v>
      </c>
      <c r="M1570" s="1" t="s">
        <v>58</v>
      </c>
      <c r="N1570" s="1">
        <v>0</v>
      </c>
      <c r="O1570" s="1" t="s">
        <v>105</v>
      </c>
      <c r="P1570" s="11" t="s">
        <v>3230</v>
      </c>
      <c r="R1570" s="1">
        <v>13</v>
      </c>
      <c r="T1570" s="1" t="s">
        <v>238</v>
      </c>
      <c r="U1570" s="186">
        <v>44971.660925925928</v>
      </c>
      <c r="V1570" s="1" t="s">
        <v>41</v>
      </c>
      <c r="W1570" s="1" t="s">
        <v>49</v>
      </c>
    </row>
    <row r="1571" spans="1:23" hidden="1">
      <c r="A1571" s="1">
        <v>9482636</v>
      </c>
      <c r="B1571" s="1" t="s">
        <v>1153</v>
      </c>
      <c r="C1571" t="s">
        <v>3231</v>
      </c>
      <c r="D1571" s="2">
        <v>20234844000463</v>
      </c>
      <c r="E1571" s="2">
        <v>7417183020610</v>
      </c>
      <c r="F1571" s="1" t="s">
        <v>1313</v>
      </c>
      <c r="G1571" s="1" t="s">
        <v>53</v>
      </c>
      <c r="H1571" s="1" t="s">
        <v>2395</v>
      </c>
      <c r="I1571" s="1" t="s">
        <v>2396</v>
      </c>
      <c r="J1571" s="1" t="s">
        <v>46</v>
      </c>
      <c r="K1571" t="s">
        <v>1316</v>
      </c>
      <c r="M1571" s="1" t="s">
        <v>58</v>
      </c>
      <c r="N1571" s="1">
        <v>0</v>
      </c>
      <c r="O1571" s="1" t="s">
        <v>105</v>
      </c>
      <c r="P1571" s="11" t="s">
        <v>3232</v>
      </c>
      <c r="R1571" s="1">
        <v>13</v>
      </c>
      <c r="T1571" s="1" t="s">
        <v>238</v>
      </c>
      <c r="U1571" s="186">
        <v>44971.659872685188</v>
      </c>
      <c r="V1571" s="1" t="s">
        <v>41</v>
      </c>
      <c r="W1571" s="1" t="s">
        <v>49</v>
      </c>
    </row>
    <row r="1572" spans="1:23" hidden="1">
      <c r="A1572" s="1">
        <v>9482633</v>
      </c>
      <c r="B1572" s="1" t="s">
        <v>1153</v>
      </c>
      <c r="C1572" t="s">
        <v>3233</v>
      </c>
      <c r="D1572" s="2">
        <v>20231850000009</v>
      </c>
      <c r="E1572" s="2">
        <v>7417193050600</v>
      </c>
      <c r="F1572" s="1" t="s">
        <v>1719</v>
      </c>
      <c r="G1572" s="1" t="s">
        <v>53</v>
      </c>
      <c r="H1572" s="1" t="s">
        <v>1931</v>
      </c>
      <c r="I1572" s="1" t="s">
        <v>1932</v>
      </c>
      <c r="J1572" s="1" t="s">
        <v>46</v>
      </c>
      <c r="K1572" t="s">
        <v>1720</v>
      </c>
      <c r="M1572" s="1" t="s">
        <v>58</v>
      </c>
      <c r="N1572" s="1">
        <v>0</v>
      </c>
      <c r="O1572" s="1" t="s">
        <v>105</v>
      </c>
      <c r="P1572" s="11" t="s">
        <v>3234</v>
      </c>
      <c r="R1572" s="1">
        <v>22</v>
      </c>
      <c r="T1572" s="1" t="s">
        <v>1160</v>
      </c>
      <c r="U1572" s="186">
        <v>44974.492881944447</v>
      </c>
      <c r="V1572" s="1" t="s">
        <v>41</v>
      </c>
      <c r="W1572" s="1" t="s">
        <v>49</v>
      </c>
    </row>
    <row r="1573" spans="1:23" hidden="1">
      <c r="A1573" s="1">
        <v>9482555</v>
      </c>
      <c r="B1573" s="1" t="s">
        <v>1153</v>
      </c>
      <c r="C1573" t="s">
        <v>3235</v>
      </c>
      <c r="D1573" s="2">
        <v>20232326000009</v>
      </c>
      <c r="E1573" s="2">
        <v>7417183020153</v>
      </c>
      <c r="F1573" s="1" t="s">
        <v>1313</v>
      </c>
      <c r="G1573" s="1" t="s">
        <v>53</v>
      </c>
      <c r="H1573" s="1" t="s">
        <v>3236</v>
      </c>
      <c r="I1573" s="1" t="s">
        <v>3237</v>
      </c>
      <c r="J1573" s="1" t="s">
        <v>46</v>
      </c>
      <c r="K1573" t="s">
        <v>1316</v>
      </c>
      <c r="M1573" s="1" t="s">
        <v>58</v>
      </c>
      <c r="N1573" s="1">
        <v>0</v>
      </c>
      <c r="O1573" s="1" t="s">
        <v>105</v>
      </c>
      <c r="P1573" s="11" t="s">
        <v>3238</v>
      </c>
      <c r="R1573" s="1">
        <v>13</v>
      </c>
      <c r="T1573" s="1" t="s">
        <v>238</v>
      </c>
      <c r="U1573" s="186">
        <v>44971.641261574077</v>
      </c>
      <c r="V1573" s="1" t="s">
        <v>41</v>
      </c>
      <c r="W1573" s="1" t="s">
        <v>49</v>
      </c>
    </row>
    <row r="1574" spans="1:23" hidden="1">
      <c r="A1574" s="1">
        <v>9482499</v>
      </c>
      <c r="B1574" s="1" t="s">
        <v>1153</v>
      </c>
      <c r="C1574" t="s">
        <v>3239</v>
      </c>
      <c r="D1574" s="2">
        <v>20234844000461</v>
      </c>
      <c r="E1574" s="2">
        <v>7419152458382</v>
      </c>
      <c r="F1574" s="1" t="s">
        <v>2744</v>
      </c>
      <c r="G1574" s="1" t="s">
        <v>53</v>
      </c>
      <c r="H1574" s="1" t="s">
        <v>3002</v>
      </c>
      <c r="I1574" s="1" t="s">
        <v>3003</v>
      </c>
      <c r="J1574" s="1" t="s">
        <v>46</v>
      </c>
      <c r="K1574" t="s">
        <v>2745</v>
      </c>
      <c r="M1574" s="1" t="s">
        <v>58</v>
      </c>
      <c r="N1574" s="1">
        <v>0</v>
      </c>
      <c r="O1574" s="1" t="s">
        <v>105</v>
      </c>
      <c r="P1574" s="11" t="s">
        <v>3240</v>
      </c>
      <c r="R1574" s="1">
        <v>22</v>
      </c>
      <c r="T1574" s="1" t="s">
        <v>1160</v>
      </c>
      <c r="U1574" s="186">
        <v>44974.472418981481</v>
      </c>
      <c r="V1574" s="1" t="s">
        <v>41</v>
      </c>
      <c r="W1574" s="1" t="s">
        <v>49</v>
      </c>
    </row>
    <row r="1575" spans="1:23" hidden="1">
      <c r="A1575" s="1">
        <v>9482490</v>
      </c>
      <c r="B1575" s="1" t="s">
        <v>1153</v>
      </c>
      <c r="C1575" t="s">
        <v>3241</v>
      </c>
      <c r="D1575" s="2">
        <v>20232326000008</v>
      </c>
      <c r="E1575" s="2">
        <v>7417163283074</v>
      </c>
      <c r="F1575" s="1" t="s">
        <v>131</v>
      </c>
      <c r="G1575" s="1" t="s">
        <v>53</v>
      </c>
      <c r="H1575" s="1" t="s">
        <v>3236</v>
      </c>
      <c r="I1575" s="1" t="s">
        <v>3237</v>
      </c>
      <c r="J1575" s="1" t="s">
        <v>46</v>
      </c>
      <c r="K1575" t="s">
        <v>132</v>
      </c>
      <c r="M1575" s="1" t="s">
        <v>58</v>
      </c>
      <c r="N1575" s="1">
        <v>0</v>
      </c>
      <c r="O1575" s="1" t="s">
        <v>105</v>
      </c>
      <c r="P1575" s="11" t="s">
        <v>3242</v>
      </c>
      <c r="R1575" s="1">
        <v>13</v>
      </c>
      <c r="T1575" s="1" t="s">
        <v>238</v>
      </c>
      <c r="U1575" s="11" t="s">
        <v>3242</v>
      </c>
      <c r="V1575" s="1" t="s">
        <v>41</v>
      </c>
      <c r="W1575" s="1" t="s">
        <v>49</v>
      </c>
    </row>
    <row r="1576" spans="1:23" hidden="1">
      <c r="A1576" s="1">
        <v>9482481</v>
      </c>
      <c r="B1576" s="1" t="s">
        <v>1153</v>
      </c>
      <c r="C1576" t="s">
        <v>3243</v>
      </c>
      <c r="E1576" s="2">
        <v>9704000206200</v>
      </c>
      <c r="F1576" s="1" t="s">
        <v>208</v>
      </c>
      <c r="G1576" s="1" t="s">
        <v>53</v>
      </c>
      <c r="H1576" s="1" t="s">
        <v>488</v>
      </c>
      <c r="I1576" s="1" t="s">
        <v>489</v>
      </c>
      <c r="J1576" s="1" t="s">
        <v>164</v>
      </c>
      <c r="K1576" t="s">
        <v>212</v>
      </c>
      <c r="M1576" s="1" t="s">
        <v>35</v>
      </c>
      <c r="N1576" s="1">
        <v>42318949</v>
      </c>
      <c r="O1576" s="1" t="s">
        <v>36</v>
      </c>
      <c r="P1576" s="11" t="s">
        <v>3244</v>
      </c>
      <c r="R1576" s="1" t="s">
        <v>38</v>
      </c>
      <c r="T1576" s="1" t="s">
        <v>74</v>
      </c>
      <c r="U1576" s="11" t="s">
        <v>3182</v>
      </c>
      <c r="V1576" s="1" t="s">
        <v>41</v>
      </c>
      <c r="W1576" s="1" t="s">
        <v>49</v>
      </c>
    </row>
    <row r="1577" spans="1:23" hidden="1">
      <c r="A1577" s="1">
        <v>9482426</v>
      </c>
      <c r="B1577" s="1" t="s">
        <v>1153</v>
      </c>
      <c r="C1577" t="s">
        <v>3245</v>
      </c>
      <c r="D1577" s="2">
        <v>20231012000004</v>
      </c>
      <c r="E1577" s="2">
        <v>7417183020615</v>
      </c>
      <c r="F1577" s="1" t="s">
        <v>1313</v>
      </c>
      <c r="G1577" s="1" t="s">
        <v>53</v>
      </c>
      <c r="H1577" s="1" t="s">
        <v>2481</v>
      </c>
      <c r="I1577" s="1" t="s">
        <v>2482</v>
      </c>
      <c r="J1577" s="1" t="s">
        <v>164</v>
      </c>
      <c r="K1577" t="s">
        <v>1316</v>
      </c>
      <c r="M1577" s="1" t="s">
        <v>58</v>
      </c>
      <c r="N1577" s="1">
        <v>0</v>
      </c>
      <c r="O1577" s="1" t="s">
        <v>105</v>
      </c>
      <c r="P1577" s="11" t="s">
        <v>3246</v>
      </c>
      <c r="R1577" s="1">
        <v>15</v>
      </c>
      <c r="T1577" s="1" t="s">
        <v>238</v>
      </c>
      <c r="U1577" s="11" t="s">
        <v>3246</v>
      </c>
      <c r="V1577" s="1" t="s">
        <v>41</v>
      </c>
      <c r="W1577" s="1" t="s">
        <v>49</v>
      </c>
    </row>
    <row r="1578" spans="1:23" hidden="1">
      <c r="A1578" s="1">
        <v>9482200</v>
      </c>
      <c r="B1578" s="1" t="s">
        <v>1153</v>
      </c>
      <c r="C1578" t="s">
        <v>3247</v>
      </c>
      <c r="D1578" s="2">
        <v>20231128000008</v>
      </c>
      <c r="E1578" s="2">
        <v>8558100221842</v>
      </c>
      <c r="F1578" s="1" t="s">
        <v>2995</v>
      </c>
      <c r="G1578" s="1" t="s">
        <v>53</v>
      </c>
      <c r="H1578" s="1" t="s">
        <v>1191</v>
      </c>
      <c r="I1578" s="1" t="s">
        <v>1192</v>
      </c>
      <c r="J1578" s="1" t="s">
        <v>33</v>
      </c>
      <c r="K1578" t="s">
        <v>2996</v>
      </c>
      <c r="M1578" s="1" t="s">
        <v>58</v>
      </c>
      <c r="N1578" s="1">
        <v>0</v>
      </c>
      <c r="O1578" s="1" t="s">
        <v>105</v>
      </c>
      <c r="P1578" s="11" t="s">
        <v>3248</v>
      </c>
      <c r="R1578" s="1">
        <v>21</v>
      </c>
      <c r="T1578" s="1" t="s">
        <v>1160</v>
      </c>
      <c r="U1578" s="11" t="s">
        <v>3249</v>
      </c>
      <c r="V1578" s="1" t="s">
        <v>41</v>
      </c>
      <c r="W1578" s="1" t="s">
        <v>49</v>
      </c>
    </row>
    <row r="1579" spans="1:23">
      <c r="A1579" s="1">
        <v>9482150</v>
      </c>
      <c r="B1579" s="1" t="s">
        <v>1153</v>
      </c>
      <c r="C1579" t="s">
        <v>2366</v>
      </c>
      <c r="D1579" s="2">
        <v>20232437000023</v>
      </c>
      <c r="E1579" s="2">
        <v>7417172791907</v>
      </c>
      <c r="F1579" s="1" t="s">
        <v>1989</v>
      </c>
      <c r="G1579" s="1" t="s">
        <v>53</v>
      </c>
      <c r="H1579" s="1" t="s">
        <v>416</v>
      </c>
      <c r="I1579" s="1" t="s">
        <v>417</v>
      </c>
      <c r="J1579" s="1" t="s">
        <v>211</v>
      </c>
      <c r="K1579" t="s">
        <v>1990</v>
      </c>
      <c r="M1579" s="1" t="s">
        <v>58</v>
      </c>
      <c r="N1579" s="1">
        <v>0</v>
      </c>
      <c r="O1579" s="1" t="s">
        <v>105</v>
      </c>
      <c r="P1579" s="11" t="s">
        <v>3250</v>
      </c>
      <c r="R1579" s="1">
        <v>22</v>
      </c>
      <c r="T1579" s="1" t="s">
        <v>1160</v>
      </c>
      <c r="U1579" s="11" t="s">
        <v>3251</v>
      </c>
      <c r="V1579" s="1" t="s">
        <v>41</v>
      </c>
      <c r="W1579" s="1" t="s">
        <v>49</v>
      </c>
    </row>
    <row r="1580" spans="1:23">
      <c r="A1580" s="1">
        <v>9482149</v>
      </c>
      <c r="B1580" s="1" t="s">
        <v>1153</v>
      </c>
      <c r="C1580" t="s">
        <v>2366</v>
      </c>
      <c r="D1580" s="2">
        <v>20232437000022</v>
      </c>
      <c r="E1580" s="2">
        <v>7417192425355</v>
      </c>
      <c r="F1580" s="1" t="s">
        <v>1727</v>
      </c>
      <c r="G1580" s="1" t="s">
        <v>53</v>
      </c>
      <c r="H1580" s="1" t="s">
        <v>416</v>
      </c>
      <c r="I1580" s="1" t="s">
        <v>417</v>
      </c>
      <c r="J1580" s="1" t="s">
        <v>211</v>
      </c>
      <c r="K1580" t="s">
        <v>1728</v>
      </c>
      <c r="M1580" s="1" t="s">
        <v>58</v>
      </c>
      <c r="N1580" s="1">
        <v>0</v>
      </c>
      <c r="O1580" s="1" t="s">
        <v>105</v>
      </c>
      <c r="P1580" s="11" t="s">
        <v>3252</v>
      </c>
      <c r="R1580" s="1">
        <v>22</v>
      </c>
      <c r="T1580" s="1" t="s">
        <v>1160</v>
      </c>
      <c r="U1580" s="11" t="s">
        <v>3253</v>
      </c>
      <c r="V1580" s="1" t="s">
        <v>41</v>
      </c>
      <c r="W1580" s="1" t="s">
        <v>49</v>
      </c>
    </row>
    <row r="1581" spans="1:23" hidden="1">
      <c r="A1581" s="1">
        <v>9482143</v>
      </c>
      <c r="B1581" s="1" t="s">
        <v>1153</v>
      </c>
      <c r="C1581" t="s">
        <v>3254</v>
      </c>
      <c r="D1581" s="2">
        <v>20234844000460</v>
      </c>
      <c r="E1581" s="2">
        <v>7419143323433</v>
      </c>
      <c r="F1581" s="1" t="s">
        <v>1222</v>
      </c>
      <c r="G1581" s="1" t="s">
        <v>53</v>
      </c>
      <c r="H1581" s="1" t="s">
        <v>2444</v>
      </c>
      <c r="I1581" s="1" t="s">
        <v>2445</v>
      </c>
      <c r="J1581" s="1" t="s">
        <v>46</v>
      </c>
      <c r="K1581" t="s">
        <v>1223</v>
      </c>
      <c r="M1581" s="1" t="s">
        <v>58</v>
      </c>
      <c r="N1581" s="1">
        <v>0</v>
      </c>
      <c r="O1581" s="1" t="s">
        <v>105</v>
      </c>
      <c r="P1581" s="11" t="s">
        <v>3255</v>
      </c>
      <c r="R1581" s="1">
        <v>13</v>
      </c>
      <c r="T1581" s="1" t="s">
        <v>238</v>
      </c>
      <c r="U1581" s="11" t="s">
        <v>3255</v>
      </c>
      <c r="V1581" s="1" t="s">
        <v>41</v>
      </c>
      <c r="W1581" s="1" t="s">
        <v>49</v>
      </c>
    </row>
    <row r="1582" spans="1:23" hidden="1">
      <c r="A1582" s="1">
        <v>9482130</v>
      </c>
      <c r="B1582" s="1" t="s">
        <v>1153</v>
      </c>
      <c r="C1582" t="s">
        <v>3256</v>
      </c>
      <c r="E1582" s="2">
        <v>2855000206001</v>
      </c>
      <c r="F1582" s="1" t="s">
        <v>29</v>
      </c>
      <c r="G1582" s="1" t="s">
        <v>53</v>
      </c>
      <c r="H1582" s="1" t="s">
        <v>249</v>
      </c>
      <c r="I1582" s="1" t="s">
        <v>250</v>
      </c>
      <c r="J1582" s="1" t="s">
        <v>56</v>
      </c>
      <c r="K1582" t="s">
        <v>34</v>
      </c>
      <c r="M1582" s="1" t="s">
        <v>35</v>
      </c>
      <c r="N1582" s="1">
        <v>42318949</v>
      </c>
      <c r="O1582" s="1" t="s">
        <v>36</v>
      </c>
      <c r="P1582" s="11" t="s">
        <v>3257</v>
      </c>
      <c r="R1582" s="1" t="s">
        <v>38</v>
      </c>
      <c r="T1582" s="1" t="s">
        <v>74</v>
      </c>
      <c r="U1582" s="186">
        <v>44984.708333333336</v>
      </c>
      <c r="V1582" s="1" t="s">
        <v>41</v>
      </c>
      <c r="W1582" s="1" t="s">
        <v>49</v>
      </c>
    </row>
    <row r="1583" spans="1:23" hidden="1">
      <c r="A1583" s="1">
        <v>9481995</v>
      </c>
      <c r="B1583" s="1" t="s">
        <v>1153</v>
      </c>
      <c r="C1583" t="s">
        <v>3258</v>
      </c>
      <c r="D1583" s="2">
        <v>20230115000012</v>
      </c>
      <c r="E1583" s="2">
        <v>7417183022877</v>
      </c>
      <c r="F1583" s="1" t="s">
        <v>1313</v>
      </c>
      <c r="G1583" s="1" t="s">
        <v>53</v>
      </c>
      <c r="H1583" s="1" t="s">
        <v>2591</v>
      </c>
      <c r="I1583" s="1" t="s">
        <v>2592</v>
      </c>
      <c r="J1583" s="1" t="s">
        <v>56</v>
      </c>
      <c r="K1583" t="s">
        <v>1316</v>
      </c>
      <c r="M1583" s="1" t="s">
        <v>58</v>
      </c>
      <c r="N1583" s="1">
        <v>0</v>
      </c>
      <c r="O1583" s="1" t="s">
        <v>105</v>
      </c>
      <c r="P1583" s="11" t="s">
        <v>3259</v>
      </c>
      <c r="R1583" s="1">
        <v>14</v>
      </c>
      <c r="T1583" s="1" t="s">
        <v>238</v>
      </c>
      <c r="U1583" s="186">
        <v>44971.553935185184</v>
      </c>
      <c r="V1583" s="1" t="s">
        <v>41</v>
      </c>
      <c r="W1583" s="1" t="s">
        <v>49</v>
      </c>
    </row>
    <row r="1584" spans="1:23" hidden="1">
      <c r="A1584" s="1">
        <v>9481957</v>
      </c>
      <c r="B1584" s="1" t="s">
        <v>1153</v>
      </c>
      <c r="C1584" t="s">
        <v>2986</v>
      </c>
      <c r="E1584" s="2">
        <v>2196000206001</v>
      </c>
      <c r="F1584" s="1" t="s">
        <v>29</v>
      </c>
      <c r="G1584" s="1" t="s">
        <v>53</v>
      </c>
      <c r="H1584" s="1" t="s">
        <v>1252</v>
      </c>
      <c r="I1584" s="1" t="s">
        <v>1253</v>
      </c>
      <c r="J1584" s="1" t="s">
        <v>33</v>
      </c>
      <c r="K1584" t="s">
        <v>34</v>
      </c>
      <c r="M1584" s="1" t="s">
        <v>35</v>
      </c>
      <c r="N1584" s="1">
        <v>42318949</v>
      </c>
      <c r="O1584" s="1" t="s">
        <v>36</v>
      </c>
      <c r="P1584" s="11" t="s">
        <v>3260</v>
      </c>
      <c r="R1584" s="1" t="s">
        <v>38</v>
      </c>
      <c r="T1584" s="1" t="s">
        <v>74</v>
      </c>
      <c r="U1584" s="186">
        <v>44972.604583333334</v>
      </c>
      <c r="V1584" s="1" t="s">
        <v>41</v>
      </c>
      <c r="W1584" s="1" t="s">
        <v>42</v>
      </c>
    </row>
    <row r="1585" spans="1:23" hidden="1">
      <c r="A1585" s="1">
        <v>9481887</v>
      </c>
      <c r="B1585" s="1" t="s">
        <v>1153</v>
      </c>
      <c r="C1585" t="s">
        <v>2990</v>
      </c>
      <c r="D1585" s="2">
        <v>20234844000459</v>
      </c>
      <c r="E1585" s="2">
        <v>7417183020660</v>
      </c>
      <c r="F1585" s="1" t="s">
        <v>1313</v>
      </c>
      <c r="G1585" s="1" t="s">
        <v>53</v>
      </c>
      <c r="H1585" s="1" t="s">
        <v>2087</v>
      </c>
      <c r="I1585" s="1" t="s">
        <v>2088</v>
      </c>
      <c r="J1585" s="1" t="s">
        <v>46</v>
      </c>
      <c r="K1585" t="s">
        <v>1316</v>
      </c>
      <c r="M1585" s="1" t="s">
        <v>58</v>
      </c>
      <c r="N1585" s="1">
        <v>0</v>
      </c>
      <c r="O1585" s="1" t="s">
        <v>105</v>
      </c>
      <c r="P1585" s="11" t="s">
        <v>3261</v>
      </c>
      <c r="R1585" s="1">
        <v>13</v>
      </c>
      <c r="T1585" s="1" t="s">
        <v>238</v>
      </c>
      <c r="U1585" s="186">
        <v>44971.540173611109</v>
      </c>
      <c r="V1585" s="1" t="s">
        <v>41</v>
      </c>
      <c r="W1585" s="1" t="s">
        <v>49</v>
      </c>
    </row>
    <row r="1586" spans="1:23" hidden="1">
      <c r="A1586" s="1">
        <v>9481886</v>
      </c>
      <c r="B1586" s="1" t="s">
        <v>1153</v>
      </c>
      <c r="C1586" t="s">
        <v>2991</v>
      </c>
      <c r="D1586" s="2">
        <v>20234844000458</v>
      </c>
      <c r="E1586" s="2">
        <v>7419143322492</v>
      </c>
      <c r="F1586" s="1" t="s">
        <v>1222</v>
      </c>
      <c r="G1586" s="1" t="s">
        <v>53</v>
      </c>
      <c r="H1586" s="1" t="s">
        <v>2992</v>
      </c>
      <c r="I1586" s="1" t="s">
        <v>2993</v>
      </c>
      <c r="J1586" s="1" t="s">
        <v>46</v>
      </c>
      <c r="K1586" t="s">
        <v>1223</v>
      </c>
      <c r="M1586" s="1" t="s">
        <v>58</v>
      </c>
      <c r="N1586" s="1">
        <v>0</v>
      </c>
      <c r="O1586" s="1" t="s">
        <v>105</v>
      </c>
      <c r="P1586" s="11" t="s">
        <v>3262</v>
      </c>
      <c r="R1586" s="1">
        <v>13</v>
      </c>
      <c r="T1586" s="1" t="s">
        <v>238</v>
      </c>
      <c r="U1586" s="11" t="s">
        <v>3262</v>
      </c>
      <c r="V1586" s="1" t="s">
        <v>41</v>
      </c>
      <c r="W1586" s="1" t="s">
        <v>49</v>
      </c>
    </row>
    <row r="1587" spans="1:23" hidden="1">
      <c r="A1587" s="1">
        <v>9481874</v>
      </c>
      <c r="B1587" s="1" t="s">
        <v>1153</v>
      </c>
      <c r="C1587" t="s">
        <v>2994</v>
      </c>
      <c r="D1587" s="2">
        <v>20231650000004</v>
      </c>
      <c r="E1587" s="2">
        <v>8558100222966</v>
      </c>
      <c r="F1587" s="1" t="s">
        <v>2995</v>
      </c>
      <c r="G1587" s="1" t="s">
        <v>53</v>
      </c>
      <c r="H1587" s="1" t="s">
        <v>620</v>
      </c>
      <c r="I1587" s="1" t="s">
        <v>621</v>
      </c>
      <c r="J1587" s="1" t="s">
        <v>141</v>
      </c>
      <c r="K1587" t="s">
        <v>2996</v>
      </c>
      <c r="M1587" s="1" t="s">
        <v>58</v>
      </c>
      <c r="N1587" s="1">
        <v>0</v>
      </c>
      <c r="O1587" s="1" t="s">
        <v>36</v>
      </c>
      <c r="P1587" s="11" t="s">
        <v>3263</v>
      </c>
      <c r="R1587" s="1">
        <v>21</v>
      </c>
      <c r="T1587" s="1" t="s">
        <v>1160</v>
      </c>
      <c r="U1587" s="11" t="s">
        <v>3264</v>
      </c>
      <c r="V1587" s="1" t="s">
        <v>41</v>
      </c>
      <c r="W1587" s="1" t="s">
        <v>49</v>
      </c>
    </row>
    <row r="1588" spans="1:23" hidden="1">
      <c r="A1588" s="1">
        <v>9481854</v>
      </c>
      <c r="B1588" s="1" t="s">
        <v>1153</v>
      </c>
      <c r="C1588" t="s">
        <v>2997</v>
      </c>
      <c r="D1588" s="2">
        <v>230028931</v>
      </c>
      <c r="E1588" s="2">
        <v>67001400010</v>
      </c>
      <c r="F1588" s="1" t="s">
        <v>936</v>
      </c>
      <c r="G1588" s="1" t="s">
        <v>53</v>
      </c>
      <c r="H1588" s="1" t="s">
        <v>404</v>
      </c>
      <c r="I1588" s="1" t="s">
        <v>405</v>
      </c>
      <c r="J1588" s="1" t="s">
        <v>164</v>
      </c>
      <c r="K1588" t="s">
        <v>937</v>
      </c>
      <c r="M1588" s="1" t="s">
        <v>58</v>
      </c>
      <c r="N1588" s="1">
        <v>0</v>
      </c>
      <c r="O1588" s="1" t="s">
        <v>36</v>
      </c>
      <c r="P1588" s="11" t="s">
        <v>3265</v>
      </c>
      <c r="R1588" s="1">
        <v>3</v>
      </c>
      <c r="T1588" s="1" t="s">
        <v>646</v>
      </c>
      <c r="U1588" s="11" t="s">
        <v>3266</v>
      </c>
      <c r="V1588" s="1" t="s">
        <v>41</v>
      </c>
      <c r="W1588" s="1" t="s">
        <v>49</v>
      </c>
    </row>
    <row r="1589" spans="1:23" hidden="1">
      <c r="A1589" s="1">
        <v>9481771</v>
      </c>
      <c r="B1589" s="1" t="s">
        <v>62</v>
      </c>
      <c r="C1589" t="s">
        <v>2999</v>
      </c>
      <c r="E1589" s="2">
        <v>3108010206001</v>
      </c>
      <c r="F1589" s="1" t="s">
        <v>29</v>
      </c>
      <c r="G1589" s="1" t="s">
        <v>53</v>
      </c>
      <c r="H1589" s="1" t="s">
        <v>503</v>
      </c>
      <c r="I1589" s="1" t="s">
        <v>504</v>
      </c>
      <c r="J1589" s="1" t="s">
        <v>46</v>
      </c>
      <c r="K1589" t="s">
        <v>34</v>
      </c>
      <c r="M1589" s="1" t="s">
        <v>35</v>
      </c>
      <c r="N1589" s="1">
        <v>42318949</v>
      </c>
      <c r="O1589" s="1" t="s">
        <v>105</v>
      </c>
      <c r="P1589" s="11" t="s">
        <v>3267</v>
      </c>
      <c r="R1589" s="1" t="s">
        <v>38</v>
      </c>
      <c r="T1589" s="1" t="s">
        <v>74</v>
      </c>
      <c r="U1589" s="11" t="s">
        <v>3268</v>
      </c>
      <c r="V1589" s="1" t="s">
        <v>41</v>
      </c>
      <c r="W1589" s="1" t="s">
        <v>49</v>
      </c>
    </row>
    <row r="1590" spans="1:23">
      <c r="A1590" s="1">
        <v>9481708</v>
      </c>
      <c r="B1590" s="1" t="s">
        <v>1153</v>
      </c>
      <c r="C1590" t="s">
        <v>3000</v>
      </c>
      <c r="E1590" s="2">
        <v>2437000206001</v>
      </c>
      <c r="F1590" s="1" t="s">
        <v>29</v>
      </c>
      <c r="G1590" s="1" t="s">
        <v>53</v>
      </c>
      <c r="H1590" s="1" t="s">
        <v>416</v>
      </c>
      <c r="I1590" s="1" t="s">
        <v>417</v>
      </c>
      <c r="J1590" s="1" t="s">
        <v>211</v>
      </c>
      <c r="K1590" t="s">
        <v>34</v>
      </c>
      <c r="M1590" s="1" t="s">
        <v>35</v>
      </c>
      <c r="N1590" s="1">
        <v>42318949</v>
      </c>
      <c r="O1590" s="1" t="s">
        <v>36</v>
      </c>
      <c r="P1590" s="11" t="s">
        <v>3269</v>
      </c>
      <c r="R1590" s="1" t="s">
        <v>38</v>
      </c>
      <c r="T1590" s="1" t="s">
        <v>74</v>
      </c>
      <c r="U1590" s="11" t="s">
        <v>2516</v>
      </c>
      <c r="V1590" s="1" t="s">
        <v>41</v>
      </c>
      <c r="W1590" s="1" t="s">
        <v>49</v>
      </c>
    </row>
    <row r="1591" spans="1:23" hidden="1">
      <c r="A1591" s="1">
        <v>9481457</v>
      </c>
      <c r="B1591" s="1" t="s">
        <v>1153</v>
      </c>
      <c r="C1591" t="s">
        <v>3001</v>
      </c>
      <c r="D1591" s="2">
        <v>20234844000457</v>
      </c>
      <c r="E1591" s="2">
        <v>7419143322500</v>
      </c>
      <c r="F1591" s="1" t="s">
        <v>1222</v>
      </c>
      <c r="G1591" s="1" t="s">
        <v>53</v>
      </c>
      <c r="H1591" s="1" t="s">
        <v>3002</v>
      </c>
      <c r="I1591" s="1" t="s">
        <v>3003</v>
      </c>
      <c r="J1591" s="1" t="s">
        <v>46</v>
      </c>
      <c r="K1591" t="s">
        <v>1223</v>
      </c>
      <c r="M1591" s="1" t="s">
        <v>58</v>
      </c>
      <c r="N1591" s="1">
        <v>0</v>
      </c>
      <c r="O1591" s="1" t="s">
        <v>105</v>
      </c>
      <c r="P1591" s="11" t="s">
        <v>3270</v>
      </c>
      <c r="R1591" s="1">
        <v>13</v>
      </c>
      <c r="T1591" s="1" t="s">
        <v>238</v>
      </c>
      <c r="U1591" s="11" t="s">
        <v>3270</v>
      </c>
      <c r="V1591" s="1" t="s">
        <v>41</v>
      </c>
      <c r="W1591" s="1" t="s">
        <v>49</v>
      </c>
    </row>
    <row r="1592" spans="1:23" hidden="1">
      <c r="A1592" s="1">
        <v>9481422</v>
      </c>
      <c r="B1592" s="1" t="s">
        <v>1153</v>
      </c>
      <c r="C1592" t="s">
        <v>3004</v>
      </c>
      <c r="D1592" s="2">
        <v>230028843</v>
      </c>
      <c r="E1592" s="2">
        <v>3699001400030</v>
      </c>
      <c r="F1592" s="1" t="s">
        <v>647</v>
      </c>
      <c r="G1592" s="1" t="s">
        <v>53</v>
      </c>
      <c r="H1592" s="1" t="s">
        <v>343</v>
      </c>
      <c r="I1592" s="1" t="s">
        <v>344</v>
      </c>
      <c r="J1592" s="1" t="s">
        <v>46</v>
      </c>
      <c r="K1592" t="s">
        <v>650</v>
      </c>
      <c r="M1592" s="1" t="s">
        <v>58</v>
      </c>
      <c r="N1592" s="1">
        <v>0</v>
      </c>
      <c r="O1592" s="1" t="s">
        <v>36</v>
      </c>
      <c r="P1592" s="11" t="s">
        <v>3271</v>
      </c>
      <c r="R1592" s="1">
        <v>4</v>
      </c>
      <c r="T1592" s="1" t="s">
        <v>646</v>
      </c>
      <c r="U1592" s="11" t="s">
        <v>3272</v>
      </c>
      <c r="V1592" s="1" t="s">
        <v>41</v>
      </c>
      <c r="W1592" s="1" t="s">
        <v>49</v>
      </c>
    </row>
    <row r="1593" spans="1:23" hidden="1">
      <c r="A1593" s="1">
        <v>9481389</v>
      </c>
      <c r="B1593" s="1" t="s">
        <v>1153</v>
      </c>
      <c r="C1593" t="s">
        <v>3006</v>
      </c>
      <c r="D1593" s="2">
        <v>20232369000007</v>
      </c>
      <c r="E1593" s="2">
        <v>7417161480604</v>
      </c>
      <c r="F1593" s="1" t="s">
        <v>1979</v>
      </c>
      <c r="G1593" s="1" t="s">
        <v>53</v>
      </c>
      <c r="H1593" s="1" t="s">
        <v>2809</v>
      </c>
      <c r="I1593" s="1" t="s">
        <v>2810</v>
      </c>
      <c r="J1593" s="1" t="s">
        <v>141</v>
      </c>
      <c r="K1593" t="s">
        <v>1982</v>
      </c>
      <c r="M1593" s="1" t="s">
        <v>58</v>
      </c>
      <c r="N1593" s="1">
        <v>0</v>
      </c>
      <c r="O1593" s="1" t="s">
        <v>36</v>
      </c>
      <c r="P1593" s="11" t="s">
        <v>3273</v>
      </c>
      <c r="R1593" s="1">
        <v>14</v>
      </c>
      <c r="T1593" s="1" t="s">
        <v>238</v>
      </c>
      <c r="U1593" s="11" t="s">
        <v>3273</v>
      </c>
      <c r="V1593" s="1" t="s">
        <v>41</v>
      </c>
      <c r="W1593" s="1" t="s">
        <v>49</v>
      </c>
    </row>
    <row r="1594" spans="1:23" hidden="1">
      <c r="A1594" s="1">
        <v>9481327</v>
      </c>
      <c r="B1594" s="1" t="s">
        <v>1153</v>
      </c>
      <c r="C1594" t="s">
        <v>3007</v>
      </c>
      <c r="D1594" s="2">
        <v>20234844000456</v>
      </c>
      <c r="E1594" s="2">
        <v>7417193050611</v>
      </c>
      <c r="F1594" s="1" t="s">
        <v>1719</v>
      </c>
      <c r="G1594" s="1" t="s">
        <v>53</v>
      </c>
      <c r="H1594" s="1" t="s">
        <v>343</v>
      </c>
      <c r="I1594" s="1" t="s">
        <v>344</v>
      </c>
      <c r="J1594" s="1" t="s">
        <v>46</v>
      </c>
      <c r="K1594" t="s">
        <v>1720</v>
      </c>
      <c r="M1594" s="1" t="s">
        <v>58</v>
      </c>
      <c r="N1594" s="1">
        <v>0</v>
      </c>
      <c r="O1594" s="1" t="s">
        <v>105</v>
      </c>
      <c r="P1594" s="11" t="s">
        <v>3274</v>
      </c>
      <c r="R1594" s="1">
        <v>22</v>
      </c>
      <c r="T1594" s="1" t="s">
        <v>1160</v>
      </c>
      <c r="U1594" s="11" t="s">
        <v>3275</v>
      </c>
      <c r="V1594" s="1" t="s">
        <v>41</v>
      </c>
      <c r="W1594" s="1" t="s">
        <v>49</v>
      </c>
    </row>
    <row r="1595" spans="1:23" hidden="1">
      <c r="A1595" s="1">
        <v>9481183</v>
      </c>
      <c r="B1595" s="1" t="s">
        <v>1153</v>
      </c>
      <c r="C1595" t="s">
        <v>3009</v>
      </c>
      <c r="D1595" s="2">
        <v>20231739000004</v>
      </c>
      <c r="E1595" s="2">
        <v>7417161480638</v>
      </c>
      <c r="F1595" s="1" t="s">
        <v>1979</v>
      </c>
      <c r="G1595" s="1" t="s">
        <v>53</v>
      </c>
      <c r="H1595" s="1" t="s">
        <v>2891</v>
      </c>
      <c r="I1595" s="1" t="s">
        <v>2892</v>
      </c>
      <c r="J1595" s="1" t="s">
        <v>164</v>
      </c>
      <c r="K1595" t="s">
        <v>1982</v>
      </c>
      <c r="M1595" s="1" t="s">
        <v>58</v>
      </c>
      <c r="N1595" s="1">
        <v>0</v>
      </c>
      <c r="O1595" s="1" t="s">
        <v>105</v>
      </c>
      <c r="P1595" s="11" t="s">
        <v>3276</v>
      </c>
      <c r="R1595" s="1">
        <v>14</v>
      </c>
      <c r="T1595" s="1" t="s">
        <v>238</v>
      </c>
      <c r="U1595" s="11" t="s">
        <v>3276</v>
      </c>
      <c r="V1595" s="1" t="s">
        <v>41</v>
      </c>
      <c r="W1595" s="1" t="s">
        <v>49</v>
      </c>
    </row>
    <row r="1596" spans="1:23" hidden="1">
      <c r="A1596" s="1">
        <v>9481147</v>
      </c>
      <c r="B1596" s="1" t="s">
        <v>1153</v>
      </c>
      <c r="C1596" t="s">
        <v>3010</v>
      </c>
      <c r="D1596" s="2">
        <v>20232678000016</v>
      </c>
      <c r="E1596" s="2">
        <v>7417163281860</v>
      </c>
      <c r="F1596" s="1" t="s">
        <v>131</v>
      </c>
      <c r="G1596" s="1" t="s">
        <v>53</v>
      </c>
      <c r="H1596" s="1" t="s">
        <v>2814</v>
      </c>
      <c r="I1596" s="1" t="s">
        <v>2815</v>
      </c>
      <c r="J1596" s="1" t="s">
        <v>33</v>
      </c>
      <c r="K1596" t="s">
        <v>132</v>
      </c>
      <c r="M1596" s="1" t="s">
        <v>58</v>
      </c>
      <c r="N1596" s="1">
        <v>0</v>
      </c>
      <c r="O1596" s="1" t="s">
        <v>105</v>
      </c>
      <c r="P1596" s="11" t="s">
        <v>3277</v>
      </c>
      <c r="R1596" s="1">
        <v>15</v>
      </c>
      <c r="T1596" s="1" t="s">
        <v>238</v>
      </c>
      <c r="U1596" s="11" t="s">
        <v>3277</v>
      </c>
      <c r="V1596" s="1" t="s">
        <v>41</v>
      </c>
      <c r="W1596" s="1" t="s">
        <v>42</v>
      </c>
    </row>
    <row r="1597" spans="1:23" hidden="1">
      <c r="A1597" s="1">
        <v>9481146</v>
      </c>
      <c r="B1597" s="1" t="s">
        <v>1153</v>
      </c>
      <c r="C1597" t="s">
        <v>3011</v>
      </c>
      <c r="D1597" s="2">
        <v>20232678000015</v>
      </c>
      <c r="E1597" s="2">
        <v>7417163282981</v>
      </c>
      <c r="F1597" s="1" t="s">
        <v>131</v>
      </c>
      <c r="G1597" s="1" t="s">
        <v>53</v>
      </c>
      <c r="H1597" s="1" t="s">
        <v>2814</v>
      </c>
      <c r="I1597" s="1" t="s">
        <v>2815</v>
      </c>
      <c r="J1597" s="1" t="s">
        <v>33</v>
      </c>
      <c r="K1597" t="s">
        <v>132</v>
      </c>
      <c r="M1597" s="1" t="s">
        <v>58</v>
      </c>
      <c r="N1597" s="1">
        <v>0</v>
      </c>
      <c r="O1597" s="1" t="s">
        <v>105</v>
      </c>
      <c r="P1597" s="11" t="s">
        <v>3278</v>
      </c>
      <c r="R1597" s="1">
        <v>15</v>
      </c>
      <c r="T1597" s="1" t="s">
        <v>238</v>
      </c>
      <c r="U1597" s="11" t="s">
        <v>3278</v>
      </c>
      <c r="V1597" s="1" t="s">
        <v>41</v>
      </c>
      <c r="W1597" s="1" t="s">
        <v>42</v>
      </c>
    </row>
    <row r="1598" spans="1:23">
      <c r="A1598" s="1">
        <v>9481112</v>
      </c>
      <c r="B1598" s="1" t="s">
        <v>1153</v>
      </c>
      <c r="C1598" t="s">
        <v>3012</v>
      </c>
      <c r="D1598" s="2">
        <v>20230870000027</v>
      </c>
      <c r="E1598" s="2">
        <v>7417161483328</v>
      </c>
      <c r="F1598" s="1" t="s">
        <v>1217</v>
      </c>
      <c r="G1598" s="1" t="s">
        <v>53</v>
      </c>
      <c r="H1598" s="1" t="s">
        <v>519</v>
      </c>
      <c r="I1598" s="1" t="s">
        <v>520</v>
      </c>
      <c r="J1598" s="1" t="s">
        <v>90</v>
      </c>
      <c r="K1598" t="s">
        <v>1218</v>
      </c>
      <c r="M1598" s="1" t="s">
        <v>58</v>
      </c>
      <c r="N1598" s="1">
        <v>0</v>
      </c>
      <c r="O1598" s="1" t="s">
        <v>105</v>
      </c>
      <c r="P1598" s="11" t="s">
        <v>3279</v>
      </c>
      <c r="R1598" s="1">
        <v>14</v>
      </c>
      <c r="T1598" s="1" t="s">
        <v>238</v>
      </c>
      <c r="U1598" s="11" t="s">
        <v>3279</v>
      </c>
      <c r="V1598" s="1" t="s">
        <v>41</v>
      </c>
      <c r="W1598" s="1" t="s">
        <v>49</v>
      </c>
    </row>
    <row r="1599" spans="1:23" hidden="1">
      <c r="A1599" s="1">
        <v>9481015</v>
      </c>
      <c r="B1599" s="1" t="s">
        <v>1153</v>
      </c>
      <c r="C1599" t="s">
        <v>3013</v>
      </c>
      <c r="D1599" s="2">
        <v>230028753</v>
      </c>
      <c r="E1599" s="2">
        <v>233001400020</v>
      </c>
      <c r="F1599" s="1" t="s">
        <v>1961</v>
      </c>
      <c r="G1599" s="1" t="s">
        <v>53</v>
      </c>
      <c r="H1599" s="1" t="s">
        <v>424</v>
      </c>
      <c r="I1599" s="1" t="s">
        <v>425</v>
      </c>
      <c r="J1599" s="1" t="s">
        <v>261</v>
      </c>
      <c r="K1599" t="s">
        <v>1962</v>
      </c>
      <c r="M1599" s="1" t="s">
        <v>58</v>
      </c>
      <c r="N1599" s="1">
        <v>0</v>
      </c>
      <c r="O1599" s="1" t="s">
        <v>36</v>
      </c>
      <c r="P1599" s="11" t="s">
        <v>3280</v>
      </c>
      <c r="R1599" s="1">
        <v>4</v>
      </c>
      <c r="T1599" s="1" t="s">
        <v>646</v>
      </c>
      <c r="U1599" s="11" t="s">
        <v>3281</v>
      </c>
      <c r="V1599" s="1" t="s">
        <v>41</v>
      </c>
      <c r="W1599" s="1" t="s">
        <v>49</v>
      </c>
    </row>
    <row r="1600" spans="1:23" hidden="1">
      <c r="A1600" s="1">
        <v>9480902</v>
      </c>
      <c r="B1600" s="1" t="s">
        <v>1153</v>
      </c>
      <c r="C1600" t="s">
        <v>3014</v>
      </c>
      <c r="D1600" s="2">
        <v>20234844000454</v>
      </c>
      <c r="E1600" s="2">
        <v>7417163281988</v>
      </c>
      <c r="F1600" s="1" t="s">
        <v>131</v>
      </c>
      <c r="G1600" s="1" t="s">
        <v>53</v>
      </c>
      <c r="H1600" s="1" t="s">
        <v>2444</v>
      </c>
      <c r="I1600" s="1" t="s">
        <v>2445</v>
      </c>
      <c r="J1600" s="1" t="s">
        <v>46</v>
      </c>
      <c r="K1600" t="s">
        <v>132</v>
      </c>
      <c r="M1600" s="1" t="s">
        <v>58</v>
      </c>
      <c r="N1600" s="1">
        <v>0</v>
      </c>
      <c r="O1600" s="1" t="s">
        <v>105</v>
      </c>
      <c r="P1600" s="11" t="s">
        <v>3282</v>
      </c>
      <c r="R1600" s="1">
        <v>13</v>
      </c>
      <c r="T1600" s="1" t="s">
        <v>238</v>
      </c>
      <c r="U1600" s="11" t="s">
        <v>2836</v>
      </c>
      <c r="V1600" s="1" t="s">
        <v>41</v>
      </c>
      <c r="W1600" s="1" t="s">
        <v>49</v>
      </c>
    </row>
    <row r="1601" spans="1:23" hidden="1">
      <c r="A1601" s="1">
        <v>9480751</v>
      </c>
      <c r="B1601" s="1" t="s">
        <v>1153</v>
      </c>
      <c r="C1601" t="s">
        <v>3016</v>
      </c>
      <c r="D1601" s="2">
        <v>20238074000007</v>
      </c>
      <c r="E1601" s="2">
        <v>7419141891762</v>
      </c>
      <c r="F1601" s="1" t="s">
        <v>128</v>
      </c>
      <c r="G1601" s="1" t="s">
        <v>53</v>
      </c>
      <c r="H1601" s="1" t="s">
        <v>2866</v>
      </c>
      <c r="I1601" s="1" t="s">
        <v>2867</v>
      </c>
      <c r="J1601" s="1" t="s">
        <v>33</v>
      </c>
      <c r="K1601" t="s">
        <v>129</v>
      </c>
      <c r="M1601" s="1" t="s">
        <v>58</v>
      </c>
      <c r="N1601" s="1">
        <v>0</v>
      </c>
      <c r="O1601" s="1" t="s">
        <v>105</v>
      </c>
      <c r="P1601" s="11" t="s">
        <v>3283</v>
      </c>
      <c r="R1601" s="1">
        <v>14</v>
      </c>
      <c r="T1601" s="1" t="s">
        <v>238</v>
      </c>
      <c r="U1601" s="11" t="s">
        <v>2836</v>
      </c>
      <c r="V1601" s="1" t="s">
        <v>41</v>
      </c>
      <c r="W1601" s="1" t="s">
        <v>49</v>
      </c>
    </row>
    <row r="1602" spans="1:23" hidden="1">
      <c r="A1602" s="1">
        <v>9480717</v>
      </c>
      <c r="B1602" s="1" t="s">
        <v>1153</v>
      </c>
      <c r="C1602" t="s">
        <v>3017</v>
      </c>
      <c r="E1602" s="2">
        <v>2625000206001</v>
      </c>
      <c r="F1602" s="1" t="s">
        <v>29</v>
      </c>
      <c r="G1602" s="1" t="s">
        <v>53</v>
      </c>
      <c r="H1602" s="1" t="s">
        <v>317</v>
      </c>
      <c r="I1602" s="1" t="s">
        <v>318</v>
      </c>
      <c r="J1602" s="1" t="s">
        <v>164</v>
      </c>
      <c r="K1602" t="s">
        <v>34</v>
      </c>
      <c r="M1602" s="1" t="s">
        <v>35</v>
      </c>
      <c r="N1602" s="1">
        <v>42318949</v>
      </c>
      <c r="O1602" s="1" t="s">
        <v>36</v>
      </c>
      <c r="P1602" s="11" t="s">
        <v>3284</v>
      </c>
      <c r="R1602" s="1" t="s">
        <v>38</v>
      </c>
      <c r="T1602" s="1" t="s">
        <v>74</v>
      </c>
      <c r="U1602" s="11" t="s">
        <v>3105</v>
      </c>
      <c r="V1602" s="1" t="s">
        <v>41</v>
      </c>
      <c r="W1602" s="1" t="s">
        <v>49</v>
      </c>
    </row>
    <row r="1603" spans="1:23" hidden="1">
      <c r="A1603" s="1">
        <v>9480465</v>
      </c>
      <c r="B1603" s="1" t="s">
        <v>1153</v>
      </c>
      <c r="C1603" t="s">
        <v>3022</v>
      </c>
      <c r="D1603" s="2">
        <v>20234804001636</v>
      </c>
      <c r="E1603" s="2">
        <v>7417183022673</v>
      </c>
      <c r="F1603" s="1" t="s">
        <v>1313</v>
      </c>
      <c r="G1603" s="1" t="s">
        <v>53</v>
      </c>
      <c r="H1603" s="1" t="s">
        <v>2941</v>
      </c>
      <c r="I1603" s="1" t="s">
        <v>2942</v>
      </c>
      <c r="J1603" s="1" t="s">
        <v>46</v>
      </c>
      <c r="K1603" t="s">
        <v>1316</v>
      </c>
      <c r="M1603" s="1" t="s">
        <v>58</v>
      </c>
      <c r="N1603" s="1">
        <v>0</v>
      </c>
      <c r="O1603" s="1" t="s">
        <v>36</v>
      </c>
      <c r="P1603" s="11" t="s">
        <v>3023</v>
      </c>
      <c r="R1603" s="1">
        <v>13</v>
      </c>
      <c r="S1603" s="1">
        <v>4804</v>
      </c>
      <c r="T1603" s="1" t="s">
        <v>238</v>
      </c>
      <c r="U1603" s="11" t="s">
        <v>2836</v>
      </c>
      <c r="V1603" s="1" t="s">
        <v>41</v>
      </c>
      <c r="W1603" s="1" t="s">
        <v>49</v>
      </c>
    </row>
    <row r="1604" spans="1:23">
      <c r="A1604" s="1">
        <v>9480428</v>
      </c>
      <c r="B1604" s="1" t="s">
        <v>1153</v>
      </c>
      <c r="C1604" t="s">
        <v>3024</v>
      </c>
      <c r="E1604" s="2">
        <v>870000206001</v>
      </c>
      <c r="F1604" s="1" t="s">
        <v>29</v>
      </c>
      <c r="G1604" s="1" t="s">
        <v>53</v>
      </c>
      <c r="H1604" s="1" t="s">
        <v>183</v>
      </c>
      <c r="I1604" s="1" t="s">
        <v>184</v>
      </c>
      <c r="J1604" s="1" t="s">
        <v>90</v>
      </c>
      <c r="K1604" t="s">
        <v>34</v>
      </c>
      <c r="M1604" s="1" t="s">
        <v>35</v>
      </c>
      <c r="N1604" s="1">
        <v>42318949</v>
      </c>
      <c r="O1604" s="1" t="s">
        <v>36</v>
      </c>
      <c r="P1604" s="11" t="s">
        <v>3285</v>
      </c>
      <c r="R1604" s="1" t="s">
        <v>38</v>
      </c>
      <c r="T1604" s="1" t="s">
        <v>74</v>
      </c>
      <c r="U1604" s="11" t="s">
        <v>2516</v>
      </c>
      <c r="V1604" s="1" t="s">
        <v>41</v>
      </c>
      <c r="W1604" s="1" t="s">
        <v>49</v>
      </c>
    </row>
    <row r="1605" spans="1:23" hidden="1">
      <c r="A1605" s="1">
        <v>9480413</v>
      </c>
      <c r="B1605" s="1" t="s">
        <v>1153</v>
      </c>
      <c r="C1605" t="s">
        <v>3026</v>
      </c>
      <c r="E1605" s="2">
        <v>2988000206001</v>
      </c>
      <c r="F1605" s="1" t="s">
        <v>29</v>
      </c>
      <c r="G1605" s="1" t="s">
        <v>53</v>
      </c>
      <c r="H1605" s="1" t="s">
        <v>536</v>
      </c>
      <c r="I1605" s="1" t="s">
        <v>537</v>
      </c>
      <c r="J1605" s="1" t="s">
        <v>46</v>
      </c>
      <c r="K1605" t="s">
        <v>34</v>
      </c>
      <c r="M1605" s="1" t="s">
        <v>35</v>
      </c>
      <c r="N1605" s="1">
        <v>42318949</v>
      </c>
      <c r="O1605" s="1" t="s">
        <v>36</v>
      </c>
      <c r="P1605" s="11" t="s">
        <v>3286</v>
      </c>
      <c r="R1605" s="1" t="s">
        <v>38</v>
      </c>
      <c r="T1605" s="1" t="s">
        <v>74</v>
      </c>
      <c r="U1605" s="11" t="s">
        <v>2516</v>
      </c>
      <c r="V1605" s="1" t="s">
        <v>41</v>
      </c>
      <c r="W1605" s="1" t="s">
        <v>49</v>
      </c>
    </row>
    <row r="1606" spans="1:23" hidden="1">
      <c r="A1606" s="1">
        <v>9487426</v>
      </c>
      <c r="B1606" s="1" t="s">
        <v>1153</v>
      </c>
      <c r="C1606" t="s">
        <v>3287</v>
      </c>
      <c r="D1606" s="2">
        <v>20234844000480</v>
      </c>
      <c r="E1606" s="2">
        <v>7419152433955</v>
      </c>
      <c r="F1606" s="1" t="s">
        <v>2744</v>
      </c>
      <c r="G1606" s="1" t="s">
        <v>53</v>
      </c>
      <c r="H1606" s="1" t="s">
        <v>626</v>
      </c>
      <c r="I1606" s="1" t="s">
        <v>627</v>
      </c>
      <c r="J1606" s="1" t="s">
        <v>46</v>
      </c>
      <c r="K1606" t="s">
        <v>2745</v>
      </c>
      <c r="M1606" s="1" t="s">
        <v>58</v>
      </c>
      <c r="N1606" s="1">
        <v>0</v>
      </c>
      <c r="O1606" s="1" t="s">
        <v>105</v>
      </c>
      <c r="P1606" s="11" t="s">
        <v>3288</v>
      </c>
      <c r="R1606" s="1">
        <v>22</v>
      </c>
      <c r="T1606" s="1" t="s">
        <v>1160</v>
      </c>
      <c r="U1606" s="11" t="s">
        <v>3289</v>
      </c>
      <c r="V1606" s="1" t="s">
        <v>41</v>
      </c>
      <c r="W1606" s="1" t="s">
        <v>49</v>
      </c>
    </row>
    <row r="1607" spans="1:23" hidden="1">
      <c r="A1607" s="1">
        <v>9487284</v>
      </c>
      <c r="B1607" s="1" t="s">
        <v>1153</v>
      </c>
      <c r="C1607" t="s">
        <v>3290</v>
      </c>
      <c r="D1607" s="2">
        <v>20232257000016</v>
      </c>
      <c r="E1607" s="2">
        <v>7419151141229</v>
      </c>
      <c r="F1607" s="1" t="s">
        <v>123</v>
      </c>
      <c r="G1607" s="1" t="s">
        <v>53</v>
      </c>
      <c r="H1607" s="1" t="s">
        <v>2326</v>
      </c>
      <c r="I1607" s="1" t="s">
        <v>2327</v>
      </c>
      <c r="J1607" s="1" t="s">
        <v>110</v>
      </c>
      <c r="K1607" t="s">
        <v>126</v>
      </c>
      <c r="M1607" s="1" t="s">
        <v>58</v>
      </c>
      <c r="N1607" s="1">
        <v>0</v>
      </c>
      <c r="O1607" s="1" t="s">
        <v>105</v>
      </c>
      <c r="P1607" s="11" t="s">
        <v>3291</v>
      </c>
      <c r="R1607" s="1">
        <v>14</v>
      </c>
      <c r="T1607" s="1" t="s">
        <v>238</v>
      </c>
      <c r="U1607" s="11" t="s">
        <v>3291</v>
      </c>
      <c r="V1607" s="1" t="s">
        <v>41</v>
      </c>
      <c r="W1607" s="1" t="s">
        <v>49</v>
      </c>
    </row>
    <row r="1608" spans="1:23" hidden="1">
      <c r="A1608" s="1">
        <v>9487216</v>
      </c>
      <c r="B1608" s="1" t="s">
        <v>1153</v>
      </c>
      <c r="C1608" t="s">
        <v>3292</v>
      </c>
      <c r="D1608" s="2">
        <v>20231664000004</v>
      </c>
      <c r="E1608" s="2">
        <v>7417202021242</v>
      </c>
      <c r="F1608" s="1" t="s">
        <v>1213</v>
      </c>
      <c r="G1608" s="1" t="s">
        <v>53</v>
      </c>
      <c r="H1608" s="1" t="s">
        <v>3293</v>
      </c>
      <c r="I1608" s="1" t="s">
        <v>3294</v>
      </c>
      <c r="J1608" s="1" t="s">
        <v>164</v>
      </c>
      <c r="K1608" t="s">
        <v>1214</v>
      </c>
      <c r="M1608" s="1" t="s">
        <v>58</v>
      </c>
      <c r="N1608" s="1">
        <v>0</v>
      </c>
      <c r="O1608" s="1" t="s">
        <v>105</v>
      </c>
      <c r="P1608" s="11" t="s">
        <v>3295</v>
      </c>
      <c r="R1608" s="1">
        <v>14</v>
      </c>
      <c r="T1608" s="1" t="s">
        <v>238</v>
      </c>
      <c r="U1608" s="11" t="s">
        <v>3295</v>
      </c>
      <c r="V1608" s="1" t="s">
        <v>41</v>
      </c>
      <c r="W1608" s="1" t="s">
        <v>49</v>
      </c>
    </row>
    <row r="1609" spans="1:23" hidden="1">
      <c r="A1609" s="1">
        <v>9487119</v>
      </c>
      <c r="B1609" s="1" t="s">
        <v>1153</v>
      </c>
      <c r="C1609" t="s">
        <v>3296</v>
      </c>
      <c r="D1609" s="2">
        <v>20234923000068</v>
      </c>
      <c r="E1609" s="2">
        <v>7417183020181</v>
      </c>
      <c r="F1609" s="1" t="s">
        <v>1313</v>
      </c>
      <c r="G1609" s="1" t="s">
        <v>53</v>
      </c>
      <c r="H1609" s="1" t="s">
        <v>2870</v>
      </c>
      <c r="I1609" s="1" t="s">
        <v>2871</v>
      </c>
      <c r="K1609" t="s">
        <v>1316</v>
      </c>
      <c r="M1609" s="1" t="s">
        <v>58</v>
      </c>
      <c r="N1609" s="1">
        <v>0</v>
      </c>
      <c r="O1609" s="1" t="s">
        <v>105</v>
      </c>
      <c r="P1609" s="11" t="s">
        <v>3297</v>
      </c>
      <c r="R1609" s="1">
        <v>13</v>
      </c>
      <c r="T1609" s="1" t="s">
        <v>238</v>
      </c>
      <c r="U1609" s="11" t="s">
        <v>3297</v>
      </c>
      <c r="V1609" s="1" t="s">
        <v>41</v>
      </c>
      <c r="W1609" s="1" t="s">
        <v>49</v>
      </c>
    </row>
    <row r="1610" spans="1:23" hidden="1">
      <c r="A1610" s="1">
        <v>9487087</v>
      </c>
      <c r="B1610" s="1" t="s">
        <v>3298</v>
      </c>
      <c r="C1610" t="s">
        <v>3299</v>
      </c>
      <c r="D1610" s="2">
        <v>20233433000007</v>
      </c>
      <c r="E1610" s="2">
        <v>7417203360125</v>
      </c>
      <c r="F1610" s="1" t="s">
        <v>3300</v>
      </c>
      <c r="G1610" s="1" t="s">
        <v>53</v>
      </c>
      <c r="H1610" s="1" t="s">
        <v>2520</v>
      </c>
      <c r="I1610" s="1" t="s">
        <v>2521</v>
      </c>
      <c r="J1610" s="1" t="s">
        <v>46</v>
      </c>
      <c r="K1610" t="s">
        <v>3301</v>
      </c>
      <c r="M1610" s="1" t="s">
        <v>58</v>
      </c>
      <c r="N1610" s="1">
        <v>0</v>
      </c>
      <c r="O1610" s="1" t="s">
        <v>105</v>
      </c>
      <c r="P1610" s="48">
        <v>44972.622233796297</v>
      </c>
      <c r="R1610" s="1">
        <v>22</v>
      </c>
      <c r="T1610" s="1" t="s">
        <v>1160</v>
      </c>
      <c r="U1610" s="186">
        <v>44973.627870370372</v>
      </c>
      <c r="V1610" s="1" t="s">
        <v>41</v>
      </c>
      <c r="W1610" s="1" t="s">
        <v>49</v>
      </c>
    </row>
    <row r="1611" spans="1:23">
      <c r="A1611" s="181">
        <v>9487046</v>
      </c>
      <c r="B1611" s="181" t="s">
        <v>1153</v>
      </c>
      <c r="C1611" s="182" t="s">
        <v>3302</v>
      </c>
      <c r="D1611" s="183">
        <v>20231108000012</v>
      </c>
      <c r="E1611" s="183">
        <v>7417160931823</v>
      </c>
      <c r="F1611" s="181" t="s">
        <v>2770</v>
      </c>
      <c r="G1611" s="181" t="s">
        <v>53</v>
      </c>
      <c r="H1611" s="181" t="s">
        <v>295</v>
      </c>
      <c r="I1611" s="181" t="s">
        <v>296</v>
      </c>
      <c r="J1611" s="181" t="s">
        <v>90</v>
      </c>
      <c r="K1611" t="s">
        <v>2771</v>
      </c>
      <c r="M1611" s="1" t="s">
        <v>58</v>
      </c>
      <c r="N1611" s="1">
        <v>0</v>
      </c>
      <c r="O1611" s="1" t="s">
        <v>36</v>
      </c>
      <c r="P1611" s="48">
        <v>44972.603761574072</v>
      </c>
      <c r="R1611" s="1">
        <v>23</v>
      </c>
      <c r="T1611" s="1" t="s">
        <v>1160</v>
      </c>
      <c r="U1611" s="11" t="s">
        <v>3303</v>
      </c>
      <c r="V1611" s="1" t="s">
        <v>41</v>
      </c>
      <c r="W1611" s="1" t="s">
        <v>49</v>
      </c>
    </row>
    <row r="1612" spans="1:23" hidden="1">
      <c r="A1612" s="1">
        <v>9487037</v>
      </c>
      <c r="B1612" s="1" t="s">
        <v>1153</v>
      </c>
      <c r="C1612" t="s">
        <v>3304</v>
      </c>
      <c r="D1612" s="2">
        <v>20234637000010</v>
      </c>
      <c r="E1612" s="2">
        <v>7419151141178</v>
      </c>
      <c r="F1612" s="1" t="s">
        <v>123</v>
      </c>
      <c r="G1612" s="1" t="s">
        <v>53</v>
      </c>
      <c r="H1612" s="1" t="s">
        <v>2004</v>
      </c>
      <c r="I1612" s="1" t="s">
        <v>2005</v>
      </c>
      <c r="J1612" s="1" t="s">
        <v>79</v>
      </c>
      <c r="K1612" t="s">
        <v>126</v>
      </c>
      <c r="M1612" s="1" t="s">
        <v>58</v>
      </c>
      <c r="N1612" s="1">
        <v>0</v>
      </c>
      <c r="O1612" s="1" t="s">
        <v>105</v>
      </c>
      <c r="P1612" s="48">
        <v>44972.607361111113</v>
      </c>
      <c r="R1612" s="1">
        <v>14</v>
      </c>
      <c r="T1612" s="1" t="s">
        <v>238</v>
      </c>
      <c r="U1612" s="11" t="s">
        <v>3305</v>
      </c>
      <c r="V1612" s="1" t="s">
        <v>41</v>
      </c>
      <c r="W1612" s="1" t="s">
        <v>49</v>
      </c>
    </row>
    <row r="1613" spans="1:23" hidden="1">
      <c r="A1613" s="1">
        <v>9487032</v>
      </c>
      <c r="B1613" s="1" t="s">
        <v>1153</v>
      </c>
      <c r="C1613" t="s">
        <v>3306</v>
      </c>
      <c r="D1613" s="2">
        <v>20230233000018</v>
      </c>
      <c r="E1613" s="2">
        <v>7417183020061</v>
      </c>
      <c r="F1613" s="1" t="s">
        <v>1313</v>
      </c>
      <c r="G1613" s="1" t="s">
        <v>53</v>
      </c>
      <c r="H1613" s="1" t="s">
        <v>2716</v>
      </c>
      <c r="I1613" s="1" t="s">
        <v>2717</v>
      </c>
      <c r="J1613" s="1" t="s">
        <v>261</v>
      </c>
      <c r="K1613" t="s">
        <v>1316</v>
      </c>
      <c r="M1613" s="1" t="s">
        <v>58</v>
      </c>
      <c r="N1613" s="1">
        <v>0</v>
      </c>
      <c r="O1613" s="1" t="s">
        <v>105</v>
      </c>
      <c r="P1613" s="48">
        <v>44972.60465277778</v>
      </c>
      <c r="R1613" s="1">
        <v>14</v>
      </c>
      <c r="T1613" s="1" t="s">
        <v>238</v>
      </c>
      <c r="U1613" s="11" t="s">
        <v>3307</v>
      </c>
      <c r="V1613" s="1" t="s">
        <v>41</v>
      </c>
      <c r="W1613" s="1" t="s">
        <v>49</v>
      </c>
    </row>
    <row r="1614" spans="1:23" hidden="1">
      <c r="A1614" s="1">
        <v>9486990</v>
      </c>
      <c r="B1614" s="1" t="s">
        <v>62</v>
      </c>
      <c r="C1614" t="s">
        <v>3308</v>
      </c>
      <c r="E1614" s="2">
        <v>1924000203000</v>
      </c>
      <c r="F1614" s="1" t="s">
        <v>454</v>
      </c>
      <c r="G1614" s="1" t="s">
        <v>53</v>
      </c>
      <c r="H1614" s="1" t="s">
        <v>568</v>
      </c>
      <c r="I1614" s="1" t="s">
        <v>569</v>
      </c>
      <c r="J1614" s="1" t="s">
        <v>33</v>
      </c>
      <c r="K1614" t="s">
        <v>457</v>
      </c>
      <c r="M1614" s="1" t="s">
        <v>58</v>
      </c>
      <c r="N1614" s="1">
        <v>0</v>
      </c>
      <c r="O1614" s="1" t="s">
        <v>36</v>
      </c>
      <c r="P1614" s="48">
        <v>44972.612916666665</v>
      </c>
      <c r="R1614" s="1" t="s">
        <v>38</v>
      </c>
      <c r="T1614" s="1" t="s">
        <v>157</v>
      </c>
      <c r="U1614" s="186">
        <v>45008.75</v>
      </c>
      <c r="V1614" s="1" t="s">
        <v>41</v>
      </c>
      <c r="W1614" s="1" t="s">
        <v>49</v>
      </c>
    </row>
    <row r="1615" spans="1:23" hidden="1">
      <c r="A1615" s="1">
        <v>9486956</v>
      </c>
      <c r="B1615" s="1" t="s">
        <v>1153</v>
      </c>
      <c r="C1615" t="s">
        <v>3309</v>
      </c>
      <c r="D1615" s="2">
        <v>20231761000013</v>
      </c>
      <c r="E1615" s="2">
        <v>7419141893216</v>
      </c>
      <c r="F1615" s="1" t="s">
        <v>128</v>
      </c>
      <c r="G1615" s="1" t="s">
        <v>53</v>
      </c>
      <c r="H1615" s="1" t="s">
        <v>54</v>
      </c>
      <c r="I1615" s="1" t="s">
        <v>55</v>
      </c>
      <c r="J1615" s="1" t="s">
        <v>56</v>
      </c>
      <c r="K1615" t="s">
        <v>129</v>
      </c>
      <c r="M1615" s="1" t="s">
        <v>58</v>
      </c>
      <c r="N1615" s="1">
        <v>0</v>
      </c>
      <c r="O1615" s="1" t="s">
        <v>105</v>
      </c>
      <c r="P1615" s="48">
        <v>44972.590462962966</v>
      </c>
      <c r="R1615" s="1">
        <v>14</v>
      </c>
      <c r="T1615" s="1" t="s">
        <v>238</v>
      </c>
      <c r="U1615" s="11" t="s">
        <v>3310</v>
      </c>
      <c r="V1615" s="1" t="s">
        <v>41</v>
      </c>
      <c r="W1615" s="1" t="s">
        <v>49</v>
      </c>
    </row>
    <row r="1616" spans="1:23" hidden="1">
      <c r="A1616" s="1">
        <v>9486952</v>
      </c>
      <c r="B1616" s="1" t="s">
        <v>1153</v>
      </c>
      <c r="C1616" t="s">
        <v>3311</v>
      </c>
      <c r="D1616" s="2">
        <v>20231153000015</v>
      </c>
      <c r="E1616" s="2">
        <v>7417163281297</v>
      </c>
      <c r="F1616" s="1" t="s">
        <v>131</v>
      </c>
      <c r="G1616" s="1" t="s">
        <v>53</v>
      </c>
      <c r="H1616" s="1" t="s">
        <v>2399</v>
      </c>
      <c r="I1616" s="1" t="s">
        <v>2400</v>
      </c>
      <c r="J1616" s="1" t="s">
        <v>79</v>
      </c>
      <c r="K1616" t="s">
        <v>132</v>
      </c>
      <c r="M1616" s="1" t="s">
        <v>58</v>
      </c>
      <c r="N1616" s="1">
        <v>0</v>
      </c>
      <c r="O1616" s="1" t="s">
        <v>105</v>
      </c>
      <c r="P1616" s="48">
        <v>44972.587812500002</v>
      </c>
      <c r="R1616" s="1">
        <v>14</v>
      </c>
      <c r="T1616" s="1" t="s">
        <v>238</v>
      </c>
      <c r="U1616" s="11" t="s">
        <v>3312</v>
      </c>
      <c r="V1616" s="1" t="s">
        <v>41</v>
      </c>
      <c r="W1616" s="1" t="s">
        <v>49</v>
      </c>
    </row>
    <row r="1617" spans="1:23" hidden="1">
      <c r="A1617" s="1">
        <v>9486883</v>
      </c>
      <c r="B1617" s="1" t="s">
        <v>1153</v>
      </c>
      <c r="C1617" t="s">
        <v>3313</v>
      </c>
      <c r="D1617" s="2">
        <v>20230220000020</v>
      </c>
      <c r="E1617" s="2">
        <v>7417163284482</v>
      </c>
      <c r="F1617" s="1" t="s">
        <v>131</v>
      </c>
      <c r="G1617" s="1" t="s">
        <v>53</v>
      </c>
      <c r="H1617" s="1" t="s">
        <v>2030</v>
      </c>
      <c r="I1617" s="1" t="s">
        <v>2031</v>
      </c>
      <c r="J1617" s="1" t="s">
        <v>110</v>
      </c>
      <c r="K1617" t="s">
        <v>132</v>
      </c>
      <c r="M1617" s="1" t="s">
        <v>58</v>
      </c>
      <c r="N1617" s="1">
        <v>0</v>
      </c>
      <c r="O1617" s="1" t="s">
        <v>105</v>
      </c>
      <c r="P1617" s="48">
        <v>44972.585856481484</v>
      </c>
      <c r="R1617" s="1">
        <v>14</v>
      </c>
      <c r="T1617" s="1" t="s">
        <v>238</v>
      </c>
      <c r="U1617" s="11" t="s">
        <v>3314</v>
      </c>
      <c r="V1617" s="1" t="s">
        <v>41</v>
      </c>
      <c r="W1617" s="1" t="s">
        <v>49</v>
      </c>
    </row>
    <row r="1618" spans="1:23" hidden="1">
      <c r="A1618" s="1">
        <v>9486864</v>
      </c>
      <c r="B1618" s="1" t="s">
        <v>1153</v>
      </c>
      <c r="C1618" t="s">
        <v>3315</v>
      </c>
      <c r="D1618" s="2">
        <v>20234637000009</v>
      </c>
      <c r="E1618" s="2">
        <v>7417163284105</v>
      </c>
      <c r="F1618" s="1" t="s">
        <v>131</v>
      </c>
      <c r="G1618" s="1" t="s">
        <v>53</v>
      </c>
      <c r="H1618" s="1" t="s">
        <v>2004</v>
      </c>
      <c r="I1618" s="1" t="s">
        <v>2005</v>
      </c>
      <c r="J1618" s="1" t="s">
        <v>79</v>
      </c>
      <c r="K1618" t="s">
        <v>132</v>
      </c>
      <c r="M1618" s="1" t="s">
        <v>58</v>
      </c>
      <c r="N1618" s="1">
        <v>0</v>
      </c>
      <c r="O1618" s="1" t="s">
        <v>105</v>
      </c>
      <c r="P1618" s="48">
        <v>44972.581979166665</v>
      </c>
      <c r="R1618" s="1">
        <v>14</v>
      </c>
      <c r="T1618" s="1" t="s">
        <v>238</v>
      </c>
      <c r="U1618" s="11" t="s">
        <v>3316</v>
      </c>
      <c r="V1618" s="1" t="s">
        <v>41</v>
      </c>
      <c r="W1618" s="1" t="s">
        <v>49</v>
      </c>
    </row>
    <row r="1619" spans="1:23" hidden="1">
      <c r="A1619" s="1">
        <v>9486858</v>
      </c>
      <c r="B1619" s="1" t="s">
        <v>1153</v>
      </c>
      <c r="C1619" t="s">
        <v>3317</v>
      </c>
      <c r="E1619" s="2">
        <v>2802000206001</v>
      </c>
      <c r="F1619" s="1" t="s">
        <v>29</v>
      </c>
      <c r="G1619" s="1" t="s">
        <v>53</v>
      </c>
      <c r="H1619" s="1" t="s">
        <v>388</v>
      </c>
      <c r="I1619" s="1" t="s">
        <v>389</v>
      </c>
      <c r="J1619" s="1" t="s">
        <v>46</v>
      </c>
      <c r="K1619" t="s">
        <v>34</v>
      </c>
      <c r="M1619" s="1" t="s">
        <v>35</v>
      </c>
      <c r="N1619" s="1">
        <v>42318949</v>
      </c>
      <c r="O1619" s="1" t="s">
        <v>36</v>
      </c>
      <c r="P1619" s="48">
        <v>44972.594456018516</v>
      </c>
      <c r="R1619" s="1" t="s">
        <v>38</v>
      </c>
      <c r="T1619" s="1" t="s">
        <v>74</v>
      </c>
      <c r="U1619" s="11" t="s">
        <v>3318</v>
      </c>
      <c r="V1619" s="1" t="s">
        <v>41</v>
      </c>
      <c r="W1619" s="1" t="s">
        <v>49</v>
      </c>
    </row>
    <row r="1620" spans="1:23">
      <c r="A1620" s="1">
        <v>9486855</v>
      </c>
      <c r="B1620" s="1" t="s">
        <v>1153</v>
      </c>
      <c r="C1620" t="s">
        <v>2957</v>
      </c>
      <c r="E1620" s="2">
        <v>608000206001</v>
      </c>
      <c r="F1620" s="1" t="s">
        <v>29</v>
      </c>
      <c r="G1620" s="1" t="s">
        <v>53</v>
      </c>
      <c r="H1620" s="1" t="s">
        <v>438</v>
      </c>
      <c r="I1620" s="1" t="s">
        <v>439</v>
      </c>
      <c r="J1620" s="1" t="s">
        <v>148</v>
      </c>
      <c r="K1620" t="s">
        <v>34</v>
      </c>
      <c r="M1620" s="1" t="s">
        <v>35</v>
      </c>
      <c r="N1620" s="1">
        <v>42318949</v>
      </c>
      <c r="O1620" s="1" t="s">
        <v>36</v>
      </c>
      <c r="P1620" s="48">
        <v>44972.594259259262</v>
      </c>
      <c r="R1620" s="1" t="s">
        <v>38</v>
      </c>
      <c r="T1620" s="1" t="s">
        <v>74</v>
      </c>
      <c r="U1620" s="11" t="s">
        <v>3319</v>
      </c>
      <c r="V1620" s="1" t="s">
        <v>41</v>
      </c>
      <c r="W1620" s="1" t="s">
        <v>49</v>
      </c>
    </row>
    <row r="1621" spans="1:23" hidden="1">
      <c r="A1621" s="1">
        <v>9486824</v>
      </c>
      <c r="B1621" s="1" t="s">
        <v>1153</v>
      </c>
      <c r="C1621" t="s">
        <v>3320</v>
      </c>
      <c r="D1621" s="2">
        <v>230029551</v>
      </c>
      <c r="E1621" s="2">
        <v>2138001400030</v>
      </c>
      <c r="F1621" s="1" t="s">
        <v>647</v>
      </c>
      <c r="G1621" s="1" t="s">
        <v>53</v>
      </c>
      <c r="H1621" s="1" t="s">
        <v>379</v>
      </c>
      <c r="I1621" s="1" t="s">
        <v>380</v>
      </c>
      <c r="J1621" s="1" t="s">
        <v>46</v>
      </c>
      <c r="K1621" t="s">
        <v>650</v>
      </c>
      <c r="M1621" s="1" t="s">
        <v>58</v>
      </c>
      <c r="N1621" s="1">
        <v>0</v>
      </c>
      <c r="O1621" s="1" t="s">
        <v>105</v>
      </c>
      <c r="P1621" s="48">
        <v>44972.58697916667</v>
      </c>
      <c r="R1621" s="1">
        <v>4</v>
      </c>
      <c r="T1621" s="1" t="s">
        <v>646</v>
      </c>
      <c r="U1621" s="11" t="s">
        <v>3321</v>
      </c>
      <c r="V1621" s="1" t="s">
        <v>41</v>
      </c>
      <c r="W1621" s="1" t="s">
        <v>49</v>
      </c>
    </row>
    <row r="1622" spans="1:23" hidden="1">
      <c r="A1622" s="1">
        <v>9486821</v>
      </c>
      <c r="B1622" s="1" t="s">
        <v>1153</v>
      </c>
      <c r="C1622" t="s">
        <v>3322</v>
      </c>
      <c r="D1622" s="2">
        <v>230029549</v>
      </c>
      <c r="E1622" s="2">
        <v>2138001400030</v>
      </c>
      <c r="F1622" s="1" t="s">
        <v>647</v>
      </c>
      <c r="G1622" s="1" t="s">
        <v>53</v>
      </c>
      <c r="H1622" s="1" t="s">
        <v>379</v>
      </c>
      <c r="I1622" s="1" t="s">
        <v>380</v>
      </c>
      <c r="J1622" s="1" t="s">
        <v>46</v>
      </c>
      <c r="K1622" t="s">
        <v>650</v>
      </c>
      <c r="M1622" s="1" t="s">
        <v>58</v>
      </c>
      <c r="N1622" s="1">
        <v>0</v>
      </c>
      <c r="O1622" s="1" t="s">
        <v>105</v>
      </c>
      <c r="P1622" s="48">
        <v>44972.586805555555</v>
      </c>
      <c r="R1622" s="1">
        <v>4</v>
      </c>
      <c r="T1622" s="1" t="s">
        <v>646</v>
      </c>
      <c r="U1622" s="11" t="s">
        <v>2018</v>
      </c>
      <c r="V1622" s="1" t="s">
        <v>41</v>
      </c>
      <c r="W1622" s="1" t="s">
        <v>49</v>
      </c>
    </row>
    <row r="1623" spans="1:23" hidden="1">
      <c r="A1623" s="1">
        <v>9486673</v>
      </c>
      <c r="B1623" s="1" t="s">
        <v>1153</v>
      </c>
      <c r="C1623" t="s">
        <v>3323</v>
      </c>
      <c r="D1623" s="2">
        <v>20230446000013</v>
      </c>
      <c r="E1623" s="2">
        <v>7417163284281</v>
      </c>
      <c r="F1623" s="1" t="s">
        <v>131</v>
      </c>
      <c r="G1623" s="1" t="s">
        <v>53</v>
      </c>
      <c r="H1623" s="1" t="s">
        <v>3324</v>
      </c>
      <c r="I1623" s="1" t="s">
        <v>3325</v>
      </c>
      <c r="J1623" s="1" t="s">
        <v>110</v>
      </c>
      <c r="K1623" t="s">
        <v>132</v>
      </c>
      <c r="M1623" s="1" t="s">
        <v>58</v>
      </c>
      <c r="N1623" s="1">
        <v>0</v>
      </c>
      <c r="O1623" s="1" t="s">
        <v>105</v>
      </c>
      <c r="P1623" s="48">
        <v>44972.550717592596</v>
      </c>
      <c r="R1623" s="1">
        <v>14</v>
      </c>
      <c r="T1623" s="1" t="s">
        <v>238</v>
      </c>
      <c r="U1623" s="11" t="s">
        <v>3326</v>
      </c>
      <c r="V1623" s="1" t="s">
        <v>41</v>
      </c>
      <c r="W1623" s="1" t="s">
        <v>49</v>
      </c>
    </row>
    <row r="1624" spans="1:23" hidden="1">
      <c r="A1624" s="1">
        <v>9486549</v>
      </c>
      <c r="B1624" s="1" t="s">
        <v>1153</v>
      </c>
      <c r="C1624" t="s">
        <v>3327</v>
      </c>
      <c r="D1624" s="2">
        <v>20234924000057</v>
      </c>
      <c r="E1624" s="2">
        <v>7417161483343</v>
      </c>
      <c r="F1624" s="1" t="s">
        <v>1217</v>
      </c>
      <c r="G1624" s="1" t="s">
        <v>53</v>
      </c>
      <c r="H1624" s="1" t="s">
        <v>3328</v>
      </c>
      <c r="I1624" s="1" t="s">
        <v>3329</v>
      </c>
      <c r="J1624" s="1" t="s">
        <v>79</v>
      </c>
      <c r="K1624" t="s">
        <v>1218</v>
      </c>
      <c r="M1624" s="1" t="s">
        <v>58</v>
      </c>
      <c r="N1624" s="1">
        <v>0</v>
      </c>
      <c r="O1624" s="1" t="s">
        <v>105</v>
      </c>
      <c r="P1624" s="48">
        <v>44972.532650462963</v>
      </c>
      <c r="R1624" s="1">
        <v>14</v>
      </c>
      <c r="T1624" s="1" t="s">
        <v>238</v>
      </c>
      <c r="U1624" s="11" t="s">
        <v>3330</v>
      </c>
      <c r="V1624" s="1" t="s">
        <v>41</v>
      </c>
      <c r="W1624" s="1" t="s">
        <v>49</v>
      </c>
    </row>
    <row r="1625" spans="1:23" hidden="1">
      <c r="A1625" s="1">
        <v>9486547</v>
      </c>
      <c r="B1625" s="1" t="s">
        <v>1153</v>
      </c>
      <c r="C1625" t="s">
        <v>3331</v>
      </c>
      <c r="D1625" s="2">
        <v>20234924000056</v>
      </c>
      <c r="E1625" s="2">
        <v>7417161483342</v>
      </c>
      <c r="F1625" s="1" t="s">
        <v>1217</v>
      </c>
      <c r="G1625" s="1" t="s">
        <v>53</v>
      </c>
      <c r="H1625" s="1" t="s">
        <v>3328</v>
      </c>
      <c r="I1625" s="1" t="s">
        <v>3329</v>
      </c>
      <c r="J1625" s="1" t="s">
        <v>79</v>
      </c>
      <c r="K1625" t="s">
        <v>1218</v>
      </c>
      <c r="M1625" s="1" t="s">
        <v>58</v>
      </c>
      <c r="N1625" s="1">
        <v>0</v>
      </c>
      <c r="O1625" s="1" t="s">
        <v>105</v>
      </c>
      <c r="P1625" s="48">
        <v>44972.531030092592</v>
      </c>
      <c r="R1625" s="1">
        <v>14</v>
      </c>
      <c r="T1625" s="1" t="s">
        <v>238</v>
      </c>
      <c r="U1625" s="11" t="s">
        <v>3332</v>
      </c>
      <c r="V1625" s="1" t="s">
        <v>41</v>
      </c>
      <c r="W1625" s="1" t="s">
        <v>49</v>
      </c>
    </row>
    <row r="1626" spans="1:23" hidden="1">
      <c r="A1626" s="1">
        <v>9486473</v>
      </c>
      <c r="B1626" s="1" t="s">
        <v>1153</v>
      </c>
      <c r="C1626" t="s">
        <v>3333</v>
      </c>
      <c r="D1626" s="2">
        <v>20234844000477</v>
      </c>
      <c r="E1626" s="2">
        <v>7419141892254</v>
      </c>
      <c r="F1626" s="1" t="s">
        <v>128</v>
      </c>
      <c r="G1626" s="1" t="s">
        <v>53</v>
      </c>
      <c r="H1626" s="1" t="s">
        <v>2059</v>
      </c>
      <c r="I1626" s="1" t="s">
        <v>2060</v>
      </c>
      <c r="J1626" s="1" t="s">
        <v>46</v>
      </c>
      <c r="K1626" t="s">
        <v>129</v>
      </c>
      <c r="M1626" s="1" t="s">
        <v>58</v>
      </c>
      <c r="N1626" s="1">
        <v>0</v>
      </c>
      <c r="O1626" s="1" t="s">
        <v>105</v>
      </c>
      <c r="P1626" s="48">
        <v>44972.520104166666</v>
      </c>
      <c r="R1626" s="1">
        <v>13</v>
      </c>
      <c r="T1626" s="1" t="s">
        <v>238</v>
      </c>
      <c r="U1626" s="11" t="s">
        <v>3334</v>
      </c>
      <c r="V1626" s="1" t="s">
        <v>41</v>
      </c>
      <c r="W1626" s="1" t="s">
        <v>49</v>
      </c>
    </row>
    <row r="1627" spans="1:23" hidden="1">
      <c r="A1627" s="1">
        <v>9486434</v>
      </c>
      <c r="B1627" s="1" t="s">
        <v>1153</v>
      </c>
      <c r="C1627" t="s">
        <v>3335</v>
      </c>
      <c r="E1627" s="2">
        <v>9704000206001</v>
      </c>
      <c r="F1627" s="1" t="s">
        <v>29</v>
      </c>
      <c r="G1627" s="1" t="s">
        <v>53</v>
      </c>
      <c r="H1627" s="1" t="s">
        <v>488</v>
      </c>
      <c r="I1627" s="1" t="s">
        <v>489</v>
      </c>
      <c r="J1627" s="1" t="s">
        <v>164</v>
      </c>
      <c r="K1627" t="s">
        <v>34</v>
      </c>
      <c r="M1627" s="1" t="s">
        <v>35</v>
      </c>
      <c r="N1627" s="1">
        <v>42318949</v>
      </c>
      <c r="O1627" s="1" t="s">
        <v>36</v>
      </c>
      <c r="P1627" s="48">
        <v>44972.521770833337</v>
      </c>
      <c r="R1627" s="1" t="s">
        <v>38</v>
      </c>
      <c r="T1627" s="1" t="s">
        <v>74</v>
      </c>
      <c r="U1627" s="11" t="s">
        <v>3336</v>
      </c>
      <c r="V1627" s="1" t="s">
        <v>41</v>
      </c>
      <c r="W1627" s="1" t="s">
        <v>49</v>
      </c>
    </row>
    <row r="1628" spans="1:23" hidden="1">
      <c r="A1628" s="1">
        <v>9486403</v>
      </c>
      <c r="B1628" s="1" t="s">
        <v>1153</v>
      </c>
      <c r="C1628" t="s">
        <v>3337</v>
      </c>
      <c r="D1628" s="2">
        <v>20234844000476</v>
      </c>
      <c r="E1628" s="2">
        <v>7419143322520</v>
      </c>
      <c r="F1628" s="1" t="s">
        <v>1222</v>
      </c>
      <c r="G1628" s="1" t="s">
        <v>53</v>
      </c>
      <c r="H1628" s="1" t="s">
        <v>2478</v>
      </c>
      <c r="I1628" s="1" t="s">
        <v>2479</v>
      </c>
      <c r="J1628" s="1" t="s">
        <v>46</v>
      </c>
      <c r="K1628" t="s">
        <v>1223</v>
      </c>
      <c r="M1628" s="1" t="s">
        <v>58</v>
      </c>
      <c r="N1628" s="1">
        <v>0</v>
      </c>
      <c r="O1628" s="1" t="s">
        <v>105</v>
      </c>
      <c r="P1628" s="48">
        <v>44972.509918981479</v>
      </c>
      <c r="R1628" s="1">
        <v>13</v>
      </c>
      <c r="T1628" s="1" t="s">
        <v>238</v>
      </c>
      <c r="U1628" s="11" t="s">
        <v>3338</v>
      </c>
      <c r="V1628" s="1" t="s">
        <v>41</v>
      </c>
      <c r="W1628" s="1" t="s">
        <v>49</v>
      </c>
    </row>
    <row r="1629" spans="1:23" hidden="1">
      <c r="A1629" s="1">
        <v>9486167</v>
      </c>
      <c r="B1629" s="1" t="s">
        <v>1153</v>
      </c>
      <c r="C1629" t="s">
        <v>3339</v>
      </c>
      <c r="D1629" s="2">
        <v>20234844000474</v>
      </c>
      <c r="E1629" s="2">
        <v>7417161480640</v>
      </c>
      <c r="F1629" s="1" t="s">
        <v>1979</v>
      </c>
      <c r="G1629" s="1" t="s">
        <v>53</v>
      </c>
      <c r="H1629" s="1" t="s">
        <v>2821</v>
      </c>
      <c r="I1629" s="1" t="s">
        <v>2822</v>
      </c>
      <c r="J1629" s="1" t="s">
        <v>46</v>
      </c>
      <c r="K1629" t="s">
        <v>1982</v>
      </c>
      <c r="M1629" s="1" t="s">
        <v>58</v>
      </c>
      <c r="N1629" s="1">
        <v>0</v>
      </c>
      <c r="O1629" s="1" t="s">
        <v>105</v>
      </c>
      <c r="P1629" s="11" t="s">
        <v>3340</v>
      </c>
      <c r="R1629" s="1">
        <v>13</v>
      </c>
      <c r="T1629" s="1" t="s">
        <v>238</v>
      </c>
      <c r="U1629" s="11" t="s">
        <v>3340</v>
      </c>
      <c r="V1629" s="1" t="s">
        <v>41</v>
      </c>
      <c r="W1629" s="1" t="s">
        <v>49</v>
      </c>
    </row>
    <row r="1630" spans="1:23" hidden="1">
      <c r="A1630" s="1">
        <v>9486166</v>
      </c>
      <c r="B1630" s="1" t="s">
        <v>1153</v>
      </c>
      <c r="C1630" t="s">
        <v>3341</v>
      </c>
      <c r="D1630" s="2">
        <v>20234844000473</v>
      </c>
      <c r="E1630" s="2">
        <v>7419143322502</v>
      </c>
      <c r="F1630" s="1" t="s">
        <v>1222</v>
      </c>
      <c r="G1630" s="1" t="s">
        <v>53</v>
      </c>
      <c r="H1630" s="1" t="s">
        <v>2395</v>
      </c>
      <c r="I1630" s="1" t="s">
        <v>2396</v>
      </c>
      <c r="J1630" s="1" t="s">
        <v>46</v>
      </c>
      <c r="K1630" t="s">
        <v>1223</v>
      </c>
      <c r="M1630" s="1" t="s">
        <v>58</v>
      </c>
      <c r="N1630" s="1">
        <v>0</v>
      </c>
      <c r="O1630" s="1" t="s">
        <v>105</v>
      </c>
      <c r="P1630" s="11" t="s">
        <v>3342</v>
      </c>
      <c r="R1630" s="1">
        <v>13</v>
      </c>
      <c r="T1630" s="1" t="s">
        <v>238</v>
      </c>
      <c r="U1630" s="11" t="s">
        <v>3342</v>
      </c>
      <c r="V1630" s="1" t="s">
        <v>41</v>
      </c>
      <c r="W1630" s="1" t="s">
        <v>49</v>
      </c>
    </row>
    <row r="1631" spans="1:23" hidden="1">
      <c r="A1631" s="1">
        <v>9486154</v>
      </c>
      <c r="B1631" s="1" t="s">
        <v>1153</v>
      </c>
      <c r="C1631" t="s">
        <v>3343</v>
      </c>
      <c r="D1631" s="2">
        <v>20232219000014</v>
      </c>
      <c r="E1631" s="2">
        <v>7417202020231</v>
      </c>
      <c r="F1631" s="1" t="s">
        <v>1213</v>
      </c>
      <c r="G1631" s="1" t="s">
        <v>53</v>
      </c>
      <c r="H1631" s="1" t="s">
        <v>1980</v>
      </c>
      <c r="I1631" s="1" t="s">
        <v>1981</v>
      </c>
      <c r="J1631" s="1" t="s">
        <v>141</v>
      </c>
      <c r="K1631" t="s">
        <v>1214</v>
      </c>
      <c r="M1631" s="1" t="s">
        <v>58</v>
      </c>
      <c r="N1631" s="1">
        <v>0</v>
      </c>
      <c r="O1631" s="1" t="s">
        <v>105</v>
      </c>
      <c r="P1631" s="11" t="s">
        <v>3344</v>
      </c>
      <c r="R1631" s="1">
        <v>14</v>
      </c>
      <c r="T1631" s="1" t="s">
        <v>238</v>
      </c>
      <c r="U1631" s="11" t="s">
        <v>3344</v>
      </c>
      <c r="V1631" s="1" t="s">
        <v>41</v>
      </c>
      <c r="W1631" s="1" t="s">
        <v>49</v>
      </c>
    </row>
    <row r="1632" spans="1:23" hidden="1">
      <c r="A1632" s="1">
        <v>9486084</v>
      </c>
      <c r="B1632" s="1" t="s">
        <v>1153</v>
      </c>
      <c r="C1632" t="s">
        <v>3345</v>
      </c>
      <c r="D1632" s="2">
        <v>20238240000007</v>
      </c>
      <c r="E1632" s="2">
        <v>7419152464214</v>
      </c>
      <c r="F1632" s="1" t="s">
        <v>2744</v>
      </c>
      <c r="G1632" s="1" t="s">
        <v>53</v>
      </c>
      <c r="H1632" s="1" t="s">
        <v>3346</v>
      </c>
      <c r="I1632" s="1" t="s">
        <v>3347</v>
      </c>
      <c r="J1632" s="1" t="s">
        <v>46</v>
      </c>
      <c r="K1632" t="s">
        <v>2745</v>
      </c>
      <c r="M1632" s="1" t="s">
        <v>58</v>
      </c>
      <c r="N1632" s="1">
        <v>0</v>
      </c>
      <c r="O1632" s="1" t="s">
        <v>105</v>
      </c>
      <c r="P1632" s="11" t="s">
        <v>3348</v>
      </c>
      <c r="R1632" s="1">
        <v>22</v>
      </c>
      <c r="T1632" s="1" t="s">
        <v>1160</v>
      </c>
      <c r="U1632" s="11" t="s">
        <v>3349</v>
      </c>
      <c r="V1632" s="1" t="s">
        <v>41</v>
      </c>
      <c r="W1632" s="1" t="s">
        <v>49</v>
      </c>
    </row>
    <row r="1633" spans="1:23" hidden="1">
      <c r="A1633" s="1">
        <v>9486015</v>
      </c>
      <c r="B1633" s="1" t="s">
        <v>1153</v>
      </c>
      <c r="C1633" t="s">
        <v>3350</v>
      </c>
      <c r="D1633" s="2">
        <v>20234844000472</v>
      </c>
      <c r="E1633" s="2">
        <v>8558100222021</v>
      </c>
      <c r="F1633" s="1" t="s">
        <v>2995</v>
      </c>
      <c r="G1633" s="1" t="s">
        <v>53</v>
      </c>
      <c r="H1633" s="1" t="s">
        <v>731</v>
      </c>
      <c r="I1633" s="1" t="s">
        <v>732</v>
      </c>
      <c r="J1633" s="1" t="s">
        <v>46</v>
      </c>
      <c r="K1633" t="s">
        <v>2996</v>
      </c>
      <c r="M1633" s="1" t="s">
        <v>58</v>
      </c>
      <c r="N1633" s="1">
        <v>0</v>
      </c>
      <c r="O1633" s="1" t="s">
        <v>105</v>
      </c>
      <c r="P1633" s="11" t="s">
        <v>3351</v>
      </c>
      <c r="R1633" s="1">
        <v>21</v>
      </c>
      <c r="T1633" s="1" t="s">
        <v>1160</v>
      </c>
      <c r="U1633" s="11" t="s">
        <v>3352</v>
      </c>
      <c r="V1633" s="1" t="s">
        <v>41</v>
      </c>
      <c r="W1633" s="1" t="s">
        <v>49</v>
      </c>
    </row>
    <row r="1634" spans="1:23" hidden="1">
      <c r="A1634" s="1">
        <v>9485948</v>
      </c>
      <c r="B1634" s="1" t="s">
        <v>1153</v>
      </c>
      <c r="C1634" t="s">
        <v>3353</v>
      </c>
      <c r="D1634" s="2">
        <v>230029375</v>
      </c>
      <c r="E1634" s="2">
        <v>2669001400020</v>
      </c>
      <c r="F1634" s="1" t="s">
        <v>1961</v>
      </c>
      <c r="G1634" s="1" t="s">
        <v>53</v>
      </c>
      <c r="H1634" s="1" t="s">
        <v>561</v>
      </c>
      <c r="I1634" s="1" t="s">
        <v>562</v>
      </c>
      <c r="J1634" s="1" t="s">
        <v>110</v>
      </c>
      <c r="K1634" t="s">
        <v>1962</v>
      </c>
      <c r="M1634" s="1" t="s">
        <v>58</v>
      </c>
      <c r="N1634" s="1">
        <v>0</v>
      </c>
      <c r="O1634" s="1" t="s">
        <v>105</v>
      </c>
      <c r="P1634" s="11" t="s">
        <v>3354</v>
      </c>
      <c r="R1634" s="1">
        <v>4</v>
      </c>
      <c r="T1634" s="1" t="s">
        <v>646</v>
      </c>
      <c r="U1634" s="11" t="s">
        <v>3355</v>
      </c>
      <c r="V1634" s="1" t="s">
        <v>41</v>
      </c>
      <c r="W1634" s="1" t="s">
        <v>49</v>
      </c>
    </row>
    <row r="1635" spans="1:23" hidden="1">
      <c r="A1635" s="1">
        <v>9485898</v>
      </c>
      <c r="B1635" s="1" t="s">
        <v>1153</v>
      </c>
      <c r="C1635" t="s">
        <v>3356</v>
      </c>
      <c r="D1635" s="2">
        <v>20230067000019</v>
      </c>
      <c r="E1635" s="2">
        <v>7417183020616</v>
      </c>
      <c r="F1635" s="1" t="s">
        <v>1313</v>
      </c>
      <c r="G1635" s="1" t="s">
        <v>53</v>
      </c>
      <c r="H1635" s="1" t="s">
        <v>2091</v>
      </c>
      <c r="I1635" s="1" t="s">
        <v>2092</v>
      </c>
      <c r="J1635" s="1" t="s">
        <v>164</v>
      </c>
      <c r="K1635" t="s">
        <v>1316</v>
      </c>
      <c r="M1635" s="1" t="s">
        <v>58</v>
      </c>
      <c r="N1635" s="1">
        <v>0</v>
      </c>
      <c r="O1635" s="1" t="s">
        <v>105</v>
      </c>
      <c r="P1635" s="11" t="s">
        <v>3357</v>
      </c>
      <c r="R1635" s="1">
        <v>14</v>
      </c>
      <c r="T1635" s="1" t="s">
        <v>238</v>
      </c>
      <c r="U1635" s="11" t="s">
        <v>3357</v>
      </c>
      <c r="V1635" s="1" t="s">
        <v>41</v>
      </c>
      <c r="W1635" s="1" t="s">
        <v>49</v>
      </c>
    </row>
    <row r="1636" spans="1:23" hidden="1">
      <c r="A1636" s="1">
        <v>9485890</v>
      </c>
      <c r="B1636" s="1" t="s">
        <v>1153</v>
      </c>
      <c r="C1636" t="s">
        <v>3358</v>
      </c>
      <c r="D1636" s="2">
        <v>230029350</v>
      </c>
      <c r="E1636" s="2">
        <v>2138001400030</v>
      </c>
      <c r="F1636" s="1" t="s">
        <v>647</v>
      </c>
      <c r="G1636" s="1" t="s">
        <v>53</v>
      </c>
      <c r="H1636" s="1" t="s">
        <v>379</v>
      </c>
      <c r="I1636" s="1" t="s">
        <v>380</v>
      </c>
      <c r="J1636" s="1" t="s">
        <v>46</v>
      </c>
      <c r="K1636" t="s">
        <v>650</v>
      </c>
      <c r="M1636" s="1" t="s">
        <v>58</v>
      </c>
      <c r="N1636" s="1">
        <v>0</v>
      </c>
      <c r="O1636" s="1" t="s">
        <v>105</v>
      </c>
      <c r="P1636" s="11" t="s">
        <v>3359</v>
      </c>
      <c r="R1636" s="1">
        <v>4</v>
      </c>
      <c r="T1636" s="1" t="s">
        <v>646</v>
      </c>
      <c r="U1636" s="11" t="s">
        <v>3360</v>
      </c>
      <c r="V1636" s="1" t="s">
        <v>41</v>
      </c>
      <c r="W1636" s="1" t="s">
        <v>49</v>
      </c>
    </row>
    <row r="1637" spans="1:23" hidden="1">
      <c r="A1637" s="1">
        <v>9485824</v>
      </c>
      <c r="B1637" s="1" t="s">
        <v>1153</v>
      </c>
      <c r="C1637" t="s">
        <v>3361</v>
      </c>
      <c r="D1637" s="2">
        <v>20234844000471</v>
      </c>
      <c r="E1637" s="2">
        <v>7417193471242</v>
      </c>
      <c r="F1637" s="1" t="s">
        <v>2698</v>
      </c>
      <c r="G1637" s="1" t="s">
        <v>53</v>
      </c>
      <c r="H1637" s="1" t="s">
        <v>827</v>
      </c>
      <c r="I1637" s="1" t="s">
        <v>828</v>
      </c>
      <c r="K1637" t="s">
        <v>2701</v>
      </c>
      <c r="M1637" s="1" t="s">
        <v>58</v>
      </c>
      <c r="N1637" s="1">
        <v>0</v>
      </c>
      <c r="O1637" s="1" t="s">
        <v>105</v>
      </c>
      <c r="P1637" s="11" t="s">
        <v>3362</v>
      </c>
      <c r="R1637" s="1">
        <v>13</v>
      </c>
      <c r="S1637" s="1">
        <v>4804</v>
      </c>
      <c r="T1637" s="1" t="s">
        <v>238</v>
      </c>
      <c r="U1637" s="11" t="s">
        <v>3362</v>
      </c>
      <c r="V1637" s="1" t="s">
        <v>41</v>
      </c>
      <c r="W1637" s="1" t="s">
        <v>49</v>
      </c>
    </row>
    <row r="1638" spans="1:23" hidden="1">
      <c r="A1638" s="1">
        <v>9485808</v>
      </c>
      <c r="B1638" s="1" t="s">
        <v>1153</v>
      </c>
      <c r="C1638" t="s">
        <v>3363</v>
      </c>
      <c r="D1638" s="2">
        <v>20233924000005</v>
      </c>
      <c r="E1638" s="2">
        <v>7419152462780</v>
      </c>
      <c r="F1638" s="1" t="s">
        <v>2744</v>
      </c>
      <c r="G1638" s="1" t="s">
        <v>53</v>
      </c>
      <c r="H1638" s="1" t="s">
        <v>153</v>
      </c>
      <c r="I1638" s="1" t="s">
        <v>154</v>
      </c>
      <c r="J1638" s="1" t="s">
        <v>56</v>
      </c>
      <c r="K1638" t="s">
        <v>2745</v>
      </c>
      <c r="M1638" s="1" t="s">
        <v>58</v>
      </c>
      <c r="N1638" s="1">
        <v>0</v>
      </c>
      <c r="O1638" s="1" t="s">
        <v>105</v>
      </c>
      <c r="P1638" s="11" t="s">
        <v>3364</v>
      </c>
      <c r="R1638" s="1">
        <v>22</v>
      </c>
      <c r="T1638" s="1" t="s">
        <v>1160</v>
      </c>
      <c r="U1638" s="11" t="s">
        <v>3365</v>
      </c>
      <c r="V1638" s="1" t="s">
        <v>41</v>
      </c>
      <c r="W1638" s="1" t="s">
        <v>49</v>
      </c>
    </row>
    <row r="1639" spans="1:23" hidden="1">
      <c r="A1639" s="1">
        <v>9485780</v>
      </c>
      <c r="B1639" s="1" t="s">
        <v>1153</v>
      </c>
      <c r="C1639" t="s">
        <v>3366</v>
      </c>
      <c r="E1639" s="2">
        <v>934000206001</v>
      </c>
      <c r="F1639" s="1" t="s">
        <v>29</v>
      </c>
      <c r="G1639" s="1" t="s">
        <v>53</v>
      </c>
      <c r="H1639" s="1" t="s">
        <v>428</v>
      </c>
      <c r="I1639" s="1" t="s">
        <v>429</v>
      </c>
      <c r="J1639" s="1" t="s">
        <v>46</v>
      </c>
      <c r="K1639" t="s">
        <v>34</v>
      </c>
      <c r="M1639" s="1" t="s">
        <v>35</v>
      </c>
      <c r="N1639" s="1">
        <v>42318949</v>
      </c>
      <c r="O1639" s="1" t="s">
        <v>36</v>
      </c>
      <c r="P1639" s="11" t="s">
        <v>3367</v>
      </c>
      <c r="R1639" s="1" t="s">
        <v>38</v>
      </c>
      <c r="T1639" s="1" t="s">
        <v>74</v>
      </c>
      <c r="U1639" s="186">
        <v>44973.438680555555</v>
      </c>
      <c r="V1639" s="1" t="s">
        <v>41</v>
      </c>
      <c r="W1639" s="1" t="s">
        <v>49</v>
      </c>
    </row>
    <row r="1640" spans="1:23">
      <c r="A1640" s="1">
        <v>9485767</v>
      </c>
      <c r="B1640" s="1" t="s">
        <v>1153</v>
      </c>
      <c r="C1640" t="s">
        <v>3368</v>
      </c>
      <c r="E1640" s="2">
        <v>9705000206205</v>
      </c>
      <c r="F1640" s="1" t="s">
        <v>208</v>
      </c>
      <c r="G1640" s="1" t="s">
        <v>53</v>
      </c>
      <c r="H1640" s="1" t="s">
        <v>204</v>
      </c>
      <c r="I1640" s="1" t="s">
        <v>205</v>
      </c>
      <c r="J1640" s="1" t="s">
        <v>90</v>
      </c>
      <c r="K1640" t="s">
        <v>212</v>
      </c>
      <c r="M1640" s="1" t="s">
        <v>35</v>
      </c>
      <c r="N1640" s="1">
        <v>42318949</v>
      </c>
      <c r="O1640" s="1" t="s">
        <v>36</v>
      </c>
      <c r="P1640" s="11" t="s">
        <v>3369</v>
      </c>
      <c r="R1640" s="1" t="s">
        <v>38</v>
      </c>
      <c r="T1640" s="1" t="s">
        <v>74</v>
      </c>
      <c r="U1640" s="186">
        <v>44980.607638888891</v>
      </c>
      <c r="V1640" s="1" t="s">
        <v>41</v>
      </c>
      <c r="W1640" s="1" t="s">
        <v>49</v>
      </c>
    </row>
    <row r="1641" spans="1:23" hidden="1">
      <c r="A1641" s="1">
        <v>9485713</v>
      </c>
      <c r="B1641" s="1" t="s">
        <v>1153</v>
      </c>
      <c r="C1641" t="s">
        <v>3370</v>
      </c>
      <c r="D1641" s="2">
        <v>20230922000027</v>
      </c>
      <c r="E1641" s="2">
        <v>7417161482288</v>
      </c>
      <c r="F1641" s="1" t="s">
        <v>1979</v>
      </c>
      <c r="G1641" s="1" t="s">
        <v>53</v>
      </c>
      <c r="H1641" s="1" t="s">
        <v>2410</v>
      </c>
      <c r="I1641" s="1" t="s">
        <v>2411</v>
      </c>
      <c r="J1641" s="1" t="s">
        <v>261</v>
      </c>
      <c r="K1641" t="s">
        <v>1982</v>
      </c>
      <c r="M1641" s="1" t="s">
        <v>58</v>
      </c>
      <c r="N1641" s="1">
        <v>0</v>
      </c>
      <c r="O1641" s="1" t="s">
        <v>105</v>
      </c>
      <c r="P1641" s="11" t="s">
        <v>3371</v>
      </c>
      <c r="R1641" s="1">
        <v>14</v>
      </c>
      <c r="T1641" s="1" t="s">
        <v>238</v>
      </c>
      <c r="U1641" s="186">
        <v>44972.422569444447</v>
      </c>
      <c r="V1641" s="1" t="s">
        <v>41</v>
      </c>
      <c r="W1641" s="1" t="s">
        <v>49</v>
      </c>
    </row>
    <row r="1642" spans="1:23" hidden="1">
      <c r="A1642" s="1">
        <v>9485709</v>
      </c>
      <c r="B1642" s="1" t="s">
        <v>1153</v>
      </c>
      <c r="C1642" t="s">
        <v>3372</v>
      </c>
      <c r="D1642" s="2">
        <v>20230922000026</v>
      </c>
      <c r="E1642" s="2">
        <v>7417183020103</v>
      </c>
      <c r="F1642" s="1" t="s">
        <v>1313</v>
      </c>
      <c r="G1642" s="1" t="s">
        <v>53</v>
      </c>
      <c r="H1642" s="1" t="s">
        <v>2410</v>
      </c>
      <c r="I1642" s="1" t="s">
        <v>2411</v>
      </c>
      <c r="K1642" t="s">
        <v>1316</v>
      </c>
      <c r="M1642" s="1" t="s">
        <v>58</v>
      </c>
      <c r="N1642" s="1">
        <v>0</v>
      </c>
      <c r="O1642" s="1" t="s">
        <v>105</v>
      </c>
      <c r="P1642" s="11" t="s">
        <v>3373</v>
      </c>
      <c r="R1642" s="1">
        <v>14</v>
      </c>
      <c r="T1642" s="1" t="s">
        <v>238</v>
      </c>
      <c r="U1642" s="186">
        <v>44972.421550925923</v>
      </c>
      <c r="V1642" s="1" t="s">
        <v>41</v>
      </c>
      <c r="W1642" s="1" t="s">
        <v>49</v>
      </c>
    </row>
    <row r="1643" spans="1:23" hidden="1">
      <c r="A1643" s="1">
        <v>9485644</v>
      </c>
      <c r="B1643" s="1" t="s">
        <v>1153</v>
      </c>
      <c r="C1643" t="s">
        <v>3374</v>
      </c>
      <c r="D1643" s="2">
        <v>20234844000470</v>
      </c>
      <c r="E1643" s="2">
        <v>7417183020646</v>
      </c>
      <c r="F1643" s="1" t="s">
        <v>1313</v>
      </c>
      <c r="G1643" s="1" t="s">
        <v>53</v>
      </c>
      <c r="H1643" s="1" t="s">
        <v>2883</v>
      </c>
      <c r="I1643" s="1" t="s">
        <v>2884</v>
      </c>
      <c r="J1643" s="1" t="s">
        <v>46</v>
      </c>
      <c r="K1643" t="s">
        <v>1316</v>
      </c>
      <c r="M1643" s="1" t="s">
        <v>58</v>
      </c>
      <c r="N1643" s="1">
        <v>0</v>
      </c>
      <c r="O1643" s="1" t="s">
        <v>105</v>
      </c>
      <c r="P1643" s="11" t="s">
        <v>3375</v>
      </c>
      <c r="R1643" s="1">
        <v>13</v>
      </c>
      <c r="T1643" s="1" t="s">
        <v>238</v>
      </c>
      <c r="U1643" s="11" t="s">
        <v>3375</v>
      </c>
      <c r="V1643" s="1" t="s">
        <v>41</v>
      </c>
      <c r="W1643" s="1" t="s">
        <v>49</v>
      </c>
    </row>
    <row r="1644" spans="1:23" hidden="1">
      <c r="A1644" s="1">
        <v>9485633</v>
      </c>
      <c r="B1644" s="1" t="s">
        <v>1153</v>
      </c>
      <c r="C1644" t="s">
        <v>3376</v>
      </c>
      <c r="D1644" s="2">
        <v>20230220000019</v>
      </c>
      <c r="E1644" s="2">
        <v>7419141892914</v>
      </c>
      <c r="F1644" s="1" t="s">
        <v>128</v>
      </c>
      <c r="G1644" s="1" t="s">
        <v>53</v>
      </c>
      <c r="H1644" s="1" t="s">
        <v>2030</v>
      </c>
      <c r="I1644" s="1" t="s">
        <v>2031</v>
      </c>
      <c r="J1644" s="1" t="s">
        <v>110</v>
      </c>
      <c r="K1644" t="s">
        <v>129</v>
      </c>
      <c r="M1644" s="1" t="s">
        <v>58</v>
      </c>
      <c r="N1644" s="1">
        <v>0</v>
      </c>
      <c r="O1644" s="1" t="s">
        <v>105</v>
      </c>
      <c r="P1644" s="11" t="s">
        <v>3377</v>
      </c>
      <c r="R1644" s="1">
        <v>14</v>
      </c>
      <c r="T1644" s="1" t="s">
        <v>238</v>
      </c>
      <c r="U1644" s="186">
        <v>44972.407731481479</v>
      </c>
      <c r="V1644" s="1" t="s">
        <v>41</v>
      </c>
      <c r="W1644" s="1" t="s">
        <v>49</v>
      </c>
    </row>
    <row r="1645" spans="1:23" hidden="1">
      <c r="A1645" s="1">
        <v>9485521</v>
      </c>
      <c r="B1645" s="1" t="s">
        <v>1153</v>
      </c>
      <c r="C1645" t="s">
        <v>3378</v>
      </c>
      <c r="E1645" s="2">
        <v>2039000206001</v>
      </c>
      <c r="F1645" s="1" t="s">
        <v>29</v>
      </c>
      <c r="G1645" s="1" t="s">
        <v>53</v>
      </c>
      <c r="H1645" s="1" t="s">
        <v>1943</v>
      </c>
      <c r="I1645" s="1" t="s">
        <v>1944</v>
      </c>
      <c r="J1645" s="1" t="s">
        <v>110</v>
      </c>
      <c r="K1645" t="s">
        <v>34</v>
      </c>
      <c r="M1645" s="1" t="s">
        <v>35</v>
      </c>
      <c r="N1645" s="1">
        <v>42318949</v>
      </c>
      <c r="O1645" s="1" t="s">
        <v>36</v>
      </c>
      <c r="P1645" s="11" t="s">
        <v>3379</v>
      </c>
      <c r="R1645" s="1" t="s">
        <v>38</v>
      </c>
      <c r="T1645" s="1" t="s">
        <v>74</v>
      </c>
      <c r="U1645" s="186">
        <v>44973.406793981485</v>
      </c>
      <c r="V1645" s="1" t="s">
        <v>41</v>
      </c>
      <c r="W1645" s="1" t="s">
        <v>49</v>
      </c>
    </row>
    <row r="1646" spans="1:23">
      <c r="A1646" s="181">
        <v>9485455</v>
      </c>
      <c r="B1646" s="181" t="s">
        <v>1153</v>
      </c>
      <c r="C1646" s="182" t="s">
        <v>3380</v>
      </c>
      <c r="D1646" s="183"/>
      <c r="E1646" s="183">
        <v>2156000203000</v>
      </c>
      <c r="F1646" s="181" t="s">
        <v>454</v>
      </c>
      <c r="G1646" s="181" t="s">
        <v>53</v>
      </c>
      <c r="H1646" s="181" t="s">
        <v>278</v>
      </c>
      <c r="I1646" s="181" t="s">
        <v>279</v>
      </c>
      <c r="J1646" s="181" t="s">
        <v>211</v>
      </c>
      <c r="K1646" t="s">
        <v>457</v>
      </c>
      <c r="M1646" s="1" t="s">
        <v>58</v>
      </c>
      <c r="N1646" s="1">
        <v>0</v>
      </c>
      <c r="O1646" s="1" t="s">
        <v>36</v>
      </c>
      <c r="P1646" s="11" t="s">
        <v>3381</v>
      </c>
      <c r="R1646" s="1">
        <v>1</v>
      </c>
      <c r="T1646" s="1" t="s">
        <v>157</v>
      </c>
      <c r="U1646" s="186">
        <v>44973.396921296298</v>
      </c>
      <c r="V1646" s="1" t="s">
        <v>41</v>
      </c>
      <c r="W1646" s="1" t="s">
        <v>49</v>
      </c>
    </row>
    <row r="1647" spans="1:23" hidden="1">
      <c r="A1647" s="1">
        <v>9485401</v>
      </c>
      <c r="B1647" s="1" t="s">
        <v>1153</v>
      </c>
      <c r="C1647" t="s">
        <v>3382</v>
      </c>
      <c r="D1647" s="2">
        <v>20234844000469</v>
      </c>
      <c r="E1647" s="2">
        <v>7417183020642</v>
      </c>
      <c r="F1647" s="1" t="s">
        <v>1313</v>
      </c>
      <c r="G1647" s="1" t="s">
        <v>53</v>
      </c>
      <c r="H1647" s="1" t="s">
        <v>2444</v>
      </c>
      <c r="I1647" s="1" t="s">
        <v>2445</v>
      </c>
      <c r="J1647" s="1" t="s">
        <v>46</v>
      </c>
      <c r="K1647" t="s">
        <v>1316</v>
      </c>
      <c r="M1647" s="1" t="s">
        <v>58</v>
      </c>
      <c r="N1647" s="1">
        <v>0</v>
      </c>
      <c r="O1647" s="1" t="s">
        <v>105</v>
      </c>
      <c r="P1647" s="11" t="s">
        <v>3383</v>
      </c>
      <c r="R1647" s="1">
        <v>13</v>
      </c>
      <c r="T1647" s="1" t="s">
        <v>238</v>
      </c>
      <c r="U1647" s="186">
        <v>44972.395833333336</v>
      </c>
      <c r="V1647" s="1" t="s">
        <v>41</v>
      </c>
      <c r="W1647" s="1" t="s">
        <v>49</v>
      </c>
    </row>
    <row r="1648" spans="1:23">
      <c r="A1648" s="1">
        <v>9485387</v>
      </c>
      <c r="B1648" s="1" t="s">
        <v>1153</v>
      </c>
      <c r="C1648" t="s">
        <v>3384</v>
      </c>
      <c r="D1648" s="2">
        <v>20230870000028</v>
      </c>
      <c r="E1648" s="2">
        <v>7417163283610</v>
      </c>
      <c r="F1648" s="1" t="s">
        <v>131</v>
      </c>
      <c r="G1648" s="1" t="s">
        <v>53</v>
      </c>
      <c r="H1648" s="1" t="s">
        <v>519</v>
      </c>
      <c r="I1648" s="1" t="s">
        <v>520</v>
      </c>
      <c r="J1648" s="1" t="s">
        <v>90</v>
      </c>
      <c r="K1648" t="s">
        <v>132</v>
      </c>
      <c r="M1648" s="1" t="s">
        <v>58</v>
      </c>
      <c r="N1648" s="1">
        <v>0</v>
      </c>
      <c r="O1648" s="1" t="s">
        <v>105</v>
      </c>
      <c r="P1648" s="11" t="s">
        <v>3385</v>
      </c>
      <c r="R1648" s="1">
        <v>14</v>
      </c>
      <c r="T1648" s="1" t="s">
        <v>238</v>
      </c>
      <c r="U1648" s="186">
        <v>44972.395833333336</v>
      </c>
      <c r="V1648" s="1" t="s">
        <v>41</v>
      </c>
      <c r="W1648" s="1" t="s">
        <v>49</v>
      </c>
    </row>
    <row r="1649" spans="1:23" hidden="1">
      <c r="A1649" s="1">
        <v>9485373</v>
      </c>
      <c r="B1649" s="1" t="s">
        <v>1153</v>
      </c>
      <c r="C1649" t="s">
        <v>3386</v>
      </c>
      <c r="E1649" s="2">
        <v>1814000206001</v>
      </c>
      <c r="F1649" s="1" t="s">
        <v>29</v>
      </c>
      <c r="G1649" s="1" t="s">
        <v>53</v>
      </c>
      <c r="H1649" s="1" t="s">
        <v>396</v>
      </c>
      <c r="I1649" s="1" t="s">
        <v>397</v>
      </c>
      <c r="J1649" s="1" t="s">
        <v>46</v>
      </c>
      <c r="K1649" t="s">
        <v>34</v>
      </c>
      <c r="M1649" s="1" t="s">
        <v>35</v>
      </c>
      <c r="N1649" s="1">
        <v>42318949</v>
      </c>
      <c r="O1649" s="1" t="s">
        <v>36</v>
      </c>
      <c r="P1649" s="11" t="s">
        <v>3387</v>
      </c>
      <c r="R1649" s="1" t="s">
        <v>38</v>
      </c>
      <c r="T1649" s="1" t="s">
        <v>74</v>
      </c>
      <c r="U1649" s="186">
        <v>44973.386157407411</v>
      </c>
      <c r="V1649" s="1" t="s">
        <v>41</v>
      </c>
      <c r="W1649" s="1" t="s">
        <v>49</v>
      </c>
    </row>
    <row r="1650" spans="1:23" hidden="1">
      <c r="A1650" s="1">
        <v>9485299</v>
      </c>
      <c r="B1650" s="1" t="s">
        <v>1153</v>
      </c>
      <c r="C1650" t="s">
        <v>3388</v>
      </c>
      <c r="E1650" s="2">
        <v>4997000206001</v>
      </c>
      <c r="F1650" s="1" t="s">
        <v>29</v>
      </c>
      <c r="G1650" s="1" t="s">
        <v>53</v>
      </c>
      <c r="H1650" s="1" t="s">
        <v>406</v>
      </c>
      <c r="I1650" s="1" t="s">
        <v>407</v>
      </c>
      <c r="J1650" s="1" t="s">
        <v>79</v>
      </c>
      <c r="K1650" t="s">
        <v>34</v>
      </c>
      <c r="M1650" s="1" t="s">
        <v>35</v>
      </c>
      <c r="N1650" s="1">
        <v>42318949</v>
      </c>
      <c r="O1650" s="1" t="s">
        <v>36</v>
      </c>
      <c r="P1650" s="11" t="s">
        <v>3389</v>
      </c>
      <c r="R1650" s="1" t="s">
        <v>38</v>
      </c>
      <c r="T1650" s="1" t="s">
        <v>74</v>
      </c>
      <c r="U1650" s="186">
        <v>44980.458333333336</v>
      </c>
      <c r="V1650" s="1" t="s">
        <v>41</v>
      </c>
      <c r="W1650" s="1" t="s">
        <v>49</v>
      </c>
    </row>
    <row r="1651" spans="1:23">
      <c r="A1651" s="1">
        <v>9485253</v>
      </c>
      <c r="B1651" s="1" t="s">
        <v>1153</v>
      </c>
      <c r="C1651" t="s">
        <v>3390</v>
      </c>
      <c r="D1651" s="2">
        <v>20232699000016</v>
      </c>
      <c r="E1651" s="2">
        <v>7419141894741</v>
      </c>
      <c r="F1651" s="1" t="s">
        <v>128</v>
      </c>
      <c r="G1651" s="1" t="s">
        <v>53</v>
      </c>
      <c r="H1651" s="1" t="s">
        <v>2070</v>
      </c>
      <c r="I1651" s="1" t="s">
        <v>2071</v>
      </c>
      <c r="J1651" s="1" t="s">
        <v>148</v>
      </c>
      <c r="K1651" t="s">
        <v>129</v>
      </c>
      <c r="M1651" s="1" t="s">
        <v>58</v>
      </c>
      <c r="N1651" s="1">
        <v>0</v>
      </c>
      <c r="O1651" s="1" t="s">
        <v>36</v>
      </c>
      <c r="P1651" s="11" t="s">
        <v>3391</v>
      </c>
      <c r="R1651" s="1">
        <v>14</v>
      </c>
      <c r="T1651" s="1" t="s">
        <v>238</v>
      </c>
      <c r="U1651" s="11" t="s">
        <v>3392</v>
      </c>
      <c r="V1651" s="1" t="s">
        <v>41</v>
      </c>
      <c r="W1651" s="1" t="s">
        <v>49</v>
      </c>
    </row>
  </sheetData>
  <autoFilter ref="A1:Y1651" xr:uid="{00000000-0009-0000-0000-000009000000}">
    <filterColumn colId="9">
      <filters>
        <filter val="TR-ARCOVERDE"/>
        <filter val="TR-CARNAIBA"/>
        <filter val="TR-SALGUEIRO"/>
        <filter val="TR-SERRA TALHADA"/>
      </filters>
    </filterColumn>
  </autoFilter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27F1B-9147-4D81-A6C1-C0BFC49EA3F6}">
  <sheetPr filterMode="1">
    <tabColor rgb="FFFF0000"/>
  </sheetPr>
  <dimension ref="A1:AH1678"/>
  <sheetViews>
    <sheetView zoomScale="90" zoomScaleNormal="90" workbookViewId="0">
      <pane xSplit="10" ySplit="1" topLeftCell="K655" activePane="bottomRight" state="frozen"/>
      <selection pane="bottomRight" activeCell="A1650" sqref="A1650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5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 hidden="1">
      <c r="A2" s="1">
        <v>178166</v>
      </c>
      <c r="B2" s="1" t="s">
        <v>27</v>
      </c>
      <c r="C2" t="s">
        <v>28</v>
      </c>
      <c r="E2" s="2">
        <v>9661000000000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t="s">
        <v>34</v>
      </c>
      <c r="M2" s="1" t="s">
        <v>35</v>
      </c>
      <c r="N2" s="1">
        <v>42318949</v>
      </c>
      <c r="O2" s="1" t="s">
        <v>36</v>
      </c>
      <c r="P2" s="186">
        <v>43502.491805555554</v>
      </c>
      <c r="R2" s="1" t="s">
        <v>38</v>
      </c>
      <c r="T2" s="1" t="s">
        <v>39</v>
      </c>
      <c r="U2" s="186">
        <v>43559.75</v>
      </c>
      <c r="V2" s="1" t="s">
        <v>41</v>
      </c>
      <c r="W2" s="1" t="s">
        <v>42</v>
      </c>
      <c r="X2" s="13" t="str">
        <f>IF(RIGHT(H2,2)&lt;&gt;"00",H2,"")</f>
        <v/>
      </c>
      <c r="Y2" s="2">
        <f t="shared" ref="Y2:Y65" ca="1" si="0">NETWORKDAYS(P2,$Y$1)</f>
        <v>1061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Dosa</v>
      </c>
      <c r="AC2" s="2" t="str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 xml:space="preserve"> ROSEMERE 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5</v>
      </c>
      <c r="AE2" s="2">
        <f t="shared" ref="AE2:AE65" ca="1" si="4">IF(U2=$AE$1,"",U2-$AE$1)</f>
        <v>-1426.9262716435187</v>
      </c>
      <c r="AF2" s="15"/>
      <c r="AH2" s="16"/>
    </row>
    <row r="3" spans="1:34" hidden="1">
      <c r="A3" s="1">
        <v>524537</v>
      </c>
      <c r="B3" s="1" t="s">
        <v>27</v>
      </c>
      <c r="C3" t="s">
        <v>43</v>
      </c>
      <c r="E3" s="2">
        <v>2811000000000</v>
      </c>
      <c r="F3" s="1" t="s">
        <v>29</v>
      </c>
      <c r="G3" s="1" t="s">
        <v>30</v>
      </c>
      <c r="H3" s="1" t="s">
        <v>44</v>
      </c>
      <c r="I3" s="1" t="s">
        <v>45</v>
      </c>
      <c r="J3" s="1" t="s">
        <v>46</v>
      </c>
      <c r="K3" t="s">
        <v>34</v>
      </c>
      <c r="M3" s="1" t="s">
        <v>35</v>
      </c>
      <c r="N3" s="1">
        <v>42318949</v>
      </c>
      <c r="O3" s="1" t="s">
        <v>36</v>
      </c>
      <c r="P3" s="186">
        <v>43735.670127314814</v>
      </c>
      <c r="R3" s="1" t="s">
        <v>38</v>
      </c>
      <c r="T3" s="1" t="s">
        <v>39</v>
      </c>
      <c r="U3" s="186">
        <v>43791.75</v>
      </c>
      <c r="V3" s="1" t="s">
        <v>41</v>
      </c>
      <c r="W3" s="1" t="s">
        <v>49</v>
      </c>
      <c r="X3" s="13" t="str">
        <f t="shared" ref="X3:X66" si="5">IF(RIGHT(H3,2)&lt;&gt;"00",H3,"")</f>
        <v/>
      </c>
      <c r="Y3" s="2">
        <f t="shared" ca="1" si="0"/>
        <v>894</v>
      </c>
      <c r="Z3" s="14">
        <v>1</v>
      </c>
      <c r="AA3" s="1" t="str">
        <f t="shared" ca="1" si="1"/>
        <v>VENCIDO</v>
      </c>
      <c r="AB3" s="1" t="str">
        <f t="shared" si="2"/>
        <v>Dosa</v>
      </c>
      <c r="AC3" s="2" t="str">
        <f t="shared" ref="AC3:AC66" si="6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 xml:space="preserve"> CLEITON </v>
      </c>
      <c r="AD3" s="2">
        <f t="shared" si="3"/>
        <v>5</v>
      </c>
      <c r="AE3" s="2">
        <f t="shared" ca="1" si="4"/>
        <v>-1194.9262716435187</v>
      </c>
      <c r="AF3" s="15"/>
      <c r="AH3" s="17"/>
    </row>
    <row r="4" spans="1:34" hidden="1">
      <c r="A4" s="1">
        <v>526434</v>
      </c>
      <c r="B4" s="1" t="s">
        <v>50</v>
      </c>
      <c r="C4" t="s">
        <v>51</v>
      </c>
      <c r="E4" s="2">
        <v>7419152172059</v>
      </c>
      <c r="F4" s="1" t="s">
        <v>52</v>
      </c>
      <c r="G4" s="1" t="s">
        <v>53</v>
      </c>
      <c r="H4" s="1" t="s">
        <v>54</v>
      </c>
      <c r="I4" s="1" t="s">
        <v>55</v>
      </c>
      <c r="J4" s="1" t="s">
        <v>56</v>
      </c>
      <c r="K4" t="s">
        <v>57</v>
      </c>
      <c r="M4" s="1" t="s">
        <v>58</v>
      </c>
      <c r="N4" s="1">
        <v>0</v>
      </c>
      <c r="O4" s="1" t="s">
        <v>36</v>
      </c>
      <c r="P4" s="186">
        <v>43738.513159722221</v>
      </c>
      <c r="R4" s="1">
        <v>9</v>
      </c>
      <c r="T4" s="1" t="s">
        <v>60</v>
      </c>
      <c r="U4" s="186">
        <v>43747.999305555553</v>
      </c>
      <c r="V4" s="1" t="s">
        <v>41</v>
      </c>
      <c r="W4" s="1" t="s">
        <v>49</v>
      </c>
      <c r="X4" s="13" t="str">
        <f t="shared" si="5"/>
        <v>1761.91</v>
      </c>
      <c r="Y4" s="2">
        <f t="shared" ca="1" si="0"/>
        <v>893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 t="str">
        <f t="shared" si="6"/>
        <v xml:space="preserve"> CRISTINA </v>
      </c>
      <c r="AD4" s="2">
        <f t="shared" si="3"/>
        <v>8</v>
      </c>
      <c r="AE4" s="2">
        <f t="shared" ca="1" si="4"/>
        <v>-1238.6769660879654</v>
      </c>
      <c r="AF4" s="15"/>
      <c r="AH4" s="16"/>
    </row>
    <row r="5" spans="1:34" hidden="1">
      <c r="A5" s="1">
        <v>811950</v>
      </c>
      <c r="B5" s="1" t="s">
        <v>62</v>
      </c>
      <c r="C5" t="s">
        <v>63</v>
      </c>
      <c r="E5" s="2">
        <v>1902016069700</v>
      </c>
      <c r="F5" s="1" t="s">
        <v>64</v>
      </c>
      <c r="G5" s="1" t="s">
        <v>53</v>
      </c>
      <c r="H5" s="1" t="s">
        <v>65</v>
      </c>
      <c r="I5" s="1" t="s">
        <v>66</v>
      </c>
      <c r="J5" s="1" t="s">
        <v>46</v>
      </c>
      <c r="K5" t="s">
        <v>67</v>
      </c>
      <c r="M5" s="1" t="s">
        <v>35</v>
      </c>
      <c r="N5" s="1">
        <v>42318949</v>
      </c>
      <c r="O5" s="1" t="s">
        <v>36</v>
      </c>
      <c r="P5" s="186">
        <v>43948.700069444443</v>
      </c>
      <c r="R5" s="1">
        <v>1</v>
      </c>
      <c r="T5" s="1" t="s">
        <v>69</v>
      </c>
      <c r="U5" s="186"/>
      <c r="V5" s="1" t="s">
        <v>41</v>
      </c>
      <c r="W5" s="1" t="s">
        <v>49</v>
      </c>
      <c r="X5" s="13" t="str">
        <f t="shared" si="5"/>
        <v/>
      </c>
      <c r="Y5" s="2">
        <f t="shared" ca="1" si="0"/>
        <v>743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 t="str">
        <f t="shared" si="6"/>
        <v xml:space="preserve"> CLEITON 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 hidden="1">
      <c r="A6" s="1">
        <v>937455</v>
      </c>
      <c r="B6" s="1" t="s">
        <v>27</v>
      </c>
      <c r="C6" t="s">
        <v>70</v>
      </c>
      <c r="E6" s="2">
        <v>4118000206001</v>
      </c>
      <c r="F6" s="1" t="s">
        <v>29</v>
      </c>
      <c r="G6" s="1" t="s">
        <v>53</v>
      </c>
      <c r="H6" s="1" t="s">
        <v>71</v>
      </c>
      <c r="I6" s="1" t="s">
        <v>72</v>
      </c>
      <c r="J6" s="1" t="s">
        <v>46</v>
      </c>
      <c r="K6" t="s">
        <v>34</v>
      </c>
      <c r="M6" s="1" t="s">
        <v>35</v>
      </c>
      <c r="N6" s="1">
        <v>42318949</v>
      </c>
      <c r="O6" s="1" t="s">
        <v>36</v>
      </c>
      <c r="P6" s="186">
        <v>44040.421030092592</v>
      </c>
      <c r="R6" s="1" t="s">
        <v>38</v>
      </c>
      <c r="T6" s="1" t="s">
        <v>74</v>
      </c>
      <c r="U6" s="186">
        <v>44040.75</v>
      </c>
      <c r="V6" s="1" t="s">
        <v>41</v>
      </c>
      <c r="W6" s="1" t="s">
        <v>49</v>
      </c>
      <c r="X6" s="13" t="str">
        <f t="shared" si="5"/>
        <v/>
      </c>
      <c r="Y6" s="2">
        <f t="shared" ca="1" si="0"/>
        <v>677</v>
      </c>
      <c r="Z6" s="14">
        <v>1</v>
      </c>
      <c r="AA6" s="1" t="str">
        <f t="shared" ca="1" si="1"/>
        <v>VENCIDO</v>
      </c>
      <c r="AB6" s="1" t="str">
        <f t="shared" si="2"/>
        <v>Dosa</v>
      </c>
      <c r="AC6" s="2" t="str">
        <f t="shared" si="6"/>
        <v xml:space="preserve"> CLEITON </v>
      </c>
      <c r="AD6" s="2">
        <f t="shared" si="3"/>
        <v>5</v>
      </c>
      <c r="AE6" s="2">
        <f t="shared" ca="1" si="4"/>
        <v>-945.9262716435187</v>
      </c>
      <c r="AF6" s="15"/>
      <c r="AH6" s="16"/>
    </row>
    <row r="7" spans="1:34" hidden="1">
      <c r="A7" s="1">
        <v>937269</v>
      </c>
      <c r="B7" s="1" t="s">
        <v>27</v>
      </c>
      <c r="C7" t="s">
        <v>76</v>
      </c>
      <c r="E7" s="2">
        <v>711000206001</v>
      </c>
      <c r="F7" s="1" t="s">
        <v>29</v>
      </c>
      <c r="G7" s="1" t="s">
        <v>53</v>
      </c>
      <c r="H7" s="1" t="s">
        <v>77</v>
      </c>
      <c r="I7" s="1" t="s">
        <v>78</v>
      </c>
      <c r="J7" s="1" t="s">
        <v>79</v>
      </c>
      <c r="K7" t="s">
        <v>34</v>
      </c>
      <c r="M7" s="1" t="s">
        <v>35</v>
      </c>
      <c r="N7" s="1">
        <v>42318949</v>
      </c>
      <c r="O7" s="1" t="s">
        <v>36</v>
      </c>
      <c r="P7" s="186">
        <v>44040.420752314814</v>
      </c>
      <c r="R7" s="1" t="s">
        <v>38</v>
      </c>
      <c r="T7" s="1" t="s">
        <v>74</v>
      </c>
      <c r="U7" s="186">
        <v>44040.75</v>
      </c>
      <c r="V7" s="1" t="s">
        <v>41</v>
      </c>
      <c r="W7" s="1" t="s">
        <v>49</v>
      </c>
      <c r="X7" s="13" t="str">
        <f t="shared" si="5"/>
        <v/>
      </c>
      <c r="Y7" s="2">
        <f t="shared" ca="1" si="0"/>
        <v>677</v>
      </c>
      <c r="Z7" s="14">
        <v>1</v>
      </c>
      <c r="AA7" s="1" t="str">
        <f t="shared" ca="1" si="1"/>
        <v>VENCIDO</v>
      </c>
      <c r="AB7" s="1" t="str">
        <f t="shared" si="2"/>
        <v>Dosa</v>
      </c>
      <c r="AC7" s="2" t="str">
        <f t="shared" si="6"/>
        <v xml:space="preserve"> ROSEMERE </v>
      </c>
      <c r="AD7" s="2">
        <f t="shared" si="3"/>
        <v>5</v>
      </c>
      <c r="AE7" s="2">
        <f t="shared" ca="1" si="4"/>
        <v>-945.9262716435187</v>
      </c>
      <c r="AF7" s="15"/>
      <c r="AH7" s="16"/>
    </row>
    <row r="8" spans="1:34" hidden="1">
      <c r="A8" s="1">
        <v>945945</v>
      </c>
      <c r="B8" s="1" t="s">
        <v>81</v>
      </c>
      <c r="C8" t="s">
        <v>82</v>
      </c>
      <c r="E8" s="2">
        <v>917000206001</v>
      </c>
      <c r="F8" s="1" t="s">
        <v>29</v>
      </c>
      <c r="G8" s="1" t="s">
        <v>53</v>
      </c>
      <c r="H8" s="1" t="s">
        <v>83</v>
      </c>
      <c r="I8" s="1" t="s">
        <v>84</v>
      </c>
      <c r="J8" s="1" t="s">
        <v>85</v>
      </c>
      <c r="K8" t="s">
        <v>34</v>
      </c>
      <c r="M8" s="1" t="s">
        <v>35</v>
      </c>
      <c r="N8" s="1">
        <v>42318949</v>
      </c>
      <c r="O8" s="1" t="s">
        <v>36</v>
      </c>
      <c r="P8" s="186">
        <v>44047.485810185186</v>
      </c>
      <c r="R8" s="1" t="s">
        <v>38</v>
      </c>
      <c r="T8" s="1" t="s">
        <v>74</v>
      </c>
      <c r="U8" s="186"/>
      <c r="V8" s="1" t="s">
        <v>41</v>
      </c>
      <c r="W8" s="1" t="s">
        <v>49</v>
      </c>
      <c r="X8" s="13" t="str">
        <f t="shared" si="5"/>
        <v/>
      </c>
      <c r="Y8" s="2">
        <f t="shared" ca="1" si="0"/>
        <v>672</v>
      </c>
      <c r="Z8" s="14">
        <v>1</v>
      </c>
      <c r="AA8" s="1" t="str">
        <f t="shared" ca="1" si="1"/>
        <v>VENCIDO</v>
      </c>
      <c r="AB8" s="1" t="str">
        <f t="shared" si="2"/>
        <v>Dosa</v>
      </c>
      <c r="AC8" s="2" t="str">
        <f t="shared" si="6"/>
        <v xml:space="preserve"> RINALDO </v>
      </c>
      <c r="AD8" s="2">
        <f t="shared" si="3"/>
        <v>5</v>
      </c>
      <c r="AE8" s="2">
        <f t="shared" ca="1" si="4"/>
        <v>-44986.676271643519</v>
      </c>
      <c r="AF8" s="15"/>
      <c r="AH8" s="16"/>
    </row>
    <row r="9" spans="1:34" hidden="1">
      <c r="A9" s="1">
        <v>1007606</v>
      </c>
      <c r="B9" s="1" t="s">
        <v>62</v>
      </c>
      <c r="C9" t="s">
        <v>87</v>
      </c>
      <c r="E9" s="2">
        <v>1059000206001</v>
      </c>
      <c r="F9" s="1" t="s">
        <v>29</v>
      </c>
      <c r="G9" s="1" t="s">
        <v>53</v>
      </c>
      <c r="H9" s="1" t="s">
        <v>88</v>
      </c>
      <c r="I9" s="1" t="s">
        <v>89</v>
      </c>
      <c r="J9" s="1" t="s">
        <v>90</v>
      </c>
      <c r="K9" t="s">
        <v>34</v>
      </c>
      <c r="M9" s="1" t="s">
        <v>35</v>
      </c>
      <c r="N9" s="1">
        <v>42318949</v>
      </c>
      <c r="O9" s="1" t="s">
        <v>36</v>
      </c>
      <c r="P9" s="186">
        <v>44099.640405092592</v>
      </c>
      <c r="R9" s="1" t="s">
        <v>38</v>
      </c>
      <c r="T9" s="1" t="s">
        <v>74</v>
      </c>
      <c r="U9" s="186">
        <v>44144.75</v>
      </c>
      <c r="V9" s="1" t="s">
        <v>41</v>
      </c>
      <c r="W9" s="1" t="s">
        <v>49</v>
      </c>
      <c r="X9" s="13" t="str">
        <f t="shared" si="5"/>
        <v/>
      </c>
      <c r="Y9" s="2">
        <f t="shared" ca="1" si="0"/>
        <v>634</v>
      </c>
      <c r="Z9" s="14">
        <v>1</v>
      </c>
      <c r="AA9" s="1" t="str">
        <f t="shared" ca="1" si="1"/>
        <v>VENCIDO</v>
      </c>
      <c r="AB9" s="1" t="str">
        <f t="shared" si="2"/>
        <v>Dosa</v>
      </c>
      <c r="AC9" s="2" t="str">
        <f t="shared" si="6"/>
        <v xml:space="preserve"> RINALDO </v>
      </c>
      <c r="AD9" s="2">
        <f t="shared" si="3"/>
        <v>5</v>
      </c>
      <c r="AE9" s="2">
        <f t="shared" ca="1" si="4"/>
        <v>-841.9262716435187</v>
      </c>
      <c r="AF9" s="15"/>
      <c r="AH9" s="16"/>
    </row>
    <row r="10" spans="1:34" hidden="1">
      <c r="A10" s="1">
        <v>1739574</v>
      </c>
      <c r="B10" s="1" t="s">
        <v>62</v>
      </c>
      <c r="C10" t="s">
        <v>93</v>
      </c>
      <c r="E10" s="2">
        <v>9661000206001</v>
      </c>
      <c r="F10" s="1" t="s">
        <v>29</v>
      </c>
      <c r="G10" s="1" t="s">
        <v>53</v>
      </c>
      <c r="H10" s="1" t="s">
        <v>31</v>
      </c>
      <c r="I10" s="1" t="s">
        <v>32</v>
      </c>
      <c r="J10" s="1" t="s">
        <v>33</v>
      </c>
      <c r="K10" t="s">
        <v>34</v>
      </c>
      <c r="M10" s="1" t="s">
        <v>35</v>
      </c>
      <c r="N10" s="1">
        <v>42318949</v>
      </c>
      <c r="O10" s="1" t="s">
        <v>36</v>
      </c>
      <c r="P10" s="186">
        <v>44160.784016203703</v>
      </c>
      <c r="R10" s="1" t="s">
        <v>38</v>
      </c>
      <c r="T10" s="1" t="s">
        <v>74</v>
      </c>
      <c r="U10" s="186">
        <v>44204.75</v>
      </c>
      <c r="V10" s="1" t="s">
        <v>41</v>
      </c>
      <c r="W10" s="1" t="s">
        <v>42</v>
      </c>
      <c r="X10" s="13" t="str">
        <f t="shared" si="5"/>
        <v/>
      </c>
      <c r="Y10" s="2">
        <f t="shared" ca="1" si="0"/>
        <v>591</v>
      </c>
      <c r="Z10" s="14">
        <v>1</v>
      </c>
      <c r="AA10" s="1" t="str">
        <f t="shared" ca="1" si="1"/>
        <v>VENCIDO</v>
      </c>
      <c r="AB10" s="1" t="str">
        <f t="shared" si="2"/>
        <v>Dosa</v>
      </c>
      <c r="AC10" s="2" t="str">
        <f t="shared" si="6"/>
        <v xml:space="preserve"> ROSEMERE </v>
      </c>
      <c r="AD10" s="2">
        <f t="shared" si="3"/>
        <v>5</v>
      </c>
      <c r="AE10" s="2">
        <f t="shared" ca="1" si="4"/>
        <v>-781.9262716435187</v>
      </c>
      <c r="AF10" s="15"/>
    </row>
    <row r="11" spans="1:34" hidden="1">
      <c r="A11" s="1">
        <v>1769469</v>
      </c>
      <c r="B11" s="1" t="s">
        <v>62</v>
      </c>
      <c r="C11" t="s">
        <v>96</v>
      </c>
      <c r="E11" s="2">
        <v>9661000206001</v>
      </c>
      <c r="F11" s="1" t="s">
        <v>29</v>
      </c>
      <c r="G11" s="1" t="s">
        <v>53</v>
      </c>
      <c r="H11" s="1" t="s">
        <v>31</v>
      </c>
      <c r="I11" s="1" t="s">
        <v>32</v>
      </c>
      <c r="J11" s="1" t="s">
        <v>33</v>
      </c>
      <c r="K11" t="s">
        <v>34</v>
      </c>
      <c r="M11" s="1" t="s">
        <v>35</v>
      </c>
      <c r="N11" s="1">
        <v>42318949</v>
      </c>
      <c r="O11" s="1" t="s">
        <v>36</v>
      </c>
      <c r="P11" s="186">
        <v>44162.733298611114</v>
      </c>
      <c r="R11" s="1" t="s">
        <v>38</v>
      </c>
      <c r="T11" s="1" t="s">
        <v>74</v>
      </c>
      <c r="U11" s="186">
        <v>44208.75</v>
      </c>
      <c r="V11" s="1" t="s">
        <v>41</v>
      </c>
      <c r="W11" s="1" t="s">
        <v>42</v>
      </c>
      <c r="X11" s="13" t="str">
        <f t="shared" si="5"/>
        <v/>
      </c>
      <c r="Y11" s="2">
        <f t="shared" ca="1" si="0"/>
        <v>589</v>
      </c>
      <c r="Z11" s="14">
        <v>1</v>
      </c>
      <c r="AA11" s="1" t="str">
        <f t="shared" ca="1" si="1"/>
        <v>VENCIDO</v>
      </c>
      <c r="AB11" s="1" t="str">
        <f t="shared" si="2"/>
        <v>Dosa</v>
      </c>
      <c r="AC11" s="2" t="str">
        <f t="shared" si="6"/>
        <v xml:space="preserve"> ROSEMERE </v>
      </c>
      <c r="AD11" s="2">
        <f t="shared" si="3"/>
        <v>5</v>
      </c>
      <c r="AE11" s="2">
        <f t="shared" ca="1" si="4"/>
        <v>-777.9262716435187</v>
      </c>
      <c r="AF11" s="15"/>
    </row>
    <row r="12" spans="1:34" hidden="1">
      <c r="A12" s="1">
        <v>1769442</v>
      </c>
      <c r="B12" s="1" t="s">
        <v>62</v>
      </c>
      <c r="C12" t="s">
        <v>96</v>
      </c>
      <c r="E12" s="2">
        <v>9661000206001</v>
      </c>
      <c r="F12" s="1" t="s">
        <v>29</v>
      </c>
      <c r="G12" s="1" t="s">
        <v>53</v>
      </c>
      <c r="H12" s="1" t="s">
        <v>31</v>
      </c>
      <c r="I12" s="1" t="s">
        <v>32</v>
      </c>
      <c r="J12" s="1" t="s">
        <v>33</v>
      </c>
      <c r="K12" t="s">
        <v>34</v>
      </c>
      <c r="M12" s="1" t="s">
        <v>35</v>
      </c>
      <c r="N12" s="1">
        <v>42318949</v>
      </c>
      <c r="O12" s="1" t="s">
        <v>36</v>
      </c>
      <c r="P12" s="186">
        <v>44162.733263888891</v>
      </c>
      <c r="R12" s="1" t="s">
        <v>38</v>
      </c>
      <c r="T12" s="1" t="s">
        <v>74</v>
      </c>
      <c r="U12" s="186">
        <v>44208.75</v>
      </c>
      <c r="V12" s="1" t="s">
        <v>41</v>
      </c>
      <c r="W12" s="1" t="s">
        <v>42</v>
      </c>
      <c r="X12" s="13" t="str">
        <f t="shared" si="5"/>
        <v/>
      </c>
      <c r="Y12" s="2">
        <f t="shared" ca="1" si="0"/>
        <v>589</v>
      </c>
      <c r="Z12" s="14">
        <v>1</v>
      </c>
      <c r="AA12" s="1" t="str">
        <f t="shared" ca="1" si="1"/>
        <v>VENCIDO</v>
      </c>
      <c r="AB12" s="1" t="str">
        <f t="shared" si="2"/>
        <v>Dosa</v>
      </c>
      <c r="AC12" s="2" t="str">
        <f t="shared" si="6"/>
        <v xml:space="preserve"> ROSEMERE </v>
      </c>
      <c r="AD12" s="2">
        <f t="shared" si="3"/>
        <v>5</v>
      </c>
      <c r="AE12" s="2">
        <f t="shared" ca="1" si="4"/>
        <v>-777.9262716435187</v>
      </c>
      <c r="AF12" s="15"/>
    </row>
    <row r="13" spans="1:34" hidden="1">
      <c r="A13" s="1">
        <v>1769406</v>
      </c>
      <c r="B13" s="1" t="s">
        <v>62</v>
      </c>
      <c r="C13" t="s">
        <v>96</v>
      </c>
      <c r="E13" s="2">
        <v>9661000206001</v>
      </c>
      <c r="F13" s="1" t="s">
        <v>29</v>
      </c>
      <c r="G13" s="1" t="s">
        <v>53</v>
      </c>
      <c r="H13" s="1" t="s">
        <v>31</v>
      </c>
      <c r="I13" s="1" t="s">
        <v>32</v>
      </c>
      <c r="J13" s="1" t="s">
        <v>33</v>
      </c>
      <c r="K13" t="s">
        <v>34</v>
      </c>
      <c r="M13" s="1" t="s">
        <v>35</v>
      </c>
      <c r="N13" s="1">
        <v>42318949</v>
      </c>
      <c r="O13" s="1" t="s">
        <v>36</v>
      </c>
      <c r="P13" s="186">
        <v>44162.733194444445</v>
      </c>
      <c r="R13" s="1" t="s">
        <v>38</v>
      </c>
      <c r="T13" s="1" t="s">
        <v>74</v>
      </c>
      <c r="U13" s="186">
        <v>44208.75</v>
      </c>
      <c r="V13" s="1" t="s">
        <v>41</v>
      </c>
      <c r="W13" s="1" t="s">
        <v>42</v>
      </c>
      <c r="X13" s="13" t="str">
        <f t="shared" si="5"/>
        <v/>
      </c>
      <c r="Y13" s="2">
        <f t="shared" ca="1" si="0"/>
        <v>589</v>
      </c>
      <c r="Z13" s="14">
        <v>1</v>
      </c>
      <c r="AA13" s="1" t="str">
        <f t="shared" ca="1" si="1"/>
        <v>VENCIDO</v>
      </c>
      <c r="AB13" s="1" t="str">
        <f t="shared" si="2"/>
        <v>Dosa</v>
      </c>
      <c r="AC13" s="2" t="str">
        <f t="shared" si="6"/>
        <v xml:space="preserve"> ROSEMERE </v>
      </c>
      <c r="AD13" s="2">
        <f t="shared" si="3"/>
        <v>5</v>
      </c>
      <c r="AE13" s="2">
        <f t="shared" ca="1" si="4"/>
        <v>-777.9262716435187</v>
      </c>
      <c r="AF13" s="15"/>
    </row>
    <row r="14" spans="1:34" hidden="1">
      <c r="A14" s="1">
        <v>2852304</v>
      </c>
      <c r="B14" s="1" t="s">
        <v>101</v>
      </c>
      <c r="C14" t="s">
        <v>102</v>
      </c>
      <c r="E14" s="2">
        <v>1059000202021</v>
      </c>
      <c r="F14" s="1" t="s">
        <v>103</v>
      </c>
      <c r="G14" s="1" t="s">
        <v>53</v>
      </c>
      <c r="H14" s="1" t="s">
        <v>88</v>
      </c>
      <c r="I14" s="1" t="s">
        <v>89</v>
      </c>
      <c r="J14" s="1" t="s">
        <v>90</v>
      </c>
      <c r="K14" t="s">
        <v>104</v>
      </c>
      <c r="M14" s="1" t="s">
        <v>58</v>
      </c>
      <c r="N14" s="1">
        <v>0</v>
      </c>
      <c r="O14" s="1" t="s">
        <v>105</v>
      </c>
      <c r="P14" s="11" t="s">
        <v>106</v>
      </c>
      <c r="R14" s="1" t="s">
        <v>38</v>
      </c>
      <c r="T14" s="1" t="s">
        <v>74</v>
      </c>
      <c r="U14" s="11" t="s">
        <v>107</v>
      </c>
      <c r="V14" s="1" t="s">
        <v>41</v>
      </c>
      <c r="W14" s="1" t="s">
        <v>49</v>
      </c>
      <c r="X14" s="13" t="str">
        <f t="shared" si="5"/>
        <v/>
      </c>
      <c r="Y14" s="2">
        <f t="shared" ca="1" si="0"/>
        <v>544</v>
      </c>
      <c r="Z14" s="14">
        <v>1</v>
      </c>
      <c r="AA14" s="1" t="str">
        <f t="shared" ca="1" si="1"/>
        <v>VENCIDO</v>
      </c>
      <c r="AB14" s="1" t="str">
        <f t="shared" si="2"/>
        <v>Dosa</v>
      </c>
      <c r="AC14" s="2" t="str">
        <f t="shared" si="6"/>
        <v xml:space="preserve"> RINALDO </v>
      </c>
      <c r="AD14" s="2">
        <f t="shared" si="3"/>
        <v>5</v>
      </c>
      <c r="AE14" s="2">
        <f t="shared" ca="1" si="4"/>
        <v>-757.9262716435187</v>
      </c>
      <c r="AF14" s="15"/>
    </row>
    <row r="15" spans="1:34" hidden="1">
      <c r="A15" s="1">
        <v>2852303</v>
      </c>
      <c r="B15" s="1" t="s">
        <v>101</v>
      </c>
      <c r="C15" t="s">
        <v>102</v>
      </c>
      <c r="E15" s="2">
        <v>1363000202022</v>
      </c>
      <c r="F15" s="1" t="s">
        <v>103</v>
      </c>
      <c r="G15" s="1" t="s">
        <v>53</v>
      </c>
      <c r="H15" s="1" t="s">
        <v>108</v>
      </c>
      <c r="I15" s="1" t="s">
        <v>109</v>
      </c>
      <c r="J15" s="1" t="s">
        <v>110</v>
      </c>
      <c r="K15" t="s">
        <v>104</v>
      </c>
      <c r="M15" s="1" t="s">
        <v>58</v>
      </c>
      <c r="N15" s="1">
        <v>0</v>
      </c>
      <c r="O15" s="1" t="s">
        <v>36</v>
      </c>
      <c r="P15" s="11" t="s">
        <v>111</v>
      </c>
      <c r="R15" s="1" t="s">
        <v>38</v>
      </c>
      <c r="T15" s="1" t="s">
        <v>74</v>
      </c>
      <c r="U15" s="11" t="s">
        <v>107</v>
      </c>
      <c r="V15" s="1" t="s">
        <v>41</v>
      </c>
      <c r="W15" s="1" t="s">
        <v>49</v>
      </c>
      <c r="X15" s="13" t="str">
        <f t="shared" si="5"/>
        <v/>
      </c>
      <c r="Y15" s="2">
        <f t="shared" ca="1" si="0"/>
        <v>544</v>
      </c>
      <c r="Z15" s="14">
        <v>1</v>
      </c>
      <c r="AA15" s="1" t="str">
        <f t="shared" ca="1" si="1"/>
        <v>VENCIDO</v>
      </c>
      <c r="AB15" s="1" t="str">
        <f t="shared" si="2"/>
        <v>Dosa</v>
      </c>
      <c r="AC15" s="2" t="str">
        <f t="shared" si="6"/>
        <v xml:space="preserve"> CRISTINA </v>
      </c>
      <c r="AD15" s="2">
        <f t="shared" si="3"/>
        <v>5</v>
      </c>
      <c r="AE15" s="2">
        <f t="shared" ca="1" si="4"/>
        <v>-757.9262716435187</v>
      </c>
      <c r="AF15" s="15"/>
    </row>
    <row r="16" spans="1:34" hidden="1">
      <c r="A16" s="1">
        <v>2852205</v>
      </c>
      <c r="B16" s="1" t="s">
        <v>101</v>
      </c>
      <c r="C16" t="s">
        <v>102</v>
      </c>
      <c r="E16" s="2">
        <v>711002060022</v>
      </c>
      <c r="F16" s="1" t="s">
        <v>103</v>
      </c>
      <c r="G16" s="1" t="s">
        <v>53</v>
      </c>
      <c r="H16" s="1" t="s">
        <v>77</v>
      </c>
      <c r="I16" s="1" t="s">
        <v>78</v>
      </c>
      <c r="J16" s="1" t="s">
        <v>79</v>
      </c>
      <c r="K16" t="s">
        <v>104</v>
      </c>
      <c r="M16" s="1" t="s">
        <v>58</v>
      </c>
      <c r="N16" s="1">
        <v>0</v>
      </c>
      <c r="O16" s="1" t="s">
        <v>105</v>
      </c>
      <c r="P16" s="11" t="s">
        <v>112</v>
      </c>
      <c r="R16" s="1" t="s">
        <v>38</v>
      </c>
      <c r="T16" s="1" t="s">
        <v>74</v>
      </c>
      <c r="U16" s="11" t="s">
        <v>107</v>
      </c>
      <c r="V16" s="1" t="s">
        <v>41</v>
      </c>
      <c r="W16" s="1" t="s">
        <v>49</v>
      </c>
      <c r="X16" s="13" t="str">
        <f t="shared" si="5"/>
        <v/>
      </c>
      <c r="Y16" s="2">
        <f t="shared" ca="1" si="0"/>
        <v>544</v>
      </c>
      <c r="Z16" s="14">
        <v>1</v>
      </c>
      <c r="AA16" s="1" t="str">
        <f t="shared" ca="1" si="1"/>
        <v>VENCIDO</v>
      </c>
      <c r="AB16" s="1" t="str">
        <f t="shared" si="2"/>
        <v>Dosa</v>
      </c>
      <c r="AC16" s="2" t="str">
        <f t="shared" si="6"/>
        <v xml:space="preserve"> ROSEMERE </v>
      </c>
      <c r="AD16" s="2">
        <f t="shared" si="3"/>
        <v>5</v>
      </c>
      <c r="AE16" s="2">
        <f t="shared" ca="1" si="4"/>
        <v>-757.9262716435187</v>
      </c>
      <c r="AF16" s="15"/>
    </row>
    <row r="17" spans="1:32" hidden="1">
      <c r="A17" s="1">
        <v>2851942</v>
      </c>
      <c r="B17" s="1" t="s">
        <v>101</v>
      </c>
      <c r="C17" t="s">
        <v>102</v>
      </c>
      <c r="E17" s="2">
        <v>9406000206054</v>
      </c>
      <c r="F17" s="1" t="s">
        <v>113</v>
      </c>
      <c r="G17" s="1" t="s">
        <v>53</v>
      </c>
      <c r="H17" s="1" t="s">
        <v>114</v>
      </c>
      <c r="I17" s="1" t="s">
        <v>115</v>
      </c>
      <c r="J17" s="1" t="s">
        <v>46</v>
      </c>
      <c r="K17" t="s">
        <v>116</v>
      </c>
      <c r="M17" s="1" t="s">
        <v>35</v>
      </c>
      <c r="N17" s="1">
        <v>42318949</v>
      </c>
      <c r="O17" s="1" t="s">
        <v>36</v>
      </c>
      <c r="P17" s="11" t="s">
        <v>117</v>
      </c>
      <c r="R17" s="1" t="s">
        <v>38</v>
      </c>
      <c r="T17" s="1" t="s">
        <v>74</v>
      </c>
      <c r="U17" s="11" t="s">
        <v>107</v>
      </c>
      <c r="V17" s="1" t="s">
        <v>41</v>
      </c>
      <c r="W17" s="1" t="s">
        <v>49</v>
      </c>
      <c r="X17" s="13" t="str">
        <f t="shared" si="5"/>
        <v/>
      </c>
      <c r="Y17" s="2">
        <f t="shared" ca="1" si="0"/>
        <v>544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 t="str">
        <f t="shared" si="6"/>
        <v xml:space="preserve"> CLEITON </v>
      </c>
      <c r="AD17" s="2">
        <f t="shared" si="3"/>
        <v>8</v>
      </c>
      <c r="AE17" s="2">
        <f t="shared" ca="1" si="4"/>
        <v>-757.9262716435187</v>
      </c>
      <c r="AF17" s="15"/>
    </row>
    <row r="18" spans="1:32" hidden="1">
      <c r="A18" s="1">
        <v>4298266</v>
      </c>
      <c r="B18" s="1" t="s">
        <v>81</v>
      </c>
      <c r="C18" t="s">
        <v>118</v>
      </c>
      <c r="E18" s="2">
        <v>9600102981128</v>
      </c>
      <c r="F18" s="1" t="s">
        <v>119</v>
      </c>
      <c r="G18" s="1" t="s">
        <v>30</v>
      </c>
      <c r="H18" s="1" t="s">
        <v>120</v>
      </c>
      <c r="I18" s="1" t="s">
        <v>121</v>
      </c>
      <c r="J18" s="1" t="s">
        <v>33</v>
      </c>
      <c r="K18" t="s">
        <v>122</v>
      </c>
      <c r="M18" s="1" t="s">
        <v>58</v>
      </c>
      <c r="N18" s="1">
        <v>0</v>
      </c>
      <c r="O18" s="1" t="s">
        <v>105</v>
      </c>
      <c r="P18" s="186">
        <v>44295.426574074074</v>
      </c>
      <c r="R18" s="1">
        <v>14</v>
      </c>
      <c r="T18" s="1" t="s">
        <v>60</v>
      </c>
      <c r="U18" s="186"/>
      <c r="V18" s="1" t="s">
        <v>41</v>
      </c>
      <c r="W18" s="1" t="s">
        <v>42</v>
      </c>
      <c r="X18" s="13" t="str">
        <f t="shared" si="5"/>
        <v>8889.03</v>
      </c>
      <c r="Y18" s="2">
        <f t="shared" ca="1" si="0"/>
        <v>494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 t="str">
        <f t="shared" si="6"/>
        <v xml:space="preserve"> ROSEMERE </v>
      </c>
      <c r="AD18" s="2">
        <f t="shared" si="3"/>
        <v>8</v>
      </c>
      <c r="AE18" s="2">
        <f t="shared" ca="1" si="4"/>
        <v>-44986.676271643519</v>
      </c>
      <c r="AF18" s="15"/>
    </row>
    <row r="19" spans="1:32" hidden="1">
      <c r="A19" s="1">
        <v>4298261</v>
      </c>
      <c r="B19" s="1" t="s">
        <v>81</v>
      </c>
      <c r="C19" t="s">
        <v>118</v>
      </c>
      <c r="E19" s="2">
        <v>9600102980984</v>
      </c>
      <c r="F19" s="1" t="s">
        <v>119</v>
      </c>
      <c r="G19" s="1" t="s">
        <v>30</v>
      </c>
      <c r="H19" s="1" t="s">
        <v>120</v>
      </c>
      <c r="I19" s="1" t="s">
        <v>121</v>
      </c>
      <c r="J19" s="1" t="s">
        <v>33</v>
      </c>
      <c r="K19" t="s">
        <v>122</v>
      </c>
      <c r="M19" s="1" t="s">
        <v>58</v>
      </c>
      <c r="N19" s="1">
        <v>0</v>
      </c>
      <c r="O19" s="1" t="s">
        <v>105</v>
      </c>
      <c r="P19" s="186">
        <v>44295.426562499997</v>
      </c>
      <c r="R19" s="1">
        <v>14</v>
      </c>
      <c r="T19" s="1" t="s">
        <v>60</v>
      </c>
      <c r="U19" s="186"/>
      <c r="V19" s="1" t="s">
        <v>41</v>
      </c>
      <c r="W19" s="1" t="s">
        <v>42</v>
      </c>
      <c r="X19" s="13" t="str">
        <f t="shared" si="5"/>
        <v>8889.03</v>
      </c>
      <c r="Y19" s="2">
        <f t="shared" ca="1" si="0"/>
        <v>494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 t="str">
        <f t="shared" si="6"/>
        <v xml:space="preserve"> ROSEMERE </v>
      </c>
      <c r="AD19" s="2">
        <f t="shared" si="3"/>
        <v>8</v>
      </c>
      <c r="AE19" s="2">
        <f t="shared" ca="1" si="4"/>
        <v>-44986.676271643519</v>
      </c>
      <c r="AF19" s="15"/>
    </row>
    <row r="20" spans="1:32" hidden="1">
      <c r="A20" s="1">
        <v>4298189</v>
      </c>
      <c r="B20" s="1" t="s">
        <v>81</v>
      </c>
      <c r="C20" t="s">
        <v>118</v>
      </c>
      <c r="E20" s="2">
        <v>7419151141007</v>
      </c>
      <c r="F20" s="1" t="s">
        <v>123</v>
      </c>
      <c r="G20" s="1" t="s">
        <v>53</v>
      </c>
      <c r="H20" s="1" t="s">
        <v>124</v>
      </c>
      <c r="I20" s="1" t="s">
        <v>125</v>
      </c>
      <c r="J20" s="1" t="s">
        <v>33</v>
      </c>
      <c r="K20" t="s">
        <v>126</v>
      </c>
      <c r="M20" s="1" t="s">
        <v>58</v>
      </c>
      <c r="N20" s="1">
        <v>0</v>
      </c>
      <c r="O20" s="1" t="s">
        <v>105</v>
      </c>
      <c r="P20" s="11" t="s">
        <v>127</v>
      </c>
      <c r="R20" s="1">
        <v>14</v>
      </c>
      <c r="T20" s="1" t="s">
        <v>60</v>
      </c>
      <c r="U20" s="11"/>
      <c r="V20" s="1" t="s">
        <v>41</v>
      </c>
      <c r="W20" s="1" t="s">
        <v>42</v>
      </c>
      <c r="X20" s="13" t="str">
        <f t="shared" si="5"/>
        <v>4561.91</v>
      </c>
      <c r="Y20" s="2">
        <f t="shared" ca="1" si="0"/>
        <v>494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 t="str">
        <f t="shared" si="6"/>
        <v xml:space="preserve"> ROSEMERE </v>
      </c>
      <c r="AD20" s="2">
        <f t="shared" si="3"/>
        <v>8</v>
      </c>
      <c r="AE20" s="2">
        <f t="shared" ca="1" si="4"/>
        <v>-44986.676271643519</v>
      </c>
      <c r="AF20" s="15"/>
    </row>
    <row r="21" spans="1:32" hidden="1">
      <c r="A21" s="1">
        <v>4298074</v>
      </c>
      <c r="B21" s="1" t="s">
        <v>81</v>
      </c>
      <c r="C21" t="s">
        <v>118</v>
      </c>
      <c r="E21" s="2">
        <v>7419141892457</v>
      </c>
      <c r="F21" s="1" t="s">
        <v>128</v>
      </c>
      <c r="G21" s="1" t="s">
        <v>53</v>
      </c>
      <c r="H21" s="1" t="s">
        <v>124</v>
      </c>
      <c r="I21" s="1" t="s">
        <v>125</v>
      </c>
      <c r="J21" s="1" t="s">
        <v>33</v>
      </c>
      <c r="K21" t="s">
        <v>129</v>
      </c>
      <c r="M21" s="1" t="s">
        <v>58</v>
      </c>
      <c r="N21" s="1">
        <v>0</v>
      </c>
      <c r="O21" s="1" t="s">
        <v>105</v>
      </c>
      <c r="P21" s="11" t="s">
        <v>3393</v>
      </c>
      <c r="R21" s="1">
        <v>14</v>
      </c>
      <c r="T21" s="1" t="s">
        <v>60</v>
      </c>
      <c r="U21" s="11"/>
      <c r="V21" s="1" t="s">
        <v>41</v>
      </c>
      <c r="W21" s="1" t="s">
        <v>42</v>
      </c>
      <c r="X21" s="13" t="str">
        <f t="shared" si="5"/>
        <v>4561.91</v>
      </c>
      <c r="Y21" s="2">
        <f t="shared" ca="1" si="0"/>
        <v>494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 t="str">
        <f t="shared" si="6"/>
        <v xml:space="preserve"> ROSEMERE </v>
      </c>
      <c r="AD21" s="2">
        <f t="shared" si="3"/>
        <v>8</v>
      </c>
      <c r="AE21" s="2">
        <f t="shared" ca="1" si="4"/>
        <v>-44986.676271643519</v>
      </c>
      <c r="AF21" s="15"/>
    </row>
    <row r="22" spans="1:32" hidden="1">
      <c r="A22" s="1">
        <v>4298073</v>
      </c>
      <c r="B22" s="1" t="s">
        <v>81</v>
      </c>
      <c r="C22" t="s">
        <v>118</v>
      </c>
      <c r="E22" s="2">
        <v>7419141892456</v>
      </c>
      <c r="F22" s="1" t="s">
        <v>128</v>
      </c>
      <c r="G22" s="1" t="s">
        <v>53</v>
      </c>
      <c r="H22" s="1" t="s">
        <v>124</v>
      </c>
      <c r="I22" s="1" t="s">
        <v>125</v>
      </c>
      <c r="J22" s="1" t="s">
        <v>33</v>
      </c>
      <c r="K22" t="s">
        <v>129</v>
      </c>
      <c r="M22" s="1" t="s">
        <v>58</v>
      </c>
      <c r="N22" s="1">
        <v>0</v>
      </c>
      <c r="O22" s="1" t="s">
        <v>105</v>
      </c>
      <c r="P22" s="11" t="s">
        <v>3393</v>
      </c>
      <c r="R22" s="1">
        <v>14</v>
      </c>
      <c r="T22" s="1" t="s">
        <v>60</v>
      </c>
      <c r="U22" s="11"/>
      <c r="V22" s="1" t="s">
        <v>41</v>
      </c>
      <c r="W22" s="1" t="s">
        <v>42</v>
      </c>
      <c r="X22" s="13" t="str">
        <f t="shared" si="5"/>
        <v>4561.91</v>
      </c>
      <c r="Y22" s="2">
        <f t="shared" ca="1" si="0"/>
        <v>494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 t="str">
        <f t="shared" si="6"/>
        <v xml:space="preserve"> ROSEMERE </v>
      </c>
      <c r="AD22" s="2">
        <f t="shared" si="3"/>
        <v>8</v>
      </c>
      <c r="AE22" s="2">
        <f t="shared" ca="1" si="4"/>
        <v>-44986.676271643519</v>
      </c>
      <c r="AF22" s="15"/>
    </row>
    <row r="23" spans="1:32" hidden="1">
      <c r="A23" s="1">
        <v>4297923</v>
      </c>
      <c r="B23" s="1" t="s">
        <v>81</v>
      </c>
      <c r="C23" t="s">
        <v>118</v>
      </c>
      <c r="E23" s="2">
        <v>7417172142561</v>
      </c>
      <c r="F23" s="1" t="s">
        <v>52</v>
      </c>
      <c r="G23" s="1" t="s">
        <v>53</v>
      </c>
      <c r="H23" s="1" t="s">
        <v>120</v>
      </c>
      <c r="I23" s="1" t="s">
        <v>121</v>
      </c>
      <c r="J23" s="1" t="s">
        <v>33</v>
      </c>
      <c r="K23" t="s">
        <v>57</v>
      </c>
      <c r="M23" s="1" t="s">
        <v>58</v>
      </c>
      <c r="N23" s="1">
        <v>0</v>
      </c>
      <c r="O23" s="1" t="s">
        <v>105</v>
      </c>
      <c r="P23" s="11" t="s">
        <v>130</v>
      </c>
      <c r="R23" s="1">
        <v>9</v>
      </c>
      <c r="T23" s="1" t="s">
        <v>60</v>
      </c>
      <c r="U23" s="11"/>
      <c r="V23" s="1" t="s">
        <v>41</v>
      </c>
      <c r="W23" s="1" t="s">
        <v>42</v>
      </c>
      <c r="X23" s="13" t="str">
        <f t="shared" si="5"/>
        <v>8889.03</v>
      </c>
      <c r="Y23" s="2">
        <f t="shared" ca="1" si="0"/>
        <v>494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 t="str">
        <f t="shared" si="6"/>
        <v xml:space="preserve"> ROSEMERE </v>
      </c>
      <c r="AD23" s="2">
        <f t="shared" si="3"/>
        <v>8</v>
      </c>
      <c r="AE23" s="2">
        <f t="shared" ca="1" si="4"/>
        <v>-44986.676271643519</v>
      </c>
      <c r="AF23" s="15"/>
    </row>
    <row r="24" spans="1:32" hidden="1">
      <c r="A24" s="1">
        <v>4297890</v>
      </c>
      <c r="B24" s="1" t="s">
        <v>81</v>
      </c>
      <c r="C24" t="s">
        <v>118</v>
      </c>
      <c r="E24" s="2">
        <v>7417163285126</v>
      </c>
      <c r="F24" s="1" t="s">
        <v>131</v>
      </c>
      <c r="G24" s="1" t="s">
        <v>53</v>
      </c>
      <c r="H24" s="1" t="s">
        <v>120</v>
      </c>
      <c r="I24" s="1" t="s">
        <v>121</v>
      </c>
      <c r="J24" s="1" t="s">
        <v>33</v>
      </c>
      <c r="K24" t="s">
        <v>132</v>
      </c>
      <c r="M24" s="1" t="s">
        <v>58</v>
      </c>
      <c r="N24" s="1">
        <v>0</v>
      </c>
      <c r="O24" s="1" t="s">
        <v>105</v>
      </c>
      <c r="P24" s="11" t="s">
        <v>133</v>
      </c>
      <c r="R24" s="1">
        <v>14</v>
      </c>
      <c r="T24" s="1" t="s">
        <v>60</v>
      </c>
      <c r="U24" s="11"/>
      <c r="V24" s="1" t="s">
        <v>41</v>
      </c>
      <c r="W24" s="1" t="s">
        <v>42</v>
      </c>
      <c r="X24" s="13" t="str">
        <f t="shared" si="5"/>
        <v>8889.03</v>
      </c>
      <c r="Y24" s="2">
        <f t="shared" ca="1" si="0"/>
        <v>494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 t="str">
        <f t="shared" si="6"/>
        <v xml:space="preserve"> ROSEMERE </v>
      </c>
      <c r="AD24" s="2">
        <f t="shared" si="3"/>
        <v>8</v>
      </c>
      <c r="AE24" s="2">
        <f t="shared" ca="1" si="4"/>
        <v>-44986.676271643519</v>
      </c>
      <c r="AF24" s="15"/>
    </row>
    <row r="25" spans="1:32" hidden="1">
      <c r="A25" s="1">
        <v>4544244</v>
      </c>
      <c r="B25" s="1" t="s">
        <v>27</v>
      </c>
      <c r="C25" t="s">
        <v>134</v>
      </c>
      <c r="E25" s="2">
        <v>9661000206001</v>
      </c>
      <c r="F25" s="1" t="s">
        <v>29</v>
      </c>
      <c r="G25" s="1" t="s">
        <v>53</v>
      </c>
      <c r="H25" s="1" t="s">
        <v>31</v>
      </c>
      <c r="I25" s="1" t="s">
        <v>32</v>
      </c>
      <c r="J25" s="1" t="s">
        <v>33</v>
      </c>
      <c r="K25" t="s">
        <v>34</v>
      </c>
      <c r="M25" s="1" t="s">
        <v>35</v>
      </c>
      <c r="N25" s="1">
        <v>42318949</v>
      </c>
      <c r="O25" s="1" t="s">
        <v>105</v>
      </c>
      <c r="P25" s="186">
        <v>44308.595775462964</v>
      </c>
      <c r="R25" s="1" t="s">
        <v>38</v>
      </c>
      <c r="T25" s="1" t="s">
        <v>74</v>
      </c>
      <c r="U25" s="186">
        <v>44308.75</v>
      </c>
      <c r="V25" s="1" t="s">
        <v>41</v>
      </c>
      <c r="W25" s="1" t="s">
        <v>42</v>
      </c>
      <c r="X25" s="13" t="str">
        <f t="shared" si="5"/>
        <v/>
      </c>
      <c r="Y25" s="2">
        <f t="shared" ca="1" si="0"/>
        <v>485</v>
      </c>
      <c r="Z25" s="14">
        <v>1</v>
      </c>
      <c r="AA25" s="1" t="str">
        <f t="shared" ca="1" si="1"/>
        <v>VENCIDO</v>
      </c>
      <c r="AB25" s="1" t="str">
        <f t="shared" si="2"/>
        <v>Dosa</v>
      </c>
      <c r="AC25" s="2" t="str">
        <f t="shared" si="6"/>
        <v xml:space="preserve"> ROSEMERE </v>
      </c>
      <c r="AD25" s="2">
        <f t="shared" si="3"/>
        <v>5</v>
      </c>
      <c r="AE25" s="2">
        <f t="shared" ca="1" si="4"/>
        <v>-677.9262716435187</v>
      </c>
      <c r="AF25" s="15"/>
    </row>
    <row r="26" spans="1:32" hidden="1">
      <c r="A26" s="1">
        <v>4796975</v>
      </c>
      <c r="B26" s="1" t="s">
        <v>62</v>
      </c>
      <c r="C26" t="s">
        <v>135</v>
      </c>
      <c r="E26" s="2">
        <v>1291000206001</v>
      </c>
      <c r="F26" s="1" t="s">
        <v>29</v>
      </c>
      <c r="G26" s="1" t="s">
        <v>53</v>
      </c>
      <c r="H26" s="1" t="s">
        <v>136</v>
      </c>
      <c r="I26" s="1" t="s">
        <v>137</v>
      </c>
      <c r="J26" s="1" t="s">
        <v>33</v>
      </c>
      <c r="K26" t="s">
        <v>34</v>
      </c>
      <c r="M26" s="1" t="s">
        <v>35</v>
      </c>
      <c r="N26" s="1">
        <v>42318949</v>
      </c>
      <c r="O26" s="1" t="s">
        <v>36</v>
      </c>
      <c r="P26" s="186">
        <v>44321.783020833333</v>
      </c>
      <c r="R26" s="1" t="s">
        <v>38</v>
      </c>
      <c r="T26" s="1" t="s">
        <v>74</v>
      </c>
      <c r="U26" s="186">
        <v>44364.75</v>
      </c>
      <c r="V26" s="1" t="s">
        <v>41</v>
      </c>
      <c r="W26" s="1" t="s">
        <v>42</v>
      </c>
      <c r="X26" s="13" t="str">
        <f t="shared" si="5"/>
        <v/>
      </c>
      <c r="Y26" s="2">
        <f t="shared" ca="1" si="0"/>
        <v>476</v>
      </c>
      <c r="Z26" s="14">
        <v>1</v>
      </c>
      <c r="AA26" s="1" t="str">
        <f t="shared" ca="1" si="1"/>
        <v>VENCIDO</v>
      </c>
      <c r="AB26" s="1" t="str">
        <f t="shared" si="2"/>
        <v>Dosa</v>
      </c>
      <c r="AC26" s="2" t="str">
        <f t="shared" si="6"/>
        <v xml:space="preserve"> ROSEMERE </v>
      </c>
      <c r="AD26" s="2">
        <f t="shared" si="3"/>
        <v>5</v>
      </c>
      <c r="AE26" s="2">
        <f t="shared" ca="1" si="4"/>
        <v>-621.9262716435187</v>
      </c>
      <c r="AF26" s="15"/>
    </row>
    <row r="27" spans="1:32" hidden="1">
      <c r="A27" s="1">
        <v>4968022</v>
      </c>
      <c r="B27" s="1" t="s">
        <v>62</v>
      </c>
      <c r="C27" t="s">
        <v>138</v>
      </c>
      <c r="E27" s="2">
        <v>582000206001</v>
      </c>
      <c r="F27" s="1" t="s">
        <v>29</v>
      </c>
      <c r="G27" s="1" t="s">
        <v>53</v>
      </c>
      <c r="H27" s="1" t="s">
        <v>139</v>
      </c>
      <c r="I27" s="1" t="s">
        <v>140</v>
      </c>
      <c r="J27" s="1" t="s">
        <v>141</v>
      </c>
      <c r="K27" t="s">
        <v>34</v>
      </c>
      <c r="M27" s="1" t="s">
        <v>35</v>
      </c>
      <c r="N27" s="1">
        <v>42318949</v>
      </c>
      <c r="O27" s="1" t="s">
        <v>36</v>
      </c>
      <c r="P27" s="11" t="s">
        <v>142</v>
      </c>
      <c r="R27" s="1" t="s">
        <v>38</v>
      </c>
      <c r="T27" s="1" t="s">
        <v>74</v>
      </c>
      <c r="U27" s="11" t="s">
        <v>143</v>
      </c>
      <c r="V27" s="1" t="s">
        <v>41</v>
      </c>
      <c r="W27" s="1" t="s">
        <v>49</v>
      </c>
      <c r="X27" s="13" t="str">
        <f t="shared" si="5"/>
        <v/>
      </c>
      <c r="Y27" s="2">
        <f t="shared" ca="1" si="0"/>
        <v>470</v>
      </c>
      <c r="Z27" s="14">
        <v>1</v>
      </c>
      <c r="AA27" s="1" t="str">
        <f t="shared" ca="1" si="1"/>
        <v>VENCIDO</v>
      </c>
      <c r="AB27" s="1" t="str">
        <f t="shared" si="2"/>
        <v>Dosa</v>
      </c>
      <c r="AC27" s="2" t="str">
        <f t="shared" si="6"/>
        <v xml:space="preserve"> CRISTINA </v>
      </c>
      <c r="AD27" s="2">
        <f t="shared" si="3"/>
        <v>5</v>
      </c>
      <c r="AE27" s="2">
        <f t="shared" ca="1" si="4"/>
        <v>-613.9262716435187</v>
      </c>
      <c r="AF27" s="15"/>
    </row>
    <row r="28" spans="1:32" hidden="1">
      <c r="A28" s="1">
        <v>4968021</v>
      </c>
      <c r="B28" s="1" t="s">
        <v>62</v>
      </c>
      <c r="C28" t="s">
        <v>144</v>
      </c>
      <c r="E28" s="2">
        <v>582000206001</v>
      </c>
      <c r="F28" s="1" t="s">
        <v>29</v>
      </c>
      <c r="G28" s="1" t="s">
        <v>53</v>
      </c>
      <c r="H28" s="1" t="s">
        <v>139</v>
      </c>
      <c r="I28" s="1" t="s">
        <v>140</v>
      </c>
      <c r="J28" s="1" t="s">
        <v>141</v>
      </c>
      <c r="K28" t="s">
        <v>34</v>
      </c>
      <c r="M28" s="1" t="s">
        <v>35</v>
      </c>
      <c r="N28" s="1">
        <v>42318949</v>
      </c>
      <c r="O28" s="1" t="s">
        <v>36</v>
      </c>
      <c r="P28" s="186">
        <v>44329.985972222225</v>
      </c>
      <c r="R28" s="1" t="s">
        <v>38</v>
      </c>
      <c r="T28" s="1" t="s">
        <v>74</v>
      </c>
      <c r="U28" s="186">
        <v>44372.75</v>
      </c>
      <c r="V28" s="1" t="s">
        <v>41</v>
      </c>
      <c r="W28" s="1" t="s">
        <v>49</v>
      </c>
      <c r="X28" s="13" t="str">
        <f t="shared" si="5"/>
        <v/>
      </c>
      <c r="Y28" s="2">
        <f t="shared" ca="1" si="0"/>
        <v>470</v>
      </c>
      <c r="Z28" s="14">
        <v>1</v>
      </c>
      <c r="AA28" s="1" t="str">
        <f t="shared" ca="1" si="1"/>
        <v>VENCIDO</v>
      </c>
      <c r="AB28" s="1" t="str">
        <f t="shared" si="2"/>
        <v>Dosa</v>
      </c>
      <c r="AC28" s="2" t="str">
        <f t="shared" si="6"/>
        <v xml:space="preserve"> CRISTINA </v>
      </c>
      <c r="AD28" s="2">
        <f t="shared" si="3"/>
        <v>5</v>
      </c>
      <c r="AE28" s="2">
        <f t="shared" ca="1" si="4"/>
        <v>-613.9262716435187</v>
      </c>
      <c r="AF28" s="15"/>
    </row>
    <row r="29" spans="1:32" hidden="1">
      <c r="A29" s="1">
        <v>4967954</v>
      </c>
      <c r="B29" s="1" t="s">
        <v>62</v>
      </c>
      <c r="C29" t="s">
        <v>144</v>
      </c>
      <c r="E29" s="2">
        <v>582000206001</v>
      </c>
      <c r="F29" s="1" t="s">
        <v>29</v>
      </c>
      <c r="G29" s="1" t="s">
        <v>53</v>
      </c>
      <c r="H29" s="1" t="s">
        <v>139</v>
      </c>
      <c r="I29" s="1" t="s">
        <v>140</v>
      </c>
      <c r="J29" s="1" t="s">
        <v>141</v>
      </c>
      <c r="K29" t="s">
        <v>34</v>
      </c>
      <c r="M29" s="1" t="s">
        <v>35</v>
      </c>
      <c r="N29" s="1">
        <v>42318949</v>
      </c>
      <c r="O29" s="1" t="s">
        <v>36</v>
      </c>
      <c r="P29" s="186">
        <v>44329.985694444447</v>
      </c>
      <c r="R29" s="1" t="s">
        <v>38</v>
      </c>
      <c r="T29" s="1" t="s">
        <v>74</v>
      </c>
      <c r="U29" s="186">
        <v>44372.75</v>
      </c>
      <c r="V29" s="1" t="s">
        <v>41</v>
      </c>
      <c r="W29" s="1" t="s">
        <v>49</v>
      </c>
      <c r="X29" s="13" t="str">
        <f t="shared" si="5"/>
        <v/>
      </c>
      <c r="Y29" s="2">
        <f t="shared" ca="1" si="0"/>
        <v>470</v>
      </c>
      <c r="Z29" s="14">
        <v>1</v>
      </c>
      <c r="AA29" s="1" t="str">
        <f t="shared" ca="1" si="1"/>
        <v>VENCIDO</v>
      </c>
      <c r="AB29" s="1" t="str">
        <f t="shared" si="2"/>
        <v>Dosa</v>
      </c>
      <c r="AC29" s="2" t="str">
        <f t="shared" si="6"/>
        <v xml:space="preserve"> CRISTINA </v>
      </c>
      <c r="AD29" s="2">
        <f t="shared" si="3"/>
        <v>5</v>
      </c>
      <c r="AE29" s="2">
        <f t="shared" ca="1" si="4"/>
        <v>-613.9262716435187</v>
      </c>
      <c r="AF29" s="15"/>
    </row>
    <row r="30" spans="1:32" hidden="1">
      <c r="A30" s="1">
        <v>6477850</v>
      </c>
      <c r="B30" s="1" t="s">
        <v>62</v>
      </c>
      <c r="C30" t="s">
        <v>145</v>
      </c>
      <c r="E30" s="2">
        <v>1754000206001</v>
      </c>
      <c r="F30" s="1" t="s">
        <v>29</v>
      </c>
      <c r="G30" s="1" t="s">
        <v>53</v>
      </c>
      <c r="H30" s="1" t="s">
        <v>146</v>
      </c>
      <c r="I30" s="1" t="s">
        <v>147</v>
      </c>
      <c r="J30" s="1" t="s">
        <v>148</v>
      </c>
      <c r="K30" t="s">
        <v>34</v>
      </c>
      <c r="M30" s="1" t="s">
        <v>35</v>
      </c>
      <c r="N30" s="1">
        <v>42318949</v>
      </c>
      <c r="O30" s="1" t="s">
        <v>105</v>
      </c>
      <c r="P30" s="11" t="s">
        <v>149</v>
      </c>
      <c r="R30" s="1" t="s">
        <v>38</v>
      </c>
      <c r="T30" s="1" t="s">
        <v>74</v>
      </c>
      <c r="U30" s="186">
        <v>44447.75</v>
      </c>
      <c r="V30" s="1" t="s">
        <v>41</v>
      </c>
      <c r="W30" s="1" t="s">
        <v>49</v>
      </c>
      <c r="X30" s="13" t="str">
        <f t="shared" si="5"/>
        <v/>
      </c>
      <c r="Y30" s="2">
        <f t="shared" ca="1" si="0"/>
        <v>417</v>
      </c>
      <c r="Z30" s="14">
        <v>1</v>
      </c>
      <c r="AA30" s="1" t="str">
        <f t="shared" ca="1" si="1"/>
        <v>VENCIDO</v>
      </c>
      <c r="AB30" s="1" t="str">
        <f t="shared" si="2"/>
        <v>Dosa</v>
      </c>
      <c r="AC30" s="2" t="str">
        <f t="shared" si="6"/>
        <v xml:space="preserve"> RINALDO </v>
      </c>
      <c r="AD30" s="2">
        <f t="shared" si="3"/>
        <v>5</v>
      </c>
      <c r="AE30" s="2">
        <f t="shared" ca="1" si="4"/>
        <v>-538.9262716435187</v>
      </c>
      <c r="AF30" s="15"/>
    </row>
    <row r="31" spans="1:32" hidden="1">
      <c r="A31" s="1">
        <v>6829400</v>
      </c>
      <c r="B31" s="1" t="s">
        <v>62</v>
      </c>
      <c r="C31" t="s">
        <v>151</v>
      </c>
      <c r="E31" s="2">
        <v>3924000203010</v>
      </c>
      <c r="F31" s="1" t="s">
        <v>152</v>
      </c>
      <c r="G31" s="1" t="s">
        <v>53</v>
      </c>
      <c r="H31" s="1" t="s">
        <v>153</v>
      </c>
      <c r="I31" s="1" t="s">
        <v>154</v>
      </c>
      <c r="J31" s="1" t="s">
        <v>56</v>
      </c>
      <c r="K31" t="s">
        <v>155</v>
      </c>
      <c r="M31" s="1" t="s">
        <v>35</v>
      </c>
      <c r="N31" s="1">
        <v>42318949</v>
      </c>
      <c r="O31" s="1" t="s">
        <v>36</v>
      </c>
      <c r="P31" s="11" t="s">
        <v>156</v>
      </c>
      <c r="R31" s="1" t="s">
        <v>38</v>
      </c>
      <c r="T31" s="1" t="s">
        <v>157</v>
      </c>
      <c r="U31" s="11" t="s">
        <v>158</v>
      </c>
      <c r="V31" s="1" t="s">
        <v>41</v>
      </c>
      <c r="W31" s="1" t="s">
        <v>49</v>
      </c>
      <c r="X31" s="13" t="str">
        <f t="shared" si="5"/>
        <v/>
      </c>
      <c r="Y31" s="2">
        <f t="shared" ca="1" si="0"/>
        <v>405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 t="str">
        <f t="shared" si="6"/>
        <v xml:space="preserve"> CRISTINA </v>
      </c>
      <c r="AD31" s="2">
        <f t="shared" si="3"/>
        <v>8</v>
      </c>
      <c r="AE31" s="2">
        <f t="shared" ca="1" si="4"/>
        <v>-529.9262716435187</v>
      </c>
      <c r="AF31" s="15"/>
    </row>
    <row r="32" spans="1:32" hidden="1">
      <c r="A32" s="1">
        <v>6829307</v>
      </c>
      <c r="B32" s="1" t="s">
        <v>62</v>
      </c>
      <c r="C32" t="s">
        <v>151</v>
      </c>
      <c r="E32" s="2">
        <v>2365000203010</v>
      </c>
      <c r="F32" s="1" t="s">
        <v>152</v>
      </c>
      <c r="G32" s="1" t="s">
        <v>53</v>
      </c>
      <c r="H32" s="1" t="s">
        <v>159</v>
      </c>
      <c r="I32" s="1" t="s">
        <v>160</v>
      </c>
      <c r="J32" s="1" t="s">
        <v>46</v>
      </c>
      <c r="K32" t="s">
        <v>155</v>
      </c>
      <c r="M32" s="1" t="s">
        <v>35</v>
      </c>
      <c r="N32" s="1">
        <v>42318949</v>
      </c>
      <c r="O32" s="1" t="s">
        <v>36</v>
      </c>
      <c r="P32" s="11" t="s">
        <v>161</v>
      </c>
      <c r="R32" s="1" t="s">
        <v>38</v>
      </c>
      <c r="T32" s="1" t="s">
        <v>157</v>
      </c>
      <c r="U32" s="186">
        <v>44456.75</v>
      </c>
      <c r="V32" s="1" t="s">
        <v>41</v>
      </c>
      <c r="W32" s="1" t="s">
        <v>49</v>
      </c>
      <c r="X32" s="13" t="str">
        <f t="shared" si="5"/>
        <v/>
      </c>
      <c r="Y32" s="2">
        <f t="shared" ca="1" si="0"/>
        <v>405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 t="str">
        <f t="shared" si="6"/>
        <v xml:space="preserve"> CLEITON </v>
      </c>
      <c r="AD32" s="2">
        <f t="shared" si="3"/>
        <v>8</v>
      </c>
      <c r="AE32" s="2">
        <f t="shared" ca="1" si="4"/>
        <v>-529.9262716435187</v>
      </c>
      <c r="AF32" s="15"/>
    </row>
    <row r="33" spans="1:32" hidden="1">
      <c r="A33" s="1">
        <v>6829259</v>
      </c>
      <c r="B33" s="1" t="s">
        <v>62</v>
      </c>
      <c r="C33" t="s">
        <v>151</v>
      </c>
      <c r="E33" s="2">
        <v>1739000203010</v>
      </c>
      <c r="F33" s="1" t="s">
        <v>152</v>
      </c>
      <c r="G33" s="1" t="s">
        <v>53</v>
      </c>
      <c r="H33" s="1" t="s">
        <v>162</v>
      </c>
      <c r="I33" s="1" t="s">
        <v>163</v>
      </c>
      <c r="J33" s="1" t="s">
        <v>164</v>
      </c>
      <c r="K33" t="s">
        <v>155</v>
      </c>
      <c r="M33" s="1" t="s">
        <v>35</v>
      </c>
      <c r="N33" s="1">
        <v>42318949</v>
      </c>
      <c r="O33" s="1" t="s">
        <v>36</v>
      </c>
      <c r="P33" s="11" t="s">
        <v>165</v>
      </c>
      <c r="R33" s="1" t="s">
        <v>38</v>
      </c>
      <c r="T33" s="1" t="s">
        <v>157</v>
      </c>
      <c r="U33" s="186">
        <v>44456.75</v>
      </c>
      <c r="V33" s="1" t="s">
        <v>41</v>
      </c>
      <c r="W33" s="1" t="s">
        <v>49</v>
      </c>
      <c r="X33" s="13" t="str">
        <f t="shared" si="5"/>
        <v/>
      </c>
      <c r="Y33" s="2">
        <f t="shared" ca="1" si="0"/>
        <v>405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 t="str">
        <f t="shared" si="6"/>
        <v xml:space="preserve"> ROSEMERE </v>
      </c>
      <c r="AD33" s="2">
        <f t="shared" si="3"/>
        <v>8</v>
      </c>
      <c r="AE33" s="2">
        <f t="shared" ca="1" si="4"/>
        <v>-529.9262716435187</v>
      </c>
      <c r="AF33" s="15"/>
    </row>
    <row r="34" spans="1:32" hidden="1">
      <c r="A34" s="1">
        <v>6829206</v>
      </c>
      <c r="B34" s="1" t="s">
        <v>62</v>
      </c>
      <c r="C34" t="s">
        <v>151</v>
      </c>
      <c r="E34" s="2">
        <v>1061000203010</v>
      </c>
      <c r="F34" s="1" t="s">
        <v>152</v>
      </c>
      <c r="G34" s="1" t="s">
        <v>53</v>
      </c>
      <c r="H34" s="1" t="s">
        <v>166</v>
      </c>
      <c r="I34" s="1" t="s">
        <v>167</v>
      </c>
      <c r="J34" s="1" t="s">
        <v>85</v>
      </c>
      <c r="K34" t="s">
        <v>155</v>
      </c>
      <c r="M34" s="1" t="s">
        <v>35</v>
      </c>
      <c r="N34" s="1">
        <v>42318949</v>
      </c>
      <c r="O34" s="1" t="s">
        <v>36</v>
      </c>
      <c r="P34" s="11" t="s">
        <v>168</v>
      </c>
      <c r="R34" s="1" t="s">
        <v>38</v>
      </c>
      <c r="T34" s="1" t="s">
        <v>157</v>
      </c>
      <c r="U34" s="186">
        <v>44456.75</v>
      </c>
      <c r="V34" s="1" t="s">
        <v>41</v>
      </c>
      <c r="W34" s="1" t="s">
        <v>49</v>
      </c>
      <c r="X34" s="13" t="str">
        <f t="shared" si="5"/>
        <v/>
      </c>
      <c r="Y34" s="2">
        <f t="shared" ca="1" si="0"/>
        <v>405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 t="str">
        <f t="shared" si="6"/>
        <v xml:space="preserve"> RINALDO </v>
      </c>
      <c r="AD34" s="2">
        <f t="shared" si="3"/>
        <v>8</v>
      </c>
      <c r="AE34" s="2">
        <f t="shared" ca="1" si="4"/>
        <v>-529.9262716435187</v>
      </c>
      <c r="AF34" s="15"/>
    </row>
    <row r="35" spans="1:32" hidden="1">
      <c r="A35" s="1">
        <v>6829203</v>
      </c>
      <c r="B35" s="1" t="s">
        <v>62</v>
      </c>
      <c r="C35" t="s">
        <v>151</v>
      </c>
      <c r="E35" s="2">
        <v>1049000203010</v>
      </c>
      <c r="F35" s="1" t="s">
        <v>152</v>
      </c>
      <c r="G35" s="1" t="s">
        <v>53</v>
      </c>
      <c r="H35" s="1" t="s">
        <v>169</v>
      </c>
      <c r="I35" s="1" t="s">
        <v>170</v>
      </c>
      <c r="J35" s="1" t="s">
        <v>164</v>
      </c>
      <c r="K35" t="s">
        <v>155</v>
      </c>
      <c r="M35" s="1" t="s">
        <v>35</v>
      </c>
      <c r="N35" s="1">
        <v>42318949</v>
      </c>
      <c r="O35" s="1" t="s">
        <v>36</v>
      </c>
      <c r="P35" s="11" t="s">
        <v>171</v>
      </c>
      <c r="R35" s="1" t="s">
        <v>38</v>
      </c>
      <c r="T35" s="1" t="s">
        <v>157</v>
      </c>
      <c r="U35" s="186">
        <v>44456.75</v>
      </c>
      <c r="V35" s="1" t="s">
        <v>41</v>
      </c>
      <c r="W35" s="1" t="s">
        <v>49</v>
      </c>
      <c r="X35" s="13" t="str">
        <f t="shared" si="5"/>
        <v/>
      </c>
      <c r="Y35" s="2">
        <f t="shared" ca="1" si="0"/>
        <v>405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 t="str">
        <f t="shared" si="6"/>
        <v xml:space="preserve"> ROSEMERE </v>
      </c>
      <c r="AD35" s="2">
        <f t="shared" si="3"/>
        <v>8</v>
      </c>
      <c r="AE35" s="2">
        <f t="shared" ca="1" si="4"/>
        <v>-529.9262716435187</v>
      </c>
      <c r="AF35" s="15"/>
    </row>
    <row r="36" spans="1:32" hidden="1">
      <c r="A36" s="1">
        <v>6829198</v>
      </c>
      <c r="B36" s="1" t="s">
        <v>62</v>
      </c>
      <c r="C36" t="s">
        <v>151</v>
      </c>
      <c r="E36" s="2">
        <v>1012000203010</v>
      </c>
      <c r="F36" s="1" t="s">
        <v>152</v>
      </c>
      <c r="G36" s="1" t="s">
        <v>53</v>
      </c>
      <c r="H36" s="1" t="s">
        <v>172</v>
      </c>
      <c r="I36" s="1" t="s">
        <v>173</v>
      </c>
      <c r="J36" s="1" t="s">
        <v>164</v>
      </c>
      <c r="K36" t="s">
        <v>155</v>
      </c>
      <c r="M36" s="1" t="s">
        <v>35</v>
      </c>
      <c r="N36" s="1">
        <v>42318949</v>
      </c>
      <c r="O36" s="1" t="s">
        <v>36</v>
      </c>
      <c r="P36" s="11" t="s">
        <v>174</v>
      </c>
      <c r="R36" s="1" t="s">
        <v>38</v>
      </c>
      <c r="T36" s="1" t="s">
        <v>157</v>
      </c>
      <c r="U36" s="186">
        <v>44456.75</v>
      </c>
      <c r="V36" s="1" t="s">
        <v>41</v>
      </c>
      <c r="W36" s="1" t="s">
        <v>49</v>
      </c>
      <c r="X36" s="13" t="str">
        <f t="shared" si="5"/>
        <v/>
      </c>
      <c r="Y36" s="2">
        <f t="shared" ca="1" si="0"/>
        <v>405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 t="str">
        <f t="shared" si="6"/>
        <v xml:space="preserve"> ROSEMERE </v>
      </c>
      <c r="AD36" s="2">
        <f t="shared" si="3"/>
        <v>8</v>
      </c>
      <c r="AE36" s="2">
        <f t="shared" ca="1" si="4"/>
        <v>-529.9262716435187</v>
      </c>
      <c r="AF36" s="15"/>
    </row>
    <row r="37" spans="1:32" hidden="1">
      <c r="A37" s="1">
        <v>6829184</v>
      </c>
      <c r="B37" s="1" t="s">
        <v>62</v>
      </c>
      <c r="C37" t="s">
        <v>151</v>
      </c>
      <c r="E37" s="2">
        <v>899000203010</v>
      </c>
      <c r="F37" s="1" t="s">
        <v>152</v>
      </c>
      <c r="G37" s="1" t="s">
        <v>53</v>
      </c>
      <c r="H37" s="1" t="s">
        <v>175</v>
      </c>
      <c r="I37" s="1" t="s">
        <v>176</v>
      </c>
      <c r="J37" s="1" t="s">
        <v>90</v>
      </c>
      <c r="K37" t="s">
        <v>155</v>
      </c>
      <c r="M37" s="1" t="s">
        <v>35</v>
      </c>
      <c r="N37" s="1">
        <v>42318949</v>
      </c>
      <c r="O37" s="1" t="s">
        <v>36</v>
      </c>
      <c r="P37" s="11" t="s">
        <v>3394</v>
      </c>
      <c r="R37" s="1" t="s">
        <v>38</v>
      </c>
      <c r="T37" s="1" t="s">
        <v>157</v>
      </c>
      <c r="U37" s="186">
        <v>44456.75</v>
      </c>
      <c r="V37" s="1" t="s">
        <v>41</v>
      </c>
      <c r="W37" s="1" t="s">
        <v>49</v>
      </c>
      <c r="X37" s="13" t="str">
        <f t="shared" si="5"/>
        <v/>
      </c>
      <c r="Y37" s="2">
        <f t="shared" ca="1" si="0"/>
        <v>405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 t="str">
        <f t="shared" si="6"/>
        <v xml:space="preserve"> RINALDO </v>
      </c>
      <c r="AD37" s="2">
        <f t="shared" si="3"/>
        <v>8</v>
      </c>
      <c r="AE37" s="2">
        <f t="shared" ca="1" si="4"/>
        <v>-529.9262716435187</v>
      </c>
      <c r="AF37" s="15"/>
    </row>
    <row r="38" spans="1:32" hidden="1">
      <c r="A38" s="1">
        <v>6842502</v>
      </c>
      <c r="B38" s="1" t="s">
        <v>62</v>
      </c>
      <c r="C38" t="s">
        <v>151</v>
      </c>
      <c r="E38" s="2">
        <v>1732000203010</v>
      </c>
      <c r="F38" s="1" t="s">
        <v>152</v>
      </c>
      <c r="G38" s="1" t="s">
        <v>53</v>
      </c>
      <c r="H38" s="1" t="s">
        <v>177</v>
      </c>
      <c r="I38" s="1" t="s">
        <v>178</v>
      </c>
      <c r="J38" s="1" t="s">
        <v>164</v>
      </c>
      <c r="K38" t="s">
        <v>155</v>
      </c>
      <c r="M38" s="1" t="s">
        <v>35</v>
      </c>
      <c r="N38" s="1">
        <v>42318949</v>
      </c>
      <c r="O38" s="1" t="s">
        <v>36</v>
      </c>
      <c r="P38" s="11" t="s">
        <v>3395</v>
      </c>
      <c r="R38" s="1" t="s">
        <v>38</v>
      </c>
      <c r="T38" s="1" t="s">
        <v>157</v>
      </c>
      <c r="U38" s="186">
        <v>44456.75</v>
      </c>
      <c r="V38" s="1" t="s">
        <v>41</v>
      </c>
      <c r="W38" s="1" t="s">
        <v>49</v>
      </c>
      <c r="X38" s="13" t="str">
        <f t="shared" si="5"/>
        <v/>
      </c>
      <c r="Y38" s="2">
        <f t="shared" ca="1" si="0"/>
        <v>404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 t="str">
        <f t="shared" si="6"/>
        <v xml:space="preserve"> ROSEMERE </v>
      </c>
      <c r="AD38" s="2">
        <f t="shared" si="3"/>
        <v>8</v>
      </c>
      <c r="AE38" s="2">
        <f t="shared" ca="1" si="4"/>
        <v>-529.9262716435187</v>
      </c>
      <c r="AF38" s="15"/>
    </row>
    <row r="39" spans="1:32" hidden="1">
      <c r="A39" s="1">
        <v>6842406</v>
      </c>
      <c r="B39" s="1" t="s">
        <v>62</v>
      </c>
      <c r="C39" t="s">
        <v>151</v>
      </c>
      <c r="E39" s="2">
        <v>1421000203010</v>
      </c>
      <c r="F39" s="1" t="s">
        <v>152</v>
      </c>
      <c r="G39" s="1" t="s">
        <v>53</v>
      </c>
      <c r="H39" s="1" t="s">
        <v>179</v>
      </c>
      <c r="I39" s="1" t="s">
        <v>180</v>
      </c>
      <c r="J39" s="1" t="s">
        <v>79</v>
      </c>
      <c r="K39" t="s">
        <v>155</v>
      </c>
      <c r="M39" s="1" t="s">
        <v>35</v>
      </c>
      <c r="N39" s="1">
        <v>42318949</v>
      </c>
      <c r="O39" s="1" t="s">
        <v>36</v>
      </c>
      <c r="P39" s="11" t="s">
        <v>3396</v>
      </c>
      <c r="R39" s="1" t="s">
        <v>38</v>
      </c>
      <c r="T39" s="1" t="s">
        <v>157</v>
      </c>
      <c r="U39" s="186">
        <v>44456.75</v>
      </c>
      <c r="V39" s="1" t="s">
        <v>41</v>
      </c>
      <c r="W39" s="1" t="s">
        <v>49</v>
      </c>
      <c r="X39" s="13" t="str">
        <f t="shared" si="5"/>
        <v/>
      </c>
      <c r="Y39" s="2">
        <f t="shared" ca="1" si="0"/>
        <v>404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 t="str">
        <f t="shared" si="6"/>
        <v xml:space="preserve"> ROSEMERE </v>
      </c>
      <c r="AD39" s="2">
        <f t="shared" si="3"/>
        <v>8</v>
      </c>
      <c r="AE39" s="2">
        <f t="shared" ca="1" si="4"/>
        <v>-529.9262716435187</v>
      </c>
      <c r="AF39" s="15"/>
    </row>
    <row r="40" spans="1:32" hidden="1">
      <c r="A40" s="1">
        <v>6842400</v>
      </c>
      <c r="B40" s="1" t="s">
        <v>62</v>
      </c>
      <c r="C40" t="s">
        <v>151</v>
      </c>
      <c r="E40" s="2">
        <v>1120000203010</v>
      </c>
      <c r="F40" s="1" t="s">
        <v>152</v>
      </c>
      <c r="G40" s="1" t="s">
        <v>53</v>
      </c>
      <c r="H40" s="1" t="s">
        <v>181</v>
      </c>
      <c r="I40" s="1" t="s">
        <v>182</v>
      </c>
      <c r="J40" s="1" t="s">
        <v>164</v>
      </c>
      <c r="K40" t="s">
        <v>155</v>
      </c>
      <c r="M40" s="1" t="s">
        <v>35</v>
      </c>
      <c r="N40" s="1">
        <v>42318949</v>
      </c>
      <c r="O40" s="1" t="s">
        <v>36</v>
      </c>
      <c r="P40" s="11" t="s">
        <v>3397</v>
      </c>
      <c r="R40" s="1" t="s">
        <v>38</v>
      </c>
      <c r="T40" s="1" t="s">
        <v>157</v>
      </c>
      <c r="U40" s="186">
        <v>44456.75</v>
      </c>
      <c r="V40" s="1" t="s">
        <v>41</v>
      </c>
      <c r="W40" s="1" t="s">
        <v>49</v>
      </c>
      <c r="X40" s="13" t="str">
        <f t="shared" si="5"/>
        <v/>
      </c>
      <c r="Y40" s="2">
        <f t="shared" ca="1" si="0"/>
        <v>404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 t="str">
        <f t="shared" si="6"/>
        <v xml:space="preserve"> ROSEMERE </v>
      </c>
      <c r="AD40" s="2">
        <f t="shared" si="3"/>
        <v>8</v>
      </c>
      <c r="AE40" s="2">
        <f t="shared" ca="1" si="4"/>
        <v>-529.9262716435187</v>
      </c>
      <c r="AF40" s="15"/>
    </row>
    <row r="41" spans="1:32" hidden="1">
      <c r="A41" s="1">
        <v>6842393</v>
      </c>
      <c r="B41" s="1" t="s">
        <v>62</v>
      </c>
      <c r="C41" t="s">
        <v>151</v>
      </c>
      <c r="E41" s="2">
        <v>870000203010</v>
      </c>
      <c r="F41" s="1" t="s">
        <v>152</v>
      </c>
      <c r="G41" s="1" t="s">
        <v>53</v>
      </c>
      <c r="H41" s="1" t="s">
        <v>183</v>
      </c>
      <c r="I41" s="1" t="s">
        <v>184</v>
      </c>
      <c r="J41" s="1" t="s">
        <v>90</v>
      </c>
      <c r="K41" t="s">
        <v>155</v>
      </c>
      <c r="M41" s="1" t="s">
        <v>35</v>
      </c>
      <c r="N41" s="1">
        <v>42318949</v>
      </c>
      <c r="O41" s="1" t="s">
        <v>36</v>
      </c>
      <c r="P41" s="11" t="s">
        <v>185</v>
      </c>
      <c r="R41" s="1" t="s">
        <v>38</v>
      </c>
      <c r="T41" s="1" t="s">
        <v>157</v>
      </c>
      <c r="U41" s="186">
        <v>44456.75</v>
      </c>
      <c r="V41" s="1" t="s">
        <v>41</v>
      </c>
      <c r="W41" s="1" t="s">
        <v>49</v>
      </c>
      <c r="X41" s="13" t="str">
        <f t="shared" si="5"/>
        <v/>
      </c>
      <c r="Y41" s="2">
        <f t="shared" ca="1" si="0"/>
        <v>404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 t="str">
        <f t="shared" si="6"/>
        <v xml:space="preserve"> RINALDO </v>
      </c>
      <c r="AD41" s="2">
        <f t="shared" si="3"/>
        <v>8</v>
      </c>
      <c r="AE41" s="2">
        <f t="shared" ca="1" si="4"/>
        <v>-529.9262716435187</v>
      </c>
      <c r="AF41" s="15"/>
    </row>
    <row r="42" spans="1:32" hidden="1">
      <c r="A42" s="1">
        <v>6966972</v>
      </c>
      <c r="B42" s="1" t="s">
        <v>27</v>
      </c>
      <c r="C42" t="s">
        <v>186</v>
      </c>
      <c r="E42" s="2">
        <v>7740206001</v>
      </c>
      <c r="F42" s="1" t="s">
        <v>29</v>
      </c>
      <c r="G42" s="1" t="s">
        <v>53</v>
      </c>
      <c r="H42" s="1" t="s">
        <v>187</v>
      </c>
      <c r="I42" s="1" t="s">
        <v>188</v>
      </c>
      <c r="J42" s="1" t="s">
        <v>46</v>
      </c>
      <c r="K42" t="s">
        <v>34</v>
      </c>
      <c r="M42" s="1" t="s">
        <v>35</v>
      </c>
      <c r="N42" s="1">
        <v>42318949</v>
      </c>
      <c r="O42" s="1" t="s">
        <v>105</v>
      </c>
      <c r="P42" s="11" t="s">
        <v>189</v>
      </c>
      <c r="R42" s="1" t="s">
        <v>38</v>
      </c>
      <c r="T42" s="1" t="s">
        <v>74</v>
      </c>
      <c r="U42" s="11" t="s">
        <v>190</v>
      </c>
      <c r="V42" s="1" t="s">
        <v>41</v>
      </c>
      <c r="W42" s="1" t="s">
        <v>49</v>
      </c>
      <c r="X42" s="13" t="str">
        <f t="shared" si="5"/>
        <v>0007.74</v>
      </c>
      <c r="Y42" s="2">
        <f t="shared" ca="1" si="0"/>
        <v>401</v>
      </c>
      <c r="Z42" s="14">
        <v>1</v>
      </c>
      <c r="AA42" s="1" t="str">
        <f t="shared" ca="1" si="1"/>
        <v>VENCIDO</v>
      </c>
      <c r="AB42" s="1" t="str">
        <f t="shared" si="2"/>
        <v>Dosa</v>
      </c>
      <c r="AC42" s="2" t="str">
        <f t="shared" si="6"/>
        <v xml:space="preserve"> CLEITON </v>
      </c>
      <c r="AD42" s="2">
        <f t="shared" si="3"/>
        <v>5</v>
      </c>
      <c r="AE42" s="2">
        <f t="shared" ca="1" si="4"/>
        <v>-558.9262716435187</v>
      </c>
      <c r="AF42" s="15"/>
    </row>
    <row r="43" spans="1:32" hidden="1">
      <c r="A43" s="1">
        <v>6986331</v>
      </c>
      <c r="B43" s="1" t="s">
        <v>27</v>
      </c>
      <c r="C43" t="s">
        <v>186</v>
      </c>
      <c r="E43" s="2">
        <v>2326000206001</v>
      </c>
      <c r="F43" s="1" t="s">
        <v>29</v>
      </c>
      <c r="G43" s="1" t="s">
        <v>53</v>
      </c>
      <c r="H43" s="1" t="s">
        <v>191</v>
      </c>
      <c r="I43" s="1" t="s">
        <v>192</v>
      </c>
      <c r="J43" s="1" t="s">
        <v>46</v>
      </c>
      <c r="K43" t="s">
        <v>34</v>
      </c>
      <c r="M43" s="1" t="s">
        <v>35</v>
      </c>
      <c r="N43" s="1">
        <v>42318949</v>
      </c>
      <c r="O43" s="1" t="s">
        <v>105</v>
      </c>
      <c r="P43" s="11" t="s">
        <v>193</v>
      </c>
      <c r="R43" s="1" t="s">
        <v>38</v>
      </c>
      <c r="T43" s="1" t="s">
        <v>74</v>
      </c>
      <c r="U43" s="11" t="s">
        <v>190</v>
      </c>
      <c r="V43" s="1" t="s">
        <v>41</v>
      </c>
      <c r="W43" s="1" t="s">
        <v>49</v>
      </c>
      <c r="X43" s="13" t="str">
        <f t="shared" si="5"/>
        <v/>
      </c>
      <c r="Y43" s="2">
        <f t="shared" ca="1" si="0"/>
        <v>400</v>
      </c>
      <c r="Z43" s="14">
        <v>1</v>
      </c>
      <c r="AA43" s="1" t="str">
        <f t="shared" ca="1" si="1"/>
        <v>VENCIDO</v>
      </c>
      <c r="AB43" s="1" t="str">
        <f t="shared" si="2"/>
        <v>Dosa</v>
      </c>
      <c r="AC43" s="2" t="str">
        <f t="shared" si="6"/>
        <v xml:space="preserve"> CLEITON </v>
      </c>
      <c r="AD43" s="2">
        <f t="shared" si="3"/>
        <v>5</v>
      </c>
      <c r="AE43" s="2">
        <f t="shared" ca="1" si="4"/>
        <v>-558.9262716435187</v>
      </c>
      <c r="AF43" s="15"/>
    </row>
    <row r="44" spans="1:32" hidden="1">
      <c r="A44" s="1">
        <v>6986330</v>
      </c>
      <c r="B44" s="1" t="s">
        <v>27</v>
      </c>
      <c r="C44" t="s">
        <v>186</v>
      </c>
      <c r="E44" s="2">
        <v>2335000206001</v>
      </c>
      <c r="F44" s="1" t="s">
        <v>29</v>
      </c>
      <c r="G44" s="1" t="s">
        <v>53</v>
      </c>
      <c r="H44" s="1" t="s">
        <v>194</v>
      </c>
      <c r="I44" s="1" t="s">
        <v>195</v>
      </c>
      <c r="J44" s="1" t="s">
        <v>110</v>
      </c>
      <c r="K44" t="s">
        <v>34</v>
      </c>
      <c r="M44" s="1" t="s">
        <v>35</v>
      </c>
      <c r="N44" s="1">
        <v>42318949</v>
      </c>
      <c r="O44" s="1" t="s">
        <v>36</v>
      </c>
      <c r="P44" s="11" t="s">
        <v>196</v>
      </c>
      <c r="R44" s="1" t="s">
        <v>38</v>
      </c>
      <c r="T44" s="1" t="s">
        <v>74</v>
      </c>
      <c r="U44" s="11" t="s">
        <v>190</v>
      </c>
      <c r="V44" s="1" t="s">
        <v>41</v>
      </c>
      <c r="W44" s="1" t="s">
        <v>49</v>
      </c>
      <c r="X44" s="13" t="str">
        <f t="shared" si="5"/>
        <v/>
      </c>
      <c r="Y44" s="2">
        <f t="shared" ca="1" si="0"/>
        <v>400</v>
      </c>
      <c r="Z44" s="14">
        <v>1</v>
      </c>
      <c r="AA44" s="1" t="str">
        <f t="shared" ca="1" si="1"/>
        <v>VENCIDO</v>
      </c>
      <c r="AB44" s="1" t="str">
        <f t="shared" si="2"/>
        <v>Dosa</v>
      </c>
      <c r="AC44" s="2" t="str">
        <f t="shared" si="6"/>
        <v xml:space="preserve"> CRISTINA </v>
      </c>
      <c r="AD44" s="2">
        <f t="shared" si="3"/>
        <v>5</v>
      </c>
      <c r="AE44" s="2">
        <f t="shared" ca="1" si="4"/>
        <v>-558.9262716435187</v>
      </c>
      <c r="AF44" s="15"/>
    </row>
    <row r="45" spans="1:32" hidden="1">
      <c r="A45" s="1">
        <v>6981314</v>
      </c>
      <c r="B45" s="1" t="s">
        <v>27</v>
      </c>
      <c r="C45" t="s">
        <v>186</v>
      </c>
      <c r="E45" s="2">
        <v>4357010206001</v>
      </c>
      <c r="F45" s="1" t="s">
        <v>29</v>
      </c>
      <c r="G45" s="1" t="s">
        <v>53</v>
      </c>
      <c r="H45" s="1" t="s">
        <v>197</v>
      </c>
      <c r="I45" s="1" t="s">
        <v>198</v>
      </c>
      <c r="J45" s="1" t="s">
        <v>46</v>
      </c>
      <c r="K45" t="s">
        <v>34</v>
      </c>
      <c r="M45" s="1" t="s">
        <v>35</v>
      </c>
      <c r="N45" s="1">
        <v>42318949</v>
      </c>
      <c r="O45" s="1" t="s">
        <v>36</v>
      </c>
      <c r="P45" s="11" t="s">
        <v>3398</v>
      </c>
      <c r="R45" s="1" t="s">
        <v>38</v>
      </c>
      <c r="T45" s="1" t="s">
        <v>74</v>
      </c>
      <c r="U45" s="11" t="s">
        <v>190</v>
      </c>
      <c r="V45" s="1" t="s">
        <v>41</v>
      </c>
      <c r="W45" s="1" t="s">
        <v>49</v>
      </c>
      <c r="X45" s="13" t="str">
        <f t="shared" si="5"/>
        <v>4357.01</v>
      </c>
      <c r="Y45" s="2">
        <f t="shared" ca="1" si="0"/>
        <v>400</v>
      </c>
      <c r="Z45" s="14">
        <v>1</v>
      </c>
      <c r="AA45" s="1" t="str">
        <f t="shared" ca="1" si="1"/>
        <v>VENCIDO</v>
      </c>
      <c r="AB45" s="1" t="str">
        <f t="shared" si="2"/>
        <v>Dosa</v>
      </c>
      <c r="AC45" s="2" t="str">
        <f t="shared" si="6"/>
        <v xml:space="preserve"> CLEITON </v>
      </c>
      <c r="AD45" s="2">
        <f t="shared" si="3"/>
        <v>5</v>
      </c>
      <c r="AE45" s="2">
        <f t="shared" ca="1" si="4"/>
        <v>-558.9262716435187</v>
      </c>
      <c r="AF45" s="15"/>
    </row>
    <row r="46" spans="1:32" hidden="1">
      <c r="A46" s="1">
        <v>7150745</v>
      </c>
      <c r="B46" s="1" t="s">
        <v>101</v>
      </c>
      <c r="C46" t="s">
        <v>199</v>
      </c>
      <c r="E46" s="2">
        <v>1059002060021</v>
      </c>
      <c r="F46" s="1" t="s">
        <v>103</v>
      </c>
      <c r="G46" s="1" t="s">
        <v>53</v>
      </c>
      <c r="H46" s="1" t="s">
        <v>88</v>
      </c>
      <c r="I46" s="1" t="s">
        <v>89</v>
      </c>
      <c r="J46" s="1" t="s">
        <v>90</v>
      </c>
      <c r="K46" t="s">
        <v>104</v>
      </c>
      <c r="M46" s="1" t="s">
        <v>58</v>
      </c>
      <c r="N46" s="1">
        <v>0</v>
      </c>
      <c r="O46" s="1" t="s">
        <v>36</v>
      </c>
      <c r="P46" s="48">
        <v>44434.404027777775</v>
      </c>
      <c r="R46" s="1" t="s">
        <v>38</v>
      </c>
      <c r="T46" s="1" t="s">
        <v>74</v>
      </c>
      <c r="U46" s="11" t="s">
        <v>201</v>
      </c>
      <c r="V46" s="1" t="s">
        <v>41</v>
      </c>
      <c r="W46" s="1" t="s">
        <v>49</v>
      </c>
      <c r="X46" s="13" t="str">
        <f t="shared" si="5"/>
        <v/>
      </c>
      <c r="Y46" s="2">
        <f t="shared" ca="1" si="0"/>
        <v>395</v>
      </c>
      <c r="Z46" s="14">
        <v>1</v>
      </c>
      <c r="AA46" s="1" t="str">
        <f t="shared" ca="1" si="1"/>
        <v>VENCIDO</v>
      </c>
      <c r="AB46" s="1" t="str">
        <f t="shared" si="2"/>
        <v>Dosa</v>
      </c>
      <c r="AC46" s="2" t="str">
        <f t="shared" si="6"/>
        <v xml:space="preserve"> RINALDO </v>
      </c>
      <c r="AD46" s="2">
        <f t="shared" si="3"/>
        <v>5</v>
      </c>
      <c r="AE46" s="2">
        <f t="shared" ca="1" si="4"/>
        <v>-551.9262716435187</v>
      </c>
      <c r="AF46" s="15"/>
    </row>
    <row r="47" spans="1:32" hidden="1">
      <c r="A47" s="1">
        <v>7150715</v>
      </c>
      <c r="B47" s="1" t="s">
        <v>101</v>
      </c>
      <c r="C47" t="s">
        <v>199</v>
      </c>
      <c r="E47" s="2">
        <v>711002060021</v>
      </c>
      <c r="F47" s="1" t="s">
        <v>103</v>
      </c>
      <c r="G47" s="1" t="s">
        <v>53</v>
      </c>
      <c r="H47" s="1" t="s">
        <v>77</v>
      </c>
      <c r="I47" s="1" t="s">
        <v>78</v>
      </c>
      <c r="J47" s="1" t="s">
        <v>79</v>
      </c>
      <c r="K47" t="s">
        <v>104</v>
      </c>
      <c r="M47" s="1" t="s">
        <v>58</v>
      </c>
      <c r="N47" s="1">
        <v>0</v>
      </c>
      <c r="O47" s="1" t="s">
        <v>105</v>
      </c>
      <c r="P47" s="48">
        <v>44434.403935185182</v>
      </c>
      <c r="R47" s="1" t="s">
        <v>38</v>
      </c>
      <c r="T47" s="1" t="s">
        <v>74</v>
      </c>
      <c r="U47" s="11" t="s">
        <v>201</v>
      </c>
      <c r="V47" s="1" t="s">
        <v>41</v>
      </c>
      <c r="W47" s="1" t="s">
        <v>49</v>
      </c>
      <c r="X47" s="13" t="str">
        <f t="shared" si="5"/>
        <v/>
      </c>
      <c r="Y47" s="2">
        <f t="shared" ca="1" si="0"/>
        <v>395</v>
      </c>
      <c r="Z47" s="14">
        <v>1</v>
      </c>
      <c r="AA47" s="1" t="str">
        <f t="shared" ca="1" si="1"/>
        <v>VENCIDO</v>
      </c>
      <c r="AB47" s="1" t="str">
        <f t="shared" si="2"/>
        <v>Dosa</v>
      </c>
      <c r="AC47" s="2" t="str">
        <f t="shared" si="6"/>
        <v xml:space="preserve"> ROSEMERE </v>
      </c>
      <c r="AD47" s="2">
        <f t="shared" si="3"/>
        <v>5</v>
      </c>
      <c r="AE47" s="2">
        <f t="shared" ca="1" si="4"/>
        <v>-551.9262716435187</v>
      </c>
      <c r="AF47" s="15"/>
    </row>
    <row r="48" spans="1:32" hidden="1">
      <c r="A48" s="1">
        <v>7150500</v>
      </c>
      <c r="B48" s="1" t="s">
        <v>101</v>
      </c>
      <c r="C48" t="s">
        <v>203</v>
      </c>
      <c r="E48" s="2">
        <v>9705000206121</v>
      </c>
      <c r="F48" s="1" t="s">
        <v>113</v>
      </c>
      <c r="G48" s="1" t="s">
        <v>53</v>
      </c>
      <c r="H48" s="1" t="s">
        <v>204</v>
      </c>
      <c r="I48" s="1" t="s">
        <v>205</v>
      </c>
      <c r="J48" s="1" t="s">
        <v>90</v>
      </c>
      <c r="K48" t="s">
        <v>116</v>
      </c>
      <c r="M48" s="1" t="s">
        <v>35</v>
      </c>
      <c r="N48" s="1">
        <v>42318949</v>
      </c>
      <c r="O48" s="1" t="s">
        <v>105</v>
      </c>
      <c r="P48" s="48">
        <v>44434.403564814813</v>
      </c>
      <c r="R48" s="1" t="s">
        <v>38</v>
      </c>
      <c r="T48" s="1" t="s">
        <v>74</v>
      </c>
      <c r="U48" s="186">
        <v>44434.75</v>
      </c>
      <c r="V48" s="1" t="s">
        <v>41</v>
      </c>
      <c r="W48" s="1" t="s">
        <v>49</v>
      </c>
      <c r="X48" s="13" t="str">
        <f t="shared" si="5"/>
        <v/>
      </c>
      <c r="Y48" s="2">
        <f t="shared" ca="1" si="0"/>
        <v>395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 t="str">
        <f t="shared" si="6"/>
        <v xml:space="preserve"> RINALDO </v>
      </c>
      <c r="AD48" s="2">
        <f t="shared" si="3"/>
        <v>8</v>
      </c>
      <c r="AE48" s="2">
        <f t="shared" ca="1" si="4"/>
        <v>-551.9262716435187</v>
      </c>
      <c r="AF48" s="15"/>
    </row>
    <row r="49" spans="1:32" hidden="1">
      <c r="A49" s="1">
        <v>7149319</v>
      </c>
      <c r="B49" s="1" t="s">
        <v>101</v>
      </c>
      <c r="C49" t="s">
        <v>207</v>
      </c>
      <c r="E49" s="2">
        <v>9700000206215</v>
      </c>
      <c r="F49" s="1" t="s">
        <v>208</v>
      </c>
      <c r="G49" s="1" t="s">
        <v>53</v>
      </c>
      <c r="H49" s="1" t="s">
        <v>209</v>
      </c>
      <c r="I49" s="1" t="s">
        <v>210</v>
      </c>
      <c r="J49" s="1" t="s">
        <v>211</v>
      </c>
      <c r="K49" t="s">
        <v>212</v>
      </c>
      <c r="M49" s="1" t="s">
        <v>35</v>
      </c>
      <c r="N49" s="1">
        <v>42318949</v>
      </c>
      <c r="O49" s="1" t="s">
        <v>105</v>
      </c>
      <c r="P49" s="48">
        <v>44434.401979166665</v>
      </c>
      <c r="R49" s="1" t="s">
        <v>38</v>
      </c>
      <c r="T49" s="1" t="s">
        <v>74</v>
      </c>
      <c r="U49" s="11" t="s">
        <v>201</v>
      </c>
      <c r="V49" s="1" t="s">
        <v>41</v>
      </c>
      <c r="W49" s="1" t="s">
        <v>49</v>
      </c>
      <c r="X49" s="13" t="str">
        <f t="shared" si="5"/>
        <v/>
      </c>
      <c r="Y49" s="2">
        <f t="shared" ca="1" si="0"/>
        <v>395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 t="str">
        <f t="shared" si="6"/>
        <v xml:space="preserve"> RINALDO </v>
      </c>
      <c r="AD49" s="2">
        <f t="shared" si="3"/>
        <v>8</v>
      </c>
      <c r="AE49" s="2">
        <f t="shared" ca="1" si="4"/>
        <v>-551.9262716435187</v>
      </c>
      <c r="AF49" s="15"/>
    </row>
    <row r="50" spans="1:32" hidden="1">
      <c r="A50" s="1">
        <v>7148873</v>
      </c>
      <c r="B50" s="1" t="s">
        <v>101</v>
      </c>
      <c r="C50" t="s">
        <v>207</v>
      </c>
      <c r="E50" s="2">
        <v>9700000206206</v>
      </c>
      <c r="F50" s="1" t="s">
        <v>208</v>
      </c>
      <c r="G50" s="1" t="s">
        <v>53</v>
      </c>
      <c r="H50" s="1" t="s">
        <v>209</v>
      </c>
      <c r="I50" s="1" t="s">
        <v>210</v>
      </c>
      <c r="J50" s="1" t="s">
        <v>211</v>
      </c>
      <c r="K50" t="s">
        <v>212</v>
      </c>
      <c r="M50" s="1" t="s">
        <v>35</v>
      </c>
      <c r="N50" s="1">
        <v>42318949</v>
      </c>
      <c r="O50" s="1" t="s">
        <v>105</v>
      </c>
      <c r="P50" s="48">
        <v>44434.401319444441</v>
      </c>
      <c r="R50" s="1" t="s">
        <v>38</v>
      </c>
      <c r="T50" s="1" t="s">
        <v>74</v>
      </c>
      <c r="U50" s="11" t="s">
        <v>201</v>
      </c>
      <c r="V50" s="1" t="s">
        <v>41</v>
      </c>
      <c r="W50" s="1" t="s">
        <v>49</v>
      </c>
      <c r="X50" s="13" t="str">
        <f t="shared" si="5"/>
        <v/>
      </c>
      <c r="Y50" s="2">
        <f t="shared" ca="1" si="0"/>
        <v>395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 t="str">
        <f t="shared" si="6"/>
        <v xml:space="preserve"> RINALDO </v>
      </c>
      <c r="AD50" s="2">
        <f t="shared" si="3"/>
        <v>8</v>
      </c>
      <c r="AE50" s="2">
        <f t="shared" ca="1" si="4"/>
        <v>-551.9262716435187</v>
      </c>
      <c r="AF50" s="15"/>
    </row>
    <row r="51" spans="1:32" hidden="1">
      <c r="A51" s="1">
        <v>7148559</v>
      </c>
      <c r="B51" s="1" t="s">
        <v>101</v>
      </c>
      <c r="C51" t="s">
        <v>207</v>
      </c>
      <c r="E51" s="2">
        <v>9700000206208</v>
      </c>
      <c r="F51" s="1" t="s">
        <v>208</v>
      </c>
      <c r="G51" s="1" t="s">
        <v>53</v>
      </c>
      <c r="H51" s="1" t="s">
        <v>209</v>
      </c>
      <c r="I51" s="1" t="s">
        <v>210</v>
      </c>
      <c r="J51" s="1" t="s">
        <v>211</v>
      </c>
      <c r="K51" t="s">
        <v>212</v>
      </c>
      <c r="M51" s="1" t="s">
        <v>35</v>
      </c>
      <c r="N51" s="1">
        <v>42318949</v>
      </c>
      <c r="O51" s="1" t="s">
        <v>105</v>
      </c>
      <c r="P51" s="48">
        <v>44434.400891203702</v>
      </c>
      <c r="R51" s="1" t="s">
        <v>38</v>
      </c>
      <c r="T51" s="1" t="s">
        <v>74</v>
      </c>
      <c r="U51" s="11" t="s">
        <v>201</v>
      </c>
      <c r="V51" s="1" t="s">
        <v>41</v>
      </c>
      <c r="W51" s="1" t="s">
        <v>49</v>
      </c>
      <c r="X51" s="13" t="str">
        <f t="shared" si="5"/>
        <v/>
      </c>
      <c r="Y51" s="2">
        <f t="shared" ca="1" si="0"/>
        <v>395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 t="str">
        <f t="shared" si="6"/>
        <v xml:space="preserve"> RINALDO </v>
      </c>
      <c r="AD51" s="2">
        <f t="shared" si="3"/>
        <v>8</v>
      </c>
      <c r="AE51" s="2">
        <f t="shared" ca="1" si="4"/>
        <v>-551.9262716435187</v>
      </c>
      <c r="AF51" s="15"/>
    </row>
    <row r="52" spans="1:32" hidden="1">
      <c r="A52" s="1">
        <v>7148259</v>
      </c>
      <c r="B52" s="1" t="s">
        <v>101</v>
      </c>
      <c r="C52" t="s">
        <v>207</v>
      </c>
      <c r="E52" s="2">
        <v>9700000206202</v>
      </c>
      <c r="F52" s="1" t="s">
        <v>208</v>
      </c>
      <c r="G52" s="1" t="s">
        <v>53</v>
      </c>
      <c r="H52" s="1" t="s">
        <v>209</v>
      </c>
      <c r="I52" s="1" t="s">
        <v>210</v>
      </c>
      <c r="J52" s="1" t="s">
        <v>211</v>
      </c>
      <c r="K52" t="s">
        <v>212</v>
      </c>
      <c r="M52" s="1" t="s">
        <v>35</v>
      </c>
      <c r="N52" s="1">
        <v>42318949</v>
      </c>
      <c r="O52" s="1" t="s">
        <v>105</v>
      </c>
      <c r="P52" s="48">
        <v>44434.400416666664</v>
      </c>
      <c r="R52" s="1" t="s">
        <v>38</v>
      </c>
      <c r="T52" s="1" t="s">
        <v>74</v>
      </c>
      <c r="U52" s="11" t="s">
        <v>201</v>
      </c>
      <c r="V52" s="1" t="s">
        <v>41</v>
      </c>
      <c r="W52" s="1" t="s">
        <v>49</v>
      </c>
      <c r="X52" s="13" t="str">
        <f t="shared" si="5"/>
        <v/>
      </c>
      <c r="Y52" s="2">
        <f t="shared" ca="1" si="0"/>
        <v>395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 t="str">
        <f t="shared" si="6"/>
        <v xml:space="preserve"> RINALDO </v>
      </c>
      <c r="AD52" s="2">
        <f t="shared" si="3"/>
        <v>8</v>
      </c>
      <c r="AE52" s="2">
        <f t="shared" ca="1" si="4"/>
        <v>-551.9262716435187</v>
      </c>
      <c r="AF52" s="15"/>
    </row>
    <row r="53" spans="1:32" hidden="1">
      <c r="A53" s="1">
        <v>7148258</v>
      </c>
      <c r="B53" s="1" t="s">
        <v>101</v>
      </c>
      <c r="C53" t="s">
        <v>207</v>
      </c>
      <c r="E53" s="2">
        <v>9700000206200</v>
      </c>
      <c r="F53" s="1" t="s">
        <v>208</v>
      </c>
      <c r="G53" s="1" t="s">
        <v>53</v>
      </c>
      <c r="H53" s="1" t="s">
        <v>209</v>
      </c>
      <c r="I53" s="1" t="s">
        <v>210</v>
      </c>
      <c r="J53" s="1" t="s">
        <v>211</v>
      </c>
      <c r="K53" t="s">
        <v>212</v>
      </c>
      <c r="M53" s="1" t="s">
        <v>35</v>
      </c>
      <c r="N53" s="1">
        <v>42318949</v>
      </c>
      <c r="O53" s="1" t="s">
        <v>105</v>
      </c>
      <c r="P53" s="48">
        <v>44434.400405092594</v>
      </c>
      <c r="R53" s="1" t="s">
        <v>38</v>
      </c>
      <c r="T53" s="1" t="s">
        <v>74</v>
      </c>
      <c r="U53" s="11" t="s">
        <v>201</v>
      </c>
      <c r="V53" s="1" t="s">
        <v>41</v>
      </c>
      <c r="W53" s="1" t="s">
        <v>49</v>
      </c>
      <c r="X53" s="13" t="str">
        <f t="shared" si="5"/>
        <v/>
      </c>
      <c r="Y53" s="2">
        <f t="shared" ca="1" si="0"/>
        <v>395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 t="str">
        <f t="shared" si="6"/>
        <v xml:space="preserve"> RINALDO </v>
      </c>
      <c r="AD53" s="2">
        <f t="shared" si="3"/>
        <v>8</v>
      </c>
      <c r="AE53" s="2">
        <f t="shared" ca="1" si="4"/>
        <v>-551.9262716435187</v>
      </c>
      <c r="AF53" s="15"/>
    </row>
    <row r="54" spans="1:32" hidden="1">
      <c r="A54" s="1">
        <v>7148018</v>
      </c>
      <c r="B54" s="1" t="s">
        <v>101</v>
      </c>
      <c r="C54" t="s">
        <v>207</v>
      </c>
      <c r="E54" s="2">
        <v>9700000206214</v>
      </c>
      <c r="F54" s="1" t="s">
        <v>208</v>
      </c>
      <c r="G54" s="1" t="s">
        <v>53</v>
      </c>
      <c r="H54" s="1" t="s">
        <v>209</v>
      </c>
      <c r="I54" s="1" t="s">
        <v>210</v>
      </c>
      <c r="J54" s="1" t="s">
        <v>211</v>
      </c>
      <c r="K54" t="s">
        <v>212</v>
      </c>
      <c r="M54" s="1" t="s">
        <v>35</v>
      </c>
      <c r="N54" s="1">
        <v>42318949</v>
      </c>
      <c r="O54" s="1" t="s">
        <v>105</v>
      </c>
      <c r="P54" s="48">
        <v>44434.399953703702</v>
      </c>
      <c r="R54" s="1" t="s">
        <v>38</v>
      </c>
      <c r="T54" s="1" t="s">
        <v>74</v>
      </c>
      <c r="U54" s="11" t="s">
        <v>201</v>
      </c>
      <c r="V54" s="1" t="s">
        <v>41</v>
      </c>
      <c r="W54" s="1" t="s">
        <v>49</v>
      </c>
      <c r="X54" s="13" t="str">
        <f t="shared" si="5"/>
        <v/>
      </c>
      <c r="Y54" s="2">
        <f t="shared" ca="1" si="0"/>
        <v>395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 t="str">
        <f t="shared" si="6"/>
        <v xml:space="preserve"> RINALDO </v>
      </c>
      <c r="AD54" s="2">
        <f t="shared" si="3"/>
        <v>8</v>
      </c>
      <c r="AE54" s="2">
        <f t="shared" ca="1" si="4"/>
        <v>-551.9262716435187</v>
      </c>
      <c r="AF54" s="15"/>
    </row>
    <row r="55" spans="1:32" hidden="1">
      <c r="A55" s="1">
        <v>7147788</v>
      </c>
      <c r="B55" s="1" t="s">
        <v>101</v>
      </c>
      <c r="C55" t="s">
        <v>207</v>
      </c>
      <c r="E55" s="2">
        <v>9700000206219</v>
      </c>
      <c r="F55" s="1" t="s">
        <v>208</v>
      </c>
      <c r="G55" s="1" t="s">
        <v>53</v>
      </c>
      <c r="H55" s="1" t="s">
        <v>209</v>
      </c>
      <c r="I55" s="1" t="s">
        <v>210</v>
      </c>
      <c r="J55" s="1" t="s">
        <v>211</v>
      </c>
      <c r="K55" t="s">
        <v>212</v>
      </c>
      <c r="M55" s="1" t="s">
        <v>35</v>
      </c>
      <c r="N55" s="1">
        <v>42318949</v>
      </c>
      <c r="O55" s="1" t="s">
        <v>105</v>
      </c>
      <c r="P55" s="48">
        <v>44434.39947916667</v>
      </c>
      <c r="R55" s="1" t="s">
        <v>38</v>
      </c>
      <c r="T55" s="1" t="s">
        <v>74</v>
      </c>
      <c r="U55" s="11" t="s">
        <v>201</v>
      </c>
      <c r="V55" s="1" t="s">
        <v>41</v>
      </c>
      <c r="W55" s="1" t="s">
        <v>49</v>
      </c>
      <c r="X55" s="13" t="str">
        <f t="shared" si="5"/>
        <v/>
      </c>
      <c r="Y55" s="2">
        <f t="shared" ca="1" si="0"/>
        <v>395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 t="str">
        <f t="shared" si="6"/>
        <v xml:space="preserve"> RINALDO </v>
      </c>
      <c r="AD55" s="2">
        <f t="shared" si="3"/>
        <v>8</v>
      </c>
      <c r="AE55" s="2">
        <f t="shared" ca="1" si="4"/>
        <v>-551.9262716435187</v>
      </c>
      <c r="AF55" s="15"/>
    </row>
    <row r="56" spans="1:32" hidden="1">
      <c r="A56" s="1">
        <v>7147787</v>
      </c>
      <c r="B56" s="1" t="s">
        <v>101</v>
      </c>
      <c r="C56" t="s">
        <v>207</v>
      </c>
      <c r="E56" s="2">
        <v>9700000206210</v>
      </c>
      <c r="F56" s="1" t="s">
        <v>208</v>
      </c>
      <c r="G56" s="1" t="s">
        <v>53</v>
      </c>
      <c r="H56" s="1" t="s">
        <v>209</v>
      </c>
      <c r="I56" s="1" t="s">
        <v>210</v>
      </c>
      <c r="J56" s="1" t="s">
        <v>211</v>
      </c>
      <c r="K56" t="s">
        <v>212</v>
      </c>
      <c r="M56" s="1" t="s">
        <v>35</v>
      </c>
      <c r="N56" s="1">
        <v>42318949</v>
      </c>
      <c r="O56" s="1" t="s">
        <v>105</v>
      </c>
      <c r="P56" s="48">
        <v>44434.39947916667</v>
      </c>
      <c r="R56" s="1" t="s">
        <v>38</v>
      </c>
      <c r="T56" s="1" t="s">
        <v>74</v>
      </c>
      <c r="U56" s="11" t="s">
        <v>201</v>
      </c>
      <c r="V56" s="1" t="s">
        <v>41</v>
      </c>
      <c r="W56" s="1" t="s">
        <v>49</v>
      </c>
      <c r="X56" s="13" t="str">
        <f t="shared" si="5"/>
        <v/>
      </c>
      <c r="Y56" s="2">
        <f t="shared" ca="1" si="0"/>
        <v>395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 t="str">
        <f t="shared" si="6"/>
        <v xml:space="preserve"> RINALDO </v>
      </c>
      <c r="AD56" s="2">
        <f t="shared" si="3"/>
        <v>8</v>
      </c>
      <c r="AE56" s="2">
        <f t="shared" ca="1" si="4"/>
        <v>-551.9262716435187</v>
      </c>
      <c r="AF56" s="15"/>
    </row>
    <row r="57" spans="1:32" hidden="1">
      <c r="A57" s="1">
        <v>7146947</v>
      </c>
      <c r="B57" s="1" t="s">
        <v>101</v>
      </c>
      <c r="C57" t="s">
        <v>207</v>
      </c>
      <c r="E57" s="2">
        <v>9700000206218</v>
      </c>
      <c r="F57" s="1" t="s">
        <v>208</v>
      </c>
      <c r="G57" s="1" t="s">
        <v>53</v>
      </c>
      <c r="H57" s="1" t="s">
        <v>209</v>
      </c>
      <c r="I57" s="1" t="s">
        <v>210</v>
      </c>
      <c r="J57" s="1" t="s">
        <v>211</v>
      </c>
      <c r="K57" t="s">
        <v>212</v>
      </c>
      <c r="M57" s="1" t="s">
        <v>35</v>
      </c>
      <c r="N57" s="1">
        <v>42318949</v>
      </c>
      <c r="O57" s="1" t="s">
        <v>105</v>
      </c>
      <c r="P57" s="48">
        <v>44434.398113425923</v>
      </c>
      <c r="R57" s="1" t="s">
        <v>38</v>
      </c>
      <c r="T57" s="1" t="s">
        <v>74</v>
      </c>
      <c r="U57" s="11" t="s">
        <v>201</v>
      </c>
      <c r="V57" s="1" t="s">
        <v>41</v>
      </c>
      <c r="W57" s="1" t="s">
        <v>49</v>
      </c>
      <c r="X57" s="13" t="str">
        <f t="shared" si="5"/>
        <v/>
      </c>
      <c r="Y57" s="2">
        <f t="shared" ca="1" si="0"/>
        <v>395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 t="str">
        <f t="shared" si="6"/>
        <v xml:space="preserve"> RINALDO </v>
      </c>
      <c r="AD57" s="2">
        <f t="shared" si="3"/>
        <v>8</v>
      </c>
      <c r="AE57" s="2">
        <f t="shared" ca="1" si="4"/>
        <v>-551.9262716435187</v>
      </c>
      <c r="AF57" s="15"/>
    </row>
    <row r="58" spans="1:32" hidden="1">
      <c r="A58" s="1">
        <v>7146818</v>
      </c>
      <c r="B58" s="1" t="s">
        <v>101</v>
      </c>
      <c r="C58" t="s">
        <v>207</v>
      </c>
      <c r="E58" s="2">
        <v>9700000206203</v>
      </c>
      <c r="F58" s="1" t="s">
        <v>208</v>
      </c>
      <c r="G58" s="1" t="s">
        <v>53</v>
      </c>
      <c r="H58" s="1" t="s">
        <v>209</v>
      </c>
      <c r="I58" s="1" t="s">
        <v>210</v>
      </c>
      <c r="J58" s="1" t="s">
        <v>211</v>
      </c>
      <c r="K58" t="s">
        <v>212</v>
      </c>
      <c r="M58" s="1" t="s">
        <v>35</v>
      </c>
      <c r="N58" s="1">
        <v>42318949</v>
      </c>
      <c r="O58" s="1" t="s">
        <v>105</v>
      </c>
      <c r="P58" s="48">
        <v>44434.397800925923</v>
      </c>
      <c r="R58" s="1" t="s">
        <v>38</v>
      </c>
      <c r="T58" s="1" t="s">
        <v>74</v>
      </c>
      <c r="U58" s="11" t="s">
        <v>201</v>
      </c>
      <c r="V58" s="1" t="s">
        <v>41</v>
      </c>
      <c r="W58" s="1" t="s">
        <v>49</v>
      </c>
      <c r="X58" s="13" t="str">
        <f t="shared" si="5"/>
        <v/>
      </c>
      <c r="Y58" s="2">
        <f t="shared" ca="1" si="0"/>
        <v>395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 t="str">
        <f t="shared" si="6"/>
        <v xml:space="preserve"> RINALDO </v>
      </c>
      <c r="AD58" s="2">
        <f t="shared" si="3"/>
        <v>8</v>
      </c>
      <c r="AE58" s="2">
        <f t="shared" ca="1" si="4"/>
        <v>-551.9262716435187</v>
      </c>
      <c r="AF58" s="15"/>
    </row>
    <row r="59" spans="1:32" hidden="1">
      <c r="A59" s="1">
        <v>7146758</v>
      </c>
      <c r="B59" s="1" t="s">
        <v>101</v>
      </c>
      <c r="C59" t="s">
        <v>207</v>
      </c>
      <c r="E59" s="2">
        <v>9700000206201</v>
      </c>
      <c r="F59" s="1" t="s">
        <v>208</v>
      </c>
      <c r="G59" s="1" t="s">
        <v>53</v>
      </c>
      <c r="H59" s="1" t="s">
        <v>209</v>
      </c>
      <c r="I59" s="1" t="s">
        <v>210</v>
      </c>
      <c r="J59" s="1" t="s">
        <v>211</v>
      </c>
      <c r="K59" t="s">
        <v>212</v>
      </c>
      <c r="M59" s="1" t="s">
        <v>35</v>
      </c>
      <c r="N59" s="1">
        <v>42318949</v>
      </c>
      <c r="O59" s="1" t="s">
        <v>105</v>
      </c>
      <c r="P59" s="48">
        <v>44434.397673611114</v>
      </c>
      <c r="R59" s="1" t="s">
        <v>38</v>
      </c>
      <c r="T59" s="1" t="s">
        <v>74</v>
      </c>
      <c r="U59" s="11" t="s">
        <v>201</v>
      </c>
      <c r="V59" s="1" t="s">
        <v>41</v>
      </c>
      <c r="W59" s="1" t="s">
        <v>49</v>
      </c>
      <c r="X59" s="13" t="str">
        <f t="shared" si="5"/>
        <v/>
      </c>
      <c r="Y59" s="2">
        <f t="shared" ca="1" si="0"/>
        <v>395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 t="str">
        <f t="shared" si="6"/>
        <v xml:space="preserve"> RINALDO </v>
      </c>
      <c r="AD59" s="2">
        <f t="shared" si="3"/>
        <v>8</v>
      </c>
      <c r="AE59" s="2">
        <f t="shared" ca="1" si="4"/>
        <v>-551.9262716435187</v>
      </c>
      <c r="AF59" s="15"/>
    </row>
    <row r="60" spans="1:32" hidden="1">
      <c r="A60" s="1">
        <v>7146156</v>
      </c>
      <c r="B60" s="1" t="s">
        <v>101</v>
      </c>
      <c r="C60" t="s">
        <v>207</v>
      </c>
      <c r="E60" s="2">
        <v>9700000206205</v>
      </c>
      <c r="F60" s="1" t="s">
        <v>208</v>
      </c>
      <c r="G60" s="1" t="s">
        <v>53</v>
      </c>
      <c r="H60" s="1" t="s">
        <v>209</v>
      </c>
      <c r="I60" s="1" t="s">
        <v>210</v>
      </c>
      <c r="J60" s="1" t="s">
        <v>211</v>
      </c>
      <c r="K60" t="s">
        <v>212</v>
      </c>
      <c r="M60" s="1" t="s">
        <v>35</v>
      </c>
      <c r="N60" s="1">
        <v>42318949</v>
      </c>
      <c r="O60" s="1" t="s">
        <v>105</v>
      </c>
      <c r="P60" s="48">
        <v>44434.396678240744</v>
      </c>
      <c r="R60" s="1" t="s">
        <v>38</v>
      </c>
      <c r="T60" s="1" t="s">
        <v>74</v>
      </c>
      <c r="U60" s="11" t="s">
        <v>201</v>
      </c>
      <c r="V60" s="1" t="s">
        <v>41</v>
      </c>
      <c r="W60" s="1" t="s">
        <v>49</v>
      </c>
      <c r="X60" s="13" t="str">
        <f t="shared" si="5"/>
        <v/>
      </c>
      <c r="Y60" s="2">
        <f t="shared" ca="1" si="0"/>
        <v>395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 t="str">
        <f t="shared" si="6"/>
        <v xml:space="preserve"> RINALDO </v>
      </c>
      <c r="AD60" s="2">
        <f t="shared" si="3"/>
        <v>8</v>
      </c>
      <c r="AE60" s="2">
        <f t="shared" ca="1" si="4"/>
        <v>-551.9262716435187</v>
      </c>
      <c r="AF60" s="15"/>
    </row>
    <row r="61" spans="1:32" hidden="1">
      <c r="A61" s="1">
        <v>7145602</v>
      </c>
      <c r="B61" s="1" t="s">
        <v>101</v>
      </c>
      <c r="C61" t="s">
        <v>207</v>
      </c>
      <c r="E61" s="2">
        <v>9700000206207</v>
      </c>
      <c r="F61" s="1" t="s">
        <v>208</v>
      </c>
      <c r="G61" s="1" t="s">
        <v>53</v>
      </c>
      <c r="H61" s="1" t="s">
        <v>209</v>
      </c>
      <c r="I61" s="1" t="s">
        <v>210</v>
      </c>
      <c r="J61" s="1" t="s">
        <v>211</v>
      </c>
      <c r="K61" t="s">
        <v>212</v>
      </c>
      <c r="M61" s="1" t="s">
        <v>35</v>
      </c>
      <c r="N61" s="1">
        <v>42318949</v>
      </c>
      <c r="O61" s="1" t="s">
        <v>105</v>
      </c>
      <c r="P61" s="48">
        <v>44434.395624999997</v>
      </c>
      <c r="R61" s="1" t="s">
        <v>38</v>
      </c>
      <c r="T61" s="1" t="s">
        <v>74</v>
      </c>
      <c r="U61" s="11" t="s">
        <v>201</v>
      </c>
      <c r="V61" s="1" t="s">
        <v>41</v>
      </c>
      <c r="W61" s="1" t="s">
        <v>49</v>
      </c>
      <c r="X61" s="13" t="str">
        <f t="shared" si="5"/>
        <v/>
      </c>
      <c r="Y61" s="2">
        <f t="shared" ca="1" si="0"/>
        <v>395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 t="str">
        <f t="shared" si="6"/>
        <v xml:space="preserve"> RINALDO </v>
      </c>
      <c r="AD61" s="2">
        <f t="shared" si="3"/>
        <v>8</v>
      </c>
      <c r="AE61" s="2">
        <f t="shared" ca="1" si="4"/>
        <v>-551.9262716435187</v>
      </c>
      <c r="AF61" s="15"/>
    </row>
    <row r="62" spans="1:32" hidden="1">
      <c r="A62" s="1">
        <v>7145601</v>
      </c>
      <c r="B62" s="1" t="s">
        <v>101</v>
      </c>
      <c r="C62" t="s">
        <v>207</v>
      </c>
      <c r="E62" s="2">
        <v>9700000206204</v>
      </c>
      <c r="F62" s="1" t="s">
        <v>208</v>
      </c>
      <c r="G62" s="1" t="s">
        <v>53</v>
      </c>
      <c r="H62" s="1" t="s">
        <v>209</v>
      </c>
      <c r="I62" s="1" t="s">
        <v>210</v>
      </c>
      <c r="J62" s="1" t="s">
        <v>211</v>
      </c>
      <c r="K62" t="s">
        <v>212</v>
      </c>
      <c r="M62" s="1" t="s">
        <v>35</v>
      </c>
      <c r="N62" s="1">
        <v>42318949</v>
      </c>
      <c r="O62" s="1" t="s">
        <v>105</v>
      </c>
      <c r="P62" s="48">
        <v>44434.395624999997</v>
      </c>
      <c r="R62" s="1" t="s">
        <v>38</v>
      </c>
      <c r="T62" s="1" t="s">
        <v>74</v>
      </c>
      <c r="U62" s="11" t="s">
        <v>201</v>
      </c>
      <c r="V62" s="1" t="s">
        <v>41</v>
      </c>
      <c r="W62" s="1" t="s">
        <v>49</v>
      </c>
      <c r="X62" s="13" t="str">
        <f t="shared" si="5"/>
        <v/>
      </c>
      <c r="Y62" s="2">
        <f t="shared" ca="1" si="0"/>
        <v>395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 t="str">
        <f t="shared" si="6"/>
        <v xml:space="preserve"> RINALDO </v>
      </c>
      <c r="AD62" s="2">
        <f t="shared" si="3"/>
        <v>8</v>
      </c>
      <c r="AE62" s="2">
        <f t="shared" ca="1" si="4"/>
        <v>-551.9262716435187</v>
      </c>
      <c r="AF62" s="15"/>
    </row>
    <row r="63" spans="1:32" hidden="1">
      <c r="A63" s="1">
        <v>7145296</v>
      </c>
      <c r="B63" s="1" t="s">
        <v>101</v>
      </c>
      <c r="C63" t="s">
        <v>207</v>
      </c>
      <c r="E63" s="2">
        <v>9700000206213</v>
      </c>
      <c r="F63" s="1" t="s">
        <v>208</v>
      </c>
      <c r="G63" s="1" t="s">
        <v>53</v>
      </c>
      <c r="H63" s="1" t="s">
        <v>209</v>
      </c>
      <c r="I63" s="1" t="s">
        <v>210</v>
      </c>
      <c r="J63" s="1" t="s">
        <v>211</v>
      </c>
      <c r="K63" t="s">
        <v>212</v>
      </c>
      <c r="M63" s="1" t="s">
        <v>35</v>
      </c>
      <c r="N63" s="1">
        <v>42318949</v>
      </c>
      <c r="O63" s="1" t="s">
        <v>105</v>
      </c>
      <c r="P63" s="11" t="s">
        <v>223</v>
      </c>
      <c r="R63" s="1" t="s">
        <v>38</v>
      </c>
      <c r="T63" s="1" t="s">
        <v>74</v>
      </c>
      <c r="U63" s="11" t="s">
        <v>201</v>
      </c>
      <c r="V63" s="1" t="s">
        <v>41</v>
      </c>
      <c r="W63" s="1" t="s">
        <v>49</v>
      </c>
      <c r="X63" s="13" t="str">
        <f t="shared" si="5"/>
        <v/>
      </c>
      <c r="Y63" s="2">
        <f t="shared" ca="1" si="0"/>
        <v>395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 t="str">
        <f t="shared" si="6"/>
        <v xml:space="preserve"> RINALDO </v>
      </c>
      <c r="AD63" s="2">
        <f t="shared" si="3"/>
        <v>8</v>
      </c>
      <c r="AE63" s="2">
        <f t="shared" ca="1" si="4"/>
        <v>-551.9262716435187</v>
      </c>
      <c r="AF63" s="15"/>
    </row>
    <row r="64" spans="1:32" hidden="1">
      <c r="A64" s="1">
        <v>7144762</v>
      </c>
      <c r="B64" s="1" t="s">
        <v>101</v>
      </c>
      <c r="C64" t="s">
        <v>207</v>
      </c>
      <c r="E64" s="2">
        <v>9700000206212</v>
      </c>
      <c r="F64" s="1" t="s">
        <v>208</v>
      </c>
      <c r="G64" s="1" t="s">
        <v>53</v>
      </c>
      <c r="H64" s="1" t="s">
        <v>209</v>
      </c>
      <c r="I64" s="1" t="s">
        <v>210</v>
      </c>
      <c r="J64" s="1" t="s">
        <v>211</v>
      </c>
      <c r="K64" t="s">
        <v>212</v>
      </c>
      <c r="M64" s="1" t="s">
        <v>35</v>
      </c>
      <c r="N64" s="1">
        <v>42318949</v>
      </c>
      <c r="O64" s="1" t="s">
        <v>105</v>
      </c>
      <c r="P64" s="11" t="s">
        <v>224</v>
      </c>
      <c r="R64" s="1" t="s">
        <v>38</v>
      </c>
      <c r="T64" s="1" t="s">
        <v>74</v>
      </c>
      <c r="U64" s="11" t="s">
        <v>201</v>
      </c>
      <c r="V64" s="1" t="s">
        <v>41</v>
      </c>
      <c r="W64" s="1" t="s">
        <v>49</v>
      </c>
      <c r="X64" s="13" t="str">
        <f t="shared" si="5"/>
        <v/>
      </c>
      <c r="Y64" s="2">
        <f t="shared" ca="1" si="0"/>
        <v>395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 t="str">
        <f t="shared" si="6"/>
        <v xml:space="preserve"> RINALDO </v>
      </c>
      <c r="AD64" s="2">
        <f t="shared" si="3"/>
        <v>8</v>
      </c>
      <c r="AE64" s="2">
        <f t="shared" ca="1" si="4"/>
        <v>-551.9262716435187</v>
      </c>
      <c r="AF64" s="15"/>
    </row>
    <row r="65" spans="1:32" hidden="1">
      <c r="A65" s="1">
        <v>7144761</v>
      </c>
      <c r="B65" s="1" t="s">
        <v>101</v>
      </c>
      <c r="C65" t="s">
        <v>207</v>
      </c>
      <c r="E65" s="2">
        <v>9700000206209</v>
      </c>
      <c r="F65" s="1" t="s">
        <v>208</v>
      </c>
      <c r="G65" s="1" t="s">
        <v>53</v>
      </c>
      <c r="H65" s="1" t="s">
        <v>209</v>
      </c>
      <c r="I65" s="1" t="s">
        <v>210</v>
      </c>
      <c r="J65" s="1" t="s">
        <v>211</v>
      </c>
      <c r="K65" t="s">
        <v>212</v>
      </c>
      <c r="M65" s="1" t="s">
        <v>35</v>
      </c>
      <c r="N65" s="1">
        <v>42318949</v>
      </c>
      <c r="O65" s="1" t="s">
        <v>105</v>
      </c>
      <c r="P65" s="11" t="s">
        <v>224</v>
      </c>
      <c r="R65" s="1" t="s">
        <v>38</v>
      </c>
      <c r="T65" s="1" t="s">
        <v>74</v>
      </c>
      <c r="U65" s="11" t="s">
        <v>201</v>
      </c>
      <c r="V65" s="1" t="s">
        <v>41</v>
      </c>
      <c r="W65" s="1" t="s">
        <v>49</v>
      </c>
      <c r="X65" s="13" t="str">
        <f t="shared" si="5"/>
        <v/>
      </c>
      <c r="Y65" s="2">
        <f t="shared" ca="1" si="0"/>
        <v>395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 t="str">
        <f t="shared" si="6"/>
        <v xml:space="preserve"> RINALDO </v>
      </c>
      <c r="AD65" s="2">
        <f t="shared" si="3"/>
        <v>8</v>
      </c>
      <c r="AE65" s="2">
        <f t="shared" ca="1" si="4"/>
        <v>-551.9262716435187</v>
      </c>
      <c r="AF65" s="15"/>
    </row>
    <row r="66" spans="1:32" hidden="1">
      <c r="A66" s="1">
        <v>7144466</v>
      </c>
      <c r="B66" s="1" t="s">
        <v>101</v>
      </c>
      <c r="C66" t="s">
        <v>207</v>
      </c>
      <c r="E66" s="2">
        <v>9700000206217</v>
      </c>
      <c r="F66" s="1" t="s">
        <v>208</v>
      </c>
      <c r="G66" s="1" t="s">
        <v>53</v>
      </c>
      <c r="H66" s="1" t="s">
        <v>209</v>
      </c>
      <c r="I66" s="1" t="s">
        <v>210</v>
      </c>
      <c r="J66" s="1" t="s">
        <v>211</v>
      </c>
      <c r="K66" t="s">
        <v>212</v>
      </c>
      <c r="M66" s="1" t="s">
        <v>35</v>
      </c>
      <c r="N66" s="1">
        <v>42318949</v>
      </c>
      <c r="O66" s="1" t="s">
        <v>105</v>
      </c>
      <c r="P66" s="11" t="s">
        <v>225</v>
      </c>
      <c r="R66" s="1" t="s">
        <v>38</v>
      </c>
      <c r="T66" s="1" t="s">
        <v>74</v>
      </c>
      <c r="U66" s="11" t="s">
        <v>201</v>
      </c>
      <c r="V66" s="1" t="s">
        <v>41</v>
      </c>
      <c r="W66" s="1" t="s">
        <v>49</v>
      </c>
      <c r="X66" s="13" t="str">
        <f t="shared" si="5"/>
        <v/>
      </c>
      <c r="Y66" s="2">
        <f t="shared" ref="Y66:Y129" ca="1" si="7">NETWORKDAYS(P66,$Y$1)</f>
        <v>395</v>
      </c>
      <c r="Z66" s="14">
        <v>1</v>
      </c>
      <c r="AA66" s="1" t="str">
        <f t="shared" ref="AA66:AA129" ca="1" si="8">IF(AE66=0,"HOJE",IF(AE66&gt;0,"A VENCER",IF(AE66&lt;0,"VENCIDO")))</f>
        <v>VENCIDO</v>
      </c>
      <c r="AB66" s="1" t="str">
        <f t="shared" ref="AB66:AB129" si="9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 t="str">
        <f t="shared" si="6"/>
        <v xml:space="preserve"> RINALDO </v>
      </c>
      <c r="AD66" s="2">
        <f t="shared" ref="AD66:AD129" si="10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1">IF(U66=$AE$1,"",U66-$AE$1)</f>
        <v>-551.9262716435187</v>
      </c>
      <c r="AF66" s="15"/>
    </row>
    <row r="67" spans="1:32" hidden="1">
      <c r="A67" s="1">
        <v>7144465</v>
      </c>
      <c r="B67" s="1" t="s">
        <v>101</v>
      </c>
      <c r="C67" t="s">
        <v>207</v>
      </c>
      <c r="E67" s="2">
        <v>9700000206216</v>
      </c>
      <c r="F67" s="1" t="s">
        <v>208</v>
      </c>
      <c r="G67" s="1" t="s">
        <v>53</v>
      </c>
      <c r="H67" s="1" t="s">
        <v>209</v>
      </c>
      <c r="I67" s="1" t="s">
        <v>210</v>
      </c>
      <c r="J67" s="1" t="s">
        <v>211</v>
      </c>
      <c r="K67" t="s">
        <v>212</v>
      </c>
      <c r="M67" s="1" t="s">
        <v>35</v>
      </c>
      <c r="N67" s="1">
        <v>42318949</v>
      </c>
      <c r="O67" s="1" t="s">
        <v>105</v>
      </c>
      <c r="P67" s="11" t="s">
        <v>225</v>
      </c>
      <c r="R67" s="1" t="s">
        <v>38</v>
      </c>
      <c r="T67" s="1" t="s">
        <v>74</v>
      </c>
      <c r="U67" s="11" t="s">
        <v>201</v>
      </c>
      <c r="V67" s="1" t="s">
        <v>41</v>
      </c>
      <c r="W67" s="1" t="s">
        <v>49</v>
      </c>
      <c r="X67" s="13" t="str">
        <f t="shared" ref="X67:X130" si="12">IF(RIGHT(H67,2)&lt;&gt;"00",H67,"")</f>
        <v/>
      </c>
      <c r="Y67" s="2">
        <f t="shared" ca="1" si="7"/>
        <v>395</v>
      </c>
      <c r="Z67" s="14">
        <v>1</v>
      </c>
      <c r="AA67" s="1" t="str">
        <f t="shared" ca="1" si="8"/>
        <v>VENCIDO</v>
      </c>
      <c r="AB67" s="1" t="str">
        <f t="shared" si="9"/>
        <v>TAAe+</v>
      </c>
      <c r="AC67" s="2" t="str">
        <f t="shared" ref="AC67:AC130" si="13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 xml:space="preserve"> RINALDO </v>
      </c>
      <c r="AD67" s="2">
        <f t="shared" si="10"/>
        <v>8</v>
      </c>
      <c r="AE67" s="2">
        <f t="shared" ca="1" si="11"/>
        <v>-551.9262716435187</v>
      </c>
      <c r="AF67" s="15"/>
    </row>
    <row r="68" spans="1:32" hidden="1">
      <c r="A68" s="1">
        <v>7144464</v>
      </c>
      <c r="B68" s="1" t="s">
        <v>101</v>
      </c>
      <c r="C68" t="s">
        <v>207</v>
      </c>
      <c r="E68" s="2">
        <v>9700000206211</v>
      </c>
      <c r="F68" s="1" t="s">
        <v>208</v>
      </c>
      <c r="G68" s="1" t="s">
        <v>53</v>
      </c>
      <c r="H68" s="1" t="s">
        <v>209</v>
      </c>
      <c r="I68" s="1" t="s">
        <v>210</v>
      </c>
      <c r="J68" s="1" t="s">
        <v>211</v>
      </c>
      <c r="K68" t="s">
        <v>212</v>
      </c>
      <c r="M68" s="1" t="s">
        <v>35</v>
      </c>
      <c r="N68" s="1">
        <v>42318949</v>
      </c>
      <c r="O68" s="1" t="s">
        <v>105</v>
      </c>
      <c r="P68" s="11" t="s">
        <v>225</v>
      </c>
      <c r="R68" s="1" t="s">
        <v>38</v>
      </c>
      <c r="T68" s="1" t="s">
        <v>74</v>
      </c>
      <c r="U68" s="11" t="s">
        <v>201</v>
      </c>
      <c r="V68" s="1" t="s">
        <v>41</v>
      </c>
      <c r="W68" s="1" t="s">
        <v>49</v>
      </c>
      <c r="X68" s="13" t="str">
        <f t="shared" si="12"/>
        <v/>
      </c>
      <c r="Y68" s="2">
        <f t="shared" ca="1" si="7"/>
        <v>395</v>
      </c>
      <c r="Z68" s="14">
        <v>1</v>
      </c>
      <c r="AA68" s="1" t="str">
        <f t="shared" ca="1" si="8"/>
        <v>VENCIDO</v>
      </c>
      <c r="AB68" s="1" t="str">
        <f t="shared" si="9"/>
        <v>TAAe+</v>
      </c>
      <c r="AC68" s="2" t="str">
        <f t="shared" si="13"/>
        <v xml:space="preserve"> RINALDO </v>
      </c>
      <c r="AD68" s="2">
        <f t="shared" si="10"/>
        <v>8</v>
      </c>
      <c r="AE68" s="2">
        <f t="shared" ca="1" si="11"/>
        <v>-551.9262716435187</v>
      </c>
      <c r="AF68" s="15"/>
    </row>
    <row r="69" spans="1:32" hidden="1">
      <c r="A69" s="1">
        <v>7280202</v>
      </c>
      <c r="B69" s="1" t="s">
        <v>226</v>
      </c>
      <c r="C69" t="s">
        <v>227</v>
      </c>
      <c r="E69" s="2">
        <v>7710206001</v>
      </c>
      <c r="F69" s="1" t="s">
        <v>29</v>
      </c>
      <c r="G69" s="1" t="s">
        <v>53</v>
      </c>
      <c r="H69" s="1" t="s">
        <v>228</v>
      </c>
      <c r="I69" s="1" t="s">
        <v>229</v>
      </c>
      <c r="J69" s="1" t="s">
        <v>46</v>
      </c>
      <c r="K69" t="s">
        <v>34</v>
      </c>
      <c r="M69" s="1" t="s">
        <v>35</v>
      </c>
      <c r="N69" s="1">
        <v>42318949</v>
      </c>
      <c r="O69" s="1" t="s">
        <v>105</v>
      </c>
      <c r="P69" s="48">
        <v>44440.410682870373</v>
      </c>
      <c r="R69" s="1" t="s">
        <v>38</v>
      </c>
      <c r="T69" s="1" t="s">
        <v>74</v>
      </c>
      <c r="U69" s="11" t="s">
        <v>231</v>
      </c>
      <c r="V69" s="1" t="s">
        <v>41</v>
      </c>
      <c r="W69" s="1" t="s">
        <v>49</v>
      </c>
      <c r="X69" s="13" t="str">
        <f t="shared" si="12"/>
        <v>0007.71</v>
      </c>
      <c r="Y69" s="2">
        <f t="shared" ca="1" si="7"/>
        <v>391</v>
      </c>
      <c r="Z69" s="14">
        <v>1</v>
      </c>
      <c r="AA69" s="1" t="str">
        <f t="shared" ca="1" si="8"/>
        <v>VENCIDO</v>
      </c>
      <c r="AB69" s="1" t="str">
        <f t="shared" si="9"/>
        <v>Dosa</v>
      </c>
      <c r="AC69" s="2" t="str">
        <f t="shared" si="13"/>
        <v xml:space="preserve"> CLEITON </v>
      </c>
      <c r="AD69" s="2">
        <f t="shared" si="10"/>
        <v>5</v>
      </c>
      <c r="AE69" s="2">
        <f t="shared" ca="1" si="11"/>
        <v>-502.9262716435187</v>
      </c>
      <c r="AF69" s="15"/>
    </row>
    <row r="70" spans="1:32" hidden="1">
      <c r="A70" s="1">
        <v>7633015</v>
      </c>
      <c r="B70" s="1" t="s">
        <v>81</v>
      </c>
      <c r="C70" t="s">
        <v>232</v>
      </c>
      <c r="E70" s="2">
        <v>9600113560766</v>
      </c>
      <c r="F70" s="1" t="s">
        <v>233</v>
      </c>
      <c r="G70" s="1" t="s">
        <v>30</v>
      </c>
      <c r="H70" s="1" t="s">
        <v>234</v>
      </c>
      <c r="I70" s="1" t="s">
        <v>235</v>
      </c>
      <c r="J70" s="1" t="s">
        <v>33</v>
      </c>
      <c r="K70" t="s">
        <v>236</v>
      </c>
      <c r="M70" s="1" t="s">
        <v>58</v>
      </c>
      <c r="N70" s="1">
        <v>0</v>
      </c>
      <c r="O70" s="1" t="s">
        <v>105</v>
      </c>
      <c r="P70" s="48">
        <v>44455.588738425926</v>
      </c>
      <c r="R70" s="1">
        <v>12</v>
      </c>
      <c r="S70" s="1">
        <v>4804</v>
      </c>
      <c r="T70" s="1" t="s">
        <v>238</v>
      </c>
      <c r="U70" s="186">
        <v>44456.588738425926</v>
      </c>
      <c r="V70" s="1" t="s">
        <v>41</v>
      </c>
      <c r="W70" s="1" t="s">
        <v>42</v>
      </c>
      <c r="X70" s="13" t="str">
        <f t="shared" si="12"/>
        <v>0069.16</v>
      </c>
      <c r="Y70" s="2">
        <f t="shared" ca="1" si="7"/>
        <v>380</v>
      </c>
      <c r="Z70" s="14">
        <v>1</v>
      </c>
      <c r="AA70" s="1" t="str">
        <f t="shared" ca="1" si="8"/>
        <v>VENCIDO</v>
      </c>
      <c r="AB70" s="1" t="str">
        <f t="shared" si="9"/>
        <v>TAAe+</v>
      </c>
      <c r="AC70" s="2" t="str">
        <f t="shared" si="13"/>
        <v xml:space="preserve"> ROSEMERE </v>
      </c>
      <c r="AD70" s="2">
        <f t="shared" si="10"/>
        <v>8</v>
      </c>
      <c r="AE70" s="2">
        <f t="shared" ca="1" si="11"/>
        <v>-530.08753321759286</v>
      </c>
      <c r="AF70" s="15"/>
    </row>
    <row r="71" spans="1:32" hidden="1">
      <c r="A71" s="1">
        <v>7727803</v>
      </c>
      <c r="B71" s="1" t="s">
        <v>81</v>
      </c>
      <c r="C71" t="s">
        <v>240</v>
      </c>
      <c r="E71" s="2">
        <v>3478000206001</v>
      </c>
      <c r="F71" s="1" t="s">
        <v>29</v>
      </c>
      <c r="G71" s="1" t="s">
        <v>53</v>
      </c>
      <c r="H71" s="1" t="s">
        <v>241</v>
      </c>
      <c r="I71" s="1" t="s">
        <v>242</v>
      </c>
      <c r="J71" s="1" t="s">
        <v>46</v>
      </c>
      <c r="K71" t="s">
        <v>34</v>
      </c>
      <c r="M71" s="1" t="s">
        <v>35</v>
      </c>
      <c r="N71" s="1">
        <v>42318949</v>
      </c>
      <c r="O71" s="1" t="s">
        <v>36</v>
      </c>
      <c r="P71" s="11" t="s">
        <v>243</v>
      </c>
      <c r="R71" s="1" t="s">
        <v>38</v>
      </c>
      <c r="T71" s="1" t="s">
        <v>74</v>
      </c>
      <c r="U71" s="11" t="s">
        <v>244</v>
      </c>
      <c r="V71" s="1" t="s">
        <v>41</v>
      </c>
      <c r="W71" s="1" t="s">
        <v>49</v>
      </c>
      <c r="X71" s="13" t="str">
        <f t="shared" si="12"/>
        <v>2988.91</v>
      </c>
      <c r="Y71" s="2">
        <f t="shared" ca="1" si="7"/>
        <v>378</v>
      </c>
      <c r="Z71" s="14">
        <v>1</v>
      </c>
      <c r="AA71" s="1" t="str">
        <f t="shared" ca="1" si="8"/>
        <v>VENCIDO</v>
      </c>
      <c r="AB71" s="1" t="str">
        <f t="shared" si="9"/>
        <v>Dosa</v>
      </c>
      <c r="AC71" s="2" t="str">
        <f t="shared" si="13"/>
        <v xml:space="preserve"> CLEITON </v>
      </c>
      <c r="AD71" s="2">
        <f t="shared" si="10"/>
        <v>5</v>
      </c>
      <c r="AE71" s="2">
        <f t="shared" ca="1" si="11"/>
        <v>-526.12525312499929</v>
      </c>
      <c r="AF71" s="15"/>
    </row>
    <row r="72" spans="1:32" hidden="1">
      <c r="A72" s="1">
        <v>7726669</v>
      </c>
      <c r="B72" s="1" t="s">
        <v>81</v>
      </c>
      <c r="C72" t="s">
        <v>240</v>
      </c>
      <c r="E72" s="2">
        <v>8259000206001</v>
      </c>
      <c r="F72" s="1" t="s">
        <v>29</v>
      </c>
      <c r="G72" s="1" t="s">
        <v>53</v>
      </c>
      <c r="H72" s="1" t="s">
        <v>245</v>
      </c>
      <c r="I72" s="1" t="s">
        <v>246</v>
      </c>
      <c r="J72" s="1" t="s">
        <v>141</v>
      </c>
      <c r="K72" t="s">
        <v>34</v>
      </c>
      <c r="M72" s="1" t="s">
        <v>35</v>
      </c>
      <c r="N72" s="1">
        <v>42318949</v>
      </c>
      <c r="O72" s="1" t="s">
        <v>36</v>
      </c>
      <c r="P72" s="11" t="s">
        <v>247</v>
      </c>
      <c r="R72" s="1" t="s">
        <v>38</v>
      </c>
      <c r="T72" s="1" t="s">
        <v>74</v>
      </c>
      <c r="U72" s="11" t="s">
        <v>248</v>
      </c>
      <c r="V72" s="1" t="s">
        <v>41</v>
      </c>
      <c r="W72" s="1" t="s">
        <v>49</v>
      </c>
      <c r="X72" s="13" t="str">
        <f t="shared" si="12"/>
        <v/>
      </c>
      <c r="Y72" s="2">
        <f t="shared" ca="1" si="7"/>
        <v>378</v>
      </c>
      <c r="Z72" s="14">
        <v>1</v>
      </c>
      <c r="AA72" s="1" t="str">
        <f t="shared" ca="1" si="8"/>
        <v>VENCIDO</v>
      </c>
      <c r="AB72" s="1" t="str">
        <f t="shared" si="9"/>
        <v>Dosa</v>
      </c>
      <c r="AC72" s="2" t="str">
        <f t="shared" si="13"/>
        <v xml:space="preserve"> CRISTINA </v>
      </c>
      <c r="AD72" s="2">
        <f t="shared" si="10"/>
        <v>5</v>
      </c>
      <c r="AE72" s="2">
        <f t="shared" ca="1" si="11"/>
        <v>-526.12724386573973</v>
      </c>
      <c r="AF72" s="15"/>
    </row>
    <row r="73" spans="1:32" hidden="1">
      <c r="A73" s="1">
        <v>7726664</v>
      </c>
      <c r="B73" s="1" t="s">
        <v>81</v>
      </c>
      <c r="C73" t="s">
        <v>240</v>
      </c>
      <c r="E73" s="2">
        <v>2855000206001</v>
      </c>
      <c r="F73" s="1" t="s">
        <v>29</v>
      </c>
      <c r="G73" s="1" t="s">
        <v>53</v>
      </c>
      <c r="H73" s="1" t="s">
        <v>249</v>
      </c>
      <c r="I73" s="1" t="s">
        <v>250</v>
      </c>
      <c r="J73" s="1" t="s">
        <v>56</v>
      </c>
      <c r="K73" t="s">
        <v>34</v>
      </c>
      <c r="M73" s="1" t="s">
        <v>35</v>
      </c>
      <c r="N73" s="1">
        <v>42318949</v>
      </c>
      <c r="O73" s="1" t="s">
        <v>36</v>
      </c>
      <c r="P73" s="11" t="s">
        <v>251</v>
      </c>
      <c r="R73" s="1" t="s">
        <v>38</v>
      </c>
      <c r="T73" s="1" t="s">
        <v>74</v>
      </c>
      <c r="U73" s="11" t="s">
        <v>252</v>
      </c>
      <c r="V73" s="1" t="s">
        <v>41</v>
      </c>
      <c r="W73" s="1" t="s">
        <v>49</v>
      </c>
      <c r="X73" s="13" t="str">
        <f t="shared" si="12"/>
        <v/>
      </c>
      <c r="Y73" s="2">
        <f t="shared" ca="1" si="7"/>
        <v>378</v>
      </c>
      <c r="Z73" s="14">
        <v>1</v>
      </c>
      <c r="AA73" s="1" t="str">
        <f t="shared" ca="1" si="8"/>
        <v>VENCIDO</v>
      </c>
      <c r="AB73" s="1" t="str">
        <f t="shared" si="9"/>
        <v>Dosa</v>
      </c>
      <c r="AC73" s="2" t="str">
        <f t="shared" si="13"/>
        <v xml:space="preserve"> CRISTINA </v>
      </c>
      <c r="AD73" s="2">
        <f t="shared" si="10"/>
        <v>5</v>
      </c>
      <c r="AE73" s="2">
        <f t="shared" ca="1" si="11"/>
        <v>-526.12725543981651</v>
      </c>
      <c r="AF73" s="15"/>
    </row>
    <row r="74" spans="1:32" hidden="1">
      <c r="A74" s="1">
        <v>7726663</v>
      </c>
      <c r="B74" s="1" t="s">
        <v>81</v>
      </c>
      <c r="C74" t="s">
        <v>240</v>
      </c>
      <c r="E74" s="2">
        <v>2693000206001</v>
      </c>
      <c r="F74" s="1" t="s">
        <v>29</v>
      </c>
      <c r="G74" s="1" t="s">
        <v>53</v>
      </c>
      <c r="H74" s="1" t="s">
        <v>253</v>
      </c>
      <c r="I74" s="1" t="s">
        <v>254</v>
      </c>
      <c r="J74" s="1" t="s">
        <v>56</v>
      </c>
      <c r="K74" t="s">
        <v>34</v>
      </c>
      <c r="M74" s="1" t="s">
        <v>35</v>
      </c>
      <c r="N74" s="1">
        <v>42318949</v>
      </c>
      <c r="O74" s="1" t="s">
        <v>36</v>
      </c>
      <c r="P74" s="11" t="s">
        <v>251</v>
      </c>
      <c r="R74" s="1" t="s">
        <v>38</v>
      </c>
      <c r="T74" s="1" t="s">
        <v>74</v>
      </c>
      <c r="U74" s="11" t="s">
        <v>252</v>
      </c>
      <c r="V74" s="1" t="s">
        <v>41</v>
      </c>
      <c r="W74" s="1" t="s">
        <v>49</v>
      </c>
      <c r="X74" s="13" t="str">
        <f t="shared" si="12"/>
        <v/>
      </c>
      <c r="Y74" s="2">
        <f t="shared" ca="1" si="7"/>
        <v>378</v>
      </c>
      <c r="Z74" s="14">
        <v>1</v>
      </c>
      <c r="AA74" s="1" t="str">
        <f t="shared" ca="1" si="8"/>
        <v>VENCIDO</v>
      </c>
      <c r="AB74" s="1" t="str">
        <f t="shared" si="9"/>
        <v>Dosa</v>
      </c>
      <c r="AC74" s="2" t="str">
        <f t="shared" si="13"/>
        <v xml:space="preserve"> CRISTINA </v>
      </c>
      <c r="AD74" s="2">
        <f t="shared" si="10"/>
        <v>5</v>
      </c>
      <c r="AE74" s="2">
        <f t="shared" ca="1" si="11"/>
        <v>-526.12725543981651</v>
      </c>
      <c r="AF74" s="15"/>
    </row>
    <row r="75" spans="1:32" hidden="1">
      <c r="A75" s="1">
        <v>7726661</v>
      </c>
      <c r="B75" s="1" t="s">
        <v>81</v>
      </c>
      <c r="C75" t="s">
        <v>240</v>
      </c>
      <c r="E75" s="2">
        <v>2564000206001</v>
      </c>
      <c r="F75" s="1" t="s">
        <v>29</v>
      </c>
      <c r="G75" s="1" t="s">
        <v>53</v>
      </c>
      <c r="H75" s="1" t="s">
        <v>255</v>
      </c>
      <c r="I75" s="1" t="s">
        <v>256</v>
      </c>
      <c r="J75" s="1" t="s">
        <v>164</v>
      </c>
      <c r="K75" t="s">
        <v>34</v>
      </c>
      <c r="M75" s="1" t="s">
        <v>35</v>
      </c>
      <c r="N75" s="1">
        <v>42318949</v>
      </c>
      <c r="O75" s="1" t="s">
        <v>36</v>
      </c>
      <c r="P75" s="11" t="s">
        <v>257</v>
      </c>
      <c r="R75" s="1" t="s">
        <v>38</v>
      </c>
      <c r="T75" s="1" t="s">
        <v>74</v>
      </c>
      <c r="U75" s="11" t="s">
        <v>258</v>
      </c>
      <c r="V75" s="1" t="s">
        <v>41</v>
      </c>
      <c r="W75" s="1" t="s">
        <v>49</v>
      </c>
      <c r="X75" s="13" t="str">
        <f t="shared" si="12"/>
        <v/>
      </c>
      <c r="Y75" s="2">
        <f t="shared" ca="1" si="7"/>
        <v>378</v>
      </c>
      <c r="Z75" s="14">
        <v>1</v>
      </c>
      <c r="AA75" s="1" t="str">
        <f t="shared" ca="1" si="8"/>
        <v>VENCIDO</v>
      </c>
      <c r="AB75" s="1" t="str">
        <f t="shared" si="9"/>
        <v>Dosa</v>
      </c>
      <c r="AC75" s="2" t="str">
        <f t="shared" si="13"/>
        <v xml:space="preserve"> ROSEMERE </v>
      </c>
      <c r="AD75" s="2">
        <f t="shared" si="10"/>
        <v>5</v>
      </c>
      <c r="AE75" s="2">
        <f t="shared" ca="1" si="11"/>
        <v>-526.12726701388601</v>
      </c>
      <c r="AF75" s="15"/>
    </row>
    <row r="76" spans="1:32" hidden="1">
      <c r="A76" s="1">
        <v>7726660</v>
      </c>
      <c r="B76" s="1" t="s">
        <v>81</v>
      </c>
      <c r="C76" t="s">
        <v>240</v>
      </c>
      <c r="E76" s="2">
        <v>2559000206001</v>
      </c>
      <c r="F76" s="1" t="s">
        <v>29</v>
      </c>
      <c r="G76" s="1" t="s">
        <v>53</v>
      </c>
      <c r="H76" s="1" t="s">
        <v>259</v>
      </c>
      <c r="I76" s="1" t="s">
        <v>260</v>
      </c>
      <c r="J76" s="1" t="s">
        <v>261</v>
      </c>
      <c r="K76" t="s">
        <v>34</v>
      </c>
      <c r="M76" s="1" t="s">
        <v>35</v>
      </c>
      <c r="N76" s="1">
        <v>42318949</v>
      </c>
      <c r="O76" s="1" t="s">
        <v>36</v>
      </c>
      <c r="P76" s="11" t="s">
        <v>257</v>
      </c>
      <c r="R76" s="1" t="s">
        <v>38</v>
      </c>
      <c r="T76" s="1" t="s">
        <v>74</v>
      </c>
      <c r="U76" s="11" t="s">
        <v>258</v>
      </c>
      <c r="V76" s="1" t="s">
        <v>41</v>
      </c>
      <c r="W76" s="1" t="s">
        <v>49</v>
      </c>
      <c r="X76" s="13" t="str">
        <f t="shared" si="12"/>
        <v/>
      </c>
      <c r="Y76" s="2">
        <f t="shared" ca="1" si="7"/>
        <v>378</v>
      </c>
      <c r="Z76" s="14">
        <v>1</v>
      </c>
      <c r="AA76" s="1" t="str">
        <f t="shared" ca="1" si="8"/>
        <v>VENCIDO</v>
      </c>
      <c r="AB76" s="1" t="str">
        <f t="shared" si="9"/>
        <v>Dosa</v>
      </c>
      <c r="AC76" s="2" t="str">
        <f t="shared" si="13"/>
        <v xml:space="preserve"> CRISTINA </v>
      </c>
      <c r="AD76" s="2">
        <f t="shared" si="10"/>
        <v>5</v>
      </c>
      <c r="AE76" s="2">
        <f t="shared" ca="1" si="11"/>
        <v>-526.12726701388601</v>
      </c>
      <c r="AF76" s="15"/>
    </row>
    <row r="77" spans="1:32" hidden="1">
      <c r="A77" s="1">
        <v>7726658</v>
      </c>
      <c r="B77" s="1" t="s">
        <v>81</v>
      </c>
      <c r="C77" t="s">
        <v>240</v>
      </c>
      <c r="E77" s="2">
        <v>2107000206001</v>
      </c>
      <c r="F77" s="1" t="s">
        <v>29</v>
      </c>
      <c r="G77" s="1" t="s">
        <v>53</v>
      </c>
      <c r="H77" s="1" t="s">
        <v>262</v>
      </c>
      <c r="I77" s="1" t="s">
        <v>263</v>
      </c>
      <c r="J77" s="1" t="s">
        <v>164</v>
      </c>
      <c r="K77" t="s">
        <v>34</v>
      </c>
      <c r="M77" s="1" t="s">
        <v>35</v>
      </c>
      <c r="N77" s="1">
        <v>42318949</v>
      </c>
      <c r="O77" s="1" t="s">
        <v>36</v>
      </c>
      <c r="P77" s="11" t="s">
        <v>257</v>
      </c>
      <c r="R77" s="1" t="s">
        <v>38</v>
      </c>
      <c r="T77" s="1" t="s">
        <v>74</v>
      </c>
      <c r="U77" s="11" t="s">
        <v>258</v>
      </c>
      <c r="V77" s="1" t="s">
        <v>41</v>
      </c>
      <c r="W77" s="1" t="s">
        <v>49</v>
      </c>
      <c r="X77" s="13" t="str">
        <f t="shared" si="12"/>
        <v/>
      </c>
      <c r="Y77" s="2">
        <f t="shared" ca="1" si="7"/>
        <v>378</v>
      </c>
      <c r="Z77" s="14">
        <v>1</v>
      </c>
      <c r="AA77" s="1" t="str">
        <f t="shared" ca="1" si="8"/>
        <v>VENCIDO</v>
      </c>
      <c r="AB77" s="1" t="str">
        <f t="shared" si="9"/>
        <v>Dosa</v>
      </c>
      <c r="AC77" s="2" t="str">
        <f t="shared" si="13"/>
        <v xml:space="preserve"> ROSEMERE </v>
      </c>
      <c r="AD77" s="2">
        <f t="shared" si="10"/>
        <v>5</v>
      </c>
      <c r="AE77" s="2">
        <f t="shared" ca="1" si="11"/>
        <v>-526.12726701388601</v>
      </c>
      <c r="AF77" s="15"/>
    </row>
    <row r="78" spans="1:32" hidden="1">
      <c r="A78" s="1">
        <v>7726655</v>
      </c>
      <c r="B78" s="1" t="s">
        <v>81</v>
      </c>
      <c r="C78" t="s">
        <v>240</v>
      </c>
      <c r="E78" s="2">
        <v>1943000206001</v>
      </c>
      <c r="F78" s="1" t="s">
        <v>29</v>
      </c>
      <c r="G78" s="1" t="s">
        <v>53</v>
      </c>
      <c r="H78" s="1" t="s">
        <v>264</v>
      </c>
      <c r="I78" s="1" t="s">
        <v>265</v>
      </c>
      <c r="J78" s="1" t="s">
        <v>56</v>
      </c>
      <c r="K78" t="s">
        <v>34</v>
      </c>
      <c r="M78" s="1" t="s">
        <v>35</v>
      </c>
      <c r="N78" s="1">
        <v>42318949</v>
      </c>
      <c r="O78" s="1" t="s">
        <v>36</v>
      </c>
      <c r="P78" s="11" t="s">
        <v>266</v>
      </c>
      <c r="R78" s="1" t="s">
        <v>38</v>
      </c>
      <c r="T78" s="1" t="s">
        <v>74</v>
      </c>
      <c r="U78" s="11" t="s">
        <v>267</v>
      </c>
      <c r="V78" s="1" t="s">
        <v>41</v>
      </c>
      <c r="W78" s="1" t="s">
        <v>49</v>
      </c>
      <c r="X78" s="13" t="str">
        <f t="shared" si="12"/>
        <v/>
      </c>
      <c r="Y78" s="2">
        <f t="shared" ca="1" si="7"/>
        <v>378</v>
      </c>
      <c r="Z78" s="14">
        <v>1</v>
      </c>
      <c r="AA78" s="1" t="str">
        <f t="shared" ca="1" si="8"/>
        <v>VENCIDO</v>
      </c>
      <c r="AB78" s="1" t="str">
        <f t="shared" si="9"/>
        <v>Dosa</v>
      </c>
      <c r="AC78" s="2" t="str">
        <f t="shared" si="13"/>
        <v xml:space="preserve"> CRISTINA </v>
      </c>
      <c r="AD78" s="2">
        <f t="shared" si="10"/>
        <v>5</v>
      </c>
      <c r="AE78" s="2">
        <f t="shared" ca="1" si="11"/>
        <v>-526.12727858796279</v>
      </c>
      <c r="AF78" s="15"/>
    </row>
    <row r="79" spans="1:32" hidden="1">
      <c r="A79" s="1">
        <v>7726652</v>
      </c>
      <c r="B79" s="1" t="s">
        <v>81</v>
      </c>
      <c r="C79" t="s">
        <v>240</v>
      </c>
      <c r="E79" s="2">
        <v>1754000206001</v>
      </c>
      <c r="F79" s="1" t="s">
        <v>29</v>
      </c>
      <c r="G79" s="1" t="s">
        <v>53</v>
      </c>
      <c r="H79" s="1" t="s">
        <v>146</v>
      </c>
      <c r="I79" s="1" t="s">
        <v>147</v>
      </c>
      <c r="J79" s="1" t="s">
        <v>148</v>
      </c>
      <c r="K79" t="s">
        <v>34</v>
      </c>
      <c r="M79" s="1" t="s">
        <v>35</v>
      </c>
      <c r="N79" s="1">
        <v>42318949</v>
      </c>
      <c r="O79" s="1" t="s">
        <v>36</v>
      </c>
      <c r="P79" s="11" t="s">
        <v>266</v>
      </c>
      <c r="R79" s="1" t="s">
        <v>38</v>
      </c>
      <c r="T79" s="1" t="s">
        <v>74</v>
      </c>
      <c r="U79" s="11" t="s">
        <v>267</v>
      </c>
      <c r="V79" s="1" t="s">
        <v>41</v>
      </c>
      <c r="W79" s="1" t="s">
        <v>49</v>
      </c>
      <c r="X79" s="13" t="str">
        <f t="shared" si="12"/>
        <v/>
      </c>
      <c r="Y79" s="2">
        <f t="shared" ca="1" si="7"/>
        <v>378</v>
      </c>
      <c r="Z79" s="14">
        <v>1</v>
      </c>
      <c r="AA79" s="1" t="str">
        <f t="shared" ca="1" si="8"/>
        <v>VENCIDO</v>
      </c>
      <c r="AB79" s="1" t="str">
        <f t="shared" si="9"/>
        <v>Dosa</v>
      </c>
      <c r="AC79" s="2" t="str">
        <f t="shared" si="13"/>
        <v xml:space="preserve"> RINALDO </v>
      </c>
      <c r="AD79" s="2">
        <f t="shared" si="10"/>
        <v>5</v>
      </c>
      <c r="AE79" s="2">
        <f t="shared" ca="1" si="11"/>
        <v>-526.12727858796279</v>
      </c>
      <c r="AF79" s="15"/>
    </row>
    <row r="80" spans="1:32" hidden="1">
      <c r="A80" s="1">
        <v>7726651</v>
      </c>
      <c r="B80" s="1" t="s">
        <v>81</v>
      </c>
      <c r="C80" t="s">
        <v>240</v>
      </c>
      <c r="E80" s="2">
        <v>1362000206001</v>
      </c>
      <c r="F80" s="1" t="s">
        <v>29</v>
      </c>
      <c r="G80" s="1" t="s">
        <v>53</v>
      </c>
      <c r="H80" s="1" t="s">
        <v>268</v>
      </c>
      <c r="I80" s="1" t="s">
        <v>269</v>
      </c>
      <c r="J80" s="1" t="s">
        <v>90</v>
      </c>
      <c r="K80" t="s">
        <v>34</v>
      </c>
      <c r="M80" s="1" t="s">
        <v>35</v>
      </c>
      <c r="N80" s="1">
        <v>42318949</v>
      </c>
      <c r="O80" s="1" t="s">
        <v>36</v>
      </c>
      <c r="P80" s="11" t="s">
        <v>266</v>
      </c>
      <c r="R80" s="1" t="s">
        <v>38</v>
      </c>
      <c r="T80" s="1" t="s">
        <v>74</v>
      </c>
      <c r="U80" s="11" t="s">
        <v>267</v>
      </c>
      <c r="V80" s="1" t="s">
        <v>41</v>
      </c>
      <c r="W80" s="1" t="s">
        <v>49</v>
      </c>
      <c r="X80" s="13" t="str">
        <f t="shared" si="12"/>
        <v/>
      </c>
      <c r="Y80" s="2">
        <f t="shared" ca="1" si="7"/>
        <v>378</v>
      </c>
      <c r="Z80" s="14">
        <v>1</v>
      </c>
      <c r="AA80" s="1" t="str">
        <f t="shared" ca="1" si="8"/>
        <v>VENCIDO</v>
      </c>
      <c r="AB80" s="1" t="str">
        <f t="shared" si="9"/>
        <v>Dosa</v>
      </c>
      <c r="AC80" s="2" t="str">
        <f t="shared" si="13"/>
        <v xml:space="preserve"> RINALDO </v>
      </c>
      <c r="AD80" s="2">
        <f t="shared" si="10"/>
        <v>5</v>
      </c>
      <c r="AE80" s="2">
        <f t="shared" ca="1" si="11"/>
        <v>-526.12727858796279</v>
      </c>
      <c r="AF80" s="15"/>
    </row>
    <row r="81" spans="1:32" hidden="1">
      <c r="A81" s="1">
        <v>7726650</v>
      </c>
      <c r="B81" s="1" t="s">
        <v>81</v>
      </c>
      <c r="C81" t="s">
        <v>240</v>
      </c>
      <c r="E81" s="2">
        <v>1359000206001</v>
      </c>
      <c r="F81" s="1" t="s">
        <v>29</v>
      </c>
      <c r="G81" s="1" t="s">
        <v>53</v>
      </c>
      <c r="H81" s="1" t="s">
        <v>270</v>
      </c>
      <c r="I81" s="1" t="s">
        <v>271</v>
      </c>
      <c r="J81" s="1" t="s">
        <v>141</v>
      </c>
      <c r="K81" t="s">
        <v>34</v>
      </c>
      <c r="M81" s="1" t="s">
        <v>35</v>
      </c>
      <c r="N81" s="1">
        <v>42318949</v>
      </c>
      <c r="O81" s="1" t="s">
        <v>36</v>
      </c>
      <c r="P81" s="11" t="s">
        <v>266</v>
      </c>
      <c r="R81" s="1" t="s">
        <v>38</v>
      </c>
      <c r="T81" s="1" t="s">
        <v>74</v>
      </c>
      <c r="U81" s="11" t="s">
        <v>267</v>
      </c>
      <c r="V81" s="1" t="s">
        <v>41</v>
      </c>
      <c r="W81" s="1" t="s">
        <v>49</v>
      </c>
      <c r="X81" s="13" t="str">
        <f t="shared" si="12"/>
        <v/>
      </c>
      <c r="Y81" s="2">
        <f t="shared" ca="1" si="7"/>
        <v>378</v>
      </c>
      <c r="Z81" s="14">
        <v>1</v>
      </c>
      <c r="AA81" s="1" t="str">
        <f t="shared" ca="1" si="8"/>
        <v>VENCIDO</v>
      </c>
      <c r="AB81" s="1" t="str">
        <f t="shared" si="9"/>
        <v>Dosa</v>
      </c>
      <c r="AC81" s="2" t="str">
        <f t="shared" si="13"/>
        <v xml:space="preserve"> CRISTINA </v>
      </c>
      <c r="AD81" s="2">
        <f t="shared" si="10"/>
        <v>5</v>
      </c>
      <c r="AE81" s="2">
        <f t="shared" ca="1" si="11"/>
        <v>-526.12727858796279</v>
      </c>
      <c r="AF81" s="15"/>
    </row>
    <row r="82" spans="1:32" hidden="1">
      <c r="A82" s="1">
        <v>7726648</v>
      </c>
      <c r="B82" s="1" t="s">
        <v>81</v>
      </c>
      <c r="C82" t="s">
        <v>240</v>
      </c>
      <c r="E82" s="2">
        <v>1011000206001</v>
      </c>
      <c r="F82" s="1" t="s">
        <v>29</v>
      </c>
      <c r="G82" s="1" t="s">
        <v>53</v>
      </c>
      <c r="H82" s="1" t="s">
        <v>272</v>
      </c>
      <c r="I82" s="1" t="s">
        <v>273</v>
      </c>
      <c r="J82" s="1" t="s">
        <v>33</v>
      </c>
      <c r="K82" t="s">
        <v>34</v>
      </c>
      <c r="M82" s="1" t="s">
        <v>35</v>
      </c>
      <c r="N82" s="1">
        <v>42318949</v>
      </c>
      <c r="O82" s="1" t="s">
        <v>36</v>
      </c>
      <c r="P82" s="11" t="s">
        <v>274</v>
      </c>
      <c r="R82" s="1" t="s">
        <v>38</v>
      </c>
      <c r="T82" s="1" t="s">
        <v>74</v>
      </c>
      <c r="U82" s="11" t="s">
        <v>275</v>
      </c>
      <c r="V82" s="1" t="s">
        <v>41</v>
      </c>
      <c r="W82" s="1" t="s">
        <v>49</v>
      </c>
      <c r="X82" s="13" t="str">
        <f t="shared" si="12"/>
        <v/>
      </c>
      <c r="Y82" s="2">
        <f t="shared" ca="1" si="7"/>
        <v>378</v>
      </c>
      <c r="Z82" s="14">
        <v>1</v>
      </c>
      <c r="AA82" s="1" t="str">
        <f t="shared" ca="1" si="8"/>
        <v>VENCIDO</v>
      </c>
      <c r="AB82" s="1" t="str">
        <f t="shared" si="9"/>
        <v>Dosa</v>
      </c>
      <c r="AC82" s="2" t="str">
        <f t="shared" si="13"/>
        <v xml:space="preserve"> ROSEMERE </v>
      </c>
      <c r="AD82" s="2">
        <f t="shared" si="10"/>
        <v>5</v>
      </c>
      <c r="AE82" s="2">
        <f t="shared" ca="1" si="11"/>
        <v>-526.12729016203957</v>
      </c>
      <c r="AF82" s="15"/>
    </row>
    <row r="83" spans="1:32" hidden="1">
      <c r="A83" s="1">
        <v>7726647</v>
      </c>
      <c r="B83" s="1" t="s">
        <v>81</v>
      </c>
      <c r="C83" t="s">
        <v>240</v>
      </c>
      <c r="E83" s="2">
        <v>1049000206001</v>
      </c>
      <c r="F83" s="1" t="s">
        <v>29</v>
      </c>
      <c r="G83" s="1" t="s">
        <v>53</v>
      </c>
      <c r="H83" s="1" t="s">
        <v>169</v>
      </c>
      <c r="I83" s="1" t="s">
        <v>170</v>
      </c>
      <c r="J83" s="1" t="s">
        <v>164</v>
      </c>
      <c r="K83" t="s">
        <v>34</v>
      </c>
      <c r="M83" s="1" t="s">
        <v>35</v>
      </c>
      <c r="N83" s="1">
        <v>42318949</v>
      </c>
      <c r="O83" s="1" t="s">
        <v>36</v>
      </c>
      <c r="P83" s="11" t="s">
        <v>274</v>
      </c>
      <c r="R83" s="1" t="s">
        <v>38</v>
      </c>
      <c r="T83" s="1" t="s">
        <v>74</v>
      </c>
      <c r="U83" s="11" t="s">
        <v>275</v>
      </c>
      <c r="V83" s="1" t="s">
        <v>41</v>
      </c>
      <c r="W83" s="1" t="s">
        <v>49</v>
      </c>
      <c r="X83" s="13" t="str">
        <f t="shared" si="12"/>
        <v/>
      </c>
      <c r="Y83" s="2">
        <f t="shared" ca="1" si="7"/>
        <v>378</v>
      </c>
      <c r="Z83" s="14">
        <v>1</v>
      </c>
      <c r="AA83" s="1" t="str">
        <f t="shared" ca="1" si="8"/>
        <v>VENCIDO</v>
      </c>
      <c r="AB83" s="1" t="str">
        <f t="shared" si="9"/>
        <v>Dosa</v>
      </c>
      <c r="AC83" s="2" t="str">
        <f t="shared" si="13"/>
        <v xml:space="preserve"> ROSEMERE </v>
      </c>
      <c r="AD83" s="2">
        <f t="shared" si="10"/>
        <v>5</v>
      </c>
      <c r="AE83" s="2">
        <f t="shared" ca="1" si="11"/>
        <v>-526.12729016203957</v>
      </c>
      <c r="AF83" s="15"/>
    </row>
    <row r="84" spans="1:32" hidden="1">
      <c r="A84" s="1">
        <v>7726645</v>
      </c>
      <c r="B84" s="1" t="s">
        <v>81</v>
      </c>
      <c r="C84" t="s">
        <v>240</v>
      </c>
      <c r="E84" s="2">
        <v>2683000206001</v>
      </c>
      <c r="F84" s="1" t="s">
        <v>29</v>
      </c>
      <c r="G84" s="1" t="s">
        <v>53</v>
      </c>
      <c r="H84" s="1" t="s">
        <v>276</v>
      </c>
      <c r="I84" s="1" t="s">
        <v>277</v>
      </c>
      <c r="J84" s="1" t="s">
        <v>90</v>
      </c>
      <c r="K84" t="s">
        <v>34</v>
      </c>
      <c r="M84" s="1" t="s">
        <v>35</v>
      </c>
      <c r="N84" s="1">
        <v>42318949</v>
      </c>
      <c r="O84" s="1" t="s">
        <v>36</v>
      </c>
      <c r="P84" s="11" t="s">
        <v>274</v>
      </c>
      <c r="R84" s="1" t="s">
        <v>38</v>
      </c>
      <c r="T84" s="1" t="s">
        <v>74</v>
      </c>
      <c r="U84" s="11" t="s">
        <v>275</v>
      </c>
      <c r="V84" s="1" t="s">
        <v>41</v>
      </c>
      <c r="W84" s="1" t="s">
        <v>49</v>
      </c>
      <c r="X84" s="13" t="str">
        <f t="shared" si="12"/>
        <v/>
      </c>
      <c r="Y84" s="2">
        <f t="shared" ca="1" si="7"/>
        <v>378</v>
      </c>
      <c r="Z84" s="14">
        <v>1</v>
      </c>
      <c r="AA84" s="1" t="str">
        <f t="shared" ca="1" si="8"/>
        <v>VENCIDO</v>
      </c>
      <c r="AB84" s="1" t="str">
        <f t="shared" si="9"/>
        <v>Dosa</v>
      </c>
      <c r="AC84" s="2" t="str">
        <f t="shared" si="13"/>
        <v xml:space="preserve"> RINALDO </v>
      </c>
      <c r="AD84" s="2">
        <f t="shared" si="10"/>
        <v>5</v>
      </c>
      <c r="AE84" s="2">
        <f t="shared" ca="1" si="11"/>
        <v>-526.12729016203957</v>
      </c>
      <c r="AF84" s="15"/>
    </row>
    <row r="85" spans="1:32" hidden="1">
      <c r="A85" s="1">
        <v>7726643</v>
      </c>
      <c r="B85" s="1" t="s">
        <v>81</v>
      </c>
      <c r="C85" t="s">
        <v>240</v>
      </c>
      <c r="E85" s="2">
        <v>2156000206001</v>
      </c>
      <c r="F85" s="1" t="s">
        <v>29</v>
      </c>
      <c r="G85" s="1" t="s">
        <v>53</v>
      </c>
      <c r="H85" s="1" t="s">
        <v>278</v>
      </c>
      <c r="I85" s="1" t="s">
        <v>279</v>
      </c>
      <c r="J85" s="1" t="s">
        <v>211</v>
      </c>
      <c r="K85" t="s">
        <v>34</v>
      </c>
      <c r="M85" s="1" t="s">
        <v>35</v>
      </c>
      <c r="N85" s="1">
        <v>42318949</v>
      </c>
      <c r="O85" s="1" t="s">
        <v>36</v>
      </c>
      <c r="P85" s="11" t="s">
        <v>274</v>
      </c>
      <c r="R85" s="1" t="s">
        <v>38</v>
      </c>
      <c r="T85" s="1" t="s">
        <v>74</v>
      </c>
      <c r="U85" s="11" t="s">
        <v>275</v>
      </c>
      <c r="V85" s="1" t="s">
        <v>41</v>
      </c>
      <c r="W85" s="1" t="s">
        <v>49</v>
      </c>
      <c r="X85" s="13" t="str">
        <f t="shared" si="12"/>
        <v/>
      </c>
      <c r="Y85" s="2">
        <f t="shared" ca="1" si="7"/>
        <v>378</v>
      </c>
      <c r="Z85" s="14">
        <v>1</v>
      </c>
      <c r="AA85" s="1" t="str">
        <f t="shared" ca="1" si="8"/>
        <v>VENCIDO</v>
      </c>
      <c r="AB85" s="1" t="str">
        <f t="shared" si="9"/>
        <v>Dosa</v>
      </c>
      <c r="AC85" s="2" t="str">
        <f t="shared" si="13"/>
        <v xml:space="preserve"> RINALDO </v>
      </c>
      <c r="AD85" s="2">
        <f t="shared" si="10"/>
        <v>5</v>
      </c>
      <c r="AE85" s="2">
        <f t="shared" ca="1" si="11"/>
        <v>-526.12729016203957</v>
      </c>
      <c r="AF85" s="15"/>
    </row>
    <row r="86" spans="1:32" hidden="1">
      <c r="A86" s="1">
        <v>7726642</v>
      </c>
      <c r="B86" s="1" t="s">
        <v>81</v>
      </c>
      <c r="C86" t="s">
        <v>240</v>
      </c>
      <c r="E86" s="2">
        <v>1162000206001</v>
      </c>
      <c r="F86" s="1" t="s">
        <v>29</v>
      </c>
      <c r="G86" s="1" t="s">
        <v>53</v>
      </c>
      <c r="H86" s="1" t="s">
        <v>280</v>
      </c>
      <c r="I86" s="1" t="s">
        <v>281</v>
      </c>
      <c r="J86" s="1" t="s">
        <v>211</v>
      </c>
      <c r="K86" t="s">
        <v>34</v>
      </c>
      <c r="M86" s="1" t="s">
        <v>35</v>
      </c>
      <c r="N86" s="1">
        <v>42318949</v>
      </c>
      <c r="O86" s="1" t="s">
        <v>36</v>
      </c>
      <c r="P86" s="11" t="s">
        <v>274</v>
      </c>
      <c r="R86" s="1" t="s">
        <v>38</v>
      </c>
      <c r="T86" s="1" t="s">
        <v>74</v>
      </c>
      <c r="U86" s="11" t="s">
        <v>275</v>
      </c>
      <c r="V86" s="1" t="s">
        <v>41</v>
      </c>
      <c r="W86" s="1" t="s">
        <v>49</v>
      </c>
      <c r="X86" s="13" t="str">
        <f t="shared" si="12"/>
        <v/>
      </c>
      <c r="Y86" s="2">
        <f t="shared" ca="1" si="7"/>
        <v>378</v>
      </c>
      <c r="Z86" s="14">
        <v>1</v>
      </c>
      <c r="AA86" s="1" t="str">
        <f t="shared" ca="1" si="8"/>
        <v>VENCIDO</v>
      </c>
      <c r="AB86" s="1" t="str">
        <f t="shared" si="9"/>
        <v>Dosa</v>
      </c>
      <c r="AC86" s="2" t="str">
        <f t="shared" si="13"/>
        <v xml:space="preserve"> RINALDO </v>
      </c>
      <c r="AD86" s="2">
        <f t="shared" si="10"/>
        <v>5</v>
      </c>
      <c r="AE86" s="2">
        <f t="shared" ca="1" si="11"/>
        <v>-526.12729016203957</v>
      </c>
      <c r="AF86" s="15"/>
    </row>
    <row r="87" spans="1:32" hidden="1">
      <c r="A87" s="1">
        <v>7726640</v>
      </c>
      <c r="B87" s="1" t="s">
        <v>81</v>
      </c>
      <c r="C87" t="s">
        <v>240</v>
      </c>
      <c r="E87" s="2">
        <v>3243000206001</v>
      </c>
      <c r="F87" s="1" t="s">
        <v>29</v>
      </c>
      <c r="G87" s="1" t="s">
        <v>53</v>
      </c>
      <c r="H87" s="1" t="s">
        <v>282</v>
      </c>
      <c r="I87" s="1" t="s">
        <v>283</v>
      </c>
      <c r="J87" s="1" t="s">
        <v>46</v>
      </c>
      <c r="K87" t="s">
        <v>34</v>
      </c>
      <c r="M87" s="1" t="s">
        <v>35</v>
      </c>
      <c r="N87" s="1">
        <v>42318949</v>
      </c>
      <c r="O87" s="1" t="s">
        <v>36</v>
      </c>
      <c r="P87" s="11" t="s">
        <v>286</v>
      </c>
      <c r="R87" s="1" t="s">
        <v>38</v>
      </c>
      <c r="T87" s="1" t="s">
        <v>74</v>
      </c>
      <c r="U87" s="11" t="s">
        <v>3399</v>
      </c>
      <c r="V87" s="1" t="s">
        <v>41</v>
      </c>
      <c r="W87" s="1" t="s">
        <v>49</v>
      </c>
      <c r="X87" s="13" t="str">
        <f t="shared" si="12"/>
        <v/>
      </c>
      <c r="Y87" s="2">
        <f t="shared" ca="1" si="7"/>
        <v>378</v>
      </c>
      <c r="Z87" s="14">
        <v>1</v>
      </c>
      <c r="AA87" s="1" t="str">
        <f t="shared" ca="1" si="8"/>
        <v>VENCIDO</v>
      </c>
      <c r="AB87" s="1" t="str">
        <f t="shared" si="9"/>
        <v>Dosa</v>
      </c>
      <c r="AC87" s="2" t="str">
        <f t="shared" si="13"/>
        <v xml:space="preserve"> CLEITON </v>
      </c>
      <c r="AD87" s="2">
        <f t="shared" si="10"/>
        <v>5</v>
      </c>
      <c r="AE87" s="2">
        <f t="shared" ca="1" si="11"/>
        <v>-526.12730173610908</v>
      </c>
      <c r="AF87" s="15"/>
    </row>
    <row r="88" spans="1:32" hidden="1">
      <c r="A88" s="1">
        <v>7726639</v>
      </c>
      <c r="B88" s="1" t="s">
        <v>81</v>
      </c>
      <c r="C88" t="s">
        <v>240</v>
      </c>
      <c r="E88" s="2">
        <v>1060000206001</v>
      </c>
      <c r="F88" s="1" t="s">
        <v>29</v>
      </c>
      <c r="G88" s="1" t="s">
        <v>53</v>
      </c>
      <c r="H88" s="1" t="s">
        <v>284</v>
      </c>
      <c r="I88" s="1" t="s">
        <v>285</v>
      </c>
      <c r="J88" s="1" t="s">
        <v>148</v>
      </c>
      <c r="K88" t="s">
        <v>34</v>
      </c>
      <c r="M88" s="1" t="s">
        <v>35</v>
      </c>
      <c r="N88" s="1">
        <v>42318949</v>
      </c>
      <c r="O88" s="1" t="s">
        <v>36</v>
      </c>
      <c r="P88" s="11" t="s">
        <v>286</v>
      </c>
      <c r="R88" s="1" t="s">
        <v>38</v>
      </c>
      <c r="T88" s="1" t="s">
        <v>74</v>
      </c>
      <c r="U88" s="11" t="s">
        <v>3399</v>
      </c>
      <c r="V88" s="1" t="s">
        <v>41</v>
      </c>
      <c r="W88" s="1" t="s">
        <v>49</v>
      </c>
      <c r="X88" s="13" t="str">
        <f t="shared" si="12"/>
        <v/>
      </c>
      <c r="Y88" s="2">
        <f t="shared" ca="1" si="7"/>
        <v>378</v>
      </c>
      <c r="Z88" s="14">
        <v>1</v>
      </c>
      <c r="AA88" s="1" t="str">
        <f t="shared" ca="1" si="8"/>
        <v>VENCIDO</v>
      </c>
      <c r="AB88" s="1" t="str">
        <f t="shared" si="9"/>
        <v>Dosa</v>
      </c>
      <c r="AC88" s="2" t="str">
        <f t="shared" si="13"/>
        <v xml:space="preserve"> RINALDO </v>
      </c>
      <c r="AD88" s="2">
        <f t="shared" si="10"/>
        <v>5</v>
      </c>
      <c r="AE88" s="2">
        <f t="shared" ca="1" si="11"/>
        <v>-526.12730173610908</v>
      </c>
      <c r="AF88" s="15"/>
    </row>
    <row r="89" spans="1:32" hidden="1">
      <c r="A89" s="1">
        <v>7726637</v>
      </c>
      <c r="B89" s="1" t="s">
        <v>81</v>
      </c>
      <c r="C89" t="s">
        <v>240</v>
      </c>
      <c r="E89" s="2">
        <v>3237000206001</v>
      </c>
      <c r="F89" s="1" t="s">
        <v>29</v>
      </c>
      <c r="G89" s="1" t="s">
        <v>53</v>
      </c>
      <c r="H89" s="1" t="s">
        <v>287</v>
      </c>
      <c r="I89" s="1" t="s">
        <v>288</v>
      </c>
      <c r="J89" s="1" t="s">
        <v>46</v>
      </c>
      <c r="K89" t="s">
        <v>34</v>
      </c>
      <c r="M89" s="1" t="s">
        <v>35</v>
      </c>
      <c r="N89" s="1">
        <v>42318949</v>
      </c>
      <c r="O89" s="1" t="s">
        <v>36</v>
      </c>
      <c r="P89" s="11" t="s">
        <v>286</v>
      </c>
      <c r="R89" s="1" t="s">
        <v>38</v>
      </c>
      <c r="T89" s="1" t="s">
        <v>74</v>
      </c>
      <c r="U89" s="11" t="s">
        <v>3399</v>
      </c>
      <c r="V89" s="1" t="s">
        <v>41</v>
      </c>
      <c r="W89" s="1" t="s">
        <v>49</v>
      </c>
      <c r="X89" s="13" t="str">
        <f t="shared" si="12"/>
        <v/>
      </c>
      <c r="Y89" s="2">
        <f t="shared" ca="1" si="7"/>
        <v>378</v>
      </c>
      <c r="Z89" s="14">
        <v>1</v>
      </c>
      <c r="AA89" s="1" t="str">
        <f t="shared" ca="1" si="8"/>
        <v>VENCIDO</v>
      </c>
      <c r="AB89" s="1" t="str">
        <f t="shared" si="9"/>
        <v>Dosa</v>
      </c>
      <c r="AC89" s="2" t="str">
        <f t="shared" si="13"/>
        <v xml:space="preserve"> CLEITON </v>
      </c>
      <c r="AD89" s="2">
        <f t="shared" si="10"/>
        <v>5</v>
      </c>
      <c r="AE89" s="2">
        <f t="shared" ca="1" si="11"/>
        <v>-526.12730173610908</v>
      </c>
      <c r="AF89" s="15"/>
    </row>
    <row r="90" spans="1:32" hidden="1">
      <c r="A90" s="1">
        <v>7726636</v>
      </c>
      <c r="B90" s="1" t="s">
        <v>81</v>
      </c>
      <c r="C90" t="s">
        <v>240</v>
      </c>
      <c r="E90" s="2">
        <v>1058000206001</v>
      </c>
      <c r="F90" s="1" t="s">
        <v>29</v>
      </c>
      <c r="G90" s="1" t="s">
        <v>53</v>
      </c>
      <c r="H90" s="1" t="s">
        <v>289</v>
      </c>
      <c r="I90" s="1" t="s">
        <v>290</v>
      </c>
      <c r="J90" s="1" t="s">
        <v>56</v>
      </c>
      <c r="K90" t="s">
        <v>34</v>
      </c>
      <c r="M90" s="1" t="s">
        <v>35</v>
      </c>
      <c r="N90" s="1">
        <v>42318949</v>
      </c>
      <c r="O90" s="1" t="s">
        <v>36</v>
      </c>
      <c r="P90" s="11" t="s">
        <v>286</v>
      </c>
      <c r="R90" s="1" t="s">
        <v>38</v>
      </c>
      <c r="T90" s="1" t="s">
        <v>74</v>
      </c>
      <c r="U90" s="11" t="s">
        <v>3399</v>
      </c>
      <c r="V90" s="1" t="s">
        <v>41</v>
      </c>
      <c r="W90" s="1" t="s">
        <v>49</v>
      </c>
      <c r="X90" s="13" t="str">
        <f t="shared" si="12"/>
        <v/>
      </c>
      <c r="Y90" s="2">
        <f t="shared" ca="1" si="7"/>
        <v>378</v>
      </c>
      <c r="Z90" s="14">
        <v>1</v>
      </c>
      <c r="AA90" s="1" t="str">
        <f t="shared" ca="1" si="8"/>
        <v>VENCIDO</v>
      </c>
      <c r="AB90" s="1" t="str">
        <f t="shared" si="9"/>
        <v>Dosa</v>
      </c>
      <c r="AC90" s="2" t="str">
        <f t="shared" si="13"/>
        <v xml:space="preserve"> CRISTINA </v>
      </c>
      <c r="AD90" s="2">
        <f t="shared" si="10"/>
        <v>5</v>
      </c>
      <c r="AE90" s="2">
        <f t="shared" ca="1" si="11"/>
        <v>-526.12730173610908</v>
      </c>
      <c r="AF90" s="15"/>
    </row>
    <row r="91" spans="1:32" hidden="1">
      <c r="A91" s="1">
        <v>7726635</v>
      </c>
      <c r="B91" s="1" t="s">
        <v>81</v>
      </c>
      <c r="C91" t="s">
        <v>240</v>
      </c>
      <c r="E91" s="2">
        <v>4235000206001</v>
      </c>
      <c r="F91" s="1" t="s">
        <v>29</v>
      </c>
      <c r="G91" s="1" t="s">
        <v>53</v>
      </c>
      <c r="H91" s="1" t="s">
        <v>291</v>
      </c>
      <c r="I91" s="1" t="s">
        <v>292</v>
      </c>
      <c r="J91" s="1" t="s">
        <v>46</v>
      </c>
      <c r="K91" t="s">
        <v>34</v>
      </c>
      <c r="M91" s="1" t="s">
        <v>35</v>
      </c>
      <c r="N91" s="1">
        <v>42318949</v>
      </c>
      <c r="O91" s="1" t="s">
        <v>36</v>
      </c>
      <c r="P91" s="11" t="s">
        <v>286</v>
      </c>
      <c r="R91" s="1" t="s">
        <v>38</v>
      </c>
      <c r="T91" s="1" t="s">
        <v>74</v>
      </c>
      <c r="U91" s="11" t="s">
        <v>3399</v>
      </c>
      <c r="V91" s="1" t="s">
        <v>41</v>
      </c>
      <c r="W91" s="1" t="s">
        <v>49</v>
      </c>
      <c r="X91" s="13" t="str">
        <f t="shared" si="12"/>
        <v/>
      </c>
      <c r="Y91" s="2">
        <f t="shared" ca="1" si="7"/>
        <v>378</v>
      </c>
      <c r="Z91" s="14">
        <v>1</v>
      </c>
      <c r="AA91" s="1" t="str">
        <f t="shared" ca="1" si="8"/>
        <v>VENCIDO</v>
      </c>
      <c r="AB91" s="1" t="str">
        <f t="shared" si="9"/>
        <v>Dosa</v>
      </c>
      <c r="AC91" s="2" t="str">
        <f t="shared" si="13"/>
        <v xml:space="preserve"> CLEITON </v>
      </c>
      <c r="AD91" s="2">
        <f t="shared" si="10"/>
        <v>5</v>
      </c>
      <c r="AE91" s="2">
        <f t="shared" ca="1" si="11"/>
        <v>-526.12730173610908</v>
      </c>
      <c r="AF91" s="15"/>
    </row>
    <row r="92" spans="1:32" hidden="1">
      <c r="A92" s="1">
        <v>7726633</v>
      </c>
      <c r="B92" s="1" t="s">
        <v>81</v>
      </c>
      <c r="C92" t="s">
        <v>240</v>
      </c>
      <c r="E92" s="2">
        <v>8634000206001</v>
      </c>
      <c r="F92" s="1" t="s">
        <v>29</v>
      </c>
      <c r="G92" s="1" t="s">
        <v>53</v>
      </c>
      <c r="H92" s="1" t="s">
        <v>293</v>
      </c>
      <c r="I92" s="1" t="s">
        <v>294</v>
      </c>
      <c r="J92" s="1" t="s">
        <v>46</v>
      </c>
      <c r="K92" t="s">
        <v>34</v>
      </c>
      <c r="M92" s="1" t="s">
        <v>35</v>
      </c>
      <c r="N92" s="1">
        <v>42318949</v>
      </c>
      <c r="O92" s="1" t="s">
        <v>36</v>
      </c>
      <c r="P92" s="11" t="s">
        <v>286</v>
      </c>
      <c r="R92" s="1" t="s">
        <v>38</v>
      </c>
      <c r="T92" s="1" t="s">
        <v>74</v>
      </c>
      <c r="U92" s="11" t="s">
        <v>3399</v>
      </c>
      <c r="V92" s="1" t="s">
        <v>41</v>
      </c>
      <c r="W92" s="1" t="s">
        <v>49</v>
      </c>
      <c r="X92" s="13" t="str">
        <f t="shared" si="12"/>
        <v/>
      </c>
      <c r="Y92" s="2">
        <f t="shared" ca="1" si="7"/>
        <v>378</v>
      </c>
      <c r="Z92" s="14">
        <v>1</v>
      </c>
      <c r="AA92" s="1" t="str">
        <f t="shared" ca="1" si="8"/>
        <v>VENCIDO</v>
      </c>
      <c r="AB92" s="1" t="str">
        <f t="shared" si="9"/>
        <v>Dosa</v>
      </c>
      <c r="AC92" s="2" t="str">
        <f t="shared" si="13"/>
        <v xml:space="preserve"> CLEITON </v>
      </c>
      <c r="AD92" s="2">
        <f t="shared" si="10"/>
        <v>5</v>
      </c>
      <c r="AE92" s="2">
        <f t="shared" ca="1" si="11"/>
        <v>-526.12730173610908</v>
      </c>
      <c r="AF92" s="15"/>
    </row>
    <row r="93" spans="1:32" hidden="1">
      <c r="A93" s="1">
        <v>7726632</v>
      </c>
      <c r="B93" s="1" t="s">
        <v>81</v>
      </c>
      <c r="C93" t="s">
        <v>240</v>
      </c>
      <c r="E93" s="2">
        <v>1108000206001</v>
      </c>
      <c r="F93" s="1" t="s">
        <v>29</v>
      </c>
      <c r="G93" s="1" t="s">
        <v>53</v>
      </c>
      <c r="H93" s="1" t="s">
        <v>295</v>
      </c>
      <c r="I93" s="1" t="s">
        <v>296</v>
      </c>
      <c r="J93" s="1" t="s">
        <v>90</v>
      </c>
      <c r="K93" t="s">
        <v>34</v>
      </c>
      <c r="M93" s="1" t="s">
        <v>35</v>
      </c>
      <c r="N93" s="1">
        <v>42318949</v>
      </c>
      <c r="O93" s="1" t="s">
        <v>36</v>
      </c>
      <c r="P93" s="11" t="s">
        <v>286</v>
      </c>
      <c r="R93" s="1" t="s">
        <v>38</v>
      </c>
      <c r="T93" s="1" t="s">
        <v>74</v>
      </c>
      <c r="U93" s="11" t="s">
        <v>3399</v>
      </c>
      <c r="V93" s="1" t="s">
        <v>41</v>
      </c>
      <c r="W93" s="1" t="s">
        <v>49</v>
      </c>
      <c r="X93" s="13" t="str">
        <f t="shared" si="12"/>
        <v/>
      </c>
      <c r="Y93" s="2">
        <f t="shared" ca="1" si="7"/>
        <v>378</v>
      </c>
      <c r="Z93" s="14">
        <v>1</v>
      </c>
      <c r="AA93" s="1" t="str">
        <f t="shared" ca="1" si="8"/>
        <v>VENCIDO</v>
      </c>
      <c r="AB93" s="1" t="str">
        <f t="shared" si="9"/>
        <v>Dosa</v>
      </c>
      <c r="AC93" s="2" t="str">
        <f t="shared" si="13"/>
        <v xml:space="preserve"> RINALDO </v>
      </c>
      <c r="AD93" s="2">
        <f t="shared" si="10"/>
        <v>5</v>
      </c>
      <c r="AE93" s="2">
        <f t="shared" ca="1" si="11"/>
        <v>-526.12730173610908</v>
      </c>
      <c r="AF93" s="15"/>
    </row>
    <row r="94" spans="1:32" hidden="1">
      <c r="A94" s="1">
        <v>7726631</v>
      </c>
      <c r="B94" s="1" t="s">
        <v>81</v>
      </c>
      <c r="C94" t="s">
        <v>240</v>
      </c>
      <c r="E94" s="2">
        <v>4119000206001</v>
      </c>
      <c r="F94" s="1" t="s">
        <v>29</v>
      </c>
      <c r="G94" s="1" t="s">
        <v>53</v>
      </c>
      <c r="H94" s="1" t="s">
        <v>297</v>
      </c>
      <c r="I94" s="1" t="s">
        <v>298</v>
      </c>
      <c r="J94" s="1" t="s">
        <v>211</v>
      </c>
      <c r="K94" t="s">
        <v>34</v>
      </c>
      <c r="M94" s="1" t="s">
        <v>35</v>
      </c>
      <c r="N94" s="1">
        <v>42318949</v>
      </c>
      <c r="O94" s="1" t="s">
        <v>36</v>
      </c>
      <c r="P94" s="11" t="s">
        <v>301</v>
      </c>
      <c r="R94" s="1" t="s">
        <v>38</v>
      </c>
      <c r="T94" s="1" t="s">
        <v>74</v>
      </c>
      <c r="U94" s="11" t="s">
        <v>302</v>
      </c>
      <c r="V94" s="1" t="s">
        <v>41</v>
      </c>
      <c r="W94" s="1" t="s">
        <v>49</v>
      </c>
      <c r="X94" s="13" t="str">
        <f t="shared" si="12"/>
        <v/>
      </c>
      <c r="Y94" s="2">
        <f t="shared" ca="1" si="7"/>
        <v>378</v>
      </c>
      <c r="Z94" s="14">
        <v>1</v>
      </c>
      <c r="AA94" s="1" t="str">
        <f t="shared" ca="1" si="8"/>
        <v>VENCIDO</v>
      </c>
      <c r="AB94" s="1" t="str">
        <f t="shared" si="9"/>
        <v>Dosa</v>
      </c>
      <c r="AC94" s="2" t="str">
        <f t="shared" si="13"/>
        <v xml:space="preserve"> RINALDO </v>
      </c>
      <c r="AD94" s="2">
        <f t="shared" si="10"/>
        <v>5</v>
      </c>
      <c r="AE94" s="2">
        <f t="shared" ca="1" si="11"/>
        <v>-526.12731331018585</v>
      </c>
      <c r="AF94" s="15"/>
    </row>
    <row r="95" spans="1:32" hidden="1">
      <c r="A95" s="1">
        <v>7726630</v>
      </c>
      <c r="B95" s="1" t="s">
        <v>81</v>
      </c>
      <c r="C95" t="s">
        <v>240</v>
      </c>
      <c r="E95" s="2">
        <v>2388000206001</v>
      </c>
      <c r="F95" s="1" t="s">
        <v>29</v>
      </c>
      <c r="G95" s="1" t="s">
        <v>53</v>
      </c>
      <c r="H95" s="1" t="s">
        <v>299</v>
      </c>
      <c r="I95" s="1" t="s">
        <v>300</v>
      </c>
      <c r="J95" s="1" t="s">
        <v>79</v>
      </c>
      <c r="K95" t="s">
        <v>34</v>
      </c>
      <c r="M95" s="1" t="s">
        <v>35</v>
      </c>
      <c r="N95" s="1">
        <v>42318949</v>
      </c>
      <c r="O95" s="1" t="s">
        <v>36</v>
      </c>
      <c r="P95" s="11" t="s">
        <v>301</v>
      </c>
      <c r="R95" s="1" t="s">
        <v>38</v>
      </c>
      <c r="T95" s="1" t="s">
        <v>74</v>
      </c>
      <c r="U95" s="11" t="s">
        <v>302</v>
      </c>
      <c r="V95" s="1" t="s">
        <v>41</v>
      </c>
      <c r="W95" s="1" t="s">
        <v>49</v>
      </c>
      <c r="X95" s="13" t="str">
        <f t="shared" si="12"/>
        <v/>
      </c>
      <c r="Y95" s="2">
        <f t="shared" ca="1" si="7"/>
        <v>378</v>
      </c>
      <c r="Z95" s="14">
        <v>1</v>
      </c>
      <c r="AA95" s="1" t="str">
        <f t="shared" ca="1" si="8"/>
        <v>VENCIDO</v>
      </c>
      <c r="AB95" s="1" t="str">
        <f t="shared" si="9"/>
        <v>Dosa</v>
      </c>
      <c r="AC95" s="2" t="str">
        <f t="shared" si="13"/>
        <v xml:space="preserve"> ROSEMERE </v>
      </c>
      <c r="AD95" s="2">
        <f t="shared" si="10"/>
        <v>5</v>
      </c>
      <c r="AE95" s="2">
        <f t="shared" ca="1" si="11"/>
        <v>-526.12731331018585</v>
      </c>
      <c r="AF95" s="15"/>
    </row>
    <row r="96" spans="1:32" hidden="1">
      <c r="A96" s="1">
        <v>7726629</v>
      </c>
      <c r="B96" s="1" t="s">
        <v>81</v>
      </c>
      <c r="C96" t="s">
        <v>240</v>
      </c>
      <c r="E96" s="2">
        <v>2326000206001</v>
      </c>
      <c r="F96" s="1" t="s">
        <v>29</v>
      </c>
      <c r="G96" s="1" t="s">
        <v>53</v>
      </c>
      <c r="H96" s="1" t="s">
        <v>191</v>
      </c>
      <c r="I96" s="1" t="s">
        <v>192</v>
      </c>
      <c r="J96" s="1" t="s">
        <v>46</v>
      </c>
      <c r="K96" t="s">
        <v>34</v>
      </c>
      <c r="M96" s="1" t="s">
        <v>35</v>
      </c>
      <c r="N96" s="1">
        <v>42318949</v>
      </c>
      <c r="O96" s="1" t="s">
        <v>36</v>
      </c>
      <c r="P96" s="11" t="s">
        <v>301</v>
      </c>
      <c r="R96" s="1" t="s">
        <v>38</v>
      </c>
      <c r="T96" s="1" t="s">
        <v>74</v>
      </c>
      <c r="U96" s="11" t="s">
        <v>302</v>
      </c>
      <c r="V96" s="1" t="s">
        <v>41</v>
      </c>
      <c r="W96" s="1" t="s">
        <v>49</v>
      </c>
      <c r="X96" s="13" t="str">
        <f t="shared" si="12"/>
        <v/>
      </c>
      <c r="Y96" s="2">
        <f t="shared" ca="1" si="7"/>
        <v>378</v>
      </c>
      <c r="Z96" s="14">
        <v>1</v>
      </c>
      <c r="AA96" s="1" t="str">
        <f t="shared" ca="1" si="8"/>
        <v>VENCIDO</v>
      </c>
      <c r="AB96" s="1" t="str">
        <f t="shared" si="9"/>
        <v>Dosa</v>
      </c>
      <c r="AC96" s="2" t="str">
        <f t="shared" si="13"/>
        <v xml:space="preserve"> CLEITON </v>
      </c>
      <c r="AD96" s="2">
        <f t="shared" si="10"/>
        <v>5</v>
      </c>
      <c r="AE96" s="2">
        <f t="shared" ca="1" si="11"/>
        <v>-526.12731331018585</v>
      </c>
      <c r="AF96" s="15"/>
    </row>
    <row r="97" spans="1:32" hidden="1">
      <c r="A97" s="1">
        <v>7726628</v>
      </c>
      <c r="B97" s="1" t="s">
        <v>81</v>
      </c>
      <c r="C97" t="s">
        <v>240</v>
      </c>
      <c r="E97" s="2">
        <v>1360000206001</v>
      </c>
      <c r="F97" s="1" t="s">
        <v>29</v>
      </c>
      <c r="G97" s="1" t="s">
        <v>53</v>
      </c>
      <c r="H97" s="1" t="s">
        <v>303</v>
      </c>
      <c r="I97" s="1" t="s">
        <v>304</v>
      </c>
      <c r="J97" s="1" t="s">
        <v>261</v>
      </c>
      <c r="K97" t="s">
        <v>34</v>
      </c>
      <c r="M97" s="1" t="s">
        <v>35</v>
      </c>
      <c r="N97" s="1">
        <v>42318949</v>
      </c>
      <c r="O97" s="1" t="s">
        <v>36</v>
      </c>
      <c r="P97" s="11" t="s">
        <v>301</v>
      </c>
      <c r="R97" s="1" t="s">
        <v>38</v>
      </c>
      <c r="T97" s="1" t="s">
        <v>74</v>
      </c>
      <c r="U97" s="11" t="s">
        <v>302</v>
      </c>
      <c r="V97" s="1" t="s">
        <v>41</v>
      </c>
      <c r="W97" s="1" t="s">
        <v>49</v>
      </c>
      <c r="X97" s="13" t="str">
        <f t="shared" si="12"/>
        <v/>
      </c>
      <c r="Y97" s="2">
        <f t="shared" ca="1" si="7"/>
        <v>378</v>
      </c>
      <c r="Z97" s="14">
        <v>1</v>
      </c>
      <c r="AA97" s="1" t="str">
        <f t="shared" ca="1" si="8"/>
        <v>VENCIDO</v>
      </c>
      <c r="AB97" s="1" t="str">
        <f t="shared" si="9"/>
        <v>Dosa</v>
      </c>
      <c r="AC97" s="2" t="str">
        <f t="shared" si="13"/>
        <v xml:space="preserve"> CRISTINA </v>
      </c>
      <c r="AD97" s="2">
        <f t="shared" si="10"/>
        <v>5</v>
      </c>
      <c r="AE97" s="2">
        <f t="shared" ca="1" si="11"/>
        <v>-526.12731331018585</v>
      </c>
      <c r="AF97" s="15"/>
    </row>
    <row r="98" spans="1:32" hidden="1">
      <c r="A98" s="1">
        <v>7726627</v>
      </c>
      <c r="B98" s="1" t="s">
        <v>81</v>
      </c>
      <c r="C98" t="s">
        <v>240</v>
      </c>
      <c r="E98" s="2">
        <v>1835000206001</v>
      </c>
      <c r="F98" s="1" t="s">
        <v>29</v>
      </c>
      <c r="G98" s="1" t="s">
        <v>53</v>
      </c>
      <c r="H98" s="1" t="s">
        <v>305</v>
      </c>
      <c r="I98" s="1" t="s">
        <v>306</v>
      </c>
      <c r="J98" s="1" t="s">
        <v>46</v>
      </c>
      <c r="K98" t="s">
        <v>34</v>
      </c>
      <c r="M98" s="1" t="s">
        <v>35</v>
      </c>
      <c r="N98" s="1">
        <v>42318949</v>
      </c>
      <c r="O98" s="1" t="s">
        <v>36</v>
      </c>
      <c r="P98" s="11" t="s">
        <v>301</v>
      </c>
      <c r="R98" s="1" t="s">
        <v>38</v>
      </c>
      <c r="T98" s="1" t="s">
        <v>74</v>
      </c>
      <c r="U98" s="11" t="s">
        <v>302</v>
      </c>
      <c r="V98" s="1" t="s">
        <v>41</v>
      </c>
      <c r="W98" s="1" t="s">
        <v>49</v>
      </c>
      <c r="X98" s="13" t="str">
        <f t="shared" si="12"/>
        <v/>
      </c>
      <c r="Y98" s="2">
        <f t="shared" ca="1" si="7"/>
        <v>378</v>
      </c>
      <c r="Z98" s="14">
        <v>1</v>
      </c>
      <c r="AA98" s="1" t="str">
        <f t="shared" ca="1" si="8"/>
        <v>VENCIDO</v>
      </c>
      <c r="AB98" s="1" t="str">
        <f t="shared" si="9"/>
        <v>Dosa</v>
      </c>
      <c r="AC98" s="2" t="str">
        <f t="shared" si="13"/>
        <v xml:space="preserve"> CLEITON </v>
      </c>
      <c r="AD98" s="2">
        <f t="shared" si="10"/>
        <v>5</v>
      </c>
      <c r="AE98" s="2">
        <f t="shared" ca="1" si="11"/>
        <v>-526.12731331018585</v>
      </c>
      <c r="AF98" s="15"/>
    </row>
    <row r="99" spans="1:32" hidden="1">
      <c r="A99" s="1">
        <v>7726626</v>
      </c>
      <c r="B99" s="1" t="s">
        <v>81</v>
      </c>
      <c r="C99" t="s">
        <v>240</v>
      </c>
      <c r="E99" s="2">
        <v>1664000206001</v>
      </c>
      <c r="F99" s="1" t="s">
        <v>29</v>
      </c>
      <c r="G99" s="1" t="s">
        <v>53</v>
      </c>
      <c r="H99" s="1" t="s">
        <v>307</v>
      </c>
      <c r="I99" s="1" t="s">
        <v>308</v>
      </c>
      <c r="J99" s="1" t="s">
        <v>164</v>
      </c>
      <c r="K99" t="s">
        <v>34</v>
      </c>
      <c r="M99" s="1" t="s">
        <v>35</v>
      </c>
      <c r="N99" s="1">
        <v>42318949</v>
      </c>
      <c r="O99" s="1" t="s">
        <v>36</v>
      </c>
      <c r="P99" s="11" t="s">
        <v>301</v>
      </c>
      <c r="R99" s="1" t="s">
        <v>38</v>
      </c>
      <c r="T99" s="1" t="s">
        <v>74</v>
      </c>
      <c r="U99" s="11" t="s">
        <v>302</v>
      </c>
      <c r="V99" s="1" t="s">
        <v>41</v>
      </c>
      <c r="W99" s="1" t="s">
        <v>49</v>
      </c>
      <c r="X99" s="13" t="str">
        <f t="shared" si="12"/>
        <v/>
      </c>
      <c r="Y99" s="2">
        <f t="shared" ca="1" si="7"/>
        <v>378</v>
      </c>
      <c r="Z99" s="14">
        <v>1</v>
      </c>
      <c r="AA99" s="1" t="str">
        <f t="shared" ca="1" si="8"/>
        <v>VENCIDO</v>
      </c>
      <c r="AB99" s="1" t="str">
        <f t="shared" si="9"/>
        <v>Dosa</v>
      </c>
      <c r="AC99" s="2" t="str">
        <f t="shared" si="13"/>
        <v xml:space="preserve"> ROSEMERE </v>
      </c>
      <c r="AD99" s="2">
        <f t="shared" si="10"/>
        <v>5</v>
      </c>
      <c r="AE99" s="2">
        <f t="shared" ca="1" si="11"/>
        <v>-526.12731331018585</v>
      </c>
      <c r="AF99" s="15"/>
    </row>
    <row r="100" spans="1:32" hidden="1">
      <c r="A100" s="1">
        <v>7726624</v>
      </c>
      <c r="B100" s="1" t="s">
        <v>81</v>
      </c>
      <c r="C100" t="s">
        <v>240</v>
      </c>
      <c r="E100" s="2">
        <v>1732000206001</v>
      </c>
      <c r="F100" s="1" t="s">
        <v>29</v>
      </c>
      <c r="G100" s="1" t="s">
        <v>53</v>
      </c>
      <c r="H100" s="1" t="s">
        <v>177</v>
      </c>
      <c r="I100" s="1" t="s">
        <v>178</v>
      </c>
      <c r="J100" s="1" t="s">
        <v>164</v>
      </c>
      <c r="K100" t="s">
        <v>34</v>
      </c>
      <c r="M100" s="1" t="s">
        <v>35</v>
      </c>
      <c r="N100" s="1">
        <v>42318949</v>
      </c>
      <c r="O100" s="1" t="s">
        <v>36</v>
      </c>
      <c r="P100" s="11" t="s">
        <v>301</v>
      </c>
      <c r="R100" s="1" t="s">
        <v>38</v>
      </c>
      <c r="T100" s="1" t="s">
        <v>74</v>
      </c>
      <c r="U100" s="11" t="s">
        <v>302</v>
      </c>
      <c r="V100" s="1" t="s">
        <v>41</v>
      </c>
      <c r="W100" s="1" t="s">
        <v>49</v>
      </c>
      <c r="X100" s="13" t="str">
        <f t="shared" si="12"/>
        <v/>
      </c>
      <c r="Y100" s="2">
        <f t="shared" ca="1" si="7"/>
        <v>378</v>
      </c>
      <c r="Z100" s="14">
        <v>1</v>
      </c>
      <c r="AA100" s="1" t="str">
        <f t="shared" ca="1" si="8"/>
        <v>VENCIDO</v>
      </c>
      <c r="AB100" s="1" t="str">
        <f t="shared" si="9"/>
        <v>Dosa</v>
      </c>
      <c r="AC100" s="2" t="str">
        <f t="shared" si="13"/>
        <v xml:space="preserve"> ROSEMERE </v>
      </c>
      <c r="AD100" s="2">
        <f t="shared" si="10"/>
        <v>5</v>
      </c>
      <c r="AE100" s="2">
        <f t="shared" ca="1" si="11"/>
        <v>-526.12731331018585</v>
      </c>
      <c r="AF100" s="15"/>
    </row>
    <row r="101" spans="1:32" hidden="1">
      <c r="A101" s="1">
        <v>7726620</v>
      </c>
      <c r="B101" s="1" t="s">
        <v>81</v>
      </c>
      <c r="C101" t="s">
        <v>240</v>
      </c>
      <c r="E101" s="2">
        <v>3924000206001</v>
      </c>
      <c r="F101" s="1" t="s">
        <v>29</v>
      </c>
      <c r="G101" s="1" t="s">
        <v>53</v>
      </c>
      <c r="H101" s="1" t="s">
        <v>153</v>
      </c>
      <c r="I101" s="1" t="s">
        <v>154</v>
      </c>
      <c r="J101" s="1" t="s">
        <v>56</v>
      </c>
      <c r="K101" t="s">
        <v>34</v>
      </c>
      <c r="M101" s="1" t="s">
        <v>35</v>
      </c>
      <c r="N101" s="1">
        <v>42318949</v>
      </c>
      <c r="O101" s="1" t="s">
        <v>36</v>
      </c>
      <c r="P101" s="11" t="s">
        <v>3400</v>
      </c>
      <c r="R101" s="1" t="s">
        <v>38</v>
      </c>
      <c r="T101" s="1" t="s">
        <v>74</v>
      </c>
      <c r="U101" s="11" t="s">
        <v>3401</v>
      </c>
      <c r="V101" s="1" t="s">
        <v>41</v>
      </c>
      <c r="W101" s="1" t="s">
        <v>49</v>
      </c>
      <c r="X101" s="13" t="str">
        <f t="shared" si="12"/>
        <v/>
      </c>
      <c r="Y101" s="2">
        <f t="shared" ca="1" si="7"/>
        <v>378</v>
      </c>
      <c r="Z101" s="14">
        <v>1</v>
      </c>
      <c r="AA101" s="1" t="str">
        <f t="shared" ca="1" si="8"/>
        <v>VENCIDO</v>
      </c>
      <c r="AB101" s="1" t="str">
        <f t="shared" si="9"/>
        <v>Dosa</v>
      </c>
      <c r="AC101" s="2" t="str">
        <f t="shared" si="13"/>
        <v xml:space="preserve"> CRISTINA </v>
      </c>
      <c r="AD101" s="2">
        <f t="shared" si="10"/>
        <v>5</v>
      </c>
      <c r="AE101" s="2">
        <f t="shared" ca="1" si="11"/>
        <v>-526.12732488426263</v>
      </c>
      <c r="AF101" s="15"/>
    </row>
    <row r="102" spans="1:32" hidden="1">
      <c r="A102" s="1">
        <v>7726617</v>
      </c>
      <c r="B102" s="1" t="s">
        <v>81</v>
      </c>
      <c r="C102" t="s">
        <v>240</v>
      </c>
      <c r="E102" s="2">
        <v>1361000206001</v>
      </c>
      <c r="F102" s="1" t="s">
        <v>29</v>
      </c>
      <c r="G102" s="1" t="s">
        <v>53</v>
      </c>
      <c r="H102" s="1" t="s">
        <v>309</v>
      </c>
      <c r="I102" s="1" t="s">
        <v>310</v>
      </c>
      <c r="J102" s="1" t="s">
        <v>46</v>
      </c>
      <c r="K102" t="s">
        <v>34</v>
      </c>
      <c r="M102" s="1" t="s">
        <v>35</v>
      </c>
      <c r="N102" s="1">
        <v>42318949</v>
      </c>
      <c r="O102" s="1" t="s">
        <v>36</v>
      </c>
      <c r="P102" s="11" t="s">
        <v>3400</v>
      </c>
      <c r="R102" s="1" t="s">
        <v>38</v>
      </c>
      <c r="T102" s="1" t="s">
        <v>74</v>
      </c>
      <c r="U102" s="11" t="s">
        <v>3401</v>
      </c>
      <c r="V102" s="1" t="s">
        <v>41</v>
      </c>
      <c r="W102" s="1" t="s">
        <v>49</v>
      </c>
      <c r="X102" s="13" t="str">
        <f t="shared" si="12"/>
        <v/>
      </c>
      <c r="Y102" s="2">
        <f t="shared" ca="1" si="7"/>
        <v>378</v>
      </c>
      <c r="Z102" s="14">
        <v>1</v>
      </c>
      <c r="AA102" s="1" t="str">
        <f t="shared" ca="1" si="8"/>
        <v>VENCIDO</v>
      </c>
      <c r="AB102" s="1" t="str">
        <f t="shared" si="9"/>
        <v>Dosa</v>
      </c>
      <c r="AC102" s="2" t="str">
        <f t="shared" si="13"/>
        <v xml:space="preserve"> CLEITON </v>
      </c>
      <c r="AD102" s="2">
        <f t="shared" si="10"/>
        <v>5</v>
      </c>
      <c r="AE102" s="2">
        <f t="shared" ca="1" si="11"/>
        <v>-526.12732488426263</v>
      </c>
      <c r="AF102" s="15"/>
    </row>
    <row r="103" spans="1:32" hidden="1">
      <c r="A103" s="1">
        <v>7726616</v>
      </c>
      <c r="B103" s="1" t="s">
        <v>81</v>
      </c>
      <c r="C103" t="s">
        <v>240</v>
      </c>
      <c r="E103" s="2">
        <v>2737000206001</v>
      </c>
      <c r="F103" s="1" t="s">
        <v>29</v>
      </c>
      <c r="G103" s="1" t="s">
        <v>53</v>
      </c>
      <c r="H103" s="1" t="s">
        <v>311</v>
      </c>
      <c r="I103" s="1" t="s">
        <v>312</v>
      </c>
      <c r="J103" s="1" t="s">
        <v>90</v>
      </c>
      <c r="K103" t="s">
        <v>34</v>
      </c>
      <c r="M103" s="1" t="s">
        <v>35</v>
      </c>
      <c r="N103" s="1">
        <v>42318949</v>
      </c>
      <c r="O103" s="1" t="s">
        <v>36</v>
      </c>
      <c r="P103" s="11" t="s">
        <v>3402</v>
      </c>
      <c r="R103" s="1" t="s">
        <v>38</v>
      </c>
      <c r="T103" s="1" t="s">
        <v>74</v>
      </c>
      <c r="U103" s="11" t="s">
        <v>3403</v>
      </c>
      <c r="V103" s="1" t="s">
        <v>41</v>
      </c>
      <c r="W103" s="1" t="s">
        <v>49</v>
      </c>
      <c r="X103" s="13" t="str">
        <f t="shared" si="12"/>
        <v/>
      </c>
      <c r="Y103" s="2">
        <f t="shared" ca="1" si="7"/>
        <v>378</v>
      </c>
      <c r="Z103" s="14">
        <v>1</v>
      </c>
      <c r="AA103" s="1" t="str">
        <f t="shared" ca="1" si="8"/>
        <v>VENCIDO</v>
      </c>
      <c r="AB103" s="1" t="str">
        <f t="shared" si="9"/>
        <v>Dosa</v>
      </c>
      <c r="AC103" s="2" t="str">
        <f t="shared" si="13"/>
        <v xml:space="preserve"> RINALDO </v>
      </c>
      <c r="AD103" s="2">
        <f t="shared" si="10"/>
        <v>5</v>
      </c>
      <c r="AE103" s="2">
        <f t="shared" ca="1" si="11"/>
        <v>-526.12733645833214</v>
      </c>
      <c r="AF103" s="15"/>
    </row>
    <row r="104" spans="1:32" hidden="1">
      <c r="A104" s="1">
        <v>7726614</v>
      </c>
      <c r="B104" s="1" t="s">
        <v>81</v>
      </c>
      <c r="C104" t="s">
        <v>240</v>
      </c>
      <c r="E104" s="2">
        <v>244000206001</v>
      </c>
      <c r="F104" s="1" t="s">
        <v>29</v>
      </c>
      <c r="G104" s="1" t="s">
        <v>53</v>
      </c>
      <c r="H104" s="1" t="s">
        <v>313</v>
      </c>
      <c r="I104" s="1" t="s">
        <v>314</v>
      </c>
      <c r="J104" s="1" t="s">
        <v>56</v>
      </c>
      <c r="K104" t="s">
        <v>34</v>
      </c>
      <c r="M104" s="1" t="s">
        <v>35</v>
      </c>
      <c r="N104" s="1">
        <v>42318949</v>
      </c>
      <c r="O104" s="1" t="s">
        <v>36</v>
      </c>
      <c r="P104" s="11" t="s">
        <v>3402</v>
      </c>
      <c r="R104" s="1" t="s">
        <v>38</v>
      </c>
      <c r="T104" s="1" t="s">
        <v>74</v>
      </c>
      <c r="U104" s="11" t="s">
        <v>3403</v>
      </c>
      <c r="V104" s="1" t="s">
        <v>41</v>
      </c>
      <c r="W104" s="1" t="s">
        <v>49</v>
      </c>
      <c r="X104" s="13" t="str">
        <f t="shared" si="12"/>
        <v/>
      </c>
      <c r="Y104" s="2">
        <f t="shared" ca="1" si="7"/>
        <v>378</v>
      </c>
      <c r="Z104" s="14">
        <v>1</v>
      </c>
      <c r="AA104" s="1" t="str">
        <f t="shared" ca="1" si="8"/>
        <v>VENCIDO</v>
      </c>
      <c r="AB104" s="1" t="str">
        <f t="shared" si="9"/>
        <v>Dosa</v>
      </c>
      <c r="AC104" s="2" t="str">
        <f t="shared" si="13"/>
        <v xml:space="preserve"> CRISTINA </v>
      </c>
      <c r="AD104" s="2">
        <f t="shared" si="10"/>
        <v>5</v>
      </c>
      <c r="AE104" s="2">
        <f t="shared" ca="1" si="11"/>
        <v>-526.12733645833214</v>
      </c>
      <c r="AF104" s="15"/>
    </row>
    <row r="105" spans="1:32" hidden="1">
      <c r="A105" s="1">
        <v>7726613</v>
      </c>
      <c r="B105" s="1" t="s">
        <v>81</v>
      </c>
      <c r="C105" t="s">
        <v>240</v>
      </c>
      <c r="E105" s="2">
        <v>1146000206001</v>
      </c>
      <c r="F105" s="1" t="s">
        <v>29</v>
      </c>
      <c r="G105" s="1" t="s">
        <v>53</v>
      </c>
      <c r="H105" s="1" t="s">
        <v>315</v>
      </c>
      <c r="I105" s="1" t="s">
        <v>316</v>
      </c>
      <c r="J105" s="1" t="s">
        <v>148</v>
      </c>
      <c r="K105" t="s">
        <v>34</v>
      </c>
      <c r="M105" s="1" t="s">
        <v>35</v>
      </c>
      <c r="N105" s="1">
        <v>42318949</v>
      </c>
      <c r="O105" s="1" t="s">
        <v>36</v>
      </c>
      <c r="P105" s="11" t="s">
        <v>3402</v>
      </c>
      <c r="R105" s="1" t="s">
        <v>38</v>
      </c>
      <c r="T105" s="1" t="s">
        <v>74</v>
      </c>
      <c r="U105" s="11" t="s">
        <v>3403</v>
      </c>
      <c r="V105" s="1" t="s">
        <v>41</v>
      </c>
      <c r="W105" s="1" t="s">
        <v>49</v>
      </c>
      <c r="X105" s="13" t="str">
        <f t="shared" si="12"/>
        <v/>
      </c>
      <c r="Y105" s="2">
        <f t="shared" ca="1" si="7"/>
        <v>378</v>
      </c>
      <c r="Z105" s="14">
        <v>1</v>
      </c>
      <c r="AA105" s="1" t="str">
        <f t="shared" ca="1" si="8"/>
        <v>VENCIDO</v>
      </c>
      <c r="AB105" s="1" t="str">
        <f t="shared" si="9"/>
        <v>Dosa</v>
      </c>
      <c r="AC105" s="2" t="str">
        <f t="shared" si="13"/>
        <v xml:space="preserve"> RINALDO </v>
      </c>
      <c r="AD105" s="2">
        <f t="shared" si="10"/>
        <v>5</v>
      </c>
      <c r="AE105" s="2">
        <f t="shared" ca="1" si="11"/>
        <v>-526.12733645833214</v>
      </c>
      <c r="AF105" s="15"/>
    </row>
    <row r="106" spans="1:32" hidden="1">
      <c r="A106" s="1">
        <v>7726612</v>
      </c>
      <c r="B106" s="1" t="s">
        <v>81</v>
      </c>
      <c r="C106" t="s">
        <v>240</v>
      </c>
      <c r="E106" s="2">
        <v>1012000206001</v>
      </c>
      <c r="F106" s="1" t="s">
        <v>29</v>
      </c>
      <c r="G106" s="1" t="s">
        <v>53</v>
      </c>
      <c r="H106" s="1" t="s">
        <v>172</v>
      </c>
      <c r="I106" s="1" t="s">
        <v>173</v>
      </c>
      <c r="J106" s="1" t="s">
        <v>164</v>
      </c>
      <c r="K106" t="s">
        <v>34</v>
      </c>
      <c r="M106" s="1" t="s">
        <v>35</v>
      </c>
      <c r="N106" s="1">
        <v>42318949</v>
      </c>
      <c r="O106" s="1" t="s">
        <v>36</v>
      </c>
      <c r="P106" s="11" t="s">
        <v>3402</v>
      </c>
      <c r="R106" s="1" t="s">
        <v>38</v>
      </c>
      <c r="T106" s="1" t="s">
        <v>74</v>
      </c>
      <c r="U106" s="11" t="s">
        <v>3403</v>
      </c>
      <c r="V106" s="1" t="s">
        <v>41</v>
      </c>
      <c r="W106" s="1" t="s">
        <v>49</v>
      </c>
      <c r="X106" s="13" t="str">
        <f t="shared" si="12"/>
        <v/>
      </c>
      <c r="Y106" s="2">
        <f t="shared" ca="1" si="7"/>
        <v>378</v>
      </c>
      <c r="Z106" s="14">
        <v>1</v>
      </c>
      <c r="AA106" s="1" t="str">
        <f t="shared" ca="1" si="8"/>
        <v>VENCIDO</v>
      </c>
      <c r="AB106" s="1" t="str">
        <f t="shared" si="9"/>
        <v>Dosa</v>
      </c>
      <c r="AC106" s="2" t="str">
        <f t="shared" si="13"/>
        <v xml:space="preserve"> ROSEMERE </v>
      </c>
      <c r="AD106" s="2">
        <f t="shared" si="10"/>
        <v>5</v>
      </c>
      <c r="AE106" s="2">
        <f t="shared" ca="1" si="11"/>
        <v>-526.12733645833214</v>
      </c>
      <c r="AF106" s="15"/>
    </row>
    <row r="107" spans="1:32" hidden="1">
      <c r="A107" s="1">
        <v>7726611</v>
      </c>
      <c r="B107" s="1" t="s">
        <v>81</v>
      </c>
      <c r="C107" t="s">
        <v>240</v>
      </c>
      <c r="E107" s="2">
        <v>2625000206001</v>
      </c>
      <c r="F107" s="1" t="s">
        <v>29</v>
      </c>
      <c r="G107" s="1" t="s">
        <v>53</v>
      </c>
      <c r="H107" s="1" t="s">
        <v>317</v>
      </c>
      <c r="I107" s="1" t="s">
        <v>318</v>
      </c>
      <c r="J107" s="1" t="s">
        <v>164</v>
      </c>
      <c r="K107" t="s">
        <v>34</v>
      </c>
      <c r="M107" s="1" t="s">
        <v>35</v>
      </c>
      <c r="N107" s="1">
        <v>42318949</v>
      </c>
      <c r="O107" s="1" t="s">
        <v>36</v>
      </c>
      <c r="P107" s="11" t="s">
        <v>3402</v>
      </c>
      <c r="R107" s="1" t="s">
        <v>38</v>
      </c>
      <c r="T107" s="1" t="s">
        <v>74</v>
      </c>
      <c r="U107" s="11" t="s">
        <v>3403</v>
      </c>
      <c r="V107" s="1" t="s">
        <v>41</v>
      </c>
      <c r="W107" s="1" t="s">
        <v>49</v>
      </c>
      <c r="X107" s="13" t="str">
        <f t="shared" si="12"/>
        <v/>
      </c>
      <c r="Y107" s="2">
        <f t="shared" ca="1" si="7"/>
        <v>378</v>
      </c>
      <c r="Z107" s="14">
        <v>1</v>
      </c>
      <c r="AA107" s="1" t="str">
        <f t="shared" ca="1" si="8"/>
        <v>VENCIDO</v>
      </c>
      <c r="AB107" s="1" t="str">
        <f t="shared" si="9"/>
        <v>Dosa</v>
      </c>
      <c r="AC107" s="2" t="str">
        <f t="shared" si="13"/>
        <v xml:space="preserve"> ROSEMERE </v>
      </c>
      <c r="AD107" s="2">
        <f t="shared" si="10"/>
        <v>5</v>
      </c>
      <c r="AE107" s="2">
        <f t="shared" ca="1" si="11"/>
        <v>-526.12733645833214</v>
      </c>
      <c r="AF107" s="15"/>
    </row>
    <row r="108" spans="1:32" hidden="1">
      <c r="A108" s="1">
        <v>7726608</v>
      </c>
      <c r="B108" s="1" t="s">
        <v>81</v>
      </c>
      <c r="C108" t="s">
        <v>240</v>
      </c>
      <c r="E108" s="2">
        <v>3802000206001</v>
      </c>
      <c r="F108" s="1" t="s">
        <v>29</v>
      </c>
      <c r="G108" s="1" t="s">
        <v>53</v>
      </c>
      <c r="H108" s="1" t="s">
        <v>319</v>
      </c>
      <c r="I108" s="1" t="s">
        <v>320</v>
      </c>
      <c r="J108" s="1" t="s">
        <v>148</v>
      </c>
      <c r="K108" t="s">
        <v>34</v>
      </c>
      <c r="M108" s="1" t="s">
        <v>35</v>
      </c>
      <c r="N108" s="1">
        <v>42318949</v>
      </c>
      <c r="O108" s="1" t="s">
        <v>36</v>
      </c>
      <c r="P108" s="11" t="s">
        <v>323</v>
      </c>
      <c r="R108" s="1" t="s">
        <v>38</v>
      </c>
      <c r="T108" s="1" t="s">
        <v>74</v>
      </c>
      <c r="U108" s="11" t="s">
        <v>324</v>
      </c>
      <c r="V108" s="1" t="s">
        <v>41</v>
      </c>
      <c r="W108" s="1" t="s">
        <v>49</v>
      </c>
      <c r="X108" s="13" t="str">
        <f t="shared" si="12"/>
        <v/>
      </c>
      <c r="Y108" s="2">
        <f t="shared" ca="1" si="7"/>
        <v>378</v>
      </c>
      <c r="Z108" s="14">
        <v>1</v>
      </c>
      <c r="AA108" s="1" t="str">
        <f t="shared" ca="1" si="8"/>
        <v>VENCIDO</v>
      </c>
      <c r="AB108" s="1" t="str">
        <f t="shared" si="9"/>
        <v>Dosa</v>
      </c>
      <c r="AC108" s="2" t="str">
        <f t="shared" si="13"/>
        <v xml:space="preserve"> RINALDO </v>
      </c>
      <c r="AD108" s="2">
        <f t="shared" si="10"/>
        <v>5</v>
      </c>
      <c r="AE108" s="2">
        <f t="shared" ca="1" si="11"/>
        <v>-526.12734803240892</v>
      </c>
      <c r="AF108" s="15"/>
    </row>
    <row r="109" spans="1:32" hidden="1">
      <c r="A109" s="1">
        <v>7726607</v>
      </c>
      <c r="B109" s="1" t="s">
        <v>81</v>
      </c>
      <c r="C109" t="s">
        <v>240</v>
      </c>
      <c r="E109" s="2">
        <v>3258000206001</v>
      </c>
      <c r="F109" s="1" t="s">
        <v>29</v>
      </c>
      <c r="G109" s="1" t="s">
        <v>53</v>
      </c>
      <c r="H109" s="1" t="s">
        <v>321</v>
      </c>
      <c r="I109" s="1" t="s">
        <v>322</v>
      </c>
      <c r="J109" s="1" t="s">
        <v>46</v>
      </c>
      <c r="K109" t="s">
        <v>34</v>
      </c>
      <c r="M109" s="1" t="s">
        <v>35</v>
      </c>
      <c r="N109" s="1">
        <v>42318949</v>
      </c>
      <c r="O109" s="1" t="s">
        <v>36</v>
      </c>
      <c r="P109" s="11" t="s">
        <v>323</v>
      </c>
      <c r="R109" s="1" t="s">
        <v>38</v>
      </c>
      <c r="T109" s="1" t="s">
        <v>74</v>
      </c>
      <c r="U109" s="11" t="s">
        <v>324</v>
      </c>
      <c r="V109" s="1" t="s">
        <v>41</v>
      </c>
      <c r="W109" s="1" t="s">
        <v>49</v>
      </c>
      <c r="X109" s="13" t="str">
        <f t="shared" si="12"/>
        <v/>
      </c>
      <c r="Y109" s="2">
        <f t="shared" ca="1" si="7"/>
        <v>378</v>
      </c>
      <c r="Z109" s="14">
        <v>1</v>
      </c>
      <c r="AA109" s="1" t="str">
        <f t="shared" ca="1" si="8"/>
        <v>VENCIDO</v>
      </c>
      <c r="AB109" s="1" t="str">
        <f t="shared" si="9"/>
        <v>Dosa</v>
      </c>
      <c r="AC109" s="2" t="str">
        <f t="shared" si="13"/>
        <v xml:space="preserve"> CLEITON </v>
      </c>
      <c r="AD109" s="2">
        <f t="shared" si="10"/>
        <v>5</v>
      </c>
      <c r="AE109" s="2">
        <f t="shared" ca="1" si="11"/>
        <v>-526.12734803240892</v>
      </c>
      <c r="AF109" s="15"/>
    </row>
    <row r="110" spans="1:32" hidden="1">
      <c r="A110" s="1">
        <v>7726606</v>
      </c>
      <c r="B110" s="1" t="s">
        <v>81</v>
      </c>
      <c r="C110" t="s">
        <v>240</v>
      </c>
      <c r="E110" s="2">
        <v>1120000206001</v>
      </c>
      <c r="F110" s="1" t="s">
        <v>29</v>
      </c>
      <c r="G110" s="1" t="s">
        <v>53</v>
      </c>
      <c r="H110" s="1" t="s">
        <v>181</v>
      </c>
      <c r="I110" s="1" t="s">
        <v>182</v>
      </c>
      <c r="J110" s="1" t="s">
        <v>164</v>
      </c>
      <c r="K110" t="s">
        <v>34</v>
      </c>
      <c r="M110" s="1" t="s">
        <v>35</v>
      </c>
      <c r="N110" s="1">
        <v>42318949</v>
      </c>
      <c r="O110" s="1" t="s">
        <v>36</v>
      </c>
      <c r="P110" s="11" t="s">
        <v>323</v>
      </c>
      <c r="R110" s="1" t="s">
        <v>38</v>
      </c>
      <c r="T110" s="1" t="s">
        <v>74</v>
      </c>
      <c r="U110" s="11" t="s">
        <v>324</v>
      </c>
      <c r="V110" s="1" t="s">
        <v>41</v>
      </c>
      <c r="W110" s="1" t="s">
        <v>49</v>
      </c>
      <c r="X110" s="13" t="str">
        <f t="shared" si="12"/>
        <v/>
      </c>
      <c r="Y110" s="2">
        <f t="shared" ca="1" si="7"/>
        <v>378</v>
      </c>
      <c r="Z110" s="14">
        <v>1</v>
      </c>
      <c r="AA110" s="1" t="str">
        <f t="shared" ca="1" si="8"/>
        <v>VENCIDO</v>
      </c>
      <c r="AB110" s="1" t="str">
        <f t="shared" si="9"/>
        <v>Dosa</v>
      </c>
      <c r="AC110" s="2" t="str">
        <f t="shared" si="13"/>
        <v xml:space="preserve"> ROSEMERE </v>
      </c>
      <c r="AD110" s="2">
        <f t="shared" si="10"/>
        <v>5</v>
      </c>
      <c r="AE110" s="2">
        <f t="shared" ca="1" si="11"/>
        <v>-526.12734803240892</v>
      </c>
      <c r="AF110" s="15"/>
    </row>
    <row r="111" spans="1:32" hidden="1">
      <c r="A111" s="1">
        <v>7726605</v>
      </c>
      <c r="B111" s="1" t="s">
        <v>81</v>
      </c>
      <c r="C111" t="s">
        <v>240</v>
      </c>
      <c r="E111" s="2">
        <v>3108000206001</v>
      </c>
      <c r="F111" s="1" t="s">
        <v>29</v>
      </c>
      <c r="G111" s="1" t="s">
        <v>53</v>
      </c>
      <c r="H111" s="1" t="s">
        <v>325</v>
      </c>
      <c r="I111" s="1" t="s">
        <v>326</v>
      </c>
      <c r="J111" s="1" t="s">
        <v>46</v>
      </c>
      <c r="K111" t="s">
        <v>34</v>
      </c>
      <c r="M111" s="1" t="s">
        <v>35</v>
      </c>
      <c r="N111" s="1">
        <v>42318949</v>
      </c>
      <c r="O111" s="1" t="s">
        <v>36</v>
      </c>
      <c r="P111" s="11" t="s">
        <v>323</v>
      </c>
      <c r="R111" s="1" t="s">
        <v>38</v>
      </c>
      <c r="T111" s="1" t="s">
        <v>74</v>
      </c>
      <c r="U111" s="11" t="s">
        <v>324</v>
      </c>
      <c r="V111" s="1" t="s">
        <v>41</v>
      </c>
      <c r="W111" s="1" t="s">
        <v>49</v>
      </c>
      <c r="X111" s="13" t="str">
        <f t="shared" si="12"/>
        <v/>
      </c>
      <c r="Y111" s="2">
        <f t="shared" ca="1" si="7"/>
        <v>378</v>
      </c>
      <c r="Z111" s="14">
        <v>1</v>
      </c>
      <c r="AA111" s="1" t="str">
        <f t="shared" ca="1" si="8"/>
        <v>VENCIDO</v>
      </c>
      <c r="AB111" s="1" t="str">
        <f t="shared" si="9"/>
        <v>Dosa</v>
      </c>
      <c r="AC111" s="2" t="str">
        <f t="shared" si="13"/>
        <v xml:space="preserve"> CLEITON </v>
      </c>
      <c r="AD111" s="2">
        <f t="shared" si="10"/>
        <v>5</v>
      </c>
      <c r="AE111" s="2">
        <f t="shared" ca="1" si="11"/>
        <v>-526.12734803240892</v>
      </c>
      <c r="AF111" s="15"/>
    </row>
    <row r="112" spans="1:32" hidden="1">
      <c r="A112" s="1">
        <v>7726604</v>
      </c>
      <c r="B112" s="1" t="s">
        <v>81</v>
      </c>
      <c r="C112" t="s">
        <v>240</v>
      </c>
      <c r="E112" s="2">
        <v>1710000206001</v>
      </c>
      <c r="F112" s="1" t="s">
        <v>29</v>
      </c>
      <c r="G112" s="1" t="s">
        <v>53</v>
      </c>
      <c r="H112" s="1" t="s">
        <v>327</v>
      </c>
      <c r="I112" s="1" t="s">
        <v>328</v>
      </c>
      <c r="J112" s="1" t="s">
        <v>261</v>
      </c>
      <c r="K112" t="s">
        <v>34</v>
      </c>
      <c r="M112" s="1" t="s">
        <v>35</v>
      </c>
      <c r="N112" s="1">
        <v>42318949</v>
      </c>
      <c r="O112" s="1" t="s">
        <v>36</v>
      </c>
      <c r="P112" s="11" t="s">
        <v>323</v>
      </c>
      <c r="R112" s="1" t="s">
        <v>38</v>
      </c>
      <c r="T112" s="1" t="s">
        <v>74</v>
      </c>
      <c r="U112" s="186">
        <v>44460.54892361111</v>
      </c>
      <c r="V112" s="1" t="s">
        <v>41</v>
      </c>
      <c r="W112" s="1" t="s">
        <v>49</v>
      </c>
      <c r="X112" s="13" t="str">
        <f t="shared" si="12"/>
        <v/>
      </c>
      <c r="Y112" s="2">
        <f t="shared" ca="1" si="7"/>
        <v>378</v>
      </c>
      <c r="Z112" s="14">
        <v>1</v>
      </c>
      <c r="AA112" s="1" t="str">
        <f t="shared" ca="1" si="8"/>
        <v>VENCIDO</v>
      </c>
      <c r="AB112" s="1" t="str">
        <f t="shared" si="9"/>
        <v>Dosa</v>
      </c>
      <c r="AC112" s="2" t="str">
        <f t="shared" si="13"/>
        <v xml:space="preserve"> CRISTINA </v>
      </c>
      <c r="AD112" s="2">
        <f t="shared" si="10"/>
        <v>5</v>
      </c>
      <c r="AE112" s="2">
        <f t="shared" ca="1" si="11"/>
        <v>-526.12734803240892</v>
      </c>
      <c r="AF112" s="15"/>
    </row>
    <row r="113" spans="1:32" hidden="1">
      <c r="A113" s="1">
        <v>7726603</v>
      </c>
      <c r="B113" s="1" t="s">
        <v>81</v>
      </c>
      <c r="C113" t="s">
        <v>240</v>
      </c>
      <c r="E113" s="2">
        <v>1052000206001</v>
      </c>
      <c r="F113" s="1" t="s">
        <v>29</v>
      </c>
      <c r="G113" s="1" t="s">
        <v>53</v>
      </c>
      <c r="H113" s="1" t="s">
        <v>329</v>
      </c>
      <c r="I113" s="1" t="s">
        <v>330</v>
      </c>
      <c r="J113" s="1" t="s">
        <v>79</v>
      </c>
      <c r="K113" t="s">
        <v>34</v>
      </c>
      <c r="M113" s="1" t="s">
        <v>35</v>
      </c>
      <c r="N113" s="1">
        <v>42318949</v>
      </c>
      <c r="O113" s="1" t="s">
        <v>36</v>
      </c>
      <c r="P113" s="11" t="s">
        <v>335</v>
      </c>
      <c r="R113" s="1" t="s">
        <v>38</v>
      </c>
      <c r="T113" s="1" t="s">
        <v>74</v>
      </c>
      <c r="U113" s="11" t="s">
        <v>336</v>
      </c>
      <c r="V113" s="1" t="s">
        <v>41</v>
      </c>
      <c r="W113" s="1" t="s">
        <v>49</v>
      </c>
      <c r="X113" s="13" t="str">
        <f t="shared" si="12"/>
        <v/>
      </c>
      <c r="Y113" s="2">
        <f t="shared" ca="1" si="7"/>
        <v>378</v>
      </c>
      <c r="Z113" s="14">
        <v>1</v>
      </c>
      <c r="AA113" s="1" t="str">
        <f t="shared" ca="1" si="8"/>
        <v>VENCIDO</v>
      </c>
      <c r="AB113" s="1" t="str">
        <f t="shared" si="9"/>
        <v>Dosa</v>
      </c>
      <c r="AC113" s="2" t="str">
        <f t="shared" si="13"/>
        <v xml:space="preserve"> ROSEMERE </v>
      </c>
      <c r="AD113" s="2">
        <f t="shared" si="10"/>
        <v>5</v>
      </c>
      <c r="AE113" s="2">
        <f t="shared" ca="1" si="11"/>
        <v>-526.12735960647842</v>
      </c>
      <c r="AF113" s="15"/>
    </row>
    <row r="114" spans="1:32" hidden="1">
      <c r="A114" s="1">
        <v>7726602</v>
      </c>
      <c r="B114" s="1" t="s">
        <v>81</v>
      </c>
      <c r="C114" t="s">
        <v>240</v>
      </c>
      <c r="E114" s="2">
        <v>899000206001</v>
      </c>
      <c r="F114" s="1" t="s">
        <v>29</v>
      </c>
      <c r="G114" s="1" t="s">
        <v>53</v>
      </c>
      <c r="H114" s="1" t="s">
        <v>175</v>
      </c>
      <c r="I114" s="1" t="s">
        <v>176</v>
      </c>
      <c r="J114" s="1" t="s">
        <v>90</v>
      </c>
      <c r="K114" t="s">
        <v>34</v>
      </c>
      <c r="M114" s="1" t="s">
        <v>35</v>
      </c>
      <c r="N114" s="1">
        <v>42318949</v>
      </c>
      <c r="O114" s="1" t="s">
        <v>36</v>
      </c>
      <c r="P114" s="11" t="s">
        <v>335</v>
      </c>
      <c r="R114" s="1" t="s">
        <v>38</v>
      </c>
      <c r="T114" s="1" t="s">
        <v>74</v>
      </c>
      <c r="U114" s="11" t="s">
        <v>336</v>
      </c>
      <c r="V114" s="1" t="s">
        <v>41</v>
      </c>
      <c r="W114" s="1" t="s">
        <v>49</v>
      </c>
      <c r="X114" s="13" t="str">
        <f t="shared" si="12"/>
        <v/>
      </c>
      <c r="Y114" s="2">
        <f t="shared" ca="1" si="7"/>
        <v>378</v>
      </c>
      <c r="Z114" s="14">
        <v>1</v>
      </c>
      <c r="AA114" s="1" t="str">
        <f t="shared" ca="1" si="8"/>
        <v>VENCIDO</v>
      </c>
      <c r="AB114" s="1" t="str">
        <f t="shared" si="9"/>
        <v>Dosa</v>
      </c>
      <c r="AC114" s="2" t="str">
        <f t="shared" si="13"/>
        <v xml:space="preserve"> RINALDO </v>
      </c>
      <c r="AD114" s="2">
        <f t="shared" si="10"/>
        <v>5</v>
      </c>
      <c r="AE114" s="2">
        <f t="shared" ca="1" si="11"/>
        <v>-526.12735960647842</v>
      </c>
      <c r="AF114" s="15"/>
    </row>
    <row r="115" spans="1:32" hidden="1">
      <c r="A115" s="1">
        <v>7726601</v>
      </c>
      <c r="B115" s="1" t="s">
        <v>81</v>
      </c>
      <c r="C115" t="s">
        <v>240</v>
      </c>
      <c r="E115" s="2">
        <v>159000206001</v>
      </c>
      <c r="F115" s="1" t="s">
        <v>29</v>
      </c>
      <c r="G115" s="1" t="s">
        <v>53</v>
      </c>
      <c r="H115" s="1" t="s">
        <v>331</v>
      </c>
      <c r="I115" s="1" t="s">
        <v>332</v>
      </c>
      <c r="J115" s="1" t="s">
        <v>79</v>
      </c>
      <c r="K115" t="s">
        <v>34</v>
      </c>
      <c r="M115" s="1" t="s">
        <v>35</v>
      </c>
      <c r="N115" s="1">
        <v>42318949</v>
      </c>
      <c r="O115" s="1" t="s">
        <v>36</v>
      </c>
      <c r="P115" s="11" t="s">
        <v>335</v>
      </c>
      <c r="R115" s="1" t="s">
        <v>38</v>
      </c>
      <c r="T115" s="1" t="s">
        <v>74</v>
      </c>
      <c r="U115" s="11" t="s">
        <v>336</v>
      </c>
      <c r="V115" s="1" t="s">
        <v>41</v>
      </c>
      <c r="W115" s="1" t="s">
        <v>49</v>
      </c>
      <c r="X115" s="13" t="str">
        <f t="shared" si="12"/>
        <v/>
      </c>
      <c r="Y115" s="2">
        <f t="shared" ca="1" si="7"/>
        <v>378</v>
      </c>
      <c r="Z115" s="14">
        <v>1</v>
      </c>
      <c r="AA115" s="1" t="str">
        <f t="shared" ca="1" si="8"/>
        <v>VENCIDO</v>
      </c>
      <c r="AB115" s="1" t="str">
        <f t="shared" si="9"/>
        <v>Dosa</v>
      </c>
      <c r="AC115" s="2" t="str">
        <f t="shared" si="13"/>
        <v xml:space="preserve"> ROSEMERE </v>
      </c>
      <c r="AD115" s="2">
        <f t="shared" si="10"/>
        <v>5</v>
      </c>
      <c r="AE115" s="2">
        <f t="shared" ca="1" si="11"/>
        <v>-526.12735960647842</v>
      </c>
      <c r="AF115" s="15"/>
    </row>
    <row r="116" spans="1:32" hidden="1">
      <c r="A116" s="1">
        <v>7726600</v>
      </c>
      <c r="B116" s="1" t="s">
        <v>81</v>
      </c>
      <c r="C116" t="s">
        <v>240</v>
      </c>
      <c r="E116" s="2">
        <v>2239000206001</v>
      </c>
      <c r="F116" s="1" t="s">
        <v>29</v>
      </c>
      <c r="G116" s="1" t="s">
        <v>53</v>
      </c>
      <c r="H116" s="1" t="s">
        <v>333</v>
      </c>
      <c r="I116" s="1" t="s">
        <v>334</v>
      </c>
      <c r="J116" s="1" t="s">
        <v>261</v>
      </c>
      <c r="K116" t="s">
        <v>34</v>
      </c>
      <c r="M116" s="1" t="s">
        <v>35</v>
      </c>
      <c r="N116" s="1">
        <v>42318949</v>
      </c>
      <c r="O116" s="1" t="s">
        <v>36</v>
      </c>
      <c r="P116" s="11" t="s">
        <v>335</v>
      </c>
      <c r="R116" s="1" t="s">
        <v>38</v>
      </c>
      <c r="T116" s="1" t="s">
        <v>74</v>
      </c>
      <c r="U116" s="11" t="s">
        <v>336</v>
      </c>
      <c r="V116" s="1" t="s">
        <v>41</v>
      </c>
      <c r="W116" s="1" t="s">
        <v>49</v>
      </c>
      <c r="X116" s="13" t="str">
        <f t="shared" si="12"/>
        <v/>
      </c>
      <c r="Y116" s="2">
        <f t="shared" ca="1" si="7"/>
        <v>378</v>
      </c>
      <c r="Z116" s="14">
        <v>1</v>
      </c>
      <c r="AA116" s="1" t="str">
        <f t="shared" ca="1" si="8"/>
        <v>VENCIDO</v>
      </c>
      <c r="AB116" s="1" t="str">
        <f t="shared" si="9"/>
        <v>Dosa</v>
      </c>
      <c r="AC116" s="2" t="str">
        <f t="shared" si="13"/>
        <v xml:space="preserve"> CRISTINA </v>
      </c>
      <c r="AD116" s="2">
        <f t="shared" si="10"/>
        <v>5</v>
      </c>
      <c r="AE116" s="2">
        <f t="shared" ca="1" si="11"/>
        <v>-526.12735960647842</v>
      </c>
      <c r="AF116" s="15"/>
    </row>
    <row r="117" spans="1:32" hidden="1">
      <c r="A117" s="1">
        <v>7726599</v>
      </c>
      <c r="B117" s="1" t="s">
        <v>81</v>
      </c>
      <c r="C117" t="s">
        <v>240</v>
      </c>
      <c r="E117" s="2">
        <v>550000206001</v>
      </c>
      <c r="F117" s="1" t="s">
        <v>29</v>
      </c>
      <c r="G117" s="1" t="s">
        <v>53</v>
      </c>
      <c r="H117" s="1" t="s">
        <v>337</v>
      </c>
      <c r="I117" s="1" t="s">
        <v>338</v>
      </c>
      <c r="J117" s="1" t="s">
        <v>164</v>
      </c>
      <c r="K117" t="s">
        <v>34</v>
      </c>
      <c r="M117" s="1" t="s">
        <v>35</v>
      </c>
      <c r="N117" s="1">
        <v>42318949</v>
      </c>
      <c r="O117" s="1" t="s">
        <v>36</v>
      </c>
      <c r="P117" s="11" t="s">
        <v>335</v>
      </c>
      <c r="R117" s="1" t="s">
        <v>38</v>
      </c>
      <c r="T117" s="1" t="s">
        <v>74</v>
      </c>
      <c r="U117" s="186">
        <v>44460.54891203704</v>
      </c>
      <c r="V117" s="1" t="s">
        <v>41</v>
      </c>
      <c r="W117" s="1" t="s">
        <v>49</v>
      </c>
      <c r="X117" s="13" t="str">
        <f t="shared" si="12"/>
        <v/>
      </c>
      <c r="Y117" s="2">
        <f t="shared" ca="1" si="7"/>
        <v>378</v>
      </c>
      <c r="Z117" s="14">
        <v>1</v>
      </c>
      <c r="AA117" s="1" t="str">
        <f t="shared" ca="1" si="8"/>
        <v>VENCIDO</v>
      </c>
      <c r="AB117" s="1" t="str">
        <f t="shared" si="9"/>
        <v>Dosa</v>
      </c>
      <c r="AC117" s="2" t="str">
        <f t="shared" si="13"/>
        <v xml:space="preserve"> ROSEMERE </v>
      </c>
      <c r="AD117" s="2">
        <f t="shared" si="10"/>
        <v>5</v>
      </c>
      <c r="AE117" s="2">
        <f t="shared" ca="1" si="11"/>
        <v>-526.12735960647842</v>
      </c>
      <c r="AF117" s="15"/>
    </row>
    <row r="118" spans="1:32" hidden="1">
      <c r="A118" s="1">
        <v>7726598</v>
      </c>
      <c r="B118" s="1" t="s">
        <v>81</v>
      </c>
      <c r="C118" t="s">
        <v>240</v>
      </c>
      <c r="E118" s="2">
        <v>2811000206001</v>
      </c>
      <c r="F118" s="1" t="s">
        <v>29</v>
      </c>
      <c r="G118" s="1" t="s">
        <v>53</v>
      </c>
      <c r="H118" s="1" t="s">
        <v>44</v>
      </c>
      <c r="I118" s="1" t="s">
        <v>45</v>
      </c>
      <c r="J118" s="1" t="s">
        <v>46</v>
      </c>
      <c r="K118" t="s">
        <v>34</v>
      </c>
      <c r="M118" s="1" t="s">
        <v>35</v>
      </c>
      <c r="N118" s="1">
        <v>42318949</v>
      </c>
      <c r="O118" s="1" t="s">
        <v>36</v>
      </c>
      <c r="P118" s="11" t="s">
        <v>341</v>
      </c>
      <c r="R118" s="1" t="s">
        <v>38</v>
      </c>
      <c r="T118" s="1" t="s">
        <v>74</v>
      </c>
      <c r="U118" s="186">
        <v>44460.548900462964</v>
      </c>
      <c r="V118" s="1" t="s">
        <v>41</v>
      </c>
      <c r="W118" s="1" t="s">
        <v>49</v>
      </c>
      <c r="X118" s="13" t="str">
        <f t="shared" si="12"/>
        <v/>
      </c>
      <c r="Y118" s="2">
        <f t="shared" ca="1" si="7"/>
        <v>378</v>
      </c>
      <c r="Z118" s="14">
        <v>1</v>
      </c>
      <c r="AA118" s="1" t="str">
        <f t="shared" ca="1" si="8"/>
        <v>VENCIDO</v>
      </c>
      <c r="AB118" s="1" t="str">
        <f t="shared" si="9"/>
        <v>Dosa</v>
      </c>
      <c r="AC118" s="2" t="str">
        <f t="shared" si="13"/>
        <v xml:space="preserve"> CLEITON </v>
      </c>
      <c r="AD118" s="2">
        <f t="shared" si="10"/>
        <v>5</v>
      </c>
      <c r="AE118" s="2">
        <f t="shared" ca="1" si="11"/>
        <v>-526.1273711805552</v>
      </c>
      <c r="AF118" s="15"/>
    </row>
    <row r="119" spans="1:32" hidden="1">
      <c r="A119" s="1">
        <v>7726597</v>
      </c>
      <c r="B119" s="1" t="s">
        <v>81</v>
      </c>
      <c r="C119" t="s">
        <v>240</v>
      </c>
      <c r="E119" s="2">
        <v>2229000206001</v>
      </c>
      <c r="F119" s="1" t="s">
        <v>29</v>
      </c>
      <c r="G119" s="1" t="s">
        <v>53</v>
      </c>
      <c r="H119" s="1" t="s">
        <v>339</v>
      </c>
      <c r="I119" s="1" t="s">
        <v>340</v>
      </c>
      <c r="J119" s="1" t="s">
        <v>211</v>
      </c>
      <c r="K119" t="s">
        <v>34</v>
      </c>
      <c r="M119" s="1" t="s">
        <v>35</v>
      </c>
      <c r="N119" s="1">
        <v>42318949</v>
      </c>
      <c r="O119" s="1" t="s">
        <v>36</v>
      </c>
      <c r="P119" s="11" t="s">
        <v>341</v>
      </c>
      <c r="R119" s="1" t="s">
        <v>38</v>
      </c>
      <c r="T119" s="1" t="s">
        <v>74</v>
      </c>
      <c r="U119" s="11" t="s">
        <v>342</v>
      </c>
      <c r="V119" s="1" t="s">
        <v>41</v>
      </c>
      <c r="W119" s="1" t="s">
        <v>49</v>
      </c>
      <c r="X119" s="13" t="str">
        <f t="shared" si="12"/>
        <v/>
      </c>
      <c r="Y119" s="2">
        <f t="shared" ca="1" si="7"/>
        <v>378</v>
      </c>
      <c r="Z119" s="14">
        <v>1</v>
      </c>
      <c r="AA119" s="1" t="str">
        <f t="shared" ca="1" si="8"/>
        <v>VENCIDO</v>
      </c>
      <c r="AB119" s="1" t="str">
        <f t="shared" si="9"/>
        <v>Dosa</v>
      </c>
      <c r="AC119" s="2" t="str">
        <f t="shared" si="13"/>
        <v xml:space="preserve"> RINALDO </v>
      </c>
      <c r="AD119" s="2">
        <f t="shared" si="10"/>
        <v>5</v>
      </c>
      <c r="AE119" s="2">
        <f t="shared" ca="1" si="11"/>
        <v>-526.1273711805552</v>
      </c>
      <c r="AF119" s="15"/>
    </row>
    <row r="120" spans="1:32" hidden="1">
      <c r="A120" s="1">
        <v>7726596</v>
      </c>
      <c r="B120" s="1" t="s">
        <v>81</v>
      </c>
      <c r="C120" t="s">
        <v>240</v>
      </c>
      <c r="E120" s="2">
        <v>3699000206001</v>
      </c>
      <c r="F120" s="1" t="s">
        <v>29</v>
      </c>
      <c r="G120" s="1" t="s">
        <v>53</v>
      </c>
      <c r="H120" s="1" t="s">
        <v>343</v>
      </c>
      <c r="I120" s="1" t="s">
        <v>344</v>
      </c>
      <c r="J120" s="1" t="s">
        <v>46</v>
      </c>
      <c r="K120" t="s">
        <v>34</v>
      </c>
      <c r="M120" s="1" t="s">
        <v>35</v>
      </c>
      <c r="N120" s="1">
        <v>42318949</v>
      </c>
      <c r="O120" s="1" t="s">
        <v>36</v>
      </c>
      <c r="P120" s="11" t="s">
        <v>341</v>
      </c>
      <c r="R120" s="1" t="s">
        <v>38</v>
      </c>
      <c r="T120" s="1" t="s">
        <v>74</v>
      </c>
      <c r="U120" s="186">
        <v>44460.548900462964</v>
      </c>
      <c r="V120" s="1" t="s">
        <v>41</v>
      </c>
      <c r="W120" s="1" t="s">
        <v>49</v>
      </c>
      <c r="X120" s="13" t="str">
        <f t="shared" si="12"/>
        <v/>
      </c>
      <c r="Y120" s="2">
        <f t="shared" ca="1" si="7"/>
        <v>378</v>
      </c>
      <c r="Z120" s="14">
        <v>1</v>
      </c>
      <c r="AA120" s="1" t="str">
        <f t="shared" ca="1" si="8"/>
        <v>VENCIDO</v>
      </c>
      <c r="AB120" s="1" t="str">
        <f t="shared" si="9"/>
        <v>Dosa</v>
      </c>
      <c r="AC120" s="2" t="str">
        <f t="shared" si="13"/>
        <v xml:space="preserve"> CLEITON </v>
      </c>
      <c r="AD120" s="2">
        <f t="shared" si="10"/>
        <v>5</v>
      </c>
      <c r="AE120" s="2">
        <f t="shared" ca="1" si="11"/>
        <v>-526.1273711805552</v>
      </c>
      <c r="AF120" s="15"/>
    </row>
    <row r="121" spans="1:32" hidden="1">
      <c r="A121" s="1">
        <v>7726594</v>
      </c>
      <c r="B121" s="1" t="s">
        <v>81</v>
      </c>
      <c r="C121" t="s">
        <v>240</v>
      </c>
      <c r="E121" s="2">
        <v>325000206001</v>
      </c>
      <c r="F121" s="1" t="s">
        <v>29</v>
      </c>
      <c r="G121" s="1" t="s">
        <v>53</v>
      </c>
      <c r="H121" s="1" t="s">
        <v>345</v>
      </c>
      <c r="I121" s="1" t="s">
        <v>346</v>
      </c>
      <c r="J121" s="1" t="s">
        <v>46</v>
      </c>
      <c r="K121" t="s">
        <v>34</v>
      </c>
      <c r="M121" s="1" t="s">
        <v>35</v>
      </c>
      <c r="N121" s="1">
        <v>42318949</v>
      </c>
      <c r="O121" s="1" t="s">
        <v>36</v>
      </c>
      <c r="P121" s="11" t="s">
        <v>341</v>
      </c>
      <c r="R121" s="1" t="s">
        <v>38</v>
      </c>
      <c r="T121" s="1" t="s">
        <v>74</v>
      </c>
      <c r="U121" s="186">
        <v>44460.548900462964</v>
      </c>
      <c r="V121" s="1" t="s">
        <v>41</v>
      </c>
      <c r="W121" s="1" t="s">
        <v>49</v>
      </c>
      <c r="X121" s="13" t="str">
        <f t="shared" si="12"/>
        <v/>
      </c>
      <c r="Y121" s="2">
        <f t="shared" ca="1" si="7"/>
        <v>378</v>
      </c>
      <c r="Z121" s="14">
        <v>1</v>
      </c>
      <c r="AA121" s="1" t="str">
        <f t="shared" ca="1" si="8"/>
        <v>VENCIDO</v>
      </c>
      <c r="AB121" s="1" t="str">
        <f t="shared" si="9"/>
        <v>Dosa</v>
      </c>
      <c r="AC121" s="2" t="str">
        <f t="shared" si="13"/>
        <v xml:space="preserve"> CLEITON </v>
      </c>
      <c r="AD121" s="2">
        <f t="shared" si="10"/>
        <v>5</v>
      </c>
      <c r="AE121" s="2">
        <f t="shared" ca="1" si="11"/>
        <v>-526.1273711805552</v>
      </c>
      <c r="AF121" s="15"/>
    </row>
    <row r="122" spans="1:32" hidden="1">
      <c r="A122" s="1">
        <v>7726593</v>
      </c>
      <c r="B122" s="1" t="s">
        <v>81</v>
      </c>
      <c r="C122" t="s">
        <v>240</v>
      </c>
      <c r="E122" s="2">
        <v>2699000206001</v>
      </c>
      <c r="F122" s="1" t="s">
        <v>29</v>
      </c>
      <c r="G122" s="1" t="s">
        <v>53</v>
      </c>
      <c r="H122" s="1" t="s">
        <v>347</v>
      </c>
      <c r="I122" s="1" t="s">
        <v>348</v>
      </c>
      <c r="J122" s="1" t="s">
        <v>148</v>
      </c>
      <c r="K122" t="s">
        <v>34</v>
      </c>
      <c r="M122" s="1" t="s">
        <v>35</v>
      </c>
      <c r="N122" s="1">
        <v>42318949</v>
      </c>
      <c r="O122" s="1" t="s">
        <v>36</v>
      </c>
      <c r="P122" s="11" t="s">
        <v>341</v>
      </c>
      <c r="R122" s="1" t="s">
        <v>38</v>
      </c>
      <c r="T122" s="1" t="s">
        <v>74</v>
      </c>
      <c r="U122" s="186">
        <v>44460.548900462964</v>
      </c>
      <c r="V122" s="1" t="s">
        <v>41</v>
      </c>
      <c r="W122" s="1" t="s">
        <v>49</v>
      </c>
      <c r="X122" s="13" t="str">
        <f t="shared" si="12"/>
        <v/>
      </c>
      <c r="Y122" s="2">
        <f t="shared" ca="1" si="7"/>
        <v>378</v>
      </c>
      <c r="Z122" s="14">
        <v>1</v>
      </c>
      <c r="AA122" s="1" t="str">
        <f t="shared" ca="1" si="8"/>
        <v>VENCIDO</v>
      </c>
      <c r="AB122" s="1" t="str">
        <f t="shared" si="9"/>
        <v>Dosa</v>
      </c>
      <c r="AC122" s="2" t="str">
        <f t="shared" si="13"/>
        <v xml:space="preserve"> RINALDO </v>
      </c>
      <c r="AD122" s="2">
        <f t="shared" si="10"/>
        <v>5</v>
      </c>
      <c r="AE122" s="2">
        <f t="shared" ca="1" si="11"/>
        <v>-526.1273711805552</v>
      </c>
      <c r="AF122" s="15"/>
    </row>
    <row r="123" spans="1:32" hidden="1">
      <c r="A123" s="1">
        <v>7726592</v>
      </c>
      <c r="B123" s="1" t="s">
        <v>81</v>
      </c>
      <c r="C123" t="s">
        <v>240</v>
      </c>
      <c r="E123" s="2">
        <v>4012000206001</v>
      </c>
      <c r="F123" s="1" t="s">
        <v>29</v>
      </c>
      <c r="G123" s="1" t="s">
        <v>53</v>
      </c>
      <c r="H123" s="1" t="s">
        <v>349</v>
      </c>
      <c r="I123" s="1" t="s">
        <v>350</v>
      </c>
      <c r="J123" s="1" t="s">
        <v>261</v>
      </c>
      <c r="K123" t="s">
        <v>34</v>
      </c>
      <c r="M123" s="1" t="s">
        <v>35</v>
      </c>
      <c r="N123" s="1">
        <v>42318949</v>
      </c>
      <c r="O123" s="1" t="s">
        <v>36</v>
      </c>
      <c r="P123" s="11" t="s">
        <v>3404</v>
      </c>
      <c r="R123" s="1" t="s">
        <v>38</v>
      </c>
      <c r="T123" s="1" t="s">
        <v>74</v>
      </c>
      <c r="U123" s="186">
        <v>44460.548888888887</v>
      </c>
      <c r="V123" s="1" t="s">
        <v>41</v>
      </c>
      <c r="W123" s="1" t="s">
        <v>49</v>
      </c>
      <c r="X123" s="13" t="str">
        <f t="shared" si="12"/>
        <v/>
      </c>
      <c r="Y123" s="2">
        <f t="shared" ca="1" si="7"/>
        <v>378</v>
      </c>
      <c r="Z123" s="14">
        <v>1</v>
      </c>
      <c r="AA123" s="1" t="str">
        <f t="shared" ca="1" si="8"/>
        <v>VENCIDO</v>
      </c>
      <c r="AB123" s="1" t="str">
        <f t="shared" si="9"/>
        <v>Dosa</v>
      </c>
      <c r="AC123" s="2" t="str">
        <f t="shared" si="13"/>
        <v xml:space="preserve"> CRISTINA </v>
      </c>
      <c r="AD123" s="2">
        <f t="shared" si="10"/>
        <v>5</v>
      </c>
      <c r="AE123" s="2">
        <f t="shared" ca="1" si="11"/>
        <v>-526.12738275463198</v>
      </c>
      <c r="AF123" s="15"/>
    </row>
    <row r="124" spans="1:32" hidden="1">
      <c r="A124" s="1">
        <v>7726589</v>
      </c>
      <c r="B124" s="1" t="s">
        <v>81</v>
      </c>
      <c r="C124" t="s">
        <v>240</v>
      </c>
      <c r="E124" s="2">
        <v>2365000206001</v>
      </c>
      <c r="F124" s="1" t="s">
        <v>29</v>
      </c>
      <c r="G124" s="1" t="s">
        <v>53</v>
      </c>
      <c r="H124" s="1" t="s">
        <v>159</v>
      </c>
      <c r="I124" s="1" t="s">
        <v>160</v>
      </c>
      <c r="J124" s="1" t="s">
        <v>46</v>
      </c>
      <c r="K124" t="s">
        <v>34</v>
      </c>
      <c r="M124" s="1" t="s">
        <v>35</v>
      </c>
      <c r="N124" s="1">
        <v>42318949</v>
      </c>
      <c r="O124" s="1" t="s">
        <v>36</v>
      </c>
      <c r="P124" s="11" t="s">
        <v>3404</v>
      </c>
      <c r="R124" s="1" t="s">
        <v>38</v>
      </c>
      <c r="T124" s="1" t="s">
        <v>74</v>
      </c>
      <c r="U124" s="186">
        <v>44460.548888888887</v>
      </c>
      <c r="V124" s="1" t="s">
        <v>41</v>
      </c>
      <c r="W124" s="1" t="s">
        <v>49</v>
      </c>
      <c r="X124" s="13" t="str">
        <f t="shared" si="12"/>
        <v/>
      </c>
      <c r="Y124" s="2">
        <f t="shared" ca="1" si="7"/>
        <v>378</v>
      </c>
      <c r="Z124" s="14">
        <v>1</v>
      </c>
      <c r="AA124" s="1" t="str">
        <f t="shared" ca="1" si="8"/>
        <v>VENCIDO</v>
      </c>
      <c r="AB124" s="1" t="str">
        <f t="shared" si="9"/>
        <v>Dosa</v>
      </c>
      <c r="AC124" s="2" t="str">
        <f t="shared" si="13"/>
        <v xml:space="preserve"> CLEITON </v>
      </c>
      <c r="AD124" s="2">
        <f t="shared" si="10"/>
        <v>5</v>
      </c>
      <c r="AE124" s="2">
        <f t="shared" ca="1" si="11"/>
        <v>-526.12738275463198</v>
      </c>
      <c r="AF124" s="15"/>
    </row>
    <row r="125" spans="1:32" hidden="1">
      <c r="A125" s="1">
        <v>7726588</v>
      </c>
      <c r="B125" s="1" t="s">
        <v>81</v>
      </c>
      <c r="C125" t="s">
        <v>240</v>
      </c>
      <c r="E125" s="2">
        <v>1264000206001</v>
      </c>
      <c r="F125" s="1" t="s">
        <v>29</v>
      </c>
      <c r="G125" s="1" t="s">
        <v>53</v>
      </c>
      <c r="H125" s="1" t="s">
        <v>351</v>
      </c>
      <c r="I125" s="1" t="s">
        <v>352</v>
      </c>
      <c r="J125" s="1" t="s">
        <v>110</v>
      </c>
      <c r="K125" t="s">
        <v>34</v>
      </c>
      <c r="M125" s="1" t="s">
        <v>35</v>
      </c>
      <c r="N125" s="1">
        <v>42318949</v>
      </c>
      <c r="O125" s="1" t="s">
        <v>36</v>
      </c>
      <c r="P125" s="11" t="s">
        <v>3404</v>
      </c>
      <c r="R125" s="1" t="s">
        <v>38</v>
      </c>
      <c r="T125" s="1" t="s">
        <v>74</v>
      </c>
      <c r="U125" s="186">
        <v>44460.548888888887</v>
      </c>
      <c r="V125" s="1" t="s">
        <v>41</v>
      </c>
      <c r="W125" s="1" t="s">
        <v>49</v>
      </c>
      <c r="X125" s="13" t="str">
        <f t="shared" si="12"/>
        <v/>
      </c>
      <c r="Y125" s="2">
        <f t="shared" ca="1" si="7"/>
        <v>378</v>
      </c>
      <c r="Z125" s="14">
        <v>1</v>
      </c>
      <c r="AA125" s="1" t="str">
        <f t="shared" ca="1" si="8"/>
        <v>VENCIDO</v>
      </c>
      <c r="AB125" s="1" t="str">
        <f t="shared" si="9"/>
        <v>Dosa</v>
      </c>
      <c r="AC125" s="2" t="str">
        <f t="shared" si="13"/>
        <v xml:space="preserve"> CRISTINA </v>
      </c>
      <c r="AD125" s="2">
        <f t="shared" si="10"/>
        <v>5</v>
      </c>
      <c r="AE125" s="2">
        <f t="shared" ca="1" si="11"/>
        <v>-526.12738275463198</v>
      </c>
      <c r="AF125" s="15"/>
    </row>
    <row r="126" spans="1:32" hidden="1">
      <c r="A126" s="1">
        <v>7726587</v>
      </c>
      <c r="B126" s="1" t="s">
        <v>81</v>
      </c>
      <c r="C126" t="s">
        <v>240</v>
      </c>
      <c r="E126" s="2">
        <v>1069000206001</v>
      </c>
      <c r="F126" s="1" t="s">
        <v>29</v>
      </c>
      <c r="G126" s="1" t="s">
        <v>53</v>
      </c>
      <c r="H126" s="1" t="s">
        <v>353</v>
      </c>
      <c r="I126" s="1" t="s">
        <v>354</v>
      </c>
      <c r="J126" s="1" t="s">
        <v>211</v>
      </c>
      <c r="K126" t="s">
        <v>34</v>
      </c>
      <c r="M126" s="1" t="s">
        <v>35</v>
      </c>
      <c r="N126" s="1">
        <v>42318949</v>
      </c>
      <c r="O126" s="1" t="s">
        <v>36</v>
      </c>
      <c r="P126" s="11" t="s">
        <v>3404</v>
      </c>
      <c r="R126" s="1" t="s">
        <v>38</v>
      </c>
      <c r="T126" s="1" t="s">
        <v>74</v>
      </c>
      <c r="U126" s="186">
        <v>44460.548888888887</v>
      </c>
      <c r="V126" s="1" t="s">
        <v>41</v>
      </c>
      <c r="W126" s="1" t="s">
        <v>49</v>
      </c>
      <c r="X126" s="13" t="str">
        <f t="shared" si="12"/>
        <v/>
      </c>
      <c r="Y126" s="2">
        <f t="shared" ca="1" si="7"/>
        <v>378</v>
      </c>
      <c r="Z126" s="14">
        <v>1</v>
      </c>
      <c r="AA126" s="1" t="str">
        <f t="shared" ca="1" si="8"/>
        <v>VENCIDO</v>
      </c>
      <c r="AB126" s="1" t="str">
        <f t="shared" si="9"/>
        <v>Dosa</v>
      </c>
      <c r="AC126" s="2" t="str">
        <f t="shared" si="13"/>
        <v xml:space="preserve"> RINALDO </v>
      </c>
      <c r="AD126" s="2">
        <f t="shared" si="10"/>
        <v>5</v>
      </c>
      <c r="AE126" s="2">
        <f t="shared" ca="1" si="11"/>
        <v>-526.12738275463198</v>
      </c>
      <c r="AF126" s="15"/>
    </row>
    <row r="127" spans="1:32" hidden="1">
      <c r="A127" s="1">
        <v>7726586</v>
      </c>
      <c r="B127" s="1" t="s">
        <v>81</v>
      </c>
      <c r="C127" t="s">
        <v>240</v>
      </c>
      <c r="E127" s="2">
        <v>2529000206001</v>
      </c>
      <c r="F127" s="1" t="s">
        <v>29</v>
      </c>
      <c r="G127" s="1" t="s">
        <v>53</v>
      </c>
      <c r="H127" s="1" t="s">
        <v>355</v>
      </c>
      <c r="I127" s="1" t="s">
        <v>356</v>
      </c>
      <c r="J127" s="1" t="s">
        <v>56</v>
      </c>
      <c r="K127" t="s">
        <v>34</v>
      </c>
      <c r="M127" s="1" t="s">
        <v>35</v>
      </c>
      <c r="N127" s="1">
        <v>42318949</v>
      </c>
      <c r="O127" s="1" t="s">
        <v>36</v>
      </c>
      <c r="P127" s="11" t="s">
        <v>3404</v>
      </c>
      <c r="R127" s="1" t="s">
        <v>38</v>
      </c>
      <c r="T127" s="1" t="s">
        <v>74</v>
      </c>
      <c r="U127" s="186">
        <v>44460.548888888887</v>
      </c>
      <c r="V127" s="1" t="s">
        <v>41</v>
      </c>
      <c r="W127" s="1" t="s">
        <v>49</v>
      </c>
      <c r="X127" s="13" t="str">
        <f t="shared" si="12"/>
        <v/>
      </c>
      <c r="Y127" s="2">
        <f t="shared" ca="1" si="7"/>
        <v>378</v>
      </c>
      <c r="Z127" s="14">
        <v>1</v>
      </c>
      <c r="AA127" s="1" t="str">
        <f t="shared" ca="1" si="8"/>
        <v>VENCIDO</v>
      </c>
      <c r="AB127" s="1" t="str">
        <f t="shared" si="9"/>
        <v>Dosa</v>
      </c>
      <c r="AC127" s="2" t="str">
        <f t="shared" si="13"/>
        <v xml:space="preserve"> CRISTINA </v>
      </c>
      <c r="AD127" s="2">
        <f t="shared" si="10"/>
        <v>5</v>
      </c>
      <c r="AE127" s="2">
        <f t="shared" ca="1" si="11"/>
        <v>-526.12738275463198</v>
      </c>
      <c r="AF127" s="15"/>
    </row>
    <row r="128" spans="1:32" hidden="1">
      <c r="A128" s="1">
        <v>7726584</v>
      </c>
      <c r="B128" s="1" t="s">
        <v>81</v>
      </c>
      <c r="C128" t="s">
        <v>240</v>
      </c>
      <c r="E128" s="2">
        <v>1838000206001</v>
      </c>
      <c r="F128" s="1" t="s">
        <v>29</v>
      </c>
      <c r="G128" s="1" t="s">
        <v>53</v>
      </c>
      <c r="H128" s="1" t="s">
        <v>357</v>
      </c>
      <c r="I128" s="1" t="s">
        <v>358</v>
      </c>
      <c r="J128" s="1" t="s">
        <v>46</v>
      </c>
      <c r="K128" t="s">
        <v>34</v>
      </c>
      <c r="M128" s="1" t="s">
        <v>35</v>
      </c>
      <c r="N128" s="1">
        <v>42318949</v>
      </c>
      <c r="O128" s="1" t="s">
        <v>36</v>
      </c>
      <c r="P128" s="11" t="s">
        <v>363</v>
      </c>
      <c r="R128" s="1" t="s">
        <v>38</v>
      </c>
      <c r="T128" s="1" t="s">
        <v>74</v>
      </c>
      <c r="U128" s="186">
        <v>44460.548877314817</v>
      </c>
      <c r="V128" s="1" t="s">
        <v>41</v>
      </c>
      <c r="W128" s="1" t="s">
        <v>49</v>
      </c>
      <c r="X128" s="13" t="str">
        <f t="shared" si="12"/>
        <v/>
      </c>
      <c r="Y128" s="2">
        <f t="shared" ca="1" si="7"/>
        <v>378</v>
      </c>
      <c r="Z128" s="14">
        <v>1</v>
      </c>
      <c r="AA128" s="1" t="str">
        <f t="shared" ca="1" si="8"/>
        <v>VENCIDO</v>
      </c>
      <c r="AB128" s="1" t="str">
        <f t="shared" si="9"/>
        <v>Dosa</v>
      </c>
      <c r="AC128" s="2" t="str">
        <f t="shared" si="13"/>
        <v xml:space="preserve"> CLEITON </v>
      </c>
      <c r="AD128" s="2">
        <f t="shared" si="10"/>
        <v>5</v>
      </c>
      <c r="AE128" s="2">
        <f t="shared" ca="1" si="11"/>
        <v>-526.12739432870148</v>
      </c>
      <c r="AF128" s="15"/>
    </row>
    <row r="129" spans="1:32" hidden="1">
      <c r="A129" s="1">
        <v>7726583</v>
      </c>
      <c r="B129" s="1" t="s">
        <v>81</v>
      </c>
      <c r="C129" t="s">
        <v>240</v>
      </c>
      <c r="E129" s="2">
        <v>2739000206001</v>
      </c>
      <c r="F129" s="1" t="s">
        <v>29</v>
      </c>
      <c r="G129" s="1" t="s">
        <v>53</v>
      </c>
      <c r="H129" s="1" t="s">
        <v>359</v>
      </c>
      <c r="I129" s="1" t="s">
        <v>360</v>
      </c>
      <c r="J129" s="1" t="s">
        <v>85</v>
      </c>
      <c r="K129" t="s">
        <v>34</v>
      </c>
      <c r="M129" s="1" t="s">
        <v>35</v>
      </c>
      <c r="N129" s="1">
        <v>42318949</v>
      </c>
      <c r="O129" s="1" t="s">
        <v>36</v>
      </c>
      <c r="P129" s="11" t="s">
        <v>363</v>
      </c>
      <c r="R129" s="1" t="s">
        <v>38</v>
      </c>
      <c r="T129" s="1" t="s">
        <v>74</v>
      </c>
      <c r="U129" s="186">
        <v>44460.548877314817</v>
      </c>
      <c r="V129" s="1" t="s">
        <v>41</v>
      </c>
      <c r="W129" s="1" t="s">
        <v>49</v>
      </c>
      <c r="X129" s="13" t="str">
        <f t="shared" si="12"/>
        <v/>
      </c>
      <c r="Y129" s="2">
        <f t="shared" ca="1" si="7"/>
        <v>378</v>
      </c>
      <c r="Z129" s="14">
        <v>1</v>
      </c>
      <c r="AA129" s="1" t="str">
        <f t="shared" ca="1" si="8"/>
        <v>VENCIDO</v>
      </c>
      <c r="AB129" s="1" t="str">
        <f t="shared" si="9"/>
        <v>Dosa</v>
      </c>
      <c r="AC129" s="2" t="str">
        <f t="shared" si="13"/>
        <v xml:space="preserve"> RINALDO </v>
      </c>
      <c r="AD129" s="2">
        <f t="shared" si="10"/>
        <v>5</v>
      </c>
      <c r="AE129" s="2">
        <f t="shared" ca="1" si="11"/>
        <v>-526.12739432870148</v>
      </c>
      <c r="AF129" s="15"/>
    </row>
    <row r="130" spans="1:32" hidden="1">
      <c r="A130" s="1">
        <v>7726582</v>
      </c>
      <c r="B130" s="1" t="s">
        <v>81</v>
      </c>
      <c r="C130" t="s">
        <v>240</v>
      </c>
      <c r="E130" s="2">
        <v>1643000206001</v>
      </c>
      <c r="F130" s="1" t="s">
        <v>29</v>
      </c>
      <c r="G130" s="1" t="s">
        <v>53</v>
      </c>
      <c r="H130" s="1" t="s">
        <v>361</v>
      </c>
      <c r="I130" s="1" t="s">
        <v>362</v>
      </c>
      <c r="J130" s="1" t="s">
        <v>261</v>
      </c>
      <c r="K130" t="s">
        <v>34</v>
      </c>
      <c r="M130" s="1" t="s">
        <v>35</v>
      </c>
      <c r="N130" s="1">
        <v>42318949</v>
      </c>
      <c r="O130" s="1" t="s">
        <v>36</v>
      </c>
      <c r="P130" s="11" t="s">
        <v>363</v>
      </c>
      <c r="R130" s="1" t="s">
        <v>38</v>
      </c>
      <c r="T130" s="1" t="s">
        <v>74</v>
      </c>
      <c r="U130" s="186">
        <v>44460.548877314817</v>
      </c>
      <c r="V130" s="1" t="s">
        <v>41</v>
      </c>
      <c r="W130" s="1" t="s">
        <v>49</v>
      </c>
      <c r="X130" s="13" t="str">
        <f t="shared" si="12"/>
        <v/>
      </c>
      <c r="Y130" s="2">
        <f t="shared" ref="Y130:Y193" ca="1" si="14">NETWORKDAYS(P130,$Y$1)</f>
        <v>378</v>
      </c>
      <c r="Z130" s="14">
        <v>1</v>
      </c>
      <c r="AA130" s="1" t="str">
        <f t="shared" ref="AA130:AA193" ca="1" si="15">IF(AE130=0,"HOJE",IF(AE130&gt;0,"A VENCER",IF(AE130&lt;0,"VENCIDO")))</f>
        <v>VENCIDO</v>
      </c>
      <c r="AB130" s="1" t="str">
        <f t="shared" ref="AB130:AB193" si="16">IF(F130="GRPE-000001","C-14",IF(F130="GRPE-000002","C-14",IF(F130="GRPE-000003","C-14",IF(F130="GRPE-000004","SL-On",IF(F130="GRPE-000038","C-14",IF(F130="GRPE-900022","Dosa",IF(F130="GRPE-000029","Dosa",IF(F130="ATOS-000222","Dose","TAAe+"))))))))</f>
        <v>Dosa</v>
      </c>
      <c r="AC130" s="2" t="str">
        <f t="shared" si="13"/>
        <v xml:space="preserve"> CRISTINA </v>
      </c>
      <c r="AD130" s="2">
        <f t="shared" ref="AD130:AD193" si="17">IF(F130="GRPE-000001",5,IF(F130="GRPE-000002",5,IF(F130="GRPE-000003",15,IF(F130="GRPE-000004",1,IF(F130="GRPE-000038",5,IF(F130="GRPE-900022",5,IF(F130="GRPE-000029",5,IF(F130="ATOS-000222",5,8))))))))</f>
        <v>5</v>
      </c>
      <c r="AE130" s="2">
        <f t="shared" ref="AE130:AE193" ca="1" si="18">IF(U130=$AE$1,"",U130-$AE$1)</f>
        <v>-526.12739432870148</v>
      </c>
      <c r="AF130" s="15"/>
    </row>
    <row r="131" spans="1:32" hidden="1">
      <c r="A131" s="1">
        <v>7726581</v>
      </c>
      <c r="B131" s="1" t="s">
        <v>81</v>
      </c>
      <c r="C131" t="s">
        <v>240</v>
      </c>
      <c r="E131" s="2">
        <v>5898000206001</v>
      </c>
      <c r="F131" s="1" t="s">
        <v>29</v>
      </c>
      <c r="G131" s="1" t="s">
        <v>53</v>
      </c>
      <c r="H131" s="1" t="s">
        <v>365</v>
      </c>
      <c r="I131" s="1" t="s">
        <v>366</v>
      </c>
      <c r="J131" s="1" t="s">
        <v>164</v>
      </c>
      <c r="K131" t="s">
        <v>34</v>
      </c>
      <c r="M131" s="1" t="s">
        <v>35</v>
      </c>
      <c r="N131" s="1">
        <v>42318949</v>
      </c>
      <c r="O131" s="1" t="s">
        <v>36</v>
      </c>
      <c r="P131" s="11" t="s">
        <v>363</v>
      </c>
      <c r="R131" s="1" t="s">
        <v>38</v>
      </c>
      <c r="T131" s="1" t="s">
        <v>74</v>
      </c>
      <c r="U131" s="186">
        <v>44460.548877314817</v>
      </c>
      <c r="V131" s="1" t="s">
        <v>41</v>
      </c>
      <c r="W131" s="1" t="s">
        <v>49</v>
      </c>
      <c r="X131" s="13" t="str">
        <f t="shared" ref="X131:X194" si="19">IF(RIGHT(H131,2)&lt;&gt;"00",H131,"")</f>
        <v/>
      </c>
      <c r="Y131" s="2">
        <f t="shared" ca="1" si="14"/>
        <v>378</v>
      </c>
      <c r="Z131" s="14">
        <v>1</v>
      </c>
      <c r="AA131" s="1" t="str">
        <f t="shared" ca="1" si="15"/>
        <v>VENCIDO</v>
      </c>
      <c r="AB131" s="1" t="str">
        <f t="shared" si="16"/>
        <v>Dosa</v>
      </c>
      <c r="AC131" s="2" t="str">
        <f t="shared" ref="AC131:AC194" si="20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 xml:space="preserve"> ROSEMERE </v>
      </c>
      <c r="AD131" s="2">
        <f t="shared" si="17"/>
        <v>5</v>
      </c>
      <c r="AE131" s="2">
        <f t="shared" ca="1" si="18"/>
        <v>-526.12739432870148</v>
      </c>
      <c r="AF131" s="15"/>
    </row>
    <row r="132" spans="1:32" hidden="1">
      <c r="A132" s="1">
        <v>7726580</v>
      </c>
      <c r="B132" s="1" t="s">
        <v>81</v>
      </c>
      <c r="C132" t="s">
        <v>240</v>
      </c>
      <c r="E132" s="2">
        <v>834000206001</v>
      </c>
      <c r="F132" s="1" t="s">
        <v>29</v>
      </c>
      <c r="G132" s="1" t="s">
        <v>53</v>
      </c>
      <c r="H132" s="1" t="s">
        <v>367</v>
      </c>
      <c r="I132" s="1" t="s">
        <v>368</v>
      </c>
      <c r="J132" s="1" t="s">
        <v>261</v>
      </c>
      <c r="K132" t="s">
        <v>34</v>
      </c>
      <c r="M132" s="1" t="s">
        <v>35</v>
      </c>
      <c r="N132" s="1">
        <v>42318949</v>
      </c>
      <c r="O132" s="1" t="s">
        <v>36</v>
      </c>
      <c r="P132" s="11" t="s">
        <v>363</v>
      </c>
      <c r="R132" s="1" t="s">
        <v>38</v>
      </c>
      <c r="T132" s="1" t="s">
        <v>74</v>
      </c>
      <c r="U132" s="186">
        <v>44460.548877314817</v>
      </c>
      <c r="V132" s="1" t="s">
        <v>41</v>
      </c>
      <c r="W132" s="1" t="s">
        <v>49</v>
      </c>
      <c r="X132" s="13" t="str">
        <f t="shared" si="19"/>
        <v/>
      </c>
      <c r="Y132" s="2">
        <f t="shared" ca="1" si="14"/>
        <v>378</v>
      </c>
      <c r="Z132" s="14">
        <v>1</v>
      </c>
      <c r="AA132" s="1" t="str">
        <f t="shared" ca="1" si="15"/>
        <v>VENCIDO</v>
      </c>
      <c r="AB132" s="1" t="str">
        <f t="shared" si="16"/>
        <v>Dosa</v>
      </c>
      <c r="AC132" s="2" t="str">
        <f t="shared" si="20"/>
        <v xml:space="preserve"> CRISTINA </v>
      </c>
      <c r="AD132" s="2">
        <f t="shared" si="17"/>
        <v>5</v>
      </c>
      <c r="AE132" s="2">
        <f t="shared" ca="1" si="18"/>
        <v>-526.12739432870148</v>
      </c>
      <c r="AF132" s="15"/>
    </row>
    <row r="133" spans="1:32" hidden="1">
      <c r="A133" s="1">
        <v>7726579</v>
      </c>
      <c r="B133" s="1" t="s">
        <v>81</v>
      </c>
      <c r="C133" t="s">
        <v>240</v>
      </c>
      <c r="E133" s="2">
        <v>1833000206001</v>
      </c>
      <c r="F133" s="1" t="s">
        <v>29</v>
      </c>
      <c r="G133" s="1" t="s">
        <v>53</v>
      </c>
      <c r="H133" s="1" t="s">
        <v>369</v>
      </c>
      <c r="I133" s="1" t="s">
        <v>370</v>
      </c>
      <c r="J133" s="1" t="s">
        <v>46</v>
      </c>
      <c r="K133" t="s">
        <v>34</v>
      </c>
      <c r="M133" s="1" t="s">
        <v>35</v>
      </c>
      <c r="N133" s="1">
        <v>42318949</v>
      </c>
      <c r="O133" s="1" t="s">
        <v>36</v>
      </c>
      <c r="P133" s="11" t="s">
        <v>373</v>
      </c>
      <c r="R133" s="1" t="s">
        <v>38</v>
      </c>
      <c r="T133" s="1" t="s">
        <v>74</v>
      </c>
      <c r="U133" s="186">
        <v>44460.54886574074</v>
      </c>
      <c r="V133" s="1" t="s">
        <v>41</v>
      </c>
      <c r="W133" s="1" t="s">
        <v>49</v>
      </c>
      <c r="X133" s="13" t="str">
        <f t="shared" si="19"/>
        <v/>
      </c>
      <c r="Y133" s="2">
        <f t="shared" ca="1" si="14"/>
        <v>378</v>
      </c>
      <c r="Z133" s="14">
        <v>1</v>
      </c>
      <c r="AA133" s="1" t="str">
        <f t="shared" ca="1" si="15"/>
        <v>VENCIDO</v>
      </c>
      <c r="AB133" s="1" t="str">
        <f t="shared" si="16"/>
        <v>Dosa</v>
      </c>
      <c r="AC133" s="2" t="str">
        <f t="shared" si="20"/>
        <v xml:space="preserve"> CLEITON </v>
      </c>
      <c r="AD133" s="2">
        <f t="shared" si="17"/>
        <v>5</v>
      </c>
      <c r="AE133" s="2">
        <f t="shared" ca="1" si="18"/>
        <v>-526.12740590277826</v>
      </c>
      <c r="AF133" s="15"/>
    </row>
    <row r="134" spans="1:32" hidden="1">
      <c r="A134" s="1">
        <v>7726578</v>
      </c>
      <c r="B134" s="1" t="s">
        <v>81</v>
      </c>
      <c r="C134" t="s">
        <v>240</v>
      </c>
      <c r="E134" s="2">
        <v>3250000206001</v>
      </c>
      <c r="F134" s="1" t="s">
        <v>29</v>
      </c>
      <c r="G134" s="1" t="s">
        <v>53</v>
      </c>
      <c r="H134" s="1" t="s">
        <v>371</v>
      </c>
      <c r="I134" s="1" t="s">
        <v>372</v>
      </c>
      <c r="J134" s="1" t="s">
        <v>46</v>
      </c>
      <c r="K134" t="s">
        <v>34</v>
      </c>
      <c r="M134" s="1" t="s">
        <v>35</v>
      </c>
      <c r="N134" s="1">
        <v>42318949</v>
      </c>
      <c r="O134" s="1" t="s">
        <v>36</v>
      </c>
      <c r="P134" s="11" t="s">
        <v>373</v>
      </c>
      <c r="R134" s="1" t="s">
        <v>38</v>
      </c>
      <c r="T134" s="1" t="s">
        <v>74</v>
      </c>
      <c r="U134" s="186">
        <v>44460.54886574074</v>
      </c>
      <c r="V134" s="1" t="s">
        <v>41</v>
      </c>
      <c r="W134" s="1" t="s">
        <v>49</v>
      </c>
      <c r="X134" s="13" t="str">
        <f t="shared" si="19"/>
        <v/>
      </c>
      <c r="Y134" s="2">
        <f t="shared" ca="1" si="14"/>
        <v>378</v>
      </c>
      <c r="Z134" s="14">
        <v>1</v>
      </c>
      <c r="AA134" s="1" t="str">
        <f t="shared" ca="1" si="15"/>
        <v>VENCIDO</v>
      </c>
      <c r="AB134" s="1" t="str">
        <f t="shared" si="16"/>
        <v>Dosa</v>
      </c>
      <c r="AC134" s="2" t="str">
        <f t="shared" si="20"/>
        <v xml:space="preserve"> CLEITON </v>
      </c>
      <c r="AD134" s="2">
        <f t="shared" si="17"/>
        <v>5</v>
      </c>
      <c r="AE134" s="2">
        <f t="shared" ca="1" si="18"/>
        <v>-526.12740590277826</v>
      </c>
      <c r="AF134" s="15"/>
    </row>
    <row r="135" spans="1:32" hidden="1">
      <c r="A135" s="1">
        <v>7726576</v>
      </c>
      <c r="B135" s="1" t="s">
        <v>81</v>
      </c>
      <c r="C135" t="s">
        <v>240</v>
      </c>
      <c r="E135" s="2">
        <v>1059000206001</v>
      </c>
      <c r="F135" s="1" t="s">
        <v>29</v>
      </c>
      <c r="G135" s="1" t="s">
        <v>53</v>
      </c>
      <c r="H135" s="1" t="s">
        <v>88</v>
      </c>
      <c r="I135" s="1" t="s">
        <v>89</v>
      </c>
      <c r="J135" s="1" t="s">
        <v>90</v>
      </c>
      <c r="K135" t="s">
        <v>34</v>
      </c>
      <c r="M135" s="1" t="s">
        <v>35</v>
      </c>
      <c r="N135" s="1">
        <v>42318949</v>
      </c>
      <c r="O135" s="1" t="s">
        <v>36</v>
      </c>
      <c r="P135" s="11" t="s">
        <v>373</v>
      </c>
      <c r="R135" s="1" t="s">
        <v>38</v>
      </c>
      <c r="T135" s="1" t="s">
        <v>74</v>
      </c>
      <c r="U135" s="186">
        <v>44460.54886574074</v>
      </c>
      <c r="V135" s="1" t="s">
        <v>41</v>
      </c>
      <c r="W135" s="1" t="s">
        <v>49</v>
      </c>
      <c r="X135" s="13" t="str">
        <f t="shared" si="19"/>
        <v/>
      </c>
      <c r="Y135" s="2">
        <f t="shared" ca="1" si="14"/>
        <v>378</v>
      </c>
      <c r="Z135" s="14">
        <v>1</v>
      </c>
      <c r="AA135" s="1" t="str">
        <f t="shared" ca="1" si="15"/>
        <v>VENCIDO</v>
      </c>
      <c r="AB135" s="1" t="str">
        <f t="shared" si="16"/>
        <v>Dosa</v>
      </c>
      <c r="AC135" s="2" t="str">
        <f t="shared" si="20"/>
        <v xml:space="preserve"> RINALDO </v>
      </c>
      <c r="AD135" s="2">
        <f t="shared" si="17"/>
        <v>5</v>
      </c>
      <c r="AE135" s="2">
        <f t="shared" ca="1" si="18"/>
        <v>-526.12740590277826</v>
      </c>
      <c r="AF135" s="15"/>
    </row>
    <row r="136" spans="1:32" hidden="1">
      <c r="A136" s="1">
        <v>7726575</v>
      </c>
      <c r="B136" s="1" t="s">
        <v>81</v>
      </c>
      <c r="C136" t="s">
        <v>240</v>
      </c>
      <c r="E136" s="2">
        <v>1761000206001</v>
      </c>
      <c r="F136" s="1" t="s">
        <v>29</v>
      </c>
      <c r="G136" s="1" t="s">
        <v>53</v>
      </c>
      <c r="H136" s="1" t="s">
        <v>375</v>
      </c>
      <c r="I136" s="1" t="s">
        <v>376</v>
      </c>
      <c r="J136" s="1" t="s">
        <v>56</v>
      </c>
      <c r="K136" t="s">
        <v>34</v>
      </c>
      <c r="M136" s="1" t="s">
        <v>35</v>
      </c>
      <c r="N136" s="1">
        <v>42318949</v>
      </c>
      <c r="O136" s="1" t="s">
        <v>36</v>
      </c>
      <c r="P136" s="11" t="s">
        <v>373</v>
      </c>
      <c r="R136" s="1" t="s">
        <v>38</v>
      </c>
      <c r="T136" s="1" t="s">
        <v>74</v>
      </c>
      <c r="U136" s="11" t="s">
        <v>374</v>
      </c>
      <c r="V136" s="1" t="s">
        <v>41</v>
      </c>
      <c r="W136" s="1" t="s">
        <v>49</v>
      </c>
      <c r="X136" s="13" t="str">
        <f t="shared" si="19"/>
        <v/>
      </c>
      <c r="Y136" s="2">
        <f t="shared" ca="1" si="14"/>
        <v>378</v>
      </c>
      <c r="Z136" s="14">
        <v>1</v>
      </c>
      <c r="AA136" s="1" t="str">
        <f t="shared" ca="1" si="15"/>
        <v>VENCIDO</v>
      </c>
      <c r="AB136" s="1" t="str">
        <f t="shared" si="16"/>
        <v>Dosa</v>
      </c>
      <c r="AC136" s="2" t="str">
        <f t="shared" si="20"/>
        <v xml:space="preserve"> CRISTINA </v>
      </c>
      <c r="AD136" s="2">
        <f t="shared" si="17"/>
        <v>5</v>
      </c>
      <c r="AE136" s="2">
        <f t="shared" ca="1" si="18"/>
        <v>-526.12740590277826</v>
      </c>
      <c r="AF136" s="15"/>
    </row>
    <row r="137" spans="1:32" hidden="1">
      <c r="A137" s="1">
        <v>7726574</v>
      </c>
      <c r="B137" s="1" t="s">
        <v>81</v>
      </c>
      <c r="C137" t="s">
        <v>240</v>
      </c>
      <c r="E137" s="2">
        <v>714000206001</v>
      </c>
      <c r="F137" s="1" t="s">
        <v>29</v>
      </c>
      <c r="G137" s="1" t="s">
        <v>53</v>
      </c>
      <c r="H137" s="1" t="s">
        <v>377</v>
      </c>
      <c r="I137" s="1" t="s">
        <v>378</v>
      </c>
      <c r="J137" s="1" t="s">
        <v>46</v>
      </c>
      <c r="K137" t="s">
        <v>34</v>
      </c>
      <c r="M137" s="1" t="s">
        <v>35</v>
      </c>
      <c r="N137" s="1">
        <v>42318949</v>
      </c>
      <c r="O137" s="1" t="s">
        <v>36</v>
      </c>
      <c r="P137" s="11" t="s">
        <v>373</v>
      </c>
      <c r="R137" s="1" t="s">
        <v>38</v>
      </c>
      <c r="T137" s="1" t="s">
        <v>74</v>
      </c>
      <c r="U137" s="11" t="s">
        <v>374</v>
      </c>
      <c r="V137" s="1" t="s">
        <v>41</v>
      </c>
      <c r="W137" s="1" t="s">
        <v>49</v>
      </c>
      <c r="X137" s="13" t="str">
        <f t="shared" si="19"/>
        <v/>
      </c>
      <c r="Y137" s="2">
        <f t="shared" ca="1" si="14"/>
        <v>378</v>
      </c>
      <c r="Z137" s="14">
        <v>1</v>
      </c>
      <c r="AA137" s="1" t="str">
        <f t="shared" ca="1" si="15"/>
        <v>VENCIDO</v>
      </c>
      <c r="AB137" s="1" t="str">
        <f t="shared" si="16"/>
        <v>Dosa</v>
      </c>
      <c r="AC137" s="2" t="str">
        <f t="shared" si="20"/>
        <v xml:space="preserve"> CLEITON </v>
      </c>
      <c r="AD137" s="2">
        <f t="shared" si="17"/>
        <v>5</v>
      </c>
      <c r="AE137" s="2">
        <f t="shared" ca="1" si="18"/>
        <v>-526.12740590277826</v>
      </c>
      <c r="AF137" s="15"/>
    </row>
    <row r="138" spans="1:32" hidden="1">
      <c r="A138" s="1">
        <v>7726573</v>
      </c>
      <c r="B138" s="1" t="s">
        <v>81</v>
      </c>
      <c r="C138" t="s">
        <v>240</v>
      </c>
      <c r="E138" s="2">
        <v>2138000206001</v>
      </c>
      <c r="F138" s="1" t="s">
        <v>29</v>
      </c>
      <c r="G138" s="1" t="s">
        <v>53</v>
      </c>
      <c r="H138" s="1" t="s">
        <v>379</v>
      </c>
      <c r="I138" s="1" t="s">
        <v>380</v>
      </c>
      <c r="J138" s="1" t="s">
        <v>46</v>
      </c>
      <c r="K138" t="s">
        <v>34</v>
      </c>
      <c r="M138" s="1" t="s">
        <v>35</v>
      </c>
      <c r="N138" s="1">
        <v>42318949</v>
      </c>
      <c r="O138" s="1" t="s">
        <v>36</v>
      </c>
      <c r="P138" s="11" t="s">
        <v>373</v>
      </c>
      <c r="R138" s="1" t="s">
        <v>38</v>
      </c>
      <c r="T138" s="1" t="s">
        <v>74</v>
      </c>
      <c r="U138" s="11" t="s">
        <v>374</v>
      </c>
      <c r="V138" s="1" t="s">
        <v>41</v>
      </c>
      <c r="W138" s="1" t="s">
        <v>49</v>
      </c>
      <c r="X138" s="13" t="str">
        <f t="shared" si="19"/>
        <v/>
      </c>
      <c r="Y138" s="2">
        <f t="shared" ca="1" si="14"/>
        <v>378</v>
      </c>
      <c r="Z138" s="14">
        <v>1</v>
      </c>
      <c r="AA138" s="1" t="str">
        <f t="shared" ca="1" si="15"/>
        <v>VENCIDO</v>
      </c>
      <c r="AB138" s="1" t="str">
        <f t="shared" si="16"/>
        <v>Dosa</v>
      </c>
      <c r="AC138" s="2" t="str">
        <f t="shared" si="20"/>
        <v xml:space="preserve"> CLEITON </v>
      </c>
      <c r="AD138" s="2">
        <f t="shared" si="17"/>
        <v>5</v>
      </c>
      <c r="AE138" s="2">
        <f t="shared" ca="1" si="18"/>
        <v>-526.12740590277826</v>
      </c>
      <c r="AF138" s="15"/>
    </row>
    <row r="139" spans="1:32" hidden="1">
      <c r="A139" s="1">
        <v>7726572</v>
      </c>
      <c r="B139" s="1" t="s">
        <v>81</v>
      </c>
      <c r="C139" t="s">
        <v>240</v>
      </c>
      <c r="E139" s="2">
        <v>2257000206001</v>
      </c>
      <c r="F139" s="1" t="s">
        <v>29</v>
      </c>
      <c r="G139" s="1" t="s">
        <v>53</v>
      </c>
      <c r="H139" s="1" t="s">
        <v>381</v>
      </c>
      <c r="I139" s="1" t="s">
        <v>382</v>
      </c>
      <c r="J139" s="1" t="s">
        <v>110</v>
      </c>
      <c r="K139" t="s">
        <v>34</v>
      </c>
      <c r="M139" s="1" t="s">
        <v>35</v>
      </c>
      <c r="N139" s="1">
        <v>42318949</v>
      </c>
      <c r="O139" s="1" t="s">
        <v>36</v>
      </c>
      <c r="P139" s="11" t="s">
        <v>373</v>
      </c>
      <c r="R139" s="1" t="s">
        <v>38</v>
      </c>
      <c r="T139" s="1" t="s">
        <v>74</v>
      </c>
      <c r="U139" s="11" t="s">
        <v>374</v>
      </c>
      <c r="V139" s="1" t="s">
        <v>41</v>
      </c>
      <c r="W139" s="1" t="s">
        <v>49</v>
      </c>
      <c r="X139" s="13" t="str">
        <f t="shared" si="19"/>
        <v/>
      </c>
      <c r="Y139" s="2">
        <f t="shared" ca="1" si="14"/>
        <v>378</v>
      </c>
      <c r="Z139" s="14">
        <v>1</v>
      </c>
      <c r="AA139" s="1" t="str">
        <f t="shared" ca="1" si="15"/>
        <v>VENCIDO</v>
      </c>
      <c r="AB139" s="1" t="str">
        <f t="shared" si="16"/>
        <v>Dosa</v>
      </c>
      <c r="AC139" s="2" t="str">
        <f t="shared" si="20"/>
        <v xml:space="preserve"> CRISTINA </v>
      </c>
      <c r="AD139" s="2">
        <f t="shared" si="17"/>
        <v>5</v>
      </c>
      <c r="AE139" s="2">
        <f t="shared" ca="1" si="18"/>
        <v>-526.12740590277826</v>
      </c>
      <c r="AF139" s="15"/>
    </row>
    <row r="140" spans="1:32" hidden="1">
      <c r="A140" s="1">
        <v>7726571</v>
      </c>
      <c r="B140" s="1" t="s">
        <v>81</v>
      </c>
      <c r="C140" t="s">
        <v>240</v>
      </c>
      <c r="E140" s="2">
        <v>7000206001</v>
      </c>
      <c r="F140" s="1" t="s">
        <v>29</v>
      </c>
      <c r="G140" s="1" t="s">
        <v>53</v>
      </c>
      <c r="H140" s="1" t="s">
        <v>383</v>
      </c>
      <c r="I140" s="1" t="s">
        <v>384</v>
      </c>
      <c r="J140" s="1" t="s">
        <v>46</v>
      </c>
      <c r="K140" t="s">
        <v>34</v>
      </c>
      <c r="M140" s="1" t="s">
        <v>35</v>
      </c>
      <c r="N140" s="1">
        <v>42318949</v>
      </c>
      <c r="O140" s="1" t="s">
        <v>36</v>
      </c>
      <c r="P140" s="11" t="s">
        <v>385</v>
      </c>
      <c r="R140" s="1" t="s">
        <v>38</v>
      </c>
      <c r="T140" s="1" t="s">
        <v>74</v>
      </c>
      <c r="U140" s="11" t="s">
        <v>3405</v>
      </c>
      <c r="V140" s="1" t="s">
        <v>41</v>
      </c>
      <c r="W140" s="1" t="s">
        <v>49</v>
      </c>
      <c r="X140" s="13" t="str">
        <f t="shared" si="19"/>
        <v/>
      </c>
      <c r="Y140" s="2">
        <f t="shared" ca="1" si="14"/>
        <v>378</v>
      </c>
      <c r="Z140" s="14">
        <v>1</v>
      </c>
      <c r="AA140" s="1" t="str">
        <f t="shared" ca="1" si="15"/>
        <v>VENCIDO</v>
      </c>
      <c r="AB140" s="1" t="str">
        <f t="shared" si="16"/>
        <v>Dosa</v>
      </c>
      <c r="AC140" s="2" t="str">
        <f t="shared" si="20"/>
        <v xml:space="preserve"> CLEITON </v>
      </c>
      <c r="AD140" s="2">
        <f t="shared" si="17"/>
        <v>5</v>
      </c>
      <c r="AE140" s="2">
        <f t="shared" ca="1" si="18"/>
        <v>-526.12741747685504</v>
      </c>
      <c r="AF140" s="15"/>
    </row>
    <row r="141" spans="1:32" hidden="1">
      <c r="A141" s="1">
        <v>7726569</v>
      </c>
      <c r="B141" s="1" t="s">
        <v>81</v>
      </c>
      <c r="C141" t="s">
        <v>240</v>
      </c>
      <c r="E141" s="2">
        <v>4274000206001</v>
      </c>
      <c r="F141" s="1" t="s">
        <v>29</v>
      </c>
      <c r="G141" s="1" t="s">
        <v>53</v>
      </c>
      <c r="H141" s="1" t="s">
        <v>386</v>
      </c>
      <c r="I141" s="1" t="s">
        <v>387</v>
      </c>
      <c r="J141" s="1" t="s">
        <v>46</v>
      </c>
      <c r="K141" t="s">
        <v>34</v>
      </c>
      <c r="M141" s="1" t="s">
        <v>35</v>
      </c>
      <c r="N141" s="1">
        <v>42318949</v>
      </c>
      <c r="O141" s="1" t="s">
        <v>36</v>
      </c>
      <c r="P141" s="11" t="s">
        <v>385</v>
      </c>
      <c r="R141" s="1" t="s">
        <v>38</v>
      </c>
      <c r="T141" s="1" t="s">
        <v>74</v>
      </c>
      <c r="U141" s="11" t="s">
        <v>3405</v>
      </c>
      <c r="V141" s="1" t="s">
        <v>41</v>
      </c>
      <c r="W141" s="1" t="s">
        <v>49</v>
      </c>
      <c r="X141" s="13" t="str">
        <f t="shared" si="19"/>
        <v/>
      </c>
      <c r="Y141" s="2">
        <f t="shared" ca="1" si="14"/>
        <v>378</v>
      </c>
      <c r="Z141" s="14">
        <v>1</v>
      </c>
      <c r="AA141" s="1" t="str">
        <f t="shared" ca="1" si="15"/>
        <v>VENCIDO</v>
      </c>
      <c r="AB141" s="1" t="str">
        <f t="shared" si="16"/>
        <v>Dosa</v>
      </c>
      <c r="AC141" s="2" t="str">
        <f t="shared" si="20"/>
        <v xml:space="preserve"> CLEITON </v>
      </c>
      <c r="AD141" s="2">
        <f t="shared" si="17"/>
        <v>5</v>
      </c>
      <c r="AE141" s="2">
        <f t="shared" ca="1" si="18"/>
        <v>-526.12741747685504</v>
      </c>
      <c r="AF141" s="15"/>
    </row>
    <row r="142" spans="1:32" hidden="1">
      <c r="A142" s="1">
        <v>7726567</v>
      </c>
      <c r="B142" s="1" t="s">
        <v>81</v>
      </c>
      <c r="C142" t="s">
        <v>240</v>
      </c>
      <c r="E142" s="2">
        <v>2802000206001</v>
      </c>
      <c r="F142" s="1" t="s">
        <v>29</v>
      </c>
      <c r="G142" s="1" t="s">
        <v>53</v>
      </c>
      <c r="H142" s="1" t="s">
        <v>388</v>
      </c>
      <c r="I142" s="1" t="s">
        <v>389</v>
      </c>
      <c r="J142" s="1" t="s">
        <v>46</v>
      </c>
      <c r="K142" t="s">
        <v>34</v>
      </c>
      <c r="M142" s="1" t="s">
        <v>35</v>
      </c>
      <c r="N142" s="1">
        <v>42318949</v>
      </c>
      <c r="O142" s="1" t="s">
        <v>36</v>
      </c>
      <c r="P142" s="11" t="s">
        <v>385</v>
      </c>
      <c r="R142" s="1" t="s">
        <v>38</v>
      </c>
      <c r="T142" s="1" t="s">
        <v>74</v>
      </c>
      <c r="U142" s="11" t="s">
        <v>3405</v>
      </c>
      <c r="V142" s="1" t="s">
        <v>41</v>
      </c>
      <c r="W142" s="1" t="s">
        <v>49</v>
      </c>
      <c r="X142" s="13" t="str">
        <f t="shared" si="19"/>
        <v/>
      </c>
      <c r="Y142" s="2">
        <f t="shared" ca="1" si="14"/>
        <v>378</v>
      </c>
      <c r="Z142" s="14">
        <v>1</v>
      </c>
      <c r="AA142" s="1" t="str">
        <f t="shared" ca="1" si="15"/>
        <v>VENCIDO</v>
      </c>
      <c r="AB142" s="1" t="str">
        <f t="shared" si="16"/>
        <v>Dosa</v>
      </c>
      <c r="AC142" s="2" t="str">
        <f t="shared" si="20"/>
        <v xml:space="preserve"> CLEITON </v>
      </c>
      <c r="AD142" s="2">
        <f t="shared" si="17"/>
        <v>5</v>
      </c>
      <c r="AE142" s="2">
        <f t="shared" ca="1" si="18"/>
        <v>-526.12741747685504</v>
      </c>
      <c r="AF142" s="15"/>
    </row>
    <row r="143" spans="1:32" hidden="1">
      <c r="A143" s="1">
        <v>7726563</v>
      </c>
      <c r="B143" s="1" t="s">
        <v>81</v>
      </c>
      <c r="C143" t="s">
        <v>240</v>
      </c>
      <c r="E143" s="2">
        <v>710000206001</v>
      </c>
      <c r="F143" s="1" t="s">
        <v>29</v>
      </c>
      <c r="G143" s="1" t="s">
        <v>53</v>
      </c>
      <c r="H143" s="1" t="s">
        <v>390</v>
      </c>
      <c r="I143" s="1" t="s">
        <v>391</v>
      </c>
      <c r="J143" s="1" t="s">
        <v>56</v>
      </c>
      <c r="K143" t="s">
        <v>34</v>
      </c>
      <c r="M143" s="1" t="s">
        <v>35</v>
      </c>
      <c r="N143" s="1">
        <v>42318949</v>
      </c>
      <c r="O143" s="1" t="s">
        <v>36</v>
      </c>
      <c r="P143" s="11" t="s">
        <v>392</v>
      </c>
      <c r="R143" s="1" t="s">
        <v>38</v>
      </c>
      <c r="T143" s="1" t="s">
        <v>74</v>
      </c>
      <c r="U143" s="186">
        <v>44460.548842592594</v>
      </c>
      <c r="V143" s="1" t="s">
        <v>41</v>
      </c>
      <c r="W143" s="1" t="s">
        <v>49</v>
      </c>
      <c r="X143" s="13" t="str">
        <f t="shared" si="19"/>
        <v/>
      </c>
      <c r="Y143" s="2">
        <f t="shared" ca="1" si="14"/>
        <v>378</v>
      </c>
      <c r="Z143" s="14">
        <v>1</v>
      </c>
      <c r="AA143" s="1" t="str">
        <f t="shared" ca="1" si="15"/>
        <v>VENCIDO</v>
      </c>
      <c r="AB143" s="1" t="str">
        <f t="shared" si="16"/>
        <v>Dosa</v>
      </c>
      <c r="AC143" s="2" t="str">
        <f t="shared" si="20"/>
        <v xml:space="preserve"> CRISTINA </v>
      </c>
      <c r="AD143" s="2">
        <f t="shared" si="17"/>
        <v>5</v>
      </c>
      <c r="AE143" s="2">
        <f t="shared" ca="1" si="18"/>
        <v>-526.12742905092455</v>
      </c>
      <c r="AF143" s="15"/>
    </row>
    <row r="144" spans="1:32" hidden="1">
      <c r="A144" s="1">
        <v>7726562</v>
      </c>
      <c r="B144" s="1" t="s">
        <v>81</v>
      </c>
      <c r="C144" t="s">
        <v>240</v>
      </c>
      <c r="E144" s="2">
        <v>2590000206001</v>
      </c>
      <c r="F144" s="1" t="s">
        <v>29</v>
      </c>
      <c r="G144" s="1" t="s">
        <v>53</v>
      </c>
      <c r="H144" s="1" t="s">
        <v>394</v>
      </c>
      <c r="I144" s="1" t="s">
        <v>395</v>
      </c>
      <c r="J144" s="1" t="s">
        <v>148</v>
      </c>
      <c r="K144" t="s">
        <v>34</v>
      </c>
      <c r="M144" s="1" t="s">
        <v>35</v>
      </c>
      <c r="N144" s="1">
        <v>42318949</v>
      </c>
      <c r="O144" s="1" t="s">
        <v>36</v>
      </c>
      <c r="P144" s="11" t="s">
        <v>392</v>
      </c>
      <c r="R144" s="1" t="s">
        <v>38</v>
      </c>
      <c r="T144" s="1" t="s">
        <v>74</v>
      </c>
      <c r="U144" s="186">
        <v>44460.548842592594</v>
      </c>
      <c r="V144" s="1" t="s">
        <v>41</v>
      </c>
      <c r="W144" s="1" t="s">
        <v>49</v>
      </c>
      <c r="X144" s="13" t="str">
        <f t="shared" si="19"/>
        <v/>
      </c>
      <c r="Y144" s="2">
        <f t="shared" ca="1" si="14"/>
        <v>378</v>
      </c>
      <c r="Z144" s="14">
        <v>1</v>
      </c>
      <c r="AA144" s="1" t="str">
        <f t="shared" ca="1" si="15"/>
        <v>VENCIDO</v>
      </c>
      <c r="AB144" s="1" t="str">
        <f t="shared" si="16"/>
        <v>Dosa</v>
      </c>
      <c r="AC144" s="2" t="str">
        <f t="shared" si="20"/>
        <v xml:space="preserve"> RINALDO </v>
      </c>
      <c r="AD144" s="2">
        <f t="shared" si="17"/>
        <v>5</v>
      </c>
      <c r="AE144" s="2">
        <f t="shared" ca="1" si="18"/>
        <v>-526.12742905092455</v>
      </c>
      <c r="AF144" s="15"/>
    </row>
    <row r="145" spans="1:32" hidden="1">
      <c r="A145" s="1">
        <v>7726561</v>
      </c>
      <c r="B145" s="1" t="s">
        <v>81</v>
      </c>
      <c r="C145" t="s">
        <v>240</v>
      </c>
      <c r="E145" s="2">
        <v>1814000206001</v>
      </c>
      <c r="F145" s="1" t="s">
        <v>29</v>
      </c>
      <c r="G145" s="1" t="s">
        <v>53</v>
      </c>
      <c r="H145" s="1" t="s">
        <v>396</v>
      </c>
      <c r="I145" s="1" t="s">
        <v>397</v>
      </c>
      <c r="J145" s="1" t="s">
        <v>46</v>
      </c>
      <c r="K145" t="s">
        <v>34</v>
      </c>
      <c r="M145" s="1" t="s">
        <v>35</v>
      </c>
      <c r="N145" s="1">
        <v>42318949</v>
      </c>
      <c r="O145" s="1" t="s">
        <v>36</v>
      </c>
      <c r="P145" s="11" t="s">
        <v>392</v>
      </c>
      <c r="R145" s="1" t="s">
        <v>38</v>
      </c>
      <c r="T145" s="1" t="s">
        <v>74</v>
      </c>
      <c r="U145" s="186">
        <v>44460.548842592594</v>
      </c>
      <c r="V145" s="1" t="s">
        <v>41</v>
      </c>
      <c r="W145" s="1" t="s">
        <v>49</v>
      </c>
      <c r="X145" s="13" t="str">
        <f t="shared" si="19"/>
        <v/>
      </c>
      <c r="Y145" s="2">
        <f t="shared" ca="1" si="14"/>
        <v>378</v>
      </c>
      <c r="Z145" s="14">
        <v>1</v>
      </c>
      <c r="AA145" s="1" t="str">
        <f t="shared" ca="1" si="15"/>
        <v>VENCIDO</v>
      </c>
      <c r="AB145" s="1" t="str">
        <f t="shared" si="16"/>
        <v>Dosa</v>
      </c>
      <c r="AC145" s="2" t="str">
        <f t="shared" si="20"/>
        <v xml:space="preserve"> CLEITON </v>
      </c>
      <c r="AD145" s="2">
        <f t="shared" si="17"/>
        <v>5</v>
      </c>
      <c r="AE145" s="2">
        <f t="shared" ca="1" si="18"/>
        <v>-526.12742905092455</v>
      </c>
      <c r="AF145" s="15"/>
    </row>
    <row r="146" spans="1:32" hidden="1">
      <c r="A146" s="1">
        <v>7726556</v>
      </c>
      <c r="B146" s="1" t="s">
        <v>81</v>
      </c>
      <c r="C146" t="s">
        <v>240</v>
      </c>
      <c r="E146" s="2">
        <v>3503000206001</v>
      </c>
      <c r="F146" s="1" t="s">
        <v>29</v>
      </c>
      <c r="G146" s="1" t="s">
        <v>53</v>
      </c>
      <c r="H146" s="1" t="s">
        <v>398</v>
      </c>
      <c r="I146" s="1" t="s">
        <v>399</v>
      </c>
      <c r="J146" s="1" t="s">
        <v>46</v>
      </c>
      <c r="K146" t="s">
        <v>34</v>
      </c>
      <c r="M146" s="1" t="s">
        <v>35</v>
      </c>
      <c r="N146" s="1">
        <v>42318949</v>
      </c>
      <c r="O146" s="1" t="s">
        <v>36</v>
      </c>
      <c r="P146" s="11" t="s">
        <v>400</v>
      </c>
      <c r="R146" s="1" t="s">
        <v>38</v>
      </c>
      <c r="T146" s="1" t="s">
        <v>74</v>
      </c>
      <c r="U146" s="186">
        <v>44460.548831018517</v>
      </c>
      <c r="V146" s="1" t="s">
        <v>41</v>
      </c>
      <c r="W146" s="1" t="s">
        <v>49</v>
      </c>
      <c r="X146" s="13" t="str">
        <f t="shared" si="19"/>
        <v/>
      </c>
      <c r="Y146" s="2">
        <f t="shared" ca="1" si="14"/>
        <v>378</v>
      </c>
      <c r="Z146" s="14">
        <v>1</v>
      </c>
      <c r="AA146" s="1" t="str">
        <f t="shared" ca="1" si="15"/>
        <v>VENCIDO</v>
      </c>
      <c r="AB146" s="1" t="str">
        <f t="shared" si="16"/>
        <v>Dosa</v>
      </c>
      <c r="AC146" s="2" t="str">
        <f t="shared" si="20"/>
        <v xml:space="preserve"> CLEITON </v>
      </c>
      <c r="AD146" s="2">
        <f t="shared" si="17"/>
        <v>5</v>
      </c>
      <c r="AE146" s="2">
        <f t="shared" ca="1" si="18"/>
        <v>-526.12744062500133</v>
      </c>
      <c r="AF146" s="15"/>
    </row>
    <row r="147" spans="1:32" hidden="1">
      <c r="A147" s="1">
        <v>7726555</v>
      </c>
      <c r="B147" s="1" t="s">
        <v>81</v>
      </c>
      <c r="C147" t="s">
        <v>240</v>
      </c>
      <c r="E147" s="2">
        <v>1620000206001</v>
      </c>
      <c r="F147" s="1" t="s">
        <v>29</v>
      </c>
      <c r="G147" s="1" t="s">
        <v>53</v>
      </c>
      <c r="H147" s="1" t="s">
        <v>402</v>
      </c>
      <c r="I147" s="1" t="s">
        <v>403</v>
      </c>
      <c r="J147" s="1" t="s">
        <v>46</v>
      </c>
      <c r="K147" t="s">
        <v>34</v>
      </c>
      <c r="M147" s="1" t="s">
        <v>35</v>
      </c>
      <c r="N147" s="1">
        <v>42318949</v>
      </c>
      <c r="O147" s="1" t="s">
        <v>36</v>
      </c>
      <c r="P147" s="11" t="s">
        <v>400</v>
      </c>
      <c r="R147" s="1" t="s">
        <v>38</v>
      </c>
      <c r="T147" s="1" t="s">
        <v>74</v>
      </c>
      <c r="U147" s="11" t="s">
        <v>401</v>
      </c>
      <c r="V147" s="1" t="s">
        <v>41</v>
      </c>
      <c r="W147" s="1" t="s">
        <v>49</v>
      </c>
      <c r="X147" s="13" t="str">
        <f t="shared" si="19"/>
        <v/>
      </c>
      <c r="Y147" s="2">
        <f t="shared" ca="1" si="14"/>
        <v>378</v>
      </c>
      <c r="Z147" s="14">
        <v>1</v>
      </c>
      <c r="AA147" s="1" t="str">
        <f t="shared" ca="1" si="15"/>
        <v>VENCIDO</v>
      </c>
      <c r="AB147" s="1" t="str">
        <f t="shared" si="16"/>
        <v>Dosa</v>
      </c>
      <c r="AC147" s="2" t="str">
        <f t="shared" si="20"/>
        <v xml:space="preserve"> CLEITON </v>
      </c>
      <c r="AD147" s="2">
        <f t="shared" si="17"/>
        <v>5</v>
      </c>
      <c r="AE147" s="2">
        <f t="shared" ca="1" si="18"/>
        <v>-526.12744062500133</v>
      </c>
      <c r="AF147" s="15"/>
    </row>
    <row r="148" spans="1:32" hidden="1">
      <c r="A148" s="1">
        <v>7726553</v>
      </c>
      <c r="B148" s="1" t="s">
        <v>81</v>
      </c>
      <c r="C148" t="s">
        <v>240</v>
      </c>
      <c r="E148" s="2">
        <v>67000206001</v>
      </c>
      <c r="F148" s="1" t="s">
        <v>29</v>
      </c>
      <c r="G148" s="1" t="s">
        <v>53</v>
      </c>
      <c r="H148" s="1" t="s">
        <v>404</v>
      </c>
      <c r="I148" s="1" t="s">
        <v>405</v>
      </c>
      <c r="J148" s="1" t="s">
        <v>164</v>
      </c>
      <c r="K148" t="s">
        <v>34</v>
      </c>
      <c r="M148" s="1" t="s">
        <v>35</v>
      </c>
      <c r="N148" s="1">
        <v>42318949</v>
      </c>
      <c r="O148" s="1" t="s">
        <v>36</v>
      </c>
      <c r="P148" s="11" t="s">
        <v>400</v>
      </c>
      <c r="R148" s="1" t="s">
        <v>38</v>
      </c>
      <c r="T148" s="1" t="s">
        <v>74</v>
      </c>
      <c r="U148" s="11" t="s">
        <v>401</v>
      </c>
      <c r="V148" s="1" t="s">
        <v>41</v>
      </c>
      <c r="W148" s="1" t="s">
        <v>49</v>
      </c>
      <c r="X148" s="13" t="str">
        <f t="shared" si="19"/>
        <v/>
      </c>
      <c r="Y148" s="2">
        <f t="shared" ca="1" si="14"/>
        <v>378</v>
      </c>
      <c r="Z148" s="14">
        <v>1</v>
      </c>
      <c r="AA148" s="1" t="str">
        <f t="shared" ca="1" si="15"/>
        <v>VENCIDO</v>
      </c>
      <c r="AB148" s="1" t="str">
        <f t="shared" si="16"/>
        <v>Dosa</v>
      </c>
      <c r="AC148" s="2" t="str">
        <f t="shared" si="20"/>
        <v xml:space="preserve"> ROSEMERE </v>
      </c>
      <c r="AD148" s="2">
        <f t="shared" si="17"/>
        <v>5</v>
      </c>
      <c r="AE148" s="2">
        <f t="shared" ca="1" si="18"/>
        <v>-526.12744062500133</v>
      </c>
      <c r="AF148" s="15"/>
    </row>
    <row r="149" spans="1:32" hidden="1">
      <c r="A149" s="1">
        <v>7726552</v>
      </c>
      <c r="B149" s="1" t="s">
        <v>81</v>
      </c>
      <c r="C149" t="s">
        <v>240</v>
      </c>
      <c r="E149" s="2">
        <v>4997000206001</v>
      </c>
      <c r="F149" s="1" t="s">
        <v>29</v>
      </c>
      <c r="G149" s="1" t="s">
        <v>53</v>
      </c>
      <c r="H149" s="1" t="s">
        <v>406</v>
      </c>
      <c r="I149" s="1" t="s">
        <v>407</v>
      </c>
      <c r="J149" s="1" t="s">
        <v>79</v>
      </c>
      <c r="K149" t="s">
        <v>34</v>
      </c>
      <c r="M149" s="1" t="s">
        <v>35</v>
      </c>
      <c r="N149" s="1">
        <v>42318949</v>
      </c>
      <c r="O149" s="1" t="s">
        <v>36</v>
      </c>
      <c r="P149" s="11" t="s">
        <v>400</v>
      </c>
      <c r="R149" s="1" t="s">
        <v>38</v>
      </c>
      <c r="T149" s="1" t="s">
        <v>74</v>
      </c>
      <c r="U149" s="11" t="s">
        <v>401</v>
      </c>
      <c r="V149" s="1" t="s">
        <v>41</v>
      </c>
      <c r="W149" s="1" t="s">
        <v>49</v>
      </c>
      <c r="X149" s="13" t="str">
        <f t="shared" si="19"/>
        <v/>
      </c>
      <c r="Y149" s="2">
        <f t="shared" ca="1" si="14"/>
        <v>378</v>
      </c>
      <c r="Z149" s="14">
        <v>1</v>
      </c>
      <c r="AA149" s="1" t="str">
        <f t="shared" ca="1" si="15"/>
        <v>VENCIDO</v>
      </c>
      <c r="AB149" s="1" t="str">
        <f t="shared" si="16"/>
        <v>Dosa</v>
      </c>
      <c r="AC149" s="2" t="str">
        <f t="shared" si="20"/>
        <v xml:space="preserve"> ROSEMERE </v>
      </c>
      <c r="AD149" s="2">
        <f t="shared" si="17"/>
        <v>5</v>
      </c>
      <c r="AE149" s="2">
        <f t="shared" ca="1" si="18"/>
        <v>-526.12744062500133</v>
      </c>
      <c r="AF149" s="15"/>
    </row>
    <row r="150" spans="1:32" hidden="1">
      <c r="A150" s="1">
        <v>7726550</v>
      </c>
      <c r="B150" s="1" t="s">
        <v>81</v>
      </c>
      <c r="C150" t="s">
        <v>240</v>
      </c>
      <c r="E150" s="2">
        <v>4118000206001</v>
      </c>
      <c r="F150" s="1" t="s">
        <v>29</v>
      </c>
      <c r="G150" s="1" t="s">
        <v>53</v>
      </c>
      <c r="H150" s="1" t="s">
        <v>71</v>
      </c>
      <c r="I150" s="1" t="s">
        <v>72</v>
      </c>
      <c r="J150" s="1" t="s">
        <v>46</v>
      </c>
      <c r="K150" t="s">
        <v>34</v>
      </c>
      <c r="M150" s="1" t="s">
        <v>35</v>
      </c>
      <c r="N150" s="1">
        <v>42318949</v>
      </c>
      <c r="O150" s="1" t="s">
        <v>36</v>
      </c>
      <c r="P150" s="11" t="s">
        <v>400</v>
      </c>
      <c r="R150" s="1" t="s">
        <v>38</v>
      </c>
      <c r="T150" s="1" t="s">
        <v>74</v>
      </c>
      <c r="U150" s="11" t="s">
        <v>401</v>
      </c>
      <c r="V150" s="1" t="s">
        <v>41</v>
      </c>
      <c r="W150" s="1" t="s">
        <v>49</v>
      </c>
      <c r="X150" s="13" t="str">
        <f t="shared" si="19"/>
        <v/>
      </c>
      <c r="Y150" s="2">
        <f t="shared" ca="1" si="14"/>
        <v>378</v>
      </c>
      <c r="Z150" s="14">
        <v>1</v>
      </c>
      <c r="AA150" s="1" t="str">
        <f t="shared" ca="1" si="15"/>
        <v>VENCIDO</v>
      </c>
      <c r="AB150" s="1" t="str">
        <f t="shared" si="16"/>
        <v>Dosa</v>
      </c>
      <c r="AC150" s="2" t="str">
        <f t="shared" si="20"/>
        <v xml:space="preserve"> CLEITON </v>
      </c>
      <c r="AD150" s="2">
        <f t="shared" si="17"/>
        <v>5</v>
      </c>
      <c r="AE150" s="2">
        <f t="shared" ca="1" si="18"/>
        <v>-526.12744062500133</v>
      </c>
      <c r="AF150" s="15"/>
    </row>
    <row r="151" spans="1:32" hidden="1">
      <c r="A151" s="1">
        <v>7726549</v>
      </c>
      <c r="B151" s="1" t="s">
        <v>81</v>
      </c>
      <c r="C151" t="s">
        <v>240</v>
      </c>
      <c r="E151" s="2">
        <v>1245000206001</v>
      </c>
      <c r="F151" s="1" t="s">
        <v>29</v>
      </c>
      <c r="G151" s="1" t="s">
        <v>53</v>
      </c>
      <c r="H151" s="1" t="s">
        <v>408</v>
      </c>
      <c r="I151" s="1" t="s">
        <v>409</v>
      </c>
      <c r="J151" s="1" t="s">
        <v>46</v>
      </c>
      <c r="K151" t="s">
        <v>34</v>
      </c>
      <c r="M151" s="1" t="s">
        <v>35</v>
      </c>
      <c r="N151" s="1">
        <v>42318949</v>
      </c>
      <c r="O151" s="1" t="s">
        <v>36</v>
      </c>
      <c r="P151" s="11" t="s">
        <v>3406</v>
      </c>
      <c r="R151" s="1" t="s">
        <v>38</v>
      </c>
      <c r="T151" s="1" t="s">
        <v>74</v>
      </c>
      <c r="U151" s="11" t="s">
        <v>3407</v>
      </c>
      <c r="V151" s="1" t="s">
        <v>41</v>
      </c>
      <c r="W151" s="1" t="s">
        <v>49</v>
      </c>
      <c r="X151" s="13" t="str">
        <f t="shared" si="19"/>
        <v/>
      </c>
      <c r="Y151" s="2">
        <f t="shared" ca="1" si="14"/>
        <v>378</v>
      </c>
      <c r="Z151" s="14">
        <v>1</v>
      </c>
      <c r="AA151" s="1" t="str">
        <f t="shared" ca="1" si="15"/>
        <v>VENCIDO</v>
      </c>
      <c r="AB151" s="1" t="str">
        <f t="shared" si="16"/>
        <v>Dosa</v>
      </c>
      <c r="AC151" s="2" t="str">
        <f t="shared" si="20"/>
        <v xml:space="preserve"> CLEITON </v>
      </c>
      <c r="AD151" s="2">
        <f t="shared" si="17"/>
        <v>5</v>
      </c>
      <c r="AE151" s="2">
        <f t="shared" ca="1" si="18"/>
        <v>-526.12745219907083</v>
      </c>
      <c r="AF151" s="15"/>
    </row>
    <row r="152" spans="1:32" hidden="1">
      <c r="A152" s="1">
        <v>7726548</v>
      </c>
      <c r="B152" s="1" t="s">
        <v>81</v>
      </c>
      <c r="C152" t="s">
        <v>240</v>
      </c>
      <c r="E152" s="2">
        <v>981000206001</v>
      </c>
      <c r="F152" s="1" t="s">
        <v>29</v>
      </c>
      <c r="G152" s="1" t="s">
        <v>53</v>
      </c>
      <c r="H152" s="1" t="s">
        <v>410</v>
      </c>
      <c r="I152" s="1" t="s">
        <v>411</v>
      </c>
      <c r="J152" s="1" t="s">
        <v>85</v>
      </c>
      <c r="K152" t="s">
        <v>34</v>
      </c>
      <c r="M152" s="1" t="s">
        <v>35</v>
      </c>
      <c r="N152" s="1">
        <v>42318949</v>
      </c>
      <c r="O152" s="1" t="s">
        <v>36</v>
      </c>
      <c r="P152" s="11" t="s">
        <v>3406</v>
      </c>
      <c r="R152" s="1" t="s">
        <v>38</v>
      </c>
      <c r="T152" s="1" t="s">
        <v>74</v>
      </c>
      <c r="U152" s="11" t="s">
        <v>3407</v>
      </c>
      <c r="V152" s="1" t="s">
        <v>41</v>
      </c>
      <c r="W152" s="1" t="s">
        <v>49</v>
      </c>
      <c r="X152" s="13" t="str">
        <f t="shared" si="19"/>
        <v/>
      </c>
      <c r="Y152" s="2">
        <f t="shared" ca="1" si="14"/>
        <v>378</v>
      </c>
      <c r="Z152" s="14">
        <v>1</v>
      </c>
      <c r="AA152" s="1" t="str">
        <f t="shared" ca="1" si="15"/>
        <v>VENCIDO</v>
      </c>
      <c r="AB152" s="1" t="str">
        <f t="shared" si="16"/>
        <v>Dosa</v>
      </c>
      <c r="AC152" s="2" t="str">
        <f t="shared" si="20"/>
        <v xml:space="preserve"> RINALDO </v>
      </c>
      <c r="AD152" s="2">
        <f t="shared" si="17"/>
        <v>5</v>
      </c>
      <c r="AE152" s="2">
        <f t="shared" ca="1" si="18"/>
        <v>-526.12745219907083</v>
      </c>
      <c r="AF152" s="15"/>
    </row>
    <row r="153" spans="1:32" hidden="1">
      <c r="A153" s="1">
        <v>7726545</v>
      </c>
      <c r="B153" s="1" t="s">
        <v>81</v>
      </c>
      <c r="C153" t="s">
        <v>240</v>
      </c>
      <c r="E153" s="2">
        <v>5816000206001</v>
      </c>
      <c r="F153" s="1" t="s">
        <v>29</v>
      </c>
      <c r="G153" s="1" t="s">
        <v>53</v>
      </c>
      <c r="H153" s="1" t="s">
        <v>412</v>
      </c>
      <c r="I153" s="1" t="s">
        <v>413</v>
      </c>
      <c r="J153" s="1" t="s">
        <v>46</v>
      </c>
      <c r="K153" t="s">
        <v>34</v>
      </c>
      <c r="M153" s="1" t="s">
        <v>35</v>
      </c>
      <c r="N153" s="1">
        <v>42318949</v>
      </c>
      <c r="O153" s="1" t="s">
        <v>36</v>
      </c>
      <c r="P153" s="11" t="s">
        <v>3406</v>
      </c>
      <c r="R153" s="1" t="s">
        <v>38</v>
      </c>
      <c r="T153" s="1" t="s">
        <v>74</v>
      </c>
      <c r="U153" s="11" t="s">
        <v>3407</v>
      </c>
      <c r="V153" s="1" t="s">
        <v>41</v>
      </c>
      <c r="W153" s="1" t="s">
        <v>49</v>
      </c>
      <c r="X153" s="13" t="str">
        <f t="shared" si="19"/>
        <v/>
      </c>
      <c r="Y153" s="2">
        <f t="shared" ca="1" si="14"/>
        <v>378</v>
      </c>
      <c r="Z153" s="14">
        <v>1</v>
      </c>
      <c r="AA153" s="1" t="str">
        <f t="shared" ca="1" si="15"/>
        <v>VENCIDO</v>
      </c>
      <c r="AB153" s="1" t="str">
        <f t="shared" si="16"/>
        <v>Dosa</v>
      </c>
      <c r="AC153" s="2" t="str">
        <f t="shared" si="20"/>
        <v xml:space="preserve"> CLEITON </v>
      </c>
      <c r="AD153" s="2">
        <f t="shared" si="17"/>
        <v>5</v>
      </c>
      <c r="AE153" s="2">
        <f t="shared" ca="1" si="18"/>
        <v>-526.12745219907083</v>
      </c>
      <c r="AF153" s="15"/>
    </row>
    <row r="154" spans="1:32" hidden="1">
      <c r="A154" s="1">
        <v>7726543</v>
      </c>
      <c r="B154" s="1" t="s">
        <v>81</v>
      </c>
      <c r="C154" t="s">
        <v>240</v>
      </c>
      <c r="E154" s="2">
        <v>1666000206001</v>
      </c>
      <c r="F154" s="1" t="s">
        <v>29</v>
      </c>
      <c r="G154" s="1" t="s">
        <v>53</v>
      </c>
      <c r="H154" s="1" t="s">
        <v>414</v>
      </c>
      <c r="I154" s="1" t="s">
        <v>415</v>
      </c>
      <c r="J154" s="1" t="s">
        <v>79</v>
      </c>
      <c r="K154" t="s">
        <v>34</v>
      </c>
      <c r="M154" s="1" t="s">
        <v>35</v>
      </c>
      <c r="N154" s="1">
        <v>42318949</v>
      </c>
      <c r="O154" s="1" t="s">
        <v>36</v>
      </c>
      <c r="P154" s="11" t="s">
        <v>3406</v>
      </c>
      <c r="R154" s="1" t="s">
        <v>38</v>
      </c>
      <c r="T154" s="1" t="s">
        <v>74</v>
      </c>
      <c r="U154" s="11" t="s">
        <v>3407</v>
      </c>
      <c r="V154" s="1" t="s">
        <v>41</v>
      </c>
      <c r="W154" s="1" t="s">
        <v>49</v>
      </c>
      <c r="X154" s="13" t="str">
        <f t="shared" si="19"/>
        <v/>
      </c>
      <c r="Y154" s="2">
        <f t="shared" ca="1" si="14"/>
        <v>378</v>
      </c>
      <c r="Z154" s="14">
        <v>1</v>
      </c>
      <c r="AA154" s="1" t="str">
        <f t="shared" ca="1" si="15"/>
        <v>VENCIDO</v>
      </c>
      <c r="AB154" s="1" t="str">
        <f t="shared" si="16"/>
        <v>Dosa</v>
      </c>
      <c r="AC154" s="2" t="str">
        <f t="shared" si="20"/>
        <v xml:space="preserve"> ROSEMERE </v>
      </c>
      <c r="AD154" s="2">
        <f t="shared" si="17"/>
        <v>5</v>
      </c>
      <c r="AE154" s="2">
        <f t="shared" ca="1" si="18"/>
        <v>-526.12745219907083</v>
      </c>
      <c r="AF154" s="15"/>
    </row>
    <row r="155" spans="1:32" hidden="1">
      <c r="A155" s="1">
        <v>7726541</v>
      </c>
      <c r="B155" s="1" t="s">
        <v>81</v>
      </c>
      <c r="C155" t="s">
        <v>240</v>
      </c>
      <c r="E155" s="2">
        <v>1739000206001</v>
      </c>
      <c r="F155" s="1" t="s">
        <v>29</v>
      </c>
      <c r="G155" s="1" t="s">
        <v>53</v>
      </c>
      <c r="H155" s="1" t="s">
        <v>162</v>
      </c>
      <c r="I155" s="1" t="s">
        <v>163</v>
      </c>
      <c r="J155" s="1" t="s">
        <v>164</v>
      </c>
      <c r="K155" t="s">
        <v>34</v>
      </c>
      <c r="M155" s="1" t="s">
        <v>35</v>
      </c>
      <c r="N155" s="1">
        <v>42318949</v>
      </c>
      <c r="O155" s="1" t="s">
        <v>36</v>
      </c>
      <c r="P155" s="11" t="s">
        <v>3408</v>
      </c>
      <c r="R155" s="1" t="s">
        <v>38</v>
      </c>
      <c r="T155" s="1" t="s">
        <v>74</v>
      </c>
      <c r="U155" s="11" t="s">
        <v>3409</v>
      </c>
      <c r="V155" s="1" t="s">
        <v>41</v>
      </c>
      <c r="W155" s="1" t="s">
        <v>49</v>
      </c>
      <c r="X155" s="13" t="str">
        <f t="shared" si="19"/>
        <v/>
      </c>
      <c r="Y155" s="2">
        <f t="shared" ca="1" si="14"/>
        <v>378</v>
      </c>
      <c r="Z155" s="14">
        <v>1</v>
      </c>
      <c r="AA155" s="1" t="str">
        <f t="shared" ca="1" si="15"/>
        <v>VENCIDO</v>
      </c>
      <c r="AB155" s="1" t="str">
        <f t="shared" si="16"/>
        <v>Dosa</v>
      </c>
      <c r="AC155" s="2" t="str">
        <f t="shared" si="20"/>
        <v xml:space="preserve"> ROSEMERE </v>
      </c>
      <c r="AD155" s="2">
        <f t="shared" si="17"/>
        <v>5</v>
      </c>
      <c r="AE155" s="2">
        <f t="shared" ca="1" si="18"/>
        <v>-526.12746377314761</v>
      </c>
      <c r="AF155" s="15"/>
    </row>
    <row r="156" spans="1:32" hidden="1">
      <c r="A156" s="1">
        <v>7726540</v>
      </c>
      <c r="B156" s="1" t="s">
        <v>81</v>
      </c>
      <c r="C156" t="s">
        <v>240</v>
      </c>
      <c r="E156" s="2">
        <v>2437000206001</v>
      </c>
      <c r="F156" s="1" t="s">
        <v>29</v>
      </c>
      <c r="G156" s="1" t="s">
        <v>53</v>
      </c>
      <c r="H156" s="1" t="s">
        <v>416</v>
      </c>
      <c r="I156" s="1" t="s">
        <v>417</v>
      </c>
      <c r="J156" s="1" t="s">
        <v>211</v>
      </c>
      <c r="K156" t="s">
        <v>34</v>
      </c>
      <c r="M156" s="1" t="s">
        <v>35</v>
      </c>
      <c r="N156" s="1">
        <v>42318949</v>
      </c>
      <c r="O156" s="1" t="s">
        <v>36</v>
      </c>
      <c r="P156" s="11" t="s">
        <v>3408</v>
      </c>
      <c r="R156" s="1" t="s">
        <v>38</v>
      </c>
      <c r="T156" s="1" t="s">
        <v>74</v>
      </c>
      <c r="U156" s="11" t="s">
        <v>3409</v>
      </c>
      <c r="V156" s="1" t="s">
        <v>41</v>
      </c>
      <c r="W156" s="1" t="s">
        <v>49</v>
      </c>
      <c r="X156" s="13" t="str">
        <f t="shared" si="19"/>
        <v/>
      </c>
      <c r="Y156" s="2">
        <f t="shared" ca="1" si="14"/>
        <v>378</v>
      </c>
      <c r="Z156" s="14">
        <v>1</v>
      </c>
      <c r="AA156" s="1" t="str">
        <f t="shared" ca="1" si="15"/>
        <v>VENCIDO</v>
      </c>
      <c r="AB156" s="1" t="str">
        <f t="shared" si="16"/>
        <v>Dosa</v>
      </c>
      <c r="AC156" s="2" t="str">
        <f t="shared" si="20"/>
        <v xml:space="preserve"> RINALDO </v>
      </c>
      <c r="AD156" s="2">
        <f t="shared" si="17"/>
        <v>5</v>
      </c>
      <c r="AE156" s="2">
        <f t="shared" ca="1" si="18"/>
        <v>-526.12746377314761</v>
      </c>
      <c r="AF156" s="15"/>
    </row>
    <row r="157" spans="1:32" hidden="1">
      <c r="A157" s="1">
        <v>7726539</v>
      </c>
      <c r="B157" s="1" t="s">
        <v>81</v>
      </c>
      <c r="C157" t="s">
        <v>240</v>
      </c>
      <c r="E157" s="2">
        <v>2889000206001</v>
      </c>
      <c r="F157" s="1" t="s">
        <v>29</v>
      </c>
      <c r="G157" s="1" t="s">
        <v>53</v>
      </c>
      <c r="H157" s="1" t="s">
        <v>418</v>
      </c>
      <c r="I157" s="1" t="s">
        <v>419</v>
      </c>
      <c r="J157" s="1" t="s">
        <v>46</v>
      </c>
      <c r="K157" t="s">
        <v>34</v>
      </c>
      <c r="M157" s="1" t="s">
        <v>35</v>
      </c>
      <c r="N157" s="1">
        <v>42318949</v>
      </c>
      <c r="O157" s="1" t="s">
        <v>36</v>
      </c>
      <c r="P157" s="11" t="s">
        <v>3408</v>
      </c>
      <c r="R157" s="1" t="s">
        <v>38</v>
      </c>
      <c r="T157" s="1" t="s">
        <v>74</v>
      </c>
      <c r="U157" s="11" t="s">
        <v>3409</v>
      </c>
      <c r="V157" s="1" t="s">
        <v>41</v>
      </c>
      <c r="W157" s="1" t="s">
        <v>49</v>
      </c>
      <c r="X157" s="13" t="str">
        <f t="shared" si="19"/>
        <v/>
      </c>
      <c r="Y157" s="2">
        <f t="shared" ca="1" si="14"/>
        <v>378</v>
      </c>
      <c r="Z157" s="14">
        <v>1</v>
      </c>
      <c r="AA157" s="1" t="str">
        <f t="shared" ca="1" si="15"/>
        <v>VENCIDO</v>
      </c>
      <c r="AB157" s="1" t="str">
        <f t="shared" si="16"/>
        <v>Dosa</v>
      </c>
      <c r="AC157" s="2" t="str">
        <f t="shared" si="20"/>
        <v xml:space="preserve"> CLEITON </v>
      </c>
      <c r="AD157" s="2">
        <f t="shared" si="17"/>
        <v>5</v>
      </c>
      <c r="AE157" s="2">
        <f t="shared" ca="1" si="18"/>
        <v>-526.12746377314761</v>
      </c>
      <c r="AF157" s="15"/>
    </row>
    <row r="158" spans="1:32" hidden="1">
      <c r="A158" s="1">
        <v>7726538</v>
      </c>
      <c r="B158" s="1" t="s">
        <v>81</v>
      </c>
      <c r="C158" t="s">
        <v>240</v>
      </c>
      <c r="E158" s="2">
        <v>605000206001</v>
      </c>
      <c r="F158" s="1" t="s">
        <v>29</v>
      </c>
      <c r="G158" s="1" t="s">
        <v>53</v>
      </c>
      <c r="H158" s="1" t="s">
        <v>420</v>
      </c>
      <c r="I158" s="1" t="s">
        <v>421</v>
      </c>
      <c r="J158" s="1" t="s">
        <v>90</v>
      </c>
      <c r="K158" t="s">
        <v>34</v>
      </c>
      <c r="M158" s="1" t="s">
        <v>35</v>
      </c>
      <c r="N158" s="1">
        <v>42318949</v>
      </c>
      <c r="O158" s="1" t="s">
        <v>36</v>
      </c>
      <c r="P158" s="11" t="s">
        <v>3408</v>
      </c>
      <c r="R158" s="1" t="s">
        <v>38</v>
      </c>
      <c r="T158" s="1" t="s">
        <v>74</v>
      </c>
      <c r="U158" s="11" t="s">
        <v>3409</v>
      </c>
      <c r="V158" s="1" t="s">
        <v>41</v>
      </c>
      <c r="W158" s="1" t="s">
        <v>49</v>
      </c>
      <c r="X158" s="13" t="str">
        <f t="shared" si="19"/>
        <v/>
      </c>
      <c r="Y158" s="2">
        <f t="shared" ca="1" si="14"/>
        <v>378</v>
      </c>
      <c r="Z158" s="14">
        <v>1</v>
      </c>
      <c r="AA158" s="1" t="str">
        <f t="shared" ca="1" si="15"/>
        <v>VENCIDO</v>
      </c>
      <c r="AB158" s="1" t="str">
        <f t="shared" si="16"/>
        <v>Dosa</v>
      </c>
      <c r="AC158" s="2" t="str">
        <f t="shared" si="20"/>
        <v xml:space="preserve"> RINALDO </v>
      </c>
      <c r="AD158" s="2">
        <f t="shared" si="17"/>
        <v>5</v>
      </c>
      <c r="AE158" s="2">
        <f t="shared" ca="1" si="18"/>
        <v>-526.12746377314761</v>
      </c>
      <c r="AF158" s="15"/>
    </row>
    <row r="159" spans="1:32" hidden="1">
      <c r="A159" s="1">
        <v>7726534</v>
      </c>
      <c r="B159" s="1" t="s">
        <v>81</v>
      </c>
      <c r="C159" t="s">
        <v>240</v>
      </c>
      <c r="E159" s="2">
        <v>721000206001</v>
      </c>
      <c r="F159" s="1" t="s">
        <v>29</v>
      </c>
      <c r="G159" s="1" t="s">
        <v>53</v>
      </c>
      <c r="H159" s="1" t="s">
        <v>422</v>
      </c>
      <c r="I159" s="1" t="s">
        <v>423</v>
      </c>
      <c r="J159" s="1" t="s">
        <v>79</v>
      </c>
      <c r="K159" t="s">
        <v>34</v>
      </c>
      <c r="M159" s="1" t="s">
        <v>35</v>
      </c>
      <c r="N159" s="1">
        <v>42318949</v>
      </c>
      <c r="O159" s="1" t="s">
        <v>36</v>
      </c>
      <c r="P159" s="11" t="s">
        <v>3410</v>
      </c>
      <c r="R159" s="1" t="s">
        <v>38</v>
      </c>
      <c r="T159" s="1" t="s">
        <v>74</v>
      </c>
      <c r="U159" s="11" t="s">
        <v>3411</v>
      </c>
      <c r="V159" s="1" t="s">
        <v>41</v>
      </c>
      <c r="W159" s="1" t="s">
        <v>49</v>
      </c>
      <c r="X159" s="13" t="str">
        <f t="shared" si="19"/>
        <v/>
      </c>
      <c r="Y159" s="2">
        <f t="shared" ca="1" si="14"/>
        <v>378</v>
      </c>
      <c r="Z159" s="14">
        <v>1</v>
      </c>
      <c r="AA159" s="1" t="str">
        <f t="shared" ca="1" si="15"/>
        <v>VENCIDO</v>
      </c>
      <c r="AB159" s="1" t="str">
        <f t="shared" si="16"/>
        <v>Dosa</v>
      </c>
      <c r="AC159" s="2" t="str">
        <f t="shared" si="20"/>
        <v xml:space="preserve"> ROSEMERE </v>
      </c>
      <c r="AD159" s="2">
        <f t="shared" si="17"/>
        <v>5</v>
      </c>
      <c r="AE159" s="2">
        <f t="shared" ca="1" si="18"/>
        <v>-526.12747534722439</v>
      </c>
      <c r="AF159" s="15"/>
    </row>
    <row r="160" spans="1:32" hidden="1">
      <c r="A160" s="1">
        <v>7726532</v>
      </c>
      <c r="B160" s="1" t="s">
        <v>81</v>
      </c>
      <c r="C160" t="s">
        <v>240</v>
      </c>
      <c r="E160" s="2">
        <v>233000206001</v>
      </c>
      <c r="F160" s="1" t="s">
        <v>29</v>
      </c>
      <c r="G160" s="1" t="s">
        <v>53</v>
      </c>
      <c r="H160" s="1" t="s">
        <v>424</v>
      </c>
      <c r="I160" s="1" t="s">
        <v>425</v>
      </c>
      <c r="J160" s="1" t="s">
        <v>261</v>
      </c>
      <c r="K160" t="s">
        <v>34</v>
      </c>
      <c r="M160" s="1" t="s">
        <v>35</v>
      </c>
      <c r="N160" s="1">
        <v>42318949</v>
      </c>
      <c r="O160" s="1" t="s">
        <v>36</v>
      </c>
      <c r="P160" s="11" t="s">
        <v>3410</v>
      </c>
      <c r="R160" s="1" t="s">
        <v>38</v>
      </c>
      <c r="T160" s="1" t="s">
        <v>74</v>
      </c>
      <c r="U160" s="11" t="s">
        <v>3411</v>
      </c>
      <c r="V160" s="1" t="s">
        <v>41</v>
      </c>
      <c r="W160" s="1" t="s">
        <v>49</v>
      </c>
      <c r="X160" s="13" t="str">
        <f t="shared" si="19"/>
        <v/>
      </c>
      <c r="Y160" s="2">
        <f t="shared" ca="1" si="14"/>
        <v>378</v>
      </c>
      <c r="Z160" s="14">
        <v>1</v>
      </c>
      <c r="AA160" s="1" t="str">
        <f t="shared" ca="1" si="15"/>
        <v>VENCIDO</v>
      </c>
      <c r="AB160" s="1" t="str">
        <f t="shared" si="16"/>
        <v>Dosa</v>
      </c>
      <c r="AC160" s="2" t="str">
        <f t="shared" si="20"/>
        <v xml:space="preserve"> CRISTINA </v>
      </c>
      <c r="AD160" s="2">
        <f t="shared" si="17"/>
        <v>5</v>
      </c>
      <c r="AE160" s="2">
        <f t="shared" ca="1" si="18"/>
        <v>-526.12747534722439</v>
      </c>
      <c r="AF160" s="15"/>
    </row>
    <row r="161" spans="1:32" hidden="1">
      <c r="A161" s="1">
        <v>7726531</v>
      </c>
      <c r="B161" s="1" t="s">
        <v>81</v>
      </c>
      <c r="C161" t="s">
        <v>240</v>
      </c>
      <c r="E161" s="2">
        <v>4076000206001</v>
      </c>
      <c r="F161" s="1" t="s">
        <v>29</v>
      </c>
      <c r="G161" s="1" t="s">
        <v>53</v>
      </c>
      <c r="H161" s="1" t="s">
        <v>426</v>
      </c>
      <c r="I161" s="1" t="s">
        <v>427</v>
      </c>
      <c r="J161" s="1" t="s">
        <v>79</v>
      </c>
      <c r="K161" t="s">
        <v>34</v>
      </c>
      <c r="M161" s="1" t="s">
        <v>35</v>
      </c>
      <c r="N161" s="1">
        <v>42318949</v>
      </c>
      <c r="O161" s="1" t="s">
        <v>36</v>
      </c>
      <c r="P161" s="11" t="s">
        <v>3410</v>
      </c>
      <c r="R161" s="1" t="s">
        <v>38</v>
      </c>
      <c r="T161" s="1" t="s">
        <v>74</v>
      </c>
      <c r="U161" s="11" t="s">
        <v>3411</v>
      </c>
      <c r="V161" s="1" t="s">
        <v>41</v>
      </c>
      <c r="W161" s="1" t="s">
        <v>49</v>
      </c>
      <c r="X161" s="13" t="str">
        <f t="shared" si="19"/>
        <v/>
      </c>
      <c r="Y161" s="2">
        <f t="shared" ca="1" si="14"/>
        <v>378</v>
      </c>
      <c r="Z161" s="14">
        <v>1</v>
      </c>
      <c r="AA161" s="1" t="str">
        <f t="shared" ca="1" si="15"/>
        <v>VENCIDO</v>
      </c>
      <c r="AB161" s="1" t="str">
        <f t="shared" si="16"/>
        <v>Dosa</v>
      </c>
      <c r="AC161" s="2" t="str">
        <f t="shared" si="20"/>
        <v xml:space="preserve"> ROSEMERE </v>
      </c>
      <c r="AD161" s="2">
        <f t="shared" si="17"/>
        <v>5</v>
      </c>
      <c r="AE161" s="2">
        <f t="shared" ca="1" si="18"/>
        <v>-526.12747534722439</v>
      </c>
      <c r="AF161" s="15"/>
    </row>
    <row r="162" spans="1:32" hidden="1">
      <c r="A162" s="1">
        <v>7726528</v>
      </c>
      <c r="B162" s="1" t="s">
        <v>81</v>
      </c>
      <c r="C162" t="s">
        <v>240</v>
      </c>
      <c r="E162" s="2">
        <v>934000206001</v>
      </c>
      <c r="F162" s="1" t="s">
        <v>29</v>
      </c>
      <c r="G162" s="1" t="s">
        <v>53</v>
      </c>
      <c r="H162" s="1" t="s">
        <v>428</v>
      </c>
      <c r="I162" s="1" t="s">
        <v>429</v>
      </c>
      <c r="J162" s="1" t="s">
        <v>46</v>
      </c>
      <c r="K162" t="s">
        <v>34</v>
      </c>
      <c r="M162" s="1" t="s">
        <v>35</v>
      </c>
      <c r="N162" s="1">
        <v>42318949</v>
      </c>
      <c r="O162" s="1" t="s">
        <v>36</v>
      </c>
      <c r="P162" s="11" t="s">
        <v>436</v>
      </c>
      <c r="R162" s="1" t="s">
        <v>38</v>
      </c>
      <c r="T162" s="1" t="s">
        <v>74</v>
      </c>
      <c r="U162" s="11" t="s">
        <v>437</v>
      </c>
      <c r="V162" s="1" t="s">
        <v>41</v>
      </c>
      <c r="W162" s="1" t="s">
        <v>49</v>
      </c>
      <c r="X162" s="13" t="str">
        <f t="shared" si="19"/>
        <v/>
      </c>
      <c r="Y162" s="2">
        <f t="shared" ca="1" si="14"/>
        <v>378</v>
      </c>
      <c r="Z162" s="14">
        <v>1</v>
      </c>
      <c r="AA162" s="1" t="str">
        <f t="shared" ca="1" si="15"/>
        <v>VENCIDO</v>
      </c>
      <c r="AB162" s="1" t="str">
        <f t="shared" si="16"/>
        <v>Dosa</v>
      </c>
      <c r="AC162" s="2" t="str">
        <f t="shared" si="20"/>
        <v xml:space="preserve"> CLEITON </v>
      </c>
      <c r="AD162" s="2">
        <f t="shared" si="17"/>
        <v>5</v>
      </c>
      <c r="AE162" s="2">
        <f t="shared" ca="1" si="18"/>
        <v>-526.12748692129389</v>
      </c>
      <c r="AF162" s="15"/>
    </row>
    <row r="163" spans="1:32" hidden="1">
      <c r="A163" s="1">
        <v>7726527</v>
      </c>
      <c r="B163" s="1" t="s">
        <v>81</v>
      </c>
      <c r="C163" t="s">
        <v>240</v>
      </c>
      <c r="E163" s="2">
        <v>5742000206001</v>
      </c>
      <c r="F163" s="1" t="s">
        <v>29</v>
      </c>
      <c r="G163" s="1" t="s">
        <v>53</v>
      </c>
      <c r="H163" s="1" t="s">
        <v>430</v>
      </c>
      <c r="I163" s="1" t="s">
        <v>431</v>
      </c>
      <c r="J163" s="1" t="s">
        <v>79</v>
      </c>
      <c r="K163" t="s">
        <v>34</v>
      </c>
      <c r="M163" s="1" t="s">
        <v>35</v>
      </c>
      <c r="N163" s="1">
        <v>42318949</v>
      </c>
      <c r="O163" s="1" t="s">
        <v>36</v>
      </c>
      <c r="P163" s="11" t="s">
        <v>436</v>
      </c>
      <c r="R163" s="1" t="s">
        <v>38</v>
      </c>
      <c r="T163" s="1" t="s">
        <v>74</v>
      </c>
      <c r="U163" s="11" t="s">
        <v>437</v>
      </c>
      <c r="V163" s="1" t="s">
        <v>41</v>
      </c>
      <c r="W163" s="1" t="s">
        <v>49</v>
      </c>
      <c r="X163" s="13" t="str">
        <f t="shared" si="19"/>
        <v/>
      </c>
      <c r="Y163" s="2">
        <f t="shared" ca="1" si="14"/>
        <v>378</v>
      </c>
      <c r="Z163" s="14">
        <v>1</v>
      </c>
      <c r="AA163" s="1" t="str">
        <f t="shared" ca="1" si="15"/>
        <v>VENCIDO</v>
      </c>
      <c r="AB163" s="1" t="str">
        <f t="shared" si="16"/>
        <v>Dosa</v>
      </c>
      <c r="AC163" s="2" t="str">
        <f t="shared" si="20"/>
        <v xml:space="preserve"> ROSEMERE </v>
      </c>
      <c r="AD163" s="2">
        <f t="shared" si="17"/>
        <v>5</v>
      </c>
      <c r="AE163" s="2">
        <f t="shared" ca="1" si="18"/>
        <v>-526.12748692129389</v>
      </c>
      <c r="AF163" s="15"/>
    </row>
    <row r="164" spans="1:32" hidden="1">
      <c r="A164" s="1">
        <v>7726525</v>
      </c>
      <c r="B164" s="1" t="s">
        <v>81</v>
      </c>
      <c r="C164" t="s">
        <v>240</v>
      </c>
      <c r="E164" s="2">
        <v>446000206001</v>
      </c>
      <c r="F164" s="1" t="s">
        <v>29</v>
      </c>
      <c r="G164" s="1" t="s">
        <v>53</v>
      </c>
      <c r="H164" s="1" t="s">
        <v>432</v>
      </c>
      <c r="I164" s="1" t="s">
        <v>433</v>
      </c>
      <c r="J164" s="1" t="s">
        <v>110</v>
      </c>
      <c r="K164" t="s">
        <v>34</v>
      </c>
      <c r="M164" s="1" t="s">
        <v>35</v>
      </c>
      <c r="N164" s="1">
        <v>42318949</v>
      </c>
      <c r="O164" s="1" t="s">
        <v>36</v>
      </c>
      <c r="P164" s="11" t="s">
        <v>436</v>
      </c>
      <c r="R164" s="1" t="s">
        <v>38</v>
      </c>
      <c r="T164" s="1" t="s">
        <v>74</v>
      </c>
      <c r="U164" s="11" t="s">
        <v>437</v>
      </c>
      <c r="V164" s="1" t="s">
        <v>41</v>
      </c>
      <c r="W164" s="1" t="s">
        <v>49</v>
      </c>
      <c r="X164" s="13" t="str">
        <f t="shared" si="19"/>
        <v/>
      </c>
      <c r="Y164" s="2">
        <f t="shared" ca="1" si="14"/>
        <v>378</v>
      </c>
      <c r="Z164" s="14">
        <v>1</v>
      </c>
      <c r="AA164" s="1" t="str">
        <f t="shared" ca="1" si="15"/>
        <v>VENCIDO</v>
      </c>
      <c r="AB164" s="1" t="str">
        <f t="shared" si="16"/>
        <v>Dosa</v>
      </c>
      <c r="AC164" s="2" t="str">
        <f t="shared" si="20"/>
        <v xml:space="preserve"> CRISTINA </v>
      </c>
      <c r="AD164" s="2">
        <f t="shared" si="17"/>
        <v>5</v>
      </c>
      <c r="AE164" s="2">
        <f t="shared" ca="1" si="18"/>
        <v>-526.12748692129389</v>
      </c>
      <c r="AF164" s="15"/>
    </row>
    <row r="165" spans="1:32" hidden="1">
      <c r="A165" s="1">
        <v>7726524</v>
      </c>
      <c r="B165" s="1" t="s">
        <v>81</v>
      </c>
      <c r="C165" t="s">
        <v>240</v>
      </c>
      <c r="E165" s="2">
        <v>570000206001</v>
      </c>
      <c r="F165" s="1" t="s">
        <v>29</v>
      </c>
      <c r="G165" s="1" t="s">
        <v>53</v>
      </c>
      <c r="H165" s="1" t="s">
        <v>434</v>
      </c>
      <c r="I165" s="1" t="s">
        <v>435</v>
      </c>
      <c r="J165" s="1" t="s">
        <v>148</v>
      </c>
      <c r="K165" t="s">
        <v>34</v>
      </c>
      <c r="M165" s="1" t="s">
        <v>35</v>
      </c>
      <c r="N165" s="1">
        <v>42318949</v>
      </c>
      <c r="O165" s="1" t="s">
        <v>36</v>
      </c>
      <c r="P165" s="11" t="s">
        <v>436</v>
      </c>
      <c r="R165" s="1" t="s">
        <v>38</v>
      </c>
      <c r="T165" s="1" t="s">
        <v>74</v>
      </c>
      <c r="U165" s="11" t="s">
        <v>437</v>
      </c>
      <c r="V165" s="1" t="s">
        <v>41</v>
      </c>
      <c r="W165" s="1" t="s">
        <v>49</v>
      </c>
      <c r="X165" s="13" t="str">
        <f t="shared" si="19"/>
        <v/>
      </c>
      <c r="Y165" s="2">
        <f t="shared" ca="1" si="14"/>
        <v>378</v>
      </c>
      <c r="Z165" s="14">
        <v>1</v>
      </c>
      <c r="AA165" s="1" t="str">
        <f t="shared" ca="1" si="15"/>
        <v>VENCIDO</v>
      </c>
      <c r="AB165" s="1" t="str">
        <f t="shared" si="16"/>
        <v>Dosa</v>
      </c>
      <c r="AC165" s="2" t="str">
        <f t="shared" si="20"/>
        <v xml:space="preserve"> RINALDO </v>
      </c>
      <c r="AD165" s="2">
        <f t="shared" si="17"/>
        <v>5</v>
      </c>
      <c r="AE165" s="2">
        <f t="shared" ca="1" si="18"/>
        <v>-526.12748692129389</v>
      </c>
      <c r="AF165" s="15"/>
    </row>
    <row r="166" spans="1:32" hidden="1">
      <c r="A166" s="1">
        <v>7726522</v>
      </c>
      <c r="B166" s="1" t="s">
        <v>81</v>
      </c>
      <c r="C166" t="s">
        <v>240</v>
      </c>
      <c r="E166" s="2">
        <v>917000206001</v>
      </c>
      <c r="F166" s="1" t="s">
        <v>29</v>
      </c>
      <c r="G166" s="1" t="s">
        <v>53</v>
      </c>
      <c r="H166" s="1" t="s">
        <v>83</v>
      </c>
      <c r="I166" s="1" t="s">
        <v>84</v>
      </c>
      <c r="J166" s="1" t="s">
        <v>85</v>
      </c>
      <c r="K166" t="s">
        <v>34</v>
      </c>
      <c r="M166" s="1" t="s">
        <v>35</v>
      </c>
      <c r="N166" s="1">
        <v>42318949</v>
      </c>
      <c r="O166" s="1" t="s">
        <v>36</v>
      </c>
      <c r="P166" s="11" t="s">
        <v>436</v>
      </c>
      <c r="R166" s="1" t="s">
        <v>38</v>
      </c>
      <c r="T166" s="1" t="s">
        <v>74</v>
      </c>
      <c r="U166" s="11" t="s">
        <v>437</v>
      </c>
      <c r="V166" s="1" t="s">
        <v>41</v>
      </c>
      <c r="W166" s="1" t="s">
        <v>49</v>
      </c>
      <c r="X166" s="13" t="str">
        <f t="shared" si="19"/>
        <v/>
      </c>
      <c r="Y166" s="2">
        <f t="shared" ca="1" si="14"/>
        <v>378</v>
      </c>
      <c r="Z166" s="14">
        <v>1</v>
      </c>
      <c r="AA166" s="1" t="str">
        <f t="shared" ca="1" si="15"/>
        <v>VENCIDO</v>
      </c>
      <c r="AB166" s="1" t="str">
        <f t="shared" si="16"/>
        <v>Dosa</v>
      </c>
      <c r="AC166" s="2" t="str">
        <f t="shared" si="20"/>
        <v xml:space="preserve"> RINALDO </v>
      </c>
      <c r="AD166" s="2">
        <f t="shared" si="17"/>
        <v>5</v>
      </c>
      <c r="AE166" s="2">
        <f t="shared" ca="1" si="18"/>
        <v>-526.12748692129389</v>
      </c>
      <c r="AF166" s="15"/>
    </row>
    <row r="167" spans="1:32" hidden="1">
      <c r="A167" s="1">
        <v>7726519</v>
      </c>
      <c r="B167" s="1" t="s">
        <v>81</v>
      </c>
      <c r="C167" t="s">
        <v>240</v>
      </c>
      <c r="E167" s="2">
        <v>608000206001</v>
      </c>
      <c r="F167" s="1" t="s">
        <v>29</v>
      </c>
      <c r="G167" s="1" t="s">
        <v>53</v>
      </c>
      <c r="H167" s="1" t="s">
        <v>438</v>
      </c>
      <c r="I167" s="1" t="s">
        <v>439</v>
      </c>
      <c r="J167" s="1" t="s">
        <v>148</v>
      </c>
      <c r="K167" t="s">
        <v>34</v>
      </c>
      <c r="M167" s="1" t="s">
        <v>35</v>
      </c>
      <c r="N167" s="1">
        <v>42318949</v>
      </c>
      <c r="O167" s="1" t="s">
        <v>36</v>
      </c>
      <c r="P167" s="11" t="s">
        <v>440</v>
      </c>
      <c r="R167" s="1" t="s">
        <v>38</v>
      </c>
      <c r="T167" s="1" t="s">
        <v>74</v>
      </c>
      <c r="U167" s="11" t="s">
        <v>441</v>
      </c>
      <c r="V167" s="1" t="s">
        <v>41</v>
      </c>
      <c r="W167" s="1" t="s">
        <v>49</v>
      </c>
      <c r="X167" s="13" t="str">
        <f t="shared" si="19"/>
        <v/>
      </c>
      <c r="Y167" s="2">
        <f t="shared" ca="1" si="14"/>
        <v>378</v>
      </c>
      <c r="Z167" s="14">
        <v>1</v>
      </c>
      <c r="AA167" s="1" t="str">
        <f t="shared" ca="1" si="15"/>
        <v>VENCIDO</v>
      </c>
      <c r="AB167" s="1" t="str">
        <f t="shared" si="16"/>
        <v>Dosa</v>
      </c>
      <c r="AC167" s="2" t="str">
        <f t="shared" si="20"/>
        <v xml:space="preserve"> RINALDO </v>
      </c>
      <c r="AD167" s="2">
        <f t="shared" si="17"/>
        <v>5</v>
      </c>
      <c r="AE167" s="2">
        <f t="shared" ca="1" si="18"/>
        <v>-526.12749849537067</v>
      </c>
      <c r="AF167" s="15"/>
    </row>
    <row r="168" spans="1:32" hidden="1">
      <c r="A168" s="1">
        <v>7726518</v>
      </c>
      <c r="B168" s="1" t="s">
        <v>81</v>
      </c>
      <c r="C168" t="s">
        <v>240</v>
      </c>
      <c r="E168" s="2">
        <v>537000206001</v>
      </c>
      <c r="F168" s="1" t="s">
        <v>29</v>
      </c>
      <c r="G168" s="1" t="s">
        <v>53</v>
      </c>
      <c r="H168" s="1" t="s">
        <v>442</v>
      </c>
      <c r="I168" s="1" t="s">
        <v>443</v>
      </c>
      <c r="J168" s="1" t="s">
        <v>79</v>
      </c>
      <c r="K168" t="s">
        <v>34</v>
      </c>
      <c r="M168" s="1" t="s">
        <v>35</v>
      </c>
      <c r="N168" s="1">
        <v>42318949</v>
      </c>
      <c r="O168" s="1" t="s">
        <v>36</v>
      </c>
      <c r="P168" s="11" t="s">
        <v>440</v>
      </c>
      <c r="R168" s="1" t="s">
        <v>38</v>
      </c>
      <c r="T168" s="1" t="s">
        <v>74</v>
      </c>
      <c r="U168" s="11" t="s">
        <v>441</v>
      </c>
      <c r="V168" s="1" t="s">
        <v>41</v>
      </c>
      <c r="W168" s="1" t="s">
        <v>49</v>
      </c>
      <c r="X168" s="13" t="str">
        <f t="shared" si="19"/>
        <v/>
      </c>
      <c r="Y168" s="2">
        <f t="shared" ca="1" si="14"/>
        <v>378</v>
      </c>
      <c r="Z168" s="14">
        <v>1</v>
      </c>
      <c r="AA168" s="1" t="str">
        <f t="shared" ca="1" si="15"/>
        <v>VENCIDO</v>
      </c>
      <c r="AB168" s="1" t="str">
        <f t="shared" si="16"/>
        <v>Dosa</v>
      </c>
      <c r="AC168" s="2" t="str">
        <f t="shared" si="20"/>
        <v xml:space="preserve"> ROSEMERE </v>
      </c>
      <c r="AD168" s="2">
        <f t="shared" si="17"/>
        <v>5</v>
      </c>
      <c r="AE168" s="2">
        <f t="shared" ca="1" si="18"/>
        <v>-526.12749849537067</v>
      </c>
      <c r="AF168" s="15"/>
    </row>
    <row r="169" spans="1:32" hidden="1">
      <c r="A169" s="1">
        <v>7726511</v>
      </c>
      <c r="B169" s="1" t="s">
        <v>81</v>
      </c>
      <c r="C169" t="s">
        <v>240</v>
      </c>
      <c r="E169" s="2">
        <v>594000206001</v>
      </c>
      <c r="F169" s="1" t="s">
        <v>29</v>
      </c>
      <c r="G169" s="1" t="s">
        <v>53</v>
      </c>
      <c r="H169" s="1" t="s">
        <v>444</v>
      </c>
      <c r="I169" s="1" t="s">
        <v>445</v>
      </c>
      <c r="J169" s="1" t="s">
        <v>33</v>
      </c>
      <c r="K169" t="s">
        <v>34</v>
      </c>
      <c r="M169" s="1" t="s">
        <v>35</v>
      </c>
      <c r="N169" s="1">
        <v>42318949</v>
      </c>
      <c r="O169" s="1" t="s">
        <v>36</v>
      </c>
      <c r="P169" s="11" t="s">
        <v>446</v>
      </c>
      <c r="R169" s="1" t="s">
        <v>38</v>
      </c>
      <c r="T169" s="1" t="s">
        <v>74</v>
      </c>
      <c r="U169" s="11" t="s">
        <v>447</v>
      </c>
      <c r="V169" s="1" t="s">
        <v>41</v>
      </c>
      <c r="W169" s="1" t="s">
        <v>42</v>
      </c>
      <c r="X169" s="13" t="str">
        <f t="shared" si="19"/>
        <v/>
      </c>
      <c r="Y169" s="2">
        <f t="shared" ca="1" si="14"/>
        <v>378</v>
      </c>
      <c r="Z169" s="14">
        <v>1</v>
      </c>
      <c r="AA169" s="1" t="str">
        <f t="shared" ca="1" si="15"/>
        <v>VENCIDO</v>
      </c>
      <c r="AB169" s="1" t="str">
        <f t="shared" si="16"/>
        <v>Dosa</v>
      </c>
      <c r="AC169" s="2" t="str">
        <f t="shared" si="20"/>
        <v xml:space="preserve"> ROSEMERE </v>
      </c>
      <c r="AD169" s="2">
        <f t="shared" si="17"/>
        <v>5</v>
      </c>
      <c r="AE169" s="2">
        <f t="shared" ca="1" si="18"/>
        <v>-526.12751006944745</v>
      </c>
      <c r="AF169" s="15"/>
    </row>
    <row r="170" spans="1:32" hidden="1">
      <c r="A170" s="1">
        <v>7726505</v>
      </c>
      <c r="B170" s="1" t="s">
        <v>81</v>
      </c>
      <c r="C170" t="s">
        <v>240</v>
      </c>
      <c r="E170" s="2">
        <v>2830000206001</v>
      </c>
      <c r="F170" s="1" t="s">
        <v>29</v>
      </c>
      <c r="G170" s="1" t="s">
        <v>53</v>
      </c>
      <c r="H170" s="1" t="s">
        <v>448</v>
      </c>
      <c r="I170" s="1" t="s">
        <v>449</v>
      </c>
      <c r="J170" s="1" t="s">
        <v>33</v>
      </c>
      <c r="K170" t="s">
        <v>34</v>
      </c>
      <c r="M170" s="1" t="s">
        <v>35</v>
      </c>
      <c r="N170" s="1">
        <v>42318949</v>
      </c>
      <c r="O170" s="1" t="s">
        <v>36</v>
      </c>
      <c r="P170" s="11" t="s">
        <v>446</v>
      </c>
      <c r="R170" s="1" t="s">
        <v>38</v>
      </c>
      <c r="T170" s="1" t="s">
        <v>74</v>
      </c>
      <c r="U170" s="11" t="s">
        <v>447</v>
      </c>
      <c r="V170" s="1" t="s">
        <v>41</v>
      </c>
      <c r="W170" s="1" t="s">
        <v>42</v>
      </c>
      <c r="X170" s="13" t="str">
        <f t="shared" si="19"/>
        <v/>
      </c>
      <c r="Y170" s="2">
        <f t="shared" ca="1" si="14"/>
        <v>378</v>
      </c>
      <c r="Z170" s="14">
        <v>1</v>
      </c>
      <c r="AA170" s="1" t="str">
        <f t="shared" ca="1" si="15"/>
        <v>VENCIDO</v>
      </c>
      <c r="AB170" s="1" t="str">
        <f t="shared" si="16"/>
        <v>Dosa</v>
      </c>
      <c r="AC170" s="2" t="str">
        <f t="shared" si="20"/>
        <v xml:space="preserve"> ROSEMERE </v>
      </c>
      <c r="AD170" s="2">
        <f t="shared" si="17"/>
        <v>5</v>
      </c>
      <c r="AE170" s="2">
        <f t="shared" ca="1" si="18"/>
        <v>-526.12751006944745</v>
      </c>
      <c r="AF170" s="15"/>
    </row>
    <row r="171" spans="1:32" hidden="1">
      <c r="A171" s="1">
        <v>7898328</v>
      </c>
      <c r="B171" s="1" t="s">
        <v>81</v>
      </c>
      <c r="C171" t="s">
        <v>450</v>
      </c>
      <c r="E171" s="2">
        <v>1664000206001</v>
      </c>
      <c r="F171" s="1" t="s">
        <v>29</v>
      </c>
      <c r="G171" s="1" t="s">
        <v>53</v>
      </c>
      <c r="H171" s="1" t="s">
        <v>307</v>
      </c>
      <c r="I171" s="1" t="s">
        <v>308</v>
      </c>
      <c r="J171" s="1" t="s">
        <v>164</v>
      </c>
      <c r="K171" t="s">
        <v>34</v>
      </c>
      <c r="M171" s="1" t="s">
        <v>35</v>
      </c>
      <c r="N171" s="1">
        <v>42318949</v>
      </c>
      <c r="O171" s="1" t="s">
        <v>36</v>
      </c>
      <c r="P171" s="11" t="s">
        <v>3412</v>
      </c>
      <c r="R171" s="1" t="s">
        <v>38</v>
      </c>
      <c r="T171" s="1" t="s">
        <v>74</v>
      </c>
      <c r="U171" s="11" t="s">
        <v>3413</v>
      </c>
      <c r="V171" s="1" t="s">
        <v>41</v>
      </c>
      <c r="W171" s="1" t="s">
        <v>49</v>
      </c>
      <c r="X171" s="13" t="str">
        <f t="shared" si="19"/>
        <v/>
      </c>
      <c r="Y171" s="2">
        <f t="shared" ca="1" si="14"/>
        <v>373</v>
      </c>
      <c r="Z171" s="14">
        <v>1</v>
      </c>
      <c r="AA171" s="1" t="str">
        <f t="shared" ca="1" si="15"/>
        <v>VENCIDO</v>
      </c>
      <c r="AB171" s="1" t="str">
        <f t="shared" si="16"/>
        <v>Dosa</v>
      </c>
      <c r="AC171" s="2" t="str">
        <f t="shared" si="20"/>
        <v xml:space="preserve"> ROSEMERE </v>
      </c>
      <c r="AD171" s="2">
        <f t="shared" si="17"/>
        <v>5</v>
      </c>
      <c r="AE171" s="2">
        <f t="shared" ca="1" si="18"/>
        <v>-518.86585497685155</v>
      </c>
      <c r="AF171" s="15"/>
    </row>
    <row r="172" spans="1:32" hidden="1">
      <c r="A172" s="1">
        <v>7898195</v>
      </c>
      <c r="B172" s="1" t="s">
        <v>81</v>
      </c>
      <c r="C172" t="s">
        <v>450</v>
      </c>
      <c r="E172" s="2">
        <v>2107000206001</v>
      </c>
      <c r="F172" s="1" t="s">
        <v>29</v>
      </c>
      <c r="G172" s="1" t="s">
        <v>53</v>
      </c>
      <c r="H172" s="1" t="s">
        <v>262</v>
      </c>
      <c r="I172" s="1" t="s">
        <v>263</v>
      </c>
      <c r="J172" s="1" t="s">
        <v>164</v>
      </c>
      <c r="K172" t="s">
        <v>34</v>
      </c>
      <c r="M172" s="1" t="s">
        <v>35</v>
      </c>
      <c r="N172" s="1">
        <v>42318949</v>
      </c>
      <c r="O172" s="1" t="s">
        <v>36</v>
      </c>
      <c r="P172" s="11" t="s">
        <v>3414</v>
      </c>
      <c r="R172" s="1" t="s">
        <v>38</v>
      </c>
      <c r="T172" s="1" t="s">
        <v>74</v>
      </c>
      <c r="U172" s="11" t="s">
        <v>3415</v>
      </c>
      <c r="V172" s="1" t="s">
        <v>41</v>
      </c>
      <c r="W172" s="1" t="s">
        <v>49</v>
      </c>
      <c r="X172" s="13" t="str">
        <f t="shared" si="19"/>
        <v/>
      </c>
      <c r="Y172" s="2">
        <f t="shared" ca="1" si="14"/>
        <v>373</v>
      </c>
      <c r="Z172" s="14">
        <v>1</v>
      </c>
      <c r="AA172" s="1" t="str">
        <f t="shared" ca="1" si="15"/>
        <v>VENCIDO</v>
      </c>
      <c r="AB172" s="1" t="str">
        <f t="shared" si="16"/>
        <v>Dosa</v>
      </c>
      <c r="AC172" s="2" t="str">
        <f t="shared" si="20"/>
        <v xml:space="preserve"> ROSEMERE </v>
      </c>
      <c r="AD172" s="2">
        <f t="shared" si="17"/>
        <v>5</v>
      </c>
      <c r="AE172" s="2">
        <f t="shared" ca="1" si="18"/>
        <v>-518.87271840278117</v>
      </c>
      <c r="AF172" s="15"/>
    </row>
    <row r="173" spans="1:32" hidden="1">
      <c r="A173" s="1">
        <v>7898176</v>
      </c>
      <c r="B173" s="1" t="s">
        <v>81</v>
      </c>
      <c r="C173" t="s">
        <v>450</v>
      </c>
      <c r="E173" s="2">
        <v>2559000206001</v>
      </c>
      <c r="F173" s="1" t="s">
        <v>29</v>
      </c>
      <c r="G173" s="1" t="s">
        <v>53</v>
      </c>
      <c r="H173" s="1" t="s">
        <v>259</v>
      </c>
      <c r="I173" s="1" t="s">
        <v>260</v>
      </c>
      <c r="J173" s="1" t="s">
        <v>261</v>
      </c>
      <c r="K173" t="s">
        <v>34</v>
      </c>
      <c r="M173" s="1" t="s">
        <v>35</v>
      </c>
      <c r="N173" s="1">
        <v>42318949</v>
      </c>
      <c r="O173" s="1" t="s">
        <v>36</v>
      </c>
      <c r="P173" s="11" t="s">
        <v>451</v>
      </c>
      <c r="R173" s="1" t="s">
        <v>38</v>
      </c>
      <c r="T173" s="1" t="s">
        <v>74</v>
      </c>
      <c r="U173" s="11" t="s">
        <v>452</v>
      </c>
      <c r="V173" s="1" t="s">
        <v>41</v>
      </c>
      <c r="W173" s="1" t="s">
        <v>49</v>
      </c>
      <c r="X173" s="13" t="str">
        <f t="shared" si="19"/>
        <v/>
      </c>
      <c r="Y173" s="2">
        <f t="shared" ca="1" si="14"/>
        <v>373</v>
      </c>
      <c r="Z173" s="14">
        <v>1</v>
      </c>
      <c r="AA173" s="1" t="str">
        <f t="shared" ca="1" si="15"/>
        <v>VENCIDO</v>
      </c>
      <c r="AB173" s="1" t="str">
        <f t="shared" si="16"/>
        <v>Dosa</v>
      </c>
      <c r="AC173" s="2" t="str">
        <f t="shared" si="20"/>
        <v xml:space="preserve"> CRISTINA </v>
      </c>
      <c r="AD173" s="2">
        <f t="shared" si="17"/>
        <v>5</v>
      </c>
      <c r="AE173" s="2">
        <f t="shared" ca="1" si="18"/>
        <v>-518.87301932870469</v>
      </c>
      <c r="AF173" s="15"/>
    </row>
    <row r="174" spans="1:32" hidden="1">
      <c r="A174" s="1">
        <v>7897993</v>
      </c>
      <c r="B174" s="1" t="s">
        <v>81</v>
      </c>
      <c r="C174" t="s">
        <v>450</v>
      </c>
      <c r="E174" s="2">
        <v>2564000206001</v>
      </c>
      <c r="F174" s="1" t="s">
        <v>29</v>
      </c>
      <c r="G174" s="1" t="s">
        <v>53</v>
      </c>
      <c r="H174" s="1" t="s">
        <v>255</v>
      </c>
      <c r="I174" s="1" t="s">
        <v>256</v>
      </c>
      <c r="J174" s="1" t="s">
        <v>164</v>
      </c>
      <c r="K174" t="s">
        <v>34</v>
      </c>
      <c r="M174" s="1" t="s">
        <v>35</v>
      </c>
      <c r="N174" s="1">
        <v>42318949</v>
      </c>
      <c r="O174" s="1" t="s">
        <v>36</v>
      </c>
      <c r="P174" s="11" t="s">
        <v>3416</v>
      </c>
      <c r="R174" s="1" t="s">
        <v>38</v>
      </c>
      <c r="T174" s="1" t="s">
        <v>74</v>
      </c>
      <c r="U174" s="11" t="s">
        <v>3417</v>
      </c>
      <c r="V174" s="1" t="s">
        <v>41</v>
      </c>
      <c r="W174" s="1" t="s">
        <v>49</v>
      </c>
      <c r="X174" s="13" t="str">
        <f t="shared" si="19"/>
        <v/>
      </c>
      <c r="Y174" s="2">
        <f t="shared" ca="1" si="14"/>
        <v>373</v>
      </c>
      <c r="Z174" s="14">
        <v>1</v>
      </c>
      <c r="AA174" s="1" t="str">
        <f t="shared" ca="1" si="15"/>
        <v>VENCIDO</v>
      </c>
      <c r="AB174" s="1" t="str">
        <f t="shared" si="16"/>
        <v>Dosa</v>
      </c>
      <c r="AC174" s="2" t="str">
        <f t="shared" si="20"/>
        <v xml:space="preserve"> ROSEMERE </v>
      </c>
      <c r="AD174" s="2">
        <f t="shared" si="17"/>
        <v>5</v>
      </c>
      <c r="AE174" s="2">
        <f t="shared" ca="1" si="18"/>
        <v>-518.87338969907432</v>
      </c>
      <c r="AF174" s="15"/>
    </row>
    <row r="175" spans="1:32" hidden="1">
      <c r="A175" s="1">
        <v>7973155</v>
      </c>
      <c r="B175" s="1" t="s">
        <v>62</v>
      </c>
      <c r="C175" t="s">
        <v>453</v>
      </c>
      <c r="E175" s="2">
        <v>1836000203000</v>
      </c>
      <c r="F175" s="1" t="s">
        <v>454</v>
      </c>
      <c r="G175" s="1" t="s">
        <v>53</v>
      </c>
      <c r="H175" s="1" t="s">
        <v>455</v>
      </c>
      <c r="I175" s="1" t="s">
        <v>456</v>
      </c>
      <c r="J175" s="1" t="s">
        <v>46</v>
      </c>
      <c r="K175" t="s">
        <v>457</v>
      </c>
      <c r="M175" s="1" t="s">
        <v>58</v>
      </c>
      <c r="N175" s="1">
        <v>0</v>
      </c>
      <c r="O175" s="1" t="s">
        <v>105</v>
      </c>
      <c r="P175" s="11" t="s">
        <v>458</v>
      </c>
      <c r="R175" s="1" t="s">
        <v>38</v>
      </c>
      <c r="T175" s="1" t="s">
        <v>157</v>
      </c>
      <c r="U175" s="186">
        <v>44508.75</v>
      </c>
      <c r="V175" s="1" t="s">
        <v>41</v>
      </c>
      <c r="W175" s="1" t="s">
        <v>49</v>
      </c>
      <c r="X175" s="13" t="str">
        <f t="shared" si="19"/>
        <v/>
      </c>
      <c r="Y175" s="2">
        <f t="shared" ca="1" si="14"/>
        <v>370</v>
      </c>
      <c r="Z175" s="14">
        <v>1</v>
      </c>
      <c r="AA175" s="1" t="str">
        <f t="shared" ca="1" si="15"/>
        <v>VENCIDO</v>
      </c>
      <c r="AB175" s="1" t="str">
        <f t="shared" si="16"/>
        <v>C-14</v>
      </c>
      <c r="AC175" s="2" t="str">
        <f t="shared" si="20"/>
        <v xml:space="preserve"> CLEITON </v>
      </c>
      <c r="AD175" s="2">
        <f t="shared" si="17"/>
        <v>5</v>
      </c>
      <c r="AE175" s="2">
        <f t="shared" ca="1" si="18"/>
        <v>-477.9262716435187</v>
      </c>
      <c r="AF175" s="15"/>
    </row>
    <row r="176" spans="1:32" hidden="1">
      <c r="A176" s="1">
        <v>7973154</v>
      </c>
      <c r="B176" s="1" t="s">
        <v>62</v>
      </c>
      <c r="C176" t="s">
        <v>453</v>
      </c>
      <c r="E176" s="2">
        <v>1836000203000</v>
      </c>
      <c r="F176" s="1" t="s">
        <v>454</v>
      </c>
      <c r="G176" s="1" t="s">
        <v>53</v>
      </c>
      <c r="H176" s="1" t="s">
        <v>455</v>
      </c>
      <c r="I176" s="1" t="s">
        <v>456</v>
      </c>
      <c r="J176" s="1" t="s">
        <v>46</v>
      </c>
      <c r="K176" t="s">
        <v>457</v>
      </c>
      <c r="M176" s="1" t="s">
        <v>58</v>
      </c>
      <c r="N176" s="1">
        <v>0</v>
      </c>
      <c r="O176" s="1" t="s">
        <v>105</v>
      </c>
      <c r="P176" s="11" t="s">
        <v>458</v>
      </c>
      <c r="R176" s="1" t="s">
        <v>38</v>
      </c>
      <c r="T176" s="1" t="s">
        <v>157</v>
      </c>
      <c r="U176" s="186">
        <v>44508.75</v>
      </c>
      <c r="V176" s="1" t="s">
        <v>41</v>
      </c>
      <c r="W176" s="1" t="s">
        <v>49</v>
      </c>
      <c r="X176" s="13" t="str">
        <f t="shared" si="19"/>
        <v/>
      </c>
      <c r="Y176" s="2">
        <f t="shared" ca="1" si="14"/>
        <v>370</v>
      </c>
      <c r="Z176" s="14">
        <v>1</v>
      </c>
      <c r="AA176" s="1" t="str">
        <f t="shared" ca="1" si="15"/>
        <v>VENCIDO</v>
      </c>
      <c r="AB176" s="1" t="str">
        <f t="shared" si="16"/>
        <v>C-14</v>
      </c>
      <c r="AC176" s="2" t="str">
        <f t="shared" si="20"/>
        <v xml:space="preserve"> CLEITON </v>
      </c>
      <c r="AD176" s="2">
        <f t="shared" si="17"/>
        <v>5</v>
      </c>
      <c r="AE176" s="2">
        <f t="shared" ca="1" si="18"/>
        <v>-477.9262716435187</v>
      </c>
      <c r="AF176" s="15"/>
    </row>
    <row r="177" spans="1:32" hidden="1">
      <c r="A177" s="1">
        <v>7973153</v>
      </c>
      <c r="B177" s="1" t="s">
        <v>62</v>
      </c>
      <c r="C177" t="s">
        <v>453</v>
      </c>
      <c r="E177" s="2">
        <v>1836000203000</v>
      </c>
      <c r="F177" s="1" t="s">
        <v>454</v>
      </c>
      <c r="G177" s="1" t="s">
        <v>53</v>
      </c>
      <c r="H177" s="1" t="s">
        <v>455</v>
      </c>
      <c r="I177" s="1" t="s">
        <v>456</v>
      </c>
      <c r="J177" s="1" t="s">
        <v>46</v>
      </c>
      <c r="K177" t="s">
        <v>457</v>
      </c>
      <c r="M177" s="1" t="s">
        <v>58</v>
      </c>
      <c r="N177" s="1">
        <v>0</v>
      </c>
      <c r="O177" s="1" t="s">
        <v>105</v>
      </c>
      <c r="P177" s="11" t="s">
        <v>458</v>
      </c>
      <c r="R177" s="1" t="s">
        <v>38</v>
      </c>
      <c r="T177" s="1" t="s">
        <v>157</v>
      </c>
      <c r="U177" s="186">
        <v>44508.75</v>
      </c>
      <c r="V177" s="1" t="s">
        <v>41</v>
      </c>
      <c r="W177" s="1" t="s">
        <v>49</v>
      </c>
      <c r="X177" s="13" t="str">
        <f t="shared" si="19"/>
        <v/>
      </c>
      <c r="Y177" s="2">
        <f t="shared" ca="1" si="14"/>
        <v>370</v>
      </c>
      <c r="Z177" s="14">
        <v>1</v>
      </c>
      <c r="AA177" s="1" t="str">
        <f t="shared" ca="1" si="15"/>
        <v>VENCIDO</v>
      </c>
      <c r="AB177" s="1" t="str">
        <f t="shared" si="16"/>
        <v>C-14</v>
      </c>
      <c r="AC177" s="2" t="str">
        <f t="shared" si="20"/>
        <v xml:space="preserve"> CLEITON </v>
      </c>
      <c r="AD177" s="2">
        <f t="shared" si="17"/>
        <v>5</v>
      </c>
      <c r="AE177" s="2">
        <f t="shared" ca="1" si="18"/>
        <v>-477.9262716435187</v>
      </c>
      <c r="AF177" s="15"/>
    </row>
    <row r="178" spans="1:32" hidden="1">
      <c r="A178" s="1">
        <v>7973152</v>
      </c>
      <c r="B178" s="1" t="s">
        <v>62</v>
      </c>
      <c r="C178" t="s">
        <v>453</v>
      </c>
      <c r="E178" s="2">
        <v>1836000203000</v>
      </c>
      <c r="F178" s="1" t="s">
        <v>454</v>
      </c>
      <c r="G178" s="1" t="s">
        <v>53</v>
      </c>
      <c r="H178" s="1" t="s">
        <v>455</v>
      </c>
      <c r="I178" s="1" t="s">
        <v>456</v>
      </c>
      <c r="J178" s="1" t="s">
        <v>46</v>
      </c>
      <c r="K178" t="s">
        <v>457</v>
      </c>
      <c r="M178" s="1" t="s">
        <v>58</v>
      </c>
      <c r="N178" s="1">
        <v>0</v>
      </c>
      <c r="O178" s="1" t="s">
        <v>105</v>
      </c>
      <c r="P178" s="11" t="s">
        <v>458</v>
      </c>
      <c r="R178" s="1" t="s">
        <v>38</v>
      </c>
      <c r="T178" s="1" t="s">
        <v>157</v>
      </c>
      <c r="U178" s="186">
        <v>44508.75</v>
      </c>
      <c r="V178" s="1" t="s">
        <v>41</v>
      </c>
      <c r="W178" s="1" t="s">
        <v>49</v>
      </c>
      <c r="X178" s="13" t="str">
        <f t="shared" si="19"/>
        <v/>
      </c>
      <c r="Y178" s="2">
        <f t="shared" ca="1" si="14"/>
        <v>370</v>
      </c>
      <c r="Z178" s="14">
        <v>1</v>
      </c>
      <c r="AA178" s="1" t="str">
        <f t="shared" ca="1" si="15"/>
        <v>VENCIDO</v>
      </c>
      <c r="AB178" s="1" t="str">
        <f t="shared" si="16"/>
        <v>C-14</v>
      </c>
      <c r="AC178" s="2" t="str">
        <f t="shared" si="20"/>
        <v xml:space="preserve"> CLEITON </v>
      </c>
      <c r="AD178" s="2">
        <f t="shared" si="17"/>
        <v>5</v>
      </c>
      <c r="AE178" s="2">
        <f t="shared" ca="1" si="18"/>
        <v>-477.9262716435187</v>
      </c>
      <c r="AF178" s="15"/>
    </row>
    <row r="179" spans="1:32" hidden="1">
      <c r="A179" s="1">
        <v>7973151</v>
      </c>
      <c r="B179" s="1" t="s">
        <v>62</v>
      </c>
      <c r="C179" t="s">
        <v>453</v>
      </c>
      <c r="E179" s="2">
        <v>1836000203000</v>
      </c>
      <c r="F179" s="1" t="s">
        <v>454</v>
      </c>
      <c r="G179" s="1" t="s">
        <v>53</v>
      </c>
      <c r="H179" s="1" t="s">
        <v>455</v>
      </c>
      <c r="I179" s="1" t="s">
        <v>456</v>
      </c>
      <c r="J179" s="1" t="s">
        <v>46</v>
      </c>
      <c r="K179" t="s">
        <v>457</v>
      </c>
      <c r="M179" s="1" t="s">
        <v>58</v>
      </c>
      <c r="N179" s="1">
        <v>0</v>
      </c>
      <c r="O179" s="1" t="s">
        <v>105</v>
      </c>
      <c r="P179" s="11" t="s">
        <v>458</v>
      </c>
      <c r="R179" s="1" t="s">
        <v>38</v>
      </c>
      <c r="T179" s="1" t="s">
        <v>157</v>
      </c>
      <c r="U179" s="186">
        <v>44508.75</v>
      </c>
      <c r="V179" s="1" t="s">
        <v>41</v>
      </c>
      <c r="W179" s="1" t="s">
        <v>49</v>
      </c>
      <c r="X179" s="13" t="str">
        <f t="shared" si="19"/>
        <v/>
      </c>
      <c r="Y179" s="2">
        <f t="shared" ca="1" si="14"/>
        <v>370</v>
      </c>
      <c r="Z179" s="14">
        <v>1</v>
      </c>
      <c r="AA179" s="1" t="str">
        <f t="shared" ca="1" si="15"/>
        <v>VENCIDO</v>
      </c>
      <c r="AB179" s="1" t="str">
        <f t="shared" si="16"/>
        <v>C-14</v>
      </c>
      <c r="AC179" s="2" t="str">
        <f t="shared" si="20"/>
        <v xml:space="preserve"> CLEITON </v>
      </c>
      <c r="AD179" s="2">
        <f t="shared" si="17"/>
        <v>5</v>
      </c>
      <c r="AE179" s="2">
        <f t="shared" ca="1" si="18"/>
        <v>-477.9262716435187</v>
      </c>
      <c r="AF179" s="15"/>
    </row>
    <row r="180" spans="1:32" hidden="1">
      <c r="A180" s="1">
        <v>7973150</v>
      </c>
      <c r="B180" s="1" t="s">
        <v>62</v>
      </c>
      <c r="C180" t="s">
        <v>453</v>
      </c>
      <c r="E180" s="2">
        <v>1836000203000</v>
      </c>
      <c r="F180" s="1" t="s">
        <v>454</v>
      </c>
      <c r="G180" s="1" t="s">
        <v>53</v>
      </c>
      <c r="H180" s="1" t="s">
        <v>455</v>
      </c>
      <c r="I180" s="1" t="s">
        <v>456</v>
      </c>
      <c r="J180" s="1" t="s">
        <v>46</v>
      </c>
      <c r="K180" t="s">
        <v>457</v>
      </c>
      <c r="M180" s="1" t="s">
        <v>58</v>
      </c>
      <c r="N180" s="1">
        <v>0</v>
      </c>
      <c r="O180" s="1" t="s">
        <v>105</v>
      </c>
      <c r="P180" s="11" t="s">
        <v>460</v>
      </c>
      <c r="R180" s="1" t="s">
        <v>38</v>
      </c>
      <c r="T180" s="1" t="s">
        <v>157</v>
      </c>
      <c r="U180" s="186">
        <v>44508.75</v>
      </c>
      <c r="V180" s="1" t="s">
        <v>41</v>
      </c>
      <c r="W180" s="1" t="s">
        <v>49</v>
      </c>
      <c r="X180" s="13" t="str">
        <f t="shared" si="19"/>
        <v/>
      </c>
      <c r="Y180" s="2">
        <f t="shared" ca="1" si="14"/>
        <v>370</v>
      </c>
      <c r="Z180" s="14">
        <v>1</v>
      </c>
      <c r="AA180" s="1" t="str">
        <f t="shared" ca="1" si="15"/>
        <v>VENCIDO</v>
      </c>
      <c r="AB180" s="1" t="str">
        <f t="shared" si="16"/>
        <v>C-14</v>
      </c>
      <c r="AC180" s="2" t="str">
        <f t="shared" si="20"/>
        <v xml:space="preserve"> CLEITON </v>
      </c>
      <c r="AD180" s="2">
        <f t="shared" si="17"/>
        <v>5</v>
      </c>
      <c r="AE180" s="2">
        <f t="shared" ca="1" si="18"/>
        <v>-477.9262716435187</v>
      </c>
      <c r="AF180" s="15"/>
    </row>
    <row r="181" spans="1:32" hidden="1">
      <c r="A181" s="1">
        <v>7973149</v>
      </c>
      <c r="B181" s="1" t="s">
        <v>62</v>
      </c>
      <c r="C181" t="s">
        <v>453</v>
      </c>
      <c r="E181" s="2">
        <v>1836000203000</v>
      </c>
      <c r="F181" s="1" t="s">
        <v>454</v>
      </c>
      <c r="G181" s="1" t="s">
        <v>53</v>
      </c>
      <c r="H181" s="1" t="s">
        <v>455</v>
      </c>
      <c r="I181" s="1" t="s">
        <v>456</v>
      </c>
      <c r="J181" s="1" t="s">
        <v>46</v>
      </c>
      <c r="K181" t="s">
        <v>457</v>
      </c>
      <c r="M181" s="1" t="s">
        <v>58</v>
      </c>
      <c r="N181" s="1">
        <v>0</v>
      </c>
      <c r="O181" s="1" t="s">
        <v>105</v>
      </c>
      <c r="P181" s="11" t="s">
        <v>460</v>
      </c>
      <c r="R181" s="1" t="s">
        <v>38</v>
      </c>
      <c r="T181" s="1" t="s">
        <v>157</v>
      </c>
      <c r="U181" s="186">
        <v>44508.75</v>
      </c>
      <c r="V181" s="1" t="s">
        <v>41</v>
      </c>
      <c r="W181" s="1" t="s">
        <v>49</v>
      </c>
      <c r="X181" s="13" t="str">
        <f t="shared" si="19"/>
        <v/>
      </c>
      <c r="Y181" s="2">
        <f t="shared" ca="1" si="14"/>
        <v>370</v>
      </c>
      <c r="Z181" s="14">
        <v>1</v>
      </c>
      <c r="AA181" s="1" t="str">
        <f t="shared" ca="1" si="15"/>
        <v>VENCIDO</v>
      </c>
      <c r="AB181" s="1" t="str">
        <f t="shared" si="16"/>
        <v>C-14</v>
      </c>
      <c r="AC181" s="2" t="str">
        <f t="shared" si="20"/>
        <v xml:space="preserve"> CLEITON </v>
      </c>
      <c r="AD181" s="2">
        <f t="shared" si="17"/>
        <v>5</v>
      </c>
      <c r="AE181" s="2">
        <f t="shared" ca="1" si="18"/>
        <v>-477.9262716435187</v>
      </c>
      <c r="AF181" s="15"/>
    </row>
    <row r="182" spans="1:32" hidden="1">
      <c r="A182" s="1">
        <v>7973089</v>
      </c>
      <c r="B182" s="1" t="s">
        <v>62</v>
      </c>
      <c r="C182" t="s">
        <v>453</v>
      </c>
      <c r="E182" s="2">
        <v>3242000203000</v>
      </c>
      <c r="F182" s="1" t="s">
        <v>454</v>
      </c>
      <c r="G182" s="1" t="s">
        <v>53</v>
      </c>
      <c r="H182" s="1" t="s">
        <v>461</v>
      </c>
      <c r="I182" s="1" t="s">
        <v>462</v>
      </c>
      <c r="J182" s="1" t="s">
        <v>46</v>
      </c>
      <c r="K182" t="s">
        <v>457</v>
      </c>
      <c r="M182" s="1" t="s">
        <v>58</v>
      </c>
      <c r="N182" s="1">
        <v>0</v>
      </c>
      <c r="O182" s="1" t="s">
        <v>105</v>
      </c>
      <c r="P182" s="11" t="s">
        <v>463</v>
      </c>
      <c r="R182" s="1" t="s">
        <v>38</v>
      </c>
      <c r="T182" s="1" t="s">
        <v>157</v>
      </c>
      <c r="U182" s="186">
        <v>44508.75</v>
      </c>
      <c r="V182" s="1" t="s">
        <v>41</v>
      </c>
      <c r="W182" s="1" t="s">
        <v>49</v>
      </c>
      <c r="X182" s="13" t="str">
        <f t="shared" si="19"/>
        <v/>
      </c>
      <c r="Y182" s="2">
        <f t="shared" ca="1" si="14"/>
        <v>370</v>
      </c>
      <c r="Z182" s="14">
        <v>1</v>
      </c>
      <c r="AA182" s="1" t="str">
        <f t="shared" ca="1" si="15"/>
        <v>VENCIDO</v>
      </c>
      <c r="AB182" s="1" t="str">
        <f t="shared" si="16"/>
        <v>C-14</v>
      </c>
      <c r="AC182" s="2" t="str">
        <f t="shared" si="20"/>
        <v xml:space="preserve"> CLEITON </v>
      </c>
      <c r="AD182" s="2">
        <f t="shared" si="17"/>
        <v>5</v>
      </c>
      <c r="AE182" s="2">
        <f t="shared" ca="1" si="18"/>
        <v>-477.9262716435187</v>
      </c>
      <c r="AF182" s="15"/>
    </row>
    <row r="183" spans="1:32" hidden="1">
      <c r="A183" s="1">
        <v>7973088</v>
      </c>
      <c r="B183" s="1" t="s">
        <v>62</v>
      </c>
      <c r="C183" t="s">
        <v>453</v>
      </c>
      <c r="E183" s="2">
        <v>3242000203000</v>
      </c>
      <c r="F183" s="1" t="s">
        <v>454</v>
      </c>
      <c r="G183" s="1" t="s">
        <v>53</v>
      </c>
      <c r="H183" s="1" t="s">
        <v>461</v>
      </c>
      <c r="I183" s="1" t="s">
        <v>462</v>
      </c>
      <c r="J183" s="1" t="s">
        <v>46</v>
      </c>
      <c r="K183" t="s">
        <v>457</v>
      </c>
      <c r="M183" s="1" t="s">
        <v>58</v>
      </c>
      <c r="N183" s="1">
        <v>0</v>
      </c>
      <c r="O183" s="1" t="s">
        <v>105</v>
      </c>
      <c r="P183" s="11" t="s">
        <v>463</v>
      </c>
      <c r="R183" s="1" t="s">
        <v>38</v>
      </c>
      <c r="T183" s="1" t="s">
        <v>157</v>
      </c>
      <c r="U183" s="186">
        <v>44508.75</v>
      </c>
      <c r="V183" s="1" t="s">
        <v>41</v>
      </c>
      <c r="W183" s="1" t="s">
        <v>49</v>
      </c>
      <c r="X183" s="13" t="str">
        <f t="shared" si="19"/>
        <v/>
      </c>
      <c r="Y183" s="2">
        <f t="shared" ca="1" si="14"/>
        <v>370</v>
      </c>
      <c r="Z183" s="14">
        <v>1</v>
      </c>
      <c r="AA183" s="1" t="str">
        <f t="shared" ca="1" si="15"/>
        <v>VENCIDO</v>
      </c>
      <c r="AB183" s="1" t="str">
        <f t="shared" si="16"/>
        <v>C-14</v>
      </c>
      <c r="AC183" s="2" t="str">
        <f t="shared" si="20"/>
        <v xml:space="preserve"> CLEITON </v>
      </c>
      <c r="AD183" s="2">
        <f t="shared" si="17"/>
        <v>5</v>
      </c>
      <c r="AE183" s="2">
        <f t="shared" ca="1" si="18"/>
        <v>-477.9262716435187</v>
      </c>
      <c r="AF183" s="15"/>
    </row>
    <row r="184" spans="1:32" hidden="1">
      <c r="A184" s="1">
        <v>7973087</v>
      </c>
      <c r="B184" s="1" t="s">
        <v>62</v>
      </c>
      <c r="C184" t="s">
        <v>453</v>
      </c>
      <c r="E184" s="2">
        <v>3242000203000</v>
      </c>
      <c r="F184" s="1" t="s">
        <v>454</v>
      </c>
      <c r="G184" s="1" t="s">
        <v>53</v>
      </c>
      <c r="H184" s="1" t="s">
        <v>461</v>
      </c>
      <c r="I184" s="1" t="s">
        <v>462</v>
      </c>
      <c r="J184" s="1" t="s">
        <v>46</v>
      </c>
      <c r="K184" t="s">
        <v>457</v>
      </c>
      <c r="M184" s="1" t="s">
        <v>58</v>
      </c>
      <c r="N184" s="1">
        <v>0</v>
      </c>
      <c r="O184" s="1" t="s">
        <v>105</v>
      </c>
      <c r="P184" s="11" t="s">
        <v>464</v>
      </c>
      <c r="R184" s="1" t="s">
        <v>38</v>
      </c>
      <c r="T184" s="1" t="s">
        <v>157</v>
      </c>
      <c r="U184" s="186">
        <v>44508.75</v>
      </c>
      <c r="V184" s="1" t="s">
        <v>41</v>
      </c>
      <c r="W184" s="1" t="s">
        <v>49</v>
      </c>
      <c r="X184" s="13" t="str">
        <f t="shared" si="19"/>
        <v/>
      </c>
      <c r="Y184" s="2">
        <f t="shared" ca="1" si="14"/>
        <v>370</v>
      </c>
      <c r="Z184" s="14">
        <v>1</v>
      </c>
      <c r="AA184" s="1" t="str">
        <f t="shared" ca="1" si="15"/>
        <v>VENCIDO</v>
      </c>
      <c r="AB184" s="1" t="str">
        <f t="shared" si="16"/>
        <v>C-14</v>
      </c>
      <c r="AC184" s="2" t="str">
        <f t="shared" si="20"/>
        <v xml:space="preserve"> CLEITON </v>
      </c>
      <c r="AD184" s="2">
        <f t="shared" si="17"/>
        <v>5</v>
      </c>
      <c r="AE184" s="2">
        <f t="shared" ca="1" si="18"/>
        <v>-477.9262716435187</v>
      </c>
      <c r="AF184" s="15"/>
    </row>
    <row r="185" spans="1:32" hidden="1">
      <c r="A185" s="1">
        <v>7973086</v>
      </c>
      <c r="B185" s="1" t="s">
        <v>62</v>
      </c>
      <c r="C185" t="s">
        <v>453</v>
      </c>
      <c r="E185" s="2">
        <v>3242000203000</v>
      </c>
      <c r="F185" s="1" t="s">
        <v>454</v>
      </c>
      <c r="G185" s="1" t="s">
        <v>53</v>
      </c>
      <c r="H185" s="1" t="s">
        <v>461</v>
      </c>
      <c r="I185" s="1" t="s">
        <v>462</v>
      </c>
      <c r="J185" s="1" t="s">
        <v>46</v>
      </c>
      <c r="K185" t="s">
        <v>457</v>
      </c>
      <c r="M185" s="1" t="s">
        <v>58</v>
      </c>
      <c r="N185" s="1">
        <v>0</v>
      </c>
      <c r="O185" s="1" t="s">
        <v>105</v>
      </c>
      <c r="P185" s="11" t="s">
        <v>464</v>
      </c>
      <c r="R185" s="1" t="s">
        <v>38</v>
      </c>
      <c r="T185" s="1" t="s">
        <v>157</v>
      </c>
      <c r="U185" s="186">
        <v>44508.75</v>
      </c>
      <c r="V185" s="1" t="s">
        <v>41</v>
      </c>
      <c r="W185" s="1" t="s">
        <v>49</v>
      </c>
      <c r="X185" s="13" t="str">
        <f t="shared" si="19"/>
        <v/>
      </c>
      <c r="Y185" s="2">
        <f t="shared" ca="1" si="14"/>
        <v>370</v>
      </c>
      <c r="Z185" s="14">
        <v>1</v>
      </c>
      <c r="AA185" s="1" t="str">
        <f t="shared" ca="1" si="15"/>
        <v>VENCIDO</v>
      </c>
      <c r="AB185" s="1" t="str">
        <f t="shared" si="16"/>
        <v>C-14</v>
      </c>
      <c r="AC185" s="2" t="str">
        <f t="shared" si="20"/>
        <v xml:space="preserve"> CLEITON </v>
      </c>
      <c r="AD185" s="2">
        <f t="shared" si="17"/>
        <v>5</v>
      </c>
      <c r="AE185" s="2">
        <f t="shared" ca="1" si="18"/>
        <v>-477.9262716435187</v>
      </c>
      <c r="AF185" s="15"/>
    </row>
    <row r="186" spans="1:32" hidden="1">
      <c r="A186" s="1">
        <v>7973085</v>
      </c>
      <c r="B186" s="1" t="s">
        <v>62</v>
      </c>
      <c r="C186" t="s">
        <v>453</v>
      </c>
      <c r="E186" s="2">
        <v>3242000203000</v>
      </c>
      <c r="F186" s="1" t="s">
        <v>454</v>
      </c>
      <c r="G186" s="1" t="s">
        <v>53</v>
      </c>
      <c r="H186" s="1" t="s">
        <v>461</v>
      </c>
      <c r="I186" s="1" t="s">
        <v>462</v>
      </c>
      <c r="J186" s="1" t="s">
        <v>46</v>
      </c>
      <c r="K186" t="s">
        <v>457</v>
      </c>
      <c r="M186" s="1" t="s">
        <v>58</v>
      </c>
      <c r="N186" s="1">
        <v>0</v>
      </c>
      <c r="O186" s="1" t="s">
        <v>105</v>
      </c>
      <c r="P186" s="11" t="s">
        <v>464</v>
      </c>
      <c r="R186" s="1" t="s">
        <v>38</v>
      </c>
      <c r="T186" s="1" t="s">
        <v>157</v>
      </c>
      <c r="U186" s="186">
        <v>44508.75</v>
      </c>
      <c r="V186" s="1" t="s">
        <v>41</v>
      </c>
      <c r="W186" s="1" t="s">
        <v>49</v>
      </c>
      <c r="X186" s="13" t="str">
        <f t="shared" si="19"/>
        <v/>
      </c>
      <c r="Y186" s="2">
        <f t="shared" ca="1" si="14"/>
        <v>370</v>
      </c>
      <c r="Z186" s="14">
        <v>1</v>
      </c>
      <c r="AA186" s="1" t="str">
        <f t="shared" ca="1" si="15"/>
        <v>VENCIDO</v>
      </c>
      <c r="AB186" s="1" t="str">
        <f t="shared" si="16"/>
        <v>C-14</v>
      </c>
      <c r="AC186" s="2" t="str">
        <f t="shared" si="20"/>
        <v xml:space="preserve"> CLEITON </v>
      </c>
      <c r="AD186" s="2">
        <f t="shared" si="17"/>
        <v>5</v>
      </c>
      <c r="AE186" s="2">
        <f t="shared" ca="1" si="18"/>
        <v>-477.9262716435187</v>
      </c>
      <c r="AF186" s="15"/>
    </row>
    <row r="187" spans="1:32" hidden="1">
      <c r="A187" s="1">
        <v>7970313</v>
      </c>
      <c r="B187" s="1" t="s">
        <v>62</v>
      </c>
      <c r="C187" t="s">
        <v>453</v>
      </c>
      <c r="E187" s="2">
        <v>1833000203000</v>
      </c>
      <c r="F187" s="1" t="s">
        <v>454</v>
      </c>
      <c r="G187" s="1" t="s">
        <v>53</v>
      </c>
      <c r="H187" s="1" t="s">
        <v>369</v>
      </c>
      <c r="I187" s="1" t="s">
        <v>370</v>
      </c>
      <c r="J187" s="1" t="s">
        <v>46</v>
      </c>
      <c r="K187" t="s">
        <v>457</v>
      </c>
      <c r="M187" s="1" t="s">
        <v>58</v>
      </c>
      <c r="N187" s="1">
        <v>0</v>
      </c>
      <c r="O187" s="1" t="s">
        <v>105</v>
      </c>
      <c r="P187" s="11" t="s">
        <v>465</v>
      </c>
      <c r="R187" s="1" t="s">
        <v>38</v>
      </c>
      <c r="T187" s="1" t="s">
        <v>157</v>
      </c>
      <c r="U187" s="186">
        <v>44508.75</v>
      </c>
      <c r="V187" s="1" t="s">
        <v>41</v>
      </c>
      <c r="W187" s="1" t="s">
        <v>49</v>
      </c>
      <c r="X187" s="13" t="str">
        <f t="shared" si="19"/>
        <v/>
      </c>
      <c r="Y187" s="2">
        <f t="shared" ca="1" si="14"/>
        <v>370</v>
      </c>
      <c r="Z187" s="14">
        <v>1</v>
      </c>
      <c r="AA187" s="1" t="str">
        <f t="shared" ca="1" si="15"/>
        <v>VENCIDO</v>
      </c>
      <c r="AB187" s="1" t="str">
        <f t="shared" si="16"/>
        <v>C-14</v>
      </c>
      <c r="AC187" s="2" t="str">
        <f t="shared" si="20"/>
        <v xml:space="preserve"> CLEITON </v>
      </c>
      <c r="AD187" s="2">
        <f t="shared" si="17"/>
        <v>5</v>
      </c>
      <c r="AE187" s="2">
        <f t="shared" ca="1" si="18"/>
        <v>-477.9262716435187</v>
      </c>
      <c r="AF187" s="15"/>
    </row>
    <row r="188" spans="1:32" hidden="1">
      <c r="A188" s="1">
        <v>7970312</v>
      </c>
      <c r="B188" s="1" t="s">
        <v>62</v>
      </c>
      <c r="C188" t="s">
        <v>453</v>
      </c>
      <c r="E188" s="2">
        <v>1833000203000</v>
      </c>
      <c r="F188" s="1" t="s">
        <v>454</v>
      </c>
      <c r="G188" s="1" t="s">
        <v>53</v>
      </c>
      <c r="H188" s="1" t="s">
        <v>369</v>
      </c>
      <c r="I188" s="1" t="s">
        <v>370</v>
      </c>
      <c r="J188" s="1" t="s">
        <v>46</v>
      </c>
      <c r="K188" t="s">
        <v>457</v>
      </c>
      <c r="M188" s="1" t="s">
        <v>58</v>
      </c>
      <c r="N188" s="1">
        <v>0</v>
      </c>
      <c r="O188" s="1" t="s">
        <v>105</v>
      </c>
      <c r="P188" s="11" t="s">
        <v>465</v>
      </c>
      <c r="R188" s="1" t="s">
        <v>38</v>
      </c>
      <c r="T188" s="1" t="s">
        <v>157</v>
      </c>
      <c r="U188" s="186">
        <v>44508.75</v>
      </c>
      <c r="V188" s="1" t="s">
        <v>41</v>
      </c>
      <c r="W188" s="1" t="s">
        <v>49</v>
      </c>
      <c r="X188" s="13" t="str">
        <f t="shared" si="19"/>
        <v/>
      </c>
      <c r="Y188" s="2">
        <f t="shared" ca="1" si="14"/>
        <v>370</v>
      </c>
      <c r="Z188" s="14">
        <v>1</v>
      </c>
      <c r="AA188" s="1" t="str">
        <f t="shared" ca="1" si="15"/>
        <v>VENCIDO</v>
      </c>
      <c r="AB188" s="1" t="str">
        <f t="shared" si="16"/>
        <v>C-14</v>
      </c>
      <c r="AC188" s="2" t="str">
        <f t="shared" si="20"/>
        <v xml:space="preserve"> CLEITON </v>
      </c>
      <c r="AD188" s="2">
        <f t="shared" si="17"/>
        <v>5</v>
      </c>
      <c r="AE188" s="2">
        <f t="shared" ca="1" si="18"/>
        <v>-477.9262716435187</v>
      </c>
      <c r="AF188" s="15"/>
    </row>
    <row r="189" spans="1:32" hidden="1">
      <c r="A189" s="1">
        <v>7970311</v>
      </c>
      <c r="B189" s="1" t="s">
        <v>62</v>
      </c>
      <c r="C189" t="s">
        <v>453</v>
      </c>
      <c r="E189" s="2">
        <v>1833000203000</v>
      </c>
      <c r="F189" s="1" t="s">
        <v>454</v>
      </c>
      <c r="G189" s="1" t="s">
        <v>53</v>
      </c>
      <c r="H189" s="1" t="s">
        <v>369</v>
      </c>
      <c r="I189" s="1" t="s">
        <v>370</v>
      </c>
      <c r="J189" s="1" t="s">
        <v>46</v>
      </c>
      <c r="K189" t="s">
        <v>457</v>
      </c>
      <c r="M189" s="1" t="s">
        <v>58</v>
      </c>
      <c r="N189" s="1">
        <v>0</v>
      </c>
      <c r="O189" s="1" t="s">
        <v>105</v>
      </c>
      <c r="P189" s="11" t="s">
        <v>465</v>
      </c>
      <c r="R189" s="1" t="s">
        <v>38</v>
      </c>
      <c r="T189" s="1" t="s">
        <v>157</v>
      </c>
      <c r="U189" s="186">
        <v>44508.75</v>
      </c>
      <c r="V189" s="1" t="s">
        <v>41</v>
      </c>
      <c r="W189" s="1" t="s">
        <v>49</v>
      </c>
      <c r="X189" s="13" t="str">
        <f t="shared" si="19"/>
        <v/>
      </c>
      <c r="Y189" s="2">
        <f t="shared" ca="1" si="14"/>
        <v>370</v>
      </c>
      <c r="Z189" s="14">
        <v>1</v>
      </c>
      <c r="AA189" s="1" t="str">
        <f t="shared" ca="1" si="15"/>
        <v>VENCIDO</v>
      </c>
      <c r="AB189" s="1" t="str">
        <f t="shared" si="16"/>
        <v>C-14</v>
      </c>
      <c r="AC189" s="2" t="str">
        <f t="shared" si="20"/>
        <v xml:space="preserve"> CLEITON </v>
      </c>
      <c r="AD189" s="2">
        <f t="shared" si="17"/>
        <v>5</v>
      </c>
      <c r="AE189" s="2">
        <f t="shared" ca="1" si="18"/>
        <v>-477.9262716435187</v>
      </c>
      <c r="AF189" s="15"/>
    </row>
    <row r="190" spans="1:32" hidden="1">
      <c r="A190" s="1">
        <v>7970310</v>
      </c>
      <c r="B190" s="1" t="s">
        <v>62</v>
      </c>
      <c r="C190" t="s">
        <v>453</v>
      </c>
      <c r="E190" s="2">
        <v>1833000203000</v>
      </c>
      <c r="F190" s="1" t="s">
        <v>454</v>
      </c>
      <c r="G190" s="1" t="s">
        <v>53</v>
      </c>
      <c r="H190" s="1" t="s">
        <v>369</v>
      </c>
      <c r="I190" s="1" t="s">
        <v>370</v>
      </c>
      <c r="J190" s="1" t="s">
        <v>46</v>
      </c>
      <c r="K190" t="s">
        <v>457</v>
      </c>
      <c r="M190" s="1" t="s">
        <v>58</v>
      </c>
      <c r="N190" s="1">
        <v>0</v>
      </c>
      <c r="O190" s="1" t="s">
        <v>105</v>
      </c>
      <c r="P190" s="11" t="s">
        <v>465</v>
      </c>
      <c r="R190" s="1" t="s">
        <v>38</v>
      </c>
      <c r="T190" s="1" t="s">
        <v>157</v>
      </c>
      <c r="U190" s="186">
        <v>44508.75</v>
      </c>
      <c r="V190" s="1" t="s">
        <v>41</v>
      </c>
      <c r="W190" s="1" t="s">
        <v>49</v>
      </c>
      <c r="X190" s="13" t="str">
        <f t="shared" si="19"/>
        <v/>
      </c>
      <c r="Y190" s="2">
        <f t="shared" ca="1" si="14"/>
        <v>370</v>
      </c>
      <c r="Z190" s="14">
        <v>1</v>
      </c>
      <c r="AA190" s="1" t="str">
        <f t="shared" ca="1" si="15"/>
        <v>VENCIDO</v>
      </c>
      <c r="AB190" s="1" t="str">
        <f t="shared" si="16"/>
        <v>C-14</v>
      </c>
      <c r="AC190" s="2" t="str">
        <f t="shared" si="20"/>
        <v xml:space="preserve"> CLEITON </v>
      </c>
      <c r="AD190" s="2">
        <f t="shared" si="17"/>
        <v>5</v>
      </c>
      <c r="AE190" s="2">
        <f t="shared" ca="1" si="18"/>
        <v>-477.9262716435187</v>
      </c>
      <c r="AF190" s="15"/>
    </row>
    <row r="191" spans="1:32" hidden="1">
      <c r="A191" s="1">
        <v>7970309</v>
      </c>
      <c r="B191" s="1" t="s">
        <v>62</v>
      </c>
      <c r="C191" t="s">
        <v>453</v>
      </c>
      <c r="E191" s="2">
        <v>1833000203000</v>
      </c>
      <c r="F191" s="1" t="s">
        <v>454</v>
      </c>
      <c r="G191" s="1" t="s">
        <v>53</v>
      </c>
      <c r="H191" s="1" t="s">
        <v>369</v>
      </c>
      <c r="I191" s="1" t="s">
        <v>370</v>
      </c>
      <c r="J191" s="1" t="s">
        <v>46</v>
      </c>
      <c r="K191" t="s">
        <v>457</v>
      </c>
      <c r="M191" s="1" t="s">
        <v>58</v>
      </c>
      <c r="N191" s="1">
        <v>0</v>
      </c>
      <c r="O191" s="1" t="s">
        <v>105</v>
      </c>
      <c r="P191" s="11" t="s">
        <v>466</v>
      </c>
      <c r="R191" s="1" t="s">
        <v>38</v>
      </c>
      <c r="T191" s="1" t="s">
        <v>157</v>
      </c>
      <c r="U191" s="186">
        <v>44508.75</v>
      </c>
      <c r="V191" s="1" t="s">
        <v>41</v>
      </c>
      <c r="W191" s="1" t="s">
        <v>49</v>
      </c>
      <c r="X191" s="13" t="str">
        <f t="shared" si="19"/>
        <v/>
      </c>
      <c r="Y191" s="2">
        <f t="shared" ca="1" si="14"/>
        <v>370</v>
      </c>
      <c r="Z191" s="14">
        <v>1</v>
      </c>
      <c r="AA191" s="1" t="str">
        <f t="shared" ca="1" si="15"/>
        <v>VENCIDO</v>
      </c>
      <c r="AB191" s="1" t="str">
        <f t="shared" si="16"/>
        <v>C-14</v>
      </c>
      <c r="AC191" s="2" t="str">
        <f t="shared" si="20"/>
        <v xml:space="preserve"> CLEITON </v>
      </c>
      <c r="AD191" s="2">
        <f t="shared" si="17"/>
        <v>5</v>
      </c>
      <c r="AE191" s="2">
        <f t="shared" ca="1" si="18"/>
        <v>-477.9262716435187</v>
      </c>
      <c r="AF191" s="15"/>
    </row>
    <row r="192" spans="1:32" hidden="1">
      <c r="A192" s="1">
        <v>7970308</v>
      </c>
      <c r="B192" s="1" t="s">
        <v>62</v>
      </c>
      <c r="C192" t="s">
        <v>453</v>
      </c>
      <c r="E192" s="2">
        <v>1833000203000</v>
      </c>
      <c r="F192" s="1" t="s">
        <v>454</v>
      </c>
      <c r="G192" s="1" t="s">
        <v>53</v>
      </c>
      <c r="H192" s="1" t="s">
        <v>369</v>
      </c>
      <c r="I192" s="1" t="s">
        <v>370</v>
      </c>
      <c r="J192" s="1" t="s">
        <v>46</v>
      </c>
      <c r="K192" t="s">
        <v>457</v>
      </c>
      <c r="M192" s="1" t="s">
        <v>58</v>
      </c>
      <c r="N192" s="1">
        <v>0</v>
      </c>
      <c r="O192" s="1" t="s">
        <v>105</v>
      </c>
      <c r="P192" s="11" t="s">
        <v>466</v>
      </c>
      <c r="R192" s="1" t="s">
        <v>38</v>
      </c>
      <c r="T192" s="1" t="s">
        <v>157</v>
      </c>
      <c r="U192" s="186">
        <v>44508.75</v>
      </c>
      <c r="V192" s="1" t="s">
        <v>41</v>
      </c>
      <c r="W192" s="1" t="s">
        <v>49</v>
      </c>
      <c r="X192" s="13" t="str">
        <f t="shared" si="19"/>
        <v/>
      </c>
      <c r="Y192" s="2">
        <f t="shared" ca="1" si="14"/>
        <v>370</v>
      </c>
      <c r="Z192" s="14">
        <v>1</v>
      </c>
      <c r="AA192" s="1" t="str">
        <f t="shared" ca="1" si="15"/>
        <v>VENCIDO</v>
      </c>
      <c r="AB192" s="1" t="str">
        <f t="shared" si="16"/>
        <v>C-14</v>
      </c>
      <c r="AC192" s="2" t="str">
        <f t="shared" si="20"/>
        <v xml:space="preserve"> CLEITON </v>
      </c>
      <c r="AD192" s="2">
        <f t="shared" si="17"/>
        <v>5</v>
      </c>
      <c r="AE192" s="2">
        <f t="shared" ca="1" si="18"/>
        <v>-477.9262716435187</v>
      </c>
      <c r="AF192" s="15"/>
    </row>
    <row r="193" spans="1:32" hidden="1">
      <c r="A193" s="1">
        <v>7970307</v>
      </c>
      <c r="B193" s="1" t="s">
        <v>62</v>
      </c>
      <c r="C193" t="s">
        <v>453</v>
      </c>
      <c r="E193" s="2">
        <v>1833000203000</v>
      </c>
      <c r="F193" s="1" t="s">
        <v>454</v>
      </c>
      <c r="G193" s="1" t="s">
        <v>53</v>
      </c>
      <c r="H193" s="1" t="s">
        <v>369</v>
      </c>
      <c r="I193" s="1" t="s">
        <v>370</v>
      </c>
      <c r="J193" s="1" t="s">
        <v>46</v>
      </c>
      <c r="K193" t="s">
        <v>457</v>
      </c>
      <c r="M193" s="1" t="s">
        <v>58</v>
      </c>
      <c r="N193" s="1">
        <v>0</v>
      </c>
      <c r="O193" s="1" t="s">
        <v>105</v>
      </c>
      <c r="P193" s="11" t="s">
        <v>466</v>
      </c>
      <c r="R193" s="1" t="s">
        <v>38</v>
      </c>
      <c r="T193" s="1" t="s">
        <v>157</v>
      </c>
      <c r="U193" s="186">
        <v>44508.75</v>
      </c>
      <c r="V193" s="1" t="s">
        <v>41</v>
      </c>
      <c r="W193" s="1" t="s">
        <v>49</v>
      </c>
      <c r="X193" s="13" t="str">
        <f t="shared" si="19"/>
        <v/>
      </c>
      <c r="Y193" s="2">
        <f t="shared" ca="1" si="14"/>
        <v>370</v>
      </c>
      <c r="Z193" s="14">
        <v>1</v>
      </c>
      <c r="AA193" s="1" t="str">
        <f t="shared" ca="1" si="15"/>
        <v>VENCIDO</v>
      </c>
      <c r="AB193" s="1" t="str">
        <f t="shared" si="16"/>
        <v>C-14</v>
      </c>
      <c r="AC193" s="2" t="str">
        <f t="shared" si="20"/>
        <v xml:space="preserve"> CLEITON </v>
      </c>
      <c r="AD193" s="2">
        <f t="shared" si="17"/>
        <v>5</v>
      </c>
      <c r="AE193" s="2">
        <f t="shared" ca="1" si="18"/>
        <v>-477.9262716435187</v>
      </c>
      <c r="AF193" s="15"/>
    </row>
    <row r="194" spans="1:32" hidden="1">
      <c r="A194" s="1">
        <v>7970306</v>
      </c>
      <c r="B194" s="1" t="s">
        <v>62</v>
      </c>
      <c r="C194" t="s">
        <v>453</v>
      </c>
      <c r="E194" s="2">
        <v>1833000203000</v>
      </c>
      <c r="F194" s="1" t="s">
        <v>454</v>
      </c>
      <c r="G194" s="1" t="s">
        <v>53</v>
      </c>
      <c r="H194" s="1" t="s">
        <v>369</v>
      </c>
      <c r="I194" s="1" t="s">
        <v>370</v>
      </c>
      <c r="J194" s="1" t="s">
        <v>46</v>
      </c>
      <c r="K194" t="s">
        <v>457</v>
      </c>
      <c r="M194" s="1" t="s">
        <v>58</v>
      </c>
      <c r="N194" s="1">
        <v>0</v>
      </c>
      <c r="O194" s="1" t="s">
        <v>105</v>
      </c>
      <c r="P194" s="11" t="s">
        <v>466</v>
      </c>
      <c r="R194" s="1" t="s">
        <v>38</v>
      </c>
      <c r="T194" s="1" t="s">
        <v>157</v>
      </c>
      <c r="U194" s="186">
        <v>44508.75</v>
      </c>
      <c r="V194" s="1" t="s">
        <v>41</v>
      </c>
      <c r="W194" s="1" t="s">
        <v>49</v>
      </c>
      <c r="X194" s="13" t="str">
        <f t="shared" si="19"/>
        <v/>
      </c>
      <c r="Y194" s="2">
        <f t="shared" ref="Y194:Y257" ca="1" si="21">NETWORKDAYS(P194,$Y$1)</f>
        <v>370</v>
      </c>
      <c r="Z194" s="14">
        <v>1</v>
      </c>
      <c r="AA194" s="1" t="str">
        <f t="shared" ref="AA194:AA257" ca="1" si="22">IF(AE194=0,"HOJE",IF(AE194&gt;0,"A VENCER",IF(AE194&lt;0,"VENCIDO")))</f>
        <v>VENCIDO</v>
      </c>
      <c r="AB194" s="1" t="str">
        <f t="shared" ref="AB194:AB257" si="23">IF(F194="GRPE-000001","C-14",IF(F194="GRPE-000002","C-14",IF(F194="GRPE-000003","C-14",IF(F194="GRPE-000004","SL-On",IF(F194="GRPE-000038","C-14",IF(F194="GRPE-900022","Dosa",IF(F194="GRPE-000029","Dosa",IF(F194="ATOS-000222","Dose","TAAe+"))))))))</f>
        <v>C-14</v>
      </c>
      <c r="AC194" s="2" t="str">
        <f t="shared" si="20"/>
        <v xml:space="preserve"> CLEITON </v>
      </c>
      <c r="AD194" s="2">
        <f t="shared" ref="AD194:AD257" si="24">IF(F194="GRPE-000001",5,IF(F194="GRPE-000002",5,IF(F194="GRPE-000003",15,IF(F194="GRPE-000004",1,IF(F194="GRPE-000038",5,IF(F194="GRPE-900022",5,IF(F194="GRPE-000029",5,IF(F194="ATOS-000222",5,8))))))))</f>
        <v>5</v>
      </c>
      <c r="AE194" s="2">
        <f t="shared" ref="AE194:AE257" ca="1" si="25">IF(U194=$AE$1,"",U194-$AE$1)</f>
        <v>-477.9262716435187</v>
      </c>
      <c r="AF194" s="15"/>
    </row>
    <row r="195" spans="1:32" hidden="1">
      <c r="A195" s="1">
        <v>7970305</v>
      </c>
      <c r="B195" s="1" t="s">
        <v>62</v>
      </c>
      <c r="C195" t="s">
        <v>453</v>
      </c>
      <c r="E195" s="2">
        <v>1833000203000</v>
      </c>
      <c r="F195" s="1" t="s">
        <v>454</v>
      </c>
      <c r="G195" s="1" t="s">
        <v>53</v>
      </c>
      <c r="H195" s="1" t="s">
        <v>369</v>
      </c>
      <c r="I195" s="1" t="s">
        <v>370</v>
      </c>
      <c r="J195" s="1" t="s">
        <v>46</v>
      </c>
      <c r="K195" t="s">
        <v>457</v>
      </c>
      <c r="M195" s="1" t="s">
        <v>58</v>
      </c>
      <c r="N195" s="1">
        <v>0</v>
      </c>
      <c r="O195" s="1" t="s">
        <v>105</v>
      </c>
      <c r="P195" s="11" t="s">
        <v>466</v>
      </c>
      <c r="R195" s="1" t="s">
        <v>38</v>
      </c>
      <c r="T195" s="1" t="s">
        <v>157</v>
      </c>
      <c r="U195" s="11" t="s">
        <v>459</v>
      </c>
      <c r="V195" s="1" t="s">
        <v>41</v>
      </c>
      <c r="W195" s="1" t="s">
        <v>49</v>
      </c>
      <c r="X195" s="13" t="str">
        <f t="shared" ref="X195:X258" si="26">IF(RIGHT(H195,2)&lt;&gt;"00",H195,"")</f>
        <v/>
      </c>
      <c r="Y195" s="2">
        <f t="shared" ca="1" si="21"/>
        <v>370</v>
      </c>
      <c r="Z195" s="14">
        <v>1</v>
      </c>
      <c r="AA195" s="1" t="str">
        <f t="shared" ca="1" si="22"/>
        <v>VENCIDO</v>
      </c>
      <c r="AB195" s="1" t="str">
        <f t="shared" si="23"/>
        <v>C-14</v>
      </c>
      <c r="AC195" s="2" t="str">
        <f t="shared" ref="AC195:AC258" si="27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 xml:space="preserve"> CLEITON </v>
      </c>
      <c r="AD195" s="2">
        <f t="shared" si="24"/>
        <v>5</v>
      </c>
      <c r="AE195" s="2">
        <f t="shared" ca="1" si="25"/>
        <v>-477.9262716435187</v>
      </c>
      <c r="AF195" s="15"/>
    </row>
    <row r="196" spans="1:32" hidden="1">
      <c r="A196" s="1">
        <v>7970304</v>
      </c>
      <c r="B196" s="1" t="s">
        <v>62</v>
      </c>
      <c r="C196" t="s">
        <v>453</v>
      </c>
      <c r="E196" s="2">
        <v>1833000203000</v>
      </c>
      <c r="F196" s="1" t="s">
        <v>454</v>
      </c>
      <c r="G196" s="1" t="s">
        <v>53</v>
      </c>
      <c r="H196" s="1" t="s">
        <v>369</v>
      </c>
      <c r="I196" s="1" t="s">
        <v>370</v>
      </c>
      <c r="J196" s="1" t="s">
        <v>46</v>
      </c>
      <c r="K196" t="s">
        <v>457</v>
      </c>
      <c r="M196" s="1" t="s">
        <v>58</v>
      </c>
      <c r="N196" s="1">
        <v>0</v>
      </c>
      <c r="O196" s="1" t="s">
        <v>105</v>
      </c>
      <c r="P196" s="11" t="s">
        <v>466</v>
      </c>
      <c r="R196" s="1" t="s">
        <v>38</v>
      </c>
      <c r="T196" s="1" t="s">
        <v>157</v>
      </c>
      <c r="U196" s="11" t="s">
        <v>459</v>
      </c>
      <c r="V196" s="1" t="s">
        <v>41</v>
      </c>
      <c r="W196" s="1" t="s">
        <v>49</v>
      </c>
      <c r="X196" s="13" t="str">
        <f t="shared" si="26"/>
        <v/>
      </c>
      <c r="Y196" s="2">
        <f t="shared" ca="1" si="21"/>
        <v>370</v>
      </c>
      <c r="Z196" s="14">
        <v>1</v>
      </c>
      <c r="AA196" s="1" t="str">
        <f t="shared" ca="1" si="22"/>
        <v>VENCIDO</v>
      </c>
      <c r="AB196" s="1" t="str">
        <f t="shared" si="23"/>
        <v>C-14</v>
      </c>
      <c r="AC196" s="2" t="str">
        <f t="shared" si="27"/>
        <v xml:space="preserve"> CLEITON </v>
      </c>
      <c r="AD196" s="2">
        <f t="shared" si="24"/>
        <v>5</v>
      </c>
      <c r="AE196" s="2">
        <f t="shared" ca="1" si="25"/>
        <v>-477.9262716435187</v>
      </c>
      <c r="AF196" s="15"/>
    </row>
    <row r="197" spans="1:32" hidden="1">
      <c r="A197" s="1">
        <v>7970303</v>
      </c>
      <c r="B197" s="1" t="s">
        <v>62</v>
      </c>
      <c r="C197" t="s">
        <v>453</v>
      </c>
      <c r="E197" s="2">
        <v>1833000203000</v>
      </c>
      <c r="F197" s="1" t="s">
        <v>454</v>
      </c>
      <c r="G197" s="1" t="s">
        <v>53</v>
      </c>
      <c r="H197" s="1" t="s">
        <v>369</v>
      </c>
      <c r="I197" s="1" t="s">
        <v>370</v>
      </c>
      <c r="J197" s="1" t="s">
        <v>46</v>
      </c>
      <c r="K197" t="s">
        <v>457</v>
      </c>
      <c r="M197" s="1" t="s">
        <v>58</v>
      </c>
      <c r="N197" s="1">
        <v>0</v>
      </c>
      <c r="O197" s="1" t="s">
        <v>105</v>
      </c>
      <c r="P197" s="11" t="s">
        <v>466</v>
      </c>
      <c r="R197" s="1" t="s">
        <v>38</v>
      </c>
      <c r="T197" s="1" t="s">
        <v>157</v>
      </c>
      <c r="U197" s="11" t="s">
        <v>459</v>
      </c>
      <c r="V197" s="1" t="s">
        <v>41</v>
      </c>
      <c r="W197" s="1" t="s">
        <v>49</v>
      </c>
      <c r="X197" s="13" t="str">
        <f t="shared" si="26"/>
        <v/>
      </c>
      <c r="Y197" s="2">
        <f t="shared" ca="1" si="21"/>
        <v>370</v>
      </c>
      <c r="Z197" s="14">
        <v>1</v>
      </c>
      <c r="AA197" s="1" t="str">
        <f t="shared" ca="1" si="22"/>
        <v>VENCIDO</v>
      </c>
      <c r="AB197" s="1" t="str">
        <f t="shared" si="23"/>
        <v>C-14</v>
      </c>
      <c r="AC197" s="2" t="str">
        <f t="shared" si="27"/>
        <v xml:space="preserve"> CLEITON </v>
      </c>
      <c r="AD197" s="2">
        <f t="shared" si="24"/>
        <v>5</v>
      </c>
      <c r="AE197" s="2">
        <f t="shared" ca="1" si="25"/>
        <v>-477.9262716435187</v>
      </c>
      <c r="AF197" s="15"/>
    </row>
    <row r="198" spans="1:32" hidden="1">
      <c r="A198" s="1">
        <v>7970302</v>
      </c>
      <c r="B198" s="1" t="s">
        <v>62</v>
      </c>
      <c r="C198" t="s">
        <v>453</v>
      </c>
      <c r="E198" s="2">
        <v>1833000203000</v>
      </c>
      <c r="F198" s="1" t="s">
        <v>454</v>
      </c>
      <c r="G198" s="1" t="s">
        <v>53</v>
      </c>
      <c r="H198" s="1" t="s">
        <v>369</v>
      </c>
      <c r="I198" s="1" t="s">
        <v>370</v>
      </c>
      <c r="J198" s="1" t="s">
        <v>46</v>
      </c>
      <c r="K198" t="s">
        <v>457</v>
      </c>
      <c r="M198" s="1" t="s">
        <v>58</v>
      </c>
      <c r="N198" s="1">
        <v>0</v>
      </c>
      <c r="O198" s="1" t="s">
        <v>105</v>
      </c>
      <c r="P198" s="11" t="s">
        <v>466</v>
      </c>
      <c r="R198" s="1" t="s">
        <v>38</v>
      </c>
      <c r="T198" s="1" t="s">
        <v>157</v>
      </c>
      <c r="U198" s="11" t="s">
        <v>459</v>
      </c>
      <c r="V198" s="1" t="s">
        <v>41</v>
      </c>
      <c r="W198" s="1" t="s">
        <v>49</v>
      </c>
      <c r="X198" s="13" t="str">
        <f t="shared" si="26"/>
        <v/>
      </c>
      <c r="Y198" s="2">
        <f t="shared" ca="1" si="21"/>
        <v>370</v>
      </c>
      <c r="Z198" s="14">
        <v>1</v>
      </c>
      <c r="AA198" s="1" t="str">
        <f t="shared" ca="1" si="22"/>
        <v>VENCIDO</v>
      </c>
      <c r="AB198" s="1" t="str">
        <f t="shared" si="23"/>
        <v>C-14</v>
      </c>
      <c r="AC198" s="2" t="str">
        <f t="shared" si="27"/>
        <v xml:space="preserve"> CLEITON </v>
      </c>
      <c r="AD198" s="2">
        <f t="shared" si="24"/>
        <v>5</v>
      </c>
      <c r="AE198" s="2">
        <f t="shared" ca="1" si="25"/>
        <v>-477.9262716435187</v>
      </c>
      <c r="AF198" s="15"/>
    </row>
    <row r="199" spans="1:32" hidden="1">
      <c r="A199" s="1">
        <v>7970301</v>
      </c>
      <c r="B199" s="1" t="s">
        <v>62</v>
      </c>
      <c r="C199" t="s">
        <v>453</v>
      </c>
      <c r="E199" s="2">
        <v>1833000203000</v>
      </c>
      <c r="F199" s="1" t="s">
        <v>454</v>
      </c>
      <c r="G199" s="1" t="s">
        <v>53</v>
      </c>
      <c r="H199" s="1" t="s">
        <v>369</v>
      </c>
      <c r="I199" s="1" t="s">
        <v>370</v>
      </c>
      <c r="J199" s="1" t="s">
        <v>46</v>
      </c>
      <c r="K199" t="s">
        <v>457</v>
      </c>
      <c r="M199" s="1" t="s">
        <v>58</v>
      </c>
      <c r="N199" s="1">
        <v>0</v>
      </c>
      <c r="O199" s="1" t="s">
        <v>105</v>
      </c>
      <c r="P199" s="11" t="s">
        <v>3418</v>
      </c>
      <c r="R199" s="1" t="s">
        <v>38</v>
      </c>
      <c r="T199" s="1" t="s">
        <v>157</v>
      </c>
      <c r="U199" s="11" t="s">
        <v>459</v>
      </c>
      <c r="V199" s="1" t="s">
        <v>41</v>
      </c>
      <c r="W199" s="1" t="s">
        <v>49</v>
      </c>
      <c r="X199" s="13" t="str">
        <f t="shared" si="26"/>
        <v/>
      </c>
      <c r="Y199" s="2">
        <f t="shared" ca="1" si="21"/>
        <v>370</v>
      </c>
      <c r="Z199" s="14">
        <v>1</v>
      </c>
      <c r="AA199" s="1" t="str">
        <f t="shared" ca="1" si="22"/>
        <v>VENCIDO</v>
      </c>
      <c r="AB199" s="1" t="str">
        <f t="shared" si="23"/>
        <v>C-14</v>
      </c>
      <c r="AC199" s="2" t="str">
        <f t="shared" si="27"/>
        <v xml:space="preserve"> CLEITON </v>
      </c>
      <c r="AD199" s="2">
        <f t="shared" si="24"/>
        <v>5</v>
      </c>
      <c r="AE199" s="2">
        <f t="shared" ca="1" si="25"/>
        <v>-477.9262716435187</v>
      </c>
      <c r="AF199" s="15"/>
    </row>
    <row r="200" spans="1:32" hidden="1">
      <c r="A200" s="1">
        <v>7970300</v>
      </c>
      <c r="B200" s="1" t="s">
        <v>62</v>
      </c>
      <c r="C200" t="s">
        <v>453</v>
      </c>
      <c r="E200" s="2">
        <v>1833000203000</v>
      </c>
      <c r="F200" s="1" t="s">
        <v>454</v>
      </c>
      <c r="G200" s="1" t="s">
        <v>53</v>
      </c>
      <c r="H200" s="1" t="s">
        <v>369</v>
      </c>
      <c r="I200" s="1" t="s">
        <v>370</v>
      </c>
      <c r="J200" s="1" t="s">
        <v>46</v>
      </c>
      <c r="K200" t="s">
        <v>457</v>
      </c>
      <c r="M200" s="1" t="s">
        <v>58</v>
      </c>
      <c r="N200" s="1">
        <v>0</v>
      </c>
      <c r="O200" s="1" t="s">
        <v>105</v>
      </c>
      <c r="P200" s="11" t="s">
        <v>3418</v>
      </c>
      <c r="R200" s="1" t="s">
        <v>38</v>
      </c>
      <c r="T200" s="1" t="s">
        <v>157</v>
      </c>
      <c r="U200" s="11" t="s">
        <v>459</v>
      </c>
      <c r="V200" s="1" t="s">
        <v>41</v>
      </c>
      <c r="W200" s="1" t="s">
        <v>49</v>
      </c>
      <c r="X200" s="13" t="str">
        <f t="shared" si="26"/>
        <v/>
      </c>
      <c r="Y200" s="2">
        <f t="shared" ca="1" si="21"/>
        <v>370</v>
      </c>
      <c r="Z200" s="14">
        <v>1</v>
      </c>
      <c r="AA200" s="1" t="str">
        <f t="shared" ca="1" si="22"/>
        <v>VENCIDO</v>
      </c>
      <c r="AB200" s="1" t="str">
        <f t="shared" si="23"/>
        <v>C-14</v>
      </c>
      <c r="AC200" s="2" t="str">
        <f t="shared" si="27"/>
        <v xml:space="preserve"> CLEITON </v>
      </c>
      <c r="AD200" s="2">
        <f t="shared" si="24"/>
        <v>5</v>
      </c>
      <c r="AE200" s="2">
        <f t="shared" ca="1" si="25"/>
        <v>-477.9262716435187</v>
      </c>
      <c r="AF200" s="15"/>
    </row>
    <row r="201" spans="1:32" hidden="1">
      <c r="A201" s="1">
        <v>7970299</v>
      </c>
      <c r="B201" s="1" t="s">
        <v>62</v>
      </c>
      <c r="C201" t="s">
        <v>453</v>
      </c>
      <c r="E201" s="2">
        <v>1833000203000</v>
      </c>
      <c r="F201" s="1" t="s">
        <v>454</v>
      </c>
      <c r="G201" s="1" t="s">
        <v>53</v>
      </c>
      <c r="H201" s="1" t="s">
        <v>369</v>
      </c>
      <c r="I201" s="1" t="s">
        <v>370</v>
      </c>
      <c r="J201" s="1" t="s">
        <v>46</v>
      </c>
      <c r="K201" t="s">
        <v>457</v>
      </c>
      <c r="M201" s="1" t="s">
        <v>58</v>
      </c>
      <c r="N201" s="1">
        <v>0</v>
      </c>
      <c r="O201" s="1" t="s">
        <v>105</v>
      </c>
      <c r="P201" s="11" t="s">
        <v>3418</v>
      </c>
      <c r="R201" s="1" t="s">
        <v>38</v>
      </c>
      <c r="T201" s="1" t="s">
        <v>157</v>
      </c>
      <c r="U201" s="11" t="s">
        <v>459</v>
      </c>
      <c r="V201" s="1" t="s">
        <v>41</v>
      </c>
      <c r="W201" s="1" t="s">
        <v>49</v>
      </c>
      <c r="X201" s="13" t="str">
        <f t="shared" si="26"/>
        <v/>
      </c>
      <c r="Y201" s="2">
        <f t="shared" ca="1" si="21"/>
        <v>370</v>
      </c>
      <c r="Z201" s="14">
        <v>1</v>
      </c>
      <c r="AA201" s="1" t="str">
        <f t="shared" ca="1" si="22"/>
        <v>VENCIDO</v>
      </c>
      <c r="AB201" s="1" t="str">
        <f t="shared" si="23"/>
        <v>C-14</v>
      </c>
      <c r="AC201" s="2" t="str">
        <f t="shared" si="27"/>
        <v xml:space="preserve"> CLEITON </v>
      </c>
      <c r="AD201" s="2">
        <f t="shared" si="24"/>
        <v>5</v>
      </c>
      <c r="AE201" s="2">
        <f t="shared" ca="1" si="25"/>
        <v>-477.9262716435187</v>
      </c>
      <c r="AF201" s="15"/>
    </row>
    <row r="202" spans="1:32" hidden="1">
      <c r="A202" s="1">
        <v>7970298</v>
      </c>
      <c r="B202" s="1" t="s">
        <v>62</v>
      </c>
      <c r="C202" t="s">
        <v>453</v>
      </c>
      <c r="E202" s="2">
        <v>1833000203000</v>
      </c>
      <c r="F202" s="1" t="s">
        <v>454</v>
      </c>
      <c r="G202" s="1" t="s">
        <v>53</v>
      </c>
      <c r="H202" s="1" t="s">
        <v>369</v>
      </c>
      <c r="I202" s="1" t="s">
        <v>370</v>
      </c>
      <c r="J202" s="1" t="s">
        <v>46</v>
      </c>
      <c r="K202" t="s">
        <v>457</v>
      </c>
      <c r="M202" s="1" t="s">
        <v>58</v>
      </c>
      <c r="N202" s="1">
        <v>0</v>
      </c>
      <c r="O202" s="1" t="s">
        <v>105</v>
      </c>
      <c r="P202" s="11" t="s">
        <v>3418</v>
      </c>
      <c r="R202" s="1" t="s">
        <v>38</v>
      </c>
      <c r="T202" s="1" t="s">
        <v>157</v>
      </c>
      <c r="U202" s="11" t="s">
        <v>459</v>
      </c>
      <c r="V202" s="1" t="s">
        <v>41</v>
      </c>
      <c r="W202" s="1" t="s">
        <v>49</v>
      </c>
      <c r="X202" s="13" t="str">
        <f t="shared" si="26"/>
        <v/>
      </c>
      <c r="Y202" s="2">
        <f t="shared" ca="1" si="21"/>
        <v>370</v>
      </c>
      <c r="Z202" s="14">
        <v>1</v>
      </c>
      <c r="AA202" s="1" t="str">
        <f t="shared" ca="1" si="22"/>
        <v>VENCIDO</v>
      </c>
      <c r="AB202" s="1" t="str">
        <f t="shared" si="23"/>
        <v>C-14</v>
      </c>
      <c r="AC202" s="2" t="str">
        <f t="shared" si="27"/>
        <v xml:space="preserve"> CLEITON </v>
      </c>
      <c r="AD202" s="2">
        <f t="shared" si="24"/>
        <v>5</v>
      </c>
      <c r="AE202" s="2">
        <f t="shared" ca="1" si="25"/>
        <v>-477.9262716435187</v>
      </c>
      <c r="AF202" s="15"/>
    </row>
    <row r="203" spans="1:32" hidden="1">
      <c r="A203" s="1">
        <v>7970297</v>
      </c>
      <c r="B203" s="1" t="s">
        <v>62</v>
      </c>
      <c r="C203" t="s">
        <v>453</v>
      </c>
      <c r="E203" s="2">
        <v>1833000203000</v>
      </c>
      <c r="F203" s="1" t="s">
        <v>454</v>
      </c>
      <c r="G203" s="1" t="s">
        <v>53</v>
      </c>
      <c r="H203" s="1" t="s">
        <v>369</v>
      </c>
      <c r="I203" s="1" t="s">
        <v>370</v>
      </c>
      <c r="J203" s="1" t="s">
        <v>46</v>
      </c>
      <c r="K203" t="s">
        <v>457</v>
      </c>
      <c r="M203" s="1" t="s">
        <v>58</v>
      </c>
      <c r="N203" s="1">
        <v>0</v>
      </c>
      <c r="O203" s="1" t="s">
        <v>105</v>
      </c>
      <c r="P203" s="11" t="s">
        <v>3418</v>
      </c>
      <c r="R203" s="1" t="s">
        <v>38</v>
      </c>
      <c r="T203" s="1" t="s">
        <v>157</v>
      </c>
      <c r="U203" s="11" t="s">
        <v>459</v>
      </c>
      <c r="V203" s="1" t="s">
        <v>41</v>
      </c>
      <c r="W203" s="1" t="s">
        <v>49</v>
      </c>
      <c r="X203" s="13" t="str">
        <f t="shared" si="26"/>
        <v/>
      </c>
      <c r="Y203" s="2">
        <f t="shared" ca="1" si="21"/>
        <v>370</v>
      </c>
      <c r="Z203" s="14">
        <v>1</v>
      </c>
      <c r="AA203" s="1" t="str">
        <f t="shared" ca="1" si="22"/>
        <v>VENCIDO</v>
      </c>
      <c r="AB203" s="1" t="str">
        <f t="shared" si="23"/>
        <v>C-14</v>
      </c>
      <c r="AC203" s="2" t="str">
        <f t="shared" si="27"/>
        <v xml:space="preserve"> CLEITON </v>
      </c>
      <c r="AD203" s="2">
        <f t="shared" si="24"/>
        <v>5</v>
      </c>
      <c r="AE203" s="2">
        <f t="shared" ca="1" si="25"/>
        <v>-477.9262716435187</v>
      </c>
      <c r="AF203" s="15"/>
    </row>
    <row r="204" spans="1:32" hidden="1">
      <c r="A204" s="1">
        <v>7970296</v>
      </c>
      <c r="B204" s="1" t="s">
        <v>62</v>
      </c>
      <c r="C204" t="s">
        <v>453</v>
      </c>
      <c r="E204" s="2">
        <v>1833000203000</v>
      </c>
      <c r="F204" s="1" t="s">
        <v>454</v>
      </c>
      <c r="G204" s="1" t="s">
        <v>53</v>
      </c>
      <c r="H204" s="1" t="s">
        <v>369</v>
      </c>
      <c r="I204" s="1" t="s">
        <v>370</v>
      </c>
      <c r="J204" s="1" t="s">
        <v>46</v>
      </c>
      <c r="K204" t="s">
        <v>457</v>
      </c>
      <c r="M204" s="1" t="s">
        <v>58</v>
      </c>
      <c r="N204" s="1">
        <v>0</v>
      </c>
      <c r="O204" s="1" t="s">
        <v>105</v>
      </c>
      <c r="P204" s="11" t="s">
        <v>3418</v>
      </c>
      <c r="R204" s="1" t="s">
        <v>38</v>
      </c>
      <c r="T204" s="1" t="s">
        <v>157</v>
      </c>
      <c r="U204" s="11" t="s">
        <v>459</v>
      </c>
      <c r="V204" s="1" t="s">
        <v>41</v>
      </c>
      <c r="W204" s="1" t="s">
        <v>49</v>
      </c>
      <c r="X204" s="13" t="str">
        <f t="shared" si="26"/>
        <v/>
      </c>
      <c r="Y204" s="2">
        <f t="shared" ca="1" si="21"/>
        <v>370</v>
      </c>
      <c r="Z204" s="14">
        <v>1</v>
      </c>
      <c r="AA204" s="1" t="str">
        <f t="shared" ca="1" si="22"/>
        <v>VENCIDO</v>
      </c>
      <c r="AB204" s="1" t="str">
        <f t="shared" si="23"/>
        <v>C-14</v>
      </c>
      <c r="AC204" s="2" t="str">
        <f t="shared" si="27"/>
        <v xml:space="preserve"> CLEITON </v>
      </c>
      <c r="AD204" s="2">
        <f t="shared" si="24"/>
        <v>5</v>
      </c>
      <c r="AE204" s="2">
        <f t="shared" ca="1" si="25"/>
        <v>-477.9262716435187</v>
      </c>
      <c r="AF204" s="15"/>
    </row>
    <row r="205" spans="1:32" hidden="1">
      <c r="A205" s="1">
        <v>7970241</v>
      </c>
      <c r="B205" s="1" t="s">
        <v>62</v>
      </c>
      <c r="C205" t="s">
        <v>453</v>
      </c>
      <c r="E205" s="2">
        <v>1792000203000</v>
      </c>
      <c r="F205" s="1" t="s">
        <v>454</v>
      </c>
      <c r="G205" s="1" t="s">
        <v>53</v>
      </c>
      <c r="H205" s="1" t="s">
        <v>467</v>
      </c>
      <c r="I205" s="1" t="s">
        <v>468</v>
      </c>
      <c r="J205" s="1" t="s">
        <v>110</v>
      </c>
      <c r="K205" t="s">
        <v>457</v>
      </c>
      <c r="M205" s="1" t="s">
        <v>58</v>
      </c>
      <c r="N205" s="1">
        <v>0</v>
      </c>
      <c r="O205" s="1" t="s">
        <v>105</v>
      </c>
      <c r="P205" s="11" t="s">
        <v>3419</v>
      </c>
      <c r="R205" s="1" t="s">
        <v>38</v>
      </c>
      <c r="T205" s="1" t="s">
        <v>157</v>
      </c>
      <c r="U205" s="11" t="s">
        <v>459</v>
      </c>
      <c r="V205" s="1" t="s">
        <v>41</v>
      </c>
      <c r="W205" s="1" t="s">
        <v>49</v>
      </c>
      <c r="X205" s="13" t="str">
        <f t="shared" si="26"/>
        <v/>
      </c>
      <c r="Y205" s="2">
        <f t="shared" ca="1" si="21"/>
        <v>370</v>
      </c>
      <c r="Z205" s="14">
        <v>1</v>
      </c>
      <c r="AA205" s="1" t="str">
        <f t="shared" ca="1" si="22"/>
        <v>VENCIDO</v>
      </c>
      <c r="AB205" s="1" t="str">
        <f t="shared" si="23"/>
        <v>C-14</v>
      </c>
      <c r="AC205" s="2" t="str">
        <f t="shared" si="27"/>
        <v xml:space="preserve"> CRISTINA </v>
      </c>
      <c r="AD205" s="2">
        <f t="shared" si="24"/>
        <v>5</v>
      </c>
      <c r="AE205" s="2">
        <f t="shared" ca="1" si="25"/>
        <v>-477.9262716435187</v>
      </c>
      <c r="AF205" s="15"/>
    </row>
    <row r="206" spans="1:32" hidden="1">
      <c r="A206" s="1">
        <v>7970240</v>
      </c>
      <c r="B206" s="1" t="s">
        <v>62</v>
      </c>
      <c r="C206" t="s">
        <v>453</v>
      </c>
      <c r="E206" s="2">
        <v>1792000203000</v>
      </c>
      <c r="F206" s="1" t="s">
        <v>454</v>
      </c>
      <c r="G206" s="1" t="s">
        <v>53</v>
      </c>
      <c r="H206" s="1" t="s">
        <v>467</v>
      </c>
      <c r="I206" s="1" t="s">
        <v>468</v>
      </c>
      <c r="J206" s="1" t="s">
        <v>110</v>
      </c>
      <c r="K206" t="s">
        <v>457</v>
      </c>
      <c r="M206" s="1" t="s">
        <v>58</v>
      </c>
      <c r="N206" s="1">
        <v>0</v>
      </c>
      <c r="O206" s="1" t="s">
        <v>105</v>
      </c>
      <c r="P206" s="11" t="s">
        <v>469</v>
      </c>
      <c r="R206" s="1" t="s">
        <v>38</v>
      </c>
      <c r="T206" s="1" t="s">
        <v>157</v>
      </c>
      <c r="U206" s="11" t="s">
        <v>459</v>
      </c>
      <c r="V206" s="1" t="s">
        <v>41</v>
      </c>
      <c r="W206" s="1" t="s">
        <v>49</v>
      </c>
      <c r="X206" s="13" t="str">
        <f t="shared" si="26"/>
        <v/>
      </c>
      <c r="Y206" s="2">
        <f t="shared" ca="1" si="21"/>
        <v>370</v>
      </c>
      <c r="Z206" s="14">
        <v>1</v>
      </c>
      <c r="AA206" s="1" t="str">
        <f t="shared" ca="1" si="22"/>
        <v>VENCIDO</v>
      </c>
      <c r="AB206" s="1" t="str">
        <f t="shared" si="23"/>
        <v>C-14</v>
      </c>
      <c r="AC206" s="2" t="str">
        <f t="shared" si="27"/>
        <v xml:space="preserve"> CRISTINA </v>
      </c>
      <c r="AD206" s="2">
        <f t="shared" si="24"/>
        <v>5</v>
      </c>
      <c r="AE206" s="2">
        <f t="shared" ca="1" si="25"/>
        <v>-477.9262716435187</v>
      </c>
      <c r="AF206" s="15"/>
    </row>
    <row r="207" spans="1:32" hidden="1">
      <c r="A207" s="1">
        <v>7970239</v>
      </c>
      <c r="B207" s="1" t="s">
        <v>62</v>
      </c>
      <c r="C207" t="s">
        <v>453</v>
      </c>
      <c r="E207" s="2">
        <v>1792000203000</v>
      </c>
      <c r="F207" s="1" t="s">
        <v>454</v>
      </c>
      <c r="G207" s="1" t="s">
        <v>53</v>
      </c>
      <c r="H207" s="1" t="s">
        <v>467</v>
      </c>
      <c r="I207" s="1" t="s">
        <v>468</v>
      </c>
      <c r="J207" s="1" t="s">
        <v>110</v>
      </c>
      <c r="K207" t="s">
        <v>457</v>
      </c>
      <c r="M207" s="1" t="s">
        <v>58</v>
      </c>
      <c r="N207" s="1">
        <v>0</v>
      </c>
      <c r="O207" s="1" t="s">
        <v>105</v>
      </c>
      <c r="P207" s="11" t="s">
        <v>469</v>
      </c>
      <c r="R207" s="1" t="s">
        <v>38</v>
      </c>
      <c r="T207" s="1" t="s">
        <v>157</v>
      </c>
      <c r="U207" s="11" t="s">
        <v>459</v>
      </c>
      <c r="V207" s="1" t="s">
        <v>41</v>
      </c>
      <c r="W207" s="1" t="s">
        <v>49</v>
      </c>
      <c r="X207" s="13" t="str">
        <f t="shared" si="26"/>
        <v/>
      </c>
      <c r="Y207" s="2">
        <f t="shared" ca="1" si="21"/>
        <v>370</v>
      </c>
      <c r="Z207" s="14">
        <v>1</v>
      </c>
      <c r="AA207" s="1" t="str">
        <f t="shared" ca="1" si="22"/>
        <v>VENCIDO</v>
      </c>
      <c r="AB207" s="1" t="str">
        <f t="shared" si="23"/>
        <v>C-14</v>
      </c>
      <c r="AC207" s="2" t="str">
        <f t="shared" si="27"/>
        <v xml:space="preserve"> CRISTINA </v>
      </c>
      <c r="AD207" s="2">
        <f t="shared" si="24"/>
        <v>5</v>
      </c>
      <c r="AE207" s="2">
        <f t="shared" ca="1" si="25"/>
        <v>-477.9262716435187</v>
      </c>
      <c r="AF207" s="15"/>
    </row>
    <row r="208" spans="1:32" hidden="1">
      <c r="A208" s="1">
        <v>7970238</v>
      </c>
      <c r="B208" s="1" t="s">
        <v>62</v>
      </c>
      <c r="C208" t="s">
        <v>453</v>
      </c>
      <c r="E208" s="2">
        <v>1792000203000</v>
      </c>
      <c r="F208" s="1" t="s">
        <v>454</v>
      </c>
      <c r="G208" s="1" t="s">
        <v>53</v>
      </c>
      <c r="H208" s="1" t="s">
        <v>467</v>
      </c>
      <c r="I208" s="1" t="s">
        <v>468</v>
      </c>
      <c r="J208" s="1" t="s">
        <v>110</v>
      </c>
      <c r="K208" t="s">
        <v>457</v>
      </c>
      <c r="M208" s="1" t="s">
        <v>58</v>
      </c>
      <c r="N208" s="1">
        <v>0</v>
      </c>
      <c r="O208" s="1" t="s">
        <v>105</v>
      </c>
      <c r="P208" s="11" t="s">
        <v>469</v>
      </c>
      <c r="R208" s="1" t="s">
        <v>38</v>
      </c>
      <c r="T208" s="1" t="s">
        <v>157</v>
      </c>
      <c r="U208" s="11" t="s">
        <v>459</v>
      </c>
      <c r="V208" s="1" t="s">
        <v>41</v>
      </c>
      <c r="W208" s="1" t="s">
        <v>49</v>
      </c>
      <c r="X208" s="13" t="str">
        <f t="shared" si="26"/>
        <v/>
      </c>
      <c r="Y208" s="2">
        <f t="shared" ca="1" si="21"/>
        <v>370</v>
      </c>
      <c r="Z208" s="14">
        <v>1</v>
      </c>
      <c r="AA208" s="1" t="str">
        <f t="shared" ca="1" si="22"/>
        <v>VENCIDO</v>
      </c>
      <c r="AB208" s="1" t="str">
        <f t="shared" si="23"/>
        <v>C-14</v>
      </c>
      <c r="AC208" s="2" t="str">
        <f t="shared" si="27"/>
        <v xml:space="preserve"> CRISTINA </v>
      </c>
      <c r="AD208" s="2">
        <f t="shared" si="24"/>
        <v>5</v>
      </c>
      <c r="AE208" s="2">
        <f t="shared" ca="1" si="25"/>
        <v>-477.9262716435187</v>
      </c>
      <c r="AF208" s="15"/>
    </row>
    <row r="209" spans="1:32" hidden="1">
      <c r="A209" s="1">
        <v>7970237</v>
      </c>
      <c r="B209" s="1" t="s">
        <v>62</v>
      </c>
      <c r="C209" t="s">
        <v>453</v>
      </c>
      <c r="E209" s="2">
        <v>1792000203000</v>
      </c>
      <c r="F209" s="1" t="s">
        <v>454</v>
      </c>
      <c r="G209" s="1" t="s">
        <v>53</v>
      </c>
      <c r="H209" s="1" t="s">
        <v>467</v>
      </c>
      <c r="I209" s="1" t="s">
        <v>468</v>
      </c>
      <c r="J209" s="1" t="s">
        <v>110</v>
      </c>
      <c r="K209" t="s">
        <v>457</v>
      </c>
      <c r="M209" s="1" t="s">
        <v>58</v>
      </c>
      <c r="N209" s="1">
        <v>0</v>
      </c>
      <c r="O209" s="1" t="s">
        <v>105</v>
      </c>
      <c r="P209" s="11" t="s">
        <v>469</v>
      </c>
      <c r="R209" s="1" t="s">
        <v>38</v>
      </c>
      <c r="T209" s="1" t="s">
        <v>157</v>
      </c>
      <c r="U209" s="11" t="s">
        <v>459</v>
      </c>
      <c r="V209" s="1" t="s">
        <v>41</v>
      </c>
      <c r="W209" s="1" t="s">
        <v>49</v>
      </c>
      <c r="X209" s="13" t="str">
        <f t="shared" si="26"/>
        <v/>
      </c>
      <c r="Y209" s="2">
        <f t="shared" ca="1" si="21"/>
        <v>370</v>
      </c>
      <c r="Z209" s="14">
        <v>1</v>
      </c>
      <c r="AA209" s="1" t="str">
        <f t="shared" ca="1" si="22"/>
        <v>VENCIDO</v>
      </c>
      <c r="AB209" s="1" t="str">
        <f t="shared" si="23"/>
        <v>C-14</v>
      </c>
      <c r="AC209" s="2" t="str">
        <f t="shared" si="27"/>
        <v xml:space="preserve"> CRISTINA </v>
      </c>
      <c r="AD209" s="2">
        <f t="shared" si="24"/>
        <v>5</v>
      </c>
      <c r="AE209" s="2">
        <f t="shared" ca="1" si="25"/>
        <v>-477.9262716435187</v>
      </c>
      <c r="AF209" s="15"/>
    </row>
    <row r="210" spans="1:32" hidden="1">
      <c r="A210" s="1">
        <v>7970218</v>
      </c>
      <c r="B210" s="1" t="s">
        <v>62</v>
      </c>
      <c r="C210" t="s">
        <v>453</v>
      </c>
      <c r="E210" s="2">
        <v>1363000203000</v>
      </c>
      <c r="F210" s="1" t="s">
        <v>454</v>
      </c>
      <c r="G210" s="1" t="s">
        <v>53</v>
      </c>
      <c r="H210" s="1" t="s">
        <v>108</v>
      </c>
      <c r="I210" s="1" t="s">
        <v>109</v>
      </c>
      <c r="J210" s="1" t="s">
        <v>110</v>
      </c>
      <c r="K210" t="s">
        <v>457</v>
      </c>
      <c r="M210" s="1" t="s">
        <v>58</v>
      </c>
      <c r="N210" s="1">
        <v>0</v>
      </c>
      <c r="O210" s="1" t="s">
        <v>36</v>
      </c>
      <c r="P210" s="11" t="s">
        <v>3420</v>
      </c>
      <c r="R210" s="1" t="s">
        <v>38</v>
      </c>
      <c r="T210" s="1" t="s">
        <v>157</v>
      </c>
      <c r="U210" s="11" t="s">
        <v>459</v>
      </c>
      <c r="V210" s="1" t="s">
        <v>41</v>
      </c>
      <c r="W210" s="1" t="s">
        <v>49</v>
      </c>
      <c r="X210" s="13" t="str">
        <f t="shared" si="26"/>
        <v/>
      </c>
      <c r="Y210" s="2">
        <f t="shared" ca="1" si="21"/>
        <v>370</v>
      </c>
      <c r="Z210" s="14">
        <v>1</v>
      </c>
      <c r="AA210" s="1" t="str">
        <f t="shared" ca="1" si="22"/>
        <v>VENCIDO</v>
      </c>
      <c r="AB210" s="1" t="str">
        <f t="shared" si="23"/>
        <v>C-14</v>
      </c>
      <c r="AC210" s="2" t="str">
        <f t="shared" si="27"/>
        <v xml:space="preserve"> CRISTINA </v>
      </c>
      <c r="AD210" s="2">
        <f t="shared" si="24"/>
        <v>5</v>
      </c>
      <c r="AE210" s="2">
        <f t="shared" ca="1" si="25"/>
        <v>-477.9262716435187</v>
      </c>
      <c r="AF210" s="15"/>
    </row>
    <row r="211" spans="1:32" hidden="1">
      <c r="A211" s="1">
        <v>7998831</v>
      </c>
      <c r="B211" s="1" t="s">
        <v>27</v>
      </c>
      <c r="C211" t="s">
        <v>470</v>
      </c>
      <c r="E211" s="2">
        <v>2229000206001</v>
      </c>
      <c r="F211" s="1" t="s">
        <v>29</v>
      </c>
      <c r="G211" s="1" t="s">
        <v>53</v>
      </c>
      <c r="H211" s="1" t="s">
        <v>339</v>
      </c>
      <c r="I211" s="1" t="s">
        <v>340</v>
      </c>
      <c r="J211" s="1" t="s">
        <v>211</v>
      </c>
      <c r="K211" t="s">
        <v>34</v>
      </c>
      <c r="M211" s="1" t="s">
        <v>35</v>
      </c>
      <c r="N211" s="1">
        <v>42318949</v>
      </c>
      <c r="O211" s="1" t="s">
        <v>105</v>
      </c>
      <c r="P211" s="11" t="s">
        <v>471</v>
      </c>
      <c r="R211" s="1" t="s">
        <v>38</v>
      </c>
      <c r="T211" s="1" t="s">
        <v>74</v>
      </c>
      <c r="U211" s="186">
        <v>44474.75</v>
      </c>
      <c r="V211" s="1" t="s">
        <v>41</v>
      </c>
      <c r="W211" s="1" t="s">
        <v>49</v>
      </c>
      <c r="X211" s="13" t="str">
        <f t="shared" si="26"/>
        <v/>
      </c>
      <c r="Y211" s="2">
        <f t="shared" ca="1" si="21"/>
        <v>367</v>
      </c>
      <c r="Z211" s="14">
        <v>1</v>
      </c>
      <c r="AA211" s="1" t="str">
        <f t="shared" ca="1" si="22"/>
        <v>VENCIDO</v>
      </c>
      <c r="AB211" s="1" t="str">
        <f t="shared" si="23"/>
        <v>Dosa</v>
      </c>
      <c r="AC211" s="2" t="str">
        <f t="shared" si="27"/>
        <v xml:space="preserve"> RINALDO </v>
      </c>
      <c r="AD211" s="2">
        <f t="shared" si="24"/>
        <v>5</v>
      </c>
      <c r="AE211" s="2">
        <f t="shared" ca="1" si="25"/>
        <v>-511.9262716435187</v>
      </c>
      <c r="AF211" s="15"/>
    </row>
    <row r="212" spans="1:32" hidden="1">
      <c r="A212" s="1">
        <v>8014132</v>
      </c>
      <c r="B212" s="1" t="s">
        <v>27</v>
      </c>
      <c r="C212" t="s">
        <v>470</v>
      </c>
      <c r="E212" s="2">
        <v>1069000206001</v>
      </c>
      <c r="F212" s="1" t="s">
        <v>29</v>
      </c>
      <c r="G212" s="1" t="s">
        <v>53</v>
      </c>
      <c r="H212" s="1" t="s">
        <v>353</v>
      </c>
      <c r="I212" s="1" t="s">
        <v>354</v>
      </c>
      <c r="J212" s="1" t="s">
        <v>211</v>
      </c>
      <c r="K212" t="s">
        <v>34</v>
      </c>
      <c r="M212" s="1" t="s">
        <v>35</v>
      </c>
      <c r="N212" s="1">
        <v>42318949</v>
      </c>
      <c r="O212" s="1" t="s">
        <v>105</v>
      </c>
      <c r="P212" s="11" t="s">
        <v>473</v>
      </c>
      <c r="R212" s="1" t="s">
        <v>38</v>
      </c>
      <c r="T212" s="1" t="s">
        <v>74</v>
      </c>
      <c r="U212" s="186">
        <v>44480.75</v>
      </c>
      <c r="V212" s="1" t="s">
        <v>41</v>
      </c>
      <c r="W212" s="1" t="s">
        <v>49</v>
      </c>
      <c r="X212" s="13" t="str">
        <f t="shared" si="26"/>
        <v/>
      </c>
      <c r="Y212" s="2">
        <f t="shared" ca="1" si="21"/>
        <v>363</v>
      </c>
      <c r="Z212" s="14">
        <v>1</v>
      </c>
      <c r="AA212" s="1" t="str">
        <f t="shared" ca="1" si="22"/>
        <v>VENCIDO</v>
      </c>
      <c r="AB212" s="1" t="str">
        <f t="shared" si="23"/>
        <v>Dosa</v>
      </c>
      <c r="AC212" s="2" t="str">
        <f t="shared" si="27"/>
        <v xml:space="preserve"> RINALDO </v>
      </c>
      <c r="AD212" s="2">
        <f t="shared" si="24"/>
        <v>5</v>
      </c>
      <c r="AE212" s="2">
        <f t="shared" ca="1" si="25"/>
        <v>-505.9262716435187</v>
      </c>
      <c r="AF212" s="15"/>
    </row>
    <row r="213" spans="1:32" hidden="1">
      <c r="A213" s="1">
        <v>8018140</v>
      </c>
      <c r="B213" s="1" t="s">
        <v>62</v>
      </c>
      <c r="C213" t="s">
        <v>475</v>
      </c>
      <c r="E213" s="2">
        <v>1664000203000</v>
      </c>
      <c r="F213" s="1" t="s">
        <v>454</v>
      </c>
      <c r="G213" s="1" t="s">
        <v>53</v>
      </c>
      <c r="H213" s="1" t="s">
        <v>307</v>
      </c>
      <c r="I213" s="1" t="s">
        <v>308</v>
      </c>
      <c r="J213" s="1" t="s">
        <v>164</v>
      </c>
      <c r="K213" t="s">
        <v>457</v>
      </c>
      <c r="M213" s="1" t="s">
        <v>58</v>
      </c>
      <c r="N213" s="1">
        <v>0</v>
      </c>
      <c r="O213" s="1" t="s">
        <v>36</v>
      </c>
      <c r="P213" s="11" t="s">
        <v>3421</v>
      </c>
      <c r="R213" s="1" t="s">
        <v>38</v>
      </c>
      <c r="T213" s="1" t="s">
        <v>157</v>
      </c>
      <c r="U213" s="186">
        <v>44518.75</v>
      </c>
      <c r="V213" s="1" t="s">
        <v>41</v>
      </c>
      <c r="W213" s="1" t="s">
        <v>49</v>
      </c>
      <c r="X213" s="13" t="str">
        <f t="shared" si="26"/>
        <v/>
      </c>
      <c r="Y213" s="2">
        <f t="shared" ca="1" si="21"/>
        <v>361</v>
      </c>
      <c r="Z213" s="14">
        <v>1</v>
      </c>
      <c r="AA213" s="1" t="str">
        <f t="shared" ca="1" si="22"/>
        <v>VENCIDO</v>
      </c>
      <c r="AB213" s="1" t="str">
        <f t="shared" si="23"/>
        <v>C-14</v>
      </c>
      <c r="AC213" s="2" t="str">
        <f t="shared" si="27"/>
        <v xml:space="preserve"> ROSEMERE </v>
      </c>
      <c r="AD213" s="2">
        <f t="shared" si="24"/>
        <v>5</v>
      </c>
      <c r="AE213" s="2">
        <f t="shared" ca="1" si="25"/>
        <v>-467.9262716435187</v>
      </c>
      <c r="AF213" s="15"/>
    </row>
    <row r="214" spans="1:32" hidden="1">
      <c r="A214" s="1">
        <v>8017996</v>
      </c>
      <c r="B214" s="1" t="s">
        <v>27</v>
      </c>
      <c r="C214" t="s">
        <v>476</v>
      </c>
      <c r="E214" s="2">
        <v>2170000206001</v>
      </c>
      <c r="F214" s="1" t="s">
        <v>29</v>
      </c>
      <c r="G214" s="1" t="s">
        <v>53</v>
      </c>
      <c r="H214" s="1" t="s">
        <v>477</v>
      </c>
      <c r="I214" s="1" t="s">
        <v>478</v>
      </c>
      <c r="J214" s="1" t="s">
        <v>148</v>
      </c>
      <c r="K214" t="s">
        <v>34</v>
      </c>
      <c r="M214" s="1" t="s">
        <v>35</v>
      </c>
      <c r="N214" s="1">
        <v>42318949</v>
      </c>
      <c r="O214" s="1" t="s">
        <v>36</v>
      </c>
      <c r="P214" s="11" t="s">
        <v>479</v>
      </c>
      <c r="R214" s="1" t="s">
        <v>38</v>
      </c>
      <c r="T214" s="1" t="s">
        <v>74</v>
      </c>
      <c r="U214" s="186">
        <v>44482.75</v>
      </c>
      <c r="V214" s="1" t="s">
        <v>41</v>
      </c>
      <c r="W214" s="1" t="s">
        <v>49</v>
      </c>
      <c r="X214" s="13" t="str">
        <f t="shared" si="26"/>
        <v/>
      </c>
      <c r="Y214" s="2">
        <f t="shared" ca="1" si="21"/>
        <v>361</v>
      </c>
      <c r="Z214" s="14">
        <v>1</v>
      </c>
      <c r="AA214" s="1" t="str">
        <f t="shared" ca="1" si="22"/>
        <v>VENCIDO</v>
      </c>
      <c r="AB214" s="1" t="str">
        <f t="shared" si="23"/>
        <v>Dosa</v>
      </c>
      <c r="AC214" s="2" t="str">
        <f t="shared" si="27"/>
        <v xml:space="preserve"> RINALDO </v>
      </c>
      <c r="AD214" s="2">
        <f t="shared" si="24"/>
        <v>5</v>
      </c>
      <c r="AE214" s="2">
        <f t="shared" ca="1" si="25"/>
        <v>-503.9262716435187</v>
      </c>
      <c r="AF214" s="15"/>
    </row>
    <row r="215" spans="1:32" hidden="1">
      <c r="A215" s="1">
        <v>8021722</v>
      </c>
      <c r="B215" s="1" t="s">
        <v>62</v>
      </c>
      <c r="C215" t="s">
        <v>481</v>
      </c>
      <c r="E215" s="2">
        <v>2170000203010</v>
      </c>
      <c r="F215" s="1" t="s">
        <v>152</v>
      </c>
      <c r="G215" s="1" t="s">
        <v>53</v>
      </c>
      <c r="H215" s="1" t="s">
        <v>477</v>
      </c>
      <c r="I215" s="1" t="s">
        <v>478</v>
      </c>
      <c r="J215" s="1" t="s">
        <v>148</v>
      </c>
      <c r="K215" t="s">
        <v>155</v>
      </c>
      <c r="M215" s="1" t="s">
        <v>35</v>
      </c>
      <c r="N215" s="1">
        <v>42318949</v>
      </c>
      <c r="O215" s="1" t="s">
        <v>36</v>
      </c>
      <c r="P215" s="11" t="s">
        <v>482</v>
      </c>
      <c r="R215" s="1" t="s">
        <v>38</v>
      </c>
      <c r="T215" s="1" t="s">
        <v>157</v>
      </c>
      <c r="U215" s="186">
        <v>44519.75</v>
      </c>
      <c r="V215" s="1" t="s">
        <v>41</v>
      </c>
      <c r="W215" s="1" t="s">
        <v>49</v>
      </c>
      <c r="X215" s="13" t="str">
        <f t="shared" si="26"/>
        <v/>
      </c>
      <c r="Y215" s="2">
        <f t="shared" ca="1" si="21"/>
        <v>360</v>
      </c>
      <c r="Z215" s="14">
        <v>1</v>
      </c>
      <c r="AA215" s="1" t="str">
        <f t="shared" ca="1" si="22"/>
        <v>VENCIDO</v>
      </c>
      <c r="AB215" s="1" t="str">
        <f t="shared" si="23"/>
        <v>TAAe+</v>
      </c>
      <c r="AC215" s="2" t="str">
        <f t="shared" si="27"/>
        <v xml:space="preserve"> RINALDO </v>
      </c>
      <c r="AD215" s="2">
        <f t="shared" si="24"/>
        <v>8</v>
      </c>
      <c r="AE215" s="2">
        <f t="shared" ca="1" si="25"/>
        <v>-466.9262716435187</v>
      </c>
      <c r="AF215" s="15"/>
    </row>
    <row r="216" spans="1:32" hidden="1">
      <c r="A216" s="1">
        <v>8026505</v>
      </c>
      <c r="B216" s="1" t="s">
        <v>62</v>
      </c>
      <c r="C216" t="s">
        <v>484</v>
      </c>
      <c r="E216" s="2">
        <v>4119000203000</v>
      </c>
      <c r="F216" s="1" t="s">
        <v>454</v>
      </c>
      <c r="G216" s="1" t="s">
        <v>53</v>
      </c>
      <c r="H216" s="1" t="s">
        <v>297</v>
      </c>
      <c r="I216" s="1" t="s">
        <v>298</v>
      </c>
      <c r="J216" s="1" t="s">
        <v>211</v>
      </c>
      <c r="K216" t="s">
        <v>457</v>
      </c>
      <c r="M216" s="1" t="s">
        <v>58</v>
      </c>
      <c r="N216" s="1">
        <v>0</v>
      </c>
      <c r="O216" s="1" t="s">
        <v>36</v>
      </c>
      <c r="P216" s="11" t="s">
        <v>485</v>
      </c>
      <c r="R216" s="1" t="s">
        <v>38</v>
      </c>
      <c r="T216" s="1" t="s">
        <v>157</v>
      </c>
      <c r="U216" s="186">
        <v>44523.75</v>
      </c>
      <c r="V216" s="1" t="s">
        <v>41</v>
      </c>
      <c r="W216" s="1" t="s">
        <v>49</v>
      </c>
      <c r="X216" s="13" t="str">
        <f t="shared" si="26"/>
        <v/>
      </c>
      <c r="Y216" s="2">
        <f t="shared" ca="1" si="21"/>
        <v>358</v>
      </c>
      <c r="Z216" s="14">
        <v>1</v>
      </c>
      <c r="AA216" s="1" t="str">
        <f t="shared" ca="1" si="22"/>
        <v>VENCIDO</v>
      </c>
      <c r="AB216" s="1" t="str">
        <f t="shared" si="23"/>
        <v>C-14</v>
      </c>
      <c r="AC216" s="2" t="str">
        <f t="shared" si="27"/>
        <v xml:space="preserve"> RINALDO </v>
      </c>
      <c r="AD216" s="2">
        <f t="shared" si="24"/>
        <v>5</v>
      </c>
      <c r="AE216" s="2">
        <f t="shared" ca="1" si="25"/>
        <v>-462.9262716435187</v>
      </c>
      <c r="AF216" s="15"/>
    </row>
    <row r="217" spans="1:32" hidden="1">
      <c r="A217" s="1">
        <v>8034031</v>
      </c>
      <c r="B217" s="1" t="s">
        <v>62</v>
      </c>
      <c r="C217" t="s">
        <v>487</v>
      </c>
      <c r="E217" s="2">
        <v>9704000203000</v>
      </c>
      <c r="F217" s="1" t="s">
        <v>454</v>
      </c>
      <c r="G217" s="1" t="s">
        <v>53</v>
      </c>
      <c r="H217" s="1" t="s">
        <v>488</v>
      </c>
      <c r="I217" s="1" t="s">
        <v>489</v>
      </c>
      <c r="J217" s="1" t="s">
        <v>164</v>
      </c>
      <c r="K217" t="s">
        <v>457</v>
      </c>
      <c r="M217" s="1" t="s">
        <v>58</v>
      </c>
      <c r="N217" s="1">
        <v>0</v>
      </c>
      <c r="O217" s="1" t="s">
        <v>36</v>
      </c>
      <c r="P217" s="11" t="s">
        <v>490</v>
      </c>
      <c r="R217" s="1" t="s">
        <v>38</v>
      </c>
      <c r="T217" s="1" t="s">
        <v>157</v>
      </c>
      <c r="U217" s="186">
        <v>44524.75</v>
      </c>
      <c r="V217" s="1" t="s">
        <v>41</v>
      </c>
      <c r="W217" s="1" t="s">
        <v>49</v>
      </c>
      <c r="X217" s="13" t="str">
        <f t="shared" si="26"/>
        <v/>
      </c>
      <c r="Y217" s="2">
        <f t="shared" ca="1" si="21"/>
        <v>357</v>
      </c>
      <c r="Z217" s="14">
        <v>1</v>
      </c>
      <c r="AA217" s="1" t="str">
        <f t="shared" ca="1" si="22"/>
        <v>VENCIDO</v>
      </c>
      <c r="AB217" s="1" t="str">
        <f t="shared" si="23"/>
        <v>C-14</v>
      </c>
      <c r="AC217" s="2" t="str">
        <f t="shared" si="27"/>
        <v xml:space="preserve"> ROSEMERE </v>
      </c>
      <c r="AD217" s="2">
        <f t="shared" si="24"/>
        <v>5</v>
      </c>
      <c r="AE217" s="2">
        <f t="shared" ca="1" si="25"/>
        <v>-461.9262716435187</v>
      </c>
      <c r="AF217" s="15"/>
    </row>
    <row r="218" spans="1:32" hidden="1">
      <c r="A218" s="1">
        <v>8038627</v>
      </c>
      <c r="B218" s="1" t="s">
        <v>81</v>
      </c>
      <c r="C218" t="s">
        <v>240</v>
      </c>
      <c r="E218" s="2">
        <v>9704000206001</v>
      </c>
      <c r="F218" s="1" t="s">
        <v>29</v>
      </c>
      <c r="G218" s="1" t="s">
        <v>53</v>
      </c>
      <c r="H218" s="1" t="s">
        <v>488</v>
      </c>
      <c r="I218" s="1" t="s">
        <v>489</v>
      </c>
      <c r="J218" s="1" t="s">
        <v>164</v>
      </c>
      <c r="K218" t="s">
        <v>34</v>
      </c>
      <c r="M218" s="1" t="s">
        <v>35</v>
      </c>
      <c r="N218" s="1">
        <v>42318949</v>
      </c>
      <c r="O218" s="1" t="s">
        <v>36</v>
      </c>
      <c r="P218" s="11" t="s">
        <v>492</v>
      </c>
      <c r="R218" s="1" t="s">
        <v>38</v>
      </c>
      <c r="T218" s="1" t="s">
        <v>74</v>
      </c>
      <c r="U218" s="186">
        <v>44490.679629629631</v>
      </c>
      <c r="V218" s="1" t="s">
        <v>41</v>
      </c>
      <c r="W218" s="1" t="s">
        <v>49</v>
      </c>
      <c r="X218" s="13" t="str">
        <f t="shared" si="26"/>
        <v/>
      </c>
      <c r="Y218" s="2">
        <f t="shared" ca="1" si="21"/>
        <v>356</v>
      </c>
      <c r="Z218" s="14">
        <v>1</v>
      </c>
      <c r="AA218" s="1" t="str">
        <f t="shared" ca="1" si="22"/>
        <v>VENCIDO</v>
      </c>
      <c r="AB218" s="1" t="str">
        <f t="shared" si="23"/>
        <v>Dosa</v>
      </c>
      <c r="AC218" s="2" t="str">
        <f t="shared" si="27"/>
        <v xml:space="preserve"> ROSEMERE </v>
      </c>
      <c r="AD218" s="2">
        <f t="shared" si="24"/>
        <v>5</v>
      </c>
      <c r="AE218" s="2">
        <f t="shared" ca="1" si="25"/>
        <v>-495.99664201388805</v>
      </c>
      <c r="AF218" s="15"/>
    </row>
    <row r="219" spans="1:32" hidden="1">
      <c r="A219" s="1">
        <v>8038626</v>
      </c>
      <c r="B219" s="1" t="s">
        <v>81</v>
      </c>
      <c r="C219" t="s">
        <v>240</v>
      </c>
      <c r="E219" s="2">
        <v>9703000206001</v>
      </c>
      <c r="F219" s="1" t="s">
        <v>29</v>
      </c>
      <c r="G219" s="1" t="s">
        <v>53</v>
      </c>
      <c r="H219" s="1" t="s">
        <v>494</v>
      </c>
      <c r="I219" s="1" t="s">
        <v>495</v>
      </c>
      <c r="J219" s="1" t="s">
        <v>79</v>
      </c>
      <c r="K219" t="s">
        <v>34</v>
      </c>
      <c r="M219" s="1" t="s">
        <v>35</v>
      </c>
      <c r="N219" s="1">
        <v>42318949</v>
      </c>
      <c r="O219" s="1" t="s">
        <v>36</v>
      </c>
      <c r="P219" s="11" t="s">
        <v>492</v>
      </c>
      <c r="R219" s="1" t="s">
        <v>38</v>
      </c>
      <c r="T219" s="1" t="s">
        <v>74</v>
      </c>
      <c r="U219" s="186">
        <v>44490.679629629631</v>
      </c>
      <c r="V219" s="1" t="s">
        <v>41</v>
      </c>
      <c r="W219" s="1" t="s">
        <v>49</v>
      </c>
      <c r="X219" s="13" t="str">
        <f t="shared" si="26"/>
        <v/>
      </c>
      <c r="Y219" s="2">
        <f t="shared" ca="1" si="21"/>
        <v>356</v>
      </c>
      <c r="Z219" s="14">
        <v>1</v>
      </c>
      <c r="AA219" s="1" t="str">
        <f t="shared" ca="1" si="22"/>
        <v>VENCIDO</v>
      </c>
      <c r="AB219" s="1" t="str">
        <f t="shared" si="23"/>
        <v>Dosa</v>
      </c>
      <c r="AC219" s="2" t="str">
        <f t="shared" si="27"/>
        <v xml:space="preserve"> ROSEMERE </v>
      </c>
      <c r="AD219" s="2">
        <f t="shared" si="24"/>
        <v>5</v>
      </c>
      <c r="AE219" s="2">
        <f t="shared" ca="1" si="25"/>
        <v>-495.99664201388805</v>
      </c>
      <c r="AF219" s="15"/>
    </row>
    <row r="220" spans="1:32" hidden="1">
      <c r="A220" s="1">
        <v>8038016</v>
      </c>
      <c r="B220" s="1" t="s">
        <v>81</v>
      </c>
      <c r="C220" t="s">
        <v>240</v>
      </c>
      <c r="E220" s="2">
        <v>3613200206001</v>
      </c>
      <c r="F220" s="1" t="s">
        <v>29</v>
      </c>
      <c r="G220" s="1" t="s">
        <v>53</v>
      </c>
      <c r="H220" s="1" t="s">
        <v>496</v>
      </c>
      <c r="I220" s="1" t="s">
        <v>198</v>
      </c>
      <c r="J220" s="1" t="s">
        <v>46</v>
      </c>
      <c r="K220" t="s">
        <v>34</v>
      </c>
      <c r="M220" s="1" t="s">
        <v>35</v>
      </c>
      <c r="N220" s="1">
        <v>42318949</v>
      </c>
      <c r="O220" s="1" t="s">
        <v>36</v>
      </c>
      <c r="P220" s="11" t="s">
        <v>497</v>
      </c>
      <c r="R220" s="1" t="s">
        <v>38</v>
      </c>
      <c r="T220" s="1" t="s">
        <v>74</v>
      </c>
      <c r="U220" s="186">
        <v>44490.67869212963</v>
      </c>
      <c r="V220" s="1" t="s">
        <v>41</v>
      </c>
      <c r="W220" s="1" t="s">
        <v>49</v>
      </c>
      <c r="X220" s="13" t="str">
        <f t="shared" si="26"/>
        <v>3613.20</v>
      </c>
      <c r="Y220" s="2">
        <f t="shared" ca="1" si="21"/>
        <v>356</v>
      </c>
      <c r="Z220" s="14">
        <v>1</v>
      </c>
      <c r="AA220" s="1" t="str">
        <f t="shared" ca="1" si="22"/>
        <v>VENCIDO</v>
      </c>
      <c r="AB220" s="1" t="str">
        <f t="shared" si="23"/>
        <v>Dosa</v>
      </c>
      <c r="AC220" s="2" t="str">
        <f t="shared" si="27"/>
        <v xml:space="preserve"> CLEITON </v>
      </c>
      <c r="AD220" s="2">
        <f t="shared" si="24"/>
        <v>5</v>
      </c>
      <c r="AE220" s="2">
        <f t="shared" ca="1" si="25"/>
        <v>-495.99757951388892</v>
      </c>
      <c r="AF220" s="15"/>
    </row>
    <row r="221" spans="1:32" hidden="1">
      <c r="A221" s="1">
        <v>8037912</v>
      </c>
      <c r="B221" s="1" t="s">
        <v>81</v>
      </c>
      <c r="C221" t="s">
        <v>240</v>
      </c>
      <c r="E221" s="2">
        <v>3234160206001</v>
      </c>
      <c r="F221" s="1" t="s">
        <v>29</v>
      </c>
      <c r="G221" s="1" t="s">
        <v>53</v>
      </c>
      <c r="H221" s="1" t="s">
        <v>499</v>
      </c>
      <c r="I221" s="1" t="s">
        <v>500</v>
      </c>
      <c r="J221" s="1" t="s">
        <v>46</v>
      </c>
      <c r="K221" t="s">
        <v>34</v>
      </c>
      <c r="M221" s="1" t="s">
        <v>35</v>
      </c>
      <c r="N221" s="1">
        <v>42318949</v>
      </c>
      <c r="O221" s="1" t="s">
        <v>36</v>
      </c>
      <c r="P221" s="11" t="s">
        <v>501</v>
      </c>
      <c r="R221" s="1" t="s">
        <v>38</v>
      </c>
      <c r="T221" s="1" t="s">
        <v>74</v>
      </c>
      <c r="U221" s="186">
        <v>44490.678518518522</v>
      </c>
      <c r="V221" s="1" t="s">
        <v>41</v>
      </c>
      <c r="W221" s="1" t="s">
        <v>49</v>
      </c>
      <c r="X221" s="13" t="str">
        <f t="shared" si="26"/>
        <v>3234.16</v>
      </c>
      <c r="Y221" s="2">
        <f t="shared" ca="1" si="21"/>
        <v>356</v>
      </c>
      <c r="Z221" s="14">
        <v>1</v>
      </c>
      <c r="AA221" s="1" t="str">
        <f t="shared" ca="1" si="22"/>
        <v>VENCIDO</v>
      </c>
      <c r="AB221" s="1" t="str">
        <f t="shared" si="23"/>
        <v>Dosa</v>
      </c>
      <c r="AC221" s="2" t="str">
        <f t="shared" si="27"/>
        <v xml:space="preserve"> CLEITON </v>
      </c>
      <c r="AD221" s="2">
        <f t="shared" si="24"/>
        <v>5</v>
      </c>
      <c r="AE221" s="2">
        <f t="shared" ca="1" si="25"/>
        <v>-495.99775312499696</v>
      </c>
      <c r="AF221" s="15"/>
    </row>
    <row r="222" spans="1:32" hidden="1">
      <c r="A222" s="1">
        <v>8037881</v>
      </c>
      <c r="B222" s="1" t="s">
        <v>81</v>
      </c>
      <c r="C222" t="s">
        <v>240</v>
      </c>
      <c r="E222" s="2">
        <v>3108010206001</v>
      </c>
      <c r="F222" s="1" t="s">
        <v>29</v>
      </c>
      <c r="G222" s="1" t="s">
        <v>53</v>
      </c>
      <c r="H222" s="1" t="s">
        <v>503</v>
      </c>
      <c r="I222" s="1" t="s">
        <v>504</v>
      </c>
      <c r="J222" s="1" t="s">
        <v>46</v>
      </c>
      <c r="K222" t="s">
        <v>34</v>
      </c>
      <c r="M222" s="1" t="s">
        <v>35</v>
      </c>
      <c r="N222" s="1">
        <v>42318949</v>
      </c>
      <c r="O222" s="1" t="s">
        <v>36</v>
      </c>
      <c r="P222" s="11" t="s">
        <v>3422</v>
      </c>
      <c r="R222" s="1" t="s">
        <v>38</v>
      </c>
      <c r="T222" s="1" t="s">
        <v>74</v>
      </c>
      <c r="U222" s="186">
        <v>44490.678483796299</v>
      </c>
      <c r="V222" s="1" t="s">
        <v>41</v>
      </c>
      <c r="W222" s="1" t="s">
        <v>49</v>
      </c>
      <c r="X222" s="13" t="str">
        <f t="shared" si="26"/>
        <v>3108.01</v>
      </c>
      <c r="Y222" s="2">
        <f t="shared" ca="1" si="21"/>
        <v>356</v>
      </c>
      <c r="Z222" s="14">
        <v>1</v>
      </c>
      <c r="AA222" s="1" t="str">
        <f t="shared" ca="1" si="22"/>
        <v>VENCIDO</v>
      </c>
      <c r="AB222" s="1" t="str">
        <f t="shared" si="23"/>
        <v>Dosa</v>
      </c>
      <c r="AC222" s="2" t="str">
        <f t="shared" si="27"/>
        <v xml:space="preserve"> CLEITON </v>
      </c>
      <c r="AD222" s="2">
        <f t="shared" si="24"/>
        <v>5</v>
      </c>
      <c r="AE222" s="2">
        <f t="shared" ca="1" si="25"/>
        <v>-495.99778784722002</v>
      </c>
      <c r="AF222" s="15"/>
    </row>
    <row r="223" spans="1:32" hidden="1">
      <c r="A223" s="1">
        <v>8037734</v>
      </c>
      <c r="B223" s="1" t="s">
        <v>81</v>
      </c>
      <c r="C223" t="s">
        <v>240</v>
      </c>
      <c r="E223" s="2">
        <v>2413000206001</v>
      </c>
      <c r="F223" s="1" t="s">
        <v>29</v>
      </c>
      <c r="G223" s="1" t="s">
        <v>53</v>
      </c>
      <c r="H223" s="1" t="s">
        <v>505</v>
      </c>
      <c r="I223" s="1" t="s">
        <v>506</v>
      </c>
      <c r="J223" s="1" t="s">
        <v>141</v>
      </c>
      <c r="K223" t="s">
        <v>34</v>
      </c>
      <c r="M223" s="1" t="s">
        <v>35</v>
      </c>
      <c r="N223" s="1">
        <v>42318949</v>
      </c>
      <c r="O223" s="1" t="s">
        <v>36</v>
      </c>
      <c r="P223" s="11" t="s">
        <v>507</v>
      </c>
      <c r="R223" s="1" t="s">
        <v>38</v>
      </c>
      <c r="T223" s="1" t="s">
        <v>74</v>
      </c>
      <c r="U223" s="186">
        <v>44490.678206018521</v>
      </c>
      <c r="V223" s="1" t="s">
        <v>41</v>
      </c>
      <c r="W223" s="1" t="s">
        <v>49</v>
      </c>
      <c r="X223" s="13" t="str">
        <f t="shared" si="26"/>
        <v/>
      </c>
      <c r="Y223" s="2">
        <f t="shared" ca="1" si="21"/>
        <v>356</v>
      </c>
      <c r="Z223" s="14">
        <v>1</v>
      </c>
      <c r="AA223" s="1" t="str">
        <f t="shared" ca="1" si="22"/>
        <v>VENCIDO</v>
      </c>
      <c r="AB223" s="1" t="str">
        <f t="shared" si="23"/>
        <v>Dosa</v>
      </c>
      <c r="AC223" s="2" t="str">
        <f t="shared" si="27"/>
        <v xml:space="preserve"> CRISTINA </v>
      </c>
      <c r="AD223" s="2">
        <f t="shared" si="24"/>
        <v>5</v>
      </c>
      <c r="AE223" s="2">
        <f t="shared" ca="1" si="25"/>
        <v>-495.99806562499725</v>
      </c>
      <c r="AF223" s="15"/>
    </row>
    <row r="224" spans="1:32" hidden="1">
      <c r="A224" s="1">
        <v>8037079</v>
      </c>
      <c r="B224" s="1" t="s">
        <v>81</v>
      </c>
      <c r="C224" t="s">
        <v>240</v>
      </c>
      <c r="E224" s="2">
        <v>7740206001</v>
      </c>
      <c r="F224" s="1" t="s">
        <v>29</v>
      </c>
      <c r="G224" s="1" t="s">
        <v>53</v>
      </c>
      <c r="H224" s="1" t="s">
        <v>187</v>
      </c>
      <c r="I224" s="1" t="s">
        <v>188</v>
      </c>
      <c r="J224" s="1" t="s">
        <v>46</v>
      </c>
      <c r="K224" t="s">
        <v>34</v>
      </c>
      <c r="M224" s="1" t="s">
        <v>35</v>
      </c>
      <c r="N224" s="1">
        <v>42318949</v>
      </c>
      <c r="O224" s="1" t="s">
        <v>36</v>
      </c>
      <c r="P224" s="11" t="s">
        <v>509</v>
      </c>
      <c r="R224" s="1" t="s">
        <v>38</v>
      </c>
      <c r="T224" s="1" t="s">
        <v>74</v>
      </c>
      <c r="U224" s="186">
        <v>44490.677141203705</v>
      </c>
      <c r="V224" s="1" t="s">
        <v>41</v>
      </c>
      <c r="W224" s="1" t="s">
        <v>49</v>
      </c>
      <c r="X224" s="13" t="str">
        <f t="shared" si="26"/>
        <v>0007.74</v>
      </c>
      <c r="Y224" s="2">
        <f t="shared" ca="1" si="21"/>
        <v>356</v>
      </c>
      <c r="Z224" s="14">
        <v>1</v>
      </c>
      <c r="AA224" s="1" t="str">
        <f t="shared" ca="1" si="22"/>
        <v>VENCIDO</v>
      </c>
      <c r="AB224" s="1" t="str">
        <f t="shared" si="23"/>
        <v>Dosa</v>
      </c>
      <c r="AC224" s="2" t="str">
        <f t="shared" si="27"/>
        <v xml:space="preserve"> CLEITON </v>
      </c>
      <c r="AD224" s="2">
        <f t="shared" si="24"/>
        <v>5</v>
      </c>
      <c r="AE224" s="2">
        <f t="shared" ca="1" si="25"/>
        <v>-495.9991304398136</v>
      </c>
      <c r="AF224" s="15"/>
    </row>
    <row r="225" spans="1:32" hidden="1">
      <c r="A225" s="1">
        <v>8050725</v>
      </c>
      <c r="B225" s="1" t="s">
        <v>62</v>
      </c>
      <c r="C225" t="s">
        <v>511</v>
      </c>
      <c r="E225" s="2">
        <v>4997000206001</v>
      </c>
      <c r="F225" s="1" t="s">
        <v>29</v>
      </c>
      <c r="G225" s="1" t="s">
        <v>53</v>
      </c>
      <c r="H225" s="1" t="s">
        <v>406</v>
      </c>
      <c r="I225" s="1" t="s">
        <v>407</v>
      </c>
      <c r="J225" s="1" t="s">
        <v>79</v>
      </c>
      <c r="K225" t="s">
        <v>34</v>
      </c>
      <c r="M225" s="1" t="s">
        <v>35</v>
      </c>
      <c r="N225" s="1">
        <v>42318949</v>
      </c>
      <c r="O225" s="1" t="s">
        <v>105</v>
      </c>
      <c r="P225" s="11" t="s">
        <v>512</v>
      </c>
      <c r="R225" s="1" t="s">
        <v>38</v>
      </c>
      <c r="T225" s="1" t="s">
        <v>74</v>
      </c>
      <c r="U225" s="186">
        <v>44537.75</v>
      </c>
      <c r="V225" s="1" t="s">
        <v>41</v>
      </c>
      <c r="W225" s="1" t="s">
        <v>49</v>
      </c>
      <c r="X225" s="13" t="str">
        <f t="shared" si="26"/>
        <v/>
      </c>
      <c r="Y225" s="2">
        <f t="shared" ca="1" si="21"/>
        <v>353</v>
      </c>
      <c r="Z225" s="14">
        <v>1</v>
      </c>
      <c r="AA225" s="1" t="str">
        <f t="shared" ca="1" si="22"/>
        <v>VENCIDO</v>
      </c>
      <c r="AB225" s="1" t="str">
        <f t="shared" si="23"/>
        <v>Dosa</v>
      </c>
      <c r="AC225" s="2" t="str">
        <f t="shared" si="27"/>
        <v xml:space="preserve"> ROSEMERE </v>
      </c>
      <c r="AD225" s="2">
        <f t="shared" si="24"/>
        <v>5</v>
      </c>
      <c r="AE225" s="2">
        <f t="shared" ca="1" si="25"/>
        <v>-448.9262716435187</v>
      </c>
      <c r="AF225" s="15"/>
    </row>
    <row r="226" spans="1:32" hidden="1">
      <c r="A226" s="1">
        <v>8127356</v>
      </c>
      <c r="B226" s="1" t="s">
        <v>62</v>
      </c>
      <c r="C226" t="s">
        <v>514</v>
      </c>
      <c r="E226" s="2">
        <v>537000206001</v>
      </c>
      <c r="F226" s="1" t="s">
        <v>29</v>
      </c>
      <c r="G226" s="1" t="s">
        <v>53</v>
      </c>
      <c r="H226" s="1" t="s">
        <v>442</v>
      </c>
      <c r="I226" s="1" t="s">
        <v>443</v>
      </c>
      <c r="J226" s="1" t="s">
        <v>79</v>
      </c>
      <c r="K226" t="s">
        <v>34</v>
      </c>
      <c r="M226" s="1" t="s">
        <v>35</v>
      </c>
      <c r="N226" s="1">
        <v>42318949</v>
      </c>
      <c r="O226" s="1" t="s">
        <v>36</v>
      </c>
      <c r="P226" s="11" t="s">
        <v>3423</v>
      </c>
      <c r="R226" s="1" t="s">
        <v>38</v>
      </c>
      <c r="T226" s="1" t="s">
        <v>74</v>
      </c>
      <c r="U226" s="186">
        <v>44560.75</v>
      </c>
      <c r="V226" s="1" t="s">
        <v>41</v>
      </c>
      <c r="W226" s="1" t="s">
        <v>49</v>
      </c>
      <c r="X226" s="13" t="str">
        <f t="shared" si="26"/>
        <v/>
      </c>
      <c r="Y226" s="2">
        <f t="shared" ca="1" si="21"/>
        <v>335</v>
      </c>
      <c r="Z226" s="14">
        <v>1</v>
      </c>
      <c r="AA226" s="1" t="str">
        <f t="shared" ca="1" si="22"/>
        <v>VENCIDO</v>
      </c>
      <c r="AB226" s="1" t="str">
        <f t="shared" si="23"/>
        <v>Dosa</v>
      </c>
      <c r="AC226" s="2" t="str">
        <f t="shared" si="27"/>
        <v xml:space="preserve"> ROSEMERE </v>
      </c>
      <c r="AD226" s="2">
        <f t="shared" si="24"/>
        <v>5</v>
      </c>
      <c r="AE226" s="2">
        <f t="shared" ca="1" si="25"/>
        <v>-425.9262716435187</v>
      </c>
      <c r="AF226" s="15"/>
    </row>
    <row r="227" spans="1:32" hidden="1">
      <c r="A227" s="1">
        <v>8130031</v>
      </c>
      <c r="B227" s="1" t="s">
        <v>62</v>
      </c>
      <c r="C227" t="s">
        <v>515</v>
      </c>
      <c r="E227" s="2">
        <v>5742000206001</v>
      </c>
      <c r="F227" s="1" t="s">
        <v>29</v>
      </c>
      <c r="G227" s="1" t="s">
        <v>53</v>
      </c>
      <c r="H227" s="1" t="s">
        <v>430</v>
      </c>
      <c r="I227" s="1" t="s">
        <v>431</v>
      </c>
      <c r="J227" s="1" t="s">
        <v>79</v>
      </c>
      <c r="K227" t="s">
        <v>34</v>
      </c>
      <c r="M227" s="1" t="s">
        <v>35</v>
      </c>
      <c r="N227" s="1">
        <v>42318949</v>
      </c>
      <c r="O227" s="1" t="s">
        <v>105</v>
      </c>
      <c r="P227" s="11" t="s">
        <v>516</v>
      </c>
      <c r="R227" s="1" t="s">
        <v>38</v>
      </c>
      <c r="T227" s="1" t="s">
        <v>74</v>
      </c>
      <c r="U227" s="186">
        <v>44561.75</v>
      </c>
      <c r="V227" s="1" t="s">
        <v>41</v>
      </c>
      <c r="W227" s="1" t="s">
        <v>49</v>
      </c>
      <c r="X227" s="13" t="str">
        <f t="shared" si="26"/>
        <v/>
      </c>
      <c r="Y227" s="2">
        <f t="shared" ca="1" si="21"/>
        <v>334</v>
      </c>
      <c r="Z227" s="14">
        <v>1</v>
      </c>
      <c r="AA227" s="1" t="str">
        <f t="shared" ca="1" si="22"/>
        <v>VENCIDO</v>
      </c>
      <c r="AB227" s="1" t="str">
        <f t="shared" si="23"/>
        <v>Dosa</v>
      </c>
      <c r="AC227" s="2" t="str">
        <f t="shared" si="27"/>
        <v xml:space="preserve"> ROSEMERE </v>
      </c>
      <c r="AD227" s="2">
        <f t="shared" si="24"/>
        <v>5</v>
      </c>
      <c r="AE227" s="2">
        <f t="shared" ca="1" si="25"/>
        <v>-424.9262716435187</v>
      </c>
      <c r="AF227" s="15"/>
    </row>
    <row r="228" spans="1:32" hidden="1">
      <c r="A228" s="1">
        <v>8139932</v>
      </c>
      <c r="B228" s="1" t="s">
        <v>81</v>
      </c>
      <c r="C228" t="s">
        <v>518</v>
      </c>
      <c r="E228" s="2">
        <v>7419141893543</v>
      </c>
      <c r="F228" s="1" t="s">
        <v>128</v>
      </c>
      <c r="G228" s="1" t="s">
        <v>53</v>
      </c>
      <c r="H228" s="1" t="s">
        <v>519</v>
      </c>
      <c r="I228" s="1" t="s">
        <v>520</v>
      </c>
      <c r="J228" s="1" t="s">
        <v>90</v>
      </c>
      <c r="K228" t="s">
        <v>129</v>
      </c>
      <c r="M228" s="1" t="s">
        <v>58</v>
      </c>
      <c r="N228" s="1">
        <v>0</v>
      </c>
      <c r="O228" s="1" t="s">
        <v>105</v>
      </c>
      <c r="P228" s="11" t="s">
        <v>521</v>
      </c>
      <c r="R228" s="1">
        <v>14</v>
      </c>
      <c r="T228" s="1" t="s">
        <v>238</v>
      </c>
      <c r="U228" s="186">
        <v>44525.020509259259</v>
      </c>
      <c r="V228" s="1" t="s">
        <v>41</v>
      </c>
      <c r="W228" s="1" t="s">
        <v>49</v>
      </c>
      <c r="X228" s="13" t="str">
        <f t="shared" si="26"/>
        <v>0870.91</v>
      </c>
      <c r="Y228" s="2">
        <f t="shared" ca="1" si="21"/>
        <v>331</v>
      </c>
      <c r="Z228" s="14">
        <v>1</v>
      </c>
      <c r="AA228" s="1" t="str">
        <f t="shared" ca="1" si="22"/>
        <v>VENCIDO</v>
      </c>
      <c r="AB228" s="1" t="str">
        <f t="shared" si="23"/>
        <v>TAAe+</v>
      </c>
      <c r="AC228" s="2" t="str">
        <f t="shared" si="27"/>
        <v xml:space="preserve"> RINALDO </v>
      </c>
      <c r="AD228" s="2">
        <f t="shared" si="24"/>
        <v>8</v>
      </c>
      <c r="AE228" s="2">
        <f t="shared" ca="1" si="25"/>
        <v>-461.65576238426002</v>
      </c>
      <c r="AF228" s="15"/>
    </row>
    <row r="229" spans="1:32" hidden="1">
      <c r="A229" s="1">
        <v>8139913</v>
      </c>
      <c r="B229" s="1" t="s">
        <v>81</v>
      </c>
      <c r="C229" t="s">
        <v>518</v>
      </c>
      <c r="E229" s="2">
        <v>7417163284512</v>
      </c>
      <c r="F229" s="1" t="s">
        <v>131</v>
      </c>
      <c r="G229" s="1" t="s">
        <v>53</v>
      </c>
      <c r="H229" s="1" t="s">
        <v>519</v>
      </c>
      <c r="I229" s="1" t="s">
        <v>520</v>
      </c>
      <c r="J229" s="1" t="s">
        <v>90</v>
      </c>
      <c r="K229" t="s">
        <v>132</v>
      </c>
      <c r="M229" s="1" t="s">
        <v>58</v>
      </c>
      <c r="N229" s="1">
        <v>0</v>
      </c>
      <c r="O229" s="1" t="s">
        <v>105</v>
      </c>
      <c r="P229" s="11" t="s">
        <v>523</v>
      </c>
      <c r="R229" s="1">
        <v>14</v>
      </c>
      <c r="T229" s="1" t="s">
        <v>238</v>
      </c>
      <c r="U229" s="186">
        <v>44525.020486111112</v>
      </c>
      <c r="V229" s="1" t="s">
        <v>41</v>
      </c>
      <c r="W229" s="1" t="s">
        <v>49</v>
      </c>
      <c r="X229" s="13" t="str">
        <f t="shared" si="26"/>
        <v>0870.91</v>
      </c>
      <c r="Y229" s="2">
        <f t="shared" ca="1" si="21"/>
        <v>331</v>
      </c>
      <c r="Z229" s="14">
        <v>1</v>
      </c>
      <c r="AA229" s="1" t="str">
        <f t="shared" ca="1" si="22"/>
        <v>VENCIDO</v>
      </c>
      <c r="AB229" s="1" t="str">
        <f t="shared" si="23"/>
        <v>TAAe+</v>
      </c>
      <c r="AC229" s="2" t="str">
        <f t="shared" si="27"/>
        <v xml:space="preserve"> RINALDO </v>
      </c>
      <c r="AD229" s="2">
        <f t="shared" si="24"/>
        <v>8</v>
      </c>
      <c r="AE229" s="2">
        <f t="shared" ca="1" si="25"/>
        <v>-461.6557855324063</v>
      </c>
      <c r="AF229" s="15"/>
    </row>
    <row r="230" spans="1:32" hidden="1">
      <c r="A230" s="1">
        <v>8253667</v>
      </c>
      <c r="B230" s="1" t="s">
        <v>62</v>
      </c>
      <c r="C230" t="s">
        <v>525</v>
      </c>
      <c r="E230" s="2">
        <v>1902016589800</v>
      </c>
      <c r="F230" s="1" t="s">
        <v>64</v>
      </c>
      <c r="G230" s="1" t="s">
        <v>53</v>
      </c>
      <c r="H230" s="1" t="s">
        <v>365</v>
      </c>
      <c r="I230" s="1" t="s">
        <v>366</v>
      </c>
      <c r="J230" s="1" t="s">
        <v>164</v>
      </c>
      <c r="K230" t="s">
        <v>67</v>
      </c>
      <c r="M230" s="1" t="s">
        <v>35</v>
      </c>
      <c r="N230" s="1">
        <v>42318949</v>
      </c>
      <c r="O230" s="1" t="s">
        <v>36</v>
      </c>
      <c r="P230" s="11" t="s">
        <v>526</v>
      </c>
      <c r="R230" s="1">
        <v>1</v>
      </c>
      <c r="T230" s="1" t="s">
        <v>69</v>
      </c>
      <c r="U230" s="186">
        <v>44566.451747685183</v>
      </c>
      <c r="V230" s="1" t="s">
        <v>41</v>
      </c>
      <c r="W230" s="1" t="s">
        <v>49</v>
      </c>
      <c r="X230" s="13" t="str">
        <f t="shared" si="26"/>
        <v/>
      </c>
      <c r="Y230" s="2">
        <f t="shared" ca="1" si="21"/>
        <v>302</v>
      </c>
      <c r="Z230" s="14">
        <v>1</v>
      </c>
      <c r="AA230" s="1" t="str">
        <f t="shared" ca="1" si="22"/>
        <v>VENCIDO</v>
      </c>
      <c r="AB230" s="1" t="str">
        <f t="shared" si="23"/>
        <v>TAAe+</v>
      </c>
      <c r="AC230" s="2" t="str">
        <f t="shared" si="27"/>
        <v xml:space="preserve"> ROSEMERE </v>
      </c>
      <c r="AD230" s="2">
        <f t="shared" si="24"/>
        <v>8</v>
      </c>
      <c r="AE230" s="2">
        <f t="shared" ca="1" si="25"/>
        <v>-420.22452395833534</v>
      </c>
      <c r="AF230" s="15"/>
    </row>
    <row r="231" spans="1:32" hidden="1">
      <c r="A231" s="1">
        <v>8253660</v>
      </c>
      <c r="B231" s="1" t="s">
        <v>62</v>
      </c>
      <c r="C231" t="s">
        <v>525</v>
      </c>
      <c r="E231" s="2">
        <v>1902016083400</v>
      </c>
      <c r="F231" s="1" t="s">
        <v>64</v>
      </c>
      <c r="G231" s="1" t="s">
        <v>53</v>
      </c>
      <c r="H231" s="1" t="s">
        <v>367</v>
      </c>
      <c r="I231" s="1" t="s">
        <v>368</v>
      </c>
      <c r="J231" s="1" t="s">
        <v>261</v>
      </c>
      <c r="K231" t="s">
        <v>67</v>
      </c>
      <c r="M231" s="1" t="s">
        <v>35</v>
      </c>
      <c r="N231" s="1">
        <v>42318949</v>
      </c>
      <c r="O231" s="1" t="s">
        <v>36</v>
      </c>
      <c r="P231" s="11" t="s">
        <v>528</v>
      </c>
      <c r="R231" s="1">
        <v>1</v>
      </c>
      <c r="T231" s="1" t="s">
        <v>69</v>
      </c>
      <c r="U231" s="186">
        <v>44566.451736111114</v>
      </c>
      <c r="V231" s="1" t="s">
        <v>41</v>
      </c>
      <c r="W231" s="1" t="s">
        <v>49</v>
      </c>
      <c r="X231" s="13" t="str">
        <f t="shared" si="26"/>
        <v/>
      </c>
      <c r="Y231" s="2">
        <f t="shared" ca="1" si="21"/>
        <v>302</v>
      </c>
      <c r="Z231" s="14">
        <v>1</v>
      </c>
      <c r="AA231" s="1" t="str">
        <f t="shared" ca="1" si="22"/>
        <v>VENCIDO</v>
      </c>
      <c r="AB231" s="1" t="str">
        <f t="shared" si="23"/>
        <v>TAAe+</v>
      </c>
      <c r="AC231" s="2" t="str">
        <f t="shared" si="27"/>
        <v xml:space="preserve"> CRISTINA </v>
      </c>
      <c r="AD231" s="2">
        <f t="shared" si="24"/>
        <v>8</v>
      </c>
      <c r="AE231" s="2">
        <f t="shared" ca="1" si="25"/>
        <v>-420.22453553240484</v>
      </c>
      <c r="AF231" s="15"/>
    </row>
    <row r="232" spans="1:32" hidden="1">
      <c r="A232" s="1">
        <v>8253659</v>
      </c>
      <c r="B232" s="1" t="s">
        <v>62</v>
      </c>
      <c r="C232" t="s">
        <v>525</v>
      </c>
      <c r="E232" s="2">
        <v>1902016057000</v>
      </c>
      <c r="F232" s="1" t="s">
        <v>64</v>
      </c>
      <c r="G232" s="1" t="s">
        <v>53</v>
      </c>
      <c r="H232" s="1" t="s">
        <v>434</v>
      </c>
      <c r="I232" s="1" t="s">
        <v>435</v>
      </c>
      <c r="J232" s="1" t="s">
        <v>148</v>
      </c>
      <c r="K232" t="s">
        <v>67</v>
      </c>
      <c r="M232" s="1" t="s">
        <v>35</v>
      </c>
      <c r="N232" s="1">
        <v>42318949</v>
      </c>
      <c r="O232" s="1" t="s">
        <v>36</v>
      </c>
      <c r="P232" s="11" t="s">
        <v>528</v>
      </c>
      <c r="R232" s="1">
        <v>1</v>
      </c>
      <c r="T232" s="1" t="s">
        <v>69</v>
      </c>
      <c r="U232" s="186">
        <v>44566.451736111114</v>
      </c>
      <c r="V232" s="1" t="s">
        <v>41</v>
      </c>
      <c r="W232" s="1" t="s">
        <v>49</v>
      </c>
      <c r="X232" s="13" t="str">
        <f t="shared" si="26"/>
        <v/>
      </c>
      <c r="Y232" s="2">
        <f t="shared" ca="1" si="21"/>
        <v>302</v>
      </c>
      <c r="Z232" s="14">
        <v>1</v>
      </c>
      <c r="AA232" s="1" t="str">
        <f t="shared" ca="1" si="22"/>
        <v>VENCIDO</v>
      </c>
      <c r="AB232" s="1" t="str">
        <f t="shared" si="23"/>
        <v>TAAe+</v>
      </c>
      <c r="AC232" s="2" t="str">
        <f t="shared" si="27"/>
        <v xml:space="preserve"> RINALDO </v>
      </c>
      <c r="AD232" s="2">
        <f t="shared" si="24"/>
        <v>8</v>
      </c>
      <c r="AE232" s="2">
        <f t="shared" ca="1" si="25"/>
        <v>-420.22453553240484</v>
      </c>
      <c r="AF232" s="15"/>
    </row>
    <row r="233" spans="1:32" hidden="1">
      <c r="A233" s="1">
        <v>8253658</v>
      </c>
      <c r="B233" s="1" t="s">
        <v>62</v>
      </c>
      <c r="C233" t="s">
        <v>525</v>
      </c>
      <c r="E233" s="2">
        <v>1902016044600</v>
      </c>
      <c r="F233" s="1" t="s">
        <v>64</v>
      </c>
      <c r="G233" s="1" t="s">
        <v>53</v>
      </c>
      <c r="H233" s="1" t="s">
        <v>432</v>
      </c>
      <c r="I233" s="1" t="s">
        <v>433</v>
      </c>
      <c r="J233" s="1" t="s">
        <v>141</v>
      </c>
      <c r="K233" t="s">
        <v>67</v>
      </c>
      <c r="M233" s="1" t="s">
        <v>35</v>
      </c>
      <c r="N233" s="1">
        <v>42318949</v>
      </c>
      <c r="O233" s="1" t="s">
        <v>36</v>
      </c>
      <c r="P233" s="11" t="s">
        <v>528</v>
      </c>
      <c r="R233" s="1">
        <v>1</v>
      </c>
      <c r="T233" s="1" t="s">
        <v>69</v>
      </c>
      <c r="U233" s="186">
        <v>44566.451736111114</v>
      </c>
      <c r="V233" s="1" t="s">
        <v>41</v>
      </c>
      <c r="W233" s="1" t="s">
        <v>49</v>
      </c>
      <c r="X233" s="13" t="str">
        <f t="shared" si="26"/>
        <v/>
      </c>
      <c r="Y233" s="2">
        <f t="shared" ca="1" si="21"/>
        <v>302</v>
      </c>
      <c r="Z233" s="14">
        <v>1</v>
      </c>
      <c r="AA233" s="1" t="str">
        <f t="shared" ca="1" si="22"/>
        <v>VENCIDO</v>
      </c>
      <c r="AB233" s="1" t="str">
        <f t="shared" si="23"/>
        <v>TAAe+</v>
      </c>
      <c r="AC233" s="2" t="str">
        <f t="shared" si="27"/>
        <v xml:space="preserve"> CRISTINA </v>
      </c>
      <c r="AD233" s="2">
        <f t="shared" si="24"/>
        <v>8</v>
      </c>
      <c r="AE233" s="2">
        <f t="shared" ca="1" si="25"/>
        <v>-420.22453553240484</v>
      </c>
      <c r="AF233" s="15"/>
    </row>
    <row r="234" spans="1:32" hidden="1">
      <c r="A234" s="1">
        <v>8253656</v>
      </c>
      <c r="B234" s="1" t="s">
        <v>62</v>
      </c>
      <c r="C234" t="s">
        <v>525</v>
      </c>
      <c r="E234" s="2">
        <v>1902016015900</v>
      </c>
      <c r="F234" s="1" t="s">
        <v>64</v>
      </c>
      <c r="G234" s="1" t="s">
        <v>53</v>
      </c>
      <c r="H234" s="1" t="s">
        <v>331</v>
      </c>
      <c r="I234" s="1" t="s">
        <v>332</v>
      </c>
      <c r="J234" s="1" t="s">
        <v>79</v>
      </c>
      <c r="K234" t="s">
        <v>67</v>
      </c>
      <c r="M234" s="1" t="s">
        <v>35</v>
      </c>
      <c r="N234" s="1">
        <v>42318949</v>
      </c>
      <c r="O234" s="1" t="s">
        <v>36</v>
      </c>
      <c r="P234" s="11" t="s">
        <v>528</v>
      </c>
      <c r="R234" s="1">
        <v>1</v>
      </c>
      <c r="T234" s="1" t="s">
        <v>69</v>
      </c>
      <c r="U234" s="186">
        <v>44566.451736111114</v>
      </c>
      <c r="V234" s="1" t="s">
        <v>41</v>
      </c>
      <c r="W234" s="1" t="s">
        <v>49</v>
      </c>
      <c r="X234" s="13" t="str">
        <f t="shared" si="26"/>
        <v/>
      </c>
      <c r="Y234" s="2">
        <f t="shared" ca="1" si="21"/>
        <v>302</v>
      </c>
      <c r="Z234" s="14">
        <v>1</v>
      </c>
      <c r="AA234" s="1" t="str">
        <f t="shared" ca="1" si="22"/>
        <v>VENCIDO</v>
      </c>
      <c r="AB234" s="1" t="str">
        <f t="shared" si="23"/>
        <v>TAAe+</v>
      </c>
      <c r="AC234" s="2" t="str">
        <f t="shared" si="27"/>
        <v xml:space="preserve"> ROSEMERE </v>
      </c>
      <c r="AD234" s="2">
        <f t="shared" si="24"/>
        <v>8</v>
      </c>
      <c r="AE234" s="2">
        <f t="shared" ca="1" si="25"/>
        <v>-420.22453553240484</v>
      </c>
      <c r="AF234" s="15"/>
    </row>
    <row r="235" spans="1:32" hidden="1">
      <c r="A235" s="1">
        <v>8290700</v>
      </c>
      <c r="B235" s="1" t="s">
        <v>62</v>
      </c>
      <c r="C235" t="s">
        <v>530</v>
      </c>
      <c r="E235" s="2">
        <v>963000203010</v>
      </c>
      <c r="F235" s="1" t="s">
        <v>152</v>
      </c>
      <c r="G235" s="1" t="s">
        <v>53</v>
      </c>
      <c r="H235" s="1" t="s">
        <v>531</v>
      </c>
      <c r="I235" s="1" t="s">
        <v>532</v>
      </c>
      <c r="J235" s="1" t="s">
        <v>33</v>
      </c>
      <c r="K235" t="s">
        <v>155</v>
      </c>
      <c r="M235" s="1" t="s">
        <v>35</v>
      </c>
      <c r="N235" s="1">
        <v>42318949</v>
      </c>
      <c r="O235" s="1" t="s">
        <v>36</v>
      </c>
      <c r="P235" s="11" t="s">
        <v>533</v>
      </c>
      <c r="R235" s="1" t="s">
        <v>38</v>
      </c>
      <c r="T235" s="1" t="s">
        <v>157</v>
      </c>
      <c r="U235" s="186">
        <v>44614.75</v>
      </c>
      <c r="V235" s="1" t="s">
        <v>41</v>
      </c>
      <c r="W235" s="1" t="s">
        <v>49</v>
      </c>
      <c r="X235" s="13" t="str">
        <f t="shared" si="26"/>
        <v/>
      </c>
      <c r="Y235" s="2">
        <f t="shared" ca="1" si="21"/>
        <v>291</v>
      </c>
      <c r="Z235" s="14">
        <v>1</v>
      </c>
      <c r="AA235" s="1" t="str">
        <f t="shared" ca="1" si="22"/>
        <v>VENCIDO</v>
      </c>
      <c r="AB235" s="1" t="str">
        <f t="shared" si="23"/>
        <v>TAAe+</v>
      </c>
      <c r="AC235" s="2" t="str">
        <f t="shared" si="27"/>
        <v xml:space="preserve"> ROSEMERE </v>
      </c>
      <c r="AD235" s="2">
        <f t="shared" si="24"/>
        <v>8</v>
      </c>
      <c r="AE235" s="2">
        <f t="shared" ca="1" si="25"/>
        <v>-371.9262716435187</v>
      </c>
      <c r="AF235" s="15"/>
    </row>
    <row r="236" spans="1:32" hidden="1">
      <c r="A236" s="1">
        <v>8290676</v>
      </c>
      <c r="B236" s="1" t="s">
        <v>62</v>
      </c>
      <c r="C236" t="s">
        <v>530</v>
      </c>
      <c r="E236" s="2">
        <v>67000203010</v>
      </c>
      <c r="F236" s="1" t="s">
        <v>152</v>
      </c>
      <c r="G236" s="1" t="s">
        <v>53</v>
      </c>
      <c r="H236" s="1" t="s">
        <v>404</v>
      </c>
      <c r="I236" s="1" t="s">
        <v>405</v>
      </c>
      <c r="J236" s="1" t="s">
        <v>164</v>
      </c>
      <c r="K236" t="s">
        <v>155</v>
      </c>
      <c r="M236" s="1" t="s">
        <v>35</v>
      </c>
      <c r="N236" s="1">
        <v>42318949</v>
      </c>
      <c r="O236" s="1" t="s">
        <v>36</v>
      </c>
      <c r="P236" s="11" t="s">
        <v>535</v>
      </c>
      <c r="R236" s="1" t="s">
        <v>38</v>
      </c>
      <c r="T236" s="1" t="s">
        <v>157</v>
      </c>
      <c r="U236" s="186">
        <v>44614.75</v>
      </c>
      <c r="V236" s="1" t="s">
        <v>41</v>
      </c>
      <c r="W236" s="1" t="s">
        <v>49</v>
      </c>
      <c r="X236" s="13" t="str">
        <f t="shared" si="26"/>
        <v/>
      </c>
      <c r="Y236" s="2">
        <f t="shared" ca="1" si="21"/>
        <v>291</v>
      </c>
      <c r="Z236" s="14">
        <v>1</v>
      </c>
      <c r="AA236" s="1" t="str">
        <f t="shared" ca="1" si="22"/>
        <v>VENCIDO</v>
      </c>
      <c r="AB236" s="1" t="str">
        <f t="shared" si="23"/>
        <v>TAAe+</v>
      </c>
      <c r="AC236" s="2" t="str">
        <f t="shared" si="27"/>
        <v xml:space="preserve"> ROSEMERE </v>
      </c>
      <c r="AD236" s="2">
        <f t="shared" si="24"/>
        <v>8</v>
      </c>
      <c r="AE236" s="2">
        <f t="shared" ca="1" si="25"/>
        <v>-371.9262716435187</v>
      </c>
      <c r="AF236" s="15"/>
    </row>
    <row r="237" spans="1:32" hidden="1">
      <c r="A237" s="1">
        <v>8290634</v>
      </c>
      <c r="B237" s="1" t="s">
        <v>62</v>
      </c>
      <c r="C237" t="s">
        <v>530</v>
      </c>
      <c r="E237" s="2">
        <v>2988000203010</v>
      </c>
      <c r="F237" s="1" t="s">
        <v>152</v>
      </c>
      <c r="G237" s="1" t="s">
        <v>53</v>
      </c>
      <c r="H237" s="1" t="s">
        <v>536</v>
      </c>
      <c r="I237" s="1" t="s">
        <v>537</v>
      </c>
      <c r="J237" s="1" t="s">
        <v>46</v>
      </c>
      <c r="K237" t="s">
        <v>155</v>
      </c>
      <c r="M237" s="1" t="s">
        <v>35</v>
      </c>
      <c r="N237" s="1">
        <v>42318949</v>
      </c>
      <c r="O237" s="1" t="s">
        <v>36</v>
      </c>
      <c r="P237" s="11" t="s">
        <v>538</v>
      </c>
      <c r="R237" s="1" t="s">
        <v>38</v>
      </c>
      <c r="T237" s="1" t="s">
        <v>157</v>
      </c>
      <c r="U237" s="186">
        <v>44614.75</v>
      </c>
      <c r="V237" s="1" t="s">
        <v>41</v>
      </c>
      <c r="W237" s="1" t="s">
        <v>49</v>
      </c>
      <c r="X237" s="13" t="str">
        <f t="shared" si="26"/>
        <v/>
      </c>
      <c r="Y237" s="2">
        <f t="shared" ca="1" si="21"/>
        <v>291</v>
      </c>
      <c r="Z237" s="14">
        <v>1</v>
      </c>
      <c r="AA237" s="1" t="str">
        <f t="shared" ca="1" si="22"/>
        <v>VENCIDO</v>
      </c>
      <c r="AB237" s="1" t="str">
        <f t="shared" si="23"/>
        <v>TAAe+</v>
      </c>
      <c r="AC237" s="2" t="str">
        <f t="shared" si="27"/>
        <v xml:space="preserve"> CLEITON </v>
      </c>
      <c r="AD237" s="2">
        <f t="shared" si="24"/>
        <v>8</v>
      </c>
      <c r="AE237" s="2">
        <f t="shared" ca="1" si="25"/>
        <v>-371.9262716435187</v>
      </c>
      <c r="AF237" s="15"/>
    </row>
    <row r="238" spans="1:32" hidden="1">
      <c r="A238" s="1">
        <v>8290541</v>
      </c>
      <c r="B238" s="1" t="s">
        <v>62</v>
      </c>
      <c r="C238" t="s">
        <v>530</v>
      </c>
      <c r="E238" s="2">
        <v>1185000203010</v>
      </c>
      <c r="F238" s="1" t="s">
        <v>152</v>
      </c>
      <c r="G238" s="1" t="s">
        <v>53</v>
      </c>
      <c r="H238" s="1" t="s">
        <v>539</v>
      </c>
      <c r="I238" s="1" t="s">
        <v>540</v>
      </c>
      <c r="J238" s="1" t="s">
        <v>33</v>
      </c>
      <c r="K238" t="s">
        <v>155</v>
      </c>
      <c r="M238" s="1" t="s">
        <v>35</v>
      </c>
      <c r="N238" s="1">
        <v>42318949</v>
      </c>
      <c r="O238" s="1" t="s">
        <v>36</v>
      </c>
      <c r="P238" s="11" t="s">
        <v>541</v>
      </c>
      <c r="R238" s="1" t="s">
        <v>38</v>
      </c>
      <c r="T238" s="1" t="s">
        <v>157</v>
      </c>
      <c r="U238" s="186">
        <v>44614.75</v>
      </c>
      <c r="V238" s="1" t="s">
        <v>41</v>
      </c>
      <c r="W238" s="1" t="s">
        <v>42</v>
      </c>
      <c r="X238" s="13" t="str">
        <f t="shared" si="26"/>
        <v/>
      </c>
      <c r="Y238" s="2">
        <f t="shared" ca="1" si="21"/>
        <v>291</v>
      </c>
      <c r="Z238" s="14">
        <v>1</v>
      </c>
      <c r="AA238" s="1" t="str">
        <f t="shared" ca="1" si="22"/>
        <v>VENCIDO</v>
      </c>
      <c r="AB238" s="1" t="str">
        <f t="shared" si="23"/>
        <v>TAAe+</v>
      </c>
      <c r="AC238" s="2" t="str">
        <f t="shared" si="27"/>
        <v xml:space="preserve"> ROSEMERE </v>
      </c>
      <c r="AD238" s="2">
        <f t="shared" si="24"/>
        <v>8</v>
      </c>
      <c r="AE238" s="2">
        <f t="shared" ca="1" si="25"/>
        <v>-371.9262716435187</v>
      </c>
      <c r="AF238" s="15"/>
    </row>
    <row r="239" spans="1:32" hidden="1">
      <c r="A239" s="1">
        <v>8290533</v>
      </c>
      <c r="B239" s="1" t="s">
        <v>62</v>
      </c>
      <c r="C239" t="s">
        <v>530</v>
      </c>
      <c r="E239" s="2">
        <v>115000203010</v>
      </c>
      <c r="F239" s="1" t="s">
        <v>152</v>
      </c>
      <c r="G239" s="1" t="s">
        <v>53</v>
      </c>
      <c r="H239" s="1" t="s">
        <v>542</v>
      </c>
      <c r="I239" s="1" t="s">
        <v>543</v>
      </c>
      <c r="J239" s="1" t="s">
        <v>56</v>
      </c>
      <c r="K239" t="s">
        <v>155</v>
      </c>
      <c r="M239" s="1" t="s">
        <v>35</v>
      </c>
      <c r="N239" s="1">
        <v>42318949</v>
      </c>
      <c r="O239" s="1" t="s">
        <v>36</v>
      </c>
      <c r="P239" s="11" t="s">
        <v>544</v>
      </c>
      <c r="R239" s="1" t="s">
        <v>38</v>
      </c>
      <c r="T239" s="1" t="s">
        <v>157</v>
      </c>
      <c r="U239" s="186">
        <v>44614.75</v>
      </c>
      <c r="V239" s="1" t="s">
        <v>41</v>
      </c>
      <c r="W239" s="1" t="s">
        <v>49</v>
      </c>
      <c r="X239" s="13" t="str">
        <f t="shared" si="26"/>
        <v/>
      </c>
      <c r="Y239" s="2">
        <f t="shared" ca="1" si="21"/>
        <v>291</v>
      </c>
      <c r="Z239" s="14">
        <v>1</v>
      </c>
      <c r="AA239" s="1" t="str">
        <f t="shared" ca="1" si="22"/>
        <v>VENCIDO</v>
      </c>
      <c r="AB239" s="1" t="str">
        <f t="shared" si="23"/>
        <v>TAAe+</v>
      </c>
      <c r="AC239" s="2" t="str">
        <f t="shared" si="27"/>
        <v xml:space="preserve"> CRISTINA </v>
      </c>
      <c r="AD239" s="2">
        <f t="shared" si="24"/>
        <v>8</v>
      </c>
      <c r="AE239" s="2">
        <f t="shared" ca="1" si="25"/>
        <v>-371.9262716435187</v>
      </c>
      <c r="AF239" s="15"/>
    </row>
    <row r="240" spans="1:32" hidden="1">
      <c r="A240" s="1">
        <v>8290521</v>
      </c>
      <c r="B240" s="1" t="s">
        <v>62</v>
      </c>
      <c r="C240" t="s">
        <v>530</v>
      </c>
      <c r="E240" s="2">
        <v>1059000203010</v>
      </c>
      <c r="F240" s="1" t="s">
        <v>152</v>
      </c>
      <c r="G240" s="1" t="s">
        <v>53</v>
      </c>
      <c r="H240" s="1" t="s">
        <v>88</v>
      </c>
      <c r="I240" s="1" t="s">
        <v>89</v>
      </c>
      <c r="J240" s="1" t="s">
        <v>90</v>
      </c>
      <c r="K240" t="s">
        <v>155</v>
      </c>
      <c r="M240" s="1" t="s">
        <v>35</v>
      </c>
      <c r="N240" s="1">
        <v>42318949</v>
      </c>
      <c r="O240" s="1" t="s">
        <v>36</v>
      </c>
      <c r="P240" s="11" t="s">
        <v>545</v>
      </c>
      <c r="R240" s="1" t="s">
        <v>38</v>
      </c>
      <c r="T240" s="1" t="s">
        <v>157</v>
      </c>
      <c r="U240" s="186">
        <v>44614.75</v>
      </c>
      <c r="V240" s="1" t="s">
        <v>41</v>
      </c>
      <c r="W240" s="1" t="s">
        <v>49</v>
      </c>
      <c r="X240" s="13" t="str">
        <f t="shared" si="26"/>
        <v/>
      </c>
      <c r="Y240" s="2">
        <f t="shared" ca="1" si="21"/>
        <v>291</v>
      </c>
      <c r="Z240" s="14">
        <v>1</v>
      </c>
      <c r="AA240" s="1" t="str">
        <f t="shared" ca="1" si="22"/>
        <v>VENCIDO</v>
      </c>
      <c r="AB240" s="1" t="str">
        <f t="shared" si="23"/>
        <v>TAAe+</v>
      </c>
      <c r="AC240" s="2" t="str">
        <f t="shared" si="27"/>
        <v xml:space="preserve"> RINALDO </v>
      </c>
      <c r="AD240" s="2">
        <f t="shared" si="24"/>
        <v>8</v>
      </c>
      <c r="AE240" s="2">
        <f t="shared" ca="1" si="25"/>
        <v>-371.9262716435187</v>
      </c>
      <c r="AF240" s="15"/>
    </row>
    <row r="241" spans="1:32" hidden="1">
      <c r="A241" s="1">
        <v>8290456</v>
      </c>
      <c r="B241" s="1" t="s">
        <v>62</v>
      </c>
      <c r="C241" t="s">
        <v>530</v>
      </c>
      <c r="E241" s="2">
        <v>5816000203010</v>
      </c>
      <c r="F241" s="1" t="s">
        <v>152</v>
      </c>
      <c r="G241" s="1" t="s">
        <v>53</v>
      </c>
      <c r="H241" s="1" t="s">
        <v>412</v>
      </c>
      <c r="I241" s="1" t="s">
        <v>413</v>
      </c>
      <c r="J241" s="1" t="s">
        <v>46</v>
      </c>
      <c r="K241" t="s">
        <v>155</v>
      </c>
      <c r="M241" s="1" t="s">
        <v>35</v>
      </c>
      <c r="N241" s="1">
        <v>42318949</v>
      </c>
      <c r="O241" s="1" t="s">
        <v>36</v>
      </c>
      <c r="P241" s="11" t="s">
        <v>546</v>
      </c>
      <c r="R241" s="1" t="s">
        <v>38</v>
      </c>
      <c r="T241" s="1" t="s">
        <v>157</v>
      </c>
      <c r="U241" s="186">
        <v>44614.75</v>
      </c>
      <c r="V241" s="1" t="s">
        <v>41</v>
      </c>
      <c r="W241" s="1" t="s">
        <v>49</v>
      </c>
      <c r="X241" s="13" t="str">
        <f t="shared" si="26"/>
        <v/>
      </c>
      <c r="Y241" s="2">
        <f t="shared" ca="1" si="21"/>
        <v>291</v>
      </c>
      <c r="Z241" s="14">
        <v>1</v>
      </c>
      <c r="AA241" s="1" t="str">
        <f t="shared" ca="1" si="22"/>
        <v>VENCIDO</v>
      </c>
      <c r="AB241" s="1" t="str">
        <f t="shared" si="23"/>
        <v>TAAe+</v>
      </c>
      <c r="AC241" s="2" t="str">
        <f t="shared" si="27"/>
        <v xml:space="preserve"> CLEITON </v>
      </c>
      <c r="AD241" s="2">
        <f t="shared" si="24"/>
        <v>8</v>
      </c>
      <c r="AE241" s="2">
        <f t="shared" ca="1" si="25"/>
        <v>-371.9262716435187</v>
      </c>
      <c r="AF241" s="15"/>
    </row>
    <row r="242" spans="1:32" hidden="1">
      <c r="A242" s="1">
        <v>8290427</v>
      </c>
      <c r="B242" s="1" t="s">
        <v>62</v>
      </c>
      <c r="C242" t="s">
        <v>530</v>
      </c>
      <c r="E242" s="2">
        <v>2802000203010</v>
      </c>
      <c r="F242" s="1" t="s">
        <v>152</v>
      </c>
      <c r="G242" s="1" t="s">
        <v>53</v>
      </c>
      <c r="H242" s="1" t="s">
        <v>388</v>
      </c>
      <c r="I242" s="1" t="s">
        <v>389</v>
      </c>
      <c r="J242" s="1" t="s">
        <v>46</v>
      </c>
      <c r="K242" t="s">
        <v>155</v>
      </c>
      <c r="M242" s="1" t="s">
        <v>35</v>
      </c>
      <c r="N242" s="1">
        <v>42318949</v>
      </c>
      <c r="O242" s="1" t="s">
        <v>36</v>
      </c>
      <c r="P242" s="11" t="s">
        <v>547</v>
      </c>
      <c r="R242" s="1" t="s">
        <v>38</v>
      </c>
      <c r="T242" s="1" t="s">
        <v>157</v>
      </c>
      <c r="U242" s="186">
        <v>44614.75</v>
      </c>
      <c r="V242" s="1" t="s">
        <v>41</v>
      </c>
      <c r="W242" s="1" t="s">
        <v>49</v>
      </c>
      <c r="X242" s="13" t="str">
        <f t="shared" si="26"/>
        <v/>
      </c>
      <c r="Y242" s="2">
        <f t="shared" ca="1" si="21"/>
        <v>291</v>
      </c>
      <c r="Z242" s="14">
        <v>1</v>
      </c>
      <c r="AA242" s="1" t="str">
        <f t="shared" ca="1" si="22"/>
        <v>VENCIDO</v>
      </c>
      <c r="AB242" s="1" t="str">
        <f t="shared" si="23"/>
        <v>TAAe+</v>
      </c>
      <c r="AC242" s="2" t="str">
        <f t="shared" si="27"/>
        <v xml:space="preserve"> CLEITON </v>
      </c>
      <c r="AD242" s="2">
        <f t="shared" si="24"/>
        <v>8</v>
      </c>
      <c r="AE242" s="2">
        <f t="shared" ca="1" si="25"/>
        <v>-371.9262716435187</v>
      </c>
      <c r="AF242" s="15"/>
    </row>
    <row r="243" spans="1:32" hidden="1">
      <c r="A243" s="1">
        <v>8290375</v>
      </c>
      <c r="B243" s="1" t="s">
        <v>62</v>
      </c>
      <c r="C243" t="s">
        <v>530</v>
      </c>
      <c r="E243" s="2">
        <v>1138000203010</v>
      </c>
      <c r="F243" s="1" t="s">
        <v>152</v>
      </c>
      <c r="G243" s="1" t="s">
        <v>53</v>
      </c>
      <c r="H243" s="1" t="s">
        <v>548</v>
      </c>
      <c r="I243" s="1" t="s">
        <v>549</v>
      </c>
      <c r="J243" s="1" t="s">
        <v>46</v>
      </c>
      <c r="K243" t="s">
        <v>155</v>
      </c>
      <c r="M243" s="1" t="s">
        <v>35</v>
      </c>
      <c r="N243" s="1">
        <v>42318949</v>
      </c>
      <c r="O243" s="1" t="s">
        <v>36</v>
      </c>
      <c r="P243" s="11" t="s">
        <v>550</v>
      </c>
      <c r="R243" s="1" t="s">
        <v>38</v>
      </c>
      <c r="T243" s="1" t="s">
        <v>157</v>
      </c>
      <c r="U243" s="186">
        <v>44614.75</v>
      </c>
      <c r="V243" s="1" t="s">
        <v>41</v>
      </c>
      <c r="W243" s="1" t="s">
        <v>49</v>
      </c>
      <c r="X243" s="13" t="str">
        <f t="shared" si="26"/>
        <v/>
      </c>
      <c r="Y243" s="2">
        <f t="shared" ca="1" si="21"/>
        <v>291</v>
      </c>
      <c r="Z243" s="14">
        <v>1</v>
      </c>
      <c r="AA243" s="1" t="str">
        <f t="shared" ca="1" si="22"/>
        <v>VENCIDO</v>
      </c>
      <c r="AB243" s="1" t="str">
        <f t="shared" si="23"/>
        <v>TAAe+</v>
      </c>
      <c r="AC243" s="2" t="str">
        <f t="shared" si="27"/>
        <v xml:space="preserve"> CLEITON </v>
      </c>
      <c r="AD243" s="2">
        <f t="shared" si="24"/>
        <v>8</v>
      </c>
      <c r="AE243" s="2">
        <f t="shared" ca="1" si="25"/>
        <v>-371.9262716435187</v>
      </c>
      <c r="AF243" s="15"/>
    </row>
    <row r="244" spans="1:32" hidden="1">
      <c r="A244" s="1">
        <v>8338348</v>
      </c>
      <c r="B244" s="1" t="s">
        <v>62</v>
      </c>
      <c r="C244" t="s">
        <v>551</v>
      </c>
      <c r="E244" s="2">
        <v>934000203000</v>
      </c>
      <c r="F244" s="1" t="s">
        <v>454</v>
      </c>
      <c r="G244" s="1" t="s">
        <v>53</v>
      </c>
      <c r="H244" s="1" t="s">
        <v>428</v>
      </c>
      <c r="I244" s="1" t="s">
        <v>429</v>
      </c>
      <c r="J244" s="1" t="s">
        <v>46</v>
      </c>
      <c r="K244" t="s">
        <v>457</v>
      </c>
      <c r="M244" s="1" t="s">
        <v>58</v>
      </c>
      <c r="N244" s="1">
        <v>0</v>
      </c>
      <c r="O244" s="1" t="s">
        <v>36</v>
      </c>
      <c r="P244" s="11" t="s">
        <v>552</v>
      </c>
      <c r="R244" s="1" t="s">
        <v>38</v>
      </c>
      <c r="T244" s="1" t="s">
        <v>157</v>
      </c>
      <c r="U244" s="186">
        <v>44676.75</v>
      </c>
      <c r="V244" s="1" t="s">
        <v>41</v>
      </c>
      <c r="W244" s="1" t="s">
        <v>49</v>
      </c>
      <c r="X244" s="13" t="str">
        <f t="shared" si="26"/>
        <v/>
      </c>
      <c r="Y244" s="2">
        <f t="shared" ca="1" si="21"/>
        <v>280</v>
      </c>
      <c r="Z244" s="14">
        <v>1</v>
      </c>
      <c r="AA244" s="1" t="str">
        <f t="shared" ca="1" si="22"/>
        <v>VENCIDO</v>
      </c>
      <c r="AB244" s="1" t="str">
        <f t="shared" si="23"/>
        <v>C-14</v>
      </c>
      <c r="AC244" s="2" t="str">
        <f t="shared" si="27"/>
        <v xml:space="preserve"> CLEITON </v>
      </c>
      <c r="AD244" s="2">
        <f t="shared" si="24"/>
        <v>5</v>
      </c>
      <c r="AE244" s="2">
        <f t="shared" ca="1" si="25"/>
        <v>-309.9262716435187</v>
      </c>
      <c r="AF244" s="15"/>
    </row>
    <row r="245" spans="1:32" hidden="1">
      <c r="A245" s="1">
        <v>8362148</v>
      </c>
      <c r="B245" s="1" t="s">
        <v>62</v>
      </c>
      <c r="C245" t="s">
        <v>554</v>
      </c>
      <c r="E245" s="2">
        <v>2625000206001</v>
      </c>
      <c r="F245" s="1" t="s">
        <v>29</v>
      </c>
      <c r="G245" s="1" t="s">
        <v>53</v>
      </c>
      <c r="H245" s="1" t="s">
        <v>317</v>
      </c>
      <c r="I245" s="1" t="s">
        <v>318</v>
      </c>
      <c r="J245" s="1" t="s">
        <v>164</v>
      </c>
      <c r="K245" t="s">
        <v>34</v>
      </c>
      <c r="M245" s="1" t="s">
        <v>35</v>
      </c>
      <c r="N245" s="1">
        <v>42318949</v>
      </c>
      <c r="O245" s="1" t="s">
        <v>36</v>
      </c>
      <c r="P245" s="11" t="s">
        <v>555</v>
      </c>
      <c r="R245" s="1" t="s">
        <v>38</v>
      </c>
      <c r="T245" s="1" t="s">
        <v>74</v>
      </c>
      <c r="U245" s="186">
        <v>44649.75</v>
      </c>
      <c r="V245" s="1" t="s">
        <v>41</v>
      </c>
      <c r="W245" s="1" t="s">
        <v>49</v>
      </c>
      <c r="X245" s="13" t="str">
        <f t="shared" si="26"/>
        <v/>
      </c>
      <c r="Y245" s="2">
        <f t="shared" ca="1" si="21"/>
        <v>273</v>
      </c>
      <c r="Z245" s="14">
        <v>1</v>
      </c>
      <c r="AA245" s="1" t="str">
        <f t="shared" ca="1" si="22"/>
        <v>VENCIDO</v>
      </c>
      <c r="AB245" s="1" t="str">
        <f t="shared" si="23"/>
        <v>Dosa</v>
      </c>
      <c r="AC245" s="2" t="str">
        <f t="shared" si="27"/>
        <v xml:space="preserve"> ROSEMERE </v>
      </c>
      <c r="AD245" s="2">
        <f t="shared" si="24"/>
        <v>5</v>
      </c>
      <c r="AE245" s="2">
        <f t="shared" ca="1" si="25"/>
        <v>-336.9262716435187</v>
      </c>
      <c r="AF245" s="15"/>
    </row>
    <row r="246" spans="1:32" hidden="1">
      <c r="A246" s="1">
        <v>8430790</v>
      </c>
      <c r="B246" s="1" t="s">
        <v>62</v>
      </c>
      <c r="C246" t="s">
        <v>240</v>
      </c>
      <c r="E246" s="2">
        <v>2069000203000</v>
      </c>
      <c r="F246" s="1" t="s">
        <v>454</v>
      </c>
      <c r="G246" s="1" t="s">
        <v>53</v>
      </c>
      <c r="H246" s="1" t="s">
        <v>557</v>
      </c>
      <c r="I246" s="1" t="s">
        <v>558</v>
      </c>
      <c r="J246" s="1" t="s">
        <v>90</v>
      </c>
      <c r="K246" t="s">
        <v>457</v>
      </c>
      <c r="M246" s="1" t="s">
        <v>58</v>
      </c>
      <c r="N246" s="1">
        <v>0</v>
      </c>
      <c r="O246" s="1" t="s">
        <v>36</v>
      </c>
      <c r="P246" s="11" t="s">
        <v>559</v>
      </c>
      <c r="R246" s="1" t="s">
        <v>38</v>
      </c>
      <c r="T246" s="1" t="s">
        <v>157</v>
      </c>
      <c r="U246" s="186">
        <v>44669.75</v>
      </c>
      <c r="V246" s="1" t="s">
        <v>41</v>
      </c>
      <c r="W246" s="1" t="s">
        <v>49</v>
      </c>
      <c r="X246" s="13" t="str">
        <f t="shared" si="26"/>
        <v/>
      </c>
      <c r="Y246" s="2">
        <f t="shared" ca="1" si="21"/>
        <v>253</v>
      </c>
      <c r="Z246" s="14">
        <v>1</v>
      </c>
      <c r="AA246" s="1" t="str">
        <f t="shared" ca="1" si="22"/>
        <v>VENCIDO</v>
      </c>
      <c r="AB246" s="1" t="str">
        <f t="shared" si="23"/>
        <v>C-14</v>
      </c>
      <c r="AC246" s="2" t="str">
        <f t="shared" si="27"/>
        <v xml:space="preserve"> RINALDO </v>
      </c>
      <c r="AD246" s="2">
        <f t="shared" si="24"/>
        <v>5</v>
      </c>
      <c r="AE246" s="2">
        <f t="shared" ca="1" si="25"/>
        <v>-316.9262716435187</v>
      </c>
      <c r="AF246" s="15"/>
    </row>
    <row r="247" spans="1:32" hidden="1">
      <c r="A247" s="1">
        <v>8443380</v>
      </c>
      <c r="B247" s="1" t="s">
        <v>62</v>
      </c>
      <c r="C247" t="s">
        <v>530</v>
      </c>
      <c r="E247" s="2">
        <v>2669000203010</v>
      </c>
      <c r="F247" s="1" t="s">
        <v>152</v>
      </c>
      <c r="G247" s="1" t="s">
        <v>53</v>
      </c>
      <c r="H247" s="1" t="s">
        <v>561</v>
      </c>
      <c r="I247" s="1" t="s">
        <v>562</v>
      </c>
      <c r="J247" s="1" t="s">
        <v>261</v>
      </c>
      <c r="K247" t="s">
        <v>155</v>
      </c>
      <c r="M247" s="1" t="s">
        <v>35</v>
      </c>
      <c r="N247" s="1">
        <v>42318949</v>
      </c>
      <c r="O247" s="1" t="s">
        <v>36</v>
      </c>
      <c r="P247" s="11" t="s">
        <v>563</v>
      </c>
      <c r="R247" s="1" t="s">
        <v>38</v>
      </c>
      <c r="T247" s="1" t="s">
        <v>157</v>
      </c>
      <c r="U247" s="186">
        <v>44676.75</v>
      </c>
      <c r="V247" s="1" t="s">
        <v>41</v>
      </c>
      <c r="W247" s="1" t="s">
        <v>49</v>
      </c>
      <c r="X247" s="13" t="str">
        <f t="shared" si="26"/>
        <v/>
      </c>
      <c r="Y247" s="2">
        <f t="shared" ca="1" si="21"/>
        <v>249</v>
      </c>
      <c r="Z247" s="14">
        <v>1</v>
      </c>
      <c r="AA247" s="1" t="str">
        <f t="shared" ca="1" si="22"/>
        <v>VENCIDO</v>
      </c>
      <c r="AB247" s="1" t="str">
        <f t="shared" si="23"/>
        <v>TAAe+</v>
      </c>
      <c r="AC247" s="2" t="str">
        <f t="shared" si="27"/>
        <v xml:space="preserve"> CRISTINA </v>
      </c>
      <c r="AD247" s="2">
        <f t="shared" si="24"/>
        <v>8</v>
      </c>
      <c r="AE247" s="2">
        <f t="shared" ca="1" si="25"/>
        <v>-309.9262716435187</v>
      </c>
      <c r="AF247" s="15"/>
    </row>
    <row r="248" spans="1:32" hidden="1">
      <c r="A248" s="1">
        <v>8487590</v>
      </c>
      <c r="B248" s="1" t="s">
        <v>62</v>
      </c>
      <c r="C248" t="s">
        <v>564</v>
      </c>
      <c r="E248" s="2">
        <v>1902016053700</v>
      </c>
      <c r="F248" s="1" t="s">
        <v>64</v>
      </c>
      <c r="G248" s="1" t="s">
        <v>53</v>
      </c>
      <c r="H248" s="1" t="s">
        <v>442</v>
      </c>
      <c r="I248" s="1" t="s">
        <v>443</v>
      </c>
      <c r="J248" s="1" t="s">
        <v>79</v>
      </c>
      <c r="K248" t="s">
        <v>67</v>
      </c>
      <c r="M248" s="1" t="s">
        <v>35</v>
      </c>
      <c r="N248" s="1">
        <v>42318949</v>
      </c>
      <c r="O248" s="1" t="s">
        <v>36</v>
      </c>
      <c r="P248" s="11" t="s">
        <v>565</v>
      </c>
      <c r="R248" s="1">
        <v>1</v>
      </c>
      <c r="T248" s="1" t="s">
        <v>69</v>
      </c>
      <c r="U248" s="186">
        <v>44656.642384259256</v>
      </c>
      <c r="V248" s="1" t="s">
        <v>41</v>
      </c>
      <c r="W248" s="1" t="s">
        <v>49</v>
      </c>
      <c r="X248" s="13" t="str">
        <f t="shared" si="26"/>
        <v/>
      </c>
      <c r="Y248" s="2">
        <f t="shared" ca="1" si="21"/>
        <v>238</v>
      </c>
      <c r="Z248" s="14">
        <v>1</v>
      </c>
      <c r="AA248" s="1" t="str">
        <f t="shared" ca="1" si="22"/>
        <v>VENCIDO</v>
      </c>
      <c r="AB248" s="1" t="str">
        <f t="shared" si="23"/>
        <v>TAAe+</v>
      </c>
      <c r="AC248" s="2" t="str">
        <f t="shared" si="27"/>
        <v xml:space="preserve"> ROSEMERE </v>
      </c>
      <c r="AD248" s="2">
        <f t="shared" si="24"/>
        <v>8</v>
      </c>
      <c r="AE248" s="2">
        <f t="shared" ca="1" si="25"/>
        <v>-330.03388738426293</v>
      </c>
      <c r="AF248" s="15"/>
    </row>
    <row r="249" spans="1:32" hidden="1">
      <c r="A249" s="1">
        <v>8488912</v>
      </c>
      <c r="B249" s="1" t="s">
        <v>62</v>
      </c>
      <c r="C249" t="s">
        <v>567</v>
      </c>
      <c r="E249" s="2">
        <v>1902016192400</v>
      </c>
      <c r="F249" s="1" t="s">
        <v>64</v>
      </c>
      <c r="G249" s="1" t="s">
        <v>53</v>
      </c>
      <c r="H249" s="1" t="s">
        <v>568</v>
      </c>
      <c r="I249" s="1" t="s">
        <v>569</v>
      </c>
      <c r="J249" s="1" t="s">
        <v>33</v>
      </c>
      <c r="K249" t="s">
        <v>67</v>
      </c>
      <c r="M249" s="1" t="s">
        <v>35</v>
      </c>
      <c r="N249" s="1">
        <v>42318949</v>
      </c>
      <c r="O249" s="1" t="s">
        <v>36</v>
      </c>
      <c r="P249" s="11" t="s">
        <v>570</v>
      </c>
      <c r="R249" s="1" t="s">
        <v>571</v>
      </c>
      <c r="T249" s="1" t="s">
        <v>69</v>
      </c>
      <c r="U249" s="186">
        <v>44665.375</v>
      </c>
      <c r="V249" s="1" t="s">
        <v>41</v>
      </c>
      <c r="W249" s="1" t="s">
        <v>49</v>
      </c>
      <c r="X249" s="13" t="str">
        <f t="shared" si="26"/>
        <v/>
      </c>
      <c r="Y249" s="2">
        <f t="shared" ca="1" si="21"/>
        <v>237</v>
      </c>
      <c r="Z249" s="14">
        <v>1</v>
      </c>
      <c r="AA249" s="1" t="str">
        <f t="shared" ca="1" si="22"/>
        <v>VENCIDO</v>
      </c>
      <c r="AB249" s="1" t="str">
        <f t="shared" si="23"/>
        <v>TAAe+</v>
      </c>
      <c r="AC249" s="2" t="str">
        <f t="shared" si="27"/>
        <v xml:space="preserve"> ROSEMERE </v>
      </c>
      <c r="AD249" s="2">
        <f t="shared" si="24"/>
        <v>8</v>
      </c>
      <c r="AE249" s="2">
        <f t="shared" ca="1" si="25"/>
        <v>-321.3012716435187</v>
      </c>
      <c r="AF249" s="15"/>
    </row>
    <row r="250" spans="1:32" hidden="1">
      <c r="A250" s="1">
        <v>8555673</v>
      </c>
      <c r="B250" s="1" t="s">
        <v>101</v>
      </c>
      <c r="C250" t="s">
        <v>573</v>
      </c>
      <c r="E250" s="2">
        <v>1120000206001</v>
      </c>
      <c r="F250" s="1" t="s">
        <v>29</v>
      </c>
      <c r="G250" s="1" t="s">
        <v>53</v>
      </c>
      <c r="H250" s="1" t="s">
        <v>181</v>
      </c>
      <c r="I250" s="1" t="s">
        <v>182</v>
      </c>
      <c r="J250" s="1" t="s">
        <v>164</v>
      </c>
      <c r="K250" t="s">
        <v>34</v>
      </c>
      <c r="M250" s="1" t="s">
        <v>35</v>
      </c>
      <c r="N250" s="1">
        <v>42318949</v>
      </c>
      <c r="O250" s="1" t="s">
        <v>36</v>
      </c>
      <c r="P250" s="11" t="s">
        <v>3424</v>
      </c>
      <c r="R250" s="1" t="s">
        <v>38</v>
      </c>
      <c r="T250" s="1" t="s">
        <v>74</v>
      </c>
      <c r="U250" s="186">
        <v>44684.75</v>
      </c>
      <c r="V250" s="1" t="s">
        <v>41</v>
      </c>
      <c r="W250" s="1" t="s">
        <v>49</v>
      </c>
      <c r="X250" s="13" t="str">
        <f t="shared" si="26"/>
        <v/>
      </c>
      <c r="Y250" s="2">
        <f t="shared" ca="1" si="21"/>
        <v>218</v>
      </c>
      <c r="Z250" s="14">
        <v>1</v>
      </c>
      <c r="AA250" s="1" t="str">
        <f t="shared" ca="1" si="22"/>
        <v>VENCIDO</v>
      </c>
      <c r="AB250" s="1" t="str">
        <f t="shared" si="23"/>
        <v>Dosa</v>
      </c>
      <c r="AC250" s="2" t="str">
        <f t="shared" si="27"/>
        <v xml:space="preserve"> ROSEMERE </v>
      </c>
      <c r="AD250" s="2">
        <f t="shared" si="24"/>
        <v>5</v>
      </c>
      <c r="AE250" s="2">
        <f t="shared" ca="1" si="25"/>
        <v>-301.9262716435187</v>
      </c>
      <c r="AF250" s="15"/>
    </row>
    <row r="251" spans="1:32" hidden="1">
      <c r="A251" s="1">
        <v>8555672</v>
      </c>
      <c r="B251" s="1" t="s">
        <v>101</v>
      </c>
      <c r="C251" t="s">
        <v>573</v>
      </c>
      <c r="E251" s="2">
        <v>1120000206001</v>
      </c>
      <c r="F251" s="1" t="s">
        <v>29</v>
      </c>
      <c r="G251" s="1" t="s">
        <v>53</v>
      </c>
      <c r="H251" s="1" t="s">
        <v>181</v>
      </c>
      <c r="I251" s="1" t="s">
        <v>182</v>
      </c>
      <c r="J251" s="1" t="s">
        <v>164</v>
      </c>
      <c r="K251" t="s">
        <v>34</v>
      </c>
      <c r="M251" s="1" t="s">
        <v>35</v>
      </c>
      <c r="N251" s="1">
        <v>42318949</v>
      </c>
      <c r="O251" s="1" t="s">
        <v>36</v>
      </c>
      <c r="P251" s="11" t="s">
        <v>3424</v>
      </c>
      <c r="R251" s="1" t="s">
        <v>38</v>
      </c>
      <c r="T251" s="1" t="s">
        <v>74</v>
      </c>
      <c r="U251" s="186">
        <v>44684.75</v>
      </c>
      <c r="V251" s="1" t="s">
        <v>41</v>
      </c>
      <c r="W251" s="1" t="s">
        <v>49</v>
      </c>
      <c r="X251" s="13" t="str">
        <f t="shared" si="26"/>
        <v/>
      </c>
      <c r="Y251" s="2">
        <f t="shared" ca="1" si="21"/>
        <v>218</v>
      </c>
      <c r="Z251" s="14">
        <v>1</v>
      </c>
      <c r="AA251" s="1" t="str">
        <f t="shared" ca="1" si="22"/>
        <v>VENCIDO</v>
      </c>
      <c r="AB251" s="1" t="str">
        <f t="shared" si="23"/>
        <v>Dosa</v>
      </c>
      <c r="AC251" s="2" t="str">
        <f t="shared" si="27"/>
        <v xml:space="preserve"> ROSEMERE </v>
      </c>
      <c r="AD251" s="2">
        <f t="shared" si="24"/>
        <v>5</v>
      </c>
      <c r="AE251" s="2">
        <f t="shared" ca="1" si="25"/>
        <v>-301.9262716435187</v>
      </c>
      <c r="AF251" s="15"/>
    </row>
    <row r="252" spans="1:32" hidden="1">
      <c r="A252" s="1">
        <v>8555626</v>
      </c>
      <c r="B252" s="1" t="s">
        <v>101</v>
      </c>
      <c r="C252" t="s">
        <v>573</v>
      </c>
      <c r="E252" s="2">
        <v>1058000206001</v>
      </c>
      <c r="F252" s="1" t="s">
        <v>29</v>
      </c>
      <c r="G252" s="1" t="s">
        <v>53</v>
      </c>
      <c r="H252" s="1" t="s">
        <v>289</v>
      </c>
      <c r="I252" s="1" t="s">
        <v>290</v>
      </c>
      <c r="J252" s="1" t="s">
        <v>56</v>
      </c>
      <c r="K252" t="s">
        <v>34</v>
      </c>
      <c r="M252" s="1" t="s">
        <v>35</v>
      </c>
      <c r="N252" s="1">
        <v>42318949</v>
      </c>
      <c r="O252" s="1" t="s">
        <v>36</v>
      </c>
      <c r="P252" s="11" t="s">
        <v>574</v>
      </c>
      <c r="R252" s="1" t="s">
        <v>38</v>
      </c>
      <c r="T252" s="1" t="s">
        <v>74</v>
      </c>
      <c r="U252" s="186">
        <v>44684.75</v>
      </c>
      <c r="V252" s="1" t="s">
        <v>41</v>
      </c>
      <c r="W252" s="1" t="s">
        <v>49</v>
      </c>
      <c r="X252" s="13" t="str">
        <f t="shared" si="26"/>
        <v/>
      </c>
      <c r="Y252" s="2">
        <f t="shared" ca="1" si="21"/>
        <v>218</v>
      </c>
      <c r="Z252" s="14">
        <v>1</v>
      </c>
      <c r="AA252" s="1" t="str">
        <f t="shared" ca="1" si="22"/>
        <v>VENCIDO</v>
      </c>
      <c r="AB252" s="1" t="str">
        <f t="shared" si="23"/>
        <v>Dosa</v>
      </c>
      <c r="AC252" s="2" t="str">
        <f t="shared" si="27"/>
        <v xml:space="preserve"> CRISTINA </v>
      </c>
      <c r="AD252" s="2">
        <f t="shared" si="24"/>
        <v>5</v>
      </c>
      <c r="AE252" s="2">
        <f t="shared" ca="1" si="25"/>
        <v>-301.9262716435187</v>
      </c>
      <c r="AF252" s="15"/>
    </row>
    <row r="253" spans="1:32" hidden="1">
      <c r="A253" s="1">
        <v>8555625</v>
      </c>
      <c r="B253" s="1" t="s">
        <v>101</v>
      </c>
      <c r="C253" t="s">
        <v>573</v>
      </c>
      <c r="E253" s="2">
        <v>1058000206001</v>
      </c>
      <c r="F253" s="1" t="s">
        <v>29</v>
      </c>
      <c r="G253" s="1" t="s">
        <v>53</v>
      </c>
      <c r="H253" s="1" t="s">
        <v>289</v>
      </c>
      <c r="I253" s="1" t="s">
        <v>290</v>
      </c>
      <c r="J253" s="1" t="s">
        <v>56</v>
      </c>
      <c r="K253" t="s">
        <v>34</v>
      </c>
      <c r="M253" s="1" t="s">
        <v>35</v>
      </c>
      <c r="N253" s="1">
        <v>42318949</v>
      </c>
      <c r="O253" s="1" t="s">
        <v>36</v>
      </c>
      <c r="P253" s="11" t="s">
        <v>3425</v>
      </c>
      <c r="R253" s="1" t="s">
        <v>38</v>
      </c>
      <c r="T253" s="1" t="s">
        <v>74</v>
      </c>
      <c r="U253" s="186">
        <v>44684.75</v>
      </c>
      <c r="V253" s="1" t="s">
        <v>41</v>
      </c>
      <c r="W253" s="1" t="s">
        <v>49</v>
      </c>
      <c r="X253" s="13" t="str">
        <f t="shared" si="26"/>
        <v/>
      </c>
      <c r="Y253" s="2">
        <f t="shared" ca="1" si="21"/>
        <v>218</v>
      </c>
      <c r="Z253" s="14">
        <v>1</v>
      </c>
      <c r="AA253" s="1" t="str">
        <f t="shared" ca="1" si="22"/>
        <v>VENCIDO</v>
      </c>
      <c r="AB253" s="1" t="str">
        <f t="shared" si="23"/>
        <v>Dosa</v>
      </c>
      <c r="AC253" s="2" t="str">
        <f t="shared" si="27"/>
        <v xml:space="preserve"> CRISTINA </v>
      </c>
      <c r="AD253" s="2">
        <f t="shared" si="24"/>
        <v>5</v>
      </c>
      <c r="AE253" s="2">
        <f t="shared" ca="1" si="25"/>
        <v>-301.9262716435187</v>
      </c>
      <c r="AF253" s="15"/>
    </row>
    <row r="254" spans="1:32" hidden="1">
      <c r="A254" s="1">
        <v>8555624</v>
      </c>
      <c r="B254" s="1" t="s">
        <v>101</v>
      </c>
      <c r="C254" t="s">
        <v>573</v>
      </c>
      <c r="E254" s="2">
        <v>1058000206001</v>
      </c>
      <c r="F254" s="1" t="s">
        <v>29</v>
      </c>
      <c r="G254" s="1" t="s">
        <v>53</v>
      </c>
      <c r="H254" s="1" t="s">
        <v>289</v>
      </c>
      <c r="I254" s="1" t="s">
        <v>290</v>
      </c>
      <c r="J254" s="1" t="s">
        <v>56</v>
      </c>
      <c r="K254" t="s">
        <v>34</v>
      </c>
      <c r="M254" s="1" t="s">
        <v>35</v>
      </c>
      <c r="N254" s="1">
        <v>42318949</v>
      </c>
      <c r="O254" s="1" t="s">
        <v>36</v>
      </c>
      <c r="P254" s="11" t="s">
        <v>3425</v>
      </c>
      <c r="R254" s="1" t="s">
        <v>38</v>
      </c>
      <c r="T254" s="1" t="s">
        <v>74</v>
      </c>
      <c r="U254" s="186">
        <v>44684.75</v>
      </c>
      <c r="V254" s="1" t="s">
        <v>41</v>
      </c>
      <c r="W254" s="1" t="s">
        <v>49</v>
      </c>
      <c r="X254" s="13" t="str">
        <f t="shared" si="26"/>
        <v/>
      </c>
      <c r="Y254" s="2">
        <f t="shared" ca="1" si="21"/>
        <v>218</v>
      </c>
      <c r="Z254" s="14">
        <v>1</v>
      </c>
      <c r="AA254" s="1" t="str">
        <f t="shared" ca="1" si="22"/>
        <v>VENCIDO</v>
      </c>
      <c r="AB254" s="1" t="str">
        <f t="shared" si="23"/>
        <v>Dosa</v>
      </c>
      <c r="AC254" s="2" t="str">
        <f t="shared" si="27"/>
        <v xml:space="preserve"> CRISTINA </v>
      </c>
      <c r="AD254" s="2">
        <f t="shared" si="24"/>
        <v>5</v>
      </c>
      <c r="AE254" s="2">
        <f t="shared" ca="1" si="25"/>
        <v>-301.9262716435187</v>
      </c>
      <c r="AF254" s="15"/>
    </row>
    <row r="255" spans="1:32" hidden="1">
      <c r="A255" s="1">
        <v>8555329</v>
      </c>
      <c r="B255" s="1" t="s">
        <v>101</v>
      </c>
      <c r="C255" t="s">
        <v>573</v>
      </c>
      <c r="E255" s="2">
        <v>537000206001</v>
      </c>
      <c r="F255" s="1" t="s">
        <v>29</v>
      </c>
      <c r="G255" s="1" t="s">
        <v>53</v>
      </c>
      <c r="H255" s="1" t="s">
        <v>442</v>
      </c>
      <c r="I255" s="1" t="s">
        <v>443</v>
      </c>
      <c r="J255" s="1" t="s">
        <v>79</v>
      </c>
      <c r="K255" t="s">
        <v>34</v>
      </c>
      <c r="M255" s="1" t="s">
        <v>35</v>
      </c>
      <c r="N255" s="1">
        <v>42318949</v>
      </c>
      <c r="O255" s="1" t="s">
        <v>36</v>
      </c>
      <c r="P255" s="11" t="s">
        <v>576</v>
      </c>
      <c r="R255" s="1" t="s">
        <v>38</v>
      </c>
      <c r="T255" s="1" t="s">
        <v>74</v>
      </c>
      <c r="U255" s="186">
        <v>44684.75</v>
      </c>
      <c r="V255" s="1" t="s">
        <v>41</v>
      </c>
      <c r="W255" s="1" t="s">
        <v>49</v>
      </c>
      <c r="X255" s="13" t="str">
        <f t="shared" si="26"/>
        <v/>
      </c>
      <c r="Y255" s="2">
        <f t="shared" ca="1" si="21"/>
        <v>218</v>
      </c>
      <c r="Z255" s="14">
        <v>1</v>
      </c>
      <c r="AA255" s="1" t="str">
        <f t="shared" ca="1" si="22"/>
        <v>VENCIDO</v>
      </c>
      <c r="AB255" s="1" t="str">
        <f t="shared" si="23"/>
        <v>Dosa</v>
      </c>
      <c r="AC255" s="2" t="str">
        <f t="shared" si="27"/>
        <v xml:space="preserve"> ROSEMERE </v>
      </c>
      <c r="AD255" s="2">
        <f t="shared" si="24"/>
        <v>5</v>
      </c>
      <c r="AE255" s="2">
        <f t="shared" ca="1" si="25"/>
        <v>-301.9262716435187</v>
      </c>
      <c r="AF255" s="15"/>
    </row>
    <row r="256" spans="1:32" hidden="1">
      <c r="A256" s="1">
        <v>8591589</v>
      </c>
      <c r="B256" s="1" t="s">
        <v>27</v>
      </c>
      <c r="C256" t="s">
        <v>577</v>
      </c>
      <c r="E256" s="2">
        <v>9703000206201</v>
      </c>
      <c r="F256" s="1" t="s">
        <v>208</v>
      </c>
      <c r="G256" s="1" t="s">
        <v>53</v>
      </c>
      <c r="H256" s="1" t="s">
        <v>494</v>
      </c>
      <c r="I256" s="1" t="s">
        <v>495</v>
      </c>
      <c r="J256" s="1" t="s">
        <v>79</v>
      </c>
      <c r="K256" t="s">
        <v>212</v>
      </c>
      <c r="M256" s="1" t="s">
        <v>35</v>
      </c>
      <c r="N256" s="1">
        <v>42318949</v>
      </c>
      <c r="O256" s="1" t="s">
        <v>36</v>
      </c>
      <c r="P256" s="11" t="s">
        <v>3426</v>
      </c>
      <c r="R256" s="1" t="s">
        <v>38</v>
      </c>
      <c r="T256" s="1" t="s">
        <v>74</v>
      </c>
      <c r="U256" s="186">
        <v>44739.75</v>
      </c>
      <c r="V256" s="1" t="s">
        <v>41</v>
      </c>
      <c r="W256" s="1" t="s">
        <v>49</v>
      </c>
      <c r="X256" s="13" t="str">
        <f t="shared" si="26"/>
        <v/>
      </c>
      <c r="Y256" s="2">
        <f t="shared" ca="1" si="21"/>
        <v>208</v>
      </c>
      <c r="Z256" s="14">
        <v>1</v>
      </c>
      <c r="AA256" s="1" t="str">
        <f t="shared" ca="1" si="22"/>
        <v>VENCIDO</v>
      </c>
      <c r="AB256" s="1" t="str">
        <f t="shared" si="23"/>
        <v>TAAe+</v>
      </c>
      <c r="AC256" s="2" t="str">
        <f t="shared" si="27"/>
        <v xml:space="preserve"> ROSEMERE </v>
      </c>
      <c r="AD256" s="2">
        <f t="shared" si="24"/>
        <v>8</v>
      </c>
      <c r="AE256" s="2">
        <f t="shared" ca="1" si="25"/>
        <v>-246.9262716435187</v>
      </c>
      <c r="AF256" s="15"/>
    </row>
    <row r="257" spans="1:32" hidden="1">
      <c r="A257" s="1">
        <v>8600371</v>
      </c>
      <c r="B257" s="1" t="s">
        <v>62</v>
      </c>
      <c r="C257" t="s">
        <v>578</v>
      </c>
      <c r="E257" s="2">
        <v>2437000203000</v>
      </c>
      <c r="F257" s="1" t="s">
        <v>454</v>
      </c>
      <c r="G257" s="1" t="s">
        <v>53</v>
      </c>
      <c r="H257" s="1" t="s">
        <v>416</v>
      </c>
      <c r="I257" s="1" t="s">
        <v>417</v>
      </c>
      <c r="J257" s="1" t="s">
        <v>211</v>
      </c>
      <c r="K257" t="s">
        <v>457</v>
      </c>
      <c r="M257" s="1" t="s">
        <v>58</v>
      </c>
      <c r="N257" s="1">
        <v>0</v>
      </c>
      <c r="O257" s="1" t="s">
        <v>36</v>
      </c>
      <c r="P257" s="11" t="s">
        <v>3427</v>
      </c>
      <c r="R257" s="1">
        <v>1</v>
      </c>
      <c r="T257" s="1" t="s">
        <v>157</v>
      </c>
      <c r="U257" s="186">
        <v>44735.75</v>
      </c>
      <c r="V257" s="1" t="s">
        <v>41</v>
      </c>
      <c r="W257" s="1" t="s">
        <v>49</v>
      </c>
      <c r="X257" s="13" t="str">
        <f t="shared" si="26"/>
        <v/>
      </c>
      <c r="Y257" s="2">
        <f t="shared" ca="1" si="21"/>
        <v>205</v>
      </c>
      <c r="Z257" s="14">
        <v>1</v>
      </c>
      <c r="AA257" s="1" t="str">
        <f t="shared" ca="1" si="22"/>
        <v>VENCIDO</v>
      </c>
      <c r="AB257" s="1" t="str">
        <f t="shared" si="23"/>
        <v>C-14</v>
      </c>
      <c r="AC257" s="2" t="str">
        <f t="shared" si="27"/>
        <v xml:space="preserve"> RINALDO </v>
      </c>
      <c r="AD257" s="2">
        <f t="shared" si="24"/>
        <v>5</v>
      </c>
      <c r="AE257" s="2">
        <f t="shared" ca="1" si="25"/>
        <v>-250.9262716435187</v>
      </c>
      <c r="AF257" s="15"/>
    </row>
    <row r="258" spans="1:32" hidden="1">
      <c r="A258" s="1">
        <v>8624265</v>
      </c>
      <c r="B258" s="1" t="s">
        <v>27</v>
      </c>
      <c r="C258" t="s">
        <v>186</v>
      </c>
      <c r="E258" s="2">
        <v>2413000206001</v>
      </c>
      <c r="F258" s="1" t="s">
        <v>29</v>
      </c>
      <c r="G258" s="1" t="s">
        <v>53</v>
      </c>
      <c r="H258" s="1" t="s">
        <v>505</v>
      </c>
      <c r="I258" s="1" t="s">
        <v>506</v>
      </c>
      <c r="J258" s="1" t="s">
        <v>141</v>
      </c>
      <c r="K258" t="s">
        <v>34</v>
      </c>
      <c r="M258" s="1" t="s">
        <v>35</v>
      </c>
      <c r="N258" s="1">
        <v>42318949</v>
      </c>
      <c r="O258" s="1" t="s">
        <v>105</v>
      </c>
      <c r="P258" s="11" t="s">
        <v>579</v>
      </c>
      <c r="R258" s="1" t="s">
        <v>38</v>
      </c>
      <c r="T258" s="1" t="s">
        <v>74</v>
      </c>
      <c r="U258" s="11" t="s">
        <v>580</v>
      </c>
      <c r="V258" s="1" t="s">
        <v>41</v>
      </c>
      <c r="W258" s="1" t="s">
        <v>49</v>
      </c>
      <c r="X258" s="13" t="str">
        <f t="shared" si="26"/>
        <v/>
      </c>
      <c r="Y258" s="2">
        <f t="shared" ref="Y258:Y321" ca="1" si="28">NETWORKDAYS(P258,$Y$1)</f>
        <v>198</v>
      </c>
      <c r="Z258" s="14">
        <v>1</v>
      </c>
      <c r="AA258" s="1" t="str">
        <f t="shared" ref="AA258:AA321" ca="1" si="29">IF(AE258=0,"HOJE",IF(AE258&gt;0,"A VENCER",IF(AE258&lt;0,"VENCIDO")))</f>
        <v>VENCIDO</v>
      </c>
      <c r="AB258" s="1" t="str">
        <f t="shared" ref="AB258:AB321" si="30">IF(F258="GRPE-000001","C-14",IF(F258="GRPE-000002","C-14",IF(F258="GRPE-000003","C-14",IF(F258="GRPE-000004","SL-On",IF(F258="GRPE-000038","C-14",IF(F258="GRPE-900022","Dosa",IF(F258="GRPE-000029","Dosa",IF(F258="ATOS-000222","Dose","TAAe+"))))))))</f>
        <v>Dosa</v>
      </c>
      <c r="AC258" s="2" t="str">
        <f t="shared" si="27"/>
        <v xml:space="preserve"> CRISTINA </v>
      </c>
      <c r="AD258" s="2">
        <f t="shared" ref="AD258:AD321" si="31">IF(F258="GRPE-000001",5,IF(F258="GRPE-000002",5,IF(F258="GRPE-000003",15,IF(F258="GRPE-000004",1,IF(F258="GRPE-000038",5,IF(F258="GRPE-900022",5,IF(F258="GRPE-000029",5,IF(F258="ATOS-000222",5,8))))))))</f>
        <v>5</v>
      </c>
      <c r="AE258" s="2">
        <f t="shared" ref="AE258:AE321" ca="1" si="32">IF(U258=$AE$1,"",U258-$AE$1)</f>
        <v>-274.9262716435187</v>
      </c>
      <c r="AF258" s="15"/>
    </row>
    <row r="259" spans="1:32" hidden="1">
      <c r="A259" s="1">
        <v>8624202</v>
      </c>
      <c r="B259" s="1" t="s">
        <v>27</v>
      </c>
      <c r="C259" t="s">
        <v>186</v>
      </c>
      <c r="E259" s="2">
        <v>673000206001</v>
      </c>
      <c r="F259" s="1" t="s">
        <v>29</v>
      </c>
      <c r="G259" s="1" t="s">
        <v>53</v>
      </c>
      <c r="H259" s="1" t="s">
        <v>581</v>
      </c>
      <c r="I259" s="1" t="s">
        <v>582</v>
      </c>
      <c r="J259" s="1" t="s">
        <v>110</v>
      </c>
      <c r="K259" t="s">
        <v>34</v>
      </c>
      <c r="M259" s="1" t="s">
        <v>35</v>
      </c>
      <c r="N259" s="1">
        <v>42318949</v>
      </c>
      <c r="O259" s="1" t="s">
        <v>36</v>
      </c>
      <c r="P259" s="11" t="s">
        <v>583</v>
      </c>
      <c r="R259" s="1" t="s">
        <v>38</v>
      </c>
      <c r="T259" s="1" t="s">
        <v>74</v>
      </c>
      <c r="U259" s="11" t="s">
        <v>580</v>
      </c>
      <c r="V259" s="1" t="s">
        <v>41</v>
      </c>
      <c r="W259" s="1" t="s">
        <v>49</v>
      </c>
      <c r="X259" s="13" t="str">
        <f t="shared" ref="X259:X322" si="33">IF(RIGHT(H259,2)&lt;&gt;"00",H259,"")</f>
        <v/>
      </c>
      <c r="Y259" s="2">
        <f t="shared" ca="1" si="28"/>
        <v>198</v>
      </c>
      <c r="Z259" s="14">
        <v>1</v>
      </c>
      <c r="AA259" s="1" t="str">
        <f t="shared" ca="1" si="29"/>
        <v>VENCIDO</v>
      </c>
      <c r="AB259" s="1" t="str">
        <f t="shared" si="30"/>
        <v>Dosa</v>
      </c>
      <c r="AC259" s="2" t="str">
        <f t="shared" ref="AC259:AC322" si="3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 xml:space="preserve"> CRISTINA </v>
      </c>
      <c r="AD259" s="2">
        <f t="shared" si="31"/>
        <v>5</v>
      </c>
      <c r="AE259" s="2">
        <f t="shared" ca="1" si="32"/>
        <v>-274.9262716435187</v>
      </c>
      <c r="AF259" s="15"/>
    </row>
    <row r="260" spans="1:32" hidden="1">
      <c r="A260" s="1">
        <v>8624200</v>
      </c>
      <c r="B260" s="1" t="s">
        <v>27</v>
      </c>
      <c r="C260" t="s">
        <v>186</v>
      </c>
      <c r="E260" s="2">
        <v>7710206001</v>
      </c>
      <c r="F260" s="1" t="s">
        <v>29</v>
      </c>
      <c r="G260" s="1" t="s">
        <v>53</v>
      </c>
      <c r="H260" s="1" t="s">
        <v>228</v>
      </c>
      <c r="I260" s="1" t="s">
        <v>229</v>
      </c>
      <c r="J260" s="1" t="s">
        <v>46</v>
      </c>
      <c r="K260" t="s">
        <v>34</v>
      </c>
      <c r="M260" s="1" t="s">
        <v>35</v>
      </c>
      <c r="N260" s="1">
        <v>42318949</v>
      </c>
      <c r="O260" s="1" t="s">
        <v>105</v>
      </c>
      <c r="P260" s="11" t="s">
        <v>584</v>
      </c>
      <c r="R260" s="1" t="s">
        <v>38</v>
      </c>
      <c r="T260" s="1" t="s">
        <v>74</v>
      </c>
      <c r="U260" s="11" t="s">
        <v>580</v>
      </c>
      <c r="V260" s="1" t="s">
        <v>41</v>
      </c>
      <c r="W260" s="1" t="s">
        <v>49</v>
      </c>
      <c r="X260" s="13" t="str">
        <f t="shared" si="33"/>
        <v>0007.71</v>
      </c>
      <c r="Y260" s="2">
        <f t="shared" ca="1" si="28"/>
        <v>198</v>
      </c>
      <c r="Z260" s="14">
        <v>1</v>
      </c>
      <c r="AA260" s="1" t="str">
        <f t="shared" ca="1" si="29"/>
        <v>VENCIDO</v>
      </c>
      <c r="AB260" s="1" t="str">
        <f t="shared" si="30"/>
        <v>Dosa</v>
      </c>
      <c r="AC260" s="2" t="str">
        <f t="shared" si="34"/>
        <v xml:space="preserve"> CLEITON </v>
      </c>
      <c r="AD260" s="2">
        <f t="shared" si="31"/>
        <v>5</v>
      </c>
      <c r="AE260" s="2">
        <f t="shared" ca="1" si="32"/>
        <v>-274.9262716435187</v>
      </c>
      <c r="AF260" s="15"/>
    </row>
    <row r="261" spans="1:32" hidden="1">
      <c r="A261" s="1">
        <v>8624105</v>
      </c>
      <c r="B261" s="1" t="s">
        <v>27</v>
      </c>
      <c r="C261" t="s">
        <v>186</v>
      </c>
      <c r="E261" s="2">
        <v>3504000206001</v>
      </c>
      <c r="F261" s="1" t="s">
        <v>29</v>
      </c>
      <c r="G261" s="1" t="s">
        <v>53</v>
      </c>
      <c r="H261" s="1" t="s">
        <v>585</v>
      </c>
      <c r="I261" s="1" t="s">
        <v>586</v>
      </c>
      <c r="J261" s="1" t="s">
        <v>46</v>
      </c>
      <c r="K261" t="s">
        <v>34</v>
      </c>
      <c r="M261" s="1" t="s">
        <v>35</v>
      </c>
      <c r="N261" s="1">
        <v>42318949</v>
      </c>
      <c r="O261" s="1" t="s">
        <v>105</v>
      </c>
      <c r="P261" s="11" t="s">
        <v>587</v>
      </c>
      <c r="R261" s="1" t="s">
        <v>38</v>
      </c>
      <c r="T261" s="1" t="s">
        <v>74</v>
      </c>
      <c r="U261" s="11" t="s">
        <v>580</v>
      </c>
      <c r="V261" s="1" t="s">
        <v>41</v>
      </c>
      <c r="W261" s="1" t="s">
        <v>49</v>
      </c>
      <c r="X261" s="13" t="str">
        <f t="shared" si="33"/>
        <v/>
      </c>
      <c r="Y261" s="2">
        <f t="shared" ca="1" si="28"/>
        <v>198</v>
      </c>
      <c r="Z261" s="14">
        <v>1</v>
      </c>
      <c r="AA261" s="1" t="str">
        <f t="shared" ca="1" si="29"/>
        <v>VENCIDO</v>
      </c>
      <c r="AB261" s="1" t="str">
        <f t="shared" si="30"/>
        <v>Dosa</v>
      </c>
      <c r="AC261" s="2" t="str">
        <f t="shared" si="34"/>
        <v xml:space="preserve"> CLEITON </v>
      </c>
      <c r="AD261" s="2">
        <f t="shared" si="31"/>
        <v>5</v>
      </c>
      <c r="AE261" s="2">
        <f t="shared" ca="1" si="32"/>
        <v>-274.9262716435187</v>
      </c>
      <c r="AF261" s="15"/>
    </row>
    <row r="262" spans="1:32" hidden="1">
      <c r="A262" s="1">
        <v>8624102</v>
      </c>
      <c r="B262" s="1" t="s">
        <v>27</v>
      </c>
      <c r="C262" t="s">
        <v>186</v>
      </c>
      <c r="E262" s="2">
        <v>220000206001</v>
      </c>
      <c r="F262" s="1" t="s">
        <v>29</v>
      </c>
      <c r="G262" s="1" t="s">
        <v>53</v>
      </c>
      <c r="H262" s="1" t="s">
        <v>588</v>
      </c>
      <c r="I262" s="1" t="s">
        <v>589</v>
      </c>
      <c r="J262" s="1" t="s">
        <v>110</v>
      </c>
      <c r="K262" t="s">
        <v>34</v>
      </c>
      <c r="M262" s="1" t="s">
        <v>35</v>
      </c>
      <c r="N262" s="1">
        <v>42318949</v>
      </c>
      <c r="O262" s="1" t="s">
        <v>105</v>
      </c>
      <c r="P262" s="11" t="s">
        <v>587</v>
      </c>
      <c r="R262" s="1" t="s">
        <v>38</v>
      </c>
      <c r="T262" s="1" t="s">
        <v>74</v>
      </c>
      <c r="U262" s="11" t="s">
        <v>580</v>
      </c>
      <c r="V262" s="1" t="s">
        <v>41</v>
      </c>
      <c r="W262" s="1" t="s">
        <v>49</v>
      </c>
      <c r="X262" s="13" t="str">
        <f t="shared" si="33"/>
        <v/>
      </c>
      <c r="Y262" s="2">
        <f t="shared" ca="1" si="28"/>
        <v>198</v>
      </c>
      <c r="Z262" s="14">
        <v>1</v>
      </c>
      <c r="AA262" s="1" t="str">
        <f t="shared" ca="1" si="29"/>
        <v>VENCIDO</v>
      </c>
      <c r="AB262" s="1" t="str">
        <f t="shared" si="30"/>
        <v>Dosa</v>
      </c>
      <c r="AC262" s="2" t="str">
        <f t="shared" si="34"/>
        <v xml:space="preserve"> CRISTINA </v>
      </c>
      <c r="AD262" s="2">
        <f t="shared" si="31"/>
        <v>5</v>
      </c>
      <c r="AE262" s="2">
        <f t="shared" ca="1" si="32"/>
        <v>-274.9262716435187</v>
      </c>
      <c r="AF262" s="15"/>
    </row>
    <row r="263" spans="1:32" hidden="1">
      <c r="A263" s="1">
        <v>8624013</v>
      </c>
      <c r="B263" s="1" t="s">
        <v>27</v>
      </c>
      <c r="C263" t="s">
        <v>186</v>
      </c>
      <c r="E263" s="2">
        <v>2081000206001</v>
      </c>
      <c r="F263" s="1" t="s">
        <v>29</v>
      </c>
      <c r="G263" s="1" t="s">
        <v>53</v>
      </c>
      <c r="H263" s="1" t="s">
        <v>590</v>
      </c>
      <c r="I263" s="1" t="s">
        <v>591</v>
      </c>
      <c r="J263" s="1" t="s">
        <v>261</v>
      </c>
      <c r="K263" t="s">
        <v>34</v>
      </c>
      <c r="M263" s="1" t="s">
        <v>35</v>
      </c>
      <c r="N263" s="1">
        <v>42318949</v>
      </c>
      <c r="O263" s="1" t="s">
        <v>105</v>
      </c>
      <c r="P263" s="11" t="s">
        <v>592</v>
      </c>
      <c r="R263" s="1" t="s">
        <v>38</v>
      </c>
      <c r="T263" s="1" t="s">
        <v>74</v>
      </c>
      <c r="U263" s="11" t="s">
        <v>580</v>
      </c>
      <c r="V263" s="1" t="s">
        <v>41</v>
      </c>
      <c r="W263" s="1" t="s">
        <v>49</v>
      </c>
      <c r="X263" s="13" t="str">
        <f t="shared" si="33"/>
        <v/>
      </c>
      <c r="Y263" s="2">
        <f t="shared" ca="1" si="28"/>
        <v>198</v>
      </c>
      <c r="Z263" s="14">
        <v>1</v>
      </c>
      <c r="AA263" s="1" t="str">
        <f t="shared" ca="1" si="29"/>
        <v>VENCIDO</v>
      </c>
      <c r="AB263" s="1" t="str">
        <f t="shared" si="30"/>
        <v>Dosa</v>
      </c>
      <c r="AC263" s="2" t="str">
        <f t="shared" si="34"/>
        <v xml:space="preserve"> CRISTINA </v>
      </c>
      <c r="AD263" s="2">
        <f t="shared" si="31"/>
        <v>5</v>
      </c>
      <c r="AE263" s="2">
        <f t="shared" ca="1" si="32"/>
        <v>-274.9262716435187</v>
      </c>
      <c r="AF263" s="15"/>
    </row>
    <row r="264" spans="1:32" hidden="1">
      <c r="A264" s="1">
        <v>8623899</v>
      </c>
      <c r="B264" s="1" t="s">
        <v>27</v>
      </c>
      <c r="C264" t="s">
        <v>186</v>
      </c>
      <c r="E264" s="2">
        <v>1358000206001</v>
      </c>
      <c r="F264" s="1" t="s">
        <v>29</v>
      </c>
      <c r="G264" s="1" t="s">
        <v>53</v>
      </c>
      <c r="H264" s="1" t="s">
        <v>593</v>
      </c>
      <c r="I264" s="1" t="s">
        <v>594</v>
      </c>
      <c r="J264" s="1" t="s">
        <v>261</v>
      </c>
      <c r="K264" t="s">
        <v>34</v>
      </c>
      <c r="M264" s="1" t="s">
        <v>35</v>
      </c>
      <c r="N264" s="1">
        <v>42318949</v>
      </c>
      <c r="O264" s="1" t="s">
        <v>105</v>
      </c>
      <c r="P264" s="11" t="s">
        <v>595</v>
      </c>
      <c r="R264" s="1" t="s">
        <v>38</v>
      </c>
      <c r="T264" s="1" t="s">
        <v>74</v>
      </c>
      <c r="U264" s="11" t="s">
        <v>580</v>
      </c>
      <c r="V264" s="1" t="s">
        <v>41</v>
      </c>
      <c r="W264" s="1" t="s">
        <v>49</v>
      </c>
      <c r="X264" s="13" t="str">
        <f t="shared" si="33"/>
        <v/>
      </c>
      <c r="Y264" s="2">
        <f t="shared" ca="1" si="28"/>
        <v>198</v>
      </c>
      <c r="Z264" s="14">
        <v>1</v>
      </c>
      <c r="AA264" s="1" t="str">
        <f t="shared" ca="1" si="29"/>
        <v>VENCIDO</v>
      </c>
      <c r="AB264" s="1" t="str">
        <f t="shared" si="30"/>
        <v>Dosa</v>
      </c>
      <c r="AC264" s="2" t="str">
        <f t="shared" si="34"/>
        <v xml:space="preserve"> CRISTINA </v>
      </c>
      <c r="AD264" s="2">
        <f t="shared" si="31"/>
        <v>5</v>
      </c>
      <c r="AE264" s="2">
        <f t="shared" ca="1" si="32"/>
        <v>-274.9262716435187</v>
      </c>
      <c r="AF264" s="15"/>
    </row>
    <row r="265" spans="1:32" hidden="1">
      <c r="A265" s="1">
        <v>8623844</v>
      </c>
      <c r="B265" s="1" t="s">
        <v>27</v>
      </c>
      <c r="C265" t="s">
        <v>186</v>
      </c>
      <c r="E265" s="2">
        <v>3503000206001</v>
      </c>
      <c r="F265" s="1" t="s">
        <v>29</v>
      </c>
      <c r="G265" s="1" t="s">
        <v>53</v>
      </c>
      <c r="H265" s="1" t="s">
        <v>398</v>
      </c>
      <c r="I265" s="1" t="s">
        <v>399</v>
      </c>
      <c r="J265" s="1" t="s">
        <v>46</v>
      </c>
      <c r="K265" t="s">
        <v>34</v>
      </c>
      <c r="M265" s="1" t="s">
        <v>35</v>
      </c>
      <c r="N265" s="1">
        <v>42318949</v>
      </c>
      <c r="O265" s="1" t="s">
        <v>105</v>
      </c>
      <c r="P265" s="11" t="s">
        <v>596</v>
      </c>
      <c r="R265" s="1" t="s">
        <v>38</v>
      </c>
      <c r="T265" s="1" t="s">
        <v>74</v>
      </c>
      <c r="U265" s="186">
        <v>44711.75</v>
      </c>
      <c r="V265" s="1" t="s">
        <v>41</v>
      </c>
      <c r="W265" s="1" t="s">
        <v>49</v>
      </c>
      <c r="X265" s="13" t="str">
        <f t="shared" si="33"/>
        <v/>
      </c>
      <c r="Y265" s="2">
        <f t="shared" ca="1" si="28"/>
        <v>198</v>
      </c>
      <c r="Z265" s="14">
        <v>1</v>
      </c>
      <c r="AA265" s="1" t="str">
        <f t="shared" ca="1" si="29"/>
        <v>VENCIDO</v>
      </c>
      <c r="AB265" s="1" t="str">
        <f t="shared" si="30"/>
        <v>Dosa</v>
      </c>
      <c r="AC265" s="2" t="str">
        <f t="shared" si="34"/>
        <v xml:space="preserve"> CLEITON </v>
      </c>
      <c r="AD265" s="2">
        <f t="shared" si="31"/>
        <v>5</v>
      </c>
      <c r="AE265" s="2">
        <f t="shared" ca="1" si="32"/>
        <v>-274.9262716435187</v>
      </c>
      <c r="AF265" s="15"/>
    </row>
    <row r="266" spans="1:32" hidden="1">
      <c r="A266" s="1">
        <v>8623731</v>
      </c>
      <c r="B266" s="1" t="s">
        <v>27</v>
      </c>
      <c r="C266" t="s">
        <v>186</v>
      </c>
      <c r="E266" s="2">
        <v>3234160206001</v>
      </c>
      <c r="F266" s="1" t="s">
        <v>29</v>
      </c>
      <c r="G266" s="1" t="s">
        <v>53</v>
      </c>
      <c r="H266" s="1" t="s">
        <v>499</v>
      </c>
      <c r="I266" s="1" t="s">
        <v>500</v>
      </c>
      <c r="J266" s="1" t="s">
        <v>46</v>
      </c>
      <c r="K266" t="s">
        <v>34</v>
      </c>
      <c r="M266" s="1" t="s">
        <v>35</v>
      </c>
      <c r="N266" s="1">
        <v>42318949</v>
      </c>
      <c r="O266" s="1" t="s">
        <v>105</v>
      </c>
      <c r="P266" s="11" t="s">
        <v>597</v>
      </c>
      <c r="R266" s="1" t="s">
        <v>38</v>
      </c>
      <c r="T266" s="1" t="s">
        <v>74</v>
      </c>
      <c r="U266" s="186">
        <v>44711.75</v>
      </c>
      <c r="V266" s="1" t="s">
        <v>41</v>
      </c>
      <c r="W266" s="1" t="s">
        <v>49</v>
      </c>
      <c r="X266" s="13" t="str">
        <f t="shared" si="33"/>
        <v>3234.16</v>
      </c>
      <c r="Y266" s="2">
        <f t="shared" ca="1" si="28"/>
        <v>198</v>
      </c>
      <c r="Z266" s="14">
        <v>1</v>
      </c>
      <c r="AA266" s="1" t="str">
        <f t="shared" ca="1" si="29"/>
        <v>VENCIDO</v>
      </c>
      <c r="AB266" s="1" t="str">
        <f t="shared" si="30"/>
        <v>Dosa</v>
      </c>
      <c r="AC266" s="2" t="str">
        <f t="shared" si="34"/>
        <v xml:space="preserve"> CLEITON </v>
      </c>
      <c r="AD266" s="2">
        <f t="shared" si="31"/>
        <v>5</v>
      </c>
      <c r="AE266" s="2">
        <f t="shared" ca="1" si="32"/>
        <v>-274.9262716435187</v>
      </c>
      <c r="AF266" s="15"/>
    </row>
    <row r="267" spans="1:32" hidden="1">
      <c r="A267" s="1">
        <v>8623708</v>
      </c>
      <c r="B267" s="1" t="s">
        <v>27</v>
      </c>
      <c r="C267" t="s">
        <v>186</v>
      </c>
      <c r="E267" s="2">
        <v>2018000206001</v>
      </c>
      <c r="F267" s="1" t="s">
        <v>29</v>
      </c>
      <c r="G267" s="1" t="s">
        <v>53</v>
      </c>
      <c r="H267" s="1" t="s">
        <v>598</v>
      </c>
      <c r="I267" s="1" t="s">
        <v>599</v>
      </c>
      <c r="J267" s="1" t="s">
        <v>79</v>
      </c>
      <c r="K267" t="s">
        <v>34</v>
      </c>
      <c r="M267" s="1" t="s">
        <v>35</v>
      </c>
      <c r="N267" s="1">
        <v>42318949</v>
      </c>
      <c r="O267" s="1" t="s">
        <v>105</v>
      </c>
      <c r="P267" s="11" t="s">
        <v>600</v>
      </c>
      <c r="R267" s="1" t="s">
        <v>38</v>
      </c>
      <c r="T267" s="1" t="s">
        <v>74</v>
      </c>
      <c r="U267" s="186">
        <v>44711.75</v>
      </c>
      <c r="V267" s="1" t="s">
        <v>41</v>
      </c>
      <c r="W267" s="1" t="s">
        <v>49</v>
      </c>
      <c r="X267" s="13" t="str">
        <f t="shared" si="33"/>
        <v/>
      </c>
      <c r="Y267" s="2">
        <f t="shared" ca="1" si="28"/>
        <v>198</v>
      </c>
      <c r="Z267" s="14">
        <v>1</v>
      </c>
      <c r="AA267" s="1" t="str">
        <f t="shared" ca="1" si="29"/>
        <v>VENCIDO</v>
      </c>
      <c r="AB267" s="1" t="str">
        <f t="shared" si="30"/>
        <v>Dosa</v>
      </c>
      <c r="AC267" s="2" t="str">
        <f t="shared" si="34"/>
        <v xml:space="preserve"> ROSEMERE </v>
      </c>
      <c r="AD267" s="2">
        <f t="shared" si="31"/>
        <v>5</v>
      </c>
      <c r="AE267" s="2">
        <f t="shared" ca="1" si="32"/>
        <v>-274.9262716435187</v>
      </c>
      <c r="AF267" s="15"/>
    </row>
    <row r="268" spans="1:32" hidden="1">
      <c r="A268" s="1">
        <v>8623572</v>
      </c>
      <c r="B268" s="1" t="s">
        <v>27</v>
      </c>
      <c r="C268" t="s">
        <v>186</v>
      </c>
      <c r="E268" s="2">
        <v>3108010206001</v>
      </c>
      <c r="F268" s="1" t="s">
        <v>29</v>
      </c>
      <c r="G268" s="1" t="s">
        <v>53</v>
      </c>
      <c r="H268" s="1" t="s">
        <v>503</v>
      </c>
      <c r="I268" s="1" t="s">
        <v>504</v>
      </c>
      <c r="J268" s="1" t="s">
        <v>46</v>
      </c>
      <c r="K268" t="s">
        <v>34</v>
      </c>
      <c r="M268" s="1" t="s">
        <v>35</v>
      </c>
      <c r="N268" s="1">
        <v>42318949</v>
      </c>
      <c r="O268" s="1" t="s">
        <v>105</v>
      </c>
      <c r="P268" s="11" t="s">
        <v>601</v>
      </c>
      <c r="R268" s="1" t="s">
        <v>38</v>
      </c>
      <c r="T268" s="1" t="s">
        <v>74</v>
      </c>
      <c r="U268" s="186">
        <v>44711.75</v>
      </c>
      <c r="V268" s="1" t="s">
        <v>41</v>
      </c>
      <c r="W268" s="1" t="s">
        <v>49</v>
      </c>
      <c r="X268" s="13" t="str">
        <f t="shared" si="33"/>
        <v>3108.01</v>
      </c>
      <c r="Y268" s="2">
        <f t="shared" ca="1" si="28"/>
        <v>198</v>
      </c>
      <c r="Z268" s="14">
        <v>1</v>
      </c>
      <c r="AA268" s="1" t="str">
        <f t="shared" ca="1" si="29"/>
        <v>VENCIDO</v>
      </c>
      <c r="AB268" s="1" t="str">
        <f t="shared" si="30"/>
        <v>Dosa</v>
      </c>
      <c r="AC268" s="2" t="str">
        <f t="shared" si="34"/>
        <v xml:space="preserve"> CLEITON </v>
      </c>
      <c r="AD268" s="2">
        <f t="shared" si="31"/>
        <v>5</v>
      </c>
      <c r="AE268" s="2">
        <f t="shared" ca="1" si="32"/>
        <v>-274.9262716435187</v>
      </c>
      <c r="AF268" s="15"/>
    </row>
    <row r="269" spans="1:32" hidden="1">
      <c r="A269" s="1">
        <v>8623522</v>
      </c>
      <c r="B269" s="1" t="s">
        <v>27</v>
      </c>
      <c r="C269" t="s">
        <v>186</v>
      </c>
      <c r="E269" s="2">
        <v>1421000206001</v>
      </c>
      <c r="F269" s="1" t="s">
        <v>29</v>
      </c>
      <c r="G269" s="1" t="s">
        <v>53</v>
      </c>
      <c r="H269" s="1" t="s">
        <v>179</v>
      </c>
      <c r="I269" s="1" t="s">
        <v>180</v>
      </c>
      <c r="J269" s="1" t="s">
        <v>79</v>
      </c>
      <c r="K269" t="s">
        <v>34</v>
      </c>
      <c r="M269" s="1" t="s">
        <v>35</v>
      </c>
      <c r="N269" s="1">
        <v>42318949</v>
      </c>
      <c r="O269" s="1" t="s">
        <v>36</v>
      </c>
      <c r="P269" s="11" t="s">
        <v>602</v>
      </c>
      <c r="R269" s="1" t="s">
        <v>38</v>
      </c>
      <c r="T269" s="1" t="s">
        <v>74</v>
      </c>
      <c r="U269" s="186">
        <v>44711.75</v>
      </c>
      <c r="V269" s="1" t="s">
        <v>41</v>
      </c>
      <c r="W269" s="1" t="s">
        <v>49</v>
      </c>
      <c r="X269" s="13" t="str">
        <f t="shared" si="33"/>
        <v/>
      </c>
      <c r="Y269" s="2">
        <f t="shared" ca="1" si="28"/>
        <v>198</v>
      </c>
      <c r="Z269" s="14">
        <v>1</v>
      </c>
      <c r="AA269" s="1" t="str">
        <f t="shared" ca="1" si="29"/>
        <v>VENCIDO</v>
      </c>
      <c r="AB269" s="1" t="str">
        <f t="shared" si="30"/>
        <v>Dosa</v>
      </c>
      <c r="AC269" s="2" t="str">
        <f t="shared" si="34"/>
        <v xml:space="preserve"> ROSEMERE </v>
      </c>
      <c r="AD269" s="2">
        <f t="shared" si="31"/>
        <v>5</v>
      </c>
      <c r="AE269" s="2">
        <f t="shared" ca="1" si="32"/>
        <v>-274.9262716435187</v>
      </c>
      <c r="AF269" s="15"/>
    </row>
    <row r="270" spans="1:32" hidden="1">
      <c r="A270" s="1">
        <v>8623509</v>
      </c>
      <c r="B270" s="1" t="s">
        <v>27</v>
      </c>
      <c r="C270" t="s">
        <v>186</v>
      </c>
      <c r="E270" s="2">
        <v>1643000206001</v>
      </c>
      <c r="F270" s="1" t="s">
        <v>29</v>
      </c>
      <c r="G270" s="1" t="s">
        <v>53</v>
      </c>
      <c r="H270" s="1" t="s">
        <v>361</v>
      </c>
      <c r="I270" s="1" t="s">
        <v>362</v>
      </c>
      <c r="J270" s="1" t="s">
        <v>261</v>
      </c>
      <c r="K270" t="s">
        <v>34</v>
      </c>
      <c r="M270" s="1" t="s">
        <v>35</v>
      </c>
      <c r="N270" s="1">
        <v>42318949</v>
      </c>
      <c r="O270" s="1" t="s">
        <v>105</v>
      </c>
      <c r="P270" s="11" t="s">
        <v>603</v>
      </c>
      <c r="R270" s="1" t="s">
        <v>38</v>
      </c>
      <c r="T270" s="1" t="s">
        <v>74</v>
      </c>
      <c r="U270" s="186">
        <v>44711.75</v>
      </c>
      <c r="V270" s="1" t="s">
        <v>41</v>
      </c>
      <c r="W270" s="1" t="s">
        <v>49</v>
      </c>
      <c r="X270" s="13" t="str">
        <f t="shared" si="33"/>
        <v/>
      </c>
      <c r="Y270" s="2">
        <f t="shared" ca="1" si="28"/>
        <v>198</v>
      </c>
      <c r="Z270" s="14">
        <v>1</v>
      </c>
      <c r="AA270" s="1" t="str">
        <f t="shared" ca="1" si="29"/>
        <v>VENCIDO</v>
      </c>
      <c r="AB270" s="1" t="str">
        <f t="shared" si="30"/>
        <v>Dosa</v>
      </c>
      <c r="AC270" s="2" t="str">
        <f t="shared" si="34"/>
        <v xml:space="preserve"> CRISTINA </v>
      </c>
      <c r="AD270" s="2">
        <f t="shared" si="31"/>
        <v>5</v>
      </c>
      <c r="AE270" s="2">
        <f t="shared" ca="1" si="32"/>
        <v>-274.9262716435187</v>
      </c>
      <c r="AF270" s="15"/>
    </row>
    <row r="271" spans="1:32" hidden="1">
      <c r="A271" s="1">
        <v>8623470</v>
      </c>
      <c r="B271" s="1" t="s">
        <v>27</v>
      </c>
      <c r="C271" t="s">
        <v>186</v>
      </c>
      <c r="E271" s="2">
        <v>5898000206001</v>
      </c>
      <c r="F271" s="1" t="s">
        <v>29</v>
      </c>
      <c r="G271" s="1" t="s">
        <v>53</v>
      </c>
      <c r="H271" s="1" t="s">
        <v>365</v>
      </c>
      <c r="I271" s="1" t="s">
        <v>366</v>
      </c>
      <c r="J271" s="1" t="s">
        <v>164</v>
      </c>
      <c r="K271" t="s">
        <v>34</v>
      </c>
      <c r="M271" s="1" t="s">
        <v>35</v>
      </c>
      <c r="N271" s="1">
        <v>42318949</v>
      </c>
      <c r="O271" s="1" t="s">
        <v>36</v>
      </c>
      <c r="P271" s="11" t="s">
        <v>604</v>
      </c>
      <c r="R271" s="1" t="s">
        <v>38</v>
      </c>
      <c r="T271" s="1" t="s">
        <v>74</v>
      </c>
      <c r="U271" s="186">
        <v>44711.75</v>
      </c>
      <c r="V271" s="1" t="s">
        <v>41</v>
      </c>
      <c r="W271" s="1" t="s">
        <v>49</v>
      </c>
      <c r="X271" s="13" t="str">
        <f t="shared" si="33"/>
        <v/>
      </c>
      <c r="Y271" s="2">
        <f t="shared" ca="1" si="28"/>
        <v>198</v>
      </c>
      <c r="Z271" s="14">
        <v>1</v>
      </c>
      <c r="AA271" s="1" t="str">
        <f t="shared" ca="1" si="29"/>
        <v>VENCIDO</v>
      </c>
      <c r="AB271" s="1" t="str">
        <f t="shared" si="30"/>
        <v>Dosa</v>
      </c>
      <c r="AC271" s="2" t="str">
        <f t="shared" si="34"/>
        <v xml:space="preserve"> ROSEMERE </v>
      </c>
      <c r="AD271" s="2">
        <f t="shared" si="31"/>
        <v>5</v>
      </c>
      <c r="AE271" s="2">
        <f t="shared" ca="1" si="32"/>
        <v>-274.9262716435187</v>
      </c>
      <c r="AF271" s="15"/>
    </row>
    <row r="272" spans="1:32" hidden="1">
      <c r="A272" s="1">
        <v>8623457</v>
      </c>
      <c r="B272" s="1" t="s">
        <v>27</v>
      </c>
      <c r="C272" t="s">
        <v>186</v>
      </c>
      <c r="E272" s="2">
        <v>4118000206001</v>
      </c>
      <c r="F272" s="1" t="s">
        <v>29</v>
      </c>
      <c r="G272" s="1" t="s">
        <v>53</v>
      </c>
      <c r="H272" s="1" t="s">
        <v>71</v>
      </c>
      <c r="I272" s="1" t="s">
        <v>72</v>
      </c>
      <c r="J272" s="1" t="s">
        <v>46</v>
      </c>
      <c r="K272" t="s">
        <v>34</v>
      </c>
      <c r="M272" s="1" t="s">
        <v>35</v>
      </c>
      <c r="N272" s="1">
        <v>42318949</v>
      </c>
      <c r="O272" s="1" t="s">
        <v>105</v>
      </c>
      <c r="P272" s="11" t="s">
        <v>605</v>
      </c>
      <c r="R272" s="1" t="s">
        <v>38</v>
      </c>
      <c r="T272" s="1" t="s">
        <v>74</v>
      </c>
      <c r="U272" s="186">
        <v>44711.75</v>
      </c>
      <c r="V272" s="1" t="s">
        <v>41</v>
      </c>
      <c r="W272" s="1" t="s">
        <v>49</v>
      </c>
      <c r="X272" s="13" t="str">
        <f t="shared" si="33"/>
        <v/>
      </c>
      <c r="Y272" s="2">
        <f t="shared" ca="1" si="28"/>
        <v>198</v>
      </c>
      <c r="Z272" s="14">
        <v>1</v>
      </c>
      <c r="AA272" s="1" t="str">
        <f t="shared" ca="1" si="29"/>
        <v>VENCIDO</v>
      </c>
      <c r="AB272" s="1" t="str">
        <f t="shared" si="30"/>
        <v>Dosa</v>
      </c>
      <c r="AC272" s="2" t="str">
        <f t="shared" si="34"/>
        <v xml:space="preserve"> CLEITON </v>
      </c>
      <c r="AD272" s="2">
        <f t="shared" si="31"/>
        <v>5</v>
      </c>
      <c r="AE272" s="2">
        <f t="shared" ca="1" si="32"/>
        <v>-274.9262716435187</v>
      </c>
      <c r="AF272" s="15"/>
    </row>
    <row r="273" spans="1:32" hidden="1">
      <c r="A273" s="1">
        <v>8623414</v>
      </c>
      <c r="B273" s="1" t="s">
        <v>27</v>
      </c>
      <c r="C273" t="s">
        <v>186</v>
      </c>
      <c r="E273" s="2">
        <v>2107000206001</v>
      </c>
      <c r="F273" s="1" t="s">
        <v>29</v>
      </c>
      <c r="G273" s="1" t="s">
        <v>53</v>
      </c>
      <c r="H273" s="1" t="s">
        <v>262</v>
      </c>
      <c r="I273" s="1" t="s">
        <v>263</v>
      </c>
      <c r="J273" s="1" t="s">
        <v>164</v>
      </c>
      <c r="K273" t="s">
        <v>34</v>
      </c>
      <c r="M273" s="1" t="s">
        <v>35</v>
      </c>
      <c r="N273" s="1">
        <v>42318949</v>
      </c>
      <c r="O273" s="1" t="s">
        <v>105</v>
      </c>
      <c r="P273" s="11" t="s">
        <v>606</v>
      </c>
      <c r="R273" s="1" t="s">
        <v>38</v>
      </c>
      <c r="T273" s="1" t="s">
        <v>74</v>
      </c>
      <c r="U273" s="186">
        <v>44711.75</v>
      </c>
      <c r="V273" s="1" t="s">
        <v>41</v>
      </c>
      <c r="W273" s="1" t="s">
        <v>49</v>
      </c>
      <c r="X273" s="13" t="str">
        <f t="shared" si="33"/>
        <v/>
      </c>
      <c r="Y273" s="2">
        <f t="shared" ca="1" si="28"/>
        <v>198</v>
      </c>
      <c r="Z273" s="14">
        <v>1</v>
      </c>
      <c r="AA273" s="1" t="str">
        <f t="shared" ca="1" si="29"/>
        <v>VENCIDO</v>
      </c>
      <c r="AB273" s="1" t="str">
        <f t="shared" si="30"/>
        <v>Dosa</v>
      </c>
      <c r="AC273" s="2" t="str">
        <f t="shared" si="34"/>
        <v xml:space="preserve"> ROSEMERE </v>
      </c>
      <c r="AD273" s="2">
        <f t="shared" si="31"/>
        <v>5</v>
      </c>
      <c r="AE273" s="2">
        <f t="shared" ca="1" si="32"/>
        <v>-274.9262716435187</v>
      </c>
      <c r="AF273" s="15"/>
    </row>
    <row r="274" spans="1:32" hidden="1">
      <c r="A274" s="1">
        <v>8623404</v>
      </c>
      <c r="B274" s="1" t="s">
        <v>27</v>
      </c>
      <c r="C274" t="s">
        <v>186</v>
      </c>
      <c r="E274" s="2">
        <v>2388000206001</v>
      </c>
      <c r="F274" s="1" t="s">
        <v>29</v>
      </c>
      <c r="G274" s="1" t="s">
        <v>53</v>
      </c>
      <c r="H274" s="1" t="s">
        <v>299</v>
      </c>
      <c r="I274" s="1" t="s">
        <v>300</v>
      </c>
      <c r="J274" s="1" t="s">
        <v>79</v>
      </c>
      <c r="K274" t="s">
        <v>34</v>
      </c>
      <c r="M274" s="1" t="s">
        <v>35</v>
      </c>
      <c r="N274" s="1">
        <v>42318949</v>
      </c>
      <c r="O274" s="1" t="s">
        <v>36</v>
      </c>
      <c r="P274" s="11" t="s">
        <v>607</v>
      </c>
      <c r="R274" s="1" t="s">
        <v>38</v>
      </c>
      <c r="T274" s="1" t="s">
        <v>74</v>
      </c>
      <c r="U274" s="186">
        <v>44711.75</v>
      </c>
      <c r="V274" s="1" t="s">
        <v>41</v>
      </c>
      <c r="W274" s="1" t="s">
        <v>49</v>
      </c>
      <c r="X274" s="13" t="str">
        <f t="shared" si="33"/>
        <v/>
      </c>
      <c r="Y274" s="2">
        <f t="shared" ca="1" si="28"/>
        <v>198</v>
      </c>
      <c r="Z274" s="14">
        <v>1</v>
      </c>
      <c r="AA274" s="1" t="str">
        <f t="shared" ca="1" si="29"/>
        <v>VENCIDO</v>
      </c>
      <c r="AB274" s="1" t="str">
        <f t="shared" si="30"/>
        <v>Dosa</v>
      </c>
      <c r="AC274" s="2" t="str">
        <f t="shared" si="34"/>
        <v xml:space="preserve"> ROSEMERE </v>
      </c>
      <c r="AD274" s="2">
        <f t="shared" si="31"/>
        <v>5</v>
      </c>
      <c r="AE274" s="2">
        <f t="shared" ca="1" si="32"/>
        <v>-274.9262716435187</v>
      </c>
      <c r="AF274" s="15"/>
    </row>
    <row r="275" spans="1:32" hidden="1">
      <c r="A275" s="1">
        <v>8623397</v>
      </c>
      <c r="B275" s="1" t="s">
        <v>27</v>
      </c>
      <c r="C275" t="s">
        <v>186</v>
      </c>
      <c r="E275" s="2">
        <v>1710000206001</v>
      </c>
      <c r="F275" s="1" t="s">
        <v>29</v>
      </c>
      <c r="G275" s="1" t="s">
        <v>53</v>
      </c>
      <c r="H275" s="1" t="s">
        <v>327</v>
      </c>
      <c r="I275" s="1" t="s">
        <v>328</v>
      </c>
      <c r="J275" s="1" t="s">
        <v>261</v>
      </c>
      <c r="K275" t="s">
        <v>34</v>
      </c>
      <c r="M275" s="1" t="s">
        <v>35</v>
      </c>
      <c r="N275" s="1">
        <v>42318949</v>
      </c>
      <c r="O275" s="1" t="s">
        <v>105</v>
      </c>
      <c r="P275" s="11" t="s">
        <v>3428</v>
      </c>
      <c r="R275" s="1" t="s">
        <v>38</v>
      </c>
      <c r="T275" s="1" t="s">
        <v>74</v>
      </c>
      <c r="U275" s="186">
        <v>44711.75</v>
      </c>
      <c r="V275" s="1" t="s">
        <v>41</v>
      </c>
      <c r="W275" s="1" t="s">
        <v>49</v>
      </c>
      <c r="X275" s="13" t="str">
        <f t="shared" si="33"/>
        <v/>
      </c>
      <c r="Y275" s="2">
        <f t="shared" ca="1" si="28"/>
        <v>198</v>
      </c>
      <c r="Z275" s="14">
        <v>1</v>
      </c>
      <c r="AA275" s="1" t="str">
        <f t="shared" ca="1" si="29"/>
        <v>VENCIDO</v>
      </c>
      <c r="AB275" s="1" t="str">
        <f t="shared" si="30"/>
        <v>Dosa</v>
      </c>
      <c r="AC275" s="2" t="str">
        <f t="shared" si="34"/>
        <v xml:space="preserve"> CRISTINA </v>
      </c>
      <c r="AD275" s="2">
        <f t="shared" si="31"/>
        <v>5</v>
      </c>
      <c r="AE275" s="2">
        <f t="shared" ca="1" si="32"/>
        <v>-274.9262716435187</v>
      </c>
      <c r="AF275" s="15"/>
    </row>
    <row r="276" spans="1:32" hidden="1">
      <c r="A276" s="1">
        <v>8623394</v>
      </c>
      <c r="B276" s="1" t="s">
        <v>27</v>
      </c>
      <c r="C276" t="s">
        <v>186</v>
      </c>
      <c r="E276" s="2">
        <v>4274000206001</v>
      </c>
      <c r="F276" s="1" t="s">
        <v>29</v>
      </c>
      <c r="G276" s="1" t="s">
        <v>53</v>
      </c>
      <c r="H276" s="1" t="s">
        <v>386</v>
      </c>
      <c r="I276" s="1" t="s">
        <v>387</v>
      </c>
      <c r="J276" s="1" t="s">
        <v>46</v>
      </c>
      <c r="K276" t="s">
        <v>34</v>
      </c>
      <c r="M276" s="1" t="s">
        <v>35</v>
      </c>
      <c r="N276" s="1">
        <v>42318949</v>
      </c>
      <c r="O276" s="1" t="s">
        <v>36</v>
      </c>
      <c r="P276" s="11" t="s">
        <v>608</v>
      </c>
      <c r="R276" s="1" t="s">
        <v>38</v>
      </c>
      <c r="T276" s="1" t="s">
        <v>74</v>
      </c>
      <c r="U276" s="186">
        <v>44711.75</v>
      </c>
      <c r="V276" s="1" t="s">
        <v>41</v>
      </c>
      <c r="W276" s="1" t="s">
        <v>49</v>
      </c>
      <c r="X276" s="13" t="str">
        <f t="shared" si="33"/>
        <v/>
      </c>
      <c r="Y276" s="2">
        <f t="shared" ca="1" si="28"/>
        <v>198</v>
      </c>
      <c r="Z276" s="14">
        <v>1</v>
      </c>
      <c r="AA276" s="1" t="str">
        <f t="shared" ca="1" si="29"/>
        <v>VENCIDO</v>
      </c>
      <c r="AB276" s="1" t="str">
        <f t="shared" si="30"/>
        <v>Dosa</v>
      </c>
      <c r="AC276" s="2" t="str">
        <f t="shared" si="34"/>
        <v xml:space="preserve"> CLEITON </v>
      </c>
      <c r="AD276" s="2">
        <f t="shared" si="31"/>
        <v>5</v>
      </c>
      <c r="AE276" s="2">
        <f t="shared" ca="1" si="32"/>
        <v>-274.9262716435187</v>
      </c>
      <c r="AF276" s="15"/>
    </row>
    <row r="277" spans="1:32" hidden="1">
      <c r="A277" s="1">
        <v>8623366</v>
      </c>
      <c r="B277" s="1" t="s">
        <v>27</v>
      </c>
      <c r="C277" t="s">
        <v>186</v>
      </c>
      <c r="E277" s="2">
        <v>710000206001</v>
      </c>
      <c r="F277" s="1" t="s">
        <v>29</v>
      </c>
      <c r="G277" s="1" t="s">
        <v>53</v>
      </c>
      <c r="H277" s="1" t="s">
        <v>390</v>
      </c>
      <c r="I277" s="1" t="s">
        <v>391</v>
      </c>
      <c r="J277" s="1" t="s">
        <v>56</v>
      </c>
      <c r="K277" t="s">
        <v>34</v>
      </c>
      <c r="M277" s="1" t="s">
        <v>35</v>
      </c>
      <c r="N277" s="1">
        <v>42318949</v>
      </c>
      <c r="O277" s="1" t="s">
        <v>105</v>
      </c>
      <c r="P277" s="11" t="s">
        <v>609</v>
      </c>
      <c r="R277" s="1" t="s">
        <v>38</v>
      </c>
      <c r="T277" s="1" t="s">
        <v>74</v>
      </c>
      <c r="U277" s="186">
        <v>44711.75</v>
      </c>
      <c r="V277" s="1" t="s">
        <v>41</v>
      </c>
      <c r="W277" s="1" t="s">
        <v>49</v>
      </c>
      <c r="X277" s="13" t="str">
        <f t="shared" si="33"/>
        <v/>
      </c>
      <c r="Y277" s="2">
        <f t="shared" ca="1" si="28"/>
        <v>198</v>
      </c>
      <c r="Z277" s="14">
        <v>1</v>
      </c>
      <c r="AA277" s="1" t="str">
        <f t="shared" ca="1" si="29"/>
        <v>VENCIDO</v>
      </c>
      <c r="AB277" s="1" t="str">
        <f t="shared" si="30"/>
        <v>Dosa</v>
      </c>
      <c r="AC277" s="2" t="str">
        <f t="shared" si="34"/>
        <v xml:space="preserve"> CRISTINA </v>
      </c>
      <c r="AD277" s="2">
        <f t="shared" si="31"/>
        <v>5</v>
      </c>
      <c r="AE277" s="2">
        <f t="shared" ca="1" si="32"/>
        <v>-274.9262716435187</v>
      </c>
      <c r="AF277" s="15"/>
    </row>
    <row r="278" spans="1:32" hidden="1">
      <c r="A278" s="1">
        <v>8623339</v>
      </c>
      <c r="B278" s="1" t="s">
        <v>27</v>
      </c>
      <c r="C278" t="s">
        <v>186</v>
      </c>
      <c r="E278" s="2">
        <v>550000206001</v>
      </c>
      <c r="F278" s="1" t="s">
        <v>29</v>
      </c>
      <c r="G278" s="1" t="s">
        <v>53</v>
      </c>
      <c r="H278" s="1" t="s">
        <v>337</v>
      </c>
      <c r="I278" s="1" t="s">
        <v>338</v>
      </c>
      <c r="J278" s="1" t="s">
        <v>164</v>
      </c>
      <c r="K278" t="s">
        <v>34</v>
      </c>
      <c r="M278" s="1" t="s">
        <v>35</v>
      </c>
      <c r="N278" s="1">
        <v>42318949</v>
      </c>
      <c r="O278" s="1" t="s">
        <v>105</v>
      </c>
      <c r="P278" s="11" t="s">
        <v>610</v>
      </c>
      <c r="R278" s="1" t="s">
        <v>38</v>
      </c>
      <c r="T278" s="1" t="s">
        <v>74</v>
      </c>
      <c r="U278" s="186">
        <v>44711.75</v>
      </c>
      <c r="V278" s="1" t="s">
        <v>41</v>
      </c>
      <c r="W278" s="1" t="s">
        <v>49</v>
      </c>
      <c r="X278" s="13" t="str">
        <f t="shared" si="33"/>
        <v/>
      </c>
      <c r="Y278" s="2">
        <f t="shared" ca="1" si="28"/>
        <v>198</v>
      </c>
      <c r="Z278" s="14">
        <v>1</v>
      </c>
      <c r="AA278" s="1" t="str">
        <f t="shared" ca="1" si="29"/>
        <v>VENCIDO</v>
      </c>
      <c r="AB278" s="1" t="str">
        <f t="shared" si="30"/>
        <v>Dosa</v>
      </c>
      <c r="AC278" s="2" t="str">
        <f t="shared" si="34"/>
        <v xml:space="preserve"> ROSEMERE </v>
      </c>
      <c r="AD278" s="2">
        <f t="shared" si="31"/>
        <v>5</v>
      </c>
      <c r="AE278" s="2">
        <f t="shared" ca="1" si="32"/>
        <v>-274.9262716435187</v>
      </c>
      <c r="AF278" s="15"/>
    </row>
    <row r="279" spans="1:32" hidden="1">
      <c r="A279" s="1">
        <v>8623323</v>
      </c>
      <c r="B279" s="1" t="s">
        <v>27</v>
      </c>
      <c r="C279" t="s">
        <v>186</v>
      </c>
      <c r="E279" s="2">
        <v>1943000206001</v>
      </c>
      <c r="F279" s="1" t="s">
        <v>29</v>
      </c>
      <c r="G279" s="1" t="s">
        <v>53</v>
      </c>
      <c r="H279" s="1" t="s">
        <v>264</v>
      </c>
      <c r="I279" s="1" t="s">
        <v>265</v>
      </c>
      <c r="J279" s="1" t="s">
        <v>56</v>
      </c>
      <c r="K279" t="s">
        <v>34</v>
      </c>
      <c r="M279" s="1" t="s">
        <v>35</v>
      </c>
      <c r="N279" s="1">
        <v>42318949</v>
      </c>
      <c r="O279" s="1" t="s">
        <v>105</v>
      </c>
      <c r="P279" s="11" t="s">
        <v>611</v>
      </c>
      <c r="R279" s="1" t="s">
        <v>38</v>
      </c>
      <c r="T279" s="1" t="s">
        <v>74</v>
      </c>
      <c r="U279" s="186">
        <v>44711.75</v>
      </c>
      <c r="V279" s="1" t="s">
        <v>41</v>
      </c>
      <c r="W279" s="1" t="s">
        <v>49</v>
      </c>
      <c r="X279" s="13" t="str">
        <f t="shared" si="33"/>
        <v/>
      </c>
      <c r="Y279" s="2">
        <f t="shared" ca="1" si="28"/>
        <v>198</v>
      </c>
      <c r="Z279" s="14">
        <v>1</v>
      </c>
      <c r="AA279" s="1" t="str">
        <f t="shared" ca="1" si="29"/>
        <v>VENCIDO</v>
      </c>
      <c r="AB279" s="1" t="str">
        <f t="shared" si="30"/>
        <v>Dosa</v>
      </c>
      <c r="AC279" s="2" t="str">
        <f t="shared" si="34"/>
        <v xml:space="preserve"> CRISTINA </v>
      </c>
      <c r="AD279" s="2">
        <f t="shared" si="31"/>
        <v>5</v>
      </c>
      <c r="AE279" s="2">
        <f t="shared" ca="1" si="32"/>
        <v>-274.9262716435187</v>
      </c>
      <c r="AF279" s="15"/>
    </row>
    <row r="280" spans="1:32" hidden="1">
      <c r="A280" s="1">
        <v>8623269</v>
      </c>
      <c r="B280" s="1" t="s">
        <v>27</v>
      </c>
      <c r="C280" t="s">
        <v>186</v>
      </c>
      <c r="E280" s="2">
        <v>1761000206001</v>
      </c>
      <c r="F280" s="1" t="s">
        <v>29</v>
      </c>
      <c r="G280" s="1" t="s">
        <v>53</v>
      </c>
      <c r="H280" s="1" t="s">
        <v>375</v>
      </c>
      <c r="I280" s="1" t="s">
        <v>376</v>
      </c>
      <c r="J280" s="1" t="s">
        <v>56</v>
      </c>
      <c r="K280" t="s">
        <v>34</v>
      </c>
      <c r="M280" s="1" t="s">
        <v>35</v>
      </c>
      <c r="N280" s="1">
        <v>42318949</v>
      </c>
      <c r="O280" s="1" t="s">
        <v>105</v>
      </c>
      <c r="P280" s="11" t="s">
        <v>612</v>
      </c>
      <c r="R280" s="1" t="s">
        <v>38</v>
      </c>
      <c r="T280" s="1" t="s">
        <v>74</v>
      </c>
      <c r="U280" s="186">
        <v>44711.75</v>
      </c>
      <c r="V280" s="1" t="s">
        <v>41</v>
      </c>
      <c r="W280" s="1" t="s">
        <v>49</v>
      </c>
      <c r="X280" s="13" t="str">
        <f t="shared" si="33"/>
        <v/>
      </c>
      <c r="Y280" s="2">
        <f t="shared" ca="1" si="28"/>
        <v>198</v>
      </c>
      <c r="Z280" s="14">
        <v>1</v>
      </c>
      <c r="AA280" s="1" t="str">
        <f t="shared" ca="1" si="29"/>
        <v>VENCIDO</v>
      </c>
      <c r="AB280" s="1" t="str">
        <f t="shared" si="30"/>
        <v>Dosa</v>
      </c>
      <c r="AC280" s="2" t="str">
        <f t="shared" si="34"/>
        <v xml:space="preserve"> CRISTINA </v>
      </c>
      <c r="AD280" s="2">
        <f t="shared" si="31"/>
        <v>5</v>
      </c>
      <c r="AE280" s="2">
        <f t="shared" ca="1" si="32"/>
        <v>-274.9262716435187</v>
      </c>
      <c r="AF280" s="15"/>
    </row>
    <row r="281" spans="1:32" hidden="1">
      <c r="A281" s="1">
        <v>8623187</v>
      </c>
      <c r="B281" s="1" t="s">
        <v>27</v>
      </c>
      <c r="C281" t="s">
        <v>186</v>
      </c>
      <c r="E281" s="2">
        <v>2830000206001</v>
      </c>
      <c r="F281" s="1" t="s">
        <v>29</v>
      </c>
      <c r="G281" s="1" t="s">
        <v>53</v>
      </c>
      <c r="H281" s="1" t="s">
        <v>448</v>
      </c>
      <c r="I281" s="1" t="s">
        <v>449</v>
      </c>
      <c r="J281" s="1" t="s">
        <v>33</v>
      </c>
      <c r="K281" t="s">
        <v>34</v>
      </c>
      <c r="M281" s="1" t="s">
        <v>35</v>
      </c>
      <c r="N281" s="1">
        <v>42318949</v>
      </c>
      <c r="O281" s="1" t="s">
        <v>105</v>
      </c>
      <c r="P281" s="11" t="s">
        <v>613</v>
      </c>
      <c r="R281" s="1" t="s">
        <v>38</v>
      </c>
      <c r="T281" s="1" t="s">
        <v>74</v>
      </c>
      <c r="U281" s="186">
        <v>44711.75</v>
      </c>
      <c r="V281" s="1" t="s">
        <v>41</v>
      </c>
      <c r="W281" s="1" t="s">
        <v>42</v>
      </c>
      <c r="X281" s="13" t="str">
        <f t="shared" si="33"/>
        <v/>
      </c>
      <c r="Y281" s="2">
        <f t="shared" ca="1" si="28"/>
        <v>198</v>
      </c>
      <c r="Z281" s="14">
        <v>1</v>
      </c>
      <c r="AA281" s="1" t="str">
        <f t="shared" ca="1" si="29"/>
        <v>VENCIDO</v>
      </c>
      <c r="AB281" s="1" t="str">
        <f t="shared" si="30"/>
        <v>Dosa</v>
      </c>
      <c r="AC281" s="2" t="str">
        <f t="shared" si="34"/>
        <v xml:space="preserve"> ROSEMERE </v>
      </c>
      <c r="AD281" s="2">
        <f t="shared" si="31"/>
        <v>5</v>
      </c>
      <c r="AE281" s="2">
        <f t="shared" ca="1" si="32"/>
        <v>-274.9262716435187</v>
      </c>
      <c r="AF281" s="15"/>
    </row>
    <row r="282" spans="1:32" hidden="1">
      <c r="A282" s="1">
        <v>8623156</v>
      </c>
      <c r="B282" s="1" t="s">
        <v>27</v>
      </c>
      <c r="C282" t="s">
        <v>186</v>
      </c>
      <c r="E282" s="2">
        <v>1361000206001</v>
      </c>
      <c r="F282" s="1" t="s">
        <v>29</v>
      </c>
      <c r="G282" s="1" t="s">
        <v>53</v>
      </c>
      <c r="H282" s="1" t="s">
        <v>309</v>
      </c>
      <c r="I282" s="1" t="s">
        <v>310</v>
      </c>
      <c r="J282" s="1" t="s">
        <v>46</v>
      </c>
      <c r="K282" t="s">
        <v>34</v>
      </c>
      <c r="M282" s="1" t="s">
        <v>35</v>
      </c>
      <c r="N282" s="1">
        <v>42318949</v>
      </c>
      <c r="O282" s="1" t="s">
        <v>105</v>
      </c>
      <c r="P282" s="11" t="s">
        <v>614</v>
      </c>
      <c r="R282" s="1" t="s">
        <v>38</v>
      </c>
      <c r="T282" s="1" t="s">
        <v>74</v>
      </c>
      <c r="U282" s="186">
        <v>44711.75</v>
      </c>
      <c r="V282" s="1" t="s">
        <v>41</v>
      </c>
      <c r="W282" s="1" t="s">
        <v>49</v>
      </c>
      <c r="X282" s="13" t="str">
        <f t="shared" si="33"/>
        <v/>
      </c>
      <c r="Y282" s="2">
        <f t="shared" ca="1" si="28"/>
        <v>198</v>
      </c>
      <c r="Z282" s="14">
        <v>1</v>
      </c>
      <c r="AA282" s="1" t="str">
        <f t="shared" ca="1" si="29"/>
        <v>VENCIDO</v>
      </c>
      <c r="AB282" s="1" t="str">
        <f t="shared" si="30"/>
        <v>Dosa</v>
      </c>
      <c r="AC282" s="2" t="str">
        <f t="shared" si="34"/>
        <v xml:space="preserve"> CLEITON </v>
      </c>
      <c r="AD282" s="2">
        <f t="shared" si="31"/>
        <v>5</v>
      </c>
      <c r="AE282" s="2">
        <f t="shared" ca="1" si="32"/>
        <v>-274.9262716435187</v>
      </c>
      <c r="AF282" s="15"/>
    </row>
    <row r="283" spans="1:32" hidden="1">
      <c r="A283" s="1">
        <v>8623137</v>
      </c>
      <c r="B283" s="1" t="s">
        <v>27</v>
      </c>
      <c r="C283" t="s">
        <v>186</v>
      </c>
      <c r="E283" s="2">
        <v>1771000206001</v>
      </c>
      <c r="F283" s="1" t="s">
        <v>29</v>
      </c>
      <c r="G283" s="1" t="s">
        <v>53</v>
      </c>
      <c r="H283" s="1" t="s">
        <v>615</v>
      </c>
      <c r="I283" s="1" t="s">
        <v>616</v>
      </c>
      <c r="J283" s="1" t="s">
        <v>261</v>
      </c>
      <c r="K283" t="s">
        <v>34</v>
      </c>
      <c r="M283" s="1" t="s">
        <v>35</v>
      </c>
      <c r="N283" s="1">
        <v>42318949</v>
      </c>
      <c r="O283" s="1" t="s">
        <v>105</v>
      </c>
      <c r="P283" s="11" t="s">
        <v>617</v>
      </c>
      <c r="R283" s="1" t="s">
        <v>38</v>
      </c>
      <c r="T283" s="1" t="s">
        <v>74</v>
      </c>
      <c r="U283" s="186">
        <v>44711.75</v>
      </c>
      <c r="V283" s="1" t="s">
        <v>41</v>
      </c>
      <c r="W283" s="1" t="s">
        <v>49</v>
      </c>
      <c r="X283" s="13" t="str">
        <f t="shared" si="33"/>
        <v/>
      </c>
      <c r="Y283" s="2">
        <f t="shared" ca="1" si="28"/>
        <v>198</v>
      </c>
      <c r="Z283" s="14">
        <v>1</v>
      </c>
      <c r="AA283" s="1" t="str">
        <f t="shared" ca="1" si="29"/>
        <v>VENCIDO</v>
      </c>
      <c r="AB283" s="1" t="str">
        <f t="shared" si="30"/>
        <v>Dosa</v>
      </c>
      <c r="AC283" s="2" t="str">
        <f t="shared" si="34"/>
        <v xml:space="preserve"> CRISTINA </v>
      </c>
      <c r="AD283" s="2">
        <f t="shared" si="31"/>
        <v>5</v>
      </c>
      <c r="AE283" s="2">
        <f t="shared" ca="1" si="32"/>
        <v>-274.9262716435187</v>
      </c>
      <c r="AF283" s="15"/>
    </row>
    <row r="284" spans="1:32" hidden="1">
      <c r="A284" s="1">
        <v>8623124</v>
      </c>
      <c r="B284" s="1" t="s">
        <v>27</v>
      </c>
      <c r="C284" t="s">
        <v>186</v>
      </c>
      <c r="E284" s="2">
        <v>934000206001</v>
      </c>
      <c r="F284" s="1" t="s">
        <v>29</v>
      </c>
      <c r="G284" s="1" t="s">
        <v>53</v>
      </c>
      <c r="H284" s="1" t="s">
        <v>428</v>
      </c>
      <c r="I284" s="1" t="s">
        <v>429</v>
      </c>
      <c r="J284" s="1" t="s">
        <v>46</v>
      </c>
      <c r="K284" t="s">
        <v>34</v>
      </c>
      <c r="M284" s="1" t="s">
        <v>35</v>
      </c>
      <c r="N284" s="1">
        <v>42318949</v>
      </c>
      <c r="O284" s="1" t="s">
        <v>36</v>
      </c>
      <c r="P284" s="11" t="s">
        <v>618</v>
      </c>
      <c r="R284" s="1" t="s">
        <v>38</v>
      </c>
      <c r="T284" s="1" t="s">
        <v>74</v>
      </c>
      <c r="U284" s="186">
        <v>44711.75</v>
      </c>
      <c r="V284" s="1" t="s">
        <v>41</v>
      </c>
      <c r="W284" s="1" t="s">
        <v>49</v>
      </c>
      <c r="X284" s="13" t="str">
        <f t="shared" si="33"/>
        <v/>
      </c>
      <c r="Y284" s="2">
        <f t="shared" ca="1" si="28"/>
        <v>198</v>
      </c>
      <c r="Z284" s="14">
        <v>1</v>
      </c>
      <c r="AA284" s="1" t="str">
        <f t="shared" ca="1" si="29"/>
        <v>VENCIDO</v>
      </c>
      <c r="AB284" s="1" t="str">
        <f t="shared" si="30"/>
        <v>Dosa</v>
      </c>
      <c r="AC284" s="2" t="str">
        <f t="shared" si="34"/>
        <v xml:space="preserve"> CLEITON </v>
      </c>
      <c r="AD284" s="2">
        <f t="shared" si="31"/>
        <v>5</v>
      </c>
      <c r="AE284" s="2">
        <f t="shared" ca="1" si="32"/>
        <v>-274.9262716435187</v>
      </c>
      <c r="AF284" s="15"/>
    </row>
    <row r="285" spans="1:32" hidden="1">
      <c r="A285" s="1">
        <v>8623122</v>
      </c>
      <c r="B285" s="1" t="s">
        <v>27</v>
      </c>
      <c r="C285" t="s">
        <v>186</v>
      </c>
      <c r="E285" s="2">
        <v>1264000206001</v>
      </c>
      <c r="F285" s="1" t="s">
        <v>29</v>
      </c>
      <c r="G285" s="1" t="s">
        <v>53</v>
      </c>
      <c r="H285" s="1" t="s">
        <v>351</v>
      </c>
      <c r="I285" s="1" t="s">
        <v>352</v>
      </c>
      <c r="J285" s="1" t="s">
        <v>110</v>
      </c>
      <c r="K285" t="s">
        <v>34</v>
      </c>
      <c r="M285" s="1" t="s">
        <v>35</v>
      </c>
      <c r="N285" s="1">
        <v>42318949</v>
      </c>
      <c r="O285" s="1" t="s">
        <v>105</v>
      </c>
      <c r="P285" s="11" t="s">
        <v>618</v>
      </c>
      <c r="R285" s="1" t="s">
        <v>38</v>
      </c>
      <c r="T285" s="1" t="s">
        <v>74</v>
      </c>
      <c r="U285" s="186">
        <v>44711.75</v>
      </c>
      <c r="V285" s="1" t="s">
        <v>41</v>
      </c>
      <c r="W285" s="1" t="s">
        <v>49</v>
      </c>
      <c r="X285" s="13" t="str">
        <f t="shared" si="33"/>
        <v/>
      </c>
      <c r="Y285" s="2">
        <f t="shared" ca="1" si="28"/>
        <v>198</v>
      </c>
      <c r="Z285" s="14">
        <v>1</v>
      </c>
      <c r="AA285" s="1" t="str">
        <f t="shared" ca="1" si="29"/>
        <v>VENCIDO</v>
      </c>
      <c r="AB285" s="1" t="str">
        <f t="shared" si="30"/>
        <v>Dosa</v>
      </c>
      <c r="AC285" s="2" t="str">
        <f t="shared" si="34"/>
        <v xml:space="preserve"> CRISTINA </v>
      </c>
      <c r="AD285" s="2">
        <f t="shared" si="31"/>
        <v>5</v>
      </c>
      <c r="AE285" s="2">
        <f t="shared" ca="1" si="32"/>
        <v>-274.9262716435187</v>
      </c>
      <c r="AF285" s="15"/>
    </row>
    <row r="286" spans="1:32" hidden="1">
      <c r="A286" s="1">
        <v>8622823</v>
      </c>
      <c r="B286" s="1" t="s">
        <v>27</v>
      </c>
      <c r="C286" t="s">
        <v>186</v>
      </c>
      <c r="E286" s="2">
        <v>2855000206001</v>
      </c>
      <c r="F286" s="1" t="s">
        <v>29</v>
      </c>
      <c r="G286" s="1" t="s">
        <v>53</v>
      </c>
      <c r="H286" s="1" t="s">
        <v>249</v>
      </c>
      <c r="I286" s="1" t="s">
        <v>250</v>
      </c>
      <c r="J286" s="1" t="s">
        <v>56</v>
      </c>
      <c r="K286" t="s">
        <v>34</v>
      </c>
      <c r="M286" s="1" t="s">
        <v>35</v>
      </c>
      <c r="N286" s="1">
        <v>42318949</v>
      </c>
      <c r="O286" s="1" t="s">
        <v>105</v>
      </c>
      <c r="P286" s="11" t="s">
        <v>619</v>
      </c>
      <c r="R286" s="1" t="s">
        <v>38</v>
      </c>
      <c r="T286" s="1" t="s">
        <v>74</v>
      </c>
      <c r="U286" s="186">
        <v>44711.75</v>
      </c>
      <c r="V286" s="1" t="s">
        <v>41</v>
      </c>
      <c r="W286" s="1" t="s">
        <v>49</v>
      </c>
      <c r="X286" s="13" t="str">
        <f t="shared" si="33"/>
        <v/>
      </c>
      <c r="Y286" s="2">
        <f t="shared" ca="1" si="28"/>
        <v>198</v>
      </c>
      <c r="Z286" s="14">
        <v>1</v>
      </c>
      <c r="AA286" s="1" t="str">
        <f t="shared" ca="1" si="29"/>
        <v>VENCIDO</v>
      </c>
      <c r="AB286" s="1" t="str">
        <f t="shared" si="30"/>
        <v>Dosa</v>
      </c>
      <c r="AC286" s="2" t="str">
        <f t="shared" si="34"/>
        <v xml:space="preserve"> CRISTINA </v>
      </c>
      <c r="AD286" s="2">
        <f t="shared" si="31"/>
        <v>5</v>
      </c>
      <c r="AE286" s="2">
        <f t="shared" ca="1" si="32"/>
        <v>-274.9262716435187</v>
      </c>
      <c r="AF286" s="15"/>
    </row>
    <row r="287" spans="1:32" hidden="1">
      <c r="A287" s="1">
        <v>8622810</v>
      </c>
      <c r="B287" s="1" t="s">
        <v>27</v>
      </c>
      <c r="C287" t="s">
        <v>186</v>
      </c>
      <c r="E287" s="2">
        <v>1650000206001</v>
      </c>
      <c r="F287" s="1" t="s">
        <v>29</v>
      </c>
      <c r="G287" s="1" t="s">
        <v>53</v>
      </c>
      <c r="H287" s="1" t="s">
        <v>620</v>
      </c>
      <c r="I287" s="1" t="s">
        <v>621</v>
      </c>
      <c r="J287" s="1" t="s">
        <v>141</v>
      </c>
      <c r="K287" t="s">
        <v>34</v>
      </c>
      <c r="M287" s="1" t="s">
        <v>35</v>
      </c>
      <c r="N287" s="1">
        <v>42318949</v>
      </c>
      <c r="O287" s="1" t="s">
        <v>105</v>
      </c>
      <c r="P287" s="11" t="s">
        <v>622</v>
      </c>
      <c r="R287" s="1" t="s">
        <v>38</v>
      </c>
      <c r="T287" s="1" t="s">
        <v>74</v>
      </c>
      <c r="U287" s="186">
        <v>44711.75</v>
      </c>
      <c r="V287" s="1" t="s">
        <v>41</v>
      </c>
      <c r="W287" s="1" t="s">
        <v>49</v>
      </c>
      <c r="X287" s="13" t="str">
        <f t="shared" si="33"/>
        <v/>
      </c>
      <c r="Y287" s="2">
        <f t="shared" ca="1" si="28"/>
        <v>198</v>
      </c>
      <c r="Z287" s="14">
        <v>1</v>
      </c>
      <c r="AA287" s="1" t="str">
        <f t="shared" ca="1" si="29"/>
        <v>VENCIDO</v>
      </c>
      <c r="AB287" s="1" t="str">
        <f t="shared" si="30"/>
        <v>Dosa</v>
      </c>
      <c r="AC287" s="2" t="str">
        <f t="shared" si="34"/>
        <v xml:space="preserve"> CRISTINA </v>
      </c>
      <c r="AD287" s="2">
        <f t="shared" si="31"/>
        <v>5</v>
      </c>
      <c r="AE287" s="2">
        <f t="shared" ca="1" si="32"/>
        <v>-274.9262716435187</v>
      </c>
      <c r="AF287" s="15"/>
    </row>
    <row r="288" spans="1:32" hidden="1">
      <c r="A288" s="1">
        <v>8622799</v>
      </c>
      <c r="B288" s="1" t="s">
        <v>27</v>
      </c>
      <c r="C288" t="s">
        <v>186</v>
      </c>
      <c r="E288" s="2">
        <v>7740206001</v>
      </c>
      <c r="F288" s="1" t="s">
        <v>29</v>
      </c>
      <c r="G288" s="1" t="s">
        <v>53</v>
      </c>
      <c r="H288" s="1" t="s">
        <v>187</v>
      </c>
      <c r="I288" s="1" t="s">
        <v>188</v>
      </c>
      <c r="J288" s="1" t="s">
        <v>46</v>
      </c>
      <c r="K288" t="s">
        <v>34</v>
      </c>
      <c r="M288" s="1" t="s">
        <v>35</v>
      </c>
      <c r="N288" s="1">
        <v>42318949</v>
      </c>
      <c r="O288" s="1" t="s">
        <v>105</v>
      </c>
      <c r="P288" s="11" t="s">
        <v>623</v>
      </c>
      <c r="R288" s="1" t="s">
        <v>38</v>
      </c>
      <c r="T288" s="1" t="s">
        <v>74</v>
      </c>
      <c r="U288" s="186">
        <v>44711.75</v>
      </c>
      <c r="V288" s="1" t="s">
        <v>41</v>
      </c>
      <c r="W288" s="1" t="s">
        <v>49</v>
      </c>
      <c r="X288" s="13" t="str">
        <f t="shared" si="33"/>
        <v>0007.74</v>
      </c>
      <c r="Y288" s="2">
        <f t="shared" ca="1" si="28"/>
        <v>198</v>
      </c>
      <c r="Z288" s="14">
        <v>1</v>
      </c>
      <c r="AA288" s="1" t="str">
        <f t="shared" ca="1" si="29"/>
        <v>VENCIDO</v>
      </c>
      <c r="AB288" s="1" t="str">
        <f t="shared" si="30"/>
        <v>Dosa</v>
      </c>
      <c r="AC288" s="2" t="str">
        <f t="shared" si="34"/>
        <v xml:space="preserve"> CLEITON </v>
      </c>
      <c r="AD288" s="2">
        <f t="shared" si="31"/>
        <v>5</v>
      </c>
      <c r="AE288" s="2">
        <f t="shared" ca="1" si="32"/>
        <v>-274.9262716435187</v>
      </c>
      <c r="AF288" s="15"/>
    </row>
    <row r="289" spans="1:32" hidden="1">
      <c r="A289" s="1">
        <v>8622790</v>
      </c>
      <c r="B289" s="1" t="s">
        <v>27</v>
      </c>
      <c r="C289" t="s">
        <v>186</v>
      </c>
      <c r="E289" s="2">
        <v>1664000206001</v>
      </c>
      <c r="F289" s="1" t="s">
        <v>29</v>
      </c>
      <c r="G289" s="1" t="s">
        <v>53</v>
      </c>
      <c r="H289" s="1" t="s">
        <v>307</v>
      </c>
      <c r="I289" s="1" t="s">
        <v>308</v>
      </c>
      <c r="J289" s="1" t="s">
        <v>164</v>
      </c>
      <c r="K289" t="s">
        <v>34</v>
      </c>
      <c r="M289" s="1" t="s">
        <v>35</v>
      </c>
      <c r="N289" s="1">
        <v>42318949</v>
      </c>
      <c r="O289" s="1" t="s">
        <v>105</v>
      </c>
      <c r="P289" s="11" t="s">
        <v>624</v>
      </c>
      <c r="R289" s="1" t="s">
        <v>38</v>
      </c>
      <c r="T289" s="1" t="s">
        <v>74</v>
      </c>
      <c r="U289" s="186">
        <v>44711.75</v>
      </c>
      <c r="V289" s="1" t="s">
        <v>41</v>
      </c>
      <c r="W289" s="1" t="s">
        <v>49</v>
      </c>
      <c r="X289" s="13" t="str">
        <f t="shared" si="33"/>
        <v/>
      </c>
      <c r="Y289" s="2">
        <f t="shared" ca="1" si="28"/>
        <v>198</v>
      </c>
      <c r="Z289" s="14">
        <v>1</v>
      </c>
      <c r="AA289" s="1" t="str">
        <f t="shared" ca="1" si="29"/>
        <v>VENCIDO</v>
      </c>
      <c r="AB289" s="1" t="str">
        <f t="shared" si="30"/>
        <v>Dosa</v>
      </c>
      <c r="AC289" s="2" t="str">
        <f t="shared" si="34"/>
        <v xml:space="preserve"> ROSEMERE </v>
      </c>
      <c r="AD289" s="2">
        <f t="shared" si="31"/>
        <v>5</v>
      </c>
      <c r="AE289" s="2">
        <f t="shared" ca="1" si="32"/>
        <v>-274.9262716435187</v>
      </c>
      <c r="AF289" s="15"/>
    </row>
    <row r="290" spans="1:32" hidden="1">
      <c r="A290" s="1">
        <v>8622781</v>
      </c>
      <c r="B290" s="1" t="s">
        <v>27</v>
      </c>
      <c r="C290" t="s">
        <v>186</v>
      </c>
      <c r="E290" s="2">
        <v>834000206001</v>
      </c>
      <c r="F290" s="1" t="s">
        <v>29</v>
      </c>
      <c r="G290" s="1" t="s">
        <v>53</v>
      </c>
      <c r="H290" s="1" t="s">
        <v>367</v>
      </c>
      <c r="I290" s="1" t="s">
        <v>368</v>
      </c>
      <c r="J290" s="1" t="s">
        <v>261</v>
      </c>
      <c r="K290" t="s">
        <v>34</v>
      </c>
      <c r="M290" s="1" t="s">
        <v>35</v>
      </c>
      <c r="N290" s="1">
        <v>42318949</v>
      </c>
      <c r="O290" s="1" t="s">
        <v>105</v>
      </c>
      <c r="P290" s="11" t="s">
        <v>625</v>
      </c>
      <c r="R290" s="1" t="s">
        <v>38</v>
      </c>
      <c r="T290" s="1" t="s">
        <v>74</v>
      </c>
      <c r="U290" s="186">
        <v>44711.75</v>
      </c>
      <c r="V290" s="1" t="s">
        <v>41</v>
      </c>
      <c r="W290" s="1" t="s">
        <v>49</v>
      </c>
      <c r="X290" s="13" t="str">
        <f t="shared" si="33"/>
        <v/>
      </c>
      <c r="Y290" s="2">
        <f t="shared" ca="1" si="28"/>
        <v>198</v>
      </c>
      <c r="Z290" s="14">
        <v>1</v>
      </c>
      <c r="AA290" s="1" t="str">
        <f t="shared" ca="1" si="29"/>
        <v>VENCIDO</v>
      </c>
      <c r="AB290" s="1" t="str">
        <f t="shared" si="30"/>
        <v>Dosa</v>
      </c>
      <c r="AC290" s="2" t="str">
        <f t="shared" si="34"/>
        <v xml:space="preserve"> CRISTINA </v>
      </c>
      <c r="AD290" s="2">
        <f t="shared" si="31"/>
        <v>5</v>
      </c>
      <c r="AE290" s="2">
        <f t="shared" ca="1" si="32"/>
        <v>-274.9262716435187</v>
      </c>
      <c r="AF290" s="15"/>
    </row>
    <row r="291" spans="1:32" hidden="1">
      <c r="A291" s="1">
        <v>8622757</v>
      </c>
      <c r="B291" s="1" t="s">
        <v>27</v>
      </c>
      <c r="C291" t="s">
        <v>186</v>
      </c>
      <c r="E291" s="2">
        <v>5740000206001</v>
      </c>
      <c r="F291" s="1" t="s">
        <v>29</v>
      </c>
      <c r="G291" s="1" t="s">
        <v>53</v>
      </c>
      <c r="H291" s="1" t="s">
        <v>626</v>
      </c>
      <c r="I291" s="1" t="s">
        <v>627</v>
      </c>
      <c r="J291" s="1" t="s">
        <v>46</v>
      </c>
      <c r="K291" t="s">
        <v>34</v>
      </c>
      <c r="M291" s="1" t="s">
        <v>35</v>
      </c>
      <c r="N291" s="1">
        <v>42318949</v>
      </c>
      <c r="O291" s="1" t="s">
        <v>105</v>
      </c>
      <c r="P291" s="11" t="s">
        <v>628</v>
      </c>
      <c r="R291" s="1" t="s">
        <v>38</v>
      </c>
      <c r="T291" s="1" t="s">
        <v>74</v>
      </c>
      <c r="U291" s="186">
        <v>44711.75</v>
      </c>
      <c r="V291" s="1" t="s">
        <v>41</v>
      </c>
      <c r="W291" s="1" t="s">
        <v>49</v>
      </c>
      <c r="X291" s="13" t="str">
        <f t="shared" si="33"/>
        <v/>
      </c>
      <c r="Y291" s="2">
        <f t="shared" ca="1" si="28"/>
        <v>198</v>
      </c>
      <c r="Z291" s="14">
        <v>1</v>
      </c>
      <c r="AA291" s="1" t="str">
        <f t="shared" ca="1" si="29"/>
        <v>VENCIDO</v>
      </c>
      <c r="AB291" s="1" t="str">
        <f t="shared" si="30"/>
        <v>Dosa</v>
      </c>
      <c r="AC291" s="2" t="str">
        <f t="shared" si="34"/>
        <v xml:space="preserve"> CLEITON </v>
      </c>
      <c r="AD291" s="2">
        <f t="shared" si="31"/>
        <v>5</v>
      </c>
      <c r="AE291" s="2">
        <f t="shared" ca="1" si="32"/>
        <v>-274.9262716435187</v>
      </c>
      <c r="AF291" s="15"/>
    </row>
    <row r="292" spans="1:32" hidden="1">
      <c r="A292" s="1">
        <v>8622462</v>
      </c>
      <c r="B292" s="1" t="s">
        <v>27</v>
      </c>
      <c r="C292" t="s">
        <v>186</v>
      </c>
      <c r="E292" s="2">
        <v>3234150206001</v>
      </c>
      <c r="F292" s="1" t="s">
        <v>29</v>
      </c>
      <c r="G292" s="1" t="s">
        <v>53</v>
      </c>
      <c r="H292" s="1" t="s">
        <v>629</v>
      </c>
      <c r="I292" s="1" t="s">
        <v>630</v>
      </c>
      <c r="J292" s="1" t="s">
        <v>46</v>
      </c>
      <c r="K292" t="s">
        <v>34</v>
      </c>
      <c r="M292" s="1" t="s">
        <v>35</v>
      </c>
      <c r="N292" s="1">
        <v>42318949</v>
      </c>
      <c r="O292" s="1" t="s">
        <v>105</v>
      </c>
      <c r="P292" s="11" t="s">
        <v>631</v>
      </c>
      <c r="R292" s="1" t="s">
        <v>38</v>
      </c>
      <c r="T292" s="1" t="s">
        <v>74</v>
      </c>
      <c r="U292" s="186">
        <v>44711.75</v>
      </c>
      <c r="V292" s="1" t="s">
        <v>41</v>
      </c>
      <c r="W292" s="1" t="s">
        <v>49</v>
      </c>
      <c r="X292" s="13" t="str">
        <f t="shared" si="33"/>
        <v>3234.15</v>
      </c>
      <c r="Y292" s="2">
        <f t="shared" ca="1" si="28"/>
        <v>198</v>
      </c>
      <c r="Z292" s="14">
        <v>1</v>
      </c>
      <c r="AA292" s="1" t="str">
        <f t="shared" ca="1" si="29"/>
        <v>VENCIDO</v>
      </c>
      <c r="AB292" s="1" t="str">
        <f t="shared" si="30"/>
        <v>Dosa</v>
      </c>
      <c r="AC292" s="2" t="str">
        <f t="shared" si="34"/>
        <v xml:space="preserve"> CLEITON </v>
      </c>
      <c r="AD292" s="2">
        <f t="shared" si="31"/>
        <v>5</v>
      </c>
      <c r="AE292" s="2">
        <f t="shared" ca="1" si="32"/>
        <v>-274.9262716435187</v>
      </c>
      <c r="AF292" s="15"/>
    </row>
    <row r="293" spans="1:32" hidden="1">
      <c r="A293" s="1">
        <v>8622404</v>
      </c>
      <c r="B293" s="1" t="s">
        <v>27</v>
      </c>
      <c r="C293" t="s">
        <v>186</v>
      </c>
      <c r="E293" s="2">
        <v>4235000206001</v>
      </c>
      <c r="F293" s="1" t="s">
        <v>29</v>
      </c>
      <c r="G293" s="1" t="s">
        <v>53</v>
      </c>
      <c r="H293" s="1" t="s">
        <v>291</v>
      </c>
      <c r="I293" s="1" t="s">
        <v>292</v>
      </c>
      <c r="J293" s="1" t="s">
        <v>46</v>
      </c>
      <c r="K293" t="s">
        <v>34</v>
      </c>
      <c r="M293" s="1" t="s">
        <v>35</v>
      </c>
      <c r="N293" s="1">
        <v>42318949</v>
      </c>
      <c r="O293" s="1" t="s">
        <v>105</v>
      </c>
      <c r="P293" s="11" t="s">
        <v>632</v>
      </c>
      <c r="R293" s="1" t="s">
        <v>38</v>
      </c>
      <c r="T293" s="1" t="s">
        <v>74</v>
      </c>
      <c r="U293" s="186">
        <v>44711.75</v>
      </c>
      <c r="V293" s="1" t="s">
        <v>41</v>
      </c>
      <c r="W293" s="1" t="s">
        <v>49</v>
      </c>
      <c r="X293" s="13" t="str">
        <f t="shared" si="33"/>
        <v/>
      </c>
      <c r="Y293" s="2">
        <f t="shared" ca="1" si="28"/>
        <v>198</v>
      </c>
      <c r="Z293" s="14">
        <v>1</v>
      </c>
      <c r="AA293" s="1" t="str">
        <f t="shared" ca="1" si="29"/>
        <v>VENCIDO</v>
      </c>
      <c r="AB293" s="1" t="str">
        <f t="shared" si="30"/>
        <v>Dosa</v>
      </c>
      <c r="AC293" s="2" t="str">
        <f t="shared" si="34"/>
        <v xml:space="preserve"> CLEITON </v>
      </c>
      <c r="AD293" s="2">
        <f t="shared" si="31"/>
        <v>5</v>
      </c>
      <c r="AE293" s="2">
        <f t="shared" ca="1" si="32"/>
        <v>-274.9262716435187</v>
      </c>
      <c r="AF293" s="15"/>
    </row>
    <row r="294" spans="1:32" hidden="1">
      <c r="A294" s="1">
        <v>8622376</v>
      </c>
      <c r="B294" s="1" t="s">
        <v>27</v>
      </c>
      <c r="C294" t="s">
        <v>186</v>
      </c>
      <c r="E294" s="2">
        <v>4357000206001</v>
      </c>
      <c r="F294" s="1" t="s">
        <v>29</v>
      </c>
      <c r="G294" s="1" t="s">
        <v>53</v>
      </c>
      <c r="H294" s="1" t="s">
        <v>633</v>
      </c>
      <c r="I294" s="1" t="s">
        <v>634</v>
      </c>
      <c r="J294" s="1" t="s">
        <v>46</v>
      </c>
      <c r="K294" t="s">
        <v>34</v>
      </c>
      <c r="M294" s="1" t="s">
        <v>35</v>
      </c>
      <c r="N294" s="1">
        <v>42318949</v>
      </c>
      <c r="O294" s="1" t="s">
        <v>36</v>
      </c>
      <c r="P294" s="11" t="s">
        <v>635</v>
      </c>
      <c r="R294" s="1" t="s">
        <v>38</v>
      </c>
      <c r="T294" s="1" t="s">
        <v>74</v>
      </c>
      <c r="U294" s="186">
        <v>44711.75</v>
      </c>
      <c r="V294" s="1" t="s">
        <v>41</v>
      </c>
      <c r="W294" s="1" t="s">
        <v>49</v>
      </c>
      <c r="X294" s="13" t="str">
        <f t="shared" si="33"/>
        <v/>
      </c>
      <c r="Y294" s="2">
        <f t="shared" ca="1" si="28"/>
        <v>198</v>
      </c>
      <c r="Z294" s="14">
        <v>1</v>
      </c>
      <c r="AA294" s="1" t="str">
        <f t="shared" ca="1" si="29"/>
        <v>VENCIDO</v>
      </c>
      <c r="AB294" s="1" t="str">
        <f t="shared" si="30"/>
        <v>Dosa</v>
      </c>
      <c r="AC294" s="2" t="str">
        <f t="shared" si="34"/>
        <v xml:space="preserve"> CLEITON </v>
      </c>
      <c r="AD294" s="2">
        <f t="shared" si="31"/>
        <v>5</v>
      </c>
      <c r="AE294" s="2">
        <f t="shared" ca="1" si="32"/>
        <v>-274.9262716435187</v>
      </c>
      <c r="AF294" s="15"/>
    </row>
    <row r="295" spans="1:32" hidden="1">
      <c r="A295" s="1">
        <v>8622369</v>
      </c>
      <c r="B295" s="1" t="s">
        <v>27</v>
      </c>
      <c r="C295" t="s">
        <v>186</v>
      </c>
      <c r="E295" s="2">
        <v>3243000206001</v>
      </c>
      <c r="F295" s="1" t="s">
        <v>29</v>
      </c>
      <c r="G295" s="1" t="s">
        <v>53</v>
      </c>
      <c r="H295" s="1" t="s">
        <v>282</v>
      </c>
      <c r="I295" s="1" t="s">
        <v>283</v>
      </c>
      <c r="J295" s="1" t="s">
        <v>46</v>
      </c>
      <c r="K295" t="s">
        <v>34</v>
      </c>
      <c r="M295" s="1" t="s">
        <v>35</v>
      </c>
      <c r="N295" s="1">
        <v>42318949</v>
      </c>
      <c r="O295" s="1" t="s">
        <v>105</v>
      </c>
      <c r="P295" s="11" t="s">
        <v>635</v>
      </c>
      <c r="R295" s="1" t="s">
        <v>38</v>
      </c>
      <c r="T295" s="1" t="s">
        <v>74</v>
      </c>
      <c r="U295" s="186">
        <v>44711.75</v>
      </c>
      <c r="V295" s="1" t="s">
        <v>41</v>
      </c>
      <c r="W295" s="1" t="s">
        <v>49</v>
      </c>
      <c r="X295" s="13" t="str">
        <f t="shared" si="33"/>
        <v/>
      </c>
      <c r="Y295" s="2">
        <f t="shared" ca="1" si="28"/>
        <v>198</v>
      </c>
      <c r="Z295" s="14">
        <v>1</v>
      </c>
      <c r="AA295" s="1" t="str">
        <f t="shared" ca="1" si="29"/>
        <v>VENCIDO</v>
      </c>
      <c r="AB295" s="1" t="str">
        <f t="shared" si="30"/>
        <v>Dosa</v>
      </c>
      <c r="AC295" s="2" t="str">
        <f t="shared" si="34"/>
        <v xml:space="preserve"> CLEITON </v>
      </c>
      <c r="AD295" s="2">
        <f t="shared" si="31"/>
        <v>5</v>
      </c>
      <c r="AE295" s="2">
        <f t="shared" ca="1" si="32"/>
        <v>-274.9262716435187</v>
      </c>
      <c r="AF295" s="15"/>
    </row>
    <row r="296" spans="1:32" hidden="1">
      <c r="A296" s="1">
        <v>8622191</v>
      </c>
      <c r="B296" s="1" t="s">
        <v>27</v>
      </c>
      <c r="C296" t="s">
        <v>186</v>
      </c>
      <c r="E296" s="2">
        <v>2988000206001</v>
      </c>
      <c r="F296" s="1" t="s">
        <v>29</v>
      </c>
      <c r="G296" s="1" t="s">
        <v>53</v>
      </c>
      <c r="H296" s="1" t="s">
        <v>536</v>
      </c>
      <c r="I296" s="1" t="s">
        <v>537</v>
      </c>
      <c r="J296" s="1" t="s">
        <v>46</v>
      </c>
      <c r="K296" t="s">
        <v>34</v>
      </c>
      <c r="M296" s="1" t="s">
        <v>35</v>
      </c>
      <c r="N296" s="1">
        <v>42318949</v>
      </c>
      <c r="O296" s="1" t="s">
        <v>105</v>
      </c>
      <c r="P296" s="11" t="s">
        <v>3429</v>
      </c>
      <c r="R296" s="1" t="s">
        <v>38</v>
      </c>
      <c r="T296" s="1" t="s">
        <v>74</v>
      </c>
      <c r="U296" s="186">
        <v>44711.75</v>
      </c>
      <c r="V296" s="1" t="s">
        <v>41</v>
      </c>
      <c r="W296" s="1" t="s">
        <v>49</v>
      </c>
      <c r="X296" s="13" t="str">
        <f t="shared" si="33"/>
        <v/>
      </c>
      <c r="Y296" s="2">
        <f t="shared" ca="1" si="28"/>
        <v>198</v>
      </c>
      <c r="Z296" s="14">
        <v>1</v>
      </c>
      <c r="AA296" s="1" t="str">
        <f t="shared" ca="1" si="29"/>
        <v>VENCIDO</v>
      </c>
      <c r="AB296" s="1" t="str">
        <f t="shared" si="30"/>
        <v>Dosa</v>
      </c>
      <c r="AC296" s="2" t="str">
        <f t="shared" si="34"/>
        <v xml:space="preserve"> CLEITON </v>
      </c>
      <c r="AD296" s="2">
        <f t="shared" si="31"/>
        <v>5</v>
      </c>
      <c r="AE296" s="2">
        <f t="shared" ca="1" si="32"/>
        <v>-274.9262716435187</v>
      </c>
      <c r="AF296" s="15"/>
    </row>
    <row r="297" spans="1:32" hidden="1">
      <c r="A297" s="1">
        <v>8622149</v>
      </c>
      <c r="B297" s="1" t="s">
        <v>27</v>
      </c>
      <c r="C297" t="s">
        <v>186</v>
      </c>
      <c r="E297" s="2">
        <v>3699000206001</v>
      </c>
      <c r="F297" s="1" t="s">
        <v>29</v>
      </c>
      <c r="G297" s="1" t="s">
        <v>53</v>
      </c>
      <c r="H297" s="1" t="s">
        <v>343</v>
      </c>
      <c r="I297" s="1" t="s">
        <v>344</v>
      </c>
      <c r="J297" s="1" t="s">
        <v>46</v>
      </c>
      <c r="K297" t="s">
        <v>34</v>
      </c>
      <c r="M297" s="1" t="s">
        <v>35</v>
      </c>
      <c r="N297" s="1">
        <v>42318949</v>
      </c>
      <c r="O297" s="1" t="s">
        <v>105</v>
      </c>
      <c r="P297" s="11" t="s">
        <v>3430</v>
      </c>
      <c r="R297" s="1" t="s">
        <v>38</v>
      </c>
      <c r="T297" s="1" t="s">
        <v>74</v>
      </c>
      <c r="U297" s="186">
        <v>44711.75</v>
      </c>
      <c r="V297" s="1" t="s">
        <v>41</v>
      </c>
      <c r="W297" s="1" t="s">
        <v>49</v>
      </c>
      <c r="X297" s="13" t="str">
        <f t="shared" si="33"/>
        <v/>
      </c>
      <c r="Y297" s="2">
        <f t="shared" ca="1" si="28"/>
        <v>198</v>
      </c>
      <c r="Z297" s="14">
        <v>1</v>
      </c>
      <c r="AA297" s="1" t="str">
        <f t="shared" ca="1" si="29"/>
        <v>VENCIDO</v>
      </c>
      <c r="AB297" s="1" t="str">
        <f t="shared" si="30"/>
        <v>Dosa</v>
      </c>
      <c r="AC297" s="2" t="str">
        <f t="shared" si="34"/>
        <v xml:space="preserve"> CLEITON </v>
      </c>
      <c r="AD297" s="2">
        <f t="shared" si="31"/>
        <v>5</v>
      </c>
      <c r="AE297" s="2">
        <f t="shared" ca="1" si="32"/>
        <v>-274.9262716435187</v>
      </c>
      <c r="AF297" s="15"/>
    </row>
    <row r="298" spans="1:32" hidden="1">
      <c r="A298" s="1">
        <v>8622140</v>
      </c>
      <c r="B298" s="1" t="s">
        <v>27</v>
      </c>
      <c r="C298" t="s">
        <v>186</v>
      </c>
      <c r="E298" s="2">
        <v>1833000206001</v>
      </c>
      <c r="F298" s="1" t="s">
        <v>29</v>
      </c>
      <c r="G298" s="1" t="s">
        <v>53</v>
      </c>
      <c r="H298" s="1" t="s">
        <v>369</v>
      </c>
      <c r="I298" s="1" t="s">
        <v>370</v>
      </c>
      <c r="J298" s="1" t="s">
        <v>46</v>
      </c>
      <c r="K298" t="s">
        <v>34</v>
      </c>
      <c r="M298" s="1" t="s">
        <v>35</v>
      </c>
      <c r="N298" s="1">
        <v>42318949</v>
      </c>
      <c r="O298" s="1" t="s">
        <v>105</v>
      </c>
      <c r="P298" s="11" t="s">
        <v>636</v>
      </c>
      <c r="R298" s="1" t="s">
        <v>38</v>
      </c>
      <c r="T298" s="1" t="s">
        <v>74</v>
      </c>
      <c r="U298" s="186">
        <v>44711.75</v>
      </c>
      <c r="V298" s="1" t="s">
        <v>41</v>
      </c>
      <c r="W298" s="1" t="s">
        <v>49</v>
      </c>
      <c r="X298" s="13" t="str">
        <f t="shared" si="33"/>
        <v/>
      </c>
      <c r="Y298" s="2">
        <f t="shared" ca="1" si="28"/>
        <v>198</v>
      </c>
      <c r="Z298" s="14">
        <v>1</v>
      </c>
      <c r="AA298" s="1" t="str">
        <f t="shared" ca="1" si="29"/>
        <v>VENCIDO</v>
      </c>
      <c r="AB298" s="1" t="str">
        <f t="shared" si="30"/>
        <v>Dosa</v>
      </c>
      <c r="AC298" s="2" t="str">
        <f t="shared" si="34"/>
        <v xml:space="preserve"> CLEITON </v>
      </c>
      <c r="AD298" s="2">
        <f t="shared" si="31"/>
        <v>5</v>
      </c>
      <c r="AE298" s="2">
        <f t="shared" ca="1" si="32"/>
        <v>-274.9262716435187</v>
      </c>
      <c r="AF298" s="15"/>
    </row>
    <row r="299" spans="1:32" hidden="1">
      <c r="A299" s="1">
        <v>8622104</v>
      </c>
      <c r="B299" s="1" t="s">
        <v>27</v>
      </c>
      <c r="C299" t="s">
        <v>186</v>
      </c>
      <c r="E299" s="2">
        <v>1838000206001</v>
      </c>
      <c r="F299" s="1" t="s">
        <v>29</v>
      </c>
      <c r="G299" s="1" t="s">
        <v>53</v>
      </c>
      <c r="H299" s="1" t="s">
        <v>357</v>
      </c>
      <c r="I299" s="1" t="s">
        <v>358</v>
      </c>
      <c r="J299" s="1" t="s">
        <v>46</v>
      </c>
      <c r="K299" t="s">
        <v>34</v>
      </c>
      <c r="M299" s="1" t="s">
        <v>35</v>
      </c>
      <c r="N299" s="1">
        <v>42318949</v>
      </c>
      <c r="O299" s="1" t="s">
        <v>36</v>
      </c>
      <c r="P299" s="11" t="s">
        <v>3431</v>
      </c>
      <c r="R299" s="1" t="s">
        <v>38</v>
      </c>
      <c r="T299" s="1" t="s">
        <v>74</v>
      </c>
      <c r="U299" s="186">
        <v>44711.75</v>
      </c>
      <c r="V299" s="1" t="s">
        <v>41</v>
      </c>
      <c r="W299" s="1" t="s">
        <v>49</v>
      </c>
      <c r="X299" s="13" t="str">
        <f t="shared" si="33"/>
        <v/>
      </c>
      <c r="Y299" s="2">
        <f t="shared" ca="1" si="28"/>
        <v>198</v>
      </c>
      <c r="Z299" s="14">
        <v>1</v>
      </c>
      <c r="AA299" s="1" t="str">
        <f t="shared" ca="1" si="29"/>
        <v>VENCIDO</v>
      </c>
      <c r="AB299" s="1" t="str">
        <f t="shared" si="30"/>
        <v>Dosa</v>
      </c>
      <c r="AC299" s="2" t="str">
        <f t="shared" si="34"/>
        <v xml:space="preserve"> CLEITON </v>
      </c>
      <c r="AD299" s="2">
        <f t="shared" si="31"/>
        <v>5</v>
      </c>
      <c r="AE299" s="2">
        <f t="shared" ca="1" si="32"/>
        <v>-274.9262716435187</v>
      </c>
      <c r="AF299" s="15"/>
    </row>
    <row r="300" spans="1:32" hidden="1">
      <c r="A300" s="1">
        <v>8627619</v>
      </c>
      <c r="B300" s="1" t="s">
        <v>27</v>
      </c>
      <c r="C300" t="s">
        <v>637</v>
      </c>
      <c r="E300" s="2">
        <v>9406000206001</v>
      </c>
      <c r="F300" s="1" t="s">
        <v>29</v>
      </c>
      <c r="G300" s="1" t="s">
        <v>53</v>
      </c>
      <c r="H300" s="1" t="s">
        <v>114</v>
      </c>
      <c r="I300" s="1" t="s">
        <v>115</v>
      </c>
      <c r="J300" s="1" t="s">
        <v>46</v>
      </c>
      <c r="K300" t="s">
        <v>34</v>
      </c>
      <c r="M300" s="1" t="s">
        <v>35</v>
      </c>
      <c r="N300" s="1">
        <v>42318949</v>
      </c>
      <c r="O300" s="1" t="s">
        <v>36</v>
      </c>
      <c r="P300" s="11" t="s">
        <v>638</v>
      </c>
      <c r="R300" s="1" t="s">
        <v>38</v>
      </c>
      <c r="T300" s="1" t="s">
        <v>74</v>
      </c>
      <c r="U300" s="11" t="s">
        <v>639</v>
      </c>
      <c r="V300" s="1" t="s">
        <v>41</v>
      </c>
      <c r="W300" s="1" t="s">
        <v>49</v>
      </c>
      <c r="X300" s="13" t="str">
        <f t="shared" si="33"/>
        <v/>
      </c>
      <c r="Y300" s="2">
        <f t="shared" ca="1" si="28"/>
        <v>197</v>
      </c>
      <c r="Z300" s="14">
        <v>1</v>
      </c>
      <c r="AA300" s="1" t="str">
        <f t="shared" ca="1" si="29"/>
        <v>VENCIDO</v>
      </c>
      <c r="AB300" s="1" t="str">
        <f t="shared" si="30"/>
        <v>Dosa</v>
      </c>
      <c r="AC300" s="2" t="str">
        <f t="shared" si="34"/>
        <v xml:space="preserve"> CLEITON </v>
      </c>
      <c r="AD300" s="2">
        <f t="shared" si="31"/>
        <v>5</v>
      </c>
      <c r="AE300" s="2">
        <f t="shared" ca="1" si="32"/>
        <v>-273.9262716435187</v>
      </c>
      <c r="AF300" s="15"/>
    </row>
    <row r="301" spans="1:32" hidden="1">
      <c r="A301" s="1">
        <v>8627312</v>
      </c>
      <c r="B301" s="1" t="s">
        <v>62</v>
      </c>
      <c r="C301" t="s">
        <v>640</v>
      </c>
      <c r="E301" s="2">
        <v>1902016423500</v>
      </c>
      <c r="F301" s="1" t="s">
        <v>64</v>
      </c>
      <c r="G301" s="1" t="s">
        <v>53</v>
      </c>
      <c r="H301" s="1" t="s">
        <v>291</v>
      </c>
      <c r="I301" s="1" t="s">
        <v>292</v>
      </c>
      <c r="J301" s="1" t="s">
        <v>46</v>
      </c>
      <c r="K301" t="s">
        <v>67</v>
      </c>
      <c r="M301" s="1" t="s">
        <v>35</v>
      </c>
      <c r="N301" s="1">
        <v>42318949</v>
      </c>
      <c r="O301" s="1" t="s">
        <v>36</v>
      </c>
      <c r="P301" s="11" t="s">
        <v>641</v>
      </c>
      <c r="R301" s="1">
        <v>1</v>
      </c>
      <c r="T301" s="1" t="s">
        <v>69</v>
      </c>
      <c r="U301" s="11" t="s">
        <v>642</v>
      </c>
      <c r="V301" s="1" t="s">
        <v>41</v>
      </c>
      <c r="W301" s="1" t="s">
        <v>49</v>
      </c>
      <c r="X301" s="13" t="str">
        <f t="shared" si="33"/>
        <v/>
      </c>
      <c r="Y301" s="2">
        <f t="shared" ca="1" si="28"/>
        <v>197</v>
      </c>
      <c r="Z301" s="14">
        <v>1</v>
      </c>
      <c r="AA301" s="1" t="str">
        <f t="shared" ca="1" si="29"/>
        <v>VENCIDO</v>
      </c>
      <c r="AB301" s="1" t="str">
        <f t="shared" si="30"/>
        <v>TAAe+</v>
      </c>
      <c r="AC301" s="2" t="str">
        <f t="shared" si="34"/>
        <v xml:space="preserve"> CLEITON </v>
      </c>
      <c r="AD301" s="2">
        <f t="shared" si="31"/>
        <v>8</v>
      </c>
      <c r="AE301" s="2">
        <f t="shared" ca="1" si="32"/>
        <v>-273.05294988425885</v>
      </c>
      <c r="AF301" s="15"/>
    </row>
    <row r="302" spans="1:32" hidden="1">
      <c r="A302" s="1">
        <v>8646759</v>
      </c>
      <c r="B302" s="1" t="s">
        <v>101</v>
      </c>
      <c r="C302" t="s">
        <v>643</v>
      </c>
      <c r="D302" s="2">
        <v>220097008</v>
      </c>
      <c r="E302" s="2">
        <v>1362001400040</v>
      </c>
      <c r="F302" s="1" t="s">
        <v>644</v>
      </c>
      <c r="G302" s="1" t="s">
        <v>53</v>
      </c>
      <c r="H302" s="1" t="s">
        <v>268</v>
      </c>
      <c r="I302" s="1" t="s">
        <v>269</v>
      </c>
      <c r="J302" s="1" t="s">
        <v>90</v>
      </c>
      <c r="K302" t="s">
        <v>645</v>
      </c>
      <c r="M302" s="1" t="s">
        <v>58</v>
      </c>
      <c r="N302" s="1">
        <v>0</v>
      </c>
      <c r="O302" s="1" t="s">
        <v>105</v>
      </c>
      <c r="P302" s="186">
        <v>44713.458472222221</v>
      </c>
      <c r="R302" s="1">
        <v>3</v>
      </c>
      <c r="T302" s="1" t="s">
        <v>646</v>
      </c>
      <c r="U302" s="186">
        <v>44714.458472222221</v>
      </c>
      <c r="V302" s="1" t="s">
        <v>41</v>
      </c>
      <c r="W302" s="1" t="s">
        <v>49</v>
      </c>
      <c r="X302" s="13" t="str">
        <f t="shared" si="33"/>
        <v/>
      </c>
      <c r="Y302" s="2">
        <f t="shared" ca="1" si="28"/>
        <v>196</v>
      </c>
      <c r="Z302" s="14">
        <v>1</v>
      </c>
      <c r="AA302" s="1" t="str">
        <f t="shared" ca="1" si="29"/>
        <v>VENCIDO</v>
      </c>
      <c r="AB302" s="1" t="str">
        <f t="shared" si="30"/>
        <v>SL-On</v>
      </c>
      <c r="AC302" s="2" t="str">
        <f t="shared" si="34"/>
        <v xml:space="preserve"> RINALDO </v>
      </c>
      <c r="AD302" s="2">
        <f t="shared" si="31"/>
        <v>1</v>
      </c>
      <c r="AE302" s="2">
        <f t="shared" ca="1" si="32"/>
        <v>-272.21779942129797</v>
      </c>
      <c r="AF302" s="15"/>
    </row>
    <row r="303" spans="1:32" hidden="1">
      <c r="A303" s="1">
        <v>8645931</v>
      </c>
      <c r="B303" s="1" t="s">
        <v>101</v>
      </c>
      <c r="C303" t="s">
        <v>643</v>
      </c>
      <c r="D303" s="2">
        <v>220095864</v>
      </c>
      <c r="E303" s="2">
        <v>1120011400030</v>
      </c>
      <c r="F303" s="1" t="s">
        <v>647</v>
      </c>
      <c r="G303" s="1" t="s">
        <v>53</v>
      </c>
      <c r="H303" s="1" t="s">
        <v>648</v>
      </c>
      <c r="I303" s="1" t="s">
        <v>649</v>
      </c>
      <c r="J303" s="1" t="s">
        <v>164</v>
      </c>
      <c r="K303" t="s">
        <v>650</v>
      </c>
      <c r="M303" s="1" t="s">
        <v>58</v>
      </c>
      <c r="N303" s="1">
        <v>0</v>
      </c>
      <c r="O303" s="1" t="s">
        <v>105</v>
      </c>
      <c r="P303" s="186">
        <v>44713.426041666666</v>
      </c>
      <c r="R303" s="1">
        <v>4</v>
      </c>
      <c r="T303" s="1" t="s">
        <v>646</v>
      </c>
      <c r="U303" s="186">
        <v>44714.426053240742</v>
      </c>
      <c r="V303" s="1" t="s">
        <v>41</v>
      </c>
      <c r="W303" s="1" t="s">
        <v>49</v>
      </c>
      <c r="X303" s="13" t="str">
        <f t="shared" si="33"/>
        <v>1120.01</v>
      </c>
      <c r="Y303" s="2">
        <f t="shared" ca="1" si="28"/>
        <v>196</v>
      </c>
      <c r="Z303" s="14">
        <v>1</v>
      </c>
      <c r="AA303" s="1" t="str">
        <f t="shared" ca="1" si="29"/>
        <v>VENCIDO</v>
      </c>
      <c r="AB303" s="1" t="str">
        <f t="shared" si="30"/>
        <v>C-14</v>
      </c>
      <c r="AC303" s="2" t="str">
        <f t="shared" si="34"/>
        <v xml:space="preserve"> ROSEMERE </v>
      </c>
      <c r="AD303" s="2">
        <f t="shared" si="31"/>
        <v>15</v>
      </c>
      <c r="AE303" s="2">
        <f t="shared" ca="1" si="32"/>
        <v>-272.25021840277623</v>
      </c>
      <c r="AF303" s="15"/>
    </row>
    <row r="304" spans="1:32" hidden="1">
      <c r="A304" s="1">
        <v>8645897</v>
      </c>
      <c r="B304" s="1" t="s">
        <v>653</v>
      </c>
      <c r="C304" t="s">
        <v>654</v>
      </c>
      <c r="E304" s="2">
        <v>325001400040</v>
      </c>
      <c r="F304" s="1" t="s">
        <v>644</v>
      </c>
      <c r="G304" s="1" t="s">
        <v>53</v>
      </c>
      <c r="H304" s="1" t="s">
        <v>345</v>
      </c>
      <c r="I304" s="1" t="s">
        <v>346</v>
      </c>
      <c r="J304" s="1" t="s">
        <v>46</v>
      </c>
      <c r="K304" t="s">
        <v>645</v>
      </c>
      <c r="M304" s="1" t="s">
        <v>58</v>
      </c>
      <c r="N304" s="1">
        <v>0</v>
      </c>
      <c r="O304" s="1" t="s">
        <v>105</v>
      </c>
      <c r="P304" s="186">
        <v>44713.425162037034</v>
      </c>
      <c r="R304" s="1">
        <v>3</v>
      </c>
      <c r="T304" s="1" t="s">
        <v>646</v>
      </c>
      <c r="U304" s="186">
        <v>44714.425162037034</v>
      </c>
      <c r="V304" s="1" t="s">
        <v>41</v>
      </c>
      <c r="W304" s="1" t="s">
        <v>49</v>
      </c>
      <c r="X304" s="13" t="str">
        <f t="shared" si="33"/>
        <v/>
      </c>
      <c r="Y304" s="2">
        <f t="shared" ca="1" si="28"/>
        <v>196</v>
      </c>
      <c r="Z304" s="14">
        <v>1</v>
      </c>
      <c r="AA304" s="1" t="str">
        <f t="shared" ca="1" si="29"/>
        <v>VENCIDO</v>
      </c>
      <c r="AB304" s="1" t="str">
        <f t="shared" si="30"/>
        <v>SL-On</v>
      </c>
      <c r="AC304" s="2" t="str">
        <f t="shared" si="34"/>
        <v xml:space="preserve"> CLEITON </v>
      </c>
      <c r="AD304" s="2">
        <f t="shared" si="31"/>
        <v>1</v>
      </c>
      <c r="AE304" s="2">
        <f t="shared" ca="1" si="32"/>
        <v>-272.25110960648453</v>
      </c>
      <c r="AF304" s="15"/>
    </row>
    <row r="305" spans="1:32" hidden="1">
      <c r="A305" s="1">
        <v>8645870</v>
      </c>
      <c r="B305" s="1" t="s">
        <v>653</v>
      </c>
      <c r="C305" t="s">
        <v>654</v>
      </c>
      <c r="E305" s="2">
        <v>8573001400040</v>
      </c>
      <c r="F305" s="1" t="s">
        <v>644</v>
      </c>
      <c r="G305" s="1" t="s">
        <v>53</v>
      </c>
      <c r="H305" s="1" t="s">
        <v>657</v>
      </c>
      <c r="I305" s="1" t="s">
        <v>658</v>
      </c>
      <c r="J305" s="1" t="s">
        <v>33</v>
      </c>
      <c r="K305" t="s">
        <v>645</v>
      </c>
      <c r="M305" s="1" t="s">
        <v>58</v>
      </c>
      <c r="N305" s="1">
        <v>0</v>
      </c>
      <c r="O305" s="1" t="s">
        <v>105</v>
      </c>
      <c r="P305" s="186">
        <v>44713.425081018519</v>
      </c>
      <c r="R305" s="1">
        <v>3</v>
      </c>
      <c r="T305" s="1" t="s">
        <v>646</v>
      </c>
      <c r="U305" s="186">
        <v>44714.425081018519</v>
      </c>
      <c r="V305" s="1" t="s">
        <v>41</v>
      </c>
      <c r="W305" s="1" t="s">
        <v>49</v>
      </c>
      <c r="X305" s="13" t="str">
        <f t="shared" si="33"/>
        <v/>
      </c>
      <c r="Y305" s="2">
        <f t="shared" ca="1" si="28"/>
        <v>196</v>
      </c>
      <c r="Z305" s="14">
        <v>1</v>
      </c>
      <c r="AA305" s="1" t="str">
        <f t="shared" ca="1" si="29"/>
        <v>VENCIDO</v>
      </c>
      <c r="AB305" s="1" t="str">
        <f t="shared" si="30"/>
        <v>SL-On</v>
      </c>
      <c r="AC305" s="2" t="str">
        <f t="shared" si="34"/>
        <v xml:space="preserve"> ROSEMERE </v>
      </c>
      <c r="AD305" s="2">
        <f t="shared" si="31"/>
        <v>1</v>
      </c>
      <c r="AE305" s="2">
        <f t="shared" ca="1" si="32"/>
        <v>-272.25119062500016</v>
      </c>
      <c r="AF305" s="15"/>
    </row>
    <row r="306" spans="1:32" hidden="1">
      <c r="A306" s="1">
        <v>8645811</v>
      </c>
      <c r="B306" s="1" t="s">
        <v>653</v>
      </c>
      <c r="C306" t="s">
        <v>654</v>
      </c>
      <c r="E306" s="2">
        <v>8973001400040</v>
      </c>
      <c r="F306" s="1" t="s">
        <v>644</v>
      </c>
      <c r="G306" s="1" t="s">
        <v>53</v>
      </c>
      <c r="H306" s="1" t="s">
        <v>661</v>
      </c>
      <c r="I306" s="1" t="s">
        <v>662</v>
      </c>
      <c r="J306" s="1" t="s">
        <v>46</v>
      </c>
      <c r="K306" t="s">
        <v>645</v>
      </c>
      <c r="M306" s="1" t="s">
        <v>58</v>
      </c>
      <c r="N306" s="1">
        <v>0</v>
      </c>
      <c r="O306" s="1" t="s">
        <v>105</v>
      </c>
      <c r="P306" s="186">
        <v>44713.425011574072</v>
      </c>
      <c r="R306" s="1">
        <v>3</v>
      </c>
      <c r="T306" s="1" t="s">
        <v>646</v>
      </c>
      <c r="U306" s="186">
        <v>44714.425011574072</v>
      </c>
      <c r="V306" s="1" t="s">
        <v>41</v>
      </c>
      <c r="W306" s="1" t="s">
        <v>49</v>
      </c>
      <c r="X306" s="13" t="str">
        <f t="shared" si="33"/>
        <v/>
      </c>
      <c r="Y306" s="2">
        <f t="shared" ca="1" si="28"/>
        <v>196</v>
      </c>
      <c r="Z306" s="14">
        <v>1</v>
      </c>
      <c r="AA306" s="1" t="str">
        <f t="shared" ca="1" si="29"/>
        <v>VENCIDO</v>
      </c>
      <c r="AB306" s="1" t="str">
        <f t="shared" si="30"/>
        <v>SL-On</v>
      </c>
      <c r="AC306" s="2" t="str">
        <f t="shared" si="34"/>
        <v xml:space="preserve"> CLEITON </v>
      </c>
      <c r="AD306" s="2">
        <f t="shared" si="31"/>
        <v>1</v>
      </c>
      <c r="AE306" s="2">
        <f t="shared" ca="1" si="32"/>
        <v>-272.25126006944629</v>
      </c>
      <c r="AF306" s="15"/>
    </row>
    <row r="307" spans="1:32" hidden="1">
      <c r="A307" s="1">
        <v>8645204</v>
      </c>
      <c r="B307" s="1" t="s">
        <v>653</v>
      </c>
      <c r="C307" t="s">
        <v>654</v>
      </c>
      <c r="E307" s="2">
        <v>5898001400040</v>
      </c>
      <c r="F307" s="1" t="s">
        <v>644</v>
      </c>
      <c r="G307" s="1" t="s">
        <v>53</v>
      </c>
      <c r="H307" s="1" t="s">
        <v>365</v>
      </c>
      <c r="I307" s="1" t="s">
        <v>366</v>
      </c>
      <c r="J307" s="1" t="s">
        <v>164</v>
      </c>
      <c r="K307" t="s">
        <v>645</v>
      </c>
      <c r="M307" s="1" t="s">
        <v>58</v>
      </c>
      <c r="N307" s="1">
        <v>0</v>
      </c>
      <c r="O307" s="1" t="s">
        <v>105</v>
      </c>
      <c r="P307" s="186">
        <v>44713.423518518517</v>
      </c>
      <c r="R307" s="1">
        <v>2</v>
      </c>
      <c r="T307" s="1" t="s">
        <v>646</v>
      </c>
      <c r="U307" s="186">
        <v>44714.423518518517</v>
      </c>
      <c r="V307" s="1" t="s">
        <v>41</v>
      </c>
      <c r="W307" s="1" t="s">
        <v>49</v>
      </c>
      <c r="X307" s="13" t="str">
        <f t="shared" si="33"/>
        <v/>
      </c>
      <c r="Y307" s="2">
        <f t="shared" ca="1" si="28"/>
        <v>196</v>
      </c>
      <c r="Z307" s="14">
        <v>1</v>
      </c>
      <c r="AA307" s="1" t="str">
        <f t="shared" ca="1" si="29"/>
        <v>VENCIDO</v>
      </c>
      <c r="AB307" s="1" t="str">
        <f t="shared" si="30"/>
        <v>SL-On</v>
      </c>
      <c r="AC307" s="2" t="str">
        <f t="shared" si="34"/>
        <v xml:space="preserve"> ROSEMERE </v>
      </c>
      <c r="AD307" s="2">
        <f t="shared" si="31"/>
        <v>1</v>
      </c>
      <c r="AE307" s="2">
        <f t="shared" ca="1" si="32"/>
        <v>-272.25275312500162</v>
      </c>
      <c r="AF307" s="15"/>
    </row>
    <row r="308" spans="1:32" hidden="1">
      <c r="A308" s="1">
        <v>8645133</v>
      </c>
      <c r="B308" s="1" t="s">
        <v>653</v>
      </c>
      <c r="C308" t="s">
        <v>654</v>
      </c>
      <c r="E308" s="2">
        <v>5742001400040</v>
      </c>
      <c r="F308" s="1" t="s">
        <v>644</v>
      </c>
      <c r="G308" s="1" t="s">
        <v>53</v>
      </c>
      <c r="H308" s="1" t="s">
        <v>430</v>
      </c>
      <c r="I308" s="1" t="s">
        <v>431</v>
      </c>
      <c r="J308" s="1" t="s">
        <v>79</v>
      </c>
      <c r="K308" t="s">
        <v>645</v>
      </c>
      <c r="M308" s="1" t="s">
        <v>58</v>
      </c>
      <c r="N308" s="1">
        <v>0</v>
      </c>
      <c r="O308" s="1" t="s">
        <v>105</v>
      </c>
      <c r="P308" s="186">
        <v>44713.423067129632</v>
      </c>
      <c r="R308" s="1">
        <v>2</v>
      </c>
      <c r="T308" s="1" t="s">
        <v>646</v>
      </c>
      <c r="U308" s="186">
        <v>44714.423067129632</v>
      </c>
      <c r="V308" s="1" t="s">
        <v>41</v>
      </c>
      <c r="W308" s="1" t="s">
        <v>49</v>
      </c>
      <c r="X308" s="13" t="str">
        <f t="shared" si="33"/>
        <v/>
      </c>
      <c r="Y308" s="2">
        <f t="shared" ca="1" si="28"/>
        <v>196</v>
      </c>
      <c r="Z308" s="14">
        <v>1</v>
      </c>
      <c r="AA308" s="1" t="str">
        <f t="shared" ca="1" si="29"/>
        <v>VENCIDO</v>
      </c>
      <c r="AB308" s="1" t="str">
        <f t="shared" si="30"/>
        <v>SL-On</v>
      </c>
      <c r="AC308" s="2" t="str">
        <f t="shared" si="34"/>
        <v xml:space="preserve"> ROSEMERE </v>
      </c>
      <c r="AD308" s="2">
        <f t="shared" si="31"/>
        <v>1</v>
      </c>
      <c r="AE308" s="2">
        <f t="shared" ca="1" si="32"/>
        <v>-272.25320451388689</v>
      </c>
      <c r="AF308" s="15"/>
    </row>
    <row r="309" spans="1:32" hidden="1">
      <c r="A309" s="1">
        <v>8644779</v>
      </c>
      <c r="B309" s="1" t="s">
        <v>653</v>
      </c>
      <c r="C309" t="s">
        <v>654</v>
      </c>
      <c r="E309" s="2">
        <v>4623001400040</v>
      </c>
      <c r="F309" s="1" t="s">
        <v>644</v>
      </c>
      <c r="G309" s="1" t="s">
        <v>53</v>
      </c>
      <c r="H309" s="1" t="s">
        <v>669</v>
      </c>
      <c r="I309" s="1" t="s">
        <v>670</v>
      </c>
      <c r="J309" s="1" t="s">
        <v>33</v>
      </c>
      <c r="K309" t="s">
        <v>645</v>
      </c>
      <c r="M309" s="1" t="s">
        <v>58</v>
      </c>
      <c r="N309" s="1">
        <v>0</v>
      </c>
      <c r="O309" s="1" t="s">
        <v>105</v>
      </c>
      <c r="P309" s="186">
        <v>44713.421817129631</v>
      </c>
      <c r="R309" s="1">
        <v>2</v>
      </c>
      <c r="T309" s="1" t="s">
        <v>646</v>
      </c>
      <c r="U309" s="186">
        <v>44714.421817129631</v>
      </c>
      <c r="V309" s="1" t="s">
        <v>41</v>
      </c>
      <c r="W309" s="1" t="s">
        <v>42</v>
      </c>
      <c r="X309" s="13" t="str">
        <f t="shared" si="33"/>
        <v/>
      </c>
      <c r="Y309" s="2">
        <f t="shared" ca="1" si="28"/>
        <v>196</v>
      </c>
      <c r="Z309" s="14">
        <v>1</v>
      </c>
      <c r="AA309" s="1" t="str">
        <f t="shared" ca="1" si="29"/>
        <v>VENCIDO</v>
      </c>
      <c r="AB309" s="1" t="str">
        <f t="shared" si="30"/>
        <v>SL-On</v>
      </c>
      <c r="AC309" s="2" t="str">
        <f t="shared" si="34"/>
        <v xml:space="preserve"> ROSEMERE </v>
      </c>
      <c r="AD309" s="2">
        <f t="shared" si="31"/>
        <v>1</v>
      </c>
      <c r="AE309" s="2">
        <f t="shared" ca="1" si="32"/>
        <v>-272.25445451388805</v>
      </c>
      <c r="AF309" s="15"/>
    </row>
    <row r="310" spans="1:32" hidden="1">
      <c r="A310" s="1">
        <v>8644587</v>
      </c>
      <c r="B310" s="1" t="s">
        <v>653</v>
      </c>
      <c r="C310" t="s">
        <v>654</v>
      </c>
      <c r="E310" s="2">
        <v>4357001400040</v>
      </c>
      <c r="F310" s="1" t="s">
        <v>644</v>
      </c>
      <c r="G310" s="1" t="s">
        <v>53</v>
      </c>
      <c r="H310" s="1" t="s">
        <v>633</v>
      </c>
      <c r="I310" s="1" t="s">
        <v>634</v>
      </c>
      <c r="J310" s="1" t="s">
        <v>46</v>
      </c>
      <c r="K310" t="s">
        <v>645</v>
      </c>
      <c r="M310" s="1" t="s">
        <v>58</v>
      </c>
      <c r="N310" s="1">
        <v>0</v>
      </c>
      <c r="O310" s="1" t="s">
        <v>105</v>
      </c>
      <c r="P310" s="186">
        <v>44713.421180555553</v>
      </c>
      <c r="R310" s="1">
        <v>2</v>
      </c>
      <c r="T310" s="1" t="s">
        <v>646</v>
      </c>
      <c r="U310" s="186">
        <v>44714.421180555553</v>
      </c>
      <c r="V310" s="1" t="s">
        <v>41</v>
      </c>
      <c r="W310" s="1" t="s">
        <v>49</v>
      </c>
      <c r="X310" s="13" t="str">
        <f t="shared" si="33"/>
        <v/>
      </c>
      <c r="Y310" s="2">
        <f t="shared" ca="1" si="28"/>
        <v>196</v>
      </c>
      <c r="Z310" s="14">
        <v>1</v>
      </c>
      <c r="AA310" s="1" t="str">
        <f t="shared" ca="1" si="29"/>
        <v>VENCIDO</v>
      </c>
      <c r="AB310" s="1" t="str">
        <f t="shared" si="30"/>
        <v>SL-On</v>
      </c>
      <c r="AC310" s="2" t="str">
        <f t="shared" si="34"/>
        <v xml:space="preserve"> CLEITON </v>
      </c>
      <c r="AD310" s="2">
        <f t="shared" si="31"/>
        <v>1</v>
      </c>
      <c r="AE310" s="2">
        <f t="shared" ca="1" si="32"/>
        <v>-272.25509108796541</v>
      </c>
      <c r="AF310" s="15"/>
    </row>
    <row r="311" spans="1:32" hidden="1">
      <c r="A311" s="1">
        <v>8644506</v>
      </c>
      <c r="B311" s="1" t="s">
        <v>653</v>
      </c>
      <c r="C311" t="s">
        <v>654</v>
      </c>
      <c r="E311" s="2">
        <v>4235001400040</v>
      </c>
      <c r="F311" s="1" t="s">
        <v>644</v>
      </c>
      <c r="G311" s="1" t="s">
        <v>53</v>
      </c>
      <c r="H311" s="1" t="s">
        <v>291</v>
      </c>
      <c r="I311" s="1" t="s">
        <v>292</v>
      </c>
      <c r="J311" s="1" t="s">
        <v>46</v>
      </c>
      <c r="K311" t="s">
        <v>645</v>
      </c>
      <c r="M311" s="1" t="s">
        <v>58</v>
      </c>
      <c r="N311" s="1">
        <v>0</v>
      </c>
      <c r="O311" s="1" t="s">
        <v>105</v>
      </c>
      <c r="P311" s="186">
        <v>44713.420949074076</v>
      </c>
      <c r="R311" s="1">
        <v>2</v>
      </c>
      <c r="T311" s="1" t="s">
        <v>646</v>
      </c>
      <c r="U311" s="186">
        <v>44714.420949074076</v>
      </c>
      <c r="V311" s="1" t="s">
        <v>41</v>
      </c>
      <c r="W311" s="1" t="s">
        <v>49</v>
      </c>
      <c r="X311" s="13" t="str">
        <f t="shared" si="33"/>
        <v/>
      </c>
      <c r="Y311" s="2">
        <f t="shared" ca="1" si="28"/>
        <v>196</v>
      </c>
      <c r="Z311" s="14">
        <v>1</v>
      </c>
      <c r="AA311" s="1" t="str">
        <f t="shared" ca="1" si="29"/>
        <v>VENCIDO</v>
      </c>
      <c r="AB311" s="1" t="str">
        <f t="shared" si="30"/>
        <v>SL-On</v>
      </c>
      <c r="AC311" s="2" t="str">
        <f t="shared" si="34"/>
        <v xml:space="preserve"> CLEITON </v>
      </c>
      <c r="AD311" s="2">
        <f t="shared" si="31"/>
        <v>1</v>
      </c>
      <c r="AE311" s="2">
        <f t="shared" ca="1" si="32"/>
        <v>-272.2553225694428</v>
      </c>
      <c r="AF311" s="15"/>
    </row>
    <row r="312" spans="1:32" hidden="1">
      <c r="A312" s="1">
        <v>8644094</v>
      </c>
      <c r="B312" s="1" t="s">
        <v>653</v>
      </c>
      <c r="C312" t="s">
        <v>654</v>
      </c>
      <c r="E312" s="2">
        <v>3699001400040</v>
      </c>
      <c r="F312" s="1" t="s">
        <v>644</v>
      </c>
      <c r="G312" s="1" t="s">
        <v>53</v>
      </c>
      <c r="H312" s="1" t="s">
        <v>343</v>
      </c>
      <c r="I312" s="1" t="s">
        <v>344</v>
      </c>
      <c r="J312" s="1" t="s">
        <v>46</v>
      </c>
      <c r="K312" t="s">
        <v>645</v>
      </c>
      <c r="M312" s="1" t="s">
        <v>58</v>
      </c>
      <c r="N312" s="1">
        <v>0</v>
      </c>
      <c r="O312" s="1" t="s">
        <v>105</v>
      </c>
      <c r="P312" s="186">
        <v>44713.419710648152</v>
      </c>
      <c r="R312" s="1">
        <v>2</v>
      </c>
      <c r="T312" s="1" t="s">
        <v>646</v>
      </c>
      <c r="U312" s="186">
        <v>44714.419710648152</v>
      </c>
      <c r="V312" s="1" t="s">
        <v>41</v>
      </c>
      <c r="W312" s="1" t="s">
        <v>49</v>
      </c>
      <c r="X312" s="13" t="str">
        <f t="shared" si="33"/>
        <v/>
      </c>
      <c r="Y312" s="2">
        <f t="shared" ca="1" si="28"/>
        <v>196</v>
      </c>
      <c r="Z312" s="14">
        <v>1</v>
      </c>
      <c r="AA312" s="1" t="str">
        <f t="shared" ca="1" si="29"/>
        <v>VENCIDO</v>
      </c>
      <c r="AB312" s="1" t="str">
        <f t="shared" si="30"/>
        <v>SL-On</v>
      </c>
      <c r="AC312" s="2" t="str">
        <f t="shared" si="34"/>
        <v xml:space="preserve"> CLEITON </v>
      </c>
      <c r="AD312" s="2">
        <f t="shared" si="31"/>
        <v>1</v>
      </c>
      <c r="AE312" s="2">
        <f t="shared" ca="1" si="32"/>
        <v>-272.25656099536718</v>
      </c>
      <c r="AF312" s="15"/>
    </row>
    <row r="313" spans="1:32" hidden="1">
      <c r="A313" s="1">
        <v>8644017</v>
      </c>
      <c r="B313" s="1" t="s">
        <v>653</v>
      </c>
      <c r="C313" t="s">
        <v>654</v>
      </c>
      <c r="E313" s="2">
        <v>3613001400040</v>
      </c>
      <c r="F313" s="1" t="s">
        <v>644</v>
      </c>
      <c r="G313" s="1" t="s">
        <v>53</v>
      </c>
      <c r="H313" s="1" t="s">
        <v>679</v>
      </c>
      <c r="I313" s="1" t="s">
        <v>680</v>
      </c>
      <c r="J313" s="1" t="s">
        <v>46</v>
      </c>
      <c r="K313" t="s">
        <v>645</v>
      </c>
      <c r="M313" s="1" t="s">
        <v>58</v>
      </c>
      <c r="N313" s="1">
        <v>0</v>
      </c>
      <c r="O313" s="1" t="s">
        <v>105</v>
      </c>
      <c r="P313" s="186">
        <v>44713.419398148151</v>
      </c>
      <c r="R313" s="1">
        <v>3</v>
      </c>
      <c r="T313" s="1" t="s">
        <v>646</v>
      </c>
      <c r="U313" s="186">
        <v>44714.419398148151</v>
      </c>
      <c r="V313" s="1" t="s">
        <v>41</v>
      </c>
      <c r="W313" s="1" t="s">
        <v>49</v>
      </c>
      <c r="X313" s="13" t="str">
        <f t="shared" si="33"/>
        <v/>
      </c>
      <c r="Y313" s="2">
        <f t="shared" ca="1" si="28"/>
        <v>196</v>
      </c>
      <c r="Z313" s="14">
        <v>1</v>
      </c>
      <c r="AA313" s="1" t="str">
        <f t="shared" ca="1" si="29"/>
        <v>VENCIDO</v>
      </c>
      <c r="AB313" s="1" t="str">
        <f t="shared" si="30"/>
        <v>SL-On</v>
      </c>
      <c r="AC313" s="2" t="str">
        <f t="shared" si="34"/>
        <v xml:space="preserve"> CLEITON </v>
      </c>
      <c r="AD313" s="2">
        <f t="shared" si="31"/>
        <v>1</v>
      </c>
      <c r="AE313" s="2">
        <f t="shared" ca="1" si="32"/>
        <v>-272.25687349536747</v>
      </c>
      <c r="AF313" s="15"/>
    </row>
    <row r="314" spans="1:32" hidden="1">
      <c r="A314" s="1">
        <v>8644016</v>
      </c>
      <c r="B314" s="1" t="s">
        <v>653</v>
      </c>
      <c r="C314" t="s">
        <v>654</v>
      </c>
      <c r="E314" s="2">
        <v>3612001400040</v>
      </c>
      <c r="F314" s="1" t="s">
        <v>644</v>
      </c>
      <c r="G314" s="1" t="s">
        <v>53</v>
      </c>
      <c r="H314" s="1" t="s">
        <v>683</v>
      </c>
      <c r="I314" s="1" t="s">
        <v>684</v>
      </c>
      <c r="J314" s="1" t="s">
        <v>46</v>
      </c>
      <c r="K314" t="s">
        <v>645</v>
      </c>
      <c r="M314" s="1" t="s">
        <v>58</v>
      </c>
      <c r="N314" s="1">
        <v>0</v>
      </c>
      <c r="O314" s="1" t="s">
        <v>105</v>
      </c>
      <c r="P314" s="186">
        <v>44713.419398148151</v>
      </c>
      <c r="R314" s="1">
        <v>3</v>
      </c>
      <c r="T314" s="1" t="s">
        <v>646</v>
      </c>
      <c r="U314" s="186">
        <v>44714.419398148151</v>
      </c>
      <c r="V314" s="1" t="s">
        <v>41</v>
      </c>
      <c r="W314" s="1" t="s">
        <v>49</v>
      </c>
      <c r="X314" s="13" t="str">
        <f t="shared" si="33"/>
        <v/>
      </c>
      <c r="Y314" s="2">
        <f t="shared" ca="1" si="28"/>
        <v>196</v>
      </c>
      <c r="Z314" s="14">
        <v>1</v>
      </c>
      <c r="AA314" s="1" t="str">
        <f t="shared" ca="1" si="29"/>
        <v>VENCIDO</v>
      </c>
      <c r="AB314" s="1" t="str">
        <f t="shared" si="30"/>
        <v>SL-On</v>
      </c>
      <c r="AC314" s="2" t="str">
        <f t="shared" si="34"/>
        <v xml:space="preserve"> CLEITON </v>
      </c>
      <c r="AD314" s="2">
        <f t="shared" si="31"/>
        <v>1</v>
      </c>
      <c r="AE314" s="2">
        <f t="shared" ca="1" si="32"/>
        <v>-272.25687349536747</v>
      </c>
      <c r="AF314" s="15"/>
    </row>
    <row r="315" spans="1:32" hidden="1">
      <c r="A315" s="1">
        <v>8643946</v>
      </c>
      <c r="B315" s="1" t="s">
        <v>653</v>
      </c>
      <c r="C315" t="s">
        <v>654</v>
      </c>
      <c r="E315" s="2">
        <v>3504001400040</v>
      </c>
      <c r="F315" s="1" t="s">
        <v>644</v>
      </c>
      <c r="G315" s="1" t="s">
        <v>53</v>
      </c>
      <c r="H315" s="1" t="s">
        <v>585</v>
      </c>
      <c r="I315" s="1" t="s">
        <v>586</v>
      </c>
      <c r="J315" s="1" t="s">
        <v>46</v>
      </c>
      <c r="K315" t="s">
        <v>645</v>
      </c>
      <c r="M315" s="1" t="s">
        <v>58</v>
      </c>
      <c r="N315" s="1">
        <v>0</v>
      </c>
      <c r="O315" s="1" t="s">
        <v>105</v>
      </c>
      <c r="P315" s="186">
        <v>44713.419270833336</v>
      </c>
      <c r="R315" s="1">
        <v>3</v>
      </c>
      <c r="T315" s="1" t="s">
        <v>646</v>
      </c>
      <c r="U315" s="186">
        <v>44714.419270833336</v>
      </c>
      <c r="V315" s="1" t="s">
        <v>41</v>
      </c>
      <c r="W315" s="1" t="s">
        <v>49</v>
      </c>
      <c r="X315" s="13" t="str">
        <f t="shared" si="33"/>
        <v/>
      </c>
      <c r="Y315" s="2">
        <f t="shared" ca="1" si="28"/>
        <v>196</v>
      </c>
      <c r="Z315" s="14">
        <v>1</v>
      </c>
      <c r="AA315" s="1" t="str">
        <f t="shared" ca="1" si="29"/>
        <v>VENCIDO</v>
      </c>
      <c r="AB315" s="1" t="str">
        <f t="shared" si="30"/>
        <v>SL-On</v>
      </c>
      <c r="AC315" s="2" t="str">
        <f t="shared" si="34"/>
        <v xml:space="preserve"> CLEITON </v>
      </c>
      <c r="AD315" s="2">
        <f t="shared" si="31"/>
        <v>1</v>
      </c>
      <c r="AE315" s="2">
        <f t="shared" ca="1" si="32"/>
        <v>-272.25700081018294</v>
      </c>
      <c r="AF315" s="15"/>
    </row>
    <row r="316" spans="1:32" hidden="1">
      <c r="A316" s="1">
        <v>8643945</v>
      </c>
      <c r="B316" s="1" t="s">
        <v>653</v>
      </c>
      <c r="C316" t="s">
        <v>654</v>
      </c>
      <c r="E316" s="2">
        <v>3503001400040</v>
      </c>
      <c r="F316" s="1" t="s">
        <v>644</v>
      </c>
      <c r="G316" s="1" t="s">
        <v>53</v>
      </c>
      <c r="H316" s="1" t="s">
        <v>398</v>
      </c>
      <c r="I316" s="1" t="s">
        <v>399</v>
      </c>
      <c r="J316" s="1" t="s">
        <v>46</v>
      </c>
      <c r="K316" t="s">
        <v>645</v>
      </c>
      <c r="M316" s="1" t="s">
        <v>58</v>
      </c>
      <c r="N316" s="1">
        <v>0</v>
      </c>
      <c r="O316" s="1" t="s">
        <v>105</v>
      </c>
      <c r="P316" s="186">
        <v>44713.419270833336</v>
      </c>
      <c r="R316" s="1">
        <v>2</v>
      </c>
      <c r="T316" s="1" t="s">
        <v>646</v>
      </c>
      <c r="U316" s="186">
        <v>44714.419270833336</v>
      </c>
      <c r="V316" s="1" t="s">
        <v>41</v>
      </c>
      <c r="W316" s="1" t="s">
        <v>49</v>
      </c>
      <c r="X316" s="13" t="str">
        <f t="shared" si="33"/>
        <v/>
      </c>
      <c r="Y316" s="2">
        <f t="shared" ca="1" si="28"/>
        <v>196</v>
      </c>
      <c r="Z316" s="14">
        <v>1</v>
      </c>
      <c r="AA316" s="1" t="str">
        <f t="shared" ca="1" si="29"/>
        <v>VENCIDO</v>
      </c>
      <c r="AB316" s="1" t="str">
        <f t="shared" si="30"/>
        <v>SL-On</v>
      </c>
      <c r="AC316" s="2" t="str">
        <f t="shared" si="34"/>
        <v xml:space="preserve"> CLEITON </v>
      </c>
      <c r="AD316" s="2">
        <f t="shared" si="31"/>
        <v>1</v>
      </c>
      <c r="AE316" s="2">
        <f t="shared" ca="1" si="32"/>
        <v>-272.25700081018294</v>
      </c>
      <c r="AF316" s="15"/>
    </row>
    <row r="317" spans="1:32" hidden="1">
      <c r="A317" s="1">
        <v>8643755</v>
      </c>
      <c r="B317" s="1" t="s">
        <v>653</v>
      </c>
      <c r="C317" t="s">
        <v>654</v>
      </c>
      <c r="E317" s="2">
        <v>3258001400040</v>
      </c>
      <c r="F317" s="1" t="s">
        <v>644</v>
      </c>
      <c r="G317" s="1" t="s">
        <v>53</v>
      </c>
      <c r="H317" s="1" t="s">
        <v>321</v>
      </c>
      <c r="I317" s="1" t="s">
        <v>322</v>
      </c>
      <c r="J317" s="1" t="s">
        <v>46</v>
      </c>
      <c r="K317" t="s">
        <v>645</v>
      </c>
      <c r="M317" s="1" t="s">
        <v>58</v>
      </c>
      <c r="N317" s="1">
        <v>0</v>
      </c>
      <c r="O317" s="1" t="s">
        <v>105</v>
      </c>
      <c r="P317" s="186">
        <v>44713.418391203704</v>
      </c>
      <c r="R317" s="1">
        <v>2</v>
      </c>
      <c r="T317" s="1" t="s">
        <v>646</v>
      </c>
      <c r="U317" s="186">
        <v>44714.418391203704</v>
      </c>
      <c r="V317" s="1" t="s">
        <v>41</v>
      </c>
      <c r="W317" s="1" t="s">
        <v>49</v>
      </c>
      <c r="X317" s="13" t="str">
        <f t="shared" si="33"/>
        <v/>
      </c>
      <c r="Y317" s="2">
        <f t="shared" ca="1" si="28"/>
        <v>196</v>
      </c>
      <c r="Z317" s="14">
        <v>1</v>
      </c>
      <c r="AA317" s="1" t="str">
        <f t="shared" ca="1" si="29"/>
        <v>VENCIDO</v>
      </c>
      <c r="AB317" s="1" t="str">
        <f t="shared" si="30"/>
        <v>SL-On</v>
      </c>
      <c r="AC317" s="2" t="str">
        <f t="shared" si="34"/>
        <v xml:space="preserve"> CLEITON </v>
      </c>
      <c r="AD317" s="2">
        <f t="shared" si="31"/>
        <v>1</v>
      </c>
      <c r="AE317" s="2">
        <f t="shared" ca="1" si="32"/>
        <v>-272.25788043981447</v>
      </c>
      <c r="AF317" s="15"/>
    </row>
    <row r="318" spans="1:32" hidden="1">
      <c r="A318" s="1">
        <v>8643740</v>
      </c>
      <c r="B318" s="1" t="s">
        <v>653</v>
      </c>
      <c r="C318" t="s">
        <v>654</v>
      </c>
      <c r="E318" s="2">
        <v>3243001400040</v>
      </c>
      <c r="F318" s="1" t="s">
        <v>644</v>
      </c>
      <c r="G318" s="1" t="s">
        <v>53</v>
      </c>
      <c r="H318" s="1" t="s">
        <v>282</v>
      </c>
      <c r="I318" s="1" t="s">
        <v>283</v>
      </c>
      <c r="J318" s="1" t="s">
        <v>46</v>
      </c>
      <c r="K318" t="s">
        <v>645</v>
      </c>
      <c r="M318" s="1" t="s">
        <v>58</v>
      </c>
      <c r="N318" s="1">
        <v>0</v>
      </c>
      <c r="O318" s="1" t="s">
        <v>105</v>
      </c>
      <c r="P318" s="186">
        <v>44713.418356481481</v>
      </c>
      <c r="R318" s="1">
        <v>3</v>
      </c>
      <c r="T318" s="1" t="s">
        <v>646</v>
      </c>
      <c r="U318" s="186">
        <v>44714.418356481481</v>
      </c>
      <c r="V318" s="1" t="s">
        <v>41</v>
      </c>
      <c r="W318" s="1" t="s">
        <v>49</v>
      </c>
      <c r="X318" s="13" t="str">
        <f t="shared" si="33"/>
        <v/>
      </c>
      <c r="Y318" s="2">
        <f t="shared" ca="1" si="28"/>
        <v>196</v>
      </c>
      <c r="Z318" s="14">
        <v>1</v>
      </c>
      <c r="AA318" s="1" t="str">
        <f t="shared" ca="1" si="29"/>
        <v>VENCIDO</v>
      </c>
      <c r="AB318" s="1" t="str">
        <f t="shared" si="30"/>
        <v>SL-On</v>
      </c>
      <c r="AC318" s="2" t="str">
        <f t="shared" si="34"/>
        <v xml:space="preserve"> CLEITON </v>
      </c>
      <c r="AD318" s="2">
        <f t="shared" si="31"/>
        <v>1</v>
      </c>
      <c r="AE318" s="2">
        <f t="shared" ca="1" si="32"/>
        <v>-272.25791516203753</v>
      </c>
      <c r="AF318" s="15"/>
    </row>
    <row r="319" spans="1:32" hidden="1">
      <c r="A319" s="1">
        <v>8643737</v>
      </c>
      <c r="B319" s="1" t="s">
        <v>653</v>
      </c>
      <c r="C319" t="s">
        <v>654</v>
      </c>
      <c r="E319" s="2">
        <v>3237001400040</v>
      </c>
      <c r="F319" s="1" t="s">
        <v>644</v>
      </c>
      <c r="G319" s="1" t="s">
        <v>53</v>
      </c>
      <c r="H319" s="1" t="s">
        <v>287</v>
      </c>
      <c r="I319" s="1" t="s">
        <v>288</v>
      </c>
      <c r="J319" s="1" t="s">
        <v>46</v>
      </c>
      <c r="K319" t="s">
        <v>645</v>
      </c>
      <c r="M319" s="1" t="s">
        <v>58</v>
      </c>
      <c r="N319" s="1">
        <v>0</v>
      </c>
      <c r="O319" s="1" t="s">
        <v>105</v>
      </c>
      <c r="P319" s="186">
        <v>44713.418356481481</v>
      </c>
      <c r="R319" s="1">
        <v>2</v>
      </c>
      <c r="T319" s="1" t="s">
        <v>646</v>
      </c>
      <c r="U319" s="186">
        <v>44714.418356481481</v>
      </c>
      <c r="V319" s="1" t="s">
        <v>41</v>
      </c>
      <c r="W319" s="1" t="s">
        <v>49</v>
      </c>
      <c r="X319" s="13" t="str">
        <f t="shared" si="33"/>
        <v/>
      </c>
      <c r="Y319" s="2">
        <f t="shared" ca="1" si="28"/>
        <v>196</v>
      </c>
      <c r="Z319" s="14">
        <v>1</v>
      </c>
      <c r="AA319" s="1" t="str">
        <f t="shared" ca="1" si="29"/>
        <v>VENCIDO</v>
      </c>
      <c r="AB319" s="1" t="str">
        <f t="shared" si="30"/>
        <v>SL-On</v>
      </c>
      <c r="AC319" s="2" t="str">
        <f t="shared" si="34"/>
        <v xml:space="preserve"> CLEITON </v>
      </c>
      <c r="AD319" s="2">
        <f t="shared" si="31"/>
        <v>1</v>
      </c>
      <c r="AE319" s="2">
        <f t="shared" ca="1" si="32"/>
        <v>-272.25791516203753</v>
      </c>
      <c r="AF319" s="15"/>
    </row>
    <row r="320" spans="1:32" hidden="1">
      <c r="A320" s="1">
        <v>8643543</v>
      </c>
      <c r="B320" s="1" t="s">
        <v>653</v>
      </c>
      <c r="C320" t="s">
        <v>654</v>
      </c>
      <c r="E320" s="2">
        <v>2988001400040</v>
      </c>
      <c r="F320" s="1" t="s">
        <v>644</v>
      </c>
      <c r="G320" s="1" t="s">
        <v>53</v>
      </c>
      <c r="H320" s="1" t="s">
        <v>536</v>
      </c>
      <c r="I320" s="1" t="s">
        <v>537</v>
      </c>
      <c r="J320" s="1" t="s">
        <v>46</v>
      </c>
      <c r="K320" t="s">
        <v>645</v>
      </c>
      <c r="M320" s="1" t="s">
        <v>58</v>
      </c>
      <c r="N320" s="1">
        <v>0</v>
      </c>
      <c r="O320" s="1" t="s">
        <v>105</v>
      </c>
      <c r="P320" s="186">
        <v>44713.417546296296</v>
      </c>
      <c r="R320" s="1">
        <v>2</v>
      </c>
      <c r="T320" s="1" t="s">
        <v>646</v>
      </c>
      <c r="U320" s="186">
        <v>44714.417546296296</v>
      </c>
      <c r="V320" s="1" t="s">
        <v>41</v>
      </c>
      <c r="W320" s="1" t="s">
        <v>49</v>
      </c>
      <c r="X320" s="13" t="str">
        <f t="shared" si="33"/>
        <v/>
      </c>
      <c r="Y320" s="2">
        <f t="shared" ca="1" si="28"/>
        <v>196</v>
      </c>
      <c r="Z320" s="14">
        <v>1</v>
      </c>
      <c r="AA320" s="1" t="str">
        <f t="shared" ca="1" si="29"/>
        <v>VENCIDO</v>
      </c>
      <c r="AB320" s="1" t="str">
        <f t="shared" si="30"/>
        <v>SL-On</v>
      </c>
      <c r="AC320" s="2" t="str">
        <f t="shared" si="34"/>
        <v xml:space="preserve"> CLEITON </v>
      </c>
      <c r="AD320" s="2">
        <f t="shared" si="31"/>
        <v>1</v>
      </c>
      <c r="AE320" s="2">
        <f t="shared" ca="1" si="32"/>
        <v>-272.25872534722293</v>
      </c>
      <c r="AF320" s="15"/>
    </row>
    <row r="321" spans="1:32" hidden="1">
      <c r="A321" s="1">
        <v>8643415</v>
      </c>
      <c r="B321" s="1" t="s">
        <v>653</v>
      </c>
      <c r="C321" t="s">
        <v>654</v>
      </c>
      <c r="E321" s="2">
        <v>2830001400040</v>
      </c>
      <c r="F321" s="1" t="s">
        <v>644</v>
      </c>
      <c r="G321" s="1" t="s">
        <v>53</v>
      </c>
      <c r="H321" s="1" t="s">
        <v>448</v>
      </c>
      <c r="I321" s="1" t="s">
        <v>449</v>
      </c>
      <c r="J321" s="1" t="s">
        <v>33</v>
      </c>
      <c r="K321" t="s">
        <v>645</v>
      </c>
      <c r="M321" s="1" t="s">
        <v>58</v>
      </c>
      <c r="N321" s="1">
        <v>0</v>
      </c>
      <c r="O321" s="1" t="s">
        <v>105</v>
      </c>
      <c r="P321" s="186">
        <v>44713.417187500003</v>
      </c>
      <c r="R321" s="1">
        <v>2</v>
      </c>
      <c r="T321" s="1" t="s">
        <v>646</v>
      </c>
      <c r="U321" s="186">
        <v>44714.417187500003</v>
      </c>
      <c r="V321" s="1" t="s">
        <v>41</v>
      </c>
      <c r="W321" s="1" t="s">
        <v>42</v>
      </c>
      <c r="X321" s="13" t="str">
        <f t="shared" si="33"/>
        <v/>
      </c>
      <c r="Y321" s="2">
        <f t="shared" ca="1" si="28"/>
        <v>196</v>
      </c>
      <c r="Z321" s="14">
        <v>1</v>
      </c>
      <c r="AA321" s="1" t="str">
        <f t="shared" ca="1" si="29"/>
        <v>VENCIDO</v>
      </c>
      <c r="AB321" s="1" t="str">
        <f t="shared" si="30"/>
        <v>SL-On</v>
      </c>
      <c r="AC321" s="2" t="str">
        <f t="shared" si="34"/>
        <v xml:space="preserve"> ROSEMERE </v>
      </c>
      <c r="AD321" s="2">
        <f t="shared" si="31"/>
        <v>1</v>
      </c>
      <c r="AE321" s="2">
        <f t="shared" ca="1" si="32"/>
        <v>-272.25908414351579</v>
      </c>
      <c r="AF321" s="15"/>
    </row>
    <row r="322" spans="1:32" hidden="1">
      <c r="A322" s="1">
        <v>8643396</v>
      </c>
      <c r="B322" s="1" t="s">
        <v>653</v>
      </c>
      <c r="C322" t="s">
        <v>654</v>
      </c>
      <c r="E322" s="2">
        <v>2811001400040</v>
      </c>
      <c r="F322" s="1" t="s">
        <v>644</v>
      </c>
      <c r="G322" s="1" t="s">
        <v>53</v>
      </c>
      <c r="H322" s="1" t="s">
        <v>44</v>
      </c>
      <c r="I322" s="1" t="s">
        <v>45</v>
      </c>
      <c r="J322" s="1" t="s">
        <v>46</v>
      </c>
      <c r="K322" t="s">
        <v>645</v>
      </c>
      <c r="M322" s="1" t="s">
        <v>58</v>
      </c>
      <c r="N322" s="1">
        <v>0</v>
      </c>
      <c r="O322" s="1" t="s">
        <v>105</v>
      </c>
      <c r="P322" s="186">
        <v>44713.417094907411</v>
      </c>
      <c r="R322" s="1">
        <v>3</v>
      </c>
      <c r="T322" s="1" t="s">
        <v>646</v>
      </c>
      <c r="U322" s="186">
        <v>44714.417094907411</v>
      </c>
      <c r="V322" s="1" t="s">
        <v>41</v>
      </c>
      <c r="W322" s="1" t="s">
        <v>49</v>
      </c>
      <c r="X322" s="13" t="str">
        <f t="shared" si="33"/>
        <v/>
      </c>
      <c r="Y322" s="2">
        <f t="shared" ref="Y322:Y385" ca="1" si="35">NETWORKDAYS(P322,$Y$1)</f>
        <v>196</v>
      </c>
      <c r="Z322" s="14">
        <v>1</v>
      </c>
      <c r="AA322" s="1" t="str">
        <f t="shared" ref="AA322:AA385" ca="1" si="36">IF(AE322=0,"HOJE",IF(AE322&gt;0,"A VENCER",IF(AE322&lt;0,"VENCIDO")))</f>
        <v>VENCIDO</v>
      </c>
      <c r="AB322" s="1" t="str">
        <f t="shared" ref="AB322:AB385" si="37">IF(F322="GRPE-000001","C-14",IF(F322="GRPE-000002","C-14",IF(F322="GRPE-000003","C-14",IF(F322="GRPE-000004","SL-On",IF(F322="GRPE-000038","C-14",IF(F322="GRPE-900022","Dosa",IF(F322="GRPE-000029","Dosa",IF(F322="ATOS-000222","Dose","TAAe+"))))))))</f>
        <v>SL-On</v>
      </c>
      <c r="AC322" s="2" t="str">
        <f t="shared" si="34"/>
        <v xml:space="preserve"> CLEITON </v>
      </c>
      <c r="AD322" s="2">
        <f t="shared" ref="AD322:AD385" si="38">IF(F322="GRPE-000001",5,IF(F322="GRPE-000002",5,IF(F322="GRPE-000003",15,IF(F322="GRPE-000004",1,IF(F322="GRPE-000038",5,IF(F322="GRPE-900022",5,IF(F322="GRPE-000029",5,IF(F322="ATOS-000222",5,8))))))))</f>
        <v>1</v>
      </c>
      <c r="AE322" s="2">
        <f t="shared" ref="AE322:AE385" ca="1" si="39">IF(U322=$AE$1,"",U322-$AE$1)</f>
        <v>-272.2591767361082</v>
      </c>
      <c r="AF322" s="15"/>
    </row>
    <row r="323" spans="1:32" hidden="1">
      <c r="A323" s="1">
        <v>8643389</v>
      </c>
      <c r="B323" s="1" t="s">
        <v>653</v>
      </c>
      <c r="C323" t="s">
        <v>654</v>
      </c>
      <c r="E323" s="2">
        <v>2802001400040</v>
      </c>
      <c r="F323" s="1" t="s">
        <v>644</v>
      </c>
      <c r="G323" s="1" t="s">
        <v>53</v>
      </c>
      <c r="H323" s="1" t="s">
        <v>388</v>
      </c>
      <c r="I323" s="1" t="s">
        <v>389</v>
      </c>
      <c r="J323" s="1" t="s">
        <v>46</v>
      </c>
      <c r="K323" t="s">
        <v>645</v>
      </c>
      <c r="M323" s="1" t="s">
        <v>58</v>
      </c>
      <c r="N323" s="1">
        <v>0</v>
      </c>
      <c r="O323" s="1" t="s">
        <v>105</v>
      </c>
      <c r="P323" s="186">
        <v>44713.417083333334</v>
      </c>
      <c r="R323" s="1">
        <v>3</v>
      </c>
      <c r="T323" s="1" t="s">
        <v>646</v>
      </c>
      <c r="U323" s="186">
        <v>44714.417083333334</v>
      </c>
      <c r="V323" s="1" t="s">
        <v>41</v>
      </c>
      <c r="W323" s="1" t="s">
        <v>49</v>
      </c>
      <c r="X323" s="13" t="str">
        <f t="shared" ref="X323:X386" si="40">IF(RIGHT(H323,2)&lt;&gt;"00",H323,"")</f>
        <v/>
      </c>
      <c r="Y323" s="2">
        <f t="shared" ca="1" si="35"/>
        <v>196</v>
      </c>
      <c r="Z323" s="14">
        <v>1</v>
      </c>
      <c r="AA323" s="1" t="str">
        <f t="shared" ca="1" si="36"/>
        <v>VENCIDO</v>
      </c>
      <c r="AB323" s="1" t="str">
        <f t="shared" si="37"/>
        <v>SL-On</v>
      </c>
      <c r="AC323" s="2" t="str">
        <f t="shared" ref="AC323:AC386" si="41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 xml:space="preserve"> CLEITON </v>
      </c>
      <c r="AD323" s="2">
        <f t="shared" si="38"/>
        <v>1</v>
      </c>
      <c r="AE323" s="2">
        <f t="shared" ca="1" si="39"/>
        <v>-272.25918831018498</v>
      </c>
      <c r="AF323" s="15"/>
    </row>
    <row r="324" spans="1:32" hidden="1">
      <c r="A324" s="1">
        <v>8643232</v>
      </c>
      <c r="B324" s="1" t="s">
        <v>653</v>
      </c>
      <c r="C324" t="s">
        <v>654</v>
      </c>
      <c r="E324" s="2">
        <v>2625001400040</v>
      </c>
      <c r="F324" s="1" t="s">
        <v>644</v>
      </c>
      <c r="G324" s="1" t="s">
        <v>53</v>
      </c>
      <c r="H324" s="1" t="s">
        <v>317</v>
      </c>
      <c r="I324" s="1" t="s">
        <v>318</v>
      </c>
      <c r="J324" s="1" t="s">
        <v>164</v>
      </c>
      <c r="K324" t="s">
        <v>645</v>
      </c>
      <c r="M324" s="1" t="s">
        <v>58</v>
      </c>
      <c r="N324" s="1">
        <v>0</v>
      </c>
      <c r="O324" s="1" t="s">
        <v>105</v>
      </c>
      <c r="P324" s="186">
        <v>44713.416655092595</v>
      </c>
      <c r="R324" s="1">
        <v>3</v>
      </c>
      <c r="T324" s="1" t="s">
        <v>646</v>
      </c>
      <c r="U324" s="186">
        <v>44714.416655092595</v>
      </c>
      <c r="V324" s="1" t="s">
        <v>41</v>
      </c>
      <c r="W324" s="1" t="s">
        <v>49</v>
      </c>
      <c r="X324" s="13" t="str">
        <f t="shared" si="40"/>
        <v/>
      </c>
      <c r="Y324" s="2">
        <f t="shared" ca="1" si="35"/>
        <v>196</v>
      </c>
      <c r="Z324" s="14">
        <v>1</v>
      </c>
      <c r="AA324" s="1" t="str">
        <f t="shared" ca="1" si="36"/>
        <v>VENCIDO</v>
      </c>
      <c r="AB324" s="1" t="str">
        <f t="shared" si="37"/>
        <v>SL-On</v>
      </c>
      <c r="AC324" s="2" t="str">
        <f t="shared" si="41"/>
        <v xml:space="preserve"> ROSEMERE </v>
      </c>
      <c r="AD324" s="2">
        <f t="shared" si="38"/>
        <v>1</v>
      </c>
      <c r="AE324" s="2">
        <f t="shared" ca="1" si="39"/>
        <v>-272.25961655092397</v>
      </c>
      <c r="AF324" s="15"/>
    </row>
    <row r="325" spans="1:32" hidden="1">
      <c r="A325" s="1">
        <v>8643003</v>
      </c>
      <c r="B325" s="1" t="s">
        <v>653</v>
      </c>
      <c r="C325" t="s">
        <v>654</v>
      </c>
      <c r="E325" s="2">
        <v>2369001400040</v>
      </c>
      <c r="F325" s="1" t="s">
        <v>644</v>
      </c>
      <c r="G325" s="1" t="s">
        <v>53</v>
      </c>
      <c r="H325" s="1" t="s">
        <v>701</v>
      </c>
      <c r="I325" s="1" t="s">
        <v>702</v>
      </c>
      <c r="J325" s="1" t="s">
        <v>141</v>
      </c>
      <c r="K325" t="s">
        <v>645</v>
      </c>
      <c r="M325" s="1" t="s">
        <v>58</v>
      </c>
      <c r="N325" s="1">
        <v>0</v>
      </c>
      <c r="O325" s="1" t="s">
        <v>105</v>
      </c>
      <c r="P325" s="186">
        <v>44713.415312500001</v>
      </c>
      <c r="R325" s="1">
        <v>2</v>
      </c>
      <c r="T325" s="1" t="s">
        <v>646</v>
      </c>
      <c r="U325" s="186">
        <v>44714.415312500001</v>
      </c>
      <c r="V325" s="1" t="s">
        <v>41</v>
      </c>
      <c r="W325" s="1" t="s">
        <v>49</v>
      </c>
      <c r="X325" s="13" t="str">
        <f t="shared" si="40"/>
        <v/>
      </c>
      <c r="Y325" s="2">
        <f t="shared" ca="1" si="35"/>
        <v>196</v>
      </c>
      <c r="Z325" s="14">
        <v>1</v>
      </c>
      <c r="AA325" s="1" t="str">
        <f t="shared" ca="1" si="36"/>
        <v>VENCIDO</v>
      </c>
      <c r="AB325" s="1" t="str">
        <f t="shared" si="37"/>
        <v>SL-On</v>
      </c>
      <c r="AC325" s="2" t="str">
        <f t="shared" si="41"/>
        <v xml:space="preserve"> CRISTINA </v>
      </c>
      <c r="AD325" s="2">
        <f t="shared" si="38"/>
        <v>1</v>
      </c>
      <c r="AE325" s="2">
        <f t="shared" ca="1" si="39"/>
        <v>-272.26095914351754</v>
      </c>
      <c r="AF325" s="15"/>
    </row>
    <row r="326" spans="1:32" hidden="1">
      <c r="A326" s="1">
        <v>8643000</v>
      </c>
      <c r="B326" s="1" t="s">
        <v>653</v>
      </c>
      <c r="C326" t="s">
        <v>654</v>
      </c>
      <c r="E326" s="2">
        <v>2365001400040</v>
      </c>
      <c r="F326" s="1" t="s">
        <v>644</v>
      </c>
      <c r="G326" s="1" t="s">
        <v>53</v>
      </c>
      <c r="H326" s="1" t="s">
        <v>159</v>
      </c>
      <c r="I326" s="1" t="s">
        <v>160</v>
      </c>
      <c r="J326" s="1" t="s">
        <v>46</v>
      </c>
      <c r="K326" t="s">
        <v>645</v>
      </c>
      <c r="M326" s="1" t="s">
        <v>58</v>
      </c>
      <c r="N326" s="1">
        <v>0</v>
      </c>
      <c r="O326" s="1" t="s">
        <v>105</v>
      </c>
      <c r="P326" s="186">
        <v>44713.415300925924</v>
      </c>
      <c r="R326" s="1">
        <v>2</v>
      </c>
      <c r="T326" s="1" t="s">
        <v>646</v>
      </c>
      <c r="U326" s="186">
        <v>44714.415300925924</v>
      </c>
      <c r="V326" s="1" t="s">
        <v>41</v>
      </c>
      <c r="W326" s="1" t="s">
        <v>49</v>
      </c>
      <c r="X326" s="13" t="str">
        <f t="shared" si="40"/>
        <v/>
      </c>
      <c r="Y326" s="2">
        <f t="shared" ca="1" si="35"/>
        <v>196</v>
      </c>
      <c r="Z326" s="14">
        <v>1</v>
      </c>
      <c r="AA326" s="1" t="str">
        <f t="shared" ca="1" si="36"/>
        <v>VENCIDO</v>
      </c>
      <c r="AB326" s="1" t="str">
        <f t="shared" si="37"/>
        <v>SL-On</v>
      </c>
      <c r="AC326" s="2" t="str">
        <f t="shared" si="41"/>
        <v xml:space="preserve"> CLEITON </v>
      </c>
      <c r="AD326" s="2">
        <f t="shared" si="38"/>
        <v>1</v>
      </c>
      <c r="AE326" s="2">
        <f t="shared" ca="1" si="39"/>
        <v>-272.26097071759432</v>
      </c>
      <c r="AF326" s="15"/>
    </row>
    <row r="327" spans="1:32" hidden="1">
      <c r="A327" s="1">
        <v>8642964</v>
      </c>
      <c r="B327" s="1" t="s">
        <v>653</v>
      </c>
      <c r="C327" t="s">
        <v>654</v>
      </c>
      <c r="E327" s="2">
        <v>2326001400040</v>
      </c>
      <c r="F327" s="1" t="s">
        <v>644</v>
      </c>
      <c r="G327" s="1" t="s">
        <v>53</v>
      </c>
      <c r="H327" s="1" t="s">
        <v>191</v>
      </c>
      <c r="I327" s="1" t="s">
        <v>192</v>
      </c>
      <c r="J327" s="1" t="s">
        <v>46</v>
      </c>
      <c r="K327" t="s">
        <v>645</v>
      </c>
      <c r="M327" s="1" t="s">
        <v>58</v>
      </c>
      <c r="N327" s="1">
        <v>0</v>
      </c>
      <c r="O327" s="1" t="s">
        <v>105</v>
      </c>
      <c r="P327" s="11" t="s">
        <v>705</v>
      </c>
      <c r="R327" s="1">
        <v>2</v>
      </c>
      <c r="T327" s="1" t="s">
        <v>646</v>
      </c>
      <c r="U327" s="11" t="s">
        <v>706</v>
      </c>
      <c r="V327" s="1" t="s">
        <v>41</v>
      </c>
      <c r="W327" s="1" t="s">
        <v>49</v>
      </c>
      <c r="X327" s="13" t="str">
        <f t="shared" si="40"/>
        <v/>
      </c>
      <c r="Y327" s="2">
        <f t="shared" ca="1" si="35"/>
        <v>196</v>
      </c>
      <c r="Z327" s="14">
        <v>1</v>
      </c>
      <c r="AA327" s="1" t="str">
        <f t="shared" ca="1" si="36"/>
        <v>VENCIDO</v>
      </c>
      <c r="AB327" s="1" t="str">
        <f t="shared" si="37"/>
        <v>SL-On</v>
      </c>
      <c r="AC327" s="2" t="str">
        <f t="shared" si="41"/>
        <v xml:space="preserve"> CLEITON </v>
      </c>
      <c r="AD327" s="2">
        <f t="shared" si="38"/>
        <v>1</v>
      </c>
      <c r="AE327" s="2">
        <f t="shared" ca="1" si="39"/>
        <v>-272.26116747684864</v>
      </c>
      <c r="AF327" s="15"/>
    </row>
    <row r="328" spans="1:32" hidden="1">
      <c r="A328" s="1">
        <v>8642887</v>
      </c>
      <c r="B328" s="1" t="s">
        <v>653</v>
      </c>
      <c r="C328" t="s">
        <v>654</v>
      </c>
      <c r="E328" s="2">
        <v>2238001400040</v>
      </c>
      <c r="F328" s="1" t="s">
        <v>644</v>
      </c>
      <c r="G328" s="1" t="s">
        <v>53</v>
      </c>
      <c r="H328" s="1" t="s">
        <v>707</v>
      </c>
      <c r="I328" s="1" t="s">
        <v>708</v>
      </c>
      <c r="J328" s="1" t="s">
        <v>79</v>
      </c>
      <c r="K328" t="s">
        <v>645</v>
      </c>
      <c r="M328" s="1" t="s">
        <v>58</v>
      </c>
      <c r="N328" s="1">
        <v>0</v>
      </c>
      <c r="O328" s="1" t="s">
        <v>105</v>
      </c>
      <c r="P328" s="11" t="s">
        <v>3432</v>
      </c>
      <c r="R328" s="1">
        <v>3</v>
      </c>
      <c r="T328" s="1" t="s">
        <v>646</v>
      </c>
      <c r="U328" s="11" t="s">
        <v>3433</v>
      </c>
      <c r="V328" s="1" t="s">
        <v>41</v>
      </c>
      <c r="W328" s="1" t="s">
        <v>49</v>
      </c>
      <c r="X328" s="13" t="str">
        <f t="shared" si="40"/>
        <v/>
      </c>
      <c r="Y328" s="2">
        <f t="shared" ca="1" si="35"/>
        <v>196</v>
      </c>
      <c r="Z328" s="14">
        <v>1</v>
      </c>
      <c r="AA328" s="1" t="str">
        <f t="shared" ca="1" si="36"/>
        <v>VENCIDO</v>
      </c>
      <c r="AB328" s="1" t="str">
        <f t="shared" si="37"/>
        <v>SL-On</v>
      </c>
      <c r="AC328" s="2" t="str">
        <f t="shared" si="41"/>
        <v xml:space="preserve"> ROSEMERE </v>
      </c>
      <c r="AD328" s="2">
        <f t="shared" si="38"/>
        <v>1</v>
      </c>
      <c r="AE328" s="2">
        <f t="shared" ca="1" si="39"/>
        <v>-272.26129479166411</v>
      </c>
      <c r="AF328" s="15"/>
    </row>
    <row r="329" spans="1:32" hidden="1">
      <c r="A329" s="1">
        <v>8642791</v>
      </c>
      <c r="B329" s="1" t="s">
        <v>653</v>
      </c>
      <c r="C329" t="s">
        <v>654</v>
      </c>
      <c r="E329" s="2">
        <v>2138001400040</v>
      </c>
      <c r="F329" s="1" t="s">
        <v>644</v>
      </c>
      <c r="G329" s="1" t="s">
        <v>53</v>
      </c>
      <c r="H329" s="1" t="s">
        <v>379</v>
      </c>
      <c r="I329" s="1" t="s">
        <v>380</v>
      </c>
      <c r="J329" s="1" t="s">
        <v>46</v>
      </c>
      <c r="K329" t="s">
        <v>645</v>
      </c>
      <c r="M329" s="1" t="s">
        <v>58</v>
      </c>
      <c r="N329" s="1">
        <v>0</v>
      </c>
      <c r="O329" s="1" t="s">
        <v>105</v>
      </c>
      <c r="P329" s="11" t="s">
        <v>3434</v>
      </c>
      <c r="R329" s="1">
        <v>3</v>
      </c>
      <c r="T329" s="1" t="s">
        <v>646</v>
      </c>
      <c r="U329" s="11" t="s">
        <v>3435</v>
      </c>
      <c r="V329" s="1" t="s">
        <v>41</v>
      </c>
      <c r="W329" s="1" t="s">
        <v>49</v>
      </c>
      <c r="X329" s="13" t="str">
        <f t="shared" si="40"/>
        <v/>
      </c>
      <c r="Y329" s="2">
        <f t="shared" ca="1" si="35"/>
        <v>196</v>
      </c>
      <c r="Z329" s="14">
        <v>1</v>
      </c>
      <c r="AA329" s="1" t="str">
        <f t="shared" ca="1" si="36"/>
        <v>VENCIDO</v>
      </c>
      <c r="AB329" s="1" t="str">
        <f t="shared" si="37"/>
        <v>SL-On</v>
      </c>
      <c r="AC329" s="2" t="str">
        <f t="shared" si="41"/>
        <v xml:space="preserve"> CLEITON </v>
      </c>
      <c r="AD329" s="2">
        <f t="shared" si="38"/>
        <v>1</v>
      </c>
      <c r="AE329" s="2">
        <f t="shared" ca="1" si="39"/>
        <v>-272.26152627314877</v>
      </c>
      <c r="AF329" s="15"/>
    </row>
    <row r="330" spans="1:32" hidden="1">
      <c r="A330" s="1">
        <v>8642762</v>
      </c>
      <c r="B330" s="1" t="s">
        <v>653</v>
      </c>
      <c r="C330" t="s">
        <v>654</v>
      </c>
      <c r="E330" s="2">
        <v>2107001400040</v>
      </c>
      <c r="F330" s="1" t="s">
        <v>644</v>
      </c>
      <c r="G330" s="1" t="s">
        <v>53</v>
      </c>
      <c r="H330" s="1" t="s">
        <v>262</v>
      </c>
      <c r="I330" s="1" t="s">
        <v>263</v>
      </c>
      <c r="J330" s="1" t="s">
        <v>164</v>
      </c>
      <c r="K330" t="s">
        <v>645</v>
      </c>
      <c r="M330" s="1" t="s">
        <v>58</v>
      </c>
      <c r="N330" s="1">
        <v>0</v>
      </c>
      <c r="O330" s="1" t="s">
        <v>105</v>
      </c>
      <c r="P330" s="11" t="s">
        <v>709</v>
      </c>
      <c r="R330" s="1">
        <v>3</v>
      </c>
      <c r="T330" s="1" t="s">
        <v>646</v>
      </c>
      <c r="U330" s="11" t="s">
        <v>710</v>
      </c>
      <c r="V330" s="1" t="s">
        <v>41</v>
      </c>
      <c r="W330" s="1" t="s">
        <v>49</v>
      </c>
      <c r="X330" s="13" t="str">
        <f t="shared" si="40"/>
        <v/>
      </c>
      <c r="Y330" s="2">
        <f t="shared" ca="1" si="35"/>
        <v>196</v>
      </c>
      <c r="Z330" s="14">
        <v>1</v>
      </c>
      <c r="AA330" s="1" t="str">
        <f t="shared" ca="1" si="36"/>
        <v>VENCIDO</v>
      </c>
      <c r="AB330" s="1" t="str">
        <f t="shared" si="37"/>
        <v>SL-On</v>
      </c>
      <c r="AC330" s="2" t="str">
        <f t="shared" si="41"/>
        <v xml:space="preserve"> ROSEMERE </v>
      </c>
      <c r="AD330" s="2">
        <f t="shared" si="38"/>
        <v>1</v>
      </c>
      <c r="AE330" s="2">
        <f t="shared" ca="1" si="39"/>
        <v>-272.26190821759519</v>
      </c>
      <c r="AF330" s="15"/>
    </row>
    <row r="331" spans="1:32" hidden="1">
      <c r="A331" s="1">
        <v>8642730</v>
      </c>
      <c r="B331" s="1" t="s">
        <v>653</v>
      </c>
      <c r="C331" t="s">
        <v>654</v>
      </c>
      <c r="E331" s="2">
        <v>2069001400040</v>
      </c>
      <c r="F331" s="1" t="s">
        <v>644</v>
      </c>
      <c r="G331" s="1" t="s">
        <v>53</v>
      </c>
      <c r="H331" s="1" t="s">
        <v>557</v>
      </c>
      <c r="I331" s="1" t="s">
        <v>558</v>
      </c>
      <c r="J331" s="1" t="s">
        <v>90</v>
      </c>
      <c r="K331" t="s">
        <v>645</v>
      </c>
      <c r="M331" s="1" t="s">
        <v>58</v>
      </c>
      <c r="N331" s="1">
        <v>0</v>
      </c>
      <c r="O331" s="1" t="s">
        <v>105</v>
      </c>
      <c r="P331" s="11" t="s">
        <v>711</v>
      </c>
      <c r="R331" s="1">
        <v>2</v>
      </c>
      <c r="T331" s="1" t="s">
        <v>646</v>
      </c>
      <c r="U331" s="11" t="s">
        <v>712</v>
      </c>
      <c r="V331" s="1" t="s">
        <v>41</v>
      </c>
      <c r="W331" s="1" t="s">
        <v>49</v>
      </c>
      <c r="X331" s="13" t="str">
        <f t="shared" si="40"/>
        <v/>
      </c>
      <c r="Y331" s="2">
        <f t="shared" ca="1" si="35"/>
        <v>196</v>
      </c>
      <c r="Z331" s="14">
        <v>1</v>
      </c>
      <c r="AA331" s="1" t="str">
        <f t="shared" ca="1" si="36"/>
        <v>VENCIDO</v>
      </c>
      <c r="AB331" s="1" t="str">
        <f t="shared" si="37"/>
        <v>SL-On</v>
      </c>
      <c r="AC331" s="2" t="str">
        <f t="shared" si="41"/>
        <v xml:space="preserve"> RINALDO </v>
      </c>
      <c r="AD331" s="2">
        <f t="shared" si="38"/>
        <v>1</v>
      </c>
      <c r="AE331" s="2">
        <f t="shared" ca="1" si="39"/>
        <v>-272.26196608796454</v>
      </c>
      <c r="AF331" s="15"/>
    </row>
    <row r="332" spans="1:32" hidden="1">
      <c r="A332" s="1">
        <v>8642641</v>
      </c>
      <c r="B332" s="1" t="s">
        <v>653</v>
      </c>
      <c r="C332" t="s">
        <v>654</v>
      </c>
      <c r="E332" s="2">
        <v>1924001400040</v>
      </c>
      <c r="F332" s="1" t="s">
        <v>644</v>
      </c>
      <c r="G332" s="1" t="s">
        <v>53</v>
      </c>
      <c r="H332" s="1" t="s">
        <v>568</v>
      </c>
      <c r="I332" s="1" t="s">
        <v>569</v>
      </c>
      <c r="J332" s="1" t="s">
        <v>33</v>
      </c>
      <c r="K332" t="s">
        <v>645</v>
      </c>
      <c r="M332" s="1" t="s">
        <v>58</v>
      </c>
      <c r="N332" s="1">
        <v>0</v>
      </c>
      <c r="O332" s="1" t="s">
        <v>105</v>
      </c>
      <c r="P332" s="11" t="s">
        <v>713</v>
      </c>
      <c r="R332" s="1">
        <v>2</v>
      </c>
      <c r="T332" s="1" t="s">
        <v>646</v>
      </c>
      <c r="U332" s="11" t="s">
        <v>714</v>
      </c>
      <c r="V332" s="1" t="s">
        <v>41</v>
      </c>
      <c r="W332" s="1" t="s">
        <v>49</v>
      </c>
      <c r="X332" s="13" t="str">
        <f t="shared" si="40"/>
        <v/>
      </c>
      <c r="Y332" s="2">
        <f t="shared" ca="1" si="35"/>
        <v>196</v>
      </c>
      <c r="Z332" s="14">
        <v>1</v>
      </c>
      <c r="AA332" s="1" t="str">
        <f t="shared" ca="1" si="36"/>
        <v>VENCIDO</v>
      </c>
      <c r="AB332" s="1" t="str">
        <f t="shared" si="37"/>
        <v>SL-On</v>
      </c>
      <c r="AC332" s="2" t="str">
        <f t="shared" si="41"/>
        <v xml:space="preserve"> ROSEMERE </v>
      </c>
      <c r="AD332" s="2">
        <f t="shared" si="38"/>
        <v>1</v>
      </c>
      <c r="AE332" s="2">
        <f t="shared" ca="1" si="39"/>
        <v>-272.26222071759548</v>
      </c>
      <c r="AF332" s="15"/>
    </row>
    <row r="333" spans="1:32" hidden="1">
      <c r="A333" s="1">
        <v>8642588</v>
      </c>
      <c r="B333" s="1" t="s">
        <v>653</v>
      </c>
      <c r="C333" t="s">
        <v>654</v>
      </c>
      <c r="E333" s="2">
        <v>1838001400040</v>
      </c>
      <c r="F333" s="1" t="s">
        <v>644</v>
      </c>
      <c r="G333" s="1" t="s">
        <v>53</v>
      </c>
      <c r="H333" s="1" t="s">
        <v>357</v>
      </c>
      <c r="I333" s="1" t="s">
        <v>358</v>
      </c>
      <c r="J333" s="1" t="s">
        <v>46</v>
      </c>
      <c r="K333" t="s">
        <v>645</v>
      </c>
      <c r="M333" s="1" t="s">
        <v>58</v>
      </c>
      <c r="N333" s="1">
        <v>0</v>
      </c>
      <c r="O333" s="1" t="s">
        <v>105</v>
      </c>
      <c r="P333" s="11" t="s">
        <v>715</v>
      </c>
      <c r="R333" s="1">
        <v>2</v>
      </c>
      <c r="T333" s="1" t="s">
        <v>646</v>
      </c>
      <c r="U333" s="11" t="s">
        <v>716</v>
      </c>
      <c r="V333" s="1" t="s">
        <v>41</v>
      </c>
      <c r="W333" s="1" t="s">
        <v>49</v>
      </c>
      <c r="X333" s="13" t="str">
        <f t="shared" si="40"/>
        <v/>
      </c>
      <c r="Y333" s="2">
        <f t="shared" ca="1" si="35"/>
        <v>196</v>
      </c>
      <c r="Z333" s="14">
        <v>1</v>
      </c>
      <c r="AA333" s="1" t="str">
        <f t="shared" ca="1" si="36"/>
        <v>VENCIDO</v>
      </c>
      <c r="AB333" s="1" t="str">
        <f t="shared" si="37"/>
        <v>SL-On</v>
      </c>
      <c r="AC333" s="2" t="str">
        <f t="shared" si="41"/>
        <v xml:space="preserve"> CLEITON </v>
      </c>
      <c r="AD333" s="2">
        <f t="shared" si="38"/>
        <v>1</v>
      </c>
      <c r="AE333" s="2">
        <f t="shared" ca="1" si="39"/>
        <v>-272.26230173611111</v>
      </c>
      <c r="AF333" s="15"/>
    </row>
    <row r="334" spans="1:32" hidden="1">
      <c r="A334" s="1">
        <v>8642586</v>
      </c>
      <c r="B334" s="1" t="s">
        <v>653</v>
      </c>
      <c r="C334" t="s">
        <v>654</v>
      </c>
      <c r="E334" s="2">
        <v>1836001400040</v>
      </c>
      <c r="F334" s="1" t="s">
        <v>644</v>
      </c>
      <c r="G334" s="1" t="s">
        <v>53</v>
      </c>
      <c r="H334" s="1" t="s">
        <v>455</v>
      </c>
      <c r="I334" s="1" t="s">
        <v>456</v>
      </c>
      <c r="J334" s="1" t="s">
        <v>46</v>
      </c>
      <c r="K334" t="s">
        <v>645</v>
      </c>
      <c r="M334" s="1" t="s">
        <v>58</v>
      </c>
      <c r="N334" s="1">
        <v>0</v>
      </c>
      <c r="O334" s="1" t="s">
        <v>105</v>
      </c>
      <c r="P334" s="11" t="s">
        <v>717</v>
      </c>
      <c r="R334" s="1">
        <v>3</v>
      </c>
      <c r="T334" s="1" t="s">
        <v>646</v>
      </c>
      <c r="U334" s="11" t="s">
        <v>718</v>
      </c>
      <c r="V334" s="1" t="s">
        <v>41</v>
      </c>
      <c r="W334" s="1" t="s">
        <v>49</v>
      </c>
      <c r="X334" s="13" t="str">
        <f t="shared" si="40"/>
        <v/>
      </c>
      <c r="Y334" s="2">
        <f t="shared" ca="1" si="35"/>
        <v>196</v>
      </c>
      <c r="Z334" s="14">
        <v>1</v>
      </c>
      <c r="AA334" s="1" t="str">
        <f t="shared" ca="1" si="36"/>
        <v>VENCIDO</v>
      </c>
      <c r="AB334" s="1" t="str">
        <f t="shared" si="37"/>
        <v>SL-On</v>
      </c>
      <c r="AC334" s="2" t="str">
        <f t="shared" si="41"/>
        <v xml:space="preserve"> CLEITON </v>
      </c>
      <c r="AD334" s="2">
        <f t="shared" si="38"/>
        <v>1</v>
      </c>
      <c r="AE334" s="2">
        <f t="shared" ca="1" si="39"/>
        <v>-272.26231331018789</v>
      </c>
      <c r="AF334" s="15"/>
    </row>
    <row r="335" spans="1:32" hidden="1">
      <c r="A335" s="1">
        <v>8642585</v>
      </c>
      <c r="B335" s="1" t="s">
        <v>653</v>
      </c>
      <c r="C335" t="s">
        <v>654</v>
      </c>
      <c r="E335" s="2">
        <v>1835001400040</v>
      </c>
      <c r="F335" s="1" t="s">
        <v>644</v>
      </c>
      <c r="G335" s="1" t="s">
        <v>53</v>
      </c>
      <c r="H335" s="1" t="s">
        <v>305</v>
      </c>
      <c r="I335" s="1" t="s">
        <v>306</v>
      </c>
      <c r="J335" s="1" t="s">
        <v>46</v>
      </c>
      <c r="K335" t="s">
        <v>645</v>
      </c>
      <c r="M335" s="1" t="s">
        <v>58</v>
      </c>
      <c r="N335" s="1">
        <v>0</v>
      </c>
      <c r="O335" s="1" t="s">
        <v>105</v>
      </c>
      <c r="P335" s="11" t="s">
        <v>717</v>
      </c>
      <c r="R335" s="1">
        <v>3</v>
      </c>
      <c r="T335" s="1" t="s">
        <v>646</v>
      </c>
      <c r="U335" s="11" t="s">
        <v>718</v>
      </c>
      <c r="V335" s="1" t="s">
        <v>41</v>
      </c>
      <c r="W335" s="1" t="s">
        <v>49</v>
      </c>
      <c r="X335" s="13" t="str">
        <f t="shared" si="40"/>
        <v/>
      </c>
      <c r="Y335" s="2">
        <f t="shared" ca="1" si="35"/>
        <v>196</v>
      </c>
      <c r="Z335" s="14">
        <v>1</v>
      </c>
      <c r="AA335" s="1" t="str">
        <f t="shared" ca="1" si="36"/>
        <v>VENCIDO</v>
      </c>
      <c r="AB335" s="1" t="str">
        <f t="shared" si="37"/>
        <v>SL-On</v>
      </c>
      <c r="AC335" s="2" t="str">
        <f t="shared" si="41"/>
        <v xml:space="preserve"> CLEITON </v>
      </c>
      <c r="AD335" s="2">
        <f t="shared" si="38"/>
        <v>1</v>
      </c>
      <c r="AE335" s="2">
        <f t="shared" ca="1" si="39"/>
        <v>-272.26231331018789</v>
      </c>
      <c r="AF335" s="15"/>
    </row>
    <row r="336" spans="1:32" hidden="1">
      <c r="A336" s="1">
        <v>8642583</v>
      </c>
      <c r="B336" s="1" t="s">
        <v>653</v>
      </c>
      <c r="C336" t="s">
        <v>654</v>
      </c>
      <c r="E336" s="2">
        <v>1833001400040</v>
      </c>
      <c r="F336" s="1" t="s">
        <v>644</v>
      </c>
      <c r="G336" s="1" t="s">
        <v>53</v>
      </c>
      <c r="H336" s="1" t="s">
        <v>369</v>
      </c>
      <c r="I336" s="1" t="s">
        <v>370</v>
      </c>
      <c r="J336" s="1" t="s">
        <v>46</v>
      </c>
      <c r="K336" t="s">
        <v>645</v>
      </c>
      <c r="M336" s="1" t="s">
        <v>58</v>
      </c>
      <c r="N336" s="1">
        <v>0</v>
      </c>
      <c r="O336" s="1" t="s">
        <v>105</v>
      </c>
      <c r="P336" s="11" t="s">
        <v>717</v>
      </c>
      <c r="R336" s="1">
        <v>3</v>
      </c>
      <c r="T336" s="1" t="s">
        <v>646</v>
      </c>
      <c r="U336" s="11" t="s">
        <v>718</v>
      </c>
      <c r="V336" s="1" t="s">
        <v>41</v>
      </c>
      <c r="W336" s="1" t="s">
        <v>49</v>
      </c>
      <c r="X336" s="13" t="str">
        <f t="shared" si="40"/>
        <v/>
      </c>
      <c r="Y336" s="2">
        <f t="shared" ca="1" si="35"/>
        <v>196</v>
      </c>
      <c r="Z336" s="14">
        <v>1</v>
      </c>
      <c r="AA336" s="1" t="str">
        <f t="shared" ca="1" si="36"/>
        <v>VENCIDO</v>
      </c>
      <c r="AB336" s="1" t="str">
        <f t="shared" si="37"/>
        <v>SL-On</v>
      </c>
      <c r="AC336" s="2" t="str">
        <f t="shared" si="41"/>
        <v xml:space="preserve"> CLEITON </v>
      </c>
      <c r="AD336" s="2">
        <f t="shared" si="38"/>
        <v>1</v>
      </c>
      <c r="AE336" s="2">
        <f t="shared" ca="1" si="39"/>
        <v>-272.26231331018789</v>
      </c>
      <c r="AF336" s="15"/>
    </row>
    <row r="337" spans="1:32" hidden="1">
      <c r="A337" s="1">
        <v>8642527</v>
      </c>
      <c r="B337" s="1" t="s">
        <v>653</v>
      </c>
      <c r="C337" t="s">
        <v>654</v>
      </c>
      <c r="E337" s="2">
        <v>1764001400040</v>
      </c>
      <c r="F337" s="1" t="s">
        <v>644</v>
      </c>
      <c r="G337" s="1" t="s">
        <v>53</v>
      </c>
      <c r="H337" s="1" t="s">
        <v>722</v>
      </c>
      <c r="I337" s="1" t="s">
        <v>723</v>
      </c>
      <c r="J337" s="1" t="s">
        <v>90</v>
      </c>
      <c r="K337" t="s">
        <v>645</v>
      </c>
      <c r="M337" s="1" t="s">
        <v>58</v>
      </c>
      <c r="N337" s="1">
        <v>0</v>
      </c>
      <c r="O337" s="1" t="s">
        <v>36</v>
      </c>
      <c r="P337" s="11" t="s">
        <v>724</v>
      </c>
      <c r="R337" s="1">
        <v>2</v>
      </c>
      <c r="T337" s="1" t="s">
        <v>646</v>
      </c>
      <c r="U337" s="11" t="s">
        <v>3436</v>
      </c>
      <c r="V337" s="1" t="s">
        <v>41</v>
      </c>
      <c r="W337" s="1" t="s">
        <v>49</v>
      </c>
      <c r="X337" s="13" t="str">
        <f t="shared" si="40"/>
        <v/>
      </c>
      <c r="Y337" s="2">
        <f t="shared" ca="1" si="35"/>
        <v>196</v>
      </c>
      <c r="Z337" s="14">
        <v>1</v>
      </c>
      <c r="AA337" s="1" t="str">
        <f t="shared" ca="1" si="36"/>
        <v>VENCIDO</v>
      </c>
      <c r="AB337" s="1" t="str">
        <f t="shared" si="37"/>
        <v>SL-On</v>
      </c>
      <c r="AC337" s="2" t="str">
        <f t="shared" si="41"/>
        <v xml:space="preserve"> RINALDO </v>
      </c>
      <c r="AD337" s="2">
        <f t="shared" si="38"/>
        <v>1</v>
      </c>
      <c r="AE337" s="2">
        <f t="shared" ca="1" si="39"/>
        <v>-272.26260266203462</v>
      </c>
      <c r="AF337" s="15"/>
    </row>
    <row r="338" spans="1:32" hidden="1">
      <c r="A338" s="1">
        <v>8642499</v>
      </c>
      <c r="B338" s="1" t="s">
        <v>653</v>
      </c>
      <c r="C338" t="s">
        <v>654</v>
      </c>
      <c r="E338" s="2">
        <v>1732001400040</v>
      </c>
      <c r="F338" s="1" t="s">
        <v>644</v>
      </c>
      <c r="G338" s="1" t="s">
        <v>53</v>
      </c>
      <c r="H338" s="1" t="s">
        <v>177</v>
      </c>
      <c r="I338" s="1" t="s">
        <v>178</v>
      </c>
      <c r="J338" s="1" t="s">
        <v>164</v>
      </c>
      <c r="K338" t="s">
        <v>645</v>
      </c>
      <c r="M338" s="1" t="s">
        <v>58</v>
      </c>
      <c r="N338" s="1">
        <v>0</v>
      </c>
      <c r="O338" s="1" t="s">
        <v>105</v>
      </c>
      <c r="P338" s="11" t="s">
        <v>725</v>
      </c>
      <c r="R338" s="1">
        <v>3</v>
      </c>
      <c r="T338" s="1" t="s">
        <v>646</v>
      </c>
      <c r="U338" s="11" t="s">
        <v>726</v>
      </c>
      <c r="V338" s="1" t="s">
        <v>41</v>
      </c>
      <c r="W338" s="1" t="s">
        <v>49</v>
      </c>
      <c r="X338" s="13" t="str">
        <f t="shared" si="40"/>
        <v/>
      </c>
      <c r="Y338" s="2">
        <f t="shared" ca="1" si="35"/>
        <v>196</v>
      </c>
      <c r="Z338" s="14">
        <v>1</v>
      </c>
      <c r="AA338" s="1" t="str">
        <f t="shared" ca="1" si="36"/>
        <v>VENCIDO</v>
      </c>
      <c r="AB338" s="1" t="str">
        <f t="shared" si="37"/>
        <v>SL-On</v>
      </c>
      <c r="AC338" s="2" t="str">
        <f t="shared" si="41"/>
        <v xml:space="preserve"> ROSEMERE </v>
      </c>
      <c r="AD338" s="2">
        <f t="shared" si="38"/>
        <v>1</v>
      </c>
      <c r="AE338" s="2">
        <f t="shared" ca="1" si="39"/>
        <v>-272.26263738425769</v>
      </c>
      <c r="AF338" s="15"/>
    </row>
    <row r="339" spans="1:32" hidden="1">
      <c r="A339" s="1">
        <v>8642435</v>
      </c>
      <c r="B339" s="1" t="s">
        <v>653</v>
      </c>
      <c r="C339" t="s">
        <v>654</v>
      </c>
      <c r="E339" s="2">
        <v>1664001400040</v>
      </c>
      <c r="F339" s="1" t="s">
        <v>644</v>
      </c>
      <c r="G339" s="1" t="s">
        <v>53</v>
      </c>
      <c r="H339" s="1" t="s">
        <v>307</v>
      </c>
      <c r="I339" s="1" t="s">
        <v>308</v>
      </c>
      <c r="J339" s="1" t="s">
        <v>164</v>
      </c>
      <c r="K339" t="s">
        <v>645</v>
      </c>
      <c r="M339" s="1" t="s">
        <v>58</v>
      </c>
      <c r="N339" s="1">
        <v>0</v>
      </c>
      <c r="O339" s="1" t="s">
        <v>105</v>
      </c>
      <c r="P339" s="11" t="s">
        <v>727</v>
      </c>
      <c r="R339" s="1">
        <v>2</v>
      </c>
      <c r="T339" s="1" t="s">
        <v>646</v>
      </c>
      <c r="U339" s="11" t="s">
        <v>728</v>
      </c>
      <c r="V339" s="1" t="s">
        <v>41</v>
      </c>
      <c r="W339" s="1" t="s">
        <v>49</v>
      </c>
      <c r="X339" s="13" t="str">
        <f t="shared" si="40"/>
        <v/>
      </c>
      <c r="Y339" s="2">
        <f t="shared" ca="1" si="35"/>
        <v>196</v>
      </c>
      <c r="Z339" s="14">
        <v>1</v>
      </c>
      <c r="AA339" s="1" t="str">
        <f t="shared" ca="1" si="36"/>
        <v>VENCIDO</v>
      </c>
      <c r="AB339" s="1" t="str">
        <f t="shared" si="37"/>
        <v>SL-On</v>
      </c>
      <c r="AC339" s="2" t="str">
        <f t="shared" si="41"/>
        <v xml:space="preserve"> ROSEMERE </v>
      </c>
      <c r="AD339" s="2">
        <f t="shared" si="38"/>
        <v>1</v>
      </c>
      <c r="AE339" s="2">
        <f t="shared" ca="1" si="39"/>
        <v>-272.26288043981185</v>
      </c>
      <c r="AF339" s="15"/>
    </row>
    <row r="340" spans="1:32" hidden="1">
      <c r="A340" s="1">
        <v>8642415</v>
      </c>
      <c r="B340" s="1" t="s">
        <v>653</v>
      </c>
      <c r="C340" t="s">
        <v>654</v>
      </c>
      <c r="E340" s="2">
        <v>1643001400040</v>
      </c>
      <c r="F340" s="1" t="s">
        <v>644</v>
      </c>
      <c r="G340" s="1" t="s">
        <v>53</v>
      </c>
      <c r="H340" s="1" t="s">
        <v>361</v>
      </c>
      <c r="I340" s="1" t="s">
        <v>362</v>
      </c>
      <c r="J340" s="1" t="s">
        <v>261</v>
      </c>
      <c r="K340" t="s">
        <v>645</v>
      </c>
      <c r="M340" s="1" t="s">
        <v>58</v>
      </c>
      <c r="N340" s="1">
        <v>0</v>
      </c>
      <c r="O340" s="1" t="s">
        <v>105</v>
      </c>
      <c r="P340" s="11" t="s">
        <v>729</v>
      </c>
      <c r="R340" s="1">
        <v>2</v>
      </c>
      <c r="T340" s="1" t="s">
        <v>646</v>
      </c>
      <c r="U340" s="11" t="s">
        <v>730</v>
      </c>
      <c r="V340" s="1" t="s">
        <v>41</v>
      </c>
      <c r="W340" s="1" t="s">
        <v>49</v>
      </c>
      <c r="X340" s="13" t="str">
        <f t="shared" si="40"/>
        <v/>
      </c>
      <c r="Y340" s="2">
        <f t="shared" ca="1" si="35"/>
        <v>196</v>
      </c>
      <c r="Z340" s="14">
        <v>1</v>
      </c>
      <c r="AA340" s="1" t="str">
        <f t="shared" ca="1" si="36"/>
        <v>VENCIDO</v>
      </c>
      <c r="AB340" s="1" t="str">
        <f t="shared" si="37"/>
        <v>SL-On</v>
      </c>
      <c r="AC340" s="2" t="str">
        <f t="shared" si="41"/>
        <v xml:space="preserve"> CRISTINA </v>
      </c>
      <c r="AD340" s="2">
        <f t="shared" si="38"/>
        <v>1</v>
      </c>
      <c r="AE340" s="2">
        <f t="shared" ca="1" si="39"/>
        <v>-272.26291516203491</v>
      </c>
      <c r="AF340" s="15"/>
    </row>
    <row r="341" spans="1:32" hidden="1">
      <c r="A341" s="1">
        <v>8642300</v>
      </c>
      <c r="B341" s="1" t="s">
        <v>653</v>
      </c>
      <c r="C341" t="s">
        <v>654</v>
      </c>
      <c r="E341" s="2">
        <v>1509001400040</v>
      </c>
      <c r="F341" s="1" t="s">
        <v>644</v>
      </c>
      <c r="G341" s="1" t="s">
        <v>53</v>
      </c>
      <c r="H341" s="1" t="s">
        <v>731</v>
      </c>
      <c r="I341" s="1" t="s">
        <v>732</v>
      </c>
      <c r="J341" s="1" t="s">
        <v>46</v>
      </c>
      <c r="K341" t="s">
        <v>645</v>
      </c>
      <c r="M341" s="1" t="s">
        <v>58</v>
      </c>
      <c r="N341" s="1">
        <v>0</v>
      </c>
      <c r="O341" s="1" t="s">
        <v>105</v>
      </c>
      <c r="P341" s="11" t="s">
        <v>733</v>
      </c>
      <c r="R341" s="1">
        <v>3</v>
      </c>
      <c r="T341" s="1" t="s">
        <v>646</v>
      </c>
      <c r="U341" s="11" t="s">
        <v>734</v>
      </c>
      <c r="V341" s="1" t="s">
        <v>41</v>
      </c>
      <c r="W341" s="1" t="s">
        <v>49</v>
      </c>
      <c r="X341" s="13" t="str">
        <f t="shared" si="40"/>
        <v/>
      </c>
      <c r="Y341" s="2">
        <f t="shared" ca="1" si="35"/>
        <v>196</v>
      </c>
      <c r="Z341" s="14">
        <v>1</v>
      </c>
      <c r="AA341" s="1" t="str">
        <f t="shared" ca="1" si="36"/>
        <v>VENCIDO</v>
      </c>
      <c r="AB341" s="1" t="str">
        <f t="shared" si="37"/>
        <v>SL-On</v>
      </c>
      <c r="AC341" s="2" t="str">
        <f t="shared" si="41"/>
        <v xml:space="preserve"> CLEITON </v>
      </c>
      <c r="AD341" s="2">
        <f t="shared" si="38"/>
        <v>1</v>
      </c>
      <c r="AE341" s="2">
        <f t="shared" ca="1" si="39"/>
        <v>-272.26329710648133</v>
      </c>
      <c r="AF341" s="15"/>
    </row>
    <row r="342" spans="1:32" hidden="1">
      <c r="A342" s="1">
        <v>8642161</v>
      </c>
      <c r="B342" s="1" t="s">
        <v>653</v>
      </c>
      <c r="C342" t="s">
        <v>654</v>
      </c>
      <c r="E342" s="2">
        <v>1362001400040</v>
      </c>
      <c r="F342" s="1" t="s">
        <v>644</v>
      </c>
      <c r="G342" s="1" t="s">
        <v>53</v>
      </c>
      <c r="H342" s="1" t="s">
        <v>268</v>
      </c>
      <c r="I342" s="1" t="s">
        <v>269</v>
      </c>
      <c r="J342" s="1" t="s">
        <v>90</v>
      </c>
      <c r="K342" t="s">
        <v>645</v>
      </c>
      <c r="M342" s="1" t="s">
        <v>58</v>
      </c>
      <c r="N342" s="1">
        <v>0</v>
      </c>
      <c r="O342" s="1" t="s">
        <v>105</v>
      </c>
      <c r="P342" s="11" t="s">
        <v>735</v>
      </c>
      <c r="R342" s="1">
        <v>3</v>
      </c>
      <c r="T342" s="1" t="s">
        <v>646</v>
      </c>
      <c r="U342" s="11" t="s">
        <v>736</v>
      </c>
      <c r="V342" s="1" t="s">
        <v>41</v>
      </c>
      <c r="W342" s="1" t="s">
        <v>49</v>
      </c>
      <c r="X342" s="13" t="str">
        <f t="shared" si="40"/>
        <v/>
      </c>
      <c r="Y342" s="2">
        <f t="shared" ca="1" si="35"/>
        <v>196</v>
      </c>
      <c r="Z342" s="14">
        <v>1</v>
      </c>
      <c r="AA342" s="1" t="str">
        <f t="shared" ca="1" si="36"/>
        <v>VENCIDO</v>
      </c>
      <c r="AB342" s="1" t="str">
        <f t="shared" si="37"/>
        <v>SL-On</v>
      </c>
      <c r="AC342" s="2" t="str">
        <f t="shared" si="41"/>
        <v xml:space="preserve"> RINALDO </v>
      </c>
      <c r="AD342" s="2">
        <f t="shared" si="38"/>
        <v>1</v>
      </c>
      <c r="AE342" s="2">
        <f t="shared" ca="1" si="39"/>
        <v>-272.26381793981272</v>
      </c>
      <c r="AF342" s="15"/>
    </row>
    <row r="343" spans="1:32" hidden="1">
      <c r="A343" s="1">
        <v>8642159</v>
      </c>
      <c r="B343" s="1" t="s">
        <v>653</v>
      </c>
      <c r="C343" t="s">
        <v>654</v>
      </c>
      <c r="E343" s="2">
        <v>1360001400040</v>
      </c>
      <c r="F343" s="1" t="s">
        <v>644</v>
      </c>
      <c r="G343" s="1" t="s">
        <v>53</v>
      </c>
      <c r="H343" s="1" t="s">
        <v>303</v>
      </c>
      <c r="I343" s="1" t="s">
        <v>304</v>
      </c>
      <c r="J343" s="1" t="s">
        <v>261</v>
      </c>
      <c r="K343" t="s">
        <v>645</v>
      </c>
      <c r="M343" s="1" t="s">
        <v>58</v>
      </c>
      <c r="N343" s="1">
        <v>0</v>
      </c>
      <c r="O343" s="1" t="s">
        <v>105</v>
      </c>
      <c r="P343" s="11" t="s">
        <v>735</v>
      </c>
      <c r="R343" s="1">
        <v>3</v>
      </c>
      <c r="T343" s="1" t="s">
        <v>646</v>
      </c>
      <c r="U343" s="11" t="s">
        <v>736</v>
      </c>
      <c r="V343" s="1" t="s">
        <v>41</v>
      </c>
      <c r="W343" s="1" t="s">
        <v>49</v>
      </c>
      <c r="X343" s="13" t="str">
        <f t="shared" si="40"/>
        <v/>
      </c>
      <c r="Y343" s="2">
        <f t="shared" ca="1" si="35"/>
        <v>196</v>
      </c>
      <c r="Z343" s="14">
        <v>1</v>
      </c>
      <c r="AA343" s="1" t="str">
        <f t="shared" ca="1" si="36"/>
        <v>VENCIDO</v>
      </c>
      <c r="AB343" s="1" t="str">
        <f t="shared" si="37"/>
        <v>SL-On</v>
      </c>
      <c r="AC343" s="2" t="str">
        <f t="shared" si="41"/>
        <v xml:space="preserve"> CRISTINA </v>
      </c>
      <c r="AD343" s="2">
        <f t="shared" si="38"/>
        <v>1</v>
      </c>
      <c r="AE343" s="2">
        <f t="shared" ca="1" si="39"/>
        <v>-272.26381793981272</v>
      </c>
      <c r="AF343" s="15"/>
    </row>
    <row r="344" spans="1:32" hidden="1">
      <c r="A344" s="1">
        <v>8642158</v>
      </c>
      <c r="B344" s="1" t="s">
        <v>653</v>
      </c>
      <c r="C344" t="s">
        <v>654</v>
      </c>
      <c r="E344" s="2">
        <v>1359001400040</v>
      </c>
      <c r="F344" s="1" t="s">
        <v>644</v>
      </c>
      <c r="G344" s="1" t="s">
        <v>53</v>
      </c>
      <c r="H344" s="1" t="s">
        <v>270</v>
      </c>
      <c r="I344" s="1" t="s">
        <v>271</v>
      </c>
      <c r="J344" s="1" t="s">
        <v>141</v>
      </c>
      <c r="K344" t="s">
        <v>645</v>
      </c>
      <c r="M344" s="1" t="s">
        <v>58</v>
      </c>
      <c r="N344" s="1">
        <v>0</v>
      </c>
      <c r="O344" s="1" t="s">
        <v>105</v>
      </c>
      <c r="P344" s="11" t="s">
        <v>735</v>
      </c>
      <c r="R344" s="1">
        <v>2</v>
      </c>
      <c r="T344" s="1" t="s">
        <v>646</v>
      </c>
      <c r="U344" s="11" t="s">
        <v>736</v>
      </c>
      <c r="V344" s="1" t="s">
        <v>41</v>
      </c>
      <c r="W344" s="1" t="s">
        <v>49</v>
      </c>
      <c r="X344" s="13" t="str">
        <f t="shared" si="40"/>
        <v/>
      </c>
      <c r="Y344" s="2">
        <f t="shared" ca="1" si="35"/>
        <v>196</v>
      </c>
      <c r="Z344" s="14">
        <v>1</v>
      </c>
      <c r="AA344" s="1" t="str">
        <f t="shared" ca="1" si="36"/>
        <v>VENCIDO</v>
      </c>
      <c r="AB344" s="1" t="str">
        <f t="shared" si="37"/>
        <v>SL-On</v>
      </c>
      <c r="AC344" s="2" t="str">
        <f t="shared" si="41"/>
        <v xml:space="preserve"> CRISTINA </v>
      </c>
      <c r="AD344" s="2">
        <f t="shared" si="38"/>
        <v>1</v>
      </c>
      <c r="AE344" s="2">
        <f t="shared" ca="1" si="39"/>
        <v>-272.26381793981272</v>
      </c>
      <c r="AF344" s="15"/>
    </row>
    <row r="345" spans="1:32" hidden="1">
      <c r="A345" s="1">
        <v>8641875</v>
      </c>
      <c r="B345" s="1" t="s">
        <v>653</v>
      </c>
      <c r="C345" t="s">
        <v>654</v>
      </c>
      <c r="E345" s="2">
        <v>1059001400040</v>
      </c>
      <c r="F345" s="1" t="s">
        <v>644</v>
      </c>
      <c r="G345" s="1" t="s">
        <v>53</v>
      </c>
      <c r="H345" s="1" t="s">
        <v>88</v>
      </c>
      <c r="I345" s="1" t="s">
        <v>89</v>
      </c>
      <c r="J345" s="1" t="s">
        <v>90</v>
      </c>
      <c r="K345" t="s">
        <v>645</v>
      </c>
      <c r="M345" s="1" t="s">
        <v>58</v>
      </c>
      <c r="N345" s="1">
        <v>0</v>
      </c>
      <c r="O345" s="1" t="s">
        <v>105</v>
      </c>
      <c r="P345" s="11" t="s">
        <v>737</v>
      </c>
      <c r="R345" s="1">
        <v>2</v>
      </c>
      <c r="T345" s="1" t="s">
        <v>646</v>
      </c>
      <c r="U345" s="11" t="s">
        <v>738</v>
      </c>
      <c r="V345" s="1" t="s">
        <v>41</v>
      </c>
      <c r="W345" s="1" t="s">
        <v>49</v>
      </c>
      <c r="X345" s="13" t="str">
        <f t="shared" si="40"/>
        <v/>
      </c>
      <c r="Y345" s="2">
        <f t="shared" ca="1" si="35"/>
        <v>196</v>
      </c>
      <c r="Z345" s="14">
        <v>1</v>
      </c>
      <c r="AA345" s="1" t="str">
        <f t="shared" ca="1" si="36"/>
        <v>VENCIDO</v>
      </c>
      <c r="AB345" s="1" t="str">
        <f t="shared" si="37"/>
        <v>SL-On</v>
      </c>
      <c r="AC345" s="2" t="str">
        <f t="shared" si="41"/>
        <v xml:space="preserve"> RINALDO </v>
      </c>
      <c r="AD345" s="2">
        <f t="shared" si="38"/>
        <v>1</v>
      </c>
      <c r="AE345" s="2">
        <f t="shared" ca="1" si="39"/>
        <v>-272.2648364583365</v>
      </c>
      <c r="AF345" s="15"/>
    </row>
    <row r="346" spans="1:32" hidden="1">
      <c r="A346" s="1">
        <v>8641866</v>
      </c>
      <c r="B346" s="1" t="s">
        <v>653</v>
      </c>
      <c r="C346" t="s">
        <v>654</v>
      </c>
      <c r="E346" s="2">
        <v>1049001400040</v>
      </c>
      <c r="F346" s="1" t="s">
        <v>644</v>
      </c>
      <c r="G346" s="1" t="s">
        <v>53</v>
      </c>
      <c r="H346" s="1" t="s">
        <v>169</v>
      </c>
      <c r="I346" s="1" t="s">
        <v>170</v>
      </c>
      <c r="J346" s="1" t="s">
        <v>164</v>
      </c>
      <c r="K346" t="s">
        <v>645</v>
      </c>
      <c r="M346" s="1" t="s">
        <v>58</v>
      </c>
      <c r="N346" s="1">
        <v>0</v>
      </c>
      <c r="O346" s="1" t="s">
        <v>105</v>
      </c>
      <c r="P346" s="11" t="s">
        <v>739</v>
      </c>
      <c r="R346" s="1">
        <v>2</v>
      </c>
      <c r="T346" s="1" t="s">
        <v>646</v>
      </c>
      <c r="U346" s="11" t="s">
        <v>740</v>
      </c>
      <c r="V346" s="1" t="s">
        <v>41</v>
      </c>
      <c r="W346" s="1" t="s">
        <v>49</v>
      </c>
      <c r="X346" s="13" t="str">
        <f t="shared" si="40"/>
        <v/>
      </c>
      <c r="Y346" s="2">
        <f t="shared" ca="1" si="35"/>
        <v>196</v>
      </c>
      <c r="Z346" s="14">
        <v>1</v>
      </c>
      <c r="AA346" s="1" t="str">
        <f t="shared" ca="1" si="36"/>
        <v>VENCIDO</v>
      </c>
      <c r="AB346" s="1" t="str">
        <f t="shared" si="37"/>
        <v>SL-On</v>
      </c>
      <c r="AC346" s="2" t="str">
        <f t="shared" si="41"/>
        <v xml:space="preserve"> ROSEMERE </v>
      </c>
      <c r="AD346" s="2">
        <f t="shared" si="38"/>
        <v>1</v>
      </c>
      <c r="AE346" s="2">
        <f t="shared" ca="1" si="39"/>
        <v>-272.26484803240601</v>
      </c>
      <c r="AF346" s="15"/>
    </row>
    <row r="347" spans="1:32" hidden="1">
      <c r="A347" s="1">
        <v>8641757</v>
      </c>
      <c r="B347" s="1" t="s">
        <v>653</v>
      </c>
      <c r="C347" t="s">
        <v>654</v>
      </c>
      <c r="E347" s="2">
        <v>934001400040</v>
      </c>
      <c r="F347" s="1" t="s">
        <v>644</v>
      </c>
      <c r="G347" s="1" t="s">
        <v>53</v>
      </c>
      <c r="H347" s="1" t="s">
        <v>428</v>
      </c>
      <c r="I347" s="1" t="s">
        <v>429</v>
      </c>
      <c r="J347" s="1" t="s">
        <v>46</v>
      </c>
      <c r="K347" t="s">
        <v>645</v>
      </c>
      <c r="M347" s="1" t="s">
        <v>58</v>
      </c>
      <c r="N347" s="1">
        <v>0</v>
      </c>
      <c r="O347" s="1" t="s">
        <v>105</v>
      </c>
      <c r="P347" s="11" t="s">
        <v>741</v>
      </c>
      <c r="R347" s="1">
        <v>2</v>
      </c>
      <c r="T347" s="1" t="s">
        <v>646</v>
      </c>
      <c r="U347" s="11" t="s">
        <v>742</v>
      </c>
      <c r="V347" s="1" t="s">
        <v>41</v>
      </c>
      <c r="W347" s="1" t="s">
        <v>49</v>
      </c>
      <c r="X347" s="13" t="str">
        <f t="shared" si="40"/>
        <v/>
      </c>
      <c r="Y347" s="2">
        <f t="shared" ca="1" si="35"/>
        <v>196</v>
      </c>
      <c r="Z347" s="14">
        <v>1</v>
      </c>
      <c r="AA347" s="1" t="str">
        <f t="shared" ca="1" si="36"/>
        <v>VENCIDO</v>
      </c>
      <c r="AB347" s="1" t="str">
        <f t="shared" si="37"/>
        <v>SL-On</v>
      </c>
      <c r="AC347" s="2" t="str">
        <f t="shared" si="41"/>
        <v xml:space="preserve"> CLEITON </v>
      </c>
      <c r="AD347" s="2">
        <f t="shared" si="38"/>
        <v>1</v>
      </c>
      <c r="AE347" s="2">
        <f t="shared" ca="1" si="39"/>
        <v>-272.26518368055258</v>
      </c>
      <c r="AF347" s="15"/>
    </row>
    <row r="348" spans="1:32" hidden="1">
      <c r="A348" s="1">
        <v>8641532</v>
      </c>
      <c r="B348" s="1" t="s">
        <v>653</v>
      </c>
      <c r="C348" t="s">
        <v>654</v>
      </c>
      <c r="E348" s="2">
        <v>714001400040</v>
      </c>
      <c r="F348" s="1" t="s">
        <v>644</v>
      </c>
      <c r="G348" s="1" t="s">
        <v>53</v>
      </c>
      <c r="H348" s="1" t="s">
        <v>377</v>
      </c>
      <c r="I348" s="1" t="s">
        <v>378</v>
      </c>
      <c r="J348" s="1" t="s">
        <v>46</v>
      </c>
      <c r="K348" t="s">
        <v>645</v>
      </c>
      <c r="M348" s="1" t="s">
        <v>58</v>
      </c>
      <c r="N348" s="1">
        <v>0</v>
      </c>
      <c r="O348" s="1" t="s">
        <v>105</v>
      </c>
      <c r="P348" s="11" t="s">
        <v>743</v>
      </c>
      <c r="R348" s="1">
        <v>3</v>
      </c>
      <c r="T348" s="1" t="s">
        <v>646</v>
      </c>
      <c r="U348" s="11" t="s">
        <v>744</v>
      </c>
      <c r="V348" s="1" t="s">
        <v>41</v>
      </c>
      <c r="W348" s="1" t="s">
        <v>49</v>
      </c>
      <c r="X348" s="13" t="str">
        <f t="shared" si="40"/>
        <v/>
      </c>
      <c r="Y348" s="2">
        <f t="shared" ca="1" si="35"/>
        <v>196</v>
      </c>
      <c r="Z348" s="14">
        <v>1</v>
      </c>
      <c r="AA348" s="1" t="str">
        <f t="shared" ca="1" si="36"/>
        <v>VENCIDO</v>
      </c>
      <c r="AB348" s="1" t="str">
        <f t="shared" si="37"/>
        <v>SL-On</v>
      </c>
      <c r="AC348" s="2" t="str">
        <f t="shared" si="41"/>
        <v xml:space="preserve"> CLEITON </v>
      </c>
      <c r="AD348" s="2">
        <f t="shared" si="38"/>
        <v>1</v>
      </c>
      <c r="AE348" s="2">
        <f t="shared" ca="1" si="39"/>
        <v>-272.26594756944542</v>
      </c>
      <c r="AF348" s="15"/>
    </row>
    <row r="349" spans="1:32" hidden="1">
      <c r="A349" s="1">
        <v>8641530</v>
      </c>
      <c r="B349" s="1" t="s">
        <v>653</v>
      </c>
      <c r="C349" t="s">
        <v>654</v>
      </c>
      <c r="E349" s="2">
        <v>711001400040</v>
      </c>
      <c r="F349" s="1" t="s">
        <v>644</v>
      </c>
      <c r="G349" s="1" t="s">
        <v>53</v>
      </c>
      <c r="H349" s="1" t="s">
        <v>77</v>
      </c>
      <c r="I349" s="1" t="s">
        <v>78</v>
      </c>
      <c r="J349" s="1" t="s">
        <v>79</v>
      </c>
      <c r="K349" t="s">
        <v>645</v>
      </c>
      <c r="M349" s="1" t="s">
        <v>58</v>
      </c>
      <c r="N349" s="1">
        <v>0</v>
      </c>
      <c r="O349" s="1" t="s">
        <v>105</v>
      </c>
      <c r="P349" s="11" t="s">
        <v>743</v>
      </c>
      <c r="R349" s="1">
        <v>2</v>
      </c>
      <c r="T349" s="1" t="s">
        <v>646</v>
      </c>
      <c r="U349" s="11" t="s">
        <v>744</v>
      </c>
      <c r="V349" s="1" t="s">
        <v>41</v>
      </c>
      <c r="W349" s="1" t="s">
        <v>49</v>
      </c>
      <c r="X349" s="13" t="str">
        <f t="shared" si="40"/>
        <v/>
      </c>
      <c r="Y349" s="2">
        <f t="shared" ca="1" si="35"/>
        <v>196</v>
      </c>
      <c r="Z349" s="14">
        <v>1</v>
      </c>
      <c r="AA349" s="1" t="str">
        <f t="shared" ca="1" si="36"/>
        <v>VENCIDO</v>
      </c>
      <c r="AB349" s="1" t="str">
        <f t="shared" si="37"/>
        <v>SL-On</v>
      </c>
      <c r="AC349" s="2" t="str">
        <f t="shared" si="41"/>
        <v xml:space="preserve"> ROSEMERE </v>
      </c>
      <c r="AD349" s="2">
        <f t="shared" si="38"/>
        <v>1</v>
      </c>
      <c r="AE349" s="2">
        <f t="shared" ca="1" si="39"/>
        <v>-272.26594756944542</v>
      </c>
      <c r="AF349" s="15"/>
    </row>
    <row r="350" spans="1:32" hidden="1">
      <c r="A350" s="1">
        <v>8641366</v>
      </c>
      <c r="B350" s="1" t="s">
        <v>653</v>
      </c>
      <c r="C350" t="s">
        <v>654</v>
      </c>
      <c r="E350" s="2">
        <v>550001400040</v>
      </c>
      <c r="F350" s="1" t="s">
        <v>644</v>
      </c>
      <c r="G350" s="1" t="s">
        <v>53</v>
      </c>
      <c r="H350" s="1" t="s">
        <v>337</v>
      </c>
      <c r="I350" s="1" t="s">
        <v>338</v>
      </c>
      <c r="J350" s="1" t="s">
        <v>164</v>
      </c>
      <c r="K350" t="s">
        <v>645</v>
      </c>
      <c r="M350" s="1" t="s">
        <v>58</v>
      </c>
      <c r="N350" s="1">
        <v>0</v>
      </c>
      <c r="O350" s="1" t="s">
        <v>105</v>
      </c>
      <c r="P350" s="11" t="s">
        <v>745</v>
      </c>
      <c r="R350" s="1">
        <v>3</v>
      </c>
      <c r="T350" s="1" t="s">
        <v>646</v>
      </c>
      <c r="U350" s="11" t="s">
        <v>3437</v>
      </c>
      <c r="V350" s="1" t="s">
        <v>41</v>
      </c>
      <c r="W350" s="1" t="s">
        <v>49</v>
      </c>
      <c r="X350" s="13" t="str">
        <f t="shared" si="40"/>
        <v/>
      </c>
      <c r="Y350" s="2">
        <f t="shared" ca="1" si="35"/>
        <v>196</v>
      </c>
      <c r="Z350" s="14">
        <v>1</v>
      </c>
      <c r="AA350" s="1" t="str">
        <f t="shared" ca="1" si="36"/>
        <v>VENCIDO</v>
      </c>
      <c r="AB350" s="1" t="str">
        <f t="shared" si="37"/>
        <v>SL-On</v>
      </c>
      <c r="AC350" s="2" t="str">
        <f t="shared" si="41"/>
        <v xml:space="preserve"> ROSEMERE </v>
      </c>
      <c r="AD350" s="2">
        <f t="shared" si="38"/>
        <v>1</v>
      </c>
      <c r="AE350" s="2">
        <f t="shared" ca="1" si="39"/>
        <v>-272.26661886573856</v>
      </c>
      <c r="AF350" s="15"/>
    </row>
    <row r="351" spans="1:32" hidden="1">
      <c r="A351" s="1">
        <v>8641356</v>
      </c>
      <c r="B351" s="1" t="s">
        <v>653</v>
      </c>
      <c r="C351" t="s">
        <v>654</v>
      </c>
      <c r="E351" s="2">
        <v>537001400040</v>
      </c>
      <c r="F351" s="1" t="s">
        <v>644</v>
      </c>
      <c r="G351" s="1" t="s">
        <v>53</v>
      </c>
      <c r="H351" s="1" t="s">
        <v>442</v>
      </c>
      <c r="I351" s="1" t="s">
        <v>443</v>
      </c>
      <c r="J351" s="1" t="s">
        <v>79</v>
      </c>
      <c r="K351" t="s">
        <v>645</v>
      </c>
      <c r="M351" s="1" t="s">
        <v>58</v>
      </c>
      <c r="N351" s="1">
        <v>0</v>
      </c>
      <c r="O351" s="1" t="s">
        <v>105</v>
      </c>
      <c r="P351" s="11" t="s">
        <v>746</v>
      </c>
      <c r="R351" s="1">
        <v>2</v>
      </c>
      <c r="T351" s="1" t="s">
        <v>646</v>
      </c>
      <c r="U351" s="11" t="s">
        <v>747</v>
      </c>
      <c r="V351" s="1" t="s">
        <v>41</v>
      </c>
      <c r="W351" s="1" t="s">
        <v>49</v>
      </c>
      <c r="X351" s="13" t="str">
        <f t="shared" si="40"/>
        <v/>
      </c>
      <c r="Y351" s="2">
        <f t="shared" ca="1" si="35"/>
        <v>196</v>
      </c>
      <c r="Z351" s="14">
        <v>1</v>
      </c>
      <c r="AA351" s="1" t="str">
        <f t="shared" ca="1" si="36"/>
        <v>VENCIDO</v>
      </c>
      <c r="AB351" s="1" t="str">
        <f t="shared" si="37"/>
        <v>SL-On</v>
      </c>
      <c r="AC351" s="2" t="str">
        <f t="shared" si="41"/>
        <v xml:space="preserve"> ROSEMERE </v>
      </c>
      <c r="AD351" s="2">
        <f t="shared" si="38"/>
        <v>1</v>
      </c>
      <c r="AE351" s="2">
        <f t="shared" ca="1" si="39"/>
        <v>-272.26663043981534</v>
      </c>
      <c r="AF351" s="15"/>
    </row>
    <row r="352" spans="1:32" hidden="1">
      <c r="A352" s="1">
        <v>8641265</v>
      </c>
      <c r="B352" s="1" t="s">
        <v>653</v>
      </c>
      <c r="C352" t="s">
        <v>654</v>
      </c>
      <c r="E352" s="2">
        <v>446001400040</v>
      </c>
      <c r="F352" s="1" t="s">
        <v>644</v>
      </c>
      <c r="G352" s="1" t="s">
        <v>53</v>
      </c>
      <c r="H352" s="1" t="s">
        <v>432</v>
      </c>
      <c r="I352" s="1" t="s">
        <v>433</v>
      </c>
      <c r="J352" s="1" t="s">
        <v>110</v>
      </c>
      <c r="K352" t="s">
        <v>645</v>
      </c>
      <c r="M352" s="1" t="s">
        <v>58</v>
      </c>
      <c r="N352" s="1">
        <v>0</v>
      </c>
      <c r="O352" s="1" t="s">
        <v>105</v>
      </c>
      <c r="P352" s="11" t="s">
        <v>748</v>
      </c>
      <c r="R352" s="1">
        <v>3</v>
      </c>
      <c r="T352" s="1" t="s">
        <v>646</v>
      </c>
      <c r="U352" s="11" t="s">
        <v>749</v>
      </c>
      <c r="V352" s="1" t="s">
        <v>41</v>
      </c>
      <c r="W352" s="1" t="s">
        <v>49</v>
      </c>
      <c r="X352" s="13" t="str">
        <f t="shared" si="40"/>
        <v/>
      </c>
      <c r="Y352" s="2">
        <f t="shared" ca="1" si="35"/>
        <v>196</v>
      </c>
      <c r="Z352" s="14">
        <v>1</v>
      </c>
      <c r="AA352" s="1" t="str">
        <f t="shared" ca="1" si="36"/>
        <v>VENCIDO</v>
      </c>
      <c r="AB352" s="1" t="str">
        <f t="shared" si="37"/>
        <v>SL-On</v>
      </c>
      <c r="AC352" s="2" t="str">
        <f t="shared" si="41"/>
        <v xml:space="preserve"> CRISTINA </v>
      </c>
      <c r="AD352" s="2">
        <f t="shared" si="38"/>
        <v>1</v>
      </c>
      <c r="AE352" s="2">
        <f t="shared" ca="1" si="39"/>
        <v>-272.26694293981564</v>
      </c>
      <c r="AF352" s="15"/>
    </row>
    <row r="353" spans="1:32" hidden="1">
      <c r="A353" s="1">
        <v>8641027</v>
      </c>
      <c r="B353" s="1" t="s">
        <v>653</v>
      </c>
      <c r="C353" t="s">
        <v>654</v>
      </c>
      <c r="E353" s="2">
        <v>233001400040</v>
      </c>
      <c r="F353" s="1" t="s">
        <v>644</v>
      </c>
      <c r="G353" s="1" t="s">
        <v>53</v>
      </c>
      <c r="H353" s="1" t="s">
        <v>424</v>
      </c>
      <c r="I353" s="1" t="s">
        <v>425</v>
      </c>
      <c r="J353" s="1" t="s">
        <v>261</v>
      </c>
      <c r="K353" t="s">
        <v>645</v>
      </c>
      <c r="M353" s="1" t="s">
        <v>58</v>
      </c>
      <c r="N353" s="1">
        <v>0</v>
      </c>
      <c r="O353" s="1" t="s">
        <v>105</v>
      </c>
      <c r="P353" s="11" t="s">
        <v>750</v>
      </c>
      <c r="R353" s="1">
        <v>2</v>
      </c>
      <c r="T353" s="1" t="s">
        <v>646</v>
      </c>
      <c r="U353" s="11" t="s">
        <v>751</v>
      </c>
      <c r="V353" s="1" t="s">
        <v>41</v>
      </c>
      <c r="W353" s="1" t="s">
        <v>49</v>
      </c>
      <c r="X353" s="13" t="str">
        <f t="shared" si="40"/>
        <v/>
      </c>
      <c r="Y353" s="2">
        <f t="shared" ca="1" si="35"/>
        <v>196</v>
      </c>
      <c r="Z353" s="14">
        <v>1</v>
      </c>
      <c r="AA353" s="1" t="str">
        <f t="shared" ca="1" si="36"/>
        <v>VENCIDO</v>
      </c>
      <c r="AB353" s="1" t="str">
        <f t="shared" si="37"/>
        <v>SL-On</v>
      </c>
      <c r="AC353" s="2" t="str">
        <f t="shared" si="41"/>
        <v xml:space="preserve"> CRISTINA </v>
      </c>
      <c r="AD353" s="2">
        <f t="shared" si="38"/>
        <v>1</v>
      </c>
      <c r="AE353" s="2">
        <f t="shared" ca="1" si="39"/>
        <v>-272.26814664351696</v>
      </c>
      <c r="AF353" s="15"/>
    </row>
    <row r="354" spans="1:32" hidden="1">
      <c r="A354" s="1">
        <v>8640672</v>
      </c>
      <c r="B354" s="1" t="s">
        <v>653</v>
      </c>
      <c r="C354" t="s">
        <v>752</v>
      </c>
      <c r="E354" s="2">
        <v>7802341400030</v>
      </c>
      <c r="F354" s="1" t="s">
        <v>647</v>
      </c>
      <c r="G354" s="1" t="s">
        <v>53</v>
      </c>
      <c r="H354" s="1" t="s">
        <v>753</v>
      </c>
      <c r="I354" s="1" t="s">
        <v>754</v>
      </c>
      <c r="J354" s="1" t="s">
        <v>46</v>
      </c>
      <c r="K354" t="s">
        <v>650</v>
      </c>
      <c r="M354" s="1" t="s">
        <v>58</v>
      </c>
      <c r="N354" s="1">
        <v>0</v>
      </c>
      <c r="O354" s="1" t="s">
        <v>105</v>
      </c>
      <c r="P354" s="11" t="s">
        <v>755</v>
      </c>
      <c r="R354" s="1">
        <v>4</v>
      </c>
      <c r="T354" s="1" t="s">
        <v>646</v>
      </c>
      <c r="U354" s="11" t="s">
        <v>756</v>
      </c>
      <c r="V354" s="1" t="s">
        <v>41</v>
      </c>
      <c r="W354" s="1" t="s">
        <v>49</v>
      </c>
      <c r="X354" s="13" t="str">
        <f t="shared" si="40"/>
        <v>7802.34</v>
      </c>
      <c r="Y354" s="2">
        <f t="shared" ca="1" si="35"/>
        <v>196</v>
      </c>
      <c r="Z354" s="14">
        <v>1</v>
      </c>
      <c r="AA354" s="1" t="str">
        <f t="shared" ca="1" si="36"/>
        <v>VENCIDO</v>
      </c>
      <c r="AB354" s="1" t="str">
        <f t="shared" si="37"/>
        <v>C-14</v>
      </c>
      <c r="AC354" s="2" t="str">
        <f t="shared" si="41"/>
        <v xml:space="preserve"> CLEITON </v>
      </c>
      <c r="AD354" s="2">
        <f t="shared" si="38"/>
        <v>15</v>
      </c>
      <c r="AE354" s="2">
        <f t="shared" ca="1" si="39"/>
        <v>-272.26931562500249</v>
      </c>
      <c r="AF354" s="15"/>
    </row>
    <row r="355" spans="1:32" hidden="1">
      <c r="A355" s="1">
        <v>8640671</v>
      </c>
      <c r="B355" s="1" t="s">
        <v>653</v>
      </c>
      <c r="C355" t="s">
        <v>752</v>
      </c>
      <c r="E355" s="2">
        <v>7802281400030</v>
      </c>
      <c r="F355" s="1" t="s">
        <v>647</v>
      </c>
      <c r="G355" s="1" t="s">
        <v>53</v>
      </c>
      <c r="H355" s="1" t="s">
        <v>757</v>
      </c>
      <c r="I355" s="1" t="s">
        <v>758</v>
      </c>
      <c r="J355" s="1" t="s">
        <v>46</v>
      </c>
      <c r="K355" t="s">
        <v>650</v>
      </c>
      <c r="M355" s="1" t="s">
        <v>58</v>
      </c>
      <c r="N355" s="1">
        <v>0</v>
      </c>
      <c r="O355" s="1" t="s">
        <v>105</v>
      </c>
      <c r="P355" s="11" t="s">
        <v>755</v>
      </c>
      <c r="R355" s="1">
        <v>4</v>
      </c>
      <c r="T355" s="1" t="s">
        <v>646</v>
      </c>
      <c r="U355" s="11" t="s">
        <v>756</v>
      </c>
      <c r="V355" s="1" t="s">
        <v>41</v>
      </c>
      <c r="W355" s="1" t="s">
        <v>49</v>
      </c>
      <c r="X355" s="13" t="str">
        <f t="shared" si="40"/>
        <v>7802.28</v>
      </c>
      <c r="Y355" s="2">
        <f t="shared" ca="1" si="35"/>
        <v>196</v>
      </c>
      <c r="Z355" s="14">
        <v>1</v>
      </c>
      <c r="AA355" s="1" t="str">
        <f t="shared" ca="1" si="36"/>
        <v>VENCIDO</v>
      </c>
      <c r="AB355" s="1" t="str">
        <f t="shared" si="37"/>
        <v>C-14</v>
      </c>
      <c r="AC355" s="2" t="str">
        <f t="shared" si="41"/>
        <v xml:space="preserve"> CLEITON </v>
      </c>
      <c r="AD355" s="2">
        <f t="shared" si="38"/>
        <v>15</v>
      </c>
      <c r="AE355" s="2">
        <f t="shared" ca="1" si="39"/>
        <v>-272.26931562500249</v>
      </c>
      <c r="AF355" s="15"/>
    </row>
    <row r="356" spans="1:32" hidden="1">
      <c r="A356" s="1">
        <v>8640670</v>
      </c>
      <c r="B356" s="1" t="s">
        <v>653</v>
      </c>
      <c r="C356" t="s">
        <v>752</v>
      </c>
      <c r="E356" s="2">
        <v>7802221400030</v>
      </c>
      <c r="F356" s="1" t="s">
        <v>647</v>
      </c>
      <c r="G356" s="1" t="s">
        <v>53</v>
      </c>
      <c r="H356" s="1" t="s">
        <v>759</v>
      </c>
      <c r="I356" s="1" t="s">
        <v>760</v>
      </c>
      <c r="J356" s="1" t="s">
        <v>46</v>
      </c>
      <c r="K356" t="s">
        <v>650</v>
      </c>
      <c r="M356" s="1" t="s">
        <v>58</v>
      </c>
      <c r="N356" s="1">
        <v>0</v>
      </c>
      <c r="O356" s="1" t="s">
        <v>105</v>
      </c>
      <c r="P356" s="11" t="s">
        <v>755</v>
      </c>
      <c r="R356" s="1">
        <v>4</v>
      </c>
      <c r="T356" s="1" t="s">
        <v>646</v>
      </c>
      <c r="U356" s="11" t="s">
        <v>756</v>
      </c>
      <c r="V356" s="1" t="s">
        <v>41</v>
      </c>
      <c r="W356" s="1" t="s">
        <v>49</v>
      </c>
      <c r="X356" s="13" t="str">
        <f t="shared" si="40"/>
        <v>7802.22</v>
      </c>
      <c r="Y356" s="2">
        <f t="shared" ca="1" si="35"/>
        <v>196</v>
      </c>
      <c r="Z356" s="14">
        <v>1</v>
      </c>
      <c r="AA356" s="1" t="str">
        <f t="shared" ca="1" si="36"/>
        <v>VENCIDO</v>
      </c>
      <c r="AB356" s="1" t="str">
        <f t="shared" si="37"/>
        <v>C-14</v>
      </c>
      <c r="AC356" s="2" t="str">
        <f t="shared" si="41"/>
        <v xml:space="preserve"> CLEITON </v>
      </c>
      <c r="AD356" s="2">
        <f t="shared" si="38"/>
        <v>15</v>
      </c>
      <c r="AE356" s="2">
        <f t="shared" ca="1" si="39"/>
        <v>-272.26931562500249</v>
      </c>
      <c r="AF356" s="15"/>
    </row>
    <row r="357" spans="1:32" hidden="1">
      <c r="A357" s="1">
        <v>8640669</v>
      </c>
      <c r="B357" s="1" t="s">
        <v>653</v>
      </c>
      <c r="C357" t="s">
        <v>752</v>
      </c>
      <c r="E357" s="2">
        <v>7802211400030</v>
      </c>
      <c r="F357" s="1" t="s">
        <v>647</v>
      </c>
      <c r="G357" s="1" t="s">
        <v>53</v>
      </c>
      <c r="H357" s="1" t="s">
        <v>761</v>
      </c>
      <c r="I357" s="1" t="s">
        <v>762</v>
      </c>
      <c r="J357" s="1" t="s">
        <v>46</v>
      </c>
      <c r="K357" t="s">
        <v>650</v>
      </c>
      <c r="M357" s="1" t="s">
        <v>58</v>
      </c>
      <c r="N357" s="1">
        <v>0</v>
      </c>
      <c r="O357" s="1" t="s">
        <v>105</v>
      </c>
      <c r="P357" s="11" t="s">
        <v>755</v>
      </c>
      <c r="R357" s="1">
        <v>4</v>
      </c>
      <c r="T357" s="1" t="s">
        <v>646</v>
      </c>
      <c r="U357" s="11" t="s">
        <v>756</v>
      </c>
      <c r="V357" s="1" t="s">
        <v>41</v>
      </c>
      <c r="W357" s="1" t="s">
        <v>49</v>
      </c>
      <c r="X357" s="13" t="str">
        <f t="shared" si="40"/>
        <v>7802.21</v>
      </c>
      <c r="Y357" s="2">
        <f t="shared" ca="1" si="35"/>
        <v>196</v>
      </c>
      <c r="Z357" s="14">
        <v>1</v>
      </c>
      <c r="AA357" s="1" t="str">
        <f t="shared" ca="1" si="36"/>
        <v>VENCIDO</v>
      </c>
      <c r="AB357" s="1" t="str">
        <f t="shared" si="37"/>
        <v>C-14</v>
      </c>
      <c r="AC357" s="2" t="str">
        <f t="shared" si="41"/>
        <v xml:space="preserve"> CLEITON </v>
      </c>
      <c r="AD357" s="2">
        <f t="shared" si="38"/>
        <v>15</v>
      </c>
      <c r="AE357" s="2">
        <f t="shared" ca="1" si="39"/>
        <v>-272.26931562500249</v>
      </c>
      <c r="AF357" s="15"/>
    </row>
    <row r="358" spans="1:32" hidden="1">
      <c r="A358" s="1">
        <v>8640668</v>
      </c>
      <c r="B358" s="1" t="s">
        <v>653</v>
      </c>
      <c r="C358" t="s">
        <v>752</v>
      </c>
      <c r="E358" s="2">
        <v>7802191400030</v>
      </c>
      <c r="F358" s="1" t="s">
        <v>647</v>
      </c>
      <c r="G358" s="1" t="s">
        <v>53</v>
      </c>
      <c r="H358" s="1" t="s">
        <v>763</v>
      </c>
      <c r="I358" s="1" t="s">
        <v>764</v>
      </c>
      <c r="J358" s="1" t="s">
        <v>46</v>
      </c>
      <c r="K358" t="s">
        <v>650</v>
      </c>
      <c r="M358" s="1" t="s">
        <v>58</v>
      </c>
      <c r="N358" s="1">
        <v>0</v>
      </c>
      <c r="O358" s="1" t="s">
        <v>105</v>
      </c>
      <c r="P358" s="11" t="s">
        <v>765</v>
      </c>
      <c r="R358" s="1">
        <v>4</v>
      </c>
      <c r="T358" s="1" t="s">
        <v>646</v>
      </c>
      <c r="U358" s="11" t="s">
        <v>756</v>
      </c>
      <c r="V358" s="1" t="s">
        <v>41</v>
      </c>
      <c r="W358" s="1" t="s">
        <v>49</v>
      </c>
      <c r="X358" s="13" t="str">
        <f t="shared" si="40"/>
        <v>7802.19</v>
      </c>
      <c r="Y358" s="2">
        <f t="shared" ca="1" si="35"/>
        <v>196</v>
      </c>
      <c r="Z358" s="14">
        <v>1</v>
      </c>
      <c r="AA358" s="1" t="str">
        <f t="shared" ca="1" si="36"/>
        <v>VENCIDO</v>
      </c>
      <c r="AB358" s="1" t="str">
        <f t="shared" si="37"/>
        <v>C-14</v>
      </c>
      <c r="AC358" s="2" t="str">
        <f t="shared" si="41"/>
        <v xml:space="preserve"> CLEITON </v>
      </c>
      <c r="AD358" s="2">
        <f t="shared" si="38"/>
        <v>15</v>
      </c>
      <c r="AE358" s="2">
        <f t="shared" ca="1" si="39"/>
        <v>-272.26931562500249</v>
      </c>
      <c r="AF358" s="15"/>
    </row>
    <row r="359" spans="1:32" hidden="1">
      <c r="A359" s="1">
        <v>8640667</v>
      </c>
      <c r="B359" s="1" t="s">
        <v>653</v>
      </c>
      <c r="C359" t="s">
        <v>752</v>
      </c>
      <c r="E359" s="2">
        <v>7802181400030</v>
      </c>
      <c r="F359" s="1" t="s">
        <v>647</v>
      </c>
      <c r="G359" s="1" t="s">
        <v>53</v>
      </c>
      <c r="H359" s="1" t="s">
        <v>766</v>
      </c>
      <c r="I359" s="1" t="s">
        <v>767</v>
      </c>
      <c r="J359" s="1" t="s">
        <v>46</v>
      </c>
      <c r="K359" t="s">
        <v>650</v>
      </c>
      <c r="M359" s="1" t="s">
        <v>58</v>
      </c>
      <c r="N359" s="1">
        <v>0</v>
      </c>
      <c r="O359" s="1" t="s">
        <v>105</v>
      </c>
      <c r="P359" s="11" t="s">
        <v>765</v>
      </c>
      <c r="R359" s="1">
        <v>4</v>
      </c>
      <c r="T359" s="1" t="s">
        <v>646</v>
      </c>
      <c r="U359" s="11" t="s">
        <v>768</v>
      </c>
      <c r="V359" s="1" t="s">
        <v>41</v>
      </c>
      <c r="W359" s="1" t="s">
        <v>49</v>
      </c>
      <c r="X359" s="13" t="str">
        <f t="shared" si="40"/>
        <v>7802.18</v>
      </c>
      <c r="Y359" s="2">
        <f t="shared" ca="1" si="35"/>
        <v>196</v>
      </c>
      <c r="Z359" s="14">
        <v>1</v>
      </c>
      <c r="AA359" s="1" t="str">
        <f t="shared" ca="1" si="36"/>
        <v>VENCIDO</v>
      </c>
      <c r="AB359" s="1" t="str">
        <f t="shared" si="37"/>
        <v>C-14</v>
      </c>
      <c r="AC359" s="2" t="str">
        <f t="shared" si="41"/>
        <v xml:space="preserve"> CLEITON </v>
      </c>
      <c r="AD359" s="2">
        <f t="shared" si="38"/>
        <v>15</v>
      </c>
      <c r="AE359" s="2">
        <f t="shared" ca="1" si="39"/>
        <v>-272.26932719907199</v>
      </c>
      <c r="AF359" s="15"/>
    </row>
    <row r="360" spans="1:32" hidden="1">
      <c r="A360" s="1">
        <v>8640666</v>
      </c>
      <c r="B360" s="1" t="s">
        <v>653</v>
      </c>
      <c r="C360" t="s">
        <v>752</v>
      </c>
      <c r="E360" s="2">
        <v>7802171400030</v>
      </c>
      <c r="F360" s="1" t="s">
        <v>647</v>
      </c>
      <c r="G360" s="1" t="s">
        <v>53</v>
      </c>
      <c r="H360" s="1" t="s">
        <v>769</v>
      </c>
      <c r="I360" s="1" t="s">
        <v>770</v>
      </c>
      <c r="J360" s="1" t="s">
        <v>46</v>
      </c>
      <c r="K360" t="s">
        <v>650</v>
      </c>
      <c r="M360" s="1" t="s">
        <v>58</v>
      </c>
      <c r="N360" s="1">
        <v>0</v>
      </c>
      <c r="O360" s="1" t="s">
        <v>105</v>
      </c>
      <c r="P360" s="11" t="s">
        <v>765</v>
      </c>
      <c r="R360" s="1">
        <v>4</v>
      </c>
      <c r="T360" s="1" t="s">
        <v>646</v>
      </c>
      <c r="U360" s="11" t="s">
        <v>768</v>
      </c>
      <c r="V360" s="1" t="s">
        <v>41</v>
      </c>
      <c r="W360" s="1" t="s">
        <v>49</v>
      </c>
      <c r="X360" s="13" t="str">
        <f t="shared" si="40"/>
        <v>7802.17</v>
      </c>
      <c r="Y360" s="2">
        <f t="shared" ca="1" si="35"/>
        <v>196</v>
      </c>
      <c r="Z360" s="14">
        <v>1</v>
      </c>
      <c r="AA360" s="1" t="str">
        <f t="shared" ca="1" si="36"/>
        <v>VENCIDO</v>
      </c>
      <c r="AB360" s="1" t="str">
        <f t="shared" si="37"/>
        <v>C-14</v>
      </c>
      <c r="AC360" s="2" t="str">
        <f t="shared" si="41"/>
        <v xml:space="preserve"> CLEITON </v>
      </c>
      <c r="AD360" s="2">
        <f t="shared" si="38"/>
        <v>15</v>
      </c>
      <c r="AE360" s="2">
        <f t="shared" ca="1" si="39"/>
        <v>-272.26932719907199</v>
      </c>
      <c r="AF360" s="15"/>
    </row>
    <row r="361" spans="1:32" hidden="1">
      <c r="A361" s="1">
        <v>8640665</v>
      </c>
      <c r="B361" s="1" t="s">
        <v>653</v>
      </c>
      <c r="C361" t="s">
        <v>752</v>
      </c>
      <c r="E361" s="2">
        <v>7802051400030</v>
      </c>
      <c r="F361" s="1" t="s">
        <v>647</v>
      </c>
      <c r="G361" s="1" t="s">
        <v>53</v>
      </c>
      <c r="H361" s="1" t="s">
        <v>771</v>
      </c>
      <c r="I361" s="1" t="s">
        <v>772</v>
      </c>
      <c r="J361" s="1" t="s">
        <v>46</v>
      </c>
      <c r="K361" t="s">
        <v>650</v>
      </c>
      <c r="M361" s="1" t="s">
        <v>58</v>
      </c>
      <c r="N361" s="1">
        <v>0</v>
      </c>
      <c r="O361" s="1" t="s">
        <v>105</v>
      </c>
      <c r="P361" s="11" t="s">
        <v>765</v>
      </c>
      <c r="R361" s="1">
        <v>4</v>
      </c>
      <c r="T361" s="1" t="s">
        <v>646</v>
      </c>
      <c r="U361" s="11" t="s">
        <v>768</v>
      </c>
      <c r="V361" s="1" t="s">
        <v>41</v>
      </c>
      <c r="W361" s="1" t="s">
        <v>49</v>
      </c>
      <c r="X361" s="13" t="str">
        <f t="shared" si="40"/>
        <v>7802.05</v>
      </c>
      <c r="Y361" s="2">
        <f t="shared" ca="1" si="35"/>
        <v>196</v>
      </c>
      <c r="Z361" s="14">
        <v>1</v>
      </c>
      <c r="AA361" s="1" t="str">
        <f t="shared" ca="1" si="36"/>
        <v>VENCIDO</v>
      </c>
      <c r="AB361" s="1" t="str">
        <f t="shared" si="37"/>
        <v>C-14</v>
      </c>
      <c r="AC361" s="2" t="str">
        <f t="shared" si="41"/>
        <v xml:space="preserve"> CLEITON </v>
      </c>
      <c r="AD361" s="2">
        <f t="shared" si="38"/>
        <v>15</v>
      </c>
      <c r="AE361" s="2">
        <f t="shared" ca="1" si="39"/>
        <v>-272.26932719907199</v>
      </c>
      <c r="AF361" s="15"/>
    </row>
    <row r="362" spans="1:32" hidden="1">
      <c r="A362" s="1">
        <v>8640664</v>
      </c>
      <c r="B362" s="1" t="s">
        <v>653</v>
      </c>
      <c r="C362" t="s">
        <v>752</v>
      </c>
      <c r="E362" s="2">
        <v>7802041400030</v>
      </c>
      <c r="F362" s="1" t="s">
        <v>647</v>
      </c>
      <c r="G362" s="1" t="s">
        <v>53</v>
      </c>
      <c r="H362" s="1" t="s">
        <v>773</v>
      </c>
      <c r="I362" s="1" t="s">
        <v>774</v>
      </c>
      <c r="J362" s="1" t="s">
        <v>46</v>
      </c>
      <c r="K362" t="s">
        <v>650</v>
      </c>
      <c r="M362" s="1" t="s">
        <v>58</v>
      </c>
      <c r="N362" s="1">
        <v>0</v>
      </c>
      <c r="O362" s="1" t="s">
        <v>105</v>
      </c>
      <c r="P362" s="11" t="s">
        <v>765</v>
      </c>
      <c r="R362" s="1">
        <v>4</v>
      </c>
      <c r="T362" s="1" t="s">
        <v>646</v>
      </c>
      <c r="U362" s="11" t="s">
        <v>768</v>
      </c>
      <c r="V362" s="1" t="s">
        <v>41</v>
      </c>
      <c r="W362" s="1" t="s">
        <v>49</v>
      </c>
      <c r="X362" s="13" t="str">
        <f t="shared" si="40"/>
        <v>7802.04</v>
      </c>
      <c r="Y362" s="2">
        <f t="shared" ca="1" si="35"/>
        <v>196</v>
      </c>
      <c r="Z362" s="14">
        <v>1</v>
      </c>
      <c r="AA362" s="1" t="str">
        <f t="shared" ca="1" si="36"/>
        <v>VENCIDO</v>
      </c>
      <c r="AB362" s="1" t="str">
        <f t="shared" si="37"/>
        <v>C-14</v>
      </c>
      <c r="AC362" s="2" t="str">
        <f t="shared" si="41"/>
        <v xml:space="preserve"> CLEITON </v>
      </c>
      <c r="AD362" s="2">
        <f t="shared" si="38"/>
        <v>15</v>
      </c>
      <c r="AE362" s="2">
        <f t="shared" ca="1" si="39"/>
        <v>-272.26932719907199</v>
      </c>
      <c r="AF362" s="15"/>
    </row>
    <row r="363" spans="1:32" hidden="1">
      <c r="A363" s="1">
        <v>8640663</v>
      </c>
      <c r="B363" s="1" t="s">
        <v>653</v>
      </c>
      <c r="C363" t="s">
        <v>752</v>
      </c>
      <c r="E363" s="2">
        <v>7802021400030</v>
      </c>
      <c r="F363" s="1" t="s">
        <v>647</v>
      </c>
      <c r="G363" s="1" t="s">
        <v>53</v>
      </c>
      <c r="H363" s="1" t="s">
        <v>775</v>
      </c>
      <c r="I363" s="1" t="s">
        <v>776</v>
      </c>
      <c r="J363" s="1" t="s">
        <v>46</v>
      </c>
      <c r="K363" t="s">
        <v>650</v>
      </c>
      <c r="M363" s="1" t="s">
        <v>58</v>
      </c>
      <c r="N363" s="1">
        <v>0</v>
      </c>
      <c r="O363" s="1" t="s">
        <v>36</v>
      </c>
      <c r="P363" s="11" t="s">
        <v>765</v>
      </c>
      <c r="R363" s="1">
        <v>4</v>
      </c>
      <c r="T363" s="1" t="s">
        <v>646</v>
      </c>
      <c r="U363" s="11" t="s">
        <v>768</v>
      </c>
      <c r="V363" s="1" t="s">
        <v>41</v>
      </c>
      <c r="W363" s="1" t="s">
        <v>49</v>
      </c>
      <c r="X363" s="13" t="str">
        <f t="shared" si="40"/>
        <v>7802.02</v>
      </c>
      <c r="Y363" s="2">
        <f t="shared" ca="1" si="35"/>
        <v>196</v>
      </c>
      <c r="Z363" s="14">
        <v>1</v>
      </c>
      <c r="AA363" s="1" t="str">
        <f t="shared" ca="1" si="36"/>
        <v>VENCIDO</v>
      </c>
      <c r="AB363" s="1" t="str">
        <f t="shared" si="37"/>
        <v>C-14</v>
      </c>
      <c r="AC363" s="2" t="str">
        <f t="shared" si="41"/>
        <v xml:space="preserve"> CLEITON </v>
      </c>
      <c r="AD363" s="2">
        <f t="shared" si="38"/>
        <v>15</v>
      </c>
      <c r="AE363" s="2">
        <f t="shared" ca="1" si="39"/>
        <v>-272.26932719907199</v>
      </c>
      <c r="AF363" s="15"/>
    </row>
    <row r="364" spans="1:32" hidden="1">
      <c r="A364" s="1">
        <v>8640662</v>
      </c>
      <c r="B364" s="1" t="s">
        <v>653</v>
      </c>
      <c r="C364" t="s">
        <v>752</v>
      </c>
      <c r="E364" s="2">
        <v>7802011400030</v>
      </c>
      <c r="F364" s="1" t="s">
        <v>647</v>
      </c>
      <c r="G364" s="1" t="s">
        <v>53</v>
      </c>
      <c r="H364" s="1" t="s">
        <v>777</v>
      </c>
      <c r="I364" s="1" t="s">
        <v>778</v>
      </c>
      <c r="J364" s="1" t="s">
        <v>46</v>
      </c>
      <c r="K364" t="s">
        <v>650</v>
      </c>
      <c r="M364" s="1" t="s">
        <v>58</v>
      </c>
      <c r="N364" s="1">
        <v>0</v>
      </c>
      <c r="O364" s="1" t="s">
        <v>36</v>
      </c>
      <c r="P364" s="11" t="s">
        <v>765</v>
      </c>
      <c r="R364" s="1">
        <v>4</v>
      </c>
      <c r="T364" s="1" t="s">
        <v>646</v>
      </c>
      <c r="U364" s="11" t="s">
        <v>768</v>
      </c>
      <c r="V364" s="1" t="s">
        <v>41</v>
      </c>
      <c r="W364" s="1" t="s">
        <v>49</v>
      </c>
      <c r="X364" s="13" t="str">
        <f t="shared" si="40"/>
        <v>7802.01</v>
      </c>
      <c r="Y364" s="2">
        <f t="shared" ca="1" si="35"/>
        <v>196</v>
      </c>
      <c r="Z364" s="14">
        <v>1</v>
      </c>
      <c r="AA364" s="1" t="str">
        <f t="shared" ca="1" si="36"/>
        <v>VENCIDO</v>
      </c>
      <c r="AB364" s="1" t="str">
        <f t="shared" si="37"/>
        <v>C-14</v>
      </c>
      <c r="AC364" s="2" t="str">
        <f t="shared" si="41"/>
        <v xml:space="preserve"> CLEITON </v>
      </c>
      <c r="AD364" s="2">
        <f t="shared" si="38"/>
        <v>15</v>
      </c>
      <c r="AE364" s="2">
        <f t="shared" ca="1" si="39"/>
        <v>-272.26932719907199</v>
      </c>
      <c r="AF364" s="15"/>
    </row>
    <row r="365" spans="1:32" hidden="1">
      <c r="A365" s="1">
        <v>8640517</v>
      </c>
      <c r="B365" s="1" t="s">
        <v>653</v>
      </c>
      <c r="C365" t="s">
        <v>752</v>
      </c>
      <c r="E365" s="2">
        <v>4890081400030</v>
      </c>
      <c r="F365" s="1" t="s">
        <v>647</v>
      </c>
      <c r="G365" s="1" t="s">
        <v>53</v>
      </c>
      <c r="H365" s="1" t="s">
        <v>779</v>
      </c>
      <c r="I365" s="1" t="s">
        <v>780</v>
      </c>
      <c r="J365" s="1" t="s">
        <v>46</v>
      </c>
      <c r="K365" t="s">
        <v>650</v>
      </c>
      <c r="M365" s="1" t="s">
        <v>58</v>
      </c>
      <c r="N365" s="1">
        <v>0</v>
      </c>
      <c r="O365" s="1" t="s">
        <v>105</v>
      </c>
      <c r="P365" s="11" t="s">
        <v>781</v>
      </c>
      <c r="R365" s="1">
        <v>4</v>
      </c>
      <c r="T365" s="1" t="s">
        <v>646</v>
      </c>
      <c r="U365" s="11" t="s">
        <v>782</v>
      </c>
      <c r="V365" s="1" t="s">
        <v>41</v>
      </c>
      <c r="W365" s="1" t="s">
        <v>49</v>
      </c>
      <c r="X365" s="13" t="str">
        <f t="shared" si="40"/>
        <v>4890.08</v>
      </c>
      <c r="Y365" s="2">
        <f t="shared" ca="1" si="35"/>
        <v>196</v>
      </c>
      <c r="Z365" s="14">
        <v>1</v>
      </c>
      <c r="AA365" s="1" t="str">
        <f t="shared" ca="1" si="36"/>
        <v>VENCIDO</v>
      </c>
      <c r="AB365" s="1" t="str">
        <f t="shared" si="37"/>
        <v>C-14</v>
      </c>
      <c r="AC365" s="2" t="str">
        <f t="shared" si="41"/>
        <v xml:space="preserve"> CLEITON </v>
      </c>
      <c r="AD365" s="2">
        <f t="shared" si="38"/>
        <v>15</v>
      </c>
      <c r="AE365" s="2">
        <f t="shared" ca="1" si="39"/>
        <v>-272.26966284722585</v>
      </c>
      <c r="AF365" s="15"/>
    </row>
    <row r="366" spans="1:32" hidden="1">
      <c r="A366" s="1">
        <v>8640516</v>
      </c>
      <c r="B366" s="1" t="s">
        <v>653</v>
      </c>
      <c r="C366" t="s">
        <v>752</v>
      </c>
      <c r="E366" s="2">
        <v>4890071400030</v>
      </c>
      <c r="F366" s="1" t="s">
        <v>647</v>
      </c>
      <c r="G366" s="1" t="s">
        <v>53</v>
      </c>
      <c r="H366" s="1" t="s">
        <v>783</v>
      </c>
      <c r="I366" s="1" t="s">
        <v>784</v>
      </c>
      <c r="J366" s="1" t="s">
        <v>46</v>
      </c>
      <c r="K366" t="s">
        <v>650</v>
      </c>
      <c r="M366" s="1" t="s">
        <v>58</v>
      </c>
      <c r="N366" s="1">
        <v>0</v>
      </c>
      <c r="O366" s="1" t="s">
        <v>105</v>
      </c>
      <c r="P366" s="11" t="s">
        <v>781</v>
      </c>
      <c r="R366" s="1">
        <v>4</v>
      </c>
      <c r="T366" s="1" t="s">
        <v>646</v>
      </c>
      <c r="U366" s="11" t="s">
        <v>782</v>
      </c>
      <c r="V366" s="1" t="s">
        <v>41</v>
      </c>
      <c r="W366" s="1" t="s">
        <v>49</v>
      </c>
      <c r="X366" s="13" t="str">
        <f t="shared" si="40"/>
        <v>4890.07</v>
      </c>
      <c r="Y366" s="2">
        <f t="shared" ca="1" si="35"/>
        <v>196</v>
      </c>
      <c r="Z366" s="14">
        <v>1</v>
      </c>
      <c r="AA366" s="1" t="str">
        <f t="shared" ca="1" si="36"/>
        <v>VENCIDO</v>
      </c>
      <c r="AB366" s="1" t="str">
        <f t="shared" si="37"/>
        <v>C-14</v>
      </c>
      <c r="AC366" s="2" t="str">
        <f t="shared" si="41"/>
        <v xml:space="preserve"> CLEITON </v>
      </c>
      <c r="AD366" s="2">
        <f t="shared" si="38"/>
        <v>15</v>
      </c>
      <c r="AE366" s="2">
        <f t="shared" ca="1" si="39"/>
        <v>-272.26966284722585</v>
      </c>
      <c r="AF366" s="15"/>
    </row>
    <row r="367" spans="1:32" hidden="1">
      <c r="A367" s="1">
        <v>8640515</v>
      </c>
      <c r="B367" s="1" t="s">
        <v>653</v>
      </c>
      <c r="C367" t="s">
        <v>752</v>
      </c>
      <c r="E367" s="2">
        <v>4890061400030</v>
      </c>
      <c r="F367" s="1" t="s">
        <v>647</v>
      </c>
      <c r="G367" s="1" t="s">
        <v>53</v>
      </c>
      <c r="H367" s="1" t="s">
        <v>785</v>
      </c>
      <c r="I367" s="1" t="s">
        <v>786</v>
      </c>
      <c r="J367" s="1" t="s">
        <v>46</v>
      </c>
      <c r="K367" t="s">
        <v>650</v>
      </c>
      <c r="M367" s="1" t="s">
        <v>58</v>
      </c>
      <c r="N367" s="1">
        <v>0</v>
      </c>
      <c r="O367" s="1" t="s">
        <v>105</v>
      </c>
      <c r="P367" s="11" t="s">
        <v>781</v>
      </c>
      <c r="R367" s="1">
        <v>4</v>
      </c>
      <c r="T367" s="1" t="s">
        <v>646</v>
      </c>
      <c r="U367" s="11" t="s">
        <v>782</v>
      </c>
      <c r="V367" s="1" t="s">
        <v>41</v>
      </c>
      <c r="W367" s="1" t="s">
        <v>49</v>
      </c>
      <c r="X367" s="13" t="str">
        <f t="shared" si="40"/>
        <v>4890.06</v>
      </c>
      <c r="Y367" s="2">
        <f t="shared" ca="1" si="35"/>
        <v>196</v>
      </c>
      <c r="Z367" s="14">
        <v>1</v>
      </c>
      <c r="AA367" s="1" t="str">
        <f t="shared" ca="1" si="36"/>
        <v>VENCIDO</v>
      </c>
      <c r="AB367" s="1" t="str">
        <f t="shared" si="37"/>
        <v>C-14</v>
      </c>
      <c r="AC367" s="2" t="str">
        <f t="shared" si="41"/>
        <v xml:space="preserve"> CLEITON </v>
      </c>
      <c r="AD367" s="2">
        <f t="shared" si="38"/>
        <v>15</v>
      </c>
      <c r="AE367" s="2">
        <f t="shared" ca="1" si="39"/>
        <v>-272.26966284722585</v>
      </c>
      <c r="AF367" s="15"/>
    </row>
    <row r="368" spans="1:32" hidden="1">
      <c r="A368" s="1">
        <v>8640514</v>
      </c>
      <c r="B368" s="1" t="s">
        <v>653</v>
      </c>
      <c r="C368" t="s">
        <v>752</v>
      </c>
      <c r="E368" s="2">
        <v>4890051400030</v>
      </c>
      <c r="F368" s="1" t="s">
        <v>647</v>
      </c>
      <c r="G368" s="1" t="s">
        <v>53</v>
      </c>
      <c r="H368" s="1" t="s">
        <v>787</v>
      </c>
      <c r="I368" s="1" t="s">
        <v>788</v>
      </c>
      <c r="J368" s="1" t="s">
        <v>46</v>
      </c>
      <c r="K368" t="s">
        <v>650</v>
      </c>
      <c r="M368" s="1" t="s">
        <v>58</v>
      </c>
      <c r="N368" s="1">
        <v>0</v>
      </c>
      <c r="O368" s="1" t="s">
        <v>105</v>
      </c>
      <c r="P368" s="11" t="s">
        <v>789</v>
      </c>
      <c r="R368" s="1">
        <v>4</v>
      </c>
      <c r="T368" s="1" t="s">
        <v>646</v>
      </c>
      <c r="U368" s="11" t="s">
        <v>790</v>
      </c>
      <c r="V368" s="1" t="s">
        <v>41</v>
      </c>
      <c r="W368" s="1" t="s">
        <v>49</v>
      </c>
      <c r="X368" s="13" t="str">
        <f t="shared" si="40"/>
        <v>4890.05</v>
      </c>
      <c r="Y368" s="2">
        <f t="shared" ca="1" si="35"/>
        <v>196</v>
      </c>
      <c r="Z368" s="14">
        <v>1</v>
      </c>
      <c r="AA368" s="1" t="str">
        <f t="shared" ca="1" si="36"/>
        <v>VENCIDO</v>
      </c>
      <c r="AB368" s="1" t="str">
        <f t="shared" si="37"/>
        <v>C-14</v>
      </c>
      <c r="AC368" s="2" t="str">
        <f t="shared" si="41"/>
        <v xml:space="preserve"> CLEITON </v>
      </c>
      <c r="AD368" s="2">
        <f t="shared" si="38"/>
        <v>15</v>
      </c>
      <c r="AE368" s="2">
        <f t="shared" ca="1" si="39"/>
        <v>-272.26967442129535</v>
      </c>
      <c r="AF368" s="15"/>
    </row>
    <row r="369" spans="1:32" hidden="1">
      <c r="A369" s="1">
        <v>8640513</v>
      </c>
      <c r="B369" s="1" t="s">
        <v>653</v>
      </c>
      <c r="C369" t="s">
        <v>752</v>
      </c>
      <c r="E369" s="2">
        <v>4890041400030</v>
      </c>
      <c r="F369" s="1" t="s">
        <v>647</v>
      </c>
      <c r="G369" s="1" t="s">
        <v>53</v>
      </c>
      <c r="H369" s="1" t="s">
        <v>791</v>
      </c>
      <c r="I369" s="1" t="s">
        <v>792</v>
      </c>
      <c r="J369" s="1" t="s">
        <v>46</v>
      </c>
      <c r="K369" t="s">
        <v>650</v>
      </c>
      <c r="M369" s="1" t="s">
        <v>58</v>
      </c>
      <c r="N369" s="1">
        <v>0</v>
      </c>
      <c r="O369" s="1" t="s">
        <v>105</v>
      </c>
      <c r="P369" s="11" t="s">
        <v>789</v>
      </c>
      <c r="R369" s="1">
        <v>4</v>
      </c>
      <c r="T369" s="1" t="s">
        <v>646</v>
      </c>
      <c r="U369" s="11" t="s">
        <v>790</v>
      </c>
      <c r="V369" s="1" t="s">
        <v>41</v>
      </c>
      <c r="W369" s="1" t="s">
        <v>49</v>
      </c>
      <c r="X369" s="13" t="str">
        <f t="shared" si="40"/>
        <v>4890.04</v>
      </c>
      <c r="Y369" s="2">
        <f t="shared" ca="1" si="35"/>
        <v>196</v>
      </c>
      <c r="Z369" s="14">
        <v>1</v>
      </c>
      <c r="AA369" s="1" t="str">
        <f t="shared" ca="1" si="36"/>
        <v>VENCIDO</v>
      </c>
      <c r="AB369" s="1" t="str">
        <f t="shared" si="37"/>
        <v>C-14</v>
      </c>
      <c r="AC369" s="2" t="str">
        <f t="shared" si="41"/>
        <v xml:space="preserve"> CLEITON </v>
      </c>
      <c r="AD369" s="2">
        <f t="shared" si="38"/>
        <v>15</v>
      </c>
      <c r="AE369" s="2">
        <f t="shared" ca="1" si="39"/>
        <v>-272.26967442129535</v>
      </c>
      <c r="AF369" s="15"/>
    </row>
    <row r="370" spans="1:32" hidden="1">
      <c r="A370" s="1">
        <v>8640512</v>
      </c>
      <c r="B370" s="1" t="s">
        <v>653</v>
      </c>
      <c r="C370" t="s">
        <v>752</v>
      </c>
      <c r="E370" s="2">
        <v>4890031400030</v>
      </c>
      <c r="F370" s="1" t="s">
        <v>647</v>
      </c>
      <c r="G370" s="1" t="s">
        <v>53</v>
      </c>
      <c r="H370" s="1" t="s">
        <v>793</v>
      </c>
      <c r="I370" s="1" t="s">
        <v>794</v>
      </c>
      <c r="J370" s="1" t="s">
        <v>46</v>
      </c>
      <c r="K370" t="s">
        <v>650</v>
      </c>
      <c r="M370" s="1" t="s">
        <v>58</v>
      </c>
      <c r="N370" s="1">
        <v>0</v>
      </c>
      <c r="O370" s="1" t="s">
        <v>105</v>
      </c>
      <c r="P370" s="11" t="s">
        <v>789</v>
      </c>
      <c r="R370" s="1">
        <v>4</v>
      </c>
      <c r="T370" s="1" t="s">
        <v>646</v>
      </c>
      <c r="U370" s="11" t="s">
        <v>790</v>
      </c>
      <c r="V370" s="1" t="s">
        <v>41</v>
      </c>
      <c r="W370" s="1" t="s">
        <v>49</v>
      </c>
      <c r="X370" s="13" t="str">
        <f t="shared" si="40"/>
        <v>4890.03</v>
      </c>
      <c r="Y370" s="2">
        <f t="shared" ca="1" si="35"/>
        <v>196</v>
      </c>
      <c r="Z370" s="14">
        <v>1</v>
      </c>
      <c r="AA370" s="1" t="str">
        <f t="shared" ca="1" si="36"/>
        <v>VENCIDO</v>
      </c>
      <c r="AB370" s="1" t="str">
        <f t="shared" si="37"/>
        <v>C-14</v>
      </c>
      <c r="AC370" s="2" t="str">
        <f t="shared" si="41"/>
        <v xml:space="preserve"> CLEITON </v>
      </c>
      <c r="AD370" s="2">
        <f t="shared" si="38"/>
        <v>15</v>
      </c>
      <c r="AE370" s="2">
        <f t="shared" ca="1" si="39"/>
        <v>-272.26967442129535</v>
      </c>
      <c r="AF370" s="15"/>
    </row>
    <row r="371" spans="1:32" hidden="1">
      <c r="A371" s="1">
        <v>8640367</v>
      </c>
      <c r="B371" s="1" t="s">
        <v>653</v>
      </c>
      <c r="C371" t="s">
        <v>752</v>
      </c>
      <c r="E371" s="2">
        <v>3237011400030</v>
      </c>
      <c r="F371" s="1" t="s">
        <v>647</v>
      </c>
      <c r="G371" s="1" t="s">
        <v>53</v>
      </c>
      <c r="H371" s="1" t="s">
        <v>795</v>
      </c>
      <c r="I371" s="1" t="s">
        <v>796</v>
      </c>
      <c r="J371" s="1" t="s">
        <v>46</v>
      </c>
      <c r="K371" t="s">
        <v>650</v>
      </c>
      <c r="M371" s="1" t="s">
        <v>58</v>
      </c>
      <c r="N371" s="1">
        <v>0</v>
      </c>
      <c r="O371" s="1" t="s">
        <v>105</v>
      </c>
      <c r="P371" s="11" t="s">
        <v>797</v>
      </c>
      <c r="R371" s="1">
        <v>4</v>
      </c>
      <c r="T371" s="1" t="s">
        <v>646</v>
      </c>
      <c r="U371" s="11" t="s">
        <v>798</v>
      </c>
      <c r="V371" s="1" t="s">
        <v>41</v>
      </c>
      <c r="W371" s="1" t="s">
        <v>49</v>
      </c>
      <c r="X371" s="13" t="str">
        <f t="shared" si="40"/>
        <v>3237.01</v>
      </c>
      <c r="Y371" s="2">
        <f t="shared" ca="1" si="35"/>
        <v>196</v>
      </c>
      <c r="Z371" s="14">
        <v>1</v>
      </c>
      <c r="AA371" s="1" t="str">
        <f t="shared" ca="1" si="36"/>
        <v>VENCIDO</v>
      </c>
      <c r="AB371" s="1" t="str">
        <f t="shared" si="37"/>
        <v>C-14</v>
      </c>
      <c r="AC371" s="2" t="str">
        <f t="shared" si="41"/>
        <v xml:space="preserve"> CLEITON </v>
      </c>
      <c r="AD371" s="2">
        <f t="shared" si="38"/>
        <v>15</v>
      </c>
      <c r="AE371" s="2">
        <f t="shared" ca="1" si="39"/>
        <v>-272.27017210648046</v>
      </c>
      <c r="AF371" s="15"/>
    </row>
    <row r="372" spans="1:32" hidden="1">
      <c r="A372" s="1">
        <v>8640366</v>
      </c>
      <c r="B372" s="1" t="s">
        <v>653</v>
      </c>
      <c r="C372" t="s">
        <v>752</v>
      </c>
      <c r="E372" s="2">
        <v>3234171400030</v>
      </c>
      <c r="F372" s="1" t="s">
        <v>647</v>
      </c>
      <c r="G372" s="1" t="s">
        <v>53</v>
      </c>
      <c r="H372" s="1" t="s">
        <v>799</v>
      </c>
      <c r="I372" s="1" t="s">
        <v>800</v>
      </c>
      <c r="J372" s="1" t="s">
        <v>46</v>
      </c>
      <c r="K372" t="s">
        <v>650</v>
      </c>
      <c r="M372" s="1" t="s">
        <v>58</v>
      </c>
      <c r="N372" s="1">
        <v>0</v>
      </c>
      <c r="O372" s="1" t="s">
        <v>105</v>
      </c>
      <c r="P372" s="11" t="s">
        <v>797</v>
      </c>
      <c r="R372" s="1">
        <v>4</v>
      </c>
      <c r="T372" s="1" t="s">
        <v>646</v>
      </c>
      <c r="U372" s="11" t="s">
        <v>798</v>
      </c>
      <c r="V372" s="1" t="s">
        <v>41</v>
      </c>
      <c r="W372" s="1" t="s">
        <v>49</v>
      </c>
      <c r="X372" s="13" t="str">
        <f t="shared" si="40"/>
        <v>3234.17</v>
      </c>
      <c r="Y372" s="2">
        <f t="shared" ca="1" si="35"/>
        <v>196</v>
      </c>
      <c r="Z372" s="14">
        <v>1</v>
      </c>
      <c r="AA372" s="1" t="str">
        <f t="shared" ca="1" si="36"/>
        <v>VENCIDO</v>
      </c>
      <c r="AB372" s="1" t="str">
        <f t="shared" si="37"/>
        <v>C-14</v>
      </c>
      <c r="AC372" s="2" t="str">
        <f t="shared" si="41"/>
        <v xml:space="preserve"> CLEITON </v>
      </c>
      <c r="AD372" s="2">
        <f t="shared" si="38"/>
        <v>15</v>
      </c>
      <c r="AE372" s="2">
        <f t="shared" ca="1" si="39"/>
        <v>-272.27017210648046</v>
      </c>
      <c r="AF372" s="15"/>
    </row>
    <row r="373" spans="1:32" hidden="1">
      <c r="A373" s="1">
        <v>8640365</v>
      </c>
      <c r="B373" s="1" t="s">
        <v>653</v>
      </c>
      <c r="C373" t="s">
        <v>752</v>
      </c>
      <c r="E373" s="2">
        <v>3234161400030</v>
      </c>
      <c r="F373" s="1" t="s">
        <v>647</v>
      </c>
      <c r="G373" s="1" t="s">
        <v>53</v>
      </c>
      <c r="H373" s="1" t="s">
        <v>499</v>
      </c>
      <c r="I373" s="1" t="s">
        <v>500</v>
      </c>
      <c r="J373" s="1" t="s">
        <v>46</v>
      </c>
      <c r="K373" t="s">
        <v>650</v>
      </c>
      <c r="M373" s="1" t="s">
        <v>58</v>
      </c>
      <c r="N373" s="1">
        <v>0</v>
      </c>
      <c r="O373" s="1" t="s">
        <v>105</v>
      </c>
      <c r="P373" s="11" t="s">
        <v>797</v>
      </c>
      <c r="R373" s="1">
        <v>4</v>
      </c>
      <c r="T373" s="1" t="s">
        <v>646</v>
      </c>
      <c r="U373" s="11" t="s">
        <v>798</v>
      </c>
      <c r="V373" s="1" t="s">
        <v>41</v>
      </c>
      <c r="W373" s="1" t="s">
        <v>49</v>
      </c>
      <c r="X373" s="13" t="str">
        <f t="shared" si="40"/>
        <v>3234.16</v>
      </c>
      <c r="Y373" s="2">
        <f t="shared" ca="1" si="35"/>
        <v>196</v>
      </c>
      <c r="Z373" s="14">
        <v>1</v>
      </c>
      <c r="AA373" s="1" t="str">
        <f t="shared" ca="1" si="36"/>
        <v>VENCIDO</v>
      </c>
      <c r="AB373" s="1" t="str">
        <f t="shared" si="37"/>
        <v>C-14</v>
      </c>
      <c r="AC373" s="2" t="str">
        <f t="shared" si="41"/>
        <v xml:space="preserve"> CLEITON </v>
      </c>
      <c r="AD373" s="2">
        <f t="shared" si="38"/>
        <v>15</v>
      </c>
      <c r="AE373" s="2">
        <f t="shared" ca="1" si="39"/>
        <v>-272.27017210648046</v>
      </c>
      <c r="AF373" s="15"/>
    </row>
    <row r="374" spans="1:32" hidden="1">
      <c r="A374" s="1">
        <v>8640364</v>
      </c>
      <c r="B374" s="1" t="s">
        <v>653</v>
      </c>
      <c r="C374" t="s">
        <v>752</v>
      </c>
      <c r="E374" s="2">
        <v>3234151400030</v>
      </c>
      <c r="F374" s="1" t="s">
        <v>647</v>
      </c>
      <c r="G374" s="1" t="s">
        <v>53</v>
      </c>
      <c r="H374" s="1" t="s">
        <v>629</v>
      </c>
      <c r="I374" s="1" t="s">
        <v>630</v>
      </c>
      <c r="J374" s="1" t="s">
        <v>46</v>
      </c>
      <c r="K374" t="s">
        <v>650</v>
      </c>
      <c r="M374" s="1" t="s">
        <v>58</v>
      </c>
      <c r="N374" s="1">
        <v>0</v>
      </c>
      <c r="O374" s="1" t="s">
        <v>105</v>
      </c>
      <c r="P374" s="11" t="s">
        <v>797</v>
      </c>
      <c r="R374" s="1">
        <v>4</v>
      </c>
      <c r="T374" s="1" t="s">
        <v>646</v>
      </c>
      <c r="U374" s="186">
        <v>44714.406099537038</v>
      </c>
      <c r="V374" s="1" t="s">
        <v>41</v>
      </c>
      <c r="W374" s="1" t="s">
        <v>49</v>
      </c>
      <c r="X374" s="13" t="str">
        <f t="shared" si="40"/>
        <v>3234.15</v>
      </c>
      <c r="Y374" s="2">
        <f t="shared" ca="1" si="35"/>
        <v>196</v>
      </c>
      <c r="Z374" s="14">
        <v>1</v>
      </c>
      <c r="AA374" s="1" t="str">
        <f t="shared" ca="1" si="36"/>
        <v>VENCIDO</v>
      </c>
      <c r="AB374" s="1" t="str">
        <f t="shared" si="37"/>
        <v>C-14</v>
      </c>
      <c r="AC374" s="2" t="str">
        <f t="shared" si="41"/>
        <v xml:space="preserve"> CLEITON </v>
      </c>
      <c r="AD374" s="2">
        <f t="shared" si="38"/>
        <v>15</v>
      </c>
      <c r="AE374" s="2">
        <f t="shared" ca="1" si="39"/>
        <v>-272.27017210648046</v>
      </c>
      <c r="AF374" s="15"/>
    </row>
    <row r="375" spans="1:32" hidden="1">
      <c r="A375" s="1">
        <v>8640315</v>
      </c>
      <c r="B375" s="1" t="s">
        <v>653</v>
      </c>
      <c r="C375" t="s">
        <v>752</v>
      </c>
      <c r="E375" s="2">
        <v>2889031400030</v>
      </c>
      <c r="F375" s="1" t="s">
        <v>647</v>
      </c>
      <c r="G375" s="1" t="s">
        <v>53</v>
      </c>
      <c r="H375" s="1" t="s">
        <v>801</v>
      </c>
      <c r="I375" s="1" t="s">
        <v>802</v>
      </c>
      <c r="J375" s="1" t="s">
        <v>46</v>
      </c>
      <c r="K375" t="s">
        <v>650</v>
      </c>
      <c r="M375" s="1" t="s">
        <v>58</v>
      </c>
      <c r="N375" s="1">
        <v>0</v>
      </c>
      <c r="O375" s="1" t="s">
        <v>105</v>
      </c>
      <c r="P375" s="11" t="s">
        <v>803</v>
      </c>
      <c r="R375" s="1">
        <v>4</v>
      </c>
      <c r="T375" s="1" t="s">
        <v>646</v>
      </c>
      <c r="U375" s="186">
        <v>44714.406041666669</v>
      </c>
      <c r="V375" s="1" t="s">
        <v>41</v>
      </c>
      <c r="W375" s="1" t="s">
        <v>49</v>
      </c>
      <c r="X375" s="13" t="str">
        <f t="shared" si="40"/>
        <v>2889.03</v>
      </c>
      <c r="Y375" s="2">
        <f t="shared" ca="1" si="35"/>
        <v>196</v>
      </c>
      <c r="Z375" s="14">
        <v>1</v>
      </c>
      <c r="AA375" s="1" t="str">
        <f t="shared" ca="1" si="36"/>
        <v>VENCIDO</v>
      </c>
      <c r="AB375" s="1" t="str">
        <f t="shared" si="37"/>
        <v>C-14</v>
      </c>
      <c r="AC375" s="2" t="str">
        <f t="shared" si="41"/>
        <v xml:space="preserve"> CLEITON </v>
      </c>
      <c r="AD375" s="2">
        <f t="shared" si="38"/>
        <v>15</v>
      </c>
      <c r="AE375" s="2">
        <f t="shared" ca="1" si="39"/>
        <v>-272.27022997684981</v>
      </c>
      <c r="AF375" s="15"/>
    </row>
    <row r="376" spans="1:32" hidden="1">
      <c r="A376" s="1">
        <v>8640314</v>
      </c>
      <c r="B376" s="1" t="s">
        <v>653</v>
      </c>
      <c r="C376" t="s">
        <v>752</v>
      </c>
      <c r="E376" s="2">
        <v>2889011400030</v>
      </c>
      <c r="F376" s="1" t="s">
        <v>647</v>
      </c>
      <c r="G376" s="1" t="s">
        <v>53</v>
      </c>
      <c r="H376" s="1" t="s">
        <v>805</v>
      </c>
      <c r="I376" s="1" t="s">
        <v>806</v>
      </c>
      <c r="J376" s="1" t="s">
        <v>46</v>
      </c>
      <c r="K376" t="s">
        <v>650</v>
      </c>
      <c r="M376" s="1" t="s">
        <v>58</v>
      </c>
      <c r="N376" s="1">
        <v>0</v>
      </c>
      <c r="O376" s="1" t="s">
        <v>105</v>
      </c>
      <c r="P376" s="11" t="s">
        <v>803</v>
      </c>
      <c r="R376" s="1">
        <v>4</v>
      </c>
      <c r="T376" s="1" t="s">
        <v>646</v>
      </c>
      <c r="U376" s="186">
        <v>44714.406030092592</v>
      </c>
      <c r="V376" s="1" t="s">
        <v>41</v>
      </c>
      <c r="W376" s="1" t="s">
        <v>49</v>
      </c>
      <c r="X376" s="13" t="str">
        <f t="shared" si="40"/>
        <v>2889.01</v>
      </c>
      <c r="Y376" s="2">
        <f t="shared" ca="1" si="35"/>
        <v>196</v>
      </c>
      <c r="Z376" s="14">
        <v>1</v>
      </c>
      <c r="AA376" s="1" t="str">
        <f t="shared" ca="1" si="36"/>
        <v>VENCIDO</v>
      </c>
      <c r="AB376" s="1" t="str">
        <f t="shared" si="37"/>
        <v>C-14</v>
      </c>
      <c r="AC376" s="2" t="str">
        <f t="shared" si="41"/>
        <v xml:space="preserve"> CLEITON </v>
      </c>
      <c r="AD376" s="2">
        <f t="shared" si="38"/>
        <v>15</v>
      </c>
      <c r="AE376" s="2">
        <f t="shared" ca="1" si="39"/>
        <v>-272.27024155092658</v>
      </c>
      <c r="AF376" s="15"/>
    </row>
    <row r="377" spans="1:32" hidden="1">
      <c r="A377" s="1">
        <v>8640259</v>
      </c>
      <c r="B377" s="1" t="s">
        <v>653</v>
      </c>
      <c r="C377" t="s">
        <v>752</v>
      </c>
      <c r="E377" s="2">
        <v>2365131400030</v>
      </c>
      <c r="F377" s="1" t="s">
        <v>647</v>
      </c>
      <c r="G377" s="1" t="s">
        <v>53</v>
      </c>
      <c r="H377" s="1" t="s">
        <v>807</v>
      </c>
      <c r="I377" s="1" t="s">
        <v>808</v>
      </c>
      <c r="J377" s="1" t="s">
        <v>46</v>
      </c>
      <c r="K377" t="s">
        <v>650</v>
      </c>
      <c r="M377" s="1" t="s">
        <v>58</v>
      </c>
      <c r="N377" s="1">
        <v>0</v>
      </c>
      <c r="O377" s="1" t="s">
        <v>105</v>
      </c>
      <c r="P377" s="11" t="s">
        <v>809</v>
      </c>
      <c r="R377" s="1">
        <v>4</v>
      </c>
      <c r="T377" s="1" t="s">
        <v>646</v>
      </c>
      <c r="U377" s="186">
        <v>44714.405856481484</v>
      </c>
      <c r="V377" s="1" t="s">
        <v>41</v>
      </c>
      <c r="W377" s="1" t="s">
        <v>49</v>
      </c>
      <c r="X377" s="13" t="str">
        <f t="shared" si="40"/>
        <v>2365.13</v>
      </c>
      <c r="Y377" s="2">
        <f t="shared" ca="1" si="35"/>
        <v>196</v>
      </c>
      <c r="Z377" s="14">
        <v>1</v>
      </c>
      <c r="AA377" s="1" t="str">
        <f t="shared" ca="1" si="36"/>
        <v>VENCIDO</v>
      </c>
      <c r="AB377" s="1" t="str">
        <f t="shared" si="37"/>
        <v>C-14</v>
      </c>
      <c r="AC377" s="2" t="str">
        <f t="shared" si="41"/>
        <v xml:space="preserve"> CLEITON </v>
      </c>
      <c r="AD377" s="2">
        <f t="shared" si="38"/>
        <v>15</v>
      </c>
      <c r="AE377" s="2">
        <f t="shared" ca="1" si="39"/>
        <v>-272.27041516203462</v>
      </c>
      <c r="AF377" s="15"/>
    </row>
    <row r="378" spans="1:32" hidden="1">
      <c r="A378" s="1">
        <v>8640213</v>
      </c>
      <c r="B378" s="1" t="s">
        <v>653</v>
      </c>
      <c r="C378" t="s">
        <v>752</v>
      </c>
      <c r="E378" s="2">
        <v>1833041400030</v>
      </c>
      <c r="F378" s="1" t="s">
        <v>647</v>
      </c>
      <c r="G378" s="1" t="s">
        <v>53</v>
      </c>
      <c r="H378" s="1" t="s">
        <v>811</v>
      </c>
      <c r="I378" s="1" t="s">
        <v>812</v>
      </c>
      <c r="J378" s="1" t="s">
        <v>46</v>
      </c>
      <c r="K378" t="s">
        <v>650</v>
      </c>
      <c r="M378" s="1" t="s">
        <v>58</v>
      </c>
      <c r="N378" s="1">
        <v>0</v>
      </c>
      <c r="O378" s="1" t="s">
        <v>105</v>
      </c>
      <c r="P378" s="11" t="s">
        <v>813</v>
      </c>
      <c r="R378" s="1">
        <v>4</v>
      </c>
      <c r="T378" s="1" t="s">
        <v>646</v>
      </c>
      <c r="U378" s="186">
        <v>44714.405787037038</v>
      </c>
      <c r="V378" s="1" t="s">
        <v>41</v>
      </c>
      <c r="W378" s="1" t="s">
        <v>49</v>
      </c>
      <c r="X378" s="13" t="str">
        <f t="shared" si="40"/>
        <v>1833.04</v>
      </c>
      <c r="Y378" s="2">
        <f t="shared" ca="1" si="35"/>
        <v>196</v>
      </c>
      <c r="Z378" s="14">
        <v>1</v>
      </c>
      <c r="AA378" s="1" t="str">
        <f t="shared" ca="1" si="36"/>
        <v>VENCIDO</v>
      </c>
      <c r="AB378" s="1" t="str">
        <f t="shared" si="37"/>
        <v>C-14</v>
      </c>
      <c r="AC378" s="2" t="str">
        <f t="shared" si="41"/>
        <v xml:space="preserve"> CLEITON </v>
      </c>
      <c r="AD378" s="2">
        <f t="shared" si="38"/>
        <v>15</v>
      </c>
      <c r="AE378" s="2">
        <f t="shared" ca="1" si="39"/>
        <v>-272.27048460648075</v>
      </c>
      <c r="AF378" s="15"/>
    </row>
    <row r="379" spans="1:32" hidden="1">
      <c r="A379" s="1">
        <v>8640115</v>
      </c>
      <c r="B379" s="1" t="s">
        <v>653</v>
      </c>
      <c r="C379" t="s">
        <v>752</v>
      </c>
      <c r="E379" s="2">
        <v>1120011400030</v>
      </c>
      <c r="F379" s="1" t="s">
        <v>647</v>
      </c>
      <c r="G379" s="1" t="s">
        <v>53</v>
      </c>
      <c r="H379" s="1" t="s">
        <v>648</v>
      </c>
      <c r="I379" s="1" t="s">
        <v>649</v>
      </c>
      <c r="J379" s="1" t="s">
        <v>164</v>
      </c>
      <c r="K379" t="s">
        <v>650</v>
      </c>
      <c r="M379" s="1" t="s">
        <v>58</v>
      </c>
      <c r="N379" s="1">
        <v>0</v>
      </c>
      <c r="O379" s="1" t="s">
        <v>105</v>
      </c>
      <c r="P379" s="11" t="s">
        <v>815</v>
      </c>
      <c r="R379" s="1">
        <v>4</v>
      </c>
      <c r="T379" s="1" t="s">
        <v>646</v>
      </c>
      <c r="U379" s="186">
        <v>44714.405532407407</v>
      </c>
      <c r="V379" s="1" t="s">
        <v>41</v>
      </c>
      <c r="W379" s="1" t="s">
        <v>49</v>
      </c>
      <c r="X379" s="13" t="str">
        <f t="shared" si="40"/>
        <v>1120.01</v>
      </c>
      <c r="Y379" s="2">
        <f t="shared" ca="1" si="35"/>
        <v>196</v>
      </c>
      <c r="Z379" s="14">
        <v>1</v>
      </c>
      <c r="AA379" s="1" t="str">
        <f t="shared" ca="1" si="36"/>
        <v>VENCIDO</v>
      </c>
      <c r="AB379" s="1" t="str">
        <f t="shared" si="37"/>
        <v>C-14</v>
      </c>
      <c r="AC379" s="2" t="str">
        <f t="shared" si="41"/>
        <v xml:space="preserve"> ROSEMERE </v>
      </c>
      <c r="AD379" s="2">
        <f t="shared" si="38"/>
        <v>15</v>
      </c>
      <c r="AE379" s="2">
        <f t="shared" ca="1" si="39"/>
        <v>-272.27073923611169</v>
      </c>
      <c r="AF379" s="15"/>
    </row>
    <row r="380" spans="1:32" hidden="1">
      <c r="A380" s="1">
        <v>8640085</v>
      </c>
      <c r="B380" s="1" t="s">
        <v>653</v>
      </c>
      <c r="C380" t="s">
        <v>752</v>
      </c>
      <c r="E380" s="2">
        <v>821071400030</v>
      </c>
      <c r="F380" s="1" t="s">
        <v>647</v>
      </c>
      <c r="G380" s="1" t="s">
        <v>53</v>
      </c>
      <c r="H380" s="1" t="s">
        <v>817</v>
      </c>
      <c r="I380" s="1" t="s">
        <v>818</v>
      </c>
      <c r="J380" s="1" t="s">
        <v>46</v>
      </c>
      <c r="K380" t="s">
        <v>650</v>
      </c>
      <c r="M380" s="1" t="s">
        <v>58</v>
      </c>
      <c r="N380" s="1">
        <v>0</v>
      </c>
      <c r="O380" s="1" t="s">
        <v>105</v>
      </c>
      <c r="P380" s="11" t="s">
        <v>819</v>
      </c>
      <c r="R380" s="1">
        <v>4</v>
      </c>
      <c r="T380" s="1" t="s">
        <v>646</v>
      </c>
      <c r="U380" s="186">
        <v>44714.405486111114</v>
      </c>
      <c r="V380" s="1" t="s">
        <v>41</v>
      </c>
      <c r="W380" s="1" t="s">
        <v>49</v>
      </c>
      <c r="X380" s="13" t="str">
        <f t="shared" si="40"/>
        <v>0821.07</v>
      </c>
      <c r="Y380" s="2">
        <f t="shared" ca="1" si="35"/>
        <v>196</v>
      </c>
      <c r="Z380" s="14">
        <v>1</v>
      </c>
      <c r="AA380" s="1" t="str">
        <f t="shared" ca="1" si="36"/>
        <v>VENCIDO</v>
      </c>
      <c r="AB380" s="1" t="str">
        <f t="shared" si="37"/>
        <v>C-14</v>
      </c>
      <c r="AC380" s="2" t="str">
        <f t="shared" si="41"/>
        <v xml:space="preserve"> CLEITON </v>
      </c>
      <c r="AD380" s="2">
        <f t="shared" si="38"/>
        <v>15</v>
      </c>
      <c r="AE380" s="2">
        <f t="shared" ca="1" si="39"/>
        <v>-272.27078553240426</v>
      </c>
      <c r="AF380" s="15"/>
    </row>
    <row r="381" spans="1:32" hidden="1">
      <c r="A381" s="1">
        <v>8640000</v>
      </c>
      <c r="B381" s="1" t="s">
        <v>653</v>
      </c>
      <c r="C381" t="s">
        <v>752</v>
      </c>
      <c r="E381" s="2">
        <v>325091400030</v>
      </c>
      <c r="F381" s="1" t="s">
        <v>647</v>
      </c>
      <c r="G381" s="1" t="s">
        <v>53</v>
      </c>
      <c r="H381" s="1" t="s">
        <v>821</v>
      </c>
      <c r="I381" s="1" t="s">
        <v>822</v>
      </c>
      <c r="J381" s="1" t="s">
        <v>46</v>
      </c>
      <c r="K381" t="s">
        <v>650</v>
      </c>
      <c r="M381" s="1" t="s">
        <v>58</v>
      </c>
      <c r="N381" s="1">
        <v>0</v>
      </c>
      <c r="O381" s="1" t="s">
        <v>105</v>
      </c>
      <c r="P381" s="11" t="s">
        <v>823</v>
      </c>
      <c r="R381" s="1">
        <v>4</v>
      </c>
      <c r="T381" s="1" t="s">
        <v>646</v>
      </c>
      <c r="U381" s="186">
        <v>44714.405138888891</v>
      </c>
      <c r="V381" s="1" t="s">
        <v>41</v>
      </c>
      <c r="W381" s="1" t="s">
        <v>49</v>
      </c>
      <c r="X381" s="13" t="str">
        <f t="shared" si="40"/>
        <v>0325.09</v>
      </c>
      <c r="Y381" s="2">
        <f t="shared" ca="1" si="35"/>
        <v>196</v>
      </c>
      <c r="Z381" s="14">
        <v>1</v>
      </c>
      <c r="AA381" s="1" t="str">
        <f t="shared" ca="1" si="36"/>
        <v>VENCIDO</v>
      </c>
      <c r="AB381" s="1" t="str">
        <f t="shared" si="37"/>
        <v>C-14</v>
      </c>
      <c r="AC381" s="2" t="str">
        <f t="shared" si="41"/>
        <v xml:space="preserve"> CLEITON </v>
      </c>
      <c r="AD381" s="2">
        <f t="shared" si="38"/>
        <v>15</v>
      </c>
      <c r="AE381" s="2">
        <f t="shared" ca="1" si="39"/>
        <v>-272.27113275462762</v>
      </c>
      <c r="AF381" s="15"/>
    </row>
    <row r="382" spans="1:32" hidden="1">
      <c r="A382" s="1">
        <v>8639902</v>
      </c>
      <c r="B382" s="1" t="s">
        <v>653</v>
      </c>
      <c r="C382" t="s">
        <v>752</v>
      </c>
      <c r="E382" s="2">
        <v>69161400030</v>
      </c>
      <c r="F382" s="1" t="s">
        <v>647</v>
      </c>
      <c r="G382" s="1" t="s">
        <v>53</v>
      </c>
      <c r="H382" s="1" t="s">
        <v>234</v>
      </c>
      <c r="I382" s="1" t="s">
        <v>235</v>
      </c>
      <c r="J382" s="1" t="s">
        <v>33</v>
      </c>
      <c r="K382" t="s">
        <v>650</v>
      </c>
      <c r="M382" s="1" t="s">
        <v>58</v>
      </c>
      <c r="N382" s="1">
        <v>0</v>
      </c>
      <c r="O382" s="1" t="s">
        <v>105</v>
      </c>
      <c r="P382" s="11" t="s">
        <v>825</v>
      </c>
      <c r="R382" s="1">
        <v>4</v>
      </c>
      <c r="T382" s="1" t="s">
        <v>646</v>
      </c>
      <c r="U382" s="186">
        <v>44714.404826388891</v>
      </c>
      <c r="V382" s="1" t="s">
        <v>41</v>
      </c>
      <c r="W382" s="1" t="s">
        <v>42</v>
      </c>
      <c r="X382" s="13" t="str">
        <f t="shared" si="40"/>
        <v>0069.16</v>
      </c>
      <c r="Y382" s="2">
        <f t="shared" ca="1" si="35"/>
        <v>196</v>
      </c>
      <c r="Z382" s="14">
        <v>1</v>
      </c>
      <c r="AA382" s="1" t="str">
        <f t="shared" ca="1" si="36"/>
        <v>VENCIDO</v>
      </c>
      <c r="AB382" s="1" t="str">
        <f t="shared" si="37"/>
        <v>C-14</v>
      </c>
      <c r="AC382" s="2" t="str">
        <f t="shared" si="41"/>
        <v xml:space="preserve"> ROSEMERE </v>
      </c>
      <c r="AD382" s="2">
        <f t="shared" si="38"/>
        <v>15</v>
      </c>
      <c r="AE382" s="2">
        <f t="shared" ca="1" si="39"/>
        <v>-272.27144525462791</v>
      </c>
      <c r="AF382" s="15"/>
    </row>
    <row r="383" spans="1:32" hidden="1">
      <c r="A383" s="1">
        <v>8639870</v>
      </c>
      <c r="B383" s="1" t="s">
        <v>653</v>
      </c>
      <c r="C383" t="s">
        <v>752</v>
      </c>
      <c r="E383" s="2">
        <v>7651400030</v>
      </c>
      <c r="F383" s="1" t="s">
        <v>647</v>
      </c>
      <c r="G383" s="1" t="s">
        <v>53</v>
      </c>
      <c r="H383" s="1" t="s">
        <v>827</v>
      </c>
      <c r="I383" s="1" t="s">
        <v>828</v>
      </c>
      <c r="J383" s="1" t="s">
        <v>46</v>
      </c>
      <c r="K383" t="s">
        <v>650</v>
      </c>
      <c r="M383" s="1" t="s">
        <v>58</v>
      </c>
      <c r="N383" s="1">
        <v>0</v>
      </c>
      <c r="O383" s="1" t="s">
        <v>105</v>
      </c>
      <c r="P383" s="11" t="s">
        <v>829</v>
      </c>
      <c r="R383" s="1">
        <v>4</v>
      </c>
      <c r="T383" s="1" t="s">
        <v>646</v>
      </c>
      <c r="U383" s="11" t="s">
        <v>830</v>
      </c>
      <c r="V383" s="1" t="s">
        <v>41</v>
      </c>
      <c r="W383" s="1" t="s">
        <v>49</v>
      </c>
      <c r="X383" s="13" t="str">
        <f t="shared" si="40"/>
        <v>0007.65</v>
      </c>
      <c r="Y383" s="2">
        <f t="shared" ca="1" si="35"/>
        <v>196</v>
      </c>
      <c r="Z383" s="14">
        <v>1</v>
      </c>
      <c r="AA383" s="1" t="str">
        <f t="shared" ca="1" si="36"/>
        <v>VENCIDO</v>
      </c>
      <c r="AB383" s="1" t="str">
        <f t="shared" si="37"/>
        <v>C-14</v>
      </c>
      <c r="AC383" s="2" t="str">
        <f t="shared" si="41"/>
        <v xml:space="preserve"> CLEITON </v>
      </c>
      <c r="AD383" s="2">
        <f t="shared" si="38"/>
        <v>15</v>
      </c>
      <c r="AE383" s="2">
        <f t="shared" ca="1" si="39"/>
        <v>-272.27149155092775</v>
      </c>
      <c r="AF383" s="15"/>
    </row>
    <row r="384" spans="1:32" hidden="1">
      <c r="A384" s="1">
        <v>8639844</v>
      </c>
      <c r="B384" s="1" t="s">
        <v>653</v>
      </c>
      <c r="C384" t="s">
        <v>752</v>
      </c>
      <c r="E384" s="2">
        <v>8573001400030</v>
      </c>
      <c r="F384" s="1" t="s">
        <v>647</v>
      </c>
      <c r="G384" s="1" t="s">
        <v>53</v>
      </c>
      <c r="H384" s="1" t="s">
        <v>657</v>
      </c>
      <c r="I384" s="1" t="s">
        <v>658</v>
      </c>
      <c r="J384" s="1" t="s">
        <v>33</v>
      </c>
      <c r="K384" t="s">
        <v>650</v>
      </c>
      <c r="M384" s="1" t="s">
        <v>58</v>
      </c>
      <c r="N384" s="1">
        <v>0</v>
      </c>
      <c r="O384" s="1" t="s">
        <v>105</v>
      </c>
      <c r="P384" s="11" t="s">
        <v>831</v>
      </c>
      <c r="R384" s="1">
        <v>4</v>
      </c>
      <c r="T384" s="1" t="s">
        <v>646</v>
      </c>
      <c r="U384" s="186">
        <v>44714.40457175926</v>
      </c>
      <c r="V384" s="1" t="s">
        <v>41</v>
      </c>
      <c r="W384" s="1" t="s">
        <v>49</v>
      </c>
      <c r="X384" s="13" t="str">
        <f t="shared" si="40"/>
        <v/>
      </c>
      <c r="Y384" s="2">
        <f t="shared" ca="1" si="35"/>
        <v>196</v>
      </c>
      <c r="Z384" s="14">
        <v>1</v>
      </c>
      <c r="AA384" s="1" t="str">
        <f t="shared" ca="1" si="36"/>
        <v>VENCIDO</v>
      </c>
      <c r="AB384" s="1" t="str">
        <f t="shared" si="37"/>
        <v>C-14</v>
      </c>
      <c r="AC384" s="2" t="str">
        <f t="shared" si="41"/>
        <v xml:space="preserve"> ROSEMERE </v>
      </c>
      <c r="AD384" s="2">
        <f t="shared" si="38"/>
        <v>15</v>
      </c>
      <c r="AE384" s="2">
        <f t="shared" ca="1" si="39"/>
        <v>-272.27169988425885</v>
      </c>
      <c r="AF384" s="15"/>
    </row>
    <row r="385" spans="1:32" hidden="1">
      <c r="A385" s="1">
        <v>8639813</v>
      </c>
      <c r="B385" s="1" t="s">
        <v>653</v>
      </c>
      <c r="C385" t="s">
        <v>752</v>
      </c>
      <c r="E385" s="2">
        <v>8973001400030</v>
      </c>
      <c r="F385" s="1" t="s">
        <v>647</v>
      </c>
      <c r="G385" s="1" t="s">
        <v>53</v>
      </c>
      <c r="H385" s="1" t="s">
        <v>661</v>
      </c>
      <c r="I385" s="1" t="s">
        <v>662</v>
      </c>
      <c r="J385" s="1" t="s">
        <v>46</v>
      </c>
      <c r="K385" t="s">
        <v>650</v>
      </c>
      <c r="M385" s="1" t="s">
        <v>58</v>
      </c>
      <c r="N385" s="1">
        <v>0</v>
      </c>
      <c r="O385" s="1" t="s">
        <v>105</v>
      </c>
      <c r="P385" s="11" t="s">
        <v>833</v>
      </c>
      <c r="R385" s="1">
        <v>4</v>
      </c>
      <c r="T385" s="1" t="s">
        <v>646</v>
      </c>
      <c r="U385" s="186">
        <v>44714.404537037037</v>
      </c>
      <c r="V385" s="1" t="s">
        <v>41</v>
      </c>
      <c r="W385" s="1" t="s">
        <v>49</v>
      </c>
      <c r="X385" s="13" t="str">
        <f t="shared" si="40"/>
        <v/>
      </c>
      <c r="Y385" s="2">
        <f t="shared" ca="1" si="35"/>
        <v>196</v>
      </c>
      <c r="Z385" s="14">
        <v>1</v>
      </c>
      <c r="AA385" s="1" t="str">
        <f t="shared" ca="1" si="36"/>
        <v>VENCIDO</v>
      </c>
      <c r="AB385" s="1" t="str">
        <f t="shared" si="37"/>
        <v>C-14</v>
      </c>
      <c r="AC385" s="2" t="str">
        <f t="shared" si="41"/>
        <v xml:space="preserve"> CLEITON </v>
      </c>
      <c r="AD385" s="2">
        <f t="shared" si="38"/>
        <v>15</v>
      </c>
      <c r="AE385" s="2">
        <f t="shared" ca="1" si="39"/>
        <v>-272.27173460648191</v>
      </c>
      <c r="AF385" s="15"/>
    </row>
    <row r="386" spans="1:32" hidden="1">
      <c r="A386" s="1">
        <v>8639796</v>
      </c>
      <c r="B386" s="1" t="s">
        <v>653</v>
      </c>
      <c r="C386" t="s">
        <v>752</v>
      </c>
      <c r="E386" s="2">
        <v>8633001400030</v>
      </c>
      <c r="F386" s="1" t="s">
        <v>647</v>
      </c>
      <c r="G386" s="1" t="s">
        <v>53</v>
      </c>
      <c r="H386" s="1" t="s">
        <v>835</v>
      </c>
      <c r="I386" s="1" t="s">
        <v>836</v>
      </c>
      <c r="J386" s="1" t="s">
        <v>46</v>
      </c>
      <c r="K386" t="s">
        <v>650</v>
      </c>
      <c r="M386" s="1" t="s">
        <v>58</v>
      </c>
      <c r="N386" s="1">
        <v>0</v>
      </c>
      <c r="O386" s="1" t="s">
        <v>105</v>
      </c>
      <c r="P386" s="11" t="s">
        <v>837</v>
      </c>
      <c r="R386" s="1">
        <v>4</v>
      </c>
      <c r="T386" s="1" t="s">
        <v>646</v>
      </c>
      <c r="U386" s="11" t="s">
        <v>838</v>
      </c>
      <c r="V386" s="1" t="s">
        <v>41</v>
      </c>
      <c r="W386" s="1" t="s">
        <v>49</v>
      </c>
      <c r="X386" s="13" t="str">
        <f t="shared" si="40"/>
        <v/>
      </c>
      <c r="Y386" s="2">
        <f t="shared" ref="Y386:Y449" ca="1" si="42">NETWORKDAYS(P386,$Y$1)</f>
        <v>196</v>
      </c>
      <c r="Z386" s="14">
        <v>1</v>
      </c>
      <c r="AA386" s="1" t="str">
        <f t="shared" ref="AA386:AA449" ca="1" si="43">IF(AE386=0,"HOJE",IF(AE386&gt;0,"A VENCER",IF(AE386&lt;0,"VENCIDO")))</f>
        <v>VENCIDO</v>
      </c>
      <c r="AB386" s="1" t="str">
        <f t="shared" ref="AB386:AB449" si="44">IF(F386="GRPE-000001","C-14",IF(F386="GRPE-000002","C-14",IF(F386="GRPE-000003","C-14",IF(F386="GRPE-000004","SL-On",IF(F386="GRPE-000038","C-14",IF(F386="GRPE-900022","Dosa",IF(F386="GRPE-000029","Dosa",IF(F386="ATOS-000222","Dose","TAAe+"))))))))</f>
        <v>C-14</v>
      </c>
      <c r="AC386" s="2" t="str">
        <f t="shared" si="41"/>
        <v xml:space="preserve"> CLEITON </v>
      </c>
      <c r="AD386" s="2">
        <f t="shared" ref="AD386:AD449" si="45">IF(F386="GRPE-000001",5,IF(F386="GRPE-000002",5,IF(F386="GRPE-000003",15,IF(F386="GRPE-000004",1,IF(F386="GRPE-000038",5,IF(F386="GRPE-900022",5,IF(F386="GRPE-000029",5,IF(F386="ATOS-000222",5,8))))))))</f>
        <v>15</v>
      </c>
      <c r="AE386" s="2">
        <f t="shared" ref="AE386:AE449" ca="1" si="46">IF(U386=$AE$1,"",U386-$AE$1)</f>
        <v>-272.2717577546282</v>
      </c>
      <c r="AF386" s="15"/>
    </row>
    <row r="387" spans="1:32" hidden="1">
      <c r="A387" s="1">
        <v>8639265</v>
      </c>
      <c r="B387" s="1" t="s">
        <v>653</v>
      </c>
      <c r="C387" t="s">
        <v>752</v>
      </c>
      <c r="E387" s="2">
        <v>5898001400030</v>
      </c>
      <c r="F387" s="1" t="s">
        <v>647</v>
      </c>
      <c r="G387" s="1" t="s">
        <v>53</v>
      </c>
      <c r="H387" s="1" t="s">
        <v>365</v>
      </c>
      <c r="I387" s="1" t="s">
        <v>366</v>
      </c>
      <c r="J387" s="1" t="s">
        <v>164</v>
      </c>
      <c r="K387" t="s">
        <v>650</v>
      </c>
      <c r="M387" s="1" t="s">
        <v>58</v>
      </c>
      <c r="N387" s="1">
        <v>0</v>
      </c>
      <c r="O387" s="1" t="s">
        <v>105</v>
      </c>
      <c r="P387" s="11" t="s">
        <v>3438</v>
      </c>
      <c r="R387" s="1">
        <v>4</v>
      </c>
      <c r="T387" s="1" t="s">
        <v>646</v>
      </c>
      <c r="U387" s="11" t="s">
        <v>3439</v>
      </c>
      <c r="V387" s="1" t="s">
        <v>41</v>
      </c>
      <c r="W387" s="1" t="s">
        <v>49</v>
      </c>
      <c r="X387" s="13" t="str">
        <f t="shared" ref="X387:X450" si="47">IF(RIGHT(H387,2)&lt;&gt;"00",H387,"")</f>
        <v/>
      </c>
      <c r="Y387" s="2">
        <f t="shared" ca="1" si="42"/>
        <v>196</v>
      </c>
      <c r="Z387" s="14">
        <v>1</v>
      </c>
      <c r="AA387" s="1" t="str">
        <f t="shared" ca="1" si="43"/>
        <v>VENCIDO</v>
      </c>
      <c r="AB387" s="1" t="str">
        <f t="shared" si="44"/>
        <v>C-14</v>
      </c>
      <c r="AC387" s="2" t="str">
        <f t="shared" ref="AC387:AC450" si="48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 xml:space="preserve"> ROSEMERE </v>
      </c>
      <c r="AD387" s="2">
        <f t="shared" si="45"/>
        <v>15</v>
      </c>
      <c r="AE387" s="2">
        <f t="shared" ca="1" si="46"/>
        <v>-272.2731813657374</v>
      </c>
      <c r="AF387" s="15"/>
    </row>
    <row r="388" spans="1:32" hidden="1">
      <c r="A388" s="1">
        <v>8639240</v>
      </c>
      <c r="B388" s="1" t="s">
        <v>653</v>
      </c>
      <c r="C388" t="s">
        <v>752</v>
      </c>
      <c r="E388" s="2">
        <v>5816001400030</v>
      </c>
      <c r="F388" s="1" t="s">
        <v>647</v>
      </c>
      <c r="G388" s="1" t="s">
        <v>53</v>
      </c>
      <c r="H388" s="1" t="s">
        <v>412</v>
      </c>
      <c r="I388" s="1" t="s">
        <v>413</v>
      </c>
      <c r="J388" s="1" t="s">
        <v>46</v>
      </c>
      <c r="K388" t="s">
        <v>650</v>
      </c>
      <c r="M388" s="1" t="s">
        <v>58</v>
      </c>
      <c r="N388" s="1">
        <v>0</v>
      </c>
      <c r="O388" s="1" t="s">
        <v>105</v>
      </c>
      <c r="P388" s="11" t="s">
        <v>839</v>
      </c>
      <c r="R388" s="1">
        <v>4</v>
      </c>
      <c r="T388" s="1" t="s">
        <v>646</v>
      </c>
      <c r="U388" s="11" t="s">
        <v>840</v>
      </c>
      <c r="V388" s="1" t="s">
        <v>41</v>
      </c>
      <c r="W388" s="1" t="s">
        <v>49</v>
      </c>
      <c r="X388" s="13" t="str">
        <f t="shared" si="47"/>
        <v/>
      </c>
      <c r="Y388" s="2">
        <f t="shared" ca="1" si="42"/>
        <v>196</v>
      </c>
      <c r="Z388" s="14">
        <v>1</v>
      </c>
      <c r="AA388" s="1" t="str">
        <f t="shared" ca="1" si="43"/>
        <v>VENCIDO</v>
      </c>
      <c r="AB388" s="1" t="str">
        <f t="shared" si="44"/>
        <v>C-14</v>
      </c>
      <c r="AC388" s="2" t="str">
        <f t="shared" si="48"/>
        <v xml:space="preserve"> CLEITON </v>
      </c>
      <c r="AD388" s="2">
        <f t="shared" si="45"/>
        <v>15</v>
      </c>
      <c r="AE388" s="2">
        <f t="shared" ca="1" si="46"/>
        <v>-272.27321608796046</v>
      </c>
      <c r="AF388" s="15"/>
    </row>
    <row r="389" spans="1:32" hidden="1">
      <c r="A389" s="1">
        <v>8639199</v>
      </c>
      <c r="B389" s="1" t="s">
        <v>653</v>
      </c>
      <c r="C389" t="s">
        <v>752</v>
      </c>
      <c r="E389" s="2">
        <v>5755001400030</v>
      </c>
      <c r="F389" s="1" t="s">
        <v>647</v>
      </c>
      <c r="G389" s="1" t="s">
        <v>53</v>
      </c>
      <c r="H389" s="1" t="s">
        <v>841</v>
      </c>
      <c r="I389" s="1" t="s">
        <v>842</v>
      </c>
      <c r="J389" s="1" t="s">
        <v>46</v>
      </c>
      <c r="K389" t="s">
        <v>650</v>
      </c>
      <c r="M389" s="1" t="s">
        <v>58</v>
      </c>
      <c r="N389" s="1">
        <v>0</v>
      </c>
      <c r="O389" s="1" t="s">
        <v>105</v>
      </c>
      <c r="P389" s="11" t="s">
        <v>843</v>
      </c>
      <c r="R389" s="1">
        <v>4</v>
      </c>
      <c r="T389" s="1" t="s">
        <v>646</v>
      </c>
      <c r="U389" s="11" t="s">
        <v>844</v>
      </c>
      <c r="V389" s="1" t="s">
        <v>41</v>
      </c>
      <c r="W389" s="1" t="s">
        <v>49</v>
      </c>
      <c r="X389" s="13" t="str">
        <f t="shared" si="47"/>
        <v/>
      </c>
      <c r="Y389" s="2">
        <f t="shared" ca="1" si="42"/>
        <v>196</v>
      </c>
      <c r="Z389" s="14">
        <v>1</v>
      </c>
      <c r="AA389" s="1" t="str">
        <f t="shared" ca="1" si="43"/>
        <v>VENCIDO</v>
      </c>
      <c r="AB389" s="1" t="str">
        <f t="shared" si="44"/>
        <v>C-14</v>
      </c>
      <c r="AC389" s="2" t="str">
        <f t="shared" si="48"/>
        <v xml:space="preserve"> CLEITON </v>
      </c>
      <c r="AD389" s="2">
        <f t="shared" si="45"/>
        <v>15</v>
      </c>
      <c r="AE389" s="2">
        <f t="shared" ca="1" si="46"/>
        <v>-272.27338969907578</v>
      </c>
      <c r="AF389" s="15"/>
    </row>
    <row r="390" spans="1:32" hidden="1">
      <c r="A390" s="1">
        <v>8639195</v>
      </c>
      <c r="B390" s="1" t="s">
        <v>653</v>
      </c>
      <c r="C390" t="s">
        <v>752</v>
      </c>
      <c r="E390" s="2">
        <v>5742001400030</v>
      </c>
      <c r="F390" s="1" t="s">
        <v>647</v>
      </c>
      <c r="G390" s="1" t="s">
        <v>53</v>
      </c>
      <c r="H390" s="1" t="s">
        <v>430</v>
      </c>
      <c r="I390" s="1" t="s">
        <v>431</v>
      </c>
      <c r="J390" s="1" t="s">
        <v>79</v>
      </c>
      <c r="K390" t="s">
        <v>650</v>
      </c>
      <c r="M390" s="1" t="s">
        <v>58</v>
      </c>
      <c r="N390" s="1">
        <v>0</v>
      </c>
      <c r="O390" s="1" t="s">
        <v>105</v>
      </c>
      <c r="P390" s="11" t="s">
        <v>843</v>
      </c>
      <c r="R390" s="1">
        <v>4</v>
      </c>
      <c r="T390" s="1" t="s">
        <v>646</v>
      </c>
      <c r="U390" s="11" t="s">
        <v>844</v>
      </c>
      <c r="V390" s="1" t="s">
        <v>41</v>
      </c>
      <c r="W390" s="1" t="s">
        <v>49</v>
      </c>
      <c r="X390" s="13" t="str">
        <f t="shared" si="47"/>
        <v/>
      </c>
      <c r="Y390" s="2">
        <f t="shared" ca="1" si="42"/>
        <v>196</v>
      </c>
      <c r="Z390" s="14">
        <v>1</v>
      </c>
      <c r="AA390" s="1" t="str">
        <f t="shared" ca="1" si="43"/>
        <v>VENCIDO</v>
      </c>
      <c r="AB390" s="1" t="str">
        <f t="shared" si="44"/>
        <v>C-14</v>
      </c>
      <c r="AC390" s="2" t="str">
        <f t="shared" si="48"/>
        <v xml:space="preserve"> ROSEMERE </v>
      </c>
      <c r="AD390" s="2">
        <f t="shared" si="45"/>
        <v>15</v>
      </c>
      <c r="AE390" s="2">
        <f t="shared" ca="1" si="46"/>
        <v>-272.27338969907578</v>
      </c>
      <c r="AF390" s="15"/>
    </row>
    <row r="391" spans="1:32" hidden="1">
      <c r="A391" s="1">
        <v>8639194</v>
      </c>
      <c r="B391" s="1" t="s">
        <v>653</v>
      </c>
      <c r="C391" t="s">
        <v>752</v>
      </c>
      <c r="E391" s="2">
        <v>5740001400030</v>
      </c>
      <c r="F391" s="1" t="s">
        <v>647</v>
      </c>
      <c r="G391" s="1" t="s">
        <v>53</v>
      </c>
      <c r="H391" s="1" t="s">
        <v>626</v>
      </c>
      <c r="I391" s="1" t="s">
        <v>627</v>
      </c>
      <c r="J391" s="1" t="s">
        <v>46</v>
      </c>
      <c r="K391" t="s">
        <v>650</v>
      </c>
      <c r="M391" s="1" t="s">
        <v>58</v>
      </c>
      <c r="N391" s="1">
        <v>0</v>
      </c>
      <c r="O391" s="1" t="s">
        <v>105</v>
      </c>
      <c r="P391" s="11" t="s">
        <v>845</v>
      </c>
      <c r="R391" s="1">
        <v>4</v>
      </c>
      <c r="T391" s="1" t="s">
        <v>646</v>
      </c>
      <c r="U391" s="11" t="s">
        <v>844</v>
      </c>
      <c r="V391" s="1" t="s">
        <v>41</v>
      </c>
      <c r="W391" s="1" t="s">
        <v>49</v>
      </c>
      <c r="X391" s="13" t="str">
        <f t="shared" si="47"/>
        <v/>
      </c>
      <c r="Y391" s="2">
        <f t="shared" ca="1" si="42"/>
        <v>196</v>
      </c>
      <c r="Z391" s="14">
        <v>1</v>
      </c>
      <c r="AA391" s="1" t="str">
        <f t="shared" ca="1" si="43"/>
        <v>VENCIDO</v>
      </c>
      <c r="AB391" s="1" t="str">
        <f t="shared" si="44"/>
        <v>C-14</v>
      </c>
      <c r="AC391" s="2" t="str">
        <f t="shared" si="48"/>
        <v xml:space="preserve"> CLEITON </v>
      </c>
      <c r="AD391" s="2">
        <f t="shared" si="45"/>
        <v>15</v>
      </c>
      <c r="AE391" s="2">
        <f t="shared" ca="1" si="46"/>
        <v>-272.27338969907578</v>
      </c>
      <c r="AF391" s="15"/>
    </row>
    <row r="392" spans="1:32" hidden="1">
      <c r="A392" s="1">
        <v>8639017</v>
      </c>
      <c r="B392" s="1" t="s">
        <v>653</v>
      </c>
      <c r="C392" t="s">
        <v>752</v>
      </c>
      <c r="E392" s="2">
        <v>4997001400030</v>
      </c>
      <c r="F392" s="1" t="s">
        <v>647</v>
      </c>
      <c r="G392" s="1" t="s">
        <v>53</v>
      </c>
      <c r="H392" s="1" t="s">
        <v>406</v>
      </c>
      <c r="I392" s="1" t="s">
        <v>407</v>
      </c>
      <c r="J392" s="1" t="s">
        <v>79</v>
      </c>
      <c r="K392" t="s">
        <v>650</v>
      </c>
      <c r="M392" s="1" t="s">
        <v>58</v>
      </c>
      <c r="N392" s="1">
        <v>0</v>
      </c>
      <c r="O392" s="1" t="s">
        <v>36</v>
      </c>
      <c r="P392" s="11" t="s">
        <v>846</v>
      </c>
      <c r="R392" s="1">
        <v>4</v>
      </c>
      <c r="T392" s="1" t="s">
        <v>646</v>
      </c>
      <c r="U392" s="11" t="s">
        <v>847</v>
      </c>
      <c r="V392" s="1" t="s">
        <v>41</v>
      </c>
      <c r="W392" s="1" t="s">
        <v>49</v>
      </c>
      <c r="X392" s="13" t="str">
        <f t="shared" si="47"/>
        <v/>
      </c>
      <c r="Y392" s="2">
        <f t="shared" ca="1" si="42"/>
        <v>196</v>
      </c>
      <c r="Z392" s="14">
        <v>1</v>
      </c>
      <c r="AA392" s="1" t="str">
        <f t="shared" ca="1" si="43"/>
        <v>VENCIDO</v>
      </c>
      <c r="AB392" s="1" t="str">
        <f t="shared" si="44"/>
        <v>C-14</v>
      </c>
      <c r="AC392" s="2" t="str">
        <f t="shared" si="48"/>
        <v xml:space="preserve"> ROSEMERE </v>
      </c>
      <c r="AD392" s="2">
        <f t="shared" si="45"/>
        <v>15</v>
      </c>
      <c r="AE392" s="2">
        <f t="shared" ca="1" si="46"/>
        <v>-272.27394525463023</v>
      </c>
      <c r="AF392" s="15"/>
    </row>
    <row r="393" spans="1:32" hidden="1">
      <c r="A393" s="1">
        <v>8638862</v>
      </c>
      <c r="B393" s="1" t="s">
        <v>653</v>
      </c>
      <c r="C393" t="s">
        <v>752</v>
      </c>
      <c r="E393" s="2">
        <v>4637001400030</v>
      </c>
      <c r="F393" s="1" t="s">
        <v>647</v>
      </c>
      <c r="G393" s="1" t="s">
        <v>53</v>
      </c>
      <c r="H393" s="1" t="s">
        <v>848</v>
      </c>
      <c r="I393" s="1" t="s">
        <v>849</v>
      </c>
      <c r="J393" s="1" t="s">
        <v>79</v>
      </c>
      <c r="K393" t="s">
        <v>650</v>
      </c>
      <c r="M393" s="1" t="s">
        <v>58</v>
      </c>
      <c r="N393" s="1">
        <v>0</v>
      </c>
      <c r="O393" s="1" t="s">
        <v>105</v>
      </c>
      <c r="P393" s="11" t="s">
        <v>850</v>
      </c>
      <c r="R393" s="1">
        <v>4</v>
      </c>
      <c r="T393" s="1" t="s">
        <v>646</v>
      </c>
      <c r="U393" s="11" t="s">
        <v>851</v>
      </c>
      <c r="V393" s="1" t="s">
        <v>41</v>
      </c>
      <c r="W393" s="1" t="s">
        <v>49</v>
      </c>
      <c r="X393" s="13" t="str">
        <f t="shared" si="47"/>
        <v/>
      </c>
      <c r="Y393" s="2">
        <f t="shared" ca="1" si="42"/>
        <v>196</v>
      </c>
      <c r="Z393" s="14">
        <v>1</v>
      </c>
      <c r="AA393" s="1" t="str">
        <f t="shared" ca="1" si="43"/>
        <v>VENCIDO</v>
      </c>
      <c r="AB393" s="1" t="str">
        <f t="shared" si="44"/>
        <v>C-14</v>
      </c>
      <c r="AC393" s="2" t="str">
        <f t="shared" si="48"/>
        <v xml:space="preserve"> ROSEMERE </v>
      </c>
      <c r="AD393" s="2">
        <f t="shared" si="45"/>
        <v>15</v>
      </c>
      <c r="AE393" s="2">
        <f t="shared" ca="1" si="46"/>
        <v>-272.27430405092309</v>
      </c>
      <c r="AF393" s="15"/>
    </row>
    <row r="394" spans="1:32" hidden="1">
      <c r="A394" s="1">
        <v>8638849</v>
      </c>
      <c r="B394" s="1" t="s">
        <v>653</v>
      </c>
      <c r="C394" t="s">
        <v>752</v>
      </c>
      <c r="E394" s="2">
        <v>4623001400030</v>
      </c>
      <c r="F394" s="1" t="s">
        <v>647</v>
      </c>
      <c r="G394" s="1" t="s">
        <v>53</v>
      </c>
      <c r="H394" s="1" t="s">
        <v>669</v>
      </c>
      <c r="I394" s="1" t="s">
        <v>670</v>
      </c>
      <c r="J394" s="1" t="s">
        <v>33</v>
      </c>
      <c r="K394" t="s">
        <v>650</v>
      </c>
      <c r="M394" s="1" t="s">
        <v>58</v>
      </c>
      <c r="N394" s="1">
        <v>0</v>
      </c>
      <c r="O394" s="1" t="s">
        <v>105</v>
      </c>
      <c r="P394" s="11" t="s">
        <v>852</v>
      </c>
      <c r="R394" s="1">
        <v>4</v>
      </c>
      <c r="T394" s="1" t="s">
        <v>646</v>
      </c>
      <c r="U394" s="11" t="s">
        <v>853</v>
      </c>
      <c r="V394" s="1" t="s">
        <v>41</v>
      </c>
      <c r="W394" s="1" t="s">
        <v>42</v>
      </c>
      <c r="X394" s="13" t="str">
        <f t="shared" si="47"/>
        <v/>
      </c>
      <c r="Y394" s="2">
        <f t="shared" ca="1" si="42"/>
        <v>196</v>
      </c>
      <c r="Z394" s="14">
        <v>1</v>
      </c>
      <c r="AA394" s="1" t="str">
        <f t="shared" ca="1" si="43"/>
        <v>VENCIDO</v>
      </c>
      <c r="AB394" s="1" t="str">
        <f t="shared" si="44"/>
        <v>C-14</v>
      </c>
      <c r="AC394" s="2" t="str">
        <f t="shared" si="48"/>
        <v xml:space="preserve"> ROSEMERE </v>
      </c>
      <c r="AD394" s="2">
        <f t="shared" si="45"/>
        <v>15</v>
      </c>
      <c r="AE394" s="2">
        <f t="shared" ca="1" si="46"/>
        <v>-272.27431562499987</v>
      </c>
      <c r="AF394" s="15"/>
    </row>
    <row r="395" spans="1:32" hidden="1">
      <c r="A395" s="1">
        <v>8638655</v>
      </c>
      <c r="B395" s="1" t="s">
        <v>653</v>
      </c>
      <c r="C395" t="s">
        <v>752</v>
      </c>
      <c r="E395" s="2">
        <v>4357001400030</v>
      </c>
      <c r="F395" s="1" t="s">
        <v>647</v>
      </c>
      <c r="G395" s="1" t="s">
        <v>53</v>
      </c>
      <c r="H395" s="1" t="s">
        <v>633</v>
      </c>
      <c r="I395" s="1" t="s">
        <v>634</v>
      </c>
      <c r="J395" s="1" t="s">
        <v>46</v>
      </c>
      <c r="K395" t="s">
        <v>650</v>
      </c>
      <c r="M395" s="1" t="s">
        <v>58</v>
      </c>
      <c r="N395" s="1">
        <v>0</v>
      </c>
      <c r="O395" s="1" t="s">
        <v>105</v>
      </c>
      <c r="P395" s="11" t="s">
        <v>854</v>
      </c>
      <c r="R395" s="1">
        <v>4</v>
      </c>
      <c r="T395" s="1" t="s">
        <v>646</v>
      </c>
      <c r="U395" s="11" t="s">
        <v>855</v>
      </c>
      <c r="V395" s="1" t="s">
        <v>41</v>
      </c>
      <c r="W395" s="1" t="s">
        <v>49</v>
      </c>
      <c r="X395" s="13" t="str">
        <f t="shared" si="47"/>
        <v/>
      </c>
      <c r="Y395" s="2">
        <f t="shared" ca="1" si="42"/>
        <v>196</v>
      </c>
      <c r="Z395" s="14">
        <v>1</v>
      </c>
      <c r="AA395" s="1" t="str">
        <f t="shared" ca="1" si="43"/>
        <v>VENCIDO</v>
      </c>
      <c r="AB395" s="1" t="str">
        <f t="shared" si="44"/>
        <v>C-14</v>
      </c>
      <c r="AC395" s="2" t="str">
        <f t="shared" si="48"/>
        <v xml:space="preserve"> CLEITON </v>
      </c>
      <c r="AD395" s="2">
        <f t="shared" si="45"/>
        <v>15</v>
      </c>
      <c r="AE395" s="2">
        <f t="shared" ca="1" si="46"/>
        <v>-272.27516053240834</v>
      </c>
      <c r="AF395" s="15"/>
    </row>
    <row r="396" spans="1:32" hidden="1">
      <c r="A396" s="1">
        <v>8638579</v>
      </c>
      <c r="B396" s="1" t="s">
        <v>653</v>
      </c>
      <c r="C396" t="s">
        <v>752</v>
      </c>
      <c r="E396" s="2">
        <v>4235001400030</v>
      </c>
      <c r="F396" s="1" t="s">
        <v>647</v>
      </c>
      <c r="G396" s="1" t="s">
        <v>53</v>
      </c>
      <c r="H396" s="1" t="s">
        <v>291</v>
      </c>
      <c r="I396" s="1" t="s">
        <v>292</v>
      </c>
      <c r="J396" s="1" t="s">
        <v>46</v>
      </c>
      <c r="K396" t="s">
        <v>650</v>
      </c>
      <c r="M396" s="1" t="s">
        <v>58</v>
      </c>
      <c r="N396" s="1">
        <v>0</v>
      </c>
      <c r="O396" s="1" t="s">
        <v>105</v>
      </c>
      <c r="P396" s="11" t="s">
        <v>856</v>
      </c>
      <c r="R396" s="1">
        <v>4</v>
      </c>
      <c r="T396" s="1" t="s">
        <v>646</v>
      </c>
      <c r="U396" s="11" t="s">
        <v>857</v>
      </c>
      <c r="V396" s="1" t="s">
        <v>41</v>
      </c>
      <c r="W396" s="1" t="s">
        <v>49</v>
      </c>
      <c r="X396" s="13" t="str">
        <f t="shared" si="47"/>
        <v/>
      </c>
      <c r="Y396" s="2">
        <f t="shared" ca="1" si="42"/>
        <v>196</v>
      </c>
      <c r="Z396" s="14">
        <v>1</v>
      </c>
      <c r="AA396" s="1" t="str">
        <f t="shared" ca="1" si="43"/>
        <v>VENCIDO</v>
      </c>
      <c r="AB396" s="1" t="str">
        <f t="shared" si="44"/>
        <v>C-14</v>
      </c>
      <c r="AC396" s="2" t="str">
        <f t="shared" si="48"/>
        <v xml:space="preserve"> CLEITON </v>
      </c>
      <c r="AD396" s="2">
        <f t="shared" si="45"/>
        <v>15</v>
      </c>
      <c r="AE396" s="2">
        <f t="shared" ca="1" si="46"/>
        <v>-272.27551932870119</v>
      </c>
      <c r="AF396" s="15"/>
    </row>
    <row r="397" spans="1:32" hidden="1">
      <c r="A397" s="1">
        <v>8638488</v>
      </c>
      <c r="B397" s="1" t="s">
        <v>653</v>
      </c>
      <c r="C397" t="s">
        <v>752</v>
      </c>
      <c r="E397" s="2">
        <v>4118001400030</v>
      </c>
      <c r="F397" s="1" t="s">
        <v>647</v>
      </c>
      <c r="G397" s="1" t="s">
        <v>53</v>
      </c>
      <c r="H397" s="1" t="s">
        <v>71</v>
      </c>
      <c r="I397" s="1" t="s">
        <v>72</v>
      </c>
      <c r="J397" s="1" t="s">
        <v>46</v>
      </c>
      <c r="K397" t="s">
        <v>650</v>
      </c>
      <c r="M397" s="1" t="s">
        <v>58</v>
      </c>
      <c r="N397" s="1">
        <v>0</v>
      </c>
      <c r="O397" s="1" t="s">
        <v>105</v>
      </c>
      <c r="P397" s="11" t="s">
        <v>3440</v>
      </c>
      <c r="R397" s="1">
        <v>4</v>
      </c>
      <c r="T397" s="1" t="s">
        <v>646</v>
      </c>
      <c r="U397" s="11" t="s">
        <v>3441</v>
      </c>
      <c r="V397" s="1" t="s">
        <v>41</v>
      </c>
      <c r="W397" s="1" t="s">
        <v>49</v>
      </c>
      <c r="X397" s="13" t="str">
        <f t="shared" si="47"/>
        <v/>
      </c>
      <c r="Y397" s="2">
        <f t="shared" ca="1" si="42"/>
        <v>196</v>
      </c>
      <c r="Z397" s="14">
        <v>1</v>
      </c>
      <c r="AA397" s="1" t="str">
        <f t="shared" ca="1" si="43"/>
        <v>VENCIDO</v>
      </c>
      <c r="AB397" s="1" t="str">
        <f t="shared" si="44"/>
        <v>C-14</v>
      </c>
      <c r="AC397" s="2" t="str">
        <f t="shared" si="48"/>
        <v xml:space="preserve"> CLEITON </v>
      </c>
      <c r="AD397" s="2">
        <f t="shared" si="45"/>
        <v>15</v>
      </c>
      <c r="AE397" s="2">
        <f t="shared" ca="1" si="46"/>
        <v>-272.27579710647842</v>
      </c>
      <c r="AF397" s="15"/>
    </row>
    <row r="398" spans="1:32" hidden="1">
      <c r="A398" s="1">
        <v>8638189</v>
      </c>
      <c r="B398" s="1" t="s">
        <v>653</v>
      </c>
      <c r="C398" t="s">
        <v>752</v>
      </c>
      <c r="E398" s="2">
        <v>3699001400030</v>
      </c>
      <c r="F398" s="1" t="s">
        <v>647</v>
      </c>
      <c r="G398" s="1" t="s">
        <v>53</v>
      </c>
      <c r="H398" s="1" t="s">
        <v>343</v>
      </c>
      <c r="I398" s="1" t="s">
        <v>344</v>
      </c>
      <c r="J398" s="1" t="s">
        <v>46</v>
      </c>
      <c r="K398" t="s">
        <v>650</v>
      </c>
      <c r="M398" s="1" t="s">
        <v>58</v>
      </c>
      <c r="N398" s="1">
        <v>0</v>
      </c>
      <c r="O398" s="1" t="s">
        <v>105</v>
      </c>
      <c r="P398" s="11" t="s">
        <v>862</v>
      </c>
      <c r="R398" s="1">
        <v>4</v>
      </c>
      <c r="T398" s="1" t="s">
        <v>646</v>
      </c>
      <c r="U398" s="11" t="s">
        <v>863</v>
      </c>
      <c r="V398" s="1" t="s">
        <v>41</v>
      </c>
      <c r="W398" s="1" t="s">
        <v>49</v>
      </c>
      <c r="X398" s="13" t="str">
        <f t="shared" si="47"/>
        <v/>
      </c>
      <c r="Y398" s="2">
        <f t="shared" ca="1" si="42"/>
        <v>196</v>
      </c>
      <c r="Z398" s="14">
        <v>1</v>
      </c>
      <c r="AA398" s="1" t="str">
        <f t="shared" ca="1" si="43"/>
        <v>VENCIDO</v>
      </c>
      <c r="AB398" s="1" t="str">
        <f t="shared" si="44"/>
        <v>C-14</v>
      </c>
      <c r="AC398" s="2" t="str">
        <f t="shared" si="48"/>
        <v xml:space="preserve"> CLEITON </v>
      </c>
      <c r="AD398" s="2">
        <f t="shared" si="45"/>
        <v>15</v>
      </c>
      <c r="AE398" s="2">
        <f t="shared" ca="1" si="46"/>
        <v>-272.27667673610995</v>
      </c>
      <c r="AF398" s="15"/>
    </row>
    <row r="399" spans="1:32" hidden="1">
      <c r="A399" s="1">
        <v>8638122</v>
      </c>
      <c r="B399" s="1" t="s">
        <v>653</v>
      </c>
      <c r="C399" t="s">
        <v>752</v>
      </c>
      <c r="E399" s="2">
        <v>3613001400030</v>
      </c>
      <c r="F399" s="1" t="s">
        <v>647</v>
      </c>
      <c r="G399" s="1" t="s">
        <v>53</v>
      </c>
      <c r="H399" s="1" t="s">
        <v>679</v>
      </c>
      <c r="I399" s="1" t="s">
        <v>680</v>
      </c>
      <c r="J399" s="1" t="s">
        <v>46</v>
      </c>
      <c r="K399" t="s">
        <v>650</v>
      </c>
      <c r="M399" s="1" t="s">
        <v>58</v>
      </c>
      <c r="N399" s="1">
        <v>0</v>
      </c>
      <c r="O399" s="1" t="s">
        <v>105</v>
      </c>
      <c r="P399" s="11" t="s">
        <v>864</v>
      </c>
      <c r="R399" s="1">
        <v>4</v>
      </c>
      <c r="T399" s="1" t="s">
        <v>646</v>
      </c>
      <c r="U399" s="11" t="s">
        <v>865</v>
      </c>
      <c r="V399" s="1" t="s">
        <v>41</v>
      </c>
      <c r="W399" s="1" t="s">
        <v>49</v>
      </c>
      <c r="X399" s="13" t="str">
        <f t="shared" si="47"/>
        <v/>
      </c>
      <c r="Y399" s="2">
        <f t="shared" ca="1" si="42"/>
        <v>196</v>
      </c>
      <c r="Z399" s="14">
        <v>1</v>
      </c>
      <c r="AA399" s="1" t="str">
        <f t="shared" ca="1" si="43"/>
        <v>VENCIDO</v>
      </c>
      <c r="AB399" s="1" t="str">
        <f t="shared" si="44"/>
        <v>C-14</v>
      </c>
      <c r="AC399" s="2" t="str">
        <f t="shared" si="48"/>
        <v xml:space="preserve"> CLEITON </v>
      </c>
      <c r="AD399" s="2">
        <f t="shared" si="45"/>
        <v>15</v>
      </c>
      <c r="AE399" s="2">
        <f t="shared" ca="1" si="46"/>
        <v>-272.27678090277914</v>
      </c>
      <c r="AF399" s="15"/>
    </row>
    <row r="400" spans="1:32" hidden="1">
      <c r="A400" s="1">
        <v>8638121</v>
      </c>
      <c r="B400" s="1" t="s">
        <v>653</v>
      </c>
      <c r="C400" t="s">
        <v>752</v>
      </c>
      <c r="E400" s="2">
        <v>3612001400030</v>
      </c>
      <c r="F400" s="1" t="s">
        <v>647</v>
      </c>
      <c r="G400" s="1" t="s">
        <v>53</v>
      </c>
      <c r="H400" s="1" t="s">
        <v>683</v>
      </c>
      <c r="I400" s="1" t="s">
        <v>684</v>
      </c>
      <c r="J400" s="1" t="s">
        <v>46</v>
      </c>
      <c r="K400" t="s">
        <v>650</v>
      </c>
      <c r="M400" s="1" t="s">
        <v>58</v>
      </c>
      <c r="N400" s="1">
        <v>0</v>
      </c>
      <c r="O400" s="1" t="s">
        <v>105</v>
      </c>
      <c r="P400" s="11" t="s">
        <v>864</v>
      </c>
      <c r="R400" s="1">
        <v>4</v>
      </c>
      <c r="T400" s="1" t="s">
        <v>646</v>
      </c>
      <c r="U400" s="11" t="s">
        <v>865</v>
      </c>
      <c r="V400" s="1" t="s">
        <v>41</v>
      </c>
      <c r="W400" s="1" t="s">
        <v>49</v>
      </c>
      <c r="X400" s="13" t="str">
        <f t="shared" si="47"/>
        <v/>
      </c>
      <c r="Y400" s="2">
        <f t="shared" ca="1" si="42"/>
        <v>196</v>
      </c>
      <c r="Z400" s="14">
        <v>1</v>
      </c>
      <c r="AA400" s="1" t="str">
        <f t="shared" ca="1" si="43"/>
        <v>VENCIDO</v>
      </c>
      <c r="AB400" s="1" t="str">
        <f t="shared" si="44"/>
        <v>C-14</v>
      </c>
      <c r="AC400" s="2" t="str">
        <f t="shared" si="48"/>
        <v xml:space="preserve"> CLEITON </v>
      </c>
      <c r="AD400" s="2">
        <f t="shared" si="45"/>
        <v>15</v>
      </c>
      <c r="AE400" s="2">
        <f t="shared" ca="1" si="46"/>
        <v>-272.27678090277914</v>
      </c>
      <c r="AF400" s="15"/>
    </row>
    <row r="401" spans="1:32" hidden="1">
      <c r="A401" s="1">
        <v>8638058</v>
      </c>
      <c r="B401" s="1" t="s">
        <v>653</v>
      </c>
      <c r="C401" t="s">
        <v>752</v>
      </c>
      <c r="E401" s="2">
        <v>3504001400030</v>
      </c>
      <c r="F401" s="1" t="s">
        <v>647</v>
      </c>
      <c r="G401" s="1" t="s">
        <v>53</v>
      </c>
      <c r="H401" s="1" t="s">
        <v>585</v>
      </c>
      <c r="I401" s="1" t="s">
        <v>586</v>
      </c>
      <c r="J401" s="1" t="s">
        <v>46</v>
      </c>
      <c r="K401" t="s">
        <v>650</v>
      </c>
      <c r="M401" s="1" t="s">
        <v>58</v>
      </c>
      <c r="N401" s="1">
        <v>0</v>
      </c>
      <c r="O401" s="1" t="s">
        <v>105</v>
      </c>
      <c r="P401" s="11" t="s">
        <v>866</v>
      </c>
      <c r="R401" s="1">
        <v>4</v>
      </c>
      <c r="T401" s="1" t="s">
        <v>646</v>
      </c>
      <c r="U401" s="11" t="s">
        <v>867</v>
      </c>
      <c r="V401" s="1" t="s">
        <v>41</v>
      </c>
      <c r="W401" s="1" t="s">
        <v>49</v>
      </c>
      <c r="X401" s="13" t="str">
        <f t="shared" si="47"/>
        <v/>
      </c>
      <c r="Y401" s="2">
        <f t="shared" ca="1" si="42"/>
        <v>196</v>
      </c>
      <c r="Z401" s="14">
        <v>1</v>
      </c>
      <c r="AA401" s="1" t="str">
        <f t="shared" ca="1" si="43"/>
        <v>VENCIDO</v>
      </c>
      <c r="AB401" s="1" t="str">
        <f t="shared" si="44"/>
        <v>C-14</v>
      </c>
      <c r="AC401" s="2" t="str">
        <f t="shared" si="48"/>
        <v xml:space="preserve"> CLEITON </v>
      </c>
      <c r="AD401" s="2">
        <f t="shared" si="45"/>
        <v>15</v>
      </c>
      <c r="AE401" s="2">
        <f t="shared" ca="1" si="46"/>
        <v>-272.27698923611024</v>
      </c>
      <c r="AF401" s="15"/>
    </row>
    <row r="402" spans="1:32" hidden="1">
      <c r="A402" s="1">
        <v>8638057</v>
      </c>
      <c r="B402" s="1" t="s">
        <v>653</v>
      </c>
      <c r="C402" t="s">
        <v>752</v>
      </c>
      <c r="E402" s="2">
        <v>3503001400030</v>
      </c>
      <c r="F402" s="1" t="s">
        <v>647</v>
      </c>
      <c r="G402" s="1" t="s">
        <v>53</v>
      </c>
      <c r="H402" s="1" t="s">
        <v>398</v>
      </c>
      <c r="I402" s="1" t="s">
        <v>399</v>
      </c>
      <c r="J402" s="1" t="s">
        <v>46</v>
      </c>
      <c r="K402" t="s">
        <v>650</v>
      </c>
      <c r="M402" s="1" t="s">
        <v>58</v>
      </c>
      <c r="N402" s="1">
        <v>0</v>
      </c>
      <c r="O402" s="1" t="s">
        <v>105</v>
      </c>
      <c r="P402" s="11" t="s">
        <v>866</v>
      </c>
      <c r="R402" s="1">
        <v>4</v>
      </c>
      <c r="T402" s="1" t="s">
        <v>646</v>
      </c>
      <c r="U402" s="11" t="s">
        <v>867</v>
      </c>
      <c r="V402" s="1" t="s">
        <v>41</v>
      </c>
      <c r="W402" s="1" t="s">
        <v>49</v>
      </c>
      <c r="X402" s="13" t="str">
        <f t="shared" si="47"/>
        <v/>
      </c>
      <c r="Y402" s="2">
        <f t="shared" ca="1" si="42"/>
        <v>196</v>
      </c>
      <c r="Z402" s="14">
        <v>1</v>
      </c>
      <c r="AA402" s="1" t="str">
        <f t="shared" ca="1" si="43"/>
        <v>VENCIDO</v>
      </c>
      <c r="AB402" s="1" t="str">
        <f t="shared" si="44"/>
        <v>C-14</v>
      </c>
      <c r="AC402" s="2" t="str">
        <f t="shared" si="48"/>
        <v xml:space="preserve"> CLEITON </v>
      </c>
      <c r="AD402" s="2">
        <f t="shared" si="45"/>
        <v>15</v>
      </c>
      <c r="AE402" s="2">
        <f t="shared" ca="1" si="46"/>
        <v>-272.27698923611024</v>
      </c>
      <c r="AF402" s="15"/>
    </row>
    <row r="403" spans="1:32" hidden="1">
      <c r="A403" s="1">
        <v>8637889</v>
      </c>
      <c r="B403" s="1" t="s">
        <v>653</v>
      </c>
      <c r="C403" t="s">
        <v>752</v>
      </c>
      <c r="E403" s="2">
        <v>3258001400030</v>
      </c>
      <c r="F403" s="1" t="s">
        <v>647</v>
      </c>
      <c r="G403" s="1" t="s">
        <v>53</v>
      </c>
      <c r="H403" s="1" t="s">
        <v>321</v>
      </c>
      <c r="I403" s="1" t="s">
        <v>322</v>
      </c>
      <c r="J403" s="1" t="s">
        <v>46</v>
      </c>
      <c r="K403" t="s">
        <v>650</v>
      </c>
      <c r="M403" s="1" t="s">
        <v>58</v>
      </c>
      <c r="N403" s="1">
        <v>0</v>
      </c>
      <c r="O403" s="1" t="s">
        <v>105</v>
      </c>
      <c r="P403" s="11" t="s">
        <v>868</v>
      </c>
      <c r="R403" s="1">
        <v>4</v>
      </c>
      <c r="T403" s="1" t="s">
        <v>646</v>
      </c>
      <c r="U403" s="11" t="s">
        <v>869</v>
      </c>
      <c r="V403" s="1" t="s">
        <v>41</v>
      </c>
      <c r="W403" s="1" t="s">
        <v>49</v>
      </c>
      <c r="X403" s="13" t="str">
        <f t="shared" si="47"/>
        <v/>
      </c>
      <c r="Y403" s="2">
        <f t="shared" ca="1" si="42"/>
        <v>196</v>
      </c>
      <c r="Z403" s="14">
        <v>1</v>
      </c>
      <c r="AA403" s="1" t="str">
        <f t="shared" ca="1" si="43"/>
        <v>VENCIDO</v>
      </c>
      <c r="AB403" s="1" t="str">
        <f t="shared" si="44"/>
        <v>C-14</v>
      </c>
      <c r="AC403" s="2" t="str">
        <f t="shared" si="48"/>
        <v xml:space="preserve"> CLEITON </v>
      </c>
      <c r="AD403" s="2">
        <f t="shared" si="45"/>
        <v>15</v>
      </c>
      <c r="AE403" s="2">
        <f t="shared" ca="1" si="46"/>
        <v>-272.27741747684922</v>
      </c>
      <c r="AF403" s="15"/>
    </row>
    <row r="404" spans="1:32" hidden="1">
      <c r="A404" s="1">
        <v>8637878</v>
      </c>
      <c r="B404" s="1" t="s">
        <v>653</v>
      </c>
      <c r="C404" t="s">
        <v>752</v>
      </c>
      <c r="E404" s="2">
        <v>3243001400030</v>
      </c>
      <c r="F404" s="1" t="s">
        <v>647</v>
      </c>
      <c r="G404" s="1" t="s">
        <v>53</v>
      </c>
      <c r="H404" s="1" t="s">
        <v>282</v>
      </c>
      <c r="I404" s="1" t="s">
        <v>283</v>
      </c>
      <c r="J404" s="1" t="s">
        <v>46</v>
      </c>
      <c r="K404" t="s">
        <v>650</v>
      </c>
      <c r="M404" s="1" t="s">
        <v>58</v>
      </c>
      <c r="N404" s="1">
        <v>0</v>
      </c>
      <c r="O404" s="1" t="s">
        <v>105</v>
      </c>
      <c r="P404" s="11" t="s">
        <v>870</v>
      </c>
      <c r="R404" s="1">
        <v>4</v>
      </c>
      <c r="T404" s="1" t="s">
        <v>646</v>
      </c>
      <c r="U404" s="11" t="s">
        <v>871</v>
      </c>
      <c r="V404" s="1" t="s">
        <v>41</v>
      </c>
      <c r="W404" s="1" t="s">
        <v>49</v>
      </c>
      <c r="X404" s="13" t="str">
        <f t="shared" si="47"/>
        <v/>
      </c>
      <c r="Y404" s="2">
        <f t="shared" ca="1" si="42"/>
        <v>196</v>
      </c>
      <c r="Z404" s="14">
        <v>1</v>
      </c>
      <c r="AA404" s="1" t="str">
        <f t="shared" ca="1" si="43"/>
        <v>VENCIDO</v>
      </c>
      <c r="AB404" s="1" t="str">
        <f t="shared" si="44"/>
        <v>C-14</v>
      </c>
      <c r="AC404" s="2" t="str">
        <f t="shared" si="48"/>
        <v xml:space="preserve"> CLEITON </v>
      </c>
      <c r="AD404" s="2">
        <f t="shared" si="45"/>
        <v>15</v>
      </c>
      <c r="AE404" s="2">
        <f t="shared" ca="1" si="46"/>
        <v>-272.277429050926</v>
      </c>
      <c r="AF404" s="15"/>
    </row>
    <row r="405" spans="1:32" hidden="1">
      <c r="A405" s="1">
        <v>8637875</v>
      </c>
      <c r="B405" s="1" t="s">
        <v>653</v>
      </c>
      <c r="C405" t="s">
        <v>752</v>
      </c>
      <c r="E405" s="2">
        <v>3237001400030</v>
      </c>
      <c r="F405" s="1" t="s">
        <v>647</v>
      </c>
      <c r="G405" s="1" t="s">
        <v>53</v>
      </c>
      <c r="H405" s="1" t="s">
        <v>287</v>
      </c>
      <c r="I405" s="1" t="s">
        <v>288</v>
      </c>
      <c r="J405" s="1" t="s">
        <v>46</v>
      </c>
      <c r="K405" t="s">
        <v>650</v>
      </c>
      <c r="M405" s="1" t="s">
        <v>58</v>
      </c>
      <c r="N405" s="1">
        <v>0</v>
      </c>
      <c r="O405" s="1" t="s">
        <v>105</v>
      </c>
      <c r="P405" s="11" t="s">
        <v>872</v>
      </c>
      <c r="R405" s="1">
        <v>4</v>
      </c>
      <c r="T405" s="1" t="s">
        <v>646</v>
      </c>
      <c r="U405" s="186">
        <v>44714.398831018516</v>
      </c>
      <c r="V405" s="1" t="s">
        <v>41</v>
      </c>
      <c r="W405" s="1" t="s">
        <v>49</v>
      </c>
      <c r="X405" s="13" t="str">
        <f t="shared" si="47"/>
        <v/>
      </c>
      <c r="Y405" s="2">
        <f t="shared" ca="1" si="42"/>
        <v>196</v>
      </c>
      <c r="Z405" s="14">
        <v>1</v>
      </c>
      <c r="AA405" s="1" t="str">
        <f t="shared" ca="1" si="43"/>
        <v>VENCIDO</v>
      </c>
      <c r="AB405" s="1" t="str">
        <f t="shared" si="44"/>
        <v>C-14</v>
      </c>
      <c r="AC405" s="2" t="str">
        <f t="shared" si="48"/>
        <v xml:space="preserve"> CLEITON </v>
      </c>
      <c r="AD405" s="2">
        <f t="shared" si="45"/>
        <v>15</v>
      </c>
      <c r="AE405" s="2">
        <f t="shared" ca="1" si="46"/>
        <v>-272.27744062500278</v>
      </c>
      <c r="AF405" s="15"/>
    </row>
    <row r="406" spans="1:32" hidden="1">
      <c r="A406" s="1">
        <v>8637700</v>
      </c>
      <c r="B406" s="1" t="s">
        <v>653</v>
      </c>
      <c r="C406" t="s">
        <v>752</v>
      </c>
      <c r="E406" s="2">
        <v>2988001400030</v>
      </c>
      <c r="F406" s="1" t="s">
        <v>647</v>
      </c>
      <c r="G406" s="1" t="s">
        <v>53</v>
      </c>
      <c r="H406" s="1" t="s">
        <v>536</v>
      </c>
      <c r="I406" s="1" t="s">
        <v>537</v>
      </c>
      <c r="J406" s="1" t="s">
        <v>46</v>
      </c>
      <c r="K406" t="s">
        <v>650</v>
      </c>
      <c r="M406" s="1" t="s">
        <v>58</v>
      </c>
      <c r="N406" s="1">
        <v>0</v>
      </c>
      <c r="O406" s="1" t="s">
        <v>105</v>
      </c>
      <c r="P406" s="11" t="s">
        <v>874</v>
      </c>
      <c r="R406" s="1">
        <v>4</v>
      </c>
      <c r="T406" s="1" t="s">
        <v>646</v>
      </c>
      <c r="U406" s="186">
        <v>44714.398356481484</v>
      </c>
      <c r="V406" s="1" t="s">
        <v>41</v>
      </c>
      <c r="W406" s="1" t="s">
        <v>49</v>
      </c>
      <c r="X406" s="13" t="str">
        <f t="shared" si="47"/>
        <v/>
      </c>
      <c r="Y406" s="2">
        <f t="shared" ca="1" si="42"/>
        <v>196</v>
      </c>
      <c r="Z406" s="14">
        <v>1</v>
      </c>
      <c r="AA406" s="1" t="str">
        <f t="shared" ca="1" si="43"/>
        <v>VENCIDO</v>
      </c>
      <c r="AB406" s="1" t="str">
        <f t="shared" si="44"/>
        <v>C-14</v>
      </c>
      <c r="AC406" s="2" t="str">
        <f t="shared" si="48"/>
        <v xml:space="preserve"> CLEITON </v>
      </c>
      <c r="AD406" s="2">
        <f t="shared" si="45"/>
        <v>15</v>
      </c>
      <c r="AE406" s="2">
        <f t="shared" ca="1" si="46"/>
        <v>-272.27791516203433</v>
      </c>
      <c r="AF406" s="15"/>
    </row>
    <row r="407" spans="1:32" hidden="1">
      <c r="A407" s="1">
        <v>8637582</v>
      </c>
      <c r="B407" s="1" t="s">
        <v>653</v>
      </c>
      <c r="C407" t="s">
        <v>752</v>
      </c>
      <c r="E407" s="2">
        <v>2830001400030</v>
      </c>
      <c r="F407" s="1" t="s">
        <v>647</v>
      </c>
      <c r="G407" s="1" t="s">
        <v>53</v>
      </c>
      <c r="H407" s="1" t="s">
        <v>448</v>
      </c>
      <c r="I407" s="1" t="s">
        <v>449</v>
      </c>
      <c r="J407" s="1" t="s">
        <v>33</v>
      </c>
      <c r="K407" t="s">
        <v>650</v>
      </c>
      <c r="M407" s="1" t="s">
        <v>58</v>
      </c>
      <c r="N407" s="1">
        <v>0</v>
      </c>
      <c r="O407" s="1" t="s">
        <v>105</v>
      </c>
      <c r="P407" s="11" t="s">
        <v>876</v>
      </c>
      <c r="R407" s="1">
        <v>4</v>
      </c>
      <c r="T407" s="1" t="s">
        <v>646</v>
      </c>
      <c r="U407" s="186">
        <v>44714.397939814815</v>
      </c>
      <c r="V407" s="1" t="s">
        <v>41</v>
      </c>
      <c r="W407" s="1" t="s">
        <v>42</v>
      </c>
      <c r="X407" s="13" t="str">
        <f t="shared" si="47"/>
        <v/>
      </c>
      <c r="Y407" s="2">
        <f t="shared" ca="1" si="42"/>
        <v>196</v>
      </c>
      <c r="Z407" s="14">
        <v>1</v>
      </c>
      <c r="AA407" s="1" t="str">
        <f t="shared" ca="1" si="43"/>
        <v>VENCIDO</v>
      </c>
      <c r="AB407" s="1" t="str">
        <f t="shared" si="44"/>
        <v>C-14</v>
      </c>
      <c r="AC407" s="2" t="str">
        <f t="shared" si="48"/>
        <v xml:space="preserve"> ROSEMERE </v>
      </c>
      <c r="AD407" s="2">
        <f t="shared" si="45"/>
        <v>15</v>
      </c>
      <c r="AE407" s="2">
        <f t="shared" ca="1" si="46"/>
        <v>-272.27833182870381</v>
      </c>
      <c r="AF407" s="15"/>
    </row>
    <row r="408" spans="1:32" hidden="1">
      <c r="A408" s="1">
        <v>8637567</v>
      </c>
      <c r="B408" s="1" t="s">
        <v>653</v>
      </c>
      <c r="C408" t="s">
        <v>752</v>
      </c>
      <c r="E408" s="2">
        <v>2811001400030</v>
      </c>
      <c r="F408" s="1" t="s">
        <v>647</v>
      </c>
      <c r="G408" s="1" t="s">
        <v>53</v>
      </c>
      <c r="H408" s="1" t="s">
        <v>44</v>
      </c>
      <c r="I408" s="1" t="s">
        <v>45</v>
      </c>
      <c r="J408" s="1" t="s">
        <v>46</v>
      </c>
      <c r="K408" t="s">
        <v>650</v>
      </c>
      <c r="M408" s="1" t="s">
        <v>58</v>
      </c>
      <c r="N408" s="1">
        <v>0</v>
      </c>
      <c r="O408" s="1" t="s">
        <v>105</v>
      </c>
      <c r="P408" s="11" t="s">
        <v>878</v>
      </c>
      <c r="R408" s="1">
        <v>4</v>
      </c>
      <c r="T408" s="1" t="s">
        <v>646</v>
      </c>
      <c r="U408" s="186">
        <v>44714.397928240738</v>
      </c>
      <c r="V408" s="1" t="s">
        <v>41</v>
      </c>
      <c r="W408" s="1" t="s">
        <v>49</v>
      </c>
      <c r="X408" s="13" t="str">
        <f t="shared" si="47"/>
        <v/>
      </c>
      <c r="Y408" s="2">
        <f t="shared" ca="1" si="42"/>
        <v>196</v>
      </c>
      <c r="Z408" s="14">
        <v>1</v>
      </c>
      <c r="AA408" s="1" t="str">
        <f t="shared" ca="1" si="43"/>
        <v>VENCIDO</v>
      </c>
      <c r="AB408" s="1" t="str">
        <f t="shared" si="44"/>
        <v>C-14</v>
      </c>
      <c r="AC408" s="2" t="str">
        <f t="shared" si="48"/>
        <v xml:space="preserve"> CLEITON </v>
      </c>
      <c r="AD408" s="2">
        <f t="shared" si="45"/>
        <v>15</v>
      </c>
      <c r="AE408" s="2">
        <f t="shared" ca="1" si="46"/>
        <v>-272.27834340278059</v>
      </c>
      <c r="AF408" s="15"/>
    </row>
    <row r="409" spans="1:32" hidden="1">
      <c r="A409" s="1">
        <v>8637560</v>
      </c>
      <c r="B409" s="1" t="s">
        <v>653</v>
      </c>
      <c r="C409" t="s">
        <v>752</v>
      </c>
      <c r="E409" s="2">
        <v>2802001400030</v>
      </c>
      <c r="F409" s="1" t="s">
        <v>647</v>
      </c>
      <c r="G409" s="1" t="s">
        <v>53</v>
      </c>
      <c r="H409" s="1" t="s">
        <v>388</v>
      </c>
      <c r="I409" s="1" t="s">
        <v>389</v>
      </c>
      <c r="J409" s="1" t="s">
        <v>46</v>
      </c>
      <c r="K409" t="s">
        <v>650</v>
      </c>
      <c r="M409" s="1" t="s">
        <v>58</v>
      </c>
      <c r="N409" s="1">
        <v>0</v>
      </c>
      <c r="O409" s="1" t="s">
        <v>105</v>
      </c>
      <c r="P409" s="11" t="s">
        <v>880</v>
      </c>
      <c r="R409" s="1">
        <v>4</v>
      </c>
      <c r="T409" s="1" t="s">
        <v>646</v>
      </c>
      <c r="U409" s="186">
        <v>44714.397916666669</v>
      </c>
      <c r="V409" s="1" t="s">
        <v>41</v>
      </c>
      <c r="W409" s="1" t="s">
        <v>49</v>
      </c>
      <c r="X409" s="13" t="str">
        <f t="shared" si="47"/>
        <v/>
      </c>
      <c r="Y409" s="2">
        <f t="shared" ca="1" si="42"/>
        <v>196</v>
      </c>
      <c r="Z409" s="14">
        <v>1</v>
      </c>
      <c r="AA409" s="1" t="str">
        <f t="shared" ca="1" si="43"/>
        <v>VENCIDO</v>
      </c>
      <c r="AB409" s="1" t="str">
        <f t="shared" si="44"/>
        <v>C-14</v>
      </c>
      <c r="AC409" s="2" t="str">
        <f t="shared" si="48"/>
        <v xml:space="preserve"> CLEITON </v>
      </c>
      <c r="AD409" s="2">
        <f t="shared" si="45"/>
        <v>15</v>
      </c>
      <c r="AE409" s="2">
        <f t="shared" ca="1" si="46"/>
        <v>-272.2783549768501</v>
      </c>
      <c r="AF409" s="15"/>
    </row>
    <row r="410" spans="1:32" hidden="1">
      <c r="A410" s="1">
        <v>8637412</v>
      </c>
      <c r="B410" s="1" t="s">
        <v>653</v>
      </c>
      <c r="C410" t="s">
        <v>752</v>
      </c>
      <c r="E410" s="2">
        <v>2625001400030</v>
      </c>
      <c r="F410" s="1" t="s">
        <v>647</v>
      </c>
      <c r="G410" s="1" t="s">
        <v>53</v>
      </c>
      <c r="H410" s="1" t="s">
        <v>317</v>
      </c>
      <c r="I410" s="1" t="s">
        <v>318</v>
      </c>
      <c r="J410" s="1" t="s">
        <v>164</v>
      </c>
      <c r="K410" t="s">
        <v>650</v>
      </c>
      <c r="M410" s="1" t="s">
        <v>58</v>
      </c>
      <c r="N410" s="1">
        <v>0</v>
      </c>
      <c r="O410" s="1" t="s">
        <v>105</v>
      </c>
      <c r="P410" s="11" t="s">
        <v>882</v>
      </c>
      <c r="R410" s="1">
        <v>4</v>
      </c>
      <c r="T410" s="1" t="s">
        <v>646</v>
      </c>
      <c r="U410" s="186">
        <v>44714.397581018522</v>
      </c>
      <c r="V410" s="1" t="s">
        <v>41</v>
      </c>
      <c r="W410" s="1" t="s">
        <v>49</v>
      </c>
      <c r="X410" s="13" t="str">
        <f t="shared" si="47"/>
        <v/>
      </c>
      <c r="Y410" s="2">
        <f t="shared" ca="1" si="42"/>
        <v>196</v>
      </c>
      <c r="Z410" s="14">
        <v>1</v>
      </c>
      <c r="AA410" s="1" t="str">
        <f t="shared" ca="1" si="43"/>
        <v>VENCIDO</v>
      </c>
      <c r="AB410" s="1" t="str">
        <f t="shared" si="44"/>
        <v>C-14</v>
      </c>
      <c r="AC410" s="2" t="str">
        <f t="shared" si="48"/>
        <v xml:space="preserve"> ROSEMERE </v>
      </c>
      <c r="AD410" s="2">
        <f t="shared" si="45"/>
        <v>15</v>
      </c>
      <c r="AE410" s="2">
        <f t="shared" ca="1" si="46"/>
        <v>-272.27869062499667</v>
      </c>
      <c r="AF410" s="15"/>
    </row>
    <row r="411" spans="1:32" hidden="1">
      <c r="A411" s="1">
        <v>8637224</v>
      </c>
      <c r="B411" s="1" t="s">
        <v>653</v>
      </c>
      <c r="C411" t="s">
        <v>752</v>
      </c>
      <c r="E411" s="2">
        <v>2388001400030</v>
      </c>
      <c r="F411" s="1" t="s">
        <v>647</v>
      </c>
      <c r="G411" s="1" t="s">
        <v>53</v>
      </c>
      <c r="H411" s="1" t="s">
        <v>299</v>
      </c>
      <c r="I411" s="1" t="s">
        <v>300</v>
      </c>
      <c r="J411" s="1" t="s">
        <v>79</v>
      </c>
      <c r="K411" t="s">
        <v>650</v>
      </c>
      <c r="M411" s="1" t="s">
        <v>58</v>
      </c>
      <c r="N411" s="1">
        <v>0</v>
      </c>
      <c r="O411" s="1" t="s">
        <v>105</v>
      </c>
      <c r="P411" s="11" t="s">
        <v>884</v>
      </c>
      <c r="R411" s="1">
        <v>4</v>
      </c>
      <c r="T411" s="1" t="s">
        <v>646</v>
      </c>
      <c r="U411" s="186">
        <v>44714.397094907406</v>
      </c>
      <c r="V411" s="1" t="s">
        <v>41</v>
      </c>
      <c r="W411" s="1" t="s">
        <v>49</v>
      </c>
      <c r="X411" s="13" t="str">
        <f t="shared" si="47"/>
        <v/>
      </c>
      <c r="Y411" s="2">
        <f t="shared" ca="1" si="42"/>
        <v>196</v>
      </c>
      <c r="Z411" s="14">
        <v>1</v>
      </c>
      <c r="AA411" s="1" t="str">
        <f t="shared" ca="1" si="43"/>
        <v>VENCIDO</v>
      </c>
      <c r="AB411" s="1" t="str">
        <f t="shared" si="44"/>
        <v>C-14</v>
      </c>
      <c r="AC411" s="2" t="str">
        <f t="shared" si="48"/>
        <v xml:space="preserve"> ROSEMERE </v>
      </c>
      <c r="AD411" s="2">
        <f t="shared" si="45"/>
        <v>15</v>
      </c>
      <c r="AE411" s="2">
        <f t="shared" ca="1" si="46"/>
        <v>-272.27917673611228</v>
      </c>
      <c r="AF411" s="15"/>
    </row>
    <row r="412" spans="1:32" hidden="1">
      <c r="A412" s="1">
        <v>8637210</v>
      </c>
      <c r="B412" s="1" t="s">
        <v>653</v>
      </c>
      <c r="C412" t="s">
        <v>752</v>
      </c>
      <c r="E412" s="2">
        <v>2369001400030</v>
      </c>
      <c r="F412" s="1" t="s">
        <v>647</v>
      </c>
      <c r="G412" s="1" t="s">
        <v>53</v>
      </c>
      <c r="H412" s="1" t="s">
        <v>701</v>
      </c>
      <c r="I412" s="1" t="s">
        <v>702</v>
      </c>
      <c r="J412" s="1" t="s">
        <v>141</v>
      </c>
      <c r="K412" t="s">
        <v>650</v>
      </c>
      <c r="M412" s="1" t="s">
        <v>58</v>
      </c>
      <c r="N412" s="1">
        <v>0</v>
      </c>
      <c r="O412" s="1" t="s">
        <v>105</v>
      </c>
      <c r="P412" s="11" t="s">
        <v>886</v>
      </c>
      <c r="R412" s="1">
        <v>4</v>
      </c>
      <c r="T412" s="1" t="s">
        <v>646</v>
      </c>
      <c r="U412" s="11" t="s">
        <v>887</v>
      </c>
      <c r="V412" s="1" t="s">
        <v>41</v>
      </c>
      <c r="W412" s="1" t="s">
        <v>49</v>
      </c>
      <c r="X412" s="13" t="str">
        <f t="shared" si="47"/>
        <v/>
      </c>
      <c r="Y412" s="2">
        <f t="shared" ca="1" si="42"/>
        <v>196</v>
      </c>
      <c r="Z412" s="14">
        <v>1</v>
      </c>
      <c r="AA412" s="1" t="str">
        <f t="shared" ca="1" si="43"/>
        <v>VENCIDO</v>
      </c>
      <c r="AB412" s="1" t="str">
        <f t="shared" si="44"/>
        <v>C-14</v>
      </c>
      <c r="AC412" s="2" t="str">
        <f t="shared" si="48"/>
        <v xml:space="preserve"> CRISTINA </v>
      </c>
      <c r="AD412" s="2">
        <f t="shared" si="45"/>
        <v>15</v>
      </c>
      <c r="AE412" s="2">
        <f t="shared" ca="1" si="46"/>
        <v>-272.27919988425856</v>
      </c>
      <c r="AF412" s="15"/>
    </row>
    <row r="413" spans="1:32" hidden="1">
      <c r="A413" s="1">
        <v>8637207</v>
      </c>
      <c r="B413" s="1" t="s">
        <v>653</v>
      </c>
      <c r="C413" t="s">
        <v>752</v>
      </c>
      <c r="E413" s="2">
        <v>2365001400030</v>
      </c>
      <c r="F413" s="1" t="s">
        <v>647</v>
      </c>
      <c r="G413" s="1" t="s">
        <v>53</v>
      </c>
      <c r="H413" s="1" t="s">
        <v>159</v>
      </c>
      <c r="I413" s="1" t="s">
        <v>160</v>
      </c>
      <c r="J413" s="1" t="s">
        <v>46</v>
      </c>
      <c r="K413" t="s">
        <v>650</v>
      </c>
      <c r="M413" s="1" t="s">
        <v>58</v>
      </c>
      <c r="N413" s="1">
        <v>0</v>
      </c>
      <c r="O413" s="1" t="s">
        <v>105</v>
      </c>
      <c r="P413" s="11" t="s">
        <v>888</v>
      </c>
      <c r="R413" s="1">
        <v>4</v>
      </c>
      <c r="T413" s="1" t="s">
        <v>646</v>
      </c>
      <c r="U413" s="11" t="s">
        <v>887</v>
      </c>
      <c r="V413" s="1" t="s">
        <v>41</v>
      </c>
      <c r="W413" s="1" t="s">
        <v>49</v>
      </c>
      <c r="X413" s="13" t="str">
        <f t="shared" si="47"/>
        <v/>
      </c>
      <c r="Y413" s="2">
        <f t="shared" ca="1" si="42"/>
        <v>196</v>
      </c>
      <c r="Z413" s="14">
        <v>1</v>
      </c>
      <c r="AA413" s="1" t="str">
        <f t="shared" ca="1" si="43"/>
        <v>VENCIDO</v>
      </c>
      <c r="AB413" s="1" t="str">
        <f t="shared" si="44"/>
        <v>C-14</v>
      </c>
      <c r="AC413" s="2" t="str">
        <f t="shared" si="48"/>
        <v xml:space="preserve"> CLEITON </v>
      </c>
      <c r="AD413" s="2">
        <f t="shared" si="45"/>
        <v>15</v>
      </c>
      <c r="AE413" s="2">
        <f t="shared" ca="1" si="46"/>
        <v>-272.27919988425856</v>
      </c>
      <c r="AF413" s="15"/>
    </row>
    <row r="414" spans="1:32" hidden="1">
      <c r="A414" s="1">
        <v>8637176</v>
      </c>
      <c r="B414" s="1" t="s">
        <v>653</v>
      </c>
      <c r="C414" t="s">
        <v>752</v>
      </c>
      <c r="E414" s="2">
        <v>2326001400030</v>
      </c>
      <c r="F414" s="1" t="s">
        <v>647</v>
      </c>
      <c r="G414" s="1" t="s">
        <v>53</v>
      </c>
      <c r="H414" s="1" t="s">
        <v>191</v>
      </c>
      <c r="I414" s="1" t="s">
        <v>192</v>
      </c>
      <c r="J414" s="1" t="s">
        <v>46</v>
      </c>
      <c r="K414" t="s">
        <v>650</v>
      </c>
      <c r="M414" s="1" t="s">
        <v>58</v>
      </c>
      <c r="N414" s="1">
        <v>0</v>
      </c>
      <c r="O414" s="1" t="s">
        <v>105</v>
      </c>
      <c r="P414" s="11" t="s">
        <v>889</v>
      </c>
      <c r="R414" s="1">
        <v>4</v>
      </c>
      <c r="T414" s="1" t="s">
        <v>646</v>
      </c>
      <c r="U414" s="11" t="s">
        <v>890</v>
      </c>
      <c r="V414" s="1" t="s">
        <v>41</v>
      </c>
      <c r="W414" s="1" t="s">
        <v>49</v>
      </c>
      <c r="X414" s="13" t="str">
        <f t="shared" si="47"/>
        <v/>
      </c>
      <c r="Y414" s="2">
        <f t="shared" ca="1" si="42"/>
        <v>196</v>
      </c>
      <c r="Z414" s="14">
        <v>1</v>
      </c>
      <c r="AA414" s="1" t="str">
        <f t="shared" ca="1" si="43"/>
        <v>VENCIDO</v>
      </c>
      <c r="AB414" s="1" t="str">
        <f t="shared" si="44"/>
        <v>C-14</v>
      </c>
      <c r="AC414" s="2" t="str">
        <f t="shared" si="48"/>
        <v xml:space="preserve"> CLEITON </v>
      </c>
      <c r="AD414" s="2">
        <f t="shared" si="45"/>
        <v>15</v>
      </c>
      <c r="AE414" s="2">
        <f t="shared" ca="1" si="46"/>
        <v>-272.27925775462791</v>
      </c>
      <c r="AF414" s="15"/>
    </row>
    <row r="415" spans="1:32" hidden="1">
      <c r="A415" s="1">
        <v>8637101</v>
      </c>
      <c r="B415" s="1" t="s">
        <v>653</v>
      </c>
      <c r="C415" t="s">
        <v>752</v>
      </c>
      <c r="E415" s="2">
        <v>2238001400030</v>
      </c>
      <c r="F415" s="1" t="s">
        <v>647</v>
      </c>
      <c r="G415" s="1" t="s">
        <v>53</v>
      </c>
      <c r="H415" s="1" t="s">
        <v>707</v>
      </c>
      <c r="I415" s="1" t="s">
        <v>708</v>
      </c>
      <c r="J415" s="1" t="s">
        <v>79</v>
      </c>
      <c r="K415" t="s">
        <v>650</v>
      </c>
      <c r="M415" s="1" t="s">
        <v>58</v>
      </c>
      <c r="N415" s="1">
        <v>0</v>
      </c>
      <c r="O415" s="1" t="s">
        <v>105</v>
      </c>
      <c r="P415" s="11" t="s">
        <v>891</v>
      </c>
      <c r="R415" s="1">
        <v>4</v>
      </c>
      <c r="T415" s="1" t="s">
        <v>646</v>
      </c>
      <c r="U415" s="11" t="s">
        <v>892</v>
      </c>
      <c r="V415" s="1" t="s">
        <v>41</v>
      </c>
      <c r="W415" s="1" t="s">
        <v>49</v>
      </c>
      <c r="X415" s="13" t="str">
        <f t="shared" si="47"/>
        <v/>
      </c>
      <c r="Y415" s="2">
        <f t="shared" ca="1" si="42"/>
        <v>196</v>
      </c>
      <c r="Z415" s="14">
        <v>1</v>
      </c>
      <c r="AA415" s="1" t="str">
        <f t="shared" ca="1" si="43"/>
        <v>VENCIDO</v>
      </c>
      <c r="AB415" s="1" t="str">
        <f t="shared" si="44"/>
        <v>C-14</v>
      </c>
      <c r="AC415" s="2" t="str">
        <f t="shared" si="48"/>
        <v xml:space="preserve"> ROSEMERE </v>
      </c>
      <c r="AD415" s="2">
        <f t="shared" si="45"/>
        <v>15</v>
      </c>
      <c r="AE415" s="2">
        <f t="shared" ca="1" si="46"/>
        <v>-272.2794545138895</v>
      </c>
      <c r="AF415" s="15"/>
    </row>
    <row r="416" spans="1:32" hidden="1">
      <c r="A416" s="1">
        <v>8637084</v>
      </c>
      <c r="B416" s="1" t="s">
        <v>653</v>
      </c>
      <c r="C416" t="s">
        <v>752</v>
      </c>
      <c r="E416" s="2">
        <v>2219001400030</v>
      </c>
      <c r="F416" s="1" t="s">
        <v>647</v>
      </c>
      <c r="G416" s="1" t="s">
        <v>53</v>
      </c>
      <c r="H416" s="1" t="s">
        <v>893</v>
      </c>
      <c r="I416" s="1" t="s">
        <v>894</v>
      </c>
      <c r="J416" s="1" t="s">
        <v>141</v>
      </c>
      <c r="K416" t="s">
        <v>650</v>
      </c>
      <c r="M416" s="1" t="s">
        <v>58</v>
      </c>
      <c r="N416" s="1">
        <v>0</v>
      </c>
      <c r="O416" s="1" t="s">
        <v>105</v>
      </c>
      <c r="P416" s="11" t="s">
        <v>895</v>
      </c>
      <c r="R416" s="1">
        <v>4</v>
      </c>
      <c r="T416" s="1" t="s">
        <v>646</v>
      </c>
      <c r="U416" s="11" t="s">
        <v>896</v>
      </c>
      <c r="V416" s="1" t="s">
        <v>41</v>
      </c>
      <c r="W416" s="1" t="s">
        <v>49</v>
      </c>
      <c r="X416" s="13" t="str">
        <f t="shared" si="47"/>
        <v/>
      </c>
      <c r="Y416" s="2">
        <f t="shared" ca="1" si="42"/>
        <v>196</v>
      </c>
      <c r="Z416" s="14">
        <v>1</v>
      </c>
      <c r="AA416" s="1" t="str">
        <f t="shared" ca="1" si="43"/>
        <v>VENCIDO</v>
      </c>
      <c r="AB416" s="1" t="str">
        <f t="shared" si="44"/>
        <v>C-14</v>
      </c>
      <c r="AC416" s="2" t="str">
        <f t="shared" si="48"/>
        <v xml:space="preserve"> CRISTINA </v>
      </c>
      <c r="AD416" s="2">
        <f t="shared" si="45"/>
        <v>15</v>
      </c>
      <c r="AE416" s="2">
        <f t="shared" ca="1" si="46"/>
        <v>-272.27947766203579</v>
      </c>
      <c r="AF416" s="15"/>
    </row>
    <row r="417" spans="1:32" hidden="1">
      <c r="A417" s="1">
        <v>8637010</v>
      </c>
      <c r="B417" s="1" t="s">
        <v>653</v>
      </c>
      <c r="C417" t="s">
        <v>752</v>
      </c>
      <c r="E417" s="2">
        <v>2138001400030</v>
      </c>
      <c r="F417" s="1" t="s">
        <v>647</v>
      </c>
      <c r="G417" s="1" t="s">
        <v>53</v>
      </c>
      <c r="H417" s="1" t="s">
        <v>379</v>
      </c>
      <c r="I417" s="1" t="s">
        <v>380</v>
      </c>
      <c r="J417" s="1" t="s">
        <v>46</v>
      </c>
      <c r="K417" t="s">
        <v>650</v>
      </c>
      <c r="M417" s="1" t="s">
        <v>58</v>
      </c>
      <c r="N417" s="1">
        <v>0</v>
      </c>
      <c r="O417" s="1" t="s">
        <v>105</v>
      </c>
      <c r="P417" s="11" t="s">
        <v>897</v>
      </c>
      <c r="R417" s="1">
        <v>4</v>
      </c>
      <c r="T417" s="1" t="s">
        <v>646</v>
      </c>
      <c r="U417" s="11" t="s">
        <v>898</v>
      </c>
      <c r="V417" s="1" t="s">
        <v>41</v>
      </c>
      <c r="W417" s="1" t="s">
        <v>49</v>
      </c>
      <c r="X417" s="13" t="str">
        <f t="shared" si="47"/>
        <v/>
      </c>
      <c r="Y417" s="2">
        <f t="shared" ca="1" si="42"/>
        <v>196</v>
      </c>
      <c r="Z417" s="14">
        <v>1</v>
      </c>
      <c r="AA417" s="1" t="str">
        <f t="shared" ca="1" si="43"/>
        <v>VENCIDO</v>
      </c>
      <c r="AB417" s="1" t="str">
        <f t="shared" si="44"/>
        <v>C-14</v>
      </c>
      <c r="AC417" s="2" t="str">
        <f t="shared" si="48"/>
        <v xml:space="preserve"> CLEITON </v>
      </c>
      <c r="AD417" s="2">
        <f t="shared" si="45"/>
        <v>15</v>
      </c>
      <c r="AE417" s="2">
        <f t="shared" ca="1" si="46"/>
        <v>-272.27966284722061</v>
      </c>
      <c r="AF417" s="15"/>
    </row>
    <row r="418" spans="1:32" hidden="1">
      <c r="A418" s="1">
        <v>8636954</v>
      </c>
      <c r="B418" s="1" t="s">
        <v>653</v>
      </c>
      <c r="C418" t="s">
        <v>752</v>
      </c>
      <c r="E418" s="2">
        <v>2069001400030</v>
      </c>
      <c r="F418" s="1" t="s">
        <v>647</v>
      </c>
      <c r="G418" s="1" t="s">
        <v>53</v>
      </c>
      <c r="H418" s="1" t="s">
        <v>557</v>
      </c>
      <c r="I418" s="1" t="s">
        <v>558</v>
      </c>
      <c r="J418" s="1" t="s">
        <v>90</v>
      </c>
      <c r="K418" t="s">
        <v>650</v>
      </c>
      <c r="M418" s="1" t="s">
        <v>58</v>
      </c>
      <c r="N418" s="1">
        <v>0</v>
      </c>
      <c r="O418" s="1" t="s">
        <v>105</v>
      </c>
      <c r="P418" s="11" t="s">
        <v>899</v>
      </c>
      <c r="R418" s="1">
        <v>4</v>
      </c>
      <c r="T418" s="1" t="s">
        <v>646</v>
      </c>
      <c r="U418" s="11" t="s">
        <v>900</v>
      </c>
      <c r="V418" s="1" t="s">
        <v>41</v>
      </c>
      <c r="W418" s="1" t="s">
        <v>49</v>
      </c>
      <c r="X418" s="13" t="str">
        <f t="shared" si="47"/>
        <v/>
      </c>
      <c r="Y418" s="2">
        <f t="shared" ca="1" si="42"/>
        <v>196</v>
      </c>
      <c r="Z418" s="14">
        <v>1</v>
      </c>
      <c r="AA418" s="1" t="str">
        <f t="shared" ca="1" si="43"/>
        <v>VENCIDO</v>
      </c>
      <c r="AB418" s="1" t="str">
        <f t="shared" si="44"/>
        <v>C-14</v>
      </c>
      <c r="AC418" s="2" t="str">
        <f t="shared" si="48"/>
        <v xml:space="preserve"> RINALDO </v>
      </c>
      <c r="AD418" s="2">
        <f t="shared" si="45"/>
        <v>15</v>
      </c>
      <c r="AE418" s="2">
        <f t="shared" ca="1" si="46"/>
        <v>-272.27981331018236</v>
      </c>
      <c r="AF418" s="15"/>
    </row>
    <row r="419" spans="1:32" hidden="1">
      <c r="A419" s="1">
        <v>8636914</v>
      </c>
      <c r="B419" s="1" t="s">
        <v>653</v>
      </c>
      <c r="C419" t="s">
        <v>752</v>
      </c>
      <c r="E419" s="2">
        <v>2018001400030</v>
      </c>
      <c r="F419" s="1" t="s">
        <v>647</v>
      </c>
      <c r="G419" s="1" t="s">
        <v>53</v>
      </c>
      <c r="H419" s="1" t="s">
        <v>598</v>
      </c>
      <c r="I419" s="1" t="s">
        <v>599</v>
      </c>
      <c r="J419" s="1" t="s">
        <v>79</v>
      </c>
      <c r="K419" t="s">
        <v>650</v>
      </c>
      <c r="M419" s="1" t="s">
        <v>58</v>
      </c>
      <c r="N419" s="1">
        <v>0</v>
      </c>
      <c r="O419" s="1" t="s">
        <v>105</v>
      </c>
      <c r="P419" s="11" t="s">
        <v>901</v>
      </c>
      <c r="R419" s="1">
        <v>4</v>
      </c>
      <c r="T419" s="1" t="s">
        <v>646</v>
      </c>
      <c r="U419" s="11" t="s">
        <v>902</v>
      </c>
      <c r="V419" s="1" t="s">
        <v>41</v>
      </c>
      <c r="W419" s="1" t="s">
        <v>49</v>
      </c>
      <c r="X419" s="13" t="str">
        <f t="shared" si="47"/>
        <v/>
      </c>
      <c r="Y419" s="2">
        <f t="shared" ca="1" si="42"/>
        <v>196</v>
      </c>
      <c r="Z419" s="14">
        <v>1</v>
      </c>
      <c r="AA419" s="1" t="str">
        <f t="shared" ca="1" si="43"/>
        <v>VENCIDO</v>
      </c>
      <c r="AB419" s="1" t="str">
        <f t="shared" si="44"/>
        <v>C-14</v>
      </c>
      <c r="AC419" s="2" t="str">
        <f t="shared" si="48"/>
        <v xml:space="preserve"> ROSEMERE </v>
      </c>
      <c r="AD419" s="2">
        <f t="shared" si="45"/>
        <v>15</v>
      </c>
      <c r="AE419" s="2">
        <f t="shared" ca="1" si="46"/>
        <v>-272.27987118055898</v>
      </c>
      <c r="AF419" s="15"/>
    </row>
    <row r="420" spans="1:32" hidden="1">
      <c r="A420" s="1">
        <v>8636827</v>
      </c>
      <c r="B420" s="1" t="s">
        <v>653</v>
      </c>
      <c r="C420" t="s">
        <v>752</v>
      </c>
      <c r="E420" s="2">
        <v>1838001400030</v>
      </c>
      <c r="F420" s="1" t="s">
        <v>647</v>
      </c>
      <c r="G420" s="1" t="s">
        <v>53</v>
      </c>
      <c r="H420" s="1" t="s">
        <v>357</v>
      </c>
      <c r="I420" s="1" t="s">
        <v>358</v>
      </c>
      <c r="J420" s="1" t="s">
        <v>46</v>
      </c>
      <c r="K420" t="s">
        <v>650</v>
      </c>
      <c r="M420" s="1" t="s">
        <v>58</v>
      </c>
      <c r="N420" s="1">
        <v>0</v>
      </c>
      <c r="O420" s="1" t="s">
        <v>105</v>
      </c>
      <c r="P420" s="11" t="s">
        <v>903</v>
      </c>
      <c r="R420" s="1">
        <v>4</v>
      </c>
      <c r="T420" s="1" t="s">
        <v>646</v>
      </c>
      <c r="U420" s="11" t="s">
        <v>904</v>
      </c>
      <c r="V420" s="1" t="s">
        <v>41</v>
      </c>
      <c r="W420" s="1" t="s">
        <v>49</v>
      </c>
      <c r="X420" s="13" t="str">
        <f t="shared" si="47"/>
        <v/>
      </c>
      <c r="Y420" s="2">
        <f t="shared" ca="1" si="42"/>
        <v>196</v>
      </c>
      <c r="Z420" s="14">
        <v>1</v>
      </c>
      <c r="AA420" s="1" t="str">
        <f t="shared" ca="1" si="43"/>
        <v>VENCIDO</v>
      </c>
      <c r="AB420" s="1" t="str">
        <f t="shared" si="44"/>
        <v>C-14</v>
      </c>
      <c r="AC420" s="2" t="str">
        <f t="shared" si="48"/>
        <v xml:space="preserve"> CLEITON </v>
      </c>
      <c r="AD420" s="2">
        <f t="shared" si="45"/>
        <v>15</v>
      </c>
      <c r="AE420" s="2">
        <f t="shared" ca="1" si="46"/>
        <v>-272.28006793981331</v>
      </c>
      <c r="AF420" s="15"/>
    </row>
    <row r="421" spans="1:32" hidden="1">
      <c r="A421" s="1">
        <v>8636825</v>
      </c>
      <c r="B421" s="1" t="s">
        <v>653</v>
      </c>
      <c r="C421" t="s">
        <v>752</v>
      </c>
      <c r="E421" s="2">
        <v>1836001400030</v>
      </c>
      <c r="F421" s="1" t="s">
        <v>647</v>
      </c>
      <c r="G421" s="1" t="s">
        <v>53</v>
      </c>
      <c r="H421" s="1" t="s">
        <v>455</v>
      </c>
      <c r="I421" s="1" t="s">
        <v>456</v>
      </c>
      <c r="J421" s="1" t="s">
        <v>46</v>
      </c>
      <c r="K421" t="s">
        <v>650</v>
      </c>
      <c r="M421" s="1" t="s">
        <v>58</v>
      </c>
      <c r="N421" s="1">
        <v>0</v>
      </c>
      <c r="O421" s="1" t="s">
        <v>105</v>
      </c>
      <c r="P421" s="11" t="s">
        <v>903</v>
      </c>
      <c r="R421" s="1">
        <v>4</v>
      </c>
      <c r="T421" s="1" t="s">
        <v>646</v>
      </c>
      <c r="U421" s="11" t="s">
        <v>904</v>
      </c>
      <c r="V421" s="1" t="s">
        <v>41</v>
      </c>
      <c r="W421" s="1" t="s">
        <v>49</v>
      </c>
      <c r="X421" s="13" t="str">
        <f t="shared" si="47"/>
        <v/>
      </c>
      <c r="Y421" s="2">
        <f t="shared" ca="1" si="42"/>
        <v>196</v>
      </c>
      <c r="Z421" s="14">
        <v>1</v>
      </c>
      <c r="AA421" s="1" t="str">
        <f t="shared" ca="1" si="43"/>
        <v>VENCIDO</v>
      </c>
      <c r="AB421" s="1" t="str">
        <f t="shared" si="44"/>
        <v>C-14</v>
      </c>
      <c r="AC421" s="2" t="str">
        <f t="shared" si="48"/>
        <v xml:space="preserve"> CLEITON </v>
      </c>
      <c r="AD421" s="2">
        <f t="shared" si="45"/>
        <v>15</v>
      </c>
      <c r="AE421" s="2">
        <f t="shared" ca="1" si="46"/>
        <v>-272.28006793981331</v>
      </c>
      <c r="AF421" s="15"/>
    </row>
    <row r="422" spans="1:32" hidden="1">
      <c r="A422" s="1">
        <v>8636824</v>
      </c>
      <c r="B422" s="1" t="s">
        <v>653</v>
      </c>
      <c r="C422" t="s">
        <v>752</v>
      </c>
      <c r="E422" s="2">
        <v>1835001400030</v>
      </c>
      <c r="F422" s="1" t="s">
        <v>647</v>
      </c>
      <c r="G422" s="1" t="s">
        <v>53</v>
      </c>
      <c r="H422" s="1" t="s">
        <v>305</v>
      </c>
      <c r="I422" s="1" t="s">
        <v>306</v>
      </c>
      <c r="J422" s="1" t="s">
        <v>46</v>
      </c>
      <c r="K422" t="s">
        <v>650</v>
      </c>
      <c r="M422" s="1" t="s">
        <v>58</v>
      </c>
      <c r="N422" s="1">
        <v>0</v>
      </c>
      <c r="O422" s="1" t="s">
        <v>105</v>
      </c>
      <c r="P422" s="11" t="s">
        <v>903</v>
      </c>
      <c r="R422" s="1">
        <v>4</v>
      </c>
      <c r="T422" s="1" t="s">
        <v>646</v>
      </c>
      <c r="U422" s="11" t="s">
        <v>904</v>
      </c>
      <c r="V422" s="1" t="s">
        <v>41</v>
      </c>
      <c r="W422" s="1" t="s">
        <v>49</v>
      </c>
      <c r="X422" s="13" t="str">
        <f t="shared" si="47"/>
        <v/>
      </c>
      <c r="Y422" s="2">
        <f t="shared" ca="1" si="42"/>
        <v>196</v>
      </c>
      <c r="Z422" s="14">
        <v>1</v>
      </c>
      <c r="AA422" s="1" t="str">
        <f t="shared" ca="1" si="43"/>
        <v>VENCIDO</v>
      </c>
      <c r="AB422" s="1" t="str">
        <f t="shared" si="44"/>
        <v>C-14</v>
      </c>
      <c r="AC422" s="2" t="str">
        <f t="shared" si="48"/>
        <v xml:space="preserve"> CLEITON </v>
      </c>
      <c r="AD422" s="2">
        <f t="shared" si="45"/>
        <v>15</v>
      </c>
      <c r="AE422" s="2">
        <f t="shared" ca="1" si="46"/>
        <v>-272.28006793981331</v>
      </c>
      <c r="AF422" s="15"/>
    </row>
    <row r="423" spans="1:32" hidden="1">
      <c r="A423" s="1">
        <v>8636822</v>
      </c>
      <c r="B423" s="1" t="s">
        <v>653</v>
      </c>
      <c r="C423" t="s">
        <v>752</v>
      </c>
      <c r="E423" s="2">
        <v>1833001400030</v>
      </c>
      <c r="F423" s="1" t="s">
        <v>647</v>
      </c>
      <c r="G423" s="1" t="s">
        <v>53</v>
      </c>
      <c r="H423" s="1" t="s">
        <v>369</v>
      </c>
      <c r="I423" s="1" t="s">
        <v>370</v>
      </c>
      <c r="J423" s="1" t="s">
        <v>46</v>
      </c>
      <c r="K423" t="s">
        <v>650</v>
      </c>
      <c r="M423" s="1" t="s">
        <v>58</v>
      </c>
      <c r="N423" s="1">
        <v>0</v>
      </c>
      <c r="O423" s="1" t="s">
        <v>105</v>
      </c>
      <c r="P423" s="11" t="s">
        <v>905</v>
      </c>
      <c r="R423" s="1">
        <v>4</v>
      </c>
      <c r="T423" s="1" t="s">
        <v>646</v>
      </c>
      <c r="U423" s="11" t="s">
        <v>904</v>
      </c>
      <c r="V423" s="1" t="s">
        <v>41</v>
      </c>
      <c r="W423" s="1" t="s">
        <v>49</v>
      </c>
      <c r="X423" s="13" t="str">
        <f t="shared" si="47"/>
        <v/>
      </c>
      <c r="Y423" s="2">
        <f t="shared" ca="1" si="42"/>
        <v>196</v>
      </c>
      <c r="Z423" s="14">
        <v>1</v>
      </c>
      <c r="AA423" s="1" t="str">
        <f t="shared" ca="1" si="43"/>
        <v>VENCIDO</v>
      </c>
      <c r="AB423" s="1" t="str">
        <f t="shared" si="44"/>
        <v>C-14</v>
      </c>
      <c r="AC423" s="2" t="str">
        <f t="shared" si="48"/>
        <v xml:space="preserve"> CLEITON </v>
      </c>
      <c r="AD423" s="2">
        <f t="shared" si="45"/>
        <v>15</v>
      </c>
      <c r="AE423" s="2">
        <f t="shared" ca="1" si="46"/>
        <v>-272.28006793981331</v>
      </c>
      <c r="AF423" s="15"/>
    </row>
    <row r="424" spans="1:32" hidden="1">
      <c r="A424" s="1">
        <v>8636773</v>
      </c>
      <c r="B424" s="1" t="s">
        <v>653</v>
      </c>
      <c r="C424" t="s">
        <v>752</v>
      </c>
      <c r="E424" s="2">
        <v>1764001400030</v>
      </c>
      <c r="F424" s="1" t="s">
        <v>647</v>
      </c>
      <c r="G424" s="1" t="s">
        <v>53</v>
      </c>
      <c r="H424" s="1" t="s">
        <v>722</v>
      </c>
      <c r="I424" s="1" t="s">
        <v>723</v>
      </c>
      <c r="J424" s="1" t="s">
        <v>90</v>
      </c>
      <c r="K424" t="s">
        <v>650</v>
      </c>
      <c r="M424" s="1" t="s">
        <v>58</v>
      </c>
      <c r="N424" s="1">
        <v>0</v>
      </c>
      <c r="O424" s="1" t="s">
        <v>36</v>
      </c>
      <c r="P424" s="11" t="s">
        <v>906</v>
      </c>
      <c r="R424" s="1">
        <v>4</v>
      </c>
      <c r="T424" s="1" t="s">
        <v>646</v>
      </c>
      <c r="U424" s="11" t="s">
        <v>907</v>
      </c>
      <c r="V424" s="1" t="s">
        <v>41</v>
      </c>
      <c r="W424" s="1" t="s">
        <v>49</v>
      </c>
      <c r="X424" s="13" t="str">
        <f t="shared" si="47"/>
        <v/>
      </c>
      <c r="Y424" s="2">
        <f t="shared" ca="1" si="42"/>
        <v>196</v>
      </c>
      <c r="Z424" s="14">
        <v>1</v>
      </c>
      <c r="AA424" s="1" t="str">
        <f t="shared" ca="1" si="43"/>
        <v>VENCIDO</v>
      </c>
      <c r="AB424" s="1" t="str">
        <f t="shared" si="44"/>
        <v>C-14</v>
      </c>
      <c r="AC424" s="2" t="str">
        <f t="shared" si="48"/>
        <v xml:space="preserve"> RINALDO </v>
      </c>
      <c r="AD424" s="2">
        <f t="shared" si="45"/>
        <v>15</v>
      </c>
      <c r="AE424" s="2">
        <f t="shared" ca="1" si="46"/>
        <v>-272.28014895833621</v>
      </c>
      <c r="AF424" s="15"/>
    </row>
    <row r="425" spans="1:32" hidden="1">
      <c r="A425" s="1">
        <v>8636745</v>
      </c>
      <c r="B425" s="1" t="s">
        <v>653</v>
      </c>
      <c r="C425" t="s">
        <v>752</v>
      </c>
      <c r="E425" s="2">
        <v>1732001400030</v>
      </c>
      <c r="F425" s="1" t="s">
        <v>647</v>
      </c>
      <c r="G425" s="1" t="s">
        <v>53</v>
      </c>
      <c r="H425" s="1" t="s">
        <v>177</v>
      </c>
      <c r="I425" s="1" t="s">
        <v>178</v>
      </c>
      <c r="J425" s="1" t="s">
        <v>164</v>
      </c>
      <c r="K425" t="s">
        <v>650</v>
      </c>
      <c r="M425" s="1" t="s">
        <v>58</v>
      </c>
      <c r="N425" s="1">
        <v>0</v>
      </c>
      <c r="O425" s="1" t="s">
        <v>105</v>
      </c>
      <c r="P425" s="11" t="s">
        <v>908</v>
      </c>
      <c r="R425" s="1">
        <v>4</v>
      </c>
      <c r="T425" s="1" t="s">
        <v>646</v>
      </c>
      <c r="U425" s="11" t="s">
        <v>909</v>
      </c>
      <c r="V425" s="1" t="s">
        <v>41</v>
      </c>
      <c r="W425" s="1" t="s">
        <v>49</v>
      </c>
      <c r="X425" s="13" t="str">
        <f t="shared" si="47"/>
        <v/>
      </c>
      <c r="Y425" s="2">
        <f t="shared" ca="1" si="42"/>
        <v>196</v>
      </c>
      <c r="Z425" s="14">
        <v>1</v>
      </c>
      <c r="AA425" s="1" t="str">
        <f t="shared" ca="1" si="43"/>
        <v>VENCIDO</v>
      </c>
      <c r="AB425" s="1" t="str">
        <f t="shared" si="44"/>
        <v>C-14</v>
      </c>
      <c r="AC425" s="2" t="str">
        <f t="shared" si="48"/>
        <v xml:space="preserve"> ROSEMERE </v>
      </c>
      <c r="AD425" s="2">
        <f t="shared" si="45"/>
        <v>15</v>
      </c>
      <c r="AE425" s="2">
        <f t="shared" ca="1" si="46"/>
        <v>-272.28026469907491</v>
      </c>
      <c r="AF425" s="15"/>
    </row>
    <row r="426" spans="1:32" hidden="1">
      <c r="A426" s="1">
        <v>8636688</v>
      </c>
      <c r="B426" s="1" t="s">
        <v>653</v>
      </c>
      <c r="C426" t="s">
        <v>752</v>
      </c>
      <c r="E426" s="2">
        <v>1664001400030</v>
      </c>
      <c r="F426" s="1" t="s">
        <v>647</v>
      </c>
      <c r="G426" s="1" t="s">
        <v>53</v>
      </c>
      <c r="H426" s="1" t="s">
        <v>307</v>
      </c>
      <c r="I426" s="1" t="s">
        <v>308</v>
      </c>
      <c r="J426" s="1" t="s">
        <v>164</v>
      </c>
      <c r="K426" t="s">
        <v>650</v>
      </c>
      <c r="M426" s="1" t="s">
        <v>58</v>
      </c>
      <c r="N426" s="1">
        <v>0</v>
      </c>
      <c r="O426" s="1" t="s">
        <v>105</v>
      </c>
      <c r="P426" s="11" t="s">
        <v>910</v>
      </c>
      <c r="R426" s="1">
        <v>4</v>
      </c>
      <c r="T426" s="1" t="s">
        <v>646</v>
      </c>
      <c r="U426" s="11" t="s">
        <v>911</v>
      </c>
      <c r="V426" s="1" t="s">
        <v>41</v>
      </c>
      <c r="W426" s="1" t="s">
        <v>49</v>
      </c>
      <c r="X426" s="13" t="str">
        <f t="shared" si="47"/>
        <v/>
      </c>
      <c r="Y426" s="2">
        <f t="shared" ca="1" si="42"/>
        <v>196</v>
      </c>
      <c r="Z426" s="14">
        <v>1</v>
      </c>
      <c r="AA426" s="1" t="str">
        <f t="shared" ca="1" si="43"/>
        <v>VENCIDO</v>
      </c>
      <c r="AB426" s="1" t="str">
        <f t="shared" si="44"/>
        <v>C-14</v>
      </c>
      <c r="AC426" s="2" t="str">
        <f t="shared" si="48"/>
        <v xml:space="preserve"> ROSEMERE </v>
      </c>
      <c r="AD426" s="2">
        <f t="shared" si="45"/>
        <v>15</v>
      </c>
      <c r="AE426" s="2">
        <f t="shared" ca="1" si="46"/>
        <v>-272.28035729166731</v>
      </c>
      <c r="AF426" s="15"/>
    </row>
    <row r="427" spans="1:32" hidden="1">
      <c r="A427" s="1">
        <v>8636669</v>
      </c>
      <c r="B427" s="1" t="s">
        <v>653</v>
      </c>
      <c r="C427" t="s">
        <v>752</v>
      </c>
      <c r="E427" s="2">
        <v>1643001400030</v>
      </c>
      <c r="F427" s="1" t="s">
        <v>647</v>
      </c>
      <c r="G427" s="1" t="s">
        <v>53</v>
      </c>
      <c r="H427" s="1" t="s">
        <v>361</v>
      </c>
      <c r="I427" s="1" t="s">
        <v>362</v>
      </c>
      <c r="J427" s="1" t="s">
        <v>261</v>
      </c>
      <c r="K427" t="s">
        <v>650</v>
      </c>
      <c r="M427" s="1" t="s">
        <v>58</v>
      </c>
      <c r="N427" s="1">
        <v>0</v>
      </c>
      <c r="O427" s="1" t="s">
        <v>105</v>
      </c>
      <c r="P427" s="11" t="s">
        <v>3442</v>
      </c>
      <c r="R427" s="1">
        <v>4</v>
      </c>
      <c r="T427" s="1" t="s">
        <v>646</v>
      </c>
      <c r="U427" s="186">
        <v>44714.395891203705</v>
      </c>
      <c r="V427" s="1" t="s">
        <v>41</v>
      </c>
      <c r="W427" s="1" t="s">
        <v>49</v>
      </c>
      <c r="X427" s="13" t="str">
        <f t="shared" si="47"/>
        <v/>
      </c>
      <c r="Y427" s="2">
        <f t="shared" ca="1" si="42"/>
        <v>196</v>
      </c>
      <c r="Z427" s="14">
        <v>1</v>
      </c>
      <c r="AA427" s="1" t="str">
        <f t="shared" ca="1" si="43"/>
        <v>VENCIDO</v>
      </c>
      <c r="AB427" s="1" t="str">
        <f t="shared" si="44"/>
        <v>C-14</v>
      </c>
      <c r="AC427" s="2" t="str">
        <f t="shared" si="48"/>
        <v xml:space="preserve"> CRISTINA </v>
      </c>
      <c r="AD427" s="2">
        <f t="shared" si="45"/>
        <v>15</v>
      </c>
      <c r="AE427" s="2">
        <f t="shared" ca="1" si="46"/>
        <v>-272.2803804398136</v>
      </c>
      <c r="AF427" s="15"/>
    </row>
    <row r="428" spans="1:32" hidden="1">
      <c r="A428" s="1">
        <v>8636651</v>
      </c>
      <c r="B428" s="1" t="s">
        <v>653</v>
      </c>
      <c r="C428" t="s">
        <v>752</v>
      </c>
      <c r="E428" s="2">
        <v>1620001400030</v>
      </c>
      <c r="F428" s="1" t="s">
        <v>647</v>
      </c>
      <c r="G428" s="1" t="s">
        <v>53</v>
      </c>
      <c r="H428" s="1" t="s">
        <v>402</v>
      </c>
      <c r="I428" s="1" t="s">
        <v>403</v>
      </c>
      <c r="J428" s="1" t="s">
        <v>46</v>
      </c>
      <c r="K428" t="s">
        <v>650</v>
      </c>
      <c r="M428" s="1" t="s">
        <v>58</v>
      </c>
      <c r="N428" s="1">
        <v>0</v>
      </c>
      <c r="O428" s="1" t="s">
        <v>36</v>
      </c>
      <c r="P428" s="11" t="s">
        <v>912</v>
      </c>
      <c r="R428" s="1">
        <v>4</v>
      </c>
      <c r="T428" s="1" t="s">
        <v>646</v>
      </c>
      <c r="U428" s="186">
        <v>44714.395775462966</v>
      </c>
      <c r="V428" s="1" t="s">
        <v>41</v>
      </c>
      <c r="W428" s="1" t="s">
        <v>49</v>
      </c>
      <c r="X428" s="13" t="str">
        <f t="shared" si="47"/>
        <v/>
      </c>
      <c r="Y428" s="2">
        <f t="shared" ca="1" si="42"/>
        <v>196</v>
      </c>
      <c r="Z428" s="14">
        <v>1</v>
      </c>
      <c r="AA428" s="1" t="str">
        <f t="shared" ca="1" si="43"/>
        <v>VENCIDO</v>
      </c>
      <c r="AB428" s="1" t="str">
        <f t="shared" si="44"/>
        <v>C-14</v>
      </c>
      <c r="AC428" s="2" t="str">
        <f t="shared" si="48"/>
        <v xml:space="preserve"> CLEITON </v>
      </c>
      <c r="AD428" s="2">
        <f t="shared" si="45"/>
        <v>15</v>
      </c>
      <c r="AE428" s="2">
        <f t="shared" ca="1" si="46"/>
        <v>-272.28049618055229</v>
      </c>
      <c r="AF428" s="15"/>
    </row>
    <row r="429" spans="1:32" hidden="1">
      <c r="A429" s="1">
        <v>8636574</v>
      </c>
      <c r="B429" s="1" t="s">
        <v>653</v>
      </c>
      <c r="C429" t="s">
        <v>752</v>
      </c>
      <c r="E429" s="2">
        <v>1509001400030</v>
      </c>
      <c r="F429" s="1" t="s">
        <v>647</v>
      </c>
      <c r="G429" s="1" t="s">
        <v>53</v>
      </c>
      <c r="H429" s="1" t="s">
        <v>731</v>
      </c>
      <c r="I429" s="1" t="s">
        <v>732</v>
      </c>
      <c r="J429" s="1" t="s">
        <v>46</v>
      </c>
      <c r="K429" t="s">
        <v>650</v>
      </c>
      <c r="M429" s="1" t="s">
        <v>58</v>
      </c>
      <c r="N429" s="1">
        <v>0</v>
      </c>
      <c r="O429" s="1" t="s">
        <v>105</v>
      </c>
      <c r="P429" s="11" t="s">
        <v>914</v>
      </c>
      <c r="R429" s="1">
        <v>4</v>
      </c>
      <c r="T429" s="1" t="s">
        <v>646</v>
      </c>
      <c r="U429" s="11" t="s">
        <v>915</v>
      </c>
      <c r="V429" s="1" t="s">
        <v>41</v>
      </c>
      <c r="W429" s="1" t="s">
        <v>49</v>
      </c>
      <c r="X429" s="13" t="str">
        <f t="shared" si="47"/>
        <v/>
      </c>
      <c r="Y429" s="2">
        <f t="shared" ca="1" si="42"/>
        <v>196</v>
      </c>
      <c r="Z429" s="14">
        <v>1</v>
      </c>
      <c r="AA429" s="1" t="str">
        <f t="shared" ca="1" si="43"/>
        <v>VENCIDO</v>
      </c>
      <c r="AB429" s="1" t="str">
        <f t="shared" si="44"/>
        <v>C-14</v>
      </c>
      <c r="AC429" s="2" t="str">
        <f t="shared" si="48"/>
        <v xml:space="preserve"> CLEITON </v>
      </c>
      <c r="AD429" s="2">
        <f t="shared" si="45"/>
        <v>15</v>
      </c>
      <c r="AE429" s="2">
        <f t="shared" ca="1" si="46"/>
        <v>-272.28060034722148</v>
      </c>
      <c r="AF429" s="15"/>
    </row>
    <row r="430" spans="1:32" hidden="1">
      <c r="A430" s="1">
        <v>8636441</v>
      </c>
      <c r="B430" s="1" t="s">
        <v>653</v>
      </c>
      <c r="C430" t="s">
        <v>752</v>
      </c>
      <c r="E430" s="2">
        <v>1362001400030</v>
      </c>
      <c r="F430" s="1" t="s">
        <v>647</v>
      </c>
      <c r="G430" s="1" t="s">
        <v>53</v>
      </c>
      <c r="H430" s="1" t="s">
        <v>268</v>
      </c>
      <c r="I430" s="1" t="s">
        <v>269</v>
      </c>
      <c r="J430" s="1" t="s">
        <v>90</v>
      </c>
      <c r="K430" t="s">
        <v>650</v>
      </c>
      <c r="M430" s="1" t="s">
        <v>58</v>
      </c>
      <c r="N430" s="1">
        <v>0</v>
      </c>
      <c r="O430" s="1" t="s">
        <v>105</v>
      </c>
      <c r="P430" s="11" t="s">
        <v>916</v>
      </c>
      <c r="R430" s="1">
        <v>4</v>
      </c>
      <c r="T430" s="1" t="s">
        <v>646</v>
      </c>
      <c r="U430" s="11" t="s">
        <v>918</v>
      </c>
      <c r="V430" s="1" t="s">
        <v>41</v>
      </c>
      <c r="W430" s="1" t="s">
        <v>49</v>
      </c>
      <c r="X430" s="13" t="str">
        <f t="shared" si="47"/>
        <v/>
      </c>
      <c r="Y430" s="2">
        <f t="shared" ca="1" si="42"/>
        <v>196</v>
      </c>
      <c r="Z430" s="14">
        <v>1</v>
      </c>
      <c r="AA430" s="1" t="str">
        <f t="shared" ca="1" si="43"/>
        <v>VENCIDO</v>
      </c>
      <c r="AB430" s="1" t="str">
        <f t="shared" si="44"/>
        <v>C-14</v>
      </c>
      <c r="AC430" s="2" t="str">
        <f t="shared" si="48"/>
        <v xml:space="preserve"> RINALDO </v>
      </c>
      <c r="AD430" s="2">
        <f t="shared" si="45"/>
        <v>15</v>
      </c>
      <c r="AE430" s="2">
        <f t="shared" ca="1" si="46"/>
        <v>-272.28094756944483</v>
      </c>
      <c r="AF430" s="15"/>
    </row>
    <row r="431" spans="1:32" hidden="1">
      <c r="A431" s="1">
        <v>8636439</v>
      </c>
      <c r="B431" s="1" t="s">
        <v>653</v>
      </c>
      <c r="C431" t="s">
        <v>752</v>
      </c>
      <c r="E431" s="2">
        <v>1360001400030</v>
      </c>
      <c r="F431" s="1" t="s">
        <v>647</v>
      </c>
      <c r="G431" s="1" t="s">
        <v>53</v>
      </c>
      <c r="H431" s="1" t="s">
        <v>303</v>
      </c>
      <c r="I431" s="1" t="s">
        <v>304</v>
      </c>
      <c r="J431" s="1" t="s">
        <v>261</v>
      </c>
      <c r="K431" t="s">
        <v>650</v>
      </c>
      <c r="M431" s="1" t="s">
        <v>58</v>
      </c>
      <c r="N431" s="1">
        <v>0</v>
      </c>
      <c r="O431" s="1" t="s">
        <v>105</v>
      </c>
      <c r="P431" s="11" t="s">
        <v>916</v>
      </c>
      <c r="R431" s="1">
        <v>4</v>
      </c>
      <c r="T431" s="1" t="s">
        <v>646</v>
      </c>
      <c r="U431" s="11" t="s">
        <v>918</v>
      </c>
      <c r="V431" s="1" t="s">
        <v>41</v>
      </c>
      <c r="W431" s="1" t="s">
        <v>49</v>
      </c>
      <c r="X431" s="13" t="str">
        <f t="shared" si="47"/>
        <v/>
      </c>
      <c r="Y431" s="2">
        <f t="shared" ca="1" si="42"/>
        <v>196</v>
      </c>
      <c r="Z431" s="14">
        <v>1</v>
      </c>
      <c r="AA431" s="1" t="str">
        <f t="shared" ca="1" si="43"/>
        <v>VENCIDO</v>
      </c>
      <c r="AB431" s="1" t="str">
        <f t="shared" si="44"/>
        <v>C-14</v>
      </c>
      <c r="AC431" s="2" t="str">
        <f t="shared" si="48"/>
        <v xml:space="preserve"> CRISTINA </v>
      </c>
      <c r="AD431" s="2">
        <f t="shared" si="45"/>
        <v>15</v>
      </c>
      <c r="AE431" s="2">
        <f t="shared" ca="1" si="46"/>
        <v>-272.28094756944483</v>
      </c>
      <c r="AF431" s="15"/>
    </row>
    <row r="432" spans="1:32" hidden="1">
      <c r="A432" s="1">
        <v>8636438</v>
      </c>
      <c r="B432" s="1" t="s">
        <v>653</v>
      </c>
      <c r="C432" t="s">
        <v>752</v>
      </c>
      <c r="E432" s="2">
        <v>1359001400030</v>
      </c>
      <c r="F432" s="1" t="s">
        <v>647</v>
      </c>
      <c r="G432" s="1" t="s">
        <v>53</v>
      </c>
      <c r="H432" s="1" t="s">
        <v>270</v>
      </c>
      <c r="I432" s="1" t="s">
        <v>271</v>
      </c>
      <c r="J432" s="1" t="s">
        <v>141</v>
      </c>
      <c r="K432" t="s">
        <v>650</v>
      </c>
      <c r="M432" s="1" t="s">
        <v>58</v>
      </c>
      <c r="N432" s="1">
        <v>0</v>
      </c>
      <c r="O432" s="1" t="s">
        <v>105</v>
      </c>
      <c r="P432" s="11" t="s">
        <v>917</v>
      </c>
      <c r="R432" s="1">
        <v>4</v>
      </c>
      <c r="T432" s="1" t="s">
        <v>646</v>
      </c>
      <c r="U432" s="186">
        <v>44714.395324074074</v>
      </c>
      <c r="V432" s="1" t="s">
        <v>41</v>
      </c>
      <c r="W432" s="1" t="s">
        <v>49</v>
      </c>
      <c r="X432" s="13" t="str">
        <f t="shared" si="47"/>
        <v/>
      </c>
      <c r="Y432" s="2">
        <f t="shared" ca="1" si="42"/>
        <v>196</v>
      </c>
      <c r="Z432" s="14">
        <v>1</v>
      </c>
      <c r="AA432" s="1" t="str">
        <f t="shared" ca="1" si="43"/>
        <v>VENCIDO</v>
      </c>
      <c r="AB432" s="1" t="str">
        <f t="shared" si="44"/>
        <v>C-14</v>
      </c>
      <c r="AC432" s="2" t="str">
        <f t="shared" si="48"/>
        <v xml:space="preserve"> CRISTINA </v>
      </c>
      <c r="AD432" s="2">
        <f t="shared" si="45"/>
        <v>15</v>
      </c>
      <c r="AE432" s="2">
        <f t="shared" ca="1" si="46"/>
        <v>-272.28094756944483</v>
      </c>
      <c r="AF432" s="15"/>
    </row>
    <row r="433" spans="1:32" hidden="1">
      <c r="A433" s="1">
        <v>8636177</v>
      </c>
      <c r="B433" s="1" t="s">
        <v>653</v>
      </c>
      <c r="C433" t="s">
        <v>752</v>
      </c>
      <c r="E433" s="2">
        <v>1059001400030</v>
      </c>
      <c r="F433" s="1" t="s">
        <v>647</v>
      </c>
      <c r="G433" s="1" t="s">
        <v>53</v>
      </c>
      <c r="H433" s="1" t="s">
        <v>88</v>
      </c>
      <c r="I433" s="1" t="s">
        <v>89</v>
      </c>
      <c r="J433" s="1" t="s">
        <v>90</v>
      </c>
      <c r="K433" t="s">
        <v>650</v>
      </c>
      <c r="M433" s="1" t="s">
        <v>58</v>
      </c>
      <c r="N433" s="1">
        <v>0</v>
      </c>
      <c r="O433" s="1" t="s">
        <v>105</v>
      </c>
      <c r="P433" s="11" t="s">
        <v>919</v>
      </c>
      <c r="R433" s="1">
        <v>4</v>
      </c>
      <c r="T433" s="1" t="s">
        <v>646</v>
      </c>
      <c r="U433" s="186">
        <v>44714.394780092596</v>
      </c>
      <c r="V433" s="1" t="s">
        <v>41</v>
      </c>
      <c r="W433" s="1" t="s">
        <v>49</v>
      </c>
      <c r="X433" s="13" t="str">
        <f t="shared" si="47"/>
        <v/>
      </c>
      <c r="Y433" s="2">
        <f t="shared" ca="1" si="42"/>
        <v>196</v>
      </c>
      <c r="Z433" s="14">
        <v>1</v>
      </c>
      <c r="AA433" s="1" t="str">
        <f t="shared" ca="1" si="43"/>
        <v>VENCIDO</v>
      </c>
      <c r="AB433" s="1" t="str">
        <f t="shared" si="44"/>
        <v>C-14</v>
      </c>
      <c r="AC433" s="2" t="str">
        <f t="shared" si="48"/>
        <v xml:space="preserve"> RINALDO </v>
      </c>
      <c r="AD433" s="2">
        <f t="shared" si="45"/>
        <v>15</v>
      </c>
      <c r="AE433" s="2">
        <f t="shared" ca="1" si="46"/>
        <v>-272.28149155092251</v>
      </c>
      <c r="AF433" s="15"/>
    </row>
    <row r="434" spans="1:32" hidden="1">
      <c r="A434" s="1">
        <v>8636168</v>
      </c>
      <c r="B434" s="1" t="s">
        <v>653</v>
      </c>
      <c r="C434" t="s">
        <v>752</v>
      </c>
      <c r="E434" s="2">
        <v>1049001400030</v>
      </c>
      <c r="F434" s="1" t="s">
        <v>647</v>
      </c>
      <c r="G434" s="1" t="s">
        <v>53</v>
      </c>
      <c r="H434" s="1" t="s">
        <v>169</v>
      </c>
      <c r="I434" s="1" t="s">
        <v>170</v>
      </c>
      <c r="J434" s="1" t="s">
        <v>164</v>
      </c>
      <c r="K434" t="s">
        <v>650</v>
      </c>
      <c r="M434" s="1" t="s">
        <v>58</v>
      </c>
      <c r="N434" s="1">
        <v>0</v>
      </c>
      <c r="O434" s="1" t="s">
        <v>105</v>
      </c>
      <c r="P434" s="11" t="s">
        <v>921</v>
      </c>
      <c r="R434" s="1">
        <v>4</v>
      </c>
      <c r="T434" s="1" t="s">
        <v>646</v>
      </c>
      <c r="U434" s="11" t="s">
        <v>922</v>
      </c>
      <c r="V434" s="1" t="s">
        <v>41</v>
      </c>
      <c r="W434" s="1" t="s">
        <v>49</v>
      </c>
      <c r="X434" s="13" t="str">
        <f t="shared" si="47"/>
        <v/>
      </c>
      <c r="Y434" s="2">
        <f t="shared" ca="1" si="42"/>
        <v>196</v>
      </c>
      <c r="Z434" s="14">
        <v>1</v>
      </c>
      <c r="AA434" s="1" t="str">
        <f t="shared" ca="1" si="43"/>
        <v>VENCIDO</v>
      </c>
      <c r="AB434" s="1" t="str">
        <f t="shared" si="44"/>
        <v>C-14</v>
      </c>
      <c r="AC434" s="2" t="str">
        <f t="shared" si="48"/>
        <v xml:space="preserve"> ROSEMERE </v>
      </c>
      <c r="AD434" s="2">
        <f t="shared" si="45"/>
        <v>15</v>
      </c>
      <c r="AE434" s="2">
        <f t="shared" ca="1" si="46"/>
        <v>-272.28150312499929</v>
      </c>
      <c r="AF434" s="15"/>
    </row>
    <row r="435" spans="1:32" hidden="1">
      <c r="A435" s="1">
        <v>8636064</v>
      </c>
      <c r="B435" s="1" t="s">
        <v>653</v>
      </c>
      <c r="C435" t="s">
        <v>752</v>
      </c>
      <c r="E435" s="2">
        <v>934001400030</v>
      </c>
      <c r="F435" s="1" t="s">
        <v>647</v>
      </c>
      <c r="G435" s="1" t="s">
        <v>53</v>
      </c>
      <c r="H435" s="1" t="s">
        <v>428</v>
      </c>
      <c r="I435" s="1" t="s">
        <v>429</v>
      </c>
      <c r="J435" s="1" t="s">
        <v>46</v>
      </c>
      <c r="K435" t="s">
        <v>650</v>
      </c>
      <c r="M435" s="1" t="s">
        <v>58</v>
      </c>
      <c r="N435" s="1">
        <v>0</v>
      </c>
      <c r="O435" s="1" t="s">
        <v>105</v>
      </c>
      <c r="P435" s="11" t="s">
        <v>923</v>
      </c>
      <c r="R435" s="1">
        <v>4</v>
      </c>
      <c r="T435" s="1" t="s">
        <v>646</v>
      </c>
      <c r="U435" s="11" t="s">
        <v>924</v>
      </c>
      <c r="V435" s="1" t="s">
        <v>41</v>
      </c>
      <c r="W435" s="1" t="s">
        <v>49</v>
      </c>
      <c r="X435" s="13" t="str">
        <f t="shared" si="47"/>
        <v/>
      </c>
      <c r="Y435" s="2">
        <f t="shared" ca="1" si="42"/>
        <v>196</v>
      </c>
      <c r="Z435" s="14">
        <v>1</v>
      </c>
      <c r="AA435" s="1" t="str">
        <f t="shared" ca="1" si="43"/>
        <v>VENCIDO</v>
      </c>
      <c r="AB435" s="1" t="str">
        <f t="shared" si="44"/>
        <v>C-14</v>
      </c>
      <c r="AC435" s="2" t="str">
        <f t="shared" si="48"/>
        <v xml:space="preserve"> CLEITON </v>
      </c>
      <c r="AD435" s="2">
        <f t="shared" si="45"/>
        <v>15</v>
      </c>
      <c r="AE435" s="2">
        <f t="shared" ca="1" si="46"/>
        <v>-272.28174618055345</v>
      </c>
      <c r="AF435" s="15"/>
    </row>
    <row r="436" spans="1:32" hidden="1">
      <c r="A436" s="1">
        <v>8635859</v>
      </c>
      <c r="B436" s="1" t="s">
        <v>653</v>
      </c>
      <c r="C436" t="s">
        <v>752</v>
      </c>
      <c r="E436" s="2">
        <v>714001400030</v>
      </c>
      <c r="F436" s="1" t="s">
        <v>647</v>
      </c>
      <c r="G436" s="1" t="s">
        <v>53</v>
      </c>
      <c r="H436" s="1" t="s">
        <v>377</v>
      </c>
      <c r="I436" s="1" t="s">
        <v>378</v>
      </c>
      <c r="J436" s="1" t="s">
        <v>46</v>
      </c>
      <c r="K436" t="s">
        <v>650</v>
      </c>
      <c r="M436" s="1" t="s">
        <v>58</v>
      </c>
      <c r="N436" s="1">
        <v>0</v>
      </c>
      <c r="O436" s="1" t="s">
        <v>105</v>
      </c>
      <c r="P436" s="11" t="s">
        <v>925</v>
      </c>
      <c r="R436" s="1">
        <v>4</v>
      </c>
      <c r="T436" s="1" t="s">
        <v>646</v>
      </c>
      <c r="U436" s="186">
        <v>44714.394085648149</v>
      </c>
      <c r="V436" s="1" t="s">
        <v>41</v>
      </c>
      <c r="W436" s="1" t="s">
        <v>49</v>
      </c>
      <c r="X436" s="13" t="str">
        <f t="shared" si="47"/>
        <v/>
      </c>
      <c r="Y436" s="2">
        <f t="shared" ca="1" si="42"/>
        <v>196</v>
      </c>
      <c r="Z436" s="14">
        <v>1</v>
      </c>
      <c r="AA436" s="1" t="str">
        <f t="shared" ca="1" si="43"/>
        <v>VENCIDO</v>
      </c>
      <c r="AB436" s="1" t="str">
        <f t="shared" si="44"/>
        <v>C-14</v>
      </c>
      <c r="AC436" s="2" t="str">
        <f t="shared" si="48"/>
        <v xml:space="preserve"> CLEITON </v>
      </c>
      <c r="AD436" s="2">
        <f t="shared" si="45"/>
        <v>15</v>
      </c>
      <c r="AE436" s="2">
        <f t="shared" ca="1" si="46"/>
        <v>-272.28218599536922</v>
      </c>
      <c r="AF436" s="15"/>
    </row>
    <row r="437" spans="1:32" hidden="1">
      <c r="A437" s="1">
        <v>8635857</v>
      </c>
      <c r="B437" s="1" t="s">
        <v>653</v>
      </c>
      <c r="C437" t="s">
        <v>752</v>
      </c>
      <c r="E437" s="2">
        <v>711001400030</v>
      </c>
      <c r="F437" s="1" t="s">
        <v>647</v>
      </c>
      <c r="G437" s="1" t="s">
        <v>53</v>
      </c>
      <c r="H437" s="1" t="s">
        <v>77</v>
      </c>
      <c r="I437" s="1" t="s">
        <v>78</v>
      </c>
      <c r="J437" s="1" t="s">
        <v>79</v>
      </c>
      <c r="K437" t="s">
        <v>650</v>
      </c>
      <c r="M437" s="1" t="s">
        <v>58</v>
      </c>
      <c r="N437" s="1">
        <v>0</v>
      </c>
      <c r="O437" s="1" t="s">
        <v>105</v>
      </c>
      <c r="P437" s="11" t="s">
        <v>927</v>
      </c>
      <c r="R437" s="1">
        <v>4</v>
      </c>
      <c r="T437" s="1" t="s">
        <v>646</v>
      </c>
      <c r="U437" s="186">
        <v>44714.394074074073</v>
      </c>
      <c r="V437" s="1" t="s">
        <v>41</v>
      </c>
      <c r="W437" s="1" t="s">
        <v>49</v>
      </c>
      <c r="X437" s="13" t="str">
        <f t="shared" si="47"/>
        <v/>
      </c>
      <c r="Y437" s="2">
        <f t="shared" ca="1" si="42"/>
        <v>196</v>
      </c>
      <c r="Z437" s="14">
        <v>1</v>
      </c>
      <c r="AA437" s="1" t="str">
        <f t="shared" ca="1" si="43"/>
        <v>VENCIDO</v>
      </c>
      <c r="AB437" s="1" t="str">
        <f t="shared" si="44"/>
        <v>C-14</v>
      </c>
      <c r="AC437" s="2" t="str">
        <f t="shared" si="48"/>
        <v xml:space="preserve"> ROSEMERE </v>
      </c>
      <c r="AD437" s="2">
        <f t="shared" si="45"/>
        <v>15</v>
      </c>
      <c r="AE437" s="2">
        <f t="shared" ca="1" si="46"/>
        <v>-272.282197569446</v>
      </c>
      <c r="AF437" s="15"/>
    </row>
    <row r="438" spans="1:32" hidden="1">
      <c r="A438" s="1">
        <v>8635856</v>
      </c>
      <c r="B438" s="1" t="s">
        <v>653</v>
      </c>
      <c r="C438" t="s">
        <v>752</v>
      </c>
      <c r="E438" s="2">
        <v>710001400030</v>
      </c>
      <c r="F438" s="1" t="s">
        <v>647</v>
      </c>
      <c r="G438" s="1" t="s">
        <v>53</v>
      </c>
      <c r="H438" s="1" t="s">
        <v>390</v>
      </c>
      <c r="I438" s="1" t="s">
        <v>391</v>
      </c>
      <c r="J438" s="1" t="s">
        <v>56</v>
      </c>
      <c r="K438" t="s">
        <v>650</v>
      </c>
      <c r="M438" s="1" t="s">
        <v>58</v>
      </c>
      <c r="N438" s="1">
        <v>0</v>
      </c>
      <c r="O438" s="1" t="s">
        <v>36</v>
      </c>
      <c r="P438" s="11" t="s">
        <v>927</v>
      </c>
      <c r="R438" s="1">
        <v>4</v>
      </c>
      <c r="T438" s="1" t="s">
        <v>646</v>
      </c>
      <c r="U438" s="186">
        <v>44714.394074074073</v>
      </c>
      <c r="V438" s="1" t="s">
        <v>41</v>
      </c>
      <c r="W438" s="1" t="s">
        <v>49</v>
      </c>
      <c r="X438" s="13" t="str">
        <f t="shared" si="47"/>
        <v/>
      </c>
      <c r="Y438" s="2">
        <f t="shared" ca="1" si="42"/>
        <v>196</v>
      </c>
      <c r="Z438" s="14">
        <v>1</v>
      </c>
      <c r="AA438" s="1" t="str">
        <f t="shared" ca="1" si="43"/>
        <v>VENCIDO</v>
      </c>
      <c r="AB438" s="1" t="str">
        <f t="shared" si="44"/>
        <v>C-14</v>
      </c>
      <c r="AC438" s="2" t="str">
        <f t="shared" si="48"/>
        <v xml:space="preserve"> CRISTINA </v>
      </c>
      <c r="AD438" s="2">
        <f t="shared" si="45"/>
        <v>15</v>
      </c>
      <c r="AE438" s="2">
        <f t="shared" ca="1" si="46"/>
        <v>-272.282197569446</v>
      </c>
      <c r="AF438" s="15"/>
    </row>
    <row r="439" spans="1:32" hidden="1">
      <c r="A439" s="1">
        <v>8635705</v>
      </c>
      <c r="B439" s="1" t="s">
        <v>653</v>
      </c>
      <c r="C439" t="s">
        <v>752</v>
      </c>
      <c r="E439" s="2">
        <v>550001400030</v>
      </c>
      <c r="F439" s="1" t="s">
        <v>647</v>
      </c>
      <c r="G439" s="1" t="s">
        <v>53</v>
      </c>
      <c r="H439" s="1" t="s">
        <v>337</v>
      </c>
      <c r="I439" s="1" t="s">
        <v>338</v>
      </c>
      <c r="J439" s="1" t="s">
        <v>164</v>
      </c>
      <c r="K439" t="s">
        <v>650</v>
      </c>
      <c r="M439" s="1" t="s">
        <v>58</v>
      </c>
      <c r="N439" s="1">
        <v>0</v>
      </c>
      <c r="O439" s="1" t="s">
        <v>105</v>
      </c>
      <c r="P439" s="11" t="s">
        <v>3443</v>
      </c>
      <c r="R439" s="1">
        <v>4</v>
      </c>
      <c r="T439" s="1" t="s">
        <v>646</v>
      </c>
      <c r="U439" s="186">
        <v>44714.39371527778</v>
      </c>
      <c r="V439" s="1" t="s">
        <v>41</v>
      </c>
      <c r="W439" s="1" t="s">
        <v>49</v>
      </c>
      <c r="X439" s="13" t="str">
        <f t="shared" si="47"/>
        <v/>
      </c>
      <c r="Y439" s="2">
        <f t="shared" ca="1" si="42"/>
        <v>196</v>
      </c>
      <c r="Z439" s="14">
        <v>1</v>
      </c>
      <c r="AA439" s="1" t="str">
        <f t="shared" ca="1" si="43"/>
        <v>VENCIDO</v>
      </c>
      <c r="AB439" s="1" t="str">
        <f t="shared" si="44"/>
        <v>C-14</v>
      </c>
      <c r="AC439" s="2" t="str">
        <f t="shared" si="48"/>
        <v xml:space="preserve"> ROSEMERE </v>
      </c>
      <c r="AD439" s="2">
        <f t="shared" si="45"/>
        <v>15</v>
      </c>
      <c r="AE439" s="2">
        <f t="shared" ca="1" si="46"/>
        <v>-272.28255636573886</v>
      </c>
      <c r="AF439" s="15"/>
    </row>
    <row r="440" spans="1:32" hidden="1">
      <c r="A440" s="1">
        <v>8635695</v>
      </c>
      <c r="B440" s="1" t="s">
        <v>653</v>
      </c>
      <c r="C440" t="s">
        <v>752</v>
      </c>
      <c r="E440" s="2">
        <v>537001400030</v>
      </c>
      <c r="F440" s="1" t="s">
        <v>647</v>
      </c>
      <c r="G440" s="1" t="s">
        <v>53</v>
      </c>
      <c r="H440" s="1" t="s">
        <v>442</v>
      </c>
      <c r="I440" s="1" t="s">
        <v>443</v>
      </c>
      <c r="J440" s="1" t="s">
        <v>79</v>
      </c>
      <c r="K440" t="s">
        <v>650</v>
      </c>
      <c r="M440" s="1" t="s">
        <v>58</v>
      </c>
      <c r="N440" s="1">
        <v>0</v>
      </c>
      <c r="O440" s="1" t="s">
        <v>105</v>
      </c>
      <c r="P440" s="11" t="s">
        <v>929</v>
      </c>
      <c r="R440" s="1">
        <v>4</v>
      </c>
      <c r="T440" s="1" t="s">
        <v>646</v>
      </c>
      <c r="U440" s="186">
        <v>44714.393703703703</v>
      </c>
      <c r="V440" s="1" t="s">
        <v>41</v>
      </c>
      <c r="W440" s="1" t="s">
        <v>49</v>
      </c>
      <c r="X440" s="13" t="str">
        <f t="shared" si="47"/>
        <v/>
      </c>
      <c r="Y440" s="2">
        <f t="shared" ca="1" si="42"/>
        <v>196</v>
      </c>
      <c r="Z440" s="14">
        <v>1</v>
      </c>
      <c r="AA440" s="1" t="str">
        <f t="shared" ca="1" si="43"/>
        <v>VENCIDO</v>
      </c>
      <c r="AB440" s="1" t="str">
        <f t="shared" si="44"/>
        <v>C-14</v>
      </c>
      <c r="AC440" s="2" t="str">
        <f t="shared" si="48"/>
        <v xml:space="preserve"> ROSEMERE </v>
      </c>
      <c r="AD440" s="2">
        <f t="shared" si="45"/>
        <v>15</v>
      </c>
      <c r="AE440" s="2">
        <f t="shared" ca="1" si="46"/>
        <v>-272.28256793981564</v>
      </c>
      <c r="AF440" s="15"/>
    </row>
    <row r="441" spans="1:32" hidden="1">
      <c r="A441" s="1">
        <v>8635610</v>
      </c>
      <c r="B441" s="1" t="s">
        <v>653</v>
      </c>
      <c r="C441" t="s">
        <v>752</v>
      </c>
      <c r="E441" s="2">
        <v>446001400030</v>
      </c>
      <c r="F441" s="1" t="s">
        <v>647</v>
      </c>
      <c r="G441" s="1" t="s">
        <v>53</v>
      </c>
      <c r="H441" s="1" t="s">
        <v>432</v>
      </c>
      <c r="I441" s="1" t="s">
        <v>433</v>
      </c>
      <c r="J441" s="1" t="s">
        <v>110</v>
      </c>
      <c r="K441" t="s">
        <v>650</v>
      </c>
      <c r="M441" s="1" t="s">
        <v>58</v>
      </c>
      <c r="N441" s="1">
        <v>0</v>
      </c>
      <c r="O441" s="1" t="s">
        <v>105</v>
      </c>
      <c r="P441" s="11" t="s">
        <v>931</v>
      </c>
      <c r="R441" s="1">
        <v>4</v>
      </c>
      <c r="T441" s="1" t="s">
        <v>646</v>
      </c>
      <c r="U441" s="11" t="s">
        <v>932</v>
      </c>
      <c r="V441" s="1" t="s">
        <v>41</v>
      </c>
      <c r="W441" s="1" t="s">
        <v>49</v>
      </c>
      <c r="X441" s="13" t="str">
        <f t="shared" si="47"/>
        <v/>
      </c>
      <c r="Y441" s="2">
        <f t="shared" ca="1" si="42"/>
        <v>196</v>
      </c>
      <c r="Z441" s="14">
        <v>1</v>
      </c>
      <c r="AA441" s="1" t="str">
        <f t="shared" ca="1" si="43"/>
        <v>VENCIDO</v>
      </c>
      <c r="AB441" s="1" t="str">
        <f t="shared" si="44"/>
        <v>C-14</v>
      </c>
      <c r="AC441" s="2" t="str">
        <f t="shared" si="48"/>
        <v xml:space="preserve"> CRISTINA </v>
      </c>
      <c r="AD441" s="2">
        <f t="shared" si="45"/>
        <v>15</v>
      </c>
      <c r="AE441" s="2">
        <f t="shared" ca="1" si="46"/>
        <v>-272.28275312500045</v>
      </c>
      <c r="AF441" s="15"/>
    </row>
    <row r="442" spans="1:32" hidden="1">
      <c r="A442" s="1">
        <v>8635412</v>
      </c>
      <c r="B442" s="1" t="s">
        <v>653</v>
      </c>
      <c r="C442" t="s">
        <v>752</v>
      </c>
      <c r="E442" s="2">
        <v>233001400030</v>
      </c>
      <c r="F442" s="1" t="s">
        <v>647</v>
      </c>
      <c r="G442" s="1" t="s">
        <v>53</v>
      </c>
      <c r="H442" s="1" t="s">
        <v>424</v>
      </c>
      <c r="I442" s="1" t="s">
        <v>425</v>
      </c>
      <c r="J442" s="1" t="s">
        <v>261</v>
      </c>
      <c r="K442" t="s">
        <v>650</v>
      </c>
      <c r="M442" s="1" t="s">
        <v>58</v>
      </c>
      <c r="N442" s="1">
        <v>0</v>
      </c>
      <c r="O442" s="1" t="s">
        <v>105</v>
      </c>
      <c r="P442" s="11" t="s">
        <v>933</v>
      </c>
      <c r="R442" s="1">
        <v>4</v>
      </c>
      <c r="T442" s="1" t="s">
        <v>646</v>
      </c>
      <c r="U442" s="11" t="s">
        <v>934</v>
      </c>
      <c r="V442" s="1" t="s">
        <v>41</v>
      </c>
      <c r="W442" s="1" t="s">
        <v>49</v>
      </c>
      <c r="X442" s="13" t="str">
        <f t="shared" si="47"/>
        <v/>
      </c>
      <c r="Y442" s="2">
        <f t="shared" ca="1" si="42"/>
        <v>196</v>
      </c>
      <c r="Z442" s="14">
        <v>1</v>
      </c>
      <c r="AA442" s="1" t="str">
        <f t="shared" ca="1" si="43"/>
        <v>VENCIDO</v>
      </c>
      <c r="AB442" s="1" t="str">
        <f t="shared" si="44"/>
        <v>C-14</v>
      </c>
      <c r="AC442" s="2" t="str">
        <f t="shared" si="48"/>
        <v xml:space="preserve"> CRISTINA </v>
      </c>
      <c r="AD442" s="2">
        <f t="shared" si="45"/>
        <v>15</v>
      </c>
      <c r="AE442" s="2">
        <f t="shared" ca="1" si="46"/>
        <v>-272.28316979166993</v>
      </c>
      <c r="AF442" s="15"/>
    </row>
    <row r="443" spans="1:32" hidden="1">
      <c r="A443" s="1">
        <v>8635253</v>
      </c>
      <c r="B443" s="1" t="s">
        <v>653</v>
      </c>
      <c r="C443" t="s">
        <v>935</v>
      </c>
      <c r="E443" s="2">
        <v>325001400010</v>
      </c>
      <c r="F443" s="1" t="s">
        <v>936</v>
      </c>
      <c r="G443" s="1" t="s">
        <v>53</v>
      </c>
      <c r="H443" s="1" t="s">
        <v>345</v>
      </c>
      <c r="I443" s="1" t="s">
        <v>346</v>
      </c>
      <c r="J443" s="1" t="s">
        <v>46</v>
      </c>
      <c r="K443" t="s">
        <v>937</v>
      </c>
      <c r="M443" s="1" t="s">
        <v>58</v>
      </c>
      <c r="N443" s="1">
        <v>0</v>
      </c>
      <c r="O443" s="1" t="s">
        <v>105</v>
      </c>
      <c r="P443" s="11" t="s">
        <v>938</v>
      </c>
      <c r="R443" s="1">
        <v>3</v>
      </c>
      <c r="T443" s="1" t="s">
        <v>646</v>
      </c>
      <c r="U443" s="11" t="s">
        <v>939</v>
      </c>
      <c r="V443" s="1" t="s">
        <v>41</v>
      </c>
      <c r="W443" s="1" t="s">
        <v>49</v>
      </c>
      <c r="X443" s="13" t="str">
        <f t="shared" si="47"/>
        <v/>
      </c>
      <c r="Y443" s="2">
        <f t="shared" ca="1" si="42"/>
        <v>196</v>
      </c>
      <c r="Z443" s="14">
        <v>1</v>
      </c>
      <c r="AA443" s="1" t="str">
        <f t="shared" ca="1" si="43"/>
        <v>VENCIDO</v>
      </c>
      <c r="AB443" s="1" t="str">
        <f t="shared" si="44"/>
        <v>C-14</v>
      </c>
      <c r="AC443" s="2" t="str">
        <f t="shared" si="48"/>
        <v xml:space="preserve"> CLEITON </v>
      </c>
      <c r="AD443" s="2">
        <f t="shared" si="45"/>
        <v>5</v>
      </c>
      <c r="AE443" s="2">
        <f t="shared" ca="1" si="46"/>
        <v>-272.28349386573973</v>
      </c>
      <c r="AF443" s="15"/>
    </row>
    <row r="444" spans="1:32" hidden="1">
      <c r="A444" s="1">
        <v>8635179</v>
      </c>
      <c r="B444" s="1" t="s">
        <v>653</v>
      </c>
      <c r="C444" t="s">
        <v>935</v>
      </c>
      <c r="E444" s="2">
        <v>8973001400010</v>
      </c>
      <c r="F444" s="1" t="s">
        <v>936</v>
      </c>
      <c r="G444" s="1" t="s">
        <v>53</v>
      </c>
      <c r="H444" s="1" t="s">
        <v>661</v>
      </c>
      <c r="I444" s="1" t="s">
        <v>662</v>
      </c>
      <c r="J444" s="1" t="s">
        <v>46</v>
      </c>
      <c r="K444" t="s">
        <v>937</v>
      </c>
      <c r="M444" s="1" t="s">
        <v>58</v>
      </c>
      <c r="N444" s="1">
        <v>0</v>
      </c>
      <c r="O444" s="1" t="s">
        <v>105</v>
      </c>
      <c r="P444" s="11" t="s">
        <v>940</v>
      </c>
      <c r="R444" s="1">
        <v>3</v>
      </c>
      <c r="T444" s="1" t="s">
        <v>646</v>
      </c>
      <c r="U444" s="11" t="s">
        <v>941</v>
      </c>
      <c r="V444" s="1" t="s">
        <v>41</v>
      </c>
      <c r="W444" s="1" t="s">
        <v>49</v>
      </c>
      <c r="X444" s="13" t="str">
        <f t="shared" si="47"/>
        <v/>
      </c>
      <c r="Y444" s="2">
        <f t="shared" ca="1" si="42"/>
        <v>196</v>
      </c>
      <c r="Z444" s="14">
        <v>1</v>
      </c>
      <c r="AA444" s="1" t="str">
        <f t="shared" ca="1" si="43"/>
        <v>VENCIDO</v>
      </c>
      <c r="AB444" s="1" t="str">
        <f t="shared" si="44"/>
        <v>C-14</v>
      </c>
      <c r="AC444" s="2" t="str">
        <f t="shared" si="48"/>
        <v xml:space="preserve"> CLEITON </v>
      </c>
      <c r="AD444" s="2">
        <f t="shared" si="45"/>
        <v>5</v>
      </c>
      <c r="AE444" s="2">
        <f t="shared" ca="1" si="46"/>
        <v>-272.28369062500133</v>
      </c>
      <c r="AF444" s="15"/>
    </row>
    <row r="445" spans="1:32" hidden="1">
      <c r="A445" s="1">
        <v>8635156</v>
      </c>
      <c r="B445" s="1" t="s">
        <v>653</v>
      </c>
      <c r="C445" t="s">
        <v>935</v>
      </c>
      <c r="E445" s="2">
        <v>8633001400010</v>
      </c>
      <c r="F445" s="1" t="s">
        <v>936</v>
      </c>
      <c r="G445" s="1" t="s">
        <v>53</v>
      </c>
      <c r="H445" s="1" t="s">
        <v>835</v>
      </c>
      <c r="I445" s="1" t="s">
        <v>836</v>
      </c>
      <c r="J445" s="1" t="s">
        <v>46</v>
      </c>
      <c r="K445" t="s">
        <v>937</v>
      </c>
      <c r="M445" s="1" t="s">
        <v>58</v>
      </c>
      <c r="N445" s="1">
        <v>0</v>
      </c>
      <c r="O445" s="1" t="s">
        <v>105</v>
      </c>
      <c r="P445" s="11" t="s">
        <v>942</v>
      </c>
      <c r="R445" s="1">
        <v>3</v>
      </c>
      <c r="T445" s="1" t="s">
        <v>646</v>
      </c>
      <c r="U445" s="186">
        <v>44714.392557870371</v>
      </c>
      <c r="V445" s="1" t="s">
        <v>41</v>
      </c>
      <c r="W445" s="1" t="s">
        <v>49</v>
      </c>
      <c r="X445" s="13" t="str">
        <f t="shared" si="47"/>
        <v/>
      </c>
      <c r="Y445" s="2">
        <f t="shared" ca="1" si="42"/>
        <v>196</v>
      </c>
      <c r="Z445" s="14">
        <v>1</v>
      </c>
      <c r="AA445" s="1" t="str">
        <f t="shared" ca="1" si="43"/>
        <v>VENCIDO</v>
      </c>
      <c r="AB445" s="1" t="str">
        <f t="shared" si="44"/>
        <v>C-14</v>
      </c>
      <c r="AC445" s="2" t="str">
        <f t="shared" si="48"/>
        <v xml:space="preserve"> CLEITON </v>
      </c>
      <c r="AD445" s="2">
        <f t="shared" si="45"/>
        <v>5</v>
      </c>
      <c r="AE445" s="2">
        <f t="shared" ca="1" si="46"/>
        <v>-272.28371377314761</v>
      </c>
      <c r="AF445" s="15"/>
    </row>
    <row r="446" spans="1:32" hidden="1">
      <c r="A446" s="1">
        <v>8634660</v>
      </c>
      <c r="B446" s="1" t="s">
        <v>653</v>
      </c>
      <c r="C446" t="s">
        <v>935</v>
      </c>
      <c r="E446" s="2">
        <v>5898001400010</v>
      </c>
      <c r="F446" s="1" t="s">
        <v>936</v>
      </c>
      <c r="G446" s="1" t="s">
        <v>53</v>
      </c>
      <c r="H446" s="1" t="s">
        <v>365</v>
      </c>
      <c r="I446" s="1" t="s">
        <v>366</v>
      </c>
      <c r="J446" s="1" t="s">
        <v>164</v>
      </c>
      <c r="K446" t="s">
        <v>937</v>
      </c>
      <c r="M446" s="1" t="s">
        <v>58</v>
      </c>
      <c r="N446" s="1">
        <v>0</v>
      </c>
      <c r="O446" s="1" t="s">
        <v>105</v>
      </c>
      <c r="P446" s="11" t="s">
        <v>944</v>
      </c>
      <c r="R446" s="1">
        <v>3</v>
      </c>
      <c r="T446" s="1" t="s">
        <v>646</v>
      </c>
      <c r="U446" s="11" t="s">
        <v>945</v>
      </c>
      <c r="V446" s="1" t="s">
        <v>41</v>
      </c>
      <c r="W446" s="1" t="s">
        <v>49</v>
      </c>
      <c r="X446" s="13" t="str">
        <f t="shared" si="47"/>
        <v/>
      </c>
      <c r="Y446" s="2">
        <f t="shared" ca="1" si="42"/>
        <v>196</v>
      </c>
      <c r="Z446" s="14">
        <v>1</v>
      </c>
      <c r="AA446" s="1" t="str">
        <f t="shared" ca="1" si="43"/>
        <v>VENCIDO</v>
      </c>
      <c r="AB446" s="1" t="str">
        <f t="shared" si="44"/>
        <v>C-14</v>
      </c>
      <c r="AC446" s="2" t="str">
        <f t="shared" si="48"/>
        <v xml:space="preserve"> ROSEMERE </v>
      </c>
      <c r="AD446" s="2">
        <f t="shared" si="45"/>
        <v>5</v>
      </c>
      <c r="AE446" s="2">
        <f t="shared" ca="1" si="46"/>
        <v>-272.28566979166499</v>
      </c>
      <c r="AF446" s="15"/>
    </row>
    <row r="447" spans="1:32" hidden="1">
      <c r="A447" s="1">
        <v>8634637</v>
      </c>
      <c r="B447" s="1" t="s">
        <v>653</v>
      </c>
      <c r="C447" t="s">
        <v>935</v>
      </c>
      <c r="E447" s="2">
        <v>5816001400010</v>
      </c>
      <c r="F447" s="1" t="s">
        <v>936</v>
      </c>
      <c r="G447" s="1" t="s">
        <v>53</v>
      </c>
      <c r="H447" s="1" t="s">
        <v>412</v>
      </c>
      <c r="I447" s="1" t="s">
        <v>413</v>
      </c>
      <c r="J447" s="1" t="s">
        <v>46</v>
      </c>
      <c r="K447" t="s">
        <v>937</v>
      </c>
      <c r="M447" s="1" t="s">
        <v>58</v>
      </c>
      <c r="N447" s="1">
        <v>0</v>
      </c>
      <c r="O447" s="1" t="s">
        <v>105</v>
      </c>
      <c r="P447" s="11" t="s">
        <v>946</v>
      </c>
      <c r="R447" s="1">
        <v>3</v>
      </c>
      <c r="T447" s="1" t="s">
        <v>646</v>
      </c>
      <c r="U447" s="11" t="s">
        <v>947</v>
      </c>
      <c r="V447" s="1" t="s">
        <v>41</v>
      </c>
      <c r="W447" s="1" t="s">
        <v>49</v>
      </c>
      <c r="X447" s="13" t="str">
        <f t="shared" si="47"/>
        <v/>
      </c>
      <c r="Y447" s="2">
        <f t="shared" ca="1" si="42"/>
        <v>196</v>
      </c>
      <c r="Z447" s="14">
        <v>1</v>
      </c>
      <c r="AA447" s="1" t="str">
        <f t="shared" ca="1" si="43"/>
        <v>VENCIDO</v>
      </c>
      <c r="AB447" s="1" t="str">
        <f t="shared" si="44"/>
        <v>C-14</v>
      </c>
      <c r="AC447" s="2" t="str">
        <f t="shared" si="48"/>
        <v xml:space="preserve"> CLEITON </v>
      </c>
      <c r="AD447" s="2">
        <f t="shared" si="45"/>
        <v>5</v>
      </c>
      <c r="AE447" s="2">
        <f t="shared" ca="1" si="46"/>
        <v>-272.28570451388805</v>
      </c>
      <c r="AF447" s="15"/>
    </row>
    <row r="448" spans="1:32" hidden="1">
      <c r="A448" s="1">
        <v>8634603</v>
      </c>
      <c r="B448" s="1" t="s">
        <v>653</v>
      </c>
      <c r="C448" t="s">
        <v>935</v>
      </c>
      <c r="E448" s="2">
        <v>5755001400010</v>
      </c>
      <c r="F448" s="1" t="s">
        <v>936</v>
      </c>
      <c r="G448" s="1" t="s">
        <v>53</v>
      </c>
      <c r="H448" s="1" t="s">
        <v>841</v>
      </c>
      <c r="I448" s="1" t="s">
        <v>842</v>
      </c>
      <c r="J448" s="1" t="s">
        <v>46</v>
      </c>
      <c r="K448" t="s">
        <v>937</v>
      </c>
      <c r="M448" s="1" t="s">
        <v>58</v>
      </c>
      <c r="N448" s="1">
        <v>0</v>
      </c>
      <c r="O448" s="1" t="s">
        <v>105</v>
      </c>
      <c r="P448" s="11" t="s">
        <v>948</v>
      </c>
      <c r="R448" s="1">
        <v>3</v>
      </c>
      <c r="T448" s="1" t="s">
        <v>646</v>
      </c>
      <c r="U448" s="11" t="s">
        <v>949</v>
      </c>
      <c r="V448" s="1" t="s">
        <v>41</v>
      </c>
      <c r="W448" s="1" t="s">
        <v>49</v>
      </c>
      <c r="X448" s="13" t="str">
        <f t="shared" si="47"/>
        <v/>
      </c>
      <c r="Y448" s="2">
        <f t="shared" ca="1" si="42"/>
        <v>196</v>
      </c>
      <c r="Z448" s="14">
        <v>1</v>
      </c>
      <c r="AA448" s="1" t="str">
        <f t="shared" ca="1" si="43"/>
        <v>VENCIDO</v>
      </c>
      <c r="AB448" s="1" t="str">
        <f t="shared" si="44"/>
        <v>C-14</v>
      </c>
      <c r="AC448" s="2" t="str">
        <f t="shared" si="48"/>
        <v xml:space="preserve"> CLEITON </v>
      </c>
      <c r="AD448" s="2">
        <f t="shared" si="45"/>
        <v>5</v>
      </c>
      <c r="AE448" s="2">
        <f t="shared" ca="1" si="46"/>
        <v>-272.2857623842574</v>
      </c>
      <c r="AF448" s="15"/>
    </row>
    <row r="449" spans="1:32" hidden="1">
      <c r="A449" s="1">
        <v>8634599</v>
      </c>
      <c r="B449" s="1" t="s">
        <v>653</v>
      </c>
      <c r="C449" t="s">
        <v>935</v>
      </c>
      <c r="E449" s="2">
        <v>5742001400010</v>
      </c>
      <c r="F449" s="1" t="s">
        <v>936</v>
      </c>
      <c r="G449" s="1" t="s">
        <v>53</v>
      </c>
      <c r="H449" s="1" t="s">
        <v>430</v>
      </c>
      <c r="I449" s="1" t="s">
        <v>431</v>
      </c>
      <c r="J449" s="1" t="s">
        <v>79</v>
      </c>
      <c r="K449" t="s">
        <v>937</v>
      </c>
      <c r="M449" s="1" t="s">
        <v>58</v>
      </c>
      <c r="N449" s="1">
        <v>0</v>
      </c>
      <c r="O449" s="1" t="s">
        <v>105</v>
      </c>
      <c r="P449" s="11" t="s">
        <v>948</v>
      </c>
      <c r="R449" s="1">
        <v>3</v>
      </c>
      <c r="T449" s="1" t="s">
        <v>646</v>
      </c>
      <c r="U449" s="11" t="s">
        <v>949</v>
      </c>
      <c r="V449" s="1" t="s">
        <v>41</v>
      </c>
      <c r="W449" s="1" t="s">
        <v>49</v>
      </c>
      <c r="X449" s="13" t="str">
        <f t="shared" si="47"/>
        <v/>
      </c>
      <c r="Y449" s="2">
        <f t="shared" ca="1" si="42"/>
        <v>196</v>
      </c>
      <c r="Z449" s="14">
        <v>1</v>
      </c>
      <c r="AA449" s="1" t="str">
        <f t="shared" ca="1" si="43"/>
        <v>VENCIDO</v>
      </c>
      <c r="AB449" s="1" t="str">
        <f t="shared" si="44"/>
        <v>C-14</v>
      </c>
      <c r="AC449" s="2" t="str">
        <f t="shared" si="48"/>
        <v xml:space="preserve"> ROSEMERE </v>
      </c>
      <c r="AD449" s="2">
        <f t="shared" si="45"/>
        <v>5</v>
      </c>
      <c r="AE449" s="2">
        <f t="shared" ca="1" si="46"/>
        <v>-272.2857623842574</v>
      </c>
      <c r="AF449" s="15"/>
    </row>
    <row r="450" spans="1:32" hidden="1">
      <c r="A450" s="1">
        <v>8634597</v>
      </c>
      <c r="B450" s="1" t="s">
        <v>653</v>
      </c>
      <c r="C450" t="s">
        <v>935</v>
      </c>
      <c r="E450" s="2">
        <v>5740001400010</v>
      </c>
      <c r="F450" s="1" t="s">
        <v>936</v>
      </c>
      <c r="G450" s="1" t="s">
        <v>53</v>
      </c>
      <c r="H450" s="1" t="s">
        <v>626</v>
      </c>
      <c r="I450" s="1" t="s">
        <v>627</v>
      </c>
      <c r="J450" s="1" t="s">
        <v>46</v>
      </c>
      <c r="K450" t="s">
        <v>937</v>
      </c>
      <c r="M450" s="1" t="s">
        <v>58</v>
      </c>
      <c r="N450" s="1">
        <v>0</v>
      </c>
      <c r="O450" s="1" t="s">
        <v>105</v>
      </c>
      <c r="P450" s="11" t="s">
        <v>948</v>
      </c>
      <c r="R450" s="1">
        <v>3</v>
      </c>
      <c r="T450" s="1" t="s">
        <v>646</v>
      </c>
      <c r="U450" s="11" t="s">
        <v>949</v>
      </c>
      <c r="V450" s="1" t="s">
        <v>41</v>
      </c>
      <c r="W450" s="1" t="s">
        <v>49</v>
      </c>
      <c r="X450" s="13" t="str">
        <f t="shared" si="47"/>
        <v/>
      </c>
      <c r="Y450" s="2">
        <f t="shared" ref="Y450:Y513" ca="1" si="49">NETWORKDAYS(P450,$Y$1)</f>
        <v>196</v>
      </c>
      <c r="Z450" s="14">
        <v>1</v>
      </c>
      <c r="AA450" s="1" t="str">
        <f t="shared" ref="AA450:AA513" ca="1" si="50">IF(AE450=0,"HOJE",IF(AE450&gt;0,"A VENCER",IF(AE450&lt;0,"VENCIDO")))</f>
        <v>VENCIDO</v>
      </c>
      <c r="AB450" s="1" t="str">
        <f t="shared" ref="AB450:AB513" si="51">IF(F450="GRPE-000001","C-14",IF(F450="GRPE-000002","C-14",IF(F450="GRPE-000003","C-14",IF(F450="GRPE-000004","SL-On",IF(F450="GRPE-000038","C-14",IF(F450="GRPE-900022","Dosa",IF(F450="GRPE-000029","Dosa",IF(F450="ATOS-000222","Dose","TAAe+"))))))))</f>
        <v>C-14</v>
      </c>
      <c r="AC450" s="2" t="str">
        <f t="shared" si="48"/>
        <v xml:space="preserve"> CLEITON </v>
      </c>
      <c r="AD450" s="2">
        <f t="shared" ref="AD450:AD513" si="52">IF(F450="GRPE-000001",5,IF(F450="GRPE-000002",5,IF(F450="GRPE-000003",15,IF(F450="GRPE-000004",1,IF(F450="GRPE-000038",5,IF(F450="GRPE-900022",5,IF(F450="GRPE-000029",5,IF(F450="ATOS-000222",5,8))))))))</f>
        <v>5</v>
      </c>
      <c r="AE450" s="2">
        <f t="shared" ref="AE450:AE513" ca="1" si="53">IF(U450=$AE$1,"",U450-$AE$1)</f>
        <v>-272.2857623842574</v>
      </c>
      <c r="AF450" s="15"/>
    </row>
    <row r="451" spans="1:32" hidden="1">
      <c r="A451" s="1">
        <v>8634419</v>
      </c>
      <c r="B451" s="1" t="s">
        <v>653</v>
      </c>
      <c r="C451" t="s">
        <v>935</v>
      </c>
      <c r="E451" s="2">
        <v>4997001400010</v>
      </c>
      <c r="F451" s="1" t="s">
        <v>936</v>
      </c>
      <c r="G451" s="1" t="s">
        <v>53</v>
      </c>
      <c r="H451" s="1" t="s">
        <v>406</v>
      </c>
      <c r="I451" s="1" t="s">
        <v>407</v>
      </c>
      <c r="J451" s="1" t="s">
        <v>79</v>
      </c>
      <c r="K451" t="s">
        <v>937</v>
      </c>
      <c r="M451" s="1" t="s">
        <v>58</v>
      </c>
      <c r="N451" s="1">
        <v>0</v>
      </c>
      <c r="O451" s="1" t="s">
        <v>36</v>
      </c>
      <c r="P451" s="11" t="s">
        <v>950</v>
      </c>
      <c r="R451" s="1">
        <v>3</v>
      </c>
      <c r="T451" s="1" t="s">
        <v>646</v>
      </c>
      <c r="U451" s="186">
        <v>44714.390104166669</v>
      </c>
      <c r="V451" s="1" t="s">
        <v>41</v>
      </c>
      <c r="W451" s="1" t="s">
        <v>49</v>
      </c>
      <c r="X451" s="13" t="str">
        <f t="shared" ref="X451:X514" si="54">IF(RIGHT(H451,2)&lt;&gt;"00",H451,"")</f>
        <v/>
      </c>
      <c r="Y451" s="2">
        <f t="shared" ca="1" si="49"/>
        <v>196</v>
      </c>
      <c r="Z451" s="14">
        <v>1</v>
      </c>
      <c r="AA451" s="1" t="str">
        <f t="shared" ca="1" si="50"/>
        <v>VENCIDO</v>
      </c>
      <c r="AB451" s="1" t="str">
        <f t="shared" si="51"/>
        <v>C-14</v>
      </c>
      <c r="AC451" s="2" t="str">
        <f t="shared" ref="AC451:AC514" si="55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 xml:space="preserve"> ROSEMERE </v>
      </c>
      <c r="AD451" s="2">
        <f t="shared" si="52"/>
        <v>5</v>
      </c>
      <c r="AE451" s="2">
        <f t="shared" ca="1" si="53"/>
        <v>-272.2861674768501</v>
      </c>
      <c r="AF451" s="15"/>
    </row>
    <row r="452" spans="1:32" hidden="1">
      <c r="A452" s="1">
        <v>8634261</v>
      </c>
      <c r="B452" s="1" t="s">
        <v>653</v>
      </c>
      <c r="C452" t="s">
        <v>935</v>
      </c>
      <c r="E452" s="2">
        <v>4637001400010</v>
      </c>
      <c r="F452" s="1" t="s">
        <v>936</v>
      </c>
      <c r="G452" s="1" t="s">
        <v>53</v>
      </c>
      <c r="H452" s="1" t="s">
        <v>848</v>
      </c>
      <c r="I452" s="1" t="s">
        <v>849</v>
      </c>
      <c r="J452" s="1" t="s">
        <v>79</v>
      </c>
      <c r="K452" t="s">
        <v>937</v>
      </c>
      <c r="M452" s="1" t="s">
        <v>58</v>
      </c>
      <c r="N452" s="1">
        <v>0</v>
      </c>
      <c r="O452" s="1" t="s">
        <v>105</v>
      </c>
      <c r="P452" s="11" t="s">
        <v>952</v>
      </c>
      <c r="R452" s="1">
        <v>3</v>
      </c>
      <c r="T452" s="1" t="s">
        <v>646</v>
      </c>
      <c r="U452" s="186">
        <v>44714.389733796299</v>
      </c>
      <c r="V452" s="1" t="s">
        <v>41</v>
      </c>
      <c r="W452" s="1" t="s">
        <v>49</v>
      </c>
      <c r="X452" s="13" t="str">
        <f t="shared" si="54"/>
        <v/>
      </c>
      <c r="Y452" s="2">
        <f t="shared" ca="1" si="49"/>
        <v>196</v>
      </c>
      <c r="Z452" s="14">
        <v>1</v>
      </c>
      <c r="AA452" s="1" t="str">
        <f t="shared" ca="1" si="50"/>
        <v>VENCIDO</v>
      </c>
      <c r="AB452" s="1" t="str">
        <f t="shared" si="51"/>
        <v>C-14</v>
      </c>
      <c r="AC452" s="2" t="str">
        <f t="shared" si="55"/>
        <v xml:space="preserve"> ROSEMERE </v>
      </c>
      <c r="AD452" s="2">
        <f t="shared" si="52"/>
        <v>5</v>
      </c>
      <c r="AE452" s="2">
        <f t="shared" ca="1" si="53"/>
        <v>-272.28653784721973</v>
      </c>
      <c r="AF452" s="15"/>
    </row>
    <row r="453" spans="1:32" hidden="1">
      <c r="A453" s="1">
        <v>8634248</v>
      </c>
      <c r="B453" s="1" t="s">
        <v>653</v>
      </c>
      <c r="C453" t="s">
        <v>935</v>
      </c>
      <c r="E453" s="2">
        <v>4623001400010</v>
      </c>
      <c r="F453" s="1" t="s">
        <v>936</v>
      </c>
      <c r="G453" s="1" t="s">
        <v>53</v>
      </c>
      <c r="H453" s="1" t="s">
        <v>669</v>
      </c>
      <c r="I453" s="1" t="s">
        <v>670</v>
      </c>
      <c r="J453" s="1" t="s">
        <v>33</v>
      </c>
      <c r="K453" t="s">
        <v>937</v>
      </c>
      <c r="M453" s="1" t="s">
        <v>58</v>
      </c>
      <c r="N453" s="1">
        <v>0</v>
      </c>
      <c r="O453" s="1" t="s">
        <v>105</v>
      </c>
      <c r="P453" s="11" t="s">
        <v>954</v>
      </c>
      <c r="R453" s="1">
        <v>3</v>
      </c>
      <c r="T453" s="1" t="s">
        <v>646</v>
      </c>
      <c r="U453" s="186">
        <v>44714.389710648145</v>
      </c>
      <c r="V453" s="1" t="s">
        <v>41</v>
      </c>
      <c r="W453" s="1" t="s">
        <v>42</v>
      </c>
      <c r="X453" s="13" t="str">
        <f t="shared" si="54"/>
        <v/>
      </c>
      <c r="Y453" s="2">
        <f t="shared" ca="1" si="49"/>
        <v>196</v>
      </c>
      <c r="Z453" s="14">
        <v>1</v>
      </c>
      <c r="AA453" s="1" t="str">
        <f t="shared" ca="1" si="50"/>
        <v>VENCIDO</v>
      </c>
      <c r="AB453" s="1" t="str">
        <f t="shared" si="51"/>
        <v>C-14</v>
      </c>
      <c r="AC453" s="2" t="str">
        <f t="shared" si="55"/>
        <v xml:space="preserve"> ROSEMERE </v>
      </c>
      <c r="AD453" s="2">
        <f t="shared" si="52"/>
        <v>5</v>
      </c>
      <c r="AE453" s="2">
        <f t="shared" ca="1" si="53"/>
        <v>-272.28656099537329</v>
      </c>
      <c r="AF453" s="15"/>
    </row>
    <row r="454" spans="1:32" hidden="1">
      <c r="A454" s="1">
        <v>8634067</v>
      </c>
      <c r="B454" s="1" t="s">
        <v>653</v>
      </c>
      <c r="C454" t="s">
        <v>935</v>
      </c>
      <c r="E454" s="2">
        <v>4357001400010</v>
      </c>
      <c r="F454" s="1" t="s">
        <v>936</v>
      </c>
      <c r="G454" s="1" t="s">
        <v>53</v>
      </c>
      <c r="H454" s="1" t="s">
        <v>633</v>
      </c>
      <c r="I454" s="1" t="s">
        <v>634</v>
      </c>
      <c r="J454" s="1" t="s">
        <v>46</v>
      </c>
      <c r="K454" t="s">
        <v>937</v>
      </c>
      <c r="M454" s="1" t="s">
        <v>58</v>
      </c>
      <c r="N454" s="1">
        <v>0</v>
      </c>
      <c r="O454" s="1" t="s">
        <v>105</v>
      </c>
      <c r="P454" s="11" t="s">
        <v>956</v>
      </c>
      <c r="R454" s="1">
        <v>3</v>
      </c>
      <c r="T454" s="1" t="s">
        <v>646</v>
      </c>
      <c r="U454" s="186">
        <v>44714.389305555553</v>
      </c>
      <c r="V454" s="1" t="s">
        <v>41</v>
      </c>
      <c r="W454" s="1" t="s">
        <v>49</v>
      </c>
      <c r="X454" s="13" t="str">
        <f t="shared" si="54"/>
        <v/>
      </c>
      <c r="Y454" s="2">
        <f t="shared" ca="1" si="49"/>
        <v>196</v>
      </c>
      <c r="Z454" s="14">
        <v>1</v>
      </c>
      <c r="AA454" s="1" t="str">
        <f t="shared" ca="1" si="50"/>
        <v>VENCIDO</v>
      </c>
      <c r="AB454" s="1" t="str">
        <f t="shared" si="51"/>
        <v>C-14</v>
      </c>
      <c r="AC454" s="2" t="str">
        <f t="shared" si="55"/>
        <v xml:space="preserve"> CLEITON </v>
      </c>
      <c r="AD454" s="2">
        <f t="shared" si="52"/>
        <v>5</v>
      </c>
      <c r="AE454" s="2">
        <f t="shared" ca="1" si="53"/>
        <v>-272.28696608796599</v>
      </c>
      <c r="AF454" s="15"/>
    </row>
    <row r="455" spans="1:32" hidden="1">
      <c r="A455" s="1">
        <v>8633996</v>
      </c>
      <c r="B455" s="1" t="s">
        <v>653</v>
      </c>
      <c r="C455" t="s">
        <v>935</v>
      </c>
      <c r="E455" s="2">
        <v>4235001400010</v>
      </c>
      <c r="F455" s="1" t="s">
        <v>936</v>
      </c>
      <c r="G455" s="1" t="s">
        <v>53</v>
      </c>
      <c r="H455" s="1" t="s">
        <v>291</v>
      </c>
      <c r="I455" s="1" t="s">
        <v>292</v>
      </c>
      <c r="J455" s="1" t="s">
        <v>46</v>
      </c>
      <c r="K455" t="s">
        <v>937</v>
      </c>
      <c r="M455" s="1" t="s">
        <v>58</v>
      </c>
      <c r="N455" s="1">
        <v>0</v>
      </c>
      <c r="O455" s="1" t="s">
        <v>105</v>
      </c>
      <c r="P455" s="11" t="s">
        <v>958</v>
      </c>
      <c r="R455" s="1">
        <v>3</v>
      </c>
      <c r="T455" s="1" t="s">
        <v>646</v>
      </c>
      <c r="U455" s="186">
        <v>44714.38921296296</v>
      </c>
      <c r="V455" s="1" t="s">
        <v>41</v>
      </c>
      <c r="W455" s="1" t="s">
        <v>49</v>
      </c>
      <c r="X455" s="13" t="str">
        <f t="shared" si="54"/>
        <v/>
      </c>
      <c r="Y455" s="2">
        <f t="shared" ca="1" si="49"/>
        <v>196</v>
      </c>
      <c r="Z455" s="14">
        <v>1</v>
      </c>
      <c r="AA455" s="1" t="str">
        <f t="shared" ca="1" si="50"/>
        <v>VENCIDO</v>
      </c>
      <c r="AB455" s="1" t="str">
        <f t="shared" si="51"/>
        <v>C-14</v>
      </c>
      <c r="AC455" s="2" t="str">
        <f t="shared" si="55"/>
        <v xml:space="preserve"> CLEITON </v>
      </c>
      <c r="AD455" s="2">
        <f t="shared" si="52"/>
        <v>5</v>
      </c>
      <c r="AE455" s="2">
        <f t="shared" ca="1" si="53"/>
        <v>-272.2870586805584</v>
      </c>
      <c r="AF455" s="15"/>
    </row>
    <row r="456" spans="1:32" hidden="1">
      <c r="A456" s="1">
        <v>8633745</v>
      </c>
      <c r="B456" s="1" t="s">
        <v>653</v>
      </c>
      <c r="C456" t="s">
        <v>935</v>
      </c>
      <c r="E456" s="2">
        <v>3918001400010</v>
      </c>
      <c r="F456" s="1" t="s">
        <v>936</v>
      </c>
      <c r="G456" s="1" t="s">
        <v>53</v>
      </c>
      <c r="H456" s="1" t="s">
        <v>858</v>
      </c>
      <c r="I456" s="1" t="s">
        <v>859</v>
      </c>
      <c r="J456" s="1" t="s">
        <v>33</v>
      </c>
      <c r="K456" t="s">
        <v>937</v>
      </c>
      <c r="M456" s="1" t="s">
        <v>58</v>
      </c>
      <c r="N456" s="1">
        <v>0</v>
      </c>
      <c r="O456" s="1" t="s">
        <v>105</v>
      </c>
      <c r="P456" s="11" t="s">
        <v>962</v>
      </c>
      <c r="R456" s="1">
        <v>3</v>
      </c>
      <c r="T456" s="1" t="s">
        <v>646</v>
      </c>
      <c r="U456" s="11" t="s">
        <v>963</v>
      </c>
      <c r="V456" s="1" t="s">
        <v>41</v>
      </c>
      <c r="W456" s="1" t="s">
        <v>49</v>
      </c>
      <c r="X456" s="13" t="str">
        <f t="shared" si="54"/>
        <v/>
      </c>
      <c r="Y456" s="2">
        <f t="shared" ca="1" si="49"/>
        <v>196</v>
      </c>
      <c r="Z456" s="14">
        <v>1</v>
      </c>
      <c r="AA456" s="1" t="str">
        <f t="shared" ca="1" si="50"/>
        <v>VENCIDO</v>
      </c>
      <c r="AB456" s="1" t="str">
        <f t="shared" si="51"/>
        <v>C-14</v>
      </c>
      <c r="AC456" s="2" t="str">
        <f t="shared" si="55"/>
        <v xml:space="preserve"> ROSEMERE </v>
      </c>
      <c r="AD456" s="2">
        <f t="shared" si="52"/>
        <v>5</v>
      </c>
      <c r="AE456" s="2">
        <f t="shared" ca="1" si="53"/>
        <v>-272.28762581018236</v>
      </c>
      <c r="AF456" s="15"/>
    </row>
    <row r="457" spans="1:32" hidden="1">
      <c r="A457" s="1">
        <v>8633594</v>
      </c>
      <c r="B457" s="1" t="s">
        <v>653</v>
      </c>
      <c r="C457" t="s">
        <v>935</v>
      </c>
      <c r="E457" s="2">
        <v>3699001400010</v>
      </c>
      <c r="F457" s="1" t="s">
        <v>936</v>
      </c>
      <c r="G457" s="1" t="s">
        <v>53</v>
      </c>
      <c r="H457" s="1" t="s">
        <v>343</v>
      </c>
      <c r="I457" s="1" t="s">
        <v>344</v>
      </c>
      <c r="J457" s="1" t="s">
        <v>46</v>
      </c>
      <c r="K457" t="s">
        <v>937</v>
      </c>
      <c r="M457" s="1" t="s">
        <v>58</v>
      </c>
      <c r="N457" s="1">
        <v>0</v>
      </c>
      <c r="O457" s="1" t="s">
        <v>105</v>
      </c>
      <c r="P457" s="11" t="s">
        <v>964</v>
      </c>
      <c r="R457" s="1">
        <v>3</v>
      </c>
      <c r="T457" s="1" t="s">
        <v>646</v>
      </c>
      <c r="U457" s="11" t="s">
        <v>965</v>
      </c>
      <c r="V457" s="1" t="s">
        <v>41</v>
      </c>
      <c r="W457" s="1" t="s">
        <v>49</v>
      </c>
      <c r="X457" s="13" t="str">
        <f t="shared" si="54"/>
        <v/>
      </c>
      <c r="Y457" s="2">
        <f t="shared" ca="1" si="49"/>
        <v>196</v>
      </c>
      <c r="Z457" s="14">
        <v>1</v>
      </c>
      <c r="AA457" s="1" t="str">
        <f t="shared" ca="1" si="50"/>
        <v>VENCIDO</v>
      </c>
      <c r="AB457" s="1" t="str">
        <f t="shared" si="51"/>
        <v>C-14</v>
      </c>
      <c r="AC457" s="2" t="str">
        <f t="shared" si="55"/>
        <v xml:space="preserve"> CLEITON </v>
      </c>
      <c r="AD457" s="2">
        <f t="shared" si="52"/>
        <v>5</v>
      </c>
      <c r="AE457" s="2">
        <f t="shared" ca="1" si="53"/>
        <v>-272.28791516203637</v>
      </c>
      <c r="AF457" s="15"/>
    </row>
    <row r="458" spans="1:32" hidden="1">
      <c r="A458" s="1">
        <v>8633518</v>
      </c>
      <c r="B458" s="1" t="s">
        <v>653</v>
      </c>
      <c r="C458" t="s">
        <v>935</v>
      </c>
      <c r="E458" s="2">
        <v>3613001400010</v>
      </c>
      <c r="F458" s="1" t="s">
        <v>936</v>
      </c>
      <c r="G458" s="1" t="s">
        <v>53</v>
      </c>
      <c r="H458" s="1" t="s">
        <v>679</v>
      </c>
      <c r="I458" s="1" t="s">
        <v>680</v>
      </c>
      <c r="J458" s="1" t="s">
        <v>46</v>
      </c>
      <c r="K458" t="s">
        <v>937</v>
      </c>
      <c r="M458" s="1" t="s">
        <v>58</v>
      </c>
      <c r="N458" s="1">
        <v>0</v>
      </c>
      <c r="O458" s="1" t="s">
        <v>105</v>
      </c>
      <c r="P458" s="11" t="s">
        <v>966</v>
      </c>
      <c r="R458" s="1">
        <v>3</v>
      </c>
      <c r="T458" s="1" t="s">
        <v>646</v>
      </c>
      <c r="U458" s="11" t="s">
        <v>967</v>
      </c>
      <c r="V458" s="1" t="s">
        <v>41</v>
      </c>
      <c r="W458" s="1" t="s">
        <v>49</v>
      </c>
      <c r="X458" s="13" t="str">
        <f t="shared" si="54"/>
        <v/>
      </c>
      <c r="Y458" s="2">
        <f t="shared" ca="1" si="49"/>
        <v>196</v>
      </c>
      <c r="Z458" s="14">
        <v>1</v>
      </c>
      <c r="AA458" s="1" t="str">
        <f t="shared" ca="1" si="50"/>
        <v>VENCIDO</v>
      </c>
      <c r="AB458" s="1" t="str">
        <f t="shared" si="51"/>
        <v>C-14</v>
      </c>
      <c r="AC458" s="2" t="str">
        <f t="shared" si="55"/>
        <v xml:space="preserve"> CLEITON </v>
      </c>
      <c r="AD458" s="2">
        <f t="shared" si="52"/>
        <v>5</v>
      </c>
      <c r="AE458" s="2">
        <f t="shared" ca="1" si="53"/>
        <v>-272.28810034722119</v>
      </c>
      <c r="AF458" s="15"/>
    </row>
    <row r="459" spans="1:32" hidden="1">
      <c r="A459" s="1">
        <v>8633517</v>
      </c>
      <c r="B459" s="1" t="s">
        <v>653</v>
      </c>
      <c r="C459" t="s">
        <v>935</v>
      </c>
      <c r="E459" s="2">
        <v>3612001400010</v>
      </c>
      <c r="F459" s="1" t="s">
        <v>936</v>
      </c>
      <c r="G459" s="1" t="s">
        <v>53</v>
      </c>
      <c r="H459" s="1" t="s">
        <v>683</v>
      </c>
      <c r="I459" s="1" t="s">
        <v>684</v>
      </c>
      <c r="J459" s="1" t="s">
        <v>46</v>
      </c>
      <c r="K459" t="s">
        <v>937</v>
      </c>
      <c r="M459" s="1" t="s">
        <v>58</v>
      </c>
      <c r="N459" s="1">
        <v>0</v>
      </c>
      <c r="O459" s="1" t="s">
        <v>105</v>
      </c>
      <c r="P459" s="11" t="s">
        <v>966</v>
      </c>
      <c r="R459" s="1">
        <v>3</v>
      </c>
      <c r="T459" s="1" t="s">
        <v>646</v>
      </c>
      <c r="U459" s="11" t="s">
        <v>967</v>
      </c>
      <c r="V459" s="1" t="s">
        <v>41</v>
      </c>
      <c r="W459" s="1" t="s">
        <v>49</v>
      </c>
      <c r="X459" s="13" t="str">
        <f t="shared" si="54"/>
        <v/>
      </c>
      <c r="Y459" s="2">
        <f t="shared" ca="1" si="49"/>
        <v>196</v>
      </c>
      <c r="Z459" s="14">
        <v>1</v>
      </c>
      <c r="AA459" s="1" t="str">
        <f t="shared" ca="1" si="50"/>
        <v>VENCIDO</v>
      </c>
      <c r="AB459" s="1" t="str">
        <f t="shared" si="51"/>
        <v>C-14</v>
      </c>
      <c r="AC459" s="2" t="str">
        <f t="shared" si="55"/>
        <v xml:space="preserve"> CLEITON </v>
      </c>
      <c r="AD459" s="2">
        <f t="shared" si="52"/>
        <v>5</v>
      </c>
      <c r="AE459" s="2">
        <f t="shared" ca="1" si="53"/>
        <v>-272.28810034722119</v>
      </c>
      <c r="AF459" s="15"/>
    </row>
    <row r="460" spans="1:32" hidden="1">
      <c r="A460" s="1">
        <v>8633446</v>
      </c>
      <c r="B460" s="1" t="s">
        <v>653</v>
      </c>
      <c r="C460" t="s">
        <v>935</v>
      </c>
      <c r="E460" s="2">
        <v>3504001400010</v>
      </c>
      <c r="F460" s="1" t="s">
        <v>936</v>
      </c>
      <c r="G460" s="1" t="s">
        <v>53</v>
      </c>
      <c r="H460" s="1" t="s">
        <v>585</v>
      </c>
      <c r="I460" s="1" t="s">
        <v>586</v>
      </c>
      <c r="J460" s="1" t="s">
        <v>46</v>
      </c>
      <c r="K460" t="s">
        <v>937</v>
      </c>
      <c r="M460" s="1" t="s">
        <v>58</v>
      </c>
      <c r="N460" s="1">
        <v>0</v>
      </c>
      <c r="O460" s="1" t="s">
        <v>105</v>
      </c>
      <c r="P460" s="11" t="s">
        <v>968</v>
      </c>
      <c r="R460" s="1">
        <v>3</v>
      </c>
      <c r="T460" s="1" t="s">
        <v>646</v>
      </c>
      <c r="U460" s="11" t="s">
        <v>969</v>
      </c>
      <c r="V460" s="1" t="s">
        <v>41</v>
      </c>
      <c r="W460" s="1" t="s">
        <v>49</v>
      </c>
      <c r="X460" s="13" t="str">
        <f t="shared" si="54"/>
        <v/>
      </c>
      <c r="Y460" s="2">
        <f t="shared" ca="1" si="49"/>
        <v>196</v>
      </c>
      <c r="Z460" s="14">
        <v>1</v>
      </c>
      <c r="AA460" s="1" t="str">
        <f t="shared" ca="1" si="50"/>
        <v>VENCIDO</v>
      </c>
      <c r="AB460" s="1" t="str">
        <f t="shared" si="51"/>
        <v>C-14</v>
      </c>
      <c r="AC460" s="2" t="str">
        <f t="shared" si="55"/>
        <v xml:space="preserve"> CLEITON </v>
      </c>
      <c r="AD460" s="2">
        <f t="shared" si="52"/>
        <v>5</v>
      </c>
      <c r="AE460" s="2">
        <f t="shared" ca="1" si="53"/>
        <v>-272.2882739583365</v>
      </c>
      <c r="AF460" s="15"/>
    </row>
    <row r="461" spans="1:32" hidden="1">
      <c r="A461" s="1">
        <v>8633445</v>
      </c>
      <c r="B461" s="1" t="s">
        <v>653</v>
      </c>
      <c r="C461" t="s">
        <v>935</v>
      </c>
      <c r="E461" s="2">
        <v>3503001400010</v>
      </c>
      <c r="F461" s="1" t="s">
        <v>936</v>
      </c>
      <c r="G461" s="1" t="s">
        <v>53</v>
      </c>
      <c r="H461" s="1" t="s">
        <v>398</v>
      </c>
      <c r="I461" s="1" t="s">
        <v>399</v>
      </c>
      <c r="J461" s="1" t="s">
        <v>46</v>
      </c>
      <c r="K461" t="s">
        <v>937</v>
      </c>
      <c r="M461" s="1" t="s">
        <v>58</v>
      </c>
      <c r="N461" s="1">
        <v>0</v>
      </c>
      <c r="O461" s="1" t="s">
        <v>105</v>
      </c>
      <c r="P461" s="11" t="s">
        <v>968</v>
      </c>
      <c r="R461" s="1">
        <v>3</v>
      </c>
      <c r="T461" s="1" t="s">
        <v>646</v>
      </c>
      <c r="U461" s="186">
        <v>44714.387997685182</v>
      </c>
      <c r="V461" s="1" t="s">
        <v>41</v>
      </c>
      <c r="W461" s="1" t="s">
        <v>49</v>
      </c>
      <c r="X461" s="13" t="str">
        <f t="shared" si="54"/>
        <v/>
      </c>
      <c r="Y461" s="2">
        <f t="shared" ca="1" si="49"/>
        <v>196</v>
      </c>
      <c r="Z461" s="14">
        <v>1</v>
      </c>
      <c r="AA461" s="1" t="str">
        <f t="shared" ca="1" si="50"/>
        <v>VENCIDO</v>
      </c>
      <c r="AB461" s="1" t="str">
        <f t="shared" si="51"/>
        <v>C-14</v>
      </c>
      <c r="AC461" s="2" t="str">
        <f t="shared" si="55"/>
        <v xml:space="preserve"> CLEITON </v>
      </c>
      <c r="AD461" s="2">
        <f t="shared" si="52"/>
        <v>5</v>
      </c>
      <c r="AE461" s="2">
        <f t="shared" ca="1" si="53"/>
        <v>-272.2882739583365</v>
      </c>
      <c r="AF461" s="15"/>
    </row>
    <row r="462" spans="1:32" hidden="1">
      <c r="A462" s="1">
        <v>8633297</v>
      </c>
      <c r="B462" s="1" t="s">
        <v>653</v>
      </c>
      <c r="C462" t="s">
        <v>935</v>
      </c>
      <c r="E462" s="2">
        <v>3258001400010</v>
      </c>
      <c r="F462" s="1" t="s">
        <v>936</v>
      </c>
      <c r="G462" s="1" t="s">
        <v>53</v>
      </c>
      <c r="H462" s="1" t="s">
        <v>321</v>
      </c>
      <c r="I462" s="1" t="s">
        <v>322</v>
      </c>
      <c r="J462" s="1" t="s">
        <v>46</v>
      </c>
      <c r="K462" t="s">
        <v>937</v>
      </c>
      <c r="M462" s="1" t="s">
        <v>58</v>
      </c>
      <c r="N462" s="1">
        <v>0</v>
      </c>
      <c r="O462" s="1" t="s">
        <v>105</v>
      </c>
      <c r="P462" s="11" t="s">
        <v>970</v>
      </c>
      <c r="R462" s="1">
        <v>3</v>
      </c>
      <c r="T462" s="1" t="s">
        <v>646</v>
      </c>
      <c r="U462" s="186">
        <v>44714.387743055559</v>
      </c>
      <c r="V462" s="1" t="s">
        <v>41</v>
      </c>
      <c r="W462" s="1" t="s">
        <v>49</v>
      </c>
      <c r="X462" s="13" t="str">
        <f t="shared" si="54"/>
        <v/>
      </c>
      <c r="Y462" s="2">
        <f t="shared" ca="1" si="49"/>
        <v>196</v>
      </c>
      <c r="Z462" s="14">
        <v>1</v>
      </c>
      <c r="AA462" s="1" t="str">
        <f t="shared" ca="1" si="50"/>
        <v>VENCIDO</v>
      </c>
      <c r="AB462" s="1" t="str">
        <f t="shared" si="51"/>
        <v>C-14</v>
      </c>
      <c r="AC462" s="2" t="str">
        <f t="shared" si="55"/>
        <v xml:space="preserve"> CLEITON </v>
      </c>
      <c r="AD462" s="2">
        <f t="shared" si="52"/>
        <v>5</v>
      </c>
      <c r="AE462" s="2">
        <f t="shared" ca="1" si="53"/>
        <v>-272.28852858796017</v>
      </c>
      <c r="AF462" s="15"/>
    </row>
    <row r="463" spans="1:32" hidden="1">
      <c r="A463" s="1">
        <v>8633288</v>
      </c>
      <c r="B463" s="1" t="s">
        <v>653</v>
      </c>
      <c r="C463" t="s">
        <v>935</v>
      </c>
      <c r="E463" s="2">
        <v>3250001400010</v>
      </c>
      <c r="F463" s="1" t="s">
        <v>936</v>
      </c>
      <c r="G463" s="1" t="s">
        <v>53</v>
      </c>
      <c r="H463" s="1" t="s">
        <v>371</v>
      </c>
      <c r="I463" s="1" t="s">
        <v>372</v>
      </c>
      <c r="J463" s="1" t="s">
        <v>46</v>
      </c>
      <c r="K463" t="s">
        <v>937</v>
      </c>
      <c r="M463" s="1" t="s">
        <v>58</v>
      </c>
      <c r="N463" s="1">
        <v>0</v>
      </c>
      <c r="O463" s="1" t="s">
        <v>105</v>
      </c>
      <c r="P463" s="11" t="s">
        <v>972</v>
      </c>
      <c r="R463" s="1">
        <v>3</v>
      </c>
      <c r="T463" s="1" t="s">
        <v>646</v>
      </c>
      <c r="U463" s="186">
        <v>44714.387731481482</v>
      </c>
      <c r="V463" s="1" t="s">
        <v>41</v>
      </c>
      <c r="W463" s="1" t="s">
        <v>49</v>
      </c>
      <c r="X463" s="13" t="str">
        <f t="shared" si="54"/>
        <v/>
      </c>
      <c r="Y463" s="2">
        <f t="shared" ca="1" si="49"/>
        <v>196</v>
      </c>
      <c r="Z463" s="14">
        <v>1</v>
      </c>
      <c r="AA463" s="1" t="str">
        <f t="shared" ca="1" si="50"/>
        <v>VENCIDO</v>
      </c>
      <c r="AB463" s="1" t="str">
        <f t="shared" si="51"/>
        <v>C-14</v>
      </c>
      <c r="AC463" s="2" t="str">
        <f t="shared" si="55"/>
        <v xml:space="preserve"> CLEITON </v>
      </c>
      <c r="AD463" s="2">
        <f t="shared" si="52"/>
        <v>5</v>
      </c>
      <c r="AE463" s="2">
        <f t="shared" ca="1" si="53"/>
        <v>-272.28854016203695</v>
      </c>
      <c r="AF463" s="15"/>
    </row>
    <row r="464" spans="1:32" hidden="1">
      <c r="A464" s="1">
        <v>8633283</v>
      </c>
      <c r="B464" s="1" t="s">
        <v>653</v>
      </c>
      <c r="C464" t="s">
        <v>935</v>
      </c>
      <c r="E464" s="2">
        <v>3243001400010</v>
      </c>
      <c r="F464" s="1" t="s">
        <v>936</v>
      </c>
      <c r="G464" s="1" t="s">
        <v>53</v>
      </c>
      <c r="H464" s="1" t="s">
        <v>282</v>
      </c>
      <c r="I464" s="1" t="s">
        <v>283</v>
      </c>
      <c r="J464" s="1" t="s">
        <v>46</v>
      </c>
      <c r="K464" t="s">
        <v>937</v>
      </c>
      <c r="M464" s="1" t="s">
        <v>58</v>
      </c>
      <c r="N464" s="1">
        <v>0</v>
      </c>
      <c r="O464" s="1" t="s">
        <v>105</v>
      </c>
      <c r="P464" s="11" t="s">
        <v>974</v>
      </c>
      <c r="R464" s="1">
        <v>3</v>
      </c>
      <c r="T464" s="1" t="s">
        <v>646</v>
      </c>
      <c r="U464" s="186">
        <v>44714.387719907405</v>
      </c>
      <c r="V464" s="1" t="s">
        <v>41</v>
      </c>
      <c r="W464" s="1" t="s">
        <v>49</v>
      </c>
      <c r="X464" s="13" t="str">
        <f t="shared" si="54"/>
        <v/>
      </c>
      <c r="Y464" s="2">
        <f t="shared" ca="1" si="49"/>
        <v>196</v>
      </c>
      <c r="Z464" s="14">
        <v>1</v>
      </c>
      <c r="AA464" s="1" t="str">
        <f t="shared" ca="1" si="50"/>
        <v>VENCIDO</v>
      </c>
      <c r="AB464" s="1" t="str">
        <f t="shared" si="51"/>
        <v>C-14</v>
      </c>
      <c r="AC464" s="2" t="str">
        <f t="shared" si="55"/>
        <v xml:space="preserve"> CLEITON </v>
      </c>
      <c r="AD464" s="2">
        <f t="shared" si="52"/>
        <v>5</v>
      </c>
      <c r="AE464" s="2">
        <f t="shared" ca="1" si="53"/>
        <v>-272.28855173611373</v>
      </c>
      <c r="AF464" s="15"/>
    </row>
    <row r="465" spans="1:32" hidden="1">
      <c r="A465" s="1">
        <v>8633279</v>
      </c>
      <c r="B465" s="1" t="s">
        <v>653</v>
      </c>
      <c r="C465" t="s">
        <v>935</v>
      </c>
      <c r="E465" s="2">
        <v>3234171400010</v>
      </c>
      <c r="F465" s="1" t="s">
        <v>936</v>
      </c>
      <c r="G465" s="1" t="s">
        <v>53</v>
      </c>
      <c r="H465" s="1" t="s">
        <v>799</v>
      </c>
      <c r="I465" s="1" t="s">
        <v>800</v>
      </c>
      <c r="J465" s="1" t="s">
        <v>46</v>
      </c>
      <c r="K465" t="s">
        <v>937</v>
      </c>
      <c r="M465" s="1" t="s">
        <v>58</v>
      </c>
      <c r="N465" s="1">
        <v>0</v>
      </c>
      <c r="O465" s="1" t="s">
        <v>105</v>
      </c>
      <c r="P465" s="11" t="s">
        <v>974</v>
      </c>
      <c r="R465" s="1">
        <v>3</v>
      </c>
      <c r="T465" s="1" t="s">
        <v>646</v>
      </c>
      <c r="U465" s="186">
        <v>44714.387719907405</v>
      </c>
      <c r="V465" s="1" t="s">
        <v>41</v>
      </c>
      <c r="W465" s="1" t="s">
        <v>49</v>
      </c>
      <c r="X465" s="13" t="str">
        <f t="shared" si="54"/>
        <v>3234.17</v>
      </c>
      <c r="Y465" s="2">
        <f t="shared" ca="1" si="49"/>
        <v>196</v>
      </c>
      <c r="Z465" s="14">
        <v>1</v>
      </c>
      <c r="AA465" s="1" t="str">
        <f t="shared" ca="1" si="50"/>
        <v>VENCIDO</v>
      </c>
      <c r="AB465" s="1" t="str">
        <f t="shared" si="51"/>
        <v>C-14</v>
      </c>
      <c r="AC465" s="2" t="str">
        <f t="shared" si="55"/>
        <v xml:space="preserve"> CLEITON </v>
      </c>
      <c r="AD465" s="2">
        <f t="shared" si="52"/>
        <v>5</v>
      </c>
      <c r="AE465" s="2">
        <f t="shared" ca="1" si="53"/>
        <v>-272.28855173611373</v>
      </c>
      <c r="AF465" s="15"/>
    </row>
    <row r="466" spans="1:32" hidden="1">
      <c r="A466" s="1">
        <v>8633278</v>
      </c>
      <c r="B466" s="1" t="s">
        <v>653</v>
      </c>
      <c r="C466" t="s">
        <v>935</v>
      </c>
      <c r="E466" s="2">
        <v>3234161400010</v>
      </c>
      <c r="F466" s="1" t="s">
        <v>936</v>
      </c>
      <c r="G466" s="1" t="s">
        <v>53</v>
      </c>
      <c r="H466" s="1" t="s">
        <v>499</v>
      </c>
      <c r="I466" s="1" t="s">
        <v>500</v>
      </c>
      <c r="J466" s="1" t="s">
        <v>46</v>
      </c>
      <c r="K466" t="s">
        <v>937</v>
      </c>
      <c r="M466" s="1" t="s">
        <v>58</v>
      </c>
      <c r="N466" s="1">
        <v>0</v>
      </c>
      <c r="O466" s="1" t="s">
        <v>105</v>
      </c>
      <c r="P466" s="11" t="s">
        <v>976</v>
      </c>
      <c r="R466" s="1">
        <v>3</v>
      </c>
      <c r="T466" s="1" t="s">
        <v>646</v>
      </c>
      <c r="U466" s="186">
        <v>44714.387719907405</v>
      </c>
      <c r="V466" s="1" t="s">
        <v>41</v>
      </c>
      <c r="W466" s="1" t="s">
        <v>49</v>
      </c>
      <c r="X466" s="13" t="str">
        <f t="shared" si="54"/>
        <v>3234.16</v>
      </c>
      <c r="Y466" s="2">
        <f t="shared" ca="1" si="49"/>
        <v>196</v>
      </c>
      <c r="Z466" s="14">
        <v>1</v>
      </c>
      <c r="AA466" s="1" t="str">
        <f t="shared" ca="1" si="50"/>
        <v>VENCIDO</v>
      </c>
      <c r="AB466" s="1" t="str">
        <f t="shared" si="51"/>
        <v>C-14</v>
      </c>
      <c r="AC466" s="2" t="str">
        <f t="shared" si="55"/>
        <v xml:space="preserve"> CLEITON </v>
      </c>
      <c r="AD466" s="2">
        <f t="shared" si="52"/>
        <v>5</v>
      </c>
      <c r="AE466" s="2">
        <f t="shared" ca="1" si="53"/>
        <v>-272.28855173611373</v>
      </c>
      <c r="AF466" s="15"/>
    </row>
    <row r="467" spans="1:32" hidden="1">
      <c r="A467" s="1">
        <v>8633277</v>
      </c>
      <c r="B467" s="1" t="s">
        <v>653</v>
      </c>
      <c r="C467" t="s">
        <v>935</v>
      </c>
      <c r="E467" s="2">
        <v>3234151400010</v>
      </c>
      <c r="F467" s="1" t="s">
        <v>936</v>
      </c>
      <c r="G467" s="1" t="s">
        <v>53</v>
      </c>
      <c r="H467" s="1" t="s">
        <v>629</v>
      </c>
      <c r="I467" s="1" t="s">
        <v>630</v>
      </c>
      <c r="J467" s="1" t="s">
        <v>46</v>
      </c>
      <c r="K467" t="s">
        <v>937</v>
      </c>
      <c r="M467" s="1" t="s">
        <v>58</v>
      </c>
      <c r="N467" s="1">
        <v>0</v>
      </c>
      <c r="O467" s="1" t="s">
        <v>105</v>
      </c>
      <c r="P467" s="11" t="s">
        <v>976</v>
      </c>
      <c r="R467" s="1">
        <v>3</v>
      </c>
      <c r="T467" s="1" t="s">
        <v>646</v>
      </c>
      <c r="U467" s="186">
        <v>44714.387708333335</v>
      </c>
      <c r="V467" s="1" t="s">
        <v>41</v>
      </c>
      <c r="W467" s="1" t="s">
        <v>49</v>
      </c>
      <c r="X467" s="13" t="str">
        <f t="shared" si="54"/>
        <v>3234.15</v>
      </c>
      <c r="Y467" s="2">
        <f t="shared" ca="1" si="49"/>
        <v>196</v>
      </c>
      <c r="Z467" s="14">
        <v>1</v>
      </c>
      <c r="AA467" s="1" t="str">
        <f t="shared" ca="1" si="50"/>
        <v>VENCIDO</v>
      </c>
      <c r="AB467" s="1" t="str">
        <f t="shared" si="51"/>
        <v>C-14</v>
      </c>
      <c r="AC467" s="2" t="str">
        <f t="shared" si="55"/>
        <v xml:space="preserve"> CLEITON </v>
      </c>
      <c r="AD467" s="2">
        <f t="shared" si="52"/>
        <v>5</v>
      </c>
      <c r="AE467" s="2">
        <f t="shared" ca="1" si="53"/>
        <v>-272.28856331018324</v>
      </c>
      <c r="AF467" s="15"/>
    </row>
    <row r="468" spans="1:32" hidden="1">
      <c r="A468" s="1">
        <v>8633187</v>
      </c>
      <c r="B468" s="1" t="s">
        <v>653</v>
      </c>
      <c r="C468" t="s">
        <v>935</v>
      </c>
      <c r="E468" s="2">
        <v>3108011400010</v>
      </c>
      <c r="F468" s="1" t="s">
        <v>936</v>
      </c>
      <c r="G468" s="1" t="s">
        <v>53</v>
      </c>
      <c r="H468" s="1" t="s">
        <v>503</v>
      </c>
      <c r="I468" s="1" t="s">
        <v>504</v>
      </c>
      <c r="J468" s="1" t="s">
        <v>46</v>
      </c>
      <c r="K468" t="s">
        <v>937</v>
      </c>
      <c r="M468" s="1" t="s">
        <v>58</v>
      </c>
      <c r="N468" s="1">
        <v>0</v>
      </c>
      <c r="O468" s="1" t="s">
        <v>105</v>
      </c>
      <c r="P468" s="11" t="s">
        <v>978</v>
      </c>
      <c r="R468" s="1">
        <v>3</v>
      </c>
      <c r="T468" s="1" t="s">
        <v>646</v>
      </c>
      <c r="U468" s="186">
        <v>44714.387546296297</v>
      </c>
      <c r="V468" s="1" t="s">
        <v>41</v>
      </c>
      <c r="W468" s="1" t="s">
        <v>49</v>
      </c>
      <c r="X468" s="13" t="str">
        <f t="shared" si="54"/>
        <v>3108.01</v>
      </c>
      <c r="Y468" s="2">
        <f t="shared" ca="1" si="49"/>
        <v>196</v>
      </c>
      <c r="Z468" s="14">
        <v>1</v>
      </c>
      <c r="AA468" s="1" t="str">
        <f t="shared" ca="1" si="50"/>
        <v>VENCIDO</v>
      </c>
      <c r="AB468" s="1" t="str">
        <f t="shared" si="51"/>
        <v>C-14</v>
      </c>
      <c r="AC468" s="2" t="str">
        <f t="shared" si="55"/>
        <v xml:space="preserve"> CLEITON </v>
      </c>
      <c r="AD468" s="2">
        <f t="shared" si="52"/>
        <v>5</v>
      </c>
      <c r="AE468" s="2">
        <f t="shared" ca="1" si="53"/>
        <v>-272.28872534722177</v>
      </c>
      <c r="AF468" s="15"/>
    </row>
    <row r="469" spans="1:32" hidden="1">
      <c r="A469" s="1">
        <v>8633186</v>
      </c>
      <c r="B469" s="1" t="s">
        <v>653</v>
      </c>
      <c r="C469" t="s">
        <v>935</v>
      </c>
      <c r="E469" s="2">
        <v>3108001400010</v>
      </c>
      <c r="F469" s="1" t="s">
        <v>936</v>
      </c>
      <c r="G469" s="1" t="s">
        <v>53</v>
      </c>
      <c r="H469" s="1" t="s">
        <v>325</v>
      </c>
      <c r="I469" s="1" t="s">
        <v>326</v>
      </c>
      <c r="J469" s="1" t="s">
        <v>46</v>
      </c>
      <c r="K469" t="s">
        <v>937</v>
      </c>
      <c r="M469" s="1" t="s">
        <v>58</v>
      </c>
      <c r="N469" s="1">
        <v>0</v>
      </c>
      <c r="O469" s="1" t="s">
        <v>105</v>
      </c>
      <c r="P469" s="11" t="s">
        <v>978</v>
      </c>
      <c r="R469" s="1">
        <v>3</v>
      </c>
      <c r="T469" s="1" t="s">
        <v>646</v>
      </c>
      <c r="U469" s="186">
        <v>44714.387546296297</v>
      </c>
      <c r="V469" s="1" t="s">
        <v>41</v>
      </c>
      <c r="W469" s="1" t="s">
        <v>49</v>
      </c>
      <c r="X469" s="13" t="str">
        <f t="shared" si="54"/>
        <v/>
      </c>
      <c r="Y469" s="2">
        <f t="shared" ca="1" si="49"/>
        <v>196</v>
      </c>
      <c r="Z469" s="14">
        <v>1</v>
      </c>
      <c r="AA469" s="1" t="str">
        <f t="shared" ca="1" si="50"/>
        <v>VENCIDO</v>
      </c>
      <c r="AB469" s="1" t="str">
        <f t="shared" si="51"/>
        <v>C-14</v>
      </c>
      <c r="AC469" s="2" t="str">
        <f t="shared" si="55"/>
        <v xml:space="preserve"> CLEITON </v>
      </c>
      <c r="AD469" s="2">
        <f t="shared" si="52"/>
        <v>5</v>
      </c>
      <c r="AE469" s="2">
        <f t="shared" ca="1" si="53"/>
        <v>-272.28872534722177</v>
      </c>
      <c r="AF469" s="15"/>
    </row>
    <row r="470" spans="1:32" hidden="1">
      <c r="A470" s="1">
        <v>8633096</v>
      </c>
      <c r="B470" s="1" t="s">
        <v>653</v>
      </c>
      <c r="C470" t="s">
        <v>935</v>
      </c>
      <c r="E470" s="2">
        <v>2988001400010</v>
      </c>
      <c r="F470" s="1" t="s">
        <v>936</v>
      </c>
      <c r="G470" s="1" t="s">
        <v>53</v>
      </c>
      <c r="H470" s="1" t="s">
        <v>536</v>
      </c>
      <c r="I470" s="1" t="s">
        <v>537</v>
      </c>
      <c r="J470" s="1" t="s">
        <v>46</v>
      </c>
      <c r="K470" t="s">
        <v>937</v>
      </c>
      <c r="M470" s="1" t="s">
        <v>58</v>
      </c>
      <c r="N470" s="1">
        <v>0</v>
      </c>
      <c r="O470" s="1" t="s">
        <v>105</v>
      </c>
      <c r="P470" s="11" t="s">
        <v>980</v>
      </c>
      <c r="R470" s="1">
        <v>3</v>
      </c>
      <c r="T470" s="1" t="s">
        <v>646</v>
      </c>
      <c r="U470" s="186">
        <v>44714.387372685182</v>
      </c>
      <c r="V470" s="1" t="s">
        <v>41</v>
      </c>
      <c r="W470" s="1" t="s">
        <v>49</v>
      </c>
      <c r="X470" s="13" t="str">
        <f t="shared" si="54"/>
        <v/>
      </c>
      <c r="Y470" s="2">
        <f t="shared" ca="1" si="49"/>
        <v>196</v>
      </c>
      <c r="Z470" s="14">
        <v>1</v>
      </c>
      <c r="AA470" s="1" t="str">
        <f t="shared" ca="1" si="50"/>
        <v>VENCIDO</v>
      </c>
      <c r="AB470" s="1" t="str">
        <f t="shared" si="51"/>
        <v>C-14</v>
      </c>
      <c r="AC470" s="2" t="str">
        <f t="shared" si="55"/>
        <v xml:space="preserve"> CLEITON </v>
      </c>
      <c r="AD470" s="2">
        <f t="shared" si="52"/>
        <v>5</v>
      </c>
      <c r="AE470" s="2">
        <f t="shared" ca="1" si="53"/>
        <v>-272.28889895833709</v>
      </c>
      <c r="AF470" s="15"/>
    </row>
    <row r="471" spans="1:32" hidden="1">
      <c r="A471" s="1">
        <v>8633016</v>
      </c>
      <c r="B471" s="1" t="s">
        <v>653</v>
      </c>
      <c r="C471" t="s">
        <v>935</v>
      </c>
      <c r="E471" s="2">
        <v>2889001400010</v>
      </c>
      <c r="F471" s="1" t="s">
        <v>936</v>
      </c>
      <c r="G471" s="1" t="s">
        <v>53</v>
      </c>
      <c r="H471" s="1" t="s">
        <v>418</v>
      </c>
      <c r="I471" s="1" t="s">
        <v>419</v>
      </c>
      <c r="J471" s="1" t="s">
        <v>46</v>
      </c>
      <c r="K471" t="s">
        <v>937</v>
      </c>
      <c r="M471" s="1" t="s">
        <v>58</v>
      </c>
      <c r="N471" s="1">
        <v>0</v>
      </c>
      <c r="O471" s="1" t="s">
        <v>105</v>
      </c>
      <c r="P471" s="11" t="s">
        <v>982</v>
      </c>
      <c r="R471" s="1">
        <v>3</v>
      </c>
      <c r="T471" s="1" t="s">
        <v>646</v>
      </c>
      <c r="U471" s="186">
        <v>44714.38721064815</v>
      </c>
      <c r="V471" s="1" t="s">
        <v>41</v>
      </c>
      <c r="W471" s="1" t="s">
        <v>49</v>
      </c>
      <c r="X471" s="13" t="str">
        <f t="shared" si="54"/>
        <v/>
      </c>
      <c r="Y471" s="2">
        <f t="shared" ca="1" si="49"/>
        <v>196</v>
      </c>
      <c r="Z471" s="14">
        <v>1</v>
      </c>
      <c r="AA471" s="1" t="str">
        <f t="shared" ca="1" si="50"/>
        <v>VENCIDO</v>
      </c>
      <c r="AB471" s="1" t="str">
        <f t="shared" si="51"/>
        <v>C-14</v>
      </c>
      <c r="AC471" s="2" t="str">
        <f t="shared" si="55"/>
        <v xml:space="preserve"> CLEITON </v>
      </c>
      <c r="AD471" s="2">
        <f t="shared" si="52"/>
        <v>5</v>
      </c>
      <c r="AE471" s="2">
        <f t="shared" ca="1" si="53"/>
        <v>-272.28906099536835</v>
      </c>
      <c r="AF471" s="15"/>
    </row>
    <row r="472" spans="1:32" hidden="1">
      <c r="A472" s="1">
        <v>8632974</v>
      </c>
      <c r="B472" s="1" t="s">
        <v>653</v>
      </c>
      <c r="C472" t="s">
        <v>935</v>
      </c>
      <c r="E472" s="2">
        <v>2830001400010</v>
      </c>
      <c r="F472" s="1" t="s">
        <v>936</v>
      </c>
      <c r="G472" s="1" t="s">
        <v>53</v>
      </c>
      <c r="H472" s="1" t="s">
        <v>448</v>
      </c>
      <c r="I472" s="1" t="s">
        <v>449</v>
      </c>
      <c r="J472" s="1" t="s">
        <v>33</v>
      </c>
      <c r="K472" t="s">
        <v>937</v>
      </c>
      <c r="M472" s="1" t="s">
        <v>58</v>
      </c>
      <c r="N472" s="1">
        <v>0</v>
      </c>
      <c r="O472" s="1" t="s">
        <v>105</v>
      </c>
      <c r="P472" s="11" t="s">
        <v>984</v>
      </c>
      <c r="R472" s="1">
        <v>3</v>
      </c>
      <c r="T472" s="1" t="s">
        <v>646</v>
      </c>
      <c r="U472" s="186">
        <v>44714.387164351851</v>
      </c>
      <c r="V472" s="1" t="s">
        <v>41</v>
      </c>
      <c r="W472" s="1" t="s">
        <v>42</v>
      </c>
      <c r="X472" s="13" t="str">
        <f t="shared" si="54"/>
        <v/>
      </c>
      <c r="Y472" s="2">
        <f t="shared" ca="1" si="49"/>
        <v>196</v>
      </c>
      <c r="Z472" s="14">
        <v>1</v>
      </c>
      <c r="AA472" s="1" t="str">
        <f t="shared" ca="1" si="50"/>
        <v>VENCIDO</v>
      </c>
      <c r="AB472" s="1" t="str">
        <f t="shared" si="51"/>
        <v>C-14</v>
      </c>
      <c r="AC472" s="2" t="str">
        <f t="shared" si="55"/>
        <v xml:space="preserve"> ROSEMERE </v>
      </c>
      <c r="AD472" s="2">
        <f t="shared" si="52"/>
        <v>5</v>
      </c>
      <c r="AE472" s="2">
        <f t="shared" ca="1" si="53"/>
        <v>-272.28910729166819</v>
      </c>
      <c r="AF472" s="15"/>
    </row>
    <row r="473" spans="1:32" hidden="1">
      <c r="A473" s="1">
        <v>8632958</v>
      </c>
      <c r="B473" s="1" t="s">
        <v>653</v>
      </c>
      <c r="C473" t="s">
        <v>935</v>
      </c>
      <c r="E473" s="2">
        <v>2811001400010</v>
      </c>
      <c r="F473" s="1" t="s">
        <v>936</v>
      </c>
      <c r="G473" s="1" t="s">
        <v>53</v>
      </c>
      <c r="H473" s="1" t="s">
        <v>44</v>
      </c>
      <c r="I473" s="1" t="s">
        <v>45</v>
      </c>
      <c r="J473" s="1" t="s">
        <v>46</v>
      </c>
      <c r="K473" t="s">
        <v>937</v>
      </c>
      <c r="M473" s="1" t="s">
        <v>58</v>
      </c>
      <c r="N473" s="1">
        <v>0</v>
      </c>
      <c r="O473" s="1" t="s">
        <v>105</v>
      </c>
      <c r="P473" s="11" t="s">
        <v>986</v>
      </c>
      <c r="R473" s="1">
        <v>3</v>
      </c>
      <c r="T473" s="1" t="s">
        <v>646</v>
      </c>
      <c r="U473" s="186">
        <v>44714.387141203704</v>
      </c>
      <c r="V473" s="1" t="s">
        <v>41</v>
      </c>
      <c r="W473" s="1" t="s">
        <v>49</v>
      </c>
      <c r="X473" s="13" t="str">
        <f t="shared" si="54"/>
        <v/>
      </c>
      <c r="Y473" s="2">
        <f t="shared" ca="1" si="49"/>
        <v>196</v>
      </c>
      <c r="Z473" s="14">
        <v>1</v>
      </c>
      <c r="AA473" s="1" t="str">
        <f t="shared" ca="1" si="50"/>
        <v>VENCIDO</v>
      </c>
      <c r="AB473" s="1" t="str">
        <f t="shared" si="51"/>
        <v>C-14</v>
      </c>
      <c r="AC473" s="2" t="str">
        <f t="shared" si="55"/>
        <v xml:space="preserve"> CLEITON </v>
      </c>
      <c r="AD473" s="2">
        <f t="shared" si="52"/>
        <v>5</v>
      </c>
      <c r="AE473" s="2">
        <f t="shared" ca="1" si="53"/>
        <v>-272.28913043981447</v>
      </c>
      <c r="AF473" s="15"/>
    </row>
    <row r="474" spans="1:32" hidden="1">
      <c r="A474" s="1">
        <v>8632950</v>
      </c>
      <c r="B474" s="1" t="s">
        <v>653</v>
      </c>
      <c r="C474" t="s">
        <v>935</v>
      </c>
      <c r="E474" s="2">
        <v>2802001400010</v>
      </c>
      <c r="F474" s="1" t="s">
        <v>936</v>
      </c>
      <c r="G474" s="1" t="s">
        <v>53</v>
      </c>
      <c r="H474" s="1" t="s">
        <v>388</v>
      </c>
      <c r="I474" s="1" t="s">
        <v>389</v>
      </c>
      <c r="J474" s="1" t="s">
        <v>46</v>
      </c>
      <c r="K474" t="s">
        <v>937</v>
      </c>
      <c r="M474" s="1" t="s">
        <v>58</v>
      </c>
      <c r="N474" s="1">
        <v>0</v>
      </c>
      <c r="O474" s="1" t="s">
        <v>105</v>
      </c>
      <c r="P474" s="11" t="s">
        <v>988</v>
      </c>
      <c r="R474" s="1">
        <v>3</v>
      </c>
      <c r="T474" s="1" t="s">
        <v>646</v>
      </c>
      <c r="U474" s="186">
        <v>44714.387071759258</v>
      </c>
      <c r="V474" s="1" t="s">
        <v>41</v>
      </c>
      <c r="W474" s="1" t="s">
        <v>49</v>
      </c>
      <c r="X474" s="13" t="str">
        <f t="shared" si="54"/>
        <v/>
      </c>
      <c r="Y474" s="2">
        <f t="shared" ca="1" si="49"/>
        <v>196</v>
      </c>
      <c r="Z474" s="14">
        <v>1</v>
      </c>
      <c r="AA474" s="1" t="str">
        <f t="shared" ca="1" si="50"/>
        <v>VENCIDO</v>
      </c>
      <c r="AB474" s="1" t="str">
        <f t="shared" si="51"/>
        <v>C-14</v>
      </c>
      <c r="AC474" s="2" t="str">
        <f t="shared" si="55"/>
        <v xml:space="preserve"> CLEITON </v>
      </c>
      <c r="AD474" s="2">
        <f t="shared" si="52"/>
        <v>5</v>
      </c>
      <c r="AE474" s="2">
        <f t="shared" ca="1" si="53"/>
        <v>-272.2891998842606</v>
      </c>
      <c r="AF474" s="15"/>
    </row>
    <row r="475" spans="1:32" hidden="1">
      <c r="A475" s="1">
        <v>8632849</v>
      </c>
      <c r="B475" s="1" t="s">
        <v>653</v>
      </c>
      <c r="C475" t="s">
        <v>935</v>
      </c>
      <c r="E475" s="2">
        <v>2683001400010</v>
      </c>
      <c r="F475" s="1" t="s">
        <v>936</v>
      </c>
      <c r="G475" s="1" t="s">
        <v>53</v>
      </c>
      <c r="H475" s="1" t="s">
        <v>276</v>
      </c>
      <c r="I475" s="1" t="s">
        <v>277</v>
      </c>
      <c r="J475" s="1" t="s">
        <v>90</v>
      </c>
      <c r="K475" t="s">
        <v>937</v>
      </c>
      <c r="M475" s="1" t="s">
        <v>58</v>
      </c>
      <c r="N475" s="1">
        <v>0</v>
      </c>
      <c r="O475" s="1" t="s">
        <v>105</v>
      </c>
      <c r="P475" s="11" t="s">
        <v>990</v>
      </c>
      <c r="R475" s="1">
        <v>3</v>
      </c>
      <c r="T475" s="1" t="s">
        <v>646</v>
      </c>
      <c r="U475" s="186">
        <v>44714.386886574073</v>
      </c>
      <c r="V475" s="1" t="s">
        <v>41</v>
      </c>
      <c r="W475" s="1" t="s">
        <v>49</v>
      </c>
      <c r="X475" s="13" t="str">
        <f t="shared" si="54"/>
        <v/>
      </c>
      <c r="Y475" s="2">
        <f t="shared" ca="1" si="49"/>
        <v>196</v>
      </c>
      <c r="Z475" s="14">
        <v>1</v>
      </c>
      <c r="AA475" s="1" t="str">
        <f t="shared" ca="1" si="50"/>
        <v>VENCIDO</v>
      </c>
      <c r="AB475" s="1" t="str">
        <f t="shared" si="51"/>
        <v>C-14</v>
      </c>
      <c r="AC475" s="2" t="str">
        <f t="shared" si="55"/>
        <v xml:space="preserve"> RINALDO </v>
      </c>
      <c r="AD475" s="2">
        <f t="shared" si="52"/>
        <v>5</v>
      </c>
      <c r="AE475" s="2">
        <f t="shared" ca="1" si="53"/>
        <v>-272.28938506944542</v>
      </c>
      <c r="AF475" s="15"/>
    </row>
    <row r="476" spans="1:32" hidden="1">
      <c r="A476" s="1">
        <v>8632846</v>
      </c>
      <c r="B476" s="1" t="s">
        <v>653</v>
      </c>
      <c r="C476" t="s">
        <v>935</v>
      </c>
      <c r="E476" s="2">
        <v>2678001400010</v>
      </c>
      <c r="F476" s="1" t="s">
        <v>936</v>
      </c>
      <c r="G476" s="1" t="s">
        <v>53</v>
      </c>
      <c r="H476" s="1" t="s">
        <v>992</v>
      </c>
      <c r="I476" s="1" t="s">
        <v>993</v>
      </c>
      <c r="J476" s="1" t="s">
        <v>33</v>
      </c>
      <c r="K476" t="s">
        <v>937</v>
      </c>
      <c r="M476" s="1" t="s">
        <v>58</v>
      </c>
      <c r="N476" s="1">
        <v>0</v>
      </c>
      <c r="O476" s="1" t="s">
        <v>105</v>
      </c>
      <c r="P476" s="11" t="s">
        <v>990</v>
      </c>
      <c r="R476" s="1">
        <v>3</v>
      </c>
      <c r="T476" s="1" t="s">
        <v>646</v>
      </c>
      <c r="U476" s="186">
        <v>44714.386886574073</v>
      </c>
      <c r="V476" s="1" t="s">
        <v>41</v>
      </c>
      <c r="W476" s="1" t="s">
        <v>42</v>
      </c>
      <c r="X476" s="13" t="str">
        <f t="shared" si="54"/>
        <v/>
      </c>
      <c r="Y476" s="2">
        <f t="shared" ca="1" si="49"/>
        <v>196</v>
      </c>
      <c r="Z476" s="14">
        <v>1</v>
      </c>
      <c r="AA476" s="1" t="str">
        <f t="shared" ca="1" si="50"/>
        <v>VENCIDO</v>
      </c>
      <c r="AB476" s="1" t="str">
        <f t="shared" si="51"/>
        <v>C-14</v>
      </c>
      <c r="AC476" s="2" t="str">
        <f t="shared" si="55"/>
        <v xml:space="preserve"> ROSEMERE </v>
      </c>
      <c r="AD476" s="2">
        <f t="shared" si="52"/>
        <v>5</v>
      </c>
      <c r="AE476" s="2">
        <f t="shared" ca="1" si="53"/>
        <v>-272.28938506944542</v>
      </c>
      <c r="AF476" s="15"/>
    </row>
    <row r="477" spans="1:32" hidden="1">
      <c r="A477" s="1">
        <v>8632805</v>
      </c>
      <c r="B477" s="1" t="s">
        <v>653</v>
      </c>
      <c r="C477" t="s">
        <v>935</v>
      </c>
      <c r="E477" s="2">
        <v>2625001400010</v>
      </c>
      <c r="F477" s="1" t="s">
        <v>936</v>
      </c>
      <c r="G477" s="1" t="s">
        <v>53</v>
      </c>
      <c r="H477" s="1" t="s">
        <v>317</v>
      </c>
      <c r="I477" s="1" t="s">
        <v>318</v>
      </c>
      <c r="J477" s="1" t="s">
        <v>164</v>
      </c>
      <c r="K477" t="s">
        <v>937</v>
      </c>
      <c r="M477" s="1" t="s">
        <v>58</v>
      </c>
      <c r="N477" s="1">
        <v>0</v>
      </c>
      <c r="O477" s="1" t="s">
        <v>105</v>
      </c>
      <c r="P477" s="11" t="s">
        <v>994</v>
      </c>
      <c r="R477" s="1">
        <v>3</v>
      </c>
      <c r="T477" s="1" t="s">
        <v>646</v>
      </c>
      <c r="U477" s="186">
        <v>44714.386840277781</v>
      </c>
      <c r="V477" s="1" t="s">
        <v>41</v>
      </c>
      <c r="W477" s="1" t="s">
        <v>49</v>
      </c>
      <c r="X477" s="13" t="str">
        <f t="shared" si="54"/>
        <v/>
      </c>
      <c r="Y477" s="2">
        <f t="shared" ca="1" si="49"/>
        <v>196</v>
      </c>
      <c r="Z477" s="14">
        <v>1</v>
      </c>
      <c r="AA477" s="1" t="str">
        <f t="shared" ca="1" si="50"/>
        <v>VENCIDO</v>
      </c>
      <c r="AB477" s="1" t="str">
        <f t="shared" si="51"/>
        <v>C-14</v>
      </c>
      <c r="AC477" s="2" t="str">
        <f t="shared" si="55"/>
        <v xml:space="preserve"> ROSEMERE </v>
      </c>
      <c r="AD477" s="2">
        <f t="shared" si="52"/>
        <v>5</v>
      </c>
      <c r="AE477" s="2">
        <f t="shared" ca="1" si="53"/>
        <v>-272.28943136573798</v>
      </c>
      <c r="AF477" s="15"/>
    </row>
    <row r="478" spans="1:32" hidden="1">
      <c r="A478" s="1">
        <v>8632750</v>
      </c>
      <c r="B478" s="1" t="s">
        <v>653</v>
      </c>
      <c r="C478" t="s">
        <v>935</v>
      </c>
      <c r="E478" s="2">
        <v>2564001400010</v>
      </c>
      <c r="F478" s="1" t="s">
        <v>936</v>
      </c>
      <c r="G478" s="1" t="s">
        <v>53</v>
      </c>
      <c r="H478" s="1" t="s">
        <v>255</v>
      </c>
      <c r="I478" s="1" t="s">
        <v>256</v>
      </c>
      <c r="J478" s="1" t="s">
        <v>164</v>
      </c>
      <c r="K478" t="s">
        <v>937</v>
      </c>
      <c r="M478" s="1" t="s">
        <v>58</v>
      </c>
      <c r="N478" s="1">
        <v>0</v>
      </c>
      <c r="O478" s="1" t="s">
        <v>105</v>
      </c>
      <c r="P478" s="11" t="s">
        <v>996</v>
      </c>
      <c r="R478" s="1">
        <v>3</v>
      </c>
      <c r="T478" s="1" t="s">
        <v>646</v>
      </c>
      <c r="U478" s="186">
        <v>44714.386759259258</v>
      </c>
      <c r="V478" s="1" t="s">
        <v>41</v>
      </c>
      <c r="W478" s="1" t="s">
        <v>49</v>
      </c>
      <c r="X478" s="13" t="str">
        <f t="shared" si="54"/>
        <v/>
      </c>
      <c r="Y478" s="2">
        <f t="shared" ca="1" si="49"/>
        <v>196</v>
      </c>
      <c r="Z478" s="14">
        <v>1</v>
      </c>
      <c r="AA478" s="1" t="str">
        <f t="shared" ca="1" si="50"/>
        <v>VENCIDO</v>
      </c>
      <c r="AB478" s="1" t="str">
        <f t="shared" si="51"/>
        <v>C-14</v>
      </c>
      <c r="AC478" s="2" t="str">
        <f t="shared" si="55"/>
        <v xml:space="preserve"> ROSEMERE </v>
      </c>
      <c r="AD478" s="2">
        <f t="shared" si="52"/>
        <v>5</v>
      </c>
      <c r="AE478" s="2">
        <f t="shared" ca="1" si="53"/>
        <v>-272.28951238426089</v>
      </c>
      <c r="AF478" s="15"/>
    </row>
    <row r="479" spans="1:32" hidden="1">
      <c r="A479" s="1">
        <v>8632637</v>
      </c>
      <c r="B479" s="1" t="s">
        <v>653</v>
      </c>
      <c r="C479" t="s">
        <v>935</v>
      </c>
      <c r="E479" s="2">
        <v>2413001400010</v>
      </c>
      <c r="F479" s="1" t="s">
        <v>936</v>
      </c>
      <c r="G479" s="1" t="s">
        <v>53</v>
      </c>
      <c r="H479" s="1" t="s">
        <v>505</v>
      </c>
      <c r="I479" s="1" t="s">
        <v>506</v>
      </c>
      <c r="J479" s="1" t="s">
        <v>141</v>
      </c>
      <c r="K479" t="s">
        <v>937</v>
      </c>
      <c r="M479" s="1" t="s">
        <v>58</v>
      </c>
      <c r="N479" s="1">
        <v>0</v>
      </c>
      <c r="O479" s="1" t="s">
        <v>105</v>
      </c>
      <c r="P479" s="11" t="s">
        <v>998</v>
      </c>
      <c r="R479" s="1">
        <v>3</v>
      </c>
      <c r="T479" s="1" t="s">
        <v>646</v>
      </c>
      <c r="U479" s="186">
        <v>44714.386631944442</v>
      </c>
      <c r="V479" s="1" t="s">
        <v>41</v>
      </c>
      <c r="W479" s="1" t="s">
        <v>49</v>
      </c>
      <c r="X479" s="13" t="str">
        <f t="shared" si="54"/>
        <v/>
      </c>
      <c r="Y479" s="2">
        <f t="shared" ca="1" si="49"/>
        <v>196</v>
      </c>
      <c r="Z479" s="14">
        <v>1</v>
      </c>
      <c r="AA479" s="1" t="str">
        <f t="shared" ca="1" si="50"/>
        <v>VENCIDO</v>
      </c>
      <c r="AB479" s="1" t="str">
        <f t="shared" si="51"/>
        <v>C-14</v>
      </c>
      <c r="AC479" s="2" t="str">
        <f t="shared" si="55"/>
        <v xml:space="preserve"> CRISTINA </v>
      </c>
      <c r="AD479" s="2">
        <f t="shared" si="52"/>
        <v>5</v>
      </c>
      <c r="AE479" s="2">
        <f t="shared" ca="1" si="53"/>
        <v>-272.28963969907636</v>
      </c>
      <c r="AF479" s="15"/>
    </row>
    <row r="480" spans="1:32" hidden="1">
      <c r="A480" s="1">
        <v>8632603</v>
      </c>
      <c r="B480" s="1" t="s">
        <v>653</v>
      </c>
      <c r="C480" t="s">
        <v>935</v>
      </c>
      <c r="E480" s="2">
        <v>2371001400010</v>
      </c>
      <c r="F480" s="1" t="s">
        <v>936</v>
      </c>
      <c r="G480" s="1" t="s">
        <v>53</v>
      </c>
      <c r="H480" s="1" t="s">
        <v>1000</v>
      </c>
      <c r="I480" s="1" t="s">
        <v>1001</v>
      </c>
      <c r="J480" s="1" t="s">
        <v>90</v>
      </c>
      <c r="K480" t="s">
        <v>937</v>
      </c>
      <c r="M480" s="1" t="s">
        <v>58</v>
      </c>
      <c r="N480" s="1">
        <v>0</v>
      </c>
      <c r="O480" s="1" t="s">
        <v>105</v>
      </c>
      <c r="P480" s="11" t="s">
        <v>1002</v>
      </c>
      <c r="R480" s="1">
        <v>3</v>
      </c>
      <c r="T480" s="1" t="s">
        <v>646</v>
      </c>
      <c r="U480" s="186">
        <v>44714.386597222219</v>
      </c>
      <c r="V480" s="1" t="s">
        <v>41</v>
      </c>
      <c r="W480" s="1" t="s">
        <v>49</v>
      </c>
      <c r="X480" s="13" t="str">
        <f t="shared" si="54"/>
        <v/>
      </c>
      <c r="Y480" s="2">
        <f t="shared" ca="1" si="49"/>
        <v>196</v>
      </c>
      <c r="Z480" s="14">
        <v>1</v>
      </c>
      <c r="AA480" s="1" t="str">
        <f t="shared" ca="1" si="50"/>
        <v>VENCIDO</v>
      </c>
      <c r="AB480" s="1" t="str">
        <f t="shared" si="51"/>
        <v>C-14</v>
      </c>
      <c r="AC480" s="2" t="str">
        <f t="shared" si="55"/>
        <v xml:space="preserve"> RINALDO </v>
      </c>
      <c r="AD480" s="2">
        <f t="shared" si="52"/>
        <v>5</v>
      </c>
      <c r="AE480" s="2">
        <f t="shared" ca="1" si="53"/>
        <v>-272.28967442129942</v>
      </c>
      <c r="AF480" s="15"/>
    </row>
    <row r="481" spans="1:32" hidden="1">
      <c r="A481" s="1">
        <v>8632602</v>
      </c>
      <c r="B481" s="1" t="s">
        <v>653</v>
      </c>
      <c r="C481" t="s">
        <v>935</v>
      </c>
      <c r="E481" s="2">
        <v>2369001400010</v>
      </c>
      <c r="F481" s="1" t="s">
        <v>936</v>
      </c>
      <c r="G481" s="1" t="s">
        <v>53</v>
      </c>
      <c r="H481" s="1" t="s">
        <v>701</v>
      </c>
      <c r="I481" s="1" t="s">
        <v>702</v>
      </c>
      <c r="J481" s="1" t="s">
        <v>141</v>
      </c>
      <c r="K481" t="s">
        <v>937</v>
      </c>
      <c r="M481" s="1" t="s">
        <v>58</v>
      </c>
      <c r="N481" s="1">
        <v>0</v>
      </c>
      <c r="O481" s="1" t="s">
        <v>105</v>
      </c>
      <c r="P481" s="11" t="s">
        <v>1004</v>
      </c>
      <c r="R481" s="1">
        <v>3</v>
      </c>
      <c r="T481" s="1" t="s">
        <v>646</v>
      </c>
      <c r="U481" s="186">
        <v>44714.38658564815</v>
      </c>
      <c r="V481" s="1" t="s">
        <v>41</v>
      </c>
      <c r="W481" s="1" t="s">
        <v>49</v>
      </c>
      <c r="X481" s="13" t="str">
        <f t="shared" si="54"/>
        <v/>
      </c>
      <c r="Y481" s="2">
        <f t="shared" ca="1" si="49"/>
        <v>196</v>
      </c>
      <c r="Z481" s="14">
        <v>1</v>
      </c>
      <c r="AA481" s="1" t="str">
        <f t="shared" ca="1" si="50"/>
        <v>VENCIDO</v>
      </c>
      <c r="AB481" s="1" t="str">
        <f t="shared" si="51"/>
        <v>C-14</v>
      </c>
      <c r="AC481" s="2" t="str">
        <f t="shared" si="55"/>
        <v xml:space="preserve"> CRISTINA </v>
      </c>
      <c r="AD481" s="2">
        <f t="shared" si="52"/>
        <v>5</v>
      </c>
      <c r="AE481" s="2">
        <f t="shared" ca="1" si="53"/>
        <v>-272.28968599536893</v>
      </c>
      <c r="AF481" s="15"/>
    </row>
    <row r="482" spans="1:32" hidden="1">
      <c r="A482" s="1">
        <v>8632599</v>
      </c>
      <c r="B482" s="1" t="s">
        <v>653</v>
      </c>
      <c r="C482" t="s">
        <v>935</v>
      </c>
      <c r="E482" s="2">
        <v>2365001400010</v>
      </c>
      <c r="F482" s="1" t="s">
        <v>936</v>
      </c>
      <c r="G482" s="1" t="s">
        <v>53</v>
      </c>
      <c r="H482" s="1" t="s">
        <v>159</v>
      </c>
      <c r="I482" s="1" t="s">
        <v>160</v>
      </c>
      <c r="J482" s="1" t="s">
        <v>46</v>
      </c>
      <c r="K482" t="s">
        <v>937</v>
      </c>
      <c r="M482" s="1" t="s">
        <v>58</v>
      </c>
      <c r="N482" s="1">
        <v>0</v>
      </c>
      <c r="O482" s="1" t="s">
        <v>105</v>
      </c>
      <c r="P482" s="11" t="s">
        <v>1004</v>
      </c>
      <c r="R482" s="1">
        <v>3</v>
      </c>
      <c r="T482" s="1" t="s">
        <v>646</v>
      </c>
      <c r="U482" s="11" t="s">
        <v>1005</v>
      </c>
      <c r="V482" s="1" t="s">
        <v>41</v>
      </c>
      <c r="W482" s="1" t="s">
        <v>49</v>
      </c>
      <c r="X482" s="13" t="str">
        <f t="shared" si="54"/>
        <v/>
      </c>
      <c r="Y482" s="2">
        <f t="shared" ca="1" si="49"/>
        <v>196</v>
      </c>
      <c r="Z482" s="14">
        <v>1</v>
      </c>
      <c r="AA482" s="1" t="str">
        <f t="shared" ca="1" si="50"/>
        <v>VENCIDO</v>
      </c>
      <c r="AB482" s="1" t="str">
        <f t="shared" si="51"/>
        <v>C-14</v>
      </c>
      <c r="AC482" s="2" t="str">
        <f t="shared" si="55"/>
        <v xml:space="preserve"> CLEITON </v>
      </c>
      <c r="AD482" s="2">
        <f t="shared" si="52"/>
        <v>5</v>
      </c>
      <c r="AE482" s="2">
        <f t="shared" ca="1" si="53"/>
        <v>-272.28968599536893</v>
      </c>
      <c r="AF482" s="15"/>
    </row>
    <row r="483" spans="1:32" hidden="1">
      <c r="A483" s="1">
        <v>8632568</v>
      </c>
      <c r="B483" s="1" t="s">
        <v>653</v>
      </c>
      <c r="C483" t="s">
        <v>935</v>
      </c>
      <c r="E483" s="2">
        <v>2326001400010</v>
      </c>
      <c r="F483" s="1" t="s">
        <v>936</v>
      </c>
      <c r="G483" s="1" t="s">
        <v>53</v>
      </c>
      <c r="H483" s="1" t="s">
        <v>191</v>
      </c>
      <c r="I483" s="1" t="s">
        <v>192</v>
      </c>
      <c r="J483" s="1" t="s">
        <v>46</v>
      </c>
      <c r="K483" t="s">
        <v>937</v>
      </c>
      <c r="M483" s="1" t="s">
        <v>58</v>
      </c>
      <c r="N483" s="1">
        <v>0</v>
      </c>
      <c r="O483" s="1" t="s">
        <v>105</v>
      </c>
      <c r="P483" s="11" t="s">
        <v>1006</v>
      </c>
      <c r="R483" s="1">
        <v>3</v>
      </c>
      <c r="T483" s="1" t="s">
        <v>646</v>
      </c>
      <c r="U483" s="11" t="s">
        <v>1007</v>
      </c>
      <c r="V483" s="1" t="s">
        <v>41</v>
      </c>
      <c r="W483" s="1" t="s">
        <v>49</v>
      </c>
      <c r="X483" s="13" t="str">
        <f t="shared" si="54"/>
        <v/>
      </c>
      <c r="Y483" s="2">
        <f t="shared" ca="1" si="49"/>
        <v>196</v>
      </c>
      <c r="Z483" s="14">
        <v>1</v>
      </c>
      <c r="AA483" s="1" t="str">
        <f t="shared" ca="1" si="50"/>
        <v>VENCIDO</v>
      </c>
      <c r="AB483" s="1" t="str">
        <f t="shared" si="51"/>
        <v>C-14</v>
      </c>
      <c r="AC483" s="2" t="str">
        <f t="shared" si="55"/>
        <v xml:space="preserve"> CLEITON </v>
      </c>
      <c r="AD483" s="2">
        <f t="shared" si="52"/>
        <v>5</v>
      </c>
      <c r="AE483" s="2">
        <f t="shared" ca="1" si="53"/>
        <v>-272.28972071759199</v>
      </c>
      <c r="AF483" s="15"/>
    </row>
    <row r="484" spans="1:32" hidden="1">
      <c r="A484" s="1">
        <v>8632476</v>
      </c>
      <c r="B484" s="1" t="s">
        <v>653</v>
      </c>
      <c r="C484" t="s">
        <v>935</v>
      </c>
      <c r="E484" s="2">
        <v>2219001400010</v>
      </c>
      <c r="F484" s="1" t="s">
        <v>936</v>
      </c>
      <c r="G484" s="1" t="s">
        <v>53</v>
      </c>
      <c r="H484" s="1" t="s">
        <v>893</v>
      </c>
      <c r="I484" s="1" t="s">
        <v>894</v>
      </c>
      <c r="J484" s="1" t="s">
        <v>141</v>
      </c>
      <c r="K484" t="s">
        <v>937</v>
      </c>
      <c r="M484" s="1" t="s">
        <v>58</v>
      </c>
      <c r="N484" s="1">
        <v>0</v>
      </c>
      <c r="O484" s="1" t="s">
        <v>105</v>
      </c>
      <c r="P484" s="11" t="s">
        <v>1008</v>
      </c>
      <c r="R484" s="1">
        <v>3</v>
      </c>
      <c r="T484" s="1" t="s">
        <v>646</v>
      </c>
      <c r="U484" s="11" t="s">
        <v>1009</v>
      </c>
      <c r="V484" s="1" t="s">
        <v>41</v>
      </c>
      <c r="W484" s="1" t="s">
        <v>49</v>
      </c>
      <c r="X484" s="13" t="str">
        <f t="shared" si="54"/>
        <v/>
      </c>
      <c r="Y484" s="2">
        <f t="shared" ca="1" si="49"/>
        <v>196</v>
      </c>
      <c r="Z484" s="14">
        <v>1</v>
      </c>
      <c r="AA484" s="1" t="str">
        <f t="shared" ca="1" si="50"/>
        <v>VENCIDO</v>
      </c>
      <c r="AB484" s="1" t="str">
        <f t="shared" si="51"/>
        <v>C-14</v>
      </c>
      <c r="AC484" s="2" t="str">
        <f t="shared" si="55"/>
        <v xml:space="preserve"> CRISTINA </v>
      </c>
      <c r="AD484" s="2">
        <f t="shared" si="52"/>
        <v>5</v>
      </c>
      <c r="AE484" s="2">
        <f t="shared" ca="1" si="53"/>
        <v>-272.28984803240746</v>
      </c>
      <c r="AF484" s="15"/>
    </row>
    <row r="485" spans="1:32" hidden="1">
      <c r="A485" s="1">
        <v>8632402</v>
      </c>
      <c r="B485" s="1" t="s">
        <v>653</v>
      </c>
      <c r="C485" t="s">
        <v>935</v>
      </c>
      <c r="E485" s="2">
        <v>2138001400010</v>
      </c>
      <c r="F485" s="1" t="s">
        <v>936</v>
      </c>
      <c r="G485" s="1" t="s">
        <v>53</v>
      </c>
      <c r="H485" s="1" t="s">
        <v>379</v>
      </c>
      <c r="I485" s="1" t="s">
        <v>380</v>
      </c>
      <c r="J485" s="1" t="s">
        <v>46</v>
      </c>
      <c r="K485" t="s">
        <v>937</v>
      </c>
      <c r="M485" s="1" t="s">
        <v>58</v>
      </c>
      <c r="N485" s="1">
        <v>0</v>
      </c>
      <c r="O485" s="1" t="s">
        <v>105</v>
      </c>
      <c r="P485" s="11" t="s">
        <v>1010</v>
      </c>
      <c r="R485" s="1">
        <v>3</v>
      </c>
      <c r="T485" s="1" t="s">
        <v>646</v>
      </c>
      <c r="U485" s="11" t="s">
        <v>1011</v>
      </c>
      <c r="V485" s="1" t="s">
        <v>41</v>
      </c>
      <c r="W485" s="1" t="s">
        <v>49</v>
      </c>
      <c r="X485" s="13" t="str">
        <f t="shared" si="54"/>
        <v/>
      </c>
      <c r="Y485" s="2">
        <f t="shared" ca="1" si="49"/>
        <v>196</v>
      </c>
      <c r="Z485" s="14">
        <v>1</v>
      </c>
      <c r="AA485" s="1" t="str">
        <f t="shared" ca="1" si="50"/>
        <v>VENCIDO</v>
      </c>
      <c r="AB485" s="1" t="str">
        <f t="shared" si="51"/>
        <v>C-14</v>
      </c>
      <c r="AC485" s="2" t="str">
        <f t="shared" si="55"/>
        <v xml:space="preserve"> CLEITON </v>
      </c>
      <c r="AD485" s="2">
        <f t="shared" si="52"/>
        <v>5</v>
      </c>
      <c r="AE485" s="2">
        <f t="shared" ca="1" si="53"/>
        <v>-272.28994062499987</v>
      </c>
      <c r="AF485" s="15"/>
    </row>
    <row r="486" spans="1:32" hidden="1">
      <c r="A486" s="1">
        <v>8632379</v>
      </c>
      <c r="B486" s="1" t="s">
        <v>653</v>
      </c>
      <c r="C486" t="s">
        <v>935</v>
      </c>
      <c r="E486" s="2">
        <v>2107001400010</v>
      </c>
      <c r="F486" s="1" t="s">
        <v>936</v>
      </c>
      <c r="G486" s="1" t="s">
        <v>53</v>
      </c>
      <c r="H486" s="1" t="s">
        <v>262</v>
      </c>
      <c r="I486" s="1" t="s">
        <v>263</v>
      </c>
      <c r="J486" s="1" t="s">
        <v>164</v>
      </c>
      <c r="K486" t="s">
        <v>937</v>
      </c>
      <c r="M486" s="1" t="s">
        <v>58</v>
      </c>
      <c r="N486" s="1">
        <v>0</v>
      </c>
      <c r="O486" s="1" t="s">
        <v>105</v>
      </c>
      <c r="P486" s="11" t="s">
        <v>1012</v>
      </c>
      <c r="R486" s="1">
        <v>3</v>
      </c>
      <c r="T486" s="1" t="s">
        <v>646</v>
      </c>
      <c r="U486" s="11" t="s">
        <v>1013</v>
      </c>
      <c r="V486" s="1" t="s">
        <v>41</v>
      </c>
      <c r="W486" s="1" t="s">
        <v>49</v>
      </c>
      <c r="X486" s="13" t="str">
        <f t="shared" si="54"/>
        <v/>
      </c>
      <c r="Y486" s="2">
        <f t="shared" ca="1" si="49"/>
        <v>196</v>
      </c>
      <c r="Z486" s="14">
        <v>1</v>
      </c>
      <c r="AA486" s="1" t="str">
        <f t="shared" ca="1" si="50"/>
        <v>VENCIDO</v>
      </c>
      <c r="AB486" s="1" t="str">
        <f t="shared" si="51"/>
        <v>C-14</v>
      </c>
      <c r="AC486" s="2" t="str">
        <f t="shared" si="55"/>
        <v xml:space="preserve"> ROSEMERE </v>
      </c>
      <c r="AD486" s="2">
        <f t="shared" si="52"/>
        <v>5</v>
      </c>
      <c r="AE486" s="2">
        <f t="shared" ca="1" si="53"/>
        <v>-272.28996377314616</v>
      </c>
      <c r="AF486" s="15"/>
    </row>
    <row r="487" spans="1:32" hidden="1">
      <c r="A487" s="1">
        <v>8632349</v>
      </c>
      <c r="B487" s="1" t="s">
        <v>653</v>
      </c>
      <c r="C487" t="s">
        <v>935</v>
      </c>
      <c r="E487" s="2">
        <v>2069001400010</v>
      </c>
      <c r="F487" s="1" t="s">
        <v>936</v>
      </c>
      <c r="G487" s="1" t="s">
        <v>53</v>
      </c>
      <c r="H487" s="1" t="s">
        <v>557</v>
      </c>
      <c r="I487" s="1" t="s">
        <v>558</v>
      </c>
      <c r="J487" s="1" t="s">
        <v>90</v>
      </c>
      <c r="K487" t="s">
        <v>937</v>
      </c>
      <c r="M487" s="1" t="s">
        <v>58</v>
      </c>
      <c r="N487" s="1">
        <v>0</v>
      </c>
      <c r="O487" s="1" t="s">
        <v>105</v>
      </c>
      <c r="P487" s="11" t="s">
        <v>1014</v>
      </c>
      <c r="R487" s="1">
        <v>3</v>
      </c>
      <c r="T487" s="1" t="s">
        <v>646</v>
      </c>
      <c r="U487" s="11" t="s">
        <v>1015</v>
      </c>
      <c r="V487" s="1" t="s">
        <v>41</v>
      </c>
      <c r="W487" s="1" t="s">
        <v>49</v>
      </c>
      <c r="X487" s="13" t="str">
        <f t="shared" si="54"/>
        <v/>
      </c>
      <c r="Y487" s="2">
        <f t="shared" ca="1" si="49"/>
        <v>196</v>
      </c>
      <c r="Z487" s="14">
        <v>1</v>
      </c>
      <c r="AA487" s="1" t="str">
        <f t="shared" ca="1" si="50"/>
        <v>VENCIDO</v>
      </c>
      <c r="AB487" s="1" t="str">
        <f t="shared" si="51"/>
        <v>C-14</v>
      </c>
      <c r="AC487" s="2" t="str">
        <f t="shared" si="55"/>
        <v xml:space="preserve"> RINALDO </v>
      </c>
      <c r="AD487" s="2">
        <f t="shared" si="52"/>
        <v>5</v>
      </c>
      <c r="AE487" s="2">
        <f t="shared" ca="1" si="53"/>
        <v>-272.28999849536922</v>
      </c>
      <c r="AF487" s="15"/>
    </row>
    <row r="488" spans="1:32" hidden="1">
      <c r="A488" s="1">
        <v>8632235</v>
      </c>
      <c r="B488" s="1" t="s">
        <v>653</v>
      </c>
      <c r="C488" t="s">
        <v>935</v>
      </c>
      <c r="E488" s="2">
        <v>1838001400010</v>
      </c>
      <c r="F488" s="1" t="s">
        <v>936</v>
      </c>
      <c r="G488" s="1" t="s">
        <v>53</v>
      </c>
      <c r="H488" s="1" t="s">
        <v>357</v>
      </c>
      <c r="I488" s="1" t="s">
        <v>358</v>
      </c>
      <c r="J488" s="1" t="s">
        <v>46</v>
      </c>
      <c r="K488" t="s">
        <v>937</v>
      </c>
      <c r="M488" s="1" t="s">
        <v>58</v>
      </c>
      <c r="N488" s="1">
        <v>0</v>
      </c>
      <c r="O488" s="1" t="s">
        <v>105</v>
      </c>
      <c r="P488" s="11" t="s">
        <v>1016</v>
      </c>
      <c r="R488" s="1">
        <v>3</v>
      </c>
      <c r="T488" s="1" t="s">
        <v>646</v>
      </c>
      <c r="U488" s="11" t="s">
        <v>1017</v>
      </c>
      <c r="V488" s="1" t="s">
        <v>41</v>
      </c>
      <c r="W488" s="1" t="s">
        <v>49</v>
      </c>
      <c r="X488" s="13" t="str">
        <f t="shared" si="54"/>
        <v/>
      </c>
      <c r="Y488" s="2">
        <f t="shared" ca="1" si="49"/>
        <v>196</v>
      </c>
      <c r="Z488" s="14">
        <v>1</v>
      </c>
      <c r="AA488" s="1" t="str">
        <f t="shared" ca="1" si="50"/>
        <v>VENCIDO</v>
      </c>
      <c r="AB488" s="1" t="str">
        <f t="shared" si="51"/>
        <v>C-14</v>
      </c>
      <c r="AC488" s="2" t="str">
        <f t="shared" si="55"/>
        <v xml:space="preserve"> CLEITON </v>
      </c>
      <c r="AD488" s="2">
        <f t="shared" si="52"/>
        <v>5</v>
      </c>
      <c r="AE488" s="2">
        <f t="shared" ca="1" si="53"/>
        <v>-272.29013738426147</v>
      </c>
      <c r="AF488" s="15"/>
    </row>
    <row r="489" spans="1:32" hidden="1">
      <c r="A489" s="1">
        <v>8632233</v>
      </c>
      <c r="B489" s="1" t="s">
        <v>653</v>
      </c>
      <c r="C489" t="s">
        <v>935</v>
      </c>
      <c r="E489" s="2">
        <v>1836001400010</v>
      </c>
      <c r="F489" s="1" t="s">
        <v>936</v>
      </c>
      <c r="G489" s="1" t="s">
        <v>53</v>
      </c>
      <c r="H489" s="1" t="s">
        <v>455</v>
      </c>
      <c r="I489" s="1" t="s">
        <v>456</v>
      </c>
      <c r="J489" s="1" t="s">
        <v>46</v>
      </c>
      <c r="K489" t="s">
        <v>937</v>
      </c>
      <c r="M489" s="1" t="s">
        <v>58</v>
      </c>
      <c r="N489" s="1">
        <v>0</v>
      </c>
      <c r="O489" s="1" t="s">
        <v>105</v>
      </c>
      <c r="P489" s="11" t="s">
        <v>1016</v>
      </c>
      <c r="R489" s="1">
        <v>3</v>
      </c>
      <c r="T489" s="1" t="s">
        <v>646</v>
      </c>
      <c r="U489" s="11" t="s">
        <v>1017</v>
      </c>
      <c r="V489" s="1" t="s">
        <v>41</v>
      </c>
      <c r="W489" s="1" t="s">
        <v>49</v>
      </c>
      <c r="X489" s="13" t="str">
        <f t="shared" si="54"/>
        <v/>
      </c>
      <c r="Y489" s="2">
        <f t="shared" ca="1" si="49"/>
        <v>196</v>
      </c>
      <c r="Z489" s="14">
        <v>1</v>
      </c>
      <c r="AA489" s="1" t="str">
        <f t="shared" ca="1" si="50"/>
        <v>VENCIDO</v>
      </c>
      <c r="AB489" s="1" t="str">
        <f t="shared" si="51"/>
        <v>C-14</v>
      </c>
      <c r="AC489" s="2" t="str">
        <f t="shared" si="55"/>
        <v xml:space="preserve"> CLEITON </v>
      </c>
      <c r="AD489" s="2">
        <f t="shared" si="52"/>
        <v>5</v>
      </c>
      <c r="AE489" s="2">
        <f t="shared" ca="1" si="53"/>
        <v>-272.29013738426147</v>
      </c>
      <c r="AF489" s="15"/>
    </row>
    <row r="490" spans="1:32" hidden="1">
      <c r="A490" s="1">
        <v>8632232</v>
      </c>
      <c r="B490" s="1" t="s">
        <v>653</v>
      </c>
      <c r="C490" t="s">
        <v>935</v>
      </c>
      <c r="E490" s="2">
        <v>1835001400010</v>
      </c>
      <c r="F490" s="1" t="s">
        <v>936</v>
      </c>
      <c r="G490" s="1" t="s">
        <v>53</v>
      </c>
      <c r="H490" s="1" t="s">
        <v>305</v>
      </c>
      <c r="I490" s="1" t="s">
        <v>306</v>
      </c>
      <c r="J490" s="1" t="s">
        <v>46</v>
      </c>
      <c r="K490" t="s">
        <v>937</v>
      </c>
      <c r="M490" s="1" t="s">
        <v>58</v>
      </c>
      <c r="N490" s="1">
        <v>0</v>
      </c>
      <c r="O490" s="1" t="s">
        <v>105</v>
      </c>
      <c r="P490" s="11" t="s">
        <v>1016</v>
      </c>
      <c r="R490" s="1">
        <v>3</v>
      </c>
      <c r="T490" s="1" t="s">
        <v>646</v>
      </c>
      <c r="U490" s="11" t="s">
        <v>1017</v>
      </c>
      <c r="V490" s="1" t="s">
        <v>41</v>
      </c>
      <c r="W490" s="1" t="s">
        <v>49</v>
      </c>
      <c r="X490" s="13" t="str">
        <f t="shared" si="54"/>
        <v/>
      </c>
      <c r="Y490" s="2">
        <f t="shared" ca="1" si="49"/>
        <v>196</v>
      </c>
      <c r="Z490" s="14">
        <v>1</v>
      </c>
      <c r="AA490" s="1" t="str">
        <f t="shared" ca="1" si="50"/>
        <v>VENCIDO</v>
      </c>
      <c r="AB490" s="1" t="str">
        <f t="shared" si="51"/>
        <v>C-14</v>
      </c>
      <c r="AC490" s="2" t="str">
        <f t="shared" si="55"/>
        <v xml:space="preserve"> CLEITON </v>
      </c>
      <c r="AD490" s="2">
        <f t="shared" si="52"/>
        <v>5</v>
      </c>
      <c r="AE490" s="2">
        <f t="shared" ca="1" si="53"/>
        <v>-272.29013738426147</v>
      </c>
      <c r="AF490" s="15"/>
    </row>
    <row r="491" spans="1:32" hidden="1">
      <c r="A491" s="1">
        <v>8632230</v>
      </c>
      <c r="B491" s="1" t="s">
        <v>653</v>
      </c>
      <c r="C491" t="s">
        <v>935</v>
      </c>
      <c r="E491" s="2">
        <v>1833041400010</v>
      </c>
      <c r="F491" s="1" t="s">
        <v>936</v>
      </c>
      <c r="G491" s="1" t="s">
        <v>53</v>
      </c>
      <c r="H491" s="1" t="s">
        <v>811</v>
      </c>
      <c r="I491" s="1" t="s">
        <v>812</v>
      </c>
      <c r="J491" s="1" t="s">
        <v>46</v>
      </c>
      <c r="K491" t="s">
        <v>937</v>
      </c>
      <c r="M491" s="1" t="s">
        <v>58</v>
      </c>
      <c r="N491" s="1">
        <v>0</v>
      </c>
      <c r="O491" s="1" t="s">
        <v>105</v>
      </c>
      <c r="P491" s="11" t="s">
        <v>1016</v>
      </c>
      <c r="R491" s="1">
        <v>3</v>
      </c>
      <c r="T491" s="1" t="s">
        <v>646</v>
      </c>
      <c r="U491" s="11" t="s">
        <v>1017</v>
      </c>
      <c r="V491" s="1" t="s">
        <v>41</v>
      </c>
      <c r="W491" s="1" t="s">
        <v>49</v>
      </c>
      <c r="X491" s="13" t="str">
        <f t="shared" si="54"/>
        <v>1833.04</v>
      </c>
      <c r="Y491" s="2">
        <f t="shared" ca="1" si="49"/>
        <v>196</v>
      </c>
      <c r="Z491" s="14">
        <v>1</v>
      </c>
      <c r="AA491" s="1" t="str">
        <f t="shared" ca="1" si="50"/>
        <v>VENCIDO</v>
      </c>
      <c r="AB491" s="1" t="str">
        <f t="shared" si="51"/>
        <v>C-14</v>
      </c>
      <c r="AC491" s="2" t="str">
        <f t="shared" si="55"/>
        <v xml:space="preserve"> CLEITON </v>
      </c>
      <c r="AD491" s="2">
        <f t="shared" si="52"/>
        <v>5</v>
      </c>
      <c r="AE491" s="2">
        <f t="shared" ca="1" si="53"/>
        <v>-272.29013738426147</v>
      </c>
      <c r="AF491" s="15"/>
    </row>
    <row r="492" spans="1:32" hidden="1">
      <c r="A492" s="1">
        <v>8632229</v>
      </c>
      <c r="B492" s="1" t="s">
        <v>653</v>
      </c>
      <c r="C492" t="s">
        <v>935</v>
      </c>
      <c r="E492" s="2">
        <v>1833001400010</v>
      </c>
      <c r="F492" s="1" t="s">
        <v>936</v>
      </c>
      <c r="G492" s="1" t="s">
        <v>53</v>
      </c>
      <c r="H492" s="1" t="s">
        <v>369</v>
      </c>
      <c r="I492" s="1" t="s">
        <v>370</v>
      </c>
      <c r="J492" s="1" t="s">
        <v>46</v>
      </c>
      <c r="K492" t="s">
        <v>937</v>
      </c>
      <c r="M492" s="1" t="s">
        <v>58</v>
      </c>
      <c r="N492" s="1">
        <v>0</v>
      </c>
      <c r="O492" s="1" t="s">
        <v>105</v>
      </c>
      <c r="P492" s="11" t="s">
        <v>1016</v>
      </c>
      <c r="R492" s="1">
        <v>3</v>
      </c>
      <c r="T492" s="1" t="s">
        <v>646</v>
      </c>
      <c r="U492" s="11" t="s">
        <v>1017</v>
      </c>
      <c r="V492" s="1" t="s">
        <v>41</v>
      </c>
      <c r="W492" s="1" t="s">
        <v>49</v>
      </c>
      <c r="X492" s="13" t="str">
        <f t="shared" si="54"/>
        <v/>
      </c>
      <c r="Y492" s="2">
        <f t="shared" ca="1" si="49"/>
        <v>196</v>
      </c>
      <c r="Z492" s="14">
        <v>1</v>
      </c>
      <c r="AA492" s="1" t="str">
        <f t="shared" ca="1" si="50"/>
        <v>VENCIDO</v>
      </c>
      <c r="AB492" s="1" t="str">
        <f t="shared" si="51"/>
        <v>C-14</v>
      </c>
      <c r="AC492" s="2" t="str">
        <f t="shared" si="55"/>
        <v xml:space="preserve"> CLEITON </v>
      </c>
      <c r="AD492" s="2">
        <f t="shared" si="52"/>
        <v>5</v>
      </c>
      <c r="AE492" s="2">
        <f t="shared" ca="1" si="53"/>
        <v>-272.29013738426147</v>
      </c>
      <c r="AF492" s="15"/>
    </row>
    <row r="493" spans="1:32" hidden="1">
      <c r="A493" s="1">
        <v>8632217</v>
      </c>
      <c r="B493" s="1" t="s">
        <v>653</v>
      </c>
      <c r="C493" t="s">
        <v>935</v>
      </c>
      <c r="E493" s="2">
        <v>1814031400010</v>
      </c>
      <c r="F493" s="1" t="s">
        <v>936</v>
      </c>
      <c r="G493" s="1" t="s">
        <v>53</v>
      </c>
      <c r="H493" s="1" t="s">
        <v>719</v>
      </c>
      <c r="I493" s="1" t="s">
        <v>188</v>
      </c>
      <c r="J493" s="1" t="s">
        <v>46</v>
      </c>
      <c r="K493" t="s">
        <v>937</v>
      </c>
      <c r="M493" s="1" t="s">
        <v>58</v>
      </c>
      <c r="N493" s="1">
        <v>0</v>
      </c>
      <c r="O493" s="1" t="s">
        <v>105</v>
      </c>
      <c r="P493" s="11" t="s">
        <v>3444</v>
      </c>
      <c r="R493" s="1">
        <v>3</v>
      </c>
      <c r="T493" s="1" t="s">
        <v>646</v>
      </c>
      <c r="U493" s="11" t="s">
        <v>3445</v>
      </c>
      <c r="V493" s="1" t="s">
        <v>41</v>
      </c>
      <c r="W493" s="1" t="s">
        <v>49</v>
      </c>
      <c r="X493" s="13" t="str">
        <f t="shared" si="54"/>
        <v>1814.03</v>
      </c>
      <c r="Y493" s="2">
        <f t="shared" ca="1" si="49"/>
        <v>196</v>
      </c>
      <c r="Z493" s="14">
        <v>1</v>
      </c>
      <c r="AA493" s="1" t="str">
        <f t="shared" ca="1" si="50"/>
        <v>VENCIDO</v>
      </c>
      <c r="AB493" s="1" t="str">
        <f t="shared" si="51"/>
        <v>C-14</v>
      </c>
      <c r="AC493" s="2" t="str">
        <f t="shared" si="55"/>
        <v xml:space="preserve"> CLEITON </v>
      </c>
      <c r="AD493" s="2">
        <f t="shared" si="52"/>
        <v>5</v>
      </c>
      <c r="AE493" s="2">
        <f t="shared" ca="1" si="53"/>
        <v>-272.29016053240775</v>
      </c>
      <c r="AF493" s="15"/>
    </row>
    <row r="494" spans="1:32" hidden="1">
      <c r="A494" s="1">
        <v>8632154</v>
      </c>
      <c r="B494" s="1" t="s">
        <v>653</v>
      </c>
      <c r="C494" t="s">
        <v>935</v>
      </c>
      <c r="E494" s="2">
        <v>1739001400010</v>
      </c>
      <c r="F494" s="1" t="s">
        <v>936</v>
      </c>
      <c r="G494" s="1" t="s">
        <v>53</v>
      </c>
      <c r="H494" s="1" t="s">
        <v>162</v>
      </c>
      <c r="I494" s="1" t="s">
        <v>163</v>
      </c>
      <c r="J494" s="1" t="s">
        <v>164</v>
      </c>
      <c r="K494" t="s">
        <v>937</v>
      </c>
      <c r="M494" s="1" t="s">
        <v>58</v>
      </c>
      <c r="N494" s="1">
        <v>0</v>
      </c>
      <c r="O494" s="1" t="s">
        <v>105</v>
      </c>
      <c r="P494" s="11" t="s">
        <v>1018</v>
      </c>
      <c r="R494" s="1">
        <v>3</v>
      </c>
      <c r="T494" s="1" t="s">
        <v>646</v>
      </c>
      <c r="U494" s="11" t="s">
        <v>1019</v>
      </c>
      <c r="V494" s="1" t="s">
        <v>41</v>
      </c>
      <c r="W494" s="1" t="s">
        <v>49</v>
      </c>
      <c r="X494" s="13" t="str">
        <f t="shared" si="54"/>
        <v/>
      </c>
      <c r="Y494" s="2">
        <f t="shared" ca="1" si="49"/>
        <v>196</v>
      </c>
      <c r="Z494" s="14">
        <v>1</v>
      </c>
      <c r="AA494" s="1" t="str">
        <f t="shared" ca="1" si="50"/>
        <v>VENCIDO</v>
      </c>
      <c r="AB494" s="1" t="str">
        <f t="shared" si="51"/>
        <v>C-14</v>
      </c>
      <c r="AC494" s="2" t="str">
        <f t="shared" si="55"/>
        <v xml:space="preserve"> ROSEMERE </v>
      </c>
      <c r="AD494" s="2">
        <f t="shared" si="52"/>
        <v>5</v>
      </c>
      <c r="AE494" s="2">
        <f t="shared" ca="1" si="53"/>
        <v>-272.29024155092338</v>
      </c>
      <c r="AF494" s="15"/>
    </row>
    <row r="495" spans="1:32" hidden="1">
      <c r="A495" s="1">
        <v>8632150</v>
      </c>
      <c r="B495" s="1" t="s">
        <v>653</v>
      </c>
      <c r="C495" t="s">
        <v>935</v>
      </c>
      <c r="E495" s="2">
        <v>1732001400010</v>
      </c>
      <c r="F495" s="1" t="s">
        <v>936</v>
      </c>
      <c r="G495" s="1" t="s">
        <v>53</v>
      </c>
      <c r="H495" s="1" t="s">
        <v>177</v>
      </c>
      <c r="I495" s="1" t="s">
        <v>178</v>
      </c>
      <c r="J495" s="1" t="s">
        <v>164</v>
      </c>
      <c r="K495" t="s">
        <v>937</v>
      </c>
      <c r="M495" s="1" t="s">
        <v>58</v>
      </c>
      <c r="N495" s="1">
        <v>0</v>
      </c>
      <c r="O495" s="1" t="s">
        <v>105</v>
      </c>
      <c r="P495" s="11" t="s">
        <v>1018</v>
      </c>
      <c r="R495" s="1">
        <v>3</v>
      </c>
      <c r="T495" s="1" t="s">
        <v>646</v>
      </c>
      <c r="U495" s="11" t="s">
        <v>1019</v>
      </c>
      <c r="V495" s="1" t="s">
        <v>41</v>
      </c>
      <c r="W495" s="1" t="s">
        <v>49</v>
      </c>
      <c r="X495" s="13" t="str">
        <f t="shared" si="54"/>
        <v/>
      </c>
      <c r="Y495" s="2">
        <f t="shared" ca="1" si="49"/>
        <v>196</v>
      </c>
      <c r="Z495" s="14">
        <v>1</v>
      </c>
      <c r="AA495" s="1" t="str">
        <f t="shared" ca="1" si="50"/>
        <v>VENCIDO</v>
      </c>
      <c r="AB495" s="1" t="str">
        <f t="shared" si="51"/>
        <v>C-14</v>
      </c>
      <c r="AC495" s="2" t="str">
        <f t="shared" si="55"/>
        <v xml:space="preserve"> ROSEMERE </v>
      </c>
      <c r="AD495" s="2">
        <f t="shared" si="52"/>
        <v>5</v>
      </c>
      <c r="AE495" s="2">
        <f t="shared" ca="1" si="53"/>
        <v>-272.29024155092338</v>
      </c>
      <c r="AF495" s="15"/>
    </row>
    <row r="496" spans="1:32" hidden="1">
      <c r="A496" s="1">
        <v>8632090</v>
      </c>
      <c r="B496" s="1" t="s">
        <v>653</v>
      </c>
      <c r="C496" t="s">
        <v>935</v>
      </c>
      <c r="E496" s="2">
        <v>1664001400010</v>
      </c>
      <c r="F496" s="1" t="s">
        <v>936</v>
      </c>
      <c r="G496" s="1" t="s">
        <v>53</v>
      </c>
      <c r="H496" s="1" t="s">
        <v>307</v>
      </c>
      <c r="I496" s="1" t="s">
        <v>308</v>
      </c>
      <c r="J496" s="1" t="s">
        <v>164</v>
      </c>
      <c r="K496" t="s">
        <v>937</v>
      </c>
      <c r="M496" s="1" t="s">
        <v>58</v>
      </c>
      <c r="N496" s="1">
        <v>0</v>
      </c>
      <c r="O496" s="1" t="s">
        <v>105</v>
      </c>
      <c r="P496" s="11" t="s">
        <v>1020</v>
      </c>
      <c r="R496" s="1">
        <v>3</v>
      </c>
      <c r="T496" s="1" t="s">
        <v>646</v>
      </c>
      <c r="U496" s="11" t="s">
        <v>1021</v>
      </c>
      <c r="V496" s="1" t="s">
        <v>41</v>
      </c>
      <c r="W496" s="1" t="s">
        <v>49</v>
      </c>
      <c r="X496" s="13" t="str">
        <f t="shared" si="54"/>
        <v/>
      </c>
      <c r="Y496" s="2">
        <f t="shared" ca="1" si="49"/>
        <v>196</v>
      </c>
      <c r="Z496" s="14">
        <v>1</v>
      </c>
      <c r="AA496" s="1" t="str">
        <f t="shared" ca="1" si="50"/>
        <v>VENCIDO</v>
      </c>
      <c r="AB496" s="1" t="str">
        <f t="shared" si="51"/>
        <v>C-14</v>
      </c>
      <c r="AC496" s="2" t="str">
        <f t="shared" si="55"/>
        <v xml:space="preserve"> ROSEMERE </v>
      </c>
      <c r="AD496" s="2">
        <f t="shared" si="52"/>
        <v>5</v>
      </c>
      <c r="AE496" s="2">
        <f t="shared" ca="1" si="53"/>
        <v>-272.29032256944629</v>
      </c>
      <c r="AF496" s="15"/>
    </row>
    <row r="497" spans="1:32" hidden="1">
      <c r="A497" s="1">
        <v>8632071</v>
      </c>
      <c r="B497" s="1" t="s">
        <v>653</v>
      </c>
      <c r="C497" t="s">
        <v>935</v>
      </c>
      <c r="E497" s="2">
        <v>1643001400010</v>
      </c>
      <c r="F497" s="1" t="s">
        <v>936</v>
      </c>
      <c r="G497" s="1" t="s">
        <v>53</v>
      </c>
      <c r="H497" s="1" t="s">
        <v>361</v>
      </c>
      <c r="I497" s="1" t="s">
        <v>362</v>
      </c>
      <c r="J497" s="1" t="s">
        <v>261</v>
      </c>
      <c r="K497" t="s">
        <v>937</v>
      </c>
      <c r="M497" s="1" t="s">
        <v>58</v>
      </c>
      <c r="N497" s="1">
        <v>0</v>
      </c>
      <c r="O497" s="1" t="s">
        <v>105</v>
      </c>
      <c r="P497" s="11" t="s">
        <v>1022</v>
      </c>
      <c r="R497" s="1">
        <v>3</v>
      </c>
      <c r="T497" s="1" t="s">
        <v>646</v>
      </c>
      <c r="U497" s="11" t="s">
        <v>1023</v>
      </c>
      <c r="V497" s="1" t="s">
        <v>41</v>
      </c>
      <c r="W497" s="1" t="s">
        <v>49</v>
      </c>
      <c r="X497" s="13" t="str">
        <f t="shared" si="54"/>
        <v/>
      </c>
      <c r="Y497" s="2">
        <f t="shared" ca="1" si="49"/>
        <v>196</v>
      </c>
      <c r="Z497" s="14">
        <v>1</v>
      </c>
      <c r="AA497" s="1" t="str">
        <f t="shared" ca="1" si="50"/>
        <v>VENCIDO</v>
      </c>
      <c r="AB497" s="1" t="str">
        <f t="shared" si="51"/>
        <v>C-14</v>
      </c>
      <c r="AC497" s="2" t="str">
        <f t="shared" si="55"/>
        <v xml:space="preserve"> CRISTINA </v>
      </c>
      <c r="AD497" s="2">
        <f t="shared" si="52"/>
        <v>5</v>
      </c>
      <c r="AE497" s="2">
        <f t="shared" ca="1" si="53"/>
        <v>-272.29034571759257</v>
      </c>
      <c r="AF497" s="15"/>
    </row>
    <row r="498" spans="1:32" hidden="1">
      <c r="A498" s="1">
        <v>8632049</v>
      </c>
      <c r="B498" s="1" t="s">
        <v>653</v>
      </c>
      <c r="C498" t="s">
        <v>935</v>
      </c>
      <c r="E498" s="2">
        <v>1620001400010</v>
      </c>
      <c r="F498" s="1" t="s">
        <v>936</v>
      </c>
      <c r="G498" s="1" t="s">
        <v>53</v>
      </c>
      <c r="H498" s="1" t="s">
        <v>402</v>
      </c>
      <c r="I498" s="1" t="s">
        <v>403</v>
      </c>
      <c r="J498" s="1" t="s">
        <v>46</v>
      </c>
      <c r="K498" t="s">
        <v>937</v>
      </c>
      <c r="M498" s="1" t="s">
        <v>58</v>
      </c>
      <c r="N498" s="1">
        <v>0</v>
      </c>
      <c r="O498" s="1" t="s">
        <v>105</v>
      </c>
      <c r="P498" s="11" t="s">
        <v>1024</v>
      </c>
      <c r="R498" s="1">
        <v>3</v>
      </c>
      <c r="T498" s="1" t="s">
        <v>646</v>
      </c>
      <c r="U498" s="11" t="s">
        <v>1025</v>
      </c>
      <c r="V498" s="1" t="s">
        <v>41</v>
      </c>
      <c r="W498" s="1" t="s">
        <v>49</v>
      </c>
      <c r="X498" s="13" t="str">
        <f t="shared" si="54"/>
        <v/>
      </c>
      <c r="Y498" s="2">
        <f t="shared" ca="1" si="49"/>
        <v>196</v>
      </c>
      <c r="Z498" s="14">
        <v>1</v>
      </c>
      <c r="AA498" s="1" t="str">
        <f t="shared" ca="1" si="50"/>
        <v>VENCIDO</v>
      </c>
      <c r="AB498" s="1" t="str">
        <f t="shared" si="51"/>
        <v>C-14</v>
      </c>
      <c r="AC498" s="2" t="str">
        <f t="shared" si="55"/>
        <v xml:space="preserve"> CLEITON </v>
      </c>
      <c r="AD498" s="2">
        <f t="shared" si="52"/>
        <v>5</v>
      </c>
      <c r="AE498" s="2">
        <f t="shared" ca="1" si="53"/>
        <v>-272.29036886573886</v>
      </c>
      <c r="AF498" s="15"/>
    </row>
    <row r="499" spans="1:32" hidden="1">
      <c r="A499" s="1">
        <v>8631960</v>
      </c>
      <c r="B499" s="1" t="s">
        <v>653</v>
      </c>
      <c r="C499" t="s">
        <v>935</v>
      </c>
      <c r="E499" s="2">
        <v>1509001400010</v>
      </c>
      <c r="F499" s="1" t="s">
        <v>936</v>
      </c>
      <c r="G499" s="1" t="s">
        <v>53</v>
      </c>
      <c r="H499" s="1" t="s">
        <v>731</v>
      </c>
      <c r="I499" s="1" t="s">
        <v>732</v>
      </c>
      <c r="J499" s="1" t="s">
        <v>46</v>
      </c>
      <c r="K499" t="s">
        <v>937</v>
      </c>
      <c r="M499" s="1" t="s">
        <v>58</v>
      </c>
      <c r="N499" s="1">
        <v>0</v>
      </c>
      <c r="O499" s="1" t="s">
        <v>105</v>
      </c>
      <c r="P499" s="11" t="s">
        <v>1026</v>
      </c>
      <c r="R499" s="1">
        <v>3</v>
      </c>
      <c r="T499" s="1" t="s">
        <v>646</v>
      </c>
      <c r="U499" s="11" t="s">
        <v>3446</v>
      </c>
      <c r="V499" s="1" t="s">
        <v>41</v>
      </c>
      <c r="W499" s="1" t="s">
        <v>49</v>
      </c>
      <c r="X499" s="13" t="str">
        <f t="shared" si="54"/>
        <v/>
      </c>
      <c r="Y499" s="2">
        <f t="shared" ca="1" si="49"/>
        <v>196</v>
      </c>
      <c r="Z499" s="14">
        <v>1</v>
      </c>
      <c r="AA499" s="1" t="str">
        <f t="shared" ca="1" si="50"/>
        <v>VENCIDO</v>
      </c>
      <c r="AB499" s="1" t="str">
        <f t="shared" si="51"/>
        <v>C-14</v>
      </c>
      <c r="AC499" s="2" t="str">
        <f t="shared" si="55"/>
        <v xml:space="preserve"> CLEITON </v>
      </c>
      <c r="AD499" s="2">
        <f t="shared" si="52"/>
        <v>5</v>
      </c>
      <c r="AE499" s="2">
        <f t="shared" ca="1" si="53"/>
        <v>-272.29048460648482</v>
      </c>
      <c r="AF499" s="15"/>
    </row>
    <row r="500" spans="1:32" hidden="1">
      <c r="A500" s="1">
        <v>8631881</v>
      </c>
      <c r="B500" s="1" t="s">
        <v>653</v>
      </c>
      <c r="C500" t="s">
        <v>935</v>
      </c>
      <c r="E500" s="2">
        <v>1421001400010</v>
      </c>
      <c r="F500" s="1" t="s">
        <v>936</v>
      </c>
      <c r="G500" s="1" t="s">
        <v>53</v>
      </c>
      <c r="H500" s="1" t="s">
        <v>179</v>
      </c>
      <c r="I500" s="1" t="s">
        <v>180</v>
      </c>
      <c r="J500" s="1" t="s">
        <v>79</v>
      </c>
      <c r="K500" t="s">
        <v>937</v>
      </c>
      <c r="M500" s="1" t="s">
        <v>58</v>
      </c>
      <c r="N500" s="1">
        <v>0</v>
      </c>
      <c r="O500" s="1" t="s">
        <v>105</v>
      </c>
      <c r="P500" s="11" t="s">
        <v>1027</v>
      </c>
      <c r="R500" s="1">
        <v>3</v>
      </c>
      <c r="T500" s="1" t="s">
        <v>646</v>
      </c>
      <c r="U500" s="11" t="s">
        <v>1028</v>
      </c>
      <c r="V500" s="1" t="s">
        <v>41</v>
      </c>
      <c r="W500" s="1" t="s">
        <v>49</v>
      </c>
      <c r="X500" s="13" t="str">
        <f t="shared" si="54"/>
        <v/>
      </c>
      <c r="Y500" s="2">
        <f t="shared" ca="1" si="49"/>
        <v>196</v>
      </c>
      <c r="Z500" s="14">
        <v>1</v>
      </c>
      <c r="AA500" s="1" t="str">
        <f t="shared" ca="1" si="50"/>
        <v>VENCIDO</v>
      </c>
      <c r="AB500" s="1" t="str">
        <f t="shared" si="51"/>
        <v>C-14</v>
      </c>
      <c r="AC500" s="2" t="str">
        <f t="shared" si="55"/>
        <v xml:space="preserve"> ROSEMERE </v>
      </c>
      <c r="AD500" s="2">
        <f t="shared" si="52"/>
        <v>5</v>
      </c>
      <c r="AE500" s="2">
        <f t="shared" ca="1" si="53"/>
        <v>-272.29060034722352</v>
      </c>
      <c r="AF500" s="15"/>
    </row>
    <row r="501" spans="1:32" hidden="1">
      <c r="A501" s="1">
        <v>8631827</v>
      </c>
      <c r="B501" s="1" t="s">
        <v>653</v>
      </c>
      <c r="C501" t="s">
        <v>935</v>
      </c>
      <c r="E501" s="2">
        <v>1362001400010</v>
      </c>
      <c r="F501" s="1" t="s">
        <v>936</v>
      </c>
      <c r="G501" s="1" t="s">
        <v>53</v>
      </c>
      <c r="H501" s="1" t="s">
        <v>268</v>
      </c>
      <c r="I501" s="1" t="s">
        <v>269</v>
      </c>
      <c r="J501" s="1" t="s">
        <v>90</v>
      </c>
      <c r="K501" t="s">
        <v>937</v>
      </c>
      <c r="M501" s="1" t="s">
        <v>58</v>
      </c>
      <c r="N501" s="1">
        <v>0</v>
      </c>
      <c r="O501" s="1" t="s">
        <v>105</v>
      </c>
      <c r="P501" s="11" t="s">
        <v>1029</v>
      </c>
      <c r="R501" s="1">
        <v>3</v>
      </c>
      <c r="T501" s="1" t="s">
        <v>646</v>
      </c>
      <c r="U501" s="11" t="s">
        <v>1030</v>
      </c>
      <c r="V501" s="1" t="s">
        <v>41</v>
      </c>
      <c r="W501" s="1" t="s">
        <v>49</v>
      </c>
      <c r="X501" s="13" t="str">
        <f t="shared" si="54"/>
        <v/>
      </c>
      <c r="Y501" s="2">
        <f t="shared" ca="1" si="49"/>
        <v>196</v>
      </c>
      <c r="Z501" s="14">
        <v>1</v>
      </c>
      <c r="AA501" s="1" t="str">
        <f t="shared" ca="1" si="50"/>
        <v>VENCIDO</v>
      </c>
      <c r="AB501" s="1" t="str">
        <f t="shared" si="51"/>
        <v>C-14</v>
      </c>
      <c r="AC501" s="2" t="str">
        <f t="shared" si="55"/>
        <v xml:space="preserve"> RINALDO </v>
      </c>
      <c r="AD501" s="2">
        <f t="shared" si="52"/>
        <v>5</v>
      </c>
      <c r="AE501" s="2">
        <f t="shared" ca="1" si="53"/>
        <v>-272.29066979166964</v>
      </c>
      <c r="AF501" s="15"/>
    </row>
    <row r="502" spans="1:32" hidden="1">
      <c r="A502" s="1">
        <v>8631826</v>
      </c>
      <c r="B502" s="1" t="s">
        <v>653</v>
      </c>
      <c r="C502" t="s">
        <v>935</v>
      </c>
      <c r="E502" s="2">
        <v>1361001400010</v>
      </c>
      <c r="F502" s="1" t="s">
        <v>936</v>
      </c>
      <c r="G502" s="1" t="s">
        <v>53</v>
      </c>
      <c r="H502" s="1" t="s">
        <v>309</v>
      </c>
      <c r="I502" s="1" t="s">
        <v>310</v>
      </c>
      <c r="J502" s="1" t="s">
        <v>46</v>
      </c>
      <c r="K502" t="s">
        <v>937</v>
      </c>
      <c r="M502" s="1" t="s">
        <v>58</v>
      </c>
      <c r="N502" s="1">
        <v>0</v>
      </c>
      <c r="O502" s="1" t="s">
        <v>105</v>
      </c>
      <c r="P502" s="11" t="s">
        <v>1029</v>
      </c>
      <c r="R502" s="1">
        <v>3</v>
      </c>
      <c r="T502" s="1" t="s">
        <v>646</v>
      </c>
      <c r="U502" s="11" t="s">
        <v>1030</v>
      </c>
      <c r="V502" s="1" t="s">
        <v>41</v>
      </c>
      <c r="W502" s="1" t="s">
        <v>49</v>
      </c>
      <c r="X502" s="13" t="str">
        <f t="shared" si="54"/>
        <v/>
      </c>
      <c r="Y502" s="2">
        <f t="shared" ca="1" si="49"/>
        <v>196</v>
      </c>
      <c r="Z502" s="14">
        <v>1</v>
      </c>
      <c r="AA502" s="1" t="str">
        <f t="shared" ca="1" si="50"/>
        <v>VENCIDO</v>
      </c>
      <c r="AB502" s="1" t="str">
        <f t="shared" si="51"/>
        <v>C-14</v>
      </c>
      <c r="AC502" s="2" t="str">
        <f t="shared" si="55"/>
        <v xml:space="preserve"> CLEITON </v>
      </c>
      <c r="AD502" s="2">
        <f t="shared" si="52"/>
        <v>5</v>
      </c>
      <c r="AE502" s="2">
        <f t="shared" ca="1" si="53"/>
        <v>-272.29066979166964</v>
      </c>
      <c r="AF502" s="15"/>
    </row>
    <row r="503" spans="1:32" hidden="1">
      <c r="A503" s="1">
        <v>8631825</v>
      </c>
      <c r="B503" s="1" t="s">
        <v>653</v>
      </c>
      <c r="C503" t="s">
        <v>935</v>
      </c>
      <c r="E503" s="2">
        <v>1360001400010</v>
      </c>
      <c r="F503" s="1" t="s">
        <v>936</v>
      </c>
      <c r="G503" s="1" t="s">
        <v>53</v>
      </c>
      <c r="H503" s="1" t="s">
        <v>303</v>
      </c>
      <c r="I503" s="1" t="s">
        <v>304</v>
      </c>
      <c r="J503" s="1" t="s">
        <v>261</v>
      </c>
      <c r="K503" t="s">
        <v>937</v>
      </c>
      <c r="M503" s="1" t="s">
        <v>58</v>
      </c>
      <c r="N503" s="1">
        <v>0</v>
      </c>
      <c r="O503" s="1" t="s">
        <v>105</v>
      </c>
      <c r="P503" s="11" t="s">
        <v>1029</v>
      </c>
      <c r="R503" s="1">
        <v>3</v>
      </c>
      <c r="T503" s="1" t="s">
        <v>646</v>
      </c>
      <c r="U503" s="11" t="s">
        <v>1030</v>
      </c>
      <c r="V503" s="1" t="s">
        <v>41</v>
      </c>
      <c r="W503" s="1" t="s">
        <v>49</v>
      </c>
      <c r="X503" s="13" t="str">
        <f t="shared" si="54"/>
        <v/>
      </c>
      <c r="Y503" s="2">
        <f t="shared" ca="1" si="49"/>
        <v>196</v>
      </c>
      <c r="Z503" s="14">
        <v>1</v>
      </c>
      <c r="AA503" s="1" t="str">
        <f t="shared" ca="1" si="50"/>
        <v>VENCIDO</v>
      </c>
      <c r="AB503" s="1" t="str">
        <f t="shared" si="51"/>
        <v>C-14</v>
      </c>
      <c r="AC503" s="2" t="str">
        <f t="shared" si="55"/>
        <v xml:space="preserve"> CRISTINA </v>
      </c>
      <c r="AD503" s="2">
        <f t="shared" si="52"/>
        <v>5</v>
      </c>
      <c r="AE503" s="2">
        <f t="shared" ca="1" si="53"/>
        <v>-272.29066979166964</v>
      </c>
      <c r="AF503" s="15"/>
    </row>
    <row r="504" spans="1:32" hidden="1">
      <c r="A504" s="1">
        <v>8631824</v>
      </c>
      <c r="B504" s="1" t="s">
        <v>653</v>
      </c>
      <c r="C504" t="s">
        <v>935</v>
      </c>
      <c r="E504" s="2">
        <v>1359001400010</v>
      </c>
      <c r="F504" s="1" t="s">
        <v>936</v>
      </c>
      <c r="G504" s="1" t="s">
        <v>53</v>
      </c>
      <c r="H504" s="1" t="s">
        <v>270</v>
      </c>
      <c r="I504" s="1" t="s">
        <v>271</v>
      </c>
      <c r="J504" s="1" t="s">
        <v>141</v>
      </c>
      <c r="K504" t="s">
        <v>937</v>
      </c>
      <c r="M504" s="1" t="s">
        <v>58</v>
      </c>
      <c r="N504" s="1">
        <v>0</v>
      </c>
      <c r="O504" s="1" t="s">
        <v>105</v>
      </c>
      <c r="P504" s="11" t="s">
        <v>1029</v>
      </c>
      <c r="R504" s="1">
        <v>3</v>
      </c>
      <c r="T504" s="1" t="s">
        <v>646</v>
      </c>
      <c r="U504" s="11" t="s">
        <v>1030</v>
      </c>
      <c r="V504" s="1" t="s">
        <v>41</v>
      </c>
      <c r="W504" s="1" t="s">
        <v>49</v>
      </c>
      <c r="X504" s="13" t="str">
        <f t="shared" si="54"/>
        <v/>
      </c>
      <c r="Y504" s="2">
        <f t="shared" ca="1" si="49"/>
        <v>196</v>
      </c>
      <c r="Z504" s="14">
        <v>1</v>
      </c>
      <c r="AA504" s="1" t="str">
        <f t="shared" ca="1" si="50"/>
        <v>VENCIDO</v>
      </c>
      <c r="AB504" s="1" t="str">
        <f t="shared" si="51"/>
        <v>C-14</v>
      </c>
      <c r="AC504" s="2" t="str">
        <f t="shared" si="55"/>
        <v xml:space="preserve"> CRISTINA </v>
      </c>
      <c r="AD504" s="2">
        <f t="shared" si="52"/>
        <v>5</v>
      </c>
      <c r="AE504" s="2">
        <f t="shared" ca="1" si="53"/>
        <v>-272.29066979166964</v>
      </c>
      <c r="AF504" s="15"/>
    </row>
    <row r="505" spans="1:32" hidden="1">
      <c r="A505" s="1">
        <v>8631649</v>
      </c>
      <c r="B505" s="1" t="s">
        <v>653</v>
      </c>
      <c r="C505" t="s">
        <v>935</v>
      </c>
      <c r="E505" s="2">
        <v>1153001400010</v>
      </c>
      <c r="F505" s="1" t="s">
        <v>936</v>
      </c>
      <c r="G505" s="1" t="s">
        <v>53</v>
      </c>
      <c r="H505" s="1" t="s">
        <v>1031</v>
      </c>
      <c r="I505" s="1" t="s">
        <v>1032</v>
      </c>
      <c r="J505" s="1" t="s">
        <v>79</v>
      </c>
      <c r="K505" t="s">
        <v>937</v>
      </c>
      <c r="M505" s="1" t="s">
        <v>58</v>
      </c>
      <c r="N505" s="1">
        <v>0</v>
      </c>
      <c r="O505" s="1" t="s">
        <v>105</v>
      </c>
      <c r="P505" s="11" t="s">
        <v>3447</v>
      </c>
      <c r="R505" s="1">
        <v>3</v>
      </c>
      <c r="T505" s="1" t="s">
        <v>646</v>
      </c>
      <c r="U505" s="11" t="s">
        <v>3448</v>
      </c>
      <c r="V505" s="1" t="s">
        <v>41</v>
      </c>
      <c r="W505" s="1" t="s">
        <v>49</v>
      </c>
      <c r="X505" s="13" t="str">
        <f t="shared" si="54"/>
        <v/>
      </c>
      <c r="Y505" s="2">
        <f t="shared" ca="1" si="49"/>
        <v>196</v>
      </c>
      <c r="Z505" s="14">
        <v>1</v>
      </c>
      <c r="AA505" s="1" t="str">
        <f t="shared" ca="1" si="50"/>
        <v>VENCIDO</v>
      </c>
      <c r="AB505" s="1" t="str">
        <f t="shared" si="51"/>
        <v>C-14</v>
      </c>
      <c r="AC505" s="2" t="str">
        <f t="shared" si="55"/>
        <v xml:space="preserve"> ROSEMERE </v>
      </c>
      <c r="AD505" s="2">
        <f t="shared" si="52"/>
        <v>5</v>
      </c>
      <c r="AE505" s="2">
        <f t="shared" ca="1" si="53"/>
        <v>-272.29088969907752</v>
      </c>
      <c r="AF505" s="15"/>
    </row>
    <row r="506" spans="1:32" hidden="1">
      <c r="A506" s="1">
        <v>8631615</v>
      </c>
      <c r="B506" s="1" t="s">
        <v>653</v>
      </c>
      <c r="C506" t="s">
        <v>935</v>
      </c>
      <c r="E506" s="2">
        <v>1120001400010</v>
      </c>
      <c r="F506" s="1" t="s">
        <v>936</v>
      </c>
      <c r="G506" s="1" t="s">
        <v>53</v>
      </c>
      <c r="H506" s="1" t="s">
        <v>181</v>
      </c>
      <c r="I506" s="1" t="s">
        <v>182</v>
      </c>
      <c r="J506" s="1" t="s">
        <v>164</v>
      </c>
      <c r="K506" t="s">
        <v>937</v>
      </c>
      <c r="M506" s="1" t="s">
        <v>58</v>
      </c>
      <c r="N506" s="1">
        <v>0</v>
      </c>
      <c r="O506" s="1" t="s">
        <v>105</v>
      </c>
      <c r="P506" s="11" t="s">
        <v>1033</v>
      </c>
      <c r="R506" s="1">
        <v>3</v>
      </c>
      <c r="T506" s="1" t="s">
        <v>646</v>
      </c>
      <c r="U506" s="11" t="s">
        <v>1034</v>
      </c>
      <c r="V506" s="1" t="s">
        <v>41</v>
      </c>
      <c r="W506" s="1" t="s">
        <v>49</v>
      </c>
      <c r="X506" s="13" t="str">
        <f t="shared" si="54"/>
        <v/>
      </c>
      <c r="Y506" s="2">
        <f t="shared" ca="1" si="49"/>
        <v>196</v>
      </c>
      <c r="Z506" s="14">
        <v>1</v>
      </c>
      <c r="AA506" s="1" t="str">
        <f t="shared" ca="1" si="50"/>
        <v>VENCIDO</v>
      </c>
      <c r="AB506" s="1" t="str">
        <f t="shared" si="51"/>
        <v>C-14</v>
      </c>
      <c r="AC506" s="2" t="str">
        <f t="shared" si="55"/>
        <v xml:space="preserve"> ROSEMERE </v>
      </c>
      <c r="AD506" s="2">
        <f t="shared" si="52"/>
        <v>5</v>
      </c>
      <c r="AE506" s="2">
        <f t="shared" ca="1" si="53"/>
        <v>-272.29093599537009</v>
      </c>
      <c r="AF506" s="15"/>
    </row>
    <row r="507" spans="1:32" hidden="1">
      <c r="A507" s="1">
        <v>8631560</v>
      </c>
      <c r="B507" s="1" t="s">
        <v>653</v>
      </c>
      <c r="C507" t="s">
        <v>935</v>
      </c>
      <c r="E507" s="2">
        <v>1059001400010</v>
      </c>
      <c r="F507" s="1" t="s">
        <v>936</v>
      </c>
      <c r="G507" s="1" t="s">
        <v>53</v>
      </c>
      <c r="H507" s="1" t="s">
        <v>88</v>
      </c>
      <c r="I507" s="1" t="s">
        <v>89</v>
      </c>
      <c r="J507" s="1" t="s">
        <v>90</v>
      </c>
      <c r="K507" t="s">
        <v>937</v>
      </c>
      <c r="M507" s="1" t="s">
        <v>58</v>
      </c>
      <c r="N507" s="1">
        <v>0</v>
      </c>
      <c r="O507" s="1" t="s">
        <v>105</v>
      </c>
      <c r="P507" s="11" t="s">
        <v>1038</v>
      </c>
      <c r="R507" s="1">
        <v>3</v>
      </c>
      <c r="T507" s="1" t="s">
        <v>646</v>
      </c>
      <c r="U507" s="11" t="s">
        <v>1039</v>
      </c>
      <c r="V507" s="1" t="s">
        <v>41</v>
      </c>
      <c r="W507" s="1" t="s">
        <v>49</v>
      </c>
      <c r="X507" s="13" t="str">
        <f t="shared" si="54"/>
        <v/>
      </c>
      <c r="Y507" s="2">
        <f t="shared" ca="1" si="49"/>
        <v>196</v>
      </c>
      <c r="Z507" s="14">
        <v>1</v>
      </c>
      <c r="AA507" s="1" t="str">
        <f t="shared" ca="1" si="50"/>
        <v>VENCIDO</v>
      </c>
      <c r="AB507" s="1" t="str">
        <f t="shared" si="51"/>
        <v>C-14</v>
      </c>
      <c r="AC507" s="2" t="str">
        <f t="shared" si="55"/>
        <v xml:space="preserve"> RINALDO </v>
      </c>
      <c r="AD507" s="2">
        <f t="shared" si="52"/>
        <v>5</v>
      </c>
      <c r="AE507" s="2">
        <f t="shared" ca="1" si="53"/>
        <v>-272.29099386573944</v>
      </c>
      <c r="AF507" s="15"/>
    </row>
    <row r="508" spans="1:32" hidden="1">
      <c r="A508" s="1">
        <v>8631548</v>
      </c>
      <c r="B508" s="1" t="s">
        <v>653</v>
      </c>
      <c r="C508" t="s">
        <v>935</v>
      </c>
      <c r="E508" s="2">
        <v>1049001400010</v>
      </c>
      <c r="F508" s="1" t="s">
        <v>936</v>
      </c>
      <c r="G508" s="1" t="s">
        <v>53</v>
      </c>
      <c r="H508" s="1" t="s">
        <v>169</v>
      </c>
      <c r="I508" s="1" t="s">
        <v>170</v>
      </c>
      <c r="J508" s="1" t="s">
        <v>164</v>
      </c>
      <c r="K508" t="s">
        <v>937</v>
      </c>
      <c r="M508" s="1" t="s">
        <v>58</v>
      </c>
      <c r="N508" s="1">
        <v>0</v>
      </c>
      <c r="O508" s="1" t="s">
        <v>105</v>
      </c>
      <c r="P508" s="11" t="s">
        <v>1040</v>
      </c>
      <c r="R508" s="1">
        <v>3</v>
      </c>
      <c r="T508" s="1" t="s">
        <v>646</v>
      </c>
      <c r="U508" s="11" t="s">
        <v>1041</v>
      </c>
      <c r="V508" s="1" t="s">
        <v>41</v>
      </c>
      <c r="W508" s="1" t="s">
        <v>49</v>
      </c>
      <c r="X508" s="13" t="str">
        <f t="shared" si="54"/>
        <v/>
      </c>
      <c r="Y508" s="2">
        <f t="shared" ca="1" si="49"/>
        <v>196</v>
      </c>
      <c r="Z508" s="14">
        <v>1</v>
      </c>
      <c r="AA508" s="1" t="str">
        <f t="shared" ca="1" si="50"/>
        <v>VENCIDO</v>
      </c>
      <c r="AB508" s="1" t="str">
        <f t="shared" si="51"/>
        <v>C-14</v>
      </c>
      <c r="AC508" s="2" t="str">
        <f t="shared" si="55"/>
        <v xml:space="preserve"> ROSEMERE </v>
      </c>
      <c r="AD508" s="2">
        <f t="shared" si="52"/>
        <v>5</v>
      </c>
      <c r="AE508" s="2">
        <f t="shared" ca="1" si="53"/>
        <v>-272.29101701388572</v>
      </c>
      <c r="AF508" s="15"/>
    </row>
    <row r="509" spans="1:32" hidden="1">
      <c r="A509" s="1">
        <v>8631442</v>
      </c>
      <c r="B509" s="1" t="s">
        <v>653</v>
      </c>
      <c r="C509" t="s">
        <v>935</v>
      </c>
      <c r="E509" s="2">
        <v>934001400010</v>
      </c>
      <c r="F509" s="1" t="s">
        <v>936</v>
      </c>
      <c r="G509" s="1" t="s">
        <v>53</v>
      </c>
      <c r="H509" s="1" t="s">
        <v>428</v>
      </c>
      <c r="I509" s="1" t="s">
        <v>429</v>
      </c>
      <c r="J509" s="1" t="s">
        <v>46</v>
      </c>
      <c r="K509" t="s">
        <v>937</v>
      </c>
      <c r="M509" s="1" t="s">
        <v>58</v>
      </c>
      <c r="N509" s="1">
        <v>0</v>
      </c>
      <c r="O509" s="1" t="s">
        <v>105</v>
      </c>
      <c r="P509" s="11" t="s">
        <v>1042</v>
      </c>
      <c r="R509" s="1">
        <v>3</v>
      </c>
      <c r="T509" s="1" t="s">
        <v>646</v>
      </c>
      <c r="U509" s="11" t="s">
        <v>1043</v>
      </c>
      <c r="V509" s="1" t="s">
        <v>41</v>
      </c>
      <c r="W509" s="1" t="s">
        <v>49</v>
      </c>
      <c r="X509" s="13" t="str">
        <f t="shared" si="54"/>
        <v/>
      </c>
      <c r="Y509" s="2">
        <f t="shared" ca="1" si="49"/>
        <v>196</v>
      </c>
      <c r="Z509" s="14">
        <v>1</v>
      </c>
      <c r="AA509" s="1" t="str">
        <f t="shared" ca="1" si="50"/>
        <v>VENCIDO</v>
      </c>
      <c r="AB509" s="1" t="str">
        <f t="shared" si="51"/>
        <v>C-14</v>
      </c>
      <c r="AC509" s="2" t="str">
        <f t="shared" si="55"/>
        <v xml:space="preserve"> CLEITON </v>
      </c>
      <c r="AD509" s="2">
        <f t="shared" si="52"/>
        <v>5</v>
      </c>
      <c r="AE509" s="2">
        <f t="shared" ca="1" si="53"/>
        <v>-272.29112118055491</v>
      </c>
      <c r="AF509" s="15"/>
    </row>
    <row r="510" spans="1:32" hidden="1">
      <c r="A510" s="1">
        <v>8631407</v>
      </c>
      <c r="B510" s="1" t="s">
        <v>653</v>
      </c>
      <c r="C510" t="s">
        <v>935</v>
      </c>
      <c r="E510" s="2">
        <v>899001400010</v>
      </c>
      <c r="F510" s="1" t="s">
        <v>936</v>
      </c>
      <c r="G510" s="1" t="s">
        <v>53</v>
      </c>
      <c r="H510" s="1" t="s">
        <v>175</v>
      </c>
      <c r="I510" s="1" t="s">
        <v>176</v>
      </c>
      <c r="J510" s="1" t="s">
        <v>90</v>
      </c>
      <c r="K510" t="s">
        <v>937</v>
      </c>
      <c r="M510" s="1" t="s">
        <v>58</v>
      </c>
      <c r="N510" s="1">
        <v>0</v>
      </c>
      <c r="O510" s="1" t="s">
        <v>105</v>
      </c>
      <c r="P510" s="11" t="s">
        <v>1044</v>
      </c>
      <c r="R510" s="1">
        <v>3</v>
      </c>
      <c r="T510" s="1" t="s">
        <v>646</v>
      </c>
      <c r="U510" s="11" t="s">
        <v>1045</v>
      </c>
      <c r="V510" s="1" t="s">
        <v>41</v>
      </c>
      <c r="W510" s="1" t="s">
        <v>49</v>
      </c>
      <c r="X510" s="13" t="str">
        <f t="shared" si="54"/>
        <v/>
      </c>
      <c r="Y510" s="2">
        <f t="shared" ca="1" si="49"/>
        <v>196</v>
      </c>
      <c r="Z510" s="14">
        <v>1</v>
      </c>
      <c r="AA510" s="1" t="str">
        <f t="shared" ca="1" si="50"/>
        <v>VENCIDO</v>
      </c>
      <c r="AB510" s="1" t="str">
        <f t="shared" si="51"/>
        <v>C-14</v>
      </c>
      <c r="AC510" s="2" t="str">
        <f t="shared" si="55"/>
        <v xml:space="preserve"> RINALDO </v>
      </c>
      <c r="AD510" s="2">
        <f t="shared" si="52"/>
        <v>5</v>
      </c>
      <c r="AE510" s="2">
        <f t="shared" ca="1" si="53"/>
        <v>-272.29116747685475</v>
      </c>
      <c r="AF510" s="15"/>
    </row>
    <row r="511" spans="1:32" hidden="1">
      <c r="A511" s="1">
        <v>8631233</v>
      </c>
      <c r="B511" s="1" t="s">
        <v>653</v>
      </c>
      <c r="C511" t="s">
        <v>935</v>
      </c>
      <c r="E511" s="2">
        <v>721001400010</v>
      </c>
      <c r="F511" s="1" t="s">
        <v>936</v>
      </c>
      <c r="G511" s="1" t="s">
        <v>53</v>
      </c>
      <c r="H511" s="1" t="s">
        <v>422</v>
      </c>
      <c r="I511" s="1" t="s">
        <v>423</v>
      </c>
      <c r="J511" s="1" t="s">
        <v>79</v>
      </c>
      <c r="K511" t="s">
        <v>937</v>
      </c>
      <c r="M511" s="1" t="s">
        <v>58</v>
      </c>
      <c r="N511" s="1">
        <v>0</v>
      </c>
      <c r="O511" s="1" t="s">
        <v>105</v>
      </c>
      <c r="P511" s="11" t="s">
        <v>1046</v>
      </c>
      <c r="R511" s="1">
        <v>3</v>
      </c>
      <c r="T511" s="1" t="s">
        <v>646</v>
      </c>
      <c r="U511" s="11" t="s">
        <v>1047</v>
      </c>
      <c r="V511" s="1" t="s">
        <v>41</v>
      </c>
      <c r="W511" s="1" t="s">
        <v>49</v>
      </c>
      <c r="X511" s="13" t="str">
        <f t="shared" si="54"/>
        <v/>
      </c>
      <c r="Y511" s="2">
        <f t="shared" ca="1" si="49"/>
        <v>196</v>
      </c>
      <c r="Z511" s="14">
        <v>1</v>
      </c>
      <c r="AA511" s="1" t="str">
        <f t="shared" ca="1" si="50"/>
        <v>VENCIDO</v>
      </c>
      <c r="AB511" s="1" t="str">
        <f t="shared" si="51"/>
        <v>C-14</v>
      </c>
      <c r="AC511" s="2" t="str">
        <f t="shared" si="55"/>
        <v xml:space="preserve"> ROSEMERE </v>
      </c>
      <c r="AD511" s="2">
        <f t="shared" si="52"/>
        <v>5</v>
      </c>
      <c r="AE511" s="2">
        <f t="shared" ca="1" si="53"/>
        <v>-272.29137581018585</v>
      </c>
      <c r="AF511" s="15"/>
    </row>
    <row r="512" spans="1:32" hidden="1">
      <c r="A512" s="1">
        <v>8631225</v>
      </c>
      <c r="B512" s="1" t="s">
        <v>653</v>
      </c>
      <c r="C512" t="s">
        <v>935</v>
      </c>
      <c r="E512" s="2">
        <v>714001400010</v>
      </c>
      <c r="F512" s="1" t="s">
        <v>936</v>
      </c>
      <c r="G512" s="1" t="s">
        <v>53</v>
      </c>
      <c r="H512" s="1" t="s">
        <v>377</v>
      </c>
      <c r="I512" s="1" t="s">
        <v>378</v>
      </c>
      <c r="J512" s="1" t="s">
        <v>46</v>
      </c>
      <c r="K512" t="s">
        <v>937</v>
      </c>
      <c r="M512" s="1" t="s">
        <v>58</v>
      </c>
      <c r="N512" s="1">
        <v>0</v>
      </c>
      <c r="O512" s="1" t="s">
        <v>105</v>
      </c>
      <c r="P512" s="11" t="s">
        <v>1046</v>
      </c>
      <c r="R512" s="1">
        <v>3</v>
      </c>
      <c r="T512" s="1" t="s">
        <v>646</v>
      </c>
      <c r="U512" s="11" t="s">
        <v>1047</v>
      </c>
      <c r="V512" s="1" t="s">
        <v>41</v>
      </c>
      <c r="W512" s="1" t="s">
        <v>49</v>
      </c>
      <c r="X512" s="13" t="str">
        <f t="shared" si="54"/>
        <v/>
      </c>
      <c r="Y512" s="2">
        <f t="shared" ca="1" si="49"/>
        <v>196</v>
      </c>
      <c r="Z512" s="14">
        <v>1</v>
      </c>
      <c r="AA512" s="1" t="str">
        <f t="shared" ca="1" si="50"/>
        <v>VENCIDO</v>
      </c>
      <c r="AB512" s="1" t="str">
        <f t="shared" si="51"/>
        <v>C-14</v>
      </c>
      <c r="AC512" s="2" t="str">
        <f t="shared" si="55"/>
        <v xml:space="preserve"> CLEITON </v>
      </c>
      <c r="AD512" s="2">
        <f t="shared" si="52"/>
        <v>5</v>
      </c>
      <c r="AE512" s="2">
        <f t="shared" ca="1" si="53"/>
        <v>-272.29137581018585</v>
      </c>
      <c r="AF512" s="15"/>
    </row>
    <row r="513" spans="1:32" hidden="1">
      <c r="A513" s="1">
        <v>8631223</v>
      </c>
      <c r="B513" s="1" t="s">
        <v>653</v>
      </c>
      <c r="C513" t="s">
        <v>935</v>
      </c>
      <c r="E513" s="2">
        <v>711001400010</v>
      </c>
      <c r="F513" s="1" t="s">
        <v>936</v>
      </c>
      <c r="G513" s="1" t="s">
        <v>53</v>
      </c>
      <c r="H513" s="1" t="s">
        <v>77</v>
      </c>
      <c r="I513" s="1" t="s">
        <v>78</v>
      </c>
      <c r="J513" s="1" t="s">
        <v>79</v>
      </c>
      <c r="K513" t="s">
        <v>937</v>
      </c>
      <c r="M513" s="1" t="s">
        <v>58</v>
      </c>
      <c r="N513" s="1">
        <v>0</v>
      </c>
      <c r="O513" s="1" t="s">
        <v>105</v>
      </c>
      <c r="P513" s="11" t="s">
        <v>1048</v>
      </c>
      <c r="R513" s="1">
        <v>3</v>
      </c>
      <c r="T513" s="1" t="s">
        <v>646</v>
      </c>
      <c r="U513" s="186">
        <v>44714.384895833333</v>
      </c>
      <c r="V513" s="1" t="s">
        <v>41</v>
      </c>
      <c r="W513" s="1" t="s">
        <v>49</v>
      </c>
      <c r="X513" s="13" t="str">
        <f t="shared" si="54"/>
        <v/>
      </c>
      <c r="Y513" s="2">
        <f t="shared" ca="1" si="49"/>
        <v>196</v>
      </c>
      <c r="Z513" s="14">
        <v>1</v>
      </c>
      <c r="AA513" s="1" t="str">
        <f t="shared" ca="1" si="50"/>
        <v>VENCIDO</v>
      </c>
      <c r="AB513" s="1" t="str">
        <f t="shared" si="51"/>
        <v>C-14</v>
      </c>
      <c r="AC513" s="2" t="str">
        <f t="shared" si="55"/>
        <v xml:space="preserve"> ROSEMERE </v>
      </c>
      <c r="AD513" s="2">
        <f t="shared" si="52"/>
        <v>5</v>
      </c>
      <c r="AE513" s="2">
        <f t="shared" ca="1" si="53"/>
        <v>-272.29137581018585</v>
      </c>
      <c r="AF513" s="15"/>
    </row>
    <row r="514" spans="1:32" hidden="1">
      <c r="A514" s="1">
        <v>8631222</v>
      </c>
      <c r="B514" s="1" t="s">
        <v>653</v>
      </c>
      <c r="C514" t="s">
        <v>935</v>
      </c>
      <c r="E514" s="2">
        <v>710001400010</v>
      </c>
      <c r="F514" s="1" t="s">
        <v>936</v>
      </c>
      <c r="G514" s="1" t="s">
        <v>53</v>
      </c>
      <c r="H514" s="1" t="s">
        <v>390</v>
      </c>
      <c r="I514" s="1" t="s">
        <v>391</v>
      </c>
      <c r="J514" s="1" t="s">
        <v>56</v>
      </c>
      <c r="K514" t="s">
        <v>937</v>
      </c>
      <c r="M514" s="1" t="s">
        <v>58</v>
      </c>
      <c r="N514" s="1">
        <v>0</v>
      </c>
      <c r="O514" s="1" t="s">
        <v>105</v>
      </c>
      <c r="P514" s="11" t="s">
        <v>1048</v>
      </c>
      <c r="R514" s="1">
        <v>3</v>
      </c>
      <c r="T514" s="1" t="s">
        <v>646</v>
      </c>
      <c r="U514" s="186">
        <v>44714.384884259256</v>
      </c>
      <c r="V514" s="1" t="s">
        <v>41</v>
      </c>
      <c r="W514" s="1" t="s">
        <v>49</v>
      </c>
      <c r="X514" s="13" t="str">
        <f t="shared" si="54"/>
        <v/>
      </c>
      <c r="Y514" s="2">
        <f t="shared" ref="Y514:Y577" ca="1" si="56">NETWORKDAYS(P514,$Y$1)</f>
        <v>196</v>
      </c>
      <c r="Z514" s="14">
        <v>1</v>
      </c>
      <c r="AA514" s="1" t="str">
        <f t="shared" ref="AA514:AA577" ca="1" si="57">IF(AE514=0,"HOJE",IF(AE514&gt;0,"A VENCER",IF(AE514&lt;0,"VENCIDO")))</f>
        <v>VENCIDO</v>
      </c>
      <c r="AB514" s="1" t="str">
        <f t="shared" ref="AB514:AB577" si="58">IF(F514="GRPE-000001","C-14",IF(F514="GRPE-000002","C-14",IF(F514="GRPE-000003","C-14",IF(F514="GRPE-000004","SL-On",IF(F514="GRPE-000038","C-14",IF(F514="GRPE-900022","Dosa",IF(F514="GRPE-000029","Dosa",IF(F514="ATOS-000222","Dose","TAAe+"))))))))</f>
        <v>C-14</v>
      </c>
      <c r="AC514" s="2" t="str">
        <f t="shared" si="55"/>
        <v xml:space="preserve"> CRISTINA </v>
      </c>
      <c r="AD514" s="2">
        <f t="shared" ref="AD514:AD577" si="59">IF(F514="GRPE-000001",5,IF(F514="GRPE-000002",5,IF(F514="GRPE-000003",15,IF(F514="GRPE-000004",1,IF(F514="GRPE-000038",5,IF(F514="GRPE-900022",5,IF(F514="GRPE-000029",5,IF(F514="ATOS-000222",5,8))))))))</f>
        <v>5</v>
      </c>
      <c r="AE514" s="2">
        <f t="shared" ref="AE514:AE577" ca="1" si="60">IF(U514=$AE$1,"",U514-$AE$1)</f>
        <v>-272.29138738426263</v>
      </c>
      <c r="AF514" s="15"/>
    </row>
    <row r="515" spans="1:32" hidden="1">
      <c r="A515" s="1">
        <v>8631065</v>
      </c>
      <c r="B515" s="1" t="s">
        <v>653</v>
      </c>
      <c r="C515" t="s">
        <v>935</v>
      </c>
      <c r="E515" s="2">
        <v>550001400010</v>
      </c>
      <c r="F515" s="1" t="s">
        <v>936</v>
      </c>
      <c r="G515" s="1" t="s">
        <v>53</v>
      </c>
      <c r="H515" s="1" t="s">
        <v>337</v>
      </c>
      <c r="I515" s="1" t="s">
        <v>338</v>
      </c>
      <c r="J515" s="1" t="s">
        <v>164</v>
      </c>
      <c r="K515" t="s">
        <v>937</v>
      </c>
      <c r="M515" s="1" t="s">
        <v>58</v>
      </c>
      <c r="N515" s="1">
        <v>0</v>
      </c>
      <c r="O515" s="1" t="s">
        <v>105</v>
      </c>
      <c r="P515" s="11" t="s">
        <v>1050</v>
      </c>
      <c r="R515" s="1">
        <v>3</v>
      </c>
      <c r="T515" s="1" t="s">
        <v>646</v>
      </c>
      <c r="U515" s="186">
        <v>44714.384722222225</v>
      </c>
      <c r="V515" s="1" t="s">
        <v>41</v>
      </c>
      <c r="W515" s="1" t="s">
        <v>49</v>
      </c>
      <c r="X515" s="13" t="str">
        <f t="shared" ref="X515:X578" si="61">IF(RIGHT(H515,2)&lt;&gt;"00",H515,"")</f>
        <v/>
      </c>
      <c r="Y515" s="2">
        <f t="shared" ca="1" si="56"/>
        <v>196</v>
      </c>
      <c r="Z515" s="14">
        <v>1</v>
      </c>
      <c r="AA515" s="1" t="str">
        <f t="shared" ca="1" si="57"/>
        <v>VENCIDO</v>
      </c>
      <c r="AB515" s="1" t="str">
        <f t="shared" si="58"/>
        <v>C-14</v>
      </c>
      <c r="AC515" s="2" t="str">
        <f t="shared" ref="AC515:AC578" si="62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 xml:space="preserve"> ROSEMERE </v>
      </c>
      <c r="AD515" s="2">
        <f t="shared" si="59"/>
        <v>5</v>
      </c>
      <c r="AE515" s="2">
        <f t="shared" ca="1" si="60"/>
        <v>-272.29154942129389</v>
      </c>
      <c r="AF515" s="15"/>
    </row>
    <row r="516" spans="1:32" hidden="1">
      <c r="A516" s="1">
        <v>8631054</v>
      </c>
      <c r="B516" s="1" t="s">
        <v>653</v>
      </c>
      <c r="C516" t="s">
        <v>935</v>
      </c>
      <c r="E516" s="2">
        <v>537001400010</v>
      </c>
      <c r="F516" s="1" t="s">
        <v>936</v>
      </c>
      <c r="G516" s="1" t="s">
        <v>53</v>
      </c>
      <c r="H516" s="1" t="s">
        <v>442</v>
      </c>
      <c r="I516" s="1" t="s">
        <v>443</v>
      </c>
      <c r="J516" s="1" t="s">
        <v>79</v>
      </c>
      <c r="K516" t="s">
        <v>937</v>
      </c>
      <c r="M516" s="1" t="s">
        <v>58</v>
      </c>
      <c r="N516" s="1">
        <v>0</v>
      </c>
      <c r="O516" s="1" t="s">
        <v>105</v>
      </c>
      <c r="P516" s="11" t="s">
        <v>1052</v>
      </c>
      <c r="R516" s="1">
        <v>3</v>
      </c>
      <c r="T516" s="1" t="s">
        <v>646</v>
      </c>
      <c r="U516" s="186">
        <v>44714.384699074071</v>
      </c>
      <c r="V516" s="1" t="s">
        <v>41</v>
      </c>
      <c r="W516" s="1" t="s">
        <v>49</v>
      </c>
      <c r="X516" s="13" t="str">
        <f t="shared" si="61"/>
        <v/>
      </c>
      <c r="Y516" s="2">
        <f t="shared" ca="1" si="56"/>
        <v>196</v>
      </c>
      <c r="Z516" s="14">
        <v>1</v>
      </c>
      <c r="AA516" s="1" t="str">
        <f t="shared" ca="1" si="57"/>
        <v>VENCIDO</v>
      </c>
      <c r="AB516" s="1" t="str">
        <f t="shared" si="58"/>
        <v>C-14</v>
      </c>
      <c r="AC516" s="2" t="str">
        <f t="shared" si="62"/>
        <v xml:space="preserve"> ROSEMERE </v>
      </c>
      <c r="AD516" s="2">
        <f t="shared" si="59"/>
        <v>5</v>
      </c>
      <c r="AE516" s="2">
        <f t="shared" ca="1" si="60"/>
        <v>-272.29157256944745</v>
      </c>
      <c r="AF516" s="15"/>
    </row>
    <row r="517" spans="1:32" hidden="1">
      <c r="A517" s="1">
        <v>8630966</v>
      </c>
      <c r="B517" s="1" t="s">
        <v>653</v>
      </c>
      <c r="C517" t="s">
        <v>935</v>
      </c>
      <c r="E517" s="2">
        <v>446001400010</v>
      </c>
      <c r="F517" s="1" t="s">
        <v>936</v>
      </c>
      <c r="G517" s="1" t="s">
        <v>53</v>
      </c>
      <c r="H517" s="1" t="s">
        <v>432</v>
      </c>
      <c r="I517" s="1" t="s">
        <v>433</v>
      </c>
      <c r="J517" s="1" t="s">
        <v>110</v>
      </c>
      <c r="K517" t="s">
        <v>937</v>
      </c>
      <c r="M517" s="1" t="s">
        <v>58</v>
      </c>
      <c r="N517" s="1">
        <v>0</v>
      </c>
      <c r="O517" s="1" t="s">
        <v>105</v>
      </c>
      <c r="P517" s="11" t="s">
        <v>1054</v>
      </c>
      <c r="R517" s="1">
        <v>3</v>
      </c>
      <c r="T517" s="1" t="s">
        <v>646</v>
      </c>
      <c r="U517" s="186">
        <v>44714.384594907409</v>
      </c>
      <c r="V517" s="1" t="s">
        <v>41</v>
      </c>
      <c r="W517" s="1" t="s">
        <v>49</v>
      </c>
      <c r="X517" s="13" t="str">
        <f t="shared" si="61"/>
        <v/>
      </c>
      <c r="Y517" s="2">
        <f t="shared" ca="1" si="56"/>
        <v>196</v>
      </c>
      <c r="Z517" s="14">
        <v>1</v>
      </c>
      <c r="AA517" s="1" t="str">
        <f t="shared" ca="1" si="57"/>
        <v>VENCIDO</v>
      </c>
      <c r="AB517" s="1" t="str">
        <f t="shared" si="58"/>
        <v>C-14</v>
      </c>
      <c r="AC517" s="2" t="str">
        <f t="shared" si="62"/>
        <v xml:space="preserve"> CRISTINA </v>
      </c>
      <c r="AD517" s="2">
        <f t="shared" si="59"/>
        <v>5</v>
      </c>
      <c r="AE517" s="2">
        <f t="shared" ca="1" si="60"/>
        <v>-272.29167673610937</v>
      </c>
      <c r="AF517" s="15"/>
    </row>
    <row r="518" spans="1:32" hidden="1">
      <c r="A518" s="1">
        <v>8630840</v>
      </c>
      <c r="B518" s="1" t="s">
        <v>653</v>
      </c>
      <c r="C518" t="s">
        <v>935</v>
      </c>
      <c r="E518" s="2">
        <v>325091400010</v>
      </c>
      <c r="F518" s="1" t="s">
        <v>936</v>
      </c>
      <c r="G518" s="1" t="s">
        <v>53</v>
      </c>
      <c r="H518" s="1" t="s">
        <v>821</v>
      </c>
      <c r="I518" s="1" t="s">
        <v>822</v>
      </c>
      <c r="J518" s="1" t="s">
        <v>46</v>
      </c>
      <c r="K518" t="s">
        <v>937</v>
      </c>
      <c r="M518" s="1" t="s">
        <v>58</v>
      </c>
      <c r="N518" s="1">
        <v>0</v>
      </c>
      <c r="O518" s="1" t="s">
        <v>105</v>
      </c>
      <c r="P518" s="11" t="s">
        <v>1056</v>
      </c>
      <c r="R518" s="1">
        <v>3</v>
      </c>
      <c r="T518" s="1" t="s">
        <v>646</v>
      </c>
      <c r="U518" s="186">
        <v>44714.384456018517</v>
      </c>
      <c r="V518" s="1" t="s">
        <v>41</v>
      </c>
      <c r="W518" s="1" t="s">
        <v>49</v>
      </c>
      <c r="X518" s="13" t="str">
        <f t="shared" si="61"/>
        <v>0325.09</v>
      </c>
      <c r="Y518" s="2">
        <f t="shared" ca="1" si="56"/>
        <v>196</v>
      </c>
      <c r="Z518" s="14">
        <v>1</v>
      </c>
      <c r="AA518" s="1" t="str">
        <f t="shared" ca="1" si="57"/>
        <v>VENCIDO</v>
      </c>
      <c r="AB518" s="1" t="str">
        <f t="shared" si="58"/>
        <v>C-14</v>
      </c>
      <c r="AC518" s="2" t="str">
        <f t="shared" si="62"/>
        <v xml:space="preserve"> CLEITON </v>
      </c>
      <c r="AD518" s="2">
        <f t="shared" si="59"/>
        <v>5</v>
      </c>
      <c r="AE518" s="2">
        <f t="shared" ca="1" si="60"/>
        <v>-272.29181562500162</v>
      </c>
      <c r="AF518" s="15"/>
    </row>
    <row r="519" spans="1:32" hidden="1">
      <c r="A519" s="1">
        <v>8630740</v>
      </c>
      <c r="B519" s="1" t="s">
        <v>653</v>
      </c>
      <c r="C519" t="s">
        <v>935</v>
      </c>
      <c r="E519" s="2">
        <v>233001400010</v>
      </c>
      <c r="F519" s="1" t="s">
        <v>936</v>
      </c>
      <c r="G519" s="1" t="s">
        <v>53</v>
      </c>
      <c r="H519" s="1" t="s">
        <v>424</v>
      </c>
      <c r="I519" s="1" t="s">
        <v>425</v>
      </c>
      <c r="J519" s="1" t="s">
        <v>261</v>
      </c>
      <c r="K519" t="s">
        <v>937</v>
      </c>
      <c r="M519" s="1" t="s">
        <v>58</v>
      </c>
      <c r="N519" s="1">
        <v>0</v>
      </c>
      <c r="O519" s="1" t="s">
        <v>105</v>
      </c>
      <c r="P519" s="11" t="s">
        <v>1058</v>
      </c>
      <c r="R519" s="1">
        <v>3</v>
      </c>
      <c r="T519" s="1" t="s">
        <v>646</v>
      </c>
      <c r="U519" s="186">
        <v>44714.384340277778</v>
      </c>
      <c r="V519" s="1" t="s">
        <v>41</v>
      </c>
      <c r="W519" s="1" t="s">
        <v>49</v>
      </c>
      <c r="X519" s="13" t="str">
        <f t="shared" si="61"/>
        <v/>
      </c>
      <c r="Y519" s="2">
        <f t="shared" ca="1" si="56"/>
        <v>196</v>
      </c>
      <c r="Z519" s="14">
        <v>1</v>
      </c>
      <c r="AA519" s="1" t="str">
        <f t="shared" ca="1" si="57"/>
        <v>VENCIDO</v>
      </c>
      <c r="AB519" s="1" t="str">
        <f t="shared" si="58"/>
        <v>C-14</v>
      </c>
      <c r="AC519" s="2" t="str">
        <f t="shared" si="62"/>
        <v xml:space="preserve"> CRISTINA </v>
      </c>
      <c r="AD519" s="2">
        <f t="shared" si="59"/>
        <v>5</v>
      </c>
      <c r="AE519" s="2">
        <f t="shared" ca="1" si="60"/>
        <v>-272.29193136574031</v>
      </c>
      <c r="AF519" s="15"/>
    </row>
    <row r="520" spans="1:32" hidden="1">
      <c r="A520" s="1">
        <v>8630705</v>
      </c>
      <c r="B520" s="1" t="s">
        <v>653</v>
      </c>
      <c r="C520" t="s">
        <v>935</v>
      </c>
      <c r="E520" s="2">
        <v>196001400010</v>
      </c>
      <c r="F520" s="1" t="s">
        <v>936</v>
      </c>
      <c r="G520" s="1" t="s">
        <v>53</v>
      </c>
      <c r="H520" s="1" t="s">
        <v>1060</v>
      </c>
      <c r="I520" s="1" t="s">
        <v>1061</v>
      </c>
      <c r="J520" s="1" t="s">
        <v>79</v>
      </c>
      <c r="K520" t="s">
        <v>937</v>
      </c>
      <c r="M520" s="1" t="s">
        <v>58</v>
      </c>
      <c r="N520" s="1">
        <v>0</v>
      </c>
      <c r="O520" s="1" t="s">
        <v>105</v>
      </c>
      <c r="P520" s="11" t="s">
        <v>1062</v>
      </c>
      <c r="R520" s="1">
        <v>3</v>
      </c>
      <c r="T520" s="1" t="s">
        <v>646</v>
      </c>
      <c r="U520" s="186">
        <v>44714.384305555555</v>
      </c>
      <c r="V520" s="1" t="s">
        <v>41</v>
      </c>
      <c r="W520" s="1" t="s">
        <v>49</v>
      </c>
      <c r="X520" s="13" t="str">
        <f t="shared" si="61"/>
        <v/>
      </c>
      <c r="Y520" s="2">
        <f t="shared" ca="1" si="56"/>
        <v>196</v>
      </c>
      <c r="Z520" s="14">
        <v>1</v>
      </c>
      <c r="AA520" s="1" t="str">
        <f t="shared" ca="1" si="57"/>
        <v>VENCIDO</v>
      </c>
      <c r="AB520" s="1" t="str">
        <f t="shared" si="58"/>
        <v>C-14</v>
      </c>
      <c r="AC520" s="2" t="str">
        <f t="shared" si="62"/>
        <v xml:space="preserve"> ROSEMERE </v>
      </c>
      <c r="AD520" s="2">
        <f t="shared" si="59"/>
        <v>5</v>
      </c>
      <c r="AE520" s="2">
        <f t="shared" ca="1" si="60"/>
        <v>-272.29196608796337</v>
      </c>
      <c r="AF520" s="15"/>
    </row>
    <row r="521" spans="1:32" hidden="1">
      <c r="A521" s="1">
        <v>8630554</v>
      </c>
      <c r="B521" s="1" t="s">
        <v>653</v>
      </c>
      <c r="C521" t="s">
        <v>935</v>
      </c>
      <c r="E521" s="2">
        <v>7651400010</v>
      </c>
      <c r="F521" s="1" t="s">
        <v>936</v>
      </c>
      <c r="G521" s="1" t="s">
        <v>53</v>
      </c>
      <c r="H521" s="1" t="s">
        <v>827</v>
      </c>
      <c r="I521" s="1" t="s">
        <v>828</v>
      </c>
      <c r="J521" s="1" t="s">
        <v>46</v>
      </c>
      <c r="K521" t="s">
        <v>937</v>
      </c>
      <c r="M521" s="1" t="s">
        <v>58</v>
      </c>
      <c r="N521" s="1">
        <v>0</v>
      </c>
      <c r="O521" s="1" t="s">
        <v>105</v>
      </c>
      <c r="P521" s="11" t="s">
        <v>1064</v>
      </c>
      <c r="R521" s="1">
        <v>3</v>
      </c>
      <c r="T521" s="1" t="s">
        <v>646</v>
      </c>
      <c r="U521" s="11" t="s">
        <v>1065</v>
      </c>
      <c r="V521" s="1" t="s">
        <v>41</v>
      </c>
      <c r="W521" s="1" t="s">
        <v>49</v>
      </c>
      <c r="X521" s="13" t="str">
        <f t="shared" si="61"/>
        <v>0007.65</v>
      </c>
      <c r="Y521" s="2">
        <f t="shared" ca="1" si="56"/>
        <v>196</v>
      </c>
      <c r="Z521" s="14">
        <v>1</v>
      </c>
      <c r="AA521" s="1" t="str">
        <f t="shared" ca="1" si="57"/>
        <v>VENCIDO</v>
      </c>
      <c r="AB521" s="1" t="str">
        <f t="shared" si="58"/>
        <v>C-14</v>
      </c>
      <c r="AC521" s="2" t="str">
        <f t="shared" si="62"/>
        <v xml:space="preserve"> CLEITON </v>
      </c>
      <c r="AD521" s="2">
        <f t="shared" si="59"/>
        <v>5</v>
      </c>
      <c r="AE521" s="2">
        <f t="shared" ca="1" si="60"/>
        <v>-272.29215127314819</v>
      </c>
      <c r="AF521" s="15"/>
    </row>
    <row r="522" spans="1:32" hidden="1">
      <c r="A522" s="1">
        <v>8630381</v>
      </c>
      <c r="B522" s="1" t="s">
        <v>101</v>
      </c>
      <c r="C522" t="s">
        <v>643</v>
      </c>
      <c r="D522" s="2">
        <v>220094909</v>
      </c>
      <c r="E522" s="2">
        <v>1362001400030</v>
      </c>
      <c r="F522" s="1" t="s">
        <v>647</v>
      </c>
      <c r="G522" s="1" t="s">
        <v>53</v>
      </c>
      <c r="H522" s="1" t="s">
        <v>268</v>
      </c>
      <c r="I522" s="1" t="s">
        <v>269</v>
      </c>
      <c r="J522" s="1" t="s">
        <v>90</v>
      </c>
      <c r="K522" t="s">
        <v>650</v>
      </c>
      <c r="M522" s="1" t="s">
        <v>58</v>
      </c>
      <c r="N522" s="1">
        <v>0</v>
      </c>
      <c r="O522" s="1" t="s">
        <v>105</v>
      </c>
      <c r="P522" s="11" t="s">
        <v>1066</v>
      </c>
      <c r="R522" s="1">
        <v>4</v>
      </c>
      <c r="T522" s="1" t="s">
        <v>646</v>
      </c>
      <c r="U522" s="11" t="s">
        <v>1067</v>
      </c>
      <c r="V522" s="1" t="s">
        <v>41</v>
      </c>
      <c r="W522" s="1" t="s">
        <v>49</v>
      </c>
      <c r="X522" s="13" t="str">
        <f t="shared" si="61"/>
        <v/>
      </c>
      <c r="Y522" s="2">
        <f t="shared" ca="1" si="56"/>
        <v>196</v>
      </c>
      <c r="Z522" s="14">
        <v>1</v>
      </c>
      <c r="AA522" s="1" t="str">
        <f t="shared" ca="1" si="57"/>
        <v>VENCIDO</v>
      </c>
      <c r="AB522" s="1" t="str">
        <f t="shared" si="58"/>
        <v>C-14</v>
      </c>
      <c r="AC522" s="2" t="str">
        <f t="shared" si="62"/>
        <v xml:space="preserve"> RINALDO </v>
      </c>
      <c r="AD522" s="2">
        <f t="shared" si="59"/>
        <v>15</v>
      </c>
      <c r="AE522" s="2">
        <f t="shared" ca="1" si="60"/>
        <v>-272.29856331018527</v>
      </c>
      <c r="AF522" s="15"/>
    </row>
    <row r="523" spans="1:32" hidden="1">
      <c r="A523" s="1">
        <v>8630306</v>
      </c>
      <c r="B523" s="1" t="s">
        <v>101</v>
      </c>
      <c r="C523" t="s">
        <v>643</v>
      </c>
      <c r="D523" s="2">
        <v>220094756</v>
      </c>
      <c r="E523" s="2">
        <v>1049001400030</v>
      </c>
      <c r="F523" s="1" t="s">
        <v>647</v>
      </c>
      <c r="G523" s="1" t="s">
        <v>53</v>
      </c>
      <c r="H523" s="1" t="s">
        <v>169</v>
      </c>
      <c r="I523" s="1" t="s">
        <v>170</v>
      </c>
      <c r="J523" s="1" t="s">
        <v>164</v>
      </c>
      <c r="K523" t="s">
        <v>650</v>
      </c>
      <c r="M523" s="1" t="s">
        <v>58</v>
      </c>
      <c r="N523" s="1">
        <v>0</v>
      </c>
      <c r="O523" s="1" t="s">
        <v>105</v>
      </c>
      <c r="P523" s="11" t="s">
        <v>1068</v>
      </c>
      <c r="R523" s="1">
        <v>4</v>
      </c>
      <c r="T523" s="1" t="s">
        <v>646</v>
      </c>
      <c r="U523" s="11" t="s">
        <v>1069</v>
      </c>
      <c r="V523" s="1" t="s">
        <v>41</v>
      </c>
      <c r="W523" s="1" t="s">
        <v>49</v>
      </c>
      <c r="X523" s="13" t="str">
        <f t="shared" si="61"/>
        <v/>
      </c>
      <c r="Y523" s="2">
        <f t="shared" ca="1" si="56"/>
        <v>196</v>
      </c>
      <c r="Z523" s="14">
        <v>1</v>
      </c>
      <c r="AA523" s="1" t="str">
        <f t="shared" ca="1" si="57"/>
        <v>VENCIDO</v>
      </c>
      <c r="AB523" s="1" t="str">
        <f t="shared" si="58"/>
        <v>C-14</v>
      </c>
      <c r="AC523" s="2" t="str">
        <f t="shared" si="62"/>
        <v xml:space="preserve"> ROSEMERE </v>
      </c>
      <c r="AD523" s="2">
        <f t="shared" si="59"/>
        <v>15</v>
      </c>
      <c r="AE523" s="2">
        <f t="shared" ca="1" si="60"/>
        <v>-272.30261423611228</v>
      </c>
      <c r="AF523" s="15"/>
    </row>
    <row r="524" spans="1:32" hidden="1">
      <c r="A524" s="1">
        <v>8629148</v>
      </c>
      <c r="B524" s="1" t="s">
        <v>101</v>
      </c>
      <c r="C524" t="s">
        <v>643</v>
      </c>
      <c r="D524" s="2">
        <v>220092695</v>
      </c>
      <c r="E524" s="2">
        <v>1362001400010</v>
      </c>
      <c r="F524" s="1" t="s">
        <v>936</v>
      </c>
      <c r="G524" s="1" t="s">
        <v>53</v>
      </c>
      <c r="H524" s="1" t="s">
        <v>268</v>
      </c>
      <c r="I524" s="1" t="s">
        <v>269</v>
      </c>
      <c r="J524" s="1" t="s">
        <v>90</v>
      </c>
      <c r="K524" t="s">
        <v>937</v>
      </c>
      <c r="M524" s="1" t="s">
        <v>58</v>
      </c>
      <c r="N524" s="1">
        <v>0</v>
      </c>
      <c r="O524" s="1" t="s">
        <v>105</v>
      </c>
      <c r="P524" s="11" t="s">
        <v>1070</v>
      </c>
      <c r="R524" s="1">
        <v>3</v>
      </c>
      <c r="T524" s="1" t="s">
        <v>646</v>
      </c>
      <c r="U524" s="11" t="s">
        <v>1071</v>
      </c>
      <c r="V524" s="1" t="s">
        <v>41</v>
      </c>
      <c r="W524" s="1" t="s">
        <v>49</v>
      </c>
      <c r="X524" s="13" t="str">
        <f t="shared" si="61"/>
        <v/>
      </c>
      <c r="Y524" s="2">
        <f t="shared" ca="1" si="56"/>
        <v>196</v>
      </c>
      <c r="Z524" s="14">
        <v>1</v>
      </c>
      <c r="AA524" s="1" t="str">
        <f t="shared" ca="1" si="57"/>
        <v>VENCIDO</v>
      </c>
      <c r="AB524" s="1" t="str">
        <f t="shared" si="58"/>
        <v>C-14</v>
      </c>
      <c r="AC524" s="2" t="str">
        <f t="shared" si="62"/>
        <v xml:space="preserve"> RINALDO </v>
      </c>
      <c r="AD524" s="2">
        <f t="shared" si="59"/>
        <v>5</v>
      </c>
      <c r="AE524" s="2">
        <f t="shared" ca="1" si="60"/>
        <v>-272.36128321759315</v>
      </c>
      <c r="AF524" s="15"/>
    </row>
    <row r="525" spans="1:32" hidden="1">
      <c r="A525" s="1">
        <v>8629041</v>
      </c>
      <c r="B525" s="1" t="s">
        <v>101</v>
      </c>
      <c r="C525" t="s">
        <v>643</v>
      </c>
      <c r="D525" s="2">
        <v>220092544</v>
      </c>
      <c r="E525" s="2">
        <v>1049001400010</v>
      </c>
      <c r="F525" s="1" t="s">
        <v>936</v>
      </c>
      <c r="G525" s="1" t="s">
        <v>53</v>
      </c>
      <c r="H525" s="1" t="s">
        <v>169</v>
      </c>
      <c r="I525" s="1" t="s">
        <v>170</v>
      </c>
      <c r="J525" s="1" t="s">
        <v>164</v>
      </c>
      <c r="K525" t="s">
        <v>937</v>
      </c>
      <c r="M525" s="1" t="s">
        <v>58</v>
      </c>
      <c r="N525" s="1">
        <v>0</v>
      </c>
      <c r="O525" s="1" t="s">
        <v>105</v>
      </c>
      <c r="P525" s="11" t="s">
        <v>1072</v>
      </c>
      <c r="R525" s="1">
        <v>3</v>
      </c>
      <c r="T525" s="1" t="s">
        <v>646</v>
      </c>
      <c r="U525" s="11" t="s">
        <v>1073</v>
      </c>
      <c r="V525" s="1" t="s">
        <v>41</v>
      </c>
      <c r="W525" s="1" t="s">
        <v>49</v>
      </c>
      <c r="X525" s="13" t="str">
        <f t="shared" si="61"/>
        <v/>
      </c>
      <c r="Y525" s="2">
        <f t="shared" ca="1" si="56"/>
        <v>196</v>
      </c>
      <c r="Z525" s="14">
        <v>1</v>
      </c>
      <c r="AA525" s="1" t="str">
        <f t="shared" ca="1" si="57"/>
        <v>VENCIDO</v>
      </c>
      <c r="AB525" s="1" t="str">
        <f t="shared" si="58"/>
        <v>C-14</v>
      </c>
      <c r="AC525" s="2" t="str">
        <f t="shared" si="62"/>
        <v xml:space="preserve"> ROSEMERE </v>
      </c>
      <c r="AD525" s="2">
        <f t="shared" si="59"/>
        <v>5</v>
      </c>
      <c r="AE525" s="2">
        <f t="shared" ca="1" si="60"/>
        <v>-272.36729016203753</v>
      </c>
      <c r="AF525" s="15"/>
    </row>
    <row r="526" spans="1:32" hidden="1">
      <c r="A526" s="1">
        <v>8672365</v>
      </c>
      <c r="B526" s="1" t="s">
        <v>62</v>
      </c>
      <c r="C526" t="s">
        <v>1074</v>
      </c>
      <c r="E526" s="2">
        <v>2156000203000</v>
      </c>
      <c r="F526" s="1" t="s">
        <v>454</v>
      </c>
      <c r="G526" s="1" t="s">
        <v>53</v>
      </c>
      <c r="H526" s="1" t="s">
        <v>278</v>
      </c>
      <c r="I526" s="1" t="s">
        <v>279</v>
      </c>
      <c r="J526" s="1" t="s">
        <v>211</v>
      </c>
      <c r="K526" t="s">
        <v>457</v>
      </c>
      <c r="M526" s="1" t="s">
        <v>58</v>
      </c>
      <c r="N526" s="1">
        <v>0</v>
      </c>
      <c r="O526" s="1" t="s">
        <v>105</v>
      </c>
      <c r="P526" s="186">
        <v>44722.462719907409</v>
      </c>
      <c r="R526" s="1">
        <v>1</v>
      </c>
      <c r="T526" s="1" t="s">
        <v>157</v>
      </c>
      <c r="U526" s="186">
        <v>44757.75</v>
      </c>
      <c r="V526" s="1" t="s">
        <v>41</v>
      </c>
      <c r="W526" s="1" t="s">
        <v>49</v>
      </c>
      <c r="X526" s="13" t="str">
        <f t="shared" si="61"/>
        <v/>
      </c>
      <c r="Y526" s="2">
        <f t="shared" ca="1" si="56"/>
        <v>189</v>
      </c>
      <c r="Z526" s="14">
        <v>1</v>
      </c>
      <c r="AA526" s="1" t="str">
        <f t="shared" ca="1" si="57"/>
        <v>VENCIDO</v>
      </c>
      <c r="AB526" s="1" t="str">
        <f t="shared" si="58"/>
        <v>C-14</v>
      </c>
      <c r="AC526" s="2" t="str">
        <f t="shared" si="62"/>
        <v xml:space="preserve"> RINALDO </v>
      </c>
      <c r="AD526" s="2">
        <f t="shared" si="59"/>
        <v>5</v>
      </c>
      <c r="AE526" s="2">
        <f t="shared" ca="1" si="60"/>
        <v>-228.9262716435187</v>
      </c>
      <c r="AF526" s="15"/>
    </row>
    <row r="527" spans="1:32" hidden="1">
      <c r="A527" s="1">
        <v>8711475</v>
      </c>
      <c r="B527" s="1" t="s">
        <v>62</v>
      </c>
      <c r="C527" t="s">
        <v>1075</v>
      </c>
      <c r="E527" s="2">
        <v>7420000203000</v>
      </c>
      <c r="F527" s="1" t="s">
        <v>454</v>
      </c>
      <c r="G527" s="1" t="s">
        <v>30</v>
      </c>
      <c r="H527" s="1" t="s">
        <v>1076</v>
      </c>
      <c r="I527" s="1" t="s">
        <v>1077</v>
      </c>
      <c r="J527" s="1" t="s">
        <v>46</v>
      </c>
      <c r="K527" t="s">
        <v>457</v>
      </c>
      <c r="M527" s="1" t="s">
        <v>58</v>
      </c>
      <c r="N527" s="1">
        <v>0</v>
      </c>
      <c r="O527" s="1" t="s">
        <v>36</v>
      </c>
      <c r="P527" s="186">
        <v>44740.585196759261</v>
      </c>
      <c r="R527" s="1" t="s">
        <v>38</v>
      </c>
      <c r="T527" s="1" t="s">
        <v>157</v>
      </c>
      <c r="U527" s="186">
        <v>44810.75</v>
      </c>
      <c r="V527" s="1" t="s">
        <v>41</v>
      </c>
      <c r="W527" s="1" t="s">
        <v>49</v>
      </c>
      <c r="X527" s="13" t="str">
        <f t="shared" si="61"/>
        <v/>
      </c>
      <c r="Y527" s="2">
        <f t="shared" ca="1" si="56"/>
        <v>177</v>
      </c>
      <c r="Z527" s="14">
        <v>1</v>
      </c>
      <c r="AA527" s="1" t="str">
        <f t="shared" ca="1" si="57"/>
        <v>VENCIDO</v>
      </c>
      <c r="AB527" s="1" t="str">
        <f t="shared" si="58"/>
        <v>C-14</v>
      </c>
      <c r="AC527" s="2" t="str">
        <f t="shared" si="62"/>
        <v xml:space="preserve"> CLEITON </v>
      </c>
      <c r="AD527" s="2">
        <f t="shared" si="59"/>
        <v>5</v>
      </c>
      <c r="AE527" s="2">
        <f t="shared" ca="1" si="60"/>
        <v>-175.9262716435187</v>
      </c>
      <c r="AF527" s="15"/>
    </row>
    <row r="528" spans="1:32" hidden="1">
      <c r="A528" s="1">
        <v>8733876</v>
      </c>
      <c r="B528" s="1" t="s">
        <v>62</v>
      </c>
      <c r="C528" t="s">
        <v>1078</v>
      </c>
      <c r="E528" s="2">
        <v>1028000203000</v>
      </c>
      <c r="F528" s="1" t="s">
        <v>454</v>
      </c>
      <c r="G528" s="1" t="s">
        <v>53</v>
      </c>
      <c r="H528" s="1" t="s">
        <v>1079</v>
      </c>
      <c r="I528" s="1" t="s">
        <v>1080</v>
      </c>
      <c r="J528" s="1" t="s">
        <v>85</v>
      </c>
      <c r="K528" t="s">
        <v>457</v>
      </c>
      <c r="M528" s="1" t="s">
        <v>58</v>
      </c>
      <c r="N528" s="1">
        <v>0</v>
      </c>
      <c r="O528" s="1" t="s">
        <v>36</v>
      </c>
      <c r="P528" s="186">
        <v>44749.648923611108</v>
      </c>
      <c r="R528" s="1">
        <v>1</v>
      </c>
      <c r="T528" s="1" t="s">
        <v>157</v>
      </c>
      <c r="U528" s="186">
        <v>44783.75</v>
      </c>
      <c r="V528" s="1" t="s">
        <v>41</v>
      </c>
      <c r="W528" s="1" t="s">
        <v>49</v>
      </c>
      <c r="X528" s="13" t="str">
        <f t="shared" si="61"/>
        <v/>
      </c>
      <c r="Y528" s="2">
        <f t="shared" ca="1" si="56"/>
        <v>170</v>
      </c>
      <c r="Z528" s="14">
        <v>1</v>
      </c>
      <c r="AA528" s="1" t="str">
        <f t="shared" ca="1" si="57"/>
        <v>VENCIDO</v>
      </c>
      <c r="AB528" s="1" t="str">
        <f t="shared" si="58"/>
        <v>C-14</v>
      </c>
      <c r="AC528" s="2" t="str">
        <f t="shared" si="62"/>
        <v xml:space="preserve"> RINALDO </v>
      </c>
      <c r="AD528" s="2">
        <f t="shared" si="59"/>
        <v>5</v>
      </c>
      <c r="AE528" s="2">
        <f t="shared" ca="1" si="60"/>
        <v>-202.9262716435187</v>
      </c>
      <c r="AF528" s="15"/>
    </row>
    <row r="529" spans="1:32" hidden="1">
      <c r="A529" s="1">
        <v>8736689</v>
      </c>
      <c r="B529" s="1" t="s">
        <v>62</v>
      </c>
      <c r="C529" t="s">
        <v>1083</v>
      </c>
      <c r="E529" s="2">
        <v>600000203000</v>
      </c>
      <c r="F529" s="1" t="s">
        <v>454</v>
      </c>
      <c r="G529" s="1" t="s">
        <v>53</v>
      </c>
      <c r="H529" s="1" t="s">
        <v>1084</v>
      </c>
      <c r="I529" s="1" t="s">
        <v>1085</v>
      </c>
      <c r="J529" s="1" t="s">
        <v>90</v>
      </c>
      <c r="K529" t="s">
        <v>457</v>
      </c>
      <c r="M529" s="1" t="s">
        <v>58</v>
      </c>
      <c r="N529" s="1">
        <v>0</v>
      </c>
      <c r="O529" s="1" t="s">
        <v>36</v>
      </c>
      <c r="P529" s="186">
        <v>44750.694236111114</v>
      </c>
      <c r="R529" s="1">
        <v>1</v>
      </c>
      <c r="T529" s="1" t="s">
        <v>157</v>
      </c>
      <c r="U529" s="186">
        <v>44784.75</v>
      </c>
      <c r="V529" s="1" t="s">
        <v>41</v>
      </c>
      <c r="W529" s="1" t="s">
        <v>49</v>
      </c>
      <c r="X529" s="13" t="str">
        <f t="shared" si="61"/>
        <v/>
      </c>
      <c r="Y529" s="2">
        <f t="shared" ca="1" si="56"/>
        <v>169</v>
      </c>
      <c r="Z529" s="14">
        <v>1</v>
      </c>
      <c r="AA529" s="1" t="str">
        <f t="shared" ca="1" si="57"/>
        <v>VENCIDO</v>
      </c>
      <c r="AB529" s="1" t="str">
        <f t="shared" si="58"/>
        <v>C-14</v>
      </c>
      <c r="AC529" s="2" t="str">
        <f t="shared" si="62"/>
        <v xml:space="preserve"> RINALDO </v>
      </c>
      <c r="AD529" s="2">
        <f t="shared" si="59"/>
        <v>5</v>
      </c>
      <c r="AE529" s="2">
        <f t="shared" ca="1" si="60"/>
        <v>-201.9262716435187</v>
      </c>
      <c r="AF529" s="15"/>
    </row>
    <row r="530" spans="1:32" hidden="1">
      <c r="A530" s="1">
        <v>8741273</v>
      </c>
      <c r="B530" s="1" t="s">
        <v>62</v>
      </c>
      <c r="C530" t="s">
        <v>1086</v>
      </c>
      <c r="E530" s="2">
        <v>3924000202021</v>
      </c>
      <c r="F530" s="1" t="s">
        <v>103</v>
      </c>
      <c r="G530" s="1" t="s">
        <v>53</v>
      </c>
      <c r="H530" s="1" t="s">
        <v>153</v>
      </c>
      <c r="I530" s="1" t="s">
        <v>154</v>
      </c>
      <c r="J530" s="1" t="s">
        <v>56</v>
      </c>
      <c r="K530" t="s">
        <v>104</v>
      </c>
      <c r="M530" s="1" t="s">
        <v>58</v>
      </c>
      <c r="N530" s="1">
        <v>0</v>
      </c>
      <c r="O530" s="1" t="s">
        <v>36</v>
      </c>
      <c r="P530" s="186">
        <v>44753.486932870372</v>
      </c>
      <c r="R530" s="1" t="s">
        <v>38</v>
      </c>
      <c r="T530" s="1" t="s">
        <v>74</v>
      </c>
      <c r="U530" s="186">
        <v>44792.75</v>
      </c>
      <c r="V530" s="1" t="s">
        <v>41</v>
      </c>
      <c r="W530" s="1" t="s">
        <v>49</v>
      </c>
      <c r="X530" s="13" t="str">
        <f t="shared" si="61"/>
        <v/>
      </c>
      <c r="Y530" s="2">
        <f t="shared" ca="1" si="56"/>
        <v>168</v>
      </c>
      <c r="Z530" s="14">
        <v>1</v>
      </c>
      <c r="AA530" s="1" t="str">
        <f t="shared" ca="1" si="57"/>
        <v>VENCIDO</v>
      </c>
      <c r="AB530" s="1" t="str">
        <f t="shared" si="58"/>
        <v>Dosa</v>
      </c>
      <c r="AC530" s="2" t="str">
        <f t="shared" si="62"/>
        <v xml:space="preserve"> CRISTINA </v>
      </c>
      <c r="AD530" s="2">
        <f t="shared" si="59"/>
        <v>5</v>
      </c>
      <c r="AE530" s="2">
        <f t="shared" ca="1" si="60"/>
        <v>-193.9262716435187</v>
      </c>
      <c r="AF530" s="15"/>
    </row>
    <row r="531" spans="1:32" hidden="1">
      <c r="A531" s="1">
        <v>8741199</v>
      </c>
      <c r="B531" s="1" t="s">
        <v>1087</v>
      </c>
      <c r="C531" t="s">
        <v>1088</v>
      </c>
      <c r="E531" s="2">
        <v>244000206021</v>
      </c>
      <c r="F531" s="1" t="s">
        <v>103</v>
      </c>
      <c r="G531" s="1" t="s">
        <v>53</v>
      </c>
      <c r="H531" s="1" t="s">
        <v>313</v>
      </c>
      <c r="I531" s="1" t="s">
        <v>314</v>
      </c>
      <c r="J531" s="1" t="s">
        <v>56</v>
      </c>
      <c r="K531" t="s">
        <v>104</v>
      </c>
      <c r="M531" s="1" t="s">
        <v>58</v>
      </c>
      <c r="N531" s="1">
        <v>0</v>
      </c>
      <c r="O531" s="1" t="s">
        <v>105</v>
      </c>
      <c r="P531" s="186">
        <v>44753.480740740742</v>
      </c>
      <c r="R531" s="1" t="s">
        <v>38</v>
      </c>
      <c r="T531" s="1" t="s">
        <v>74</v>
      </c>
      <c r="U531" s="186">
        <v>44792.75</v>
      </c>
      <c r="V531" s="1" t="s">
        <v>41</v>
      </c>
      <c r="W531" s="1" t="s">
        <v>49</v>
      </c>
      <c r="X531" s="13" t="str">
        <f t="shared" si="61"/>
        <v/>
      </c>
      <c r="Y531" s="2">
        <f t="shared" ca="1" si="56"/>
        <v>168</v>
      </c>
      <c r="Z531" s="14">
        <v>1</v>
      </c>
      <c r="AA531" s="1" t="str">
        <f t="shared" ca="1" si="57"/>
        <v>VENCIDO</v>
      </c>
      <c r="AB531" s="1" t="str">
        <f t="shared" si="58"/>
        <v>Dosa</v>
      </c>
      <c r="AC531" s="2" t="str">
        <f t="shared" si="62"/>
        <v xml:space="preserve"> CRISTINA </v>
      </c>
      <c r="AD531" s="2">
        <f t="shared" si="59"/>
        <v>5</v>
      </c>
      <c r="AE531" s="2">
        <f t="shared" ca="1" si="60"/>
        <v>-193.9262716435187</v>
      </c>
      <c r="AF531" s="15"/>
    </row>
    <row r="532" spans="1:32" hidden="1">
      <c r="A532" s="1">
        <v>8756684</v>
      </c>
      <c r="B532" s="1" t="s">
        <v>62</v>
      </c>
      <c r="C532" t="s">
        <v>1089</v>
      </c>
      <c r="E532" s="2">
        <v>3258000203000</v>
      </c>
      <c r="F532" s="1" t="s">
        <v>454</v>
      </c>
      <c r="G532" s="1" t="s">
        <v>53</v>
      </c>
      <c r="H532" s="1" t="s">
        <v>321</v>
      </c>
      <c r="I532" s="1" t="s">
        <v>322</v>
      </c>
      <c r="J532" s="1" t="s">
        <v>46</v>
      </c>
      <c r="K532" t="s">
        <v>457</v>
      </c>
      <c r="M532" s="1" t="s">
        <v>58</v>
      </c>
      <c r="N532" s="1">
        <v>0</v>
      </c>
      <c r="O532" s="1" t="s">
        <v>36</v>
      </c>
      <c r="P532" s="186">
        <v>44760.389502314814</v>
      </c>
      <c r="R532" s="1">
        <v>1</v>
      </c>
      <c r="T532" s="1" t="s">
        <v>157</v>
      </c>
      <c r="U532" s="186">
        <v>44833.75</v>
      </c>
      <c r="V532" s="1" t="s">
        <v>41</v>
      </c>
      <c r="W532" s="1" t="s">
        <v>49</v>
      </c>
      <c r="X532" s="13" t="str">
        <f t="shared" si="61"/>
        <v/>
      </c>
      <c r="Y532" s="2">
        <f t="shared" ca="1" si="56"/>
        <v>163</v>
      </c>
      <c r="Z532" s="14">
        <v>1</v>
      </c>
      <c r="AA532" s="1" t="str">
        <f t="shared" ca="1" si="57"/>
        <v>VENCIDO</v>
      </c>
      <c r="AB532" s="1" t="str">
        <f t="shared" si="58"/>
        <v>C-14</v>
      </c>
      <c r="AC532" s="2" t="str">
        <f t="shared" si="62"/>
        <v xml:space="preserve"> CLEITON </v>
      </c>
      <c r="AD532" s="2">
        <f t="shared" si="59"/>
        <v>5</v>
      </c>
      <c r="AE532" s="2">
        <f t="shared" ca="1" si="60"/>
        <v>-152.9262716435187</v>
      </c>
      <c r="AF532" s="15"/>
    </row>
    <row r="533" spans="1:32" hidden="1">
      <c r="A533" s="1">
        <v>8773434</v>
      </c>
      <c r="B533" s="1" t="s">
        <v>62</v>
      </c>
      <c r="C533" t="s">
        <v>1092</v>
      </c>
      <c r="E533" s="2">
        <v>1049000203010</v>
      </c>
      <c r="F533" s="1" t="s">
        <v>152</v>
      </c>
      <c r="G533" s="1" t="s">
        <v>53</v>
      </c>
      <c r="H533" s="1" t="s">
        <v>169</v>
      </c>
      <c r="I533" s="1" t="s">
        <v>170</v>
      </c>
      <c r="J533" s="1" t="s">
        <v>164</v>
      </c>
      <c r="K533" t="s">
        <v>155</v>
      </c>
      <c r="M533" s="1" t="s">
        <v>35</v>
      </c>
      <c r="N533" s="1">
        <v>42318949</v>
      </c>
      <c r="O533" s="1" t="s">
        <v>36</v>
      </c>
      <c r="P533" s="186">
        <v>44767.715925925928</v>
      </c>
      <c r="R533" s="1">
        <v>1</v>
      </c>
      <c r="T533" s="1" t="s">
        <v>157</v>
      </c>
      <c r="U533" s="186">
        <v>44799.75</v>
      </c>
      <c r="V533" s="1" t="s">
        <v>41</v>
      </c>
      <c r="W533" s="1" t="s">
        <v>49</v>
      </c>
      <c r="X533" s="13" t="str">
        <f t="shared" si="61"/>
        <v/>
      </c>
      <c r="Y533" s="2">
        <f t="shared" ca="1" si="56"/>
        <v>158</v>
      </c>
      <c r="Z533" s="14">
        <v>1</v>
      </c>
      <c r="AA533" s="1" t="str">
        <f t="shared" ca="1" si="57"/>
        <v>VENCIDO</v>
      </c>
      <c r="AB533" s="1" t="str">
        <f t="shared" si="58"/>
        <v>TAAe+</v>
      </c>
      <c r="AC533" s="2" t="str">
        <f t="shared" si="62"/>
        <v xml:space="preserve"> ROSEMERE </v>
      </c>
      <c r="AD533" s="2">
        <f t="shared" si="59"/>
        <v>8</v>
      </c>
      <c r="AE533" s="2">
        <f t="shared" ca="1" si="60"/>
        <v>-186.9262716435187</v>
      </c>
      <c r="AF533" s="15"/>
    </row>
    <row r="534" spans="1:32" hidden="1">
      <c r="A534" s="1">
        <v>8792760</v>
      </c>
      <c r="B534" s="1" t="s">
        <v>62</v>
      </c>
      <c r="C534" t="s">
        <v>1095</v>
      </c>
      <c r="E534" s="2">
        <v>605000203000</v>
      </c>
      <c r="F534" s="1" t="s">
        <v>454</v>
      </c>
      <c r="G534" s="1" t="s">
        <v>53</v>
      </c>
      <c r="H534" s="1" t="s">
        <v>420</v>
      </c>
      <c r="I534" s="1" t="s">
        <v>421</v>
      </c>
      <c r="J534" s="1" t="s">
        <v>90</v>
      </c>
      <c r="K534" t="s">
        <v>457</v>
      </c>
      <c r="M534" s="1" t="s">
        <v>58</v>
      </c>
      <c r="N534" s="1">
        <v>0</v>
      </c>
      <c r="O534" s="1" t="s">
        <v>105</v>
      </c>
      <c r="P534" s="186">
        <v>44774.393900462965</v>
      </c>
      <c r="R534" s="1">
        <v>1</v>
      </c>
      <c r="T534" s="1" t="s">
        <v>157</v>
      </c>
      <c r="U534" s="186">
        <v>44806.75</v>
      </c>
      <c r="V534" s="1" t="s">
        <v>41</v>
      </c>
      <c r="W534" s="1" t="s">
        <v>49</v>
      </c>
      <c r="X534" s="13" t="str">
        <f t="shared" si="61"/>
        <v/>
      </c>
      <c r="Y534" s="2">
        <f t="shared" ca="1" si="56"/>
        <v>153</v>
      </c>
      <c r="Z534" s="14">
        <v>1</v>
      </c>
      <c r="AA534" s="1" t="str">
        <f t="shared" ca="1" si="57"/>
        <v>VENCIDO</v>
      </c>
      <c r="AB534" s="1" t="str">
        <f t="shared" si="58"/>
        <v>C-14</v>
      </c>
      <c r="AC534" s="2" t="str">
        <f t="shared" si="62"/>
        <v xml:space="preserve"> RINALDO </v>
      </c>
      <c r="AD534" s="2">
        <f t="shared" si="59"/>
        <v>5</v>
      </c>
      <c r="AE534" s="2">
        <f t="shared" ca="1" si="60"/>
        <v>-179.9262716435187</v>
      </c>
      <c r="AF534" s="15"/>
    </row>
    <row r="535" spans="1:32" hidden="1">
      <c r="A535" s="1">
        <v>8791670</v>
      </c>
      <c r="B535" s="1" t="s">
        <v>101</v>
      </c>
      <c r="C535" t="s">
        <v>643</v>
      </c>
      <c r="D535" s="2">
        <v>220127985</v>
      </c>
      <c r="E535" s="2">
        <v>2069001400030</v>
      </c>
      <c r="F535" s="1" t="s">
        <v>647</v>
      </c>
      <c r="G535" s="1" t="s">
        <v>53</v>
      </c>
      <c r="H535" s="1" t="s">
        <v>557</v>
      </c>
      <c r="I535" s="1" t="s">
        <v>558</v>
      </c>
      <c r="J535" s="1" t="s">
        <v>90</v>
      </c>
      <c r="K535" t="s">
        <v>650</v>
      </c>
      <c r="M535" s="1" t="s">
        <v>58</v>
      </c>
      <c r="N535" s="1">
        <v>0</v>
      </c>
      <c r="O535" s="1" t="s">
        <v>105</v>
      </c>
      <c r="P535" s="186">
        <v>44774.303842592592</v>
      </c>
      <c r="R535" s="1">
        <v>4</v>
      </c>
      <c r="T535" s="1" t="s">
        <v>646</v>
      </c>
      <c r="U535" s="186">
        <v>44775.303842592592</v>
      </c>
      <c r="V535" s="1" t="s">
        <v>41</v>
      </c>
      <c r="W535" s="1" t="s">
        <v>49</v>
      </c>
      <c r="X535" s="13" t="str">
        <f t="shared" si="61"/>
        <v/>
      </c>
      <c r="Y535" s="2">
        <f t="shared" ca="1" si="56"/>
        <v>153</v>
      </c>
      <c r="Z535" s="14">
        <v>1</v>
      </c>
      <c r="AA535" s="1" t="str">
        <f t="shared" ca="1" si="57"/>
        <v>VENCIDO</v>
      </c>
      <c r="AB535" s="1" t="str">
        <f t="shared" si="58"/>
        <v>C-14</v>
      </c>
      <c r="AC535" s="2" t="str">
        <f t="shared" si="62"/>
        <v xml:space="preserve"> RINALDO </v>
      </c>
      <c r="AD535" s="2">
        <f t="shared" si="59"/>
        <v>15</v>
      </c>
      <c r="AE535" s="2">
        <f t="shared" ca="1" si="60"/>
        <v>-211.37242905092717</v>
      </c>
      <c r="AF535" s="15"/>
    </row>
    <row r="536" spans="1:32" hidden="1">
      <c r="A536" s="1">
        <v>8790817</v>
      </c>
      <c r="B536" s="1" t="s">
        <v>101</v>
      </c>
      <c r="C536" t="s">
        <v>643</v>
      </c>
      <c r="D536" s="2">
        <v>220129376</v>
      </c>
      <c r="E536" s="2">
        <v>1059001400040</v>
      </c>
      <c r="F536" s="1" t="s">
        <v>644</v>
      </c>
      <c r="G536" s="1" t="s">
        <v>53</v>
      </c>
      <c r="H536" s="1" t="s">
        <v>88</v>
      </c>
      <c r="I536" s="1" t="s">
        <v>89</v>
      </c>
      <c r="J536" s="1" t="s">
        <v>90</v>
      </c>
      <c r="K536" t="s">
        <v>645</v>
      </c>
      <c r="M536" s="1" t="s">
        <v>58</v>
      </c>
      <c r="N536" s="1">
        <v>0</v>
      </c>
      <c r="O536" s="1" t="s">
        <v>105</v>
      </c>
      <c r="P536" s="186">
        <v>44774.250196759262</v>
      </c>
      <c r="R536" s="1">
        <v>2</v>
      </c>
      <c r="T536" s="1" t="s">
        <v>646</v>
      </c>
      <c r="U536" s="186">
        <v>44775.250208333331</v>
      </c>
      <c r="V536" s="1" t="s">
        <v>41</v>
      </c>
      <c r="W536" s="1" t="s">
        <v>49</v>
      </c>
      <c r="X536" s="13" t="str">
        <f t="shared" si="61"/>
        <v/>
      </c>
      <c r="Y536" s="2">
        <f t="shared" ca="1" si="56"/>
        <v>153</v>
      </c>
      <c r="Z536" s="14">
        <v>1</v>
      </c>
      <c r="AA536" s="1" t="str">
        <f t="shared" ca="1" si="57"/>
        <v>VENCIDO</v>
      </c>
      <c r="AB536" s="1" t="str">
        <f t="shared" si="58"/>
        <v>SL-On</v>
      </c>
      <c r="AC536" s="2" t="str">
        <f t="shared" si="62"/>
        <v xml:space="preserve"> RINALDO </v>
      </c>
      <c r="AD536" s="2">
        <f t="shared" si="59"/>
        <v>1</v>
      </c>
      <c r="AE536" s="2">
        <f t="shared" ca="1" si="60"/>
        <v>-211.4260633101876</v>
      </c>
      <c r="AF536" s="15"/>
    </row>
    <row r="537" spans="1:32" hidden="1">
      <c r="A537" s="1">
        <v>8790458</v>
      </c>
      <c r="B537" s="1" t="s">
        <v>101</v>
      </c>
      <c r="C537" t="s">
        <v>643</v>
      </c>
      <c r="D537" s="2">
        <v>220127616</v>
      </c>
      <c r="E537" s="2">
        <v>1059001400030</v>
      </c>
      <c r="F537" s="1" t="s">
        <v>647</v>
      </c>
      <c r="G537" s="1" t="s">
        <v>53</v>
      </c>
      <c r="H537" s="1" t="s">
        <v>88</v>
      </c>
      <c r="I537" s="1" t="s">
        <v>89</v>
      </c>
      <c r="J537" s="1" t="s">
        <v>90</v>
      </c>
      <c r="K537" t="s">
        <v>650</v>
      </c>
      <c r="M537" s="1" t="s">
        <v>58</v>
      </c>
      <c r="N537" s="1">
        <v>0</v>
      </c>
      <c r="O537" s="1" t="s">
        <v>105</v>
      </c>
      <c r="P537" s="186">
        <v>44774.226747685185</v>
      </c>
      <c r="R537" s="1">
        <v>4</v>
      </c>
      <c r="T537" s="1" t="s">
        <v>646</v>
      </c>
      <c r="U537" s="186">
        <v>44775.226747685185</v>
      </c>
      <c r="V537" s="1" t="s">
        <v>41</v>
      </c>
      <c r="W537" s="1" t="s">
        <v>49</v>
      </c>
      <c r="X537" s="13" t="str">
        <f t="shared" si="61"/>
        <v/>
      </c>
      <c r="Y537" s="2">
        <f t="shared" ca="1" si="56"/>
        <v>153</v>
      </c>
      <c r="Z537" s="14">
        <v>1</v>
      </c>
      <c r="AA537" s="1" t="str">
        <f t="shared" ca="1" si="57"/>
        <v>VENCIDO</v>
      </c>
      <c r="AB537" s="1" t="str">
        <f t="shared" si="58"/>
        <v>C-14</v>
      </c>
      <c r="AC537" s="2" t="str">
        <f t="shared" si="62"/>
        <v xml:space="preserve"> RINALDO </v>
      </c>
      <c r="AD537" s="2">
        <f t="shared" si="59"/>
        <v>15</v>
      </c>
      <c r="AE537" s="2">
        <f t="shared" ca="1" si="60"/>
        <v>-211.44952395833388</v>
      </c>
      <c r="AF537" s="15"/>
    </row>
    <row r="538" spans="1:32" hidden="1">
      <c r="A538" s="1">
        <v>8789842</v>
      </c>
      <c r="B538" s="1" t="s">
        <v>101</v>
      </c>
      <c r="C538" t="s">
        <v>643</v>
      </c>
      <c r="D538" s="2">
        <v>220125834</v>
      </c>
      <c r="E538" s="2">
        <v>2069001400010</v>
      </c>
      <c r="F538" s="1" t="s">
        <v>936</v>
      </c>
      <c r="G538" s="1" t="s">
        <v>53</v>
      </c>
      <c r="H538" s="1" t="s">
        <v>557</v>
      </c>
      <c r="I538" s="1" t="s">
        <v>558</v>
      </c>
      <c r="J538" s="1" t="s">
        <v>90</v>
      </c>
      <c r="K538" t="s">
        <v>937</v>
      </c>
      <c r="M538" s="1" t="s">
        <v>58</v>
      </c>
      <c r="N538" s="1">
        <v>0</v>
      </c>
      <c r="O538" s="1" t="s">
        <v>105</v>
      </c>
      <c r="P538" s="186">
        <v>44774.195625</v>
      </c>
      <c r="R538" s="1">
        <v>3</v>
      </c>
      <c r="T538" s="1" t="s">
        <v>646</v>
      </c>
      <c r="U538" s="186">
        <v>44775.195625</v>
      </c>
      <c r="V538" s="1" t="s">
        <v>41</v>
      </c>
      <c r="W538" s="1" t="s">
        <v>49</v>
      </c>
      <c r="X538" s="13" t="str">
        <f t="shared" si="61"/>
        <v/>
      </c>
      <c r="Y538" s="2">
        <f t="shared" ca="1" si="56"/>
        <v>153</v>
      </c>
      <c r="Z538" s="14">
        <v>1</v>
      </c>
      <c r="AA538" s="1" t="str">
        <f t="shared" ca="1" si="57"/>
        <v>VENCIDO</v>
      </c>
      <c r="AB538" s="1" t="str">
        <f t="shared" si="58"/>
        <v>C-14</v>
      </c>
      <c r="AC538" s="2" t="str">
        <f t="shared" si="62"/>
        <v xml:space="preserve"> RINALDO </v>
      </c>
      <c r="AD538" s="2">
        <f t="shared" si="59"/>
        <v>5</v>
      </c>
      <c r="AE538" s="2">
        <f t="shared" ca="1" si="60"/>
        <v>-211.48064664351841</v>
      </c>
      <c r="AF538" s="15"/>
    </row>
    <row r="539" spans="1:32" hidden="1">
      <c r="A539" s="1">
        <v>8789783</v>
      </c>
      <c r="B539" s="1" t="s">
        <v>101</v>
      </c>
      <c r="C539" t="s">
        <v>643</v>
      </c>
      <c r="D539" s="2">
        <v>220125480</v>
      </c>
      <c r="E539" s="2">
        <v>1059001400010</v>
      </c>
      <c r="F539" s="1" t="s">
        <v>936</v>
      </c>
      <c r="G539" s="1" t="s">
        <v>53</v>
      </c>
      <c r="H539" s="1" t="s">
        <v>88</v>
      </c>
      <c r="I539" s="1" t="s">
        <v>89</v>
      </c>
      <c r="J539" s="1" t="s">
        <v>90</v>
      </c>
      <c r="K539" t="s">
        <v>937</v>
      </c>
      <c r="M539" s="1" t="s">
        <v>58</v>
      </c>
      <c r="N539" s="1">
        <v>0</v>
      </c>
      <c r="O539" s="1" t="s">
        <v>105</v>
      </c>
      <c r="P539" s="186">
        <v>44774.190578703703</v>
      </c>
      <c r="R539" s="1">
        <v>3</v>
      </c>
      <c r="T539" s="1" t="s">
        <v>646</v>
      </c>
      <c r="U539" s="186">
        <v>44775.190578703703</v>
      </c>
      <c r="V539" s="1" t="s">
        <v>41</v>
      </c>
      <c r="W539" s="1" t="s">
        <v>49</v>
      </c>
      <c r="X539" s="13" t="str">
        <f t="shared" si="61"/>
        <v/>
      </c>
      <c r="Y539" s="2">
        <f t="shared" ca="1" si="56"/>
        <v>153</v>
      </c>
      <c r="Z539" s="14">
        <v>1</v>
      </c>
      <c r="AA539" s="1" t="str">
        <f t="shared" ca="1" si="57"/>
        <v>VENCIDO</v>
      </c>
      <c r="AB539" s="1" t="str">
        <f t="shared" si="58"/>
        <v>C-14</v>
      </c>
      <c r="AC539" s="2" t="str">
        <f t="shared" si="62"/>
        <v xml:space="preserve"> RINALDO </v>
      </c>
      <c r="AD539" s="2">
        <f t="shared" si="59"/>
        <v>5</v>
      </c>
      <c r="AE539" s="2">
        <f t="shared" ca="1" si="60"/>
        <v>-211.48569293981564</v>
      </c>
      <c r="AF539" s="15"/>
    </row>
    <row r="540" spans="1:32" hidden="1">
      <c r="A540" s="1">
        <v>8789228</v>
      </c>
      <c r="B540" s="1" t="s">
        <v>101</v>
      </c>
      <c r="C540" t="s">
        <v>643</v>
      </c>
      <c r="D540" s="2">
        <v>220129740</v>
      </c>
      <c r="E540" s="2">
        <v>2107001400040</v>
      </c>
      <c r="F540" s="1" t="s">
        <v>644</v>
      </c>
      <c r="G540" s="1" t="s">
        <v>53</v>
      </c>
      <c r="H540" s="1" t="s">
        <v>262</v>
      </c>
      <c r="I540" s="1" t="s">
        <v>263</v>
      </c>
      <c r="J540" s="1" t="s">
        <v>164</v>
      </c>
      <c r="K540" t="s">
        <v>645</v>
      </c>
      <c r="M540" s="1" t="s">
        <v>58</v>
      </c>
      <c r="N540" s="1">
        <v>0</v>
      </c>
      <c r="O540" s="1" t="s">
        <v>36</v>
      </c>
      <c r="P540" s="186">
        <v>44774.150763888887</v>
      </c>
      <c r="R540" s="1">
        <v>3</v>
      </c>
      <c r="T540" s="1" t="s">
        <v>646</v>
      </c>
      <c r="U540" s="186">
        <v>44775.150775462964</v>
      </c>
      <c r="V540" s="1" t="s">
        <v>41</v>
      </c>
      <c r="W540" s="1" t="s">
        <v>49</v>
      </c>
      <c r="X540" s="13" t="str">
        <f t="shared" si="61"/>
        <v/>
      </c>
      <c r="Y540" s="2">
        <f t="shared" ca="1" si="56"/>
        <v>153</v>
      </c>
      <c r="Z540" s="14">
        <v>1</v>
      </c>
      <c r="AA540" s="1" t="str">
        <f t="shared" ca="1" si="57"/>
        <v>VENCIDO</v>
      </c>
      <c r="AB540" s="1" t="str">
        <f t="shared" si="58"/>
        <v>SL-On</v>
      </c>
      <c r="AC540" s="2" t="str">
        <f t="shared" si="62"/>
        <v xml:space="preserve"> ROSEMERE </v>
      </c>
      <c r="AD540" s="2">
        <f t="shared" si="59"/>
        <v>1</v>
      </c>
      <c r="AE540" s="2">
        <f t="shared" ca="1" si="60"/>
        <v>-211.52549618055491</v>
      </c>
      <c r="AF540" s="15"/>
    </row>
    <row r="541" spans="1:32" hidden="1">
      <c r="A541" s="1">
        <v>8789210</v>
      </c>
      <c r="B541" s="1" t="s">
        <v>101</v>
      </c>
      <c r="C541" t="s">
        <v>643</v>
      </c>
      <c r="D541" s="2">
        <v>220129727</v>
      </c>
      <c r="E541" s="2">
        <v>2069001400040</v>
      </c>
      <c r="F541" s="1" t="s">
        <v>644</v>
      </c>
      <c r="G541" s="1" t="s">
        <v>53</v>
      </c>
      <c r="H541" s="1" t="s">
        <v>557</v>
      </c>
      <c r="I541" s="1" t="s">
        <v>558</v>
      </c>
      <c r="J541" s="1" t="s">
        <v>90</v>
      </c>
      <c r="K541" t="s">
        <v>645</v>
      </c>
      <c r="M541" s="1" t="s">
        <v>58</v>
      </c>
      <c r="N541" s="1">
        <v>0</v>
      </c>
      <c r="O541" s="1" t="s">
        <v>105</v>
      </c>
      <c r="P541" s="186">
        <v>44774.150150462963</v>
      </c>
      <c r="R541" s="1">
        <v>2</v>
      </c>
      <c r="T541" s="1" t="s">
        <v>646</v>
      </c>
      <c r="U541" s="186">
        <v>44775.150150462963</v>
      </c>
      <c r="V541" s="1" t="s">
        <v>41</v>
      </c>
      <c r="W541" s="1" t="s">
        <v>49</v>
      </c>
      <c r="X541" s="13" t="str">
        <f t="shared" si="61"/>
        <v/>
      </c>
      <c r="Y541" s="2">
        <f t="shared" ca="1" si="56"/>
        <v>153</v>
      </c>
      <c r="Z541" s="14">
        <v>1</v>
      </c>
      <c r="AA541" s="1" t="str">
        <f t="shared" ca="1" si="57"/>
        <v>VENCIDO</v>
      </c>
      <c r="AB541" s="1" t="str">
        <f t="shared" si="58"/>
        <v>SL-On</v>
      </c>
      <c r="AC541" s="2" t="str">
        <f t="shared" si="62"/>
        <v xml:space="preserve"> RINALDO </v>
      </c>
      <c r="AD541" s="2">
        <f t="shared" si="59"/>
        <v>1</v>
      </c>
      <c r="AE541" s="2">
        <f t="shared" ca="1" si="60"/>
        <v>-211.52612118055549</v>
      </c>
      <c r="AF541" s="15"/>
    </row>
    <row r="542" spans="1:32" hidden="1">
      <c r="A542" s="1">
        <v>8788278</v>
      </c>
      <c r="B542" s="1" t="s">
        <v>101</v>
      </c>
      <c r="C542" t="s">
        <v>643</v>
      </c>
      <c r="D542" s="2">
        <v>220127916</v>
      </c>
      <c r="E542" s="2">
        <v>1764001400030</v>
      </c>
      <c r="F542" s="1" t="s">
        <v>647</v>
      </c>
      <c r="G542" s="1" t="s">
        <v>53</v>
      </c>
      <c r="H542" s="1" t="s">
        <v>722</v>
      </c>
      <c r="I542" s="1" t="s">
        <v>723</v>
      </c>
      <c r="J542" s="1" t="s">
        <v>90</v>
      </c>
      <c r="K542" t="s">
        <v>650</v>
      </c>
      <c r="M542" s="1" t="s">
        <v>58</v>
      </c>
      <c r="N542" s="1">
        <v>0</v>
      </c>
      <c r="O542" s="1" t="s">
        <v>105</v>
      </c>
      <c r="P542" s="186">
        <v>44774.09547453704</v>
      </c>
      <c r="R542" s="1">
        <v>4</v>
      </c>
      <c r="T542" s="1" t="s">
        <v>646</v>
      </c>
      <c r="U542" s="186">
        <v>44775.09547453704</v>
      </c>
      <c r="V542" s="1" t="s">
        <v>41</v>
      </c>
      <c r="W542" s="1" t="s">
        <v>49</v>
      </c>
      <c r="X542" s="13" t="str">
        <f t="shared" si="61"/>
        <v/>
      </c>
      <c r="Y542" s="2">
        <f t="shared" ca="1" si="56"/>
        <v>153</v>
      </c>
      <c r="Z542" s="14">
        <v>1</v>
      </c>
      <c r="AA542" s="1" t="str">
        <f t="shared" ca="1" si="57"/>
        <v>VENCIDO</v>
      </c>
      <c r="AB542" s="1" t="str">
        <f t="shared" si="58"/>
        <v>C-14</v>
      </c>
      <c r="AC542" s="2" t="str">
        <f t="shared" si="62"/>
        <v xml:space="preserve"> RINALDO </v>
      </c>
      <c r="AD542" s="2">
        <f t="shared" si="59"/>
        <v>15</v>
      </c>
      <c r="AE542" s="2">
        <f t="shared" ca="1" si="60"/>
        <v>-211.58079710647871</v>
      </c>
      <c r="AF542" s="15"/>
    </row>
    <row r="543" spans="1:32" hidden="1">
      <c r="A543" s="1">
        <v>8802595</v>
      </c>
      <c r="B543" s="1" t="s">
        <v>62</v>
      </c>
      <c r="C543" t="s">
        <v>1114</v>
      </c>
      <c r="E543" s="2">
        <v>3918000206001</v>
      </c>
      <c r="F543" s="1" t="s">
        <v>29</v>
      </c>
      <c r="G543" s="1" t="s">
        <v>53</v>
      </c>
      <c r="H543" s="1" t="s">
        <v>858</v>
      </c>
      <c r="I543" s="1" t="s">
        <v>859</v>
      </c>
      <c r="J543" s="1" t="s">
        <v>33</v>
      </c>
      <c r="K543" t="s">
        <v>34</v>
      </c>
      <c r="M543" s="1" t="s">
        <v>35</v>
      </c>
      <c r="N543" s="1">
        <v>42318949</v>
      </c>
      <c r="O543" s="1" t="s">
        <v>36</v>
      </c>
      <c r="P543" s="186">
        <v>44777.52611111111</v>
      </c>
      <c r="R543" s="1" t="s">
        <v>38</v>
      </c>
      <c r="T543" s="1" t="s">
        <v>74</v>
      </c>
      <c r="U543" s="186">
        <v>44819.75</v>
      </c>
      <c r="V543" s="1" t="s">
        <v>41</v>
      </c>
      <c r="W543" s="1" t="s">
        <v>49</v>
      </c>
      <c r="X543" s="13" t="str">
        <f t="shared" si="61"/>
        <v/>
      </c>
      <c r="Y543" s="2">
        <f t="shared" ca="1" si="56"/>
        <v>150</v>
      </c>
      <c r="Z543" s="14">
        <v>1</v>
      </c>
      <c r="AA543" s="1" t="str">
        <f t="shared" ca="1" si="57"/>
        <v>VENCIDO</v>
      </c>
      <c r="AB543" s="1" t="str">
        <f t="shared" si="58"/>
        <v>Dosa</v>
      </c>
      <c r="AC543" s="2" t="str">
        <f t="shared" si="62"/>
        <v xml:space="preserve"> ROSEMERE </v>
      </c>
      <c r="AD543" s="2">
        <f t="shared" si="59"/>
        <v>5</v>
      </c>
      <c r="AE543" s="2">
        <f t="shared" ca="1" si="60"/>
        <v>-166.9262716435187</v>
      </c>
      <c r="AF543" s="15"/>
    </row>
    <row r="544" spans="1:32" hidden="1">
      <c r="A544" s="1">
        <v>8802516</v>
      </c>
      <c r="B544" s="1" t="s">
        <v>62</v>
      </c>
      <c r="C544" t="s">
        <v>1114</v>
      </c>
      <c r="E544" s="2">
        <v>2737000206001</v>
      </c>
      <c r="F544" s="1" t="s">
        <v>29</v>
      </c>
      <c r="G544" s="1" t="s">
        <v>53</v>
      </c>
      <c r="H544" s="1" t="s">
        <v>311</v>
      </c>
      <c r="I544" s="1" t="s">
        <v>312</v>
      </c>
      <c r="J544" s="1" t="s">
        <v>90</v>
      </c>
      <c r="K544" t="s">
        <v>34</v>
      </c>
      <c r="M544" s="1" t="s">
        <v>35</v>
      </c>
      <c r="N544" s="1">
        <v>42318949</v>
      </c>
      <c r="O544" s="1" t="s">
        <v>105</v>
      </c>
      <c r="P544" s="186">
        <v>44777.526006944441</v>
      </c>
      <c r="R544" s="1" t="s">
        <v>38</v>
      </c>
      <c r="T544" s="1" t="s">
        <v>74</v>
      </c>
      <c r="U544" s="186">
        <v>44819.75</v>
      </c>
      <c r="V544" s="1" t="s">
        <v>41</v>
      </c>
      <c r="W544" s="1" t="s">
        <v>49</v>
      </c>
      <c r="X544" s="13" t="str">
        <f t="shared" si="61"/>
        <v/>
      </c>
      <c r="Y544" s="2">
        <f t="shared" ca="1" si="56"/>
        <v>150</v>
      </c>
      <c r="Z544" s="14">
        <v>1</v>
      </c>
      <c r="AA544" s="1" t="str">
        <f t="shared" ca="1" si="57"/>
        <v>VENCIDO</v>
      </c>
      <c r="AB544" s="1" t="str">
        <f t="shared" si="58"/>
        <v>Dosa</v>
      </c>
      <c r="AC544" s="2" t="str">
        <f t="shared" si="62"/>
        <v xml:space="preserve"> RINALDO </v>
      </c>
      <c r="AD544" s="2">
        <f t="shared" si="59"/>
        <v>5</v>
      </c>
      <c r="AE544" s="2">
        <f t="shared" ca="1" si="60"/>
        <v>-166.9262716435187</v>
      </c>
      <c r="AF544" s="15"/>
    </row>
    <row r="545" spans="1:32" hidden="1">
      <c r="A545" s="1">
        <v>8802513</v>
      </c>
      <c r="B545" s="1" t="s">
        <v>62</v>
      </c>
      <c r="C545" t="s">
        <v>1114</v>
      </c>
      <c r="E545" s="2">
        <v>2693000206001</v>
      </c>
      <c r="F545" s="1" t="s">
        <v>29</v>
      </c>
      <c r="G545" s="1" t="s">
        <v>53</v>
      </c>
      <c r="H545" s="1" t="s">
        <v>253</v>
      </c>
      <c r="I545" s="1" t="s">
        <v>254</v>
      </c>
      <c r="J545" s="1" t="s">
        <v>56</v>
      </c>
      <c r="K545" t="s">
        <v>34</v>
      </c>
      <c r="M545" s="1" t="s">
        <v>35</v>
      </c>
      <c r="N545" s="1">
        <v>42318949</v>
      </c>
      <c r="O545" s="1" t="s">
        <v>105</v>
      </c>
      <c r="P545" s="186">
        <v>44777.526006944441</v>
      </c>
      <c r="R545" s="1" t="s">
        <v>38</v>
      </c>
      <c r="T545" s="1" t="s">
        <v>74</v>
      </c>
      <c r="U545" s="186">
        <v>44819.75</v>
      </c>
      <c r="V545" s="1" t="s">
        <v>41</v>
      </c>
      <c r="W545" s="1" t="s">
        <v>49</v>
      </c>
      <c r="X545" s="13" t="str">
        <f t="shared" si="61"/>
        <v/>
      </c>
      <c r="Y545" s="2">
        <f t="shared" ca="1" si="56"/>
        <v>150</v>
      </c>
      <c r="Z545" s="14">
        <v>1</v>
      </c>
      <c r="AA545" s="1" t="str">
        <f t="shared" ca="1" si="57"/>
        <v>VENCIDO</v>
      </c>
      <c r="AB545" s="1" t="str">
        <f t="shared" si="58"/>
        <v>Dosa</v>
      </c>
      <c r="AC545" s="2" t="str">
        <f t="shared" si="62"/>
        <v xml:space="preserve"> CRISTINA </v>
      </c>
      <c r="AD545" s="2">
        <f t="shared" si="59"/>
        <v>5</v>
      </c>
      <c r="AE545" s="2">
        <f t="shared" ca="1" si="60"/>
        <v>-166.9262716435187</v>
      </c>
      <c r="AF545" s="15"/>
    </row>
    <row r="546" spans="1:32" hidden="1">
      <c r="A546" s="1">
        <v>8802505</v>
      </c>
      <c r="B546" s="1" t="s">
        <v>62</v>
      </c>
      <c r="C546" t="s">
        <v>1114</v>
      </c>
      <c r="E546" s="2">
        <v>2590000206001</v>
      </c>
      <c r="F546" s="1" t="s">
        <v>29</v>
      </c>
      <c r="G546" s="1" t="s">
        <v>53</v>
      </c>
      <c r="H546" s="1" t="s">
        <v>394</v>
      </c>
      <c r="I546" s="1" t="s">
        <v>395</v>
      </c>
      <c r="J546" s="1" t="s">
        <v>148</v>
      </c>
      <c r="K546" t="s">
        <v>34</v>
      </c>
      <c r="M546" s="1" t="s">
        <v>35</v>
      </c>
      <c r="N546" s="1">
        <v>42318949</v>
      </c>
      <c r="O546" s="1" t="s">
        <v>105</v>
      </c>
      <c r="P546" s="186">
        <v>44777.525995370372</v>
      </c>
      <c r="R546" s="1" t="s">
        <v>38</v>
      </c>
      <c r="T546" s="1" t="s">
        <v>74</v>
      </c>
      <c r="U546" s="186">
        <v>44819.75</v>
      </c>
      <c r="V546" s="1" t="s">
        <v>41</v>
      </c>
      <c r="W546" s="1" t="s">
        <v>49</v>
      </c>
      <c r="X546" s="13" t="str">
        <f t="shared" si="61"/>
        <v/>
      </c>
      <c r="Y546" s="2">
        <f t="shared" ca="1" si="56"/>
        <v>150</v>
      </c>
      <c r="Z546" s="14">
        <v>1</v>
      </c>
      <c r="AA546" s="1" t="str">
        <f t="shared" ca="1" si="57"/>
        <v>VENCIDO</v>
      </c>
      <c r="AB546" s="1" t="str">
        <f t="shared" si="58"/>
        <v>Dosa</v>
      </c>
      <c r="AC546" s="2" t="str">
        <f t="shared" si="62"/>
        <v xml:space="preserve"> RINALDO </v>
      </c>
      <c r="AD546" s="2">
        <f t="shared" si="59"/>
        <v>5</v>
      </c>
      <c r="AE546" s="2">
        <f t="shared" ca="1" si="60"/>
        <v>-166.9262716435187</v>
      </c>
      <c r="AF546" s="15"/>
    </row>
    <row r="547" spans="1:32" hidden="1">
      <c r="A547" s="1">
        <v>8802477</v>
      </c>
      <c r="B547" s="1" t="s">
        <v>62</v>
      </c>
      <c r="C547" t="s">
        <v>1114</v>
      </c>
      <c r="E547" s="2">
        <v>2229000206001</v>
      </c>
      <c r="F547" s="1" t="s">
        <v>29</v>
      </c>
      <c r="G547" s="1" t="s">
        <v>53</v>
      </c>
      <c r="H547" s="1" t="s">
        <v>339</v>
      </c>
      <c r="I547" s="1" t="s">
        <v>340</v>
      </c>
      <c r="J547" s="1" t="s">
        <v>211</v>
      </c>
      <c r="K547" t="s">
        <v>34</v>
      </c>
      <c r="M547" s="1" t="s">
        <v>35</v>
      </c>
      <c r="N547" s="1">
        <v>42318949</v>
      </c>
      <c r="O547" s="1" t="s">
        <v>105</v>
      </c>
      <c r="P547" s="186">
        <v>44777.525960648149</v>
      </c>
      <c r="R547" s="1" t="s">
        <v>38</v>
      </c>
      <c r="T547" s="1" t="s">
        <v>74</v>
      </c>
      <c r="U547" s="186">
        <v>44819.75</v>
      </c>
      <c r="V547" s="1" t="s">
        <v>41</v>
      </c>
      <c r="W547" s="1" t="s">
        <v>49</v>
      </c>
      <c r="X547" s="13" t="str">
        <f t="shared" si="61"/>
        <v/>
      </c>
      <c r="Y547" s="2">
        <f t="shared" ca="1" si="56"/>
        <v>150</v>
      </c>
      <c r="Z547" s="14">
        <v>1</v>
      </c>
      <c r="AA547" s="1" t="str">
        <f t="shared" ca="1" si="57"/>
        <v>VENCIDO</v>
      </c>
      <c r="AB547" s="1" t="str">
        <f t="shared" si="58"/>
        <v>Dosa</v>
      </c>
      <c r="AC547" s="2" t="str">
        <f t="shared" si="62"/>
        <v xml:space="preserve"> RINALDO </v>
      </c>
      <c r="AD547" s="2">
        <f t="shared" si="59"/>
        <v>5</v>
      </c>
      <c r="AE547" s="2">
        <f t="shared" ca="1" si="60"/>
        <v>-166.9262716435187</v>
      </c>
      <c r="AF547" s="15"/>
    </row>
    <row r="548" spans="1:32" hidden="1">
      <c r="A548" s="1">
        <v>8802445</v>
      </c>
      <c r="B548" s="1" t="s">
        <v>62</v>
      </c>
      <c r="C548" t="s">
        <v>1114</v>
      </c>
      <c r="E548" s="2">
        <v>1761000206001</v>
      </c>
      <c r="F548" s="1" t="s">
        <v>29</v>
      </c>
      <c r="G548" s="1" t="s">
        <v>53</v>
      </c>
      <c r="H548" s="1" t="s">
        <v>375</v>
      </c>
      <c r="I548" s="1" t="s">
        <v>376</v>
      </c>
      <c r="J548" s="1" t="s">
        <v>56</v>
      </c>
      <c r="K548" t="s">
        <v>34</v>
      </c>
      <c r="M548" s="1" t="s">
        <v>35</v>
      </c>
      <c r="N548" s="1">
        <v>42318949</v>
      </c>
      <c r="O548" s="1" t="s">
        <v>105</v>
      </c>
      <c r="P548" s="186">
        <v>44777.525914351849</v>
      </c>
      <c r="R548" s="1" t="s">
        <v>38</v>
      </c>
      <c r="T548" s="1" t="s">
        <v>74</v>
      </c>
      <c r="U548" s="186">
        <v>44819.75</v>
      </c>
      <c r="V548" s="1" t="s">
        <v>41</v>
      </c>
      <c r="W548" s="1" t="s">
        <v>49</v>
      </c>
      <c r="X548" s="13" t="str">
        <f t="shared" si="61"/>
        <v/>
      </c>
      <c r="Y548" s="2">
        <f t="shared" ca="1" si="56"/>
        <v>150</v>
      </c>
      <c r="Z548" s="14">
        <v>1</v>
      </c>
      <c r="AA548" s="1" t="str">
        <f t="shared" ca="1" si="57"/>
        <v>VENCIDO</v>
      </c>
      <c r="AB548" s="1" t="str">
        <f t="shared" si="58"/>
        <v>Dosa</v>
      </c>
      <c r="AC548" s="2" t="str">
        <f t="shared" si="62"/>
        <v xml:space="preserve"> CRISTINA </v>
      </c>
      <c r="AD548" s="2">
        <f t="shared" si="59"/>
        <v>5</v>
      </c>
      <c r="AE548" s="2">
        <f t="shared" ca="1" si="60"/>
        <v>-166.9262716435187</v>
      </c>
      <c r="AF548" s="15"/>
    </row>
    <row r="549" spans="1:32" hidden="1">
      <c r="A549" s="1">
        <v>8802382</v>
      </c>
      <c r="B549" s="1" t="s">
        <v>62</v>
      </c>
      <c r="C549" t="s">
        <v>1114</v>
      </c>
      <c r="E549" s="2">
        <v>1028000206001</v>
      </c>
      <c r="F549" s="1" t="s">
        <v>29</v>
      </c>
      <c r="G549" s="1" t="s">
        <v>53</v>
      </c>
      <c r="H549" s="1" t="s">
        <v>1079</v>
      </c>
      <c r="I549" s="1" t="s">
        <v>1080</v>
      </c>
      <c r="J549" s="1" t="s">
        <v>85</v>
      </c>
      <c r="K549" t="s">
        <v>34</v>
      </c>
      <c r="M549" s="1" t="s">
        <v>35</v>
      </c>
      <c r="N549" s="1">
        <v>42318949</v>
      </c>
      <c r="O549" s="1" t="s">
        <v>105</v>
      </c>
      <c r="P549" s="186">
        <v>44777.525810185187</v>
      </c>
      <c r="R549" s="1" t="s">
        <v>38</v>
      </c>
      <c r="T549" s="1" t="s">
        <v>74</v>
      </c>
      <c r="U549" s="186">
        <v>44819.75</v>
      </c>
      <c r="V549" s="1" t="s">
        <v>41</v>
      </c>
      <c r="W549" s="1" t="s">
        <v>49</v>
      </c>
      <c r="X549" s="13" t="str">
        <f t="shared" si="61"/>
        <v/>
      </c>
      <c r="Y549" s="2">
        <f t="shared" ca="1" si="56"/>
        <v>150</v>
      </c>
      <c r="Z549" s="14">
        <v>1</v>
      </c>
      <c r="AA549" s="1" t="str">
        <f t="shared" ca="1" si="57"/>
        <v>VENCIDO</v>
      </c>
      <c r="AB549" s="1" t="str">
        <f t="shared" si="58"/>
        <v>Dosa</v>
      </c>
      <c r="AC549" s="2" t="str">
        <f t="shared" si="62"/>
        <v xml:space="preserve"> RINALDO </v>
      </c>
      <c r="AD549" s="2">
        <f t="shared" si="59"/>
        <v>5</v>
      </c>
      <c r="AE549" s="2">
        <f t="shared" ca="1" si="60"/>
        <v>-166.9262716435187</v>
      </c>
      <c r="AF549" s="15"/>
    </row>
    <row r="550" spans="1:32" hidden="1">
      <c r="A550" s="1">
        <v>8802376</v>
      </c>
      <c r="B550" s="1" t="s">
        <v>62</v>
      </c>
      <c r="C550" t="s">
        <v>1114</v>
      </c>
      <c r="E550" s="2">
        <v>981000206001</v>
      </c>
      <c r="F550" s="1" t="s">
        <v>29</v>
      </c>
      <c r="G550" s="1" t="s">
        <v>53</v>
      </c>
      <c r="H550" s="1" t="s">
        <v>410</v>
      </c>
      <c r="I550" s="1" t="s">
        <v>411</v>
      </c>
      <c r="J550" s="1" t="s">
        <v>85</v>
      </c>
      <c r="K550" t="s">
        <v>34</v>
      </c>
      <c r="M550" s="1" t="s">
        <v>35</v>
      </c>
      <c r="N550" s="1">
        <v>42318949</v>
      </c>
      <c r="O550" s="1" t="s">
        <v>36</v>
      </c>
      <c r="P550" s="186">
        <v>44777.525810185187</v>
      </c>
      <c r="R550" s="1" t="s">
        <v>38</v>
      </c>
      <c r="T550" s="1" t="s">
        <v>74</v>
      </c>
      <c r="U550" s="186">
        <v>44819.75</v>
      </c>
      <c r="V550" s="1" t="s">
        <v>41</v>
      </c>
      <c r="W550" s="1" t="s">
        <v>49</v>
      </c>
      <c r="X550" s="13" t="str">
        <f t="shared" si="61"/>
        <v/>
      </c>
      <c r="Y550" s="2">
        <f t="shared" ca="1" si="56"/>
        <v>150</v>
      </c>
      <c r="Z550" s="14">
        <v>1</v>
      </c>
      <c r="AA550" s="1" t="str">
        <f t="shared" ca="1" si="57"/>
        <v>VENCIDO</v>
      </c>
      <c r="AB550" s="1" t="str">
        <f t="shared" si="58"/>
        <v>Dosa</v>
      </c>
      <c r="AC550" s="2" t="str">
        <f t="shared" si="62"/>
        <v xml:space="preserve"> RINALDO </v>
      </c>
      <c r="AD550" s="2">
        <f t="shared" si="59"/>
        <v>5</v>
      </c>
      <c r="AE550" s="2">
        <f t="shared" ca="1" si="60"/>
        <v>-166.9262716435187</v>
      </c>
      <c r="AF550" s="15"/>
    </row>
    <row r="551" spans="1:32" hidden="1">
      <c r="A551" s="1">
        <v>8802339</v>
      </c>
      <c r="B551" s="1" t="s">
        <v>62</v>
      </c>
      <c r="C551" t="s">
        <v>1114</v>
      </c>
      <c r="E551" s="2">
        <v>608000206001</v>
      </c>
      <c r="F551" s="1" t="s">
        <v>29</v>
      </c>
      <c r="G551" s="1" t="s">
        <v>53</v>
      </c>
      <c r="H551" s="1" t="s">
        <v>438</v>
      </c>
      <c r="I551" s="1" t="s">
        <v>439</v>
      </c>
      <c r="J551" s="1" t="s">
        <v>148</v>
      </c>
      <c r="K551" t="s">
        <v>34</v>
      </c>
      <c r="M551" s="1" t="s">
        <v>35</v>
      </c>
      <c r="N551" s="1">
        <v>42318949</v>
      </c>
      <c r="O551" s="1" t="s">
        <v>105</v>
      </c>
      <c r="P551" s="186">
        <v>44777.525763888887</v>
      </c>
      <c r="R551" s="1" t="s">
        <v>38</v>
      </c>
      <c r="T551" s="1" t="s">
        <v>74</v>
      </c>
      <c r="U551" s="186">
        <v>44819.75</v>
      </c>
      <c r="V551" s="1" t="s">
        <v>41</v>
      </c>
      <c r="W551" s="1" t="s">
        <v>49</v>
      </c>
      <c r="X551" s="13" t="str">
        <f t="shared" si="61"/>
        <v/>
      </c>
      <c r="Y551" s="2">
        <f t="shared" ca="1" si="56"/>
        <v>150</v>
      </c>
      <c r="Z551" s="14">
        <v>1</v>
      </c>
      <c r="AA551" s="1" t="str">
        <f t="shared" ca="1" si="57"/>
        <v>VENCIDO</v>
      </c>
      <c r="AB551" s="1" t="str">
        <f t="shared" si="58"/>
        <v>Dosa</v>
      </c>
      <c r="AC551" s="2" t="str">
        <f t="shared" si="62"/>
        <v xml:space="preserve"> RINALDO </v>
      </c>
      <c r="AD551" s="2">
        <f t="shared" si="59"/>
        <v>5</v>
      </c>
      <c r="AE551" s="2">
        <f t="shared" ca="1" si="60"/>
        <v>-166.9262716435187</v>
      </c>
      <c r="AF551" s="15"/>
    </row>
    <row r="552" spans="1:32" hidden="1">
      <c r="A552" s="1">
        <v>8802198</v>
      </c>
      <c r="B552" s="1" t="s">
        <v>62</v>
      </c>
      <c r="C552" t="s">
        <v>1114</v>
      </c>
      <c r="E552" s="2">
        <v>721000206001</v>
      </c>
      <c r="F552" s="1" t="s">
        <v>29</v>
      </c>
      <c r="G552" s="1" t="s">
        <v>53</v>
      </c>
      <c r="H552" s="1" t="s">
        <v>422</v>
      </c>
      <c r="I552" s="1" t="s">
        <v>423</v>
      </c>
      <c r="J552" s="1" t="s">
        <v>79</v>
      </c>
      <c r="K552" t="s">
        <v>34</v>
      </c>
      <c r="M552" s="1" t="s">
        <v>35</v>
      </c>
      <c r="N552" s="1">
        <v>42318949</v>
      </c>
      <c r="O552" s="1" t="s">
        <v>36</v>
      </c>
      <c r="P552" s="186">
        <v>44777.525543981479</v>
      </c>
      <c r="R552" s="1" t="s">
        <v>38</v>
      </c>
      <c r="T552" s="1" t="s">
        <v>74</v>
      </c>
      <c r="U552" s="186">
        <v>44819.75</v>
      </c>
      <c r="V552" s="1" t="s">
        <v>41</v>
      </c>
      <c r="W552" s="1" t="s">
        <v>49</v>
      </c>
      <c r="X552" s="13" t="str">
        <f t="shared" si="61"/>
        <v/>
      </c>
      <c r="Y552" s="2">
        <f t="shared" ca="1" si="56"/>
        <v>150</v>
      </c>
      <c r="Z552" s="14">
        <v>1</v>
      </c>
      <c r="AA552" s="1" t="str">
        <f t="shared" ca="1" si="57"/>
        <v>VENCIDO</v>
      </c>
      <c r="AB552" s="1" t="str">
        <f t="shared" si="58"/>
        <v>Dosa</v>
      </c>
      <c r="AC552" s="2" t="str">
        <f t="shared" si="62"/>
        <v xml:space="preserve"> ROSEMERE </v>
      </c>
      <c r="AD552" s="2">
        <f t="shared" si="59"/>
        <v>5</v>
      </c>
      <c r="AE552" s="2">
        <f t="shared" ca="1" si="60"/>
        <v>-166.9262716435187</v>
      </c>
      <c r="AF552" s="15"/>
    </row>
    <row r="553" spans="1:32" hidden="1">
      <c r="A553" s="1">
        <v>8802177</v>
      </c>
      <c r="B553" s="1" t="s">
        <v>62</v>
      </c>
      <c r="C553" t="s">
        <v>1114</v>
      </c>
      <c r="E553" s="2">
        <v>1754000206001</v>
      </c>
      <c r="F553" s="1" t="s">
        <v>29</v>
      </c>
      <c r="G553" s="1" t="s">
        <v>53</v>
      </c>
      <c r="H553" s="1" t="s">
        <v>146</v>
      </c>
      <c r="I553" s="1" t="s">
        <v>147</v>
      </c>
      <c r="J553" s="1" t="s">
        <v>148</v>
      </c>
      <c r="K553" t="s">
        <v>34</v>
      </c>
      <c r="M553" s="1" t="s">
        <v>35</v>
      </c>
      <c r="N553" s="1">
        <v>42318949</v>
      </c>
      <c r="O553" s="1" t="s">
        <v>105</v>
      </c>
      <c r="P553" s="186">
        <v>44777.525509259256</v>
      </c>
      <c r="R553" s="1" t="s">
        <v>38</v>
      </c>
      <c r="T553" s="1" t="s">
        <v>74</v>
      </c>
      <c r="U553" s="186">
        <v>44819.75</v>
      </c>
      <c r="V553" s="1" t="s">
        <v>41</v>
      </c>
      <c r="W553" s="1" t="s">
        <v>49</v>
      </c>
      <c r="X553" s="13" t="str">
        <f t="shared" si="61"/>
        <v/>
      </c>
      <c r="Y553" s="2">
        <f t="shared" ca="1" si="56"/>
        <v>150</v>
      </c>
      <c r="Z553" s="14">
        <v>1</v>
      </c>
      <c r="AA553" s="1" t="str">
        <f t="shared" ca="1" si="57"/>
        <v>VENCIDO</v>
      </c>
      <c r="AB553" s="1" t="str">
        <f t="shared" si="58"/>
        <v>Dosa</v>
      </c>
      <c r="AC553" s="2" t="str">
        <f t="shared" si="62"/>
        <v xml:space="preserve"> RINALDO </v>
      </c>
      <c r="AD553" s="2">
        <f t="shared" si="59"/>
        <v>5</v>
      </c>
      <c r="AE553" s="2">
        <f t="shared" ca="1" si="60"/>
        <v>-166.9262716435187</v>
      </c>
      <c r="AF553" s="15"/>
    </row>
    <row r="554" spans="1:32" hidden="1">
      <c r="A554" s="1">
        <v>8819471</v>
      </c>
      <c r="B554" s="1" t="s">
        <v>101</v>
      </c>
      <c r="C554" t="s">
        <v>1125</v>
      </c>
      <c r="E554" s="2">
        <v>9705000206001</v>
      </c>
      <c r="F554" s="1" t="s">
        <v>29</v>
      </c>
      <c r="G554" s="1" t="s">
        <v>53</v>
      </c>
      <c r="H554" s="1" t="s">
        <v>204</v>
      </c>
      <c r="I554" s="1" t="s">
        <v>205</v>
      </c>
      <c r="J554" s="1" t="s">
        <v>90</v>
      </c>
      <c r="K554" t="s">
        <v>34</v>
      </c>
      <c r="M554" s="1" t="s">
        <v>35</v>
      </c>
      <c r="N554" s="1">
        <v>42318949</v>
      </c>
      <c r="O554" s="1" t="s">
        <v>36</v>
      </c>
      <c r="P554" s="12">
        <v>44781.761643518519</v>
      </c>
      <c r="R554" s="1" t="s">
        <v>38</v>
      </c>
      <c r="T554" s="1" t="s">
        <v>74</v>
      </c>
      <c r="U554" s="12">
        <v>44782.75</v>
      </c>
      <c r="V554" s="1" t="s">
        <v>41</v>
      </c>
      <c r="W554" s="1" t="s">
        <v>49</v>
      </c>
      <c r="X554" s="13" t="str">
        <f t="shared" si="61"/>
        <v/>
      </c>
      <c r="Y554" s="2">
        <f t="shared" ca="1" si="56"/>
        <v>148</v>
      </c>
      <c r="Z554" s="14">
        <v>1</v>
      </c>
      <c r="AA554" s="1" t="str">
        <f t="shared" ca="1" si="57"/>
        <v>VENCIDO</v>
      </c>
      <c r="AB554" s="1" t="str">
        <f t="shared" si="58"/>
        <v>Dosa</v>
      </c>
      <c r="AC554" s="2" t="str">
        <f t="shared" si="62"/>
        <v xml:space="preserve"> RINALDO </v>
      </c>
      <c r="AD554" s="2">
        <f t="shared" si="59"/>
        <v>5</v>
      </c>
      <c r="AE554" s="2">
        <f t="shared" ca="1" si="60"/>
        <v>-203.9262716435187</v>
      </c>
      <c r="AF554" s="15"/>
    </row>
    <row r="555" spans="1:32" hidden="1">
      <c r="A555" s="1">
        <v>8818302</v>
      </c>
      <c r="B555" s="1" t="s">
        <v>101</v>
      </c>
      <c r="C555" t="s">
        <v>1125</v>
      </c>
      <c r="E555" s="2">
        <v>4637000206001</v>
      </c>
      <c r="F555" s="1" t="s">
        <v>29</v>
      </c>
      <c r="G555" s="1" t="s">
        <v>53</v>
      </c>
      <c r="H555" s="1" t="s">
        <v>848</v>
      </c>
      <c r="I555" s="1" t="s">
        <v>849</v>
      </c>
      <c r="J555" s="1" t="s">
        <v>79</v>
      </c>
      <c r="K555" t="s">
        <v>34</v>
      </c>
      <c r="M555" s="1" t="s">
        <v>35</v>
      </c>
      <c r="N555" s="1">
        <v>42318949</v>
      </c>
      <c r="O555" s="1" t="s">
        <v>105</v>
      </c>
      <c r="P555" s="12">
        <v>44781.75980324074</v>
      </c>
      <c r="R555" s="1" t="s">
        <v>38</v>
      </c>
      <c r="T555" s="1" t="s">
        <v>74</v>
      </c>
      <c r="U555" s="12">
        <v>44782.75</v>
      </c>
      <c r="V555" s="1" t="s">
        <v>41</v>
      </c>
      <c r="W555" s="1" t="s">
        <v>49</v>
      </c>
      <c r="X555" s="13" t="str">
        <f t="shared" si="61"/>
        <v/>
      </c>
      <c r="Y555" s="2">
        <f t="shared" ca="1" si="56"/>
        <v>148</v>
      </c>
      <c r="Z555" s="14">
        <v>1</v>
      </c>
      <c r="AA555" s="1" t="str">
        <f t="shared" ca="1" si="57"/>
        <v>VENCIDO</v>
      </c>
      <c r="AB555" s="1" t="str">
        <f t="shared" si="58"/>
        <v>Dosa</v>
      </c>
      <c r="AC555" s="2" t="str">
        <f t="shared" si="62"/>
        <v xml:space="preserve"> ROSEMERE </v>
      </c>
      <c r="AD555" s="2">
        <f t="shared" si="59"/>
        <v>5</v>
      </c>
      <c r="AE555" s="2">
        <f t="shared" ca="1" si="60"/>
        <v>-203.9262716435187</v>
      </c>
      <c r="AF555" s="15"/>
    </row>
    <row r="556" spans="1:32" hidden="1">
      <c r="A556" s="1">
        <v>8816066</v>
      </c>
      <c r="B556" s="1" t="s">
        <v>101</v>
      </c>
      <c r="C556" t="s">
        <v>1125</v>
      </c>
      <c r="E556" s="2">
        <v>1732000206001</v>
      </c>
      <c r="F556" s="1" t="s">
        <v>29</v>
      </c>
      <c r="G556" s="1" t="s">
        <v>53</v>
      </c>
      <c r="H556" s="1" t="s">
        <v>177</v>
      </c>
      <c r="I556" s="1" t="s">
        <v>178</v>
      </c>
      <c r="J556" s="1" t="s">
        <v>164</v>
      </c>
      <c r="K556" t="s">
        <v>34</v>
      </c>
      <c r="M556" s="1" t="s">
        <v>35</v>
      </c>
      <c r="N556" s="1">
        <v>42318949</v>
      </c>
      <c r="O556" s="1" t="s">
        <v>105</v>
      </c>
      <c r="P556" s="12">
        <v>44781.756666666668</v>
      </c>
      <c r="R556" s="1" t="s">
        <v>38</v>
      </c>
      <c r="T556" s="1" t="s">
        <v>74</v>
      </c>
      <c r="U556" s="12">
        <v>44782.75</v>
      </c>
      <c r="V556" s="1" t="s">
        <v>41</v>
      </c>
      <c r="W556" s="1" t="s">
        <v>49</v>
      </c>
      <c r="X556" s="13" t="str">
        <f t="shared" si="61"/>
        <v/>
      </c>
      <c r="Y556" s="2">
        <f t="shared" ca="1" si="56"/>
        <v>148</v>
      </c>
      <c r="Z556" s="14">
        <v>1</v>
      </c>
      <c r="AA556" s="1" t="str">
        <f t="shared" ca="1" si="57"/>
        <v>VENCIDO</v>
      </c>
      <c r="AB556" s="1" t="str">
        <f t="shared" si="58"/>
        <v>Dosa</v>
      </c>
      <c r="AC556" s="2" t="str">
        <f t="shared" si="62"/>
        <v xml:space="preserve"> ROSEMERE </v>
      </c>
      <c r="AD556" s="2">
        <f t="shared" si="59"/>
        <v>5</v>
      </c>
      <c r="AE556" s="2">
        <f t="shared" ca="1" si="60"/>
        <v>-203.9262716435187</v>
      </c>
      <c r="AF556" s="15"/>
    </row>
    <row r="557" spans="1:32" hidden="1">
      <c r="A557" s="1">
        <v>8815493</v>
      </c>
      <c r="B557" s="1" t="s">
        <v>101</v>
      </c>
      <c r="C557" t="s">
        <v>1125</v>
      </c>
      <c r="E557" s="2">
        <v>1120000206001</v>
      </c>
      <c r="F557" s="1" t="s">
        <v>29</v>
      </c>
      <c r="G557" s="1" t="s">
        <v>53</v>
      </c>
      <c r="H557" s="1" t="s">
        <v>181</v>
      </c>
      <c r="I557" s="1" t="s">
        <v>182</v>
      </c>
      <c r="J557" s="1" t="s">
        <v>164</v>
      </c>
      <c r="K557" t="s">
        <v>34</v>
      </c>
      <c r="M557" s="1" t="s">
        <v>35</v>
      </c>
      <c r="N557" s="1">
        <v>42318949</v>
      </c>
      <c r="O557" s="1" t="s">
        <v>36</v>
      </c>
      <c r="P557" s="12">
        <v>44781.755798611113</v>
      </c>
      <c r="R557" s="1" t="s">
        <v>38</v>
      </c>
      <c r="T557" s="1" t="s">
        <v>74</v>
      </c>
      <c r="U557" s="12">
        <v>44782.75</v>
      </c>
      <c r="V557" s="1" t="s">
        <v>41</v>
      </c>
      <c r="W557" s="1" t="s">
        <v>49</v>
      </c>
      <c r="X557" s="13" t="str">
        <f t="shared" si="61"/>
        <v/>
      </c>
      <c r="Y557" s="2">
        <f t="shared" ca="1" si="56"/>
        <v>148</v>
      </c>
      <c r="Z557" s="14">
        <v>1</v>
      </c>
      <c r="AA557" s="1" t="str">
        <f t="shared" ca="1" si="57"/>
        <v>VENCIDO</v>
      </c>
      <c r="AB557" s="1" t="str">
        <f t="shared" si="58"/>
        <v>Dosa</v>
      </c>
      <c r="AC557" s="2" t="str">
        <f t="shared" si="62"/>
        <v xml:space="preserve"> ROSEMERE </v>
      </c>
      <c r="AD557" s="2">
        <f t="shared" si="59"/>
        <v>5</v>
      </c>
      <c r="AE557" s="2">
        <f t="shared" ca="1" si="60"/>
        <v>-203.9262716435187</v>
      </c>
      <c r="AF557" s="15"/>
    </row>
    <row r="558" spans="1:32" hidden="1">
      <c r="A558" s="1">
        <v>8815426</v>
      </c>
      <c r="B558" s="1" t="s">
        <v>101</v>
      </c>
      <c r="C558" t="s">
        <v>1125</v>
      </c>
      <c r="E558" s="2">
        <v>1049000206001</v>
      </c>
      <c r="F558" s="1" t="s">
        <v>29</v>
      </c>
      <c r="G558" s="1" t="s">
        <v>53</v>
      </c>
      <c r="H558" s="1" t="s">
        <v>169</v>
      </c>
      <c r="I558" s="1" t="s">
        <v>170</v>
      </c>
      <c r="J558" s="1" t="s">
        <v>164</v>
      </c>
      <c r="K558" t="s">
        <v>34</v>
      </c>
      <c r="M558" s="1" t="s">
        <v>35</v>
      </c>
      <c r="N558" s="1">
        <v>42318949</v>
      </c>
      <c r="O558" s="1" t="s">
        <v>105</v>
      </c>
      <c r="P558" s="12">
        <v>44781.755694444444</v>
      </c>
      <c r="R558" s="1" t="s">
        <v>38</v>
      </c>
      <c r="T558" s="1" t="s">
        <v>74</v>
      </c>
      <c r="U558" s="12">
        <v>44782.75</v>
      </c>
      <c r="V558" s="1" t="s">
        <v>41</v>
      </c>
      <c r="W558" s="1" t="s">
        <v>49</v>
      </c>
      <c r="X558" s="13" t="str">
        <f t="shared" si="61"/>
        <v/>
      </c>
      <c r="Y558" s="2">
        <f t="shared" ca="1" si="56"/>
        <v>148</v>
      </c>
      <c r="Z558" s="14">
        <v>1</v>
      </c>
      <c r="AA558" s="1" t="str">
        <f t="shared" ca="1" si="57"/>
        <v>VENCIDO</v>
      </c>
      <c r="AB558" s="1" t="str">
        <f t="shared" si="58"/>
        <v>Dosa</v>
      </c>
      <c r="AC558" s="2" t="str">
        <f t="shared" si="62"/>
        <v xml:space="preserve"> ROSEMERE </v>
      </c>
      <c r="AD558" s="2">
        <f t="shared" si="59"/>
        <v>5</v>
      </c>
      <c r="AE558" s="2">
        <f t="shared" ca="1" si="60"/>
        <v>-203.9262716435187</v>
      </c>
      <c r="AF558" s="15"/>
    </row>
    <row r="559" spans="1:32" hidden="1">
      <c r="A559" s="1">
        <v>8815270</v>
      </c>
      <c r="B559" s="1" t="s">
        <v>101</v>
      </c>
      <c r="C559" t="s">
        <v>1125</v>
      </c>
      <c r="E559" s="2">
        <v>899000206001</v>
      </c>
      <c r="F559" s="1" t="s">
        <v>29</v>
      </c>
      <c r="G559" s="1" t="s">
        <v>53</v>
      </c>
      <c r="H559" s="1" t="s">
        <v>175</v>
      </c>
      <c r="I559" s="1" t="s">
        <v>176</v>
      </c>
      <c r="J559" s="1" t="s">
        <v>90</v>
      </c>
      <c r="K559" t="s">
        <v>34</v>
      </c>
      <c r="M559" s="1" t="s">
        <v>35</v>
      </c>
      <c r="N559" s="1">
        <v>42318949</v>
      </c>
      <c r="O559" s="1" t="s">
        <v>36</v>
      </c>
      <c r="P559" s="12">
        <v>44781.75545138889</v>
      </c>
      <c r="R559" s="1" t="s">
        <v>38</v>
      </c>
      <c r="T559" s="1" t="s">
        <v>74</v>
      </c>
      <c r="U559" s="12">
        <v>44782.75</v>
      </c>
      <c r="V559" s="1" t="s">
        <v>41</v>
      </c>
      <c r="W559" s="1" t="s">
        <v>49</v>
      </c>
      <c r="X559" s="13" t="str">
        <f t="shared" si="61"/>
        <v/>
      </c>
      <c r="Y559" s="2">
        <f t="shared" ca="1" si="56"/>
        <v>148</v>
      </c>
      <c r="Z559" s="14">
        <v>1</v>
      </c>
      <c r="AA559" s="1" t="str">
        <f t="shared" ca="1" si="57"/>
        <v>VENCIDO</v>
      </c>
      <c r="AB559" s="1" t="str">
        <f t="shared" si="58"/>
        <v>Dosa</v>
      </c>
      <c r="AC559" s="2" t="str">
        <f t="shared" si="62"/>
        <v xml:space="preserve"> RINALDO </v>
      </c>
      <c r="AD559" s="2">
        <f t="shared" si="59"/>
        <v>5</v>
      </c>
      <c r="AE559" s="2">
        <f t="shared" ca="1" si="60"/>
        <v>-203.9262716435187</v>
      </c>
      <c r="AF559" s="15"/>
    </row>
    <row r="560" spans="1:32" hidden="1">
      <c r="A560" s="1">
        <v>8814941</v>
      </c>
      <c r="B560" s="1" t="s">
        <v>101</v>
      </c>
      <c r="C560" t="s">
        <v>1125</v>
      </c>
      <c r="E560" s="2">
        <v>594000206001</v>
      </c>
      <c r="F560" s="1" t="s">
        <v>29</v>
      </c>
      <c r="G560" s="1" t="s">
        <v>53</v>
      </c>
      <c r="H560" s="1" t="s">
        <v>444</v>
      </c>
      <c r="I560" s="1" t="s">
        <v>445</v>
      </c>
      <c r="J560" s="1" t="s">
        <v>33</v>
      </c>
      <c r="K560" t="s">
        <v>34</v>
      </c>
      <c r="M560" s="1" t="s">
        <v>35</v>
      </c>
      <c r="N560" s="1">
        <v>42318949</v>
      </c>
      <c r="O560" s="1" t="s">
        <v>36</v>
      </c>
      <c r="P560" s="12">
        <v>44781.754965277774</v>
      </c>
      <c r="R560" s="1" t="s">
        <v>38</v>
      </c>
      <c r="T560" s="1" t="s">
        <v>74</v>
      </c>
      <c r="U560" s="12">
        <v>44782.75</v>
      </c>
      <c r="V560" s="1" t="s">
        <v>41</v>
      </c>
      <c r="W560" s="1" t="s">
        <v>42</v>
      </c>
      <c r="X560" s="13" t="str">
        <f t="shared" si="61"/>
        <v/>
      </c>
      <c r="Y560" s="2">
        <f t="shared" ca="1" si="56"/>
        <v>148</v>
      </c>
      <c r="Z560" s="14">
        <v>1</v>
      </c>
      <c r="AA560" s="1" t="str">
        <f t="shared" ca="1" si="57"/>
        <v>VENCIDO</v>
      </c>
      <c r="AB560" s="1" t="str">
        <f t="shared" si="58"/>
        <v>Dosa</v>
      </c>
      <c r="AC560" s="2" t="str">
        <f t="shared" si="62"/>
        <v xml:space="preserve"> ROSEMERE </v>
      </c>
      <c r="AD560" s="2">
        <f t="shared" si="59"/>
        <v>5</v>
      </c>
      <c r="AE560" s="2">
        <f t="shared" ca="1" si="60"/>
        <v>-203.9262716435187</v>
      </c>
      <c r="AF560" s="15"/>
    </row>
    <row r="561" spans="1:32" hidden="1">
      <c r="A561" s="181">
        <v>8814916</v>
      </c>
      <c r="B561" s="181" t="s">
        <v>101</v>
      </c>
      <c r="C561" s="182" t="s">
        <v>3449</v>
      </c>
      <c r="D561" s="183"/>
      <c r="E561" s="183">
        <v>570000206001</v>
      </c>
      <c r="F561" s="181" t="s">
        <v>29</v>
      </c>
      <c r="G561" s="181" t="s">
        <v>53</v>
      </c>
      <c r="H561" s="181" t="s">
        <v>434</v>
      </c>
      <c r="I561" s="181" t="s">
        <v>435</v>
      </c>
      <c r="J561" s="181" t="s">
        <v>148</v>
      </c>
      <c r="K561" t="s">
        <v>34</v>
      </c>
      <c r="M561" s="1" t="s">
        <v>35</v>
      </c>
      <c r="N561" s="1">
        <v>42318949</v>
      </c>
      <c r="O561" s="1" t="s">
        <v>36</v>
      </c>
      <c r="P561" s="12">
        <v>44781.754930555559</v>
      </c>
      <c r="R561" s="1" t="s">
        <v>38</v>
      </c>
      <c r="T561" s="1" t="s">
        <v>74</v>
      </c>
      <c r="U561" s="12">
        <v>44782.75</v>
      </c>
      <c r="V561" s="1" t="s">
        <v>41</v>
      </c>
      <c r="W561" s="1" t="s">
        <v>49</v>
      </c>
      <c r="X561" s="13" t="str">
        <f t="shared" si="61"/>
        <v/>
      </c>
      <c r="Y561" s="2">
        <f t="shared" ca="1" si="56"/>
        <v>148</v>
      </c>
      <c r="Z561" s="14">
        <v>1</v>
      </c>
      <c r="AA561" s="1" t="str">
        <f t="shared" ca="1" si="57"/>
        <v>VENCIDO</v>
      </c>
      <c r="AB561" s="1" t="str">
        <f t="shared" si="58"/>
        <v>Dosa</v>
      </c>
      <c r="AC561" s="2" t="str">
        <f t="shared" si="62"/>
        <v xml:space="preserve"> RINALDO </v>
      </c>
      <c r="AD561" s="2">
        <f t="shared" si="59"/>
        <v>5</v>
      </c>
      <c r="AE561" s="2">
        <f t="shared" ca="1" si="60"/>
        <v>-203.9262716435187</v>
      </c>
      <c r="AF561" s="15"/>
    </row>
    <row r="562" spans="1:32" hidden="1">
      <c r="A562" s="1">
        <v>8814895</v>
      </c>
      <c r="B562" s="1" t="s">
        <v>101</v>
      </c>
      <c r="C562" t="s">
        <v>1125</v>
      </c>
      <c r="E562" s="2">
        <v>550000206001</v>
      </c>
      <c r="F562" s="1" t="s">
        <v>29</v>
      </c>
      <c r="G562" s="1" t="s">
        <v>53</v>
      </c>
      <c r="H562" s="1" t="s">
        <v>337</v>
      </c>
      <c r="I562" s="1" t="s">
        <v>338</v>
      </c>
      <c r="J562" s="1" t="s">
        <v>164</v>
      </c>
      <c r="K562" t="s">
        <v>34</v>
      </c>
      <c r="M562" s="1" t="s">
        <v>35</v>
      </c>
      <c r="N562" s="1">
        <v>42318949</v>
      </c>
      <c r="O562" s="1" t="s">
        <v>105</v>
      </c>
      <c r="P562" s="12">
        <v>44781.754895833335</v>
      </c>
      <c r="R562" s="1" t="s">
        <v>38</v>
      </c>
      <c r="T562" s="1" t="s">
        <v>74</v>
      </c>
      <c r="U562" s="12">
        <v>44782.75</v>
      </c>
      <c r="V562" s="1" t="s">
        <v>41</v>
      </c>
      <c r="W562" s="1" t="s">
        <v>49</v>
      </c>
      <c r="X562" s="13" t="str">
        <f t="shared" si="61"/>
        <v/>
      </c>
      <c r="Y562" s="2">
        <f t="shared" ca="1" si="56"/>
        <v>148</v>
      </c>
      <c r="Z562" s="14">
        <v>1</v>
      </c>
      <c r="AA562" s="1" t="str">
        <f t="shared" ca="1" si="57"/>
        <v>VENCIDO</v>
      </c>
      <c r="AB562" s="1" t="str">
        <f t="shared" si="58"/>
        <v>Dosa</v>
      </c>
      <c r="AC562" s="2" t="str">
        <f t="shared" si="62"/>
        <v xml:space="preserve"> ROSEMERE </v>
      </c>
      <c r="AD562" s="2">
        <f t="shared" si="59"/>
        <v>5</v>
      </c>
      <c r="AE562" s="2">
        <f t="shared" ca="1" si="60"/>
        <v>-203.9262716435187</v>
      </c>
      <c r="AF562" s="15"/>
    </row>
    <row r="563" spans="1:32" hidden="1">
      <c r="A563" s="1">
        <v>8812545</v>
      </c>
      <c r="B563" s="1" t="s">
        <v>101</v>
      </c>
      <c r="C563" t="s">
        <v>1134</v>
      </c>
      <c r="E563" s="2">
        <v>9705000206001</v>
      </c>
      <c r="F563" s="1" t="s">
        <v>29</v>
      </c>
      <c r="G563" s="1" t="s">
        <v>53</v>
      </c>
      <c r="H563" s="1" t="s">
        <v>204</v>
      </c>
      <c r="I563" s="1" t="s">
        <v>205</v>
      </c>
      <c r="J563" s="1" t="s">
        <v>90</v>
      </c>
      <c r="K563" t="s">
        <v>34</v>
      </c>
      <c r="M563" s="1" t="s">
        <v>35</v>
      </c>
      <c r="N563" s="1">
        <v>42318949</v>
      </c>
      <c r="O563" s="1" t="s">
        <v>105</v>
      </c>
      <c r="P563" s="12">
        <v>44781.506111111114</v>
      </c>
      <c r="R563" s="1" t="s">
        <v>38</v>
      </c>
      <c r="T563" s="1" t="s">
        <v>74</v>
      </c>
      <c r="U563" s="12">
        <v>44781.75</v>
      </c>
      <c r="V563" s="1" t="s">
        <v>41</v>
      </c>
      <c r="W563" s="1" t="s">
        <v>49</v>
      </c>
      <c r="X563" s="13" t="str">
        <f t="shared" si="61"/>
        <v/>
      </c>
      <c r="Y563" s="2">
        <f t="shared" ca="1" si="56"/>
        <v>148</v>
      </c>
      <c r="Z563" s="14">
        <v>1</v>
      </c>
      <c r="AA563" s="1" t="str">
        <f t="shared" ca="1" si="57"/>
        <v>VENCIDO</v>
      </c>
      <c r="AB563" s="1" t="str">
        <f t="shared" si="58"/>
        <v>Dosa</v>
      </c>
      <c r="AC563" s="2" t="str">
        <f t="shared" si="62"/>
        <v xml:space="preserve"> RINALDO </v>
      </c>
      <c r="AD563" s="2">
        <f t="shared" si="59"/>
        <v>5</v>
      </c>
      <c r="AE563" s="2">
        <f t="shared" ca="1" si="60"/>
        <v>-204.9262716435187</v>
      </c>
      <c r="AF563" s="15"/>
    </row>
    <row r="564" spans="1:32" hidden="1">
      <c r="A564" s="1">
        <v>8812544</v>
      </c>
      <c r="B564" s="1" t="s">
        <v>101</v>
      </c>
      <c r="C564" t="s">
        <v>1134</v>
      </c>
      <c r="E564" s="2">
        <v>9705000206001</v>
      </c>
      <c r="F564" s="1" t="s">
        <v>29</v>
      </c>
      <c r="G564" s="1" t="s">
        <v>53</v>
      </c>
      <c r="H564" s="1" t="s">
        <v>204</v>
      </c>
      <c r="I564" s="1" t="s">
        <v>205</v>
      </c>
      <c r="J564" s="1" t="s">
        <v>90</v>
      </c>
      <c r="K564" t="s">
        <v>34</v>
      </c>
      <c r="M564" s="1" t="s">
        <v>35</v>
      </c>
      <c r="N564" s="1">
        <v>42318949</v>
      </c>
      <c r="O564" s="1" t="s">
        <v>105</v>
      </c>
      <c r="P564" s="12">
        <v>44781.506111111114</v>
      </c>
      <c r="R564" s="1" t="s">
        <v>38</v>
      </c>
      <c r="T564" s="1" t="s">
        <v>74</v>
      </c>
      <c r="U564" s="12">
        <v>44781.75</v>
      </c>
      <c r="V564" s="1" t="s">
        <v>41</v>
      </c>
      <c r="W564" s="1" t="s">
        <v>49</v>
      </c>
      <c r="X564" s="13" t="str">
        <f t="shared" si="61"/>
        <v/>
      </c>
      <c r="Y564" s="2">
        <f t="shared" ca="1" si="56"/>
        <v>148</v>
      </c>
      <c r="Z564" s="14">
        <v>1</v>
      </c>
      <c r="AA564" s="1" t="str">
        <f t="shared" ca="1" si="57"/>
        <v>VENCIDO</v>
      </c>
      <c r="AB564" s="1" t="str">
        <f t="shared" si="58"/>
        <v>Dosa</v>
      </c>
      <c r="AC564" s="2" t="str">
        <f t="shared" si="62"/>
        <v xml:space="preserve"> RINALDO </v>
      </c>
      <c r="AD564" s="2">
        <f t="shared" si="59"/>
        <v>5</v>
      </c>
      <c r="AE564" s="2">
        <f t="shared" ca="1" si="60"/>
        <v>-204.9262716435187</v>
      </c>
      <c r="AF564" s="15"/>
    </row>
    <row r="565" spans="1:32" hidden="1">
      <c r="A565" s="1">
        <v>8812543</v>
      </c>
      <c r="B565" s="1" t="s">
        <v>101</v>
      </c>
      <c r="C565" t="s">
        <v>1134</v>
      </c>
      <c r="E565" s="2">
        <v>9705000206001</v>
      </c>
      <c r="F565" s="1" t="s">
        <v>29</v>
      </c>
      <c r="G565" s="1" t="s">
        <v>53</v>
      </c>
      <c r="H565" s="1" t="s">
        <v>204</v>
      </c>
      <c r="I565" s="1" t="s">
        <v>205</v>
      </c>
      <c r="J565" s="1" t="s">
        <v>90</v>
      </c>
      <c r="K565" t="s">
        <v>34</v>
      </c>
      <c r="M565" s="1" t="s">
        <v>35</v>
      </c>
      <c r="N565" s="1">
        <v>42318949</v>
      </c>
      <c r="O565" s="1" t="s">
        <v>105</v>
      </c>
      <c r="P565" s="12">
        <v>44781.506111111114</v>
      </c>
      <c r="R565" s="1" t="s">
        <v>38</v>
      </c>
      <c r="T565" s="1" t="s">
        <v>74</v>
      </c>
      <c r="U565" s="12">
        <v>44781.75</v>
      </c>
      <c r="V565" s="1" t="s">
        <v>41</v>
      </c>
      <c r="W565" s="1" t="s">
        <v>49</v>
      </c>
      <c r="X565" s="13" t="str">
        <f t="shared" si="61"/>
        <v/>
      </c>
      <c r="Y565" s="2">
        <f t="shared" ca="1" si="56"/>
        <v>148</v>
      </c>
      <c r="Z565" s="14">
        <v>1</v>
      </c>
      <c r="AA565" s="1" t="str">
        <f t="shared" ca="1" si="57"/>
        <v>VENCIDO</v>
      </c>
      <c r="AB565" s="1" t="str">
        <f t="shared" si="58"/>
        <v>Dosa</v>
      </c>
      <c r="AC565" s="2" t="str">
        <f t="shared" si="62"/>
        <v xml:space="preserve"> RINALDO </v>
      </c>
      <c r="AD565" s="2">
        <f t="shared" si="59"/>
        <v>5</v>
      </c>
      <c r="AE565" s="2">
        <f t="shared" ca="1" si="60"/>
        <v>-204.9262716435187</v>
      </c>
      <c r="AF565" s="15"/>
    </row>
    <row r="566" spans="1:32" hidden="1">
      <c r="A566" s="1">
        <v>8812542</v>
      </c>
      <c r="B566" s="1" t="s">
        <v>101</v>
      </c>
      <c r="C566" t="s">
        <v>1134</v>
      </c>
      <c r="E566" s="2">
        <v>9704000206001</v>
      </c>
      <c r="F566" s="1" t="s">
        <v>29</v>
      </c>
      <c r="G566" s="1" t="s">
        <v>53</v>
      </c>
      <c r="H566" s="1" t="s">
        <v>488</v>
      </c>
      <c r="I566" s="1" t="s">
        <v>489</v>
      </c>
      <c r="J566" s="1" t="s">
        <v>164</v>
      </c>
      <c r="K566" t="s">
        <v>34</v>
      </c>
      <c r="M566" s="1" t="s">
        <v>35</v>
      </c>
      <c r="N566" s="1">
        <v>42318949</v>
      </c>
      <c r="O566" s="1" t="s">
        <v>105</v>
      </c>
      <c r="P566" s="12">
        <v>44781.506111111114</v>
      </c>
      <c r="R566" s="1" t="s">
        <v>38</v>
      </c>
      <c r="T566" s="1" t="s">
        <v>74</v>
      </c>
      <c r="U566" s="12">
        <v>44781.75</v>
      </c>
      <c r="V566" s="1" t="s">
        <v>41</v>
      </c>
      <c r="W566" s="1" t="s">
        <v>49</v>
      </c>
      <c r="X566" s="13" t="str">
        <f t="shared" si="61"/>
        <v/>
      </c>
      <c r="Y566" s="2">
        <f t="shared" ca="1" si="56"/>
        <v>148</v>
      </c>
      <c r="Z566" s="14">
        <v>1</v>
      </c>
      <c r="AA566" s="1" t="str">
        <f t="shared" ca="1" si="57"/>
        <v>VENCIDO</v>
      </c>
      <c r="AB566" s="1" t="str">
        <f t="shared" si="58"/>
        <v>Dosa</v>
      </c>
      <c r="AC566" s="2" t="str">
        <f t="shared" si="62"/>
        <v xml:space="preserve"> ROSEMERE </v>
      </c>
      <c r="AD566" s="2">
        <f t="shared" si="59"/>
        <v>5</v>
      </c>
      <c r="AE566" s="2">
        <f t="shared" ca="1" si="60"/>
        <v>-204.9262716435187</v>
      </c>
      <c r="AF566" s="15"/>
    </row>
    <row r="567" spans="1:32" hidden="1">
      <c r="A567" s="1">
        <v>8812541</v>
      </c>
      <c r="B567" s="1" t="s">
        <v>101</v>
      </c>
      <c r="C567" t="s">
        <v>1134</v>
      </c>
      <c r="E567" s="2">
        <v>9704000206001</v>
      </c>
      <c r="F567" s="1" t="s">
        <v>29</v>
      </c>
      <c r="G567" s="1" t="s">
        <v>53</v>
      </c>
      <c r="H567" s="1" t="s">
        <v>488</v>
      </c>
      <c r="I567" s="1" t="s">
        <v>489</v>
      </c>
      <c r="J567" s="1" t="s">
        <v>164</v>
      </c>
      <c r="K567" t="s">
        <v>34</v>
      </c>
      <c r="M567" s="1" t="s">
        <v>35</v>
      </c>
      <c r="N567" s="1">
        <v>42318949</v>
      </c>
      <c r="O567" s="1" t="s">
        <v>105</v>
      </c>
      <c r="P567" s="12">
        <v>44781.506111111114</v>
      </c>
      <c r="R567" s="1" t="s">
        <v>38</v>
      </c>
      <c r="T567" s="1" t="s">
        <v>74</v>
      </c>
      <c r="U567" s="12">
        <v>44781.75</v>
      </c>
      <c r="V567" s="1" t="s">
        <v>41</v>
      </c>
      <c r="W567" s="1" t="s">
        <v>49</v>
      </c>
      <c r="X567" s="13" t="str">
        <f t="shared" si="61"/>
        <v/>
      </c>
      <c r="Y567" s="2">
        <f t="shared" ca="1" si="56"/>
        <v>148</v>
      </c>
      <c r="Z567" s="14">
        <v>1</v>
      </c>
      <c r="AA567" s="1" t="str">
        <f t="shared" ca="1" si="57"/>
        <v>VENCIDO</v>
      </c>
      <c r="AB567" s="1" t="str">
        <f t="shared" si="58"/>
        <v>Dosa</v>
      </c>
      <c r="AC567" s="2" t="str">
        <f t="shared" si="62"/>
        <v xml:space="preserve"> ROSEMERE </v>
      </c>
      <c r="AD567" s="2">
        <f t="shared" si="59"/>
        <v>5</v>
      </c>
      <c r="AE567" s="2">
        <f t="shared" ca="1" si="60"/>
        <v>-204.9262716435187</v>
      </c>
      <c r="AF567" s="15"/>
    </row>
    <row r="568" spans="1:32" hidden="1">
      <c r="A568" s="1">
        <v>8812540</v>
      </c>
      <c r="B568" s="1" t="s">
        <v>101</v>
      </c>
      <c r="C568" t="s">
        <v>1134</v>
      </c>
      <c r="E568" s="2">
        <v>9704000206001</v>
      </c>
      <c r="F568" s="1" t="s">
        <v>29</v>
      </c>
      <c r="G568" s="1" t="s">
        <v>53</v>
      </c>
      <c r="H568" s="1" t="s">
        <v>488</v>
      </c>
      <c r="I568" s="1" t="s">
        <v>489</v>
      </c>
      <c r="J568" s="1" t="s">
        <v>164</v>
      </c>
      <c r="K568" t="s">
        <v>34</v>
      </c>
      <c r="M568" s="1" t="s">
        <v>35</v>
      </c>
      <c r="N568" s="1">
        <v>42318949</v>
      </c>
      <c r="O568" s="1" t="s">
        <v>105</v>
      </c>
      <c r="P568" s="12">
        <v>44781.506111111114</v>
      </c>
      <c r="R568" s="1" t="s">
        <v>38</v>
      </c>
      <c r="T568" s="1" t="s">
        <v>74</v>
      </c>
      <c r="U568" s="12">
        <v>44781.75</v>
      </c>
      <c r="V568" s="1" t="s">
        <v>41</v>
      </c>
      <c r="W568" s="1" t="s">
        <v>49</v>
      </c>
      <c r="X568" s="13" t="str">
        <f t="shared" si="61"/>
        <v/>
      </c>
      <c r="Y568" s="2">
        <f t="shared" ca="1" si="56"/>
        <v>148</v>
      </c>
      <c r="Z568" s="14">
        <v>1</v>
      </c>
      <c r="AA568" s="1" t="str">
        <f t="shared" ca="1" si="57"/>
        <v>VENCIDO</v>
      </c>
      <c r="AB568" s="1" t="str">
        <f t="shared" si="58"/>
        <v>Dosa</v>
      </c>
      <c r="AC568" s="2" t="str">
        <f t="shared" si="62"/>
        <v xml:space="preserve"> ROSEMERE </v>
      </c>
      <c r="AD568" s="2">
        <f t="shared" si="59"/>
        <v>5</v>
      </c>
      <c r="AE568" s="2">
        <f t="shared" ca="1" si="60"/>
        <v>-204.9262716435187</v>
      </c>
      <c r="AF568" s="15"/>
    </row>
    <row r="569" spans="1:32" hidden="1">
      <c r="A569" s="1">
        <v>8812539</v>
      </c>
      <c r="B569" s="1" t="s">
        <v>101</v>
      </c>
      <c r="C569" t="s">
        <v>1134</v>
      </c>
      <c r="E569" s="2">
        <v>9704000206001</v>
      </c>
      <c r="F569" s="1" t="s">
        <v>29</v>
      </c>
      <c r="G569" s="1" t="s">
        <v>53</v>
      </c>
      <c r="H569" s="1" t="s">
        <v>488</v>
      </c>
      <c r="I569" s="1" t="s">
        <v>489</v>
      </c>
      <c r="J569" s="1" t="s">
        <v>164</v>
      </c>
      <c r="K569" t="s">
        <v>34</v>
      </c>
      <c r="M569" s="1" t="s">
        <v>35</v>
      </c>
      <c r="N569" s="1">
        <v>42318949</v>
      </c>
      <c r="O569" s="1" t="s">
        <v>105</v>
      </c>
      <c r="P569" s="12">
        <v>44781.506111111114</v>
      </c>
      <c r="R569" s="1" t="s">
        <v>38</v>
      </c>
      <c r="T569" s="1" t="s">
        <v>74</v>
      </c>
      <c r="U569" s="12">
        <v>44781.75</v>
      </c>
      <c r="V569" s="1" t="s">
        <v>41</v>
      </c>
      <c r="W569" s="1" t="s">
        <v>49</v>
      </c>
      <c r="X569" s="13" t="str">
        <f t="shared" si="61"/>
        <v/>
      </c>
      <c r="Y569" s="2">
        <f t="shared" ca="1" si="56"/>
        <v>148</v>
      </c>
      <c r="Z569" s="14">
        <v>1</v>
      </c>
      <c r="AA569" s="1" t="str">
        <f t="shared" ca="1" si="57"/>
        <v>VENCIDO</v>
      </c>
      <c r="AB569" s="1" t="str">
        <f t="shared" si="58"/>
        <v>Dosa</v>
      </c>
      <c r="AC569" s="2" t="str">
        <f t="shared" si="62"/>
        <v xml:space="preserve"> ROSEMERE </v>
      </c>
      <c r="AD569" s="2">
        <f t="shared" si="59"/>
        <v>5</v>
      </c>
      <c r="AE569" s="2">
        <f t="shared" ca="1" si="60"/>
        <v>-204.9262716435187</v>
      </c>
      <c r="AF569" s="15"/>
    </row>
    <row r="570" spans="1:32" hidden="1">
      <c r="A570" s="1">
        <v>8812535</v>
      </c>
      <c r="B570" s="1" t="s">
        <v>101</v>
      </c>
      <c r="C570" t="s">
        <v>1134</v>
      </c>
      <c r="E570" s="2">
        <v>9700000206001</v>
      </c>
      <c r="F570" s="1" t="s">
        <v>29</v>
      </c>
      <c r="G570" s="1" t="s">
        <v>53</v>
      </c>
      <c r="H570" s="1" t="s">
        <v>209</v>
      </c>
      <c r="I570" s="1" t="s">
        <v>210</v>
      </c>
      <c r="J570" s="1" t="s">
        <v>211</v>
      </c>
      <c r="K570" t="s">
        <v>34</v>
      </c>
      <c r="M570" s="1" t="s">
        <v>35</v>
      </c>
      <c r="N570" s="1">
        <v>42318949</v>
      </c>
      <c r="O570" s="1" t="s">
        <v>105</v>
      </c>
      <c r="P570" s="12">
        <v>44781.506099537037</v>
      </c>
      <c r="R570" s="1" t="s">
        <v>38</v>
      </c>
      <c r="T570" s="1" t="s">
        <v>74</v>
      </c>
      <c r="U570" s="12">
        <v>44781.75</v>
      </c>
      <c r="V570" s="1" t="s">
        <v>41</v>
      </c>
      <c r="W570" s="1" t="s">
        <v>49</v>
      </c>
      <c r="X570" s="13" t="str">
        <f t="shared" si="61"/>
        <v/>
      </c>
      <c r="Y570" s="2">
        <f t="shared" ca="1" si="56"/>
        <v>148</v>
      </c>
      <c r="Z570" s="14">
        <v>1</v>
      </c>
      <c r="AA570" s="1" t="str">
        <f t="shared" ca="1" si="57"/>
        <v>VENCIDO</v>
      </c>
      <c r="AB570" s="1" t="str">
        <f t="shared" si="58"/>
        <v>Dosa</v>
      </c>
      <c r="AC570" s="2" t="str">
        <f t="shared" si="62"/>
        <v xml:space="preserve"> RINALDO </v>
      </c>
      <c r="AD570" s="2">
        <f t="shared" si="59"/>
        <v>5</v>
      </c>
      <c r="AE570" s="2">
        <f t="shared" ca="1" si="60"/>
        <v>-204.9262716435187</v>
      </c>
      <c r="AF570" s="15"/>
    </row>
    <row r="571" spans="1:32" hidden="1">
      <c r="A571" s="1">
        <v>8812533</v>
      </c>
      <c r="B571" s="1" t="s">
        <v>101</v>
      </c>
      <c r="C571" t="s">
        <v>1134</v>
      </c>
      <c r="E571" s="2">
        <v>9700000206001</v>
      </c>
      <c r="F571" s="1" t="s">
        <v>29</v>
      </c>
      <c r="G571" s="1" t="s">
        <v>53</v>
      </c>
      <c r="H571" s="1" t="s">
        <v>209</v>
      </c>
      <c r="I571" s="1" t="s">
        <v>210</v>
      </c>
      <c r="J571" s="1" t="s">
        <v>211</v>
      </c>
      <c r="K571" t="s">
        <v>34</v>
      </c>
      <c r="M571" s="1" t="s">
        <v>35</v>
      </c>
      <c r="N571" s="1">
        <v>42318949</v>
      </c>
      <c r="O571" s="1" t="s">
        <v>105</v>
      </c>
      <c r="P571" s="12">
        <v>44781.506099537037</v>
      </c>
      <c r="R571" s="1" t="s">
        <v>38</v>
      </c>
      <c r="T571" s="1" t="s">
        <v>74</v>
      </c>
      <c r="U571" s="12">
        <v>44781.75</v>
      </c>
      <c r="V571" s="1" t="s">
        <v>41</v>
      </c>
      <c r="W571" s="1" t="s">
        <v>49</v>
      </c>
      <c r="X571" s="13" t="str">
        <f t="shared" si="61"/>
        <v/>
      </c>
      <c r="Y571" s="2">
        <f t="shared" ca="1" si="56"/>
        <v>148</v>
      </c>
      <c r="Z571" s="14">
        <v>1</v>
      </c>
      <c r="AA571" s="1" t="str">
        <f t="shared" ca="1" si="57"/>
        <v>VENCIDO</v>
      </c>
      <c r="AB571" s="1" t="str">
        <f t="shared" si="58"/>
        <v>Dosa</v>
      </c>
      <c r="AC571" s="2" t="str">
        <f t="shared" si="62"/>
        <v xml:space="preserve"> RINALDO </v>
      </c>
      <c r="AD571" s="2">
        <f t="shared" si="59"/>
        <v>5</v>
      </c>
      <c r="AE571" s="2">
        <f t="shared" ca="1" si="60"/>
        <v>-204.9262716435187</v>
      </c>
      <c r="AF571" s="15"/>
    </row>
    <row r="572" spans="1:32" hidden="1">
      <c r="A572" s="1">
        <v>8812532</v>
      </c>
      <c r="B572" s="1" t="s">
        <v>101</v>
      </c>
      <c r="C572" t="s">
        <v>1134</v>
      </c>
      <c r="E572" s="2">
        <v>9700000206001</v>
      </c>
      <c r="F572" s="1" t="s">
        <v>29</v>
      </c>
      <c r="G572" s="1" t="s">
        <v>53</v>
      </c>
      <c r="H572" s="1" t="s">
        <v>209</v>
      </c>
      <c r="I572" s="1" t="s">
        <v>210</v>
      </c>
      <c r="J572" s="1" t="s">
        <v>211</v>
      </c>
      <c r="K572" t="s">
        <v>34</v>
      </c>
      <c r="M572" s="1" t="s">
        <v>35</v>
      </c>
      <c r="N572" s="1">
        <v>42318949</v>
      </c>
      <c r="O572" s="1" t="s">
        <v>105</v>
      </c>
      <c r="P572" s="12">
        <v>44781.506099537037</v>
      </c>
      <c r="R572" s="1" t="s">
        <v>38</v>
      </c>
      <c r="T572" s="1" t="s">
        <v>74</v>
      </c>
      <c r="U572" s="12">
        <v>44781.75</v>
      </c>
      <c r="V572" s="1" t="s">
        <v>41</v>
      </c>
      <c r="W572" s="1" t="s">
        <v>49</v>
      </c>
      <c r="X572" s="13" t="str">
        <f t="shared" si="61"/>
        <v/>
      </c>
      <c r="Y572" s="2">
        <f t="shared" ca="1" si="56"/>
        <v>148</v>
      </c>
      <c r="Z572" s="14">
        <v>1</v>
      </c>
      <c r="AA572" s="1" t="str">
        <f t="shared" ca="1" si="57"/>
        <v>VENCIDO</v>
      </c>
      <c r="AB572" s="1" t="str">
        <f t="shared" si="58"/>
        <v>Dosa</v>
      </c>
      <c r="AC572" s="2" t="str">
        <f t="shared" si="62"/>
        <v xml:space="preserve"> RINALDO </v>
      </c>
      <c r="AD572" s="2">
        <f t="shared" si="59"/>
        <v>5</v>
      </c>
      <c r="AE572" s="2">
        <f t="shared" ca="1" si="60"/>
        <v>-204.9262716435187</v>
      </c>
      <c r="AF572" s="15"/>
    </row>
    <row r="573" spans="1:32" hidden="1">
      <c r="A573" s="1">
        <v>8811822</v>
      </c>
      <c r="B573" s="1" t="s">
        <v>101</v>
      </c>
      <c r="C573" t="s">
        <v>1134</v>
      </c>
      <c r="E573" s="2">
        <v>4637000206001</v>
      </c>
      <c r="F573" s="1" t="s">
        <v>29</v>
      </c>
      <c r="G573" s="1" t="s">
        <v>53</v>
      </c>
      <c r="H573" s="1" t="s">
        <v>848</v>
      </c>
      <c r="I573" s="1" t="s">
        <v>849</v>
      </c>
      <c r="J573" s="1" t="s">
        <v>79</v>
      </c>
      <c r="K573" t="s">
        <v>34</v>
      </c>
      <c r="M573" s="1" t="s">
        <v>35</v>
      </c>
      <c r="N573" s="1">
        <v>42318949</v>
      </c>
      <c r="O573" s="1" t="s">
        <v>105</v>
      </c>
      <c r="P573" s="12">
        <v>44781.505231481482</v>
      </c>
      <c r="R573" s="1" t="s">
        <v>38</v>
      </c>
      <c r="T573" s="1" t="s">
        <v>74</v>
      </c>
      <c r="U573" s="12">
        <v>44781.75</v>
      </c>
      <c r="V573" s="1" t="s">
        <v>41</v>
      </c>
      <c r="W573" s="1" t="s">
        <v>49</v>
      </c>
      <c r="X573" s="13" t="str">
        <f t="shared" si="61"/>
        <v/>
      </c>
      <c r="Y573" s="2">
        <f t="shared" ca="1" si="56"/>
        <v>148</v>
      </c>
      <c r="Z573" s="14">
        <v>1</v>
      </c>
      <c r="AA573" s="1" t="str">
        <f t="shared" ca="1" si="57"/>
        <v>VENCIDO</v>
      </c>
      <c r="AB573" s="1" t="str">
        <f t="shared" si="58"/>
        <v>Dosa</v>
      </c>
      <c r="AC573" s="2" t="str">
        <f t="shared" si="62"/>
        <v xml:space="preserve"> ROSEMERE </v>
      </c>
      <c r="AD573" s="2">
        <f t="shared" si="59"/>
        <v>5</v>
      </c>
      <c r="AE573" s="2">
        <f t="shared" ca="1" si="60"/>
        <v>-204.9262716435187</v>
      </c>
      <c r="AF573" s="15"/>
    </row>
    <row r="574" spans="1:32" hidden="1">
      <c r="A574" s="1">
        <v>8811127</v>
      </c>
      <c r="B574" s="1" t="s">
        <v>101</v>
      </c>
      <c r="C574" t="s">
        <v>1134</v>
      </c>
      <c r="E574" s="2">
        <v>2437000206001</v>
      </c>
      <c r="F574" s="1" t="s">
        <v>29</v>
      </c>
      <c r="G574" s="1" t="s">
        <v>53</v>
      </c>
      <c r="H574" s="1" t="s">
        <v>416</v>
      </c>
      <c r="I574" s="1" t="s">
        <v>417</v>
      </c>
      <c r="J574" s="1" t="s">
        <v>211</v>
      </c>
      <c r="K574" t="s">
        <v>34</v>
      </c>
      <c r="M574" s="1" t="s">
        <v>35</v>
      </c>
      <c r="N574" s="1">
        <v>42318949</v>
      </c>
      <c r="O574" s="1" t="s">
        <v>105</v>
      </c>
      <c r="P574" s="12">
        <v>44781.504340277781</v>
      </c>
      <c r="R574" s="1" t="s">
        <v>38</v>
      </c>
      <c r="T574" s="1" t="s">
        <v>74</v>
      </c>
      <c r="U574" s="12">
        <v>44781.75</v>
      </c>
      <c r="V574" s="1" t="s">
        <v>41</v>
      </c>
      <c r="W574" s="1" t="s">
        <v>49</v>
      </c>
      <c r="X574" s="13" t="str">
        <f t="shared" si="61"/>
        <v/>
      </c>
      <c r="Y574" s="2">
        <f t="shared" ca="1" si="56"/>
        <v>148</v>
      </c>
      <c r="Z574" s="14">
        <v>1</v>
      </c>
      <c r="AA574" s="1" t="str">
        <f t="shared" ca="1" si="57"/>
        <v>VENCIDO</v>
      </c>
      <c r="AB574" s="1" t="str">
        <f t="shared" si="58"/>
        <v>Dosa</v>
      </c>
      <c r="AC574" s="2" t="str">
        <f t="shared" si="62"/>
        <v xml:space="preserve"> RINALDO </v>
      </c>
      <c r="AD574" s="2">
        <f t="shared" si="59"/>
        <v>5</v>
      </c>
      <c r="AE574" s="2">
        <f t="shared" ca="1" si="60"/>
        <v>-204.9262716435187</v>
      </c>
      <c r="AF574" s="15"/>
    </row>
    <row r="575" spans="1:32" hidden="1">
      <c r="A575" s="1">
        <v>8811126</v>
      </c>
      <c r="B575" s="1" t="s">
        <v>101</v>
      </c>
      <c r="C575" t="s">
        <v>1134</v>
      </c>
      <c r="E575" s="2">
        <v>2437000206001</v>
      </c>
      <c r="F575" s="1" t="s">
        <v>29</v>
      </c>
      <c r="G575" s="1" t="s">
        <v>53</v>
      </c>
      <c r="H575" s="1" t="s">
        <v>416</v>
      </c>
      <c r="I575" s="1" t="s">
        <v>417</v>
      </c>
      <c r="J575" s="1" t="s">
        <v>211</v>
      </c>
      <c r="K575" t="s">
        <v>34</v>
      </c>
      <c r="M575" s="1" t="s">
        <v>35</v>
      </c>
      <c r="N575" s="1">
        <v>42318949</v>
      </c>
      <c r="O575" s="1" t="s">
        <v>105</v>
      </c>
      <c r="P575" s="12">
        <v>44781.504340277781</v>
      </c>
      <c r="R575" s="1" t="s">
        <v>38</v>
      </c>
      <c r="T575" s="1" t="s">
        <v>74</v>
      </c>
      <c r="U575" s="12">
        <v>44781.75</v>
      </c>
      <c r="V575" s="1" t="s">
        <v>41</v>
      </c>
      <c r="W575" s="1" t="s">
        <v>49</v>
      </c>
      <c r="X575" s="13" t="str">
        <f t="shared" si="61"/>
        <v/>
      </c>
      <c r="Y575" s="2">
        <f t="shared" ca="1" si="56"/>
        <v>148</v>
      </c>
      <c r="Z575" s="14">
        <v>1</v>
      </c>
      <c r="AA575" s="1" t="str">
        <f t="shared" ca="1" si="57"/>
        <v>VENCIDO</v>
      </c>
      <c r="AB575" s="1" t="str">
        <f t="shared" si="58"/>
        <v>Dosa</v>
      </c>
      <c r="AC575" s="2" t="str">
        <f t="shared" si="62"/>
        <v xml:space="preserve"> RINALDO </v>
      </c>
      <c r="AD575" s="2">
        <f t="shared" si="59"/>
        <v>5</v>
      </c>
      <c r="AE575" s="2">
        <f t="shared" ca="1" si="60"/>
        <v>-204.9262716435187</v>
      </c>
      <c r="AF575" s="15"/>
    </row>
    <row r="576" spans="1:32" hidden="1">
      <c r="A576" s="1">
        <v>8811125</v>
      </c>
      <c r="B576" s="1" t="s">
        <v>101</v>
      </c>
      <c r="C576" t="s">
        <v>1134</v>
      </c>
      <c r="E576" s="2">
        <v>2437000206001</v>
      </c>
      <c r="F576" s="1" t="s">
        <v>29</v>
      </c>
      <c r="G576" s="1" t="s">
        <v>53</v>
      </c>
      <c r="H576" s="1" t="s">
        <v>416</v>
      </c>
      <c r="I576" s="1" t="s">
        <v>417</v>
      </c>
      <c r="J576" s="1" t="s">
        <v>211</v>
      </c>
      <c r="K576" t="s">
        <v>34</v>
      </c>
      <c r="M576" s="1" t="s">
        <v>35</v>
      </c>
      <c r="N576" s="1">
        <v>42318949</v>
      </c>
      <c r="O576" s="1" t="s">
        <v>105</v>
      </c>
      <c r="P576" s="12">
        <v>44781.504340277781</v>
      </c>
      <c r="R576" s="1" t="s">
        <v>38</v>
      </c>
      <c r="T576" s="1" t="s">
        <v>74</v>
      </c>
      <c r="U576" s="12">
        <v>44781.75</v>
      </c>
      <c r="V576" s="1" t="s">
        <v>41</v>
      </c>
      <c r="W576" s="1" t="s">
        <v>49</v>
      </c>
      <c r="X576" s="13" t="str">
        <f t="shared" si="61"/>
        <v/>
      </c>
      <c r="Y576" s="2">
        <f t="shared" ca="1" si="56"/>
        <v>148</v>
      </c>
      <c r="Z576" s="14">
        <v>1</v>
      </c>
      <c r="AA576" s="1" t="str">
        <f t="shared" ca="1" si="57"/>
        <v>VENCIDO</v>
      </c>
      <c r="AB576" s="1" t="str">
        <f t="shared" si="58"/>
        <v>Dosa</v>
      </c>
      <c r="AC576" s="2" t="str">
        <f t="shared" si="62"/>
        <v xml:space="preserve"> RINALDO </v>
      </c>
      <c r="AD576" s="2">
        <f t="shared" si="59"/>
        <v>5</v>
      </c>
      <c r="AE576" s="2">
        <f t="shared" ca="1" si="60"/>
        <v>-204.9262716435187</v>
      </c>
      <c r="AF576" s="15"/>
    </row>
    <row r="577" spans="1:32" hidden="1">
      <c r="A577" s="1">
        <v>8810874</v>
      </c>
      <c r="B577" s="1" t="s">
        <v>101</v>
      </c>
      <c r="C577" t="s">
        <v>1134</v>
      </c>
      <c r="E577" s="2">
        <v>1739000206001</v>
      </c>
      <c r="F577" s="1" t="s">
        <v>29</v>
      </c>
      <c r="G577" s="1" t="s">
        <v>53</v>
      </c>
      <c r="H577" s="1" t="s">
        <v>162</v>
      </c>
      <c r="I577" s="1" t="s">
        <v>163</v>
      </c>
      <c r="J577" s="1" t="s">
        <v>164</v>
      </c>
      <c r="K577" t="s">
        <v>34</v>
      </c>
      <c r="M577" s="1" t="s">
        <v>35</v>
      </c>
      <c r="N577" s="1">
        <v>42318949</v>
      </c>
      <c r="O577" s="1" t="s">
        <v>105</v>
      </c>
      <c r="P577" s="12">
        <v>44781.503969907404</v>
      </c>
      <c r="R577" s="1" t="s">
        <v>38</v>
      </c>
      <c r="T577" s="1" t="s">
        <v>74</v>
      </c>
      <c r="U577" s="12">
        <v>44781.75</v>
      </c>
      <c r="V577" s="1" t="s">
        <v>41</v>
      </c>
      <c r="W577" s="1" t="s">
        <v>49</v>
      </c>
      <c r="X577" s="13" t="str">
        <f t="shared" si="61"/>
        <v/>
      </c>
      <c r="Y577" s="2">
        <f t="shared" ca="1" si="56"/>
        <v>148</v>
      </c>
      <c r="Z577" s="14">
        <v>1</v>
      </c>
      <c r="AA577" s="1" t="str">
        <f t="shared" ca="1" si="57"/>
        <v>VENCIDO</v>
      </c>
      <c r="AB577" s="1" t="str">
        <f t="shared" si="58"/>
        <v>Dosa</v>
      </c>
      <c r="AC577" s="2" t="str">
        <f t="shared" si="62"/>
        <v xml:space="preserve"> ROSEMERE </v>
      </c>
      <c r="AD577" s="2">
        <f t="shared" si="59"/>
        <v>5</v>
      </c>
      <c r="AE577" s="2">
        <f t="shared" ca="1" si="60"/>
        <v>-204.9262716435187</v>
      </c>
      <c r="AF577" s="15"/>
    </row>
    <row r="578" spans="1:32" hidden="1">
      <c r="A578" s="1">
        <v>8810866</v>
      </c>
      <c r="B578" s="1" t="s">
        <v>101</v>
      </c>
      <c r="C578" t="s">
        <v>1134</v>
      </c>
      <c r="E578" s="2">
        <v>1732000206001</v>
      </c>
      <c r="F578" s="1" t="s">
        <v>29</v>
      </c>
      <c r="G578" s="1" t="s">
        <v>53</v>
      </c>
      <c r="H578" s="1" t="s">
        <v>177</v>
      </c>
      <c r="I578" s="1" t="s">
        <v>178</v>
      </c>
      <c r="J578" s="1" t="s">
        <v>164</v>
      </c>
      <c r="K578" t="s">
        <v>34</v>
      </c>
      <c r="M578" s="1" t="s">
        <v>35</v>
      </c>
      <c r="N578" s="1">
        <v>42318949</v>
      </c>
      <c r="O578" s="1" t="s">
        <v>105</v>
      </c>
      <c r="P578" s="12">
        <v>44781.503958333335</v>
      </c>
      <c r="R578" s="1" t="s">
        <v>38</v>
      </c>
      <c r="T578" s="1" t="s">
        <v>74</v>
      </c>
      <c r="U578" s="12">
        <v>44781.75</v>
      </c>
      <c r="V578" s="1" t="s">
        <v>41</v>
      </c>
      <c r="W578" s="1" t="s">
        <v>49</v>
      </c>
      <c r="X578" s="13" t="str">
        <f t="shared" si="61"/>
        <v/>
      </c>
      <c r="Y578" s="2">
        <f t="shared" ref="Y578:Y641" ca="1" si="63">NETWORKDAYS(P578,$Y$1)</f>
        <v>148</v>
      </c>
      <c r="Z578" s="14">
        <v>1</v>
      </c>
      <c r="AA578" s="1" t="str">
        <f t="shared" ref="AA578:AA641" ca="1" si="64">IF(AE578=0,"HOJE",IF(AE578&gt;0,"A VENCER",IF(AE578&lt;0,"VENCIDO")))</f>
        <v>VENCIDO</v>
      </c>
      <c r="AB578" s="1" t="str">
        <f t="shared" ref="AB578:AB641" si="65">IF(F578="GRPE-000001","C-14",IF(F578="GRPE-000002","C-14",IF(F578="GRPE-000003","C-14",IF(F578="GRPE-000004","SL-On",IF(F578="GRPE-000038","C-14",IF(F578="GRPE-900022","Dosa",IF(F578="GRPE-000029","Dosa",IF(F578="ATOS-000222","Dose","TAAe+"))))))))</f>
        <v>Dosa</v>
      </c>
      <c r="AC578" s="2" t="str">
        <f t="shared" si="62"/>
        <v xml:space="preserve"> ROSEMERE </v>
      </c>
      <c r="AD578" s="2">
        <f t="shared" ref="AD578:AD641" si="66">IF(F578="GRPE-000001",5,IF(F578="GRPE-000002",5,IF(F578="GRPE-000003",15,IF(F578="GRPE-000004",1,IF(F578="GRPE-000038",5,IF(F578="GRPE-900022",5,IF(F578="GRPE-000029",5,IF(F578="ATOS-000222",5,8))))))))</f>
        <v>5</v>
      </c>
      <c r="AE578" s="2">
        <f t="shared" ref="AE578:AE641" ca="1" si="67">IF(U578=$AE$1,"",U578-$AE$1)</f>
        <v>-204.9262716435187</v>
      </c>
      <c r="AF578" s="15"/>
    </row>
    <row r="579" spans="1:32" hidden="1">
      <c r="A579" s="1">
        <v>8810674</v>
      </c>
      <c r="B579" s="1" t="s">
        <v>101</v>
      </c>
      <c r="C579" t="s">
        <v>1134</v>
      </c>
      <c r="E579" s="2">
        <v>1363000206001</v>
      </c>
      <c r="F579" s="1" t="s">
        <v>29</v>
      </c>
      <c r="G579" s="1" t="s">
        <v>53</v>
      </c>
      <c r="H579" s="1" t="s">
        <v>108</v>
      </c>
      <c r="I579" s="1" t="s">
        <v>109</v>
      </c>
      <c r="J579" s="1" t="s">
        <v>110</v>
      </c>
      <c r="K579" t="s">
        <v>34</v>
      </c>
      <c r="M579" s="1" t="s">
        <v>35</v>
      </c>
      <c r="N579" s="1">
        <v>42318949</v>
      </c>
      <c r="O579" s="1" t="s">
        <v>36</v>
      </c>
      <c r="P579" s="12">
        <v>44781.503622685188</v>
      </c>
      <c r="R579" s="1" t="s">
        <v>38</v>
      </c>
      <c r="T579" s="1" t="s">
        <v>74</v>
      </c>
      <c r="U579" s="12">
        <v>44781.75</v>
      </c>
      <c r="V579" s="1" t="s">
        <v>41</v>
      </c>
      <c r="W579" s="1" t="s">
        <v>49</v>
      </c>
      <c r="X579" s="13" t="str">
        <f t="shared" ref="X579:X642" si="68">IF(RIGHT(H579,2)&lt;&gt;"00",H579,"")</f>
        <v/>
      </c>
      <c r="Y579" s="2">
        <f t="shared" ca="1" si="63"/>
        <v>148</v>
      </c>
      <c r="Z579" s="14">
        <v>1</v>
      </c>
      <c r="AA579" s="1" t="str">
        <f t="shared" ca="1" si="64"/>
        <v>VENCIDO</v>
      </c>
      <c r="AB579" s="1" t="str">
        <f t="shared" si="65"/>
        <v>Dosa</v>
      </c>
      <c r="AC579" s="2" t="str">
        <f t="shared" ref="AC579:AC642" si="6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 xml:space="preserve"> CRISTINA </v>
      </c>
      <c r="AD579" s="2">
        <f t="shared" si="66"/>
        <v>5</v>
      </c>
      <c r="AE579" s="2">
        <f t="shared" ca="1" si="67"/>
        <v>-204.9262716435187</v>
      </c>
      <c r="AF579" s="15"/>
    </row>
    <row r="580" spans="1:32" hidden="1">
      <c r="A580" s="1">
        <v>8810582</v>
      </c>
      <c r="B580" s="1" t="s">
        <v>101</v>
      </c>
      <c r="C580" t="s">
        <v>1134</v>
      </c>
      <c r="E580" s="2">
        <v>1153000206001</v>
      </c>
      <c r="F580" s="1" t="s">
        <v>29</v>
      </c>
      <c r="G580" s="1" t="s">
        <v>53</v>
      </c>
      <c r="H580" s="1" t="s">
        <v>1031</v>
      </c>
      <c r="I580" s="1" t="s">
        <v>1032</v>
      </c>
      <c r="J580" s="1" t="s">
        <v>79</v>
      </c>
      <c r="K580" t="s">
        <v>34</v>
      </c>
      <c r="M580" s="1" t="s">
        <v>35</v>
      </c>
      <c r="N580" s="1">
        <v>42318949</v>
      </c>
      <c r="O580" s="1" t="s">
        <v>36</v>
      </c>
      <c r="P580" s="12">
        <v>44781.503506944442</v>
      </c>
      <c r="R580" s="1" t="s">
        <v>38</v>
      </c>
      <c r="T580" s="1" t="s">
        <v>74</v>
      </c>
      <c r="U580" s="12">
        <v>44781.75</v>
      </c>
      <c r="V580" s="1" t="s">
        <v>41</v>
      </c>
      <c r="W580" s="1" t="s">
        <v>49</v>
      </c>
      <c r="X580" s="13" t="str">
        <f t="shared" si="68"/>
        <v/>
      </c>
      <c r="Y580" s="2">
        <f t="shared" ca="1" si="63"/>
        <v>148</v>
      </c>
      <c r="Z580" s="14">
        <v>1</v>
      </c>
      <c r="AA580" s="1" t="str">
        <f t="shared" ca="1" si="64"/>
        <v>VENCIDO</v>
      </c>
      <c r="AB580" s="1" t="str">
        <f t="shared" si="65"/>
        <v>Dosa</v>
      </c>
      <c r="AC580" s="2" t="str">
        <f t="shared" si="69"/>
        <v xml:space="preserve"> ROSEMERE </v>
      </c>
      <c r="AD580" s="2">
        <f t="shared" si="66"/>
        <v>5</v>
      </c>
      <c r="AE580" s="2">
        <f t="shared" ca="1" si="67"/>
        <v>-204.9262716435187</v>
      </c>
      <c r="AF580" s="15"/>
    </row>
    <row r="581" spans="1:32" hidden="1">
      <c r="A581" s="1">
        <v>8810573</v>
      </c>
      <c r="B581" s="1" t="s">
        <v>101</v>
      </c>
      <c r="C581" t="s">
        <v>1134</v>
      </c>
      <c r="E581" s="2">
        <v>1120000206001</v>
      </c>
      <c r="F581" s="1" t="s">
        <v>29</v>
      </c>
      <c r="G581" s="1" t="s">
        <v>53</v>
      </c>
      <c r="H581" s="1" t="s">
        <v>181</v>
      </c>
      <c r="I581" s="1" t="s">
        <v>182</v>
      </c>
      <c r="J581" s="1" t="s">
        <v>164</v>
      </c>
      <c r="K581" t="s">
        <v>34</v>
      </c>
      <c r="M581" s="1" t="s">
        <v>35</v>
      </c>
      <c r="N581" s="1">
        <v>42318949</v>
      </c>
      <c r="O581" s="1" t="s">
        <v>36</v>
      </c>
      <c r="P581" s="186">
        <v>44781.503495370373</v>
      </c>
      <c r="R581" s="1" t="s">
        <v>38</v>
      </c>
      <c r="T581" s="1" t="s">
        <v>74</v>
      </c>
      <c r="U581" s="186">
        <v>44781.75</v>
      </c>
      <c r="V581" s="1" t="s">
        <v>41</v>
      </c>
      <c r="W581" s="1" t="s">
        <v>49</v>
      </c>
      <c r="X581" s="13" t="str">
        <f t="shared" si="68"/>
        <v/>
      </c>
      <c r="Y581" s="2">
        <f t="shared" ca="1" si="63"/>
        <v>148</v>
      </c>
      <c r="Z581" s="14">
        <v>1</v>
      </c>
      <c r="AA581" s="1" t="str">
        <f t="shared" ca="1" si="64"/>
        <v>VENCIDO</v>
      </c>
      <c r="AB581" s="1" t="str">
        <f t="shared" si="65"/>
        <v>Dosa</v>
      </c>
      <c r="AC581" s="2" t="str">
        <f t="shared" si="69"/>
        <v xml:space="preserve"> ROSEMERE </v>
      </c>
      <c r="AD581" s="2">
        <f t="shared" si="66"/>
        <v>5</v>
      </c>
      <c r="AE581" s="2">
        <f t="shared" ca="1" si="67"/>
        <v>-204.9262716435187</v>
      </c>
      <c r="AF581" s="15"/>
    </row>
    <row r="582" spans="1:32" hidden="1">
      <c r="A582" s="1">
        <v>8810572</v>
      </c>
      <c r="B582" s="1" t="s">
        <v>101</v>
      </c>
      <c r="C582" t="s">
        <v>1134</v>
      </c>
      <c r="E582" s="2">
        <v>1120000206001</v>
      </c>
      <c r="F582" s="1" t="s">
        <v>29</v>
      </c>
      <c r="G582" s="1" t="s">
        <v>53</v>
      </c>
      <c r="H582" s="1" t="s">
        <v>181</v>
      </c>
      <c r="I582" s="1" t="s">
        <v>182</v>
      </c>
      <c r="J582" s="1" t="s">
        <v>164</v>
      </c>
      <c r="K582" t="s">
        <v>34</v>
      </c>
      <c r="M582" s="1" t="s">
        <v>35</v>
      </c>
      <c r="N582" s="1">
        <v>42318949</v>
      </c>
      <c r="O582" s="1" t="s">
        <v>105</v>
      </c>
      <c r="P582" s="186">
        <v>44781.503483796296</v>
      </c>
      <c r="R582" s="1" t="s">
        <v>38</v>
      </c>
      <c r="T582" s="1" t="s">
        <v>74</v>
      </c>
      <c r="U582" s="186">
        <v>44781.75</v>
      </c>
      <c r="V582" s="1" t="s">
        <v>41</v>
      </c>
      <c r="W582" s="1" t="s">
        <v>49</v>
      </c>
      <c r="X582" s="13" t="str">
        <f t="shared" si="68"/>
        <v/>
      </c>
      <c r="Y582" s="2">
        <f t="shared" ca="1" si="63"/>
        <v>148</v>
      </c>
      <c r="Z582" s="14">
        <v>1</v>
      </c>
      <c r="AA582" s="1" t="str">
        <f t="shared" ca="1" si="64"/>
        <v>VENCIDO</v>
      </c>
      <c r="AB582" s="1" t="str">
        <f t="shared" si="65"/>
        <v>Dosa</v>
      </c>
      <c r="AC582" s="2" t="str">
        <f t="shared" si="69"/>
        <v xml:space="preserve"> ROSEMERE </v>
      </c>
      <c r="AD582" s="2">
        <f t="shared" si="66"/>
        <v>5</v>
      </c>
      <c r="AE582" s="2">
        <f t="shared" ca="1" si="67"/>
        <v>-204.9262716435187</v>
      </c>
      <c r="AF582" s="15"/>
    </row>
    <row r="583" spans="1:32" hidden="1">
      <c r="A583" s="1">
        <v>8810531</v>
      </c>
      <c r="B583" s="1" t="s">
        <v>101</v>
      </c>
      <c r="C583" t="s">
        <v>1134</v>
      </c>
      <c r="E583" s="2">
        <v>1060000206001</v>
      </c>
      <c r="F583" s="1" t="s">
        <v>29</v>
      </c>
      <c r="G583" s="1" t="s">
        <v>53</v>
      </c>
      <c r="H583" s="1" t="s">
        <v>284</v>
      </c>
      <c r="I583" s="1" t="s">
        <v>285</v>
      </c>
      <c r="J583" s="1" t="s">
        <v>148</v>
      </c>
      <c r="K583" t="s">
        <v>34</v>
      </c>
      <c r="M583" s="1" t="s">
        <v>35</v>
      </c>
      <c r="N583" s="1">
        <v>42318949</v>
      </c>
      <c r="O583" s="1" t="s">
        <v>105</v>
      </c>
      <c r="P583" s="186">
        <v>44781.503437500003</v>
      </c>
      <c r="R583" s="1" t="s">
        <v>38</v>
      </c>
      <c r="T583" s="1" t="s">
        <v>74</v>
      </c>
      <c r="U583" s="186">
        <v>44781.75</v>
      </c>
      <c r="V583" s="1" t="s">
        <v>41</v>
      </c>
      <c r="W583" s="1" t="s">
        <v>49</v>
      </c>
      <c r="X583" s="13" t="str">
        <f t="shared" si="68"/>
        <v/>
      </c>
      <c r="Y583" s="2">
        <f t="shared" ca="1" si="63"/>
        <v>148</v>
      </c>
      <c r="Z583" s="14">
        <v>1</v>
      </c>
      <c r="AA583" s="1" t="str">
        <f t="shared" ca="1" si="64"/>
        <v>VENCIDO</v>
      </c>
      <c r="AB583" s="1" t="str">
        <f t="shared" si="65"/>
        <v>Dosa</v>
      </c>
      <c r="AC583" s="2" t="str">
        <f t="shared" si="69"/>
        <v xml:space="preserve"> RINALDO </v>
      </c>
      <c r="AD583" s="2">
        <f t="shared" si="66"/>
        <v>5</v>
      </c>
      <c r="AE583" s="2">
        <f t="shared" ca="1" si="67"/>
        <v>-204.9262716435187</v>
      </c>
      <c r="AF583" s="15"/>
    </row>
    <row r="584" spans="1:32" hidden="1">
      <c r="A584" s="1">
        <v>8810530</v>
      </c>
      <c r="B584" s="1" t="s">
        <v>101</v>
      </c>
      <c r="C584" t="s">
        <v>1134</v>
      </c>
      <c r="E584" s="2">
        <v>1059000206001</v>
      </c>
      <c r="F584" s="1" t="s">
        <v>29</v>
      </c>
      <c r="G584" s="1" t="s">
        <v>53</v>
      </c>
      <c r="H584" s="1" t="s">
        <v>88</v>
      </c>
      <c r="I584" s="1" t="s">
        <v>89</v>
      </c>
      <c r="J584" s="1" t="s">
        <v>90</v>
      </c>
      <c r="K584" t="s">
        <v>34</v>
      </c>
      <c r="M584" s="1" t="s">
        <v>35</v>
      </c>
      <c r="N584" s="1">
        <v>42318949</v>
      </c>
      <c r="O584" s="1" t="s">
        <v>105</v>
      </c>
      <c r="P584" s="186">
        <v>44781.503437500003</v>
      </c>
      <c r="R584" s="1" t="s">
        <v>38</v>
      </c>
      <c r="T584" s="1" t="s">
        <v>74</v>
      </c>
      <c r="U584" s="186">
        <v>44781.75</v>
      </c>
      <c r="V584" s="1" t="s">
        <v>41</v>
      </c>
      <c r="W584" s="1" t="s">
        <v>49</v>
      </c>
      <c r="X584" s="13" t="str">
        <f t="shared" si="68"/>
        <v/>
      </c>
      <c r="Y584" s="2">
        <f t="shared" ca="1" si="63"/>
        <v>148</v>
      </c>
      <c r="Z584" s="14">
        <v>1</v>
      </c>
      <c r="AA584" s="1" t="str">
        <f t="shared" ca="1" si="64"/>
        <v>VENCIDO</v>
      </c>
      <c r="AB584" s="1" t="str">
        <f t="shared" si="65"/>
        <v>Dosa</v>
      </c>
      <c r="AC584" s="2" t="str">
        <f t="shared" si="69"/>
        <v xml:space="preserve"> RINALDO </v>
      </c>
      <c r="AD584" s="2">
        <f t="shared" si="66"/>
        <v>5</v>
      </c>
      <c r="AE584" s="2">
        <f t="shared" ca="1" si="67"/>
        <v>-204.9262716435187</v>
      </c>
      <c r="AF584" s="15"/>
    </row>
    <row r="585" spans="1:32" hidden="1">
      <c r="A585" s="1">
        <v>8810529</v>
      </c>
      <c r="B585" s="1" t="s">
        <v>101</v>
      </c>
      <c r="C585" t="s">
        <v>1134</v>
      </c>
      <c r="E585" s="2">
        <v>1058000206001</v>
      </c>
      <c r="F585" s="1" t="s">
        <v>29</v>
      </c>
      <c r="G585" s="1" t="s">
        <v>53</v>
      </c>
      <c r="H585" s="1" t="s">
        <v>289</v>
      </c>
      <c r="I585" s="1" t="s">
        <v>290</v>
      </c>
      <c r="J585" s="1" t="s">
        <v>56</v>
      </c>
      <c r="K585" t="s">
        <v>34</v>
      </c>
      <c r="M585" s="1" t="s">
        <v>35</v>
      </c>
      <c r="N585" s="1">
        <v>42318949</v>
      </c>
      <c r="O585" s="1" t="s">
        <v>105</v>
      </c>
      <c r="P585" s="186">
        <v>44781.503437500003</v>
      </c>
      <c r="R585" s="1" t="s">
        <v>38</v>
      </c>
      <c r="T585" s="1" t="s">
        <v>74</v>
      </c>
      <c r="U585" s="186">
        <v>44781.75</v>
      </c>
      <c r="V585" s="1" t="s">
        <v>41</v>
      </c>
      <c r="W585" s="1" t="s">
        <v>49</v>
      </c>
      <c r="X585" s="13" t="str">
        <f t="shared" si="68"/>
        <v/>
      </c>
      <c r="Y585" s="2">
        <f t="shared" ca="1" si="63"/>
        <v>148</v>
      </c>
      <c r="Z585" s="14">
        <v>1</v>
      </c>
      <c r="AA585" s="1" t="str">
        <f t="shared" ca="1" si="64"/>
        <v>VENCIDO</v>
      </c>
      <c r="AB585" s="1" t="str">
        <f t="shared" si="65"/>
        <v>Dosa</v>
      </c>
      <c r="AC585" s="2" t="str">
        <f t="shared" si="69"/>
        <v xml:space="preserve"> CRISTINA </v>
      </c>
      <c r="AD585" s="2">
        <f t="shared" si="66"/>
        <v>5</v>
      </c>
      <c r="AE585" s="2">
        <f t="shared" ca="1" si="67"/>
        <v>-204.9262716435187</v>
      </c>
      <c r="AF585" s="15"/>
    </row>
    <row r="586" spans="1:32" hidden="1">
      <c r="A586" s="1">
        <v>8810528</v>
      </c>
      <c r="B586" s="1" t="s">
        <v>101</v>
      </c>
      <c r="C586" t="s">
        <v>1134</v>
      </c>
      <c r="E586" s="2">
        <v>1058000206001</v>
      </c>
      <c r="F586" s="1" t="s">
        <v>29</v>
      </c>
      <c r="G586" s="1" t="s">
        <v>53</v>
      </c>
      <c r="H586" s="1" t="s">
        <v>289</v>
      </c>
      <c r="I586" s="1" t="s">
        <v>290</v>
      </c>
      <c r="J586" s="1" t="s">
        <v>56</v>
      </c>
      <c r="K586" t="s">
        <v>34</v>
      </c>
      <c r="M586" s="1" t="s">
        <v>35</v>
      </c>
      <c r="N586" s="1">
        <v>42318949</v>
      </c>
      <c r="O586" s="1" t="s">
        <v>105</v>
      </c>
      <c r="P586" s="186">
        <v>44781.503437500003</v>
      </c>
      <c r="R586" s="1" t="s">
        <v>38</v>
      </c>
      <c r="T586" s="1" t="s">
        <v>74</v>
      </c>
      <c r="U586" s="186">
        <v>44781.75</v>
      </c>
      <c r="V586" s="1" t="s">
        <v>41</v>
      </c>
      <c r="W586" s="1" t="s">
        <v>49</v>
      </c>
      <c r="X586" s="13" t="str">
        <f t="shared" si="68"/>
        <v/>
      </c>
      <c r="Y586" s="2">
        <f t="shared" ca="1" si="63"/>
        <v>148</v>
      </c>
      <c r="Z586" s="14">
        <v>1</v>
      </c>
      <c r="AA586" s="1" t="str">
        <f t="shared" ca="1" si="64"/>
        <v>VENCIDO</v>
      </c>
      <c r="AB586" s="1" t="str">
        <f t="shared" si="65"/>
        <v>Dosa</v>
      </c>
      <c r="AC586" s="2" t="str">
        <f t="shared" si="69"/>
        <v xml:space="preserve"> CRISTINA </v>
      </c>
      <c r="AD586" s="2">
        <f t="shared" si="66"/>
        <v>5</v>
      </c>
      <c r="AE586" s="2">
        <f t="shared" ca="1" si="67"/>
        <v>-204.9262716435187</v>
      </c>
      <c r="AF586" s="15"/>
    </row>
    <row r="587" spans="1:32" hidden="1">
      <c r="A587" s="1">
        <v>8810527</v>
      </c>
      <c r="B587" s="1" t="s">
        <v>101</v>
      </c>
      <c r="C587" t="s">
        <v>1134</v>
      </c>
      <c r="E587" s="2">
        <v>1058000206001</v>
      </c>
      <c r="F587" s="1" t="s">
        <v>29</v>
      </c>
      <c r="G587" s="1" t="s">
        <v>53</v>
      </c>
      <c r="H587" s="1" t="s">
        <v>289</v>
      </c>
      <c r="I587" s="1" t="s">
        <v>290</v>
      </c>
      <c r="J587" s="1" t="s">
        <v>56</v>
      </c>
      <c r="K587" t="s">
        <v>34</v>
      </c>
      <c r="M587" s="1" t="s">
        <v>35</v>
      </c>
      <c r="N587" s="1">
        <v>42318949</v>
      </c>
      <c r="O587" s="1" t="s">
        <v>105</v>
      </c>
      <c r="P587" s="186">
        <v>44781.503437500003</v>
      </c>
      <c r="R587" s="1" t="s">
        <v>38</v>
      </c>
      <c r="T587" s="1" t="s">
        <v>74</v>
      </c>
      <c r="U587" s="186">
        <v>44781.75</v>
      </c>
      <c r="V587" s="1" t="s">
        <v>41</v>
      </c>
      <c r="W587" s="1" t="s">
        <v>49</v>
      </c>
      <c r="X587" s="13" t="str">
        <f t="shared" si="68"/>
        <v/>
      </c>
      <c r="Y587" s="2">
        <f t="shared" ca="1" si="63"/>
        <v>148</v>
      </c>
      <c r="Z587" s="14">
        <v>1</v>
      </c>
      <c r="AA587" s="1" t="str">
        <f t="shared" ca="1" si="64"/>
        <v>VENCIDO</v>
      </c>
      <c r="AB587" s="1" t="str">
        <f t="shared" si="65"/>
        <v>Dosa</v>
      </c>
      <c r="AC587" s="2" t="str">
        <f t="shared" si="69"/>
        <v xml:space="preserve"> CRISTINA </v>
      </c>
      <c r="AD587" s="2">
        <f t="shared" si="66"/>
        <v>5</v>
      </c>
      <c r="AE587" s="2">
        <f t="shared" ca="1" si="67"/>
        <v>-204.9262716435187</v>
      </c>
      <c r="AF587" s="15"/>
    </row>
    <row r="588" spans="1:32" hidden="1">
      <c r="A588" s="1">
        <v>8810526</v>
      </c>
      <c r="B588" s="1" t="s">
        <v>101</v>
      </c>
      <c r="C588" t="s">
        <v>1134</v>
      </c>
      <c r="E588" s="2">
        <v>1058000206001</v>
      </c>
      <c r="F588" s="1" t="s">
        <v>29</v>
      </c>
      <c r="G588" s="1" t="s">
        <v>53</v>
      </c>
      <c r="H588" s="1" t="s">
        <v>289</v>
      </c>
      <c r="I588" s="1" t="s">
        <v>290</v>
      </c>
      <c r="J588" s="1" t="s">
        <v>56</v>
      </c>
      <c r="K588" t="s">
        <v>34</v>
      </c>
      <c r="M588" s="1" t="s">
        <v>35</v>
      </c>
      <c r="N588" s="1">
        <v>42318949</v>
      </c>
      <c r="O588" s="1" t="s">
        <v>105</v>
      </c>
      <c r="P588" s="186">
        <v>44781.503437500003</v>
      </c>
      <c r="R588" s="1" t="s">
        <v>38</v>
      </c>
      <c r="T588" s="1" t="s">
        <v>74</v>
      </c>
      <c r="U588" s="186">
        <v>44781.75</v>
      </c>
      <c r="V588" s="1" t="s">
        <v>41</v>
      </c>
      <c r="W588" s="1" t="s">
        <v>49</v>
      </c>
      <c r="X588" s="13" t="str">
        <f t="shared" si="68"/>
        <v/>
      </c>
      <c r="Y588" s="2">
        <f t="shared" ca="1" si="63"/>
        <v>148</v>
      </c>
      <c r="Z588" s="14">
        <v>1</v>
      </c>
      <c r="AA588" s="1" t="str">
        <f t="shared" ca="1" si="64"/>
        <v>VENCIDO</v>
      </c>
      <c r="AB588" s="1" t="str">
        <f t="shared" si="65"/>
        <v>Dosa</v>
      </c>
      <c r="AC588" s="2" t="str">
        <f t="shared" si="69"/>
        <v xml:space="preserve"> CRISTINA </v>
      </c>
      <c r="AD588" s="2">
        <f t="shared" si="66"/>
        <v>5</v>
      </c>
      <c r="AE588" s="2">
        <f t="shared" ca="1" si="67"/>
        <v>-204.9262716435187</v>
      </c>
      <c r="AF588" s="15"/>
    </row>
    <row r="589" spans="1:32" hidden="1">
      <c r="A589" s="1">
        <v>8810525</v>
      </c>
      <c r="B589" s="1" t="s">
        <v>101</v>
      </c>
      <c r="C589" t="s">
        <v>1134</v>
      </c>
      <c r="E589" s="2">
        <v>1058000206001</v>
      </c>
      <c r="F589" s="1" t="s">
        <v>29</v>
      </c>
      <c r="G589" s="1" t="s">
        <v>53</v>
      </c>
      <c r="H589" s="1" t="s">
        <v>289</v>
      </c>
      <c r="I589" s="1" t="s">
        <v>290</v>
      </c>
      <c r="J589" s="1" t="s">
        <v>56</v>
      </c>
      <c r="K589" t="s">
        <v>34</v>
      </c>
      <c r="M589" s="1" t="s">
        <v>35</v>
      </c>
      <c r="N589" s="1">
        <v>42318949</v>
      </c>
      <c r="O589" s="1" t="s">
        <v>105</v>
      </c>
      <c r="P589" s="186">
        <v>44781.503437500003</v>
      </c>
      <c r="R589" s="1" t="s">
        <v>38</v>
      </c>
      <c r="T589" s="1" t="s">
        <v>74</v>
      </c>
      <c r="U589" s="186">
        <v>44781.75</v>
      </c>
      <c r="V589" s="1" t="s">
        <v>41</v>
      </c>
      <c r="W589" s="1" t="s">
        <v>49</v>
      </c>
      <c r="X589" s="13" t="str">
        <f t="shared" si="68"/>
        <v/>
      </c>
      <c r="Y589" s="2">
        <f t="shared" ca="1" si="63"/>
        <v>148</v>
      </c>
      <c r="Z589" s="14">
        <v>1</v>
      </c>
      <c r="AA589" s="1" t="str">
        <f t="shared" ca="1" si="64"/>
        <v>VENCIDO</v>
      </c>
      <c r="AB589" s="1" t="str">
        <f t="shared" si="65"/>
        <v>Dosa</v>
      </c>
      <c r="AC589" s="2" t="str">
        <f t="shared" si="69"/>
        <v xml:space="preserve"> CRISTINA </v>
      </c>
      <c r="AD589" s="2">
        <f t="shared" si="66"/>
        <v>5</v>
      </c>
      <c r="AE589" s="2">
        <f t="shared" ca="1" si="67"/>
        <v>-204.9262716435187</v>
      </c>
      <c r="AF589" s="15"/>
    </row>
    <row r="590" spans="1:32" hidden="1">
      <c r="A590" s="1">
        <v>8810524</v>
      </c>
      <c r="B590" s="1" t="s">
        <v>101</v>
      </c>
      <c r="C590" t="s">
        <v>1134</v>
      </c>
      <c r="E590" s="2">
        <v>1058000206001</v>
      </c>
      <c r="F590" s="1" t="s">
        <v>29</v>
      </c>
      <c r="G590" s="1" t="s">
        <v>53</v>
      </c>
      <c r="H590" s="1" t="s">
        <v>289</v>
      </c>
      <c r="I590" s="1" t="s">
        <v>290</v>
      </c>
      <c r="J590" s="1" t="s">
        <v>56</v>
      </c>
      <c r="K590" t="s">
        <v>34</v>
      </c>
      <c r="M590" s="1" t="s">
        <v>35</v>
      </c>
      <c r="N590" s="1">
        <v>42318949</v>
      </c>
      <c r="O590" s="1" t="s">
        <v>105</v>
      </c>
      <c r="P590" s="186">
        <v>44781.503437500003</v>
      </c>
      <c r="R590" s="1" t="s">
        <v>38</v>
      </c>
      <c r="T590" s="1" t="s">
        <v>74</v>
      </c>
      <c r="U590" s="186">
        <v>44781.75</v>
      </c>
      <c r="V590" s="1" t="s">
        <v>41</v>
      </c>
      <c r="W590" s="1" t="s">
        <v>49</v>
      </c>
      <c r="X590" s="13" t="str">
        <f t="shared" si="68"/>
        <v/>
      </c>
      <c r="Y590" s="2">
        <f t="shared" ca="1" si="63"/>
        <v>148</v>
      </c>
      <c r="Z590" s="14">
        <v>1</v>
      </c>
      <c r="AA590" s="1" t="str">
        <f t="shared" ca="1" si="64"/>
        <v>VENCIDO</v>
      </c>
      <c r="AB590" s="1" t="str">
        <f t="shared" si="65"/>
        <v>Dosa</v>
      </c>
      <c r="AC590" s="2" t="str">
        <f t="shared" si="69"/>
        <v xml:space="preserve"> CRISTINA </v>
      </c>
      <c r="AD590" s="2">
        <f t="shared" si="66"/>
        <v>5</v>
      </c>
      <c r="AE590" s="2">
        <f t="shared" ca="1" si="67"/>
        <v>-204.9262716435187</v>
      </c>
      <c r="AF590" s="15"/>
    </row>
    <row r="591" spans="1:32" hidden="1">
      <c r="A591" s="1">
        <v>8810520</v>
      </c>
      <c r="B591" s="1" t="s">
        <v>101</v>
      </c>
      <c r="C591" t="s">
        <v>1134</v>
      </c>
      <c r="E591" s="2">
        <v>1052000206001</v>
      </c>
      <c r="F591" s="1" t="s">
        <v>29</v>
      </c>
      <c r="G591" s="1" t="s">
        <v>53</v>
      </c>
      <c r="H591" s="1" t="s">
        <v>329</v>
      </c>
      <c r="I591" s="1" t="s">
        <v>330</v>
      </c>
      <c r="J591" s="1" t="s">
        <v>79</v>
      </c>
      <c r="K591" t="s">
        <v>34</v>
      </c>
      <c r="M591" s="1" t="s">
        <v>35</v>
      </c>
      <c r="N591" s="1">
        <v>42318949</v>
      </c>
      <c r="O591" s="1" t="s">
        <v>105</v>
      </c>
      <c r="P591" s="186">
        <v>44781.503425925926</v>
      </c>
      <c r="R591" s="1" t="s">
        <v>38</v>
      </c>
      <c r="T591" s="1" t="s">
        <v>74</v>
      </c>
      <c r="U591" s="186">
        <v>44781.75</v>
      </c>
      <c r="V591" s="1" t="s">
        <v>41</v>
      </c>
      <c r="W591" s="1" t="s">
        <v>49</v>
      </c>
      <c r="X591" s="13" t="str">
        <f t="shared" si="68"/>
        <v/>
      </c>
      <c r="Y591" s="2">
        <f t="shared" ca="1" si="63"/>
        <v>148</v>
      </c>
      <c r="Z591" s="14">
        <v>1</v>
      </c>
      <c r="AA591" s="1" t="str">
        <f t="shared" ca="1" si="64"/>
        <v>VENCIDO</v>
      </c>
      <c r="AB591" s="1" t="str">
        <f t="shared" si="65"/>
        <v>Dosa</v>
      </c>
      <c r="AC591" s="2" t="str">
        <f t="shared" si="69"/>
        <v xml:space="preserve"> ROSEMERE </v>
      </c>
      <c r="AD591" s="2">
        <f t="shared" si="66"/>
        <v>5</v>
      </c>
      <c r="AE591" s="2">
        <f t="shared" ca="1" si="67"/>
        <v>-204.9262716435187</v>
      </c>
      <c r="AF591" s="15"/>
    </row>
    <row r="592" spans="1:32" hidden="1">
      <c r="A592" s="1">
        <v>8810519</v>
      </c>
      <c r="B592" s="1" t="s">
        <v>101</v>
      </c>
      <c r="C592" t="s">
        <v>1134</v>
      </c>
      <c r="E592" s="2">
        <v>1052000206001</v>
      </c>
      <c r="F592" s="1" t="s">
        <v>29</v>
      </c>
      <c r="G592" s="1" t="s">
        <v>53</v>
      </c>
      <c r="H592" s="1" t="s">
        <v>329</v>
      </c>
      <c r="I592" s="1" t="s">
        <v>330</v>
      </c>
      <c r="J592" s="1" t="s">
        <v>79</v>
      </c>
      <c r="K592" t="s">
        <v>34</v>
      </c>
      <c r="M592" s="1" t="s">
        <v>35</v>
      </c>
      <c r="N592" s="1">
        <v>42318949</v>
      </c>
      <c r="O592" s="1" t="s">
        <v>105</v>
      </c>
      <c r="P592" s="186">
        <v>44781.503425925926</v>
      </c>
      <c r="R592" s="1" t="s">
        <v>38</v>
      </c>
      <c r="T592" s="1" t="s">
        <v>74</v>
      </c>
      <c r="U592" s="186">
        <v>44781.75</v>
      </c>
      <c r="V592" s="1" t="s">
        <v>41</v>
      </c>
      <c r="W592" s="1" t="s">
        <v>49</v>
      </c>
      <c r="X592" s="13" t="str">
        <f t="shared" si="68"/>
        <v/>
      </c>
      <c r="Y592" s="2">
        <f t="shared" ca="1" si="63"/>
        <v>148</v>
      </c>
      <c r="Z592" s="14">
        <v>1</v>
      </c>
      <c r="AA592" s="1" t="str">
        <f t="shared" ca="1" si="64"/>
        <v>VENCIDO</v>
      </c>
      <c r="AB592" s="1" t="str">
        <f t="shared" si="65"/>
        <v>Dosa</v>
      </c>
      <c r="AC592" s="2" t="str">
        <f t="shared" si="69"/>
        <v xml:space="preserve"> ROSEMERE </v>
      </c>
      <c r="AD592" s="2">
        <f t="shared" si="66"/>
        <v>5</v>
      </c>
      <c r="AE592" s="2">
        <f t="shared" ca="1" si="67"/>
        <v>-204.9262716435187</v>
      </c>
      <c r="AF592" s="15"/>
    </row>
    <row r="593" spans="1:32" hidden="1">
      <c r="A593" s="1">
        <v>8810243</v>
      </c>
      <c r="B593" s="1" t="s">
        <v>101</v>
      </c>
      <c r="C593" t="s">
        <v>1134</v>
      </c>
      <c r="E593" s="2">
        <v>550000206001</v>
      </c>
      <c r="F593" s="1" t="s">
        <v>29</v>
      </c>
      <c r="G593" s="1" t="s">
        <v>53</v>
      </c>
      <c r="H593" s="1" t="s">
        <v>337</v>
      </c>
      <c r="I593" s="1" t="s">
        <v>338</v>
      </c>
      <c r="J593" s="1" t="s">
        <v>164</v>
      </c>
      <c r="K593" t="s">
        <v>34</v>
      </c>
      <c r="M593" s="1" t="s">
        <v>35</v>
      </c>
      <c r="N593" s="1">
        <v>42318949</v>
      </c>
      <c r="O593" s="1" t="s">
        <v>105</v>
      </c>
      <c r="P593" s="186">
        <v>44781.50309027778</v>
      </c>
      <c r="R593" s="1" t="s">
        <v>38</v>
      </c>
      <c r="T593" s="1" t="s">
        <v>74</v>
      </c>
      <c r="U593" s="186">
        <v>44781.75</v>
      </c>
      <c r="V593" s="1" t="s">
        <v>41</v>
      </c>
      <c r="W593" s="1" t="s">
        <v>49</v>
      </c>
      <c r="X593" s="13" t="str">
        <f t="shared" si="68"/>
        <v/>
      </c>
      <c r="Y593" s="2">
        <f t="shared" ca="1" si="63"/>
        <v>148</v>
      </c>
      <c r="Z593" s="14">
        <v>1</v>
      </c>
      <c r="AA593" s="1" t="str">
        <f t="shared" ca="1" si="64"/>
        <v>VENCIDO</v>
      </c>
      <c r="AB593" s="1" t="str">
        <f t="shared" si="65"/>
        <v>Dosa</v>
      </c>
      <c r="AC593" s="2" t="str">
        <f t="shared" si="69"/>
        <v xml:space="preserve"> ROSEMERE </v>
      </c>
      <c r="AD593" s="2">
        <f t="shared" si="66"/>
        <v>5</v>
      </c>
      <c r="AE593" s="2">
        <f t="shared" ca="1" si="67"/>
        <v>-204.9262716435187</v>
      </c>
      <c r="AF593" s="15"/>
    </row>
    <row r="594" spans="1:32" hidden="1">
      <c r="A594" s="1">
        <v>8810238</v>
      </c>
      <c r="B594" s="1" t="s">
        <v>101</v>
      </c>
      <c r="C594" t="s">
        <v>1134</v>
      </c>
      <c r="E594" s="2">
        <v>537000206001</v>
      </c>
      <c r="F594" s="1" t="s">
        <v>29</v>
      </c>
      <c r="G594" s="1" t="s">
        <v>53</v>
      </c>
      <c r="H594" s="1" t="s">
        <v>442</v>
      </c>
      <c r="I594" s="1" t="s">
        <v>443</v>
      </c>
      <c r="J594" s="1" t="s">
        <v>79</v>
      </c>
      <c r="K594" t="s">
        <v>34</v>
      </c>
      <c r="M594" s="1" t="s">
        <v>35</v>
      </c>
      <c r="N594" s="1">
        <v>42318949</v>
      </c>
      <c r="O594" s="1" t="s">
        <v>36</v>
      </c>
      <c r="P594" s="186">
        <v>44781.503078703703</v>
      </c>
      <c r="R594" s="1" t="s">
        <v>38</v>
      </c>
      <c r="T594" s="1" t="s">
        <v>74</v>
      </c>
      <c r="U594" s="186">
        <v>44781.75</v>
      </c>
      <c r="V594" s="1" t="s">
        <v>41</v>
      </c>
      <c r="W594" s="1" t="s">
        <v>49</v>
      </c>
      <c r="X594" s="13" t="str">
        <f t="shared" si="68"/>
        <v/>
      </c>
      <c r="Y594" s="2">
        <f t="shared" ca="1" si="63"/>
        <v>148</v>
      </c>
      <c r="Z594" s="14">
        <v>1</v>
      </c>
      <c r="AA594" s="1" t="str">
        <f t="shared" ca="1" si="64"/>
        <v>VENCIDO</v>
      </c>
      <c r="AB594" s="1" t="str">
        <f t="shared" si="65"/>
        <v>Dosa</v>
      </c>
      <c r="AC594" s="2" t="str">
        <f t="shared" si="69"/>
        <v xml:space="preserve"> ROSEMERE </v>
      </c>
      <c r="AD594" s="2">
        <f t="shared" si="66"/>
        <v>5</v>
      </c>
      <c r="AE594" s="2">
        <f t="shared" ca="1" si="67"/>
        <v>-204.9262716435187</v>
      </c>
      <c r="AF594" s="15"/>
    </row>
    <row r="595" spans="1:32" hidden="1">
      <c r="A595" s="1">
        <v>8824380</v>
      </c>
      <c r="B595" s="1" t="s">
        <v>62</v>
      </c>
      <c r="C595" t="s">
        <v>1148</v>
      </c>
      <c r="E595" s="2">
        <v>2229000203000</v>
      </c>
      <c r="F595" s="1" t="s">
        <v>454</v>
      </c>
      <c r="G595" s="1" t="s">
        <v>53</v>
      </c>
      <c r="H595" s="1" t="s">
        <v>339</v>
      </c>
      <c r="I595" s="1" t="s">
        <v>340</v>
      </c>
      <c r="J595" s="1" t="s">
        <v>211</v>
      </c>
      <c r="K595" t="s">
        <v>457</v>
      </c>
      <c r="M595" s="1" t="s">
        <v>58</v>
      </c>
      <c r="N595" s="1">
        <v>0</v>
      </c>
      <c r="O595" s="1" t="s">
        <v>36</v>
      </c>
      <c r="P595" s="12">
        <v>44783.627187500002</v>
      </c>
      <c r="R595" s="1">
        <v>1</v>
      </c>
      <c r="T595" s="1" t="s">
        <v>157</v>
      </c>
      <c r="U595" s="12">
        <v>44818.75</v>
      </c>
      <c r="V595" s="1" t="s">
        <v>41</v>
      </c>
      <c r="W595" s="1" t="s">
        <v>49</v>
      </c>
      <c r="X595" s="13" t="str">
        <f t="shared" si="68"/>
        <v/>
      </c>
      <c r="Y595" s="2">
        <f t="shared" ca="1" si="63"/>
        <v>146</v>
      </c>
      <c r="Z595" s="14">
        <v>1</v>
      </c>
      <c r="AA595" s="1" t="str">
        <f t="shared" ca="1" si="64"/>
        <v>VENCIDO</v>
      </c>
      <c r="AB595" s="1" t="str">
        <f t="shared" si="65"/>
        <v>C-14</v>
      </c>
      <c r="AC595" s="2" t="str">
        <f t="shared" si="69"/>
        <v xml:space="preserve"> RINALDO </v>
      </c>
      <c r="AD595" s="2">
        <f t="shared" si="66"/>
        <v>5</v>
      </c>
      <c r="AE595" s="2">
        <f t="shared" ca="1" si="67"/>
        <v>-167.9262716435187</v>
      </c>
      <c r="AF595" s="15"/>
    </row>
    <row r="596" spans="1:32" hidden="1">
      <c r="A596" s="1">
        <v>8823141</v>
      </c>
      <c r="B596" s="1" t="s">
        <v>62</v>
      </c>
      <c r="C596" t="s">
        <v>1151</v>
      </c>
      <c r="E596" s="2">
        <v>2156000203000</v>
      </c>
      <c r="F596" s="1" t="s">
        <v>454</v>
      </c>
      <c r="G596" s="1" t="s">
        <v>53</v>
      </c>
      <c r="H596" s="1" t="s">
        <v>278</v>
      </c>
      <c r="I596" s="1" t="s">
        <v>279</v>
      </c>
      <c r="J596" s="1" t="s">
        <v>211</v>
      </c>
      <c r="K596" t="s">
        <v>457</v>
      </c>
      <c r="M596" s="1" t="s">
        <v>58</v>
      </c>
      <c r="N596" s="1">
        <v>0</v>
      </c>
      <c r="O596" s="1" t="s">
        <v>36</v>
      </c>
      <c r="P596" s="12">
        <v>44783.379814814813</v>
      </c>
      <c r="R596" s="1">
        <v>1</v>
      </c>
      <c r="T596" s="1" t="s">
        <v>157</v>
      </c>
      <c r="U596" s="12">
        <v>44818.75</v>
      </c>
      <c r="V596" s="1" t="s">
        <v>41</v>
      </c>
      <c r="W596" s="1" t="s">
        <v>49</v>
      </c>
      <c r="X596" s="13" t="str">
        <f t="shared" si="68"/>
        <v/>
      </c>
      <c r="Y596" s="2">
        <f t="shared" ca="1" si="63"/>
        <v>146</v>
      </c>
      <c r="Z596" s="14">
        <v>1</v>
      </c>
      <c r="AA596" s="1" t="str">
        <f t="shared" ca="1" si="64"/>
        <v>VENCIDO</v>
      </c>
      <c r="AB596" s="1" t="str">
        <f t="shared" si="65"/>
        <v>C-14</v>
      </c>
      <c r="AC596" s="2" t="str">
        <f t="shared" si="69"/>
        <v xml:space="preserve"> RINALDO </v>
      </c>
      <c r="AD596" s="2">
        <f t="shared" si="66"/>
        <v>5</v>
      </c>
      <c r="AE596" s="2">
        <f t="shared" ca="1" si="67"/>
        <v>-167.9262716435187</v>
      </c>
      <c r="AF596" s="15"/>
    </row>
    <row r="597" spans="1:32" hidden="1">
      <c r="A597" s="1">
        <v>8827051</v>
      </c>
      <c r="B597" s="1" t="s">
        <v>1153</v>
      </c>
      <c r="C597" t="s">
        <v>1154</v>
      </c>
      <c r="D597" s="2">
        <v>20228489000013</v>
      </c>
      <c r="E597" s="2">
        <v>7417172315843</v>
      </c>
      <c r="F597" s="1" t="s">
        <v>1155</v>
      </c>
      <c r="G597" s="1" t="s">
        <v>53</v>
      </c>
      <c r="H597" s="1" t="s">
        <v>1156</v>
      </c>
      <c r="I597" s="1" t="s">
        <v>1157</v>
      </c>
      <c r="J597" s="1" t="s">
        <v>46</v>
      </c>
      <c r="K597" t="s">
        <v>1158</v>
      </c>
      <c r="M597" s="1" t="s">
        <v>58</v>
      </c>
      <c r="N597" s="1">
        <v>0</v>
      </c>
      <c r="O597" s="1" t="s">
        <v>36</v>
      </c>
      <c r="P597" s="12">
        <v>44784.603321759256</v>
      </c>
      <c r="R597" s="1">
        <v>22</v>
      </c>
      <c r="T597" s="1" t="s">
        <v>1160</v>
      </c>
      <c r="U597" s="12">
        <v>44789.436655092592</v>
      </c>
      <c r="V597" s="1" t="s">
        <v>41</v>
      </c>
      <c r="W597" s="1" t="s">
        <v>49</v>
      </c>
      <c r="X597" s="13" t="str">
        <f t="shared" si="68"/>
        <v/>
      </c>
      <c r="Y597" s="2">
        <f t="shared" ca="1" si="63"/>
        <v>145</v>
      </c>
      <c r="Z597" s="14">
        <v>1</v>
      </c>
      <c r="AA597" s="1" t="str">
        <f t="shared" ca="1" si="64"/>
        <v>VENCIDO</v>
      </c>
      <c r="AB597" s="1" t="str">
        <f t="shared" si="65"/>
        <v>TAAe+</v>
      </c>
      <c r="AC597" s="2" t="str">
        <f t="shared" si="69"/>
        <v xml:space="preserve"> CLEITON </v>
      </c>
      <c r="AD597" s="2">
        <f t="shared" si="66"/>
        <v>8</v>
      </c>
      <c r="AE597" s="2">
        <f t="shared" ca="1" si="67"/>
        <v>-197.23961655092717</v>
      </c>
      <c r="AF597" s="15"/>
    </row>
    <row r="598" spans="1:32" hidden="1">
      <c r="A598" s="1">
        <v>8833673</v>
      </c>
      <c r="B598" s="1" t="s">
        <v>62</v>
      </c>
      <c r="C598" t="s">
        <v>1162</v>
      </c>
      <c r="E598" s="2">
        <v>3108000206001</v>
      </c>
      <c r="F598" s="1" t="s">
        <v>29</v>
      </c>
      <c r="G598" s="1" t="s">
        <v>53</v>
      </c>
      <c r="H598" s="1" t="s">
        <v>325</v>
      </c>
      <c r="I598" s="1" t="s">
        <v>326</v>
      </c>
      <c r="J598" s="1" t="s">
        <v>46</v>
      </c>
      <c r="K598" t="s">
        <v>34</v>
      </c>
      <c r="M598" s="1" t="s">
        <v>35</v>
      </c>
      <c r="N598" s="1">
        <v>42318949</v>
      </c>
      <c r="O598" s="1" t="s">
        <v>36</v>
      </c>
      <c r="P598" s="12">
        <v>44788.457800925928</v>
      </c>
      <c r="R598" s="1" t="s">
        <v>38</v>
      </c>
      <c r="T598" s="1" t="s">
        <v>74</v>
      </c>
      <c r="U598" s="12">
        <v>44830.75</v>
      </c>
      <c r="V598" s="1" t="s">
        <v>41</v>
      </c>
      <c r="W598" s="1" t="s">
        <v>49</v>
      </c>
      <c r="X598" s="13" t="str">
        <f t="shared" si="68"/>
        <v/>
      </c>
      <c r="Y598" s="2">
        <f t="shared" ca="1" si="63"/>
        <v>143</v>
      </c>
      <c r="Z598" s="14">
        <v>1</v>
      </c>
      <c r="AA598" s="1" t="str">
        <f t="shared" ca="1" si="64"/>
        <v>VENCIDO</v>
      </c>
      <c r="AB598" s="1" t="str">
        <f t="shared" si="65"/>
        <v>Dosa</v>
      </c>
      <c r="AC598" s="2" t="str">
        <f t="shared" si="69"/>
        <v xml:space="preserve"> CLEITON </v>
      </c>
      <c r="AD598" s="2">
        <f t="shared" si="66"/>
        <v>5</v>
      </c>
      <c r="AE598" s="2">
        <f t="shared" ca="1" si="67"/>
        <v>-155.9262716435187</v>
      </c>
      <c r="AF598" s="15"/>
    </row>
    <row r="599" spans="1:32" hidden="1">
      <c r="A599" s="1">
        <v>8839442</v>
      </c>
      <c r="B599" s="1" t="s">
        <v>62</v>
      </c>
      <c r="C599" t="s">
        <v>1165</v>
      </c>
      <c r="E599" s="2">
        <v>7420380203000</v>
      </c>
      <c r="F599" s="1" t="s">
        <v>454</v>
      </c>
      <c r="G599" s="1" t="s">
        <v>30</v>
      </c>
      <c r="H599" s="1" t="s">
        <v>1166</v>
      </c>
      <c r="I599" s="1" t="s">
        <v>1167</v>
      </c>
      <c r="J599" s="1" t="s">
        <v>46</v>
      </c>
      <c r="K599" t="s">
        <v>457</v>
      </c>
      <c r="M599" s="1" t="s">
        <v>58</v>
      </c>
      <c r="N599" s="1">
        <v>0</v>
      </c>
      <c r="O599" s="1" t="s">
        <v>105</v>
      </c>
      <c r="P599" s="12">
        <v>44790.487199074072</v>
      </c>
      <c r="R599" s="1" t="s">
        <v>38</v>
      </c>
      <c r="T599" s="1" t="s">
        <v>157</v>
      </c>
      <c r="U599" s="12">
        <v>44825.75</v>
      </c>
      <c r="V599" s="1" t="s">
        <v>41</v>
      </c>
      <c r="W599" s="1" t="s">
        <v>49</v>
      </c>
      <c r="X599" s="13" t="str">
        <f t="shared" si="68"/>
        <v>7420.38</v>
      </c>
      <c r="Y599" s="2">
        <f t="shared" ca="1" si="63"/>
        <v>141</v>
      </c>
      <c r="Z599" s="14">
        <v>1</v>
      </c>
      <c r="AA599" s="1" t="str">
        <f t="shared" ca="1" si="64"/>
        <v>VENCIDO</v>
      </c>
      <c r="AB599" s="1" t="str">
        <f t="shared" si="65"/>
        <v>C-14</v>
      </c>
      <c r="AC599" s="2" t="str">
        <f t="shared" si="69"/>
        <v xml:space="preserve"> CLEITON </v>
      </c>
      <c r="AD599" s="2">
        <f t="shared" si="66"/>
        <v>5</v>
      </c>
      <c r="AE599" s="2">
        <f t="shared" ca="1" si="67"/>
        <v>-160.9262716435187</v>
      </c>
      <c r="AF599" s="15"/>
    </row>
    <row r="600" spans="1:32" hidden="1">
      <c r="A600" s="1">
        <v>8844322</v>
      </c>
      <c r="B600" s="1" t="s">
        <v>62</v>
      </c>
      <c r="C600" t="s">
        <v>1170</v>
      </c>
      <c r="E600" s="2">
        <v>714000203000</v>
      </c>
      <c r="F600" s="1" t="s">
        <v>454</v>
      </c>
      <c r="G600" s="1" t="s">
        <v>53</v>
      </c>
      <c r="H600" s="1" t="s">
        <v>377</v>
      </c>
      <c r="I600" s="1" t="s">
        <v>378</v>
      </c>
      <c r="J600" s="1" t="s">
        <v>46</v>
      </c>
      <c r="K600" t="s">
        <v>457</v>
      </c>
      <c r="M600" s="1" t="s">
        <v>58</v>
      </c>
      <c r="N600" s="1">
        <v>0</v>
      </c>
      <c r="O600" s="1" t="s">
        <v>36</v>
      </c>
      <c r="P600" s="12">
        <v>44792.402997685182</v>
      </c>
      <c r="R600" s="1">
        <v>1</v>
      </c>
      <c r="T600" s="1" t="s">
        <v>157</v>
      </c>
      <c r="U600" s="12">
        <v>44827.75</v>
      </c>
      <c r="V600" s="1" t="s">
        <v>41</v>
      </c>
      <c r="W600" s="1" t="s">
        <v>49</v>
      </c>
      <c r="X600" s="13" t="str">
        <f t="shared" si="68"/>
        <v/>
      </c>
      <c r="Y600" s="2">
        <f t="shared" ca="1" si="63"/>
        <v>139</v>
      </c>
      <c r="Z600" s="14">
        <v>1</v>
      </c>
      <c r="AA600" s="1" t="str">
        <f t="shared" ca="1" si="64"/>
        <v>VENCIDO</v>
      </c>
      <c r="AB600" s="1" t="str">
        <f t="shared" si="65"/>
        <v>C-14</v>
      </c>
      <c r="AC600" s="2" t="str">
        <f t="shared" si="69"/>
        <v xml:space="preserve"> CLEITON </v>
      </c>
      <c r="AD600" s="2">
        <f t="shared" si="66"/>
        <v>5</v>
      </c>
      <c r="AE600" s="2">
        <f t="shared" ca="1" si="67"/>
        <v>-158.9262716435187</v>
      </c>
      <c r="AF600" s="15"/>
    </row>
    <row r="601" spans="1:32" hidden="1">
      <c r="A601" s="1">
        <v>8844316</v>
      </c>
      <c r="B601" s="1" t="s">
        <v>62</v>
      </c>
      <c r="C601" t="s">
        <v>1173</v>
      </c>
      <c r="E601" s="2">
        <v>714000206001</v>
      </c>
      <c r="F601" s="1" t="s">
        <v>29</v>
      </c>
      <c r="G601" s="1" t="s">
        <v>53</v>
      </c>
      <c r="H601" s="1" t="s">
        <v>377</v>
      </c>
      <c r="I601" s="1" t="s">
        <v>378</v>
      </c>
      <c r="J601" s="1" t="s">
        <v>46</v>
      </c>
      <c r="K601" t="s">
        <v>34</v>
      </c>
      <c r="M601" s="1" t="s">
        <v>35</v>
      </c>
      <c r="N601" s="1">
        <v>42318949</v>
      </c>
      <c r="O601" s="1" t="s">
        <v>36</v>
      </c>
      <c r="P601" s="12">
        <v>44792.402361111112</v>
      </c>
      <c r="R601" s="1" t="s">
        <v>38</v>
      </c>
      <c r="T601" s="1" t="s">
        <v>74</v>
      </c>
      <c r="U601" s="12">
        <v>44834.75</v>
      </c>
      <c r="V601" s="1" t="s">
        <v>41</v>
      </c>
      <c r="W601" s="1" t="s">
        <v>49</v>
      </c>
      <c r="X601" s="13" t="str">
        <f t="shared" si="68"/>
        <v/>
      </c>
      <c r="Y601" s="2">
        <f t="shared" ca="1" si="63"/>
        <v>139</v>
      </c>
      <c r="Z601" s="14">
        <v>1</v>
      </c>
      <c r="AA601" s="1" t="str">
        <f t="shared" ca="1" si="64"/>
        <v>VENCIDO</v>
      </c>
      <c r="AB601" s="1" t="str">
        <f t="shared" si="65"/>
        <v>Dosa</v>
      </c>
      <c r="AC601" s="2" t="str">
        <f t="shared" si="69"/>
        <v xml:space="preserve"> CLEITON </v>
      </c>
      <c r="AD601" s="2">
        <f t="shared" si="66"/>
        <v>5</v>
      </c>
      <c r="AE601" s="2">
        <f t="shared" ca="1" si="67"/>
        <v>-151.9262716435187</v>
      </c>
      <c r="AF601" s="15"/>
    </row>
    <row r="602" spans="1:32" hidden="1">
      <c r="A602" s="1">
        <v>8851834</v>
      </c>
      <c r="B602" s="1" t="s">
        <v>101</v>
      </c>
      <c r="C602" t="s">
        <v>1176</v>
      </c>
      <c r="E602" s="2">
        <v>9705000206121</v>
      </c>
      <c r="F602" s="1" t="s">
        <v>113</v>
      </c>
      <c r="G602" s="1" t="s">
        <v>53</v>
      </c>
      <c r="H602" s="1" t="s">
        <v>204</v>
      </c>
      <c r="I602" s="1" t="s">
        <v>205</v>
      </c>
      <c r="J602" s="1" t="s">
        <v>90</v>
      </c>
      <c r="K602" t="s">
        <v>116</v>
      </c>
      <c r="M602" s="1" t="s">
        <v>35</v>
      </c>
      <c r="N602" s="1">
        <v>42318949</v>
      </c>
      <c r="O602" s="1" t="s">
        <v>36</v>
      </c>
      <c r="P602" s="12">
        <v>44795.769953703704</v>
      </c>
      <c r="R602" s="1" t="s">
        <v>38</v>
      </c>
      <c r="T602" s="1" t="s">
        <v>74</v>
      </c>
      <c r="U602" s="12">
        <v>44796.75</v>
      </c>
      <c r="V602" s="1" t="s">
        <v>41</v>
      </c>
      <c r="W602" s="1" t="s">
        <v>49</v>
      </c>
      <c r="X602" s="13" t="str">
        <f t="shared" si="68"/>
        <v/>
      </c>
      <c r="Y602" s="2">
        <f t="shared" ca="1" si="63"/>
        <v>138</v>
      </c>
      <c r="Z602" s="14">
        <v>1</v>
      </c>
      <c r="AA602" s="1" t="str">
        <f t="shared" ca="1" si="64"/>
        <v>VENCIDO</v>
      </c>
      <c r="AB602" s="1" t="str">
        <f t="shared" si="65"/>
        <v>TAAe+</v>
      </c>
      <c r="AC602" s="2" t="str">
        <f t="shared" si="69"/>
        <v xml:space="preserve"> RINALDO </v>
      </c>
      <c r="AD602" s="2">
        <f t="shared" si="66"/>
        <v>8</v>
      </c>
      <c r="AE602" s="2">
        <f t="shared" ca="1" si="67"/>
        <v>-189.9262716435187</v>
      </c>
      <c r="AF602" s="15"/>
    </row>
    <row r="603" spans="1:32" hidden="1">
      <c r="A603" s="1">
        <v>8851833</v>
      </c>
      <c r="B603" s="1" t="s">
        <v>101</v>
      </c>
      <c r="C603" t="s">
        <v>1176</v>
      </c>
      <c r="E603" s="2">
        <v>9705000206121</v>
      </c>
      <c r="F603" s="1" t="s">
        <v>113</v>
      </c>
      <c r="G603" s="1" t="s">
        <v>53</v>
      </c>
      <c r="H603" s="1" t="s">
        <v>204</v>
      </c>
      <c r="I603" s="1" t="s">
        <v>205</v>
      </c>
      <c r="J603" s="1" t="s">
        <v>90</v>
      </c>
      <c r="K603" t="s">
        <v>116</v>
      </c>
      <c r="M603" s="1" t="s">
        <v>35</v>
      </c>
      <c r="N603" s="1">
        <v>42318949</v>
      </c>
      <c r="O603" s="1" t="s">
        <v>36</v>
      </c>
      <c r="P603" s="12">
        <v>44795.769953703704</v>
      </c>
      <c r="R603" s="1" t="s">
        <v>38</v>
      </c>
      <c r="T603" s="1" t="s">
        <v>74</v>
      </c>
      <c r="U603" s="12">
        <v>44796.75</v>
      </c>
      <c r="V603" s="1" t="s">
        <v>41</v>
      </c>
      <c r="W603" s="1" t="s">
        <v>49</v>
      </c>
      <c r="X603" s="13" t="str">
        <f t="shared" si="68"/>
        <v/>
      </c>
      <c r="Y603" s="2">
        <f t="shared" ca="1" si="63"/>
        <v>138</v>
      </c>
      <c r="Z603" s="14">
        <v>1</v>
      </c>
      <c r="AA603" s="1" t="str">
        <f t="shared" ca="1" si="64"/>
        <v>VENCIDO</v>
      </c>
      <c r="AB603" s="1" t="str">
        <f t="shared" si="65"/>
        <v>TAAe+</v>
      </c>
      <c r="AC603" s="2" t="str">
        <f t="shared" si="69"/>
        <v xml:space="preserve"> RINALDO </v>
      </c>
      <c r="AD603" s="2">
        <f t="shared" si="66"/>
        <v>8</v>
      </c>
      <c r="AE603" s="2">
        <f t="shared" ca="1" si="67"/>
        <v>-189.9262716435187</v>
      </c>
      <c r="AF603" s="15"/>
    </row>
    <row r="604" spans="1:32" hidden="1">
      <c r="A604" s="1">
        <v>8851832</v>
      </c>
      <c r="B604" s="1" t="s">
        <v>101</v>
      </c>
      <c r="C604" t="s">
        <v>1176</v>
      </c>
      <c r="E604" s="2">
        <v>9705000206121</v>
      </c>
      <c r="F604" s="1" t="s">
        <v>113</v>
      </c>
      <c r="G604" s="1" t="s">
        <v>53</v>
      </c>
      <c r="H604" s="1" t="s">
        <v>204</v>
      </c>
      <c r="I604" s="1" t="s">
        <v>205</v>
      </c>
      <c r="J604" s="1" t="s">
        <v>90</v>
      </c>
      <c r="K604" t="s">
        <v>116</v>
      </c>
      <c r="M604" s="1" t="s">
        <v>35</v>
      </c>
      <c r="N604" s="1">
        <v>42318949</v>
      </c>
      <c r="O604" s="1" t="s">
        <v>36</v>
      </c>
      <c r="P604" s="12">
        <v>44795.769953703704</v>
      </c>
      <c r="R604" s="1" t="s">
        <v>38</v>
      </c>
      <c r="T604" s="1" t="s">
        <v>74</v>
      </c>
      <c r="U604" s="12">
        <v>44796.75</v>
      </c>
      <c r="V604" s="1" t="s">
        <v>41</v>
      </c>
      <c r="W604" s="1" t="s">
        <v>49</v>
      </c>
      <c r="X604" s="13" t="str">
        <f t="shared" si="68"/>
        <v/>
      </c>
      <c r="Y604" s="2">
        <f t="shared" ca="1" si="63"/>
        <v>138</v>
      </c>
      <c r="Z604" s="14">
        <v>1</v>
      </c>
      <c r="AA604" s="1" t="str">
        <f t="shared" ca="1" si="64"/>
        <v>VENCIDO</v>
      </c>
      <c r="AB604" s="1" t="str">
        <f t="shared" si="65"/>
        <v>TAAe+</v>
      </c>
      <c r="AC604" s="2" t="str">
        <f t="shared" si="69"/>
        <v xml:space="preserve"> RINALDO </v>
      </c>
      <c r="AD604" s="2">
        <f t="shared" si="66"/>
        <v>8</v>
      </c>
      <c r="AE604" s="2">
        <f t="shared" ca="1" si="67"/>
        <v>-189.9262716435187</v>
      </c>
      <c r="AF604" s="15"/>
    </row>
    <row r="605" spans="1:32" hidden="1">
      <c r="A605" s="1">
        <v>8851831</v>
      </c>
      <c r="B605" s="1" t="s">
        <v>101</v>
      </c>
      <c r="C605" t="s">
        <v>1176</v>
      </c>
      <c r="E605" s="2">
        <v>9704000206121</v>
      </c>
      <c r="F605" s="1" t="s">
        <v>113</v>
      </c>
      <c r="G605" s="1" t="s">
        <v>53</v>
      </c>
      <c r="H605" s="1" t="s">
        <v>488</v>
      </c>
      <c r="I605" s="1" t="s">
        <v>489</v>
      </c>
      <c r="J605" s="1" t="s">
        <v>90</v>
      </c>
      <c r="K605" t="s">
        <v>116</v>
      </c>
      <c r="M605" s="1" t="s">
        <v>35</v>
      </c>
      <c r="N605" s="1">
        <v>42318949</v>
      </c>
      <c r="O605" s="1" t="s">
        <v>105</v>
      </c>
      <c r="P605" s="12">
        <v>44795.769953703704</v>
      </c>
      <c r="R605" s="1" t="s">
        <v>38</v>
      </c>
      <c r="T605" s="1" t="s">
        <v>74</v>
      </c>
      <c r="U605" s="12">
        <v>44796.75</v>
      </c>
      <c r="V605" s="1" t="s">
        <v>41</v>
      </c>
      <c r="W605" s="1" t="s">
        <v>49</v>
      </c>
      <c r="X605" s="13" t="str">
        <f t="shared" si="68"/>
        <v/>
      </c>
      <c r="Y605" s="2">
        <f t="shared" ca="1" si="63"/>
        <v>138</v>
      </c>
      <c r="Z605" s="14">
        <v>1</v>
      </c>
      <c r="AA605" s="1" t="str">
        <f t="shared" ca="1" si="64"/>
        <v>VENCIDO</v>
      </c>
      <c r="AB605" s="1" t="str">
        <f t="shared" si="65"/>
        <v>TAAe+</v>
      </c>
      <c r="AC605" s="2" t="str">
        <f t="shared" si="69"/>
        <v xml:space="preserve"> RINALDO </v>
      </c>
      <c r="AD605" s="2">
        <f t="shared" si="66"/>
        <v>8</v>
      </c>
      <c r="AE605" s="2">
        <f t="shared" ca="1" si="67"/>
        <v>-189.9262716435187</v>
      </c>
      <c r="AF605" s="15"/>
    </row>
    <row r="606" spans="1:32" hidden="1">
      <c r="A606" s="1">
        <v>8851830</v>
      </c>
      <c r="B606" s="1" t="s">
        <v>101</v>
      </c>
      <c r="C606" t="s">
        <v>1176</v>
      </c>
      <c r="E606" s="2">
        <v>9704000206121</v>
      </c>
      <c r="F606" s="1" t="s">
        <v>113</v>
      </c>
      <c r="G606" s="1" t="s">
        <v>53</v>
      </c>
      <c r="H606" s="1" t="s">
        <v>488</v>
      </c>
      <c r="I606" s="1" t="s">
        <v>489</v>
      </c>
      <c r="J606" s="1" t="s">
        <v>90</v>
      </c>
      <c r="K606" t="s">
        <v>116</v>
      </c>
      <c r="M606" s="1" t="s">
        <v>35</v>
      </c>
      <c r="N606" s="1">
        <v>42318949</v>
      </c>
      <c r="O606" s="1" t="s">
        <v>105</v>
      </c>
      <c r="P606" s="12">
        <v>44795.769953703704</v>
      </c>
      <c r="R606" s="1" t="s">
        <v>38</v>
      </c>
      <c r="T606" s="1" t="s">
        <v>74</v>
      </c>
      <c r="U606" s="12">
        <v>44796.75</v>
      </c>
      <c r="V606" s="1" t="s">
        <v>41</v>
      </c>
      <c r="W606" s="1" t="s">
        <v>49</v>
      </c>
      <c r="X606" s="13" t="str">
        <f t="shared" si="68"/>
        <v/>
      </c>
      <c r="Y606" s="2">
        <f t="shared" ca="1" si="63"/>
        <v>138</v>
      </c>
      <c r="Z606" s="14">
        <v>1</v>
      </c>
      <c r="AA606" s="1" t="str">
        <f t="shared" ca="1" si="64"/>
        <v>VENCIDO</v>
      </c>
      <c r="AB606" s="1" t="str">
        <f t="shared" si="65"/>
        <v>TAAe+</v>
      </c>
      <c r="AC606" s="2" t="str">
        <f t="shared" si="69"/>
        <v xml:space="preserve"> RINALDO </v>
      </c>
      <c r="AD606" s="2">
        <f t="shared" si="66"/>
        <v>8</v>
      </c>
      <c r="AE606" s="2">
        <f t="shared" ca="1" si="67"/>
        <v>-189.9262716435187</v>
      </c>
      <c r="AF606" s="15"/>
    </row>
    <row r="607" spans="1:32" hidden="1">
      <c r="A607" s="1">
        <v>8851829</v>
      </c>
      <c r="B607" s="1" t="s">
        <v>101</v>
      </c>
      <c r="C607" t="s">
        <v>1176</v>
      </c>
      <c r="E607" s="2">
        <v>9704000206121</v>
      </c>
      <c r="F607" s="1" t="s">
        <v>113</v>
      </c>
      <c r="G607" s="1" t="s">
        <v>53</v>
      </c>
      <c r="H607" s="1" t="s">
        <v>488</v>
      </c>
      <c r="I607" s="1" t="s">
        <v>489</v>
      </c>
      <c r="J607" s="1" t="s">
        <v>90</v>
      </c>
      <c r="K607" t="s">
        <v>116</v>
      </c>
      <c r="M607" s="1" t="s">
        <v>35</v>
      </c>
      <c r="N607" s="1">
        <v>42318949</v>
      </c>
      <c r="O607" s="1" t="s">
        <v>105</v>
      </c>
      <c r="P607" s="12">
        <v>44795.769953703704</v>
      </c>
      <c r="R607" s="1" t="s">
        <v>38</v>
      </c>
      <c r="T607" s="1" t="s">
        <v>74</v>
      </c>
      <c r="U607" s="12">
        <v>44796.75</v>
      </c>
      <c r="V607" s="1" t="s">
        <v>41</v>
      </c>
      <c r="W607" s="1" t="s">
        <v>49</v>
      </c>
      <c r="X607" s="13" t="str">
        <f t="shared" si="68"/>
        <v/>
      </c>
      <c r="Y607" s="2">
        <f t="shared" ca="1" si="63"/>
        <v>138</v>
      </c>
      <c r="Z607" s="14">
        <v>1</v>
      </c>
      <c r="AA607" s="1" t="str">
        <f t="shared" ca="1" si="64"/>
        <v>VENCIDO</v>
      </c>
      <c r="AB607" s="1" t="str">
        <f t="shared" si="65"/>
        <v>TAAe+</v>
      </c>
      <c r="AC607" s="2" t="str">
        <f t="shared" si="69"/>
        <v xml:space="preserve"> RINALDO </v>
      </c>
      <c r="AD607" s="2">
        <f t="shared" si="66"/>
        <v>8</v>
      </c>
      <c r="AE607" s="2">
        <f t="shared" ca="1" si="67"/>
        <v>-189.9262716435187</v>
      </c>
      <c r="AF607" s="15"/>
    </row>
    <row r="608" spans="1:32" hidden="1">
      <c r="A608" s="1">
        <v>8851826</v>
      </c>
      <c r="B608" s="1" t="s">
        <v>101</v>
      </c>
      <c r="C608" t="s">
        <v>1176</v>
      </c>
      <c r="E608" s="2">
        <v>9700000206121</v>
      </c>
      <c r="F608" s="1" t="s">
        <v>113</v>
      </c>
      <c r="G608" s="1" t="s">
        <v>53</v>
      </c>
      <c r="H608" s="1" t="s">
        <v>209</v>
      </c>
      <c r="I608" s="1" t="s">
        <v>210</v>
      </c>
      <c r="J608" s="1" t="s">
        <v>211</v>
      </c>
      <c r="K608" t="s">
        <v>116</v>
      </c>
      <c r="M608" s="1" t="s">
        <v>35</v>
      </c>
      <c r="N608" s="1">
        <v>42318949</v>
      </c>
      <c r="O608" s="1" t="s">
        <v>105</v>
      </c>
      <c r="P608" s="12">
        <v>44795.769953703704</v>
      </c>
      <c r="R608" s="1" t="s">
        <v>38</v>
      </c>
      <c r="T608" s="1" t="s">
        <v>74</v>
      </c>
      <c r="U608" s="12">
        <v>44796.75</v>
      </c>
      <c r="V608" s="1" t="s">
        <v>41</v>
      </c>
      <c r="W608" s="1" t="s">
        <v>49</v>
      </c>
      <c r="X608" s="13" t="str">
        <f t="shared" si="68"/>
        <v/>
      </c>
      <c r="Y608" s="2">
        <f t="shared" ca="1" si="63"/>
        <v>138</v>
      </c>
      <c r="Z608" s="14">
        <v>1</v>
      </c>
      <c r="AA608" s="1" t="str">
        <f t="shared" ca="1" si="64"/>
        <v>VENCIDO</v>
      </c>
      <c r="AB608" s="1" t="str">
        <f t="shared" si="65"/>
        <v>TAAe+</v>
      </c>
      <c r="AC608" s="2" t="str">
        <f t="shared" si="69"/>
        <v xml:space="preserve"> RINALDO </v>
      </c>
      <c r="AD608" s="2">
        <f t="shared" si="66"/>
        <v>8</v>
      </c>
      <c r="AE608" s="2">
        <f t="shared" ca="1" si="67"/>
        <v>-189.9262716435187</v>
      </c>
      <c r="AF608" s="15"/>
    </row>
    <row r="609" spans="1:32" hidden="1">
      <c r="A609" s="1">
        <v>8851825</v>
      </c>
      <c r="B609" s="1" t="s">
        <v>101</v>
      </c>
      <c r="C609" t="s">
        <v>1176</v>
      </c>
      <c r="E609" s="2">
        <v>9700000206121</v>
      </c>
      <c r="F609" s="1" t="s">
        <v>113</v>
      </c>
      <c r="G609" s="1" t="s">
        <v>53</v>
      </c>
      <c r="H609" s="1" t="s">
        <v>209</v>
      </c>
      <c r="I609" s="1" t="s">
        <v>210</v>
      </c>
      <c r="J609" s="1" t="s">
        <v>211</v>
      </c>
      <c r="K609" t="s">
        <v>116</v>
      </c>
      <c r="M609" s="1" t="s">
        <v>35</v>
      </c>
      <c r="N609" s="1">
        <v>42318949</v>
      </c>
      <c r="O609" s="1" t="s">
        <v>105</v>
      </c>
      <c r="P609" s="12">
        <v>44795.769953703704</v>
      </c>
      <c r="R609" s="1" t="s">
        <v>38</v>
      </c>
      <c r="T609" s="1" t="s">
        <v>74</v>
      </c>
      <c r="U609" s="12">
        <v>44796.75</v>
      </c>
      <c r="V609" s="1" t="s">
        <v>41</v>
      </c>
      <c r="W609" s="1" t="s">
        <v>49</v>
      </c>
      <c r="X609" s="13" t="str">
        <f t="shared" si="68"/>
        <v/>
      </c>
      <c r="Y609" s="2">
        <f t="shared" ca="1" si="63"/>
        <v>138</v>
      </c>
      <c r="Z609" s="14">
        <v>1</v>
      </c>
      <c r="AA609" s="1" t="str">
        <f t="shared" ca="1" si="64"/>
        <v>VENCIDO</v>
      </c>
      <c r="AB609" s="1" t="str">
        <f t="shared" si="65"/>
        <v>TAAe+</v>
      </c>
      <c r="AC609" s="2" t="str">
        <f t="shared" si="69"/>
        <v xml:space="preserve"> RINALDO </v>
      </c>
      <c r="AD609" s="2">
        <f t="shared" si="66"/>
        <v>8</v>
      </c>
      <c r="AE609" s="2">
        <f t="shared" ca="1" si="67"/>
        <v>-189.9262716435187</v>
      </c>
      <c r="AF609" s="15"/>
    </row>
    <row r="610" spans="1:32" hidden="1">
      <c r="A610" s="1">
        <v>8851534</v>
      </c>
      <c r="B610" s="1" t="s">
        <v>101</v>
      </c>
      <c r="C610" t="s">
        <v>1176</v>
      </c>
      <c r="E610" s="2">
        <v>9406000206121</v>
      </c>
      <c r="F610" s="1" t="s">
        <v>113</v>
      </c>
      <c r="G610" s="1" t="s">
        <v>53</v>
      </c>
      <c r="H610" s="1" t="s">
        <v>114</v>
      </c>
      <c r="I610" s="1" t="s">
        <v>115</v>
      </c>
      <c r="J610" s="1" t="s">
        <v>46</v>
      </c>
      <c r="K610" t="s">
        <v>116</v>
      </c>
      <c r="M610" s="1" t="s">
        <v>35</v>
      </c>
      <c r="N610" s="1">
        <v>42318949</v>
      </c>
      <c r="O610" s="1" t="s">
        <v>105</v>
      </c>
      <c r="P610" s="12">
        <v>44795.769618055558</v>
      </c>
      <c r="R610" s="1" t="s">
        <v>38</v>
      </c>
      <c r="T610" s="1" t="s">
        <v>74</v>
      </c>
      <c r="U610" s="12">
        <v>44796.75</v>
      </c>
      <c r="V610" s="1" t="s">
        <v>41</v>
      </c>
      <c r="W610" s="1" t="s">
        <v>49</v>
      </c>
      <c r="X610" s="13" t="str">
        <f t="shared" si="68"/>
        <v/>
      </c>
      <c r="Y610" s="2">
        <f t="shared" ca="1" si="63"/>
        <v>138</v>
      </c>
      <c r="Z610" s="14">
        <v>1</v>
      </c>
      <c r="AA610" s="1" t="str">
        <f t="shared" ca="1" si="64"/>
        <v>VENCIDO</v>
      </c>
      <c r="AB610" s="1" t="str">
        <f t="shared" si="65"/>
        <v>TAAe+</v>
      </c>
      <c r="AC610" s="2" t="str">
        <f t="shared" si="69"/>
        <v xml:space="preserve"> CLEITON </v>
      </c>
      <c r="AD610" s="2">
        <f t="shared" si="66"/>
        <v>8</v>
      </c>
      <c r="AE610" s="2">
        <f t="shared" ca="1" si="67"/>
        <v>-189.9262716435187</v>
      </c>
      <c r="AF610" s="15"/>
    </row>
    <row r="611" spans="1:32" hidden="1">
      <c r="A611" s="1">
        <v>8851533</v>
      </c>
      <c r="B611" s="1" t="s">
        <v>101</v>
      </c>
      <c r="C611" t="s">
        <v>1176</v>
      </c>
      <c r="E611" s="2">
        <v>9406000206121</v>
      </c>
      <c r="F611" s="1" t="s">
        <v>113</v>
      </c>
      <c r="G611" s="1" t="s">
        <v>53</v>
      </c>
      <c r="H611" s="1" t="s">
        <v>114</v>
      </c>
      <c r="I611" s="1" t="s">
        <v>115</v>
      </c>
      <c r="J611" s="1" t="s">
        <v>46</v>
      </c>
      <c r="K611" t="s">
        <v>116</v>
      </c>
      <c r="M611" s="1" t="s">
        <v>35</v>
      </c>
      <c r="N611" s="1">
        <v>42318949</v>
      </c>
      <c r="O611" s="1" t="s">
        <v>105</v>
      </c>
      <c r="P611" s="12">
        <v>44795.769618055558</v>
      </c>
      <c r="R611" s="1" t="s">
        <v>38</v>
      </c>
      <c r="T611" s="1" t="s">
        <v>74</v>
      </c>
      <c r="U611" s="12">
        <v>44796.75</v>
      </c>
      <c r="V611" s="1" t="s">
        <v>41</v>
      </c>
      <c r="W611" s="1" t="s">
        <v>49</v>
      </c>
      <c r="X611" s="13" t="str">
        <f t="shared" si="68"/>
        <v/>
      </c>
      <c r="Y611" s="2">
        <f t="shared" ca="1" si="63"/>
        <v>138</v>
      </c>
      <c r="Z611" s="14">
        <v>1</v>
      </c>
      <c r="AA611" s="1" t="str">
        <f t="shared" ca="1" si="64"/>
        <v>VENCIDO</v>
      </c>
      <c r="AB611" s="1" t="str">
        <f t="shared" si="65"/>
        <v>TAAe+</v>
      </c>
      <c r="AC611" s="2" t="str">
        <f t="shared" si="69"/>
        <v xml:space="preserve"> CLEITON </v>
      </c>
      <c r="AD611" s="2">
        <f t="shared" si="66"/>
        <v>8</v>
      </c>
      <c r="AE611" s="2">
        <f t="shared" ca="1" si="67"/>
        <v>-189.9262716435187</v>
      </c>
      <c r="AF611" s="15"/>
    </row>
    <row r="612" spans="1:32" hidden="1">
      <c r="A612" s="1">
        <v>8851532</v>
      </c>
      <c r="B612" s="1" t="s">
        <v>101</v>
      </c>
      <c r="C612" t="s">
        <v>1176</v>
      </c>
      <c r="E612" s="2">
        <v>9406000206121</v>
      </c>
      <c r="F612" s="1" t="s">
        <v>113</v>
      </c>
      <c r="G612" s="1" t="s">
        <v>53</v>
      </c>
      <c r="H612" s="1" t="s">
        <v>114</v>
      </c>
      <c r="I612" s="1" t="s">
        <v>115</v>
      </c>
      <c r="J612" s="1" t="s">
        <v>46</v>
      </c>
      <c r="K612" t="s">
        <v>116</v>
      </c>
      <c r="M612" s="1" t="s">
        <v>35</v>
      </c>
      <c r="N612" s="1">
        <v>42318949</v>
      </c>
      <c r="O612" s="1" t="s">
        <v>105</v>
      </c>
      <c r="P612" s="12">
        <v>44795.769618055558</v>
      </c>
      <c r="R612" s="1" t="s">
        <v>38</v>
      </c>
      <c r="T612" s="1" t="s">
        <v>74</v>
      </c>
      <c r="U612" s="12">
        <v>44796.75</v>
      </c>
      <c r="V612" s="1" t="s">
        <v>41</v>
      </c>
      <c r="W612" s="1" t="s">
        <v>49</v>
      </c>
      <c r="X612" s="13" t="str">
        <f t="shared" si="68"/>
        <v/>
      </c>
      <c r="Y612" s="2">
        <f t="shared" ca="1" si="63"/>
        <v>138</v>
      </c>
      <c r="Z612" s="14">
        <v>1</v>
      </c>
      <c r="AA612" s="1" t="str">
        <f t="shared" ca="1" si="64"/>
        <v>VENCIDO</v>
      </c>
      <c r="AB612" s="1" t="str">
        <f t="shared" si="65"/>
        <v>TAAe+</v>
      </c>
      <c r="AC612" s="2" t="str">
        <f t="shared" si="69"/>
        <v xml:space="preserve"> CLEITON </v>
      </c>
      <c r="AD612" s="2">
        <f t="shared" si="66"/>
        <v>8</v>
      </c>
      <c r="AE612" s="2">
        <f t="shared" ca="1" si="67"/>
        <v>-189.9262716435187</v>
      </c>
      <c r="AF612" s="15"/>
    </row>
    <row r="613" spans="1:32" hidden="1">
      <c r="A613" s="1">
        <v>8851531</v>
      </c>
      <c r="B613" s="1" t="s">
        <v>101</v>
      </c>
      <c r="C613" t="s">
        <v>1176</v>
      </c>
      <c r="E613" s="2">
        <v>9406000206121</v>
      </c>
      <c r="F613" s="1" t="s">
        <v>113</v>
      </c>
      <c r="G613" s="1" t="s">
        <v>53</v>
      </c>
      <c r="H613" s="1" t="s">
        <v>114</v>
      </c>
      <c r="I613" s="1" t="s">
        <v>115</v>
      </c>
      <c r="J613" s="1" t="s">
        <v>46</v>
      </c>
      <c r="K613" t="s">
        <v>116</v>
      </c>
      <c r="M613" s="1" t="s">
        <v>35</v>
      </c>
      <c r="N613" s="1">
        <v>42318949</v>
      </c>
      <c r="O613" s="1" t="s">
        <v>105</v>
      </c>
      <c r="P613" s="12">
        <v>44795.769618055558</v>
      </c>
      <c r="R613" s="1" t="s">
        <v>38</v>
      </c>
      <c r="T613" s="1" t="s">
        <v>74</v>
      </c>
      <c r="U613" s="12">
        <v>44796.75</v>
      </c>
      <c r="V613" s="1" t="s">
        <v>41</v>
      </c>
      <c r="W613" s="1" t="s">
        <v>49</v>
      </c>
      <c r="X613" s="13" t="str">
        <f t="shared" si="68"/>
        <v/>
      </c>
      <c r="Y613" s="2">
        <f t="shared" ca="1" si="63"/>
        <v>138</v>
      </c>
      <c r="Z613" s="14">
        <v>1</v>
      </c>
      <c r="AA613" s="1" t="str">
        <f t="shared" ca="1" si="64"/>
        <v>VENCIDO</v>
      </c>
      <c r="AB613" s="1" t="str">
        <f t="shared" si="65"/>
        <v>TAAe+</v>
      </c>
      <c r="AC613" s="2" t="str">
        <f t="shared" si="69"/>
        <v xml:space="preserve"> CLEITON </v>
      </c>
      <c r="AD613" s="2">
        <f t="shared" si="66"/>
        <v>8</v>
      </c>
      <c r="AE613" s="2">
        <f t="shared" ca="1" si="67"/>
        <v>-189.9262716435187</v>
      </c>
      <c r="AF613" s="15"/>
    </row>
    <row r="614" spans="1:32" hidden="1">
      <c r="A614" s="1">
        <v>8851530</v>
      </c>
      <c r="B614" s="1" t="s">
        <v>101</v>
      </c>
      <c r="C614" t="s">
        <v>1176</v>
      </c>
      <c r="E614" s="2">
        <v>9406000206121</v>
      </c>
      <c r="F614" s="1" t="s">
        <v>113</v>
      </c>
      <c r="G614" s="1" t="s">
        <v>53</v>
      </c>
      <c r="H614" s="1" t="s">
        <v>114</v>
      </c>
      <c r="I614" s="1" t="s">
        <v>115</v>
      </c>
      <c r="J614" s="1" t="s">
        <v>46</v>
      </c>
      <c r="K614" t="s">
        <v>116</v>
      </c>
      <c r="M614" s="1" t="s">
        <v>35</v>
      </c>
      <c r="N614" s="1">
        <v>42318949</v>
      </c>
      <c r="O614" s="1" t="s">
        <v>105</v>
      </c>
      <c r="P614" s="12">
        <v>44795.769606481481</v>
      </c>
      <c r="R614" s="1" t="s">
        <v>38</v>
      </c>
      <c r="T614" s="1" t="s">
        <v>74</v>
      </c>
      <c r="U614" s="12">
        <v>44796.75</v>
      </c>
      <c r="V614" s="1" t="s">
        <v>41</v>
      </c>
      <c r="W614" s="1" t="s">
        <v>49</v>
      </c>
      <c r="X614" s="13" t="str">
        <f t="shared" si="68"/>
        <v/>
      </c>
      <c r="Y614" s="2">
        <f t="shared" ca="1" si="63"/>
        <v>138</v>
      </c>
      <c r="Z614" s="14">
        <v>1</v>
      </c>
      <c r="AA614" s="1" t="str">
        <f t="shared" ca="1" si="64"/>
        <v>VENCIDO</v>
      </c>
      <c r="AB614" s="1" t="str">
        <f t="shared" si="65"/>
        <v>TAAe+</v>
      </c>
      <c r="AC614" s="2" t="str">
        <f t="shared" si="69"/>
        <v xml:space="preserve"> CLEITON </v>
      </c>
      <c r="AD614" s="2">
        <f t="shared" si="66"/>
        <v>8</v>
      </c>
      <c r="AE614" s="2">
        <f t="shared" ca="1" si="67"/>
        <v>-189.9262716435187</v>
      </c>
      <c r="AF614" s="15"/>
    </row>
    <row r="615" spans="1:32" hidden="1">
      <c r="A615" s="1">
        <v>8851529</v>
      </c>
      <c r="B615" s="1" t="s">
        <v>101</v>
      </c>
      <c r="C615" t="s">
        <v>1176</v>
      </c>
      <c r="E615" s="2">
        <v>9406000206121</v>
      </c>
      <c r="F615" s="1" t="s">
        <v>113</v>
      </c>
      <c r="G615" s="1" t="s">
        <v>53</v>
      </c>
      <c r="H615" s="1" t="s">
        <v>114</v>
      </c>
      <c r="I615" s="1" t="s">
        <v>115</v>
      </c>
      <c r="J615" s="1" t="s">
        <v>46</v>
      </c>
      <c r="K615" t="s">
        <v>116</v>
      </c>
      <c r="M615" s="1" t="s">
        <v>35</v>
      </c>
      <c r="N615" s="1">
        <v>42318949</v>
      </c>
      <c r="O615" s="1" t="s">
        <v>105</v>
      </c>
      <c r="P615" s="12">
        <v>44795.769606481481</v>
      </c>
      <c r="R615" s="1" t="s">
        <v>38</v>
      </c>
      <c r="T615" s="1" t="s">
        <v>74</v>
      </c>
      <c r="U615" s="12">
        <v>44796.75</v>
      </c>
      <c r="V615" s="1" t="s">
        <v>41</v>
      </c>
      <c r="W615" s="1" t="s">
        <v>49</v>
      </c>
      <c r="X615" s="13" t="str">
        <f t="shared" si="68"/>
        <v/>
      </c>
      <c r="Y615" s="2">
        <f t="shared" ca="1" si="63"/>
        <v>138</v>
      </c>
      <c r="Z615" s="14">
        <v>1</v>
      </c>
      <c r="AA615" s="1" t="str">
        <f t="shared" ca="1" si="64"/>
        <v>VENCIDO</v>
      </c>
      <c r="AB615" s="1" t="str">
        <f t="shared" si="65"/>
        <v>TAAe+</v>
      </c>
      <c r="AC615" s="2" t="str">
        <f t="shared" si="69"/>
        <v xml:space="preserve"> CLEITON </v>
      </c>
      <c r="AD615" s="2">
        <f t="shared" si="66"/>
        <v>8</v>
      </c>
      <c r="AE615" s="2">
        <f t="shared" ca="1" si="67"/>
        <v>-189.9262716435187</v>
      </c>
      <c r="AF615" s="15"/>
    </row>
    <row r="616" spans="1:32" hidden="1">
      <c r="A616" s="1">
        <v>8851528</v>
      </c>
      <c r="B616" s="1" t="s">
        <v>101</v>
      </c>
      <c r="C616" t="s">
        <v>1176</v>
      </c>
      <c r="E616" s="2">
        <v>9406000206121</v>
      </c>
      <c r="F616" s="1" t="s">
        <v>113</v>
      </c>
      <c r="G616" s="1" t="s">
        <v>53</v>
      </c>
      <c r="H616" s="1" t="s">
        <v>114</v>
      </c>
      <c r="I616" s="1" t="s">
        <v>115</v>
      </c>
      <c r="J616" s="1" t="s">
        <v>46</v>
      </c>
      <c r="K616" t="s">
        <v>116</v>
      </c>
      <c r="M616" s="1" t="s">
        <v>35</v>
      </c>
      <c r="N616" s="1">
        <v>42318949</v>
      </c>
      <c r="O616" s="1" t="s">
        <v>105</v>
      </c>
      <c r="P616" s="12">
        <v>44795.769606481481</v>
      </c>
      <c r="R616" s="1" t="s">
        <v>38</v>
      </c>
      <c r="T616" s="1" t="s">
        <v>74</v>
      </c>
      <c r="U616" s="12">
        <v>44796.75</v>
      </c>
      <c r="V616" s="1" t="s">
        <v>41</v>
      </c>
      <c r="W616" s="1" t="s">
        <v>49</v>
      </c>
      <c r="X616" s="13" t="str">
        <f t="shared" si="68"/>
        <v/>
      </c>
      <c r="Y616" s="2">
        <f t="shared" ca="1" si="63"/>
        <v>138</v>
      </c>
      <c r="Z616" s="14">
        <v>1</v>
      </c>
      <c r="AA616" s="1" t="str">
        <f t="shared" ca="1" si="64"/>
        <v>VENCIDO</v>
      </c>
      <c r="AB616" s="1" t="str">
        <f t="shared" si="65"/>
        <v>TAAe+</v>
      </c>
      <c r="AC616" s="2" t="str">
        <f t="shared" si="69"/>
        <v xml:space="preserve"> CLEITON </v>
      </c>
      <c r="AD616" s="2">
        <f t="shared" si="66"/>
        <v>8</v>
      </c>
      <c r="AE616" s="2">
        <f t="shared" ca="1" si="67"/>
        <v>-189.9262716435187</v>
      </c>
      <c r="AF616" s="15"/>
    </row>
    <row r="617" spans="1:32" hidden="1">
      <c r="A617" s="1">
        <v>8854131</v>
      </c>
      <c r="B617" s="1" t="s">
        <v>62</v>
      </c>
      <c r="C617" t="s">
        <v>1181</v>
      </c>
      <c r="E617" s="2">
        <v>600000203000</v>
      </c>
      <c r="F617" s="1" t="s">
        <v>454</v>
      </c>
      <c r="G617" s="1" t="s">
        <v>53</v>
      </c>
      <c r="H617" s="1" t="s">
        <v>1084</v>
      </c>
      <c r="I617" s="1" t="s">
        <v>1085</v>
      </c>
      <c r="J617" s="1" t="s">
        <v>90</v>
      </c>
      <c r="K617" t="s">
        <v>457</v>
      </c>
      <c r="M617" s="1" t="s">
        <v>58</v>
      </c>
      <c r="N617" s="1">
        <v>0</v>
      </c>
      <c r="O617" s="1" t="s">
        <v>36</v>
      </c>
      <c r="P617" s="12">
        <v>44796.643958333334</v>
      </c>
      <c r="R617" s="1">
        <v>1</v>
      </c>
      <c r="T617" s="1" t="s">
        <v>157</v>
      </c>
      <c r="U617" s="12">
        <v>44831.75</v>
      </c>
      <c r="V617" s="1" t="s">
        <v>41</v>
      </c>
      <c r="W617" s="1" t="s">
        <v>49</v>
      </c>
      <c r="X617" s="13" t="str">
        <f t="shared" si="68"/>
        <v/>
      </c>
      <c r="Y617" s="2">
        <f t="shared" ca="1" si="63"/>
        <v>137</v>
      </c>
      <c r="Z617" s="14">
        <v>1</v>
      </c>
      <c r="AA617" s="1" t="str">
        <f t="shared" ca="1" si="64"/>
        <v>VENCIDO</v>
      </c>
      <c r="AB617" s="1" t="str">
        <f t="shared" si="65"/>
        <v>C-14</v>
      </c>
      <c r="AC617" s="2" t="str">
        <f t="shared" si="69"/>
        <v xml:space="preserve"> RINALDO </v>
      </c>
      <c r="AD617" s="2">
        <f t="shared" si="66"/>
        <v>5</v>
      </c>
      <c r="AE617" s="2">
        <f t="shared" ca="1" si="67"/>
        <v>-154.9262716435187</v>
      </c>
      <c r="AF617" s="15"/>
    </row>
    <row r="618" spans="1:32" hidden="1">
      <c r="A618" s="1">
        <v>8861317</v>
      </c>
      <c r="B618" s="1" t="s">
        <v>62</v>
      </c>
      <c r="C618" t="s">
        <v>3027</v>
      </c>
      <c r="E618" s="2">
        <v>2170000206001</v>
      </c>
      <c r="F618" s="1" t="s">
        <v>29</v>
      </c>
      <c r="G618" s="1" t="s">
        <v>53</v>
      </c>
      <c r="H618" s="1" t="s">
        <v>477</v>
      </c>
      <c r="I618" s="1" t="s">
        <v>478</v>
      </c>
      <c r="J618" s="1" t="s">
        <v>148</v>
      </c>
      <c r="K618" t="s">
        <v>34</v>
      </c>
      <c r="M618" s="1" t="s">
        <v>35</v>
      </c>
      <c r="N618" s="1">
        <v>42318949</v>
      </c>
      <c r="O618" s="1" t="s">
        <v>36</v>
      </c>
      <c r="P618" s="12">
        <v>44799.364745370367</v>
      </c>
      <c r="R618" s="1" t="s">
        <v>38</v>
      </c>
      <c r="T618" s="1" t="s">
        <v>74</v>
      </c>
      <c r="U618" s="12">
        <v>44841.75</v>
      </c>
      <c r="V618" s="1" t="s">
        <v>41</v>
      </c>
      <c r="W618" s="1" t="s">
        <v>49</v>
      </c>
      <c r="X618" s="13" t="str">
        <f t="shared" si="68"/>
        <v/>
      </c>
      <c r="Y618" s="2">
        <f t="shared" ca="1" si="63"/>
        <v>134</v>
      </c>
      <c r="Z618" s="14">
        <v>1</v>
      </c>
      <c r="AA618" s="1" t="str">
        <f t="shared" ca="1" si="64"/>
        <v>VENCIDO</v>
      </c>
      <c r="AB618" s="1" t="str">
        <f t="shared" si="65"/>
        <v>Dosa</v>
      </c>
      <c r="AC618" s="2" t="str">
        <f t="shared" si="69"/>
        <v xml:space="preserve"> RINALDO </v>
      </c>
      <c r="AD618" s="2">
        <f t="shared" si="66"/>
        <v>5</v>
      </c>
      <c r="AE618" s="2">
        <f t="shared" ca="1" si="67"/>
        <v>-144.9262716435187</v>
      </c>
      <c r="AF618" s="15"/>
    </row>
    <row r="619" spans="1:32" hidden="1">
      <c r="A619" s="1">
        <v>8870241</v>
      </c>
      <c r="B619" s="1" t="s">
        <v>62</v>
      </c>
      <c r="C619" t="s">
        <v>3028</v>
      </c>
      <c r="E619" s="2">
        <v>2830000203000</v>
      </c>
      <c r="F619" s="1" t="s">
        <v>454</v>
      </c>
      <c r="G619" s="1" t="s">
        <v>53</v>
      </c>
      <c r="H619" s="1" t="s">
        <v>448</v>
      </c>
      <c r="I619" s="1" t="s">
        <v>449</v>
      </c>
      <c r="J619" s="1" t="s">
        <v>33</v>
      </c>
      <c r="K619" t="s">
        <v>457</v>
      </c>
      <c r="M619" s="1" t="s">
        <v>58</v>
      </c>
      <c r="N619" s="1">
        <v>0</v>
      </c>
      <c r="O619" s="1" t="s">
        <v>36</v>
      </c>
      <c r="P619" s="12">
        <v>44803.491261574076</v>
      </c>
      <c r="R619" s="1">
        <v>1</v>
      </c>
      <c r="T619" s="1" t="s">
        <v>157</v>
      </c>
      <c r="U619" s="12">
        <v>44838.75</v>
      </c>
      <c r="V619" s="1" t="s">
        <v>41</v>
      </c>
      <c r="W619" s="1" t="s">
        <v>42</v>
      </c>
      <c r="X619" s="13" t="str">
        <f t="shared" si="68"/>
        <v/>
      </c>
      <c r="Y619" s="2">
        <f t="shared" ca="1" si="63"/>
        <v>132</v>
      </c>
      <c r="Z619" s="14">
        <v>1</v>
      </c>
      <c r="AA619" s="1" t="str">
        <f t="shared" ca="1" si="64"/>
        <v>VENCIDO</v>
      </c>
      <c r="AB619" s="1" t="str">
        <f t="shared" si="65"/>
        <v>C-14</v>
      </c>
      <c r="AC619" s="2" t="str">
        <f t="shared" si="69"/>
        <v xml:space="preserve"> ROSEMERE </v>
      </c>
      <c r="AD619" s="2">
        <f t="shared" si="66"/>
        <v>5</v>
      </c>
      <c r="AE619" s="2">
        <f t="shared" ca="1" si="67"/>
        <v>-147.9262716435187</v>
      </c>
      <c r="AF619" s="15"/>
    </row>
    <row r="620" spans="1:32" hidden="1">
      <c r="A620" s="1">
        <v>8873349</v>
      </c>
      <c r="B620" s="1" t="s">
        <v>62</v>
      </c>
      <c r="C620" t="s">
        <v>1186</v>
      </c>
      <c r="E620" s="2">
        <v>1902016236500</v>
      </c>
      <c r="F620" s="1" t="s">
        <v>64</v>
      </c>
      <c r="G620" s="1" t="s">
        <v>53</v>
      </c>
      <c r="H620" s="1" t="s">
        <v>159</v>
      </c>
      <c r="I620" s="1" t="s">
        <v>160</v>
      </c>
      <c r="J620" s="1" t="s">
        <v>46</v>
      </c>
      <c r="K620" t="s">
        <v>67</v>
      </c>
      <c r="M620" s="1" t="s">
        <v>35</v>
      </c>
      <c r="N620" s="1">
        <v>42318949</v>
      </c>
      <c r="O620" s="1" t="s">
        <v>36</v>
      </c>
      <c r="P620" s="12">
        <v>44804.567094907405</v>
      </c>
      <c r="R620" s="1">
        <v>1</v>
      </c>
      <c r="T620" s="1" t="s">
        <v>69</v>
      </c>
      <c r="U620" s="12">
        <v>44805.567094907405</v>
      </c>
      <c r="V620" s="1" t="s">
        <v>41</v>
      </c>
      <c r="W620" s="1" t="s">
        <v>49</v>
      </c>
      <c r="X620" s="13" t="str">
        <f t="shared" si="68"/>
        <v/>
      </c>
      <c r="Y620" s="2">
        <f t="shared" ca="1" si="63"/>
        <v>131</v>
      </c>
      <c r="Z620" s="14">
        <v>1</v>
      </c>
      <c r="AA620" s="1" t="str">
        <f t="shared" ca="1" si="64"/>
        <v>VENCIDO</v>
      </c>
      <c r="AB620" s="1" t="str">
        <f t="shared" si="65"/>
        <v>TAAe+</v>
      </c>
      <c r="AC620" s="2" t="str">
        <f t="shared" si="69"/>
        <v xml:space="preserve"> CLEITON </v>
      </c>
      <c r="AD620" s="2">
        <f t="shared" si="66"/>
        <v>8</v>
      </c>
      <c r="AE620" s="2">
        <f t="shared" ca="1" si="67"/>
        <v>-181.10917673611402</v>
      </c>
      <c r="AF620" s="15"/>
    </row>
    <row r="621" spans="1:32" hidden="1">
      <c r="A621" s="1">
        <v>8873348</v>
      </c>
      <c r="B621" s="1" t="s">
        <v>62</v>
      </c>
      <c r="C621" t="s">
        <v>1186</v>
      </c>
      <c r="E621" s="2">
        <v>1902016232600</v>
      </c>
      <c r="F621" s="1" t="s">
        <v>64</v>
      </c>
      <c r="G621" s="1" t="s">
        <v>53</v>
      </c>
      <c r="H621" s="1" t="s">
        <v>191</v>
      </c>
      <c r="I621" s="1" t="s">
        <v>192</v>
      </c>
      <c r="J621" s="1" t="s">
        <v>46</v>
      </c>
      <c r="K621" t="s">
        <v>67</v>
      </c>
      <c r="M621" s="1" t="s">
        <v>35</v>
      </c>
      <c r="N621" s="1">
        <v>42318949</v>
      </c>
      <c r="O621" s="1" t="s">
        <v>36</v>
      </c>
      <c r="P621" s="12">
        <v>44804.567094907405</v>
      </c>
      <c r="R621" s="1">
        <v>1</v>
      </c>
      <c r="T621" s="1" t="s">
        <v>69</v>
      </c>
      <c r="U621" s="12">
        <v>44805.567094907405</v>
      </c>
      <c r="V621" s="1" t="s">
        <v>41</v>
      </c>
      <c r="W621" s="1" t="s">
        <v>49</v>
      </c>
      <c r="X621" s="13" t="str">
        <f t="shared" si="68"/>
        <v/>
      </c>
      <c r="Y621" s="2">
        <f t="shared" ca="1" si="63"/>
        <v>131</v>
      </c>
      <c r="Z621" s="14">
        <v>1</v>
      </c>
      <c r="AA621" s="1" t="str">
        <f t="shared" ca="1" si="64"/>
        <v>VENCIDO</v>
      </c>
      <c r="AB621" s="1" t="str">
        <f t="shared" si="65"/>
        <v>TAAe+</v>
      </c>
      <c r="AC621" s="2" t="str">
        <f t="shared" si="69"/>
        <v xml:space="preserve"> CLEITON </v>
      </c>
      <c r="AD621" s="2">
        <f t="shared" si="66"/>
        <v>8</v>
      </c>
      <c r="AE621" s="2">
        <f t="shared" ca="1" si="67"/>
        <v>-181.10917673611402</v>
      </c>
      <c r="AF621" s="15"/>
    </row>
    <row r="622" spans="1:32" hidden="1">
      <c r="A622" s="1">
        <v>8873343</v>
      </c>
      <c r="B622" s="1" t="s">
        <v>62</v>
      </c>
      <c r="C622" t="s">
        <v>1186</v>
      </c>
      <c r="E622" s="2">
        <v>1902016136200</v>
      </c>
      <c r="F622" s="1" t="s">
        <v>64</v>
      </c>
      <c r="G622" s="1" t="s">
        <v>53</v>
      </c>
      <c r="H622" s="1" t="s">
        <v>268</v>
      </c>
      <c r="I622" s="1" t="s">
        <v>269</v>
      </c>
      <c r="J622" s="1" t="s">
        <v>90</v>
      </c>
      <c r="K622" t="s">
        <v>67</v>
      </c>
      <c r="M622" s="1" t="s">
        <v>35</v>
      </c>
      <c r="N622" s="1">
        <v>42318949</v>
      </c>
      <c r="O622" s="1" t="s">
        <v>36</v>
      </c>
      <c r="P622" s="12">
        <v>44804.567083333335</v>
      </c>
      <c r="R622" s="1">
        <v>1</v>
      </c>
      <c r="T622" s="1" t="s">
        <v>69</v>
      </c>
      <c r="U622" s="12">
        <v>44805.567083333335</v>
      </c>
      <c r="V622" s="1" t="s">
        <v>41</v>
      </c>
      <c r="W622" s="1" t="s">
        <v>49</v>
      </c>
      <c r="X622" s="13" t="str">
        <f t="shared" si="68"/>
        <v/>
      </c>
      <c r="Y622" s="2">
        <f t="shared" ca="1" si="63"/>
        <v>131</v>
      </c>
      <c r="Z622" s="14">
        <v>1</v>
      </c>
      <c r="AA622" s="1" t="str">
        <f t="shared" ca="1" si="64"/>
        <v>VENCIDO</v>
      </c>
      <c r="AB622" s="1" t="str">
        <f t="shared" si="65"/>
        <v>TAAe+</v>
      </c>
      <c r="AC622" s="2" t="str">
        <f t="shared" si="69"/>
        <v xml:space="preserve"> RINALDO </v>
      </c>
      <c r="AD622" s="2">
        <f t="shared" si="66"/>
        <v>8</v>
      </c>
      <c r="AE622" s="2">
        <f t="shared" ca="1" si="67"/>
        <v>-181.10918831018353</v>
      </c>
      <c r="AF622" s="15"/>
    </row>
    <row r="623" spans="1:32" hidden="1">
      <c r="A623" s="1">
        <v>8873342</v>
      </c>
      <c r="B623" s="1" t="s">
        <v>62</v>
      </c>
      <c r="C623" t="s">
        <v>1186</v>
      </c>
      <c r="E623" s="2">
        <v>1902016112800</v>
      </c>
      <c r="F623" s="1" t="s">
        <v>64</v>
      </c>
      <c r="G623" s="1" t="s">
        <v>53</v>
      </c>
      <c r="H623" s="1" t="s">
        <v>1191</v>
      </c>
      <c r="I623" s="1" t="s">
        <v>1192</v>
      </c>
      <c r="J623" s="1" t="s">
        <v>33</v>
      </c>
      <c r="K623" t="s">
        <v>67</v>
      </c>
      <c r="M623" s="1" t="s">
        <v>35</v>
      </c>
      <c r="N623" s="1">
        <v>42318949</v>
      </c>
      <c r="O623" s="1" t="s">
        <v>36</v>
      </c>
      <c r="P623" s="12">
        <v>44804.567083333335</v>
      </c>
      <c r="R623" s="1">
        <v>1</v>
      </c>
      <c r="T623" s="1" t="s">
        <v>69</v>
      </c>
      <c r="U623" s="12">
        <v>44805.567083333335</v>
      </c>
      <c r="V623" s="1" t="s">
        <v>41</v>
      </c>
      <c r="W623" s="1" t="s">
        <v>49</v>
      </c>
      <c r="X623" s="13" t="str">
        <f t="shared" si="68"/>
        <v/>
      </c>
      <c r="Y623" s="2">
        <f t="shared" ca="1" si="63"/>
        <v>131</v>
      </c>
      <c r="Z623" s="14">
        <v>1</v>
      </c>
      <c r="AA623" s="1" t="str">
        <f t="shared" ca="1" si="64"/>
        <v>VENCIDO</v>
      </c>
      <c r="AB623" s="1" t="str">
        <f t="shared" si="65"/>
        <v>TAAe+</v>
      </c>
      <c r="AC623" s="2" t="str">
        <f t="shared" si="69"/>
        <v xml:space="preserve"> ROSEMERE </v>
      </c>
      <c r="AD623" s="2">
        <f t="shared" si="66"/>
        <v>8</v>
      </c>
      <c r="AE623" s="2">
        <f t="shared" ca="1" si="67"/>
        <v>-181.10918831018353</v>
      </c>
      <c r="AF623" s="15"/>
    </row>
    <row r="624" spans="1:32" hidden="1">
      <c r="A624" s="1">
        <v>8873335</v>
      </c>
      <c r="B624" s="1" t="s">
        <v>62</v>
      </c>
      <c r="C624" t="s">
        <v>1186</v>
      </c>
      <c r="E624" s="2">
        <v>1902016024600</v>
      </c>
      <c r="F624" s="1" t="s">
        <v>64</v>
      </c>
      <c r="G624" s="1" t="s">
        <v>53</v>
      </c>
      <c r="H624" s="1" t="s">
        <v>1193</v>
      </c>
      <c r="I624" s="1" t="s">
        <v>1194</v>
      </c>
      <c r="J624" s="1" t="s">
        <v>85</v>
      </c>
      <c r="K624" t="s">
        <v>67</v>
      </c>
      <c r="M624" s="1" t="s">
        <v>35</v>
      </c>
      <c r="N624" s="1">
        <v>42318949</v>
      </c>
      <c r="O624" s="1" t="s">
        <v>36</v>
      </c>
      <c r="P624" s="12">
        <v>44804.567071759258</v>
      </c>
      <c r="R624" s="1">
        <v>1</v>
      </c>
      <c r="T624" s="1" t="s">
        <v>69</v>
      </c>
      <c r="U624" s="12">
        <v>44805.567071759258</v>
      </c>
      <c r="V624" s="1" t="s">
        <v>41</v>
      </c>
      <c r="W624" s="1" t="s">
        <v>49</v>
      </c>
      <c r="X624" s="13" t="str">
        <f t="shared" si="68"/>
        <v/>
      </c>
      <c r="Y624" s="2">
        <f t="shared" ca="1" si="63"/>
        <v>131</v>
      </c>
      <c r="Z624" s="14">
        <v>1</v>
      </c>
      <c r="AA624" s="1" t="str">
        <f t="shared" ca="1" si="64"/>
        <v>VENCIDO</v>
      </c>
      <c r="AB624" s="1" t="str">
        <f t="shared" si="65"/>
        <v>TAAe+</v>
      </c>
      <c r="AC624" s="2" t="str">
        <f t="shared" si="69"/>
        <v xml:space="preserve"> RINALDO </v>
      </c>
      <c r="AD624" s="2">
        <f t="shared" si="66"/>
        <v>8</v>
      </c>
      <c r="AE624" s="2">
        <f t="shared" ca="1" si="67"/>
        <v>-181.10919988426031</v>
      </c>
      <c r="AF624" s="15"/>
    </row>
    <row r="625" spans="1:32" hidden="1">
      <c r="A625" s="1">
        <v>8879008</v>
      </c>
      <c r="B625" s="1" t="s">
        <v>62</v>
      </c>
      <c r="C625" t="s">
        <v>1195</v>
      </c>
      <c r="E625" s="2">
        <v>2365000203000</v>
      </c>
      <c r="F625" s="1" t="s">
        <v>454</v>
      </c>
      <c r="G625" s="1" t="s">
        <v>53</v>
      </c>
      <c r="H625" s="1" t="s">
        <v>159</v>
      </c>
      <c r="I625" s="1" t="s">
        <v>160</v>
      </c>
      <c r="J625" s="1" t="s">
        <v>46</v>
      </c>
      <c r="K625" t="s">
        <v>457</v>
      </c>
      <c r="M625" s="1" t="s">
        <v>58</v>
      </c>
      <c r="N625" s="1">
        <v>0</v>
      </c>
      <c r="O625" s="1" t="s">
        <v>36</v>
      </c>
      <c r="P625" s="12">
        <v>44806.652106481481</v>
      </c>
      <c r="R625" s="1">
        <v>1</v>
      </c>
      <c r="T625" s="1" t="s">
        <v>157</v>
      </c>
      <c r="U625" s="12">
        <v>44841.75</v>
      </c>
      <c r="V625" s="1" t="s">
        <v>41</v>
      </c>
      <c r="W625" s="1" t="s">
        <v>49</v>
      </c>
      <c r="X625" s="13" t="str">
        <f t="shared" si="68"/>
        <v/>
      </c>
      <c r="Y625" s="2">
        <f t="shared" ca="1" si="63"/>
        <v>129</v>
      </c>
      <c r="Z625" s="14">
        <v>1</v>
      </c>
      <c r="AA625" s="1" t="str">
        <f t="shared" ca="1" si="64"/>
        <v>VENCIDO</v>
      </c>
      <c r="AB625" s="1" t="str">
        <f t="shared" si="65"/>
        <v>C-14</v>
      </c>
      <c r="AC625" s="2" t="str">
        <f t="shared" si="69"/>
        <v xml:space="preserve"> CLEITON </v>
      </c>
      <c r="AD625" s="2">
        <f t="shared" si="66"/>
        <v>5</v>
      </c>
      <c r="AE625" s="2">
        <f t="shared" ca="1" si="67"/>
        <v>-144.9262716435187</v>
      </c>
      <c r="AF625" s="15"/>
    </row>
    <row r="626" spans="1:32" hidden="1">
      <c r="A626" s="1">
        <v>8878112</v>
      </c>
      <c r="B626" s="1" t="s">
        <v>62</v>
      </c>
      <c r="C626" t="s">
        <v>1198</v>
      </c>
      <c r="E626" s="2">
        <v>3108000203000</v>
      </c>
      <c r="F626" s="1" t="s">
        <v>454</v>
      </c>
      <c r="G626" s="1" t="s">
        <v>53</v>
      </c>
      <c r="H626" s="1" t="s">
        <v>325</v>
      </c>
      <c r="I626" s="1" t="s">
        <v>326</v>
      </c>
      <c r="J626" s="1" t="s">
        <v>46</v>
      </c>
      <c r="K626" t="s">
        <v>457</v>
      </c>
      <c r="M626" s="1" t="s">
        <v>58</v>
      </c>
      <c r="N626" s="1">
        <v>0</v>
      </c>
      <c r="O626" s="1" t="s">
        <v>36</v>
      </c>
      <c r="P626" s="12">
        <v>44806.460034722222</v>
      </c>
      <c r="R626" s="1">
        <v>1</v>
      </c>
      <c r="T626" s="1" t="s">
        <v>157</v>
      </c>
      <c r="U626" s="12">
        <v>44841.75</v>
      </c>
      <c r="V626" s="1" t="s">
        <v>41</v>
      </c>
      <c r="W626" s="1" t="s">
        <v>49</v>
      </c>
      <c r="X626" s="13" t="str">
        <f t="shared" si="68"/>
        <v/>
      </c>
      <c r="Y626" s="2">
        <f t="shared" ca="1" si="63"/>
        <v>129</v>
      </c>
      <c r="Z626" s="14">
        <v>1</v>
      </c>
      <c r="AA626" s="1" t="str">
        <f t="shared" ca="1" si="64"/>
        <v>VENCIDO</v>
      </c>
      <c r="AB626" s="1" t="str">
        <f t="shared" si="65"/>
        <v>C-14</v>
      </c>
      <c r="AC626" s="2" t="str">
        <f t="shared" si="69"/>
        <v xml:space="preserve"> CLEITON </v>
      </c>
      <c r="AD626" s="2">
        <f t="shared" si="66"/>
        <v>5</v>
      </c>
      <c r="AE626" s="2">
        <f t="shared" ca="1" si="67"/>
        <v>-144.9262716435187</v>
      </c>
      <c r="AF626" s="15"/>
    </row>
    <row r="627" spans="1:32" hidden="1">
      <c r="A627" s="1">
        <v>8894073</v>
      </c>
      <c r="B627" s="1" t="s">
        <v>62</v>
      </c>
      <c r="C627" t="s">
        <v>1200</v>
      </c>
      <c r="E627" s="2">
        <v>870000206001</v>
      </c>
      <c r="F627" s="1" t="s">
        <v>29</v>
      </c>
      <c r="G627" s="1" t="s">
        <v>53</v>
      </c>
      <c r="H627" s="1" t="s">
        <v>183</v>
      </c>
      <c r="I627" s="1" t="s">
        <v>184</v>
      </c>
      <c r="J627" s="1" t="s">
        <v>90</v>
      </c>
      <c r="K627" t="s">
        <v>34</v>
      </c>
      <c r="M627" s="1" t="s">
        <v>35</v>
      </c>
      <c r="N627" s="1">
        <v>42318949</v>
      </c>
      <c r="O627" s="1" t="s">
        <v>36</v>
      </c>
      <c r="P627" s="12">
        <v>44813.574618055558</v>
      </c>
      <c r="R627" s="1" t="s">
        <v>38</v>
      </c>
      <c r="T627" s="1" t="s">
        <v>74</v>
      </c>
      <c r="U627" s="12">
        <v>44855.75</v>
      </c>
      <c r="V627" s="1" t="s">
        <v>41</v>
      </c>
      <c r="W627" s="1" t="s">
        <v>49</v>
      </c>
      <c r="X627" s="13" t="str">
        <f t="shared" si="68"/>
        <v/>
      </c>
      <c r="Y627" s="2">
        <f t="shared" ca="1" si="63"/>
        <v>124</v>
      </c>
      <c r="Z627" s="14">
        <v>1</v>
      </c>
      <c r="AA627" s="1" t="str">
        <f t="shared" ca="1" si="64"/>
        <v>VENCIDO</v>
      </c>
      <c r="AB627" s="1" t="str">
        <f t="shared" si="65"/>
        <v>Dosa</v>
      </c>
      <c r="AC627" s="2" t="str">
        <f t="shared" si="69"/>
        <v xml:space="preserve"> RINALDO </v>
      </c>
      <c r="AD627" s="2">
        <f t="shared" si="66"/>
        <v>5</v>
      </c>
      <c r="AE627" s="2">
        <f t="shared" ca="1" si="67"/>
        <v>-130.9262716435187</v>
      </c>
      <c r="AF627" s="15"/>
    </row>
    <row r="628" spans="1:32" hidden="1">
      <c r="A628" s="1">
        <v>8894047</v>
      </c>
      <c r="B628" s="1" t="s">
        <v>62</v>
      </c>
      <c r="C628" t="s">
        <v>1203</v>
      </c>
      <c r="E628" s="2">
        <v>1011000206001</v>
      </c>
      <c r="F628" s="1" t="s">
        <v>29</v>
      </c>
      <c r="G628" s="1" t="s">
        <v>53</v>
      </c>
      <c r="H628" s="1" t="s">
        <v>272</v>
      </c>
      <c r="I628" s="1" t="s">
        <v>273</v>
      </c>
      <c r="J628" s="1" t="s">
        <v>33</v>
      </c>
      <c r="K628" t="s">
        <v>34</v>
      </c>
      <c r="M628" s="1" t="s">
        <v>35</v>
      </c>
      <c r="N628" s="1">
        <v>42318949</v>
      </c>
      <c r="O628" s="1" t="s">
        <v>36</v>
      </c>
      <c r="P628" s="12">
        <v>44813.573217592595</v>
      </c>
      <c r="R628" s="1" t="s">
        <v>38</v>
      </c>
      <c r="T628" s="1" t="s">
        <v>74</v>
      </c>
      <c r="U628" s="12">
        <v>44855.75</v>
      </c>
      <c r="V628" s="1" t="s">
        <v>41</v>
      </c>
      <c r="W628" s="1" t="s">
        <v>49</v>
      </c>
      <c r="X628" s="13" t="str">
        <f t="shared" si="68"/>
        <v/>
      </c>
      <c r="Y628" s="2">
        <f t="shared" ca="1" si="63"/>
        <v>124</v>
      </c>
      <c r="Z628" s="14">
        <v>1</v>
      </c>
      <c r="AA628" s="1" t="str">
        <f t="shared" ca="1" si="64"/>
        <v>VENCIDO</v>
      </c>
      <c r="AB628" s="1" t="str">
        <f t="shared" si="65"/>
        <v>Dosa</v>
      </c>
      <c r="AC628" s="2" t="str">
        <f t="shared" si="69"/>
        <v xml:space="preserve"> ROSEMERE </v>
      </c>
      <c r="AD628" s="2">
        <f t="shared" si="66"/>
        <v>5</v>
      </c>
      <c r="AE628" s="2">
        <f t="shared" ca="1" si="67"/>
        <v>-130.9262716435187</v>
      </c>
      <c r="AF628" s="15"/>
    </row>
    <row r="629" spans="1:32" hidden="1">
      <c r="A629" s="1">
        <v>8898899</v>
      </c>
      <c r="B629" s="1" t="s">
        <v>226</v>
      </c>
      <c r="C629" t="s">
        <v>1205</v>
      </c>
      <c r="E629" s="2">
        <v>69000206001</v>
      </c>
      <c r="F629" s="1" t="s">
        <v>29</v>
      </c>
      <c r="G629" s="1" t="s">
        <v>53</v>
      </c>
      <c r="H629" s="1" t="s">
        <v>1206</v>
      </c>
      <c r="I629" s="1" t="s">
        <v>1207</v>
      </c>
      <c r="J629" s="1" t="s">
        <v>33</v>
      </c>
      <c r="K629" t="s">
        <v>34</v>
      </c>
      <c r="M629" s="1" t="s">
        <v>35</v>
      </c>
      <c r="N629" s="1">
        <v>42318949</v>
      </c>
      <c r="O629" s="1" t="s">
        <v>105</v>
      </c>
      <c r="P629" s="12">
        <v>44816.473333333335</v>
      </c>
      <c r="R629" s="1" t="s">
        <v>38</v>
      </c>
      <c r="T629" s="1" t="s">
        <v>74</v>
      </c>
      <c r="U629" s="12">
        <v>44858.75</v>
      </c>
      <c r="V629" s="1" t="s">
        <v>41</v>
      </c>
      <c r="W629" s="1" t="s">
        <v>42</v>
      </c>
      <c r="X629" s="13" t="str">
        <f t="shared" si="68"/>
        <v/>
      </c>
      <c r="Y629" s="2">
        <f t="shared" ca="1" si="63"/>
        <v>123</v>
      </c>
      <c r="Z629" s="14">
        <v>1</v>
      </c>
      <c r="AA629" s="1" t="str">
        <f t="shared" ca="1" si="64"/>
        <v>VENCIDO</v>
      </c>
      <c r="AB629" s="1" t="str">
        <f t="shared" si="65"/>
        <v>Dosa</v>
      </c>
      <c r="AC629" s="2" t="str">
        <f t="shared" si="69"/>
        <v xml:space="preserve"> ROSEMERE </v>
      </c>
      <c r="AD629" s="2">
        <f t="shared" si="66"/>
        <v>5</v>
      </c>
      <c r="AE629" s="2">
        <f t="shared" ca="1" si="67"/>
        <v>-127.9262716435187</v>
      </c>
      <c r="AF629" s="15"/>
    </row>
    <row r="630" spans="1:32" hidden="1">
      <c r="A630" s="1">
        <v>8903976</v>
      </c>
      <c r="B630" s="1" t="s">
        <v>81</v>
      </c>
      <c r="C630" t="s">
        <v>1210</v>
      </c>
      <c r="E630" s="2">
        <v>7419141891975</v>
      </c>
      <c r="F630" s="1" t="s">
        <v>128</v>
      </c>
      <c r="G630" s="1" t="s">
        <v>53</v>
      </c>
      <c r="H630" s="1" t="s">
        <v>519</v>
      </c>
      <c r="I630" s="1" t="s">
        <v>520</v>
      </c>
      <c r="J630" s="1" t="s">
        <v>90</v>
      </c>
      <c r="K630" t="s">
        <v>129</v>
      </c>
      <c r="M630" s="1" t="s">
        <v>58</v>
      </c>
      <c r="N630" s="1">
        <v>0</v>
      </c>
      <c r="O630" s="1" t="s">
        <v>105</v>
      </c>
      <c r="P630" s="12">
        <v>44817.729791666665</v>
      </c>
      <c r="R630" s="1">
        <v>14</v>
      </c>
      <c r="T630" s="1" t="s">
        <v>238</v>
      </c>
      <c r="U630" s="12">
        <v>44818.730555555558</v>
      </c>
      <c r="V630" s="1" t="s">
        <v>41</v>
      </c>
      <c r="W630" s="1" t="s">
        <v>49</v>
      </c>
      <c r="X630" s="13" t="str">
        <f t="shared" si="68"/>
        <v>0870.91</v>
      </c>
      <c r="Y630" s="2">
        <f t="shared" ca="1" si="63"/>
        <v>122</v>
      </c>
      <c r="Z630" s="14">
        <v>1</v>
      </c>
      <c r="AA630" s="1" t="str">
        <f t="shared" ca="1" si="64"/>
        <v>VENCIDO</v>
      </c>
      <c r="AB630" s="1" t="str">
        <f t="shared" si="65"/>
        <v>TAAe+</v>
      </c>
      <c r="AC630" s="2" t="str">
        <f t="shared" si="69"/>
        <v xml:space="preserve"> RINALDO </v>
      </c>
      <c r="AD630" s="2">
        <f t="shared" si="66"/>
        <v>8</v>
      </c>
      <c r="AE630" s="2">
        <f t="shared" ca="1" si="67"/>
        <v>-167.94571608796105</v>
      </c>
      <c r="AF630" s="15"/>
    </row>
    <row r="631" spans="1:32" hidden="1">
      <c r="A631" s="1">
        <v>8903971</v>
      </c>
      <c r="B631" s="1" t="s">
        <v>81</v>
      </c>
      <c r="C631" t="s">
        <v>1210</v>
      </c>
      <c r="E631" s="2">
        <v>7417202020515</v>
      </c>
      <c r="F631" s="1" t="s">
        <v>1213</v>
      </c>
      <c r="G631" s="1" t="s">
        <v>53</v>
      </c>
      <c r="H631" s="1" t="s">
        <v>519</v>
      </c>
      <c r="I631" s="1" t="s">
        <v>520</v>
      </c>
      <c r="J631" s="1" t="s">
        <v>90</v>
      </c>
      <c r="K631" t="s">
        <v>1214</v>
      </c>
      <c r="M631" s="1" t="s">
        <v>58</v>
      </c>
      <c r="N631" s="1">
        <v>0</v>
      </c>
      <c r="O631" s="1" t="s">
        <v>105</v>
      </c>
      <c r="P631" s="12">
        <v>44817.725960648146</v>
      </c>
      <c r="R631" s="1">
        <v>14</v>
      </c>
      <c r="T631" s="1" t="s">
        <v>238</v>
      </c>
      <c r="U631" s="12">
        <v>44818.727361111109</v>
      </c>
      <c r="V631" s="1" t="s">
        <v>41</v>
      </c>
      <c r="W631" s="1" t="s">
        <v>49</v>
      </c>
      <c r="X631" s="13" t="str">
        <f t="shared" si="68"/>
        <v>0870.91</v>
      </c>
      <c r="Y631" s="2">
        <f t="shared" ca="1" si="63"/>
        <v>122</v>
      </c>
      <c r="Z631" s="14">
        <v>1</v>
      </c>
      <c r="AA631" s="1" t="str">
        <f t="shared" ca="1" si="64"/>
        <v>VENCIDO</v>
      </c>
      <c r="AB631" s="1" t="str">
        <f t="shared" si="65"/>
        <v>TAAe+</v>
      </c>
      <c r="AC631" s="2" t="str">
        <f t="shared" si="69"/>
        <v xml:space="preserve"> RINALDO </v>
      </c>
      <c r="AD631" s="2">
        <f t="shared" si="66"/>
        <v>8</v>
      </c>
      <c r="AE631" s="2">
        <f t="shared" ca="1" si="67"/>
        <v>-167.94891053241008</v>
      </c>
      <c r="AF631" s="15"/>
    </row>
    <row r="632" spans="1:32" hidden="1">
      <c r="A632" s="1">
        <v>8903953</v>
      </c>
      <c r="B632" s="1" t="s">
        <v>81</v>
      </c>
      <c r="C632" t="s">
        <v>1210</v>
      </c>
      <c r="E632" s="2">
        <v>7417161483328</v>
      </c>
      <c r="F632" s="1" t="s">
        <v>1217</v>
      </c>
      <c r="G632" s="1" t="s">
        <v>53</v>
      </c>
      <c r="H632" s="1" t="s">
        <v>519</v>
      </c>
      <c r="I632" s="1" t="s">
        <v>520</v>
      </c>
      <c r="J632" s="1" t="s">
        <v>90</v>
      </c>
      <c r="K632" t="s">
        <v>1218</v>
      </c>
      <c r="M632" s="1" t="s">
        <v>58</v>
      </c>
      <c r="N632" s="1">
        <v>0</v>
      </c>
      <c r="O632" s="1" t="s">
        <v>105</v>
      </c>
      <c r="P632" s="12">
        <v>44817.722349537034</v>
      </c>
      <c r="R632" s="1">
        <v>14</v>
      </c>
      <c r="T632" s="1" t="s">
        <v>238</v>
      </c>
      <c r="U632" s="12">
        <v>44818.72315972222</v>
      </c>
      <c r="V632" s="1" t="s">
        <v>41</v>
      </c>
      <c r="W632" s="1" t="s">
        <v>49</v>
      </c>
      <c r="X632" s="13" t="str">
        <f t="shared" si="68"/>
        <v>0870.91</v>
      </c>
      <c r="Y632" s="2">
        <f t="shared" ca="1" si="63"/>
        <v>122</v>
      </c>
      <c r="Z632" s="14">
        <v>1</v>
      </c>
      <c r="AA632" s="1" t="str">
        <f t="shared" ca="1" si="64"/>
        <v>VENCIDO</v>
      </c>
      <c r="AB632" s="1" t="str">
        <f t="shared" si="65"/>
        <v>TAAe+</v>
      </c>
      <c r="AC632" s="2" t="str">
        <f t="shared" si="69"/>
        <v xml:space="preserve"> RINALDO </v>
      </c>
      <c r="AD632" s="2">
        <f t="shared" si="66"/>
        <v>8</v>
      </c>
      <c r="AE632" s="2">
        <f t="shared" ca="1" si="67"/>
        <v>-167.95311192129884</v>
      </c>
      <c r="AF632" s="15"/>
    </row>
    <row r="633" spans="1:32" hidden="1">
      <c r="A633" s="1">
        <v>8903941</v>
      </c>
      <c r="B633" s="1" t="s">
        <v>81</v>
      </c>
      <c r="C633" t="s">
        <v>1221</v>
      </c>
      <c r="E633" s="2">
        <v>7419143323230</v>
      </c>
      <c r="F633" s="1" t="s">
        <v>1222</v>
      </c>
      <c r="G633" s="1" t="s">
        <v>53</v>
      </c>
      <c r="H633" s="1" t="s">
        <v>519</v>
      </c>
      <c r="I633" s="1" t="s">
        <v>520</v>
      </c>
      <c r="J633" s="1" t="s">
        <v>90</v>
      </c>
      <c r="K633" t="s">
        <v>1223</v>
      </c>
      <c r="M633" s="1" t="s">
        <v>58</v>
      </c>
      <c r="N633" s="1">
        <v>0</v>
      </c>
      <c r="O633" s="1" t="s">
        <v>105</v>
      </c>
      <c r="P633" s="12">
        <v>44817.717372685183</v>
      </c>
      <c r="R633" s="1">
        <v>14</v>
      </c>
      <c r="T633" s="1" t="s">
        <v>238</v>
      </c>
      <c r="U633" s="12">
        <v>44818.718124999999</v>
      </c>
      <c r="V633" s="1" t="s">
        <v>41</v>
      </c>
      <c r="W633" s="1" t="s">
        <v>49</v>
      </c>
      <c r="X633" s="13" t="str">
        <f t="shared" si="68"/>
        <v>0870.91</v>
      </c>
      <c r="Y633" s="2">
        <f t="shared" ca="1" si="63"/>
        <v>122</v>
      </c>
      <c r="Z633" s="14">
        <v>1</v>
      </c>
      <c r="AA633" s="1" t="str">
        <f t="shared" ca="1" si="64"/>
        <v>VENCIDO</v>
      </c>
      <c r="AB633" s="1" t="str">
        <f t="shared" si="65"/>
        <v>TAAe+</v>
      </c>
      <c r="AC633" s="2" t="str">
        <f t="shared" si="69"/>
        <v xml:space="preserve"> RINALDO </v>
      </c>
      <c r="AD633" s="2">
        <f t="shared" si="66"/>
        <v>8</v>
      </c>
      <c r="AE633" s="2">
        <f t="shared" ca="1" si="67"/>
        <v>-167.95814664351929</v>
      </c>
      <c r="AF633" s="15"/>
    </row>
    <row r="634" spans="1:32" hidden="1">
      <c r="A634" s="1">
        <v>8907264</v>
      </c>
      <c r="B634" s="1" t="s">
        <v>62</v>
      </c>
      <c r="C634" t="s">
        <v>1226</v>
      </c>
      <c r="E634" s="2">
        <v>870000203000</v>
      </c>
      <c r="F634" s="1" t="s">
        <v>454</v>
      </c>
      <c r="G634" s="1" t="s">
        <v>53</v>
      </c>
      <c r="H634" s="1" t="s">
        <v>183</v>
      </c>
      <c r="I634" s="1" t="s">
        <v>184</v>
      </c>
      <c r="J634" s="1" t="s">
        <v>90</v>
      </c>
      <c r="K634" t="s">
        <v>457</v>
      </c>
      <c r="M634" s="1" t="s">
        <v>58</v>
      </c>
      <c r="N634" s="1">
        <v>0</v>
      </c>
      <c r="O634" s="1" t="s">
        <v>36</v>
      </c>
      <c r="P634" s="12">
        <v>44819.450868055559</v>
      </c>
      <c r="R634" s="1">
        <v>1</v>
      </c>
      <c r="T634" s="1" t="s">
        <v>157</v>
      </c>
      <c r="U634" s="12">
        <v>44854.75</v>
      </c>
      <c r="V634" s="1" t="s">
        <v>41</v>
      </c>
      <c r="W634" s="1" t="s">
        <v>49</v>
      </c>
      <c r="X634" s="13" t="str">
        <f t="shared" si="68"/>
        <v/>
      </c>
      <c r="Y634" s="2">
        <f t="shared" ca="1" si="63"/>
        <v>120</v>
      </c>
      <c r="Z634" s="14">
        <v>1</v>
      </c>
      <c r="AA634" s="1" t="str">
        <f t="shared" ca="1" si="64"/>
        <v>VENCIDO</v>
      </c>
      <c r="AB634" s="1" t="str">
        <f t="shared" si="65"/>
        <v>C-14</v>
      </c>
      <c r="AC634" s="2" t="str">
        <f t="shared" si="69"/>
        <v xml:space="preserve"> RINALDO </v>
      </c>
      <c r="AD634" s="2">
        <f t="shared" si="66"/>
        <v>5</v>
      </c>
      <c r="AE634" s="2">
        <f t="shared" ca="1" si="67"/>
        <v>-131.9262716435187</v>
      </c>
      <c r="AF634" s="15"/>
    </row>
    <row r="635" spans="1:32" hidden="1">
      <c r="A635" s="1">
        <v>8914733</v>
      </c>
      <c r="B635" s="1" t="s">
        <v>62</v>
      </c>
      <c r="C635" t="s">
        <v>1203</v>
      </c>
      <c r="E635" s="2">
        <v>1924000206001</v>
      </c>
      <c r="F635" s="1" t="s">
        <v>29</v>
      </c>
      <c r="G635" s="1" t="s">
        <v>53</v>
      </c>
      <c r="H635" s="1" t="s">
        <v>568</v>
      </c>
      <c r="I635" s="1" t="s">
        <v>569</v>
      </c>
      <c r="J635" s="1" t="s">
        <v>33</v>
      </c>
      <c r="K635" t="s">
        <v>34</v>
      </c>
      <c r="M635" s="1" t="s">
        <v>35</v>
      </c>
      <c r="N635" s="1">
        <v>42318949</v>
      </c>
      <c r="O635" s="1" t="s">
        <v>36</v>
      </c>
      <c r="P635" s="12">
        <v>44823.434999999998</v>
      </c>
      <c r="R635" s="1" t="s">
        <v>38</v>
      </c>
      <c r="T635" s="1" t="s">
        <v>74</v>
      </c>
      <c r="U635" s="12">
        <v>44865.75</v>
      </c>
      <c r="V635" s="1" t="s">
        <v>41</v>
      </c>
      <c r="W635" s="1" t="s">
        <v>49</v>
      </c>
      <c r="X635" s="13" t="str">
        <f t="shared" si="68"/>
        <v/>
      </c>
      <c r="Y635" s="2">
        <f t="shared" ca="1" si="63"/>
        <v>118</v>
      </c>
      <c r="Z635" s="14">
        <v>1</v>
      </c>
      <c r="AA635" s="1" t="str">
        <f t="shared" ca="1" si="64"/>
        <v>VENCIDO</v>
      </c>
      <c r="AB635" s="1" t="str">
        <f t="shared" si="65"/>
        <v>Dosa</v>
      </c>
      <c r="AC635" s="2" t="str">
        <f t="shared" si="69"/>
        <v xml:space="preserve"> ROSEMERE </v>
      </c>
      <c r="AD635" s="2">
        <f t="shared" si="66"/>
        <v>5</v>
      </c>
      <c r="AE635" s="2">
        <f t="shared" ca="1" si="67"/>
        <v>-120.9262716435187</v>
      </c>
      <c r="AF635" s="15"/>
    </row>
    <row r="636" spans="1:32" hidden="1">
      <c r="A636" s="1">
        <v>8937635</v>
      </c>
      <c r="B636" s="1" t="s">
        <v>62</v>
      </c>
      <c r="C636" t="s">
        <v>1231</v>
      </c>
      <c r="E636" s="2">
        <v>1764000203000</v>
      </c>
      <c r="F636" s="1" t="s">
        <v>454</v>
      </c>
      <c r="G636" s="1" t="s">
        <v>53</v>
      </c>
      <c r="H636" s="1" t="s">
        <v>722</v>
      </c>
      <c r="I636" s="1" t="s">
        <v>723</v>
      </c>
      <c r="J636" s="1" t="s">
        <v>90</v>
      </c>
      <c r="K636" t="s">
        <v>457</v>
      </c>
      <c r="M636" s="1" t="s">
        <v>58</v>
      </c>
      <c r="N636" s="1">
        <v>0</v>
      </c>
      <c r="O636" s="1" t="s">
        <v>105</v>
      </c>
      <c r="P636" s="12">
        <v>44833.385520833333</v>
      </c>
      <c r="R636" s="1">
        <v>1</v>
      </c>
      <c r="T636" s="1" t="s">
        <v>157</v>
      </c>
      <c r="U636" s="12">
        <v>44869.75</v>
      </c>
      <c r="V636" s="1" t="s">
        <v>41</v>
      </c>
      <c r="W636" s="1" t="s">
        <v>49</v>
      </c>
      <c r="X636" s="13" t="str">
        <f t="shared" si="68"/>
        <v/>
      </c>
      <c r="Y636" s="2">
        <f t="shared" ca="1" si="63"/>
        <v>110</v>
      </c>
      <c r="Z636" s="14">
        <v>1</v>
      </c>
      <c r="AA636" s="1" t="str">
        <f t="shared" ca="1" si="64"/>
        <v>VENCIDO</v>
      </c>
      <c r="AB636" s="1" t="str">
        <f t="shared" si="65"/>
        <v>C-14</v>
      </c>
      <c r="AC636" s="2" t="str">
        <f t="shared" si="69"/>
        <v xml:space="preserve"> RINALDO </v>
      </c>
      <c r="AD636" s="2">
        <f t="shared" si="66"/>
        <v>5</v>
      </c>
      <c r="AE636" s="2">
        <f t="shared" ca="1" si="67"/>
        <v>-116.9262716435187</v>
      </c>
      <c r="AF636" s="15"/>
    </row>
    <row r="637" spans="1:32" hidden="1">
      <c r="A637" s="1">
        <v>8948448</v>
      </c>
      <c r="B637" s="1" t="s">
        <v>101</v>
      </c>
      <c r="C637" t="s">
        <v>643</v>
      </c>
      <c r="D637" s="2">
        <v>220161643</v>
      </c>
      <c r="E637" s="2">
        <v>4076001400030</v>
      </c>
      <c r="F637" s="1" t="s">
        <v>647</v>
      </c>
      <c r="G637" s="1" t="s">
        <v>53</v>
      </c>
      <c r="H637" s="1" t="s">
        <v>426</v>
      </c>
      <c r="I637" s="1" t="s">
        <v>427</v>
      </c>
      <c r="J637" s="1" t="s">
        <v>79</v>
      </c>
      <c r="K637" t="s">
        <v>650</v>
      </c>
      <c r="M637" s="1" t="s">
        <v>58</v>
      </c>
      <c r="N637" s="1">
        <v>0</v>
      </c>
      <c r="O637" s="1" t="s">
        <v>105</v>
      </c>
      <c r="P637" s="12">
        <v>44837.261319444442</v>
      </c>
      <c r="R637" s="1">
        <v>4</v>
      </c>
      <c r="T637" s="1" t="s">
        <v>646</v>
      </c>
      <c r="U637" s="12">
        <v>44838.261319444442</v>
      </c>
      <c r="V637" s="1" t="s">
        <v>41</v>
      </c>
      <c r="W637" s="1" t="s">
        <v>49</v>
      </c>
      <c r="X637" s="13" t="str">
        <f t="shared" si="68"/>
        <v/>
      </c>
      <c r="Y637" s="2">
        <f t="shared" ca="1" si="63"/>
        <v>108</v>
      </c>
      <c r="Z637" s="14">
        <v>1</v>
      </c>
      <c r="AA637" s="1" t="str">
        <f t="shared" ca="1" si="64"/>
        <v>VENCIDO</v>
      </c>
      <c r="AB637" s="1" t="str">
        <f t="shared" si="65"/>
        <v>C-14</v>
      </c>
      <c r="AC637" s="2" t="str">
        <f t="shared" si="69"/>
        <v xml:space="preserve"> ROSEMERE </v>
      </c>
      <c r="AD637" s="2">
        <f t="shared" si="66"/>
        <v>15</v>
      </c>
      <c r="AE637" s="2">
        <f t="shared" ca="1" si="67"/>
        <v>-148.41495219907665</v>
      </c>
      <c r="AF637" s="15"/>
    </row>
    <row r="638" spans="1:32" hidden="1">
      <c r="A638" s="1">
        <v>8947938</v>
      </c>
      <c r="B638" s="1" t="s">
        <v>101</v>
      </c>
      <c r="C638" t="s">
        <v>643</v>
      </c>
      <c r="D638" s="2">
        <v>220160524</v>
      </c>
      <c r="E638" s="2">
        <v>4076001400010</v>
      </c>
      <c r="F638" s="1" t="s">
        <v>936</v>
      </c>
      <c r="G638" s="1" t="s">
        <v>53</v>
      </c>
      <c r="H638" s="1" t="s">
        <v>426</v>
      </c>
      <c r="I638" s="1" t="s">
        <v>427</v>
      </c>
      <c r="J638" s="1" t="s">
        <v>79</v>
      </c>
      <c r="K638" t="s">
        <v>937</v>
      </c>
      <c r="M638" s="1" t="s">
        <v>58</v>
      </c>
      <c r="N638" s="1">
        <v>0</v>
      </c>
      <c r="O638" s="1" t="s">
        <v>105</v>
      </c>
      <c r="P638" s="12">
        <v>44837.213599537034</v>
      </c>
      <c r="R638" s="1">
        <v>3</v>
      </c>
      <c r="T638" s="1" t="s">
        <v>646</v>
      </c>
      <c r="U638" s="12">
        <v>44838.21361111111</v>
      </c>
      <c r="V638" s="1" t="s">
        <v>41</v>
      </c>
      <c r="W638" s="1" t="s">
        <v>49</v>
      </c>
      <c r="X638" s="13" t="str">
        <f t="shared" si="68"/>
        <v/>
      </c>
      <c r="Y638" s="2">
        <f t="shared" ca="1" si="63"/>
        <v>108</v>
      </c>
      <c r="Z638" s="14">
        <v>1</v>
      </c>
      <c r="AA638" s="1" t="str">
        <f t="shared" ca="1" si="64"/>
        <v>VENCIDO</v>
      </c>
      <c r="AB638" s="1" t="str">
        <f t="shared" si="65"/>
        <v>C-14</v>
      </c>
      <c r="AC638" s="2" t="str">
        <f t="shared" si="69"/>
        <v xml:space="preserve"> ROSEMERE </v>
      </c>
      <c r="AD638" s="2">
        <f t="shared" si="66"/>
        <v>5</v>
      </c>
      <c r="AE638" s="2">
        <f t="shared" ca="1" si="67"/>
        <v>-148.46266053240834</v>
      </c>
      <c r="AF638" s="15"/>
    </row>
    <row r="639" spans="1:32" hidden="1">
      <c r="A639" s="1">
        <v>8946342</v>
      </c>
      <c r="B639" s="1" t="s">
        <v>101</v>
      </c>
      <c r="C639" t="s">
        <v>643</v>
      </c>
      <c r="D639" s="2">
        <v>220163016</v>
      </c>
      <c r="E639" s="2">
        <v>4076001400040</v>
      </c>
      <c r="F639" s="1" t="s">
        <v>644</v>
      </c>
      <c r="G639" s="1" t="s">
        <v>53</v>
      </c>
      <c r="H639" s="1" t="s">
        <v>426</v>
      </c>
      <c r="I639" s="1" t="s">
        <v>427</v>
      </c>
      <c r="J639" s="1" t="s">
        <v>79</v>
      </c>
      <c r="K639" t="s">
        <v>645</v>
      </c>
      <c r="M639" s="1" t="s">
        <v>58</v>
      </c>
      <c r="N639" s="1">
        <v>0</v>
      </c>
      <c r="O639" s="1" t="s">
        <v>105</v>
      </c>
      <c r="P639" s="12">
        <v>44837.102939814817</v>
      </c>
      <c r="R639" s="1">
        <v>3</v>
      </c>
      <c r="T639" s="1" t="s">
        <v>646</v>
      </c>
      <c r="U639" s="12">
        <v>44838.102939814817</v>
      </c>
      <c r="V639" s="1" t="s">
        <v>41</v>
      </c>
      <c r="W639" s="1" t="s">
        <v>49</v>
      </c>
      <c r="X639" s="13" t="str">
        <f t="shared" si="68"/>
        <v/>
      </c>
      <c r="Y639" s="2">
        <f t="shared" ca="1" si="63"/>
        <v>108</v>
      </c>
      <c r="Z639" s="14">
        <v>1</v>
      </c>
      <c r="AA639" s="1" t="str">
        <f t="shared" ca="1" si="64"/>
        <v>VENCIDO</v>
      </c>
      <c r="AB639" s="1" t="str">
        <f t="shared" si="65"/>
        <v>SL-On</v>
      </c>
      <c r="AC639" s="2" t="str">
        <f t="shared" si="69"/>
        <v xml:space="preserve"> ROSEMERE </v>
      </c>
      <c r="AD639" s="2">
        <f t="shared" si="66"/>
        <v>1</v>
      </c>
      <c r="AE639" s="2">
        <f t="shared" ca="1" si="67"/>
        <v>-148.57333182870207</v>
      </c>
      <c r="AF639" s="15"/>
    </row>
    <row r="640" spans="1:32" hidden="1">
      <c r="A640" s="1">
        <v>8961211</v>
      </c>
      <c r="B640" s="1" t="s">
        <v>81</v>
      </c>
      <c r="C640" t="s">
        <v>1240</v>
      </c>
      <c r="E640" s="2">
        <v>1128000206022</v>
      </c>
      <c r="F640" s="1" t="s">
        <v>103</v>
      </c>
      <c r="G640" s="1" t="s">
        <v>53</v>
      </c>
      <c r="H640" s="1" t="s">
        <v>1191</v>
      </c>
      <c r="I640" s="1" t="s">
        <v>1192</v>
      </c>
      <c r="J640" s="1" t="s">
        <v>33</v>
      </c>
      <c r="K640" t="s">
        <v>104</v>
      </c>
      <c r="M640" s="1" t="s">
        <v>58</v>
      </c>
      <c r="N640" s="1">
        <v>0</v>
      </c>
      <c r="O640" s="1" t="s">
        <v>105</v>
      </c>
      <c r="P640" s="12">
        <v>44840.655717592592</v>
      </c>
      <c r="R640" s="1" t="s">
        <v>38</v>
      </c>
      <c r="T640" s="1" t="s">
        <v>74</v>
      </c>
      <c r="U640" s="12">
        <v>44841.655717592592</v>
      </c>
      <c r="V640" s="1" t="s">
        <v>41</v>
      </c>
      <c r="W640" s="1" t="s">
        <v>49</v>
      </c>
      <c r="X640" s="13" t="str">
        <f t="shared" si="68"/>
        <v/>
      </c>
      <c r="Y640" s="2">
        <f t="shared" ca="1" si="63"/>
        <v>105</v>
      </c>
      <c r="Z640" s="14">
        <v>1</v>
      </c>
      <c r="AA640" s="1" t="str">
        <f t="shared" ca="1" si="64"/>
        <v>VENCIDO</v>
      </c>
      <c r="AB640" s="1" t="str">
        <f t="shared" si="65"/>
        <v>Dosa</v>
      </c>
      <c r="AC640" s="2" t="str">
        <f t="shared" si="69"/>
        <v xml:space="preserve"> ROSEMERE </v>
      </c>
      <c r="AD640" s="2">
        <f t="shared" si="66"/>
        <v>5</v>
      </c>
      <c r="AE640" s="2">
        <f t="shared" ca="1" si="67"/>
        <v>-145.02055405092688</v>
      </c>
      <c r="AF640" s="15"/>
    </row>
    <row r="641" spans="1:32" hidden="1">
      <c r="A641" s="1">
        <v>8963507</v>
      </c>
      <c r="B641" s="1" t="s">
        <v>1153</v>
      </c>
      <c r="C641" t="s">
        <v>1243</v>
      </c>
      <c r="D641" s="2">
        <v>20228362000085</v>
      </c>
      <c r="E641" s="2">
        <v>7417172316147</v>
      </c>
      <c r="F641" s="1" t="s">
        <v>1155</v>
      </c>
      <c r="G641" s="1" t="s">
        <v>53</v>
      </c>
      <c r="H641" s="1" t="s">
        <v>1244</v>
      </c>
      <c r="I641" s="1" t="s">
        <v>1245</v>
      </c>
      <c r="J641" s="1" t="s">
        <v>46</v>
      </c>
      <c r="K641" t="s">
        <v>1158</v>
      </c>
      <c r="M641" s="1" t="s">
        <v>58</v>
      </c>
      <c r="N641" s="1">
        <v>0</v>
      </c>
      <c r="O641" s="1" t="s">
        <v>36</v>
      </c>
      <c r="P641" s="12">
        <v>44841.398495370369</v>
      </c>
      <c r="R641" s="1">
        <v>22</v>
      </c>
      <c r="T641" s="1" t="s">
        <v>1160</v>
      </c>
      <c r="U641" s="12">
        <v>44845.606828703705</v>
      </c>
      <c r="V641" s="1" t="s">
        <v>41</v>
      </c>
      <c r="W641" s="1" t="s">
        <v>49</v>
      </c>
      <c r="X641" s="13" t="str">
        <f t="shared" si="68"/>
        <v/>
      </c>
      <c r="Y641" s="2">
        <f t="shared" ca="1" si="63"/>
        <v>104</v>
      </c>
      <c r="Z641" s="14">
        <v>1</v>
      </c>
      <c r="AA641" s="1" t="str">
        <f t="shared" ca="1" si="64"/>
        <v>VENCIDO</v>
      </c>
      <c r="AB641" s="1" t="str">
        <f t="shared" si="65"/>
        <v>TAAe+</v>
      </c>
      <c r="AC641" s="2" t="str">
        <f t="shared" si="69"/>
        <v xml:space="preserve"> CLEITON </v>
      </c>
      <c r="AD641" s="2">
        <f t="shared" si="66"/>
        <v>8</v>
      </c>
      <c r="AE641" s="2">
        <f t="shared" ca="1" si="67"/>
        <v>-141.0694429398136</v>
      </c>
      <c r="AF641" s="15"/>
    </row>
    <row r="642" spans="1:32" hidden="1">
      <c r="A642" s="1">
        <v>8974248</v>
      </c>
      <c r="B642" s="1" t="s">
        <v>1153</v>
      </c>
      <c r="C642" t="s">
        <v>1248</v>
      </c>
      <c r="D642" s="2">
        <v>20228362000086</v>
      </c>
      <c r="E642" s="2">
        <v>7417172315342</v>
      </c>
      <c r="F642" s="1" t="s">
        <v>1155</v>
      </c>
      <c r="G642" s="1" t="s">
        <v>53</v>
      </c>
      <c r="H642" s="1" t="s">
        <v>1244</v>
      </c>
      <c r="I642" s="1" t="s">
        <v>1245</v>
      </c>
      <c r="J642" s="1" t="s">
        <v>46</v>
      </c>
      <c r="K642" t="s">
        <v>1158</v>
      </c>
      <c r="M642" s="1" t="s">
        <v>58</v>
      </c>
      <c r="N642" s="1">
        <v>0</v>
      </c>
      <c r="O642" s="1" t="s">
        <v>36</v>
      </c>
      <c r="P642" s="12">
        <v>44844.663564814815</v>
      </c>
      <c r="R642" s="1">
        <v>22</v>
      </c>
      <c r="T642" s="1" t="s">
        <v>1160</v>
      </c>
      <c r="U642" s="12">
        <v>44848.496898148151</v>
      </c>
      <c r="V642" s="1" t="s">
        <v>41</v>
      </c>
      <c r="W642" s="1" t="s">
        <v>49</v>
      </c>
      <c r="X642" s="13" t="str">
        <f t="shared" si="68"/>
        <v/>
      </c>
      <c r="Y642" s="2">
        <f t="shared" ref="Y642:Y699" ca="1" si="70">NETWORKDAYS(P642,$Y$1)</f>
        <v>103</v>
      </c>
      <c r="Z642" s="14">
        <v>1</v>
      </c>
      <c r="AA642" s="1" t="str">
        <f t="shared" ref="AA642:AA699" ca="1" si="71">IF(AE642=0,"HOJE",IF(AE642&gt;0,"A VENCER",IF(AE642&lt;0,"VENCIDO")))</f>
        <v>VENCIDO</v>
      </c>
      <c r="AB642" s="1" t="str">
        <f t="shared" ref="AB642:AB699" si="72">IF(F642="GRPE-000001","C-14",IF(F642="GRPE-000002","C-14",IF(F642="GRPE-000003","C-14",IF(F642="GRPE-000004","SL-On",IF(F642="GRPE-000038","C-14",IF(F642="GRPE-900022","Dosa",IF(F642="GRPE-000029","Dosa",IF(F642="ATOS-000222","Dose","TAAe+"))))))))</f>
        <v>TAAe+</v>
      </c>
      <c r="AC642" s="2" t="str">
        <f t="shared" si="69"/>
        <v xml:space="preserve"> CLEITON </v>
      </c>
      <c r="AD642" s="2">
        <f t="shared" ref="AD642:AD699" si="73">IF(F642="GRPE-000001",5,IF(F642="GRPE-000002",5,IF(F642="GRPE-000003",15,IF(F642="GRPE-000004",1,IF(F642="GRPE-000038",5,IF(F642="GRPE-900022",5,IF(F642="GRPE-000029",5,IF(F642="ATOS-000222",5,8))))))))</f>
        <v>8</v>
      </c>
      <c r="AE642" s="2">
        <f t="shared" ref="AE642:AE699" ca="1" si="74">IF(U642=$AE$1,"",U642-$AE$1)</f>
        <v>-138.17937349536805</v>
      </c>
      <c r="AF642" s="15"/>
    </row>
    <row r="643" spans="1:32" hidden="1">
      <c r="A643" s="1">
        <v>8987410</v>
      </c>
      <c r="B643" s="1" t="s">
        <v>81</v>
      </c>
      <c r="C643" t="s">
        <v>1251</v>
      </c>
      <c r="E643" s="2">
        <v>2196000206001</v>
      </c>
      <c r="F643" s="1" t="s">
        <v>29</v>
      </c>
      <c r="G643" s="1" t="s">
        <v>53</v>
      </c>
      <c r="H643" s="1" t="s">
        <v>1252</v>
      </c>
      <c r="I643" s="1" t="s">
        <v>1253</v>
      </c>
      <c r="J643" s="1" t="s">
        <v>33</v>
      </c>
      <c r="K643" t="s">
        <v>34</v>
      </c>
      <c r="M643" s="1" t="s">
        <v>35</v>
      </c>
      <c r="N643" s="1">
        <v>42318949</v>
      </c>
      <c r="O643" s="1" t="s">
        <v>105</v>
      </c>
      <c r="P643" s="12">
        <v>44848.643437500003</v>
      </c>
      <c r="R643" s="1" t="s">
        <v>38</v>
      </c>
      <c r="T643" s="1" t="s">
        <v>74</v>
      </c>
      <c r="U643" s="12">
        <v>44849.643437500003</v>
      </c>
      <c r="V643" s="1" t="s">
        <v>41</v>
      </c>
      <c r="W643" s="1" t="s">
        <v>42</v>
      </c>
      <c r="X643" s="13" t="str">
        <f t="shared" ref="X643:X700" si="75">IF(RIGHT(H643,2)&lt;&gt;"00",H643,"")</f>
        <v/>
      </c>
      <c r="Y643" s="2">
        <f t="shared" ca="1" si="70"/>
        <v>99</v>
      </c>
      <c r="Z643" s="14">
        <v>1</v>
      </c>
      <c r="AA643" s="1" t="str">
        <f t="shared" ca="1" si="71"/>
        <v>VENCIDO</v>
      </c>
      <c r="AB643" s="1" t="str">
        <f t="shared" si="72"/>
        <v>Dosa</v>
      </c>
      <c r="AC643" s="2" t="str">
        <f t="shared" ref="AC643:AC699" si="76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 xml:space="preserve"> ROSEMERE </v>
      </c>
      <c r="AD643" s="2">
        <f t="shared" si="73"/>
        <v>5</v>
      </c>
      <c r="AE643" s="2">
        <f t="shared" ca="1" si="74"/>
        <v>-137.03283414351608</v>
      </c>
      <c r="AF643" s="15"/>
    </row>
    <row r="644" spans="1:32" hidden="1">
      <c r="A644" s="1">
        <v>9003116</v>
      </c>
      <c r="B644" s="1" t="s">
        <v>62</v>
      </c>
      <c r="C644" t="s">
        <v>1256</v>
      </c>
      <c r="E644" s="2">
        <v>8074000203010</v>
      </c>
      <c r="F644" s="1" t="s">
        <v>152</v>
      </c>
      <c r="G644" s="1" t="s">
        <v>53</v>
      </c>
      <c r="H644" s="1" t="s">
        <v>1257</v>
      </c>
      <c r="I644" s="1" t="s">
        <v>1258</v>
      </c>
      <c r="J644" s="1" t="s">
        <v>33</v>
      </c>
      <c r="K644" t="s">
        <v>155</v>
      </c>
      <c r="M644" s="1" t="s">
        <v>35</v>
      </c>
      <c r="N644" s="1">
        <v>42318949</v>
      </c>
      <c r="O644" s="1" t="s">
        <v>36</v>
      </c>
      <c r="P644" s="12">
        <v>44853.518310185187</v>
      </c>
      <c r="R644" s="1">
        <v>1</v>
      </c>
      <c r="T644" s="1" t="s">
        <v>157</v>
      </c>
      <c r="U644" s="12">
        <v>44889.75</v>
      </c>
      <c r="V644" s="1" t="s">
        <v>41</v>
      </c>
      <c r="W644" s="1" t="s">
        <v>49</v>
      </c>
      <c r="X644" s="13" t="str">
        <f t="shared" si="75"/>
        <v/>
      </c>
      <c r="Y644" s="2">
        <f t="shared" ca="1" si="70"/>
        <v>96</v>
      </c>
      <c r="Z644" s="14">
        <v>1</v>
      </c>
      <c r="AA644" s="1" t="str">
        <f t="shared" ca="1" si="71"/>
        <v>VENCIDO</v>
      </c>
      <c r="AB644" s="1" t="str">
        <f t="shared" si="72"/>
        <v>TAAe+</v>
      </c>
      <c r="AC644" s="2" t="str">
        <f t="shared" si="76"/>
        <v xml:space="preserve"> ROSEMERE </v>
      </c>
      <c r="AD644" s="2">
        <f t="shared" si="73"/>
        <v>8</v>
      </c>
      <c r="AE644" s="2">
        <f t="shared" ca="1" si="74"/>
        <v>-96.926271643518703</v>
      </c>
      <c r="AF644" s="15"/>
    </row>
    <row r="645" spans="1:32" hidden="1">
      <c r="A645" s="1">
        <v>9002878</v>
      </c>
      <c r="B645" s="1" t="s">
        <v>62</v>
      </c>
      <c r="C645" t="s">
        <v>1261</v>
      </c>
      <c r="E645" s="2">
        <v>1732000203010</v>
      </c>
      <c r="F645" s="1" t="s">
        <v>152</v>
      </c>
      <c r="G645" s="1" t="s">
        <v>53</v>
      </c>
      <c r="H645" s="1" t="s">
        <v>177</v>
      </c>
      <c r="I645" s="1" t="s">
        <v>178</v>
      </c>
      <c r="J645" s="1" t="s">
        <v>164</v>
      </c>
      <c r="K645" t="s">
        <v>155</v>
      </c>
      <c r="M645" s="1" t="s">
        <v>35</v>
      </c>
      <c r="N645" s="1">
        <v>42318949</v>
      </c>
      <c r="O645" s="1" t="s">
        <v>36</v>
      </c>
      <c r="P645" s="12">
        <v>44853.517974537041</v>
      </c>
      <c r="R645" s="1">
        <v>1</v>
      </c>
      <c r="T645" s="1" t="s">
        <v>157</v>
      </c>
      <c r="U645" s="12">
        <v>44889.75</v>
      </c>
      <c r="V645" s="1" t="s">
        <v>41</v>
      </c>
      <c r="W645" s="1" t="s">
        <v>49</v>
      </c>
      <c r="X645" s="13" t="str">
        <f t="shared" si="75"/>
        <v/>
      </c>
      <c r="Y645" s="2">
        <f t="shared" ca="1" si="70"/>
        <v>96</v>
      </c>
      <c r="Z645" s="14">
        <v>1</v>
      </c>
      <c r="AA645" s="1" t="str">
        <f t="shared" ca="1" si="71"/>
        <v>VENCIDO</v>
      </c>
      <c r="AB645" s="1" t="str">
        <f t="shared" si="72"/>
        <v>TAAe+</v>
      </c>
      <c r="AC645" s="2" t="str">
        <f t="shared" si="76"/>
        <v xml:space="preserve"> ROSEMERE </v>
      </c>
      <c r="AD645" s="2">
        <f t="shared" si="73"/>
        <v>8</v>
      </c>
      <c r="AE645" s="2">
        <f t="shared" ca="1" si="74"/>
        <v>-96.926271643518703</v>
      </c>
      <c r="AF645" s="15"/>
    </row>
    <row r="646" spans="1:32" hidden="1">
      <c r="A646" s="1">
        <v>9011010</v>
      </c>
      <c r="B646" s="1" t="s">
        <v>62</v>
      </c>
      <c r="C646" t="s">
        <v>1263</v>
      </c>
      <c r="E646" s="2">
        <v>2156000206021</v>
      </c>
      <c r="F646" s="1" t="s">
        <v>103</v>
      </c>
      <c r="G646" s="1" t="s">
        <v>53</v>
      </c>
      <c r="H646" s="1" t="s">
        <v>278</v>
      </c>
      <c r="I646" s="1" t="s">
        <v>279</v>
      </c>
      <c r="J646" s="1" t="s">
        <v>211</v>
      </c>
      <c r="K646" t="s">
        <v>104</v>
      </c>
      <c r="M646" s="1" t="s">
        <v>58</v>
      </c>
      <c r="N646" s="1">
        <v>0</v>
      </c>
      <c r="O646" s="1" t="s">
        <v>36</v>
      </c>
      <c r="P646" s="12">
        <v>44855.757037037038</v>
      </c>
      <c r="R646" s="1" t="s">
        <v>38</v>
      </c>
      <c r="T646" s="1" t="s">
        <v>74</v>
      </c>
      <c r="U646" s="12">
        <v>44901.75</v>
      </c>
      <c r="V646" s="1" t="s">
        <v>41</v>
      </c>
      <c r="W646" s="1" t="s">
        <v>49</v>
      </c>
      <c r="X646" s="13" t="str">
        <f t="shared" si="75"/>
        <v/>
      </c>
      <c r="Y646" s="2">
        <f t="shared" ca="1" si="70"/>
        <v>94</v>
      </c>
      <c r="Z646" s="14">
        <v>1</v>
      </c>
      <c r="AA646" s="1" t="str">
        <f t="shared" ca="1" si="71"/>
        <v>VENCIDO</v>
      </c>
      <c r="AB646" s="1" t="str">
        <f t="shared" si="72"/>
        <v>Dosa</v>
      </c>
      <c r="AC646" s="2" t="str">
        <f t="shared" si="76"/>
        <v xml:space="preserve"> RINALDO </v>
      </c>
      <c r="AD646" s="2">
        <f t="shared" si="73"/>
        <v>5</v>
      </c>
      <c r="AE646" s="2">
        <f t="shared" ca="1" si="74"/>
        <v>-84.926271643518703</v>
      </c>
      <c r="AF646" s="15"/>
    </row>
    <row r="647" spans="1:32" hidden="1">
      <c r="A647" s="1">
        <v>9011009</v>
      </c>
      <c r="B647" s="1" t="s">
        <v>62</v>
      </c>
      <c r="C647" t="s">
        <v>1266</v>
      </c>
      <c r="E647" s="2">
        <v>2156000206021</v>
      </c>
      <c r="F647" s="1" t="s">
        <v>103</v>
      </c>
      <c r="G647" s="1" t="s">
        <v>53</v>
      </c>
      <c r="H647" s="1" t="s">
        <v>278</v>
      </c>
      <c r="I647" s="1" t="s">
        <v>279</v>
      </c>
      <c r="J647" s="1" t="s">
        <v>211</v>
      </c>
      <c r="K647" t="s">
        <v>104</v>
      </c>
      <c r="M647" s="1" t="s">
        <v>58</v>
      </c>
      <c r="N647" s="1">
        <v>0</v>
      </c>
      <c r="O647" s="1" t="s">
        <v>36</v>
      </c>
      <c r="P647" s="12">
        <v>44855.756736111114</v>
      </c>
      <c r="R647" s="1" t="s">
        <v>38</v>
      </c>
      <c r="T647" s="1" t="s">
        <v>74</v>
      </c>
      <c r="U647" s="12">
        <v>44901.75</v>
      </c>
      <c r="V647" s="1" t="s">
        <v>41</v>
      </c>
      <c r="W647" s="1" t="s">
        <v>49</v>
      </c>
      <c r="X647" s="13" t="str">
        <f t="shared" si="75"/>
        <v/>
      </c>
      <c r="Y647" s="2">
        <f t="shared" ca="1" si="70"/>
        <v>94</v>
      </c>
      <c r="Z647" s="14">
        <v>1</v>
      </c>
      <c r="AA647" s="1" t="str">
        <f t="shared" ca="1" si="71"/>
        <v>VENCIDO</v>
      </c>
      <c r="AB647" s="1" t="str">
        <f t="shared" si="72"/>
        <v>Dosa</v>
      </c>
      <c r="AC647" s="2" t="str">
        <f t="shared" si="76"/>
        <v xml:space="preserve"> RINALDO </v>
      </c>
      <c r="AD647" s="2">
        <f t="shared" si="73"/>
        <v>5</v>
      </c>
      <c r="AE647" s="2">
        <f t="shared" ca="1" si="74"/>
        <v>-84.926271643518703</v>
      </c>
      <c r="AF647" s="15"/>
    </row>
    <row r="648" spans="1:32" hidden="1">
      <c r="A648" s="1">
        <v>9011008</v>
      </c>
      <c r="B648" s="1" t="s">
        <v>62</v>
      </c>
      <c r="C648" t="s">
        <v>1266</v>
      </c>
      <c r="E648" s="2">
        <v>2156000206021</v>
      </c>
      <c r="F648" s="1" t="s">
        <v>103</v>
      </c>
      <c r="G648" s="1" t="s">
        <v>53</v>
      </c>
      <c r="H648" s="1" t="s">
        <v>278</v>
      </c>
      <c r="I648" s="1" t="s">
        <v>279</v>
      </c>
      <c r="J648" s="1" t="s">
        <v>211</v>
      </c>
      <c r="K648" t="s">
        <v>104</v>
      </c>
      <c r="M648" s="1" t="s">
        <v>58</v>
      </c>
      <c r="N648" s="1">
        <v>0</v>
      </c>
      <c r="O648" s="1" t="s">
        <v>36</v>
      </c>
      <c r="P648" s="12">
        <v>44855.756435185183</v>
      </c>
      <c r="R648" s="1" t="s">
        <v>38</v>
      </c>
      <c r="T648" s="1" t="s">
        <v>74</v>
      </c>
      <c r="U648" s="12">
        <v>44901.75</v>
      </c>
      <c r="V648" s="1" t="s">
        <v>41</v>
      </c>
      <c r="W648" s="1" t="s">
        <v>49</v>
      </c>
      <c r="X648" s="13" t="str">
        <f t="shared" si="75"/>
        <v/>
      </c>
      <c r="Y648" s="2">
        <f t="shared" ca="1" si="70"/>
        <v>94</v>
      </c>
      <c r="Z648" s="14">
        <v>1</v>
      </c>
      <c r="AA648" s="1" t="str">
        <f t="shared" ca="1" si="71"/>
        <v>VENCIDO</v>
      </c>
      <c r="AB648" s="1" t="str">
        <f t="shared" si="72"/>
        <v>Dosa</v>
      </c>
      <c r="AC648" s="2" t="str">
        <f t="shared" si="76"/>
        <v xml:space="preserve"> RINALDO </v>
      </c>
      <c r="AD648" s="2">
        <f t="shared" si="73"/>
        <v>5</v>
      </c>
      <c r="AE648" s="2">
        <f t="shared" ca="1" si="74"/>
        <v>-84.926271643518703</v>
      </c>
      <c r="AF648" s="15"/>
    </row>
    <row r="649" spans="1:32" hidden="1">
      <c r="A649" s="1">
        <v>9011007</v>
      </c>
      <c r="B649" s="1" t="s">
        <v>62</v>
      </c>
      <c r="C649" t="s">
        <v>1266</v>
      </c>
      <c r="E649" s="2">
        <v>2156000206021</v>
      </c>
      <c r="F649" s="1" t="s">
        <v>103</v>
      </c>
      <c r="G649" s="1" t="s">
        <v>53</v>
      </c>
      <c r="H649" s="1" t="s">
        <v>278</v>
      </c>
      <c r="I649" s="1" t="s">
        <v>279</v>
      </c>
      <c r="J649" s="1" t="s">
        <v>211</v>
      </c>
      <c r="K649" t="s">
        <v>104</v>
      </c>
      <c r="M649" s="1" t="s">
        <v>58</v>
      </c>
      <c r="N649" s="1">
        <v>0</v>
      </c>
      <c r="O649" s="1" t="s">
        <v>36</v>
      </c>
      <c r="P649" s="12">
        <v>44855.756111111114</v>
      </c>
      <c r="R649" s="1" t="s">
        <v>38</v>
      </c>
      <c r="T649" s="1" t="s">
        <v>74</v>
      </c>
      <c r="U649" s="12">
        <v>44901.75</v>
      </c>
      <c r="V649" s="1" t="s">
        <v>41</v>
      </c>
      <c r="W649" s="1" t="s">
        <v>49</v>
      </c>
      <c r="X649" s="13" t="str">
        <f t="shared" si="75"/>
        <v/>
      </c>
      <c r="Y649" s="2">
        <f t="shared" ca="1" si="70"/>
        <v>94</v>
      </c>
      <c r="Z649" s="14">
        <v>1</v>
      </c>
      <c r="AA649" s="1" t="str">
        <f t="shared" ca="1" si="71"/>
        <v>VENCIDO</v>
      </c>
      <c r="AB649" s="1" t="str">
        <f t="shared" si="72"/>
        <v>Dosa</v>
      </c>
      <c r="AC649" s="2" t="str">
        <f t="shared" si="76"/>
        <v xml:space="preserve"> RINALDO </v>
      </c>
      <c r="AD649" s="2">
        <f t="shared" si="73"/>
        <v>5</v>
      </c>
      <c r="AE649" s="2">
        <f t="shared" ca="1" si="74"/>
        <v>-84.926271643518703</v>
      </c>
      <c r="AF649" s="15"/>
    </row>
    <row r="650" spans="1:32" hidden="1">
      <c r="A650" s="173">
        <v>9017924</v>
      </c>
      <c r="B650" s="173" t="s">
        <v>1153</v>
      </c>
      <c r="C650" s="178" t="s">
        <v>3450</v>
      </c>
      <c r="D650" s="174">
        <v>220174476</v>
      </c>
      <c r="E650" s="174">
        <v>4119001400030</v>
      </c>
      <c r="F650" s="173" t="s">
        <v>647</v>
      </c>
      <c r="G650" s="173" t="s">
        <v>53</v>
      </c>
      <c r="H650" s="173" t="s">
        <v>297</v>
      </c>
      <c r="I650" s="173" t="s">
        <v>298</v>
      </c>
      <c r="J650" s="173" t="s">
        <v>211</v>
      </c>
      <c r="K650" t="s">
        <v>650</v>
      </c>
      <c r="M650" s="1" t="s">
        <v>58</v>
      </c>
      <c r="N650" s="1">
        <v>0</v>
      </c>
      <c r="O650" s="1" t="s">
        <v>36</v>
      </c>
      <c r="P650" s="12">
        <v>44859.516435185185</v>
      </c>
      <c r="R650" s="1">
        <v>4</v>
      </c>
      <c r="T650" s="1" t="s">
        <v>646</v>
      </c>
      <c r="U650" s="12">
        <v>44860.537268518521</v>
      </c>
      <c r="V650" s="1" t="s">
        <v>41</v>
      </c>
      <c r="W650" s="1" t="s">
        <v>49</v>
      </c>
      <c r="X650" s="13" t="str">
        <f t="shared" si="75"/>
        <v/>
      </c>
      <c r="Y650" s="2">
        <f t="shared" ca="1" si="70"/>
        <v>92</v>
      </c>
      <c r="Z650" s="14">
        <v>1</v>
      </c>
      <c r="AA650" s="1" t="str">
        <f t="shared" ca="1" si="71"/>
        <v>VENCIDO</v>
      </c>
      <c r="AB650" s="1" t="str">
        <f t="shared" si="72"/>
        <v>C-14</v>
      </c>
      <c r="AC650" s="2" t="str">
        <f t="shared" si="76"/>
        <v xml:space="preserve"> RINALDO </v>
      </c>
      <c r="AD650" s="2">
        <f t="shared" si="73"/>
        <v>15</v>
      </c>
      <c r="AE650" s="2">
        <f t="shared" ca="1" si="74"/>
        <v>-126.13900312499754</v>
      </c>
      <c r="AF650" s="15"/>
    </row>
    <row r="651" spans="1:32" hidden="1">
      <c r="A651" s="1">
        <v>9020963</v>
      </c>
      <c r="B651" s="1" t="s">
        <v>1153</v>
      </c>
      <c r="C651" t="s">
        <v>1273</v>
      </c>
      <c r="D651" s="2">
        <v>20228489000019</v>
      </c>
      <c r="E651" s="2">
        <v>7417172315969</v>
      </c>
      <c r="F651" s="1" t="s">
        <v>1155</v>
      </c>
      <c r="G651" s="1" t="s">
        <v>53</v>
      </c>
      <c r="H651" s="1" t="s">
        <v>1156</v>
      </c>
      <c r="I651" s="1" t="s">
        <v>1157</v>
      </c>
      <c r="J651" s="1" t="s">
        <v>46</v>
      </c>
      <c r="K651" t="s">
        <v>1158</v>
      </c>
      <c r="M651" s="1" t="s">
        <v>58</v>
      </c>
      <c r="N651" s="1">
        <v>0</v>
      </c>
      <c r="O651" s="1" t="s">
        <v>36</v>
      </c>
      <c r="P651" s="12">
        <v>44860.644363425927</v>
      </c>
      <c r="R651" s="1">
        <v>22</v>
      </c>
      <c r="T651" s="1" t="s">
        <v>1160</v>
      </c>
      <c r="U651" s="12">
        <v>44865.477696759262</v>
      </c>
      <c r="V651" s="1" t="s">
        <v>41</v>
      </c>
      <c r="W651" s="1" t="s">
        <v>49</v>
      </c>
      <c r="X651" s="13" t="str">
        <f t="shared" si="75"/>
        <v/>
      </c>
      <c r="Y651" s="2">
        <f t="shared" ca="1" si="70"/>
        <v>91</v>
      </c>
      <c r="Z651" s="14">
        <v>1</v>
      </c>
      <c r="AA651" s="1" t="str">
        <f t="shared" ca="1" si="71"/>
        <v>VENCIDO</v>
      </c>
      <c r="AB651" s="1" t="str">
        <f t="shared" si="72"/>
        <v>TAAe+</v>
      </c>
      <c r="AC651" s="2" t="str">
        <f t="shared" si="76"/>
        <v xml:space="preserve"> CLEITON </v>
      </c>
      <c r="AD651" s="2">
        <f t="shared" si="73"/>
        <v>8</v>
      </c>
      <c r="AE651" s="2">
        <f t="shared" ca="1" si="74"/>
        <v>-121.19857488425623</v>
      </c>
      <c r="AF651" s="15"/>
    </row>
    <row r="652" spans="1:32" hidden="1">
      <c r="A652" s="1">
        <v>9022234</v>
      </c>
      <c r="B652" s="1" t="s">
        <v>1153</v>
      </c>
      <c r="C652" t="s">
        <v>1276</v>
      </c>
      <c r="D652" s="2">
        <v>20228489000020</v>
      </c>
      <c r="E652" s="2">
        <v>7417172314989</v>
      </c>
      <c r="F652" s="1" t="s">
        <v>1155</v>
      </c>
      <c r="G652" s="1" t="s">
        <v>53</v>
      </c>
      <c r="H652" s="1" t="s">
        <v>1156</v>
      </c>
      <c r="I652" s="1" t="s">
        <v>1157</v>
      </c>
      <c r="J652" s="1" t="s">
        <v>46</v>
      </c>
      <c r="K652" t="s">
        <v>1158</v>
      </c>
      <c r="M652" s="1" t="s">
        <v>58</v>
      </c>
      <c r="N652" s="1">
        <v>0</v>
      </c>
      <c r="O652" s="1" t="s">
        <v>36</v>
      </c>
      <c r="P652" s="12">
        <v>44861.392812500002</v>
      </c>
      <c r="R652" s="1">
        <v>22</v>
      </c>
      <c r="T652" s="1" t="s">
        <v>1160</v>
      </c>
      <c r="U652" s="12">
        <v>44865.601145833331</v>
      </c>
      <c r="V652" s="1" t="s">
        <v>41</v>
      </c>
      <c r="W652" s="1" t="s">
        <v>49</v>
      </c>
      <c r="X652" s="13" t="str">
        <f t="shared" si="75"/>
        <v/>
      </c>
      <c r="Y652" s="2">
        <f t="shared" ca="1" si="70"/>
        <v>90</v>
      </c>
      <c r="Z652" s="14">
        <v>1</v>
      </c>
      <c r="AA652" s="1" t="str">
        <f t="shared" ca="1" si="71"/>
        <v>VENCIDO</v>
      </c>
      <c r="AB652" s="1" t="str">
        <f t="shared" si="72"/>
        <v>TAAe+</v>
      </c>
      <c r="AC652" s="2" t="str">
        <f t="shared" si="76"/>
        <v xml:space="preserve"> CLEITON </v>
      </c>
      <c r="AD652" s="2">
        <f t="shared" si="73"/>
        <v>8</v>
      </c>
      <c r="AE652" s="2">
        <f t="shared" ca="1" si="74"/>
        <v>-121.07512581018818</v>
      </c>
      <c r="AF652" s="15"/>
    </row>
    <row r="653" spans="1:32" hidden="1">
      <c r="A653" s="1">
        <v>9025533</v>
      </c>
      <c r="B653" s="1" t="s">
        <v>62</v>
      </c>
      <c r="C653" t="s">
        <v>1277</v>
      </c>
      <c r="E653" s="2">
        <v>7420000203000</v>
      </c>
      <c r="F653" s="1" t="s">
        <v>454</v>
      </c>
      <c r="G653" s="1" t="s">
        <v>30</v>
      </c>
      <c r="H653" s="1" t="s">
        <v>1076</v>
      </c>
      <c r="I653" s="1" t="s">
        <v>1077</v>
      </c>
      <c r="J653" s="1" t="s">
        <v>46</v>
      </c>
      <c r="K653" t="s">
        <v>457</v>
      </c>
      <c r="M653" s="1" t="s">
        <v>58</v>
      </c>
      <c r="N653" s="1">
        <v>0</v>
      </c>
      <c r="O653" s="1" t="s">
        <v>105</v>
      </c>
      <c r="P653" s="12">
        <v>44862.608275462961</v>
      </c>
      <c r="R653" s="1" t="s">
        <v>38</v>
      </c>
      <c r="T653" s="1" t="s">
        <v>157</v>
      </c>
      <c r="U653" s="12">
        <v>44900.75</v>
      </c>
      <c r="V653" s="1" t="s">
        <v>41</v>
      </c>
      <c r="W653" s="1" t="s">
        <v>49</v>
      </c>
      <c r="X653" s="13" t="str">
        <f t="shared" si="75"/>
        <v/>
      </c>
      <c r="Y653" s="2">
        <f t="shared" ca="1" si="70"/>
        <v>89</v>
      </c>
      <c r="Z653" s="14">
        <v>1</v>
      </c>
      <c r="AA653" s="1" t="str">
        <f t="shared" ca="1" si="71"/>
        <v>VENCIDO</v>
      </c>
      <c r="AB653" s="1" t="str">
        <f t="shared" si="72"/>
        <v>C-14</v>
      </c>
      <c r="AC653" s="2" t="str">
        <f t="shared" si="76"/>
        <v xml:space="preserve"> CLEITON </v>
      </c>
      <c r="AD653" s="2">
        <f t="shared" si="73"/>
        <v>5</v>
      </c>
      <c r="AE653" s="2">
        <f t="shared" ca="1" si="74"/>
        <v>-85.926271643518703</v>
      </c>
      <c r="AF653" s="15"/>
    </row>
    <row r="654" spans="1:32" hidden="1">
      <c r="A654" s="1">
        <v>9024940</v>
      </c>
      <c r="B654" s="1" t="s">
        <v>1153</v>
      </c>
      <c r="C654" t="s">
        <v>1280</v>
      </c>
      <c r="D654" s="2">
        <v>220176632</v>
      </c>
      <c r="E654" s="2">
        <v>1761001400030</v>
      </c>
      <c r="F654" s="1" t="s">
        <v>647</v>
      </c>
      <c r="G654" s="1" t="s">
        <v>53</v>
      </c>
      <c r="H654" s="1" t="s">
        <v>375</v>
      </c>
      <c r="I654" s="1" t="s">
        <v>376</v>
      </c>
      <c r="J654" s="1" t="s">
        <v>56</v>
      </c>
      <c r="K654" t="s">
        <v>650</v>
      </c>
      <c r="M654" s="1" t="s">
        <v>58</v>
      </c>
      <c r="N654" s="1">
        <v>0</v>
      </c>
      <c r="O654" s="1" t="s">
        <v>36</v>
      </c>
      <c r="P654" s="12">
        <v>44862.474780092591</v>
      </c>
      <c r="R654" s="1">
        <v>4</v>
      </c>
      <c r="T654" s="1" t="s">
        <v>646</v>
      </c>
      <c r="U654" s="12">
        <v>44873.628472222219</v>
      </c>
      <c r="V654" s="1" t="s">
        <v>41</v>
      </c>
      <c r="W654" s="1" t="s">
        <v>49</v>
      </c>
      <c r="X654" s="13" t="str">
        <f t="shared" si="75"/>
        <v/>
      </c>
      <c r="Y654" s="2">
        <f t="shared" ca="1" si="70"/>
        <v>89</v>
      </c>
      <c r="Z654" s="14">
        <v>1</v>
      </c>
      <c r="AA654" s="1" t="str">
        <f t="shared" ca="1" si="71"/>
        <v>VENCIDO</v>
      </c>
      <c r="AB654" s="1" t="str">
        <f t="shared" si="72"/>
        <v>C-14</v>
      </c>
      <c r="AC654" s="2" t="str">
        <f t="shared" si="76"/>
        <v xml:space="preserve"> CRISTINA </v>
      </c>
      <c r="AD654" s="2">
        <f t="shared" si="73"/>
        <v>15</v>
      </c>
      <c r="AE654" s="2">
        <f t="shared" ca="1" si="74"/>
        <v>-113.04779942129971</v>
      </c>
      <c r="AF654" s="15"/>
    </row>
    <row r="655" spans="1:32">
      <c r="A655" s="173">
        <v>9030748</v>
      </c>
      <c r="B655" s="173" t="s">
        <v>1153</v>
      </c>
      <c r="C655" s="178" t="s">
        <v>3451</v>
      </c>
      <c r="D655" s="174">
        <v>220177570</v>
      </c>
      <c r="E655" s="174">
        <v>1028001400030</v>
      </c>
      <c r="F655" s="173" t="s">
        <v>647</v>
      </c>
      <c r="G655" s="173" t="s">
        <v>53</v>
      </c>
      <c r="H655" s="173" t="s">
        <v>1079</v>
      </c>
      <c r="I655" s="173" t="s">
        <v>1080</v>
      </c>
      <c r="J655" s="173" t="s">
        <v>85</v>
      </c>
      <c r="K655" t="s">
        <v>650</v>
      </c>
      <c r="M655" s="1" t="s">
        <v>58</v>
      </c>
      <c r="N655" s="1">
        <v>0</v>
      </c>
      <c r="O655" s="1" t="s">
        <v>36</v>
      </c>
      <c r="P655" s="11" t="s">
        <v>1284</v>
      </c>
      <c r="R655" s="1">
        <v>4</v>
      </c>
      <c r="T655" s="1" t="s">
        <v>646</v>
      </c>
      <c r="U655" s="11" t="s">
        <v>1285</v>
      </c>
      <c r="V655" s="1" t="s">
        <v>41</v>
      </c>
      <c r="W655" s="1" t="s">
        <v>49</v>
      </c>
      <c r="X655" s="13" t="str">
        <f t="shared" si="75"/>
        <v/>
      </c>
      <c r="Y655" s="2">
        <f t="shared" ca="1" si="70"/>
        <v>88</v>
      </c>
      <c r="Z655" s="14">
        <v>1</v>
      </c>
      <c r="AA655" s="1" t="str">
        <f t="shared" ca="1" si="71"/>
        <v>VENCIDO</v>
      </c>
      <c r="AB655" s="1" t="str">
        <f t="shared" si="72"/>
        <v>C-14</v>
      </c>
      <c r="AC655" s="2" t="str">
        <f t="shared" si="76"/>
        <v xml:space="preserve"> RINALDO </v>
      </c>
      <c r="AD655" s="2">
        <f t="shared" si="73"/>
        <v>15</v>
      </c>
      <c r="AE655" s="2">
        <f t="shared" ca="1" si="74"/>
        <v>-120.09072766203462</v>
      </c>
      <c r="AF655" s="15"/>
    </row>
    <row r="656" spans="1:32">
      <c r="A656" s="173">
        <v>9030747</v>
      </c>
      <c r="B656" s="173" t="s">
        <v>1153</v>
      </c>
      <c r="C656" s="178" t="s">
        <v>3452</v>
      </c>
      <c r="D656" s="174">
        <v>220177573</v>
      </c>
      <c r="E656" s="174">
        <v>1028001400030</v>
      </c>
      <c r="F656" s="173" t="s">
        <v>647</v>
      </c>
      <c r="G656" s="173" t="s">
        <v>53</v>
      </c>
      <c r="H656" s="173" t="s">
        <v>1079</v>
      </c>
      <c r="I656" s="173" t="s">
        <v>1080</v>
      </c>
      <c r="J656" s="173" t="s">
        <v>85</v>
      </c>
      <c r="K656" t="s">
        <v>650</v>
      </c>
      <c r="M656" s="1" t="s">
        <v>58</v>
      </c>
      <c r="N656" s="1">
        <v>0</v>
      </c>
      <c r="O656" s="1" t="s">
        <v>36</v>
      </c>
      <c r="P656" s="12">
        <v>44865.564652777779</v>
      </c>
      <c r="R656" s="1">
        <v>4</v>
      </c>
      <c r="T656" s="1" t="s">
        <v>646</v>
      </c>
      <c r="U656" s="12">
        <v>44866.585486111115</v>
      </c>
      <c r="V656" s="1" t="s">
        <v>41</v>
      </c>
      <c r="W656" s="1" t="s">
        <v>49</v>
      </c>
      <c r="X656" s="13" t="str">
        <f t="shared" si="75"/>
        <v/>
      </c>
      <c r="Y656" s="2">
        <f t="shared" ca="1" si="70"/>
        <v>88</v>
      </c>
      <c r="Z656" s="14">
        <v>1</v>
      </c>
      <c r="AA656" s="1" t="str">
        <f t="shared" ca="1" si="71"/>
        <v>VENCIDO</v>
      </c>
      <c r="AB656" s="1" t="str">
        <f t="shared" si="72"/>
        <v>C-14</v>
      </c>
      <c r="AC656" s="2" t="str">
        <f t="shared" si="76"/>
        <v xml:space="preserve"> RINALDO </v>
      </c>
      <c r="AD656" s="2">
        <f t="shared" si="73"/>
        <v>15</v>
      </c>
      <c r="AE656" s="2">
        <f t="shared" ca="1" si="74"/>
        <v>-120.09078553240397</v>
      </c>
      <c r="AF656" s="15"/>
    </row>
    <row r="657" spans="1:32">
      <c r="A657" s="173">
        <v>9030746</v>
      </c>
      <c r="B657" s="173" t="s">
        <v>1153</v>
      </c>
      <c r="C657" s="178" t="s">
        <v>3453</v>
      </c>
      <c r="D657" s="174">
        <v>220177571</v>
      </c>
      <c r="E657" s="174">
        <v>1028001400030</v>
      </c>
      <c r="F657" s="173" t="s">
        <v>647</v>
      </c>
      <c r="G657" s="173" t="s">
        <v>53</v>
      </c>
      <c r="H657" s="173" t="s">
        <v>1079</v>
      </c>
      <c r="I657" s="173" t="s">
        <v>1080</v>
      </c>
      <c r="J657" s="173" t="s">
        <v>85</v>
      </c>
      <c r="K657" t="s">
        <v>650</v>
      </c>
      <c r="M657" s="1" t="s">
        <v>58</v>
      </c>
      <c r="N657" s="1">
        <v>0</v>
      </c>
      <c r="O657" s="1" t="s">
        <v>36</v>
      </c>
      <c r="P657" s="12">
        <v>44865.564583333333</v>
      </c>
      <c r="R657" s="1">
        <v>4</v>
      </c>
      <c r="T657" s="1" t="s">
        <v>646</v>
      </c>
      <c r="U657" s="12">
        <v>44866.585416666669</v>
      </c>
      <c r="V657" s="1" t="s">
        <v>41</v>
      </c>
      <c r="W657" s="1" t="s">
        <v>49</v>
      </c>
      <c r="X657" s="13" t="str">
        <f t="shared" si="75"/>
        <v/>
      </c>
      <c r="Y657" s="2">
        <f t="shared" ca="1" si="70"/>
        <v>88</v>
      </c>
      <c r="Z657" s="14">
        <v>1</v>
      </c>
      <c r="AA657" s="1" t="str">
        <f t="shared" ca="1" si="71"/>
        <v>VENCIDO</v>
      </c>
      <c r="AB657" s="1" t="str">
        <f t="shared" si="72"/>
        <v>C-14</v>
      </c>
      <c r="AC657" s="2" t="str">
        <f t="shared" si="76"/>
        <v xml:space="preserve"> RINALDO </v>
      </c>
      <c r="AD657" s="2">
        <f t="shared" si="73"/>
        <v>15</v>
      </c>
      <c r="AE657" s="2">
        <f t="shared" ca="1" si="74"/>
        <v>-120.0908549768501</v>
      </c>
      <c r="AF657" s="15"/>
    </row>
    <row r="658" spans="1:32">
      <c r="A658" s="173">
        <v>9030743</v>
      </c>
      <c r="B658" s="173" t="s">
        <v>1153</v>
      </c>
      <c r="C658" s="178" t="s">
        <v>3454</v>
      </c>
      <c r="D658" s="174">
        <v>220177524</v>
      </c>
      <c r="E658" s="174">
        <v>1028001400030</v>
      </c>
      <c r="F658" s="173" t="s">
        <v>647</v>
      </c>
      <c r="G658" s="173" t="s">
        <v>53</v>
      </c>
      <c r="H658" s="173" t="s">
        <v>1079</v>
      </c>
      <c r="I658" s="173" t="s">
        <v>1080</v>
      </c>
      <c r="J658" s="173" t="s">
        <v>85</v>
      </c>
      <c r="K658" t="s">
        <v>650</v>
      </c>
      <c r="M658" s="1" t="s">
        <v>58</v>
      </c>
      <c r="N658" s="1">
        <v>0</v>
      </c>
      <c r="O658" s="1" t="s">
        <v>36</v>
      </c>
      <c r="P658" s="12">
        <v>44865.564386574071</v>
      </c>
      <c r="R658" s="1">
        <v>4</v>
      </c>
      <c r="T658" s="1" t="s">
        <v>646</v>
      </c>
      <c r="U658" s="12">
        <v>44866.585219907407</v>
      </c>
      <c r="V658" s="1" t="s">
        <v>41</v>
      </c>
      <c r="W658" s="1" t="s">
        <v>49</v>
      </c>
      <c r="X658" s="13" t="str">
        <f t="shared" si="75"/>
        <v/>
      </c>
      <c r="Y658" s="2">
        <f t="shared" ca="1" si="70"/>
        <v>88</v>
      </c>
      <c r="Z658" s="14">
        <v>1</v>
      </c>
      <c r="AA658" s="1" t="str">
        <f t="shared" ca="1" si="71"/>
        <v>VENCIDO</v>
      </c>
      <c r="AB658" s="1" t="str">
        <f t="shared" si="72"/>
        <v>C-14</v>
      </c>
      <c r="AC658" s="2" t="str">
        <f t="shared" si="76"/>
        <v xml:space="preserve"> RINALDO </v>
      </c>
      <c r="AD658" s="2">
        <f t="shared" si="73"/>
        <v>15</v>
      </c>
      <c r="AE658" s="2">
        <f t="shared" ca="1" si="74"/>
        <v>-120.09105173611169</v>
      </c>
      <c r="AF658" s="15"/>
    </row>
    <row r="659" spans="1:32">
      <c r="A659" s="173">
        <v>9030733</v>
      </c>
      <c r="B659" s="173" t="s">
        <v>1153</v>
      </c>
      <c r="C659" s="178" t="s">
        <v>3455</v>
      </c>
      <c r="D659" s="174">
        <v>220177525</v>
      </c>
      <c r="E659" s="174">
        <v>1028001400030</v>
      </c>
      <c r="F659" s="173" t="s">
        <v>647</v>
      </c>
      <c r="G659" s="173" t="s">
        <v>53</v>
      </c>
      <c r="H659" s="173" t="s">
        <v>1079</v>
      </c>
      <c r="I659" s="173" t="s">
        <v>1080</v>
      </c>
      <c r="J659" s="173" t="s">
        <v>85</v>
      </c>
      <c r="K659" t="s">
        <v>650</v>
      </c>
      <c r="M659" s="1" t="s">
        <v>58</v>
      </c>
      <c r="N659" s="1">
        <v>0</v>
      </c>
      <c r="O659" s="1" t="s">
        <v>36</v>
      </c>
      <c r="P659" s="12">
        <v>44865.558194444442</v>
      </c>
      <c r="R659" s="1">
        <v>4</v>
      </c>
      <c r="T659" s="1" t="s">
        <v>646</v>
      </c>
      <c r="U659" s="12">
        <v>44866.579027777778</v>
      </c>
      <c r="V659" s="1" t="s">
        <v>41</v>
      </c>
      <c r="W659" s="1" t="s">
        <v>49</v>
      </c>
      <c r="X659" s="13" t="str">
        <f t="shared" si="75"/>
        <v/>
      </c>
      <c r="Y659" s="2">
        <f t="shared" ca="1" si="70"/>
        <v>88</v>
      </c>
      <c r="Z659" s="14">
        <v>1</v>
      </c>
      <c r="AA659" s="1" t="str">
        <f t="shared" ca="1" si="71"/>
        <v>VENCIDO</v>
      </c>
      <c r="AB659" s="1" t="str">
        <f t="shared" si="72"/>
        <v>C-14</v>
      </c>
      <c r="AC659" s="2" t="str">
        <f t="shared" si="76"/>
        <v xml:space="preserve"> RINALDO </v>
      </c>
      <c r="AD659" s="2">
        <f t="shared" si="73"/>
        <v>15</v>
      </c>
      <c r="AE659" s="2">
        <f t="shared" ca="1" si="74"/>
        <v>-120.09724386574089</v>
      </c>
      <c r="AF659" s="15"/>
    </row>
    <row r="660" spans="1:32" hidden="1">
      <c r="A660" s="1">
        <v>9037912</v>
      </c>
      <c r="B660" s="1" t="s">
        <v>62</v>
      </c>
      <c r="C660" t="s">
        <v>1296</v>
      </c>
      <c r="E660" s="2">
        <v>1069000203000</v>
      </c>
      <c r="F660" s="1" t="s">
        <v>454</v>
      </c>
      <c r="G660" s="1" t="s">
        <v>53</v>
      </c>
      <c r="H660" s="1" t="s">
        <v>353</v>
      </c>
      <c r="I660" s="1" t="s">
        <v>354</v>
      </c>
      <c r="J660" s="1" t="s">
        <v>211</v>
      </c>
      <c r="K660" t="s">
        <v>457</v>
      </c>
      <c r="M660" s="1" t="s">
        <v>58</v>
      </c>
      <c r="N660" s="1">
        <v>0</v>
      </c>
      <c r="O660" s="1" t="s">
        <v>36</v>
      </c>
      <c r="P660" s="11" t="s">
        <v>1297</v>
      </c>
      <c r="R660" s="1">
        <v>1</v>
      </c>
      <c r="T660" s="1" t="s">
        <v>157</v>
      </c>
      <c r="U660" s="11" t="s">
        <v>1298</v>
      </c>
      <c r="V660" s="1" t="s">
        <v>41</v>
      </c>
      <c r="W660" s="1" t="s">
        <v>49</v>
      </c>
      <c r="X660" s="13" t="str">
        <f t="shared" si="75"/>
        <v/>
      </c>
      <c r="Y660" s="2">
        <f t="shared" ca="1" si="70"/>
        <v>85</v>
      </c>
      <c r="Z660" s="14">
        <v>1</v>
      </c>
      <c r="AA660" s="1" t="str">
        <f t="shared" ca="1" si="71"/>
        <v>VENCIDO</v>
      </c>
      <c r="AB660" s="1" t="str">
        <f t="shared" si="72"/>
        <v>C-14</v>
      </c>
      <c r="AC660" s="2" t="str">
        <f t="shared" si="76"/>
        <v xml:space="preserve"> RINALDO </v>
      </c>
      <c r="AD660" s="2">
        <f t="shared" si="73"/>
        <v>5</v>
      </c>
      <c r="AE660" s="2">
        <f t="shared" ca="1" si="74"/>
        <v>-82.926271643518703</v>
      </c>
      <c r="AF660" s="15"/>
    </row>
    <row r="661" spans="1:32" hidden="1">
      <c r="A661" s="1">
        <v>9036877</v>
      </c>
      <c r="B661" s="1" t="s">
        <v>62</v>
      </c>
      <c r="C661" t="s">
        <v>1299</v>
      </c>
      <c r="E661" s="2">
        <v>5898000203000</v>
      </c>
      <c r="F661" s="1" t="s">
        <v>454</v>
      </c>
      <c r="G661" s="1" t="s">
        <v>53</v>
      </c>
      <c r="H661" s="1" t="s">
        <v>365</v>
      </c>
      <c r="I661" s="1" t="s">
        <v>366</v>
      </c>
      <c r="J661" s="1" t="s">
        <v>164</v>
      </c>
      <c r="K661" t="s">
        <v>457</v>
      </c>
      <c r="M661" s="1" t="s">
        <v>58</v>
      </c>
      <c r="N661" s="1">
        <v>0</v>
      </c>
      <c r="O661" s="1" t="s">
        <v>105</v>
      </c>
      <c r="P661" s="11" t="s">
        <v>1300</v>
      </c>
      <c r="R661" s="1">
        <v>1</v>
      </c>
      <c r="T661" s="1" t="s">
        <v>157</v>
      </c>
      <c r="U661" s="11" t="s">
        <v>1298</v>
      </c>
      <c r="V661" s="1" t="s">
        <v>41</v>
      </c>
      <c r="W661" s="1" t="s">
        <v>49</v>
      </c>
      <c r="X661" s="13" t="str">
        <f t="shared" si="75"/>
        <v/>
      </c>
      <c r="Y661" s="2">
        <f t="shared" ca="1" si="70"/>
        <v>85</v>
      </c>
      <c r="Z661" s="14">
        <v>1</v>
      </c>
      <c r="AA661" s="1" t="str">
        <f t="shared" ca="1" si="71"/>
        <v>VENCIDO</v>
      </c>
      <c r="AB661" s="1" t="str">
        <f t="shared" si="72"/>
        <v>C-14</v>
      </c>
      <c r="AC661" s="2" t="str">
        <f t="shared" si="76"/>
        <v xml:space="preserve"> ROSEMERE </v>
      </c>
      <c r="AD661" s="2">
        <f t="shared" si="73"/>
        <v>5</v>
      </c>
      <c r="AE661" s="2">
        <f t="shared" ca="1" si="74"/>
        <v>-82.926271643518703</v>
      </c>
      <c r="AF661" s="15"/>
    </row>
    <row r="662" spans="1:32" hidden="1">
      <c r="A662" s="1">
        <v>9044943</v>
      </c>
      <c r="B662" s="1" t="s">
        <v>62</v>
      </c>
      <c r="C662" t="s">
        <v>1301</v>
      </c>
      <c r="E662" s="2">
        <v>1902016089900</v>
      </c>
      <c r="F662" s="1" t="s">
        <v>64</v>
      </c>
      <c r="G662" s="1" t="s">
        <v>53</v>
      </c>
      <c r="H662" s="1" t="s">
        <v>175</v>
      </c>
      <c r="I662" s="1" t="s">
        <v>176</v>
      </c>
      <c r="J662" s="1" t="s">
        <v>90</v>
      </c>
      <c r="K662" t="s">
        <v>67</v>
      </c>
      <c r="M662" s="1" t="s">
        <v>35</v>
      </c>
      <c r="N662" s="1">
        <v>42318949</v>
      </c>
      <c r="O662" s="1" t="s">
        <v>36</v>
      </c>
      <c r="P662" s="11" t="s">
        <v>1302</v>
      </c>
      <c r="R662" s="1" t="s">
        <v>571</v>
      </c>
      <c r="T662" s="1" t="s">
        <v>69</v>
      </c>
      <c r="U662" s="11" t="s">
        <v>1303</v>
      </c>
      <c r="V662" s="1" t="s">
        <v>41</v>
      </c>
      <c r="W662" s="1" t="s">
        <v>49</v>
      </c>
      <c r="X662" s="13" t="str">
        <f t="shared" si="75"/>
        <v/>
      </c>
      <c r="Y662" s="2">
        <f t="shared" ca="1" si="70"/>
        <v>83</v>
      </c>
      <c r="Z662" s="14">
        <v>1</v>
      </c>
      <c r="AA662" s="1" t="str">
        <f t="shared" ca="1" si="71"/>
        <v>VENCIDO</v>
      </c>
      <c r="AB662" s="1" t="str">
        <f t="shared" si="72"/>
        <v>TAAe+</v>
      </c>
      <c r="AC662" s="2" t="str">
        <f t="shared" si="76"/>
        <v xml:space="preserve"> RINALDO </v>
      </c>
      <c r="AD662" s="2">
        <f t="shared" si="73"/>
        <v>8</v>
      </c>
      <c r="AE662" s="2">
        <f t="shared" ca="1" si="74"/>
        <v>-105.17176932870643</v>
      </c>
      <c r="AF662" s="15"/>
    </row>
    <row r="663" spans="1:32" hidden="1">
      <c r="A663" s="1">
        <v>9044117</v>
      </c>
      <c r="B663" s="1" t="s">
        <v>62</v>
      </c>
      <c r="C663" t="s">
        <v>1304</v>
      </c>
      <c r="E663" s="2">
        <v>9703000203000</v>
      </c>
      <c r="F663" s="1" t="s">
        <v>454</v>
      </c>
      <c r="G663" s="1" t="s">
        <v>53</v>
      </c>
      <c r="H663" s="1" t="s">
        <v>494</v>
      </c>
      <c r="I663" s="1" t="s">
        <v>495</v>
      </c>
      <c r="J663" s="1" t="s">
        <v>79</v>
      </c>
      <c r="K663" t="s">
        <v>457</v>
      </c>
      <c r="M663" s="1" t="s">
        <v>58</v>
      </c>
      <c r="N663" s="1">
        <v>0</v>
      </c>
      <c r="O663" s="1" t="s">
        <v>36</v>
      </c>
      <c r="P663" s="11" t="s">
        <v>1305</v>
      </c>
      <c r="R663" s="1">
        <v>1</v>
      </c>
      <c r="T663" s="1" t="s">
        <v>157</v>
      </c>
      <c r="U663" s="11" t="s">
        <v>1306</v>
      </c>
      <c r="V663" s="1" t="s">
        <v>41</v>
      </c>
      <c r="W663" s="1" t="s">
        <v>49</v>
      </c>
      <c r="X663" s="13" t="str">
        <f t="shared" si="75"/>
        <v/>
      </c>
      <c r="Y663" s="2">
        <f t="shared" ca="1" si="70"/>
        <v>83</v>
      </c>
      <c r="Z663" s="14">
        <v>1</v>
      </c>
      <c r="AA663" s="1" t="str">
        <f t="shared" ca="1" si="71"/>
        <v>VENCIDO</v>
      </c>
      <c r="AB663" s="1" t="str">
        <f t="shared" si="72"/>
        <v>C-14</v>
      </c>
      <c r="AC663" s="2" t="str">
        <f t="shared" si="76"/>
        <v xml:space="preserve"> ROSEMERE </v>
      </c>
      <c r="AD663" s="2">
        <f t="shared" si="73"/>
        <v>5</v>
      </c>
      <c r="AE663" s="2">
        <f t="shared" ca="1" si="74"/>
        <v>-78.926271643518703</v>
      </c>
      <c r="AF663" s="15"/>
    </row>
    <row r="664" spans="1:32" hidden="1">
      <c r="A664" s="1">
        <v>9047108</v>
      </c>
      <c r="B664" s="1" t="s">
        <v>62</v>
      </c>
      <c r="C664" t="s">
        <v>1307</v>
      </c>
      <c r="E664" s="2">
        <v>9703000206024</v>
      </c>
      <c r="F664" s="1" t="s">
        <v>103</v>
      </c>
      <c r="G664" s="1" t="s">
        <v>53</v>
      </c>
      <c r="H664" s="1" t="s">
        <v>494</v>
      </c>
      <c r="I664" s="1" t="s">
        <v>495</v>
      </c>
      <c r="J664" s="1" t="s">
        <v>79</v>
      </c>
      <c r="K664" t="s">
        <v>104</v>
      </c>
      <c r="M664" s="1" t="s">
        <v>35</v>
      </c>
      <c r="N664" s="1">
        <v>42318949</v>
      </c>
      <c r="O664" s="1" t="s">
        <v>36</v>
      </c>
      <c r="P664" s="11" t="s">
        <v>1308</v>
      </c>
      <c r="R664" s="1" t="s">
        <v>38</v>
      </c>
      <c r="T664" s="1" t="s">
        <v>74</v>
      </c>
      <c r="U664" s="11" t="s">
        <v>1309</v>
      </c>
      <c r="V664" s="1" t="s">
        <v>41</v>
      </c>
      <c r="W664" s="1" t="s">
        <v>49</v>
      </c>
      <c r="X664" s="13" t="str">
        <f t="shared" si="75"/>
        <v/>
      </c>
      <c r="Y664" s="2">
        <f t="shared" ca="1" si="70"/>
        <v>82</v>
      </c>
      <c r="Z664" s="14">
        <v>1</v>
      </c>
      <c r="AA664" s="1" t="str">
        <f t="shared" ca="1" si="71"/>
        <v>VENCIDO</v>
      </c>
      <c r="AB664" s="1" t="str">
        <f t="shared" si="72"/>
        <v>Dosa</v>
      </c>
      <c r="AC664" s="2" t="str">
        <f t="shared" si="76"/>
        <v xml:space="preserve"> ROSEMERE </v>
      </c>
      <c r="AD664" s="2">
        <f t="shared" si="73"/>
        <v>5</v>
      </c>
      <c r="AE664" s="2">
        <f t="shared" ca="1" si="74"/>
        <v>-70.926271643518703</v>
      </c>
      <c r="AF664" s="15"/>
    </row>
    <row r="665" spans="1:32" hidden="1">
      <c r="A665" s="1">
        <v>9047065</v>
      </c>
      <c r="B665" s="1" t="s">
        <v>62</v>
      </c>
      <c r="C665" t="s">
        <v>1310</v>
      </c>
      <c r="E665" s="2">
        <v>9703000206001</v>
      </c>
      <c r="F665" s="1" t="s">
        <v>29</v>
      </c>
      <c r="G665" s="1" t="s">
        <v>53</v>
      </c>
      <c r="H665" s="1" t="s">
        <v>494</v>
      </c>
      <c r="I665" s="1" t="s">
        <v>495</v>
      </c>
      <c r="J665" s="1" t="s">
        <v>79</v>
      </c>
      <c r="K665" t="s">
        <v>34</v>
      </c>
      <c r="M665" s="1" t="s">
        <v>35</v>
      </c>
      <c r="N665" s="1">
        <v>42318949</v>
      </c>
      <c r="O665" s="1" t="s">
        <v>36</v>
      </c>
      <c r="P665" s="11" t="s">
        <v>1311</v>
      </c>
      <c r="R665" s="1" t="s">
        <v>38</v>
      </c>
      <c r="T665" s="1" t="s">
        <v>74</v>
      </c>
      <c r="U665" s="11" t="s">
        <v>1309</v>
      </c>
      <c r="V665" s="1" t="s">
        <v>41</v>
      </c>
      <c r="W665" s="1" t="s">
        <v>49</v>
      </c>
      <c r="X665" s="13" t="str">
        <f t="shared" si="75"/>
        <v/>
      </c>
      <c r="Y665" s="2">
        <f t="shared" ca="1" si="70"/>
        <v>82</v>
      </c>
      <c r="Z665" s="14">
        <v>1</v>
      </c>
      <c r="AA665" s="1" t="str">
        <f t="shared" ca="1" si="71"/>
        <v>VENCIDO</v>
      </c>
      <c r="AB665" s="1" t="str">
        <f t="shared" si="72"/>
        <v>Dosa</v>
      </c>
      <c r="AC665" s="2" t="str">
        <f t="shared" si="76"/>
        <v xml:space="preserve"> ROSEMERE </v>
      </c>
      <c r="AD665" s="2">
        <f t="shared" si="73"/>
        <v>5</v>
      </c>
      <c r="AE665" s="2">
        <f t="shared" ca="1" si="74"/>
        <v>-70.926271643518703</v>
      </c>
      <c r="AF665" s="15"/>
    </row>
    <row r="666" spans="1:32" hidden="1">
      <c r="A666" s="1">
        <v>9051455</v>
      </c>
      <c r="B666" s="1" t="s">
        <v>27</v>
      </c>
      <c r="C666" t="s">
        <v>1312</v>
      </c>
      <c r="E666" s="2">
        <v>1792000206001</v>
      </c>
      <c r="F666" s="1" t="s">
        <v>29</v>
      </c>
      <c r="G666" s="1" t="s">
        <v>53</v>
      </c>
      <c r="H666" s="1" t="s">
        <v>467</v>
      </c>
      <c r="I666" s="1" t="s">
        <v>468</v>
      </c>
      <c r="J666" s="1" t="s">
        <v>110</v>
      </c>
      <c r="K666" t="s">
        <v>34</v>
      </c>
      <c r="M666" s="1" t="s">
        <v>35</v>
      </c>
      <c r="N666" s="1">
        <v>42318949</v>
      </c>
      <c r="O666" s="1" t="s">
        <v>36</v>
      </c>
      <c r="P666" s="11" t="s">
        <v>3456</v>
      </c>
      <c r="R666" s="1" t="s">
        <v>38</v>
      </c>
      <c r="T666" s="1" t="s">
        <v>74</v>
      </c>
      <c r="U666" s="11" t="s">
        <v>3457</v>
      </c>
      <c r="V666" s="1" t="s">
        <v>41</v>
      </c>
      <c r="W666" s="1" t="s">
        <v>49</v>
      </c>
      <c r="X666" s="13" t="str">
        <f t="shared" si="75"/>
        <v/>
      </c>
      <c r="Y666" s="2">
        <f t="shared" ca="1" si="70"/>
        <v>81</v>
      </c>
      <c r="Z666" s="14">
        <v>1</v>
      </c>
      <c r="AA666" s="1" t="str">
        <f t="shared" ca="1" si="71"/>
        <v>VENCIDO</v>
      </c>
      <c r="AB666" s="1" t="str">
        <f t="shared" si="72"/>
        <v>Dosa</v>
      </c>
      <c r="AC666" s="2" t="str">
        <f t="shared" si="76"/>
        <v xml:space="preserve"> CRISTINA </v>
      </c>
      <c r="AD666" s="2">
        <f t="shared" si="73"/>
        <v>5</v>
      </c>
      <c r="AE666" s="2">
        <f t="shared" ca="1" si="74"/>
        <v>-110.9262716435187</v>
      </c>
      <c r="AF666" s="15"/>
    </row>
    <row r="667" spans="1:32" hidden="1">
      <c r="A667" s="1">
        <v>9050458</v>
      </c>
      <c r="B667" s="1" t="s">
        <v>81</v>
      </c>
      <c r="C667" t="s">
        <v>1210</v>
      </c>
      <c r="E667" s="2">
        <v>7417183024674</v>
      </c>
      <c r="F667" s="1" t="s">
        <v>1313</v>
      </c>
      <c r="G667" s="1" t="s">
        <v>53</v>
      </c>
      <c r="H667" s="1" t="s">
        <v>1314</v>
      </c>
      <c r="I667" s="1" t="s">
        <v>1315</v>
      </c>
      <c r="J667" s="1" t="s">
        <v>164</v>
      </c>
      <c r="K667" t="s">
        <v>1316</v>
      </c>
      <c r="M667" s="1" t="s">
        <v>58</v>
      </c>
      <c r="N667" s="1">
        <v>0</v>
      </c>
      <c r="O667" s="1" t="s">
        <v>105</v>
      </c>
      <c r="P667" s="11" t="s">
        <v>1317</v>
      </c>
      <c r="R667" s="1">
        <v>15</v>
      </c>
      <c r="T667" s="1" t="s">
        <v>238</v>
      </c>
      <c r="U667" s="11" t="s">
        <v>1318</v>
      </c>
      <c r="V667" s="1" t="s">
        <v>41</v>
      </c>
      <c r="W667" s="1" t="s">
        <v>49</v>
      </c>
      <c r="X667" s="13" t="str">
        <f t="shared" si="75"/>
        <v>1049.91</v>
      </c>
      <c r="Y667" s="2">
        <f t="shared" ca="1" si="70"/>
        <v>81</v>
      </c>
      <c r="Z667" s="14">
        <v>1</v>
      </c>
      <c r="AA667" s="1" t="str">
        <f t="shared" ca="1" si="71"/>
        <v>VENCIDO</v>
      </c>
      <c r="AB667" s="1" t="str">
        <f t="shared" si="72"/>
        <v>TAAe+</v>
      </c>
      <c r="AC667" s="2" t="str">
        <f t="shared" si="76"/>
        <v xml:space="preserve"> ROSEMERE </v>
      </c>
      <c r="AD667" s="2">
        <f t="shared" si="73"/>
        <v>8</v>
      </c>
      <c r="AE667" s="2">
        <f t="shared" ca="1" si="74"/>
        <v>-111.18638738425943</v>
      </c>
      <c r="AF667" s="15"/>
    </row>
    <row r="668" spans="1:32" hidden="1">
      <c r="A668" s="1">
        <v>9056147</v>
      </c>
      <c r="B668" s="1" t="s">
        <v>62</v>
      </c>
      <c r="C668" t="s">
        <v>1319</v>
      </c>
      <c r="E668" s="2">
        <v>159000206001</v>
      </c>
      <c r="F668" s="1" t="s">
        <v>29</v>
      </c>
      <c r="G668" s="1" t="s">
        <v>53</v>
      </c>
      <c r="H668" s="1" t="s">
        <v>331</v>
      </c>
      <c r="I668" s="1" t="s">
        <v>332</v>
      </c>
      <c r="J668" s="1" t="s">
        <v>79</v>
      </c>
      <c r="K668" t="s">
        <v>34</v>
      </c>
      <c r="M668" s="1" t="s">
        <v>35</v>
      </c>
      <c r="N668" s="1">
        <v>42318949</v>
      </c>
      <c r="O668" s="1" t="s">
        <v>105</v>
      </c>
      <c r="P668" s="11" t="s">
        <v>1320</v>
      </c>
      <c r="R668" s="1" t="s">
        <v>38</v>
      </c>
      <c r="T668" s="1" t="s">
        <v>74</v>
      </c>
      <c r="U668" s="11" t="s">
        <v>1321</v>
      </c>
      <c r="V668" s="1" t="s">
        <v>41</v>
      </c>
      <c r="W668" s="1" t="s">
        <v>49</v>
      </c>
      <c r="X668" s="13" t="str">
        <f t="shared" si="75"/>
        <v/>
      </c>
      <c r="Y668" s="2">
        <f t="shared" ca="1" si="70"/>
        <v>79</v>
      </c>
      <c r="Z668" s="14">
        <v>1</v>
      </c>
      <c r="AA668" s="1" t="str">
        <f t="shared" ca="1" si="71"/>
        <v>VENCIDO</v>
      </c>
      <c r="AB668" s="1" t="str">
        <f t="shared" si="72"/>
        <v>Dosa</v>
      </c>
      <c r="AC668" s="2" t="str">
        <f t="shared" si="76"/>
        <v xml:space="preserve"> ROSEMERE </v>
      </c>
      <c r="AD668" s="2">
        <f t="shared" si="73"/>
        <v>5</v>
      </c>
      <c r="AE668" s="2">
        <f t="shared" ca="1" si="74"/>
        <v>-67.926271643518703</v>
      </c>
      <c r="AF668" s="15"/>
    </row>
    <row r="669" spans="1:32" hidden="1">
      <c r="A669" s="1">
        <v>9065338</v>
      </c>
      <c r="B669" s="1" t="s">
        <v>1153</v>
      </c>
      <c r="C669" t="s">
        <v>1322</v>
      </c>
      <c r="D669" s="2">
        <v>220184615</v>
      </c>
      <c r="E669" s="2">
        <v>2138001400030</v>
      </c>
      <c r="F669" s="1" t="s">
        <v>647</v>
      </c>
      <c r="G669" s="1" t="s">
        <v>53</v>
      </c>
      <c r="H669" s="1" t="s">
        <v>379</v>
      </c>
      <c r="I669" s="1" t="s">
        <v>380</v>
      </c>
      <c r="J669" s="1" t="s">
        <v>46</v>
      </c>
      <c r="K669" t="s">
        <v>650</v>
      </c>
      <c r="M669" s="1" t="s">
        <v>58</v>
      </c>
      <c r="N669" s="1">
        <v>0</v>
      </c>
      <c r="O669" s="1" t="s">
        <v>36</v>
      </c>
      <c r="P669" s="11" t="s">
        <v>1323</v>
      </c>
      <c r="R669" s="1">
        <v>4</v>
      </c>
      <c r="T669" s="1" t="s">
        <v>646</v>
      </c>
      <c r="U669" s="11" t="s">
        <v>3458</v>
      </c>
      <c r="V669" s="1" t="s">
        <v>41</v>
      </c>
      <c r="W669" s="1" t="s">
        <v>49</v>
      </c>
      <c r="X669" s="13" t="str">
        <f t="shared" si="75"/>
        <v/>
      </c>
      <c r="Y669" s="2">
        <f t="shared" ca="1" si="70"/>
        <v>78</v>
      </c>
      <c r="Z669" s="14">
        <v>1</v>
      </c>
      <c r="AA669" s="1" t="str">
        <f t="shared" ca="1" si="71"/>
        <v>VENCIDO</v>
      </c>
      <c r="AB669" s="1" t="str">
        <f t="shared" si="72"/>
        <v>C-14</v>
      </c>
      <c r="AC669" s="2" t="str">
        <f t="shared" si="76"/>
        <v xml:space="preserve"> CLEITON </v>
      </c>
      <c r="AD669" s="2">
        <f t="shared" si="73"/>
        <v>15</v>
      </c>
      <c r="AE669" s="2">
        <f t="shared" ca="1" si="74"/>
        <v>-99.197104976854462</v>
      </c>
      <c r="AF669" s="15"/>
    </row>
    <row r="670" spans="1:32" hidden="1">
      <c r="A670" s="1">
        <v>9095498</v>
      </c>
      <c r="B670" s="1" t="s">
        <v>1153</v>
      </c>
      <c r="C670" t="s">
        <v>1324</v>
      </c>
      <c r="D670" s="2">
        <v>220188160</v>
      </c>
      <c r="E670" s="2">
        <v>1049001400030</v>
      </c>
      <c r="F670" s="1" t="s">
        <v>647</v>
      </c>
      <c r="G670" s="1" t="s">
        <v>53</v>
      </c>
      <c r="H670" s="1" t="s">
        <v>169</v>
      </c>
      <c r="I670" s="1" t="s">
        <v>170</v>
      </c>
      <c r="J670" s="1" t="s">
        <v>164</v>
      </c>
      <c r="K670" t="s">
        <v>650</v>
      </c>
      <c r="M670" s="1" t="s">
        <v>58</v>
      </c>
      <c r="N670" s="1">
        <v>0</v>
      </c>
      <c r="O670" s="1" t="s">
        <v>36</v>
      </c>
      <c r="P670" s="11" t="s">
        <v>1325</v>
      </c>
      <c r="R670" s="1">
        <v>4</v>
      </c>
      <c r="T670" s="1" t="s">
        <v>646</v>
      </c>
      <c r="U670" s="11" t="s">
        <v>1326</v>
      </c>
      <c r="V670" s="1" t="s">
        <v>41</v>
      </c>
      <c r="W670" s="1" t="s">
        <v>49</v>
      </c>
      <c r="X670" s="13" t="str">
        <f t="shared" si="75"/>
        <v/>
      </c>
      <c r="Y670" s="2">
        <f t="shared" ca="1" si="70"/>
        <v>71</v>
      </c>
      <c r="Z670" s="14">
        <v>1</v>
      </c>
      <c r="AA670" s="1" t="str">
        <f t="shared" ca="1" si="71"/>
        <v>VENCIDO</v>
      </c>
      <c r="AB670" s="1" t="str">
        <f t="shared" si="72"/>
        <v>C-14</v>
      </c>
      <c r="AC670" s="2" t="str">
        <f t="shared" si="76"/>
        <v xml:space="preserve"> ROSEMERE </v>
      </c>
      <c r="AD670" s="2">
        <f t="shared" si="73"/>
        <v>15</v>
      </c>
      <c r="AE670" s="2">
        <f t="shared" ca="1" si="74"/>
        <v>-91.186676736113441</v>
      </c>
      <c r="AF670" s="15"/>
    </row>
    <row r="671" spans="1:32" hidden="1">
      <c r="A671" s="1">
        <v>9095341</v>
      </c>
      <c r="B671" s="1" t="s">
        <v>62</v>
      </c>
      <c r="C671" t="s">
        <v>1327</v>
      </c>
      <c r="E671" s="2">
        <v>2335000203000</v>
      </c>
      <c r="F671" s="1" t="s">
        <v>454</v>
      </c>
      <c r="G671" s="1" t="s">
        <v>53</v>
      </c>
      <c r="H671" s="1" t="s">
        <v>194</v>
      </c>
      <c r="I671" s="1" t="s">
        <v>195</v>
      </c>
      <c r="J671" s="1" t="s">
        <v>110</v>
      </c>
      <c r="K671" t="s">
        <v>457</v>
      </c>
      <c r="M671" s="1" t="s">
        <v>58</v>
      </c>
      <c r="N671" s="1">
        <v>0</v>
      </c>
      <c r="O671" s="1" t="s">
        <v>36</v>
      </c>
      <c r="P671" s="11" t="s">
        <v>1328</v>
      </c>
      <c r="R671" s="1">
        <v>1</v>
      </c>
      <c r="T671" s="1" t="s">
        <v>157</v>
      </c>
      <c r="U671" s="11" t="s">
        <v>1329</v>
      </c>
      <c r="V671" s="1" t="s">
        <v>41</v>
      </c>
      <c r="W671" s="1" t="s">
        <v>49</v>
      </c>
      <c r="X671" s="13" t="str">
        <f t="shared" si="75"/>
        <v/>
      </c>
      <c r="Y671" s="2">
        <f t="shared" ca="1" si="70"/>
        <v>71</v>
      </c>
      <c r="Z671" s="14">
        <v>1</v>
      </c>
      <c r="AA671" s="1" t="str">
        <f t="shared" ca="1" si="71"/>
        <v>VENCIDO</v>
      </c>
      <c r="AB671" s="1" t="str">
        <f t="shared" si="72"/>
        <v>C-14</v>
      </c>
      <c r="AC671" s="2" t="str">
        <f t="shared" si="76"/>
        <v xml:space="preserve"> CRISTINA </v>
      </c>
      <c r="AD671" s="2">
        <f t="shared" si="73"/>
        <v>5</v>
      </c>
      <c r="AE671" s="2">
        <f t="shared" ca="1" si="74"/>
        <v>-57.926271643518703</v>
      </c>
      <c r="AF671" s="15"/>
    </row>
    <row r="672" spans="1:32" hidden="1">
      <c r="A672" s="1">
        <v>9093400</v>
      </c>
      <c r="B672" s="1" t="s">
        <v>101</v>
      </c>
      <c r="C672" t="s">
        <v>643</v>
      </c>
      <c r="D672" s="2">
        <v>220160091</v>
      </c>
      <c r="E672" s="2">
        <v>68001400010</v>
      </c>
      <c r="F672" s="1" t="s">
        <v>936</v>
      </c>
      <c r="G672" s="1" t="s">
        <v>53</v>
      </c>
      <c r="H672" s="1" t="s">
        <v>1330</v>
      </c>
      <c r="I672" s="1" t="s">
        <v>1331</v>
      </c>
      <c r="J672" s="1" t="s">
        <v>211</v>
      </c>
      <c r="K672" t="s">
        <v>937</v>
      </c>
      <c r="M672" s="1" t="s">
        <v>58</v>
      </c>
      <c r="N672" s="1">
        <v>0</v>
      </c>
      <c r="O672" s="1" t="s">
        <v>105</v>
      </c>
      <c r="P672" s="11" t="s">
        <v>1332</v>
      </c>
      <c r="R672" s="1">
        <v>3</v>
      </c>
      <c r="T672" s="1" t="s">
        <v>646</v>
      </c>
      <c r="U672" s="11" t="s">
        <v>1333</v>
      </c>
      <c r="V672" s="1" t="s">
        <v>41</v>
      </c>
      <c r="W672" s="1" t="s">
        <v>49</v>
      </c>
      <c r="X672" s="13" t="str">
        <f t="shared" si="75"/>
        <v/>
      </c>
      <c r="Y672" s="2">
        <f t="shared" ca="1" si="70"/>
        <v>71</v>
      </c>
      <c r="Z672" s="14">
        <v>1</v>
      </c>
      <c r="AA672" s="1" t="str">
        <f t="shared" ca="1" si="71"/>
        <v>VENCIDO</v>
      </c>
      <c r="AB672" s="1" t="str">
        <f t="shared" si="72"/>
        <v>C-14</v>
      </c>
      <c r="AC672" s="2" t="str">
        <f t="shared" si="76"/>
        <v xml:space="preserve"> RINALDO </v>
      </c>
      <c r="AD672" s="2">
        <f t="shared" si="73"/>
        <v>5</v>
      </c>
      <c r="AE672" s="2">
        <f t="shared" ca="1" si="74"/>
        <v>-97.325878124996962</v>
      </c>
      <c r="AF672" s="15"/>
    </row>
    <row r="673" spans="1:32" hidden="1">
      <c r="A673" s="1">
        <v>9093399</v>
      </c>
      <c r="B673" s="1" t="s">
        <v>101</v>
      </c>
      <c r="C673" t="s">
        <v>643</v>
      </c>
      <c r="D673" s="2">
        <v>220160090</v>
      </c>
      <c r="E673" s="2">
        <v>67001400010</v>
      </c>
      <c r="F673" s="1" t="s">
        <v>936</v>
      </c>
      <c r="G673" s="1" t="s">
        <v>53</v>
      </c>
      <c r="H673" s="1" t="s">
        <v>404</v>
      </c>
      <c r="I673" s="1" t="s">
        <v>405</v>
      </c>
      <c r="J673" s="1" t="s">
        <v>164</v>
      </c>
      <c r="K673" t="s">
        <v>937</v>
      </c>
      <c r="M673" s="1" t="s">
        <v>58</v>
      </c>
      <c r="N673" s="1">
        <v>0</v>
      </c>
      <c r="O673" s="1" t="s">
        <v>105</v>
      </c>
      <c r="P673" s="11" t="s">
        <v>1334</v>
      </c>
      <c r="R673" s="1">
        <v>3</v>
      </c>
      <c r="T673" s="1" t="s">
        <v>646</v>
      </c>
      <c r="U673" s="11" t="s">
        <v>1335</v>
      </c>
      <c r="V673" s="1" t="s">
        <v>41</v>
      </c>
      <c r="W673" s="1" t="s">
        <v>49</v>
      </c>
      <c r="X673" s="13" t="str">
        <f t="shared" si="75"/>
        <v/>
      </c>
      <c r="Y673" s="2">
        <f t="shared" ca="1" si="70"/>
        <v>71</v>
      </c>
      <c r="Z673" s="14">
        <v>1</v>
      </c>
      <c r="AA673" s="1" t="str">
        <f t="shared" ca="1" si="71"/>
        <v>VENCIDO</v>
      </c>
      <c r="AB673" s="1" t="str">
        <f t="shared" si="72"/>
        <v>C-14</v>
      </c>
      <c r="AC673" s="2" t="str">
        <f t="shared" si="76"/>
        <v xml:space="preserve"> ROSEMERE </v>
      </c>
      <c r="AD673" s="2">
        <f t="shared" si="73"/>
        <v>5</v>
      </c>
      <c r="AE673" s="2">
        <f t="shared" ca="1" si="74"/>
        <v>-97.325935995373584</v>
      </c>
      <c r="AF673" s="15"/>
    </row>
    <row r="674" spans="1:32" hidden="1">
      <c r="A674" s="1">
        <v>9110613</v>
      </c>
      <c r="B674" s="1" t="s">
        <v>62</v>
      </c>
      <c r="C674" t="s">
        <v>1336</v>
      </c>
      <c r="E674" s="2">
        <v>2830000203010</v>
      </c>
      <c r="F674" s="1" t="s">
        <v>152</v>
      </c>
      <c r="G674" s="1" t="s">
        <v>53</v>
      </c>
      <c r="H674" s="1" t="s">
        <v>448</v>
      </c>
      <c r="I674" s="1" t="s">
        <v>449</v>
      </c>
      <c r="J674" s="1" t="s">
        <v>33</v>
      </c>
      <c r="K674" t="s">
        <v>155</v>
      </c>
      <c r="M674" s="1" t="s">
        <v>35</v>
      </c>
      <c r="N674" s="1">
        <v>42318949</v>
      </c>
      <c r="O674" s="1" t="s">
        <v>105</v>
      </c>
      <c r="P674" s="11" t="s">
        <v>1337</v>
      </c>
      <c r="R674" s="1">
        <v>1</v>
      </c>
      <c r="T674" s="1" t="s">
        <v>157</v>
      </c>
      <c r="U674" s="11" t="s">
        <v>1338</v>
      </c>
      <c r="V674" s="1" t="s">
        <v>41</v>
      </c>
      <c r="W674" s="1" t="s">
        <v>42</v>
      </c>
      <c r="X674" s="13" t="str">
        <f t="shared" si="75"/>
        <v/>
      </c>
      <c r="Y674" s="2">
        <f t="shared" ca="1" si="70"/>
        <v>68</v>
      </c>
      <c r="Z674" s="14">
        <v>1</v>
      </c>
      <c r="AA674" s="1" t="str">
        <f t="shared" ca="1" si="71"/>
        <v>VENCIDO</v>
      </c>
      <c r="AB674" s="1" t="str">
        <f t="shared" si="72"/>
        <v>TAAe+</v>
      </c>
      <c r="AC674" s="2" t="str">
        <f t="shared" si="76"/>
        <v xml:space="preserve"> ROSEMERE </v>
      </c>
      <c r="AD674" s="2">
        <f t="shared" si="73"/>
        <v>8</v>
      </c>
      <c r="AE674" s="2">
        <f t="shared" ca="1" si="74"/>
        <v>-60.926271643518703</v>
      </c>
      <c r="AF674" s="15"/>
    </row>
    <row r="675" spans="1:32" hidden="1">
      <c r="A675" s="1">
        <v>9110065</v>
      </c>
      <c r="B675" s="1" t="s">
        <v>62</v>
      </c>
      <c r="C675" t="s">
        <v>1339</v>
      </c>
      <c r="E675" s="2">
        <v>9703000206021</v>
      </c>
      <c r="F675" s="1" t="s">
        <v>103</v>
      </c>
      <c r="G675" s="1" t="s">
        <v>53</v>
      </c>
      <c r="H675" s="1" t="s">
        <v>494</v>
      </c>
      <c r="I675" s="1" t="s">
        <v>495</v>
      </c>
      <c r="J675" s="1" t="s">
        <v>79</v>
      </c>
      <c r="K675" t="s">
        <v>104</v>
      </c>
      <c r="M675" s="1" t="s">
        <v>58</v>
      </c>
      <c r="N675" s="1">
        <v>0</v>
      </c>
      <c r="O675" s="1" t="s">
        <v>105</v>
      </c>
      <c r="P675" s="11" t="s">
        <v>1340</v>
      </c>
      <c r="R675" s="1" t="s">
        <v>38</v>
      </c>
      <c r="T675" s="1" t="s">
        <v>74</v>
      </c>
      <c r="U675" s="11" t="s">
        <v>1341</v>
      </c>
      <c r="V675" s="1" t="s">
        <v>41</v>
      </c>
      <c r="W675" s="1" t="s">
        <v>49</v>
      </c>
      <c r="X675" s="13" t="str">
        <f t="shared" si="75"/>
        <v/>
      </c>
      <c r="Y675" s="2">
        <f t="shared" ca="1" si="70"/>
        <v>68</v>
      </c>
      <c r="Z675" s="14">
        <v>1</v>
      </c>
      <c r="AA675" s="1" t="str">
        <f t="shared" ca="1" si="71"/>
        <v>VENCIDO</v>
      </c>
      <c r="AB675" s="1" t="str">
        <f t="shared" si="72"/>
        <v>Dosa</v>
      </c>
      <c r="AC675" s="2" t="str">
        <f t="shared" si="76"/>
        <v xml:space="preserve"> ROSEMERE </v>
      </c>
      <c r="AD675" s="2">
        <f t="shared" si="73"/>
        <v>5</v>
      </c>
      <c r="AE675" s="2">
        <f t="shared" ca="1" si="74"/>
        <v>-53.926271643518703</v>
      </c>
      <c r="AF675" s="15"/>
    </row>
    <row r="676" spans="1:32" hidden="1">
      <c r="A676" s="1">
        <v>9110056</v>
      </c>
      <c r="B676" s="1" t="s">
        <v>62</v>
      </c>
      <c r="C676" t="s">
        <v>1342</v>
      </c>
      <c r="E676" s="2">
        <v>9703000206021</v>
      </c>
      <c r="F676" s="1" t="s">
        <v>103</v>
      </c>
      <c r="G676" s="1" t="s">
        <v>53</v>
      </c>
      <c r="H676" s="1" t="s">
        <v>494</v>
      </c>
      <c r="I676" s="1" t="s">
        <v>495</v>
      </c>
      <c r="J676" s="1" t="s">
        <v>79</v>
      </c>
      <c r="K676" t="s">
        <v>104</v>
      </c>
      <c r="M676" s="1" t="s">
        <v>58</v>
      </c>
      <c r="N676" s="1">
        <v>0</v>
      </c>
      <c r="O676" s="1" t="s">
        <v>105</v>
      </c>
      <c r="P676" s="11" t="s">
        <v>1343</v>
      </c>
      <c r="R676" s="1" t="s">
        <v>38</v>
      </c>
      <c r="T676" s="1" t="s">
        <v>74</v>
      </c>
      <c r="U676" s="11" t="s">
        <v>1341</v>
      </c>
      <c r="V676" s="1" t="s">
        <v>41</v>
      </c>
      <c r="W676" s="1" t="s">
        <v>49</v>
      </c>
      <c r="X676" s="13" t="str">
        <f t="shared" si="75"/>
        <v/>
      </c>
      <c r="Y676" s="2">
        <f t="shared" ca="1" si="70"/>
        <v>68</v>
      </c>
      <c r="Z676" s="14">
        <v>1</v>
      </c>
      <c r="AA676" s="1" t="str">
        <f t="shared" ca="1" si="71"/>
        <v>VENCIDO</v>
      </c>
      <c r="AB676" s="1" t="str">
        <f t="shared" si="72"/>
        <v>Dosa</v>
      </c>
      <c r="AC676" s="2" t="str">
        <f t="shared" si="76"/>
        <v xml:space="preserve"> ROSEMERE </v>
      </c>
      <c r="AD676" s="2">
        <f t="shared" si="73"/>
        <v>5</v>
      </c>
      <c r="AE676" s="2">
        <f t="shared" ca="1" si="74"/>
        <v>-53.926271643518703</v>
      </c>
      <c r="AF676" s="15"/>
    </row>
    <row r="677" spans="1:32" hidden="1">
      <c r="A677" s="1">
        <v>9110055</v>
      </c>
      <c r="B677" s="1" t="s">
        <v>62</v>
      </c>
      <c r="C677" t="s">
        <v>1342</v>
      </c>
      <c r="E677" s="2">
        <v>9703000206021</v>
      </c>
      <c r="F677" s="1" t="s">
        <v>103</v>
      </c>
      <c r="G677" s="1" t="s">
        <v>53</v>
      </c>
      <c r="H677" s="1" t="s">
        <v>494</v>
      </c>
      <c r="I677" s="1" t="s">
        <v>495</v>
      </c>
      <c r="J677" s="1" t="s">
        <v>79</v>
      </c>
      <c r="K677" t="s">
        <v>104</v>
      </c>
      <c r="M677" s="1" t="s">
        <v>58</v>
      </c>
      <c r="N677" s="1">
        <v>0</v>
      </c>
      <c r="O677" s="1" t="s">
        <v>105</v>
      </c>
      <c r="P677" s="11" t="s">
        <v>1344</v>
      </c>
      <c r="R677" s="1" t="s">
        <v>38</v>
      </c>
      <c r="T677" s="1" t="s">
        <v>74</v>
      </c>
      <c r="U677" s="11" t="s">
        <v>1341</v>
      </c>
      <c r="V677" s="1" t="s">
        <v>41</v>
      </c>
      <c r="W677" s="1" t="s">
        <v>49</v>
      </c>
      <c r="X677" s="13" t="str">
        <f t="shared" si="75"/>
        <v/>
      </c>
      <c r="Y677" s="2">
        <f t="shared" ca="1" si="70"/>
        <v>68</v>
      </c>
      <c r="Z677" s="14">
        <v>1</v>
      </c>
      <c r="AA677" s="1" t="str">
        <f t="shared" ca="1" si="71"/>
        <v>VENCIDO</v>
      </c>
      <c r="AB677" s="1" t="str">
        <f t="shared" si="72"/>
        <v>Dosa</v>
      </c>
      <c r="AC677" s="2" t="str">
        <f t="shared" si="76"/>
        <v xml:space="preserve"> ROSEMERE </v>
      </c>
      <c r="AD677" s="2">
        <f t="shared" si="73"/>
        <v>5</v>
      </c>
      <c r="AE677" s="2">
        <f t="shared" ca="1" si="74"/>
        <v>-53.926271643518703</v>
      </c>
      <c r="AF677" s="15"/>
    </row>
    <row r="678" spans="1:32" hidden="1">
      <c r="A678" s="1">
        <v>9110054</v>
      </c>
      <c r="B678" s="1" t="s">
        <v>27</v>
      </c>
      <c r="C678" t="s">
        <v>1342</v>
      </c>
      <c r="E678" s="2">
        <v>9703000206021</v>
      </c>
      <c r="F678" s="1" t="s">
        <v>103</v>
      </c>
      <c r="G678" s="1" t="s">
        <v>53</v>
      </c>
      <c r="H678" s="1" t="s">
        <v>494</v>
      </c>
      <c r="I678" s="1" t="s">
        <v>495</v>
      </c>
      <c r="J678" s="1" t="s">
        <v>79</v>
      </c>
      <c r="K678" t="s">
        <v>104</v>
      </c>
      <c r="M678" s="1" t="s">
        <v>58</v>
      </c>
      <c r="N678" s="1">
        <v>0</v>
      </c>
      <c r="O678" s="1" t="s">
        <v>105</v>
      </c>
      <c r="P678" s="11" t="s">
        <v>1345</v>
      </c>
      <c r="R678" s="1" t="s">
        <v>38</v>
      </c>
      <c r="T678" s="1" t="s">
        <v>74</v>
      </c>
      <c r="U678" s="11" t="s">
        <v>1341</v>
      </c>
      <c r="V678" s="1" t="s">
        <v>41</v>
      </c>
      <c r="W678" s="1" t="s">
        <v>49</v>
      </c>
      <c r="X678" s="13" t="str">
        <f t="shared" si="75"/>
        <v/>
      </c>
      <c r="Y678" s="2">
        <f t="shared" ca="1" si="70"/>
        <v>68</v>
      </c>
      <c r="Z678" s="14">
        <v>1</v>
      </c>
      <c r="AA678" s="1" t="str">
        <f t="shared" ca="1" si="71"/>
        <v>VENCIDO</v>
      </c>
      <c r="AB678" s="1" t="str">
        <f t="shared" si="72"/>
        <v>Dosa</v>
      </c>
      <c r="AC678" s="2" t="str">
        <f t="shared" si="76"/>
        <v xml:space="preserve"> ROSEMERE </v>
      </c>
      <c r="AD678" s="2">
        <f t="shared" si="73"/>
        <v>5</v>
      </c>
      <c r="AE678" s="2">
        <f t="shared" ca="1" si="74"/>
        <v>-53.926271643518703</v>
      </c>
      <c r="AF678" s="15"/>
    </row>
    <row r="679" spans="1:32" hidden="1">
      <c r="A679" s="1">
        <v>9110053</v>
      </c>
      <c r="B679" s="1" t="s">
        <v>62</v>
      </c>
      <c r="C679" t="s">
        <v>1346</v>
      </c>
      <c r="E679" s="2">
        <v>9703000206021</v>
      </c>
      <c r="F679" s="1" t="s">
        <v>103</v>
      </c>
      <c r="G679" s="1" t="s">
        <v>53</v>
      </c>
      <c r="H679" s="1" t="s">
        <v>494</v>
      </c>
      <c r="I679" s="1" t="s">
        <v>495</v>
      </c>
      <c r="J679" s="1" t="s">
        <v>79</v>
      </c>
      <c r="K679" t="s">
        <v>104</v>
      </c>
      <c r="M679" s="1" t="s">
        <v>58</v>
      </c>
      <c r="N679" s="1">
        <v>0</v>
      </c>
      <c r="O679" s="1" t="s">
        <v>105</v>
      </c>
      <c r="P679" s="11" t="s">
        <v>1347</v>
      </c>
      <c r="R679" s="1" t="s">
        <v>38</v>
      </c>
      <c r="T679" s="1" t="s">
        <v>74</v>
      </c>
      <c r="U679" s="11" t="s">
        <v>1341</v>
      </c>
      <c r="V679" s="1" t="s">
        <v>41</v>
      </c>
      <c r="W679" s="1" t="s">
        <v>49</v>
      </c>
      <c r="X679" s="13" t="str">
        <f t="shared" si="75"/>
        <v/>
      </c>
      <c r="Y679" s="2">
        <f t="shared" ca="1" si="70"/>
        <v>68</v>
      </c>
      <c r="Z679" s="14">
        <v>1</v>
      </c>
      <c r="AA679" s="1" t="str">
        <f t="shared" ca="1" si="71"/>
        <v>VENCIDO</v>
      </c>
      <c r="AB679" s="1" t="str">
        <f t="shared" si="72"/>
        <v>Dosa</v>
      </c>
      <c r="AC679" s="2" t="str">
        <f t="shared" si="76"/>
        <v xml:space="preserve"> ROSEMERE </v>
      </c>
      <c r="AD679" s="2">
        <f t="shared" si="73"/>
        <v>5</v>
      </c>
      <c r="AE679" s="2">
        <f t="shared" ca="1" si="74"/>
        <v>-53.926271643518703</v>
      </c>
      <c r="AF679" s="15"/>
    </row>
    <row r="680" spans="1:32" hidden="1">
      <c r="A680" s="173">
        <v>9119774</v>
      </c>
      <c r="B680" s="173" t="s">
        <v>1153</v>
      </c>
      <c r="C680" s="178" t="s">
        <v>3459</v>
      </c>
      <c r="D680" s="174">
        <v>220190443</v>
      </c>
      <c r="E680" s="174">
        <v>1146001400030</v>
      </c>
      <c r="F680" s="173" t="s">
        <v>647</v>
      </c>
      <c r="G680" s="173" t="s">
        <v>53</v>
      </c>
      <c r="H680" s="173" t="s">
        <v>315</v>
      </c>
      <c r="I680" s="173" t="s">
        <v>316</v>
      </c>
      <c r="J680" s="173" t="s">
        <v>148</v>
      </c>
      <c r="K680" t="s">
        <v>650</v>
      </c>
      <c r="M680" s="1" t="s">
        <v>58</v>
      </c>
      <c r="N680" s="1">
        <v>0</v>
      </c>
      <c r="O680" s="1" t="s">
        <v>36</v>
      </c>
      <c r="P680" s="11" t="s">
        <v>1349</v>
      </c>
      <c r="R680" s="1">
        <v>4</v>
      </c>
      <c r="T680" s="1" t="s">
        <v>646</v>
      </c>
      <c r="U680" s="11" t="s">
        <v>1350</v>
      </c>
      <c r="V680" s="1" t="s">
        <v>41</v>
      </c>
      <c r="W680" s="1" t="s">
        <v>49</v>
      </c>
      <c r="X680" s="13" t="str">
        <f t="shared" si="75"/>
        <v/>
      </c>
      <c r="Y680" s="2">
        <f t="shared" ca="1" si="70"/>
        <v>66</v>
      </c>
      <c r="Z680" s="14">
        <v>1</v>
      </c>
      <c r="AA680" s="1" t="str">
        <f t="shared" ca="1" si="71"/>
        <v>VENCIDO</v>
      </c>
      <c r="AB680" s="1" t="str">
        <f t="shared" si="72"/>
        <v>C-14</v>
      </c>
      <c r="AC680" s="2" t="str">
        <f t="shared" si="76"/>
        <v xml:space="preserve"> RINALDO </v>
      </c>
      <c r="AD680" s="2">
        <f t="shared" si="73"/>
        <v>15</v>
      </c>
      <c r="AE680" s="2">
        <f t="shared" ca="1" si="74"/>
        <v>-90.103412847223808</v>
      </c>
      <c r="AF680" s="15"/>
    </row>
    <row r="681" spans="1:32" hidden="1">
      <c r="A681" s="1">
        <v>9131493</v>
      </c>
      <c r="B681" s="1" t="s">
        <v>101</v>
      </c>
      <c r="C681" t="s">
        <v>643</v>
      </c>
      <c r="D681" s="2">
        <v>220197038</v>
      </c>
      <c r="E681" s="2">
        <v>834001400040</v>
      </c>
      <c r="F681" s="1" t="s">
        <v>644</v>
      </c>
      <c r="G681" s="1" t="s">
        <v>53</v>
      </c>
      <c r="H681" s="1" t="s">
        <v>367</v>
      </c>
      <c r="I681" s="1" t="s">
        <v>368</v>
      </c>
      <c r="J681" s="1" t="s">
        <v>261</v>
      </c>
      <c r="K681" t="s">
        <v>645</v>
      </c>
      <c r="M681" s="1" t="s">
        <v>58</v>
      </c>
      <c r="N681" s="1">
        <v>0</v>
      </c>
      <c r="O681" s="1" t="s">
        <v>105</v>
      </c>
      <c r="P681" s="186">
        <v>44896.698067129626</v>
      </c>
      <c r="R681" s="1">
        <v>2</v>
      </c>
      <c r="T681" s="1" t="s">
        <v>646</v>
      </c>
      <c r="U681" s="186">
        <v>44897.698067129626</v>
      </c>
      <c r="V681" s="1" t="s">
        <v>41</v>
      </c>
      <c r="W681" s="1" t="s">
        <v>49</v>
      </c>
      <c r="X681" s="13" t="str">
        <f t="shared" si="75"/>
        <v/>
      </c>
      <c r="Y681" s="2">
        <f t="shared" ca="1" si="70"/>
        <v>65</v>
      </c>
      <c r="Z681" s="14">
        <v>1</v>
      </c>
      <c r="AA681" s="1" t="str">
        <f t="shared" ca="1" si="71"/>
        <v>VENCIDO</v>
      </c>
      <c r="AB681" s="1" t="str">
        <f t="shared" si="72"/>
        <v>SL-On</v>
      </c>
      <c r="AC681" s="2" t="str">
        <f t="shared" si="76"/>
        <v xml:space="preserve"> CRISTINA </v>
      </c>
      <c r="AD681" s="2">
        <f t="shared" si="73"/>
        <v>1</v>
      </c>
      <c r="AE681" s="2">
        <f t="shared" ca="1" si="74"/>
        <v>-88.978204513892706</v>
      </c>
      <c r="AF681" s="15"/>
    </row>
    <row r="682" spans="1:32" hidden="1">
      <c r="A682" s="1">
        <v>9131454</v>
      </c>
      <c r="B682" s="1" t="s">
        <v>101</v>
      </c>
      <c r="C682" t="s">
        <v>643</v>
      </c>
      <c r="D682" s="2">
        <v>220197033</v>
      </c>
      <c r="E682" s="2">
        <v>821001400040</v>
      </c>
      <c r="F682" s="1" t="s">
        <v>644</v>
      </c>
      <c r="G682" s="1" t="s">
        <v>53</v>
      </c>
      <c r="H682" s="1" t="s">
        <v>1351</v>
      </c>
      <c r="I682" s="1" t="s">
        <v>1352</v>
      </c>
      <c r="J682" s="1" t="s">
        <v>46</v>
      </c>
      <c r="K682" t="s">
        <v>645</v>
      </c>
      <c r="M682" s="1" t="s">
        <v>58</v>
      </c>
      <c r="N682" s="1">
        <v>0</v>
      </c>
      <c r="O682" s="1" t="s">
        <v>105</v>
      </c>
      <c r="P682" s="186">
        <v>44896.696782407409</v>
      </c>
      <c r="R682" s="1">
        <v>2</v>
      </c>
      <c r="T682" s="1" t="s">
        <v>646</v>
      </c>
      <c r="U682" s="186">
        <v>44897.696782407409</v>
      </c>
      <c r="V682" s="1" t="s">
        <v>41</v>
      </c>
      <c r="W682" s="1" t="s">
        <v>49</v>
      </c>
      <c r="X682" s="13" t="str">
        <f t="shared" si="75"/>
        <v/>
      </c>
      <c r="Y682" s="2">
        <f t="shared" ca="1" si="70"/>
        <v>65</v>
      </c>
      <c r="Z682" s="14">
        <v>1</v>
      </c>
      <c r="AA682" s="1" t="str">
        <f t="shared" ca="1" si="71"/>
        <v>VENCIDO</v>
      </c>
      <c r="AB682" s="1" t="str">
        <f t="shared" si="72"/>
        <v>SL-On</v>
      </c>
      <c r="AC682" s="2" t="str">
        <f t="shared" si="76"/>
        <v xml:space="preserve"> CLEITON </v>
      </c>
      <c r="AD682" s="2">
        <f t="shared" si="73"/>
        <v>1</v>
      </c>
      <c r="AE682" s="2">
        <f t="shared" ca="1" si="74"/>
        <v>-88.979489236109657</v>
      </c>
      <c r="AF682" s="15"/>
    </row>
    <row r="683" spans="1:32" hidden="1">
      <c r="A683" s="1">
        <v>9131400</v>
      </c>
      <c r="B683" s="1" t="s">
        <v>101</v>
      </c>
      <c r="C683" t="s">
        <v>643</v>
      </c>
      <c r="D683" s="2">
        <v>220195352</v>
      </c>
      <c r="E683" s="2">
        <v>1732001400030</v>
      </c>
      <c r="F683" s="1" t="s">
        <v>647</v>
      </c>
      <c r="G683" s="1" t="s">
        <v>53</v>
      </c>
      <c r="H683" s="1" t="s">
        <v>177</v>
      </c>
      <c r="I683" s="1" t="s">
        <v>178</v>
      </c>
      <c r="J683" s="1" t="s">
        <v>164</v>
      </c>
      <c r="K683" t="s">
        <v>650</v>
      </c>
      <c r="M683" s="1" t="s">
        <v>58</v>
      </c>
      <c r="N683" s="1">
        <v>0</v>
      </c>
      <c r="O683" s="1" t="s">
        <v>105</v>
      </c>
      <c r="P683" s="186">
        <v>44896.694756944446</v>
      </c>
      <c r="R683" s="1">
        <v>4</v>
      </c>
      <c r="T683" s="1" t="s">
        <v>646</v>
      </c>
      <c r="U683" s="186">
        <v>44897.694756944446</v>
      </c>
      <c r="V683" s="1" t="s">
        <v>41</v>
      </c>
      <c r="W683" s="1" t="s">
        <v>49</v>
      </c>
      <c r="X683" s="13" t="str">
        <f t="shared" si="75"/>
        <v/>
      </c>
      <c r="Y683" s="2">
        <f t="shared" ca="1" si="70"/>
        <v>65</v>
      </c>
      <c r="Z683" s="14">
        <v>1</v>
      </c>
      <c r="AA683" s="1" t="str">
        <f t="shared" ca="1" si="71"/>
        <v>VENCIDO</v>
      </c>
      <c r="AB683" s="1" t="str">
        <f t="shared" si="72"/>
        <v>C-14</v>
      </c>
      <c r="AC683" s="2" t="str">
        <f t="shared" si="76"/>
        <v xml:space="preserve"> ROSEMERE </v>
      </c>
      <c r="AD683" s="2">
        <f t="shared" si="73"/>
        <v>15</v>
      </c>
      <c r="AE683" s="2">
        <f t="shared" ca="1" si="74"/>
        <v>-88.981514699073159</v>
      </c>
      <c r="AF683" s="15"/>
    </row>
    <row r="684" spans="1:32" hidden="1">
      <c r="A684" s="1">
        <v>9131376</v>
      </c>
      <c r="B684" s="1" t="s">
        <v>101</v>
      </c>
      <c r="C684" t="s">
        <v>643</v>
      </c>
      <c r="D684" s="2">
        <v>220195375</v>
      </c>
      <c r="E684" s="2">
        <v>1792001400030</v>
      </c>
      <c r="F684" s="1" t="s">
        <v>647</v>
      </c>
      <c r="G684" s="1" t="s">
        <v>53</v>
      </c>
      <c r="H684" s="1" t="s">
        <v>467</v>
      </c>
      <c r="I684" s="1" t="s">
        <v>468</v>
      </c>
      <c r="J684" s="1" t="s">
        <v>110</v>
      </c>
      <c r="K684" t="s">
        <v>650</v>
      </c>
      <c r="M684" s="1" t="s">
        <v>58</v>
      </c>
      <c r="N684" s="1">
        <v>0</v>
      </c>
      <c r="O684" s="1" t="s">
        <v>105</v>
      </c>
      <c r="P684" s="186">
        <v>44896.693680555552</v>
      </c>
      <c r="R684" s="1">
        <v>4</v>
      </c>
      <c r="T684" s="1" t="s">
        <v>646</v>
      </c>
      <c r="U684" s="186">
        <v>44897.693692129629</v>
      </c>
      <c r="V684" s="1" t="s">
        <v>41</v>
      </c>
      <c r="W684" s="1" t="s">
        <v>49</v>
      </c>
      <c r="X684" s="13" t="str">
        <f t="shared" si="75"/>
        <v/>
      </c>
      <c r="Y684" s="2">
        <f t="shared" ca="1" si="70"/>
        <v>65</v>
      </c>
      <c r="Z684" s="14">
        <v>1</v>
      </c>
      <c r="AA684" s="1" t="str">
        <f t="shared" ca="1" si="71"/>
        <v>VENCIDO</v>
      </c>
      <c r="AB684" s="1" t="str">
        <f t="shared" si="72"/>
        <v>C-14</v>
      </c>
      <c r="AC684" s="2" t="str">
        <f t="shared" si="76"/>
        <v xml:space="preserve"> CRISTINA </v>
      </c>
      <c r="AD684" s="2">
        <f t="shared" si="73"/>
        <v>15</v>
      </c>
      <c r="AE684" s="2">
        <f t="shared" ca="1" si="74"/>
        <v>-88.982579513889505</v>
      </c>
      <c r="AF684" s="15"/>
    </row>
    <row r="685" spans="1:32" hidden="1">
      <c r="A685" s="1">
        <v>9131244</v>
      </c>
      <c r="B685" s="1" t="s">
        <v>101</v>
      </c>
      <c r="C685" t="s">
        <v>643</v>
      </c>
      <c r="D685" s="2">
        <v>220197571</v>
      </c>
      <c r="E685" s="2">
        <v>2326001400040</v>
      </c>
      <c r="F685" s="1" t="s">
        <v>644</v>
      </c>
      <c r="G685" s="1" t="s">
        <v>53</v>
      </c>
      <c r="H685" s="1" t="s">
        <v>191</v>
      </c>
      <c r="I685" s="1" t="s">
        <v>192</v>
      </c>
      <c r="J685" s="1" t="s">
        <v>46</v>
      </c>
      <c r="K685" t="s">
        <v>645</v>
      </c>
      <c r="M685" s="1" t="s">
        <v>58</v>
      </c>
      <c r="N685" s="1">
        <v>0</v>
      </c>
      <c r="O685" s="1" t="s">
        <v>105</v>
      </c>
      <c r="P685" s="186">
        <v>44896.684918981482</v>
      </c>
      <c r="R685" s="1">
        <v>2</v>
      </c>
      <c r="T685" s="1" t="s">
        <v>646</v>
      </c>
      <c r="U685" s="186">
        <v>44897.684930555559</v>
      </c>
      <c r="V685" s="1" t="s">
        <v>41</v>
      </c>
      <c r="W685" s="1" t="s">
        <v>49</v>
      </c>
      <c r="X685" s="13" t="str">
        <f t="shared" si="75"/>
        <v/>
      </c>
      <c r="Y685" s="2">
        <f t="shared" ca="1" si="70"/>
        <v>65</v>
      </c>
      <c r="Z685" s="14">
        <v>1</v>
      </c>
      <c r="AA685" s="1" t="str">
        <f t="shared" ca="1" si="71"/>
        <v>VENCIDO</v>
      </c>
      <c r="AB685" s="1" t="str">
        <f t="shared" si="72"/>
        <v>SL-On</v>
      </c>
      <c r="AC685" s="2" t="str">
        <f t="shared" si="76"/>
        <v xml:space="preserve"> CLEITON </v>
      </c>
      <c r="AD685" s="2">
        <f t="shared" si="73"/>
        <v>1</v>
      </c>
      <c r="AE685" s="2">
        <f t="shared" ca="1" si="74"/>
        <v>-88.991341087959881</v>
      </c>
      <c r="AF685" s="15"/>
    </row>
    <row r="686" spans="1:32" hidden="1">
      <c r="A686" s="1">
        <v>9131189</v>
      </c>
      <c r="B686" s="1" t="s">
        <v>101</v>
      </c>
      <c r="C686" t="s">
        <v>643</v>
      </c>
      <c r="D686" s="2">
        <v>220197881</v>
      </c>
      <c r="E686" s="2">
        <v>3504001400040</v>
      </c>
      <c r="F686" s="1" t="s">
        <v>644</v>
      </c>
      <c r="G686" s="1" t="s">
        <v>53</v>
      </c>
      <c r="H686" s="1" t="s">
        <v>585</v>
      </c>
      <c r="I686" s="1" t="s">
        <v>586</v>
      </c>
      <c r="J686" s="1" t="s">
        <v>46</v>
      </c>
      <c r="K686" t="s">
        <v>645</v>
      </c>
      <c r="M686" s="1" t="s">
        <v>58</v>
      </c>
      <c r="N686" s="1">
        <v>0</v>
      </c>
      <c r="O686" s="1" t="s">
        <v>105</v>
      </c>
      <c r="P686" s="186">
        <v>44896.682210648149</v>
      </c>
      <c r="R686" s="1">
        <v>3</v>
      </c>
      <c r="T686" s="1" t="s">
        <v>646</v>
      </c>
      <c r="U686" s="186">
        <v>44897.682210648149</v>
      </c>
      <c r="V686" s="1" t="s">
        <v>41</v>
      </c>
      <c r="W686" s="1" t="s">
        <v>49</v>
      </c>
      <c r="X686" s="13" t="str">
        <f t="shared" si="75"/>
        <v/>
      </c>
      <c r="Y686" s="2">
        <f t="shared" ca="1" si="70"/>
        <v>65</v>
      </c>
      <c r="Z686" s="14">
        <v>1</v>
      </c>
      <c r="AA686" s="1" t="str">
        <f t="shared" ca="1" si="71"/>
        <v>VENCIDO</v>
      </c>
      <c r="AB686" s="1" t="str">
        <f t="shared" si="72"/>
        <v>SL-On</v>
      </c>
      <c r="AC686" s="2" t="str">
        <f t="shared" si="76"/>
        <v xml:space="preserve"> CLEITON </v>
      </c>
      <c r="AD686" s="2">
        <f t="shared" si="73"/>
        <v>1</v>
      </c>
      <c r="AE686" s="2">
        <f t="shared" ca="1" si="74"/>
        <v>-88.994060995370091</v>
      </c>
      <c r="AF686" s="15"/>
    </row>
    <row r="687" spans="1:32" hidden="1">
      <c r="A687" s="1">
        <v>9131113</v>
      </c>
      <c r="B687" s="1" t="s">
        <v>101</v>
      </c>
      <c r="C687" t="s">
        <v>643</v>
      </c>
      <c r="D687" s="2">
        <v>220196664</v>
      </c>
      <c r="E687" s="2">
        <v>233001400040</v>
      </c>
      <c r="F687" s="1" t="s">
        <v>644</v>
      </c>
      <c r="G687" s="1" t="s">
        <v>53</v>
      </c>
      <c r="H687" s="1" t="s">
        <v>424</v>
      </c>
      <c r="I687" s="1" t="s">
        <v>425</v>
      </c>
      <c r="J687" s="1" t="s">
        <v>261</v>
      </c>
      <c r="K687" t="s">
        <v>645</v>
      </c>
      <c r="M687" s="1" t="s">
        <v>58</v>
      </c>
      <c r="N687" s="1">
        <v>0</v>
      </c>
      <c r="O687" s="1" t="s">
        <v>105</v>
      </c>
      <c r="P687" s="186">
        <v>44896.678414351853</v>
      </c>
      <c r="R687" s="1">
        <v>2</v>
      </c>
      <c r="T687" s="1" t="s">
        <v>646</v>
      </c>
      <c r="U687" s="186">
        <v>44897.678425925929</v>
      </c>
      <c r="V687" s="1" t="s">
        <v>41</v>
      </c>
      <c r="W687" s="1" t="s">
        <v>49</v>
      </c>
      <c r="X687" s="13" t="str">
        <f t="shared" si="75"/>
        <v/>
      </c>
      <c r="Y687" s="2">
        <f t="shared" ca="1" si="70"/>
        <v>65</v>
      </c>
      <c r="Z687" s="14">
        <v>1</v>
      </c>
      <c r="AA687" s="1" t="str">
        <f t="shared" ca="1" si="71"/>
        <v>VENCIDO</v>
      </c>
      <c r="AB687" s="1" t="str">
        <f t="shared" si="72"/>
        <v>SL-On</v>
      </c>
      <c r="AC687" s="2" t="str">
        <f t="shared" si="76"/>
        <v xml:space="preserve"> CRISTINA </v>
      </c>
      <c r="AD687" s="2">
        <f t="shared" si="73"/>
        <v>1</v>
      </c>
      <c r="AE687" s="2">
        <f t="shared" ca="1" si="74"/>
        <v>-88.997845717589371</v>
      </c>
      <c r="AF687" s="15"/>
    </row>
    <row r="688" spans="1:32" hidden="1">
      <c r="A688" s="1">
        <v>9131108</v>
      </c>
      <c r="B688" s="1" t="s">
        <v>101</v>
      </c>
      <c r="C688" t="s">
        <v>643</v>
      </c>
      <c r="D688" s="2">
        <v>220196140</v>
      </c>
      <c r="E688" s="2">
        <v>821071400030</v>
      </c>
      <c r="F688" s="1" t="s">
        <v>647</v>
      </c>
      <c r="G688" s="1" t="s">
        <v>53</v>
      </c>
      <c r="H688" s="1" t="s">
        <v>817</v>
      </c>
      <c r="I688" s="1" t="s">
        <v>818</v>
      </c>
      <c r="J688" s="1" t="s">
        <v>46</v>
      </c>
      <c r="K688" t="s">
        <v>650</v>
      </c>
      <c r="M688" s="1" t="s">
        <v>58</v>
      </c>
      <c r="N688" s="1">
        <v>0</v>
      </c>
      <c r="O688" s="1" t="s">
        <v>105</v>
      </c>
      <c r="P688" s="186">
        <v>44896.678136574075</v>
      </c>
      <c r="R688" s="1">
        <v>4</v>
      </c>
      <c r="T688" s="1" t="s">
        <v>646</v>
      </c>
      <c r="U688" s="186">
        <v>44897.678136574075</v>
      </c>
      <c r="V688" s="1" t="s">
        <v>41</v>
      </c>
      <c r="W688" s="1" t="s">
        <v>49</v>
      </c>
      <c r="X688" s="13" t="str">
        <f t="shared" si="75"/>
        <v>0821.07</v>
      </c>
      <c r="Y688" s="2">
        <f t="shared" ca="1" si="70"/>
        <v>65</v>
      </c>
      <c r="Z688" s="14">
        <v>1</v>
      </c>
      <c r="AA688" s="1" t="str">
        <f t="shared" ca="1" si="71"/>
        <v>VENCIDO</v>
      </c>
      <c r="AB688" s="1" t="str">
        <f t="shared" si="72"/>
        <v>C-14</v>
      </c>
      <c r="AC688" s="2" t="str">
        <f t="shared" si="76"/>
        <v xml:space="preserve"> CLEITON </v>
      </c>
      <c r="AD688" s="2">
        <f t="shared" si="73"/>
        <v>15</v>
      </c>
      <c r="AE688" s="2">
        <f t="shared" ca="1" si="74"/>
        <v>-88.998135069443379</v>
      </c>
      <c r="AF688" s="15"/>
    </row>
    <row r="689" spans="1:32" hidden="1">
      <c r="A689" s="1">
        <v>9131076</v>
      </c>
      <c r="B689" s="1" t="s">
        <v>101</v>
      </c>
      <c r="C689" t="s">
        <v>643</v>
      </c>
      <c r="D689" s="2">
        <v>220196663</v>
      </c>
      <c r="E689" s="2">
        <v>232001400040</v>
      </c>
      <c r="F689" s="1" t="s">
        <v>644</v>
      </c>
      <c r="G689" s="1" t="s">
        <v>53</v>
      </c>
      <c r="H689" s="1" t="s">
        <v>1363</v>
      </c>
      <c r="I689" s="1" t="s">
        <v>1364</v>
      </c>
      <c r="J689" s="1" t="s">
        <v>141</v>
      </c>
      <c r="K689" t="s">
        <v>645</v>
      </c>
      <c r="M689" s="1" t="s">
        <v>58</v>
      </c>
      <c r="N689" s="1">
        <v>0</v>
      </c>
      <c r="O689" s="1" t="s">
        <v>105</v>
      </c>
      <c r="P689" s="186">
        <v>44896.676157407404</v>
      </c>
      <c r="R689" s="1">
        <v>3</v>
      </c>
      <c r="T689" s="1" t="s">
        <v>646</v>
      </c>
      <c r="U689" s="186">
        <v>44897.676168981481</v>
      </c>
      <c r="V689" s="1" t="s">
        <v>41</v>
      </c>
      <c r="W689" s="1" t="s">
        <v>49</v>
      </c>
      <c r="X689" s="13" t="str">
        <f t="shared" si="75"/>
        <v/>
      </c>
      <c r="Y689" s="2">
        <f t="shared" ca="1" si="70"/>
        <v>65</v>
      </c>
      <c r="Z689" s="14">
        <v>1</v>
      </c>
      <c r="AA689" s="1" t="str">
        <f t="shared" ca="1" si="71"/>
        <v>VENCIDO</v>
      </c>
      <c r="AB689" s="1" t="str">
        <f t="shared" si="72"/>
        <v>SL-On</v>
      </c>
      <c r="AC689" s="2" t="str">
        <f t="shared" si="76"/>
        <v xml:space="preserve"> CRISTINA </v>
      </c>
      <c r="AD689" s="2">
        <f t="shared" si="73"/>
        <v>1</v>
      </c>
      <c r="AE689" s="2">
        <f t="shared" ca="1" si="74"/>
        <v>-89.000102662037534</v>
      </c>
      <c r="AF689" s="15"/>
    </row>
    <row r="690" spans="1:32" hidden="1">
      <c r="A690" s="1">
        <v>9131028</v>
      </c>
      <c r="B690" s="1" t="s">
        <v>101</v>
      </c>
      <c r="C690" t="s">
        <v>643</v>
      </c>
      <c r="D690" s="2">
        <v>220196655</v>
      </c>
      <c r="E690" s="2">
        <v>220001400040</v>
      </c>
      <c r="F690" s="1" t="s">
        <v>644</v>
      </c>
      <c r="G690" s="1" t="s">
        <v>53</v>
      </c>
      <c r="H690" s="1" t="s">
        <v>588</v>
      </c>
      <c r="I690" s="1" t="s">
        <v>589</v>
      </c>
      <c r="J690" s="1" t="s">
        <v>110</v>
      </c>
      <c r="K690" t="s">
        <v>645</v>
      </c>
      <c r="M690" s="1" t="s">
        <v>58</v>
      </c>
      <c r="N690" s="1">
        <v>0</v>
      </c>
      <c r="O690" s="1" t="s">
        <v>105</v>
      </c>
      <c r="P690" s="186">
        <v>44896.673981481479</v>
      </c>
      <c r="R690" s="1">
        <v>2</v>
      </c>
      <c r="T690" s="1" t="s">
        <v>646</v>
      </c>
      <c r="U690" s="186">
        <v>44897.673981481479</v>
      </c>
      <c r="V690" s="1" t="s">
        <v>41</v>
      </c>
      <c r="W690" s="1" t="s">
        <v>49</v>
      </c>
      <c r="X690" s="13" t="str">
        <f t="shared" si="75"/>
        <v/>
      </c>
      <c r="Y690" s="2">
        <f t="shared" ca="1" si="70"/>
        <v>65</v>
      </c>
      <c r="Z690" s="14">
        <v>1</v>
      </c>
      <c r="AA690" s="1" t="str">
        <f t="shared" ca="1" si="71"/>
        <v>VENCIDO</v>
      </c>
      <c r="AB690" s="1" t="str">
        <f t="shared" si="72"/>
        <v>SL-On</v>
      </c>
      <c r="AC690" s="2" t="str">
        <f t="shared" si="76"/>
        <v xml:space="preserve"> CRISTINA </v>
      </c>
      <c r="AD690" s="2">
        <f t="shared" si="73"/>
        <v>1</v>
      </c>
      <c r="AE690" s="2">
        <f t="shared" ca="1" si="74"/>
        <v>-89.002290162039571</v>
      </c>
      <c r="AF690" s="15"/>
    </row>
    <row r="691" spans="1:32" hidden="1">
      <c r="A691" s="1">
        <v>9131012</v>
      </c>
      <c r="B691" s="1" t="s">
        <v>101</v>
      </c>
      <c r="C691" t="s">
        <v>643</v>
      </c>
      <c r="D691" s="2">
        <v>220194569</v>
      </c>
      <c r="E691" s="2">
        <v>233001400030</v>
      </c>
      <c r="F691" s="1" t="s">
        <v>647</v>
      </c>
      <c r="G691" s="1" t="s">
        <v>53</v>
      </c>
      <c r="H691" s="1" t="s">
        <v>424</v>
      </c>
      <c r="I691" s="1" t="s">
        <v>425</v>
      </c>
      <c r="J691" s="1" t="s">
        <v>261</v>
      </c>
      <c r="K691" t="s">
        <v>650</v>
      </c>
      <c r="M691" s="1" t="s">
        <v>58</v>
      </c>
      <c r="N691" s="1">
        <v>0</v>
      </c>
      <c r="O691" s="1" t="s">
        <v>105</v>
      </c>
      <c r="P691" s="186">
        <v>44896.672835648147</v>
      </c>
      <c r="R691" s="1">
        <v>4</v>
      </c>
      <c r="T691" s="1" t="s">
        <v>646</v>
      </c>
      <c r="U691" s="186">
        <v>44897.672835648147</v>
      </c>
      <c r="V691" s="1" t="s">
        <v>41</v>
      </c>
      <c r="W691" s="1" t="s">
        <v>49</v>
      </c>
      <c r="X691" s="13" t="str">
        <f t="shared" si="75"/>
        <v/>
      </c>
      <c r="Y691" s="2">
        <f t="shared" ca="1" si="70"/>
        <v>65</v>
      </c>
      <c r="Z691" s="14">
        <v>1</v>
      </c>
      <c r="AA691" s="1" t="str">
        <f t="shared" ca="1" si="71"/>
        <v>VENCIDO</v>
      </c>
      <c r="AB691" s="1" t="str">
        <f t="shared" si="72"/>
        <v>C-14</v>
      </c>
      <c r="AC691" s="2" t="str">
        <f t="shared" si="76"/>
        <v xml:space="preserve"> CRISTINA </v>
      </c>
      <c r="AD691" s="2">
        <f t="shared" si="73"/>
        <v>15</v>
      </c>
      <c r="AE691" s="2">
        <f t="shared" ca="1" si="74"/>
        <v>-89.003435995371547</v>
      </c>
      <c r="AF691" s="15"/>
    </row>
    <row r="692" spans="1:32" hidden="1">
      <c r="A692" s="1">
        <v>9131002</v>
      </c>
      <c r="B692" s="1" t="s">
        <v>101</v>
      </c>
      <c r="C692" t="s">
        <v>643</v>
      </c>
      <c r="D692" s="2">
        <v>220194560</v>
      </c>
      <c r="E692" s="2">
        <v>220001400030</v>
      </c>
      <c r="F692" s="1" t="s">
        <v>647</v>
      </c>
      <c r="G692" s="1" t="s">
        <v>53</v>
      </c>
      <c r="H692" s="1" t="s">
        <v>588</v>
      </c>
      <c r="I692" s="1" t="s">
        <v>589</v>
      </c>
      <c r="J692" s="1" t="s">
        <v>110</v>
      </c>
      <c r="K692" t="s">
        <v>650</v>
      </c>
      <c r="M692" s="1" t="s">
        <v>58</v>
      </c>
      <c r="N692" s="1">
        <v>0</v>
      </c>
      <c r="O692" s="1" t="s">
        <v>105</v>
      </c>
      <c r="P692" s="186">
        <v>44896.672418981485</v>
      </c>
      <c r="R692" s="1">
        <v>4</v>
      </c>
      <c r="T692" s="1" t="s">
        <v>646</v>
      </c>
      <c r="U692" s="186">
        <v>44897.672418981485</v>
      </c>
      <c r="V692" s="1" t="s">
        <v>41</v>
      </c>
      <c r="W692" s="1" t="s">
        <v>49</v>
      </c>
      <c r="X692" s="13" t="str">
        <f t="shared" si="75"/>
        <v/>
      </c>
      <c r="Y692" s="2">
        <f t="shared" ca="1" si="70"/>
        <v>65</v>
      </c>
      <c r="Z692" s="14">
        <v>1</v>
      </c>
      <c r="AA692" s="1" t="str">
        <f t="shared" ca="1" si="71"/>
        <v>VENCIDO</v>
      </c>
      <c r="AB692" s="1" t="str">
        <f t="shared" si="72"/>
        <v>C-14</v>
      </c>
      <c r="AC692" s="2" t="str">
        <f t="shared" si="76"/>
        <v xml:space="preserve"> CRISTINA </v>
      </c>
      <c r="AD692" s="2">
        <f t="shared" si="73"/>
        <v>15</v>
      </c>
      <c r="AE692" s="2">
        <f t="shared" ca="1" si="74"/>
        <v>-89.003852662033751</v>
      </c>
      <c r="AF692" s="15"/>
    </row>
    <row r="693" spans="1:32" hidden="1">
      <c r="A693" s="1">
        <v>9130951</v>
      </c>
      <c r="B693" s="1" t="s">
        <v>101</v>
      </c>
      <c r="C693" t="s">
        <v>643</v>
      </c>
      <c r="D693" s="2">
        <v>220194568</v>
      </c>
      <c r="E693" s="2">
        <v>232001400030</v>
      </c>
      <c r="F693" s="1" t="s">
        <v>647</v>
      </c>
      <c r="G693" s="1" t="s">
        <v>53</v>
      </c>
      <c r="H693" s="1" t="s">
        <v>1363</v>
      </c>
      <c r="I693" s="1" t="s">
        <v>1364</v>
      </c>
      <c r="J693" s="1" t="s">
        <v>141</v>
      </c>
      <c r="K693" t="s">
        <v>650</v>
      </c>
      <c r="M693" s="1" t="s">
        <v>58</v>
      </c>
      <c r="N693" s="1">
        <v>0</v>
      </c>
      <c r="O693" s="1" t="s">
        <v>105</v>
      </c>
      <c r="P693" s="186">
        <v>44896.670624999999</v>
      </c>
      <c r="R693" s="1">
        <v>4</v>
      </c>
      <c r="T693" s="1" t="s">
        <v>646</v>
      </c>
      <c r="U693" s="186">
        <v>44897.670624999999</v>
      </c>
      <c r="V693" s="1" t="s">
        <v>41</v>
      </c>
      <c r="W693" s="1" t="s">
        <v>49</v>
      </c>
      <c r="X693" s="13" t="str">
        <f t="shared" si="75"/>
        <v/>
      </c>
      <c r="Y693" s="2">
        <f t="shared" ca="1" si="70"/>
        <v>65</v>
      </c>
      <c r="Z693" s="14">
        <v>1</v>
      </c>
      <c r="AA693" s="1" t="str">
        <f t="shared" ca="1" si="71"/>
        <v>VENCIDO</v>
      </c>
      <c r="AB693" s="1" t="str">
        <f t="shared" si="72"/>
        <v>C-14</v>
      </c>
      <c r="AC693" s="2" t="str">
        <f t="shared" si="76"/>
        <v xml:space="preserve"> CRISTINA </v>
      </c>
      <c r="AD693" s="2">
        <f t="shared" si="73"/>
        <v>15</v>
      </c>
      <c r="AE693" s="2">
        <f t="shared" ca="1" si="74"/>
        <v>-89.005646643519867</v>
      </c>
      <c r="AF693" s="15"/>
    </row>
    <row r="694" spans="1:32" hidden="1">
      <c r="A694" s="1">
        <v>9130904</v>
      </c>
      <c r="B694" s="1" t="s">
        <v>101</v>
      </c>
      <c r="C694" t="s">
        <v>643</v>
      </c>
      <c r="D694" s="2">
        <v>220195003</v>
      </c>
      <c r="E694" s="2">
        <v>922001400030</v>
      </c>
      <c r="F694" s="1" t="s">
        <v>647</v>
      </c>
      <c r="G694" s="1" t="s">
        <v>53</v>
      </c>
      <c r="H694" s="1" t="s">
        <v>1375</v>
      </c>
      <c r="I694" s="1" t="s">
        <v>1376</v>
      </c>
      <c r="J694" s="1" t="s">
        <v>261</v>
      </c>
      <c r="K694" t="s">
        <v>650</v>
      </c>
      <c r="M694" s="1" t="s">
        <v>58</v>
      </c>
      <c r="N694" s="1">
        <v>0</v>
      </c>
      <c r="O694" s="1" t="s">
        <v>105</v>
      </c>
      <c r="P694" s="186">
        <v>44896.668622685182</v>
      </c>
      <c r="R694" s="1">
        <v>4</v>
      </c>
      <c r="T694" s="1" t="s">
        <v>646</v>
      </c>
      <c r="U694" s="186">
        <v>44897.668622685182</v>
      </c>
      <c r="V694" s="1" t="s">
        <v>41</v>
      </c>
      <c r="W694" s="1" t="s">
        <v>49</v>
      </c>
      <c r="X694" s="13" t="str">
        <f t="shared" si="75"/>
        <v/>
      </c>
      <c r="Y694" s="2">
        <f t="shared" ca="1" si="70"/>
        <v>65</v>
      </c>
      <c r="Z694" s="14">
        <v>1</v>
      </c>
      <c r="AA694" s="1" t="str">
        <f t="shared" ca="1" si="71"/>
        <v>VENCIDO</v>
      </c>
      <c r="AB694" s="1" t="str">
        <f t="shared" si="72"/>
        <v>C-14</v>
      </c>
      <c r="AC694" s="2" t="str">
        <f t="shared" si="76"/>
        <v xml:space="preserve"> CRISTINA </v>
      </c>
      <c r="AD694" s="2">
        <f t="shared" si="73"/>
        <v>15</v>
      </c>
      <c r="AE694" s="2">
        <f t="shared" ca="1" si="74"/>
        <v>-89.007648958337086</v>
      </c>
      <c r="AF694" s="15"/>
    </row>
    <row r="695" spans="1:32" hidden="1">
      <c r="A695" s="1">
        <v>9130901</v>
      </c>
      <c r="B695" s="1" t="s">
        <v>101</v>
      </c>
      <c r="C695" t="s">
        <v>643</v>
      </c>
      <c r="D695" s="2">
        <v>220195001</v>
      </c>
      <c r="E695" s="2">
        <v>917001400030</v>
      </c>
      <c r="F695" s="1" t="s">
        <v>647</v>
      </c>
      <c r="G695" s="1" t="s">
        <v>53</v>
      </c>
      <c r="H695" s="1" t="s">
        <v>83</v>
      </c>
      <c r="I695" s="1" t="s">
        <v>84</v>
      </c>
      <c r="J695" s="1" t="s">
        <v>85</v>
      </c>
      <c r="K695" t="s">
        <v>650</v>
      </c>
      <c r="M695" s="1" t="s">
        <v>58</v>
      </c>
      <c r="N695" s="1">
        <v>0</v>
      </c>
      <c r="O695" s="1" t="s">
        <v>105</v>
      </c>
      <c r="P695" s="186">
        <v>44896.668437499997</v>
      </c>
      <c r="R695" s="1">
        <v>4</v>
      </c>
      <c r="T695" s="1" t="s">
        <v>646</v>
      </c>
      <c r="U695" s="186">
        <v>44897.668449074074</v>
      </c>
      <c r="V695" s="1" t="s">
        <v>41</v>
      </c>
      <c r="W695" s="1" t="s">
        <v>49</v>
      </c>
      <c r="X695" s="13" t="str">
        <f t="shared" si="75"/>
        <v/>
      </c>
      <c r="Y695" s="2">
        <f t="shared" ca="1" si="70"/>
        <v>65</v>
      </c>
      <c r="Z695" s="14">
        <v>1</v>
      </c>
      <c r="AA695" s="1" t="str">
        <f t="shared" ca="1" si="71"/>
        <v>VENCIDO</v>
      </c>
      <c r="AB695" s="1" t="str">
        <f t="shared" si="72"/>
        <v>C-14</v>
      </c>
      <c r="AC695" s="2" t="str">
        <f t="shared" si="76"/>
        <v xml:space="preserve"> RINALDO </v>
      </c>
      <c r="AD695" s="2">
        <f t="shared" si="73"/>
        <v>15</v>
      </c>
      <c r="AE695" s="2">
        <f t="shared" ca="1" si="74"/>
        <v>-89.007822569445125</v>
      </c>
      <c r="AF695" s="15"/>
    </row>
    <row r="696" spans="1:32" hidden="1">
      <c r="A696" s="1">
        <v>9130897</v>
      </c>
      <c r="B696" s="1" t="s">
        <v>101</v>
      </c>
      <c r="C696" t="s">
        <v>643</v>
      </c>
      <c r="D696" s="2">
        <v>220195329</v>
      </c>
      <c r="E696" s="2">
        <v>1664001400030</v>
      </c>
      <c r="F696" s="1" t="s">
        <v>647</v>
      </c>
      <c r="G696" s="1" t="s">
        <v>53</v>
      </c>
      <c r="H696" s="1" t="s">
        <v>307</v>
      </c>
      <c r="I696" s="1" t="s">
        <v>308</v>
      </c>
      <c r="J696" s="1" t="s">
        <v>164</v>
      </c>
      <c r="K696" t="s">
        <v>650</v>
      </c>
      <c r="M696" s="1" t="s">
        <v>58</v>
      </c>
      <c r="N696" s="1">
        <v>0</v>
      </c>
      <c r="O696" s="1" t="s">
        <v>105</v>
      </c>
      <c r="P696" s="186">
        <v>44896.668263888889</v>
      </c>
      <c r="R696" s="1">
        <v>4</v>
      </c>
      <c r="T696" s="1" t="s">
        <v>646</v>
      </c>
      <c r="U696" s="186">
        <v>44897.668263888889</v>
      </c>
      <c r="V696" s="1" t="s">
        <v>41</v>
      </c>
      <c r="W696" s="1" t="s">
        <v>49</v>
      </c>
      <c r="X696" s="13" t="str">
        <f t="shared" si="75"/>
        <v/>
      </c>
      <c r="Y696" s="2">
        <f t="shared" ca="1" si="70"/>
        <v>65</v>
      </c>
      <c r="Z696" s="14">
        <v>1</v>
      </c>
      <c r="AA696" s="1" t="str">
        <f t="shared" ca="1" si="71"/>
        <v>VENCIDO</v>
      </c>
      <c r="AB696" s="1" t="str">
        <f t="shared" si="72"/>
        <v>C-14</v>
      </c>
      <c r="AC696" s="2" t="str">
        <f t="shared" si="76"/>
        <v xml:space="preserve"> ROSEMERE </v>
      </c>
      <c r="AD696" s="2">
        <f t="shared" si="73"/>
        <v>15</v>
      </c>
      <c r="AE696" s="2">
        <f t="shared" ca="1" si="74"/>
        <v>-89.008007754629944</v>
      </c>
      <c r="AF696" s="15"/>
    </row>
    <row r="697" spans="1:32" hidden="1">
      <c r="A697" s="1">
        <v>9130892</v>
      </c>
      <c r="B697" s="1" t="s">
        <v>101</v>
      </c>
      <c r="C697" t="s">
        <v>643</v>
      </c>
      <c r="D697" s="2">
        <v>220194993</v>
      </c>
      <c r="E697" s="2">
        <v>899001400030</v>
      </c>
      <c r="F697" s="1" t="s">
        <v>647</v>
      </c>
      <c r="G697" s="1" t="s">
        <v>53</v>
      </c>
      <c r="H697" s="1" t="s">
        <v>175</v>
      </c>
      <c r="I697" s="1" t="s">
        <v>176</v>
      </c>
      <c r="J697" s="1" t="s">
        <v>90</v>
      </c>
      <c r="K697" t="s">
        <v>650</v>
      </c>
      <c r="M697" s="1" t="s">
        <v>58</v>
      </c>
      <c r="N697" s="1">
        <v>0</v>
      </c>
      <c r="O697" s="1" t="s">
        <v>36</v>
      </c>
      <c r="P697" s="186">
        <v>44896.667962962965</v>
      </c>
      <c r="R697" s="1">
        <v>4</v>
      </c>
      <c r="T697" s="1" t="s">
        <v>646</v>
      </c>
      <c r="U697" s="186">
        <v>44897.667962962965</v>
      </c>
      <c r="V697" s="1" t="s">
        <v>41</v>
      </c>
      <c r="W697" s="1" t="s">
        <v>49</v>
      </c>
      <c r="X697" s="13" t="str">
        <f t="shared" si="75"/>
        <v/>
      </c>
      <c r="Y697" s="2">
        <f t="shared" ca="1" si="70"/>
        <v>65</v>
      </c>
      <c r="Z697" s="14">
        <v>1</v>
      </c>
      <c r="AA697" s="1" t="str">
        <f t="shared" ca="1" si="71"/>
        <v>VENCIDO</v>
      </c>
      <c r="AB697" s="1" t="str">
        <f t="shared" si="72"/>
        <v>C-14</v>
      </c>
      <c r="AC697" s="2" t="str">
        <f t="shared" si="76"/>
        <v xml:space="preserve"> RINALDO </v>
      </c>
      <c r="AD697" s="2">
        <f t="shared" si="73"/>
        <v>15</v>
      </c>
      <c r="AE697" s="2">
        <f t="shared" ca="1" si="74"/>
        <v>-89.008308680553455</v>
      </c>
      <c r="AF697" s="15"/>
    </row>
    <row r="698" spans="1:32" hidden="1">
      <c r="A698" s="1">
        <v>9130879</v>
      </c>
      <c r="B698" s="1" t="s">
        <v>101</v>
      </c>
      <c r="C698" t="s">
        <v>643</v>
      </c>
      <c r="D698" s="2">
        <v>220195319</v>
      </c>
      <c r="E698" s="2">
        <v>1643001400030</v>
      </c>
      <c r="F698" s="1" t="s">
        <v>647</v>
      </c>
      <c r="G698" s="1" t="s">
        <v>53</v>
      </c>
      <c r="H698" s="1" t="s">
        <v>361</v>
      </c>
      <c r="I698" s="1" t="s">
        <v>362</v>
      </c>
      <c r="J698" s="1" t="s">
        <v>261</v>
      </c>
      <c r="K698" t="s">
        <v>650</v>
      </c>
      <c r="M698" s="1" t="s">
        <v>58</v>
      </c>
      <c r="N698" s="1">
        <v>0</v>
      </c>
      <c r="O698" s="1" t="s">
        <v>105</v>
      </c>
      <c r="P698" s="186">
        <v>44896.667164351849</v>
      </c>
      <c r="R698" s="1">
        <v>4</v>
      </c>
      <c r="T698" s="1" t="s">
        <v>646</v>
      </c>
      <c r="U698" s="186">
        <v>44897.667175925926</v>
      </c>
      <c r="V698" s="1" t="s">
        <v>41</v>
      </c>
      <c r="W698" s="1" t="s">
        <v>49</v>
      </c>
      <c r="X698" s="13" t="str">
        <f t="shared" si="75"/>
        <v/>
      </c>
      <c r="Y698" s="2">
        <f t="shared" ca="1" si="70"/>
        <v>65</v>
      </c>
      <c r="Z698" s="14">
        <v>1</v>
      </c>
      <c r="AA698" s="1" t="str">
        <f t="shared" ca="1" si="71"/>
        <v>VENCIDO</v>
      </c>
      <c r="AB698" s="1" t="str">
        <f t="shared" si="72"/>
        <v>C-14</v>
      </c>
      <c r="AC698" s="2" t="str">
        <f t="shared" si="76"/>
        <v xml:space="preserve"> CRISTINA </v>
      </c>
      <c r="AD698" s="2">
        <f t="shared" si="73"/>
        <v>15</v>
      </c>
      <c r="AE698" s="2">
        <f t="shared" ca="1" si="74"/>
        <v>-89.009095717592572</v>
      </c>
      <c r="AF698" s="15"/>
    </row>
    <row r="699" spans="1:32" hidden="1">
      <c r="A699" s="1">
        <v>9130800</v>
      </c>
      <c r="B699" s="1" t="s">
        <v>101</v>
      </c>
      <c r="C699" t="s">
        <v>643</v>
      </c>
      <c r="D699" s="2">
        <v>220194313</v>
      </c>
      <c r="E699" s="2">
        <v>5898001400010</v>
      </c>
      <c r="F699" s="1" t="s">
        <v>936</v>
      </c>
      <c r="G699" s="1" t="s">
        <v>53</v>
      </c>
      <c r="H699" s="1" t="s">
        <v>365</v>
      </c>
      <c r="I699" s="1" t="s">
        <v>366</v>
      </c>
      <c r="J699" s="1" t="s">
        <v>164</v>
      </c>
      <c r="K699" t="s">
        <v>937</v>
      </c>
      <c r="M699" s="1" t="s">
        <v>58</v>
      </c>
      <c r="N699" s="1">
        <v>0</v>
      </c>
      <c r="O699" s="1" t="s">
        <v>105</v>
      </c>
      <c r="P699" s="186">
        <v>44896.663101851853</v>
      </c>
      <c r="R699" s="1">
        <v>3</v>
      </c>
      <c r="T699" s="1" t="s">
        <v>646</v>
      </c>
      <c r="U699" s="186">
        <v>44897.663113425922</v>
      </c>
      <c r="V699" s="1" t="s">
        <v>41</v>
      </c>
      <c r="W699" s="1" t="s">
        <v>49</v>
      </c>
      <c r="X699" s="13" t="str">
        <f t="shared" si="75"/>
        <v/>
      </c>
      <c r="Y699" s="2">
        <f t="shared" ca="1" si="70"/>
        <v>65</v>
      </c>
      <c r="Z699" s="14">
        <v>1</v>
      </c>
      <c r="AA699" s="1" t="str">
        <f t="shared" ca="1" si="71"/>
        <v>VENCIDO</v>
      </c>
      <c r="AB699" s="1" t="str">
        <f t="shared" si="72"/>
        <v>C-14</v>
      </c>
      <c r="AC699" s="2" t="str">
        <f t="shared" si="76"/>
        <v xml:space="preserve"> ROSEMERE </v>
      </c>
      <c r="AD699" s="2">
        <f t="shared" si="73"/>
        <v>5</v>
      </c>
      <c r="AE699" s="2">
        <f t="shared" ca="1" si="74"/>
        <v>-89.013158217596356</v>
      </c>
      <c r="AF699" s="15"/>
    </row>
    <row r="700" spans="1:32" hidden="1">
      <c r="A700" s="1">
        <v>9130797</v>
      </c>
      <c r="B700" s="1" t="s">
        <v>101</v>
      </c>
      <c r="C700" t="s">
        <v>643</v>
      </c>
      <c r="D700" s="2">
        <v>220193787</v>
      </c>
      <c r="E700" s="2">
        <v>3108001400010</v>
      </c>
      <c r="F700" s="1" t="s">
        <v>936</v>
      </c>
      <c r="G700" s="1" t="s">
        <v>53</v>
      </c>
      <c r="H700" s="1" t="s">
        <v>325</v>
      </c>
      <c r="I700" s="1" t="s">
        <v>326</v>
      </c>
      <c r="J700" s="1" t="s">
        <v>46</v>
      </c>
      <c r="K700" t="s">
        <v>937</v>
      </c>
      <c r="M700" s="1" t="s">
        <v>58</v>
      </c>
      <c r="N700" s="1">
        <v>0</v>
      </c>
      <c r="O700" s="1" t="s">
        <v>105</v>
      </c>
      <c r="P700" s="186">
        <v>44896.662974537037</v>
      </c>
      <c r="R700" s="1">
        <v>3</v>
      </c>
      <c r="T700" s="1" t="s">
        <v>646</v>
      </c>
      <c r="U700" s="186">
        <v>44897.662974537037</v>
      </c>
      <c r="V700" s="1" t="s">
        <v>41</v>
      </c>
      <c r="W700" s="1" t="s">
        <v>49</v>
      </c>
      <c r="Z700" s="14"/>
      <c r="AC700" s="2"/>
      <c r="AE700" s="20"/>
    </row>
    <row r="701" spans="1:32" hidden="1">
      <c r="A701" s="1">
        <v>9130702</v>
      </c>
      <c r="B701" s="1" t="s">
        <v>101</v>
      </c>
      <c r="C701" t="s">
        <v>643</v>
      </c>
      <c r="D701" s="2">
        <v>220197503</v>
      </c>
      <c r="E701" s="2">
        <v>2081001400040</v>
      </c>
      <c r="F701" s="1" t="s">
        <v>644</v>
      </c>
      <c r="G701" s="1" t="s">
        <v>53</v>
      </c>
      <c r="H701" s="1" t="s">
        <v>590</v>
      </c>
      <c r="I701" s="1" t="s">
        <v>591</v>
      </c>
      <c r="J701" s="1" t="s">
        <v>261</v>
      </c>
      <c r="K701" t="s">
        <v>645</v>
      </c>
      <c r="M701" s="1" t="s">
        <v>58</v>
      </c>
      <c r="N701" s="1">
        <v>0</v>
      </c>
      <c r="O701" s="1" t="s">
        <v>105</v>
      </c>
      <c r="P701" s="186">
        <v>44896.658819444441</v>
      </c>
      <c r="R701" s="1">
        <v>2</v>
      </c>
      <c r="T701" s="1" t="s">
        <v>646</v>
      </c>
      <c r="U701" s="186">
        <v>44897.658819444441</v>
      </c>
      <c r="V701" s="1" t="s">
        <v>41</v>
      </c>
      <c r="W701" s="1" t="s">
        <v>49</v>
      </c>
      <c r="Z701" s="14"/>
      <c r="AC701" s="2"/>
      <c r="AE701" s="20"/>
    </row>
    <row r="702" spans="1:32" hidden="1">
      <c r="A702" s="1">
        <v>9130686</v>
      </c>
      <c r="B702" s="1" t="s">
        <v>101</v>
      </c>
      <c r="C702" t="s">
        <v>643</v>
      </c>
      <c r="D702" s="2">
        <v>220197392</v>
      </c>
      <c r="E702" s="2">
        <v>1643001400040</v>
      </c>
      <c r="F702" s="1" t="s">
        <v>644</v>
      </c>
      <c r="G702" s="1" t="s">
        <v>53</v>
      </c>
      <c r="H702" s="1" t="s">
        <v>361</v>
      </c>
      <c r="I702" s="1" t="s">
        <v>362</v>
      </c>
      <c r="J702" s="1" t="s">
        <v>261</v>
      </c>
      <c r="K702" t="s">
        <v>645</v>
      </c>
      <c r="M702" s="1" t="s">
        <v>58</v>
      </c>
      <c r="N702" s="1">
        <v>0</v>
      </c>
      <c r="O702" s="1" t="s">
        <v>105</v>
      </c>
      <c r="P702" s="186">
        <v>44896.657835648148</v>
      </c>
      <c r="R702" s="1">
        <v>2</v>
      </c>
      <c r="T702" s="1" t="s">
        <v>646</v>
      </c>
      <c r="U702" s="186">
        <v>44897.657835648148</v>
      </c>
      <c r="V702" s="1" t="s">
        <v>41</v>
      </c>
      <c r="W702" s="1" t="s">
        <v>49</v>
      </c>
      <c r="Z702" s="14"/>
      <c r="AC702" s="2"/>
      <c r="AE702" s="20"/>
    </row>
    <row r="703" spans="1:32" hidden="1">
      <c r="A703" s="1">
        <v>9130671</v>
      </c>
      <c r="B703" s="1" t="s">
        <v>101</v>
      </c>
      <c r="C703" t="s">
        <v>643</v>
      </c>
      <c r="D703" s="2">
        <v>220197182</v>
      </c>
      <c r="E703" s="2">
        <v>1120001400040</v>
      </c>
      <c r="F703" s="1" t="s">
        <v>644</v>
      </c>
      <c r="G703" s="1" t="s">
        <v>53</v>
      </c>
      <c r="H703" s="1" t="s">
        <v>181</v>
      </c>
      <c r="I703" s="1" t="s">
        <v>182</v>
      </c>
      <c r="J703" s="1" t="s">
        <v>164</v>
      </c>
      <c r="K703" t="s">
        <v>645</v>
      </c>
      <c r="M703" s="1" t="s">
        <v>58</v>
      </c>
      <c r="N703" s="1">
        <v>0</v>
      </c>
      <c r="O703" s="1" t="s">
        <v>105</v>
      </c>
      <c r="P703" s="186">
        <v>44896.657141203701</v>
      </c>
      <c r="R703" s="1">
        <v>2</v>
      </c>
      <c r="T703" s="1" t="s">
        <v>646</v>
      </c>
      <c r="U703" s="186">
        <v>44897.657152777778</v>
      </c>
      <c r="V703" s="1" t="s">
        <v>41</v>
      </c>
      <c r="W703" s="1" t="s">
        <v>49</v>
      </c>
      <c r="Z703" s="14"/>
      <c r="AC703" s="2"/>
      <c r="AE703" s="20"/>
    </row>
    <row r="704" spans="1:32" hidden="1">
      <c r="A704" s="1">
        <v>9130635</v>
      </c>
      <c r="B704" s="1" t="s">
        <v>101</v>
      </c>
      <c r="C704" t="s">
        <v>643</v>
      </c>
      <c r="D704" s="2">
        <v>220197154</v>
      </c>
      <c r="E704" s="2">
        <v>1069001400040</v>
      </c>
      <c r="F704" s="1" t="s">
        <v>644</v>
      </c>
      <c r="G704" s="1" t="s">
        <v>53</v>
      </c>
      <c r="H704" s="1" t="s">
        <v>353</v>
      </c>
      <c r="I704" s="1" t="s">
        <v>354</v>
      </c>
      <c r="J704" s="1" t="s">
        <v>211</v>
      </c>
      <c r="K704" t="s">
        <v>645</v>
      </c>
      <c r="M704" s="1" t="s">
        <v>58</v>
      </c>
      <c r="N704" s="1">
        <v>0</v>
      </c>
      <c r="O704" s="1" t="s">
        <v>105</v>
      </c>
      <c r="P704" s="186">
        <v>44896.655428240738</v>
      </c>
      <c r="R704" s="1">
        <v>3</v>
      </c>
      <c r="T704" s="1" t="s">
        <v>646</v>
      </c>
      <c r="U704" s="186">
        <v>44897.655428240738</v>
      </c>
      <c r="V704" s="1" t="s">
        <v>41</v>
      </c>
      <c r="W704" s="1" t="s">
        <v>49</v>
      </c>
      <c r="Z704" s="14"/>
      <c r="AC704" s="2"/>
      <c r="AE704" s="20"/>
    </row>
    <row r="705" spans="1:31" hidden="1">
      <c r="A705" s="1">
        <v>9130628</v>
      </c>
      <c r="B705" s="1" t="s">
        <v>101</v>
      </c>
      <c r="C705" t="s">
        <v>643</v>
      </c>
      <c r="D705" s="2">
        <v>220197147</v>
      </c>
      <c r="E705" s="2">
        <v>1049001400040</v>
      </c>
      <c r="F705" s="1" t="s">
        <v>644</v>
      </c>
      <c r="G705" s="1" t="s">
        <v>53</v>
      </c>
      <c r="H705" s="1" t="s">
        <v>169</v>
      </c>
      <c r="I705" s="1" t="s">
        <v>170</v>
      </c>
      <c r="J705" s="1" t="s">
        <v>164</v>
      </c>
      <c r="K705" t="s">
        <v>645</v>
      </c>
      <c r="M705" s="1" t="s">
        <v>58</v>
      </c>
      <c r="N705" s="1">
        <v>0</v>
      </c>
      <c r="O705" s="1" t="s">
        <v>105</v>
      </c>
      <c r="P705" s="186">
        <v>44896.655034722222</v>
      </c>
      <c r="R705" s="1">
        <v>2</v>
      </c>
      <c r="T705" s="1" t="s">
        <v>646</v>
      </c>
      <c r="U705" s="186">
        <v>44897.655046296299</v>
      </c>
      <c r="V705" s="1" t="s">
        <v>41</v>
      </c>
      <c r="W705" s="1" t="s">
        <v>49</v>
      </c>
      <c r="Z705" s="14"/>
      <c r="AC705" s="2"/>
      <c r="AE705" s="20"/>
    </row>
    <row r="706" spans="1:31" hidden="1">
      <c r="A706" s="1">
        <v>9130446</v>
      </c>
      <c r="B706" s="1" t="s">
        <v>101</v>
      </c>
      <c r="C706" t="s">
        <v>643</v>
      </c>
      <c r="D706" s="2">
        <v>220197516</v>
      </c>
      <c r="E706" s="2">
        <v>2125001400040</v>
      </c>
      <c r="F706" s="1" t="s">
        <v>644</v>
      </c>
      <c r="G706" s="1" t="s">
        <v>53</v>
      </c>
      <c r="H706" s="1" t="s">
        <v>1399</v>
      </c>
      <c r="I706" s="1" t="s">
        <v>1400</v>
      </c>
      <c r="J706" s="1" t="s">
        <v>211</v>
      </c>
      <c r="K706" t="s">
        <v>645</v>
      </c>
      <c r="M706" s="1" t="s">
        <v>58</v>
      </c>
      <c r="N706" s="1">
        <v>0</v>
      </c>
      <c r="O706" s="1" t="s">
        <v>105</v>
      </c>
      <c r="P706" s="186">
        <v>44896.646354166667</v>
      </c>
      <c r="R706" s="1">
        <v>3</v>
      </c>
      <c r="T706" s="1" t="s">
        <v>646</v>
      </c>
      <c r="U706" s="186">
        <v>44897.646354166667</v>
      </c>
      <c r="V706" s="1" t="s">
        <v>41</v>
      </c>
      <c r="W706" s="1" t="s">
        <v>49</v>
      </c>
      <c r="Z706" s="14"/>
      <c r="AC706" s="20"/>
      <c r="AE706" s="20"/>
    </row>
    <row r="707" spans="1:31" hidden="1">
      <c r="A707" s="1">
        <v>9130242</v>
      </c>
      <c r="B707" s="1" t="s">
        <v>101</v>
      </c>
      <c r="C707" t="s">
        <v>643</v>
      </c>
      <c r="D707" s="2">
        <v>220195741</v>
      </c>
      <c r="E707" s="2">
        <v>3243001400030</v>
      </c>
      <c r="F707" s="1" t="s">
        <v>647</v>
      </c>
      <c r="G707" s="1" t="s">
        <v>53</v>
      </c>
      <c r="H707" s="1" t="s">
        <v>282</v>
      </c>
      <c r="I707" s="1" t="s">
        <v>283</v>
      </c>
      <c r="J707" s="1" t="s">
        <v>46</v>
      </c>
      <c r="K707" t="s">
        <v>650</v>
      </c>
      <c r="M707" s="1" t="s">
        <v>58</v>
      </c>
      <c r="N707" s="1">
        <v>0</v>
      </c>
      <c r="O707" s="1" t="s">
        <v>105</v>
      </c>
      <c r="P707" s="186">
        <v>44896.636863425927</v>
      </c>
      <c r="R707" s="1">
        <v>4</v>
      </c>
      <c r="T707" s="1" t="s">
        <v>646</v>
      </c>
      <c r="U707" s="186">
        <v>44897.636863425927</v>
      </c>
      <c r="V707" s="1" t="s">
        <v>41</v>
      </c>
      <c r="W707" s="1" t="s">
        <v>49</v>
      </c>
      <c r="Z707" s="14"/>
      <c r="AC707" s="20"/>
      <c r="AE707" s="20"/>
    </row>
    <row r="708" spans="1:31" hidden="1">
      <c r="A708" s="1">
        <v>9130123</v>
      </c>
      <c r="B708" s="1" t="s">
        <v>101</v>
      </c>
      <c r="C708" t="s">
        <v>643</v>
      </c>
      <c r="D708" s="2">
        <v>220194957</v>
      </c>
      <c r="E708" s="2">
        <v>834001400030</v>
      </c>
      <c r="F708" s="1" t="s">
        <v>647</v>
      </c>
      <c r="G708" s="1" t="s">
        <v>53</v>
      </c>
      <c r="H708" s="1" t="s">
        <v>367</v>
      </c>
      <c r="I708" s="1" t="s">
        <v>368</v>
      </c>
      <c r="J708" s="1" t="s">
        <v>261</v>
      </c>
      <c r="K708" t="s">
        <v>650</v>
      </c>
      <c r="M708" s="1" t="s">
        <v>58</v>
      </c>
      <c r="N708" s="1">
        <v>0</v>
      </c>
      <c r="O708" s="1" t="s">
        <v>105</v>
      </c>
      <c r="P708" s="186">
        <v>44896.630219907405</v>
      </c>
      <c r="R708" s="1">
        <v>4</v>
      </c>
      <c r="T708" s="1" t="s">
        <v>646</v>
      </c>
      <c r="U708" s="186">
        <v>44897.630219907405</v>
      </c>
      <c r="V708" s="1" t="s">
        <v>41</v>
      </c>
      <c r="W708" s="1" t="s">
        <v>49</v>
      </c>
      <c r="Z708" s="14"/>
      <c r="AC708" s="20"/>
      <c r="AE708" s="20"/>
    </row>
    <row r="709" spans="1:31" hidden="1">
      <c r="A709" s="1">
        <v>9130118</v>
      </c>
      <c r="B709" s="1" t="s">
        <v>101</v>
      </c>
      <c r="C709" t="s">
        <v>643</v>
      </c>
      <c r="D709" s="2">
        <v>220194952</v>
      </c>
      <c r="E709" s="2">
        <v>821001400030</v>
      </c>
      <c r="F709" s="1" t="s">
        <v>647</v>
      </c>
      <c r="G709" s="1" t="s">
        <v>53</v>
      </c>
      <c r="H709" s="1" t="s">
        <v>1351</v>
      </c>
      <c r="I709" s="1" t="s">
        <v>1352</v>
      </c>
      <c r="J709" s="1" t="s">
        <v>46</v>
      </c>
      <c r="K709" t="s">
        <v>650</v>
      </c>
      <c r="M709" s="1" t="s">
        <v>58</v>
      </c>
      <c r="N709" s="1">
        <v>0</v>
      </c>
      <c r="O709" s="1" t="s">
        <v>105</v>
      </c>
      <c r="P709" s="186">
        <v>44896.629907407405</v>
      </c>
      <c r="R709" s="1">
        <v>4</v>
      </c>
      <c r="T709" s="1" t="s">
        <v>646</v>
      </c>
      <c r="U709" s="186">
        <v>44897.629907407405</v>
      </c>
      <c r="V709" s="1" t="s">
        <v>41</v>
      </c>
      <c r="W709" s="1" t="s">
        <v>49</v>
      </c>
      <c r="Z709" s="14"/>
      <c r="AC709" s="20"/>
      <c r="AE709" s="20"/>
    </row>
    <row r="710" spans="1:31" hidden="1">
      <c r="A710" s="1">
        <v>9130071</v>
      </c>
      <c r="B710" s="1" t="s">
        <v>101</v>
      </c>
      <c r="C710" t="s">
        <v>643</v>
      </c>
      <c r="D710" s="2">
        <v>220194820</v>
      </c>
      <c r="E710" s="2">
        <v>608001400030</v>
      </c>
      <c r="F710" s="1" t="s">
        <v>647</v>
      </c>
      <c r="G710" s="1" t="s">
        <v>53</v>
      </c>
      <c r="H710" s="1" t="s">
        <v>438</v>
      </c>
      <c r="I710" s="1" t="s">
        <v>439</v>
      </c>
      <c r="J710" s="1" t="s">
        <v>148</v>
      </c>
      <c r="K710" t="s">
        <v>650</v>
      </c>
      <c r="M710" s="1" t="s">
        <v>58</v>
      </c>
      <c r="N710" s="1">
        <v>0</v>
      </c>
      <c r="O710" s="1" t="s">
        <v>105</v>
      </c>
      <c r="P710" s="186">
        <v>44896.627546296295</v>
      </c>
      <c r="R710" s="1">
        <v>4</v>
      </c>
      <c r="T710" s="1" t="s">
        <v>646</v>
      </c>
      <c r="U710" s="186">
        <v>44897.627557870372</v>
      </c>
      <c r="V710" s="1" t="s">
        <v>41</v>
      </c>
      <c r="W710" s="1" t="s">
        <v>49</v>
      </c>
      <c r="Z710" s="14"/>
      <c r="AC710" s="20"/>
      <c r="AE710" s="20"/>
    </row>
    <row r="711" spans="1:31" hidden="1">
      <c r="A711" s="1">
        <v>9129981</v>
      </c>
      <c r="B711" s="1" t="s">
        <v>101</v>
      </c>
      <c r="C711" t="s">
        <v>643</v>
      </c>
      <c r="D711" s="2">
        <v>220194118</v>
      </c>
      <c r="E711" s="2">
        <v>4637001400010</v>
      </c>
      <c r="F711" s="1" t="s">
        <v>936</v>
      </c>
      <c r="G711" s="1" t="s">
        <v>53</v>
      </c>
      <c r="H711" s="1" t="s">
        <v>848</v>
      </c>
      <c r="I711" s="1" t="s">
        <v>849</v>
      </c>
      <c r="J711" s="1" t="s">
        <v>79</v>
      </c>
      <c r="K711" t="s">
        <v>937</v>
      </c>
      <c r="M711" s="1" t="s">
        <v>58</v>
      </c>
      <c r="N711" s="1">
        <v>0</v>
      </c>
      <c r="O711" s="1" t="s">
        <v>105</v>
      </c>
      <c r="P711" s="186">
        <v>44896.623657407406</v>
      </c>
      <c r="R711" s="1">
        <v>3</v>
      </c>
      <c r="T711" s="1" t="s">
        <v>646</v>
      </c>
      <c r="U711" s="186">
        <v>44897.623657407406</v>
      </c>
      <c r="V711" s="1" t="s">
        <v>41</v>
      </c>
      <c r="W711" s="1" t="s">
        <v>49</v>
      </c>
      <c r="Z711" s="14"/>
      <c r="AC711" s="20"/>
      <c r="AE711" s="20"/>
    </row>
    <row r="712" spans="1:31" hidden="1">
      <c r="A712" s="1">
        <v>9129978</v>
      </c>
      <c r="B712" s="1" t="s">
        <v>101</v>
      </c>
      <c r="C712" t="s">
        <v>643</v>
      </c>
      <c r="D712" s="2">
        <v>220194116</v>
      </c>
      <c r="E712" s="2">
        <v>4623001400010</v>
      </c>
      <c r="F712" s="1" t="s">
        <v>936</v>
      </c>
      <c r="G712" s="1" t="s">
        <v>53</v>
      </c>
      <c r="H712" s="1" t="s">
        <v>669</v>
      </c>
      <c r="I712" s="1" t="s">
        <v>670</v>
      </c>
      <c r="J712" s="1" t="s">
        <v>33</v>
      </c>
      <c r="K712" t="s">
        <v>937</v>
      </c>
      <c r="M712" s="1" t="s">
        <v>58</v>
      </c>
      <c r="N712" s="1">
        <v>0</v>
      </c>
      <c r="O712" s="1" t="s">
        <v>105</v>
      </c>
      <c r="P712" s="186">
        <v>44896.623541666668</v>
      </c>
      <c r="R712" s="1">
        <v>3</v>
      </c>
      <c r="T712" s="1" t="s">
        <v>646</v>
      </c>
      <c r="U712" s="186">
        <v>44897.623541666668</v>
      </c>
      <c r="V712" s="1" t="s">
        <v>41</v>
      </c>
      <c r="W712" s="1" t="s">
        <v>42</v>
      </c>
      <c r="Z712" s="14"/>
      <c r="AC712" s="20"/>
      <c r="AE712" s="20"/>
    </row>
    <row r="713" spans="1:31" hidden="1">
      <c r="A713" s="1">
        <v>9129941</v>
      </c>
      <c r="B713" s="1" t="s">
        <v>101</v>
      </c>
      <c r="C713" t="s">
        <v>643</v>
      </c>
      <c r="D713" s="2">
        <v>220194187</v>
      </c>
      <c r="E713" s="2">
        <v>4997001400010</v>
      </c>
      <c r="F713" s="1" t="s">
        <v>936</v>
      </c>
      <c r="G713" s="1" t="s">
        <v>53</v>
      </c>
      <c r="H713" s="1" t="s">
        <v>406</v>
      </c>
      <c r="I713" s="1" t="s">
        <v>407</v>
      </c>
      <c r="J713" s="1" t="s">
        <v>79</v>
      </c>
      <c r="K713" t="s">
        <v>937</v>
      </c>
      <c r="M713" s="1" t="s">
        <v>58</v>
      </c>
      <c r="N713" s="1">
        <v>0</v>
      </c>
      <c r="O713" s="1" t="s">
        <v>105</v>
      </c>
      <c r="P713" s="186">
        <v>44896.621840277781</v>
      </c>
      <c r="R713" s="1">
        <v>3</v>
      </c>
      <c r="T713" s="1" t="s">
        <v>646</v>
      </c>
      <c r="U713" s="186">
        <v>44897.621840277781</v>
      </c>
      <c r="V713" s="1" t="s">
        <v>41</v>
      </c>
      <c r="W713" s="1" t="s">
        <v>49</v>
      </c>
      <c r="Z713" s="14"/>
      <c r="AC713" s="20"/>
      <c r="AE713" s="20"/>
    </row>
    <row r="714" spans="1:31" hidden="1">
      <c r="A714" s="1">
        <v>9129868</v>
      </c>
      <c r="B714" s="1" t="s">
        <v>101</v>
      </c>
      <c r="C714" t="s">
        <v>643</v>
      </c>
      <c r="D714" s="2">
        <v>220193412</v>
      </c>
      <c r="E714" s="2">
        <v>1643001400010</v>
      </c>
      <c r="F714" s="1" t="s">
        <v>936</v>
      </c>
      <c r="G714" s="1" t="s">
        <v>53</v>
      </c>
      <c r="H714" s="1" t="s">
        <v>361</v>
      </c>
      <c r="I714" s="1" t="s">
        <v>362</v>
      </c>
      <c r="J714" s="1" t="s">
        <v>261</v>
      </c>
      <c r="K714" t="s">
        <v>937</v>
      </c>
      <c r="M714" s="1" t="s">
        <v>58</v>
      </c>
      <c r="N714" s="1">
        <v>0</v>
      </c>
      <c r="O714" s="1" t="s">
        <v>105</v>
      </c>
      <c r="P714" s="186">
        <v>44896.618703703702</v>
      </c>
      <c r="R714" s="1">
        <v>3</v>
      </c>
      <c r="T714" s="1" t="s">
        <v>646</v>
      </c>
      <c r="U714" s="186">
        <v>44897.618703703702</v>
      </c>
      <c r="V714" s="1" t="s">
        <v>41</v>
      </c>
      <c r="W714" s="1" t="s">
        <v>49</v>
      </c>
      <c r="Z714" s="14"/>
      <c r="AA714" s="14"/>
      <c r="AC714" s="1"/>
      <c r="AE714" s="1"/>
    </row>
    <row r="715" spans="1:31" hidden="1">
      <c r="A715" s="1">
        <v>9129798</v>
      </c>
      <c r="B715" s="1" t="s">
        <v>101</v>
      </c>
      <c r="C715" t="s">
        <v>643</v>
      </c>
      <c r="D715" s="2">
        <v>220193269</v>
      </c>
      <c r="E715" s="2">
        <v>1264001400010</v>
      </c>
      <c r="F715" s="1" t="s">
        <v>936</v>
      </c>
      <c r="G715" s="1" t="s">
        <v>53</v>
      </c>
      <c r="H715" s="1" t="s">
        <v>351</v>
      </c>
      <c r="I715" s="1" t="s">
        <v>352</v>
      </c>
      <c r="J715" s="1" t="s">
        <v>110</v>
      </c>
      <c r="K715" t="s">
        <v>937</v>
      </c>
      <c r="M715" s="1" t="s">
        <v>58</v>
      </c>
      <c r="N715" s="1">
        <v>0</v>
      </c>
      <c r="O715" s="1" t="s">
        <v>105</v>
      </c>
      <c r="P715" s="186">
        <v>44896.615624999999</v>
      </c>
      <c r="R715" s="1">
        <v>3</v>
      </c>
      <c r="T715" s="1" t="s">
        <v>646</v>
      </c>
      <c r="U715" s="186">
        <v>44897.615624999999</v>
      </c>
      <c r="V715" s="1" t="s">
        <v>41</v>
      </c>
      <c r="W715" s="1" t="s">
        <v>49</v>
      </c>
      <c r="Z715" s="14"/>
      <c r="AA715" s="14"/>
      <c r="AC715" s="1"/>
      <c r="AE715" s="1"/>
    </row>
    <row r="716" spans="1:31" hidden="1">
      <c r="A716" s="1">
        <v>9129788</v>
      </c>
      <c r="B716" s="1" t="s">
        <v>101</v>
      </c>
      <c r="C716" t="s">
        <v>643</v>
      </c>
      <c r="D716" s="2">
        <v>220193262</v>
      </c>
      <c r="E716" s="2">
        <v>1245001400010</v>
      </c>
      <c r="F716" s="1" t="s">
        <v>936</v>
      </c>
      <c r="G716" s="1" t="s">
        <v>53</v>
      </c>
      <c r="H716" s="1" t="s">
        <v>408</v>
      </c>
      <c r="I716" s="1" t="s">
        <v>409</v>
      </c>
      <c r="J716" s="1" t="s">
        <v>46</v>
      </c>
      <c r="K716" t="s">
        <v>937</v>
      </c>
      <c r="M716" s="1" t="s">
        <v>58</v>
      </c>
      <c r="N716" s="1">
        <v>0</v>
      </c>
      <c r="O716" s="1" t="s">
        <v>105</v>
      </c>
      <c r="P716" s="186">
        <v>44896.61519675926</v>
      </c>
      <c r="R716" s="1">
        <v>3</v>
      </c>
      <c r="T716" s="1" t="s">
        <v>646</v>
      </c>
      <c r="U716" s="186">
        <v>44897.61519675926</v>
      </c>
      <c r="V716" s="1" t="s">
        <v>41</v>
      </c>
      <c r="W716" s="1" t="s">
        <v>49</v>
      </c>
      <c r="Z716" s="14"/>
      <c r="AA716" s="14"/>
      <c r="AC716" s="1"/>
      <c r="AE716" s="1"/>
    </row>
    <row r="717" spans="1:31" hidden="1">
      <c r="A717" s="1">
        <v>9129743</v>
      </c>
      <c r="B717" s="1" t="s">
        <v>101</v>
      </c>
      <c r="C717" t="s">
        <v>643</v>
      </c>
      <c r="D717" s="2">
        <v>220193731</v>
      </c>
      <c r="E717" s="2">
        <v>2855001400010</v>
      </c>
      <c r="F717" s="1" t="s">
        <v>936</v>
      </c>
      <c r="G717" s="1" t="s">
        <v>53</v>
      </c>
      <c r="H717" s="1" t="s">
        <v>249</v>
      </c>
      <c r="I717" s="1" t="s">
        <v>250</v>
      </c>
      <c r="J717" s="1" t="s">
        <v>56</v>
      </c>
      <c r="K717" t="s">
        <v>937</v>
      </c>
      <c r="M717" s="1" t="s">
        <v>58</v>
      </c>
      <c r="N717" s="1">
        <v>0</v>
      </c>
      <c r="O717" s="1" t="s">
        <v>105</v>
      </c>
      <c r="P717" s="186">
        <v>44896.61341435185</v>
      </c>
      <c r="R717" s="1">
        <v>3</v>
      </c>
      <c r="T717" s="1" t="s">
        <v>646</v>
      </c>
      <c r="U717" s="186">
        <v>44897.61341435185</v>
      </c>
      <c r="V717" s="1" t="s">
        <v>41</v>
      </c>
      <c r="W717" s="1" t="s">
        <v>49</v>
      </c>
      <c r="Z717" s="14"/>
      <c r="AA717" s="14"/>
      <c r="AC717" s="1"/>
      <c r="AE717" s="1"/>
    </row>
    <row r="718" spans="1:31" hidden="1">
      <c r="A718" s="1">
        <v>9129736</v>
      </c>
      <c r="B718" s="1" t="s">
        <v>101</v>
      </c>
      <c r="C718" t="s">
        <v>643</v>
      </c>
      <c r="D718" s="2">
        <v>220193724</v>
      </c>
      <c r="E718" s="2">
        <v>2830001400010</v>
      </c>
      <c r="F718" s="1" t="s">
        <v>936</v>
      </c>
      <c r="G718" s="1" t="s">
        <v>53</v>
      </c>
      <c r="H718" s="1" t="s">
        <v>448</v>
      </c>
      <c r="I718" s="1" t="s">
        <v>449</v>
      </c>
      <c r="J718" s="1" t="s">
        <v>33</v>
      </c>
      <c r="K718" t="s">
        <v>937</v>
      </c>
      <c r="M718" s="1" t="s">
        <v>58</v>
      </c>
      <c r="N718" s="1">
        <v>0</v>
      </c>
      <c r="O718" s="1" t="s">
        <v>105</v>
      </c>
      <c r="P718" s="186">
        <v>44896.613055555557</v>
      </c>
      <c r="R718" s="1">
        <v>3</v>
      </c>
      <c r="T718" s="1" t="s">
        <v>646</v>
      </c>
      <c r="U718" s="186">
        <v>44897.613055555557</v>
      </c>
      <c r="V718" s="1" t="s">
        <v>41</v>
      </c>
      <c r="W718" s="1" t="s">
        <v>42</v>
      </c>
      <c r="Z718" s="14"/>
      <c r="AA718" s="14"/>
      <c r="AC718" s="1"/>
      <c r="AE718" s="1"/>
    </row>
    <row r="719" spans="1:31" hidden="1">
      <c r="A719" s="1">
        <v>9129707</v>
      </c>
      <c r="B719" s="1" t="s">
        <v>101</v>
      </c>
      <c r="C719" t="s">
        <v>643</v>
      </c>
      <c r="D719" s="2">
        <v>220193132</v>
      </c>
      <c r="E719" s="2">
        <v>981001400010</v>
      </c>
      <c r="F719" s="1" t="s">
        <v>936</v>
      </c>
      <c r="G719" s="1" t="s">
        <v>53</v>
      </c>
      <c r="H719" s="1" t="s">
        <v>410</v>
      </c>
      <c r="I719" s="1" t="s">
        <v>411</v>
      </c>
      <c r="J719" s="1" t="s">
        <v>85</v>
      </c>
      <c r="K719" t="s">
        <v>937</v>
      </c>
      <c r="M719" s="1" t="s">
        <v>58</v>
      </c>
      <c r="N719" s="1">
        <v>0</v>
      </c>
      <c r="O719" s="1" t="s">
        <v>105</v>
      </c>
      <c r="P719" s="186">
        <v>44896.611238425925</v>
      </c>
      <c r="R719" s="1">
        <v>3</v>
      </c>
      <c r="T719" s="1" t="s">
        <v>646</v>
      </c>
      <c r="U719" s="186">
        <v>44897.611238425925</v>
      </c>
      <c r="V719" s="1" t="s">
        <v>41</v>
      </c>
      <c r="W719" s="1" t="s">
        <v>49</v>
      </c>
      <c r="Z719" s="14"/>
      <c r="AA719" s="14"/>
      <c r="AC719" s="1"/>
      <c r="AE719" s="1"/>
    </row>
    <row r="720" spans="1:31" hidden="1">
      <c r="A720" s="1">
        <v>9129576</v>
      </c>
      <c r="B720" s="1" t="s">
        <v>101</v>
      </c>
      <c r="C720" t="s">
        <v>643</v>
      </c>
      <c r="D720" s="2">
        <v>220198413</v>
      </c>
      <c r="E720" s="2">
        <v>1943001400040</v>
      </c>
      <c r="F720" s="1" t="s">
        <v>644</v>
      </c>
      <c r="G720" s="1" t="s">
        <v>53</v>
      </c>
      <c r="H720" s="1" t="s">
        <v>264</v>
      </c>
      <c r="I720" s="1" t="s">
        <v>265</v>
      </c>
      <c r="J720" s="1" t="s">
        <v>56</v>
      </c>
      <c r="K720" t="s">
        <v>645</v>
      </c>
      <c r="M720" s="1" t="s">
        <v>58</v>
      </c>
      <c r="N720" s="1">
        <v>0</v>
      </c>
      <c r="O720" s="1" t="s">
        <v>105</v>
      </c>
      <c r="P720" s="186">
        <v>44896.605173611111</v>
      </c>
      <c r="R720" s="1">
        <v>2</v>
      </c>
      <c r="T720" s="1" t="s">
        <v>646</v>
      </c>
      <c r="U720" s="186">
        <v>44897.605185185188</v>
      </c>
      <c r="V720" s="1" t="s">
        <v>41</v>
      </c>
      <c r="W720" s="1" t="s">
        <v>49</v>
      </c>
      <c r="Z720" s="14"/>
      <c r="AA720" s="14"/>
      <c r="AC720" s="1"/>
      <c r="AE720" s="1"/>
    </row>
    <row r="721" spans="1:31" hidden="1">
      <c r="A721" s="1">
        <v>9129532</v>
      </c>
      <c r="B721" s="1" t="s">
        <v>101</v>
      </c>
      <c r="C721" t="s">
        <v>643</v>
      </c>
      <c r="D721" s="2">
        <v>220198370</v>
      </c>
      <c r="E721" s="2">
        <v>5898001400040</v>
      </c>
      <c r="F721" s="1" t="s">
        <v>644</v>
      </c>
      <c r="G721" s="1" t="s">
        <v>53</v>
      </c>
      <c r="H721" s="1" t="s">
        <v>365</v>
      </c>
      <c r="I721" s="1" t="s">
        <v>366</v>
      </c>
      <c r="J721" s="1" t="s">
        <v>164</v>
      </c>
      <c r="K721" t="s">
        <v>645</v>
      </c>
      <c r="M721" s="1" t="s">
        <v>58</v>
      </c>
      <c r="N721" s="1">
        <v>0</v>
      </c>
      <c r="O721" s="1" t="s">
        <v>105</v>
      </c>
      <c r="P721" s="186">
        <v>44896.602442129632</v>
      </c>
      <c r="R721" s="1">
        <v>2</v>
      </c>
      <c r="T721" s="1" t="s">
        <v>646</v>
      </c>
      <c r="U721" s="186">
        <v>44897.602453703701</v>
      </c>
      <c r="V721" s="1" t="s">
        <v>41</v>
      </c>
      <c r="W721" s="1" t="s">
        <v>49</v>
      </c>
      <c r="Z721" s="14"/>
      <c r="AA721" s="14"/>
      <c r="AC721" s="1"/>
      <c r="AE721" s="1"/>
    </row>
    <row r="722" spans="1:31" hidden="1">
      <c r="A722" s="1">
        <v>9129469</v>
      </c>
      <c r="B722" s="1" t="s">
        <v>101</v>
      </c>
      <c r="C722" t="s">
        <v>643</v>
      </c>
      <c r="D722" s="2">
        <v>220198152</v>
      </c>
      <c r="E722" s="2">
        <v>4637001400040</v>
      </c>
      <c r="F722" s="1" t="s">
        <v>644</v>
      </c>
      <c r="G722" s="1" t="s">
        <v>53</v>
      </c>
      <c r="H722" s="1" t="s">
        <v>848</v>
      </c>
      <c r="I722" s="1" t="s">
        <v>849</v>
      </c>
      <c r="J722" s="1" t="s">
        <v>79</v>
      </c>
      <c r="K722" t="s">
        <v>645</v>
      </c>
      <c r="M722" s="1" t="s">
        <v>58</v>
      </c>
      <c r="N722" s="1">
        <v>0</v>
      </c>
      <c r="O722" s="1" t="s">
        <v>105</v>
      </c>
      <c r="P722" s="186">
        <v>44896.599282407406</v>
      </c>
      <c r="R722" s="1">
        <v>3</v>
      </c>
      <c r="T722" s="1" t="s">
        <v>646</v>
      </c>
      <c r="U722" s="186">
        <v>44897.599282407406</v>
      </c>
      <c r="V722" s="1" t="s">
        <v>41</v>
      </c>
      <c r="W722" s="1" t="s">
        <v>49</v>
      </c>
      <c r="Z722" s="14"/>
      <c r="AA722" s="14"/>
      <c r="AC722" s="1"/>
      <c r="AE722" s="1"/>
    </row>
    <row r="723" spans="1:31" hidden="1">
      <c r="A723" s="1">
        <v>9129466</v>
      </c>
      <c r="B723" s="1" t="s">
        <v>101</v>
      </c>
      <c r="C723" t="s">
        <v>643</v>
      </c>
      <c r="D723" s="2">
        <v>220198149</v>
      </c>
      <c r="E723" s="2">
        <v>4623001400040</v>
      </c>
      <c r="F723" s="1" t="s">
        <v>644</v>
      </c>
      <c r="G723" s="1" t="s">
        <v>53</v>
      </c>
      <c r="H723" s="1" t="s">
        <v>669</v>
      </c>
      <c r="I723" s="1" t="s">
        <v>670</v>
      </c>
      <c r="J723" s="1" t="s">
        <v>33</v>
      </c>
      <c r="K723" t="s">
        <v>645</v>
      </c>
      <c r="M723" s="1" t="s">
        <v>58</v>
      </c>
      <c r="N723" s="1">
        <v>0</v>
      </c>
      <c r="O723" s="1" t="s">
        <v>105</v>
      </c>
      <c r="P723" s="186">
        <v>44896.599108796298</v>
      </c>
      <c r="R723" s="1">
        <v>2</v>
      </c>
      <c r="T723" s="1" t="s">
        <v>646</v>
      </c>
      <c r="U723" s="186">
        <v>44897.599120370367</v>
      </c>
      <c r="V723" s="1" t="s">
        <v>41</v>
      </c>
      <c r="W723" s="1" t="s">
        <v>42</v>
      </c>
      <c r="Z723" s="14"/>
      <c r="AA723" s="14"/>
      <c r="AC723" s="21"/>
      <c r="AE723" s="21"/>
    </row>
    <row r="724" spans="1:31" hidden="1">
      <c r="A724" s="1">
        <v>9129293</v>
      </c>
      <c r="B724" s="1" t="s">
        <v>101</v>
      </c>
      <c r="C724" t="s">
        <v>643</v>
      </c>
      <c r="D724" s="2">
        <v>220197353</v>
      </c>
      <c r="E724" s="2">
        <v>1509001400040</v>
      </c>
      <c r="F724" s="1" t="s">
        <v>644</v>
      </c>
      <c r="G724" s="1" t="s">
        <v>53</v>
      </c>
      <c r="H724" s="1" t="s">
        <v>731</v>
      </c>
      <c r="I724" s="1" t="s">
        <v>732</v>
      </c>
      <c r="J724" s="1" t="s">
        <v>46</v>
      </c>
      <c r="K724" t="s">
        <v>645</v>
      </c>
      <c r="M724" s="1" t="s">
        <v>58</v>
      </c>
      <c r="N724" s="1">
        <v>0</v>
      </c>
      <c r="O724" s="1" t="s">
        <v>105</v>
      </c>
      <c r="P724" s="186">
        <v>44896.590925925928</v>
      </c>
      <c r="R724" s="1">
        <v>3</v>
      </c>
      <c r="T724" s="1" t="s">
        <v>646</v>
      </c>
      <c r="U724" s="186">
        <v>44897.590925925928</v>
      </c>
      <c r="V724" s="1" t="s">
        <v>41</v>
      </c>
      <c r="W724" s="1" t="s">
        <v>49</v>
      </c>
      <c r="Z724" s="14"/>
      <c r="AA724" s="14"/>
      <c r="AC724" s="21"/>
      <c r="AE724" s="21"/>
    </row>
    <row r="725" spans="1:31" hidden="1">
      <c r="A725" s="1">
        <v>9129253</v>
      </c>
      <c r="B725" s="1" t="s">
        <v>101</v>
      </c>
      <c r="C725" t="s">
        <v>643</v>
      </c>
      <c r="D725" s="2">
        <v>220197205</v>
      </c>
      <c r="E725" s="2">
        <v>1162001400040</v>
      </c>
      <c r="F725" s="1" t="s">
        <v>644</v>
      </c>
      <c r="G725" s="1" t="s">
        <v>53</v>
      </c>
      <c r="H725" s="1" t="s">
        <v>280</v>
      </c>
      <c r="I725" s="1" t="s">
        <v>281</v>
      </c>
      <c r="J725" s="1" t="s">
        <v>211</v>
      </c>
      <c r="K725" t="s">
        <v>645</v>
      </c>
      <c r="M725" s="1" t="s">
        <v>58</v>
      </c>
      <c r="N725" s="1">
        <v>0</v>
      </c>
      <c r="O725" s="1" t="s">
        <v>105</v>
      </c>
      <c r="P725" s="186">
        <v>44896.588958333334</v>
      </c>
      <c r="R725" s="1">
        <v>3</v>
      </c>
      <c r="T725" s="1" t="s">
        <v>646</v>
      </c>
      <c r="U725" s="186">
        <v>44897.588958333334</v>
      </c>
      <c r="V725" s="1" t="s">
        <v>41</v>
      </c>
      <c r="W725" s="1" t="s">
        <v>49</v>
      </c>
      <c r="Z725" s="14"/>
      <c r="AA725" s="14"/>
      <c r="AC725" s="22"/>
      <c r="AE725" s="22"/>
    </row>
    <row r="726" spans="1:31" hidden="1">
      <c r="A726" s="1">
        <v>9129235</v>
      </c>
      <c r="B726" s="1" t="s">
        <v>101</v>
      </c>
      <c r="C726" t="s">
        <v>643</v>
      </c>
      <c r="D726" s="2">
        <v>220197191</v>
      </c>
      <c r="E726" s="2">
        <v>1138001400040</v>
      </c>
      <c r="F726" s="1" t="s">
        <v>644</v>
      </c>
      <c r="G726" s="1" t="s">
        <v>53</v>
      </c>
      <c r="H726" s="1" t="s">
        <v>548</v>
      </c>
      <c r="I726" s="1" t="s">
        <v>549</v>
      </c>
      <c r="J726" s="1" t="s">
        <v>46</v>
      </c>
      <c r="K726" t="s">
        <v>645</v>
      </c>
      <c r="M726" s="1" t="s">
        <v>58</v>
      </c>
      <c r="N726" s="1">
        <v>0</v>
      </c>
      <c r="O726" s="1" t="s">
        <v>105</v>
      </c>
      <c r="P726" s="186">
        <v>44896.588101851848</v>
      </c>
      <c r="R726" s="1">
        <v>2</v>
      </c>
      <c r="T726" s="1" t="s">
        <v>646</v>
      </c>
      <c r="U726" s="186">
        <v>44897.588113425925</v>
      </c>
      <c r="V726" s="1" t="s">
        <v>41</v>
      </c>
      <c r="W726" s="1" t="s">
        <v>49</v>
      </c>
      <c r="Z726" s="14"/>
      <c r="AA726" s="14"/>
      <c r="AC726" s="21"/>
      <c r="AE726" s="21"/>
    </row>
    <row r="727" spans="1:31" hidden="1">
      <c r="A727" s="1">
        <v>9129192</v>
      </c>
      <c r="B727" s="1" t="s">
        <v>101</v>
      </c>
      <c r="C727" t="s">
        <v>643</v>
      </c>
      <c r="D727" s="2">
        <v>220197715</v>
      </c>
      <c r="E727" s="2">
        <v>2830001400040</v>
      </c>
      <c r="F727" s="1" t="s">
        <v>644</v>
      </c>
      <c r="G727" s="1" t="s">
        <v>53</v>
      </c>
      <c r="H727" s="1" t="s">
        <v>448</v>
      </c>
      <c r="I727" s="1" t="s">
        <v>449</v>
      </c>
      <c r="J727" s="1" t="s">
        <v>33</v>
      </c>
      <c r="K727" t="s">
        <v>645</v>
      </c>
      <c r="M727" s="1" t="s">
        <v>58</v>
      </c>
      <c r="N727" s="1">
        <v>0</v>
      </c>
      <c r="O727" s="1" t="s">
        <v>105</v>
      </c>
      <c r="P727" s="186">
        <v>44896.585763888892</v>
      </c>
      <c r="R727" s="1">
        <v>2</v>
      </c>
      <c r="T727" s="1" t="s">
        <v>646</v>
      </c>
      <c r="U727" s="186">
        <v>44897.585775462961</v>
      </c>
      <c r="V727" s="1" t="s">
        <v>41</v>
      </c>
      <c r="W727" s="1" t="s">
        <v>42</v>
      </c>
      <c r="Z727" s="14"/>
      <c r="AA727" s="14"/>
      <c r="AC727" s="21"/>
      <c r="AE727" s="21"/>
    </row>
    <row r="728" spans="1:31" hidden="1">
      <c r="A728" s="1">
        <v>9129186</v>
      </c>
      <c r="B728" s="1" t="s">
        <v>101</v>
      </c>
      <c r="C728" t="s">
        <v>643</v>
      </c>
      <c r="D728" s="2">
        <v>220197710</v>
      </c>
      <c r="E728" s="2">
        <v>2802001400040</v>
      </c>
      <c r="F728" s="1" t="s">
        <v>644</v>
      </c>
      <c r="G728" s="1" t="s">
        <v>53</v>
      </c>
      <c r="H728" s="1" t="s">
        <v>388</v>
      </c>
      <c r="I728" s="1" t="s">
        <v>389</v>
      </c>
      <c r="J728" s="1" t="s">
        <v>46</v>
      </c>
      <c r="K728" t="s">
        <v>645</v>
      </c>
      <c r="M728" s="1" t="s">
        <v>58</v>
      </c>
      <c r="N728" s="1">
        <v>0</v>
      </c>
      <c r="O728" s="1" t="s">
        <v>105</v>
      </c>
      <c r="P728" s="186">
        <v>44896.585370370369</v>
      </c>
      <c r="R728" s="1">
        <v>3</v>
      </c>
      <c r="T728" s="1" t="s">
        <v>646</v>
      </c>
      <c r="U728" s="186">
        <v>44897.585370370369</v>
      </c>
      <c r="V728" s="1" t="s">
        <v>41</v>
      </c>
      <c r="W728" s="1" t="s">
        <v>49</v>
      </c>
      <c r="Z728" s="14"/>
      <c r="AA728" s="14"/>
      <c r="AC728" s="21"/>
      <c r="AE728" s="21"/>
    </row>
    <row r="729" spans="1:31" hidden="1">
      <c r="A729" s="1">
        <v>9129147</v>
      </c>
      <c r="B729" s="1" t="s">
        <v>101</v>
      </c>
      <c r="C729" t="s">
        <v>643</v>
      </c>
      <c r="D729" s="2">
        <v>220197682</v>
      </c>
      <c r="E729" s="2">
        <v>2693001400040</v>
      </c>
      <c r="F729" s="1" t="s">
        <v>644</v>
      </c>
      <c r="G729" s="1" t="s">
        <v>53</v>
      </c>
      <c r="H729" s="1" t="s">
        <v>253</v>
      </c>
      <c r="I729" s="1" t="s">
        <v>254</v>
      </c>
      <c r="J729" s="1" t="s">
        <v>56</v>
      </c>
      <c r="K729" t="s">
        <v>645</v>
      </c>
      <c r="M729" s="1" t="s">
        <v>58</v>
      </c>
      <c r="N729" s="1">
        <v>0</v>
      </c>
      <c r="O729" s="1" t="s">
        <v>105</v>
      </c>
      <c r="P729" s="186">
        <v>44896.583495370367</v>
      </c>
      <c r="R729" s="1">
        <v>2</v>
      </c>
      <c r="T729" s="1" t="s">
        <v>646</v>
      </c>
      <c r="U729" s="186">
        <v>44897.583506944444</v>
      </c>
      <c r="V729" s="1" t="s">
        <v>41</v>
      </c>
      <c r="W729" s="1" t="s">
        <v>49</v>
      </c>
      <c r="Z729" s="14"/>
      <c r="AA729" s="14"/>
      <c r="AC729" s="21"/>
      <c r="AE729" s="21"/>
    </row>
    <row r="730" spans="1:31" hidden="1">
      <c r="A730" s="1">
        <v>9129072</v>
      </c>
      <c r="B730" s="1" t="s">
        <v>101</v>
      </c>
      <c r="C730" t="s">
        <v>643</v>
      </c>
      <c r="D730" s="2">
        <v>220197722</v>
      </c>
      <c r="E730" s="2">
        <v>2855001400040</v>
      </c>
      <c r="F730" s="1" t="s">
        <v>644</v>
      </c>
      <c r="G730" s="1" t="s">
        <v>53</v>
      </c>
      <c r="H730" s="1" t="s">
        <v>249</v>
      </c>
      <c r="I730" s="1" t="s">
        <v>250</v>
      </c>
      <c r="J730" s="1" t="s">
        <v>56</v>
      </c>
      <c r="K730" t="s">
        <v>645</v>
      </c>
      <c r="M730" s="1" t="s">
        <v>58</v>
      </c>
      <c r="N730" s="1">
        <v>0</v>
      </c>
      <c r="O730" s="1" t="s">
        <v>105</v>
      </c>
      <c r="P730" s="186">
        <v>44896.580439814818</v>
      </c>
      <c r="R730" s="1">
        <v>2</v>
      </c>
      <c r="T730" s="1" t="s">
        <v>646</v>
      </c>
      <c r="U730" s="186">
        <v>44897.580451388887</v>
      </c>
      <c r="V730" s="1" t="s">
        <v>41</v>
      </c>
      <c r="W730" s="1" t="s">
        <v>49</v>
      </c>
      <c r="Z730" s="14"/>
      <c r="AA730" s="14"/>
      <c r="AC730" s="21"/>
      <c r="AE730" s="21"/>
    </row>
    <row r="731" spans="1:31" hidden="1">
      <c r="A731" s="1">
        <v>9129043</v>
      </c>
      <c r="B731" s="1" t="s">
        <v>101</v>
      </c>
      <c r="C731" t="s">
        <v>643</v>
      </c>
      <c r="D731" s="2">
        <v>220196970</v>
      </c>
      <c r="E731" s="2">
        <v>710001400040</v>
      </c>
      <c r="F731" s="1" t="s">
        <v>644</v>
      </c>
      <c r="G731" s="1" t="s">
        <v>53</v>
      </c>
      <c r="H731" s="1" t="s">
        <v>390</v>
      </c>
      <c r="I731" s="1" t="s">
        <v>391</v>
      </c>
      <c r="J731" s="1" t="s">
        <v>56</v>
      </c>
      <c r="K731" t="s">
        <v>645</v>
      </c>
      <c r="M731" s="1" t="s">
        <v>58</v>
      </c>
      <c r="N731" s="1">
        <v>0</v>
      </c>
      <c r="O731" s="1" t="s">
        <v>105</v>
      </c>
      <c r="P731" s="186">
        <v>44896.579571759263</v>
      </c>
      <c r="R731" s="1">
        <v>2</v>
      </c>
      <c r="T731" s="1" t="s">
        <v>646</v>
      </c>
      <c r="U731" s="186">
        <v>44897.579583333332</v>
      </c>
      <c r="V731" s="1" t="s">
        <v>41</v>
      </c>
      <c r="W731" s="1" t="s">
        <v>49</v>
      </c>
      <c r="Z731" s="14"/>
      <c r="AA731" s="14"/>
      <c r="AC731" s="21"/>
      <c r="AE731" s="21"/>
    </row>
    <row r="732" spans="1:31" hidden="1">
      <c r="A732" s="1">
        <v>9128854</v>
      </c>
      <c r="B732" s="1" t="s">
        <v>101</v>
      </c>
      <c r="C732" t="s">
        <v>643</v>
      </c>
      <c r="D732" s="2">
        <v>220196470</v>
      </c>
      <c r="E732" s="2">
        <v>8259001400030</v>
      </c>
      <c r="F732" s="1" t="s">
        <v>647</v>
      </c>
      <c r="G732" s="1" t="s">
        <v>53</v>
      </c>
      <c r="H732" s="1" t="s">
        <v>245</v>
      </c>
      <c r="I732" s="1" t="s">
        <v>246</v>
      </c>
      <c r="J732" s="1" t="s">
        <v>56</v>
      </c>
      <c r="K732" t="s">
        <v>650</v>
      </c>
      <c r="M732" s="1" t="s">
        <v>58</v>
      </c>
      <c r="N732" s="1">
        <v>0</v>
      </c>
      <c r="O732" s="1" t="s">
        <v>105</v>
      </c>
      <c r="P732" s="186">
        <v>44896.569606481484</v>
      </c>
      <c r="R732" s="1">
        <v>4</v>
      </c>
      <c r="T732" s="1" t="s">
        <v>646</v>
      </c>
      <c r="U732" s="186">
        <v>44897.569606481484</v>
      </c>
      <c r="V732" s="1" t="s">
        <v>41</v>
      </c>
      <c r="W732" s="1" t="s">
        <v>49</v>
      </c>
      <c r="Z732" s="14"/>
      <c r="AA732" s="14"/>
      <c r="AC732" s="21"/>
      <c r="AE732" s="21"/>
    </row>
    <row r="733" spans="1:31" hidden="1">
      <c r="A733" s="1">
        <v>9128754</v>
      </c>
      <c r="B733" s="1" t="s">
        <v>101</v>
      </c>
      <c r="C733" t="s">
        <v>643</v>
      </c>
      <c r="D733" s="2">
        <v>220196094</v>
      </c>
      <c r="E733" s="2">
        <v>4623001400030</v>
      </c>
      <c r="F733" s="1" t="s">
        <v>647</v>
      </c>
      <c r="G733" s="1" t="s">
        <v>53</v>
      </c>
      <c r="H733" s="1" t="s">
        <v>669</v>
      </c>
      <c r="I733" s="1" t="s">
        <v>670</v>
      </c>
      <c r="J733" s="1" t="s">
        <v>33</v>
      </c>
      <c r="K733" t="s">
        <v>650</v>
      </c>
      <c r="M733" s="1" t="s">
        <v>58</v>
      </c>
      <c r="N733" s="1">
        <v>0</v>
      </c>
      <c r="O733" s="1" t="s">
        <v>105</v>
      </c>
      <c r="P733" s="186">
        <v>44896.566134259258</v>
      </c>
      <c r="R733" s="1">
        <v>4</v>
      </c>
      <c r="T733" s="1" t="s">
        <v>646</v>
      </c>
      <c r="U733" s="186">
        <v>44897.566145833334</v>
      </c>
      <c r="V733" s="1" t="s">
        <v>41</v>
      </c>
      <c r="W733" s="1" t="s">
        <v>42</v>
      </c>
      <c r="Z733" s="14"/>
      <c r="AA733" s="14"/>
      <c r="AC733" s="21"/>
      <c r="AE733" s="21"/>
    </row>
    <row r="734" spans="1:31" hidden="1">
      <c r="A734" s="1">
        <v>9128723</v>
      </c>
      <c r="B734" s="1" t="s">
        <v>101</v>
      </c>
      <c r="C734" t="s">
        <v>643</v>
      </c>
      <c r="D734" s="2">
        <v>220196098</v>
      </c>
      <c r="E734" s="2">
        <v>4637001400030</v>
      </c>
      <c r="F734" s="1" t="s">
        <v>647</v>
      </c>
      <c r="G734" s="1" t="s">
        <v>53</v>
      </c>
      <c r="H734" s="1" t="s">
        <v>848</v>
      </c>
      <c r="I734" s="1" t="s">
        <v>849</v>
      </c>
      <c r="J734" s="1" t="s">
        <v>79</v>
      </c>
      <c r="K734" t="s">
        <v>650</v>
      </c>
      <c r="M734" s="1" t="s">
        <v>58</v>
      </c>
      <c r="N734" s="1">
        <v>0</v>
      </c>
      <c r="O734" s="1" t="s">
        <v>105</v>
      </c>
      <c r="P734" s="186">
        <v>44896.564293981479</v>
      </c>
      <c r="R734" s="1">
        <v>4</v>
      </c>
      <c r="T734" s="1" t="s">
        <v>646</v>
      </c>
      <c r="U734" s="186">
        <v>44897.564305555556</v>
      </c>
      <c r="V734" s="1" t="s">
        <v>41</v>
      </c>
      <c r="W734" s="1" t="s">
        <v>49</v>
      </c>
      <c r="Z734" s="14"/>
      <c r="AA734" s="14"/>
      <c r="AC734" s="21"/>
      <c r="AE734" s="21"/>
    </row>
    <row r="735" spans="1:31" hidden="1">
      <c r="A735" s="1">
        <v>9128704</v>
      </c>
      <c r="B735" s="1" t="s">
        <v>101</v>
      </c>
      <c r="C735" t="s">
        <v>643</v>
      </c>
      <c r="D735" s="2">
        <v>220195914</v>
      </c>
      <c r="E735" s="2">
        <v>4012001400030</v>
      </c>
      <c r="F735" s="1" t="s">
        <v>647</v>
      </c>
      <c r="G735" s="1" t="s">
        <v>53</v>
      </c>
      <c r="H735" s="1" t="s">
        <v>349</v>
      </c>
      <c r="I735" s="1" t="s">
        <v>350</v>
      </c>
      <c r="J735" s="1" t="s">
        <v>261</v>
      </c>
      <c r="K735" t="s">
        <v>650</v>
      </c>
      <c r="M735" s="1" t="s">
        <v>58</v>
      </c>
      <c r="N735" s="1">
        <v>0</v>
      </c>
      <c r="O735" s="1" t="s">
        <v>105</v>
      </c>
      <c r="P735" s="186">
        <v>44896.563391203701</v>
      </c>
      <c r="R735" s="1">
        <v>4</v>
      </c>
      <c r="T735" s="1" t="s">
        <v>646</v>
      </c>
      <c r="U735" s="186">
        <v>44897.563391203701</v>
      </c>
      <c r="V735" s="1" t="s">
        <v>41</v>
      </c>
      <c r="W735" s="1" t="s">
        <v>49</v>
      </c>
      <c r="Z735" s="14"/>
      <c r="AA735" s="14"/>
      <c r="AC735" s="21"/>
      <c r="AE735" s="21"/>
    </row>
    <row r="736" spans="1:31" hidden="1">
      <c r="A736" s="1">
        <v>9128584</v>
      </c>
      <c r="B736" s="1" t="s">
        <v>101</v>
      </c>
      <c r="C736" t="s">
        <v>643</v>
      </c>
      <c r="D736" s="2">
        <v>220195562</v>
      </c>
      <c r="E736" s="2">
        <v>2529001400030</v>
      </c>
      <c r="F736" s="1" t="s">
        <v>647</v>
      </c>
      <c r="G736" s="1" t="s">
        <v>53</v>
      </c>
      <c r="H736" s="1" t="s">
        <v>355</v>
      </c>
      <c r="I736" s="1" t="s">
        <v>356</v>
      </c>
      <c r="J736" s="1" t="s">
        <v>56</v>
      </c>
      <c r="K736" t="s">
        <v>650</v>
      </c>
      <c r="M736" s="1" t="s">
        <v>58</v>
      </c>
      <c r="N736" s="1">
        <v>0</v>
      </c>
      <c r="O736" s="1" t="s">
        <v>105</v>
      </c>
      <c r="P736" s="186">
        <v>44896.558148148149</v>
      </c>
      <c r="R736" s="1">
        <v>4</v>
      </c>
      <c r="T736" s="1" t="s">
        <v>646</v>
      </c>
      <c r="U736" s="186">
        <v>44897.558148148149</v>
      </c>
      <c r="V736" s="1" t="s">
        <v>41</v>
      </c>
      <c r="W736" s="1" t="s">
        <v>49</v>
      </c>
      <c r="Z736" s="14"/>
      <c r="AA736" s="14"/>
      <c r="AC736" s="21"/>
      <c r="AE736" s="21"/>
    </row>
    <row r="737" spans="1:31" hidden="1">
      <c r="A737" s="1">
        <v>9128556</v>
      </c>
      <c r="B737" s="1" t="s">
        <v>101</v>
      </c>
      <c r="C737" t="s">
        <v>643</v>
      </c>
      <c r="D737" s="2">
        <v>220195542</v>
      </c>
      <c r="E737" s="2">
        <v>2473001400030</v>
      </c>
      <c r="F737" s="1" t="s">
        <v>647</v>
      </c>
      <c r="G737" s="1" t="s">
        <v>53</v>
      </c>
      <c r="H737" s="1" t="s">
        <v>1459</v>
      </c>
      <c r="I737" s="1" t="s">
        <v>1460</v>
      </c>
      <c r="J737" s="1" t="s">
        <v>261</v>
      </c>
      <c r="K737" t="s">
        <v>650</v>
      </c>
      <c r="M737" s="1" t="s">
        <v>58</v>
      </c>
      <c r="N737" s="1">
        <v>0</v>
      </c>
      <c r="O737" s="1" t="s">
        <v>105</v>
      </c>
      <c r="P737" s="186">
        <v>44896.556932870371</v>
      </c>
      <c r="R737" s="1">
        <v>4</v>
      </c>
      <c r="T737" s="1" t="s">
        <v>646</v>
      </c>
      <c r="U737" s="186">
        <v>44897.556932870371</v>
      </c>
      <c r="V737" s="1" t="s">
        <v>41</v>
      </c>
      <c r="W737" s="1" t="s">
        <v>49</v>
      </c>
      <c r="Z737" s="14"/>
      <c r="AA737" s="14"/>
      <c r="AC737" s="21"/>
      <c r="AE737" s="21"/>
    </row>
    <row r="738" spans="1:31" hidden="1">
      <c r="A738" s="1">
        <v>9128525</v>
      </c>
      <c r="B738" s="1" t="s">
        <v>101</v>
      </c>
      <c r="C738" t="s">
        <v>643</v>
      </c>
      <c r="D738" s="2">
        <v>220195522</v>
      </c>
      <c r="E738" s="2">
        <v>2413001400030</v>
      </c>
      <c r="F738" s="1" t="s">
        <v>647</v>
      </c>
      <c r="G738" s="1" t="s">
        <v>53</v>
      </c>
      <c r="H738" s="1" t="s">
        <v>505</v>
      </c>
      <c r="I738" s="1" t="s">
        <v>506</v>
      </c>
      <c r="J738" s="1" t="s">
        <v>141</v>
      </c>
      <c r="K738" t="s">
        <v>650</v>
      </c>
      <c r="M738" s="1" t="s">
        <v>58</v>
      </c>
      <c r="N738" s="1">
        <v>0</v>
      </c>
      <c r="O738" s="1" t="s">
        <v>105</v>
      </c>
      <c r="P738" s="186">
        <v>44896.555879629632</v>
      </c>
      <c r="R738" s="1">
        <v>4</v>
      </c>
      <c r="T738" s="1" t="s">
        <v>646</v>
      </c>
      <c r="U738" s="186">
        <v>44897.555891203701</v>
      </c>
      <c r="V738" s="1" t="s">
        <v>41</v>
      </c>
      <c r="W738" s="1" t="s">
        <v>49</v>
      </c>
      <c r="Z738" s="14"/>
      <c r="AA738" s="14"/>
      <c r="AC738" s="21"/>
      <c r="AE738" s="21"/>
    </row>
    <row r="739" spans="1:31" hidden="1">
      <c r="A739" s="1">
        <v>9128505</v>
      </c>
      <c r="B739" s="1" t="s">
        <v>101</v>
      </c>
      <c r="C739" t="s">
        <v>643</v>
      </c>
      <c r="D739" s="2">
        <v>220195710</v>
      </c>
      <c r="E739" s="2">
        <v>3108001400030</v>
      </c>
      <c r="F739" s="1" t="s">
        <v>647</v>
      </c>
      <c r="G739" s="1" t="s">
        <v>53</v>
      </c>
      <c r="H739" s="1" t="s">
        <v>325</v>
      </c>
      <c r="I739" s="1" t="s">
        <v>326</v>
      </c>
      <c r="J739" s="1" t="s">
        <v>46</v>
      </c>
      <c r="K739" t="s">
        <v>650</v>
      </c>
      <c r="M739" s="1" t="s">
        <v>58</v>
      </c>
      <c r="N739" s="1">
        <v>0</v>
      </c>
      <c r="O739" s="1" t="s">
        <v>105</v>
      </c>
      <c r="P739" s="186">
        <v>44896.555162037039</v>
      </c>
      <c r="R739" s="1">
        <v>4</v>
      </c>
      <c r="T739" s="1" t="s">
        <v>646</v>
      </c>
      <c r="U739" s="186">
        <v>44897.555162037039</v>
      </c>
      <c r="V739" s="1" t="s">
        <v>41</v>
      </c>
      <c r="W739" s="1" t="s">
        <v>49</v>
      </c>
      <c r="Z739" s="14"/>
      <c r="AA739" s="14"/>
      <c r="AC739" s="21"/>
      <c r="AE739" s="21"/>
    </row>
    <row r="740" spans="1:31" hidden="1">
      <c r="A740" s="1">
        <v>9128485</v>
      </c>
      <c r="B740" s="1" t="s">
        <v>101</v>
      </c>
      <c r="C740" t="s">
        <v>643</v>
      </c>
      <c r="D740" s="2">
        <v>220195128</v>
      </c>
      <c r="E740" s="2">
        <v>1162001400030</v>
      </c>
      <c r="F740" s="1" t="s">
        <v>647</v>
      </c>
      <c r="G740" s="1" t="s">
        <v>53</v>
      </c>
      <c r="H740" s="1" t="s">
        <v>280</v>
      </c>
      <c r="I740" s="1" t="s">
        <v>281</v>
      </c>
      <c r="J740" s="1" t="s">
        <v>211</v>
      </c>
      <c r="K740" t="s">
        <v>650</v>
      </c>
      <c r="M740" s="1" t="s">
        <v>58</v>
      </c>
      <c r="N740" s="1">
        <v>0</v>
      </c>
      <c r="O740" s="1" t="s">
        <v>105</v>
      </c>
      <c r="P740" s="186">
        <v>44896.553865740738</v>
      </c>
      <c r="R740" s="1">
        <v>4</v>
      </c>
      <c r="T740" s="1" t="s">
        <v>646</v>
      </c>
      <c r="U740" s="186">
        <v>44897.553877314815</v>
      </c>
      <c r="V740" s="1" t="s">
        <v>41</v>
      </c>
      <c r="W740" s="1" t="s">
        <v>49</v>
      </c>
      <c r="Z740" s="14"/>
      <c r="AA740" s="14"/>
      <c r="AC740" s="21"/>
      <c r="AE740" s="21"/>
    </row>
    <row r="741" spans="1:31" hidden="1">
      <c r="A741" s="1">
        <v>9128470</v>
      </c>
      <c r="B741" s="1" t="s">
        <v>101</v>
      </c>
      <c r="C741" t="s">
        <v>643</v>
      </c>
      <c r="D741" s="2">
        <v>220195114</v>
      </c>
      <c r="E741" s="2">
        <v>1138001400030</v>
      </c>
      <c r="F741" s="1" t="s">
        <v>647</v>
      </c>
      <c r="G741" s="1" t="s">
        <v>53</v>
      </c>
      <c r="H741" s="1" t="s">
        <v>548</v>
      </c>
      <c r="I741" s="1" t="s">
        <v>549</v>
      </c>
      <c r="J741" s="1" t="s">
        <v>46</v>
      </c>
      <c r="K741" t="s">
        <v>650</v>
      </c>
      <c r="M741" s="1" t="s">
        <v>58</v>
      </c>
      <c r="N741" s="1">
        <v>0</v>
      </c>
      <c r="O741" s="1" t="s">
        <v>105</v>
      </c>
      <c r="P741" s="186">
        <v>44896.553067129629</v>
      </c>
      <c r="R741" s="1">
        <v>4</v>
      </c>
      <c r="T741" s="1" t="s">
        <v>646</v>
      </c>
      <c r="U741" s="186">
        <v>44897.553067129629</v>
      </c>
      <c r="V741" s="1" t="s">
        <v>41</v>
      </c>
      <c r="W741" s="1" t="s">
        <v>49</v>
      </c>
      <c r="Z741" s="14"/>
      <c r="AA741" s="14"/>
      <c r="AC741" s="21"/>
      <c r="AE741" s="21"/>
    </row>
    <row r="742" spans="1:31" hidden="1">
      <c r="A742" s="1">
        <v>9128428</v>
      </c>
      <c r="B742" s="1" t="s">
        <v>101</v>
      </c>
      <c r="C742" t="s">
        <v>643</v>
      </c>
      <c r="D742" s="2">
        <v>220195184</v>
      </c>
      <c r="E742" s="2">
        <v>1291001400030</v>
      </c>
      <c r="F742" s="1" t="s">
        <v>647</v>
      </c>
      <c r="G742" s="1" t="s">
        <v>53</v>
      </c>
      <c r="H742" s="1" t="s">
        <v>136</v>
      </c>
      <c r="I742" s="1" t="s">
        <v>137</v>
      </c>
      <c r="J742" s="1" t="s">
        <v>33</v>
      </c>
      <c r="K742" t="s">
        <v>650</v>
      </c>
      <c r="M742" s="1" t="s">
        <v>58</v>
      </c>
      <c r="N742" s="1">
        <v>0</v>
      </c>
      <c r="O742" s="1" t="s">
        <v>105</v>
      </c>
      <c r="P742" s="186">
        <v>44896.551354166666</v>
      </c>
      <c r="R742" s="1">
        <v>4</v>
      </c>
      <c r="T742" s="1" t="s">
        <v>646</v>
      </c>
      <c r="U742" s="186">
        <v>44897.551354166666</v>
      </c>
      <c r="V742" s="1" t="s">
        <v>41</v>
      </c>
      <c r="W742" s="1" t="s">
        <v>42</v>
      </c>
      <c r="Z742" s="14"/>
      <c r="AA742" s="14"/>
      <c r="AC742" s="21"/>
      <c r="AE742" s="21"/>
    </row>
    <row r="743" spans="1:31" hidden="1">
      <c r="A743" s="1">
        <v>9128421</v>
      </c>
      <c r="B743" s="1" t="s">
        <v>101</v>
      </c>
      <c r="C743" t="s">
        <v>643</v>
      </c>
      <c r="D743" s="2">
        <v>220195177</v>
      </c>
      <c r="E743" s="2">
        <v>1264001400030</v>
      </c>
      <c r="F743" s="1" t="s">
        <v>647</v>
      </c>
      <c r="G743" s="1" t="s">
        <v>53</v>
      </c>
      <c r="H743" s="1" t="s">
        <v>351</v>
      </c>
      <c r="I743" s="1" t="s">
        <v>352</v>
      </c>
      <c r="J743" s="1" t="s">
        <v>110</v>
      </c>
      <c r="K743" t="s">
        <v>650</v>
      </c>
      <c r="M743" s="1" t="s">
        <v>58</v>
      </c>
      <c r="N743" s="1">
        <v>0</v>
      </c>
      <c r="O743" s="1" t="s">
        <v>105</v>
      </c>
      <c r="P743" s="186">
        <v>44896.550949074073</v>
      </c>
      <c r="R743" s="1">
        <v>4</v>
      </c>
      <c r="T743" s="1" t="s">
        <v>646</v>
      </c>
      <c r="U743" s="186">
        <v>44897.550949074073</v>
      </c>
      <c r="V743" s="1" t="s">
        <v>41</v>
      </c>
      <c r="W743" s="1" t="s">
        <v>49</v>
      </c>
      <c r="Z743" s="14"/>
      <c r="AA743" s="14"/>
      <c r="AC743" s="21"/>
      <c r="AE743" s="21"/>
    </row>
    <row r="744" spans="1:31" hidden="1">
      <c r="A744" s="1">
        <v>9128414</v>
      </c>
      <c r="B744" s="1" t="s">
        <v>101</v>
      </c>
      <c r="C744" t="s">
        <v>643</v>
      </c>
      <c r="D744" s="2">
        <v>220195170</v>
      </c>
      <c r="E744" s="2">
        <v>1245001400030</v>
      </c>
      <c r="F744" s="1" t="s">
        <v>647</v>
      </c>
      <c r="G744" s="1" t="s">
        <v>53</v>
      </c>
      <c r="H744" s="1" t="s">
        <v>408</v>
      </c>
      <c r="I744" s="1" t="s">
        <v>409</v>
      </c>
      <c r="J744" s="1" t="s">
        <v>46</v>
      </c>
      <c r="K744" t="s">
        <v>650</v>
      </c>
      <c r="M744" s="1" t="s">
        <v>58</v>
      </c>
      <c r="N744" s="1">
        <v>0</v>
      </c>
      <c r="O744" s="1" t="s">
        <v>105</v>
      </c>
      <c r="P744" s="186">
        <v>44896.550543981481</v>
      </c>
      <c r="R744" s="1">
        <v>4</v>
      </c>
      <c r="T744" s="1" t="s">
        <v>646</v>
      </c>
      <c r="U744" s="186">
        <v>44897.550555555557</v>
      </c>
      <c r="V744" s="1" t="s">
        <v>41</v>
      </c>
      <c r="W744" s="1" t="s">
        <v>49</v>
      </c>
      <c r="Z744" s="14"/>
      <c r="AA744" s="14"/>
      <c r="AC744" s="21"/>
      <c r="AE744" s="21"/>
    </row>
    <row r="745" spans="1:31" hidden="1">
      <c r="A745" s="1">
        <v>9128339</v>
      </c>
      <c r="B745" s="1" t="s">
        <v>101</v>
      </c>
      <c r="C745" t="s">
        <v>643</v>
      </c>
      <c r="D745" s="2">
        <v>220194788</v>
      </c>
      <c r="E745" s="2">
        <v>550001400030</v>
      </c>
      <c r="F745" s="1" t="s">
        <v>647</v>
      </c>
      <c r="G745" s="1" t="s">
        <v>53</v>
      </c>
      <c r="H745" s="1" t="s">
        <v>337</v>
      </c>
      <c r="I745" s="1" t="s">
        <v>338</v>
      </c>
      <c r="J745" s="1" t="s">
        <v>164</v>
      </c>
      <c r="K745" t="s">
        <v>650</v>
      </c>
      <c r="M745" s="1" t="s">
        <v>58</v>
      </c>
      <c r="N745" s="1">
        <v>0</v>
      </c>
      <c r="O745" s="1" t="s">
        <v>105</v>
      </c>
      <c r="P745" s="186">
        <v>44896.547627314816</v>
      </c>
      <c r="R745" s="1">
        <v>4</v>
      </c>
      <c r="T745" s="1" t="s">
        <v>646</v>
      </c>
      <c r="U745" s="186">
        <v>44897.547638888886</v>
      </c>
      <c r="V745" s="1" t="s">
        <v>41</v>
      </c>
      <c r="W745" s="1" t="s">
        <v>49</v>
      </c>
      <c r="Z745" s="14"/>
      <c r="AA745" s="14"/>
      <c r="AC745" s="21"/>
      <c r="AE745" s="21"/>
    </row>
    <row r="746" spans="1:31" hidden="1">
      <c r="A746" s="1">
        <v>9128332</v>
      </c>
      <c r="B746" s="1" t="s">
        <v>101</v>
      </c>
      <c r="C746" t="s">
        <v>643</v>
      </c>
      <c r="D746" s="2">
        <v>220194783</v>
      </c>
      <c r="E746" s="2">
        <v>537001400030</v>
      </c>
      <c r="F746" s="1" t="s">
        <v>647</v>
      </c>
      <c r="G746" s="1" t="s">
        <v>53</v>
      </c>
      <c r="H746" s="1" t="s">
        <v>442</v>
      </c>
      <c r="I746" s="1" t="s">
        <v>443</v>
      </c>
      <c r="J746" s="1" t="s">
        <v>79</v>
      </c>
      <c r="K746" t="s">
        <v>650</v>
      </c>
      <c r="M746" s="1" t="s">
        <v>58</v>
      </c>
      <c r="N746" s="1">
        <v>0</v>
      </c>
      <c r="O746" s="1" t="s">
        <v>105</v>
      </c>
      <c r="P746" s="11" t="s">
        <v>1478</v>
      </c>
      <c r="R746" s="1">
        <v>4</v>
      </c>
      <c r="T746" s="1" t="s">
        <v>646</v>
      </c>
      <c r="U746" s="11" t="s">
        <v>1479</v>
      </c>
      <c r="V746" s="1" t="s">
        <v>41</v>
      </c>
      <c r="W746" s="1" t="s">
        <v>49</v>
      </c>
      <c r="Z746" s="14"/>
      <c r="AA746" s="14"/>
      <c r="AC746" s="21"/>
      <c r="AE746" s="21"/>
    </row>
    <row r="747" spans="1:31" hidden="1">
      <c r="A747" s="1">
        <v>9128273</v>
      </c>
      <c r="B747" s="1" t="s">
        <v>101</v>
      </c>
      <c r="C747" t="s">
        <v>643</v>
      </c>
      <c r="D747" s="2">
        <v>220194638</v>
      </c>
      <c r="E747" s="2">
        <v>325091400030</v>
      </c>
      <c r="F747" s="1" t="s">
        <v>647</v>
      </c>
      <c r="G747" s="1" t="s">
        <v>53</v>
      </c>
      <c r="H747" s="1" t="s">
        <v>821</v>
      </c>
      <c r="I747" s="1" t="s">
        <v>822</v>
      </c>
      <c r="J747" s="1" t="s">
        <v>46</v>
      </c>
      <c r="K747" t="s">
        <v>650</v>
      </c>
      <c r="M747" s="1" t="s">
        <v>58</v>
      </c>
      <c r="N747" s="1">
        <v>0</v>
      </c>
      <c r="O747" s="1" t="s">
        <v>105</v>
      </c>
      <c r="P747" s="11" t="s">
        <v>3460</v>
      </c>
      <c r="R747" s="1">
        <v>4</v>
      </c>
      <c r="T747" s="1" t="s">
        <v>646</v>
      </c>
      <c r="U747" s="11" t="s">
        <v>3461</v>
      </c>
      <c r="V747" s="1" t="s">
        <v>41</v>
      </c>
      <c r="W747" s="1" t="s">
        <v>49</v>
      </c>
      <c r="Z747" s="14"/>
      <c r="AA747" s="14"/>
      <c r="AC747" s="21"/>
      <c r="AE747" s="21"/>
    </row>
    <row r="748" spans="1:31" hidden="1">
      <c r="A748" s="1">
        <v>9128237</v>
      </c>
      <c r="B748" s="1" t="s">
        <v>101</v>
      </c>
      <c r="C748" t="s">
        <v>643</v>
      </c>
      <c r="D748" s="2">
        <v>220194807</v>
      </c>
      <c r="E748" s="2">
        <v>582001400030</v>
      </c>
      <c r="F748" s="1" t="s">
        <v>647</v>
      </c>
      <c r="G748" s="1" t="s">
        <v>53</v>
      </c>
      <c r="H748" s="1" t="s">
        <v>139</v>
      </c>
      <c r="I748" s="1" t="s">
        <v>140</v>
      </c>
      <c r="J748" s="1" t="s">
        <v>141</v>
      </c>
      <c r="K748" t="s">
        <v>650</v>
      </c>
      <c r="M748" s="1" t="s">
        <v>58</v>
      </c>
      <c r="N748" s="1">
        <v>0</v>
      </c>
      <c r="O748" s="1" t="s">
        <v>105</v>
      </c>
      <c r="P748" s="11" t="s">
        <v>1480</v>
      </c>
      <c r="R748" s="1">
        <v>4</v>
      </c>
      <c r="T748" s="1" t="s">
        <v>646</v>
      </c>
      <c r="U748" s="11" t="s">
        <v>1481</v>
      </c>
      <c r="V748" s="1" t="s">
        <v>41</v>
      </c>
      <c r="W748" s="1" t="s">
        <v>49</v>
      </c>
      <c r="Z748" s="14"/>
      <c r="AA748" s="14"/>
      <c r="AC748" s="21"/>
      <c r="AE748" s="21"/>
    </row>
    <row r="749" spans="1:31" hidden="1">
      <c r="A749" s="1">
        <v>9128165</v>
      </c>
      <c r="B749" s="1" t="s">
        <v>101</v>
      </c>
      <c r="C749" t="s">
        <v>643</v>
      </c>
      <c r="D749" s="2">
        <v>220194363</v>
      </c>
      <c r="E749" s="2">
        <v>5755001400010</v>
      </c>
      <c r="F749" s="1" t="s">
        <v>936</v>
      </c>
      <c r="G749" s="1" t="s">
        <v>53</v>
      </c>
      <c r="H749" s="1" t="s">
        <v>841</v>
      </c>
      <c r="I749" s="1" t="s">
        <v>842</v>
      </c>
      <c r="J749" s="1" t="s">
        <v>46</v>
      </c>
      <c r="K749" t="s">
        <v>937</v>
      </c>
      <c r="M749" s="1" t="s">
        <v>58</v>
      </c>
      <c r="N749" s="1">
        <v>0</v>
      </c>
      <c r="O749" s="1" t="s">
        <v>105</v>
      </c>
      <c r="P749" s="11" t="s">
        <v>1482</v>
      </c>
      <c r="R749" s="1">
        <v>3</v>
      </c>
      <c r="T749" s="1" t="s">
        <v>646</v>
      </c>
      <c r="U749" s="186">
        <v>44897.5387962963</v>
      </c>
      <c r="V749" s="1" t="s">
        <v>41</v>
      </c>
      <c r="W749" s="1" t="s">
        <v>49</v>
      </c>
      <c r="Z749" s="14"/>
      <c r="AA749" s="14"/>
      <c r="AC749" s="21"/>
      <c r="AE749" s="21"/>
    </row>
    <row r="750" spans="1:31" hidden="1">
      <c r="A750" s="1">
        <v>9128005</v>
      </c>
      <c r="B750" s="1" t="s">
        <v>101</v>
      </c>
      <c r="C750" t="s">
        <v>643</v>
      </c>
      <c r="D750" s="2">
        <v>220193965</v>
      </c>
      <c r="E750" s="2">
        <v>4012001400010</v>
      </c>
      <c r="F750" s="1" t="s">
        <v>936</v>
      </c>
      <c r="G750" s="1" t="s">
        <v>53</v>
      </c>
      <c r="H750" s="1" t="s">
        <v>349</v>
      </c>
      <c r="I750" s="1" t="s">
        <v>350</v>
      </c>
      <c r="J750" s="1" t="s">
        <v>261</v>
      </c>
      <c r="K750" t="s">
        <v>937</v>
      </c>
      <c r="M750" s="1" t="s">
        <v>58</v>
      </c>
      <c r="N750" s="1">
        <v>0</v>
      </c>
      <c r="O750" s="1" t="s">
        <v>105</v>
      </c>
      <c r="P750" s="11" t="s">
        <v>3462</v>
      </c>
      <c r="R750" s="1">
        <v>3</v>
      </c>
      <c r="T750" s="1" t="s">
        <v>646</v>
      </c>
      <c r="U750" s="11" t="s">
        <v>3463</v>
      </c>
      <c r="V750" s="1" t="s">
        <v>41</v>
      </c>
      <c r="W750" s="1" t="s">
        <v>49</v>
      </c>
      <c r="Z750" s="14"/>
      <c r="AA750" s="14"/>
      <c r="AC750" s="21"/>
      <c r="AE750" s="21"/>
    </row>
    <row r="751" spans="1:31" hidden="1">
      <c r="A751" s="1">
        <v>9127889</v>
      </c>
      <c r="B751" s="1" t="s">
        <v>101</v>
      </c>
      <c r="C751" t="s">
        <v>643</v>
      </c>
      <c r="D751" s="2">
        <v>220193587</v>
      </c>
      <c r="E751" s="2">
        <v>2326001400010</v>
      </c>
      <c r="F751" s="1" t="s">
        <v>936</v>
      </c>
      <c r="G751" s="1" t="s">
        <v>53</v>
      </c>
      <c r="H751" s="1" t="s">
        <v>191</v>
      </c>
      <c r="I751" s="1" t="s">
        <v>192</v>
      </c>
      <c r="J751" s="1" t="s">
        <v>46</v>
      </c>
      <c r="K751" t="s">
        <v>937</v>
      </c>
      <c r="M751" s="1" t="s">
        <v>58</v>
      </c>
      <c r="N751" s="1">
        <v>0</v>
      </c>
      <c r="O751" s="1" t="s">
        <v>105</v>
      </c>
      <c r="P751" s="11" t="s">
        <v>1484</v>
      </c>
      <c r="R751" s="1">
        <v>3</v>
      </c>
      <c r="T751" s="1" t="s">
        <v>646</v>
      </c>
      <c r="U751" s="11" t="s">
        <v>1485</v>
      </c>
      <c r="V751" s="1" t="s">
        <v>41</v>
      </c>
      <c r="W751" s="1" t="s">
        <v>49</v>
      </c>
      <c r="Z751" s="14"/>
      <c r="AA751" s="14"/>
      <c r="AC751" s="21"/>
      <c r="AE751" s="21"/>
    </row>
    <row r="752" spans="1:31" hidden="1">
      <c r="A752" s="1">
        <v>9127850</v>
      </c>
      <c r="B752" s="1" t="s">
        <v>101</v>
      </c>
      <c r="C752" t="s">
        <v>643</v>
      </c>
      <c r="D752" s="2">
        <v>220193445</v>
      </c>
      <c r="E752" s="2">
        <v>1732001400010</v>
      </c>
      <c r="F752" s="1" t="s">
        <v>936</v>
      </c>
      <c r="G752" s="1" t="s">
        <v>53</v>
      </c>
      <c r="H752" s="1" t="s">
        <v>177</v>
      </c>
      <c r="I752" s="1" t="s">
        <v>178</v>
      </c>
      <c r="J752" s="1" t="s">
        <v>164</v>
      </c>
      <c r="K752" t="s">
        <v>937</v>
      </c>
      <c r="M752" s="1" t="s">
        <v>58</v>
      </c>
      <c r="N752" s="1">
        <v>0</v>
      </c>
      <c r="O752" s="1" t="s">
        <v>105</v>
      </c>
      <c r="P752" s="11" t="s">
        <v>1486</v>
      </c>
      <c r="R752" s="1">
        <v>3</v>
      </c>
      <c r="T752" s="1" t="s">
        <v>646</v>
      </c>
      <c r="U752" s="11" t="s">
        <v>1487</v>
      </c>
      <c r="V752" s="1" t="s">
        <v>41</v>
      </c>
      <c r="W752" s="1" t="s">
        <v>49</v>
      </c>
      <c r="Z752" s="14"/>
      <c r="AA752" s="14"/>
      <c r="AC752" s="21"/>
      <c r="AE752" s="21"/>
    </row>
    <row r="753" spans="1:31" hidden="1">
      <c r="A753" s="1">
        <v>9127804</v>
      </c>
      <c r="B753" s="1" t="s">
        <v>101</v>
      </c>
      <c r="C753" t="s">
        <v>643</v>
      </c>
      <c r="D753" s="2">
        <v>220193422</v>
      </c>
      <c r="E753" s="2">
        <v>1664001400010</v>
      </c>
      <c r="F753" s="1" t="s">
        <v>936</v>
      </c>
      <c r="G753" s="1" t="s">
        <v>53</v>
      </c>
      <c r="H753" s="1" t="s">
        <v>307</v>
      </c>
      <c r="I753" s="1" t="s">
        <v>308</v>
      </c>
      <c r="J753" s="1" t="s">
        <v>164</v>
      </c>
      <c r="K753" t="s">
        <v>937</v>
      </c>
      <c r="M753" s="1" t="s">
        <v>58</v>
      </c>
      <c r="N753" s="1">
        <v>0</v>
      </c>
      <c r="O753" s="1" t="s">
        <v>105</v>
      </c>
      <c r="P753" s="11" t="s">
        <v>3464</v>
      </c>
      <c r="R753" s="1">
        <v>3</v>
      </c>
      <c r="T753" s="1" t="s">
        <v>646</v>
      </c>
      <c r="U753" s="11" t="s">
        <v>3465</v>
      </c>
      <c r="V753" s="1" t="s">
        <v>41</v>
      </c>
      <c r="W753" s="1" t="s">
        <v>49</v>
      </c>
      <c r="Z753" s="14"/>
      <c r="AA753" s="14"/>
      <c r="AC753" s="21"/>
      <c r="AE753" s="21"/>
    </row>
    <row r="754" spans="1:31" hidden="1">
      <c r="A754" s="1">
        <v>9127801</v>
      </c>
      <c r="B754" s="1" t="s">
        <v>101</v>
      </c>
      <c r="C754" t="s">
        <v>643</v>
      </c>
      <c r="D754" s="2">
        <v>220193719</v>
      </c>
      <c r="E754" s="2">
        <v>2802001400010</v>
      </c>
      <c r="F754" s="1" t="s">
        <v>936</v>
      </c>
      <c r="G754" s="1" t="s">
        <v>53</v>
      </c>
      <c r="H754" s="1" t="s">
        <v>388</v>
      </c>
      <c r="I754" s="1" t="s">
        <v>389</v>
      </c>
      <c r="J754" s="1" t="s">
        <v>46</v>
      </c>
      <c r="K754" t="s">
        <v>937</v>
      </c>
      <c r="M754" s="1" t="s">
        <v>58</v>
      </c>
      <c r="N754" s="1">
        <v>0</v>
      </c>
      <c r="O754" s="1" t="s">
        <v>105</v>
      </c>
      <c r="P754" s="11" t="s">
        <v>3466</v>
      </c>
      <c r="R754" s="1">
        <v>3</v>
      </c>
      <c r="T754" s="1" t="s">
        <v>646</v>
      </c>
      <c r="U754" s="11" t="s">
        <v>3467</v>
      </c>
      <c r="V754" s="1" t="s">
        <v>41</v>
      </c>
      <c r="W754" s="1" t="s">
        <v>49</v>
      </c>
      <c r="Z754" s="14"/>
      <c r="AA754" s="14"/>
      <c r="AC754" s="21"/>
      <c r="AE754" s="21"/>
    </row>
    <row r="755" spans="1:31" hidden="1">
      <c r="A755" s="1">
        <v>9127762</v>
      </c>
      <c r="B755" s="1" t="s">
        <v>101</v>
      </c>
      <c r="C755" t="s">
        <v>643</v>
      </c>
      <c r="D755" s="2">
        <v>220193223</v>
      </c>
      <c r="E755" s="2">
        <v>1162001400010</v>
      </c>
      <c r="F755" s="1" t="s">
        <v>936</v>
      </c>
      <c r="G755" s="1" t="s">
        <v>53</v>
      </c>
      <c r="H755" s="1" t="s">
        <v>280</v>
      </c>
      <c r="I755" s="1" t="s">
        <v>281</v>
      </c>
      <c r="J755" s="1" t="s">
        <v>211</v>
      </c>
      <c r="K755" t="s">
        <v>937</v>
      </c>
      <c r="M755" s="1" t="s">
        <v>58</v>
      </c>
      <c r="N755" s="1">
        <v>0</v>
      </c>
      <c r="O755" s="1" t="s">
        <v>105</v>
      </c>
      <c r="P755" s="11" t="s">
        <v>1488</v>
      </c>
      <c r="R755" s="1">
        <v>3</v>
      </c>
      <c r="T755" s="1" t="s">
        <v>646</v>
      </c>
      <c r="U755" s="11" t="s">
        <v>1489</v>
      </c>
      <c r="V755" s="1" t="s">
        <v>41</v>
      </c>
      <c r="W755" s="1" t="s">
        <v>49</v>
      </c>
      <c r="Z755" s="14"/>
      <c r="AA755" s="14"/>
      <c r="AC755" s="21"/>
      <c r="AE755" s="21"/>
    </row>
    <row r="756" spans="1:31" hidden="1">
      <c r="A756" s="1">
        <v>9127748</v>
      </c>
      <c r="B756" s="1" t="s">
        <v>101</v>
      </c>
      <c r="C756" t="s">
        <v>643</v>
      </c>
      <c r="D756" s="2">
        <v>220193209</v>
      </c>
      <c r="E756" s="2">
        <v>1138001400010</v>
      </c>
      <c r="F756" s="1" t="s">
        <v>936</v>
      </c>
      <c r="G756" s="1" t="s">
        <v>53</v>
      </c>
      <c r="H756" s="1" t="s">
        <v>548</v>
      </c>
      <c r="I756" s="1" t="s">
        <v>549</v>
      </c>
      <c r="J756" s="1" t="s">
        <v>46</v>
      </c>
      <c r="K756" t="s">
        <v>937</v>
      </c>
      <c r="M756" s="1" t="s">
        <v>58</v>
      </c>
      <c r="N756" s="1">
        <v>0</v>
      </c>
      <c r="O756" s="1" t="s">
        <v>105</v>
      </c>
      <c r="P756" s="11" t="s">
        <v>1490</v>
      </c>
      <c r="R756" s="1">
        <v>3</v>
      </c>
      <c r="T756" s="1" t="s">
        <v>646</v>
      </c>
      <c r="U756" s="11" t="s">
        <v>1491</v>
      </c>
      <c r="V756" s="1" t="s">
        <v>41</v>
      </c>
      <c r="W756" s="1" t="s">
        <v>49</v>
      </c>
      <c r="Z756" s="14"/>
      <c r="AA756" s="14"/>
      <c r="AC756" s="21"/>
      <c r="AE756" s="21"/>
    </row>
    <row r="757" spans="1:31" hidden="1">
      <c r="A757" s="1">
        <v>9127732</v>
      </c>
      <c r="B757" s="1" t="s">
        <v>101</v>
      </c>
      <c r="C757" t="s">
        <v>643</v>
      </c>
      <c r="D757" s="2">
        <v>220193201</v>
      </c>
      <c r="E757" s="2">
        <v>1120001400010</v>
      </c>
      <c r="F757" s="1" t="s">
        <v>936</v>
      </c>
      <c r="G757" s="1" t="s">
        <v>53</v>
      </c>
      <c r="H757" s="1" t="s">
        <v>181</v>
      </c>
      <c r="I757" s="1" t="s">
        <v>182</v>
      </c>
      <c r="J757" s="1" t="s">
        <v>164</v>
      </c>
      <c r="K757" t="s">
        <v>937</v>
      </c>
      <c r="M757" s="1" t="s">
        <v>58</v>
      </c>
      <c r="N757" s="1">
        <v>0</v>
      </c>
      <c r="O757" s="1" t="s">
        <v>105</v>
      </c>
      <c r="P757" s="11" t="s">
        <v>1492</v>
      </c>
      <c r="R757" s="1">
        <v>3</v>
      </c>
      <c r="T757" s="1" t="s">
        <v>646</v>
      </c>
      <c r="U757" s="11" t="s">
        <v>1493</v>
      </c>
      <c r="V757" s="1" t="s">
        <v>41</v>
      </c>
      <c r="W757" s="1" t="s">
        <v>49</v>
      </c>
      <c r="Z757" s="14"/>
      <c r="AA757" s="14"/>
      <c r="AC757" s="21"/>
      <c r="AE757" s="21"/>
    </row>
    <row r="758" spans="1:31" hidden="1">
      <c r="A758" s="1">
        <v>9127696</v>
      </c>
      <c r="B758" s="1" t="s">
        <v>101</v>
      </c>
      <c r="C758" t="s">
        <v>643</v>
      </c>
      <c r="D758" s="2">
        <v>220193173</v>
      </c>
      <c r="E758" s="2">
        <v>1069001400010</v>
      </c>
      <c r="F758" s="1" t="s">
        <v>936</v>
      </c>
      <c r="G758" s="1" t="s">
        <v>53</v>
      </c>
      <c r="H758" s="1" t="s">
        <v>353</v>
      </c>
      <c r="I758" s="1" t="s">
        <v>354</v>
      </c>
      <c r="J758" s="1" t="s">
        <v>211</v>
      </c>
      <c r="K758" t="s">
        <v>937</v>
      </c>
      <c r="M758" s="1" t="s">
        <v>58</v>
      </c>
      <c r="N758" s="1">
        <v>0</v>
      </c>
      <c r="O758" s="1" t="s">
        <v>105</v>
      </c>
      <c r="P758" s="11" t="s">
        <v>1494</v>
      </c>
      <c r="R758" s="1">
        <v>3</v>
      </c>
      <c r="T758" s="1" t="s">
        <v>646</v>
      </c>
      <c r="U758" s="11" t="s">
        <v>1495</v>
      </c>
      <c r="V758" s="1" t="s">
        <v>41</v>
      </c>
      <c r="W758" s="1" t="s">
        <v>49</v>
      </c>
      <c r="Z758" s="14"/>
      <c r="AA758" s="14"/>
      <c r="AC758" s="21"/>
      <c r="AE758" s="21"/>
    </row>
    <row r="759" spans="1:31" hidden="1">
      <c r="A759" s="1">
        <v>9127689</v>
      </c>
      <c r="B759" s="1" t="s">
        <v>101</v>
      </c>
      <c r="C759" t="s">
        <v>643</v>
      </c>
      <c r="D759" s="2">
        <v>220193166</v>
      </c>
      <c r="E759" s="2">
        <v>1049001400010</v>
      </c>
      <c r="F759" s="1" t="s">
        <v>936</v>
      </c>
      <c r="G759" s="1" t="s">
        <v>53</v>
      </c>
      <c r="H759" s="1" t="s">
        <v>169</v>
      </c>
      <c r="I759" s="1" t="s">
        <v>170</v>
      </c>
      <c r="J759" s="1" t="s">
        <v>164</v>
      </c>
      <c r="K759" t="s">
        <v>937</v>
      </c>
      <c r="M759" s="1" t="s">
        <v>58</v>
      </c>
      <c r="N759" s="1">
        <v>0</v>
      </c>
      <c r="O759" s="1" t="s">
        <v>105</v>
      </c>
      <c r="P759" s="11" t="s">
        <v>1496</v>
      </c>
      <c r="R759" s="1">
        <v>3</v>
      </c>
      <c r="T759" s="1" t="s">
        <v>646</v>
      </c>
      <c r="U759" s="11" t="s">
        <v>1497</v>
      </c>
      <c r="V759" s="1" t="s">
        <v>41</v>
      </c>
      <c r="W759" s="1" t="s">
        <v>49</v>
      </c>
      <c r="Z759" s="14"/>
      <c r="AA759" s="14"/>
      <c r="AC759" s="21"/>
      <c r="AE759" s="21"/>
    </row>
    <row r="760" spans="1:31" hidden="1">
      <c r="A760" s="1">
        <v>9127671</v>
      </c>
      <c r="B760" s="1" t="s">
        <v>101</v>
      </c>
      <c r="C760" t="s">
        <v>643</v>
      </c>
      <c r="D760" s="2">
        <v>220193148</v>
      </c>
      <c r="E760" s="2">
        <v>1012001400010</v>
      </c>
      <c r="F760" s="1" t="s">
        <v>936</v>
      </c>
      <c r="G760" s="1" t="s">
        <v>53</v>
      </c>
      <c r="H760" s="1" t="s">
        <v>172</v>
      </c>
      <c r="I760" s="1" t="s">
        <v>173</v>
      </c>
      <c r="J760" s="1" t="s">
        <v>164</v>
      </c>
      <c r="K760" t="s">
        <v>937</v>
      </c>
      <c r="M760" s="1" t="s">
        <v>58</v>
      </c>
      <c r="N760" s="1">
        <v>0</v>
      </c>
      <c r="O760" s="1" t="s">
        <v>105</v>
      </c>
      <c r="P760" s="11" t="s">
        <v>3468</v>
      </c>
      <c r="R760" s="1">
        <v>3</v>
      </c>
      <c r="T760" s="1" t="s">
        <v>646</v>
      </c>
      <c r="U760" s="11" t="s">
        <v>3469</v>
      </c>
      <c r="V760" s="1" t="s">
        <v>41</v>
      </c>
      <c r="W760" s="1" t="s">
        <v>49</v>
      </c>
      <c r="Z760" s="14"/>
      <c r="AA760" s="14"/>
      <c r="AC760" s="21"/>
      <c r="AE760" s="21"/>
    </row>
    <row r="761" spans="1:31" hidden="1">
      <c r="A761" s="1">
        <v>9127658</v>
      </c>
      <c r="B761" s="1" t="s">
        <v>101</v>
      </c>
      <c r="C761" t="s">
        <v>643</v>
      </c>
      <c r="D761" s="2">
        <v>220192961</v>
      </c>
      <c r="E761" s="2">
        <v>673001400010</v>
      </c>
      <c r="F761" s="1" t="s">
        <v>936</v>
      </c>
      <c r="G761" s="1" t="s">
        <v>53</v>
      </c>
      <c r="H761" s="1" t="s">
        <v>581</v>
      </c>
      <c r="I761" s="1" t="s">
        <v>582</v>
      </c>
      <c r="J761" s="1" t="s">
        <v>110</v>
      </c>
      <c r="K761" t="s">
        <v>937</v>
      </c>
      <c r="M761" s="1" t="s">
        <v>58</v>
      </c>
      <c r="N761" s="1">
        <v>0</v>
      </c>
      <c r="O761" s="1" t="s">
        <v>105</v>
      </c>
      <c r="P761" s="11" t="s">
        <v>1498</v>
      </c>
      <c r="R761" s="1">
        <v>3</v>
      </c>
      <c r="T761" s="1" t="s">
        <v>646</v>
      </c>
      <c r="U761" s="11" t="s">
        <v>1499</v>
      </c>
      <c r="V761" s="1" t="s">
        <v>41</v>
      </c>
      <c r="W761" s="1" t="s">
        <v>49</v>
      </c>
      <c r="Z761" s="14"/>
      <c r="AA761" s="14"/>
      <c r="AC761" s="21"/>
      <c r="AE761" s="21"/>
    </row>
    <row r="762" spans="1:31" hidden="1">
      <c r="A762" s="1">
        <v>9127594</v>
      </c>
      <c r="B762" s="1" t="s">
        <v>101</v>
      </c>
      <c r="C762" t="s">
        <v>643</v>
      </c>
      <c r="D762" s="2">
        <v>220192987</v>
      </c>
      <c r="E762" s="2">
        <v>714001400010</v>
      </c>
      <c r="F762" s="1" t="s">
        <v>936</v>
      </c>
      <c r="G762" s="1" t="s">
        <v>53</v>
      </c>
      <c r="H762" s="1" t="s">
        <v>377</v>
      </c>
      <c r="I762" s="1" t="s">
        <v>378</v>
      </c>
      <c r="J762" s="1" t="s">
        <v>46</v>
      </c>
      <c r="K762" t="s">
        <v>937</v>
      </c>
      <c r="M762" s="1" t="s">
        <v>58</v>
      </c>
      <c r="N762" s="1">
        <v>0</v>
      </c>
      <c r="O762" s="1" t="s">
        <v>105</v>
      </c>
      <c r="P762" s="11" t="s">
        <v>1500</v>
      </c>
      <c r="R762" s="1">
        <v>3</v>
      </c>
      <c r="T762" s="1" t="s">
        <v>646</v>
      </c>
      <c r="U762" s="11" t="s">
        <v>1501</v>
      </c>
      <c r="V762" s="1" t="s">
        <v>41</v>
      </c>
      <c r="W762" s="1" t="s">
        <v>49</v>
      </c>
      <c r="Z762" s="14"/>
      <c r="AA762" s="14"/>
      <c r="AC762" s="21"/>
      <c r="AE762" s="21"/>
    </row>
    <row r="763" spans="1:31" hidden="1">
      <c r="A763" s="1">
        <v>9127562</v>
      </c>
      <c r="B763" s="1" t="s">
        <v>101</v>
      </c>
      <c r="C763" t="s">
        <v>643</v>
      </c>
      <c r="D763" s="2">
        <v>220192986</v>
      </c>
      <c r="E763" s="2">
        <v>710001400010</v>
      </c>
      <c r="F763" s="1" t="s">
        <v>936</v>
      </c>
      <c r="G763" s="1" t="s">
        <v>53</v>
      </c>
      <c r="H763" s="1" t="s">
        <v>390</v>
      </c>
      <c r="I763" s="1" t="s">
        <v>391</v>
      </c>
      <c r="J763" s="1" t="s">
        <v>56</v>
      </c>
      <c r="K763" t="s">
        <v>937</v>
      </c>
      <c r="M763" s="1" t="s">
        <v>58</v>
      </c>
      <c r="N763" s="1">
        <v>0</v>
      </c>
      <c r="O763" s="1" t="s">
        <v>105</v>
      </c>
      <c r="P763" s="11" t="s">
        <v>1502</v>
      </c>
      <c r="R763" s="1">
        <v>3</v>
      </c>
      <c r="T763" s="1" t="s">
        <v>646</v>
      </c>
      <c r="U763" s="11" t="s">
        <v>1503</v>
      </c>
      <c r="V763" s="1" t="s">
        <v>41</v>
      </c>
      <c r="W763" s="1" t="s">
        <v>49</v>
      </c>
      <c r="Z763" s="14"/>
      <c r="AA763" s="14"/>
      <c r="AC763" s="21"/>
      <c r="AE763" s="21"/>
    </row>
    <row r="764" spans="1:31" hidden="1">
      <c r="A764" s="1">
        <v>9127512</v>
      </c>
      <c r="B764" s="1" t="s">
        <v>101</v>
      </c>
      <c r="C764" t="s">
        <v>643</v>
      </c>
      <c r="D764" s="2">
        <v>220192919</v>
      </c>
      <c r="E764" s="2">
        <v>608001400010</v>
      </c>
      <c r="F764" s="1" t="s">
        <v>936</v>
      </c>
      <c r="G764" s="1" t="s">
        <v>53</v>
      </c>
      <c r="H764" s="1" t="s">
        <v>438</v>
      </c>
      <c r="I764" s="1" t="s">
        <v>439</v>
      </c>
      <c r="J764" s="1" t="s">
        <v>148</v>
      </c>
      <c r="K764" t="s">
        <v>937</v>
      </c>
      <c r="M764" s="1" t="s">
        <v>58</v>
      </c>
      <c r="N764" s="1">
        <v>0</v>
      </c>
      <c r="O764" s="1" t="s">
        <v>105</v>
      </c>
      <c r="P764" s="11" t="s">
        <v>1504</v>
      </c>
      <c r="R764" s="1">
        <v>3</v>
      </c>
      <c r="T764" s="1" t="s">
        <v>646</v>
      </c>
      <c r="U764" s="11" t="s">
        <v>1505</v>
      </c>
      <c r="V764" s="1" t="s">
        <v>41</v>
      </c>
      <c r="W764" s="1" t="s">
        <v>49</v>
      </c>
      <c r="Z764" s="14"/>
      <c r="AA764" s="14"/>
      <c r="AC764" s="21"/>
      <c r="AE764" s="21"/>
    </row>
    <row r="765" spans="1:31" hidden="1">
      <c r="A765" s="1">
        <v>9127225</v>
      </c>
      <c r="B765" s="1" t="s">
        <v>101</v>
      </c>
      <c r="C765" t="s">
        <v>643</v>
      </c>
      <c r="D765" s="2">
        <v>220198224</v>
      </c>
      <c r="E765" s="2">
        <v>4997001400040</v>
      </c>
      <c r="F765" s="1" t="s">
        <v>644</v>
      </c>
      <c r="G765" s="1" t="s">
        <v>53</v>
      </c>
      <c r="H765" s="1" t="s">
        <v>406</v>
      </c>
      <c r="I765" s="1" t="s">
        <v>407</v>
      </c>
      <c r="J765" s="1" t="s">
        <v>79</v>
      </c>
      <c r="K765" t="s">
        <v>645</v>
      </c>
      <c r="M765" s="1" t="s">
        <v>58</v>
      </c>
      <c r="N765" s="1">
        <v>0</v>
      </c>
      <c r="O765" s="1" t="s">
        <v>105</v>
      </c>
      <c r="P765" s="11" t="s">
        <v>1506</v>
      </c>
      <c r="R765" s="1">
        <v>3</v>
      </c>
      <c r="T765" s="1" t="s">
        <v>646</v>
      </c>
      <c r="U765" s="11" t="s">
        <v>1507</v>
      </c>
      <c r="V765" s="1" t="s">
        <v>41</v>
      </c>
      <c r="W765" s="1" t="s">
        <v>49</v>
      </c>
      <c r="Z765" s="14"/>
      <c r="AA765" s="14"/>
      <c r="AC765" s="21"/>
      <c r="AE765" s="21"/>
    </row>
    <row r="766" spans="1:31" hidden="1">
      <c r="A766" s="1">
        <v>9127174</v>
      </c>
      <c r="B766" s="1" t="s">
        <v>101</v>
      </c>
      <c r="C766" t="s">
        <v>643</v>
      </c>
      <c r="D766" s="2">
        <v>220198258</v>
      </c>
      <c r="E766" s="2">
        <v>5742001400040</v>
      </c>
      <c r="F766" s="1" t="s">
        <v>644</v>
      </c>
      <c r="G766" s="1" t="s">
        <v>53</v>
      </c>
      <c r="H766" s="1" t="s">
        <v>430</v>
      </c>
      <c r="I766" s="1" t="s">
        <v>431</v>
      </c>
      <c r="J766" s="1" t="s">
        <v>79</v>
      </c>
      <c r="K766" t="s">
        <v>645</v>
      </c>
      <c r="M766" s="1" t="s">
        <v>58</v>
      </c>
      <c r="N766" s="1">
        <v>0</v>
      </c>
      <c r="O766" s="1" t="s">
        <v>105</v>
      </c>
      <c r="P766" s="11" t="s">
        <v>1508</v>
      </c>
      <c r="R766" s="1">
        <v>2</v>
      </c>
      <c r="T766" s="1" t="s">
        <v>646</v>
      </c>
      <c r="U766" s="11" t="s">
        <v>1509</v>
      </c>
      <c r="V766" s="1" t="s">
        <v>41</v>
      </c>
      <c r="W766" s="1" t="s">
        <v>49</v>
      </c>
      <c r="Z766" s="14"/>
      <c r="AA766" s="14"/>
      <c r="AC766" s="21"/>
      <c r="AE766" s="21"/>
    </row>
    <row r="767" spans="1:31" hidden="1">
      <c r="A767" s="1">
        <v>9126916</v>
      </c>
      <c r="B767" s="1" t="s">
        <v>101</v>
      </c>
      <c r="C767" t="s">
        <v>643</v>
      </c>
      <c r="D767" s="2">
        <v>220197812</v>
      </c>
      <c r="E767" s="2">
        <v>3243001400040</v>
      </c>
      <c r="F767" s="1" t="s">
        <v>644</v>
      </c>
      <c r="G767" s="1" t="s">
        <v>53</v>
      </c>
      <c r="H767" s="1" t="s">
        <v>282</v>
      </c>
      <c r="I767" s="1" t="s">
        <v>283</v>
      </c>
      <c r="J767" s="1" t="s">
        <v>46</v>
      </c>
      <c r="K767" t="s">
        <v>645</v>
      </c>
      <c r="M767" s="1" t="s">
        <v>58</v>
      </c>
      <c r="N767" s="1">
        <v>0</v>
      </c>
      <c r="O767" s="1" t="s">
        <v>105</v>
      </c>
      <c r="P767" s="11" t="s">
        <v>3470</v>
      </c>
      <c r="R767" s="1">
        <v>3</v>
      </c>
      <c r="T767" s="1" t="s">
        <v>646</v>
      </c>
      <c r="U767" s="11" t="s">
        <v>3471</v>
      </c>
      <c r="V767" s="1" t="s">
        <v>41</v>
      </c>
      <c r="W767" s="1" t="s">
        <v>49</v>
      </c>
      <c r="Z767" s="14"/>
      <c r="AA767" s="14"/>
      <c r="AC767" s="21"/>
      <c r="AE767" s="21"/>
    </row>
    <row r="768" spans="1:31" hidden="1">
      <c r="A768" s="1">
        <v>9126874</v>
      </c>
      <c r="B768" s="1" t="s">
        <v>101</v>
      </c>
      <c r="C768" t="s">
        <v>643</v>
      </c>
      <c r="D768" s="2">
        <v>220197782</v>
      </c>
      <c r="E768" s="2">
        <v>3108001400040</v>
      </c>
      <c r="F768" s="1" t="s">
        <v>644</v>
      </c>
      <c r="G768" s="1" t="s">
        <v>53</v>
      </c>
      <c r="H768" s="1" t="s">
        <v>325</v>
      </c>
      <c r="I768" s="1" t="s">
        <v>326</v>
      </c>
      <c r="J768" s="1" t="s">
        <v>46</v>
      </c>
      <c r="K768" t="s">
        <v>645</v>
      </c>
      <c r="M768" s="1" t="s">
        <v>58</v>
      </c>
      <c r="N768" s="1">
        <v>0</v>
      </c>
      <c r="O768" s="1" t="s">
        <v>105</v>
      </c>
      <c r="P768" s="11" t="s">
        <v>1510</v>
      </c>
      <c r="R768" s="1">
        <v>3</v>
      </c>
      <c r="T768" s="1" t="s">
        <v>646</v>
      </c>
      <c r="U768" s="11" t="s">
        <v>1511</v>
      </c>
      <c r="V768" s="1" t="s">
        <v>41</v>
      </c>
      <c r="W768" s="1" t="s">
        <v>49</v>
      </c>
      <c r="Z768" s="14"/>
      <c r="AA768" s="14"/>
      <c r="AC768" s="21"/>
      <c r="AE768" s="21"/>
    </row>
    <row r="769" spans="1:31" hidden="1">
      <c r="A769" s="1">
        <v>9126750</v>
      </c>
      <c r="B769" s="1" t="s">
        <v>101</v>
      </c>
      <c r="C769" t="s">
        <v>643</v>
      </c>
      <c r="D769" s="2">
        <v>220197982</v>
      </c>
      <c r="E769" s="2">
        <v>4012001400040</v>
      </c>
      <c r="F769" s="1" t="s">
        <v>644</v>
      </c>
      <c r="G769" s="1" t="s">
        <v>53</v>
      </c>
      <c r="H769" s="1" t="s">
        <v>349</v>
      </c>
      <c r="I769" s="1" t="s">
        <v>350</v>
      </c>
      <c r="J769" s="1" t="s">
        <v>261</v>
      </c>
      <c r="K769" t="s">
        <v>645</v>
      </c>
      <c r="M769" s="1" t="s">
        <v>58</v>
      </c>
      <c r="N769" s="1">
        <v>0</v>
      </c>
      <c r="O769" s="1" t="s">
        <v>105</v>
      </c>
      <c r="P769" s="11" t="s">
        <v>1512</v>
      </c>
      <c r="R769" s="1">
        <v>3</v>
      </c>
      <c r="T769" s="1" t="s">
        <v>646</v>
      </c>
      <c r="U769" s="11" t="s">
        <v>1513</v>
      </c>
      <c r="V769" s="1" t="s">
        <v>41</v>
      </c>
      <c r="W769" s="1" t="s">
        <v>49</v>
      </c>
      <c r="Z769" s="14"/>
      <c r="AA769" s="14"/>
      <c r="AC769" s="21"/>
      <c r="AE769" s="21"/>
    </row>
    <row r="770" spans="1:31" hidden="1">
      <c r="A770" s="1">
        <v>9126716</v>
      </c>
      <c r="B770" s="1" t="s">
        <v>101</v>
      </c>
      <c r="C770" t="s">
        <v>643</v>
      </c>
      <c r="D770" s="2">
        <v>220197478</v>
      </c>
      <c r="E770" s="2">
        <v>2018001400040</v>
      </c>
      <c r="F770" s="1" t="s">
        <v>644</v>
      </c>
      <c r="G770" s="1" t="s">
        <v>53</v>
      </c>
      <c r="H770" s="1" t="s">
        <v>598</v>
      </c>
      <c r="I770" s="1" t="s">
        <v>599</v>
      </c>
      <c r="J770" s="1" t="s">
        <v>79</v>
      </c>
      <c r="K770" t="s">
        <v>645</v>
      </c>
      <c r="M770" s="1" t="s">
        <v>58</v>
      </c>
      <c r="N770" s="1">
        <v>0</v>
      </c>
      <c r="O770" s="1" t="s">
        <v>105</v>
      </c>
      <c r="P770" s="11" t="s">
        <v>1514</v>
      </c>
      <c r="R770" s="1">
        <v>2</v>
      </c>
      <c r="T770" s="1" t="s">
        <v>646</v>
      </c>
      <c r="U770" s="11" t="s">
        <v>1515</v>
      </c>
      <c r="V770" s="1" t="s">
        <v>41</v>
      </c>
      <c r="W770" s="1" t="s">
        <v>49</v>
      </c>
      <c r="Z770" s="14"/>
      <c r="AA770" s="14"/>
      <c r="AC770" s="21"/>
      <c r="AE770" s="21"/>
    </row>
    <row r="771" spans="1:31" hidden="1">
      <c r="A771" s="1">
        <v>9126674</v>
      </c>
      <c r="B771" s="1" t="s">
        <v>101</v>
      </c>
      <c r="C771" t="s">
        <v>643</v>
      </c>
      <c r="D771" s="2">
        <v>220197259</v>
      </c>
      <c r="E771" s="2">
        <v>1291001400040</v>
      </c>
      <c r="F771" s="1" t="s">
        <v>644</v>
      </c>
      <c r="G771" s="1" t="s">
        <v>53</v>
      </c>
      <c r="H771" s="1" t="s">
        <v>136</v>
      </c>
      <c r="I771" s="1" t="s">
        <v>137</v>
      </c>
      <c r="J771" s="1" t="s">
        <v>33</v>
      </c>
      <c r="K771" t="s">
        <v>645</v>
      </c>
      <c r="M771" s="1" t="s">
        <v>58</v>
      </c>
      <c r="N771" s="1">
        <v>0</v>
      </c>
      <c r="O771" s="1" t="s">
        <v>105</v>
      </c>
      <c r="P771" s="11" t="s">
        <v>3472</v>
      </c>
      <c r="R771" s="1">
        <v>3</v>
      </c>
      <c r="T771" s="1" t="s">
        <v>646</v>
      </c>
      <c r="U771" s="11" t="s">
        <v>3473</v>
      </c>
      <c r="V771" s="1" t="s">
        <v>41</v>
      </c>
      <c r="W771" s="1" t="s">
        <v>42</v>
      </c>
      <c r="Z771" s="14"/>
      <c r="AA771" s="14"/>
      <c r="AC771" s="21"/>
      <c r="AE771" s="21"/>
    </row>
    <row r="772" spans="1:31" hidden="1">
      <c r="A772" s="1">
        <v>9126667</v>
      </c>
      <c r="B772" s="1" t="s">
        <v>101</v>
      </c>
      <c r="C772" t="s">
        <v>643</v>
      </c>
      <c r="D772" s="2">
        <v>220197252</v>
      </c>
      <c r="E772" s="2">
        <v>1264001400040</v>
      </c>
      <c r="F772" s="1" t="s">
        <v>644</v>
      </c>
      <c r="G772" s="1" t="s">
        <v>53</v>
      </c>
      <c r="H772" s="1" t="s">
        <v>351</v>
      </c>
      <c r="I772" s="1" t="s">
        <v>352</v>
      </c>
      <c r="J772" s="1" t="s">
        <v>110</v>
      </c>
      <c r="K772" t="s">
        <v>645</v>
      </c>
      <c r="M772" s="1" t="s">
        <v>58</v>
      </c>
      <c r="N772" s="1">
        <v>0</v>
      </c>
      <c r="O772" s="1" t="s">
        <v>105</v>
      </c>
      <c r="P772" s="11" t="s">
        <v>3474</v>
      </c>
      <c r="R772" s="1">
        <v>2</v>
      </c>
      <c r="T772" s="1" t="s">
        <v>646</v>
      </c>
      <c r="U772" s="11" t="s">
        <v>3475</v>
      </c>
      <c r="V772" s="1" t="s">
        <v>41</v>
      </c>
      <c r="W772" s="1" t="s">
        <v>49</v>
      </c>
      <c r="Z772" s="14"/>
      <c r="AA772" s="14"/>
      <c r="AC772" s="21"/>
      <c r="AE772" s="21"/>
    </row>
    <row r="773" spans="1:31" hidden="1">
      <c r="A773" s="1">
        <v>9126655</v>
      </c>
      <c r="B773" s="1" t="s">
        <v>101</v>
      </c>
      <c r="C773" t="s">
        <v>643</v>
      </c>
      <c r="D773" s="2">
        <v>220197635</v>
      </c>
      <c r="E773" s="2">
        <v>2529001400040</v>
      </c>
      <c r="F773" s="1" t="s">
        <v>644</v>
      </c>
      <c r="G773" s="1" t="s">
        <v>53</v>
      </c>
      <c r="H773" s="1" t="s">
        <v>355</v>
      </c>
      <c r="I773" s="1" t="s">
        <v>356</v>
      </c>
      <c r="J773" s="1" t="s">
        <v>56</v>
      </c>
      <c r="K773" t="s">
        <v>645</v>
      </c>
      <c r="M773" s="1" t="s">
        <v>58</v>
      </c>
      <c r="N773" s="1">
        <v>0</v>
      </c>
      <c r="O773" s="1" t="s">
        <v>105</v>
      </c>
      <c r="P773" s="11" t="s">
        <v>1516</v>
      </c>
      <c r="R773" s="1">
        <v>2</v>
      </c>
      <c r="T773" s="1" t="s">
        <v>646</v>
      </c>
      <c r="U773" s="11" t="s">
        <v>1517</v>
      </c>
      <c r="V773" s="1" t="s">
        <v>41</v>
      </c>
      <c r="W773" s="1" t="s">
        <v>49</v>
      </c>
      <c r="Z773" s="14"/>
      <c r="AA773" s="14"/>
      <c r="AC773" s="21"/>
      <c r="AE773" s="21"/>
    </row>
    <row r="774" spans="1:31" hidden="1">
      <c r="A774" s="1">
        <v>9126627</v>
      </c>
      <c r="B774" s="1" t="s">
        <v>101</v>
      </c>
      <c r="C774" t="s">
        <v>643</v>
      </c>
      <c r="D774" s="2">
        <v>220197615</v>
      </c>
      <c r="E774" s="2">
        <v>2473001400040</v>
      </c>
      <c r="F774" s="1" t="s">
        <v>644</v>
      </c>
      <c r="G774" s="1" t="s">
        <v>53</v>
      </c>
      <c r="H774" s="1" t="s">
        <v>1459</v>
      </c>
      <c r="I774" s="1" t="s">
        <v>1460</v>
      </c>
      <c r="J774" s="1" t="s">
        <v>261</v>
      </c>
      <c r="K774" t="s">
        <v>645</v>
      </c>
      <c r="M774" s="1" t="s">
        <v>58</v>
      </c>
      <c r="N774" s="1">
        <v>0</v>
      </c>
      <c r="O774" s="1" t="s">
        <v>105</v>
      </c>
      <c r="P774" s="11" t="s">
        <v>1518</v>
      </c>
      <c r="R774" s="1">
        <v>2</v>
      </c>
      <c r="T774" s="1" t="s">
        <v>646</v>
      </c>
      <c r="U774" s="11" t="s">
        <v>1519</v>
      </c>
      <c r="V774" s="1" t="s">
        <v>41</v>
      </c>
      <c r="W774" s="1" t="s">
        <v>49</v>
      </c>
      <c r="Z774" s="14"/>
      <c r="AA774" s="14"/>
      <c r="AC774" s="21"/>
      <c r="AE774" s="21"/>
    </row>
    <row r="775" spans="1:31" hidden="1">
      <c r="A775" s="1">
        <v>9126604</v>
      </c>
      <c r="B775" s="1" t="s">
        <v>101</v>
      </c>
      <c r="C775" t="s">
        <v>643</v>
      </c>
      <c r="D775" s="2">
        <v>220197647</v>
      </c>
      <c r="E775" s="2">
        <v>2564001400040</v>
      </c>
      <c r="F775" s="1" t="s">
        <v>644</v>
      </c>
      <c r="G775" s="1" t="s">
        <v>53</v>
      </c>
      <c r="H775" s="1" t="s">
        <v>255</v>
      </c>
      <c r="I775" s="1" t="s">
        <v>256</v>
      </c>
      <c r="J775" s="1" t="s">
        <v>164</v>
      </c>
      <c r="K775" t="s">
        <v>645</v>
      </c>
      <c r="M775" s="1" t="s">
        <v>58</v>
      </c>
      <c r="N775" s="1">
        <v>0</v>
      </c>
      <c r="O775" s="1" t="s">
        <v>105</v>
      </c>
      <c r="P775" s="11" t="s">
        <v>1520</v>
      </c>
      <c r="R775" s="1">
        <v>3</v>
      </c>
      <c r="T775" s="1" t="s">
        <v>646</v>
      </c>
      <c r="U775" s="11" t="s">
        <v>1521</v>
      </c>
      <c r="V775" s="1" t="s">
        <v>41</v>
      </c>
      <c r="W775" s="1" t="s">
        <v>49</v>
      </c>
      <c r="Z775" s="14"/>
      <c r="AA775" s="14"/>
      <c r="AC775" s="21"/>
      <c r="AE775" s="21"/>
    </row>
    <row r="776" spans="1:31" hidden="1">
      <c r="A776" s="1">
        <v>9126586</v>
      </c>
      <c r="B776" s="1" t="s">
        <v>101</v>
      </c>
      <c r="C776" t="s">
        <v>643</v>
      </c>
      <c r="D776" s="2">
        <v>220197595</v>
      </c>
      <c r="E776" s="2">
        <v>2413001400040</v>
      </c>
      <c r="F776" s="1" t="s">
        <v>644</v>
      </c>
      <c r="G776" s="1" t="s">
        <v>53</v>
      </c>
      <c r="H776" s="1" t="s">
        <v>505</v>
      </c>
      <c r="I776" s="1" t="s">
        <v>506</v>
      </c>
      <c r="J776" s="1" t="s">
        <v>141</v>
      </c>
      <c r="K776" t="s">
        <v>645</v>
      </c>
      <c r="M776" s="1" t="s">
        <v>58</v>
      </c>
      <c r="N776" s="1">
        <v>0</v>
      </c>
      <c r="O776" s="1" t="s">
        <v>105</v>
      </c>
      <c r="P776" s="11" t="s">
        <v>1522</v>
      </c>
      <c r="R776" s="1">
        <v>2</v>
      </c>
      <c r="T776" s="1" t="s">
        <v>646</v>
      </c>
      <c r="U776" s="11" t="s">
        <v>1523</v>
      </c>
      <c r="V776" s="1" t="s">
        <v>41</v>
      </c>
      <c r="W776" s="1" t="s">
        <v>49</v>
      </c>
      <c r="Z776" s="14"/>
      <c r="AA776" s="14"/>
      <c r="AC776" s="21"/>
      <c r="AE776" s="21"/>
    </row>
    <row r="777" spans="1:31" hidden="1">
      <c r="A777" s="1">
        <v>9126537</v>
      </c>
      <c r="B777" s="1" t="s">
        <v>101</v>
      </c>
      <c r="C777" t="s">
        <v>643</v>
      </c>
      <c r="D777" s="2">
        <v>220197299</v>
      </c>
      <c r="E777" s="2">
        <v>1363001400040</v>
      </c>
      <c r="F777" s="1" t="s">
        <v>644</v>
      </c>
      <c r="G777" s="1" t="s">
        <v>53</v>
      </c>
      <c r="H777" s="1" t="s">
        <v>108</v>
      </c>
      <c r="I777" s="1" t="s">
        <v>109</v>
      </c>
      <c r="J777" s="1" t="s">
        <v>110</v>
      </c>
      <c r="K777" t="s">
        <v>645</v>
      </c>
      <c r="M777" s="1" t="s">
        <v>58</v>
      </c>
      <c r="N777" s="1">
        <v>0</v>
      </c>
      <c r="O777" s="1" t="s">
        <v>105</v>
      </c>
      <c r="P777" s="11" t="s">
        <v>1524</v>
      </c>
      <c r="R777" s="1">
        <v>3</v>
      </c>
      <c r="T777" s="1" t="s">
        <v>646</v>
      </c>
      <c r="U777" s="11" t="s">
        <v>1525</v>
      </c>
      <c r="V777" s="1" t="s">
        <v>41</v>
      </c>
      <c r="W777" s="1" t="s">
        <v>49</v>
      </c>
      <c r="Z777" s="14"/>
      <c r="AA777" s="14"/>
      <c r="AC777" s="21"/>
      <c r="AE777" s="21"/>
    </row>
    <row r="778" spans="1:31" hidden="1">
      <c r="A778" s="1">
        <v>9126536</v>
      </c>
      <c r="B778" s="1" t="s">
        <v>101</v>
      </c>
      <c r="C778" t="s">
        <v>643</v>
      </c>
      <c r="D778" s="2">
        <v>220197298</v>
      </c>
      <c r="E778" s="2">
        <v>1362001400040</v>
      </c>
      <c r="F778" s="1" t="s">
        <v>644</v>
      </c>
      <c r="G778" s="1" t="s">
        <v>53</v>
      </c>
      <c r="H778" s="1" t="s">
        <v>268</v>
      </c>
      <c r="I778" s="1" t="s">
        <v>269</v>
      </c>
      <c r="J778" s="1" t="s">
        <v>90</v>
      </c>
      <c r="K778" t="s">
        <v>645</v>
      </c>
      <c r="M778" s="1" t="s">
        <v>58</v>
      </c>
      <c r="N778" s="1">
        <v>0</v>
      </c>
      <c r="O778" s="1" t="s">
        <v>105</v>
      </c>
      <c r="P778" s="11" t="s">
        <v>3476</v>
      </c>
      <c r="R778" s="1">
        <v>3</v>
      </c>
      <c r="T778" s="1" t="s">
        <v>646</v>
      </c>
      <c r="U778" s="11" t="s">
        <v>3477</v>
      </c>
      <c r="V778" s="1" t="s">
        <v>41</v>
      </c>
      <c r="W778" s="1" t="s">
        <v>49</v>
      </c>
      <c r="Z778" s="14"/>
      <c r="AA778" s="14"/>
      <c r="AC778" s="21"/>
      <c r="AE778" s="21"/>
    </row>
    <row r="779" spans="1:31" hidden="1">
      <c r="A779" s="1">
        <v>9126535</v>
      </c>
      <c r="B779" s="1" t="s">
        <v>101</v>
      </c>
      <c r="C779" t="s">
        <v>643</v>
      </c>
      <c r="D779" s="2">
        <v>220197297</v>
      </c>
      <c r="E779" s="2">
        <v>1360001400040</v>
      </c>
      <c r="F779" s="1" t="s">
        <v>644</v>
      </c>
      <c r="G779" s="1" t="s">
        <v>53</v>
      </c>
      <c r="H779" s="1" t="s">
        <v>303</v>
      </c>
      <c r="I779" s="1" t="s">
        <v>304</v>
      </c>
      <c r="J779" s="1" t="s">
        <v>261</v>
      </c>
      <c r="K779" t="s">
        <v>645</v>
      </c>
      <c r="M779" s="1" t="s">
        <v>58</v>
      </c>
      <c r="N779" s="1">
        <v>0</v>
      </c>
      <c r="O779" s="1" t="s">
        <v>105</v>
      </c>
      <c r="P779" s="11" t="s">
        <v>1526</v>
      </c>
      <c r="R779" s="1">
        <v>3</v>
      </c>
      <c r="T779" s="1" t="s">
        <v>646</v>
      </c>
      <c r="U779" s="11" t="s">
        <v>1527</v>
      </c>
      <c r="V779" s="1" t="s">
        <v>41</v>
      </c>
      <c r="W779" s="1" t="s">
        <v>49</v>
      </c>
      <c r="Z779" s="14"/>
      <c r="AA779" s="14"/>
      <c r="AC779" s="21"/>
      <c r="AE779" s="21"/>
    </row>
    <row r="780" spans="1:31" hidden="1">
      <c r="A780" s="1">
        <v>9126534</v>
      </c>
      <c r="B780" s="1" t="s">
        <v>101</v>
      </c>
      <c r="C780" t="s">
        <v>643</v>
      </c>
      <c r="D780" s="2">
        <v>220197296</v>
      </c>
      <c r="E780" s="2">
        <v>1359001400040</v>
      </c>
      <c r="F780" s="1" t="s">
        <v>644</v>
      </c>
      <c r="G780" s="1" t="s">
        <v>53</v>
      </c>
      <c r="H780" s="1" t="s">
        <v>270</v>
      </c>
      <c r="I780" s="1" t="s">
        <v>271</v>
      </c>
      <c r="J780" s="1" t="s">
        <v>141</v>
      </c>
      <c r="K780" t="s">
        <v>645</v>
      </c>
      <c r="M780" s="1" t="s">
        <v>58</v>
      </c>
      <c r="N780" s="1">
        <v>0</v>
      </c>
      <c r="O780" s="1" t="s">
        <v>105</v>
      </c>
      <c r="P780" s="11" t="s">
        <v>1528</v>
      </c>
      <c r="R780" s="1">
        <v>2</v>
      </c>
      <c r="T780" s="1" t="s">
        <v>646</v>
      </c>
      <c r="U780" s="11" t="s">
        <v>1529</v>
      </c>
      <c r="V780" s="1" t="s">
        <v>41</v>
      </c>
      <c r="W780" s="1" t="s">
        <v>49</v>
      </c>
      <c r="Z780" s="14"/>
      <c r="AA780" s="14"/>
      <c r="AC780" s="21"/>
      <c r="AE780" s="21"/>
    </row>
    <row r="781" spans="1:31" hidden="1">
      <c r="A781" s="1">
        <v>9126515</v>
      </c>
      <c r="B781" s="1" t="s">
        <v>101</v>
      </c>
      <c r="C781" t="s">
        <v>643</v>
      </c>
      <c r="D781" s="2">
        <v>220197245</v>
      </c>
      <c r="E781" s="2">
        <v>1245001400040</v>
      </c>
      <c r="F781" s="1" t="s">
        <v>644</v>
      </c>
      <c r="G781" s="1" t="s">
        <v>53</v>
      </c>
      <c r="H781" s="1" t="s">
        <v>408</v>
      </c>
      <c r="I781" s="1" t="s">
        <v>409</v>
      </c>
      <c r="J781" s="1" t="s">
        <v>46</v>
      </c>
      <c r="K781" t="s">
        <v>645</v>
      </c>
      <c r="M781" s="1" t="s">
        <v>58</v>
      </c>
      <c r="N781" s="1">
        <v>0</v>
      </c>
      <c r="O781" s="1" t="s">
        <v>105</v>
      </c>
      <c r="P781" s="11" t="s">
        <v>1530</v>
      </c>
      <c r="R781" s="1">
        <v>2</v>
      </c>
      <c r="T781" s="1" t="s">
        <v>646</v>
      </c>
      <c r="U781" s="11" t="s">
        <v>1531</v>
      </c>
      <c r="V781" s="1" t="s">
        <v>41</v>
      </c>
      <c r="W781" s="1" t="s">
        <v>49</v>
      </c>
      <c r="Z781" s="14"/>
      <c r="AA781" s="14"/>
      <c r="AC781" s="21"/>
      <c r="AE781" s="21"/>
    </row>
    <row r="782" spans="1:31" hidden="1">
      <c r="A782" s="1">
        <v>9126424</v>
      </c>
      <c r="B782" s="1" t="s">
        <v>101</v>
      </c>
      <c r="C782" t="s">
        <v>643</v>
      </c>
      <c r="D782" s="2">
        <v>220197448</v>
      </c>
      <c r="E782" s="2">
        <v>1792001400040</v>
      </c>
      <c r="F782" s="1" t="s">
        <v>644</v>
      </c>
      <c r="G782" s="1" t="s">
        <v>53</v>
      </c>
      <c r="H782" s="1" t="s">
        <v>467</v>
      </c>
      <c r="I782" s="1" t="s">
        <v>468</v>
      </c>
      <c r="J782" s="1" t="s">
        <v>110</v>
      </c>
      <c r="K782" t="s">
        <v>645</v>
      </c>
      <c r="M782" s="1" t="s">
        <v>58</v>
      </c>
      <c r="N782" s="1">
        <v>0</v>
      </c>
      <c r="O782" s="1" t="s">
        <v>105</v>
      </c>
      <c r="P782" s="11" t="s">
        <v>1532</v>
      </c>
      <c r="R782" s="1">
        <v>2</v>
      </c>
      <c r="T782" s="1" t="s">
        <v>646</v>
      </c>
      <c r="U782" s="11" t="s">
        <v>1533</v>
      </c>
      <c r="V782" s="1" t="s">
        <v>41</v>
      </c>
      <c r="W782" s="1" t="s">
        <v>49</v>
      </c>
      <c r="Z782" s="14"/>
      <c r="AA782" s="14"/>
      <c r="AC782" s="21"/>
      <c r="AE782" s="21"/>
    </row>
    <row r="783" spans="1:31" hidden="1">
      <c r="A783" s="1">
        <v>9126382</v>
      </c>
      <c r="B783" s="1" t="s">
        <v>101</v>
      </c>
      <c r="C783" t="s">
        <v>643</v>
      </c>
      <c r="D783" s="2">
        <v>220197425</v>
      </c>
      <c r="E783" s="2">
        <v>1732001400040</v>
      </c>
      <c r="F783" s="1" t="s">
        <v>644</v>
      </c>
      <c r="G783" s="1" t="s">
        <v>53</v>
      </c>
      <c r="H783" s="1" t="s">
        <v>177</v>
      </c>
      <c r="I783" s="1" t="s">
        <v>178</v>
      </c>
      <c r="J783" s="1" t="s">
        <v>164</v>
      </c>
      <c r="K783" t="s">
        <v>645</v>
      </c>
      <c r="M783" s="1" t="s">
        <v>58</v>
      </c>
      <c r="N783" s="1">
        <v>0</v>
      </c>
      <c r="O783" s="1" t="s">
        <v>105</v>
      </c>
      <c r="P783" s="11" t="s">
        <v>1534</v>
      </c>
      <c r="R783" s="1">
        <v>3</v>
      </c>
      <c r="T783" s="1" t="s">
        <v>646</v>
      </c>
      <c r="U783" s="11" t="s">
        <v>1535</v>
      </c>
      <c r="V783" s="1" t="s">
        <v>41</v>
      </c>
      <c r="W783" s="1" t="s">
        <v>49</v>
      </c>
      <c r="Z783" s="14"/>
      <c r="AA783" s="14"/>
      <c r="AC783" s="21"/>
      <c r="AE783" s="21"/>
    </row>
    <row r="784" spans="1:31" hidden="1">
      <c r="A784" s="1">
        <v>9126343</v>
      </c>
      <c r="B784" s="1" t="s">
        <v>101</v>
      </c>
      <c r="C784" t="s">
        <v>643</v>
      </c>
      <c r="D784" s="2">
        <v>220197402</v>
      </c>
      <c r="E784" s="2">
        <v>1664001400040</v>
      </c>
      <c r="F784" s="1" t="s">
        <v>644</v>
      </c>
      <c r="G784" s="1" t="s">
        <v>53</v>
      </c>
      <c r="H784" s="1" t="s">
        <v>307</v>
      </c>
      <c r="I784" s="1" t="s">
        <v>308</v>
      </c>
      <c r="J784" s="1" t="s">
        <v>164</v>
      </c>
      <c r="K784" t="s">
        <v>645</v>
      </c>
      <c r="M784" s="1" t="s">
        <v>58</v>
      </c>
      <c r="N784" s="1">
        <v>0</v>
      </c>
      <c r="O784" s="1" t="s">
        <v>105</v>
      </c>
      <c r="P784" s="11" t="s">
        <v>1536</v>
      </c>
      <c r="R784" s="1">
        <v>2</v>
      </c>
      <c r="T784" s="1" t="s">
        <v>646</v>
      </c>
      <c r="U784" s="11" t="s">
        <v>1537</v>
      </c>
      <c r="V784" s="1" t="s">
        <v>41</v>
      </c>
      <c r="W784" s="1" t="s">
        <v>49</v>
      </c>
      <c r="Z784" s="14"/>
      <c r="AA784" s="14"/>
      <c r="AC784" s="21"/>
      <c r="AE784" s="21"/>
    </row>
    <row r="785" spans="1:31" hidden="1">
      <c r="A785" s="1">
        <v>9126340</v>
      </c>
      <c r="B785" s="1" t="s">
        <v>101</v>
      </c>
      <c r="C785" t="s">
        <v>643</v>
      </c>
      <c r="D785" s="2">
        <v>220197678</v>
      </c>
      <c r="E785" s="2">
        <v>2678001400040</v>
      </c>
      <c r="F785" s="1" t="s">
        <v>644</v>
      </c>
      <c r="G785" s="1" t="s">
        <v>53</v>
      </c>
      <c r="H785" s="1" t="s">
        <v>992</v>
      </c>
      <c r="I785" s="1" t="s">
        <v>993</v>
      </c>
      <c r="J785" s="1" t="s">
        <v>33</v>
      </c>
      <c r="K785" t="s">
        <v>645</v>
      </c>
      <c r="M785" s="1" t="s">
        <v>58</v>
      </c>
      <c r="N785" s="1">
        <v>0</v>
      </c>
      <c r="O785" s="1" t="s">
        <v>105</v>
      </c>
      <c r="P785" s="11" t="s">
        <v>1538</v>
      </c>
      <c r="R785" s="1">
        <v>2</v>
      </c>
      <c r="T785" s="1" t="s">
        <v>646</v>
      </c>
      <c r="U785" s="11" t="s">
        <v>1539</v>
      </c>
      <c r="V785" s="1" t="s">
        <v>41</v>
      </c>
      <c r="W785" s="1" t="s">
        <v>42</v>
      </c>
      <c r="Z785" s="14"/>
      <c r="AA785" s="14"/>
      <c r="AC785" s="21"/>
      <c r="AE785" s="21"/>
    </row>
    <row r="786" spans="1:31" hidden="1">
      <c r="A786" s="1">
        <v>9126315</v>
      </c>
      <c r="B786" s="1" t="s">
        <v>101</v>
      </c>
      <c r="C786" t="s">
        <v>643</v>
      </c>
      <c r="D786" s="2">
        <v>220196945</v>
      </c>
      <c r="E786" s="2">
        <v>673001400040</v>
      </c>
      <c r="F786" s="1" t="s">
        <v>644</v>
      </c>
      <c r="G786" s="1" t="s">
        <v>53</v>
      </c>
      <c r="H786" s="1" t="s">
        <v>581</v>
      </c>
      <c r="I786" s="1" t="s">
        <v>582</v>
      </c>
      <c r="J786" s="1" t="s">
        <v>110</v>
      </c>
      <c r="K786" t="s">
        <v>645</v>
      </c>
      <c r="M786" s="1" t="s">
        <v>58</v>
      </c>
      <c r="N786" s="1">
        <v>0</v>
      </c>
      <c r="O786" s="1" t="s">
        <v>105</v>
      </c>
      <c r="P786" s="11" t="s">
        <v>1540</v>
      </c>
      <c r="R786" s="1">
        <v>2</v>
      </c>
      <c r="T786" s="1" t="s">
        <v>646</v>
      </c>
      <c r="U786" s="11" t="s">
        <v>1541</v>
      </c>
      <c r="V786" s="1" t="s">
        <v>41</v>
      </c>
      <c r="W786" s="1" t="s">
        <v>49</v>
      </c>
      <c r="Z786" s="14"/>
      <c r="AA786" s="14"/>
      <c r="AC786" s="21"/>
      <c r="AE786" s="21"/>
    </row>
    <row r="787" spans="1:31" hidden="1">
      <c r="A787" s="1">
        <v>9126276</v>
      </c>
      <c r="B787" s="1" t="s">
        <v>101</v>
      </c>
      <c r="C787" t="s">
        <v>643</v>
      </c>
      <c r="D787" s="2">
        <v>220197114</v>
      </c>
      <c r="E787" s="2">
        <v>981001400040</v>
      </c>
      <c r="F787" s="1" t="s">
        <v>644</v>
      </c>
      <c r="G787" s="1" t="s">
        <v>53</v>
      </c>
      <c r="H787" s="1" t="s">
        <v>410</v>
      </c>
      <c r="I787" s="1" t="s">
        <v>411</v>
      </c>
      <c r="J787" s="1" t="s">
        <v>85</v>
      </c>
      <c r="K787" t="s">
        <v>645</v>
      </c>
      <c r="M787" s="1" t="s">
        <v>58</v>
      </c>
      <c r="N787" s="1">
        <v>0</v>
      </c>
      <c r="O787" s="1" t="s">
        <v>105</v>
      </c>
      <c r="P787" s="11" t="s">
        <v>1542</v>
      </c>
      <c r="R787" s="1">
        <v>3</v>
      </c>
      <c r="T787" s="1" t="s">
        <v>646</v>
      </c>
      <c r="U787" s="11" t="s">
        <v>1543</v>
      </c>
      <c r="V787" s="1" t="s">
        <v>41</v>
      </c>
      <c r="W787" s="1" t="s">
        <v>49</v>
      </c>
      <c r="Z787" s="14"/>
      <c r="AA787" s="14"/>
      <c r="AC787" s="21"/>
      <c r="AE787" s="21"/>
    </row>
    <row r="788" spans="1:31" hidden="1">
      <c r="A788" s="1">
        <v>9126219</v>
      </c>
      <c r="B788" s="1" t="s">
        <v>101</v>
      </c>
      <c r="C788" t="s">
        <v>643</v>
      </c>
      <c r="D788" s="2">
        <v>220196904</v>
      </c>
      <c r="E788" s="2">
        <v>608001400040</v>
      </c>
      <c r="F788" s="1" t="s">
        <v>644</v>
      </c>
      <c r="G788" s="1" t="s">
        <v>53</v>
      </c>
      <c r="H788" s="1" t="s">
        <v>438</v>
      </c>
      <c r="I788" s="1" t="s">
        <v>439</v>
      </c>
      <c r="J788" s="1" t="s">
        <v>148</v>
      </c>
      <c r="K788" t="s">
        <v>645</v>
      </c>
      <c r="M788" s="1" t="s">
        <v>58</v>
      </c>
      <c r="N788" s="1">
        <v>0</v>
      </c>
      <c r="O788" s="1" t="s">
        <v>105</v>
      </c>
      <c r="P788" s="11" t="s">
        <v>1544</v>
      </c>
      <c r="R788" s="1">
        <v>3</v>
      </c>
      <c r="T788" s="1" t="s">
        <v>646</v>
      </c>
      <c r="U788" s="11" t="s">
        <v>1545</v>
      </c>
      <c r="V788" s="1" t="s">
        <v>41</v>
      </c>
      <c r="W788" s="1" t="s">
        <v>49</v>
      </c>
      <c r="Z788" s="14"/>
      <c r="AA788" s="14"/>
      <c r="AC788" s="21"/>
      <c r="AE788" s="21"/>
    </row>
    <row r="789" spans="1:31" hidden="1">
      <c r="A789" s="1">
        <v>9126206</v>
      </c>
      <c r="B789" s="1" t="s">
        <v>101</v>
      </c>
      <c r="C789" t="s">
        <v>643</v>
      </c>
      <c r="D789" s="2">
        <v>220196891</v>
      </c>
      <c r="E789" s="2">
        <v>582001400040</v>
      </c>
      <c r="F789" s="1" t="s">
        <v>644</v>
      </c>
      <c r="G789" s="1" t="s">
        <v>53</v>
      </c>
      <c r="H789" s="1" t="s">
        <v>139</v>
      </c>
      <c r="I789" s="1" t="s">
        <v>140</v>
      </c>
      <c r="J789" s="1" t="s">
        <v>141</v>
      </c>
      <c r="K789" t="s">
        <v>645</v>
      </c>
      <c r="M789" s="1" t="s">
        <v>58</v>
      </c>
      <c r="N789" s="1">
        <v>0</v>
      </c>
      <c r="O789" s="1" t="s">
        <v>105</v>
      </c>
      <c r="P789" s="11" t="s">
        <v>1546</v>
      </c>
      <c r="R789" s="1">
        <v>3</v>
      </c>
      <c r="T789" s="1" t="s">
        <v>646</v>
      </c>
      <c r="U789" s="11" t="s">
        <v>1547</v>
      </c>
      <c r="V789" s="1" t="s">
        <v>41</v>
      </c>
      <c r="W789" s="1" t="s">
        <v>49</v>
      </c>
      <c r="Z789" s="14"/>
      <c r="AA789" s="14"/>
      <c r="AC789" s="21"/>
      <c r="AE789" s="21"/>
    </row>
    <row r="790" spans="1:31" hidden="1">
      <c r="A790" s="1">
        <v>9126187</v>
      </c>
      <c r="B790" s="1" t="s">
        <v>101</v>
      </c>
      <c r="C790" t="s">
        <v>643</v>
      </c>
      <c r="D790" s="2">
        <v>220196872</v>
      </c>
      <c r="E790" s="2">
        <v>550001400040</v>
      </c>
      <c r="F790" s="1" t="s">
        <v>644</v>
      </c>
      <c r="G790" s="1" t="s">
        <v>53</v>
      </c>
      <c r="H790" s="1" t="s">
        <v>337</v>
      </c>
      <c r="I790" s="1" t="s">
        <v>338</v>
      </c>
      <c r="J790" s="1" t="s">
        <v>164</v>
      </c>
      <c r="K790" t="s">
        <v>645</v>
      </c>
      <c r="M790" s="1" t="s">
        <v>58</v>
      </c>
      <c r="N790" s="1">
        <v>0</v>
      </c>
      <c r="O790" s="1" t="s">
        <v>105</v>
      </c>
      <c r="P790" s="11" t="s">
        <v>1548</v>
      </c>
      <c r="R790" s="1">
        <v>3</v>
      </c>
      <c r="T790" s="1" t="s">
        <v>646</v>
      </c>
      <c r="U790" s="11" t="s">
        <v>1549</v>
      </c>
      <c r="V790" s="1" t="s">
        <v>41</v>
      </c>
      <c r="W790" s="1" t="s">
        <v>49</v>
      </c>
      <c r="Z790" s="14"/>
      <c r="AA790" s="14"/>
      <c r="AC790" s="21"/>
      <c r="AE790" s="21"/>
    </row>
    <row r="791" spans="1:31" hidden="1">
      <c r="A791" s="1">
        <v>9126178</v>
      </c>
      <c r="B791" s="1" t="s">
        <v>101</v>
      </c>
      <c r="C791" t="s">
        <v>643</v>
      </c>
      <c r="D791" s="2">
        <v>220196867</v>
      </c>
      <c r="E791" s="2">
        <v>537001400040</v>
      </c>
      <c r="F791" s="1" t="s">
        <v>644</v>
      </c>
      <c r="G791" s="1" t="s">
        <v>53</v>
      </c>
      <c r="H791" s="1" t="s">
        <v>442</v>
      </c>
      <c r="I791" s="1" t="s">
        <v>443</v>
      </c>
      <c r="J791" s="1" t="s">
        <v>79</v>
      </c>
      <c r="K791" t="s">
        <v>645</v>
      </c>
      <c r="M791" s="1" t="s">
        <v>58</v>
      </c>
      <c r="N791" s="1">
        <v>0</v>
      </c>
      <c r="O791" s="1" t="s">
        <v>105</v>
      </c>
      <c r="P791" s="11" t="s">
        <v>1550</v>
      </c>
      <c r="R791" s="1">
        <v>2</v>
      </c>
      <c r="T791" s="1" t="s">
        <v>646</v>
      </c>
      <c r="U791" s="11" t="s">
        <v>3478</v>
      </c>
      <c r="V791" s="1" t="s">
        <v>41</v>
      </c>
      <c r="W791" s="1" t="s">
        <v>49</v>
      </c>
      <c r="Z791" s="14"/>
      <c r="AA791" s="14"/>
      <c r="AC791" s="21"/>
      <c r="AE791" s="21"/>
    </row>
    <row r="792" spans="1:31" hidden="1">
      <c r="A792" s="1">
        <v>9126149</v>
      </c>
      <c r="B792" s="1" t="s">
        <v>101</v>
      </c>
      <c r="C792" t="s">
        <v>643</v>
      </c>
      <c r="D792" s="2">
        <v>220197129</v>
      </c>
      <c r="E792" s="2">
        <v>1012001400040</v>
      </c>
      <c r="F792" s="1" t="s">
        <v>644</v>
      </c>
      <c r="G792" s="1" t="s">
        <v>53</v>
      </c>
      <c r="H792" s="1" t="s">
        <v>172</v>
      </c>
      <c r="I792" s="1" t="s">
        <v>173</v>
      </c>
      <c r="J792" s="1" t="s">
        <v>164</v>
      </c>
      <c r="K792" t="s">
        <v>645</v>
      </c>
      <c r="M792" s="1" t="s">
        <v>58</v>
      </c>
      <c r="N792" s="1">
        <v>0</v>
      </c>
      <c r="O792" s="1" t="s">
        <v>105</v>
      </c>
      <c r="P792" s="11" t="s">
        <v>1551</v>
      </c>
      <c r="R792" s="1">
        <v>2</v>
      </c>
      <c r="T792" s="1" t="s">
        <v>646</v>
      </c>
      <c r="U792" s="11" t="s">
        <v>1552</v>
      </c>
      <c r="V792" s="1" t="s">
        <v>41</v>
      </c>
      <c r="W792" s="1" t="s">
        <v>49</v>
      </c>
      <c r="Z792" s="14"/>
      <c r="AA792" s="14"/>
      <c r="AC792" s="21"/>
      <c r="AE792" s="21"/>
    </row>
    <row r="793" spans="1:31" hidden="1">
      <c r="A793" s="1">
        <v>9126105</v>
      </c>
      <c r="B793" s="1" t="s">
        <v>101</v>
      </c>
      <c r="C793" t="s">
        <v>643</v>
      </c>
      <c r="D793" s="2">
        <v>220197072</v>
      </c>
      <c r="E793" s="2">
        <v>899001400040</v>
      </c>
      <c r="F793" s="1" t="s">
        <v>644</v>
      </c>
      <c r="G793" s="1" t="s">
        <v>53</v>
      </c>
      <c r="H793" s="1" t="s">
        <v>175</v>
      </c>
      <c r="I793" s="1" t="s">
        <v>176</v>
      </c>
      <c r="J793" s="1" t="s">
        <v>90</v>
      </c>
      <c r="K793" t="s">
        <v>645</v>
      </c>
      <c r="M793" s="1" t="s">
        <v>58</v>
      </c>
      <c r="N793" s="1">
        <v>0</v>
      </c>
      <c r="O793" s="1" t="s">
        <v>36</v>
      </c>
      <c r="P793" s="11" t="s">
        <v>1553</v>
      </c>
      <c r="R793" s="1">
        <v>2</v>
      </c>
      <c r="T793" s="1" t="s">
        <v>646</v>
      </c>
      <c r="U793" s="11" t="s">
        <v>1554</v>
      </c>
      <c r="V793" s="1" t="s">
        <v>41</v>
      </c>
      <c r="W793" s="1" t="s">
        <v>49</v>
      </c>
      <c r="Z793" s="14"/>
      <c r="AA793" s="14"/>
      <c r="AC793" s="21"/>
      <c r="AE793" s="21"/>
    </row>
    <row r="794" spans="1:31" hidden="1">
      <c r="A794" s="1">
        <v>9125943</v>
      </c>
      <c r="B794" s="1" t="s">
        <v>101</v>
      </c>
      <c r="C794" t="s">
        <v>643</v>
      </c>
      <c r="D794" s="2">
        <v>220197093</v>
      </c>
      <c r="E794" s="2">
        <v>934001400040</v>
      </c>
      <c r="F794" s="1" t="s">
        <v>644</v>
      </c>
      <c r="G794" s="1" t="s">
        <v>53</v>
      </c>
      <c r="H794" s="1" t="s">
        <v>428</v>
      </c>
      <c r="I794" s="1" t="s">
        <v>429</v>
      </c>
      <c r="J794" s="1" t="s">
        <v>46</v>
      </c>
      <c r="K794" t="s">
        <v>645</v>
      </c>
      <c r="M794" s="1" t="s">
        <v>58</v>
      </c>
      <c r="N794" s="1">
        <v>0</v>
      </c>
      <c r="O794" s="1" t="s">
        <v>105</v>
      </c>
      <c r="P794" s="11" t="s">
        <v>1555</v>
      </c>
      <c r="R794" s="1">
        <v>2</v>
      </c>
      <c r="T794" s="1" t="s">
        <v>646</v>
      </c>
      <c r="U794" s="11" t="s">
        <v>1556</v>
      </c>
      <c r="V794" s="1" t="s">
        <v>41</v>
      </c>
      <c r="W794" s="1" t="s">
        <v>49</v>
      </c>
      <c r="Z794" s="14"/>
      <c r="AA794" s="14"/>
      <c r="AC794" s="21"/>
      <c r="AE794" s="21"/>
    </row>
    <row r="795" spans="1:31" hidden="1">
      <c r="A795" s="1">
        <v>9125924</v>
      </c>
      <c r="B795" s="1" t="s">
        <v>101</v>
      </c>
      <c r="C795" t="s">
        <v>643</v>
      </c>
      <c r="D795" s="2">
        <v>220197082</v>
      </c>
      <c r="E795" s="2">
        <v>922001400040</v>
      </c>
      <c r="F795" s="1" t="s">
        <v>644</v>
      </c>
      <c r="G795" s="1" t="s">
        <v>53</v>
      </c>
      <c r="H795" s="1" t="s">
        <v>1375</v>
      </c>
      <c r="I795" s="1" t="s">
        <v>1376</v>
      </c>
      <c r="J795" s="1" t="s">
        <v>261</v>
      </c>
      <c r="K795" t="s">
        <v>645</v>
      </c>
      <c r="M795" s="1" t="s">
        <v>58</v>
      </c>
      <c r="N795" s="1">
        <v>0</v>
      </c>
      <c r="O795" s="1" t="s">
        <v>105</v>
      </c>
      <c r="P795" s="11" t="s">
        <v>1557</v>
      </c>
      <c r="R795" s="1">
        <v>3</v>
      </c>
      <c r="T795" s="1" t="s">
        <v>646</v>
      </c>
      <c r="U795" s="11" t="s">
        <v>1558</v>
      </c>
      <c r="V795" s="1" t="s">
        <v>41</v>
      </c>
      <c r="W795" s="1" t="s">
        <v>49</v>
      </c>
      <c r="Z795" s="14"/>
      <c r="AA795" s="14"/>
      <c r="AC795" s="21"/>
      <c r="AE795" s="21"/>
    </row>
    <row r="796" spans="1:31" hidden="1">
      <c r="A796" s="1">
        <v>9125919</v>
      </c>
      <c r="B796" s="1" t="s">
        <v>101</v>
      </c>
      <c r="C796" t="s">
        <v>643</v>
      </c>
      <c r="D796" s="2">
        <v>220197080</v>
      </c>
      <c r="E796" s="2">
        <v>917001400040</v>
      </c>
      <c r="F796" s="1" t="s">
        <v>644</v>
      </c>
      <c r="G796" s="1" t="s">
        <v>53</v>
      </c>
      <c r="H796" s="1" t="s">
        <v>83</v>
      </c>
      <c r="I796" s="1" t="s">
        <v>84</v>
      </c>
      <c r="J796" s="1" t="s">
        <v>85</v>
      </c>
      <c r="K796" t="s">
        <v>645</v>
      </c>
      <c r="M796" s="1" t="s">
        <v>58</v>
      </c>
      <c r="N796" s="1">
        <v>0</v>
      </c>
      <c r="O796" s="1" t="s">
        <v>105</v>
      </c>
      <c r="P796" s="11" t="s">
        <v>1559</v>
      </c>
      <c r="R796" s="1">
        <v>3</v>
      </c>
      <c r="T796" s="1" t="s">
        <v>646</v>
      </c>
      <c r="U796" s="11" t="s">
        <v>1560</v>
      </c>
      <c r="V796" s="1" t="s">
        <v>41</v>
      </c>
      <c r="W796" s="1" t="s">
        <v>49</v>
      </c>
      <c r="Z796" s="14"/>
      <c r="AA796" s="14"/>
      <c r="AC796" s="21"/>
      <c r="AE796" s="21"/>
    </row>
    <row r="797" spans="1:31" hidden="1">
      <c r="A797" s="1">
        <v>9125717</v>
      </c>
      <c r="B797" s="1" t="s">
        <v>101</v>
      </c>
      <c r="C797" t="s">
        <v>643</v>
      </c>
      <c r="D797" s="2">
        <v>220196408</v>
      </c>
      <c r="E797" s="2">
        <v>5755001400030</v>
      </c>
      <c r="F797" s="1" t="s">
        <v>647</v>
      </c>
      <c r="G797" s="1" t="s">
        <v>53</v>
      </c>
      <c r="H797" s="1" t="s">
        <v>841</v>
      </c>
      <c r="I797" s="1" t="s">
        <v>842</v>
      </c>
      <c r="J797" s="1" t="s">
        <v>46</v>
      </c>
      <c r="K797" t="s">
        <v>650</v>
      </c>
      <c r="M797" s="1" t="s">
        <v>58</v>
      </c>
      <c r="N797" s="1">
        <v>0</v>
      </c>
      <c r="O797" s="1" t="s">
        <v>105</v>
      </c>
      <c r="P797" s="11" t="s">
        <v>3479</v>
      </c>
      <c r="R797" s="1">
        <v>4</v>
      </c>
      <c r="T797" s="1" t="s">
        <v>646</v>
      </c>
      <c r="U797" s="11" t="s">
        <v>3480</v>
      </c>
      <c r="V797" s="1" t="s">
        <v>41</v>
      </c>
      <c r="W797" s="1" t="s">
        <v>49</v>
      </c>
      <c r="Z797" s="14"/>
      <c r="AA797" s="14"/>
      <c r="AC797" s="21"/>
      <c r="AE797" s="21"/>
    </row>
    <row r="798" spans="1:31" hidden="1">
      <c r="A798" s="1">
        <v>9125693</v>
      </c>
      <c r="B798" s="1" t="s">
        <v>101</v>
      </c>
      <c r="C798" t="s">
        <v>643</v>
      </c>
      <c r="D798" s="2">
        <v>220196378</v>
      </c>
      <c r="E798" s="2">
        <v>1943001400030</v>
      </c>
      <c r="F798" s="1" t="s">
        <v>647</v>
      </c>
      <c r="G798" s="1" t="s">
        <v>53</v>
      </c>
      <c r="H798" s="1" t="s">
        <v>264</v>
      </c>
      <c r="I798" s="1" t="s">
        <v>265</v>
      </c>
      <c r="J798" s="1" t="s">
        <v>56</v>
      </c>
      <c r="K798" t="s">
        <v>650</v>
      </c>
      <c r="M798" s="1" t="s">
        <v>58</v>
      </c>
      <c r="N798" s="1">
        <v>0</v>
      </c>
      <c r="O798" s="1" t="s">
        <v>105</v>
      </c>
      <c r="P798" s="11" t="s">
        <v>1561</v>
      </c>
      <c r="R798" s="1">
        <v>4</v>
      </c>
      <c r="T798" s="1" t="s">
        <v>646</v>
      </c>
      <c r="U798" s="11" t="s">
        <v>1562</v>
      </c>
      <c r="V798" s="1" t="s">
        <v>41</v>
      </c>
      <c r="W798" s="1" t="s">
        <v>49</v>
      </c>
      <c r="Z798" s="14"/>
      <c r="AA798" s="14"/>
      <c r="AC798" s="21"/>
      <c r="AE798" s="21"/>
    </row>
    <row r="799" spans="1:31" hidden="1">
      <c r="A799" s="1">
        <v>9125609</v>
      </c>
      <c r="B799" s="1" t="s">
        <v>101</v>
      </c>
      <c r="C799" t="s">
        <v>643</v>
      </c>
      <c r="D799" s="2">
        <v>220196332</v>
      </c>
      <c r="E799" s="2">
        <v>5898001400030</v>
      </c>
      <c r="F799" s="1" t="s">
        <v>647</v>
      </c>
      <c r="G799" s="1" t="s">
        <v>53</v>
      </c>
      <c r="H799" s="1" t="s">
        <v>365</v>
      </c>
      <c r="I799" s="1" t="s">
        <v>366</v>
      </c>
      <c r="J799" s="1" t="s">
        <v>164</v>
      </c>
      <c r="K799" t="s">
        <v>650</v>
      </c>
      <c r="M799" s="1" t="s">
        <v>58</v>
      </c>
      <c r="N799" s="1">
        <v>0</v>
      </c>
      <c r="O799" s="1" t="s">
        <v>105</v>
      </c>
      <c r="P799" s="11" t="s">
        <v>1565</v>
      </c>
      <c r="R799" s="1">
        <v>4</v>
      </c>
      <c r="T799" s="1" t="s">
        <v>646</v>
      </c>
      <c r="U799" s="11" t="s">
        <v>1566</v>
      </c>
      <c r="V799" s="1" t="s">
        <v>41</v>
      </c>
      <c r="W799" s="1" t="s">
        <v>49</v>
      </c>
      <c r="Z799" s="14"/>
      <c r="AA799" s="14"/>
      <c r="AC799" s="21"/>
      <c r="AE799" s="21"/>
    </row>
    <row r="800" spans="1:31" hidden="1">
      <c r="A800" s="1">
        <v>9125460</v>
      </c>
      <c r="B800" s="1" t="s">
        <v>101</v>
      </c>
      <c r="C800" t="s">
        <v>643</v>
      </c>
      <c r="D800" s="2">
        <v>220196217</v>
      </c>
      <c r="E800" s="2">
        <v>5742001400030</v>
      </c>
      <c r="F800" s="1" t="s">
        <v>647</v>
      </c>
      <c r="G800" s="1" t="s">
        <v>53</v>
      </c>
      <c r="H800" s="1" t="s">
        <v>430</v>
      </c>
      <c r="I800" s="1" t="s">
        <v>431</v>
      </c>
      <c r="J800" s="1" t="s">
        <v>79</v>
      </c>
      <c r="K800" t="s">
        <v>650</v>
      </c>
      <c r="M800" s="1" t="s">
        <v>58</v>
      </c>
      <c r="N800" s="1">
        <v>0</v>
      </c>
      <c r="O800" s="1" t="s">
        <v>105</v>
      </c>
      <c r="P800" s="11" t="s">
        <v>1567</v>
      </c>
      <c r="R800" s="1">
        <v>4</v>
      </c>
      <c r="T800" s="1" t="s">
        <v>646</v>
      </c>
      <c r="U800" s="11" t="s">
        <v>1568</v>
      </c>
      <c r="V800" s="1" t="s">
        <v>41</v>
      </c>
      <c r="W800" s="1" t="s">
        <v>49</v>
      </c>
      <c r="Z800" s="14"/>
      <c r="AA800" s="14"/>
      <c r="AC800" s="21"/>
      <c r="AE800" s="21"/>
    </row>
    <row r="801" spans="1:31" hidden="1">
      <c r="A801" s="1">
        <v>9125444</v>
      </c>
      <c r="B801" s="1" t="s">
        <v>101</v>
      </c>
      <c r="C801" t="s">
        <v>643</v>
      </c>
      <c r="D801" s="2">
        <v>220196207</v>
      </c>
      <c r="E801" s="2">
        <v>7651400030</v>
      </c>
      <c r="F801" s="1" t="s">
        <v>647</v>
      </c>
      <c r="G801" s="1" t="s">
        <v>53</v>
      </c>
      <c r="H801" s="1" t="s">
        <v>827</v>
      </c>
      <c r="I801" s="1" t="s">
        <v>828</v>
      </c>
      <c r="J801" s="1" t="s">
        <v>46</v>
      </c>
      <c r="K801" t="s">
        <v>650</v>
      </c>
      <c r="M801" s="1" t="s">
        <v>58</v>
      </c>
      <c r="N801" s="1">
        <v>0</v>
      </c>
      <c r="O801" s="1" t="s">
        <v>105</v>
      </c>
      <c r="P801" s="11" t="s">
        <v>1569</v>
      </c>
      <c r="R801" s="1">
        <v>4</v>
      </c>
      <c r="T801" s="1" t="s">
        <v>646</v>
      </c>
      <c r="U801" s="11" t="s">
        <v>1570</v>
      </c>
      <c r="V801" s="1" t="s">
        <v>41</v>
      </c>
      <c r="W801" s="1" t="s">
        <v>49</v>
      </c>
      <c r="Z801" s="14"/>
      <c r="AA801" s="14"/>
      <c r="AC801" s="21"/>
      <c r="AE801" s="21"/>
    </row>
    <row r="802" spans="1:31" hidden="1">
      <c r="A802" s="1">
        <v>9125404</v>
      </c>
      <c r="B802" s="1" t="s">
        <v>101</v>
      </c>
      <c r="C802" t="s">
        <v>643</v>
      </c>
      <c r="D802" s="2">
        <v>220196178</v>
      </c>
      <c r="E802" s="2">
        <v>4997001400030</v>
      </c>
      <c r="F802" s="1" t="s">
        <v>647</v>
      </c>
      <c r="G802" s="1" t="s">
        <v>53</v>
      </c>
      <c r="H802" s="1" t="s">
        <v>406</v>
      </c>
      <c r="I802" s="1" t="s">
        <v>407</v>
      </c>
      <c r="J802" s="1" t="s">
        <v>79</v>
      </c>
      <c r="K802" t="s">
        <v>650</v>
      </c>
      <c r="M802" s="1" t="s">
        <v>58</v>
      </c>
      <c r="N802" s="1">
        <v>0</v>
      </c>
      <c r="O802" s="1" t="s">
        <v>105</v>
      </c>
      <c r="P802" s="11" t="s">
        <v>1571</v>
      </c>
      <c r="R802" s="1">
        <v>4</v>
      </c>
      <c r="T802" s="1" t="s">
        <v>646</v>
      </c>
      <c r="U802" s="11" t="s">
        <v>1572</v>
      </c>
      <c r="V802" s="1" t="s">
        <v>41</v>
      </c>
      <c r="W802" s="1" t="s">
        <v>49</v>
      </c>
      <c r="Z802" s="14"/>
      <c r="AA802" s="14"/>
      <c r="AC802" s="21"/>
      <c r="AE802" s="21"/>
    </row>
    <row r="803" spans="1:31" hidden="1">
      <c r="A803" s="1">
        <v>9125383</v>
      </c>
      <c r="B803" s="1" t="s">
        <v>101</v>
      </c>
      <c r="C803" t="s">
        <v>643</v>
      </c>
      <c r="D803" s="2">
        <v>220196166</v>
      </c>
      <c r="E803" s="2">
        <v>1120011400030</v>
      </c>
      <c r="F803" s="1" t="s">
        <v>647</v>
      </c>
      <c r="G803" s="1" t="s">
        <v>53</v>
      </c>
      <c r="H803" s="1" t="s">
        <v>648</v>
      </c>
      <c r="I803" s="1" t="s">
        <v>649</v>
      </c>
      <c r="J803" s="1" t="s">
        <v>164</v>
      </c>
      <c r="K803" t="s">
        <v>650</v>
      </c>
      <c r="M803" s="1" t="s">
        <v>58</v>
      </c>
      <c r="N803" s="1">
        <v>0</v>
      </c>
      <c r="O803" s="1" t="s">
        <v>105</v>
      </c>
      <c r="P803" s="11" t="s">
        <v>1573</v>
      </c>
      <c r="R803" s="1">
        <v>4</v>
      </c>
      <c r="T803" s="1" t="s">
        <v>646</v>
      </c>
      <c r="U803" s="11" t="s">
        <v>1574</v>
      </c>
      <c r="V803" s="1" t="s">
        <v>41</v>
      </c>
      <c r="W803" s="1" t="s">
        <v>49</v>
      </c>
      <c r="Z803" s="14"/>
      <c r="AA803" s="14"/>
      <c r="AC803" s="21"/>
      <c r="AE803" s="21"/>
    </row>
    <row r="804" spans="1:31" hidden="1">
      <c r="A804" s="1">
        <v>9125336</v>
      </c>
      <c r="B804" s="1" t="s">
        <v>101</v>
      </c>
      <c r="C804" t="s">
        <v>643</v>
      </c>
      <c r="D804" s="2">
        <v>220195971</v>
      </c>
      <c r="E804" s="2">
        <v>68051400030</v>
      </c>
      <c r="F804" s="1" t="s">
        <v>647</v>
      </c>
      <c r="G804" s="1" t="s">
        <v>53</v>
      </c>
      <c r="H804" s="1" t="s">
        <v>1575</v>
      </c>
      <c r="I804" s="1" t="s">
        <v>1576</v>
      </c>
      <c r="J804" s="1" t="s">
        <v>211</v>
      </c>
      <c r="K804" t="s">
        <v>650</v>
      </c>
      <c r="M804" s="1" t="s">
        <v>58</v>
      </c>
      <c r="N804" s="1">
        <v>0</v>
      </c>
      <c r="O804" s="1" t="s">
        <v>105</v>
      </c>
      <c r="P804" s="11" t="s">
        <v>1577</v>
      </c>
      <c r="R804" s="1">
        <v>4</v>
      </c>
      <c r="T804" s="1" t="s">
        <v>646</v>
      </c>
      <c r="U804" s="11" t="s">
        <v>1578</v>
      </c>
      <c r="V804" s="1" t="s">
        <v>41</v>
      </c>
      <c r="W804" s="1" t="s">
        <v>49</v>
      </c>
      <c r="Z804" s="14"/>
      <c r="AA804" s="14"/>
      <c r="AC804" s="21"/>
      <c r="AE804" s="21"/>
    </row>
    <row r="805" spans="1:31" hidden="1">
      <c r="A805" s="1">
        <v>9125234</v>
      </c>
      <c r="B805" s="1" t="s">
        <v>101</v>
      </c>
      <c r="C805" t="s">
        <v>643</v>
      </c>
      <c r="D805" s="2">
        <v>220195649</v>
      </c>
      <c r="E805" s="2">
        <v>2855001400030</v>
      </c>
      <c r="F805" s="1" t="s">
        <v>647</v>
      </c>
      <c r="G805" s="1" t="s">
        <v>53</v>
      </c>
      <c r="H805" s="1" t="s">
        <v>249</v>
      </c>
      <c r="I805" s="1" t="s">
        <v>250</v>
      </c>
      <c r="J805" s="1" t="s">
        <v>56</v>
      </c>
      <c r="K805" t="s">
        <v>650</v>
      </c>
      <c r="M805" s="1" t="s">
        <v>58</v>
      </c>
      <c r="N805" s="1">
        <v>0</v>
      </c>
      <c r="O805" s="1" t="s">
        <v>105</v>
      </c>
      <c r="P805" s="11" t="s">
        <v>1579</v>
      </c>
      <c r="R805" s="1">
        <v>4</v>
      </c>
      <c r="T805" s="1" t="s">
        <v>646</v>
      </c>
      <c r="U805" s="11" t="s">
        <v>1580</v>
      </c>
      <c r="V805" s="1" t="s">
        <v>41</v>
      </c>
      <c r="W805" s="1" t="s">
        <v>49</v>
      </c>
      <c r="Z805" s="14"/>
      <c r="AA805" s="14"/>
      <c r="AC805" s="21"/>
      <c r="AE805" s="21"/>
    </row>
    <row r="806" spans="1:31" hidden="1">
      <c r="A806" s="1">
        <v>9125221</v>
      </c>
      <c r="B806" s="1" t="s">
        <v>101</v>
      </c>
      <c r="C806" t="s">
        <v>643</v>
      </c>
      <c r="D806" s="2">
        <v>220195642</v>
      </c>
      <c r="E806" s="2">
        <v>2830001400030</v>
      </c>
      <c r="F806" s="1" t="s">
        <v>647</v>
      </c>
      <c r="G806" s="1" t="s">
        <v>53</v>
      </c>
      <c r="H806" s="1" t="s">
        <v>448</v>
      </c>
      <c r="I806" s="1" t="s">
        <v>449</v>
      </c>
      <c r="J806" s="1" t="s">
        <v>33</v>
      </c>
      <c r="K806" t="s">
        <v>650</v>
      </c>
      <c r="M806" s="1" t="s">
        <v>58</v>
      </c>
      <c r="N806" s="1">
        <v>0</v>
      </c>
      <c r="O806" s="1" t="s">
        <v>105</v>
      </c>
      <c r="P806" s="11" t="s">
        <v>1581</v>
      </c>
      <c r="R806" s="1">
        <v>4</v>
      </c>
      <c r="T806" s="1" t="s">
        <v>646</v>
      </c>
      <c r="U806" s="11" t="s">
        <v>1582</v>
      </c>
      <c r="V806" s="1" t="s">
        <v>41</v>
      </c>
      <c r="W806" s="1" t="s">
        <v>42</v>
      </c>
      <c r="Z806" s="14"/>
      <c r="AA806" s="14"/>
      <c r="AC806" s="21"/>
      <c r="AE806" s="21"/>
    </row>
    <row r="807" spans="1:31" hidden="1">
      <c r="A807" s="1">
        <v>9125216</v>
      </c>
      <c r="B807" s="1" t="s">
        <v>101</v>
      </c>
      <c r="C807" t="s">
        <v>643</v>
      </c>
      <c r="D807" s="2">
        <v>220195637</v>
      </c>
      <c r="E807" s="2">
        <v>2802001400030</v>
      </c>
      <c r="F807" s="1" t="s">
        <v>647</v>
      </c>
      <c r="G807" s="1" t="s">
        <v>53</v>
      </c>
      <c r="H807" s="1" t="s">
        <v>388</v>
      </c>
      <c r="I807" s="1" t="s">
        <v>389</v>
      </c>
      <c r="J807" s="1" t="s">
        <v>46</v>
      </c>
      <c r="K807" t="s">
        <v>650</v>
      </c>
      <c r="M807" s="1" t="s">
        <v>58</v>
      </c>
      <c r="N807" s="1">
        <v>0</v>
      </c>
      <c r="O807" s="1" t="s">
        <v>105</v>
      </c>
      <c r="P807" s="11" t="s">
        <v>1583</v>
      </c>
      <c r="R807" s="1">
        <v>4</v>
      </c>
      <c r="T807" s="1" t="s">
        <v>646</v>
      </c>
      <c r="U807" s="11" t="s">
        <v>1584</v>
      </c>
      <c r="V807" s="1" t="s">
        <v>41</v>
      </c>
      <c r="W807" s="1" t="s">
        <v>49</v>
      </c>
      <c r="Z807" s="14"/>
      <c r="AA807" s="14"/>
      <c r="AC807" s="21"/>
      <c r="AE807" s="21"/>
    </row>
    <row r="808" spans="1:31" hidden="1">
      <c r="A808" s="1">
        <v>9125183</v>
      </c>
      <c r="B808" s="1" t="s">
        <v>101</v>
      </c>
      <c r="C808" t="s">
        <v>643</v>
      </c>
      <c r="D808" s="2">
        <v>220195609</v>
      </c>
      <c r="E808" s="2">
        <v>2693001400030</v>
      </c>
      <c r="F808" s="1" t="s">
        <v>647</v>
      </c>
      <c r="G808" s="1" t="s">
        <v>53</v>
      </c>
      <c r="H808" s="1" t="s">
        <v>253</v>
      </c>
      <c r="I808" s="1" t="s">
        <v>254</v>
      </c>
      <c r="J808" s="1" t="s">
        <v>56</v>
      </c>
      <c r="K808" t="s">
        <v>650</v>
      </c>
      <c r="M808" s="1" t="s">
        <v>58</v>
      </c>
      <c r="N808" s="1">
        <v>0</v>
      </c>
      <c r="O808" s="1" t="s">
        <v>105</v>
      </c>
      <c r="P808" s="11" t="s">
        <v>1585</v>
      </c>
      <c r="R808" s="1">
        <v>4</v>
      </c>
      <c r="T808" s="1" t="s">
        <v>646</v>
      </c>
      <c r="U808" s="11" t="s">
        <v>1586</v>
      </c>
      <c r="V808" s="1" t="s">
        <v>41</v>
      </c>
      <c r="W808" s="1" t="s">
        <v>49</v>
      </c>
      <c r="Z808" s="14"/>
      <c r="AA808" s="14"/>
      <c r="AC808" s="21"/>
      <c r="AE808" s="21"/>
    </row>
    <row r="809" spans="1:31" hidden="1">
      <c r="A809" s="1">
        <v>9125136</v>
      </c>
      <c r="B809" s="1" t="s">
        <v>101</v>
      </c>
      <c r="C809" t="s">
        <v>643</v>
      </c>
      <c r="D809" s="2">
        <v>220195574</v>
      </c>
      <c r="E809" s="2">
        <v>2564001400030</v>
      </c>
      <c r="F809" s="1" t="s">
        <v>647</v>
      </c>
      <c r="G809" s="1" t="s">
        <v>53</v>
      </c>
      <c r="H809" s="1" t="s">
        <v>255</v>
      </c>
      <c r="I809" s="1" t="s">
        <v>256</v>
      </c>
      <c r="J809" s="1" t="s">
        <v>164</v>
      </c>
      <c r="K809" t="s">
        <v>650</v>
      </c>
      <c r="M809" s="1" t="s">
        <v>58</v>
      </c>
      <c r="N809" s="1">
        <v>0</v>
      </c>
      <c r="O809" s="1" t="s">
        <v>105</v>
      </c>
      <c r="P809" s="11" t="s">
        <v>1587</v>
      </c>
      <c r="R809" s="1">
        <v>4</v>
      </c>
      <c r="T809" s="1" t="s">
        <v>646</v>
      </c>
      <c r="U809" s="11" t="s">
        <v>1588</v>
      </c>
      <c r="V809" s="1" t="s">
        <v>41</v>
      </c>
      <c r="W809" s="1" t="s">
        <v>49</v>
      </c>
      <c r="Z809" s="14"/>
      <c r="AA809" s="14"/>
      <c r="AC809" s="21"/>
      <c r="AE809" s="21"/>
    </row>
    <row r="810" spans="1:31" hidden="1">
      <c r="A810" s="1">
        <v>9125100</v>
      </c>
      <c r="B810" s="1" t="s">
        <v>101</v>
      </c>
      <c r="C810" t="s">
        <v>643</v>
      </c>
      <c r="D810" s="2">
        <v>220195812</v>
      </c>
      <c r="E810" s="2">
        <v>3504001400030</v>
      </c>
      <c r="F810" s="1" t="s">
        <v>647</v>
      </c>
      <c r="G810" s="1" t="s">
        <v>53</v>
      </c>
      <c r="H810" s="1" t="s">
        <v>585</v>
      </c>
      <c r="I810" s="1" t="s">
        <v>586</v>
      </c>
      <c r="J810" s="1" t="s">
        <v>46</v>
      </c>
      <c r="K810" t="s">
        <v>650</v>
      </c>
      <c r="M810" s="1" t="s">
        <v>58</v>
      </c>
      <c r="N810" s="1">
        <v>0</v>
      </c>
      <c r="O810" s="1" t="s">
        <v>105</v>
      </c>
      <c r="P810" s="11" t="s">
        <v>1589</v>
      </c>
      <c r="R810" s="1">
        <v>4</v>
      </c>
      <c r="T810" s="1" t="s">
        <v>646</v>
      </c>
      <c r="U810" s="11" t="s">
        <v>1590</v>
      </c>
      <c r="V810" s="1" t="s">
        <v>41</v>
      </c>
      <c r="W810" s="1" t="s">
        <v>49</v>
      </c>
      <c r="Z810" s="14"/>
      <c r="AA810" s="14"/>
      <c r="AC810" s="21"/>
      <c r="AE810" s="21"/>
    </row>
    <row r="811" spans="1:31" hidden="1">
      <c r="A811" s="1">
        <v>9125015</v>
      </c>
      <c r="B811" s="1" t="s">
        <v>101</v>
      </c>
      <c r="C811" t="s">
        <v>643</v>
      </c>
      <c r="D811" s="2">
        <v>220195498</v>
      </c>
      <c r="E811" s="2">
        <v>2326001400030</v>
      </c>
      <c r="F811" s="1" t="s">
        <v>647</v>
      </c>
      <c r="G811" s="1" t="s">
        <v>53</v>
      </c>
      <c r="H811" s="1" t="s">
        <v>191</v>
      </c>
      <c r="I811" s="1" t="s">
        <v>192</v>
      </c>
      <c r="J811" s="1" t="s">
        <v>46</v>
      </c>
      <c r="K811" t="s">
        <v>650</v>
      </c>
      <c r="M811" s="1" t="s">
        <v>58</v>
      </c>
      <c r="N811" s="1">
        <v>0</v>
      </c>
      <c r="O811" s="1" t="s">
        <v>105</v>
      </c>
      <c r="P811" s="11" t="s">
        <v>1591</v>
      </c>
      <c r="R811" s="1">
        <v>4</v>
      </c>
      <c r="T811" s="1" t="s">
        <v>646</v>
      </c>
      <c r="U811" s="11" t="s">
        <v>1592</v>
      </c>
      <c r="V811" s="1" t="s">
        <v>41</v>
      </c>
      <c r="W811" s="1" t="s">
        <v>49</v>
      </c>
      <c r="Z811" s="14"/>
      <c r="AA811" s="14"/>
      <c r="AC811" s="21"/>
      <c r="AE811" s="21"/>
    </row>
    <row r="812" spans="1:31" hidden="1">
      <c r="A812" s="1">
        <v>9124937</v>
      </c>
      <c r="B812" s="1" t="s">
        <v>101</v>
      </c>
      <c r="C812" t="s">
        <v>643</v>
      </c>
      <c r="D812" s="2">
        <v>220195443</v>
      </c>
      <c r="E812" s="2">
        <v>2125001400030</v>
      </c>
      <c r="F812" s="1" t="s">
        <v>647</v>
      </c>
      <c r="G812" s="1" t="s">
        <v>53</v>
      </c>
      <c r="H812" s="1" t="s">
        <v>1399</v>
      </c>
      <c r="I812" s="1" t="s">
        <v>1400</v>
      </c>
      <c r="J812" s="1" t="s">
        <v>211</v>
      </c>
      <c r="K812" t="s">
        <v>650</v>
      </c>
      <c r="M812" s="1" t="s">
        <v>58</v>
      </c>
      <c r="N812" s="1">
        <v>0</v>
      </c>
      <c r="O812" s="1" t="s">
        <v>105</v>
      </c>
      <c r="P812" s="11" t="s">
        <v>1593</v>
      </c>
      <c r="R812" s="1">
        <v>4</v>
      </c>
      <c r="T812" s="1" t="s">
        <v>646</v>
      </c>
      <c r="U812" s="11" t="s">
        <v>1594</v>
      </c>
      <c r="V812" s="1" t="s">
        <v>41</v>
      </c>
      <c r="W812" s="1" t="s">
        <v>49</v>
      </c>
      <c r="Z812" s="14"/>
      <c r="AA812" s="14"/>
      <c r="AC812" s="21"/>
      <c r="AE812" s="21"/>
    </row>
    <row r="813" spans="1:31" hidden="1">
      <c r="A813" s="1">
        <v>9124924</v>
      </c>
      <c r="B813" s="1" t="s">
        <v>101</v>
      </c>
      <c r="C813" t="s">
        <v>643</v>
      </c>
      <c r="D813" s="2">
        <v>220195430</v>
      </c>
      <c r="E813" s="2">
        <v>2081001400030</v>
      </c>
      <c r="F813" s="1" t="s">
        <v>647</v>
      </c>
      <c r="G813" s="1" t="s">
        <v>53</v>
      </c>
      <c r="H813" s="1" t="s">
        <v>590</v>
      </c>
      <c r="I813" s="1" t="s">
        <v>591</v>
      </c>
      <c r="J813" s="1" t="s">
        <v>261</v>
      </c>
      <c r="K813" t="s">
        <v>650</v>
      </c>
      <c r="M813" s="1" t="s">
        <v>58</v>
      </c>
      <c r="N813" s="1">
        <v>0</v>
      </c>
      <c r="O813" s="1" t="s">
        <v>105</v>
      </c>
      <c r="P813" s="11" t="s">
        <v>1595</v>
      </c>
      <c r="R813" s="1">
        <v>4</v>
      </c>
      <c r="T813" s="1" t="s">
        <v>646</v>
      </c>
      <c r="U813" s="11" t="s">
        <v>1596</v>
      </c>
      <c r="V813" s="1" t="s">
        <v>41</v>
      </c>
      <c r="W813" s="1" t="s">
        <v>49</v>
      </c>
      <c r="Z813" s="14"/>
      <c r="AA813" s="14"/>
      <c r="AC813" s="21"/>
      <c r="AE813" s="21"/>
    </row>
    <row r="814" spans="1:31" hidden="1">
      <c r="A814" s="1">
        <v>9124894</v>
      </c>
      <c r="B814" s="1" t="s">
        <v>101</v>
      </c>
      <c r="C814" t="s">
        <v>643</v>
      </c>
      <c r="D814" s="2">
        <v>220195405</v>
      </c>
      <c r="E814" s="2">
        <v>2018001400030</v>
      </c>
      <c r="F814" s="1" t="s">
        <v>647</v>
      </c>
      <c r="G814" s="1" t="s">
        <v>53</v>
      </c>
      <c r="H814" s="1" t="s">
        <v>598</v>
      </c>
      <c r="I814" s="1" t="s">
        <v>599</v>
      </c>
      <c r="J814" s="1" t="s">
        <v>79</v>
      </c>
      <c r="K814" t="s">
        <v>650</v>
      </c>
      <c r="M814" s="1" t="s">
        <v>58</v>
      </c>
      <c r="N814" s="1">
        <v>0</v>
      </c>
      <c r="O814" s="1" t="s">
        <v>105</v>
      </c>
      <c r="P814" s="11" t="s">
        <v>1597</v>
      </c>
      <c r="R814" s="1">
        <v>4</v>
      </c>
      <c r="T814" s="1" t="s">
        <v>646</v>
      </c>
      <c r="U814" s="11" t="s">
        <v>1598</v>
      </c>
      <c r="V814" s="1" t="s">
        <v>41</v>
      </c>
      <c r="W814" s="1" t="s">
        <v>49</v>
      </c>
      <c r="Z814" s="14"/>
      <c r="AA814" s="14"/>
      <c r="AC814" s="21"/>
      <c r="AE814" s="21"/>
    </row>
    <row r="815" spans="1:31" hidden="1">
      <c r="A815" s="1">
        <v>9124865</v>
      </c>
      <c r="B815" s="1" t="s">
        <v>101</v>
      </c>
      <c r="C815" t="s">
        <v>643</v>
      </c>
      <c r="D815" s="2">
        <v>220195224</v>
      </c>
      <c r="E815" s="2">
        <v>1363001400030</v>
      </c>
      <c r="F815" s="1" t="s">
        <v>647</v>
      </c>
      <c r="G815" s="1" t="s">
        <v>53</v>
      </c>
      <c r="H815" s="1" t="s">
        <v>108</v>
      </c>
      <c r="I815" s="1" t="s">
        <v>109</v>
      </c>
      <c r="J815" s="1" t="s">
        <v>110</v>
      </c>
      <c r="K815" t="s">
        <v>650</v>
      </c>
      <c r="M815" s="1" t="s">
        <v>58</v>
      </c>
      <c r="N815" s="1">
        <v>0</v>
      </c>
      <c r="O815" s="1" t="s">
        <v>105</v>
      </c>
      <c r="P815" s="11" t="s">
        <v>1599</v>
      </c>
      <c r="R815" s="1">
        <v>4</v>
      </c>
      <c r="T815" s="1" t="s">
        <v>646</v>
      </c>
      <c r="U815" s="11" t="s">
        <v>1600</v>
      </c>
      <c r="V815" s="1" t="s">
        <v>41</v>
      </c>
      <c r="W815" s="1" t="s">
        <v>49</v>
      </c>
      <c r="Z815" s="14"/>
      <c r="AA815" s="14"/>
      <c r="AC815" s="21"/>
      <c r="AE815" s="21"/>
    </row>
    <row r="816" spans="1:31" hidden="1">
      <c r="A816" s="1">
        <v>9124835</v>
      </c>
      <c r="B816" s="1" t="s">
        <v>101</v>
      </c>
      <c r="C816" t="s">
        <v>643</v>
      </c>
      <c r="D816" s="2">
        <v>220195278</v>
      </c>
      <c r="E816" s="2">
        <v>1509001400030</v>
      </c>
      <c r="F816" s="1" t="s">
        <v>647</v>
      </c>
      <c r="G816" s="1" t="s">
        <v>53</v>
      </c>
      <c r="H816" s="1" t="s">
        <v>731</v>
      </c>
      <c r="I816" s="1" t="s">
        <v>732</v>
      </c>
      <c r="J816" s="1" t="s">
        <v>46</v>
      </c>
      <c r="K816" t="s">
        <v>650</v>
      </c>
      <c r="M816" s="1" t="s">
        <v>58</v>
      </c>
      <c r="N816" s="1">
        <v>0</v>
      </c>
      <c r="O816" s="1" t="s">
        <v>105</v>
      </c>
      <c r="P816" s="11" t="s">
        <v>1601</v>
      </c>
      <c r="R816" s="1">
        <v>4</v>
      </c>
      <c r="T816" s="1" t="s">
        <v>646</v>
      </c>
      <c r="U816" s="11" t="s">
        <v>1602</v>
      </c>
      <c r="V816" s="1" t="s">
        <v>41</v>
      </c>
      <c r="W816" s="1" t="s">
        <v>49</v>
      </c>
      <c r="Z816" s="14"/>
      <c r="AA816" s="14"/>
      <c r="AC816" s="21"/>
      <c r="AE816" s="21"/>
    </row>
    <row r="817" spans="1:31" hidden="1">
      <c r="A817" s="1">
        <v>9124788</v>
      </c>
      <c r="B817" s="1" t="s">
        <v>101</v>
      </c>
      <c r="C817" t="s">
        <v>643</v>
      </c>
      <c r="D817" s="2">
        <v>220195222</v>
      </c>
      <c r="E817" s="2">
        <v>1360001400030</v>
      </c>
      <c r="F817" s="1" t="s">
        <v>647</v>
      </c>
      <c r="G817" s="1" t="s">
        <v>53</v>
      </c>
      <c r="H817" s="1" t="s">
        <v>303</v>
      </c>
      <c r="I817" s="1" t="s">
        <v>304</v>
      </c>
      <c r="J817" s="1" t="s">
        <v>261</v>
      </c>
      <c r="K817" t="s">
        <v>650</v>
      </c>
      <c r="M817" s="1" t="s">
        <v>58</v>
      </c>
      <c r="N817" s="1">
        <v>0</v>
      </c>
      <c r="O817" s="1" t="s">
        <v>105</v>
      </c>
      <c r="P817" s="11" t="s">
        <v>1603</v>
      </c>
      <c r="R817" s="1">
        <v>4</v>
      </c>
      <c r="T817" s="1" t="s">
        <v>646</v>
      </c>
      <c r="U817" s="11" t="s">
        <v>1604</v>
      </c>
      <c r="V817" s="1" t="s">
        <v>41</v>
      </c>
      <c r="W817" s="1" t="s">
        <v>49</v>
      </c>
      <c r="Z817" s="14"/>
      <c r="AA817" s="14"/>
      <c r="AC817" s="21"/>
      <c r="AE817" s="21"/>
    </row>
    <row r="818" spans="1:31" hidden="1">
      <c r="A818" s="1">
        <v>9124763</v>
      </c>
      <c r="B818" s="1" t="s">
        <v>101</v>
      </c>
      <c r="C818" t="s">
        <v>643</v>
      </c>
      <c r="D818" s="2">
        <v>220195221</v>
      </c>
      <c r="E818" s="2">
        <v>1359001400030</v>
      </c>
      <c r="F818" s="1" t="s">
        <v>647</v>
      </c>
      <c r="G818" s="1" t="s">
        <v>53</v>
      </c>
      <c r="H818" s="1" t="s">
        <v>270</v>
      </c>
      <c r="I818" s="1" t="s">
        <v>271</v>
      </c>
      <c r="J818" s="1" t="s">
        <v>141</v>
      </c>
      <c r="K818" t="s">
        <v>650</v>
      </c>
      <c r="M818" s="1" t="s">
        <v>58</v>
      </c>
      <c r="N818" s="1">
        <v>0</v>
      </c>
      <c r="O818" s="1" t="s">
        <v>105</v>
      </c>
      <c r="P818" s="11" t="s">
        <v>1605</v>
      </c>
      <c r="R818" s="1">
        <v>4</v>
      </c>
      <c r="T818" s="1" t="s">
        <v>646</v>
      </c>
      <c r="U818" s="11" t="s">
        <v>1606</v>
      </c>
      <c r="V818" s="1" t="s">
        <v>41</v>
      </c>
      <c r="W818" s="1" t="s">
        <v>49</v>
      </c>
      <c r="Z818" s="14"/>
      <c r="AA818" s="14"/>
      <c r="AC818" s="21"/>
      <c r="AE818" s="21"/>
    </row>
    <row r="819" spans="1:31" hidden="1">
      <c r="A819" s="1">
        <v>9124743</v>
      </c>
      <c r="B819" s="1" t="s">
        <v>101</v>
      </c>
      <c r="C819" t="s">
        <v>643</v>
      </c>
      <c r="D819" s="2">
        <v>220195223</v>
      </c>
      <c r="E819" s="2">
        <v>1362001400030</v>
      </c>
      <c r="F819" s="1" t="s">
        <v>647</v>
      </c>
      <c r="G819" s="1" t="s">
        <v>53</v>
      </c>
      <c r="H819" s="1" t="s">
        <v>268</v>
      </c>
      <c r="I819" s="1" t="s">
        <v>269</v>
      </c>
      <c r="J819" s="1" t="s">
        <v>90</v>
      </c>
      <c r="K819" t="s">
        <v>650</v>
      </c>
      <c r="M819" s="1" t="s">
        <v>58</v>
      </c>
      <c r="N819" s="1">
        <v>0</v>
      </c>
      <c r="O819" s="1" t="s">
        <v>105</v>
      </c>
      <c r="P819" s="11" t="s">
        <v>1607</v>
      </c>
      <c r="R819" s="1">
        <v>4</v>
      </c>
      <c r="T819" s="1" t="s">
        <v>646</v>
      </c>
      <c r="U819" s="11" t="s">
        <v>1608</v>
      </c>
      <c r="V819" s="1" t="s">
        <v>41</v>
      </c>
      <c r="W819" s="1" t="s">
        <v>49</v>
      </c>
      <c r="Z819" s="14"/>
      <c r="AA819" s="14"/>
      <c r="AC819" s="21"/>
      <c r="AE819" s="21"/>
    </row>
    <row r="820" spans="1:31" hidden="1">
      <c r="A820" s="1">
        <v>9124708</v>
      </c>
      <c r="B820" s="1" t="s">
        <v>101</v>
      </c>
      <c r="C820" t="s">
        <v>643</v>
      </c>
      <c r="D820" s="2">
        <v>220195015</v>
      </c>
      <c r="E820" s="2">
        <v>934001400030</v>
      </c>
      <c r="F820" s="1" t="s">
        <v>647</v>
      </c>
      <c r="G820" s="1" t="s">
        <v>53</v>
      </c>
      <c r="H820" s="1" t="s">
        <v>428</v>
      </c>
      <c r="I820" s="1" t="s">
        <v>429</v>
      </c>
      <c r="J820" s="1" t="s">
        <v>46</v>
      </c>
      <c r="K820" t="s">
        <v>650</v>
      </c>
      <c r="M820" s="1" t="s">
        <v>58</v>
      </c>
      <c r="N820" s="1">
        <v>0</v>
      </c>
      <c r="O820" s="1" t="s">
        <v>105</v>
      </c>
      <c r="P820" s="11" t="s">
        <v>1609</v>
      </c>
      <c r="R820" s="1">
        <v>4</v>
      </c>
      <c r="T820" s="1" t="s">
        <v>646</v>
      </c>
      <c r="U820" s="11" t="s">
        <v>1610</v>
      </c>
      <c r="V820" s="1" t="s">
        <v>41</v>
      </c>
      <c r="W820" s="1" t="s">
        <v>49</v>
      </c>
      <c r="Z820" s="14"/>
      <c r="AA820" s="14"/>
      <c r="AC820" s="21"/>
      <c r="AE820" s="21"/>
    </row>
    <row r="821" spans="1:31" hidden="1">
      <c r="A821" s="1">
        <v>9124706</v>
      </c>
      <c r="B821" s="1" t="s">
        <v>101</v>
      </c>
      <c r="C821" t="s">
        <v>643</v>
      </c>
      <c r="D821" s="2">
        <v>220195077</v>
      </c>
      <c r="E821" s="2">
        <v>1069001400030</v>
      </c>
      <c r="F821" s="1" t="s">
        <v>647</v>
      </c>
      <c r="G821" s="1" t="s">
        <v>53</v>
      </c>
      <c r="H821" s="1" t="s">
        <v>353</v>
      </c>
      <c r="I821" s="1" t="s">
        <v>354</v>
      </c>
      <c r="J821" s="1" t="s">
        <v>211</v>
      </c>
      <c r="K821" t="s">
        <v>650</v>
      </c>
      <c r="M821" s="1" t="s">
        <v>58</v>
      </c>
      <c r="N821" s="1">
        <v>0</v>
      </c>
      <c r="O821" s="1" t="s">
        <v>105</v>
      </c>
      <c r="P821" s="11" t="s">
        <v>1611</v>
      </c>
      <c r="R821" s="1">
        <v>4</v>
      </c>
      <c r="T821" s="1" t="s">
        <v>646</v>
      </c>
      <c r="U821" s="11" t="s">
        <v>1612</v>
      </c>
      <c r="V821" s="1" t="s">
        <v>41</v>
      </c>
      <c r="W821" s="1" t="s">
        <v>49</v>
      </c>
      <c r="Z821" s="14"/>
      <c r="AA821" s="14"/>
      <c r="AC821" s="21"/>
      <c r="AE821" s="21"/>
    </row>
    <row r="822" spans="1:31" hidden="1">
      <c r="A822" s="1">
        <v>9124678</v>
      </c>
      <c r="B822" s="1" t="s">
        <v>101</v>
      </c>
      <c r="C822" t="s">
        <v>643</v>
      </c>
      <c r="D822" s="2">
        <v>220195052</v>
      </c>
      <c r="E822" s="2">
        <v>1012001400030</v>
      </c>
      <c r="F822" s="1" t="s">
        <v>647</v>
      </c>
      <c r="G822" s="1" t="s">
        <v>53</v>
      </c>
      <c r="H822" s="1" t="s">
        <v>172</v>
      </c>
      <c r="I822" s="1" t="s">
        <v>173</v>
      </c>
      <c r="J822" s="1" t="s">
        <v>164</v>
      </c>
      <c r="K822" t="s">
        <v>650</v>
      </c>
      <c r="M822" s="1" t="s">
        <v>58</v>
      </c>
      <c r="N822" s="1">
        <v>0</v>
      </c>
      <c r="O822" s="1" t="s">
        <v>105</v>
      </c>
      <c r="P822" s="11" t="s">
        <v>1613</v>
      </c>
      <c r="R822" s="1">
        <v>4</v>
      </c>
      <c r="T822" s="1" t="s">
        <v>646</v>
      </c>
      <c r="U822" s="11" t="s">
        <v>1614</v>
      </c>
      <c r="V822" s="1" t="s">
        <v>41</v>
      </c>
      <c r="W822" s="1" t="s">
        <v>49</v>
      </c>
      <c r="Z822" s="14"/>
      <c r="AA822" s="14"/>
      <c r="AC822" s="21"/>
      <c r="AE822" s="21"/>
    </row>
    <row r="823" spans="1:31" hidden="1">
      <c r="A823" s="1">
        <v>9124643</v>
      </c>
      <c r="B823" s="1" t="s">
        <v>101</v>
      </c>
      <c r="C823" t="s">
        <v>643</v>
      </c>
      <c r="D823" s="2">
        <v>220195037</v>
      </c>
      <c r="E823" s="2">
        <v>981001400030</v>
      </c>
      <c r="F823" s="1" t="s">
        <v>647</v>
      </c>
      <c r="G823" s="1" t="s">
        <v>53</v>
      </c>
      <c r="H823" s="1" t="s">
        <v>410</v>
      </c>
      <c r="I823" s="1" t="s">
        <v>411</v>
      </c>
      <c r="J823" s="1" t="s">
        <v>85</v>
      </c>
      <c r="K823" t="s">
        <v>650</v>
      </c>
      <c r="M823" s="1" t="s">
        <v>58</v>
      </c>
      <c r="N823" s="1">
        <v>0</v>
      </c>
      <c r="O823" s="1" t="s">
        <v>105</v>
      </c>
      <c r="P823" s="11" t="s">
        <v>1615</v>
      </c>
      <c r="R823" s="1">
        <v>4</v>
      </c>
      <c r="T823" s="1" t="s">
        <v>646</v>
      </c>
      <c r="U823" s="11" t="s">
        <v>1616</v>
      </c>
      <c r="V823" s="1" t="s">
        <v>41</v>
      </c>
      <c r="W823" s="1" t="s">
        <v>49</v>
      </c>
      <c r="Z823" s="14"/>
      <c r="AA823" s="14"/>
      <c r="AC823" s="21"/>
      <c r="AE823" s="21"/>
    </row>
    <row r="824" spans="1:31" hidden="1">
      <c r="A824" s="1">
        <v>9124615</v>
      </c>
      <c r="B824" s="1" t="s">
        <v>101</v>
      </c>
      <c r="C824" t="s">
        <v>643</v>
      </c>
      <c r="D824" s="2">
        <v>220195070</v>
      </c>
      <c r="E824" s="2">
        <v>1049001400030</v>
      </c>
      <c r="F824" s="1" t="s">
        <v>647</v>
      </c>
      <c r="G824" s="1" t="s">
        <v>53</v>
      </c>
      <c r="H824" s="1" t="s">
        <v>169</v>
      </c>
      <c r="I824" s="1" t="s">
        <v>170</v>
      </c>
      <c r="J824" s="1" t="s">
        <v>164</v>
      </c>
      <c r="K824" t="s">
        <v>650</v>
      </c>
      <c r="M824" s="1" t="s">
        <v>58</v>
      </c>
      <c r="N824" s="1">
        <v>0</v>
      </c>
      <c r="O824" s="1" t="s">
        <v>105</v>
      </c>
      <c r="P824" s="11" t="s">
        <v>1617</v>
      </c>
      <c r="R824" s="1">
        <v>4</v>
      </c>
      <c r="T824" s="1" t="s">
        <v>646</v>
      </c>
      <c r="U824" s="11" t="s">
        <v>1618</v>
      </c>
      <c r="V824" s="1" t="s">
        <v>41</v>
      </c>
      <c r="W824" s="1" t="s">
        <v>49</v>
      </c>
      <c r="Z824" s="14"/>
      <c r="AA824" s="14"/>
      <c r="AC824" s="21"/>
      <c r="AE824" s="21"/>
    </row>
    <row r="825" spans="1:31" hidden="1">
      <c r="A825" s="1">
        <v>9124603</v>
      </c>
      <c r="B825" s="1" t="s">
        <v>101</v>
      </c>
      <c r="C825" t="s">
        <v>643</v>
      </c>
      <c r="D825" s="2">
        <v>220195105</v>
      </c>
      <c r="E825" s="2">
        <v>1120001400030</v>
      </c>
      <c r="F825" s="1" t="s">
        <v>647</v>
      </c>
      <c r="G825" s="1" t="s">
        <v>53</v>
      </c>
      <c r="H825" s="1" t="s">
        <v>181</v>
      </c>
      <c r="I825" s="1" t="s">
        <v>182</v>
      </c>
      <c r="J825" s="1" t="s">
        <v>164</v>
      </c>
      <c r="K825" t="s">
        <v>650</v>
      </c>
      <c r="M825" s="1" t="s">
        <v>58</v>
      </c>
      <c r="N825" s="1">
        <v>0</v>
      </c>
      <c r="O825" s="1" t="s">
        <v>105</v>
      </c>
      <c r="P825" s="11" t="s">
        <v>1619</v>
      </c>
      <c r="R825" s="1">
        <v>4</v>
      </c>
      <c r="T825" s="1" t="s">
        <v>646</v>
      </c>
      <c r="U825" s="11" t="s">
        <v>1620</v>
      </c>
      <c r="V825" s="1" t="s">
        <v>41</v>
      </c>
      <c r="W825" s="1" t="s">
        <v>49</v>
      </c>
      <c r="Z825" s="14"/>
      <c r="AA825" s="14"/>
      <c r="AC825" s="21"/>
      <c r="AE825" s="21"/>
    </row>
    <row r="826" spans="1:31" hidden="1">
      <c r="A826" s="1">
        <v>9124567</v>
      </c>
      <c r="B826" s="1" t="s">
        <v>101</v>
      </c>
      <c r="C826" t="s">
        <v>643</v>
      </c>
      <c r="D826" s="2">
        <v>220194886</v>
      </c>
      <c r="E826" s="2">
        <v>710001400030</v>
      </c>
      <c r="F826" s="1" t="s">
        <v>647</v>
      </c>
      <c r="G826" s="1" t="s">
        <v>53</v>
      </c>
      <c r="H826" s="1" t="s">
        <v>390</v>
      </c>
      <c r="I826" s="1" t="s">
        <v>391</v>
      </c>
      <c r="J826" s="1" t="s">
        <v>56</v>
      </c>
      <c r="K826" t="s">
        <v>650</v>
      </c>
      <c r="M826" s="1" t="s">
        <v>58</v>
      </c>
      <c r="N826" s="1">
        <v>0</v>
      </c>
      <c r="O826" s="1" t="s">
        <v>105</v>
      </c>
      <c r="P826" s="11" t="s">
        <v>1621</v>
      </c>
      <c r="R826" s="1">
        <v>4</v>
      </c>
      <c r="T826" s="1" t="s">
        <v>646</v>
      </c>
      <c r="U826" s="11" t="s">
        <v>1622</v>
      </c>
      <c r="V826" s="1" t="s">
        <v>41</v>
      </c>
      <c r="W826" s="1" t="s">
        <v>49</v>
      </c>
      <c r="Z826" s="14"/>
      <c r="AA826" s="14"/>
      <c r="AC826" s="21"/>
      <c r="AE826" s="21"/>
    </row>
    <row r="827" spans="1:31" hidden="1">
      <c r="A827" s="1">
        <v>9124538</v>
      </c>
      <c r="B827" s="1" t="s">
        <v>101</v>
      </c>
      <c r="C827" t="s">
        <v>643</v>
      </c>
      <c r="D827" s="2">
        <v>220194887</v>
      </c>
      <c r="E827" s="2">
        <v>714001400030</v>
      </c>
      <c r="F827" s="1" t="s">
        <v>647</v>
      </c>
      <c r="G827" s="1" t="s">
        <v>53</v>
      </c>
      <c r="H827" s="1" t="s">
        <v>377</v>
      </c>
      <c r="I827" s="1" t="s">
        <v>378</v>
      </c>
      <c r="J827" s="1" t="s">
        <v>46</v>
      </c>
      <c r="K827" t="s">
        <v>650</v>
      </c>
      <c r="M827" s="1" t="s">
        <v>58</v>
      </c>
      <c r="N827" s="1">
        <v>0</v>
      </c>
      <c r="O827" s="1" t="s">
        <v>105</v>
      </c>
      <c r="P827" s="11" t="s">
        <v>1623</v>
      </c>
      <c r="R827" s="1">
        <v>4</v>
      </c>
      <c r="T827" s="1" t="s">
        <v>646</v>
      </c>
      <c r="U827" s="11" t="s">
        <v>1624</v>
      </c>
      <c r="V827" s="1" t="s">
        <v>41</v>
      </c>
      <c r="W827" s="1" t="s">
        <v>49</v>
      </c>
      <c r="Z827" s="14"/>
      <c r="AA827" s="14"/>
      <c r="AC827" s="21"/>
      <c r="AE827" s="21"/>
    </row>
    <row r="828" spans="1:31" hidden="1">
      <c r="A828" s="1">
        <v>9124463</v>
      </c>
      <c r="B828" s="1" t="s">
        <v>101</v>
      </c>
      <c r="C828" t="s">
        <v>643</v>
      </c>
      <c r="D828" s="2">
        <v>220194861</v>
      </c>
      <c r="E828" s="2">
        <v>673001400030</v>
      </c>
      <c r="F828" s="1" t="s">
        <v>647</v>
      </c>
      <c r="G828" s="1" t="s">
        <v>53</v>
      </c>
      <c r="H828" s="1" t="s">
        <v>581</v>
      </c>
      <c r="I828" s="1" t="s">
        <v>582</v>
      </c>
      <c r="J828" s="1" t="s">
        <v>110</v>
      </c>
      <c r="K828" t="s">
        <v>650</v>
      </c>
      <c r="M828" s="1" t="s">
        <v>58</v>
      </c>
      <c r="N828" s="1">
        <v>0</v>
      </c>
      <c r="O828" s="1" t="s">
        <v>105</v>
      </c>
      <c r="P828" s="11" t="s">
        <v>1625</v>
      </c>
      <c r="R828" s="1">
        <v>4</v>
      </c>
      <c r="T828" s="1" t="s">
        <v>646</v>
      </c>
      <c r="U828" s="11" t="s">
        <v>1626</v>
      </c>
      <c r="V828" s="1" t="s">
        <v>41</v>
      </c>
      <c r="W828" s="1" t="s">
        <v>49</v>
      </c>
      <c r="Z828" s="14"/>
      <c r="AA828" s="14"/>
      <c r="AC828" s="21"/>
      <c r="AE828" s="21"/>
    </row>
    <row r="829" spans="1:31" hidden="1">
      <c r="A829" s="1">
        <v>9124142</v>
      </c>
      <c r="B829" s="1" t="s">
        <v>101</v>
      </c>
      <c r="C829" t="s">
        <v>643</v>
      </c>
      <c r="D829" s="2">
        <v>220194221</v>
      </c>
      <c r="E829" s="2">
        <v>5742001400010</v>
      </c>
      <c r="F829" s="1" t="s">
        <v>936</v>
      </c>
      <c r="G829" s="1" t="s">
        <v>53</v>
      </c>
      <c r="H829" s="1" t="s">
        <v>430</v>
      </c>
      <c r="I829" s="1" t="s">
        <v>431</v>
      </c>
      <c r="J829" s="1" t="s">
        <v>79</v>
      </c>
      <c r="K829" t="s">
        <v>937</v>
      </c>
      <c r="M829" s="1" t="s">
        <v>58</v>
      </c>
      <c r="N829" s="1">
        <v>0</v>
      </c>
      <c r="O829" s="1" t="s">
        <v>105</v>
      </c>
      <c r="P829" s="11" t="s">
        <v>1627</v>
      </c>
      <c r="R829" s="1">
        <v>3</v>
      </c>
      <c r="T829" s="1" t="s">
        <v>646</v>
      </c>
      <c r="U829" s="11" t="s">
        <v>1628</v>
      </c>
      <c r="V829" s="1" t="s">
        <v>41</v>
      </c>
      <c r="W829" s="1" t="s">
        <v>49</v>
      </c>
      <c r="Z829" s="14"/>
      <c r="AA829" s="14"/>
      <c r="AC829" s="21"/>
      <c r="AE829" s="21"/>
    </row>
    <row r="830" spans="1:31" hidden="1">
      <c r="A830" s="1">
        <v>9124126</v>
      </c>
      <c r="B830" s="1" t="s">
        <v>101</v>
      </c>
      <c r="C830" t="s">
        <v>643</v>
      </c>
      <c r="D830" s="2">
        <v>220194213</v>
      </c>
      <c r="E830" s="2">
        <v>7651400010</v>
      </c>
      <c r="F830" s="1" t="s">
        <v>936</v>
      </c>
      <c r="G830" s="1" t="s">
        <v>53</v>
      </c>
      <c r="H830" s="1" t="s">
        <v>827</v>
      </c>
      <c r="I830" s="1" t="s">
        <v>828</v>
      </c>
      <c r="J830" s="1" t="s">
        <v>46</v>
      </c>
      <c r="K830" t="s">
        <v>937</v>
      </c>
      <c r="M830" s="1" t="s">
        <v>58</v>
      </c>
      <c r="N830" s="1">
        <v>0</v>
      </c>
      <c r="O830" s="1" t="s">
        <v>105</v>
      </c>
      <c r="P830" s="11" t="s">
        <v>1629</v>
      </c>
      <c r="R830" s="1">
        <v>3</v>
      </c>
      <c r="T830" s="1" t="s">
        <v>646</v>
      </c>
      <c r="U830" s="11" t="s">
        <v>1630</v>
      </c>
      <c r="V830" s="1" t="s">
        <v>41</v>
      </c>
      <c r="W830" s="1" t="s">
        <v>49</v>
      </c>
      <c r="Z830" s="14"/>
      <c r="AA830" s="14"/>
      <c r="AC830" s="21"/>
      <c r="AE830" s="21"/>
    </row>
    <row r="831" spans="1:31" hidden="1">
      <c r="A831" s="1">
        <v>9123907</v>
      </c>
      <c r="B831" s="1" t="s">
        <v>101</v>
      </c>
      <c r="C831" t="s">
        <v>643</v>
      </c>
      <c r="D831" s="2">
        <v>220193815</v>
      </c>
      <c r="E831" s="2">
        <v>3243001400010</v>
      </c>
      <c r="F831" s="1" t="s">
        <v>936</v>
      </c>
      <c r="G831" s="1" t="s">
        <v>53</v>
      </c>
      <c r="H831" s="1" t="s">
        <v>282</v>
      </c>
      <c r="I831" s="1" t="s">
        <v>283</v>
      </c>
      <c r="J831" s="1" t="s">
        <v>46</v>
      </c>
      <c r="K831" t="s">
        <v>937</v>
      </c>
      <c r="M831" s="1" t="s">
        <v>58</v>
      </c>
      <c r="N831" s="1">
        <v>0</v>
      </c>
      <c r="O831" s="1" t="s">
        <v>105</v>
      </c>
      <c r="P831" s="11" t="s">
        <v>1631</v>
      </c>
      <c r="R831" s="1">
        <v>3</v>
      </c>
      <c r="T831" s="1" t="s">
        <v>646</v>
      </c>
      <c r="U831" s="11" t="s">
        <v>1632</v>
      </c>
      <c r="V831" s="1" t="s">
        <v>41</v>
      </c>
      <c r="W831" s="1" t="s">
        <v>49</v>
      </c>
      <c r="Z831" s="14"/>
      <c r="AA831" s="14"/>
      <c r="AC831" s="21"/>
      <c r="AE831" s="21"/>
    </row>
    <row r="832" spans="1:31" hidden="1">
      <c r="A832" s="1">
        <v>9123817</v>
      </c>
      <c r="B832" s="1" t="s">
        <v>101</v>
      </c>
      <c r="C832" t="s">
        <v>643</v>
      </c>
      <c r="D832" s="2">
        <v>220193863</v>
      </c>
      <c r="E832" s="2">
        <v>3504001400010</v>
      </c>
      <c r="F832" s="1" t="s">
        <v>936</v>
      </c>
      <c r="G832" s="1" t="s">
        <v>53</v>
      </c>
      <c r="H832" s="1" t="s">
        <v>585</v>
      </c>
      <c r="I832" s="1" t="s">
        <v>586</v>
      </c>
      <c r="J832" s="1" t="s">
        <v>46</v>
      </c>
      <c r="K832" t="s">
        <v>937</v>
      </c>
      <c r="M832" s="1" t="s">
        <v>58</v>
      </c>
      <c r="N832" s="1">
        <v>0</v>
      </c>
      <c r="O832" s="1" t="s">
        <v>105</v>
      </c>
      <c r="P832" s="11" t="s">
        <v>1633</v>
      </c>
      <c r="R832" s="1">
        <v>3</v>
      </c>
      <c r="T832" s="1" t="s">
        <v>646</v>
      </c>
      <c r="U832" s="11" t="s">
        <v>1634</v>
      </c>
      <c r="V832" s="1" t="s">
        <v>41</v>
      </c>
      <c r="W832" s="1" t="s">
        <v>49</v>
      </c>
      <c r="Z832" s="14"/>
      <c r="AA832" s="14"/>
      <c r="AC832" s="21"/>
      <c r="AE832" s="21"/>
    </row>
    <row r="833" spans="1:31" hidden="1">
      <c r="A833" s="1">
        <v>9123799</v>
      </c>
      <c r="B833" s="1" t="s">
        <v>101</v>
      </c>
      <c r="C833" t="s">
        <v>643</v>
      </c>
      <c r="D833" s="2">
        <v>220193693</v>
      </c>
      <c r="E833" s="2">
        <v>2693001400010</v>
      </c>
      <c r="F833" s="1" t="s">
        <v>936</v>
      </c>
      <c r="G833" s="1" t="s">
        <v>53</v>
      </c>
      <c r="H833" s="1" t="s">
        <v>253</v>
      </c>
      <c r="I833" s="1" t="s">
        <v>254</v>
      </c>
      <c r="J833" s="1" t="s">
        <v>56</v>
      </c>
      <c r="K833" t="s">
        <v>937</v>
      </c>
      <c r="M833" s="1" t="s">
        <v>58</v>
      </c>
      <c r="N833" s="1">
        <v>0</v>
      </c>
      <c r="O833" s="1" t="s">
        <v>105</v>
      </c>
      <c r="P833" s="11" t="s">
        <v>1635</v>
      </c>
      <c r="R833" s="1">
        <v>3</v>
      </c>
      <c r="T833" s="1" t="s">
        <v>646</v>
      </c>
      <c r="U833" s="11" t="s">
        <v>1636</v>
      </c>
      <c r="V833" s="1" t="s">
        <v>41</v>
      </c>
      <c r="W833" s="1" t="s">
        <v>49</v>
      </c>
      <c r="Z833" s="14"/>
      <c r="AA833" s="14"/>
      <c r="AC833" s="21"/>
      <c r="AE833" s="21"/>
    </row>
    <row r="834" spans="1:31" hidden="1">
      <c r="A834" s="1">
        <v>9123759</v>
      </c>
      <c r="B834" s="1" t="s">
        <v>101</v>
      </c>
      <c r="C834" t="s">
        <v>643</v>
      </c>
      <c r="D834" s="2">
        <v>220193661</v>
      </c>
      <c r="E834" s="2">
        <v>2564001400010</v>
      </c>
      <c r="F834" s="1" t="s">
        <v>936</v>
      </c>
      <c r="G834" s="1" t="s">
        <v>53</v>
      </c>
      <c r="H834" s="1" t="s">
        <v>255</v>
      </c>
      <c r="I834" s="1" t="s">
        <v>256</v>
      </c>
      <c r="J834" s="1" t="s">
        <v>164</v>
      </c>
      <c r="K834" t="s">
        <v>937</v>
      </c>
      <c r="M834" s="1" t="s">
        <v>58</v>
      </c>
      <c r="N834" s="1">
        <v>0</v>
      </c>
      <c r="O834" s="1" t="s">
        <v>105</v>
      </c>
      <c r="P834" s="11" t="s">
        <v>1637</v>
      </c>
      <c r="R834" s="1">
        <v>3</v>
      </c>
      <c r="T834" s="1" t="s">
        <v>646</v>
      </c>
      <c r="U834" s="11" t="s">
        <v>1638</v>
      </c>
      <c r="V834" s="1" t="s">
        <v>41</v>
      </c>
      <c r="W834" s="1" t="s">
        <v>49</v>
      </c>
      <c r="Z834" s="14"/>
      <c r="AA834" s="14"/>
      <c r="AC834" s="21"/>
      <c r="AE834" s="21"/>
    </row>
    <row r="835" spans="1:31" hidden="1">
      <c r="A835" s="1">
        <v>9123743</v>
      </c>
      <c r="B835" s="1" t="s">
        <v>101</v>
      </c>
      <c r="C835" t="s">
        <v>643</v>
      </c>
      <c r="D835" s="2">
        <v>220193649</v>
      </c>
      <c r="E835" s="2">
        <v>2529001400010</v>
      </c>
      <c r="F835" s="1" t="s">
        <v>936</v>
      </c>
      <c r="G835" s="1" t="s">
        <v>53</v>
      </c>
      <c r="H835" s="1" t="s">
        <v>355</v>
      </c>
      <c r="I835" s="1" t="s">
        <v>356</v>
      </c>
      <c r="J835" s="1" t="s">
        <v>56</v>
      </c>
      <c r="K835" t="s">
        <v>937</v>
      </c>
      <c r="M835" s="1" t="s">
        <v>58</v>
      </c>
      <c r="N835" s="1">
        <v>0</v>
      </c>
      <c r="O835" s="1" t="s">
        <v>105</v>
      </c>
      <c r="P835" s="11" t="s">
        <v>1639</v>
      </c>
      <c r="R835" s="1">
        <v>3</v>
      </c>
      <c r="T835" s="1" t="s">
        <v>646</v>
      </c>
      <c r="U835" s="11" t="s">
        <v>1640</v>
      </c>
      <c r="V835" s="1" t="s">
        <v>41</v>
      </c>
      <c r="W835" s="1" t="s">
        <v>49</v>
      </c>
      <c r="Z835" s="14"/>
      <c r="AA835" s="14"/>
      <c r="AC835" s="21"/>
      <c r="AE835" s="21"/>
    </row>
    <row r="836" spans="1:31" hidden="1">
      <c r="A836" s="1">
        <v>9123722</v>
      </c>
      <c r="B836" s="1" t="s">
        <v>101</v>
      </c>
      <c r="C836" t="s">
        <v>643</v>
      </c>
      <c r="D836" s="2">
        <v>220193628</v>
      </c>
      <c r="E836" s="2">
        <v>2473001400010</v>
      </c>
      <c r="F836" s="1" t="s">
        <v>936</v>
      </c>
      <c r="G836" s="1" t="s">
        <v>53</v>
      </c>
      <c r="H836" s="1" t="s">
        <v>1459</v>
      </c>
      <c r="I836" s="1" t="s">
        <v>1460</v>
      </c>
      <c r="J836" s="1" t="s">
        <v>261</v>
      </c>
      <c r="K836" t="s">
        <v>937</v>
      </c>
      <c r="M836" s="1" t="s">
        <v>58</v>
      </c>
      <c r="N836" s="1">
        <v>0</v>
      </c>
      <c r="O836" s="1" t="s">
        <v>105</v>
      </c>
      <c r="P836" s="11" t="s">
        <v>1641</v>
      </c>
      <c r="R836" s="1">
        <v>3</v>
      </c>
      <c r="T836" s="1" t="s">
        <v>646</v>
      </c>
      <c r="U836" s="11" t="s">
        <v>1642</v>
      </c>
      <c r="V836" s="1" t="s">
        <v>41</v>
      </c>
      <c r="W836" s="1" t="s">
        <v>49</v>
      </c>
      <c r="Z836" s="14"/>
      <c r="AA836" s="14"/>
      <c r="AC836" s="21"/>
      <c r="AE836" s="21"/>
    </row>
    <row r="837" spans="1:31" hidden="1">
      <c r="A837" s="1">
        <v>9123696</v>
      </c>
      <c r="B837" s="1" t="s">
        <v>101</v>
      </c>
      <c r="C837" t="s">
        <v>643</v>
      </c>
      <c r="D837" s="2">
        <v>220193610</v>
      </c>
      <c r="E837" s="2">
        <v>2413001400010</v>
      </c>
      <c r="F837" s="1" t="s">
        <v>936</v>
      </c>
      <c r="G837" s="1" t="s">
        <v>53</v>
      </c>
      <c r="H837" s="1" t="s">
        <v>505</v>
      </c>
      <c r="I837" s="1" t="s">
        <v>506</v>
      </c>
      <c r="J837" s="1" t="s">
        <v>141</v>
      </c>
      <c r="K837" t="s">
        <v>937</v>
      </c>
      <c r="M837" s="1" t="s">
        <v>58</v>
      </c>
      <c r="N837" s="1">
        <v>0</v>
      </c>
      <c r="O837" s="1" t="s">
        <v>105</v>
      </c>
      <c r="P837" s="11" t="s">
        <v>1643</v>
      </c>
      <c r="R837" s="1">
        <v>3</v>
      </c>
      <c r="T837" s="1" t="s">
        <v>646</v>
      </c>
      <c r="U837" s="11" t="s">
        <v>1644</v>
      </c>
      <c r="V837" s="1" t="s">
        <v>41</v>
      </c>
      <c r="W837" s="1" t="s">
        <v>49</v>
      </c>
      <c r="Z837" s="14"/>
      <c r="AA837" s="14"/>
      <c r="AC837" s="21"/>
      <c r="AE837" s="21"/>
    </row>
    <row r="838" spans="1:31" hidden="1">
      <c r="A838" s="1">
        <v>9123651</v>
      </c>
      <c r="B838" s="1" t="s">
        <v>101</v>
      </c>
      <c r="C838" t="s">
        <v>643</v>
      </c>
      <c r="D838" s="2">
        <v>220193532</v>
      </c>
      <c r="E838" s="2">
        <v>2125001400010</v>
      </c>
      <c r="F838" s="1" t="s">
        <v>936</v>
      </c>
      <c r="G838" s="1" t="s">
        <v>53</v>
      </c>
      <c r="H838" s="1" t="s">
        <v>1399</v>
      </c>
      <c r="I838" s="1" t="s">
        <v>1400</v>
      </c>
      <c r="J838" s="1" t="s">
        <v>211</v>
      </c>
      <c r="K838" t="s">
        <v>937</v>
      </c>
      <c r="M838" s="1" t="s">
        <v>58</v>
      </c>
      <c r="N838" s="1">
        <v>0</v>
      </c>
      <c r="O838" s="1" t="s">
        <v>105</v>
      </c>
      <c r="P838" s="11" t="s">
        <v>1645</v>
      </c>
      <c r="R838" s="1">
        <v>3</v>
      </c>
      <c r="T838" s="1" t="s">
        <v>646</v>
      </c>
      <c r="U838" s="11" t="s">
        <v>1646</v>
      </c>
      <c r="V838" s="1" t="s">
        <v>41</v>
      </c>
      <c r="W838" s="1" t="s">
        <v>49</v>
      </c>
      <c r="Z838" s="14"/>
      <c r="AA838" s="14"/>
      <c r="AC838" s="21"/>
      <c r="AE838" s="21"/>
    </row>
    <row r="839" spans="1:31" hidden="1">
      <c r="A839" s="1">
        <v>9123585</v>
      </c>
      <c r="B839" s="1" t="s">
        <v>101</v>
      </c>
      <c r="C839" t="s">
        <v>643</v>
      </c>
      <c r="D839" s="2">
        <v>220193497</v>
      </c>
      <c r="E839" s="2">
        <v>2018001400010</v>
      </c>
      <c r="F839" s="1" t="s">
        <v>936</v>
      </c>
      <c r="G839" s="1" t="s">
        <v>53</v>
      </c>
      <c r="H839" s="1" t="s">
        <v>598</v>
      </c>
      <c r="I839" s="1" t="s">
        <v>599</v>
      </c>
      <c r="J839" s="1" t="s">
        <v>79</v>
      </c>
      <c r="K839" t="s">
        <v>937</v>
      </c>
      <c r="M839" s="1" t="s">
        <v>58</v>
      </c>
      <c r="N839" s="1">
        <v>0</v>
      </c>
      <c r="O839" s="1" t="s">
        <v>105</v>
      </c>
      <c r="P839" s="11" t="s">
        <v>1647</v>
      </c>
      <c r="R839" s="1">
        <v>3</v>
      </c>
      <c r="T839" s="1" t="s">
        <v>646</v>
      </c>
      <c r="U839" s="11" t="s">
        <v>1648</v>
      </c>
      <c r="V839" s="1" t="s">
        <v>41</v>
      </c>
      <c r="W839" s="1" t="s">
        <v>49</v>
      </c>
      <c r="Z839" s="14"/>
      <c r="AA839" s="14"/>
      <c r="AC839" s="21"/>
      <c r="AE839" s="21"/>
    </row>
    <row r="840" spans="1:31" hidden="1">
      <c r="A840" s="1">
        <v>9123569</v>
      </c>
      <c r="B840" s="1" t="s">
        <v>101</v>
      </c>
      <c r="C840" t="s">
        <v>643</v>
      </c>
      <c r="D840" s="2">
        <v>220193370</v>
      </c>
      <c r="E840" s="2">
        <v>1509001400010</v>
      </c>
      <c r="F840" s="1" t="s">
        <v>936</v>
      </c>
      <c r="G840" s="1" t="s">
        <v>53</v>
      </c>
      <c r="H840" s="1" t="s">
        <v>731</v>
      </c>
      <c r="I840" s="1" t="s">
        <v>732</v>
      </c>
      <c r="J840" s="1" t="s">
        <v>46</v>
      </c>
      <c r="K840" t="s">
        <v>937</v>
      </c>
      <c r="M840" s="1" t="s">
        <v>58</v>
      </c>
      <c r="N840" s="1">
        <v>0</v>
      </c>
      <c r="O840" s="1" t="s">
        <v>105</v>
      </c>
      <c r="P840" s="11" t="s">
        <v>1649</v>
      </c>
      <c r="R840" s="1">
        <v>3</v>
      </c>
      <c r="T840" s="1" t="s">
        <v>646</v>
      </c>
      <c r="U840" s="11" t="s">
        <v>1650</v>
      </c>
      <c r="V840" s="1" t="s">
        <v>41</v>
      </c>
      <c r="W840" s="1" t="s">
        <v>49</v>
      </c>
      <c r="Z840" s="14"/>
      <c r="AA840" s="14"/>
      <c r="AC840" s="21"/>
      <c r="AE840" s="21"/>
    </row>
    <row r="841" spans="1:31" hidden="1">
      <c r="A841" s="1">
        <v>9123507</v>
      </c>
      <c r="B841" s="1" t="s">
        <v>101</v>
      </c>
      <c r="C841" t="s">
        <v>643</v>
      </c>
      <c r="D841" s="2">
        <v>220193316</v>
      </c>
      <c r="E841" s="2">
        <v>1363001400010</v>
      </c>
      <c r="F841" s="1" t="s">
        <v>936</v>
      </c>
      <c r="G841" s="1" t="s">
        <v>53</v>
      </c>
      <c r="H841" s="1" t="s">
        <v>108</v>
      </c>
      <c r="I841" s="1" t="s">
        <v>109</v>
      </c>
      <c r="J841" s="1" t="s">
        <v>110</v>
      </c>
      <c r="K841" t="s">
        <v>937</v>
      </c>
      <c r="M841" s="1" t="s">
        <v>58</v>
      </c>
      <c r="N841" s="1">
        <v>0</v>
      </c>
      <c r="O841" s="1" t="s">
        <v>105</v>
      </c>
      <c r="P841" s="11" t="s">
        <v>1651</v>
      </c>
      <c r="R841" s="1">
        <v>3</v>
      </c>
      <c r="T841" s="1" t="s">
        <v>646</v>
      </c>
      <c r="U841" s="11" t="s">
        <v>1652</v>
      </c>
      <c r="V841" s="1" t="s">
        <v>41</v>
      </c>
      <c r="W841" s="1" t="s">
        <v>49</v>
      </c>
      <c r="Z841" s="14"/>
      <c r="AA841" s="14"/>
      <c r="AC841" s="21"/>
      <c r="AE841" s="21"/>
    </row>
    <row r="842" spans="1:31" hidden="1">
      <c r="A842" s="1">
        <v>9123506</v>
      </c>
      <c r="B842" s="1" t="s">
        <v>101</v>
      </c>
      <c r="C842" t="s">
        <v>643</v>
      </c>
      <c r="D842" s="2">
        <v>220193315</v>
      </c>
      <c r="E842" s="2">
        <v>1362001400010</v>
      </c>
      <c r="F842" s="1" t="s">
        <v>936</v>
      </c>
      <c r="G842" s="1" t="s">
        <v>53</v>
      </c>
      <c r="H842" s="1" t="s">
        <v>268</v>
      </c>
      <c r="I842" s="1" t="s">
        <v>269</v>
      </c>
      <c r="J842" s="1" t="s">
        <v>90</v>
      </c>
      <c r="K842" t="s">
        <v>937</v>
      </c>
      <c r="M842" s="1" t="s">
        <v>58</v>
      </c>
      <c r="N842" s="1">
        <v>0</v>
      </c>
      <c r="O842" s="1" t="s">
        <v>105</v>
      </c>
      <c r="P842" s="11" t="s">
        <v>1653</v>
      </c>
      <c r="R842" s="1">
        <v>3</v>
      </c>
      <c r="T842" s="1" t="s">
        <v>646</v>
      </c>
      <c r="U842" s="11" t="s">
        <v>1654</v>
      </c>
      <c r="V842" s="1" t="s">
        <v>41</v>
      </c>
      <c r="W842" s="1" t="s">
        <v>49</v>
      </c>
      <c r="Z842" s="14"/>
      <c r="AA842" s="14"/>
      <c r="AC842" s="21"/>
      <c r="AE842" s="21"/>
    </row>
    <row r="843" spans="1:31" hidden="1">
      <c r="A843" s="1">
        <v>9123505</v>
      </c>
      <c r="B843" s="1" t="s">
        <v>101</v>
      </c>
      <c r="C843" t="s">
        <v>643</v>
      </c>
      <c r="D843" s="2">
        <v>220193314</v>
      </c>
      <c r="E843" s="2">
        <v>1360001400010</v>
      </c>
      <c r="F843" s="1" t="s">
        <v>936</v>
      </c>
      <c r="G843" s="1" t="s">
        <v>53</v>
      </c>
      <c r="H843" s="1" t="s">
        <v>303</v>
      </c>
      <c r="I843" s="1" t="s">
        <v>304</v>
      </c>
      <c r="J843" s="1" t="s">
        <v>261</v>
      </c>
      <c r="K843" t="s">
        <v>937</v>
      </c>
      <c r="M843" s="1" t="s">
        <v>58</v>
      </c>
      <c r="N843" s="1">
        <v>0</v>
      </c>
      <c r="O843" s="1" t="s">
        <v>105</v>
      </c>
      <c r="P843" s="11" t="s">
        <v>1655</v>
      </c>
      <c r="R843" s="1">
        <v>3</v>
      </c>
      <c r="T843" s="1" t="s">
        <v>646</v>
      </c>
      <c r="U843" s="11" t="s">
        <v>1656</v>
      </c>
      <c r="V843" s="1" t="s">
        <v>41</v>
      </c>
      <c r="W843" s="1" t="s">
        <v>49</v>
      </c>
      <c r="Z843" s="14"/>
      <c r="AA843" s="14"/>
      <c r="AC843" s="21"/>
      <c r="AE843" s="21"/>
    </row>
    <row r="844" spans="1:31" hidden="1">
      <c r="A844" s="1">
        <v>9123504</v>
      </c>
      <c r="B844" s="1" t="s">
        <v>101</v>
      </c>
      <c r="C844" t="s">
        <v>643</v>
      </c>
      <c r="D844" s="2">
        <v>220193313</v>
      </c>
      <c r="E844" s="2">
        <v>1359001400010</v>
      </c>
      <c r="F844" s="1" t="s">
        <v>936</v>
      </c>
      <c r="G844" s="1" t="s">
        <v>53</v>
      </c>
      <c r="H844" s="1" t="s">
        <v>270</v>
      </c>
      <c r="I844" s="1" t="s">
        <v>271</v>
      </c>
      <c r="J844" s="1" t="s">
        <v>141</v>
      </c>
      <c r="K844" t="s">
        <v>937</v>
      </c>
      <c r="M844" s="1" t="s">
        <v>58</v>
      </c>
      <c r="N844" s="1">
        <v>0</v>
      </c>
      <c r="O844" s="1" t="s">
        <v>105</v>
      </c>
      <c r="P844" s="11" t="s">
        <v>1657</v>
      </c>
      <c r="R844" s="1">
        <v>3</v>
      </c>
      <c r="T844" s="1" t="s">
        <v>646</v>
      </c>
      <c r="U844" s="11" t="s">
        <v>1658</v>
      </c>
      <c r="V844" s="1" t="s">
        <v>41</v>
      </c>
      <c r="W844" s="1" t="s">
        <v>49</v>
      </c>
      <c r="Z844" s="14"/>
      <c r="AA844" s="14"/>
      <c r="AC844" s="21"/>
      <c r="AE844" s="21"/>
    </row>
    <row r="845" spans="1:31" hidden="1">
      <c r="A845" s="1">
        <v>9123455</v>
      </c>
      <c r="B845" s="1" t="s">
        <v>101</v>
      </c>
      <c r="C845" t="s">
        <v>643</v>
      </c>
      <c r="D845" s="2">
        <v>220193276</v>
      </c>
      <c r="E845" s="2">
        <v>1291001400010</v>
      </c>
      <c r="F845" s="1" t="s">
        <v>936</v>
      </c>
      <c r="G845" s="1" t="s">
        <v>53</v>
      </c>
      <c r="H845" s="1" t="s">
        <v>136</v>
      </c>
      <c r="I845" s="1" t="s">
        <v>137</v>
      </c>
      <c r="J845" s="1" t="s">
        <v>33</v>
      </c>
      <c r="K845" t="s">
        <v>937</v>
      </c>
      <c r="M845" s="1" t="s">
        <v>58</v>
      </c>
      <c r="N845" s="1">
        <v>0</v>
      </c>
      <c r="O845" s="1" t="s">
        <v>105</v>
      </c>
      <c r="P845" s="11" t="s">
        <v>1659</v>
      </c>
      <c r="R845" s="1">
        <v>3</v>
      </c>
      <c r="T845" s="1" t="s">
        <v>646</v>
      </c>
      <c r="U845" s="11" t="s">
        <v>1660</v>
      </c>
      <c r="V845" s="1" t="s">
        <v>41</v>
      </c>
      <c r="W845" s="1" t="s">
        <v>42</v>
      </c>
      <c r="Z845" s="14"/>
      <c r="AA845" s="14"/>
      <c r="AC845" s="21"/>
      <c r="AE845" s="21"/>
    </row>
    <row r="846" spans="1:31" hidden="1">
      <c r="A846" s="1">
        <v>9123430</v>
      </c>
      <c r="B846" s="1" t="s">
        <v>101</v>
      </c>
      <c r="C846" t="s">
        <v>643</v>
      </c>
      <c r="D846" s="2">
        <v>220193099</v>
      </c>
      <c r="E846" s="2">
        <v>922001400010</v>
      </c>
      <c r="F846" s="1" t="s">
        <v>936</v>
      </c>
      <c r="G846" s="1" t="s">
        <v>53</v>
      </c>
      <c r="H846" s="1" t="s">
        <v>1375</v>
      </c>
      <c r="I846" s="1" t="s">
        <v>1376</v>
      </c>
      <c r="J846" s="1" t="s">
        <v>261</v>
      </c>
      <c r="K846" t="s">
        <v>937</v>
      </c>
      <c r="M846" s="1" t="s">
        <v>58</v>
      </c>
      <c r="N846" s="1">
        <v>0</v>
      </c>
      <c r="O846" s="1" t="s">
        <v>105</v>
      </c>
      <c r="P846" s="11" t="s">
        <v>1661</v>
      </c>
      <c r="R846" s="1">
        <v>3</v>
      </c>
      <c r="T846" s="1" t="s">
        <v>646</v>
      </c>
      <c r="U846" s="11" t="s">
        <v>1662</v>
      </c>
      <c r="V846" s="1" t="s">
        <v>41</v>
      </c>
      <c r="W846" s="1" t="s">
        <v>49</v>
      </c>
      <c r="Z846" s="14"/>
      <c r="AA846" s="14"/>
      <c r="AC846" s="21"/>
      <c r="AE846" s="21"/>
    </row>
    <row r="847" spans="1:31" hidden="1">
      <c r="A847" s="1">
        <v>9123424</v>
      </c>
      <c r="B847" s="1" t="s">
        <v>101</v>
      </c>
      <c r="C847" t="s">
        <v>643</v>
      </c>
      <c r="D847" s="2">
        <v>220193097</v>
      </c>
      <c r="E847" s="2">
        <v>917001400010</v>
      </c>
      <c r="F847" s="1" t="s">
        <v>936</v>
      </c>
      <c r="G847" s="1" t="s">
        <v>53</v>
      </c>
      <c r="H847" s="1" t="s">
        <v>83</v>
      </c>
      <c r="I847" s="1" t="s">
        <v>84</v>
      </c>
      <c r="J847" s="1" t="s">
        <v>85</v>
      </c>
      <c r="K847" t="s">
        <v>937</v>
      </c>
      <c r="M847" s="1" t="s">
        <v>58</v>
      </c>
      <c r="N847" s="1">
        <v>0</v>
      </c>
      <c r="O847" s="1" t="s">
        <v>105</v>
      </c>
      <c r="P847" s="11" t="s">
        <v>1663</v>
      </c>
      <c r="R847" s="1">
        <v>3</v>
      </c>
      <c r="T847" s="1" t="s">
        <v>646</v>
      </c>
      <c r="U847" s="11" t="s">
        <v>1664</v>
      </c>
      <c r="V847" s="1" t="s">
        <v>41</v>
      </c>
      <c r="W847" s="1" t="s">
        <v>49</v>
      </c>
      <c r="Z847" s="14"/>
      <c r="AA847" s="14"/>
      <c r="AC847" s="21"/>
      <c r="AE847" s="21"/>
    </row>
    <row r="848" spans="1:31" hidden="1">
      <c r="A848" s="1">
        <v>9123416</v>
      </c>
      <c r="B848" s="1" t="s">
        <v>101</v>
      </c>
      <c r="C848" t="s">
        <v>643</v>
      </c>
      <c r="D848" s="2">
        <v>220193110</v>
      </c>
      <c r="E848" s="2">
        <v>934001400010</v>
      </c>
      <c r="F848" s="1" t="s">
        <v>936</v>
      </c>
      <c r="G848" s="1" t="s">
        <v>53</v>
      </c>
      <c r="H848" s="1" t="s">
        <v>428</v>
      </c>
      <c r="I848" s="1" t="s">
        <v>429</v>
      </c>
      <c r="J848" s="1" t="s">
        <v>46</v>
      </c>
      <c r="K848" t="s">
        <v>937</v>
      </c>
      <c r="M848" s="1" t="s">
        <v>58</v>
      </c>
      <c r="N848" s="1">
        <v>0</v>
      </c>
      <c r="O848" s="1" t="s">
        <v>105</v>
      </c>
      <c r="P848" s="11" t="s">
        <v>1665</v>
      </c>
      <c r="R848" s="1">
        <v>3</v>
      </c>
      <c r="T848" s="1" t="s">
        <v>646</v>
      </c>
      <c r="U848" s="11" t="s">
        <v>1666</v>
      </c>
      <c r="V848" s="1" t="s">
        <v>41</v>
      </c>
      <c r="W848" s="1" t="s">
        <v>49</v>
      </c>
      <c r="Z848" s="14"/>
      <c r="AA848" s="14"/>
      <c r="AC848" s="21"/>
      <c r="AE848" s="21"/>
    </row>
    <row r="849" spans="1:31" hidden="1">
      <c r="A849" s="1">
        <v>9123392</v>
      </c>
      <c r="B849" s="1" t="s">
        <v>101</v>
      </c>
      <c r="C849" t="s">
        <v>643</v>
      </c>
      <c r="D849" s="2">
        <v>220193089</v>
      </c>
      <c r="E849" s="2">
        <v>899001400010</v>
      </c>
      <c r="F849" s="1" t="s">
        <v>936</v>
      </c>
      <c r="G849" s="1" t="s">
        <v>53</v>
      </c>
      <c r="H849" s="1" t="s">
        <v>175</v>
      </c>
      <c r="I849" s="1" t="s">
        <v>176</v>
      </c>
      <c r="J849" s="1" t="s">
        <v>90</v>
      </c>
      <c r="K849" t="s">
        <v>937</v>
      </c>
      <c r="M849" s="1" t="s">
        <v>58</v>
      </c>
      <c r="N849" s="1">
        <v>0</v>
      </c>
      <c r="O849" s="1" t="s">
        <v>36</v>
      </c>
      <c r="P849" s="11" t="s">
        <v>1667</v>
      </c>
      <c r="R849" s="1">
        <v>3</v>
      </c>
      <c r="T849" s="1" t="s">
        <v>646</v>
      </c>
      <c r="U849" s="11" t="s">
        <v>1668</v>
      </c>
      <c r="V849" s="1" t="s">
        <v>41</v>
      </c>
      <c r="W849" s="1" t="s">
        <v>49</v>
      </c>
      <c r="Z849" s="14"/>
      <c r="AA849" s="14"/>
      <c r="AC849" s="21"/>
      <c r="AE849" s="21"/>
    </row>
    <row r="850" spans="1:31" hidden="1">
      <c r="A850" s="1">
        <v>9123373</v>
      </c>
      <c r="B850" s="1" t="s">
        <v>101</v>
      </c>
      <c r="C850" t="s">
        <v>643</v>
      </c>
      <c r="D850" s="2">
        <v>220193054</v>
      </c>
      <c r="E850" s="2">
        <v>834001400010</v>
      </c>
      <c r="F850" s="1" t="s">
        <v>936</v>
      </c>
      <c r="G850" s="1" t="s">
        <v>53</v>
      </c>
      <c r="H850" s="1" t="s">
        <v>367</v>
      </c>
      <c r="I850" s="1" t="s">
        <v>368</v>
      </c>
      <c r="J850" s="1" t="s">
        <v>261</v>
      </c>
      <c r="K850" t="s">
        <v>937</v>
      </c>
      <c r="M850" s="1" t="s">
        <v>58</v>
      </c>
      <c r="N850" s="1">
        <v>0</v>
      </c>
      <c r="O850" s="1" t="s">
        <v>105</v>
      </c>
      <c r="P850" s="11" t="s">
        <v>1669</v>
      </c>
      <c r="R850" s="1">
        <v>3</v>
      </c>
      <c r="T850" s="1" t="s">
        <v>646</v>
      </c>
      <c r="U850" s="11" t="s">
        <v>1670</v>
      </c>
      <c r="V850" s="1" t="s">
        <v>41</v>
      </c>
      <c r="W850" s="1" t="s">
        <v>49</v>
      </c>
      <c r="Z850" s="14"/>
      <c r="AA850" s="14"/>
      <c r="AC850" s="21"/>
      <c r="AE850" s="21"/>
    </row>
    <row r="851" spans="1:31" hidden="1">
      <c r="A851" s="1">
        <v>9123368</v>
      </c>
      <c r="B851" s="1" t="s">
        <v>101</v>
      </c>
      <c r="C851" t="s">
        <v>643</v>
      </c>
      <c r="D851" s="2">
        <v>220193049</v>
      </c>
      <c r="E851" s="2">
        <v>821001400010</v>
      </c>
      <c r="F851" s="1" t="s">
        <v>936</v>
      </c>
      <c r="G851" s="1" t="s">
        <v>53</v>
      </c>
      <c r="H851" s="1" t="s">
        <v>1351</v>
      </c>
      <c r="I851" s="1" t="s">
        <v>1352</v>
      </c>
      <c r="J851" s="1" t="s">
        <v>46</v>
      </c>
      <c r="K851" t="s">
        <v>937</v>
      </c>
      <c r="M851" s="1" t="s">
        <v>58</v>
      </c>
      <c r="N851" s="1">
        <v>0</v>
      </c>
      <c r="O851" s="1" t="s">
        <v>105</v>
      </c>
      <c r="P851" s="11" t="s">
        <v>1671</v>
      </c>
      <c r="R851" s="1">
        <v>3</v>
      </c>
      <c r="T851" s="1" t="s">
        <v>646</v>
      </c>
      <c r="U851" s="11" t="s">
        <v>1672</v>
      </c>
      <c r="V851" s="1" t="s">
        <v>41</v>
      </c>
      <c r="W851" s="1" t="s">
        <v>49</v>
      </c>
      <c r="Z851" s="14"/>
      <c r="AA851" s="14"/>
      <c r="AC851" s="21"/>
      <c r="AE851" s="21"/>
    </row>
    <row r="852" spans="1:31" hidden="1">
      <c r="A852" s="1">
        <v>9123299</v>
      </c>
      <c r="B852" s="1" t="s">
        <v>101</v>
      </c>
      <c r="C852" t="s">
        <v>643</v>
      </c>
      <c r="D852" s="2">
        <v>220192827</v>
      </c>
      <c r="E852" s="2">
        <v>446001400010</v>
      </c>
      <c r="F852" s="1" t="s">
        <v>936</v>
      </c>
      <c r="G852" s="1" t="s">
        <v>53</v>
      </c>
      <c r="H852" s="1" t="s">
        <v>432</v>
      </c>
      <c r="I852" s="1" t="s">
        <v>433</v>
      </c>
      <c r="J852" s="1" t="s">
        <v>110</v>
      </c>
      <c r="K852" t="s">
        <v>937</v>
      </c>
      <c r="M852" s="1" t="s">
        <v>58</v>
      </c>
      <c r="N852" s="1">
        <v>0</v>
      </c>
      <c r="O852" s="1" t="s">
        <v>36</v>
      </c>
      <c r="P852" s="11" t="s">
        <v>1673</v>
      </c>
      <c r="R852" s="1">
        <v>3</v>
      </c>
      <c r="T852" s="1" t="s">
        <v>646</v>
      </c>
      <c r="U852" s="11" t="s">
        <v>1674</v>
      </c>
      <c r="V852" s="1" t="s">
        <v>41</v>
      </c>
      <c r="W852" s="1" t="s">
        <v>49</v>
      </c>
      <c r="Z852" s="14"/>
      <c r="AA852" s="14"/>
      <c r="AC852" s="21"/>
      <c r="AE852" s="21"/>
    </row>
    <row r="853" spans="1:31" hidden="1">
      <c r="A853" s="1">
        <v>9123248</v>
      </c>
      <c r="B853" s="1" t="s">
        <v>101</v>
      </c>
      <c r="C853" t="s">
        <v>643</v>
      </c>
      <c r="D853" s="2">
        <v>220192887</v>
      </c>
      <c r="E853" s="2">
        <v>550001400010</v>
      </c>
      <c r="F853" s="1" t="s">
        <v>936</v>
      </c>
      <c r="G853" s="1" t="s">
        <v>53</v>
      </c>
      <c r="H853" s="1" t="s">
        <v>337</v>
      </c>
      <c r="I853" s="1" t="s">
        <v>338</v>
      </c>
      <c r="J853" s="1" t="s">
        <v>164</v>
      </c>
      <c r="K853" t="s">
        <v>937</v>
      </c>
      <c r="M853" s="1" t="s">
        <v>58</v>
      </c>
      <c r="N853" s="1">
        <v>0</v>
      </c>
      <c r="O853" s="1" t="s">
        <v>105</v>
      </c>
      <c r="P853" s="11" t="s">
        <v>1675</v>
      </c>
      <c r="R853" s="1">
        <v>3</v>
      </c>
      <c r="T853" s="1" t="s">
        <v>646</v>
      </c>
      <c r="U853" s="11" t="s">
        <v>1676</v>
      </c>
      <c r="V853" s="1" t="s">
        <v>41</v>
      </c>
      <c r="W853" s="1" t="s">
        <v>49</v>
      </c>
      <c r="Z853" s="14"/>
      <c r="AA853" s="14"/>
      <c r="AC853" s="21"/>
      <c r="AE853" s="21"/>
    </row>
    <row r="854" spans="1:31" hidden="1">
      <c r="A854" s="1">
        <v>9123242</v>
      </c>
      <c r="B854" s="1" t="s">
        <v>101</v>
      </c>
      <c r="C854" t="s">
        <v>643</v>
      </c>
      <c r="D854" s="2">
        <v>220192881</v>
      </c>
      <c r="E854" s="2">
        <v>537001400010</v>
      </c>
      <c r="F854" s="1" t="s">
        <v>936</v>
      </c>
      <c r="G854" s="1" t="s">
        <v>53</v>
      </c>
      <c r="H854" s="1" t="s">
        <v>442</v>
      </c>
      <c r="I854" s="1" t="s">
        <v>443</v>
      </c>
      <c r="J854" s="1" t="s">
        <v>79</v>
      </c>
      <c r="K854" t="s">
        <v>937</v>
      </c>
      <c r="M854" s="1" t="s">
        <v>58</v>
      </c>
      <c r="N854" s="1">
        <v>0</v>
      </c>
      <c r="O854" s="1" t="s">
        <v>105</v>
      </c>
      <c r="P854" s="11" t="s">
        <v>1677</v>
      </c>
      <c r="R854" s="1">
        <v>3</v>
      </c>
      <c r="T854" s="1" t="s">
        <v>646</v>
      </c>
      <c r="U854" s="11" t="s">
        <v>3481</v>
      </c>
      <c r="V854" s="1" t="s">
        <v>41</v>
      </c>
      <c r="W854" s="1" t="s">
        <v>49</v>
      </c>
      <c r="Z854" s="14"/>
      <c r="AA854" s="14"/>
      <c r="AC854" s="21"/>
      <c r="AE854" s="21"/>
    </row>
    <row r="855" spans="1:31" hidden="1">
      <c r="A855" s="1">
        <v>9123204</v>
      </c>
      <c r="B855" s="1" t="s">
        <v>101</v>
      </c>
      <c r="C855" t="s">
        <v>643</v>
      </c>
      <c r="D855" s="2">
        <v>220192907</v>
      </c>
      <c r="E855" s="2">
        <v>582001400010</v>
      </c>
      <c r="F855" s="1" t="s">
        <v>936</v>
      </c>
      <c r="G855" s="1" t="s">
        <v>53</v>
      </c>
      <c r="H855" s="1" t="s">
        <v>139</v>
      </c>
      <c r="I855" s="1" t="s">
        <v>140</v>
      </c>
      <c r="J855" s="1" t="s">
        <v>141</v>
      </c>
      <c r="K855" t="s">
        <v>937</v>
      </c>
      <c r="M855" s="1" t="s">
        <v>58</v>
      </c>
      <c r="N855" s="1">
        <v>0</v>
      </c>
      <c r="O855" s="1" t="s">
        <v>105</v>
      </c>
      <c r="P855" s="11" t="s">
        <v>1678</v>
      </c>
      <c r="R855" s="1">
        <v>3</v>
      </c>
      <c r="T855" s="1" t="s">
        <v>646</v>
      </c>
      <c r="U855" s="11" t="s">
        <v>1679</v>
      </c>
      <c r="V855" s="1" t="s">
        <v>41</v>
      </c>
      <c r="W855" s="1" t="s">
        <v>49</v>
      </c>
      <c r="Z855" s="14"/>
      <c r="AA855" s="14"/>
      <c r="AC855" s="21"/>
      <c r="AE855" s="21"/>
    </row>
    <row r="856" spans="1:31" hidden="1">
      <c r="A856" s="1">
        <v>9123184</v>
      </c>
      <c r="B856" s="1" t="s">
        <v>101</v>
      </c>
      <c r="C856" t="s">
        <v>643</v>
      </c>
      <c r="D856" s="2">
        <v>220192743</v>
      </c>
      <c r="E856" s="2">
        <v>325091400010</v>
      </c>
      <c r="F856" s="1" t="s">
        <v>936</v>
      </c>
      <c r="G856" s="1" t="s">
        <v>53</v>
      </c>
      <c r="H856" s="1" t="s">
        <v>821</v>
      </c>
      <c r="I856" s="1" t="s">
        <v>822</v>
      </c>
      <c r="J856" s="1" t="s">
        <v>46</v>
      </c>
      <c r="K856" t="s">
        <v>937</v>
      </c>
      <c r="M856" s="1" t="s">
        <v>58</v>
      </c>
      <c r="N856" s="1">
        <v>0</v>
      </c>
      <c r="O856" s="1" t="s">
        <v>105</v>
      </c>
      <c r="P856" s="11" t="s">
        <v>1680</v>
      </c>
      <c r="R856" s="1">
        <v>3</v>
      </c>
      <c r="T856" s="1" t="s">
        <v>646</v>
      </c>
      <c r="U856" s="11" t="s">
        <v>1681</v>
      </c>
      <c r="V856" s="1" t="s">
        <v>41</v>
      </c>
      <c r="W856" s="1" t="s">
        <v>49</v>
      </c>
      <c r="Z856" s="14"/>
      <c r="AA856" s="14"/>
      <c r="AC856" s="21"/>
      <c r="AE856" s="21"/>
    </row>
    <row r="857" spans="1:31" hidden="1">
      <c r="A857" s="1">
        <v>9123102</v>
      </c>
      <c r="B857" s="1" t="s">
        <v>101</v>
      </c>
      <c r="C857" t="s">
        <v>643</v>
      </c>
      <c r="D857" s="2">
        <v>220192673</v>
      </c>
      <c r="E857" s="2">
        <v>233001400010</v>
      </c>
      <c r="F857" s="1" t="s">
        <v>936</v>
      </c>
      <c r="G857" s="1" t="s">
        <v>53</v>
      </c>
      <c r="H857" s="1" t="s">
        <v>424</v>
      </c>
      <c r="I857" s="1" t="s">
        <v>425</v>
      </c>
      <c r="J857" s="1" t="s">
        <v>261</v>
      </c>
      <c r="K857" t="s">
        <v>937</v>
      </c>
      <c r="M857" s="1" t="s">
        <v>58</v>
      </c>
      <c r="N857" s="1">
        <v>0</v>
      </c>
      <c r="O857" s="1" t="s">
        <v>105</v>
      </c>
      <c r="P857" s="11" t="s">
        <v>1682</v>
      </c>
      <c r="R857" s="1">
        <v>3</v>
      </c>
      <c r="T857" s="1" t="s">
        <v>646</v>
      </c>
      <c r="U857" s="11" t="s">
        <v>1683</v>
      </c>
      <c r="V857" s="1" t="s">
        <v>41</v>
      </c>
      <c r="W857" s="1" t="s">
        <v>49</v>
      </c>
      <c r="Z857" s="14"/>
      <c r="AA857" s="14"/>
      <c r="AC857" s="21"/>
      <c r="AE857" s="21"/>
    </row>
    <row r="858" spans="1:31" hidden="1">
      <c r="A858" s="1">
        <v>9123093</v>
      </c>
      <c r="B858" s="1" t="s">
        <v>101</v>
      </c>
      <c r="C858" t="s">
        <v>643</v>
      </c>
      <c r="D858" s="2">
        <v>220192664</v>
      </c>
      <c r="E858" s="2">
        <v>220001400010</v>
      </c>
      <c r="F858" s="1" t="s">
        <v>936</v>
      </c>
      <c r="G858" s="1" t="s">
        <v>53</v>
      </c>
      <c r="H858" s="1" t="s">
        <v>588</v>
      </c>
      <c r="I858" s="1" t="s">
        <v>589</v>
      </c>
      <c r="J858" s="1" t="s">
        <v>110</v>
      </c>
      <c r="K858" t="s">
        <v>937</v>
      </c>
      <c r="M858" s="1" t="s">
        <v>58</v>
      </c>
      <c r="N858" s="1">
        <v>0</v>
      </c>
      <c r="O858" s="1" t="s">
        <v>105</v>
      </c>
      <c r="P858" s="11" t="s">
        <v>1684</v>
      </c>
      <c r="R858" s="1">
        <v>3</v>
      </c>
      <c r="T858" s="1" t="s">
        <v>646</v>
      </c>
      <c r="U858" s="11" t="s">
        <v>1685</v>
      </c>
      <c r="V858" s="1" t="s">
        <v>41</v>
      </c>
      <c r="W858" s="1" t="s">
        <v>49</v>
      </c>
      <c r="Z858" s="14"/>
      <c r="AA858" s="14"/>
      <c r="AC858" s="21"/>
      <c r="AE858" s="21"/>
    </row>
    <row r="859" spans="1:31" hidden="1">
      <c r="A859" s="1">
        <v>9135166</v>
      </c>
      <c r="B859" s="1" t="s">
        <v>62</v>
      </c>
      <c r="C859" t="s">
        <v>1686</v>
      </c>
      <c r="E859" s="2">
        <v>9703000206053</v>
      </c>
      <c r="F859" s="1" t="s">
        <v>113</v>
      </c>
      <c r="G859" s="1" t="s">
        <v>53</v>
      </c>
      <c r="H859" s="1" t="s">
        <v>494</v>
      </c>
      <c r="I859" s="1" t="s">
        <v>495</v>
      </c>
      <c r="J859" s="1" t="s">
        <v>79</v>
      </c>
      <c r="K859" t="s">
        <v>116</v>
      </c>
      <c r="M859" s="1" t="s">
        <v>35</v>
      </c>
      <c r="N859" s="1">
        <v>42318949</v>
      </c>
      <c r="O859" s="1" t="s">
        <v>105</v>
      </c>
      <c r="P859" s="186">
        <v>44897.528333333335</v>
      </c>
      <c r="R859" s="1" t="s">
        <v>38</v>
      </c>
      <c r="T859" s="1" t="s">
        <v>74</v>
      </c>
      <c r="U859" s="186">
        <v>44938.75</v>
      </c>
      <c r="V859" s="1" t="s">
        <v>41</v>
      </c>
      <c r="W859" s="1" t="s">
        <v>49</v>
      </c>
      <c r="Z859" s="14"/>
      <c r="AA859" s="14"/>
      <c r="AC859" s="21"/>
      <c r="AE859" s="21"/>
    </row>
    <row r="860" spans="1:31" hidden="1">
      <c r="A860" s="1">
        <v>9134233</v>
      </c>
      <c r="B860" s="1" t="s">
        <v>62</v>
      </c>
      <c r="C860" t="s">
        <v>1689</v>
      </c>
      <c r="E860" s="2">
        <v>1108000203010</v>
      </c>
      <c r="F860" s="1" t="s">
        <v>152</v>
      </c>
      <c r="G860" s="1" t="s">
        <v>53</v>
      </c>
      <c r="H860" s="1" t="s">
        <v>295</v>
      </c>
      <c r="I860" s="1" t="s">
        <v>296</v>
      </c>
      <c r="J860" s="1" t="s">
        <v>90</v>
      </c>
      <c r="K860" t="s">
        <v>155</v>
      </c>
      <c r="M860" s="1" t="s">
        <v>35</v>
      </c>
      <c r="N860" s="1">
        <v>42318949</v>
      </c>
      <c r="O860" s="1" t="s">
        <v>105</v>
      </c>
      <c r="P860" s="186">
        <v>44897.387280092589</v>
      </c>
      <c r="R860" s="1">
        <v>1</v>
      </c>
      <c r="T860" s="1" t="s">
        <v>157</v>
      </c>
      <c r="U860" s="186">
        <v>44931.75</v>
      </c>
      <c r="V860" s="1" t="s">
        <v>41</v>
      </c>
      <c r="W860" s="1" t="s">
        <v>49</v>
      </c>
      <c r="Z860" s="14"/>
      <c r="AA860" s="14"/>
      <c r="AC860" s="21"/>
      <c r="AE860" s="21"/>
    </row>
    <row r="861" spans="1:31" hidden="1">
      <c r="A861" s="1">
        <v>9152756</v>
      </c>
      <c r="B861" s="1" t="s">
        <v>62</v>
      </c>
      <c r="C861" t="s">
        <v>1692</v>
      </c>
      <c r="E861" s="2">
        <v>2138000206001</v>
      </c>
      <c r="F861" s="1" t="s">
        <v>29</v>
      </c>
      <c r="G861" s="1" t="s">
        <v>53</v>
      </c>
      <c r="H861" s="1" t="s">
        <v>379</v>
      </c>
      <c r="I861" s="1" t="s">
        <v>380</v>
      </c>
      <c r="J861" s="1" t="s">
        <v>46</v>
      </c>
      <c r="K861" t="s">
        <v>34</v>
      </c>
      <c r="M861" s="1" t="s">
        <v>35</v>
      </c>
      <c r="N861" s="1">
        <v>42318949</v>
      </c>
      <c r="O861" s="1" t="s">
        <v>36</v>
      </c>
      <c r="P861" s="186">
        <v>44901.595775462964</v>
      </c>
      <c r="R861" s="1" t="s">
        <v>38</v>
      </c>
      <c r="T861" s="1" t="s">
        <v>74</v>
      </c>
      <c r="U861" s="186">
        <v>44942.75</v>
      </c>
      <c r="V861" s="1" t="s">
        <v>41</v>
      </c>
      <c r="W861" s="1" t="s">
        <v>49</v>
      </c>
      <c r="Z861" s="14"/>
      <c r="AA861" s="14"/>
      <c r="AC861" s="21"/>
      <c r="AE861" s="21"/>
    </row>
    <row r="862" spans="1:31" hidden="1">
      <c r="A862" s="1">
        <v>9151711</v>
      </c>
      <c r="B862" s="1" t="s">
        <v>62</v>
      </c>
      <c r="C862" t="s">
        <v>1695</v>
      </c>
      <c r="E862" s="2">
        <v>1902016208100</v>
      </c>
      <c r="F862" s="1" t="s">
        <v>64</v>
      </c>
      <c r="G862" s="1" t="s">
        <v>53</v>
      </c>
      <c r="H862" s="1" t="s">
        <v>590</v>
      </c>
      <c r="I862" s="1" t="s">
        <v>591</v>
      </c>
      <c r="J862" s="1" t="s">
        <v>261</v>
      </c>
      <c r="K862" t="s">
        <v>67</v>
      </c>
      <c r="M862" s="1" t="s">
        <v>35</v>
      </c>
      <c r="N862" s="1">
        <v>42318949</v>
      </c>
      <c r="O862" s="1" t="s">
        <v>36</v>
      </c>
      <c r="P862" s="186">
        <v>44901.465289351851</v>
      </c>
      <c r="R862" s="1" t="s">
        <v>571</v>
      </c>
      <c r="T862" s="1" t="s">
        <v>69</v>
      </c>
      <c r="U862" s="186">
        <v>44910.465289351851</v>
      </c>
      <c r="V862" s="1" t="s">
        <v>41</v>
      </c>
      <c r="W862" s="1" t="s">
        <v>49</v>
      </c>
      <c r="Z862" s="14"/>
      <c r="AA862" s="14"/>
      <c r="AC862" s="21"/>
      <c r="AE862" s="21"/>
    </row>
    <row r="863" spans="1:31" hidden="1">
      <c r="A863" s="1">
        <v>9158610</v>
      </c>
      <c r="B863" s="1" t="s">
        <v>62</v>
      </c>
      <c r="C863" t="s">
        <v>1698</v>
      </c>
      <c r="E863" s="2">
        <v>4119000203000</v>
      </c>
      <c r="F863" s="1" t="s">
        <v>454</v>
      </c>
      <c r="G863" s="1" t="s">
        <v>53</v>
      </c>
      <c r="H863" s="1" t="s">
        <v>297</v>
      </c>
      <c r="I863" s="1" t="s">
        <v>298</v>
      </c>
      <c r="J863" s="1" t="s">
        <v>211</v>
      </c>
      <c r="K863" t="s">
        <v>457</v>
      </c>
      <c r="M863" s="1" t="s">
        <v>58</v>
      </c>
      <c r="N863" s="1">
        <v>0</v>
      </c>
      <c r="O863" s="1" t="s">
        <v>36</v>
      </c>
      <c r="P863" s="186">
        <v>44902.665810185186</v>
      </c>
      <c r="R863" s="1">
        <v>1</v>
      </c>
      <c r="T863" s="1" t="s">
        <v>157</v>
      </c>
      <c r="U863" s="186">
        <v>44936.75</v>
      </c>
      <c r="V863" s="1" t="s">
        <v>41</v>
      </c>
      <c r="W863" s="1" t="s">
        <v>49</v>
      </c>
      <c r="Z863" s="14"/>
      <c r="AA863" s="14"/>
      <c r="AC863" s="21"/>
      <c r="AE863" s="21"/>
    </row>
    <row r="864" spans="1:31" hidden="1">
      <c r="A864" s="1">
        <v>9158041</v>
      </c>
      <c r="B864" s="1" t="s">
        <v>62</v>
      </c>
      <c r="C864" t="s">
        <v>1699</v>
      </c>
      <c r="E864" s="2">
        <v>963000203010</v>
      </c>
      <c r="F864" s="1" t="s">
        <v>152</v>
      </c>
      <c r="G864" s="1" t="s">
        <v>53</v>
      </c>
      <c r="H864" s="1" t="s">
        <v>531</v>
      </c>
      <c r="I864" s="1" t="s">
        <v>532</v>
      </c>
      <c r="J864" s="1" t="s">
        <v>33</v>
      </c>
      <c r="K864" t="s">
        <v>155</v>
      </c>
      <c r="M864" s="1" t="s">
        <v>35</v>
      </c>
      <c r="N864" s="1">
        <v>42318949</v>
      </c>
      <c r="O864" s="1" t="s">
        <v>36</v>
      </c>
      <c r="P864" s="186">
        <v>44902.592615740738</v>
      </c>
      <c r="R864" s="1">
        <v>1</v>
      </c>
      <c r="T864" s="1" t="s">
        <v>157</v>
      </c>
      <c r="U864" s="186">
        <v>44936.75</v>
      </c>
      <c r="V864" s="1" t="s">
        <v>41</v>
      </c>
      <c r="W864" s="1" t="s">
        <v>49</v>
      </c>
      <c r="Z864" s="14"/>
      <c r="AA864" s="14"/>
      <c r="AC864" s="21"/>
      <c r="AE864" s="21"/>
    </row>
    <row r="865" spans="1:31" hidden="1">
      <c r="A865" s="1">
        <v>9158023</v>
      </c>
      <c r="B865" s="1" t="s">
        <v>62</v>
      </c>
      <c r="C865" t="s">
        <v>1699</v>
      </c>
      <c r="E865" s="2">
        <v>3918000203010</v>
      </c>
      <c r="F865" s="1" t="s">
        <v>152</v>
      </c>
      <c r="G865" s="1" t="s">
        <v>53</v>
      </c>
      <c r="H865" s="1" t="s">
        <v>858</v>
      </c>
      <c r="I865" s="1" t="s">
        <v>859</v>
      </c>
      <c r="J865" s="1" t="s">
        <v>33</v>
      </c>
      <c r="K865" t="s">
        <v>155</v>
      </c>
      <c r="M865" s="1" t="s">
        <v>35</v>
      </c>
      <c r="N865" s="1">
        <v>42318949</v>
      </c>
      <c r="O865" s="1" t="s">
        <v>36</v>
      </c>
      <c r="P865" s="186">
        <v>44902.592581018522</v>
      </c>
      <c r="R865" s="1">
        <v>1</v>
      </c>
      <c r="T865" s="1" t="s">
        <v>157</v>
      </c>
      <c r="U865" s="186">
        <v>44936.75</v>
      </c>
      <c r="V865" s="1" t="s">
        <v>41</v>
      </c>
      <c r="W865" s="1" t="s">
        <v>49</v>
      </c>
      <c r="Z865" s="14"/>
      <c r="AA865" s="14"/>
      <c r="AC865" s="21"/>
      <c r="AE865" s="21"/>
    </row>
    <row r="866" spans="1:31" hidden="1">
      <c r="A866" s="1">
        <v>9157070</v>
      </c>
      <c r="B866" s="1" t="s">
        <v>62</v>
      </c>
      <c r="C866" t="s">
        <v>1699</v>
      </c>
      <c r="E866" s="2">
        <v>2830000203010</v>
      </c>
      <c r="F866" s="1" t="s">
        <v>152</v>
      </c>
      <c r="G866" s="1" t="s">
        <v>53</v>
      </c>
      <c r="H866" s="1" t="s">
        <v>448</v>
      </c>
      <c r="I866" s="1" t="s">
        <v>449</v>
      </c>
      <c r="J866" s="1" t="s">
        <v>33</v>
      </c>
      <c r="K866" t="s">
        <v>155</v>
      </c>
      <c r="M866" s="1" t="s">
        <v>35</v>
      </c>
      <c r="N866" s="1">
        <v>42318949</v>
      </c>
      <c r="O866" s="1" t="s">
        <v>36</v>
      </c>
      <c r="P866" s="186">
        <v>44902.480925925927</v>
      </c>
      <c r="R866" s="1">
        <v>1</v>
      </c>
      <c r="T866" s="1" t="s">
        <v>157</v>
      </c>
      <c r="U866" s="186">
        <v>44936.75</v>
      </c>
      <c r="V866" s="1" t="s">
        <v>41</v>
      </c>
      <c r="W866" s="1" t="s">
        <v>42</v>
      </c>
      <c r="Z866" s="14"/>
      <c r="AA866" s="14"/>
      <c r="AC866" s="21"/>
      <c r="AE866" s="21"/>
    </row>
    <row r="867" spans="1:31" hidden="1">
      <c r="A867" s="1">
        <v>9157063</v>
      </c>
      <c r="B867" s="1" t="s">
        <v>62</v>
      </c>
      <c r="C867" t="s">
        <v>1699</v>
      </c>
      <c r="E867" s="2">
        <v>1833000203010</v>
      </c>
      <c r="F867" s="1" t="s">
        <v>152</v>
      </c>
      <c r="G867" s="1" t="s">
        <v>53</v>
      </c>
      <c r="H867" s="1" t="s">
        <v>369</v>
      </c>
      <c r="I867" s="1" t="s">
        <v>370</v>
      </c>
      <c r="J867" s="1" t="s">
        <v>46</v>
      </c>
      <c r="K867" t="s">
        <v>155</v>
      </c>
      <c r="M867" s="1" t="s">
        <v>35</v>
      </c>
      <c r="N867" s="1">
        <v>42318949</v>
      </c>
      <c r="O867" s="1" t="s">
        <v>36</v>
      </c>
      <c r="P867" s="186">
        <v>44902.480914351851</v>
      </c>
      <c r="R867" s="1">
        <v>1</v>
      </c>
      <c r="T867" s="1" t="s">
        <v>157</v>
      </c>
      <c r="U867" s="186">
        <v>44936.75</v>
      </c>
      <c r="V867" s="1" t="s">
        <v>41</v>
      </c>
      <c r="W867" s="1" t="s">
        <v>49</v>
      </c>
      <c r="Z867" s="14"/>
      <c r="AA867" s="14"/>
      <c r="AC867" s="21"/>
      <c r="AE867" s="21"/>
    </row>
    <row r="868" spans="1:31" hidden="1">
      <c r="A868" s="1">
        <v>9157035</v>
      </c>
      <c r="B868" s="1" t="s">
        <v>62</v>
      </c>
      <c r="C868" t="s">
        <v>1699</v>
      </c>
      <c r="E868" s="2">
        <v>3924000203010</v>
      </c>
      <c r="F868" s="1" t="s">
        <v>152</v>
      </c>
      <c r="G868" s="1" t="s">
        <v>53</v>
      </c>
      <c r="H868" s="1" t="s">
        <v>153</v>
      </c>
      <c r="I868" s="1" t="s">
        <v>154</v>
      </c>
      <c r="J868" s="1" t="s">
        <v>56</v>
      </c>
      <c r="K868" t="s">
        <v>155</v>
      </c>
      <c r="M868" s="1" t="s">
        <v>35</v>
      </c>
      <c r="N868" s="1">
        <v>42318949</v>
      </c>
      <c r="O868" s="1" t="s">
        <v>36</v>
      </c>
      <c r="P868" s="186">
        <v>44902.480879629627</v>
      </c>
      <c r="R868" s="1">
        <v>1</v>
      </c>
      <c r="T868" s="1" t="s">
        <v>157</v>
      </c>
      <c r="U868" s="186">
        <v>44942.75</v>
      </c>
      <c r="V868" s="1" t="s">
        <v>41</v>
      </c>
      <c r="W868" s="1" t="s">
        <v>49</v>
      </c>
      <c r="Z868" s="14"/>
      <c r="AA868" s="14"/>
      <c r="AC868" s="21"/>
      <c r="AE868" s="21"/>
    </row>
    <row r="869" spans="1:31" hidden="1">
      <c r="A869" s="1">
        <v>9157015</v>
      </c>
      <c r="B869" s="1" t="s">
        <v>62</v>
      </c>
      <c r="C869" t="s">
        <v>1699</v>
      </c>
      <c r="E869" s="2">
        <v>1059000203010</v>
      </c>
      <c r="F869" s="1" t="s">
        <v>152</v>
      </c>
      <c r="G869" s="1" t="s">
        <v>53</v>
      </c>
      <c r="H869" s="1" t="s">
        <v>88</v>
      </c>
      <c r="I869" s="1" t="s">
        <v>89</v>
      </c>
      <c r="J869" s="1" t="s">
        <v>90</v>
      </c>
      <c r="K869" t="s">
        <v>155</v>
      </c>
      <c r="M869" s="1" t="s">
        <v>35</v>
      </c>
      <c r="N869" s="1">
        <v>42318949</v>
      </c>
      <c r="O869" s="1" t="s">
        <v>36</v>
      </c>
      <c r="P869" s="186">
        <v>44902.480844907404</v>
      </c>
      <c r="R869" s="1">
        <v>1</v>
      </c>
      <c r="T869" s="1" t="s">
        <v>157</v>
      </c>
      <c r="U869" s="186">
        <v>44936.75</v>
      </c>
      <c r="V869" s="1" t="s">
        <v>41</v>
      </c>
      <c r="W869" s="1" t="s">
        <v>49</v>
      </c>
      <c r="Z869" s="14"/>
      <c r="AA869" s="14"/>
      <c r="AC869" s="21"/>
      <c r="AE869" s="21"/>
    </row>
    <row r="870" spans="1:31" hidden="1">
      <c r="A870" s="1">
        <v>9156995</v>
      </c>
      <c r="B870" s="1" t="s">
        <v>62</v>
      </c>
      <c r="C870" t="s">
        <v>1699</v>
      </c>
      <c r="E870" s="2">
        <v>2069000203010</v>
      </c>
      <c r="F870" s="1" t="s">
        <v>152</v>
      </c>
      <c r="G870" s="1" t="s">
        <v>53</v>
      </c>
      <c r="H870" s="1" t="s">
        <v>557</v>
      </c>
      <c r="I870" s="1" t="s">
        <v>558</v>
      </c>
      <c r="J870" s="1" t="s">
        <v>90</v>
      </c>
      <c r="K870" t="s">
        <v>155</v>
      </c>
      <c r="M870" s="1" t="s">
        <v>35</v>
      </c>
      <c r="N870" s="1">
        <v>42318949</v>
      </c>
      <c r="O870" s="1" t="s">
        <v>36</v>
      </c>
      <c r="P870" s="186">
        <v>44902.480810185189</v>
      </c>
      <c r="R870" s="1">
        <v>1</v>
      </c>
      <c r="T870" s="1" t="s">
        <v>157</v>
      </c>
      <c r="U870" s="186">
        <v>44936.75</v>
      </c>
      <c r="V870" s="1" t="s">
        <v>41</v>
      </c>
      <c r="W870" s="1" t="s">
        <v>49</v>
      </c>
      <c r="Z870" s="14"/>
      <c r="AA870" s="14"/>
      <c r="AC870" s="21"/>
      <c r="AE870" s="21"/>
    </row>
    <row r="871" spans="1:31" hidden="1">
      <c r="A871" s="1">
        <v>9162440</v>
      </c>
      <c r="B871" s="1" t="s">
        <v>62</v>
      </c>
      <c r="C871" t="s">
        <v>1705</v>
      </c>
      <c r="E871" s="2">
        <v>68000203010</v>
      </c>
      <c r="F871" s="1" t="s">
        <v>152</v>
      </c>
      <c r="G871" s="1" t="s">
        <v>53</v>
      </c>
      <c r="H871" s="1" t="s">
        <v>1330</v>
      </c>
      <c r="I871" s="1" t="s">
        <v>1331</v>
      </c>
      <c r="J871" s="1" t="s">
        <v>211</v>
      </c>
      <c r="K871" t="s">
        <v>155</v>
      </c>
      <c r="M871" s="1" t="s">
        <v>35</v>
      </c>
      <c r="N871" s="1">
        <v>42318949</v>
      </c>
      <c r="O871" s="1" t="s">
        <v>36</v>
      </c>
      <c r="P871" s="186">
        <v>44903.531909722224</v>
      </c>
      <c r="R871" s="1">
        <v>1</v>
      </c>
      <c r="T871" s="1" t="s">
        <v>157</v>
      </c>
      <c r="U871" s="186">
        <v>44937.75</v>
      </c>
      <c r="V871" s="1" t="s">
        <v>41</v>
      </c>
      <c r="W871" s="1" t="s">
        <v>49</v>
      </c>
      <c r="Z871" s="14"/>
      <c r="AA871" s="14"/>
      <c r="AC871" s="21"/>
      <c r="AE871" s="21"/>
    </row>
    <row r="872" spans="1:31" hidden="1">
      <c r="A872" s="1">
        <v>9168008</v>
      </c>
      <c r="B872" s="1" t="s">
        <v>62</v>
      </c>
      <c r="C872" t="s">
        <v>1706</v>
      </c>
      <c r="E872" s="2">
        <v>2069000203000</v>
      </c>
      <c r="F872" s="1" t="s">
        <v>454</v>
      </c>
      <c r="G872" s="1" t="s">
        <v>53</v>
      </c>
      <c r="H872" s="1" t="s">
        <v>557</v>
      </c>
      <c r="I872" s="1" t="s">
        <v>558</v>
      </c>
      <c r="J872" s="1" t="s">
        <v>90</v>
      </c>
      <c r="K872" t="s">
        <v>457</v>
      </c>
      <c r="M872" s="1" t="s">
        <v>58</v>
      </c>
      <c r="N872" s="1">
        <v>0</v>
      </c>
      <c r="O872" s="1" t="s">
        <v>36</v>
      </c>
      <c r="P872" s="186">
        <v>44904.703738425924</v>
      </c>
      <c r="R872" s="1">
        <v>1</v>
      </c>
      <c r="T872" s="1" t="s">
        <v>157</v>
      </c>
      <c r="U872" s="186">
        <v>44938.75</v>
      </c>
      <c r="V872" s="1" t="s">
        <v>41</v>
      </c>
      <c r="W872" s="1" t="s">
        <v>49</v>
      </c>
      <c r="Z872" s="14"/>
      <c r="AA872" s="14"/>
      <c r="AC872" s="21"/>
      <c r="AE872" s="21"/>
    </row>
    <row r="873" spans="1:31" hidden="1">
      <c r="A873" s="1">
        <v>9180276</v>
      </c>
      <c r="B873" s="1" t="s">
        <v>62</v>
      </c>
      <c r="C873" t="s">
        <v>1707</v>
      </c>
      <c r="E873" s="2">
        <v>1902016006800</v>
      </c>
      <c r="F873" s="1" t="s">
        <v>64</v>
      </c>
      <c r="G873" s="1" t="s">
        <v>53</v>
      </c>
      <c r="H873" s="1" t="s">
        <v>1330</v>
      </c>
      <c r="I873" s="1" t="s">
        <v>1331</v>
      </c>
      <c r="J873" s="1" t="s">
        <v>211</v>
      </c>
      <c r="K873" t="s">
        <v>67</v>
      </c>
      <c r="M873" s="1" t="s">
        <v>35</v>
      </c>
      <c r="N873" s="1">
        <v>42318949</v>
      </c>
      <c r="O873" s="1" t="s">
        <v>36</v>
      </c>
      <c r="P873" s="186">
        <v>44907.687534722223</v>
      </c>
      <c r="R873" s="1" t="s">
        <v>571</v>
      </c>
      <c r="T873" s="1" t="s">
        <v>69</v>
      </c>
      <c r="U873" s="186">
        <v>44916.687534722223</v>
      </c>
      <c r="V873" s="1" t="s">
        <v>41</v>
      </c>
      <c r="W873" s="1" t="s">
        <v>49</v>
      </c>
      <c r="Z873" s="14"/>
      <c r="AA873" s="14"/>
      <c r="AC873" s="21"/>
      <c r="AE873" s="21"/>
    </row>
    <row r="874" spans="1:31" hidden="1">
      <c r="A874" s="1">
        <v>9177930</v>
      </c>
      <c r="B874" s="1" t="s">
        <v>226</v>
      </c>
      <c r="C874" t="s">
        <v>1708</v>
      </c>
      <c r="E874" s="2">
        <v>1902016179200</v>
      </c>
      <c r="F874" s="1" t="s">
        <v>64</v>
      </c>
      <c r="G874" s="1" t="s">
        <v>53</v>
      </c>
      <c r="H874" s="1" t="s">
        <v>467</v>
      </c>
      <c r="I874" s="1" t="s">
        <v>468</v>
      </c>
      <c r="J874" s="1" t="s">
        <v>110</v>
      </c>
      <c r="K874" t="s">
        <v>67</v>
      </c>
      <c r="M874" s="1" t="s">
        <v>35</v>
      </c>
      <c r="N874" s="1">
        <v>42318949</v>
      </c>
      <c r="O874" s="1" t="s">
        <v>105</v>
      </c>
      <c r="P874" s="186">
        <v>44907.415682870371</v>
      </c>
      <c r="R874" s="1" t="s">
        <v>571</v>
      </c>
      <c r="T874" s="1" t="s">
        <v>69</v>
      </c>
      <c r="U874" s="186">
        <v>44909.415682870371</v>
      </c>
      <c r="V874" s="1" t="s">
        <v>41</v>
      </c>
      <c r="W874" s="1" t="s">
        <v>49</v>
      </c>
      <c r="Z874" s="14"/>
      <c r="AA874" s="14"/>
      <c r="AC874" s="21"/>
      <c r="AE874" s="21"/>
    </row>
    <row r="875" spans="1:31" hidden="1">
      <c r="A875" s="1">
        <v>9188220</v>
      </c>
      <c r="B875" s="1" t="s">
        <v>62</v>
      </c>
      <c r="C875" t="s">
        <v>1709</v>
      </c>
      <c r="E875" s="2">
        <v>1902016298800</v>
      </c>
      <c r="F875" s="1" t="s">
        <v>64</v>
      </c>
      <c r="G875" s="1" t="s">
        <v>53</v>
      </c>
      <c r="H875" s="1" t="s">
        <v>536</v>
      </c>
      <c r="I875" s="1" t="s">
        <v>537</v>
      </c>
      <c r="J875" s="1" t="s">
        <v>46</v>
      </c>
      <c r="K875" t="s">
        <v>67</v>
      </c>
      <c r="M875" s="1" t="s">
        <v>35</v>
      </c>
      <c r="N875" s="1">
        <v>42318949</v>
      </c>
      <c r="O875" s="1" t="s">
        <v>36</v>
      </c>
      <c r="P875" s="186">
        <v>44909.40121527778</v>
      </c>
      <c r="R875" s="1" t="s">
        <v>571</v>
      </c>
      <c r="T875" s="1" t="s">
        <v>69</v>
      </c>
      <c r="U875" s="186">
        <v>44918.40121527778</v>
      </c>
      <c r="V875" s="1" t="s">
        <v>41</v>
      </c>
      <c r="W875" s="1" t="s">
        <v>49</v>
      </c>
      <c r="Z875" s="14"/>
      <c r="AA875" s="14"/>
      <c r="AC875" s="21"/>
      <c r="AE875" s="21"/>
    </row>
    <row r="876" spans="1:31" hidden="1">
      <c r="A876" s="1">
        <v>9188182</v>
      </c>
      <c r="B876" s="1" t="s">
        <v>62</v>
      </c>
      <c r="C876" t="s">
        <v>1712</v>
      </c>
      <c r="E876" s="2">
        <v>1902016087000</v>
      </c>
      <c r="F876" s="1" t="s">
        <v>64</v>
      </c>
      <c r="G876" s="1" t="s">
        <v>53</v>
      </c>
      <c r="H876" s="1" t="s">
        <v>183</v>
      </c>
      <c r="I876" s="1" t="s">
        <v>184</v>
      </c>
      <c r="J876" s="1" t="s">
        <v>90</v>
      </c>
      <c r="K876" t="s">
        <v>67</v>
      </c>
      <c r="M876" s="1" t="s">
        <v>35</v>
      </c>
      <c r="N876" s="1">
        <v>42318949</v>
      </c>
      <c r="O876" s="1" t="s">
        <v>36</v>
      </c>
      <c r="P876" s="186">
        <v>44909.398680555554</v>
      </c>
      <c r="R876" s="1" t="s">
        <v>571</v>
      </c>
      <c r="T876" s="1" t="s">
        <v>69</v>
      </c>
      <c r="U876" s="186">
        <v>44918.398680555554</v>
      </c>
      <c r="V876" s="1" t="s">
        <v>41</v>
      </c>
      <c r="W876" s="1" t="s">
        <v>49</v>
      </c>
      <c r="Z876" s="14"/>
      <c r="AA876" s="14"/>
      <c r="AC876" s="21"/>
      <c r="AE876" s="21"/>
    </row>
    <row r="877" spans="1:31" hidden="1">
      <c r="A877" s="1">
        <v>9188168</v>
      </c>
      <c r="B877" s="1" t="s">
        <v>62</v>
      </c>
      <c r="C877" t="s">
        <v>1713</v>
      </c>
      <c r="E877" s="2">
        <v>1902016006700</v>
      </c>
      <c r="F877" s="1" t="s">
        <v>64</v>
      </c>
      <c r="G877" s="1" t="s">
        <v>53</v>
      </c>
      <c r="H877" s="1" t="s">
        <v>404</v>
      </c>
      <c r="I877" s="1" t="s">
        <v>405</v>
      </c>
      <c r="J877" s="1" t="s">
        <v>164</v>
      </c>
      <c r="K877" t="s">
        <v>67</v>
      </c>
      <c r="M877" s="1" t="s">
        <v>35</v>
      </c>
      <c r="N877" s="1">
        <v>42318949</v>
      </c>
      <c r="O877" s="1" t="s">
        <v>36</v>
      </c>
      <c r="P877" s="186">
        <v>44909.395740740743</v>
      </c>
      <c r="R877" s="1" t="s">
        <v>571</v>
      </c>
      <c r="T877" s="1" t="s">
        <v>69</v>
      </c>
      <c r="U877" s="186">
        <v>44918.395740740743</v>
      </c>
      <c r="V877" s="1" t="s">
        <v>41</v>
      </c>
      <c r="W877" s="1" t="s">
        <v>49</v>
      </c>
      <c r="Z877" s="14"/>
      <c r="AA877" s="14"/>
      <c r="AC877" s="21"/>
      <c r="AE877" s="21"/>
    </row>
    <row r="878" spans="1:31" hidden="1">
      <c r="A878" s="1">
        <v>9257159</v>
      </c>
      <c r="B878" s="1" t="s">
        <v>1717</v>
      </c>
      <c r="C878" t="s">
        <v>1723</v>
      </c>
      <c r="D878" s="2">
        <v>20228573000031</v>
      </c>
      <c r="E878" s="2">
        <v>7417193051272</v>
      </c>
      <c r="F878" s="1" t="s">
        <v>1719</v>
      </c>
      <c r="G878" s="1" t="s">
        <v>53</v>
      </c>
      <c r="H878" s="1" t="s">
        <v>657</v>
      </c>
      <c r="I878" s="1" t="s">
        <v>658</v>
      </c>
      <c r="J878" s="1" t="s">
        <v>33</v>
      </c>
      <c r="K878" t="s">
        <v>1720</v>
      </c>
      <c r="M878" s="1" t="s">
        <v>58</v>
      </c>
      <c r="N878" s="1">
        <v>0</v>
      </c>
      <c r="O878" s="1" t="s">
        <v>36</v>
      </c>
      <c r="P878" s="186">
        <v>44924.464942129627</v>
      </c>
      <c r="R878" s="1">
        <v>22</v>
      </c>
      <c r="T878" s="1" t="s">
        <v>1160</v>
      </c>
      <c r="U878" s="186">
        <v>44925.47146990741</v>
      </c>
      <c r="V878" s="1" t="s">
        <v>41</v>
      </c>
      <c r="W878" s="1" t="s">
        <v>49</v>
      </c>
      <c r="Z878" s="14"/>
      <c r="AA878" s="14"/>
      <c r="AC878" s="21"/>
      <c r="AE878" s="21"/>
    </row>
    <row r="879" spans="1:31" hidden="1">
      <c r="A879" s="1">
        <v>9273288</v>
      </c>
      <c r="B879" s="1" t="s">
        <v>1153</v>
      </c>
      <c r="C879" t="s">
        <v>1726</v>
      </c>
      <c r="D879" s="2">
        <v>20232678000001</v>
      </c>
      <c r="E879" s="2">
        <v>7417192420963</v>
      </c>
      <c r="F879" s="1" t="s">
        <v>1727</v>
      </c>
      <c r="G879" s="1" t="s">
        <v>53</v>
      </c>
      <c r="H879" s="1" t="s">
        <v>992</v>
      </c>
      <c r="I879" s="1" t="s">
        <v>993</v>
      </c>
      <c r="J879" s="1" t="s">
        <v>33</v>
      </c>
      <c r="K879" t="s">
        <v>1728</v>
      </c>
      <c r="M879" s="1" t="s">
        <v>58</v>
      </c>
      <c r="N879" s="1">
        <v>0</v>
      </c>
      <c r="O879" s="1" t="s">
        <v>36</v>
      </c>
      <c r="P879" s="186">
        <v>44928.436076388891</v>
      </c>
      <c r="R879" s="1">
        <v>22</v>
      </c>
      <c r="T879" s="1" t="s">
        <v>1160</v>
      </c>
      <c r="U879" s="186">
        <v>44930.644409722219</v>
      </c>
      <c r="V879" s="1" t="s">
        <v>41</v>
      </c>
      <c r="W879" s="1" t="s">
        <v>42</v>
      </c>
      <c r="Z879" s="14"/>
      <c r="AA879" s="14"/>
      <c r="AC879" s="21"/>
      <c r="AE879" s="21"/>
    </row>
    <row r="880" spans="1:31" hidden="1">
      <c r="A880" s="1">
        <v>9271243</v>
      </c>
      <c r="B880" s="1" t="s">
        <v>101</v>
      </c>
      <c r="C880" t="s">
        <v>643</v>
      </c>
      <c r="D880" s="2">
        <v>230001652</v>
      </c>
      <c r="E880" s="2">
        <v>1358001400040</v>
      </c>
      <c r="F880" s="1" t="s">
        <v>644</v>
      </c>
      <c r="G880" s="1" t="s">
        <v>53</v>
      </c>
      <c r="H880" s="1" t="s">
        <v>593</v>
      </c>
      <c r="I880" s="1" t="s">
        <v>594</v>
      </c>
      <c r="J880" s="1" t="s">
        <v>261</v>
      </c>
      <c r="K880" t="s">
        <v>645</v>
      </c>
      <c r="M880" s="1" t="s">
        <v>58</v>
      </c>
      <c r="N880" s="1">
        <v>0</v>
      </c>
      <c r="O880" s="1" t="s">
        <v>105</v>
      </c>
      <c r="P880" s="186">
        <v>44928.004988425928</v>
      </c>
      <c r="R880" s="1">
        <v>3</v>
      </c>
      <c r="T880" s="1" t="s">
        <v>646</v>
      </c>
      <c r="U880" s="186">
        <v>44929.004999999997</v>
      </c>
      <c r="V880" s="1" t="s">
        <v>41</v>
      </c>
      <c r="W880" s="1" t="s">
        <v>49</v>
      </c>
      <c r="Z880" s="14"/>
      <c r="AA880" s="14"/>
      <c r="AC880" s="21"/>
      <c r="AE880" s="21"/>
    </row>
    <row r="881" spans="1:31" hidden="1">
      <c r="A881" s="1">
        <v>9271230</v>
      </c>
      <c r="B881" s="1" t="s">
        <v>101</v>
      </c>
      <c r="C881" t="s">
        <v>643</v>
      </c>
      <c r="D881" s="2">
        <v>230001642</v>
      </c>
      <c r="E881" s="2">
        <v>1792001400030</v>
      </c>
      <c r="F881" s="1" t="s">
        <v>647</v>
      </c>
      <c r="G881" s="1" t="s">
        <v>53</v>
      </c>
      <c r="H881" s="1" t="s">
        <v>467</v>
      </c>
      <c r="I881" s="1" t="s">
        <v>468</v>
      </c>
      <c r="J881" s="1" t="s">
        <v>110</v>
      </c>
      <c r="K881" t="s">
        <v>650</v>
      </c>
      <c r="M881" s="1" t="s">
        <v>58</v>
      </c>
      <c r="N881" s="1">
        <v>0</v>
      </c>
      <c r="O881" s="1" t="s">
        <v>105</v>
      </c>
      <c r="P881" s="186">
        <v>44928.004513888889</v>
      </c>
      <c r="R881" s="1">
        <v>4</v>
      </c>
      <c r="T881" s="1" t="s">
        <v>646</v>
      </c>
      <c r="U881" s="186">
        <v>44929.004513888889</v>
      </c>
      <c r="V881" s="1" t="s">
        <v>41</v>
      </c>
      <c r="W881" s="1" t="s">
        <v>49</v>
      </c>
      <c r="Z881" s="14"/>
      <c r="AA881" s="14"/>
      <c r="AC881" s="21"/>
      <c r="AE881" s="21"/>
    </row>
    <row r="882" spans="1:31" hidden="1">
      <c r="A882" s="1">
        <v>9271227</v>
      </c>
      <c r="B882" s="1" t="s">
        <v>101</v>
      </c>
      <c r="C882" t="s">
        <v>643</v>
      </c>
      <c r="D882" s="2">
        <v>230001658</v>
      </c>
      <c r="E882" s="2">
        <v>5740001400040</v>
      </c>
      <c r="F882" s="1" t="s">
        <v>644</v>
      </c>
      <c r="G882" s="1" t="s">
        <v>53</v>
      </c>
      <c r="H882" s="1" t="s">
        <v>626</v>
      </c>
      <c r="I882" s="1" t="s">
        <v>627</v>
      </c>
      <c r="J882" s="1" t="s">
        <v>46</v>
      </c>
      <c r="K882" t="s">
        <v>645</v>
      </c>
      <c r="M882" s="1" t="s">
        <v>58</v>
      </c>
      <c r="N882" s="1">
        <v>0</v>
      </c>
      <c r="O882" s="1" t="s">
        <v>105</v>
      </c>
      <c r="P882" s="186">
        <v>44928.004340277781</v>
      </c>
      <c r="R882" s="1">
        <v>3</v>
      </c>
      <c r="T882" s="1" t="s">
        <v>646</v>
      </c>
      <c r="U882" s="186">
        <v>44929.004340277781</v>
      </c>
      <c r="V882" s="1" t="s">
        <v>41</v>
      </c>
      <c r="W882" s="1" t="s">
        <v>49</v>
      </c>
      <c r="Z882" s="14"/>
      <c r="AA882" s="14"/>
      <c r="AC882" s="21"/>
      <c r="AE882" s="21"/>
    </row>
    <row r="883" spans="1:31" hidden="1">
      <c r="A883" s="1">
        <v>9280165</v>
      </c>
      <c r="B883" s="1" t="s">
        <v>1153</v>
      </c>
      <c r="C883" t="s">
        <v>1737</v>
      </c>
      <c r="D883" s="2">
        <v>230002991</v>
      </c>
      <c r="E883" s="2">
        <v>3613001400030</v>
      </c>
      <c r="F883" s="1" t="s">
        <v>647</v>
      </c>
      <c r="G883" s="1" t="s">
        <v>53</v>
      </c>
      <c r="H883" s="1" t="s">
        <v>679</v>
      </c>
      <c r="I883" s="1" t="s">
        <v>680</v>
      </c>
      <c r="J883" s="1" t="s">
        <v>46</v>
      </c>
      <c r="K883" t="s">
        <v>650</v>
      </c>
      <c r="M883" s="1" t="s">
        <v>58</v>
      </c>
      <c r="N883" s="1">
        <v>0</v>
      </c>
      <c r="O883" s="1" t="s">
        <v>36</v>
      </c>
      <c r="P883" s="186">
        <v>44929.666481481479</v>
      </c>
      <c r="R883" s="1">
        <v>4</v>
      </c>
      <c r="T883" s="1" t="s">
        <v>646</v>
      </c>
      <c r="U883" s="186">
        <v>44937.729166666664</v>
      </c>
      <c r="V883" s="1" t="s">
        <v>41</v>
      </c>
      <c r="W883" s="1" t="s">
        <v>49</v>
      </c>
      <c r="Z883" s="14"/>
      <c r="AA883" s="14"/>
      <c r="AC883" s="21"/>
      <c r="AE883" s="21"/>
    </row>
    <row r="884" spans="1:31" hidden="1">
      <c r="A884" s="1">
        <v>9285222</v>
      </c>
      <c r="B884" s="1" t="s">
        <v>101</v>
      </c>
      <c r="C884" t="s">
        <v>1740</v>
      </c>
      <c r="E884" s="2">
        <v>7417163050348</v>
      </c>
      <c r="F884" s="1" t="s">
        <v>1741</v>
      </c>
      <c r="G884" s="1" t="s">
        <v>53</v>
      </c>
      <c r="H884" s="1" t="s">
        <v>1742</v>
      </c>
      <c r="I884" s="1" t="s">
        <v>1743</v>
      </c>
      <c r="J884" s="1" t="s">
        <v>141</v>
      </c>
      <c r="K884" t="s">
        <v>1744</v>
      </c>
      <c r="M884" s="1" t="s">
        <v>58</v>
      </c>
      <c r="N884" s="1">
        <v>0</v>
      </c>
      <c r="O884" s="1" t="s">
        <v>105</v>
      </c>
      <c r="P884" s="186">
        <v>44930.678425925929</v>
      </c>
      <c r="R884" s="1">
        <v>14</v>
      </c>
      <c r="T884" s="1" t="s">
        <v>238</v>
      </c>
      <c r="U884" s="186">
        <v>44930.678425925929</v>
      </c>
      <c r="V884" s="1" t="s">
        <v>41</v>
      </c>
      <c r="W884" s="1" t="s">
        <v>49</v>
      </c>
      <c r="Z884" s="14"/>
      <c r="AA884" s="14"/>
      <c r="AC884" s="21"/>
      <c r="AE884" s="21"/>
    </row>
    <row r="885" spans="1:31" hidden="1">
      <c r="A885" s="1">
        <v>9283021</v>
      </c>
      <c r="B885" s="1" t="s">
        <v>1153</v>
      </c>
      <c r="C885" t="s">
        <v>1746</v>
      </c>
      <c r="D885" s="2">
        <v>230003174</v>
      </c>
      <c r="E885" s="2">
        <v>1264001400030</v>
      </c>
      <c r="F885" s="1" t="s">
        <v>647</v>
      </c>
      <c r="G885" s="1" t="s">
        <v>53</v>
      </c>
      <c r="H885" s="1" t="s">
        <v>351</v>
      </c>
      <c r="I885" s="1" t="s">
        <v>352</v>
      </c>
      <c r="J885" s="1" t="s">
        <v>110</v>
      </c>
      <c r="K885" t="s">
        <v>650</v>
      </c>
      <c r="M885" s="1" t="s">
        <v>58</v>
      </c>
      <c r="N885" s="1">
        <v>0</v>
      </c>
      <c r="O885" s="1" t="s">
        <v>36</v>
      </c>
      <c r="P885" s="186">
        <v>44930.391539351855</v>
      </c>
      <c r="R885" s="1">
        <v>4</v>
      </c>
      <c r="T885" s="1" t="s">
        <v>646</v>
      </c>
      <c r="U885" s="186">
        <v>44935.645833333336</v>
      </c>
      <c r="V885" s="1" t="s">
        <v>41</v>
      </c>
      <c r="W885" s="1" t="s">
        <v>49</v>
      </c>
      <c r="Z885" s="14"/>
      <c r="AA885" s="14"/>
      <c r="AC885" s="21"/>
      <c r="AE885" s="21"/>
    </row>
    <row r="886" spans="1:31" hidden="1">
      <c r="A886" s="1">
        <v>9289476</v>
      </c>
      <c r="B886" s="1" t="s">
        <v>1153</v>
      </c>
      <c r="C886" t="s">
        <v>1747</v>
      </c>
      <c r="D886" s="2">
        <v>20234924000013</v>
      </c>
      <c r="E886" s="2">
        <v>7417163281264</v>
      </c>
      <c r="F886" s="1" t="s">
        <v>131</v>
      </c>
      <c r="G886" s="1" t="s">
        <v>53</v>
      </c>
      <c r="H886" s="1" t="s">
        <v>1748</v>
      </c>
      <c r="I886" s="1" t="s">
        <v>1749</v>
      </c>
      <c r="J886" s="1" t="s">
        <v>79</v>
      </c>
      <c r="K886" t="s">
        <v>132</v>
      </c>
      <c r="M886" s="1" t="s">
        <v>58</v>
      </c>
      <c r="N886" s="1">
        <v>0</v>
      </c>
      <c r="O886" s="1" t="s">
        <v>36</v>
      </c>
      <c r="P886" s="186">
        <v>44931.581041666665</v>
      </c>
      <c r="R886" s="1">
        <v>14</v>
      </c>
      <c r="T886" s="1" t="s">
        <v>238</v>
      </c>
      <c r="U886" s="186">
        <v>44931.581041666665</v>
      </c>
      <c r="V886" s="1" t="s">
        <v>41</v>
      </c>
      <c r="W886" s="1" t="s">
        <v>49</v>
      </c>
      <c r="Z886" s="14"/>
      <c r="AA886" s="14"/>
      <c r="AC886" s="21"/>
      <c r="AE886" s="21"/>
    </row>
    <row r="887" spans="1:31" hidden="1">
      <c r="A887" s="1">
        <v>9303921</v>
      </c>
      <c r="B887" s="1" t="s">
        <v>101</v>
      </c>
      <c r="C887" t="s">
        <v>1751</v>
      </c>
      <c r="E887" s="2">
        <v>9705000206201</v>
      </c>
      <c r="F887" s="1" t="s">
        <v>208</v>
      </c>
      <c r="G887" s="1" t="s">
        <v>53</v>
      </c>
      <c r="H887" s="1" t="s">
        <v>204</v>
      </c>
      <c r="I887" s="1" t="s">
        <v>205</v>
      </c>
      <c r="J887" s="1" t="s">
        <v>90</v>
      </c>
      <c r="K887" t="s">
        <v>212</v>
      </c>
      <c r="M887" s="1" t="s">
        <v>35</v>
      </c>
      <c r="N887" s="1">
        <v>42318949</v>
      </c>
      <c r="O887" s="1" t="s">
        <v>105</v>
      </c>
      <c r="P887" s="186">
        <v>44932.681018518517</v>
      </c>
      <c r="R887" s="1" t="s">
        <v>38</v>
      </c>
      <c r="T887" s="1" t="s">
        <v>74</v>
      </c>
      <c r="U887" s="186">
        <v>44932.75</v>
      </c>
      <c r="V887" s="1" t="s">
        <v>41</v>
      </c>
      <c r="W887" s="1" t="s">
        <v>49</v>
      </c>
      <c r="Z887" s="14"/>
      <c r="AA887" s="14"/>
      <c r="AC887" s="21"/>
      <c r="AE887" s="21"/>
    </row>
    <row r="888" spans="1:31" hidden="1">
      <c r="A888" s="1">
        <v>9303920</v>
      </c>
      <c r="B888" s="1" t="s">
        <v>101</v>
      </c>
      <c r="C888" t="s">
        <v>1751</v>
      </c>
      <c r="E888" s="2">
        <v>9704000206201</v>
      </c>
      <c r="F888" s="1" t="s">
        <v>208</v>
      </c>
      <c r="G888" s="1" t="s">
        <v>53</v>
      </c>
      <c r="H888" s="1" t="s">
        <v>488</v>
      </c>
      <c r="I888" s="1" t="s">
        <v>489</v>
      </c>
      <c r="J888" s="1" t="s">
        <v>164</v>
      </c>
      <c r="K888" t="s">
        <v>212</v>
      </c>
      <c r="M888" s="1" t="s">
        <v>35</v>
      </c>
      <c r="N888" s="1">
        <v>42318949</v>
      </c>
      <c r="O888" s="1" t="s">
        <v>105</v>
      </c>
      <c r="P888" s="186">
        <v>44932.681018518517</v>
      </c>
      <c r="R888" s="1" t="s">
        <v>38</v>
      </c>
      <c r="T888" s="1" t="s">
        <v>74</v>
      </c>
      <c r="U888" s="186">
        <v>44932.75</v>
      </c>
      <c r="V888" s="1" t="s">
        <v>41</v>
      </c>
      <c r="W888" s="1" t="s">
        <v>49</v>
      </c>
      <c r="Z888" s="14"/>
      <c r="AA888" s="14"/>
      <c r="AC888" s="21"/>
      <c r="AE888" s="21"/>
    </row>
    <row r="889" spans="1:31" hidden="1">
      <c r="A889" s="1">
        <v>9303919</v>
      </c>
      <c r="B889" s="1" t="s">
        <v>101</v>
      </c>
      <c r="C889" t="s">
        <v>1751</v>
      </c>
      <c r="E889" s="2">
        <v>9703000206201</v>
      </c>
      <c r="F889" s="1" t="s">
        <v>208</v>
      </c>
      <c r="G889" s="1" t="s">
        <v>53</v>
      </c>
      <c r="H889" s="1" t="s">
        <v>494</v>
      </c>
      <c r="I889" s="1" t="s">
        <v>495</v>
      </c>
      <c r="J889" s="1" t="s">
        <v>79</v>
      </c>
      <c r="K889" t="s">
        <v>212</v>
      </c>
      <c r="M889" s="1" t="s">
        <v>35</v>
      </c>
      <c r="N889" s="1">
        <v>42318949</v>
      </c>
      <c r="O889" s="1" t="s">
        <v>105</v>
      </c>
      <c r="P889" s="186">
        <v>44932.681018518517</v>
      </c>
      <c r="R889" s="1" t="s">
        <v>38</v>
      </c>
      <c r="T889" s="1" t="s">
        <v>74</v>
      </c>
      <c r="U889" s="186">
        <v>44932.75</v>
      </c>
      <c r="V889" s="1" t="s">
        <v>41</v>
      </c>
      <c r="W889" s="1" t="s">
        <v>49</v>
      </c>
      <c r="Z889" s="14"/>
      <c r="AA889" s="14"/>
      <c r="AC889" s="21"/>
      <c r="AE889" s="21"/>
    </row>
    <row r="890" spans="1:31" hidden="1">
      <c r="A890" s="1">
        <v>9303918</v>
      </c>
      <c r="B890" s="1" t="s">
        <v>101</v>
      </c>
      <c r="C890" t="s">
        <v>1751</v>
      </c>
      <c r="E890" s="2">
        <v>9700000206201</v>
      </c>
      <c r="F890" s="1" t="s">
        <v>208</v>
      </c>
      <c r="G890" s="1" t="s">
        <v>53</v>
      </c>
      <c r="H890" s="1" t="s">
        <v>209</v>
      </c>
      <c r="I890" s="1" t="s">
        <v>210</v>
      </c>
      <c r="J890" s="1" t="s">
        <v>211</v>
      </c>
      <c r="K890" t="s">
        <v>212</v>
      </c>
      <c r="M890" s="1" t="s">
        <v>35</v>
      </c>
      <c r="N890" s="1">
        <v>42318949</v>
      </c>
      <c r="O890" s="1" t="s">
        <v>105</v>
      </c>
      <c r="P890" s="186">
        <v>44932.681006944447</v>
      </c>
      <c r="R890" s="1" t="s">
        <v>38</v>
      </c>
      <c r="T890" s="1" t="s">
        <v>74</v>
      </c>
      <c r="U890" s="186">
        <v>44932.75</v>
      </c>
      <c r="V890" s="1" t="s">
        <v>41</v>
      </c>
      <c r="W890" s="1" t="s">
        <v>49</v>
      </c>
      <c r="Z890" s="14"/>
      <c r="AA890" s="14"/>
      <c r="AC890" s="21"/>
      <c r="AE890" s="21"/>
    </row>
    <row r="891" spans="1:31" hidden="1">
      <c r="A891" s="1">
        <v>9303886</v>
      </c>
      <c r="B891" s="1" t="s">
        <v>101</v>
      </c>
      <c r="C891" t="s">
        <v>1751</v>
      </c>
      <c r="E891" s="2">
        <v>9661000206201</v>
      </c>
      <c r="F891" s="1" t="s">
        <v>208</v>
      </c>
      <c r="G891" s="1" t="s">
        <v>53</v>
      </c>
      <c r="H891" s="1" t="s">
        <v>31</v>
      </c>
      <c r="I891" s="1" t="s">
        <v>32</v>
      </c>
      <c r="J891" s="1" t="s">
        <v>33</v>
      </c>
      <c r="K891" t="s">
        <v>212</v>
      </c>
      <c r="M891" s="1" t="s">
        <v>35</v>
      </c>
      <c r="N891" s="1">
        <v>42318949</v>
      </c>
      <c r="O891" s="1" t="s">
        <v>105</v>
      </c>
      <c r="P891" s="186">
        <v>44932.680960648147</v>
      </c>
      <c r="R891" s="1" t="s">
        <v>38</v>
      </c>
      <c r="T891" s="1" t="s">
        <v>74</v>
      </c>
      <c r="U891" s="186">
        <v>44932.75</v>
      </c>
      <c r="V891" s="1" t="s">
        <v>41</v>
      </c>
      <c r="W891" s="1" t="s">
        <v>42</v>
      </c>
      <c r="Z891" s="14"/>
      <c r="AA891" s="14"/>
      <c r="AC891" s="21"/>
      <c r="AE891" s="21"/>
    </row>
    <row r="892" spans="1:31" hidden="1">
      <c r="A892" s="1">
        <v>9303849</v>
      </c>
      <c r="B892" s="1" t="s">
        <v>101</v>
      </c>
      <c r="C892" t="s">
        <v>1751</v>
      </c>
      <c r="E892" s="2">
        <v>9406000206201</v>
      </c>
      <c r="F892" s="1" t="s">
        <v>208</v>
      </c>
      <c r="G892" s="1" t="s">
        <v>53</v>
      </c>
      <c r="H892" s="1" t="s">
        <v>114</v>
      </c>
      <c r="I892" s="1" t="s">
        <v>115</v>
      </c>
      <c r="J892" s="1" t="s">
        <v>46</v>
      </c>
      <c r="K892" t="s">
        <v>212</v>
      </c>
      <c r="M892" s="1" t="s">
        <v>35</v>
      </c>
      <c r="N892" s="1">
        <v>42318949</v>
      </c>
      <c r="O892" s="1" t="s">
        <v>105</v>
      </c>
      <c r="P892" s="186">
        <v>44932.680902777778</v>
      </c>
      <c r="R892" s="1" t="s">
        <v>38</v>
      </c>
      <c r="T892" s="1" t="s">
        <v>74</v>
      </c>
      <c r="U892" s="186">
        <v>44932.75</v>
      </c>
      <c r="V892" s="1" t="s">
        <v>41</v>
      </c>
      <c r="W892" s="1" t="s">
        <v>49</v>
      </c>
      <c r="Z892" s="14"/>
      <c r="AA892" s="14"/>
      <c r="AC892" s="21"/>
      <c r="AE892" s="21"/>
    </row>
    <row r="893" spans="1:31" hidden="1">
      <c r="A893" s="1">
        <v>9303360</v>
      </c>
      <c r="B893" s="1" t="s">
        <v>101</v>
      </c>
      <c r="C893" t="s">
        <v>1756</v>
      </c>
      <c r="E893" s="2">
        <v>9705000206001</v>
      </c>
      <c r="F893" s="1" t="s">
        <v>29</v>
      </c>
      <c r="G893" s="1" t="s">
        <v>53</v>
      </c>
      <c r="H893" s="1" t="s">
        <v>204</v>
      </c>
      <c r="I893" s="1" t="s">
        <v>205</v>
      </c>
      <c r="J893" s="1" t="s">
        <v>90</v>
      </c>
      <c r="K893" t="s">
        <v>34</v>
      </c>
      <c r="M893" s="1" t="s">
        <v>35</v>
      </c>
      <c r="N893" s="1">
        <v>42318949</v>
      </c>
      <c r="O893" s="1" t="s">
        <v>105</v>
      </c>
      <c r="P893" s="186">
        <v>44932.623599537037</v>
      </c>
      <c r="R893" s="1" t="s">
        <v>38</v>
      </c>
      <c r="T893" s="1" t="s">
        <v>74</v>
      </c>
      <c r="U893" s="186">
        <v>44932.75</v>
      </c>
      <c r="V893" s="1" t="s">
        <v>41</v>
      </c>
      <c r="W893" s="1" t="s">
        <v>49</v>
      </c>
      <c r="Z893" s="14"/>
      <c r="AA893" s="14"/>
      <c r="AC893" s="21"/>
      <c r="AE893" s="21"/>
    </row>
    <row r="894" spans="1:31" hidden="1">
      <c r="A894" s="1">
        <v>9303359</v>
      </c>
      <c r="B894" s="1" t="s">
        <v>101</v>
      </c>
      <c r="C894" t="s">
        <v>1756</v>
      </c>
      <c r="E894" s="2">
        <v>9705000206001</v>
      </c>
      <c r="F894" s="1" t="s">
        <v>29</v>
      </c>
      <c r="G894" s="1" t="s">
        <v>53</v>
      </c>
      <c r="H894" s="1" t="s">
        <v>204</v>
      </c>
      <c r="I894" s="1" t="s">
        <v>205</v>
      </c>
      <c r="J894" s="1" t="s">
        <v>90</v>
      </c>
      <c r="K894" t="s">
        <v>34</v>
      </c>
      <c r="M894" s="1" t="s">
        <v>35</v>
      </c>
      <c r="N894" s="1">
        <v>42318949</v>
      </c>
      <c r="O894" s="1" t="s">
        <v>105</v>
      </c>
      <c r="P894" s="186">
        <v>44932.623599537037</v>
      </c>
      <c r="R894" s="1" t="s">
        <v>38</v>
      </c>
      <c r="T894" s="1" t="s">
        <v>74</v>
      </c>
      <c r="U894" s="186">
        <v>44932.75</v>
      </c>
      <c r="V894" s="1" t="s">
        <v>41</v>
      </c>
      <c r="W894" s="1" t="s">
        <v>49</v>
      </c>
      <c r="Z894" s="14"/>
      <c r="AA894" s="14"/>
      <c r="AC894" s="21"/>
      <c r="AE894" s="21"/>
    </row>
    <row r="895" spans="1:31" hidden="1">
      <c r="A895" s="1">
        <v>9303358</v>
      </c>
      <c r="B895" s="1" t="s">
        <v>101</v>
      </c>
      <c r="C895" t="s">
        <v>1756</v>
      </c>
      <c r="E895" s="2">
        <v>9705000206001</v>
      </c>
      <c r="F895" s="1" t="s">
        <v>29</v>
      </c>
      <c r="G895" s="1" t="s">
        <v>53</v>
      </c>
      <c r="H895" s="1" t="s">
        <v>204</v>
      </c>
      <c r="I895" s="1" t="s">
        <v>205</v>
      </c>
      <c r="J895" s="1" t="s">
        <v>90</v>
      </c>
      <c r="K895" t="s">
        <v>34</v>
      </c>
      <c r="M895" s="1" t="s">
        <v>35</v>
      </c>
      <c r="N895" s="1">
        <v>42318949</v>
      </c>
      <c r="O895" s="1" t="s">
        <v>105</v>
      </c>
      <c r="P895" s="186">
        <v>44932.623599537037</v>
      </c>
      <c r="R895" s="1" t="s">
        <v>38</v>
      </c>
      <c r="T895" s="1" t="s">
        <v>74</v>
      </c>
      <c r="U895" s="186">
        <v>44932.75</v>
      </c>
      <c r="V895" s="1" t="s">
        <v>41</v>
      </c>
      <c r="W895" s="1" t="s">
        <v>49</v>
      </c>
      <c r="Z895" s="14"/>
      <c r="AA895" s="14"/>
    </row>
    <row r="896" spans="1:31" hidden="1">
      <c r="A896" s="1">
        <v>9303357</v>
      </c>
      <c r="B896" s="1" t="s">
        <v>101</v>
      </c>
      <c r="C896" t="s">
        <v>1756</v>
      </c>
      <c r="E896" s="2">
        <v>9704000206001</v>
      </c>
      <c r="F896" s="1" t="s">
        <v>29</v>
      </c>
      <c r="G896" s="1" t="s">
        <v>53</v>
      </c>
      <c r="H896" s="1" t="s">
        <v>488</v>
      </c>
      <c r="I896" s="1" t="s">
        <v>489</v>
      </c>
      <c r="J896" s="1" t="s">
        <v>164</v>
      </c>
      <c r="K896" t="s">
        <v>34</v>
      </c>
      <c r="M896" s="1" t="s">
        <v>35</v>
      </c>
      <c r="N896" s="1">
        <v>42318949</v>
      </c>
      <c r="O896" s="1" t="s">
        <v>105</v>
      </c>
      <c r="P896" s="186">
        <v>44932.623599537037</v>
      </c>
      <c r="R896" s="1" t="s">
        <v>38</v>
      </c>
      <c r="T896" s="1" t="s">
        <v>74</v>
      </c>
      <c r="U896" s="186">
        <v>44932.75</v>
      </c>
      <c r="V896" s="1" t="s">
        <v>41</v>
      </c>
      <c r="W896" s="1" t="s">
        <v>49</v>
      </c>
      <c r="Z896" s="14"/>
      <c r="AA896" s="14"/>
    </row>
    <row r="897" spans="1:27" hidden="1">
      <c r="A897" s="1">
        <v>9303356</v>
      </c>
      <c r="B897" s="1" t="s">
        <v>101</v>
      </c>
      <c r="C897" t="s">
        <v>1756</v>
      </c>
      <c r="E897" s="2">
        <v>9704000206001</v>
      </c>
      <c r="F897" s="1" t="s">
        <v>29</v>
      </c>
      <c r="G897" s="1" t="s">
        <v>53</v>
      </c>
      <c r="H897" s="1" t="s">
        <v>488</v>
      </c>
      <c r="I897" s="1" t="s">
        <v>489</v>
      </c>
      <c r="J897" s="1" t="s">
        <v>164</v>
      </c>
      <c r="K897" t="s">
        <v>34</v>
      </c>
      <c r="M897" s="1" t="s">
        <v>35</v>
      </c>
      <c r="N897" s="1">
        <v>42318949</v>
      </c>
      <c r="O897" s="1" t="s">
        <v>105</v>
      </c>
      <c r="P897" s="186">
        <v>44932.623599537037</v>
      </c>
      <c r="R897" s="1" t="s">
        <v>38</v>
      </c>
      <c r="T897" s="1" t="s">
        <v>74</v>
      </c>
      <c r="U897" s="186">
        <v>44932.75</v>
      </c>
      <c r="V897" s="1" t="s">
        <v>41</v>
      </c>
      <c r="W897" s="1" t="s">
        <v>49</v>
      </c>
      <c r="Z897" s="14"/>
      <c r="AA897" s="14"/>
    </row>
    <row r="898" spans="1:27" hidden="1">
      <c r="A898" s="1">
        <v>9303355</v>
      </c>
      <c r="B898" s="1" t="s">
        <v>101</v>
      </c>
      <c r="C898" t="s">
        <v>1756</v>
      </c>
      <c r="E898" s="2">
        <v>9704000206001</v>
      </c>
      <c r="F898" s="1" t="s">
        <v>29</v>
      </c>
      <c r="G898" s="1" t="s">
        <v>53</v>
      </c>
      <c r="H898" s="1" t="s">
        <v>488</v>
      </c>
      <c r="I898" s="1" t="s">
        <v>489</v>
      </c>
      <c r="J898" s="1" t="s">
        <v>164</v>
      </c>
      <c r="K898" t="s">
        <v>34</v>
      </c>
      <c r="M898" s="1" t="s">
        <v>35</v>
      </c>
      <c r="N898" s="1">
        <v>42318949</v>
      </c>
      <c r="O898" s="1" t="s">
        <v>105</v>
      </c>
      <c r="P898" s="186">
        <v>44932.623599537037</v>
      </c>
      <c r="R898" s="1" t="s">
        <v>38</v>
      </c>
      <c r="T898" s="1" t="s">
        <v>74</v>
      </c>
      <c r="U898" s="186">
        <v>44932.75</v>
      </c>
      <c r="V898" s="1" t="s">
        <v>41</v>
      </c>
      <c r="W898" s="1" t="s">
        <v>49</v>
      </c>
      <c r="Z898" s="14"/>
      <c r="AA898" s="14"/>
    </row>
    <row r="899" spans="1:27" hidden="1">
      <c r="A899" s="1">
        <v>9303354</v>
      </c>
      <c r="B899" s="1" t="s">
        <v>101</v>
      </c>
      <c r="C899" t="s">
        <v>1756</v>
      </c>
      <c r="E899" s="2">
        <v>9703000206001</v>
      </c>
      <c r="F899" s="1" t="s">
        <v>29</v>
      </c>
      <c r="G899" s="1" t="s">
        <v>53</v>
      </c>
      <c r="H899" s="1" t="s">
        <v>494</v>
      </c>
      <c r="I899" s="1" t="s">
        <v>495</v>
      </c>
      <c r="J899" s="1" t="s">
        <v>79</v>
      </c>
      <c r="K899" t="s">
        <v>34</v>
      </c>
      <c r="M899" s="1" t="s">
        <v>35</v>
      </c>
      <c r="N899" s="1">
        <v>42318949</v>
      </c>
      <c r="O899" s="1" t="s">
        <v>105</v>
      </c>
      <c r="P899" s="186">
        <v>44932.623599537037</v>
      </c>
      <c r="R899" s="1" t="s">
        <v>38</v>
      </c>
      <c r="T899" s="1" t="s">
        <v>74</v>
      </c>
      <c r="U899" s="186">
        <v>44932.75</v>
      </c>
      <c r="V899" s="1" t="s">
        <v>41</v>
      </c>
      <c r="W899" s="1" t="s">
        <v>49</v>
      </c>
      <c r="Z899" s="14"/>
      <c r="AA899" s="14"/>
    </row>
    <row r="900" spans="1:27" hidden="1">
      <c r="A900" s="1">
        <v>9303353</v>
      </c>
      <c r="B900" s="1" t="s">
        <v>101</v>
      </c>
      <c r="C900" t="s">
        <v>1756</v>
      </c>
      <c r="E900" s="2">
        <v>9703000206001</v>
      </c>
      <c r="F900" s="1" t="s">
        <v>29</v>
      </c>
      <c r="G900" s="1" t="s">
        <v>53</v>
      </c>
      <c r="H900" s="1" t="s">
        <v>494</v>
      </c>
      <c r="I900" s="1" t="s">
        <v>495</v>
      </c>
      <c r="J900" s="1" t="s">
        <v>79</v>
      </c>
      <c r="K900" t="s">
        <v>34</v>
      </c>
      <c r="M900" s="1" t="s">
        <v>35</v>
      </c>
      <c r="N900" s="1">
        <v>42318949</v>
      </c>
      <c r="O900" s="1" t="s">
        <v>105</v>
      </c>
      <c r="P900" s="186">
        <v>44932.623599537037</v>
      </c>
      <c r="R900" s="1" t="s">
        <v>38</v>
      </c>
      <c r="T900" s="1" t="s">
        <v>74</v>
      </c>
      <c r="U900" s="186">
        <v>44932.75</v>
      </c>
      <c r="V900" s="1" t="s">
        <v>41</v>
      </c>
      <c r="W900" s="1" t="s">
        <v>49</v>
      </c>
      <c r="Z900" s="14"/>
      <c r="AA900" s="14"/>
    </row>
    <row r="901" spans="1:27" hidden="1">
      <c r="A901" s="1">
        <v>9303352</v>
      </c>
      <c r="B901" s="1" t="s">
        <v>101</v>
      </c>
      <c r="C901" t="s">
        <v>1756</v>
      </c>
      <c r="E901" s="2">
        <v>9700000206001</v>
      </c>
      <c r="F901" s="1" t="s">
        <v>29</v>
      </c>
      <c r="G901" s="1" t="s">
        <v>53</v>
      </c>
      <c r="H901" s="1" t="s">
        <v>209</v>
      </c>
      <c r="I901" s="1" t="s">
        <v>210</v>
      </c>
      <c r="J901" s="1" t="s">
        <v>211</v>
      </c>
      <c r="K901" t="s">
        <v>34</v>
      </c>
      <c r="M901" s="1" t="s">
        <v>35</v>
      </c>
      <c r="N901" s="1">
        <v>42318949</v>
      </c>
      <c r="O901" s="1" t="s">
        <v>105</v>
      </c>
      <c r="P901" s="186">
        <v>44932.62358796296</v>
      </c>
      <c r="R901" s="1" t="s">
        <v>38</v>
      </c>
      <c r="T901" s="1" t="s">
        <v>74</v>
      </c>
      <c r="U901" s="186">
        <v>44932.75</v>
      </c>
      <c r="V901" s="1" t="s">
        <v>41</v>
      </c>
      <c r="W901" s="1" t="s">
        <v>49</v>
      </c>
      <c r="Z901" s="14"/>
      <c r="AA901" s="14"/>
    </row>
    <row r="902" spans="1:27" hidden="1">
      <c r="A902" s="1">
        <v>9303351</v>
      </c>
      <c r="B902" s="1" t="s">
        <v>101</v>
      </c>
      <c r="C902" t="s">
        <v>1756</v>
      </c>
      <c r="E902" s="2">
        <v>9700000206001</v>
      </c>
      <c r="F902" s="1" t="s">
        <v>29</v>
      </c>
      <c r="G902" s="1" t="s">
        <v>53</v>
      </c>
      <c r="H902" s="1" t="s">
        <v>209</v>
      </c>
      <c r="I902" s="1" t="s">
        <v>210</v>
      </c>
      <c r="J902" s="1" t="s">
        <v>211</v>
      </c>
      <c r="K902" t="s">
        <v>34</v>
      </c>
      <c r="M902" s="1" t="s">
        <v>35</v>
      </c>
      <c r="N902" s="1">
        <v>42318949</v>
      </c>
      <c r="O902" s="1" t="s">
        <v>105</v>
      </c>
      <c r="P902" s="186">
        <v>44932.62358796296</v>
      </c>
      <c r="R902" s="1" t="s">
        <v>38</v>
      </c>
      <c r="T902" s="1" t="s">
        <v>74</v>
      </c>
      <c r="U902" s="186">
        <v>44932.75</v>
      </c>
      <c r="V902" s="1" t="s">
        <v>41</v>
      </c>
      <c r="W902" s="1" t="s">
        <v>49</v>
      </c>
      <c r="Z902" s="14"/>
      <c r="AA902" s="14"/>
    </row>
    <row r="903" spans="1:27" hidden="1">
      <c r="A903" s="1">
        <v>9303071</v>
      </c>
      <c r="B903" s="1" t="s">
        <v>101</v>
      </c>
      <c r="C903" t="s">
        <v>1756</v>
      </c>
      <c r="E903" s="2">
        <v>9406000206001</v>
      </c>
      <c r="F903" s="1" t="s">
        <v>29</v>
      </c>
      <c r="G903" s="1" t="s">
        <v>53</v>
      </c>
      <c r="H903" s="1" t="s">
        <v>114</v>
      </c>
      <c r="I903" s="1" t="s">
        <v>115</v>
      </c>
      <c r="J903" s="1" t="s">
        <v>46</v>
      </c>
      <c r="K903" t="s">
        <v>34</v>
      </c>
      <c r="M903" s="1" t="s">
        <v>35</v>
      </c>
      <c r="N903" s="1">
        <v>42318949</v>
      </c>
      <c r="O903" s="1" t="s">
        <v>105</v>
      </c>
      <c r="P903" s="186">
        <v>44932.623229166667</v>
      </c>
      <c r="R903" s="1" t="s">
        <v>38</v>
      </c>
      <c r="T903" s="1" t="s">
        <v>74</v>
      </c>
      <c r="U903" s="186">
        <v>44932.75</v>
      </c>
      <c r="V903" s="1" t="s">
        <v>41</v>
      </c>
      <c r="W903" s="1" t="s">
        <v>49</v>
      </c>
      <c r="Z903" s="14"/>
      <c r="AA903" s="14"/>
    </row>
    <row r="904" spans="1:27" hidden="1">
      <c r="A904" s="1">
        <v>9303070</v>
      </c>
      <c r="B904" s="1" t="s">
        <v>101</v>
      </c>
      <c r="C904" t="s">
        <v>1756</v>
      </c>
      <c r="E904" s="2">
        <v>9406000206001</v>
      </c>
      <c r="F904" s="1" t="s">
        <v>29</v>
      </c>
      <c r="G904" s="1" t="s">
        <v>53</v>
      </c>
      <c r="H904" s="1" t="s">
        <v>114</v>
      </c>
      <c r="I904" s="1" t="s">
        <v>115</v>
      </c>
      <c r="J904" s="1" t="s">
        <v>46</v>
      </c>
      <c r="K904" t="s">
        <v>34</v>
      </c>
      <c r="M904" s="1" t="s">
        <v>35</v>
      </c>
      <c r="N904" s="1">
        <v>42318949</v>
      </c>
      <c r="O904" s="1" t="s">
        <v>105</v>
      </c>
      <c r="P904" s="186">
        <v>44932.623217592591</v>
      </c>
      <c r="R904" s="1" t="s">
        <v>38</v>
      </c>
      <c r="T904" s="1" t="s">
        <v>74</v>
      </c>
      <c r="U904" s="186">
        <v>44932.75</v>
      </c>
      <c r="V904" s="1" t="s">
        <v>41</v>
      </c>
      <c r="W904" s="1" t="s">
        <v>49</v>
      </c>
      <c r="Z904" s="14"/>
      <c r="AA904" s="14"/>
    </row>
    <row r="905" spans="1:27" hidden="1">
      <c r="A905" s="1">
        <v>9303069</v>
      </c>
      <c r="B905" s="1" t="s">
        <v>101</v>
      </c>
      <c r="C905" t="s">
        <v>1756</v>
      </c>
      <c r="E905" s="2">
        <v>9406000206001</v>
      </c>
      <c r="F905" s="1" t="s">
        <v>29</v>
      </c>
      <c r="G905" s="1" t="s">
        <v>53</v>
      </c>
      <c r="H905" s="1" t="s">
        <v>114</v>
      </c>
      <c r="I905" s="1" t="s">
        <v>115</v>
      </c>
      <c r="J905" s="1" t="s">
        <v>46</v>
      </c>
      <c r="K905" t="s">
        <v>34</v>
      </c>
      <c r="M905" s="1" t="s">
        <v>35</v>
      </c>
      <c r="N905" s="1">
        <v>42318949</v>
      </c>
      <c r="O905" s="1" t="s">
        <v>105</v>
      </c>
      <c r="P905" s="186">
        <v>44932.623217592591</v>
      </c>
      <c r="R905" s="1" t="s">
        <v>38</v>
      </c>
      <c r="T905" s="1" t="s">
        <v>74</v>
      </c>
      <c r="U905" s="186">
        <v>44932.75</v>
      </c>
      <c r="V905" s="1" t="s">
        <v>41</v>
      </c>
      <c r="W905" s="1" t="s">
        <v>49</v>
      </c>
      <c r="Z905" s="14"/>
      <c r="AA905" s="14"/>
    </row>
    <row r="906" spans="1:27" hidden="1">
      <c r="A906" s="1">
        <v>9303068</v>
      </c>
      <c r="B906" s="1" t="s">
        <v>101</v>
      </c>
      <c r="C906" t="s">
        <v>1756</v>
      </c>
      <c r="E906" s="2">
        <v>9406000206001</v>
      </c>
      <c r="F906" s="1" t="s">
        <v>29</v>
      </c>
      <c r="G906" s="1" t="s">
        <v>53</v>
      </c>
      <c r="H906" s="1" t="s">
        <v>114</v>
      </c>
      <c r="I906" s="1" t="s">
        <v>115</v>
      </c>
      <c r="J906" s="1" t="s">
        <v>46</v>
      </c>
      <c r="K906" t="s">
        <v>34</v>
      </c>
      <c r="M906" s="1" t="s">
        <v>35</v>
      </c>
      <c r="N906" s="1">
        <v>42318949</v>
      </c>
      <c r="O906" s="1" t="s">
        <v>105</v>
      </c>
      <c r="P906" s="186">
        <v>44932.623217592591</v>
      </c>
      <c r="R906" s="1" t="s">
        <v>38</v>
      </c>
      <c r="T906" s="1" t="s">
        <v>74</v>
      </c>
      <c r="U906" s="186">
        <v>44932.75</v>
      </c>
      <c r="V906" s="1" t="s">
        <v>41</v>
      </c>
      <c r="W906" s="1" t="s">
        <v>49</v>
      </c>
      <c r="Z906" s="14"/>
      <c r="AA906" s="14"/>
    </row>
    <row r="907" spans="1:27" hidden="1">
      <c r="A907" s="1">
        <v>9303067</v>
      </c>
      <c r="B907" s="1" t="s">
        <v>101</v>
      </c>
      <c r="C907" t="s">
        <v>1756</v>
      </c>
      <c r="E907" s="2">
        <v>9406000206001</v>
      </c>
      <c r="F907" s="1" t="s">
        <v>29</v>
      </c>
      <c r="G907" s="1" t="s">
        <v>53</v>
      </c>
      <c r="H907" s="1" t="s">
        <v>114</v>
      </c>
      <c r="I907" s="1" t="s">
        <v>115</v>
      </c>
      <c r="J907" s="1" t="s">
        <v>46</v>
      </c>
      <c r="K907" t="s">
        <v>34</v>
      </c>
      <c r="M907" s="1" t="s">
        <v>35</v>
      </c>
      <c r="N907" s="1">
        <v>42318949</v>
      </c>
      <c r="O907" s="1" t="s">
        <v>105</v>
      </c>
      <c r="P907" s="186">
        <v>44932.623217592591</v>
      </c>
      <c r="R907" s="1" t="s">
        <v>38</v>
      </c>
      <c r="T907" s="1" t="s">
        <v>74</v>
      </c>
      <c r="U907" s="186">
        <v>44932.75</v>
      </c>
      <c r="V907" s="1" t="s">
        <v>41</v>
      </c>
      <c r="W907" s="1" t="s">
        <v>49</v>
      </c>
      <c r="Z907" s="14"/>
      <c r="AA907" s="14"/>
    </row>
    <row r="908" spans="1:27" hidden="1">
      <c r="A908" s="1">
        <v>9303066</v>
      </c>
      <c r="B908" s="1" t="s">
        <v>101</v>
      </c>
      <c r="C908" t="s">
        <v>1756</v>
      </c>
      <c r="E908" s="2">
        <v>9406000206001</v>
      </c>
      <c r="F908" s="1" t="s">
        <v>29</v>
      </c>
      <c r="G908" s="1" t="s">
        <v>53</v>
      </c>
      <c r="H908" s="1" t="s">
        <v>114</v>
      </c>
      <c r="I908" s="1" t="s">
        <v>115</v>
      </c>
      <c r="J908" s="1" t="s">
        <v>46</v>
      </c>
      <c r="K908" t="s">
        <v>34</v>
      </c>
      <c r="M908" s="1" t="s">
        <v>35</v>
      </c>
      <c r="N908" s="1">
        <v>42318949</v>
      </c>
      <c r="O908" s="1" t="s">
        <v>105</v>
      </c>
      <c r="P908" s="186">
        <v>44932.623217592591</v>
      </c>
      <c r="R908" s="1" t="s">
        <v>38</v>
      </c>
      <c r="T908" s="1" t="s">
        <v>74</v>
      </c>
      <c r="U908" s="186">
        <v>44932.75</v>
      </c>
      <c r="V908" s="1" t="s">
        <v>41</v>
      </c>
      <c r="W908" s="1" t="s">
        <v>49</v>
      </c>
      <c r="Z908" s="14"/>
      <c r="AA908" s="14"/>
    </row>
    <row r="909" spans="1:27" hidden="1">
      <c r="A909" s="1">
        <v>9303065</v>
      </c>
      <c r="B909" s="1" t="s">
        <v>101</v>
      </c>
      <c r="C909" t="s">
        <v>1756</v>
      </c>
      <c r="E909" s="2">
        <v>9406000206001</v>
      </c>
      <c r="F909" s="1" t="s">
        <v>29</v>
      </c>
      <c r="G909" s="1" t="s">
        <v>53</v>
      </c>
      <c r="H909" s="1" t="s">
        <v>114</v>
      </c>
      <c r="I909" s="1" t="s">
        <v>115</v>
      </c>
      <c r="J909" s="1" t="s">
        <v>46</v>
      </c>
      <c r="K909" t="s">
        <v>34</v>
      </c>
      <c r="M909" s="1" t="s">
        <v>35</v>
      </c>
      <c r="N909" s="1">
        <v>42318949</v>
      </c>
      <c r="O909" s="1" t="s">
        <v>105</v>
      </c>
      <c r="P909" s="186">
        <v>44932.623217592591</v>
      </c>
      <c r="R909" s="1" t="s">
        <v>38</v>
      </c>
      <c r="T909" s="1" t="s">
        <v>74</v>
      </c>
      <c r="U909" s="186">
        <v>44932.75</v>
      </c>
      <c r="V909" s="1" t="s">
        <v>41</v>
      </c>
      <c r="W909" s="1" t="s">
        <v>49</v>
      </c>
      <c r="Z909" s="14"/>
      <c r="AA909" s="14"/>
    </row>
    <row r="910" spans="1:27" hidden="1">
      <c r="A910" s="1">
        <v>9301763</v>
      </c>
      <c r="B910" s="1" t="s">
        <v>101</v>
      </c>
      <c r="C910" t="s">
        <v>1761</v>
      </c>
      <c r="E910" s="2">
        <v>9705000206001</v>
      </c>
      <c r="F910" s="1" t="s">
        <v>29</v>
      </c>
      <c r="G910" s="1" t="s">
        <v>53</v>
      </c>
      <c r="H910" s="1" t="s">
        <v>204</v>
      </c>
      <c r="I910" s="1" t="s">
        <v>205</v>
      </c>
      <c r="J910" s="1" t="s">
        <v>90</v>
      </c>
      <c r="K910" t="s">
        <v>34</v>
      </c>
      <c r="M910" s="1" t="s">
        <v>35</v>
      </c>
      <c r="N910" s="1">
        <v>42318949</v>
      </c>
      <c r="O910" s="1" t="s">
        <v>105</v>
      </c>
      <c r="P910" s="186">
        <v>44932.480995370373</v>
      </c>
      <c r="R910" s="1" t="s">
        <v>38</v>
      </c>
      <c r="T910" s="1" t="s">
        <v>74</v>
      </c>
      <c r="U910" s="186">
        <v>44932.75</v>
      </c>
      <c r="V910" s="1" t="s">
        <v>41</v>
      </c>
      <c r="W910" s="1" t="s">
        <v>49</v>
      </c>
      <c r="Z910" s="14"/>
      <c r="AA910" s="14"/>
    </row>
    <row r="911" spans="1:27" hidden="1">
      <c r="A911" s="1">
        <v>9301762</v>
      </c>
      <c r="B911" s="1" t="s">
        <v>101</v>
      </c>
      <c r="C911" t="s">
        <v>1761</v>
      </c>
      <c r="E911" s="2">
        <v>9705000206001</v>
      </c>
      <c r="F911" s="1" t="s">
        <v>29</v>
      </c>
      <c r="G911" s="1" t="s">
        <v>53</v>
      </c>
      <c r="H911" s="1" t="s">
        <v>204</v>
      </c>
      <c r="I911" s="1" t="s">
        <v>205</v>
      </c>
      <c r="J911" s="1" t="s">
        <v>90</v>
      </c>
      <c r="K911" t="s">
        <v>34</v>
      </c>
      <c r="M911" s="1" t="s">
        <v>35</v>
      </c>
      <c r="N911" s="1">
        <v>42318949</v>
      </c>
      <c r="O911" s="1" t="s">
        <v>105</v>
      </c>
      <c r="P911" s="186">
        <v>44932.480995370373</v>
      </c>
      <c r="R911" s="1" t="s">
        <v>38</v>
      </c>
      <c r="T911" s="1" t="s">
        <v>74</v>
      </c>
      <c r="U911" s="186">
        <v>44932.75</v>
      </c>
      <c r="V911" s="1" t="s">
        <v>41</v>
      </c>
      <c r="W911" s="1" t="s">
        <v>49</v>
      </c>
      <c r="Z911" s="14"/>
      <c r="AA911" s="14"/>
    </row>
    <row r="912" spans="1:27" hidden="1">
      <c r="A912" s="1">
        <v>9301761</v>
      </c>
      <c r="B912" s="1" t="s">
        <v>101</v>
      </c>
      <c r="C912" t="s">
        <v>1761</v>
      </c>
      <c r="E912" s="2">
        <v>9705000206001</v>
      </c>
      <c r="F912" s="1" t="s">
        <v>29</v>
      </c>
      <c r="G912" s="1" t="s">
        <v>53</v>
      </c>
      <c r="H912" s="1" t="s">
        <v>204</v>
      </c>
      <c r="I912" s="1" t="s">
        <v>205</v>
      </c>
      <c r="J912" s="1" t="s">
        <v>90</v>
      </c>
      <c r="K912" t="s">
        <v>34</v>
      </c>
      <c r="M912" s="1" t="s">
        <v>35</v>
      </c>
      <c r="N912" s="1">
        <v>42318949</v>
      </c>
      <c r="O912" s="1" t="s">
        <v>105</v>
      </c>
      <c r="P912" s="186">
        <v>44932.480995370373</v>
      </c>
      <c r="R912" s="1" t="s">
        <v>38</v>
      </c>
      <c r="T912" s="1" t="s">
        <v>74</v>
      </c>
      <c r="U912" s="186">
        <v>44932.75</v>
      </c>
      <c r="V912" s="1" t="s">
        <v>41</v>
      </c>
      <c r="W912" s="1" t="s">
        <v>49</v>
      </c>
      <c r="Z912" s="14"/>
      <c r="AA912" s="14"/>
    </row>
    <row r="913" spans="1:27" hidden="1">
      <c r="A913" s="1">
        <v>9301760</v>
      </c>
      <c r="B913" s="1" t="s">
        <v>101</v>
      </c>
      <c r="C913" t="s">
        <v>1761</v>
      </c>
      <c r="E913" s="2">
        <v>9704000206001</v>
      </c>
      <c r="F913" s="1" t="s">
        <v>29</v>
      </c>
      <c r="G913" s="1" t="s">
        <v>53</v>
      </c>
      <c r="H913" s="1" t="s">
        <v>488</v>
      </c>
      <c r="I913" s="1" t="s">
        <v>489</v>
      </c>
      <c r="J913" s="1" t="s">
        <v>164</v>
      </c>
      <c r="K913" t="s">
        <v>34</v>
      </c>
      <c r="M913" s="1" t="s">
        <v>35</v>
      </c>
      <c r="N913" s="1">
        <v>42318949</v>
      </c>
      <c r="O913" s="1" t="s">
        <v>105</v>
      </c>
      <c r="P913" s="186">
        <v>44932.480995370373</v>
      </c>
      <c r="R913" s="1" t="s">
        <v>38</v>
      </c>
      <c r="T913" s="1" t="s">
        <v>74</v>
      </c>
      <c r="U913" s="186">
        <v>44932.75</v>
      </c>
      <c r="V913" s="1" t="s">
        <v>41</v>
      </c>
      <c r="W913" s="1" t="s">
        <v>49</v>
      </c>
      <c r="Z913" s="14"/>
      <c r="AA913" s="14"/>
    </row>
    <row r="914" spans="1:27" hidden="1">
      <c r="A914" s="1">
        <v>9301759</v>
      </c>
      <c r="B914" s="1" t="s">
        <v>101</v>
      </c>
      <c r="C914" t="s">
        <v>1761</v>
      </c>
      <c r="E914" s="2">
        <v>9704000206001</v>
      </c>
      <c r="F914" s="1" t="s">
        <v>29</v>
      </c>
      <c r="G914" s="1" t="s">
        <v>53</v>
      </c>
      <c r="H914" s="1" t="s">
        <v>488</v>
      </c>
      <c r="I914" s="1" t="s">
        <v>489</v>
      </c>
      <c r="J914" s="1" t="s">
        <v>164</v>
      </c>
      <c r="K914" t="s">
        <v>34</v>
      </c>
      <c r="M914" s="1" t="s">
        <v>35</v>
      </c>
      <c r="N914" s="1">
        <v>42318949</v>
      </c>
      <c r="O914" s="1" t="s">
        <v>105</v>
      </c>
      <c r="P914" s="186">
        <v>44932.480995370373</v>
      </c>
      <c r="R914" s="1" t="s">
        <v>38</v>
      </c>
      <c r="T914" s="1" t="s">
        <v>74</v>
      </c>
      <c r="U914" s="186">
        <v>44932.75</v>
      </c>
      <c r="V914" s="1" t="s">
        <v>41</v>
      </c>
      <c r="W914" s="1" t="s">
        <v>49</v>
      </c>
      <c r="Z914" s="14"/>
      <c r="AA914" s="14"/>
    </row>
    <row r="915" spans="1:27" hidden="1">
      <c r="A915" s="1">
        <v>9301758</v>
      </c>
      <c r="B915" s="1" t="s">
        <v>101</v>
      </c>
      <c r="C915" t="s">
        <v>1761</v>
      </c>
      <c r="E915" s="2">
        <v>9704000206001</v>
      </c>
      <c r="F915" s="1" t="s">
        <v>29</v>
      </c>
      <c r="G915" s="1" t="s">
        <v>53</v>
      </c>
      <c r="H915" s="1" t="s">
        <v>488</v>
      </c>
      <c r="I915" s="1" t="s">
        <v>489</v>
      </c>
      <c r="J915" s="1" t="s">
        <v>164</v>
      </c>
      <c r="K915" t="s">
        <v>34</v>
      </c>
      <c r="M915" s="1" t="s">
        <v>35</v>
      </c>
      <c r="N915" s="1">
        <v>42318949</v>
      </c>
      <c r="O915" s="1" t="s">
        <v>105</v>
      </c>
      <c r="P915" s="186">
        <v>44932.480995370373</v>
      </c>
      <c r="R915" s="1" t="s">
        <v>38</v>
      </c>
      <c r="T915" s="1" t="s">
        <v>74</v>
      </c>
      <c r="U915" s="186">
        <v>44932.75</v>
      </c>
      <c r="V915" s="1" t="s">
        <v>41</v>
      </c>
      <c r="W915" s="1" t="s">
        <v>49</v>
      </c>
      <c r="Z915" s="14"/>
      <c r="AA915" s="14"/>
    </row>
    <row r="916" spans="1:27" hidden="1">
      <c r="A916" s="1">
        <v>9301757</v>
      </c>
      <c r="B916" s="1" t="s">
        <v>101</v>
      </c>
      <c r="C916" t="s">
        <v>1761</v>
      </c>
      <c r="E916" s="2">
        <v>9704000206001</v>
      </c>
      <c r="F916" s="1" t="s">
        <v>29</v>
      </c>
      <c r="G916" s="1" t="s">
        <v>53</v>
      </c>
      <c r="H916" s="1" t="s">
        <v>488</v>
      </c>
      <c r="I916" s="1" t="s">
        <v>489</v>
      </c>
      <c r="J916" s="1" t="s">
        <v>164</v>
      </c>
      <c r="K916" t="s">
        <v>34</v>
      </c>
      <c r="M916" s="1" t="s">
        <v>35</v>
      </c>
      <c r="N916" s="1">
        <v>42318949</v>
      </c>
      <c r="O916" s="1" t="s">
        <v>105</v>
      </c>
      <c r="P916" s="186">
        <v>44932.480995370373</v>
      </c>
      <c r="R916" s="1" t="s">
        <v>38</v>
      </c>
      <c r="T916" s="1" t="s">
        <v>74</v>
      </c>
      <c r="U916" s="186">
        <v>44932.75</v>
      </c>
      <c r="V916" s="1" t="s">
        <v>41</v>
      </c>
      <c r="W916" s="1" t="s">
        <v>49</v>
      </c>
      <c r="Z916" s="14"/>
      <c r="AA916" s="14"/>
    </row>
    <row r="917" spans="1:27" hidden="1">
      <c r="A917" s="1">
        <v>9301756</v>
      </c>
      <c r="B917" s="1" t="s">
        <v>101</v>
      </c>
      <c r="C917" t="s">
        <v>1761</v>
      </c>
      <c r="E917" s="2">
        <v>9703000206001</v>
      </c>
      <c r="F917" s="1" t="s">
        <v>29</v>
      </c>
      <c r="G917" s="1" t="s">
        <v>53</v>
      </c>
      <c r="H917" s="1" t="s">
        <v>494</v>
      </c>
      <c r="I917" s="1" t="s">
        <v>495</v>
      </c>
      <c r="J917" s="1" t="s">
        <v>79</v>
      </c>
      <c r="K917" t="s">
        <v>34</v>
      </c>
      <c r="M917" s="1" t="s">
        <v>35</v>
      </c>
      <c r="N917" s="1">
        <v>42318949</v>
      </c>
      <c r="O917" s="1" t="s">
        <v>105</v>
      </c>
      <c r="P917" s="186">
        <v>44932.480983796297</v>
      </c>
      <c r="R917" s="1" t="s">
        <v>38</v>
      </c>
      <c r="T917" s="1" t="s">
        <v>74</v>
      </c>
      <c r="U917" s="186">
        <v>44932.75</v>
      </c>
      <c r="V917" s="1" t="s">
        <v>41</v>
      </c>
      <c r="W917" s="1" t="s">
        <v>49</v>
      </c>
      <c r="Z917" s="14"/>
      <c r="AA917" s="14"/>
    </row>
    <row r="918" spans="1:27" hidden="1">
      <c r="A918" s="1">
        <v>9301755</v>
      </c>
      <c r="B918" s="1" t="s">
        <v>101</v>
      </c>
      <c r="C918" t="s">
        <v>1761</v>
      </c>
      <c r="E918" s="2">
        <v>9703000206001</v>
      </c>
      <c r="F918" s="1" t="s">
        <v>29</v>
      </c>
      <c r="G918" s="1" t="s">
        <v>53</v>
      </c>
      <c r="H918" s="1" t="s">
        <v>494</v>
      </c>
      <c r="I918" s="1" t="s">
        <v>495</v>
      </c>
      <c r="J918" s="1" t="s">
        <v>79</v>
      </c>
      <c r="K918" t="s">
        <v>34</v>
      </c>
      <c r="M918" s="1" t="s">
        <v>35</v>
      </c>
      <c r="N918" s="1">
        <v>42318949</v>
      </c>
      <c r="O918" s="1" t="s">
        <v>105</v>
      </c>
      <c r="P918" s="186">
        <v>44932.480983796297</v>
      </c>
      <c r="R918" s="1" t="s">
        <v>38</v>
      </c>
      <c r="T918" s="1" t="s">
        <v>74</v>
      </c>
      <c r="U918" s="186">
        <v>44932.75</v>
      </c>
      <c r="V918" s="1" t="s">
        <v>41</v>
      </c>
      <c r="W918" s="1" t="s">
        <v>49</v>
      </c>
      <c r="Z918" s="14"/>
      <c r="AA918" s="14"/>
    </row>
    <row r="919" spans="1:27" hidden="1">
      <c r="A919" s="1">
        <v>9301754</v>
      </c>
      <c r="B919" s="1" t="s">
        <v>101</v>
      </c>
      <c r="C919" t="s">
        <v>1761</v>
      </c>
      <c r="E919" s="2">
        <v>9703000206001</v>
      </c>
      <c r="F919" s="1" t="s">
        <v>29</v>
      </c>
      <c r="G919" s="1" t="s">
        <v>53</v>
      </c>
      <c r="H919" s="1" t="s">
        <v>494</v>
      </c>
      <c r="I919" s="1" t="s">
        <v>495</v>
      </c>
      <c r="J919" s="1" t="s">
        <v>79</v>
      </c>
      <c r="K919" t="s">
        <v>34</v>
      </c>
      <c r="M919" s="1" t="s">
        <v>35</v>
      </c>
      <c r="N919" s="1">
        <v>42318949</v>
      </c>
      <c r="O919" s="1" t="s">
        <v>105</v>
      </c>
      <c r="P919" s="186">
        <v>44932.480983796297</v>
      </c>
      <c r="R919" s="1" t="s">
        <v>38</v>
      </c>
      <c r="T919" s="1" t="s">
        <v>74</v>
      </c>
      <c r="U919" s="186">
        <v>44932.75</v>
      </c>
      <c r="V919" s="1" t="s">
        <v>41</v>
      </c>
      <c r="W919" s="1" t="s">
        <v>49</v>
      </c>
      <c r="Z919" s="14"/>
      <c r="AA919" s="14"/>
    </row>
    <row r="920" spans="1:27" hidden="1">
      <c r="A920" s="1">
        <v>9301753</v>
      </c>
      <c r="B920" s="1" t="s">
        <v>101</v>
      </c>
      <c r="C920" t="s">
        <v>1761</v>
      </c>
      <c r="E920" s="2">
        <v>9700000206001</v>
      </c>
      <c r="F920" s="1" t="s">
        <v>29</v>
      </c>
      <c r="G920" s="1" t="s">
        <v>53</v>
      </c>
      <c r="H920" s="1" t="s">
        <v>209</v>
      </c>
      <c r="I920" s="1" t="s">
        <v>210</v>
      </c>
      <c r="J920" s="1" t="s">
        <v>211</v>
      </c>
      <c r="K920" t="s">
        <v>34</v>
      </c>
      <c r="M920" s="1" t="s">
        <v>35</v>
      </c>
      <c r="N920" s="1">
        <v>42318949</v>
      </c>
      <c r="O920" s="1" t="s">
        <v>105</v>
      </c>
      <c r="P920" s="186">
        <v>44932.480983796297</v>
      </c>
      <c r="R920" s="1" t="s">
        <v>38</v>
      </c>
      <c r="T920" s="1" t="s">
        <v>74</v>
      </c>
      <c r="U920" s="186">
        <v>44932.75</v>
      </c>
      <c r="V920" s="1" t="s">
        <v>41</v>
      </c>
      <c r="W920" s="1" t="s">
        <v>49</v>
      </c>
      <c r="Z920" s="14"/>
      <c r="AA920" s="14"/>
    </row>
    <row r="921" spans="1:27" hidden="1">
      <c r="A921" s="1">
        <v>9301752</v>
      </c>
      <c r="B921" s="1" t="s">
        <v>101</v>
      </c>
      <c r="C921" t="s">
        <v>1761</v>
      </c>
      <c r="E921" s="2">
        <v>9700000206001</v>
      </c>
      <c r="F921" s="1" t="s">
        <v>29</v>
      </c>
      <c r="G921" s="1" t="s">
        <v>53</v>
      </c>
      <c r="H921" s="1" t="s">
        <v>209</v>
      </c>
      <c r="I921" s="1" t="s">
        <v>210</v>
      </c>
      <c r="J921" s="1" t="s">
        <v>211</v>
      </c>
      <c r="K921" t="s">
        <v>34</v>
      </c>
      <c r="M921" s="1" t="s">
        <v>35</v>
      </c>
      <c r="N921" s="1">
        <v>42318949</v>
      </c>
      <c r="O921" s="1" t="s">
        <v>105</v>
      </c>
      <c r="P921" s="186">
        <v>44932.480983796297</v>
      </c>
      <c r="R921" s="1" t="s">
        <v>38</v>
      </c>
      <c r="T921" s="1" t="s">
        <v>74</v>
      </c>
      <c r="U921" s="186">
        <v>44932.75</v>
      </c>
      <c r="V921" s="1" t="s">
        <v>41</v>
      </c>
      <c r="W921" s="1" t="s">
        <v>49</v>
      </c>
      <c r="Z921" s="14"/>
      <c r="AA921" s="14"/>
    </row>
    <row r="922" spans="1:27" hidden="1">
      <c r="A922" s="1">
        <v>9301751</v>
      </c>
      <c r="B922" s="1" t="s">
        <v>101</v>
      </c>
      <c r="C922" t="s">
        <v>1761</v>
      </c>
      <c r="E922" s="2">
        <v>9700000206001</v>
      </c>
      <c r="F922" s="1" t="s">
        <v>29</v>
      </c>
      <c r="G922" s="1" t="s">
        <v>53</v>
      </c>
      <c r="H922" s="1" t="s">
        <v>209</v>
      </c>
      <c r="I922" s="1" t="s">
        <v>210</v>
      </c>
      <c r="J922" s="1" t="s">
        <v>211</v>
      </c>
      <c r="K922" t="s">
        <v>34</v>
      </c>
      <c r="M922" s="1" t="s">
        <v>35</v>
      </c>
      <c r="N922" s="1">
        <v>42318949</v>
      </c>
      <c r="O922" s="1" t="s">
        <v>105</v>
      </c>
      <c r="P922" s="186">
        <v>44932.480983796297</v>
      </c>
      <c r="R922" s="1" t="s">
        <v>38</v>
      </c>
      <c r="T922" s="1" t="s">
        <v>74</v>
      </c>
      <c r="U922" s="186">
        <v>44932.75</v>
      </c>
      <c r="V922" s="1" t="s">
        <v>41</v>
      </c>
      <c r="W922" s="1" t="s">
        <v>49</v>
      </c>
      <c r="Z922" s="14"/>
      <c r="AA922" s="14"/>
    </row>
    <row r="923" spans="1:27" hidden="1">
      <c r="A923" s="1">
        <v>9301660</v>
      </c>
      <c r="B923" s="1" t="s">
        <v>101</v>
      </c>
      <c r="C923" t="s">
        <v>1761</v>
      </c>
      <c r="E923" s="2">
        <v>9661000206001</v>
      </c>
      <c r="F923" s="1" t="s">
        <v>29</v>
      </c>
      <c r="G923" s="1" t="s">
        <v>53</v>
      </c>
      <c r="H923" s="1" t="s">
        <v>31</v>
      </c>
      <c r="I923" s="1" t="s">
        <v>32</v>
      </c>
      <c r="J923" s="1" t="s">
        <v>33</v>
      </c>
      <c r="K923" t="s">
        <v>34</v>
      </c>
      <c r="M923" s="1" t="s">
        <v>35</v>
      </c>
      <c r="N923" s="1">
        <v>42318949</v>
      </c>
      <c r="O923" s="1" t="s">
        <v>105</v>
      </c>
      <c r="P923" s="186">
        <v>44932.480844907404</v>
      </c>
      <c r="R923" s="1" t="s">
        <v>38</v>
      </c>
      <c r="T923" s="1" t="s">
        <v>74</v>
      </c>
      <c r="U923" s="186">
        <v>44932.75</v>
      </c>
      <c r="V923" s="1" t="s">
        <v>41</v>
      </c>
      <c r="W923" s="1" t="s">
        <v>42</v>
      </c>
      <c r="Z923" s="14"/>
      <c r="AA923" s="14"/>
    </row>
    <row r="924" spans="1:27" hidden="1">
      <c r="A924" s="1">
        <v>9301659</v>
      </c>
      <c r="B924" s="1" t="s">
        <v>101</v>
      </c>
      <c r="C924" t="s">
        <v>1761</v>
      </c>
      <c r="E924" s="2">
        <v>9661000206001</v>
      </c>
      <c r="F924" s="1" t="s">
        <v>29</v>
      </c>
      <c r="G924" s="1" t="s">
        <v>53</v>
      </c>
      <c r="H924" s="1" t="s">
        <v>31</v>
      </c>
      <c r="I924" s="1" t="s">
        <v>32</v>
      </c>
      <c r="J924" s="1" t="s">
        <v>33</v>
      </c>
      <c r="K924" t="s">
        <v>34</v>
      </c>
      <c r="M924" s="1" t="s">
        <v>35</v>
      </c>
      <c r="N924" s="1">
        <v>42318949</v>
      </c>
      <c r="O924" s="1" t="s">
        <v>105</v>
      </c>
      <c r="P924" s="186">
        <v>44932.480844907404</v>
      </c>
      <c r="R924" s="1" t="s">
        <v>38</v>
      </c>
      <c r="T924" s="1" t="s">
        <v>74</v>
      </c>
      <c r="U924" s="186">
        <v>44932.75</v>
      </c>
      <c r="V924" s="1" t="s">
        <v>41</v>
      </c>
      <c r="W924" s="1" t="s">
        <v>42</v>
      </c>
      <c r="Z924" s="14"/>
      <c r="AA924" s="14"/>
    </row>
    <row r="925" spans="1:27" hidden="1">
      <c r="A925" s="1">
        <v>9301480</v>
      </c>
      <c r="B925" s="1" t="s">
        <v>101</v>
      </c>
      <c r="C925" t="s">
        <v>1761</v>
      </c>
      <c r="E925" s="2">
        <v>9406000206001</v>
      </c>
      <c r="F925" s="1" t="s">
        <v>29</v>
      </c>
      <c r="G925" s="1" t="s">
        <v>53</v>
      </c>
      <c r="H925" s="1" t="s">
        <v>114</v>
      </c>
      <c r="I925" s="1" t="s">
        <v>115</v>
      </c>
      <c r="J925" s="1" t="s">
        <v>46</v>
      </c>
      <c r="K925" t="s">
        <v>34</v>
      </c>
      <c r="M925" s="1" t="s">
        <v>35</v>
      </c>
      <c r="N925" s="1">
        <v>42318949</v>
      </c>
      <c r="O925" s="1" t="s">
        <v>105</v>
      </c>
      <c r="P925" s="186">
        <v>44932.48060185185</v>
      </c>
      <c r="R925" s="1" t="s">
        <v>38</v>
      </c>
      <c r="T925" s="1" t="s">
        <v>74</v>
      </c>
      <c r="U925" s="186">
        <v>44932.75</v>
      </c>
      <c r="V925" s="1" t="s">
        <v>41</v>
      </c>
      <c r="W925" s="1" t="s">
        <v>49</v>
      </c>
      <c r="Z925" s="14"/>
      <c r="AA925" s="14"/>
    </row>
    <row r="926" spans="1:27" hidden="1">
      <c r="A926" s="1">
        <v>9301479</v>
      </c>
      <c r="B926" s="1" t="s">
        <v>101</v>
      </c>
      <c r="C926" t="s">
        <v>1761</v>
      </c>
      <c r="E926" s="2">
        <v>9406000206001</v>
      </c>
      <c r="F926" s="1" t="s">
        <v>29</v>
      </c>
      <c r="G926" s="1" t="s">
        <v>53</v>
      </c>
      <c r="H926" s="1" t="s">
        <v>114</v>
      </c>
      <c r="I926" s="1" t="s">
        <v>115</v>
      </c>
      <c r="J926" s="1" t="s">
        <v>46</v>
      </c>
      <c r="K926" t="s">
        <v>34</v>
      </c>
      <c r="M926" s="1" t="s">
        <v>35</v>
      </c>
      <c r="N926" s="1">
        <v>42318949</v>
      </c>
      <c r="O926" s="1" t="s">
        <v>105</v>
      </c>
      <c r="P926" s="186">
        <v>44932.48060185185</v>
      </c>
      <c r="R926" s="1" t="s">
        <v>38</v>
      </c>
      <c r="T926" s="1" t="s">
        <v>74</v>
      </c>
      <c r="U926" s="186">
        <v>44932.75</v>
      </c>
      <c r="V926" s="1" t="s">
        <v>41</v>
      </c>
      <c r="W926" s="1" t="s">
        <v>49</v>
      </c>
      <c r="Z926" s="14"/>
      <c r="AA926" s="14"/>
    </row>
    <row r="927" spans="1:27" hidden="1">
      <c r="A927" s="1">
        <v>9301478</v>
      </c>
      <c r="B927" s="1" t="s">
        <v>101</v>
      </c>
      <c r="C927" t="s">
        <v>1761</v>
      </c>
      <c r="E927" s="2">
        <v>9406000206001</v>
      </c>
      <c r="F927" s="1" t="s">
        <v>29</v>
      </c>
      <c r="G927" s="1" t="s">
        <v>53</v>
      </c>
      <c r="H927" s="1" t="s">
        <v>114</v>
      </c>
      <c r="I927" s="1" t="s">
        <v>115</v>
      </c>
      <c r="J927" s="1" t="s">
        <v>46</v>
      </c>
      <c r="K927" t="s">
        <v>34</v>
      </c>
      <c r="M927" s="1" t="s">
        <v>35</v>
      </c>
      <c r="N927" s="1">
        <v>42318949</v>
      </c>
      <c r="O927" s="1" t="s">
        <v>105</v>
      </c>
      <c r="P927" s="186">
        <v>44932.48060185185</v>
      </c>
      <c r="R927" s="1" t="s">
        <v>38</v>
      </c>
      <c r="T927" s="1" t="s">
        <v>74</v>
      </c>
      <c r="U927" s="186">
        <v>44932.75</v>
      </c>
      <c r="V927" s="1" t="s">
        <v>41</v>
      </c>
      <c r="W927" s="1" t="s">
        <v>49</v>
      </c>
      <c r="Z927" s="14"/>
      <c r="AA927" s="14"/>
    </row>
    <row r="928" spans="1:27" hidden="1">
      <c r="A928" s="1">
        <v>9301477</v>
      </c>
      <c r="B928" s="1" t="s">
        <v>101</v>
      </c>
      <c r="C928" t="s">
        <v>1761</v>
      </c>
      <c r="E928" s="2">
        <v>9406000206001</v>
      </c>
      <c r="F928" s="1" t="s">
        <v>29</v>
      </c>
      <c r="G928" s="1" t="s">
        <v>53</v>
      </c>
      <c r="H928" s="1" t="s">
        <v>114</v>
      </c>
      <c r="I928" s="1" t="s">
        <v>115</v>
      </c>
      <c r="J928" s="1" t="s">
        <v>46</v>
      </c>
      <c r="K928" t="s">
        <v>34</v>
      </c>
      <c r="M928" s="1" t="s">
        <v>35</v>
      </c>
      <c r="N928" s="1">
        <v>42318949</v>
      </c>
      <c r="O928" s="1" t="s">
        <v>105</v>
      </c>
      <c r="P928" s="186">
        <v>44932.48060185185</v>
      </c>
      <c r="R928" s="1" t="s">
        <v>38</v>
      </c>
      <c r="T928" s="1" t="s">
        <v>74</v>
      </c>
      <c r="U928" s="186">
        <v>44932.75</v>
      </c>
      <c r="V928" s="1" t="s">
        <v>41</v>
      </c>
      <c r="W928" s="1" t="s">
        <v>49</v>
      </c>
      <c r="Z928" s="14"/>
      <c r="AA928" s="14"/>
    </row>
    <row r="929" spans="1:27" hidden="1">
      <c r="A929" s="1">
        <v>9301476</v>
      </c>
      <c r="B929" s="1" t="s">
        <v>101</v>
      </c>
      <c r="C929" t="s">
        <v>1761</v>
      </c>
      <c r="E929" s="2">
        <v>9406000206001</v>
      </c>
      <c r="F929" s="1" t="s">
        <v>29</v>
      </c>
      <c r="G929" s="1" t="s">
        <v>53</v>
      </c>
      <c r="H929" s="1" t="s">
        <v>114</v>
      </c>
      <c r="I929" s="1" t="s">
        <v>115</v>
      </c>
      <c r="J929" s="1" t="s">
        <v>46</v>
      </c>
      <c r="K929" t="s">
        <v>34</v>
      </c>
      <c r="M929" s="1" t="s">
        <v>35</v>
      </c>
      <c r="N929" s="1">
        <v>42318949</v>
      </c>
      <c r="O929" s="1" t="s">
        <v>105</v>
      </c>
      <c r="P929" s="186">
        <v>44932.48060185185</v>
      </c>
      <c r="R929" s="1" t="s">
        <v>38</v>
      </c>
      <c r="T929" s="1" t="s">
        <v>74</v>
      </c>
      <c r="U929" s="186">
        <v>44932.75</v>
      </c>
      <c r="V929" s="1" t="s">
        <v>41</v>
      </c>
      <c r="W929" s="1" t="s">
        <v>49</v>
      </c>
      <c r="Z929" s="14"/>
      <c r="AA929" s="14"/>
    </row>
    <row r="930" spans="1:27" hidden="1">
      <c r="A930" s="1">
        <v>9301475</v>
      </c>
      <c r="B930" s="1" t="s">
        <v>101</v>
      </c>
      <c r="C930" t="s">
        <v>1761</v>
      </c>
      <c r="E930" s="2">
        <v>9406000206001</v>
      </c>
      <c r="F930" s="1" t="s">
        <v>29</v>
      </c>
      <c r="G930" s="1" t="s">
        <v>53</v>
      </c>
      <c r="H930" s="1" t="s">
        <v>114</v>
      </c>
      <c r="I930" s="1" t="s">
        <v>115</v>
      </c>
      <c r="J930" s="1" t="s">
        <v>46</v>
      </c>
      <c r="K930" t="s">
        <v>34</v>
      </c>
      <c r="M930" s="1" t="s">
        <v>35</v>
      </c>
      <c r="N930" s="1">
        <v>42318949</v>
      </c>
      <c r="O930" s="1" t="s">
        <v>105</v>
      </c>
      <c r="P930" s="186">
        <v>44932.480590277781</v>
      </c>
      <c r="R930" s="1" t="s">
        <v>38</v>
      </c>
      <c r="T930" s="1" t="s">
        <v>74</v>
      </c>
      <c r="U930" s="186">
        <v>44932.75</v>
      </c>
      <c r="V930" s="1" t="s">
        <v>41</v>
      </c>
      <c r="W930" s="1" t="s">
        <v>49</v>
      </c>
      <c r="Z930" s="14"/>
      <c r="AA930" s="14"/>
    </row>
    <row r="931" spans="1:27" hidden="1">
      <c r="A931" s="1">
        <v>9301474</v>
      </c>
      <c r="B931" s="1" t="s">
        <v>101</v>
      </c>
      <c r="C931" t="s">
        <v>1761</v>
      </c>
      <c r="E931" s="2">
        <v>9406000206001</v>
      </c>
      <c r="F931" s="1" t="s">
        <v>29</v>
      </c>
      <c r="G931" s="1" t="s">
        <v>53</v>
      </c>
      <c r="H931" s="1" t="s">
        <v>114</v>
      </c>
      <c r="I931" s="1" t="s">
        <v>115</v>
      </c>
      <c r="J931" s="1" t="s">
        <v>46</v>
      </c>
      <c r="K931" t="s">
        <v>34</v>
      </c>
      <c r="M931" s="1" t="s">
        <v>35</v>
      </c>
      <c r="N931" s="1">
        <v>42318949</v>
      </c>
      <c r="O931" s="1" t="s">
        <v>105</v>
      </c>
      <c r="P931" s="186">
        <v>44932.480590277781</v>
      </c>
      <c r="R931" s="1" t="s">
        <v>38</v>
      </c>
      <c r="T931" s="1" t="s">
        <v>74</v>
      </c>
      <c r="U931" s="186">
        <v>44932.75</v>
      </c>
      <c r="V931" s="1" t="s">
        <v>41</v>
      </c>
      <c r="W931" s="1" t="s">
        <v>49</v>
      </c>
      <c r="Z931" s="14"/>
      <c r="AA931" s="14"/>
    </row>
    <row r="932" spans="1:27" hidden="1">
      <c r="A932" s="1">
        <v>9301473</v>
      </c>
      <c r="B932" s="1" t="s">
        <v>101</v>
      </c>
      <c r="C932" t="s">
        <v>1761</v>
      </c>
      <c r="E932" s="2">
        <v>9406000206001</v>
      </c>
      <c r="F932" s="1" t="s">
        <v>29</v>
      </c>
      <c r="G932" s="1" t="s">
        <v>53</v>
      </c>
      <c r="H932" s="1" t="s">
        <v>114</v>
      </c>
      <c r="I932" s="1" t="s">
        <v>115</v>
      </c>
      <c r="J932" s="1" t="s">
        <v>46</v>
      </c>
      <c r="K932" t="s">
        <v>34</v>
      </c>
      <c r="M932" s="1" t="s">
        <v>35</v>
      </c>
      <c r="N932" s="1">
        <v>42318949</v>
      </c>
      <c r="O932" s="1" t="s">
        <v>105</v>
      </c>
      <c r="P932" s="186">
        <v>44932.480590277781</v>
      </c>
      <c r="R932" s="1" t="s">
        <v>38</v>
      </c>
      <c r="T932" s="1" t="s">
        <v>74</v>
      </c>
      <c r="U932" s="186">
        <v>44932.75</v>
      </c>
      <c r="V932" s="1" t="s">
        <v>41</v>
      </c>
      <c r="W932" s="1" t="s">
        <v>49</v>
      </c>
      <c r="Z932" s="14"/>
      <c r="AA932" s="14"/>
    </row>
    <row r="933" spans="1:27" hidden="1">
      <c r="A933" s="1">
        <v>9301472</v>
      </c>
      <c r="B933" s="1" t="s">
        <v>101</v>
      </c>
      <c r="C933" t="s">
        <v>1761</v>
      </c>
      <c r="E933" s="2">
        <v>9406000206001</v>
      </c>
      <c r="F933" s="1" t="s">
        <v>29</v>
      </c>
      <c r="G933" s="1" t="s">
        <v>53</v>
      </c>
      <c r="H933" s="1" t="s">
        <v>114</v>
      </c>
      <c r="I933" s="1" t="s">
        <v>115</v>
      </c>
      <c r="J933" s="1" t="s">
        <v>46</v>
      </c>
      <c r="K933" t="s">
        <v>34</v>
      </c>
      <c r="M933" s="1" t="s">
        <v>35</v>
      </c>
      <c r="N933" s="1">
        <v>42318949</v>
      </c>
      <c r="O933" s="1" t="s">
        <v>105</v>
      </c>
      <c r="P933" s="186">
        <v>44932.480590277781</v>
      </c>
      <c r="R933" s="1" t="s">
        <v>38</v>
      </c>
      <c r="T933" s="1" t="s">
        <v>74</v>
      </c>
      <c r="U933" s="186">
        <v>44932.75</v>
      </c>
      <c r="V933" s="1" t="s">
        <v>41</v>
      </c>
      <c r="W933" s="1" t="s">
        <v>49</v>
      </c>
      <c r="Z933" s="14"/>
      <c r="AA933" s="14"/>
    </row>
    <row r="934" spans="1:27" hidden="1">
      <c r="A934" s="1">
        <v>9301471</v>
      </c>
      <c r="B934" s="1" t="s">
        <v>101</v>
      </c>
      <c r="C934" t="s">
        <v>1761</v>
      </c>
      <c r="E934" s="2">
        <v>9406000206001</v>
      </c>
      <c r="F934" s="1" t="s">
        <v>29</v>
      </c>
      <c r="G934" s="1" t="s">
        <v>53</v>
      </c>
      <c r="H934" s="1" t="s">
        <v>114</v>
      </c>
      <c r="I934" s="1" t="s">
        <v>115</v>
      </c>
      <c r="J934" s="1" t="s">
        <v>46</v>
      </c>
      <c r="K934" t="s">
        <v>34</v>
      </c>
      <c r="M934" s="1" t="s">
        <v>35</v>
      </c>
      <c r="N934" s="1">
        <v>42318949</v>
      </c>
      <c r="O934" s="1" t="s">
        <v>105</v>
      </c>
      <c r="P934" s="186">
        <v>44932.480590277781</v>
      </c>
      <c r="R934" s="1" t="s">
        <v>38</v>
      </c>
      <c r="T934" s="1" t="s">
        <v>74</v>
      </c>
      <c r="U934" s="186">
        <v>44932.75</v>
      </c>
      <c r="V934" s="1" t="s">
        <v>41</v>
      </c>
      <c r="W934" s="1" t="s">
        <v>49</v>
      </c>
      <c r="Z934" s="14"/>
      <c r="AA934" s="14"/>
    </row>
    <row r="935" spans="1:27" hidden="1">
      <c r="A935" s="1">
        <v>9301080</v>
      </c>
      <c r="B935" s="1" t="s">
        <v>101</v>
      </c>
      <c r="C935" t="s">
        <v>1761</v>
      </c>
      <c r="E935" s="2">
        <v>4997000206001</v>
      </c>
      <c r="F935" s="1" t="s">
        <v>29</v>
      </c>
      <c r="G935" s="1" t="s">
        <v>53</v>
      </c>
      <c r="H935" s="1" t="s">
        <v>406</v>
      </c>
      <c r="I935" s="1" t="s">
        <v>407</v>
      </c>
      <c r="J935" s="1" t="s">
        <v>79</v>
      </c>
      <c r="K935" t="s">
        <v>34</v>
      </c>
      <c r="M935" s="1" t="s">
        <v>35</v>
      </c>
      <c r="N935" s="1">
        <v>42318949</v>
      </c>
      <c r="O935" s="1" t="s">
        <v>105</v>
      </c>
      <c r="P935" s="186">
        <v>44932.480011574073</v>
      </c>
      <c r="R935" s="1" t="s">
        <v>38</v>
      </c>
      <c r="T935" s="1" t="s">
        <v>74</v>
      </c>
      <c r="U935" s="186">
        <v>44932.75</v>
      </c>
      <c r="V935" s="1" t="s">
        <v>41</v>
      </c>
      <c r="W935" s="1" t="s">
        <v>49</v>
      </c>
      <c r="Z935" s="14"/>
      <c r="AA935" s="14"/>
    </row>
    <row r="936" spans="1:27" hidden="1">
      <c r="A936" s="1">
        <v>9301028</v>
      </c>
      <c r="B936" s="1" t="s">
        <v>101</v>
      </c>
      <c r="C936" t="s">
        <v>1761</v>
      </c>
      <c r="E936" s="2">
        <v>4637000206001</v>
      </c>
      <c r="F936" s="1" t="s">
        <v>29</v>
      </c>
      <c r="G936" s="1" t="s">
        <v>53</v>
      </c>
      <c r="H936" s="1" t="s">
        <v>848</v>
      </c>
      <c r="I936" s="1" t="s">
        <v>849</v>
      </c>
      <c r="J936" s="1" t="s">
        <v>79</v>
      </c>
      <c r="K936" t="s">
        <v>34</v>
      </c>
      <c r="M936" s="1" t="s">
        <v>35</v>
      </c>
      <c r="N936" s="1">
        <v>42318949</v>
      </c>
      <c r="O936" s="1" t="s">
        <v>105</v>
      </c>
      <c r="P936" s="186">
        <v>44932.479930555557</v>
      </c>
      <c r="R936" s="1" t="s">
        <v>38</v>
      </c>
      <c r="T936" s="1" t="s">
        <v>74</v>
      </c>
      <c r="U936" s="186">
        <v>44932.75</v>
      </c>
      <c r="V936" s="1" t="s">
        <v>41</v>
      </c>
      <c r="W936" s="1" t="s">
        <v>49</v>
      </c>
      <c r="Z936" s="14"/>
      <c r="AA936" s="14"/>
    </row>
    <row r="937" spans="1:27" hidden="1">
      <c r="A937" s="1">
        <v>9301024</v>
      </c>
      <c r="B937" s="1" t="s">
        <v>101</v>
      </c>
      <c r="C937" t="s">
        <v>1761</v>
      </c>
      <c r="E937" s="2">
        <v>4623000206001</v>
      </c>
      <c r="F937" s="1" t="s">
        <v>29</v>
      </c>
      <c r="G937" s="1" t="s">
        <v>53</v>
      </c>
      <c r="H937" s="1" t="s">
        <v>669</v>
      </c>
      <c r="I937" s="1" t="s">
        <v>670</v>
      </c>
      <c r="J937" s="1" t="s">
        <v>33</v>
      </c>
      <c r="K937" t="s">
        <v>34</v>
      </c>
      <c r="M937" s="1" t="s">
        <v>35</v>
      </c>
      <c r="N937" s="1">
        <v>42318949</v>
      </c>
      <c r="O937" s="1" t="s">
        <v>105</v>
      </c>
      <c r="P937" s="186">
        <v>44932.47991898148</v>
      </c>
      <c r="R937" s="1" t="s">
        <v>38</v>
      </c>
      <c r="T937" s="1" t="s">
        <v>74</v>
      </c>
      <c r="U937" s="186">
        <v>44932.75</v>
      </c>
      <c r="V937" s="1" t="s">
        <v>41</v>
      </c>
      <c r="W937" s="1" t="s">
        <v>42</v>
      </c>
      <c r="Z937" s="14"/>
      <c r="AA937" s="14"/>
    </row>
    <row r="938" spans="1:27" hidden="1">
      <c r="A938" s="1">
        <v>9301023</v>
      </c>
      <c r="B938" s="1" t="s">
        <v>101</v>
      </c>
      <c r="C938" t="s">
        <v>1761</v>
      </c>
      <c r="E938" s="2">
        <v>4623000206001</v>
      </c>
      <c r="F938" s="1" t="s">
        <v>29</v>
      </c>
      <c r="G938" s="1" t="s">
        <v>53</v>
      </c>
      <c r="H938" s="1" t="s">
        <v>669</v>
      </c>
      <c r="I938" s="1" t="s">
        <v>670</v>
      </c>
      <c r="J938" s="1" t="s">
        <v>33</v>
      </c>
      <c r="K938" t="s">
        <v>34</v>
      </c>
      <c r="M938" s="1" t="s">
        <v>35</v>
      </c>
      <c r="N938" s="1">
        <v>42318949</v>
      </c>
      <c r="O938" s="1" t="s">
        <v>105</v>
      </c>
      <c r="P938" s="186">
        <v>44932.47991898148</v>
      </c>
      <c r="R938" s="1" t="s">
        <v>38</v>
      </c>
      <c r="T938" s="1" t="s">
        <v>74</v>
      </c>
      <c r="U938" s="186">
        <v>44932.75</v>
      </c>
      <c r="V938" s="1" t="s">
        <v>41</v>
      </c>
      <c r="W938" s="1" t="s">
        <v>42</v>
      </c>
      <c r="Z938" s="14"/>
      <c r="AA938" s="14"/>
    </row>
    <row r="939" spans="1:27" hidden="1">
      <c r="A939" s="1">
        <v>9301022</v>
      </c>
      <c r="B939" s="1" t="s">
        <v>101</v>
      </c>
      <c r="C939" t="s">
        <v>1761</v>
      </c>
      <c r="E939" s="2">
        <v>4623000206001</v>
      </c>
      <c r="F939" s="1" t="s">
        <v>29</v>
      </c>
      <c r="G939" s="1" t="s">
        <v>53</v>
      </c>
      <c r="H939" s="1" t="s">
        <v>669</v>
      </c>
      <c r="I939" s="1" t="s">
        <v>670</v>
      </c>
      <c r="J939" s="1" t="s">
        <v>33</v>
      </c>
      <c r="K939" t="s">
        <v>34</v>
      </c>
      <c r="M939" s="1" t="s">
        <v>35</v>
      </c>
      <c r="N939" s="1">
        <v>42318949</v>
      </c>
      <c r="O939" s="1" t="s">
        <v>105</v>
      </c>
      <c r="P939" s="186">
        <v>44932.47991898148</v>
      </c>
      <c r="R939" s="1" t="s">
        <v>38</v>
      </c>
      <c r="T939" s="1" t="s">
        <v>74</v>
      </c>
      <c r="U939" s="186">
        <v>44932.75</v>
      </c>
      <c r="V939" s="1" t="s">
        <v>41</v>
      </c>
      <c r="W939" s="1" t="s">
        <v>42</v>
      </c>
      <c r="Z939" s="14"/>
      <c r="AA939" s="14"/>
    </row>
    <row r="940" spans="1:27" hidden="1">
      <c r="A940" s="1">
        <v>9300867</v>
      </c>
      <c r="B940" s="1" t="s">
        <v>101</v>
      </c>
      <c r="C940" t="s">
        <v>1761</v>
      </c>
      <c r="E940" s="2">
        <v>4012000206001</v>
      </c>
      <c r="F940" s="1" t="s">
        <v>29</v>
      </c>
      <c r="G940" s="1" t="s">
        <v>53</v>
      </c>
      <c r="H940" s="1" t="s">
        <v>349</v>
      </c>
      <c r="I940" s="1" t="s">
        <v>350</v>
      </c>
      <c r="J940" s="1" t="s">
        <v>261</v>
      </c>
      <c r="K940" t="s">
        <v>34</v>
      </c>
      <c r="M940" s="1" t="s">
        <v>35</v>
      </c>
      <c r="N940" s="1">
        <v>42318949</v>
      </c>
      <c r="O940" s="1" t="s">
        <v>105</v>
      </c>
      <c r="P940" s="186">
        <v>44932.479664351849</v>
      </c>
      <c r="R940" s="1" t="s">
        <v>38</v>
      </c>
      <c r="T940" s="1" t="s">
        <v>74</v>
      </c>
      <c r="U940" s="186">
        <v>44932.75</v>
      </c>
      <c r="V940" s="1" t="s">
        <v>41</v>
      </c>
      <c r="W940" s="1" t="s">
        <v>49</v>
      </c>
      <c r="Z940" s="14"/>
      <c r="AA940" s="14"/>
    </row>
    <row r="941" spans="1:27" hidden="1">
      <c r="A941" s="1">
        <v>9300825</v>
      </c>
      <c r="B941" s="1" t="s">
        <v>101</v>
      </c>
      <c r="C941" t="s">
        <v>1761</v>
      </c>
      <c r="E941" s="2">
        <v>3924000206001</v>
      </c>
      <c r="F941" s="1" t="s">
        <v>29</v>
      </c>
      <c r="G941" s="1" t="s">
        <v>53</v>
      </c>
      <c r="H941" s="1" t="s">
        <v>153</v>
      </c>
      <c r="I941" s="1" t="s">
        <v>154</v>
      </c>
      <c r="J941" s="1" t="s">
        <v>56</v>
      </c>
      <c r="K941" t="s">
        <v>34</v>
      </c>
      <c r="M941" s="1" t="s">
        <v>35</v>
      </c>
      <c r="N941" s="1">
        <v>42318949</v>
      </c>
      <c r="O941" s="1" t="s">
        <v>105</v>
      </c>
      <c r="P941" s="186">
        <v>44932.479594907411</v>
      </c>
      <c r="R941" s="1" t="s">
        <v>38</v>
      </c>
      <c r="T941" s="1" t="s">
        <v>74</v>
      </c>
      <c r="U941" s="186">
        <v>44932.75</v>
      </c>
      <c r="V941" s="1" t="s">
        <v>41</v>
      </c>
      <c r="W941" s="1" t="s">
        <v>49</v>
      </c>
      <c r="Z941" s="14"/>
      <c r="AA941" s="14"/>
    </row>
    <row r="942" spans="1:27" hidden="1">
      <c r="A942" s="1">
        <v>9300610</v>
      </c>
      <c r="B942" s="1" t="s">
        <v>101</v>
      </c>
      <c r="C942" t="s">
        <v>1761</v>
      </c>
      <c r="E942" s="2">
        <v>3258000206001</v>
      </c>
      <c r="F942" s="1" t="s">
        <v>29</v>
      </c>
      <c r="G942" s="1" t="s">
        <v>53</v>
      </c>
      <c r="H942" s="1" t="s">
        <v>321</v>
      </c>
      <c r="I942" s="1" t="s">
        <v>322</v>
      </c>
      <c r="J942" s="1" t="s">
        <v>46</v>
      </c>
      <c r="K942" t="s">
        <v>34</v>
      </c>
      <c r="M942" s="1" t="s">
        <v>35</v>
      </c>
      <c r="N942" s="1">
        <v>42318949</v>
      </c>
      <c r="O942" s="1" t="s">
        <v>105</v>
      </c>
      <c r="P942" s="186">
        <v>44932.479178240741</v>
      </c>
      <c r="R942" s="1" t="s">
        <v>38</v>
      </c>
      <c r="T942" s="1" t="s">
        <v>74</v>
      </c>
      <c r="U942" s="186">
        <v>44932.75</v>
      </c>
      <c r="V942" s="1" t="s">
        <v>41</v>
      </c>
      <c r="W942" s="1" t="s">
        <v>49</v>
      </c>
      <c r="Z942" s="14"/>
      <c r="AA942" s="14"/>
    </row>
    <row r="943" spans="1:27" hidden="1">
      <c r="A943" s="1">
        <v>9300609</v>
      </c>
      <c r="B943" s="1" t="s">
        <v>101</v>
      </c>
      <c r="C943" t="s">
        <v>1761</v>
      </c>
      <c r="E943" s="2">
        <v>3258000206001</v>
      </c>
      <c r="F943" s="1" t="s">
        <v>29</v>
      </c>
      <c r="G943" s="1" t="s">
        <v>53</v>
      </c>
      <c r="H943" s="1" t="s">
        <v>321</v>
      </c>
      <c r="I943" s="1" t="s">
        <v>322</v>
      </c>
      <c r="J943" s="1" t="s">
        <v>46</v>
      </c>
      <c r="K943" t="s">
        <v>34</v>
      </c>
      <c r="M943" s="1" t="s">
        <v>35</v>
      </c>
      <c r="N943" s="1">
        <v>42318949</v>
      </c>
      <c r="O943" s="1" t="s">
        <v>105</v>
      </c>
      <c r="P943" s="186">
        <v>44932.479178240741</v>
      </c>
      <c r="R943" s="1" t="s">
        <v>38</v>
      </c>
      <c r="T943" s="1" t="s">
        <v>74</v>
      </c>
      <c r="U943" s="186">
        <v>44932.75</v>
      </c>
      <c r="V943" s="1" t="s">
        <v>41</v>
      </c>
      <c r="W943" s="1" t="s">
        <v>49</v>
      </c>
      <c r="Z943" s="14"/>
      <c r="AA943" s="14"/>
    </row>
    <row r="944" spans="1:27" hidden="1">
      <c r="A944" s="1">
        <v>9300513</v>
      </c>
      <c r="B944" s="1" t="s">
        <v>101</v>
      </c>
      <c r="C944" t="s">
        <v>1761</v>
      </c>
      <c r="E944" s="2">
        <v>3056000206001</v>
      </c>
      <c r="F944" s="1" t="s">
        <v>29</v>
      </c>
      <c r="G944" s="1" t="s">
        <v>53</v>
      </c>
      <c r="H944" s="1" t="s">
        <v>1772</v>
      </c>
      <c r="I944" s="1" t="s">
        <v>1773</v>
      </c>
      <c r="J944" s="1" t="s">
        <v>46</v>
      </c>
      <c r="K944" t="s">
        <v>34</v>
      </c>
      <c r="M944" s="1" t="s">
        <v>35</v>
      </c>
      <c r="N944" s="1">
        <v>42318949</v>
      </c>
      <c r="O944" s="1" t="s">
        <v>105</v>
      </c>
      <c r="P944" s="186">
        <v>44932.479039351849</v>
      </c>
      <c r="R944" s="1" t="s">
        <v>38</v>
      </c>
      <c r="T944" s="1" t="s">
        <v>74</v>
      </c>
      <c r="U944" s="186">
        <v>44932.75</v>
      </c>
      <c r="V944" s="1" t="s">
        <v>41</v>
      </c>
      <c r="W944" s="1" t="s">
        <v>49</v>
      </c>
      <c r="Z944" s="14"/>
      <c r="AA944" s="14"/>
    </row>
    <row r="945" spans="1:27" hidden="1">
      <c r="A945" s="1">
        <v>9300512</v>
      </c>
      <c r="B945" s="1" t="s">
        <v>101</v>
      </c>
      <c r="C945" t="s">
        <v>1761</v>
      </c>
      <c r="E945" s="2">
        <v>3056000206001</v>
      </c>
      <c r="F945" s="1" t="s">
        <v>29</v>
      </c>
      <c r="G945" s="1" t="s">
        <v>53</v>
      </c>
      <c r="H945" s="1" t="s">
        <v>1772</v>
      </c>
      <c r="I945" s="1" t="s">
        <v>1773</v>
      </c>
      <c r="J945" s="1" t="s">
        <v>46</v>
      </c>
      <c r="K945" t="s">
        <v>34</v>
      </c>
      <c r="M945" s="1" t="s">
        <v>35</v>
      </c>
      <c r="N945" s="1">
        <v>42318949</v>
      </c>
      <c r="O945" s="1" t="s">
        <v>105</v>
      </c>
      <c r="P945" s="186">
        <v>44932.479039351849</v>
      </c>
      <c r="R945" s="1" t="s">
        <v>38</v>
      </c>
      <c r="T945" s="1" t="s">
        <v>74</v>
      </c>
      <c r="U945" s="186">
        <v>44932.75</v>
      </c>
      <c r="V945" s="1" t="s">
        <v>41</v>
      </c>
      <c r="W945" s="1" t="s">
        <v>49</v>
      </c>
      <c r="Z945" s="14"/>
      <c r="AA945" s="14"/>
    </row>
    <row r="946" spans="1:27" hidden="1">
      <c r="A946" s="1">
        <v>9300511</v>
      </c>
      <c r="B946" s="1" t="s">
        <v>101</v>
      </c>
      <c r="C946" t="s">
        <v>1761</v>
      </c>
      <c r="E946" s="2">
        <v>3056000206001</v>
      </c>
      <c r="F946" s="1" t="s">
        <v>29</v>
      </c>
      <c r="G946" s="1" t="s">
        <v>53</v>
      </c>
      <c r="H946" s="1" t="s">
        <v>1772</v>
      </c>
      <c r="I946" s="1" t="s">
        <v>1773</v>
      </c>
      <c r="J946" s="1" t="s">
        <v>46</v>
      </c>
      <c r="K946" t="s">
        <v>34</v>
      </c>
      <c r="M946" s="1" t="s">
        <v>35</v>
      </c>
      <c r="N946" s="1">
        <v>42318949</v>
      </c>
      <c r="O946" s="1" t="s">
        <v>105</v>
      </c>
      <c r="P946" s="186">
        <v>44932.479039351849</v>
      </c>
      <c r="R946" s="1" t="s">
        <v>38</v>
      </c>
      <c r="T946" s="1" t="s">
        <v>74</v>
      </c>
      <c r="U946" s="186">
        <v>44932.75</v>
      </c>
      <c r="V946" s="1" t="s">
        <v>41</v>
      </c>
      <c r="W946" s="1" t="s">
        <v>49</v>
      </c>
      <c r="Z946" s="14"/>
      <c r="AA946" s="14"/>
    </row>
    <row r="947" spans="1:27" hidden="1">
      <c r="A947" s="1">
        <v>9300380</v>
      </c>
      <c r="B947" s="1" t="s">
        <v>101</v>
      </c>
      <c r="C947" t="s">
        <v>1761</v>
      </c>
      <c r="E947" s="2">
        <v>2739000206001</v>
      </c>
      <c r="F947" s="1" t="s">
        <v>29</v>
      </c>
      <c r="G947" s="1" t="s">
        <v>53</v>
      </c>
      <c r="H947" s="1" t="s">
        <v>359</v>
      </c>
      <c r="I947" s="1" t="s">
        <v>360</v>
      </c>
      <c r="J947" s="1" t="s">
        <v>85</v>
      </c>
      <c r="K947" t="s">
        <v>34</v>
      </c>
      <c r="M947" s="1" t="s">
        <v>35</v>
      </c>
      <c r="N947" s="1">
        <v>42318949</v>
      </c>
      <c r="O947" s="1" t="s">
        <v>36</v>
      </c>
      <c r="P947" s="186">
        <v>44932.478831018518</v>
      </c>
      <c r="R947" s="1" t="s">
        <v>38</v>
      </c>
      <c r="T947" s="1" t="s">
        <v>74</v>
      </c>
      <c r="U947" s="186">
        <v>44932.75</v>
      </c>
      <c r="V947" s="1" t="s">
        <v>41</v>
      </c>
      <c r="W947" s="1" t="s">
        <v>49</v>
      </c>
      <c r="Z947" s="14"/>
      <c r="AA947" s="14"/>
    </row>
    <row r="948" spans="1:27" hidden="1">
      <c r="A948" s="1">
        <v>9300311</v>
      </c>
      <c r="B948" s="1" t="s">
        <v>101</v>
      </c>
      <c r="C948" t="s">
        <v>1761</v>
      </c>
      <c r="E948" s="2">
        <v>2625000206001</v>
      </c>
      <c r="F948" s="1" t="s">
        <v>29</v>
      </c>
      <c r="G948" s="1" t="s">
        <v>53</v>
      </c>
      <c r="H948" s="1" t="s">
        <v>317</v>
      </c>
      <c r="I948" s="1" t="s">
        <v>318</v>
      </c>
      <c r="J948" s="1" t="s">
        <v>164</v>
      </c>
      <c r="K948" t="s">
        <v>34</v>
      </c>
      <c r="M948" s="1" t="s">
        <v>35</v>
      </c>
      <c r="N948" s="1">
        <v>42318949</v>
      </c>
      <c r="O948" s="1" t="s">
        <v>105</v>
      </c>
      <c r="P948" s="186">
        <v>44932.478738425925</v>
      </c>
      <c r="R948" s="1" t="s">
        <v>38</v>
      </c>
      <c r="T948" s="1" t="s">
        <v>74</v>
      </c>
      <c r="U948" s="186">
        <v>44932.75</v>
      </c>
      <c r="V948" s="1" t="s">
        <v>41</v>
      </c>
      <c r="W948" s="1" t="s">
        <v>49</v>
      </c>
      <c r="Z948" s="14"/>
      <c r="AA948" s="14"/>
    </row>
    <row r="949" spans="1:27" hidden="1">
      <c r="A949" s="1">
        <v>9300300</v>
      </c>
      <c r="B949" s="1" t="s">
        <v>101</v>
      </c>
      <c r="C949" t="s">
        <v>1761</v>
      </c>
      <c r="E949" s="2">
        <v>2590000206001</v>
      </c>
      <c r="F949" s="1" t="s">
        <v>29</v>
      </c>
      <c r="G949" s="1" t="s">
        <v>53</v>
      </c>
      <c r="H949" s="1" t="s">
        <v>394</v>
      </c>
      <c r="I949" s="1" t="s">
        <v>395</v>
      </c>
      <c r="J949" s="1" t="s">
        <v>148</v>
      </c>
      <c r="K949" t="s">
        <v>34</v>
      </c>
      <c r="M949" s="1" t="s">
        <v>35</v>
      </c>
      <c r="N949" s="1">
        <v>42318949</v>
      </c>
      <c r="O949" s="1" t="s">
        <v>105</v>
      </c>
      <c r="P949" s="186">
        <v>44932.478726851848</v>
      </c>
      <c r="R949" s="1" t="s">
        <v>38</v>
      </c>
      <c r="T949" s="1" t="s">
        <v>74</v>
      </c>
      <c r="U949" s="186">
        <v>44932.75</v>
      </c>
      <c r="V949" s="1" t="s">
        <v>41</v>
      </c>
      <c r="W949" s="1" t="s">
        <v>49</v>
      </c>
      <c r="Z949" s="14"/>
      <c r="AA949" s="14"/>
    </row>
    <row r="950" spans="1:27" hidden="1">
      <c r="A950" s="1">
        <v>9300280</v>
      </c>
      <c r="B950" s="1" t="s">
        <v>101</v>
      </c>
      <c r="C950" t="s">
        <v>1761</v>
      </c>
      <c r="E950" s="2">
        <v>2529000206001</v>
      </c>
      <c r="F950" s="1" t="s">
        <v>29</v>
      </c>
      <c r="G950" s="1" t="s">
        <v>53</v>
      </c>
      <c r="H950" s="1" t="s">
        <v>355</v>
      </c>
      <c r="I950" s="1" t="s">
        <v>356</v>
      </c>
      <c r="J950" s="1" t="s">
        <v>56</v>
      </c>
      <c r="K950" t="s">
        <v>34</v>
      </c>
      <c r="M950" s="1" t="s">
        <v>35</v>
      </c>
      <c r="N950" s="1">
        <v>42318949</v>
      </c>
      <c r="O950" s="1" t="s">
        <v>105</v>
      </c>
      <c r="P950" s="186">
        <v>44932.478703703702</v>
      </c>
      <c r="R950" s="1" t="s">
        <v>38</v>
      </c>
      <c r="T950" s="1" t="s">
        <v>74</v>
      </c>
      <c r="U950" s="186">
        <v>44932.75</v>
      </c>
      <c r="V950" s="1" t="s">
        <v>41</v>
      </c>
      <c r="W950" s="1" t="s">
        <v>49</v>
      </c>
      <c r="Z950" s="14"/>
      <c r="AA950" s="14"/>
    </row>
    <row r="951" spans="1:27" hidden="1">
      <c r="A951" s="1">
        <v>9300272</v>
      </c>
      <c r="B951" s="1" t="s">
        <v>101</v>
      </c>
      <c r="C951" t="s">
        <v>1761</v>
      </c>
      <c r="E951" s="2">
        <v>2473000206001</v>
      </c>
      <c r="F951" s="1" t="s">
        <v>29</v>
      </c>
      <c r="G951" s="1" t="s">
        <v>53</v>
      </c>
      <c r="H951" s="1" t="s">
        <v>1459</v>
      </c>
      <c r="I951" s="1" t="s">
        <v>1460</v>
      </c>
      <c r="J951" s="1" t="s">
        <v>261</v>
      </c>
      <c r="K951" t="s">
        <v>34</v>
      </c>
      <c r="M951" s="1" t="s">
        <v>35</v>
      </c>
      <c r="N951" s="1">
        <v>42318949</v>
      </c>
      <c r="O951" s="1" t="s">
        <v>105</v>
      </c>
      <c r="P951" s="186">
        <v>44932.478692129633</v>
      </c>
      <c r="R951" s="1" t="s">
        <v>38</v>
      </c>
      <c r="T951" s="1" t="s">
        <v>74</v>
      </c>
      <c r="U951" s="186">
        <v>44932.75</v>
      </c>
      <c r="V951" s="1" t="s">
        <v>41</v>
      </c>
      <c r="W951" s="1" t="s">
        <v>49</v>
      </c>
      <c r="Z951" s="14"/>
      <c r="AA951" s="14"/>
    </row>
    <row r="952" spans="1:27" hidden="1">
      <c r="A952" s="1">
        <v>9300254</v>
      </c>
      <c r="B952" s="1" t="s">
        <v>101</v>
      </c>
      <c r="C952" t="s">
        <v>1761</v>
      </c>
      <c r="E952" s="2">
        <v>2437000206001</v>
      </c>
      <c r="F952" s="1" t="s">
        <v>29</v>
      </c>
      <c r="G952" s="1" t="s">
        <v>53</v>
      </c>
      <c r="H952" s="1" t="s">
        <v>416</v>
      </c>
      <c r="I952" s="1" t="s">
        <v>417</v>
      </c>
      <c r="J952" s="1" t="s">
        <v>211</v>
      </c>
      <c r="K952" t="s">
        <v>34</v>
      </c>
      <c r="M952" s="1" t="s">
        <v>35</v>
      </c>
      <c r="N952" s="1">
        <v>42318949</v>
      </c>
      <c r="O952" s="1" t="s">
        <v>105</v>
      </c>
      <c r="P952" s="186">
        <v>44932.478668981479</v>
      </c>
      <c r="R952" s="1" t="s">
        <v>38</v>
      </c>
      <c r="T952" s="1" t="s">
        <v>74</v>
      </c>
      <c r="U952" s="186">
        <v>44932.75</v>
      </c>
      <c r="V952" s="1" t="s">
        <v>41</v>
      </c>
      <c r="W952" s="1" t="s">
        <v>49</v>
      </c>
      <c r="Z952" s="14"/>
      <c r="AA952" s="14"/>
    </row>
    <row r="953" spans="1:27" hidden="1">
      <c r="A953" s="1">
        <v>9300253</v>
      </c>
      <c r="B953" s="1" t="s">
        <v>101</v>
      </c>
      <c r="C953" t="s">
        <v>1761</v>
      </c>
      <c r="E953" s="2">
        <v>2437000206001</v>
      </c>
      <c r="F953" s="1" t="s">
        <v>29</v>
      </c>
      <c r="G953" s="1" t="s">
        <v>53</v>
      </c>
      <c r="H953" s="1" t="s">
        <v>416</v>
      </c>
      <c r="I953" s="1" t="s">
        <v>417</v>
      </c>
      <c r="J953" s="1" t="s">
        <v>211</v>
      </c>
      <c r="K953" t="s">
        <v>34</v>
      </c>
      <c r="M953" s="1" t="s">
        <v>35</v>
      </c>
      <c r="N953" s="1">
        <v>42318949</v>
      </c>
      <c r="O953" s="1" t="s">
        <v>105</v>
      </c>
      <c r="P953" s="186">
        <v>44932.478668981479</v>
      </c>
      <c r="R953" s="1" t="s">
        <v>38</v>
      </c>
      <c r="T953" s="1" t="s">
        <v>74</v>
      </c>
      <c r="U953" s="186">
        <v>44932.75</v>
      </c>
      <c r="V953" s="1" t="s">
        <v>41</v>
      </c>
      <c r="W953" s="1" t="s">
        <v>49</v>
      </c>
      <c r="Z953" s="14"/>
      <c r="AA953" s="14"/>
    </row>
    <row r="954" spans="1:27" hidden="1">
      <c r="A954" s="1">
        <v>9300252</v>
      </c>
      <c r="B954" s="1" t="s">
        <v>101</v>
      </c>
      <c r="C954" t="s">
        <v>1761</v>
      </c>
      <c r="E954" s="2">
        <v>2437000206001</v>
      </c>
      <c r="F954" s="1" t="s">
        <v>29</v>
      </c>
      <c r="G954" s="1" t="s">
        <v>53</v>
      </c>
      <c r="H954" s="1" t="s">
        <v>416</v>
      </c>
      <c r="I954" s="1" t="s">
        <v>417</v>
      </c>
      <c r="J954" s="1" t="s">
        <v>211</v>
      </c>
      <c r="K954" t="s">
        <v>34</v>
      </c>
      <c r="M954" s="1" t="s">
        <v>35</v>
      </c>
      <c r="N954" s="1">
        <v>42318949</v>
      </c>
      <c r="O954" s="1" t="s">
        <v>105</v>
      </c>
      <c r="P954" s="186">
        <v>44932.478668981479</v>
      </c>
      <c r="R954" s="1" t="s">
        <v>38</v>
      </c>
      <c r="T954" s="1" t="s">
        <v>74</v>
      </c>
      <c r="U954" s="186">
        <v>44932.75</v>
      </c>
      <c r="V954" s="1" t="s">
        <v>41</v>
      </c>
      <c r="W954" s="1" t="s">
        <v>49</v>
      </c>
      <c r="Z954" s="14"/>
      <c r="AA954" s="14"/>
    </row>
    <row r="955" spans="1:27" hidden="1">
      <c r="A955" s="1">
        <v>9300229</v>
      </c>
      <c r="B955" s="1" t="s">
        <v>101</v>
      </c>
      <c r="C955" t="s">
        <v>1761</v>
      </c>
      <c r="E955" s="2">
        <v>2388000206001</v>
      </c>
      <c r="F955" s="1" t="s">
        <v>29</v>
      </c>
      <c r="G955" s="1" t="s">
        <v>53</v>
      </c>
      <c r="H955" s="1" t="s">
        <v>299</v>
      </c>
      <c r="I955" s="1" t="s">
        <v>300</v>
      </c>
      <c r="J955" s="1" t="s">
        <v>79</v>
      </c>
      <c r="K955" t="s">
        <v>34</v>
      </c>
      <c r="M955" s="1" t="s">
        <v>35</v>
      </c>
      <c r="N955" s="1">
        <v>42318949</v>
      </c>
      <c r="O955" s="1" t="s">
        <v>105</v>
      </c>
      <c r="P955" s="186">
        <v>44932.478634259256</v>
      </c>
      <c r="R955" s="1" t="s">
        <v>38</v>
      </c>
      <c r="T955" s="1" t="s">
        <v>74</v>
      </c>
      <c r="U955" s="186">
        <v>44932.75</v>
      </c>
      <c r="V955" s="1" t="s">
        <v>41</v>
      </c>
      <c r="W955" s="1" t="s">
        <v>49</v>
      </c>
      <c r="Z955" s="14"/>
      <c r="AA955" s="14"/>
    </row>
    <row r="956" spans="1:27" hidden="1">
      <c r="A956" s="1">
        <v>9300228</v>
      </c>
      <c r="B956" s="1" t="s">
        <v>101</v>
      </c>
      <c r="C956" t="s">
        <v>1761</v>
      </c>
      <c r="E956" s="2">
        <v>2388000206001</v>
      </c>
      <c r="F956" s="1" t="s">
        <v>29</v>
      </c>
      <c r="G956" s="1" t="s">
        <v>53</v>
      </c>
      <c r="H956" s="1" t="s">
        <v>299</v>
      </c>
      <c r="I956" s="1" t="s">
        <v>300</v>
      </c>
      <c r="J956" s="1" t="s">
        <v>79</v>
      </c>
      <c r="K956" t="s">
        <v>34</v>
      </c>
      <c r="M956" s="1" t="s">
        <v>35</v>
      </c>
      <c r="N956" s="1">
        <v>42318949</v>
      </c>
      <c r="O956" s="1" t="s">
        <v>105</v>
      </c>
      <c r="P956" s="186">
        <v>44932.478634259256</v>
      </c>
      <c r="R956" s="1" t="s">
        <v>38</v>
      </c>
      <c r="T956" s="1" t="s">
        <v>74</v>
      </c>
      <c r="U956" s="186">
        <v>44932.75</v>
      </c>
      <c r="V956" s="1" t="s">
        <v>41</v>
      </c>
      <c r="W956" s="1" t="s">
        <v>49</v>
      </c>
      <c r="Z956" s="14"/>
      <c r="AA956" s="14"/>
    </row>
    <row r="957" spans="1:27" hidden="1">
      <c r="A957" s="1">
        <v>9300194</v>
      </c>
      <c r="B957" s="1" t="s">
        <v>101</v>
      </c>
      <c r="C957" t="s">
        <v>1761</v>
      </c>
      <c r="E957" s="2">
        <v>2326000206001</v>
      </c>
      <c r="F957" s="1" t="s">
        <v>29</v>
      </c>
      <c r="G957" s="1" t="s">
        <v>53</v>
      </c>
      <c r="H957" s="1" t="s">
        <v>191</v>
      </c>
      <c r="I957" s="1" t="s">
        <v>192</v>
      </c>
      <c r="J957" s="1" t="s">
        <v>46</v>
      </c>
      <c r="K957" t="s">
        <v>34</v>
      </c>
      <c r="M957" s="1" t="s">
        <v>35</v>
      </c>
      <c r="N957" s="1">
        <v>42318949</v>
      </c>
      <c r="O957" s="1" t="s">
        <v>105</v>
      </c>
      <c r="P957" s="186">
        <v>44932.478587962964</v>
      </c>
      <c r="R957" s="1" t="s">
        <v>38</v>
      </c>
      <c r="T957" s="1" t="s">
        <v>74</v>
      </c>
      <c r="U957" s="186">
        <v>44932.75</v>
      </c>
      <c r="V957" s="1" t="s">
        <v>41</v>
      </c>
      <c r="W957" s="1" t="s">
        <v>49</v>
      </c>
      <c r="Z957" s="14"/>
      <c r="AA957" s="14"/>
    </row>
    <row r="958" spans="1:27" hidden="1">
      <c r="A958" s="1">
        <v>9300193</v>
      </c>
      <c r="B958" s="1" t="s">
        <v>101</v>
      </c>
      <c r="C958" t="s">
        <v>1761</v>
      </c>
      <c r="E958" s="2">
        <v>2326000206001</v>
      </c>
      <c r="F958" s="1" t="s">
        <v>29</v>
      </c>
      <c r="G958" s="1" t="s">
        <v>53</v>
      </c>
      <c r="H958" s="1" t="s">
        <v>191</v>
      </c>
      <c r="I958" s="1" t="s">
        <v>192</v>
      </c>
      <c r="J958" s="1" t="s">
        <v>46</v>
      </c>
      <c r="K958" t="s">
        <v>34</v>
      </c>
      <c r="M958" s="1" t="s">
        <v>35</v>
      </c>
      <c r="N958" s="1">
        <v>42318949</v>
      </c>
      <c r="O958" s="1" t="s">
        <v>105</v>
      </c>
      <c r="P958" s="186">
        <v>44932.478587962964</v>
      </c>
      <c r="R958" s="1" t="s">
        <v>38</v>
      </c>
      <c r="T958" s="1" t="s">
        <v>74</v>
      </c>
      <c r="U958" s="186">
        <v>44932.75</v>
      </c>
      <c r="V958" s="1" t="s">
        <v>41</v>
      </c>
      <c r="W958" s="1" t="s">
        <v>49</v>
      </c>
      <c r="Z958" s="14"/>
      <c r="AA958" s="14"/>
    </row>
    <row r="959" spans="1:27" hidden="1">
      <c r="A959" s="1">
        <v>9300192</v>
      </c>
      <c r="B959" s="1" t="s">
        <v>101</v>
      </c>
      <c r="C959" t="s">
        <v>1761</v>
      </c>
      <c r="E959" s="2">
        <v>2326000206001</v>
      </c>
      <c r="F959" s="1" t="s">
        <v>29</v>
      </c>
      <c r="G959" s="1" t="s">
        <v>53</v>
      </c>
      <c r="H959" s="1" t="s">
        <v>191</v>
      </c>
      <c r="I959" s="1" t="s">
        <v>192</v>
      </c>
      <c r="J959" s="1" t="s">
        <v>46</v>
      </c>
      <c r="K959" t="s">
        <v>34</v>
      </c>
      <c r="M959" s="1" t="s">
        <v>35</v>
      </c>
      <c r="N959" s="1">
        <v>42318949</v>
      </c>
      <c r="O959" s="1" t="s">
        <v>105</v>
      </c>
      <c r="P959" s="186">
        <v>44932.478587962964</v>
      </c>
      <c r="R959" s="1" t="s">
        <v>38</v>
      </c>
      <c r="T959" s="1" t="s">
        <v>74</v>
      </c>
      <c r="U959" s="186">
        <v>44932.75</v>
      </c>
      <c r="V959" s="1" t="s">
        <v>41</v>
      </c>
      <c r="W959" s="1" t="s">
        <v>49</v>
      </c>
      <c r="Z959" s="14"/>
      <c r="AA959" s="14"/>
    </row>
    <row r="960" spans="1:27" hidden="1">
      <c r="A960" s="1">
        <v>9300118</v>
      </c>
      <c r="B960" s="1" t="s">
        <v>101</v>
      </c>
      <c r="C960" t="s">
        <v>1761</v>
      </c>
      <c r="E960" s="2">
        <v>2219000206001</v>
      </c>
      <c r="F960" s="1" t="s">
        <v>29</v>
      </c>
      <c r="G960" s="1" t="s">
        <v>53</v>
      </c>
      <c r="H960" s="1" t="s">
        <v>893</v>
      </c>
      <c r="I960" s="1" t="s">
        <v>894</v>
      </c>
      <c r="J960" s="1" t="s">
        <v>141</v>
      </c>
      <c r="K960" t="s">
        <v>34</v>
      </c>
      <c r="M960" s="1" t="s">
        <v>35</v>
      </c>
      <c r="N960" s="1">
        <v>42318949</v>
      </c>
      <c r="O960" s="1" t="s">
        <v>105</v>
      </c>
      <c r="P960" s="186">
        <v>44932.478495370371</v>
      </c>
      <c r="R960" s="1" t="s">
        <v>38</v>
      </c>
      <c r="T960" s="1" t="s">
        <v>74</v>
      </c>
      <c r="U960" s="186">
        <v>44932.75</v>
      </c>
      <c r="V960" s="1" t="s">
        <v>41</v>
      </c>
      <c r="W960" s="1" t="s">
        <v>49</v>
      </c>
      <c r="Z960" s="14"/>
      <c r="AA960" s="14"/>
    </row>
    <row r="961" spans="1:27" hidden="1">
      <c r="A961" s="1">
        <v>9300088</v>
      </c>
      <c r="B961" s="1" t="s">
        <v>101</v>
      </c>
      <c r="C961" t="s">
        <v>1761</v>
      </c>
      <c r="E961" s="2">
        <v>2170000206001</v>
      </c>
      <c r="F961" s="1" t="s">
        <v>29</v>
      </c>
      <c r="G961" s="1" t="s">
        <v>53</v>
      </c>
      <c r="H961" s="1" t="s">
        <v>477</v>
      </c>
      <c r="I961" s="1" t="s">
        <v>478</v>
      </c>
      <c r="J961" s="1" t="s">
        <v>148</v>
      </c>
      <c r="K961" t="s">
        <v>34</v>
      </c>
      <c r="M961" s="1" t="s">
        <v>35</v>
      </c>
      <c r="N961" s="1">
        <v>42318949</v>
      </c>
      <c r="O961" s="1" t="s">
        <v>105</v>
      </c>
      <c r="P961" s="186">
        <v>44932.478449074071</v>
      </c>
      <c r="R961" s="1" t="s">
        <v>38</v>
      </c>
      <c r="T961" s="1" t="s">
        <v>74</v>
      </c>
      <c r="U961" s="186">
        <v>44932.75</v>
      </c>
      <c r="V961" s="1" t="s">
        <v>41</v>
      </c>
      <c r="W961" s="1" t="s">
        <v>49</v>
      </c>
      <c r="Z961" s="14"/>
      <c r="AA961" s="14"/>
    </row>
    <row r="962" spans="1:27" hidden="1">
      <c r="A962" s="1">
        <v>9300087</v>
      </c>
      <c r="B962" s="1" t="s">
        <v>101</v>
      </c>
      <c r="C962" t="s">
        <v>1761</v>
      </c>
      <c r="E962" s="2">
        <v>2170000206001</v>
      </c>
      <c r="F962" s="1" t="s">
        <v>29</v>
      </c>
      <c r="G962" s="1" t="s">
        <v>53</v>
      </c>
      <c r="H962" s="1" t="s">
        <v>477</v>
      </c>
      <c r="I962" s="1" t="s">
        <v>478</v>
      </c>
      <c r="J962" s="1" t="s">
        <v>148</v>
      </c>
      <c r="K962" t="s">
        <v>34</v>
      </c>
      <c r="M962" s="1" t="s">
        <v>35</v>
      </c>
      <c r="N962" s="1">
        <v>42318949</v>
      </c>
      <c r="O962" s="1" t="s">
        <v>105</v>
      </c>
      <c r="P962" s="186">
        <v>44932.478449074071</v>
      </c>
      <c r="R962" s="1" t="s">
        <v>38</v>
      </c>
      <c r="T962" s="1" t="s">
        <v>74</v>
      </c>
      <c r="U962" s="186">
        <v>44932.75</v>
      </c>
      <c r="V962" s="1" t="s">
        <v>41</v>
      </c>
      <c r="W962" s="1" t="s">
        <v>49</v>
      </c>
      <c r="Z962" s="14"/>
      <c r="AA962" s="14"/>
    </row>
    <row r="963" spans="1:27" hidden="1">
      <c r="A963" s="1">
        <v>9299999</v>
      </c>
      <c r="B963" s="1" t="s">
        <v>101</v>
      </c>
      <c r="C963" t="s">
        <v>1761</v>
      </c>
      <c r="E963" s="2">
        <v>1837000206001</v>
      </c>
      <c r="F963" s="1" t="s">
        <v>29</v>
      </c>
      <c r="G963" s="1" t="s">
        <v>53</v>
      </c>
      <c r="H963" s="1" t="s">
        <v>1785</v>
      </c>
      <c r="I963" s="1" t="s">
        <v>1786</v>
      </c>
      <c r="J963" s="1" t="s">
        <v>46</v>
      </c>
      <c r="K963" t="s">
        <v>34</v>
      </c>
      <c r="M963" s="1" t="s">
        <v>35</v>
      </c>
      <c r="N963" s="1">
        <v>42318949</v>
      </c>
      <c r="O963" s="1" t="s">
        <v>105</v>
      </c>
      <c r="P963" s="186">
        <v>44932.478333333333</v>
      </c>
      <c r="R963" s="1" t="s">
        <v>38</v>
      </c>
      <c r="T963" s="1" t="s">
        <v>74</v>
      </c>
      <c r="U963" s="186">
        <v>44932.75</v>
      </c>
      <c r="V963" s="1" t="s">
        <v>41</v>
      </c>
      <c r="W963" s="1" t="s">
        <v>49</v>
      </c>
      <c r="Z963" s="14"/>
      <c r="AA963" s="14"/>
    </row>
    <row r="964" spans="1:27" hidden="1">
      <c r="A964" s="1">
        <v>9299998</v>
      </c>
      <c r="B964" s="1" t="s">
        <v>101</v>
      </c>
      <c r="C964" t="s">
        <v>1761</v>
      </c>
      <c r="E964" s="2">
        <v>1837000206001</v>
      </c>
      <c r="F964" s="1" t="s">
        <v>29</v>
      </c>
      <c r="G964" s="1" t="s">
        <v>53</v>
      </c>
      <c r="H964" s="1" t="s">
        <v>1785</v>
      </c>
      <c r="I964" s="1" t="s">
        <v>1786</v>
      </c>
      <c r="J964" s="1" t="s">
        <v>46</v>
      </c>
      <c r="K964" t="s">
        <v>34</v>
      </c>
      <c r="M964" s="1" t="s">
        <v>35</v>
      </c>
      <c r="N964" s="1">
        <v>42318949</v>
      </c>
      <c r="O964" s="1" t="s">
        <v>105</v>
      </c>
      <c r="P964" s="186">
        <v>44932.478333333333</v>
      </c>
      <c r="R964" s="1" t="s">
        <v>38</v>
      </c>
      <c r="T964" s="1" t="s">
        <v>74</v>
      </c>
      <c r="U964" s="186">
        <v>44932.75</v>
      </c>
      <c r="V964" s="1" t="s">
        <v>41</v>
      </c>
      <c r="W964" s="1" t="s">
        <v>49</v>
      </c>
      <c r="Z964" s="14"/>
      <c r="AA964" s="14"/>
    </row>
    <row r="965" spans="1:27" hidden="1">
      <c r="A965" s="1">
        <v>9299997</v>
      </c>
      <c r="B965" s="1" t="s">
        <v>101</v>
      </c>
      <c r="C965" t="s">
        <v>1761</v>
      </c>
      <c r="E965" s="2">
        <v>1837000206001</v>
      </c>
      <c r="F965" s="1" t="s">
        <v>29</v>
      </c>
      <c r="G965" s="1" t="s">
        <v>53</v>
      </c>
      <c r="H965" s="1" t="s">
        <v>1785</v>
      </c>
      <c r="I965" s="1" t="s">
        <v>1786</v>
      </c>
      <c r="J965" s="1" t="s">
        <v>46</v>
      </c>
      <c r="K965" t="s">
        <v>34</v>
      </c>
      <c r="M965" s="1" t="s">
        <v>35</v>
      </c>
      <c r="N965" s="1">
        <v>42318949</v>
      </c>
      <c r="O965" s="1" t="s">
        <v>105</v>
      </c>
      <c r="P965" s="186">
        <v>44932.478321759256</v>
      </c>
      <c r="R965" s="1" t="s">
        <v>38</v>
      </c>
      <c r="T965" s="1" t="s">
        <v>74</v>
      </c>
      <c r="U965" s="186">
        <v>44932.75</v>
      </c>
      <c r="V965" s="1" t="s">
        <v>41</v>
      </c>
      <c r="W965" s="1" t="s">
        <v>49</v>
      </c>
      <c r="Z965" s="14"/>
      <c r="AA965" s="14"/>
    </row>
    <row r="966" spans="1:27" hidden="1">
      <c r="A966" s="1">
        <v>9299964</v>
      </c>
      <c r="B966" s="1" t="s">
        <v>101</v>
      </c>
      <c r="C966" t="s">
        <v>1761</v>
      </c>
      <c r="E966" s="2">
        <v>1739000206001</v>
      </c>
      <c r="F966" s="1" t="s">
        <v>29</v>
      </c>
      <c r="G966" s="1" t="s">
        <v>53</v>
      </c>
      <c r="H966" s="1" t="s">
        <v>162</v>
      </c>
      <c r="I966" s="1" t="s">
        <v>163</v>
      </c>
      <c r="J966" s="1" t="s">
        <v>164</v>
      </c>
      <c r="K966" t="s">
        <v>34</v>
      </c>
      <c r="M966" s="1" t="s">
        <v>35</v>
      </c>
      <c r="N966" s="1">
        <v>42318949</v>
      </c>
      <c r="O966" s="1" t="s">
        <v>105</v>
      </c>
      <c r="P966" s="186">
        <v>44932.47828703704</v>
      </c>
      <c r="R966" s="1" t="s">
        <v>38</v>
      </c>
      <c r="T966" s="1" t="s">
        <v>74</v>
      </c>
      <c r="U966" s="186">
        <v>44932.75</v>
      </c>
      <c r="V966" s="1" t="s">
        <v>41</v>
      </c>
      <c r="W966" s="1" t="s">
        <v>49</v>
      </c>
      <c r="Z966" s="14"/>
      <c r="AA966" s="14"/>
    </row>
    <row r="967" spans="1:27" hidden="1">
      <c r="A967" s="1">
        <v>9299963</v>
      </c>
      <c r="B967" s="1" t="s">
        <v>101</v>
      </c>
      <c r="C967" t="s">
        <v>1761</v>
      </c>
      <c r="E967" s="2">
        <v>1739000206001</v>
      </c>
      <c r="F967" s="1" t="s">
        <v>29</v>
      </c>
      <c r="G967" s="1" t="s">
        <v>53</v>
      </c>
      <c r="H967" s="1" t="s">
        <v>162</v>
      </c>
      <c r="I967" s="1" t="s">
        <v>163</v>
      </c>
      <c r="J967" s="1" t="s">
        <v>164</v>
      </c>
      <c r="K967" t="s">
        <v>34</v>
      </c>
      <c r="M967" s="1" t="s">
        <v>35</v>
      </c>
      <c r="N967" s="1">
        <v>42318949</v>
      </c>
      <c r="O967" s="1" t="s">
        <v>105</v>
      </c>
      <c r="P967" s="186">
        <v>44932.478275462963</v>
      </c>
      <c r="R967" s="1" t="s">
        <v>38</v>
      </c>
      <c r="T967" s="1" t="s">
        <v>74</v>
      </c>
      <c r="U967" s="186">
        <v>44932.75</v>
      </c>
      <c r="V967" s="1" t="s">
        <v>41</v>
      </c>
      <c r="W967" s="1" t="s">
        <v>49</v>
      </c>
      <c r="Z967" s="14"/>
      <c r="AA967" s="14"/>
    </row>
    <row r="968" spans="1:27" hidden="1">
      <c r="A968" s="1">
        <v>9299962</v>
      </c>
      <c r="B968" s="1" t="s">
        <v>101</v>
      </c>
      <c r="C968" t="s">
        <v>1761</v>
      </c>
      <c r="E968" s="2">
        <v>1739000206001</v>
      </c>
      <c r="F968" s="1" t="s">
        <v>29</v>
      </c>
      <c r="G968" s="1" t="s">
        <v>53</v>
      </c>
      <c r="H968" s="1" t="s">
        <v>162</v>
      </c>
      <c r="I968" s="1" t="s">
        <v>163</v>
      </c>
      <c r="J968" s="1" t="s">
        <v>164</v>
      </c>
      <c r="K968" t="s">
        <v>34</v>
      </c>
      <c r="M968" s="1" t="s">
        <v>35</v>
      </c>
      <c r="N968" s="1">
        <v>42318949</v>
      </c>
      <c r="O968" s="1" t="s">
        <v>105</v>
      </c>
      <c r="P968" s="186">
        <v>44932.478275462963</v>
      </c>
      <c r="R968" s="1" t="s">
        <v>38</v>
      </c>
      <c r="T968" s="1" t="s">
        <v>74</v>
      </c>
      <c r="U968" s="186">
        <v>44932.75</v>
      </c>
      <c r="V968" s="1" t="s">
        <v>41</v>
      </c>
      <c r="W968" s="1" t="s">
        <v>49</v>
      </c>
      <c r="Z968" s="14"/>
      <c r="AA968" s="14"/>
    </row>
    <row r="969" spans="1:27" hidden="1">
      <c r="A969" s="1">
        <v>9299956</v>
      </c>
      <c r="B969" s="1" t="s">
        <v>101</v>
      </c>
      <c r="C969" t="s">
        <v>1761</v>
      </c>
      <c r="E969" s="2">
        <v>1732000206001</v>
      </c>
      <c r="F969" s="1" t="s">
        <v>29</v>
      </c>
      <c r="G969" s="1" t="s">
        <v>53</v>
      </c>
      <c r="H969" s="1" t="s">
        <v>177</v>
      </c>
      <c r="I969" s="1" t="s">
        <v>178</v>
      </c>
      <c r="J969" s="1" t="s">
        <v>164</v>
      </c>
      <c r="K969" t="s">
        <v>34</v>
      </c>
      <c r="M969" s="1" t="s">
        <v>35</v>
      </c>
      <c r="N969" s="1">
        <v>42318949</v>
      </c>
      <c r="O969" s="1" t="s">
        <v>105</v>
      </c>
      <c r="P969" s="186">
        <v>44932.478275462963</v>
      </c>
      <c r="R969" s="1" t="s">
        <v>38</v>
      </c>
      <c r="T969" s="1" t="s">
        <v>74</v>
      </c>
      <c r="U969" s="186">
        <v>44932.75</v>
      </c>
      <c r="V969" s="1" t="s">
        <v>41</v>
      </c>
      <c r="W969" s="1" t="s">
        <v>49</v>
      </c>
      <c r="Z969" s="14"/>
      <c r="AA969" s="14"/>
    </row>
    <row r="970" spans="1:27" hidden="1">
      <c r="A970" s="1">
        <v>9299911</v>
      </c>
      <c r="B970" s="1" t="s">
        <v>101</v>
      </c>
      <c r="C970" t="s">
        <v>1761</v>
      </c>
      <c r="E970" s="2">
        <v>1650000206001</v>
      </c>
      <c r="F970" s="1" t="s">
        <v>29</v>
      </c>
      <c r="G970" s="1" t="s">
        <v>53</v>
      </c>
      <c r="H970" s="1" t="s">
        <v>620</v>
      </c>
      <c r="I970" s="1" t="s">
        <v>621</v>
      </c>
      <c r="J970" s="1" t="s">
        <v>141</v>
      </c>
      <c r="K970" t="s">
        <v>34</v>
      </c>
      <c r="M970" s="1" t="s">
        <v>35</v>
      </c>
      <c r="N970" s="1">
        <v>42318949</v>
      </c>
      <c r="O970" s="1" t="s">
        <v>105</v>
      </c>
      <c r="P970" s="186">
        <v>44932.478206018517</v>
      </c>
      <c r="R970" s="1" t="s">
        <v>38</v>
      </c>
      <c r="T970" s="1" t="s">
        <v>74</v>
      </c>
      <c r="U970" s="186">
        <v>44932.75</v>
      </c>
      <c r="V970" s="1" t="s">
        <v>41</v>
      </c>
      <c r="W970" s="1" t="s">
        <v>49</v>
      </c>
      <c r="Z970" s="14"/>
      <c r="AA970" s="14"/>
    </row>
    <row r="971" spans="1:27" hidden="1">
      <c r="A971" s="1">
        <v>9299910</v>
      </c>
      <c r="B971" s="1" t="s">
        <v>101</v>
      </c>
      <c r="C971" t="s">
        <v>1761</v>
      </c>
      <c r="E971" s="2">
        <v>1650000206001</v>
      </c>
      <c r="F971" s="1" t="s">
        <v>29</v>
      </c>
      <c r="G971" s="1" t="s">
        <v>53</v>
      </c>
      <c r="H971" s="1" t="s">
        <v>620</v>
      </c>
      <c r="I971" s="1" t="s">
        <v>621</v>
      </c>
      <c r="J971" s="1" t="s">
        <v>141</v>
      </c>
      <c r="K971" t="s">
        <v>34</v>
      </c>
      <c r="M971" s="1" t="s">
        <v>35</v>
      </c>
      <c r="N971" s="1">
        <v>42318949</v>
      </c>
      <c r="O971" s="1" t="s">
        <v>105</v>
      </c>
      <c r="P971" s="186">
        <v>44932.478206018517</v>
      </c>
      <c r="R971" s="1" t="s">
        <v>38</v>
      </c>
      <c r="T971" s="1" t="s">
        <v>74</v>
      </c>
      <c r="U971" s="186">
        <v>44932.75</v>
      </c>
      <c r="V971" s="1" t="s">
        <v>41</v>
      </c>
      <c r="W971" s="1" t="s">
        <v>49</v>
      </c>
      <c r="Z971" s="14"/>
      <c r="AA971" s="14"/>
    </row>
    <row r="972" spans="1:27" hidden="1">
      <c r="A972" s="1">
        <v>9299909</v>
      </c>
      <c r="B972" s="1" t="s">
        <v>101</v>
      </c>
      <c r="C972" t="s">
        <v>1761</v>
      </c>
      <c r="E972" s="2">
        <v>1650000206001</v>
      </c>
      <c r="F972" s="1" t="s">
        <v>29</v>
      </c>
      <c r="G972" s="1" t="s">
        <v>53</v>
      </c>
      <c r="H972" s="1" t="s">
        <v>620</v>
      </c>
      <c r="I972" s="1" t="s">
        <v>621</v>
      </c>
      <c r="J972" s="1" t="s">
        <v>141</v>
      </c>
      <c r="K972" t="s">
        <v>34</v>
      </c>
      <c r="M972" s="1" t="s">
        <v>35</v>
      </c>
      <c r="N972" s="1">
        <v>42318949</v>
      </c>
      <c r="O972" s="1" t="s">
        <v>105</v>
      </c>
      <c r="P972" s="186">
        <v>44932.478206018517</v>
      </c>
      <c r="R972" s="1" t="s">
        <v>38</v>
      </c>
      <c r="T972" s="1" t="s">
        <v>74</v>
      </c>
      <c r="U972" s="186">
        <v>44932.75</v>
      </c>
      <c r="V972" s="1" t="s">
        <v>41</v>
      </c>
      <c r="W972" s="1" t="s">
        <v>49</v>
      </c>
      <c r="Z972" s="14"/>
      <c r="AA972" s="14"/>
    </row>
    <row r="973" spans="1:27" hidden="1">
      <c r="A973" s="1">
        <v>9299908</v>
      </c>
      <c r="B973" s="1" t="s">
        <v>101</v>
      </c>
      <c r="C973" t="s">
        <v>1761</v>
      </c>
      <c r="E973" s="2">
        <v>1643000206001</v>
      </c>
      <c r="F973" s="1" t="s">
        <v>29</v>
      </c>
      <c r="G973" s="1" t="s">
        <v>53</v>
      </c>
      <c r="H973" s="1" t="s">
        <v>361</v>
      </c>
      <c r="I973" s="1" t="s">
        <v>362</v>
      </c>
      <c r="J973" s="1" t="s">
        <v>261</v>
      </c>
      <c r="K973" t="s">
        <v>34</v>
      </c>
      <c r="M973" s="1" t="s">
        <v>35</v>
      </c>
      <c r="N973" s="1">
        <v>42318949</v>
      </c>
      <c r="O973" s="1" t="s">
        <v>105</v>
      </c>
      <c r="P973" s="186">
        <v>44932.478206018517</v>
      </c>
      <c r="R973" s="1" t="s">
        <v>38</v>
      </c>
      <c r="T973" s="1" t="s">
        <v>74</v>
      </c>
      <c r="U973" s="186">
        <v>44932.75</v>
      </c>
      <c r="V973" s="1" t="s">
        <v>41</v>
      </c>
      <c r="W973" s="1" t="s">
        <v>49</v>
      </c>
      <c r="Z973" s="14"/>
      <c r="AA973" s="14"/>
    </row>
    <row r="974" spans="1:27" hidden="1">
      <c r="A974" s="1">
        <v>9299907</v>
      </c>
      <c r="B974" s="1" t="s">
        <v>101</v>
      </c>
      <c r="C974" t="s">
        <v>1761</v>
      </c>
      <c r="E974" s="2">
        <v>1643000206001</v>
      </c>
      <c r="F974" s="1" t="s">
        <v>29</v>
      </c>
      <c r="G974" s="1" t="s">
        <v>53</v>
      </c>
      <c r="H974" s="1" t="s">
        <v>361</v>
      </c>
      <c r="I974" s="1" t="s">
        <v>362</v>
      </c>
      <c r="J974" s="1" t="s">
        <v>261</v>
      </c>
      <c r="K974" t="s">
        <v>34</v>
      </c>
      <c r="M974" s="1" t="s">
        <v>35</v>
      </c>
      <c r="N974" s="1">
        <v>42318949</v>
      </c>
      <c r="O974" s="1" t="s">
        <v>105</v>
      </c>
      <c r="P974" s="186">
        <v>44932.478206018517</v>
      </c>
      <c r="R974" s="1" t="s">
        <v>38</v>
      </c>
      <c r="T974" s="1" t="s">
        <v>74</v>
      </c>
      <c r="U974" s="186">
        <v>44932.75</v>
      </c>
      <c r="V974" s="1" t="s">
        <v>41</v>
      </c>
      <c r="W974" s="1" t="s">
        <v>49</v>
      </c>
      <c r="Z974" s="14"/>
      <c r="AA974" s="14"/>
    </row>
    <row r="975" spans="1:27" hidden="1">
      <c r="A975" s="1">
        <v>9299906</v>
      </c>
      <c r="B975" s="1" t="s">
        <v>101</v>
      </c>
      <c r="C975" t="s">
        <v>1761</v>
      </c>
      <c r="E975" s="2">
        <v>1643000206001</v>
      </c>
      <c r="F975" s="1" t="s">
        <v>29</v>
      </c>
      <c r="G975" s="1" t="s">
        <v>53</v>
      </c>
      <c r="H975" s="1" t="s">
        <v>361</v>
      </c>
      <c r="I975" s="1" t="s">
        <v>362</v>
      </c>
      <c r="J975" s="1" t="s">
        <v>261</v>
      </c>
      <c r="K975" t="s">
        <v>34</v>
      </c>
      <c r="M975" s="1" t="s">
        <v>35</v>
      </c>
      <c r="N975" s="1">
        <v>42318949</v>
      </c>
      <c r="O975" s="1" t="s">
        <v>105</v>
      </c>
      <c r="P975" s="186">
        <v>44932.478206018517</v>
      </c>
      <c r="R975" s="1" t="s">
        <v>38</v>
      </c>
      <c r="T975" s="1" t="s">
        <v>74</v>
      </c>
      <c r="U975" s="186">
        <v>44932.75</v>
      </c>
      <c r="V975" s="1" t="s">
        <v>41</v>
      </c>
      <c r="W975" s="1" t="s">
        <v>49</v>
      </c>
      <c r="Z975" s="14"/>
      <c r="AA975" s="14"/>
    </row>
    <row r="976" spans="1:27" hidden="1">
      <c r="A976" s="1">
        <v>9299748</v>
      </c>
      <c r="B976" s="1" t="s">
        <v>101</v>
      </c>
      <c r="C976" t="s">
        <v>1761</v>
      </c>
      <c r="E976" s="2">
        <v>1363000206001</v>
      </c>
      <c r="F976" s="1" t="s">
        <v>29</v>
      </c>
      <c r="G976" s="1" t="s">
        <v>53</v>
      </c>
      <c r="H976" s="1" t="s">
        <v>108</v>
      </c>
      <c r="I976" s="1" t="s">
        <v>109</v>
      </c>
      <c r="J976" s="1" t="s">
        <v>110</v>
      </c>
      <c r="K976" t="s">
        <v>34</v>
      </c>
      <c r="M976" s="1" t="s">
        <v>35</v>
      </c>
      <c r="N976" s="1">
        <v>42318949</v>
      </c>
      <c r="O976" s="1" t="s">
        <v>105</v>
      </c>
      <c r="P976" s="186">
        <v>44932.47797453704</v>
      </c>
      <c r="R976" s="1" t="s">
        <v>38</v>
      </c>
      <c r="T976" s="1" t="s">
        <v>74</v>
      </c>
      <c r="U976" s="186">
        <v>44932.75</v>
      </c>
      <c r="V976" s="1" t="s">
        <v>41</v>
      </c>
      <c r="W976" s="1" t="s">
        <v>49</v>
      </c>
      <c r="Z976" s="14"/>
      <c r="AA976" s="14"/>
    </row>
    <row r="977" spans="1:27" hidden="1">
      <c r="A977" s="1">
        <v>9299747</v>
      </c>
      <c r="B977" s="1" t="s">
        <v>101</v>
      </c>
      <c r="C977" t="s">
        <v>1761</v>
      </c>
      <c r="E977" s="2">
        <v>1363000206001</v>
      </c>
      <c r="F977" s="1" t="s">
        <v>29</v>
      </c>
      <c r="G977" s="1" t="s">
        <v>53</v>
      </c>
      <c r="H977" s="1" t="s">
        <v>108</v>
      </c>
      <c r="I977" s="1" t="s">
        <v>109</v>
      </c>
      <c r="J977" s="1" t="s">
        <v>110</v>
      </c>
      <c r="K977" t="s">
        <v>34</v>
      </c>
      <c r="M977" s="1" t="s">
        <v>35</v>
      </c>
      <c r="N977" s="1">
        <v>42318949</v>
      </c>
      <c r="O977" s="1" t="s">
        <v>105</v>
      </c>
      <c r="P977" s="186">
        <v>44932.47797453704</v>
      </c>
      <c r="R977" s="1" t="s">
        <v>38</v>
      </c>
      <c r="T977" s="1" t="s">
        <v>74</v>
      </c>
      <c r="U977" s="186">
        <v>44932.75</v>
      </c>
      <c r="V977" s="1" t="s">
        <v>41</v>
      </c>
      <c r="W977" s="1" t="s">
        <v>49</v>
      </c>
      <c r="Z977" s="14"/>
      <c r="AA977" s="14"/>
    </row>
    <row r="978" spans="1:27" hidden="1">
      <c r="A978" s="1">
        <v>9299712</v>
      </c>
      <c r="B978" s="1" t="s">
        <v>101</v>
      </c>
      <c r="C978" t="s">
        <v>1761</v>
      </c>
      <c r="E978" s="2">
        <v>1291000206001</v>
      </c>
      <c r="F978" s="1" t="s">
        <v>29</v>
      </c>
      <c r="G978" s="1" t="s">
        <v>53</v>
      </c>
      <c r="H978" s="1" t="s">
        <v>136</v>
      </c>
      <c r="I978" s="1" t="s">
        <v>137</v>
      </c>
      <c r="J978" s="1" t="s">
        <v>33</v>
      </c>
      <c r="K978" t="s">
        <v>34</v>
      </c>
      <c r="M978" s="1" t="s">
        <v>35</v>
      </c>
      <c r="N978" s="1">
        <v>42318949</v>
      </c>
      <c r="O978" s="1" t="s">
        <v>105</v>
      </c>
      <c r="P978" s="186">
        <v>44932.47792824074</v>
      </c>
      <c r="R978" s="1" t="s">
        <v>38</v>
      </c>
      <c r="T978" s="1" t="s">
        <v>74</v>
      </c>
      <c r="U978" s="186">
        <v>44932.75</v>
      </c>
      <c r="V978" s="1" t="s">
        <v>41</v>
      </c>
      <c r="W978" s="1" t="s">
        <v>42</v>
      </c>
      <c r="Z978" s="14"/>
      <c r="AA978" s="14"/>
    </row>
    <row r="979" spans="1:27" hidden="1">
      <c r="A979" s="1">
        <v>9299701</v>
      </c>
      <c r="B979" s="1" t="s">
        <v>101</v>
      </c>
      <c r="C979" t="s">
        <v>1761</v>
      </c>
      <c r="E979" s="2">
        <v>1264000206001</v>
      </c>
      <c r="F979" s="1" t="s">
        <v>29</v>
      </c>
      <c r="G979" s="1" t="s">
        <v>53</v>
      </c>
      <c r="H979" s="1" t="s">
        <v>351</v>
      </c>
      <c r="I979" s="1" t="s">
        <v>352</v>
      </c>
      <c r="J979" s="1" t="s">
        <v>110</v>
      </c>
      <c r="K979" t="s">
        <v>34</v>
      </c>
      <c r="M979" s="1" t="s">
        <v>35</v>
      </c>
      <c r="N979" s="1">
        <v>42318949</v>
      </c>
      <c r="O979" s="1" t="s">
        <v>105</v>
      </c>
      <c r="P979" s="186">
        <v>44932.477905092594</v>
      </c>
      <c r="R979" s="1" t="s">
        <v>38</v>
      </c>
      <c r="T979" s="1" t="s">
        <v>74</v>
      </c>
      <c r="U979" s="186">
        <v>44932.75</v>
      </c>
      <c r="V979" s="1" t="s">
        <v>41</v>
      </c>
      <c r="W979" s="1" t="s">
        <v>49</v>
      </c>
      <c r="Z979" s="14"/>
      <c r="AA979" s="14"/>
    </row>
    <row r="980" spans="1:27" hidden="1">
      <c r="A980" s="1">
        <v>9299700</v>
      </c>
      <c r="B980" s="1" t="s">
        <v>101</v>
      </c>
      <c r="C980" t="s">
        <v>1761</v>
      </c>
      <c r="E980" s="2">
        <v>1264000206001</v>
      </c>
      <c r="F980" s="1" t="s">
        <v>29</v>
      </c>
      <c r="G980" s="1" t="s">
        <v>53</v>
      </c>
      <c r="H980" s="1" t="s">
        <v>351</v>
      </c>
      <c r="I980" s="1" t="s">
        <v>352</v>
      </c>
      <c r="J980" s="1" t="s">
        <v>110</v>
      </c>
      <c r="K980" t="s">
        <v>34</v>
      </c>
      <c r="M980" s="1" t="s">
        <v>35</v>
      </c>
      <c r="N980" s="1">
        <v>42318949</v>
      </c>
      <c r="O980" s="1" t="s">
        <v>105</v>
      </c>
      <c r="P980" s="186">
        <v>44932.477905092594</v>
      </c>
      <c r="R980" s="1" t="s">
        <v>38</v>
      </c>
      <c r="T980" s="1" t="s">
        <v>74</v>
      </c>
      <c r="U980" s="186">
        <v>44932.75</v>
      </c>
      <c r="V980" s="1" t="s">
        <v>41</v>
      </c>
      <c r="W980" s="1" t="s">
        <v>49</v>
      </c>
      <c r="Z980" s="14"/>
      <c r="AA980" s="14"/>
    </row>
    <row r="981" spans="1:27" hidden="1">
      <c r="A981" s="1">
        <v>9299699</v>
      </c>
      <c r="B981" s="1" t="s">
        <v>101</v>
      </c>
      <c r="C981" t="s">
        <v>1761</v>
      </c>
      <c r="E981" s="2">
        <v>1264000206001</v>
      </c>
      <c r="F981" s="1" t="s">
        <v>29</v>
      </c>
      <c r="G981" s="1" t="s">
        <v>53</v>
      </c>
      <c r="H981" s="1" t="s">
        <v>351</v>
      </c>
      <c r="I981" s="1" t="s">
        <v>352</v>
      </c>
      <c r="J981" s="1" t="s">
        <v>110</v>
      </c>
      <c r="K981" t="s">
        <v>34</v>
      </c>
      <c r="M981" s="1" t="s">
        <v>35</v>
      </c>
      <c r="N981" s="1">
        <v>42318949</v>
      </c>
      <c r="O981" s="1" t="s">
        <v>105</v>
      </c>
      <c r="P981" s="186">
        <v>44932.477905092594</v>
      </c>
      <c r="R981" s="1" t="s">
        <v>38</v>
      </c>
      <c r="T981" s="1" t="s">
        <v>74</v>
      </c>
      <c r="U981" s="186">
        <v>44932.75</v>
      </c>
      <c r="V981" s="1" t="s">
        <v>41</v>
      </c>
      <c r="W981" s="1" t="s">
        <v>49</v>
      </c>
      <c r="Z981" s="14"/>
      <c r="AA981" s="14"/>
    </row>
    <row r="982" spans="1:27" hidden="1">
      <c r="A982" s="1">
        <v>9299638</v>
      </c>
      <c r="B982" s="1" t="s">
        <v>101</v>
      </c>
      <c r="C982" t="s">
        <v>1761</v>
      </c>
      <c r="E982" s="2">
        <v>1153000206001</v>
      </c>
      <c r="F982" s="1" t="s">
        <v>29</v>
      </c>
      <c r="G982" s="1" t="s">
        <v>53</v>
      </c>
      <c r="H982" s="1" t="s">
        <v>1031</v>
      </c>
      <c r="I982" s="1" t="s">
        <v>1032</v>
      </c>
      <c r="J982" s="1" t="s">
        <v>79</v>
      </c>
      <c r="K982" t="s">
        <v>34</v>
      </c>
      <c r="M982" s="1" t="s">
        <v>35</v>
      </c>
      <c r="N982" s="1">
        <v>42318949</v>
      </c>
      <c r="O982" s="1" t="s">
        <v>105</v>
      </c>
      <c r="P982" s="186">
        <v>44932.477824074071</v>
      </c>
      <c r="R982" s="1" t="s">
        <v>38</v>
      </c>
      <c r="T982" s="1" t="s">
        <v>74</v>
      </c>
      <c r="U982" s="186">
        <v>44932.75</v>
      </c>
      <c r="V982" s="1" t="s">
        <v>41</v>
      </c>
      <c r="W982" s="1" t="s">
        <v>49</v>
      </c>
      <c r="Z982" s="14"/>
      <c r="AA982" s="14"/>
    </row>
    <row r="983" spans="1:27" hidden="1">
      <c r="A983" s="1">
        <v>9299629</v>
      </c>
      <c r="B983" s="1" t="s">
        <v>101</v>
      </c>
      <c r="C983" t="s">
        <v>1761</v>
      </c>
      <c r="E983" s="2">
        <v>1120000206001</v>
      </c>
      <c r="F983" s="1" t="s">
        <v>29</v>
      </c>
      <c r="G983" s="1" t="s">
        <v>53</v>
      </c>
      <c r="H983" s="1" t="s">
        <v>181</v>
      </c>
      <c r="I983" s="1" t="s">
        <v>182</v>
      </c>
      <c r="J983" s="1" t="s">
        <v>164</v>
      </c>
      <c r="K983" t="s">
        <v>34</v>
      </c>
      <c r="M983" s="1" t="s">
        <v>35</v>
      </c>
      <c r="N983" s="1">
        <v>42318949</v>
      </c>
      <c r="O983" s="1" t="s">
        <v>105</v>
      </c>
      <c r="P983" s="186">
        <v>44932.477812500001</v>
      </c>
      <c r="R983" s="1" t="s">
        <v>38</v>
      </c>
      <c r="T983" s="1" t="s">
        <v>74</v>
      </c>
      <c r="U983" s="186">
        <v>44932.75</v>
      </c>
      <c r="V983" s="1" t="s">
        <v>41</v>
      </c>
      <c r="W983" s="1" t="s">
        <v>49</v>
      </c>
      <c r="Z983" s="14"/>
      <c r="AA983" s="14"/>
    </row>
    <row r="984" spans="1:27" hidden="1">
      <c r="A984" s="1">
        <v>9299628</v>
      </c>
      <c r="B984" s="1" t="s">
        <v>101</v>
      </c>
      <c r="C984" t="s">
        <v>1761</v>
      </c>
      <c r="E984" s="2">
        <v>1120000206001</v>
      </c>
      <c r="F984" s="1" t="s">
        <v>29</v>
      </c>
      <c r="G984" s="1" t="s">
        <v>53</v>
      </c>
      <c r="H984" s="1" t="s">
        <v>181</v>
      </c>
      <c r="I984" s="1" t="s">
        <v>182</v>
      </c>
      <c r="J984" s="1" t="s">
        <v>164</v>
      </c>
      <c r="K984" t="s">
        <v>34</v>
      </c>
      <c r="M984" s="1" t="s">
        <v>35</v>
      </c>
      <c r="N984" s="1">
        <v>42318949</v>
      </c>
      <c r="O984" s="1" t="s">
        <v>105</v>
      </c>
      <c r="P984" s="186">
        <v>44932.477800925924</v>
      </c>
      <c r="R984" s="1" t="s">
        <v>38</v>
      </c>
      <c r="T984" s="1" t="s">
        <v>74</v>
      </c>
      <c r="U984" s="186">
        <v>44932.75</v>
      </c>
      <c r="V984" s="1" t="s">
        <v>41</v>
      </c>
      <c r="W984" s="1" t="s">
        <v>49</v>
      </c>
      <c r="Z984" s="14"/>
      <c r="AA984" s="14"/>
    </row>
    <row r="985" spans="1:27" hidden="1">
      <c r="A985" s="1">
        <v>9299585</v>
      </c>
      <c r="B985" s="1" t="s">
        <v>101</v>
      </c>
      <c r="C985" t="s">
        <v>1761</v>
      </c>
      <c r="E985" s="2">
        <v>1060000206001</v>
      </c>
      <c r="F985" s="1" t="s">
        <v>29</v>
      </c>
      <c r="G985" s="1" t="s">
        <v>53</v>
      </c>
      <c r="H985" s="1" t="s">
        <v>284</v>
      </c>
      <c r="I985" s="1" t="s">
        <v>285</v>
      </c>
      <c r="J985" s="1" t="s">
        <v>148</v>
      </c>
      <c r="K985" t="s">
        <v>34</v>
      </c>
      <c r="M985" s="1" t="s">
        <v>35</v>
      </c>
      <c r="N985" s="1">
        <v>42318949</v>
      </c>
      <c r="O985" s="1" t="s">
        <v>105</v>
      </c>
      <c r="P985" s="186">
        <v>44932.477743055555</v>
      </c>
      <c r="R985" s="1" t="s">
        <v>38</v>
      </c>
      <c r="T985" s="1" t="s">
        <v>74</v>
      </c>
      <c r="U985" s="186">
        <v>44932.75</v>
      </c>
      <c r="V985" s="1" t="s">
        <v>41</v>
      </c>
      <c r="W985" s="1" t="s">
        <v>49</v>
      </c>
      <c r="Z985" s="14"/>
      <c r="AA985" s="14"/>
    </row>
    <row r="986" spans="1:27" hidden="1">
      <c r="A986" s="1">
        <v>9299584</v>
      </c>
      <c r="B986" s="1" t="s">
        <v>101</v>
      </c>
      <c r="C986" t="s">
        <v>1761</v>
      </c>
      <c r="E986" s="2">
        <v>1060000206001</v>
      </c>
      <c r="F986" s="1" t="s">
        <v>29</v>
      </c>
      <c r="G986" s="1" t="s">
        <v>53</v>
      </c>
      <c r="H986" s="1" t="s">
        <v>284</v>
      </c>
      <c r="I986" s="1" t="s">
        <v>285</v>
      </c>
      <c r="J986" s="1" t="s">
        <v>148</v>
      </c>
      <c r="K986" t="s">
        <v>34</v>
      </c>
      <c r="M986" s="1" t="s">
        <v>35</v>
      </c>
      <c r="N986" s="1">
        <v>42318949</v>
      </c>
      <c r="O986" s="1" t="s">
        <v>105</v>
      </c>
      <c r="P986" s="186">
        <v>44932.477743055555</v>
      </c>
      <c r="R986" s="1" t="s">
        <v>38</v>
      </c>
      <c r="T986" s="1" t="s">
        <v>74</v>
      </c>
      <c r="U986" s="186">
        <v>44932.75</v>
      </c>
      <c r="V986" s="1" t="s">
        <v>41</v>
      </c>
      <c r="W986" s="1" t="s">
        <v>49</v>
      </c>
      <c r="Z986" s="14"/>
      <c r="AA986" s="14"/>
    </row>
    <row r="987" spans="1:27" hidden="1">
      <c r="A987" s="1">
        <v>9299582</v>
      </c>
      <c r="B987" s="1" t="s">
        <v>101</v>
      </c>
      <c r="C987" t="s">
        <v>1761</v>
      </c>
      <c r="E987" s="2">
        <v>1059000206001</v>
      </c>
      <c r="F987" s="1" t="s">
        <v>29</v>
      </c>
      <c r="G987" s="1" t="s">
        <v>53</v>
      </c>
      <c r="H987" s="1" t="s">
        <v>88</v>
      </c>
      <c r="I987" s="1" t="s">
        <v>89</v>
      </c>
      <c r="J987" s="1" t="s">
        <v>90</v>
      </c>
      <c r="K987" t="s">
        <v>34</v>
      </c>
      <c r="M987" s="1" t="s">
        <v>35</v>
      </c>
      <c r="N987" s="1">
        <v>42318949</v>
      </c>
      <c r="O987" s="1" t="s">
        <v>105</v>
      </c>
      <c r="P987" s="186">
        <v>44932.477743055555</v>
      </c>
      <c r="R987" s="1" t="s">
        <v>38</v>
      </c>
      <c r="T987" s="1" t="s">
        <v>74</v>
      </c>
      <c r="U987" s="186">
        <v>44932.75</v>
      </c>
      <c r="V987" s="1" t="s">
        <v>41</v>
      </c>
      <c r="W987" s="1" t="s">
        <v>49</v>
      </c>
      <c r="Z987" s="14"/>
      <c r="AA987" s="14"/>
    </row>
    <row r="988" spans="1:27" hidden="1">
      <c r="A988" s="1">
        <v>9299581</v>
      </c>
      <c r="B988" s="1" t="s">
        <v>101</v>
      </c>
      <c r="C988" t="s">
        <v>1761</v>
      </c>
      <c r="E988" s="2">
        <v>1058000206001</v>
      </c>
      <c r="F988" s="1" t="s">
        <v>29</v>
      </c>
      <c r="G988" s="1" t="s">
        <v>53</v>
      </c>
      <c r="H988" s="1" t="s">
        <v>289</v>
      </c>
      <c r="I988" s="1" t="s">
        <v>290</v>
      </c>
      <c r="J988" s="1" t="s">
        <v>56</v>
      </c>
      <c r="K988" t="s">
        <v>34</v>
      </c>
      <c r="M988" s="1" t="s">
        <v>35</v>
      </c>
      <c r="N988" s="1">
        <v>42318949</v>
      </c>
      <c r="O988" s="1" t="s">
        <v>105</v>
      </c>
      <c r="P988" s="186">
        <v>44932.477743055555</v>
      </c>
      <c r="R988" s="1" t="s">
        <v>38</v>
      </c>
      <c r="T988" s="1" t="s">
        <v>74</v>
      </c>
      <c r="U988" s="186">
        <v>44932.75</v>
      </c>
      <c r="V988" s="1" t="s">
        <v>41</v>
      </c>
      <c r="W988" s="1" t="s">
        <v>49</v>
      </c>
      <c r="Z988" s="14"/>
      <c r="AA988" s="14"/>
    </row>
    <row r="989" spans="1:27" hidden="1">
      <c r="A989" s="1">
        <v>9299580</v>
      </c>
      <c r="B989" s="1" t="s">
        <v>101</v>
      </c>
      <c r="C989" t="s">
        <v>1761</v>
      </c>
      <c r="E989" s="2">
        <v>1058000206001</v>
      </c>
      <c r="F989" s="1" t="s">
        <v>29</v>
      </c>
      <c r="G989" s="1" t="s">
        <v>53</v>
      </c>
      <c r="H989" s="1" t="s">
        <v>289</v>
      </c>
      <c r="I989" s="1" t="s">
        <v>290</v>
      </c>
      <c r="J989" s="1" t="s">
        <v>56</v>
      </c>
      <c r="K989" t="s">
        <v>34</v>
      </c>
      <c r="M989" s="1" t="s">
        <v>35</v>
      </c>
      <c r="N989" s="1">
        <v>42318949</v>
      </c>
      <c r="O989" s="1" t="s">
        <v>105</v>
      </c>
      <c r="P989" s="186">
        <v>44932.477743055555</v>
      </c>
      <c r="R989" s="1" t="s">
        <v>38</v>
      </c>
      <c r="T989" s="1" t="s">
        <v>74</v>
      </c>
      <c r="U989" s="186">
        <v>44932.75</v>
      </c>
      <c r="V989" s="1" t="s">
        <v>41</v>
      </c>
      <c r="W989" s="1" t="s">
        <v>49</v>
      </c>
      <c r="Z989" s="14"/>
      <c r="AA989" s="14"/>
    </row>
    <row r="990" spans="1:27" hidden="1">
      <c r="A990" s="1">
        <v>9299579</v>
      </c>
      <c r="B990" s="1" t="s">
        <v>101</v>
      </c>
      <c r="C990" t="s">
        <v>1761</v>
      </c>
      <c r="E990" s="2">
        <v>1058000206001</v>
      </c>
      <c r="F990" s="1" t="s">
        <v>29</v>
      </c>
      <c r="G990" s="1" t="s">
        <v>53</v>
      </c>
      <c r="H990" s="1" t="s">
        <v>289</v>
      </c>
      <c r="I990" s="1" t="s">
        <v>290</v>
      </c>
      <c r="J990" s="1" t="s">
        <v>56</v>
      </c>
      <c r="K990" t="s">
        <v>34</v>
      </c>
      <c r="M990" s="1" t="s">
        <v>35</v>
      </c>
      <c r="N990" s="1">
        <v>42318949</v>
      </c>
      <c r="O990" s="1" t="s">
        <v>105</v>
      </c>
      <c r="P990" s="186">
        <v>44932.477743055555</v>
      </c>
      <c r="R990" s="1" t="s">
        <v>38</v>
      </c>
      <c r="T990" s="1" t="s">
        <v>74</v>
      </c>
      <c r="U990" s="186">
        <v>44932.75</v>
      </c>
      <c r="V990" s="1" t="s">
        <v>41</v>
      </c>
      <c r="W990" s="1" t="s">
        <v>49</v>
      </c>
      <c r="Z990" s="14"/>
      <c r="AA990" s="14"/>
    </row>
    <row r="991" spans="1:27" hidden="1">
      <c r="A991" s="1">
        <v>9299578</v>
      </c>
      <c r="B991" s="1" t="s">
        <v>101</v>
      </c>
      <c r="C991" t="s">
        <v>1761</v>
      </c>
      <c r="E991" s="2">
        <v>1058000206001</v>
      </c>
      <c r="F991" s="1" t="s">
        <v>29</v>
      </c>
      <c r="G991" s="1" t="s">
        <v>53</v>
      </c>
      <c r="H991" s="1" t="s">
        <v>289</v>
      </c>
      <c r="I991" s="1" t="s">
        <v>290</v>
      </c>
      <c r="J991" s="1" t="s">
        <v>56</v>
      </c>
      <c r="K991" t="s">
        <v>34</v>
      </c>
      <c r="M991" s="1" t="s">
        <v>35</v>
      </c>
      <c r="N991" s="1">
        <v>42318949</v>
      </c>
      <c r="O991" s="1" t="s">
        <v>105</v>
      </c>
      <c r="P991" s="186">
        <v>44932.477743055555</v>
      </c>
      <c r="R991" s="1" t="s">
        <v>38</v>
      </c>
      <c r="T991" s="1" t="s">
        <v>74</v>
      </c>
      <c r="U991" s="186">
        <v>44932.75</v>
      </c>
      <c r="V991" s="1" t="s">
        <v>41</v>
      </c>
      <c r="W991" s="1" t="s">
        <v>49</v>
      </c>
      <c r="Z991" s="14"/>
      <c r="AA991" s="14"/>
    </row>
    <row r="992" spans="1:27" hidden="1">
      <c r="A992" s="1">
        <v>9299577</v>
      </c>
      <c r="B992" s="1" t="s">
        <v>101</v>
      </c>
      <c r="C992" t="s">
        <v>1761</v>
      </c>
      <c r="E992" s="2">
        <v>1058000206001</v>
      </c>
      <c r="F992" s="1" t="s">
        <v>29</v>
      </c>
      <c r="G992" s="1" t="s">
        <v>53</v>
      </c>
      <c r="H992" s="1" t="s">
        <v>289</v>
      </c>
      <c r="I992" s="1" t="s">
        <v>290</v>
      </c>
      <c r="J992" s="1" t="s">
        <v>56</v>
      </c>
      <c r="K992" t="s">
        <v>34</v>
      </c>
      <c r="M992" s="1" t="s">
        <v>35</v>
      </c>
      <c r="N992" s="1">
        <v>42318949</v>
      </c>
      <c r="O992" s="1" t="s">
        <v>105</v>
      </c>
      <c r="P992" s="186">
        <v>44932.477743055555</v>
      </c>
      <c r="R992" s="1" t="s">
        <v>38</v>
      </c>
      <c r="T992" s="1" t="s">
        <v>74</v>
      </c>
      <c r="U992" s="186">
        <v>44932.75</v>
      </c>
      <c r="V992" s="1" t="s">
        <v>41</v>
      </c>
      <c r="W992" s="1" t="s">
        <v>49</v>
      </c>
      <c r="Z992" s="14"/>
      <c r="AA992" s="14"/>
    </row>
    <row r="993" spans="1:27" hidden="1">
      <c r="A993" s="1">
        <v>9299576</v>
      </c>
      <c r="B993" s="1" t="s">
        <v>101</v>
      </c>
      <c r="C993" t="s">
        <v>1761</v>
      </c>
      <c r="E993" s="2">
        <v>1058000206001</v>
      </c>
      <c r="F993" s="1" t="s">
        <v>29</v>
      </c>
      <c r="G993" s="1" t="s">
        <v>53</v>
      </c>
      <c r="H993" s="1" t="s">
        <v>289</v>
      </c>
      <c r="I993" s="1" t="s">
        <v>290</v>
      </c>
      <c r="J993" s="1" t="s">
        <v>56</v>
      </c>
      <c r="K993" t="s">
        <v>34</v>
      </c>
      <c r="M993" s="1" t="s">
        <v>35</v>
      </c>
      <c r="N993" s="1">
        <v>42318949</v>
      </c>
      <c r="O993" s="1" t="s">
        <v>105</v>
      </c>
      <c r="P993" s="186">
        <v>44932.477731481478</v>
      </c>
      <c r="R993" s="1" t="s">
        <v>38</v>
      </c>
      <c r="T993" s="1" t="s">
        <v>74</v>
      </c>
      <c r="U993" s="186">
        <v>44932.75</v>
      </c>
      <c r="V993" s="1" t="s">
        <v>41</v>
      </c>
      <c r="W993" s="1" t="s">
        <v>49</v>
      </c>
      <c r="Z993" s="14"/>
      <c r="AA993" s="14"/>
    </row>
    <row r="994" spans="1:27" hidden="1">
      <c r="A994" s="1">
        <v>9299572</v>
      </c>
      <c r="B994" s="1" t="s">
        <v>101</v>
      </c>
      <c r="C994" t="s">
        <v>1761</v>
      </c>
      <c r="E994" s="2">
        <v>1052000206001</v>
      </c>
      <c r="F994" s="1" t="s">
        <v>29</v>
      </c>
      <c r="G994" s="1" t="s">
        <v>53</v>
      </c>
      <c r="H994" s="1" t="s">
        <v>329</v>
      </c>
      <c r="I994" s="1" t="s">
        <v>330</v>
      </c>
      <c r="J994" s="1" t="s">
        <v>79</v>
      </c>
      <c r="K994" t="s">
        <v>34</v>
      </c>
      <c r="M994" s="1" t="s">
        <v>35</v>
      </c>
      <c r="N994" s="1">
        <v>42318949</v>
      </c>
      <c r="O994" s="1" t="s">
        <v>105</v>
      </c>
      <c r="P994" s="186">
        <v>44932.477731481478</v>
      </c>
      <c r="R994" s="1" t="s">
        <v>38</v>
      </c>
      <c r="T994" s="1" t="s">
        <v>74</v>
      </c>
      <c r="U994" s="186">
        <v>44932.75</v>
      </c>
      <c r="V994" s="1" t="s">
        <v>41</v>
      </c>
      <c r="W994" s="1" t="s">
        <v>49</v>
      </c>
      <c r="Z994" s="14"/>
      <c r="AA994" s="14"/>
    </row>
    <row r="995" spans="1:27" hidden="1">
      <c r="A995" s="1">
        <v>9299571</v>
      </c>
      <c r="B995" s="1" t="s">
        <v>101</v>
      </c>
      <c r="C995" t="s">
        <v>1761</v>
      </c>
      <c r="E995" s="2">
        <v>1052000206001</v>
      </c>
      <c r="F995" s="1" t="s">
        <v>29</v>
      </c>
      <c r="G995" s="1" t="s">
        <v>53</v>
      </c>
      <c r="H995" s="1" t="s">
        <v>329</v>
      </c>
      <c r="I995" s="1" t="s">
        <v>330</v>
      </c>
      <c r="J995" s="1" t="s">
        <v>79</v>
      </c>
      <c r="K995" t="s">
        <v>34</v>
      </c>
      <c r="M995" s="1" t="s">
        <v>35</v>
      </c>
      <c r="N995" s="1">
        <v>42318949</v>
      </c>
      <c r="O995" s="1" t="s">
        <v>105</v>
      </c>
      <c r="P995" s="186">
        <v>44932.477731481478</v>
      </c>
      <c r="R995" s="1" t="s">
        <v>38</v>
      </c>
      <c r="T995" s="1" t="s">
        <v>74</v>
      </c>
      <c r="U995" s="186">
        <v>44932.75</v>
      </c>
      <c r="V995" s="1" t="s">
        <v>41</v>
      </c>
      <c r="W995" s="1" t="s">
        <v>49</v>
      </c>
      <c r="Z995" s="14"/>
      <c r="AA995" s="14"/>
    </row>
    <row r="996" spans="1:27" hidden="1">
      <c r="A996" s="1">
        <v>9299552</v>
      </c>
      <c r="B996" s="1" t="s">
        <v>101</v>
      </c>
      <c r="C996" t="s">
        <v>1761</v>
      </c>
      <c r="E996" s="2">
        <v>1011000206001</v>
      </c>
      <c r="F996" s="1" t="s">
        <v>29</v>
      </c>
      <c r="G996" s="1" t="s">
        <v>53</v>
      </c>
      <c r="H996" s="1" t="s">
        <v>272</v>
      </c>
      <c r="I996" s="1" t="s">
        <v>273</v>
      </c>
      <c r="J996" s="1" t="s">
        <v>33</v>
      </c>
      <c r="K996" t="s">
        <v>34</v>
      </c>
      <c r="M996" s="1" t="s">
        <v>35</v>
      </c>
      <c r="N996" s="1">
        <v>42318949</v>
      </c>
      <c r="O996" s="1" t="s">
        <v>105</v>
      </c>
      <c r="P996" s="186">
        <v>44932.477708333332</v>
      </c>
      <c r="R996" s="1" t="s">
        <v>38</v>
      </c>
      <c r="T996" s="1" t="s">
        <v>74</v>
      </c>
      <c r="U996" s="186">
        <v>44932.75</v>
      </c>
      <c r="V996" s="1" t="s">
        <v>41</v>
      </c>
      <c r="W996" s="1" t="s">
        <v>49</v>
      </c>
      <c r="Z996" s="14"/>
      <c r="AA996" s="14"/>
    </row>
    <row r="997" spans="1:27" hidden="1">
      <c r="A997" s="1">
        <v>9299516</v>
      </c>
      <c r="B997" s="1" t="s">
        <v>101</v>
      </c>
      <c r="C997" t="s">
        <v>1761</v>
      </c>
      <c r="E997" s="2">
        <v>981000206001</v>
      </c>
      <c r="F997" s="1" t="s">
        <v>29</v>
      </c>
      <c r="G997" s="1" t="s">
        <v>53</v>
      </c>
      <c r="H997" s="1" t="s">
        <v>410</v>
      </c>
      <c r="I997" s="1" t="s">
        <v>411</v>
      </c>
      <c r="J997" s="1" t="s">
        <v>85</v>
      </c>
      <c r="K997" t="s">
        <v>34</v>
      </c>
      <c r="M997" s="1" t="s">
        <v>35</v>
      </c>
      <c r="N997" s="1">
        <v>42318949</v>
      </c>
      <c r="O997" s="1" t="s">
        <v>105</v>
      </c>
      <c r="P997" s="186">
        <v>44932.477662037039</v>
      </c>
      <c r="R997" s="1" t="s">
        <v>38</v>
      </c>
      <c r="T997" s="1" t="s">
        <v>74</v>
      </c>
      <c r="U997" s="186">
        <v>44932.75</v>
      </c>
      <c r="V997" s="1" t="s">
        <v>41</v>
      </c>
      <c r="W997" s="1" t="s">
        <v>49</v>
      </c>
      <c r="Z997" s="14"/>
      <c r="AA997" s="14"/>
    </row>
    <row r="998" spans="1:27" hidden="1">
      <c r="A998" s="1">
        <v>9299457</v>
      </c>
      <c r="B998" s="1" t="s">
        <v>101</v>
      </c>
      <c r="C998" t="s">
        <v>1761</v>
      </c>
      <c r="E998" s="2">
        <v>917000206001</v>
      </c>
      <c r="F998" s="1" t="s">
        <v>29</v>
      </c>
      <c r="G998" s="1" t="s">
        <v>53</v>
      </c>
      <c r="H998" s="1" t="s">
        <v>83</v>
      </c>
      <c r="I998" s="1" t="s">
        <v>84</v>
      </c>
      <c r="J998" s="1" t="s">
        <v>85</v>
      </c>
      <c r="K998" t="s">
        <v>34</v>
      </c>
      <c r="M998" s="1" t="s">
        <v>35</v>
      </c>
      <c r="N998" s="1">
        <v>42318949</v>
      </c>
      <c r="O998" s="1" t="s">
        <v>105</v>
      </c>
      <c r="P998" s="186">
        <v>44932.477581018517</v>
      </c>
      <c r="R998" s="1" t="s">
        <v>38</v>
      </c>
      <c r="T998" s="1" t="s">
        <v>74</v>
      </c>
      <c r="U998" s="186">
        <v>44932.75</v>
      </c>
      <c r="V998" s="1" t="s">
        <v>41</v>
      </c>
      <c r="W998" s="1" t="s">
        <v>49</v>
      </c>
      <c r="Z998" s="14"/>
      <c r="AA998" s="14"/>
    </row>
    <row r="999" spans="1:27" hidden="1">
      <c r="A999" s="1">
        <v>9299432</v>
      </c>
      <c r="B999" s="1" t="s">
        <v>101</v>
      </c>
      <c r="C999" t="s">
        <v>1761</v>
      </c>
      <c r="E999" s="2">
        <v>834000206001</v>
      </c>
      <c r="F999" s="1" t="s">
        <v>29</v>
      </c>
      <c r="G999" s="1" t="s">
        <v>53</v>
      </c>
      <c r="H999" s="1" t="s">
        <v>367</v>
      </c>
      <c r="I999" s="1" t="s">
        <v>368</v>
      </c>
      <c r="J999" s="1" t="s">
        <v>261</v>
      </c>
      <c r="K999" t="s">
        <v>34</v>
      </c>
      <c r="M999" s="1" t="s">
        <v>35</v>
      </c>
      <c r="N999" s="1">
        <v>42318949</v>
      </c>
      <c r="O999" s="1" t="s">
        <v>105</v>
      </c>
      <c r="P999" s="186">
        <v>44932.477546296293</v>
      </c>
      <c r="R999" s="1" t="s">
        <v>38</v>
      </c>
      <c r="T999" s="1" t="s">
        <v>74</v>
      </c>
      <c r="U999" s="186">
        <v>44932.75</v>
      </c>
      <c r="V999" s="1" t="s">
        <v>41</v>
      </c>
      <c r="W999" s="1" t="s">
        <v>49</v>
      </c>
      <c r="Z999" s="14"/>
      <c r="AA999" s="14"/>
    </row>
    <row r="1000" spans="1:27" hidden="1">
      <c r="A1000" s="1">
        <v>9299374</v>
      </c>
      <c r="B1000" s="1" t="s">
        <v>101</v>
      </c>
      <c r="C1000" t="s">
        <v>1761</v>
      </c>
      <c r="E1000" s="2">
        <v>711000206001</v>
      </c>
      <c r="F1000" s="1" t="s">
        <v>29</v>
      </c>
      <c r="G1000" s="1" t="s">
        <v>53</v>
      </c>
      <c r="H1000" s="1" t="s">
        <v>77</v>
      </c>
      <c r="I1000" s="1" t="s">
        <v>78</v>
      </c>
      <c r="J1000" s="1" t="s">
        <v>79</v>
      </c>
      <c r="K1000" t="s">
        <v>34</v>
      </c>
      <c r="M1000" s="1" t="s">
        <v>35</v>
      </c>
      <c r="N1000" s="1">
        <v>42318949</v>
      </c>
      <c r="O1000" s="1" t="s">
        <v>105</v>
      </c>
      <c r="P1000" s="186">
        <v>44932.477465277778</v>
      </c>
      <c r="R1000" s="1" t="s">
        <v>38</v>
      </c>
      <c r="T1000" s="1" t="s">
        <v>74</v>
      </c>
      <c r="U1000" s="186">
        <v>44932.75</v>
      </c>
      <c r="V1000" s="1" t="s">
        <v>41</v>
      </c>
      <c r="W1000" s="1" t="s">
        <v>49</v>
      </c>
      <c r="Z1000" s="14"/>
      <c r="AA1000" s="14"/>
    </row>
    <row r="1001" spans="1:27" hidden="1">
      <c r="A1001" s="1">
        <v>9299373</v>
      </c>
      <c r="B1001" s="1" t="s">
        <v>101</v>
      </c>
      <c r="C1001" t="s">
        <v>1761</v>
      </c>
      <c r="E1001" s="2">
        <v>711000206001</v>
      </c>
      <c r="F1001" s="1" t="s">
        <v>29</v>
      </c>
      <c r="G1001" s="1" t="s">
        <v>53</v>
      </c>
      <c r="H1001" s="1" t="s">
        <v>77</v>
      </c>
      <c r="I1001" s="1" t="s">
        <v>78</v>
      </c>
      <c r="J1001" s="1" t="s">
        <v>79</v>
      </c>
      <c r="K1001" t="s">
        <v>34</v>
      </c>
      <c r="M1001" s="1" t="s">
        <v>35</v>
      </c>
      <c r="N1001" s="1">
        <v>42318949</v>
      </c>
      <c r="O1001" s="1" t="s">
        <v>105</v>
      </c>
      <c r="P1001" s="186">
        <v>44932.477465277778</v>
      </c>
      <c r="R1001" s="1" t="s">
        <v>38</v>
      </c>
      <c r="T1001" s="1" t="s">
        <v>74</v>
      </c>
      <c r="U1001" s="186">
        <v>44932.75</v>
      </c>
      <c r="V1001" s="1" t="s">
        <v>41</v>
      </c>
      <c r="W1001" s="1" t="s">
        <v>49</v>
      </c>
      <c r="Z1001" s="14"/>
      <c r="AA1001" s="14"/>
    </row>
    <row r="1002" spans="1:27" hidden="1">
      <c r="A1002" s="1">
        <v>9299372</v>
      </c>
      <c r="B1002" s="1" t="s">
        <v>101</v>
      </c>
      <c r="C1002" t="s">
        <v>1761</v>
      </c>
      <c r="E1002" s="2">
        <v>711000206001</v>
      </c>
      <c r="F1002" s="1" t="s">
        <v>29</v>
      </c>
      <c r="G1002" s="1" t="s">
        <v>53</v>
      </c>
      <c r="H1002" s="1" t="s">
        <v>77</v>
      </c>
      <c r="I1002" s="1" t="s">
        <v>78</v>
      </c>
      <c r="J1002" s="1" t="s">
        <v>79</v>
      </c>
      <c r="K1002" t="s">
        <v>34</v>
      </c>
      <c r="M1002" s="1" t="s">
        <v>35</v>
      </c>
      <c r="N1002" s="1">
        <v>42318949</v>
      </c>
      <c r="O1002" s="1" t="s">
        <v>105</v>
      </c>
      <c r="P1002" s="186">
        <v>44932.477465277778</v>
      </c>
      <c r="R1002" s="1" t="s">
        <v>38</v>
      </c>
      <c r="T1002" s="1" t="s">
        <v>74</v>
      </c>
      <c r="U1002" s="186">
        <v>44932.75</v>
      </c>
      <c r="V1002" s="1" t="s">
        <v>41</v>
      </c>
      <c r="W1002" s="1" t="s">
        <v>49</v>
      </c>
      <c r="Z1002" s="14"/>
      <c r="AA1002" s="14"/>
    </row>
    <row r="1003" spans="1:27" hidden="1">
      <c r="A1003" s="1">
        <v>9299371</v>
      </c>
      <c r="B1003" s="1" t="s">
        <v>101</v>
      </c>
      <c r="C1003" t="s">
        <v>1761</v>
      </c>
      <c r="E1003" s="2">
        <v>711000206001</v>
      </c>
      <c r="F1003" s="1" t="s">
        <v>29</v>
      </c>
      <c r="G1003" s="1" t="s">
        <v>53</v>
      </c>
      <c r="H1003" s="1" t="s">
        <v>77</v>
      </c>
      <c r="I1003" s="1" t="s">
        <v>78</v>
      </c>
      <c r="J1003" s="1" t="s">
        <v>79</v>
      </c>
      <c r="K1003" t="s">
        <v>34</v>
      </c>
      <c r="M1003" s="1" t="s">
        <v>35</v>
      </c>
      <c r="N1003" s="1">
        <v>42318949</v>
      </c>
      <c r="O1003" s="1" t="s">
        <v>105</v>
      </c>
      <c r="P1003" s="186">
        <v>44932.477465277778</v>
      </c>
      <c r="R1003" s="1" t="s">
        <v>38</v>
      </c>
      <c r="T1003" s="1" t="s">
        <v>74</v>
      </c>
      <c r="U1003" s="186">
        <v>44932.75</v>
      </c>
      <c r="V1003" s="1" t="s">
        <v>41</v>
      </c>
      <c r="W1003" s="1" t="s">
        <v>49</v>
      </c>
      <c r="Z1003" s="14"/>
      <c r="AA1003" s="14"/>
    </row>
    <row r="1004" spans="1:27" hidden="1">
      <c r="A1004" s="1">
        <v>9299370</v>
      </c>
      <c r="B1004" s="1" t="s">
        <v>101</v>
      </c>
      <c r="C1004" t="s">
        <v>1761</v>
      </c>
      <c r="E1004" s="2">
        <v>711000206001</v>
      </c>
      <c r="F1004" s="1" t="s">
        <v>29</v>
      </c>
      <c r="G1004" s="1" t="s">
        <v>53</v>
      </c>
      <c r="H1004" s="1" t="s">
        <v>77</v>
      </c>
      <c r="I1004" s="1" t="s">
        <v>78</v>
      </c>
      <c r="J1004" s="1" t="s">
        <v>79</v>
      </c>
      <c r="K1004" t="s">
        <v>34</v>
      </c>
      <c r="M1004" s="1" t="s">
        <v>35</v>
      </c>
      <c r="N1004" s="1">
        <v>42318949</v>
      </c>
      <c r="O1004" s="1" t="s">
        <v>105</v>
      </c>
      <c r="P1004" s="186">
        <v>44932.477465277778</v>
      </c>
      <c r="R1004" s="1" t="s">
        <v>38</v>
      </c>
      <c r="T1004" s="1" t="s">
        <v>74</v>
      </c>
      <c r="U1004" s="186">
        <v>44932.75</v>
      </c>
      <c r="V1004" s="1" t="s">
        <v>41</v>
      </c>
      <c r="W1004" s="1" t="s">
        <v>49</v>
      </c>
      <c r="Z1004" s="14"/>
      <c r="AA1004" s="14"/>
    </row>
    <row r="1005" spans="1:27" hidden="1">
      <c r="A1005" s="1">
        <v>9299369</v>
      </c>
      <c r="B1005" s="1" t="s">
        <v>101</v>
      </c>
      <c r="C1005" t="s">
        <v>1761</v>
      </c>
      <c r="E1005" s="2">
        <v>710000206001</v>
      </c>
      <c r="F1005" s="1" t="s">
        <v>29</v>
      </c>
      <c r="G1005" s="1" t="s">
        <v>53</v>
      </c>
      <c r="H1005" s="1" t="s">
        <v>390</v>
      </c>
      <c r="I1005" s="1" t="s">
        <v>391</v>
      </c>
      <c r="J1005" s="1" t="s">
        <v>56</v>
      </c>
      <c r="K1005" t="s">
        <v>34</v>
      </c>
      <c r="M1005" s="1" t="s">
        <v>35</v>
      </c>
      <c r="N1005" s="1">
        <v>42318949</v>
      </c>
      <c r="O1005" s="1" t="s">
        <v>105</v>
      </c>
      <c r="P1005" s="186">
        <v>44932.477465277778</v>
      </c>
      <c r="R1005" s="1" t="s">
        <v>38</v>
      </c>
      <c r="T1005" s="1" t="s">
        <v>74</v>
      </c>
      <c r="U1005" s="186">
        <v>44932.75</v>
      </c>
      <c r="V1005" s="1" t="s">
        <v>41</v>
      </c>
      <c r="W1005" s="1" t="s">
        <v>49</v>
      </c>
      <c r="Z1005" s="14"/>
      <c r="AA1005" s="14"/>
    </row>
    <row r="1006" spans="1:27" hidden="1">
      <c r="A1006" s="1">
        <v>9299368</v>
      </c>
      <c r="B1006" s="1" t="s">
        <v>101</v>
      </c>
      <c r="C1006" t="s">
        <v>1761</v>
      </c>
      <c r="E1006" s="2">
        <v>710000206001</v>
      </c>
      <c r="F1006" s="1" t="s">
        <v>29</v>
      </c>
      <c r="G1006" s="1" t="s">
        <v>53</v>
      </c>
      <c r="H1006" s="1" t="s">
        <v>390</v>
      </c>
      <c r="I1006" s="1" t="s">
        <v>391</v>
      </c>
      <c r="J1006" s="1" t="s">
        <v>56</v>
      </c>
      <c r="K1006" t="s">
        <v>34</v>
      </c>
      <c r="M1006" s="1" t="s">
        <v>35</v>
      </c>
      <c r="N1006" s="1">
        <v>42318949</v>
      </c>
      <c r="O1006" s="1" t="s">
        <v>105</v>
      </c>
      <c r="P1006" s="186">
        <v>44932.477465277778</v>
      </c>
      <c r="R1006" s="1" t="s">
        <v>38</v>
      </c>
      <c r="T1006" s="1" t="s">
        <v>74</v>
      </c>
      <c r="U1006" s="186">
        <v>44932.75</v>
      </c>
      <c r="V1006" s="1" t="s">
        <v>41</v>
      </c>
      <c r="W1006" s="1" t="s">
        <v>49</v>
      </c>
      <c r="Z1006" s="14"/>
      <c r="AA1006" s="14"/>
    </row>
    <row r="1007" spans="1:27" hidden="1">
      <c r="A1007" s="1">
        <v>9299367</v>
      </c>
      <c r="B1007" s="1" t="s">
        <v>101</v>
      </c>
      <c r="C1007" t="s">
        <v>1761</v>
      </c>
      <c r="E1007" s="2">
        <v>710000206001</v>
      </c>
      <c r="F1007" s="1" t="s">
        <v>29</v>
      </c>
      <c r="G1007" s="1" t="s">
        <v>53</v>
      </c>
      <c r="H1007" s="1" t="s">
        <v>390</v>
      </c>
      <c r="I1007" s="1" t="s">
        <v>391</v>
      </c>
      <c r="J1007" s="1" t="s">
        <v>56</v>
      </c>
      <c r="K1007" t="s">
        <v>34</v>
      </c>
      <c r="M1007" s="1" t="s">
        <v>35</v>
      </c>
      <c r="N1007" s="1">
        <v>42318949</v>
      </c>
      <c r="O1007" s="1" t="s">
        <v>105</v>
      </c>
      <c r="P1007" s="186">
        <v>44932.477465277778</v>
      </c>
      <c r="R1007" s="1" t="s">
        <v>38</v>
      </c>
      <c r="T1007" s="1" t="s">
        <v>74</v>
      </c>
      <c r="U1007" s="186">
        <v>44932.75</v>
      </c>
      <c r="V1007" s="1" t="s">
        <v>41</v>
      </c>
      <c r="W1007" s="1" t="s">
        <v>49</v>
      </c>
      <c r="Z1007" s="14"/>
      <c r="AA1007" s="14"/>
    </row>
    <row r="1008" spans="1:27" hidden="1">
      <c r="A1008" s="1">
        <v>9299366</v>
      </c>
      <c r="B1008" s="1" t="s">
        <v>101</v>
      </c>
      <c r="C1008" t="s">
        <v>1761</v>
      </c>
      <c r="E1008" s="2">
        <v>710000206001</v>
      </c>
      <c r="F1008" s="1" t="s">
        <v>29</v>
      </c>
      <c r="G1008" s="1" t="s">
        <v>53</v>
      </c>
      <c r="H1008" s="1" t="s">
        <v>390</v>
      </c>
      <c r="I1008" s="1" t="s">
        <v>391</v>
      </c>
      <c r="J1008" s="1" t="s">
        <v>56</v>
      </c>
      <c r="K1008" t="s">
        <v>34</v>
      </c>
      <c r="M1008" s="1" t="s">
        <v>35</v>
      </c>
      <c r="N1008" s="1">
        <v>42318949</v>
      </c>
      <c r="O1008" s="1" t="s">
        <v>36</v>
      </c>
      <c r="P1008" s="186">
        <v>44932.477465277778</v>
      </c>
      <c r="R1008" s="1" t="s">
        <v>38</v>
      </c>
      <c r="T1008" s="1" t="s">
        <v>74</v>
      </c>
      <c r="U1008" s="186">
        <v>44932.75</v>
      </c>
      <c r="V1008" s="1" t="s">
        <v>41</v>
      </c>
      <c r="W1008" s="1" t="s">
        <v>49</v>
      </c>
      <c r="Z1008" s="14"/>
      <c r="AA1008" s="14"/>
    </row>
    <row r="1009" spans="1:27" hidden="1">
      <c r="A1009" s="1">
        <v>9299314</v>
      </c>
      <c r="B1009" s="1" t="s">
        <v>101</v>
      </c>
      <c r="C1009" t="s">
        <v>1761</v>
      </c>
      <c r="E1009" s="2">
        <v>608000206001</v>
      </c>
      <c r="F1009" s="1" t="s">
        <v>29</v>
      </c>
      <c r="G1009" s="1" t="s">
        <v>53</v>
      </c>
      <c r="H1009" s="1" t="s">
        <v>438</v>
      </c>
      <c r="I1009" s="1" t="s">
        <v>439</v>
      </c>
      <c r="J1009" s="1" t="s">
        <v>148</v>
      </c>
      <c r="K1009" t="s">
        <v>34</v>
      </c>
      <c r="M1009" s="1" t="s">
        <v>35</v>
      </c>
      <c r="N1009" s="1">
        <v>42318949</v>
      </c>
      <c r="O1009" s="1" t="s">
        <v>105</v>
      </c>
      <c r="P1009" s="186">
        <v>44932.477384259262</v>
      </c>
      <c r="R1009" s="1" t="s">
        <v>38</v>
      </c>
      <c r="T1009" s="1" t="s">
        <v>74</v>
      </c>
      <c r="U1009" s="186">
        <v>44932.75</v>
      </c>
      <c r="V1009" s="1" t="s">
        <v>41</v>
      </c>
      <c r="W1009" s="1" t="s">
        <v>49</v>
      </c>
      <c r="Z1009" s="14"/>
      <c r="AA1009" s="14"/>
    </row>
    <row r="1010" spans="1:27" hidden="1">
      <c r="A1010" s="1">
        <v>9299313</v>
      </c>
      <c r="B1010" s="1" t="s">
        <v>101</v>
      </c>
      <c r="C1010" t="s">
        <v>1761</v>
      </c>
      <c r="E1010" s="2">
        <v>608000206001</v>
      </c>
      <c r="F1010" s="1" t="s">
        <v>29</v>
      </c>
      <c r="G1010" s="1" t="s">
        <v>53</v>
      </c>
      <c r="H1010" s="1" t="s">
        <v>438</v>
      </c>
      <c r="I1010" s="1" t="s">
        <v>439</v>
      </c>
      <c r="J1010" s="1" t="s">
        <v>148</v>
      </c>
      <c r="K1010" t="s">
        <v>34</v>
      </c>
      <c r="M1010" s="1" t="s">
        <v>35</v>
      </c>
      <c r="N1010" s="1">
        <v>42318949</v>
      </c>
      <c r="O1010" s="1" t="s">
        <v>105</v>
      </c>
      <c r="P1010" s="186">
        <v>44932.477384259262</v>
      </c>
      <c r="R1010" s="1" t="s">
        <v>38</v>
      </c>
      <c r="T1010" s="1" t="s">
        <v>74</v>
      </c>
      <c r="U1010" s="186">
        <v>44932.75</v>
      </c>
      <c r="V1010" s="1" t="s">
        <v>41</v>
      </c>
      <c r="W1010" s="1" t="s">
        <v>49</v>
      </c>
      <c r="Z1010" s="14"/>
      <c r="AA1010" s="14"/>
    </row>
    <row r="1011" spans="1:27" hidden="1">
      <c r="A1011" s="1">
        <v>9299309</v>
      </c>
      <c r="B1011" s="1" t="s">
        <v>101</v>
      </c>
      <c r="C1011" t="s">
        <v>1761</v>
      </c>
      <c r="E1011" s="2">
        <v>605000206001</v>
      </c>
      <c r="F1011" s="1" t="s">
        <v>29</v>
      </c>
      <c r="G1011" s="1" t="s">
        <v>53</v>
      </c>
      <c r="H1011" s="1" t="s">
        <v>420</v>
      </c>
      <c r="I1011" s="1" t="s">
        <v>421</v>
      </c>
      <c r="J1011" s="1" t="s">
        <v>90</v>
      </c>
      <c r="K1011" t="s">
        <v>34</v>
      </c>
      <c r="M1011" s="1" t="s">
        <v>35</v>
      </c>
      <c r="N1011" s="1">
        <v>42318949</v>
      </c>
      <c r="O1011" s="1" t="s">
        <v>105</v>
      </c>
      <c r="P1011" s="186">
        <v>44932.477372685185</v>
      </c>
      <c r="R1011" s="1" t="s">
        <v>38</v>
      </c>
      <c r="T1011" s="1" t="s">
        <v>74</v>
      </c>
      <c r="U1011" s="186">
        <v>44932.75</v>
      </c>
      <c r="V1011" s="1" t="s">
        <v>41</v>
      </c>
      <c r="W1011" s="1" t="s">
        <v>49</v>
      </c>
      <c r="Z1011" s="14"/>
      <c r="AA1011" s="14"/>
    </row>
    <row r="1012" spans="1:27" hidden="1">
      <c r="A1012" s="1">
        <v>9299303</v>
      </c>
      <c r="B1012" s="1" t="s">
        <v>101</v>
      </c>
      <c r="C1012" t="s">
        <v>1761</v>
      </c>
      <c r="E1012" s="2">
        <v>600000206001</v>
      </c>
      <c r="F1012" s="1" t="s">
        <v>29</v>
      </c>
      <c r="G1012" s="1" t="s">
        <v>53</v>
      </c>
      <c r="H1012" s="1" t="s">
        <v>1084</v>
      </c>
      <c r="I1012" s="1" t="s">
        <v>1085</v>
      </c>
      <c r="J1012" s="1" t="s">
        <v>90</v>
      </c>
      <c r="K1012" t="s">
        <v>34</v>
      </c>
      <c r="M1012" s="1" t="s">
        <v>35</v>
      </c>
      <c r="N1012" s="1">
        <v>42318949</v>
      </c>
      <c r="O1012" s="1" t="s">
        <v>36</v>
      </c>
      <c r="P1012" s="186">
        <v>44932.477361111109</v>
      </c>
      <c r="R1012" s="1" t="s">
        <v>38</v>
      </c>
      <c r="T1012" s="1" t="s">
        <v>74</v>
      </c>
      <c r="U1012" s="186">
        <v>44932.75</v>
      </c>
      <c r="V1012" s="1" t="s">
        <v>41</v>
      </c>
      <c r="W1012" s="1" t="s">
        <v>49</v>
      </c>
      <c r="Z1012" s="14"/>
      <c r="AA1012" s="14"/>
    </row>
    <row r="1013" spans="1:27" hidden="1">
      <c r="A1013" s="1">
        <v>9299302</v>
      </c>
      <c r="B1013" s="1" t="s">
        <v>101</v>
      </c>
      <c r="C1013" t="s">
        <v>1761</v>
      </c>
      <c r="E1013" s="2">
        <v>600000206001</v>
      </c>
      <c r="F1013" s="1" t="s">
        <v>29</v>
      </c>
      <c r="G1013" s="1" t="s">
        <v>53</v>
      </c>
      <c r="H1013" s="1" t="s">
        <v>1084</v>
      </c>
      <c r="I1013" s="1" t="s">
        <v>1085</v>
      </c>
      <c r="J1013" s="1" t="s">
        <v>90</v>
      </c>
      <c r="K1013" t="s">
        <v>34</v>
      </c>
      <c r="M1013" s="1" t="s">
        <v>35</v>
      </c>
      <c r="N1013" s="1">
        <v>42318949</v>
      </c>
      <c r="O1013" s="1" t="s">
        <v>36</v>
      </c>
      <c r="P1013" s="186">
        <v>44932.477361111109</v>
      </c>
      <c r="R1013" s="1" t="s">
        <v>38</v>
      </c>
      <c r="T1013" s="1" t="s">
        <v>74</v>
      </c>
      <c r="U1013" s="186">
        <v>44932.75</v>
      </c>
      <c r="V1013" s="1" t="s">
        <v>41</v>
      </c>
      <c r="W1013" s="1" t="s">
        <v>49</v>
      </c>
      <c r="Z1013" s="14"/>
      <c r="AA1013" s="14"/>
    </row>
    <row r="1014" spans="1:27" hidden="1">
      <c r="A1014" s="1">
        <v>9299301</v>
      </c>
      <c r="B1014" s="1" t="s">
        <v>101</v>
      </c>
      <c r="C1014" t="s">
        <v>1761</v>
      </c>
      <c r="E1014" s="2">
        <v>600000206001</v>
      </c>
      <c r="F1014" s="1" t="s">
        <v>29</v>
      </c>
      <c r="G1014" s="1" t="s">
        <v>53</v>
      </c>
      <c r="H1014" s="1" t="s">
        <v>1084</v>
      </c>
      <c r="I1014" s="1" t="s">
        <v>1085</v>
      </c>
      <c r="J1014" s="1" t="s">
        <v>90</v>
      </c>
      <c r="K1014" t="s">
        <v>34</v>
      </c>
      <c r="M1014" s="1" t="s">
        <v>35</v>
      </c>
      <c r="N1014" s="1">
        <v>42318949</v>
      </c>
      <c r="O1014" s="1" t="s">
        <v>36</v>
      </c>
      <c r="P1014" s="186">
        <v>44932.477361111109</v>
      </c>
      <c r="R1014" s="1" t="s">
        <v>38</v>
      </c>
      <c r="T1014" s="1" t="s">
        <v>74</v>
      </c>
      <c r="U1014" s="186">
        <v>44932.75</v>
      </c>
      <c r="V1014" s="1" t="s">
        <v>41</v>
      </c>
      <c r="W1014" s="1" t="s">
        <v>49</v>
      </c>
      <c r="Z1014" s="14"/>
      <c r="AA1014" s="14"/>
    </row>
    <row r="1015" spans="1:27" hidden="1">
      <c r="A1015" s="1">
        <v>9299300</v>
      </c>
      <c r="B1015" s="1" t="s">
        <v>101</v>
      </c>
      <c r="C1015" t="s">
        <v>1761</v>
      </c>
      <c r="E1015" s="2">
        <v>600000206001</v>
      </c>
      <c r="F1015" s="1" t="s">
        <v>29</v>
      </c>
      <c r="G1015" s="1" t="s">
        <v>53</v>
      </c>
      <c r="H1015" s="1" t="s">
        <v>1084</v>
      </c>
      <c r="I1015" s="1" t="s">
        <v>1085</v>
      </c>
      <c r="J1015" s="1" t="s">
        <v>90</v>
      </c>
      <c r="K1015" t="s">
        <v>34</v>
      </c>
      <c r="M1015" s="1" t="s">
        <v>35</v>
      </c>
      <c r="N1015" s="1">
        <v>42318949</v>
      </c>
      <c r="O1015" s="1" t="s">
        <v>36</v>
      </c>
      <c r="P1015" s="186">
        <v>44932.477361111109</v>
      </c>
      <c r="R1015" s="1" t="s">
        <v>38</v>
      </c>
      <c r="T1015" s="1" t="s">
        <v>74</v>
      </c>
      <c r="U1015" s="186">
        <v>44932.75</v>
      </c>
      <c r="V1015" s="1" t="s">
        <v>41</v>
      </c>
      <c r="W1015" s="1" t="s">
        <v>49</v>
      </c>
      <c r="Z1015" s="14"/>
      <c r="AA1015" s="14"/>
    </row>
    <row r="1016" spans="1:27" hidden="1">
      <c r="A1016" s="1">
        <v>9299299</v>
      </c>
      <c r="B1016" s="1" t="s">
        <v>101</v>
      </c>
      <c r="C1016" t="s">
        <v>1761</v>
      </c>
      <c r="E1016" s="2">
        <v>600000206001</v>
      </c>
      <c r="F1016" s="1" t="s">
        <v>29</v>
      </c>
      <c r="G1016" s="1" t="s">
        <v>53</v>
      </c>
      <c r="H1016" s="1" t="s">
        <v>1084</v>
      </c>
      <c r="I1016" s="1" t="s">
        <v>1085</v>
      </c>
      <c r="J1016" s="1" t="s">
        <v>90</v>
      </c>
      <c r="K1016" t="s">
        <v>34</v>
      </c>
      <c r="M1016" s="1" t="s">
        <v>35</v>
      </c>
      <c r="N1016" s="1">
        <v>42318949</v>
      </c>
      <c r="O1016" s="1" t="s">
        <v>36</v>
      </c>
      <c r="P1016" s="186">
        <v>44932.477361111109</v>
      </c>
      <c r="R1016" s="1" t="s">
        <v>38</v>
      </c>
      <c r="T1016" s="1" t="s">
        <v>74</v>
      </c>
      <c r="U1016" s="186">
        <v>44932.75</v>
      </c>
      <c r="V1016" s="1" t="s">
        <v>41</v>
      </c>
      <c r="W1016" s="1" t="s">
        <v>49</v>
      </c>
      <c r="Z1016" s="14"/>
      <c r="AA1016" s="14"/>
    </row>
    <row r="1017" spans="1:27" hidden="1">
      <c r="A1017" s="1">
        <v>9299279</v>
      </c>
      <c r="B1017" s="1" t="s">
        <v>101</v>
      </c>
      <c r="C1017" t="s">
        <v>1761</v>
      </c>
      <c r="E1017" s="2">
        <v>550000206001</v>
      </c>
      <c r="F1017" s="1" t="s">
        <v>29</v>
      </c>
      <c r="G1017" s="1" t="s">
        <v>53</v>
      </c>
      <c r="H1017" s="1" t="s">
        <v>337</v>
      </c>
      <c r="I1017" s="1" t="s">
        <v>338</v>
      </c>
      <c r="J1017" s="1" t="s">
        <v>164</v>
      </c>
      <c r="K1017" t="s">
        <v>34</v>
      </c>
      <c r="M1017" s="1" t="s">
        <v>35</v>
      </c>
      <c r="N1017" s="1">
        <v>42318949</v>
      </c>
      <c r="O1017" s="1" t="s">
        <v>105</v>
      </c>
      <c r="P1017" s="186">
        <v>44932.477337962962</v>
      </c>
      <c r="R1017" s="1" t="s">
        <v>38</v>
      </c>
      <c r="T1017" s="1" t="s">
        <v>74</v>
      </c>
      <c r="U1017" s="186">
        <v>44932.75</v>
      </c>
      <c r="V1017" s="1" t="s">
        <v>41</v>
      </c>
      <c r="W1017" s="1" t="s">
        <v>49</v>
      </c>
      <c r="Z1017" s="14"/>
      <c r="AA1017" s="14"/>
    </row>
    <row r="1018" spans="1:27" hidden="1">
      <c r="A1018" s="1">
        <v>9299275</v>
      </c>
      <c r="B1018" s="1" t="s">
        <v>101</v>
      </c>
      <c r="C1018" t="s">
        <v>1761</v>
      </c>
      <c r="E1018" s="2">
        <v>537000206001</v>
      </c>
      <c r="F1018" s="1" t="s">
        <v>29</v>
      </c>
      <c r="G1018" s="1" t="s">
        <v>53</v>
      </c>
      <c r="H1018" s="1" t="s">
        <v>442</v>
      </c>
      <c r="I1018" s="1" t="s">
        <v>443</v>
      </c>
      <c r="J1018" s="1" t="s">
        <v>79</v>
      </c>
      <c r="K1018" t="s">
        <v>34</v>
      </c>
      <c r="M1018" s="1" t="s">
        <v>35</v>
      </c>
      <c r="N1018" s="1">
        <v>42318949</v>
      </c>
      <c r="O1018" s="1" t="s">
        <v>105</v>
      </c>
      <c r="P1018" s="186">
        <v>44932.477326388886</v>
      </c>
      <c r="R1018" s="1" t="s">
        <v>38</v>
      </c>
      <c r="T1018" s="1" t="s">
        <v>74</v>
      </c>
      <c r="U1018" s="186">
        <v>44932.75</v>
      </c>
      <c r="V1018" s="1" t="s">
        <v>41</v>
      </c>
      <c r="W1018" s="1" t="s">
        <v>49</v>
      </c>
      <c r="Z1018" s="14"/>
      <c r="AA1018" s="14"/>
    </row>
    <row r="1019" spans="1:27" hidden="1">
      <c r="A1019" s="1">
        <v>9299274</v>
      </c>
      <c r="B1019" s="1" t="s">
        <v>101</v>
      </c>
      <c r="C1019" t="s">
        <v>1761</v>
      </c>
      <c r="E1019" s="2">
        <v>537000206001</v>
      </c>
      <c r="F1019" s="1" t="s">
        <v>29</v>
      </c>
      <c r="G1019" s="1" t="s">
        <v>53</v>
      </c>
      <c r="H1019" s="1" t="s">
        <v>442</v>
      </c>
      <c r="I1019" s="1" t="s">
        <v>443</v>
      </c>
      <c r="J1019" s="1" t="s">
        <v>79</v>
      </c>
      <c r="K1019" t="s">
        <v>34</v>
      </c>
      <c r="M1019" s="1" t="s">
        <v>35</v>
      </c>
      <c r="N1019" s="1">
        <v>42318949</v>
      </c>
      <c r="O1019" s="1" t="s">
        <v>105</v>
      </c>
      <c r="P1019" s="186">
        <v>44932.477326388886</v>
      </c>
      <c r="R1019" s="1" t="s">
        <v>38</v>
      </c>
      <c r="T1019" s="1" t="s">
        <v>74</v>
      </c>
      <c r="U1019" s="186">
        <v>44932.75</v>
      </c>
      <c r="V1019" s="1" t="s">
        <v>41</v>
      </c>
      <c r="W1019" s="1" t="s">
        <v>49</v>
      </c>
      <c r="Z1019" s="14"/>
      <c r="AA1019" s="14"/>
    </row>
    <row r="1020" spans="1:27" hidden="1">
      <c r="A1020" s="1">
        <v>9299223</v>
      </c>
      <c r="B1020" s="1" t="s">
        <v>101</v>
      </c>
      <c r="C1020" t="s">
        <v>1761</v>
      </c>
      <c r="E1020" s="2">
        <v>446000206001</v>
      </c>
      <c r="F1020" s="1" t="s">
        <v>29</v>
      </c>
      <c r="G1020" s="1" t="s">
        <v>53</v>
      </c>
      <c r="H1020" s="1" t="s">
        <v>432</v>
      </c>
      <c r="I1020" s="1" t="s">
        <v>433</v>
      </c>
      <c r="J1020" s="1" t="s">
        <v>110</v>
      </c>
      <c r="K1020" t="s">
        <v>34</v>
      </c>
      <c r="M1020" s="1" t="s">
        <v>35</v>
      </c>
      <c r="N1020" s="1">
        <v>42318949</v>
      </c>
      <c r="O1020" s="1" t="s">
        <v>105</v>
      </c>
      <c r="P1020" s="186">
        <v>44932.477256944447</v>
      </c>
      <c r="R1020" s="1" t="s">
        <v>38</v>
      </c>
      <c r="T1020" s="1" t="s">
        <v>74</v>
      </c>
      <c r="U1020" s="186">
        <v>44932.75</v>
      </c>
      <c r="V1020" s="1" t="s">
        <v>41</v>
      </c>
      <c r="W1020" s="1" t="s">
        <v>49</v>
      </c>
      <c r="Z1020" s="14"/>
      <c r="AA1020" s="14"/>
    </row>
    <row r="1021" spans="1:27" hidden="1">
      <c r="A1021" s="1">
        <v>9299222</v>
      </c>
      <c r="B1021" s="1" t="s">
        <v>101</v>
      </c>
      <c r="C1021" t="s">
        <v>1761</v>
      </c>
      <c r="E1021" s="2">
        <v>446000206001</v>
      </c>
      <c r="F1021" s="1" t="s">
        <v>29</v>
      </c>
      <c r="G1021" s="1" t="s">
        <v>53</v>
      </c>
      <c r="H1021" s="1" t="s">
        <v>432</v>
      </c>
      <c r="I1021" s="1" t="s">
        <v>433</v>
      </c>
      <c r="J1021" s="1" t="s">
        <v>110</v>
      </c>
      <c r="K1021" t="s">
        <v>34</v>
      </c>
      <c r="M1021" s="1" t="s">
        <v>35</v>
      </c>
      <c r="N1021" s="1">
        <v>42318949</v>
      </c>
      <c r="O1021" s="1" t="s">
        <v>105</v>
      </c>
      <c r="P1021" s="186">
        <v>44932.477256944447</v>
      </c>
      <c r="R1021" s="1" t="s">
        <v>38</v>
      </c>
      <c r="T1021" s="1" t="s">
        <v>74</v>
      </c>
      <c r="U1021" s="186">
        <v>44932.75</v>
      </c>
      <c r="V1021" s="1" t="s">
        <v>41</v>
      </c>
      <c r="W1021" s="1" t="s">
        <v>49</v>
      </c>
      <c r="Z1021" s="14"/>
      <c r="AA1021" s="14"/>
    </row>
    <row r="1022" spans="1:27" hidden="1">
      <c r="A1022" s="1">
        <v>9299221</v>
      </c>
      <c r="B1022" s="1" t="s">
        <v>101</v>
      </c>
      <c r="C1022" t="s">
        <v>1761</v>
      </c>
      <c r="E1022" s="2">
        <v>446000206001</v>
      </c>
      <c r="F1022" s="1" t="s">
        <v>29</v>
      </c>
      <c r="G1022" s="1" t="s">
        <v>53</v>
      </c>
      <c r="H1022" s="1" t="s">
        <v>432</v>
      </c>
      <c r="I1022" s="1" t="s">
        <v>433</v>
      </c>
      <c r="J1022" s="1" t="s">
        <v>110</v>
      </c>
      <c r="K1022" t="s">
        <v>34</v>
      </c>
      <c r="M1022" s="1" t="s">
        <v>35</v>
      </c>
      <c r="N1022" s="1">
        <v>42318949</v>
      </c>
      <c r="O1022" s="1" t="s">
        <v>105</v>
      </c>
      <c r="P1022" s="186">
        <v>44932.477256944447</v>
      </c>
      <c r="R1022" s="1" t="s">
        <v>38</v>
      </c>
      <c r="T1022" s="1" t="s">
        <v>74</v>
      </c>
      <c r="U1022" s="186">
        <v>44932.75</v>
      </c>
      <c r="V1022" s="1" t="s">
        <v>41</v>
      </c>
      <c r="W1022" s="1" t="s">
        <v>49</v>
      </c>
      <c r="Z1022" s="14"/>
      <c r="AA1022" s="14"/>
    </row>
    <row r="1023" spans="1:27" hidden="1">
      <c r="A1023" s="1">
        <v>9299220</v>
      </c>
      <c r="B1023" s="1" t="s">
        <v>101</v>
      </c>
      <c r="C1023" t="s">
        <v>1761</v>
      </c>
      <c r="E1023" s="2">
        <v>446000206001</v>
      </c>
      <c r="F1023" s="1" t="s">
        <v>29</v>
      </c>
      <c r="G1023" s="1" t="s">
        <v>53</v>
      </c>
      <c r="H1023" s="1" t="s">
        <v>432</v>
      </c>
      <c r="I1023" s="1" t="s">
        <v>433</v>
      </c>
      <c r="J1023" s="1" t="s">
        <v>110</v>
      </c>
      <c r="K1023" t="s">
        <v>34</v>
      </c>
      <c r="M1023" s="1" t="s">
        <v>35</v>
      </c>
      <c r="N1023" s="1">
        <v>42318949</v>
      </c>
      <c r="O1023" s="1" t="s">
        <v>105</v>
      </c>
      <c r="P1023" s="186">
        <v>44932.477256944447</v>
      </c>
      <c r="R1023" s="1" t="s">
        <v>38</v>
      </c>
      <c r="T1023" s="1" t="s">
        <v>74</v>
      </c>
      <c r="U1023" s="186">
        <v>44932.75</v>
      </c>
      <c r="V1023" s="1" t="s">
        <v>41</v>
      </c>
      <c r="W1023" s="1" t="s">
        <v>49</v>
      </c>
      <c r="Z1023" s="14"/>
      <c r="AA1023" s="14"/>
    </row>
    <row r="1024" spans="1:27" hidden="1">
      <c r="A1024" s="1">
        <v>9299075</v>
      </c>
      <c r="B1024" s="1" t="s">
        <v>101</v>
      </c>
      <c r="C1024" t="s">
        <v>1761</v>
      </c>
      <c r="E1024" s="2">
        <v>246000206001</v>
      </c>
      <c r="F1024" s="1" t="s">
        <v>29</v>
      </c>
      <c r="G1024" s="1" t="s">
        <v>53</v>
      </c>
      <c r="H1024" s="1" t="s">
        <v>1193</v>
      </c>
      <c r="I1024" s="1" t="s">
        <v>1194</v>
      </c>
      <c r="J1024" s="1" t="s">
        <v>85</v>
      </c>
      <c r="K1024" t="s">
        <v>34</v>
      </c>
      <c r="M1024" s="1" t="s">
        <v>35</v>
      </c>
      <c r="N1024" s="1">
        <v>42318949</v>
      </c>
      <c r="O1024" s="1" t="s">
        <v>105</v>
      </c>
      <c r="P1024" s="186">
        <v>44932.477048611108</v>
      </c>
      <c r="R1024" s="1" t="s">
        <v>38</v>
      </c>
      <c r="T1024" s="1" t="s">
        <v>74</v>
      </c>
      <c r="U1024" s="186">
        <v>44932.75</v>
      </c>
      <c r="V1024" s="1" t="s">
        <v>41</v>
      </c>
      <c r="W1024" s="1" t="s">
        <v>49</v>
      </c>
      <c r="Z1024" s="14"/>
      <c r="AA1024" s="14"/>
    </row>
    <row r="1025" spans="1:27" hidden="1">
      <c r="A1025" s="1">
        <v>9299074</v>
      </c>
      <c r="B1025" s="1" t="s">
        <v>101</v>
      </c>
      <c r="C1025" t="s">
        <v>1761</v>
      </c>
      <c r="E1025" s="2">
        <v>246000206001</v>
      </c>
      <c r="F1025" s="1" t="s">
        <v>29</v>
      </c>
      <c r="G1025" s="1" t="s">
        <v>53</v>
      </c>
      <c r="H1025" s="1" t="s">
        <v>1193</v>
      </c>
      <c r="I1025" s="1" t="s">
        <v>1194</v>
      </c>
      <c r="J1025" s="1" t="s">
        <v>85</v>
      </c>
      <c r="K1025" t="s">
        <v>34</v>
      </c>
      <c r="M1025" s="1" t="s">
        <v>35</v>
      </c>
      <c r="N1025" s="1">
        <v>42318949</v>
      </c>
      <c r="O1025" s="1" t="s">
        <v>105</v>
      </c>
      <c r="P1025" s="186">
        <v>44932.477048611108</v>
      </c>
      <c r="R1025" s="1" t="s">
        <v>38</v>
      </c>
      <c r="T1025" s="1" t="s">
        <v>74</v>
      </c>
      <c r="U1025" s="186">
        <v>44932.75</v>
      </c>
      <c r="V1025" s="1" t="s">
        <v>41</v>
      </c>
      <c r="W1025" s="1" t="s">
        <v>49</v>
      </c>
      <c r="Z1025" s="14"/>
      <c r="AA1025" s="14"/>
    </row>
    <row r="1026" spans="1:27" hidden="1">
      <c r="A1026" s="1">
        <v>9299073</v>
      </c>
      <c r="B1026" s="1" t="s">
        <v>101</v>
      </c>
      <c r="C1026" t="s">
        <v>1761</v>
      </c>
      <c r="E1026" s="2">
        <v>246000206001</v>
      </c>
      <c r="F1026" s="1" t="s">
        <v>29</v>
      </c>
      <c r="G1026" s="1" t="s">
        <v>53</v>
      </c>
      <c r="H1026" s="1" t="s">
        <v>1193</v>
      </c>
      <c r="I1026" s="1" t="s">
        <v>1194</v>
      </c>
      <c r="J1026" s="1" t="s">
        <v>85</v>
      </c>
      <c r="K1026" t="s">
        <v>34</v>
      </c>
      <c r="M1026" s="1" t="s">
        <v>35</v>
      </c>
      <c r="N1026" s="1">
        <v>42318949</v>
      </c>
      <c r="O1026" s="1" t="s">
        <v>105</v>
      </c>
      <c r="P1026" s="186">
        <v>44932.477048611108</v>
      </c>
      <c r="R1026" s="1" t="s">
        <v>38</v>
      </c>
      <c r="T1026" s="1" t="s">
        <v>74</v>
      </c>
      <c r="U1026" s="186">
        <v>44932.75</v>
      </c>
      <c r="V1026" s="1" t="s">
        <v>41</v>
      </c>
      <c r="W1026" s="1" t="s">
        <v>49</v>
      </c>
      <c r="Z1026" s="14"/>
      <c r="AA1026" s="14"/>
    </row>
    <row r="1027" spans="1:27" hidden="1">
      <c r="A1027" s="1">
        <v>9299072</v>
      </c>
      <c r="B1027" s="1" t="s">
        <v>101</v>
      </c>
      <c r="C1027" t="s">
        <v>1761</v>
      </c>
      <c r="E1027" s="2">
        <v>246000206001</v>
      </c>
      <c r="F1027" s="1" t="s">
        <v>29</v>
      </c>
      <c r="G1027" s="1" t="s">
        <v>53</v>
      </c>
      <c r="H1027" s="1" t="s">
        <v>1193</v>
      </c>
      <c r="I1027" s="1" t="s">
        <v>1194</v>
      </c>
      <c r="J1027" s="1" t="s">
        <v>85</v>
      </c>
      <c r="K1027" t="s">
        <v>34</v>
      </c>
      <c r="M1027" s="1" t="s">
        <v>35</v>
      </c>
      <c r="N1027" s="1">
        <v>42318949</v>
      </c>
      <c r="O1027" s="1" t="s">
        <v>105</v>
      </c>
      <c r="P1027" s="186">
        <v>44932.477048611108</v>
      </c>
      <c r="R1027" s="1" t="s">
        <v>38</v>
      </c>
      <c r="T1027" s="1" t="s">
        <v>74</v>
      </c>
      <c r="U1027" s="186">
        <v>44932.75</v>
      </c>
      <c r="V1027" s="1" t="s">
        <v>41</v>
      </c>
      <c r="W1027" s="1" t="s">
        <v>49</v>
      </c>
      <c r="Z1027" s="14"/>
      <c r="AA1027" s="14"/>
    </row>
    <row r="1028" spans="1:27" hidden="1">
      <c r="A1028" s="1">
        <v>9299071</v>
      </c>
      <c r="B1028" s="1" t="s">
        <v>101</v>
      </c>
      <c r="C1028" t="s">
        <v>1761</v>
      </c>
      <c r="E1028" s="2">
        <v>244000206001</v>
      </c>
      <c r="F1028" s="1" t="s">
        <v>29</v>
      </c>
      <c r="G1028" s="1" t="s">
        <v>53</v>
      </c>
      <c r="H1028" s="1" t="s">
        <v>313</v>
      </c>
      <c r="I1028" s="1" t="s">
        <v>314</v>
      </c>
      <c r="J1028" s="1" t="s">
        <v>56</v>
      </c>
      <c r="K1028" t="s">
        <v>34</v>
      </c>
      <c r="M1028" s="1" t="s">
        <v>35</v>
      </c>
      <c r="N1028" s="1">
        <v>42318949</v>
      </c>
      <c r="O1028" s="1" t="s">
        <v>105</v>
      </c>
      <c r="P1028" s="186">
        <v>44932.477037037039</v>
      </c>
      <c r="R1028" s="1" t="s">
        <v>38</v>
      </c>
      <c r="T1028" s="1" t="s">
        <v>74</v>
      </c>
      <c r="U1028" s="186">
        <v>44932.75</v>
      </c>
      <c r="V1028" s="1" t="s">
        <v>41</v>
      </c>
      <c r="W1028" s="1" t="s">
        <v>49</v>
      </c>
      <c r="Z1028" s="14"/>
      <c r="AA1028" s="14"/>
    </row>
    <row r="1029" spans="1:27" hidden="1">
      <c r="A1029" s="1">
        <v>9299059</v>
      </c>
      <c r="B1029" s="1" t="s">
        <v>101</v>
      </c>
      <c r="C1029" t="s">
        <v>1761</v>
      </c>
      <c r="E1029" s="2">
        <v>220000206001</v>
      </c>
      <c r="F1029" s="1" t="s">
        <v>29</v>
      </c>
      <c r="G1029" s="1" t="s">
        <v>53</v>
      </c>
      <c r="H1029" s="1" t="s">
        <v>588</v>
      </c>
      <c r="I1029" s="1" t="s">
        <v>589</v>
      </c>
      <c r="J1029" s="1" t="s">
        <v>110</v>
      </c>
      <c r="K1029" t="s">
        <v>34</v>
      </c>
      <c r="M1029" s="1" t="s">
        <v>35</v>
      </c>
      <c r="N1029" s="1">
        <v>42318949</v>
      </c>
      <c r="O1029" s="1" t="s">
        <v>105</v>
      </c>
      <c r="P1029" s="186">
        <v>44932.477025462962</v>
      </c>
      <c r="R1029" s="1" t="s">
        <v>38</v>
      </c>
      <c r="T1029" s="1" t="s">
        <v>74</v>
      </c>
      <c r="U1029" s="186">
        <v>44932.75</v>
      </c>
      <c r="V1029" s="1" t="s">
        <v>41</v>
      </c>
      <c r="W1029" s="1" t="s">
        <v>49</v>
      </c>
      <c r="Z1029" s="14"/>
      <c r="AA1029" s="14"/>
    </row>
    <row r="1030" spans="1:27" hidden="1">
      <c r="A1030" s="1">
        <v>9299058</v>
      </c>
      <c r="B1030" s="1" t="s">
        <v>101</v>
      </c>
      <c r="C1030" t="s">
        <v>1761</v>
      </c>
      <c r="E1030" s="2">
        <v>220000206001</v>
      </c>
      <c r="F1030" s="1" t="s">
        <v>29</v>
      </c>
      <c r="G1030" s="1" t="s">
        <v>53</v>
      </c>
      <c r="H1030" s="1" t="s">
        <v>588</v>
      </c>
      <c r="I1030" s="1" t="s">
        <v>589</v>
      </c>
      <c r="J1030" s="1" t="s">
        <v>110</v>
      </c>
      <c r="K1030" t="s">
        <v>34</v>
      </c>
      <c r="M1030" s="1" t="s">
        <v>35</v>
      </c>
      <c r="N1030" s="1">
        <v>42318949</v>
      </c>
      <c r="O1030" s="1" t="s">
        <v>105</v>
      </c>
      <c r="P1030" s="186">
        <v>44932.477025462962</v>
      </c>
      <c r="R1030" s="1" t="s">
        <v>38</v>
      </c>
      <c r="T1030" s="1" t="s">
        <v>74</v>
      </c>
      <c r="U1030" s="186">
        <v>44932.75</v>
      </c>
      <c r="V1030" s="1" t="s">
        <v>41</v>
      </c>
      <c r="W1030" s="1" t="s">
        <v>49</v>
      </c>
      <c r="Z1030" s="14"/>
      <c r="AA1030" s="14"/>
    </row>
    <row r="1031" spans="1:27" hidden="1">
      <c r="A1031" s="1">
        <v>9299057</v>
      </c>
      <c r="B1031" s="1" t="s">
        <v>101</v>
      </c>
      <c r="C1031" t="s">
        <v>1761</v>
      </c>
      <c r="E1031" s="2">
        <v>220000206001</v>
      </c>
      <c r="F1031" s="1" t="s">
        <v>29</v>
      </c>
      <c r="G1031" s="1" t="s">
        <v>53</v>
      </c>
      <c r="H1031" s="1" t="s">
        <v>588</v>
      </c>
      <c r="I1031" s="1" t="s">
        <v>589</v>
      </c>
      <c r="J1031" s="1" t="s">
        <v>110</v>
      </c>
      <c r="K1031" t="s">
        <v>34</v>
      </c>
      <c r="M1031" s="1" t="s">
        <v>35</v>
      </c>
      <c r="N1031" s="1">
        <v>42318949</v>
      </c>
      <c r="O1031" s="1" t="s">
        <v>105</v>
      </c>
      <c r="P1031" s="186">
        <v>44932.477025462962</v>
      </c>
      <c r="R1031" s="1" t="s">
        <v>38</v>
      </c>
      <c r="T1031" s="1" t="s">
        <v>74</v>
      </c>
      <c r="U1031" s="186">
        <v>44932.75</v>
      </c>
      <c r="V1031" s="1" t="s">
        <v>41</v>
      </c>
      <c r="W1031" s="1" t="s">
        <v>49</v>
      </c>
      <c r="Z1031" s="14"/>
      <c r="AA1031" s="14"/>
    </row>
    <row r="1032" spans="1:27" hidden="1">
      <c r="A1032" s="1">
        <v>9299056</v>
      </c>
      <c r="B1032" s="1" t="s">
        <v>101</v>
      </c>
      <c r="C1032" t="s">
        <v>1761</v>
      </c>
      <c r="E1032" s="2">
        <v>220000206001</v>
      </c>
      <c r="F1032" s="1" t="s">
        <v>29</v>
      </c>
      <c r="G1032" s="1" t="s">
        <v>53</v>
      </c>
      <c r="H1032" s="1" t="s">
        <v>588</v>
      </c>
      <c r="I1032" s="1" t="s">
        <v>589</v>
      </c>
      <c r="J1032" s="1" t="s">
        <v>110</v>
      </c>
      <c r="K1032" t="s">
        <v>34</v>
      </c>
      <c r="M1032" s="1" t="s">
        <v>35</v>
      </c>
      <c r="N1032" s="1">
        <v>42318949</v>
      </c>
      <c r="O1032" s="1" t="s">
        <v>105</v>
      </c>
      <c r="P1032" s="186">
        <v>44932.477025462962</v>
      </c>
      <c r="R1032" s="1" t="s">
        <v>38</v>
      </c>
      <c r="T1032" s="1" t="s">
        <v>74</v>
      </c>
      <c r="U1032" s="186">
        <v>44932.75</v>
      </c>
      <c r="V1032" s="1" t="s">
        <v>41</v>
      </c>
      <c r="W1032" s="1" t="s">
        <v>49</v>
      </c>
      <c r="Z1032" s="14"/>
      <c r="AA1032" s="14"/>
    </row>
    <row r="1033" spans="1:27" hidden="1">
      <c r="A1033" s="1">
        <v>9299055</v>
      </c>
      <c r="B1033" s="1" t="s">
        <v>101</v>
      </c>
      <c r="C1033" t="s">
        <v>1761</v>
      </c>
      <c r="E1033" s="2">
        <v>220000206001</v>
      </c>
      <c r="F1033" s="1" t="s">
        <v>29</v>
      </c>
      <c r="G1033" s="1" t="s">
        <v>53</v>
      </c>
      <c r="H1033" s="1" t="s">
        <v>588</v>
      </c>
      <c r="I1033" s="1" t="s">
        <v>589</v>
      </c>
      <c r="J1033" s="1" t="s">
        <v>110</v>
      </c>
      <c r="K1033" t="s">
        <v>34</v>
      </c>
      <c r="M1033" s="1" t="s">
        <v>35</v>
      </c>
      <c r="N1033" s="1">
        <v>42318949</v>
      </c>
      <c r="O1033" s="1" t="s">
        <v>105</v>
      </c>
      <c r="P1033" s="186">
        <v>44932.477013888885</v>
      </c>
      <c r="R1033" s="1" t="s">
        <v>38</v>
      </c>
      <c r="T1033" s="1" t="s">
        <v>74</v>
      </c>
      <c r="U1033" s="186">
        <v>44932.75</v>
      </c>
      <c r="V1033" s="1" t="s">
        <v>41</v>
      </c>
      <c r="W1033" s="1" t="s">
        <v>49</v>
      </c>
      <c r="Z1033" s="14"/>
      <c r="AA1033" s="14"/>
    </row>
    <row r="1034" spans="1:27" hidden="1">
      <c r="A1034" s="181">
        <v>9298529</v>
      </c>
      <c r="B1034" s="181" t="s">
        <v>101</v>
      </c>
      <c r="C1034" s="182" t="s">
        <v>3482</v>
      </c>
      <c r="D1034" s="183"/>
      <c r="E1034" s="183">
        <v>9705000206001</v>
      </c>
      <c r="F1034" s="181" t="s">
        <v>29</v>
      </c>
      <c r="G1034" s="181" t="s">
        <v>53</v>
      </c>
      <c r="H1034" s="181" t="s">
        <v>204</v>
      </c>
      <c r="I1034" s="181" t="s">
        <v>205</v>
      </c>
      <c r="J1034" s="181" t="s">
        <v>90</v>
      </c>
      <c r="K1034" t="s">
        <v>34</v>
      </c>
      <c r="M1034" s="1" t="s">
        <v>35</v>
      </c>
      <c r="N1034" s="1">
        <v>42318949</v>
      </c>
      <c r="O1034" s="1" t="s">
        <v>105</v>
      </c>
      <c r="P1034" s="186">
        <v>44932.437754629631</v>
      </c>
      <c r="R1034" s="1" t="s">
        <v>38</v>
      </c>
      <c r="T1034" s="1" t="s">
        <v>74</v>
      </c>
      <c r="U1034" s="186">
        <v>44932.75</v>
      </c>
      <c r="V1034" s="1" t="s">
        <v>41</v>
      </c>
      <c r="W1034" s="1" t="s">
        <v>49</v>
      </c>
      <c r="Z1034" s="14"/>
      <c r="AA1034" s="14"/>
    </row>
    <row r="1035" spans="1:27" hidden="1">
      <c r="A1035" s="1">
        <v>9298528</v>
      </c>
      <c r="B1035" s="1" t="s">
        <v>101</v>
      </c>
      <c r="C1035" t="s">
        <v>1810</v>
      </c>
      <c r="E1035" s="2">
        <v>9704000206001</v>
      </c>
      <c r="F1035" s="1" t="s">
        <v>29</v>
      </c>
      <c r="G1035" s="1" t="s">
        <v>53</v>
      </c>
      <c r="H1035" s="1" t="s">
        <v>488</v>
      </c>
      <c r="I1035" s="1" t="s">
        <v>489</v>
      </c>
      <c r="J1035" s="1" t="s">
        <v>164</v>
      </c>
      <c r="K1035" t="s">
        <v>34</v>
      </c>
      <c r="M1035" s="1" t="s">
        <v>35</v>
      </c>
      <c r="N1035" s="1">
        <v>42318949</v>
      </c>
      <c r="O1035" s="1" t="s">
        <v>105</v>
      </c>
      <c r="P1035" s="186">
        <v>44932.437754629631</v>
      </c>
      <c r="R1035" s="1" t="s">
        <v>38</v>
      </c>
      <c r="T1035" s="1" t="s">
        <v>74</v>
      </c>
      <c r="U1035" s="186">
        <v>44932.75</v>
      </c>
      <c r="V1035" s="1" t="s">
        <v>41</v>
      </c>
      <c r="W1035" s="1" t="s">
        <v>49</v>
      </c>
      <c r="Z1035" s="14"/>
      <c r="AA1035" s="14"/>
    </row>
    <row r="1036" spans="1:27" hidden="1">
      <c r="A1036" s="1">
        <v>9298527</v>
      </c>
      <c r="B1036" s="1" t="s">
        <v>101</v>
      </c>
      <c r="C1036" t="s">
        <v>1810</v>
      </c>
      <c r="E1036" s="2">
        <v>9700000206001</v>
      </c>
      <c r="F1036" s="1" t="s">
        <v>29</v>
      </c>
      <c r="G1036" s="1" t="s">
        <v>53</v>
      </c>
      <c r="H1036" s="1" t="s">
        <v>209</v>
      </c>
      <c r="I1036" s="1" t="s">
        <v>210</v>
      </c>
      <c r="J1036" s="1" t="s">
        <v>211</v>
      </c>
      <c r="K1036" t="s">
        <v>34</v>
      </c>
      <c r="M1036" s="1" t="s">
        <v>35</v>
      </c>
      <c r="N1036" s="1">
        <v>42318949</v>
      </c>
      <c r="O1036" s="1" t="s">
        <v>105</v>
      </c>
      <c r="P1036" s="186">
        <v>44932.437754629631</v>
      </c>
      <c r="R1036" s="1" t="s">
        <v>38</v>
      </c>
      <c r="T1036" s="1" t="s">
        <v>74</v>
      </c>
      <c r="U1036" s="186">
        <v>44932.75</v>
      </c>
      <c r="V1036" s="1" t="s">
        <v>41</v>
      </c>
      <c r="W1036" s="1" t="s">
        <v>49</v>
      </c>
      <c r="Z1036" s="14"/>
      <c r="AA1036" s="14"/>
    </row>
    <row r="1037" spans="1:27" hidden="1">
      <c r="A1037" s="1">
        <v>9298495</v>
      </c>
      <c r="B1037" s="1" t="s">
        <v>101</v>
      </c>
      <c r="C1037" t="s">
        <v>1810</v>
      </c>
      <c r="E1037" s="2">
        <v>9661000206001</v>
      </c>
      <c r="F1037" s="1" t="s">
        <v>29</v>
      </c>
      <c r="G1037" s="1" t="s">
        <v>53</v>
      </c>
      <c r="H1037" s="1" t="s">
        <v>31</v>
      </c>
      <c r="I1037" s="1" t="s">
        <v>32</v>
      </c>
      <c r="J1037" s="1" t="s">
        <v>33</v>
      </c>
      <c r="K1037" t="s">
        <v>34</v>
      </c>
      <c r="M1037" s="1" t="s">
        <v>35</v>
      </c>
      <c r="N1037" s="1">
        <v>42318949</v>
      </c>
      <c r="O1037" s="1" t="s">
        <v>105</v>
      </c>
      <c r="P1037" s="186">
        <v>44932.437696759262</v>
      </c>
      <c r="R1037" s="1" t="s">
        <v>38</v>
      </c>
      <c r="T1037" s="1" t="s">
        <v>74</v>
      </c>
      <c r="U1037" s="186">
        <v>44932.75</v>
      </c>
      <c r="V1037" s="1" t="s">
        <v>41</v>
      </c>
      <c r="W1037" s="1" t="s">
        <v>42</v>
      </c>
      <c r="Z1037" s="14"/>
      <c r="AA1037" s="14"/>
    </row>
    <row r="1038" spans="1:27" hidden="1">
      <c r="A1038" s="1">
        <v>9298454</v>
      </c>
      <c r="B1038" s="1" t="s">
        <v>101</v>
      </c>
      <c r="C1038" t="s">
        <v>1810</v>
      </c>
      <c r="E1038" s="2">
        <v>9406000206001</v>
      </c>
      <c r="F1038" s="1" t="s">
        <v>29</v>
      </c>
      <c r="G1038" s="1" t="s">
        <v>53</v>
      </c>
      <c r="H1038" s="1" t="s">
        <v>114</v>
      </c>
      <c r="I1038" s="1" t="s">
        <v>115</v>
      </c>
      <c r="J1038" s="1" t="s">
        <v>46</v>
      </c>
      <c r="K1038" t="s">
        <v>34</v>
      </c>
      <c r="M1038" s="1" t="s">
        <v>35</v>
      </c>
      <c r="N1038" s="1">
        <v>42318949</v>
      </c>
      <c r="O1038" s="1" t="s">
        <v>105</v>
      </c>
      <c r="P1038" s="186">
        <v>44932.437627314815</v>
      </c>
      <c r="R1038" s="1" t="s">
        <v>38</v>
      </c>
      <c r="T1038" s="1" t="s">
        <v>74</v>
      </c>
      <c r="U1038" s="186">
        <v>44932.75</v>
      </c>
      <c r="V1038" s="1" t="s">
        <v>41</v>
      </c>
      <c r="W1038" s="1" t="s">
        <v>49</v>
      </c>
      <c r="Z1038" s="14"/>
      <c r="AA1038" s="14"/>
    </row>
    <row r="1039" spans="1:27" hidden="1">
      <c r="A1039" s="1">
        <v>9298409</v>
      </c>
      <c r="B1039" s="1" t="s">
        <v>101</v>
      </c>
      <c r="C1039" t="s">
        <v>1810</v>
      </c>
      <c r="E1039" s="2">
        <v>8634000206001</v>
      </c>
      <c r="F1039" s="1" t="s">
        <v>29</v>
      </c>
      <c r="G1039" s="1" t="s">
        <v>53</v>
      </c>
      <c r="H1039" s="1" t="s">
        <v>293</v>
      </c>
      <c r="I1039" s="1" t="s">
        <v>294</v>
      </c>
      <c r="J1039" s="1" t="s">
        <v>46</v>
      </c>
      <c r="K1039" t="s">
        <v>34</v>
      </c>
      <c r="M1039" s="1" t="s">
        <v>35</v>
      </c>
      <c r="N1039" s="1">
        <v>42318949</v>
      </c>
      <c r="O1039" s="1" t="s">
        <v>105</v>
      </c>
      <c r="P1039" s="186">
        <v>44932.437557870369</v>
      </c>
      <c r="R1039" s="1" t="s">
        <v>38</v>
      </c>
      <c r="T1039" s="1" t="s">
        <v>74</v>
      </c>
      <c r="U1039" s="186">
        <v>44932.75</v>
      </c>
      <c r="V1039" s="1" t="s">
        <v>41</v>
      </c>
      <c r="W1039" s="1" t="s">
        <v>49</v>
      </c>
      <c r="Z1039" s="14"/>
      <c r="AA1039" s="14"/>
    </row>
    <row r="1040" spans="1:27" hidden="1">
      <c r="A1040" s="1">
        <v>9298408</v>
      </c>
      <c r="B1040" s="1" t="s">
        <v>101</v>
      </c>
      <c r="C1040" t="s">
        <v>1810</v>
      </c>
      <c r="E1040" s="2">
        <v>8633000206001</v>
      </c>
      <c r="F1040" s="1" t="s">
        <v>29</v>
      </c>
      <c r="G1040" s="1" t="s">
        <v>53</v>
      </c>
      <c r="H1040" s="1" t="s">
        <v>835</v>
      </c>
      <c r="I1040" s="1" t="s">
        <v>836</v>
      </c>
      <c r="J1040" s="1" t="s">
        <v>46</v>
      </c>
      <c r="K1040" t="s">
        <v>34</v>
      </c>
      <c r="M1040" s="1" t="s">
        <v>35</v>
      </c>
      <c r="N1040" s="1">
        <v>42318949</v>
      </c>
      <c r="O1040" s="1" t="s">
        <v>105</v>
      </c>
      <c r="P1040" s="186">
        <v>44932.4375462963</v>
      </c>
      <c r="R1040" s="1" t="s">
        <v>38</v>
      </c>
      <c r="T1040" s="1" t="s">
        <v>74</v>
      </c>
      <c r="U1040" s="186">
        <v>44932.75</v>
      </c>
      <c r="V1040" s="1" t="s">
        <v>41</v>
      </c>
      <c r="W1040" s="1" t="s">
        <v>49</v>
      </c>
      <c r="Z1040" s="14"/>
      <c r="AA1040" s="14"/>
    </row>
    <row r="1041" spans="1:27" hidden="1">
      <c r="A1041" s="1">
        <v>9298263</v>
      </c>
      <c r="B1041" s="1" t="s">
        <v>101</v>
      </c>
      <c r="C1041" t="s">
        <v>1810</v>
      </c>
      <c r="E1041" s="2">
        <v>8074000206001</v>
      </c>
      <c r="F1041" s="1" t="s">
        <v>29</v>
      </c>
      <c r="G1041" s="1" t="s">
        <v>53</v>
      </c>
      <c r="H1041" s="1" t="s">
        <v>1257</v>
      </c>
      <c r="I1041" s="1" t="s">
        <v>1258</v>
      </c>
      <c r="J1041" s="1" t="s">
        <v>33</v>
      </c>
      <c r="K1041" t="s">
        <v>34</v>
      </c>
      <c r="M1041" s="1" t="s">
        <v>35</v>
      </c>
      <c r="N1041" s="1">
        <v>42318949</v>
      </c>
      <c r="O1041" s="1" t="s">
        <v>105</v>
      </c>
      <c r="P1041" s="186">
        <v>44932.437280092592</v>
      </c>
      <c r="R1041" s="1" t="s">
        <v>38</v>
      </c>
      <c r="T1041" s="1" t="s">
        <v>74</v>
      </c>
      <c r="U1041" s="186">
        <v>44932.75</v>
      </c>
      <c r="V1041" s="1" t="s">
        <v>41</v>
      </c>
      <c r="W1041" s="1" t="s">
        <v>49</v>
      </c>
      <c r="Z1041" s="14"/>
      <c r="AA1041" s="14"/>
    </row>
    <row r="1042" spans="1:27" hidden="1">
      <c r="A1042" s="1">
        <v>9298238</v>
      </c>
      <c r="B1042" s="1" t="s">
        <v>101</v>
      </c>
      <c r="C1042" t="s">
        <v>1810</v>
      </c>
      <c r="E1042" s="2">
        <v>7420000206001</v>
      </c>
      <c r="F1042" s="1" t="s">
        <v>29</v>
      </c>
      <c r="G1042" s="1" t="s">
        <v>53</v>
      </c>
      <c r="H1042" s="1" t="s">
        <v>1076</v>
      </c>
      <c r="I1042" s="1" t="s">
        <v>1077</v>
      </c>
      <c r="J1042" s="1" t="s">
        <v>46</v>
      </c>
      <c r="K1042" t="s">
        <v>34</v>
      </c>
      <c r="M1042" s="1" t="s">
        <v>35</v>
      </c>
      <c r="N1042" s="1">
        <v>42318949</v>
      </c>
      <c r="O1042" s="1" t="s">
        <v>105</v>
      </c>
      <c r="P1042" s="186">
        <v>44932.4372337963</v>
      </c>
      <c r="R1042" s="1" t="s">
        <v>38</v>
      </c>
      <c r="T1042" s="1" t="s">
        <v>74</v>
      </c>
      <c r="U1042" s="186">
        <v>44932.75</v>
      </c>
      <c r="V1042" s="1" t="s">
        <v>41</v>
      </c>
      <c r="W1042" s="1" t="s">
        <v>49</v>
      </c>
      <c r="Z1042" s="14"/>
      <c r="AA1042" s="14"/>
    </row>
    <row r="1043" spans="1:27" hidden="1">
      <c r="A1043" s="1">
        <v>9297776</v>
      </c>
      <c r="B1043" s="1" t="s">
        <v>101</v>
      </c>
      <c r="C1043" t="s">
        <v>1810</v>
      </c>
      <c r="E1043" s="2">
        <v>5898000206001</v>
      </c>
      <c r="F1043" s="1" t="s">
        <v>29</v>
      </c>
      <c r="G1043" s="1" t="s">
        <v>53</v>
      </c>
      <c r="H1043" s="1" t="s">
        <v>365</v>
      </c>
      <c r="I1043" s="1" t="s">
        <v>366</v>
      </c>
      <c r="J1043" s="1" t="s">
        <v>164</v>
      </c>
      <c r="K1043" t="s">
        <v>34</v>
      </c>
      <c r="M1043" s="1" t="s">
        <v>35</v>
      </c>
      <c r="N1043" s="1">
        <v>42318949</v>
      </c>
      <c r="O1043" s="1" t="s">
        <v>105</v>
      </c>
      <c r="P1043" s="186">
        <v>44932.436226851853</v>
      </c>
      <c r="R1043" s="1" t="s">
        <v>38</v>
      </c>
      <c r="T1043" s="1" t="s">
        <v>74</v>
      </c>
      <c r="U1043" s="186">
        <v>44932.75</v>
      </c>
      <c r="V1043" s="1" t="s">
        <v>41</v>
      </c>
      <c r="W1043" s="1" t="s">
        <v>49</v>
      </c>
      <c r="Z1043" s="14"/>
      <c r="AA1043" s="14"/>
    </row>
    <row r="1044" spans="1:27" hidden="1">
      <c r="A1044" s="1">
        <v>9297748</v>
      </c>
      <c r="B1044" s="1" t="s">
        <v>101</v>
      </c>
      <c r="C1044" t="s">
        <v>1810</v>
      </c>
      <c r="E1044" s="2">
        <v>5816000206001</v>
      </c>
      <c r="F1044" s="1" t="s">
        <v>29</v>
      </c>
      <c r="G1044" s="1" t="s">
        <v>53</v>
      </c>
      <c r="H1044" s="1" t="s">
        <v>412</v>
      </c>
      <c r="I1044" s="1" t="s">
        <v>413</v>
      </c>
      <c r="J1044" s="1" t="s">
        <v>46</v>
      </c>
      <c r="K1044" t="s">
        <v>34</v>
      </c>
      <c r="M1044" s="1" t="s">
        <v>35</v>
      </c>
      <c r="N1044" s="1">
        <v>42318949</v>
      </c>
      <c r="O1044" s="1" t="s">
        <v>105</v>
      </c>
      <c r="P1044" s="186">
        <v>44932.436122685183</v>
      </c>
      <c r="R1044" s="1" t="s">
        <v>38</v>
      </c>
      <c r="T1044" s="1" t="s">
        <v>74</v>
      </c>
      <c r="U1044" s="186">
        <v>44932.75</v>
      </c>
      <c r="V1044" s="1" t="s">
        <v>41</v>
      </c>
      <c r="W1044" s="1" t="s">
        <v>49</v>
      </c>
      <c r="Z1044" s="14"/>
      <c r="AA1044" s="14"/>
    </row>
    <row r="1045" spans="1:27" hidden="1">
      <c r="A1045" s="1">
        <v>9297710</v>
      </c>
      <c r="B1045" s="1" t="s">
        <v>101</v>
      </c>
      <c r="C1045" t="s">
        <v>1810</v>
      </c>
      <c r="E1045" s="2">
        <v>5755000206001</v>
      </c>
      <c r="F1045" s="1" t="s">
        <v>29</v>
      </c>
      <c r="G1045" s="1" t="s">
        <v>53</v>
      </c>
      <c r="H1045" s="1" t="s">
        <v>841</v>
      </c>
      <c r="I1045" s="1" t="s">
        <v>842</v>
      </c>
      <c r="J1045" s="1" t="s">
        <v>46</v>
      </c>
      <c r="K1045" t="s">
        <v>34</v>
      </c>
      <c r="M1045" s="1" t="s">
        <v>35</v>
      </c>
      <c r="N1045" s="1">
        <v>42318949</v>
      </c>
      <c r="O1045" s="1" t="s">
        <v>105</v>
      </c>
      <c r="P1045" s="186">
        <v>44932.436064814814</v>
      </c>
      <c r="R1045" s="1" t="s">
        <v>38</v>
      </c>
      <c r="T1045" s="1" t="s">
        <v>74</v>
      </c>
      <c r="U1045" s="186">
        <v>44932.75</v>
      </c>
      <c r="V1045" s="1" t="s">
        <v>41</v>
      </c>
      <c r="W1045" s="1" t="s">
        <v>49</v>
      </c>
      <c r="Z1045" s="14"/>
      <c r="AA1045" s="14"/>
    </row>
    <row r="1046" spans="1:27" hidden="1">
      <c r="A1046" s="1">
        <v>9297706</v>
      </c>
      <c r="B1046" s="1" t="s">
        <v>101</v>
      </c>
      <c r="C1046" t="s">
        <v>1810</v>
      </c>
      <c r="E1046" s="2">
        <v>5749000206001</v>
      </c>
      <c r="F1046" s="1" t="s">
        <v>29</v>
      </c>
      <c r="G1046" s="1" t="s">
        <v>53</v>
      </c>
      <c r="H1046" s="1" t="s">
        <v>1811</v>
      </c>
      <c r="I1046" s="1" t="s">
        <v>1812</v>
      </c>
      <c r="J1046" s="1" t="s">
        <v>33</v>
      </c>
      <c r="K1046" t="s">
        <v>34</v>
      </c>
      <c r="M1046" s="1" t="s">
        <v>35</v>
      </c>
      <c r="N1046" s="1">
        <v>42318949</v>
      </c>
      <c r="O1046" s="1" t="s">
        <v>105</v>
      </c>
      <c r="P1046" s="186">
        <v>44932.436053240737</v>
      </c>
      <c r="R1046" s="1" t="s">
        <v>38</v>
      </c>
      <c r="T1046" s="1" t="s">
        <v>74</v>
      </c>
      <c r="U1046" s="186">
        <v>44932.75</v>
      </c>
      <c r="V1046" s="1" t="s">
        <v>41</v>
      </c>
      <c r="W1046" s="1" t="s">
        <v>42</v>
      </c>
      <c r="Z1046" s="14"/>
      <c r="AA1046" s="14"/>
    </row>
    <row r="1047" spans="1:27" hidden="1">
      <c r="A1047" s="1">
        <v>9297704</v>
      </c>
      <c r="B1047" s="1" t="s">
        <v>101</v>
      </c>
      <c r="C1047" t="s">
        <v>1810</v>
      </c>
      <c r="E1047" s="2">
        <v>5742000206001</v>
      </c>
      <c r="F1047" s="1" t="s">
        <v>29</v>
      </c>
      <c r="G1047" s="1" t="s">
        <v>53</v>
      </c>
      <c r="H1047" s="1" t="s">
        <v>430</v>
      </c>
      <c r="I1047" s="1" t="s">
        <v>431</v>
      </c>
      <c r="J1047" s="1" t="s">
        <v>79</v>
      </c>
      <c r="K1047" t="s">
        <v>34</v>
      </c>
      <c r="M1047" s="1" t="s">
        <v>35</v>
      </c>
      <c r="N1047" s="1">
        <v>42318949</v>
      </c>
      <c r="O1047" s="1" t="s">
        <v>105</v>
      </c>
      <c r="P1047" s="186">
        <v>44932.436053240737</v>
      </c>
      <c r="R1047" s="1" t="s">
        <v>38</v>
      </c>
      <c r="T1047" s="1" t="s">
        <v>74</v>
      </c>
      <c r="U1047" s="186">
        <v>44932.75</v>
      </c>
      <c r="V1047" s="1" t="s">
        <v>41</v>
      </c>
      <c r="W1047" s="1" t="s">
        <v>49</v>
      </c>
      <c r="Z1047" s="14"/>
      <c r="AA1047" s="14"/>
    </row>
    <row r="1048" spans="1:27" hidden="1">
      <c r="A1048" s="1">
        <v>9297703</v>
      </c>
      <c r="B1048" s="1" t="s">
        <v>101</v>
      </c>
      <c r="C1048" t="s">
        <v>1810</v>
      </c>
      <c r="E1048" s="2">
        <v>5740000206001</v>
      </c>
      <c r="F1048" s="1" t="s">
        <v>29</v>
      </c>
      <c r="G1048" s="1" t="s">
        <v>53</v>
      </c>
      <c r="H1048" s="1" t="s">
        <v>626</v>
      </c>
      <c r="I1048" s="1" t="s">
        <v>627</v>
      </c>
      <c r="J1048" s="1" t="s">
        <v>46</v>
      </c>
      <c r="K1048" t="s">
        <v>34</v>
      </c>
      <c r="M1048" s="1" t="s">
        <v>35</v>
      </c>
      <c r="N1048" s="1">
        <v>42318949</v>
      </c>
      <c r="O1048" s="1" t="s">
        <v>105</v>
      </c>
      <c r="P1048" s="186">
        <v>44932.436053240737</v>
      </c>
      <c r="R1048" s="1" t="s">
        <v>38</v>
      </c>
      <c r="T1048" s="1" t="s">
        <v>74</v>
      </c>
      <c r="U1048" s="186">
        <v>44932.75</v>
      </c>
      <c r="V1048" s="1" t="s">
        <v>41</v>
      </c>
      <c r="W1048" s="1" t="s">
        <v>49</v>
      </c>
      <c r="Z1048" s="14"/>
      <c r="AA1048" s="14"/>
    </row>
    <row r="1049" spans="1:27" hidden="1">
      <c r="A1049" s="1">
        <v>9297518</v>
      </c>
      <c r="B1049" s="1" t="s">
        <v>101</v>
      </c>
      <c r="C1049" t="s">
        <v>1810</v>
      </c>
      <c r="E1049" s="2">
        <v>4997000206001</v>
      </c>
      <c r="F1049" s="1" t="s">
        <v>29</v>
      </c>
      <c r="G1049" s="1" t="s">
        <v>53</v>
      </c>
      <c r="H1049" s="1" t="s">
        <v>406</v>
      </c>
      <c r="I1049" s="1" t="s">
        <v>407</v>
      </c>
      <c r="J1049" s="1" t="s">
        <v>79</v>
      </c>
      <c r="K1049" t="s">
        <v>34</v>
      </c>
      <c r="M1049" s="1" t="s">
        <v>35</v>
      </c>
      <c r="N1049" s="1">
        <v>42318949</v>
      </c>
      <c r="O1049" s="1" t="s">
        <v>105</v>
      </c>
      <c r="P1049" s="186">
        <v>44932.435624999998</v>
      </c>
      <c r="R1049" s="1" t="s">
        <v>38</v>
      </c>
      <c r="T1049" s="1" t="s">
        <v>74</v>
      </c>
      <c r="U1049" s="186">
        <v>44932.75</v>
      </c>
      <c r="V1049" s="1" t="s">
        <v>41</v>
      </c>
      <c r="W1049" s="1" t="s">
        <v>49</v>
      </c>
      <c r="Z1049" s="14"/>
      <c r="AA1049" s="14"/>
    </row>
    <row r="1050" spans="1:27" hidden="1">
      <c r="A1050" s="1">
        <v>9297506</v>
      </c>
      <c r="B1050" s="1" t="s">
        <v>101</v>
      </c>
      <c r="C1050" t="s">
        <v>1810</v>
      </c>
      <c r="E1050" s="2">
        <v>4930000206001</v>
      </c>
      <c r="F1050" s="1" t="s">
        <v>29</v>
      </c>
      <c r="G1050" s="1" t="s">
        <v>53</v>
      </c>
      <c r="H1050" s="1" t="s">
        <v>1813</v>
      </c>
      <c r="I1050" s="1" t="s">
        <v>1814</v>
      </c>
      <c r="J1050" s="1" t="s">
        <v>46</v>
      </c>
      <c r="K1050" t="s">
        <v>34</v>
      </c>
      <c r="M1050" s="1" t="s">
        <v>35</v>
      </c>
      <c r="N1050" s="1">
        <v>42318949</v>
      </c>
      <c r="O1050" s="1" t="s">
        <v>105</v>
      </c>
      <c r="P1050" s="186">
        <v>44932.435613425929</v>
      </c>
      <c r="R1050" s="1" t="s">
        <v>38</v>
      </c>
      <c r="T1050" s="1" t="s">
        <v>74</v>
      </c>
      <c r="U1050" s="186">
        <v>44932.75</v>
      </c>
      <c r="V1050" s="1" t="s">
        <v>41</v>
      </c>
      <c r="W1050" s="1" t="s">
        <v>49</v>
      </c>
      <c r="Z1050" s="14"/>
      <c r="AA1050" s="14"/>
    </row>
    <row r="1051" spans="1:27" hidden="1">
      <c r="A1051" s="1">
        <v>9297463</v>
      </c>
      <c r="B1051" s="1" t="s">
        <v>101</v>
      </c>
      <c r="C1051" t="s">
        <v>1810</v>
      </c>
      <c r="E1051" s="2">
        <v>4844920206001</v>
      </c>
      <c r="F1051" s="1" t="s">
        <v>29</v>
      </c>
      <c r="G1051" s="1" t="s">
        <v>53</v>
      </c>
      <c r="H1051" s="1" t="s">
        <v>1815</v>
      </c>
      <c r="I1051" s="1" t="s">
        <v>1816</v>
      </c>
      <c r="J1051" s="1" t="s">
        <v>211</v>
      </c>
      <c r="K1051" t="s">
        <v>34</v>
      </c>
      <c r="M1051" s="1" t="s">
        <v>35</v>
      </c>
      <c r="N1051" s="1">
        <v>42318949</v>
      </c>
      <c r="O1051" s="1" t="s">
        <v>105</v>
      </c>
      <c r="P1051" s="186">
        <v>44932.435555555552</v>
      </c>
      <c r="R1051" s="1" t="s">
        <v>38</v>
      </c>
      <c r="T1051" s="1" t="s">
        <v>74</v>
      </c>
      <c r="U1051" s="186">
        <v>44932.75</v>
      </c>
      <c r="V1051" s="1" t="s">
        <v>41</v>
      </c>
      <c r="W1051" s="1" t="s">
        <v>49</v>
      </c>
      <c r="Z1051" s="14"/>
      <c r="AA1051" s="14"/>
    </row>
    <row r="1052" spans="1:27" hidden="1">
      <c r="A1052" s="1">
        <v>9297342</v>
      </c>
      <c r="B1052" s="1" t="s">
        <v>101</v>
      </c>
      <c r="C1052" t="s">
        <v>1810</v>
      </c>
      <c r="E1052" s="2">
        <v>4637000206001</v>
      </c>
      <c r="F1052" s="1" t="s">
        <v>29</v>
      </c>
      <c r="G1052" s="1" t="s">
        <v>53</v>
      </c>
      <c r="H1052" s="1" t="s">
        <v>848</v>
      </c>
      <c r="I1052" s="1" t="s">
        <v>849</v>
      </c>
      <c r="J1052" s="1" t="s">
        <v>79</v>
      </c>
      <c r="K1052" t="s">
        <v>34</v>
      </c>
      <c r="M1052" s="1" t="s">
        <v>35</v>
      </c>
      <c r="N1052" s="1">
        <v>42318949</v>
      </c>
      <c r="O1052" s="1" t="s">
        <v>105</v>
      </c>
      <c r="P1052" s="186">
        <v>44932.435243055559</v>
      </c>
      <c r="R1052" s="1" t="s">
        <v>38</v>
      </c>
      <c r="T1052" s="1" t="s">
        <v>74</v>
      </c>
      <c r="U1052" s="186">
        <v>44932.75</v>
      </c>
      <c r="V1052" s="1" t="s">
        <v>41</v>
      </c>
      <c r="W1052" s="1" t="s">
        <v>49</v>
      </c>
      <c r="Z1052" s="14"/>
      <c r="AA1052" s="14"/>
    </row>
    <row r="1053" spans="1:27" hidden="1">
      <c r="A1053" s="1">
        <v>9297329</v>
      </c>
      <c r="B1053" s="1" t="s">
        <v>101</v>
      </c>
      <c r="C1053" t="s">
        <v>1810</v>
      </c>
      <c r="E1053" s="2">
        <v>4623000206001</v>
      </c>
      <c r="F1053" s="1" t="s">
        <v>29</v>
      </c>
      <c r="G1053" s="1" t="s">
        <v>53</v>
      </c>
      <c r="H1053" s="1" t="s">
        <v>669</v>
      </c>
      <c r="I1053" s="1" t="s">
        <v>670</v>
      </c>
      <c r="J1053" s="1" t="s">
        <v>33</v>
      </c>
      <c r="K1053" t="s">
        <v>34</v>
      </c>
      <c r="M1053" s="1" t="s">
        <v>35</v>
      </c>
      <c r="N1053" s="1">
        <v>42318949</v>
      </c>
      <c r="O1053" s="1" t="s">
        <v>105</v>
      </c>
      <c r="P1053" s="186">
        <v>44932.435219907406</v>
      </c>
      <c r="R1053" s="1" t="s">
        <v>38</v>
      </c>
      <c r="T1053" s="1" t="s">
        <v>74</v>
      </c>
      <c r="U1053" s="186">
        <v>44932.75</v>
      </c>
      <c r="V1053" s="1" t="s">
        <v>41</v>
      </c>
      <c r="W1053" s="1" t="s">
        <v>42</v>
      </c>
      <c r="Z1053" s="14"/>
      <c r="AA1053" s="14"/>
    </row>
    <row r="1054" spans="1:27" hidden="1">
      <c r="A1054" s="1">
        <v>9297061</v>
      </c>
      <c r="B1054" s="1" t="s">
        <v>101</v>
      </c>
      <c r="C1054" t="s">
        <v>1810</v>
      </c>
      <c r="E1054" s="2">
        <v>4235000206001</v>
      </c>
      <c r="F1054" s="1" t="s">
        <v>29</v>
      </c>
      <c r="G1054" s="1" t="s">
        <v>53</v>
      </c>
      <c r="H1054" s="1" t="s">
        <v>291</v>
      </c>
      <c r="I1054" s="1" t="s">
        <v>292</v>
      </c>
      <c r="J1054" s="1" t="s">
        <v>46</v>
      </c>
      <c r="K1054" t="s">
        <v>34</v>
      </c>
      <c r="M1054" s="1" t="s">
        <v>35</v>
      </c>
      <c r="N1054" s="1">
        <v>42318949</v>
      </c>
      <c r="O1054" s="1" t="s">
        <v>105</v>
      </c>
      <c r="P1054" s="186">
        <v>44932.434629629628</v>
      </c>
      <c r="R1054" s="1" t="s">
        <v>38</v>
      </c>
      <c r="T1054" s="1" t="s">
        <v>74</v>
      </c>
      <c r="U1054" s="186">
        <v>44932.75</v>
      </c>
      <c r="V1054" s="1" t="s">
        <v>41</v>
      </c>
      <c r="W1054" s="1" t="s">
        <v>49</v>
      </c>
      <c r="Z1054" s="14"/>
      <c r="AA1054" s="14"/>
    </row>
    <row r="1055" spans="1:27" hidden="1">
      <c r="A1055" s="1">
        <v>9296970</v>
      </c>
      <c r="B1055" s="1" t="s">
        <v>101</v>
      </c>
      <c r="C1055" t="s">
        <v>1810</v>
      </c>
      <c r="E1055" s="2">
        <v>4118000206001</v>
      </c>
      <c r="F1055" s="1" t="s">
        <v>29</v>
      </c>
      <c r="G1055" s="1" t="s">
        <v>53</v>
      </c>
      <c r="H1055" s="1" t="s">
        <v>71</v>
      </c>
      <c r="I1055" s="1" t="s">
        <v>72</v>
      </c>
      <c r="J1055" s="1" t="s">
        <v>46</v>
      </c>
      <c r="K1055" t="s">
        <v>34</v>
      </c>
      <c r="M1055" s="1" t="s">
        <v>35</v>
      </c>
      <c r="N1055" s="1">
        <v>42318949</v>
      </c>
      <c r="O1055" s="1" t="s">
        <v>105</v>
      </c>
      <c r="P1055" s="186">
        <v>44932.434421296297</v>
      </c>
      <c r="R1055" s="1" t="s">
        <v>38</v>
      </c>
      <c r="T1055" s="1" t="s">
        <v>74</v>
      </c>
      <c r="U1055" s="186">
        <v>44932.75</v>
      </c>
      <c r="V1055" s="1" t="s">
        <v>41</v>
      </c>
      <c r="W1055" s="1" t="s">
        <v>49</v>
      </c>
      <c r="Z1055" s="14"/>
      <c r="AA1055" s="14"/>
    </row>
    <row r="1056" spans="1:27" hidden="1">
      <c r="A1056" s="1">
        <v>9296940</v>
      </c>
      <c r="B1056" s="1" t="s">
        <v>101</v>
      </c>
      <c r="C1056" t="s">
        <v>1810</v>
      </c>
      <c r="E1056" s="2">
        <v>4076000206001</v>
      </c>
      <c r="F1056" s="1" t="s">
        <v>29</v>
      </c>
      <c r="G1056" s="1" t="s">
        <v>53</v>
      </c>
      <c r="H1056" s="1" t="s">
        <v>426</v>
      </c>
      <c r="I1056" s="1" t="s">
        <v>427</v>
      </c>
      <c r="J1056" s="1" t="s">
        <v>79</v>
      </c>
      <c r="K1056" t="s">
        <v>34</v>
      </c>
      <c r="M1056" s="1" t="s">
        <v>35</v>
      </c>
      <c r="N1056" s="1">
        <v>42318949</v>
      </c>
      <c r="O1056" s="1" t="s">
        <v>105</v>
      </c>
      <c r="P1056" s="186">
        <v>44932.434317129628</v>
      </c>
      <c r="R1056" s="1" t="s">
        <v>38</v>
      </c>
      <c r="T1056" s="1" t="s">
        <v>74</v>
      </c>
      <c r="U1056" s="186">
        <v>44932.75</v>
      </c>
      <c r="V1056" s="1" t="s">
        <v>41</v>
      </c>
      <c r="W1056" s="1" t="s">
        <v>49</v>
      </c>
      <c r="Z1056" s="14"/>
      <c r="AA1056" s="14"/>
    </row>
    <row r="1057" spans="1:27" hidden="1">
      <c r="A1057" s="1">
        <v>9296891</v>
      </c>
      <c r="B1057" s="1" t="s">
        <v>101</v>
      </c>
      <c r="C1057" t="s">
        <v>1810</v>
      </c>
      <c r="E1057" s="2">
        <v>4012000206001</v>
      </c>
      <c r="F1057" s="1" t="s">
        <v>29</v>
      </c>
      <c r="G1057" s="1" t="s">
        <v>53</v>
      </c>
      <c r="H1057" s="1" t="s">
        <v>349</v>
      </c>
      <c r="I1057" s="1" t="s">
        <v>350</v>
      </c>
      <c r="J1057" s="1" t="s">
        <v>261</v>
      </c>
      <c r="K1057" t="s">
        <v>34</v>
      </c>
      <c r="M1057" s="1" t="s">
        <v>35</v>
      </c>
      <c r="N1057" s="1">
        <v>42318949</v>
      </c>
      <c r="O1057" s="1" t="s">
        <v>105</v>
      </c>
      <c r="P1057" s="186">
        <v>44932.434236111112</v>
      </c>
      <c r="R1057" s="1" t="s">
        <v>38</v>
      </c>
      <c r="T1057" s="1" t="s">
        <v>74</v>
      </c>
      <c r="U1057" s="186">
        <v>44932.75</v>
      </c>
      <c r="V1057" s="1" t="s">
        <v>41</v>
      </c>
      <c r="W1057" s="1" t="s">
        <v>49</v>
      </c>
      <c r="Z1057" s="14"/>
      <c r="AA1057" s="14"/>
    </row>
    <row r="1058" spans="1:27" hidden="1">
      <c r="A1058" s="1">
        <v>9296815</v>
      </c>
      <c r="B1058" s="1" t="s">
        <v>101</v>
      </c>
      <c r="C1058" t="s">
        <v>1810</v>
      </c>
      <c r="E1058" s="2">
        <v>3924000206001</v>
      </c>
      <c r="F1058" s="1" t="s">
        <v>29</v>
      </c>
      <c r="G1058" s="1" t="s">
        <v>53</v>
      </c>
      <c r="H1058" s="1" t="s">
        <v>153</v>
      </c>
      <c r="I1058" s="1" t="s">
        <v>154</v>
      </c>
      <c r="J1058" s="1" t="s">
        <v>56</v>
      </c>
      <c r="K1058" t="s">
        <v>34</v>
      </c>
      <c r="M1058" s="1" t="s">
        <v>35</v>
      </c>
      <c r="N1058" s="1">
        <v>42318949</v>
      </c>
      <c r="O1058" s="1" t="s">
        <v>105</v>
      </c>
      <c r="P1058" s="186">
        <v>44932.434120370373</v>
      </c>
      <c r="R1058" s="1" t="s">
        <v>38</v>
      </c>
      <c r="T1058" s="1" t="s">
        <v>74</v>
      </c>
      <c r="U1058" s="186">
        <v>44932.75</v>
      </c>
      <c r="V1058" s="1" t="s">
        <v>41</v>
      </c>
      <c r="W1058" s="1" t="s">
        <v>49</v>
      </c>
      <c r="Z1058" s="14"/>
      <c r="AA1058" s="14"/>
    </row>
    <row r="1059" spans="1:27" hidden="1">
      <c r="A1059" s="1">
        <v>9296722</v>
      </c>
      <c r="B1059" s="1" t="s">
        <v>101</v>
      </c>
      <c r="C1059" t="s">
        <v>1810</v>
      </c>
      <c r="E1059" s="2">
        <v>3802000206001</v>
      </c>
      <c r="F1059" s="1" t="s">
        <v>29</v>
      </c>
      <c r="G1059" s="1" t="s">
        <v>53</v>
      </c>
      <c r="H1059" s="1" t="s">
        <v>319</v>
      </c>
      <c r="I1059" s="1" t="s">
        <v>320</v>
      </c>
      <c r="J1059" s="1" t="s">
        <v>148</v>
      </c>
      <c r="K1059" t="s">
        <v>34</v>
      </c>
      <c r="M1059" s="1" t="s">
        <v>35</v>
      </c>
      <c r="N1059" s="1">
        <v>42318949</v>
      </c>
      <c r="O1059" s="1" t="s">
        <v>105</v>
      </c>
      <c r="P1059" s="186">
        <v>44932.433958333335</v>
      </c>
      <c r="R1059" s="1" t="s">
        <v>38</v>
      </c>
      <c r="T1059" s="1" t="s">
        <v>74</v>
      </c>
      <c r="U1059" s="186">
        <v>44932.75</v>
      </c>
      <c r="V1059" s="1" t="s">
        <v>41</v>
      </c>
      <c r="W1059" s="1" t="s">
        <v>49</v>
      </c>
      <c r="Z1059" s="14"/>
      <c r="AA1059" s="14"/>
    </row>
    <row r="1060" spans="1:27" hidden="1">
      <c r="A1060" s="1">
        <v>9296577</v>
      </c>
      <c r="B1060" s="1" t="s">
        <v>101</v>
      </c>
      <c r="C1060" t="s">
        <v>1810</v>
      </c>
      <c r="E1060" s="2">
        <v>3613200206001</v>
      </c>
      <c r="F1060" s="1" t="s">
        <v>29</v>
      </c>
      <c r="G1060" s="1" t="s">
        <v>53</v>
      </c>
      <c r="H1060" s="1" t="s">
        <v>496</v>
      </c>
      <c r="I1060" s="1" t="s">
        <v>198</v>
      </c>
      <c r="J1060" s="1" t="s">
        <v>46</v>
      </c>
      <c r="K1060" t="s">
        <v>34</v>
      </c>
      <c r="M1060" s="1" t="s">
        <v>35</v>
      </c>
      <c r="N1060" s="1">
        <v>42318949</v>
      </c>
      <c r="O1060" s="1" t="s">
        <v>105</v>
      </c>
      <c r="P1060" s="186">
        <v>44932.433738425927</v>
      </c>
      <c r="R1060" s="1" t="s">
        <v>38</v>
      </c>
      <c r="T1060" s="1" t="s">
        <v>74</v>
      </c>
      <c r="U1060" s="186">
        <v>44932.75</v>
      </c>
      <c r="V1060" s="1" t="s">
        <v>41</v>
      </c>
      <c r="W1060" s="1" t="s">
        <v>49</v>
      </c>
      <c r="Z1060" s="14"/>
      <c r="AA1060" s="14"/>
    </row>
    <row r="1061" spans="1:27" hidden="1">
      <c r="A1061" s="1">
        <v>9296500</v>
      </c>
      <c r="B1061" s="1" t="s">
        <v>101</v>
      </c>
      <c r="C1061" t="s">
        <v>1810</v>
      </c>
      <c r="E1061" s="2">
        <v>3504000206001</v>
      </c>
      <c r="F1061" s="1" t="s">
        <v>29</v>
      </c>
      <c r="G1061" s="1" t="s">
        <v>53</v>
      </c>
      <c r="H1061" s="1" t="s">
        <v>585</v>
      </c>
      <c r="I1061" s="1" t="s">
        <v>586</v>
      </c>
      <c r="J1061" s="1" t="s">
        <v>46</v>
      </c>
      <c r="K1061" t="s">
        <v>34</v>
      </c>
      <c r="M1061" s="1" t="s">
        <v>35</v>
      </c>
      <c r="N1061" s="1">
        <v>42318949</v>
      </c>
      <c r="O1061" s="1" t="s">
        <v>105</v>
      </c>
      <c r="P1061" s="186">
        <v>44932.433541666665</v>
      </c>
      <c r="R1061" s="1" t="s">
        <v>38</v>
      </c>
      <c r="T1061" s="1" t="s">
        <v>74</v>
      </c>
      <c r="U1061" s="186">
        <v>44932.75</v>
      </c>
      <c r="V1061" s="1" t="s">
        <v>41</v>
      </c>
      <c r="W1061" s="1" t="s">
        <v>49</v>
      </c>
      <c r="Z1061" s="14"/>
      <c r="AA1061" s="14"/>
    </row>
    <row r="1062" spans="1:27" hidden="1">
      <c r="A1062" s="1">
        <v>9296499</v>
      </c>
      <c r="B1062" s="1" t="s">
        <v>101</v>
      </c>
      <c r="C1062" t="s">
        <v>1810</v>
      </c>
      <c r="E1062" s="2">
        <v>3503000206001</v>
      </c>
      <c r="F1062" s="1" t="s">
        <v>29</v>
      </c>
      <c r="G1062" s="1" t="s">
        <v>53</v>
      </c>
      <c r="H1062" s="1" t="s">
        <v>398</v>
      </c>
      <c r="I1062" s="1" t="s">
        <v>399</v>
      </c>
      <c r="J1062" s="1" t="s">
        <v>46</v>
      </c>
      <c r="K1062" t="s">
        <v>34</v>
      </c>
      <c r="M1062" s="1" t="s">
        <v>35</v>
      </c>
      <c r="N1062" s="1">
        <v>42318949</v>
      </c>
      <c r="O1062" s="1" t="s">
        <v>105</v>
      </c>
      <c r="P1062" s="186">
        <v>44932.433541666665</v>
      </c>
      <c r="R1062" s="1" t="s">
        <v>38</v>
      </c>
      <c r="T1062" s="1" t="s">
        <v>74</v>
      </c>
      <c r="U1062" s="186">
        <v>44932.75</v>
      </c>
      <c r="V1062" s="1" t="s">
        <v>41</v>
      </c>
      <c r="W1062" s="1" t="s">
        <v>49</v>
      </c>
      <c r="Z1062" s="14"/>
      <c r="AA1062" s="14"/>
    </row>
    <row r="1063" spans="1:27" hidden="1">
      <c r="A1063" s="1">
        <v>9296455</v>
      </c>
      <c r="B1063" s="1" t="s">
        <v>101</v>
      </c>
      <c r="C1063" t="s">
        <v>1810</v>
      </c>
      <c r="E1063" s="2">
        <v>3434000206001</v>
      </c>
      <c r="F1063" s="1" t="s">
        <v>29</v>
      </c>
      <c r="G1063" s="1" t="s">
        <v>53</v>
      </c>
      <c r="H1063" s="1" t="s">
        <v>1825</v>
      </c>
      <c r="I1063" s="1" t="s">
        <v>1826</v>
      </c>
      <c r="J1063" s="1" t="s">
        <v>46</v>
      </c>
      <c r="K1063" t="s">
        <v>34</v>
      </c>
      <c r="M1063" s="1" t="s">
        <v>35</v>
      </c>
      <c r="N1063" s="1">
        <v>42318949</v>
      </c>
      <c r="O1063" s="1" t="s">
        <v>105</v>
      </c>
      <c r="P1063" s="186">
        <v>44932.433472222219</v>
      </c>
      <c r="R1063" s="1" t="s">
        <v>38</v>
      </c>
      <c r="T1063" s="1" t="s">
        <v>74</v>
      </c>
      <c r="U1063" s="186">
        <v>44932.75</v>
      </c>
      <c r="V1063" s="1" t="s">
        <v>41</v>
      </c>
      <c r="W1063" s="1" t="s">
        <v>49</v>
      </c>
      <c r="Z1063" s="14"/>
      <c r="AA1063" s="14"/>
    </row>
    <row r="1064" spans="1:27" hidden="1">
      <c r="A1064" s="1">
        <v>9296322</v>
      </c>
      <c r="B1064" s="1" t="s">
        <v>101</v>
      </c>
      <c r="C1064" t="s">
        <v>1810</v>
      </c>
      <c r="E1064" s="2">
        <v>3258000206001</v>
      </c>
      <c r="F1064" s="1" t="s">
        <v>29</v>
      </c>
      <c r="G1064" s="1" t="s">
        <v>53</v>
      </c>
      <c r="H1064" s="1" t="s">
        <v>321</v>
      </c>
      <c r="I1064" s="1" t="s">
        <v>322</v>
      </c>
      <c r="J1064" s="1" t="s">
        <v>46</v>
      </c>
      <c r="K1064" t="s">
        <v>34</v>
      </c>
      <c r="M1064" s="1" t="s">
        <v>35</v>
      </c>
      <c r="N1064" s="1">
        <v>42318949</v>
      </c>
      <c r="O1064" s="1" t="s">
        <v>105</v>
      </c>
      <c r="P1064" s="186">
        <v>44932.433171296296</v>
      </c>
      <c r="R1064" s="1" t="s">
        <v>38</v>
      </c>
      <c r="T1064" s="1" t="s">
        <v>74</v>
      </c>
      <c r="U1064" s="186">
        <v>44932.75</v>
      </c>
      <c r="V1064" s="1" t="s">
        <v>41</v>
      </c>
      <c r="W1064" s="1" t="s">
        <v>49</v>
      </c>
      <c r="Z1064" s="14"/>
      <c r="AA1064" s="14"/>
    </row>
    <row r="1065" spans="1:27" hidden="1">
      <c r="A1065" s="1">
        <v>9296314</v>
      </c>
      <c r="B1065" s="1" t="s">
        <v>101</v>
      </c>
      <c r="C1065" t="s">
        <v>1810</v>
      </c>
      <c r="E1065" s="2">
        <v>3250000206001</v>
      </c>
      <c r="F1065" s="1" t="s">
        <v>29</v>
      </c>
      <c r="G1065" s="1" t="s">
        <v>53</v>
      </c>
      <c r="H1065" s="1" t="s">
        <v>371</v>
      </c>
      <c r="I1065" s="1" t="s">
        <v>372</v>
      </c>
      <c r="J1065" s="1" t="s">
        <v>46</v>
      </c>
      <c r="K1065" t="s">
        <v>34</v>
      </c>
      <c r="M1065" s="1" t="s">
        <v>35</v>
      </c>
      <c r="N1065" s="1">
        <v>42318949</v>
      </c>
      <c r="O1065" s="1" t="s">
        <v>105</v>
      </c>
      <c r="P1065" s="186">
        <v>44932.433159722219</v>
      </c>
      <c r="R1065" s="1" t="s">
        <v>38</v>
      </c>
      <c r="T1065" s="1" t="s">
        <v>74</v>
      </c>
      <c r="U1065" s="186">
        <v>44932.75</v>
      </c>
      <c r="V1065" s="1" t="s">
        <v>41</v>
      </c>
      <c r="W1065" s="1" t="s">
        <v>49</v>
      </c>
      <c r="Z1065" s="14"/>
      <c r="AA1065" s="14"/>
    </row>
    <row r="1066" spans="1:27" hidden="1">
      <c r="A1066" s="1">
        <v>9296309</v>
      </c>
      <c r="B1066" s="1" t="s">
        <v>101</v>
      </c>
      <c r="C1066" t="s">
        <v>1810</v>
      </c>
      <c r="E1066" s="2">
        <v>3243000206001</v>
      </c>
      <c r="F1066" s="1" t="s">
        <v>29</v>
      </c>
      <c r="G1066" s="1" t="s">
        <v>53</v>
      </c>
      <c r="H1066" s="1" t="s">
        <v>282</v>
      </c>
      <c r="I1066" s="1" t="s">
        <v>283</v>
      </c>
      <c r="J1066" s="1" t="s">
        <v>46</v>
      </c>
      <c r="K1066" t="s">
        <v>34</v>
      </c>
      <c r="M1066" s="1" t="s">
        <v>35</v>
      </c>
      <c r="N1066" s="1">
        <v>42318949</v>
      </c>
      <c r="O1066" s="1" t="s">
        <v>105</v>
      </c>
      <c r="P1066" s="186">
        <v>44932.433159722219</v>
      </c>
      <c r="R1066" s="1" t="s">
        <v>38</v>
      </c>
      <c r="T1066" s="1" t="s">
        <v>74</v>
      </c>
      <c r="U1066" s="186">
        <v>44932.75</v>
      </c>
      <c r="V1066" s="1" t="s">
        <v>41</v>
      </c>
      <c r="W1066" s="1" t="s">
        <v>49</v>
      </c>
      <c r="Z1066" s="14"/>
      <c r="AA1066" s="14"/>
    </row>
    <row r="1067" spans="1:27" hidden="1">
      <c r="A1067" s="1">
        <v>9296308</v>
      </c>
      <c r="B1067" s="1" t="s">
        <v>101</v>
      </c>
      <c r="C1067" t="s">
        <v>1810</v>
      </c>
      <c r="E1067" s="2">
        <v>3242000206001</v>
      </c>
      <c r="F1067" s="1" t="s">
        <v>29</v>
      </c>
      <c r="G1067" s="1" t="s">
        <v>53</v>
      </c>
      <c r="H1067" s="1" t="s">
        <v>461</v>
      </c>
      <c r="I1067" s="1" t="s">
        <v>462</v>
      </c>
      <c r="J1067" s="1" t="s">
        <v>46</v>
      </c>
      <c r="K1067" t="s">
        <v>34</v>
      </c>
      <c r="M1067" s="1" t="s">
        <v>35</v>
      </c>
      <c r="N1067" s="1">
        <v>42318949</v>
      </c>
      <c r="O1067" s="1" t="s">
        <v>105</v>
      </c>
      <c r="P1067" s="186">
        <v>44932.433148148149</v>
      </c>
      <c r="R1067" s="1" t="s">
        <v>38</v>
      </c>
      <c r="T1067" s="1" t="s">
        <v>74</v>
      </c>
      <c r="U1067" s="186">
        <v>44932.75</v>
      </c>
      <c r="V1067" s="1" t="s">
        <v>41</v>
      </c>
      <c r="W1067" s="1" t="s">
        <v>49</v>
      </c>
      <c r="Z1067" s="14"/>
      <c r="AA1067" s="14"/>
    </row>
    <row r="1068" spans="1:27" hidden="1">
      <c r="A1068" s="1">
        <v>9296305</v>
      </c>
      <c r="B1068" s="1" t="s">
        <v>101</v>
      </c>
      <c r="C1068" t="s">
        <v>1810</v>
      </c>
      <c r="E1068" s="2">
        <v>3237000206001</v>
      </c>
      <c r="F1068" s="1" t="s">
        <v>29</v>
      </c>
      <c r="G1068" s="1" t="s">
        <v>53</v>
      </c>
      <c r="H1068" s="1" t="s">
        <v>287</v>
      </c>
      <c r="I1068" s="1" t="s">
        <v>288</v>
      </c>
      <c r="J1068" s="1" t="s">
        <v>46</v>
      </c>
      <c r="K1068" t="s">
        <v>34</v>
      </c>
      <c r="M1068" s="1" t="s">
        <v>35</v>
      </c>
      <c r="N1068" s="1">
        <v>42318949</v>
      </c>
      <c r="O1068" s="1" t="s">
        <v>105</v>
      </c>
      <c r="P1068" s="186">
        <v>44932.433148148149</v>
      </c>
      <c r="R1068" s="1" t="s">
        <v>38</v>
      </c>
      <c r="T1068" s="1" t="s">
        <v>74</v>
      </c>
      <c r="U1068" s="186">
        <v>44932.75</v>
      </c>
      <c r="V1068" s="1" t="s">
        <v>41</v>
      </c>
      <c r="W1068" s="1" t="s">
        <v>49</v>
      </c>
      <c r="Z1068" s="14"/>
      <c r="AA1068" s="14"/>
    </row>
    <row r="1069" spans="1:27" hidden="1">
      <c r="A1069" s="1">
        <v>9296304</v>
      </c>
      <c r="B1069" s="1" t="s">
        <v>101</v>
      </c>
      <c r="C1069" t="s">
        <v>1810</v>
      </c>
      <c r="E1069" s="2">
        <v>3234000206001</v>
      </c>
      <c r="F1069" s="1" t="s">
        <v>29</v>
      </c>
      <c r="G1069" s="1" t="s">
        <v>53</v>
      </c>
      <c r="H1069" s="1" t="s">
        <v>1830</v>
      </c>
      <c r="I1069" s="1" t="s">
        <v>1831</v>
      </c>
      <c r="J1069" s="1" t="s">
        <v>46</v>
      </c>
      <c r="K1069" t="s">
        <v>34</v>
      </c>
      <c r="M1069" s="1" t="s">
        <v>35</v>
      </c>
      <c r="N1069" s="1">
        <v>42318949</v>
      </c>
      <c r="O1069" s="1" t="s">
        <v>105</v>
      </c>
      <c r="P1069" s="186">
        <v>44932.433148148149</v>
      </c>
      <c r="R1069" s="1" t="s">
        <v>38</v>
      </c>
      <c r="T1069" s="1" t="s">
        <v>74</v>
      </c>
      <c r="U1069" s="186">
        <v>44932.75</v>
      </c>
      <c r="V1069" s="1" t="s">
        <v>41</v>
      </c>
      <c r="W1069" s="1" t="s">
        <v>49</v>
      </c>
      <c r="Z1069" s="14"/>
      <c r="AA1069" s="14"/>
    </row>
    <row r="1070" spans="1:27" hidden="1">
      <c r="A1070" s="1">
        <v>9296208</v>
      </c>
      <c r="B1070" s="1" t="s">
        <v>101</v>
      </c>
      <c r="C1070" t="s">
        <v>1810</v>
      </c>
      <c r="E1070" s="2">
        <v>3108010206001</v>
      </c>
      <c r="F1070" s="1" t="s">
        <v>29</v>
      </c>
      <c r="G1070" s="1" t="s">
        <v>53</v>
      </c>
      <c r="H1070" s="1" t="s">
        <v>503</v>
      </c>
      <c r="I1070" s="1" t="s">
        <v>504</v>
      </c>
      <c r="J1070" s="1" t="s">
        <v>46</v>
      </c>
      <c r="K1070" t="s">
        <v>34</v>
      </c>
      <c r="M1070" s="1" t="s">
        <v>35</v>
      </c>
      <c r="N1070" s="1">
        <v>42318949</v>
      </c>
      <c r="O1070" s="1" t="s">
        <v>105</v>
      </c>
      <c r="P1070" s="186">
        <v>44932.432997685188</v>
      </c>
      <c r="R1070" s="1" t="s">
        <v>38</v>
      </c>
      <c r="T1070" s="1" t="s">
        <v>74</v>
      </c>
      <c r="U1070" s="186">
        <v>44932.75</v>
      </c>
      <c r="V1070" s="1" t="s">
        <v>41</v>
      </c>
      <c r="W1070" s="1" t="s">
        <v>49</v>
      </c>
      <c r="Z1070" s="14"/>
      <c r="AA1070" s="14"/>
    </row>
    <row r="1071" spans="1:27" hidden="1">
      <c r="A1071" s="1">
        <v>9296118</v>
      </c>
      <c r="B1071" s="1" t="s">
        <v>101</v>
      </c>
      <c r="C1071" t="s">
        <v>1810</v>
      </c>
      <c r="E1071" s="2">
        <v>2988000206001</v>
      </c>
      <c r="F1071" s="1" t="s">
        <v>29</v>
      </c>
      <c r="G1071" s="1" t="s">
        <v>53</v>
      </c>
      <c r="H1071" s="1" t="s">
        <v>536</v>
      </c>
      <c r="I1071" s="1" t="s">
        <v>537</v>
      </c>
      <c r="J1071" s="1" t="s">
        <v>46</v>
      </c>
      <c r="K1071" t="s">
        <v>34</v>
      </c>
      <c r="M1071" s="1" t="s">
        <v>35</v>
      </c>
      <c r="N1071" s="1">
        <v>42318949</v>
      </c>
      <c r="O1071" s="1" t="s">
        <v>105</v>
      </c>
      <c r="P1071" s="186">
        <v>44932.432847222219</v>
      </c>
      <c r="R1071" s="1" t="s">
        <v>38</v>
      </c>
      <c r="T1071" s="1" t="s">
        <v>74</v>
      </c>
      <c r="U1071" s="186">
        <v>44932.75</v>
      </c>
      <c r="V1071" s="1" t="s">
        <v>41</v>
      </c>
      <c r="W1071" s="1" t="s">
        <v>49</v>
      </c>
      <c r="Z1071" s="14"/>
      <c r="AA1071" s="14"/>
    </row>
    <row r="1072" spans="1:27" hidden="1">
      <c r="A1072" s="1">
        <v>9296035</v>
      </c>
      <c r="B1072" s="1" t="s">
        <v>101</v>
      </c>
      <c r="C1072" t="s">
        <v>1810</v>
      </c>
      <c r="E1072" s="2">
        <v>2889000206001</v>
      </c>
      <c r="F1072" s="1" t="s">
        <v>29</v>
      </c>
      <c r="G1072" s="1" t="s">
        <v>53</v>
      </c>
      <c r="H1072" s="1" t="s">
        <v>418</v>
      </c>
      <c r="I1072" s="1" t="s">
        <v>419</v>
      </c>
      <c r="J1072" s="1" t="s">
        <v>46</v>
      </c>
      <c r="K1072" t="s">
        <v>34</v>
      </c>
      <c r="M1072" s="1" t="s">
        <v>35</v>
      </c>
      <c r="N1072" s="1">
        <v>42318949</v>
      </c>
      <c r="O1072" s="1" t="s">
        <v>105</v>
      </c>
      <c r="P1072" s="186">
        <v>44932.432708333334</v>
      </c>
      <c r="R1072" s="1" t="s">
        <v>38</v>
      </c>
      <c r="T1072" s="1" t="s">
        <v>74</v>
      </c>
      <c r="U1072" s="186">
        <v>44932.75</v>
      </c>
      <c r="V1072" s="1" t="s">
        <v>41</v>
      </c>
      <c r="W1072" s="1" t="s">
        <v>49</v>
      </c>
      <c r="Z1072" s="14"/>
      <c r="AA1072" s="14"/>
    </row>
    <row r="1073" spans="1:27" hidden="1">
      <c r="A1073" s="1">
        <v>9296006</v>
      </c>
      <c r="B1073" s="1" t="s">
        <v>101</v>
      </c>
      <c r="C1073" t="s">
        <v>1810</v>
      </c>
      <c r="E1073" s="2">
        <v>2855000206001</v>
      </c>
      <c r="F1073" s="1" t="s">
        <v>29</v>
      </c>
      <c r="G1073" s="1" t="s">
        <v>53</v>
      </c>
      <c r="H1073" s="1" t="s">
        <v>249</v>
      </c>
      <c r="I1073" s="1" t="s">
        <v>250</v>
      </c>
      <c r="J1073" s="1" t="s">
        <v>56</v>
      </c>
      <c r="K1073" t="s">
        <v>34</v>
      </c>
      <c r="M1073" s="1" t="s">
        <v>35</v>
      </c>
      <c r="N1073" s="1">
        <v>42318949</v>
      </c>
      <c r="O1073" s="1" t="s">
        <v>105</v>
      </c>
      <c r="P1073" s="186">
        <v>44932.432662037034</v>
      </c>
      <c r="R1073" s="1" t="s">
        <v>38</v>
      </c>
      <c r="T1073" s="1" t="s">
        <v>74</v>
      </c>
      <c r="U1073" s="186">
        <v>44932.75</v>
      </c>
      <c r="V1073" s="1" t="s">
        <v>41</v>
      </c>
      <c r="W1073" s="1" t="s">
        <v>49</v>
      </c>
      <c r="Z1073" s="14"/>
      <c r="AA1073" s="14"/>
    </row>
    <row r="1074" spans="1:27" hidden="1">
      <c r="A1074" s="1">
        <v>9295986</v>
      </c>
      <c r="B1074" s="1" t="s">
        <v>101</v>
      </c>
      <c r="C1074" t="s">
        <v>1810</v>
      </c>
      <c r="E1074" s="2">
        <v>2830000206001</v>
      </c>
      <c r="F1074" s="1" t="s">
        <v>29</v>
      </c>
      <c r="G1074" s="1" t="s">
        <v>53</v>
      </c>
      <c r="H1074" s="1" t="s">
        <v>448</v>
      </c>
      <c r="I1074" s="1" t="s">
        <v>449</v>
      </c>
      <c r="J1074" s="1" t="s">
        <v>33</v>
      </c>
      <c r="K1074" t="s">
        <v>34</v>
      </c>
      <c r="M1074" s="1" t="s">
        <v>35</v>
      </c>
      <c r="N1074" s="1">
        <v>42318949</v>
      </c>
      <c r="O1074" s="1" t="s">
        <v>105</v>
      </c>
      <c r="P1074" s="186">
        <v>44932.432638888888</v>
      </c>
      <c r="R1074" s="1" t="s">
        <v>38</v>
      </c>
      <c r="T1074" s="1" t="s">
        <v>74</v>
      </c>
      <c r="U1074" s="186">
        <v>44932.75</v>
      </c>
      <c r="V1074" s="1" t="s">
        <v>41</v>
      </c>
      <c r="W1074" s="1" t="s">
        <v>42</v>
      </c>
      <c r="Z1074" s="14"/>
      <c r="AA1074" s="14"/>
    </row>
    <row r="1075" spans="1:27" hidden="1">
      <c r="A1075" s="1">
        <v>9295960</v>
      </c>
      <c r="B1075" s="1" t="s">
        <v>101</v>
      </c>
      <c r="C1075" t="s">
        <v>1810</v>
      </c>
      <c r="E1075" s="2">
        <v>2802080206001</v>
      </c>
      <c r="F1075" s="1" t="s">
        <v>29</v>
      </c>
      <c r="G1075" s="1" t="s">
        <v>53</v>
      </c>
      <c r="H1075" s="1" t="s">
        <v>1834</v>
      </c>
      <c r="I1075" s="1" t="s">
        <v>500</v>
      </c>
      <c r="J1075" s="1" t="s">
        <v>46</v>
      </c>
      <c r="K1075" t="s">
        <v>34</v>
      </c>
      <c r="M1075" s="1" t="s">
        <v>35</v>
      </c>
      <c r="N1075" s="1">
        <v>42318949</v>
      </c>
      <c r="O1075" s="1" t="s">
        <v>105</v>
      </c>
      <c r="P1075" s="186">
        <v>44932.432604166665</v>
      </c>
      <c r="R1075" s="1" t="s">
        <v>38</v>
      </c>
      <c r="T1075" s="1" t="s">
        <v>74</v>
      </c>
      <c r="U1075" s="186">
        <v>44932.75</v>
      </c>
      <c r="V1075" s="1" t="s">
        <v>41</v>
      </c>
      <c r="W1075" s="1" t="s">
        <v>49</v>
      </c>
      <c r="Z1075" s="14"/>
      <c r="AA1075" s="14"/>
    </row>
    <row r="1076" spans="1:27" hidden="1">
      <c r="A1076" s="1">
        <v>9295959</v>
      </c>
      <c r="B1076" s="1" t="s">
        <v>101</v>
      </c>
      <c r="C1076" t="s">
        <v>1810</v>
      </c>
      <c r="E1076" s="2">
        <v>2802000206001</v>
      </c>
      <c r="F1076" s="1" t="s">
        <v>29</v>
      </c>
      <c r="G1076" s="1" t="s">
        <v>53</v>
      </c>
      <c r="H1076" s="1" t="s">
        <v>388</v>
      </c>
      <c r="I1076" s="1" t="s">
        <v>389</v>
      </c>
      <c r="J1076" s="1" t="s">
        <v>46</v>
      </c>
      <c r="K1076" t="s">
        <v>34</v>
      </c>
      <c r="M1076" s="1" t="s">
        <v>35</v>
      </c>
      <c r="N1076" s="1">
        <v>42318949</v>
      </c>
      <c r="O1076" s="1" t="s">
        <v>105</v>
      </c>
      <c r="P1076" s="186">
        <v>44932.432592592595</v>
      </c>
      <c r="R1076" s="1" t="s">
        <v>38</v>
      </c>
      <c r="T1076" s="1" t="s">
        <v>74</v>
      </c>
      <c r="U1076" s="186">
        <v>44932.75</v>
      </c>
      <c r="V1076" s="1" t="s">
        <v>41</v>
      </c>
      <c r="W1076" s="1" t="s">
        <v>49</v>
      </c>
      <c r="Z1076" s="14"/>
      <c r="AA1076" s="14"/>
    </row>
    <row r="1077" spans="1:27" hidden="1">
      <c r="A1077" s="1">
        <v>9295897</v>
      </c>
      <c r="B1077" s="1" t="s">
        <v>101</v>
      </c>
      <c r="C1077" t="s">
        <v>1810</v>
      </c>
      <c r="E1077" s="2">
        <v>2737000206001</v>
      </c>
      <c r="F1077" s="1" t="s">
        <v>29</v>
      </c>
      <c r="G1077" s="1" t="s">
        <v>53</v>
      </c>
      <c r="H1077" s="1" t="s">
        <v>311</v>
      </c>
      <c r="I1077" s="1" t="s">
        <v>312</v>
      </c>
      <c r="J1077" s="1" t="s">
        <v>90</v>
      </c>
      <c r="K1077" t="s">
        <v>34</v>
      </c>
      <c r="M1077" s="1" t="s">
        <v>35</v>
      </c>
      <c r="N1077" s="1">
        <v>42318949</v>
      </c>
      <c r="O1077" s="1" t="s">
        <v>105</v>
      </c>
      <c r="P1077" s="186">
        <v>44932.432511574072</v>
      </c>
      <c r="R1077" s="1" t="s">
        <v>38</v>
      </c>
      <c r="T1077" s="1" t="s">
        <v>74</v>
      </c>
      <c r="U1077" s="186">
        <v>44932.75</v>
      </c>
      <c r="V1077" s="1" t="s">
        <v>41</v>
      </c>
      <c r="W1077" s="1" t="s">
        <v>49</v>
      </c>
      <c r="Z1077" s="14"/>
      <c r="AA1077" s="14"/>
    </row>
    <row r="1078" spans="1:27" hidden="1">
      <c r="A1078" s="1">
        <v>9295858</v>
      </c>
      <c r="B1078" s="1" t="s">
        <v>101</v>
      </c>
      <c r="C1078" t="s">
        <v>1810</v>
      </c>
      <c r="E1078" s="2">
        <v>2693000206001</v>
      </c>
      <c r="F1078" s="1" t="s">
        <v>29</v>
      </c>
      <c r="G1078" s="1" t="s">
        <v>53</v>
      </c>
      <c r="H1078" s="1" t="s">
        <v>253</v>
      </c>
      <c r="I1078" s="1" t="s">
        <v>254</v>
      </c>
      <c r="J1078" s="1" t="s">
        <v>56</v>
      </c>
      <c r="K1078" t="s">
        <v>34</v>
      </c>
      <c r="M1078" s="1" t="s">
        <v>35</v>
      </c>
      <c r="N1078" s="1">
        <v>42318949</v>
      </c>
      <c r="O1078" s="1" t="s">
        <v>105</v>
      </c>
      <c r="P1078" s="186">
        <v>44932.432453703703</v>
      </c>
      <c r="R1078" s="1" t="s">
        <v>38</v>
      </c>
      <c r="T1078" s="1" t="s">
        <v>74</v>
      </c>
      <c r="U1078" s="186">
        <v>44932.75</v>
      </c>
      <c r="V1078" s="1" t="s">
        <v>41</v>
      </c>
      <c r="W1078" s="1" t="s">
        <v>49</v>
      </c>
      <c r="Z1078" s="14"/>
      <c r="AA1078" s="14"/>
    </row>
    <row r="1079" spans="1:27" hidden="1">
      <c r="A1079" s="1">
        <v>9295849</v>
      </c>
      <c r="B1079" s="1" t="s">
        <v>101</v>
      </c>
      <c r="C1079" t="s">
        <v>1810</v>
      </c>
      <c r="E1079" s="2">
        <v>2683000206001</v>
      </c>
      <c r="F1079" s="1" t="s">
        <v>29</v>
      </c>
      <c r="G1079" s="1" t="s">
        <v>53</v>
      </c>
      <c r="H1079" s="1" t="s">
        <v>276</v>
      </c>
      <c r="I1079" s="1" t="s">
        <v>277</v>
      </c>
      <c r="J1079" s="1" t="s">
        <v>90</v>
      </c>
      <c r="K1079" t="s">
        <v>34</v>
      </c>
      <c r="M1079" s="1" t="s">
        <v>35</v>
      </c>
      <c r="N1079" s="1">
        <v>42318949</v>
      </c>
      <c r="O1079" s="1" t="s">
        <v>105</v>
      </c>
      <c r="P1079" s="186">
        <v>44932.432442129626</v>
      </c>
      <c r="R1079" s="1" t="s">
        <v>38</v>
      </c>
      <c r="T1079" s="1" t="s">
        <v>74</v>
      </c>
      <c r="U1079" s="186">
        <v>44932.75</v>
      </c>
      <c r="V1079" s="1" t="s">
        <v>41</v>
      </c>
      <c r="W1079" s="1" t="s">
        <v>49</v>
      </c>
      <c r="Z1079" s="14"/>
      <c r="AA1079" s="14"/>
    </row>
    <row r="1080" spans="1:27" hidden="1">
      <c r="A1080" s="1">
        <v>9295845</v>
      </c>
      <c r="B1080" s="1" t="s">
        <v>101</v>
      </c>
      <c r="C1080" t="s">
        <v>1810</v>
      </c>
      <c r="E1080" s="2">
        <v>2678000206001</v>
      </c>
      <c r="F1080" s="1" t="s">
        <v>29</v>
      </c>
      <c r="G1080" s="1" t="s">
        <v>53</v>
      </c>
      <c r="H1080" s="1" t="s">
        <v>992</v>
      </c>
      <c r="I1080" s="1" t="s">
        <v>993</v>
      </c>
      <c r="J1080" s="1" t="s">
        <v>33</v>
      </c>
      <c r="K1080" t="s">
        <v>34</v>
      </c>
      <c r="M1080" s="1" t="s">
        <v>35</v>
      </c>
      <c r="N1080" s="1">
        <v>42318949</v>
      </c>
      <c r="O1080" s="1" t="s">
        <v>105</v>
      </c>
      <c r="P1080" s="186">
        <v>44932.432442129626</v>
      </c>
      <c r="R1080" s="1" t="s">
        <v>38</v>
      </c>
      <c r="T1080" s="1" t="s">
        <v>74</v>
      </c>
      <c r="U1080" s="186">
        <v>44932.75</v>
      </c>
      <c r="V1080" s="1" t="s">
        <v>41</v>
      </c>
      <c r="W1080" s="1" t="s">
        <v>42</v>
      </c>
      <c r="Z1080" s="14"/>
      <c r="AA1080" s="14"/>
    </row>
    <row r="1081" spans="1:27" hidden="1">
      <c r="A1081" s="1">
        <v>9295840</v>
      </c>
      <c r="B1081" s="1" t="s">
        <v>101</v>
      </c>
      <c r="C1081" t="s">
        <v>1810</v>
      </c>
      <c r="E1081" s="2">
        <v>2669000206001</v>
      </c>
      <c r="F1081" s="1" t="s">
        <v>29</v>
      </c>
      <c r="G1081" s="1" t="s">
        <v>53</v>
      </c>
      <c r="H1081" s="1" t="s">
        <v>561</v>
      </c>
      <c r="I1081" s="1" t="s">
        <v>562</v>
      </c>
      <c r="J1081" s="1" t="s">
        <v>110</v>
      </c>
      <c r="K1081" t="s">
        <v>34</v>
      </c>
      <c r="M1081" s="1" t="s">
        <v>35</v>
      </c>
      <c r="N1081" s="1">
        <v>42318949</v>
      </c>
      <c r="O1081" s="1" t="s">
        <v>36</v>
      </c>
      <c r="P1081" s="186">
        <v>44932.432430555556</v>
      </c>
      <c r="R1081" s="1" t="s">
        <v>38</v>
      </c>
      <c r="T1081" s="1" t="s">
        <v>74</v>
      </c>
      <c r="U1081" s="186">
        <v>44932.75</v>
      </c>
      <c r="V1081" s="1" t="s">
        <v>41</v>
      </c>
      <c r="W1081" s="1" t="s">
        <v>49</v>
      </c>
      <c r="Z1081" s="14"/>
      <c r="AA1081" s="14"/>
    </row>
    <row r="1082" spans="1:27" hidden="1">
      <c r="A1082" s="1">
        <v>9295800</v>
      </c>
      <c r="B1082" s="1" t="s">
        <v>101</v>
      </c>
      <c r="C1082" t="s">
        <v>1810</v>
      </c>
      <c r="E1082" s="2">
        <v>2625000206001</v>
      </c>
      <c r="F1082" s="1" t="s">
        <v>29</v>
      </c>
      <c r="G1082" s="1" t="s">
        <v>53</v>
      </c>
      <c r="H1082" s="1" t="s">
        <v>317</v>
      </c>
      <c r="I1082" s="1" t="s">
        <v>318</v>
      </c>
      <c r="J1082" s="1" t="s">
        <v>164</v>
      </c>
      <c r="K1082" t="s">
        <v>34</v>
      </c>
      <c r="M1082" s="1" t="s">
        <v>35</v>
      </c>
      <c r="N1082" s="1">
        <v>42318949</v>
      </c>
      <c r="O1082" s="1" t="s">
        <v>105</v>
      </c>
      <c r="P1082" s="186">
        <v>44932.432384259257</v>
      </c>
      <c r="R1082" s="1" t="s">
        <v>38</v>
      </c>
      <c r="T1082" s="1" t="s">
        <v>74</v>
      </c>
      <c r="U1082" s="186">
        <v>44932.75</v>
      </c>
      <c r="V1082" s="1" t="s">
        <v>41</v>
      </c>
      <c r="W1082" s="1" t="s">
        <v>49</v>
      </c>
      <c r="Z1082" s="14"/>
      <c r="AA1082" s="14"/>
    </row>
    <row r="1083" spans="1:27" hidden="1">
      <c r="A1083" s="1">
        <v>9295771</v>
      </c>
      <c r="B1083" s="1" t="s">
        <v>101</v>
      </c>
      <c r="C1083" t="s">
        <v>1810</v>
      </c>
      <c r="E1083" s="2">
        <v>2590000206001</v>
      </c>
      <c r="F1083" s="1" t="s">
        <v>29</v>
      </c>
      <c r="G1083" s="1" t="s">
        <v>53</v>
      </c>
      <c r="H1083" s="1" t="s">
        <v>394</v>
      </c>
      <c r="I1083" s="1" t="s">
        <v>395</v>
      </c>
      <c r="J1083" s="1" t="s">
        <v>148</v>
      </c>
      <c r="K1083" t="s">
        <v>34</v>
      </c>
      <c r="M1083" s="1" t="s">
        <v>35</v>
      </c>
      <c r="N1083" s="1">
        <v>42318949</v>
      </c>
      <c r="O1083" s="1" t="s">
        <v>105</v>
      </c>
      <c r="P1083" s="186">
        <v>44932.432337962964</v>
      </c>
      <c r="R1083" s="1" t="s">
        <v>38</v>
      </c>
      <c r="T1083" s="1" t="s">
        <v>74</v>
      </c>
      <c r="U1083" s="186">
        <v>44932.75</v>
      </c>
      <c r="V1083" s="1" t="s">
        <v>41</v>
      </c>
      <c r="W1083" s="1" t="s">
        <v>49</v>
      </c>
      <c r="Z1083" s="14"/>
      <c r="AA1083" s="14"/>
    </row>
    <row r="1084" spans="1:27" hidden="1">
      <c r="A1084" s="1">
        <v>9295742</v>
      </c>
      <c r="B1084" s="1" t="s">
        <v>101</v>
      </c>
      <c r="C1084" t="s">
        <v>1810</v>
      </c>
      <c r="E1084" s="2">
        <v>2564000206001</v>
      </c>
      <c r="F1084" s="1" t="s">
        <v>29</v>
      </c>
      <c r="G1084" s="1" t="s">
        <v>53</v>
      </c>
      <c r="H1084" s="1" t="s">
        <v>255</v>
      </c>
      <c r="I1084" s="1" t="s">
        <v>256</v>
      </c>
      <c r="J1084" s="1" t="s">
        <v>164</v>
      </c>
      <c r="K1084" t="s">
        <v>34</v>
      </c>
      <c r="M1084" s="1" t="s">
        <v>35</v>
      </c>
      <c r="N1084" s="1">
        <v>42318949</v>
      </c>
      <c r="O1084" s="1" t="s">
        <v>105</v>
      </c>
      <c r="P1084" s="186">
        <v>44932.432303240741</v>
      </c>
      <c r="R1084" s="1" t="s">
        <v>38</v>
      </c>
      <c r="T1084" s="1" t="s">
        <v>74</v>
      </c>
      <c r="U1084" s="186">
        <v>44932.75</v>
      </c>
      <c r="V1084" s="1" t="s">
        <v>41</v>
      </c>
      <c r="W1084" s="1" t="s">
        <v>49</v>
      </c>
      <c r="Z1084" s="14"/>
      <c r="AA1084" s="14"/>
    </row>
    <row r="1085" spans="1:27" hidden="1">
      <c r="A1085" s="1">
        <v>9295739</v>
      </c>
      <c r="B1085" s="1" t="s">
        <v>101</v>
      </c>
      <c r="C1085" t="s">
        <v>1810</v>
      </c>
      <c r="E1085" s="2">
        <v>2559000206001</v>
      </c>
      <c r="F1085" s="1" t="s">
        <v>29</v>
      </c>
      <c r="G1085" s="1" t="s">
        <v>53</v>
      </c>
      <c r="H1085" s="1" t="s">
        <v>259</v>
      </c>
      <c r="I1085" s="1" t="s">
        <v>260</v>
      </c>
      <c r="J1085" s="1" t="s">
        <v>261</v>
      </c>
      <c r="K1085" t="s">
        <v>34</v>
      </c>
      <c r="M1085" s="1" t="s">
        <v>35</v>
      </c>
      <c r="N1085" s="1">
        <v>42318949</v>
      </c>
      <c r="O1085" s="1" t="s">
        <v>105</v>
      </c>
      <c r="P1085" s="186">
        <v>44932.432291666664</v>
      </c>
      <c r="R1085" s="1" t="s">
        <v>38</v>
      </c>
      <c r="T1085" s="1" t="s">
        <v>74</v>
      </c>
      <c r="U1085" s="186">
        <v>44932.75</v>
      </c>
      <c r="V1085" s="1" t="s">
        <v>41</v>
      </c>
      <c r="W1085" s="1" t="s">
        <v>49</v>
      </c>
      <c r="Z1085" s="14"/>
      <c r="AA1085" s="14"/>
    </row>
    <row r="1086" spans="1:27" hidden="1">
      <c r="A1086" s="1">
        <v>9295714</v>
      </c>
      <c r="B1086" s="1" t="s">
        <v>101</v>
      </c>
      <c r="C1086" t="s">
        <v>1810</v>
      </c>
      <c r="E1086" s="2">
        <v>2529000206001</v>
      </c>
      <c r="F1086" s="1" t="s">
        <v>29</v>
      </c>
      <c r="G1086" s="1" t="s">
        <v>53</v>
      </c>
      <c r="H1086" s="1" t="s">
        <v>355</v>
      </c>
      <c r="I1086" s="1" t="s">
        <v>356</v>
      </c>
      <c r="J1086" s="1" t="s">
        <v>56</v>
      </c>
      <c r="K1086" t="s">
        <v>34</v>
      </c>
      <c r="M1086" s="1" t="s">
        <v>35</v>
      </c>
      <c r="N1086" s="1">
        <v>42318949</v>
      </c>
      <c r="O1086" s="1" t="s">
        <v>105</v>
      </c>
      <c r="P1086" s="186">
        <v>44932.432256944441</v>
      </c>
      <c r="R1086" s="1" t="s">
        <v>38</v>
      </c>
      <c r="T1086" s="1" t="s">
        <v>74</v>
      </c>
      <c r="U1086" s="186">
        <v>44932.75</v>
      </c>
      <c r="V1086" s="1" t="s">
        <v>41</v>
      </c>
      <c r="W1086" s="1" t="s">
        <v>49</v>
      </c>
      <c r="Z1086" s="14"/>
      <c r="AA1086" s="14"/>
    </row>
    <row r="1087" spans="1:27" hidden="1">
      <c r="A1087" s="1">
        <v>9295672</v>
      </c>
      <c r="B1087" s="1" t="s">
        <v>101</v>
      </c>
      <c r="C1087" t="s">
        <v>1810</v>
      </c>
      <c r="E1087" s="2">
        <v>2473000206001</v>
      </c>
      <c r="F1087" s="1" t="s">
        <v>29</v>
      </c>
      <c r="G1087" s="1" t="s">
        <v>53</v>
      </c>
      <c r="H1087" s="1" t="s">
        <v>1459</v>
      </c>
      <c r="I1087" s="1" t="s">
        <v>1460</v>
      </c>
      <c r="J1087" s="1" t="s">
        <v>261</v>
      </c>
      <c r="K1087" t="s">
        <v>34</v>
      </c>
      <c r="M1087" s="1" t="s">
        <v>35</v>
      </c>
      <c r="N1087" s="1">
        <v>42318949</v>
      </c>
      <c r="O1087" s="1" t="s">
        <v>105</v>
      </c>
      <c r="P1087" s="186">
        <v>44932.432199074072</v>
      </c>
      <c r="R1087" s="1" t="s">
        <v>38</v>
      </c>
      <c r="T1087" s="1" t="s">
        <v>74</v>
      </c>
      <c r="U1087" s="186">
        <v>44932.75</v>
      </c>
      <c r="V1087" s="1" t="s">
        <v>41</v>
      </c>
      <c r="W1087" s="1" t="s">
        <v>49</v>
      </c>
      <c r="Z1087" s="14"/>
      <c r="AA1087" s="14"/>
    </row>
    <row r="1088" spans="1:27" hidden="1">
      <c r="A1088" s="1">
        <v>9295637</v>
      </c>
      <c r="B1088" s="1" t="s">
        <v>101</v>
      </c>
      <c r="C1088" t="s">
        <v>1810</v>
      </c>
      <c r="E1088" s="2">
        <v>2437000206001</v>
      </c>
      <c r="F1088" s="1" t="s">
        <v>29</v>
      </c>
      <c r="G1088" s="1" t="s">
        <v>53</v>
      </c>
      <c r="H1088" s="1" t="s">
        <v>416</v>
      </c>
      <c r="I1088" s="1" t="s">
        <v>417</v>
      </c>
      <c r="J1088" s="1" t="s">
        <v>211</v>
      </c>
      <c r="K1088" t="s">
        <v>34</v>
      </c>
      <c r="M1088" s="1" t="s">
        <v>35</v>
      </c>
      <c r="N1088" s="1">
        <v>42318949</v>
      </c>
      <c r="O1088" s="1" t="s">
        <v>105</v>
      </c>
      <c r="P1088" s="186">
        <v>44932.432141203702</v>
      </c>
      <c r="R1088" s="1" t="s">
        <v>38</v>
      </c>
      <c r="T1088" s="1" t="s">
        <v>74</v>
      </c>
      <c r="U1088" s="186">
        <v>44932.75</v>
      </c>
      <c r="V1088" s="1" t="s">
        <v>41</v>
      </c>
      <c r="W1088" s="1" t="s">
        <v>49</v>
      </c>
      <c r="Z1088" s="14"/>
      <c r="AA1088" s="14"/>
    </row>
    <row r="1089" spans="1:27" hidden="1">
      <c r="A1089" s="1">
        <v>9295622</v>
      </c>
      <c r="B1089" s="1" t="s">
        <v>101</v>
      </c>
      <c r="C1089" t="s">
        <v>1810</v>
      </c>
      <c r="E1089" s="2">
        <v>2422000206001</v>
      </c>
      <c r="F1089" s="1" t="s">
        <v>29</v>
      </c>
      <c r="G1089" s="1" t="s">
        <v>53</v>
      </c>
      <c r="H1089" s="1" t="s">
        <v>1844</v>
      </c>
      <c r="I1089" s="1" t="s">
        <v>1845</v>
      </c>
      <c r="J1089" s="1" t="s">
        <v>211</v>
      </c>
      <c r="K1089" t="s">
        <v>34</v>
      </c>
      <c r="M1089" s="1" t="s">
        <v>35</v>
      </c>
      <c r="N1089" s="1">
        <v>42318949</v>
      </c>
      <c r="O1089" s="1" t="s">
        <v>105</v>
      </c>
      <c r="P1089" s="186">
        <v>44932.432118055556</v>
      </c>
      <c r="R1089" s="1" t="s">
        <v>38</v>
      </c>
      <c r="T1089" s="1" t="s">
        <v>74</v>
      </c>
      <c r="U1089" s="186">
        <v>44932.75</v>
      </c>
      <c r="V1089" s="1" t="s">
        <v>41</v>
      </c>
      <c r="W1089" s="1" t="s">
        <v>49</v>
      </c>
      <c r="Z1089" s="14"/>
      <c r="AA1089" s="14"/>
    </row>
    <row r="1090" spans="1:27" hidden="1">
      <c r="A1090" s="1">
        <v>9295613</v>
      </c>
      <c r="B1090" s="1" t="s">
        <v>101</v>
      </c>
      <c r="C1090" t="s">
        <v>1810</v>
      </c>
      <c r="E1090" s="2">
        <v>2413000206001</v>
      </c>
      <c r="F1090" s="1" t="s">
        <v>29</v>
      </c>
      <c r="G1090" s="1" t="s">
        <v>53</v>
      </c>
      <c r="H1090" s="1" t="s">
        <v>505</v>
      </c>
      <c r="I1090" s="1" t="s">
        <v>506</v>
      </c>
      <c r="J1090" s="1" t="s">
        <v>141</v>
      </c>
      <c r="K1090" t="s">
        <v>34</v>
      </c>
      <c r="M1090" s="1" t="s">
        <v>35</v>
      </c>
      <c r="N1090" s="1">
        <v>42318949</v>
      </c>
      <c r="O1090" s="1" t="s">
        <v>105</v>
      </c>
      <c r="P1090" s="186">
        <v>44932.432106481479</v>
      </c>
      <c r="R1090" s="1" t="s">
        <v>38</v>
      </c>
      <c r="T1090" s="1" t="s">
        <v>74</v>
      </c>
      <c r="U1090" s="186">
        <v>44932.75</v>
      </c>
      <c r="V1090" s="1" t="s">
        <v>41</v>
      </c>
      <c r="W1090" s="1" t="s">
        <v>49</v>
      </c>
      <c r="Z1090" s="14"/>
      <c r="AA1090" s="14"/>
    </row>
    <row r="1091" spans="1:27" hidden="1">
      <c r="A1091" s="1">
        <v>9295593</v>
      </c>
      <c r="B1091" s="1" t="s">
        <v>101</v>
      </c>
      <c r="C1091" t="s">
        <v>1810</v>
      </c>
      <c r="E1091" s="2">
        <v>2388000206001</v>
      </c>
      <c r="F1091" s="1" t="s">
        <v>29</v>
      </c>
      <c r="G1091" s="1" t="s">
        <v>53</v>
      </c>
      <c r="H1091" s="1" t="s">
        <v>299</v>
      </c>
      <c r="I1091" s="1" t="s">
        <v>300</v>
      </c>
      <c r="J1091" s="1" t="s">
        <v>79</v>
      </c>
      <c r="K1091" t="s">
        <v>34</v>
      </c>
      <c r="M1091" s="1" t="s">
        <v>35</v>
      </c>
      <c r="N1091" s="1">
        <v>42318949</v>
      </c>
      <c r="O1091" s="1" t="s">
        <v>105</v>
      </c>
      <c r="P1091" s="186">
        <v>44932.432083333333</v>
      </c>
      <c r="R1091" s="1" t="s">
        <v>38</v>
      </c>
      <c r="T1091" s="1" t="s">
        <v>74</v>
      </c>
      <c r="U1091" s="186">
        <v>44932.75</v>
      </c>
      <c r="V1091" s="1" t="s">
        <v>41</v>
      </c>
      <c r="W1091" s="1" t="s">
        <v>49</v>
      </c>
      <c r="Z1091" s="14"/>
      <c r="AA1091" s="14"/>
    </row>
    <row r="1092" spans="1:27" hidden="1">
      <c r="A1092" s="1">
        <v>9295576</v>
      </c>
      <c r="B1092" s="1" t="s">
        <v>101</v>
      </c>
      <c r="C1092" t="s">
        <v>1810</v>
      </c>
      <c r="E1092" s="2">
        <v>2371000206001</v>
      </c>
      <c r="F1092" s="1" t="s">
        <v>29</v>
      </c>
      <c r="G1092" s="1" t="s">
        <v>53</v>
      </c>
      <c r="H1092" s="1" t="s">
        <v>1000</v>
      </c>
      <c r="I1092" s="1" t="s">
        <v>1001</v>
      </c>
      <c r="J1092" s="1" t="s">
        <v>90</v>
      </c>
      <c r="K1092" t="s">
        <v>34</v>
      </c>
      <c r="M1092" s="1" t="s">
        <v>35</v>
      </c>
      <c r="N1092" s="1">
        <v>42318949</v>
      </c>
      <c r="O1092" s="1" t="s">
        <v>36</v>
      </c>
      <c r="P1092" s="186">
        <v>44932.432060185187</v>
      </c>
      <c r="R1092" s="1" t="s">
        <v>38</v>
      </c>
      <c r="T1092" s="1" t="s">
        <v>74</v>
      </c>
      <c r="U1092" s="186">
        <v>44932.75</v>
      </c>
      <c r="V1092" s="1" t="s">
        <v>41</v>
      </c>
      <c r="W1092" s="1" t="s">
        <v>49</v>
      </c>
      <c r="Z1092" s="14"/>
      <c r="AA1092" s="14"/>
    </row>
    <row r="1093" spans="1:27" hidden="1">
      <c r="A1093" s="1">
        <v>9295575</v>
      </c>
      <c r="B1093" s="1" t="s">
        <v>101</v>
      </c>
      <c r="C1093" t="s">
        <v>1810</v>
      </c>
      <c r="E1093" s="2">
        <v>2369000206001</v>
      </c>
      <c r="F1093" s="1" t="s">
        <v>29</v>
      </c>
      <c r="G1093" s="1" t="s">
        <v>53</v>
      </c>
      <c r="H1093" s="1" t="s">
        <v>701</v>
      </c>
      <c r="I1093" s="1" t="s">
        <v>702</v>
      </c>
      <c r="J1093" s="1" t="s">
        <v>141</v>
      </c>
      <c r="K1093" t="s">
        <v>34</v>
      </c>
      <c r="M1093" s="1" t="s">
        <v>35</v>
      </c>
      <c r="N1093" s="1">
        <v>42318949</v>
      </c>
      <c r="O1093" s="1" t="s">
        <v>105</v>
      </c>
      <c r="P1093" s="186">
        <v>44932.432060185187</v>
      </c>
      <c r="R1093" s="1" t="s">
        <v>38</v>
      </c>
      <c r="T1093" s="1" t="s">
        <v>74</v>
      </c>
      <c r="U1093" s="186">
        <v>44932.75</v>
      </c>
      <c r="V1093" s="1" t="s">
        <v>41</v>
      </c>
      <c r="W1093" s="1" t="s">
        <v>49</v>
      </c>
      <c r="Z1093" s="14"/>
      <c r="AA1093" s="14"/>
    </row>
    <row r="1094" spans="1:27" hidden="1">
      <c r="A1094" s="1">
        <v>9295544</v>
      </c>
      <c r="B1094" s="1" t="s">
        <v>101</v>
      </c>
      <c r="C1094" t="s">
        <v>1810</v>
      </c>
      <c r="E1094" s="2">
        <v>2335000206001</v>
      </c>
      <c r="F1094" s="1" t="s">
        <v>29</v>
      </c>
      <c r="G1094" s="1" t="s">
        <v>53</v>
      </c>
      <c r="H1094" s="1" t="s">
        <v>194</v>
      </c>
      <c r="I1094" s="1" t="s">
        <v>195</v>
      </c>
      <c r="J1094" s="1" t="s">
        <v>110</v>
      </c>
      <c r="K1094" t="s">
        <v>34</v>
      </c>
      <c r="M1094" s="1" t="s">
        <v>35</v>
      </c>
      <c r="N1094" s="1">
        <v>42318949</v>
      </c>
      <c r="O1094" s="1" t="s">
        <v>105</v>
      </c>
      <c r="P1094" s="186">
        <v>44932.432013888887</v>
      </c>
      <c r="R1094" s="1" t="s">
        <v>38</v>
      </c>
      <c r="T1094" s="1" t="s">
        <v>74</v>
      </c>
      <c r="U1094" s="186">
        <v>44932.75</v>
      </c>
      <c r="V1094" s="1" t="s">
        <v>41</v>
      </c>
      <c r="W1094" s="1" t="s">
        <v>49</v>
      </c>
      <c r="Z1094" s="14"/>
      <c r="AA1094" s="14"/>
    </row>
    <row r="1095" spans="1:27" hidden="1">
      <c r="A1095" s="1">
        <v>9295538</v>
      </c>
      <c r="B1095" s="1" t="s">
        <v>101</v>
      </c>
      <c r="C1095" t="s">
        <v>1810</v>
      </c>
      <c r="E1095" s="2">
        <v>2326000206001</v>
      </c>
      <c r="F1095" s="1" t="s">
        <v>29</v>
      </c>
      <c r="G1095" s="1" t="s">
        <v>53</v>
      </c>
      <c r="H1095" s="1" t="s">
        <v>191</v>
      </c>
      <c r="I1095" s="1" t="s">
        <v>192</v>
      </c>
      <c r="J1095" s="1" t="s">
        <v>46</v>
      </c>
      <c r="K1095" t="s">
        <v>34</v>
      </c>
      <c r="M1095" s="1" t="s">
        <v>35</v>
      </c>
      <c r="N1095" s="1">
        <v>42318949</v>
      </c>
      <c r="O1095" s="1" t="s">
        <v>105</v>
      </c>
      <c r="P1095" s="186">
        <v>44932.432002314818</v>
      </c>
      <c r="R1095" s="1" t="s">
        <v>38</v>
      </c>
      <c r="T1095" s="1" t="s">
        <v>74</v>
      </c>
      <c r="U1095" s="186">
        <v>44932.75</v>
      </c>
      <c r="V1095" s="1" t="s">
        <v>41</v>
      </c>
      <c r="W1095" s="1" t="s">
        <v>49</v>
      </c>
      <c r="Z1095" s="14"/>
      <c r="AA1095" s="14"/>
    </row>
    <row r="1096" spans="1:27" hidden="1">
      <c r="A1096" s="1">
        <v>9295476</v>
      </c>
      <c r="B1096" s="1" t="s">
        <v>101</v>
      </c>
      <c r="C1096" t="s">
        <v>1810</v>
      </c>
      <c r="E1096" s="2">
        <v>2257000206001</v>
      </c>
      <c r="F1096" s="1" t="s">
        <v>29</v>
      </c>
      <c r="G1096" s="1" t="s">
        <v>53</v>
      </c>
      <c r="H1096" s="1" t="s">
        <v>381</v>
      </c>
      <c r="I1096" s="1" t="s">
        <v>382</v>
      </c>
      <c r="J1096" s="1" t="s">
        <v>110</v>
      </c>
      <c r="K1096" t="s">
        <v>34</v>
      </c>
      <c r="M1096" s="1" t="s">
        <v>35</v>
      </c>
      <c r="N1096" s="1">
        <v>42318949</v>
      </c>
      <c r="O1096" s="1" t="s">
        <v>105</v>
      </c>
      <c r="P1096" s="186">
        <v>44932.431921296295</v>
      </c>
      <c r="R1096" s="1" t="s">
        <v>38</v>
      </c>
      <c r="T1096" s="1" t="s">
        <v>74</v>
      </c>
      <c r="U1096" s="186">
        <v>44932.75</v>
      </c>
      <c r="V1096" s="1" t="s">
        <v>41</v>
      </c>
      <c r="W1096" s="1" t="s">
        <v>49</v>
      </c>
      <c r="Z1096" s="14"/>
      <c r="AA1096" s="14"/>
    </row>
    <row r="1097" spans="1:27" hidden="1">
      <c r="A1097" s="1">
        <v>9295463</v>
      </c>
      <c r="B1097" s="1" t="s">
        <v>101</v>
      </c>
      <c r="C1097" t="s">
        <v>1810</v>
      </c>
      <c r="E1097" s="2">
        <v>2244000206001</v>
      </c>
      <c r="F1097" s="1" t="s">
        <v>29</v>
      </c>
      <c r="G1097" s="1" t="s">
        <v>53</v>
      </c>
      <c r="H1097" s="1" t="s">
        <v>1853</v>
      </c>
      <c r="I1097" s="1" t="s">
        <v>1854</v>
      </c>
      <c r="J1097" s="1" t="s">
        <v>79</v>
      </c>
      <c r="K1097" t="s">
        <v>34</v>
      </c>
      <c r="M1097" s="1" t="s">
        <v>35</v>
      </c>
      <c r="N1097" s="1">
        <v>42318949</v>
      </c>
      <c r="O1097" s="1" t="s">
        <v>105</v>
      </c>
      <c r="P1097" s="186">
        <v>44932.431909722225</v>
      </c>
      <c r="R1097" s="1" t="s">
        <v>38</v>
      </c>
      <c r="T1097" s="1" t="s">
        <v>74</v>
      </c>
      <c r="U1097" s="186">
        <v>44932.75</v>
      </c>
      <c r="V1097" s="1" t="s">
        <v>41</v>
      </c>
      <c r="W1097" s="1" t="s">
        <v>49</v>
      </c>
      <c r="Z1097" s="14"/>
      <c r="AA1097" s="14"/>
    </row>
    <row r="1098" spans="1:27" hidden="1">
      <c r="A1098" s="1">
        <v>9295457</v>
      </c>
      <c r="B1098" s="1" t="s">
        <v>101</v>
      </c>
      <c r="C1098" t="s">
        <v>1810</v>
      </c>
      <c r="E1098" s="2">
        <v>2238000206001</v>
      </c>
      <c r="F1098" s="1" t="s">
        <v>29</v>
      </c>
      <c r="G1098" s="1" t="s">
        <v>53</v>
      </c>
      <c r="H1098" s="1" t="s">
        <v>707</v>
      </c>
      <c r="I1098" s="1" t="s">
        <v>708</v>
      </c>
      <c r="J1098" s="1" t="s">
        <v>79</v>
      </c>
      <c r="K1098" t="s">
        <v>34</v>
      </c>
      <c r="M1098" s="1" t="s">
        <v>35</v>
      </c>
      <c r="N1098" s="1">
        <v>42318949</v>
      </c>
      <c r="O1098" s="1" t="s">
        <v>105</v>
      </c>
      <c r="P1098" s="186">
        <v>44932.431898148148</v>
      </c>
      <c r="R1098" s="1" t="s">
        <v>38</v>
      </c>
      <c r="T1098" s="1" t="s">
        <v>74</v>
      </c>
      <c r="U1098" s="186">
        <v>44932.75</v>
      </c>
      <c r="V1098" s="1" t="s">
        <v>41</v>
      </c>
      <c r="W1098" s="1" t="s">
        <v>49</v>
      </c>
      <c r="Z1098" s="14"/>
      <c r="AA1098" s="14"/>
    </row>
    <row r="1099" spans="1:27" hidden="1">
      <c r="A1099" s="1">
        <v>9295448</v>
      </c>
      <c r="B1099" s="1" t="s">
        <v>101</v>
      </c>
      <c r="C1099" t="s">
        <v>1810</v>
      </c>
      <c r="E1099" s="2">
        <v>2229000206001</v>
      </c>
      <c r="F1099" s="1" t="s">
        <v>29</v>
      </c>
      <c r="G1099" s="1" t="s">
        <v>53</v>
      </c>
      <c r="H1099" s="1" t="s">
        <v>339</v>
      </c>
      <c r="I1099" s="1" t="s">
        <v>340</v>
      </c>
      <c r="J1099" s="1" t="s">
        <v>211</v>
      </c>
      <c r="K1099" t="s">
        <v>34</v>
      </c>
      <c r="M1099" s="1" t="s">
        <v>35</v>
      </c>
      <c r="N1099" s="1">
        <v>42318949</v>
      </c>
      <c r="O1099" s="1" t="s">
        <v>105</v>
      </c>
      <c r="P1099" s="186">
        <v>44932.431886574072</v>
      </c>
      <c r="R1099" s="1" t="s">
        <v>38</v>
      </c>
      <c r="T1099" s="1" t="s">
        <v>74</v>
      </c>
      <c r="U1099" s="186">
        <v>44932.75</v>
      </c>
      <c r="V1099" s="1" t="s">
        <v>41</v>
      </c>
      <c r="W1099" s="1" t="s">
        <v>49</v>
      </c>
      <c r="Z1099" s="14"/>
      <c r="AA1099" s="14"/>
    </row>
    <row r="1100" spans="1:27" hidden="1">
      <c r="A1100" s="1">
        <v>9295438</v>
      </c>
      <c r="B1100" s="1" t="s">
        <v>101</v>
      </c>
      <c r="C1100" t="s">
        <v>1810</v>
      </c>
      <c r="E1100" s="2">
        <v>2219000206001</v>
      </c>
      <c r="F1100" s="1" t="s">
        <v>29</v>
      </c>
      <c r="G1100" s="1" t="s">
        <v>53</v>
      </c>
      <c r="H1100" s="1" t="s">
        <v>893</v>
      </c>
      <c r="I1100" s="1" t="s">
        <v>894</v>
      </c>
      <c r="J1100" s="1" t="s">
        <v>141</v>
      </c>
      <c r="K1100" t="s">
        <v>34</v>
      </c>
      <c r="M1100" s="1" t="s">
        <v>35</v>
      </c>
      <c r="N1100" s="1">
        <v>42318949</v>
      </c>
      <c r="O1100" s="1" t="s">
        <v>105</v>
      </c>
      <c r="P1100" s="186">
        <v>44932.431875000002</v>
      </c>
      <c r="R1100" s="1" t="s">
        <v>38</v>
      </c>
      <c r="T1100" s="1" t="s">
        <v>74</v>
      </c>
      <c r="U1100" s="186">
        <v>44932.75</v>
      </c>
      <c r="V1100" s="1" t="s">
        <v>41</v>
      </c>
      <c r="W1100" s="1" t="s">
        <v>49</v>
      </c>
      <c r="Z1100" s="14"/>
      <c r="AA1100" s="14"/>
    </row>
    <row r="1101" spans="1:27" hidden="1">
      <c r="A1101" s="1">
        <v>9295414</v>
      </c>
      <c r="B1101" s="1" t="s">
        <v>101</v>
      </c>
      <c r="C1101" t="s">
        <v>1810</v>
      </c>
      <c r="E1101" s="2">
        <v>2196000206001</v>
      </c>
      <c r="F1101" s="1" t="s">
        <v>29</v>
      </c>
      <c r="G1101" s="1" t="s">
        <v>53</v>
      </c>
      <c r="H1101" s="1" t="s">
        <v>1252</v>
      </c>
      <c r="I1101" s="1" t="s">
        <v>1253</v>
      </c>
      <c r="J1101" s="1" t="s">
        <v>33</v>
      </c>
      <c r="K1101" t="s">
        <v>34</v>
      </c>
      <c r="M1101" s="1" t="s">
        <v>35</v>
      </c>
      <c r="N1101" s="1">
        <v>42318949</v>
      </c>
      <c r="O1101" s="1" t="s">
        <v>105</v>
      </c>
      <c r="P1101" s="186">
        <v>44932.431840277779</v>
      </c>
      <c r="R1101" s="1" t="s">
        <v>38</v>
      </c>
      <c r="T1101" s="1" t="s">
        <v>74</v>
      </c>
      <c r="U1101" s="186">
        <v>44932.75</v>
      </c>
      <c r="V1101" s="1" t="s">
        <v>41</v>
      </c>
      <c r="W1101" s="1" t="s">
        <v>42</v>
      </c>
      <c r="Z1101" s="14"/>
      <c r="AA1101" s="14"/>
    </row>
    <row r="1102" spans="1:27" hidden="1">
      <c r="A1102" s="1">
        <v>9295387</v>
      </c>
      <c r="B1102" s="1" t="s">
        <v>101</v>
      </c>
      <c r="C1102" t="s">
        <v>1810</v>
      </c>
      <c r="E1102" s="2">
        <v>2170000206001</v>
      </c>
      <c r="F1102" s="1" t="s">
        <v>29</v>
      </c>
      <c r="G1102" s="1" t="s">
        <v>53</v>
      </c>
      <c r="H1102" s="1" t="s">
        <v>477</v>
      </c>
      <c r="I1102" s="1" t="s">
        <v>478</v>
      </c>
      <c r="J1102" s="1" t="s">
        <v>148</v>
      </c>
      <c r="K1102" t="s">
        <v>34</v>
      </c>
      <c r="M1102" s="1" t="s">
        <v>35</v>
      </c>
      <c r="N1102" s="1">
        <v>42318949</v>
      </c>
      <c r="O1102" s="1" t="s">
        <v>105</v>
      </c>
      <c r="P1102" s="186">
        <v>44932.431793981479</v>
      </c>
      <c r="R1102" s="1" t="s">
        <v>38</v>
      </c>
      <c r="T1102" s="1" t="s">
        <v>74</v>
      </c>
      <c r="U1102" s="186">
        <v>44932.75</v>
      </c>
      <c r="V1102" s="1" t="s">
        <v>41</v>
      </c>
      <c r="W1102" s="1" t="s">
        <v>49</v>
      </c>
      <c r="AA1102" s="14"/>
    </row>
    <row r="1103" spans="1:27" hidden="1">
      <c r="A1103" s="1">
        <v>9295358</v>
      </c>
      <c r="B1103" s="1" t="s">
        <v>101</v>
      </c>
      <c r="C1103" t="s">
        <v>1810</v>
      </c>
      <c r="E1103" s="2">
        <v>2138000206001</v>
      </c>
      <c r="F1103" s="1" t="s">
        <v>29</v>
      </c>
      <c r="G1103" s="1" t="s">
        <v>53</v>
      </c>
      <c r="H1103" s="1" t="s">
        <v>379</v>
      </c>
      <c r="I1103" s="1" t="s">
        <v>380</v>
      </c>
      <c r="J1103" s="1" t="s">
        <v>46</v>
      </c>
      <c r="K1103" t="s">
        <v>34</v>
      </c>
      <c r="M1103" s="1" t="s">
        <v>35</v>
      </c>
      <c r="N1103" s="1">
        <v>42318949</v>
      </c>
      <c r="O1103" s="1" t="s">
        <v>105</v>
      </c>
      <c r="P1103" s="186">
        <v>44932.431759259256</v>
      </c>
      <c r="R1103" s="1" t="s">
        <v>38</v>
      </c>
      <c r="T1103" s="1" t="s">
        <v>74</v>
      </c>
      <c r="U1103" s="186">
        <v>44932.75</v>
      </c>
      <c r="V1103" s="1" t="s">
        <v>41</v>
      </c>
      <c r="W1103" s="1" t="s">
        <v>49</v>
      </c>
      <c r="AA1103" s="14"/>
    </row>
    <row r="1104" spans="1:27" hidden="1">
      <c r="A1104" s="1">
        <v>9295348</v>
      </c>
      <c r="B1104" s="1" t="s">
        <v>101</v>
      </c>
      <c r="C1104" t="s">
        <v>1810</v>
      </c>
      <c r="E1104" s="2">
        <v>2125000206001</v>
      </c>
      <c r="F1104" s="1" t="s">
        <v>29</v>
      </c>
      <c r="G1104" s="1" t="s">
        <v>53</v>
      </c>
      <c r="H1104" s="1" t="s">
        <v>1399</v>
      </c>
      <c r="I1104" s="1" t="s">
        <v>1400</v>
      </c>
      <c r="J1104" s="1" t="s">
        <v>211</v>
      </c>
      <c r="K1104" t="s">
        <v>34</v>
      </c>
      <c r="M1104" s="1" t="s">
        <v>35</v>
      </c>
      <c r="N1104" s="1">
        <v>42318949</v>
      </c>
      <c r="O1104" s="1" t="s">
        <v>105</v>
      </c>
      <c r="P1104" s="186">
        <v>44932.431747685187</v>
      </c>
      <c r="R1104" s="1" t="s">
        <v>38</v>
      </c>
      <c r="T1104" s="1" t="s">
        <v>74</v>
      </c>
      <c r="U1104" s="186">
        <v>44932.75</v>
      </c>
      <c r="V1104" s="1" t="s">
        <v>41</v>
      </c>
      <c r="W1104" s="1" t="s">
        <v>49</v>
      </c>
      <c r="AA1104" s="14"/>
    </row>
    <row r="1105" spans="1:27" hidden="1">
      <c r="A1105" s="1">
        <v>9295334</v>
      </c>
      <c r="B1105" s="1" t="s">
        <v>101</v>
      </c>
      <c r="C1105" t="s">
        <v>1810</v>
      </c>
      <c r="E1105" s="2">
        <v>2107000206001</v>
      </c>
      <c r="F1105" s="1" t="s">
        <v>29</v>
      </c>
      <c r="G1105" s="1" t="s">
        <v>53</v>
      </c>
      <c r="H1105" s="1" t="s">
        <v>262</v>
      </c>
      <c r="I1105" s="1" t="s">
        <v>263</v>
      </c>
      <c r="J1105" s="1" t="s">
        <v>164</v>
      </c>
      <c r="K1105" t="s">
        <v>34</v>
      </c>
      <c r="M1105" s="1" t="s">
        <v>35</v>
      </c>
      <c r="N1105" s="1">
        <v>42318949</v>
      </c>
      <c r="O1105" s="1" t="s">
        <v>105</v>
      </c>
      <c r="P1105" s="186">
        <v>44932.43172453704</v>
      </c>
      <c r="R1105" s="1" t="s">
        <v>38</v>
      </c>
      <c r="T1105" s="1" t="s">
        <v>74</v>
      </c>
      <c r="U1105" s="186">
        <v>44932.75</v>
      </c>
      <c r="V1105" s="1" t="s">
        <v>41</v>
      </c>
      <c r="W1105" s="1" t="s">
        <v>49</v>
      </c>
      <c r="AA1105" s="14"/>
    </row>
    <row r="1106" spans="1:27" hidden="1">
      <c r="A1106" s="1">
        <v>9295312</v>
      </c>
      <c r="B1106" s="1" t="s">
        <v>101</v>
      </c>
      <c r="C1106" t="s">
        <v>1810</v>
      </c>
      <c r="E1106" s="2">
        <v>2081000206001</v>
      </c>
      <c r="F1106" s="1" t="s">
        <v>29</v>
      </c>
      <c r="G1106" s="1" t="s">
        <v>53</v>
      </c>
      <c r="H1106" s="1" t="s">
        <v>590</v>
      </c>
      <c r="I1106" s="1" t="s">
        <v>591</v>
      </c>
      <c r="J1106" s="1" t="s">
        <v>261</v>
      </c>
      <c r="K1106" t="s">
        <v>34</v>
      </c>
      <c r="M1106" s="1" t="s">
        <v>35</v>
      </c>
      <c r="N1106" s="1">
        <v>42318949</v>
      </c>
      <c r="O1106" s="1" t="s">
        <v>105</v>
      </c>
      <c r="P1106" s="186">
        <v>44932.431689814817</v>
      </c>
      <c r="R1106" s="1" t="s">
        <v>38</v>
      </c>
      <c r="T1106" s="1" t="s">
        <v>74</v>
      </c>
      <c r="U1106" s="186">
        <v>44932.75</v>
      </c>
      <c r="V1106" s="1" t="s">
        <v>41</v>
      </c>
      <c r="W1106" s="1" t="s">
        <v>49</v>
      </c>
      <c r="AA1106" s="14"/>
    </row>
    <row r="1107" spans="1:27" hidden="1">
      <c r="A1107" s="1">
        <v>9295301</v>
      </c>
      <c r="B1107" s="1" t="s">
        <v>101</v>
      </c>
      <c r="C1107" t="s">
        <v>1810</v>
      </c>
      <c r="E1107" s="2">
        <v>2069000206001</v>
      </c>
      <c r="F1107" s="1" t="s">
        <v>29</v>
      </c>
      <c r="G1107" s="1" t="s">
        <v>53</v>
      </c>
      <c r="H1107" s="1" t="s">
        <v>557</v>
      </c>
      <c r="I1107" s="1" t="s">
        <v>558</v>
      </c>
      <c r="J1107" s="1" t="s">
        <v>90</v>
      </c>
      <c r="K1107" t="s">
        <v>34</v>
      </c>
      <c r="M1107" s="1" t="s">
        <v>35</v>
      </c>
      <c r="N1107" s="1">
        <v>42318949</v>
      </c>
      <c r="O1107" s="1" t="s">
        <v>105</v>
      </c>
      <c r="P1107" s="186">
        <v>44932.43167824074</v>
      </c>
      <c r="R1107" s="1" t="s">
        <v>38</v>
      </c>
      <c r="T1107" s="1" t="s">
        <v>74</v>
      </c>
      <c r="U1107" s="186">
        <v>44932.75</v>
      </c>
      <c r="V1107" s="1" t="s">
        <v>41</v>
      </c>
      <c r="W1107" s="1" t="s">
        <v>49</v>
      </c>
      <c r="AA1107" s="14"/>
    </row>
    <row r="1108" spans="1:27" hidden="1">
      <c r="A1108" s="1">
        <v>9295258</v>
      </c>
      <c r="B1108" s="1" t="s">
        <v>101</v>
      </c>
      <c r="C1108" t="s">
        <v>1810</v>
      </c>
      <c r="E1108" s="2">
        <v>2018000206001</v>
      </c>
      <c r="F1108" s="1" t="s">
        <v>29</v>
      </c>
      <c r="G1108" s="1" t="s">
        <v>53</v>
      </c>
      <c r="H1108" s="1" t="s">
        <v>598</v>
      </c>
      <c r="I1108" s="1" t="s">
        <v>599</v>
      </c>
      <c r="J1108" s="1" t="s">
        <v>79</v>
      </c>
      <c r="K1108" t="s">
        <v>34</v>
      </c>
      <c r="M1108" s="1" t="s">
        <v>35</v>
      </c>
      <c r="N1108" s="1">
        <v>42318949</v>
      </c>
      <c r="O1108" s="1" t="s">
        <v>105</v>
      </c>
      <c r="P1108" s="186">
        <v>44932.431597222225</v>
      </c>
      <c r="R1108" s="1" t="s">
        <v>38</v>
      </c>
      <c r="T1108" s="1" t="s">
        <v>74</v>
      </c>
      <c r="U1108" s="186">
        <v>44932.75</v>
      </c>
      <c r="V1108" s="1" t="s">
        <v>41</v>
      </c>
      <c r="W1108" s="1" t="s">
        <v>49</v>
      </c>
      <c r="AA1108" s="14"/>
    </row>
    <row r="1109" spans="1:27" hidden="1">
      <c r="A1109" s="1">
        <v>9295224</v>
      </c>
      <c r="B1109" s="1" t="s">
        <v>101</v>
      </c>
      <c r="C1109" t="s">
        <v>1810</v>
      </c>
      <c r="E1109" s="2">
        <v>1943000206001</v>
      </c>
      <c r="F1109" s="1" t="s">
        <v>29</v>
      </c>
      <c r="G1109" s="1" t="s">
        <v>53</v>
      </c>
      <c r="H1109" s="1" t="s">
        <v>264</v>
      </c>
      <c r="I1109" s="1" t="s">
        <v>265</v>
      </c>
      <c r="J1109" s="1" t="s">
        <v>56</v>
      </c>
      <c r="K1109" t="s">
        <v>34</v>
      </c>
      <c r="M1109" s="1" t="s">
        <v>35</v>
      </c>
      <c r="N1109" s="1">
        <v>42318949</v>
      </c>
      <c r="O1109" s="1" t="s">
        <v>105</v>
      </c>
      <c r="P1109" s="186">
        <v>44932.431550925925</v>
      </c>
      <c r="R1109" s="1" t="s">
        <v>38</v>
      </c>
      <c r="T1109" s="1" t="s">
        <v>74</v>
      </c>
      <c r="U1109" s="186">
        <v>44932.75</v>
      </c>
      <c r="V1109" s="1" t="s">
        <v>41</v>
      </c>
      <c r="W1109" s="1" t="s">
        <v>49</v>
      </c>
      <c r="AA1109" s="14"/>
    </row>
    <row r="1110" spans="1:27" hidden="1">
      <c r="A1110" s="1">
        <v>9295212</v>
      </c>
      <c r="B1110" s="1" t="s">
        <v>101</v>
      </c>
      <c r="C1110" t="s">
        <v>1810</v>
      </c>
      <c r="E1110" s="2">
        <v>1924000206001</v>
      </c>
      <c r="F1110" s="1" t="s">
        <v>29</v>
      </c>
      <c r="G1110" s="1" t="s">
        <v>53</v>
      </c>
      <c r="H1110" s="1" t="s">
        <v>568</v>
      </c>
      <c r="I1110" s="1" t="s">
        <v>569</v>
      </c>
      <c r="J1110" s="1" t="s">
        <v>33</v>
      </c>
      <c r="K1110" t="s">
        <v>34</v>
      </c>
      <c r="M1110" s="1" t="s">
        <v>35</v>
      </c>
      <c r="N1110" s="1">
        <v>42318949</v>
      </c>
      <c r="O1110" s="1" t="s">
        <v>105</v>
      </c>
      <c r="P1110" s="186">
        <v>44932.431539351855</v>
      </c>
      <c r="R1110" s="1" t="s">
        <v>38</v>
      </c>
      <c r="T1110" s="1" t="s">
        <v>74</v>
      </c>
      <c r="U1110" s="186">
        <v>44932.75</v>
      </c>
      <c r="V1110" s="1" t="s">
        <v>41</v>
      </c>
      <c r="W1110" s="1" t="s">
        <v>49</v>
      </c>
      <c r="AA1110" s="14"/>
    </row>
    <row r="1111" spans="1:27" hidden="1">
      <c r="A1111" s="1">
        <v>9295207</v>
      </c>
      <c r="B1111" s="1" t="s">
        <v>101</v>
      </c>
      <c r="C1111" t="s">
        <v>1810</v>
      </c>
      <c r="E1111" s="2">
        <v>1903220206001</v>
      </c>
      <c r="F1111" s="1" t="s">
        <v>29</v>
      </c>
      <c r="G1111" s="1" t="s">
        <v>53</v>
      </c>
      <c r="H1111" s="1" t="s">
        <v>1867</v>
      </c>
      <c r="I1111" s="1" t="s">
        <v>1868</v>
      </c>
      <c r="J1111" s="1" t="s">
        <v>211</v>
      </c>
      <c r="K1111" t="s">
        <v>34</v>
      </c>
      <c r="M1111" s="1" t="s">
        <v>35</v>
      </c>
      <c r="N1111" s="1">
        <v>42318949</v>
      </c>
      <c r="O1111" s="1" t="s">
        <v>105</v>
      </c>
      <c r="P1111" s="186">
        <v>44932.431527777779</v>
      </c>
      <c r="R1111" s="1" t="s">
        <v>38</v>
      </c>
      <c r="T1111" s="1" t="s">
        <v>74</v>
      </c>
      <c r="U1111" s="186">
        <v>44932.75</v>
      </c>
      <c r="V1111" s="1" t="s">
        <v>41</v>
      </c>
      <c r="W1111" s="1" t="s">
        <v>49</v>
      </c>
      <c r="AA1111" s="14"/>
    </row>
    <row r="1112" spans="1:27" hidden="1">
      <c r="A1112" s="1">
        <v>9295158</v>
      </c>
      <c r="B1112" s="1" t="s">
        <v>101</v>
      </c>
      <c r="C1112" t="s">
        <v>1810</v>
      </c>
      <c r="E1112" s="2">
        <v>1838000206001</v>
      </c>
      <c r="F1112" s="1" t="s">
        <v>29</v>
      </c>
      <c r="G1112" s="1" t="s">
        <v>53</v>
      </c>
      <c r="H1112" s="1" t="s">
        <v>357</v>
      </c>
      <c r="I1112" s="1" t="s">
        <v>358</v>
      </c>
      <c r="J1112" s="1" t="s">
        <v>46</v>
      </c>
      <c r="K1112" t="s">
        <v>34</v>
      </c>
      <c r="M1112" s="1" t="s">
        <v>35</v>
      </c>
      <c r="N1112" s="1">
        <v>42318949</v>
      </c>
      <c r="O1112" s="1" t="s">
        <v>105</v>
      </c>
      <c r="P1112" s="186">
        <v>44932.431458333333</v>
      </c>
      <c r="R1112" s="1" t="s">
        <v>38</v>
      </c>
      <c r="T1112" s="1" t="s">
        <v>74</v>
      </c>
      <c r="U1112" s="186">
        <v>44932.75</v>
      </c>
      <c r="V1112" s="1" t="s">
        <v>41</v>
      </c>
      <c r="W1112" s="1" t="s">
        <v>49</v>
      </c>
      <c r="AA1112" s="14"/>
    </row>
    <row r="1113" spans="1:27" hidden="1">
      <c r="A1113" s="1">
        <v>9295157</v>
      </c>
      <c r="B1113" s="1" t="s">
        <v>101</v>
      </c>
      <c r="C1113" t="s">
        <v>1810</v>
      </c>
      <c r="E1113" s="2">
        <v>1837000206001</v>
      </c>
      <c r="F1113" s="1" t="s">
        <v>29</v>
      </c>
      <c r="G1113" s="1" t="s">
        <v>53</v>
      </c>
      <c r="H1113" s="1" t="s">
        <v>1785</v>
      </c>
      <c r="I1113" s="1" t="s">
        <v>1786</v>
      </c>
      <c r="J1113" s="1" t="s">
        <v>46</v>
      </c>
      <c r="K1113" t="s">
        <v>34</v>
      </c>
      <c r="M1113" s="1" t="s">
        <v>35</v>
      </c>
      <c r="N1113" s="1">
        <v>42318949</v>
      </c>
      <c r="O1113" s="1" t="s">
        <v>105</v>
      </c>
      <c r="P1113" s="186">
        <v>44932.431458333333</v>
      </c>
      <c r="R1113" s="1" t="s">
        <v>38</v>
      </c>
      <c r="T1113" s="1" t="s">
        <v>74</v>
      </c>
      <c r="U1113" s="186">
        <v>44932.75</v>
      </c>
      <c r="V1113" s="1" t="s">
        <v>41</v>
      </c>
      <c r="W1113" s="1" t="s">
        <v>49</v>
      </c>
      <c r="AA1113" s="14"/>
    </row>
    <row r="1114" spans="1:27" hidden="1">
      <c r="A1114" s="1">
        <v>9295156</v>
      </c>
      <c r="B1114" s="1" t="s">
        <v>101</v>
      </c>
      <c r="C1114" t="s">
        <v>1810</v>
      </c>
      <c r="E1114" s="2">
        <v>1835000206001</v>
      </c>
      <c r="F1114" s="1" t="s">
        <v>29</v>
      </c>
      <c r="G1114" s="1" t="s">
        <v>53</v>
      </c>
      <c r="H1114" s="1" t="s">
        <v>305</v>
      </c>
      <c r="I1114" s="1" t="s">
        <v>306</v>
      </c>
      <c r="J1114" s="1" t="s">
        <v>46</v>
      </c>
      <c r="K1114" t="s">
        <v>34</v>
      </c>
      <c r="M1114" s="1" t="s">
        <v>35</v>
      </c>
      <c r="N1114" s="1">
        <v>42318949</v>
      </c>
      <c r="O1114" s="1" t="s">
        <v>105</v>
      </c>
      <c r="P1114" s="186">
        <v>44932.431458333333</v>
      </c>
      <c r="R1114" s="1" t="s">
        <v>38</v>
      </c>
      <c r="T1114" s="1" t="s">
        <v>74</v>
      </c>
      <c r="U1114" s="186">
        <v>44932.75</v>
      </c>
      <c r="V1114" s="1" t="s">
        <v>41</v>
      </c>
      <c r="W1114" s="1" t="s">
        <v>49</v>
      </c>
      <c r="AA1114" s="14"/>
    </row>
    <row r="1115" spans="1:27" hidden="1">
      <c r="A1115" s="1">
        <v>9295154</v>
      </c>
      <c r="B1115" s="1" t="s">
        <v>101</v>
      </c>
      <c r="C1115" t="s">
        <v>1810</v>
      </c>
      <c r="E1115" s="2">
        <v>1833000206001</v>
      </c>
      <c r="F1115" s="1" t="s">
        <v>29</v>
      </c>
      <c r="G1115" s="1" t="s">
        <v>53</v>
      </c>
      <c r="H1115" s="1" t="s">
        <v>369</v>
      </c>
      <c r="I1115" s="1" t="s">
        <v>370</v>
      </c>
      <c r="J1115" s="1" t="s">
        <v>46</v>
      </c>
      <c r="K1115" t="s">
        <v>34</v>
      </c>
      <c r="M1115" s="1" t="s">
        <v>35</v>
      </c>
      <c r="N1115" s="1">
        <v>42318949</v>
      </c>
      <c r="O1115" s="1" t="s">
        <v>105</v>
      </c>
      <c r="P1115" s="186">
        <v>44932.431446759256</v>
      </c>
      <c r="R1115" s="1" t="s">
        <v>38</v>
      </c>
      <c r="T1115" s="1" t="s">
        <v>74</v>
      </c>
      <c r="U1115" s="186">
        <v>44932.75</v>
      </c>
      <c r="V1115" s="1" t="s">
        <v>41</v>
      </c>
      <c r="W1115" s="1" t="s">
        <v>49</v>
      </c>
      <c r="AA1115" s="14"/>
    </row>
    <row r="1116" spans="1:27" hidden="1">
      <c r="A1116" s="1">
        <v>9295142</v>
      </c>
      <c r="B1116" s="1" t="s">
        <v>101</v>
      </c>
      <c r="C1116" t="s">
        <v>1810</v>
      </c>
      <c r="E1116" s="2">
        <v>1814000206001</v>
      </c>
      <c r="F1116" s="1" t="s">
        <v>29</v>
      </c>
      <c r="G1116" s="1" t="s">
        <v>53</v>
      </c>
      <c r="H1116" s="1" t="s">
        <v>396</v>
      </c>
      <c r="I1116" s="1" t="s">
        <v>397</v>
      </c>
      <c r="J1116" s="1" t="s">
        <v>46</v>
      </c>
      <c r="K1116" t="s">
        <v>34</v>
      </c>
      <c r="M1116" s="1" t="s">
        <v>35</v>
      </c>
      <c r="N1116" s="1">
        <v>42318949</v>
      </c>
      <c r="O1116" s="1" t="s">
        <v>105</v>
      </c>
      <c r="P1116" s="186">
        <v>44932.431435185186</v>
      </c>
      <c r="R1116" s="1" t="s">
        <v>38</v>
      </c>
      <c r="T1116" s="1" t="s">
        <v>74</v>
      </c>
      <c r="U1116" s="186">
        <v>44932.75</v>
      </c>
      <c r="V1116" s="1" t="s">
        <v>41</v>
      </c>
      <c r="W1116" s="1" t="s">
        <v>49</v>
      </c>
      <c r="AA1116" s="14"/>
    </row>
    <row r="1117" spans="1:27" hidden="1">
      <c r="A1117" s="1">
        <v>9295124</v>
      </c>
      <c r="B1117" s="1" t="s">
        <v>101</v>
      </c>
      <c r="C1117" t="s">
        <v>1810</v>
      </c>
      <c r="E1117" s="2">
        <v>1792000206001</v>
      </c>
      <c r="F1117" s="1" t="s">
        <v>29</v>
      </c>
      <c r="G1117" s="1" t="s">
        <v>53</v>
      </c>
      <c r="H1117" s="1" t="s">
        <v>467</v>
      </c>
      <c r="I1117" s="1" t="s">
        <v>468</v>
      </c>
      <c r="J1117" s="1" t="s">
        <v>110</v>
      </c>
      <c r="K1117" t="s">
        <v>34</v>
      </c>
      <c r="M1117" s="1" t="s">
        <v>35</v>
      </c>
      <c r="N1117" s="1">
        <v>42318949</v>
      </c>
      <c r="O1117" s="1" t="s">
        <v>105</v>
      </c>
      <c r="P1117" s="186">
        <v>44932.431400462963</v>
      </c>
      <c r="R1117" s="1" t="s">
        <v>38</v>
      </c>
      <c r="T1117" s="1" t="s">
        <v>74</v>
      </c>
      <c r="U1117" s="186">
        <v>44932.75</v>
      </c>
      <c r="V1117" s="1" t="s">
        <v>41</v>
      </c>
      <c r="W1117" s="1" t="s">
        <v>49</v>
      </c>
      <c r="AA1117" s="14"/>
    </row>
    <row r="1118" spans="1:27" hidden="1">
      <c r="A1118" s="1">
        <v>9295100</v>
      </c>
      <c r="B1118" s="1" t="s">
        <v>101</v>
      </c>
      <c r="C1118" t="s">
        <v>1810</v>
      </c>
      <c r="E1118" s="2">
        <v>1764000206001</v>
      </c>
      <c r="F1118" s="1" t="s">
        <v>29</v>
      </c>
      <c r="G1118" s="1" t="s">
        <v>53</v>
      </c>
      <c r="H1118" s="1" t="s">
        <v>722</v>
      </c>
      <c r="I1118" s="1" t="s">
        <v>723</v>
      </c>
      <c r="J1118" s="1" t="s">
        <v>90</v>
      </c>
      <c r="K1118" t="s">
        <v>34</v>
      </c>
      <c r="M1118" s="1" t="s">
        <v>35</v>
      </c>
      <c r="N1118" s="1">
        <v>42318949</v>
      </c>
      <c r="O1118" s="1" t="s">
        <v>105</v>
      </c>
      <c r="P1118" s="186">
        <v>44932.43136574074</v>
      </c>
      <c r="R1118" s="1" t="s">
        <v>38</v>
      </c>
      <c r="T1118" s="1" t="s">
        <v>74</v>
      </c>
      <c r="U1118" s="186">
        <v>44932.75</v>
      </c>
      <c r="V1118" s="1" t="s">
        <v>41</v>
      </c>
      <c r="W1118" s="1" t="s">
        <v>49</v>
      </c>
      <c r="AA1118" s="14"/>
    </row>
    <row r="1119" spans="1:27" hidden="1">
      <c r="A1119" s="1">
        <v>9295076</v>
      </c>
      <c r="B1119" s="1" t="s">
        <v>101</v>
      </c>
      <c r="C1119" t="s">
        <v>1810</v>
      </c>
      <c r="E1119" s="2">
        <v>1739000206001</v>
      </c>
      <c r="F1119" s="1" t="s">
        <v>29</v>
      </c>
      <c r="G1119" s="1" t="s">
        <v>53</v>
      </c>
      <c r="H1119" s="1" t="s">
        <v>162</v>
      </c>
      <c r="I1119" s="1" t="s">
        <v>163</v>
      </c>
      <c r="J1119" s="1" t="s">
        <v>164</v>
      </c>
      <c r="K1119" t="s">
        <v>34</v>
      </c>
      <c r="M1119" s="1" t="s">
        <v>35</v>
      </c>
      <c r="N1119" s="1">
        <v>42318949</v>
      </c>
      <c r="O1119" s="1" t="s">
        <v>105</v>
      </c>
      <c r="P1119" s="186">
        <v>44932.431331018517</v>
      </c>
      <c r="R1119" s="1" t="s">
        <v>38</v>
      </c>
      <c r="T1119" s="1" t="s">
        <v>74</v>
      </c>
      <c r="U1119" s="186">
        <v>44932.75</v>
      </c>
      <c r="V1119" s="1" t="s">
        <v>41</v>
      </c>
      <c r="W1119" s="1" t="s">
        <v>49</v>
      </c>
      <c r="AA1119" s="14"/>
    </row>
    <row r="1120" spans="1:27" hidden="1">
      <c r="A1120" s="1">
        <v>9295072</v>
      </c>
      <c r="B1120" s="1" t="s">
        <v>101</v>
      </c>
      <c r="C1120" t="s">
        <v>1810</v>
      </c>
      <c r="E1120" s="2">
        <v>1732000206001</v>
      </c>
      <c r="F1120" s="1" t="s">
        <v>29</v>
      </c>
      <c r="G1120" s="1" t="s">
        <v>53</v>
      </c>
      <c r="H1120" s="1" t="s">
        <v>177</v>
      </c>
      <c r="I1120" s="1" t="s">
        <v>178</v>
      </c>
      <c r="J1120" s="1" t="s">
        <v>164</v>
      </c>
      <c r="K1120" t="s">
        <v>34</v>
      </c>
      <c r="M1120" s="1" t="s">
        <v>35</v>
      </c>
      <c r="N1120" s="1">
        <v>42318949</v>
      </c>
      <c r="O1120" s="1" t="s">
        <v>105</v>
      </c>
      <c r="P1120" s="186">
        <v>44932.431331018517</v>
      </c>
      <c r="R1120" s="1" t="s">
        <v>38</v>
      </c>
      <c r="T1120" s="1" t="s">
        <v>74</v>
      </c>
      <c r="U1120" s="186">
        <v>44932.75</v>
      </c>
      <c r="V1120" s="1" t="s">
        <v>41</v>
      </c>
      <c r="W1120" s="1" t="s">
        <v>49</v>
      </c>
      <c r="AA1120" s="14"/>
    </row>
    <row r="1121" spans="1:27" hidden="1">
      <c r="A1121" s="1">
        <v>9295049</v>
      </c>
      <c r="B1121" s="1" t="s">
        <v>101</v>
      </c>
      <c r="C1121" t="s">
        <v>1810</v>
      </c>
      <c r="E1121" s="2">
        <v>1710000206001</v>
      </c>
      <c r="F1121" s="1" t="s">
        <v>29</v>
      </c>
      <c r="G1121" s="1" t="s">
        <v>53</v>
      </c>
      <c r="H1121" s="1" t="s">
        <v>327</v>
      </c>
      <c r="I1121" s="1" t="s">
        <v>328</v>
      </c>
      <c r="J1121" s="1" t="s">
        <v>261</v>
      </c>
      <c r="K1121" t="s">
        <v>34</v>
      </c>
      <c r="M1121" s="1" t="s">
        <v>35</v>
      </c>
      <c r="N1121" s="1">
        <v>42318949</v>
      </c>
      <c r="O1121" s="1" t="s">
        <v>105</v>
      </c>
      <c r="P1121" s="186">
        <v>44932.431296296294</v>
      </c>
      <c r="R1121" s="1" t="s">
        <v>38</v>
      </c>
      <c r="T1121" s="1" t="s">
        <v>74</v>
      </c>
      <c r="U1121" s="186">
        <v>44932.75</v>
      </c>
      <c r="V1121" s="1" t="s">
        <v>41</v>
      </c>
      <c r="W1121" s="1" t="s">
        <v>49</v>
      </c>
      <c r="AA1121" s="14"/>
    </row>
    <row r="1122" spans="1:27" hidden="1">
      <c r="A1122" s="1">
        <v>9295007</v>
      </c>
      <c r="B1122" s="1" t="s">
        <v>101</v>
      </c>
      <c r="C1122" t="s">
        <v>1810</v>
      </c>
      <c r="E1122" s="2">
        <v>1666000206001</v>
      </c>
      <c r="F1122" s="1" t="s">
        <v>29</v>
      </c>
      <c r="G1122" s="1" t="s">
        <v>53</v>
      </c>
      <c r="H1122" s="1" t="s">
        <v>414</v>
      </c>
      <c r="I1122" s="1" t="s">
        <v>415</v>
      </c>
      <c r="J1122" s="1" t="s">
        <v>79</v>
      </c>
      <c r="K1122" t="s">
        <v>34</v>
      </c>
      <c r="M1122" s="1" t="s">
        <v>35</v>
      </c>
      <c r="N1122" s="1">
        <v>42318949</v>
      </c>
      <c r="O1122" s="1" t="s">
        <v>36</v>
      </c>
      <c r="P1122" s="186">
        <v>44932.431215277778</v>
      </c>
      <c r="R1122" s="1" t="s">
        <v>38</v>
      </c>
      <c r="T1122" s="1" t="s">
        <v>74</v>
      </c>
      <c r="U1122" s="186">
        <v>44932.75</v>
      </c>
      <c r="V1122" s="1" t="s">
        <v>41</v>
      </c>
      <c r="W1122" s="1" t="s">
        <v>49</v>
      </c>
      <c r="AA1122" s="14"/>
    </row>
    <row r="1123" spans="1:27" hidden="1">
      <c r="A1123" s="1">
        <v>9295003</v>
      </c>
      <c r="B1123" s="1" t="s">
        <v>101</v>
      </c>
      <c r="C1123" t="s">
        <v>1810</v>
      </c>
      <c r="E1123" s="2">
        <v>1664000206001</v>
      </c>
      <c r="F1123" s="1" t="s">
        <v>29</v>
      </c>
      <c r="G1123" s="1" t="s">
        <v>53</v>
      </c>
      <c r="H1123" s="1" t="s">
        <v>307</v>
      </c>
      <c r="I1123" s="1" t="s">
        <v>308</v>
      </c>
      <c r="J1123" s="1" t="s">
        <v>164</v>
      </c>
      <c r="K1123" t="s">
        <v>34</v>
      </c>
      <c r="M1123" s="1" t="s">
        <v>35</v>
      </c>
      <c r="N1123" s="1">
        <v>42318949</v>
      </c>
      <c r="O1123" s="1" t="s">
        <v>105</v>
      </c>
      <c r="P1123" s="186">
        <v>44932.431215277778</v>
      </c>
      <c r="R1123" s="1" t="s">
        <v>38</v>
      </c>
      <c r="T1123" s="1" t="s">
        <v>74</v>
      </c>
      <c r="U1123" s="186">
        <v>44932.75</v>
      </c>
      <c r="V1123" s="1" t="s">
        <v>41</v>
      </c>
      <c r="W1123" s="1" t="s">
        <v>49</v>
      </c>
      <c r="AA1123" s="14"/>
    </row>
    <row r="1124" spans="1:27" hidden="1">
      <c r="A1124" s="1">
        <v>9294987</v>
      </c>
      <c r="B1124" s="1" t="s">
        <v>101</v>
      </c>
      <c r="C1124" t="s">
        <v>1810</v>
      </c>
      <c r="E1124" s="2">
        <v>1650000206001</v>
      </c>
      <c r="F1124" s="1" t="s">
        <v>29</v>
      </c>
      <c r="G1124" s="1" t="s">
        <v>53</v>
      </c>
      <c r="H1124" s="1" t="s">
        <v>620</v>
      </c>
      <c r="I1124" s="1" t="s">
        <v>621</v>
      </c>
      <c r="J1124" s="1" t="s">
        <v>141</v>
      </c>
      <c r="K1124" t="s">
        <v>34</v>
      </c>
      <c r="M1124" s="1" t="s">
        <v>35</v>
      </c>
      <c r="N1124" s="1">
        <v>42318949</v>
      </c>
      <c r="O1124" s="1" t="s">
        <v>105</v>
      </c>
      <c r="P1124" s="186">
        <v>44932.431192129632</v>
      </c>
      <c r="R1124" s="1" t="s">
        <v>38</v>
      </c>
      <c r="T1124" s="1" t="s">
        <v>74</v>
      </c>
      <c r="U1124" s="186">
        <v>44932.75</v>
      </c>
      <c r="V1124" s="1" t="s">
        <v>41</v>
      </c>
      <c r="W1124" s="1" t="s">
        <v>49</v>
      </c>
      <c r="AA1124" s="14"/>
    </row>
    <row r="1125" spans="1:27" hidden="1">
      <c r="A1125" s="1">
        <v>9294979</v>
      </c>
      <c r="B1125" s="1" t="s">
        <v>101</v>
      </c>
      <c r="C1125" t="s">
        <v>1810</v>
      </c>
      <c r="E1125" s="2">
        <v>1643000206001</v>
      </c>
      <c r="F1125" s="1" t="s">
        <v>29</v>
      </c>
      <c r="G1125" s="1" t="s">
        <v>53</v>
      </c>
      <c r="H1125" s="1" t="s">
        <v>361</v>
      </c>
      <c r="I1125" s="1" t="s">
        <v>362</v>
      </c>
      <c r="J1125" s="1" t="s">
        <v>261</v>
      </c>
      <c r="K1125" t="s">
        <v>34</v>
      </c>
      <c r="M1125" s="1" t="s">
        <v>35</v>
      </c>
      <c r="N1125" s="1">
        <v>42318949</v>
      </c>
      <c r="O1125" s="1" t="s">
        <v>105</v>
      </c>
      <c r="P1125" s="186">
        <v>44932.431168981479</v>
      </c>
      <c r="R1125" s="1" t="s">
        <v>38</v>
      </c>
      <c r="T1125" s="1" t="s">
        <v>74</v>
      </c>
      <c r="U1125" s="186">
        <v>44932.75</v>
      </c>
      <c r="V1125" s="1" t="s">
        <v>41</v>
      </c>
      <c r="W1125" s="1" t="s">
        <v>49</v>
      </c>
      <c r="AA1125" s="14"/>
    </row>
    <row r="1126" spans="1:27" hidden="1">
      <c r="A1126" s="1">
        <v>9294958</v>
      </c>
      <c r="B1126" s="1" t="s">
        <v>101</v>
      </c>
      <c r="C1126" t="s">
        <v>1810</v>
      </c>
      <c r="E1126" s="2">
        <v>1620000206001</v>
      </c>
      <c r="F1126" s="1" t="s">
        <v>29</v>
      </c>
      <c r="G1126" s="1" t="s">
        <v>53</v>
      </c>
      <c r="H1126" s="1" t="s">
        <v>402</v>
      </c>
      <c r="I1126" s="1" t="s">
        <v>403</v>
      </c>
      <c r="J1126" s="1" t="s">
        <v>46</v>
      </c>
      <c r="K1126" t="s">
        <v>34</v>
      </c>
      <c r="M1126" s="1" t="s">
        <v>35</v>
      </c>
      <c r="N1126" s="1">
        <v>42318949</v>
      </c>
      <c r="O1126" s="1" t="s">
        <v>105</v>
      </c>
      <c r="P1126" s="186">
        <v>44932.431145833332</v>
      </c>
      <c r="R1126" s="1" t="s">
        <v>38</v>
      </c>
      <c r="T1126" s="1" t="s">
        <v>74</v>
      </c>
      <c r="U1126" s="186">
        <v>44932.75</v>
      </c>
      <c r="V1126" s="1" t="s">
        <v>41</v>
      </c>
      <c r="W1126" s="1" t="s">
        <v>49</v>
      </c>
      <c r="AA1126" s="14"/>
    </row>
    <row r="1127" spans="1:27" hidden="1">
      <c r="A1127" s="1">
        <v>9294857</v>
      </c>
      <c r="B1127" s="1" t="s">
        <v>101</v>
      </c>
      <c r="C1127" t="s">
        <v>1810</v>
      </c>
      <c r="E1127" s="2">
        <v>1509000206001</v>
      </c>
      <c r="F1127" s="1" t="s">
        <v>29</v>
      </c>
      <c r="G1127" s="1" t="s">
        <v>53</v>
      </c>
      <c r="H1127" s="1" t="s">
        <v>731</v>
      </c>
      <c r="I1127" s="1" t="s">
        <v>732</v>
      </c>
      <c r="J1127" s="1" t="s">
        <v>46</v>
      </c>
      <c r="K1127" t="s">
        <v>34</v>
      </c>
      <c r="M1127" s="1" t="s">
        <v>35</v>
      </c>
      <c r="N1127" s="1">
        <v>42318949</v>
      </c>
      <c r="O1127" s="1" t="s">
        <v>105</v>
      </c>
      <c r="P1127" s="186">
        <v>44932.430960648147</v>
      </c>
      <c r="R1127" s="1" t="s">
        <v>38</v>
      </c>
      <c r="T1127" s="1" t="s">
        <v>74</v>
      </c>
      <c r="U1127" s="186">
        <v>44932.75</v>
      </c>
      <c r="V1127" s="1" t="s">
        <v>41</v>
      </c>
      <c r="W1127" s="1" t="s">
        <v>49</v>
      </c>
      <c r="AA1127" s="14"/>
    </row>
    <row r="1128" spans="1:27" hidden="1">
      <c r="A1128" s="1">
        <v>9294767</v>
      </c>
      <c r="B1128" s="1" t="s">
        <v>101</v>
      </c>
      <c r="C1128" t="s">
        <v>1810</v>
      </c>
      <c r="E1128" s="2">
        <v>1421000206001</v>
      </c>
      <c r="F1128" s="1" t="s">
        <v>29</v>
      </c>
      <c r="G1128" s="1" t="s">
        <v>53</v>
      </c>
      <c r="H1128" s="1" t="s">
        <v>179</v>
      </c>
      <c r="I1128" s="1" t="s">
        <v>180</v>
      </c>
      <c r="J1128" s="1" t="s">
        <v>79</v>
      </c>
      <c r="K1128" t="s">
        <v>34</v>
      </c>
      <c r="M1128" s="1" t="s">
        <v>35</v>
      </c>
      <c r="N1128" s="1">
        <v>42318949</v>
      </c>
      <c r="O1128" s="1" t="s">
        <v>105</v>
      </c>
      <c r="P1128" s="186">
        <v>44932.430775462963</v>
      </c>
      <c r="R1128" s="1" t="s">
        <v>38</v>
      </c>
      <c r="T1128" s="1" t="s">
        <v>74</v>
      </c>
      <c r="U1128" s="186">
        <v>44932.75</v>
      </c>
      <c r="V1128" s="1" t="s">
        <v>41</v>
      </c>
      <c r="W1128" s="1" t="s">
        <v>49</v>
      </c>
      <c r="AA1128" s="14"/>
    </row>
    <row r="1129" spans="1:27" hidden="1">
      <c r="A1129" s="1">
        <v>9294711</v>
      </c>
      <c r="B1129" s="1" t="s">
        <v>101</v>
      </c>
      <c r="C1129" t="s">
        <v>1810</v>
      </c>
      <c r="E1129" s="2">
        <v>1363000206001</v>
      </c>
      <c r="F1129" s="1" t="s">
        <v>29</v>
      </c>
      <c r="G1129" s="1" t="s">
        <v>53</v>
      </c>
      <c r="H1129" s="1" t="s">
        <v>108</v>
      </c>
      <c r="I1129" s="1" t="s">
        <v>109</v>
      </c>
      <c r="J1129" s="1" t="s">
        <v>110</v>
      </c>
      <c r="K1129" t="s">
        <v>34</v>
      </c>
      <c r="M1129" s="1" t="s">
        <v>35</v>
      </c>
      <c r="N1129" s="1">
        <v>42318949</v>
      </c>
      <c r="O1129" s="1" t="s">
        <v>105</v>
      </c>
      <c r="P1129" s="186">
        <v>44932.430659722224</v>
      </c>
      <c r="R1129" s="1" t="s">
        <v>38</v>
      </c>
      <c r="T1129" s="1" t="s">
        <v>74</v>
      </c>
      <c r="U1129" s="186">
        <v>44932.75</v>
      </c>
      <c r="V1129" s="1" t="s">
        <v>41</v>
      </c>
      <c r="W1129" s="1" t="s">
        <v>49</v>
      </c>
      <c r="AA1129" s="14"/>
    </row>
    <row r="1130" spans="1:27" hidden="1">
      <c r="A1130" s="1">
        <v>9294710</v>
      </c>
      <c r="B1130" s="1" t="s">
        <v>101</v>
      </c>
      <c r="C1130" t="s">
        <v>1810</v>
      </c>
      <c r="E1130" s="2">
        <v>1362000206001</v>
      </c>
      <c r="F1130" s="1" t="s">
        <v>29</v>
      </c>
      <c r="G1130" s="1" t="s">
        <v>53</v>
      </c>
      <c r="H1130" s="1" t="s">
        <v>268</v>
      </c>
      <c r="I1130" s="1" t="s">
        <v>269</v>
      </c>
      <c r="J1130" s="1" t="s">
        <v>90</v>
      </c>
      <c r="K1130" t="s">
        <v>34</v>
      </c>
      <c r="M1130" s="1" t="s">
        <v>35</v>
      </c>
      <c r="N1130" s="1">
        <v>42318949</v>
      </c>
      <c r="O1130" s="1" t="s">
        <v>105</v>
      </c>
      <c r="P1130" s="186">
        <v>44932.430659722224</v>
      </c>
      <c r="R1130" s="1" t="s">
        <v>38</v>
      </c>
      <c r="T1130" s="1" t="s">
        <v>74</v>
      </c>
      <c r="U1130" s="186">
        <v>44932.75</v>
      </c>
      <c r="V1130" s="1" t="s">
        <v>41</v>
      </c>
      <c r="W1130" s="1" t="s">
        <v>49</v>
      </c>
      <c r="AA1130" s="14"/>
    </row>
    <row r="1131" spans="1:27" hidden="1">
      <c r="A1131" s="1">
        <v>9294709</v>
      </c>
      <c r="B1131" s="1" t="s">
        <v>101</v>
      </c>
      <c r="C1131" t="s">
        <v>1810</v>
      </c>
      <c r="E1131" s="2">
        <v>1361000206001</v>
      </c>
      <c r="F1131" s="1" t="s">
        <v>29</v>
      </c>
      <c r="G1131" s="1" t="s">
        <v>53</v>
      </c>
      <c r="H1131" s="1" t="s">
        <v>309</v>
      </c>
      <c r="I1131" s="1" t="s">
        <v>310</v>
      </c>
      <c r="J1131" s="1" t="s">
        <v>46</v>
      </c>
      <c r="K1131" t="s">
        <v>34</v>
      </c>
      <c r="M1131" s="1" t="s">
        <v>35</v>
      </c>
      <c r="N1131" s="1">
        <v>42318949</v>
      </c>
      <c r="O1131" s="1" t="s">
        <v>105</v>
      </c>
      <c r="P1131" s="186">
        <v>44932.430659722224</v>
      </c>
      <c r="R1131" s="1" t="s">
        <v>38</v>
      </c>
      <c r="T1131" s="1" t="s">
        <v>74</v>
      </c>
      <c r="U1131" s="186">
        <v>44932.75</v>
      </c>
      <c r="V1131" s="1" t="s">
        <v>41</v>
      </c>
      <c r="W1131" s="1" t="s">
        <v>49</v>
      </c>
      <c r="AA1131" s="14"/>
    </row>
    <row r="1132" spans="1:27" hidden="1">
      <c r="A1132" s="1">
        <v>9294708</v>
      </c>
      <c r="B1132" s="1" t="s">
        <v>101</v>
      </c>
      <c r="C1132" t="s">
        <v>1810</v>
      </c>
      <c r="E1132" s="2">
        <v>1360000206001</v>
      </c>
      <c r="F1132" s="1" t="s">
        <v>29</v>
      </c>
      <c r="G1132" s="1" t="s">
        <v>53</v>
      </c>
      <c r="H1132" s="1" t="s">
        <v>303</v>
      </c>
      <c r="I1132" s="1" t="s">
        <v>304</v>
      </c>
      <c r="J1132" s="1" t="s">
        <v>261</v>
      </c>
      <c r="K1132" t="s">
        <v>34</v>
      </c>
      <c r="M1132" s="1" t="s">
        <v>35</v>
      </c>
      <c r="N1132" s="1">
        <v>42318949</v>
      </c>
      <c r="O1132" s="1" t="s">
        <v>105</v>
      </c>
      <c r="P1132" s="186">
        <v>44932.430659722224</v>
      </c>
      <c r="R1132" s="1" t="s">
        <v>38</v>
      </c>
      <c r="T1132" s="1" t="s">
        <v>74</v>
      </c>
      <c r="U1132" s="186">
        <v>44932.75</v>
      </c>
      <c r="V1132" s="1" t="s">
        <v>41</v>
      </c>
      <c r="W1132" s="1" t="s">
        <v>49</v>
      </c>
      <c r="AA1132" s="14"/>
    </row>
    <row r="1133" spans="1:27" hidden="1">
      <c r="A1133" s="1">
        <v>9294706</v>
      </c>
      <c r="B1133" s="1" t="s">
        <v>101</v>
      </c>
      <c r="C1133" t="s">
        <v>1810</v>
      </c>
      <c r="E1133" s="2">
        <v>1358000206001</v>
      </c>
      <c r="F1133" s="1" t="s">
        <v>29</v>
      </c>
      <c r="G1133" s="1" t="s">
        <v>53</v>
      </c>
      <c r="H1133" s="1" t="s">
        <v>593</v>
      </c>
      <c r="I1133" s="1" t="s">
        <v>594</v>
      </c>
      <c r="J1133" s="1" t="s">
        <v>261</v>
      </c>
      <c r="K1133" t="s">
        <v>34</v>
      </c>
      <c r="M1133" s="1" t="s">
        <v>35</v>
      </c>
      <c r="N1133" s="1">
        <v>42318949</v>
      </c>
      <c r="O1133" s="1" t="s">
        <v>105</v>
      </c>
      <c r="P1133" s="186">
        <v>44932.430659722224</v>
      </c>
      <c r="R1133" s="1" t="s">
        <v>38</v>
      </c>
      <c r="T1133" s="1" t="s">
        <v>74</v>
      </c>
      <c r="U1133" s="186">
        <v>44932.75</v>
      </c>
      <c r="V1133" s="1" t="s">
        <v>41</v>
      </c>
      <c r="W1133" s="1" t="s">
        <v>49</v>
      </c>
      <c r="AA1133" s="14"/>
    </row>
    <row r="1134" spans="1:27" hidden="1">
      <c r="A1134" s="1">
        <v>9294627</v>
      </c>
      <c r="B1134" s="1" t="s">
        <v>101</v>
      </c>
      <c r="C1134" t="s">
        <v>1810</v>
      </c>
      <c r="E1134" s="2">
        <v>1264000206001</v>
      </c>
      <c r="F1134" s="1" t="s">
        <v>29</v>
      </c>
      <c r="G1134" s="1" t="s">
        <v>53</v>
      </c>
      <c r="H1134" s="1" t="s">
        <v>351</v>
      </c>
      <c r="I1134" s="1" t="s">
        <v>352</v>
      </c>
      <c r="J1134" s="1" t="s">
        <v>110</v>
      </c>
      <c r="K1134" t="s">
        <v>34</v>
      </c>
      <c r="M1134" s="1" t="s">
        <v>35</v>
      </c>
      <c r="N1134" s="1">
        <v>42318949</v>
      </c>
      <c r="O1134" s="1" t="s">
        <v>105</v>
      </c>
      <c r="P1134" s="186">
        <v>44932.430497685185</v>
      </c>
      <c r="R1134" s="1" t="s">
        <v>38</v>
      </c>
      <c r="T1134" s="1" t="s">
        <v>74</v>
      </c>
      <c r="U1134" s="186">
        <v>44932.75</v>
      </c>
      <c r="V1134" s="1" t="s">
        <v>41</v>
      </c>
      <c r="W1134" s="1" t="s">
        <v>49</v>
      </c>
      <c r="AA1134" s="14"/>
    </row>
    <row r="1135" spans="1:27" hidden="1">
      <c r="A1135" s="1">
        <v>9294610</v>
      </c>
      <c r="B1135" s="1" t="s">
        <v>101</v>
      </c>
      <c r="C1135" t="s">
        <v>1810</v>
      </c>
      <c r="E1135" s="2">
        <v>1245000206001</v>
      </c>
      <c r="F1135" s="1" t="s">
        <v>29</v>
      </c>
      <c r="G1135" s="1" t="s">
        <v>53</v>
      </c>
      <c r="H1135" s="1" t="s">
        <v>408</v>
      </c>
      <c r="I1135" s="1" t="s">
        <v>409</v>
      </c>
      <c r="J1135" s="1" t="s">
        <v>46</v>
      </c>
      <c r="K1135" t="s">
        <v>34</v>
      </c>
      <c r="M1135" s="1" t="s">
        <v>35</v>
      </c>
      <c r="N1135" s="1">
        <v>42318949</v>
      </c>
      <c r="O1135" s="1" t="s">
        <v>105</v>
      </c>
      <c r="P1135" s="186">
        <v>44932.430462962962</v>
      </c>
      <c r="R1135" s="1" t="s">
        <v>38</v>
      </c>
      <c r="T1135" s="1" t="s">
        <v>74</v>
      </c>
      <c r="U1135" s="186">
        <v>44932.75</v>
      </c>
      <c r="V1135" s="1" t="s">
        <v>41</v>
      </c>
      <c r="W1135" s="1" t="s">
        <v>49</v>
      </c>
      <c r="AA1135" s="14"/>
    </row>
    <row r="1136" spans="1:27" hidden="1">
      <c r="A1136" s="1">
        <v>9294550</v>
      </c>
      <c r="B1136" s="1" t="s">
        <v>101</v>
      </c>
      <c r="C1136" t="s">
        <v>1810</v>
      </c>
      <c r="E1136" s="2">
        <v>1185000206001</v>
      </c>
      <c r="F1136" s="1" t="s">
        <v>29</v>
      </c>
      <c r="G1136" s="1" t="s">
        <v>53</v>
      </c>
      <c r="H1136" s="1" t="s">
        <v>539</v>
      </c>
      <c r="I1136" s="1" t="s">
        <v>540</v>
      </c>
      <c r="J1136" s="1" t="s">
        <v>33</v>
      </c>
      <c r="K1136" t="s">
        <v>34</v>
      </c>
      <c r="M1136" s="1" t="s">
        <v>35</v>
      </c>
      <c r="N1136" s="1">
        <v>42318949</v>
      </c>
      <c r="O1136" s="1" t="s">
        <v>105</v>
      </c>
      <c r="P1136" s="186">
        <v>44932.430358796293</v>
      </c>
      <c r="R1136" s="1" t="s">
        <v>38</v>
      </c>
      <c r="T1136" s="1" t="s">
        <v>74</v>
      </c>
      <c r="U1136" s="186">
        <v>44932.75</v>
      </c>
      <c r="V1136" s="1" t="s">
        <v>41</v>
      </c>
      <c r="W1136" s="1" t="s">
        <v>42</v>
      </c>
      <c r="AA1136" s="14"/>
    </row>
    <row r="1137" spans="1:27" hidden="1">
      <c r="A1137" s="1">
        <v>9294531</v>
      </c>
      <c r="B1137" s="1" t="s">
        <v>101</v>
      </c>
      <c r="C1137" t="s">
        <v>1810</v>
      </c>
      <c r="E1137" s="2">
        <v>1162000206001</v>
      </c>
      <c r="F1137" s="1" t="s">
        <v>29</v>
      </c>
      <c r="G1137" s="1" t="s">
        <v>53</v>
      </c>
      <c r="H1137" s="1" t="s">
        <v>280</v>
      </c>
      <c r="I1137" s="1" t="s">
        <v>281</v>
      </c>
      <c r="J1137" s="1" t="s">
        <v>211</v>
      </c>
      <c r="K1137" t="s">
        <v>34</v>
      </c>
      <c r="M1137" s="1" t="s">
        <v>35</v>
      </c>
      <c r="N1137" s="1">
        <v>42318949</v>
      </c>
      <c r="O1137" s="1" t="s">
        <v>105</v>
      </c>
      <c r="P1137" s="186">
        <v>44932.430324074077</v>
      </c>
      <c r="R1137" s="1" t="s">
        <v>38</v>
      </c>
      <c r="T1137" s="1" t="s">
        <v>74</v>
      </c>
      <c r="U1137" s="186">
        <v>44932.75</v>
      </c>
      <c r="V1137" s="1" t="s">
        <v>41</v>
      </c>
      <c r="W1137" s="1" t="s">
        <v>49</v>
      </c>
      <c r="AA1137" s="14"/>
    </row>
    <row r="1138" spans="1:27" hidden="1">
      <c r="A1138" s="1">
        <v>9294523</v>
      </c>
      <c r="B1138" s="1" t="s">
        <v>101</v>
      </c>
      <c r="C1138" t="s">
        <v>1810</v>
      </c>
      <c r="E1138" s="2">
        <v>1153000206001</v>
      </c>
      <c r="F1138" s="1" t="s">
        <v>29</v>
      </c>
      <c r="G1138" s="1" t="s">
        <v>53</v>
      </c>
      <c r="H1138" s="1" t="s">
        <v>1031</v>
      </c>
      <c r="I1138" s="1" t="s">
        <v>1032</v>
      </c>
      <c r="J1138" s="1" t="s">
        <v>79</v>
      </c>
      <c r="K1138" t="s">
        <v>34</v>
      </c>
      <c r="M1138" s="1" t="s">
        <v>35</v>
      </c>
      <c r="N1138" s="1">
        <v>42318949</v>
      </c>
      <c r="O1138" s="1" t="s">
        <v>105</v>
      </c>
      <c r="P1138" s="186">
        <v>44932.430312500001</v>
      </c>
      <c r="R1138" s="1" t="s">
        <v>38</v>
      </c>
      <c r="T1138" s="1" t="s">
        <v>74</v>
      </c>
      <c r="U1138" s="186">
        <v>44932.75</v>
      </c>
      <c r="V1138" s="1" t="s">
        <v>41</v>
      </c>
      <c r="W1138" s="1" t="s">
        <v>49</v>
      </c>
      <c r="AA1138" s="14"/>
    </row>
    <row r="1139" spans="1:27" hidden="1">
      <c r="A1139" s="1">
        <v>9294508</v>
      </c>
      <c r="B1139" s="1" t="s">
        <v>101</v>
      </c>
      <c r="C1139" t="s">
        <v>1810</v>
      </c>
      <c r="E1139" s="2">
        <v>1138000206001</v>
      </c>
      <c r="F1139" s="1" t="s">
        <v>29</v>
      </c>
      <c r="G1139" s="1" t="s">
        <v>53</v>
      </c>
      <c r="H1139" s="1" t="s">
        <v>548</v>
      </c>
      <c r="I1139" s="1" t="s">
        <v>549</v>
      </c>
      <c r="J1139" s="1" t="s">
        <v>46</v>
      </c>
      <c r="K1139" t="s">
        <v>34</v>
      </c>
      <c r="M1139" s="1" t="s">
        <v>35</v>
      </c>
      <c r="N1139" s="1">
        <v>42318949</v>
      </c>
      <c r="O1139" s="1" t="s">
        <v>105</v>
      </c>
      <c r="P1139" s="186">
        <v>44932.430289351854</v>
      </c>
      <c r="R1139" s="1" t="s">
        <v>38</v>
      </c>
      <c r="T1139" s="1" t="s">
        <v>74</v>
      </c>
      <c r="U1139" s="186">
        <v>44932.75</v>
      </c>
      <c r="V1139" s="1" t="s">
        <v>41</v>
      </c>
      <c r="W1139" s="1" t="s">
        <v>49</v>
      </c>
      <c r="AA1139" s="14"/>
    </row>
    <row r="1140" spans="1:27" hidden="1">
      <c r="A1140" s="1">
        <v>9294499</v>
      </c>
      <c r="B1140" s="1" t="s">
        <v>101</v>
      </c>
      <c r="C1140" t="s">
        <v>1810</v>
      </c>
      <c r="E1140" s="2">
        <v>1128000206001</v>
      </c>
      <c r="F1140" s="1" t="s">
        <v>29</v>
      </c>
      <c r="G1140" s="1" t="s">
        <v>53</v>
      </c>
      <c r="H1140" s="1" t="s">
        <v>1191</v>
      </c>
      <c r="I1140" s="1" t="s">
        <v>1192</v>
      </c>
      <c r="J1140" s="1" t="s">
        <v>33</v>
      </c>
      <c r="K1140" t="s">
        <v>34</v>
      </c>
      <c r="M1140" s="1" t="s">
        <v>35</v>
      </c>
      <c r="N1140" s="1">
        <v>42318949</v>
      </c>
      <c r="O1140" s="1" t="s">
        <v>36</v>
      </c>
      <c r="P1140" s="186">
        <v>44932.430277777778</v>
      </c>
      <c r="R1140" s="1" t="s">
        <v>38</v>
      </c>
      <c r="T1140" s="1" t="s">
        <v>74</v>
      </c>
      <c r="U1140" s="186">
        <v>44932.75</v>
      </c>
      <c r="V1140" s="1" t="s">
        <v>41</v>
      </c>
      <c r="W1140" s="1" t="s">
        <v>49</v>
      </c>
      <c r="AA1140" s="14"/>
    </row>
    <row r="1141" spans="1:27" hidden="1">
      <c r="A1141" s="1">
        <v>9294491</v>
      </c>
      <c r="B1141" s="1" t="s">
        <v>101</v>
      </c>
      <c r="C1141" t="s">
        <v>1810</v>
      </c>
      <c r="E1141" s="2">
        <v>1120000206001</v>
      </c>
      <c r="F1141" s="1" t="s">
        <v>29</v>
      </c>
      <c r="G1141" s="1" t="s">
        <v>53</v>
      </c>
      <c r="H1141" s="1" t="s">
        <v>181</v>
      </c>
      <c r="I1141" s="1" t="s">
        <v>182</v>
      </c>
      <c r="J1141" s="1" t="s">
        <v>164</v>
      </c>
      <c r="K1141" t="s">
        <v>34</v>
      </c>
      <c r="M1141" s="1" t="s">
        <v>35</v>
      </c>
      <c r="N1141" s="1">
        <v>42318949</v>
      </c>
      <c r="O1141" s="1" t="s">
        <v>105</v>
      </c>
      <c r="P1141" s="186">
        <v>44932.430266203701</v>
      </c>
      <c r="R1141" s="1" t="s">
        <v>38</v>
      </c>
      <c r="T1141" s="1" t="s">
        <v>74</v>
      </c>
      <c r="U1141" s="186">
        <v>44932.75</v>
      </c>
      <c r="V1141" s="1" t="s">
        <v>41</v>
      </c>
      <c r="W1141" s="1" t="s">
        <v>49</v>
      </c>
      <c r="AA1141" s="14"/>
    </row>
    <row r="1142" spans="1:27" hidden="1">
      <c r="A1142" s="1">
        <v>9294445</v>
      </c>
      <c r="B1142" s="1" t="s">
        <v>101</v>
      </c>
      <c r="C1142" t="s">
        <v>1810</v>
      </c>
      <c r="E1142" s="2">
        <v>1069000206001</v>
      </c>
      <c r="F1142" s="1" t="s">
        <v>29</v>
      </c>
      <c r="G1142" s="1" t="s">
        <v>53</v>
      </c>
      <c r="H1142" s="1" t="s">
        <v>353</v>
      </c>
      <c r="I1142" s="1" t="s">
        <v>354</v>
      </c>
      <c r="J1142" s="1" t="s">
        <v>211</v>
      </c>
      <c r="K1142" t="s">
        <v>34</v>
      </c>
      <c r="M1142" s="1" t="s">
        <v>35</v>
      </c>
      <c r="N1142" s="1">
        <v>42318949</v>
      </c>
      <c r="O1142" s="1" t="s">
        <v>105</v>
      </c>
      <c r="P1142" s="186">
        <v>44932.430208333331</v>
      </c>
      <c r="R1142" s="1" t="s">
        <v>38</v>
      </c>
      <c r="T1142" s="1" t="s">
        <v>74</v>
      </c>
      <c r="U1142" s="186">
        <v>44932.75</v>
      </c>
      <c r="V1142" s="1" t="s">
        <v>41</v>
      </c>
      <c r="W1142" s="1" t="s">
        <v>49</v>
      </c>
      <c r="AA1142" s="14"/>
    </row>
    <row r="1143" spans="1:27" hidden="1">
      <c r="A1143" s="1">
        <v>9294436</v>
      </c>
      <c r="B1143" s="1" t="s">
        <v>101</v>
      </c>
      <c r="C1143" t="s">
        <v>1810</v>
      </c>
      <c r="E1143" s="2">
        <v>1059000206001</v>
      </c>
      <c r="F1143" s="1" t="s">
        <v>29</v>
      </c>
      <c r="G1143" s="1" t="s">
        <v>53</v>
      </c>
      <c r="H1143" s="1" t="s">
        <v>88</v>
      </c>
      <c r="I1143" s="1" t="s">
        <v>89</v>
      </c>
      <c r="J1143" s="1" t="s">
        <v>90</v>
      </c>
      <c r="K1143" t="s">
        <v>34</v>
      </c>
      <c r="M1143" s="1" t="s">
        <v>35</v>
      </c>
      <c r="N1143" s="1">
        <v>42318949</v>
      </c>
      <c r="O1143" s="1" t="s">
        <v>105</v>
      </c>
      <c r="P1143" s="186">
        <v>44932.430196759262</v>
      </c>
      <c r="R1143" s="1" t="s">
        <v>38</v>
      </c>
      <c r="T1143" s="1" t="s">
        <v>74</v>
      </c>
      <c r="U1143" s="186">
        <v>44932.75</v>
      </c>
      <c r="V1143" s="1" t="s">
        <v>41</v>
      </c>
      <c r="W1143" s="1" t="s">
        <v>49</v>
      </c>
      <c r="AA1143" s="14"/>
    </row>
    <row r="1144" spans="1:27" hidden="1">
      <c r="A1144" s="1">
        <v>9294435</v>
      </c>
      <c r="B1144" s="1" t="s">
        <v>101</v>
      </c>
      <c r="C1144" t="s">
        <v>1810</v>
      </c>
      <c r="E1144" s="2">
        <v>1058000206001</v>
      </c>
      <c r="F1144" s="1" t="s">
        <v>29</v>
      </c>
      <c r="G1144" s="1" t="s">
        <v>53</v>
      </c>
      <c r="H1144" s="1" t="s">
        <v>289</v>
      </c>
      <c r="I1144" s="1" t="s">
        <v>290</v>
      </c>
      <c r="J1144" s="1" t="s">
        <v>56</v>
      </c>
      <c r="K1144" t="s">
        <v>34</v>
      </c>
      <c r="M1144" s="1" t="s">
        <v>35</v>
      </c>
      <c r="N1144" s="1">
        <v>42318949</v>
      </c>
      <c r="O1144" s="1" t="s">
        <v>105</v>
      </c>
      <c r="P1144" s="186">
        <v>44932.430196759262</v>
      </c>
      <c r="R1144" s="1" t="s">
        <v>38</v>
      </c>
      <c r="T1144" s="1" t="s">
        <v>74</v>
      </c>
      <c r="U1144" s="186">
        <v>44932.75</v>
      </c>
      <c r="V1144" s="1" t="s">
        <v>41</v>
      </c>
      <c r="W1144" s="1" t="s">
        <v>49</v>
      </c>
      <c r="AA1144" s="14"/>
    </row>
    <row r="1145" spans="1:27" hidden="1">
      <c r="A1145" s="1">
        <v>9294424</v>
      </c>
      <c r="B1145" s="1" t="s">
        <v>101</v>
      </c>
      <c r="C1145" t="s">
        <v>1810</v>
      </c>
      <c r="E1145" s="2">
        <v>1049000206001</v>
      </c>
      <c r="F1145" s="1" t="s">
        <v>29</v>
      </c>
      <c r="G1145" s="1" t="s">
        <v>53</v>
      </c>
      <c r="H1145" s="1" t="s">
        <v>169</v>
      </c>
      <c r="I1145" s="1" t="s">
        <v>170</v>
      </c>
      <c r="J1145" s="1" t="s">
        <v>164</v>
      </c>
      <c r="K1145" t="s">
        <v>34</v>
      </c>
      <c r="M1145" s="1" t="s">
        <v>35</v>
      </c>
      <c r="N1145" s="1">
        <v>42318949</v>
      </c>
      <c r="O1145" s="1" t="s">
        <v>105</v>
      </c>
      <c r="P1145" s="186">
        <v>44932.430173611108</v>
      </c>
      <c r="R1145" s="1" t="s">
        <v>38</v>
      </c>
      <c r="T1145" s="1" t="s">
        <v>74</v>
      </c>
      <c r="U1145" s="186">
        <v>44932.75</v>
      </c>
      <c r="V1145" s="1" t="s">
        <v>41</v>
      </c>
      <c r="W1145" s="1" t="s">
        <v>49</v>
      </c>
      <c r="AA1145" s="14"/>
    </row>
    <row r="1146" spans="1:27" hidden="1">
      <c r="A1146" s="1">
        <v>9294406</v>
      </c>
      <c r="B1146" s="1" t="s">
        <v>101</v>
      </c>
      <c r="C1146" t="s">
        <v>1810</v>
      </c>
      <c r="E1146" s="2">
        <v>1028000206001</v>
      </c>
      <c r="F1146" s="1" t="s">
        <v>29</v>
      </c>
      <c r="G1146" s="1" t="s">
        <v>53</v>
      </c>
      <c r="H1146" s="1" t="s">
        <v>1079</v>
      </c>
      <c r="I1146" s="1" t="s">
        <v>1080</v>
      </c>
      <c r="J1146" s="1" t="s">
        <v>85</v>
      </c>
      <c r="K1146" t="s">
        <v>34</v>
      </c>
      <c r="M1146" s="1" t="s">
        <v>35</v>
      </c>
      <c r="N1146" s="1">
        <v>42318949</v>
      </c>
      <c r="O1146" s="1" t="s">
        <v>105</v>
      </c>
      <c r="P1146" s="186">
        <v>44932.430150462962</v>
      </c>
      <c r="R1146" s="1" t="s">
        <v>38</v>
      </c>
      <c r="T1146" s="1" t="s">
        <v>74</v>
      </c>
      <c r="U1146" s="186">
        <v>44932.75</v>
      </c>
      <c r="V1146" s="1" t="s">
        <v>41</v>
      </c>
      <c r="W1146" s="1" t="s">
        <v>49</v>
      </c>
      <c r="AA1146" s="14"/>
    </row>
    <row r="1147" spans="1:27" hidden="1">
      <c r="A1147" s="1">
        <v>9294391</v>
      </c>
      <c r="B1147" s="1" t="s">
        <v>101</v>
      </c>
      <c r="C1147" t="s">
        <v>1810</v>
      </c>
      <c r="E1147" s="2">
        <v>1012000206001</v>
      </c>
      <c r="F1147" s="1" t="s">
        <v>29</v>
      </c>
      <c r="G1147" s="1" t="s">
        <v>53</v>
      </c>
      <c r="H1147" s="1" t="s">
        <v>172</v>
      </c>
      <c r="I1147" s="1" t="s">
        <v>173</v>
      </c>
      <c r="J1147" s="1" t="s">
        <v>164</v>
      </c>
      <c r="K1147" t="s">
        <v>34</v>
      </c>
      <c r="M1147" s="1" t="s">
        <v>35</v>
      </c>
      <c r="N1147" s="1">
        <v>42318949</v>
      </c>
      <c r="O1147" s="1" t="s">
        <v>105</v>
      </c>
      <c r="P1147" s="186">
        <v>44932.430138888885</v>
      </c>
      <c r="R1147" s="1" t="s">
        <v>38</v>
      </c>
      <c r="T1147" s="1" t="s">
        <v>74</v>
      </c>
      <c r="U1147" s="186">
        <v>44932.75</v>
      </c>
      <c r="V1147" s="1" t="s">
        <v>41</v>
      </c>
      <c r="W1147" s="1" t="s">
        <v>49</v>
      </c>
      <c r="AA1147" s="14"/>
    </row>
    <row r="1148" spans="1:27" hidden="1">
      <c r="A1148" s="1">
        <v>9294359</v>
      </c>
      <c r="B1148" s="1" t="s">
        <v>101</v>
      </c>
      <c r="C1148" t="s">
        <v>1810</v>
      </c>
      <c r="E1148" s="2">
        <v>981000206001</v>
      </c>
      <c r="F1148" s="1" t="s">
        <v>29</v>
      </c>
      <c r="G1148" s="1" t="s">
        <v>53</v>
      </c>
      <c r="H1148" s="1" t="s">
        <v>410</v>
      </c>
      <c r="I1148" s="1" t="s">
        <v>411</v>
      </c>
      <c r="J1148" s="1" t="s">
        <v>85</v>
      </c>
      <c r="K1148" t="s">
        <v>34</v>
      </c>
      <c r="M1148" s="1" t="s">
        <v>35</v>
      </c>
      <c r="N1148" s="1">
        <v>42318949</v>
      </c>
      <c r="O1148" s="1" t="s">
        <v>105</v>
      </c>
      <c r="P1148" s="186">
        <v>44932.430081018516</v>
      </c>
      <c r="R1148" s="1" t="s">
        <v>38</v>
      </c>
      <c r="T1148" s="1" t="s">
        <v>74</v>
      </c>
      <c r="U1148" s="186">
        <v>44932.75</v>
      </c>
      <c r="V1148" s="1" t="s">
        <v>41</v>
      </c>
      <c r="W1148" s="1" t="s">
        <v>49</v>
      </c>
      <c r="AA1148" s="14"/>
    </row>
    <row r="1149" spans="1:27" hidden="1">
      <c r="A1149" s="1">
        <v>9294339</v>
      </c>
      <c r="B1149" s="1" t="s">
        <v>101</v>
      </c>
      <c r="C1149" t="s">
        <v>1810</v>
      </c>
      <c r="E1149" s="2">
        <v>963000206001</v>
      </c>
      <c r="F1149" s="1" t="s">
        <v>29</v>
      </c>
      <c r="G1149" s="1" t="s">
        <v>53</v>
      </c>
      <c r="H1149" s="1" t="s">
        <v>531</v>
      </c>
      <c r="I1149" s="1" t="s">
        <v>532</v>
      </c>
      <c r="J1149" s="1" t="s">
        <v>33</v>
      </c>
      <c r="K1149" t="s">
        <v>34</v>
      </c>
      <c r="M1149" s="1" t="s">
        <v>35</v>
      </c>
      <c r="N1149" s="1">
        <v>42318949</v>
      </c>
      <c r="O1149" s="1" t="s">
        <v>105</v>
      </c>
      <c r="P1149" s="186">
        <v>44932.430046296293</v>
      </c>
      <c r="R1149" s="1" t="s">
        <v>38</v>
      </c>
      <c r="T1149" s="1" t="s">
        <v>74</v>
      </c>
      <c r="U1149" s="186">
        <v>44932.75</v>
      </c>
      <c r="V1149" s="1" t="s">
        <v>41</v>
      </c>
      <c r="W1149" s="1" t="s">
        <v>49</v>
      </c>
      <c r="AA1149" s="14"/>
    </row>
    <row r="1150" spans="1:27" hidden="1">
      <c r="A1150" s="1">
        <v>9294307</v>
      </c>
      <c r="B1150" s="1" t="s">
        <v>101</v>
      </c>
      <c r="C1150" t="s">
        <v>1810</v>
      </c>
      <c r="E1150" s="2">
        <v>934000206001</v>
      </c>
      <c r="F1150" s="1" t="s">
        <v>29</v>
      </c>
      <c r="G1150" s="1" t="s">
        <v>53</v>
      </c>
      <c r="H1150" s="1" t="s">
        <v>428</v>
      </c>
      <c r="I1150" s="1" t="s">
        <v>429</v>
      </c>
      <c r="J1150" s="1" t="s">
        <v>46</v>
      </c>
      <c r="K1150" t="s">
        <v>34</v>
      </c>
      <c r="M1150" s="1" t="s">
        <v>35</v>
      </c>
      <c r="N1150" s="1">
        <v>42318949</v>
      </c>
      <c r="O1150" s="1" t="s">
        <v>105</v>
      </c>
      <c r="P1150" s="186">
        <v>44932.43</v>
      </c>
      <c r="R1150" s="1" t="s">
        <v>38</v>
      </c>
      <c r="T1150" s="1" t="s">
        <v>74</v>
      </c>
      <c r="U1150" s="186">
        <v>44932.75</v>
      </c>
      <c r="V1150" s="1" t="s">
        <v>41</v>
      </c>
      <c r="W1150" s="1" t="s">
        <v>49</v>
      </c>
      <c r="AA1150" s="14"/>
    </row>
    <row r="1151" spans="1:27" hidden="1">
      <c r="A1151" s="1">
        <v>9294293</v>
      </c>
      <c r="B1151" s="1" t="s">
        <v>101</v>
      </c>
      <c r="C1151" t="s">
        <v>1810</v>
      </c>
      <c r="E1151" s="2">
        <v>922000206001</v>
      </c>
      <c r="F1151" s="1" t="s">
        <v>29</v>
      </c>
      <c r="G1151" s="1" t="s">
        <v>53</v>
      </c>
      <c r="H1151" s="1" t="s">
        <v>1375</v>
      </c>
      <c r="I1151" s="1" t="s">
        <v>1376</v>
      </c>
      <c r="J1151" s="1" t="s">
        <v>261</v>
      </c>
      <c r="K1151" t="s">
        <v>34</v>
      </c>
      <c r="M1151" s="1" t="s">
        <v>35</v>
      </c>
      <c r="N1151" s="1">
        <v>42318949</v>
      </c>
      <c r="O1151" s="1" t="s">
        <v>105</v>
      </c>
      <c r="P1151" s="186">
        <v>44932.429988425924</v>
      </c>
      <c r="R1151" s="1" t="s">
        <v>38</v>
      </c>
      <c r="T1151" s="1" t="s">
        <v>74</v>
      </c>
      <c r="U1151" s="186">
        <v>44932.75</v>
      </c>
      <c r="V1151" s="1" t="s">
        <v>41</v>
      </c>
      <c r="W1151" s="1" t="s">
        <v>49</v>
      </c>
      <c r="AA1151" s="14"/>
    </row>
    <row r="1152" spans="1:27" hidden="1">
      <c r="A1152" s="1">
        <v>9294269</v>
      </c>
      <c r="B1152" s="1" t="s">
        <v>101</v>
      </c>
      <c r="C1152" t="s">
        <v>1810</v>
      </c>
      <c r="E1152" s="2">
        <v>899000206001</v>
      </c>
      <c r="F1152" s="1" t="s">
        <v>29</v>
      </c>
      <c r="G1152" s="1" t="s">
        <v>53</v>
      </c>
      <c r="H1152" s="1" t="s">
        <v>175</v>
      </c>
      <c r="I1152" s="1" t="s">
        <v>176</v>
      </c>
      <c r="J1152" s="1" t="s">
        <v>90</v>
      </c>
      <c r="K1152" t="s">
        <v>34</v>
      </c>
      <c r="M1152" s="1" t="s">
        <v>35</v>
      </c>
      <c r="N1152" s="1">
        <v>42318949</v>
      </c>
      <c r="O1152" s="1" t="s">
        <v>36</v>
      </c>
      <c r="P1152" s="186">
        <v>44932.429942129631</v>
      </c>
      <c r="R1152" s="1" t="s">
        <v>38</v>
      </c>
      <c r="T1152" s="1" t="s">
        <v>74</v>
      </c>
      <c r="U1152" s="186">
        <v>44932.75</v>
      </c>
      <c r="V1152" s="1" t="s">
        <v>41</v>
      </c>
      <c r="W1152" s="1" t="s">
        <v>49</v>
      </c>
      <c r="AA1152" s="14"/>
    </row>
    <row r="1153" spans="1:27" hidden="1">
      <c r="A1153" s="1">
        <v>9294239</v>
      </c>
      <c r="B1153" s="1" t="s">
        <v>101</v>
      </c>
      <c r="C1153" t="s">
        <v>1810</v>
      </c>
      <c r="E1153" s="2">
        <v>870000206001</v>
      </c>
      <c r="F1153" s="1" t="s">
        <v>29</v>
      </c>
      <c r="G1153" s="1" t="s">
        <v>53</v>
      </c>
      <c r="H1153" s="1" t="s">
        <v>183</v>
      </c>
      <c r="I1153" s="1" t="s">
        <v>184</v>
      </c>
      <c r="J1153" s="1" t="s">
        <v>90</v>
      </c>
      <c r="K1153" t="s">
        <v>34</v>
      </c>
      <c r="M1153" s="1" t="s">
        <v>35</v>
      </c>
      <c r="N1153" s="1">
        <v>42318949</v>
      </c>
      <c r="O1153" s="1" t="s">
        <v>105</v>
      </c>
      <c r="P1153" s="186">
        <v>44932.429907407408</v>
      </c>
      <c r="R1153" s="1" t="s">
        <v>38</v>
      </c>
      <c r="T1153" s="1" t="s">
        <v>74</v>
      </c>
      <c r="U1153" s="186">
        <v>44932.75</v>
      </c>
      <c r="V1153" s="1" t="s">
        <v>41</v>
      </c>
      <c r="W1153" s="1" t="s">
        <v>49</v>
      </c>
      <c r="AA1153" s="14"/>
    </row>
    <row r="1154" spans="1:27" hidden="1">
      <c r="A1154" s="1">
        <v>9294195</v>
      </c>
      <c r="B1154" s="1" t="s">
        <v>101</v>
      </c>
      <c r="C1154" t="s">
        <v>1810</v>
      </c>
      <c r="E1154" s="2">
        <v>834000206001</v>
      </c>
      <c r="F1154" s="1" t="s">
        <v>29</v>
      </c>
      <c r="G1154" s="1" t="s">
        <v>53</v>
      </c>
      <c r="H1154" s="1" t="s">
        <v>367</v>
      </c>
      <c r="I1154" s="1" t="s">
        <v>368</v>
      </c>
      <c r="J1154" s="1" t="s">
        <v>261</v>
      </c>
      <c r="K1154" t="s">
        <v>34</v>
      </c>
      <c r="M1154" s="1" t="s">
        <v>35</v>
      </c>
      <c r="N1154" s="1">
        <v>42318949</v>
      </c>
      <c r="O1154" s="1" t="s">
        <v>105</v>
      </c>
      <c r="P1154" s="186">
        <v>44932.429837962962</v>
      </c>
      <c r="R1154" s="1" t="s">
        <v>38</v>
      </c>
      <c r="T1154" s="1" t="s">
        <v>74</v>
      </c>
      <c r="U1154" s="186">
        <v>44932.75</v>
      </c>
      <c r="V1154" s="1" t="s">
        <v>41</v>
      </c>
      <c r="W1154" s="1" t="s">
        <v>49</v>
      </c>
      <c r="AA1154" s="14"/>
    </row>
    <row r="1155" spans="1:27" hidden="1">
      <c r="A1155" s="1">
        <v>9294183</v>
      </c>
      <c r="B1155" s="1" t="s">
        <v>101</v>
      </c>
      <c r="C1155" t="s">
        <v>1810</v>
      </c>
      <c r="E1155" s="2">
        <v>821000206001</v>
      </c>
      <c r="F1155" s="1" t="s">
        <v>29</v>
      </c>
      <c r="G1155" s="1" t="s">
        <v>53</v>
      </c>
      <c r="H1155" s="1" t="s">
        <v>1351</v>
      </c>
      <c r="I1155" s="1" t="s">
        <v>1352</v>
      </c>
      <c r="J1155" s="1" t="s">
        <v>46</v>
      </c>
      <c r="K1155" t="s">
        <v>34</v>
      </c>
      <c r="M1155" s="1" t="s">
        <v>35</v>
      </c>
      <c r="N1155" s="1">
        <v>42318949</v>
      </c>
      <c r="O1155" s="1" t="s">
        <v>105</v>
      </c>
      <c r="P1155" s="186">
        <v>44932.429814814815</v>
      </c>
      <c r="R1155" s="1" t="s">
        <v>38</v>
      </c>
      <c r="T1155" s="1" t="s">
        <v>74</v>
      </c>
      <c r="U1155" s="186">
        <v>44932.75</v>
      </c>
      <c r="V1155" s="1" t="s">
        <v>41</v>
      </c>
      <c r="W1155" s="1" t="s">
        <v>49</v>
      </c>
      <c r="AA1155" s="14"/>
    </row>
    <row r="1156" spans="1:27" hidden="1">
      <c r="A1156" s="1">
        <v>9294081</v>
      </c>
      <c r="B1156" s="1" t="s">
        <v>101</v>
      </c>
      <c r="C1156" t="s">
        <v>1810</v>
      </c>
      <c r="E1156" s="2">
        <v>721000206001</v>
      </c>
      <c r="F1156" s="1" t="s">
        <v>29</v>
      </c>
      <c r="G1156" s="1" t="s">
        <v>53</v>
      </c>
      <c r="H1156" s="1" t="s">
        <v>422</v>
      </c>
      <c r="I1156" s="1" t="s">
        <v>423</v>
      </c>
      <c r="J1156" s="1" t="s">
        <v>79</v>
      </c>
      <c r="K1156" t="s">
        <v>34</v>
      </c>
      <c r="M1156" s="1" t="s">
        <v>35</v>
      </c>
      <c r="N1156" s="1">
        <v>42318949</v>
      </c>
      <c r="O1156" s="1" t="s">
        <v>105</v>
      </c>
      <c r="P1156" s="186">
        <v>44932.429664351854</v>
      </c>
      <c r="R1156" s="1" t="s">
        <v>38</v>
      </c>
      <c r="T1156" s="1" t="s">
        <v>74</v>
      </c>
      <c r="U1156" s="186">
        <v>44932.75</v>
      </c>
      <c r="V1156" s="1" t="s">
        <v>41</v>
      </c>
      <c r="W1156" s="1" t="s">
        <v>49</v>
      </c>
      <c r="AA1156" s="14"/>
    </row>
    <row r="1157" spans="1:27" hidden="1">
      <c r="A1157" s="1">
        <v>9294073</v>
      </c>
      <c r="B1157" s="1" t="s">
        <v>101</v>
      </c>
      <c r="C1157" t="s">
        <v>1810</v>
      </c>
      <c r="E1157" s="2">
        <v>714000206001</v>
      </c>
      <c r="F1157" s="1" t="s">
        <v>29</v>
      </c>
      <c r="G1157" s="1" t="s">
        <v>53</v>
      </c>
      <c r="H1157" s="1" t="s">
        <v>377</v>
      </c>
      <c r="I1157" s="1" t="s">
        <v>378</v>
      </c>
      <c r="J1157" s="1" t="s">
        <v>46</v>
      </c>
      <c r="K1157" t="s">
        <v>34</v>
      </c>
      <c r="M1157" s="1" t="s">
        <v>35</v>
      </c>
      <c r="N1157" s="1">
        <v>42318949</v>
      </c>
      <c r="O1157" s="1" t="s">
        <v>105</v>
      </c>
      <c r="P1157" s="186">
        <v>44932.429652777777</v>
      </c>
      <c r="R1157" s="1" t="s">
        <v>38</v>
      </c>
      <c r="T1157" s="1" t="s">
        <v>74</v>
      </c>
      <c r="U1157" s="186">
        <v>44932.75</v>
      </c>
      <c r="V1157" s="1" t="s">
        <v>41</v>
      </c>
      <c r="W1157" s="1" t="s">
        <v>49</v>
      </c>
      <c r="AA1157" s="14"/>
    </row>
    <row r="1158" spans="1:27" hidden="1">
      <c r="A1158" s="1">
        <v>9294069</v>
      </c>
      <c r="B1158" s="1" t="s">
        <v>101</v>
      </c>
      <c r="C1158" t="s">
        <v>1810</v>
      </c>
      <c r="E1158" s="2">
        <v>711000206001</v>
      </c>
      <c r="F1158" s="1" t="s">
        <v>29</v>
      </c>
      <c r="G1158" s="1" t="s">
        <v>53</v>
      </c>
      <c r="H1158" s="1" t="s">
        <v>77</v>
      </c>
      <c r="I1158" s="1" t="s">
        <v>78</v>
      </c>
      <c r="J1158" s="1" t="s">
        <v>79</v>
      </c>
      <c r="K1158" t="s">
        <v>34</v>
      </c>
      <c r="M1158" s="1" t="s">
        <v>35</v>
      </c>
      <c r="N1158" s="1">
        <v>42318949</v>
      </c>
      <c r="O1158" s="1" t="s">
        <v>105</v>
      </c>
      <c r="P1158" s="186">
        <v>44932.4296412037</v>
      </c>
      <c r="R1158" s="1" t="s">
        <v>38</v>
      </c>
      <c r="T1158" s="1" t="s">
        <v>74</v>
      </c>
      <c r="U1158" s="186">
        <v>44932.75</v>
      </c>
      <c r="V1158" s="1" t="s">
        <v>41</v>
      </c>
      <c r="W1158" s="1" t="s">
        <v>49</v>
      </c>
      <c r="AA1158" s="14"/>
    </row>
    <row r="1159" spans="1:27" hidden="1">
      <c r="A1159" s="1">
        <v>9294068</v>
      </c>
      <c r="B1159" s="1" t="s">
        <v>101</v>
      </c>
      <c r="C1159" t="s">
        <v>1810</v>
      </c>
      <c r="E1159" s="2">
        <v>710000206001</v>
      </c>
      <c r="F1159" s="1" t="s">
        <v>29</v>
      </c>
      <c r="G1159" s="1" t="s">
        <v>53</v>
      </c>
      <c r="H1159" s="1" t="s">
        <v>390</v>
      </c>
      <c r="I1159" s="1" t="s">
        <v>391</v>
      </c>
      <c r="J1159" s="1" t="s">
        <v>56</v>
      </c>
      <c r="K1159" t="s">
        <v>34</v>
      </c>
      <c r="M1159" s="1" t="s">
        <v>35</v>
      </c>
      <c r="N1159" s="1">
        <v>42318949</v>
      </c>
      <c r="O1159" s="1" t="s">
        <v>36</v>
      </c>
      <c r="P1159" s="186">
        <v>44932.4296412037</v>
      </c>
      <c r="R1159" s="1" t="s">
        <v>38</v>
      </c>
      <c r="T1159" s="1" t="s">
        <v>74</v>
      </c>
      <c r="U1159" s="186">
        <v>44932.75</v>
      </c>
      <c r="V1159" s="1" t="s">
        <v>41</v>
      </c>
      <c r="W1159" s="1" t="s">
        <v>49</v>
      </c>
      <c r="AA1159" s="14"/>
    </row>
    <row r="1160" spans="1:27" hidden="1">
      <c r="A1160" s="1">
        <v>9294054</v>
      </c>
      <c r="B1160" s="1" t="s">
        <v>101</v>
      </c>
      <c r="C1160" t="s">
        <v>1810</v>
      </c>
      <c r="E1160" s="2">
        <v>697000206001</v>
      </c>
      <c r="F1160" s="1" t="s">
        <v>29</v>
      </c>
      <c r="G1160" s="1" t="s">
        <v>53</v>
      </c>
      <c r="H1160" s="1" t="s">
        <v>65</v>
      </c>
      <c r="I1160" s="1" t="s">
        <v>66</v>
      </c>
      <c r="J1160" s="1" t="s">
        <v>46</v>
      </c>
      <c r="K1160" t="s">
        <v>34</v>
      </c>
      <c r="M1160" s="1" t="s">
        <v>35</v>
      </c>
      <c r="N1160" s="1">
        <v>42318949</v>
      </c>
      <c r="O1160" s="1" t="s">
        <v>105</v>
      </c>
      <c r="P1160" s="186">
        <v>44932.429618055554</v>
      </c>
      <c r="R1160" s="1" t="s">
        <v>38</v>
      </c>
      <c r="T1160" s="1" t="s">
        <v>74</v>
      </c>
      <c r="U1160" s="186">
        <v>44932.75</v>
      </c>
      <c r="V1160" s="1" t="s">
        <v>41</v>
      </c>
      <c r="W1160" s="1" t="s">
        <v>49</v>
      </c>
      <c r="AA1160" s="14"/>
    </row>
    <row r="1161" spans="1:27" hidden="1">
      <c r="A1161" s="1">
        <v>9294030</v>
      </c>
      <c r="B1161" s="1" t="s">
        <v>101</v>
      </c>
      <c r="C1161" t="s">
        <v>1810</v>
      </c>
      <c r="E1161" s="2">
        <v>673000206001</v>
      </c>
      <c r="F1161" s="1" t="s">
        <v>29</v>
      </c>
      <c r="G1161" s="1" t="s">
        <v>53</v>
      </c>
      <c r="H1161" s="1" t="s">
        <v>581</v>
      </c>
      <c r="I1161" s="1" t="s">
        <v>582</v>
      </c>
      <c r="J1161" s="1" t="s">
        <v>110</v>
      </c>
      <c r="K1161" t="s">
        <v>34</v>
      </c>
      <c r="M1161" s="1" t="s">
        <v>35</v>
      </c>
      <c r="N1161" s="1">
        <v>42318949</v>
      </c>
      <c r="O1161" s="1" t="s">
        <v>105</v>
      </c>
      <c r="P1161" s="186">
        <v>44932.429583333331</v>
      </c>
      <c r="R1161" s="1" t="s">
        <v>38</v>
      </c>
      <c r="T1161" s="1" t="s">
        <v>74</v>
      </c>
      <c r="U1161" s="186">
        <v>44932.75</v>
      </c>
      <c r="V1161" s="1" t="s">
        <v>41</v>
      </c>
      <c r="W1161" s="1" t="s">
        <v>49</v>
      </c>
      <c r="AA1161" s="14"/>
    </row>
    <row r="1162" spans="1:27" hidden="1">
      <c r="A1162" s="1">
        <v>9293955</v>
      </c>
      <c r="B1162" s="1" t="s">
        <v>101</v>
      </c>
      <c r="C1162" t="s">
        <v>1810</v>
      </c>
      <c r="E1162" s="2">
        <v>608000206001</v>
      </c>
      <c r="F1162" s="1" t="s">
        <v>29</v>
      </c>
      <c r="G1162" s="1" t="s">
        <v>53</v>
      </c>
      <c r="H1162" s="1" t="s">
        <v>438</v>
      </c>
      <c r="I1162" s="1" t="s">
        <v>439</v>
      </c>
      <c r="J1162" s="1" t="s">
        <v>148</v>
      </c>
      <c r="K1162" t="s">
        <v>34</v>
      </c>
      <c r="M1162" s="1" t="s">
        <v>35</v>
      </c>
      <c r="N1162" s="1">
        <v>42318949</v>
      </c>
      <c r="O1162" s="1" t="s">
        <v>105</v>
      </c>
      <c r="P1162" s="186">
        <v>44932.429467592592</v>
      </c>
      <c r="R1162" s="1" t="s">
        <v>38</v>
      </c>
      <c r="T1162" s="1" t="s">
        <v>74</v>
      </c>
      <c r="U1162" s="186">
        <v>44932.75</v>
      </c>
      <c r="V1162" s="1" t="s">
        <v>41</v>
      </c>
      <c r="W1162" s="1" t="s">
        <v>49</v>
      </c>
      <c r="AA1162" s="14"/>
    </row>
    <row r="1163" spans="1:27" hidden="1">
      <c r="A1163" s="1">
        <v>9293952</v>
      </c>
      <c r="B1163" s="1" t="s">
        <v>101</v>
      </c>
      <c r="C1163" t="s">
        <v>1810</v>
      </c>
      <c r="E1163" s="2">
        <v>605000206001</v>
      </c>
      <c r="F1163" s="1" t="s">
        <v>29</v>
      </c>
      <c r="G1163" s="1" t="s">
        <v>53</v>
      </c>
      <c r="H1163" s="1" t="s">
        <v>420</v>
      </c>
      <c r="I1163" s="1" t="s">
        <v>421</v>
      </c>
      <c r="J1163" s="1" t="s">
        <v>90</v>
      </c>
      <c r="K1163" t="s">
        <v>34</v>
      </c>
      <c r="M1163" s="1" t="s">
        <v>35</v>
      </c>
      <c r="N1163" s="1">
        <v>42318949</v>
      </c>
      <c r="O1163" s="1" t="s">
        <v>105</v>
      </c>
      <c r="P1163" s="186">
        <v>44932.429456018515</v>
      </c>
      <c r="R1163" s="1" t="s">
        <v>38</v>
      </c>
      <c r="T1163" s="1" t="s">
        <v>74</v>
      </c>
      <c r="U1163" s="186">
        <v>44932.75</v>
      </c>
      <c r="V1163" s="1" t="s">
        <v>41</v>
      </c>
      <c r="W1163" s="1" t="s">
        <v>49</v>
      </c>
      <c r="AA1163" s="14"/>
    </row>
    <row r="1164" spans="1:27" hidden="1">
      <c r="A1164" s="1">
        <v>9293925</v>
      </c>
      <c r="B1164" s="1" t="s">
        <v>101</v>
      </c>
      <c r="C1164" t="s">
        <v>1810</v>
      </c>
      <c r="E1164" s="2">
        <v>582000206001</v>
      </c>
      <c r="F1164" s="1" t="s">
        <v>29</v>
      </c>
      <c r="G1164" s="1" t="s">
        <v>53</v>
      </c>
      <c r="H1164" s="1" t="s">
        <v>139</v>
      </c>
      <c r="I1164" s="1" t="s">
        <v>140</v>
      </c>
      <c r="J1164" s="1" t="s">
        <v>141</v>
      </c>
      <c r="K1164" t="s">
        <v>34</v>
      </c>
      <c r="M1164" s="1" t="s">
        <v>35</v>
      </c>
      <c r="N1164" s="1">
        <v>42318949</v>
      </c>
      <c r="O1164" s="1" t="s">
        <v>105</v>
      </c>
      <c r="P1164" s="186">
        <v>44932.4294212963</v>
      </c>
      <c r="R1164" s="1" t="s">
        <v>38</v>
      </c>
      <c r="T1164" s="1" t="s">
        <v>74</v>
      </c>
      <c r="U1164" s="186">
        <v>44932.75</v>
      </c>
      <c r="V1164" s="1" t="s">
        <v>41</v>
      </c>
      <c r="W1164" s="1" t="s">
        <v>49</v>
      </c>
      <c r="AA1164" s="14"/>
    </row>
    <row r="1165" spans="1:27" hidden="1">
      <c r="A1165" s="181">
        <v>9293913</v>
      </c>
      <c r="B1165" s="181" t="s">
        <v>101</v>
      </c>
      <c r="C1165" s="182" t="s">
        <v>3483</v>
      </c>
      <c r="D1165" s="183"/>
      <c r="E1165" s="183">
        <v>570000206001</v>
      </c>
      <c r="F1165" s="181" t="s">
        <v>29</v>
      </c>
      <c r="G1165" s="181" t="s">
        <v>53</v>
      </c>
      <c r="H1165" s="181" t="s">
        <v>434</v>
      </c>
      <c r="I1165" s="181" t="s">
        <v>435</v>
      </c>
      <c r="J1165" s="181" t="s">
        <v>148</v>
      </c>
      <c r="K1165" t="s">
        <v>34</v>
      </c>
      <c r="M1165" s="1" t="s">
        <v>35</v>
      </c>
      <c r="N1165" s="1">
        <v>42318949</v>
      </c>
      <c r="O1165" s="1" t="s">
        <v>105</v>
      </c>
      <c r="P1165" s="186">
        <v>44932.429398148146</v>
      </c>
      <c r="R1165" s="1" t="s">
        <v>38</v>
      </c>
      <c r="T1165" s="1" t="s">
        <v>74</v>
      </c>
      <c r="U1165" s="186">
        <v>44932.75</v>
      </c>
      <c r="V1165" s="1" t="s">
        <v>41</v>
      </c>
      <c r="W1165" s="1" t="s">
        <v>49</v>
      </c>
      <c r="AA1165" s="14"/>
    </row>
    <row r="1166" spans="1:27" hidden="1">
      <c r="A1166" s="1">
        <v>9293892</v>
      </c>
      <c r="B1166" s="1" t="s">
        <v>101</v>
      </c>
      <c r="C1166" t="s">
        <v>1810</v>
      </c>
      <c r="E1166" s="2">
        <v>550000206001</v>
      </c>
      <c r="F1166" s="1" t="s">
        <v>29</v>
      </c>
      <c r="G1166" s="1" t="s">
        <v>53</v>
      </c>
      <c r="H1166" s="1" t="s">
        <v>337</v>
      </c>
      <c r="I1166" s="1" t="s">
        <v>338</v>
      </c>
      <c r="J1166" s="1" t="s">
        <v>164</v>
      </c>
      <c r="K1166" t="s">
        <v>34</v>
      </c>
      <c r="M1166" s="1" t="s">
        <v>35</v>
      </c>
      <c r="N1166" s="1">
        <v>42318949</v>
      </c>
      <c r="O1166" s="1" t="s">
        <v>105</v>
      </c>
      <c r="P1166" s="186">
        <v>44932.429363425923</v>
      </c>
      <c r="R1166" s="1" t="s">
        <v>38</v>
      </c>
      <c r="T1166" s="1" t="s">
        <v>74</v>
      </c>
      <c r="U1166" s="186">
        <v>44932.75</v>
      </c>
      <c r="V1166" s="1" t="s">
        <v>41</v>
      </c>
      <c r="W1166" s="1" t="s">
        <v>49</v>
      </c>
      <c r="AA1166" s="14"/>
    </row>
    <row r="1167" spans="1:27" hidden="1">
      <c r="A1167" s="1">
        <v>9293880</v>
      </c>
      <c r="B1167" s="1" t="s">
        <v>101</v>
      </c>
      <c r="C1167" t="s">
        <v>1810</v>
      </c>
      <c r="E1167" s="2">
        <v>537000206001</v>
      </c>
      <c r="F1167" s="1" t="s">
        <v>29</v>
      </c>
      <c r="G1167" s="1" t="s">
        <v>53</v>
      </c>
      <c r="H1167" s="1" t="s">
        <v>442</v>
      </c>
      <c r="I1167" s="1" t="s">
        <v>443</v>
      </c>
      <c r="J1167" s="1" t="s">
        <v>79</v>
      </c>
      <c r="K1167" t="s">
        <v>34</v>
      </c>
      <c r="M1167" s="1" t="s">
        <v>35</v>
      </c>
      <c r="N1167" s="1">
        <v>42318949</v>
      </c>
      <c r="O1167" s="1" t="s">
        <v>105</v>
      </c>
      <c r="P1167" s="186">
        <v>44932.429351851853</v>
      </c>
      <c r="R1167" s="1" t="s">
        <v>38</v>
      </c>
      <c r="T1167" s="1" t="s">
        <v>74</v>
      </c>
      <c r="U1167" s="186">
        <v>44932.75</v>
      </c>
      <c r="V1167" s="1" t="s">
        <v>41</v>
      </c>
      <c r="W1167" s="1" t="s">
        <v>49</v>
      </c>
      <c r="AA1167" s="14"/>
    </row>
    <row r="1168" spans="1:27" hidden="1">
      <c r="A1168" s="1">
        <v>9293775</v>
      </c>
      <c r="B1168" s="1" t="s">
        <v>101</v>
      </c>
      <c r="C1168" t="s">
        <v>1810</v>
      </c>
      <c r="E1168" s="2">
        <v>446000206001</v>
      </c>
      <c r="F1168" s="1" t="s">
        <v>29</v>
      </c>
      <c r="G1168" s="1" t="s">
        <v>53</v>
      </c>
      <c r="H1168" s="1" t="s">
        <v>432</v>
      </c>
      <c r="I1168" s="1" t="s">
        <v>433</v>
      </c>
      <c r="J1168" s="1" t="s">
        <v>110</v>
      </c>
      <c r="K1168" t="s">
        <v>34</v>
      </c>
      <c r="M1168" s="1" t="s">
        <v>35</v>
      </c>
      <c r="N1168" s="1">
        <v>42318949</v>
      </c>
      <c r="O1168" s="1" t="s">
        <v>36</v>
      </c>
      <c r="P1168" s="186">
        <v>44932.429189814815</v>
      </c>
      <c r="R1168" s="1" t="s">
        <v>38</v>
      </c>
      <c r="T1168" s="1" t="s">
        <v>74</v>
      </c>
      <c r="U1168" s="186">
        <v>44932.75</v>
      </c>
      <c r="V1168" s="1" t="s">
        <v>41</v>
      </c>
      <c r="W1168" s="1" t="s">
        <v>49</v>
      </c>
      <c r="AA1168" s="14"/>
    </row>
    <row r="1169" spans="1:27" hidden="1">
      <c r="A1169" s="1">
        <v>9293508</v>
      </c>
      <c r="B1169" s="1" t="s">
        <v>101</v>
      </c>
      <c r="C1169" t="s">
        <v>1810</v>
      </c>
      <c r="E1169" s="2">
        <v>233000206001</v>
      </c>
      <c r="F1169" s="1" t="s">
        <v>29</v>
      </c>
      <c r="G1169" s="1" t="s">
        <v>53</v>
      </c>
      <c r="H1169" s="1" t="s">
        <v>424</v>
      </c>
      <c r="I1169" s="1" t="s">
        <v>425</v>
      </c>
      <c r="J1169" s="1" t="s">
        <v>261</v>
      </c>
      <c r="K1169" t="s">
        <v>34</v>
      </c>
      <c r="M1169" s="1" t="s">
        <v>35</v>
      </c>
      <c r="N1169" s="1">
        <v>42318949</v>
      </c>
      <c r="O1169" s="1" t="s">
        <v>105</v>
      </c>
      <c r="P1169" s="186">
        <v>44932.428796296299</v>
      </c>
      <c r="R1169" s="1" t="s">
        <v>38</v>
      </c>
      <c r="T1169" s="1" t="s">
        <v>74</v>
      </c>
      <c r="U1169" s="186">
        <v>44932.75</v>
      </c>
      <c r="V1169" s="1" t="s">
        <v>41</v>
      </c>
      <c r="W1169" s="1" t="s">
        <v>49</v>
      </c>
      <c r="AA1169" s="14"/>
    </row>
    <row r="1170" spans="1:27" hidden="1">
      <c r="A1170" s="1">
        <v>9293507</v>
      </c>
      <c r="B1170" s="1" t="s">
        <v>101</v>
      </c>
      <c r="C1170" t="s">
        <v>1810</v>
      </c>
      <c r="E1170" s="2">
        <v>232000206001</v>
      </c>
      <c r="F1170" s="1" t="s">
        <v>29</v>
      </c>
      <c r="G1170" s="1" t="s">
        <v>53</v>
      </c>
      <c r="H1170" s="1" t="s">
        <v>1363</v>
      </c>
      <c r="I1170" s="1" t="s">
        <v>1364</v>
      </c>
      <c r="J1170" s="1" t="s">
        <v>141</v>
      </c>
      <c r="K1170" t="s">
        <v>34</v>
      </c>
      <c r="M1170" s="1" t="s">
        <v>35</v>
      </c>
      <c r="N1170" s="1">
        <v>42318949</v>
      </c>
      <c r="O1170" s="1" t="s">
        <v>105</v>
      </c>
      <c r="P1170" s="186">
        <v>44932.428796296299</v>
      </c>
      <c r="R1170" s="1" t="s">
        <v>38</v>
      </c>
      <c r="T1170" s="1" t="s">
        <v>74</v>
      </c>
      <c r="U1170" s="186">
        <v>44932.75</v>
      </c>
      <c r="V1170" s="1" t="s">
        <v>41</v>
      </c>
      <c r="W1170" s="1" t="s">
        <v>49</v>
      </c>
      <c r="AA1170" s="14"/>
    </row>
    <row r="1171" spans="1:27" hidden="1">
      <c r="A1171" s="1">
        <v>9293492</v>
      </c>
      <c r="B1171" s="1" t="s">
        <v>101</v>
      </c>
      <c r="C1171" t="s">
        <v>1810</v>
      </c>
      <c r="E1171" s="2">
        <v>220000206001</v>
      </c>
      <c r="F1171" s="1" t="s">
        <v>29</v>
      </c>
      <c r="G1171" s="1" t="s">
        <v>53</v>
      </c>
      <c r="H1171" s="1" t="s">
        <v>588</v>
      </c>
      <c r="I1171" s="1" t="s">
        <v>589</v>
      </c>
      <c r="J1171" s="1" t="s">
        <v>110</v>
      </c>
      <c r="K1171" t="s">
        <v>34</v>
      </c>
      <c r="M1171" s="1" t="s">
        <v>35</v>
      </c>
      <c r="N1171" s="1">
        <v>42318949</v>
      </c>
      <c r="O1171" s="1" t="s">
        <v>105</v>
      </c>
      <c r="P1171" s="186">
        <v>44932.428784722222</v>
      </c>
      <c r="R1171" s="1" t="s">
        <v>38</v>
      </c>
      <c r="T1171" s="1" t="s">
        <v>74</v>
      </c>
      <c r="U1171" s="186">
        <v>44932.75</v>
      </c>
      <c r="V1171" s="1" t="s">
        <v>41</v>
      </c>
      <c r="W1171" s="1" t="s">
        <v>49</v>
      </c>
      <c r="AA1171" s="14"/>
    </row>
    <row r="1172" spans="1:27" hidden="1">
      <c r="A1172" s="1">
        <v>9293462</v>
      </c>
      <c r="B1172" s="1" t="s">
        <v>101</v>
      </c>
      <c r="C1172" t="s">
        <v>1810</v>
      </c>
      <c r="E1172" s="2">
        <v>196000206001</v>
      </c>
      <c r="F1172" s="1" t="s">
        <v>29</v>
      </c>
      <c r="G1172" s="1" t="s">
        <v>53</v>
      </c>
      <c r="H1172" s="1" t="s">
        <v>1060</v>
      </c>
      <c r="I1172" s="1" t="s">
        <v>1061</v>
      </c>
      <c r="J1172" s="1" t="s">
        <v>79</v>
      </c>
      <c r="K1172" t="s">
        <v>34</v>
      </c>
      <c r="M1172" s="1" t="s">
        <v>35</v>
      </c>
      <c r="N1172" s="1">
        <v>42318949</v>
      </c>
      <c r="O1172" s="1" t="s">
        <v>105</v>
      </c>
      <c r="P1172" s="186">
        <v>44932.428738425922</v>
      </c>
      <c r="R1172" s="1" t="s">
        <v>38</v>
      </c>
      <c r="T1172" s="1" t="s">
        <v>74</v>
      </c>
      <c r="U1172" s="186">
        <v>44932.75</v>
      </c>
      <c r="V1172" s="1" t="s">
        <v>41</v>
      </c>
      <c r="W1172" s="1" t="s">
        <v>49</v>
      </c>
      <c r="AA1172" s="14"/>
    </row>
    <row r="1173" spans="1:27" hidden="1">
      <c r="A1173" s="1">
        <v>9293363</v>
      </c>
      <c r="B1173" s="1" t="s">
        <v>101</v>
      </c>
      <c r="C1173" t="s">
        <v>1810</v>
      </c>
      <c r="E1173" s="2">
        <v>115000206001</v>
      </c>
      <c r="F1173" s="1" t="s">
        <v>29</v>
      </c>
      <c r="G1173" s="1" t="s">
        <v>53</v>
      </c>
      <c r="H1173" s="1" t="s">
        <v>542</v>
      </c>
      <c r="I1173" s="1" t="s">
        <v>543</v>
      </c>
      <c r="J1173" s="1" t="s">
        <v>56</v>
      </c>
      <c r="K1173" t="s">
        <v>34</v>
      </c>
      <c r="M1173" s="1" t="s">
        <v>35</v>
      </c>
      <c r="N1173" s="1">
        <v>42318949</v>
      </c>
      <c r="O1173" s="1" t="s">
        <v>105</v>
      </c>
      <c r="P1173" s="186">
        <v>44932.428587962961</v>
      </c>
      <c r="R1173" s="1" t="s">
        <v>38</v>
      </c>
      <c r="T1173" s="1" t="s">
        <v>74</v>
      </c>
      <c r="U1173" s="186">
        <v>44932.75</v>
      </c>
      <c r="V1173" s="1" t="s">
        <v>41</v>
      </c>
      <c r="W1173" s="1" t="s">
        <v>49</v>
      </c>
      <c r="AA1173" s="14"/>
    </row>
    <row r="1174" spans="1:27" hidden="1">
      <c r="A1174" s="1">
        <v>9293306</v>
      </c>
      <c r="B1174" s="1" t="s">
        <v>101</v>
      </c>
      <c r="C1174" t="s">
        <v>1810</v>
      </c>
      <c r="E1174" s="2">
        <v>68000206001</v>
      </c>
      <c r="F1174" s="1" t="s">
        <v>29</v>
      </c>
      <c r="G1174" s="1" t="s">
        <v>53</v>
      </c>
      <c r="H1174" s="1" t="s">
        <v>1330</v>
      </c>
      <c r="I1174" s="1" t="s">
        <v>1331</v>
      </c>
      <c r="J1174" s="1" t="s">
        <v>211</v>
      </c>
      <c r="K1174" t="s">
        <v>34</v>
      </c>
      <c r="M1174" s="1" t="s">
        <v>35</v>
      </c>
      <c r="N1174" s="1">
        <v>42318949</v>
      </c>
      <c r="O1174" s="1" t="s">
        <v>105</v>
      </c>
      <c r="P1174" s="186">
        <v>44932.428495370368</v>
      </c>
      <c r="R1174" s="1" t="s">
        <v>38</v>
      </c>
      <c r="T1174" s="1" t="s">
        <v>74</v>
      </c>
      <c r="U1174" s="186">
        <v>44932.75</v>
      </c>
      <c r="V1174" s="1" t="s">
        <v>41</v>
      </c>
      <c r="W1174" s="1" t="s">
        <v>49</v>
      </c>
      <c r="AA1174" s="14"/>
    </row>
    <row r="1175" spans="1:27" hidden="1">
      <c r="A1175" s="1">
        <v>9293305</v>
      </c>
      <c r="B1175" s="1" t="s">
        <v>101</v>
      </c>
      <c r="C1175" t="s">
        <v>1810</v>
      </c>
      <c r="E1175" s="2">
        <v>67000206001</v>
      </c>
      <c r="F1175" s="1" t="s">
        <v>29</v>
      </c>
      <c r="G1175" s="1" t="s">
        <v>53</v>
      </c>
      <c r="H1175" s="1" t="s">
        <v>404</v>
      </c>
      <c r="I1175" s="1" t="s">
        <v>405</v>
      </c>
      <c r="J1175" s="1" t="s">
        <v>164</v>
      </c>
      <c r="K1175" t="s">
        <v>34</v>
      </c>
      <c r="M1175" s="1" t="s">
        <v>35</v>
      </c>
      <c r="N1175" s="1">
        <v>42318949</v>
      </c>
      <c r="O1175" s="1" t="s">
        <v>105</v>
      </c>
      <c r="P1175" s="186">
        <v>44932.428495370368</v>
      </c>
      <c r="R1175" s="1" t="s">
        <v>38</v>
      </c>
      <c r="T1175" s="1" t="s">
        <v>74</v>
      </c>
      <c r="U1175" s="186">
        <v>44932.75</v>
      </c>
      <c r="V1175" s="1" t="s">
        <v>41</v>
      </c>
      <c r="W1175" s="1" t="s">
        <v>49</v>
      </c>
      <c r="AA1175" s="14"/>
    </row>
    <row r="1176" spans="1:27" hidden="1">
      <c r="A1176" s="1">
        <v>9293224</v>
      </c>
      <c r="B1176" s="1" t="s">
        <v>101</v>
      </c>
      <c r="C1176" t="s">
        <v>1810</v>
      </c>
      <c r="E1176" s="2">
        <v>7750206001</v>
      </c>
      <c r="F1176" s="1" t="s">
        <v>29</v>
      </c>
      <c r="G1176" s="1" t="s">
        <v>53</v>
      </c>
      <c r="H1176" s="1" t="s">
        <v>1921</v>
      </c>
      <c r="I1176" s="1" t="s">
        <v>630</v>
      </c>
      <c r="J1176" s="1" t="s">
        <v>46</v>
      </c>
      <c r="K1176" t="s">
        <v>34</v>
      </c>
      <c r="M1176" s="1" t="s">
        <v>35</v>
      </c>
      <c r="N1176" s="1">
        <v>42318949</v>
      </c>
      <c r="O1176" s="1" t="s">
        <v>105</v>
      </c>
      <c r="P1176" s="186">
        <v>44932.428379629629</v>
      </c>
      <c r="R1176" s="1" t="s">
        <v>38</v>
      </c>
      <c r="T1176" s="1" t="s">
        <v>74</v>
      </c>
      <c r="U1176" s="186">
        <v>44932.75</v>
      </c>
      <c r="V1176" s="1" t="s">
        <v>41</v>
      </c>
      <c r="W1176" s="1" t="s">
        <v>49</v>
      </c>
      <c r="AA1176" s="14"/>
    </row>
    <row r="1177" spans="1:27" hidden="1">
      <c r="A1177" s="1">
        <v>9293223</v>
      </c>
      <c r="B1177" s="1" t="s">
        <v>101</v>
      </c>
      <c r="C1177" t="s">
        <v>1810</v>
      </c>
      <c r="E1177" s="2">
        <v>7740206001</v>
      </c>
      <c r="F1177" s="1" t="s">
        <v>29</v>
      </c>
      <c r="G1177" s="1" t="s">
        <v>53</v>
      </c>
      <c r="H1177" s="1" t="s">
        <v>187</v>
      </c>
      <c r="I1177" s="1" t="s">
        <v>188</v>
      </c>
      <c r="J1177" s="1" t="s">
        <v>46</v>
      </c>
      <c r="K1177" t="s">
        <v>34</v>
      </c>
      <c r="M1177" s="1" t="s">
        <v>35</v>
      </c>
      <c r="N1177" s="1">
        <v>42318949</v>
      </c>
      <c r="O1177" s="1" t="s">
        <v>105</v>
      </c>
      <c r="P1177" s="186">
        <v>44932.428379629629</v>
      </c>
      <c r="R1177" s="1" t="s">
        <v>38</v>
      </c>
      <c r="T1177" s="1" t="s">
        <v>74</v>
      </c>
      <c r="U1177" s="186">
        <v>44932.75</v>
      </c>
      <c r="V1177" s="1" t="s">
        <v>41</v>
      </c>
      <c r="W1177" s="1" t="s">
        <v>49</v>
      </c>
      <c r="AA1177" s="14"/>
    </row>
    <row r="1178" spans="1:27" hidden="1">
      <c r="A1178" s="1">
        <v>9293222</v>
      </c>
      <c r="B1178" s="1" t="s">
        <v>101</v>
      </c>
      <c r="C1178" t="s">
        <v>1810</v>
      </c>
      <c r="E1178" s="2">
        <v>7710206001</v>
      </c>
      <c r="F1178" s="1" t="s">
        <v>29</v>
      </c>
      <c r="G1178" s="1" t="s">
        <v>53</v>
      </c>
      <c r="H1178" s="1" t="s">
        <v>228</v>
      </c>
      <c r="I1178" s="1" t="s">
        <v>229</v>
      </c>
      <c r="J1178" s="1" t="s">
        <v>46</v>
      </c>
      <c r="K1178" t="s">
        <v>34</v>
      </c>
      <c r="M1178" s="1" t="s">
        <v>35</v>
      </c>
      <c r="N1178" s="1">
        <v>42318949</v>
      </c>
      <c r="O1178" s="1" t="s">
        <v>105</v>
      </c>
      <c r="P1178" s="186">
        <v>44932.428368055553</v>
      </c>
      <c r="R1178" s="1" t="s">
        <v>38</v>
      </c>
      <c r="T1178" s="1" t="s">
        <v>74</v>
      </c>
      <c r="U1178" s="186">
        <v>44932.75</v>
      </c>
      <c r="V1178" s="1" t="s">
        <v>41</v>
      </c>
      <c r="W1178" s="1" t="s">
        <v>49</v>
      </c>
      <c r="AA1178" s="14"/>
    </row>
    <row r="1179" spans="1:27" hidden="1">
      <c r="A1179" s="1">
        <v>9293221</v>
      </c>
      <c r="B1179" s="1" t="s">
        <v>101</v>
      </c>
      <c r="C1179" t="s">
        <v>1810</v>
      </c>
      <c r="E1179" s="2">
        <v>7000206001</v>
      </c>
      <c r="F1179" s="1" t="s">
        <v>29</v>
      </c>
      <c r="G1179" s="1" t="s">
        <v>53</v>
      </c>
      <c r="H1179" s="1" t="s">
        <v>383</v>
      </c>
      <c r="I1179" s="1" t="s">
        <v>384</v>
      </c>
      <c r="J1179" s="1" t="s">
        <v>46</v>
      </c>
      <c r="K1179" t="s">
        <v>34</v>
      </c>
      <c r="M1179" s="1" t="s">
        <v>35</v>
      </c>
      <c r="N1179" s="1">
        <v>42318949</v>
      </c>
      <c r="O1179" s="1" t="s">
        <v>105</v>
      </c>
      <c r="P1179" s="186">
        <v>44932.428368055553</v>
      </c>
      <c r="R1179" s="1" t="s">
        <v>38</v>
      </c>
      <c r="T1179" s="1" t="s">
        <v>74</v>
      </c>
      <c r="U1179" s="186">
        <v>44932.75</v>
      </c>
      <c r="V1179" s="1" t="s">
        <v>41</v>
      </c>
      <c r="W1179" s="1" t="s">
        <v>49</v>
      </c>
      <c r="AA1179" s="14"/>
    </row>
    <row r="1180" spans="1:27" hidden="1">
      <c r="A1180" s="1">
        <v>9316562</v>
      </c>
      <c r="B1180" s="1" t="s">
        <v>1924</v>
      </c>
      <c r="C1180" t="s">
        <v>1925</v>
      </c>
      <c r="D1180" s="2">
        <v>20234623000002</v>
      </c>
      <c r="E1180" s="2">
        <v>7417202020353</v>
      </c>
      <c r="F1180" s="1" t="s">
        <v>1213</v>
      </c>
      <c r="G1180" s="1" t="s">
        <v>53</v>
      </c>
      <c r="H1180" s="1" t="s">
        <v>1926</v>
      </c>
      <c r="I1180" s="1" t="s">
        <v>1927</v>
      </c>
      <c r="J1180" s="1" t="s">
        <v>33</v>
      </c>
      <c r="K1180" t="s">
        <v>1214</v>
      </c>
      <c r="M1180" s="1" t="s">
        <v>58</v>
      </c>
      <c r="N1180" s="1">
        <v>0</v>
      </c>
      <c r="O1180" s="1" t="s">
        <v>36</v>
      </c>
      <c r="P1180" s="186">
        <v>44935.666909722226</v>
      </c>
      <c r="R1180" s="1">
        <v>14</v>
      </c>
      <c r="T1180" s="1" t="s">
        <v>238</v>
      </c>
      <c r="U1180" s="186">
        <v>44937.999305555553</v>
      </c>
      <c r="V1180" s="1" t="s">
        <v>41</v>
      </c>
      <c r="W1180" s="1" t="s">
        <v>42</v>
      </c>
      <c r="AA1180" s="14"/>
    </row>
    <row r="1181" spans="1:27" hidden="1">
      <c r="A1181" s="1">
        <v>9314411</v>
      </c>
      <c r="B1181" s="1" t="s">
        <v>1153</v>
      </c>
      <c r="C1181" t="s">
        <v>1930</v>
      </c>
      <c r="D1181" s="2">
        <v>20231850000003</v>
      </c>
      <c r="E1181" s="2">
        <v>7417193050573</v>
      </c>
      <c r="F1181" s="1" t="s">
        <v>1719</v>
      </c>
      <c r="G1181" s="1" t="s">
        <v>53</v>
      </c>
      <c r="H1181" s="1" t="s">
        <v>1931</v>
      </c>
      <c r="I1181" s="1" t="s">
        <v>1932</v>
      </c>
      <c r="J1181" s="1" t="s">
        <v>46</v>
      </c>
      <c r="K1181" t="s">
        <v>1720</v>
      </c>
      <c r="M1181" s="1" t="s">
        <v>58</v>
      </c>
      <c r="N1181" s="1">
        <v>0</v>
      </c>
      <c r="O1181" s="1" t="s">
        <v>36</v>
      </c>
      <c r="P1181" s="186">
        <v>44935.42359953704</v>
      </c>
      <c r="R1181" s="1">
        <v>22</v>
      </c>
      <c r="T1181" s="1" t="s">
        <v>1160</v>
      </c>
      <c r="U1181" s="186">
        <v>44937.631932870368</v>
      </c>
      <c r="V1181" s="1" t="s">
        <v>41</v>
      </c>
      <c r="W1181" s="1" t="s">
        <v>49</v>
      </c>
      <c r="AA1181" s="14"/>
    </row>
    <row r="1182" spans="1:27" hidden="1">
      <c r="A1182" s="1">
        <v>9326301</v>
      </c>
      <c r="B1182" s="1" t="s">
        <v>81</v>
      </c>
      <c r="C1182" t="s">
        <v>1935</v>
      </c>
      <c r="E1182" s="2">
        <v>7417211830514</v>
      </c>
      <c r="F1182" s="1" t="s">
        <v>1936</v>
      </c>
      <c r="G1182" s="1" t="s">
        <v>53</v>
      </c>
      <c r="H1182" s="1" t="s">
        <v>1937</v>
      </c>
      <c r="I1182" s="1" t="s">
        <v>1938</v>
      </c>
      <c r="J1182" s="1" t="s">
        <v>90</v>
      </c>
      <c r="K1182" t="s">
        <v>1939</v>
      </c>
      <c r="M1182" s="1" t="s">
        <v>58</v>
      </c>
      <c r="N1182" s="1">
        <v>0</v>
      </c>
      <c r="O1182" s="1" t="s">
        <v>105</v>
      </c>
      <c r="P1182" s="186">
        <v>44937.678877314815</v>
      </c>
      <c r="R1182" s="1">
        <v>14</v>
      </c>
      <c r="T1182" s="1" t="s">
        <v>238</v>
      </c>
      <c r="U1182" s="186">
        <v>44938.679988425924</v>
      </c>
      <c r="V1182" s="1" t="s">
        <v>41</v>
      </c>
      <c r="W1182" s="1" t="s">
        <v>49</v>
      </c>
      <c r="AA1182" s="14"/>
    </row>
    <row r="1183" spans="1:27" hidden="1">
      <c r="A1183" s="1">
        <v>9331062</v>
      </c>
      <c r="B1183" s="1" t="s">
        <v>62</v>
      </c>
      <c r="C1183" t="s">
        <v>1942</v>
      </c>
      <c r="E1183" s="2">
        <v>2039000203000</v>
      </c>
      <c r="F1183" s="1" t="s">
        <v>454</v>
      </c>
      <c r="G1183" s="1" t="s">
        <v>53</v>
      </c>
      <c r="H1183" s="1" t="s">
        <v>1943</v>
      </c>
      <c r="I1183" s="1" t="s">
        <v>1944</v>
      </c>
      <c r="J1183" s="1" t="s">
        <v>110</v>
      </c>
      <c r="K1183" t="s">
        <v>457</v>
      </c>
      <c r="M1183" s="1" t="s">
        <v>58</v>
      </c>
      <c r="N1183" s="1">
        <v>0</v>
      </c>
      <c r="O1183" s="1" t="s">
        <v>36</v>
      </c>
      <c r="P1183" s="186">
        <v>44938.635578703703</v>
      </c>
      <c r="R1183" s="1">
        <v>1</v>
      </c>
      <c r="T1183" s="1" t="s">
        <v>157</v>
      </c>
      <c r="U1183" s="186">
        <v>44972.75</v>
      </c>
      <c r="V1183" s="1" t="s">
        <v>41</v>
      </c>
      <c r="W1183" s="1" t="s">
        <v>49</v>
      </c>
      <c r="AA1183" s="14"/>
    </row>
    <row r="1184" spans="1:27" hidden="1">
      <c r="A1184" s="1">
        <v>9348557</v>
      </c>
      <c r="B1184" s="1" t="s">
        <v>81</v>
      </c>
      <c r="C1184" t="s">
        <v>1947</v>
      </c>
      <c r="E1184" s="2">
        <v>9600113561034</v>
      </c>
      <c r="F1184" s="1" t="s">
        <v>233</v>
      </c>
      <c r="G1184" s="1" t="s">
        <v>30</v>
      </c>
      <c r="H1184" s="1" t="s">
        <v>1948</v>
      </c>
      <c r="I1184" s="1" t="s">
        <v>1949</v>
      </c>
      <c r="J1184" s="1" t="s">
        <v>46</v>
      </c>
      <c r="K1184" t="s">
        <v>236</v>
      </c>
      <c r="M1184" s="1" t="s">
        <v>58</v>
      </c>
      <c r="N1184" s="1">
        <v>0</v>
      </c>
      <c r="O1184" s="1" t="s">
        <v>105</v>
      </c>
      <c r="P1184" s="186">
        <v>44942.725347222222</v>
      </c>
      <c r="R1184" s="1">
        <v>15</v>
      </c>
      <c r="T1184" s="1" t="s">
        <v>238</v>
      </c>
      <c r="U1184" s="186">
        <v>44943.726122685184</v>
      </c>
      <c r="V1184" s="1" t="s">
        <v>41</v>
      </c>
      <c r="W1184" s="1" t="s">
        <v>49</v>
      </c>
      <c r="AA1184" s="14"/>
    </row>
    <row r="1185" spans="1:27" hidden="1">
      <c r="A1185" s="1">
        <v>9352258</v>
      </c>
      <c r="B1185" s="1" t="s">
        <v>62</v>
      </c>
      <c r="C1185" t="s">
        <v>1952</v>
      </c>
      <c r="E1185" s="2">
        <v>1049000206001</v>
      </c>
      <c r="F1185" s="1" t="s">
        <v>29</v>
      </c>
      <c r="G1185" s="1" t="s">
        <v>53</v>
      </c>
      <c r="H1185" s="1" t="s">
        <v>169</v>
      </c>
      <c r="I1185" s="1" t="s">
        <v>170</v>
      </c>
      <c r="J1185" s="1" t="s">
        <v>164</v>
      </c>
      <c r="K1185" t="s">
        <v>34</v>
      </c>
      <c r="M1185" s="1" t="s">
        <v>35</v>
      </c>
      <c r="N1185" s="1">
        <v>42318949</v>
      </c>
      <c r="O1185" s="1" t="s">
        <v>36</v>
      </c>
      <c r="P1185" s="186">
        <v>44943.557488425926</v>
      </c>
      <c r="R1185" s="1" t="s">
        <v>38</v>
      </c>
      <c r="T1185" s="1" t="s">
        <v>74</v>
      </c>
      <c r="U1185" s="186">
        <v>44986.75</v>
      </c>
      <c r="V1185" s="1" t="s">
        <v>41</v>
      </c>
      <c r="W1185" s="1" t="s">
        <v>49</v>
      </c>
      <c r="AA1185" s="14"/>
    </row>
    <row r="1186" spans="1:27" hidden="1">
      <c r="A1186" s="1">
        <v>9351974</v>
      </c>
      <c r="B1186" s="1" t="s">
        <v>62</v>
      </c>
      <c r="C1186" t="s">
        <v>1955</v>
      </c>
      <c r="E1186" s="2">
        <v>2442000203000</v>
      </c>
      <c r="F1186" s="1" t="s">
        <v>454</v>
      </c>
      <c r="G1186" s="1" t="s">
        <v>53</v>
      </c>
      <c r="H1186" s="1" t="s">
        <v>1956</v>
      </c>
      <c r="I1186" s="1" t="s">
        <v>1957</v>
      </c>
      <c r="J1186" s="1" t="s">
        <v>33</v>
      </c>
      <c r="K1186" t="s">
        <v>457</v>
      </c>
      <c r="M1186" s="1" t="s">
        <v>58</v>
      </c>
      <c r="N1186" s="1">
        <v>0</v>
      </c>
      <c r="O1186" s="1" t="s">
        <v>36</v>
      </c>
      <c r="P1186" s="186">
        <v>44943.516550925924</v>
      </c>
      <c r="R1186" s="1">
        <v>1</v>
      </c>
      <c r="T1186" s="1" t="s">
        <v>157</v>
      </c>
      <c r="U1186" s="186">
        <v>44979.75</v>
      </c>
      <c r="V1186" s="1" t="s">
        <v>41</v>
      </c>
      <c r="W1186" s="1" t="s">
        <v>42</v>
      </c>
      <c r="AA1186" s="14"/>
    </row>
    <row r="1187" spans="1:27" hidden="1">
      <c r="A1187" s="1">
        <v>9351542</v>
      </c>
      <c r="B1187" s="1" t="s">
        <v>1153</v>
      </c>
      <c r="C1187" t="s">
        <v>1960</v>
      </c>
      <c r="D1187" s="2">
        <v>230009076</v>
      </c>
      <c r="E1187" s="2">
        <v>711001400020</v>
      </c>
      <c r="F1187" s="1" t="s">
        <v>1961</v>
      </c>
      <c r="G1187" s="1" t="s">
        <v>53</v>
      </c>
      <c r="H1187" s="1" t="s">
        <v>77</v>
      </c>
      <c r="I1187" s="1" t="s">
        <v>78</v>
      </c>
      <c r="J1187" s="1" t="s">
        <v>79</v>
      </c>
      <c r="K1187" t="s">
        <v>1962</v>
      </c>
      <c r="M1187" s="1" t="s">
        <v>58</v>
      </c>
      <c r="N1187" s="1">
        <v>0</v>
      </c>
      <c r="O1187" s="1" t="s">
        <v>36</v>
      </c>
      <c r="P1187" s="186">
        <v>44943.459201388891</v>
      </c>
      <c r="R1187" s="1">
        <v>4</v>
      </c>
      <c r="T1187" s="1" t="s">
        <v>646</v>
      </c>
      <c r="U1187" s="186">
        <v>44950.479166666664</v>
      </c>
      <c r="V1187" s="1" t="s">
        <v>41</v>
      </c>
      <c r="W1187" s="1" t="s">
        <v>49</v>
      </c>
      <c r="AA1187" s="14"/>
    </row>
    <row r="1188" spans="1:27" hidden="1">
      <c r="A1188" s="1">
        <v>9351053</v>
      </c>
      <c r="B1188" s="1" t="s">
        <v>1153</v>
      </c>
      <c r="C1188" t="s">
        <v>1965</v>
      </c>
      <c r="D1188" s="2">
        <v>20234923000021</v>
      </c>
      <c r="E1188" s="2">
        <v>7417183020099</v>
      </c>
      <c r="F1188" s="1" t="s">
        <v>1313</v>
      </c>
      <c r="G1188" s="1" t="s">
        <v>53</v>
      </c>
      <c r="H1188" s="1" t="s">
        <v>1966</v>
      </c>
      <c r="I1188" s="1" t="s">
        <v>1967</v>
      </c>
      <c r="J1188" s="1" t="s">
        <v>46</v>
      </c>
      <c r="K1188" t="s">
        <v>1316</v>
      </c>
      <c r="M1188" s="1" t="s">
        <v>58</v>
      </c>
      <c r="N1188" s="1">
        <v>0</v>
      </c>
      <c r="O1188" s="1" t="s">
        <v>36</v>
      </c>
      <c r="P1188" s="186">
        <v>44943.385555555556</v>
      </c>
      <c r="R1188" s="1">
        <v>13</v>
      </c>
      <c r="T1188" s="1" t="s">
        <v>238</v>
      </c>
      <c r="U1188" s="186">
        <v>44943.395833333336</v>
      </c>
      <c r="V1188" s="1" t="s">
        <v>41</v>
      </c>
      <c r="W1188" s="1" t="s">
        <v>49</v>
      </c>
      <c r="AA1188" s="14"/>
    </row>
    <row r="1189" spans="1:27" hidden="1">
      <c r="A1189" s="1">
        <v>9357855</v>
      </c>
      <c r="B1189" s="1" t="s">
        <v>1970</v>
      </c>
      <c r="C1189" t="s">
        <v>1971</v>
      </c>
      <c r="D1189" s="2">
        <v>20231059000005</v>
      </c>
      <c r="E1189" s="2">
        <v>7417163284288</v>
      </c>
      <c r="F1189" s="1" t="s">
        <v>131</v>
      </c>
      <c r="G1189" s="1" t="s">
        <v>53</v>
      </c>
      <c r="H1189" s="1" t="s">
        <v>1972</v>
      </c>
      <c r="I1189" s="1" t="s">
        <v>1973</v>
      </c>
      <c r="J1189" s="1" t="s">
        <v>90</v>
      </c>
      <c r="K1189" t="s">
        <v>132</v>
      </c>
      <c r="M1189" s="1" t="s">
        <v>58</v>
      </c>
      <c r="N1189" s="1">
        <v>0</v>
      </c>
      <c r="O1189" s="1" t="s">
        <v>105</v>
      </c>
      <c r="P1189" s="186">
        <v>44944.623483796298</v>
      </c>
      <c r="R1189" s="1">
        <v>14</v>
      </c>
      <c r="T1189" s="1" t="s">
        <v>238</v>
      </c>
      <c r="U1189" s="186">
        <v>44945.642268518517</v>
      </c>
      <c r="V1189" s="1" t="s">
        <v>41</v>
      </c>
      <c r="W1189" s="1" t="s">
        <v>49</v>
      </c>
      <c r="AA1189" s="14"/>
    </row>
    <row r="1190" spans="1:27" hidden="1">
      <c r="A1190" s="1">
        <v>9357732</v>
      </c>
      <c r="B1190" s="1" t="s">
        <v>1970</v>
      </c>
      <c r="C1190" t="s">
        <v>1971</v>
      </c>
      <c r="D1190" s="2">
        <v>20234924000023</v>
      </c>
      <c r="E1190" s="2">
        <v>7417163282399</v>
      </c>
      <c r="F1190" s="1" t="s">
        <v>131</v>
      </c>
      <c r="G1190" s="1" t="s">
        <v>53</v>
      </c>
      <c r="H1190" s="1" t="s">
        <v>1748</v>
      </c>
      <c r="I1190" s="1" t="s">
        <v>1749</v>
      </c>
      <c r="J1190" s="1" t="s">
        <v>79</v>
      </c>
      <c r="K1190" t="s">
        <v>132</v>
      </c>
      <c r="M1190" s="1" t="s">
        <v>58</v>
      </c>
      <c r="N1190" s="1">
        <v>0</v>
      </c>
      <c r="O1190" s="1" t="s">
        <v>36</v>
      </c>
      <c r="P1190" s="186">
        <v>44944.620810185188</v>
      </c>
      <c r="R1190" s="1">
        <v>14</v>
      </c>
      <c r="T1190" s="1" t="s">
        <v>238</v>
      </c>
      <c r="U1190" s="186">
        <v>44945.631388888891</v>
      </c>
      <c r="V1190" s="1" t="s">
        <v>41</v>
      </c>
      <c r="W1190" s="1" t="s">
        <v>49</v>
      </c>
      <c r="AA1190" s="14"/>
    </row>
    <row r="1191" spans="1:27" hidden="1">
      <c r="A1191" s="1">
        <v>9357615</v>
      </c>
      <c r="B1191" s="1" t="s">
        <v>101</v>
      </c>
      <c r="C1191" t="s">
        <v>1978</v>
      </c>
      <c r="D1191" s="2">
        <v>20232219000007</v>
      </c>
      <c r="E1191" s="2">
        <v>7417161480633</v>
      </c>
      <c r="F1191" s="1" t="s">
        <v>1979</v>
      </c>
      <c r="G1191" s="1" t="s">
        <v>53</v>
      </c>
      <c r="H1191" s="1" t="s">
        <v>1980</v>
      </c>
      <c r="I1191" s="1" t="s">
        <v>1981</v>
      </c>
      <c r="J1191" s="1" t="s">
        <v>141</v>
      </c>
      <c r="K1191" t="s">
        <v>1982</v>
      </c>
      <c r="M1191" s="1" t="s">
        <v>58</v>
      </c>
      <c r="N1191" s="1">
        <v>0</v>
      </c>
      <c r="O1191" s="1" t="s">
        <v>36</v>
      </c>
      <c r="P1191" s="186">
        <v>44944.613842592589</v>
      </c>
      <c r="R1191" s="1">
        <v>14</v>
      </c>
      <c r="T1191" s="1" t="s">
        <v>238</v>
      </c>
      <c r="U1191" s="186">
        <v>44944.613842592589</v>
      </c>
      <c r="V1191" s="1" t="s">
        <v>41</v>
      </c>
      <c r="W1191" s="1" t="s">
        <v>49</v>
      </c>
      <c r="AA1191" s="14"/>
    </row>
    <row r="1192" spans="1:27" hidden="1">
      <c r="A1192" s="173">
        <v>9357204</v>
      </c>
      <c r="B1192" s="173" t="s">
        <v>1153</v>
      </c>
      <c r="C1192" s="178" t="s">
        <v>3484</v>
      </c>
      <c r="D1192" s="174">
        <v>20230605000012</v>
      </c>
      <c r="E1192" s="174">
        <v>7417163280932</v>
      </c>
      <c r="F1192" s="173" t="s">
        <v>131</v>
      </c>
      <c r="G1192" s="173" t="s">
        <v>53</v>
      </c>
      <c r="H1192" s="173" t="s">
        <v>1985</v>
      </c>
      <c r="I1192" s="173" t="s">
        <v>1986</v>
      </c>
      <c r="J1192" s="173" t="s">
        <v>90</v>
      </c>
      <c r="K1192" t="s">
        <v>132</v>
      </c>
      <c r="M1192" s="1" t="s">
        <v>58</v>
      </c>
      <c r="N1192" s="1">
        <v>0</v>
      </c>
      <c r="O1192" s="1" t="s">
        <v>36</v>
      </c>
      <c r="P1192" s="186">
        <v>44944.579340277778</v>
      </c>
      <c r="R1192" s="1">
        <v>14</v>
      </c>
      <c r="T1192" s="1" t="s">
        <v>238</v>
      </c>
      <c r="U1192" s="186">
        <v>44944.579340277778</v>
      </c>
      <c r="V1192" s="1" t="s">
        <v>41</v>
      </c>
      <c r="W1192" s="1" t="s">
        <v>49</v>
      </c>
      <c r="AA1192" s="14"/>
    </row>
    <row r="1193" spans="1:27" hidden="1">
      <c r="A1193" s="1">
        <v>9356193</v>
      </c>
      <c r="B1193" s="1" t="s">
        <v>1153</v>
      </c>
      <c r="C1193" t="s">
        <v>1988</v>
      </c>
      <c r="D1193" s="2">
        <v>20238259000001</v>
      </c>
      <c r="E1193" s="2">
        <v>7417172796319</v>
      </c>
      <c r="F1193" s="1" t="s">
        <v>1989</v>
      </c>
      <c r="G1193" s="1" t="s">
        <v>53</v>
      </c>
      <c r="H1193" s="1" t="s">
        <v>245</v>
      </c>
      <c r="I1193" s="1" t="s">
        <v>246</v>
      </c>
      <c r="J1193" s="1" t="s">
        <v>56</v>
      </c>
      <c r="K1193" t="s">
        <v>1990</v>
      </c>
      <c r="M1193" s="1" t="s">
        <v>58</v>
      </c>
      <c r="N1193" s="1">
        <v>0</v>
      </c>
      <c r="O1193" s="1" t="s">
        <v>36</v>
      </c>
      <c r="P1193" s="186">
        <v>44944.44734953704</v>
      </c>
      <c r="R1193" s="1">
        <v>22</v>
      </c>
      <c r="T1193" s="1" t="s">
        <v>1160</v>
      </c>
      <c r="U1193" s="186">
        <v>44946.655682870369</v>
      </c>
      <c r="V1193" s="1" t="s">
        <v>41</v>
      </c>
      <c r="W1193" s="1" t="s">
        <v>49</v>
      </c>
      <c r="AA1193" s="14"/>
    </row>
    <row r="1194" spans="1:27" hidden="1">
      <c r="A1194" s="1">
        <v>9363015</v>
      </c>
      <c r="B1194" s="1" t="s">
        <v>62</v>
      </c>
      <c r="C1194" t="s">
        <v>1993</v>
      </c>
      <c r="E1194" s="2">
        <v>1837000203000</v>
      </c>
      <c r="F1194" s="1" t="s">
        <v>454</v>
      </c>
      <c r="G1194" s="1" t="s">
        <v>53</v>
      </c>
      <c r="H1194" s="1" t="s">
        <v>1785</v>
      </c>
      <c r="I1194" s="1" t="s">
        <v>1786</v>
      </c>
      <c r="J1194" s="1" t="s">
        <v>46</v>
      </c>
      <c r="K1194" t="s">
        <v>457</v>
      </c>
      <c r="M1194" s="1" t="s">
        <v>58</v>
      </c>
      <c r="N1194" s="1">
        <v>0</v>
      </c>
      <c r="O1194" s="1" t="s">
        <v>36</v>
      </c>
      <c r="P1194" s="186">
        <v>44945.70008101852</v>
      </c>
      <c r="R1194" s="1">
        <v>1</v>
      </c>
      <c r="T1194" s="1" t="s">
        <v>157</v>
      </c>
      <c r="U1194" s="186">
        <v>44981.75</v>
      </c>
      <c r="V1194" s="1" t="s">
        <v>41</v>
      </c>
      <c r="W1194" s="1" t="s">
        <v>49</v>
      </c>
      <c r="AA1194" s="14"/>
    </row>
    <row r="1195" spans="1:27" hidden="1">
      <c r="A1195" s="173">
        <v>9362806</v>
      </c>
      <c r="B1195" s="173" t="s">
        <v>1153</v>
      </c>
      <c r="C1195" s="178" t="s">
        <v>3485</v>
      </c>
      <c r="D1195" s="174">
        <v>20232437000012</v>
      </c>
      <c r="E1195" s="174">
        <v>9600123330823</v>
      </c>
      <c r="F1195" s="173" t="s">
        <v>1997</v>
      </c>
      <c r="G1195" s="173" t="s">
        <v>53</v>
      </c>
      <c r="H1195" s="173" t="s">
        <v>1998</v>
      </c>
      <c r="I1195" s="173" t="s">
        <v>1999</v>
      </c>
      <c r="J1195" s="173" t="s">
        <v>211</v>
      </c>
      <c r="K1195" t="s">
        <v>2000</v>
      </c>
      <c r="M1195" s="1" t="s">
        <v>58</v>
      </c>
      <c r="N1195" s="1">
        <v>0</v>
      </c>
      <c r="O1195" s="1" t="s">
        <v>36</v>
      </c>
      <c r="P1195" s="186">
        <v>44945.659687500003</v>
      </c>
      <c r="R1195" s="1">
        <v>21</v>
      </c>
      <c r="T1195" s="1" t="s">
        <v>1160</v>
      </c>
      <c r="U1195" s="186">
        <v>44949.743020833332</v>
      </c>
      <c r="V1195" s="1" t="s">
        <v>41</v>
      </c>
      <c r="W1195" s="1" t="s">
        <v>49</v>
      </c>
      <c r="AA1195" s="14"/>
    </row>
    <row r="1196" spans="1:27" hidden="1">
      <c r="A1196" s="1">
        <v>9361190</v>
      </c>
      <c r="B1196" s="1" t="s">
        <v>62</v>
      </c>
      <c r="C1196" t="s">
        <v>2011</v>
      </c>
      <c r="E1196" s="2">
        <v>3918000203000</v>
      </c>
      <c r="F1196" s="1" t="s">
        <v>454</v>
      </c>
      <c r="G1196" s="1" t="s">
        <v>53</v>
      </c>
      <c r="H1196" s="1" t="s">
        <v>858</v>
      </c>
      <c r="I1196" s="1" t="s">
        <v>859</v>
      </c>
      <c r="J1196" s="1" t="s">
        <v>33</v>
      </c>
      <c r="K1196" t="s">
        <v>457</v>
      </c>
      <c r="M1196" s="1" t="s">
        <v>58</v>
      </c>
      <c r="N1196" s="1">
        <v>0</v>
      </c>
      <c r="O1196" s="1" t="s">
        <v>105</v>
      </c>
      <c r="P1196" s="186">
        <v>44945.429432870369</v>
      </c>
      <c r="R1196" s="1">
        <v>1</v>
      </c>
      <c r="T1196" s="1" t="s">
        <v>157</v>
      </c>
      <c r="U1196" s="186">
        <v>44981.75</v>
      </c>
      <c r="V1196" s="1" t="s">
        <v>41</v>
      </c>
      <c r="W1196" s="1" t="s">
        <v>49</v>
      </c>
      <c r="AA1196" s="14"/>
    </row>
    <row r="1197" spans="1:27" hidden="1">
      <c r="A1197" s="1">
        <v>9378351</v>
      </c>
      <c r="B1197" s="1" t="s">
        <v>62</v>
      </c>
      <c r="C1197" t="s">
        <v>2013</v>
      </c>
      <c r="E1197" s="2">
        <v>2238000206001</v>
      </c>
      <c r="F1197" s="1" t="s">
        <v>29</v>
      </c>
      <c r="G1197" s="1" t="s">
        <v>53</v>
      </c>
      <c r="H1197" s="1" t="s">
        <v>707</v>
      </c>
      <c r="I1197" s="1" t="s">
        <v>708</v>
      </c>
      <c r="J1197" s="1" t="s">
        <v>79</v>
      </c>
      <c r="K1197" t="s">
        <v>34</v>
      </c>
      <c r="M1197" s="1" t="s">
        <v>35</v>
      </c>
      <c r="N1197" s="1">
        <v>42318949</v>
      </c>
      <c r="O1197" s="1" t="s">
        <v>36</v>
      </c>
      <c r="P1197" s="186">
        <v>44949.719247685185</v>
      </c>
      <c r="R1197" s="1" t="s">
        <v>38</v>
      </c>
      <c r="T1197" s="1" t="s">
        <v>74</v>
      </c>
      <c r="U1197" s="186">
        <v>44993.75</v>
      </c>
      <c r="V1197" s="1" t="s">
        <v>41</v>
      </c>
      <c r="W1197" s="1" t="s">
        <v>49</v>
      </c>
      <c r="AA1197" s="14"/>
    </row>
    <row r="1198" spans="1:27" hidden="1">
      <c r="A1198" s="181">
        <v>9377451</v>
      </c>
      <c r="B1198" s="181" t="s">
        <v>1153</v>
      </c>
      <c r="C1198" s="182" t="s">
        <v>3486</v>
      </c>
      <c r="D1198" s="183"/>
      <c r="E1198" s="183">
        <v>9705000206021</v>
      </c>
      <c r="F1198" s="181" t="s">
        <v>103</v>
      </c>
      <c r="G1198" s="181" t="s">
        <v>53</v>
      </c>
      <c r="H1198" s="181" t="s">
        <v>204</v>
      </c>
      <c r="I1198" s="181" t="s">
        <v>205</v>
      </c>
      <c r="J1198" s="181" t="s">
        <v>90</v>
      </c>
      <c r="K1198" t="s">
        <v>104</v>
      </c>
      <c r="M1198" s="1" t="s">
        <v>58</v>
      </c>
      <c r="N1198" s="1">
        <v>0</v>
      </c>
      <c r="O1198" s="1" t="s">
        <v>36</v>
      </c>
      <c r="P1198" s="186">
        <v>44949.594409722224</v>
      </c>
      <c r="R1198" s="1" t="s">
        <v>38</v>
      </c>
      <c r="T1198" s="1" t="s">
        <v>74</v>
      </c>
      <c r="U1198" s="186">
        <v>44973.607638888891</v>
      </c>
      <c r="V1198" s="1" t="s">
        <v>41</v>
      </c>
      <c r="W1198" s="1" t="s">
        <v>49</v>
      </c>
      <c r="AA1198" s="14"/>
    </row>
    <row r="1199" spans="1:27" hidden="1">
      <c r="A1199" s="173">
        <v>9376105</v>
      </c>
      <c r="B1199" s="173" t="s">
        <v>1153</v>
      </c>
      <c r="C1199" s="178" t="s">
        <v>3487</v>
      </c>
      <c r="D1199" s="174">
        <v>20230870000010</v>
      </c>
      <c r="E1199" s="174">
        <v>7419141893543</v>
      </c>
      <c r="F1199" s="173" t="s">
        <v>128</v>
      </c>
      <c r="G1199" s="173" t="s">
        <v>53</v>
      </c>
      <c r="H1199" s="173" t="s">
        <v>519</v>
      </c>
      <c r="I1199" s="173" t="s">
        <v>520</v>
      </c>
      <c r="J1199" s="173" t="s">
        <v>90</v>
      </c>
      <c r="K1199" t="s">
        <v>129</v>
      </c>
      <c r="M1199" s="1" t="s">
        <v>58</v>
      </c>
      <c r="N1199" s="1">
        <v>0</v>
      </c>
      <c r="O1199" s="1" t="s">
        <v>36</v>
      </c>
      <c r="P1199" s="186">
        <v>44949.420578703706</v>
      </c>
      <c r="R1199" s="1">
        <v>14</v>
      </c>
      <c r="T1199" s="1" t="s">
        <v>238</v>
      </c>
      <c r="U1199" s="186">
        <v>44949.420578703706</v>
      </c>
      <c r="V1199" s="1" t="s">
        <v>41</v>
      </c>
      <c r="W1199" s="1" t="s">
        <v>49</v>
      </c>
      <c r="AA1199" s="14"/>
    </row>
    <row r="1200" spans="1:27" hidden="1">
      <c r="A1200" s="1">
        <v>9372193</v>
      </c>
      <c r="B1200" s="1" t="s">
        <v>1153</v>
      </c>
      <c r="C1200" t="s">
        <v>2021</v>
      </c>
      <c r="E1200" s="2">
        <v>446000206001</v>
      </c>
      <c r="F1200" s="1" t="s">
        <v>29</v>
      </c>
      <c r="G1200" s="1" t="s">
        <v>53</v>
      </c>
      <c r="H1200" s="1" t="s">
        <v>432</v>
      </c>
      <c r="I1200" s="1" t="s">
        <v>433</v>
      </c>
      <c r="J1200" s="1" t="s">
        <v>110</v>
      </c>
      <c r="K1200" t="s">
        <v>34</v>
      </c>
      <c r="M1200" s="1" t="s">
        <v>35</v>
      </c>
      <c r="N1200" s="1">
        <v>42318949</v>
      </c>
      <c r="O1200" s="1" t="s">
        <v>36</v>
      </c>
      <c r="P1200" s="186">
        <v>44948.447430555556</v>
      </c>
      <c r="R1200" s="1" t="s">
        <v>38</v>
      </c>
      <c r="T1200" s="1" t="s">
        <v>74</v>
      </c>
      <c r="U1200" s="186">
        <v>44985.708333333336</v>
      </c>
      <c r="V1200" s="1" t="s">
        <v>41</v>
      </c>
      <c r="W1200" s="1" t="s">
        <v>49</v>
      </c>
      <c r="AA1200" s="14"/>
    </row>
    <row r="1201" spans="1:27" hidden="1">
      <c r="A1201" s="1">
        <v>9382865</v>
      </c>
      <c r="B1201" s="1" t="s">
        <v>1153</v>
      </c>
      <c r="C1201" t="s">
        <v>2024</v>
      </c>
      <c r="D1201" s="2">
        <v>230012536</v>
      </c>
      <c r="E1201" s="2">
        <v>1650001400010</v>
      </c>
      <c r="F1201" s="1" t="s">
        <v>936</v>
      </c>
      <c r="G1201" s="1" t="s">
        <v>53</v>
      </c>
      <c r="H1201" s="1" t="s">
        <v>620</v>
      </c>
      <c r="I1201" s="1" t="s">
        <v>621</v>
      </c>
      <c r="J1201" s="1" t="s">
        <v>141</v>
      </c>
      <c r="K1201" t="s">
        <v>937</v>
      </c>
      <c r="M1201" s="1" t="s">
        <v>58</v>
      </c>
      <c r="N1201" s="1">
        <v>0</v>
      </c>
      <c r="O1201" s="1" t="s">
        <v>36</v>
      </c>
      <c r="P1201" s="186">
        <v>44950.660104166665</v>
      </c>
      <c r="R1201" s="1">
        <v>3</v>
      </c>
      <c r="T1201" s="1" t="s">
        <v>646</v>
      </c>
      <c r="U1201" s="186">
        <v>44981.6875</v>
      </c>
      <c r="V1201" s="1" t="s">
        <v>41</v>
      </c>
      <c r="W1201" s="1" t="s">
        <v>49</v>
      </c>
      <c r="AA1201" s="14"/>
    </row>
    <row r="1202" spans="1:27" hidden="1">
      <c r="A1202" s="1">
        <v>9381861</v>
      </c>
      <c r="B1202" s="1" t="s">
        <v>62</v>
      </c>
      <c r="C1202" t="s">
        <v>2027</v>
      </c>
      <c r="E1202" s="2">
        <v>1069000203000</v>
      </c>
      <c r="F1202" s="1" t="s">
        <v>454</v>
      </c>
      <c r="G1202" s="1" t="s">
        <v>53</v>
      </c>
      <c r="H1202" s="1" t="s">
        <v>353</v>
      </c>
      <c r="I1202" s="1" t="s">
        <v>354</v>
      </c>
      <c r="J1202" s="1" t="s">
        <v>211</v>
      </c>
      <c r="K1202" t="s">
        <v>457</v>
      </c>
      <c r="M1202" s="1" t="s">
        <v>58</v>
      </c>
      <c r="N1202" s="1">
        <v>0</v>
      </c>
      <c r="O1202" s="1" t="s">
        <v>105</v>
      </c>
      <c r="P1202" s="186">
        <v>44950.51898148148</v>
      </c>
      <c r="R1202" s="1">
        <v>1</v>
      </c>
      <c r="T1202" s="1" t="s">
        <v>157</v>
      </c>
      <c r="U1202" s="186">
        <v>44986.75</v>
      </c>
      <c r="V1202" s="1" t="s">
        <v>41</v>
      </c>
      <c r="W1202" s="1" t="s">
        <v>49</v>
      </c>
      <c r="AA1202" s="14"/>
    </row>
    <row r="1203" spans="1:27" hidden="1">
      <c r="A1203" s="181">
        <v>9386899</v>
      </c>
      <c r="B1203" s="181" t="s">
        <v>1153</v>
      </c>
      <c r="C1203" s="182" t="s">
        <v>2034</v>
      </c>
      <c r="D1203" s="183">
        <v>230012987</v>
      </c>
      <c r="E1203" s="183">
        <v>1162001400010</v>
      </c>
      <c r="F1203" s="181" t="s">
        <v>936</v>
      </c>
      <c r="G1203" s="181" t="s">
        <v>53</v>
      </c>
      <c r="H1203" s="181" t="s">
        <v>280</v>
      </c>
      <c r="I1203" s="181" t="s">
        <v>281</v>
      </c>
      <c r="J1203" s="181" t="s">
        <v>211</v>
      </c>
      <c r="K1203" t="s">
        <v>937</v>
      </c>
      <c r="M1203" s="1" t="s">
        <v>58</v>
      </c>
      <c r="N1203" s="1">
        <v>0</v>
      </c>
      <c r="O1203" s="1" t="s">
        <v>36</v>
      </c>
      <c r="P1203" s="186">
        <v>44951.551388888889</v>
      </c>
      <c r="R1203" s="1">
        <v>3</v>
      </c>
      <c r="T1203" s="1" t="s">
        <v>646</v>
      </c>
      <c r="U1203" s="186">
        <v>44984.586805555555</v>
      </c>
      <c r="V1203" s="1" t="s">
        <v>41</v>
      </c>
      <c r="W1203" s="1" t="s">
        <v>49</v>
      </c>
      <c r="AA1203" s="14"/>
    </row>
    <row r="1204" spans="1:27" hidden="1">
      <c r="A1204" s="1">
        <v>9386321</v>
      </c>
      <c r="B1204" s="1" t="s">
        <v>1153</v>
      </c>
      <c r="C1204" t="s">
        <v>2037</v>
      </c>
      <c r="E1204" s="2">
        <v>3108010206001</v>
      </c>
      <c r="F1204" s="1" t="s">
        <v>29</v>
      </c>
      <c r="G1204" s="1" t="s">
        <v>53</v>
      </c>
      <c r="H1204" s="1" t="s">
        <v>503</v>
      </c>
      <c r="I1204" s="1" t="s">
        <v>504</v>
      </c>
      <c r="J1204" s="1" t="s">
        <v>46</v>
      </c>
      <c r="K1204" t="s">
        <v>34</v>
      </c>
      <c r="M1204" s="1" t="s">
        <v>35</v>
      </c>
      <c r="N1204" s="1">
        <v>42318949</v>
      </c>
      <c r="O1204" s="1" t="s">
        <v>36</v>
      </c>
      <c r="P1204" s="186">
        <v>44951.458553240744</v>
      </c>
      <c r="R1204" s="1" t="s">
        <v>38</v>
      </c>
      <c r="T1204" s="1" t="s">
        <v>74</v>
      </c>
      <c r="U1204" s="186">
        <v>44980.708333333336</v>
      </c>
      <c r="V1204" s="1" t="s">
        <v>41</v>
      </c>
      <c r="W1204" s="1" t="s">
        <v>49</v>
      </c>
      <c r="AA1204" s="14"/>
    </row>
    <row r="1205" spans="1:27" hidden="1">
      <c r="A1205" s="173">
        <v>9385840</v>
      </c>
      <c r="B1205" s="173" t="s">
        <v>1153</v>
      </c>
      <c r="C1205" s="178" t="s">
        <v>3488</v>
      </c>
      <c r="D1205" s="174"/>
      <c r="E1205" s="174">
        <v>2170000206001</v>
      </c>
      <c r="F1205" s="173" t="s">
        <v>29</v>
      </c>
      <c r="G1205" s="173" t="s">
        <v>53</v>
      </c>
      <c r="H1205" s="173" t="s">
        <v>477</v>
      </c>
      <c r="I1205" s="173" t="s">
        <v>478</v>
      </c>
      <c r="J1205" s="173" t="s">
        <v>148</v>
      </c>
      <c r="K1205" t="s">
        <v>34</v>
      </c>
      <c r="M1205" s="1" t="s">
        <v>35</v>
      </c>
      <c r="N1205" s="1">
        <v>42318949</v>
      </c>
      <c r="O1205" s="1" t="s">
        <v>36</v>
      </c>
      <c r="P1205" s="186">
        <v>44951.406319444446</v>
      </c>
      <c r="R1205" s="1" t="s">
        <v>38</v>
      </c>
      <c r="T1205" s="1" t="s">
        <v>74</v>
      </c>
      <c r="U1205" s="186">
        <v>44984.649305555555</v>
      </c>
      <c r="V1205" s="1" t="s">
        <v>41</v>
      </c>
      <c r="W1205" s="1" t="s">
        <v>49</v>
      </c>
      <c r="AA1205" s="14"/>
    </row>
    <row r="1206" spans="1:27" hidden="1">
      <c r="A1206" s="1">
        <v>9385440</v>
      </c>
      <c r="B1206" s="1" t="s">
        <v>1153</v>
      </c>
      <c r="C1206" t="s">
        <v>2043</v>
      </c>
      <c r="E1206" s="2">
        <v>446000206001</v>
      </c>
      <c r="F1206" s="1" t="s">
        <v>29</v>
      </c>
      <c r="G1206" s="1" t="s">
        <v>53</v>
      </c>
      <c r="H1206" s="1" t="s">
        <v>432</v>
      </c>
      <c r="I1206" s="1" t="s">
        <v>433</v>
      </c>
      <c r="J1206" s="1" t="s">
        <v>110</v>
      </c>
      <c r="K1206" t="s">
        <v>34</v>
      </c>
      <c r="M1206" s="1" t="s">
        <v>35</v>
      </c>
      <c r="N1206" s="1">
        <v>42318949</v>
      </c>
      <c r="O1206" s="1" t="s">
        <v>36</v>
      </c>
      <c r="P1206" s="186">
        <v>44951.343402777777</v>
      </c>
      <c r="R1206" s="1" t="s">
        <v>38</v>
      </c>
      <c r="T1206" s="1" t="s">
        <v>74</v>
      </c>
      <c r="U1206" s="186">
        <v>44985.708333333336</v>
      </c>
      <c r="V1206" s="1" t="s">
        <v>41</v>
      </c>
      <c r="W1206" s="1" t="s">
        <v>49</v>
      </c>
      <c r="AA1206" s="14"/>
    </row>
    <row r="1207" spans="1:27" hidden="1">
      <c r="A1207" s="1">
        <v>9396912</v>
      </c>
      <c r="B1207" s="1" t="s">
        <v>62</v>
      </c>
      <c r="C1207" t="s">
        <v>2045</v>
      </c>
      <c r="D1207" s="2">
        <v>230014141</v>
      </c>
      <c r="E1207" s="2">
        <v>870001400020</v>
      </c>
      <c r="F1207" s="1" t="s">
        <v>1961</v>
      </c>
      <c r="G1207" s="1" t="s">
        <v>53</v>
      </c>
      <c r="H1207" s="1" t="s">
        <v>183</v>
      </c>
      <c r="I1207" s="1" t="s">
        <v>184</v>
      </c>
      <c r="J1207" s="1" t="s">
        <v>90</v>
      </c>
      <c r="K1207" t="s">
        <v>1962</v>
      </c>
      <c r="M1207" s="1" t="s">
        <v>58</v>
      </c>
      <c r="N1207" s="1">
        <v>0</v>
      </c>
      <c r="O1207" s="1" t="s">
        <v>36</v>
      </c>
      <c r="P1207" s="186">
        <v>44953.653599537036</v>
      </c>
      <c r="R1207" s="1">
        <v>4</v>
      </c>
      <c r="T1207" s="1" t="s">
        <v>646</v>
      </c>
      <c r="U1207" s="186">
        <v>44960.674432870372</v>
      </c>
      <c r="V1207" s="1" t="s">
        <v>41</v>
      </c>
      <c r="W1207" s="1" t="s">
        <v>49</v>
      </c>
      <c r="AA1207" s="14"/>
    </row>
    <row r="1208" spans="1:27" hidden="1">
      <c r="A1208" s="181">
        <v>9396835</v>
      </c>
      <c r="B1208" s="181" t="s">
        <v>1153</v>
      </c>
      <c r="C1208" s="182" t="s">
        <v>3489</v>
      </c>
      <c r="D1208" s="183">
        <v>20231069000005</v>
      </c>
      <c r="E1208" s="183">
        <v>7417210950276</v>
      </c>
      <c r="F1208" s="181" t="s">
        <v>1213</v>
      </c>
      <c r="G1208" s="181" t="s">
        <v>53</v>
      </c>
      <c r="H1208" s="181" t="s">
        <v>2049</v>
      </c>
      <c r="I1208" s="181" t="s">
        <v>2050</v>
      </c>
      <c r="J1208" s="181" t="s">
        <v>211</v>
      </c>
      <c r="K1208" t="s">
        <v>1214</v>
      </c>
      <c r="M1208" s="1" t="s">
        <v>58</v>
      </c>
      <c r="N1208" s="1">
        <v>0</v>
      </c>
      <c r="O1208" s="1" t="s">
        <v>36</v>
      </c>
      <c r="P1208" s="186">
        <v>44953.631932870368</v>
      </c>
      <c r="R1208" s="1">
        <v>14</v>
      </c>
      <c r="T1208" s="1" t="s">
        <v>238</v>
      </c>
      <c r="U1208" s="186">
        <v>44953.631932870368</v>
      </c>
      <c r="V1208" s="1" t="s">
        <v>41</v>
      </c>
      <c r="W1208" s="1" t="s">
        <v>49</v>
      </c>
      <c r="AA1208" s="14"/>
    </row>
    <row r="1209" spans="1:27" hidden="1">
      <c r="A1209" s="181">
        <v>9395678</v>
      </c>
      <c r="B1209" s="181" t="s">
        <v>1153</v>
      </c>
      <c r="C1209" s="182" t="s">
        <v>3490</v>
      </c>
      <c r="D1209" s="183">
        <v>20234119000004</v>
      </c>
      <c r="E1209" s="183">
        <v>7417183022947</v>
      </c>
      <c r="F1209" s="181" t="s">
        <v>1313</v>
      </c>
      <c r="G1209" s="181" t="s">
        <v>53</v>
      </c>
      <c r="H1209" s="181" t="s">
        <v>2053</v>
      </c>
      <c r="I1209" s="181" t="s">
        <v>2054</v>
      </c>
      <c r="J1209" s="181" t="s">
        <v>211</v>
      </c>
      <c r="K1209" t="s">
        <v>1316</v>
      </c>
      <c r="M1209" s="1" t="s">
        <v>58</v>
      </c>
      <c r="N1209" s="1">
        <v>0</v>
      </c>
      <c r="O1209" s="1" t="s">
        <v>36</v>
      </c>
      <c r="P1209" s="186">
        <v>44953.444606481484</v>
      </c>
      <c r="R1209" s="1">
        <v>14</v>
      </c>
      <c r="T1209" s="1" t="s">
        <v>238</v>
      </c>
      <c r="U1209" s="186">
        <v>44953.444606481484</v>
      </c>
      <c r="V1209" s="1" t="s">
        <v>41</v>
      </c>
      <c r="W1209" s="1" t="s">
        <v>49</v>
      </c>
      <c r="AA1209" s="14"/>
    </row>
    <row r="1210" spans="1:27" hidden="1">
      <c r="A1210" s="1">
        <v>9395597</v>
      </c>
      <c r="B1210" s="1" t="s">
        <v>62</v>
      </c>
      <c r="C1210" t="s">
        <v>2055</v>
      </c>
      <c r="E1210" s="2">
        <v>9406000206001</v>
      </c>
      <c r="F1210" s="1" t="s">
        <v>29</v>
      </c>
      <c r="G1210" s="1" t="s">
        <v>53</v>
      </c>
      <c r="H1210" s="1" t="s">
        <v>114</v>
      </c>
      <c r="I1210" s="1" t="s">
        <v>115</v>
      </c>
      <c r="J1210" s="1" t="s">
        <v>46</v>
      </c>
      <c r="K1210" t="s">
        <v>34</v>
      </c>
      <c r="M1210" s="1" t="s">
        <v>35</v>
      </c>
      <c r="N1210" s="1">
        <v>42318949</v>
      </c>
      <c r="O1210" s="1" t="s">
        <v>105</v>
      </c>
      <c r="P1210" s="186">
        <v>44953.442708333336</v>
      </c>
      <c r="R1210" s="1" t="s">
        <v>38</v>
      </c>
      <c r="T1210" s="1" t="s">
        <v>74</v>
      </c>
      <c r="U1210" s="186">
        <v>44998.75</v>
      </c>
      <c r="V1210" s="1" t="s">
        <v>41</v>
      </c>
      <c r="W1210" s="1" t="s">
        <v>49</v>
      </c>
      <c r="AA1210" s="14"/>
    </row>
    <row r="1211" spans="1:27" hidden="1">
      <c r="A1211" s="1">
        <v>9395595</v>
      </c>
      <c r="B1211" s="1" t="s">
        <v>62</v>
      </c>
      <c r="C1211" t="s">
        <v>2055</v>
      </c>
      <c r="E1211" s="2">
        <v>9406000206001</v>
      </c>
      <c r="F1211" s="1" t="s">
        <v>29</v>
      </c>
      <c r="G1211" s="1" t="s">
        <v>53</v>
      </c>
      <c r="H1211" s="1" t="s">
        <v>114</v>
      </c>
      <c r="I1211" s="1" t="s">
        <v>115</v>
      </c>
      <c r="J1211" s="1" t="s">
        <v>46</v>
      </c>
      <c r="K1211" t="s">
        <v>34</v>
      </c>
      <c r="M1211" s="1" t="s">
        <v>35</v>
      </c>
      <c r="N1211" s="1">
        <v>42318949</v>
      </c>
      <c r="O1211" s="1" t="s">
        <v>105</v>
      </c>
      <c r="P1211" s="186">
        <v>44953.442245370374</v>
      </c>
      <c r="R1211" s="1" t="s">
        <v>38</v>
      </c>
      <c r="T1211" s="1" t="s">
        <v>74</v>
      </c>
      <c r="U1211" s="186">
        <v>44998.75</v>
      </c>
      <c r="V1211" s="1" t="s">
        <v>41</v>
      </c>
      <c r="W1211" s="1" t="s">
        <v>49</v>
      </c>
      <c r="AA1211" s="14"/>
    </row>
    <row r="1212" spans="1:27" hidden="1">
      <c r="A1212" s="1">
        <v>9395577</v>
      </c>
      <c r="B1212" s="1" t="s">
        <v>1153</v>
      </c>
      <c r="C1212" t="s">
        <v>2019</v>
      </c>
      <c r="D1212" s="2">
        <v>20234844000256</v>
      </c>
      <c r="E1212" s="2">
        <v>7419151140206</v>
      </c>
      <c r="F1212" s="1" t="s">
        <v>2058</v>
      </c>
      <c r="G1212" s="1" t="s">
        <v>53</v>
      </c>
      <c r="H1212" s="1" t="s">
        <v>2059</v>
      </c>
      <c r="I1212" s="1" t="s">
        <v>2060</v>
      </c>
      <c r="J1212" s="1" t="s">
        <v>46</v>
      </c>
      <c r="K1212" t="s">
        <v>2061</v>
      </c>
      <c r="M1212" s="1" t="s">
        <v>58</v>
      </c>
      <c r="N1212" s="1">
        <v>0</v>
      </c>
      <c r="O1212" s="1" t="s">
        <v>36</v>
      </c>
      <c r="P1212" s="186">
        <v>44953.430891203701</v>
      </c>
      <c r="R1212" s="1">
        <v>13</v>
      </c>
      <c r="T1212" s="1" t="s">
        <v>238</v>
      </c>
      <c r="U1212" s="186">
        <v>44953.430891203701</v>
      </c>
      <c r="V1212" s="1" t="s">
        <v>41</v>
      </c>
      <c r="W1212" s="1" t="s">
        <v>49</v>
      </c>
      <c r="AA1212" s="14"/>
    </row>
    <row r="1213" spans="1:27" hidden="1">
      <c r="A1213" s="1">
        <v>9395035</v>
      </c>
      <c r="B1213" s="1" t="s">
        <v>81</v>
      </c>
      <c r="C1213" t="s">
        <v>2063</v>
      </c>
      <c r="E1213" s="2">
        <v>7417163050344</v>
      </c>
      <c r="F1213" s="1" t="s">
        <v>1741</v>
      </c>
      <c r="G1213" s="1" t="s">
        <v>53</v>
      </c>
      <c r="H1213" s="1" t="s">
        <v>2064</v>
      </c>
      <c r="I1213" s="1" t="s">
        <v>2065</v>
      </c>
      <c r="J1213" s="1" t="s">
        <v>46</v>
      </c>
      <c r="K1213" t="s">
        <v>1744</v>
      </c>
      <c r="M1213" s="1" t="s">
        <v>58</v>
      </c>
      <c r="N1213" s="1">
        <v>0</v>
      </c>
      <c r="O1213" s="1" t="s">
        <v>105</v>
      </c>
      <c r="P1213" s="186">
        <v>44953.364340277774</v>
      </c>
      <c r="R1213" s="1">
        <v>14</v>
      </c>
      <c r="T1213" s="1" t="s">
        <v>238</v>
      </c>
      <c r="U1213" s="186">
        <v>44954.365763888891</v>
      </c>
      <c r="V1213" s="1" t="s">
        <v>41</v>
      </c>
      <c r="W1213" s="1" t="s">
        <v>49</v>
      </c>
      <c r="AA1213" s="14"/>
    </row>
    <row r="1214" spans="1:27" hidden="1">
      <c r="A1214" s="1">
        <v>9409622</v>
      </c>
      <c r="B1214" s="1" t="s">
        <v>1153</v>
      </c>
      <c r="C1214" t="s">
        <v>2068</v>
      </c>
      <c r="E1214" s="2">
        <v>1902016019600</v>
      </c>
      <c r="F1214" s="1" t="s">
        <v>64</v>
      </c>
      <c r="G1214" s="1" t="s">
        <v>53</v>
      </c>
      <c r="H1214" s="1" t="s">
        <v>1060</v>
      </c>
      <c r="I1214" s="1" t="s">
        <v>1061</v>
      </c>
      <c r="J1214" s="1" t="s">
        <v>79</v>
      </c>
      <c r="K1214" t="s">
        <v>67</v>
      </c>
      <c r="M1214" s="1" t="s">
        <v>35</v>
      </c>
      <c r="N1214" s="1">
        <v>42318949</v>
      </c>
      <c r="O1214" s="1" t="s">
        <v>36</v>
      </c>
      <c r="P1214" s="186">
        <v>44956.731458333335</v>
      </c>
      <c r="R1214" s="1" t="s">
        <v>571</v>
      </c>
      <c r="T1214" s="1" t="s">
        <v>69</v>
      </c>
      <c r="U1214" s="186">
        <v>44965.458333333336</v>
      </c>
      <c r="V1214" s="1" t="s">
        <v>41</v>
      </c>
      <c r="W1214" s="1" t="s">
        <v>49</v>
      </c>
      <c r="AA1214" s="14"/>
    </row>
    <row r="1215" spans="1:27" hidden="1">
      <c r="A1215" s="1">
        <v>9408142</v>
      </c>
      <c r="B1215" s="1" t="s">
        <v>1153</v>
      </c>
      <c r="C1215" t="s">
        <v>2072</v>
      </c>
      <c r="E1215" s="2">
        <v>9704000206021</v>
      </c>
      <c r="F1215" s="1" t="s">
        <v>103</v>
      </c>
      <c r="G1215" s="1" t="s">
        <v>53</v>
      </c>
      <c r="H1215" s="1" t="s">
        <v>488</v>
      </c>
      <c r="I1215" s="1" t="s">
        <v>489</v>
      </c>
      <c r="J1215" s="1" t="s">
        <v>164</v>
      </c>
      <c r="K1215" t="s">
        <v>104</v>
      </c>
      <c r="M1215" s="1" t="s">
        <v>58</v>
      </c>
      <c r="N1215" s="1">
        <v>0</v>
      </c>
      <c r="O1215" s="1" t="s">
        <v>36</v>
      </c>
      <c r="P1215" s="186">
        <v>44956.521168981482</v>
      </c>
      <c r="R1215" s="1" t="s">
        <v>38</v>
      </c>
      <c r="T1215" s="1" t="s">
        <v>74</v>
      </c>
      <c r="U1215" s="186">
        <v>44979.583333333336</v>
      </c>
      <c r="V1215" s="1" t="s">
        <v>41</v>
      </c>
      <c r="W1215" s="1" t="s">
        <v>49</v>
      </c>
      <c r="AA1215" s="14"/>
    </row>
    <row r="1216" spans="1:27" hidden="1">
      <c r="A1216" s="181">
        <v>9413534</v>
      </c>
      <c r="B1216" s="181" t="s">
        <v>1153</v>
      </c>
      <c r="C1216" s="185" t="s">
        <v>3042</v>
      </c>
      <c r="D1216" s="183">
        <v>20231162000004</v>
      </c>
      <c r="E1216" s="183">
        <v>7417211830409</v>
      </c>
      <c r="F1216" s="181" t="s">
        <v>1936</v>
      </c>
      <c r="G1216" s="181" t="s">
        <v>53</v>
      </c>
      <c r="H1216" s="181" t="s">
        <v>2077</v>
      </c>
      <c r="I1216" s="181" t="s">
        <v>2078</v>
      </c>
      <c r="J1216" s="181" t="s">
        <v>211</v>
      </c>
      <c r="K1216" t="s">
        <v>1939</v>
      </c>
      <c r="M1216" s="1" t="s">
        <v>58</v>
      </c>
      <c r="N1216" s="1">
        <v>0</v>
      </c>
      <c r="O1216" s="1" t="s">
        <v>36</v>
      </c>
      <c r="P1216" s="186">
        <v>44957.581342592595</v>
      </c>
      <c r="R1216" s="1">
        <v>14</v>
      </c>
      <c r="T1216" s="1" t="s">
        <v>238</v>
      </c>
      <c r="U1216" s="186">
        <v>44957.581342592595</v>
      </c>
      <c r="V1216" s="1" t="s">
        <v>41</v>
      </c>
      <c r="W1216" s="1" t="s">
        <v>49</v>
      </c>
      <c r="AA1216" s="14"/>
    </row>
    <row r="1217" spans="1:27" hidden="1">
      <c r="A1217" s="1">
        <v>9413399</v>
      </c>
      <c r="B1217" s="1" t="s">
        <v>1153</v>
      </c>
      <c r="C1217" t="s">
        <v>2079</v>
      </c>
      <c r="D1217" s="2">
        <v>230015482</v>
      </c>
      <c r="E1217" s="2">
        <v>232001400010</v>
      </c>
      <c r="F1217" s="1" t="s">
        <v>936</v>
      </c>
      <c r="G1217" s="1" t="s">
        <v>53</v>
      </c>
      <c r="H1217" s="1" t="s">
        <v>1363</v>
      </c>
      <c r="I1217" s="1" t="s">
        <v>1364</v>
      </c>
      <c r="J1217" s="1" t="s">
        <v>141</v>
      </c>
      <c r="K1217" t="s">
        <v>937</v>
      </c>
      <c r="M1217" s="1" t="s">
        <v>58</v>
      </c>
      <c r="N1217" s="1">
        <v>0</v>
      </c>
      <c r="O1217" s="1" t="s">
        <v>36</v>
      </c>
      <c r="P1217" s="186">
        <v>44957.563888888886</v>
      </c>
      <c r="R1217" s="1">
        <v>3</v>
      </c>
      <c r="T1217" s="1" t="s">
        <v>646</v>
      </c>
      <c r="U1217" s="186">
        <v>44984.708333333336</v>
      </c>
      <c r="V1217" s="1" t="s">
        <v>41</v>
      </c>
      <c r="W1217" s="1" t="s">
        <v>49</v>
      </c>
      <c r="AA1217" s="14"/>
    </row>
    <row r="1218" spans="1:27">
      <c r="A1218" s="181">
        <v>9412469</v>
      </c>
      <c r="B1218" s="181" t="s">
        <v>1153</v>
      </c>
      <c r="C1218" s="182" t="s">
        <v>2094</v>
      </c>
      <c r="D1218" s="183"/>
      <c r="E1218" s="183">
        <v>246000206001</v>
      </c>
      <c r="F1218" s="181" t="s">
        <v>29</v>
      </c>
      <c r="G1218" s="181" t="s">
        <v>53</v>
      </c>
      <c r="H1218" s="181" t="s">
        <v>1193</v>
      </c>
      <c r="I1218" s="181" t="s">
        <v>1194</v>
      </c>
      <c r="J1218" s="181" t="s">
        <v>85</v>
      </c>
      <c r="K1218" t="s">
        <v>34</v>
      </c>
      <c r="M1218" s="1" t="s">
        <v>35</v>
      </c>
      <c r="N1218" s="1">
        <v>42318949</v>
      </c>
      <c r="O1218" s="1" t="s">
        <v>36</v>
      </c>
      <c r="P1218" s="186">
        <v>44957.448506944442</v>
      </c>
      <c r="R1218" s="1" t="s">
        <v>38</v>
      </c>
      <c r="T1218" s="1" t="s">
        <v>74</v>
      </c>
      <c r="U1218" s="186">
        <v>44973.649305555555</v>
      </c>
      <c r="V1218" s="1" t="s">
        <v>41</v>
      </c>
      <c r="W1218" s="1" t="s">
        <v>49</v>
      </c>
      <c r="AA1218" s="14"/>
    </row>
    <row r="1219" spans="1:27" hidden="1">
      <c r="A1219" s="1">
        <v>9412308</v>
      </c>
      <c r="B1219" s="1" t="s">
        <v>1153</v>
      </c>
      <c r="C1219" t="s">
        <v>2095</v>
      </c>
      <c r="D1219" s="2">
        <v>230015317</v>
      </c>
      <c r="E1219" s="2">
        <v>2365001400030</v>
      </c>
      <c r="F1219" s="1" t="s">
        <v>647</v>
      </c>
      <c r="G1219" s="1" t="s">
        <v>53</v>
      </c>
      <c r="H1219" s="1" t="s">
        <v>159</v>
      </c>
      <c r="I1219" s="1" t="s">
        <v>160</v>
      </c>
      <c r="J1219" s="1" t="s">
        <v>46</v>
      </c>
      <c r="K1219" t="s">
        <v>650</v>
      </c>
      <c r="M1219" s="1" t="s">
        <v>58</v>
      </c>
      <c r="N1219" s="1">
        <v>0</v>
      </c>
      <c r="O1219" s="1" t="s">
        <v>36</v>
      </c>
      <c r="P1219" s="186">
        <v>44957.43917824074</v>
      </c>
      <c r="R1219" s="1">
        <v>4</v>
      </c>
      <c r="T1219" s="1" t="s">
        <v>646</v>
      </c>
      <c r="U1219" s="186">
        <v>44965.645833333336</v>
      </c>
      <c r="V1219" s="1" t="s">
        <v>41</v>
      </c>
      <c r="W1219" s="1" t="s">
        <v>49</v>
      </c>
      <c r="AA1219" s="14"/>
    </row>
    <row r="1220" spans="1:27" hidden="1">
      <c r="A1220" s="1">
        <v>9423972</v>
      </c>
      <c r="B1220" s="1" t="s">
        <v>101</v>
      </c>
      <c r="C1220" t="s">
        <v>643</v>
      </c>
      <c r="D1220" s="2">
        <v>230021460</v>
      </c>
      <c r="E1220" s="2">
        <v>2196001400040</v>
      </c>
      <c r="F1220" s="1" t="s">
        <v>644</v>
      </c>
      <c r="G1220" s="1" t="s">
        <v>53</v>
      </c>
      <c r="H1220" s="1" t="s">
        <v>1252</v>
      </c>
      <c r="I1220" s="1" t="s">
        <v>1253</v>
      </c>
      <c r="J1220" s="1" t="s">
        <v>33</v>
      </c>
      <c r="K1220" t="s">
        <v>645</v>
      </c>
      <c r="M1220" s="1" t="s">
        <v>58</v>
      </c>
      <c r="N1220" s="1">
        <v>0</v>
      </c>
      <c r="O1220" s="1" t="s">
        <v>105</v>
      </c>
      <c r="P1220" s="186">
        <v>44958.742025462961</v>
      </c>
      <c r="R1220" s="1">
        <v>2</v>
      </c>
      <c r="T1220" s="1" t="s">
        <v>646</v>
      </c>
      <c r="U1220" s="186">
        <v>44959.742025462961</v>
      </c>
      <c r="V1220" s="1" t="s">
        <v>41</v>
      </c>
      <c r="W1220" s="1" t="s">
        <v>42</v>
      </c>
      <c r="AA1220" s="14"/>
    </row>
    <row r="1221" spans="1:27" hidden="1">
      <c r="A1221" s="1">
        <v>9423924</v>
      </c>
      <c r="B1221" s="1" t="s">
        <v>101</v>
      </c>
      <c r="C1221" t="s">
        <v>643</v>
      </c>
      <c r="D1221" s="2">
        <v>230021340</v>
      </c>
      <c r="E1221" s="2">
        <v>1764001400040</v>
      </c>
      <c r="F1221" s="1" t="s">
        <v>644</v>
      </c>
      <c r="G1221" s="1" t="s">
        <v>53</v>
      </c>
      <c r="H1221" s="1" t="s">
        <v>722</v>
      </c>
      <c r="I1221" s="1" t="s">
        <v>723</v>
      </c>
      <c r="J1221" s="1" t="s">
        <v>90</v>
      </c>
      <c r="K1221" t="s">
        <v>645</v>
      </c>
      <c r="M1221" s="1" t="s">
        <v>58</v>
      </c>
      <c r="N1221" s="1">
        <v>0</v>
      </c>
      <c r="O1221" s="1" t="s">
        <v>105</v>
      </c>
      <c r="P1221" s="186">
        <v>44958.739421296297</v>
      </c>
      <c r="R1221" s="1">
        <v>2</v>
      </c>
      <c r="T1221" s="1" t="s">
        <v>646</v>
      </c>
      <c r="U1221" s="186">
        <v>44959.739432870374</v>
      </c>
      <c r="V1221" s="1" t="s">
        <v>41</v>
      </c>
      <c r="W1221" s="1" t="s">
        <v>49</v>
      </c>
      <c r="AA1221" s="14"/>
    </row>
    <row r="1222" spans="1:27" hidden="1">
      <c r="A1222" s="1">
        <v>9423771</v>
      </c>
      <c r="B1222" s="1" t="s">
        <v>101</v>
      </c>
      <c r="C1222" t="s">
        <v>643</v>
      </c>
      <c r="D1222" s="2">
        <v>230020921</v>
      </c>
      <c r="E1222" s="2">
        <v>721001400040</v>
      </c>
      <c r="F1222" s="1" t="s">
        <v>644</v>
      </c>
      <c r="G1222" s="1" t="s">
        <v>53</v>
      </c>
      <c r="H1222" s="1" t="s">
        <v>422</v>
      </c>
      <c r="I1222" s="1" t="s">
        <v>423</v>
      </c>
      <c r="J1222" s="1" t="s">
        <v>79</v>
      </c>
      <c r="K1222" t="s">
        <v>645</v>
      </c>
      <c r="M1222" s="1" t="s">
        <v>58</v>
      </c>
      <c r="N1222" s="1">
        <v>0</v>
      </c>
      <c r="O1222" s="1" t="s">
        <v>105</v>
      </c>
      <c r="P1222" s="186">
        <v>44958.728668981479</v>
      </c>
      <c r="R1222" s="1">
        <v>3</v>
      </c>
      <c r="T1222" s="1" t="s">
        <v>646</v>
      </c>
      <c r="U1222" s="186">
        <v>44959.728668981479</v>
      </c>
      <c r="V1222" s="1" t="s">
        <v>41</v>
      </c>
      <c r="W1222" s="1" t="s">
        <v>49</v>
      </c>
      <c r="AA1222" s="14"/>
    </row>
    <row r="1223" spans="1:27" hidden="1">
      <c r="A1223" s="1">
        <v>9423767</v>
      </c>
      <c r="B1223" s="1" t="s">
        <v>101</v>
      </c>
      <c r="C1223" t="s">
        <v>643</v>
      </c>
      <c r="D1223" s="2">
        <v>230020919</v>
      </c>
      <c r="E1223" s="2">
        <v>711001400040</v>
      </c>
      <c r="F1223" s="1" t="s">
        <v>644</v>
      </c>
      <c r="G1223" s="1" t="s">
        <v>53</v>
      </c>
      <c r="H1223" s="1" t="s">
        <v>77</v>
      </c>
      <c r="I1223" s="1" t="s">
        <v>78</v>
      </c>
      <c r="J1223" s="1" t="s">
        <v>79</v>
      </c>
      <c r="K1223" t="s">
        <v>645</v>
      </c>
      <c r="M1223" s="1" t="s">
        <v>58</v>
      </c>
      <c r="N1223" s="1">
        <v>0</v>
      </c>
      <c r="O1223" s="1" t="s">
        <v>105</v>
      </c>
      <c r="P1223" s="186">
        <v>44958.728564814817</v>
      </c>
      <c r="R1223" s="1">
        <v>2</v>
      </c>
      <c r="T1223" s="1" t="s">
        <v>646</v>
      </c>
      <c r="U1223" s="186">
        <v>44959.728564814817</v>
      </c>
      <c r="V1223" s="1" t="s">
        <v>41</v>
      </c>
      <c r="W1223" s="1" t="s">
        <v>49</v>
      </c>
      <c r="AA1223" s="14"/>
    </row>
    <row r="1224" spans="1:27" hidden="1">
      <c r="A1224" s="1">
        <v>9423601</v>
      </c>
      <c r="B1224" s="1" t="s">
        <v>101</v>
      </c>
      <c r="C1224" t="s">
        <v>643</v>
      </c>
      <c r="D1224" s="2">
        <v>230020893</v>
      </c>
      <c r="E1224" s="2">
        <v>605001400040</v>
      </c>
      <c r="F1224" s="1" t="s">
        <v>644</v>
      </c>
      <c r="G1224" s="1" t="s">
        <v>53</v>
      </c>
      <c r="H1224" s="1" t="s">
        <v>420</v>
      </c>
      <c r="I1224" s="1" t="s">
        <v>421</v>
      </c>
      <c r="J1224" s="1" t="s">
        <v>90</v>
      </c>
      <c r="K1224" t="s">
        <v>645</v>
      </c>
      <c r="M1224" s="1" t="s">
        <v>58</v>
      </c>
      <c r="N1224" s="1">
        <v>0</v>
      </c>
      <c r="O1224" s="1" t="s">
        <v>105</v>
      </c>
      <c r="P1224" s="186">
        <v>44958.722256944442</v>
      </c>
      <c r="R1224" s="1">
        <v>3</v>
      </c>
      <c r="T1224" s="1" t="s">
        <v>646</v>
      </c>
      <c r="U1224" s="186">
        <v>44959.722256944442</v>
      </c>
      <c r="V1224" s="1" t="s">
        <v>41</v>
      </c>
      <c r="W1224" s="1" t="s">
        <v>49</v>
      </c>
      <c r="AA1224" s="14"/>
    </row>
    <row r="1225" spans="1:27" hidden="1">
      <c r="A1225" s="1">
        <v>9423596</v>
      </c>
      <c r="B1225" s="1" t="s">
        <v>101</v>
      </c>
      <c r="C1225" t="s">
        <v>643</v>
      </c>
      <c r="D1225" s="2">
        <v>230020890</v>
      </c>
      <c r="E1225" s="2">
        <v>600001400040</v>
      </c>
      <c r="F1225" s="1" t="s">
        <v>644</v>
      </c>
      <c r="G1225" s="1" t="s">
        <v>53</v>
      </c>
      <c r="H1225" s="1" t="s">
        <v>1084</v>
      </c>
      <c r="I1225" s="1" t="s">
        <v>1085</v>
      </c>
      <c r="J1225" s="1" t="s">
        <v>90</v>
      </c>
      <c r="K1225" t="s">
        <v>645</v>
      </c>
      <c r="M1225" s="1" t="s">
        <v>58</v>
      </c>
      <c r="N1225" s="1">
        <v>0</v>
      </c>
      <c r="O1225" s="1" t="s">
        <v>105</v>
      </c>
      <c r="P1225" s="186">
        <v>44958.722094907411</v>
      </c>
      <c r="R1225" s="1">
        <v>2</v>
      </c>
      <c r="T1225" s="1" t="s">
        <v>646</v>
      </c>
      <c r="U1225" s="186">
        <v>44959.722094907411</v>
      </c>
      <c r="V1225" s="1" t="s">
        <v>41</v>
      </c>
      <c r="W1225" s="1" t="s">
        <v>49</v>
      </c>
      <c r="AA1225" s="14"/>
    </row>
    <row r="1226" spans="1:27">
      <c r="A1226" s="181">
        <v>9423590</v>
      </c>
      <c r="B1226" s="181" t="s">
        <v>1153</v>
      </c>
      <c r="C1226" s="182" t="s">
        <v>2106</v>
      </c>
      <c r="D1226" s="183">
        <v>20231028000006</v>
      </c>
      <c r="E1226" s="183">
        <v>7417163283625</v>
      </c>
      <c r="F1226" s="181" t="s">
        <v>131</v>
      </c>
      <c r="G1226" s="181" t="s">
        <v>53</v>
      </c>
      <c r="H1226" s="181" t="s">
        <v>2107</v>
      </c>
      <c r="I1226" s="181" t="s">
        <v>2108</v>
      </c>
      <c r="J1226" s="181" t="s">
        <v>85</v>
      </c>
      <c r="K1226" t="s">
        <v>132</v>
      </c>
      <c r="M1226" s="1" t="s">
        <v>58</v>
      </c>
      <c r="N1226" s="1">
        <v>0</v>
      </c>
      <c r="O1226" s="1" t="s">
        <v>36</v>
      </c>
      <c r="P1226" s="186">
        <v>44958.689085648148</v>
      </c>
      <c r="R1226" s="1">
        <v>14</v>
      </c>
      <c r="T1226" s="1" t="s">
        <v>238</v>
      </c>
      <c r="U1226" s="186">
        <v>44958.689085648148</v>
      </c>
      <c r="V1226" s="1" t="s">
        <v>41</v>
      </c>
      <c r="W1226" s="1" t="s">
        <v>49</v>
      </c>
      <c r="AA1226" s="14"/>
    </row>
    <row r="1227" spans="1:27" hidden="1">
      <c r="A1227" s="1">
        <v>9423511</v>
      </c>
      <c r="B1227" s="1" t="s">
        <v>1153</v>
      </c>
      <c r="C1227" t="s">
        <v>2110</v>
      </c>
      <c r="D1227" s="2">
        <v>230022801</v>
      </c>
      <c r="E1227" s="2">
        <v>3250001400030</v>
      </c>
      <c r="F1227" s="1" t="s">
        <v>647</v>
      </c>
      <c r="G1227" s="1" t="s">
        <v>53</v>
      </c>
      <c r="H1227" s="1" t="s">
        <v>371</v>
      </c>
      <c r="I1227" s="1" t="s">
        <v>372</v>
      </c>
      <c r="J1227" s="1" t="s">
        <v>46</v>
      </c>
      <c r="K1227" t="s">
        <v>650</v>
      </c>
      <c r="M1227" s="1" t="s">
        <v>58</v>
      </c>
      <c r="N1227" s="1">
        <v>0</v>
      </c>
      <c r="O1227" s="1" t="s">
        <v>36</v>
      </c>
      <c r="P1227" s="186">
        <v>44958.718576388892</v>
      </c>
      <c r="R1227" s="1">
        <v>4</v>
      </c>
      <c r="T1227" s="1" t="s">
        <v>646</v>
      </c>
      <c r="U1227" s="186">
        <v>44959.73940972222</v>
      </c>
      <c r="V1227" s="1" t="s">
        <v>41</v>
      </c>
      <c r="W1227" s="1" t="s">
        <v>49</v>
      </c>
      <c r="AA1227" s="14"/>
    </row>
    <row r="1228" spans="1:27" hidden="1">
      <c r="A1228" s="1">
        <v>9423443</v>
      </c>
      <c r="B1228" s="1" t="s">
        <v>101</v>
      </c>
      <c r="C1228" t="s">
        <v>643</v>
      </c>
      <c r="D1228" s="2">
        <v>230021326</v>
      </c>
      <c r="E1228" s="2">
        <v>1739001400040</v>
      </c>
      <c r="F1228" s="1" t="s">
        <v>644</v>
      </c>
      <c r="G1228" s="1" t="s">
        <v>53</v>
      </c>
      <c r="H1228" s="1" t="s">
        <v>162</v>
      </c>
      <c r="I1228" s="1" t="s">
        <v>163</v>
      </c>
      <c r="J1228" s="1" t="s">
        <v>164</v>
      </c>
      <c r="K1228" t="s">
        <v>645</v>
      </c>
      <c r="M1228" s="1" t="s">
        <v>58</v>
      </c>
      <c r="N1228" s="1">
        <v>0</v>
      </c>
      <c r="O1228" s="1" t="s">
        <v>105</v>
      </c>
      <c r="P1228" s="186">
        <v>44958.714675925927</v>
      </c>
      <c r="R1228" s="1">
        <v>3</v>
      </c>
      <c r="T1228" s="1" t="s">
        <v>646</v>
      </c>
      <c r="U1228" s="186">
        <v>44959.714675925927</v>
      </c>
      <c r="V1228" s="1" t="s">
        <v>41</v>
      </c>
      <c r="W1228" s="1" t="s">
        <v>49</v>
      </c>
      <c r="AA1228" s="14"/>
    </row>
    <row r="1229" spans="1:27" hidden="1">
      <c r="A1229" s="1">
        <v>9423416</v>
      </c>
      <c r="B1229" s="1" t="s">
        <v>101</v>
      </c>
      <c r="C1229" t="s">
        <v>643</v>
      </c>
      <c r="D1229" s="2">
        <v>230021315</v>
      </c>
      <c r="E1229" s="2">
        <v>1710001400040</v>
      </c>
      <c r="F1229" s="1" t="s">
        <v>644</v>
      </c>
      <c r="G1229" s="1" t="s">
        <v>53</v>
      </c>
      <c r="H1229" s="1" t="s">
        <v>327</v>
      </c>
      <c r="I1229" s="1" t="s">
        <v>328</v>
      </c>
      <c r="J1229" s="1" t="s">
        <v>261</v>
      </c>
      <c r="K1229" t="s">
        <v>645</v>
      </c>
      <c r="M1229" s="1" t="s">
        <v>58</v>
      </c>
      <c r="N1229" s="1">
        <v>0</v>
      </c>
      <c r="O1229" s="1" t="s">
        <v>105</v>
      </c>
      <c r="P1229" s="186">
        <v>44958.713321759256</v>
      </c>
      <c r="R1229" s="1">
        <v>2</v>
      </c>
      <c r="T1229" s="1" t="s">
        <v>646</v>
      </c>
      <c r="U1229" s="186">
        <v>44959.713321759256</v>
      </c>
      <c r="V1229" s="1" t="s">
        <v>41</v>
      </c>
      <c r="W1229" s="1" t="s">
        <v>49</v>
      </c>
      <c r="AA1229" s="14"/>
    </row>
    <row r="1230" spans="1:27" hidden="1">
      <c r="A1230" s="1">
        <v>9423393</v>
      </c>
      <c r="B1230" s="1" t="s">
        <v>101</v>
      </c>
      <c r="C1230" t="s">
        <v>643</v>
      </c>
      <c r="D1230" s="2">
        <v>230021306</v>
      </c>
      <c r="E1230" s="2">
        <v>1689001400040</v>
      </c>
      <c r="F1230" s="1" t="s">
        <v>644</v>
      </c>
      <c r="G1230" s="1" t="s">
        <v>53</v>
      </c>
      <c r="H1230" s="1" t="s">
        <v>2117</v>
      </c>
      <c r="I1230" s="1" t="s">
        <v>2118</v>
      </c>
      <c r="J1230" s="1" t="s">
        <v>79</v>
      </c>
      <c r="K1230" t="s">
        <v>645</v>
      </c>
      <c r="M1230" s="1" t="s">
        <v>58</v>
      </c>
      <c r="N1230" s="1">
        <v>0</v>
      </c>
      <c r="O1230" s="1" t="s">
        <v>105</v>
      </c>
      <c r="P1230" s="186">
        <v>44958.712106481478</v>
      </c>
      <c r="R1230" s="1">
        <v>2</v>
      </c>
      <c r="T1230" s="1" t="s">
        <v>646</v>
      </c>
      <c r="U1230" s="186">
        <v>44959.712106481478</v>
      </c>
      <c r="V1230" s="1" t="s">
        <v>41</v>
      </c>
      <c r="W1230" s="1" t="s">
        <v>49</v>
      </c>
      <c r="AA1230" s="14"/>
    </row>
    <row r="1231" spans="1:27" hidden="1">
      <c r="A1231" s="1">
        <v>9423359</v>
      </c>
      <c r="B1231" s="1" t="s">
        <v>101</v>
      </c>
      <c r="C1231" t="s">
        <v>643</v>
      </c>
      <c r="D1231" s="2">
        <v>230021290</v>
      </c>
      <c r="E1231" s="2">
        <v>1650001400040</v>
      </c>
      <c r="F1231" s="1" t="s">
        <v>644</v>
      </c>
      <c r="G1231" s="1" t="s">
        <v>53</v>
      </c>
      <c r="H1231" s="1" t="s">
        <v>620</v>
      </c>
      <c r="I1231" s="1" t="s">
        <v>621</v>
      </c>
      <c r="J1231" s="1" t="s">
        <v>141</v>
      </c>
      <c r="K1231" t="s">
        <v>645</v>
      </c>
      <c r="M1231" s="1" t="s">
        <v>58</v>
      </c>
      <c r="N1231" s="1">
        <v>0</v>
      </c>
      <c r="O1231" s="1" t="s">
        <v>105</v>
      </c>
      <c r="P1231" s="186">
        <v>44958.710069444445</v>
      </c>
      <c r="R1231" s="1">
        <v>2</v>
      </c>
      <c r="T1231" s="1" t="s">
        <v>646</v>
      </c>
      <c r="U1231" s="186">
        <v>44959.710069444445</v>
      </c>
      <c r="V1231" s="1" t="s">
        <v>41</v>
      </c>
      <c r="W1231" s="1" t="s">
        <v>49</v>
      </c>
      <c r="AA1231" s="14"/>
    </row>
    <row r="1232" spans="1:27" hidden="1">
      <c r="A1232" s="1">
        <v>9422929</v>
      </c>
      <c r="B1232" s="1" t="s">
        <v>101</v>
      </c>
      <c r="C1232" t="s">
        <v>643</v>
      </c>
      <c r="D1232" s="2">
        <v>230020003</v>
      </c>
      <c r="E1232" s="2">
        <v>2889031400030</v>
      </c>
      <c r="F1232" s="1" t="s">
        <v>647</v>
      </c>
      <c r="G1232" s="1" t="s">
        <v>53</v>
      </c>
      <c r="H1232" s="1" t="s">
        <v>801</v>
      </c>
      <c r="I1232" s="1" t="s">
        <v>802</v>
      </c>
      <c r="J1232" s="1" t="s">
        <v>46</v>
      </c>
      <c r="K1232" t="s">
        <v>650</v>
      </c>
      <c r="M1232" s="1" t="s">
        <v>58</v>
      </c>
      <c r="N1232" s="1">
        <v>0</v>
      </c>
      <c r="O1232" s="1" t="s">
        <v>105</v>
      </c>
      <c r="P1232" s="186">
        <v>44958.685208333336</v>
      </c>
      <c r="R1232" s="1">
        <v>4</v>
      </c>
      <c r="T1232" s="1" t="s">
        <v>646</v>
      </c>
      <c r="U1232" s="186">
        <v>44959.685208333336</v>
      </c>
      <c r="V1232" s="1" t="s">
        <v>41</v>
      </c>
      <c r="W1232" s="1" t="s">
        <v>49</v>
      </c>
      <c r="AA1232" s="14"/>
    </row>
    <row r="1233" spans="1:27" hidden="1">
      <c r="A1233" s="1">
        <v>9422926</v>
      </c>
      <c r="B1233" s="1" t="s">
        <v>101</v>
      </c>
      <c r="C1233" t="s">
        <v>643</v>
      </c>
      <c r="D1233" s="2">
        <v>230020002</v>
      </c>
      <c r="E1233" s="2">
        <v>2889011400030</v>
      </c>
      <c r="F1233" s="1" t="s">
        <v>647</v>
      </c>
      <c r="G1233" s="1" t="s">
        <v>53</v>
      </c>
      <c r="H1233" s="1" t="s">
        <v>805</v>
      </c>
      <c r="I1233" s="1" t="s">
        <v>806</v>
      </c>
      <c r="J1233" s="1" t="s">
        <v>46</v>
      </c>
      <c r="K1233" t="s">
        <v>650</v>
      </c>
      <c r="M1233" s="1" t="s">
        <v>58</v>
      </c>
      <c r="N1233" s="1">
        <v>0</v>
      </c>
      <c r="O1233" s="1" t="s">
        <v>105</v>
      </c>
      <c r="P1233" s="186">
        <v>44958.685057870367</v>
      </c>
      <c r="R1233" s="1">
        <v>4</v>
      </c>
      <c r="T1233" s="1" t="s">
        <v>646</v>
      </c>
      <c r="U1233" s="186">
        <v>44959.685057870367</v>
      </c>
      <c r="V1233" s="1" t="s">
        <v>41</v>
      </c>
      <c r="W1233" s="1" t="s">
        <v>49</v>
      </c>
      <c r="AA1233" s="14"/>
    </row>
    <row r="1234" spans="1:27" hidden="1">
      <c r="A1234" s="1">
        <v>9422925</v>
      </c>
      <c r="B1234" s="1" t="s">
        <v>101</v>
      </c>
      <c r="C1234" t="s">
        <v>643</v>
      </c>
      <c r="D1234" s="2">
        <v>230020001</v>
      </c>
      <c r="E1234" s="2">
        <v>2889001400030</v>
      </c>
      <c r="F1234" s="1" t="s">
        <v>647</v>
      </c>
      <c r="G1234" s="1" t="s">
        <v>53</v>
      </c>
      <c r="H1234" s="1" t="s">
        <v>418</v>
      </c>
      <c r="I1234" s="1" t="s">
        <v>419</v>
      </c>
      <c r="J1234" s="1" t="s">
        <v>46</v>
      </c>
      <c r="K1234" t="s">
        <v>650</v>
      </c>
      <c r="M1234" s="1" t="s">
        <v>58</v>
      </c>
      <c r="N1234" s="1">
        <v>0</v>
      </c>
      <c r="O1234" s="1" t="s">
        <v>105</v>
      </c>
      <c r="P1234" s="186">
        <v>44958.684953703705</v>
      </c>
      <c r="R1234" s="1">
        <v>4</v>
      </c>
      <c r="T1234" s="1" t="s">
        <v>646</v>
      </c>
      <c r="U1234" s="186">
        <v>44959.684965277775</v>
      </c>
      <c r="V1234" s="1" t="s">
        <v>41</v>
      </c>
      <c r="W1234" s="1" t="s">
        <v>49</v>
      </c>
      <c r="AA1234" s="14"/>
    </row>
    <row r="1235" spans="1:27" hidden="1">
      <c r="A1235" s="1">
        <v>9422866</v>
      </c>
      <c r="B1235" s="1" t="s">
        <v>101</v>
      </c>
      <c r="C1235" t="s">
        <v>643</v>
      </c>
      <c r="D1235" s="2">
        <v>230019683</v>
      </c>
      <c r="E1235" s="2">
        <v>2069001400030</v>
      </c>
      <c r="F1235" s="1" t="s">
        <v>647</v>
      </c>
      <c r="G1235" s="1" t="s">
        <v>53</v>
      </c>
      <c r="H1235" s="1" t="s">
        <v>557</v>
      </c>
      <c r="I1235" s="1" t="s">
        <v>558</v>
      </c>
      <c r="J1235" s="1" t="s">
        <v>90</v>
      </c>
      <c r="K1235" t="s">
        <v>650</v>
      </c>
      <c r="M1235" s="1" t="s">
        <v>58</v>
      </c>
      <c r="N1235" s="1">
        <v>0</v>
      </c>
      <c r="O1235" s="1" t="s">
        <v>105</v>
      </c>
      <c r="P1235" s="186">
        <v>44958.682638888888</v>
      </c>
      <c r="R1235" s="1">
        <v>4</v>
      </c>
      <c r="T1235" s="1" t="s">
        <v>646</v>
      </c>
      <c r="U1235" s="186">
        <v>44959.682650462964</v>
      </c>
      <c r="V1235" s="1" t="s">
        <v>41</v>
      </c>
      <c r="W1235" s="1" t="s">
        <v>49</v>
      </c>
      <c r="AA1235" s="14"/>
    </row>
    <row r="1236" spans="1:27" hidden="1">
      <c r="A1236" s="1">
        <v>9422511</v>
      </c>
      <c r="B1236" s="1" t="s">
        <v>101</v>
      </c>
      <c r="C1236" t="s">
        <v>643</v>
      </c>
      <c r="D1236" s="2">
        <v>230019646</v>
      </c>
      <c r="E1236" s="2">
        <v>1838001400030</v>
      </c>
      <c r="F1236" s="1" t="s">
        <v>647</v>
      </c>
      <c r="G1236" s="1" t="s">
        <v>53</v>
      </c>
      <c r="H1236" s="1" t="s">
        <v>357</v>
      </c>
      <c r="I1236" s="1" t="s">
        <v>358</v>
      </c>
      <c r="J1236" s="1" t="s">
        <v>46</v>
      </c>
      <c r="K1236" t="s">
        <v>650</v>
      </c>
      <c r="M1236" s="1" t="s">
        <v>58</v>
      </c>
      <c r="N1236" s="1">
        <v>0</v>
      </c>
      <c r="O1236" s="1" t="s">
        <v>105</v>
      </c>
      <c r="P1236" s="186">
        <v>44958.635497685187</v>
      </c>
      <c r="R1236" s="1">
        <v>4</v>
      </c>
      <c r="T1236" s="1" t="s">
        <v>646</v>
      </c>
      <c r="U1236" s="186">
        <v>44959.635497685187</v>
      </c>
      <c r="V1236" s="1" t="s">
        <v>41</v>
      </c>
      <c r="W1236" s="1" t="s">
        <v>49</v>
      </c>
      <c r="AA1236" s="14"/>
    </row>
    <row r="1237" spans="1:27" hidden="1">
      <c r="A1237" s="1">
        <v>9422510</v>
      </c>
      <c r="B1237" s="1" t="s">
        <v>101</v>
      </c>
      <c r="C1237" t="s">
        <v>643</v>
      </c>
      <c r="D1237" s="2">
        <v>230019645</v>
      </c>
      <c r="E1237" s="2">
        <v>1837001400030</v>
      </c>
      <c r="F1237" s="1" t="s">
        <v>647</v>
      </c>
      <c r="G1237" s="1" t="s">
        <v>53</v>
      </c>
      <c r="H1237" s="1" t="s">
        <v>1785</v>
      </c>
      <c r="I1237" s="1" t="s">
        <v>1786</v>
      </c>
      <c r="J1237" s="1" t="s">
        <v>46</v>
      </c>
      <c r="K1237" t="s">
        <v>650</v>
      </c>
      <c r="M1237" s="1" t="s">
        <v>58</v>
      </c>
      <c r="N1237" s="1">
        <v>0</v>
      </c>
      <c r="O1237" s="1" t="s">
        <v>105</v>
      </c>
      <c r="P1237" s="186">
        <v>44958.635405092595</v>
      </c>
      <c r="R1237" s="1">
        <v>4</v>
      </c>
      <c r="T1237" s="1" t="s">
        <v>646</v>
      </c>
      <c r="U1237" s="186">
        <v>44959.635405092595</v>
      </c>
      <c r="V1237" s="1" t="s">
        <v>41</v>
      </c>
      <c r="W1237" s="1" t="s">
        <v>49</v>
      </c>
      <c r="AA1237" s="14"/>
    </row>
    <row r="1238" spans="1:27" hidden="1">
      <c r="A1238" s="1">
        <v>9422509</v>
      </c>
      <c r="B1238" s="1" t="s">
        <v>101</v>
      </c>
      <c r="C1238" t="s">
        <v>643</v>
      </c>
      <c r="D1238" s="2">
        <v>230019644</v>
      </c>
      <c r="E1238" s="2">
        <v>1836001400030</v>
      </c>
      <c r="F1238" s="1" t="s">
        <v>647</v>
      </c>
      <c r="G1238" s="1" t="s">
        <v>53</v>
      </c>
      <c r="H1238" s="1" t="s">
        <v>455</v>
      </c>
      <c r="I1238" s="1" t="s">
        <v>456</v>
      </c>
      <c r="J1238" s="1" t="s">
        <v>46</v>
      </c>
      <c r="K1238" t="s">
        <v>650</v>
      </c>
      <c r="M1238" s="1" t="s">
        <v>58</v>
      </c>
      <c r="N1238" s="1">
        <v>0</v>
      </c>
      <c r="O1238" s="1" t="s">
        <v>105</v>
      </c>
      <c r="P1238" s="186">
        <v>44958.635312500002</v>
      </c>
      <c r="R1238" s="1">
        <v>4</v>
      </c>
      <c r="T1238" s="1" t="s">
        <v>646</v>
      </c>
      <c r="U1238" s="186">
        <v>44959.635312500002</v>
      </c>
      <c r="V1238" s="1" t="s">
        <v>41</v>
      </c>
      <c r="W1238" s="1" t="s">
        <v>49</v>
      </c>
      <c r="AA1238" s="14"/>
    </row>
    <row r="1239" spans="1:27" hidden="1">
      <c r="A1239" s="1">
        <v>9422508</v>
      </c>
      <c r="B1239" s="1" t="s">
        <v>101</v>
      </c>
      <c r="C1239" t="s">
        <v>643</v>
      </c>
      <c r="D1239" s="2">
        <v>230019643</v>
      </c>
      <c r="E1239" s="2">
        <v>1835001400030</v>
      </c>
      <c r="F1239" s="1" t="s">
        <v>647</v>
      </c>
      <c r="G1239" s="1" t="s">
        <v>53</v>
      </c>
      <c r="H1239" s="1" t="s">
        <v>305</v>
      </c>
      <c r="I1239" s="1" t="s">
        <v>306</v>
      </c>
      <c r="J1239" s="1" t="s">
        <v>46</v>
      </c>
      <c r="K1239" t="s">
        <v>650</v>
      </c>
      <c r="M1239" s="1" t="s">
        <v>58</v>
      </c>
      <c r="N1239" s="1">
        <v>0</v>
      </c>
      <c r="O1239" s="1" t="s">
        <v>105</v>
      </c>
      <c r="P1239" s="186">
        <v>44958.63521990741</v>
      </c>
      <c r="R1239" s="1">
        <v>4</v>
      </c>
      <c r="T1239" s="1" t="s">
        <v>646</v>
      </c>
      <c r="U1239" s="186">
        <v>44959.63521990741</v>
      </c>
      <c r="V1239" s="1" t="s">
        <v>41</v>
      </c>
      <c r="W1239" s="1" t="s">
        <v>49</v>
      </c>
    </row>
    <row r="1240" spans="1:27" hidden="1">
      <c r="A1240" s="1">
        <v>9422507</v>
      </c>
      <c r="B1240" s="1" t="s">
        <v>101</v>
      </c>
      <c r="C1240" t="s">
        <v>643</v>
      </c>
      <c r="D1240" s="2">
        <v>230019642</v>
      </c>
      <c r="E1240" s="2">
        <v>1833041400030</v>
      </c>
      <c r="F1240" s="1" t="s">
        <v>647</v>
      </c>
      <c r="G1240" s="1" t="s">
        <v>53</v>
      </c>
      <c r="H1240" s="1" t="s">
        <v>811</v>
      </c>
      <c r="I1240" s="1" t="s">
        <v>812</v>
      </c>
      <c r="J1240" s="1" t="s">
        <v>46</v>
      </c>
      <c r="K1240" t="s">
        <v>650</v>
      </c>
      <c r="M1240" s="1" t="s">
        <v>58</v>
      </c>
      <c r="N1240" s="1">
        <v>0</v>
      </c>
      <c r="O1240" s="1" t="s">
        <v>105</v>
      </c>
      <c r="P1240" s="186">
        <v>44958.635127314818</v>
      </c>
      <c r="R1240" s="1">
        <v>4</v>
      </c>
      <c r="T1240" s="1" t="s">
        <v>646</v>
      </c>
      <c r="U1240" s="186">
        <v>44959.635127314818</v>
      </c>
      <c r="V1240" s="1" t="s">
        <v>41</v>
      </c>
      <c r="W1240" s="1" t="s">
        <v>49</v>
      </c>
    </row>
    <row r="1241" spans="1:27" hidden="1">
      <c r="A1241" s="1">
        <v>9422506</v>
      </c>
      <c r="B1241" s="1" t="s">
        <v>101</v>
      </c>
      <c r="C1241" t="s">
        <v>643</v>
      </c>
      <c r="D1241" s="2">
        <v>230019641</v>
      </c>
      <c r="E1241" s="2">
        <v>1833001400030</v>
      </c>
      <c r="F1241" s="1" t="s">
        <v>647</v>
      </c>
      <c r="G1241" s="1" t="s">
        <v>53</v>
      </c>
      <c r="H1241" s="1" t="s">
        <v>369</v>
      </c>
      <c r="I1241" s="1" t="s">
        <v>370</v>
      </c>
      <c r="J1241" s="1" t="s">
        <v>46</v>
      </c>
      <c r="K1241" t="s">
        <v>650</v>
      </c>
      <c r="M1241" s="1" t="s">
        <v>58</v>
      </c>
      <c r="N1241" s="1">
        <v>0</v>
      </c>
      <c r="O1241" s="1" t="s">
        <v>105</v>
      </c>
      <c r="P1241" s="186">
        <v>44958.635034722225</v>
      </c>
      <c r="R1241" s="1">
        <v>4</v>
      </c>
      <c r="T1241" s="1" t="s">
        <v>646</v>
      </c>
      <c r="U1241" s="186">
        <v>44959.635034722225</v>
      </c>
      <c r="V1241" s="1" t="s">
        <v>41</v>
      </c>
      <c r="W1241" s="1" t="s">
        <v>49</v>
      </c>
    </row>
    <row r="1242" spans="1:27" hidden="1">
      <c r="A1242" s="1">
        <v>9422498</v>
      </c>
      <c r="B1242" s="1" t="s">
        <v>101</v>
      </c>
      <c r="C1242" t="s">
        <v>643</v>
      </c>
      <c r="D1242" s="2">
        <v>230019633</v>
      </c>
      <c r="E1242" s="2">
        <v>1814031400030</v>
      </c>
      <c r="F1242" s="1" t="s">
        <v>647</v>
      </c>
      <c r="G1242" s="1" t="s">
        <v>53</v>
      </c>
      <c r="H1242" s="1" t="s">
        <v>719</v>
      </c>
      <c r="I1242" s="1" t="s">
        <v>188</v>
      </c>
      <c r="J1242" s="1" t="s">
        <v>46</v>
      </c>
      <c r="K1242" t="s">
        <v>650</v>
      </c>
      <c r="M1242" s="1" t="s">
        <v>58</v>
      </c>
      <c r="N1242" s="1">
        <v>0</v>
      </c>
      <c r="O1242" s="1" t="s">
        <v>105</v>
      </c>
      <c r="P1242" s="186">
        <v>44958.634398148148</v>
      </c>
      <c r="R1242" s="1">
        <v>4</v>
      </c>
      <c r="T1242" s="1" t="s">
        <v>646</v>
      </c>
      <c r="U1242" s="186">
        <v>44959.634409722225</v>
      </c>
      <c r="V1242" s="1" t="s">
        <v>41</v>
      </c>
      <c r="W1242" s="1" t="s">
        <v>49</v>
      </c>
    </row>
    <row r="1243" spans="1:27" hidden="1">
      <c r="A1243" s="1">
        <v>9422497</v>
      </c>
      <c r="B1243" s="1" t="s">
        <v>101</v>
      </c>
      <c r="C1243" t="s">
        <v>643</v>
      </c>
      <c r="D1243" s="2">
        <v>230019632</v>
      </c>
      <c r="E1243" s="2">
        <v>1814001400030</v>
      </c>
      <c r="F1243" s="1" t="s">
        <v>647</v>
      </c>
      <c r="G1243" s="1" t="s">
        <v>53</v>
      </c>
      <c r="H1243" s="1" t="s">
        <v>396</v>
      </c>
      <c r="I1243" s="1" t="s">
        <v>397</v>
      </c>
      <c r="J1243" s="1" t="s">
        <v>46</v>
      </c>
      <c r="K1243" t="s">
        <v>650</v>
      </c>
      <c r="M1243" s="1" t="s">
        <v>58</v>
      </c>
      <c r="N1243" s="1">
        <v>0</v>
      </c>
      <c r="O1243" s="1" t="s">
        <v>105</v>
      </c>
      <c r="P1243" s="186">
        <v>44958.634293981479</v>
      </c>
      <c r="R1243" s="1">
        <v>4</v>
      </c>
      <c r="T1243" s="1" t="s">
        <v>646</v>
      </c>
      <c r="U1243" s="186">
        <v>44959.634293981479</v>
      </c>
      <c r="V1243" s="1" t="s">
        <v>41</v>
      </c>
      <c r="W1243" s="1" t="s">
        <v>49</v>
      </c>
    </row>
    <row r="1244" spans="1:27" hidden="1">
      <c r="A1244" s="1">
        <v>9422255</v>
      </c>
      <c r="B1244" s="1" t="s">
        <v>101</v>
      </c>
      <c r="C1244" t="s">
        <v>643</v>
      </c>
      <c r="D1244" s="2">
        <v>230018197</v>
      </c>
      <c r="E1244" s="2">
        <v>2257001400010</v>
      </c>
      <c r="F1244" s="1" t="s">
        <v>936</v>
      </c>
      <c r="G1244" s="1" t="s">
        <v>53</v>
      </c>
      <c r="H1244" s="1" t="s">
        <v>381</v>
      </c>
      <c r="I1244" s="1" t="s">
        <v>382</v>
      </c>
      <c r="J1244" s="1" t="s">
        <v>110</v>
      </c>
      <c r="K1244" t="s">
        <v>937</v>
      </c>
      <c r="M1244" s="1" t="s">
        <v>58</v>
      </c>
      <c r="N1244" s="1">
        <v>0</v>
      </c>
      <c r="O1244" s="1" t="s">
        <v>105</v>
      </c>
      <c r="P1244" s="186">
        <v>44958.616932870369</v>
      </c>
      <c r="R1244" s="1">
        <v>3</v>
      </c>
      <c r="T1244" s="1" t="s">
        <v>646</v>
      </c>
      <c r="U1244" s="186">
        <v>44959.616932870369</v>
      </c>
      <c r="V1244" s="1" t="s">
        <v>41</v>
      </c>
      <c r="W1244" s="1" t="s">
        <v>49</v>
      </c>
    </row>
    <row r="1245" spans="1:27" hidden="1">
      <c r="A1245" s="1">
        <v>9422243</v>
      </c>
      <c r="B1245" s="1" t="s">
        <v>101</v>
      </c>
      <c r="C1245" t="s">
        <v>643</v>
      </c>
      <c r="D1245" s="2">
        <v>230017788</v>
      </c>
      <c r="E1245" s="2">
        <v>1153001400010</v>
      </c>
      <c r="F1245" s="1" t="s">
        <v>936</v>
      </c>
      <c r="G1245" s="1" t="s">
        <v>53</v>
      </c>
      <c r="H1245" s="1" t="s">
        <v>1031</v>
      </c>
      <c r="I1245" s="1" t="s">
        <v>1032</v>
      </c>
      <c r="J1245" s="1" t="s">
        <v>79</v>
      </c>
      <c r="K1245" t="s">
        <v>937</v>
      </c>
      <c r="M1245" s="1" t="s">
        <v>58</v>
      </c>
      <c r="N1245" s="1">
        <v>0</v>
      </c>
      <c r="O1245" s="1" t="s">
        <v>105</v>
      </c>
      <c r="P1245" s="186">
        <v>44958.615856481483</v>
      </c>
      <c r="R1245" s="1">
        <v>3</v>
      </c>
      <c r="T1245" s="1" t="s">
        <v>646</v>
      </c>
      <c r="U1245" s="186">
        <v>44959.615856481483</v>
      </c>
      <c r="V1245" s="1" t="s">
        <v>41</v>
      </c>
      <c r="W1245" s="1" t="s">
        <v>49</v>
      </c>
    </row>
    <row r="1246" spans="1:27" hidden="1">
      <c r="A1246" s="1">
        <v>9422222</v>
      </c>
      <c r="B1246" s="1" t="s">
        <v>101</v>
      </c>
      <c r="C1246" t="s">
        <v>643</v>
      </c>
      <c r="D1246" s="2">
        <v>230021493</v>
      </c>
      <c r="E1246" s="2">
        <v>2257001400040</v>
      </c>
      <c r="F1246" s="1" t="s">
        <v>644</v>
      </c>
      <c r="G1246" s="1" t="s">
        <v>53</v>
      </c>
      <c r="H1246" s="1" t="s">
        <v>381</v>
      </c>
      <c r="I1246" s="1" t="s">
        <v>382</v>
      </c>
      <c r="J1246" s="1" t="s">
        <v>110</v>
      </c>
      <c r="K1246" t="s">
        <v>645</v>
      </c>
      <c r="M1246" s="1" t="s">
        <v>58</v>
      </c>
      <c r="N1246" s="1">
        <v>0</v>
      </c>
      <c r="O1246" s="1" t="s">
        <v>105</v>
      </c>
      <c r="P1246" s="186">
        <v>44958.614039351851</v>
      </c>
      <c r="R1246" s="1">
        <v>3</v>
      </c>
      <c r="T1246" s="1" t="s">
        <v>646</v>
      </c>
      <c r="U1246" s="186">
        <v>44959.614039351851</v>
      </c>
      <c r="V1246" s="1" t="s">
        <v>41</v>
      </c>
      <c r="W1246" s="1" t="s">
        <v>49</v>
      </c>
    </row>
    <row r="1247" spans="1:27" hidden="1">
      <c r="A1247" s="1">
        <v>9422108</v>
      </c>
      <c r="B1247" s="1" t="s">
        <v>101</v>
      </c>
      <c r="C1247" t="s">
        <v>643</v>
      </c>
      <c r="D1247" s="2">
        <v>230021478</v>
      </c>
      <c r="E1247" s="2">
        <v>2229001400040</v>
      </c>
      <c r="F1247" s="1" t="s">
        <v>644</v>
      </c>
      <c r="G1247" s="1" t="s">
        <v>53</v>
      </c>
      <c r="H1247" s="1" t="s">
        <v>339</v>
      </c>
      <c r="I1247" s="1" t="s">
        <v>340</v>
      </c>
      <c r="J1247" s="1" t="s">
        <v>211</v>
      </c>
      <c r="K1247" t="s">
        <v>645</v>
      </c>
      <c r="M1247" s="1" t="s">
        <v>58</v>
      </c>
      <c r="N1247" s="1">
        <v>0</v>
      </c>
      <c r="O1247" s="1" t="s">
        <v>105</v>
      </c>
      <c r="P1247" s="186">
        <v>44958.606736111113</v>
      </c>
      <c r="R1247" s="1">
        <v>2</v>
      </c>
      <c r="T1247" s="1" t="s">
        <v>646</v>
      </c>
      <c r="U1247" s="186">
        <v>44959.606736111113</v>
      </c>
      <c r="V1247" s="1" t="s">
        <v>41</v>
      </c>
      <c r="W1247" s="1" t="s">
        <v>49</v>
      </c>
    </row>
    <row r="1248" spans="1:27" hidden="1">
      <c r="A1248" s="1">
        <v>9421550</v>
      </c>
      <c r="B1248" s="1" t="s">
        <v>101</v>
      </c>
      <c r="C1248" t="s">
        <v>643</v>
      </c>
      <c r="D1248" s="2">
        <v>230019696</v>
      </c>
      <c r="E1248" s="2">
        <v>2107001400030</v>
      </c>
      <c r="F1248" s="1" t="s">
        <v>647</v>
      </c>
      <c r="G1248" s="1" t="s">
        <v>53</v>
      </c>
      <c r="H1248" s="1" t="s">
        <v>262</v>
      </c>
      <c r="I1248" s="1" t="s">
        <v>263</v>
      </c>
      <c r="J1248" s="1" t="s">
        <v>164</v>
      </c>
      <c r="K1248" t="s">
        <v>650</v>
      </c>
      <c r="M1248" s="1" t="s">
        <v>58</v>
      </c>
      <c r="N1248" s="1">
        <v>0</v>
      </c>
      <c r="O1248" s="1" t="s">
        <v>105</v>
      </c>
      <c r="P1248" s="186">
        <v>44958.571956018517</v>
      </c>
      <c r="R1248" s="1">
        <v>4</v>
      </c>
      <c r="T1248" s="1" t="s">
        <v>646</v>
      </c>
      <c r="U1248" s="186">
        <v>44959.571967592594</v>
      </c>
      <c r="V1248" s="1" t="s">
        <v>41</v>
      </c>
      <c r="W1248" s="1" t="s">
        <v>49</v>
      </c>
    </row>
    <row r="1249" spans="1:23" hidden="1">
      <c r="A1249" s="1">
        <v>9421489</v>
      </c>
      <c r="B1249" s="1" t="s">
        <v>101</v>
      </c>
      <c r="C1249" t="s">
        <v>643</v>
      </c>
      <c r="D1249" s="2">
        <v>230021042</v>
      </c>
      <c r="E1249" s="2">
        <v>1028001400040</v>
      </c>
      <c r="F1249" s="1" t="s">
        <v>644</v>
      </c>
      <c r="G1249" s="1" t="s">
        <v>53</v>
      </c>
      <c r="H1249" s="1" t="s">
        <v>1079</v>
      </c>
      <c r="I1249" s="1" t="s">
        <v>1080</v>
      </c>
      <c r="J1249" s="1" t="s">
        <v>85</v>
      </c>
      <c r="K1249" t="s">
        <v>645</v>
      </c>
      <c r="M1249" s="1" t="s">
        <v>58</v>
      </c>
      <c r="N1249" s="1">
        <v>0</v>
      </c>
      <c r="O1249" s="1" t="s">
        <v>105</v>
      </c>
      <c r="P1249" s="186">
        <v>44958.567847222221</v>
      </c>
      <c r="R1249" s="1">
        <v>3</v>
      </c>
      <c r="T1249" s="1" t="s">
        <v>646</v>
      </c>
      <c r="U1249" s="186">
        <v>44959.567847222221</v>
      </c>
      <c r="V1249" s="1" t="s">
        <v>41</v>
      </c>
      <c r="W1249" s="1" t="s">
        <v>49</v>
      </c>
    </row>
    <row r="1250" spans="1:23" hidden="1">
      <c r="A1250" s="1">
        <v>9421441</v>
      </c>
      <c r="B1250" s="1" t="s">
        <v>101</v>
      </c>
      <c r="C1250" t="s">
        <v>643</v>
      </c>
      <c r="D1250" s="2">
        <v>230019840</v>
      </c>
      <c r="E1250" s="2">
        <v>2422001400030</v>
      </c>
      <c r="F1250" s="1" t="s">
        <v>647</v>
      </c>
      <c r="G1250" s="1" t="s">
        <v>53</v>
      </c>
      <c r="H1250" s="1" t="s">
        <v>1844</v>
      </c>
      <c r="I1250" s="1" t="s">
        <v>1845</v>
      </c>
      <c r="J1250" s="1" t="s">
        <v>211</v>
      </c>
      <c r="K1250" t="s">
        <v>650</v>
      </c>
      <c r="M1250" s="1" t="s">
        <v>58</v>
      </c>
      <c r="N1250" s="1">
        <v>0</v>
      </c>
      <c r="O1250" s="1" t="s">
        <v>105</v>
      </c>
      <c r="P1250" s="186">
        <v>44958.565127314818</v>
      </c>
      <c r="R1250" s="1">
        <v>4</v>
      </c>
      <c r="T1250" s="1" t="s">
        <v>646</v>
      </c>
      <c r="U1250" s="186">
        <v>44959.565127314818</v>
      </c>
      <c r="V1250" s="1" t="s">
        <v>41</v>
      </c>
      <c r="W1250" s="1" t="s">
        <v>49</v>
      </c>
    </row>
    <row r="1251" spans="1:23" hidden="1">
      <c r="A1251" s="1">
        <v>9421337</v>
      </c>
      <c r="B1251" s="1" t="s">
        <v>101</v>
      </c>
      <c r="C1251" t="s">
        <v>643</v>
      </c>
      <c r="D1251" s="2">
        <v>230021014</v>
      </c>
      <c r="E1251" s="2">
        <v>963001400040</v>
      </c>
      <c r="F1251" s="1" t="s">
        <v>644</v>
      </c>
      <c r="G1251" s="1" t="s">
        <v>53</v>
      </c>
      <c r="H1251" s="1" t="s">
        <v>531</v>
      </c>
      <c r="I1251" s="1" t="s">
        <v>532</v>
      </c>
      <c r="J1251" s="1" t="s">
        <v>33</v>
      </c>
      <c r="K1251" t="s">
        <v>645</v>
      </c>
      <c r="M1251" s="1" t="s">
        <v>58</v>
      </c>
      <c r="N1251" s="1">
        <v>0</v>
      </c>
      <c r="O1251" s="1" t="s">
        <v>105</v>
      </c>
      <c r="P1251" s="186">
        <v>44958.559178240743</v>
      </c>
      <c r="R1251" s="1">
        <v>3</v>
      </c>
      <c r="T1251" s="1" t="s">
        <v>646</v>
      </c>
      <c r="U1251" s="186">
        <v>44959.559178240743</v>
      </c>
      <c r="V1251" s="1" t="s">
        <v>41</v>
      </c>
      <c r="W1251" s="1" t="s">
        <v>49</v>
      </c>
    </row>
    <row r="1252" spans="1:23" hidden="1">
      <c r="A1252" s="1">
        <v>9421295</v>
      </c>
      <c r="B1252" s="1" t="s">
        <v>101</v>
      </c>
      <c r="C1252" t="s">
        <v>643</v>
      </c>
      <c r="D1252" s="2">
        <v>230019817</v>
      </c>
      <c r="E1252" s="2">
        <v>2365001400030</v>
      </c>
      <c r="F1252" s="1" t="s">
        <v>647</v>
      </c>
      <c r="G1252" s="1" t="s">
        <v>53</v>
      </c>
      <c r="H1252" s="1" t="s">
        <v>159</v>
      </c>
      <c r="I1252" s="1" t="s">
        <v>160</v>
      </c>
      <c r="J1252" s="1" t="s">
        <v>46</v>
      </c>
      <c r="K1252" t="s">
        <v>650</v>
      </c>
      <c r="M1252" s="1" t="s">
        <v>58</v>
      </c>
      <c r="N1252" s="1">
        <v>0</v>
      </c>
      <c r="O1252" s="1" t="s">
        <v>36</v>
      </c>
      <c r="P1252" s="186">
        <v>44958.557002314818</v>
      </c>
      <c r="R1252" s="1">
        <v>4</v>
      </c>
      <c r="T1252" s="1" t="s">
        <v>646</v>
      </c>
      <c r="U1252" s="186">
        <v>44959.557002314818</v>
      </c>
      <c r="V1252" s="1" t="s">
        <v>41</v>
      </c>
      <c r="W1252" s="1" t="s">
        <v>49</v>
      </c>
    </row>
    <row r="1253" spans="1:23" hidden="1">
      <c r="A1253" s="1">
        <v>9421222</v>
      </c>
      <c r="B1253" s="1" t="s">
        <v>101</v>
      </c>
      <c r="C1253" t="s">
        <v>643</v>
      </c>
      <c r="D1253" s="2">
        <v>230019179</v>
      </c>
      <c r="E1253" s="2">
        <v>721001400030</v>
      </c>
      <c r="F1253" s="1" t="s">
        <v>647</v>
      </c>
      <c r="G1253" s="1" t="s">
        <v>53</v>
      </c>
      <c r="H1253" s="1" t="s">
        <v>422</v>
      </c>
      <c r="I1253" s="1" t="s">
        <v>423</v>
      </c>
      <c r="J1253" s="1" t="s">
        <v>79</v>
      </c>
      <c r="K1253" t="s">
        <v>650</v>
      </c>
      <c r="M1253" s="1" t="s">
        <v>58</v>
      </c>
      <c r="N1253" s="1">
        <v>0</v>
      </c>
      <c r="O1253" s="1" t="s">
        <v>105</v>
      </c>
      <c r="P1253" s="186">
        <v>44958.552604166667</v>
      </c>
      <c r="R1253" s="1">
        <v>4</v>
      </c>
      <c r="T1253" s="1" t="s">
        <v>646</v>
      </c>
      <c r="U1253" s="186">
        <v>44959.552615740744</v>
      </c>
      <c r="V1253" s="1" t="s">
        <v>41</v>
      </c>
      <c r="W1253" s="1" t="s">
        <v>49</v>
      </c>
    </row>
    <row r="1254" spans="1:23" hidden="1">
      <c r="A1254" s="1">
        <v>9421220</v>
      </c>
      <c r="B1254" s="1" t="s">
        <v>101</v>
      </c>
      <c r="C1254" t="s">
        <v>643</v>
      </c>
      <c r="D1254" s="2">
        <v>230019177</v>
      </c>
      <c r="E1254" s="2">
        <v>711001400030</v>
      </c>
      <c r="F1254" s="1" t="s">
        <v>647</v>
      </c>
      <c r="G1254" s="1" t="s">
        <v>53</v>
      </c>
      <c r="H1254" s="1" t="s">
        <v>77</v>
      </c>
      <c r="I1254" s="1" t="s">
        <v>78</v>
      </c>
      <c r="J1254" s="1" t="s">
        <v>79</v>
      </c>
      <c r="K1254" t="s">
        <v>650</v>
      </c>
      <c r="M1254" s="1" t="s">
        <v>58</v>
      </c>
      <c r="N1254" s="1">
        <v>0</v>
      </c>
      <c r="O1254" s="1" t="s">
        <v>105</v>
      </c>
      <c r="P1254" s="186">
        <v>44958.552430555559</v>
      </c>
      <c r="R1254" s="1">
        <v>4</v>
      </c>
      <c r="T1254" s="1" t="s">
        <v>646</v>
      </c>
      <c r="U1254" s="186">
        <v>44959.552430555559</v>
      </c>
      <c r="V1254" s="1" t="s">
        <v>41</v>
      </c>
      <c r="W1254" s="1" t="s">
        <v>49</v>
      </c>
    </row>
    <row r="1255" spans="1:23" hidden="1">
      <c r="A1255" s="1">
        <v>9421182</v>
      </c>
      <c r="B1255" s="1" t="s">
        <v>101</v>
      </c>
      <c r="C1255" t="s">
        <v>643</v>
      </c>
      <c r="D1255" s="2">
        <v>230019149</v>
      </c>
      <c r="E1255" s="2">
        <v>605001400030</v>
      </c>
      <c r="F1255" s="1" t="s">
        <v>647</v>
      </c>
      <c r="G1255" s="1" t="s">
        <v>53</v>
      </c>
      <c r="H1255" s="1" t="s">
        <v>420</v>
      </c>
      <c r="I1255" s="1" t="s">
        <v>421</v>
      </c>
      <c r="J1255" s="1" t="s">
        <v>90</v>
      </c>
      <c r="K1255" t="s">
        <v>650</v>
      </c>
      <c r="M1255" s="1" t="s">
        <v>58</v>
      </c>
      <c r="N1255" s="1">
        <v>0</v>
      </c>
      <c r="O1255" s="1" t="s">
        <v>105</v>
      </c>
      <c r="P1255" s="186">
        <v>44958.550011574072</v>
      </c>
      <c r="R1255" s="1">
        <v>4</v>
      </c>
      <c r="T1255" s="1" t="s">
        <v>646</v>
      </c>
      <c r="U1255" s="186">
        <v>44959.550011574072</v>
      </c>
      <c r="V1255" s="1" t="s">
        <v>41</v>
      </c>
      <c r="W1255" s="1" t="s">
        <v>49</v>
      </c>
    </row>
    <row r="1256" spans="1:23" hidden="1">
      <c r="A1256" s="1">
        <v>9421178</v>
      </c>
      <c r="B1256" s="1" t="s">
        <v>101</v>
      </c>
      <c r="C1256" t="s">
        <v>643</v>
      </c>
      <c r="D1256" s="2">
        <v>230019146</v>
      </c>
      <c r="E1256" s="2">
        <v>600001400030</v>
      </c>
      <c r="F1256" s="1" t="s">
        <v>647</v>
      </c>
      <c r="G1256" s="1" t="s">
        <v>53</v>
      </c>
      <c r="H1256" s="1" t="s">
        <v>1084</v>
      </c>
      <c r="I1256" s="1" t="s">
        <v>1085</v>
      </c>
      <c r="J1256" s="1" t="s">
        <v>90</v>
      </c>
      <c r="K1256" t="s">
        <v>650</v>
      </c>
      <c r="M1256" s="1" t="s">
        <v>58</v>
      </c>
      <c r="N1256" s="1">
        <v>0</v>
      </c>
      <c r="O1256" s="1" t="s">
        <v>105</v>
      </c>
      <c r="P1256" s="186">
        <v>44958.549733796295</v>
      </c>
      <c r="R1256" s="1">
        <v>4</v>
      </c>
      <c r="T1256" s="1" t="s">
        <v>646</v>
      </c>
      <c r="U1256" s="186">
        <v>44959.549733796295</v>
      </c>
      <c r="V1256" s="1" t="s">
        <v>41</v>
      </c>
      <c r="W1256" s="1" t="s">
        <v>49</v>
      </c>
    </row>
    <row r="1257" spans="1:23" hidden="1">
      <c r="A1257" s="1">
        <v>9421141</v>
      </c>
      <c r="B1257" s="1" t="s">
        <v>101</v>
      </c>
      <c r="C1257" t="s">
        <v>643</v>
      </c>
      <c r="D1257" s="2">
        <v>230019316</v>
      </c>
      <c r="E1257" s="2">
        <v>1061001400030</v>
      </c>
      <c r="F1257" s="1" t="s">
        <v>647</v>
      </c>
      <c r="G1257" s="1" t="s">
        <v>53</v>
      </c>
      <c r="H1257" s="1" t="s">
        <v>166</v>
      </c>
      <c r="I1257" s="1" t="s">
        <v>167</v>
      </c>
      <c r="J1257" s="1" t="s">
        <v>85</v>
      </c>
      <c r="K1257" t="s">
        <v>650</v>
      </c>
      <c r="M1257" s="1" t="s">
        <v>58</v>
      </c>
      <c r="N1257" s="1">
        <v>0</v>
      </c>
      <c r="O1257" s="1" t="s">
        <v>105</v>
      </c>
      <c r="P1257" s="186">
        <v>44958.547372685185</v>
      </c>
      <c r="R1257" s="1">
        <v>4</v>
      </c>
      <c r="T1257" s="1" t="s">
        <v>646</v>
      </c>
      <c r="U1257" s="186">
        <v>44959.547372685185</v>
      </c>
      <c r="V1257" s="1" t="s">
        <v>41</v>
      </c>
      <c r="W1257" s="1" t="s">
        <v>49</v>
      </c>
    </row>
    <row r="1258" spans="1:23" hidden="1">
      <c r="A1258" s="1">
        <v>9421140</v>
      </c>
      <c r="B1258" s="1" t="s">
        <v>101</v>
      </c>
      <c r="C1258" t="s">
        <v>643</v>
      </c>
      <c r="D1258" s="2">
        <v>230019315</v>
      </c>
      <c r="E1258" s="2">
        <v>1059001400030</v>
      </c>
      <c r="F1258" s="1" t="s">
        <v>647</v>
      </c>
      <c r="G1258" s="1" t="s">
        <v>53</v>
      </c>
      <c r="H1258" s="1" t="s">
        <v>88</v>
      </c>
      <c r="I1258" s="1" t="s">
        <v>89</v>
      </c>
      <c r="J1258" s="1" t="s">
        <v>90</v>
      </c>
      <c r="K1258" t="s">
        <v>650</v>
      </c>
      <c r="M1258" s="1" t="s">
        <v>58</v>
      </c>
      <c r="N1258" s="1">
        <v>0</v>
      </c>
      <c r="O1258" s="1" t="s">
        <v>105</v>
      </c>
      <c r="P1258" s="186">
        <v>44958.547280092593</v>
      </c>
      <c r="R1258" s="1">
        <v>4</v>
      </c>
      <c r="T1258" s="1" t="s">
        <v>646</v>
      </c>
      <c r="U1258" s="186">
        <v>44959.547280092593</v>
      </c>
      <c r="V1258" s="1" t="s">
        <v>41</v>
      </c>
      <c r="W1258" s="1" t="s">
        <v>49</v>
      </c>
    </row>
    <row r="1259" spans="1:23" hidden="1">
      <c r="A1259" s="1">
        <v>9421115</v>
      </c>
      <c r="B1259" s="1" t="s">
        <v>101</v>
      </c>
      <c r="C1259" t="s">
        <v>643</v>
      </c>
      <c r="D1259" s="2">
        <v>230019301</v>
      </c>
      <c r="E1259" s="2">
        <v>1028001400030</v>
      </c>
      <c r="F1259" s="1" t="s">
        <v>647</v>
      </c>
      <c r="G1259" s="1" t="s">
        <v>53</v>
      </c>
      <c r="H1259" s="1" t="s">
        <v>1079</v>
      </c>
      <c r="I1259" s="1" t="s">
        <v>1080</v>
      </c>
      <c r="J1259" s="1" t="s">
        <v>85</v>
      </c>
      <c r="K1259" t="s">
        <v>650</v>
      </c>
      <c r="M1259" s="1" t="s">
        <v>58</v>
      </c>
      <c r="N1259" s="1">
        <v>0</v>
      </c>
      <c r="O1259" s="1" t="s">
        <v>105</v>
      </c>
      <c r="P1259" s="186">
        <v>44958.545763888891</v>
      </c>
      <c r="R1259" s="1">
        <v>4</v>
      </c>
      <c r="T1259" s="1" t="s">
        <v>646</v>
      </c>
      <c r="U1259" s="186">
        <v>44959.545763888891</v>
      </c>
      <c r="V1259" s="1" t="s">
        <v>41</v>
      </c>
      <c r="W1259" s="1" t="s">
        <v>49</v>
      </c>
    </row>
    <row r="1260" spans="1:23" hidden="1">
      <c r="A1260" s="1">
        <v>9421027</v>
      </c>
      <c r="B1260" s="1" t="s">
        <v>101</v>
      </c>
      <c r="C1260" t="s">
        <v>643</v>
      </c>
      <c r="D1260" s="2">
        <v>230018996</v>
      </c>
      <c r="E1260" s="2">
        <v>115001400030</v>
      </c>
      <c r="F1260" s="1" t="s">
        <v>647</v>
      </c>
      <c r="G1260" s="1" t="s">
        <v>53</v>
      </c>
      <c r="H1260" s="1" t="s">
        <v>542</v>
      </c>
      <c r="I1260" s="1" t="s">
        <v>543</v>
      </c>
      <c r="J1260" s="1" t="s">
        <v>56</v>
      </c>
      <c r="K1260" t="s">
        <v>650</v>
      </c>
      <c r="M1260" s="1" t="s">
        <v>58</v>
      </c>
      <c r="N1260" s="1">
        <v>0</v>
      </c>
      <c r="O1260" s="1" t="s">
        <v>105</v>
      </c>
      <c r="P1260" s="186">
        <v>44958.540162037039</v>
      </c>
      <c r="R1260" s="1">
        <v>4</v>
      </c>
      <c r="T1260" s="1" t="s">
        <v>646</v>
      </c>
      <c r="U1260" s="186">
        <v>44959.540162037039</v>
      </c>
      <c r="V1260" s="1" t="s">
        <v>41</v>
      </c>
      <c r="W1260" s="1" t="s">
        <v>49</v>
      </c>
    </row>
    <row r="1261" spans="1:23" hidden="1">
      <c r="A1261" s="1">
        <v>9420968</v>
      </c>
      <c r="B1261" s="1" t="s">
        <v>101</v>
      </c>
      <c r="C1261" t="s">
        <v>643</v>
      </c>
      <c r="D1261" s="2">
        <v>230019349</v>
      </c>
      <c r="E1261" s="2">
        <v>1153001400030</v>
      </c>
      <c r="F1261" s="1" t="s">
        <v>647</v>
      </c>
      <c r="G1261" s="1" t="s">
        <v>53</v>
      </c>
      <c r="H1261" s="1" t="s">
        <v>1031</v>
      </c>
      <c r="I1261" s="1" t="s">
        <v>1032</v>
      </c>
      <c r="J1261" s="1" t="s">
        <v>79</v>
      </c>
      <c r="K1261" t="s">
        <v>650</v>
      </c>
      <c r="M1261" s="1" t="s">
        <v>58</v>
      </c>
      <c r="N1261" s="1">
        <v>0</v>
      </c>
      <c r="O1261" s="1" t="s">
        <v>105</v>
      </c>
      <c r="P1261" s="186">
        <v>44958.535949074074</v>
      </c>
      <c r="R1261" s="1">
        <v>4</v>
      </c>
      <c r="T1261" s="1" t="s">
        <v>646</v>
      </c>
      <c r="U1261" s="186">
        <v>44959.535960648151</v>
      </c>
      <c r="V1261" s="1" t="s">
        <v>41</v>
      </c>
      <c r="W1261" s="1" t="s">
        <v>49</v>
      </c>
    </row>
    <row r="1262" spans="1:23" hidden="1">
      <c r="A1262" s="1">
        <v>9420806</v>
      </c>
      <c r="B1262" s="1" t="s">
        <v>101</v>
      </c>
      <c r="C1262" t="s">
        <v>643</v>
      </c>
      <c r="D1262" s="2">
        <v>230018165</v>
      </c>
      <c r="E1262" s="2">
        <v>2196001400010</v>
      </c>
      <c r="F1262" s="1" t="s">
        <v>936</v>
      </c>
      <c r="G1262" s="1" t="s">
        <v>53</v>
      </c>
      <c r="H1262" s="1" t="s">
        <v>1252</v>
      </c>
      <c r="I1262" s="1" t="s">
        <v>1253</v>
      </c>
      <c r="J1262" s="1" t="s">
        <v>33</v>
      </c>
      <c r="K1262" t="s">
        <v>937</v>
      </c>
      <c r="M1262" s="1" t="s">
        <v>58</v>
      </c>
      <c r="N1262" s="1">
        <v>0</v>
      </c>
      <c r="O1262" s="1" t="s">
        <v>105</v>
      </c>
      <c r="P1262" s="186">
        <v>44958.530046296299</v>
      </c>
      <c r="R1262" s="1">
        <v>3</v>
      </c>
      <c r="T1262" s="1" t="s">
        <v>646</v>
      </c>
      <c r="U1262" s="186">
        <v>44959.530046296299</v>
      </c>
      <c r="V1262" s="1" t="s">
        <v>41</v>
      </c>
      <c r="W1262" s="1" t="s">
        <v>42</v>
      </c>
    </row>
    <row r="1263" spans="1:23" hidden="1">
      <c r="A1263" s="1">
        <v>9420756</v>
      </c>
      <c r="B1263" s="1" t="s">
        <v>101</v>
      </c>
      <c r="C1263" t="s">
        <v>643</v>
      </c>
      <c r="D1263" s="2">
        <v>230018030</v>
      </c>
      <c r="E1263" s="2">
        <v>1739001400010</v>
      </c>
      <c r="F1263" s="1" t="s">
        <v>936</v>
      </c>
      <c r="G1263" s="1" t="s">
        <v>53</v>
      </c>
      <c r="H1263" s="1" t="s">
        <v>162</v>
      </c>
      <c r="I1263" s="1" t="s">
        <v>163</v>
      </c>
      <c r="J1263" s="1" t="s">
        <v>164</v>
      </c>
      <c r="K1263" t="s">
        <v>937</v>
      </c>
      <c r="M1263" s="1" t="s">
        <v>58</v>
      </c>
      <c r="N1263" s="1">
        <v>0</v>
      </c>
      <c r="O1263" s="1" t="s">
        <v>105</v>
      </c>
      <c r="P1263" s="186">
        <v>44958.527395833335</v>
      </c>
      <c r="R1263" s="1">
        <v>3</v>
      </c>
      <c r="T1263" s="1" t="s">
        <v>646</v>
      </c>
      <c r="U1263" s="186">
        <v>44959.527395833335</v>
      </c>
      <c r="V1263" s="1" t="s">
        <v>41</v>
      </c>
      <c r="W1263" s="1" t="s">
        <v>49</v>
      </c>
    </row>
    <row r="1264" spans="1:23" hidden="1">
      <c r="A1264" s="1">
        <v>9420720</v>
      </c>
      <c r="B1264" s="1" t="s">
        <v>101</v>
      </c>
      <c r="C1264" t="s">
        <v>643</v>
      </c>
      <c r="D1264" s="2">
        <v>230017994</v>
      </c>
      <c r="E1264" s="2">
        <v>1650001400010</v>
      </c>
      <c r="F1264" s="1" t="s">
        <v>936</v>
      </c>
      <c r="G1264" s="1" t="s">
        <v>53</v>
      </c>
      <c r="H1264" s="1" t="s">
        <v>620</v>
      </c>
      <c r="I1264" s="1" t="s">
        <v>621</v>
      </c>
      <c r="J1264" s="1" t="s">
        <v>141</v>
      </c>
      <c r="K1264" t="s">
        <v>937</v>
      </c>
      <c r="M1264" s="1" t="s">
        <v>58</v>
      </c>
      <c r="N1264" s="1">
        <v>0</v>
      </c>
      <c r="O1264" s="1" t="s">
        <v>105</v>
      </c>
      <c r="P1264" s="186">
        <v>44958.525625000002</v>
      </c>
      <c r="R1264" s="1">
        <v>3</v>
      </c>
      <c r="T1264" s="1" t="s">
        <v>646</v>
      </c>
      <c r="U1264" s="186">
        <v>44959.525625000002</v>
      </c>
      <c r="V1264" s="1" t="s">
        <v>41</v>
      </c>
      <c r="W1264" s="1" t="s">
        <v>49</v>
      </c>
    </row>
    <row r="1265" spans="1:23" hidden="1">
      <c r="A1265" s="1">
        <v>9420712</v>
      </c>
      <c r="B1265" s="1" t="s">
        <v>101</v>
      </c>
      <c r="C1265" t="s">
        <v>643</v>
      </c>
      <c r="D1265" s="2">
        <v>230018010</v>
      </c>
      <c r="E1265" s="2">
        <v>1689001400010</v>
      </c>
      <c r="F1265" s="1" t="s">
        <v>936</v>
      </c>
      <c r="G1265" s="1" t="s">
        <v>53</v>
      </c>
      <c r="H1265" s="1" t="s">
        <v>2117</v>
      </c>
      <c r="I1265" s="1" t="s">
        <v>2118</v>
      </c>
      <c r="J1265" s="1" t="s">
        <v>79</v>
      </c>
      <c r="K1265" t="s">
        <v>937</v>
      </c>
      <c r="M1265" s="1" t="s">
        <v>58</v>
      </c>
      <c r="N1265" s="1">
        <v>0</v>
      </c>
      <c r="O1265" s="1" t="s">
        <v>105</v>
      </c>
      <c r="P1265" s="186">
        <v>44958.525254629632</v>
      </c>
      <c r="R1265" s="1">
        <v>3</v>
      </c>
      <c r="T1265" s="1" t="s">
        <v>646</v>
      </c>
      <c r="U1265" s="186">
        <v>44959.525266203702</v>
      </c>
      <c r="V1265" s="1" t="s">
        <v>41</v>
      </c>
      <c r="W1265" s="1" t="s">
        <v>49</v>
      </c>
    </row>
    <row r="1266" spans="1:23" hidden="1">
      <c r="A1266" s="1">
        <v>9420700</v>
      </c>
      <c r="B1266" s="1" t="s">
        <v>101</v>
      </c>
      <c r="C1266" t="s">
        <v>643</v>
      </c>
      <c r="D1266" s="2">
        <v>230018183</v>
      </c>
      <c r="E1266" s="2">
        <v>2229001400010</v>
      </c>
      <c r="F1266" s="1" t="s">
        <v>936</v>
      </c>
      <c r="G1266" s="1" t="s">
        <v>53</v>
      </c>
      <c r="H1266" s="1" t="s">
        <v>339</v>
      </c>
      <c r="I1266" s="1" t="s">
        <v>340</v>
      </c>
      <c r="J1266" s="1" t="s">
        <v>211</v>
      </c>
      <c r="K1266" t="s">
        <v>937</v>
      </c>
      <c r="M1266" s="1" t="s">
        <v>58</v>
      </c>
      <c r="N1266" s="1">
        <v>0</v>
      </c>
      <c r="O1266" s="1" t="s">
        <v>105</v>
      </c>
      <c r="P1266" s="186">
        <v>44958.524594907409</v>
      </c>
      <c r="R1266" s="1">
        <v>3</v>
      </c>
      <c r="T1266" s="1" t="s">
        <v>646</v>
      </c>
      <c r="U1266" s="186">
        <v>44959.524594907409</v>
      </c>
      <c r="V1266" s="1" t="s">
        <v>41</v>
      </c>
      <c r="W1266" s="1" t="s">
        <v>49</v>
      </c>
    </row>
    <row r="1267" spans="1:23" hidden="1">
      <c r="A1267" s="1">
        <v>9420634</v>
      </c>
      <c r="B1267" s="1" t="s">
        <v>101</v>
      </c>
      <c r="C1267" t="s">
        <v>643</v>
      </c>
      <c r="D1267" s="2">
        <v>230018019</v>
      </c>
      <c r="E1267" s="2">
        <v>1710001400010</v>
      </c>
      <c r="F1267" s="1" t="s">
        <v>936</v>
      </c>
      <c r="G1267" s="1" t="s">
        <v>53</v>
      </c>
      <c r="H1267" s="1" t="s">
        <v>327</v>
      </c>
      <c r="I1267" s="1" t="s">
        <v>328</v>
      </c>
      <c r="J1267" s="1" t="s">
        <v>261</v>
      </c>
      <c r="K1267" t="s">
        <v>937</v>
      </c>
      <c r="M1267" s="1" t="s">
        <v>58</v>
      </c>
      <c r="N1267" s="1">
        <v>0</v>
      </c>
      <c r="O1267" s="1" t="s">
        <v>105</v>
      </c>
      <c r="P1267" s="186">
        <v>44958.521053240744</v>
      </c>
      <c r="R1267" s="1">
        <v>3</v>
      </c>
      <c r="T1267" s="1" t="s">
        <v>646</v>
      </c>
      <c r="U1267" s="186">
        <v>44959.521053240744</v>
      </c>
      <c r="V1267" s="1" t="s">
        <v>41</v>
      </c>
      <c r="W1267" s="1" t="s">
        <v>49</v>
      </c>
    </row>
    <row r="1268" spans="1:23" hidden="1">
      <c r="A1268" s="1">
        <v>9420518</v>
      </c>
      <c r="B1268" s="1" t="s">
        <v>101</v>
      </c>
      <c r="C1268" t="s">
        <v>643</v>
      </c>
      <c r="D1268" s="2">
        <v>230018414</v>
      </c>
      <c r="E1268" s="2">
        <v>2889001400010</v>
      </c>
      <c r="F1268" s="1" t="s">
        <v>936</v>
      </c>
      <c r="G1268" s="1" t="s">
        <v>53</v>
      </c>
      <c r="H1268" s="1" t="s">
        <v>418</v>
      </c>
      <c r="I1268" s="1" t="s">
        <v>419</v>
      </c>
      <c r="J1268" s="1" t="s">
        <v>46</v>
      </c>
      <c r="K1268" t="s">
        <v>937</v>
      </c>
      <c r="M1268" s="1" t="s">
        <v>58</v>
      </c>
      <c r="N1268" s="1">
        <v>0</v>
      </c>
      <c r="O1268" s="1" t="s">
        <v>105</v>
      </c>
      <c r="P1268" s="186">
        <v>44958.515150462961</v>
      </c>
      <c r="R1268" s="1">
        <v>3</v>
      </c>
      <c r="T1268" s="1" t="s">
        <v>646</v>
      </c>
      <c r="U1268" s="186">
        <v>44959.515150462961</v>
      </c>
      <c r="V1268" s="1" t="s">
        <v>41</v>
      </c>
      <c r="W1268" s="1" t="s">
        <v>49</v>
      </c>
    </row>
    <row r="1269" spans="1:23" hidden="1">
      <c r="A1269" s="1">
        <v>9420480</v>
      </c>
      <c r="B1269" s="1" t="s">
        <v>101</v>
      </c>
      <c r="C1269" t="s">
        <v>643</v>
      </c>
      <c r="D1269" s="2">
        <v>230018152</v>
      </c>
      <c r="E1269" s="2">
        <v>2170001400010</v>
      </c>
      <c r="F1269" s="1" t="s">
        <v>936</v>
      </c>
      <c r="G1269" s="1" t="s">
        <v>53</v>
      </c>
      <c r="H1269" s="1" t="s">
        <v>477</v>
      </c>
      <c r="I1269" s="1" t="s">
        <v>478</v>
      </c>
      <c r="J1269" s="1" t="s">
        <v>148</v>
      </c>
      <c r="K1269" t="s">
        <v>937</v>
      </c>
      <c r="M1269" s="1" t="s">
        <v>58</v>
      </c>
      <c r="N1269" s="1">
        <v>0</v>
      </c>
      <c r="O1269" s="1" t="s">
        <v>105</v>
      </c>
      <c r="P1269" s="186">
        <v>44958.513425925928</v>
      </c>
      <c r="R1269" s="1">
        <v>3</v>
      </c>
      <c r="T1269" s="1" t="s">
        <v>646</v>
      </c>
      <c r="U1269" s="186">
        <v>44959.513425925928</v>
      </c>
      <c r="V1269" s="1" t="s">
        <v>41</v>
      </c>
      <c r="W1269" s="1" t="s">
        <v>49</v>
      </c>
    </row>
    <row r="1270" spans="1:23" hidden="1">
      <c r="A1270" s="1">
        <v>9420284</v>
      </c>
      <c r="B1270" s="1" t="s">
        <v>101</v>
      </c>
      <c r="C1270" t="s">
        <v>643</v>
      </c>
      <c r="D1270" s="2">
        <v>230017858</v>
      </c>
      <c r="E1270" s="2">
        <v>1361001400010</v>
      </c>
      <c r="F1270" s="1" t="s">
        <v>936</v>
      </c>
      <c r="G1270" s="1" t="s">
        <v>53</v>
      </c>
      <c r="H1270" s="1" t="s">
        <v>309</v>
      </c>
      <c r="I1270" s="1" t="s">
        <v>310</v>
      </c>
      <c r="J1270" s="1" t="s">
        <v>46</v>
      </c>
      <c r="K1270" t="s">
        <v>937</v>
      </c>
      <c r="M1270" s="1" t="s">
        <v>58</v>
      </c>
      <c r="N1270" s="1">
        <v>0</v>
      </c>
      <c r="O1270" s="1" t="s">
        <v>105</v>
      </c>
      <c r="P1270" s="186">
        <v>44958.503217592595</v>
      </c>
      <c r="R1270" s="1">
        <v>3</v>
      </c>
      <c r="T1270" s="1" t="s">
        <v>646</v>
      </c>
      <c r="U1270" s="186">
        <v>44959.503217592595</v>
      </c>
      <c r="V1270" s="1" t="s">
        <v>41</v>
      </c>
      <c r="W1270" s="1" t="s">
        <v>49</v>
      </c>
    </row>
    <row r="1271" spans="1:23" hidden="1">
      <c r="A1271" s="1">
        <v>9420231</v>
      </c>
      <c r="B1271" s="1" t="s">
        <v>101</v>
      </c>
      <c r="C1271" t="s">
        <v>643</v>
      </c>
      <c r="D1271" s="2">
        <v>230017980</v>
      </c>
      <c r="E1271" s="2">
        <v>1620001400010</v>
      </c>
      <c r="F1271" s="1" t="s">
        <v>936</v>
      </c>
      <c r="G1271" s="1" t="s">
        <v>53</v>
      </c>
      <c r="H1271" s="1" t="s">
        <v>402</v>
      </c>
      <c r="I1271" s="1" t="s">
        <v>403</v>
      </c>
      <c r="J1271" s="1" t="s">
        <v>46</v>
      </c>
      <c r="K1271" t="s">
        <v>937</v>
      </c>
      <c r="M1271" s="1" t="s">
        <v>58</v>
      </c>
      <c r="N1271" s="1">
        <v>0</v>
      </c>
      <c r="O1271" s="1" t="s">
        <v>105</v>
      </c>
      <c r="P1271" s="186">
        <v>44958.5000462963</v>
      </c>
      <c r="R1271" s="1">
        <v>3</v>
      </c>
      <c r="T1271" s="1" t="s">
        <v>646</v>
      </c>
      <c r="U1271" s="186">
        <v>44959.5000462963</v>
      </c>
      <c r="V1271" s="1" t="s">
        <v>41</v>
      </c>
      <c r="W1271" s="1" t="s">
        <v>49</v>
      </c>
    </row>
    <row r="1272" spans="1:23" hidden="1">
      <c r="A1272" s="1">
        <v>9420175</v>
      </c>
      <c r="B1272" s="1" t="s">
        <v>101</v>
      </c>
      <c r="C1272" t="s">
        <v>643</v>
      </c>
      <c r="D1272" s="2">
        <v>230017622</v>
      </c>
      <c r="E1272" s="2">
        <v>721001400010</v>
      </c>
      <c r="F1272" s="1" t="s">
        <v>936</v>
      </c>
      <c r="G1272" s="1" t="s">
        <v>53</v>
      </c>
      <c r="H1272" s="1" t="s">
        <v>422</v>
      </c>
      <c r="I1272" s="1" t="s">
        <v>423</v>
      </c>
      <c r="J1272" s="1" t="s">
        <v>79</v>
      </c>
      <c r="K1272" t="s">
        <v>937</v>
      </c>
      <c r="M1272" s="1" t="s">
        <v>58</v>
      </c>
      <c r="N1272" s="1">
        <v>0</v>
      </c>
      <c r="O1272" s="1" t="s">
        <v>105</v>
      </c>
      <c r="P1272" s="186">
        <v>44958.497418981482</v>
      </c>
      <c r="R1272" s="1">
        <v>3</v>
      </c>
      <c r="T1272" s="1" t="s">
        <v>646</v>
      </c>
      <c r="U1272" s="186">
        <v>44959.497418981482</v>
      </c>
      <c r="V1272" s="1" t="s">
        <v>41</v>
      </c>
      <c r="W1272" s="1" t="s">
        <v>49</v>
      </c>
    </row>
    <row r="1273" spans="1:23" hidden="1">
      <c r="A1273" s="1">
        <v>9419921</v>
      </c>
      <c r="B1273" s="1" t="s">
        <v>101</v>
      </c>
      <c r="C1273" t="s">
        <v>643</v>
      </c>
      <c r="D1273" s="2">
        <v>230021431</v>
      </c>
      <c r="E1273" s="2">
        <v>2138001400040</v>
      </c>
      <c r="F1273" s="1" t="s">
        <v>644</v>
      </c>
      <c r="G1273" s="1" t="s">
        <v>53</v>
      </c>
      <c r="H1273" s="1" t="s">
        <v>379</v>
      </c>
      <c r="I1273" s="1" t="s">
        <v>380</v>
      </c>
      <c r="J1273" s="1" t="s">
        <v>46</v>
      </c>
      <c r="K1273" t="s">
        <v>645</v>
      </c>
      <c r="M1273" s="1" t="s">
        <v>58</v>
      </c>
      <c r="N1273" s="1">
        <v>0</v>
      </c>
      <c r="O1273" s="1" t="s">
        <v>105</v>
      </c>
      <c r="P1273" s="186">
        <v>44958.483402777776</v>
      </c>
      <c r="R1273" s="1">
        <v>3</v>
      </c>
      <c r="T1273" s="1" t="s">
        <v>646</v>
      </c>
      <c r="U1273" s="186">
        <v>44959.483402777776</v>
      </c>
      <c r="V1273" s="1" t="s">
        <v>41</v>
      </c>
      <c r="W1273" s="1" t="s">
        <v>49</v>
      </c>
    </row>
    <row r="1274" spans="1:23" hidden="1">
      <c r="A1274" s="1">
        <v>9419909</v>
      </c>
      <c r="B1274" s="1" t="s">
        <v>101</v>
      </c>
      <c r="C1274" t="s">
        <v>643</v>
      </c>
      <c r="D1274" s="2">
        <v>230021419</v>
      </c>
      <c r="E1274" s="2">
        <v>2107001400040</v>
      </c>
      <c r="F1274" s="1" t="s">
        <v>644</v>
      </c>
      <c r="G1274" s="1" t="s">
        <v>53</v>
      </c>
      <c r="H1274" s="1" t="s">
        <v>262</v>
      </c>
      <c r="I1274" s="1" t="s">
        <v>263</v>
      </c>
      <c r="J1274" s="1" t="s">
        <v>164</v>
      </c>
      <c r="K1274" t="s">
        <v>645</v>
      </c>
      <c r="M1274" s="1" t="s">
        <v>58</v>
      </c>
      <c r="N1274" s="1">
        <v>0</v>
      </c>
      <c r="O1274" s="1" t="s">
        <v>105</v>
      </c>
      <c r="P1274" s="186">
        <v>44958.482199074075</v>
      </c>
      <c r="R1274" s="1">
        <v>3</v>
      </c>
      <c r="T1274" s="1" t="s">
        <v>646</v>
      </c>
      <c r="U1274" s="186">
        <v>44959.482199074075</v>
      </c>
      <c r="V1274" s="1" t="s">
        <v>41</v>
      </c>
      <c r="W1274" s="1" t="s">
        <v>49</v>
      </c>
    </row>
    <row r="1275" spans="1:23" hidden="1">
      <c r="A1275" s="1">
        <v>9419884</v>
      </c>
      <c r="B1275" s="1" t="s">
        <v>101</v>
      </c>
      <c r="C1275" t="s">
        <v>643</v>
      </c>
      <c r="D1275" s="2">
        <v>230021406</v>
      </c>
      <c r="E1275" s="2">
        <v>2069001400040</v>
      </c>
      <c r="F1275" s="1" t="s">
        <v>644</v>
      </c>
      <c r="G1275" s="1" t="s">
        <v>53</v>
      </c>
      <c r="H1275" s="1" t="s">
        <v>557</v>
      </c>
      <c r="I1275" s="1" t="s">
        <v>558</v>
      </c>
      <c r="J1275" s="1" t="s">
        <v>90</v>
      </c>
      <c r="K1275" t="s">
        <v>645</v>
      </c>
      <c r="M1275" s="1" t="s">
        <v>58</v>
      </c>
      <c r="N1275" s="1">
        <v>0</v>
      </c>
      <c r="O1275" s="1" t="s">
        <v>105</v>
      </c>
      <c r="P1275" s="186">
        <v>44958.480925925927</v>
      </c>
      <c r="R1275" s="1">
        <v>2</v>
      </c>
      <c r="T1275" s="1" t="s">
        <v>646</v>
      </c>
      <c r="U1275" s="186">
        <v>44959.480925925927</v>
      </c>
      <c r="V1275" s="1" t="s">
        <v>41</v>
      </c>
      <c r="W1275" s="1" t="s">
        <v>49</v>
      </c>
    </row>
    <row r="1276" spans="1:23" hidden="1">
      <c r="A1276" s="1">
        <v>9419831</v>
      </c>
      <c r="B1276" s="1" t="s">
        <v>101</v>
      </c>
      <c r="C1276" t="s">
        <v>643</v>
      </c>
      <c r="D1276" s="2">
        <v>230021369</v>
      </c>
      <c r="E1276" s="2">
        <v>1838001400040</v>
      </c>
      <c r="F1276" s="1" t="s">
        <v>644</v>
      </c>
      <c r="G1276" s="1" t="s">
        <v>53</v>
      </c>
      <c r="H1276" s="1" t="s">
        <v>357</v>
      </c>
      <c r="I1276" s="1" t="s">
        <v>358</v>
      </c>
      <c r="J1276" s="1" t="s">
        <v>46</v>
      </c>
      <c r="K1276" t="s">
        <v>645</v>
      </c>
      <c r="M1276" s="1" t="s">
        <v>58</v>
      </c>
      <c r="N1276" s="1">
        <v>0</v>
      </c>
      <c r="O1276" s="1" t="s">
        <v>105</v>
      </c>
      <c r="P1276" s="186">
        <v>44958.477106481485</v>
      </c>
      <c r="R1276" s="1">
        <v>2</v>
      </c>
      <c r="T1276" s="1" t="s">
        <v>646</v>
      </c>
      <c r="U1276" s="186">
        <v>44959.477118055554</v>
      </c>
      <c r="V1276" s="1" t="s">
        <v>41</v>
      </c>
      <c r="W1276" s="1" t="s">
        <v>49</v>
      </c>
    </row>
    <row r="1277" spans="1:23" hidden="1">
      <c r="A1277" s="1">
        <v>9419830</v>
      </c>
      <c r="B1277" s="1" t="s">
        <v>101</v>
      </c>
      <c r="C1277" t="s">
        <v>643</v>
      </c>
      <c r="D1277" s="2">
        <v>230021368</v>
      </c>
      <c r="E1277" s="2">
        <v>1837001400040</v>
      </c>
      <c r="F1277" s="1" t="s">
        <v>644</v>
      </c>
      <c r="G1277" s="1" t="s">
        <v>53</v>
      </c>
      <c r="H1277" s="1" t="s">
        <v>1785</v>
      </c>
      <c r="I1277" s="1" t="s">
        <v>1786</v>
      </c>
      <c r="J1277" s="1" t="s">
        <v>46</v>
      </c>
      <c r="K1277" t="s">
        <v>645</v>
      </c>
      <c r="M1277" s="1" t="s">
        <v>58</v>
      </c>
      <c r="N1277" s="1">
        <v>0</v>
      </c>
      <c r="O1277" s="1" t="s">
        <v>105</v>
      </c>
      <c r="P1277" s="186">
        <v>44958.477013888885</v>
      </c>
      <c r="R1277" s="1">
        <v>2</v>
      </c>
      <c r="T1277" s="1" t="s">
        <v>646</v>
      </c>
      <c r="U1277" s="186">
        <v>44959.477013888885</v>
      </c>
      <c r="V1277" s="1" t="s">
        <v>41</v>
      </c>
      <c r="W1277" s="1" t="s">
        <v>49</v>
      </c>
    </row>
    <row r="1278" spans="1:23" hidden="1">
      <c r="A1278" s="1">
        <v>9419828</v>
      </c>
      <c r="B1278" s="1" t="s">
        <v>101</v>
      </c>
      <c r="C1278" t="s">
        <v>643</v>
      </c>
      <c r="D1278" s="2">
        <v>230021367</v>
      </c>
      <c r="E1278" s="2">
        <v>1836001400040</v>
      </c>
      <c r="F1278" s="1" t="s">
        <v>644</v>
      </c>
      <c r="G1278" s="1" t="s">
        <v>53</v>
      </c>
      <c r="H1278" s="1" t="s">
        <v>455</v>
      </c>
      <c r="I1278" s="1" t="s">
        <v>456</v>
      </c>
      <c r="J1278" s="1" t="s">
        <v>46</v>
      </c>
      <c r="K1278" t="s">
        <v>645</v>
      </c>
      <c r="M1278" s="1" t="s">
        <v>58</v>
      </c>
      <c r="N1278" s="1">
        <v>0</v>
      </c>
      <c r="O1278" s="1" t="s">
        <v>105</v>
      </c>
      <c r="P1278" s="186">
        <v>44958.476817129631</v>
      </c>
      <c r="R1278" s="1">
        <v>3</v>
      </c>
      <c r="T1278" s="1" t="s">
        <v>646</v>
      </c>
      <c r="U1278" s="186">
        <v>44959.476817129631</v>
      </c>
      <c r="V1278" s="1" t="s">
        <v>41</v>
      </c>
      <c r="W1278" s="1" t="s">
        <v>49</v>
      </c>
    </row>
    <row r="1279" spans="1:23" hidden="1">
      <c r="A1279" s="1">
        <v>9419827</v>
      </c>
      <c r="B1279" s="1" t="s">
        <v>101</v>
      </c>
      <c r="C1279" t="s">
        <v>643</v>
      </c>
      <c r="D1279" s="2">
        <v>230021366</v>
      </c>
      <c r="E1279" s="2">
        <v>1835001400040</v>
      </c>
      <c r="F1279" s="1" t="s">
        <v>644</v>
      </c>
      <c r="G1279" s="1" t="s">
        <v>53</v>
      </c>
      <c r="H1279" s="1" t="s">
        <v>305</v>
      </c>
      <c r="I1279" s="1" t="s">
        <v>306</v>
      </c>
      <c r="J1279" s="1" t="s">
        <v>46</v>
      </c>
      <c r="K1279" t="s">
        <v>645</v>
      </c>
      <c r="M1279" s="1" t="s">
        <v>58</v>
      </c>
      <c r="N1279" s="1">
        <v>0</v>
      </c>
      <c r="O1279" s="1" t="s">
        <v>105</v>
      </c>
      <c r="P1279" s="186">
        <v>44958.476712962962</v>
      </c>
      <c r="R1279" s="1">
        <v>3</v>
      </c>
      <c r="T1279" s="1" t="s">
        <v>646</v>
      </c>
      <c r="U1279" s="186">
        <v>44959.476712962962</v>
      </c>
      <c r="V1279" s="1" t="s">
        <v>41</v>
      </c>
      <c r="W1279" s="1" t="s">
        <v>49</v>
      </c>
    </row>
    <row r="1280" spans="1:23" hidden="1">
      <c r="A1280" s="1">
        <v>9419826</v>
      </c>
      <c r="B1280" s="1" t="s">
        <v>101</v>
      </c>
      <c r="C1280" t="s">
        <v>643</v>
      </c>
      <c r="D1280" s="2">
        <v>230021365</v>
      </c>
      <c r="E1280" s="2">
        <v>1833001400040</v>
      </c>
      <c r="F1280" s="1" t="s">
        <v>644</v>
      </c>
      <c r="G1280" s="1" t="s">
        <v>53</v>
      </c>
      <c r="H1280" s="1" t="s">
        <v>369</v>
      </c>
      <c r="I1280" s="1" t="s">
        <v>370</v>
      </c>
      <c r="J1280" s="1" t="s">
        <v>46</v>
      </c>
      <c r="K1280" t="s">
        <v>645</v>
      </c>
      <c r="M1280" s="1" t="s">
        <v>58</v>
      </c>
      <c r="N1280" s="1">
        <v>0</v>
      </c>
      <c r="O1280" s="1" t="s">
        <v>105</v>
      </c>
      <c r="P1280" s="186">
        <v>44958.4766087963</v>
      </c>
      <c r="R1280" s="1">
        <v>3</v>
      </c>
      <c r="T1280" s="1" t="s">
        <v>646</v>
      </c>
      <c r="U1280" s="186">
        <v>44959.4766087963</v>
      </c>
      <c r="V1280" s="1" t="s">
        <v>41</v>
      </c>
      <c r="W1280" s="1" t="s">
        <v>49</v>
      </c>
    </row>
    <row r="1281" spans="1:23" hidden="1">
      <c r="A1281" s="1">
        <v>9419817</v>
      </c>
      <c r="B1281" s="1" t="s">
        <v>101</v>
      </c>
      <c r="C1281" t="s">
        <v>643</v>
      </c>
      <c r="D1281" s="2">
        <v>230021358</v>
      </c>
      <c r="E1281" s="2">
        <v>1814031400040</v>
      </c>
      <c r="F1281" s="1" t="s">
        <v>644</v>
      </c>
      <c r="G1281" s="1" t="s">
        <v>53</v>
      </c>
      <c r="H1281" s="1" t="s">
        <v>719</v>
      </c>
      <c r="I1281" s="1" t="s">
        <v>188</v>
      </c>
      <c r="J1281" s="1" t="s">
        <v>46</v>
      </c>
      <c r="K1281" t="s">
        <v>645</v>
      </c>
      <c r="M1281" s="1" t="s">
        <v>58</v>
      </c>
      <c r="N1281" s="1">
        <v>0</v>
      </c>
      <c r="O1281" s="1" t="s">
        <v>105</v>
      </c>
      <c r="P1281" s="186">
        <v>44958.475706018522</v>
      </c>
      <c r="R1281" s="1">
        <v>3</v>
      </c>
      <c r="T1281" s="1" t="s">
        <v>646</v>
      </c>
      <c r="U1281" s="186">
        <v>44959.475706018522</v>
      </c>
      <c r="V1281" s="1" t="s">
        <v>41</v>
      </c>
      <c r="W1281" s="1" t="s">
        <v>49</v>
      </c>
    </row>
    <row r="1282" spans="1:23" hidden="1">
      <c r="A1282" s="1">
        <v>9419815</v>
      </c>
      <c r="B1282" s="1" t="s">
        <v>101</v>
      </c>
      <c r="C1282" t="s">
        <v>643</v>
      </c>
      <c r="D1282" s="2">
        <v>230021357</v>
      </c>
      <c r="E1282" s="2">
        <v>1814001400040</v>
      </c>
      <c r="F1282" s="1" t="s">
        <v>644</v>
      </c>
      <c r="G1282" s="1" t="s">
        <v>53</v>
      </c>
      <c r="H1282" s="1" t="s">
        <v>396</v>
      </c>
      <c r="I1282" s="1" t="s">
        <v>397</v>
      </c>
      <c r="J1282" s="1" t="s">
        <v>46</v>
      </c>
      <c r="K1282" t="s">
        <v>645</v>
      </c>
      <c r="M1282" s="1" t="s">
        <v>58</v>
      </c>
      <c r="N1282" s="1">
        <v>0</v>
      </c>
      <c r="O1282" s="1" t="s">
        <v>105</v>
      </c>
      <c r="P1282" s="186">
        <v>44958.475601851853</v>
      </c>
      <c r="R1282" s="1">
        <v>2</v>
      </c>
      <c r="T1282" s="1" t="s">
        <v>646</v>
      </c>
      <c r="U1282" s="186">
        <v>44959.475601851853</v>
      </c>
      <c r="V1282" s="1" t="s">
        <v>41</v>
      </c>
      <c r="W1282" s="1" t="s">
        <v>49</v>
      </c>
    </row>
    <row r="1283" spans="1:23" hidden="1">
      <c r="A1283" s="1">
        <v>9419654</v>
      </c>
      <c r="B1283" s="1" t="s">
        <v>101</v>
      </c>
      <c r="C1283" t="s">
        <v>643</v>
      </c>
      <c r="D1283" s="2">
        <v>230021562</v>
      </c>
      <c r="E1283" s="2">
        <v>2422001400040</v>
      </c>
      <c r="F1283" s="1" t="s">
        <v>644</v>
      </c>
      <c r="G1283" s="1" t="s">
        <v>53</v>
      </c>
      <c r="H1283" s="1" t="s">
        <v>1844</v>
      </c>
      <c r="I1283" s="1" t="s">
        <v>1845</v>
      </c>
      <c r="J1283" s="1" t="s">
        <v>211</v>
      </c>
      <c r="K1283" t="s">
        <v>645</v>
      </c>
      <c r="M1283" s="1" t="s">
        <v>58</v>
      </c>
      <c r="N1283" s="1">
        <v>0</v>
      </c>
      <c r="O1283" s="1" t="s">
        <v>105</v>
      </c>
      <c r="P1283" s="186">
        <v>44958.463692129626</v>
      </c>
      <c r="R1283" s="1">
        <v>2</v>
      </c>
      <c r="T1283" s="1" t="s">
        <v>646</v>
      </c>
      <c r="U1283" s="186">
        <v>44959.463692129626</v>
      </c>
      <c r="V1283" s="1" t="s">
        <v>41</v>
      </c>
      <c r="W1283" s="1" t="s">
        <v>49</v>
      </c>
    </row>
    <row r="1284" spans="1:23" hidden="1">
      <c r="A1284" s="1">
        <v>9419577</v>
      </c>
      <c r="B1284" s="1" t="s">
        <v>101</v>
      </c>
      <c r="C1284" t="s">
        <v>643</v>
      </c>
      <c r="D1284" s="2">
        <v>230021757</v>
      </c>
      <c r="E1284" s="2">
        <v>2988001400040</v>
      </c>
      <c r="F1284" s="1" t="s">
        <v>644</v>
      </c>
      <c r="G1284" s="1" t="s">
        <v>53</v>
      </c>
      <c r="H1284" s="1" t="s">
        <v>536</v>
      </c>
      <c r="I1284" s="1" t="s">
        <v>537</v>
      </c>
      <c r="J1284" s="1" t="s">
        <v>46</v>
      </c>
      <c r="K1284" t="s">
        <v>645</v>
      </c>
      <c r="M1284" s="1" t="s">
        <v>58</v>
      </c>
      <c r="N1284" s="1">
        <v>0</v>
      </c>
      <c r="O1284" s="1" t="s">
        <v>105</v>
      </c>
      <c r="P1284" s="186">
        <v>44958.458240740743</v>
      </c>
      <c r="R1284" s="1">
        <v>2</v>
      </c>
      <c r="T1284" s="1" t="s">
        <v>646</v>
      </c>
      <c r="U1284" s="186">
        <v>44959.458240740743</v>
      </c>
      <c r="V1284" s="1" t="s">
        <v>41</v>
      </c>
      <c r="W1284" s="1" t="s">
        <v>49</v>
      </c>
    </row>
    <row r="1285" spans="1:23" hidden="1">
      <c r="A1285" s="1">
        <v>9419561</v>
      </c>
      <c r="B1285" s="1" t="s">
        <v>101</v>
      </c>
      <c r="C1285" t="s">
        <v>643</v>
      </c>
      <c r="D1285" s="2">
        <v>230021447</v>
      </c>
      <c r="E1285" s="2">
        <v>2170001400040</v>
      </c>
      <c r="F1285" s="1" t="s">
        <v>644</v>
      </c>
      <c r="G1285" s="1" t="s">
        <v>53</v>
      </c>
      <c r="H1285" s="1" t="s">
        <v>477</v>
      </c>
      <c r="I1285" s="1" t="s">
        <v>478</v>
      </c>
      <c r="J1285" s="1" t="s">
        <v>148</v>
      </c>
      <c r="K1285" t="s">
        <v>645</v>
      </c>
      <c r="M1285" s="1" t="s">
        <v>58</v>
      </c>
      <c r="N1285" s="1">
        <v>0</v>
      </c>
      <c r="O1285" s="1" t="s">
        <v>105</v>
      </c>
      <c r="P1285" s="186">
        <v>44958.457002314812</v>
      </c>
      <c r="R1285" s="1">
        <v>3</v>
      </c>
      <c r="T1285" s="1" t="s">
        <v>646</v>
      </c>
      <c r="U1285" s="186">
        <v>44959.457002314812</v>
      </c>
      <c r="V1285" s="1" t="s">
        <v>41</v>
      </c>
      <c r="W1285" s="1" t="s">
        <v>49</v>
      </c>
    </row>
    <row r="1286" spans="1:23" hidden="1">
      <c r="A1286" s="1">
        <v>9419525</v>
      </c>
      <c r="B1286" s="1" t="s">
        <v>101</v>
      </c>
      <c r="C1286" t="s">
        <v>643</v>
      </c>
      <c r="D1286" s="2">
        <v>230021156</v>
      </c>
      <c r="E1286" s="2">
        <v>1361001400040</v>
      </c>
      <c r="F1286" s="1" t="s">
        <v>644</v>
      </c>
      <c r="G1286" s="1" t="s">
        <v>53</v>
      </c>
      <c r="H1286" s="1" t="s">
        <v>309</v>
      </c>
      <c r="I1286" s="1" t="s">
        <v>310</v>
      </c>
      <c r="J1286" s="1" t="s">
        <v>46</v>
      </c>
      <c r="K1286" t="s">
        <v>645</v>
      </c>
      <c r="M1286" s="1" t="s">
        <v>58</v>
      </c>
      <c r="N1286" s="1">
        <v>0</v>
      </c>
      <c r="O1286" s="1" t="s">
        <v>105</v>
      </c>
      <c r="P1286" s="186">
        <v>44958.454745370371</v>
      </c>
      <c r="R1286" s="1">
        <v>3</v>
      </c>
      <c r="T1286" s="1" t="s">
        <v>646</v>
      </c>
      <c r="U1286" s="186">
        <v>44959.454756944448</v>
      </c>
      <c r="V1286" s="1" t="s">
        <v>41</v>
      </c>
      <c r="W1286" s="1" t="s">
        <v>49</v>
      </c>
    </row>
    <row r="1287" spans="1:23" hidden="1">
      <c r="A1287" s="1">
        <v>9419422</v>
      </c>
      <c r="B1287" s="1" t="s">
        <v>101</v>
      </c>
      <c r="C1287" t="s">
        <v>643</v>
      </c>
      <c r="D1287" s="2">
        <v>230021088</v>
      </c>
      <c r="E1287" s="2">
        <v>1153001400040</v>
      </c>
      <c r="F1287" s="1" t="s">
        <v>644</v>
      </c>
      <c r="G1287" s="1" t="s">
        <v>53</v>
      </c>
      <c r="H1287" s="1" t="s">
        <v>1031</v>
      </c>
      <c r="I1287" s="1" t="s">
        <v>1032</v>
      </c>
      <c r="J1287" s="1" t="s">
        <v>79</v>
      </c>
      <c r="K1287" t="s">
        <v>645</v>
      </c>
      <c r="M1287" s="1" t="s">
        <v>58</v>
      </c>
      <c r="N1287" s="1">
        <v>0</v>
      </c>
      <c r="O1287" s="1" t="s">
        <v>105</v>
      </c>
      <c r="P1287" s="186">
        <v>44958.448564814818</v>
      </c>
      <c r="R1287" s="1">
        <v>3</v>
      </c>
      <c r="T1287" s="1" t="s">
        <v>646</v>
      </c>
      <c r="U1287" s="186">
        <v>44959.448564814818</v>
      </c>
      <c r="V1287" s="1" t="s">
        <v>41</v>
      </c>
      <c r="W1287" s="1" t="s">
        <v>49</v>
      </c>
    </row>
    <row r="1288" spans="1:23" hidden="1">
      <c r="A1288" s="1">
        <v>9419377</v>
      </c>
      <c r="B1288" s="1" t="s">
        <v>101</v>
      </c>
      <c r="C1288" t="s">
        <v>643</v>
      </c>
      <c r="D1288" s="2">
        <v>230021055</v>
      </c>
      <c r="E1288" s="2">
        <v>1059001400040</v>
      </c>
      <c r="F1288" s="1" t="s">
        <v>644</v>
      </c>
      <c r="G1288" s="1" t="s">
        <v>53</v>
      </c>
      <c r="H1288" s="1" t="s">
        <v>88</v>
      </c>
      <c r="I1288" s="1" t="s">
        <v>89</v>
      </c>
      <c r="J1288" s="1" t="s">
        <v>90</v>
      </c>
      <c r="K1288" t="s">
        <v>645</v>
      </c>
      <c r="M1288" s="1" t="s">
        <v>58</v>
      </c>
      <c r="N1288" s="1">
        <v>0</v>
      </c>
      <c r="O1288" s="1" t="s">
        <v>105</v>
      </c>
      <c r="P1288" s="186">
        <v>44958.445428240739</v>
      </c>
      <c r="R1288" s="1">
        <v>2</v>
      </c>
      <c r="T1288" s="1" t="s">
        <v>646</v>
      </c>
      <c r="U1288" s="186">
        <v>44959.445428240739</v>
      </c>
      <c r="V1288" s="1" t="s">
        <v>41</v>
      </c>
      <c r="W1288" s="1" t="s">
        <v>49</v>
      </c>
    </row>
    <row r="1289" spans="1:23" hidden="1">
      <c r="A1289" s="1">
        <v>9419293</v>
      </c>
      <c r="B1289" s="1" t="s">
        <v>101</v>
      </c>
      <c r="C1289" t="s">
        <v>643</v>
      </c>
      <c r="D1289" s="2">
        <v>230021183</v>
      </c>
      <c r="E1289" s="2">
        <v>1421001400040</v>
      </c>
      <c r="F1289" s="1" t="s">
        <v>644</v>
      </c>
      <c r="G1289" s="1" t="s">
        <v>53</v>
      </c>
      <c r="H1289" s="1" t="s">
        <v>179</v>
      </c>
      <c r="I1289" s="1" t="s">
        <v>180</v>
      </c>
      <c r="J1289" s="1" t="s">
        <v>79</v>
      </c>
      <c r="K1289" t="s">
        <v>645</v>
      </c>
      <c r="M1289" s="1" t="s">
        <v>58</v>
      </c>
      <c r="N1289" s="1">
        <v>0</v>
      </c>
      <c r="O1289" s="1" t="s">
        <v>105</v>
      </c>
      <c r="P1289" s="186">
        <v>44958.440370370372</v>
      </c>
      <c r="R1289" s="1">
        <v>2</v>
      </c>
      <c r="T1289" s="1" t="s">
        <v>646</v>
      </c>
      <c r="U1289" s="186">
        <v>44959.440381944441</v>
      </c>
      <c r="V1289" s="1" t="s">
        <v>41</v>
      </c>
      <c r="W1289" s="1" t="s">
        <v>49</v>
      </c>
    </row>
    <row r="1290" spans="1:23" hidden="1">
      <c r="A1290" s="1">
        <v>9419109</v>
      </c>
      <c r="B1290" s="1" t="s">
        <v>101</v>
      </c>
      <c r="C1290" t="s">
        <v>643</v>
      </c>
      <c r="D1290" s="2">
        <v>230020746</v>
      </c>
      <c r="E1290" s="2">
        <v>115001400040</v>
      </c>
      <c r="F1290" s="1" t="s">
        <v>644</v>
      </c>
      <c r="G1290" s="1" t="s">
        <v>53</v>
      </c>
      <c r="H1290" s="1" t="s">
        <v>542</v>
      </c>
      <c r="I1290" s="1" t="s">
        <v>543</v>
      </c>
      <c r="J1290" s="1" t="s">
        <v>56</v>
      </c>
      <c r="K1290" t="s">
        <v>645</v>
      </c>
      <c r="M1290" s="1" t="s">
        <v>58</v>
      </c>
      <c r="N1290" s="1">
        <v>0</v>
      </c>
      <c r="O1290" s="1" t="s">
        <v>105</v>
      </c>
      <c r="P1290" s="186">
        <v>44958.432175925926</v>
      </c>
      <c r="R1290" s="1">
        <v>3</v>
      </c>
      <c r="T1290" s="1" t="s">
        <v>646</v>
      </c>
      <c r="U1290" s="186">
        <v>44959.432187500002</v>
      </c>
      <c r="V1290" s="1" t="s">
        <v>41</v>
      </c>
      <c r="W1290" s="1" t="s">
        <v>49</v>
      </c>
    </row>
    <row r="1291" spans="1:23" hidden="1">
      <c r="A1291" s="1">
        <v>9418826</v>
      </c>
      <c r="B1291" s="1" t="s">
        <v>101</v>
      </c>
      <c r="C1291" t="s">
        <v>643</v>
      </c>
      <c r="D1291" s="2">
        <v>230020410</v>
      </c>
      <c r="E1291" s="2">
        <v>2365131400030</v>
      </c>
      <c r="F1291" s="1" t="s">
        <v>647</v>
      </c>
      <c r="G1291" s="1" t="s">
        <v>53</v>
      </c>
      <c r="H1291" s="1" t="s">
        <v>807</v>
      </c>
      <c r="I1291" s="1" t="s">
        <v>808</v>
      </c>
      <c r="J1291" s="1" t="s">
        <v>46</v>
      </c>
      <c r="K1291" t="s">
        <v>650</v>
      </c>
      <c r="M1291" s="1" t="s">
        <v>58</v>
      </c>
      <c r="N1291" s="1">
        <v>0</v>
      </c>
      <c r="O1291" s="1" t="s">
        <v>105</v>
      </c>
      <c r="P1291" s="186">
        <v>44958.416805555556</v>
      </c>
      <c r="R1291" s="1">
        <v>4</v>
      </c>
      <c r="T1291" s="1" t="s">
        <v>646</v>
      </c>
      <c r="U1291" s="186">
        <v>44959.416805555556</v>
      </c>
      <c r="V1291" s="1" t="s">
        <v>41</v>
      </c>
      <c r="W1291" s="1" t="s">
        <v>49</v>
      </c>
    </row>
    <row r="1292" spans="1:23" hidden="1">
      <c r="A1292" s="1">
        <v>9418770</v>
      </c>
      <c r="B1292" s="1" t="s">
        <v>101</v>
      </c>
      <c r="C1292" t="s">
        <v>643</v>
      </c>
      <c r="D1292" s="2">
        <v>230020783</v>
      </c>
      <c r="E1292" s="2">
        <v>246001400040</v>
      </c>
      <c r="F1292" s="1" t="s">
        <v>644</v>
      </c>
      <c r="G1292" s="1" t="s">
        <v>53</v>
      </c>
      <c r="H1292" s="1" t="s">
        <v>1193</v>
      </c>
      <c r="I1292" s="1" t="s">
        <v>1194</v>
      </c>
      <c r="J1292" s="1" t="s">
        <v>85</v>
      </c>
      <c r="K1292" t="s">
        <v>645</v>
      </c>
      <c r="M1292" s="1" t="s">
        <v>58</v>
      </c>
      <c r="N1292" s="1">
        <v>0</v>
      </c>
      <c r="O1292" s="1" t="s">
        <v>105</v>
      </c>
      <c r="P1292" s="186">
        <v>44958.413946759261</v>
      </c>
      <c r="R1292" s="1">
        <v>2</v>
      </c>
      <c r="T1292" s="1" t="s">
        <v>646</v>
      </c>
      <c r="U1292" s="186">
        <v>44959.413946759261</v>
      </c>
      <c r="V1292" s="1" t="s">
        <v>41</v>
      </c>
      <c r="W1292" s="1" t="s">
        <v>49</v>
      </c>
    </row>
    <row r="1293" spans="1:23" hidden="1">
      <c r="A1293" s="1">
        <v>9418769</v>
      </c>
      <c r="B1293" s="1" t="s">
        <v>101</v>
      </c>
      <c r="C1293" t="s">
        <v>643</v>
      </c>
      <c r="D1293" s="2">
        <v>230020782</v>
      </c>
      <c r="E1293" s="2">
        <v>244001400040</v>
      </c>
      <c r="F1293" s="1" t="s">
        <v>644</v>
      </c>
      <c r="G1293" s="1" t="s">
        <v>53</v>
      </c>
      <c r="H1293" s="1" t="s">
        <v>313</v>
      </c>
      <c r="I1293" s="1" t="s">
        <v>314</v>
      </c>
      <c r="J1293" s="1" t="s">
        <v>56</v>
      </c>
      <c r="K1293" t="s">
        <v>645</v>
      </c>
      <c r="M1293" s="1" t="s">
        <v>58</v>
      </c>
      <c r="N1293" s="1">
        <v>0</v>
      </c>
      <c r="O1293" s="1" t="s">
        <v>105</v>
      </c>
      <c r="P1293" s="186">
        <v>44958.413888888892</v>
      </c>
      <c r="R1293" s="1">
        <v>3</v>
      </c>
      <c r="T1293" s="1" t="s">
        <v>646</v>
      </c>
      <c r="U1293" s="186">
        <v>44959.413900462961</v>
      </c>
      <c r="V1293" s="1" t="s">
        <v>41</v>
      </c>
      <c r="W1293" s="1" t="s">
        <v>49</v>
      </c>
    </row>
    <row r="1294" spans="1:23" hidden="1">
      <c r="A1294" s="1">
        <v>9418760</v>
      </c>
      <c r="B1294" s="1" t="s">
        <v>101</v>
      </c>
      <c r="C1294" t="s">
        <v>643</v>
      </c>
      <c r="D1294" s="2">
        <v>230020773</v>
      </c>
      <c r="E1294" s="2">
        <v>196001400040</v>
      </c>
      <c r="F1294" s="1" t="s">
        <v>644</v>
      </c>
      <c r="G1294" s="1" t="s">
        <v>53</v>
      </c>
      <c r="H1294" s="1" t="s">
        <v>1060</v>
      </c>
      <c r="I1294" s="1" t="s">
        <v>1061</v>
      </c>
      <c r="J1294" s="1" t="s">
        <v>79</v>
      </c>
      <c r="K1294" t="s">
        <v>645</v>
      </c>
      <c r="M1294" s="1" t="s">
        <v>58</v>
      </c>
      <c r="N1294" s="1">
        <v>0</v>
      </c>
      <c r="O1294" s="1" t="s">
        <v>105</v>
      </c>
      <c r="P1294" s="186">
        <v>44958.413275462961</v>
      </c>
      <c r="R1294" s="1">
        <v>2</v>
      </c>
      <c r="T1294" s="1" t="s">
        <v>646</v>
      </c>
      <c r="U1294" s="186">
        <v>44959.413287037038</v>
      </c>
      <c r="V1294" s="1" t="s">
        <v>41</v>
      </c>
      <c r="W1294" s="1" t="s">
        <v>49</v>
      </c>
    </row>
    <row r="1295" spans="1:23" hidden="1">
      <c r="A1295" s="1">
        <v>9418531</v>
      </c>
      <c r="B1295" s="1" t="s">
        <v>101</v>
      </c>
      <c r="C1295" t="s">
        <v>643</v>
      </c>
      <c r="D1295" s="2">
        <v>230019757</v>
      </c>
      <c r="E1295" s="2">
        <v>2229001400030</v>
      </c>
      <c r="F1295" s="1" t="s">
        <v>647</v>
      </c>
      <c r="G1295" s="1" t="s">
        <v>53</v>
      </c>
      <c r="H1295" s="1" t="s">
        <v>339</v>
      </c>
      <c r="I1295" s="1" t="s">
        <v>340</v>
      </c>
      <c r="J1295" s="1" t="s">
        <v>211</v>
      </c>
      <c r="K1295" t="s">
        <v>650</v>
      </c>
      <c r="M1295" s="1" t="s">
        <v>58</v>
      </c>
      <c r="N1295" s="1">
        <v>0</v>
      </c>
      <c r="O1295" s="1" t="s">
        <v>105</v>
      </c>
      <c r="P1295" s="186">
        <v>44958.399722222224</v>
      </c>
      <c r="R1295" s="1">
        <v>4</v>
      </c>
      <c r="T1295" s="1" t="s">
        <v>646</v>
      </c>
      <c r="U1295" s="186">
        <v>44959.399722222224</v>
      </c>
      <c r="V1295" s="1" t="s">
        <v>41</v>
      </c>
      <c r="W1295" s="1" t="s">
        <v>49</v>
      </c>
    </row>
    <row r="1296" spans="1:23" hidden="1">
      <c r="A1296" s="1">
        <v>9418504</v>
      </c>
      <c r="B1296" s="1" t="s">
        <v>101</v>
      </c>
      <c r="C1296" t="s">
        <v>643</v>
      </c>
      <c r="D1296" s="2">
        <v>230019738</v>
      </c>
      <c r="E1296" s="2">
        <v>2196001400030</v>
      </c>
      <c r="F1296" s="1" t="s">
        <v>647</v>
      </c>
      <c r="G1296" s="1" t="s">
        <v>53</v>
      </c>
      <c r="H1296" s="1" t="s">
        <v>1252</v>
      </c>
      <c r="I1296" s="1" t="s">
        <v>1253</v>
      </c>
      <c r="J1296" s="1" t="s">
        <v>33</v>
      </c>
      <c r="K1296" t="s">
        <v>650</v>
      </c>
      <c r="M1296" s="1" t="s">
        <v>58</v>
      </c>
      <c r="N1296" s="1">
        <v>0</v>
      </c>
      <c r="O1296" s="1" t="s">
        <v>105</v>
      </c>
      <c r="P1296" s="186">
        <v>44958.39770833333</v>
      </c>
      <c r="R1296" s="1">
        <v>4</v>
      </c>
      <c r="T1296" s="1" t="s">
        <v>646</v>
      </c>
      <c r="U1296" s="186">
        <v>44959.39770833333</v>
      </c>
      <c r="V1296" s="1" t="s">
        <v>41</v>
      </c>
      <c r="W1296" s="1" t="s">
        <v>42</v>
      </c>
    </row>
    <row r="1297" spans="1:23" hidden="1">
      <c r="A1297" s="1">
        <v>9418473</v>
      </c>
      <c r="B1297" s="1" t="s">
        <v>101</v>
      </c>
      <c r="C1297" t="s">
        <v>643</v>
      </c>
      <c r="D1297" s="2">
        <v>230019725</v>
      </c>
      <c r="E1297" s="2">
        <v>2170001400030</v>
      </c>
      <c r="F1297" s="1" t="s">
        <v>647</v>
      </c>
      <c r="G1297" s="1" t="s">
        <v>53</v>
      </c>
      <c r="H1297" s="1" t="s">
        <v>477</v>
      </c>
      <c r="I1297" s="1" t="s">
        <v>478</v>
      </c>
      <c r="J1297" s="1" t="s">
        <v>148</v>
      </c>
      <c r="K1297" t="s">
        <v>650</v>
      </c>
      <c r="M1297" s="1" t="s">
        <v>58</v>
      </c>
      <c r="N1297" s="1">
        <v>0</v>
      </c>
      <c r="O1297" s="1" t="s">
        <v>105</v>
      </c>
      <c r="P1297" s="186">
        <v>44958.396168981482</v>
      </c>
      <c r="R1297" s="1">
        <v>4</v>
      </c>
      <c r="T1297" s="1" t="s">
        <v>646</v>
      </c>
      <c r="U1297" s="186">
        <v>44959.396168981482</v>
      </c>
      <c r="V1297" s="1" t="s">
        <v>41</v>
      </c>
      <c r="W1297" s="1" t="s">
        <v>49</v>
      </c>
    </row>
    <row r="1298" spans="1:23" hidden="1">
      <c r="A1298" s="1">
        <v>9418455</v>
      </c>
      <c r="B1298" s="1" t="s">
        <v>101</v>
      </c>
      <c r="C1298" t="s">
        <v>643</v>
      </c>
      <c r="D1298" s="2">
        <v>230019708</v>
      </c>
      <c r="E1298" s="2">
        <v>2138001400030</v>
      </c>
      <c r="F1298" s="1" t="s">
        <v>647</v>
      </c>
      <c r="G1298" s="1" t="s">
        <v>53</v>
      </c>
      <c r="H1298" s="1" t="s">
        <v>379</v>
      </c>
      <c r="I1298" s="1" t="s">
        <v>380</v>
      </c>
      <c r="J1298" s="1" t="s">
        <v>46</v>
      </c>
      <c r="K1298" t="s">
        <v>650</v>
      </c>
      <c r="M1298" s="1" t="s">
        <v>58</v>
      </c>
      <c r="N1298" s="1">
        <v>0</v>
      </c>
      <c r="O1298" s="1" t="s">
        <v>105</v>
      </c>
      <c r="P1298" s="186">
        <v>44958.394756944443</v>
      </c>
      <c r="R1298" s="1">
        <v>4</v>
      </c>
      <c r="T1298" s="1" t="s">
        <v>646</v>
      </c>
      <c r="U1298" s="186">
        <v>44959.394756944443</v>
      </c>
      <c r="V1298" s="1" t="s">
        <v>41</v>
      </c>
      <c r="W1298" s="1" t="s">
        <v>49</v>
      </c>
    </row>
    <row r="1299" spans="1:23" hidden="1">
      <c r="A1299" s="1">
        <v>9418331</v>
      </c>
      <c r="B1299" s="1" t="s">
        <v>101</v>
      </c>
      <c r="C1299" t="s">
        <v>643</v>
      </c>
      <c r="D1299" s="2">
        <v>230019888</v>
      </c>
      <c r="E1299" s="2">
        <v>2590001400030</v>
      </c>
      <c r="F1299" s="1" t="s">
        <v>647</v>
      </c>
      <c r="G1299" s="1" t="s">
        <v>53</v>
      </c>
      <c r="H1299" s="1" t="s">
        <v>394</v>
      </c>
      <c r="I1299" s="1" t="s">
        <v>395</v>
      </c>
      <c r="J1299" s="1" t="s">
        <v>148</v>
      </c>
      <c r="K1299" t="s">
        <v>650</v>
      </c>
      <c r="M1299" s="1" t="s">
        <v>58</v>
      </c>
      <c r="N1299" s="1">
        <v>0</v>
      </c>
      <c r="O1299" s="1" t="s">
        <v>105</v>
      </c>
      <c r="P1299" s="186">
        <v>44958.387199074074</v>
      </c>
      <c r="R1299" s="1">
        <v>4</v>
      </c>
      <c r="T1299" s="1" t="s">
        <v>646</v>
      </c>
      <c r="U1299" s="186">
        <v>44959.387199074074</v>
      </c>
      <c r="V1299" s="1" t="s">
        <v>41</v>
      </c>
      <c r="W1299" s="1" t="s">
        <v>49</v>
      </c>
    </row>
    <row r="1300" spans="1:23" hidden="1">
      <c r="A1300" s="1">
        <v>9418162</v>
      </c>
      <c r="B1300" s="1" t="s">
        <v>101</v>
      </c>
      <c r="C1300" t="s">
        <v>643</v>
      </c>
      <c r="D1300" s="2">
        <v>230020107</v>
      </c>
      <c r="E1300" s="2">
        <v>3108011400030</v>
      </c>
      <c r="F1300" s="1" t="s">
        <v>647</v>
      </c>
      <c r="G1300" s="1" t="s">
        <v>53</v>
      </c>
      <c r="H1300" s="1" t="s">
        <v>503</v>
      </c>
      <c r="I1300" s="1" t="s">
        <v>504</v>
      </c>
      <c r="J1300" s="1" t="s">
        <v>46</v>
      </c>
      <c r="K1300" t="s">
        <v>650</v>
      </c>
      <c r="M1300" s="1" t="s">
        <v>58</v>
      </c>
      <c r="N1300" s="1">
        <v>0</v>
      </c>
      <c r="O1300" s="1" t="s">
        <v>105</v>
      </c>
      <c r="P1300" s="186">
        <v>44958.376886574071</v>
      </c>
      <c r="R1300" s="1">
        <v>4</v>
      </c>
      <c r="T1300" s="1" t="s">
        <v>646</v>
      </c>
      <c r="U1300" s="186">
        <v>44959.376886574071</v>
      </c>
      <c r="V1300" s="1" t="s">
        <v>41</v>
      </c>
      <c r="W1300" s="1" t="s">
        <v>49</v>
      </c>
    </row>
    <row r="1301" spans="1:23" hidden="1">
      <c r="A1301" s="1">
        <v>9418133</v>
      </c>
      <c r="B1301" s="1" t="s">
        <v>101</v>
      </c>
      <c r="C1301" t="s">
        <v>643</v>
      </c>
      <c r="D1301" s="2">
        <v>230020053</v>
      </c>
      <c r="E1301" s="2">
        <v>2988001400030</v>
      </c>
      <c r="F1301" s="1" t="s">
        <v>647</v>
      </c>
      <c r="G1301" s="1" t="s">
        <v>53</v>
      </c>
      <c r="H1301" s="1" t="s">
        <v>536</v>
      </c>
      <c r="I1301" s="1" t="s">
        <v>537</v>
      </c>
      <c r="J1301" s="1" t="s">
        <v>46</v>
      </c>
      <c r="K1301" t="s">
        <v>650</v>
      </c>
      <c r="M1301" s="1" t="s">
        <v>58</v>
      </c>
      <c r="N1301" s="1">
        <v>0</v>
      </c>
      <c r="O1301" s="1" t="s">
        <v>105</v>
      </c>
      <c r="P1301" s="186">
        <v>44958.374942129631</v>
      </c>
      <c r="R1301" s="1">
        <v>4</v>
      </c>
      <c r="T1301" s="1" t="s">
        <v>646</v>
      </c>
      <c r="U1301" s="186">
        <v>44959.374942129631</v>
      </c>
      <c r="V1301" s="1" t="s">
        <v>41</v>
      </c>
      <c r="W1301" s="1" t="s">
        <v>49</v>
      </c>
    </row>
    <row r="1302" spans="1:23" hidden="1">
      <c r="A1302" s="1">
        <v>9418017</v>
      </c>
      <c r="B1302" s="1" t="s">
        <v>101</v>
      </c>
      <c r="C1302" t="s">
        <v>643</v>
      </c>
      <c r="D1302" s="2">
        <v>230019614</v>
      </c>
      <c r="E1302" s="2">
        <v>1764001400030</v>
      </c>
      <c r="F1302" s="1" t="s">
        <v>647</v>
      </c>
      <c r="G1302" s="1" t="s">
        <v>53</v>
      </c>
      <c r="H1302" s="1" t="s">
        <v>722</v>
      </c>
      <c r="I1302" s="1" t="s">
        <v>723</v>
      </c>
      <c r="J1302" s="1" t="s">
        <v>90</v>
      </c>
      <c r="K1302" t="s">
        <v>650</v>
      </c>
      <c r="M1302" s="1" t="s">
        <v>58</v>
      </c>
      <c r="N1302" s="1">
        <v>0</v>
      </c>
      <c r="O1302" s="1" t="s">
        <v>105</v>
      </c>
      <c r="P1302" s="186">
        <v>44958.367951388886</v>
      </c>
      <c r="R1302" s="1">
        <v>4</v>
      </c>
      <c r="T1302" s="1" t="s">
        <v>646</v>
      </c>
      <c r="U1302" s="186">
        <v>44959.367951388886</v>
      </c>
      <c r="V1302" s="1" t="s">
        <v>41</v>
      </c>
      <c r="W1302" s="1" t="s">
        <v>49</v>
      </c>
    </row>
    <row r="1303" spans="1:23" hidden="1">
      <c r="A1303" s="1">
        <v>9418009</v>
      </c>
      <c r="B1303" s="1" t="s">
        <v>1153</v>
      </c>
      <c r="C1303" t="s">
        <v>2269</v>
      </c>
      <c r="E1303" s="2">
        <v>1012000206001</v>
      </c>
      <c r="F1303" s="1" t="s">
        <v>29</v>
      </c>
      <c r="G1303" s="1" t="s">
        <v>53</v>
      </c>
      <c r="H1303" s="1" t="s">
        <v>172</v>
      </c>
      <c r="I1303" s="1" t="s">
        <v>173</v>
      </c>
      <c r="J1303" s="1" t="s">
        <v>164</v>
      </c>
      <c r="K1303" t="s">
        <v>34</v>
      </c>
      <c r="M1303" s="1" t="s">
        <v>35</v>
      </c>
      <c r="N1303" s="1">
        <v>42318949</v>
      </c>
      <c r="O1303" s="1" t="s">
        <v>36</v>
      </c>
      <c r="P1303" s="186">
        <v>44958.367384259262</v>
      </c>
      <c r="R1303" s="1" t="s">
        <v>38</v>
      </c>
      <c r="T1303" s="1" t="s">
        <v>74</v>
      </c>
      <c r="U1303" s="186">
        <v>44979.708333333336</v>
      </c>
      <c r="V1303" s="1" t="s">
        <v>41</v>
      </c>
      <c r="W1303" s="1" t="s">
        <v>49</v>
      </c>
    </row>
    <row r="1304" spans="1:23" hidden="1">
      <c r="A1304" s="1">
        <v>9417996</v>
      </c>
      <c r="B1304" s="1" t="s">
        <v>101</v>
      </c>
      <c r="C1304" t="s">
        <v>643</v>
      </c>
      <c r="D1304" s="2">
        <v>230019599</v>
      </c>
      <c r="E1304" s="2">
        <v>1739001400030</v>
      </c>
      <c r="F1304" s="1" t="s">
        <v>647</v>
      </c>
      <c r="G1304" s="1" t="s">
        <v>53</v>
      </c>
      <c r="H1304" s="1" t="s">
        <v>162</v>
      </c>
      <c r="I1304" s="1" t="s">
        <v>163</v>
      </c>
      <c r="J1304" s="1" t="s">
        <v>164</v>
      </c>
      <c r="K1304" t="s">
        <v>650</v>
      </c>
      <c r="M1304" s="1" t="s">
        <v>58</v>
      </c>
      <c r="N1304" s="1">
        <v>0</v>
      </c>
      <c r="O1304" s="1" t="s">
        <v>105</v>
      </c>
      <c r="P1304" s="186">
        <v>44958.36650462963</v>
      </c>
      <c r="R1304" s="1">
        <v>4</v>
      </c>
      <c r="T1304" s="1" t="s">
        <v>646</v>
      </c>
      <c r="U1304" s="186">
        <v>44959.36650462963</v>
      </c>
      <c r="V1304" s="1" t="s">
        <v>41</v>
      </c>
      <c r="W1304" s="1" t="s">
        <v>49</v>
      </c>
    </row>
    <row r="1305" spans="1:23" hidden="1">
      <c r="A1305" s="1">
        <v>9417969</v>
      </c>
      <c r="B1305" s="1" t="s">
        <v>101</v>
      </c>
      <c r="C1305" t="s">
        <v>643</v>
      </c>
      <c r="D1305" s="2">
        <v>230019588</v>
      </c>
      <c r="E1305" s="2">
        <v>1710001400030</v>
      </c>
      <c r="F1305" s="1" t="s">
        <v>647</v>
      </c>
      <c r="G1305" s="1" t="s">
        <v>53</v>
      </c>
      <c r="H1305" s="1" t="s">
        <v>327</v>
      </c>
      <c r="I1305" s="1" t="s">
        <v>328</v>
      </c>
      <c r="J1305" s="1" t="s">
        <v>261</v>
      </c>
      <c r="K1305" t="s">
        <v>650</v>
      </c>
      <c r="M1305" s="1" t="s">
        <v>58</v>
      </c>
      <c r="N1305" s="1">
        <v>0</v>
      </c>
      <c r="O1305" s="1" t="s">
        <v>105</v>
      </c>
      <c r="P1305" s="186">
        <v>44958.365451388891</v>
      </c>
      <c r="R1305" s="1">
        <v>4</v>
      </c>
      <c r="T1305" s="1" t="s">
        <v>646</v>
      </c>
      <c r="U1305" s="186">
        <v>44959.36546296296</v>
      </c>
      <c r="V1305" s="1" t="s">
        <v>41</v>
      </c>
      <c r="W1305" s="1" t="s">
        <v>49</v>
      </c>
    </row>
    <row r="1306" spans="1:23" hidden="1">
      <c r="A1306" s="1">
        <v>9417956</v>
      </c>
      <c r="B1306" s="1" t="s">
        <v>101</v>
      </c>
      <c r="C1306" t="s">
        <v>643</v>
      </c>
      <c r="D1306" s="2">
        <v>230019578</v>
      </c>
      <c r="E1306" s="2">
        <v>1689001400030</v>
      </c>
      <c r="F1306" s="1" t="s">
        <v>647</v>
      </c>
      <c r="G1306" s="1" t="s">
        <v>53</v>
      </c>
      <c r="H1306" s="1" t="s">
        <v>2117</v>
      </c>
      <c r="I1306" s="1" t="s">
        <v>2118</v>
      </c>
      <c r="J1306" s="1" t="s">
        <v>79</v>
      </c>
      <c r="K1306" t="s">
        <v>650</v>
      </c>
      <c r="M1306" s="1" t="s">
        <v>58</v>
      </c>
      <c r="N1306" s="1">
        <v>0</v>
      </c>
      <c r="O1306" s="1" t="s">
        <v>105</v>
      </c>
      <c r="P1306" s="186">
        <v>44958.364641203705</v>
      </c>
      <c r="R1306" s="1">
        <v>4</v>
      </c>
      <c r="T1306" s="1" t="s">
        <v>646</v>
      </c>
      <c r="U1306" s="186">
        <v>44959.364641203705</v>
      </c>
      <c r="V1306" s="1" t="s">
        <v>41</v>
      </c>
      <c r="W1306" s="1" t="s">
        <v>49</v>
      </c>
    </row>
    <row r="1307" spans="1:23" hidden="1">
      <c r="A1307" s="1">
        <v>9417939</v>
      </c>
      <c r="B1307" s="1" t="s">
        <v>101</v>
      </c>
      <c r="C1307" t="s">
        <v>643</v>
      </c>
      <c r="D1307" s="2">
        <v>230019562</v>
      </c>
      <c r="E1307" s="2">
        <v>1650001400030</v>
      </c>
      <c r="F1307" s="1" t="s">
        <v>647</v>
      </c>
      <c r="G1307" s="1" t="s">
        <v>53</v>
      </c>
      <c r="H1307" s="1" t="s">
        <v>620</v>
      </c>
      <c r="I1307" s="1" t="s">
        <v>621</v>
      </c>
      <c r="J1307" s="1" t="s">
        <v>141</v>
      </c>
      <c r="K1307" t="s">
        <v>650</v>
      </c>
      <c r="M1307" s="1" t="s">
        <v>58</v>
      </c>
      <c r="N1307" s="1">
        <v>0</v>
      </c>
      <c r="O1307" s="1" t="s">
        <v>105</v>
      </c>
      <c r="P1307" s="186">
        <v>44958.363310185188</v>
      </c>
      <c r="R1307" s="1">
        <v>4</v>
      </c>
      <c r="T1307" s="1" t="s">
        <v>646</v>
      </c>
      <c r="U1307" s="186">
        <v>44959.363310185188</v>
      </c>
      <c r="V1307" s="1" t="s">
        <v>41</v>
      </c>
      <c r="W1307" s="1" t="s">
        <v>49</v>
      </c>
    </row>
    <row r="1308" spans="1:23" hidden="1">
      <c r="A1308" s="1">
        <v>9417911</v>
      </c>
      <c r="B1308" s="1" t="s">
        <v>101</v>
      </c>
      <c r="C1308" t="s">
        <v>643</v>
      </c>
      <c r="D1308" s="2">
        <v>230019546</v>
      </c>
      <c r="E1308" s="2">
        <v>1620001400030</v>
      </c>
      <c r="F1308" s="1" t="s">
        <v>647</v>
      </c>
      <c r="G1308" s="1" t="s">
        <v>53</v>
      </c>
      <c r="H1308" s="1" t="s">
        <v>402</v>
      </c>
      <c r="I1308" s="1" t="s">
        <v>403</v>
      </c>
      <c r="J1308" s="1" t="s">
        <v>46</v>
      </c>
      <c r="K1308" t="s">
        <v>650</v>
      </c>
      <c r="M1308" s="1" t="s">
        <v>58</v>
      </c>
      <c r="N1308" s="1">
        <v>0</v>
      </c>
      <c r="O1308" s="1" t="s">
        <v>105</v>
      </c>
      <c r="P1308" s="186">
        <v>44958.361921296295</v>
      </c>
      <c r="R1308" s="1">
        <v>4</v>
      </c>
      <c r="T1308" s="1" t="s">
        <v>646</v>
      </c>
      <c r="U1308" s="186">
        <v>44959.361921296295</v>
      </c>
      <c r="V1308" s="1" t="s">
        <v>41</v>
      </c>
      <c r="W1308" s="1" t="s">
        <v>49</v>
      </c>
    </row>
    <row r="1309" spans="1:23" hidden="1">
      <c r="A1309" s="1">
        <v>9417871</v>
      </c>
      <c r="B1309" s="1" t="s">
        <v>101</v>
      </c>
      <c r="C1309" t="s">
        <v>643</v>
      </c>
      <c r="D1309" s="2">
        <v>230019450</v>
      </c>
      <c r="E1309" s="2">
        <v>1421001400030</v>
      </c>
      <c r="F1309" s="1" t="s">
        <v>647</v>
      </c>
      <c r="G1309" s="1" t="s">
        <v>53</v>
      </c>
      <c r="H1309" s="1" t="s">
        <v>179</v>
      </c>
      <c r="I1309" s="1" t="s">
        <v>180</v>
      </c>
      <c r="J1309" s="1" t="s">
        <v>79</v>
      </c>
      <c r="K1309" t="s">
        <v>650</v>
      </c>
      <c r="M1309" s="1" t="s">
        <v>58</v>
      </c>
      <c r="N1309" s="1">
        <v>0</v>
      </c>
      <c r="O1309" s="1" t="s">
        <v>105</v>
      </c>
      <c r="P1309" s="186">
        <v>44958.358854166669</v>
      </c>
      <c r="R1309" s="1">
        <v>4</v>
      </c>
      <c r="T1309" s="1" t="s">
        <v>646</v>
      </c>
      <c r="U1309" s="186">
        <v>44959.358854166669</v>
      </c>
      <c r="V1309" s="1" t="s">
        <v>41</v>
      </c>
      <c r="W1309" s="1" t="s">
        <v>49</v>
      </c>
    </row>
    <row r="1310" spans="1:23" hidden="1">
      <c r="A1310" s="1">
        <v>9417830</v>
      </c>
      <c r="B1310" s="1" t="s">
        <v>101</v>
      </c>
      <c r="C1310" t="s">
        <v>643</v>
      </c>
      <c r="D1310" s="2">
        <v>230019421</v>
      </c>
      <c r="E1310" s="2">
        <v>1361001400030</v>
      </c>
      <c r="F1310" s="1" t="s">
        <v>647</v>
      </c>
      <c r="G1310" s="1" t="s">
        <v>53</v>
      </c>
      <c r="H1310" s="1" t="s">
        <v>309</v>
      </c>
      <c r="I1310" s="1" t="s">
        <v>310</v>
      </c>
      <c r="J1310" s="1" t="s">
        <v>46</v>
      </c>
      <c r="K1310" t="s">
        <v>650</v>
      </c>
      <c r="M1310" s="1" t="s">
        <v>58</v>
      </c>
      <c r="N1310" s="1">
        <v>0</v>
      </c>
      <c r="O1310" s="1" t="s">
        <v>105</v>
      </c>
      <c r="P1310" s="186">
        <v>44958.356481481482</v>
      </c>
      <c r="R1310" s="1">
        <v>4</v>
      </c>
      <c r="T1310" s="1" t="s">
        <v>646</v>
      </c>
      <c r="U1310" s="186">
        <v>44959.356493055559</v>
      </c>
      <c r="V1310" s="1" t="s">
        <v>41</v>
      </c>
      <c r="W1310" s="1" t="s">
        <v>49</v>
      </c>
    </row>
    <row r="1311" spans="1:23" hidden="1">
      <c r="A1311" s="1">
        <v>9417682</v>
      </c>
      <c r="B1311" s="1" t="s">
        <v>101</v>
      </c>
      <c r="C1311" t="s">
        <v>643</v>
      </c>
      <c r="D1311" s="2">
        <v>230019273</v>
      </c>
      <c r="E1311" s="2">
        <v>963001400030</v>
      </c>
      <c r="F1311" s="1" t="s">
        <v>647</v>
      </c>
      <c r="G1311" s="1" t="s">
        <v>53</v>
      </c>
      <c r="H1311" s="1" t="s">
        <v>531</v>
      </c>
      <c r="I1311" s="1" t="s">
        <v>532</v>
      </c>
      <c r="J1311" s="1" t="s">
        <v>33</v>
      </c>
      <c r="K1311" t="s">
        <v>650</v>
      </c>
      <c r="M1311" s="1" t="s">
        <v>58</v>
      </c>
      <c r="N1311" s="1">
        <v>0</v>
      </c>
      <c r="O1311" s="1" t="s">
        <v>105</v>
      </c>
      <c r="P1311" s="186">
        <v>44958.34814814815</v>
      </c>
      <c r="R1311" s="1">
        <v>4</v>
      </c>
      <c r="T1311" s="1" t="s">
        <v>646</v>
      </c>
      <c r="U1311" s="186">
        <v>44959.34814814815</v>
      </c>
      <c r="V1311" s="1" t="s">
        <v>41</v>
      </c>
      <c r="W1311" s="1" t="s">
        <v>49</v>
      </c>
    </row>
    <row r="1312" spans="1:23" hidden="1">
      <c r="A1312" s="1">
        <v>9417663</v>
      </c>
      <c r="B1312" s="1" t="s">
        <v>101</v>
      </c>
      <c r="C1312" t="s">
        <v>643</v>
      </c>
      <c r="D1312" s="2">
        <v>230019027</v>
      </c>
      <c r="E1312" s="2">
        <v>196001400030</v>
      </c>
      <c r="F1312" s="1" t="s">
        <v>647</v>
      </c>
      <c r="G1312" s="1" t="s">
        <v>53</v>
      </c>
      <c r="H1312" s="1" t="s">
        <v>1060</v>
      </c>
      <c r="I1312" s="1" t="s">
        <v>1061</v>
      </c>
      <c r="J1312" s="1" t="s">
        <v>79</v>
      </c>
      <c r="K1312" t="s">
        <v>650</v>
      </c>
      <c r="M1312" s="1" t="s">
        <v>58</v>
      </c>
      <c r="N1312" s="1">
        <v>0</v>
      </c>
      <c r="O1312" s="1" t="s">
        <v>105</v>
      </c>
      <c r="P1312" s="186">
        <v>44958.346817129626</v>
      </c>
      <c r="R1312" s="1">
        <v>4</v>
      </c>
      <c r="T1312" s="1" t="s">
        <v>646</v>
      </c>
      <c r="U1312" s="186">
        <v>44959.346817129626</v>
      </c>
      <c r="V1312" s="1" t="s">
        <v>41</v>
      </c>
      <c r="W1312" s="1" t="s">
        <v>49</v>
      </c>
    </row>
    <row r="1313" spans="1:23" hidden="1">
      <c r="A1313" s="1">
        <v>9417399</v>
      </c>
      <c r="B1313" s="1" t="s">
        <v>101</v>
      </c>
      <c r="C1313" t="s">
        <v>643</v>
      </c>
      <c r="D1313" s="2">
        <v>230019038</v>
      </c>
      <c r="E1313" s="2">
        <v>246001400030</v>
      </c>
      <c r="F1313" s="1" t="s">
        <v>647</v>
      </c>
      <c r="G1313" s="1" t="s">
        <v>53</v>
      </c>
      <c r="H1313" s="1" t="s">
        <v>1193</v>
      </c>
      <c r="I1313" s="1" t="s">
        <v>1194</v>
      </c>
      <c r="J1313" s="1" t="s">
        <v>85</v>
      </c>
      <c r="K1313" t="s">
        <v>650</v>
      </c>
      <c r="M1313" s="1" t="s">
        <v>58</v>
      </c>
      <c r="N1313" s="1">
        <v>0</v>
      </c>
      <c r="O1313" s="1" t="s">
        <v>105</v>
      </c>
      <c r="P1313" s="186">
        <v>44958.331469907411</v>
      </c>
      <c r="R1313" s="1">
        <v>4</v>
      </c>
      <c r="T1313" s="1" t="s">
        <v>646</v>
      </c>
      <c r="U1313" s="186">
        <v>44959.33148148148</v>
      </c>
      <c r="V1313" s="1" t="s">
        <v>41</v>
      </c>
      <c r="W1313" s="1" t="s">
        <v>49</v>
      </c>
    </row>
    <row r="1314" spans="1:23" hidden="1">
      <c r="A1314" s="1">
        <v>9417398</v>
      </c>
      <c r="B1314" s="1" t="s">
        <v>101</v>
      </c>
      <c r="C1314" t="s">
        <v>643</v>
      </c>
      <c r="D1314" s="2">
        <v>230019037</v>
      </c>
      <c r="E1314" s="2">
        <v>244001400030</v>
      </c>
      <c r="F1314" s="1" t="s">
        <v>647</v>
      </c>
      <c r="G1314" s="1" t="s">
        <v>53</v>
      </c>
      <c r="H1314" s="1" t="s">
        <v>313</v>
      </c>
      <c r="I1314" s="1" t="s">
        <v>314</v>
      </c>
      <c r="J1314" s="1" t="s">
        <v>56</v>
      </c>
      <c r="K1314" t="s">
        <v>650</v>
      </c>
      <c r="M1314" s="1" t="s">
        <v>58</v>
      </c>
      <c r="N1314" s="1">
        <v>0</v>
      </c>
      <c r="O1314" s="1" t="s">
        <v>105</v>
      </c>
      <c r="P1314" s="186">
        <v>44958.331423611111</v>
      </c>
      <c r="R1314" s="1">
        <v>4</v>
      </c>
      <c r="T1314" s="1" t="s">
        <v>646</v>
      </c>
      <c r="U1314" s="186">
        <v>44959.331423611111</v>
      </c>
      <c r="V1314" s="1" t="s">
        <v>41</v>
      </c>
      <c r="W1314" s="1" t="s">
        <v>49</v>
      </c>
    </row>
    <row r="1315" spans="1:23" hidden="1">
      <c r="A1315" s="1">
        <v>9417212</v>
      </c>
      <c r="B1315" s="1" t="s">
        <v>101</v>
      </c>
      <c r="C1315" t="s">
        <v>643</v>
      </c>
      <c r="D1315" s="2">
        <v>230018456</v>
      </c>
      <c r="E1315" s="2">
        <v>2988001400010</v>
      </c>
      <c r="F1315" s="1" t="s">
        <v>936</v>
      </c>
      <c r="G1315" s="1" t="s">
        <v>53</v>
      </c>
      <c r="H1315" s="1" t="s">
        <v>536</v>
      </c>
      <c r="I1315" s="1" t="s">
        <v>537</v>
      </c>
      <c r="J1315" s="1" t="s">
        <v>46</v>
      </c>
      <c r="K1315" t="s">
        <v>937</v>
      </c>
      <c r="M1315" s="1" t="s">
        <v>58</v>
      </c>
      <c r="N1315" s="1">
        <v>0</v>
      </c>
      <c r="O1315" s="1" t="s">
        <v>105</v>
      </c>
      <c r="P1315" s="186">
        <v>44958.319374999999</v>
      </c>
      <c r="R1315" s="1">
        <v>3</v>
      </c>
      <c r="T1315" s="1" t="s">
        <v>646</v>
      </c>
      <c r="U1315" s="186">
        <v>44959.319374999999</v>
      </c>
      <c r="V1315" s="1" t="s">
        <v>41</v>
      </c>
      <c r="W1315" s="1" t="s">
        <v>49</v>
      </c>
    </row>
    <row r="1316" spans="1:23" hidden="1">
      <c r="A1316" s="1">
        <v>9417149</v>
      </c>
      <c r="B1316" s="1" t="s">
        <v>101</v>
      </c>
      <c r="C1316" t="s">
        <v>643</v>
      </c>
      <c r="D1316" s="2">
        <v>230018509</v>
      </c>
      <c r="E1316" s="2">
        <v>3108011400010</v>
      </c>
      <c r="F1316" s="1" t="s">
        <v>936</v>
      </c>
      <c r="G1316" s="1" t="s">
        <v>53</v>
      </c>
      <c r="H1316" s="1" t="s">
        <v>503</v>
      </c>
      <c r="I1316" s="1" t="s">
        <v>504</v>
      </c>
      <c r="J1316" s="1" t="s">
        <v>46</v>
      </c>
      <c r="K1316" t="s">
        <v>937</v>
      </c>
      <c r="M1316" s="1" t="s">
        <v>58</v>
      </c>
      <c r="N1316" s="1">
        <v>0</v>
      </c>
      <c r="O1316" s="1" t="s">
        <v>105</v>
      </c>
      <c r="P1316" s="186">
        <v>44958.315439814818</v>
      </c>
      <c r="R1316" s="1">
        <v>3</v>
      </c>
      <c r="T1316" s="1" t="s">
        <v>646</v>
      </c>
      <c r="U1316" s="186">
        <v>44959.315439814818</v>
      </c>
      <c r="V1316" s="1" t="s">
        <v>41</v>
      </c>
      <c r="W1316" s="1" t="s">
        <v>49</v>
      </c>
    </row>
    <row r="1317" spans="1:23" hidden="1">
      <c r="A1317" s="1">
        <v>9417113</v>
      </c>
      <c r="B1317" s="1" t="s">
        <v>101</v>
      </c>
      <c r="C1317" t="s">
        <v>643</v>
      </c>
      <c r="D1317" s="2">
        <v>230018311</v>
      </c>
      <c r="E1317" s="2">
        <v>2590001400010</v>
      </c>
      <c r="F1317" s="1" t="s">
        <v>936</v>
      </c>
      <c r="G1317" s="1" t="s">
        <v>53</v>
      </c>
      <c r="H1317" s="1" t="s">
        <v>394</v>
      </c>
      <c r="I1317" s="1" t="s">
        <v>395</v>
      </c>
      <c r="J1317" s="1" t="s">
        <v>148</v>
      </c>
      <c r="K1317" t="s">
        <v>937</v>
      </c>
      <c r="M1317" s="1" t="s">
        <v>58</v>
      </c>
      <c r="N1317" s="1">
        <v>0</v>
      </c>
      <c r="O1317" s="1" t="s">
        <v>105</v>
      </c>
      <c r="P1317" s="186">
        <v>44958.312662037039</v>
      </c>
      <c r="R1317" s="1">
        <v>3</v>
      </c>
      <c r="T1317" s="1" t="s">
        <v>646</v>
      </c>
      <c r="U1317" s="186">
        <v>44959.312662037039</v>
      </c>
      <c r="V1317" s="1" t="s">
        <v>41</v>
      </c>
      <c r="W1317" s="1" t="s">
        <v>49</v>
      </c>
    </row>
    <row r="1318" spans="1:23" hidden="1">
      <c r="A1318" s="1">
        <v>9417043</v>
      </c>
      <c r="B1318" s="1" t="s">
        <v>101</v>
      </c>
      <c r="C1318" t="s">
        <v>643</v>
      </c>
      <c r="D1318" s="2">
        <v>230018262</v>
      </c>
      <c r="E1318" s="2">
        <v>2422001400010</v>
      </c>
      <c r="F1318" s="1" t="s">
        <v>936</v>
      </c>
      <c r="G1318" s="1" t="s">
        <v>53</v>
      </c>
      <c r="H1318" s="1" t="s">
        <v>1844</v>
      </c>
      <c r="I1318" s="1" t="s">
        <v>1845</v>
      </c>
      <c r="J1318" s="1" t="s">
        <v>211</v>
      </c>
      <c r="K1318" t="s">
        <v>937</v>
      </c>
      <c r="M1318" s="1" t="s">
        <v>58</v>
      </c>
      <c r="N1318" s="1">
        <v>0</v>
      </c>
      <c r="O1318" s="1" t="s">
        <v>105</v>
      </c>
      <c r="P1318" s="186">
        <v>44958.308923611112</v>
      </c>
      <c r="R1318" s="1">
        <v>3</v>
      </c>
      <c r="T1318" s="1" t="s">
        <v>646</v>
      </c>
      <c r="U1318" s="186">
        <v>44959.308923611112</v>
      </c>
      <c r="V1318" s="1" t="s">
        <v>41</v>
      </c>
      <c r="W1318" s="1" t="s">
        <v>49</v>
      </c>
    </row>
    <row r="1319" spans="1:23" hidden="1">
      <c r="A1319" s="1">
        <v>9416985</v>
      </c>
      <c r="B1319" s="1" t="s">
        <v>101</v>
      </c>
      <c r="C1319" t="s">
        <v>643</v>
      </c>
      <c r="D1319" s="2">
        <v>230018075</v>
      </c>
      <c r="E1319" s="2">
        <v>1838001400010</v>
      </c>
      <c r="F1319" s="1" t="s">
        <v>936</v>
      </c>
      <c r="G1319" s="1" t="s">
        <v>53</v>
      </c>
      <c r="H1319" s="1" t="s">
        <v>357</v>
      </c>
      <c r="I1319" s="1" t="s">
        <v>358</v>
      </c>
      <c r="J1319" s="1" t="s">
        <v>46</v>
      </c>
      <c r="K1319" t="s">
        <v>937</v>
      </c>
      <c r="M1319" s="1" t="s">
        <v>58</v>
      </c>
      <c r="N1319" s="1">
        <v>0</v>
      </c>
      <c r="O1319" s="1" t="s">
        <v>105</v>
      </c>
      <c r="P1319" s="186">
        <v>44958.306064814817</v>
      </c>
      <c r="R1319" s="1">
        <v>3</v>
      </c>
      <c r="T1319" s="1" t="s">
        <v>646</v>
      </c>
      <c r="U1319" s="186">
        <v>44959.306064814817</v>
      </c>
      <c r="V1319" s="1" t="s">
        <v>41</v>
      </c>
      <c r="W1319" s="1" t="s">
        <v>49</v>
      </c>
    </row>
    <row r="1320" spans="1:23" hidden="1">
      <c r="A1320" s="1">
        <v>9416984</v>
      </c>
      <c r="B1320" s="1" t="s">
        <v>101</v>
      </c>
      <c r="C1320" t="s">
        <v>643</v>
      </c>
      <c r="D1320" s="2">
        <v>230018074</v>
      </c>
      <c r="E1320" s="2">
        <v>1837001400010</v>
      </c>
      <c r="F1320" s="1" t="s">
        <v>936</v>
      </c>
      <c r="G1320" s="1" t="s">
        <v>53</v>
      </c>
      <c r="H1320" s="1" t="s">
        <v>1785</v>
      </c>
      <c r="I1320" s="1" t="s">
        <v>1786</v>
      </c>
      <c r="J1320" s="1" t="s">
        <v>46</v>
      </c>
      <c r="K1320" t="s">
        <v>937</v>
      </c>
      <c r="M1320" s="1" t="s">
        <v>58</v>
      </c>
      <c r="N1320" s="1">
        <v>0</v>
      </c>
      <c r="O1320" s="1" t="s">
        <v>105</v>
      </c>
      <c r="P1320" s="186">
        <v>44958.305995370371</v>
      </c>
      <c r="R1320" s="1">
        <v>3</v>
      </c>
      <c r="T1320" s="1" t="s">
        <v>646</v>
      </c>
      <c r="U1320" s="186">
        <v>44959.305995370371</v>
      </c>
      <c r="V1320" s="1" t="s">
        <v>41</v>
      </c>
      <c r="W1320" s="1" t="s">
        <v>49</v>
      </c>
    </row>
    <row r="1321" spans="1:23" hidden="1">
      <c r="A1321" s="1">
        <v>9416983</v>
      </c>
      <c r="B1321" s="1" t="s">
        <v>101</v>
      </c>
      <c r="C1321" t="s">
        <v>643</v>
      </c>
      <c r="D1321" s="2">
        <v>230018073</v>
      </c>
      <c r="E1321" s="2">
        <v>1836001400010</v>
      </c>
      <c r="F1321" s="1" t="s">
        <v>936</v>
      </c>
      <c r="G1321" s="1" t="s">
        <v>53</v>
      </c>
      <c r="H1321" s="1" t="s">
        <v>455</v>
      </c>
      <c r="I1321" s="1" t="s">
        <v>456</v>
      </c>
      <c r="J1321" s="1" t="s">
        <v>46</v>
      </c>
      <c r="K1321" t="s">
        <v>937</v>
      </c>
      <c r="M1321" s="1" t="s">
        <v>58</v>
      </c>
      <c r="N1321" s="1">
        <v>0</v>
      </c>
      <c r="O1321" s="1" t="s">
        <v>105</v>
      </c>
      <c r="P1321" s="186">
        <v>44958.305937500001</v>
      </c>
      <c r="R1321" s="1">
        <v>3</v>
      </c>
      <c r="T1321" s="1" t="s">
        <v>646</v>
      </c>
      <c r="U1321" s="186">
        <v>44959.305937500001</v>
      </c>
      <c r="V1321" s="1" t="s">
        <v>41</v>
      </c>
      <c r="W1321" s="1" t="s">
        <v>49</v>
      </c>
    </row>
    <row r="1322" spans="1:23" hidden="1">
      <c r="A1322" s="1">
        <v>9416982</v>
      </c>
      <c r="B1322" s="1" t="s">
        <v>101</v>
      </c>
      <c r="C1322" t="s">
        <v>643</v>
      </c>
      <c r="D1322" s="2">
        <v>230018072</v>
      </c>
      <c r="E1322" s="2">
        <v>1835001400010</v>
      </c>
      <c r="F1322" s="1" t="s">
        <v>936</v>
      </c>
      <c r="G1322" s="1" t="s">
        <v>53</v>
      </c>
      <c r="H1322" s="1" t="s">
        <v>305</v>
      </c>
      <c r="I1322" s="1" t="s">
        <v>306</v>
      </c>
      <c r="J1322" s="1" t="s">
        <v>46</v>
      </c>
      <c r="K1322" t="s">
        <v>937</v>
      </c>
      <c r="M1322" s="1" t="s">
        <v>58</v>
      </c>
      <c r="N1322" s="1">
        <v>0</v>
      </c>
      <c r="O1322" s="1" t="s">
        <v>105</v>
      </c>
      <c r="P1322" s="186">
        <v>44958.305891203701</v>
      </c>
      <c r="R1322" s="1">
        <v>3</v>
      </c>
      <c r="T1322" s="1" t="s">
        <v>646</v>
      </c>
      <c r="U1322" s="186">
        <v>44959.305891203701</v>
      </c>
      <c r="V1322" s="1" t="s">
        <v>41</v>
      </c>
      <c r="W1322" s="1" t="s">
        <v>49</v>
      </c>
    </row>
    <row r="1323" spans="1:23" hidden="1">
      <c r="A1323" s="1">
        <v>9416981</v>
      </c>
      <c r="B1323" s="1" t="s">
        <v>101</v>
      </c>
      <c r="C1323" t="s">
        <v>643</v>
      </c>
      <c r="D1323" s="2">
        <v>230018071</v>
      </c>
      <c r="E1323" s="2">
        <v>1833041400010</v>
      </c>
      <c r="F1323" s="1" t="s">
        <v>936</v>
      </c>
      <c r="G1323" s="1" t="s">
        <v>53</v>
      </c>
      <c r="H1323" s="1" t="s">
        <v>811</v>
      </c>
      <c r="I1323" s="1" t="s">
        <v>812</v>
      </c>
      <c r="J1323" s="1" t="s">
        <v>46</v>
      </c>
      <c r="K1323" t="s">
        <v>937</v>
      </c>
      <c r="M1323" s="1" t="s">
        <v>58</v>
      </c>
      <c r="N1323" s="1">
        <v>0</v>
      </c>
      <c r="O1323" s="1" t="s">
        <v>105</v>
      </c>
      <c r="P1323" s="186">
        <v>44958.305833333332</v>
      </c>
      <c r="R1323" s="1">
        <v>3</v>
      </c>
      <c r="T1323" s="1" t="s">
        <v>646</v>
      </c>
      <c r="U1323" s="186">
        <v>44959.305844907409</v>
      </c>
      <c r="V1323" s="1" t="s">
        <v>41</v>
      </c>
      <c r="W1323" s="1" t="s">
        <v>49</v>
      </c>
    </row>
    <row r="1324" spans="1:23" hidden="1">
      <c r="A1324" s="1">
        <v>9416980</v>
      </c>
      <c r="B1324" s="1" t="s">
        <v>101</v>
      </c>
      <c r="C1324" t="s">
        <v>643</v>
      </c>
      <c r="D1324" s="2">
        <v>230018070</v>
      </c>
      <c r="E1324" s="2">
        <v>1833001400010</v>
      </c>
      <c r="F1324" s="1" t="s">
        <v>936</v>
      </c>
      <c r="G1324" s="1" t="s">
        <v>53</v>
      </c>
      <c r="H1324" s="1" t="s">
        <v>369</v>
      </c>
      <c r="I1324" s="1" t="s">
        <v>370</v>
      </c>
      <c r="J1324" s="1" t="s">
        <v>46</v>
      </c>
      <c r="K1324" t="s">
        <v>937</v>
      </c>
      <c r="M1324" s="1" t="s">
        <v>58</v>
      </c>
      <c r="N1324" s="1">
        <v>0</v>
      </c>
      <c r="O1324" s="1" t="s">
        <v>105</v>
      </c>
      <c r="P1324" s="186">
        <v>44958.305787037039</v>
      </c>
      <c r="R1324" s="1">
        <v>3</v>
      </c>
      <c r="T1324" s="1" t="s">
        <v>646</v>
      </c>
      <c r="U1324" s="186">
        <v>44959.305787037039</v>
      </c>
      <c r="V1324" s="1" t="s">
        <v>41</v>
      </c>
      <c r="W1324" s="1" t="s">
        <v>49</v>
      </c>
    </row>
    <row r="1325" spans="1:23" hidden="1">
      <c r="A1325" s="1">
        <v>9416969</v>
      </c>
      <c r="B1325" s="1" t="s">
        <v>101</v>
      </c>
      <c r="C1325" t="s">
        <v>643</v>
      </c>
      <c r="D1325" s="2">
        <v>230018063</v>
      </c>
      <c r="E1325" s="2">
        <v>1814031400010</v>
      </c>
      <c r="F1325" s="1" t="s">
        <v>936</v>
      </c>
      <c r="G1325" s="1" t="s">
        <v>53</v>
      </c>
      <c r="H1325" s="1" t="s">
        <v>719</v>
      </c>
      <c r="I1325" s="1" t="s">
        <v>188</v>
      </c>
      <c r="J1325" s="1" t="s">
        <v>46</v>
      </c>
      <c r="K1325" t="s">
        <v>937</v>
      </c>
      <c r="M1325" s="1" t="s">
        <v>58</v>
      </c>
      <c r="N1325" s="1">
        <v>0</v>
      </c>
      <c r="O1325" s="1" t="s">
        <v>105</v>
      </c>
      <c r="P1325" s="186">
        <v>44958.30541666667</v>
      </c>
      <c r="R1325" s="1">
        <v>3</v>
      </c>
      <c r="T1325" s="1" t="s">
        <v>646</v>
      </c>
      <c r="U1325" s="186">
        <v>44959.305428240739</v>
      </c>
      <c r="V1325" s="1" t="s">
        <v>41</v>
      </c>
      <c r="W1325" s="1" t="s">
        <v>49</v>
      </c>
    </row>
    <row r="1326" spans="1:23" hidden="1">
      <c r="A1326" s="1">
        <v>9416968</v>
      </c>
      <c r="B1326" s="1" t="s">
        <v>101</v>
      </c>
      <c r="C1326" t="s">
        <v>643</v>
      </c>
      <c r="D1326" s="2">
        <v>230018062</v>
      </c>
      <c r="E1326" s="2">
        <v>1814001400010</v>
      </c>
      <c r="F1326" s="1" t="s">
        <v>936</v>
      </c>
      <c r="G1326" s="1" t="s">
        <v>53</v>
      </c>
      <c r="H1326" s="1" t="s">
        <v>396</v>
      </c>
      <c r="I1326" s="1" t="s">
        <v>397</v>
      </c>
      <c r="J1326" s="1" t="s">
        <v>46</v>
      </c>
      <c r="K1326" t="s">
        <v>937</v>
      </c>
      <c r="M1326" s="1" t="s">
        <v>58</v>
      </c>
      <c r="N1326" s="1">
        <v>0</v>
      </c>
      <c r="O1326" s="1" t="s">
        <v>105</v>
      </c>
      <c r="P1326" s="186">
        <v>44958.30537037037</v>
      </c>
      <c r="R1326" s="1">
        <v>3</v>
      </c>
      <c r="T1326" s="1" t="s">
        <v>646</v>
      </c>
      <c r="U1326" s="186">
        <v>44959.30537037037</v>
      </c>
      <c r="V1326" s="1" t="s">
        <v>41</v>
      </c>
      <c r="W1326" s="1" t="s">
        <v>49</v>
      </c>
    </row>
    <row r="1327" spans="1:23" hidden="1">
      <c r="A1327" s="1">
        <v>9416942</v>
      </c>
      <c r="B1327" s="1" t="s">
        <v>101</v>
      </c>
      <c r="C1327" t="s">
        <v>643</v>
      </c>
      <c r="D1327" s="2">
        <v>230018044</v>
      </c>
      <c r="E1327" s="2">
        <v>1764001400010</v>
      </c>
      <c r="F1327" s="1" t="s">
        <v>936</v>
      </c>
      <c r="G1327" s="1" t="s">
        <v>53</v>
      </c>
      <c r="H1327" s="1" t="s">
        <v>722</v>
      </c>
      <c r="I1327" s="1" t="s">
        <v>723</v>
      </c>
      <c r="J1327" s="1" t="s">
        <v>90</v>
      </c>
      <c r="K1327" t="s">
        <v>937</v>
      </c>
      <c r="M1327" s="1" t="s">
        <v>58</v>
      </c>
      <c r="N1327" s="1">
        <v>0</v>
      </c>
      <c r="O1327" s="1" t="s">
        <v>105</v>
      </c>
      <c r="P1327" s="186">
        <v>44958.304444444446</v>
      </c>
      <c r="R1327" s="1">
        <v>3</v>
      </c>
      <c r="T1327" s="1" t="s">
        <v>646</v>
      </c>
      <c r="U1327" s="186">
        <v>44959.304444444446</v>
      </c>
      <c r="V1327" s="1" t="s">
        <v>41</v>
      </c>
      <c r="W1327" s="1" t="s">
        <v>49</v>
      </c>
    </row>
    <row r="1328" spans="1:23" hidden="1">
      <c r="A1328" s="1">
        <v>9416933</v>
      </c>
      <c r="B1328" s="1" t="s">
        <v>101</v>
      </c>
      <c r="C1328" t="s">
        <v>643</v>
      </c>
      <c r="D1328" s="2">
        <v>230018135</v>
      </c>
      <c r="E1328" s="2">
        <v>2138001400010</v>
      </c>
      <c r="F1328" s="1" t="s">
        <v>936</v>
      </c>
      <c r="G1328" s="1" t="s">
        <v>53</v>
      </c>
      <c r="H1328" s="1" t="s">
        <v>379</v>
      </c>
      <c r="I1328" s="1" t="s">
        <v>380</v>
      </c>
      <c r="J1328" s="1" t="s">
        <v>46</v>
      </c>
      <c r="K1328" t="s">
        <v>937</v>
      </c>
      <c r="M1328" s="1" t="s">
        <v>58</v>
      </c>
      <c r="N1328" s="1">
        <v>0</v>
      </c>
      <c r="O1328" s="1" t="s">
        <v>105</v>
      </c>
      <c r="P1328" s="186">
        <v>44958.303981481484</v>
      </c>
      <c r="R1328" s="1">
        <v>3</v>
      </c>
      <c r="T1328" s="1" t="s">
        <v>646</v>
      </c>
      <c r="U1328" s="186">
        <v>44959.303981481484</v>
      </c>
      <c r="V1328" s="1" t="s">
        <v>41</v>
      </c>
      <c r="W1328" s="1" t="s">
        <v>49</v>
      </c>
    </row>
    <row r="1329" spans="1:23" hidden="1">
      <c r="A1329" s="1">
        <v>9416921</v>
      </c>
      <c r="B1329" s="1" t="s">
        <v>101</v>
      </c>
      <c r="C1329" t="s">
        <v>643</v>
      </c>
      <c r="D1329" s="2">
        <v>230018123</v>
      </c>
      <c r="E1329" s="2">
        <v>2107001400010</v>
      </c>
      <c r="F1329" s="1" t="s">
        <v>936</v>
      </c>
      <c r="G1329" s="1" t="s">
        <v>53</v>
      </c>
      <c r="H1329" s="1" t="s">
        <v>262</v>
      </c>
      <c r="I1329" s="1" t="s">
        <v>263</v>
      </c>
      <c r="J1329" s="1" t="s">
        <v>164</v>
      </c>
      <c r="K1329" t="s">
        <v>937</v>
      </c>
      <c r="M1329" s="1" t="s">
        <v>58</v>
      </c>
      <c r="N1329" s="1">
        <v>0</v>
      </c>
      <c r="O1329" s="1" t="s">
        <v>105</v>
      </c>
      <c r="P1329" s="186">
        <v>44958.303344907406</v>
      </c>
      <c r="R1329" s="1">
        <v>3</v>
      </c>
      <c r="T1329" s="1" t="s">
        <v>646</v>
      </c>
      <c r="U1329" s="186">
        <v>44959.303344907406</v>
      </c>
      <c r="V1329" s="1" t="s">
        <v>41</v>
      </c>
      <c r="W1329" s="1" t="s">
        <v>49</v>
      </c>
    </row>
    <row r="1330" spans="1:23" hidden="1">
      <c r="A1330" s="1">
        <v>9416908</v>
      </c>
      <c r="B1330" s="1" t="s">
        <v>101</v>
      </c>
      <c r="C1330" t="s">
        <v>643</v>
      </c>
      <c r="D1330" s="2">
        <v>230018110</v>
      </c>
      <c r="E1330" s="2">
        <v>2069001400010</v>
      </c>
      <c r="F1330" s="1" t="s">
        <v>936</v>
      </c>
      <c r="G1330" s="1" t="s">
        <v>53</v>
      </c>
      <c r="H1330" s="1" t="s">
        <v>557</v>
      </c>
      <c r="I1330" s="1" t="s">
        <v>558</v>
      </c>
      <c r="J1330" s="1" t="s">
        <v>90</v>
      </c>
      <c r="K1330" t="s">
        <v>937</v>
      </c>
      <c r="M1330" s="1" t="s">
        <v>58</v>
      </c>
      <c r="N1330" s="1">
        <v>0</v>
      </c>
      <c r="O1330" s="1" t="s">
        <v>105</v>
      </c>
      <c r="P1330" s="186">
        <v>44958.302662037036</v>
      </c>
      <c r="R1330" s="1">
        <v>3</v>
      </c>
      <c r="T1330" s="1" t="s">
        <v>646</v>
      </c>
      <c r="U1330" s="186">
        <v>44959.302662037036</v>
      </c>
      <c r="V1330" s="1" t="s">
        <v>41</v>
      </c>
      <c r="W1330" s="1" t="s">
        <v>49</v>
      </c>
    </row>
    <row r="1331" spans="1:23" hidden="1">
      <c r="A1331" s="1">
        <v>9416899</v>
      </c>
      <c r="B1331" s="1" t="s">
        <v>101</v>
      </c>
      <c r="C1331" t="s">
        <v>643</v>
      </c>
      <c r="D1331" s="2">
        <v>230018101</v>
      </c>
      <c r="E1331" s="2">
        <v>2039001400010</v>
      </c>
      <c r="F1331" s="1" t="s">
        <v>936</v>
      </c>
      <c r="G1331" s="1" t="s">
        <v>53</v>
      </c>
      <c r="H1331" s="1" t="s">
        <v>1943</v>
      </c>
      <c r="I1331" s="1" t="s">
        <v>1944</v>
      </c>
      <c r="J1331" s="1" t="s">
        <v>110</v>
      </c>
      <c r="K1331" t="s">
        <v>937</v>
      </c>
      <c r="M1331" s="1" t="s">
        <v>58</v>
      </c>
      <c r="N1331" s="1">
        <v>0</v>
      </c>
      <c r="O1331" s="1" t="s">
        <v>36</v>
      </c>
      <c r="P1331" s="186">
        <v>44958.302175925928</v>
      </c>
      <c r="R1331" s="1">
        <v>3</v>
      </c>
      <c r="T1331" s="1" t="s">
        <v>646</v>
      </c>
      <c r="U1331" s="186">
        <v>44959.302175925928</v>
      </c>
      <c r="V1331" s="1" t="s">
        <v>41</v>
      </c>
      <c r="W1331" s="1" t="s">
        <v>49</v>
      </c>
    </row>
    <row r="1332" spans="1:23" hidden="1">
      <c r="A1332" s="1">
        <v>9416812</v>
      </c>
      <c r="B1332" s="1" t="s">
        <v>101</v>
      </c>
      <c r="C1332" t="s">
        <v>643</v>
      </c>
      <c r="D1332" s="2">
        <v>230017885</v>
      </c>
      <c r="E1332" s="2">
        <v>1421001400010</v>
      </c>
      <c r="F1332" s="1" t="s">
        <v>936</v>
      </c>
      <c r="G1332" s="1" t="s">
        <v>53</v>
      </c>
      <c r="H1332" s="1" t="s">
        <v>179</v>
      </c>
      <c r="I1332" s="1" t="s">
        <v>180</v>
      </c>
      <c r="J1332" s="1" t="s">
        <v>79</v>
      </c>
      <c r="K1332" t="s">
        <v>937</v>
      </c>
      <c r="M1332" s="1" t="s">
        <v>58</v>
      </c>
      <c r="N1332" s="1">
        <v>0</v>
      </c>
      <c r="O1332" s="1" t="s">
        <v>105</v>
      </c>
      <c r="P1332" s="186">
        <v>44958.298009259262</v>
      </c>
      <c r="R1332" s="1">
        <v>3</v>
      </c>
      <c r="T1332" s="1" t="s">
        <v>646</v>
      </c>
      <c r="U1332" s="186">
        <v>44959.298020833332</v>
      </c>
      <c r="V1332" s="1" t="s">
        <v>41</v>
      </c>
      <c r="W1332" s="1" t="s">
        <v>49</v>
      </c>
    </row>
    <row r="1333" spans="1:23" hidden="1">
      <c r="A1333" s="1">
        <v>9416765</v>
      </c>
      <c r="B1333" s="1" t="s">
        <v>101</v>
      </c>
      <c r="C1333" t="s">
        <v>643</v>
      </c>
      <c r="D1333" s="2">
        <v>230017755</v>
      </c>
      <c r="E1333" s="2">
        <v>1059001400010</v>
      </c>
      <c r="F1333" s="1" t="s">
        <v>936</v>
      </c>
      <c r="G1333" s="1" t="s">
        <v>53</v>
      </c>
      <c r="H1333" s="1" t="s">
        <v>88</v>
      </c>
      <c r="I1333" s="1" t="s">
        <v>89</v>
      </c>
      <c r="J1333" s="1" t="s">
        <v>90</v>
      </c>
      <c r="K1333" t="s">
        <v>937</v>
      </c>
      <c r="M1333" s="1" t="s">
        <v>58</v>
      </c>
      <c r="N1333" s="1">
        <v>0</v>
      </c>
      <c r="O1333" s="1" t="s">
        <v>105</v>
      </c>
      <c r="P1333" s="186">
        <v>44958.295763888891</v>
      </c>
      <c r="R1333" s="1">
        <v>3</v>
      </c>
      <c r="T1333" s="1" t="s">
        <v>646</v>
      </c>
      <c r="U1333" s="186">
        <v>44959.295763888891</v>
      </c>
      <c r="V1333" s="1" t="s">
        <v>41</v>
      </c>
      <c r="W1333" s="1" t="s">
        <v>49</v>
      </c>
    </row>
    <row r="1334" spans="1:23" hidden="1">
      <c r="A1334" s="1">
        <v>9416764</v>
      </c>
      <c r="B1334" s="1" t="s">
        <v>101</v>
      </c>
      <c r="C1334" t="s">
        <v>643</v>
      </c>
      <c r="D1334" s="2">
        <v>230017754</v>
      </c>
      <c r="E1334" s="2">
        <v>1058001400010</v>
      </c>
      <c r="F1334" s="1" t="s">
        <v>936</v>
      </c>
      <c r="G1334" s="1" t="s">
        <v>53</v>
      </c>
      <c r="H1334" s="1" t="s">
        <v>289</v>
      </c>
      <c r="I1334" s="1" t="s">
        <v>290</v>
      </c>
      <c r="J1334" s="1" t="s">
        <v>56</v>
      </c>
      <c r="K1334" t="s">
        <v>937</v>
      </c>
      <c r="M1334" s="1" t="s">
        <v>58</v>
      </c>
      <c r="N1334" s="1">
        <v>0</v>
      </c>
      <c r="O1334" s="1" t="s">
        <v>105</v>
      </c>
      <c r="P1334" s="186">
        <v>44958.295717592591</v>
      </c>
      <c r="R1334" s="1">
        <v>3</v>
      </c>
      <c r="T1334" s="1" t="s">
        <v>646</v>
      </c>
      <c r="U1334" s="186">
        <v>44959.295717592591</v>
      </c>
      <c r="V1334" s="1" t="s">
        <v>41</v>
      </c>
      <c r="W1334" s="1" t="s">
        <v>49</v>
      </c>
    </row>
    <row r="1335" spans="1:23" hidden="1">
      <c r="A1335" s="1">
        <v>9416746</v>
      </c>
      <c r="B1335" s="1" t="s">
        <v>101</v>
      </c>
      <c r="C1335" t="s">
        <v>643</v>
      </c>
      <c r="D1335" s="2">
        <v>230017740</v>
      </c>
      <c r="E1335" s="2">
        <v>1028001400010</v>
      </c>
      <c r="F1335" s="1" t="s">
        <v>936</v>
      </c>
      <c r="G1335" s="1" t="s">
        <v>53</v>
      </c>
      <c r="H1335" s="1" t="s">
        <v>1079</v>
      </c>
      <c r="I1335" s="1" t="s">
        <v>1080</v>
      </c>
      <c r="J1335" s="1" t="s">
        <v>85</v>
      </c>
      <c r="K1335" t="s">
        <v>937</v>
      </c>
      <c r="M1335" s="1" t="s">
        <v>58</v>
      </c>
      <c r="N1335" s="1">
        <v>0</v>
      </c>
      <c r="O1335" s="1" t="s">
        <v>105</v>
      </c>
      <c r="P1335" s="186">
        <v>44958.294976851852</v>
      </c>
      <c r="R1335" s="1">
        <v>3</v>
      </c>
      <c r="T1335" s="1" t="s">
        <v>646</v>
      </c>
      <c r="U1335" s="186">
        <v>44959.294976851852</v>
      </c>
      <c r="V1335" s="1" t="s">
        <v>41</v>
      </c>
      <c r="W1335" s="1" t="s">
        <v>49</v>
      </c>
    </row>
    <row r="1336" spans="1:23" hidden="1">
      <c r="A1336" s="1">
        <v>9416712</v>
      </c>
      <c r="B1336" s="1" t="s">
        <v>101</v>
      </c>
      <c r="C1336" t="s">
        <v>643</v>
      </c>
      <c r="D1336" s="2">
        <v>230017714</v>
      </c>
      <c r="E1336" s="2">
        <v>963001400010</v>
      </c>
      <c r="F1336" s="1" t="s">
        <v>936</v>
      </c>
      <c r="G1336" s="1" t="s">
        <v>53</v>
      </c>
      <c r="H1336" s="1" t="s">
        <v>531</v>
      </c>
      <c r="I1336" s="1" t="s">
        <v>532</v>
      </c>
      <c r="J1336" s="1" t="s">
        <v>33</v>
      </c>
      <c r="K1336" t="s">
        <v>937</v>
      </c>
      <c r="M1336" s="1" t="s">
        <v>58</v>
      </c>
      <c r="N1336" s="1">
        <v>0</v>
      </c>
      <c r="O1336" s="1" t="s">
        <v>105</v>
      </c>
      <c r="P1336" s="186">
        <v>44958.293622685182</v>
      </c>
      <c r="R1336" s="1">
        <v>3</v>
      </c>
      <c r="T1336" s="1" t="s">
        <v>646</v>
      </c>
      <c r="U1336" s="186">
        <v>44959.293622685182</v>
      </c>
      <c r="V1336" s="1" t="s">
        <v>41</v>
      </c>
      <c r="W1336" s="1" t="s">
        <v>49</v>
      </c>
    </row>
    <row r="1337" spans="1:23" hidden="1">
      <c r="A1337" s="1">
        <v>9416578</v>
      </c>
      <c r="B1337" s="1" t="s">
        <v>101</v>
      </c>
      <c r="C1337" t="s">
        <v>643</v>
      </c>
      <c r="D1337" s="2">
        <v>230017619</v>
      </c>
      <c r="E1337" s="2">
        <v>711001400010</v>
      </c>
      <c r="F1337" s="1" t="s">
        <v>936</v>
      </c>
      <c r="G1337" s="1" t="s">
        <v>53</v>
      </c>
      <c r="H1337" s="1" t="s">
        <v>77</v>
      </c>
      <c r="I1337" s="1" t="s">
        <v>78</v>
      </c>
      <c r="J1337" s="1" t="s">
        <v>79</v>
      </c>
      <c r="K1337" t="s">
        <v>937</v>
      </c>
      <c r="M1337" s="1" t="s">
        <v>58</v>
      </c>
      <c r="N1337" s="1">
        <v>0</v>
      </c>
      <c r="O1337" s="1" t="s">
        <v>105</v>
      </c>
      <c r="P1337" s="186">
        <v>44958.286782407406</v>
      </c>
      <c r="R1337" s="1">
        <v>3</v>
      </c>
      <c r="T1337" s="1" t="s">
        <v>646</v>
      </c>
      <c r="U1337" s="186">
        <v>44959.286782407406</v>
      </c>
      <c r="V1337" s="1" t="s">
        <v>41</v>
      </c>
      <c r="W1337" s="1" t="s">
        <v>49</v>
      </c>
    </row>
    <row r="1338" spans="1:23" hidden="1">
      <c r="A1338" s="1">
        <v>9416566</v>
      </c>
      <c r="B1338" s="1" t="s">
        <v>101</v>
      </c>
      <c r="C1338" t="s">
        <v>643</v>
      </c>
      <c r="D1338" s="2">
        <v>230017592</v>
      </c>
      <c r="E1338" s="2">
        <v>605001400010</v>
      </c>
      <c r="F1338" s="1" t="s">
        <v>936</v>
      </c>
      <c r="G1338" s="1" t="s">
        <v>53</v>
      </c>
      <c r="H1338" s="1" t="s">
        <v>420</v>
      </c>
      <c r="I1338" s="1" t="s">
        <v>421</v>
      </c>
      <c r="J1338" s="1" t="s">
        <v>90</v>
      </c>
      <c r="K1338" t="s">
        <v>937</v>
      </c>
      <c r="M1338" s="1" t="s">
        <v>58</v>
      </c>
      <c r="N1338" s="1">
        <v>0</v>
      </c>
      <c r="O1338" s="1" t="s">
        <v>105</v>
      </c>
      <c r="P1338" s="186">
        <v>44958.286145833335</v>
      </c>
      <c r="R1338" s="1">
        <v>3</v>
      </c>
      <c r="T1338" s="1" t="s">
        <v>646</v>
      </c>
      <c r="U1338" s="186">
        <v>44959.286145833335</v>
      </c>
      <c r="V1338" s="1" t="s">
        <v>41</v>
      </c>
      <c r="W1338" s="1" t="s">
        <v>49</v>
      </c>
    </row>
    <row r="1339" spans="1:23" hidden="1">
      <c r="A1339" s="1">
        <v>9416563</v>
      </c>
      <c r="B1339" s="1" t="s">
        <v>101</v>
      </c>
      <c r="C1339" t="s">
        <v>643</v>
      </c>
      <c r="D1339" s="2">
        <v>230017589</v>
      </c>
      <c r="E1339" s="2">
        <v>600001400010</v>
      </c>
      <c r="F1339" s="1" t="s">
        <v>936</v>
      </c>
      <c r="G1339" s="1" t="s">
        <v>53</v>
      </c>
      <c r="H1339" s="1" t="s">
        <v>1084</v>
      </c>
      <c r="I1339" s="1" t="s">
        <v>1085</v>
      </c>
      <c r="J1339" s="1" t="s">
        <v>90</v>
      </c>
      <c r="K1339" t="s">
        <v>937</v>
      </c>
      <c r="M1339" s="1" t="s">
        <v>58</v>
      </c>
      <c r="N1339" s="1">
        <v>0</v>
      </c>
      <c r="O1339" s="1" t="s">
        <v>105</v>
      </c>
      <c r="P1339" s="186">
        <v>44958.285995370374</v>
      </c>
      <c r="R1339" s="1">
        <v>3</v>
      </c>
      <c r="T1339" s="1" t="s">
        <v>646</v>
      </c>
      <c r="U1339" s="186">
        <v>44959.285995370374</v>
      </c>
      <c r="V1339" s="1" t="s">
        <v>41</v>
      </c>
      <c r="W1339" s="1" t="s">
        <v>49</v>
      </c>
    </row>
    <row r="1340" spans="1:23" hidden="1">
      <c r="A1340" s="1">
        <v>9416512</v>
      </c>
      <c r="B1340" s="1" t="s">
        <v>101</v>
      </c>
      <c r="C1340" t="s">
        <v>643</v>
      </c>
      <c r="D1340" s="2">
        <v>230017447</v>
      </c>
      <c r="E1340" s="2">
        <v>115001400010</v>
      </c>
      <c r="F1340" s="1" t="s">
        <v>936</v>
      </c>
      <c r="G1340" s="1" t="s">
        <v>53</v>
      </c>
      <c r="H1340" s="1" t="s">
        <v>542</v>
      </c>
      <c r="I1340" s="1" t="s">
        <v>543</v>
      </c>
      <c r="J1340" s="1" t="s">
        <v>56</v>
      </c>
      <c r="K1340" t="s">
        <v>937</v>
      </c>
      <c r="M1340" s="1" t="s">
        <v>58</v>
      </c>
      <c r="N1340" s="1">
        <v>0</v>
      </c>
      <c r="O1340" s="1" t="s">
        <v>105</v>
      </c>
      <c r="P1340" s="186">
        <v>44958.282407407409</v>
      </c>
      <c r="R1340" s="1">
        <v>3</v>
      </c>
      <c r="T1340" s="1" t="s">
        <v>646</v>
      </c>
      <c r="U1340" s="186">
        <v>44959.282418981478</v>
      </c>
      <c r="V1340" s="1" t="s">
        <v>41</v>
      </c>
      <c r="W1340" s="1" t="s">
        <v>49</v>
      </c>
    </row>
    <row r="1341" spans="1:23" hidden="1">
      <c r="A1341" s="1">
        <v>9416481</v>
      </c>
      <c r="B1341" s="1" t="s">
        <v>101</v>
      </c>
      <c r="C1341" t="s">
        <v>643</v>
      </c>
      <c r="D1341" s="2">
        <v>230017484</v>
      </c>
      <c r="E1341" s="2">
        <v>246001400010</v>
      </c>
      <c r="F1341" s="1" t="s">
        <v>936</v>
      </c>
      <c r="G1341" s="1" t="s">
        <v>53</v>
      </c>
      <c r="H1341" s="1" t="s">
        <v>1193</v>
      </c>
      <c r="I1341" s="1" t="s">
        <v>1194</v>
      </c>
      <c r="J1341" s="1" t="s">
        <v>85</v>
      </c>
      <c r="K1341" t="s">
        <v>937</v>
      </c>
      <c r="M1341" s="1" t="s">
        <v>58</v>
      </c>
      <c r="N1341" s="1">
        <v>0</v>
      </c>
      <c r="O1341" s="1" t="s">
        <v>105</v>
      </c>
      <c r="P1341" s="186">
        <v>44958.280856481484</v>
      </c>
      <c r="R1341" s="1">
        <v>3</v>
      </c>
      <c r="T1341" s="1" t="s">
        <v>646</v>
      </c>
      <c r="U1341" s="186">
        <v>44959.280856481484</v>
      </c>
      <c r="V1341" s="1" t="s">
        <v>41</v>
      </c>
      <c r="W1341" s="1" t="s">
        <v>49</v>
      </c>
    </row>
    <row r="1342" spans="1:23" hidden="1">
      <c r="A1342" s="1">
        <v>9416477</v>
      </c>
      <c r="B1342" s="1" t="s">
        <v>101</v>
      </c>
      <c r="C1342" t="s">
        <v>643</v>
      </c>
      <c r="D1342" s="2">
        <v>230017483</v>
      </c>
      <c r="E1342" s="2">
        <v>244001400010</v>
      </c>
      <c r="F1342" s="1" t="s">
        <v>936</v>
      </c>
      <c r="G1342" s="1" t="s">
        <v>53</v>
      </c>
      <c r="H1342" s="1" t="s">
        <v>313</v>
      </c>
      <c r="I1342" s="1" t="s">
        <v>314</v>
      </c>
      <c r="J1342" s="1" t="s">
        <v>56</v>
      </c>
      <c r="K1342" t="s">
        <v>937</v>
      </c>
      <c r="M1342" s="1" t="s">
        <v>58</v>
      </c>
      <c r="N1342" s="1">
        <v>0</v>
      </c>
      <c r="O1342" s="1" t="s">
        <v>105</v>
      </c>
      <c r="P1342" s="186">
        <v>44958.280798611115</v>
      </c>
      <c r="R1342" s="1">
        <v>3</v>
      </c>
      <c r="T1342" s="1" t="s">
        <v>646</v>
      </c>
      <c r="U1342" s="186">
        <v>44959.280810185184</v>
      </c>
      <c r="V1342" s="1" t="s">
        <v>41</v>
      </c>
      <c r="W1342" s="1" t="s">
        <v>49</v>
      </c>
    </row>
    <row r="1343" spans="1:23" hidden="1">
      <c r="A1343" s="1">
        <v>9416437</v>
      </c>
      <c r="B1343" s="1" t="s">
        <v>101</v>
      </c>
      <c r="C1343" t="s">
        <v>643</v>
      </c>
      <c r="D1343" s="2">
        <v>230017474</v>
      </c>
      <c r="E1343" s="2">
        <v>196001400010</v>
      </c>
      <c r="F1343" s="1" t="s">
        <v>936</v>
      </c>
      <c r="G1343" s="1" t="s">
        <v>53</v>
      </c>
      <c r="H1343" s="1" t="s">
        <v>1060</v>
      </c>
      <c r="I1343" s="1" t="s">
        <v>1061</v>
      </c>
      <c r="J1343" s="1" t="s">
        <v>79</v>
      </c>
      <c r="K1343" t="s">
        <v>937</v>
      </c>
      <c r="M1343" s="1" t="s">
        <v>58</v>
      </c>
      <c r="N1343" s="1">
        <v>0</v>
      </c>
      <c r="O1343" s="1" t="s">
        <v>105</v>
      </c>
      <c r="P1343" s="186">
        <v>44958.279178240744</v>
      </c>
      <c r="R1343" s="1">
        <v>3</v>
      </c>
      <c r="T1343" s="1" t="s">
        <v>646</v>
      </c>
      <c r="U1343" s="186">
        <v>44959.279178240744</v>
      </c>
      <c r="V1343" s="1" t="s">
        <v>41</v>
      </c>
      <c r="W1343" s="1" t="s">
        <v>49</v>
      </c>
    </row>
    <row r="1344" spans="1:23" hidden="1">
      <c r="A1344" s="173">
        <v>9428127</v>
      </c>
      <c r="B1344" s="173" t="s">
        <v>1153</v>
      </c>
      <c r="C1344" s="178" t="s">
        <v>3090</v>
      </c>
      <c r="D1344" s="174"/>
      <c r="E1344" s="174">
        <v>2590000206001</v>
      </c>
      <c r="F1344" s="173" t="s">
        <v>29</v>
      </c>
      <c r="G1344" s="173" t="s">
        <v>53</v>
      </c>
      <c r="H1344" s="173" t="s">
        <v>394</v>
      </c>
      <c r="I1344" s="173" t="s">
        <v>395</v>
      </c>
      <c r="J1344" s="173" t="s">
        <v>148</v>
      </c>
      <c r="K1344" t="s">
        <v>34</v>
      </c>
      <c r="M1344" s="1" t="s">
        <v>35</v>
      </c>
      <c r="N1344" s="1">
        <v>42318949</v>
      </c>
      <c r="O1344" s="1" t="s">
        <v>36</v>
      </c>
      <c r="P1344" s="186">
        <v>44959.625405092593</v>
      </c>
      <c r="R1344" s="1" t="s">
        <v>38</v>
      </c>
      <c r="T1344" s="1" t="s">
        <v>74</v>
      </c>
      <c r="U1344" s="186">
        <v>44980.649305555555</v>
      </c>
      <c r="V1344" s="1" t="s">
        <v>41</v>
      </c>
      <c r="W1344" s="1" t="s">
        <v>49</v>
      </c>
    </row>
    <row r="1345" spans="1:23" hidden="1">
      <c r="A1345" s="181">
        <v>9428003</v>
      </c>
      <c r="B1345" s="181" t="s">
        <v>1153</v>
      </c>
      <c r="C1345" s="182" t="s">
        <v>2331</v>
      </c>
      <c r="D1345" s="183">
        <v>20231059000013</v>
      </c>
      <c r="E1345" s="183">
        <v>7417163284288</v>
      </c>
      <c r="F1345" s="181" t="s">
        <v>131</v>
      </c>
      <c r="G1345" s="181" t="s">
        <v>53</v>
      </c>
      <c r="H1345" s="181" t="s">
        <v>1972</v>
      </c>
      <c r="I1345" s="181" t="s">
        <v>1973</v>
      </c>
      <c r="J1345" s="181" t="s">
        <v>90</v>
      </c>
      <c r="K1345" t="s">
        <v>132</v>
      </c>
      <c r="M1345" s="1" t="s">
        <v>58</v>
      </c>
      <c r="N1345" s="1">
        <v>0</v>
      </c>
      <c r="O1345" s="1" t="s">
        <v>36</v>
      </c>
      <c r="P1345" s="186">
        <v>44959.585312499999</v>
      </c>
      <c r="R1345" s="1">
        <v>14</v>
      </c>
      <c r="T1345" s="1" t="s">
        <v>238</v>
      </c>
      <c r="U1345" s="186">
        <v>44959.585312499999</v>
      </c>
      <c r="V1345" s="1" t="s">
        <v>41</v>
      </c>
      <c r="W1345" s="1" t="s">
        <v>49</v>
      </c>
    </row>
    <row r="1346" spans="1:23" hidden="1">
      <c r="A1346" s="1">
        <v>9427875</v>
      </c>
      <c r="B1346" s="1" t="s">
        <v>1153</v>
      </c>
      <c r="C1346" t="s">
        <v>2332</v>
      </c>
      <c r="D1346" s="2">
        <v>20234844000329</v>
      </c>
      <c r="E1346" s="2">
        <v>7417183022492</v>
      </c>
      <c r="F1346" s="1" t="s">
        <v>1313</v>
      </c>
      <c r="G1346" s="1" t="s">
        <v>53</v>
      </c>
      <c r="H1346" s="1" t="s">
        <v>2333</v>
      </c>
      <c r="I1346" s="1" t="s">
        <v>2334</v>
      </c>
      <c r="J1346" s="1" t="s">
        <v>46</v>
      </c>
      <c r="K1346" t="s">
        <v>1316</v>
      </c>
      <c r="M1346" s="1" t="s">
        <v>58</v>
      </c>
      <c r="N1346" s="1">
        <v>0</v>
      </c>
      <c r="O1346" s="1" t="s">
        <v>36</v>
      </c>
      <c r="P1346" s="186">
        <v>44959.563958333332</v>
      </c>
      <c r="R1346" s="1">
        <v>13</v>
      </c>
      <c r="T1346" s="1" t="s">
        <v>238</v>
      </c>
      <c r="U1346" s="186">
        <v>44959.563958333332</v>
      </c>
      <c r="V1346" s="1" t="s">
        <v>41</v>
      </c>
      <c r="W1346" s="1" t="s">
        <v>49</v>
      </c>
    </row>
    <row r="1347" spans="1:23" hidden="1">
      <c r="A1347" s="1">
        <v>9427703</v>
      </c>
      <c r="B1347" s="1" t="s">
        <v>1153</v>
      </c>
      <c r="C1347" t="s">
        <v>2335</v>
      </c>
      <c r="E1347" s="2">
        <v>1049000206001</v>
      </c>
      <c r="F1347" s="1" t="s">
        <v>29</v>
      </c>
      <c r="G1347" s="1" t="s">
        <v>53</v>
      </c>
      <c r="H1347" s="1" t="s">
        <v>169</v>
      </c>
      <c r="I1347" s="1" t="s">
        <v>170</v>
      </c>
      <c r="J1347" s="1" t="s">
        <v>164</v>
      </c>
      <c r="K1347" t="s">
        <v>34</v>
      </c>
      <c r="M1347" s="1" t="s">
        <v>35</v>
      </c>
      <c r="N1347" s="1">
        <v>42318949</v>
      </c>
      <c r="O1347" s="1" t="s">
        <v>36</v>
      </c>
      <c r="P1347" s="186">
        <v>44959.552835648145</v>
      </c>
      <c r="R1347" s="1" t="s">
        <v>38</v>
      </c>
      <c r="T1347" s="1" t="s">
        <v>74</v>
      </c>
      <c r="U1347" s="186">
        <v>44974.583333333336</v>
      </c>
      <c r="V1347" s="1" t="s">
        <v>41</v>
      </c>
      <c r="W1347" s="1" t="s">
        <v>49</v>
      </c>
    </row>
    <row r="1348" spans="1:23" hidden="1">
      <c r="A1348" s="181">
        <v>9426529</v>
      </c>
      <c r="B1348" s="181" t="s">
        <v>1153</v>
      </c>
      <c r="C1348" s="182" t="s">
        <v>3491</v>
      </c>
      <c r="D1348" s="183"/>
      <c r="E1348" s="183">
        <v>2125000206001</v>
      </c>
      <c r="F1348" s="181" t="s">
        <v>29</v>
      </c>
      <c r="G1348" s="181" t="s">
        <v>53</v>
      </c>
      <c r="H1348" s="181" t="s">
        <v>1399</v>
      </c>
      <c r="I1348" s="181" t="s">
        <v>1400</v>
      </c>
      <c r="J1348" s="181" t="s">
        <v>211</v>
      </c>
      <c r="K1348" t="s">
        <v>34</v>
      </c>
      <c r="M1348" s="1" t="s">
        <v>35</v>
      </c>
      <c r="N1348" s="1">
        <v>42318949</v>
      </c>
      <c r="O1348" s="1" t="s">
        <v>36</v>
      </c>
      <c r="P1348" s="186">
        <v>44959.417071759257</v>
      </c>
      <c r="R1348" s="1" t="s">
        <v>38</v>
      </c>
      <c r="T1348" s="1" t="s">
        <v>74</v>
      </c>
      <c r="U1348" s="186">
        <v>44979.708333333336</v>
      </c>
      <c r="V1348" s="1" t="s">
        <v>41</v>
      </c>
      <c r="W1348" s="1" t="s">
        <v>49</v>
      </c>
    </row>
    <row r="1349" spans="1:23" hidden="1">
      <c r="A1349" s="1">
        <v>9426501</v>
      </c>
      <c r="B1349" s="1" t="s">
        <v>1153</v>
      </c>
      <c r="C1349" t="s">
        <v>2339</v>
      </c>
      <c r="D1349" s="2">
        <v>20235718000299</v>
      </c>
      <c r="E1349" s="2">
        <v>7417192423265</v>
      </c>
      <c r="F1349" s="1" t="s">
        <v>1727</v>
      </c>
      <c r="G1349" s="1" t="s">
        <v>53</v>
      </c>
      <c r="H1349" s="1" t="s">
        <v>1244</v>
      </c>
      <c r="I1349" s="1" t="s">
        <v>1245</v>
      </c>
      <c r="J1349" s="1" t="s">
        <v>46</v>
      </c>
      <c r="K1349" t="s">
        <v>1728</v>
      </c>
      <c r="M1349" s="1" t="s">
        <v>58</v>
      </c>
      <c r="N1349" s="1">
        <v>0</v>
      </c>
      <c r="O1349" s="1" t="s">
        <v>36</v>
      </c>
      <c r="P1349" s="186">
        <v>44959.396585648145</v>
      </c>
      <c r="R1349" s="1">
        <v>22</v>
      </c>
      <c r="T1349" s="1" t="s">
        <v>1160</v>
      </c>
      <c r="U1349" s="186">
        <v>44963.60491898148</v>
      </c>
      <c r="V1349" s="1" t="s">
        <v>41</v>
      </c>
      <c r="W1349" s="1" t="s">
        <v>49</v>
      </c>
    </row>
    <row r="1350" spans="1:23" hidden="1">
      <c r="A1350" s="1">
        <v>9433742</v>
      </c>
      <c r="B1350" s="1" t="s">
        <v>1153</v>
      </c>
      <c r="C1350" t="s">
        <v>2347</v>
      </c>
      <c r="D1350" s="2">
        <v>20234844000356</v>
      </c>
      <c r="E1350" s="2">
        <v>7419141894942</v>
      </c>
      <c r="F1350" s="1" t="s">
        <v>128</v>
      </c>
      <c r="G1350" s="1" t="s">
        <v>53</v>
      </c>
      <c r="H1350" s="1" t="s">
        <v>2348</v>
      </c>
      <c r="I1350" s="1" t="s">
        <v>2349</v>
      </c>
      <c r="J1350" s="1" t="s">
        <v>46</v>
      </c>
      <c r="K1350" t="s">
        <v>129</v>
      </c>
      <c r="M1350" s="1" t="s">
        <v>58</v>
      </c>
      <c r="N1350" s="1">
        <v>0</v>
      </c>
      <c r="O1350" s="1" t="s">
        <v>36</v>
      </c>
      <c r="P1350" s="186">
        <v>44960.745034722226</v>
      </c>
      <c r="R1350" s="1">
        <v>13</v>
      </c>
      <c r="T1350" s="1" t="s">
        <v>238</v>
      </c>
      <c r="U1350" s="186">
        <v>44963.395833333336</v>
      </c>
      <c r="V1350" s="1" t="s">
        <v>41</v>
      </c>
      <c r="W1350" s="1" t="s">
        <v>49</v>
      </c>
    </row>
    <row r="1351" spans="1:23" hidden="1">
      <c r="A1351" s="1">
        <v>9433457</v>
      </c>
      <c r="B1351" s="1" t="s">
        <v>1153</v>
      </c>
      <c r="C1351" t="s">
        <v>2353</v>
      </c>
      <c r="D1351" s="2">
        <v>230023961</v>
      </c>
      <c r="E1351" s="2">
        <v>196001400010</v>
      </c>
      <c r="F1351" s="1" t="s">
        <v>936</v>
      </c>
      <c r="G1351" s="1" t="s">
        <v>53</v>
      </c>
      <c r="H1351" s="1" t="s">
        <v>1060</v>
      </c>
      <c r="I1351" s="1" t="s">
        <v>1061</v>
      </c>
      <c r="J1351" s="1" t="s">
        <v>33</v>
      </c>
      <c r="K1351" t="s">
        <v>937</v>
      </c>
      <c r="M1351" s="1" t="s">
        <v>58</v>
      </c>
      <c r="N1351" s="1">
        <v>0</v>
      </c>
      <c r="O1351" s="1" t="s">
        <v>36</v>
      </c>
      <c r="P1351" s="186">
        <v>44960.711805555555</v>
      </c>
      <c r="R1351" s="1">
        <v>3</v>
      </c>
      <c r="T1351" s="1" t="s">
        <v>646</v>
      </c>
      <c r="U1351" s="186">
        <v>44979.4375</v>
      </c>
      <c r="V1351" s="1" t="s">
        <v>41</v>
      </c>
      <c r="W1351" s="1" t="s">
        <v>49</v>
      </c>
    </row>
    <row r="1352" spans="1:23" hidden="1">
      <c r="A1352" s="1">
        <v>9433413</v>
      </c>
      <c r="B1352" s="1" t="s">
        <v>1153</v>
      </c>
      <c r="C1352" t="s">
        <v>2356</v>
      </c>
      <c r="D1352" s="2">
        <v>20234844000350</v>
      </c>
      <c r="E1352" s="2">
        <v>7419141892809</v>
      </c>
      <c r="F1352" s="1" t="s">
        <v>128</v>
      </c>
      <c r="G1352" s="1" t="s">
        <v>53</v>
      </c>
      <c r="H1352" s="1" t="s">
        <v>2357</v>
      </c>
      <c r="I1352" s="1" t="s">
        <v>2358</v>
      </c>
      <c r="J1352" s="1" t="s">
        <v>46</v>
      </c>
      <c r="K1352" t="s">
        <v>129</v>
      </c>
      <c r="M1352" s="1" t="s">
        <v>58</v>
      </c>
      <c r="N1352" s="1">
        <v>0</v>
      </c>
      <c r="O1352" s="1" t="s">
        <v>36</v>
      </c>
      <c r="P1352" s="186">
        <v>44960.688807870371</v>
      </c>
      <c r="R1352" s="1">
        <v>13</v>
      </c>
      <c r="T1352" s="1" t="s">
        <v>238</v>
      </c>
      <c r="U1352" s="186">
        <v>44960.688807870371</v>
      </c>
      <c r="V1352" s="1" t="s">
        <v>41</v>
      </c>
      <c r="W1352" s="1" t="s">
        <v>49</v>
      </c>
    </row>
    <row r="1353" spans="1:23" hidden="1">
      <c r="A1353" s="1">
        <v>9433255</v>
      </c>
      <c r="B1353" s="1" t="s">
        <v>1153</v>
      </c>
      <c r="C1353" t="s">
        <v>2364</v>
      </c>
      <c r="D1353" s="2">
        <v>20231732000006</v>
      </c>
      <c r="E1353" s="2">
        <v>7417163281555</v>
      </c>
      <c r="F1353" s="1" t="s">
        <v>131</v>
      </c>
      <c r="G1353" s="1" t="s">
        <v>53</v>
      </c>
      <c r="H1353" s="1" t="s">
        <v>2361</v>
      </c>
      <c r="I1353" s="1" t="s">
        <v>2362</v>
      </c>
      <c r="J1353" s="1" t="s">
        <v>164</v>
      </c>
      <c r="K1353" t="s">
        <v>132</v>
      </c>
      <c r="M1353" s="1" t="s">
        <v>58</v>
      </c>
      <c r="N1353" s="1">
        <v>0</v>
      </c>
      <c r="O1353" s="1" t="s">
        <v>36</v>
      </c>
      <c r="P1353" s="186">
        <v>44960.673506944448</v>
      </c>
      <c r="R1353" s="1">
        <v>14</v>
      </c>
      <c r="T1353" s="1" t="s">
        <v>238</v>
      </c>
      <c r="U1353" s="186">
        <v>44960.673506944448</v>
      </c>
      <c r="V1353" s="1" t="s">
        <v>41</v>
      </c>
      <c r="W1353" s="1" t="s">
        <v>49</v>
      </c>
    </row>
    <row r="1354" spans="1:23" hidden="1">
      <c r="A1354" s="1">
        <v>9433050</v>
      </c>
      <c r="B1354" s="1" t="s">
        <v>1153</v>
      </c>
      <c r="C1354" t="s">
        <v>2366</v>
      </c>
      <c r="D1354" s="2">
        <v>20234923000053</v>
      </c>
      <c r="E1354" s="2">
        <v>7417172789125</v>
      </c>
      <c r="F1354" s="1" t="s">
        <v>1989</v>
      </c>
      <c r="G1354" s="1" t="s">
        <v>53</v>
      </c>
      <c r="H1354" s="1" t="s">
        <v>1351</v>
      </c>
      <c r="I1354" s="1" t="s">
        <v>1352</v>
      </c>
      <c r="J1354" s="1" t="s">
        <v>46</v>
      </c>
      <c r="K1354" t="s">
        <v>1990</v>
      </c>
      <c r="M1354" s="1" t="s">
        <v>58</v>
      </c>
      <c r="N1354" s="1">
        <v>0</v>
      </c>
      <c r="O1354" s="1" t="s">
        <v>36</v>
      </c>
      <c r="P1354" s="186">
        <v>44960.63690972222</v>
      </c>
      <c r="R1354" s="1">
        <v>22</v>
      </c>
      <c r="T1354" s="1" t="s">
        <v>1160</v>
      </c>
      <c r="U1354" s="186">
        <v>44965.470243055555</v>
      </c>
      <c r="V1354" s="1" t="s">
        <v>41</v>
      </c>
      <c r="W1354" s="1" t="s">
        <v>49</v>
      </c>
    </row>
    <row r="1355" spans="1:23" hidden="1">
      <c r="A1355" s="1">
        <v>9432437</v>
      </c>
      <c r="B1355" s="1" t="s">
        <v>62</v>
      </c>
      <c r="C1355" t="s">
        <v>2372</v>
      </c>
      <c r="E1355" s="2">
        <v>1833000206001</v>
      </c>
      <c r="F1355" s="1" t="s">
        <v>29</v>
      </c>
      <c r="G1355" s="1" t="s">
        <v>53</v>
      </c>
      <c r="H1355" s="1" t="s">
        <v>369</v>
      </c>
      <c r="I1355" s="1" t="s">
        <v>370</v>
      </c>
      <c r="J1355" s="1" t="s">
        <v>46</v>
      </c>
      <c r="K1355" t="s">
        <v>34</v>
      </c>
      <c r="M1355" s="1" t="s">
        <v>35</v>
      </c>
      <c r="N1355" s="1">
        <v>42318949</v>
      </c>
      <c r="O1355" s="1" t="s">
        <v>36</v>
      </c>
      <c r="P1355" s="186">
        <v>44960.545138888891</v>
      </c>
      <c r="R1355" s="1" t="s">
        <v>38</v>
      </c>
      <c r="T1355" s="1" t="s">
        <v>74</v>
      </c>
      <c r="U1355" s="186">
        <v>45005.75</v>
      </c>
      <c r="V1355" s="1" t="s">
        <v>41</v>
      </c>
      <c r="W1355" s="1" t="s">
        <v>49</v>
      </c>
    </row>
    <row r="1356" spans="1:23" hidden="1">
      <c r="A1356" s="1">
        <v>9432115</v>
      </c>
      <c r="B1356" s="1" t="s">
        <v>1153</v>
      </c>
      <c r="C1356" t="s">
        <v>2373</v>
      </c>
      <c r="D1356" s="2">
        <v>20232257000015</v>
      </c>
      <c r="E1356" s="2">
        <v>7417183022203</v>
      </c>
      <c r="F1356" s="1" t="s">
        <v>1313</v>
      </c>
      <c r="G1356" s="1" t="s">
        <v>53</v>
      </c>
      <c r="H1356" s="1" t="s">
        <v>2326</v>
      </c>
      <c r="I1356" s="1" t="s">
        <v>2327</v>
      </c>
      <c r="J1356" s="1" t="s">
        <v>110</v>
      </c>
      <c r="K1356" t="s">
        <v>1316</v>
      </c>
      <c r="M1356" s="1" t="s">
        <v>58</v>
      </c>
      <c r="N1356" s="1">
        <v>0</v>
      </c>
      <c r="O1356" s="1" t="s">
        <v>36</v>
      </c>
      <c r="P1356" s="186">
        <v>44960.487442129626</v>
      </c>
      <c r="R1356" s="1">
        <v>14</v>
      </c>
      <c r="T1356" s="1" t="s">
        <v>238</v>
      </c>
      <c r="U1356" s="186">
        <v>44960.487442129626</v>
      </c>
      <c r="V1356" s="1" t="s">
        <v>41</v>
      </c>
      <c r="W1356" s="1" t="s">
        <v>49</v>
      </c>
    </row>
    <row r="1357" spans="1:23" hidden="1">
      <c r="A1357" s="1">
        <v>9431494</v>
      </c>
      <c r="B1357" s="1" t="s">
        <v>1153</v>
      </c>
      <c r="C1357" t="s">
        <v>2378</v>
      </c>
      <c r="D1357" s="2">
        <v>20237712000002</v>
      </c>
      <c r="E1357" s="2">
        <v>7417193051914</v>
      </c>
      <c r="F1357" s="1" t="s">
        <v>1719</v>
      </c>
      <c r="G1357" s="1" t="s">
        <v>53</v>
      </c>
      <c r="H1357" s="1" t="s">
        <v>2379</v>
      </c>
      <c r="I1357" s="1" t="s">
        <v>2380</v>
      </c>
      <c r="J1357" s="1" t="s">
        <v>46</v>
      </c>
      <c r="K1357" t="s">
        <v>1720</v>
      </c>
      <c r="M1357" s="1" t="s">
        <v>58</v>
      </c>
      <c r="N1357" s="1">
        <v>0</v>
      </c>
      <c r="O1357" s="1" t="s">
        <v>36</v>
      </c>
      <c r="P1357" s="186">
        <v>44960.413449074076</v>
      </c>
      <c r="R1357" s="1">
        <v>22</v>
      </c>
      <c r="T1357" s="1" t="s">
        <v>1160</v>
      </c>
      <c r="U1357" s="186">
        <v>44964.621782407405</v>
      </c>
      <c r="V1357" s="1" t="s">
        <v>41</v>
      </c>
      <c r="W1357" s="1" t="s">
        <v>49</v>
      </c>
    </row>
    <row r="1358" spans="1:23" hidden="1">
      <c r="A1358" s="1">
        <v>9431491</v>
      </c>
      <c r="B1358" s="1" t="s">
        <v>1153</v>
      </c>
      <c r="C1358" t="s">
        <v>2383</v>
      </c>
      <c r="D1358" s="2">
        <v>20237712000001</v>
      </c>
      <c r="E1358" s="2">
        <v>7417193051942</v>
      </c>
      <c r="F1358" s="1" t="s">
        <v>1719</v>
      </c>
      <c r="G1358" s="1" t="s">
        <v>53</v>
      </c>
      <c r="H1358" s="1" t="s">
        <v>2379</v>
      </c>
      <c r="I1358" s="1" t="s">
        <v>2380</v>
      </c>
      <c r="J1358" s="1" t="s">
        <v>46</v>
      </c>
      <c r="K1358" t="s">
        <v>1720</v>
      </c>
      <c r="M1358" s="1" t="s">
        <v>58</v>
      </c>
      <c r="N1358" s="1">
        <v>0</v>
      </c>
      <c r="O1358" s="1" t="s">
        <v>36</v>
      </c>
      <c r="P1358" s="186">
        <v>44960.405636574076</v>
      </c>
      <c r="R1358" s="1">
        <v>22</v>
      </c>
      <c r="T1358" s="1" t="s">
        <v>1160</v>
      </c>
      <c r="U1358" s="186">
        <v>44964.613969907405</v>
      </c>
      <c r="V1358" s="1" t="s">
        <v>41</v>
      </c>
      <c r="W1358" s="1" t="s">
        <v>49</v>
      </c>
    </row>
    <row r="1359" spans="1:23" hidden="1">
      <c r="A1359" s="1">
        <v>9431050</v>
      </c>
      <c r="B1359" s="1" t="s">
        <v>1153</v>
      </c>
      <c r="C1359" t="s">
        <v>2386</v>
      </c>
      <c r="D1359" s="2">
        <v>20232559000002</v>
      </c>
      <c r="E1359" s="2">
        <v>7419151141120</v>
      </c>
      <c r="F1359" s="1" t="s">
        <v>123</v>
      </c>
      <c r="G1359" s="1" t="s">
        <v>53</v>
      </c>
      <c r="H1359" s="1" t="s">
        <v>2387</v>
      </c>
      <c r="I1359" s="1" t="s">
        <v>2388</v>
      </c>
      <c r="J1359" s="1" t="s">
        <v>261</v>
      </c>
      <c r="K1359" t="s">
        <v>126</v>
      </c>
      <c r="M1359" s="1" t="s">
        <v>58</v>
      </c>
      <c r="N1359" s="1">
        <v>0</v>
      </c>
      <c r="O1359" s="1" t="s">
        <v>36</v>
      </c>
      <c r="P1359" s="186">
        <v>44960.347638888888</v>
      </c>
      <c r="R1359" s="1">
        <v>14</v>
      </c>
      <c r="T1359" s="1" t="s">
        <v>238</v>
      </c>
      <c r="U1359" s="186">
        <v>44960.395833333336</v>
      </c>
      <c r="V1359" s="1" t="s">
        <v>41</v>
      </c>
      <c r="W1359" s="1" t="s">
        <v>49</v>
      </c>
    </row>
    <row r="1360" spans="1:23" hidden="1">
      <c r="A1360" s="1">
        <v>9430989</v>
      </c>
      <c r="B1360" s="1" t="s">
        <v>62</v>
      </c>
      <c r="C1360" t="s">
        <v>2390</v>
      </c>
      <c r="E1360" s="2">
        <v>3258000206001</v>
      </c>
      <c r="F1360" s="1" t="s">
        <v>29</v>
      </c>
      <c r="G1360" s="1" t="s">
        <v>53</v>
      </c>
      <c r="H1360" s="1" t="s">
        <v>321</v>
      </c>
      <c r="I1360" s="1" t="s">
        <v>322</v>
      </c>
      <c r="J1360" s="1" t="s">
        <v>46</v>
      </c>
      <c r="K1360" t="s">
        <v>34</v>
      </c>
      <c r="M1360" s="1" t="s">
        <v>35</v>
      </c>
      <c r="N1360" s="1">
        <v>42318949</v>
      </c>
      <c r="O1360" s="1" t="s">
        <v>105</v>
      </c>
      <c r="P1360" s="186">
        <v>44960.342314814814</v>
      </c>
      <c r="R1360" s="1" t="s">
        <v>38</v>
      </c>
      <c r="T1360" s="1" t="s">
        <v>74</v>
      </c>
      <c r="U1360" s="186">
        <v>45005.75</v>
      </c>
      <c r="V1360" s="1" t="s">
        <v>41</v>
      </c>
      <c r="W1360" s="1" t="s">
        <v>49</v>
      </c>
    </row>
    <row r="1361" spans="1:23" hidden="1">
      <c r="A1361" s="1">
        <v>9445712</v>
      </c>
      <c r="B1361" s="1" t="s">
        <v>1153</v>
      </c>
      <c r="C1361" t="s">
        <v>2391</v>
      </c>
      <c r="D1361" s="2">
        <v>230024766</v>
      </c>
      <c r="E1361" s="2">
        <v>3924001400030</v>
      </c>
      <c r="F1361" s="1" t="s">
        <v>647</v>
      </c>
      <c r="G1361" s="1" t="s">
        <v>53</v>
      </c>
      <c r="H1361" s="1" t="s">
        <v>153</v>
      </c>
      <c r="I1361" s="1" t="s">
        <v>154</v>
      </c>
      <c r="J1361" s="1" t="s">
        <v>56</v>
      </c>
      <c r="K1361" t="s">
        <v>650</v>
      </c>
      <c r="M1361" s="1" t="s">
        <v>58</v>
      </c>
      <c r="N1361" s="1">
        <v>0</v>
      </c>
      <c r="O1361" s="1" t="s">
        <v>36</v>
      </c>
      <c r="P1361" s="186">
        <v>44963.712118055555</v>
      </c>
      <c r="R1361" s="1">
        <v>4</v>
      </c>
      <c r="T1361" s="1" t="s">
        <v>646</v>
      </c>
      <c r="U1361" s="186">
        <v>44970.729166666664</v>
      </c>
      <c r="V1361" s="1" t="s">
        <v>41</v>
      </c>
      <c r="W1361" s="1" t="s">
        <v>49</v>
      </c>
    </row>
    <row r="1362" spans="1:23" hidden="1">
      <c r="A1362" s="1">
        <v>9445663</v>
      </c>
      <c r="B1362" s="1" t="s">
        <v>1153</v>
      </c>
      <c r="C1362" t="s">
        <v>2394</v>
      </c>
      <c r="D1362" s="2">
        <v>20234844000375</v>
      </c>
      <c r="E1362" s="2">
        <v>7417163283072</v>
      </c>
      <c r="F1362" s="1" t="s">
        <v>131</v>
      </c>
      <c r="G1362" s="1" t="s">
        <v>53</v>
      </c>
      <c r="H1362" s="1" t="s">
        <v>2395</v>
      </c>
      <c r="I1362" s="1" t="s">
        <v>2396</v>
      </c>
      <c r="J1362" s="1" t="s">
        <v>46</v>
      </c>
      <c r="K1362" t="s">
        <v>132</v>
      </c>
      <c r="M1362" s="1" t="s">
        <v>58</v>
      </c>
      <c r="N1362" s="1">
        <v>0</v>
      </c>
      <c r="O1362" s="1" t="s">
        <v>36</v>
      </c>
      <c r="P1362" s="186">
        <v>44963.692141203705</v>
      </c>
      <c r="R1362" s="1">
        <v>13</v>
      </c>
      <c r="T1362" s="1" t="s">
        <v>238</v>
      </c>
      <c r="U1362" s="186">
        <v>44963.692141203705</v>
      </c>
      <c r="V1362" s="1" t="s">
        <v>41</v>
      </c>
      <c r="W1362" s="1" t="s">
        <v>49</v>
      </c>
    </row>
    <row r="1363" spans="1:23" hidden="1">
      <c r="A1363" s="1">
        <v>9445662</v>
      </c>
      <c r="B1363" s="1" t="s">
        <v>1153</v>
      </c>
      <c r="C1363" t="s">
        <v>2398</v>
      </c>
      <c r="D1363" s="2">
        <v>20231153000011</v>
      </c>
      <c r="E1363" s="2">
        <v>7417163284286</v>
      </c>
      <c r="F1363" s="1" t="s">
        <v>131</v>
      </c>
      <c r="G1363" s="1" t="s">
        <v>53</v>
      </c>
      <c r="H1363" s="1" t="s">
        <v>2399</v>
      </c>
      <c r="I1363" s="1" t="s">
        <v>2400</v>
      </c>
      <c r="J1363" s="1" t="s">
        <v>79</v>
      </c>
      <c r="K1363" t="s">
        <v>132</v>
      </c>
      <c r="M1363" s="1" t="s">
        <v>58</v>
      </c>
      <c r="N1363" s="1">
        <v>0</v>
      </c>
      <c r="O1363" s="1" t="s">
        <v>36</v>
      </c>
      <c r="P1363" s="186">
        <v>44963.698900462965</v>
      </c>
      <c r="R1363" s="1">
        <v>14</v>
      </c>
      <c r="T1363" s="1" t="s">
        <v>238</v>
      </c>
      <c r="U1363" s="186">
        <v>44963.698900462965</v>
      </c>
      <c r="V1363" s="1" t="s">
        <v>41</v>
      </c>
      <c r="W1363" s="1" t="s">
        <v>49</v>
      </c>
    </row>
    <row r="1364" spans="1:23" hidden="1">
      <c r="A1364" s="1">
        <v>9445531</v>
      </c>
      <c r="B1364" s="1" t="s">
        <v>1153</v>
      </c>
      <c r="C1364" t="s">
        <v>2402</v>
      </c>
      <c r="E1364" s="2">
        <v>1902016807400</v>
      </c>
      <c r="F1364" s="1" t="s">
        <v>64</v>
      </c>
      <c r="G1364" s="1" t="s">
        <v>53</v>
      </c>
      <c r="H1364" s="1" t="s">
        <v>1257</v>
      </c>
      <c r="I1364" s="1" t="s">
        <v>1258</v>
      </c>
      <c r="J1364" s="1" t="s">
        <v>33</v>
      </c>
      <c r="K1364" t="s">
        <v>67</v>
      </c>
      <c r="M1364" s="1" t="s">
        <v>35</v>
      </c>
      <c r="N1364" s="1">
        <v>42318949</v>
      </c>
      <c r="O1364" s="1" t="s">
        <v>105</v>
      </c>
      <c r="P1364" s="186">
        <v>44963.688321759262</v>
      </c>
      <c r="R1364" s="1" t="s">
        <v>571</v>
      </c>
      <c r="T1364" s="1" t="s">
        <v>69</v>
      </c>
      <c r="U1364" s="186">
        <v>44965.688321759262</v>
      </c>
      <c r="V1364" s="1" t="s">
        <v>41</v>
      </c>
      <c r="W1364" s="1" t="s">
        <v>49</v>
      </c>
    </row>
    <row r="1365" spans="1:23" hidden="1">
      <c r="A1365" s="1">
        <v>9445321</v>
      </c>
      <c r="B1365" s="1" t="s">
        <v>1153</v>
      </c>
      <c r="C1365" t="s">
        <v>2405</v>
      </c>
      <c r="D1365" s="2">
        <v>20234844000372</v>
      </c>
      <c r="E1365" s="2">
        <v>7417183020624</v>
      </c>
      <c r="F1365" s="1" t="s">
        <v>1313</v>
      </c>
      <c r="G1365" s="1" t="s">
        <v>53</v>
      </c>
      <c r="H1365" s="1" t="s">
        <v>2348</v>
      </c>
      <c r="I1365" s="1" t="s">
        <v>2349</v>
      </c>
      <c r="J1365" s="1" t="s">
        <v>46</v>
      </c>
      <c r="K1365" t="s">
        <v>1316</v>
      </c>
      <c r="M1365" s="1" t="s">
        <v>58</v>
      </c>
      <c r="N1365" s="1">
        <v>0</v>
      </c>
      <c r="O1365" s="1" t="s">
        <v>36</v>
      </c>
      <c r="P1365" s="186">
        <v>44963.656493055554</v>
      </c>
      <c r="R1365" s="1">
        <v>13</v>
      </c>
      <c r="T1365" s="1" t="s">
        <v>238</v>
      </c>
      <c r="U1365" s="186">
        <v>44963.656493055554</v>
      </c>
      <c r="V1365" s="1" t="s">
        <v>41</v>
      </c>
      <c r="W1365" s="1" t="s">
        <v>49</v>
      </c>
    </row>
    <row r="1366" spans="1:23" hidden="1">
      <c r="A1366" s="181">
        <v>9444909</v>
      </c>
      <c r="B1366" s="181" t="s">
        <v>62</v>
      </c>
      <c r="C1366" s="182" t="s">
        <v>3492</v>
      </c>
      <c r="D1366" s="183"/>
      <c r="E1366" s="183">
        <v>2156000203000</v>
      </c>
      <c r="F1366" s="181" t="s">
        <v>454</v>
      </c>
      <c r="G1366" s="181" t="s">
        <v>53</v>
      </c>
      <c r="H1366" s="181" t="s">
        <v>278</v>
      </c>
      <c r="I1366" s="181" t="s">
        <v>279</v>
      </c>
      <c r="J1366" s="181" t="s">
        <v>211</v>
      </c>
      <c r="K1366" t="s">
        <v>457</v>
      </c>
      <c r="M1366" s="1" t="s">
        <v>58</v>
      </c>
      <c r="N1366" s="1">
        <v>0</v>
      </c>
      <c r="O1366" s="1" t="s">
        <v>105</v>
      </c>
      <c r="P1366" s="186">
        <v>44963.602916666663</v>
      </c>
      <c r="R1366" s="1">
        <v>1</v>
      </c>
      <c r="T1366" s="1" t="s">
        <v>157</v>
      </c>
      <c r="U1366" s="186">
        <v>44999.75</v>
      </c>
      <c r="V1366" s="1" t="s">
        <v>41</v>
      </c>
      <c r="W1366" s="1" t="s">
        <v>49</v>
      </c>
    </row>
    <row r="1367" spans="1:23" hidden="1">
      <c r="A1367" s="181">
        <v>9444862</v>
      </c>
      <c r="B1367" s="181" t="s">
        <v>1153</v>
      </c>
      <c r="C1367" s="182" t="s">
        <v>2417</v>
      </c>
      <c r="D1367" s="183">
        <v>20232437000020</v>
      </c>
      <c r="E1367" s="183">
        <v>7419141893534</v>
      </c>
      <c r="F1367" s="181" t="s">
        <v>128</v>
      </c>
      <c r="G1367" s="181" t="s">
        <v>53</v>
      </c>
      <c r="H1367" s="181" t="s">
        <v>2418</v>
      </c>
      <c r="I1367" s="181" t="s">
        <v>2419</v>
      </c>
      <c r="J1367" s="181" t="s">
        <v>211</v>
      </c>
      <c r="K1367" t="s">
        <v>129</v>
      </c>
      <c r="M1367" s="1" t="s">
        <v>58</v>
      </c>
      <c r="N1367" s="1">
        <v>0</v>
      </c>
      <c r="O1367" s="1" t="s">
        <v>36</v>
      </c>
      <c r="P1367" s="186">
        <v>44963.587824074071</v>
      </c>
      <c r="R1367" s="1">
        <v>14</v>
      </c>
      <c r="T1367" s="1" t="s">
        <v>238</v>
      </c>
      <c r="U1367" s="186">
        <v>44963.587824074071</v>
      </c>
      <c r="V1367" s="1" t="s">
        <v>41</v>
      </c>
      <c r="W1367" s="1" t="s">
        <v>49</v>
      </c>
    </row>
    <row r="1368" spans="1:23" hidden="1">
      <c r="A1368" s="1">
        <v>9444634</v>
      </c>
      <c r="B1368" s="1" t="s">
        <v>1153</v>
      </c>
      <c r="C1368" t="s">
        <v>2425</v>
      </c>
      <c r="D1368" s="2">
        <v>20230721000019</v>
      </c>
      <c r="E1368" s="2">
        <v>7417163284633</v>
      </c>
      <c r="F1368" s="1" t="s">
        <v>131</v>
      </c>
      <c r="G1368" s="1" t="s">
        <v>53</v>
      </c>
      <c r="H1368" s="1" t="s">
        <v>2426</v>
      </c>
      <c r="I1368" s="1" t="s">
        <v>2427</v>
      </c>
      <c r="J1368" s="1" t="s">
        <v>79</v>
      </c>
      <c r="K1368" t="s">
        <v>132</v>
      </c>
      <c r="M1368" s="1" t="s">
        <v>58</v>
      </c>
      <c r="N1368" s="1">
        <v>0</v>
      </c>
      <c r="O1368" s="1" t="s">
        <v>36</v>
      </c>
      <c r="P1368" s="186">
        <v>44963.558703703704</v>
      </c>
      <c r="R1368" s="1">
        <v>14</v>
      </c>
      <c r="T1368" s="1" t="s">
        <v>238</v>
      </c>
      <c r="U1368" s="186">
        <v>44963.558703703704</v>
      </c>
      <c r="V1368" s="1" t="s">
        <v>41</v>
      </c>
      <c r="W1368" s="1" t="s">
        <v>49</v>
      </c>
    </row>
    <row r="1369" spans="1:23" hidden="1">
      <c r="A1369" s="181">
        <v>9444346</v>
      </c>
      <c r="B1369" s="181" t="s">
        <v>1153</v>
      </c>
      <c r="C1369" s="185" t="s">
        <v>3104</v>
      </c>
      <c r="D1369" s="183"/>
      <c r="E1369" s="183">
        <v>1162000206001</v>
      </c>
      <c r="F1369" s="181" t="s">
        <v>29</v>
      </c>
      <c r="G1369" s="181" t="s">
        <v>53</v>
      </c>
      <c r="H1369" s="181" t="s">
        <v>280</v>
      </c>
      <c r="I1369" s="181" t="s">
        <v>281</v>
      </c>
      <c r="J1369" s="181" t="s">
        <v>211</v>
      </c>
      <c r="K1369" t="s">
        <v>34</v>
      </c>
      <c r="M1369" s="1" t="s">
        <v>35</v>
      </c>
      <c r="N1369" s="1">
        <v>42318949</v>
      </c>
      <c r="O1369" s="1" t="s">
        <v>36</v>
      </c>
      <c r="P1369" s="186">
        <v>44963.531759259262</v>
      </c>
      <c r="R1369" s="1" t="s">
        <v>38</v>
      </c>
      <c r="T1369" s="1" t="s">
        <v>74</v>
      </c>
      <c r="U1369" s="186">
        <v>44984.607638888891</v>
      </c>
      <c r="V1369" s="1" t="s">
        <v>41</v>
      </c>
      <c r="W1369" s="1" t="s">
        <v>49</v>
      </c>
    </row>
    <row r="1370" spans="1:23" hidden="1">
      <c r="A1370" s="1">
        <v>9444226</v>
      </c>
      <c r="B1370" s="1" t="s">
        <v>1153</v>
      </c>
      <c r="C1370" t="s">
        <v>2431</v>
      </c>
      <c r="D1370" s="2">
        <v>20234844000364</v>
      </c>
      <c r="E1370" s="2">
        <v>7419151140094</v>
      </c>
      <c r="F1370" s="1" t="s">
        <v>2058</v>
      </c>
      <c r="G1370" s="1" t="s">
        <v>53</v>
      </c>
      <c r="H1370" s="1" t="s">
        <v>2432</v>
      </c>
      <c r="I1370" s="1" t="s">
        <v>2433</v>
      </c>
      <c r="J1370" s="1" t="s">
        <v>46</v>
      </c>
      <c r="K1370" t="s">
        <v>2061</v>
      </c>
      <c r="M1370" s="1" t="s">
        <v>58</v>
      </c>
      <c r="N1370" s="1">
        <v>0</v>
      </c>
      <c r="O1370" s="1" t="s">
        <v>36</v>
      </c>
      <c r="P1370" s="186">
        <v>44963.493356481478</v>
      </c>
      <c r="R1370" s="1">
        <v>13</v>
      </c>
      <c r="T1370" s="1" t="s">
        <v>238</v>
      </c>
      <c r="U1370" s="186">
        <v>44963.493356481478</v>
      </c>
      <c r="V1370" s="1" t="s">
        <v>41</v>
      </c>
      <c r="W1370" s="1" t="s">
        <v>49</v>
      </c>
    </row>
    <row r="1371" spans="1:23" hidden="1">
      <c r="A1371" s="1">
        <v>9444115</v>
      </c>
      <c r="B1371" s="1" t="s">
        <v>1153</v>
      </c>
      <c r="C1371" t="s">
        <v>2435</v>
      </c>
      <c r="D1371" s="2">
        <v>20230067000014</v>
      </c>
      <c r="E1371" s="2">
        <v>7417163283167</v>
      </c>
      <c r="F1371" s="1" t="s">
        <v>131</v>
      </c>
      <c r="G1371" s="1" t="s">
        <v>53</v>
      </c>
      <c r="H1371" s="1" t="s">
        <v>2091</v>
      </c>
      <c r="I1371" s="1" t="s">
        <v>2092</v>
      </c>
      <c r="J1371" s="1" t="s">
        <v>164</v>
      </c>
      <c r="K1371" t="s">
        <v>132</v>
      </c>
      <c r="M1371" s="1" t="s">
        <v>58</v>
      </c>
      <c r="N1371" s="1">
        <v>0</v>
      </c>
      <c r="O1371" s="1" t="s">
        <v>36</v>
      </c>
      <c r="P1371" s="186">
        <v>44963.486759259256</v>
      </c>
      <c r="R1371" s="1">
        <v>14</v>
      </c>
      <c r="T1371" s="1" t="s">
        <v>238</v>
      </c>
      <c r="U1371" s="186">
        <v>44963.486759259256</v>
      </c>
      <c r="V1371" s="1" t="s">
        <v>41</v>
      </c>
      <c r="W1371" s="1" t="s">
        <v>49</v>
      </c>
    </row>
    <row r="1372" spans="1:23" hidden="1">
      <c r="A1372" s="1">
        <v>9443812</v>
      </c>
      <c r="B1372" s="1" t="s">
        <v>1153</v>
      </c>
      <c r="C1372" t="s">
        <v>2440</v>
      </c>
      <c r="D1372" s="2">
        <v>20231838000003</v>
      </c>
      <c r="E1372" s="2">
        <v>7417172790813</v>
      </c>
      <c r="F1372" s="1" t="s">
        <v>1989</v>
      </c>
      <c r="G1372" s="1" t="s">
        <v>53</v>
      </c>
      <c r="H1372" s="1" t="s">
        <v>357</v>
      </c>
      <c r="I1372" s="1" t="s">
        <v>358</v>
      </c>
      <c r="J1372" s="1" t="s">
        <v>46</v>
      </c>
      <c r="K1372" t="s">
        <v>1990</v>
      </c>
      <c r="M1372" s="1" t="s">
        <v>58</v>
      </c>
      <c r="N1372" s="1">
        <v>0</v>
      </c>
      <c r="O1372" s="1" t="s">
        <v>36</v>
      </c>
      <c r="P1372" s="186">
        <v>44963.456817129627</v>
      </c>
      <c r="R1372" s="1">
        <v>22</v>
      </c>
      <c r="T1372" s="1" t="s">
        <v>1160</v>
      </c>
      <c r="U1372" s="186">
        <v>44965.665150462963</v>
      </c>
      <c r="V1372" s="1" t="s">
        <v>41</v>
      </c>
      <c r="W1372" s="1" t="s">
        <v>49</v>
      </c>
    </row>
    <row r="1373" spans="1:23" hidden="1">
      <c r="A1373" s="1">
        <v>9443716</v>
      </c>
      <c r="B1373" s="1" t="s">
        <v>1153</v>
      </c>
      <c r="C1373" t="s">
        <v>2443</v>
      </c>
      <c r="D1373" s="2">
        <v>20234844000359</v>
      </c>
      <c r="E1373" s="2">
        <v>7417163283005</v>
      </c>
      <c r="F1373" s="1" t="s">
        <v>131</v>
      </c>
      <c r="G1373" s="1" t="s">
        <v>53</v>
      </c>
      <c r="H1373" s="1" t="s">
        <v>2444</v>
      </c>
      <c r="I1373" s="1" t="s">
        <v>2445</v>
      </c>
      <c r="J1373" s="1" t="s">
        <v>46</v>
      </c>
      <c r="K1373" t="s">
        <v>132</v>
      </c>
      <c r="M1373" s="1" t="s">
        <v>58</v>
      </c>
      <c r="N1373" s="1">
        <v>0</v>
      </c>
      <c r="O1373" s="1" t="s">
        <v>36</v>
      </c>
      <c r="P1373" s="186">
        <v>44963.445497685185</v>
      </c>
      <c r="R1373" s="1">
        <v>13</v>
      </c>
      <c r="T1373" s="1" t="s">
        <v>238</v>
      </c>
      <c r="U1373" s="186">
        <v>44963.445497685185</v>
      </c>
      <c r="V1373" s="1" t="s">
        <v>41</v>
      </c>
      <c r="W1373" s="1" t="s">
        <v>49</v>
      </c>
    </row>
    <row r="1374" spans="1:23" hidden="1">
      <c r="A1374" s="1">
        <v>9443334</v>
      </c>
      <c r="B1374" s="1" t="s">
        <v>1153</v>
      </c>
      <c r="C1374" t="s">
        <v>2447</v>
      </c>
      <c r="E1374" s="2">
        <v>710000206001</v>
      </c>
      <c r="F1374" s="1" t="s">
        <v>29</v>
      </c>
      <c r="G1374" s="1" t="s">
        <v>53</v>
      </c>
      <c r="H1374" s="1" t="s">
        <v>390</v>
      </c>
      <c r="I1374" s="1" t="s">
        <v>391</v>
      </c>
      <c r="J1374" s="1" t="s">
        <v>56</v>
      </c>
      <c r="K1374" t="s">
        <v>34</v>
      </c>
      <c r="M1374" s="1" t="s">
        <v>35</v>
      </c>
      <c r="N1374" s="1">
        <v>42318949</v>
      </c>
      <c r="O1374" s="1" t="s">
        <v>36</v>
      </c>
      <c r="P1374" s="186">
        <v>44963.417256944442</v>
      </c>
      <c r="R1374" s="1" t="s">
        <v>38</v>
      </c>
      <c r="T1374" s="1" t="s">
        <v>74</v>
      </c>
      <c r="U1374" s="186">
        <v>44981.708333333336</v>
      </c>
      <c r="V1374" s="1" t="s">
        <v>41</v>
      </c>
      <c r="W1374" s="1" t="s">
        <v>49</v>
      </c>
    </row>
    <row r="1375" spans="1:23" hidden="1">
      <c r="A1375" s="1">
        <v>9443139</v>
      </c>
      <c r="B1375" s="1" t="s">
        <v>27</v>
      </c>
      <c r="C1375" t="s">
        <v>2450</v>
      </c>
      <c r="E1375" s="2">
        <v>594000206001</v>
      </c>
      <c r="F1375" s="1" t="s">
        <v>29</v>
      </c>
      <c r="G1375" s="1" t="s">
        <v>53</v>
      </c>
      <c r="H1375" s="1" t="s">
        <v>444</v>
      </c>
      <c r="I1375" s="1" t="s">
        <v>445</v>
      </c>
      <c r="J1375" s="1" t="s">
        <v>33</v>
      </c>
      <c r="K1375" t="s">
        <v>34</v>
      </c>
      <c r="M1375" s="1" t="s">
        <v>35</v>
      </c>
      <c r="N1375" s="1">
        <v>42318949</v>
      </c>
      <c r="O1375" s="1" t="s">
        <v>36</v>
      </c>
      <c r="P1375" s="186">
        <v>44963.395509259259</v>
      </c>
      <c r="R1375" s="1" t="s">
        <v>38</v>
      </c>
      <c r="T1375" s="1" t="s">
        <v>74</v>
      </c>
      <c r="U1375" s="186">
        <v>44963.75</v>
      </c>
      <c r="V1375" s="1" t="s">
        <v>41</v>
      </c>
      <c r="W1375" s="1" t="s">
        <v>42</v>
      </c>
    </row>
    <row r="1376" spans="1:23" hidden="1">
      <c r="A1376" s="1">
        <v>9443045</v>
      </c>
      <c r="B1376" s="1" t="s">
        <v>1153</v>
      </c>
      <c r="C1376" t="s">
        <v>2453</v>
      </c>
      <c r="E1376" s="2">
        <v>69000206001</v>
      </c>
      <c r="F1376" s="1" t="s">
        <v>29</v>
      </c>
      <c r="G1376" s="1" t="s">
        <v>53</v>
      </c>
      <c r="H1376" s="1" t="s">
        <v>1206</v>
      </c>
      <c r="I1376" s="1" t="s">
        <v>1207</v>
      </c>
      <c r="J1376" s="1" t="s">
        <v>33</v>
      </c>
      <c r="K1376" t="s">
        <v>34</v>
      </c>
      <c r="M1376" s="1" t="s">
        <v>35</v>
      </c>
      <c r="N1376" s="1">
        <v>42318949</v>
      </c>
      <c r="O1376" s="1" t="s">
        <v>36</v>
      </c>
      <c r="P1376" s="186">
        <v>44963.385729166665</v>
      </c>
      <c r="R1376" s="1" t="s">
        <v>38</v>
      </c>
      <c r="T1376" s="1" t="s">
        <v>74</v>
      </c>
      <c r="U1376" s="186">
        <v>44979.625</v>
      </c>
      <c r="V1376" s="1" t="s">
        <v>41</v>
      </c>
      <c r="W1376" s="1" t="s">
        <v>42</v>
      </c>
    </row>
    <row r="1377" spans="1:23" hidden="1">
      <c r="A1377" s="1">
        <v>9440330</v>
      </c>
      <c r="B1377" s="1" t="s">
        <v>1153</v>
      </c>
      <c r="C1377" t="s">
        <v>2459</v>
      </c>
      <c r="E1377" s="2">
        <v>2669000203000</v>
      </c>
      <c r="F1377" s="1" t="s">
        <v>454</v>
      </c>
      <c r="G1377" s="1" t="s">
        <v>53</v>
      </c>
      <c r="H1377" s="1" t="s">
        <v>561</v>
      </c>
      <c r="I1377" s="1" t="s">
        <v>562</v>
      </c>
      <c r="J1377" s="1" t="s">
        <v>110</v>
      </c>
      <c r="K1377" t="s">
        <v>457</v>
      </c>
      <c r="M1377" s="1" t="s">
        <v>58</v>
      </c>
      <c r="N1377" s="1">
        <v>0</v>
      </c>
      <c r="O1377" s="1" t="s">
        <v>36</v>
      </c>
      <c r="P1377" s="186">
        <v>44962.625324074077</v>
      </c>
      <c r="R1377" s="1">
        <v>1</v>
      </c>
      <c r="T1377" s="1" t="s">
        <v>157</v>
      </c>
      <c r="U1377" s="186">
        <v>44963.625324074077</v>
      </c>
      <c r="V1377" s="1" t="s">
        <v>41</v>
      </c>
      <c r="W1377" s="1" t="s">
        <v>49</v>
      </c>
    </row>
    <row r="1378" spans="1:23" hidden="1">
      <c r="A1378" s="1">
        <v>9439880</v>
      </c>
      <c r="B1378" s="1" t="s">
        <v>1153</v>
      </c>
      <c r="C1378" t="s">
        <v>2462</v>
      </c>
      <c r="E1378" s="2">
        <v>1771000203000</v>
      </c>
      <c r="F1378" s="1" t="s">
        <v>454</v>
      </c>
      <c r="G1378" s="1" t="s">
        <v>53</v>
      </c>
      <c r="H1378" s="1" t="s">
        <v>615</v>
      </c>
      <c r="I1378" s="1" t="s">
        <v>616</v>
      </c>
      <c r="J1378" s="1" t="s">
        <v>261</v>
      </c>
      <c r="K1378" t="s">
        <v>457</v>
      </c>
      <c r="M1378" s="1" t="s">
        <v>58</v>
      </c>
      <c r="N1378" s="1">
        <v>0</v>
      </c>
      <c r="O1378" s="1" t="s">
        <v>36</v>
      </c>
      <c r="P1378" s="186">
        <v>44962.521157407406</v>
      </c>
      <c r="R1378" s="1">
        <v>1</v>
      </c>
      <c r="T1378" s="1" t="s">
        <v>157</v>
      </c>
      <c r="U1378" s="186">
        <v>44963.521157407406</v>
      </c>
      <c r="V1378" s="1" t="s">
        <v>41</v>
      </c>
      <c r="W1378" s="1" t="s">
        <v>49</v>
      </c>
    </row>
    <row r="1379" spans="1:23" hidden="1">
      <c r="A1379" s="1">
        <v>9439699</v>
      </c>
      <c r="B1379" s="1" t="s">
        <v>1153</v>
      </c>
      <c r="C1379" t="s">
        <v>2465</v>
      </c>
      <c r="E1379" s="2">
        <v>1792000206001</v>
      </c>
      <c r="F1379" s="1" t="s">
        <v>29</v>
      </c>
      <c r="G1379" s="1" t="s">
        <v>53</v>
      </c>
      <c r="H1379" s="1" t="s">
        <v>467</v>
      </c>
      <c r="I1379" s="1" t="s">
        <v>468</v>
      </c>
      <c r="J1379" s="1" t="s">
        <v>110</v>
      </c>
      <c r="K1379" t="s">
        <v>34</v>
      </c>
      <c r="M1379" s="1" t="s">
        <v>35</v>
      </c>
      <c r="N1379" s="1">
        <v>42318949</v>
      </c>
      <c r="O1379" s="1" t="s">
        <v>36</v>
      </c>
      <c r="P1379" s="186">
        <v>44962.480300925927</v>
      </c>
      <c r="R1379" s="1" t="s">
        <v>38</v>
      </c>
      <c r="T1379" s="1" t="s">
        <v>74</v>
      </c>
      <c r="U1379" s="186">
        <v>44985.708333333336</v>
      </c>
      <c r="V1379" s="1" t="s">
        <v>41</v>
      </c>
      <c r="W1379" s="1" t="s">
        <v>49</v>
      </c>
    </row>
    <row r="1380" spans="1:23" hidden="1">
      <c r="A1380" s="1">
        <v>9439691</v>
      </c>
      <c r="B1380" s="1" t="s">
        <v>1153</v>
      </c>
      <c r="C1380" t="s">
        <v>2467</v>
      </c>
      <c r="E1380" s="2">
        <v>5898000206001</v>
      </c>
      <c r="F1380" s="1" t="s">
        <v>29</v>
      </c>
      <c r="G1380" s="1" t="s">
        <v>53</v>
      </c>
      <c r="H1380" s="1" t="s">
        <v>365</v>
      </c>
      <c r="I1380" s="1" t="s">
        <v>366</v>
      </c>
      <c r="J1380" s="1" t="s">
        <v>164</v>
      </c>
      <c r="K1380" t="s">
        <v>34</v>
      </c>
      <c r="M1380" s="1" t="s">
        <v>35</v>
      </c>
      <c r="N1380" s="1">
        <v>42318949</v>
      </c>
      <c r="O1380" s="1" t="s">
        <v>36</v>
      </c>
      <c r="P1380" s="186">
        <v>44962.479745370372</v>
      </c>
      <c r="R1380" s="1" t="s">
        <v>38</v>
      </c>
      <c r="T1380" s="1" t="s">
        <v>74</v>
      </c>
      <c r="U1380" s="186">
        <v>44979.625</v>
      </c>
      <c r="V1380" s="1" t="s">
        <v>41</v>
      </c>
      <c r="W1380" s="1" t="s">
        <v>49</v>
      </c>
    </row>
    <row r="1381" spans="1:23" hidden="1">
      <c r="A1381" s="1">
        <v>9439434</v>
      </c>
      <c r="B1381" s="1" t="s">
        <v>1153</v>
      </c>
      <c r="C1381" t="s">
        <v>2472</v>
      </c>
      <c r="E1381" s="2">
        <v>2564000203000</v>
      </c>
      <c r="F1381" s="1" t="s">
        <v>454</v>
      </c>
      <c r="G1381" s="1" t="s">
        <v>53</v>
      </c>
      <c r="H1381" s="1" t="s">
        <v>255</v>
      </c>
      <c r="I1381" s="1" t="s">
        <v>256</v>
      </c>
      <c r="J1381" s="1" t="s">
        <v>164</v>
      </c>
      <c r="K1381" t="s">
        <v>457</v>
      </c>
      <c r="M1381" s="1" t="s">
        <v>58</v>
      </c>
      <c r="N1381" s="1">
        <v>0</v>
      </c>
      <c r="O1381" s="1" t="s">
        <v>36</v>
      </c>
      <c r="P1381" s="186">
        <v>44962.427673611113</v>
      </c>
      <c r="R1381" s="1">
        <v>1</v>
      </c>
      <c r="T1381" s="1" t="s">
        <v>157</v>
      </c>
      <c r="U1381" s="186">
        <v>44963.427685185183</v>
      </c>
      <c r="V1381" s="1" t="s">
        <v>41</v>
      </c>
      <c r="W1381" s="1" t="s">
        <v>49</v>
      </c>
    </row>
    <row r="1382" spans="1:23" hidden="1">
      <c r="A1382" s="181">
        <v>9439379</v>
      </c>
      <c r="B1382" s="181" t="s">
        <v>1153</v>
      </c>
      <c r="C1382" s="185" t="s">
        <v>3106</v>
      </c>
      <c r="D1382" s="183"/>
      <c r="E1382" s="183">
        <v>1162000206001</v>
      </c>
      <c r="F1382" s="181" t="s">
        <v>29</v>
      </c>
      <c r="G1382" s="181" t="s">
        <v>53</v>
      </c>
      <c r="H1382" s="181" t="s">
        <v>280</v>
      </c>
      <c r="I1382" s="181" t="s">
        <v>281</v>
      </c>
      <c r="J1382" s="181" t="s">
        <v>211</v>
      </c>
      <c r="K1382" t="s">
        <v>34</v>
      </c>
      <c r="M1382" s="1" t="s">
        <v>35</v>
      </c>
      <c r="N1382" s="1">
        <v>42318949</v>
      </c>
      <c r="O1382" s="1" t="s">
        <v>36</v>
      </c>
      <c r="P1382" s="186">
        <v>44962.417048611111</v>
      </c>
      <c r="R1382" s="1" t="s">
        <v>38</v>
      </c>
      <c r="T1382" s="1" t="s">
        <v>74</v>
      </c>
      <c r="U1382" s="186">
        <v>44984.607638888891</v>
      </c>
      <c r="V1382" s="1" t="s">
        <v>41</v>
      </c>
      <c r="W1382" s="1" t="s">
        <v>49</v>
      </c>
    </row>
    <row r="1383" spans="1:23" hidden="1">
      <c r="A1383" s="1">
        <v>9451053</v>
      </c>
      <c r="B1383" s="1" t="s">
        <v>1153</v>
      </c>
      <c r="C1383" t="s">
        <v>2480</v>
      </c>
      <c r="D1383" s="2">
        <v>20231012000002</v>
      </c>
      <c r="E1383" s="2">
        <v>7417183025975</v>
      </c>
      <c r="F1383" s="1" t="s">
        <v>1313</v>
      </c>
      <c r="G1383" s="1" t="s">
        <v>53</v>
      </c>
      <c r="H1383" s="1" t="s">
        <v>2481</v>
      </c>
      <c r="I1383" s="1" t="s">
        <v>2482</v>
      </c>
      <c r="J1383" s="1" t="s">
        <v>164</v>
      </c>
      <c r="K1383" t="s">
        <v>1316</v>
      </c>
      <c r="M1383" s="1" t="s">
        <v>58</v>
      </c>
      <c r="N1383" s="1">
        <v>0</v>
      </c>
      <c r="O1383" s="1" t="s">
        <v>36</v>
      </c>
      <c r="P1383" s="186">
        <v>44964.725752314815</v>
      </c>
      <c r="R1383" s="1">
        <v>15</v>
      </c>
      <c r="T1383" s="1" t="s">
        <v>238</v>
      </c>
      <c r="U1383" s="186">
        <v>44965.416666666664</v>
      </c>
      <c r="V1383" s="1" t="s">
        <v>41</v>
      </c>
      <c r="W1383" s="1" t="s">
        <v>49</v>
      </c>
    </row>
    <row r="1384" spans="1:23" hidden="1">
      <c r="A1384" s="1">
        <v>9450670</v>
      </c>
      <c r="B1384" s="1" t="s">
        <v>1153</v>
      </c>
      <c r="C1384" t="s">
        <v>2488</v>
      </c>
      <c r="D1384" s="2">
        <v>20232442000019</v>
      </c>
      <c r="E1384" s="2">
        <v>7417163281771</v>
      </c>
      <c r="F1384" s="1" t="s">
        <v>131</v>
      </c>
      <c r="G1384" s="1" t="s">
        <v>53</v>
      </c>
      <c r="H1384" s="1" t="s">
        <v>2489</v>
      </c>
      <c r="I1384" s="1" t="s">
        <v>2490</v>
      </c>
      <c r="J1384" s="1" t="s">
        <v>33</v>
      </c>
      <c r="K1384" t="s">
        <v>132</v>
      </c>
      <c r="M1384" s="1" t="s">
        <v>58</v>
      </c>
      <c r="N1384" s="1">
        <v>0</v>
      </c>
      <c r="O1384" s="1" t="s">
        <v>36</v>
      </c>
      <c r="P1384" s="186">
        <v>44964.683622685188</v>
      </c>
      <c r="R1384" s="1">
        <v>15</v>
      </c>
      <c r="T1384" s="1" t="s">
        <v>238</v>
      </c>
      <c r="U1384" s="186">
        <v>44964.683622685188</v>
      </c>
      <c r="V1384" s="1" t="s">
        <v>41</v>
      </c>
      <c r="W1384" s="1" t="s">
        <v>42</v>
      </c>
    </row>
    <row r="1385" spans="1:23" hidden="1">
      <c r="A1385" s="1">
        <v>9450561</v>
      </c>
      <c r="B1385" s="1" t="s">
        <v>1153</v>
      </c>
      <c r="C1385" t="s">
        <v>2492</v>
      </c>
      <c r="D1385" s="2">
        <v>20234844000396</v>
      </c>
      <c r="E1385" s="2">
        <v>7419141893520</v>
      </c>
      <c r="F1385" s="1" t="s">
        <v>128</v>
      </c>
      <c r="G1385" s="1" t="s">
        <v>53</v>
      </c>
      <c r="H1385" s="1" t="s">
        <v>2493</v>
      </c>
      <c r="I1385" s="1" t="s">
        <v>2494</v>
      </c>
      <c r="J1385" s="1" t="s">
        <v>46</v>
      </c>
      <c r="K1385" t="s">
        <v>129</v>
      </c>
      <c r="M1385" s="1" t="s">
        <v>58</v>
      </c>
      <c r="N1385" s="1">
        <v>0</v>
      </c>
      <c r="O1385" s="1" t="s">
        <v>36</v>
      </c>
      <c r="P1385" s="186">
        <v>44964.67046296296</v>
      </c>
      <c r="R1385" s="1">
        <v>13</v>
      </c>
      <c r="T1385" s="1" t="s">
        <v>238</v>
      </c>
      <c r="U1385" s="186">
        <v>44964.67046296296</v>
      </c>
      <c r="V1385" s="1" t="s">
        <v>41</v>
      </c>
      <c r="W1385" s="1" t="s">
        <v>49</v>
      </c>
    </row>
    <row r="1386" spans="1:23" hidden="1">
      <c r="A1386" s="1">
        <v>9450304</v>
      </c>
      <c r="B1386" s="1" t="s">
        <v>2497</v>
      </c>
      <c r="C1386" t="s">
        <v>2498</v>
      </c>
      <c r="E1386" s="2">
        <v>9406000206021</v>
      </c>
      <c r="F1386" s="1" t="s">
        <v>103</v>
      </c>
      <c r="G1386" s="1" t="s">
        <v>53</v>
      </c>
      <c r="H1386" s="1" t="s">
        <v>114</v>
      </c>
      <c r="I1386" s="1" t="s">
        <v>115</v>
      </c>
      <c r="J1386" s="1" t="s">
        <v>46</v>
      </c>
      <c r="K1386" t="s">
        <v>104</v>
      </c>
      <c r="M1386" s="1" t="s">
        <v>35</v>
      </c>
      <c r="N1386" s="1">
        <v>42318949</v>
      </c>
      <c r="O1386" s="1" t="s">
        <v>105</v>
      </c>
      <c r="P1386" s="186">
        <v>44964.660752314812</v>
      </c>
      <c r="R1386" s="1" t="s">
        <v>38</v>
      </c>
      <c r="T1386" s="1" t="s">
        <v>74</v>
      </c>
      <c r="U1386" s="186">
        <v>45007.75</v>
      </c>
      <c r="V1386" s="1" t="s">
        <v>41</v>
      </c>
      <c r="W1386" s="1" t="s">
        <v>49</v>
      </c>
    </row>
    <row r="1387" spans="1:23" hidden="1">
      <c r="A1387" s="1">
        <v>9450156</v>
      </c>
      <c r="B1387" s="1" t="s">
        <v>1153</v>
      </c>
      <c r="C1387" t="s">
        <v>2499</v>
      </c>
      <c r="D1387" s="2">
        <v>20231185000014</v>
      </c>
      <c r="E1387" s="2">
        <v>7417202021213</v>
      </c>
      <c r="F1387" s="1" t="s">
        <v>1213</v>
      </c>
      <c r="G1387" s="1" t="s">
        <v>53</v>
      </c>
      <c r="H1387" s="1" t="s">
        <v>2500</v>
      </c>
      <c r="I1387" s="1" t="s">
        <v>2501</v>
      </c>
      <c r="J1387" s="1" t="s">
        <v>33</v>
      </c>
      <c r="K1387" t="s">
        <v>1214</v>
      </c>
      <c r="M1387" s="1" t="s">
        <v>58</v>
      </c>
      <c r="N1387" s="1">
        <v>0</v>
      </c>
      <c r="O1387" s="1" t="s">
        <v>36</v>
      </c>
      <c r="P1387" s="186">
        <v>44964.608483796299</v>
      </c>
      <c r="R1387" s="1">
        <v>14</v>
      </c>
      <c r="T1387" s="1" t="s">
        <v>238</v>
      </c>
      <c r="U1387" s="186">
        <v>44964.608483796299</v>
      </c>
      <c r="V1387" s="1" t="s">
        <v>41</v>
      </c>
      <c r="W1387" s="1" t="s">
        <v>42</v>
      </c>
    </row>
    <row r="1388" spans="1:23" hidden="1">
      <c r="A1388" s="1">
        <v>9450107</v>
      </c>
      <c r="B1388" s="1" t="s">
        <v>1153</v>
      </c>
      <c r="C1388" t="s">
        <v>2503</v>
      </c>
      <c r="D1388" s="2">
        <v>20231850000008</v>
      </c>
      <c r="E1388" s="2">
        <v>7417193050568</v>
      </c>
      <c r="F1388" s="1" t="s">
        <v>1719</v>
      </c>
      <c r="G1388" s="1" t="s">
        <v>53</v>
      </c>
      <c r="H1388" s="1" t="s">
        <v>1931</v>
      </c>
      <c r="I1388" s="1" t="s">
        <v>1932</v>
      </c>
      <c r="J1388" s="1" t="s">
        <v>46</v>
      </c>
      <c r="K1388" t="s">
        <v>1720</v>
      </c>
      <c r="M1388" s="1" t="s">
        <v>58</v>
      </c>
      <c r="N1388" s="1">
        <v>0</v>
      </c>
      <c r="O1388" s="1" t="s">
        <v>36</v>
      </c>
      <c r="P1388" s="186">
        <v>44964.599166666667</v>
      </c>
      <c r="R1388" s="1">
        <v>22</v>
      </c>
      <c r="T1388" s="1" t="s">
        <v>1160</v>
      </c>
      <c r="U1388" s="186">
        <v>44967.432500000003</v>
      </c>
      <c r="V1388" s="1" t="s">
        <v>41</v>
      </c>
      <c r="W1388" s="1" t="s">
        <v>49</v>
      </c>
    </row>
    <row r="1389" spans="1:23" hidden="1">
      <c r="A1389" s="1">
        <v>9449961</v>
      </c>
      <c r="B1389" s="1" t="s">
        <v>1153</v>
      </c>
      <c r="C1389" t="s">
        <v>2506</v>
      </c>
      <c r="D1389" s="2">
        <v>20230537000006</v>
      </c>
      <c r="E1389" s="2">
        <v>7417202021163</v>
      </c>
      <c r="F1389" s="1" t="s">
        <v>1213</v>
      </c>
      <c r="G1389" s="1" t="s">
        <v>53</v>
      </c>
      <c r="H1389" s="1" t="s">
        <v>2507</v>
      </c>
      <c r="I1389" s="1" t="s">
        <v>2508</v>
      </c>
      <c r="J1389" s="1" t="s">
        <v>79</v>
      </c>
      <c r="K1389" t="s">
        <v>1214</v>
      </c>
      <c r="M1389" s="1" t="s">
        <v>58</v>
      </c>
      <c r="N1389" s="1">
        <v>0</v>
      </c>
      <c r="O1389" s="1" t="s">
        <v>36</v>
      </c>
      <c r="P1389" s="186">
        <v>44964.585902777777</v>
      </c>
      <c r="R1389" s="1">
        <v>14</v>
      </c>
      <c r="T1389" s="1" t="s">
        <v>238</v>
      </c>
      <c r="U1389" s="186">
        <v>44964.585902777777</v>
      </c>
      <c r="V1389" s="1" t="s">
        <v>41</v>
      </c>
      <c r="W1389" s="1" t="s">
        <v>49</v>
      </c>
    </row>
    <row r="1390" spans="1:23" hidden="1">
      <c r="A1390" s="1">
        <v>9449888</v>
      </c>
      <c r="B1390" s="1" t="s">
        <v>1153</v>
      </c>
      <c r="C1390" t="s">
        <v>2510</v>
      </c>
      <c r="D1390" s="2">
        <v>20230582000007</v>
      </c>
      <c r="E1390" s="2">
        <v>7417183023862</v>
      </c>
      <c r="F1390" s="1" t="s">
        <v>1313</v>
      </c>
      <c r="G1390" s="1" t="s">
        <v>53</v>
      </c>
      <c r="H1390" s="1" t="s">
        <v>2511</v>
      </c>
      <c r="I1390" s="1" t="s">
        <v>2512</v>
      </c>
      <c r="J1390" s="1" t="s">
        <v>141</v>
      </c>
      <c r="K1390" t="s">
        <v>1316</v>
      </c>
      <c r="M1390" s="1" t="s">
        <v>58</v>
      </c>
      <c r="N1390" s="1">
        <v>0</v>
      </c>
      <c r="O1390" s="1" t="s">
        <v>36</v>
      </c>
      <c r="P1390" s="186">
        <v>44964.570497685185</v>
      </c>
      <c r="R1390" s="1">
        <v>14</v>
      </c>
      <c r="T1390" s="1" t="s">
        <v>238</v>
      </c>
      <c r="U1390" s="186">
        <v>44964.570497685185</v>
      </c>
      <c r="V1390" s="1" t="s">
        <v>41</v>
      </c>
      <c r="W1390" s="1" t="s">
        <v>49</v>
      </c>
    </row>
    <row r="1391" spans="1:23" hidden="1">
      <c r="A1391" s="1">
        <v>9449460</v>
      </c>
      <c r="B1391" s="1" t="s">
        <v>1153</v>
      </c>
      <c r="C1391" t="s">
        <v>2517</v>
      </c>
      <c r="D1391" s="2">
        <v>20234844000391</v>
      </c>
      <c r="E1391" s="2">
        <v>7417183020643</v>
      </c>
      <c r="F1391" s="1" t="s">
        <v>1313</v>
      </c>
      <c r="G1391" s="1" t="s">
        <v>53</v>
      </c>
      <c r="H1391" s="1" t="s">
        <v>2444</v>
      </c>
      <c r="I1391" s="1" t="s">
        <v>2445</v>
      </c>
      <c r="J1391" s="1" t="s">
        <v>46</v>
      </c>
      <c r="K1391" t="s">
        <v>1316</v>
      </c>
      <c r="M1391" s="1" t="s">
        <v>58</v>
      </c>
      <c r="N1391" s="1">
        <v>0</v>
      </c>
      <c r="O1391" s="1" t="s">
        <v>36</v>
      </c>
      <c r="P1391" s="186">
        <v>44964.514328703706</v>
      </c>
      <c r="R1391" s="1">
        <v>13</v>
      </c>
      <c r="T1391" s="1" t="s">
        <v>238</v>
      </c>
      <c r="U1391" s="186">
        <v>44964.514328703706</v>
      </c>
      <c r="V1391" s="1" t="s">
        <v>41</v>
      </c>
      <c r="W1391" s="1" t="s">
        <v>49</v>
      </c>
    </row>
    <row r="1392" spans="1:23" hidden="1">
      <c r="A1392" s="1">
        <v>9449450</v>
      </c>
      <c r="B1392" s="1" t="s">
        <v>1153</v>
      </c>
      <c r="C1392" t="s">
        <v>2519</v>
      </c>
      <c r="D1392" s="2">
        <v>20233433000006</v>
      </c>
      <c r="E1392" s="2">
        <v>7417191614659</v>
      </c>
      <c r="F1392" s="1" t="s">
        <v>1719</v>
      </c>
      <c r="G1392" s="1" t="s">
        <v>53</v>
      </c>
      <c r="H1392" s="1" t="s">
        <v>2520</v>
      </c>
      <c r="I1392" s="1" t="s">
        <v>2521</v>
      </c>
      <c r="J1392" s="1" t="s">
        <v>46</v>
      </c>
      <c r="K1392" t="s">
        <v>1720</v>
      </c>
      <c r="M1392" s="1" t="s">
        <v>58</v>
      </c>
      <c r="N1392" s="1">
        <v>0</v>
      </c>
      <c r="O1392" s="1" t="s">
        <v>36</v>
      </c>
      <c r="P1392" s="186">
        <v>44964.515879629631</v>
      </c>
      <c r="R1392" s="1">
        <v>22</v>
      </c>
      <c r="T1392" s="1" t="s">
        <v>1160</v>
      </c>
      <c r="U1392" s="186">
        <v>44966.724212962959</v>
      </c>
      <c r="V1392" s="1" t="s">
        <v>41</v>
      </c>
      <c r="W1392" s="1" t="s">
        <v>49</v>
      </c>
    </row>
    <row r="1393" spans="1:23" hidden="1">
      <c r="A1393" s="1">
        <v>9449448</v>
      </c>
      <c r="B1393" s="1" t="s">
        <v>1153</v>
      </c>
      <c r="C1393" t="s">
        <v>2524</v>
      </c>
      <c r="D1393" s="2">
        <v>20233433000005</v>
      </c>
      <c r="E1393" s="2">
        <v>7417191614842</v>
      </c>
      <c r="F1393" s="1" t="s">
        <v>1719</v>
      </c>
      <c r="G1393" s="1" t="s">
        <v>53</v>
      </c>
      <c r="H1393" s="1" t="s">
        <v>2520</v>
      </c>
      <c r="I1393" s="1" t="s">
        <v>2521</v>
      </c>
      <c r="J1393" s="1" t="s">
        <v>33</v>
      </c>
      <c r="K1393" t="s">
        <v>1720</v>
      </c>
      <c r="M1393" s="1" t="s">
        <v>58</v>
      </c>
      <c r="N1393" s="1">
        <v>0</v>
      </c>
      <c r="O1393" s="1" t="s">
        <v>36</v>
      </c>
      <c r="P1393" s="186">
        <v>44964.514363425929</v>
      </c>
      <c r="R1393" s="1">
        <v>22</v>
      </c>
      <c r="T1393" s="1" t="s">
        <v>1160</v>
      </c>
      <c r="U1393" s="186">
        <v>44966.722696759258</v>
      </c>
      <c r="V1393" s="1" t="s">
        <v>41</v>
      </c>
      <c r="W1393" s="1" t="s">
        <v>49</v>
      </c>
    </row>
    <row r="1394" spans="1:23" hidden="1">
      <c r="A1394" s="1">
        <v>9449339</v>
      </c>
      <c r="B1394" s="1" t="s">
        <v>1153</v>
      </c>
      <c r="C1394" t="s">
        <v>2527</v>
      </c>
      <c r="D1394" s="2">
        <v>20231120000005</v>
      </c>
      <c r="E1394" s="2">
        <v>7417163280559</v>
      </c>
      <c r="F1394" s="1" t="s">
        <v>131</v>
      </c>
      <c r="G1394" s="1" t="s">
        <v>53</v>
      </c>
      <c r="H1394" s="1" t="s">
        <v>2528</v>
      </c>
      <c r="I1394" s="1" t="s">
        <v>2529</v>
      </c>
      <c r="J1394" s="1" t="s">
        <v>164</v>
      </c>
      <c r="K1394" t="s">
        <v>132</v>
      </c>
      <c r="M1394" s="1" t="s">
        <v>58</v>
      </c>
      <c r="N1394" s="1">
        <v>0</v>
      </c>
      <c r="O1394" s="1" t="s">
        <v>36</v>
      </c>
      <c r="P1394" s="186">
        <v>44964.504212962966</v>
      </c>
      <c r="R1394" s="1">
        <v>14</v>
      </c>
      <c r="T1394" s="1" t="s">
        <v>238</v>
      </c>
      <c r="U1394" s="186">
        <v>44964.504212962966</v>
      </c>
      <c r="V1394" s="1" t="s">
        <v>41</v>
      </c>
      <c r="W1394" s="1" t="s">
        <v>49</v>
      </c>
    </row>
    <row r="1395" spans="1:23" hidden="1">
      <c r="A1395" s="1">
        <v>9449008</v>
      </c>
      <c r="B1395" s="1" t="s">
        <v>1153</v>
      </c>
      <c r="C1395" t="s">
        <v>2440</v>
      </c>
      <c r="D1395" s="2">
        <v>20234981000001</v>
      </c>
      <c r="E1395" s="2">
        <v>7419152405218</v>
      </c>
      <c r="F1395" s="1" t="s">
        <v>2533</v>
      </c>
      <c r="G1395" s="1" t="s">
        <v>53</v>
      </c>
      <c r="H1395" s="1" t="s">
        <v>2534</v>
      </c>
      <c r="I1395" s="1" t="s">
        <v>2535</v>
      </c>
      <c r="J1395" s="1" t="s">
        <v>46</v>
      </c>
      <c r="K1395" t="s">
        <v>2536</v>
      </c>
      <c r="M1395" s="1" t="s">
        <v>58</v>
      </c>
      <c r="N1395" s="1">
        <v>0</v>
      </c>
      <c r="O1395" s="1" t="s">
        <v>36</v>
      </c>
      <c r="P1395" s="186">
        <v>44964.451562499999</v>
      </c>
      <c r="R1395" s="1">
        <v>22</v>
      </c>
      <c r="T1395" s="1" t="s">
        <v>1160</v>
      </c>
      <c r="U1395" s="186">
        <v>44966.659895833334</v>
      </c>
      <c r="V1395" s="1" t="s">
        <v>41</v>
      </c>
      <c r="W1395" s="1" t="s">
        <v>49</v>
      </c>
    </row>
    <row r="1396" spans="1:23" hidden="1">
      <c r="A1396" s="1">
        <v>9448922</v>
      </c>
      <c r="B1396" s="1" t="s">
        <v>1153</v>
      </c>
      <c r="C1396" t="s">
        <v>2539</v>
      </c>
      <c r="D1396" s="2">
        <v>20234844000385</v>
      </c>
      <c r="E1396" s="2">
        <v>7417161483344</v>
      </c>
      <c r="F1396" s="1" t="s">
        <v>1217</v>
      </c>
      <c r="G1396" s="1" t="s">
        <v>53</v>
      </c>
      <c r="H1396" s="1" t="s">
        <v>2540</v>
      </c>
      <c r="I1396" s="1" t="s">
        <v>2541</v>
      </c>
      <c r="J1396" s="1" t="s">
        <v>46</v>
      </c>
      <c r="K1396" t="s">
        <v>1218</v>
      </c>
      <c r="M1396" s="1" t="s">
        <v>58</v>
      </c>
      <c r="N1396" s="1">
        <v>0</v>
      </c>
      <c r="O1396" s="1" t="s">
        <v>36</v>
      </c>
      <c r="P1396" s="186">
        <v>44964.438483796293</v>
      </c>
      <c r="R1396" s="1">
        <v>13</v>
      </c>
      <c r="T1396" s="1" t="s">
        <v>238</v>
      </c>
      <c r="U1396" s="186">
        <v>44964.438483796293</v>
      </c>
      <c r="V1396" s="1" t="s">
        <v>41</v>
      </c>
      <c r="W1396" s="1" t="s">
        <v>49</v>
      </c>
    </row>
    <row r="1397" spans="1:23" hidden="1">
      <c r="A1397" s="181">
        <v>9448803</v>
      </c>
      <c r="B1397" s="181" t="s">
        <v>1153</v>
      </c>
      <c r="C1397" s="201" t="s">
        <v>3493</v>
      </c>
      <c r="D1397" s="183">
        <v>20232737000010</v>
      </c>
      <c r="E1397" s="183">
        <v>7417163284489</v>
      </c>
      <c r="F1397" s="181" t="s">
        <v>131</v>
      </c>
      <c r="G1397" s="181" t="s">
        <v>53</v>
      </c>
      <c r="H1397" s="181" t="s">
        <v>2544</v>
      </c>
      <c r="I1397" s="181" t="s">
        <v>2545</v>
      </c>
      <c r="J1397" s="181" t="s">
        <v>90</v>
      </c>
      <c r="K1397" t="s">
        <v>132</v>
      </c>
      <c r="M1397" s="1" t="s">
        <v>58</v>
      </c>
      <c r="N1397" s="1">
        <v>0</v>
      </c>
      <c r="O1397" s="1" t="s">
        <v>36</v>
      </c>
      <c r="P1397" s="186">
        <v>44964.431805555556</v>
      </c>
      <c r="R1397" s="1">
        <v>14</v>
      </c>
      <c r="T1397" s="1" t="s">
        <v>238</v>
      </c>
      <c r="U1397" s="186">
        <v>44964.431805555556</v>
      </c>
      <c r="V1397" s="1" t="s">
        <v>41</v>
      </c>
      <c r="W1397" s="1" t="s">
        <v>49</v>
      </c>
    </row>
    <row r="1398" spans="1:23" hidden="1">
      <c r="A1398" s="1">
        <v>9448764</v>
      </c>
      <c r="B1398" s="1" t="s">
        <v>1153</v>
      </c>
      <c r="C1398" t="s">
        <v>2547</v>
      </c>
      <c r="E1398" s="2">
        <v>1360000206001</v>
      </c>
      <c r="F1398" s="1" t="s">
        <v>29</v>
      </c>
      <c r="G1398" s="1" t="s">
        <v>53</v>
      </c>
      <c r="H1398" s="1" t="s">
        <v>303</v>
      </c>
      <c r="I1398" s="1" t="s">
        <v>304</v>
      </c>
      <c r="J1398" s="1" t="s">
        <v>261</v>
      </c>
      <c r="K1398" t="s">
        <v>34</v>
      </c>
      <c r="M1398" s="1" t="s">
        <v>35</v>
      </c>
      <c r="N1398" s="1">
        <v>42318949</v>
      </c>
      <c r="O1398" s="1" t="s">
        <v>36</v>
      </c>
      <c r="P1398" s="186">
        <v>44964.4377662037</v>
      </c>
      <c r="R1398" s="1" t="s">
        <v>38</v>
      </c>
      <c r="T1398" s="1" t="s">
        <v>74</v>
      </c>
      <c r="U1398" s="186">
        <v>44985.708333333336</v>
      </c>
      <c r="V1398" s="1" t="s">
        <v>41</v>
      </c>
      <c r="W1398" s="1" t="s">
        <v>49</v>
      </c>
    </row>
    <row r="1399" spans="1:23" hidden="1">
      <c r="A1399" s="1">
        <v>9448733</v>
      </c>
      <c r="B1399" s="1" t="s">
        <v>1153</v>
      </c>
      <c r="C1399" t="s">
        <v>2549</v>
      </c>
      <c r="D1399" s="2">
        <v>20234844000384</v>
      </c>
      <c r="E1399" s="2">
        <v>7417183020675</v>
      </c>
      <c r="F1399" s="1" t="s">
        <v>1313</v>
      </c>
      <c r="G1399" s="1" t="s">
        <v>53</v>
      </c>
      <c r="H1399" s="1" t="s">
        <v>2550</v>
      </c>
      <c r="I1399" s="1" t="s">
        <v>2551</v>
      </c>
      <c r="J1399" s="1" t="s">
        <v>46</v>
      </c>
      <c r="K1399" t="s">
        <v>1316</v>
      </c>
      <c r="M1399" s="1" t="s">
        <v>58</v>
      </c>
      <c r="N1399" s="1">
        <v>0</v>
      </c>
      <c r="O1399" s="1" t="s">
        <v>36</v>
      </c>
      <c r="P1399" s="186">
        <v>44964.421956018516</v>
      </c>
      <c r="R1399" s="1">
        <v>13</v>
      </c>
      <c r="T1399" s="1" t="s">
        <v>238</v>
      </c>
      <c r="U1399" s="186">
        <v>44964.421956018516</v>
      </c>
      <c r="V1399" s="1" t="s">
        <v>41</v>
      </c>
      <c r="W1399" s="1" t="s">
        <v>49</v>
      </c>
    </row>
    <row r="1400" spans="1:23" hidden="1">
      <c r="A1400" s="1">
        <v>9448626</v>
      </c>
      <c r="B1400" s="1" t="s">
        <v>1153</v>
      </c>
      <c r="C1400" t="s">
        <v>2555</v>
      </c>
      <c r="D1400" s="2">
        <v>20230710000007</v>
      </c>
      <c r="E1400" s="2">
        <v>7419141894913</v>
      </c>
      <c r="F1400" s="1" t="s">
        <v>128</v>
      </c>
      <c r="G1400" s="1" t="s">
        <v>53</v>
      </c>
      <c r="H1400" s="1" t="s">
        <v>2556</v>
      </c>
      <c r="I1400" s="1" t="s">
        <v>2557</v>
      </c>
      <c r="J1400" s="1" t="s">
        <v>56</v>
      </c>
      <c r="K1400" t="s">
        <v>129</v>
      </c>
      <c r="M1400" s="1" t="s">
        <v>58</v>
      </c>
      <c r="N1400" s="1">
        <v>0</v>
      </c>
      <c r="O1400" s="1" t="s">
        <v>36</v>
      </c>
      <c r="P1400" s="186">
        <v>44964.411261574074</v>
      </c>
      <c r="R1400" s="1">
        <v>14</v>
      </c>
      <c r="T1400" s="1" t="s">
        <v>238</v>
      </c>
      <c r="U1400" s="186">
        <v>44964.411261574074</v>
      </c>
      <c r="V1400" s="1" t="s">
        <v>41</v>
      </c>
      <c r="W1400" s="1" t="s">
        <v>49</v>
      </c>
    </row>
    <row r="1401" spans="1:23" hidden="1">
      <c r="A1401" s="1">
        <v>9448398</v>
      </c>
      <c r="B1401" s="1" t="s">
        <v>1153</v>
      </c>
      <c r="C1401" t="s">
        <v>2559</v>
      </c>
      <c r="D1401" s="2">
        <v>20231052000011</v>
      </c>
      <c r="E1401" s="2">
        <v>7417163285093</v>
      </c>
      <c r="F1401" s="1" t="s">
        <v>131</v>
      </c>
      <c r="G1401" s="1" t="s">
        <v>53</v>
      </c>
      <c r="H1401" s="1" t="s">
        <v>2560</v>
      </c>
      <c r="I1401" s="1" t="s">
        <v>2561</v>
      </c>
      <c r="J1401" s="1" t="s">
        <v>79</v>
      </c>
      <c r="K1401" t="s">
        <v>132</v>
      </c>
      <c r="M1401" s="1" t="s">
        <v>58</v>
      </c>
      <c r="N1401" s="1">
        <v>0</v>
      </c>
      <c r="O1401" s="1" t="s">
        <v>36</v>
      </c>
      <c r="P1401" s="186">
        <v>44964.389490740738</v>
      </c>
      <c r="R1401" s="1">
        <v>14</v>
      </c>
      <c r="T1401" s="1" t="s">
        <v>238</v>
      </c>
      <c r="U1401" s="186">
        <v>44964.395833333336</v>
      </c>
      <c r="V1401" s="1" t="s">
        <v>41</v>
      </c>
      <c r="W1401" s="1" t="s">
        <v>49</v>
      </c>
    </row>
    <row r="1402" spans="1:23" hidden="1">
      <c r="A1402" s="1">
        <v>9448238</v>
      </c>
      <c r="B1402" s="1" t="s">
        <v>1153</v>
      </c>
      <c r="C1402" t="s">
        <v>2564</v>
      </c>
      <c r="D1402" s="2">
        <v>20234844000379</v>
      </c>
      <c r="E1402" s="2">
        <v>7417183020628</v>
      </c>
      <c r="F1402" s="1" t="s">
        <v>1313</v>
      </c>
      <c r="G1402" s="1" t="s">
        <v>53</v>
      </c>
      <c r="H1402" s="1" t="s">
        <v>2478</v>
      </c>
      <c r="I1402" s="1" t="s">
        <v>2479</v>
      </c>
      <c r="J1402" s="1" t="s">
        <v>46</v>
      </c>
      <c r="K1402" t="s">
        <v>1316</v>
      </c>
      <c r="M1402" s="1" t="s">
        <v>58</v>
      </c>
      <c r="N1402" s="1">
        <v>0</v>
      </c>
      <c r="O1402" s="1" t="s">
        <v>36</v>
      </c>
      <c r="P1402" s="186">
        <v>44964.382175925923</v>
      </c>
      <c r="R1402" s="1">
        <v>13</v>
      </c>
      <c r="T1402" s="1" t="s">
        <v>238</v>
      </c>
      <c r="U1402" s="186">
        <v>44964.395833333336</v>
      </c>
      <c r="V1402" s="1" t="s">
        <v>41</v>
      </c>
      <c r="W1402" s="1" t="s">
        <v>49</v>
      </c>
    </row>
    <row r="1403" spans="1:23" hidden="1">
      <c r="A1403" s="1">
        <v>9448003</v>
      </c>
      <c r="B1403" s="1" t="s">
        <v>1153</v>
      </c>
      <c r="C1403" t="s">
        <v>2566</v>
      </c>
      <c r="E1403" s="2">
        <v>54569</v>
      </c>
      <c r="F1403" s="1" t="s">
        <v>2567</v>
      </c>
      <c r="G1403" s="1" t="s">
        <v>53</v>
      </c>
      <c r="H1403" s="1" t="s">
        <v>351</v>
      </c>
      <c r="I1403" s="1" t="s">
        <v>352</v>
      </c>
      <c r="J1403" s="1" t="s">
        <v>110</v>
      </c>
      <c r="K1403" t="s">
        <v>2568</v>
      </c>
      <c r="M1403" s="1" t="s">
        <v>35</v>
      </c>
      <c r="N1403" s="1">
        <v>42318949</v>
      </c>
      <c r="O1403" s="1" t="s">
        <v>36</v>
      </c>
      <c r="P1403" s="186">
        <v>44964.360243055555</v>
      </c>
      <c r="R1403" s="1" t="s">
        <v>38</v>
      </c>
      <c r="T1403" s="1" t="s">
        <v>74</v>
      </c>
      <c r="U1403" s="186">
        <v>44985.708333333336</v>
      </c>
      <c r="V1403" s="1" t="s">
        <v>41</v>
      </c>
      <c r="W1403" s="1" t="s">
        <v>49</v>
      </c>
    </row>
    <row r="1404" spans="1:23" hidden="1">
      <c r="A1404" s="1">
        <v>9456048</v>
      </c>
      <c r="B1404" s="1" t="s">
        <v>1153</v>
      </c>
      <c r="C1404" t="s">
        <v>2570</v>
      </c>
      <c r="D1404" s="2">
        <v>20235846000004</v>
      </c>
      <c r="E1404" s="2">
        <v>7419152406688</v>
      </c>
      <c r="F1404" s="1" t="s">
        <v>2533</v>
      </c>
      <c r="G1404" s="1" t="s">
        <v>53</v>
      </c>
      <c r="H1404" s="1" t="s">
        <v>2571</v>
      </c>
      <c r="I1404" s="1" t="s">
        <v>2572</v>
      </c>
      <c r="J1404" s="1" t="s">
        <v>46</v>
      </c>
      <c r="K1404" t="s">
        <v>2536</v>
      </c>
      <c r="M1404" s="1" t="s">
        <v>58</v>
      </c>
      <c r="N1404" s="1">
        <v>0</v>
      </c>
      <c r="O1404" s="1" t="s">
        <v>36</v>
      </c>
      <c r="P1404" s="186">
        <v>44965.764398148145</v>
      </c>
      <c r="R1404" s="1">
        <v>22</v>
      </c>
      <c r="T1404" s="1" t="s">
        <v>1160</v>
      </c>
      <c r="U1404" s="186">
        <v>44970.583333333336</v>
      </c>
      <c r="V1404" s="1" t="s">
        <v>41</v>
      </c>
      <c r="W1404" s="1" t="s">
        <v>49</v>
      </c>
    </row>
    <row r="1405" spans="1:23" hidden="1">
      <c r="A1405" s="1">
        <v>9456005</v>
      </c>
      <c r="B1405" s="1" t="s">
        <v>1153</v>
      </c>
      <c r="C1405" t="s">
        <v>2573</v>
      </c>
      <c r="D1405" s="2">
        <v>20234844000414</v>
      </c>
      <c r="E1405" s="2">
        <v>7419141891941</v>
      </c>
      <c r="F1405" s="1" t="s">
        <v>128</v>
      </c>
      <c r="G1405" s="1" t="s">
        <v>53</v>
      </c>
      <c r="H1405" s="1" t="s">
        <v>2574</v>
      </c>
      <c r="I1405" s="1" t="s">
        <v>2575</v>
      </c>
      <c r="J1405" s="1" t="s">
        <v>46</v>
      </c>
      <c r="K1405" t="s">
        <v>129</v>
      </c>
      <c r="M1405" s="1" t="s">
        <v>58</v>
      </c>
      <c r="N1405" s="1">
        <v>0</v>
      </c>
      <c r="O1405" s="1" t="s">
        <v>36</v>
      </c>
      <c r="P1405" s="186">
        <v>44965.756620370368</v>
      </c>
      <c r="R1405" s="1">
        <v>13</v>
      </c>
      <c r="T1405" s="1" t="s">
        <v>238</v>
      </c>
      <c r="U1405" s="186">
        <v>44966.395833333336</v>
      </c>
      <c r="V1405" s="1" t="s">
        <v>41</v>
      </c>
      <c r="W1405" s="1" t="s">
        <v>49</v>
      </c>
    </row>
    <row r="1406" spans="1:23" hidden="1">
      <c r="A1406" s="1">
        <v>9455714</v>
      </c>
      <c r="B1406" s="1" t="s">
        <v>1153</v>
      </c>
      <c r="C1406" t="s">
        <v>2578</v>
      </c>
      <c r="D1406" s="2">
        <v>20230244000007</v>
      </c>
      <c r="E1406" s="2">
        <v>7417210950125</v>
      </c>
      <c r="F1406" s="1" t="s">
        <v>1213</v>
      </c>
      <c r="G1406" s="1" t="s">
        <v>53</v>
      </c>
      <c r="H1406" s="1" t="s">
        <v>2579</v>
      </c>
      <c r="I1406" s="1" t="s">
        <v>2580</v>
      </c>
      <c r="J1406" s="1" t="s">
        <v>56</v>
      </c>
      <c r="K1406" t="s">
        <v>1214</v>
      </c>
      <c r="M1406" s="1" t="s">
        <v>58</v>
      </c>
      <c r="N1406" s="1">
        <v>0</v>
      </c>
      <c r="O1406" s="1" t="s">
        <v>36</v>
      </c>
      <c r="P1406" s="186">
        <v>44965.704652777778</v>
      </c>
      <c r="R1406" s="1">
        <v>14</v>
      </c>
      <c r="T1406" s="1" t="s">
        <v>238</v>
      </c>
      <c r="U1406" s="186">
        <v>44965.704652777778</v>
      </c>
      <c r="V1406" s="1" t="s">
        <v>41</v>
      </c>
      <c r="W1406" s="1" t="s">
        <v>49</v>
      </c>
    </row>
    <row r="1407" spans="1:23" hidden="1">
      <c r="A1407" s="1">
        <v>9455659</v>
      </c>
      <c r="B1407" s="1" t="s">
        <v>62</v>
      </c>
      <c r="C1407" t="s">
        <v>2582</v>
      </c>
      <c r="E1407" s="2">
        <v>3258000206001</v>
      </c>
      <c r="F1407" s="1" t="s">
        <v>29</v>
      </c>
      <c r="G1407" s="1" t="s">
        <v>53</v>
      </c>
      <c r="H1407" s="1" t="s">
        <v>321</v>
      </c>
      <c r="I1407" s="1" t="s">
        <v>322</v>
      </c>
      <c r="J1407" s="1" t="s">
        <v>46</v>
      </c>
      <c r="K1407" t="s">
        <v>34</v>
      </c>
      <c r="M1407" s="1" t="s">
        <v>35</v>
      </c>
      <c r="N1407" s="1">
        <v>42318949</v>
      </c>
      <c r="O1407" s="1" t="s">
        <v>105</v>
      </c>
      <c r="P1407" s="186">
        <v>44965.70653935185</v>
      </c>
      <c r="R1407" s="1" t="s">
        <v>38</v>
      </c>
      <c r="T1407" s="1" t="s">
        <v>74</v>
      </c>
      <c r="U1407" s="186">
        <v>45008.75</v>
      </c>
      <c r="V1407" s="1" t="s">
        <v>41</v>
      </c>
      <c r="W1407" s="1" t="s">
        <v>49</v>
      </c>
    </row>
    <row r="1408" spans="1:23" hidden="1">
      <c r="A1408" s="1">
        <v>9455160</v>
      </c>
      <c r="B1408" s="1" t="s">
        <v>1153</v>
      </c>
      <c r="C1408" t="s">
        <v>2588</v>
      </c>
      <c r="D1408" s="2">
        <v>20234844000411</v>
      </c>
      <c r="E1408" s="2">
        <v>7417183020623</v>
      </c>
      <c r="F1408" s="1" t="s">
        <v>1313</v>
      </c>
      <c r="G1408" s="1" t="s">
        <v>53</v>
      </c>
      <c r="H1408" s="1" t="s">
        <v>2348</v>
      </c>
      <c r="I1408" s="1" t="s">
        <v>2349</v>
      </c>
      <c r="J1408" s="1" t="s">
        <v>46</v>
      </c>
      <c r="K1408" t="s">
        <v>1316</v>
      </c>
      <c r="M1408" s="1" t="s">
        <v>58</v>
      </c>
      <c r="N1408" s="1">
        <v>0</v>
      </c>
      <c r="O1408" s="1" t="s">
        <v>36</v>
      </c>
      <c r="P1408" s="186">
        <v>44965.631886574076</v>
      </c>
      <c r="R1408" s="1">
        <v>13</v>
      </c>
      <c r="T1408" s="1" t="s">
        <v>238</v>
      </c>
      <c r="U1408" s="186">
        <v>44965.631886574076</v>
      </c>
      <c r="V1408" s="1" t="s">
        <v>41</v>
      </c>
      <c r="W1408" s="1" t="s">
        <v>49</v>
      </c>
    </row>
    <row r="1409" spans="1:23" hidden="1">
      <c r="A1409" s="1">
        <v>9454837</v>
      </c>
      <c r="B1409" s="1" t="s">
        <v>1153</v>
      </c>
      <c r="C1409" t="s">
        <v>2590</v>
      </c>
      <c r="D1409" s="2">
        <v>20230115000011</v>
      </c>
      <c r="E1409" s="2">
        <v>7417202020304</v>
      </c>
      <c r="F1409" s="1" t="s">
        <v>1213</v>
      </c>
      <c r="G1409" s="1" t="s">
        <v>53</v>
      </c>
      <c r="H1409" s="1" t="s">
        <v>2591</v>
      </c>
      <c r="I1409" s="1" t="s">
        <v>2592</v>
      </c>
      <c r="J1409" s="1" t="s">
        <v>56</v>
      </c>
      <c r="K1409" t="s">
        <v>1214</v>
      </c>
      <c r="M1409" s="1" t="s">
        <v>58</v>
      </c>
      <c r="N1409" s="1">
        <v>0</v>
      </c>
      <c r="O1409" s="1" t="s">
        <v>36</v>
      </c>
      <c r="P1409" s="186">
        <v>44965.57172453704</v>
      </c>
      <c r="R1409" s="1">
        <v>14</v>
      </c>
      <c r="T1409" s="1" t="s">
        <v>238</v>
      </c>
      <c r="U1409" s="186">
        <v>44965.57172453704</v>
      </c>
      <c r="V1409" s="1" t="s">
        <v>41</v>
      </c>
      <c r="W1409" s="1" t="s">
        <v>49</v>
      </c>
    </row>
    <row r="1410" spans="1:23" hidden="1">
      <c r="A1410" s="1">
        <v>9454830</v>
      </c>
      <c r="B1410" s="1" t="s">
        <v>1153</v>
      </c>
      <c r="C1410" t="s">
        <v>2594</v>
      </c>
      <c r="D1410" s="2">
        <v>20230582000008</v>
      </c>
      <c r="E1410" s="2">
        <v>7417183023985</v>
      </c>
      <c r="F1410" s="1" t="s">
        <v>1313</v>
      </c>
      <c r="G1410" s="1" t="s">
        <v>53</v>
      </c>
      <c r="H1410" s="1" t="s">
        <v>2511</v>
      </c>
      <c r="I1410" s="1" t="s">
        <v>2512</v>
      </c>
      <c r="J1410" s="1" t="s">
        <v>141</v>
      </c>
      <c r="K1410" t="s">
        <v>1316</v>
      </c>
      <c r="M1410" s="1" t="s">
        <v>58</v>
      </c>
      <c r="N1410" s="1">
        <v>0</v>
      </c>
      <c r="O1410" s="1" t="s">
        <v>36</v>
      </c>
      <c r="P1410" s="186">
        <v>44965.574340277781</v>
      </c>
      <c r="R1410" s="1">
        <v>14</v>
      </c>
      <c r="T1410" s="1" t="s">
        <v>238</v>
      </c>
      <c r="U1410" s="186">
        <v>44965.574340277781</v>
      </c>
      <c r="V1410" s="1" t="s">
        <v>41</v>
      </c>
      <c r="W1410" s="1" t="s">
        <v>49</v>
      </c>
    </row>
    <row r="1411" spans="1:23">
      <c r="A1411" s="181">
        <v>9454801</v>
      </c>
      <c r="B1411" s="181" t="s">
        <v>1153</v>
      </c>
      <c r="C1411" s="182" t="s">
        <v>2595</v>
      </c>
      <c r="D1411" s="183"/>
      <c r="E1411" s="183">
        <v>246000206021</v>
      </c>
      <c r="F1411" s="181" t="s">
        <v>103</v>
      </c>
      <c r="G1411" s="181" t="s">
        <v>53</v>
      </c>
      <c r="H1411" s="181" t="s">
        <v>1193</v>
      </c>
      <c r="I1411" s="181" t="s">
        <v>1194</v>
      </c>
      <c r="J1411" s="181" t="s">
        <v>85</v>
      </c>
      <c r="K1411" t="s">
        <v>104</v>
      </c>
      <c r="M1411" s="1" t="s">
        <v>58</v>
      </c>
      <c r="N1411" s="1">
        <v>0</v>
      </c>
      <c r="O1411" s="1" t="s">
        <v>36</v>
      </c>
      <c r="P1411" s="186">
        <v>44965.576979166668</v>
      </c>
      <c r="R1411" s="1" t="s">
        <v>38</v>
      </c>
      <c r="T1411" s="1" t="s">
        <v>74</v>
      </c>
      <c r="U1411" s="186">
        <v>44979.649305555555</v>
      </c>
      <c r="V1411" s="1" t="s">
        <v>41</v>
      </c>
      <c r="W1411" s="1" t="s">
        <v>49</v>
      </c>
    </row>
    <row r="1412" spans="1:23" hidden="1">
      <c r="A1412" s="1">
        <v>9454312</v>
      </c>
      <c r="B1412" s="1" t="s">
        <v>1153</v>
      </c>
      <c r="C1412" t="s">
        <v>2596</v>
      </c>
      <c r="E1412" s="2">
        <v>2529000206001</v>
      </c>
      <c r="F1412" s="1" t="s">
        <v>29</v>
      </c>
      <c r="G1412" s="1" t="s">
        <v>53</v>
      </c>
      <c r="H1412" s="1" t="s">
        <v>355</v>
      </c>
      <c r="I1412" s="1" t="s">
        <v>356</v>
      </c>
      <c r="J1412" s="1" t="s">
        <v>56</v>
      </c>
      <c r="K1412" t="s">
        <v>34</v>
      </c>
      <c r="M1412" s="1" t="s">
        <v>35</v>
      </c>
      <c r="N1412" s="1">
        <v>42318949</v>
      </c>
      <c r="O1412" s="1" t="s">
        <v>36</v>
      </c>
      <c r="P1412" s="186">
        <v>44965.500451388885</v>
      </c>
      <c r="R1412" s="1" t="s">
        <v>38</v>
      </c>
      <c r="T1412" s="1" t="s">
        <v>74</v>
      </c>
      <c r="U1412" s="186">
        <v>44979.604166666664</v>
      </c>
      <c r="V1412" s="1" t="s">
        <v>41</v>
      </c>
      <c r="W1412" s="1" t="s">
        <v>49</v>
      </c>
    </row>
    <row r="1413" spans="1:23" hidden="1">
      <c r="A1413" s="1">
        <v>9453994</v>
      </c>
      <c r="B1413" s="1" t="s">
        <v>1153</v>
      </c>
      <c r="C1413" t="s">
        <v>2600</v>
      </c>
      <c r="E1413" s="2">
        <v>159000206001</v>
      </c>
      <c r="F1413" s="1" t="s">
        <v>29</v>
      </c>
      <c r="G1413" s="1" t="s">
        <v>53</v>
      </c>
      <c r="H1413" s="1" t="s">
        <v>331</v>
      </c>
      <c r="I1413" s="1" t="s">
        <v>332</v>
      </c>
      <c r="J1413" s="1" t="s">
        <v>79</v>
      </c>
      <c r="K1413" t="s">
        <v>34</v>
      </c>
      <c r="M1413" s="1" t="s">
        <v>35</v>
      </c>
      <c r="N1413" s="1">
        <v>42318949</v>
      </c>
      <c r="O1413" s="1" t="s">
        <v>36</v>
      </c>
      <c r="P1413" s="186">
        <v>44965.458784722221</v>
      </c>
      <c r="R1413" s="1" t="s">
        <v>38</v>
      </c>
      <c r="T1413" s="1" t="s">
        <v>74</v>
      </c>
      <c r="U1413" s="186">
        <v>44979.458333333336</v>
      </c>
      <c r="V1413" s="1" t="s">
        <v>41</v>
      </c>
      <c r="W1413" s="1" t="s">
        <v>49</v>
      </c>
    </row>
    <row r="1414" spans="1:23" hidden="1">
      <c r="A1414" s="181">
        <v>9453394</v>
      </c>
      <c r="B1414" s="181" t="s">
        <v>1153</v>
      </c>
      <c r="C1414" s="185" t="s">
        <v>2613</v>
      </c>
      <c r="D1414" s="183"/>
      <c r="E1414" s="183">
        <v>2125000206001</v>
      </c>
      <c r="F1414" s="181" t="s">
        <v>29</v>
      </c>
      <c r="G1414" s="181" t="s">
        <v>53</v>
      </c>
      <c r="H1414" s="181" t="s">
        <v>1399</v>
      </c>
      <c r="I1414" s="181" t="s">
        <v>1400</v>
      </c>
      <c r="J1414" s="181" t="s">
        <v>211</v>
      </c>
      <c r="K1414" t="s">
        <v>34</v>
      </c>
      <c r="M1414" s="1" t="s">
        <v>35</v>
      </c>
      <c r="N1414" s="1">
        <v>42318949</v>
      </c>
      <c r="O1414" s="1" t="s">
        <v>36</v>
      </c>
      <c r="P1414" s="186">
        <v>44965.39634259259</v>
      </c>
      <c r="R1414" s="1" t="s">
        <v>38</v>
      </c>
      <c r="T1414" s="1" t="s">
        <v>74</v>
      </c>
      <c r="U1414" s="186">
        <v>44979.607638888891</v>
      </c>
      <c r="V1414" s="1" t="s">
        <v>41</v>
      </c>
      <c r="W1414" s="1" t="s">
        <v>49</v>
      </c>
    </row>
    <row r="1415" spans="1:23">
      <c r="A1415" s="181">
        <v>9453353</v>
      </c>
      <c r="B1415" s="181" t="s">
        <v>1153</v>
      </c>
      <c r="C1415" s="182" t="s">
        <v>2616</v>
      </c>
      <c r="D1415" s="183"/>
      <c r="E1415" s="183">
        <v>246000206001</v>
      </c>
      <c r="F1415" s="181" t="s">
        <v>29</v>
      </c>
      <c r="G1415" s="181" t="s">
        <v>53</v>
      </c>
      <c r="H1415" s="181" t="s">
        <v>1193</v>
      </c>
      <c r="I1415" s="181" t="s">
        <v>1194</v>
      </c>
      <c r="J1415" s="181" t="s">
        <v>85</v>
      </c>
      <c r="K1415" t="s">
        <v>34</v>
      </c>
      <c r="M1415" s="1" t="s">
        <v>35</v>
      </c>
      <c r="N1415" s="1">
        <v>42318949</v>
      </c>
      <c r="O1415" s="1" t="s">
        <v>36</v>
      </c>
      <c r="P1415" s="186">
        <v>44965.386469907404</v>
      </c>
      <c r="R1415" s="1" t="s">
        <v>38</v>
      </c>
      <c r="T1415" s="1" t="s">
        <v>74</v>
      </c>
      <c r="U1415" s="186">
        <v>44979.75</v>
      </c>
      <c r="V1415" s="1" t="s">
        <v>41</v>
      </c>
      <c r="W1415" s="1" t="s">
        <v>49</v>
      </c>
    </row>
    <row r="1416" spans="1:23" hidden="1">
      <c r="A1416" s="1">
        <v>9453118</v>
      </c>
      <c r="B1416" s="1" t="s">
        <v>1153</v>
      </c>
      <c r="C1416" t="s">
        <v>2619</v>
      </c>
      <c r="E1416" s="2">
        <v>1689000206001</v>
      </c>
      <c r="F1416" s="1" t="s">
        <v>29</v>
      </c>
      <c r="G1416" s="1" t="s">
        <v>53</v>
      </c>
      <c r="H1416" s="1" t="s">
        <v>2117</v>
      </c>
      <c r="I1416" s="1" t="s">
        <v>2118</v>
      </c>
      <c r="J1416" s="1" t="s">
        <v>79</v>
      </c>
      <c r="K1416" t="s">
        <v>34</v>
      </c>
      <c r="M1416" s="1" t="s">
        <v>35</v>
      </c>
      <c r="N1416" s="1">
        <v>42318949</v>
      </c>
      <c r="O1416" s="1" t="s">
        <v>36</v>
      </c>
      <c r="P1416" s="186">
        <v>44965.344780092593</v>
      </c>
      <c r="R1416" s="1" t="s">
        <v>38</v>
      </c>
      <c r="T1416" s="1" t="s">
        <v>74</v>
      </c>
      <c r="U1416" s="186">
        <v>44979.645833333336</v>
      </c>
      <c r="V1416" s="1" t="s">
        <v>41</v>
      </c>
      <c r="W1416" s="1" t="s">
        <v>49</v>
      </c>
    </row>
    <row r="1417" spans="1:23" hidden="1">
      <c r="A1417" s="1">
        <v>9453117</v>
      </c>
      <c r="B1417" s="1" t="s">
        <v>1153</v>
      </c>
      <c r="C1417" t="s">
        <v>2620</v>
      </c>
      <c r="E1417" s="2">
        <v>3924000206001</v>
      </c>
      <c r="F1417" s="1" t="s">
        <v>29</v>
      </c>
      <c r="G1417" s="1" t="s">
        <v>53</v>
      </c>
      <c r="H1417" s="1" t="s">
        <v>153</v>
      </c>
      <c r="I1417" s="1" t="s">
        <v>154</v>
      </c>
      <c r="J1417" s="1" t="s">
        <v>56</v>
      </c>
      <c r="K1417" t="s">
        <v>34</v>
      </c>
      <c r="M1417" s="1" t="s">
        <v>35</v>
      </c>
      <c r="N1417" s="1">
        <v>42318949</v>
      </c>
      <c r="O1417" s="1" t="s">
        <v>36</v>
      </c>
      <c r="P1417" s="186">
        <v>44965.344710648147</v>
      </c>
      <c r="R1417" s="1" t="s">
        <v>38</v>
      </c>
      <c r="T1417" s="1" t="s">
        <v>74</v>
      </c>
      <c r="U1417" s="186">
        <v>44979.708333333336</v>
      </c>
      <c r="V1417" s="1" t="s">
        <v>41</v>
      </c>
      <c r="W1417" s="1" t="s">
        <v>49</v>
      </c>
    </row>
    <row r="1418" spans="1:23" hidden="1">
      <c r="A1418" s="181">
        <v>9460910</v>
      </c>
      <c r="B1418" s="181" t="s">
        <v>1153</v>
      </c>
      <c r="C1418" s="182" t="s">
        <v>2622</v>
      </c>
      <c r="D1418" s="183">
        <v>20230068000017</v>
      </c>
      <c r="E1418" s="183">
        <v>7419141893515</v>
      </c>
      <c r="F1418" s="181" t="s">
        <v>128</v>
      </c>
      <c r="G1418" s="181" t="s">
        <v>53</v>
      </c>
      <c r="H1418" s="181" t="s">
        <v>2623</v>
      </c>
      <c r="I1418" s="181" t="s">
        <v>2624</v>
      </c>
      <c r="J1418" s="181" t="s">
        <v>211</v>
      </c>
      <c r="K1418" t="s">
        <v>129</v>
      </c>
      <c r="M1418" s="1" t="s">
        <v>58</v>
      </c>
      <c r="N1418" s="1">
        <v>0</v>
      </c>
      <c r="O1418" s="1" t="s">
        <v>36</v>
      </c>
      <c r="P1418" s="186">
        <v>44966.774004629631</v>
      </c>
      <c r="R1418" s="1">
        <v>14</v>
      </c>
      <c r="T1418" s="1" t="s">
        <v>238</v>
      </c>
      <c r="U1418" s="186">
        <v>44967.395833333336</v>
      </c>
      <c r="V1418" s="1" t="s">
        <v>41</v>
      </c>
      <c r="W1418" s="1" t="s">
        <v>49</v>
      </c>
    </row>
    <row r="1419" spans="1:23" hidden="1">
      <c r="A1419" s="1">
        <v>9460686</v>
      </c>
      <c r="B1419" s="1" t="s">
        <v>1153</v>
      </c>
      <c r="C1419" t="s">
        <v>2631</v>
      </c>
      <c r="D1419" s="2">
        <v>20234844000425</v>
      </c>
      <c r="E1419" s="2">
        <v>7417163285132</v>
      </c>
      <c r="F1419" s="1" t="s">
        <v>131</v>
      </c>
      <c r="G1419" s="1" t="s">
        <v>53</v>
      </c>
      <c r="H1419" s="1" t="s">
        <v>2632</v>
      </c>
      <c r="I1419" s="1" t="s">
        <v>2633</v>
      </c>
      <c r="J1419" s="1" t="s">
        <v>46</v>
      </c>
      <c r="K1419" t="s">
        <v>132</v>
      </c>
      <c r="M1419" s="1" t="s">
        <v>58</v>
      </c>
      <c r="N1419" s="1">
        <v>0</v>
      </c>
      <c r="O1419" s="1" t="s">
        <v>105</v>
      </c>
      <c r="P1419" s="186">
        <v>44966.720497685186</v>
      </c>
      <c r="R1419" s="1">
        <v>13</v>
      </c>
      <c r="T1419" s="1" t="s">
        <v>238</v>
      </c>
      <c r="U1419" s="186">
        <v>44967.395833333336</v>
      </c>
      <c r="V1419" s="1" t="s">
        <v>41</v>
      </c>
      <c r="W1419" s="1" t="s">
        <v>49</v>
      </c>
    </row>
    <row r="1420" spans="1:23" hidden="1">
      <c r="A1420" s="1">
        <v>9460685</v>
      </c>
      <c r="B1420" s="1" t="s">
        <v>1153</v>
      </c>
      <c r="C1420" t="s">
        <v>2635</v>
      </c>
      <c r="D1420" s="2">
        <v>20234844000424</v>
      </c>
      <c r="E1420" s="2">
        <v>7417163285131</v>
      </c>
      <c r="F1420" s="1" t="s">
        <v>131</v>
      </c>
      <c r="G1420" s="1" t="s">
        <v>53</v>
      </c>
      <c r="H1420" s="1" t="s">
        <v>2632</v>
      </c>
      <c r="I1420" s="1" t="s">
        <v>2633</v>
      </c>
      <c r="J1420" s="1" t="s">
        <v>46</v>
      </c>
      <c r="K1420" t="s">
        <v>132</v>
      </c>
      <c r="M1420" s="1" t="s">
        <v>58</v>
      </c>
      <c r="N1420" s="1">
        <v>0</v>
      </c>
      <c r="O1420" s="1" t="s">
        <v>105</v>
      </c>
      <c r="P1420" s="186">
        <v>44966.719918981478</v>
      </c>
      <c r="R1420" s="1">
        <v>13</v>
      </c>
      <c r="T1420" s="1" t="s">
        <v>238</v>
      </c>
      <c r="U1420" s="186">
        <v>44967.395833333336</v>
      </c>
      <c r="V1420" s="1" t="s">
        <v>41</v>
      </c>
      <c r="W1420" s="1" t="s">
        <v>49</v>
      </c>
    </row>
    <row r="1421" spans="1:23">
      <c r="A1421" s="181">
        <v>9460624</v>
      </c>
      <c r="B1421" s="181" t="s">
        <v>1153</v>
      </c>
      <c r="C1421" s="182" t="s">
        <v>2638</v>
      </c>
      <c r="D1421" s="183"/>
      <c r="E1421" s="183">
        <v>246000206021</v>
      </c>
      <c r="F1421" s="181" t="s">
        <v>103</v>
      </c>
      <c r="G1421" s="181" t="s">
        <v>53</v>
      </c>
      <c r="H1421" s="181" t="s">
        <v>1193</v>
      </c>
      <c r="I1421" s="181" t="s">
        <v>1194</v>
      </c>
      <c r="J1421" s="181" t="s">
        <v>85</v>
      </c>
      <c r="K1421" t="s">
        <v>104</v>
      </c>
      <c r="M1421" s="1" t="s">
        <v>58</v>
      </c>
      <c r="N1421" s="1">
        <v>0</v>
      </c>
      <c r="O1421" s="1" t="s">
        <v>36</v>
      </c>
      <c r="P1421" s="186">
        <v>44966.72855324074</v>
      </c>
      <c r="R1421" s="1" t="s">
        <v>38</v>
      </c>
      <c r="T1421" s="1" t="s">
        <v>74</v>
      </c>
      <c r="U1421" s="186">
        <v>44973.649305555555</v>
      </c>
      <c r="V1421" s="1" t="s">
        <v>41</v>
      </c>
      <c r="W1421" s="1" t="s">
        <v>49</v>
      </c>
    </row>
    <row r="1422" spans="1:23" hidden="1">
      <c r="A1422" s="181">
        <v>9460566</v>
      </c>
      <c r="B1422" s="181" t="s">
        <v>1153</v>
      </c>
      <c r="C1422" s="182" t="s">
        <v>3494</v>
      </c>
      <c r="D1422" s="183"/>
      <c r="E1422" s="183">
        <v>2156000206001</v>
      </c>
      <c r="F1422" s="181" t="s">
        <v>29</v>
      </c>
      <c r="G1422" s="181" t="s">
        <v>53</v>
      </c>
      <c r="H1422" s="181" t="s">
        <v>278</v>
      </c>
      <c r="I1422" s="181" t="s">
        <v>279</v>
      </c>
      <c r="J1422" s="181" t="s">
        <v>211</v>
      </c>
      <c r="K1422" t="s">
        <v>34</v>
      </c>
      <c r="M1422" s="1" t="s">
        <v>35</v>
      </c>
      <c r="N1422" s="1">
        <v>42318949</v>
      </c>
      <c r="O1422" s="1" t="s">
        <v>36</v>
      </c>
      <c r="P1422" s="186">
        <v>44966.719004629631</v>
      </c>
      <c r="R1422" s="1" t="s">
        <v>38</v>
      </c>
      <c r="T1422" s="1" t="s">
        <v>74</v>
      </c>
      <c r="U1422" s="186">
        <v>44984.607638888891</v>
      </c>
      <c r="V1422" s="1" t="s">
        <v>41</v>
      </c>
      <c r="W1422" s="1" t="s">
        <v>49</v>
      </c>
    </row>
    <row r="1423" spans="1:23" hidden="1">
      <c r="A1423" s="1">
        <v>9460442</v>
      </c>
      <c r="B1423" s="1" t="s">
        <v>1153</v>
      </c>
      <c r="C1423" t="s">
        <v>2642</v>
      </c>
      <c r="D1423" s="2">
        <v>20232335000004</v>
      </c>
      <c r="E1423" s="2">
        <v>7419141892794</v>
      </c>
      <c r="F1423" s="1" t="s">
        <v>128</v>
      </c>
      <c r="G1423" s="1" t="s">
        <v>53</v>
      </c>
      <c r="H1423" s="1" t="s">
        <v>2643</v>
      </c>
      <c r="I1423" s="1" t="s">
        <v>2644</v>
      </c>
      <c r="J1423" s="1" t="s">
        <v>110</v>
      </c>
      <c r="K1423" t="s">
        <v>129</v>
      </c>
      <c r="M1423" s="1" t="s">
        <v>58</v>
      </c>
      <c r="N1423" s="1">
        <v>0</v>
      </c>
      <c r="O1423" s="1" t="s">
        <v>36</v>
      </c>
      <c r="P1423" s="186">
        <v>44966.686898148146</v>
      </c>
      <c r="R1423" s="1">
        <v>14</v>
      </c>
      <c r="T1423" s="1" t="s">
        <v>238</v>
      </c>
      <c r="U1423" s="186">
        <v>44966.686898148146</v>
      </c>
      <c r="V1423" s="1" t="s">
        <v>41</v>
      </c>
      <c r="W1423" s="1" t="s">
        <v>49</v>
      </c>
    </row>
    <row r="1424" spans="1:23" hidden="1">
      <c r="A1424" s="1">
        <v>9460375</v>
      </c>
      <c r="B1424" s="1" t="s">
        <v>1153</v>
      </c>
      <c r="C1424" t="s">
        <v>2646</v>
      </c>
      <c r="D1424" s="2">
        <v>20232369000005</v>
      </c>
      <c r="E1424" s="2">
        <v>9600123331814</v>
      </c>
      <c r="F1424" s="1" t="s">
        <v>1997</v>
      </c>
      <c r="G1424" s="1" t="s">
        <v>53</v>
      </c>
      <c r="H1424" s="1" t="s">
        <v>701</v>
      </c>
      <c r="I1424" s="1" t="s">
        <v>702</v>
      </c>
      <c r="J1424" s="1" t="s">
        <v>141</v>
      </c>
      <c r="K1424" t="s">
        <v>2000</v>
      </c>
      <c r="M1424" s="1" t="s">
        <v>58</v>
      </c>
      <c r="N1424" s="1">
        <v>0</v>
      </c>
      <c r="O1424" s="1" t="s">
        <v>36</v>
      </c>
      <c r="P1424" s="186">
        <v>44966.67827546296</v>
      </c>
      <c r="R1424" s="1">
        <v>21</v>
      </c>
      <c r="T1424" s="1" t="s">
        <v>1160</v>
      </c>
      <c r="U1424" s="186">
        <v>44971.386608796296</v>
      </c>
      <c r="V1424" s="1" t="s">
        <v>41</v>
      </c>
      <c r="W1424" s="1" t="s">
        <v>49</v>
      </c>
    </row>
    <row r="1425" spans="1:23" hidden="1">
      <c r="A1425" s="1">
        <v>9460265</v>
      </c>
      <c r="B1425" s="1" t="s">
        <v>1153</v>
      </c>
      <c r="C1425" t="s">
        <v>2649</v>
      </c>
      <c r="E1425" s="2">
        <v>1666000206001</v>
      </c>
      <c r="F1425" s="1" t="s">
        <v>29</v>
      </c>
      <c r="G1425" s="1" t="s">
        <v>53</v>
      </c>
      <c r="H1425" s="1" t="s">
        <v>414</v>
      </c>
      <c r="I1425" s="1" t="s">
        <v>415</v>
      </c>
      <c r="J1425" s="1" t="s">
        <v>79</v>
      </c>
      <c r="K1425" t="s">
        <v>34</v>
      </c>
      <c r="M1425" s="1" t="s">
        <v>35</v>
      </c>
      <c r="N1425" s="1">
        <v>42318949</v>
      </c>
      <c r="O1425" s="1" t="s">
        <v>36</v>
      </c>
      <c r="P1425" s="186">
        <v>44966.677407407406</v>
      </c>
      <c r="R1425" s="1" t="s">
        <v>38</v>
      </c>
      <c r="T1425" s="1" t="s">
        <v>74</v>
      </c>
      <c r="U1425" s="186">
        <v>44979.625</v>
      </c>
      <c r="V1425" s="1" t="s">
        <v>41</v>
      </c>
      <c r="W1425" s="1" t="s">
        <v>49</v>
      </c>
    </row>
    <row r="1426" spans="1:23" hidden="1">
      <c r="A1426" s="1">
        <v>9460188</v>
      </c>
      <c r="B1426" s="1" t="s">
        <v>81</v>
      </c>
      <c r="C1426" t="s">
        <v>2651</v>
      </c>
      <c r="E1426" s="2">
        <v>1902016136000</v>
      </c>
      <c r="F1426" s="1" t="s">
        <v>64</v>
      </c>
      <c r="G1426" s="1" t="s">
        <v>53</v>
      </c>
      <c r="H1426" s="1" t="s">
        <v>303</v>
      </c>
      <c r="I1426" s="1" t="s">
        <v>304</v>
      </c>
      <c r="J1426" s="1" t="s">
        <v>261</v>
      </c>
      <c r="K1426" t="s">
        <v>67</v>
      </c>
      <c r="M1426" s="1" t="s">
        <v>35</v>
      </c>
      <c r="N1426" s="1">
        <v>42318949</v>
      </c>
      <c r="O1426" s="1" t="s">
        <v>105</v>
      </c>
      <c r="P1426" s="186">
        <v>44966.665300925924</v>
      </c>
      <c r="R1426" s="1" t="s">
        <v>571</v>
      </c>
      <c r="T1426" s="1" t="s">
        <v>69</v>
      </c>
      <c r="U1426" s="186">
        <v>44967.665300925924</v>
      </c>
      <c r="V1426" s="1" t="s">
        <v>41</v>
      </c>
      <c r="W1426" s="1" t="s">
        <v>49</v>
      </c>
    </row>
    <row r="1427" spans="1:23" hidden="1">
      <c r="A1427" s="1">
        <v>9460151</v>
      </c>
      <c r="B1427" s="1" t="s">
        <v>1153</v>
      </c>
      <c r="C1427" t="s">
        <v>2654</v>
      </c>
      <c r="D1427" s="2">
        <v>20234844000423</v>
      </c>
      <c r="E1427" s="2">
        <v>7417163284187</v>
      </c>
      <c r="F1427" s="1" t="s">
        <v>131</v>
      </c>
      <c r="G1427" s="1" t="s">
        <v>53</v>
      </c>
      <c r="H1427" s="1" t="s">
        <v>2655</v>
      </c>
      <c r="I1427" s="1" t="s">
        <v>2656</v>
      </c>
      <c r="J1427" s="1" t="s">
        <v>46</v>
      </c>
      <c r="K1427" t="s">
        <v>132</v>
      </c>
      <c r="M1427" s="1" t="s">
        <v>58</v>
      </c>
      <c r="N1427" s="1">
        <v>0</v>
      </c>
      <c r="O1427" s="1" t="s">
        <v>36</v>
      </c>
      <c r="P1427" s="186">
        <v>44966.647581018522</v>
      </c>
      <c r="R1427" s="1">
        <v>13</v>
      </c>
      <c r="T1427" s="1" t="s">
        <v>238</v>
      </c>
      <c r="U1427" s="186">
        <v>44966.647581018522</v>
      </c>
      <c r="V1427" s="1" t="s">
        <v>41</v>
      </c>
      <c r="W1427" s="1" t="s">
        <v>49</v>
      </c>
    </row>
    <row r="1428" spans="1:23" hidden="1">
      <c r="A1428" s="1">
        <v>9460038</v>
      </c>
      <c r="B1428" s="1" t="s">
        <v>62</v>
      </c>
      <c r="C1428" t="s">
        <v>2658</v>
      </c>
      <c r="E1428" s="2">
        <v>5749000203000</v>
      </c>
      <c r="F1428" s="1" t="s">
        <v>454</v>
      </c>
      <c r="G1428" s="1" t="s">
        <v>53</v>
      </c>
      <c r="H1428" s="1" t="s">
        <v>1811</v>
      </c>
      <c r="I1428" s="1" t="s">
        <v>1812</v>
      </c>
      <c r="J1428" s="1" t="s">
        <v>33</v>
      </c>
      <c r="K1428" t="s">
        <v>457</v>
      </c>
      <c r="M1428" s="1" t="s">
        <v>58</v>
      </c>
      <c r="N1428" s="1">
        <v>0</v>
      </c>
      <c r="O1428" s="1" t="s">
        <v>36</v>
      </c>
      <c r="P1428" s="186">
        <v>44966.644861111112</v>
      </c>
      <c r="R1428" s="1">
        <v>1</v>
      </c>
      <c r="T1428" s="1" t="s">
        <v>157</v>
      </c>
      <c r="U1428" s="186">
        <v>45002.75</v>
      </c>
      <c r="V1428" s="1" t="s">
        <v>41</v>
      </c>
      <c r="W1428" s="1" t="s">
        <v>42</v>
      </c>
    </row>
    <row r="1429" spans="1:23" hidden="1">
      <c r="A1429" s="1">
        <v>9459814</v>
      </c>
      <c r="B1429" s="1" t="s">
        <v>1153</v>
      </c>
      <c r="C1429" t="s">
        <v>2662</v>
      </c>
      <c r="D1429" s="2">
        <v>20234844000422</v>
      </c>
      <c r="E1429" s="2">
        <v>7419143321849</v>
      </c>
      <c r="F1429" s="1" t="s">
        <v>1222</v>
      </c>
      <c r="G1429" s="1" t="s">
        <v>53</v>
      </c>
      <c r="H1429" s="1" t="s">
        <v>2663</v>
      </c>
      <c r="I1429" s="1" t="s">
        <v>2664</v>
      </c>
      <c r="J1429" s="1" t="s">
        <v>46</v>
      </c>
      <c r="K1429" t="s">
        <v>1223</v>
      </c>
      <c r="M1429" s="1" t="s">
        <v>58</v>
      </c>
      <c r="N1429" s="1">
        <v>0</v>
      </c>
      <c r="O1429" s="1" t="s">
        <v>36</v>
      </c>
      <c r="P1429" s="186">
        <v>44966.596377314818</v>
      </c>
      <c r="R1429" s="1">
        <v>13</v>
      </c>
      <c r="T1429" s="1" t="s">
        <v>238</v>
      </c>
      <c r="U1429" s="186">
        <v>44966.596377314818</v>
      </c>
      <c r="V1429" s="1" t="s">
        <v>41</v>
      </c>
      <c r="W1429" s="1" t="s">
        <v>49</v>
      </c>
    </row>
    <row r="1430" spans="1:23" hidden="1">
      <c r="A1430" s="1">
        <v>9459750</v>
      </c>
      <c r="B1430" s="1" t="s">
        <v>1153</v>
      </c>
      <c r="C1430" t="s">
        <v>2666</v>
      </c>
      <c r="D1430" s="2">
        <v>230027043</v>
      </c>
      <c r="E1430" s="2">
        <v>2442001400020</v>
      </c>
      <c r="F1430" s="1" t="s">
        <v>1961</v>
      </c>
      <c r="G1430" s="1" t="s">
        <v>53</v>
      </c>
      <c r="H1430" s="1" t="s">
        <v>1956</v>
      </c>
      <c r="I1430" s="1" t="s">
        <v>1957</v>
      </c>
      <c r="J1430" s="1" t="s">
        <v>33</v>
      </c>
      <c r="K1430" t="s">
        <v>1962</v>
      </c>
      <c r="M1430" s="1" t="s">
        <v>58</v>
      </c>
      <c r="N1430" s="1">
        <v>0</v>
      </c>
      <c r="O1430" s="1" t="s">
        <v>36</v>
      </c>
      <c r="P1430" s="186">
        <v>44966.599421296298</v>
      </c>
      <c r="R1430" s="1">
        <v>4</v>
      </c>
      <c r="T1430" s="1" t="s">
        <v>646</v>
      </c>
      <c r="U1430" s="186">
        <v>44984.395833333336</v>
      </c>
      <c r="V1430" s="1" t="s">
        <v>41</v>
      </c>
      <c r="W1430" s="1" t="s">
        <v>42</v>
      </c>
    </row>
    <row r="1431" spans="1:23" hidden="1">
      <c r="A1431" s="1">
        <v>9459631</v>
      </c>
      <c r="B1431" s="1" t="s">
        <v>1153</v>
      </c>
      <c r="C1431" t="s">
        <v>2668</v>
      </c>
      <c r="D1431" s="2">
        <v>20230922000025</v>
      </c>
      <c r="E1431" s="2">
        <v>7417163282959</v>
      </c>
      <c r="F1431" s="1" t="s">
        <v>131</v>
      </c>
      <c r="G1431" s="1" t="s">
        <v>53</v>
      </c>
      <c r="H1431" s="1" t="s">
        <v>2410</v>
      </c>
      <c r="I1431" s="1" t="s">
        <v>2411</v>
      </c>
      <c r="J1431" s="1" t="s">
        <v>261</v>
      </c>
      <c r="K1431" t="s">
        <v>132</v>
      </c>
      <c r="M1431" s="1" t="s">
        <v>58</v>
      </c>
      <c r="N1431" s="1">
        <v>0</v>
      </c>
      <c r="O1431" s="1" t="s">
        <v>36</v>
      </c>
      <c r="P1431" s="186">
        <v>44966.564780092594</v>
      </c>
      <c r="R1431" s="1">
        <v>14</v>
      </c>
      <c r="T1431" s="1" t="s">
        <v>238</v>
      </c>
      <c r="U1431" s="186">
        <v>44966.564780092594</v>
      </c>
      <c r="V1431" s="1" t="s">
        <v>41</v>
      </c>
      <c r="W1431" s="1" t="s">
        <v>49</v>
      </c>
    </row>
    <row r="1432" spans="1:23" hidden="1">
      <c r="A1432" s="175">
        <v>9459559</v>
      </c>
      <c r="B1432" s="175" t="s">
        <v>1153</v>
      </c>
      <c r="C1432" s="176" t="s">
        <v>2670</v>
      </c>
      <c r="D1432" s="177">
        <v>20231059000014</v>
      </c>
      <c r="E1432" s="177">
        <v>7419141893204</v>
      </c>
      <c r="F1432" s="175" t="s">
        <v>128</v>
      </c>
      <c r="G1432" s="175" t="s">
        <v>53</v>
      </c>
      <c r="H1432" s="175" t="s">
        <v>1972</v>
      </c>
      <c r="I1432" s="175" t="s">
        <v>1973</v>
      </c>
      <c r="J1432" s="175" t="s">
        <v>90</v>
      </c>
      <c r="K1432" t="s">
        <v>129</v>
      </c>
      <c r="M1432" s="1" t="s">
        <v>58</v>
      </c>
      <c r="N1432" s="1">
        <v>0</v>
      </c>
      <c r="O1432" s="1" t="s">
        <v>36</v>
      </c>
      <c r="P1432" s="186">
        <v>44966.553587962961</v>
      </c>
      <c r="R1432" s="1">
        <v>14</v>
      </c>
      <c r="T1432" s="1" t="s">
        <v>238</v>
      </c>
      <c r="U1432" s="186">
        <v>44966.553587962961</v>
      </c>
      <c r="V1432" s="1" t="s">
        <v>41</v>
      </c>
      <c r="W1432" s="1" t="s">
        <v>49</v>
      </c>
    </row>
    <row r="1433" spans="1:23" hidden="1">
      <c r="A1433" s="1">
        <v>9459206</v>
      </c>
      <c r="B1433" s="1" t="s">
        <v>1153</v>
      </c>
      <c r="C1433" t="s">
        <v>2672</v>
      </c>
      <c r="E1433" s="2">
        <v>1185000206001</v>
      </c>
      <c r="F1433" s="1" t="s">
        <v>29</v>
      </c>
      <c r="G1433" s="1" t="s">
        <v>53</v>
      </c>
      <c r="H1433" s="1" t="s">
        <v>539</v>
      </c>
      <c r="I1433" s="1" t="s">
        <v>540</v>
      </c>
      <c r="J1433" s="1" t="s">
        <v>33</v>
      </c>
      <c r="K1433" t="s">
        <v>34</v>
      </c>
      <c r="M1433" s="1" t="s">
        <v>35</v>
      </c>
      <c r="N1433" s="1">
        <v>42318949</v>
      </c>
      <c r="O1433" s="1" t="s">
        <v>36</v>
      </c>
      <c r="P1433" s="186">
        <v>44966.510740740741</v>
      </c>
      <c r="R1433" s="1" t="s">
        <v>38</v>
      </c>
      <c r="T1433" s="1" t="s">
        <v>74</v>
      </c>
      <c r="U1433" s="186">
        <v>44979.708333333336</v>
      </c>
      <c r="V1433" s="1" t="s">
        <v>41</v>
      </c>
      <c r="W1433" s="1" t="s">
        <v>42</v>
      </c>
    </row>
    <row r="1434" spans="1:23" hidden="1">
      <c r="A1434" s="1">
        <v>9459203</v>
      </c>
      <c r="B1434" s="1" t="s">
        <v>1153</v>
      </c>
      <c r="C1434" t="s">
        <v>2673</v>
      </c>
      <c r="D1434" s="2">
        <v>230026788</v>
      </c>
      <c r="E1434" s="2">
        <v>2830001400020</v>
      </c>
      <c r="F1434" s="1" t="s">
        <v>1961</v>
      </c>
      <c r="G1434" s="1" t="s">
        <v>53</v>
      </c>
      <c r="H1434" s="1" t="s">
        <v>448</v>
      </c>
      <c r="I1434" s="1" t="s">
        <v>449</v>
      </c>
      <c r="J1434" s="1" t="s">
        <v>33</v>
      </c>
      <c r="K1434" t="s">
        <v>1962</v>
      </c>
      <c r="M1434" s="1" t="s">
        <v>58</v>
      </c>
      <c r="N1434" s="1">
        <v>0</v>
      </c>
      <c r="O1434" s="1" t="s">
        <v>36</v>
      </c>
      <c r="P1434" s="186">
        <v>44966.509722222225</v>
      </c>
      <c r="R1434" s="1">
        <v>4</v>
      </c>
      <c r="T1434" s="1" t="s">
        <v>646</v>
      </c>
      <c r="U1434" s="186">
        <v>44979.645833333336</v>
      </c>
      <c r="V1434" s="1" t="s">
        <v>41</v>
      </c>
      <c r="W1434" s="1" t="s">
        <v>42</v>
      </c>
    </row>
    <row r="1435" spans="1:23" hidden="1">
      <c r="A1435" s="1">
        <v>9459149</v>
      </c>
      <c r="B1435" s="1" t="s">
        <v>1153</v>
      </c>
      <c r="C1435" t="s">
        <v>2674</v>
      </c>
      <c r="E1435" s="2">
        <v>1052000203000</v>
      </c>
      <c r="F1435" s="1" t="s">
        <v>454</v>
      </c>
      <c r="G1435" s="1" t="s">
        <v>53</v>
      </c>
      <c r="H1435" s="1" t="s">
        <v>329</v>
      </c>
      <c r="I1435" s="1" t="s">
        <v>330</v>
      </c>
      <c r="J1435" s="1" t="s">
        <v>79</v>
      </c>
      <c r="K1435" t="s">
        <v>457</v>
      </c>
      <c r="M1435" s="1" t="s">
        <v>58</v>
      </c>
      <c r="N1435" s="1">
        <v>0</v>
      </c>
      <c r="O1435" s="1" t="s">
        <v>36</v>
      </c>
      <c r="P1435" s="186">
        <v>44966.500844907408</v>
      </c>
      <c r="R1435" s="1">
        <v>1</v>
      </c>
      <c r="T1435" s="1" t="s">
        <v>157</v>
      </c>
      <c r="U1435" s="186">
        <v>44967.500844907408</v>
      </c>
      <c r="V1435" s="1" t="s">
        <v>41</v>
      </c>
      <c r="W1435" s="1" t="s">
        <v>49</v>
      </c>
    </row>
    <row r="1436" spans="1:23" hidden="1">
      <c r="A1436" s="181">
        <v>9459066</v>
      </c>
      <c r="B1436" s="181" t="s">
        <v>1153</v>
      </c>
      <c r="C1436" s="185" t="s">
        <v>2675</v>
      </c>
      <c r="D1436" s="183"/>
      <c r="E1436" s="183">
        <v>2437000206001</v>
      </c>
      <c r="F1436" s="181" t="s">
        <v>29</v>
      </c>
      <c r="G1436" s="181" t="s">
        <v>53</v>
      </c>
      <c r="H1436" s="181" t="s">
        <v>416</v>
      </c>
      <c r="I1436" s="181" t="s">
        <v>417</v>
      </c>
      <c r="J1436" s="181" t="s">
        <v>211</v>
      </c>
      <c r="K1436" t="s">
        <v>34</v>
      </c>
      <c r="M1436" s="1" t="s">
        <v>35</v>
      </c>
      <c r="N1436" s="1">
        <v>42318949</v>
      </c>
      <c r="O1436" s="1" t="s">
        <v>36</v>
      </c>
      <c r="P1436" s="186">
        <v>44966.490358796298</v>
      </c>
      <c r="R1436" s="1" t="s">
        <v>38</v>
      </c>
      <c r="T1436" s="1" t="s">
        <v>74</v>
      </c>
      <c r="U1436" s="186">
        <v>44980.607638888891</v>
      </c>
      <c r="V1436" s="1" t="s">
        <v>41</v>
      </c>
      <c r="W1436" s="1" t="s">
        <v>49</v>
      </c>
    </row>
    <row r="1437" spans="1:23" hidden="1">
      <c r="A1437" s="1">
        <v>9459041</v>
      </c>
      <c r="B1437" s="1" t="s">
        <v>1153</v>
      </c>
      <c r="C1437" t="s">
        <v>2676</v>
      </c>
      <c r="D1437" s="2">
        <v>230026759</v>
      </c>
      <c r="E1437" s="2">
        <v>2196001400010</v>
      </c>
      <c r="F1437" s="1" t="s">
        <v>936</v>
      </c>
      <c r="G1437" s="1" t="s">
        <v>53</v>
      </c>
      <c r="H1437" s="1" t="s">
        <v>1252</v>
      </c>
      <c r="I1437" s="1" t="s">
        <v>1253</v>
      </c>
      <c r="J1437" s="1" t="s">
        <v>33</v>
      </c>
      <c r="K1437" t="s">
        <v>937</v>
      </c>
      <c r="M1437" s="1" t="s">
        <v>58</v>
      </c>
      <c r="N1437" s="1">
        <v>0</v>
      </c>
      <c r="O1437" s="1" t="s">
        <v>36</v>
      </c>
      <c r="P1437" s="186">
        <v>44966.486967592595</v>
      </c>
      <c r="R1437" s="1">
        <v>3</v>
      </c>
      <c r="T1437" s="1" t="s">
        <v>646</v>
      </c>
      <c r="U1437" s="186">
        <v>44979.625</v>
      </c>
      <c r="V1437" s="1" t="s">
        <v>41</v>
      </c>
      <c r="W1437" s="1" t="s">
        <v>42</v>
      </c>
    </row>
    <row r="1438" spans="1:23" hidden="1">
      <c r="A1438" s="1">
        <v>9458690</v>
      </c>
      <c r="B1438" s="1" t="s">
        <v>1153</v>
      </c>
      <c r="C1438" t="s">
        <v>2681</v>
      </c>
      <c r="D1438" s="2">
        <v>20234923000060</v>
      </c>
      <c r="E1438" s="2">
        <v>7417202020393</v>
      </c>
      <c r="F1438" s="1" t="s">
        <v>1213</v>
      </c>
      <c r="G1438" s="1" t="s">
        <v>53</v>
      </c>
      <c r="H1438" s="1" t="s">
        <v>2682</v>
      </c>
      <c r="I1438" s="1" t="s">
        <v>2683</v>
      </c>
      <c r="J1438" s="1" t="s">
        <v>46</v>
      </c>
      <c r="K1438" t="s">
        <v>1214</v>
      </c>
      <c r="M1438" s="1" t="s">
        <v>58</v>
      </c>
      <c r="N1438" s="1">
        <v>0</v>
      </c>
      <c r="O1438" s="1" t="s">
        <v>36</v>
      </c>
      <c r="P1438" s="186">
        <v>44966.432384259257</v>
      </c>
      <c r="R1438" s="1">
        <v>13</v>
      </c>
      <c r="T1438" s="1" t="s">
        <v>238</v>
      </c>
      <c r="U1438" s="186">
        <v>44966.432384259257</v>
      </c>
      <c r="V1438" s="1" t="s">
        <v>41</v>
      </c>
      <c r="W1438" s="1" t="s">
        <v>49</v>
      </c>
    </row>
    <row r="1439" spans="1:23" hidden="1">
      <c r="A1439" s="1">
        <v>9458689</v>
      </c>
      <c r="B1439" s="1" t="s">
        <v>1153</v>
      </c>
      <c r="C1439" t="s">
        <v>2684</v>
      </c>
      <c r="D1439" s="2">
        <v>20234923000059</v>
      </c>
      <c r="E1439" s="2">
        <v>7417183022494</v>
      </c>
      <c r="F1439" s="1" t="s">
        <v>1313</v>
      </c>
      <c r="G1439" s="1" t="s">
        <v>53</v>
      </c>
      <c r="H1439" s="1" t="s">
        <v>2685</v>
      </c>
      <c r="I1439" s="1" t="s">
        <v>2686</v>
      </c>
      <c r="J1439" s="1" t="s">
        <v>46</v>
      </c>
      <c r="K1439" t="s">
        <v>1316</v>
      </c>
      <c r="M1439" s="1" t="s">
        <v>58</v>
      </c>
      <c r="N1439" s="1">
        <v>0</v>
      </c>
      <c r="O1439" s="1" t="s">
        <v>36</v>
      </c>
      <c r="P1439" s="186">
        <v>44966.432372685187</v>
      </c>
      <c r="R1439" s="1">
        <v>14</v>
      </c>
      <c r="T1439" s="1" t="s">
        <v>238</v>
      </c>
      <c r="U1439" s="186">
        <v>44966.432372685187</v>
      </c>
      <c r="V1439" s="1" t="s">
        <v>41</v>
      </c>
      <c r="W1439" s="1" t="s">
        <v>49</v>
      </c>
    </row>
    <row r="1440" spans="1:23" hidden="1">
      <c r="A1440" s="1">
        <v>9458608</v>
      </c>
      <c r="B1440" s="1" t="s">
        <v>1153</v>
      </c>
      <c r="C1440" t="s">
        <v>2689</v>
      </c>
      <c r="D1440" s="2">
        <v>20234844000418</v>
      </c>
      <c r="E1440" s="2">
        <v>7417183020621</v>
      </c>
      <c r="F1440" s="1" t="s">
        <v>1313</v>
      </c>
      <c r="G1440" s="1" t="s">
        <v>53</v>
      </c>
      <c r="H1440" s="1" t="s">
        <v>2690</v>
      </c>
      <c r="I1440" s="1" t="s">
        <v>2691</v>
      </c>
      <c r="J1440" s="1" t="s">
        <v>46</v>
      </c>
      <c r="K1440" t="s">
        <v>1316</v>
      </c>
      <c r="M1440" s="1" t="s">
        <v>58</v>
      </c>
      <c r="N1440" s="1">
        <v>0</v>
      </c>
      <c r="O1440" s="1" t="s">
        <v>36</v>
      </c>
      <c r="P1440" s="186">
        <v>44966.416516203702</v>
      </c>
      <c r="R1440" s="1">
        <v>13</v>
      </c>
      <c r="T1440" s="1" t="s">
        <v>238</v>
      </c>
      <c r="U1440" s="186">
        <v>44966.416516203702</v>
      </c>
      <c r="V1440" s="1" t="s">
        <v>41</v>
      </c>
      <c r="W1440" s="1" t="s">
        <v>49</v>
      </c>
    </row>
    <row r="1441" spans="1:23" hidden="1">
      <c r="A1441" s="1">
        <v>9458399</v>
      </c>
      <c r="B1441" s="1" t="s">
        <v>1153</v>
      </c>
      <c r="C1441" t="s">
        <v>2693</v>
      </c>
      <c r="D1441" s="2">
        <v>20232388000002</v>
      </c>
      <c r="E1441" s="2">
        <v>7417172782988</v>
      </c>
      <c r="F1441" s="1" t="s">
        <v>1989</v>
      </c>
      <c r="G1441" s="1" t="s">
        <v>53</v>
      </c>
      <c r="H1441" s="1" t="s">
        <v>299</v>
      </c>
      <c r="I1441" s="1" t="s">
        <v>300</v>
      </c>
      <c r="J1441" s="1" t="s">
        <v>79</v>
      </c>
      <c r="K1441" t="s">
        <v>1990</v>
      </c>
      <c r="M1441" s="1" t="s">
        <v>58</v>
      </c>
      <c r="N1441" s="1">
        <v>0</v>
      </c>
      <c r="O1441" s="1" t="s">
        <v>36</v>
      </c>
      <c r="P1441" s="186">
        <v>44966.396319444444</v>
      </c>
      <c r="R1441" s="1">
        <v>22</v>
      </c>
      <c r="T1441" s="1" t="s">
        <v>1160</v>
      </c>
      <c r="U1441" s="186">
        <v>44970.60465277778</v>
      </c>
      <c r="V1441" s="1" t="s">
        <v>41</v>
      </c>
      <c r="W1441" s="1" t="s">
        <v>49</v>
      </c>
    </row>
    <row r="1442" spans="1:23" hidden="1">
      <c r="A1442" s="1">
        <v>9458312</v>
      </c>
      <c r="B1442" s="1" t="s">
        <v>1153</v>
      </c>
      <c r="C1442" t="s">
        <v>2694</v>
      </c>
      <c r="D1442" s="2">
        <v>20232442000020</v>
      </c>
      <c r="E1442" s="2">
        <v>7417163283361</v>
      </c>
      <c r="F1442" s="1" t="s">
        <v>131</v>
      </c>
      <c r="G1442" s="1" t="s">
        <v>53</v>
      </c>
      <c r="H1442" s="1" t="s">
        <v>2489</v>
      </c>
      <c r="I1442" s="1" t="s">
        <v>2490</v>
      </c>
      <c r="J1442" s="1" t="s">
        <v>33</v>
      </c>
      <c r="K1442" t="s">
        <v>132</v>
      </c>
      <c r="M1442" s="1" t="s">
        <v>58</v>
      </c>
      <c r="N1442" s="1">
        <v>0</v>
      </c>
      <c r="O1442" s="1" t="s">
        <v>36</v>
      </c>
      <c r="P1442" s="186">
        <v>44966.383148148147</v>
      </c>
      <c r="R1442" s="1">
        <v>15</v>
      </c>
      <c r="T1442" s="1" t="s">
        <v>238</v>
      </c>
      <c r="U1442" s="186">
        <v>44966.416666666664</v>
      </c>
      <c r="V1442" s="1" t="s">
        <v>41</v>
      </c>
      <c r="W1442" s="1" t="s">
        <v>42</v>
      </c>
    </row>
    <row r="1443" spans="1:23" hidden="1">
      <c r="A1443" s="1">
        <v>9458173</v>
      </c>
      <c r="B1443" s="1" t="s">
        <v>1153</v>
      </c>
      <c r="C1443" t="s">
        <v>2697</v>
      </c>
      <c r="D1443" s="2">
        <v>20234804001469</v>
      </c>
      <c r="E1443" s="2">
        <v>7417193471170</v>
      </c>
      <c r="F1443" s="1" t="s">
        <v>2698</v>
      </c>
      <c r="G1443" s="1" t="s">
        <v>53</v>
      </c>
      <c r="H1443" s="1" t="s">
        <v>2699</v>
      </c>
      <c r="I1443" s="1" t="s">
        <v>2700</v>
      </c>
      <c r="J1443" s="1" t="s">
        <v>46</v>
      </c>
      <c r="K1443" t="s">
        <v>2701</v>
      </c>
      <c r="M1443" s="1" t="s">
        <v>58</v>
      </c>
      <c r="N1443" s="1">
        <v>0</v>
      </c>
      <c r="O1443" s="1" t="s">
        <v>36</v>
      </c>
      <c r="P1443" s="186">
        <v>44966.365173611113</v>
      </c>
      <c r="R1443" s="1">
        <v>13</v>
      </c>
      <c r="S1443" s="1">
        <v>4804</v>
      </c>
      <c r="T1443" s="1" t="s">
        <v>238</v>
      </c>
      <c r="U1443" s="186">
        <v>44966.395833333336</v>
      </c>
      <c r="V1443" s="1" t="s">
        <v>41</v>
      </c>
      <c r="W1443" s="1" t="s">
        <v>49</v>
      </c>
    </row>
    <row r="1444" spans="1:23" hidden="1">
      <c r="A1444" s="1">
        <v>9457892</v>
      </c>
      <c r="B1444" s="1" t="s">
        <v>1153</v>
      </c>
      <c r="C1444" t="s">
        <v>2703</v>
      </c>
      <c r="E1444" s="2">
        <v>1264000206001</v>
      </c>
      <c r="F1444" s="1" t="s">
        <v>29</v>
      </c>
      <c r="G1444" s="1" t="s">
        <v>53</v>
      </c>
      <c r="H1444" s="1" t="s">
        <v>351</v>
      </c>
      <c r="I1444" s="1" t="s">
        <v>352</v>
      </c>
      <c r="J1444" s="1" t="s">
        <v>110</v>
      </c>
      <c r="K1444" t="s">
        <v>34</v>
      </c>
      <c r="M1444" s="1" t="s">
        <v>35</v>
      </c>
      <c r="N1444" s="1">
        <v>42318949</v>
      </c>
      <c r="O1444" s="1" t="s">
        <v>36</v>
      </c>
      <c r="P1444" s="186">
        <v>44966.334363425929</v>
      </c>
      <c r="R1444" s="1" t="s">
        <v>38</v>
      </c>
      <c r="T1444" s="1" t="s">
        <v>74</v>
      </c>
      <c r="U1444" s="186">
        <v>44984.708333333336</v>
      </c>
      <c r="V1444" s="1" t="s">
        <v>41</v>
      </c>
      <c r="W1444" s="1" t="s">
        <v>49</v>
      </c>
    </row>
    <row r="1445" spans="1:23" hidden="1">
      <c r="A1445" s="173">
        <v>9465880</v>
      </c>
      <c r="B1445" s="173" t="s">
        <v>1153</v>
      </c>
      <c r="C1445" s="178" t="s">
        <v>3495</v>
      </c>
      <c r="D1445" s="174">
        <v>230027811</v>
      </c>
      <c r="E1445" s="174">
        <v>68001400030</v>
      </c>
      <c r="F1445" s="173" t="s">
        <v>647</v>
      </c>
      <c r="G1445" s="173" t="s">
        <v>53</v>
      </c>
      <c r="H1445" s="173" t="s">
        <v>1330</v>
      </c>
      <c r="I1445" s="173" t="s">
        <v>1331</v>
      </c>
      <c r="J1445" s="173" t="s">
        <v>211</v>
      </c>
      <c r="K1445" t="s">
        <v>650</v>
      </c>
      <c r="M1445" s="1" t="s">
        <v>58</v>
      </c>
      <c r="N1445" s="1">
        <v>0</v>
      </c>
      <c r="O1445" s="1" t="s">
        <v>36</v>
      </c>
      <c r="P1445" s="186">
        <v>44967.801388888889</v>
      </c>
      <c r="R1445" s="1">
        <v>4</v>
      </c>
      <c r="T1445" s="1" t="s">
        <v>646</v>
      </c>
      <c r="U1445" s="186">
        <v>44981.708333333336</v>
      </c>
      <c r="V1445" s="1" t="s">
        <v>41</v>
      </c>
      <c r="W1445" s="1" t="s">
        <v>49</v>
      </c>
    </row>
    <row r="1446" spans="1:23" hidden="1">
      <c r="A1446" s="173">
        <v>9465855</v>
      </c>
      <c r="B1446" s="173" t="s">
        <v>1153</v>
      </c>
      <c r="C1446" s="178" t="s">
        <v>3496</v>
      </c>
      <c r="D1446" s="174">
        <v>230027810</v>
      </c>
      <c r="E1446" s="174">
        <v>68001400030</v>
      </c>
      <c r="F1446" s="173" t="s">
        <v>647</v>
      </c>
      <c r="G1446" s="173" t="s">
        <v>53</v>
      </c>
      <c r="H1446" s="173" t="s">
        <v>1330</v>
      </c>
      <c r="I1446" s="173" t="s">
        <v>1331</v>
      </c>
      <c r="J1446" s="173" t="s">
        <v>211</v>
      </c>
      <c r="K1446" t="s">
        <v>650</v>
      </c>
      <c r="M1446" s="1" t="s">
        <v>58</v>
      </c>
      <c r="N1446" s="1">
        <v>0</v>
      </c>
      <c r="O1446" s="1" t="s">
        <v>36</v>
      </c>
      <c r="P1446" s="186">
        <v>44967.795138888891</v>
      </c>
      <c r="R1446" s="1">
        <v>4</v>
      </c>
      <c r="T1446" s="1" t="s">
        <v>646</v>
      </c>
      <c r="U1446" s="186">
        <v>44981.708333333336</v>
      </c>
      <c r="V1446" s="1" t="s">
        <v>41</v>
      </c>
      <c r="W1446" s="1" t="s">
        <v>49</v>
      </c>
    </row>
    <row r="1447" spans="1:23" hidden="1">
      <c r="A1447" s="1">
        <v>9465602</v>
      </c>
      <c r="B1447" s="1" t="s">
        <v>1153</v>
      </c>
      <c r="C1447" t="s">
        <v>2708</v>
      </c>
      <c r="D1447" s="2">
        <v>230027784</v>
      </c>
      <c r="E1447" s="2">
        <v>2335001400030</v>
      </c>
      <c r="F1447" s="1" t="s">
        <v>647</v>
      </c>
      <c r="G1447" s="1" t="s">
        <v>53</v>
      </c>
      <c r="H1447" s="1" t="s">
        <v>194</v>
      </c>
      <c r="I1447" s="1" t="s">
        <v>195</v>
      </c>
      <c r="J1447" s="1" t="s">
        <v>261</v>
      </c>
      <c r="K1447" t="s">
        <v>650</v>
      </c>
      <c r="M1447" s="1" t="s">
        <v>58</v>
      </c>
      <c r="N1447" s="1">
        <v>0</v>
      </c>
      <c r="O1447" s="1" t="s">
        <v>36</v>
      </c>
      <c r="P1447" s="186">
        <v>44967.730555555558</v>
      </c>
      <c r="R1447" s="1">
        <v>4</v>
      </c>
      <c r="T1447" s="1" t="s">
        <v>646</v>
      </c>
      <c r="U1447" s="186">
        <v>44973.729166666664</v>
      </c>
      <c r="V1447" s="1" t="s">
        <v>41</v>
      </c>
      <c r="W1447" s="1" t="s">
        <v>49</v>
      </c>
    </row>
    <row r="1448" spans="1:23" hidden="1">
      <c r="A1448" s="1">
        <v>9465360</v>
      </c>
      <c r="B1448" s="1" t="s">
        <v>1153</v>
      </c>
      <c r="C1448" t="s">
        <v>2714</v>
      </c>
      <c r="E1448" s="2">
        <v>2196000203000</v>
      </c>
      <c r="F1448" s="1" t="s">
        <v>454</v>
      </c>
      <c r="G1448" s="1" t="s">
        <v>53</v>
      </c>
      <c r="H1448" s="1" t="s">
        <v>1252</v>
      </c>
      <c r="I1448" s="1" t="s">
        <v>1253</v>
      </c>
      <c r="J1448" s="1" t="s">
        <v>33</v>
      </c>
      <c r="K1448" t="s">
        <v>457</v>
      </c>
      <c r="M1448" s="1" t="s">
        <v>58</v>
      </c>
      <c r="N1448" s="1">
        <v>0</v>
      </c>
      <c r="O1448" s="1" t="s">
        <v>36</v>
      </c>
      <c r="P1448" s="186">
        <v>44967.698298611111</v>
      </c>
      <c r="R1448" s="1">
        <v>1</v>
      </c>
      <c r="T1448" s="1" t="s">
        <v>157</v>
      </c>
      <c r="U1448" s="186">
        <v>44968.698298611111</v>
      </c>
      <c r="V1448" s="1" t="s">
        <v>41</v>
      </c>
      <c r="W1448" s="1" t="s">
        <v>42</v>
      </c>
    </row>
    <row r="1449" spans="1:23" hidden="1">
      <c r="A1449" s="1">
        <v>9465308</v>
      </c>
      <c r="B1449" s="1" t="s">
        <v>1153</v>
      </c>
      <c r="C1449" t="s">
        <v>2715</v>
      </c>
      <c r="D1449" s="2">
        <v>20230233000016</v>
      </c>
      <c r="E1449" s="2">
        <v>7417161480635</v>
      </c>
      <c r="F1449" s="1" t="s">
        <v>1979</v>
      </c>
      <c r="G1449" s="1" t="s">
        <v>53</v>
      </c>
      <c r="H1449" s="1" t="s">
        <v>2716</v>
      </c>
      <c r="I1449" s="1" t="s">
        <v>2717</v>
      </c>
      <c r="J1449" s="1" t="s">
        <v>261</v>
      </c>
      <c r="K1449" t="s">
        <v>1982</v>
      </c>
      <c r="M1449" s="1" t="s">
        <v>58</v>
      </c>
      <c r="N1449" s="1">
        <v>0</v>
      </c>
      <c r="O1449" s="1" t="s">
        <v>36</v>
      </c>
      <c r="P1449" s="186">
        <v>44967.674456018518</v>
      </c>
      <c r="R1449" s="1">
        <v>14</v>
      </c>
      <c r="T1449" s="1" t="s">
        <v>238</v>
      </c>
      <c r="U1449" s="186">
        <v>44967.674456018518</v>
      </c>
      <c r="V1449" s="1" t="s">
        <v>41</v>
      </c>
      <c r="W1449" s="1" t="s">
        <v>49</v>
      </c>
    </row>
    <row r="1450" spans="1:23" hidden="1">
      <c r="A1450" s="1">
        <v>9465233</v>
      </c>
      <c r="B1450" s="1" t="s">
        <v>1153</v>
      </c>
      <c r="C1450" t="s">
        <v>2719</v>
      </c>
      <c r="D1450" s="2">
        <v>20234844000434</v>
      </c>
      <c r="E1450" s="2">
        <v>7417161483730</v>
      </c>
      <c r="F1450" s="1" t="s">
        <v>1217</v>
      </c>
      <c r="G1450" s="1" t="s">
        <v>53</v>
      </c>
      <c r="H1450" s="1" t="s">
        <v>2632</v>
      </c>
      <c r="I1450" s="1" t="s">
        <v>2633</v>
      </c>
      <c r="J1450" s="1" t="s">
        <v>46</v>
      </c>
      <c r="K1450" t="s">
        <v>1218</v>
      </c>
      <c r="M1450" s="1" t="s">
        <v>58</v>
      </c>
      <c r="N1450" s="1">
        <v>0</v>
      </c>
      <c r="O1450" s="1" t="s">
        <v>105</v>
      </c>
      <c r="P1450" s="186">
        <v>44967.662662037037</v>
      </c>
      <c r="R1450" s="1">
        <v>13</v>
      </c>
      <c r="T1450" s="1" t="s">
        <v>238</v>
      </c>
      <c r="U1450" s="186">
        <v>44967.662662037037</v>
      </c>
      <c r="V1450" s="1" t="s">
        <v>41</v>
      </c>
      <c r="W1450" s="1" t="s">
        <v>49</v>
      </c>
    </row>
    <row r="1451" spans="1:23" hidden="1">
      <c r="A1451" s="181">
        <v>9465184</v>
      </c>
      <c r="B1451" s="181" t="s">
        <v>1153</v>
      </c>
      <c r="C1451" s="182" t="s">
        <v>3497</v>
      </c>
      <c r="D1451" s="183"/>
      <c r="E1451" s="183">
        <v>9705000206001</v>
      </c>
      <c r="F1451" s="181" t="s">
        <v>29</v>
      </c>
      <c r="G1451" s="181" t="s">
        <v>53</v>
      </c>
      <c r="H1451" s="181" t="s">
        <v>204</v>
      </c>
      <c r="I1451" s="181" t="s">
        <v>205</v>
      </c>
      <c r="J1451" s="181" t="s">
        <v>90</v>
      </c>
      <c r="K1451" t="s">
        <v>34</v>
      </c>
      <c r="M1451" s="1" t="s">
        <v>35</v>
      </c>
      <c r="N1451" s="1">
        <v>42318949</v>
      </c>
      <c r="O1451" s="1" t="s">
        <v>36</v>
      </c>
      <c r="P1451" s="186">
        <v>44967.677407407406</v>
      </c>
      <c r="R1451" s="1" t="s">
        <v>38</v>
      </c>
      <c r="T1451" s="1" t="s">
        <v>74</v>
      </c>
      <c r="U1451" s="186">
        <v>44979.607638888891</v>
      </c>
      <c r="V1451" s="1" t="s">
        <v>41</v>
      </c>
      <c r="W1451" s="1" t="s">
        <v>49</v>
      </c>
    </row>
    <row r="1452" spans="1:23" hidden="1">
      <c r="A1452" s="1">
        <v>9465182</v>
      </c>
      <c r="B1452" s="1" t="s">
        <v>1153</v>
      </c>
      <c r="C1452" t="s">
        <v>2721</v>
      </c>
      <c r="D1452" s="2">
        <v>230027724</v>
      </c>
      <c r="E1452" s="2">
        <v>1049001400010</v>
      </c>
      <c r="F1452" s="1" t="s">
        <v>936</v>
      </c>
      <c r="G1452" s="1" t="s">
        <v>53</v>
      </c>
      <c r="H1452" s="1" t="s">
        <v>169</v>
      </c>
      <c r="I1452" s="1" t="s">
        <v>170</v>
      </c>
      <c r="J1452" s="1" t="s">
        <v>164</v>
      </c>
      <c r="K1452" t="s">
        <v>937</v>
      </c>
      <c r="M1452" s="1" t="s">
        <v>58</v>
      </c>
      <c r="N1452" s="1">
        <v>0</v>
      </c>
      <c r="O1452" s="1" t="s">
        <v>105</v>
      </c>
      <c r="P1452" s="186">
        <v>44967.676388888889</v>
      </c>
      <c r="R1452" s="1">
        <v>3</v>
      </c>
      <c r="T1452" s="1" t="s">
        <v>646</v>
      </c>
      <c r="U1452" s="186">
        <v>44974.447222222225</v>
      </c>
      <c r="V1452" s="1" t="s">
        <v>41</v>
      </c>
      <c r="W1452" s="1" t="s">
        <v>49</v>
      </c>
    </row>
    <row r="1453" spans="1:23" hidden="1">
      <c r="A1453" s="1">
        <v>9465086</v>
      </c>
      <c r="B1453" s="1" t="s">
        <v>1153</v>
      </c>
      <c r="C1453" t="s">
        <v>2725</v>
      </c>
      <c r="E1453" s="2">
        <v>2802000203000</v>
      </c>
      <c r="F1453" s="1" t="s">
        <v>454</v>
      </c>
      <c r="G1453" s="1" t="s">
        <v>53</v>
      </c>
      <c r="H1453" s="1" t="s">
        <v>388</v>
      </c>
      <c r="I1453" s="1" t="s">
        <v>389</v>
      </c>
      <c r="J1453" s="1" t="s">
        <v>46</v>
      </c>
      <c r="K1453" t="s">
        <v>457</v>
      </c>
      <c r="M1453" s="1" t="s">
        <v>58</v>
      </c>
      <c r="N1453" s="1">
        <v>0</v>
      </c>
      <c r="O1453" s="1" t="s">
        <v>36</v>
      </c>
      <c r="P1453" s="186">
        <v>44967.657002314816</v>
      </c>
      <c r="R1453" s="1">
        <v>1</v>
      </c>
      <c r="T1453" s="1" t="s">
        <v>157</v>
      </c>
      <c r="U1453" s="186">
        <v>44968.657002314816</v>
      </c>
      <c r="V1453" s="1" t="s">
        <v>41</v>
      </c>
      <c r="W1453" s="1" t="s">
        <v>49</v>
      </c>
    </row>
    <row r="1454" spans="1:23" hidden="1">
      <c r="A1454" s="1">
        <v>9464931</v>
      </c>
      <c r="B1454" s="1" t="s">
        <v>1153</v>
      </c>
      <c r="C1454" t="s">
        <v>2726</v>
      </c>
      <c r="D1454" s="2">
        <v>230027675</v>
      </c>
      <c r="E1454" s="2">
        <v>2257001400010</v>
      </c>
      <c r="F1454" s="1" t="s">
        <v>936</v>
      </c>
      <c r="G1454" s="1" t="s">
        <v>53</v>
      </c>
      <c r="H1454" s="1" t="s">
        <v>381</v>
      </c>
      <c r="I1454" s="1" t="s">
        <v>382</v>
      </c>
      <c r="J1454" s="1" t="s">
        <v>110</v>
      </c>
      <c r="K1454" t="s">
        <v>937</v>
      </c>
      <c r="M1454" s="1" t="s">
        <v>58</v>
      </c>
      <c r="N1454" s="1">
        <v>0</v>
      </c>
      <c r="O1454" s="1" t="s">
        <v>36</v>
      </c>
      <c r="P1454" s="186">
        <v>44967.634722222225</v>
      </c>
      <c r="R1454" s="1">
        <v>3</v>
      </c>
      <c r="T1454" s="1" t="s">
        <v>646</v>
      </c>
      <c r="U1454" s="186">
        <v>44979.6875</v>
      </c>
      <c r="V1454" s="1" t="s">
        <v>41</v>
      </c>
      <c r="W1454" s="1" t="s">
        <v>49</v>
      </c>
    </row>
    <row r="1455" spans="1:23" hidden="1">
      <c r="A1455" s="1">
        <v>9464783</v>
      </c>
      <c r="B1455" s="1" t="s">
        <v>1153</v>
      </c>
      <c r="C1455" t="s">
        <v>2728</v>
      </c>
      <c r="D1455" s="2">
        <v>20230721000020</v>
      </c>
      <c r="E1455" s="2">
        <v>7417172784707</v>
      </c>
      <c r="F1455" s="1" t="s">
        <v>1989</v>
      </c>
      <c r="G1455" s="1" t="s">
        <v>53</v>
      </c>
      <c r="H1455" s="1" t="s">
        <v>422</v>
      </c>
      <c r="I1455" s="1" t="s">
        <v>423</v>
      </c>
      <c r="J1455" s="1" t="s">
        <v>79</v>
      </c>
      <c r="K1455" t="s">
        <v>1990</v>
      </c>
      <c r="M1455" s="1" t="s">
        <v>58</v>
      </c>
      <c r="N1455" s="1">
        <v>0</v>
      </c>
      <c r="O1455" s="1" t="s">
        <v>105</v>
      </c>
      <c r="P1455" s="186">
        <v>44967.604594907411</v>
      </c>
      <c r="R1455" s="1">
        <v>22</v>
      </c>
      <c r="T1455" s="1" t="s">
        <v>1160</v>
      </c>
      <c r="U1455" s="186">
        <v>44972.437928240739</v>
      </c>
      <c r="V1455" s="1" t="s">
        <v>41</v>
      </c>
      <c r="W1455" s="1" t="s">
        <v>49</v>
      </c>
    </row>
    <row r="1456" spans="1:23" hidden="1">
      <c r="A1456" s="1">
        <v>9464595</v>
      </c>
      <c r="B1456" s="1" t="s">
        <v>81</v>
      </c>
      <c r="C1456" t="s">
        <v>2733</v>
      </c>
      <c r="E1456" s="2">
        <v>2564000206001</v>
      </c>
      <c r="F1456" s="1" t="s">
        <v>29</v>
      </c>
      <c r="G1456" s="1" t="s">
        <v>53</v>
      </c>
      <c r="H1456" s="1" t="s">
        <v>255</v>
      </c>
      <c r="I1456" s="1" t="s">
        <v>256</v>
      </c>
      <c r="J1456" s="1" t="s">
        <v>164</v>
      </c>
      <c r="K1456" t="s">
        <v>34</v>
      </c>
      <c r="M1456" s="1" t="s">
        <v>35</v>
      </c>
      <c r="N1456" s="1">
        <v>42318949</v>
      </c>
      <c r="O1456" s="1" t="s">
        <v>105</v>
      </c>
      <c r="P1456" s="186">
        <v>44967.590173611112</v>
      </c>
      <c r="R1456" s="1" t="s">
        <v>38</v>
      </c>
      <c r="T1456" s="1" t="s">
        <v>74</v>
      </c>
      <c r="U1456" s="186">
        <v>44968.590173611112</v>
      </c>
      <c r="V1456" s="1" t="s">
        <v>41</v>
      </c>
      <c r="W1456" s="1" t="s">
        <v>49</v>
      </c>
    </row>
    <row r="1457" spans="1:23" hidden="1">
      <c r="A1457" s="1">
        <v>9464594</v>
      </c>
      <c r="B1457" s="1" t="s">
        <v>81</v>
      </c>
      <c r="C1457" t="s">
        <v>2733</v>
      </c>
      <c r="E1457" s="2">
        <v>2559000206001</v>
      </c>
      <c r="F1457" s="1" t="s">
        <v>29</v>
      </c>
      <c r="G1457" s="1" t="s">
        <v>53</v>
      </c>
      <c r="H1457" s="1" t="s">
        <v>259</v>
      </c>
      <c r="I1457" s="1" t="s">
        <v>260</v>
      </c>
      <c r="J1457" s="1" t="s">
        <v>261</v>
      </c>
      <c r="K1457" t="s">
        <v>34</v>
      </c>
      <c r="M1457" s="1" t="s">
        <v>35</v>
      </c>
      <c r="N1457" s="1">
        <v>42318949</v>
      </c>
      <c r="O1457" s="1" t="s">
        <v>105</v>
      </c>
      <c r="P1457" s="186">
        <v>44967.590173611112</v>
      </c>
      <c r="R1457" s="1" t="s">
        <v>38</v>
      </c>
      <c r="T1457" s="1" t="s">
        <v>74</v>
      </c>
      <c r="U1457" s="186">
        <v>44968.590173611112</v>
      </c>
      <c r="V1457" s="1" t="s">
        <v>41</v>
      </c>
      <c r="W1457" s="1" t="s">
        <v>49</v>
      </c>
    </row>
    <row r="1458" spans="1:23" hidden="1">
      <c r="A1458" s="1">
        <v>9464591</v>
      </c>
      <c r="B1458" s="1" t="s">
        <v>81</v>
      </c>
      <c r="C1458" t="s">
        <v>2733</v>
      </c>
      <c r="E1458" s="2">
        <v>2257000206001</v>
      </c>
      <c r="F1458" s="1" t="s">
        <v>29</v>
      </c>
      <c r="G1458" s="1" t="s">
        <v>53</v>
      </c>
      <c r="H1458" s="1" t="s">
        <v>381</v>
      </c>
      <c r="I1458" s="1" t="s">
        <v>382</v>
      </c>
      <c r="J1458" s="1" t="s">
        <v>110</v>
      </c>
      <c r="K1458" t="s">
        <v>34</v>
      </c>
      <c r="M1458" s="1" t="s">
        <v>35</v>
      </c>
      <c r="N1458" s="1">
        <v>42318949</v>
      </c>
      <c r="O1458" s="1" t="s">
        <v>105</v>
      </c>
      <c r="P1458" s="186">
        <v>44967.590162037035</v>
      </c>
      <c r="R1458" s="1" t="s">
        <v>38</v>
      </c>
      <c r="T1458" s="1" t="s">
        <v>74</v>
      </c>
      <c r="U1458" s="186">
        <v>44968.590162037035</v>
      </c>
      <c r="V1458" s="1" t="s">
        <v>41</v>
      </c>
      <c r="W1458" s="1" t="s">
        <v>49</v>
      </c>
    </row>
    <row r="1459" spans="1:23" hidden="1">
      <c r="A1459" s="1">
        <v>9464589</v>
      </c>
      <c r="B1459" s="1" t="s">
        <v>81</v>
      </c>
      <c r="C1459" t="s">
        <v>2733</v>
      </c>
      <c r="E1459" s="2">
        <v>2156000206001</v>
      </c>
      <c r="F1459" s="1" t="s">
        <v>29</v>
      </c>
      <c r="G1459" s="1" t="s">
        <v>53</v>
      </c>
      <c r="H1459" s="1" t="s">
        <v>278</v>
      </c>
      <c r="I1459" s="1" t="s">
        <v>279</v>
      </c>
      <c r="J1459" s="1" t="s">
        <v>211</v>
      </c>
      <c r="K1459" t="s">
        <v>34</v>
      </c>
      <c r="M1459" s="1" t="s">
        <v>35</v>
      </c>
      <c r="N1459" s="1">
        <v>42318949</v>
      </c>
      <c r="O1459" s="1" t="s">
        <v>105</v>
      </c>
      <c r="P1459" s="186">
        <v>44967.590162037035</v>
      </c>
      <c r="R1459" s="1" t="s">
        <v>38</v>
      </c>
      <c r="T1459" s="1" t="s">
        <v>74</v>
      </c>
      <c r="U1459" s="186">
        <v>44968.590162037035</v>
      </c>
      <c r="V1459" s="1" t="s">
        <v>41</v>
      </c>
      <c r="W1459" s="1" t="s">
        <v>49</v>
      </c>
    </row>
    <row r="1460" spans="1:23" hidden="1">
      <c r="A1460" s="1">
        <v>9464575</v>
      </c>
      <c r="B1460" s="1" t="s">
        <v>81</v>
      </c>
      <c r="C1460" t="s">
        <v>2733</v>
      </c>
      <c r="E1460" s="2">
        <v>582000206001</v>
      </c>
      <c r="F1460" s="1" t="s">
        <v>29</v>
      </c>
      <c r="G1460" s="1" t="s">
        <v>53</v>
      </c>
      <c r="H1460" s="1" t="s">
        <v>139</v>
      </c>
      <c r="I1460" s="1" t="s">
        <v>140</v>
      </c>
      <c r="J1460" s="1" t="s">
        <v>141</v>
      </c>
      <c r="K1460" t="s">
        <v>34</v>
      </c>
      <c r="M1460" s="1" t="s">
        <v>35</v>
      </c>
      <c r="N1460" s="1">
        <v>42318949</v>
      </c>
      <c r="O1460" s="1" t="s">
        <v>105</v>
      </c>
      <c r="P1460" s="186">
        <v>44967.590138888889</v>
      </c>
      <c r="R1460" s="1" t="s">
        <v>38</v>
      </c>
      <c r="T1460" s="1" t="s">
        <v>74</v>
      </c>
      <c r="U1460" s="186">
        <v>44968.590138888889</v>
      </c>
      <c r="V1460" s="1" t="s">
        <v>41</v>
      </c>
      <c r="W1460" s="1" t="s">
        <v>49</v>
      </c>
    </row>
    <row r="1461" spans="1:23" hidden="1">
      <c r="A1461" s="1">
        <v>9464504</v>
      </c>
      <c r="B1461" s="1" t="s">
        <v>81</v>
      </c>
      <c r="C1461" t="s">
        <v>2733</v>
      </c>
      <c r="E1461" s="2">
        <v>2802000206001</v>
      </c>
      <c r="F1461" s="1" t="s">
        <v>29</v>
      </c>
      <c r="G1461" s="1" t="s">
        <v>53</v>
      </c>
      <c r="H1461" s="1" t="s">
        <v>388</v>
      </c>
      <c r="I1461" s="1" t="s">
        <v>389</v>
      </c>
      <c r="J1461" s="1" t="s">
        <v>46</v>
      </c>
      <c r="K1461" t="s">
        <v>34</v>
      </c>
      <c r="M1461" s="1" t="s">
        <v>35</v>
      </c>
      <c r="N1461" s="1">
        <v>42318949</v>
      </c>
      <c r="O1461" s="1" t="s">
        <v>105</v>
      </c>
      <c r="P1461" s="186">
        <v>44967.590011574073</v>
      </c>
      <c r="R1461" s="1" t="s">
        <v>38</v>
      </c>
      <c r="T1461" s="1" t="s">
        <v>74</v>
      </c>
      <c r="U1461" s="186">
        <v>44968.59002314815</v>
      </c>
      <c r="V1461" s="1" t="s">
        <v>41</v>
      </c>
      <c r="W1461" s="1" t="s">
        <v>49</v>
      </c>
    </row>
    <row r="1462" spans="1:23" hidden="1">
      <c r="A1462" s="1">
        <v>9464461</v>
      </c>
      <c r="B1462" s="1" t="s">
        <v>81</v>
      </c>
      <c r="C1462" t="s">
        <v>2733</v>
      </c>
      <c r="E1462" s="2">
        <v>1245000206001</v>
      </c>
      <c r="F1462" s="1" t="s">
        <v>29</v>
      </c>
      <c r="G1462" s="1" t="s">
        <v>53</v>
      </c>
      <c r="H1462" s="1" t="s">
        <v>408</v>
      </c>
      <c r="I1462" s="1" t="s">
        <v>409</v>
      </c>
      <c r="J1462" s="1" t="s">
        <v>46</v>
      </c>
      <c r="K1462" t="s">
        <v>34</v>
      </c>
      <c r="M1462" s="1" t="s">
        <v>35</v>
      </c>
      <c r="N1462" s="1">
        <v>42318949</v>
      </c>
      <c r="O1462" s="1" t="s">
        <v>105</v>
      </c>
      <c r="P1462" s="186">
        <v>44967.589930555558</v>
      </c>
      <c r="R1462" s="1" t="s">
        <v>38</v>
      </c>
      <c r="T1462" s="1" t="s">
        <v>74</v>
      </c>
      <c r="U1462" s="186">
        <v>44968.589930555558</v>
      </c>
      <c r="V1462" s="1" t="s">
        <v>41</v>
      </c>
      <c r="W1462" s="1" t="s">
        <v>49</v>
      </c>
    </row>
    <row r="1463" spans="1:23" hidden="1">
      <c r="A1463" s="1">
        <v>9464457</v>
      </c>
      <c r="B1463" s="1" t="s">
        <v>81</v>
      </c>
      <c r="C1463" t="s">
        <v>2733</v>
      </c>
      <c r="E1463" s="2">
        <v>1128000206001</v>
      </c>
      <c r="F1463" s="1" t="s">
        <v>29</v>
      </c>
      <c r="G1463" s="1" t="s">
        <v>53</v>
      </c>
      <c r="H1463" s="1" t="s">
        <v>1191</v>
      </c>
      <c r="I1463" s="1" t="s">
        <v>1192</v>
      </c>
      <c r="J1463" s="1" t="s">
        <v>33</v>
      </c>
      <c r="K1463" t="s">
        <v>34</v>
      </c>
      <c r="M1463" s="1" t="s">
        <v>35</v>
      </c>
      <c r="N1463" s="1">
        <v>42318949</v>
      </c>
      <c r="O1463" s="1" t="s">
        <v>105</v>
      </c>
      <c r="P1463" s="186">
        <v>44967.589918981481</v>
      </c>
      <c r="R1463" s="1" t="s">
        <v>38</v>
      </c>
      <c r="T1463" s="1" t="s">
        <v>74</v>
      </c>
      <c r="U1463" s="186">
        <v>44968.589930555558</v>
      </c>
      <c r="V1463" s="1" t="s">
        <v>41</v>
      </c>
      <c r="W1463" s="1" t="s">
        <v>49</v>
      </c>
    </row>
    <row r="1464" spans="1:23" hidden="1">
      <c r="A1464" s="1">
        <v>9464451</v>
      </c>
      <c r="B1464" s="1" t="s">
        <v>81</v>
      </c>
      <c r="C1464" t="s">
        <v>2733</v>
      </c>
      <c r="E1464" s="2">
        <v>963000206001</v>
      </c>
      <c r="F1464" s="1" t="s">
        <v>29</v>
      </c>
      <c r="G1464" s="1" t="s">
        <v>53</v>
      </c>
      <c r="H1464" s="1" t="s">
        <v>531</v>
      </c>
      <c r="I1464" s="1" t="s">
        <v>532</v>
      </c>
      <c r="J1464" s="1" t="s">
        <v>33</v>
      </c>
      <c r="K1464" t="s">
        <v>34</v>
      </c>
      <c r="M1464" s="1" t="s">
        <v>35</v>
      </c>
      <c r="N1464" s="1">
        <v>42318949</v>
      </c>
      <c r="O1464" s="1" t="s">
        <v>105</v>
      </c>
      <c r="P1464" s="186">
        <v>44967.589918981481</v>
      </c>
      <c r="R1464" s="1" t="s">
        <v>38</v>
      </c>
      <c r="T1464" s="1" t="s">
        <v>74</v>
      </c>
      <c r="U1464" s="186">
        <v>44968.589918981481</v>
      </c>
      <c r="V1464" s="1" t="s">
        <v>41</v>
      </c>
      <c r="W1464" s="1" t="s">
        <v>49</v>
      </c>
    </row>
    <row r="1465" spans="1:23" hidden="1">
      <c r="A1465" s="1">
        <v>9464394</v>
      </c>
      <c r="B1465" s="1" t="s">
        <v>81</v>
      </c>
      <c r="C1465" t="s">
        <v>2733</v>
      </c>
      <c r="E1465" s="2">
        <v>67000206001</v>
      </c>
      <c r="F1465" s="1" t="s">
        <v>29</v>
      </c>
      <c r="G1465" s="1" t="s">
        <v>53</v>
      </c>
      <c r="H1465" s="1" t="s">
        <v>404</v>
      </c>
      <c r="I1465" s="1" t="s">
        <v>405</v>
      </c>
      <c r="J1465" s="1" t="s">
        <v>164</v>
      </c>
      <c r="K1465" t="s">
        <v>34</v>
      </c>
      <c r="M1465" s="1" t="s">
        <v>35</v>
      </c>
      <c r="N1465" s="1">
        <v>42318949</v>
      </c>
      <c r="O1465" s="1" t="s">
        <v>105</v>
      </c>
      <c r="P1465" s="186">
        <v>44967.589814814812</v>
      </c>
      <c r="R1465" s="1" t="s">
        <v>38</v>
      </c>
      <c r="T1465" s="1" t="s">
        <v>74</v>
      </c>
      <c r="U1465" s="186">
        <v>44968.589814814812</v>
      </c>
      <c r="V1465" s="1" t="s">
        <v>41</v>
      </c>
      <c r="W1465" s="1" t="s">
        <v>49</v>
      </c>
    </row>
    <row r="1466" spans="1:23" hidden="1">
      <c r="A1466" s="1">
        <v>9464332</v>
      </c>
      <c r="B1466" s="1" t="s">
        <v>1153</v>
      </c>
      <c r="C1466" t="s">
        <v>2743</v>
      </c>
      <c r="D1466" s="2">
        <v>20231835000005</v>
      </c>
      <c r="E1466" s="2">
        <v>7419152464465</v>
      </c>
      <c r="F1466" s="1" t="s">
        <v>2744</v>
      </c>
      <c r="G1466" s="1" t="s">
        <v>53</v>
      </c>
      <c r="H1466" s="1" t="s">
        <v>305</v>
      </c>
      <c r="I1466" s="1" t="s">
        <v>306</v>
      </c>
      <c r="J1466" s="1" t="s">
        <v>46</v>
      </c>
      <c r="K1466" t="s">
        <v>2745</v>
      </c>
      <c r="M1466" s="1" t="s">
        <v>58</v>
      </c>
      <c r="N1466" s="1">
        <v>0</v>
      </c>
      <c r="O1466" s="1" t="s">
        <v>36</v>
      </c>
      <c r="P1466" s="186">
        <v>44967.565034722225</v>
      </c>
      <c r="R1466" s="1">
        <v>22</v>
      </c>
      <c r="T1466" s="1" t="s">
        <v>1160</v>
      </c>
      <c r="U1466" s="186">
        <v>44972.398368055554</v>
      </c>
      <c r="V1466" s="1" t="s">
        <v>41</v>
      </c>
      <c r="W1466" s="1" t="s">
        <v>49</v>
      </c>
    </row>
    <row r="1467" spans="1:23" hidden="1">
      <c r="A1467" s="1">
        <v>9464098</v>
      </c>
      <c r="B1467" s="1" t="s">
        <v>1153</v>
      </c>
      <c r="C1467" t="s">
        <v>2753</v>
      </c>
      <c r="D1467" s="2">
        <v>20234844000432</v>
      </c>
      <c r="E1467" s="2">
        <v>7417183020684</v>
      </c>
      <c r="F1467" s="1" t="s">
        <v>1313</v>
      </c>
      <c r="G1467" s="1" t="s">
        <v>53</v>
      </c>
      <c r="H1467" s="1" t="s">
        <v>2632</v>
      </c>
      <c r="I1467" s="1" t="s">
        <v>2633</v>
      </c>
      <c r="J1467" s="1" t="s">
        <v>46</v>
      </c>
      <c r="K1467" t="s">
        <v>1316</v>
      </c>
      <c r="M1467" s="1" t="s">
        <v>58</v>
      </c>
      <c r="N1467" s="1">
        <v>0</v>
      </c>
      <c r="O1467" s="1" t="s">
        <v>105</v>
      </c>
      <c r="P1467" s="186">
        <v>44967.526666666665</v>
      </c>
      <c r="R1467" s="1">
        <v>13</v>
      </c>
      <c r="T1467" s="1" t="s">
        <v>238</v>
      </c>
      <c r="U1467" s="186">
        <v>44967.526666666665</v>
      </c>
      <c r="V1467" s="1" t="s">
        <v>41</v>
      </c>
      <c r="W1467" s="1" t="s">
        <v>49</v>
      </c>
    </row>
    <row r="1468" spans="1:23" hidden="1">
      <c r="A1468" s="1">
        <v>9464090</v>
      </c>
      <c r="B1468" s="1" t="s">
        <v>1153</v>
      </c>
      <c r="C1468" t="s">
        <v>2755</v>
      </c>
      <c r="D1468" s="2">
        <v>20232855000002</v>
      </c>
      <c r="E1468" s="2">
        <v>7417210950117</v>
      </c>
      <c r="F1468" s="1" t="s">
        <v>1213</v>
      </c>
      <c r="G1468" s="1" t="s">
        <v>53</v>
      </c>
      <c r="H1468" s="1" t="s">
        <v>2756</v>
      </c>
      <c r="I1468" s="1" t="s">
        <v>2757</v>
      </c>
      <c r="J1468" s="1" t="s">
        <v>56</v>
      </c>
      <c r="K1468" t="s">
        <v>1214</v>
      </c>
      <c r="M1468" s="1" t="s">
        <v>58</v>
      </c>
      <c r="N1468" s="1">
        <v>0</v>
      </c>
      <c r="O1468" s="1" t="s">
        <v>36</v>
      </c>
      <c r="P1468" s="186">
        <v>44967.531388888892</v>
      </c>
      <c r="R1468" s="1">
        <v>14</v>
      </c>
      <c r="T1468" s="1" t="s">
        <v>238</v>
      </c>
      <c r="U1468" s="186">
        <v>44967.531388888892</v>
      </c>
      <c r="V1468" s="1" t="s">
        <v>41</v>
      </c>
      <c r="W1468" s="1" t="s">
        <v>49</v>
      </c>
    </row>
    <row r="1469" spans="1:23" hidden="1">
      <c r="A1469" s="1">
        <v>9463997</v>
      </c>
      <c r="B1469" s="1" t="s">
        <v>1153</v>
      </c>
      <c r="C1469" t="s">
        <v>2759</v>
      </c>
      <c r="D1469" s="2">
        <v>20234844000431</v>
      </c>
      <c r="E1469" s="2">
        <v>7417193390971</v>
      </c>
      <c r="F1469" s="1" t="s">
        <v>2760</v>
      </c>
      <c r="G1469" s="1" t="s">
        <v>53</v>
      </c>
      <c r="H1469" s="1" t="s">
        <v>626</v>
      </c>
      <c r="I1469" s="1" t="s">
        <v>627</v>
      </c>
      <c r="J1469" s="1" t="s">
        <v>46</v>
      </c>
      <c r="K1469" t="s">
        <v>2761</v>
      </c>
      <c r="M1469" s="1" t="s">
        <v>58</v>
      </c>
      <c r="N1469" s="1">
        <v>0</v>
      </c>
      <c r="O1469" s="1" t="s">
        <v>36</v>
      </c>
      <c r="P1469" s="186">
        <v>44967.509872685187</v>
      </c>
      <c r="R1469" s="1">
        <v>22</v>
      </c>
      <c r="T1469" s="1" t="s">
        <v>1160</v>
      </c>
      <c r="U1469" s="186">
        <v>44971.718206018515</v>
      </c>
      <c r="V1469" s="1" t="s">
        <v>41</v>
      </c>
      <c r="W1469" s="1" t="s">
        <v>49</v>
      </c>
    </row>
    <row r="1470" spans="1:23" hidden="1">
      <c r="A1470" s="181">
        <v>9463988</v>
      </c>
      <c r="B1470" s="181" t="s">
        <v>1153</v>
      </c>
      <c r="C1470" s="182" t="s">
        <v>3498</v>
      </c>
      <c r="D1470" s="183">
        <v>20234119000009</v>
      </c>
      <c r="E1470" s="183">
        <v>7419152172053</v>
      </c>
      <c r="F1470" s="181" t="s">
        <v>52</v>
      </c>
      <c r="G1470" s="181" t="s">
        <v>53</v>
      </c>
      <c r="H1470" s="181" t="s">
        <v>297</v>
      </c>
      <c r="I1470" s="181" t="s">
        <v>298</v>
      </c>
      <c r="J1470" s="181" t="s">
        <v>211</v>
      </c>
      <c r="K1470" t="s">
        <v>57</v>
      </c>
      <c r="M1470" s="1" t="s">
        <v>58</v>
      </c>
      <c r="N1470" s="1">
        <v>0</v>
      </c>
      <c r="O1470" s="1" t="s">
        <v>36</v>
      </c>
      <c r="P1470" s="186">
        <v>44967.510011574072</v>
      </c>
      <c r="R1470" s="1">
        <v>8</v>
      </c>
      <c r="T1470" s="1" t="s">
        <v>238</v>
      </c>
      <c r="U1470" s="186">
        <v>44968.518483796295</v>
      </c>
      <c r="V1470" s="1" t="s">
        <v>41</v>
      </c>
      <c r="W1470" s="1" t="s">
        <v>49</v>
      </c>
    </row>
    <row r="1471" spans="1:23" hidden="1">
      <c r="A1471" s="1">
        <v>9463914</v>
      </c>
      <c r="B1471" s="1" t="s">
        <v>1153</v>
      </c>
      <c r="C1471" t="s">
        <v>2774</v>
      </c>
      <c r="D1471" s="2">
        <v>20232107000001</v>
      </c>
      <c r="E1471" s="2">
        <v>7417183023328</v>
      </c>
      <c r="F1471" s="1" t="s">
        <v>1313</v>
      </c>
      <c r="G1471" s="1" t="s">
        <v>53</v>
      </c>
      <c r="H1471" s="1" t="s">
        <v>2775</v>
      </c>
      <c r="I1471" s="1" t="s">
        <v>2776</v>
      </c>
      <c r="J1471" s="1" t="s">
        <v>164</v>
      </c>
      <c r="K1471" t="s">
        <v>1316</v>
      </c>
      <c r="M1471" s="1" t="s">
        <v>58</v>
      </c>
      <c r="N1471" s="1">
        <v>0</v>
      </c>
      <c r="O1471" s="1" t="s">
        <v>36</v>
      </c>
      <c r="P1471" s="186">
        <v>44967.499363425923</v>
      </c>
      <c r="R1471" s="1">
        <v>14</v>
      </c>
      <c r="T1471" s="1" t="s">
        <v>238</v>
      </c>
      <c r="U1471" s="186">
        <v>44967.499363425923</v>
      </c>
      <c r="V1471" s="1" t="s">
        <v>41</v>
      </c>
      <c r="W1471" s="1" t="s">
        <v>49</v>
      </c>
    </row>
    <row r="1472" spans="1:23" hidden="1">
      <c r="A1472" s="1">
        <v>9463910</v>
      </c>
      <c r="B1472" s="1" t="s">
        <v>1153</v>
      </c>
      <c r="C1472" t="s">
        <v>2777</v>
      </c>
      <c r="D1472" s="2">
        <v>20230673000010</v>
      </c>
      <c r="E1472" s="2">
        <v>7419152459789</v>
      </c>
      <c r="F1472" s="1" t="s">
        <v>2744</v>
      </c>
      <c r="G1472" s="1" t="s">
        <v>53</v>
      </c>
      <c r="H1472" s="1" t="s">
        <v>581</v>
      </c>
      <c r="I1472" s="1" t="s">
        <v>582</v>
      </c>
      <c r="J1472" s="1" t="s">
        <v>110</v>
      </c>
      <c r="K1472" t="s">
        <v>2745</v>
      </c>
      <c r="M1472" s="1" t="s">
        <v>58</v>
      </c>
      <c r="N1472" s="1">
        <v>0</v>
      </c>
      <c r="O1472" s="1" t="s">
        <v>36</v>
      </c>
      <c r="P1472" s="186">
        <v>44967.491342592592</v>
      </c>
      <c r="R1472" s="1">
        <v>22</v>
      </c>
      <c r="T1472" s="1" t="s">
        <v>1160</v>
      </c>
      <c r="U1472" s="186">
        <v>44971.699675925927</v>
      </c>
      <c r="V1472" s="1" t="s">
        <v>41</v>
      </c>
      <c r="W1472" s="1" t="s">
        <v>49</v>
      </c>
    </row>
    <row r="1473" spans="1:23" hidden="1">
      <c r="A1473" s="1">
        <v>9463836</v>
      </c>
      <c r="B1473" s="1" t="s">
        <v>1153</v>
      </c>
      <c r="C1473" t="s">
        <v>2778</v>
      </c>
      <c r="D1473" s="2">
        <v>20230673000009</v>
      </c>
      <c r="E1473" s="2">
        <v>7419152459789</v>
      </c>
      <c r="F1473" s="1" t="s">
        <v>2744</v>
      </c>
      <c r="G1473" s="1" t="s">
        <v>53</v>
      </c>
      <c r="H1473" s="1" t="s">
        <v>581</v>
      </c>
      <c r="I1473" s="1" t="s">
        <v>582</v>
      </c>
      <c r="J1473" s="1" t="s">
        <v>110</v>
      </c>
      <c r="K1473" t="s">
        <v>2745</v>
      </c>
      <c r="M1473" s="1" t="s">
        <v>58</v>
      </c>
      <c r="N1473" s="1">
        <v>0</v>
      </c>
      <c r="O1473" s="1" t="s">
        <v>36</v>
      </c>
      <c r="P1473" s="186">
        <v>44967.488587962966</v>
      </c>
      <c r="R1473" s="1">
        <v>22</v>
      </c>
      <c r="T1473" s="1" t="s">
        <v>1160</v>
      </c>
      <c r="U1473" s="186">
        <v>44971.696921296294</v>
      </c>
      <c r="V1473" s="1" t="s">
        <v>41</v>
      </c>
      <c r="W1473" s="1" t="s">
        <v>49</v>
      </c>
    </row>
    <row r="1474" spans="1:23" hidden="1">
      <c r="A1474" s="1">
        <v>9463783</v>
      </c>
      <c r="B1474" s="1" t="s">
        <v>1153</v>
      </c>
      <c r="C1474" t="s">
        <v>2781</v>
      </c>
      <c r="D1474" s="2">
        <v>20231363000015</v>
      </c>
      <c r="E1474" s="2">
        <v>7417172790231</v>
      </c>
      <c r="F1474" s="1" t="s">
        <v>1989</v>
      </c>
      <c r="G1474" s="1" t="s">
        <v>53</v>
      </c>
      <c r="H1474" s="1" t="s">
        <v>108</v>
      </c>
      <c r="I1474" s="1" t="s">
        <v>109</v>
      </c>
      <c r="J1474" s="1" t="s">
        <v>110</v>
      </c>
      <c r="K1474" t="s">
        <v>1990</v>
      </c>
      <c r="M1474" s="1" t="s">
        <v>58</v>
      </c>
      <c r="N1474" s="1">
        <v>0</v>
      </c>
      <c r="O1474" s="1" t="s">
        <v>105</v>
      </c>
      <c r="P1474" s="186">
        <v>44967.475787037038</v>
      </c>
      <c r="R1474" s="1">
        <v>22</v>
      </c>
      <c r="T1474" s="1" t="s">
        <v>1160</v>
      </c>
      <c r="U1474" s="186">
        <v>44971.684120370373</v>
      </c>
      <c r="V1474" s="1" t="s">
        <v>41</v>
      </c>
      <c r="W1474" s="1" t="s">
        <v>49</v>
      </c>
    </row>
    <row r="1475" spans="1:23" hidden="1">
      <c r="A1475" s="1">
        <v>9463716</v>
      </c>
      <c r="B1475" s="1" t="s">
        <v>1153</v>
      </c>
      <c r="C1475" t="s">
        <v>2790</v>
      </c>
      <c r="E1475" s="2">
        <v>9406000206001</v>
      </c>
      <c r="F1475" s="1" t="s">
        <v>29</v>
      </c>
      <c r="G1475" s="1" t="s">
        <v>53</v>
      </c>
      <c r="H1475" s="1" t="s">
        <v>114</v>
      </c>
      <c r="I1475" s="1" t="s">
        <v>115</v>
      </c>
      <c r="J1475" s="1" t="s">
        <v>46</v>
      </c>
      <c r="K1475" t="s">
        <v>34</v>
      </c>
      <c r="M1475" s="1" t="s">
        <v>35</v>
      </c>
      <c r="N1475" s="1">
        <v>42318949</v>
      </c>
      <c r="O1475" s="1" t="s">
        <v>36</v>
      </c>
      <c r="P1475" s="186">
        <v>44967.479432870372</v>
      </c>
      <c r="R1475" s="1" t="s">
        <v>38</v>
      </c>
      <c r="T1475" s="1" t="s">
        <v>74</v>
      </c>
      <c r="U1475" s="186">
        <v>44980.708333333336</v>
      </c>
      <c r="V1475" s="1" t="s">
        <v>41</v>
      </c>
      <c r="W1475" s="1" t="s">
        <v>49</v>
      </c>
    </row>
    <row r="1476" spans="1:23" hidden="1">
      <c r="A1476" s="1">
        <v>9463526</v>
      </c>
      <c r="B1476" s="1" t="s">
        <v>1153</v>
      </c>
      <c r="C1476" t="s">
        <v>2791</v>
      </c>
      <c r="D1476" s="2">
        <v>20234076000009</v>
      </c>
      <c r="E1476" s="2">
        <v>7421162080646</v>
      </c>
      <c r="F1476" s="1" t="s">
        <v>2792</v>
      </c>
      <c r="G1476" s="1" t="s">
        <v>53</v>
      </c>
      <c r="H1476" s="1" t="s">
        <v>426</v>
      </c>
      <c r="I1476" s="1" t="s">
        <v>427</v>
      </c>
      <c r="J1476" s="1" t="s">
        <v>79</v>
      </c>
      <c r="K1476" t="s">
        <v>2793</v>
      </c>
      <c r="M1476" s="1" t="s">
        <v>58</v>
      </c>
      <c r="N1476" s="1">
        <v>0</v>
      </c>
      <c r="O1476" s="1" t="s">
        <v>36</v>
      </c>
      <c r="P1476" s="186">
        <v>44967.44159722222</v>
      </c>
      <c r="R1476" s="1">
        <v>22</v>
      </c>
      <c r="T1476" s="1" t="s">
        <v>1160</v>
      </c>
      <c r="U1476" s="186">
        <v>44971.649930555555</v>
      </c>
      <c r="V1476" s="1" t="s">
        <v>41</v>
      </c>
      <c r="W1476" s="1" t="s">
        <v>49</v>
      </c>
    </row>
    <row r="1477" spans="1:23" hidden="1">
      <c r="A1477" s="1">
        <v>9463456</v>
      </c>
      <c r="B1477" s="1" t="s">
        <v>1153</v>
      </c>
      <c r="C1477" t="s">
        <v>2795</v>
      </c>
      <c r="D1477" s="2">
        <v>20234844000428</v>
      </c>
      <c r="E1477" s="2">
        <v>7417183020147</v>
      </c>
      <c r="F1477" s="1" t="s">
        <v>1313</v>
      </c>
      <c r="G1477" s="1" t="s">
        <v>53</v>
      </c>
      <c r="H1477" s="1" t="s">
        <v>2796</v>
      </c>
      <c r="I1477" s="1" t="s">
        <v>2797</v>
      </c>
      <c r="J1477" s="1" t="s">
        <v>46</v>
      </c>
      <c r="K1477" t="s">
        <v>1316</v>
      </c>
      <c r="M1477" s="1" t="s">
        <v>58</v>
      </c>
      <c r="N1477" s="1">
        <v>0</v>
      </c>
      <c r="O1477" s="1" t="s">
        <v>36</v>
      </c>
      <c r="P1477" s="186">
        <v>44967.426226851851</v>
      </c>
      <c r="R1477" s="1">
        <v>13</v>
      </c>
      <c r="T1477" s="1" t="s">
        <v>238</v>
      </c>
      <c r="U1477" s="186">
        <v>44967.426226851851</v>
      </c>
      <c r="V1477" s="1" t="s">
        <v>41</v>
      </c>
      <c r="W1477" s="1" t="s">
        <v>49</v>
      </c>
    </row>
    <row r="1478" spans="1:23" hidden="1">
      <c r="A1478" s="1">
        <v>9463181</v>
      </c>
      <c r="B1478" s="1" t="s">
        <v>1153</v>
      </c>
      <c r="C1478" t="s">
        <v>2801</v>
      </c>
      <c r="E1478" s="2">
        <v>4997000206001</v>
      </c>
      <c r="F1478" s="1" t="s">
        <v>29</v>
      </c>
      <c r="G1478" s="1" t="s">
        <v>53</v>
      </c>
      <c r="H1478" s="1" t="s">
        <v>406</v>
      </c>
      <c r="I1478" s="1" t="s">
        <v>407</v>
      </c>
      <c r="J1478" s="1" t="s">
        <v>79</v>
      </c>
      <c r="K1478" t="s">
        <v>34</v>
      </c>
      <c r="M1478" s="1" t="s">
        <v>35</v>
      </c>
      <c r="N1478" s="1">
        <v>42318949</v>
      </c>
      <c r="O1478" s="1" t="s">
        <v>36</v>
      </c>
      <c r="P1478" s="186">
        <v>44967.407222222224</v>
      </c>
      <c r="R1478" s="1" t="s">
        <v>38</v>
      </c>
      <c r="T1478" s="1" t="s">
        <v>74</v>
      </c>
      <c r="U1478" s="186">
        <v>44979.708333333336</v>
      </c>
      <c r="V1478" s="1" t="s">
        <v>41</v>
      </c>
      <c r="W1478" s="1" t="s">
        <v>49</v>
      </c>
    </row>
    <row r="1479" spans="1:23" hidden="1">
      <c r="A1479" s="1">
        <v>9463157</v>
      </c>
      <c r="B1479" s="1" t="s">
        <v>1153</v>
      </c>
      <c r="C1479" t="s">
        <v>2803</v>
      </c>
      <c r="D1479" s="2">
        <v>230027366</v>
      </c>
      <c r="E1479" s="2">
        <v>4637001400010</v>
      </c>
      <c r="F1479" s="1" t="s">
        <v>936</v>
      </c>
      <c r="G1479" s="1" t="s">
        <v>53</v>
      </c>
      <c r="H1479" s="1" t="s">
        <v>848</v>
      </c>
      <c r="I1479" s="1" t="s">
        <v>849</v>
      </c>
      <c r="J1479" s="1" t="s">
        <v>79</v>
      </c>
      <c r="K1479" t="s">
        <v>937</v>
      </c>
      <c r="M1479" s="1" t="s">
        <v>58</v>
      </c>
      <c r="N1479" s="1">
        <v>0</v>
      </c>
      <c r="O1479" s="1" t="s">
        <v>36</v>
      </c>
      <c r="P1479" s="186">
        <v>44967.40347222222</v>
      </c>
      <c r="R1479" s="1">
        <v>3</v>
      </c>
      <c r="T1479" s="1" t="s">
        <v>646</v>
      </c>
      <c r="U1479" s="186">
        <v>44974.4375</v>
      </c>
      <c r="V1479" s="1" t="s">
        <v>41</v>
      </c>
      <c r="W1479" s="1" t="s">
        <v>49</v>
      </c>
    </row>
    <row r="1480" spans="1:23" hidden="1">
      <c r="A1480" s="1">
        <v>9463054</v>
      </c>
      <c r="B1480" s="1" t="s">
        <v>1153</v>
      </c>
      <c r="C1480" t="s">
        <v>2806</v>
      </c>
      <c r="D1480" s="2">
        <v>20234844000427</v>
      </c>
      <c r="E1480" s="2">
        <v>7417183020641</v>
      </c>
      <c r="F1480" s="1" t="s">
        <v>1313</v>
      </c>
      <c r="G1480" s="1" t="s">
        <v>53</v>
      </c>
      <c r="H1480" s="1" t="s">
        <v>2444</v>
      </c>
      <c r="I1480" s="1" t="s">
        <v>2445</v>
      </c>
      <c r="J1480" s="1" t="s">
        <v>46</v>
      </c>
      <c r="K1480" t="s">
        <v>1316</v>
      </c>
      <c r="M1480" s="1" t="s">
        <v>58</v>
      </c>
      <c r="N1480" s="1">
        <v>0</v>
      </c>
      <c r="O1480" s="1" t="s">
        <v>105</v>
      </c>
      <c r="P1480" s="186">
        <v>44967.372361111113</v>
      </c>
      <c r="R1480" s="1">
        <v>13</v>
      </c>
      <c r="T1480" s="1" t="s">
        <v>238</v>
      </c>
      <c r="U1480" s="186">
        <v>44967.395833333336</v>
      </c>
      <c r="V1480" s="1" t="s">
        <v>41</v>
      </c>
      <c r="W1480" s="1" t="s">
        <v>49</v>
      </c>
    </row>
    <row r="1481" spans="1:23" hidden="1">
      <c r="A1481" s="181">
        <v>9478527</v>
      </c>
      <c r="B1481" s="181" t="s">
        <v>101</v>
      </c>
      <c r="C1481" s="182" t="s">
        <v>3499</v>
      </c>
      <c r="D1481" s="183">
        <v>20232437000021</v>
      </c>
      <c r="E1481" s="183">
        <v>7419141893524</v>
      </c>
      <c r="F1481" s="181" t="s">
        <v>128</v>
      </c>
      <c r="G1481" s="181" t="s">
        <v>53</v>
      </c>
      <c r="H1481" s="181" t="s">
        <v>2418</v>
      </c>
      <c r="I1481" s="181" t="s">
        <v>2419</v>
      </c>
      <c r="J1481" s="181" t="s">
        <v>211</v>
      </c>
      <c r="K1481" t="s">
        <v>129</v>
      </c>
      <c r="M1481" s="1" t="s">
        <v>58</v>
      </c>
      <c r="N1481" s="1">
        <v>0</v>
      </c>
      <c r="O1481" s="1" t="s">
        <v>105</v>
      </c>
      <c r="P1481" s="186">
        <v>44970.765868055554</v>
      </c>
      <c r="R1481" s="1">
        <v>14</v>
      </c>
      <c r="T1481" s="1" t="s">
        <v>238</v>
      </c>
      <c r="U1481" s="186">
        <v>44970.765868055554</v>
      </c>
      <c r="V1481" s="1" t="s">
        <v>41</v>
      </c>
      <c r="W1481" s="1" t="s">
        <v>49</v>
      </c>
    </row>
    <row r="1482" spans="1:23" hidden="1">
      <c r="A1482" s="1">
        <v>9478476</v>
      </c>
      <c r="B1482" s="1" t="s">
        <v>101</v>
      </c>
      <c r="C1482" t="s">
        <v>1978</v>
      </c>
      <c r="D1482" s="2">
        <v>20232678000014</v>
      </c>
      <c r="E1482" s="2">
        <v>7417163281860</v>
      </c>
      <c r="F1482" s="1" t="s">
        <v>131</v>
      </c>
      <c r="G1482" s="1" t="s">
        <v>53</v>
      </c>
      <c r="H1482" s="1" t="s">
        <v>2814</v>
      </c>
      <c r="I1482" s="1" t="s">
        <v>2815</v>
      </c>
      <c r="J1482" s="1" t="s">
        <v>33</v>
      </c>
      <c r="K1482" t="s">
        <v>132</v>
      </c>
      <c r="M1482" s="1" t="s">
        <v>58</v>
      </c>
      <c r="N1482" s="1">
        <v>0</v>
      </c>
      <c r="O1482" s="1" t="s">
        <v>105</v>
      </c>
      <c r="P1482" s="186">
        <v>44970.760370370372</v>
      </c>
      <c r="R1482" s="1">
        <v>15</v>
      </c>
      <c r="T1482" s="1" t="s">
        <v>238</v>
      </c>
      <c r="U1482" s="186">
        <v>44970.760370370372</v>
      </c>
      <c r="V1482" s="1" t="s">
        <v>41</v>
      </c>
      <c r="W1482" s="1" t="s">
        <v>42</v>
      </c>
    </row>
    <row r="1483" spans="1:23" hidden="1">
      <c r="A1483" s="1">
        <v>9478382</v>
      </c>
      <c r="B1483" s="1" t="s">
        <v>101</v>
      </c>
      <c r="C1483" t="s">
        <v>1978</v>
      </c>
      <c r="D1483" s="2">
        <v>20234923000067</v>
      </c>
      <c r="E1483" s="2">
        <v>7419141892150</v>
      </c>
      <c r="F1483" s="1" t="s">
        <v>128</v>
      </c>
      <c r="G1483" s="1" t="s">
        <v>53</v>
      </c>
      <c r="H1483" s="1" t="s">
        <v>1966</v>
      </c>
      <c r="I1483" s="1" t="s">
        <v>1967</v>
      </c>
      <c r="J1483" s="1" t="s">
        <v>46</v>
      </c>
      <c r="K1483" t="s">
        <v>129</v>
      </c>
      <c r="M1483" s="1" t="s">
        <v>58</v>
      </c>
      <c r="N1483" s="1">
        <v>0</v>
      </c>
      <c r="O1483" s="1" t="s">
        <v>105</v>
      </c>
      <c r="P1483" s="186">
        <v>44970.75644675926</v>
      </c>
      <c r="R1483" s="1">
        <v>13</v>
      </c>
      <c r="T1483" s="1" t="s">
        <v>238</v>
      </c>
      <c r="U1483" s="186">
        <v>44970.75644675926</v>
      </c>
      <c r="V1483" s="1" t="s">
        <v>41</v>
      </c>
      <c r="W1483" s="1" t="s">
        <v>49</v>
      </c>
    </row>
    <row r="1484" spans="1:23" hidden="1">
      <c r="A1484" s="1">
        <v>9478325</v>
      </c>
      <c r="B1484" s="1" t="s">
        <v>101</v>
      </c>
      <c r="C1484" t="s">
        <v>1978</v>
      </c>
      <c r="D1484" s="2">
        <v>20234844000453</v>
      </c>
      <c r="E1484" s="2">
        <v>7417163282352</v>
      </c>
      <c r="F1484" s="1" t="s">
        <v>131</v>
      </c>
      <c r="G1484" s="1" t="s">
        <v>53</v>
      </c>
      <c r="H1484" s="1" t="s">
        <v>2816</v>
      </c>
      <c r="I1484" s="1" t="s">
        <v>2817</v>
      </c>
      <c r="J1484" s="1" t="s">
        <v>46</v>
      </c>
      <c r="K1484" t="s">
        <v>132</v>
      </c>
      <c r="M1484" s="1" t="s">
        <v>58</v>
      </c>
      <c r="N1484" s="1">
        <v>0</v>
      </c>
      <c r="O1484" s="1" t="s">
        <v>105</v>
      </c>
      <c r="P1484" s="186">
        <v>44970.750717592593</v>
      </c>
      <c r="R1484" s="1">
        <v>13</v>
      </c>
      <c r="T1484" s="1" t="s">
        <v>238</v>
      </c>
      <c r="U1484" s="186">
        <v>44970.750717592593</v>
      </c>
      <c r="V1484" s="1" t="s">
        <v>41</v>
      </c>
      <c r="W1484" s="1" t="s">
        <v>49</v>
      </c>
    </row>
    <row r="1485" spans="1:23" hidden="1">
      <c r="A1485" s="1">
        <v>9478324</v>
      </c>
      <c r="B1485" s="1" t="s">
        <v>101</v>
      </c>
      <c r="C1485" t="s">
        <v>1978</v>
      </c>
      <c r="D1485" s="2">
        <v>20234637000008</v>
      </c>
      <c r="E1485" s="2">
        <v>7417163284105</v>
      </c>
      <c r="F1485" s="1" t="s">
        <v>131</v>
      </c>
      <c r="G1485" s="1" t="s">
        <v>53</v>
      </c>
      <c r="H1485" s="1" t="s">
        <v>2004</v>
      </c>
      <c r="I1485" s="1" t="s">
        <v>2005</v>
      </c>
      <c r="J1485" s="1" t="s">
        <v>79</v>
      </c>
      <c r="K1485" t="s">
        <v>132</v>
      </c>
      <c r="M1485" s="1" t="s">
        <v>58</v>
      </c>
      <c r="N1485" s="1">
        <v>0</v>
      </c>
      <c r="O1485" s="1" t="s">
        <v>105</v>
      </c>
      <c r="P1485" s="186">
        <v>44970.750706018516</v>
      </c>
      <c r="R1485" s="1">
        <v>14</v>
      </c>
      <c r="T1485" s="1" t="s">
        <v>238</v>
      </c>
      <c r="U1485" s="186">
        <v>44970.750706018516</v>
      </c>
      <c r="V1485" s="1" t="s">
        <v>41</v>
      </c>
      <c r="W1485" s="1" t="s">
        <v>49</v>
      </c>
    </row>
    <row r="1486" spans="1:23" hidden="1">
      <c r="A1486" s="1">
        <v>9478256</v>
      </c>
      <c r="B1486" s="1" t="s">
        <v>101</v>
      </c>
      <c r="C1486" t="s">
        <v>1978</v>
      </c>
      <c r="D1486" s="2">
        <v>20234844000452</v>
      </c>
      <c r="E1486" s="2">
        <v>7417183020637</v>
      </c>
      <c r="F1486" s="1" t="s">
        <v>1313</v>
      </c>
      <c r="G1486" s="1" t="s">
        <v>53</v>
      </c>
      <c r="H1486" s="1" t="s">
        <v>2816</v>
      </c>
      <c r="I1486" s="1" t="s">
        <v>2817</v>
      </c>
      <c r="J1486" s="1" t="s">
        <v>46</v>
      </c>
      <c r="K1486" t="s">
        <v>1316</v>
      </c>
      <c r="M1486" s="1" t="s">
        <v>58</v>
      </c>
      <c r="N1486" s="1">
        <v>0</v>
      </c>
      <c r="O1486" s="1" t="s">
        <v>105</v>
      </c>
      <c r="P1486" s="186">
        <v>44970.748796296299</v>
      </c>
      <c r="R1486" s="1">
        <v>13</v>
      </c>
      <c r="T1486" s="1" t="s">
        <v>238</v>
      </c>
      <c r="U1486" s="186">
        <v>44970.748796296299</v>
      </c>
      <c r="V1486" s="1" t="s">
        <v>41</v>
      </c>
      <c r="W1486" s="1" t="s">
        <v>49</v>
      </c>
    </row>
    <row r="1487" spans="1:23" hidden="1">
      <c r="A1487" s="1">
        <v>9478195</v>
      </c>
      <c r="B1487" s="1" t="s">
        <v>101</v>
      </c>
      <c r="C1487" t="s">
        <v>1978</v>
      </c>
      <c r="D1487" s="2">
        <v>20234844000451</v>
      </c>
      <c r="E1487" s="2">
        <v>7417163282362</v>
      </c>
      <c r="F1487" s="1" t="s">
        <v>131</v>
      </c>
      <c r="G1487" s="1" t="s">
        <v>53</v>
      </c>
      <c r="H1487" s="1" t="s">
        <v>2821</v>
      </c>
      <c r="I1487" s="1" t="s">
        <v>2822</v>
      </c>
      <c r="J1487" s="1" t="s">
        <v>46</v>
      </c>
      <c r="K1487" t="s">
        <v>132</v>
      </c>
      <c r="M1487" s="1" t="s">
        <v>58</v>
      </c>
      <c r="N1487" s="1">
        <v>0</v>
      </c>
      <c r="O1487" s="1" t="s">
        <v>105</v>
      </c>
      <c r="P1487" s="186">
        <v>44970.741828703707</v>
      </c>
      <c r="R1487" s="1">
        <v>13</v>
      </c>
      <c r="T1487" s="1" t="s">
        <v>238</v>
      </c>
      <c r="U1487" s="186">
        <v>44970.741828703707</v>
      </c>
      <c r="V1487" s="1" t="s">
        <v>41</v>
      </c>
      <c r="W1487" s="1" t="s">
        <v>49</v>
      </c>
    </row>
    <row r="1488" spans="1:23" hidden="1">
      <c r="A1488" s="1">
        <v>9478156</v>
      </c>
      <c r="B1488" s="1" t="s">
        <v>1153</v>
      </c>
      <c r="C1488" t="s">
        <v>2823</v>
      </c>
      <c r="D1488" s="2">
        <v>20232244000011</v>
      </c>
      <c r="E1488" s="2">
        <v>7417202021003</v>
      </c>
      <c r="F1488" s="1" t="s">
        <v>1213</v>
      </c>
      <c r="G1488" s="1" t="s">
        <v>53</v>
      </c>
      <c r="H1488" s="1" t="s">
        <v>2824</v>
      </c>
      <c r="I1488" s="1" t="s">
        <v>2825</v>
      </c>
      <c r="J1488" s="1" t="s">
        <v>79</v>
      </c>
      <c r="K1488" t="s">
        <v>1214</v>
      </c>
      <c r="M1488" s="1" t="s">
        <v>58</v>
      </c>
      <c r="N1488" s="1">
        <v>0</v>
      </c>
      <c r="O1488" s="1" t="s">
        <v>36</v>
      </c>
      <c r="P1488" s="186">
        <v>44970.740312499998</v>
      </c>
      <c r="R1488" s="1">
        <v>14</v>
      </c>
      <c r="T1488" s="1" t="s">
        <v>238</v>
      </c>
      <c r="U1488" s="186">
        <v>44971.395833333336</v>
      </c>
      <c r="V1488" s="1" t="s">
        <v>41</v>
      </c>
      <c r="W1488" s="1" t="s">
        <v>49</v>
      </c>
    </row>
    <row r="1489" spans="1:23" hidden="1">
      <c r="A1489" s="1">
        <v>9478110</v>
      </c>
      <c r="B1489" s="1" t="s">
        <v>1970</v>
      </c>
      <c r="C1489" t="s">
        <v>1971</v>
      </c>
      <c r="D1489" s="2">
        <v>20231059000017</v>
      </c>
      <c r="E1489" s="2">
        <v>7419141894708</v>
      </c>
      <c r="F1489" s="1" t="s">
        <v>128</v>
      </c>
      <c r="G1489" s="1" t="s">
        <v>53</v>
      </c>
      <c r="H1489" s="1" t="s">
        <v>1972</v>
      </c>
      <c r="I1489" s="1" t="s">
        <v>1973</v>
      </c>
      <c r="J1489" s="1" t="s">
        <v>90</v>
      </c>
      <c r="K1489" t="s">
        <v>129</v>
      </c>
      <c r="M1489" s="1" t="s">
        <v>58</v>
      </c>
      <c r="N1489" s="1">
        <v>0</v>
      </c>
      <c r="O1489" s="1" t="s">
        <v>105</v>
      </c>
      <c r="P1489" s="186">
        <v>44970.736817129633</v>
      </c>
      <c r="R1489" s="1">
        <v>14</v>
      </c>
      <c r="T1489" s="1" t="s">
        <v>238</v>
      </c>
      <c r="U1489" s="186">
        <v>44971.746249999997</v>
      </c>
      <c r="V1489" s="1" t="s">
        <v>41</v>
      </c>
      <c r="W1489" s="1" t="s">
        <v>49</v>
      </c>
    </row>
    <row r="1490" spans="1:23" hidden="1">
      <c r="A1490" s="1">
        <v>9478043</v>
      </c>
      <c r="B1490" s="1" t="s">
        <v>1970</v>
      </c>
      <c r="C1490" t="s">
        <v>1971</v>
      </c>
      <c r="D1490" s="2">
        <v>20234844000450</v>
      </c>
      <c r="E1490" s="2">
        <v>7417163285199</v>
      </c>
      <c r="F1490" s="1" t="s">
        <v>131</v>
      </c>
      <c r="G1490" s="1" t="s">
        <v>53</v>
      </c>
      <c r="H1490" s="1" t="s">
        <v>2348</v>
      </c>
      <c r="I1490" s="1" t="s">
        <v>2349</v>
      </c>
      <c r="J1490" s="1" t="s">
        <v>46</v>
      </c>
      <c r="K1490" t="s">
        <v>132</v>
      </c>
      <c r="M1490" s="1" t="s">
        <v>58</v>
      </c>
      <c r="N1490" s="1">
        <v>0</v>
      </c>
      <c r="O1490" s="1" t="s">
        <v>105</v>
      </c>
      <c r="P1490" s="186">
        <v>44970.729328703703</v>
      </c>
      <c r="R1490" s="1">
        <v>13</v>
      </c>
      <c r="T1490" s="1" t="s">
        <v>238</v>
      </c>
      <c r="U1490" s="186">
        <v>44971.746122685188</v>
      </c>
      <c r="V1490" s="1" t="s">
        <v>41</v>
      </c>
      <c r="W1490" s="1" t="s">
        <v>49</v>
      </c>
    </row>
    <row r="1491" spans="1:23" hidden="1">
      <c r="A1491" s="1">
        <v>9478042</v>
      </c>
      <c r="B1491" s="1" t="s">
        <v>1970</v>
      </c>
      <c r="C1491" t="s">
        <v>1971</v>
      </c>
      <c r="D1491" s="2">
        <v>20231052000013</v>
      </c>
      <c r="E1491" s="2">
        <v>7417163285093</v>
      </c>
      <c r="F1491" s="1" t="s">
        <v>131</v>
      </c>
      <c r="G1491" s="1" t="s">
        <v>53</v>
      </c>
      <c r="H1491" s="1" t="s">
        <v>2560</v>
      </c>
      <c r="I1491" s="1" t="s">
        <v>2561</v>
      </c>
      <c r="J1491" s="1" t="s">
        <v>79</v>
      </c>
      <c r="K1491" t="s">
        <v>132</v>
      </c>
      <c r="M1491" s="1" t="s">
        <v>58</v>
      </c>
      <c r="N1491" s="1">
        <v>0</v>
      </c>
      <c r="O1491" s="1" t="s">
        <v>105</v>
      </c>
      <c r="P1491" s="186">
        <v>44970.729305555556</v>
      </c>
      <c r="R1491" s="1">
        <v>14</v>
      </c>
      <c r="T1491" s="1" t="s">
        <v>238</v>
      </c>
      <c r="U1491" s="186">
        <v>44971.746122685188</v>
      </c>
      <c r="V1491" s="1" t="s">
        <v>41</v>
      </c>
      <c r="W1491" s="1" t="s">
        <v>49</v>
      </c>
    </row>
    <row r="1492" spans="1:23" hidden="1">
      <c r="A1492" s="1">
        <v>9477977</v>
      </c>
      <c r="B1492" s="1" t="s">
        <v>1970</v>
      </c>
      <c r="C1492" t="s">
        <v>1971</v>
      </c>
      <c r="D1492" s="2">
        <v>20230870000025</v>
      </c>
      <c r="E1492" s="2">
        <v>7417163283610</v>
      </c>
      <c r="F1492" s="1" t="s">
        <v>131</v>
      </c>
      <c r="G1492" s="1" t="s">
        <v>53</v>
      </c>
      <c r="H1492" s="1" t="s">
        <v>519</v>
      </c>
      <c r="I1492" s="1" t="s">
        <v>520</v>
      </c>
      <c r="J1492" s="1" t="s">
        <v>90</v>
      </c>
      <c r="K1492" t="s">
        <v>132</v>
      </c>
      <c r="M1492" s="1" t="s">
        <v>58</v>
      </c>
      <c r="N1492" s="1">
        <v>0</v>
      </c>
      <c r="O1492" s="1" t="s">
        <v>105</v>
      </c>
      <c r="P1492" s="186">
        <v>44970.727511574078</v>
      </c>
      <c r="R1492" s="1">
        <v>14</v>
      </c>
      <c r="T1492" s="1" t="s">
        <v>238</v>
      </c>
      <c r="U1492" s="186">
        <v>44971.735266203701</v>
      </c>
      <c r="V1492" s="1" t="s">
        <v>41</v>
      </c>
      <c r="W1492" s="1" t="s">
        <v>49</v>
      </c>
    </row>
    <row r="1493" spans="1:23" hidden="1">
      <c r="A1493" s="1">
        <v>9477966</v>
      </c>
      <c r="B1493" s="1" t="s">
        <v>1970</v>
      </c>
      <c r="C1493" t="s">
        <v>1971</v>
      </c>
      <c r="D1493" s="2">
        <v>20232678000013</v>
      </c>
      <c r="E1493" s="2">
        <v>7417163282981</v>
      </c>
      <c r="F1493" s="1" t="s">
        <v>131</v>
      </c>
      <c r="G1493" s="1" t="s">
        <v>53</v>
      </c>
      <c r="H1493" s="1" t="s">
        <v>2814</v>
      </c>
      <c r="I1493" s="1" t="s">
        <v>2815</v>
      </c>
      <c r="J1493" s="1" t="s">
        <v>33</v>
      </c>
      <c r="K1493" t="s">
        <v>132</v>
      </c>
      <c r="M1493" s="1" t="s">
        <v>58</v>
      </c>
      <c r="N1493" s="1">
        <v>0</v>
      </c>
      <c r="O1493" s="1" t="s">
        <v>105</v>
      </c>
      <c r="P1493" s="186">
        <v>44970.725960648146</v>
      </c>
      <c r="R1493" s="1">
        <v>15</v>
      </c>
      <c r="T1493" s="1" t="s">
        <v>238</v>
      </c>
      <c r="U1493" s="186">
        <v>44971.735243055555</v>
      </c>
      <c r="V1493" s="1" t="s">
        <v>41</v>
      </c>
      <c r="W1493" s="1" t="s">
        <v>42</v>
      </c>
    </row>
    <row r="1494" spans="1:23" hidden="1">
      <c r="A1494" s="1">
        <v>9477885</v>
      </c>
      <c r="B1494" s="1" t="s">
        <v>1970</v>
      </c>
      <c r="C1494" t="s">
        <v>1971</v>
      </c>
      <c r="D1494" s="2">
        <v>20231059000016</v>
      </c>
      <c r="E1494" s="2">
        <v>7417161482599</v>
      </c>
      <c r="F1494" s="1" t="s">
        <v>1217</v>
      </c>
      <c r="G1494" s="1" t="s">
        <v>53</v>
      </c>
      <c r="H1494" s="1" t="s">
        <v>1972</v>
      </c>
      <c r="I1494" s="1" t="s">
        <v>1973</v>
      </c>
      <c r="J1494" s="1" t="s">
        <v>90</v>
      </c>
      <c r="K1494" t="s">
        <v>1218</v>
      </c>
      <c r="M1494" s="1" t="s">
        <v>58</v>
      </c>
      <c r="N1494" s="1">
        <v>0</v>
      </c>
      <c r="O1494" s="1" t="s">
        <v>105</v>
      </c>
      <c r="P1494" s="186">
        <v>44970.718148148146</v>
      </c>
      <c r="R1494" s="1">
        <v>14</v>
      </c>
      <c r="T1494" s="1" t="s">
        <v>238</v>
      </c>
      <c r="U1494" s="186">
        <v>44971.731851851851</v>
      </c>
      <c r="V1494" s="1" t="s">
        <v>41</v>
      </c>
      <c r="W1494" s="1" t="s">
        <v>49</v>
      </c>
    </row>
    <row r="1495" spans="1:23" hidden="1">
      <c r="A1495" s="181">
        <v>9477841</v>
      </c>
      <c r="B1495" s="181" t="s">
        <v>1153</v>
      </c>
      <c r="C1495" s="182" t="s">
        <v>3500</v>
      </c>
      <c r="D1495" s="183">
        <v>230028573</v>
      </c>
      <c r="E1495" s="183">
        <v>2156001400020</v>
      </c>
      <c r="F1495" s="181" t="s">
        <v>1961</v>
      </c>
      <c r="G1495" s="181" t="s">
        <v>53</v>
      </c>
      <c r="H1495" s="181" t="s">
        <v>278</v>
      </c>
      <c r="I1495" s="181" t="s">
        <v>279</v>
      </c>
      <c r="J1495" s="181" t="s">
        <v>211</v>
      </c>
      <c r="K1495" t="s">
        <v>1962</v>
      </c>
      <c r="M1495" s="1" t="s">
        <v>58</v>
      </c>
      <c r="N1495" s="1">
        <v>0</v>
      </c>
      <c r="O1495" s="1" t="s">
        <v>36</v>
      </c>
      <c r="P1495" s="186">
        <v>44970.724305555559</v>
      </c>
      <c r="R1495" s="1">
        <v>4</v>
      </c>
      <c r="T1495" s="1" t="s">
        <v>646</v>
      </c>
      <c r="U1495" s="186">
        <v>44979.75</v>
      </c>
      <c r="V1495" s="1" t="s">
        <v>41</v>
      </c>
      <c r="W1495" s="1" t="s">
        <v>49</v>
      </c>
    </row>
    <row r="1496" spans="1:23" hidden="1">
      <c r="A1496" s="1">
        <v>9477809</v>
      </c>
      <c r="B1496" s="1" t="s">
        <v>1153</v>
      </c>
      <c r="C1496" t="s">
        <v>2834</v>
      </c>
      <c r="D1496" s="2">
        <v>20234844000449</v>
      </c>
      <c r="E1496" s="2">
        <v>7419143322508</v>
      </c>
      <c r="F1496" s="1" t="s">
        <v>1222</v>
      </c>
      <c r="G1496" s="1" t="s">
        <v>53</v>
      </c>
      <c r="H1496" s="1" t="s">
        <v>2632</v>
      </c>
      <c r="I1496" s="1" t="s">
        <v>2633</v>
      </c>
      <c r="J1496" s="1" t="s">
        <v>46</v>
      </c>
      <c r="K1496" t="s">
        <v>1223</v>
      </c>
      <c r="M1496" s="1" t="s">
        <v>58</v>
      </c>
      <c r="N1496" s="1">
        <v>0</v>
      </c>
      <c r="O1496" s="1" t="s">
        <v>105</v>
      </c>
      <c r="P1496" s="186">
        <v>44970.711851851855</v>
      </c>
      <c r="R1496" s="1">
        <v>13</v>
      </c>
      <c r="T1496" s="1" t="s">
        <v>238</v>
      </c>
      <c r="U1496" s="186">
        <v>44971.395833333336</v>
      </c>
      <c r="V1496" s="1" t="s">
        <v>41</v>
      </c>
      <c r="W1496" s="1" t="s">
        <v>49</v>
      </c>
    </row>
    <row r="1497" spans="1:23" hidden="1">
      <c r="A1497" s="1">
        <v>9477533</v>
      </c>
      <c r="B1497" s="1" t="s">
        <v>62</v>
      </c>
      <c r="C1497" t="s">
        <v>2845</v>
      </c>
      <c r="E1497" s="2">
        <v>7417183022889</v>
      </c>
      <c r="F1497" s="1" t="s">
        <v>1313</v>
      </c>
      <c r="G1497" s="1" t="s">
        <v>53</v>
      </c>
      <c r="H1497" s="1" t="s">
        <v>2846</v>
      </c>
      <c r="I1497" s="1" t="s">
        <v>2847</v>
      </c>
      <c r="J1497" s="1" t="s">
        <v>110</v>
      </c>
      <c r="K1497" t="s">
        <v>1316</v>
      </c>
      <c r="M1497" s="1" t="s">
        <v>58</v>
      </c>
      <c r="N1497" s="1">
        <v>0</v>
      </c>
      <c r="O1497" s="1" t="s">
        <v>105</v>
      </c>
      <c r="P1497" s="186">
        <v>44970.685370370367</v>
      </c>
      <c r="R1497" s="1">
        <v>14</v>
      </c>
      <c r="T1497" s="1" t="s">
        <v>238</v>
      </c>
      <c r="U1497" s="186">
        <v>44974.999305555553</v>
      </c>
      <c r="V1497" s="1" t="s">
        <v>41</v>
      </c>
      <c r="W1497" s="1" t="s">
        <v>49</v>
      </c>
    </row>
    <row r="1498" spans="1:23">
      <c r="A1498" s="173">
        <v>9477367</v>
      </c>
      <c r="B1498" s="173" t="s">
        <v>1153</v>
      </c>
      <c r="C1498" s="178" t="s">
        <v>3501</v>
      </c>
      <c r="D1498" s="174"/>
      <c r="E1498" s="174">
        <v>246000206021</v>
      </c>
      <c r="F1498" s="173" t="s">
        <v>103</v>
      </c>
      <c r="G1498" s="173" t="s">
        <v>53</v>
      </c>
      <c r="H1498" s="173" t="s">
        <v>1193</v>
      </c>
      <c r="I1498" s="173" t="s">
        <v>1194</v>
      </c>
      <c r="J1498" s="173" t="s">
        <v>85</v>
      </c>
      <c r="K1498" t="s">
        <v>104</v>
      </c>
      <c r="M1498" s="1" t="s">
        <v>58</v>
      </c>
      <c r="N1498" s="1">
        <v>0</v>
      </c>
      <c r="O1498" s="1" t="s">
        <v>36</v>
      </c>
      <c r="P1498" s="186">
        <v>44970.662222222221</v>
      </c>
      <c r="R1498" s="1" t="s">
        <v>38</v>
      </c>
      <c r="T1498" s="1" t="s">
        <v>74</v>
      </c>
      <c r="U1498" s="186">
        <v>44979.75</v>
      </c>
      <c r="V1498" s="1" t="s">
        <v>41</v>
      </c>
      <c r="W1498" s="1" t="s">
        <v>49</v>
      </c>
    </row>
    <row r="1499" spans="1:23" hidden="1">
      <c r="A1499" s="1">
        <v>9477347</v>
      </c>
      <c r="B1499" s="1" t="s">
        <v>1153</v>
      </c>
      <c r="C1499" t="s">
        <v>2849</v>
      </c>
      <c r="D1499" s="2">
        <v>20234844000448</v>
      </c>
      <c r="E1499" s="2">
        <v>7417183020602</v>
      </c>
      <c r="F1499" s="1" t="s">
        <v>1313</v>
      </c>
      <c r="G1499" s="1" t="s">
        <v>53</v>
      </c>
      <c r="H1499" s="1" t="s">
        <v>2850</v>
      </c>
      <c r="I1499" s="1" t="s">
        <v>2851</v>
      </c>
      <c r="J1499" s="1" t="s">
        <v>46</v>
      </c>
      <c r="K1499" t="s">
        <v>1316</v>
      </c>
      <c r="M1499" s="1" t="s">
        <v>58</v>
      </c>
      <c r="N1499" s="1">
        <v>0</v>
      </c>
      <c r="O1499" s="1" t="s">
        <v>105</v>
      </c>
      <c r="P1499" s="186">
        <v>44970.639490740738</v>
      </c>
      <c r="R1499" s="1">
        <v>13</v>
      </c>
      <c r="T1499" s="1" t="s">
        <v>238</v>
      </c>
      <c r="U1499" s="186">
        <v>44970.639490740738</v>
      </c>
      <c r="V1499" s="1" t="s">
        <v>41</v>
      </c>
      <c r="W1499" s="1" t="s">
        <v>49</v>
      </c>
    </row>
    <row r="1500" spans="1:23" hidden="1">
      <c r="A1500" s="1">
        <v>9477241</v>
      </c>
      <c r="B1500" s="1" t="s">
        <v>1153</v>
      </c>
      <c r="C1500" t="s">
        <v>2853</v>
      </c>
      <c r="D1500" s="2">
        <v>20231421000012</v>
      </c>
      <c r="E1500" s="2">
        <v>7417202021229</v>
      </c>
      <c r="F1500" s="1" t="s">
        <v>1213</v>
      </c>
      <c r="G1500" s="1" t="s">
        <v>53</v>
      </c>
      <c r="H1500" s="1" t="s">
        <v>2854</v>
      </c>
      <c r="I1500" s="1" t="s">
        <v>2855</v>
      </c>
      <c r="J1500" s="1" t="s">
        <v>79</v>
      </c>
      <c r="K1500" t="s">
        <v>1214</v>
      </c>
      <c r="M1500" s="1" t="s">
        <v>58</v>
      </c>
      <c r="N1500" s="1">
        <v>0</v>
      </c>
      <c r="O1500" s="1" t="s">
        <v>105</v>
      </c>
      <c r="P1500" s="186">
        <v>44970.63689814815</v>
      </c>
      <c r="R1500" s="1">
        <v>14</v>
      </c>
      <c r="T1500" s="1" t="s">
        <v>238</v>
      </c>
      <c r="U1500" s="186">
        <v>44970.63689814815</v>
      </c>
      <c r="V1500" s="1" t="s">
        <v>41</v>
      </c>
      <c r="W1500" s="1" t="s">
        <v>49</v>
      </c>
    </row>
    <row r="1501" spans="1:23" hidden="1">
      <c r="A1501" s="1">
        <v>9477100</v>
      </c>
      <c r="B1501" s="1" t="s">
        <v>1153</v>
      </c>
      <c r="C1501" t="s">
        <v>2857</v>
      </c>
      <c r="D1501" s="2">
        <v>20230711000013</v>
      </c>
      <c r="E1501" s="2">
        <v>7419141893475</v>
      </c>
      <c r="F1501" s="1" t="s">
        <v>128</v>
      </c>
      <c r="G1501" s="1" t="s">
        <v>53</v>
      </c>
      <c r="H1501" s="1" t="s">
        <v>2858</v>
      </c>
      <c r="I1501" s="1" t="s">
        <v>2859</v>
      </c>
      <c r="J1501" s="1" t="s">
        <v>79</v>
      </c>
      <c r="K1501" t="s">
        <v>129</v>
      </c>
      <c r="M1501" s="1" t="s">
        <v>58</v>
      </c>
      <c r="N1501" s="1">
        <v>0</v>
      </c>
      <c r="O1501" s="1" t="s">
        <v>105</v>
      </c>
      <c r="P1501" s="186">
        <v>44970.615069444444</v>
      </c>
      <c r="R1501" s="1">
        <v>14</v>
      </c>
      <c r="T1501" s="1" t="s">
        <v>238</v>
      </c>
      <c r="U1501" s="186">
        <v>44970.615069444444</v>
      </c>
      <c r="V1501" s="1" t="s">
        <v>41</v>
      </c>
      <c r="W1501" s="1" t="s">
        <v>49</v>
      </c>
    </row>
    <row r="1502" spans="1:23" hidden="1">
      <c r="A1502" s="1">
        <v>9477020</v>
      </c>
      <c r="B1502" s="1" t="s">
        <v>1153</v>
      </c>
      <c r="C1502" t="s">
        <v>2860</v>
      </c>
      <c r="D1502" s="2">
        <v>20232244000010</v>
      </c>
      <c r="E1502" s="2">
        <v>7419152431369</v>
      </c>
      <c r="F1502" s="1" t="s">
        <v>2744</v>
      </c>
      <c r="G1502" s="1" t="s">
        <v>53</v>
      </c>
      <c r="H1502" s="1" t="s">
        <v>1853</v>
      </c>
      <c r="I1502" s="1" t="s">
        <v>1854</v>
      </c>
      <c r="J1502" s="1" t="s">
        <v>79</v>
      </c>
      <c r="K1502" t="s">
        <v>2745</v>
      </c>
      <c r="M1502" s="1" t="s">
        <v>58</v>
      </c>
      <c r="N1502" s="1">
        <v>0</v>
      </c>
      <c r="O1502" s="1" t="s">
        <v>105</v>
      </c>
      <c r="P1502" s="186">
        <v>44970.60392361111</v>
      </c>
      <c r="R1502" s="1">
        <v>22</v>
      </c>
      <c r="T1502" s="1" t="s">
        <v>1160</v>
      </c>
      <c r="U1502" s="186">
        <v>44973.437256944446</v>
      </c>
      <c r="V1502" s="1" t="s">
        <v>41</v>
      </c>
      <c r="W1502" s="1" t="s">
        <v>49</v>
      </c>
    </row>
    <row r="1503" spans="1:23" hidden="1">
      <c r="A1503" s="1">
        <v>9476939</v>
      </c>
      <c r="B1503" s="1" t="s">
        <v>1153</v>
      </c>
      <c r="C1503" t="s">
        <v>2862</v>
      </c>
      <c r="D1503" s="2">
        <v>230028336</v>
      </c>
      <c r="E1503" s="2">
        <v>1128001400020</v>
      </c>
      <c r="F1503" s="1" t="s">
        <v>1961</v>
      </c>
      <c r="G1503" s="1" t="s">
        <v>53</v>
      </c>
      <c r="H1503" s="1" t="s">
        <v>1191</v>
      </c>
      <c r="I1503" s="1" t="s">
        <v>1192</v>
      </c>
      <c r="J1503" s="1" t="s">
        <v>33</v>
      </c>
      <c r="K1503" t="s">
        <v>1962</v>
      </c>
      <c r="M1503" s="1" t="s">
        <v>58</v>
      </c>
      <c r="N1503" s="1">
        <v>0</v>
      </c>
      <c r="O1503" s="1" t="s">
        <v>36</v>
      </c>
      <c r="P1503" s="186">
        <v>44970.599305555559</v>
      </c>
      <c r="R1503" s="1">
        <v>4</v>
      </c>
      <c r="T1503" s="1" t="s">
        <v>646</v>
      </c>
      <c r="U1503" s="186">
        <v>44979.520833333336</v>
      </c>
      <c r="V1503" s="1" t="s">
        <v>41</v>
      </c>
      <c r="W1503" s="1" t="s">
        <v>49</v>
      </c>
    </row>
    <row r="1504" spans="1:23" hidden="1">
      <c r="A1504" s="1">
        <v>9476906</v>
      </c>
      <c r="B1504" s="1" t="s">
        <v>1153</v>
      </c>
      <c r="C1504" t="s">
        <v>2863</v>
      </c>
      <c r="D1504" s="2">
        <v>20234844000446</v>
      </c>
      <c r="E1504" s="2">
        <v>7417183020619</v>
      </c>
      <c r="F1504" s="1" t="s">
        <v>1313</v>
      </c>
      <c r="G1504" s="1" t="s">
        <v>53</v>
      </c>
      <c r="H1504" s="1" t="s">
        <v>2493</v>
      </c>
      <c r="I1504" s="1" t="s">
        <v>2494</v>
      </c>
      <c r="J1504" s="1" t="s">
        <v>46</v>
      </c>
      <c r="K1504" t="s">
        <v>1316</v>
      </c>
      <c r="M1504" s="1" t="s">
        <v>58</v>
      </c>
      <c r="N1504" s="1">
        <v>0</v>
      </c>
      <c r="O1504" s="1" t="s">
        <v>105</v>
      </c>
      <c r="P1504" s="186">
        <v>44970.57335648148</v>
      </c>
      <c r="R1504" s="1">
        <v>13</v>
      </c>
      <c r="T1504" s="1" t="s">
        <v>238</v>
      </c>
      <c r="U1504" s="186">
        <v>44970.57335648148</v>
      </c>
      <c r="V1504" s="1" t="s">
        <v>41</v>
      </c>
      <c r="W1504" s="1" t="s">
        <v>49</v>
      </c>
    </row>
    <row r="1505" spans="1:23" hidden="1">
      <c r="A1505" s="1">
        <v>9476840</v>
      </c>
      <c r="B1505" s="1" t="s">
        <v>1153</v>
      </c>
      <c r="C1505" t="s">
        <v>2864</v>
      </c>
      <c r="D1505" s="2">
        <v>20232219000012</v>
      </c>
      <c r="E1505" s="2">
        <v>7417163284045</v>
      </c>
      <c r="F1505" s="1" t="s">
        <v>131</v>
      </c>
      <c r="G1505" s="1" t="s">
        <v>53</v>
      </c>
      <c r="H1505" s="1" t="s">
        <v>1980</v>
      </c>
      <c r="I1505" s="1" t="s">
        <v>1981</v>
      </c>
      <c r="J1505" s="1" t="s">
        <v>141</v>
      </c>
      <c r="K1505" t="s">
        <v>132</v>
      </c>
      <c r="M1505" s="1" t="s">
        <v>58</v>
      </c>
      <c r="N1505" s="1">
        <v>0</v>
      </c>
      <c r="O1505" s="1" t="s">
        <v>36</v>
      </c>
      <c r="P1505" s="186">
        <v>44970.570092592592</v>
      </c>
      <c r="R1505" s="1">
        <v>14</v>
      </c>
      <c r="T1505" s="1" t="s">
        <v>238</v>
      </c>
      <c r="U1505" s="186">
        <v>44970.570092592592</v>
      </c>
      <c r="V1505" s="1" t="s">
        <v>41</v>
      </c>
      <c r="W1505" s="1" t="s">
        <v>49</v>
      </c>
    </row>
    <row r="1506" spans="1:23" hidden="1">
      <c r="A1506" s="1">
        <v>9476686</v>
      </c>
      <c r="B1506" s="1" t="s">
        <v>1153</v>
      </c>
      <c r="C1506" t="s">
        <v>2865</v>
      </c>
      <c r="D1506" s="2">
        <v>20238074000005</v>
      </c>
      <c r="E1506" s="2">
        <v>7417210950046</v>
      </c>
      <c r="F1506" s="1" t="s">
        <v>1213</v>
      </c>
      <c r="G1506" s="1" t="s">
        <v>53</v>
      </c>
      <c r="H1506" s="1" t="s">
        <v>2866</v>
      </c>
      <c r="I1506" s="1" t="s">
        <v>2867</v>
      </c>
      <c r="J1506" s="1" t="s">
        <v>33</v>
      </c>
      <c r="K1506" t="s">
        <v>1214</v>
      </c>
      <c r="M1506" s="1" t="s">
        <v>58</v>
      </c>
      <c r="N1506" s="1">
        <v>0</v>
      </c>
      <c r="O1506" s="1" t="s">
        <v>36</v>
      </c>
      <c r="P1506" s="186">
        <v>44970.548368055555</v>
      </c>
      <c r="R1506" s="1">
        <v>14</v>
      </c>
      <c r="T1506" s="1" t="s">
        <v>238</v>
      </c>
      <c r="U1506" s="186">
        <v>44970.548368055555</v>
      </c>
      <c r="V1506" s="1" t="s">
        <v>41</v>
      </c>
      <c r="W1506" s="1" t="s">
        <v>49</v>
      </c>
    </row>
    <row r="1507" spans="1:23" hidden="1">
      <c r="A1507" s="1">
        <v>9476606</v>
      </c>
      <c r="B1507" s="1" t="s">
        <v>1153</v>
      </c>
      <c r="C1507" t="s">
        <v>2869</v>
      </c>
      <c r="D1507" s="2">
        <v>20234923000066</v>
      </c>
      <c r="E1507" s="2">
        <v>7417161480617</v>
      </c>
      <c r="F1507" s="1" t="s">
        <v>1979</v>
      </c>
      <c r="G1507" s="1" t="s">
        <v>53</v>
      </c>
      <c r="H1507" s="1" t="s">
        <v>2870</v>
      </c>
      <c r="I1507" s="1" t="s">
        <v>2871</v>
      </c>
      <c r="J1507" s="1" t="s">
        <v>46</v>
      </c>
      <c r="K1507" t="s">
        <v>1982</v>
      </c>
      <c r="M1507" s="1" t="s">
        <v>58</v>
      </c>
      <c r="N1507" s="1">
        <v>0</v>
      </c>
      <c r="O1507" s="1" t="s">
        <v>105</v>
      </c>
      <c r="P1507" s="186">
        <v>44970.53162037037</v>
      </c>
      <c r="R1507" s="1">
        <v>13</v>
      </c>
      <c r="T1507" s="1" t="s">
        <v>238</v>
      </c>
      <c r="U1507" s="186">
        <v>44970.53162037037</v>
      </c>
      <c r="V1507" s="1" t="s">
        <v>41</v>
      </c>
      <c r="W1507" s="1" t="s">
        <v>49</v>
      </c>
    </row>
    <row r="1508" spans="1:23" hidden="1">
      <c r="A1508" s="1">
        <v>9476598</v>
      </c>
      <c r="B1508" s="1" t="s">
        <v>1153</v>
      </c>
      <c r="C1508" t="s">
        <v>2872</v>
      </c>
      <c r="D1508" s="2">
        <v>20234844000445</v>
      </c>
      <c r="E1508" s="2">
        <v>7417172789396</v>
      </c>
      <c r="F1508" s="1" t="s">
        <v>1989</v>
      </c>
      <c r="G1508" s="1" t="s">
        <v>53</v>
      </c>
      <c r="H1508" s="1" t="s">
        <v>2873</v>
      </c>
      <c r="I1508" s="1" t="s">
        <v>2874</v>
      </c>
      <c r="J1508" s="1" t="s">
        <v>46</v>
      </c>
      <c r="K1508" t="s">
        <v>1990</v>
      </c>
      <c r="M1508" s="1" t="s">
        <v>58</v>
      </c>
      <c r="N1508" s="1">
        <v>0</v>
      </c>
      <c r="O1508" s="1" t="s">
        <v>36</v>
      </c>
      <c r="P1508" s="186">
        <v>44970.5393287037</v>
      </c>
      <c r="R1508" s="1">
        <v>22</v>
      </c>
      <c r="T1508" s="1" t="s">
        <v>1160</v>
      </c>
      <c r="U1508" s="186">
        <v>44972.747662037036</v>
      </c>
      <c r="V1508" s="1" t="s">
        <v>41</v>
      </c>
      <c r="W1508" s="1" t="s">
        <v>49</v>
      </c>
    </row>
    <row r="1509" spans="1:23" hidden="1">
      <c r="A1509" s="1">
        <v>9476530</v>
      </c>
      <c r="B1509" s="1" t="s">
        <v>1153</v>
      </c>
      <c r="C1509" t="s">
        <v>2880</v>
      </c>
      <c r="D1509" s="2">
        <v>20231732000010</v>
      </c>
      <c r="E1509" s="2">
        <v>7417202020715</v>
      </c>
      <c r="F1509" s="1" t="s">
        <v>1213</v>
      </c>
      <c r="G1509" s="1" t="s">
        <v>53</v>
      </c>
      <c r="H1509" s="1" t="s">
        <v>2361</v>
      </c>
      <c r="I1509" s="1" t="s">
        <v>2362</v>
      </c>
      <c r="J1509" s="1" t="s">
        <v>164</v>
      </c>
      <c r="K1509" t="s">
        <v>1214</v>
      </c>
      <c r="M1509" s="1" t="s">
        <v>58</v>
      </c>
      <c r="N1509" s="1">
        <v>0</v>
      </c>
      <c r="O1509" s="1" t="s">
        <v>36</v>
      </c>
      <c r="P1509" s="186">
        <v>44970.521909722222</v>
      </c>
      <c r="R1509" s="1">
        <v>14</v>
      </c>
      <c r="T1509" s="1" t="s">
        <v>238</v>
      </c>
      <c r="U1509" s="186">
        <v>44970.521909722222</v>
      </c>
      <c r="V1509" s="1" t="s">
        <v>41</v>
      </c>
      <c r="W1509" s="1" t="s">
        <v>49</v>
      </c>
    </row>
    <row r="1510" spans="1:23" hidden="1">
      <c r="A1510" s="1">
        <v>9476515</v>
      </c>
      <c r="B1510" s="1" t="s">
        <v>1153</v>
      </c>
      <c r="C1510" t="s">
        <v>3175</v>
      </c>
      <c r="D1510" s="2">
        <v>20231421000011</v>
      </c>
      <c r="E1510" s="2">
        <v>7417202021230</v>
      </c>
      <c r="F1510" s="1" t="s">
        <v>1213</v>
      </c>
      <c r="G1510" s="1" t="s">
        <v>53</v>
      </c>
      <c r="H1510" s="1" t="s">
        <v>2854</v>
      </c>
      <c r="I1510" s="1" t="s">
        <v>2855</v>
      </c>
      <c r="J1510" s="1" t="s">
        <v>79</v>
      </c>
      <c r="K1510" t="s">
        <v>1214</v>
      </c>
      <c r="M1510" s="1" t="s">
        <v>58</v>
      </c>
      <c r="N1510" s="1">
        <v>0</v>
      </c>
      <c r="O1510" s="1" t="s">
        <v>105</v>
      </c>
      <c r="P1510" s="186">
        <v>44970.523252314815</v>
      </c>
      <c r="R1510" s="1">
        <v>14</v>
      </c>
      <c r="T1510" s="1" t="s">
        <v>238</v>
      </c>
      <c r="U1510" s="186">
        <v>44970.523252314815</v>
      </c>
      <c r="V1510" s="1" t="s">
        <v>41</v>
      </c>
      <c r="W1510" s="1" t="s">
        <v>49</v>
      </c>
    </row>
    <row r="1511" spans="1:23" hidden="1">
      <c r="A1511" s="1">
        <v>9476444</v>
      </c>
      <c r="B1511" s="1" t="s">
        <v>1153</v>
      </c>
      <c r="C1511" t="s">
        <v>2882</v>
      </c>
      <c r="D1511" s="2">
        <v>20234844000442</v>
      </c>
      <c r="E1511" s="2">
        <v>7417183020644</v>
      </c>
      <c r="F1511" s="1" t="s">
        <v>1313</v>
      </c>
      <c r="G1511" s="1" t="s">
        <v>53</v>
      </c>
      <c r="H1511" s="1" t="s">
        <v>2883</v>
      </c>
      <c r="I1511" s="1" t="s">
        <v>2884</v>
      </c>
      <c r="J1511" s="1" t="s">
        <v>46</v>
      </c>
      <c r="K1511" t="s">
        <v>1316</v>
      </c>
      <c r="M1511" s="1" t="s">
        <v>58</v>
      </c>
      <c r="N1511" s="1">
        <v>0</v>
      </c>
      <c r="O1511" s="1" t="s">
        <v>36</v>
      </c>
      <c r="P1511" s="186">
        <v>44970.516076388885</v>
      </c>
      <c r="R1511" s="1">
        <v>13</v>
      </c>
      <c r="T1511" s="1" t="s">
        <v>238</v>
      </c>
      <c r="U1511" s="186">
        <v>44970.516076388885</v>
      </c>
      <c r="V1511" s="1" t="s">
        <v>41</v>
      </c>
      <c r="W1511" s="1" t="s">
        <v>49</v>
      </c>
    </row>
    <row r="1512" spans="1:23" hidden="1">
      <c r="A1512" s="1">
        <v>9476408</v>
      </c>
      <c r="B1512" s="1" t="s">
        <v>1153</v>
      </c>
      <c r="C1512" t="s">
        <v>2886</v>
      </c>
      <c r="E1512" s="2">
        <v>1732000203010</v>
      </c>
      <c r="F1512" s="1" t="s">
        <v>152</v>
      </c>
      <c r="G1512" s="1" t="s">
        <v>53</v>
      </c>
      <c r="H1512" s="1" t="s">
        <v>177</v>
      </c>
      <c r="I1512" s="1" t="s">
        <v>178</v>
      </c>
      <c r="J1512" s="1" t="s">
        <v>164</v>
      </c>
      <c r="K1512" t="s">
        <v>155</v>
      </c>
      <c r="M1512" s="1" t="s">
        <v>35</v>
      </c>
      <c r="N1512" s="1">
        <v>42318949</v>
      </c>
      <c r="O1512" s="1" t="s">
        <v>36</v>
      </c>
      <c r="P1512" s="186">
        <v>44970.517604166664</v>
      </c>
      <c r="R1512" s="1">
        <v>1</v>
      </c>
      <c r="T1512" s="1" t="s">
        <v>157</v>
      </c>
      <c r="U1512" s="186">
        <v>44971.517604166664</v>
      </c>
      <c r="V1512" s="1" t="s">
        <v>41</v>
      </c>
      <c r="W1512" s="1" t="s">
        <v>49</v>
      </c>
    </row>
    <row r="1513" spans="1:23" hidden="1">
      <c r="A1513" s="1">
        <v>9476344</v>
      </c>
      <c r="B1513" s="1" t="s">
        <v>1153</v>
      </c>
      <c r="C1513" t="s">
        <v>2888</v>
      </c>
      <c r="E1513" s="2">
        <v>2830000206001</v>
      </c>
      <c r="F1513" s="1" t="s">
        <v>29</v>
      </c>
      <c r="G1513" s="1" t="s">
        <v>53</v>
      </c>
      <c r="H1513" s="1" t="s">
        <v>448</v>
      </c>
      <c r="I1513" s="1" t="s">
        <v>449</v>
      </c>
      <c r="J1513" s="1" t="s">
        <v>33</v>
      </c>
      <c r="K1513" t="s">
        <v>34</v>
      </c>
      <c r="M1513" s="1" t="s">
        <v>35</v>
      </c>
      <c r="N1513" s="1">
        <v>42318949</v>
      </c>
      <c r="O1513" s="1" t="s">
        <v>36</v>
      </c>
      <c r="P1513" s="186">
        <v>44970.510833333334</v>
      </c>
      <c r="R1513" s="1" t="s">
        <v>38</v>
      </c>
      <c r="T1513" s="1" t="s">
        <v>74</v>
      </c>
      <c r="U1513" s="186">
        <v>44979.458333333336</v>
      </c>
      <c r="V1513" s="1" t="s">
        <v>41</v>
      </c>
      <c r="W1513" s="1" t="s">
        <v>42</v>
      </c>
    </row>
    <row r="1514" spans="1:23" hidden="1">
      <c r="A1514" s="1">
        <v>9476284</v>
      </c>
      <c r="B1514" s="1" t="s">
        <v>1153</v>
      </c>
      <c r="C1514" t="s">
        <v>2889</v>
      </c>
      <c r="D1514" s="2">
        <v>20230067000017</v>
      </c>
      <c r="E1514" s="2">
        <v>7417202020224</v>
      </c>
      <c r="F1514" s="1" t="s">
        <v>1213</v>
      </c>
      <c r="G1514" s="1" t="s">
        <v>53</v>
      </c>
      <c r="H1514" s="1" t="s">
        <v>2091</v>
      </c>
      <c r="I1514" s="1" t="s">
        <v>2092</v>
      </c>
      <c r="J1514" s="1" t="s">
        <v>164</v>
      </c>
      <c r="K1514" t="s">
        <v>1214</v>
      </c>
      <c r="M1514" s="1" t="s">
        <v>58</v>
      </c>
      <c r="N1514" s="1">
        <v>0</v>
      </c>
      <c r="O1514" s="1" t="s">
        <v>36</v>
      </c>
      <c r="P1514" s="186">
        <v>44970.48914351852</v>
      </c>
      <c r="R1514" s="1">
        <v>14</v>
      </c>
      <c r="T1514" s="1" t="s">
        <v>238</v>
      </c>
      <c r="U1514" s="186">
        <v>44970.48914351852</v>
      </c>
      <c r="V1514" s="1" t="s">
        <v>41</v>
      </c>
      <c r="W1514" s="1" t="s">
        <v>49</v>
      </c>
    </row>
    <row r="1515" spans="1:23" hidden="1">
      <c r="A1515" s="1">
        <v>9476194</v>
      </c>
      <c r="B1515" s="1" t="s">
        <v>1153</v>
      </c>
      <c r="C1515" t="s">
        <v>2890</v>
      </c>
      <c r="D1515" s="2">
        <v>20231739000003</v>
      </c>
      <c r="E1515" s="2">
        <v>7417210950311</v>
      </c>
      <c r="F1515" s="1" t="s">
        <v>1213</v>
      </c>
      <c r="G1515" s="1" t="s">
        <v>53</v>
      </c>
      <c r="H1515" s="1" t="s">
        <v>2891</v>
      </c>
      <c r="I1515" s="1" t="s">
        <v>2892</v>
      </c>
      <c r="J1515" s="1" t="s">
        <v>164</v>
      </c>
      <c r="K1515" t="s">
        <v>1214</v>
      </c>
      <c r="M1515" s="1" t="s">
        <v>58</v>
      </c>
      <c r="N1515" s="1">
        <v>0</v>
      </c>
      <c r="O1515" s="1" t="s">
        <v>36</v>
      </c>
      <c r="P1515" s="186">
        <v>44970.482349537036</v>
      </c>
      <c r="R1515" s="1">
        <v>14</v>
      </c>
      <c r="T1515" s="1" t="s">
        <v>238</v>
      </c>
      <c r="U1515" s="186">
        <v>44970.482349537036</v>
      </c>
      <c r="V1515" s="1" t="s">
        <v>41</v>
      </c>
      <c r="W1515" s="1" t="s">
        <v>49</v>
      </c>
    </row>
    <row r="1516" spans="1:23" hidden="1">
      <c r="A1516" s="1">
        <v>9476101</v>
      </c>
      <c r="B1516" s="1" t="s">
        <v>1153</v>
      </c>
      <c r="C1516" t="s">
        <v>2894</v>
      </c>
      <c r="D1516" s="2">
        <v>20231052000012</v>
      </c>
      <c r="E1516" s="2">
        <v>7417183020683</v>
      </c>
      <c r="F1516" s="1" t="s">
        <v>1313</v>
      </c>
      <c r="G1516" s="1" t="s">
        <v>53</v>
      </c>
      <c r="H1516" s="1" t="s">
        <v>2560</v>
      </c>
      <c r="I1516" s="1" t="s">
        <v>2561</v>
      </c>
      <c r="J1516" s="1" t="s">
        <v>79</v>
      </c>
      <c r="K1516" t="s">
        <v>1316</v>
      </c>
      <c r="M1516" s="1" t="s">
        <v>58</v>
      </c>
      <c r="N1516" s="1">
        <v>0</v>
      </c>
      <c r="O1516" s="1" t="s">
        <v>105</v>
      </c>
      <c r="P1516" s="186">
        <v>44970.475324074076</v>
      </c>
      <c r="R1516" s="1">
        <v>14</v>
      </c>
      <c r="T1516" s="1" t="s">
        <v>238</v>
      </c>
      <c r="U1516" s="186">
        <v>44970.475324074076</v>
      </c>
      <c r="V1516" s="1" t="s">
        <v>41</v>
      </c>
      <c r="W1516" s="1" t="s">
        <v>49</v>
      </c>
    </row>
    <row r="1517" spans="1:23" hidden="1">
      <c r="A1517" s="181">
        <v>9475814</v>
      </c>
      <c r="B1517" s="181" t="s">
        <v>1153</v>
      </c>
      <c r="C1517" s="182" t="s">
        <v>3502</v>
      </c>
      <c r="D1517" s="183">
        <v>20234119000010</v>
      </c>
      <c r="E1517" s="183">
        <v>7417202020221</v>
      </c>
      <c r="F1517" s="181" t="s">
        <v>1213</v>
      </c>
      <c r="G1517" s="181" t="s">
        <v>53</v>
      </c>
      <c r="H1517" s="181" t="s">
        <v>2053</v>
      </c>
      <c r="I1517" s="181" t="s">
        <v>2054</v>
      </c>
      <c r="J1517" s="181" t="s">
        <v>211</v>
      </c>
      <c r="K1517" t="s">
        <v>1214</v>
      </c>
      <c r="M1517" s="1" t="s">
        <v>58</v>
      </c>
      <c r="N1517" s="1">
        <v>0</v>
      </c>
      <c r="O1517" s="1" t="s">
        <v>105</v>
      </c>
      <c r="P1517" s="186">
        <v>44970.438634259262</v>
      </c>
      <c r="R1517" s="1">
        <v>14</v>
      </c>
      <c r="T1517" s="1" t="s">
        <v>238</v>
      </c>
      <c r="U1517" s="186">
        <v>44970.438634259262</v>
      </c>
      <c r="V1517" s="1" t="s">
        <v>41</v>
      </c>
      <c r="W1517" s="1" t="s">
        <v>49</v>
      </c>
    </row>
    <row r="1518" spans="1:23" hidden="1">
      <c r="A1518" s="1">
        <v>9475811</v>
      </c>
      <c r="B1518" s="1" t="s">
        <v>1153</v>
      </c>
      <c r="C1518" t="s">
        <v>2898</v>
      </c>
      <c r="D1518" s="2">
        <v>20234844000437</v>
      </c>
      <c r="E1518" s="2">
        <v>7417202734139</v>
      </c>
      <c r="F1518" s="1" t="s">
        <v>1727</v>
      </c>
      <c r="G1518" s="1" t="s">
        <v>53</v>
      </c>
      <c r="H1518" s="1" t="s">
        <v>2690</v>
      </c>
      <c r="I1518" s="1" t="s">
        <v>2691</v>
      </c>
      <c r="J1518" s="1" t="s">
        <v>46</v>
      </c>
      <c r="K1518" t="s">
        <v>1728</v>
      </c>
      <c r="M1518" s="1" t="s">
        <v>58</v>
      </c>
      <c r="N1518" s="1">
        <v>0</v>
      </c>
      <c r="O1518" s="1" t="s">
        <v>36</v>
      </c>
      <c r="P1518" s="186">
        <v>44970.433819444443</v>
      </c>
      <c r="R1518" s="1">
        <v>22</v>
      </c>
      <c r="T1518" s="1" t="s">
        <v>1160</v>
      </c>
      <c r="U1518" s="186">
        <v>44972.642152777778</v>
      </c>
      <c r="V1518" s="1" t="s">
        <v>41</v>
      </c>
      <c r="W1518" s="1" t="s">
        <v>49</v>
      </c>
    </row>
    <row r="1519" spans="1:23" hidden="1">
      <c r="A1519" s="181">
        <v>9475757</v>
      </c>
      <c r="B1519" s="181" t="s">
        <v>1153</v>
      </c>
      <c r="C1519" s="185" t="s">
        <v>2903</v>
      </c>
      <c r="D1519" s="183">
        <v>230028057</v>
      </c>
      <c r="E1519" s="183">
        <v>2437001400010</v>
      </c>
      <c r="F1519" s="181" t="s">
        <v>936</v>
      </c>
      <c r="G1519" s="181" t="s">
        <v>53</v>
      </c>
      <c r="H1519" s="181" t="s">
        <v>416</v>
      </c>
      <c r="I1519" s="181" t="s">
        <v>417</v>
      </c>
      <c r="J1519" s="181" t="s">
        <v>211</v>
      </c>
      <c r="K1519" t="s">
        <v>937</v>
      </c>
      <c r="M1519" s="1" t="s">
        <v>58</v>
      </c>
      <c r="N1519" s="1">
        <v>0</v>
      </c>
      <c r="O1519" s="1" t="s">
        <v>36</v>
      </c>
      <c r="P1519" s="186">
        <v>44970.445625</v>
      </c>
      <c r="R1519" s="1">
        <v>3</v>
      </c>
      <c r="T1519" s="1" t="s">
        <v>646</v>
      </c>
      <c r="U1519" s="186">
        <v>44984.586805555555</v>
      </c>
      <c r="V1519" s="1" t="s">
        <v>41</v>
      </c>
      <c r="W1519" s="1" t="s">
        <v>49</v>
      </c>
    </row>
    <row r="1520" spans="1:23" hidden="1">
      <c r="A1520" s="1">
        <v>9475584</v>
      </c>
      <c r="B1520" s="1" t="s">
        <v>101</v>
      </c>
      <c r="C1520" t="s">
        <v>1740</v>
      </c>
      <c r="E1520" s="2">
        <v>7419151140262</v>
      </c>
      <c r="F1520" s="1" t="s">
        <v>2058</v>
      </c>
      <c r="G1520" s="1" t="s">
        <v>53</v>
      </c>
      <c r="H1520" s="1" t="s">
        <v>2910</v>
      </c>
      <c r="I1520" s="1" t="s">
        <v>2911</v>
      </c>
      <c r="J1520" s="1" t="s">
        <v>90</v>
      </c>
      <c r="K1520" t="s">
        <v>2061</v>
      </c>
      <c r="M1520" s="1" t="s">
        <v>58</v>
      </c>
      <c r="N1520" s="1">
        <v>0</v>
      </c>
      <c r="O1520" s="1" t="s">
        <v>36</v>
      </c>
      <c r="P1520" s="186">
        <v>44970.429606481484</v>
      </c>
      <c r="R1520" s="1">
        <v>14</v>
      </c>
      <c r="T1520" s="1" t="s">
        <v>238</v>
      </c>
      <c r="U1520" s="186">
        <v>44970.429606481484</v>
      </c>
      <c r="V1520" s="1" t="s">
        <v>41</v>
      </c>
      <c r="W1520" s="1" t="s">
        <v>49</v>
      </c>
    </row>
    <row r="1521" spans="1:23" hidden="1">
      <c r="A1521" s="1">
        <v>9475572</v>
      </c>
      <c r="B1521" s="1" t="s">
        <v>1153</v>
      </c>
      <c r="C1521" t="s">
        <v>2915</v>
      </c>
      <c r="D1521" s="2">
        <v>20234844000436</v>
      </c>
      <c r="E1521" s="2">
        <v>7417163284247</v>
      </c>
      <c r="F1521" s="1" t="s">
        <v>131</v>
      </c>
      <c r="G1521" s="1" t="s">
        <v>53</v>
      </c>
      <c r="H1521" s="1" t="s">
        <v>2883</v>
      </c>
      <c r="I1521" s="1" t="s">
        <v>2884</v>
      </c>
      <c r="J1521" s="1" t="s">
        <v>46</v>
      </c>
      <c r="K1521" t="s">
        <v>132</v>
      </c>
      <c r="M1521" s="1" t="s">
        <v>58</v>
      </c>
      <c r="N1521" s="1">
        <v>0</v>
      </c>
      <c r="O1521" s="1" t="s">
        <v>36</v>
      </c>
      <c r="P1521" s="186">
        <v>44970.41510416667</v>
      </c>
      <c r="R1521" s="1">
        <v>13</v>
      </c>
      <c r="T1521" s="1" t="s">
        <v>238</v>
      </c>
      <c r="U1521" s="186">
        <v>44970.41510416667</v>
      </c>
      <c r="V1521" s="1" t="s">
        <v>41</v>
      </c>
      <c r="W1521" s="1" t="s">
        <v>49</v>
      </c>
    </row>
    <row r="1522" spans="1:23" hidden="1">
      <c r="A1522" s="1">
        <v>9475571</v>
      </c>
      <c r="B1522" s="1" t="s">
        <v>1153</v>
      </c>
      <c r="C1522" t="s">
        <v>2916</v>
      </c>
      <c r="D1522" s="2">
        <v>20238889000056</v>
      </c>
      <c r="E1522" s="2">
        <v>7417163282971</v>
      </c>
      <c r="F1522" s="1" t="s">
        <v>131</v>
      </c>
      <c r="G1522" s="1" t="s">
        <v>53</v>
      </c>
      <c r="H1522" s="1" t="s">
        <v>2917</v>
      </c>
      <c r="I1522" s="1" t="s">
        <v>2918</v>
      </c>
      <c r="J1522" s="1" t="s">
        <v>33</v>
      </c>
      <c r="K1522" t="s">
        <v>132</v>
      </c>
      <c r="M1522" s="1" t="s">
        <v>58</v>
      </c>
      <c r="N1522" s="1">
        <v>0</v>
      </c>
      <c r="O1522" s="1" t="s">
        <v>36</v>
      </c>
      <c r="P1522" s="186">
        <v>44970.421655092592</v>
      </c>
      <c r="R1522" s="1">
        <v>14</v>
      </c>
      <c r="T1522" s="1" t="s">
        <v>238</v>
      </c>
      <c r="U1522" s="186">
        <v>44970.421655092592</v>
      </c>
      <c r="V1522" s="1" t="s">
        <v>41</v>
      </c>
      <c r="W1522" s="1" t="s">
        <v>49</v>
      </c>
    </row>
    <row r="1523" spans="1:23" hidden="1">
      <c r="A1523" s="1">
        <v>9475564</v>
      </c>
      <c r="B1523" s="1" t="s">
        <v>1153</v>
      </c>
      <c r="C1523" t="s">
        <v>2921</v>
      </c>
      <c r="D1523" s="2">
        <v>20231363000016</v>
      </c>
      <c r="E1523" s="2">
        <v>7419152461296</v>
      </c>
      <c r="F1523" s="1" t="s">
        <v>2744</v>
      </c>
      <c r="G1523" s="1" t="s">
        <v>53</v>
      </c>
      <c r="H1523" s="1" t="s">
        <v>108</v>
      </c>
      <c r="I1523" s="1" t="s">
        <v>109</v>
      </c>
      <c r="J1523" s="1" t="s">
        <v>110</v>
      </c>
      <c r="K1523" t="s">
        <v>2745</v>
      </c>
      <c r="M1523" s="1" t="s">
        <v>58</v>
      </c>
      <c r="N1523" s="1">
        <v>0</v>
      </c>
      <c r="O1523" s="1" t="s">
        <v>36</v>
      </c>
      <c r="P1523" s="186">
        <v>44970.422500000001</v>
      </c>
      <c r="R1523" s="1">
        <v>22</v>
      </c>
      <c r="T1523" s="1" t="s">
        <v>1160</v>
      </c>
      <c r="U1523" s="186">
        <v>44972.630833333336</v>
      </c>
      <c r="V1523" s="1" t="s">
        <v>41</v>
      </c>
      <c r="W1523" s="1" t="s">
        <v>49</v>
      </c>
    </row>
    <row r="1524" spans="1:23" hidden="1">
      <c r="A1524" s="1">
        <v>9475382</v>
      </c>
      <c r="B1524" s="1" t="s">
        <v>1153</v>
      </c>
      <c r="C1524" t="s">
        <v>2924</v>
      </c>
      <c r="D1524" s="2">
        <v>20232388000005</v>
      </c>
      <c r="E1524" s="2">
        <v>7417183024351</v>
      </c>
      <c r="F1524" s="1" t="s">
        <v>1313</v>
      </c>
      <c r="G1524" s="1" t="s">
        <v>53</v>
      </c>
      <c r="H1524" s="1" t="s">
        <v>2925</v>
      </c>
      <c r="I1524" s="1" t="s">
        <v>2926</v>
      </c>
      <c r="J1524" s="1" t="s">
        <v>79</v>
      </c>
      <c r="K1524" t="s">
        <v>1316</v>
      </c>
      <c r="M1524" s="1" t="s">
        <v>58</v>
      </c>
      <c r="N1524" s="1">
        <v>0</v>
      </c>
      <c r="O1524" s="1" t="s">
        <v>105</v>
      </c>
      <c r="P1524" s="186">
        <v>44970.411215277774</v>
      </c>
      <c r="R1524" s="1">
        <v>14</v>
      </c>
      <c r="T1524" s="1" t="s">
        <v>238</v>
      </c>
      <c r="U1524" s="186">
        <v>44970.411215277774</v>
      </c>
      <c r="V1524" s="1" t="s">
        <v>41</v>
      </c>
      <c r="W1524" s="1" t="s">
        <v>49</v>
      </c>
    </row>
    <row r="1525" spans="1:23" hidden="1">
      <c r="A1525" s="1">
        <v>9475280</v>
      </c>
      <c r="B1525" s="1" t="s">
        <v>1153</v>
      </c>
      <c r="C1525" t="s">
        <v>2927</v>
      </c>
      <c r="D1525" s="2">
        <v>20231792000008</v>
      </c>
      <c r="E1525" s="2">
        <v>7417183020630</v>
      </c>
      <c r="F1525" s="1" t="s">
        <v>1313</v>
      </c>
      <c r="G1525" s="1" t="s">
        <v>53</v>
      </c>
      <c r="H1525" s="1" t="s">
        <v>2478</v>
      </c>
      <c r="I1525" s="1" t="s">
        <v>2479</v>
      </c>
      <c r="J1525" s="1" t="s">
        <v>46</v>
      </c>
      <c r="K1525" t="s">
        <v>1316</v>
      </c>
      <c r="M1525" s="1" t="s">
        <v>58</v>
      </c>
      <c r="N1525" s="1">
        <v>0</v>
      </c>
      <c r="O1525" s="1" t="s">
        <v>105</v>
      </c>
      <c r="P1525" s="186">
        <v>44970.40042824074</v>
      </c>
      <c r="R1525" s="1">
        <v>15</v>
      </c>
      <c r="T1525" s="1" t="s">
        <v>238</v>
      </c>
      <c r="U1525" s="186">
        <v>44970.416666666664</v>
      </c>
      <c r="V1525" s="1" t="s">
        <v>41</v>
      </c>
      <c r="W1525" s="1" t="s">
        <v>49</v>
      </c>
    </row>
    <row r="1526" spans="1:23" hidden="1">
      <c r="A1526" s="1">
        <v>9475240</v>
      </c>
      <c r="B1526" s="1" t="s">
        <v>1153</v>
      </c>
      <c r="C1526" t="s">
        <v>2928</v>
      </c>
      <c r="E1526" s="2">
        <v>2442000206001</v>
      </c>
      <c r="F1526" s="1" t="s">
        <v>29</v>
      </c>
      <c r="G1526" s="1" t="s">
        <v>53</v>
      </c>
      <c r="H1526" s="1" t="s">
        <v>1956</v>
      </c>
      <c r="I1526" s="1" t="s">
        <v>1957</v>
      </c>
      <c r="J1526" s="1" t="s">
        <v>33</v>
      </c>
      <c r="K1526" t="s">
        <v>34</v>
      </c>
      <c r="M1526" s="1" t="s">
        <v>35</v>
      </c>
      <c r="N1526" s="1">
        <v>42318949</v>
      </c>
      <c r="O1526" s="1" t="s">
        <v>36</v>
      </c>
      <c r="P1526" s="186">
        <v>44970.407141203701</v>
      </c>
      <c r="R1526" s="1" t="s">
        <v>38</v>
      </c>
      <c r="T1526" s="1" t="s">
        <v>74</v>
      </c>
      <c r="U1526" s="186">
        <v>44979.583333333336</v>
      </c>
      <c r="V1526" s="1" t="s">
        <v>41</v>
      </c>
      <c r="W1526" s="1" t="s">
        <v>42</v>
      </c>
    </row>
    <row r="1527" spans="1:23" hidden="1">
      <c r="A1527" s="173">
        <v>9475024</v>
      </c>
      <c r="B1527" s="173" t="s">
        <v>1153</v>
      </c>
      <c r="C1527" s="178" t="s">
        <v>3503</v>
      </c>
      <c r="D1527" s="174">
        <v>230027889</v>
      </c>
      <c r="E1527" s="174">
        <v>1108001400030</v>
      </c>
      <c r="F1527" s="173" t="s">
        <v>647</v>
      </c>
      <c r="G1527" s="173" t="s">
        <v>53</v>
      </c>
      <c r="H1527" s="173" t="s">
        <v>295</v>
      </c>
      <c r="I1527" s="173" t="s">
        <v>296</v>
      </c>
      <c r="J1527" s="173" t="s">
        <v>90</v>
      </c>
      <c r="K1527" t="s">
        <v>650</v>
      </c>
      <c r="M1527" s="1" t="s">
        <v>58</v>
      </c>
      <c r="N1527" s="1">
        <v>0</v>
      </c>
      <c r="O1527" s="1" t="s">
        <v>36</v>
      </c>
      <c r="P1527" s="186">
        <v>44970.384965277779</v>
      </c>
      <c r="R1527" s="1">
        <v>4</v>
      </c>
      <c r="T1527" s="1" t="s">
        <v>646</v>
      </c>
      <c r="U1527" s="186">
        <v>44979.75</v>
      </c>
      <c r="V1527" s="1" t="s">
        <v>41</v>
      </c>
      <c r="W1527" s="1" t="s">
        <v>49</v>
      </c>
    </row>
    <row r="1528" spans="1:23" hidden="1">
      <c r="A1528" s="181">
        <v>9474970</v>
      </c>
      <c r="B1528" s="181" t="s">
        <v>1153</v>
      </c>
      <c r="C1528" s="182" t="s">
        <v>3504</v>
      </c>
      <c r="D1528" s="183"/>
      <c r="E1528" s="183">
        <v>2156000203000</v>
      </c>
      <c r="F1528" s="181" t="s">
        <v>454</v>
      </c>
      <c r="G1528" s="181" t="s">
        <v>53</v>
      </c>
      <c r="H1528" s="181" t="s">
        <v>278</v>
      </c>
      <c r="I1528" s="181" t="s">
        <v>279</v>
      </c>
      <c r="J1528" s="181" t="s">
        <v>211</v>
      </c>
      <c r="K1528" t="s">
        <v>457</v>
      </c>
      <c r="M1528" s="1" t="s">
        <v>58</v>
      </c>
      <c r="N1528" s="1">
        <v>0</v>
      </c>
      <c r="O1528" s="1" t="s">
        <v>36</v>
      </c>
      <c r="P1528" s="186">
        <v>44970.375289351854</v>
      </c>
      <c r="R1528" s="1">
        <v>1</v>
      </c>
      <c r="T1528" s="1" t="s">
        <v>157</v>
      </c>
      <c r="U1528" s="186">
        <v>44971.375289351854</v>
      </c>
      <c r="V1528" s="1" t="s">
        <v>41</v>
      </c>
      <c r="W1528" s="1" t="s">
        <v>49</v>
      </c>
    </row>
    <row r="1529" spans="1:23">
      <c r="A1529" s="173">
        <v>9474759</v>
      </c>
      <c r="B1529" s="173" t="s">
        <v>1153</v>
      </c>
      <c r="C1529" s="178" t="s">
        <v>3505</v>
      </c>
      <c r="D1529" s="174">
        <v>230027818</v>
      </c>
      <c r="E1529" s="174">
        <v>2304001400010</v>
      </c>
      <c r="F1529" s="173" t="s">
        <v>936</v>
      </c>
      <c r="G1529" s="173" t="s">
        <v>53</v>
      </c>
      <c r="H1529" s="173" t="s">
        <v>2711</v>
      </c>
      <c r="I1529" s="173" t="s">
        <v>2712</v>
      </c>
      <c r="J1529" s="173" t="s">
        <v>85</v>
      </c>
      <c r="K1529" t="s">
        <v>937</v>
      </c>
      <c r="M1529" s="1" t="s">
        <v>58</v>
      </c>
      <c r="N1529" s="1">
        <v>0</v>
      </c>
      <c r="O1529" s="1" t="s">
        <v>36</v>
      </c>
      <c r="P1529" s="186">
        <v>44970.34951388889</v>
      </c>
      <c r="R1529" s="1">
        <v>3</v>
      </c>
      <c r="T1529" s="1" t="s">
        <v>646</v>
      </c>
      <c r="U1529" s="186">
        <v>44979.708333333336</v>
      </c>
      <c r="V1529" s="1" t="s">
        <v>41</v>
      </c>
      <c r="W1529" s="1" t="s">
        <v>49</v>
      </c>
    </row>
    <row r="1530" spans="1:23" hidden="1">
      <c r="A1530" s="1">
        <v>9474736</v>
      </c>
      <c r="B1530" s="1" t="s">
        <v>1153</v>
      </c>
      <c r="C1530" t="s">
        <v>2935</v>
      </c>
      <c r="E1530" s="2">
        <v>1902016281100</v>
      </c>
      <c r="F1530" s="1" t="s">
        <v>64</v>
      </c>
      <c r="G1530" s="1" t="s">
        <v>53</v>
      </c>
      <c r="H1530" s="1" t="s">
        <v>44</v>
      </c>
      <c r="I1530" s="1" t="s">
        <v>45</v>
      </c>
      <c r="J1530" s="1" t="s">
        <v>46</v>
      </c>
      <c r="K1530" t="s">
        <v>67</v>
      </c>
      <c r="M1530" s="1" t="s">
        <v>35</v>
      </c>
      <c r="N1530" s="1">
        <v>42318949</v>
      </c>
      <c r="O1530" s="1" t="s">
        <v>36</v>
      </c>
      <c r="P1530" s="186">
        <v>44970.344606481478</v>
      </c>
      <c r="R1530" s="1" t="s">
        <v>2937</v>
      </c>
      <c r="T1530" s="1" t="s">
        <v>69</v>
      </c>
      <c r="U1530" s="186">
        <v>44970.708333333336</v>
      </c>
      <c r="V1530" s="1" t="s">
        <v>41</v>
      </c>
      <c r="W1530" s="1" t="s">
        <v>49</v>
      </c>
    </row>
    <row r="1531" spans="1:23" hidden="1">
      <c r="A1531" s="1">
        <v>9474659</v>
      </c>
      <c r="B1531" s="1" t="s">
        <v>1153</v>
      </c>
      <c r="C1531" t="s">
        <v>2940</v>
      </c>
      <c r="D1531" s="2">
        <v>20234804001543</v>
      </c>
      <c r="E1531" s="2">
        <v>7417183022672</v>
      </c>
      <c r="F1531" s="1" t="s">
        <v>1313</v>
      </c>
      <c r="G1531" s="1" t="s">
        <v>53</v>
      </c>
      <c r="H1531" s="1" t="s">
        <v>2941</v>
      </c>
      <c r="I1531" s="1" t="s">
        <v>2942</v>
      </c>
      <c r="J1531" s="1" t="s">
        <v>46</v>
      </c>
      <c r="K1531" t="s">
        <v>1316</v>
      </c>
      <c r="M1531" s="1" t="s">
        <v>58</v>
      </c>
      <c r="N1531" s="1">
        <v>0</v>
      </c>
      <c r="O1531" s="1" t="s">
        <v>36</v>
      </c>
      <c r="P1531" s="186">
        <v>44970.327025462961</v>
      </c>
      <c r="R1531" s="1">
        <v>13</v>
      </c>
      <c r="S1531" s="1">
        <v>4804</v>
      </c>
      <c r="T1531" s="1" t="s">
        <v>238</v>
      </c>
      <c r="U1531" s="186">
        <v>44970.395833333336</v>
      </c>
      <c r="V1531" s="1" t="s">
        <v>41</v>
      </c>
      <c r="W1531" s="1" t="s">
        <v>49</v>
      </c>
    </row>
    <row r="1532" spans="1:23" hidden="1">
      <c r="A1532" s="181">
        <v>9472544</v>
      </c>
      <c r="B1532" s="181" t="s">
        <v>1153</v>
      </c>
      <c r="C1532" s="182" t="s">
        <v>3506</v>
      </c>
      <c r="D1532" s="183"/>
      <c r="E1532" s="183">
        <v>2156000206001</v>
      </c>
      <c r="F1532" s="181" t="s">
        <v>29</v>
      </c>
      <c r="G1532" s="181" t="s">
        <v>53</v>
      </c>
      <c r="H1532" s="181" t="s">
        <v>278</v>
      </c>
      <c r="I1532" s="181" t="s">
        <v>279</v>
      </c>
      <c r="J1532" s="181" t="s">
        <v>211</v>
      </c>
      <c r="K1532" t="s">
        <v>34</v>
      </c>
      <c r="M1532" s="1" t="s">
        <v>35</v>
      </c>
      <c r="N1532" s="1">
        <v>42318949</v>
      </c>
      <c r="O1532" s="1" t="s">
        <v>36</v>
      </c>
      <c r="P1532" s="186">
        <v>44969.68787037037</v>
      </c>
      <c r="R1532" s="1" t="s">
        <v>38</v>
      </c>
      <c r="T1532" s="1" t="s">
        <v>74</v>
      </c>
      <c r="U1532" s="186">
        <v>44979.607638888891</v>
      </c>
      <c r="V1532" s="1" t="s">
        <v>41</v>
      </c>
      <c r="W1532" s="1" t="s">
        <v>49</v>
      </c>
    </row>
    <row r="1533" spans="1:23" hidden="1">
      <c r="A1533" s="181">
        <v>9472509</v>
      </c>
      <c r="B1533" s="181" t="s">
        <v>1153</v>
      </c>
      <c r="C1533" s="182" t="s">
        <v>3507</v>
      </c>
      <c r="D1533" s="183"/>
      <c r="E1533" s="183">
        <v>570000206001</v>
      </c>
      <c r="F1533" s="181" t="s">
        <v>29</v>
      </c>
      <c r="G1533" s="181" t="s">
        <v>53</v>
      </c>
      <c r="H1533" s="181" t="s">
        <v>434</v>
      </c>
      <c r="I1533" s="181" t="s">
        <v>435</v>
      </c>
      <c r="J1533" s="181" t="s">
        <v>148</v>
      </c>
      <c r="K1533" t="s">
        <v>34</v>
      </c>
      <c r="M1533" s="1" t="s">
        <v>35</v>
      </c>
      <c r="N1533" s="1">
        <v>42318949</v>
      </c>
      <c r="O1533" s="1" t="s">
        <v>36</v>
      </c>
      <c r="P1533" s="186">
        <v>44969.677407407406</v>
      </c>
      <c r="R1533" s="1" t="s">
        <v>38</v>
      </c>
      <c r="T1533" s="1" t="s">
        <v>74</v>
      </c>
      <c r="U1533" s="186">
        <v>44979.649305555555</v>
      </c>
      <c r="V1533" s="1" t="s">
        <v>41</v>
      </c>
      <c r="W1533" s="1" t="s">
        <v>49</v>
      </c>
    </row>
    <row r="1534" spans="1:23" hidden="1">
      <c r="A1534" s="1">
        <v>9471869</v>
      </c>
      <c r="B1534" s="1" t="s">
        <v>1153</v>
      </c>
      <c r="C1534" t="s">
        <v>2950</v>
      </c>
      <c r="E1534" s="2">
        <v>244000206001</v>
      </c>
      <c r="F1534" s="1" t="s">
        <v>29</v>
      </c>
      <c r="G1534" s="1" t="s">
        <v>53</v>
      </c>
      <c r="H1534" s="1" t="s">
        <v>313</v>
      </c>
      <c r="I1534" s="1" t="s">
        <v>314</v>
      </c>
      <c r="J1534" s="1" t="s">
        <v>56</v>
      </c>
      <c r="K1534" t="s">
        <v>34</v>
      </c>
      <c r="M1534" s="1" t="s">
        <v>35</v>
      </c>
      <c r="N1534" s="1">
        <v>42318949</v>
      </c>
      <c r="O1534" s="1" t="s">
        <v>36</v>
      </c>
      <c r="P1534" s="186">
        <v>44969.521527777775</v>
      </c>
      <c r="R1534" s="1" t="s">
        <v>38</v>
      </c>
      <c r="T1534" s="1" t="s">
        <v>74</v>
      </c>
      <c r="U1534" s="186">
        <v>44979.708333333336</v>
      </c>
      <c r="V1534" s="1" t="s">
        <v>41</v>
      </c>
      <c r="W1534" s="1" t="s">
        <v>49</v>
      </c>
    </row>
    <row r="1535" spans="1:23" hidden="1">
      <c r="A1535" s="1">
        <v>9471786</v>
      </c>
      <c r="B1535" s="1" t="s">
        <v>1153</v>
      </c>
      <c r="C1535" t="s">
        <v>2955</v>
      </c>
      <c r="E1535" s="2">
        <v>3504000206001</v>
      </c>
      <c r="F1535" s="1" t="s">
        <v>29</v>
      </c>
      <c r="G1535" s="1" t="s">
        <v>53</v>
      </c>
      <c r="H1535" s="1" t="s">
        <v>585</v>
      </c>
      <c r="I1535" s="1" t="s">
        <v>586</v>
      </c>
      <c r="J1535" s="1" t="s">
        <v>46</v>
      </c>
      <c r="K1535" t="s">
        <v>34</v>
      </c>
      <c r="M1535" s="1" t="s">
        <v>35</v>
      </c>
      <c r="N1535" s="1">
        <v>42318949</v>
      </c>
      <c r="O1535" s="1" t="s">
        <v>36</v>
      </c>
      <c r="P1535" s="186">
        <v>44969.501284722224</v>
      </c>
      <c r="R1535" s="1" t="s">
        <v>38</v>
      </c>
      <c r="T1535" s="1" t="s">
        <v>74</v>
      </c>
      <c r="U1535" s="186">
        <v>44979.708333333336</v>
      </c>
      <c r="V1535" s="1" t="s">
        <v>41</v>
      </c>
      <c r="W1535" s="1" t="s">
        <v>49</v>
      </c>
    </row>
    <row r="1536" spans="1:23" hidden="1">
      <c r="A1536" s="1">
        <v>9471778</v>
      </c>
      <c r="B1536" s="1" t="s">
        <v>1153</v>
      </c>
      <c r="C1536" t="s">
        <v>2956</v>
      </c>
      <c r="E1536" s="2">
        <v>4637000206001</v>
      </c>
      <c r="F1536" s="1" t="s">
        <v>29</v>
      </c>
      <c r="G1536" s="1" t="s">
        <v>53</v>
      </c>
      <c r="H1536" s="1" t="s">
        <v>848</v>
      </c>
      <c r="I1536" s="1" t="s">
        <v>849</v>
      </c>
      <c r="J1536" s="1" t="s">
        <v>79</v>
      </c>
      <c r="K1536" t="s">
        <v>34</v>
      </c>
      <c r="M1536" s="1" t="s">
        <v>35</v>
      </c>
      <c r="N1536" s="1">
        <v>42318949</v>
      </c>
      <c r="O1536" s="1" t="s">
        <v>36</v>
      </c>
      <c r="P1536" s="186">
        <v>44969.500972222224</v>
      </c>
      <c r="R1536" s="1" t="s">
        <v>38</v>
      </c>
      <c r="T1536" s="1" t="s">
        <v>74</v>
      </c>
      <c r="U1536" s="186">
        <v>44974.458333333336</v>
      </c>
      <c r="V1536" s="1" t="s">
        <v>41</v>
      </c>
      <c r="W1536" s="1" t="s">
        <v>49</v>
      </c>
    </row>
    <row r="1537" spans="1:23" hidden="1">
      <c r="A1537" s="1">
        <v>9471628</v>
      </c>
      <c r="B1537" s="1" t="s">
        <v>1153</v>
      </c>
      <c r="C1537" t="s">
        <v>2960</v>
      </c>
      <c r="E1537" s="2">
        <v>5742000206001</v>
      </c>
      <c r="F1537" s="1" t="s">
        <v>29</v>
      </c>
      <c r="G1537" s="1" t="s">
        <v>53</v>
      </c>
      <c r="H1537" s="1" t="s">
        <v>430</v>
      </c>
      <c r="I1537" s="1" t="s">
        <v>431</v>
      </c>
      <c r="J1537" s="1" t="s">
        <v>79</v>
      </c>
      <c r="K1537" t="s">
        <v>34</v>
      </c>
      <c r="M1537" s="1" t="s">
        <v>35</v>
      </c>
      <c r="N1537" s="1">
        <v>42318949</v>
      </c>
      <c r="O1537" s="1" t="s">
        <v>36</v>
      </c>
      <c r="P1537" s="186">
        <v>44969.469618055555</v>
      </c>
      <c r="R1537" s="1" t="s">
        <v>38</v>
      </c>
      <c r="T1537" s="1" t="s">
        <v>74</v>
      </c>
      <c r="U1537" s="186">
        <v>44974.458333333336</v>
      </c>
      <c r="V1537" s="1" t="s">
        <v>41</v>
      </c>
      <c r="W1537" s="1" t="s">
        <v>49</v>
      </c>
    </row>
    <row r="1538" spans="1:23" hidden="1">
      <c r="A1538" s="1">
        <v>9471624</v>
      </c>
      <c r="B1538" s="1" t="s">
        <v>1153</v>
      </c>
      <c r="C1538" t="s">
        <v>2961</v>
      </c>
      <c r="E1538" s="2">
        <v>2138000206001</v>
      </c>
      <c r="F1538" s="1" t="s">
        <v>29</v>
      </c>
      <c r="G1538" s="1" t="s">
        <v>53</v>
      </c>
      <c r="H1538" s="1" t="s">
        <v>379</v>
      </c>
      <c r="I1538" s="1" t="s">
        <v>380</v>
      </c>
      <c r="J1538" s="1" t="s">
        <v>46</v>
      </c>
      <c r="K1538" t="s">
        <v>34</v>
      </c>
      <c r="M1538" s="1" t="s">
        <v>35</v>
      </c>
      <c r="N1538" s="1">
        <v>42318949</v>
      </c>
      <c r="O1538" s="1" t="s">
        <v>36</v>
      </c>
      <c r="P1538" s="186">
        <v>44969.469375000001</v>
      </c>
      <c r="R1538" s="1" t="s">
        <v>38</v>
      </c>
      <c r="T1538" s="1" t="s">
        <v>74</v>
      </c>
      <c r="U1538" s="186">
        <v>44979.708333333336</v>
      </c>
      <c r="V1538" s="1" t="s">
        <v>41</v>
      </c>
      <c r="W1538" s="1" t="s">
        <v>49</v>
      </c>
    </row>
    <row r="1539" spans="1:23" hidden="1">
      <c r="A1539" s="1">
        <v>9471572</v>
      </c>
      <c r="B1539" s="1" t="s">
        <v>1153</v>
      </c>
      <c r="C1539" t="s">
        <v>2962</v>
      </c>
      <c r="E1539" s="2">
        <v>5740000206001</v>
      </c>
      <c r="F1539" s="1" t="s">
        <v>29</v>
      </c>
      <c r="G1539" s="1" t="s">
        <v>53</v>
      </c>
      <c r="H1539" s="1" t="s">
        <v>626</v>
      </c>
      <c r="I1539" s="1" t="s">
        <v>627</v>
      </c>
      <c r="J1539" s="1" t="s">
        <v>46</v>
      </c>
      <c r="K1539" t="s">
        <v>34</v>
      </c>
      <c r="M1539" s="1" t="s">
        <v>35</v>
      </c>
      <c r="N1539" s="1">
        <v>42318949</v>
      </c>
      <c r="O1539" s="1" t="s">
        <v>36</v>
      </c>
      <c r="P1539" s="186">
        <v>44969.45890046296</v>
      </c>
      <c r="R1539" s="1" t="s">
        <v>38</v>
      </c>
      <c r="T1539" s="1" t="s">
        <v>74</v>
      </c>
      <c r="U1539" s="186">
        <v>44979.708333333336</v>
      </c>
      <c r="V1539" s="1" t="s">
        <v>41</v>
      </c>
      <c r="W1539" s="1" t="s">
        <v>49</v>
      </c>
    </row>
    <row r="1540" spans="1:23" hidden="1">
      <c r="A1540" s="173">
        <v>9471530</v>
      </c>
      <c r="B1540" s="173" t="s">
        <v>1153</v>
      </c>
      <c r="C1540" s="178" t="s">
        <v>3508</v>
      </c>
      <c r="D1540" s="174"/>
      <c r="E1540" s="174">
        <v>2683000206001</v>
      </c>
      <c r="F1540" s="173" t="s">
        <v>29</v>
      </c>
      <c r="G1540" s="173" t="s">
        <v>53</v>
      </c>
      <c r="H1540" s="173" t="s">
        <v>276</v>
      </c>
      <c r="I1540" s="173" t="s">
        <v>277</v>
      </c>
      <c r="J1540" s="173" t="s">
        <v>90</v>
      </c>
      <c r="K1540" t="s">
        <v>34</v>
      </c>
      <c r="M1540" s="1" t="s">
        <v>35</v>
      </c>
      <c r="N1540" s="1">
        <v>42318949</v>
      </c>
      <c r="O1540" s="1" t="s">
        <v>36</v>
      </c>
      <c r="P1540" s="186">
        <v>44969.449016203704</v>
      </c>
      <c r="R1540" s="1" t="s">
        <v>38</v>
      </c>
      <c r="T1540" s="1" t="s">
        <v>74</v>
      </c>
      <c r="U1540" s="186">
        <v>44979.607638888891</v>
      </c>
      <c r="V1540" s="1" t="s">
        <v>41</v>
      </c>
      <c r="W1540" s="1" t="s">
        <v>49</v>
      </c>
    </row>
    <row r="1541" spans="1:23" hidden="1">
      <c r="A1541" s="181">
        <v>9471374</v>
      </c>
      <c r="B1541" s="181" t="s">
        <v>1153</v>
      </c>
      <c r="C1541" s="185" t="s">
        <v>2966</v>
      </c>
      <c r="D1541" s="183"/>
      <c r="E1541" s="183">
        <v>1069000203000</v>
      </c>
      <c r="F1541" s="181" t="s">
        <v>454</v>
      </c>
      <c r="G1541" s="181" t="s">
        <v>53</v>
      </c>
      <c r="H1541" s="181" t="s">
        <v>353</v>
      </c>
      <c r="I1541" s="181" t="s">
        <v>354</v>
      </c>
      <c r="J1541" s="181" t="s">
        <v>211</v>
      </c>
      <c r="K1541" t="s">
        <v>457</v>
      </c>
      <c r="M1541" s="1" t="s">
        <v>58</v>
      </c>
      <c r="N1541" s="1">
        <v>0</v>
      </c>
      <c r="O1541" s="1" t="s">
        <v>36</v>
      </c>
      <c r="P1541" s="186">
        <v>44969.417592592596</v>
      </c>
      <c r="R1541" s="1">
        <v>1</v>
      </c>
      <c r="T1541" s="1" t="s">
        <v>157</v>
      </c>
      <c r="U1541" s="186">
        <v>44970.417604166665</v>
      </c>
      <c r="V1541" s="1" t="s">
        <v>41</v>
      </c>
      <c r="W1541" s="1" t="s">
        <v>49</v>
      </c>
    </row>
    <row r="1542" spans="1:23" hidden="1">
      <c r="A1542" s="1">
        <v>9471370</v>
      </c>
      <c r="B1542" s="1" t="s">
        <v>1153</v>
      </c>
      <c r="C1542" t="s">
        <v>2966</v>
      </c>
      <c r="E1542" s="2">
        <v>1049000203000</v>
      </c>
      <c r="F1542" s="1" t="s">
        <v>454</v>
      </c>
      <c r="G1542" s="1" t="s">
        <v>53</v>
      </c>
      <c r="H1542" s="1" t="s">
        <v>169</v>
      </c>
      <c r="I1542" s="1" t="s">
        <v>170</v>
      </c>
      <c r="J1542" s="1" t="s">
        <v>164</v>
      </c>
      <c r="K1542" t="s">
        <v>457</v>
      </c>
      <c r="M1542" s="1" t="s">
        <v>58</v>
      </c>
      <c r="N1542" s="1">
        <v>0</v>
      </c>
      <c r="O1542" s="1" t="s">
        <v>36</v>
      </c>
      <c r="P1542" s="186">
        <v>44969.417337962965</v>
      </c>
      <c r="R1542" s="1">
        <v>1</v>
      </c>
      <c r="T1542" s="1" t="s">
        <v>157</v>
      </c>
      <c r="U1542" s="186">
        <v>44970.417337962965</v>
      </c>
      <c r="V1542" s="1" t="s">
        <v>41</v>
      </c>
      <c r="W1542" s="1" t="s">
        <v>49</v>
      </c>
    </row>
    <row r="1543" spans="1:23" hidden="1">
      <c r="A1543" s="1">
        <v>9471368</v>
      </c>
      <c r="B1543" s="1" t="s">
        <v>1153</v>
      </c>
      <c r="C1543" t="s">
        <v>2966</v>
      </c>
      <c r="E1543" s="2">
        <v>1011000203000</v>
      </c>
      <c r="F1543" s="1" t="s">
        <v>454</v>
      </c>
      <c r="G1543" s="1" t="s">
        <v>53</v>
      </c>
      <c r="H1543" s="1" t="s">
        <v>272</v>
      </c>
      <c r="I1543" s="1" t="s">
        <v>273</v>
      </c>
      <c r="J1543" s="1" t="s">
        <v>33</v>
      </c>
      <c r="K1543" t="s">
        <v>457</v>
      </c>
      <c r="M1543" s="1" t="s">
        <v>58</v>
      </c>
      <c r="N1543" s="1">
        <v>0</v>
      </c>
      <c r="O1543" s="1" t="s">
        <v>36</v>
      </c>
      <c r="P1543" s="186">
        <v>44969.417222222219</v>
      </c>
      <c r="R1543" s="1">
        <v>1</v>
      </c>
      <c r="T1543" s="1" t="s">
        <v>157</v>
      </c>
      <c r="U1543" s="186">
        <v>44970.417222222219</v>
      </c>
      <c r="V1543" s="1" t="s">
        <v>41</v>
      </c>
      <c r="W1543" s="1" t="s">
        <v>49</v>
      </c>
    </row>
    <row r="1544" spans="1:23" hidden="1">
      <c r="A1544" s="181">
        <v>9471333</v>
      </c>
      <c r="B1544" s="181" t="s">
        <v>1153</v>
      </c>
      <c r="C1544" s="182" t="s">
        <v>3509</v>
      </c>
      <c r="D1544" s="183"/>
      <c r="E1544" s="183">
        <v>68000203000</v>
      </c>
      <c r="F1544" s="181" t="s">
        <v>454</v>
      </c>
      <c r="G1544" s="181" t="s">
        <v>53</v>
      </c>
      <c r="H1544" s="181" t="s">
        <v>1330</v>
      </c>
      <c r="I1544" s="181" t="s">
        <v>1331</v>
      </c>
      <c r="J1544" s="181" t="s">
        <v>211</v>
      </c>
      <c r="K1544" t="s">
        <v>457</v>
      </c>
      <c r="M1544" s="1" t="s">
        <v>58</v>
      </c>
      <c r="N1544" s="1">
        <v>0</v>
      </c>
      <c r="O1544" s="1" t="s">
        <v>36</v>
      </c>
      <c r="P1544" s="186">
        <v>44969.407256944447</v>
      </c>
      <c r="R1544" s="1">
        <v>1</v>
      </c>
      <c r="T1544" s="1" t="s">
        <v>157</v>
      </c>
      <c r="U1544" s="186">
        <v>44970.407256944447</v>
      </c>
      <c r="V1544" s="1" t="s">
        <v>41</v>
      </c>
      <c r="W1544" s="1" t="s">
        <v>49</v>
      </c>
    </row>
    <row r="1545" spans="1:23" hidden="1">
      <c r="A1545" s="1">
        <v>9471332</v>
      </c>
      <c r="B1545" s="1" t="s">
        <v>1153</v>
      </c>
      <c r="C1545" t="s">
        <v>2966</v>
      </c>
      <c r="E1545" s="2">
        <v>7740203000</v>
      </c>
      <c r="F1545" s="1" t="s">
        <v>454</v>
      </c>
      <c r="G1545" s="1" t="s">
        <v>53</v>
      </c>
      <c r="H1545" s="1" t="s">
        <v>187</v>
      </c>
      <c r="I1545" s="1" t="s">
        <v>188</v>
      </c>
      <c r="J1545" s="1" t="s">
        <v>46</v>
      </c>
      <c r="K1545" t="s">
        <v>457</v>
      </c>
      <c r="M1545" s="1" t="s">
        <v>58</v>
      </c>
      <c r="N1545" s="1">
        <v>0</v>
      </c>
      <c r="O1545" s="1" t="s">
        <v>36</v>
      </c>
      <c r="P1545" s="186">
        <v>44969.407199074078</v>
      </c>
      <c r="R1545" s="1">
        <v>1</v>
      </c>
      <c r="T1545" s="1" t="s">
        <v>157</v>
      </c>
      <c r="U1545" s="186">
        <v>44970.407199074078</v>
      </c>
      <c r="V1545" s="1" t="s">
        <v>41</v>
      </c>
      <c r="W1545" s="1" t="s">
        <v>49</v>
      </c>
    </row>
    <row r="1546" spans="1:23">
      <c r="A1546" s="181">
        <v>9471313</v>
      </c>
      <c r="B1546" s="181" t="s">
        <v>1153</v>
      </c>
      <c r="C1546" s="185" t="s">
        <v>2979</v>
      </c>
      <c r="D1546" s="183"/>
      <c r="E1546" s="183">
        <v>981000206001</v>
      </c>
      <c r="F1546" s="181" t="s">
        <v>29</v>
      </c>
      <c r="G1546" s="181" t="s">
        <v>53</v>
      </c>
      <c r="H1546" s="181" t="s">
        <v>410</v>
      </c>
      <c r="I1546" s="181" t="s">
        <v>411</v>
      </c>
      <c r="J1546" s="181" t="s">
        <v>85</v>
      </c>
      <c r="K1546" t="s">
        <v>34</v>
      </c>
      <c r="M1546" s="1" t="s">
        <v>35</v>
      </c>
      <c r="N1546" s="1">
        <v>42318949</v>
      </c>
      <c r="O1546" s="1" t="s">
        <v>36</v>
      </c>
      <c r="P1546" s="186">
        <v>44969.4065625</v>
      </c>
      <c r="R1546" s="1" t="s">
        <v>38</v>
      </c>
      <c r="T1546" s="1" t="s">
        <v>74</v>
      </c>
      <c r="U1546" s="186">
        <v>44973.625</v>
      </c>
      <c r="V1546" s="1" t="s">
        <v>41</v>
      </c>
      <c r="W1546" s="1" t="s">
        <v>49</v>
      </c>
    </row>
    <row r="1547" spans="1:23" hidden="1">
      <c r="A1547" s="1">
        <v>9471187</v>
      </c>
      <c r="B1547" s="1" t="s">
        <v>1153</v>
      </c>
      <c r="C1547" t="s">
        <v>2981</v>
      </c>
      <c r="E1547" s="2">
        <v>1185000203000</v>
      </c>
      <c r="F1547" s="1" t="s">
        <v>454</v>
      </c>
      <c r="G1547" s="1" t="s">
        <v>53</v>
      </c>
      <c r="H1547" s="1" t="s">
        <v>539</v>
      </c>
      <c r="I1547" s="1" t="s">
        <v>540</v>
      </c>
      <c r="J1547" s="1" t="s">
        <v>33</v>
      </c>
      <c r="K1547" t="s">
        <v>457</v>
      </c>
      <c r="M1547" s="1" t="s">
        <v>58</v>
      </c>
      <c r="N1547" s="1">
        <v>0</v>
      </c>
      <c r="O1547" s="1" t="s">
        <v>36</v>
      </c>
      <c r="P1547" s="186">
        <v>44969.376111111109</v>
      </c>
      <c r="R1547" s="1">
        <v>1</v>
      </c>
      <c r="T1547" s="1" t="s">
        <v>157</v>
      </c>
      <c r="U1547" s="186">
        <v>44970.376111111109</v>
      </c>
      <c r="V1547" s="1" t="s">
        <v>41</v>
      </c>
      <c r="W1547" s="1" t="s">
        <v>42</v>
      </c>
    </row>
    <row r="1548" spans="1:23" hidden="1">
      <c r="A1548" s="1">
        <v>9483471</v>
      </c>
      <c r="B1548" s="1" t="s">
        <v>226</v>
      </c>
      <c r="C1548" t="s">
        <v>3205</v>
      </c>
      <c r="D1548" s="2">
        <v>230027215</v>
      </c>
      <c r="E1548" s="2">
        <v>550001400010</v>
      </c>
      <c r="F1548" s="1" t="s">
        <v>936</v>
      </c>
      <c r="G1548" s="1" t="s">
        <v>53</v>
      </c>
      <c r="H1548" s="1" t="s">
        <v>337</v>
      </c>
      <c r="I1548" s="1" t="s">
        <v>338</v>
      </c>
      <c r="J1548" s="1" t="s">
        <v>164</v>
      </c>
      <c r="K1548" t="s">
        <v>937</v>
      </c>
      <c r="M1548" s="1" t="s">
        <v>58</v>
      </c>
      <c r="N1548" s="1">
        <v>0</v>
      </c>
      <c r="O1548" s="1" t="s">
        <v>105</v>
      </c>
      <c r="P1548" s="186">
        <v>44971.843055555553</v>
      </c>
      <c r="R1548" s="1">
        <v>3</v>
      </c>
      <c r="T1548" s="1" t="s">
        <v>646</v>
      </c>
      <c r="U1548" s="186"/>
      <c r="V1548" s="1" t="s">
        <v>41</v>
      </c>
      <c r="W1548" s="1" t="s">
        <v>49</v>
      </c>
    </row>
    <row r="1549" spans="1:23" hidden="1">
      <c r="A1549" s="1">
        <v>9483154</v>
      </c>
      <c r="B1549" s="1" t="s">
        <v>1153</v>
      </c>
      <c r="C1549" t="s">
        <v>3207</v>
      </c>
      <c r="D1549" s="2">
        <v>20234844000468</v>
      </c>
      <c r="E1549" s="2">
        <v>7417192423347</v>
      </c>
      <c r="F1549" s="1" t="s">
        <v>1727</v>
      </c>
      <c r="G1549" s="1" t="s">
        <v>53</v>
      </c>
      <c r="H1549" s="1" t="s">
        <v>841</v>
      </c>
      <c r="I1549" s="1" t="s">
        <v>842</v>
      </c>
      <c r="J1549" s="1" t="s">
        <v>46</v>
      </c>
      <c r="K1549" t="s">
        <v>1728</v>
      </c>
      <c r="M1549" s="1" t="s">
        <v>58</v>
      </c>
      <c r="N1549" s="1">
        <v>0</v>
      </c>
      <c r="O1549" s="1" t="s">
        <v>105</v>
      </c>
      <c r="P1549" s="186">
        <v>44971.744050925925</v>
      </c>
      <c r="R1549" s="1">
        <v>22</v>
      </c>
      <c r="T1549" s="1" t="s">
        <v>1160</v>
      </c>
      <c r="U1549" s="186">
        <v>44974.577384259261</v>
      </c>
      <c r="V1549" s="1" t="s">
        <v>41</v>
      </c>
      <c r="W1549" s="1" t="s">
        <v>49</v>
      </c>
    </row>
    <row r="1550" spans="1:23" hidden="1">
      <c r="A1550" s="1">
        <v>9483064</v>
      </c>
      <c r="B1550" s="1" t="s">
        <v>1153</v>
      </c>
      <c r="C1550" t="s">
        <v>3209</v>
      </c>
      <c r="D1550" s="2">
        <v>20234844000467</v>
      </c>
      <c r="E1550" s="2">
        <v>7417161480619</v>
      </c>
      <c r="F1550" s="1" t="s">
        <v>1979</v>
      </c>
      <c r="G1550" s="1" t="s">
        <v>53</v>
      </c>
      <c r="H1550" s="1" t="s">
        <v>2883</v>
      </c>
      <c r="I1550" s="1" t="s">
        <v>2884</v>
      </c>
      <c r="J1550" s="1" t="s">
        <v>46</v>
      </c>
      <c r="K1550" t="s">
        <v>1982</v>
      </c>
      <c r="M1550" s="1" t="s">
        <v>58</v>
      </c>
      <c r="N1550" s="1">
        <v>0</v>
      </c>
      <c r="O1550" s="1" t="s">
        <v>105</v>
      </c>
      <c r="P1550" s="186">
        <v>44971.726701388892</v>
      </c>
      <c r="R1550" s="1">
        <v>13</v>
      </c>
      <c r="T1550" s="1" t="s">
        <v>238</v>
      </c>
      <c r="U1550" s="186">
        <v>44972.395833333336</v>
      </c>
      <c r="V1550" s="1" t="s">
        <v>41</v>
      </c>
      <c r="W1550" s="1" t="s">
        <v>49</v>
      </c>
    </row>
    <row r="1551" spans="1:23" hidden="1">
      <c r="A1551" s="1">
        <v>9483056</v>
      </c>
      <c r="B1551" s="1" t="s">
        <v>62</v>
      </c>
      <c r="C1551" t="s">
        <v>3211</v>
      </c>
      <c r="E1551" s="2">
        <v>68000203000</v>
      </c>
      <c r="F1551" s="1" t="s">
        <v>454</v>
      </c>
      <c r="G1551" s="1" t="s">
        <v>53</v>
      </c>
      <c r="H1551" s="1" t="s">
        <v>1330</v>
      </c>
      <c r="I1551" s="1" t="s">
        <v>1331</v>
      </c>
      <c r="J1551" s="1" t="s">
        <v>211</v>
      </c>
      <c r="K1551" t="s">
        <v>457</v>
      </c>
      <c r="M1551" s="1" t="s">
        <v>58</v>
      </c>
      <c r="N1551" s="1">
        <v>0</v>
      </c>
      <c r="O1551" s="1" t="s">
        <v>105</v>
      </c>
      <c r="P1551" s="186">
        <v>44971.733067129629</v>
      </c>
      <c r="R1551" s="1">
        <v>1</v>
      </c>
      <c r="T1551" s="1" t="s">
        <v>157</v>
      </c>
      <c r="U1551" s="186">
        <v>45007.75</v>
      </c>
      <c r="V1551" s="1" t="s">
        <v>41</v>
      </c>
      <c r="W1551" s="1" t="s">
        <v>49</v>
      </c>
    </row>
    <row r="1552" spans="1:23">
      <c r="A1552" s="181">
        <v>9483038</v>
      </c>
      <c r="B1552" s="181" t="s">
        <v>1153</v>
      </c>
      <c r="C1552" s="185" t="s">
        <v>3213</v>
      </c>
      <c r="D1552" s="183"/>
      <c r="E1552" s="183">
        <v>1061000203000</v>
      </c>
      <c r="F1552" s="181" t="s">
        <v>454</v>
      </c>
      <c r="G1552" s="181" t="s">
        <v>53</v>
      </c>
      <c r="H1552" s="181" t="s">
        <v>166</v>
      </c>
      <c r="I1552" s="181" t="s">
        <v>167</v>
      </c>
      <c r="J1552" s="181" t="s">
        <v>85</v>
      </c>
      <c r="K1552" t="s">
        <v>457</v>
      </c>
      <c r="M1552" s="1" t="s">
        <v>58</v>
      </c>
      <c r="N1552" s="1">
        <v>0</v>
      </c>
      <c r="O1552" s="1" t="s">
        <v>36</v>
      </c>
      <c r="P1552" s="186">
        <v>44971.729756944442</v>
      </c>
      <c r="R1552" s="1">
        <v>1</v>
      </c>
      <c r="T1552" s="1" t="s">
        <v>157</v>
      </c>
      <c r="U1552" s="186">
        <v>44972.729756944442</v>
      </c>
      <c r="V1552" s="1" t="s">
        <v>41</v>
      </c>
      <c r="W1552" s="1" t="s">
        <v>49</v>
      </c>
    </row>
    <row r="1553" spans="1:23" hidden="1">
      <c r="A1553" s="1">
        <v>9483036</v>
      </c>
      <c r="B1553" s="1" t="s">
        <v>1153</v>
      </c>
      <c r="C1553" t="s">
        <v>3215</v>
      </c>
      <c r="E1553" s="2">
        <v>2219000206001</v>
      </c>
      <c r="F1553" s="1" t="s">
        <v>29</v>
      </c>
      <c r="G1553" s="1" t="s">
        <v>53</v>
      </c>
      <c r="H1553" s="1" t="s">
        <v>893</v>
      </c>
      <c r="I1553" s="1" t="s">
        <v>894</v>
      </c>
      <c r="J1553" s="1" t="s">
        <v>141</v>
      </c>
      <c r="K1553" t="s">
        <v>34</v>
      </c>
      <c r="M1553" s="1" t="s">
        <v>35</v>
      </c>
      <c r="N1553" s="1">
        <v>42318949</v>
      </c>
      <c r="O1553" s="1" t="s">
        <v>36</v>
      </c>
      <c r="P1553" s="186">
        <v>44971.729629629626</v>
      </c>
      <c r="R1553" s="1" t="s">
        <v>38</v>
      </c>
      <c r="T1553" s="1" t="s">
        <v>74</v>
      </c>
      <c r="U1553" s="186">
        <v>44985.708333333336</v>
      </c>
      <c r="V1553" s="1" t="s">
        <v>41</v>
      </c>
      <c r="W1553" s="1" t="s">
        <v>49</v>
      </c>
    </row>
    <row r="1554" spans="1:23" hidden="1">
      <c r="A1554" s="1">
        <v>9482926</v>
      </c>
      <c r="B1554" s="1" t="s">
        <v>1153</v>
      </c>
      <c r="C1554" t="s">
        <v>3217</v>
      </c>
      <c r="D1554" s="2">
        <v>20234844000466</v>
      </c>
      <c r="E1554" s="2">
        <v>7419143322534</v>
      </c>
      <c r="F1554" s="1" t="s">
        <v>1222</v>
      </c>
      <c r="G1554" s="1" t="s">
        <v>53</v>
      </c>
      <c r="H1554" s="1" t="s">
        <v>2821</v>
      </c>
      <c r="I1554" s="1" t="s">
        <v>2822</v>
      </c>
      <c r="J1554" s="1" t="s">
        <v>46</v>
      </c>
      <c r="K1554" t="s">
        <v>1223</v>
      </c>
      <c r="M1554" s="1" t="s">
        <v>58</v>
      </c>
      <c r="N1554" s="1">
        <v>0</v>
      </c>
      <c r="O1554" s="1" t="s">
        <v>105</v>
      </c>
      <c r="P1554" s="186">
        <v>44971.699918981481</v>
      </c>
      <c r="R1554" s="1">
        <v>13</v>
      </c>
      <c r="T1554" s="1" t="s">
        <v>238</v>
      </c>
      <c r="U1554" s="186">
        <v>44971.699918981481</v>
      </c>
      <c r="V1554" s="1" t="s">
        <v>41</v>
      </c>
      <c r="W1554" s="1" t="s">
        <v>49</v>
      </c>
    </row>
    <row r="1555" spans="1:23" hidden="1">
      <c r="A1555" s="1">
        <v>9482851</v>
      </c>
      <c r="B1555" s="1" t="s">
        <v>1153</v>
      </c>
      <c r="C1555" t="s">
        <v>3219</v>
      </c>
      <c r="D1555" s="2">
        <v>20234844000465</v>
      </c>
      <c r="E1555" s="2">
        <v>7419141893532</v>
      </c>
      <c r="F1555" s="1" t="s">
        <v>128</v>
      </c>
      <c r="G1555" s="1" t="s">
        <v>53</v>
      </c>
      <c r="H1555" s="1" t="s">
        <v>2395</v>
      </c>
      <c r="I1555" s="1" t="s">
        <v>2396</v>
      </c>
      <c r="J1555" s="1" t="s">
        <v>46</v>
      </c>
      <c r="K1555" t="s">
        <v>129</v>
      </c>
      <c r="M1555" s="1" t="s">
        <v>58</v>
      </c>
      <c r="N1555" s="1">
        <v>0</v>
      </c>
      <c r="O1555" s="1" t="s">
        <v>105</v>
      </c>
      <c r="P1555" s="186">
        <v>44971.687256944446</v>
      </c>
      <c r="R1555" s="1">
        <v>13</v>
      </c>
      <c r="T1555" s="1" t="s">
        <v>238</v>
      </c>
      <c r="U1555" s="186">
        <v>44971.687256944446</v>
      </c>
      <c r="V1555" s="1" t="s">
        <v>41</v>
      </c>
      <c r="W1555" s="1" t="s">
        <v>49</v>
      </c>
    </row>
    <row r="1556" spans="1:23" hidden="1">
      <c r="A1556" s="1">
        <v>9482824</v>
      </c>
      <c r="B1556" s="1" t="s">
        <v>1153</v>
      </c>
      <c r="C1556" t="s">
        <v>3221</v>
      </c>
      <c r="E1556" s="2">
        <v>3504000203000</v>
      </c>
      <c r="F1556" s="1" t="s">
        <v>454</v>
      </c>
      <c r="G1556" s="1" t="s">
        <v>53</v>
      </c>
      <c r="H1556" s="1" t="s">
        <v>585</v>
      </c>
      <c r="I1556" s="1" t="s">
        <v>586</v>
      </c>
      <c r="J1556" s="1" t="s">
        <v>46</v>
      </c>
      <c r="K1556" t="s">
        <v>457</v>
      </c>
      <c r="M1556" s="1" t="s">
        <v>58</v>
      </c>
      <c r="N1556" s="1">
        <v>0</v>
      </c>
      <c r="O1556" s="1" t="s">
        <v>36</v>
      </c>
      <c r="P1556" s="186">
        <v>44971.698460648149</v>
      </c>
      <c r="R1556" s="1">
        <v>1</v>
      </c>
      <c r="T1556" s="1" t="s">
        <v>157</v>
      </c>
      <c r="U1556" s="186">
        <v>44972.698460648149</v>
      </c>
      <c r="V1556" s="1" t="s">
        <v>41</v>
      </c>
      <c r="W1556" s="1" t="s">
        <v>49</v>
      </c>
    </row>
    <row r="1557" spans="1:23" hidden="1">
      <c r="A1557" s="1">
        <v>9482775</v>
      </c>
      <c r="B1557" s="1" t="s">
        <v>1153</v>
      </c>
      <c r="C1557" t="s">
        <v>3223</v>
      </c>
      <c r="D1557" s="2">
        <v>20230711000015</v>
      </c>
      <c r="E1557" s="2">
        <v>7417211830257</v>
      </c>
      <c r="F1557" s="1" t="s">
        <v>1936</v>
      </c>
      <c r="G1557" s="1" t="s">
        <v>53</v>
      </c>
      <c r="H1557" s="1" t="s">
        <v>2858</v>
      </c>
      <c r="I1557" s="1" t="s">
        <v>2859</v>
      </c>
      <c r="J1557" s="1" t="s">
        <v>79</v>
      </c>
      <c r="K1557" t="s">
        <v>1939</v>
      </c>
      <c r="M1557" s="1" t="s">
        <v>58</v>
      </c>
      <c r="N1557" s="1">
        <v>0</v>
      </c>
      <c r="O1557" s="1" t="s">
        <v>105</v>
      </c>
      <c r="P1557" s="186">
        <v>44971.676377314812</v>
      </c>
      <c r="R1557" s="1">
        <v>14</v>
      </c>
      <c r="T1557" s="1" t="s">
        <v>238</v>
      </c>
      <c r="U1557" s="186">
        <v>44971.676377314812</v>
      </c>
      <c r="V1557" s="1" t="s">
        <v>41</v>
      </c>
      <c r="W1557" s="1" t="s">
        <v>49</v>
      </c>
    </row>
    <row r="1558" spans="1:23" hidden="1">
      <c r="A1558" s="1">
        <v>9482660</v>
      </c>
      <c r="B1558" s="1" t="s">
        <v>1153</v>
      </c>
      <c r="C1558" t="s">
        <v>3225</v>
      </c>
      <c r="D1558" s="2">
        <v>20232219000013</v>
      </c>
      <c r="E1558" s="2">
        <v>7417202020217</v>
      </c>
      <c r="F1558" s="1" t="s">
        <v>1213</v>
      </c>
      <c r="G1558" s="1" t="s">
        <v>53</v>
      </c>
      <c r="H1558" s="1" t="s">
        <v>1980</v>
      </c>
      <c r="I1558" s="1" t="s">
        <v>1981</v>
      </c>
      <c r="J1558" s="1" t="s">
        <v>141</v>
      </c>
      <c r="K1558" t="s">
        <v>1214</v>
      </c>
      <c r="M1558" s="1" t="s">
        <v>58</v>
      </c>
      <c r="N1558" s="1">
        <v>0</v>
      </c>
      <c r="O1558" s="1" t="s">
        <v>105</v>
      </c>
      <c r="P1558" s="186">
        <v>44971.656493055554</v>
      </c>
      <c r="R1558" s="1">
        <v>14</v>
      </c>
      <c r="T1558" s="1" t="s">
        <v>238</v>
      </c>
      <c r="U1558" s="186">
        <v>44971.656493055554</v>
      </c>
      <c r="V1558" s="1" t="s">
        <v>41</v>
      </c>
      <c r="W1558" s="1" t="s">
        <v>49</v>
      </c>
    </row>
    <row r="1559" spans="1:23" hidden="1">
      <c r="A1559" s="1">
        <v>9482649</v>
      </c>
      <c r="B1559" s="1" t="s">
        <v>1153</v>
      </c>
      <c r="C1559" t="s">
        <v>3227</v>
      </c>
      <c r="D1559" s="2">
        <v>20231012000005</v>
      </c>
      <c r="E1559" s="2">
        <v>7417202020693</v>
      </c>
      <c r="F1559" s="1" t="s">
        <v>1213</v>
      </c>
      <c r="G1559" s="1" t="s">
        <v>53</v>
      </c>
      <c r="H1559" s="1" t="s">
        <v>2481</v>
      </c>
      <c r="I1559" s="1" t="s">
        <v>2482</v>
      </c>
      <c r="J1559" s="1" t="s">
        <v>164</v>
      </c>
      <c r="K1559" t="s">
        <v>1214</v>
      </c>
      <c r="M1559" s="1" t="s">
        <v>58</v>
      </c>
      <c r="N1559" s="1">
        <v>0</v>
      </c>
      <c r="O1559" s="1" t="s">
        <v>105</v>
      </c>
      <c r="P1559" s="186">
        <v>44971.662743055553</v>
      </c>
      <c r="R1559" s="1">
        <v>15</v>
      </c>
      <c r="T1559" s="1" t="s">
        <v>238</v>
      </c>
      <c r="U1559" s="186">
        <v>44971.662743055553</v>
      </c>
      <c r="V1559" s="1" t="s">
        <v>41</v>
      </c>
      <c r="W1559" s="1" t="s">
        <v>49</v>
      </c>
    </row>
    <row r="1560" spans="1:23" hidden="1">
      <c r="A1560" s="1">
        <v>9482637</v>
      </c>
      <c r="B1560" s="1" t="s">
        <v>1153</v>
      </c>
      <c r="C1560" t="s">
        <v>3229</v>
      </c>
      <c r="D1560" s="2">
        <v>20234844000464</v>
      </c>
      <c r="E1560" s="2">
        <v>7417163283071</v>
      </c>
      <c r="F1560" s="1" t="s">
        <v>131</v>
      </c>
      <c r="G1560" s="1" t="s">
        <v>53</v>
      </c>
      <c r="H1560" s="1" t="s">
        <v>2395</v>
      </c>
      <c r="I1560" s="1" t="s">
        <v>2396</v>
      </c>
      <c r="J1560" s="1" t="s">
        <v>46</v>
      </c>
      <c r="K1560" t="s">
        <v>132</v>
      </c>
      <c r="M1560" s="1" t="s">
        <v>58</v>
      </c>
      <c r="N1560" s="1">
        <v>0</v>
      </c>
      <c r="O1560" s="1" t="s">
        <v>105</v>
      </c>
      <c r="P1560" s="186">
        <v>44971.660925925928</v>
      </c>
      <c r="R1560" s="1">
        <v>13</v>
      </c>
      <c r="T1560" s="1" t="s">
        <v>238</v>
      </c>
      <c r="U1560" s="186">
        <v>44971.660925925928</v>
      </c>
      <c r="V1560" s="1" t="s">
        <v>41</v>
      </c>
      <c r="W1560" s="1" t="s">
        <v>49</v>
      </c>
    </row>
    <row r="1561" spans="1:23" hidden="1">
      <c r="A1561" s="1">
        <v>9482636</v>
      </c>
      <c r="B1561" s="1" t="s">
        <v>1153</v>
      </c>
      <c r="C1561" t="s">
        <v>3231</v>
      </c>
      <c r="D1561" s="2">
        <v>20234844000463</v>
      </c>
      <c r="E1561" s="2">
        <v>7417183020610</v>
      </c>
      <c r="F1561" s="1" t="s">
        <v>1313</v>
      </c>
      <c r="G1561" s="1" t="s">
        <v>53</v>
      </c>
      <c r="H1561" s="1" t="s">
        <v>2395</v>
      </c>
      <c r="I1561" s="1" t="s">
        <v>2396</v>
      </c>
      <c r="J1561" s="1" t="s">
        <v>46</v>
      </c>
      <c r="K1561" t="s">
        <v>1316</v>
      </c>
      <c r="M1561" s="1" t="s">
        <v>58</v>
      </c>
      <c r="N1561" s="1">
        <v>0</v>
      </c>
      <c r="O1561" s="1" t="s">
        <v>105</v>
      </c>
      <c r="P1561" s="186">
        <v>44971.659872685188</v>
      </c>
      <c r="R1561" s="1">
        <v>13</v>
      </c>
      <c r="T1561" s="1" t="s">
        <v>238</v>
      </c>
      <c r="U1561" s="186">
        <v>44971.659872685188</v>
      </c>
      <c r="V1561" s="1" t="s">
        <v>41</v>
      </c>
      <c r="W1561" s="1" t="s">
        <v>49</v>
      </c>
    </row>
    <row r="1562" spans="1:23" hidden="1">
      <c r="A1562" s="1">
        <v>9482633</v>
      </c>
      <c r="B1562" s="1" t="s">
        <v>1153</v>
      </c>
      <c r="C1562" t="s">
        <v>3233</v>
      </c>
      <c r="D1562" s="2">
        <v>20231850000009</v>
      </c>
      <c r="E1562" s="2">
        <v>7417193050600</v>
      </c>
      <c r="F1562" s="1" t="s">
        <v>1719</v>
      </c>
      <c r="G1562" s="1" t="s">
        <v>53</v>
      </c>
      <c r="H1562" s="1" t="s">
        <v>1931</v>
      </c>
      <c r="I1562" s="1" t="s">
        <v>1932</v>
      </c>
      <c r="J1562" s="1" t="s">
        <v>46</v>
      </c>
      <c r="K1562" t="s">
        <v>1720</v>
      </c>
      <c r="M1562" s="1" t="s">
        <v>58</v>
      </c>
      <c r="N1562" s="1">
        <v>0</v>
      </c>
      <c r="O1562" s="1" t="s">
        <v>105</v>
      </c>
      <c r="P1562" s="186">
        <v>44971.659548611111</v>
      </c>
      <c r="R1562" s="1">
        <v>22</v>
      </c>
      <c r="T1562" s="1" t="s">
        <v>1160</v>
      </c>
      <c r="U1562" s="186">
        <v>44974.492881944447</v>
      </c>
      <c r="V1562" s="1" t="s">
        <v>41</v>
      </c>
      <c r="W1562" s="1" t="s">
        <v>49</v>
      </c>
    </row>
    <row r="1563" spans="1:23" hidden="1">
      <c r="A1563" s="1">
        <v>9482555</v>
      </c>
      <c r="B1563" s="1" t="s">
        <v>1153</v>
      </c>
      <c r="C1563" t="s">
        <v>3235</v>
      </c>
      <c r="D1563" s="2">
        <v>20232326000009</v>
      </c>
      <c r="E1563" s="2">
        <v>7417183020153</v>
      </c>
      <c r="F1563" s="1" t="s">
        <v>1313</v>
      </c>
      <c r="G1563" s="1" t="s">
        <v>53</v>
      </c>
      <c r="H1563" s="1" t="s">
        <v>3236</v>
      </c>
      <c r="I1563" s="1" t="s">
        <v>3237</v>
      </c>
      <c r="J1563" s="1" t="s">
        <v>46</v>
      </c>
      <c r="K1563" t="s">
        <v>1316</v>
      </c>
      <c r="M1563" s="1" t="s">
        <v>58</v>
      </c>
      <c r="N1563" s="1">
        <v>0</v>
      </c>
      <c r="O1563" s="1" t="s">
        <v>105</v>
      </c>
      <c r="P1563" s="186">
        <v>44971.641261574077</v>
      </c>
      <c r="R1563" s="1">
        <v>13</v>
      </c>
      <c r="T1563" s="1" t="s">
        <v>238</v>
      </c>
      <c r="U1563" s="186">
        <v>44971.641261574077</v>
      </c>
      <c r="V1563" s="1" t="s">
        <v>41</v>
      </c>
      <c r="W1563" s="1" t="s">
        <v>49</v>
      </c>
    </row>
    <row r="1564" spans="1:23" hidden="1">
      <c r="A1564" s="1">
        <v>9482499</v>
      </c>
      <c r="B1564" s="1" t="s">
        <v>1153</v>
      </c>
      <c r="C1564" t="s">
        <v>3239</v>
      </c>
      <c r="D1564" s="2">
        <v>20234844000461</v>
      </c>
      <c r="E1564" s="2">
        <v>7419152458382</v>
      </c>
      <c r="F1564" s="1" t="s">
        <v>2744</v>
      </c>
      <c r="G1564" s="1" t="s">
        <v>53</v>
      </c>
      <c r="H1564" s="1" t="s">
        <v>3002</v>
      </c>
      <c r="I1564" s="1" t="s">
        <v>3003</v>
      </c>
      <c r="J1564" s="1" t="s">
        <v>46</v>
      </c>
      <c r="K1564" t="s">
        <v>2745</v>
      </c>
      <c r="M1564" s="1" t="s">
        <v>58</v>
      </c>
      <c r="N1564" s="1">
        <v>0</v>
      </c>
      <c r="O1564" s="1" t="s">
        <v>105</v>
      </c>
      <c r="P1564" s="186">
        <v>44971.639085648145</v>
      </c>
      <c r="R1564" s="1">
        <v>22</v>
      </c>
      <c r="T1564" s="1" t="s">
        <v>1160</v>
      </c>
      <c r="U1564" s="186">
        <v>44974.472418981481</v>
      </c>
      <c r="V1564" s="1" t="s">
        <v>41</v>
      </c>
      <c r="W1564" s="1" t="s">
        <v>49</v>
      </c>
    </row>
    <row r="1565" spans="1:23" hidden="1">
      <c r="A1565" s="1">
        <v>9482490</v>
      </c>
      <c r="B1565" s="1" t="s">
        <v>1153</v>
      </c>
      <c r="C1565" t="s">
        <v>3241</v>
      </c>
      <c r="D1565" s="2">
        <v>20232326000008</v>
      </c>
      <c r="E1565" s="2">
        <v>7417163283074</v>
      </c>
      <c r="F1565" s="1" t="s">
        <v>131</v>
      </c>
      <c r="G1565" s="1" t="s">
        <v>53</v>
      </c>
      <c r="H1565" s="1" t="s">
        <v>3236</v>
      </c>
      <c r="I1565" s="1" t="s">
        <v>3237</v>
      </c>
      <c r="J1565" s="1" t="s">
        <v>46</v>
      </c>
      <c r="K1565" t="s">
        <v>132</v>
      </c>
      <c r="M1565" s="1" t="s">
        <v>58</v>
      </c>
      <c r="N1565" s="1">
        <v>0</v>
      </c>
      <c r="O1565" s="1" t="s">
        <v>105</v>
      </c>
      <c r="P1565" s="186">
        <v>44971.639317129629</v>
      </c>
      <c r="R1565" s="1">
        <v>13</v>
      </c>
      <c r="T1565" s="1" t="s">
        <v>238</v>
      </c>
      <c r="U1565" s="186">
        <v>44971.639317129629</v>
      </c>
      <c r="V1565" s="1" t="s">
        <v>41</v>
      </c>
      <c r="W1565" s="1" t="s">
        <v>49</v>
      </c>
    </row>
    <row r="1566" spans="1:23" hidden="1">
      <c r="A1566" s="1">
        <v>9482481</v>
      </c>
      <c r="B1566" s="1" t="s">
        <v>1153</v>
      </c>
      <c r="C1566" t="s">
        <v>3243</v>
      </c>
      <c r="E1566" s="2">
        <v>9704000206200</v>
      </c>
      <c r="F1566" s="1" t="s">
        <v>208</v>
      </c>
      <c r="G1566" s="1" t="s">
        <v>53</v>
      </c>
      <c r="H1566" s="1" t="s">
        <v>488</v>
      </c>
      <c r="I1566" s="1" t="s">
        <v>489</v>
      </c>
      <c r="J1566" s="1" t="s">
        <v>164</v>
      </c>
      <c r="K1566" t="s">
        <v>212</v>
      </c>
      <c r="M1566" s="1" t="s">
        <v>35</v>
      </c>
      <c r="N1566" s="1">
        <v>42318949</v>
      </c>
      <c r="O1566" s="1" t="s">
        <v>36</v>
      </c>
      <c r="P1566" s="186">
        <v>44971.646354166667</v>
      </c>
      <c r="R1566" s="1" t="s">
        <v>38</v>
      </c>
      <c r="T1566" s="1" t="s">
        <v>74</v>
      </c>
      <c r="U1566" s="186">
        <v>44979.458333333336</v>
      </c>
      <c r="V1566" s="1" t="s">
        <v>41</v>
      </c>
      <c r="W1566" s="1" t="s">
        <v>49</v>
      </c>
    </row>
    <row r="1567" spans="1:23" hidden="1">
      <c r="A1567" s="1">
        <v>9482426</v>
      </c>
      <c r="B1567" s="1" t="s">
        <v>1153</v>
      </c>
      <c r="C1567" t="s">
        <v>3245</v>
      </c>
      <c r="D1567" s="2">
        <v>20231012000004</v>
      </c>
      <c r="E1567" s="2">
        <v>7417183020615</v>
      </c>
      <c r="F1567" s="1" t="s">
        <v>1313</v>
      </c>
      <c r="G1567" s="1" t="s">
        <v>53</v>
      </c>
      <c r="H1567" s="1" t="s">
        <v>2481</v>
      </c>
      <c r="I1567" s="1" t="s">
        <v>2482</v>
      </c>
      <c r="J1567" s="1" t="s">
        <v>164</v>
      </c>
      <c r="K1567" t="s">
        <v>1316</v>
      </c>
      <c r="M1567" s="1" t="s">
        <v>58</v>
      </c>
      <c r="N1567" s="1">
        <v>0</v>
      </c>
      <c r="O1567" s="1" t="s">
        <v>105</v>
      </c>
      <c r="P1567" s="186">
        <v>44971.625428240739</v>
      </c>
      <c r="R1567" s="1">
        <v>15</v>
      </c>
      <c r="T1567" s="1" t="s">
        <v>238</v>
      </c>
      <c r="U1567" s="186">
        <v>44971.625428240739</v>
      </c>
      <c r="V1567" s="1" t="s">
        <v>41</v>
      </c>
      <c r="W1567" s="1" t="s">
        <v>49</v>
      </c>
    </row>
    <row r="1568" spans="1:23" hidden="1">
      <c r="A1568" s="181">
        <v>9482150</v>
      </c>
      <c r="B1568" s="181" t="s">
        <v>1153</v>
      </c>
      <c r="C1568" s="182" t="s">
        <v>3510</v>
      </c>
      <c r="D1568" s="183">
        <v>20232437000023</v>
      </c>
      <c r="E1568" s="183">
        <v>7417172791907</v>
      </c>
      <c r="F1568" s="181" t="s">
        <v>1989</v>
      </c>
      <c r="G1568" s="181" t="s">
        <v>53</v>
      </c>
      <c r="H1568" s="181" t="s">
        <v>416</v>
      </c>
      <c r="I1568" s="181" t="s">
        <v>417</v>
      </c>
      <c r="J1568" s="181" t="s">
        <v>211</v>
      </c>
      <c r="K1568" t="s">
        <v>1990</v>
      </c>
      <c r="M1568" s="1" t="s">
        <v>58</v>
      </c>
      <c r="N1568" s="1">
        <v>0</v>
      </c>
      <c r="O1568" s="1" t="s">
        <v>105</v>
      </c>
      <c r="P1568" s="186">
        <v>44971.576817129629</v>
      </c>
      <c r="R1568" s="1">
        <v>22</v>
      </c>
      <c r="T1568" s="1" t="s">
        <v>1160</v>
      </c>
      <c r="U1568" s="186">
        <v>44974.410150462965</v>
      </c>
      <c r="V1568" s="1" t="s">
        <v>41</v>
      </c>
      <c r="W1568" s="1" t="s">
        <v>49</v>
      </c>
    </row>
    <row r="1569" spans="1:23" hidden="1">
      <c r="A1569" s="181">
        <v>9482149</v>
      </c>
      <c r="B1569" s="181" t="s">
        <v>1153</v>
      </c>
      <c r="C1569" s="182" t="s">
        <v>3510</v>
      </c>
      <c r="D1569" s="183">
        <v>20232437000022</v>
      </c>
      <c r="E1569" s="183">
        <v>7417192425355</v>
      </c>
      <c r="F1569" s="181" t="s">
        <v>1727</v>
      </c>
      <c r="G1569" s="181" t="s">
        <v>53</v>
      </c>
      <c r="H1569" s="181" t="s">
        <v>416</v>
      </c>
      <c r="I1569" s="181" t="s">
        <v>417</v>
      </c>
      <c r="J1569" s="181" t="s">
        <v>211</v>
      </c>
      <c r="K1569" t="s">
        <v>1728</v>
      </c>
      <c r="M1569" s="1" t="s">
        <v>58</v>
      </c>
      <c r="N1569" s="1">
        <v>0</v>
      </c>
      <c r="O1569" s="1" t="s">
        <v>105</v>
      </c>
      <c r="P1569" s="186">
        <v>44971.576365740744</v>
      </c>
      <c r="R1569" s="1">
        <v>22</v>
      </c>
      <c r="T1569" s="1" t="s">
        <v>1160</v>
      </c>
      <c r="U1569" s="186">
        <v>44974.409699074073</v>
      </c>
      <c r="V1569" s="1" t="s">
        <v>41</v>
      </c>
      <c r="W1569" s="1" t="s">
        <v>49</v>
      </c>
    </row>
    <row r="1570" spans="1:23" hidden="1">
      <c r="A1570" s="1">
        <v>9482143</v>
      </c>
      <c r="B1570" s="1" t="s">
        <v>1153</v>
      </c>
      <c r="C1570" t="s">
        <v>3254</v>
      </c>
      <c r="D1570" s="2">
        <v>20234844000460</v>
      </c>
      <c r="E1570" s="2">
        <v>7419143323433</v>
      </c>
      <c r="F1570" s="1" t="s">
        <v>1222</v>
      </c>
      <c r="G1570" s="1" t="s">
        <v>53</v>
      </c>
      <c r="H1570" s="1" t="s">
        <v>2444</v>
      </c>
      <c r="I1570" s="1" t="s">
        <v>2445</v>
      </c>
      <c r="J1570" s="1" t="s">
        <v>46</v>
      </c>
      <c r="K1570" t="s">
        <v>1223</v>
      </c>
      <c r="M1570" s="1" t="s">
        <v>58</v>
      </c>
      <c r="N1570" s="1">
        <v>0</v>
      </c>
      <c r="O1570" s="1" t="s">
        <v>105</v>
      </c>
      <c r="P1570" s="186">
        <v>44971.579050925924</v>
      </c>
      <c r="R1570" s="1">
        <v>13</v>
      </c>
      <c r="T1570" s="1" t="s">
        <v>238</v>
      </c>
      <c r="U1570" s="186">
        <v>44971.579050925924</v>
      </c>
      <c r="V1570" s="1" t="s">
        <v>41</v>
      </c>
      <c r="W1570" s="1" t="s">
        <v>49</v>
      </c>
    </row>
    <row r="1571" spans="1:23" hidden="1">
      <c r="A1571" s="1">
        <v>9482130</v>
      </c>
      <c r="B1571" s="1" t="s">
        <v>1153</v>
      </c>
      <c r="C1571" t="s">
        <v>3256</v>
      </c>
      <c r="E1571" s="2">
        <v>2855000206001</v>
      </c>
      <c r="F1571" s="1" t="s">
        <v>29</v>
      </c>
      <c r="G1571" s="1" t="s">
        <v>53</v>
      </c>
      <c r="H1571" s="1" t="s">
        <v>249</v>
      </c>
      <c r="I1571" s="1" t="s">
        <v>250</v>
      </c>
      <c r="J1571" s="1" t="s">
        <v>56</v>
      </c>
      <c r="K1571" t="s">
        <v>34</v>
      </c>
      <c r="M1571" s="1" t="s">
        <v>35</v>
      </c>
      <c r="N1571" s="1">
        <v>42318949</v>
      </c>
      <c r="O1571" s="1" t="s">
        <v>36</v>
      </c>
      <c r="P1571" s="186">
        <v>44971.594247685185</v>
      </c>
      <c r="R1571" s="1" t="s">
        <v>38</v>
      </c>
      <c r="T1571" s="1" t="s">
        <v>74</v>
      </c>
      <c r="U1571" s="186">
        <v>44984.708333333336</v>
      </c>
      <c r="V1571" s="1" t="s">
        <v>41</v>
      </c>
      <c r="W1571" s="1" t="s">
        <v>49</v>
      </c>
    </row>
    <row r="1572" spans="1:23" hidden="1">
      <c r="A1572" s="1">
        <v>9481995</v>
      </c>
      <c r="B1572" s="1" t="s">
        <v>1153</v>
      </c>
      <c r="C1572" t="s">
        <v>3258</v>
      </c>
      <c r="D1572" s="2">
        <v>20230115000012</v>
      </c>
      <c r="E1572" s="2">
        <v>7417183022877</v>
      </c>
      <c r="F1572" s="1" t="s">
        <v>1313</v>
      </c>
      <c r="G1572" s="1" t="s">
        <v>53</v>
      </c>
      <c r="H1572" s="1" t="s">
        <v>2591</v>
      </c>
      <c r="I1572" s="1" t="s">
        <v>2592</v>
      </c>
      <c r="J1572" s="1" t="s">
        <v>56</v>
      </c>
      <c r="K1572" t="s">
        <v>1316</v>
      </c>
      <c r="M1572" s="1" t="s">
        <v>58</v>
      </c>
      <c r="N1572" s="1">
        <v>0</v>
      </c>
      <c r="O1572" s="1" t="s">
        <v>105</v>
      </c>
      <c r="P1572" s="186">
        <v>44971.553935185184</v>
      </c>
      <c r="R1572" s="1">
        <v>14</v>
      </c>
      <c r="T1572" s="1" t="s">
        <v>238</v>
      </c>
      <c r="U1572" s="186">
        <v>44971.553935185184</v>
      </c>
      <c r="V1572" s="1" t="s">
        <v>41</v>
      </c>
      <c r="W1572" s="1" t="s">
        <v>49</v>
      </c>
    </row>
    <row r="1573" spans="1:23" hidden="1">
      <c r="A1573" s="1">
        <v>9481957</v>
      </c>
      <c r="B1573" s="1" t="s">
        <v>1153</v>
      </c>
      <c r="C1573" t="s">
        <v>2986</v>
      </c>
      <c r="E1573" s="2">
        <v>2196000206001</v>
      </c>
      <c r="F1573" s="1" t="s">
        <v>29</v>
      </c>
      <c r="G1573" s="1" t="s">
        <v>53</v>
      </c>
      <c r="H1573" s="1" t="s">
        <v>1252</v>
      </c>
      <c r="I1573" s="1" t="s">
        <v>1253</v>
      </c>
      <c r="J1573" s="1" t="s">
        <v>33</v>
      </c>
      <c r="K1573" t="s">
        <v>34</v>
      </c>
      <c r="M1573" s="1" t="s">
        <v>35</v>
      </c>
      <c r="N1573" s="1">
        <v>42318949</v>
      </c>
      <c r="O1573" s="1" t="s">
        <v>36</v>
      </c>
      <c r="P1573" s="186">
        <v>44971.562916666669</v>
      </c>
      <c r="R1573" s="1" t="s">
        <v>38</v>
      </c>
      <c r="T1573" s="1" t="s">
        <v>74</v>
      </c>
      <c r="U1573" s="186">
        <v>44980.541666666664</v>
      </c>
      <c r="V1573" s="1" t="s">
        <v>41</v>
      </c>
      <c r="W1573" s="1" t="s">
        <v>42</v>
      </c>
    </row>
    <row r="1574" spans="1:23" hidden="1">
      <c r="A1574" s="1">
        <v>9481887</v>
      </c>
      <c r="B1574" s="1" t="s">
        <v>1153</v>
      </c>
      <c r="C1574" t="s">
        <v>2990</v>
      </c>
      <c r="D1574" s="2">
        <v>20234844000459</v>
      </c>
      <c r="E1574" s="2">
        <v>7417183020660</v>
      </c>
      <c r="F1574" s="1" t="s">
        <v>1313</v>
      </c>
      <c r="G1574" s="1" t="s">
        <v>53</v>
      </c>
      <c r="H1574" s="1" t="s">
        <v>2087</v>
      </c>
      <c r="I1574" s="1" t="s">
        <v>2088</v>
      </c>
      <c r="J1574" s="1" t="s">
        <v>46</v>
      </c>
      <c r="K1574" t="s">
        <v>1316</v>
      </c>
      <c r="M1574" s="1" t="s">
        <v>58</v>
      </c>
      <c r="N1574" s="1">
        <v>0</v>
      </c>
      <c r="O1574" s="1" t="s">
        <v>36</v>
      </c>
      <c r="P1574" s="186">
        <v>44971.540173611109</v>
      </c>
      <c r="R1574" s="1">
        <v>13</v>
      </c>
      <c r="T1574" s="1" t="s">
        <v>238</v>
      </c>
      <c r="U1574" s="186">
        <v>44971.540173611109</v>
      </c>
      <c r="V1574" s="1" t="s">
        <v>41</v>
      </c>
      <c r="W1574" s="1" t="s">
        <v>49</v>
      </c>
    </row>
    <row r="1575" spans="1:23" hidden="1">
      <c r="A1575" s="1">
        <v>9481886</v>
      </c>
      <c r="B1575" s="1" t="s">
        <v>1153</v>
      </c>
      <c r="C1575" t="s">
        <v>2991</v>
      </c>
      <c r="D1575" s="2">
        <v>20234844000458</v>
      </c>
      <c r="E1575" s="2">
        <v>7419143322492</v>
      </c>
      <c r="F1575" s="1" t="s">
        <v>1222</v>
      </c>
      <c r="G1575" s="1" t="s">
        <v>53</v>
      </c>
      <c r="H1575" s="1" t="s">
        <v>2992</v>
      </c>
      <c r="I1575" s="1" t="s">
        <v>2993</v>
      </c>
      <c r="J1575" s="1" t="s">
        <v>46</v>
      </c>
      <c r="K1575" t="s">
        <v>1223</v>
      </c>
      <c r="M1575" s="1" t="s">
        <v>58</v>
      </c>
      <c r="N1575" s="1">
        <v>0</v>
      </c>
      <c r="O1575" s="1" t="s">
        <v>105</v>
      </c>
      <c r="P1575" s="186">
        <v>44971.534155092595</v>
      </c>
      <c r="R1575" s="1">
        <v>13</v>
      </c>
      <c r="T1575" s="1" t="s">
        <v>238</v>
      </c>
      <c r="U1575" s="186">
        <v>44971.534155092595</v>
      </c>
      <c r="V1575" s="1" t="s">
        <v>41</v>
      </c>
      <c r="W1575" s="1" t="s">
        <v>49</v>
      </c>
    </row>
    <row r="1576" spans="1:23" hidden="1">
      <c r="A1576" s="1">
        <v>9481874</v>
      </c>
      <c r="B1576" s="1" t="s">
        <v>1153</v>
      </c>
      <c r="C1576" t="s">
        <v>2994</v>
      </c>
      <c r="D1576" s="2">
        <v>20231650000004</v>
      </c>
      <c r="E1576" s="2">
        <v>8558100222966</v>
      </c>
      <c r="F1576" s="1" t="s">
        <v>2995</v>
      </c>
      <c r="G1576" s="1" t="s">
        <v>53</v>
      </c>
      <c r="H1576" s="1" t="s">
        <v>620</v>
      </c>
      <c r="I1576" s="1" t="s">
        <v>621</v>
      </c>
      <c r="J1576" s="1" t="s">
        <v>141</v>
      </c>
      <c r="K1576" t="s">
        <v>2996</v>
      </c>
      <c r="M1576" s="1" t="s">
        <v>58</v>
      </c>
      <c r="N1576" s="1">
        <v>0</v>
      </c>
      <c r="O1576" s="1" t="s">
        <v>36</v>
      </c>
      <c r="P1576" s="186">
        <v>44971.532152777778</v>
      </c>
      <c r="R1576" s="1">
        <v>21</v>
      </c>
      <c r="T1576" s="1" t="s">
        <v>1160</v>
      </c>
      <c r="U1576" s="186">
        <v>44973.615486111114</v>
      </c>
      <c r="V1576" s="1" t="s">
        <v>41</v>
      </c>
      <c r="W1576" s="1" t="s">
        <v>49</v>
      </c>
    </row>
    <row r="1577" spans="1:23" hidden="1">
      <c r="A1577" s="1">
        <v>9481854</v>
      </c>
      <c r="B1577" s="1" t="s">
        <v>1153</v>
      </c>
      <c r="C1577" t="s">
        <v>2997</v>
      </c>
      <c r="D1577" s="2">
        <v>230028931</v>
      </c>
      <c r="E1577" s="2">
        <v>67001400010</v>
      </c>
      <c r="F1577" s="1" t="s">
        <v>936</v>
      </c>
      <c r="G1577" s="1" t="s">
        <v>53</v>
      </c>
      <c r="H1577" s="1" t="s">
        <v>404</v>
      </c>
      <c r="I1577" s="1" t="s">
        <v>405</v>
      </c>
      <c r="J1577" s="1" t="s">
        <v>164</v>
      </c>
      <c r="K1577" t="s">
        <v>937</v>
      </c>
      <c r="M1577" s="1" t="s">
        <v>58</v>
      </c>
      <c r="N1577" s="1">
        <v>0</v>
      </c>
      <c r="O1577" s="1" t="s">
        <v>36</v>
      </c>
      <c r="P1577" s="186">
        <v>44971.545138888891</v>
      </c>
      <c r="R1577" s="1">
        <v>3</v>
      </c>
      <c r="T1577" s="1" t="s">
        <v>646</v>
      </c>
      <c r="U1577" s="186">
        <v>44980.482638888891</v>
      </c>
      <c r="V1577" s="1" t="s">
        <v>41</v>
      </c>
      <c r="W1577" s="1" t="s">
        <v>49</v>
      </c>
    </row>
    <row r="1578" spans="1:23" hidden="1">
      <c r="A1578" s="1">
        <v>9481771</v>
      </c>
      <c r="B1578" s="1" t="s">
        <v>62</v>
      </c>
      <c r="C1578" t="s">
        <v>2999</v>
      </c>
      <c r="E1578" s="2">
        <v>3108010206001</v>
      </c>
      <c r="F1578" s="1" t="s">
        <v>29</v>
      </c>
      <c r="G1578" s="1" t="s">
        <v>53</v>
      </c>
      <c r="H1578" s="1" t="s">
        <v>503</v>
      </c>
      <c r="I1578" s="1" t="s">
        <v>504</v>
      </c>
      <c r="J1578" s="1" t="s">
        <v>46</v>
      </c>
      <c r="K1578" t="s">
        <v>34</v>
      </c>
      <c r="M1578" s="1" t="s">
        <v>35</v>
      </c>
      <c r="N1578" s="1">
        <v>42318949</v>
      </c>
      <c r="O1578" s="1" t="s">
        <v>105</v>
      </c>
      <c r="P1578" s="186">
        <v>44971.531631944446</v>
      </c>
      <c r="R1578" s="1" t="s">
        <v>38</v>
      </c>
      <c r="T1578" s="1" t="s">
        <v>74</v>
      </c>
      <c r="U1578" s="186">
        <v>45014.75</v>
      </c>
      <c r="V1578" s="1" t="s">
        <v>41</v>
      </c>
      <c r="W1578" s="1" t="s">
        <v>49</v>
      </c>
    </row>
    <row r="1579" spans="1:23" hidden="1">
      <c r="A1579" s="181">
        <v>9481708</v>
      </c>
      <c r="B1579" s="181" t="s">
        <v>1153</v>
      </c>
      <c r="C1579" s="185" t="s">
        <v>3000</v>
      </c>
      <c r="D1579" s="183"/>
      <c r="E1579" s="183">
        <v>2437000206001</v>
      </c>
      <c r="F1579" s="181" t="s">
        <v>29</v>
      </c>
      <c r="G1579" s="181" t="s">
        <v>53</v>
      </c>
      <c r="H1579" s="181" t="s">
        <v>416</v>
      </c>
      <c r="I1579" s="181" t="s">
        <v>417</v>
      </c>
      <c r="J1579" s="181" t="s">
        <v>211</v>
      </c>
      <c r="K1579" t="s">
        <v>34</v>
      </c>
      <c r="M1579" s="1" t="s">
        <v>35</v>
      </c>
      <c r="N1579" s="1">
        <v>42318949</v>
      </c>
      <c r="O1579" s="1" t="s">
        <v>36</v>
      </c>
      <c r="P1579" s="186">
        <v>44971.521608796298</v>
      </c>
      <c r="R1579" s="1" t="s">
        <v>38</v>
      </c>
      <c r="T1579" s="1" t="s">
        <v>74</v>
      </c>
      <c r="U1579" s="186">
        <v>44979.708333333336</v>
      </c>
      <c r="V1579" s="1" t="s">
        <v>41</v>
      </c>
      <c r="W1579" s="1" t="s">
        <v>49</v>
      </c>
    </row>
    <row r="1580" spans="1:23" hidden="1">
      <c r="A1580" s="1">
        <v>9481457</v>
      </c>
      <c r="B1580" s="1" t="s">
        <v>1153</v>
      </c>
      <c r="C1580" t="s">
        <v>3001</v>
      </c>
      <c r="D1580" s="2">
        <v>20234844000457</v>
      </c>
      <c r="E1580" s="2">
        <v>7419143322500</v>
      </c>
      <c r="F1580" s="1" t="s">
        <v>1222</v>
      </c>
      <c r="G1580" s="1" t="s">
        <v>53</v>
      </c>
      <c r="H1580" s="1" t="s">
        <v>3002</v>
      </c>
      <c r="I1580" s="1" t="s">
        <v>3003</v>
      </c>
      <c r="J1580" s="1" t="s">
        <v>46</v>
      </c>
      <c r="K1580" t="s">
        <v>1223</v>
      </c>
      <c r="M1580" s="1" t="s">
        <v>58</v>
      </c>
      <c r="N1580" s="1">
        <v>0</v>
      </c>
      <c r="O1580" s="1" t="s">
        <v>105</v>
      </c>
      <c r="P1580" s="186">
        <v>44971.471018518518</v>
      </c>
      <c r="R1580" s="1">
        <v>13</v>
      </c>
      <c r="T1580" s="1" t="s">
        <v>238</v>
      </c>
      <c r="U1580" s="186">
        <v>44971.471018518518</v>
      </c>
      <c r="V1580" s="1" t="s">
        <v>41</v>
      </c>
      <c r="W1580" s="1" t="s">
        <v>49</v>
      </c>
    </row>
    <row r="1581" spans="1:23" hidden="1">
      <c r="A1581" s="1">
        <v>9481422</v>
      </c>
      <c r="B1581" s="1" t="s">
        <v>1153</v>
      </c>
      <c r="C1581" t="s">
        <v>3004</v>
      </c>
      <c r="D1581" s="2">
        <v>230028843</v>
      </c>
      <c r="E1581" s="2">
        <v>3699001400030</v>
      </c>
      <c r="F1581" s="1" t="s">
        <v>647</v>
      </c>
      <c r="G1581" s="1" t="s">
        <v>53</v>
      </c>
      <c r="H1581" s="1" t="s">
        <v>343</v>
      </c>
      <c r="I1581" s="1" t="s">
        <v>344</v>
      </c>
      <c r="J1581" s="1" t="s">
        <v>46</v>
      </c>
      <c r="K1581" t="s">
        <v>650</v>
      </c>
      <c r="M1581" s="1" t="s">
        <v>58</v>
      </c>
      <c r="N1581" s="1">
        <v>0</v>
      </c>
      <c r="O1581" s="1" t="s">
        <v>36</v>
      </c>
      <c r="P1581" s="186">
        <v>44971.480613425927</v>
      </c>
      <c r="R1581" s="1">
        <v>4</v>
      </c>
      <c r="T1581" s="1" t="s">
        <v>646</v>
      </c>
      <c r="U1581" s="186">
        <v>44980.625</v>
      </c>
      <c r="V1581" s="1" t="s">
        <v>41</v>
      </c>
      <c r="W1581" s="1" t="s">
        <v>49</v>
      </c>
    </row>
    <row r="1582" spans="1:23" hidden="1">
      <c r="A1582" s="1">
        <v>9481389</v>
      </c>
      <c r="B1582" s="1" t="s">
        <v>1153</v>
      </c>
      <c r="C1582" t="s">
        <v>3006</v>
      </c>
      <c r="D1582" s="2">
        <v>20232369000007</v>
      </c>
      <c r="E1582" s="2">
        <v>7417161480604</v>
      </c>
      <c r="F1582" s="1" t="s">
        <v>1979</v>
      </c>
      <c r="G1582" s="1" t="s">
        <v>53</v>
      </c>
      <c r="H1582" s="1" t="s">
        <v>2809</v>
      </c>
      <c r="I1582" s="1" t="s">
        <v>2810</v>
      </c>
      <c r="J1582" s="1" t="s">
        <v>141</v>
      </c>
      <c r="K1582" t="s">
        <v>1982</v>
      </c>
      <c r="M1582" s="1" t="s">
        <v>58</v>
      </c>
      <c r="N1582" s="1">
        <v>0</v>
      </c>
      <c r="O1582" s="1" t="s">
        <v>36</v>
      </c>
      <c r="P1582" s="186">
        <v>44971.46603009259</v>
      </c>
      <c r="R1582" s="1">
        <v>14</v>
      </c>
      <c r="T1582" s="1" t="s">
        <v>238</v>
      </c>
      <c r="U1582" s="186">
        <v>44971.46603009259</v>
      </c>
      <c r="V1582" s="1" t="s">
        <v>41</v>
      </c>
      <c r="W1582" s="1" t="s">
        <v>49</v>
      </c>
    </row>
    <row r="1583" spans="1:23" hidden="1">
      <c r="A1583" s="1">
        <v>9481327</v>
      </c>
      <c r="B1583" s="1" t="s">
        <v>1153</v>
      </c>
      <c r="C1583" t="s">
        <v>3007</v>
      </c>
      <c r="D1583" s="2">
        <v>20234844000456</v>
      </c>
      <c r="E1583" s="2">
        <v>7417193050611</v>
      </c>
      <c r="F1583" s="1" t="s">
        <v>1719</v>
      </c>
      <c r="G1583" s="1" t="s">
        <v>53</v>
      </c>
      <c r="H1583" s="1" t="s">
        <v>343</v>
      </c>
      <c r="I1583" s="1" t="s">
        <v>344</v>
      </c>
      <c r="J1583" s="1" t="s">
        <v>46</v>
      </c>
      <c r="K1583" t="s">
        <v>1720</v>
      </c>
      <c r="M1583" s="1" t="s">
        <v>58</v>
      </c>
      <c r="N1583" s="1">
        <v>0</v>
      </c>
      <c r="O1583" s="1" t="s">
        <v>105</v>
      </c>
      <c r="P1583" s="186">
        <v>44971.452789351853</v>
      </c>
      <c r="R1583" s="1">
        <v>22</v>
      </c>
      <c r="T1583" s="1" t="s">
        <v>1160</v>
      </c>
      <c r="U1583" s="186">
        <v>44973.661122685182</v>
      </c>
      <c r="V1583" s="1" t="s">
        <v>41</v>
      </c>
      <c r="W1583" s="1" t="s">
        <v>49</v>
      </c>
    </row>
    <row r="1584" spans="1:23" hidden="1">
      <c r="A1584" s="1">
        <v>9481183</v>
      </c>
      <c r="B1584" s="1" t="s">
        <v>1153</v>
      </c>
      <c r="C1584" t="s">
        <v>3009</v>
      </c>
      <c r="D1584" s="2">
        <v>20231739000004</v>
      </c>
      <c r="E1584" s="2">
        <v>7417161480638</v>
      </c>
      <c r="F1584" s="1" t="s">
        <v>1979</v>
      </c>
      <c r="G1584" s="1" t="s">
        <v>53</v>
      </c>
      <c r="H1584" s="1" t="s">
        <v>2891</v>
      </c>
      <c r="I1584" s="1" t="s">
        <v>2892</v>
      </c>
      <c r="J1584" s="1" t="s">
        <v>164</v>
      </c>
      <c r="K1584" t="s">
        <v>1982</v>
      </c>
      <c r="M1584" s="1" t="s">
        <v>58</v>
      </c>
      <c r="N1584" s="1">
        <v>0</v>
      </c>
      <c r="O1584" s="1" t="s">
        <v>105</v>
      </c>
      <c r="P1584" s="186">
        <v>44971.44327546296</v>
      </c>
      <c r="R1584" s="1">
        <v>14</v>
      </c>
      <c r="T1584" s="1" t="s">
        <v>238</v>
      </c>
      <c r="U1584" s="186">
        <v>44971.44327546296</v>
      </c>
      <c r="V1584" s="1" t="s">
        <v>41</v>
      </c>
      <c r="W1584" s="1" t="s">
        <v>49</v>
      </c>
    </row>
    <row r="1585" spans="1:23" hidden="1">
      <c r="A1585" s="1">
        <v>9481147</v>
      </c>
      <c r="B1585" s="1" t="s">
        <v>1153</v>
      </c>
      <c r="C1585" t="s">
        <v>3010</v>
      </c>
      <c r="D1585" s="2">
        <v>20232678000016</v>
      </c>
      <c r="E1585" s="2">
        <v>7417163281860</v>
      </c>
      <c r="F1585" s="1" t="s">
        <v>131</v>
      </c>
      <c r="G1585" s="1" t="s">
        <v>53</v>
      </c>
      <c r="H1585" s="1" t="s">
        <v>2814</v>
      </c>
      <c r="I1585" s="1" t="s">
        <v>2815</v>
      </c>
      <c r="J1585" s="1" t="s">
        <v>33</v>
      </c>
      <c r="K1585" t="s">
        <v>132</v>
      </c>
      <c r="M1585" s="1" t="s">
        <v>58</v>
      </c>
      <c r="N1585" s="1">
        <v>0</v>
      </c>
      <c r="O1585" s="1" t="s">
        <v>105</v>
      </c>
      <c r="P1585" s="186">
        <v>44971.435636574075</v>
      </c>
      <c r="R1585" s="1">
        <v>15</v>
      </c>
      <c r="T1585" s="1" t="s">
        <v>238</v>
      </c>
      <c r="U1585" s="186">
        <v>44971.435636574075</v>
      </c>
      <c r="V1585" s="1" t="s">
        <v>41</v>
      </c>
      <c r="W1585" s="1" t="s">
        <v>42</v>
      </c>
    </row>
    <row r="1586" spans="1:23" hidden="1">
      <c r="A1586" s="1">
        <v>9481146</v>
      </c>
      <c r="B1586" s="1" t="s">
        <v>1153</v>
      </c>
      <c r="C1586" t="s">
        <v>3011</v>
      </c>
      <c r="D1586" s="2">
        <v>20232678000015</v>
      </c>
      <c r="E1586" s="2">
        <v>7417163282981</v>
      </c>
      <c r="F1586" s="1" t="s">
        <v>131</v>
      </c>
      <c r="G1586" s="1" t="s">
        <v>53</v>
      </c>
      <c r="H1586" s="1" t="s">
        <v>2814</v>
      </c>
      <c r="I1586" s="1" t="s">
        <v>2815</v>
      </c>
      <c r="J1586" s="1" t="s">
        <v>33</v>
      </c>
      <c r="K1586" t="s">
        <v>132</v>
      </c>
      <c r="M1586" s="1" t="s">
        <v>58</v>
      </c>
      <c r="N1586" s="1">
        <v>0</v>
      </c>
      <c r="O1586" s="1" t="s">
        <v>105</v>
      </c>
      <c r="P1586" s="186">
        <v>44971.435590277775</v>
      </c>
      <c r="R1586" s="1">
        <v>15</v>
      </c>
      <c r="T1586" s="1" t="s">
        <v>238</v>
      </c>
      <c r="U1586" s="186">
        <v>44971.435590277775</v>
      </c>
      <c r="V1586" s="1" t="s">
        <v>41</v>
      </c>
      <c r="W1586" s="1" t="s">
        <v>42</v>
      </c>
    </row>
    <row r="1587" spans="1:23" hidden="1">
      <c r="A1587" s="181">
        <v>9481112</v>
      </c>
      <c r="B1587" s="181" t="s">
        <v>1153</v>
      </c>
      <c r="C1587" s="182" t="s">
        <v>3511</v>
      </c>
      <c r="D1587" s="183">
        <v>20230870000027</v>
      </c>
      <c r="E1587" s="183">
        <v>7417161483328</v>
      </c>
      <c r="F1587" s="181" t="s">
        <v>1217</v>
      </c>
      <c r="G1587" s="181" t="s">
        <v>53</v>
      </c>
      <c r="H1587" s="181" t="s">
        <v>519</v>
      </c>
      <c r="I1587" s="181" t="s">
        <v>520</v>
      </c>
      <c r="J1587" s="181" t="s">
        <v>90</v>
      </c>
      <c r="K1587" t="s">
        <v>1218</v>
      </c>
      <c r="M1587" s="1" t="s">
        <v>58</v>
      </c>
      <c r="N1587" s="1">
        <v>0</v>
      </c>
      <c r="O1587" s="1" t="s">
        <v>105</v>
      </c>
      <c r="P1587" s="186">
        <v>44971.436342592591</v>
      </c>
      <c r="R1587" s="1">
        <v>14</v>
      </c>
      <c r="T1587" s="1" t="s">
        <v>238</v>
      </c>
      <c r="U1587" s="186">
        <v>44971.436342592591</v>
      </c>
      <c r="V1587" s="1" t="s">
        <v>41</v>
      </c>
      <c r="W1587" s="1" t="s">
        <v>49</v>
      </c>
    </row>
    <row r="1588" spans="1:23" hidden="1">
      <c r="A1588" s="1">
        <v>9481015</v>
      </c>
      <c r="B1588" s="1" t="s">
        <v>1153</v>
      </c>
      <c r="C1588" t="s">
        <v>3013</v>
      </c>
      <c r="D1588" s="2">
        <v>230028753</v>
      </c>
      <c r="E1588" s="2">
        <v>233001400020</v>
      </c>
      <c r="F1588" s="1" t="s">
        <v>1961</v>
      </c>
      <c r="G1588" s="1" t="s">
        <v>53</v>
      </c>
      <c r="H1588" s="1" t="s">
        <v>424</v>
      </c>
      <c r="I1588" s="1" t="s">
        <v>425</v>
      </c>
      <c r="J1588" s="1" t="s">
        <v>261</v>
      </c>
      <c r="K1588" t="s">
        <v>1962</v>
      </c>
      <c r="M1588" s="1" t="s">
        <v>58</v>
      </c>
      <c r="N1588" s="1">
        <v>0</v>
      </c>
      <c r="O1588" s="1" t="s">
        <v>36</v>
      </c>
      <c r="P1588" s="186">
        <v>44971.432870370372</v>
      </c>
      <c r="R1588" s="1">
        <v>4</v>
      </c>
      <c r="T1588" s="1" t="s">
        <v>646</v>
      </c>
      <c r="U1588" s="186">
        <v>44985.729166666664</v>
      </c>
      <c r="V1588" s="1" t="s">
        <v>41</v>
      </c>
      <c r="W1588" s="1" t="s">
        <v>49</v>
      </c>
    </row>
    <row r="1589" spans="1:23" hidden="1">
      <c r="A1589" s="1">
        <v>9480902</v>
      </c>
      <c r="B1589" s="1" t="s">
        <v>1153</v>
      </c>
      <c r="C1589" t="s">
        <v>3014</v>
      </c>
      <c r="D1589" s="2">
        <v>20234844000454</v>
      </c>
      <c r="E1589" s="2">
        <v>7417163281988</v>
      </c>
      <c r="F1589" s="1" t="s">
        <v>131</v>
      </c>
      <c r="G1589" s="1" t="s">
        <v>53</v>
      </c>
      <c r="H1589" s="1" t="s">
        <v>2444</v>
      </c>
      <c r="I1589" s="1" t="s">
        <v>2445</v>
      </c>
      <c r="J1589" s="1" t="s">
        <v>46</v>
      </c>
      <c r="K1589" t="s">
        <v>132</v>
      </c>
      <c r="M1589" s="1" t="s">
        <v>58</v>
      </c>
      <c r="N1589" s="1">
        <v>0</v>
      </c>
      <c r="O1589" s="1" t="s">
        <v>105</v>
      </c>
      <c r="P1589" s="186">
        <v>44971.395092592589</v>
      </c>
      <c r="R1589" s="1">
        <v>13</v>
      </c>
      <c r="T1589" s="1" t="s">
        <v>238</v>
      </c>
      <c r="U1589" s="186">
        <v>44971.395833333336</v>
      </c>
      <c r="V1589" s="1" t="s">
        <v>41</v>
      </c>
      <c r="W1589" s="1" t="s">
        <v>49</v>
      </c>
    </row>
    <row r="1590" spans="1:23" hidden="1">
      <c r="A1590" s="1">
        <v>9480751</v>
      </c>
      <c r="B1590" s="1" t="s">
        <v>1153</v>
      </c>
      <c r="C1590" t="s">
        <v>3016</v>
      </c>
      <c r="D1590" s="2">
        <v>20238074000007</v>
      </c>
      <c r="E1590" s="2">
        <v>7419141891762</v>
      </c>
      <c r="F1590" s="1" t="s">
        <v>128</v>
      </c>
      <c r="G1590" s="1" t="s">
        <v>53</v>
      </c>
      <c r="H1590" s="1" t="s">
        <v>2866</v>
      </c>
      <c r="I1590" s="1" t="s">
        <v>2867</v>
      </c>
      <c r="J1590" s="1" t="s">
        <v>33</v>
      </c>
      <c r="K1590" t="s">
        <v>129</v>
      </c>
      <c r="M1590" s="1" t="s">
        <v>58</v>
      </c>
      <c r="N1590" s="1">
        <v>0</v>
      </c>
      <c r="O1590" s="1" t="s">
        <v>36</v>
      </c>
      <c r="P1590" s="186">
        <v>44971.371527777781</v>
      </c>
      <c r="R1590" s="1">
        <v>14</v>
      </c>
      <c r="T1590" s="1" t="s">
        <v>238</v>
      </c>
      <c r="U1590" s="186">
        <v>44971.395833333336</v>
      </c>
      <c r="V1590" s="1" t="s">
        <v>41</v>
      </c>
      <c r="W1590" s="1" t="s">
        <v>49</v>
      </c>
    </row>
    <row r="1591" spans="1:23" hidden="1">
      <c r="A1591" s="1">
        <v>9480717</v>
      </c>
      <c r="B1591" s="1" t="s">
        <v>1153</v>
      </c>
      <c r="C1591" t="s">
        <v>3017</v>
      </c>
      <c r="E1591" s="2">
        <v>2625000206001</v>
      </c>
      <c r="F1591" s="1" t="s">
        <v>29</v>
      </c>
      <c r="G1591" s="1" t="s">
        <v>53</v>
      </c>
      <c r="H1591" s="1" t="s">
        <v>317</v>
      </c>
      <c r="I1591" s="1" t="s">
        <v>318</v>
      </c>
      <c r="J1591" s="1" t="s">
        <v>164</v>
      </c>
      <c r="K1591" t="s">
        <v>34</v>
      </c>
      <c r="M1591" s="1" t="s">
        <v>35</v>
      </c>
      <c r="N1591" s="1">
        <v>42318949</v>
      </c>
      <c r="O1591" s="1" t="s">
        <v>36</v>
      </c>
      <c r="P1591" s="186">
        <v>44971.385763888888</v>
      </c>
      <c r="R1591" s="1" t="s">
        <v>38</v>
      </c>
      <c r="T1591" s="1" t="s">
        <v>74</v>
      </c>
      <c r="U1591" s="186">
        <v>44979.625</v>
      </c>
      <c r="V1591" s="1" t="s">
        <v>41</v>
      </c>
      <c r="W1591" s="1" t="s">
        <v>49</v>
      </c>
    </row>
    <row r="1592" spans="1:23" hidden="1">
      <c r="A1592" s="1">
        <v>9480465</v>
      </c>
      <c r="B1592" s="1" t="s">
        <v>1153</v>
      </c>
      <c r="C1592" t="s">
        <v>3022</v>
      </c>
      <c r="D1592" s="2">
        <v>20234804001636</v>
      </c>
      <c r="E1592" s="2">
        <v>7417183022673</v>
      </c>
      <c r="F1592" s="1" t="s">
        <v>1313</v>
      </c>
      <c r="G1592" s="1" t="s">
        <v>53</v>
      </c>
      <c r="H1592" s="1" t="s">
        <v>2941</v>
      </c>
      <c r="I1592" s="1" t="s">
        <v>2942</v>
      </c>
      <c r="J1592" s="1" t="s">
        <v>46</v>
      </c>
      <c r="K1592" t="s">
        <v>1316</v>
      </c>
      <c r="M1592" s="1" t="s">
        <v>58</v>
      </c>
      <c r="N1592" s="1">
        <v>0</v>
      </c>
      <c r="O1592" s="1" t="s">
        <v>36</v>
      </c>
      <c r="P1592" s="186">
        <v>44971.335613425923</v>
      </c>
      <c r="R1592" s="1">
        <v>13</v>
      </c>
      <c r="S1592" s="1">
        <v>4804</v>
      </c>
      <c r="T1592" s="1" t="s">
        <v>238</v>
      </c>
      <c r="U1592" s="186">
        <v>44971.395833333336</v>
      </c>
      <c r="V1592" s="1" t="s">
        <v>41</v>
      </c>
      <c r="W1592" s="1" t="s">
        <v>49</v>
      </c>
    </row>
    <row r="1593" spans="1:23" hidden="1">
      <c r="A1593" s="181">
        <v>9480428</v>
      </c>
      <c r="B1593" s="181" t="s">
        <v>1153</v>
      </c>
      <c r="C1593" s="182" t="s">
        <v>3512</v>
      </c>
      <c r="D1593" s="183"/>
      <c r="E1593" s="183">
        <v>870000206001</v>
      </c>
      <c r="F1593" s="181" t="s">
        <v>29</v>
      </c>
      <c r="G1593" s="181" t="s">
        <v>53</v>
      </c>
      <c r="H1593" s="181" t="s">
        <v>183</v>
      </c>
      <c r="I1593" s="181" t="s">
        <v>184</v>
      </c>
      <c r="J1593" s="181" t="s">
        <v>90</v>
      </c>
      <c r="K1593" t="s">
        <v>34</v>
      </c>
      <c r="M1593" s="1" t="s">
        <v>35</v>
      </c>
      <c r="N1593" s="1">
        <v>42318949</v>
      </c>
      <c r="O1593" s="1" t="s">
        <v>36</v>
      </c>
      <c r="P1593" s="186">
        <v>44971.334351851852</v>
      </c>
      <c r="R1593" s="1" t="s">
        <v>38</v>
      </c>
      <c r="T1593" s="1" t="s">
        <v>74</v>
      </c>
      <c r="U1593" s="186">
        <v>44979.708333333336</v>
      </c>
      <c r="V1593" s="1" t="s">
        <v>41</v>
      </c>
      <c r="W1593" s="1" t="s">
        <v>49</v>
      </c>
    </row>
    <row r="1594" spans="1:23" hidden="1">
      <c r="A1594" s="1">
        <v>9480413</v>
      </c>
      <c r="B1594" s="1" t="s">
        <v>1153</v>
      </c>
      <c r="C1594" t="s">
        <v>3026</v>
      </c>
      <c r="E1594" s="2">
        <v>2988000206001</v>
      </c>
      <c r="F1594" s="1" t="s">
        <v>29</v>
      </c>
      <c r="G1594" s="1" t="s">
        <v>53</v>
      </c>
      <c r="H1594" s="1" t="s">
        <v>536</v>
      </c>
      <c r="I1594" s="1" t="s">
        <v>537</v>
      </c>
      <c r="J1594" s="1" t="s">
        <v>46</v>
      </c>
      <c r="K1594" t="s">
        <v>34</v>
      </c>
      <c r="M1594" s="1" t="s">
        <v>35</v>
      </c>
      <c r="N1594" s="1">
        <v>42318949</v>
      </c>
      <c r="O1594" s="1" t="s">
        <v>36</v>
      </c>
      <c r="P1594" s="186">
        <v>44971.333738425928</v>
      </c>
      <c r="R1594" s="1" t="s">
        <v>38</v>
      </c>
      <c r="T1594" s="1" t="s">
        <v>74</v>
      </c>
      <c r="U1594" s="186">
        <v>44979.708333333336</v>
      </c>
      <c r="V1594" s="1" t="s">
        <v>41</v>
      </c>
      <c r="W1594" s="1" t="s">
        <v>49</v>
      </c>
    </row>
    <row r="1595" spans="1:23" hidden="1">
      <c r="A1595" s="1">
        <v>9488077</v>
      </c>
      <c r="B1595" s="1" t="s">
        <v>1153</v>
      </c>
      <c r="C1595" t="s">
        <v>3513</v>
      </c>
      <c r="D1595" s="2">
        <v>20234844000484</v>
      </c>
      <c r="E1595" s="2">
        <v>7417183020090</v>
      </c>
      <c r="F1595" s="1" t="s">
        <v>1313</v>
      </c>
      <c r="G1595" s="1" t="s">
        <v>53</v>
      </c>
      <c r="H1595" s="1" t="s">
        <v>2606</v>
      </c>
      <c r="I1595" s="1" t="s">
        <v>2607</v>
      </c>
      <c r="J1595" s="1" t="s">
        <v>46</v>
      </c>
      <c r="K1595" t="s">
        <v>1316</v>
      </c>
      <c r="M1595" s="1" t="s">
        <v>58</v>
      </c>
      <c r="N1595" s="1">
        <v>0</v>
      </c>
      <c r="O1595" s="1" t="s">
        <v>105</v>
      </c>
      <c r="P1595" s="186">
        <v>44972.79446759259</v>
      </c>
      <c r="R1595" s="1">
        <v>13</v>
      </c>
      <c r="T1595" s="1" t="s">
        <v>238</v>
      </c>
      <c r="U1595" s="186">
        <v>44973.395833333336</v>
      </c>
      <c r="V1595" s="1" t="s">
        <v>41</v>
      </c>
      <c r="W1595" s="1" t="s">
        <v>49</v>
      </c>
    </row>
    <row r="1596" spans="1:23" hidden="1">
      <c r="A1596" s="1">
        <v>9487987</v>
      </c>
      <c r="B1596" s="1" t="s">
        <v>1153</v>
      </c>
      <c r="C1596" t="s">
        <v>3514</v>
      </c>
      <c r="D1596" s="2">
        <v>20234844000483</v>
      </c>
      <c r="E1596" s="2">
        <v>7417183020652</v>
      </c>
      <c r="F1596" s="1" t="s">
        <v>1313</v>
      </c>
      <c r="G1596" s="1" t="s">
        <v>53</v>
      </c>
      <c r="H1596" s="1" t="s">
        <v>2357</v>
      </c>
      <c r="I1596" s="1" t="s">
        <v>2358</v>
      </c>
      <c r="J1596" s="1" t="s">
        <v>46</v>
      </c>
      <c r="K1596" t="s">
        <v>1316</v>
      </c>
      <c r="M1596" s="1" t="s">
        <v>58</v>
      </c>
      <c r="N1596" s="1">
        <v>0</v>
      </c>
      <c r="O1596" s="1" t="s">
        <v>105</v>
      </c>
      <c r="P1596" s="186">
        <v>44972.768819444442</v>
      </c>
      <c r="R1596" s="1">
        <v>13</v>
      </c>
      <c r="T1596" s="1" t="s">
        <v>238</v>
      </c>
      <c r="U1596" s="186">
        <v>44973.395833333336</v>
      </c>
      <c r="V1596" s="1" t="s">
        <v>41</v>
      </c>
      <c r="W1596" s="1" t="s">
        <v>49</v>
      </c>
    </row>
    <row r="1597" spans="1:23" hidden="1">
      <c r="A1597" s="1">
        <v>9487960</v>
      </c>
      <c r="B1597" s="1" t="s">
        <v>1153</v>
      </c>
      <c r="C1597" t="s">
        <v>3515</v>
      </c>
      <c r="D1597" s="2">
        <v>20234844000482</v>
      </c>
      <c r="E1597" s="2">
        <v>7419141894858</v>
      </c>
      <c r="F1597" s="1" t="s">
        <v>128</v>
      </c>
      <c r="G1597" s="1" t="s">
        <v>53</v>
      </c>
      <c r="H1597" s="1" t="s">
        <v>2655</v>
      </c>
      <c r="I1597" s="1" t="s">
        <v>2656</v>
      </c>
      <c r="J1597" s="1" t="s">
        <v>46</v>
      </c>
      <c r="K1597" t="s">
        <v>129</v>
      </c>
      <c r="M1597" s="1" t="s">
        <v>58</v>
      </c>
      <c r="N1597" s="1">
        <v>0</v>
      </c>
      <c r="O1597" s="1" t="s">
        <v>105</v>
      </c>
      <c r="P1597" s="186">
        <v>44972.755243055559</v>
      </c>
      <c r="R1597" s="1">
        <v>13</v>
      </c>
      <c r="T1597" s="1" t="s">
        <v>238</v>
      </c>
      <c r="U1597" s="186">
        <v>44973.395833333336</v>
      </c>
      <c r="V1597" s="1" t="s">
        <v>41</v>
      </c>
      <c r="W1597" s="1" t="s">
        <v>49</v>
      </c>
    </row>
    <row r="1598" spans="1:23" hidden="1">
      <c r="A1598" s="1">
        <v>9487905</v>
      </c>
      <c r="B1598" s="1" t="s">
        <v>1153</v>
      </c>
      <c r="C1598" t="s">
        <v>3516</v>
      </c>
      <c r="D1598" s="2">
        <v>20234844000481</v>
      </c>
      <c r="E1598" s="2">
        <v>7417183020688</v>
      </c>
      <c r="F1598" s="1" t="s">
        <v>1313</v>
      </c>
      <c r="G1598" s="1" t="s">
        <v>53</v>
      </c>
      <c r="H1598" s="1" t="s">
        <v>2432</v>
      </c>
      <c r="I1598" s="1" t="s">
        <v>2433</v>
      </c>
      <c r="J1598" s="1" t="s">
        <v>46</v>
      </c>
      <c r="K1598" t="s">
        <v>1316</v>
      </c>
      <c r="M1598" s="1" t="s">
        <v>58</v>
      </c>
      <c r="N1598" s="1">
        <v>0</v>
      </c>
      <c r="O1598" s="1" t="s">
        <v>105</v>
      </c>
      <c r="P1598" s="186">
        <v>44972.750185185185</v>
      </c>
      <c r="R1598" s="1">
        <v>13</v>
      </c>
      <c r="T1598" s="1" t="s">
        <v>238</v>
      </c>
      <c r="U1598" s="186">
        <v>44973.395833333336</v>
      </c>
      <c r="V1598" s="1" t="s">
        <v>41</v>
      </c>
      <c r="W1598" s="1" t="s">
        <v>49</v>
      </c>
    </row>
    <row r="1599" spans="1:23" hidden="1">
      <c r="A1599" s="1">
        <v>9487859</v>
      </c>
      <c r="B1599" s="1" t="s">
        <v>1153</v>
      </c>
      <c r="C1599" t="s">
        <v>3517</v>
      </c>
      <c r="D1599" s="2">
        <v>20234923000071</v>
      </c>
      <c r="E1599" s="2">
        <v>7417183022495</v>
      </c>
      <c r="F1599" s="1" t="s">
        <v>1313</v>
      </c>
      <c r="G1599" s="1" t="s">
        <v>53</v>
      </c>
      <c r="H1599" s="1" t="s">
        <v>2685</v>
      </c>
      <c r="I1599" s="1" t="s">
        <v>2686</v>
      </c>
      <c r="J1599" s="1" t="s">
        <v>46</v>
      </c>
      <c r="K1599" t="s">
        <v>1316</v>
      </c>
      <c r="M1599" s="1" t="s">
        <v>58</v>
      </c>
      <c r="N1599" s="1">
        <v>0</v>
      </c>
      <c r="O1599" s="1" t="s">
        <v>105</v>
      </c>
      <c r="P1599" s="186">
        <v>44972.738344907404</v>
      </c>
      <c r="R1599" s="1">
        <v>14</v>
      </c>
      <c r="T1599" s="1" t="s">
        <v>238</v>
      </c>
      <c r="U1599" s="186">
        <v>44973.395833333336</v>
      </c>
      <c r="V1599" s="1" t="s">
        <v>41</v>
      </c>
      <c r="W1599" s="1" t="s">
        <v>49</v>
      </c>
    </row>
    <row r="1600" spans="1:23" hidden="1">
      <c r="A1600" s="1">
        <v>9487858</v>
      </c>
      <c r="B1600" s="1" t="s">
        <v>1153</v>
      </c>
      <c r="C1600" t="s">
        <v>3518</v>
      </c>
      <c r="D1600" s="2">
        <v>20234923000070</v>
      </c>
      <c r="E1600" s="2">
        <v>7417163283075</v>
      </c>
      <c r="F1600" s="1" t="s">
        <v>131</v>
      </c>
      <c r="G1600" s="1" t="s">
        <v>53</v>
      </c>
      <c r="H1600" s="1" t="s">
        <v>2685</v>
      </c>
      <c r="I1600" s="1" t="s">
        <v>2686</v>
      </c>
      <c r="J1600" s="1" t="s">
        <v>46</v>
      </c>
      <c r="K1600" t="s">
        <v>132</v>
      </c>
      <c r="M1600" s="1" t="s">
        <v>58</v>
      </c>
      <c r="N1600" s="1">
        <v>0</v>
      </c>
      <c r="O1600" s="1" t="s">
        <v>105</v>
      </c>
      <c r="P1600" s="186">
        <v>44972.737719907411</v>
      </c>
      <c r="R1600" s="1">
        <v>14</v>
      </c>
      <c r="T1600" s="1" t="s">
        <v>238</v>
      </c>
      <c r="U1600" s="186">
        <v>44973.395833333336</v>
      </c>
      <c r="V1600" s="1" t="s">
        <v>41</v>
      </c>
      <c r="W1600" s="1" t="s">
        <v>49</v>
      </c>
    </row>
    <row r="1601" spans="1:23" hidden="1">
      <c r="A1601" s="1">
        <v>9487857</v>
      </c>
      <c r="B1601" s="1" t="s">
        <v>1153</v>
      </c>
      <c r="C1601" t="s">
        <v>3519</v>
      </c>
      <c r="D1601" s="2">
        <v>20234923000069</v>
      </c>
      <c r="E1601" s="2">
        <v>7417163284583</v>
      </c>
      <c r="F1601" s="1" t="s">
        <v>131</v>
      </c>
      <c r="G1601" s="1" t="s">
        <v>53</v>
      </c>
      <c r="H1601" s="1" t="s">
        <v>2685</v>
      </c>
      <c r="I1601" s="1" t="s">
        <v>2686</v>
      </c>
      <c r="J1601" s="1" t="s">
        <v>46</v>
      </c>
      <c r="K1601" t="s">
        <v>132</v>
      </c>
      <c r="M1601" s="1" t="s">
        <v>58</v>
      </c>
      <c r="N1601" s="1">
        <v>0</v>
      </c>
      <c r="O1601" s="1" t="s">
        <v>105</v>
      </c>
      <c r="P1601" s="186">
        <v>44972.737291666665</v>
      </c>
      <c r="R1601" s="1">
        <v>14</v>
      </c>
      <c r="T1601" s="1" t="s">
        <v>238</v>
      </c>
      <c r="U1601" s="186">
        <v>44973.395833333336</v>
      </c>
      <c r="V1601" s="1" t="s">
        <v>41</v>
      </c>
      <c r="W1601" s="1" t="s">
        <v>49</v>
      </c>
    </row>
    <row r="1602" spans="1:23" hidden="1">
      <c r="A1602" s="1">
        <v>9487814</v>
      </c>
      <c r="B1602" s="1" t="s">
        <v>1153</v>
      </c>
      <c r="C1602" t="s">
        <v>3520</v>
      </c>
      <c r="E1602" s="2">
        <v>1771000203000</v>
      </c>
      <c r="F1602" s="1" t="s">
        <v>454</v>
      </c>
      <c r="G1602" s="1" t="s">
        <v>53</v>
      </c>
      <c r="H1602" s="1" t="s">
        <v>615</v>
      </c>
      <c r="I1602" s="1" t="s">
        <v>616</v>
      </c>
      <c r="J1602" s="1" t="s">
        <v>261</v>
      </c>
      <c r="K1602" t="s">
        <v>457</v>
      </c>
      <c r="M1602" s="1" t="s">
        <v>58</v>
      </c>
      <c r="N1602" s="1">
        <v>0</v>
      </c>
      <c r="O1602" s="1" t="s">
        <v>36</v>
      </c>
      <c r="P1602" s="186">
        <v>44972.740300925929</v>
      </c>
      <c r="R1602" s="1">
        <v>1</v>
      </c>
      <c r="T1602" s="1" t="s">
        <v>157</v>
      </c>
      <c r="U1602" s="186">
        <v>44973.740300925929</v>
      </c>
      <c r="V1602" s="1" t="s">
        <v>41</v>
      </c>
      <c r="W1602" s="1" t="s">
        <v>49</v>
      </c>
    </row>
    <row r="1603" spans="1:23" hidden="1">
      <c r="A1603" s="1">
        <v>9487810</v>
      </c>
      <c r="B1603" s="1" t="s">
        <v>1153</v>
      </c>
      <c r="C1603" t="s">
        <v>3521</v>
      </c>
      <c r="E1603" s="2">
        <v>2473000203000</v>
      </c>
      <c r="F1603" s="1" t="s">
        <v>454</v>
      </c>
      <c r="G1603" s="1" t="s">
        <v>53</v>
      </c>
      <c r="H1603" s="1" t="s">
        <v>1459</v>
      </c>
      <c r="I1603" s="1" t="s">
        <v>1460</v>
      </c>
      <c r="J1603" s="1" t="s">
        <v>261</v>
      </c>
      <c r="K1603" t="s">
        <v>457</v>
      </c>
      <c r="M1603" s="1" t="s">
        <v>58</v>
      </c>
      <c r="N1603" s="1">
        <v>0</v>
      </c>
      <c r="O1603" s="1" t="s">
        <v>36</v>
      </c>
      <c r="P1603" s="186">
        <v>44972.74</v>
      </c>
      <c r="R1603" s="1">
        <v>1</v>
      </c>
      <c r="T1603" s="1" t="s">
        <v>157</v>
      </c>
      <c r="U1603" s="186">
        <v>44973.740011574075</v>
      </c>
      <c r="V1603" s="1" t="s">
        <v>41</v>
      </c>
      <c r="W1603" s="1" t="s">
        <v>49</v>
      </c>
    </row>
    <row r="1604" spans="1:23" hidden="1">
      <c r="A1604" s="1">
        <v>9487766</v>
      </c>
      <c r="B1604" s="1" t="s">
        <v>1153</v>
      </c>
      <c r="C1604" t="s">
        <v>3522</v>
      </c>
      <c r="E1604" s="2">
        <v>1689000203000</v>
      </c>
      <c r="F1604" s="1" t="s">
        <v>454</v>
      </c>
      <c r="G1604" s="1" t="s">
        <v>53</v>
      </c>
      <c r="H1604" s="1" t="s">
        <v>2117</v>
      </c>
      <c r="I1604" s="1" t="s">
        <v>2118</v>
      </c>
      <c r="J1604" s="1" t="s">
        <v>79</v>
      </c>
      <c r="K1604" t="s">
        <v>457</v>
      </c>
      <c r="M1604" s="1" t="s">
        <v>58</v>
      </c>
      <c r="N1604" s="1">
        <v>0</v>
      </c>
      <c r="O1604" s="1" t="s">
        <v>36</v>
      </c>
      <c r="P1604" s="186">
        <v>44972.730416666665</v>
      </c>
      <c r="R1604" s="1">
        <v>1</v>
      </c>
      <c r="T1604" s="1" t="s">
        <v>157</v>
      </c>
      <c r="U1604" s="186">
        <v>44973.730416666665</v>
      </c>
      <c r="V1604" s="1" t="s">
        <v>41</v>
      </c>
      <c r="W1604" s="1" t="s">
        <v>49</v>
      </c>
    </row>
    <row r="1605" spans="1:23" hidden="1">
      <c r="A1605" s="1">
        <v>9487760</v>
      </c>
      <c r="B1605" s="1" t="s">
        <v>1153</v>
      </c>
      <c r="C1605" t="s">
        <v>3522</v>
      </c>
      <c r="E1605" s="2">
        <v>2564000203000</v>
      </c>
      <c r="F1605" s="1" t="s">
        <v>454</v>
      </c>
      <c r="G1605" s="1" t="s">
        <v>53</v>
      </c>
      <c r="H1605" s="1" t="s">
        <v>255</v>
      </c>
      <c r="I1605" s="1" t="s">
        <v>256</v>
      </c>
      <c r="J1605" s="1" t="s">
        <v>164</v>
      </c>
      <c r="K1605" t="s">
        <v>457</v>
      </c>
      <c r="M1605" s="1" t="s">
        <v>58</v>
      </c>
      <c r="N1605" s="1">
        <v>0</v>
      </c>
      <c r="O1605" s="1" t="s">
        <v>36</v>
      </c>
      <c r="P1605" s="186">
        <v>44972.73</v>
      </c>
      <c r="R1605" s="1">
        <v>1</v>
      </c>
      <c r="T1605" s="1" t="s">
        <v>157</v>
      </c>
      <c r="U1605" s="186">
        <v>44973.73</v>
      </c>
      <c r="V1605" s="1" t="s">
        <v>41</v>
      </c>
      <c r="W1605" s="1" t="s">
        <v>49</v>
      </c>
    </row>
    <row r="1606" spans="1:23" hidden="1">
      <c r="A1606" s="1">
        <v>9487740</v>
      </c>
      <c r="B1606" s="1" t="s">
        <v>1153</v>
      </c>
      <c r="C1606" t="s">
        <v>3523</v>
      </c>
      <c r="D1606" s="2">
        <v>20231666000013</v>
      </c>
      <c r="E1606" s="2">
        <v>7419152457462</v>
      </c>
      <c r="F1606" s="1" t="s">
        <v>2744</v>
      </c>
      <c r="G1606" s="1" t="s">
        <v>53</v>
      </c>
      <c r="H1606" s="1" t="s">
        <v>414</v>
      </c>
      <c r="I1606" s="1" t="s">
        <v>415</v>
      </c>
      <c r="J1606" s="1" t="s">
        <v>79</v>
      </c>
      <c r="K1606" t="s">
        <v>2745</v>
      </c>
      <c r="M1606" s="1" t="s">
        <v>58</v>
      </c>
      <c r="N1606" s="1">
        <v>0</v>
      </c>
      <c r="O1606" s="1" t="s">
        <v>105</v>
      </c>
      <c r="P1606" s="186">
        <v>44972.71634259259</v>
      </c>
      <c r="R1606" s="1">
        <v>22</v>
      </c>
      <c r="T1606" s="1" t="s">
        <v>1160</v>
      </c>
      <c r="U1606" s="186">
        <v>44979.549675925926</v>
      </c>
      <c r="V1606" s="1" t="s">
        <v>41</v>
      </c>
      <c r="W1606" s="1" t="s">
        <v>49</v>
      </c>
    </row>
    <row r="1607" spans="1:23" hidden="1">
      <c r="A1607" s="1">
        <v>9487733</v>
      </c>
      <c r="B1607" s="1" t="s">
        <v>1153</v>
      </c>
      <c r="C1607" t="s">
        <v>3524</v>
      </c>
      <c r="D1607" s="2">
        <v>20232678000017</v>
      </c>
      <c r="E1607" s="2">
        <v>7417193470505</v>
      </c>
      <c r="F1607" s="1" t="s">
        <v>2698</v>
      </c>
      <c r="G1607" s="1" t="s">
        <v>53</v>
      </c>
      <c r="H1607" s="1" t="s">
        <v>3525</v>
      </c>
      <c r="I1607" s="1" t="s">
        <v>3526</v>
      </c>
      <c r="J1607" s="1" t="s">
        <v>33</v>
      </c>
      <c r="K1607" t="s">
        <v>2701</v>
      </c>
      <c r="M1607" s="1" t="s">
        <v>58</v>
      </c>
      <c r="N1607" s="1">
        <v>0</v>
      </c>
      <c r="O1607" s="1" t="s">
        <v>105</v>
      </c>
      <c r="P1607" s="186">
        <v>44972.716168981482</v>
      </c>
      <c r="R1607" s="1">
        <v>15</v>
      </c>
      <c r="T1607" s="1" t="s">
        <v>238</v>
      </c>
      <c r="U1607" s="186">
        <v>44973.416666666664</v>
      </c>
      <c r="V1607" s="1" t="s">
        <v>41</v>
      </c>
      <c r="W1607" s="1" t="s">
        <v>42</v>
      </c>
    </row>
    <row r="1608" spans="1:23" hidden="1">
      <c r="A1608" s="1">
        <v>9487728</v>
      </c>
      <c r="B1608" s="1" t="s">
        <v>1153</v>
      </c>
      <c r="C1608" t="s">
        <v>3527</v>
      </c>
      <c r="D1608" s="2">
        <v>20234012000005</v>
      </c>
      <c r="E1608" s="2">
        <v>7417183023647</v>
      </c>
      <c r="F1608" s="1" t="s">
        <v>1313</v>
      </c>
      <c r="G1608" s="1" t="s">
        <v>53</v>
      </c>
      <c r="H1608" s="1" t="s">
        <v>3528</v>
      </c>
      <c r="I1608" s="1" t="s">
        <v>3529</v>
      </c>
      <c r="J1608" s="1" t="s">
        <v>261</v>
      </c>
      <c r="K1608" t="s">
        <v>1316</v>
      </c>
      <c r="M1608" s="1" t="s">
        <v>58</v>
      </c>
      <c r="N1608" s="1">
        <v>0</v>
      </c>
      <c r="O1608" s="1" t="s">
        <v>105</v>
      </c>
      <c r="P1608" s="186">
        <v>44972.711921296293</v>
      </c>
      <c r="R1608" s="1">
        <v>14</v>
      </c>
      <c r="T1608" s="1" t="s">
        <v>238</v>
      </c>
      <c r="U1608" s="186">
        <v>44973.395833333336</v>
      </c>
      <c r="V1608" s="1" t="s">
        <v>41</v>
      </c>
      <c r="W1608" s="1" t="s">
        <v>49</v>
      </c>
    </row>
    <row r="1609" spans="1:23" hidden="1">
      <c r="A1609" s="1">
        <v>9487712</v>
      </c>
      <c r="B1609" s="1" t="s">
        <v>1153</v>
      </c>
      <c r="C1609" t="s">
        <v>3530</v>
      </c>
      <c r="D1609" s="2">
        <v>230029770</v>
      </c>
      <c r="E1609" s="2">
        <v>3504001400020</v>
      </c>
      <c r="F1609" s="1" t="s">
        <v>1961</v>
      </c>
      <c r="G1609" s="1" t="s">
        <v>53</v>
      </c>
      <c r="H1609" s="1" t="s">
        <v>585</v>
      </c>
      <c r="I1609" s="1" t="s">
        <v>586</v>
      </c>
      <c r="J1609" s="1" t="s">
        <v>46</v>
      </c>
      <c r="K1609" t="s">
        <v>1962</v>
      </c>
      <c r="M1609" s="1" t="s">
        <v>58</v>
      </c>
      <c r="N1609" s="1">
        <v>0</v>
      </c>
      <c r="O1609" s="1" t="s">
        <v>105</v>
      </c>
      <c r="P1609" s="186">
        <v>44972.724432870367</v>
      </c>
      <c r="R1609" s="1">
        <v>4</v>
      </c>
      <c r="T1609" s="1" t="s">
        <v>646</v>
      </c>
      <c r="U1609" s="186">
        <v>44973.745266203703</v>
      </c>
      <c r="V1609" s="1" t="s">
        <v>41</v>
      </c>
      <c r="W1609" s="1" t="s">
        <v>49</v>
      </c>
    </row>
    <row r="1610" spans="1:23" hidden="1">
      <c r="A1610" s="1">
        <v>9487695</v>
      </c>
      <c r="B1610" s="1" t="s">
        <v>1153</v>
      </c>
      <c r="C1610" t="s">
        <v>3531</v>
      </c>
      <c r="E1610" s="2">
        <v>3504000203000</v>
      </c>
      <c r="F1610" s="1" t="s">
        <v>454</v>
      </c>
      <c r="G1610" s="1" t="s">
        <v>53</v>
      </c>
      <c r="H1610" s="1" t="s">
        <v>585</v>
      </c>
      <c r="I1610" s="1" t="s">
        <v>586</v>
      </c>
      <c r="J1610" s="1" t="s">
        <v>46</v>
      </c>
      <c r="K1610" t="s">
        <v>457</v>
      </c>
      <c r="M1610" s="1" t="s">
        <v>58</v>
      </c>
      <c r="N1610" s="1">
        <v>0</v>
      </c>
      <c r="O1610" s="1" t="s">
        <v>105</v>
      </c>
      <c r="P1610" s="186">
        <v>44972.719247685185</v>
      </c>
      <c r="R1610" s="1">
        <v>1</v>
      </c>
      <c r="T1610" s="1" t="s">
        <v>157</v>
      </c>
      <c r="U1610" s="186">
        <v>44973.719247685185</v>
      </c>
      <c r="V1610" s="1" t="s">
        <v>41</v>
      </c>
      <c r="W1610" s="1" t="s">
        <v>49</v>
      </c>
    </row>
    <row r="1611" spans="1:23" hidden="1">
      <c r="A1611" s="181">
        <v>9487651</v>
      </c>
      <c r="B1611" s="181" t="s">
        <v>1153</v>
      </c>
      <c r="C1611" s="185" t="s">
        <v>3532</v>
      </c>
      <c r="D1611" s="183">
        <v>20231146000002</v>
      </c>
      <c r="E1611" s="183">
        <v>7417210950284</v>
      </c>
      <c r="F1611" s="181" t="s">
        <v>1213</v>
      </c>
      <c r="G1611" s="181" t="s">
        <v>53</v>
      </c>
      <c r="H1611" s="181" t="s">
        <v>3533</v>
      </c>
      <c r="I1611" s="181" t="s">
        <v>3534</v>
      </c>
      <c r="J1611" s="181" t="s">
        <v>148</v>
      </c>
      <c r="K1611" t="s">
        <v>1214</v>
      </c>
      <c r="M1611" s="1" t="s">
        <v>58</v>
      </c>
      <c r="N1611" s="1">
        <v>0</v>
      </c>
      <c r="O1611" s="1" t="s">
        <v>105</v>
      </c>
      <c r="P1611" s="186">
        <v>44972.702824074076</v>
      </c>
      <c r="R1611" s="1">
        <v>15</v>
      </c>
      <c r="T1611" s="1" t="s">
        <v>238</v>
      </c>
      <c r="U1611" s="186">
        <v>44972.702824074076</v>
      </c>
      <c r="V1611" s="1" t="s">
        <v>41</v>
      </c>
      <c r="W1611" s="1" t="s">
        <v>49</v>
      </c>
    </row>
    <row r="1612" spans="1:23" hidden="1">
      <c r="A1612" s="1">
        <v>9487650</v>
      </c>
      <c r="B1612" s="1" t="s">
        <v>1153</v>
      </c>
      <c r="C1612" t="s">
        <v>3535</v>
      </c>
      <c r="D1612" s="2">
        <v>20231710000011</v>
      </c>
      <c r="E1612" s="2">
        <v>7419152792552</v>
      </c>
      <c r="F1612" s="1" t="s">
        <v>3536</v>
      </c>
      <c r="G1612" s="1" t="s">
        <v>53</v>
      </c>
      <c r="H1612" s="1" t="s">
        <v>327</v>
      </c>
      <c r="I1612" s="1" t="s">
        <v>328</v>
      </c>
      <c r="J1612" s="1" t="s">
        <v>261</v>
      </c>
      <c r="K1612" t="s">
        <v>3537</v>
      </c>
      <c r="M1612" s="1" t="s">
        <v>58</v>
      </c>
      <c r="N1612" s="1">
        <v>0</v>
      </c>
      <c r="O1612" s="1" t="s">
        <v>105</v>
      </c>
      <c r="P1612" s="186">
        <v>44972.702476851853</v>
      </c>
      <c r="R1612" s="1">
        <v>23</v>
      </c>
      <c r="T1612" s="1" t="s">
        <v>1160</v>
      </c>
      <c r="U1612" s="186">
        <v>44980.702476851853</v>
      </c>
      <c r="V1612" s="1" t="s">
        <v>41</v>
      </c>
      <c r="W1612" s="1" t="s">
        <v>49</v>
      </c>
    </row>
    <row r="1613" spans="1:23" hidden="1">
      <c r="A1613" s="1">
        <v>9487648</v>
      </c>
      <c r="B1613" s="1" t="s">
        <v>1153</v>
      </c>
      <c r="C1613" t="s">
        <v>3538</v>
      </c>
      <c r="D1613" s="2">
        <v>20231710000010</v>
      </c>
      <c r="E1613" s="2">
        <v>7417160929230</v>
      </c>
      <c r="F1613" s="1" t="s">
        <v>2770</v>
      </c>
      <c r="G1613" s="1" t="s">
        <v>53</v>
      </c>
      <c r="H1613" s="1" t="s">
        <v>327</v>
      </c>
      <c r="I1613" s="1" t="s">
        <v>328</v>
      </c>
      <c r="J1613" s="1" t="s">
        <v>261</v>
      </c>
      <c r="K1613" t="s">
        <v>2771</v>
      </c>
      <c r="M1613" s="1" t="s">
        <v>58</v>
      </c>
      <c r="N1613" s="1">
        <v>0</v>
      </c>
      <c r="O1613" s="1" t="s">
        <v>105</v>
      </c>
      <c r="P1613" s="186">
        <v>44972.700358796297</v>
      </c>
      <c r="R1613" s="1">
        <v>23</v>
      </c>
      <c r="T1613" s="1" t="s">
        <v>1160</v>
      </c>
      <c r="U1613" s="186">
        <v>44980.700358796297</v>
      </c>
      <c r="V1613" s="1" t="s">
        <v>41</v>
      </c>
      <c r="W1613" s="1" t="s">
        <v>49</v>
      </c>
    </row>
    <row r="1614" spans="1:23" hidden="1">
      <c r="A1614" s="1">
        <v>9487622</v>
      </c>
      <c r="B1614" s="1" t="s">
        <v>1153</v>
      </c>
      <c r="C1614" t="s">
        <v>3539</v>
      </c>
      <c r="E1614" s="2">
        <v>3699000203000</v>
      </c>
      <c r="F1614" s="1" t="s">
        <v>454</v>
      </c>
      <c r="G1614" s="1" t="s">
        <v>53</v>
      </c>
      <c r="H1614" s="1" t="s">
        <v>343</v>
      </c>
      <c r="I1614" s="1" t="s">
        <v>344</v>
      </c>
      <c r="J1614" s="1" t="s">
        <v>46</v>
      </c>
      <c r="K1614" t="s">
        <v>457</v>
      </c>
      <c r="M1614" s="1" t="s">
        <v>58</v>
      </c>
      <c r="N1614" s="1">
        <v>0</v>
      </c>
      <c r="O1614" s="1" t="s">
        <v>105</v>
      </c>
      <c r="P1614" s="186">
        <v>44972.709236111114</v>
      </c>
      <c r="R1614" s="1">
        <v>1</v>
      </c>
      <c r="T1614" s="1" t="s">
        <v>157</v>
      </c>
      <c r="U1614" s="186">
        <v>44973.709236111114</v>
      </c>
      <c r="V1614" s="1" t="s">
        <v>41</v>
      </c>
      <c r="W1614" s="1" t="s">
        <v>49</v>
      </c>
    </row>
    <row r="1615" spans="1:23" hidden="1">
      <c r="A1615" s="1">
        <v>9487568</v>
      </c>
      <c r="B1615" s="1" t="s">
        <v>1153</v>
      </c>
      <c r="C1615" t="s">
        <v>3540</v>
      </c>
      <c r="D1615" s="2">
        <v>20231689000009</v>
      </c>
      <c r="E1615" s="2">
        <v>7419151140237</v>
      </c>
      <c r="F1615" s="1" t="s">
        <v>2058</v>
      </c>
      <c r="G1615" s="1" t="s">
        <v>53</v>
      </c>
      <c r="H1615" s="1" t="s">
        <v>2131</v>
      </c>
      <c r="I1615" s="1" t="s">
        <v>2132</v>
      </c>
      <c r="J1615" s="1" t="s">
        <v>79</v>
      </c>
      <c r="K1615" t="s">
        <v>2061</v>
      </c>
      <c r="M1615" s="1" t="s">
        <v>58</v>
      </c>
      <c r="N1615" s="1">
        <v>0</v>
      </c>
      <c r="O1615" s="1" t="s">
        <v>105</v>
      </c>
      <c r="P1615" s="186">
        <v>44972.687858796293</v>
      </c>
      <c r="R1615" s="1">
        <v>13</v>
      </c>
      <c r="T1615" s="1" t="s">
        <v>238</v>
      </c>
      <c r="U1615" s="186">
        <v>44972.687858796293</v>
      </c>
      <c r="V1615" s="1" t="s">
        <v>41</v>
      </c>
      <c r="W1615" s="1" t="s">
        <v>49</v>
      </c>
    </row>
    <row r="1616" spans="1:23" hidden="1">
      <c r="A1616" s="1">
        <v>9487555</v>
      </c>
      <c r="B1616" s="1" t="s">
        <v>3541</v>
      </c>
      <c r="C1616" t="s">
        <v>3542</v>
      </c>
      <c r="E1616" s="2">
        <v>7417162430877</v>
      </c>
      <c r="F1616" s="1" t="s">
        <v>3543</v>
      </c>
      <c r="G1616" s="1" t="s">
        <v>30</v>
      </c>
      <c r="H1616" s="1" t="s">
        <v>159</v>
      </c>
      <c r="I1616" s="1" t="s">
        <v>160</v>
      </c>
      <c r="J1616" s="1" t="s">
        <v>46</v>
      </c>
      <c r="K1616" t="s">
        <v>3544</v>
      </c>
      <c r="M1616" s="1" t="s">
        <v>58</v>
      </c>
      <c r="N1616" s="1">
        <v>0</v>
      </c>
      <c r="O1616" s="1" t="s">
        <v>105</v>
      </c>
      <c r="P1616" s="186">
        <v>44972.700277777774</v>
      </c>
      <c r="R1616" s="1">
        <v>22</v>
      </c>
      <c r="T1616" s="1" t="s">
        <v>1160</v>
      </c>
      <c r="U1616" s="186">
        <v>44973.999305555553</v>
      </c>
      <c r="V1616" s="1" t="s">
        <v>41</v>
      </c>
      <c r="W1616" s="1" t="s">
        <v>49</v>
      </c>
    </row>
    <row r="1617" spans="1:23" hidden="1">
      <c r="A1617" s="1">
        <v>9487284</v>
      </c>
      <c r="B1617" s="1" t="s">
        <v>1153</v>
      </c>
      <c r="C1617" t="s">
        <v>3290</v>
      </c>
      <c r="D1617" s="2">
        <v>20232257000016</v>
      </c>
      <c r="E1617" s="2">
        <v>7419151141229</v>
      </c>
      <c r="F1617" s="1" t="s">
        <v>123</v>
      </c>
      <c r="G1617" s="1" t="s">
        <v>53</v>
      </c>
      <c r="H1617" s="1" t="s">
        <v>2326</v>
      </c>
      <c r="I1617" s="1" t="s">
        <v>2327</v>
      </c>
      <c r="J1617" s="1" t="s">
        <v>110</v>
      </c>
      <c r="K1617" t="s">
        <v>126</v>
      </c>
      <c r="M1617" s="1" t="s">
        <v>58</v>
      </c>
      <c r="N1617" s="1">
        <v>0</v>
      </c>
      <c r="O1617" s="1" t="s">
        <v>36</v>
      </c>
      <c r="P1617" s="186">
        <v>44972.648125</v>
      </c>
      <c r="R1617" s="1">
        <v>14</v>
      </c>
      <c r="T1617" s="1" t="s">
        <v>238</v>
      </c>
      <c r="U1617" s="186">
        <v>44972.648125</v>
      </c>
      <c r="V1617" s="1" t="s">
        <v>41</v>
      </c>
      <c r="W1617" s="1" t="s">
        <v>49</v>
      </c>
    </row>
    <row r="1618" spans="1:23" hidden="1">
      <c r="A1618" s="1">
        <v>9487216</v>
      </c>
      <c r="B1618" s="1" t="s">
        <v>1153</v>
      </c>
      <c r="C1618" t="s">
        <v>3292</v>
      </c>
      <c r="D1618" s="2">
        <v>20231664000004</v>
      </c>
      <c r="E1618" s="2">
        <v>7417202021242</v>
      </c>
      <c r="F1618" s="1" t="s">
        <v>1213</v>
      </c>
      <c r="G1618" s="1" t="s">
        <v>53</v>
      </c>
      <c r="H1618" s="1" t="s">
        <v>3293</v>
      </c>
      <c r="I1618" s="1" t="s">
        <v>3294</v>
      </c>
      <c r="J1618" s="1" t="s">
        <v>164</v>
      </c>
      <c r="K1618" t="s">
        <v>1214</v>
      </c>
      <c r="M1618" s="1" t="s">
        <v>58</v>
      </c>
      <c r="N1618" s="1">
        <v>0</v>
      </c>
      <c r="O1618" s="1" t="s">
        <v>105</v>
      </c>
      <c r="P1618" s="186">
        <v>44972.637118055558</v>
      </c>
      <c r="R1618" s="1">
        <v>14</v>
      </c>
      <c r="T1618" s="1" t="s">
        <v>238</v>
      </c>
      <c r="U1618" s="186">
        <v>44972.637118055558</v>
      </c>
      <c r="V1618" s="1" t="s">
        <v>41</v>
      </c>
      <c r="W1618" s="1" t="s">
        <v>49</v>
      </c>
    </row>
    <row r="1619" spans="1:23" hidden="1">
      <c r="A1619" s="1">
        <v>9487119</v>
      </c>
      <c r="B1619" s="1" t="s">
        <v>1153</v>
      </c>
      <c r="C1619" t="s">
        <v>3296</v>
      </c>
      <c r="D1619" s="2">
        <v>20234923000068</v>
      </c>
      <c r="E1619" s="2">
        <v>7417183020181</v>
      </c>
      <c r="F1619" s="1" t="s">
        <v>1313</v>
      </c>
      <c r="G1619" s="1" t="s">
        <v>53</v>
      </c>
      <c r="H1619" s="1" t="s">
        <v>2870</v>
      </c>
      <c r="I1619" s="1" t="s">
        <v>2871</v>
      </c>
      <c r="J1619" s="1" t="s">
        <v>46</v>
      </c>
      <c r="K1619" t="s">
        <v>1316</v>
      </c>
      <c r="M1619" s="1" t="s">
        <v>58</v>
      </c>
      <c r="N1619" s="1">
        <v>0</v>
      </c>
      <c r="O1619" s="1" t="s">
        <v>105</v>
      </c>
      <c r="P1619" s="186">
        <v>44972.616956018515</v>
      </c>
      <c r="R1619" s="1">
        <v>13</v>
      </c>
      <c r="T1619" s="1" t="s">
        <v>238</v>
      </c>
      <c r="U1619" s="186">
        <v>44972.616956018515</v>
      </c>
      <c r="V1619" s="1" t="s">
        <v>41</v>
      </c>
      <c r="W1619" s="1" t="s">
        <v>49</v>
      </c>
    </row>
    <row r="1620" spans="1:23" hidden="1">
      <c r="A1620" s="1">
        <v>9487087</v>
      </c>
      <c r="B1620" s="1" t="s">
        <v>3298</v>
      </c>
      <c r="C1620" t="s">
        <v>3299</v>
      </c>
      <c r="D1620" s="2">
        <v>20233433000007</v>
      </c>
      <c r="E1620" s="2">
        <v>7417203360125</v>
      </c>
      <c r="F1620" s="1" t="s">
        <v>3300</v>
      </c>
      <c r="G1620" s="1" t="s">
        <v>53</v>
      </c>
      <c r="H1620" s="1" t="s">
        <v>2520</v>
      </c>
      <c r="I1620" s="1" t="s">
        <v>2521</v>
      </c>
      <c r="J1620" s="1" t="s">
        <v>46</v>
      </c>
      <c r="K1620" t="s">
        <v>3301</v>
      </c>
      <c r="M1620" s="1" t="s">
        <v>58</v>
      </c>
      <c r="N1620" s="1">
        <v>0</v>
      </c>
      <c r="O1620" s="1" t="s">
        <v>105</v>
      </c>
      <c r="P1620" s="186">
        <v>44972.622233796297</v>
      </c>
      <c r="R1620" s="1">
        <v>22</v>
      </c>
      <c r="T1620" s="1" t="s">
        <v>1160</v>
      </c>
      <c r="U1620" s="186">
        <v>44973.627870370372</v>
      </c>
      <c r="V1620" s="1" t="s">
        <v>41</v>
      </c>
      <c r="W1620" s="1" t="s">
        <v>49</v>
      </c>
    </row>
    <row r="1621" spans="1:23" hidden="1">
      <c r="A1621" s="181">
        <v>9487046</v>
      </c>
      <c r="B1621" s="181" t="s">
        <v>1153</v>
      </c>
      <c r="C1621" s="182" t="s">
        <v>3545</v>
      </c>
      <c r="D1621" s="183">
        <v>20231108000012</v>
      </c>
      <c r="E1621" s="183">
        <v>7417160931823</v>
      </c>
      <c r="F1621" s="181" t="s">
        <v>2770</v>
      </c>
      <c r="G1621" s="181" t="s">
        <v>53</v>
      </c>
      <c r="H1621" s="181" t="s">
        <v>295</v>
      </c>
      <c r="I1621" s="181" t="s">
        <v>296</v>
      </c>
      <c r="J1621" s="181" t="s">
        <v>90</v>
      </c>
      <c r="K1621" t="s">
        <v>2771</v>
      </c>
      <c r="M1621" s="1" t="s">
        <v>58</v>
      </c>
      <c r="N1621" s="1">
        <v>0</v>
      </c>
      <c r="O1621" s="1" t="s">
        <v>36</v>
      </c>
      <c r="P1621" s="186">
        <v>44972.603761574072</v>
      </c>
      <c r="R1621" s="1">
        <v>23</v>
      </c>
      <c r="T1621" s="1" t="s">
        <v>1160</v>
      </c>
      <c r="U1621" s="186">
        <v>44980.603761574072</v>
      </c>
      <c r="V1621" s="1" t="s">
        <v>41</v>
      </c>
      <c r="W1621" s="1" t="s">
        <v>49</v>
      </c>
    </row>
    <row r="1622" spans="1:23" hidden="1">
      <c r="A1622" s="1">
        <v>9487037</v>
      </c>
      <c r="B1622" s="1" t="s">
        <v>1153</v>
      </c>
      <c r="C1622" t="s">
        <v>3304</v>
      </c>
      <c r="D1622" s="2">
        <v>20234637000010</v>
      </c>
      <c r="E1622" s="2">
        <v>7419151141178</v>
      </c>
      <c r="F1622" s="1" t="s">
        <v>123</v>
      </c>
      <c r="G1622" s="1" t="s">
        <v>53</v>
      </c>
      <c r="H1622" s="1" t="s">
        <v>2004</v>
      </c>
      <c r="I1622" s="1" t="s">
        <v>2005</v>
      </c>
      <c r="J1622" s="1" t="s">
        <v>79</v>
      </c>
      <c r="K1622" t="s">
        <v>126</v>
      </c>
      <c r="M1622" s="1" t="s">
        <v>58</v>
      </c>
      <c r="N1622" s="1">
        <v>0</v>
      </c>
      <c r="O1622" s="1" t="s">
        <v>105</v>
      </c>
      <c r="P1622" s="186">
        <v>44972.607361111113</v>
      </c>
      <c r="R1622" s="1">
        <v>14</v>
      </c>
      <c r="T1622" s="1" t="s">
        <v>238</v>
      </c>
      <c r="U1622" s="186">
        <v>44972.607361111113</v>
      </c>
      <c r="V1622" s="1" t="s">
        <v>41</v>
      </c>
      <c r="W1622" s="1" t="s">
        <v>49</v>
      </c>
    </row>
    <row r="1623" spans="1:23" hidden="1">
      <c r="A1623" s="1">
        <v>9487032</v>
      </c>
      <c r="B1623" s="1" t="s">
        <v>1153</v>
      </c>
      <c r="C1623" t="s">
        <v>3306</v>
      </c>
      <c r="D1623" s="2">
        <v>20230233000018</v>
      </c>
      <c r="E1623" s="2">
        <v>7417183020061</v>
      </c>
      <c r="F1623" s="1" t="s">
        <v>1313</v>
      </c>
      <c r="G1623" s="1" t="s">
        <v>53</v>
      </c>
      <c r="H1623" s="1" t="s">
        <v>2716</v>
      </c>
      <c r="I1623" s="1" t="s">
        <v>2717</v>
      </c>
      <c r="J1623" s="1" t="s">
        <v>261</v>
      </c>
      <c r="K1623" t="s">
        <v>1316</v>
      </c>
      <c r="M1623" s="1" t="s">
        <v>58</v>
      </c>
      <c r="N1623" s="1">
        <v>0</v>
      </c>
      <c r="O1623" s="1" t="s">
        <v>105</v>
      </c>
      <c r="P1623" s="186">
        <v>44972.60465277778</v>
      </c>
      <c r="R1623" s="1">
        <v>14</v>
      </c>
      <c r="T1623" s="1" t="s">
        <v>238</v>
      </c>
      <c r="U1623" s="186">
        <v>44972.60465277778</v>
      </c>
      <c r="V1623" s="1" t="s">
        <v>41</v>
      </c>
      <c r="W1623" s="1" t="s">
        <v>49</v>
      </c>
    </row>
    <row r="1624" spans="1:23" hidden="1">
      <c r="A1624" s="1">
        <v>9486990</v>
      </c>
      <c r="B1624" s="1" t="s">
        <v>62</v>
      </c>
      <c r="C1624" t="s">
        <v>3308</v>
      </c>
      <c r="E1624" s="2">
        <v>1924000203000</v>
      </c>
      <c r="F1624" s="1" t="s">
        <v>454</v>
      </c>
      <c r="G1624" s="1" t="s">
        <v>53</v>
      </c>
      <c r="H1624" s="1" t="s">
        <v>568</v>
      </c>
      <c r="I1624" s="1" t="s">
        <v>569</v>
      </c>
      <c r="J1624" s="1" t="s">
        <v>33</v>
      </c>
      <c r="K1624" t="s">
        <v>457</v>
      </c>
      <c r="M1624" s="1" t="s">
        <v>58</v>
      </c>
      <c r="N1624" s="1">
        <v>0</v>
      </c>
      <c r="O1624" s="1" t="s">
        <v>36</v>
      </c>
      <c r="P1624" s="186">
        <v>44972.612916666665</v>
      </c>
      <c r="R1624" s="1" t="s">
        <v>38</v>
      </c>
      <c r="T1624" s="1" t="s">
        <v>157</v>
      </c>
      <c r="U1624" s="186">
        <v>45008.75</v>
      </c>
      <c r="V1624" s="1" t="s">
        <v>41</v>
      </c>
      <c r="W1624" s="1" t="s">
        <v>49</v>
      </c>
    </row>
    <row r="1625" spans="1:23" hidden="1">
      <c r="A1625" s="1">
        <v>9486956</v>
      </c>
      <c r="B1625" s="1" t="s">
        <v>1153</v>
      </c>
      <c r="C1625" t="s">
        <v>3309</v>
      </c>
      <c r="D1625" s="2">
        <v>20231761000013</v>
      </c>
      <c r="E1625" s="2">
        <v>7419141893216</v>
      </c>
      <c r="F1625" s="1" t="s">
        <v>128</v>
      </c>
      <c r="G1625" s="1" t="s">
        <v>53</v>
      </c>
      <c r="H1625" s="1" t="s">
        <v>54</v>
      </c>
      <c r="I1625" s="1" t="s">
        <v>55</v>
      </c>
      <c r="J1625" s="1" t="s">
        <v>56</v>
      </c>
      <c r="K1625" t="s">
        <v>129</v>
      </c>
      <c r="M1625" s="1" t="s">
        <v>58</v>
      </c>
      <c r="N1625" s="1">
        <v>0</v>
      </c>
      <c r="O1625" s="1" t="s">
        <v>105</v>
      </c>
      <c r="P1625" s="186">
        <v>44972.590462962966</v>
      </c>
      <c r="R1625" s="1">
        <v>14</v>
      </c>
      <c r="T1625" s="1" t="s">
        <v>238</v>
      </c>
      <c r="U1625" s="186">
        <v>44972.590462962966</v>
      </c>
      <c r="V1625" s="1" t="s">
        <v>41</v>
      </c>
      <c r="W1625" s="1" t="s">
        <v>49</v>
      </c>
    </row>
    <row r="1626" spans="1:23" hidden="1">
      <c r="A1626" s="1">
        <v>9486952</v>
      </c>
      <c r="B1626" s="1" t="s">
        <v>1153</v>
      </c>
      <c r="C1626" t="s">
        <v>3311</v>
      </c>
      <c r="D1626" s="2">
        <v>20231153000015</v>
      </c>
      <c r="E1626" s="2">
        <v>7417163281297</v>
      </c>
      <c r="F1626" s="1" t="s">
        <v>131</v>
      </c>
      <c r="G1626" s="1" t="s">
        <v>53</v>
      </c>
      <c r="H1626" s="1" t="s">
        <v>2399</v>
      </c>
      <c r="I1626" s="1" t="s">
        <v>2400</v>
      </c>
      <c r="J1626" s="1" t="s">
        <v>79</v>
      </c>
      <c r="K1626" t="s">
        <v>132</v>
      </c>
      <c r="M1626" s="1" t="s">
        <v>58</v>
      </c>
      <c r="N1626" s="1">
        <v>0</v>
      </c>
      <c r="O1626" s="1" t="s">
        <v>105</v>
      </c>
      <c r="P1626" s="186">
        <v>44972.587812500002</v>
      </c>
      <c r="R1626" s="1">
        <v>14</v>
      </c>
      <c r="T1626" s="1" t="s">
        <v>238</v>
      </c>
      <c r="U1626" s="186">
        <v>44972.587812500002</v>
      </c>
      <c r="V1626" s="1" t="s">
        <v>41</v>
      </c>
      <c r="W1626" s="1" t="s">
        <v>49</v>
      </c>
    </row>
    <row r="1627" spans="1:23" hidden="1">
      <c r="A1627" s="1">
        <v>9486883</v>
      </c>
      <c r="B1627" s="1" t="s">
        <v>1153</v>
      </c>
      <c r="C1627" t="s">
        <v>3313</v>
      </c>
      <c r="D1627" s="2">
        <v>20230220000020</v>
      </c>
      <c r="E1627" s="2">
        <v>7417163284482</v>
      </c>
      <c r="F1627" s="1" t="s">
        <v>131</v>
      </c>
      <c r="G1627" s="1" t="s">
        <v>53</v>
      </c>
      <c r="H1627" s="1" t="s">
        <v>2030</v>
      </c>
      <c r="I1627" s="1" t="s">
        <v>2031</v>
      </c>
      <c r="J1627" s="1" t="s">
        <v>110</v>
      </c>
      <c r="K1627" t="s">
        <v>132</v>
      </c>
      <c r="M1627" s="1" t="s">
        <v>58</v>
      </c>
      <c r="N1627" s="1">
        <v>0</v>
      </c>
      <c r="O1627" s="1" t="s">
        <v>105</v>
      </c>
      <c r="P1627" s="186">
        <v>44972.585856481484</v>
      </c>
      <c r="R1627" s="1">
        <v>14</v>
      </c>
      <c r="T1627" s="1" t="s">
        <v>238</v>
      </c>
      <c r="U1627" s="186">
        <v>44972.585856481484</v>
      </c>
      <c r="V1627" s="1" t="s">
        <v>41</v>
      </c>
      <c r="W1627" s="1" t="s">
        <v>49</v>
      </c>
    </row>
    <row r="1628" spans="1:23" hidden="1">
      <c r="A1628" s="1">
        <v>9486864</v>
      </c>
      <c r="B1628" s="1" t="s">
        <v>1153</v>
      </c>
      <c r="C1628" t="s">
        <v>3315</v>
      </c>
      <c r="D1628" s="2">
        <v>20234637000009</v>
      </c>
      <c r="E1628" s="2">
        <v>7417163284105</v>
      </c>
      <c r="F1628" s="1" t="s">
        <v>131</v>
      </c>
      <c r="G1628" s="1" t="s">
        <v>53</v>
      </c>
      <c r="H1628" s="1" t="s">
        <v>2004</v>
      </c>
      <c r="I1628" s="1" t="s">
        <v>2005</v>
      </c>
      <c r="J1628" s="1" t="s">
        <v>79</v>
      </c>
      <c r="K1628" t="s">
        <v>132</v>
      </c>
      <c r="M1628" s="1" t="s">
        <v>58</v>
      </c>
      <c r="N1628" s="1">
        <v>0</v>
      </c>
      <c r="O1628" s="1" t="s">
        <v>105</v>
      </c>
      <c r="P1628" s="186">
        <v>44972.581979166665</v>
      </c>
      <c r="R1628" s="1">
        <v>14</v>
      </c>
      <c r="T1628" s="1" t="s">
        <v>238</v>
      </c>
      <c r="U1628" s="186">
        <v>44972.581979166665</v>
      </c>
      <c r="V1628" s="1" t="s">
        <v>41</v>
      </c>
      <c r="W1628" s="1" t="s">
        <v>49</v>
      </c>
    </row>
    <row r="1629" spans="1:23" hidden="1">
      <c r="A1629" s="1">
        <v>9486858</v>
      </c>
      <c r="B1629" s="1" t="s">
        <v>1153</v>
      </c>
      <c r="C1629" t="s">
        <v>3317</v>
      </c>
      <c r="E1629" s="2">
        <v>2802000206001</v>
      </c>
      <c r="F1629" s="1" t="s">
        <v>29</v>
      </c>
      <c r="G1629" s="1" t="s">
        <v>53</v>
      </c>
      <c r="H1629" s="1" t="s">
        <v>388</v>
      </c>
      <c r="I1629" s="1" t="s">
        <v>389</v>
      </c>
      <c r="J1629" s="1" t="s">
        <v>46</v>
      </c>
      <c r="K1629" t="s">
        <v>34</v>
      </c>
      <c r="M1629" s="1" t="s">
        <v>35</v>
      </c>
      <c r="N1629" s="1">
        <v>42318949</v>
      </c>
      <c r="O1629" s="1" t="s">
        <v>36</v>
      </c>
      <c r="P1629" s="186">
        <v>44972.594456018516</v>
      </c>
      <c r="R1629" s="1" t="s">
        <v>38</v>
      </c>
      <c r="T1629" s="1" t="s">
        <v>74</v>
      </c>
      <c r="U1629" s="186">
        <v>44980.708333333336</v>
      </c>
      <c r="V1629" s="1" t="s">
        <v>41</v>
      </c>
      <c r="W1629" s="1" t="s">
        <v>49</v>
      </c>
    </row>
    <row r="1630" spans="1:23" hidden="1">
      <c r="A1630" s="181">
        <v>9486855</v>
      </c>
      <c r="B1630" s="181" t="s">
        <v>1153</v>
      </c>
      <c r="C1630" s="185" t="s">
        <v>2957</v>
      </c>
      <c r="D1630" s="183"/>
      <c r="E1630" s="183">
        <v>608000206001</v>
      </c>
      <c r="F1630" s="181" t="s">
        <v>29</v>
      </c>
      <c r="G1630" s="181" t="s">
        <v>53</v>
      </c>
      <c r="H1630" s="181" t="s">
        <v>438</v>
      </c>
      <c r="I1630" s="181" t="s">
        <v>439</v>
      </c>
      <c r="J1630" s="181" t="s">
        <v>148</v>
      </c>
      <c r="K1630" t="s">
        <v>34</v>
      </c>
      <c r="M1630" s="1" t="s">
        <v>35</v>
      </c>
      <c r="N1630" s="1">
        <v>42318949</v>
      </c>
      <c r="O1630" s="1" t="s">
        <v>36</v>
      </c>
      <c r="P1630" s="186">
        <v>44972.594259259262</v>
      </c>
      <c r="R1630" s="1" t="s">
        <v>38</v>
      </c>
      <c r="T1630" s="1" t="s">
        <v>74</v>
      </c>
      <c r="U1630" s="186">
        <v>44979.67759259259</v>
      </c>
      <c r="V1630" s="1" t="s">
        <v>41</v>
      </c>
      <c r="W1630" s="1" t="s">
        <v>49</v>
      </c>
    </row>
    <row r="1631" spans="1:23" hidden="1">
      <c r="A1631" s="1">
        <v>9486824</v>
      </c>
      <c r="B1631" s="1" t="s">
        <v>1153</v>
      </c>
      <c r="C1631" t="s">
        <v>3320</v>
      </c>
      <c r="D1631" s="2">
        <v>230029551</v>
      </c>
      <c r="E1631" s="2">
        <v>2138001400030</v>
      </c>
      <c r="F1631" s="1" t="s">
        <v>647</v>
      </c>
      <c r="G1631" s="1" t="s">
        <v>53</v>
      </c>
      <c r="H1631" s="1" t="s">
        <v>379</v>
      </c>
      <c r="I1631" s="1" t="s">
        <v>380</v>
      </c>
      <c r="J1631" s="1" t="s">
        <v>46</v>
      </c>
      <c r="K1631" t="s">
        <v>650</v>
      </c>
      <c r="M1631" s="1" t="s">
        <v>58</v>
      </c>
      <c r="N1631" s="1">
        <v>0</v>
      </c>
      <c r="O1631" s="1" t="s">
        <v>105</v>
      </c>
      <c r="P1631" s="186">
        <v>44972.58697916667</v>
      </c>
      <c r="R1631" s="1">
        <v>4</v>
      </c>
      <c r="T1631" s="1" t="s">
        <v>646</v>
      </c>
      <c r="U1631" s="186">
        <v>44973.607812499999</v>
      </c>
      <c r="V1631" s="1" t="s">
        <v>41</v>
      </c>
      <c r="W1631" s="1" t="s">
        <v>49</v>
      </c>
    </row>
    <row r="1632" spans="1:23" hidden="1">
      <c r="A1632" s="1">
        <v>9486821</v>
      </c>
      <c r="B1632" s="1" t="s">
        <v>1153</v>
      </c>
      <c r="C1632" t="s">
        <v>3322</v>
      </c>
      <c r="D1632" s="2">
        <v>230029549</v>
      </c>
      <c r="E1632" s="2">
        <v>2138001400030</v>
      </c>
      <c r="F1632" s="1" t="s">
        <v>647</v>
      </c>
      <c r="G1632" s="1" t="s">
        <v>53</v>
      </c>
      <c r="H1632" s="1" t="s">
        <v>379</v>
      </c>
      <c r="I1632" s="1" t="s">
        <v>380</v>
      </c>
      <c r="J1632" s="1" t="s">
        <v>46</v>
      </c>
      <c r="K1632" t="s">
        <v>650</v>
      </c>
      <c r="M1632" s="1" t="s">
        <v>58</v>
      </c>
      <c r="N1632" s="1">
        <v>0</v>
      </c>
      <c r="O1632" s="1" t="s">
        <v>105</v>
      </c>
      <c r="P1632" s="186">
        <v>44972.586805555555</v>
      </c>
      <c r="R1632" s="1">
        <v>4</v>
      </c>
      <c r="T1632" s="1" t="s">
        <v>646</v>
      </c>
      <c r="U1632" s="186">
        <v>44973.607638888891</v>
      </c>
      <c r="V1632" s="1" t="s">
        <v>41</v>
      </c>
      <c r="W1632" s="1" t="s">
        <v>49</v>
      </c>
    </row>
    <row r="1633" spans="1:23" hidden="1">
      <c r="A1633" s="1">
        <v>9486673</v>
      </c>
      <c r="B1633" s="1" t="s">
        <v>1153</v>
      </c>
      <c r="C1633" t="s">
        <v>3323</v>
      </c>
      <c r="D1633" s="2">
        <v>20230446000013</v>
      </c>
      <c r="E1633" s="2">
        <v>7417163284281</v>
      </c>
      <c r="F1633" s="1" t="s">
        <v>131</v>
      </c>
      <c r="G1633" s="1" t="s">
        <v>53</v>
      </c>
      <c r="H1633" s="1" t="s">
        <v>3324</v>
      </c>
      <c r="I1633" s="1" t="s">
        <v>3325</v>
      </c>
      <c r="J1633" s="1" t="s">
        <v>110</v>
      </c>
      <c r="K1633" t="s">
        <v>132</v>
      </c>
      <c r="M1633" s="1" t="s">
        <v>58</v>
      </c>
      <c r="N1633" s="1">
        <v>0</v>
      </c>
      <c r="O1633" s="1" t="s">
        <v>105</v>
      </c>
      <c r="P1633" s="186">
        <v>44972.550717592596</v>
      </c>
      <c r="R1633" s="1">
        <v>14</v>
      </c>
      <c r="T1633" s="1" t="s">
        <v>238</v>
      </c>
      <c r="U1633" s="186">
        <v>44972.550717592596</v>
      </c>
      <c r="V1633" s="1" t="s">
        <v>41</v>
      </c>
      <c r="W1633" s="1" t="s">
        <v>49</v>
      </c>
    </row>
    <row r="1634" spans="1:23" hidden="1">
      <c r="A1634" s="1">
        <v>9486549</v>
      </c>
      <c r="B1634" s="1" t="s">
        <v>1153</v>
      </c>
      <c r="C1634" t="s">
        <v>3327</v>
      </c>
      <c r="D1634" s="2">
        <v>20234924000057</v>
      </c>
      <c r="E1634" s="2">
        <v>7417161483343</v>
      </c>
      <c r="F1634" s="1" t="s">
        <v>1217</v>
      </c>
      <c r="G1634" s="1" t="s">
        <v>53</v>
      </c>
      <c r="H1634" s="1" t="s">
        <v>3328</v>
      </c>
      <c r="I1634" s="1" t="s">
        <v>3329</v>
      </c>
      <c r="J1634" s="1" t="s">
        <v>79</v>
      </c>
      <c r="K1634" t="s">
        <v>1218</v>
      </c>
      <c r="M1634" s="1" t="s">
        <v>58</v>
      </c>
      <c r="N1634" s="1">
        <v>0</v>
      </c>
      <c r="O1634" s="1" t="s">
        <v>105</v>
      </c>
      <c r="P1634" s="186">
        <v>44972.532650462963</v>
      </c>
      <c r="R1634" s="1">
        <v>14</v>
      </c>
      <c r="T1634" s="1" t="s">
        <v>238</v>
      </c>
      <c r="U1634" s="186">
        <v>44972.532650462963</v>
      </c>
      <c r="V1634" s="1" t="s">
        <v>41</v>
      </c>
      <c r="W1634" s="1" t="s">
        <v>49</v>
      </c>
    </row>
    <row r="1635" spans="1:23" hidden="1">
      <c r="A1635" s="1">
        <v>9486547</v>
      </c>
      <c r="B1635" s="1" t="s">
        <v>1153</v>
      </c>
      <c r="C1635" t="s">
        <v>3331</v>
      </c>
      <c r="D1635" s="2">
        <v>20234924000056</v>
      </c>
      <c r="E1635" s="2">
        <v>7417161483342</v>
      </c>
      <c r="F1635" s="1" t="s">
        <v>1217</v>
      </c>
      <c r="G1635" s="1" t="s">
        <v>53</v>
      </c>
      <c r="H1635" s="1" t="s">
        <v>3328</v>
      </c>
      <c r="I1635" s="1" t="s">
        <v>3329</v>
      </c>
      <c r="J1635" s="1" t="s">
        <v>79</v>
      </c>
      <c r="K1635" t="s">
        <v>1218</v>
      </c>
      <c r="M1635" s="1" t="s">
        <v>58</v>
      </c>
      <c r="N1635" s="1">
        <v>0</v>
      </c>
      <c r="O1635" s="1" t="s">
        <v>105</v>
      </c>
      <c r="P1635" s="186">
        <v>44972.531030092592</v>
      </c>
      <c r="R1635" s="1">
        <v>14</v>
      </c>
      <c r="T1635" s="1" t="s">
        <v>238</v>
      </c>
      <c r="U1635" s="186">
        <v>44972.531030092592</v>
      </c>
      <c r="V1635" s="1" t="s">
        <v>41</v>
      </c>
      <c r="W1635" s="1" t="s">
        <v>49</v>
      </c>
    </row>
    <row r="1636" spans="1:23" hidden="1">
      <c r="A1636" s="1">
        <v>9486473</v>
      </c>
      <c r="B1636" s="1" t="s">
        <v>1153</v>
      </c>
      <c r="C1636" t="s">
        <v>3333</v>
      </c>
      <c r="D1636" s="2">
        <v>20234844000477</v>
      </c>
      <c r="E1636" s="2">
        <v>7419141892254</v>
      </c>
      <c r="F1636" s="1" t="s">
        <v>128</v>
      </c>
      <c r="G1636" s="1" t="s">
        <v>53</v>
      </c>
      <c r="H1636" s="1" t="s">
        <v>2059</v>
      </c>
      <c r="I1636" s="1" t="s">
        <v>2060</v>
      </c>
      <c r="J1636" s="1" t="s">
        <v>46</v>
      </c>
      <c r="K1636" t="s">
        <v>129</v>
      </c>
      <c r="M1636" s="1" t="s">
        <v>58</v>
      </c>
      <c r="N1636" s="1">
        <v>0</v>
      </c>
      <c r="O1636" s="1" t="s">
        <v>105</v>
      </c>
      <c r="P1636" s="186">
        <v>44972.520104166666</v>
      </c>
      <c r="R1636" s="1">
        <v>13</v>
      </c>
      <c r="T1636" s="1" t="s">
        <v>238</v>
      </c>
      <c r="U1636" s="186">
        <v>44972.520104166666</v>
      </c>
      <c r="V1636" s="1" t="s">
        <v>41</v>
      </c>
      <c r="W1636" s="1" t="s">
        <v>49</v>
      </c>
    </row>
    <row r="1637" spans="1:23" hidden="1">
      <c r="A1637" s="1">
        <v>9486434</v>
      </c>
      <c r="B1637" s="1" t="s">
        <v>1153</v>
      </c>
      <c r="C1637" t="s">
        <v>3335</v>
      </c>
      <c r="E1637" s="2">
        <v>9704000206001</v>
      </c>
      <c r="F1637" s="1" t="s">
        <v>29</v>
      </c>
      <c r="G1637" s="1" t="s">
        <v>53</v>
      </c>
      <c r="H1637" s="1" t="s">
        <v>488</v>
      </c>
      <c r="I1637" s="1" t="s">
        <v>489</v>
      </c>
      <c r="J1637" s="1" t="s">
        <v>164</v>
      </c>
      <c r="K1637" t="s">
        <v>34</v>
      </c>
      <c r="M1637" s="1" t="s">
        <v>35</v>
      </c>
      <c r="N1637" s="1">
        <v>42318949</v>
      </c>
      <c r="O1637" s="1" t="s">
        <v>36</v>
      </c>
      <c r="P1637" s="186">
        <v>44972.521770833337</v>
      </c>
      <c r="R1637" s="1" t="s">
        <v>38</v>
      </c>
      <c r="T1637" s="1" t="s">
        <v>74</v>
      </c>
      <c r="U1637" s="186">
        <v>44979.458333333336</v>
      </c>
      <c r="V1637" s="1" t="s">
        <v>41</v>
      </c>
      <c r="W1637" s="1" t="s">
        <v>49</v>
      </c>
    </row>
    <row r="1638" spans="1:23" hidden="1">
      <c r="A1638" s="1">
        <v>9486403</v>
      </c>
      <c r="B1638" s="1" t="s">
        <v>1153</v>
      </c>
      <c r="C1638" t="s">
        <v>3337</v>
      </c>
      <c r="D1638" s="2">
        <v>20234844000476</v>
      </c>
      <c r="E1638" s="2">
        <v>7419143322520</v>
      </c>
      <c r="F1638" s="1" t="s">
        <v>1222</v>
      </c>
      <c r="G1638" s="1" t="s">
        <v>53</v>
      </c>
      <c r="H1638" s="1" t="s">
        <v>2478</v>
      </c>
      <c r="I1638" s="1" t="s">
        <v>2479</v>
      </c>
      <c r="J1638" s="1" t="s">
        <v>46</v>
      </c>
      <c r="K1638" t="s">
        <v>1223</v>
      </c>
      <c r="M1638" s="1" t="s">
        <v>58</v>
      </c>
      <c r="N1638" s="1">
        <v>0</v>
      </c>
      <c r="O1638" s="1" t="s">
        <v>105</v>
      </c>
      <c r="P1638" s="186">
        <v>44972.509918981479</v>
      </c>
      <c r="R1638" s="1">
        <v>13</v>
      </c>
      <c r="T1638" s="1" t="s">
        <v>238</v>
      </c>
      <c r="U1638" s="186">
        <v>44972.509918981479</v>
      </c>
      <c r="V1638" s="1" t="s">
        <v>41</v>
      </c>
      <c r="W1638" s="1" t="s">
        <v>49</v>
      </c>
    </row>
    <row r="1639" spans="1:23" hidden="1">
      <c r="A1639" s="1">
        <v>9486167</v>
      </c>
      <c r="B1639" s="1" t="s">
        <v>1153</v>
      </c>
      <c r="C1639" t="s">
        <v>3339</v>
      </c>
      <c r="D1639" s="2">
        <v>20234844000474</v>
      </c>
      <c r="E1639" s="2">
        <v>7417161480640</v>
      </c>
      <c r="F1639" s="1" t="s">
        <v>1979</v>
      </c>
      <c r="G1639" s="1" t="s">
        <v>53</v>
      </c>
      <c r="H1639" s="1" t="s">
        <v>2821</v>
      </c>
      <c r="I1639" s="1" t="s">
        <v>2822</v>
      </c>
      <c r="J1639" s="1" t="s">
        <v>46</v>
      </c>
      <c r="K1639" t="s">
        <v>1982</v>
      </c>
      <c r="M1639" s="1" t="s">
        <v>58</v>
      </c>
      <c r="N1639" s="1">
        <v>0</v>
      </c>
      <c r="O1639" s="1" t="s">
        <v>105</v>
      </c>
      <c r="P1639" s="186">
        <v>44972.475682870368</v>
      </c>
      <c r="R1639" s="1">
        <v>13</v>
      </c>
      <c r="T1639" s="1" t="s">
        <v>238</v>
      </c>
      <c r="U1639" s="186">
        <v>44972.475682870368</v>
      </c>
      <c r="V1639" s="1" t="s">
        <v>41</v>
      </c>
      <c r="W1639" s="1" t="s">
        <v>49</v>
      </c>
    </row>
    <row r="1640" spans="1:23" hidden="1">
      <c r="A1640" s="1">
        <v>9486166</v>
      </c>
      <c r="B1640" s="1" t="s">
        <v>1153</v>
      </c>
      <c r="C1640" t="s">
        <v>3341</v>
      </c>
      <c r="D1640" s="2">
        <v>20234844000473</v>
      </c>
      <c r="E1640" s="2">
        <v>7419143322502</v>
      </c>
      <c r="F1640" s="1" t="s">
        <v>1222</v>
      </c>
      <c r="G1640" s="1" t="s">
        <v>53</v>
      </c>
      <c r="H1640" s="1" t="s">
        <v>2395</v>
      </c>
      <c r="I1640" s="1" t="s">
        <v>2396</v>
      </c>
      <c r="J1640" s="1" t="s">
        <v>46</v>
      </c>
      <c r="K1640" t="s">
        <v>1223</v>
      </c>
      <c r="M1640" s="1" t="s">
        <v>58</v>
      </c>
      <c r="N1640" s="1">
        <v>0</v>
      </c>
      <c r="O1640" s="1" t="s">
        <v>105</v>
      </c>
      <c r="P1640" s="186">
        <v>44972.46837962963</v>
      </c>
      <c r="R1640" s="1">
        <v>13</v>
      </c>
      <c r="T1640" s="1" t="s">
        <v>238</v>
      </c>
      <c r="U1640" s="186">
        <v>44972.46837962963</v>
      </c>
      <c r="V1640" s="1" t="s">
        <v>41</v>
      </c>
      <c r="W1640" s="1" t="s">
        <v>49</v>
      </c>
    </row>
    <row r="1641" spans="1:23" hidden="1">
      <c r="A1641" s="1">
        <v>9486154</v>
      </c>
      <c r="B1641" s="1" t="s">
        <v>1153</v>
      </c>
      <c r="C1641" t="s">
        <v>3343</v>
      </c>
      <c r="D1641" s="2">
        <v>20232219000014</v>
      </c>
      <c r="E1641" s="2">
        <v>7417202020231</v>
      </c>
      <c r="F1641" s="1" t="s">
        <v>1213</v>
      </c>
      <c r="G1641" s="1" t="s">
        <v>53</v>
      </c>
      <c r="H1641" s="1" t="s">
        <v>1980</v>
      </c>
      <c r="I1641" s="1" t="s">
        <v>1981</v>
      </c>
      <c r="J1641" s="1" t="s">
        <v>141</v>
      </c>
      <c r="K1641" t="s">
        <v>1214</v>
      </c>
      <c r="M1641" s="1" t="s">
        <v>58</v>
      </c>
      <c r="N1641" s="1">
        <v>0</v>
      </c>
      <c r="O1641" s="1" t="s">
        <v>105</v>
      </c>
      <c r="P1641" s="186">
        <v>44972.479039351849</v>
      </c>
      <c r="R1641" s="1">
        <v>14</v>
      </c>
      <c r="T1641" s="1" t="s">
        <v>238</v>
      </c>
      <c r="U1641" s="186">
        <v>44972.479039351849</v>
      </c>
      <c r="V1641" s="1" t="s">
        <v>41</v>
      </c>
      <c r="W1641" s="1" t="s">
        <v>49</v>
      </c>
    </row>
    <row r="1642" spans="1:23" hidden="1">
      <c r="A1642" s="1">
        <v>9486084</v>
      </c>
      <c r="B1642" s="1" t="s">
        <v>1153</v>
      </c>
      <c r="C1642" t="s">
        <v>3345</v>
      </c>
      <c r="D1642" s="2">
        <v>20238240000007</v>
      </c>
      <c r="E1642" s="2">
        <v>7419152464214</v>
      </c>
      <c r="F1642" s="1" t="s">
        <v>2744</v>
      </c>
      <c r="G1642" s="1" t="s">
        <v>53</v>
      </c>
      <c r="H1642" s="1" t="s">
        <v>3346</v>
      </c>
      <c r="I1642" s="1" t="s">
        <v>3347</v>
      </c>
      <c r="J1642" s="1" t="s">
        <v>46</v>
      </c>
      <c r="K1642" t="s">
        <v>2745</v>
      </c>
      <c r="M1642" s="1" t="s">
        <v>58</v>
      </c>
      <c r="N1642" s="1">
        <v>0</v>
      </c>
      <c r="O1642" s="1" t="s">
        <v>105</v>
      </c>
      <c r="P1642" s="186">
        <v>44972.466921296298</v>
      </c>
      <c r="R1642" s="1">
        <v>22</v>
      </c>
      <c r="T1642" s="1" t="s">
        <v>1160</v>
      </c>
      <c r="U1642" s="186">
        <v>44974.675254629627</v>
      </c>
      <c r="V1642" s="1" t="s">
        <v>41</v>
      </c>
      <c r="W1642" s="1" t="s">
        <v>49</v>
      </c>
    </row>
    <row r="1643" spans="1:23" hidden="1">
      <c r="A1643" s="1">
        <v>9486015</v>
      </c>
      <c r="B1643" s="1" t="s">
        <v>1153</v>
      </c>
      <c r="C1643" t="s">
        <v>3350</v>
      </c>
      <c r="D1643" s="2">
        <v>20234844000472</v>
      </c>
      <c r="E1643" s="2">
        <v>8558100222021</v>
      </c>
      <c r="F1643" s="1" t="s">
        <v>2995</v>
      </c>
      <c r="G1643" s="1" t="s">
        <v>53</v>
      </c>
      <c r="H1643" s="1" t="s">
        <v>731</v>
      </c>
      <c r="I1643" s="1" t="s">
        <v>732</v>
      </c>
      <c r="J1643" s="1" t="s">
        <v>46</v>
      </c>
      <c r="K1643" t="s">
        <v>2996</v>
      </c>
      <c r="M1643" s="1" t="s">
        <v>58</v>
      </c>
      <c r="N1643" s="1">
        <v>0</v>
      </c>
      <c r="O1643" s="1" t="s">
        <v>105</v>
      </c>
      <c r="P1643" s="186">
        <v>44972.44767361111</v>
      </c>
      <c r="R1643" s="1">
        <v>21</v>
      </c>
      <c r="T1643" s="1" t="s">
        <v>1160</v>
      </c>
      <c r="U1643" s="186">
        <v>44974.531006944446</v>
      </c>
      <c r="V1643" s="1" t="s">
        <v>41</v>
      </c>
      <c r="W1643" s="1" t="s">
        <v>49</v>
      </c>
    </row>
    <row r="1644" spans="1:23" hidden="1">
      <c r="A1644" s="1">
        <v>9485948</v>
      </c>
      <c r="B1644" s="1" t="s">
        <v>1153</v>
      </c>
      <c r="C1644" t="s">
        <v>3353</v>
      </c>
      <c r="D1644" s="2">
        <v>230029375</v>
      </c>
      <c r="E1644" s="2">
        <v>2669001400020</v>
      </c>
      <c r="F1644" s="1" t="s">
        <v>1961</v>
      </c>
      <c r="G1644" s="1" t="s">
        <v>53</v>
      </c>
      <c r="H1644" s="1" t="s">
        <v>561</v>
      </c>
      <c r="I1644" s="1" t="s">
        <v>562</v>
      </c>
      <c r="J1644" s="1" t="s">
        <v>110</v>
      </c>
      <c r="K1644" t="s">
        <v>1962</v>
      </c>
      <c r="M1644" s="1" t="s">
        <v>58</v>
      </c>
      <c r="N1644" s="1">
        <v>0</v>
      </c>
      <c r="O1644" s="1" t="s">
        <v>36</v>
      </c>
      <c r="P1644" s="186">
        <v>44972.457766203705</v>
      </c>
      <c r="R1644" s="1">
        <v>4</v>
      </c>
      <c r="T1644" s="1" t="s">
        <v>646</v>
      </c>
      <c r="U1644" s="186">
        <v>44985.729166666664</v>
      </c>
      <c r="V1644" s="1" t="s">
        <v>41</v>
      </c>
      <c r="W1644" s="1" t="s">
        <v>49</v>
      </c>
    </row>
    <row r="1645" spans="1:23" hidden="1">
      <c r="A1645" s="1">
        <v>9485898</v>
      </c>
      <c r="B1645" s="1" t="s">
        <v>1153</v>
      </c>
      <c r="C1645" t="s">
        <v>3356</v>
      </c>
      <c r="D1645" s="2">
        <v>20230067000019</v>
      </c>
      <c r="E1645" s="2">
        <v>7417183020616</v>
      </c>
      <c r="F1645" s="1" t="s">
        <v>1313</v>
      </c>
      <c r="G1645" s="1" t="s">
        <v>53</v>
      </c>
      <c r="H1645" s="1" t="s">
        <v>2091</v>
      </c>
      <c r="I1645" s="1" t="s">
        <v>2092</v>
      </c>
      <c r="J1645" s="1" t="s">
        <v>164</v>
      </c>
      <c r="K1645" t="s">
        <v>1316</v>
      </c>
      <c r="M1645" s="1" t="s">
        <v>58</v>
      </c>
      <c r="N1645" s="1">
        <v>0</v>
      </c>
      <c r="O1645" s="1" t="s">
        <v>105</v>
      </c>
      <c r="P1645" s="186">
        <v>44972.437141203707</v>
      </c>
      <c r="R1645" s="1">
        <v>14</v>
      </c>
      <c r="T1645" s="1" t="s">
        <v>238</v>
      </c>
      <c r="U1645" s="186">
        <v>44972.437141203707</v>
      </c>
      <c r="V1645" s="1" t="s">
        <v>41</v>
      </c>
      <c r="W1645" s="1" t="s">
        <v>49</v>
      </c>
    </row>
    <row r="1646" spans="1:23" hidden="1">
      <c r="A1646" s="1">
        <v>9485890</v>
      </c>
      <c r="B1646" s="1" t="s">
        <v>1153</v>
      </c>
      <c r="C1646" t="s">
        <v>3358</v>
      </c>
      <c r="D1646" s="2">
        <v>230029350</v>
      </c>
      <c r="E1646" s="2">
        <v>2138001400030</v>
      </c>
      <c r="F1646" s="1" t="s">
        <v>647</v>
      </c>
      <c r="G1646" s="1" t="s">
        <v>53</v>
      </c>
      <c r="H1646" s="1" t="s">
        <v>379</v>
      </c>
      <c r="I1646" s="1" t="s">
        <v>380</v>
      </c>
      <c r="J1646" s="1" t="s">
        <v>46</v>
      </c>
      <c r="K1646" t="s">
        <v>650</v>
      </c>
      <c r="M1646" s="1" t="s">
        <v>58</v>
      </c>
      <c r="N1646" s="1">
        <v>0</v>
      </c>
      <c r="O1646" s="1" t="s">
        <v>105</v>
      </c>
      <c r="P1646" s="186">
        <v>44972.451388888891</v>
      </c>
      <c r="R1646" s="1">
        <v>4</v>
      </c>
      <c r="T1646" s="1" t="s">
        <v>646</v>
      </c>
      <c r="U1646" s="186">
        <v>44973.472222222219</v>
      </c>
      <c r="V1646" s="1" t="s">
        <v>41</v>
      </c>
      <c r="W1646" s="1" t="s">
        <v>49</v>
      </c>
    </row>
    <row r="1647" spans="1:23" hidden="1">
      <c r="A1647" s="1">
        <v>9485824</v>
      </c>
      <c r="B1647" s="1" t="s">
        <v>1153</v>
      </c>
      <c r="C1647" t="s">
        <v>3361</v>
      </c>
      <c r="D1647" s="2">
        <v>20234844000471</v>
      </c>
      <c r="E1647" s="2">
        <v>7417193471242</v>
      </c>
      <c r="F1647" s="1" t="s">
        <v>2698</v>
      </c>
      <c r="G1647" s="1" t="s">
        <v>53</v>
      </c>
      <c r="H1647" s="1" t="s">
        <v>827</v>
      </c>
      <c r="I1647" s="1" t="s">
        <v>828</v>
      </c>
      <c r="J1647" s="1" t="s">
        <v>46</v>
      </c>
      <c r="K1647" t="s">
        <v>2701</v>
      </c>
      <c r="M1647" s="1" t="s">
        <v>58</v>
      </c>
      <c r="N1647" s="1">
        <v>0</v>
      </c>
      <c r="O1647" s="1" t="s">
        <v>105</v>
      </c>
      <c r="P1647" s="186">
        <v>44972.429236111115</v>
      </c>
      <c r="R1647" s="1">
        <v>13</v>
      </c>
      <c r="S1647" s="1">
        <v>4804</v>
      </c>
      <c r="T1647" s="1" t="s">
        <v>238</v>
      </c>
      <c r="U1647" s="186">
        <v>44972.429236111115</v>
      </c>
      <c r="V1647" s="1" t="s">
        <v>41</v>
      </c>
      <c r="W1647" s="1" t="s">
        <v>49</v>
      </c>
    </row>
    <row r="1648" spans="1:23" hidden="1">
      <c r="A1648" s="1">
        <v>9485808</v>
      </c>
      <c r="B1648" s="1" t="s">
        <v>1153</v>
      </c>
      <c r="C1648" t="s">
        <v>3363</v>
      </c>
      <c r="D1648" s="2">
        <v>20233924000005</v>
      </c>
      <c r="E1648" s="2">
        <v>7419152462780</v>
      </c>
      <c r="F1648" s="1" t="s">
        <v>2744</v>
      </c>
      <c r="G1648" s="1" t="s">
        <v>53</v>
      </c>
      <c r="H1648" s="1" t="s">
        <v>153</v>
      </c>
      <c r="I1648" s="1" t="s">
        <v>154</v>
      </c>
      <c r="J1648" s="1" t="s">
        <v>56</v>
      </c>
      <c r="K1648" t="s">
        <v>2745</v>
      </c>
      <c r="M1648" s="1" t="s">
        <v>58</v>
      </c>
      <c r="N1648" s="1">
        <v>0</v>
      </c>
      <c r="O1648" s="1" t="s">
        <v>36</v>
      </c>
      <c r="P1648" s="186">
        <v>44972.425358796296</v>
      </c>
      <c r="R1648" s="1">
        <v>22</v>
      </c>
      <c r="T1648" s="1" t="s">
        <v>1160</v>
      </c>
      <c r="U1648" s="186">
        <v>44974.633692129632</v>
      </c>
      <c r="V1648" s="1" t="s">
        <v>41</v>
      </c>
      <c r="W1648" s="1" t="s">
        <v>49</v>
      </c>
    </row>
    <row r="1649" spans="1:23" hidden="1">
      <c r="A1649" s="1">
        <v>9485780</v>
      </c>
      <c r="B1649" s="1" t="s">
        <v>1153</v>
      </c>
      <c r="C1649" t="s">
        <v>3366</v>
      </c>
      <c r="E1649" s="2">
        <v>934000206001</v>
      </c>
      <c r="F1649" s="1" t="s">
        <v>29</v>
      </c>
      <c r="G1649" s="1" t="s">
        <v>53</v>
      </c>
      <c r="H1649" s="1" t="s">
        <v>428</v>
      </c>
      <c r="I1649" s="1" t="s">
        <v>429</v>
      </c>
      <c r="J1649" s="1" t="s">
        <v>46</v>
      </c>
      <c r="K1649" t="s">
        <v>34</v>
      </c>
      <c r="M1649" s="1" t="s">
        <v>35</v>
      </c>
      <c r="N1649" s="1">
        <v>42318949</v>
      </c>
      <c r="O1649" s="1" t="s">
        <v>36</v>
      </c>
      <c r="P1649" s="186">
        <v>44972.438680555555</v>
      </c>
      <c r="R1649" s="1" t="s">
        <v>38</v>
      </c>
      <c r="T1649" s="1" t="s">
        <v>74</v>
      </c>
      <c r="U1649" s="186">
        <v>44980.708333333336</v>
      </c>
      <c r="V1649" s="1" t="s">
        <v>41</v>
      </c>
      <c r="W1649" s="1" t="s">
        <v>49</v>
      </c>
    </row>
    <row r="1650" spans="1:23" hidden="1">
      <c r="A1650" s="181">
        <v>9485767</v>
      </c>
      <c r="B1650" s="181" t="s">
        <v>1153</v>
      </c>
      <c r="C1650" s="182" t="s">
        <v>3546</v>
      </c>
      <c r="D1650" s="183"/>
      <c r="E1650" s="183">
        <v>9705000206205</v>
      </c>
      <c r="F1650" s="181" t="s">
        <v>208</v>
      </c>
      <c r="G1650" s="181" t="s">
        <v>53</v>
      </c>
      <c r="H1650" s="181" t="s">
        <v>204</v>
      </c>
      <c r="I1650" s="181" t="s">
        <v>205</v>
      </c>
      <c r="J1650" s="181" t="s">
        <v>90</v>
      </c>
      <c r="K1650" t="s">
        <v>212</v>
      </c>
      <c r="M1650" s="1" t="s">
        <v>35</v>
      </c>
      <c r="N1650" s="1">
        <v>42318949</v>
      </c>
      <c r="O1650" s="1" t="s">
        <v>36</v>
      </c>
      <c r="P1650" s="186">
        <v>44972.438321759262</v>
      </c>
      <c r="R1650" s="1" t="s">
        <v>38</v>
      </c>
      <c r="T1650" s="1" t="s">
        <v>74</v>
      </c>
      <c r="U1650" s="186">
        <v>44980.607638888891</v>
      </c>
      <c r="V1650" s="1" t="s">
        <v>41</v>
      </c>
      <c r="W1650" s="1" t="s">
        <v>49</v>
      </c>
    </row>
    <row r="1651" spans="1:23" hidden="1">
      <c r="A1651" s="1">
        <v>9485713</v>
      </c>
      <c r="B1651" s="1" t="s">
        <v>1153</v>
      </c>
      <c r="C1651" t="s">
        <v>3370</v>
      </c>
      <c r="D1651" s="2">
        <v>20230922000027</v>
      </c>
      <c r="E1651" s="2">
        <v>7417161482288</v>
      </c>
      <c r="F1651" s="1" t="s">
        <v>1979</v>
      </c>
      <c r="G1651" s="1" t="s">
        <v>53</v>
      </c>
      <c r="H1651" s="1" t="s">
        <v>2410</v>
      </c>
      <c r="I1651" s="1" t="s">
        <v>2411</v>
      </c>
      <c r="J1651" s="1" t="s">
        <v>261</v>
      </c>
      <c r="K1651" t="s">
        <v>1982</v>
      </c>
      <c r="M1651" s="1" t="s">
        <v>58</v>
      </c>
      <c r="N1651" s="1">
        <v>0</v>
      </c>
      <c r="O1651" s="1" t="s">
        <v>105</v>
      </c>
      <c r="P1651" s="186">
        <v>44972.422569444447</v>
      </c>
      <c r="R1651" s="1">
        <v>14</v>
      </c>
      <c r="T1651" s="1" t="s">
        <v>238</v>
      </c>
      <c r="U1651" s="186">
        <v>44972.422569444447</v>
      </c>
      <c r="V1651" s="1" t="s">
        <v>41</v>
      </c>
      <c r="W1651" s="1" t="s">
        <v>49</v>
      </c>
    </row>
    <row r="1652" spans="1:23" hidden="1">
      <c r="A1652" s="1">
        <v>9485709</v>
      </c>
      <c r="B1652" s="1" t="s">
        <v>1153</v>
      </c>
      <c r="C1652" t="s">
        <v>3372</v>
      </c>
      <c r="D1652" s="2">
        <v>20230922000026</v>
      </c>
      <c r="E1652" s="2">
        <v>7417183020103</v>
      </c>
      <c r="F1652" s="1" t="s">
        <v>1313</v>
      </c>
      <c r="G1652" s="1" t="s">
        <v>53</v>
      </c>
      <c r="H1652" s="1" t="s">
        <v>2410</v>
      </c>
      <c r="I1652" s="1" t="s">
        <v>2411</v>
      </c>
      <c r="J1652" s="1" t="s">
        <v>261</v>
      </c>
      <c r="K1652" t="s">
        <v>1316</v>
      </c>
      <c r="M1652" s="1" t="s">
        <v>58</v>
      </c>
      <c r="N1652" s="1">
        <v>0</v>
      </c>
      <c r="O1652" s="1" t="s">
        <v>105</v>
      </c>
      <c r="P1652" s="186">
        <v>44972.421550925923</v>
      </c>
      <c r="R1652" s="1">
        <v>14</v>
      </c>
      <c r="T1652" s="1" t="s">
        <v>238</v>
      </c>
      <c r="U1652" s="186">
        <v>44972.421550925923</v>
      </c>
      <c r="V1652" s="1" t="s">
        <v>41</v>
      </c>
      <c r="W1652" s="1" t="s">
        <v>49</v>
      </c>
    </row>
    <row r="1653" spans="1:23" hidden="1">
      <c r="A1653" s="1">
        <v>9485644</v>
      </c>
      <c r="B1653" s="1" t="s">
        <v>1153</v>
      </c>
      <c r="C1653" t="s">
        <v>3374</v>
      </c>
      <c r="D1653" s="2">
        <v>20234844000470</v>
      </c>
      <c r="E1653" s="2">
        <v>7417183020646</v>
      </c>
      <c r="F1653" s="1" t="s">
        <v>1313</v>
      </c>
      <c r="G1653" s="1" t="s">
        <v>53</v>
      </c>
      <c r="H1653" s="1" t="s">
        <v>2883</v>
      </c>
      <c r="I1653" s="1" t="s">
        <v>2884</v>
      </c>
      <c r="J1653" s="1" t="s">
        <v>46</v>
      </c>
      <c r="K1653" t="s">
        <v>1316</v>
      </c>
      <c r="M1653" s="1" t="s">
        <v>58</v>
      </c>
      <c r="N1653" s="1">
        <v>0</v>
      </c>
      <c r="O1653" s="1" t="s">
        <v>105</v>
      </c>
      <c r="P1653" s="186">
        <v>44972.40697916667</v>
      </c>
      <c r="R1653" s="1">
        <v>13</v>
      </c>
      <c r="T1653" s="1" t="s">
        <v>238</v>
      </c>
      <c r="U1653" s="186">
        <v>44972.40697916667</v>
      </c>
      <c r="V1653" s="1" t="s">
        <v>41</v>
      </c>
      <c r="W1653" s="1" t="s">
        <v>49</v>
      </c>
    </row>
    <row r="1654" spans="1:23" hidden="1">
      <c r="A1654" s="1">
        <v>9485633</v>
      </c>
      <c r="B1654" s="1" t="s">
        <v>1153</v>
      </c>
      <c r="C1654" t="s">
        <v>3376</v>
      </c>
      <c r="D1654" s="2">
        <v>20230220000019</v>
      </c>
      <c r="E1654" s="2">
        <v>7419141892914</v>
      </c>
      <c r="F1654" s="1" t="s">
        <v>128</v>
      </c>
      <c r="G1654" s="1" t="s">
        <v>53</v>
      </c>
      <c r="H1654" s="1" t="s">
        <v>2030</v>
      </c>
      <c r="I1654" s="1" t="s">
        <v>2031</v>
      </c>
      <c r="J1654" s="1" t="s">
        <v>110</v>
      </c>
      <c r="K1654" t="s">
        <v>129</v>
      </c>
      <c r="M1654" s="1" t="s">
        <v>58</v>
      </c>
      <c r="N1654" s="1">
        <v>0</v>
      </c>
      <c r="O1654" s="1" t="s">
        <v>105</v>
      </c>
      <c r="P1654" s="186">
        <v>44972.407731481479</v>
      </c>
      <c r="R1654" s="1">
        <v>14</v>
      </c>
      <c r="T1654" s="1" t="s">
        <v>238</v>
      </c>
      <c r="U1654" s="186">
        <v>44972.407731481479</v>
      </c>
      <c r="V1654" s="1" t="s">
        <v>41</v>
      </c>
      <c r="W1654" s="1" t="s">
        <v>49</v>
      </c>
    </row>
    <row r="1655" spans="1:23" hidden="1">
      <c r="A1655" s="1">
        <v>9485521</v>
      </c>
      <c r="B1655" s="1" t="s">
        <v>1153</v>
      </c>
      <c r="C1655" t="s">
        <v>3378</v>
      </c>
      <c r="E1655" s="2">
        <v>2039000206001</v>
      </c>
      <c r="F1655" s="1" t="s">
        <v>29</v>
      </c>
      <c r="G1655" s="1" t="s">
        <v>53</v>
      </c>
      <c r="H1655" s="1" t="s">
        <v>1943</v>
      </c>
      <c r="I1655" s="1" t="s">
        <v>1944</v>
      </c>
      <c r="J1655" s="1" t="s">
        <v>110</v>
      </c>
      <c r="K1655" t="s">
        <v>34</v>
      </c>
      <c r="M1655" s="1" t="s">
        <v>35</v>
      </c>
      <c r="N1655" s="1">
        <v>42318949</v>
      </c>
      <c r="O1655" s="1" t="s">
        <v>36</v>
      </c>
      <c r="P1655" s="186">
        <v>44972.406793981485</v>
      </c>
      <c r="R1655" s="1" t="s">
        <v>38</v>
      </c>
      <c r="T1655" s="1" t="s">
        <v>74</v>
      </c>
      <c r="U1655" s="186">
        <v>44984.708333333336</v>
      </c>
      <c r="V1655" s="1" t="s">
        <v>41</v>
      </c>
      <c r="W1655" s="1" t="s">
        <v>49</v>
      </c>
    </row>
    <row r="1656" spans="1:23" hidden="1">
      <c r="A1656" s="181">
        <v>9485455</v>
      </c>
      <c r="B1656" s="181" t="s">
        <v>1153</v>
      </c>
      <c r="C1656" s="182" t="s">
        <v>3547</v>
      </c>
      <c r="D1656" s="183"/>
      <c r="E1656" s="183">
        <v>2156000203000</v>
      </c>
      <c r="F1656" s="181" t="s">
        <v>454</v>
      </c>
      <c r="G1656" s="181" t="s">
        <v>53</v>
      </c>
      <c r="H1656" s="181" t="s">
        <v>278</v>
      </c>
      <c r="I1656" s="181" t="s">
        <v>279</v>
      </c>
      <c r="J1656" s="181" t="s">
        <v>211</v>
      </c>
      <c r="K1656" t="s">
        <v>457</v>
      </c>
      <c r="M1656" s="1" t="s">
        <v>58</v>
      </c>
      <c r="N1656" s="1">
        <v>0</v>
      </c>
      <c r="O1656" s="1" t="s">
        <v>36</v>
      </c>
      <c r="P1656" s="186">
        <v>44972.396921296298</v>
      </c>
      <c r="R1656" s="1">
        <v>1</v>
      </c>
      <c r="T1656" s="1" t="s">
        <v>157</v>
      </c>
      <c r="U1656" s="186">
        <v>44973.396921296298</v>
      </c>
      <c r="V1656" s="1" t="s">
        <v>41</v>
      </c>
      <c r="W1656" s="1" t="s">
        <v>49</v>
      </c>
    </row>
    <row r="1657" spans="1:23" hidden="1">
      <c r="A1657" s="1">
        <v>9485401</v>
      </c>
      <c r="B1657" s="1" t="s">
        <v>1153</v>
      </c>
      <c r="C1657" t="s">
        <v>3382</v>
      </c>
      <c r="D1657" s="2">
        <v>20234844000469</v>
      </c>
      <c r="E1657" s="2">
        <v>7417183020642</v>
      </c>
      <c r="F1657" s="1" t="s">
        <v>1313</v>
      </c>
      <c r="G1657" s="1" t="s">
        <v>53</v>
      </c>
      <c r="H1657" s="1" t="s">
        <v>2444</v>
      </c>
      <c r="I1657" s="1" t="s">
        <v>2445</v>
      </c>
      <c r="J1657" s="1" t="s">
        <v>46</v>
      </c>
      <c r="K1657" t="s">
        <v>1316</v>
      </c>
      <c r="M1657" s="1" t="s">
        <v>58</v>
      </c>
      <c r="N1657" s="1">
        <v>0</v>
      </c>
      <c r="O1657" s="1" t="s">
        <v>105</v>
      </c>
      <c r="P1657" s="186">
        <v>44972.376574074071</v>
      </c>
      <c r="R1657" s="1">
        <v>13</v>
      </c>
      <c r="T1657" s="1" t="s">
        <v>238</v>
      </c>
      <c r="U1657" s="186">
        <v>44972.395833333336</v>
      </c>
      <c r="V1657" s="1" t="s">
        <v>41</v>
      </c>
      <c r="W1657" s="1" t="s">
        <v>49</v>
      </c>
    </row>
    <row r="1658" spans="1:23" hidden="1">
      <c r="A1658" s="181">
        <v>9485387</v>
      </c>
      <c r="B1658" s="181" t="s">
        <v>1153</v>
      </c>
      <c r="C1658" s="182" t="s">
        <v>3548</v>
      </c>
      <c r="D1658" s="183">
        <v>20230870000028</v>
      </c>
      <c r="E1658" s="183">
        <v>7417163283610</v>
      </c>
      <c r="F1658" s="181" t="s">
        <v>131</v>
      </c>
      <c r="G1658" s="181" t="s">
        <v>53</v>
      </c>
      <c r="H1658" s="181" t="s">
        <v>519</v>
      </c>
      <c r="I1658" s="181" t="s">
        <v>520</v>
      </c>
      <c r="J1658" s="181" t="s">
        <v>90</v>
      </c>
      <c r="K1658" t="s">
        <v>132</v>
      </c>
      <c r="M1658" s="1" t="s">
        <v>58</v>
      </c>
      <c r="N1658" s="1">
        <v>0</v>
      </c>
      <c r="O1658" s="1" t="s">
        <v>105</v>
      </c>
      <c r="P1658" s="186">
        <v>44972.375081018516</v>
      </c>
      <c r="R1658" s="1">
        <v>14</v>
      </c>
      <c r="T1658" s="1" t="s">
        <v>238</v>
      </c>
      <c r="U1658" s="186">
        <v>44972.395833333336</v>
      </c>
      <c r="V1658" s="1" t="s">
        <v>41</v>
      </c>
      <c r="W1658" s="1" t="s">
        <v>49</v>
      </c>
    </row>
    <row r="1659" spans="1:23" hidden="1">
      <c r="A1659" s="1">
        <v>9485373</v>
      </c>
      <c r="B1659" s="1" t="s">
        <v>1153</v>
      </c>
      <c r="C1659" t="s">
        <v>3386</v>
      </c>
      <c r="E1659" s="2">
        <v>1814000206001</v>
      </c>
      <c r="F1659" s="1" t="s">
        <v>29</v>
      </c>
      <c r="G1659" s="1" t="s">
        <v>53</v>
      </c>
      <c r="H1659" s="1" t="s">
        <v>396</v>
      </c>
      <c r="I1659" s="1" t="s">
        <v>397</v>
      </c>
      <c r="J1659" s="1" t="s">
        <v>46</v>
      </c>
      <c r="K1659" t="s">
        <v>34</v>
      </c>
      <c r="M1659" s="1" t="s">
        <v>35</v>
      </c>
      <c r="N1659" s="1">
        <v>42318949</v>
      </c>
      <c r="O1659" s="1" t="s">
        <v>36</v>
      </c>
      <c r="P1659" s="186">
        <v>44972.386157407411</v>
      </c>
      <c r="R1659" s="1" t="s">
        <v>38</v>
      </c>
      <c r="T1659" s="1" t="s">
        <v>74</v>
      </c>
      <c r="U1659" s="186">
        <v>44980.5</v>
      </c>
      <c r="V1659" s="1" t="s">
        <v>41</v>
      </c>
      <c r="W1659" s="1" t="s">
        <v>49</v>
      </c>
    </row>
    <row r="1660" spans="1:23" hidden="1">
      <c r="A1660" s="1">
        <v>9485299</v>
      </c>
      <c r="B1660" s="1" t="s">
        <v>1153</v>
      </c>
      <c r="C1660" t="s">
        <v>3388</v>
      </c>
      <c r="E1660" s="2">
        <v>4997000206001</v>
      </c>
      <c r="F1660" s="1" t="s">
        <v>29</v>
      </c>
      <c r="G1660" s="1" t="s">
        <v>53</v>
      </c>
      <c r="H1660" s="1" t="s">
        <v>406</v>
      </c>
      <c r="I1660" s="1" t="s">
        <v>407</v>
      </c>
      <c r="J1660" s="1" t="s">
        <v>79</v>
      </c>
      <c r="K1660" t="s">
        <v>34</v>
      </c>
      <c r="M1660" s="1" t="s">
        <v>35</v>
      </c>
      <c r="N1660" s="1">
        <v>42318949</v>
      </c>
      <c r="O1660" s="1" t="s">
        <v>36</v>
      </c>
      <c r="P1660" s="186">
        <v>44972.375821759262</v>
      </c>
      <c r="R1660" s="1" t="s">
        <v>38</v>
      </c>
      <c r="T1660" s="1" t="s">
        <v>74</v>
      </c>
      <c r="U1660" s="186">
        <v>44980.458333333336</v>
      </c>
      <c r="V1660" s="1" t="s">
        <v>41</v>
      </c>
      <c r="W1660" s="1" t="s">
        <v>49</v>
      </c>
    </row>
    <row r="1661" spans="1:23" hidden="1">
      <c r="A1661" s="181">
        <v>9485253</v>
      </c>
      <c r="B1661" s="181" t="s">
        <v>1153</v>
      </c>
      <c r="C1661" s="182" t="s">
        <v>3549</v>
      </c>
      <c r="D1661" s="183">
        <v>20232699000016</v>
      </c>
      <c r="E1661" s="183">
        <v>7419141894741</v>
      </c>
      <c r="F1661" s="181" t="s">
        <v>128</v>
      </c>
      <c r="G1661" s="181" t="s">
        <v>53</v>
      </c>
      <c r="H1661" s="181" t="s">
        <v>2070</v>
      </c>
      <c r="I1661" s="181" t="s">
        <v>2071</v>
      </c>
      <c r="J1661" s="181" t="s">
        <v>148</v>
      </c>
      <c r="K1661" t="s">
        <v>129</v>
      </c>
      <c r="M1661" s="1" t="s">
        <v>58</v>
      </c>
      <c r="N1661" s="1">
        <v>0</v>
      </c>
      <c r="O1661" s="1" t="s">
        <v>36</v>
      </c>
      <c r="P1661" s="186">
        <v>44972.354537037034</v>
      </c>
      <c r="R1661" s="1">
        <v>14</v>
      </c>
      <c r="T1661" s="1" t="s">
        <v>238</v>
      </c>
      <c r="U1661" s="186">
        <v>44972.395833333336</v>
      </c>
      <c r="V1661" s="1" t="s">
        <v>41</v>
      </c>
      <c r="W1661" s="1" t="s">
        <v>49</v>
      </c>
    </row>
    <row r="1662" spans="1:23" hidden="1">
      <c r="A1662" s="1">
        <v>9490553</v>
      </c>
      <c r="B1662" s="1" t="s">
        <v>1153</v>
      </c>
      <c r="C1662" t="s">
        <v>3550</v>
      </c>
      <c r="D1662" s="2">
        <v>20239134000005</v>
      </c>
      <c r="E1662" s="2">
        <v>7417191546404</v>
      </c>
      <c r="F1662" s="1" t="s">
        <v>2819</v>
      </c>
      <c r="G1662" s="1" t="s">
        <v>53</v>
      </c>
      <c r="H1662" s="1" t="s">
        <v>3551</v>
      </c>
      <c r="I1662" s="1" t="s">
        <v>3552</v>
      </c>
      <c r="J1662" s="1" t="s">
        <v>46</v>
      </c>
      <c r="K1662" t="s">
        <v>2820</v>
      </c>
      <c r="M1662" s="1" t="s">
        <v>58</v>
      </c>
      <c r="N1662" s="1">
        <v>0</v>
      </c>
      <c r="O1662" s="1" t="s">
        <v>105</v>
      </c>
      <c r="P1662" s="186">
        <v>44973.434664351851</v>
      </c>
      <c r="R1662" s="1">
        <v>22</v>
      </c>
      <c r="T1662" s="1" t="s">
        <v>1160</v>
      </c>
      <c r="U1662" s="186">
        <v>44979.642997685187</v>
      </c>
      <c r="V1662" s="1" t="s">
        <v>41</v>
      </c>
      <c r="W1662" s="1" t="s">
        <v>49</v>
      </c>
    </row>
    <row r="1663" spans="1:23" hidden="1">
      <c r="A1663" s="1">
        <v>9490548</v>
      </c>
      <c r="B1663" s="1" t="s">
        <v>1153</v>
      </c>
      <c r="C1663" t="s">
        <v>3553</v>
      </c>
      <c r="D1663" s="2">
        <v>20239134000004</v>
      </c>
      <c r="E1663" s="2">
        <v>7417191546357</v>
      </c>
      <c r="F1663" s="1" t="s">
        <v>2819</v>
      </c>
      <c r="G1663" s="1" t="s">
        <v>53</v>
      </c>
      <c r="H1663" s="1" t="s">
        <v>3551</v>
      </c>
      <c r="I1663" s="1" t="s">
        <v>3552</v>
      </c>
      <c r="J1663" s="1" t="s">
        <v>46</v>
      </c>
      <c r="K1663" t="s">
        <v>2820</v>
      </c>
      <c r="M1663" s="1" t="s">
        <v>58</v>
      </c>
      <c r="N1663" s="1">
        <v>0</v>
      </c>
      <c r="O1663" s="1" t="s">
        <v>105</v>
      </c>
      <c r="P1663" s="186">
        <v>44973.430914351855</v>
      </c>
      <c r="R1663" s="1">
        <v>22</v>
      </c>
      <c r="T1663" s="1" t="s">
        <v>1160</v>
      </c>
      <c r="U1663" s="186">
        <v>44979.639247685183</v>
      </c>
      <c r="V1663" s="1" t="s">
        <v>41</v>
      </c>
      <c r="W1663" s="1" t="s">
        <v>49</v>
      </c>
    </row>
    <row r="1664" spans="1:23" hidden="1">
      <c r="A1664" s="1">
        <v>9490524</v>
      </c>
      <c r="B1664" s="1" t="s">
        <v>1153</v>
      </c>
      <c r="C1664" t="s">
        <v>3554</v>
      </c>
      <c r="D1664" s="2">
        <v>230029937</v>
      </c>
      <c r="E1664" s="2">
        <v>233001400020</v>
      </c>
      <c r="F1664" s="1" t="s">
        <v>1961</v>
      </c>
      <c r="G1664" s="1" t="s">
        <v>53</v>
      </c>
      <c r="H1664" s="1" t="s">
        <v>424</v>
      </c>
      <c r="I1664" s="1" t="s">
        <v>425</v>
      </c>
      <c r="J1664" s="1" t="s">
        <v>261</v>
      </c>
      <c r="K1664" t="s">
        <v>1962</v>
      </c>
      <c r="M1664" s="1" t="s">
        <v>58</v>
      </c>
      <c r="N1664" s="1">
        <v>0</v>
      </c>
      <c r="O1664" s="1" t="s">
        <v>105</v>
      </c>
      <c r="P1664" s="186">
        <v>44973.439074074071</v>
      </c>
      <c r="R1664" s="1">
        <v>4</v>
      </c>
      <c r="T1664" s="1" t="s">
        <v>646</v>
      </c>
      <c r="U1664" s="186">
        <v>44974.459907407407</v>
      </c>
      <c r="V1664" s="1" t="s">
        <v>41</v>
      </c>
      <c r="W1664" s="1" t="s">
        <v>49</v>
      </c>
    </row>
    <row r="1665" spans="1:23" hidden="1">
      <c r="A1665" s="1">
        <v>9490520</v>
      </c>
      <c r="B1665" s="1" t="s">
        <v>1153</v>
      </c>
      <c r="C1665" t="s">
        <v>3555</v>
      </c>
      <c r="D1665" s="2">
        <v>20234804001722</v>
      </c>
      <c r="E1665" s="2">
        <v>7417183020662</v>
      </c>
      <c r="F1665" s="1" t="s">
        <v>1313</v>
      </c>
      <c r="G1665" s="1" t="s">
        <v>53</v>
      </c>
      <c r="H1665" s="1" t="s">
        <v>3556</v>
      </c>
      <c r="I1665" s="1" t="s">
        <v>3557</v>
      </c>
      <c r="J1665" s="1" t="s">
        <v>110</v>
      </c>
      <c r="K1665" t="s">
        <v>1316</v>
      </c>
      <c r="M1665" s="1" t="s">
        <v>58</v>
      </c>
      <c r="N1665" s="1">
        <v>0</v>
      </c>
      <c r="O1665" s="1" t="s">
        <v>105</v>
      </c>
      <c r="P1665" s="186">
        <v>44973.417060185187</v>
      </c>
      <c r="R1665" s="1">
        <v>13</v>
      </c>
      <c r="S1665" s="1">
        <v>4804</v>
      </c>
      <c r="T1665" s="1" t="s">
        <v>238</v>
      </c>
      <c r="U1665" s="186">
        <v>44973.417060185187</v>
      </c>
      <c r="V1665" s="1" t="s">
        <v>41</v>
      </c>
      <c r="W1665" s="1" t="s">
        <v>49</v>
      </c>
    </row>
    <row r="1666" spans="1:23" hidden="1">
      <c r="A1666" s="1">
        <v>9490501</v>
      </c>
      <c r="B1666" s="1" t="s">
        <v>1153</v>
      </c>
      <c r="C1666" t="s">
        <v>3558</v>
      </c>
      <c r="D1666" s="2">
        <v>20230067000020</v>
      </c>
      <c r="E1666" s="2">
        <v>7417161482831</v>
      </c>
      <c r="F1666" s="1" t="s">
        <v>1217</v>
      </c>
      <c r="G1666" s="1" t="s">
        <v>53</v>
      </c>
      <c r="H1666" s="1" t="s">
        <v>2091</v>
      </c>
      <c r="I1666" s="1" t="s">
        <v>2092</v>
      </c>
      <c r="J1666" s="1" t="s">
        <v>164</v>
      </c>
      <c r="K1666" t="s">
        <v>1218</v>
      </c>
      <c r="M1666" s="1" t="s">
        <v>58</v>
      </c>
      <c r="N1666" s="1">
        <v>0</v>
      </c>
      <c r="O1666" s="1" t="s">
        <v>105</v>
      </c>
      <c r="P1666" s="186">
        <v>44973.424004629633</v>
      </c>
      <c r="R1666" s="1">
        <v>14</v>
      </c>
      <c r="T1666" s="1" t="s">
        <v>238</v>
      </c>
      <c r="U1666" s="186">
        <v>44973.424004629633</v>
      </c>
      <c r="V1666" s="1" t="s">
        <v>41</v>
      </c>
      <c r="W1666" s="1" t="s">
        <v>49</v>
      </c>
    </row>
    <row r="1667" spans="1:23" hidden="1">
      <c r="A1667" s="1">
        <v>9490428</v>
      </c>
      <c r="B1667" s="1" t="s">
        <v>1153</v>
      </c>
      <c r="C1667" t="s">
        <v>3559</v>
      </c>
      <c r="D1667" s="2">
        <v>20234844000487</v>
      </c>
      <c r="E1667" s="2">
        <v>7417183020666</v>
      </c>
      <c r="F1667" s="1" t="s">
        <v>1313</v>
      </c>
      <c r="G1667" s="1" t="s">
        <v>53</v>
      </c>
      <c r="H1667" s="1" t="s">
        <v>2333</v>
      </c>
      <c r="I1667" s="1" t="s">
        <v>2334</v>
      </c>
      <c r="J1667" s="1" t="s">
        <v>46</v>
      </c>
      <c r="K1667" t="s">
        <v>1316</v>
      </c>
      <c r="M1667" s="1" t="s">
        <v>58</v>
      </c>
      <c r="N1667" s="1">
        <v>0</v>
      </c>
      <c r="O1667" s="1" t="s">
        <v>105</v>
      </c>
      <c r="P1667" s="186">
        <v>44973.415798611109</v>
      </c>
      <c r="R1667" s="1">
        <v>13</v>
      </c>
      <c r="T1667" s="1" t="s">
        <v>238</v>
      </c>
      <c r="U1667" s="186">
        <v>44973.415798611109</v>
      </c>
      <c r="V1667" s="1" t="s">
        <v>41</v>
      </c>
      <c r="W1667" s="1" t="s">
        <v>49</v>
      </c>
    </row>
    <row r="1668" spans="1:23" hidden="1">
      <c r="A1668" s="1">
        <v>9490427</v>
      </c>
      <c r="B1668" s="1" t="s">
        <v>1153</v>
      </c>
      <c r="C1668" t="s">
        <v>3560</v>
      </c>
      <c r="D1668" s="2">
        <v>20234844000486</v>
      </c>
      <c r="E1668" s="2">
        <v>7419143322481</v>
      </c>
      <c r="F1668" s="1" t="s">
        <v>1222</v>
      </c>
      <c r="G1668" s="1" t="s">
        <v>53</v>
      </c>
      <c r="H1668" s="1" t="s">
        <v>2655</v>
      </c>
      <c r="I1668" s="1" t="s">
        <v>2656</v>
      </c>
      <c r="J1668" s="1" t="s">
        <v>46</v>
      </c>
      <c r="K1668" t="s">
        <v>1223</v>
      </c>
      <c r="M1668" s="1" t="s">
        <v>58</v>
      </c>
      <c r="N1668" s="1">
        <v>0</v>
      </c>
      <c r="O1668" s="1" t="s">
        <v>105</v>
      </c>
      <c r="P1668" s="186">
        <v>44973.411134259259</v>
      </c>
      <c r="R1668" s="1">
        <v>13</v>
      </c>
      <c r="T1668" s="1" t="s">
        <v>238</v>
      </c>
      <c r="U1668" s="186">
        <v>44973.411134259259</v>
      </c>
      <c r="V1668" s="1" t="s">
        <v>41</v>
      </c>
      <c r="W1668" s="1" t="s">
        <v>49</v>
      </c>
    </row>
    <row r="1669" spans="1:23" hidden="1">
      <c r="A1669" s="1">
        <v>9490369</v>
      </c>
      <c r="B1669" s="1" t="s">
        <v>1153</v>
      </c>
      <c r="C1669" t="s">
        <v>3561</v>
      </c>
      <c r="D1669" s="2">
        <v>20231049000002</v>
      </c>
      <c r="E1669" s="2">
        <v>7417193391053</v>
      </c>
      <c r="F1669" s="1" t="s">
        <v>2760</v>
      </c>
      <c r="G1669" s="1" t="s">
        <v>53</v>
      </c>
      <c r="H1669" s="1" t="s">
        <v>169</v>
      </c>
      <c r="I1669" s="1" t="s">
        <v>170</v>
      </c>
      <c r="J1669" s="1" t="s">
        <v>164</v>
      </c>
      <c r="K1669" t="s">
        <v>2761</v>
      </c>
      <c r="M1669" s="1" t="s">
        <v>58</v>
      </c>
      <c r="N1669" s="1">
        <v>0</v>
      </c>
      <c r="O1669" s="1" t="s">
        <v>105</v>
      </c>
      <c r="P1669" s="186">
        <v>44973.403344907405</v>
      </c>
      <c r="R1669" s="1">
        <v>22</v>
      </c>
      <c r="T1669" s="1" t="s">
        <v>1160</v>
      </c>
      <c r="U1669" s="186">
        <v>44979.611678240741</v>
      </c>
      <c r="V1669" s="1" t="s">
        <v>41</v>
      </c>
      <c r="W1669" s="1" t="s">
        <v>49</v>
      </c>
    </row>
    <row r="1670" spans="1:23" hidden="1">
      <c r="A1670" s="1">
        <v>9490318</v>
      </c>
      <c r="B1670" s="1" t="s">
        <v>1153</v>
      </c>
      <c r="C1670" t="s">
        <v>3562</v>
      </c>
      <c r="E1670" s="2">
        <v>3699000206001</v>
      </c>
      <c r="F1670" s="1" t="s">
        <v>29</v>
      </c>
      <c r="G1670" s="1" t="s">
        <v>53</v>
      </c>
      <c r="H1670" s="1" t="s">
        <v>343</v>
      </c>
      <c r="I1670" s="1" t="s">
        <v>344</v>
      </c>
      <c r="J1670" s="1" t="s">
        <v>46</v>
      </c>
      <c r="K1670" t="s">
        <v>34</v>
      </c>
      <c r="M1670" s="1" t="s">
        <v>35</v>
      </c>
      <c r="N1670" s="1">
        <v>42318949</v>
      </c>
      <c r="O1670" s="1" t="s">
        <v>105</v>
      </c>
      <c r="P1670" s="186">
        <v>44973.406944444447</v>
      </c>
      <c r="R1670" s="1" t="s">
        <v>38</v>
      </c>
      <c r="T1670" s="1" t="s">
        <v>74</v>
      </c>
      <c r="U1670" s="186">
        <v>44974.406944444447</v>
      </c>
      <c r="V1670" s="1" t="s">
        <v>41</v>
      </c>
      <c r="W1670" s="1" t="s">
        <v>49</v>
      </c>
    </row>
    <row r="1671" spans="1:23" hidden="1">
      <c r="A1671" s="181">
        <v>9490178</v>
      </c>
      <c r="B1671" s="181" t="s">
        <v>1153</v>
      </c>
      <c r="C1671" s="185" t="s">
        <v>3563</v>
      </c>
      <c r="D1671" s="183">
        <v>20230068000022</v>
      </c>
      <c r="E1671" s="183">
        <v>7417193050628</v>
      </c>
      <c r="F1671" s="181" t="s">
        <v>1719</v>
      </c>
      <c r="G1671" s="181" t="s">
        <v>53</v>
      </c>
      <c r="H1671" s="181" t="s">
        <v>1330</v>
      </c>
      <c r="I1671" s="181" t="s">
        <v>1331</v>
      </c>
      <c r="J1671" s="181" t="s">
        <v>211</v>
      </c>
      <c r="K1671" t="s">
        <v>1720</v>
      </c>
      <c r="M1671" s="1" t="s">
        <v>58</v>
      </c>
      <c r="N1671" s="1">
        <v>0</v>
      </c>
      <c r="O1671" s="1" t="s">
        <v>105</v>
      </c>
      <c r="P1671" s="186">
        <v>44973.382974537039</v>
      </c>
      <c r="R1671" s="1">
        <v>22</v>
      </c>
      <c r="T1671" s="1" t="s">
        <v>1160</v>
      </c>
      <c r="U1671" s="186">
        <v>44979.591307870367</v>
      </c>
      <c r="V1671" s="1" t="s">
        <v>41</v>
      </c>
      <c r="W1671" s="1" t="s">
        <v>49</v>
      </c>
    </row>
    <row r="1672" spans="1:23" hidden="1">
      <c r="A1672" s="1">
        <v>9490143</v>
      </c>
      <c r="B1672" s="1" t="s">
        <v>1153</v>
      </c>
      <c r="C1672" t="s">
        <v>3564</v>
      </c>
      <c r="D1672" s="2">
        <v>230029837</v>
      </c>
      <c r="E1672" s="2">
        <v>3234161400010</v>
      </c>
      <c r="F1672" s="1" t="s">
        <v>936</v>
      </c>
      <c r="G1672" s="1" t="s">
        <v>53</v>
      </c>
      <c r="H1672" s="1" t="s">
        <v>499</v>
      </c>
      <c r="I1672" s="1" t="s">
        <v>500</v>
      </c>
      <c r="J1672" s="1" t="s">
        <v>46</v>
      </c>
      <c r="K1672" t="s">
        <v>937</v>
      </c>
      <c r="M1672" s="1" t="s">
        <v>58</v>
      </c>
      <c r="N1672" s="1">
        <v>0</v>
      </c>
      <c r="O1672" s="1" t="s">
        <v>105</v>
      </c>
      <c r="P1672" s="186">
        <v>44973.384722222225</v>
      </c>
      <c r="R1672" s="1">
        <v>3</v>
      </c>
      <c r="T1672" s="1" t="s">
        <v>646</v>
      </c>
      <c r="U1672" s="186">
        <v>44973.738888888889</v>
      </c>
      <c r="V1672" s="1" t="s">
        <v>41</v>
      </c>
      <c r="W1672" s="1" t="s">
        <v>49</v>
      </c>
    </row>
    <row r="1673" spans="1:23" hidden="1">
      <c r="A1673" s="1">
        <v>9490113</v>
      </c>
      <c r="B1673" s="1" t="s">
        <v>1153</v>
      </c>
      <c r="C1673" t="s">
        <v>3565</v>
      </c>
      <c r="D1673" s="2">
        <v>20232239000008</v>
      </c>
      <c r="E1673" s="2">
        <v>7417183024313</v>
      </c>
      <c r="F1673" s="1" t="s">
        <v>1313</v>
      </c>
      <c r="G1673" s="1" t="s">
        <v>53</v>
      </c>
      <c r="H1673" s="1" t="s">
        <v>2838</v>
      </c>
      <c r="I1673" s="1" t="s">
        <v>2839</v>
      </c>
      <c r="J1673" s="1" t="s">
        <v>261</v>
      </c>
      <c r="K1673" t="s">
        <v>1316</v>
      </c>
      <c r="M1673" s="1" t="s">
        <v>58</v>
      </c>
      <c r="N1673" s="1">
        <v>0</v>
      </c>
      <c r="O1673" s="1" t="s">
        <v>105</v>
      </c>
      <c r="P1673" s="186">
        <v>44973.363067129627</v>
      </c>
      <c r="R1673" s="1">
        <v>14</v>
      </c>
      <c r="T1673" s="1" t="s">
        <v>238</v>
      </c>
      <c r="U1673" s="186">
        <v>44973.395833333336</v>
      </c>
      <c r="V1673" s="1" t="s">
        <v>41</v>
      </c>
      <c r="W1673" s="1" t="s">
        <v>49</v>
      </c>
    </row>
    <row r="1674" spans="1:23" hidden="1">
      <c r="A1674" s="1">
        <v>9490112</v>
      </c>
      <c r="B1674" s="1" t="s">
        <v>1153</v>
      </c>
      <c r="C1674" t="s">
        <v>3566</v>
      </c>
      <c r="D1674" s="2">
        <v>20239134000003</v>
      </c>
      <c r="E1674" s="2">
        <v>7417191546372</v>
      </c>
      <c r="F1674" s="1" t="s">
        <v>2819</v>
      </c>
      <c r="G1674" s="1" t="s">
        <v>53</v>
      </c>
      <c r="H1674" s="1" t="s">
        <v>3551</v>
      </c>
      <c r="I1674" s="1" t="s">
        <v>3552</v>
      </c>
      <c r="J1674" s="1" t="s">
        <v>46</v>
      </c>
      <c r="K1674" t="s">
        <v>2820</v>
      </c>
      <c r="M1674" s="1" t="s">
        <v>58</v>
      </c>
      <c r="N1674" s="1">
        <v>0</v>
      </c>
      <c r="O1674" s="1" t="s">
        <v>105</v>
      </c>
      <c r="P1674" s="186">
        <v>44973.372129629628</v>
      </c>
      <c r="R1674" s="1">
        <v>22</v>
      </c>
      <c r="T1674" s="1" t="s">
        <v>1160</v>
      </c>
      <c r="U1674" s="186">
        <v>44979.583333333336</v>
      </c>
      <c r="V1674" s="1" t="s">
        <v>41</v>
      </c>
      <c r="W1674" s="1" t="s">
        <v>49</v>
      </c>
    </row>
    <row r="1675" spans="1:23" hidden="1">
      <c r="A1675" s="173">
        <v>9490075</v>
      </c>
      <c r="B1675" s="173" t="s">
        <v>1153</v>
      </c>
      <c r="C1675" s="178" t="s">
        <v>3567</v>
      </c>
      <c r="D1675" s="174"/>
      <c r="E1675" s="174">
        <v>1059000206001</v>
      </c>
      <c r="F1675" s="173" t="s">
        <v>29</v>
      </c>
      <c r="G1675" s="173" t="s">
        <v>53</v>
      </c>
      <c r="H1675" s="173" t="s">
        <v>88</v>
      </c>
      <c r="I1675" s="173" t="s">
        <v>89</v>
      </c>
      <c r="J1675" s="173" t="s">
        <v>90</v>
      </c>
      <c r="K1675" t="s">
        <v>34</v>
      </c>
      <c r="M1675" s="1" t="s">
        <v>35</v>
      </c>
      <c r="N1675" s="1">
        <v>42318949</v>
      </c>
      <c r="O1675" s="1" t="s">
        <v>36</v>
      </c>
      <c r="P1675" s="186">
        <v>44973.375358796293</v>
      </c>
      <c r="R1675" s="1" t="s">
        <v>38</v>
      </c>
      <c r="T1675" s="1" t="s">
        <v>74</v>
      </c>
      <c r="U1675" s="186">
        <v>44980.417025462964</v>
      </c>
      <c r="V1675" s="1" t="s">
        <v>41</v>
      </c>
      <c r="W1675" s="1" t="s">
        <v>49</v>
      </c>
    </row>
    <row r="1676" spans="1:23" hidden="1">
      <c r="A1676" s="1">
        <v>9489999</v>
      </c>
      <c r="B1676" s="1" t="s">
        <v>1153</v>
      </c>
      <c r="C1676" t="s">
        <v>3568</v>
      </c>
      <c r="E1676" s="2">
        <v>2081000206001</v>
      </c>
      <c r="F1676" s="1" t="s">
        <v>29</v>
      </c>
      <c r="G1676" s="1" t="s">
        <v>53</v>
      </c>
      <c r="H1676" s="1" t="s">
        <v>590</v>
      </c>
      <c r="I1676" s="1" t="s">
        <v>591</v>
      </c>
      <c r="J1676" s="1" t="s">
        <v>261</v>
      </c>
      <c r="K1676" t="s">
        <v>34</v>
      </c>
      <c r="M1676" s="1" t="s">
        <v>35</v>
      </c>
      <c r="N1676" s="1">
        <v>42318949</v>
      </c>
      <c r="O1676" s="1" t="s">
        <v>36</v>
      </c>
      <c r="P1676" s="186">
        <v>44973.364872685182</v>
      </c>
      <c r="R1676" s="1" t="s">
        <v>38</v>
      </c>
      <c r="T1676" s="1" t="s">
        <v>74</v>
      </c>
      <c r="U1676" s="186">
        <v>44973.739872685182</v>
      </c>
      <c r="V1676" s="1" t="s">
        <v>41</v>
      </c>
      <c r="W1676" s="1" t="s">
        <v>49</v>
      </c>
    </row>
    <row r="1677" spans="1:23" hidden="1">
      <c r="A1677" s="181">
        <v>9489928</v>
      </c>
      <c r="B1677" s="181" t="s">
        <v>1153</v>
      </c>
      <c r="C1677" s="185" t="s">
        <v>3569</v>
      </c>
      <c r="D1677" s="183"/>
      <c r="E1677" s="183">
        <v>1902016242200</v>
      </c>
      <c r="F1677" s="181" t="s">
        <v>64</v>
      </c>
      <c r="G1677" s="181" t="s">
        <v>53</v>
      </c>
      <c r="H1677" s="181" t="s">
        <v>1844</v>
      </c>
      <c r="I1677" s="181" t="s">
        <v>1845</v>
      </c>
      <c r="J1677" s="181" t="s">
        <v>211</v>
      </c>
      <c r="K1677" t="s">
        <v>67</v>
      </c>
      <c r="M1677" s="1" t="s">
        <v>35</v>
      </c>
      <c r="N1677" s="1">
        <v>42318949</v>
      </c>
      <c r="O1677" s="1" t="s">
        <v>105</v>
      </c>
      <c r="P1677" s="186">
        <v>44973.352488425924</v>
      </c>
      <c r="R1677" s="1" t="s">
        <v>571</v>
      </c>
      <c r="T1677" s="1" t="s">
        <v>69</v>
      </c>
      <c r="U1677" s="186">
        <v>44974.75</v>
      </c>
      <c r="V1677" s="1" t="s">
        <v>41</v>
      </c>
      <c r="W1677" s="1" t="s">
        <v>49</v>
      </c>
    </row>
    <row r="1678" spans="1:23" hidden="1">
      <c r="A1678" s="1">
        <v>9489906</v>
      </c>
      <c r="B1678" s="1" t="s">
        <v>1153</v>
      </c>
      <c r="C1678" t="s">
        <v>3570</v>
      </c>
      <c r="D1678" s="2">
        <v>20234804001713</v>
      </c>
      <c r="E1678" s="2">
        <v>7417202020459</v>
      </c>
      <c r="F1678" s="1" t="s">
        <v>1213</v>
      </c>
      <c r="G1678" s="1" t="s">
        <v>53</v>
      </c>
      <c r="H1678" s="1" t="s">
        <v>3571</v>
      </c>
      <c r="I1678" s="1" t="s">
        <v>3572</v>
      </c>
      <c r="J1678" s="1" t="s">
        <v>46</v>
      </c>
      <c r="K1678" t="s">
        <v>1214</v>
      </c>
      <c r="M1678" s="1" t="s">
        <v>58</v>
      </c>
      <c r="N1678" s="1">
        <v>0</v>
      </c>
      <c r="O1678" s="1" t="s">
        <v>105</v>
      </c>
      <c r="P1678" s="186">
        <v>44973.339675925927</v>
      </c>
      <c r="R1678" s="1">
        <v>13</v>
      </c>
      <c r="S1678" s="1">
        <v>4804</v>
      </c>
      <c r="T1678" s="1" t="s">
        <v>238</v>
      </c>
      <c r="U1678" s="186">
        <v>44973.395833333336</v>
      </c>
      <c r="V1678" s="1" t="s">
        <v>41</v>
      </c>
      <c r="W1678" s="1" t="s">
        <v>49</v>
      </c>
    </row>
  </sheetData>
  <autoFilter ref="A1:Y1678" xr:uid="{00000000-0009-0000-0000-000009000000}">
    <filterColumn colId="1">
      <filters>
        <filter val="Manutenção Corretiva"/>
      </filters>
    </filterColumn>
    <filterColumn colId="9">
      <filters>
        <filter val="TR-SERRA TALHADA"/>
      </filters>
    </filterColumn>
  </autoFilter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0B579-5210-47AF-B4BE-6F04BEF221F2}">
  <sheetPr filterMode="1"/>
  <dimension ref="A1:AH1677"/>
  <sheetViews>
    <sheetView zoomScale="90" zoomScaleNormal="90" workbookViewId="0">
      <pane xSplit="10" ySplit="1" topLeftCell="K1546" activePane="bottomRight" state="frozen"/>
      <selection pane="bottomRight" activeCell="A1579" sqref="A1579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76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 hidden="1">
      <c r="A2" s="1">
        <v>178166</v>
      </c>
      <c r="B2" s="1" t="s">
        <v>27</v>
      </c>
      <c r="C2" t="s">
        <v>28</v>
      </c>
      <c r="E2" s="2">
        <v>9661000000000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t="s">
        <v>34</v>
      </c>
      <c r="M2" s="1" t="s">
        <v>35</v>
      </c>
      <c r="N2" s="1">
        <v>42318949</v>
      </c>
      <c r="O2" s="1" t="s">
        <v>36</v>
      </c>
      <c r="P2" s="186">
        <v>43502.491805555554</v>
      </c>
      <c r="R2" s="1" t="s">
        <v>38</v>
      </c>
      <c r="T2" s="1" t="s">
        <v>39</v>
      </c>
      <c r="U2" s="186">
        <v>43559.75</v>
      </c>
      <c r="V2" s="1" t="s">
        <v>41</v>
      </c>
      <c r="W2" s="1" t="s">
        <v>42</v>
      </c>
      <c r="X2" s="13" t="str">
        <f>IF(RIGHT(H2,2)&lt;&gt;"00",H2,"")</f>
        <v/>
      </c>
      <c r="Y2" s="2">
        <f ca="1">NETWORKDAYS(P2,$Y$1)</f>
        <v>1061</v>
      </c>
      <c r="Z2" s="14">
        <v>1</v>
      </c>
      <c r="AA2" s="1" t="str">
        <f t="shared" ref="AA2:AA65" ca="1" si="0">IF(AE2=0,"HOJE",IF(AE2&gt;0,"A VENCER",IF(AE2&lt;0,"VENCIDO")))</f>
        <v>VENCIDO</v>
      </c>
      <c r="AB2" s="1" t="str">
        <f t="shared" ref="AB2:AB65" si="1">IF(F2="GRPE-000001","C-14",IF(F2="GRPE-000002","C-14",IF(F2="GRPE-000003","C-14",IF(F2="GRPE-000004","SL-On",IF(F2="GRPE-000038","C-14",IF(F2="GRPE-900022","Dosa",IF(F2="GRPE-000029","Dosa",IF(F2="ATOS-000222","Dose","TAAe+"))))))))</f>
        <v>Dosa</v>
      </c>
      <c r="AC2" s="2" t="str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 xml:space="preserve"> ROSEMERE </v>
      </c>
      <c r="AD2" s="2">
        <f t="shared" ref="AD2:AD65" si="2">IF(F2="GRPE-000001",5,IF(F2="GRPE-000002",5,IF(F2="GRPE-000003",15,IF(F2="GRPE-000004",1,IF(F2="GRPE-000038",5,IF(F2="GRPE-900022",5,IF(F2="GRPE-000029",5,IF(F2="ATOS-000222",5,8))))))))</f>
        <v>5</v>
      </c>
      <c r="AE2" s="2">
        <f t="shared" ref="AE2:AE65" ca="1" si="3">IF(U2=$AE$1,"",U2-$AE$1)</f>
        <v>-1426.9262716435187</v>
      </c>
      <c r="AF2" s="15"/>
      <c r="AH2" s="16"/>
    </row>
    <row r="3" spans="1:34" hidden="1">
      <c r="A3" s="1">
        <v>524537</v>
      </c>
      <c r="B3" s="1" t="s">
        <v>27</v>
      </c>
      <c r="C3" t="s">
        <v>43</v>
      </c>
      <c r="E3" s="2">
        <v>2811000000000</v>
      </c>
      <c r="F3" s="1" t="s">
        <v>29</v>
      </c>
      <c r="G3" s="1" t="s">
        <v>30</v>
      </c>
      <c r="H3" s="1" t="s">
        <v>44</v>
      </c>
      <c r="I3" s="1" t="s">
        <v>45</v>
      </c>
      <c r="J3" s="1" t="s">
        <v>46</v>
      </c>
      <c r="K3" t="s">
        <v>34</v>
      </c>
      <c r="M3" s="1" t="s">
        <v>35</v>
      </c>
      <c r="N3" s="1">
        <v>42318949</v>
      </c>
      <c r="O3" s="1" t="s">
        <v>36</v>
      </c>
      <c r="P3" s="186">
        <v>43735.670127314814</v>
      </c>
      <c r="R3" s="1" t="s">
        <v>38</v>
      </c>
      <c r="T3" s="1" t="s">
        <v>39</v>
      </c>
      <c r="U3" s="186">
        <v>43791.75</v>
      </c>
      <c r="V3" s="1" t="s">
        <v>41</v>
      </c>
      <c r="W3" s="1" t="s">
        <v>49</v>
      </c>
      <c r="X3" s="13" t="str">
        <f>IF(RIGHT(H3,2)&lt;&gt;"00",H3,"")</f>
        <v/>
      </c>
      <c r="Y3" s="2">
        <f ca="1">NETWORKDAYS(P3,$Y$1)</f>
        <v>894</v>
      </c>
      <c r="Z3" s="14">
        <v>1</v>
      </c>
      <c r="AA3" s="1" t="str">
        <f t="shared" ca="1" si="0"/>
        <v>VENCIDO</v>
      </c>
      <c r="AB3" s="1" t="str">
        <f t="shared" si="1"/>
        <v>Dosa</v>
      </c>
      <c r="AC3" s="2" t="str">
        <f t="shared" ref="AC3:AC66" si="4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 xml:space="preserve"> CLEITON </v>
      </c>
      <c r="AD3" s="2">
        <f t="shared" si="2"/>
        <v>5</v>
      </c>
      <c r="AE3" s="2">
        <f t="shared" ca="1" si="3"/>
        <v>-1194.9262716435187</v>
      </c>
      <c r="AF3" s="15"/>
      <c r="AH3" s="17"/>
    </row>
    <row r="4" spans="1:34" hidden="1">
      <c r="A4" s="1">
        <v>526434</v>
      </c>
      <c r="B4" s="1" t="s">
        <v>50</v>
      </c>
      <c r="C4" t="s">
        <v>51</v>
      </c>
      <c r="E4" s="2">
        <v>7419152172059</v>
      </c>
      <c r="F4" s="1" t="s">
        <v>52</v>
      </c>
      <c r="G4" s="1" t="s">
        <v>53</v>
      </c>
      <c r="H4" s="1" t="s">
        <v>54</v>
      </c>
      <c r="I4" s="1" t="s">
        <v>55</v>
      </c>
      <c r="J4" s="1" t="s">
        <v>56</v>
      </c>
      <c r="K4" t="s">
        <v>57</v>
      </c>
      <c r="M4" s="1" t="s">
        <v>58</v>
      </c>
      <c r="N4" s="1">
        <v>0</v>
      </c>
      <c r="O4" s="1" t="s">
        <v>36</v>
      </c>
      <c r="P4" s="186">
        <v>43738.513159722221</v>
      </c>
      <c r="R4" s="1">
        <v>9</v>
      </c>
      <c r="T4" s="1" t="s">
        <v>60</v>
      </c>
      <c r="U4" s="186">
        <v>43747.999305555553</v>
      </c>
      <c r="V4" s="1" t="s">
        <v>41</v>
      </c>
      <c r="W4" s="1" t="s">
        <v>49</v>
      </c>
      <c r="X4" s="13" t="str">
        <f>IF(RIGHT(H4,2)&lt;&gt;"00",H4,"")</f>
        <v>1761.91</v>
      </c>
      <c r="Y4" s="2">
        <f ca="1">NETWORKDAYS(P4,$Y$1)</f>
        <v>893</v>
      </c>
      <c r="Z4" s="14">
        <v>1</v>
      </c>
      <c r="AA4" s="1" t="str">
        <f t="shared" ca="1" si="0"/>
        <v>VENCIDO</v>
      </c>
      <c r="AB4" s="1" t="str">
        <f t="shared" si="1"/>
        <v>TAAe+</v>
      </c>
      <c r="AC4" s="2" t="str">
        <f t="shared" si="4"/>
        <v xml:space="preserve"> CRISTINA </v>
      </c>
      <c r="AD4" s="2">
        <f t="shared" si="2"/>
        <v>8</v>
      </c>
      <c r="AE4" s="2">
        <f t="shared" ca="1" si="3"/>
        <v>-1238.6769660879654</v>
      </c>
      <c r="AF4" s="15"/>
      <c r="AH4" s="16"/>
    </row>
    <row r="5" spans="1:34" hidden="1">
      <c r="A5" s="1">
        <v>811950</v>
      </c>
      <c r="B5" s="1" t="s">
        <v>62</v>
      </c>
      <c r="C5" t="s">
        <v>63</v>
      </c>
      <c r="E5" s="2">
        <v>1902016069700</v>
      </c>
      <c r="F5" s="1" t="s">
        <v>64</v>
      </c>
      <c r="G5" s="1" t="s">
        <v>53</v>
      </c>
      <c r="H5" s="1" t="s">
        <v>65</v>
      </c>
      <c r="I5" s="1" t="s">
        <v>66</v>
      </c>
      <c r="J5" s="1" t="s">
        <v>46</v>
      </c>
      <c r="K5" t="s">
        <v>67</v>
      </c>
      <c r="M5" s="1" t="s">
        <v>35</v>
      </c>
      <c r="N5" s="1">
        <v>42318949</v>
      </c>
      <c r="O5" s="1" t="s">
        <v>36</v>
      </c>
      <c r="P5" s="186">
        <v>43948.700069444443</v>
      </c>
      <c r="R5" s="1">
        <v>1</v>
      </c>
      <c r="T5" s="1" t="s">
        <v>69</v>
      </c>
      <c r="V5" s="1" t="s">
        <v>41</v>
      </c>
      <c r="W5" s="1" t="s">
        <v>49</v>
      </c>
      <c r="X5" s="13" t="str">
        <f>IF(RIGHT(H5,2)&lt;&gt;"00",H5,"")</f>
        <v/>
      </c>
      <c r="Y5" s="2">
        <f ca="1">NETWORKDAYS(P5,$Y$1)</f>
        <v>743</v>
      </c>
      <c r="Z5" s="14">
        <v>1</v>
      </c>
      <c r="AA5" s="1" t="str">
        <f t="shared" ca="1" si="0"/>
        <v>VENCIDO</v>
      </c>
      <c r="AB5" s="1" t="str">
        <f t="shared" si="1"/>
        <v>TAAe+</v>
      </c>
      <c r="AC5" s="2" t="str">
        <f t="shared" si="4"/>
        <v xml:space="preserve"> CLEITON </v>
      </c>
      <c r="AD5" s="2">
        <f t="shared" si="2"/>
        <v>8</v>
      </c>
      <c r="AE5" s="2">
        <f t="shared" ca="1" si="3"/>
        <v>-44986.676271643519</v>
      </c>
      <c r="AF5" s="15"/>
      <c r="AH5" s="16"/>
    </row>
    <row r="6" spans="1:34" hidden="1">
      <c r="A6" s="1">
        <v>937455</v>
      </c>
      <c r="B6" s="1" t="s">
        <v>27</v>
      </c>
      <c r="C6" t="s">
        <v>70</v>
      </c>
      <c r="E6" s="2">
        <v>4118000206001</v>
      </c>
      <c r="F6" s="1" t="s">
        <v>29</v>
      </c>
      <c r="G6" s="1" t="s">
        <v>53</v>
      </c>
      <c r="H6" s="1" t="s">
        <v>71</v>
      </c>
      <c r="I6" s="1" t="s">
        <v>72</v>
      </c>
      <c r="J6" s="1" t="s">
        <v>46</v>
      </c>
      <c r="K6" t="s">
        <v>34</v>
      </c>
      <c r="M6" s="1" t="s">
        <v>35</v>
      </c>
      <c r="N6" s="1">
        <v>42318949</v>
      </c>
      <c r="O6" s="1" t="s">
        <v>36</v>
      </c>
      <c r="P6" s="186">
        <v>44040.421030092592</v>
      </c>
      <c r="R6" s="1" t="s">
        <v>38</v>
      </c>
      <c r="T6" s="1" t="s">
        <v>74</v>
      </c>
      <c r="U6" s="186">
        <v>44040.75</v>
      </c>
      <c r="V6" s="1" t="s">
        <v>41</v>
      </c>
      <c r="W6" s="1" t="s">
        <v>49</v>
      </c>
      <c r="X6" s="13" t="str">
        <f>IF(RIGHT(H6,2)&lt;&gt;"00",H6,"")</f>
        <v/>
      </c>
      <c r="Y6" s="2">
        <f ca="1">NETWORKDAYS(P6,$Y$1)</f>
        <v>677</v>
      </c>
      <c r="Z6" s="14">
        <v>1</v>
      </c>
      <c r="AA6" s="1" t="str">
        <f t="shared" ca="1" si="0"/>
        <v>VENCIDO</v>
      </c>
      <c r="AB6" s="1" t="str">
        <f t="shared" si="1"/>
        <v>Dosa</v>
      </c>
      <c r="AC6" s="2" t="str">
        <f t="shared" si="4"/>
        <v xml:space="preserve"> CLEITON </v>
      </c>
      <c r="AD6" s="2">
        <f t="shared" si="2"/>
        <v>5</v>
      </c>
      <c r="AE6" s="2">
        <f t="shared" ca="1" si="3"/>
        <v>-945.9262716435187</v>
      </c>
      <c r="AF6" s="15"/>
      <c r="AH6" s="16"/>
    </row>
    <row r="7" spans="1:34" hidden="1">
      <c r="A7" s="1">
        <v>937269</v>
      </c>
      <c r="B7" s="1" t="s">
        <v>27</v>
      </c>
      <c r="C7" t="s">
        <v>76</v>
      </c>
      <c r="E7" s="2">
        <v>711000206001</v>
      </c>
      <c r="F7" s="1" t="s">
        <v>29</v>
      </c>
      <c r="G7" s="1" t="s">
        <v>53</v>
      </c>
      <c r="H7" s="1" t="s">
        <v>77</v>
      </c>
      <c r="I7" s="1" t="s">
        <v>78</v>
      </c>
      <c r="J7" s="1" t="s">
        <v>79</v>
      </c>
      <c r="K7" t="s">
        <v>34</v>
      </c>
      <c r="M7" s="1" t="s">
        <v>35</v>
      </c>
      <c r="N7" s="1">
        <v>42318949</v>
      </c>
      <c r="O7" s="1" t="s">
        <v>36</v>
      </c>
      <c r="P7" s="186">
        <v>44040.420752314814</v>
      </c>
      <c r="R7" s="1" t="s">
        <v>38</v>
      </c>
      <c r="T7" s="1" t="s">
        <v>74</v>
      </c>
      <c r="U7" s="186">
        <v>44040.75</v>
      </c>
      <c r="V7" s="1" t="s">
        <v>41</v>
      </c>
      <c r="W7" s="1" t="s">
        <v>49</v>
      </c>
      <c r="X7" s="13" t="str">
        <f>IF(RIGHT(H7,2)&lt;&gt;"00",H7,"")</f>
        <v/>
      </c>
      <c r="Y7" s="2">
        <f ca="1">NETWORKDAYS(P7,$Y$1)</f>
        <v>677</v>
      </c>
      <c r="Z7" s="14">
        <v>1</v>
      </c>
      <c r="AA7" s="1" t="str">
        <f t="shared" ca="1" si="0"/>
        <v>VENCIDO</v>
      </c>
      <c r="AB7" s="1" t="str">
        <f t="shared" si="1"/>
        <v>Dosa</v>
      </c>
      <c r="AC7" s="2" t="str">
        <f t="shared" si="4"/>
        <v xml:space="preserve"> ROSEMERE </v>
      </c>
      <c r="AD7" s="2">
        <f t="shared" si="2"/>
        <v>5</v>
      </c>
      <c r="AE7" s="2">
        <f t="shared" ca="1" si="3"/>
        <v>-945.9262716435187</v>
      </c>
      <c r="AF7" s="15"/>
      <c r="AH7" s="16"/>
    </row>
    <row r="8" spans="1:34" hidden="1">
      <c r="A8" s="1">
        <v>945945</v>
      </c>
      <c r="B8" s="1" t="s">
        <v>81</v>
      </c>
      <c r="C8" t="s">
        <v>82</v>
      </c>
      <c r="E8" s="2">
        <v>917000206001</v>
      </c>
      <c r="F8" s="1" t="s">
        <v>29</v>
      </c>
      <c r="G8" s="1" t="s">
        <v>53</v>
      </c>
      <c r="H8" s="1" t="s">
        <v>83</v>
      </c>
      <c r="I8" s="1" t="s">
        <v>84</v>
      </c>
      <c r="J8" s="1" t="s">
        <v>85</v>
      </c>
      <c r="K8" t="s">
        <v>34</v>
      </c>
      <c r="M8" s="1" t="s">
        <v>35</v>
      </c>
      <c r="N8" s="1">
        <v>42318949</v>
      </c>
      <c r="O8" s="1" t="s">
        <v>36</v>
      </c>
      <c r="P8" s="186">
        <v>44047.485810185186</v>
      </c>
      <c r="R8" s="1" t="s">
        <v>38</v>
      </c>
      <c r="T8" s="1" t="s">
        <v>74</v>
      </c>
      <c r="V8" s="1" t="s">
        <v>41</v>
      </c>
      <c r="W8" s="1" t="s">
        <v>49</v>
      </c>
      <c r="X8" s="13" t="str">
        <f>IF(RIGHT(H8,2)&lt;&gt;"00",H8,"")</f>
        <v/>
      </c>
      <c r="Y8" s="2">
        <f ca="1">NETWORKDAYS(P8,$Y$1)</f>
        <v>672</v>
      </c>
      <c r="Z8" s="14">
        <v>1</v>
      </c>
      <c r="AA8" s="1" t="str">
        <f t="shared" ca="1" si="0"/>
        <v>VENCIDO</v>
      </c>
      <c r="AB8" s="1" t="str">
        <f t="shared" si="1"/>
        <v>Dosa</v>
      </c>
      <c r="AC8" s="2" t="str">
        <f t="shared" si="4"/>
        <v xml:space="preserve"> RINALDO </v>
      </c>
      <c r="AD8" s="2">
        <f t="shared" si="2"/>
        <v>5</v>
      </c>
      <c r="AE8" s="2">
        <f t="shared" ca="1" si="3"/>
        <v>-44986.676271643519</v>
      </c>
      <c r="AF8" s="15"/>
      <c r="AH8" s="16"/>
    </row>
    <row r="9" spans="1:34" hidden="1">
      <c r="A9" s="1">
        <v>1007606</v>
      </c>
      <c r="B9" s="1" t="s">
        <v>62</v>
      </c>
      <c r="C9" t="s">
        <v>87</v>
      </c>
      <c r="E9" s="2">
        <v>1059000206001</v>
      </c>
      <c r="F9" s="1" t="s">
        <v>29</v>
      </c>
      <c r="G9" s="1" t="s">
        <v>53</v>
      </c>
      <c r="H9" s="1" t="s">
        <v>88</v>
      </c>
      <c r="I9" s="1" t="s">
        <v>89</v>
      </c>
      <c r="J9" s="1" t="s">
        <v>90</v>
      </c>
      <c r="K9" t="s">
        <v>34</v>
      </c>
      <c r="M9" s="1" t="s">
        <v>35</v>
      </c>
      <c r="N9" s="1">
        <v>42318949</v>
      </c>
      <c r="O9" s="1" t="s">
        <v>36</v>
      </c>
      <c r="P9" s="186">
        <v>44099.640405092592</v>
      </c>
      <c r="R9" s="1" t="s">
        <v>38</v>
      </c>
      <c r="T9" s="1" t="s">
        <v>74</v>
      </c>
      <c r="U9" s="186">
        <v>44144.75</v>
      </c>
      <c r="V9" s="1" t="s">
        <v>41</v>
      </c>
      <c r="W9" s="1" t="s">
        <v>49</v>
      </c>
      <c r="X9" s="13" t="str">
        <f>IF(RIGHT(H9,2)&lt;&gt;"00",H9,"")</f>
        <v/>
      </c>
      <c r="Y9" s="2">
        <f ca="1">NETWORKDAYS(P9,$Y$1)</f>
        <v>634</v>
      </c>
      <c r="Z9" s="14">
        <v>1</v>
      </c>
      <c r="AA9" s="1" t="str">
        <f t="shared" ca="1" si="0"/>
        <v>VENCIDO</v>
      </c>
      <c r="AB9" s="1" t="str">
        <f t="shared" si="1"/>
        <v>Dosa</v>
      </c>
      <c r="AC9" s="2" t="str">
        <f t="shared" si="4"/>
        <v xml:space="preserve"> RINALDO </v>
      </c>
      <c r="AD9" s="2">
        <f t="shared" si="2"/>
        <v>5</v>
      </c>
      <c r="AE9" s="2">
        <f t="shared" ca="1" si="3"/>
        <v>-841.9262716435187</v>
      </c>
      <c r="AF9" s="15"/>
      <c r="AH9" s="16"/>
    </row>
    <row r="10" spans="1:34" hidden="1">
      <c r="A10" s="1">
        <v>1739574</v>
      </c>
      <c r="B10" s="1" t="s">
        <v>62</v>
      </c>
      <c r="C10" t="s">
        <v>93</v>
      </c>
      <c r="E10" s="2">
        <v>9661000206001</v>
      </c>
      <c r="F10" s="1" t="s">
        <v>29</v>
      </c>
      <c r="G10" s="1" t="s">
        <v>53</v>
      </c>
      <c r="H10" s="1" t="s">
        <v>31</v>
      </c>
      <c r="I10" s="1" t="s">
        <v>32</v>
      </c>
      <c r="J10" s="1" t="s">
        <v>33</v>
      </c>
      <c r="K10" t="s">
        <v>34</v>
      </c>
      <c r="M10" s="1" t="s">
        <v>35</v>
      </c>
      <c r="N10" s="1">
        <v>42318949</v>
      </c>
      <c r="O10" s="1" t="s">
        <v>36</v>
      </c>
      <c r="P10" s="186">
        <v>44160.784016203703</v>
      </c>
      <c r="R10" s="1" t="s">
        <v>38</v>
      </c>
      <c r="T10" s="1" t="s">
        <v>74</v>
      </c>
      <c r="U10" s="186">
        <v>44204.75</v>
      </c>
      <c r="V10" s="1" t="s">
        <v>41</v>
      </c>
      <c r="W10" s="1" t="s">
        <v>42</v>
      </c>
      <c r="X10" s="13" t="str">
        <f>IF(RIGHT(H10,2)&lt;&gt;"00",H10,"")</f>
        <v/>
      </c>
      <c r="Y10" s="2">
        <f ca="1">NETWORKDAYS(P10,$Y$1)</f>
        <v>591</v>
      </c>
      <c r="Z10" s="14">
        <v>1</v>
      </c>
      <c r="AA10" s="1" t="str">
        <f t="shared" ca="1" si="0"/>
        <v>VENCIDO</v>
      </c>
      <c r="AB10" s="1" t="str">
        <f t="shared" si="1"/>
        <v>Dosa</v>
      </c>
      <c r="AC10" s="2" t="str">
        <f t="shared" si="4"/>
        <v xml:space="preserve"> ROSEMERE </v>
      </c>
      <c r="AD10" s="2">
        <f t="shared" si="2"/>
        <v>5</v>
      </c>
      <c r="AE10" s="2">
        <f t="shared" ca="1" si="3"/>
        <v>-781.9262716435187</v>
      </c>
      <c r="AF10" s="15"/>
    </row>
    <row r="11" spans="1:34" hidden="1">
      <c r="A11" s="1">
        <v>1769469</v>
      </c>
      <c r="B11" s="1" t="s">
        <v>62</v>
      </c>
      <c r="C11" t="s">
        <v>96</v>
      </c>
      <c r="E11" s="2">
        <v>9661000206001</v>
      </c>
      <c r="F11" s="1" t="s">
        <v>29</v>
      </c>
      <c r="G11" s="1" t="s">
        <v>53</v>
      </c>
      <c r="H11" s="1" t="s">
        <v>31</v>
      </c>
      <c r="I11" s="1" t="s">
        <v>32</v>
      </c>
      <c r="J11" s="1" t="s">
        <v>33</v>
      </c>
      <c r="K11" t="s">
        <v>34</v>
      </c>
      <c r="M11" s="1" t="s">
        <v>35</v>
      </c>
      <c r="N11" s="1">
        <v>42318949</v>
      </c>
      <c r="O11" s="1" t="s">
        <v>36</v>
      </c>
      <c r="P11" s="186">
        <v>44162.733298611114</v>
      </c>
      <c r="R11" s="1" t="s">
        <v>38</v>
      </c>
      <c r="T11" s="1" t="s">
        <v>74</v>
      </c>
      <c r="U11" s="186">
        <v>44208.75</v>
      </c>
      <c r="V11" s="1" t="s">
        <v>41</v>
      </c>
      <c r="W11" s="1" t="s">
        <v>42</v>
      </c>
      <c r="X11" s="13" t="str">
        <f>IF(RIGHT(H11,2)&lt;&gt;"00",H11,"")</f>
        <v/>
      </c>
      <c r="Y11" s="2">
        <f ca="1">NETWORKDAYS(P11,$Y$1)</f>
        <v>589</v>
      </c>
      <c r="Z11" s="14">
        <v>1</v>
      </c>
      <c r="AA11" s="1" t="str">
        <f t="shared" ca="1" si="0"/>
        <v>VENCIDO</v>
      </c>
      <c r="AB11" s="1" t="str">
        <f t="shared" si="1"/>
        <v>Dosa</v>
      </c>
      <c r="AC11" s="2" t="str">
        <f t="shared" si="4"/>
        <v xml:space="preserve"> ROSEMERE </v>
      </c>
      <c r="AD11" s="2">
        <f t="shared" si="2"/>
        <v>5</v>
      </c>
      <c r="AE11" s="2">
        <f t="shared" ca="1" si="3"/>
        <v>-777.9262716435187</v>
      </c>
      <c r="AF11" s="15"/>
    </row>
    <row r="12" spans="1:34" hidden="1">
      <c r="A12" s="1">
        <v>1769442</v>
      </c>
      <c r="B12" s="1" t="s">
        <v>62</v>
      </c>
      <c r="C12" t="s">
        <v>96</v>
      </c>
      <c r="E12" s="2">
        <v>9661000206001</v>
      </c>
      <c r="F12" s="1" t="s">
        <v>29</v>
      </c>
      <c r="G12" s="1" t="s">
        <v>53</v>
      </c>
      <c r="H12" s="1" t="s">
        <v>31</v>
      </c>
      <c r="I12" s="1" t="s">
        <v>32</v>
      </c>
      <c r="J12" s="1" t="s">
        <v>33</v>
      </c>
      <c r="K12" t="s">
        <v>34</v>
      </c>
      <c r="M12" s="1" t="s">
        <v>35</v>
      </c>
      <c r="N12" s="1">
        <v>42318949</v>
      </c>
      <c r="O12" s="1" t="s">
        <v>36</v>
      </c>
      <c r="P12" s="186">
        <v>44162.733263888891</v>
      </c>
      <c r="R12" s="1" t="s">
        <v>38</v>
      </c>
      <c r="T12" s="1" t="s">
        <v>74</v>
      </c>
      <c r="U12" s="186">
        <v>44208.75</v>
      </c>
      <c r="V12" s="1" t="s">
        <v>41</v>
      </c>
      <c r="W12" s="1" t="s">
        <v>42</v>
      </c>
      <c r="X12" s="13" t="str">
        <f>IF(RIGHT(H12,2)&lt;&gt;"00",H12,"")</f>
        <v/>
      </c>
      <c r="Y12" s="2">
        <f ca="1">NETWORKDAYS(P12,$Y$1)</f>
        <v>589</v>
      </c>
      <c r="Z12" s="14">
        <v>1</v>
      </c>
      <c r="AA12" s="1" t="str">
        <f t="shared" ca="1" si="0"/>
        <v>VENCIDO</v>
      </c>
      <c r="AB12" s="1" t="str">
        <f t="shared" si="1"/>
        <v>Dosa</v>
      </c>
      <c r="AC12" s="2" t="str">
        <f t="shared" si="4"/>
        <v xml:space="preserve"> ROSEMERE </v>
      </c>
      <c r="AD12" s="2">
        <f t="shared" si="2"/>
        <v>5</v>
      </c>
      <c r="AE12" s="2">
        <f t="shared" ca="1" si="3"/>
        <v>-777.9262716435187</v>
      </c>
      <c r="AF12" s="15"/>
    </row>
    <row r="13" spans="1:34" hidden="1">
      <c r="A13" s="1">
        <v>1769406</v>
      </c>
      <c r="B13" s="1" t="s">
        <v>62</v>
      </c>
      <c r="C13" t="s">
        <v>96</v>
      </c>
      <c r="E13" s="2">
        <v>9661000206001</v>
      </c>
      <c r="F13" s="1" t="s">
        <v>29</v>
      </c>
      <c r="G13" s="1" t="s">
        <v>53</v>
      </c>
      <c r="H13" s="1" t="s">
        <v>31</v>
      </c>
      <c r="I13" s="1" t="s">
        <v>32</v>
      </c>
      <c r="J13" s="1" t="s">
        <v>33</v>
      </c>
      <c r="K13" t="s">
        <v>34</v>
      </c>
      <c r="M13" s="1" t="s">
        <v>35</v>
      </c>
      <c r="N13" s="1">
        <v>42318949</v>
      </c>
      <c r="O13" s="1" t="s">
        <v>36</v>
      </c>
      <c r="P13" s="186">
        <v>44162.733194444445</v>
      </c>
      <c r="R13" s="1" t="s">
        <v>38</v>
      </c>
      <c r="T13" s="1" t="s">
        <v>74</v>
      </c>
      <c r="U13" s="186">
        <v>44208.75</v>
      </c>
      <c r="V13" s="1" t="s">
        <v>41</v>
      </c>
      <c r="W13" s="1" t="s">
        <v>42</v>
      </c>
      <c r="X13" s="13" t="str">
        <f>IF(RIGHT(H13,2)&lt;&gt;"00",H13,"")</f>
        <v/>
      </c>
      <c r="Y13" s="2">
        <f ca="1">NETWORKDAYS(P13,$Y$1)</f>
        <v>589</v>
      </c>
      <c r="Z13" s="14">
        <v>1</v>
      </c>
      <c r="AA13" s="1" t="str">
        <f t="shared" ca="1" si="0"/>
        <v>VENCIDO</v>
      </c>
      <c r="AB13" s="1" t="str">
        <f t="shared" si="1"/>
        <v>Dosa</v>
      </c>
      <c r="AC13" s="2" t="str">
        <f t="shared" si="4"/>
        <v xml:space="preserve"> ROSEMERE </v>
      </c>
      <c r="AD13" s="2">
        <f t="shared" si="2"/>
        <v>5</v>
      </c>
      <c r="AE13" s="2">
        <f t="shared" ca="1" si="3"/>
        <v>-777.9262716435187</v>
      </c>
      <c r="AF13" s="15"/>
    </row>
    <row r="14" spans="1:34" hidden="1">
      <c r="A14" s="1">
        <v>2852304</v>
      </c>
      <c r="B14" s="1" t="s">
        <v>101</v>
      </c>
      <c r="C14" t="s">
        <v>102</v>
      </c>
      <c r="E14" s="2">
        <v>1059000202021</v>
      </c>
      <c r="F14" s="1" t="s">
        <v>103</v>
      </c>
      <c r="G14" s="1" t="s">
        <v>53</v>
      </c>
      <c r="H14" s="1" t="s">
        <v>88</v>
      </c>
      <c r="I14" s="1" t="s">
        <v>89</v>
      </c>
      <c r="J14" s="1" t="s">
        <v>90</v>
      </c>
      <c r="K14" t="s">
        <v>104</v>
      </c>
      <c r="M14" s="1" t="s">
        <v>58</v>
      </c>
      <c r="N14" s="1">
        <v>0</v>
      </c>
      <c r="O14" s="1" t="s">
        <v>105</v>
      </c>
      <c r="P14" s="186">
        <v>44225.726701388892</v>
      </c>
      <c r="R14" s="1" t="s">
        <v>38</v>
      </c>
      <c r="T14" s="1" t="s">
        <v>74</v>
      </c>
      <c r="U14" s="186">
        <v>44228.75</v>
      </c>
      <c r="V14" s="1" t="s">
        <v>41</v>
      </c>
      <c r="W14" s="1" t="s">
        <v>49</v>
      </c>
      <c r="X14" s="13" t="str">
        <f>IF(RIGHT(H14,2)&lt;&gt;"00",H14,"")</f>
        <v/>
      </c>
      <c r="Y14" s="2">
        <f ca="1">NETWORKDAYS(P14,$Y$1)</f>
        <v>544</v>
      </c>
      <c r="Z14" s="14">
        <v>1</v>
      </c>
      <c r="AA14" s="1" t="str">
        <f t="shared" ca="1" si="0"/>
        <v>VENCIDO</v>
      </c>
      <c r="AB14" s="1" t="str">
        <f t="shared" si="1"/>
        <v>Dosa</v>
      </c>
      <c r="AC14" s="2" t="str">
        <f t="shared" si="4"/>
        <v xml:space="preserve"> RINALDO </v>
      </c>
      <c r="AD14" s="2">
        <f t="shared" si="2"/>
        <v>5</v>
      </c>
      <c r="AE14" s="2">
        <f t="shared" ca="1" si="3"/>
        <v>-757.9262716435187</v>
      </c>
      <c r="AF14" s="15"/>
    </row>
    <row r="15" spans="1:34" hidden="1">
      <c r="A15" s="1">
        <v>2852303</v>
      </c>
      <c r="B15" s="1" t="s">
        <v>101</v>
      </c>
      <c r="C15" t="s">
        <v>102</v>
      </c>
      <c r="E15" s="2">
        <v>1363000202022</v>
      </c>
      <c r="F15" s="1" t="s">
        <v>103</v>
      </c>
      <c r="G15" s="1" t="s">
        <v>53</v>
      </c>
      <c r="H15" s="1" t="s">
        <v>108</v>
      </c>
      <c r="I15" s="1" t="s">
        <v>109</v>
      </c>
      <c r="J15" s="1" t="s">
        <v>110</v>
      </c>
      <c r="K15" t="s">
        <v>104</v>
      </c>
      <c r="M15" s="1" t="s">
        <v>58</v>
      </c>
      <c r="N15" s="1">
        <v>0</v>
      </c>
      <c r="O15" s="1" t="s">
        <v>36</v>
      </c>
      <c r="P15" s="186">
        <v>44225.726689814815</v>
      </c>
      <c r="R15" s="1" t="s">
        <v>38</v>
      </c>
      <c r="T15" s="1" t="s">
        <v>74</v>
      </c>
      <c r="U15" s="186">
        <v>44228.75</v>
      </c>
      <c r="V15" s="1" t="s">
        <v>41</v>
      </c>
      <c r="W15" s="1" t="s">
        <v>49</v>
      </c>
      <c r="X15" s="13" t="str">
        <f>IF(RIGHT(H15,2)&lt;&gt;"00",H15,"")</f>
        <v/>
      </c>
      <c r="Y15" s="2">
        <f ca="1">NETWORKDAYS(P15,$Y$1)</f>
        <v>544</v>
      </c>
      <c r="Z15" s="14">
        <v>1</v>
      </c>
      <c r="AA15" s="1" t="str">
        <f t="shared" ca="1" si="0"/>
        <v>VENCIDO</v>
      </c>
      <c r="AB15" s="1" t="str">
        <f t="shared" si="1"/>
        <v>Dosa</v>
      </c>
      <c r="AC15" s="2" t="str">
        <f t="shared" si="4"/>
        <v xml:space="preserve"> CRISTINA </v>
      </c>
      <c r="AD15" s="2">
        <f t="shared" si="2"/>
        <v>5</v>
      </c>
      <c r="AE15" s="2">
        <f t="shared" ca="1" si="3"/>
        <v>-757.9262716435187</v>
      </c>
      <c r="AF15" s="15"/>
    </row>
    <row r="16" spans="1:34" hidden="1">
      <c r="A16" s="1">
        <v>2852205</v>
      </c>
      <c r="B16" s="1" t="s">
        <v>101</v>
      </c>
      <c r="C16" t="s">
        <v>102</v>
      </c>
      <c r="E16" s="2">
        <v>711002060022</v>
      </c>
      <c r="F16" s="1" t="s">
        <v>103</v>
      </c>
      <c r="G16" s="1" t="s">
        <v>53</v>
      </c>
      <c r="H16" s="1" t="s">
        <v>77</v>
      </c>
      <c r="I16" s="1" t="s">
        <v>78</v>
      </c>
      <c r="J16" s="1" t="s">
        <v>79</v>
      </c>
      <c r="K16" t="s">
        <v>104</v>
      </c>
      <c r="M16" s="1" t="s">
        <v>58</v>
      </c>
      <c r="N16" s="1">
        <v>0</v>
      </c>
      <c r="O16" s="1" t="s">
        <v>105</v>
      </c>
      <c r="P16" s="186">
        <v>44225.726527777777</v>
      </c>
      <c r="R16" s="1" t="s">
        <v>38</v>
      </c>
      <c r="T16" s="1" t="s">
        <v>74</v>
      </c>
      <c r="U16" s="186">
        <v>44228.75</v>
      </c>
      <c r="V16" s="1" t="s">
        <v>41</v>
      </c>
      <c r="W16" s="1" t="s">
        <v>49</v>
      </c>
      <c r="X16" s="13" t="str">
        <f>IF(RIGHT(H16,2)&lt;&gt;"00",H16,"")</f>
        <v/>
      </c>
      <c r="Y16" s="2">
        <f ca="1">NETWORKDAYS(P16,$Y$1)</f>
        <v>544</v>
      </c>
      <c r="Z16" s="14">
        <v>1</v>
      </c>
      <c r="AA16" s="1" t="str">
        <f t="shared" ca="1" si="0"/>
        <v>VENCIDO</v>
      </c>
      <c r="AB16" s="1" t="str">
        <f t="shared" si="1"/>
        <v>Dosa</v>
      </c>
      <c r="AC16" s="2" t="str">
        <f t="shared" si="4"/>
        <v xml:space="preserve"> ROSEMERE </v>
      </c>
      <c r="AD16" s="2">
        <f t="shared" si="2"/>
        <v>5</v>
      </c>
      <c r="AE16" s="2">
        <f t="shared" ca="1" si="3"/>
        <v>-757.9262716435187</v>
      </c>
      <c r="AF16" s="15"/>
    </row>
    <row r="17" spans="1:32" hidden="1">
      <c r="A17" s="1">
        <v>2851942</v>
      </c>
      <c r="B17" s="1" t="s">
        <v>101</v>
      </c>
      <c r="C17" t="s">
        <v>102</v>
      </c>
      <c r="E17" s="2">
        <v>9406000206054</v>
      </c>
      <c r="F17" s="1" t="s">
        <v>113</v>
      </c>
      <c r="G17" s="1" t="s">
        <v>53</v>
      </c>
      <c r="H17" s="1" t="s">
        <v>114</v>
      </c>
      <c r="I17" s="1" t="s">
        <v>115</v>
      </c>
      <c r="J17" s="1" t="s">
        <v>46</v>
      </c>
      <c r="K17" t="s">
        <v>116</v>
      </c>
      <c r="M17" s="1" t="s">
        <v>35</v>
      </c>
      <c r="N17" s="1">
        <v>42318949</v>
      </c>
      <c r="O17" s="1" t="s">
        <v>36</v>
      </c>
      <c r="P17" s="186">
        <v>44225.726145833331</v>
      </c>
      <c r="R17" s="1" t="s">
        <v>38</v>
      </c>
      <c r="T17" s="1" t="s">
        <v>74</v>
      </c>
      <c r="U17" s="186">
        <v>44228.75</v>
      </c>
      <c r="V17" s="1" t="s">
        <v>41</v>
      </c>
      <c r="W17" s="1" t="s">
        <v>49</v>
      </c>
      <c r="X17" s="13" t="str">
        <f>IF(RIGHT(H17,2)&lt;&gt;"00",H17,"")</f>
        <v/>
      </c>
      <c r="Y17" s="2">
        <f ca="1">NETWORKDAYS(P17,$Y$1)</f>
        <v>544</v>
      </c>
      <c r="Z17" s="14">
        <v>1</v>
      </c>
      <c r="AA17" s="1" t="str">
        <f t="shared" ca="1" si="0"/>
        <v>VENCIDO</v>
      </c>
      <c r="AB17" s="1" t="str">
        <f t="shared" si="1"/>
        <v>TAAe+</v>
      </c>
      <c r="AC17" s="2" t="str">
        <f t="shared" si="4"/>
        <v xml:space="preserve"> CLEITON </v>
      </c>
      <c r="AD17" s="2">
        <f t="shared" si="2"/>
        <v>8</v>
      </c>
      <c r="AE17" s="2">
        <f t="shared" ca="1" si="3"/>
        <v>-757.9262716435187</v>
      </c>
      <c r="AF17" s="15"/>
    </row>
    <row r="18" spans="1:32" hidden="1">
      <c r="A18" s="1">
        <v>4298266</v>
      </c>
      <c r="B18" s="1" t="s">
        <v>81</v>
      </c>
      <c r="C18" t="s">
        <v>118</v>
      </c>
      <c r="E18" s="2">
        <v>9600102981128</v>
      </c>
      <c r="F18" s="1" t="s">
        <v>119</v>
      </c>
      <c r="G18" s="1" t="s">
        <v>30</v>
      </c>
      <c r="H18" s="1" t="s">
        <v>120</v>
      </c>
      <c r="I18" s="1" t="s">
        <v>121</v>
      </c>
      <c r="J18" s="1" t="s">
        <v>33</v>
      </c>
      <c r="K18" t="s">
        <v>122</v>
      </c>
      <c r="M18" s="1" t="s">
        <v>58</v>
      </c>
      <c r="N18" s="1">
        <v>0</v>
      </c>
      <c r="O18" s="1" t="s">
        <v>105</v>
      </c>
      <c r="P18" s="186">
        <v>44295.426574074074</v>
      </c>
      <c r="R18" s="1">
        <v>14</v>
      </c>
      <c r="T18" s="1" t="s">
        <v>60</v>
      </c>
      <c r="V18" s="1" t="s">
        <v>41</v>
      </c>
      <c r="W18" s="1" t="s">
        <v>42</v>
      </c>
      <c r="X18" s="13" t="str">
        <f>IF(RIGHT(H18,2)&lt;&gt;"00",H18,"")</f>
        <v>8889.03</v>
      </c>
      <c r="Y18" s="2">
        <f ca="1">NETWORKDAYS(P18,$Y$1)</f>
        <v>494</v>
      </c>
      <c r="Z18" s="14">
        <v>1</v>
      </c>
      <c r="AA18" s="1" t="str">
        <f t="shared" ca="1" si="0"/>
        <v>VENCIDO</v>
      </c>
      <c r="AB18" s="1" t="str">
        <f t="shared" si="1"/>
        <v>TAAe+</v>
      </c>
      <c r="AC18" s="2" t="str">
        <f t="shared" si="4"/>
        <v xml:space="preserve"> ROSEMERE </v>
      </c>
      <c r="AD18" s="2">
        <f t="shared" si="2"/>
        <v>8</v>
      </c>
      <c r="AE18" s="2">
        <f t="shared" ca="1" si="3"/>
        <v>-44986.676271643519</v>
      </c>
      <c r="AF18" s="15"/>
    </row>
    <row r="19" spans="1:32" hidden="1">
      <c r="A19" s="1">
        <v>4298261</v>
      </c>
      <c r="B19" s="1" t="s">
        <v>81</v>
      </c>
      <c r="C19" t="s">
        <v>118</v>
      </c>
      <c r="E19" s="2">
        <v>9600102980984</v>
      </c>
      <c r="F19" s="1" t="s">
        <v>119</v>
      </c>
      <c r="G19" s="1" t="s">
        <v>30</v>
      </c>
      <c r="H19" s="1" t="s">
        <v>120</v>
      </c>
      <c r="I19" s="1" t="s">
        <v>121</v>
      </c>
      <c r="J19" s="1" t="s">
        <v>33</v>
      </c>
      <c r="K19" t="s">
        <v>122</v>
      </c>
      <c r="M19" s="1" t="s">
        <v>58</v>
      </c>
      <c r="N19" s="1">
        <v>0</v>
      </c>
      <c r="O19" s="1" t="s">
        <v>105</v>
      </c>
      <c r="P19" s="186">
        <v>44295.426562499997</v>
      </c>
      <c r="R19" s="1">
        <v>14</v>
      </c>
      <c r="T19" s="1" t="s">
        <v>60</v>
      </c>
      <c r="V19" s="1" t="s">
        <v>41</v>
      </c>
      <c r="W19" s="1" t="s">
        <v>42</v>
      </c>
      <c r="X19" s="13" t="str">
        <f>IF(RIGHT(H19,2)&lt;&gt;"00",H19,"")</f>
        <v>8889.03</v>
      </c>
      <c r="Y19" s="2">
        <f ca="1">NETWORKDAYS(P19,$Y$1)</f>
        <v>494</v>
      </c>
      <c r="Z19" s="14">
        <v>1</v>
      </c>
      <c r="AA19" s="1" t="str">
        <f t="shared" ca="1" si="0"/>
        <v>VENCIDO</v>
      </c>
      <c r="AB19" s="1" t="str">
        <f t="shared" si="1"/>
        <v>TAAe+</v>
      </c>
      <c r="AC19" s="2" t="str">
        <f t="shared" si="4"/>
        <v xml:space="preserve"> ROSEMERE </v>
      </c>
      <c r="AD19" s="2">
        <f t="shared" si="2"/>
        <v>8</v>
      </c>
      <c r="AE19" s="2">
        <f t="shared" ca="1" si="3"/>
        <v>-44986.676271643519</v>
      </c>
      <c r="AF19" s="15"/>
    </row>
    <row r="20" spans="1:32" hidden="1">
      <c r="A20" s="1">
        <v>4298189</v>
      </c>
      <c r="B20" s="1" t="s">
        <v>81</v>
      </c>
      <c r="C20" t="s">
        <v>118</v>
      </c>
      <c r="E20" s="2">
        <v>7419151141007</v>
      </c>
      <c r="F20" s="1" t="s">
        <v>123</v>
      </c>
      <c r="G20" s="1" t="s">
        <v>53</v>
      </c>
      <c r="H20" s="1" t="s">
        <v>124</v>
      </c>
      <c r="I20" s="1" t="s">
        <v>125</v>
      </c>
      <c r="J20" s="1" t="s">
        <v>33</v>
      </c>
      <c r="K20" t="s">
        <v>126</v>
      </c>
      <c r="M20" s="1" t="s">
        <v>58</v>
      </c>
      <c r="N20" s="1">
        <v>0</v>
      </c>
      <c r="O20" s="1" t="s">
        <v>105</v>
      </c>
      <c r="P20" s="186">
        <v>44295.426400462966</v>
      </c>
      <c r="R20" s="1">
        <v>14</v>
      </c>
      <c r="T20" s="1" t="s">
        <v>60</v>
      </c>
      <c r="V20" s="1" t="s">
        <v>41</v>
      </c>
      <c r="W20" s="1" t="s">
        <v>42</v>
      </c>
      <c r="X20" s="13" t="str">
        <f>IF(RIGHT(H20,2)&lt;&gt;"00",H20,"")</f>
        <v>4561.91</v>
      </c>
      <c r="Y20" s="2">
        <f ca="1">NETWORKDAYS(P20,$Y$1)</f>
        <v>494</v>
      </c>
      <c r="Z20" s="14">
        <v>1</v>
      </c>
      <c r="AA20" s="1" t="str">
        <f t="shared" ca="1" si="0"/>
        <v>VENCIDO</v>
      </c>
      <c r="AB20" s="1" t="str">
        <f t="shared" si="1"/>
        <v>TAAe+</v>
      </c>
      <c r="AC20" s="2" t="str">
        <f t="shared" si="4"/>
        <v xml:space="preserve"> ROSEMERE </v>
      </c>
      <c r="AD20" s="2">
        <f t="shared" si="2"/>
        <v>8</v>
      </c>
      <c r="AE20" s="2">
        <f t="shared" ca="1" si="3"/>
        <v>-44986.676271643519</v>
      </c>
      <c r="AF20" s="15"/>
    </row>
    <row r="21" spans="1:32" hidden="1">
      <c r="A21" s="1">
        <v>4298074</v>
      </c>
      <c r="B21" s="1" t="s">
        <v>81</v>
      </c>
      <c r="C21" t="s">
        <v>118</v>
      </c>
      <c r="E21" s="2">
        <v>7419141892457</v>
      </c>
      <c r="F21" s="1" t="s">
        <v>128</v>
      </c>
      <c r="G21" s="1" t="s">
        <v>53</v>
      </c>
      <c r="H21" s="1" t="s">
        <v>124</v>
      </c>
      <c r="I21" s="1" t="s">
        <v>125</v>
      </c>
      <c r="J21" s="1" t="s">
        <v>33</v>
      </c>
      <c r="K21" t="s">
        <v>129</v>
      </c>
      <c r="M21" s="1" t="s">
        <v>58</v>
      </c>
      <c r="N21" s="1">
        <v>0</v>
      </c>
      <c r="O21" s="1" t="s">
        <v>105</v>
      </c>
      <c r="P21" s="186">
        <v>44295.426087962966</v>
      </c>
      <c r="R21" s="1">
        <v>14</v>
      </c>
      <c r="T21" s="1" t="s">
        <v>60</v>
      </c>
      <c r="V21" s="1" t="s">
        <v>41</v>
      </c>
      <c r="W21" s="1" t="s">
        <v>42</v>
      </c>
      <c r="X21" s="13" t="str">
        <f>IF(RIGHT(H21,2)&lt;&gt;"00",H21,"")</f>
        <v>4561.91</v>
      </c>
      <c r="Y21" s="2">
        <f ca="1">NETWORKDAYS(P21,$Y$1)</f>
        <v>494</v>
      </c>
      <c r="Z21" s="14">
        <v>1</v>
      </c>
      <c r="AA21" s="1" t="str">
        <f t="shared" ca="1" si="0"/>
        <v>VENCIDO</v>
      </c>
      <c r="AB21" s="1" t="str">
        <f t="shared" si="1"/>
        <v>TAAe+</v>
      </c>
      <c r="AC21" s="2" t="str">
        <f t="shared" si="4"/>
        <v xml:space="preserve"> ROSEMERE </v>
      </c>
      <c r="AD21" s="2">
        <f t="shared" si="2"/>
        <v>8</v>
      </c>
      <c r="AE21" s="2">
        <f t="shared" ca="1" si="3"/>
        <v>-44986.676271643519</v>
      </c>
      <c r="AF21" s="15"/>
    </row>
    <row r="22" spans="1:32" hidden="1">
      <c r="A22" s="1">
        <v>4298073</v>
      </c>
      <c r="B22" s="1" t="s">
        <v>81</v>
      </c>
      <c r="C22" t="s">
        <v>118</v>
      </c>
      <c r="E22" s="2">
        <v>7419141892456</v>
      </c>
      <c r="F22" s="1" t="s">
        <v>128</v>
      </c>
      <c r="G22" s="1" t="s">
        <v>53</v>
      </c>
      <c r="H22" s="1" t="s">
        <v>124</v>
      </c>
      <c r="I22" s="1" t="s">
        <v>125</v>
      </c>
      <c r="J22" s="1" t="s">
        <v>33</v>
      </c>
      <c r="K22" t="s">
        <v>129</v>
      </c>
      <c r="M22" s="1" t="s">
        <v>58</v>
      </c>
      <c r="N22" s="1">
        <v>0</v>
      </c>
      <c r="O22" s="1" t="s">
        <v>105</v>
      </c>
      <c r="P22" s="186">
        <v>44295.426087962966</v>
      </c>
      <c r="R22" s="1">
        <v>14</v>
      </c>
      <c r="T22" s="1" t="s">
        <v>60</v>
      </c>
      <c r="V22" s="1" t="s">
        <v>41</v>
      </c>
      <c r="W22" s="1" t="s">
        <v>42</v>
      </c>
      <c r="X22" s="13" t="str">
        <f>IF(RIGHT(H22,2)&lt;&gt;"00",H22,"")</f>
        <v>4561.91</v>
      </c>
      <c r="Y22" s="2">
        <f ca="1">NETWORKDAYS(P22,$Y$1)</f>
        <v>494</v>
      </c>
      <c r="Z22" s="14">
        <v>1</v>
      </c>
      <c r="AA22" s="1" t="str">
        <f t="shared" ca="1" si="0"/>
        <v>VENCIDO</v>
      </c>
      <c r="AB22" s="1" t="str">
        <f t="shared" si="1"/>
        <v>TAAe+</v>
      </c>
      <c r="AC22" s="2" t="str">
        <f t="shared" si="4"/>
        <v xml:space="preserve"> ROSEMERE </v>
      </c>
      <c r="AD22" s="2">
        <f t="shared" si="2"/>
        <v>8</v>
      </c>
      <c r="AE22" s="2">
        <f t="shared" ca="1" si="3"/>
        <v>-44986.676271643519</v>
      </c>
      <c r="AF22" s="15"/>
    </row>
    <row r="23" spans="1:32" hidden="1">
      <c r="A23" s="1">
        <v>4297923</v>
      </c>
      <c r="B23" s="1" t="s">
        <v>81</v>
      </c>
      <c r="C23" t="s">
        <v>118</v>
      </c>
      <c r="E23" s="2">
        <v>7417172142561</v>
      </c>
      <c r="F23" s="1" t="s">
        <v>52</v>
      </c>
      <c r="G23" s="1" t="s">
        <v>53</v>
      </c>
      <c r="H23" s="1" t="s">
        <v>120</v>
      </c>
      <c r="I23" s="1" t="s">
        <v>121</v>
      </c>
      <c r="J23" s="1" t="s">
        <v>33</v>
      </c>
      <c r="K23" t="s">
        <v>57</v>
      </c>
      <c r="M23" s="1" t="s">
        <v>58</v>
      </c>
      <c r="N23" s="1">
        <v>0</v>
      </c>
      <c r="O23" s="1" t="s">
        <v>105</v>
      </c>
      <c r="P23" s="186">
        <v>44295.425706018519</v>
      </c>
      <c r="R23" s="1">
        <v>9</v>
      </c>
      <c r="T23" s="1" t="s">
        <v>60</v>
      </c>
      <c r="V23" s="1" t="s">
        <v>41</v>
      </c>
      <c r="W23" s="1" t="s">
        <v>42</v>
      </c>
      <c r="X23" s="13" t="str">
        <f>IF(RIGHT(H23,2)&lt;&gt;"00",H23,"")</f>
        <v>8889.03</v>
      </c>
      <c r="Y23" s="2">
        <f ca="1">NETWORKDAYS(P23,$Y$1)</f>
        <v>494</v>
      </c>
      <c r="Z23" s="14">
        <v>1</v>
      </c>
      <c r="AA23" s="1" t="str">
        <f t="shared" ca="1" si="0"/>
        <v>VENCIDO</v>
      </c>
      <c r="AB23" s="1" t="str">
        <f t="shared" si="1"/>
        <v>TAAe+</v>
      </c>
      <c r="AC23" s="2" t="str">
        <f t="shared" si="4"/>
        <v xml:space="preserve"> ROSEMERE </v>
      </c>
      <c r="AD23" s="2">
        <f t="shared" si="2"/>
        <v>8</v>
      </c>
      <c r="AE23" s="2">
        <f t="shared" ca="1" si="3"/>
        <v>-44986.676271643519</v>
      </c>
      <c r="AF23" s="15"/>
    </row>
    <row r="24" spans="1:32" hidden="1">
      <c r="A24" s="1">
        <v>4297890</v>
      </c>
      <c r="B24" s="1" t="s">
        <v>81</v>
      </c>
      <c r="C24" t="s">
        <v>118</v>
      </c>
      <c r="E24" s="2">
        <v>7417163285126</v>
      </c>
      <c r="F24" s="1" t="s">
        <v>131</v>
      </c>
      <c r="G24" s="1" t="s">
        <v>53</v>
      </c>
      <c r="H24" s="1" t="s">
        <v>120</v>
      </c>
      <c r="I24" s="1" t="s">
        <v>121</v>
      </c>
      <c r="J24" s="1" t="s">
        <v>33</v>
      </c>
      <c r="K24" t="s">
        <v>132</v>
      </c>
      <c r="M24" s="1" t="s">
        <v>58</v>
      </c>
      <c r="N24" s="1">
        <v>0</v>
      </c>
      <c r="O24" s="1" t="s">
        <v>105</v>
      </c>
      <c r="P24" s="186">
        <v>44295.425567129627</v>
      </c>
      <c r="R24" s="1">
        <v>14</v>
      </c>
      <c r="T24" s="1" t="s">
        <v>60</v>
      </c>
      <c r="V24" s="1" t="s">
        <v>41</v>
      </c>
      <c r="W24" s="1" t="s">
        <v>42</v>
      </c>
      <c r="X24" s="13" t="str">
        <f>IF(RIGHT(H24,2)&lt;&gt;"00",H24,"")</f>
        <v>8889.03</v>
      </c>
      <c r="Y24" s="2">
        <f ca="1">NETWORKDAYS(P24,$Y$1)</f>
        <v>494</v>
      </c>
      <c r="Z24" s="14">
        <v>1</v>
      </c>
      <c r="AA24" s="1" t="str">
        <f t="shared" ca="1" si="0"/>
        <v>VENCIDO</v>
      </c>
      <c r="AB24" s="1" t="str">
        <f t="shared" si="1"/>
        <v>TAAe+</v>
      </c>
      <c r="AC24" s="2" t="str">
        <f t="shared" si="4"/>
        <v xml:space="preserve"> ROSEMERE </v>
      </c>
      <c r="AD24" s="2">
        <f t="shared" si="2"/>
        <v>8</v>
      </c>
      <c r="AE24" s="2">
        <f t="shared" ca="1" si="3"/>
        <v>-44986.676271643519</v>
      </c>
      <c r="AF24" s="15"/>
    </row>
    <row r="25" spans="1:32" hidden="1">
      <c r="A25" s="1">
        <v>4544244</v>
      </c>
      <c r="B25" s="1" t="s">
        <v>27</v>
      </c>
      <c r="C25" t="s">
        <v>134</v>
      </c>
      <c r="E25" s="2">
        <v>9661000206001</v>
      </c>
      <c r="F25" s="1" t="s">
        <v>29</v>
      </c>
      <c r="G25" s="1" t="s">
        <v>53</v>
      </c>
      <c r="H25" s="1" t="s">
        <v>31</v>
      </c>
      <c r="I25" s="1" t="s">
        <v>32</v>
      </c>
      <c r="J25" s="1" t="s">
        <v>33</v>
      </c>
      <c r="K25" t="s">
        <v>34</v>
      </c>
      <c r="M25" s="1" t="s">
        <v>35</v>
      </c>
      <c r="N25" s="1">
        <v>42318949</v>
      </c>
      <c r="O25" s="1" t="s">
        <v>105</v>
      </c>
      <c r="P25" s="186">
        <v>44308.595775462964</v>
      </c>
      <c r="R25" s="1" t="s">
        <v>38</v>
      </c>
      <c r="T25" s="1" t="s">
        <v>74</v>
      </c>
      <c r="U25" s="186">
        <v>44308.75</v>
      </c>
      <c r="V25" s="1" t="s">
        <v>41</v>
      </c>
      <c r="W25" s="1" t="s">
        <v>42</v>
      </c>
      <c r="X25" s="13" t="str">
        <f>IF(RIGHT(H25,2)&lt;&gt;"00",H25,"")</f>
        <v/>
      </c>
      <c r="Y25" s="2">
        <f ca="1">NETWORKDAYS(P25,$Y$1)</f>
        <v>485</v>
      </c>
      <c r="Z25" s="14">
        <v>1</v>
      </c>
      <c r="AA25" s="1" t="str">
        <f t="shared" ca="1" si="0"/>
        <v>VENCIDO</v>
      </c>
      <c r="AB25" s="1" t="str">
        <f t="shared" si="1"/>
        <v>Dosa</v>
      </c>
      <c r="AC25" s="2" t="str">
        <f t="shared" si="4"/>
        <v xml:space="preserve"> ROSEMERE </v>
      </c>
      <c r="AD25" s="2">
        <f t="shared" si="2"/>
        <v>5</v>
      </c>
      <c r="AE25" s="2">
        <f t="shared" ca="1" si="3"/>
        <v>-677.9262716435187</v>
      </c>
      <c r="AF25" s="15"/>
    </row>
    <row r="26" spans="1:32" hidden="1">
      <c r="A26" s="1">
        <v>4796975</v>
      </c>
      <c r="B26" s="1" t="s">
        <v>62</v>
      </c>
      <c r="C26" t="s">
        <v>135</v>
      </c>
      <c r="E26" s="2">
        <v>1291000206001</v>
      </c>
      <c r="F26" s="1" t="s">
        <v>29</v>
      </c>
      <c r="G26" s="1" t="s">
        <v>53</v>
      </c>
      <c r="H26" s="1" t="s">
        <v>136</v>
      </c>
      <c r="I26" s="1" t="s">
        <v>137</v>
      </c>
      <c r="J26" s="1" t="s">
        <v>33</v>
      </c>
      <c r="K26" t="s">
        <v>34</v>
      </c>
      <c r="M26" s="1" t="s">
        <v>35</v>
      </c>
      <c r="N26" s="1">
        <v>42318949</v>
      </c>
      <c r="O26" s="1" t="s">
        <v>36</v>
      </c>
      <c r="P26" s="186">
        <v>44321.783020833333</v>
      </c>
      <c r="R26" s="1" t="s">
        <v>38</v>
      </c>
      <c r="T26" s="1" t="s">
        <v>74</v>
      </c>
      <c r="U26" s="186">
        <v>44364.75</v>
      </c>
      <c r="V26" s="1" t="s">
        <v>41</v>
      </c>
      <c r="W26" s="1" t="s">
        <v>42</v>
      </c>
      <c r="X26" s="13" t="str">
        <f>IF(RIGHT(H26,2)&lt;&gt;"00",H26,"")</f>
        <v/>
      </c>
      <c r="Y26" s="2">
        <f ca="1">NETWORKDAYS(P26,$Y$1)</f>
        <v>476</v>
      </c>
      <c r="Z26" s="14">
        <v>1</v>
      </c>
      <c r="AA26" s="1" t="str">
        <f t="shared" ca="1" si="0"/>
        <v>VENCIDO</v>
      </c>
      <c r="AB26" s="1" t="str">
        <f t="shared" si="1"/>
        <v>Dosa</v>
      </c>
      <c r="AC26" s="2" t="str">
        <f t="shared" si="4"/>
        <v xml:space="preserve"> ROSEMERE </v>
      </c>
      <c r="AD26" s="2">
        <f t="shared" si="2"/>
        <v>5</v>
      </c>
      <c r="AE26" s="2">
        <f t="shared" ca="1" si="3"/>
        <v>-621.9262716435187</v>
      </c>
      <c r="AF26" s="15"/>
    </row>
    <row r="27" spans="1:32" hidden="1">
      <c r="A27" s="1">
        <v>4968022</v>
      </c>
      <c r="B27" s="1" t="s">
        <v>62</v>
      </c>
      <c r="C27" t="s">
        <v>138</v>
      </c>
      <c r="E27" s="2">
        <v>582000206001</v>
      </c>
      <c r="F27" s="1" t="s">
        <v>29</v>
      </c>
      <c r="G27" s="1" t="s">
        <v>53</v>
      </c>
      <c r="H27" s="1" t="s">
        <v>139</v>
      </c>
      <c r="I27" s="1" t="s">
        <v>140</v>
      </c>
      <c r="J27" s="1" t="s">
        <v>141</v>
      </c>
      <c r="K27" t="s">
        <v>34</v>
      </c>
      <c r="M27" s="1" t="s">
        <v>35</v>
      </c>
      <c r="N27" s="1">
        <v>42318949</v>
      </c>
      <c r="O27" s="1" t="s">
        <v>36</v>
      </c>
      <c r="P27" s="186">
        <v>44329.986261574071</v>
      </c>
      <c r="R27" s="1" t="s">
        <v>38</v>
      </c>
      <c r="T27" s="1" t="s">
        <v>74</v>
      </c>
      <c r="U27" s="186">
        <v>44372.75</v>
      </c>
      <c r="V27" s="1" t="s">
        <v>41</v>
      </c>
      <c r="W27" s="1" t="s">
        <v>49</v>
      </c>
      <c r="X27" s="13" t="str">
        <f>IF(RIGHT(H27,2)&lt;&gt;"00",H27,"")</f>
        <v/>
      </c>
      <c r="Y27" s="2">
        <f ca="1">NETWORKDAYS(P27,$Y$1)</f>
        <v>470</v>
      </c>
      <c r="Z27" s="14">
        <v>1</v>
      </c>
      <c r="AA27" s="1" t="str">
        <f t="shared" ca="1" si="0"/>
        <v>VENCIDO</v>
      </c>
      <c r="AB27" s="1" t="str">
        <f t="shared" si="1"/>
        <v>Dosa</v>
      </c>
      <c r="AC27" s="2" t="str">
        <f t="shared" si="4"/>
        <v xml:space="preserve"> CRISTINA </v>
      </c>
      <c r="AD27" s="2">
        <f t="shared" si="2"/>
        <v>5</v>
      </c>
      <c r="AE27" s="2">
        <f t="shared" ca="1" si="3"/>
        <v>-613.9262716435187</v>
      </c>
      <c r="AF27" s="15"/>
    </row>
    <row r="28" spans="1:32" hidden="1">
      <c r="A28" s="1">
        <v>4968021</v>
      </c>
      <c r="B28" s="1" t="s">
        <v>62</v>
      </c>
      <c r="C28" t="s">
        <v>144</v>
      </c>
      <c r="E28" s="2">
        <v>582000206001</v>
      </c>
      <c r="F28" s="1" t="s">
        <v>29</v>
      </c>
      <c r="G28" s="1" t="s">
        <v>53</v>
      </c>
      <c r="H28" s="1" t="s">
        <v>139</v>
      </c>
      <c r="I28" s="1" t="s">
        <v>140</v>
      </c>
      <c r="J28" s="1" t="s">
        <v>141</v>
      </c>
      <c r="K28" t="s">
        <v>34</v>
      </c>
      <c r="M28" s="1" t="s">
        <v>35</v>
      </c>
      <c r="N28" s="1">
        <v>42318949</v>
      </c>
      <c r="O28" s="1" t="s">
        <v>36</v>
      </c>
      <c r="P28" s="186">
        <v>44329.985972222225</v>
      </c>
      <c r="R28" s="1" t="s">
        <v>38</v>
      </c>
      <c r="T28" s="1" t="s">
        <v>74</v>
      </c>
      <c r="U28" s="186">
        <v>44372.75</v>
      </c>
      <c r="V28" s="1" t="s">
        <v>41</v>
      </c>
      <c r="W28" s="1" t="s">
        <v>49</v>
      </c>
      <c r="X28" s="13" t="str">
        <f>IF(RIGHT(H28,2)&lt;&gt;"00",H28,"")</f>
        <v/>
      </c>
      <c r="Y28" s="2">
        <f ca="1">NETWORKDAYS(P28,$Y$1)</f>
        <v>470</v>
      </c>
      <c r="Z28" s="14">
        <v>1</v>
      </c>
      <c r="AA28" s="1" t="str">
        <f t="shared" ca="1" si="0"/>
        <v>VENCIDO</v>
      </c>
      <c r="AB28" s="1" t="str">
        <f t="shared" si="1"/>
        <v>Dosa</v>
      </c>
      <c r="AC28" s="2" t="str">
        <f t="shared" si="4"/>
        <v xml:space="preserve"> CRISTINA </v>
      </c>
      <c r="AD28" s="2">
        <f t="shared" si="2"/>
        <v>5</v>
      </c>
      <c r="AE28" s="2">
        <f t="shared" ca="1" si="3"/>
        <v>-613.9262716435187</v>
      </c>
      <c r="AF28" s="15"/>
    </row>
    <row r="29" spans="1:32" hidden="1">
      <c r="A29" s="1">
        <v>4967954</v>
      </c>
      <c r="B29" s="1" t="s">
        <v>62</v>
      </c>
      <c r="C29" t="s">
        <v>144</v>
      </c>
      <c r="E29" s="2">
        <v>582000206001</v>
      </c>
      <c r="F29" s="1" t="s">
        <v>29</v>
      </c>
      <c r="G29" s="1" t="s">
        <v>53</v>
      </c>
      <c r="H29" s="1" t="s">
        <v>139</v>
      </c>
      <c r="I29" s="1" t="s">
        <v>140</v>
      </c>
      <c r="J29" s="1" t="s">
        <v>141</v>
      </c>
      <c r="K29" t="s">
        <v>34</v>
      </c>
      <c r="M29" s="1" t="s">
        <v>35</v>
      </c>
      <c r="N29" s="1">
        <v>42318949</v>
      </c>
      <c r="O29" s="1" t="s">
        <v>36</v>
      </c>
      <c r="P29" s="186">
        <v>44329.985694444447</v>
      </c>
      <c r="R29" s="1" t="s">
        <v>38</v>
      </c>
      <c r="T29" s="1" t="s">
        <v>74</v>
      </c>
      <c r="U29" s="186">
        <v>44372.75</v>
      </c>
      <c r="V29" s="1" t="s">
        <v>41</v>
      </c>
      <c r="W29" s="1" t="s">
        <v>49</v>
      </c>
      <c r="X29" s="13" t="str">
        <f>IF(RIGHT(H29,2)&lt;&gt;"00",H29,"")</f>
        <v/>
      </c>
      <c r="Y29" s="2">
        <f ca="1">NETWORKDAYS(P29,$Y$1)</f>
        <v>470</v>
      </c>
      <c r="Z29" s="14">
        <v>1</v>
      </c>
      <c r="AA29" s="1" t="str">
        <f t="shared" ca="1" si="0"/>
        <v>VENCIDO</v>
      </c>
      <c r="AB29" s="1" t="str">
        <f t="shared" si="1"/>
        <v>Dosa</v>
      </c>
      <c r="AC29" s="2" t="str">
        <f t="shared" si="4"/>
        <v xml:space="preserve"> CRISTINA </v>
      </c>
      <c r="AD29" s="2">
        <f t="shared" si="2"/>
        <v>5</v>
      </c>
      <c r="AE29" s="2">
        <f t="shared" ca="1" si="3"/>
        <v>-613.9262716435187</v>
      </c>
      <c r="AF29" s="15"/>
    </row>
    <row r="30" spans="1:32" hidden="1">
      <c r="A30" s="1">
        <v>6477850</v>
      </c>
      <c r="B30" s="1" t="s">
        <v>62</v>
      </c>
      <c r="C30" t="s">
        <v>145</v>
      </c>
      <c r="E30" s="2">
        <v>1754000206001</v>
      </c>
      <c r="F30" s="1" t="s">
        <v>29</v>
      </c>
      <c r="G30" s="1" t="s">
        <v>53</v>
      </c>
      <c r="H30" s="1" t="s">
        <v>146</v>
      </c>
      <c r="I30" s="1" t="s">
        <v>147</v>
      </c>
      <c r="J30" s="1" t="s">
        <v>148</v>
      </c>
      <c r="K30" t="s">
        <v>34</v>
      </c>
      <c r="M30" s="1" t="s">
        <v>35</v>
      </c>
      <c r="N30" s="1">
        <v>42318949</v>
      </c>
      <c r="O30" s="1" t="s">
        <v>105</v>
      </c>
      <c r="P30" s="186">
        <v>44404.79105324074</v>
      </c>
      <c r="R30" s="1" t="s">
        <v>38</v>
      </c>
      <c r="T30" s="1" t="s">
        <v>74</v>
      </c>
      <c r="U30" s="186">
        <v>44447.75</v>
      </c>
      <c r="V30" s="1" t="s">
        <v>41</v>
      </c>
      <c r="W30" s="1" t="s">
        <v>49</v>
      </c>
      <c r="X30" s="13" t="str">
        <f>IF(RIGHT(H30,2)&lt;&gt;"00",H30,"")</f>
        <v/>
      </c>
      <c r="Y30" s="2">
        <f ca="1">NETWORKDAYS(P30,$Y$1)</f>
        <v>417</v>
      </c>
      <c r="Z30" s="14">
        <v>1</v>
      </c>
      <c r="AA30" s="1" t="str">
        <f t="shared" ca="1" si="0"/>
        <v>VENCIDO</v>
      </c>
      <c r="AB30" s="1" t="str">
        <f t="shared" si="1"/>
        <v>Dosa</v>
      </c>
      <c r="AC30" s="2" t="str">
        <f t="shared" si="4"/>
        <v xml:space="preserve"> RINALDO </v>
      </c>
      <c r="AD30" s="2">
        <f t="shared" si="2"/>
        <v>5</v>
      </c>
      <c r="AE30" s="2">
        <f t="shared" ca="1" si="3"/>
        <v>-538.9262716435187</v>
      </c>
      <c r="AF30" s="15"/>
    </row>
    <row r="31" spans="1:32" hidden="1">
      <c r="A31" s="1">
        <v>6829400</v>
      </c>
      <c r="B31" s="1" t="s">
        <v>62</v>
      </c>
      <c r="C31" t="s">
        <v>151</v>
      </c>
      <c r="E31" s="2">
        <v>3924000203010</v>
      </c>
      <c r="F31" s="1" t="s">
        <v>152</v>
      </c>
      <c r="G31" s="1" t="s">
        <v>53</v>
      </c>
      <c r="H31" s="1" t="s">
        <v>153</v>
      </c>
      <c r="I31" s="1" t="s">
        <v>154</v>
      </c>
      <c r="J31" s="1" t="s">
        <v>56</v>
      </c>
      <c r="K31" t="s">
        <v>155</v>
      </c>
      <c r="M31" s="1" t="s">
        <v>35</v>
      </c>
      <c r="N31" s="1">
        <v>42318949</v>
      </c>
      <c r="O31" s="1" t="s">
        <v>36</v>
      </c>
      <c r="P31" s="186">
        <v>44420.812268518515</v>
      </c>
      <c r="R31" s="1" t="s">
        <v>38</v>
      </c>
      <c r="T31" s="1" t="s">
        <v>157</v>
      </c>
      <c r="U31" s="186">
        <v>44456.75</v>
      </c>
      <c r="V31" s="1" t="s">
        <v>41</v>
      </c>
      <c r="W31" s="1" t="s">
        <v>49</v>
      </c>
      <c r="X31" s="13" t="str">
        <f>IF(RIGHT(H31,2)&lt;&gt;"00",H31,"")</f>
        <v/>
      </c>
      <c r="Y31" s="2">
        <f ca="1">NETWORKDAYS(P31,$Y$1)</f>
        <v>405</v>
      </c>
      <c r="Z31" s="14">
        <v>1</v>
      </c>
      <c r="AA31" s="1" t="str">
        <f t="shared" ca="1" si="0"/>
        <v>VENCIDO</v>
      </c>
      <c r="AB31" s="1" t="str">
        <f t="shared" si="1"/>
        <v>TAAe+</v>
      </c>
      <c r="AC31" s="2" t="str">
        <f t="shared" si="4"/>
        <v xml:space="preserve"> CRISTINA </v>
      </c>
      <c r="AD31" s="2">
        <f t="shared" si="2"/>
        <v>8</v>
      </c>
      <c r="AE31" s="2">
        <f t="shared" ca="1" si="3"/>
        <v>-529.9262716435187</v>
      </c>
      <c r="AF31" s="15"/>
    </row>
    <row r="32" spans="1:32" hidden="1">
      <c r="A32" s="1">
        <v>6829307</v>
      </c>
      <c r="B32" s="1" t="s">
        <v>62</v>
      </c>
      <c r="C32" t="s">
        <v>151</v>
      </c>
      <c r="E32" s="2">
        <v>2365000203010</v>
      </c>
      <c r="F32" s="1" t="s">
        <v>152</v>
      </c>
      <c r="G32" s="1" t="s">
        <v>53</v>
      </c>
      <c r="H32" s="1" t="s">
        <v>159</v>
      </c>
      <c r="I32" s="1" t="s">
        <v>160</v>
      </c>
      <c r="J32" s="1" t="s">
        <v>46</v>
      </c>
      <c r="K32" t="s">
        <v>155</v>
      </c>
      <c r="M32" s="1" t="s">
        <v>35</v>
      </c>
      <c r="N32" s="1">
        <v>42318949</v>
      </c>
      <c r="O32" s="1" t="s">
        <v>36</v>
      </c>
      <c r="P32" s="186">
        <v>44420.812141203707</v>
      </c>
      <c r="R32" s="1" t="s">
        <v>38</v>
      </c>
      <c r="T32" s="1" t="s">
        <v>157</v>
      </c>
      <c r="U32" s="186">
        <v>44456.75</v>
      </c>
      <c r="V32" s="1" t="s">
        <v>41</v>
      </c>
      <c r="W32" s="1" t="s">
        <v>49</v>
      </c>
      <c r="X32" s="13" t="str">
        <f>IF(RIGHT(H32,2)&lt;&gt;"00",H32,"")</f>
        <v/>
      </c>
      <c r="Y32" s="2">
        <f ca="1">NETWORKDAYS(P32,$Y$1)</f>
        <v>405</v>
      </c>
      <c r="Z32" s="14">
        <v>1</v>
      </c>
      <c r="AA32" s="1" t="str">
        <f t="shared" ca="1" si="0"/>
        <v>VENCIDO</v>
      </c>
      <c r="AB32" s="1" t="str">
        <f t="shared" si="1"/>
        <v>TAAe+</v>
      </c>
      <c r="AC32" s="2" t="str">
        <f t="shared" si="4"/>
        <v xml:space="preserve"> CLEITON </v>
      </c>
      <c r="AD32" s="2">
        <f t="shared" si="2"/>
        <v>8</v>
      </c>
      <c r="AE32" s="2">
        <f t="shared" ca="1" si="3"/>
        <v>-529.9262716435187</v>
      </c>
      <c r="AF32" s="15"/>
    </row>
    <row r="33" spans="1:32" hidden="1">
      <c r="A33" s="1">
        <v>6829259</v>
      </c>
      <c r="B33" s="1" t="s">
        <v>62</v>
      </c>
      <c r="C33" t="s">
        <v>151</v>
      </c>
      <c r="E33" s="2">
        <v>1739000203010</v>
      </c>
      <c r="F33" s="1" t="s">
        <v>152</v>
      </c>
      <c r="G33" s="1" t="s">
        <v>53</v>
      </c>
      <c r="H33" s="1" t="s">
        <v>162</v>
      </c>
      <c r="I33" s="1" t="s">
        <v>163</v>
      </c>
      <c r="J33" s="1" t="s">
        <v>164</v>
      </c>
      <c r="K33" t="s">
        <v>155</v>
      </c>
      <c r="M33" s="1" t="s">
        <v>35</v>
      </c>
      <c r="N33" s="1">
        <v>42318949</v>
      </c>
      <c r="O33" s="1" t="s">
        <v>36</v>
      </c>
      <c r="P33" s="186">
        <v>44420.812048611115</v>
      </c>
      <c r="R33" s="1" t="s">
        <v>38</v>
      </c>
      <c r="T33" s="1" t="s">
        <v>157</v>
      </c>
      <c r="U33" s="186">
        <v>44456.75</v>
      </c>
      <c r="V33" s="1" t="s">
        <v>41</v>
      </c>
      <c r="W33" s="1" t="s">
        <v>49</v>
      </c>
      <c r="X33" s="13" t="str">
        <f>IF(RIGHT(H33,2)&lt;&gt;"00",H33,"")</f>
        <v/>
      </c>
      <c r="Y33" s="2">
        <f ca="1">NETWORKDAYS(P33,$Y$1)</f>
        <v>405</v>
      </c>
      <c r="Z33" s="14">
        <v>1</v>
      </c>
      <c r="AA33" s="1" t="str">
        <f t="shared" ca="1" si="0"/>
        <v>VENCIDO</v>
      </c>
      <c r="AB33" s="1" t="str">
        <f t="shared" si="1"/>
        <v>TAAe+</v>
      </c>
      <c r="AC33" s="2" t="str">
        <f t="shared" si="4"/>
        <v xml:space="preserve"> ROSEMERE </v>
      </c>
      <c r="AD33" s="2">
        <f t="shared" si="2"/>
        <v>8</v>
      </c>
      <c r="AE33" s="2">
        <f t="shared" ca="1" si="3"/>
        <v>-529.9262716435187</v>
      </c>
      <c r="AF33" s="15"/>
    </row>
    <row r="34" spans="1:32" hidden="1">
      <c r="A34" s="1">
        <v>6829206</v>
      </c>
      <c r="B34" s="1" t="s">
        <v>62</v>
      </c>
      <c r="C34" t="s">
        <v>151</v>
      </c>
      <c r="E34" s="2">
        <v>1061000203010</v>
      </c>
      <c r="F34" s="1" t="s">
        <v>152</v>
      </c>
      <c r="G34" s="1" t="s">
        <v>53</v>
      </c>
      <c r="H34" s="1" t="s">
        <v>166</v>
      </c>
      <c r="I34" s="1" t="s">
        <v>167</v>
      </c>
      <c r="J34" s="1" t="s">
        <v>85</v>
      </c>
      <c r="K34" t="s">
        <v>155</v>
      </c>
      <c r="M34" s="1" t="s">
        <v>35</v>
      </c>
      <c r="N34" s="1">
        <v>42318949</v>
      </c>
      <c r="O34" s="1" t="s">
        <v>36</v>
      </c>
      <c r="P34" s="186">
        <v>44420.811956018515</v>
      </c>
      <c r="R34" s="1" t="s">
        <v>38</v>
      </c>
      <c r="T34" s="1" t="s">
        <v>157</v>
      </c>
      <c r="U34" s="186">
        <v>44456.75</v>
      </c>
      <c r="V34" s="1" t="s">
        <v>41</v>
      </c>
      <c r="W34" s="1" t="s">
        <v>49</v>
      </c>
      <c r="X34" s="13" t="str">
        <f>IF(RIGHT(H34,2)&lt;&gt;"00",H34,"")</f>
        <v/>
      </c>
      <c r="Y34" s="2">
        <f ca="1">NETWORKDAYS(P34,$Y$1)</f>
        <v>405</v>
      </c>
      <c r="Z34" s="14">
        <v>1</v>
      </c>
      <c r="AA34" s="1" t="str">
        <f t="shared" ca="1" si="0"/>
        <v>VENCIDO</v>
      </c>
      <c r="AB34" s="1" t="str">
        <f t="shared" si="1"/>
        <v>TAAe+</v>
      </c>
      <c r="AC34" s="2" t="str">
        <f t="shared" si="4"/>
        <v xml:space="preserve"> RINALDO </v>
      </c>
      <c r="AD34" s="2">
        <f t="shared" si="2"/>
        <v>8</v>
      </c>
      <c r="AE34" s="2">
        <f t="shared" ca="1" si="3"/>
        <v>-529.9262716435187</v>
      </c>
      <c r="AF34" s="15"/>
    </row>
    <row r="35" spans="1:32" hidden="1">
      <c r="A35" s="1">
        <v>6829203</v>
      </c>
      <c r="B35" s="1" t="s">
        <v>62</v>
      </c>
      <c r="C35" t="s">
        <v>151</v>
      </c>
      <c r="E35" s="2">
        <v>1049000203010</v>
      </c>
      <c r="F35" s="1" t="s">
        <v>152</v>
      </c>
      <c r="G35" s="1" t="s">
        <v>53</v>
      </c>
      <c r="H35" s="1" t="s">
        <v>169</v>
      </c>
      <c r="I35" s="1" t="s">
        <v>170</v>
      </c>
      <c r="J35" s="1" t="s">
        <v>164</v>
      </c>
      <c r="K35" t="s">
        <v>155</v>
      </c>
      <c r="M35" s="1" t="s">
        <v>35</v>
      </c>
      <c r="N35" s="1">
        <v>42318949</v>
      </c>
      <c r="O35" s="1" t="s">
        <v>36</v>
      </c>
      <c r="P35" s="186">
        <v>44420.811944444446</v>
      </c>
      <c r="R35" s="1" t="s">
        <v>38</v>
      </c>
      <c r="T35" s="1" t="s">
        <v>157</v>
      </c>
      <c r="U35" s="186">
        <v>44456.75</v>
      </c>
      <c r="V35" s="1" t="s">
        <v>41</v>
      </c>
      <c r="W35" s="1" t="s">
        <v>49</v>
      </c>
      <c r="X35" s="13" t="str">
        <f>IF(RIGHT(H35,2)&lt;&gt;"00",H35,"")</f>
        <v/>
      </c>
      <c r="Y35" s="2">
        <f ca="1">NETWORKDAYS(P35,$Y$1)</f>
        <v>405</v>
      </c>
      <c r="Z35" s="14">
        <v>1</v>
      </c>
      <c r="AA35" s="1" t="str">
        <f t="shared" ca="1" si="0"/>
        <v>VENCIDO</v>
      </c>
      <c r="AB35" s="1" t="str">
        <f t="shared" si="1"/>
        <v>TAAe+</v>
      </c>
      <c r="AC35" s="2" t="str">
        <f t="shared" si="4"/>
        <v xml:space="preserve"> ROSEMERE </v>
      </c>
      <c r="AD35" s="2">
        <f t="shared" si="2"/>
        <v>8</v>
      </c>
      <c r="AE35" s="2">
        <f t="shared" ca="1" si="3"/>
        <v>-529.9262716435187</v>
      </c>
      <c r="AF35" s="15"/>
    </row>
    <row r="36" spans="1:32" hidden="1">
      <c r="A36" s="1">
        <v>6829198</v>
      </c>
      <c r="B36" s="1" t="s">
        <v>62</v>
      </c>
      <c r="C36" t="s">
        <v>151</v>
      </c>
      <c r="E36" s="2">
        <v>1012000203010</v>
      </c>
      <c r="F36" s="1" t="s">
        <v>152</v>
      </c>
      <c r="G36" s="1" t="s">
        <v>53</v>
      </c>
      <c r="H36" s="1" t="s">
        <v>172</v>
      </c>
      <c r="I36" s="1" t="s">
        <v>173</v>
      </c>
      <c r="J36" s="1" t="s">
        <v>164</v>
      </c>
      <c r="K36" t="s">
        <v>155</v>
      </c>
      <c r="M36" s="1" t="s">
        <v>35</v>
      </c>
      <c r="N36" s="1">
        <v>42318949</v>
      </c>
      <c r="O36" s="1" t="s">
        <v>36</v>
      </c>
      <c r="P36" s="186">
        <v>44420.811932870369</v>
      </c>
      <c r="R36" s="1" t="s">
        <v>38</v>
      </c>
      <c r="T36" s="1" t="s">
        <v>157</v>
      </c>
      <c r="U36" s="186">
        <v>44456.75</v>
      </c>
      <c r="V36" s="1" t="s">
        <v>41</v>
      </c>
      <c r="W36" s="1" t="s">
        <v>49</v>
      </c>
      <c r="X36" s="13" t="str">
        <f>IF(RIGHT(H36,2)&lt;&gt;"00",H36,"")</f>
        <v/>
      </c>
      <c r="Y36" s="2">
        <f ca="1">NETWORKDAYS(P36,$Y$1)</f>
        <v>405</v>
      </c>
      <c r="Z36" s="14">
        <v>1</v>
      </c>
      <c r="AA36" s="1" t="str">
        <f t="shared" ca="1" si="0"/>
        <v>VENCIDO</v>
      </c>
      <c r="AB36" s="1" t="str">
        <f t="shared" si="1"/>
        <v>TAAe+</v>
      </c>
      <c r="AC36" s="2" t="str">
        <f t="shared" si="4"/>
        <v xml:space="preserve"> ROSEMERE </v>
      </c>
      <c r="AD36" s="2">
        <f t="shared" si="2"/>
        <v>8</v>
      </c>
      <c r="AE36" s="2">
        <f t="shared" ca="1" si="3"/>
        <v>-529.9262716435187</v>
      </c>
      <c r="AF36" s="15"/>
    </row>
    <row r="37" spans="1:32" hidden="1">
      <c r="A37" s="1">
        <v>6829184</v>
      </c>
      <c r="B37" s="1" t="s">
        <v>62</v>
      </c>
      <c r="C37" t="s">
        <v>151</v>
      </c>
      <c r="E37" s="2">
        <v>899000203010</v>
      </c>
      <c r="F37" s="1" t="s">
        <v>152</v>
      </c>
      <c r="G37" s="1" t="s">
        <v>53</v>
      </c>
      <c r="H37" s="1" t="s">
        <v>175</v>
      </c>
      <c r="I37" s="1" t="s">
        <v>176</v>
      </c>
      <c r="J37" s="1" t="s">
        <v>90</v>
      </c>
      <c r="K37" t="s">
        <v>155</v>
      </c>
      <c r="M37" s="1" t="s">
        <v>35</v>
      </c>
      <c r="N37" s="1">
        <v>42318949</v>
      </c>
      <c r="O37" s="1" t="s">
        <v>36</v>
      </c>
      <c r="P37" s="186">
        <v>44420.811898148146</v>
      </c>
      <c r="R37" s="1" t="s">
        <v>38</v>
      </c>
      <c r="T37" s="1" t="s">
        <v>157</v>
      </c>
      <c r="U37" s="186">
        <v>44456.75</v>
      </c>
      <c r="V37" s="1" t="s">
        <v>41</v>
      </c>
      <c r="W37" s="1" t="s">
        <v>49</v>
      </c>
      <c r="X37" s="13" t="str">
        <f>IF(RIGHT(H37,2)&lt;&gt;"00",H37,"")</f>
        <v/>
      </c>
      <c r="Y37" s="2">
        <f ca="1">NETWORKDAYS(P37,$Y$1)</f>
        <v>405</v>
      </c>
      <c r="Z37" s="14">
        <v>1</v>
      </c>
      <c r="AA37" s="1" t="str">
        <f t="shared" ca="1" si="0"/>
        <v>VENCIDO</v>
      </c>
      <c r="AB37" s="1" t="str">
        <f t="shared" si="1"/>
        <v>TAAe+</v>
      </c>
      <c r="AC37" s="2" t="str">
        <f t="shared" si="4"/>
        <v xml:space="preserve"> RINALDO </v>
      </c>
      <c r="AD37" s="2">
        <f t="shared" si="2"/>
        <v>8</v>
      </c>
      <c r="AE37" s="2">
        <f t="shared" ca="1" si="3"/>
        <v>-529.9262716435187</v>
      </c>
      <c r="AF37" s="15"/>
    </row>
    <row r="38" spans="1:32" hidden="1">
      <c r="A38" s="1">
        <v>6842502</v>
      </c>
      <c r="B38" s="1" t="s">
        <v>62</v>
      </c>
      <c r="C38" t="s">
        <v>151</v>
      </c>
      <c r="E38" s="2">
        <v>1732000203010</v>
      </c>
      <c r="F38" s="1" t="s">
        <v>152</v>
      </c>
      <c r="G38" s="1" t="s">
        <v>53</v>
      </c>
      <c r="H38" s="1" t="s">
        <v>177</v>
      </c>
      <c r="I38" s="1" t="s">
        <v>178</v>
      </c>
      <c r="J38" s="1" t="s">
        <v>164</v>
      </c>
      <c r="K38" t="s">
        <v>155</v>
      </c>
      <c r="M38" s="1" t="s">
        <v>35</v>
      </c>
      <c r="N38" s="1">
        <v>42318949</v>
      </c>
      <c r="O38" s="1" t="s">
        <v>36</v>
      </c>
      <c r="P38" s="186">
        <v>44421.394976851851</v>
      </c>
      <c r="R38" s="1" t="s">
        <v>38</v>
      </c>
      <c r="T38" s="1" t="s">
        <v>157</v>
      </c>
      <c r="U38" s="186">
        <v>44456.75</v>
      </c>
      <c r="V38" s="1" t="s">
        <v>41</v>
      </c>
      <c r="W38" s="1" t="s">
        <v>49</v>
      </c>
      <c r="X38" s="13" t="str">
        <f>IF(RIGHT(H38,2)&lt;&gt;"00",H38,"")</f>
        <v/>
      </c>
      <c r="Y38" s="2">
        <f ca="1">NETWORKDAYS(P38,$Y$1)</f>
        <v>404</v>
      </c>
      <c r="Z38" s="14">
        <v>1</v>
      </c>
      <c r="AA38" s="1" t="str">
        <f t="shared" ca="1" si="0"/>
        <v>VENCIDO</v>
      </c>
      <c r="AB38" s="1" t="str">
        <f t="shared" si="1"/>
        <v>TAAe+</v>
      </c>
      <c r="AC38" s="2" t="str">
        <f t="shared" si="4"/>
        <v xml:space="preserve"> ROSEMERE </v>
      </c>
      <c r="AD38" s="2">
        <f t="shared" si="2"/>
        <v>8</v>
      </c>
      <c r="AE38" s="2">
        <f t="shared" ca="1" si="3"/>
        <v>-529.9262716435187</v>
      </c>
      <c r="AF38" s="15"/>
    </row>
    <row r="39" spans="1:32" hidden="1">
      <c r="A39" s="1">
        <v>6842406</v>
      </c>
      <c r="B39" s="1" t="s">
        <v>62</v>
      </c>
      <c r="C39" t="s">
        <v>151</v>
      </c>
      <c r="E39" s="2">
        <v>1421000203010</v>
      </c>
      <c r="F39" s="1" t="s">
        <v>152</v>
      </c>
      <c r="G39" s="1" t="s">
        <v>53</v>
      </c>
      <c r="H39" s="1" t="s">
        <v>179</v>
      </c>
      <c r="I39" s="1" t="s">
        <v>180</v>
      </c>
      <c r="J39" s="1" t="s">
        <v>79</v>
      </c>
      <c r="K39" t="s">
        <v>155</v>
      </c>
      <c r="M39" s="1" t="s">
        <v>35</v>
      </c>
      <c r="N39" s="1">
        <v>42318949</v>
      </c>
      <c r="O39" s="1" t="s">
        <v>36</v>
      </c>
      <c r="P39" s="186">
        <v>44421.394791666666</v>
      </c>
      <c r="R39" s="1" t="s">
        <v>38</v>
      </c>
      <c r="T39" s="1" t="s">
        <v>157</v>
      </c>
      <c r="U39" s="186">
        <v>44456.75</v>
      </c>
      <c r="V39" s="1" t="s">
        <v>41</v>
      </c>
      <c r="W39" s="1" t="s">
        <v>49</v>
      </c>
      <c r="X39" s="13" t="str">
        <f>IF(RIGHT(H39,2)&lt;&gt;"00",H39,"")</f>
        <v/>
      </c>
      <c r="Y39" s="2">
        <f ca="1">NETWORKDAYS(P39,$Y$1)</f>
        <v>404</v>
      </c>
      <c r="Z39" s="14">
        <v>1</v>
      </c>
      <c r="AA39" s="1" t="str">
        <f t="shared" ca="1" si="0"/>
        <v>VENCIDO</v>
      </c>
      <c r="AB39" s="1" t="str">
        <f t="shared" si="1"/>
        <v>TAAe+</v>
      </c>
      <c r="AC39" s="2" t="str">
        <f t="shared" si="4"/>
        <v xml:space="preserve"> ROSEMERE </v>
      </c>
      <c r="AD39" s="2">
        <f t="shared" si="2"/>
        <v>8</v>
      </c>
      <c r="AE39" s="2">
        <f t="shared" ca="1" si="3"/>
        <v>-529.9262716435187</v>
      </c>
      <c r="AF39" s="15"/>
    </row>
    <row r="40" spans="1:32" hidden="1">
      <c r="A40" s="1">
        <v>6842400</v>
      </c>
      <c r="B40" s="1" t="s">
        <v>62</v>
      </c>
      <c r="C40" t="s">
        <v>151</v>
      </c>
      <c r="E40" s="2">
        <v>1120000203010</v>
      </c>
      <c r="F40" s="1" t="s">
        <v>152</v>
      </c>
      <c r="G40" s="1" t="s">
        <v>53</v>
      </c>
      <c r="H40" s="1" t="s">
        <v>181</v>
      </c>
      <c r="I40" s="1" t="s">
        <v>182</v>
      </c>
      <c r="J40" s="1" t="s">
        <v>164</v>
      </c>
      <c r="K40" t="s">
        <v>155</v>
      </c>
      <c r="M40" s="1" t="s">
        <v>35</v>
      </c>
      <c r="N40" s="1">
        <v>42318949</v>
      </c>
      <c r="O40" s="1" t="s">
        <v>36</v>
      </c>
      <c r="P40" s="186">
        <v>44421.394780092596</v>
      </c>
      <c r="R40" s="1" t="s">
        <v>38</v>
      </c>
      <c r="T40" s="1" t="s">
        <v>157</v>
      </c>
      <c r="U40" s="186">
        <v>44456.75</v>
      </c>
      <c r="V40" s="1" t="s">
        <v>41</v>
      </c>
      <c r="W40" s="1" t="s">
        <v>49</v>
      </c>
      <c r="X40" s="13" t="str">
        <f>IF(RIGHT(H40,2)&lt;&gt;"00",H40,"")</f>
        <v/>
      </c>
      <c r="Y40" s="2">
        <f ca="1">NETWORKDAYS(P40,$Y$1)</f>
        <v>404</v>
      </c>
      <c r="Z40" s="14">
        <v>1</v>
      </c>
      <c r="AA40" s="1" t="str">
        <f t="shared" ca="1" si="0"/>
        <v>VENCIDO</v>
      </c>
      <c r="AB40" s="1" t="str">
        <f t="shared" si="1"/>
        <v>TAAe+</v>
      </c>
      <c r="AC40" s="2" t="str">
        <f t="shared" si="4"/>
        <v xml:space="preserve"> ROSEMERE </v>
      </c>
      <c r="AD40" s="2">
        <f t="shared" si="2"/>
        <v>8</v>
      </c>
      <c r="AE40" s="2">
        <f t="shared" ca="1" si="3"/>
        <v>-529.9262716435187</v>
      </c>
      <c r="AF40" s="15"/>
    </row>
    <row r="41" spans="1:32" hidden="1">
      <c r="A41" s="1">
        <v>6842393</v>
      </c>
      <c r="B41" s="1" t="s">
        <v>62</v>
      </c>
      <c r="C41" t="s">
        <v>151</v>
      </c>
      <c r="E41" s="2">
        <v>870000203010</v>
      </c>
      <c r="F41" s="1" t="s">
        <v>152</v>
      </c>
      <c r="G41" s="1" t="s">
        <v>53</v>
      </c>
      <c r="H41" s="1" t="s">
        <v>183</v>
      </c>
      <c r="I41" s="1" t="s">
        <v>184</v>
      </c>
      <c r="J41" s="1" t="s">
        <v>90</v>
      </c>
      <c r="K41" t="s">
        <v>155</v>
      </c>
      <c r="M41" s="1" t="s">
        <v>35</v>
      </c>
      <c r="N41" s="1">
        <v>42318949</v>
      </c>
      <c r="O41" s="1" t="s">
        <v>36</v>
      </c>
      <c r="P41" s="186">
        <v>44421.394768518519</v>
      </c>
      <c r="R41" s="1" t="s">
        <v>38</v>
      </c>
      <c r="T41" s="1" t="s">
        <v>157</v>
      </c>
      <c r="U41" s="186">
        <v>44456.75</v>
      </c>
      <c r="V41" s="1" t="s">
        <v>41</v>
      </c>
      <c r="W41" s="1" t="s">
        <v>49</v>
      </c>
      <c r="X41" s="13" t="str">
        <f>IF(RIGHT(H41,2)&lt;&gt;"00",H41,"")</f>
        <v/>
      </c>
      <c r="Y41" s="2">
        <f ca="1">NETWORKDAYS(P41,$Y$1)</f>
        <v>404</v>
      </c>
      <c r="Z41" s="14">
        <v>1</v>
      </c>
      <c r="AA41" s="1" t="str">
        <f t="shared" ca="1" si="0"/>
        <v>VENCIDO</v>
      </c>
      <c r="AB41" s="1" t="str">
        <f t="shared" si="1"/>
        <v>TAAe+</v>
      </c>
      <c r="AC41" s="2" t="str">
        <f t="shared" si="4"/>
        <v xml:space="preserve"> RINALDO </v>
      </c>
      <c r="AD41" s="2">
        <f t="shared" si="2"/>
        <v>8</v>
      </c>
      <c r="AE41" s="2">
        <f t="shared" ca="1" si="3"/>
        <v>-529.9262716435187</v>
      </c>
      <c r="AF41" s="15"/>
    </row>
    <row r="42" spans="1:32" hidden="1">
      <c r="A42" s="1">
        <v>6966972</v>
      </c>
      <c r="B42" s="1" t="s">
        <v>27</v>
      </c>
      <c r="C42" t="s">
        <v>186</v>
      </c>
      <c r="E42" s="2">
        <v>7740206001</v>
      </c>
      <c r="F42" s="1" t="s">
        <v>29</v>
      </c>
      <c r="G42" s="1" t="s">
        <v>53</v>
      </c>
      <c r="H42" s="1" t="s">
        <v>187</v>
      </c>
      <c r="I42" s="1" t="s">
        <v>188</v>
      </c>
      <c r="J42" s="1" t="s">
        <v>46</v>
      </c>
      <c r="K42" t="s">
        <v>34</v>
      </c>
      <c r="M42" s="1" t="s">
        <v>35</v>
      </c>
      <c r="N42" s="1">
        <v>42318949</v>
      </c>
      <c r="O42" s="1" t="s">
        <v>105</v>
      </c>
      <c r="P42" s="186">
        <v>44426.85628472222</v>
      </c>
      <c r="R42" s="1" t="s">
        <v>38</v>
      </c>
      <c r="T42" s="1" t="s">
        <v>74</v>
      </c>
      <c r="U42" s="186">
        <v>44427.75</v>
      </c>
      <c r="V42" s="1" t="s">
        <v>41</v>
      </c>
      <c r="W42" s="1" t="s">
        <v>49</v>
      </c>
      <c r="X42" s="13" t="str">
        <f>IF(RIGHT(H42,2)&lt;&gt;"00",H42,"")</f>
        <v>0007.74</v>
      </c>
      <c r="Y42" s="2">
        <f ca="1">NETWORKDAYS(P42,$Y$1)</f>
        <v>401</v>
      </c>
      <c r="Z42" s="14">
        <v>1</v>
      </c>
      <c r="AA42" s="1" t="str">
        <f t="shared" ca="1" si="0"/>
        <v>VENCIDO</v>
      </c>
      <c r="AB42" s="1" t="str">
        <f t="shared" si="1"/>
        <v>Dosa</v>
      </c>
      <c r="AC42" s="2" t="str">
        <f t="shared" si="4"/>
        <v xml:space="preserve"> CLEITON </v>
      </c>
      <c r="AD42" s="2">
        <f t="shared" si="2"/>
        <v>5</v>
      </c>
      <c r="AE42" s="2">
        <f t="shared" ca="1" si="3"/>
        <v>-558.9262716435187</v>
      </c>
      <c r="AF42" s="15"/>
    </row>
    <row r="43" spans="1:32" hidden="1">
      <c r="A43" s="1">
        <v>6986331</v>
      </c>
      <c r="B43" s="1" t="s">
        <v>27</v>
      </c>
      <c r="C43" t="s">
        <v>186</v>
      </c>
      <c r="E43" s="2">
        <v>2326000206001</v>
      </c>
      <c r="F43" s="1" t="s">
        <v>29</v>
      </c>
      <c r="G43" s="1" t="s">
        <v>53</v>
      </c>
      <c r="H43" s="1" t="s">
        <v>191</v>
      </c>
      <c r="I43" s="1" t="s">
        <v>192</v>
      </c>
      <c r="J43" s="1" t="s">
        <v>46</v>
      </c>
      <c r="K43" t="s">
        <v>34</v>
      </c>
      <c r="M43" s="1" t="s">
        <v>35</v>
      </c>
      <c r="N43" s="1">
        <v>42318949</v>
      </c>
      <c r="O43" s="1" t="s">
        <v>105</v>
      </c>
      <c r="P43" s="186">
        <v>44427.683576388888</v>
      </c>
      <c r="R43" s="1" t="s">
        <v>38</v>
      </c>
      <c r="T43" s="1" t="s">
        <v>74</v>
      </c>
      <c r="U43" s="186">
        <v>44427.75</v>
      </c>
      <c r="V43" s="1" t="s">
        <v>41</v>
      </c>
      <c r="W43" s="1" t="s">
        <v>49</v>
      </c>
      <c r="X43" s="13" t="str">
        <f>IF(RIGHT(H43,2)&lt;&gt;"00",H43,"")</f>
        <v/>
      </c>
      <c r="Y43" s="2">
        <f ca="1">NETWORKDAYS(P43,$Y$1)</f>
        <v>400</v>
      </c>
      <c r="Z43" s="14">
        <v>1</v>
      </c>
      <c r="AA43" s="1" t="str">
        <f t="shared" ca="1" si="0"/>
        <v>VENCIDO</v>
      </c>
      <c r="AB43" s="1" t="str">
        <f t="shared" si="1"/>
        <v>Dosa</v>
      </c>
      <c r="AC43" s="2" t="str">
        <f t="shared" si="4"/>
        <v xml:space="preserve"> CLEITON </v>
      </c>
      <c r="AD43" s="2">
        <f t="shared" si="2"/>
        <v>5</v>
      </c>
      <c r="AE43" s="2">
        <f t="shared" ca="1" si="3"/>
        <v>-558.9262716435187</v>
      </c>
      <c r="AF43" s="15"/>
    </row>
    <row r="44" spans="1:32" hidden="1">
      <c r="A44" s="1">
        <v>6986330</v>
      </c>
      <c r="B44" s="1" t="s">
        <v>27</v>
      </c>
      <c r="C44" t="s">
        <v>186</v>
      </c>
      <c r="E44" s="2">
        <v>2335000206001</v>
      </c>
      <c r="F44" s="1" t="s">
        <v>29</v>
      </c>
      <c r="G44" s="1" t="s">
        <v>53</v>
      </c>
      <c r="H44" s="1" t="s">
        <v>194</v>
      </c>
      <c r="I44" s="1" t="s">
        <v>195</v>
      </c>
      <c r="J44" s="1" t="s">
        <v>110</v>
      </c>
      <c r="K44" t="s">
        <v>34</v>
      </c>
      <c r="M44" s="1" t="s">
        <v>35</v>
      </c>
      <c r="N44" s="1">
        <v>42318949</v>
      </c>
      <c r="O44" s="1" t="s">
        <v>36</v>
      </c>
      <c r="P44" s="186">
        <v>44427.683136574073</v>
      </c>
      <c r="R44" s="1" t="s">
        <v>38</v>
      </c>
      <c r="T44" s="1" t="s">
        <v>74</v>
      </c>
      <c r="U44" s="186">
        <v>44427.75</v>
      </c>
      <c r="V44" s="1" t="s">
        <v>41</v>
      </c>
      <c r="W44" s="1" t="s">
        <v>49</v>
      </c>
      <c r="X44" s="13" t="str">
        <f>IF(RIGHT(H44,2)&lt;&gt;"00",H44,"")</f>
        <v/>
      </c>
      <c r="Y44" s="2">
        <f ca="1">NETWORKDAYS(P44,$Y$1)</f>
        <v>400</v>
      </c>
      <c r="Z44" s="14">
        <v>1</v>
      </c>
      <c r="AA44" s="1" t="str">
        <f t="shared" ca="1" si="0"/>
        <v>VENCIDO</v>
      </c>
      <c r="AB44" s="1" t="str">
        <f t="shared" si="1"/>
        <v>Dosa</v>
      </c>
      <c r="AC44" s="2" t="str">
        <f t="shared" si="4"/>
        <v xml:space="preserve"> CRISTINA </v>
      </c>
      <c r="AD44" s="2">
        <f t="shared" si="2"/>
        <v>5</v>
      </c>
      <c r="AE44" s="2">
        <f t="shared" ca="1" si="3"/>
        <v>-558.9262716435187</v>
      </c>
      <c r="AF44" s="15"/>
    </row>
    <row r="45" spans="1:32" hidden="1">
      <c r="A45" s="1">
        <v>6981314</v>
      </c>
      <c r="B45" s="1" t="s">
        <v>27</v>
      </c>
      <c r="C45" t="s">
        <v>186</v>
      </c>
      <c r="E45" s="2">
        <v>4357010206001</v>
      </c>
      <c r="F45" s="1" t="s">
        <v>29</v>
      </c>
      <c r="G45" s="1" t="s">
        <v>53</v>
      </c>
      <c r="H45" s="1" t="s">
        <v>197</v>
      </c>
      <c r="I45" s="1" t="s">
        <v>198</v>
      </c>
      <c r="J45" s="1" t="s">
        <v>46</v>
      </c>
      <c r="K45" t="s">
        <v>34</v>
      </c>
      <c r="M45" s="1" t="s">
        <v>35</v>
      </c>
      <c r="N45" s="1">
        <v>42318949</v>
      </c>
      <c r="O45" s="1" t="s">
        <v>36</v>
      </c>
      <c r="P45" s="186">
        <v>44427.488483796296</v>
      </c>
      <c r="R45" s="1" t="s">
        <v>38</v>
      </c>
      <c r="T45" s="1" t="s">
        <v>74</v>
      </c>
      <c r="U45" s="186">
        <v>44427.75</v>
      </c>
      <c r="V45" s="1" t="s">
        <v>41</v>
      </c>
      <c r="W45" s="1" t="s">
        <v>49</v>
      </c>
      <c r="X45" s="13" t="str">
        <f>IF(RIGHT(H45,2)&lt;&gt;"00",H45,"")</f>
        <v>4357.01</v>
      </c>
      <c r="Y45" s="2">
        <f ca="1">NETWORKDAYS(P45,$Y$1)</f>
        <v>400</v>
      </c>
      <c r="Z45" s="14">
        <v>1</v>
      </c>
      <c r="AA45" s="1" t="str">
        <f t="shared" ca="1" si="0"/>
        <v>VENCIDO</v>
      </c>
      <c r="AB45" s="1" t="str">
        <f t="shared" si="1"/>
        <v>Dosa</v>
      </c>
      <c r="AC45" s="2" t="str">
        <f t="shared" si="4"/>
        <v xml:space="preserve"> CLEITON </v>
      </c>
      <c r="AD45" s="2">
        <f t="shared" si="2"/>
        <v>5</v>
      </c>
      <c r="AE45" s="2">
        <f t="shared" ca="1" si="3"/>
        <v>-558.9262716435187</v>
      </c>
      <c r="AF45" s="15"/>
    </row>
    <row r="46" spans="1:32" hidden="1">
      <c r="A46" s="1">
        <v>7150745</v>
      </c>
      <c r="B46" s="1" t="s">
        <v>101</v>
      </c>
      <c r="C46" t="s">
        <v>199</v>
      </c>
      <c r="E46" s="2">
        <v>1059002060021</v>
      </c>
      <c r="F46" s="1" t="s">
        <v>103</v>
      </c>
      <c r="G46" s="1" t="s">
        <v>53</v>
      </c>
      <c r="H46" s="1" t="s">
        <v>88</v>
      </c>
      <c r="I46" s="1" t="s">
        <v>89</v>
      </c>
      <c r="J46" s="1" t="s">
        <v>90</v>
      </c>
      <c r="K46" t="s">
        <v>104</v>
      </c>
      <c r="M46" s="1" t="s">
        <v>58</v>
      </c>
      <c r="N46" s="1">
        <v>0</v>
      </c>
      <c r="O46" s="1" t="s">
        <v>36</v>
      </c>
      <c r="P46" s="186">
        <v>44434.404027777775</v>
      </c>
      <c r="R46" s="1" t="s">
        <v>38</v>
      </c>
      <c r="T46" s="1" t="s">
        <v>74</v>
      </c>
      <c r="U46" s="186">
        <v>44434.75</v>
      </c>
      <c r="V46" s="1" t="s">
        <v>41</v>
      </c>
      <c r="W46" s="1" t="s">
        <v>49</v>
      </c>
      <c r="X46" s="13" t="str">
        <f>IF(RIGHT(H46,2)&lt;&gt;"00",H46,"")</f>
        <v/>
      </c>
      <c r="Y46" s="2">
        <f ca="1">NETWORKDAYS(P46,$Y$1)</f>
        <v>395</v>
      </c>
      <c r="Z46" s="14">
        <v>1</v>
      </c>
      <c r="AA46" s="1" t="str">
        <f t="shared" ca="1" si="0"/>
        <v>VENCIDO</v>
      </c>
      <c r="AB46" s="1" t="str">
        <f t="shared" si="1"/>
        <v>Dosa</v>
      </c>
      <c r="AC46" s="2" t="str">
        <f t="shared" si="4"/>
        <v xml:space="preserve"> RINALDO </v>
      </c>
      <c r="AD46" s="2">
        <f t="shared" si="2"/>
        <v>5</v>
      </c>
      <c r="AE46" s="2">
        <f t="shared" ca="1" si="3"/>
        <v>-551.9262716435187</v>
      </c>
      <c r="AF46" s="15"/>
    </row>
    <row r="47" spans="1:32" hidden="1">
      <c r="A47" s="1">
        <v>7150715</v>
      </c>
      <c r="B47" s="1" t="s">
        <v>101</v>
      </c>
      <c r="C47" t="s">
        <v>199</v>
      </c>
      <c r="E47" s="2">
        <v>711002060021</v>
      </c>
      <c r="F47" s="1" t="s">
        <v>103</v>
      </c>
      <c r="G47" s="1" t="s">
        <v>53</v>
      </c>
      <c r="H47" s="1" t="s">
        <v>77</v>
      </c>
      <c r="I47" s="1" t="s">
        <v>78</v>
      </c>
      <c r="J47" s="1" t="s">
        <v>79</v>
      </c>
      <c r="K47" t="s">
        <v>104</v>
      </c>
      <c r="M47" s="1" t="s">
        <v>58</v>
      </c>
      <c r="N47" s="1">
        <v>0</v>
      </c>
      <c r="O47" s="1" t="s">
        <v>105</v>
      </c>
      <c r="P47" s="186">
        <v>44434.403935185182</v>
      </c>
      <c r="R47" s="1" t="s">
        <v>38</v>
      </c>
      <c r="T47" s="1" t="s">
        <v>74</v>
      </c>
      <c r="U47" s="186">
        <v>44434.75</v>
      </c>
      <c r="V47" s="1" t="s">
        <v>41</v>
      </c>
      <c r="W47" s="1" t="s">
        <v>49</v>
      </c>
      <c r="X47" s="13" t="str">
        <f>IF(RIGHT(H47,2)&lt;&gt;"00",H47,"")</f>
        <v/>
      </c>
      <c r="Y47" s="2">
        <f ca="1">NETWORKDAYS(P47,$Y$1)</f>
        <v>395</v>
      </c>
      <c r="Z47" s="14">
        <v>1</v>
      </c>
      <c r="AA47" s="1" t="str">
        <f t="shared" ca="1" si="0"/>
        <v>VENCIDO</v>
      </c>
      <c r="AB47" s="1" t="str">
        <f t="shared" si="1"/>
        <v>Dosa</v>
      </c>
      <c r="AC47" s="2" t="str">
        <f t="shared" si="4"/>
        <v xml:space="preserve"> ROSEMERE </v>
      </c>
      <c r="AD47" s="2">
        <f t="shared" si="2"/>
        <v>5</v>
      </c>
      <c r="AE47" s="2">
        <f t="shared" ca="1" si="3"/>
        <v>-551.9262716435187</v>
      </c>
      <c r="AF47" s="15"/>
    </row>
    <row r="48" spans="1:32" hidden="1">
      <c r="A48" s="181">
        <v>7150500</v>
      </c>
      <c r="B48" s="181" t="s">
        <v>101</v>
      </c>
      <c r="C48" s="182" t="s">
        <v>3573</v>
      </c>
      <c r="D48" s="183"/>
      <c r="E48" s="183">
        <v>9705000206121</v>
      </c>
      <c r="F48" s="181" t="s">
        <v>113</v>
      </c>
      <c r="G48" s="181" t="s">
        <v>53</v>
      </c>
      <c r="H48" s="181" t="s">
        <v>204</v>
      </c>
      <c r="I48" s="181" t="s">
        <v>205</v>
      </c>
      <c r="J48" s="181" t="s">
        <v>90</v>
      </c>
      <c r="K48" t="s">
        <v>116</v>
      </c>
      <c r="M48" s="1" t="s">
        <v>35</v>
      </c>
      <c r="N48" s="1">
        <v>42318949</v>
      </c>
      <c r="O48" s="1" t="s">
        <v>105</v>
      </c>
      <c r="P48" s="186">
        <v>44434.403564814813</v>
      </c>
      <c r="R48" s="1" t="s">
        <v>38</v>
      </c>
      <c r="T48" s="1" t="s">
        <v>74</v>
      </c>
      <c r="U48" s="186">
        <v>44434.75</v>
      </c>
      <c r="V48" s="1" t="s">
        <v>41</v>
      </c>
      <c r="W48" s="1" t="s">
        <v>49</v>
      </c>
      <c r="X48" s="13" t="str">
        <f>IF(RIGHT(H48,2)&lt;&gt;"00",H48,"")</f>
        <v/>
      </c>
      <c r="Y48" s="2">
        <f ca="1">NETWORKDAYS(P48,$Y$1)</f>
        <v>395</v>
      </c>
      <c r="Z48" s="14">
        <v>1</v>
      </c>
      <c r="AA48" s="1" t="str">
        <f t="shared" ca="1" si="0"/>
        <v>VENCIDO</v>
      </c>
      <c r="AB48" s="1" t="str">
        <f t="shared" si="1"/>
        <v>TAAe+</v>
      </c>
      <c r="AC48" s="2" t="str">
        <f t="shared" si="4"/>
        <v xml:space="preserve"> RINALDO </v>
      </c>
      <c r="AD48" s="2">
        <f t="shared" si="2"/>
        <v>8</v>
      </c>
      <c r="AE48" s="2">
        <f t="shared" ca="1" si="3"/>
        <v>-551.9262716435187</v>
      </c>
      <c r="AF48" s="15"/>
    </row>
    <row r="49" spans="1:32" hidden="1">
      <c r="A49" s="1">
        <v>7149319</v>
      </c>
      <c r="B49" s="1" t="s">
        <v>101</v>
      </c>
      <c r="C49" t="s">
        <v>207</v>
      </c>
      <c r="E49" s="2">
        <v>9700000206215</v>
      </c>
      <c r="F49" s="1" t="s">
        <v>208</v>
      </c>
      <c r="G49" s="1" t="s">
        <v>53</v>
      </c>
      <c r="H49" s="1" t="s">
        <v>209</v>
      </c>
      <c r="I49" s="1" t="s">
        <v>210</v>
      </c>
      <c r="J49" s="1" t="s">
        <v>211</v>
      </c>
      <c r="K49" t="s">
        <v>212</v>
      </c>
      <c r="M49" s="1" t="s">
        <v>35</v>
      </c>
      <c r="N49" s="1">
        <v>42318949</v>
      </c>
      <c r="O49" s="1" t="s">
        <v>105</v>
      </c>
      <c r="P49" s="186">
        <v>44434.401979166665</v>
      </c>
      <c r="R49" s="1" t="s">
        <v>38</v>
      </c>
      <c r="T49" s="1" t="s">
        <v>74</v>
      </c>
      <c r="U49" s="186">
        <v>44434.75</v>
      </c>
      <c r="V49" s="1" t="s">
        <v>41</v>
      </c>
      <c r="W49" s="1" t="s">
        <v>49</v>
      </c>
      <c r="X49" s="13" t="str">
        <f>IF(RIGHT(H49,2)&lt;&gt;"00",H49,"")</f>
        <v/>
      </c>
      <c r="Y49" s="2">
        <f ca="1">NETWORKDAYS(P49,$Y$1)</f>
        <v>395</v>
      </c>
      <c r="Z49" s="14">
        <v>1</v>
      </c>
      <c r="AA49" s="1" t="str">
        <f t="shared" ca="1" si="0"/>
        <v>VENCIDO</v>
      </c>
      <c r="AB49" s="1" t="str">
        <f t="shared" si="1"/>
        <v>TAAe+</v>
      </c>
      <c r="AC49" s="2" t="str">
        <f t="shared" si="4"/>
        <v xml:space="preserve"> RINALDO </v>
      </c>
      <c r="AD49" s="2">
        <f t="shared" si="2"/>
        <v>8</v>
      </c>
      <c r="AE49" s="2">
        <f t="shared" ca="1" si="3"/>
        <v>-551.9262716435187</v>
      </c>
      <c r="AF49" s="15"/>
    </row>
    <row r="50" spans="1:32" hidden="1">
      <c r="A50" s="1">
        <v>7148873</v>
      </c>
      <c r="B50" s="1" t="s">
        <v>101</v>
      </c>
      <c r="C50" t="s">
        <v>207</v>
      </c>
      <c r="E50" s="2">
        <v>9700000206206</v>
      </c>
      <c r="F50" s="1" t="s">
        <v>208</v>
      </c>
      <c r="G50" s="1" t="s">
        <v>53</v>
      </c>
      <c r="H50" s="1" t="s">
        <v>209</v>
      </c>
      <c r="I50" s="1" t="s">
        <v>210</v>
      </c>
      <c r="J50" s="1" t="s">
        <v>211</v>
      </c>
      <c r="K50" t="s">
        <v>212</v>
      </c>
      <c r="M50" s="1" t="s">
        <v>35</v>
      </c>
      <c r="N50" s="1">
        <v>42318949</v>
      </c>
      <c r="O50" s="1" t="s">
        <v>105</v>
      </c>
      <c r="P50" s="186">
        <v>44434.401319444441</v>
      </c>
      <c r="R50" s="1" t="s">
        <v>38</v>
      </c>
      <c r="T50" s="1" t="s">
        <v>74</v>
      </c>
      <c r="U50" s="186">
        <v>44434.75</v>
      </c>
      <c r="V50" s="1" t="s">
        <v>41</v>
      </c>
      <c r="W50" s="1" t="s">
        <v>49</v>
      </c>
      <c r="X50" s="13" t="str">
        <f>IF(RIGHT(H50,2)&lt;&gt;"00",H50,"")</f>
        <v/>
      </c>
      <c r="Y50" s="2">
        <f ca="1">NETWORKDAYS(P50,$Y$1)</f>
        <v>395</v>
      </c>
      <c r="Z50" s="14">
        <v>1</v>
      </c>
      <c r="AA50" s="1" t="str">
        <f t="shared" ca="1" si="0"/>
        <v>VENCIDO</v>
      </c>
      <c r="AB50" s="1" t="str">
        <f t="shared" si="1"/>
        <v>TAAe+</v>
      </c>
      <c r="AC50" s="2" t="str">
        <f t="shared" si="4"/>
        <v xml:space="preserve"> RINALDO </v>
      </c>
      <c r="AD50" s="2">
        <f t="shared" si="2"/>
        <v>8</v>
      </c>
      <c r="AE50" s="2">
        <f t="shared" ca="1" si="3"/>
        <v>-551.9262716435187</v>
      </c>
      <c r="AF50" s="15"/>
    </row>
    <row r="51" spans="1:32" hidden="1">
      <c r="A51" s="1">
        <v>7148559</v>
      </c>
      <c r="B51" s="1" t="s">
        <v>101</v>
      </c>
      <c r="C51" t="s">
        <v>207</v>
      </c>
      <c r="E51" s="2">
        <v>9700000206208</v>
      </c>
      <c r="F51" s="1" t="s">
        <v>208</v>
      </c>
      <c r="G51" s="1" t="s">
        <v>53</v>
      </c>
      <c r="H51" s="1" t="s">
        <v>209</v>
      </c>
      <c r="I51" s="1" t="s">
        <v>210</v>
      </c>
      <c r="J51" s="1" t="s">
        <v>211</v>
      </c>
      <c r="K51" t="s">
        <v>212</v>
      </c>
      <c r="M51" s="1" t="s">
        <v>35</v>
      </c>
      <c r="N51" s="1">
        <v>42318949</v>
      </c>
      <c r="O51" s="1" t="s">
        <v>105</v>
      </c>
      <c r="P51" s="186">
        <v>44434.400891203702</v>
      </c>
      <c r="R51" s="1" t="s">
        <v>38</v>
      </c>
      <c r="T51" s="1" t="s">
        <v>74</v>
      </c>
      <c r="U51" s="186">
        <v>44434.75</v>
      </c>
      <c r="V51" s="1" t="s">
        <v>41</v>
      </c>
      <c r="W51" s="1" t="s">
        <v>49</v>
      </c>
      <c r="X51" s="13" t="str">
        <f>IF(RIGHT(H51,2)&lt;&gt;"00",H51,"")</f>
        <v/>
      </c>
      <c r="Y51" s="2">
        <f ca="1">NETWORKDAYS(P51,$Y$1)</f>
        <v>395</v>
      </c>
      <c r="Z51" s="14">
        <v>1</v>
      </c>
      <c r="AA51" s="1" t="str">
        <f t="shared" ca="1" si="0"/>
        <v>VENCIDO</v>
      </c>
      <c r="AB51" s="1" t="str">
        <f t="shared" si="1"/>
        <v>TAAe+</v>
      </c>
      <c r="AC51" s="2" t="str">
        <f t="shared" si="4"/>
        <v xml:space="preserve"> RINALDO </v>
      </c>
      <c r="AD51" s="2">
        <f t="shared" si="2"/>
        <v>8</v>
      </c>
      <c r="AE51" s="2">
        <f t="shared" ca="1" si="3"/>
        <v>-551.9262716435187</v>
      </c>
      <c r="AF51" s="15"/>
    </row>
    <row r="52" spans="1:32" hidden="1">
      <c r="A52" s="1">
        <v>7148259</v>
      </c>
      <c r="B52" s="1" t="s">
        <v>101</v>
      </c>
      <c r="C52" t="s">
        <v>207</v>
      </c>
      <c r="E52" s="2">
        <v>9700000206202</v>
      </c>
      <c r="F52" s="1" t="s">
        <v>208</v>
      </c>
      <c r="G52" s="1" t="s">
        <v>53</v>
      </c>
      <c r="H52" s="1" t="s">
        <v>209</v>
      </c>
      <c r="I52" s="1" t="s">
        <v>210</v>
      </c>
      <c r="J52" s="1" t="s">
        <v>211</v>
      </c>
      <c r="K52" t="s">
        <v>212</v>
      </c>
      <c r="M52" s="1" t="s">
        <v>35</v>
      </c>
      <c r="N52" s="1">
        <v>42318949</v>
      </c>
      <c r="O52" s="1" t="s">
        <v>105</v>
      </c>
      <c r="P52" s="186">
        <v>44434.400416666664</v>
      </c>
      <c r="R52" s="1" t="s">
        <v>38</v>
      </c>
      <c r="T52" s="1" t="s">
        <v>74</v>
      </c>
      <c r="U52" s="186">
        <v>44434.75</v>
      </c>
      <c r="V52" s="1" t="s">
        <v>41</v>
      </c>
      <c r="W52" s="1" t="s">
        <v>49</v>
      </c>
      <c r="X52" s="13" t="str">
        <f>IF(RIGHT(H52,2)&lt;&gt;"00",H52,"")</f>
        <v/>
      </c>
      <c r="Y52" s="2">
        <f ca="1">NETWORKDAYS(P52,$Y$1)</f>
        <v>395</v>
      </c>
      <c r="Z52" s="14">
        <v>1</v>
      </c>
      <c r="AA52" s="1" t="str">
        <f t="shared" ca="1" si="0"/>
        <v>VENCIDO</v>
      </c>
      <c r="AB52" s="1" t="str">
        <f t="shared" si="1"/>
        <v>TAAe+</v>
      </c>
      <c r="AC52" s="2" t="str">
        <f t="shared" si="4"/>
        <v xml:space="preserve"> RINALDO </v>
      </c>
      <c r="AD52" s="2">
        <f t="shared" si="2"/>
        <v>8</v>
      </c>
      <c r="AE52" s="2">
        <f t="shared" ca="1" si="3"/>
        <v>-551.9262716435187</v>
      </c>
      <c r="AF52" s="15"/>
    </row>
    <row r="53" spans="1:32" hidden="1">
      <c r="A53" s="1">
        <v>7148258</v>
      </c>
      <c r="B53" s="1" t="s">
        <v>101</v>
      </c>
      <c r="C53" t="s">
        <v>207</v>
      </c>
      <c r="E53" s="2">
        <v>9700000206200</v>
      </c>
      <c r="F53" s="1" t="s">
        <v>208</v>
      </c>
      <c r="G53" s="1" t="s">
        <v>53</v>
      </c>
      <c r="H53" s="1" t="s">
        <v>209</v>
      </c>
      <c r="I53" s="1" t="s">
        <v>210</v>
      </c>
      <c r="J53" s="1" t="s">
        <v>211</v>
      </c>
      <c r="K53" t="s">
        <v>212</v>
      </c>
      <c r="M53" s="1" t="s">
        <v>35</v>
      </c>
      <c r="N53" s="1">
        <v>42318949</v>
      </c>
      <c r="O53" s="1" t="s">
        <v>105</v>
      </c>
      <c r="P53" s="186">
        <v>44434.400405092594</v>
      </c>
      <c r="R53" s="1" t="s">
        <v>38</v>
      </c>
      <c r="T53" s="1" t="s">
        <v>74</v>
      </c>
      <c r="U53" s="186">
        <v>44434.75</v>
      </c>
      <c r="V53" s="1" t="s">
        <v>41</v>
      </c>
      <c r="W53" s="1" t="s">
        <v>49</v>
      </c>
      <c r="X53" s="13" t="str">
        <f>IF(RIGHT(H53,2)&lt;&gt;"00",H53,"")</f>
        <v/>
      </c>
      <c r="Y53" s="2">
        <f ca="1">NETWORKDAYS(P53,$Y$1)</f>
        <v>395</v>
      </c>
      <c r="Z53" s="14">
        <v>1</v>
      </c>
      <c r="AA53" s="1" t="str">
        <f t="shared" ca="1" si="0"/>
        <v>VENCIDO</v>
      </c>
      <c r="AB53" s="1" t="str">
        <f t="shared" si="1"/>
        <v>TAAe+</v>
      </c>
      <c r="AC53" s="2" t="str">
        <f t="shared" si="4"/>
        <v xml:space="preserve"> RINALDO </v>
      </c>
      <c r="AD53" s="2">
        <f t="shared" si="2"/>
        <v>8</v>
      </c>
      <c r="AE53" s="2">
        <f t="shared" ca="1" si="3"/>
        <v>-551.9262716435187</v>
      </c>
      <c r="AF53" s="15"/>
    </row>
    <row r="54" spans="1:32" hidden="1">
      <c r="A54" s="1">
        <v>7148018</v>
      </c>
      <c r="B54" s="1" t="s">
        <v>101</v>
      </c>
      <c r="C54" t="s">
        <v>207</v>
      </c>
      <c r="E54" s="2">
        <v>9700000206214</v>
      </c>
      <c r="F54" s="1" t="s">
        <v>208</v>
      </c>
      <c r="G54" s="1" t="s">
        <v>53</v>
      </c>
      <c r="H54" s="1" t="s">
        <v>209</v>
      </c>
      <c r="I54" s="1" t="s">
        <v>210</v>
      </c>
      <c r="J54" s="1" t="s">
        <v>211</v>
      </c>
      <c r="K54" t="s">
        <v>212</v>
      </c>
      <c r="M54" s="1" t="s">
        <v>35</v>
      </c>
      <c r="N54" s="1">
        <v>42318949</v>
      </c>
      <c r="O54" s="1" t="s">
        <v>105</v>
      </c>
      <c r="P54" s="186">
        <v>44434.399953703702</v>
      </c>
      <c r="R54" s="1" t="s">
        <v>38</v>
      </c>
      <c r="T54" s="1" t="s">
        <v>74</v>
      </c>
      <c r="U54" s="186">
        <v>44434.75</v>
      </c>
      <c r="V54" s="1" t="s">
        <v>41</v>
      </c>
      <c r="W54" s="1" t="s">
        <v>49</v>
      </c>
      <c r="X54" s="13" t="str">
        <f>IF(RIGHT(H54,2)&lt;&gt;"00",H54,"")</f>
        <v/>
      </c>
      <c r="Y54" s="2">
        <f ca="1">NETWORKDAYS(P54,$Y$1)</f>
        <v>395</v>
      </c>
      <c r="Z54" s="14">
        <v>1</v>
      </c>
      <c r="AA54" s="1" t="str">
        <f t="shared" ca="1" si="0"/>
        <v>VENCIDO</v>
      </c>
      <c r="AB54" s="1" t="str">
        <f t="shared" si="1"/>
        <v>TAAe+</v>
      </c>
      <c r="AC54" s="2" t="str">
        <f t="shared" si="4"/>
        <v xml:space="preserve"> RINALDO </v>
      </c>
      <c r="AD54" s="2">
        <f t="shared" si="2"/>
        <v>8</v>
      </c>
      <c r="AE54" s="2">
        <f t="shared" ca="1" si="3"/>
        <v>-551.9262716435187</v>
      </c>
      <c r="AF54" s="15"/>
    </row>
    <row r="55" spans="1:32" hidden="1">
      <c r="A55" s="1">
        <v>7147788</v>
      </c>
      <c r="B55" s="1" t="s">
        <v>101</v>
      </c>
      <c r="C55" t="s">
        <v>207</v>
      </c>
      <c r="E55" s="2">
        <v>9700000206219</v>
      </c>
      <c r="F55" s="1" t="s">
        <v>208</v>
      </c>
      <c r="G55" s="1" t="s">
        <v>53</v>
      </c>
      <c r="H55" s="1" t="s">
        <v>209</v>
      </c>
      <c r="I55" s="1" t="s">
        <v>210</v>
      </c>
      <c r="J55" s="1" t="s">
        <v>211</v>
      </c>
      <c r="K55" t="s">
        <v>212</v>
      </c>
      <c r="M55" s="1" t="s">
        <v>35</v>
      </c>
      <c r="N55" s="1">
        <v>42318949</v>
      </c>
      <c r="O55" s="1" t="s">
        <v>105</v>
      </c>
      <c r="P55" s="186">
        <v>44434.39947916667</v>
      </c>
      <c r="R55" s="1" t="s">
        <v>38</v>
      </c>
      <c r="T55" s="1" t="s">
        <v>74</v>
      </c>
      <c r="U55" s="186">
        <v>44434.75</v>
      </c>
      <c r="V55" s="1" t="s">
        <v>41</v>
      </c>
      <c r="W55" s="1" t="s">
        <v>49</v>
      </c>
      <c r="X55" s="13" t="str">
        <f>IF(RIGHT(H55,2)&lt;&gt;"00",H55,"")</f>
        <v/>
      </c>
      <c r="Y55" s="2">
        <f ca="1">NETWORKDAYS(P55,$Y$1)</f>
        <v>395</v>
      </c>
      <c r="Z55" s="14">
        <v>1</v>
      </c>
      <c r="AA55" s="1" t="str">
        <f t="shared" ca="1" si="0"/>
        <v>VENCIDO</v>
      </c>
      <c r="AB55" s="1" t="str">
        <f t="shared" si="1"/>
        <v>TAAe+</v>
      </c>
      <c r="AC55" s="2" t="str">
        <f t="shared" si="4"/>
        <v xml:space="preserve"> RINALDO </v>
      </c>
      <c r="AD55" s="2">
        <f t="shared" si="2"/>
        <v>8</v>
      </c>
      <c r="AE55" s="2">
        <f t="shared" ca="1" si="3"/>
        <v>-551.9262716435187</v>
      </c>
      <c r="AF55" s="15"/>
    </row>
    <row r="56" spans="1:32" hidden="1">
      <c r="A56" s="1">
        <v>7147787</v>
      </c>
      <c r="B56" s="1" t="s">
        <v>101</v>
      </c>
      <c r="C56" t="s">
        <v>207</v>
      </c>
      <c r="E56" s="2">
        <v>9700000206210</v>
      </c>
      <c r="F56" s="1" t="s">
        <v>208</v>
      </c>
      <c r="G56" s="1" t="s">
        <v>53</v>
      </c>
      <c r="H56" s="1" t="s">
        <v>209</v>
      </c>
      <c r="I56" s="1" t="s">
        <v>210</v>
      </c>
      <c r="J56" s="1" t="s">
        <v>211</v>
      </c>
      <c r="K56" t="s">
        <v>212</v>
      </c>
      <c r="M56" s="1" t="s">
        <v>35</v>
      </c>
      <c r="N56" s="1">
        <v>42318949</v>
      </c>
      <c r="O56" s="1" t="s">
        <v>105</v>
      </c>
      <c r="P56" s="186">
        <v>44434.39947916667</v>
      </c>
      <c r="R56" s="1" t="s">
        <v>38</v>
      </c>
      <c r="T56" s="1" t="s">
        <v>74</v>
      </c>
      <c r="U56" s="186">
        <v>44434.75</v>
      </c>
      <c r="V56" s="1" t="s">
        <v>41</v>
      </c>
      <c r="W56" s="1" t="s">
        <v>49</v>
      </c>
      <c r="X56" s="13" t="str">
        <f>IF(RIGHT(H56,2)&lt;&gt;"00",H56,"")</f>
        <v/>
      </c>
      <c r="Y56" s="2">
        <f ca="1">NETWORKDAYS(P56,$Y$1)</f>
        <v>395</v>
      </c>
      <c r="Z56" s="14">
        <v>1</v>
      </c>
      <c r="AA56" s="1" t="str">
        <f t="shared" ca="1" si="0"/>
        <v>VENCIDO</v>
      </c>
      <c r="AB56" s="1" t="str">
        <f t="shared" si="1"/>
        <v>TAAe+</v>
      </c>
      <c r="AC56" s="2" t="str">
        <f t="shared" si="4"/>
        <v xml:space="preserve"> RINALDO </v>
      </c>
      <c r="AD56" s="2">
        <f t="shared" si="2"/>
        <v>8</v>
      </c>
      <c r="AE56" s="2">
        <f t="shared" ca="1" si="3"/>
        <v>-551.9262716435187</v>
      </c>
      <c r="AF56" s="15"/>
    </row>
    <row r="57" spans="1:32" hidden="1">
      <c r="A57" s="1">
        <v>7146947</v>
      </c>
      <c r="B57" s="1" t="s">
        <v>101</v>
      </c>
      <c r="C57" t="s">
        <v>207</v>
      </c>
      <c r="E57" s="2">
        <v>9700000206218</v>
      </c>
      <c r="F57" s="1" t="s">
        <v>208</v>
      </c>
      <c r="G57" s="1" t="s">
        <v>53</v>
      </c>
      <c r="H57" s="1" t="s">
        <v>209</v>
      </c>
      <c r="I57" s="1" t="s">
        <v>210</v>
      </c>
      <c r="J57" s="1" t="s">
        <v>211</v>
      </c>
      <c r="K57" t="s">
        <v>212</v>
      </c>
      <c r="M57" s="1" t="s">
        <v>35</v>
      </c>
      <c r="N57" s="1">
        <v>42318949</v>
      </c>
      <c r="O57" s="1" t="s">
        <v>105</v>
      </c>
      <c r="P57" s="186">
        <v>44434.398113425923</v>
      </c>
      <c r="R57" s="1" t="s">
        <v>38</v>
      </c>
      <c r="T57" s="1" t="s">
        <v>74</v>
      </c>
      <c r="U57" s="186">
        <v>44434.75</v>
      </c>
      <c r="V57" s="1" t="s">
        <v>41</v>
      </c>
      <c r="W57" s="1" t="s">
        <v>49</v>
      </c>
      <c r="X57" s="13" t="str">
        <f>IF(RIGHT(H57,2)&lt;&gt;"00",H57,"")</f>
        <v/>
      </c>
      <c r="Y57" s="2">
        <f ca="1">NETWORKDAYS(P57,$Y$1)</f>
        <v>395</v>
      </c>
      <c r="Z57" s="14">
        <v>1</v>
      </c>
      <c r="AA57" s="1" t="str">
        <f t="shared" ca="1" si="0"/>
        <v>VENCIDO</v>
      </c>
      <c r="AB57" s="1" t="str">
        <f t="shared" si="1"/>
        <v>TAAe+</v>
      </c>
      <c r="AC57" s="2" t="str">
        <f t="shared" si="4"/>
        <v xml:space="preserve"> RINALDO </v>
      </c>
      <c r="AD57" s="2">
        <f t="shared" si="2"/>
        <v>8</v>
      </c>
      <c r="AE57" s="2">
        <f t="shared" ca="1" si="3"/>
        <v>-551.9262716435187</v>
      </c>
      <c r="AF57" s="15"/>
    </row>
    <row r="58" spans="1:32" hidden="1">
      <c r="A58" s="1">
        <v>7146818</v>
      </c>
      <c r="B58" s="1" t="s">
        <v>101</v>
      </c>
      <c r="C58" t="s">
        <v>207</v>
      </c>
      <c r="E58" s="2">
        <v>9700000206203</v>
      </c>
      <c r="F58" s="1" t="s">
        <v>208</v>
      </c>
      <c r="G58" s="1" t="s">
        <v>53</v>
      </c>
      <c r="H58" s="1" t="s">
        <v>209</v>
      </c>
      <c r="I58" s="1" t="s">
        <v>210</v>
      </c>
      <c r="J58" s="1" t="s">
        <v>211</v>
      </c>
      <c r="K58" t="s">
        <v>212</v>
      </c>
      <c r="M58" s="1" t="s">
        <v>35</v>
      </c>
      <c r="N58" s="1">
        <v>42318949</v>
      </c>
      <c r="O58" s="1" t="s">
        <v>105</v>
      </c>
      <c r="P58" s="186">
        <v>44434.397800925923</v>
      </c>
      <c r="R58" s="1" t="s">
        <v>38</v>
      </c>
      <c r="T58" s="1" t="s">
        <v>74</v>
      </c>
      <c r="U58" s="186">
        <v>44434.75</v>
      </c>
      <c r="V58" s="1" t="s">
        <v>41</v>
      </c>
      <c r="W58" s="1" t="s">
        <v>49</v>
      </c>
      <c r="X58" s="13" t="str">
        <f>IF(RIGHT(H58,2)&lt;&gt;"00",H58,"")</f>
        <v/>
      </c>
      <c r="Y58" s="2">
        <f ca="1">NETWORKDAYS(P58,$Y$1)</f>
        <v>395</v>
      </c>
      <c r="Z58" s="14">
        <v>1</v>
      </c>
      <c r="AA58" s="1" t="str">
        <f t="shared" ca="1" si="0"/>
        <v>VENCIDO</v>
      </c>
      <c r="AB58" s="1" t="str">
        <f t="shared" si="1"/>
        <v>TAAe+</v>
      </c>
      <c r="AC58" s="2" t="str">
        <f t="shared" si="4"/>
        <v xml:space="preserve"> RINALDO </v>
      </c>
      <c r="AD58" s="2">
        <f t="shared" si="2"/>
        <v>8</v>
      </c>
      <c r="AE58" s="2">
        <f t="shared" ca="1" si="3"/>
        <v>-551.9262716435187</v>
      </c>
      <c r="AF58" s="15"/>
    </row>
    <row r="59" spans="1:32" hidden="1">
      <c r="A59" s="1">
        <v>7146758</v>
      </c>
      <c r="B59" s="1" t="s">
        <v>101</v>
      </c>
      <c r="C59" t="s">
        <v>207</v>
      </c>
      <c r="E59" s="2">
        <v>9700000206201</v>
      </c>
      <c r="F59" s="1" t="s">
        <v>208</v>
      </c>
      <c r="G59" s="1" t="s">
        <v>53</v>
      </c>
      <c r="H59" s="1" t="s">
        <v>209</v>
      </c>
      <c r="I59" s="1" t="s">
        <v>210</v>
      </c>
      <c r="J59" s="1" t="s">
        <v>211</v>
      </c>
      <c r="K59" t="s">
        <v>212</v>
      </c>
      <c r="M59" s="1" t="s">
        <v>35</v>
      </c>
      <c r="N59" s="1">
        <v>42318949</v>
      </c>
      <c r="O59" s="1" t="s">
        <v>105</v>
      </c>
      <c r="P59" s="186">
        <v>44434.397673611114</v>
      </c>
      <c r="R59" s="1" t="s">
        <v>38</v>
      </c>
      <c r="T59" s="1" t="s">
        <v>74</v>
      </c>
      <c r="U59" s="186">
        <v>44434.75</v>
      </c>
      <c r="V59" s="1" t="s">
        <v>41</v>
      </c>
      <c r="W59" s="1" t="s">
        <v>49</v>
      </c>
      <c r="X59" s="13" t="str">
        <f>IF(RIGHT(H59,2)&lt;&gt;"00",H59,"")</f>
        <v/>
      </c>
      <c r="Y59" s="2">
        <f ca="1">NETWORKDAYS(P59,$Y$1)</f>
        <v>395</v>
      </c>
      <c r="Z59" s="14">
        <v>1</v>
      </c>
      <c r="AA59" s="1" t="str">
        <f t="shared" ca="1" si="0"/>
        <v>VENCIDO</v>
      </c>
      <c r="AB59" s="1" t="str">
        <f t="shared" si="1"/>
        <v>TAAe+</v>
      </c>
      <c r="AC59" s="2" t="str">
        <f t="shared" si="4"/>
        <v xml:space="preserve"> RINALDO </v>
      </c>
      <c r="AD59" s="2">
        <f t="shared" si="2"/>
        <v>8</v>
      </c>
      <c r="AE59" s="2">
        <f t="shared" ca="1" si="3"/>
        <v>-551.9262716435187</v>
      </c>
      <c r="AF59" s="15"/>
    </row>
    <row r="60" spans="1:32" hidden="1">
      <c r="A60" s="1">
        <v>7146156</v>
      </c>
      <c r="B60" s="1" t="s">
        <v>101</v>
      </c>
      <c r="C60" t="s">
        <v>207</v>
      </c>
      <c r="E60" s="2">
        <v>9700000206205</v>
      </c>
      <c r="F60" s="1" t="s">
        <v>208</v>
      </c>
      <c r="G60" s="1" t="s">
        <v>53</v>
      </c>
      <c r="H60" s="1" t="s">
        <v>209</v>
      </c>
      <c r="I60" s="1" t="s">
        <v>210</v>
      </c>
      <c r="J60" s="1" t="s">
        <v>211</v>
      </c>
      <c r="K60" t="s">
        <v>212</v>
      </c>
      <c r="M60" s="1" t="s">
        <v>35</v>
      </c>
      <c r="N60" s="1">
        <v>42318949</v>
      </c>
      <c r="O60" s="1" t="s">
        <v>105</v>
      </c>
      <c r="P60" s="186">
        <v>44434.396678240744</v>
      </c>
      <c r="R60" s="1" t="s">
        <v>38</v>
      </c>
      <c r="T60" s="1" t="s">
        <v>74</v>
      </c>
      <c r="U60" s="186">
        <v>44434.75</v>
      </c>
      <c r="V60" s="1" t="s">
        <v>41</v>
      </c>
      <c r="W60" s="1" t="s">
        <v>49</v>
      </c>
      <c r="X60" s="13" t="str">
        <f>IF(RIGHT(H60,2)&lt;&gt;"00",H60,"")</f>
        <v/>
      </c>
      <c r="Y60" s="2">
        <f ca="1">NETWORKDAYS(P60,$Y$1)</f>
        <v>395</v>
      </c>
      <c r="Z60" s="14">
        <v>1</v>
      </c>
      <c r="AA60" s="1" t="str">
        <f t="shared" ca="1" si="0"/>
        <v>VENCIDO</v>
      </c>
      <c r="AB60" s="1" t="str">
        <f t="shared" si="1"/>
        <v>TAAe+</v>
      </c>
      <c r="AC60" s="2" t="str">
        <f t="shared" si="4"/>
        <v xml:space="preserve"> RINALDO </v>
      </c>
      <c r="AD60" s="2">
        <f t="shared" si="2"/>
        <v>8</v>
      </c>
      <c r="AE60" s="2">
        <f t="shared" ca="1" si="3"/>
        <v>-551.9262716435187</v>
      </c>
      <c r="AF60" s="15"/>
    </row>
    <row r="61" spans="1:32" hidden="1">
      <c r="A61" s="1">
        <v>7145602</v>
      </c>
      <c r="B61" s="1" t="s">
        <v>101</v>
      </c>
      <c r="C61" t="s">
        <v>207</v>
      </c>
      <c r="E61" s="2">
        <v>9700000206207</v>
      </c>
      <c r="F61" s="1" t="s">
        <v>208</v>
      </c>
      <c r="G61" s="1" t="s">
        <v>53</v>
      </c>
      <c r="H61" s="1" t="s">
        <v>209</v>
      </c>
      <c r="I61" s="1" t="s">
        <v>210</v>
      </c>
      <c r="J61" s="1" t="s">
        <v>211</v>
      </c>
      <c r="K61" t="s">
        <v>212</v>
      </c>
      <c r="M61" s="1" t="s">
        <v>35</v>
      </c>
      <c r="N61" s="1">
        <v>42318949</v>
      </c>
      <c r="O61" s="1" t="s">
        <v>105</v>
      </c>
      <c r="P61" s="186">
        <v>44434.395624999997</v>
      </c>
      <c r="R61" s="1" t="s">
        <v>38</v>
      </c>
      <c r="T61" s="1" t="s">
        <v>74</v>
      </c>
      <c r="U61" s="186">
        <v>44434.75</v>
      </c>
      <c r="V61" s="1" t="s">
        <v>41</v>
      </c>
      <c r="W61" s="1" t="s">
        <v>49</v>
      </c>
      <c r="X61" s="13" t="str">
        <f>IF(RIGHT(H61,2)&lt;&gt;"00",H61,"")</f>
        <v/>
      </c>
      <c r="Y61" s="2">
        <f ca="1">NETWORKDAYS(P61,$Y$1)</f>
        <v>395</v>
      </c>
      <c r="Z61" s="14">
        <v>1</v>
      </c>
      <c r="AA61" s="1" t="str">
        <f t="shared" ca="1" si="0"/>
        <v>VENCIDO</v>
      </c>
      <c r="AB61" s="1" t="str">
        <f t="shared" si="1"/>
        <v>TAAe+</v>
      </c>
      <c r="AC61" s="2" t="str">
        <f t="shared" si="4"/>
        <v xml:space="preserve"> RINALDO </v>
      </c>
      <c r="AD61" s="2">
        <f t="shared" si="2"/>
        <v>8</v>
      </c>
      <c r="AE61" s="2">
        <f t="shared" ca="1" si="3"/>
        <v>-551.9262716435187</v>
      </c>
      <c r="AF61" s="15"/>
    </row>
    <row r="62" spans="1:32" hidden="1">
      <c r="A62" s="1">
        <v>7145601</v>
      </c>
      <c r="B62" s="1" t="s">
        <v>101</v>
      </c>
      <c r="C62" t="s">
        <v>207</v>
      </c>
      <c r="E62" s="2">
        <v>9700000206204</v>
      </c>
      <c r="F62" s="1" t="s">
        <v>208</v>
      </c>
      <c r="G62" s="1" t="s">
        <v>53</v>
      </c>
      <c r="H62" s="1" t="s">
        <v>209</v>
      </c>
      <c r="I62" s="1" t="s">
        <v>210</v>
      </c>
      <c r="J62" s="1" t="s">
        <v>211</v>
      </c>
      <c r="K62" t="s">
        <v>212</v>
      </c>
      <c r="M62" s="1" t="s">
        <v>35</v>
      </c>
      <c r="N62" s="1">
        <v>42318949</v>
      </c>
      <c r="O62" s="1" t="s">
        <v>105</v>
      </c>
      <c r="P62" s="186">
        <v>44434.395624999997</v>
      </c>
      <c r="R62" s="1" t="s">
        <v>38</v>
      </c>
      <c r="T62" s="1" t="s">
        <v>74</v>
      </c>
      <c r="U62" s="186">
        <v>44434.75</v>
      </c>
      <c r="V62" s="1" t="s">
        <v>41</v>
      </c>
      <c r="W62" s="1" t="s">
        <v>49</v>
      </c>
      <c r="X62" s="13" t="str">
        <f>IF(RIGHT(H62,2)&lt;&gt;"00",H62,"")</f>
        <v/>
      </c>
      <c r="Y62" s="2">
        <f ca="1">NETWORKDAYS(P62,$Y$1)</f>
        <v>395</v>
      </c>
      <c r="Z62" s="14">
        <v>1</v>
      </c>
      <c r="AA62" s="1" t="str">
        <f t="shared" ca="1" si="0"/>
        <v>VENCIDO</v>
      </c>
      <c r="AB62" s="1" t="str">
        <f t="shared" si="1"/>
        <v>TAAe+</v>
      </c>
      <c r="AC62" s="2" t="str">
        <f t="shared" si="4"/>
        <v xml:space="preserve"> RINALDO </v>
      </c>
      <c r="AD62" s="2">
        <f t="shared" si="2"/>
        <v>8</v>
      </c>
      <c r="AE62" s="2">
        <f t="shared" ca="1" si="3"/>
        <v>-551.9262716435187</v>
      </c>
      <c r="AF62" s="15"/>
    </row>
    <row r="63" spans="1:32" hidden="1">
      <c r="A63" s="1">
        <v>7145296</v>
      </c>
      <c r="B63" s="1" t="s">
        <v>101</v>
      </c>
      <c r="C63" t="s">
        <v>207</v>
      </c>
      <c r="E63" s="2">
        <v>9700000206213</v>
      </c>
      <c r="F63" s="1" t="s">
        <v>208</v>
      </c>
      <c r="G63" s="1" t="s">
        <v>53</v>
      </c>
      <c r="H63" s="1" t="s">
        <v>209</v>
      </c>
      <c r="I63" s="1" t="s">
        <v>210</v>
      </c>
      <c r="J63" s="1" t="s">
        <v>211</v>
      </c>
      <c r="K63" t="s">
        <v>212</v>
      </c>
      <c r="M63" s="1" t="s">
        <v>35</v>
      </c>
      <c r="N63" s="1">
        <v>42318949</v>
      </c>
      <c r="O63" s="1" t="s">
        <v>105</v>
      </c>
      <c r="P63" s="186">
        <v>44434.395150462966</v>
      </c>
      <c r="R63" s="1" t="s">
        <v>38</v>
      </c>
      <c r="T63" s="1" t="s">
        <v>74</v>
      </c>
      <c r="U63" s="186">
        <v>44434.75</v>
      </c>
      <c r="V63" s="1" t="s">
        <v>41</v>
      </c>
      <c r="W63" s="1" t="s">
        <v>49</v>
      </c>
      <c r="X63" s="13" t="str">
        <f>IF(RIGHT(H63,2)&lt;&gt;"00",H63,"")</f>
        <v/>
      </c>
      <c r="Y63" s="2">
        <f ca="1">NETWORKDAYS(P63,$Y$1)</f>
        <v>395</v>
      </c>
      <c r="Z63" s="14">
        <v>1</v>
      </c>
      <c r="AA63" s="1" t="str">
        <f t="shared" ca="1" si="0"/>
        <v>VENCIDO</v>
      </c>
      <c r="AB63" s="1" t="str">
        <f t="shared" si="1"/>
        <v>TAAe+</v>
      </c>
      <c r="AC63" s="2" t="str">
        <f t="shared" si="4"/>
        <v xml:space="preserve"> RINALDO </v>
      </c>
      <c r="AD63" s="2">
        <f t="shared" si="2"/>
        <v>8</v>
      </c>
      <c r="AE63" s="2">
        <f t="shared" ca="1" si="3"/>
        <v>-551.9262716435187</v>
      </c>
      <c r="AF63" s="15"/>
    </row>
    <row r="64" spans="1:32" hidden="1">
      <c r="A64" s="1">
        <v>7144762</v>
      </c>
      <c r="B64" s="1" t="s">
        <v>101</v>
      </c>
      <c r="C64" t="s">
        <v>207</v>
      </c>
      <c r="E64" s="2">
        <v>9700000206212</v>
      </c>
      <c r="F64" s="1" t="s">
        <v>208</v>
      </c>
      <c r="G64" s="1" t="s">
        <v>53</v>
      </c>
      <c r="H64" s="1" t="s">
        <v>209</v>
      </c>
      <c r="I64" s="1" t="s">
        <v>210</v>
      </c>
      <c r="J64" s="1" t="s">
        <v>211</v>
      </c>
      <c r="K64" t="s">
        <v>212</v>
      </c>
      <c r="M64" s="1" t="s">
        <v>35</v>
      </c>
      <c r="N64" s="1">
        <v>42318949</v>
      </c>
      <c r="O64" s="1" t="s">
        <v>105</v>
      </c>
      <c r="P64" s="186">
        <v>44434.39434027778</v>
      </c>
      <c r="R64" s="1" t="s">
        <v>38</v>
      </c>
      <c r="T64" s="1" t="s">
        <v>74</v>
      </c>
      <c r="U64" s="186">
        <v>44434.75</v>
      </c>
      <c r="V64" s="1" t="s">
        <v>41</v>
      </c>
      <c r="W64" s="1" t="s">
        <v>49</v>
      </c>
      <c r="X64" s="13" t="str">
        <f>IF(RIGHT(H64,2)&lt;&gt;"00",H64,"")</f>
        <v/>
      </c>
      <c r="Y64" s="2">
        <f ca="1">NETWORKDAYS(P64,$Y$1)</f>
        <v>395</v>
      </c>
      <c r="Z64" s="14">
        <v>1</v>
      </c>
      <c r="AA64" s="1" t="str">
        <f t="shared" ca="1" si="0"/>
        <v>VENCIDO</v>
      </c>
      <c r="AB64" s="1" t="str">
        <f t="shared" si="1"/>
        <v>TAAe+</v>
      </c>
      <c r="AC64" s="2" t="str">
        <f t="shared" si="4"/>
        <v xml:space="preserve"> RINALDO </v>
      </c>
      <c r="AD64" s="2">
        <f t="shared" si="2"/>
        <v>8</v>
      </c>
      <c r="AE64" s="2">
        <f t="shared" ca="1" si="3"/>
        <v>-551.9262716435187</v>
      </c>
      <c r="AF64" s="15"/>
    </row>
    <row r="65" spans="1:32" hidden="1">
      <c r="A65" s="1">
        <v>7144761</v>
      </c>
      <c r="B65" s="1" t="s">
        <v>101</v>
      </c>
      <c r="C65" t="s">
        <v>207</v>
      </c>
      <c r="E65" s="2">
        <v>9700000206209</v>
      </c>
      <c r="F65" s="1" t="s">
        <v>208</v>
      </c>
      <c r="G65" s="1" t="s">
        <v>53</v>
      </c>
      <c r="H65" s="1" t="s">
        <v>209</v>
      </c>
      <c r="I65" s="1" t="s">
        <v>210</v>
      </c>
      <c r="J65" s="1" t="s">
        <v>211</v>
      </c>
      <c r="K65" t="s">
        <v>212</v>
      </c>
      <c r="M65" s="1" t="s">
        <v>35</v>
      </c>
      <c r="N65" s="1">
        <v>42318949</v>
      </c>
      <c r="O65" s="1" t="s">
        <v>105</v>
      </c>
      <c r="P65" s="186">
        <v>44434.39434027778</v>
      </c>
      <c r="R65" s="1" t="s">
        <v>38</v>
      </c>
      <c r="T65" s="1" t="s">
        <v>74</v>
      </c>
      <c r="U65" s="186">
        <v>44434.75</v>
      </c>
      <c r="V65" s="1" t="s">
        <v>41</v>
      </c>
      <c r="W65" s="1" t="s">
        <v>49</v>
      </c>
      <c r="X65" s="13" t="str">
        <f>IF(RIGHT(H65,2)&lt;&gt;"00",H65,"")</f>
        <v/>
      </c>
      <c r="Y65" s="2">
        <f ca="1">NETWORKDAYS(P65,$Y$1)</f>
        <v>395</v>
      </c>
      <c r="Z65" s="14">
        <v>1</v>
      </c>
      <c r="AA65" s="1" t="str">
        <f t="shared" ca="1" si="0"/>
        <v>VENCIDO</v>
      </c>
      <c r="AB65" s="1" t="str">
        <f t="shared" si="1"/>
        <v>TAAe+</v>
      </c>
      <c r="AC65" s="2" t="str">
        <f t="shared" si="4"/>
        <v xml:space="preserve"> RINALDO </v>
      </c>
      <c r="AD65" s="2">
        <f t="shared" si="2"/>
        <v>8</v>
      </c>
      <c r="AE65" s="2">
        <f t="shared" ca="1" si="3"/>
        <v>-551.9262716435187</v>
      </c>
      <c r="AF65" s="15"/>
    </row>
    <row r="66" spans="1:32" hidden="1">
      <c r="A66" s="1">
        <v>7144466</v>
      </c>
      <c r="B66" s="1" t="s">
        <v>101</v>
      </c>
      <c r="C66" t="s">
        <v>207</v>
      </c>
      <c r="E66" s="2">
        <v>9700000206217</v>
      </c>
      <c r="F66" s="1" t="s">
        <v>208</v>
      </c>
      <c r="G66" s="1" t="s">
        <v>53</v>
      </c>
      <c r="H66" s="1" t="s">
        <v>209</v>
      </c>
      <c r="I66" s="1" t="s">
        <v>210</v>
      </c>
      <c r="J66" s="1" t="s">
        <v>211</v>
      </c>
      <c r="K66" t="s">
        <v>212</v>
      </c>
      <c r="M66" s="1" t="s">
        <v>35</v>
      </c>
      <c r="N66" s="1">
        <v>42318949</v>
      </c>
      <c r="O66" s="1" t="s">
        <v>105</v>
      </c>
      <c r="P66" s="186">
        <v>44434.393923611111</v>
      </c>
      <c r="R66" s="1" t="s">
        <v>38</v>
      </c>
      <c r="T66" s="1" t="s">
        <v>74</v>
      </c>
      <c r="U66" s="186">
        <v>44434.75</v>
      </c>
      <c r="V66" s="1" t="s">
        <v>41</v>
      </c>
      <c r="W66" s="1" t="s">
        <v>49</v>
      </c>
      <c r="X66" s="13" t="str">
        <f>IF(RIGHT(H66,2)&lt;&gt;"00",H66,"")</f>
        <v/>
      </c>
      <c r="Y66" s="2">
        <f ca="1">NETWORKDAYS(P66,$Y$1)</f>
        <v>395</v>
      </c>
      <c r="Z66" s="14">
        <v>1</v>
      </c>
      <c r="AA66" s="1" t="str">
        <f t="shared" ref="AA66:AA129" ca="1" si="5">IF(AE66=0,"HOJE",IF(AE66&gt;0,"A VENCER",IF(AE66&lt;0,"VENCIDO")))</f>
        <v>VENCIDO</v>
      </c>
      <c r="AB66" s="1" t="str">
        <f t="shared" ref="AB66:AB129" si="6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 t="str">
        <f t="shared" si="4"/>
        <v xml:space="preserve"> RINALDO </v>
      </c>
      <c r="AD66" s="2">
        <f t="shared" ref="AD66:AD129" si="7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8">IF(U66=$AE$1,"",U66-$AE$1)</f>
        <v>-551.9262716435187</v>
      </c>
      <c r="AF66" s="15"/>
    </row>
    <row r="67" spans="1:32" hidden="1">
      <c r="A67" s="1">
        <v>7144465</v>
      </c>
      <c r="B67" s="1" t="s">
        <v>101</v>
      </c>
      <c r="C67" t="s">
        <v>207</v>
      </c>
      <c r="E67" s="2">
        <v>9700000206216</v>
      </c>
      <c r="F67" s="1" t="s">
        <v>208</v>
      </c>
      <c r="G67" s="1" t="s">
        <v>53</v>
      </c>
      <c r="H67" s="1" t="s">
        <v>209</v>
      </c>
      <c r="I67" s="1" t="s">
        <v>210</v>
      </c>
      <c r="J67" s="1" t="s">
        <v>211</v>
      </c>
      <c r="K67" t="s">
        <v>212</v>
      </c>
      <c r="M67" s="1" t="s">
        <v>35</v>
      </c>
      <c r="N67" s="1">
        <v>42318949</v>
      </c>
      <c r="O67" s="1" t="s">
        <v>105</v>
      </c>
      <c r="P67" s="186">
        <v>44434.393923611111</v>
      </c>
      <c r="R67" s="1" t="s">
        <v>38</v>
      </c>
      <c r="T67" s="1" t="s">
        <v>74</v>
      </c>
      <c r="U67" s="186">
        <v>44434.75</v>
      </c>
      <c r="V67" s="1" t="s">
        <v>41</v>
      </c>
      <c r="W67" s="1" t="s">
        <v>49</v>
      </c>
      <c r="X67" s="13" t="str">
        <f>IF(RIGHT(H67,2)&lt;&gt;"00",H67,"")</f>
        <v/>
      </c>
      <c r="Y67" s="2">
        <f ca="1">NETWORKDAYS(P67,$Y$1)</f>
        <v>395</v>
      </c>
      <c r="Z67" s="14">
        <v>1</v>
      </c>
      <c r="AA67" s="1" t="str">
        <f t="shared" ca="1" si="5"/>
        <v>VENCIDO</v>
      </c>
      <c r="AB67" s="1" t="str">
        <f t="shared" si="6"/>
        <v>TAAe+</v>
      </c>
      <c r="AC67" s="2" t="str">
        <f t="shared" ref="AC67:AC130" si="9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 xml:space="preserve"> RINALDO </v>
      </c>
      <c r="AD67" s="2">
        <f t="shared" si="7"/>
        <v>8</v>
      </c>
      <c r="AE67" s="2">
        <f t="shared" ca="1" si="8"/>
        <v>-551.9262716435187</v>
      </c>
      <c r="AF67" s="15"/>
    </row>
    <row r="68" spans="1:32" hidden="1">
      <c r="A68" s="1">
        <v>7144464</v>
      </c>
      <c r="B68" s="1" t="s">
        <v>101</v>
      </c>
      <c r="C68" t="s">
        <v>207</v>
      </c>
      <c r="E68" s="2">
        <v>9700000206211</v>
      </c>
      <c r="F68" s="1" t="s">
        <v>208</v>
      </c>
      <c r="G68" s="1" t="s">
        <v>53</v>
      </c>
      <c r="H68" s="1" t="s">
        <v>209</v>
      </c>
      <c r="I68" s="1" t="s">
        <v>210</v>
      </c>
      <c r="J68" s="1" t="s">
        <v>211</v>
      </c>
      <c r="K68" t="s">
        <v>212</v>
      </c>
      <c r="M68" s="1" t="s">
        <v>35</v>
      </c>
      <c r="N68" s="1">
        <v>42318949</v>
      </c>
      <c r="O68" s="1" t="s">
        <v>105</v>
      </c>
      <c r="P68" s="186">
        <v>44434.393923611111</v>
      </c>
      <c r="R68" s="1" t="s">
        <v>38</v>
      </c>
      <c r="T68" s="1" t="s">
        <v>74</v>
      </c>
      <c r="U68" s="186">
        <v>44434.75</v>
      </c>
      <c r="V68" s="1" t="s">
        <v>41</v>
      </c>
      <c r="W68" s="1" t="s">
        <v>49</v>
      </c>
      <c r="X68" s="13" t="str">
        <f>IF(RIGHT(H68,2)&lt;&gt;"00",H68,"")</f>
        <v/>
      </c>
      <c r="Y68" s="2">
        <f ca="1">NETWORKDAYS(P68,$Y$1)</f>
        <v>395</v>
      </c>
      <c r="Z68" s="14">
        <v>1</v>
      </c>
      <c r="AA68" s="1" t="str">
        <f t="shared" ca="1" si="5"/>
        <v>VENCIDO</v>
      </c>
      <c r="AB68" s="1" t="str">
        <f t="shared" si="6"/>
        <v>TAAe+</v>
      </c>
      <c r="AC68" s="2" t="str">
        <f t="shared" si="9"/>
        <v xml:space="preserve"> RINALDO </v>
      </c>
      <c r="AD68" s="2">
        <f t="shared" si="7"/>
        <v>8</v>
      </c>
      <c r="AE68" s="2">
        <f t="shared" ca="1" si="8"/>
        <v>-551.9262716435187</v>
      </c>
      <c r="AF68" s="15"/>
    </row>
    <row r="69" spans="1:32" hidden="1">
      <c r="A69" s="1">
        <v>7280202</v>
      </c>
      <c r="B69" s="1" t="s">
        <v>226</v>
      </c>
      <c r="C69" t="s">
        <v>227</v>
      </c>
      <c r="E69" s="2">
        <v>7710206001</v>
      </c>
      <c r="F69" s="1" t="s">
        <v>29</v>
      </c>
      <c r="G69" s="1" t="s">
        <v>53</v>
      </c>
      <c r="H69" s="1" t="s">
        <v>228</v>
      </c>
      <c r="I69" s="1" t="s">
        <v>229</v>
      </c>
      <c r="J69" s="1" t="s">
        <v>46</v>
      </c>
      <c r="K69" t="s">
        <v>34</v>
      </c>
      <c r="M69" s="1" t="s">
        <v>35</v>
      </c>
      <c r="N69" s="1">
        <v>42318949</v>
      </c>
      <c r="O69" s="1" t="s">
        <v>105</v>
      </c>
      <c r="P69" s="186">
        <v>44440.410682870373</v>
      </c>
      <c r="R69" s="1" t="s">
        <v>38</v>
      </c>
      <c r="T69" s="1" t="s">
        <v>74</v>
      </c>
      <c r="U69" s="186">
        <v>44483.75</v>
      </c>
      <c r="V69" s="1" t="s">
        <v>41</v>
      </c>
      <c r="W69" s="1" t="s">
        <v>49</v>
      </c>
      <c r="X69" s="13" t="str">
        <f>IF(RIGHT(H69,2)&lt;&gt;"00",H69,"")</f>
        <v>0007.71</v>
      </c>
      <c r="Y69" s="2">
        <f ca="1">NETWORKDAYS(P69,$Y$1)</f>
        <v>391</v>
      </c>
      <c r="Z69" s="14">
        <v>1</v>
      </c>
      <c r="AA69" s="1" t="str">
        <f t="shared" ca="1" si="5"/>
        <v>VENCIDO</v>
      </c>
      <c r="AB69" s="1" t="str">
        <f t="shared" si="6"/>
        <v>Dosa</v>
      </c>
      <c r="AC69" s="2" t="str">
        <f t="shared" si="9"/>
        <v xml:space="preserve"> CLEITON </v>
      </c>
      <c r="AD69" s="2">
        <f t="shared" si="7"/>
        <v>5</v>
      </c>
      <c r="AE69" s="2">
        <f t="shared" ca="1" si="8"/>
        <v>-502.9262716435187</v>
      </c>
      <c r="AF69" s="15"/>
    </row>
    <row r="70" spans="1:32" hidden="1">
      <c r="A70" s="1">
        <v>7633015</v>
      </c>
      <c r="B70" s="1" t="s">
        <v>81</v>
      </c>
      <c r="C70" t="s">
        <v>232</v>
      </c>
      <c r="E70" s="2">
        <v>9600113560766</v>
      </c>
      <c r="F70" s="1" t="s">
        <v>233</v>
      </c>
      <c r="G70" s="1" t="s">
        <v>30</v>
      </c>
      <c r="H70" s="1" t="s">
        <v>234</v>
      </c>
      <c r="I70" s="1" t="s">
        <v>235</v>
      </c>
      <c r="J70" s="1" t="s">
        <v>33</v>
      </c>
      <c r="K70" t="s">
        <v>236</v>
      </c>
      <c r="M70" s="1" t="s">
        <v>58</v>
      </c>
      <c r="N70" s="1">
        <v>0</v>
      </c>
      <c r="O70" s="1" t="s">
        <v>105</v>
      </c>
      <c r="P70" s="186">
        <v>44455.588738425926</v>
      </c>
      <c r="R70" s="1">
        <v>12</v>
      </c>
      <c r="S70" s="1">
        <v>4804</v>
      </c>
      <c r="T70" s="1" t="s">
        <v>238</v>
      </c>
      <c r="U70" s="186">
        <v>44456.588738425926</v>
      </c>
      <c r="V70" s="1" t="s">
        <v>41</v>
      </c>
      <c r="W70" s="1" t="s">
        <v>42</v>
      </c>
      <c r="X70" s="13" t="str">
        <f>IF(RIGHT(H70,2)&lt;&gt;"00",H70,"")</f>
        <v>0069.16</v>
      </c>
      <c r="Y70" s="2">
        <f ca="1">NETWORKDAYS(P70,$Y$1)</f>
        <v>380</v>
      </c>
      <c r="Z70" s="14">
        <v>1</v>
      </c>
      <c r="AA70" s="1" t="str">
        <f t="shared" ca="1" si="5"/>
        <v>VENCIDO</v>
      </c>
      <c r="AB70" s="1" t="str">
        <f t="shared" si="6"/>
        <v>TAAe+</v>
      </c>
      <c r="AC70" s="2" t="str">
        <f t="shared" si="9"/>
        <v xml:space="preserve"> ROSEMERE </v>
      </c>
      <c r="AD70" s="2">
        <f t="shared" si="7"/>
        <v>8</v>
      </c>
      <c r="AE70" s="2">
        <f t="shared" ca="1" si="8"/>
        <v>-530.08753321759286</v>
      </c>
      <c r="AF70" s="15"/>
    </row>
    <row r="71" spans="1:32" hidden="1">
      <c r="A71" s="1">
        <v>7727803</v>
      </c>
      <c r="B71" s="1" t="s">
        <v>81</v>
      </c>
      <c r="C71" t="s">
        <v>240</v>
      </c>
      <c r="E71" s="2">
        <v>3478000206001</v>
      </c>
      <c r="F71" s="1" t="s">
        <v>29</v>
      </c>
      <c r="G71" s="1" t="s">
        <v>53</v>
      </c>
      <c r="H71" s="1" t="s">
        <v>241</v>
      </c>
      <c r="I71" s="1" t="s">
        <v>242</v>
      </c>
      <c r="J71" s="1" t="s">
        <v>46</v>
      </c>
      <c r="K71" t="s">
        <v>34</v>
      </c>
      <c r="M71" s="1" t="s">
        <v>35</v>
      </c>
      <c r="N71" s="1">
        <v>42318949</v>
      </c>
      <c r="O71" s="1" t="s">
        <v>36</v>
      </c>
      <c r="P71" s="186">
        <v>44459.551018518519</v>
      </c>
      <c r="R71" s="1" t="s">
        <v>38</v>
      </c>
      <c r="T71" s="1" t="s">
        <v>74</v>
      </c>
      <c r="U71" s="186">
        <v>44460.551018518519</v>
      </c>
      <c r="V71" s="1" t="s">
        <v>41</v>
      </c>
      <c r="W71" s="1" t="s">
        <v>49</v>
      </c>
      <c r="X71" s="13" t="str">
        <f>IF(RIGHT(H71,2)&lt;&gt;"00",H71,"")</f>
        <v>2988.91</v>
      </c>
      <c r="Y71" s="2">
        <f ca="1">NETWORKDAYS(P71,$Y$1)</f>
        <v>378</v>
      </c>
      <c r="Z71" s="14">
        <v>1</v>
      </c>
      <c r="AA71" s="1" t="str">
        <f t="shared" ca="1" si="5"/>
        <v>VENCIDO</v>
      </c>
      <c r="AB71" s="1" t="str">
        <f t="shared" si="6"/>
        <v>Dosa</v>
      </c>
      <c r="AC71" s="2" t="str">
        <f t="shared" si="9"/>
        <v xml:space="preserve"> CLEITON </v>
      </c>
      <c r="AD71" s="2">
        <f t="shared" si="7"/>
        <v>5</v>
      </c>
      <c r="AE71" s="2">
        <f t="shared" ca="1" si="8"/>
        <v>-526.12525312499929</v>
      </c>
      <c r="AF71" s="15"/>
    </row>
    <row r="72" spans="1:32" hidden="1">
      <c r="A72" s="1">
        <v>7726669</v>
      </c>
      <c r="B72" s="1" t="s">
        <v>81</v>
      </c>
      <c r="C72" t="s">
        <v>240</v>
      </c>
      <c r="E72" s="2">
        <v>8259000206001</v>
      </c>
      <c r="F72" s="1" t="s">
        <v>29</v>
      </c>
      <c r="G72" s="1" t="s">
        <v>53</v>
      </c>
      <c r="H72" s="1" t="s">
        <v>245</v>
      </c>
      <c r="I72" s="1" t="s">
        <v>246</v>
      </c>
      <c r="J72" s="1" t="s">
        <v>141</v>
      </c>
      <c r="K72" t="s">
        <v>34</v>
      </c>
      <c r="M72" s="1" t="s">
        <v>35</v>
      </c>
      <c r="N72" s="1">
        <v>42318949</v>
      </c>
      <c r="O72" s="1" t="s">
        <v>36</v>
      </c>
      <c r="P72" s="186">
        <v>44459.549027777779</v>
      </c>
      <c r="R72" s="1" t="s">
        <v>38</v>
      </c>
      <c r="T72" s="1" t="s">
        <v>74</v>
      </c>
      <c r="U72" s="186">
        <v>44460.549027777779</v>
      </c>
      <c r="V72" s="1" t="s">
        <v>41</v>
      </c>
      <c r="W72" s="1" t="s">
        <v>49</v>
      </c>
      <c r="X72" s="13" t="str">
        <f>IF(RIGHT(H72,2)&lt;&gt;"00",H72,"")</f>
        <v/>
      </c>
      <c r="Y72" s="2">
        <f ca="1">NETWORKDAYS(P72,$Y$1)</f>
        <v>378</v>
      </c>
      <c r="Z72" s="14">
        <v>1</v>
      </c>
      <c r="AA72" s="1" t="str">
        <f t="shared" ca="1" si="5"/>
        <v>VENCIDO</v>
      </c>
      <c r="AB72" s="1" t="str">
        <f t="shared" si="6"/>
        <v>Dosa</v>
      </c>
      <c r="AC72" s="2" t="str">
        <f t="shared" si="9"/>
        <v xml:space="preserve"> CRISTINA </v>
      </c>
      <c r="AD72" s="2">
        <f t="shared" si="7"/>
        <v>5</v>
      </c>
      <c r="AE72" s="2">
        <f t="shared" ca="1" si="8"/>
        <v>-526.12724386573973</v>
      </c>
      <c r="AF72" s="15"/>
    </row>
    <row r="73" spans="1:32" hidden="1">
      <c r="A73" s="1">
        <v>7726664</v>
      </c>
      <c r="B73" s="1" t="s">
        <v>81</v>
      </c>
      <c r="C73" t="s">
        <v>240</v>
      </c>
      <c r="E73" s="2">
        <v>2855000206001</v>
      </c>
      <c r="F73" s="1" t="s">
        <v>29</v>
      </c>
      <c r="G73" s="1" t="s">
        <v>53</v>
      </c>
      <c r="H73" s="1" t="s">
        <v>249</v>
      </c>
      <c r="I73" s="1" t="s">
        <v>250</v>
      </c>
      <c r="J73" s="1" t="s">
        <v>56</v>
      </c>
      <c r="K73" t="s">
        <v>34</v>
      </c>
      <c r="M73" s="1" t="s">
        <v>35</v>
      </c>
      <c r="N73" s="1">
        <v>42318949</v>
      </c>
      <c r="O73" s="1" t="s">
        <v>36</v>
      </c>
      <c r="P73" s="186">
        <v>44459.549016203702</v>
      </c>
      <c r="R73" s="1" t="s">
        <v>38</v>
      </c>
      <c r="T73" s="1" t="s">
        <v>74</v>
      </c>
      <c r="U73" s="186">
        <v>44460.549016203702</v>
      </c>
      <c r="V73" s="1" t="s">
        <v>41</v>
      </c>
      <c r="W73" s="1" t="s">
        <v>49</v>
      </c>
      <c r="X73" s="13" t="str">
        <f>IF(RIGHT(H73,2)&lt;&gt;"00",H73,"")</f>
        <v/>
      </c>
      <c r="Y73" s="2">
        <f ca="1">NETWORKDAYS(P73,$Y$1)</f>
        <v>378</v>
      </c>
      <c r="Z73" s="14">
        <v>1</v>
      </c>
      <c r="AA73" s="1" t="str">
        <f t="shared" ca="1" si="5"/>
        <v>VENCIDO</v>
      </c>
      <c r="AB73" s="1" t="str">
        <f t="shared" si="6"/>
        <v>Dosa</v>
      </c>
      <c r="AC73" s="2" t="str">
        <f t="shared" si="9"/>
        <v xml:space="preserve"> CRISTINA </v>
      </c>
      <c r="AD73" s="2">
        <f t="shared" si="7"/>
        <v>5</v>
      </c>
      <c r="AE73" s="2">
        <f t="shared" ca="1" si="8"/>
        <v>-526.12725543981651</v>
      </c>
      <c r="AF73" s="15"/>
    </row>
    <row r="74" spans="1:32" hidden="1">
      <c r="A74" s="1">
        <v>7726663</v>
      </c>
      <c r="B74" s="1" t="s">
        <v>81</v>
      </c>
      <c r="C74" t="s">
        <v>240</v>
      </c>
      <c r="E74" s="2">
        <v>2693000206001</v>
      </c>
      <c r="F74" s="1" t="s">
        <v>29</v>
      </c>
      <c r="G74" s="1" t="s">
        <v>53</v>
      </c>
      <c r="H74" s="1" t="s">
        <v>253</v>
      </c>
      <c r="I74" s="1" t="s">
        <v>254</v>
      </c>
      <c r="J74" s="1" t="s">
        <v>56</v>
      </c>
      <c r="K74" t="s">
        <v>34</v>
      </c>
      <c r="M74" s="1" t="s">
        <v>35</v>
      </c>
      <c r="N74" s="1">
        <v>42318949</v>
      </c>
      <c r="O74" s="1" t="s">
        <v>36</v>
      </c>
      <c r="P74" s="186">
        <v>44459.549016203702</v>
      </c>
      <c r="R74" s="1" t="s">
        <v>38</v>
      </c>
      <c r="T74" s="1" t="s">
        <v>74</v>
      </c>
      <c r="U74" s="186">
        <v>44460.549016203702</v>
      </c>
      <c r="V74" s="1" t="s">
        <v>41</v>
      </c>
      <c r="W74" s="1" t="s">
        <v>49</v>
      </c>
      <c r="X74" s="13" t="str">
        <f>IF(RIGHT(H74,2)&lt;&gt;"00",H74,"")</f>
        <v/>
      </c>
      <c r="Y74" s="2">
        <f ca="1">NETWORKDAYS(P74,$Y$1)</f>
        <v>378</v>
      </c>
      <c r="Z74" s="14">
        <v>1</v>
      </c>
      <c r="AA74" s="1" t="str">
        <f t="shared" ca="1" si="5"/>
        <v>VENCIDO</v>
      </c>
      <c r="AB74" s="1" t="str">
        <f t="shared" si="6"/>
        <v>Dosa</v>
      </c>
      <c r="AC74" s="2" t="str">
        <f t="shared" si="9"/>
        <v xml:space="preserve"> CRISTINA </v>
      </c>
      <c r="AD74" s="2">
        <f t="shared" si="7"/>
        <v>5</v>
      </c>
      <c r="AE74" s="2">
        <f t="shared" ca="1" si="8"/>
        <v>-526.12725543981651</v>
      </c>
      <c r="AF74" s="15"/>
    </row>
    <row r="75" spans="1:32" hidden="1">
      <c r="A75" s="1">
        <v>7726661</v>
      </c>
      <c r="B75" s="1" t="s">
        <v>81</v>
      </c>
      <c r="C75" t="s">
        <v>240</v>
      </c>
      <c r="E75" s="2">
        <v>2564000206001</v>
      </c>
      <c r="F75" s="1" t="s">
        <v>29</v>
      </c>
      <c r="G75" s="1" t="s">
        <v>53</v>
      </c>
      <c r="H75" s="1" t="s">
        <v>255</v>
      </c>
      <c r="I75" s="1" t="s">
        <v>256</v>
      </c>
      <c r="J75" s="1" t="s">
        <v>164</v>
      </c>
      <c r="K75" t="s">
        <v>34</v>
      </c>
      <c r="M75" s="1" t="s">
        <v>35</v>
      </c>
      <c r="N75" s="1">
        <v>42318949</v>
      </c>
      <c r="O75" s="1" t="s">
        <v>36</v>
      </c>
      <c r="P75" s="186">
        <v>44459.549004629633</v>
      </c>
      <c r="R75" s="1" t="s">
        <v>38</v>
      </c>
      <c r="T75" s="1" t="s">
        <v>74</v>
      </c>
      <c r="U75" s="186">
        <v>44460.549004629633</v>
      </c>
      <c r="V75" s="1" t="s">
        <v>41</v>
      </c>
      <c r="W75" s="1" t="s">
        <v>49</v>
      </c>
      <c r="X75" s="13" t="str">
        <f>IF(RIGHT(H75,2)&lt;&gt;"00",H75,"")</f>
        <v/>
      </c>
      <c r="Y75" s="2">
        <f ca="1">NETWORKDAYS(P75,$Y$1)</f>
        <v>378</v>
      </c>
      <c r="Z75" s="14">
        <v>1</v>
      </c>
      <c r="AA75" s="1" t="str">
        <f t="shared" ca="1" si="5"/>
        <v>VENCIDO</v>
      </c>
      <c r="AB75" s="1" t="str">
        <f t="shared" si="6"/>
        <v>Dosa</v>
      </c>
      <c r="AC75" s="2" t="str">
        <f t="shared" si="9"/>
        <v xml:space="preserve"> ROSEMERE </v>
      </c>
      <c r="AD75" s="2">
        <f t="shared" si="7"/>
        <v>5</v>
      </c>
      <c r="AE75" s="2">
        <f t="shared" ca="1" si="8"/>
        <v>-526.12726701388601</v>
      </c>
      <c r="AF75" s="15"/>
    </row>
    <row r="76" spans="1:32" hidden="1">
      <c r="A76" s="1">
        <v>7726660</v>
      </c>
      <c r="B76" s="1" t="s">
        <v>81</v>
      </c>
      <c r="C76" t="s">
        <v>240</v>
      </c>
      <c r="E76" s="2">
        <v>2559000206001</v>
      </c>
      <c r="F76" s="1" t="s">
        <v>29</v>
      </c>
      <c r="G76" s="1" t="s">
        <v>53</v>
      </c>
      <c r="H76" s="1" t="s">
        <v>259</v>
      </c>
      <c r="I76" s="1" t="s">
        <v>260</v>
      </c>
      <c r="J76" s="1" t="s">
        <v>261</v>
      </c>
      <c r="K76" t="s">
        <v>34</v>
      </c>
      <c r="M76" s="1" t="s">
        <v>35</v>
      </c>
      <c r="N76" s="1">
        <v>42318949</v>
      </c>
      <c r="O76" s="1" t="s">
        <v>36</v>
      </c>
      <c r="P76" s="186">
        <v>44459.549004629633</v>
      </c>
      <c r="R76" s="1" t="s">
        <v>38</v>
      </c>
      <c r="T76" s="1" t="s">
        <v>74</v>
      </c>
      <c r="U76" s="186">
        <v>44460.549004629633</v>
      </c>
      <c r="V76" s="1" t="s">
        <v>41</v>
      </c>
      <c r="W76" s="1" t="s">
        <v>49</v>
      </c>
      <c r="X76" s="13" t="str">
        <f>IF(RIGHT(H76,2)&lt;&gt;"00",H76,"")</f>
        <v/>
      </c>
      <c r="Y76" s="2">
        <f ca="1">NETWORKDAYS(P76,$Y$1)</f>
        <v>378</v>
      </c>
      <c r="Z76" s="14">
        <v>1</v>
      </c>
      <c r="AA76" s="1" t="str">
        <f t="shared" ca="1" si="5"/>
        <v>VENCIDO</v>
      </c>
      <c r="AB76" s="1" t="str">
        <f t="shared" si="6"/>
        <v>Dosa</v>
      </c>
      <c r="AC76" s="2" t="str">
        <f t="shared" si="9"/>
        <v xml:space="preserve"> CRISTINA </v>
      </c>
      <c r="AD76" s="2">
        <f t="shared" si="7"/>
        <v>5</v>
      </c>
      <c r="AE76" s="2">
        <f t="shared" ca="1" si="8"/>
        <v>-526.12726701388601</v>
      </c>
      <c r="AF76" s="15"/>
    </row>
    <row r="77" spans="1:32" hidden="1">
      <c r="A77" s="1">
        <v>7726658</v>
      </c>
      <c r="B77" s="1" t="s">
        <v>81</v>
      </c>
      <c r="C77" t="s">
        <v>240</v>
      </c>
      <c r="E77" s="2">
        <v>2107000206001</v>
      </c>
      <c r="F77" s="1" t="s">
        <v>29</v>
      </c>
      <c r="G77" s="1" t="s">
        <v>53</v>
      </c>
      <c r="H77" s="1" t="s">
        <v>262</v>
      </c>
      <c r="I77" s="1" t="s">
        <v>263</v>
      </c>
      <c r="J77" s="1" t="s">
        <v>164</v>
      </c>
      <c r="K77" t="s">
        <v>34</v>
      </c>
      <c r="M77" s="1" t="s">
        <v>35</v>
      </c>
      <c r="N77" s="1">
        <v>42318949</v>
      </c>
      <c r="O77" s="1" t="s">
        <v>36</v>
      </c>
      <c r="P77" s="186">
        <v>44459.549004629633</v>
      </c>
      <c r="R77" s="1" t="s">
        <v>38</v>
      </c>
      <c r="T77" s="1" t="s">
        <v>74</v>
      </c>
      <c r="U77" s="186">
        <v>44460.549004629633</v>
      </c>
      <c r="V77" s="1" t="s">
        <v>41</v>
      </c>
      <c r="W77" s="1" t="s">
        <v>49</v>
      </c>
      <c r="X77" s="13" t="str">
        <f>IF(RIGHT(H77,2)&lt;&gt;"00",H77,"")</f>
        <v/>
      </c>
      <c r="Y77" s="2">
        <f ca="1">NETWORKDAYS(P77,$Y$1)</f>
        <v>378</v>
      </c>
      <c r="Z77" s="14">
        <v>1</v>
      </c>
      <c r="AA77" s="1" t="str">
        <f t="shared" ca="1" si="5"/>
        <v>VENCIDO</v>
      </c>
      <c r="AB77" s="1" t="str">
        <f t="shared" si="6"/>
        <v>Dosa</v>
      </c>
      <c r="AC77" s="2" t="str">
        <f t="shared" si="9"/>
        <v xml:space="preserve"> ROSEMERE </v>
      </c>
      <c r="AD77" s="2">
        <f t="shared" si="7"/>
        <v>5</v>
      </c>
      <c r="AE77" s="2">
        <f t="shared" ca="1" si="8"/>
        <v>-526.12726701388601</v>
      </c>
      <c r="AF77" s="15"/>
    </row>
    <row r="78" spans="1:32" hidden="1">
      <c r="A78" s="1">
        <v>7726655</v>
      </c>
      <c r="B78" s="1" t="s">
        <v>81</v>
      </c>
      <c r="C78" t="s">
        <v>240</v>
      </c>
      <c r="E78" s="2">
        <v>1943000206001</v>
      </c>
      <c r="F78" s="1" t="s">
        <v>29</v>
      </c>
      <c r="G78" s="1" t="s">
        <v>53</v>
      </c>
      <c r="H78" s="1" t="s">
        <v>264</v>
      </c>
      <c r="I78" s="1" t="s">
        <v>265</v>
      </c>
      <c r="J78" s="1" t="s">
        <v>56</v>
      </c>
      <c r="K78" t="s">
        <v>34</v>
      </c>
      <c r="M78" s="1" t="s">
        <v>35</v>
      </c>
      <c r="N78" s="1">
        <v>42318949</v>
      </c>
      <c r="O78" s="1" t="s">
        <v>36</v>
      </c>
      <c r="P78" s="186">
        <v>44459.548993055556</v>
      </c>
      <c r="R78" s="1" t="s">
        <v>38</v>
      </c>
      <c r="T78" s="1" t="s">
        <v>74</v>
      </c>
      <c r="U78" s="186">
        <v>44460.548993055556</v>
      </c>
      <c r="V78" s="1" t="s">
        <v>41</v>
      </c>
      <c r="W78" s="1" t="s">
        <v>49</v>
      </c>
      <c r="X78" s="13" t="str">
        <f>IF(RIGHT(H78,2)&lt;&gt;"00",H78,"")</f>
        <v/>
      </c>
      <c r="Y78" s="2">
        <f ca="1">NETWORKDAYS(P78,$Y$1)</f>
        <v>378</v>
      </c>
      <c r="Z78" s="14">
        <v>1</v>
      </c>
      <c r="AA78" s="1" t="str">
        <f t="shared" ca="1" si="5"/>
        <v>VENCIDO</v>
      </c>
      <c r="AB78" s="1" t="str">
        <f t="shared" si="6"/>
        <v>Dosa</v>
      </c>
      <c r="AC78" s="2" t="str">
        <f t="shared" si="9"/>
        <v xml:space="preserve"> CRISTINA </v>
      </c>
      <c r="AD78" s="2">
        <f t="shared" si="7"/>
        <v>5</v>
      </c>
      <c r="AE78" s="2">
        <f t="shared" ca="1" si="8"/>
        <v>-526.12727858796279</v>
      </c>
      <c r="AF78" s="15"/>
    </row>
    <row r="79" spans="1:32" hidden="1">
      <c r="A79" s="1">
        <v>7726652</v>
      </c>
      <c r="B79" s="1" t="s">
        <v>81</v>
      </c>
      <c r="C79" t="s">
        <v>240</v>
      </c>
      <c r="E79" s="2">
        <v>1754000206001</v>
      </c>
      <c r="F79" s="1" t="s">
        <v>29</v>
      </c>
      <c r="G79" s="1" t="s">
        <v>53</v>
      </c>
      <c r="H79" s="1" t="s">
        <v>146</v>
      </c>
      <c r="I79" s="1" t="s">
        <v>147</v>
      </c>
      <c r="J79" s="1" t="s">
        <v>148</v>
      </c>
      <c r="K79" t="s">
        <v>34</v>
      </c>
      <c r="M79" s="1" t="s">
        <v>35</v>
      </c>
      <c r="N79" s="1">
        <v>42318949</v>
      </c>
      <c r="O79" s="1" t="s">
        <v>36</v>
      </c>
      <c r="P79" s="186">
        <v>44459.548993055556</v>
      </c>
      <c r="R79" s="1" t="s">
        <v>38</v>
      </c>
      <c r="T79" s="1" t="s">
        <v>74</v>
      </c>
      <c r="U79" s="186">
        <v>44460.548993055556</v>
      </c>
      <c r="V79" s="1" t="s">
        <v>41</v>
      </c>
      <c r="W79" s="1" t="s">
        <v>49</v>
      </c>
      <c r="X79" s="13" t="str">
        <f>IF(RIGHT(H79,2)&lt;&gt;"00",H79,"")</f>
        <v/>
      </c>
      <c r="Y79" s="2">
        <f ca="1">NETWORKDAYS(P79,$Y$1)</f>
        <v>378</v>
      </c>
      <c r="Z79" s="14">
        <v>1</v>
      </c>
      <c r="AA79" s="1" t="str">
        <f t="shared" ca="1" si="5"/>
        <v>VENCIDO</v>
      </c>
      <c r="AB79" s="1" t="str">
        <f t="shared" si="6"/>
        <v>Dosa</v>
      </c>
      <c r="AC79" s="2" t="str">
        <f t="shared" si="9"/>
        <v xml:space="preserve"> RINALDO </v>
      </c>
      <c r="AD79" s="2">
        <f t="shared" si="7"/>
        <v>5</v>
      </c>
      <c r="AE79" s="2">
        <f t="shared" ca="1" si="8"/>
        <v>-526.12727858796279</v>
      </c>
      <c r="AF79" s="15"/>
    </row>
    <row r="80" spans="1:32" hidden="1">
      <c r="A80" s="1">
        <v>7726651</v>
      </c>
      <c r="B80" s="1" t="s">
        <v>81</v>
      </c>
      <c r="C80" t="s">
        <v>240</v>
      </c>
      <c r="E80" s="2">
        <v>1362000206001</v>
      </c>
      <c r="F80" s="1" t="s">
        <v>29</v>
      </c>
      <c r="G80" s="1" t="s">
        <v>53</v>
      </c>
      <c r="H80" s="1" t="s">
        <v>268</v>
      </c>
      <c r="I80" s="1" t="s">
        <v>269</v>
      </c>
      <c r="J80" s="1" t="s">
        <v>90</v>
      </c>
      <c r="K80" t="s">
        <v>34</v>
      </c>
      <c r="M80" s="1" t="s">
        <v>35</v>
      </c>
      <c r="N80" s="1">
        <v>42318949</v>
      </c>
      <c r="O80" s="1" t="s">
        <v>36</v>
      </c>
      <c r="P80" s="186">
        <v>44459.548993055556</v>
      </c>
      <c r="R80" s="1" t="s">
        <v>38</v>
      </c>
      <c r="T80" s="1" t="s">
        <v>74</v>
      </c>
      <c r="U80" s="186">
        <v>44460.548993055556</v>
      </c>
      <c r="V80" s="1" t="s">
        <v>41</v>
      </c>
      <c r="W80" s="1" t="s">
        <v>49</v>
      </c>
      <c r="X80" s="13" t="str">
        <f>IF(RIGHT(H80,2)&lt;&gt;"00",H80,"")</f>
        <v/>
      </c>
      <c r="Y80" s="2">
        <f ca="1">NETWORKDAYS(P80,$Y$1)</f>
        <v>378</v>
      </c>
      <c r="Z80" s="14">
        <v>1</v>
      </c>
      <c r="AA80" s="1" t="str">
        <f t="shared" ca="1" si="5"/>
        <v>VENCIDO</v>
      </c>
      <c r="AB80" s="1" t="str">
        <f t="shared" si="6"/>
        <v>Dosa</v>
      </c>
      <c r="AC80" s="2" t="str">
        <f t="shared" si="9"/>
        <v xml:space="preserve"> RINALDO </v>
      </c>
      <c r="AD80" s="2">
        <f t="shared" si="7"/>
        <v>5</v>
      </c>
      <c r="AE80" s="2">
        <f t="shared" ca="1" si="8"/>
        <v>-526.12727858796279</v>
      </c>
      <c r="AF80" s="15"/>
    </row>
    <row r="81" spans="1:32" hidden="1">
      <c r="A81" s="1">
        <v>7726650</v>
      </c>
      <c r="B81" s="1" t="s">
        <v>81</v>
      </c>
      <c r="C81" t="s">
        <v>240</v>
      </c>
      <c r="E81" s="2">
        <v>1359000206001</v>
      </c>
      <c r="F81" s="1" t="s">
        <v>29</v>
      </c>
      <c r="G81" s="1" t="s">
        <v>53</v>
      </c>
      <c r="H81" s="1" t="s">
        <v>270</v>
      </c>
      <c r="I81" s="1" t="s">
        <v>271</v>
      </c>
      <c r="J81" s="1" t="s">
        <v>141</v>
      </c>
      <c r="K81" t="s">
        <v>34</v>
      </c>
      <c r="M81" s="1" t="s">
        <v>35</v>
      </c>
      <c r="N81" s="1">
        <v>42318949</v>
      </c>
      <c r="O81" s="1" t="s">
        <v>36</v>
      </c>
      <c r="P81" s="186">
        <v>44459.548993055556</v>
      </c>
      <c r="R81" s="1" t="s">
        <v>38</v>
      </c>
      <c r="T81" s="1" t="s">
        <v>74</v>
      </c>
      <c r="U81" s="186">
        <v>44460.548993055556</v>
      </c>
      <c r="V81" s="1" t="s">
        <v>41</v>
      </c>
      <c r="W81" s="1" t="s">
        <v>49</v>
      </c>
      <c r="X81" s="13" t="str">
        <f>IF(RIGHT(H81,2)&lt;&gt;"00",H81,"")</f>
        <v/>
      </c>
      <c r="Y81" s="2">
        <f ca="1">NETWORKDAYS(P81,$Y$1)</f>
        <v>378</v>
      </c>
      <c r="Z81" s="14">
        <v>1</v>
      </c>
      <c r="AA81" s="1" t="str">
        <f t="shared" ca="1" si="5"/>
        <v>VENCIDO</v>
      </c>
      <c r="AB81" s="1" t="str">
        <f t="shared" si="6"/>
        <v>Dosa</v>
      </c>
      <c r="AC81" s="2" t="str">
        <f t="shared" si="9"/>
        <v xml:space="preserve"> CRISTINA </v>
      </c>
      <c r="AD81" s="2">
        <f t="shared" si="7"/>
        <v>5</v>
      </c>
      <c r="AE81" s="2">
        <f t="shared" ca="1" si="8"/>
        <v>-526.12727858796279</v>
      </c>
      <c r="AF81" s="15"/>
    </row>
    <row r="82" spans="1:32" hidden="1">
      <c r="A82" s="1">
        <v>7726648</v>
      </c>
      <c r="B82" s="1" t="s">
        <v>81</v>
      </c>
      <c r="C82" t="s">
        <v>240</v>
      </c>
      <c r="E82" s="2">
        <v>1011000206001</v>
      </c>
      <c r="F82" s="1" t="s">
        <v>29</v>
      </c>
      <c r="G82" s="1" t="s">
        <v>53</v>
      </c>
      <c r="H82" s="1" t="s">
        <v>272</v>
      </c>
      <c r="I82" s="1" t="s">
        <v>273</v>
      </c>
      <c r="J82" s="1" t="s">
        <v>33</v>
      </c>
      <c r="K82" t="s">
        <v>34</v>
      </c>
      <c r="M82" s="1" t="s">
        <v>35</v>
      </c>
      <c r="N82" s="1">
        <v>42318949</v>
      </c>
      <c r="O82" s="1" t="s">
        <v>36</v>
      </c>
      <c r="P82" s="186">
        <v>44459.548981481479</v>
      </c>
      <c r="R82" s="1" t="s">
        <v>38</v>
      </c>
      <c r="T82" s="1" t="s">
        <v>74</v>
      </c>
      <c r="U82" s="186">
        <v>44460.548981481479</v>
      </c>
      <c r="V82" s="1" t="s">
        <v>41</v>
      </c>
      <c r="W82" s="1" t="s">
        <v>49</v>
      </c>
      <c r="X82" s="13" t="str">
        <f>IF(RIGHT(H82,2)&lt;&gt;"00",H82,"")</f>
        <v/>
      </c>
      <c r="Y82" s="2">
        <f ca="1">NETWORKDAYS(P82,$Y$1)</f>
        <v>378</v>
      </c>
      <c r="Z82" s="14">
        <v>1</v>
      </c>
      <c r="AA82" s="1" t="str">
        <f t="shared" ca="1" si="5"/>
        <v>VENCIDO</v>
      </c>
      <c r="AB82" s="1" t="str">
        <f t="shared" si="6"/>
        <v>Dosa</v>
      </c>
      <c r="AC82" s="2" t="str">
        <f t="shared" si="9"/>
        <v xml:space="preserve"> ROSEMERE </v>
      </c>
      <c r="AD82" s="2">
        <f t="shared" si="7"/>
        <v>5</v>
      </c>
      <c r="AE82" s="2">
        <f t="shared" ca="1" si="8"/>
        <v>-526.12729016203957</v>
      </c>
      <c r="AF82" s="15"/>
    </row>
    <row r="83" spans="1:32" hidden="1">
      <c r="A83" s="1">
        <v>7726647</v>
      </c>
      <c r="B83" s="1" t="s">
        <v>81</v>
      </c>
      <c r="C83" t="s">
        <v>240</v>
      </c>
      <c r="E83" s="2">
        <v>1049000206001</v>
      </c>
      <c r="F83" s="1" t="s">
        <v>29</v>
      </c>
      <c r="G83" s="1" t="s">
        <v>53</v>
      </c>
      <c r="H83" s="1" t="s">
        <v>169</v>
      </c>
      <c r="I83" s="1" t="s">
        <v>170</v>
      </c>
      <c r="J83" s="1" t="s">
        <v>164</v>
      </c>
      <c r="K83" t="s">
        <v>34</v>
      </c>
      <c r="M83" s="1" t="s">
        <v>35</v>
      </c>
      <c r="N83" s="1">
        <v>42318949</v>
      </c>
      <c r="O83" s="1" t="s">
        <v>36</v>
      </c>
      <c r="P83" s="186">
        <v>44459.548981481479</v>
      </c>
      <c r="R83" s="1" t="s">
        <v>38</v>
      </c>
      <c r="T83" s="1" t="s">
        <v>74</v>
      </c>
      <c r="U83" s="186">
        <v>44460.548981481479</v>
      </c>
      <c r="V83" s="1" t="s">
        <v>41</v>
      </c>
      <c r="W83" s="1" t="s">
        <v>49</v>
      </c>
      <c r="X83" s="13" t="str">
        <f>IF(RIGHT(H83,2)&lt;&gt;"00",H83,"")</f>
        <v/>
      </c>
      <c r="Y83" s="2">
        <f ca="1">NETWORKDAYS(P83,$Y$1)</f>
        <v>378</v>
      </c>
      <c r="Z83" s="14">
        <v>1</v>
      </c>
      <c r="AA83" s="1" t="str">
        <f t="shared" ca="1" si="5"/>
        <v>VENCIDO</v>
      </c>
      <c r="AB83" s="1" t="str">
        <f t="shared" si="6"/>
        <v>Dosa</v>
      </c>
      <c r="AC83" s="2" t="str">
        <f t="shared" si="9"/>
        <v xml:space="preserve"> ROSEMERE </v>
      </c>
      <c r="AD83" s="2">
        <f t="shared" si="7"/>
        <v>5</v>
      </c>
      <c r="AE83" s="2">
        <f t="shared" ca="1" si="8"/>
        <v>-526.12729016203957</v>
      </c>
      <c r="AF83" s="15"/>
    </row>
    <row r="84" spans="1:32" hidden="1">
      <c r="A84" s="1">
        <v>7726645</v>
      </c>
      <c r="B84" s="1" t="s">
        <v>81</v>
      </c>
      <c r="C84" t="s">
        <v>240</v>
      </c>
      <c r="E84" s="2">
        <v>2683000206001</v>
      </c>
      <c r="F84" s="1" t="s">
        <v>29</v>
      </c>
      <c r="G84" s="1" t="s">
        <v>53</v>
      </c>
      <c r="H84" s="1" t="s">
        <v>276</v>
      </c>
      <c r="I84" s="1" t="s">
        <v>277</v>
      </c>
      <c r="J84" s="1" t="s">
        <v>90</v>
      </c>
      <c r="K84" t="s">
        <v>34</v>
      </c>
      <c r="M84" s="1" t="s">
        <v>35</v>
      </c>
      <c r="N84" s="1">
        <v>42318949</v>
      </c>
      <c r="O84" s="1" t="s">
        <v>36</v>
      </c>
      <c r="P84" s="186">
        <v>44459.548981481479</v>
      </c>
      <c r="R84" s="1" t="s">
        <v>38</v>
      </c>
      <c r="T84" s="1" t="s">
        <v>74</v>
      </c>
      <c r="U84" s="186">
        <v>44460.548981481479</v>
      </c>
      <c r="V84" s="1" t="s">
        <v>41</v>
      </c>
      <c r="W84" s="1" t="s">
        <v>49</v>
      </c>
      <c r="X84" s="13" t="str">
        <f>IF(RIGHT(H84,2)&lt;&gt;"00",H84,"")</f>
        <v/>
      </c>
      <c r="Y84" s="2">
        <f ca="1">NETWORKDAYS(P84,$Y$1)</f>
        <v>378</v>
      </c>
      <c r="Z84" s="14">
        <v>1</v>
      </c>
      <c r="AA84" s="1" t="str">
        <f t="shared" ca="1" si="5"/>
        <v>VENCIDO</v>
      </c>
      <c r="AB84" s="1" t="str">
        <f t="shared" si="6"/>
        <v>Dosa</v>
      </c>
      <c r="AC84" s="2" t="str">
        <f t="shared" si="9"/>
        <v xml:space="preserve"> RINALDO </v>
      </c>
      <c r="AD84" s="2">
        <f t="shared" si="7"/>
        <v>5</v>
      </c>
      <c r="AE84" s="2">
        <f t="shared" ca="1" si="8"/>
        <v>-526.12729016203957</v>
      </c>
      <c r="AF84" s="15"/>
    </row>
    <row r="85" spans="1:32" hidden="1">
      <c r="A85" s="1">
        <v>7726643</v>
      </c>
      <c r="B85" s="1" t="s">
        <v>81</v>
      </c>
      <c r="C85" t="s">
        <v>240</v>
      </c>
      <c r="E85" s="2">
        <v>2156000206001</v>
      </c>
      <c r="F85" s="1" t="s">
        <v>29</v>
      </c>
      <c r="G85" s="1" t="s">
        <v>53</v>
      </c>
      <c r="H85" s="1" t="s">
        <v>278</v>
      </c>
      <c r="I85" s="1" t="s">
        <v>279</v>
      </c>
      <c r="J85" s="1" t="s">
        <v>211</v>
      </c>
      <c r="K85" t="s">
        <v>34</v>
      </c>
      <c r="M85" s="1" t="s">
        <v>35</v>
      </c>
      <c r="N85" s="1">
        <v>42318949</v>
      </c>
      <c r="O85" s="1" t="s">
        <v>36</v>
      </c>
      <c r="P85" s="186">
        <v>44459.548981481479</v>
      </c>
      <c r="R85" s="1" t="s">
        <v>38</v>
      </c>
      <c r="T85" s="1" t="s">
        <v>74</v>
      </c>
      <c r="U85" s="186">
        <v>44460.548981481479</v>
      </c>
      <c r="V85" s="1" t="s">
        <v>41</v>
      </c>
      <c r="W85" s="1" t="s">
        <v>49</v>
      </c>
      <c r="X85" s="13" t="str">
        <f>IF(RIGHT(H85,2)&lt;&gt;"00",H85,"")</f>
        <v/>
      </c>
      <c r="Y85" s="2">
        <f ca="1">NETWORKDAYS(P85,$Y$1)</f>
        <v>378</v>
      </c>
      <c r="Z85" s="14">
        <v>1</v>
      </c>
      <c r="AA85" s="1" t="str">
        <f t="shared" ca="1" si="5"/>
        <v>VENCIDO</v>
      </c>
      <c r="AB85" s="1" t="str">
        <f t="shared" si="6"/>
        <v>Dosa</v>
      </c>
      <c r="AC85" s="2" t="str">
        <f t="shared" si="9"/>
        <v xml:space="preserve"> RINALDO </v>
      </c>
      <c r="AD85" s="2">
        <f t="shared" si="7"/>
        <v>5</v>
      </c>
      <c r="AE85" s="2">
        <f t="shared" ca="1" si="8"/>
        <v>-526.12729016203957</v>
      </c>
      <c r="AF85" s="15"/>
    </row>
    <row r="86" spans="1:32" hidden="1">
      <c r="A86" s="1">
        <v>7726642</v>
      </c>
      <c r="B86" s="1" t="s">
        <v>81</v>
      </c>
      <c r="C86" t="s">
        <v>240</v>
      </c>
      <c r="E86" s="2">
        <v>1162000206001</v>
      </c>
      <c r="F86" s="1" t="s">
        <v>29</v>
      </c>
      <c r="G86" s="1" t="s">
        <v>53</v>
      </c>
      <c r="H86" s="1" t="s">
        <v>280</v>
      </c>
      <c r="I86" s="1" t="s">
        <v>281</v>
      </c>
      <c r="J86" s="1" t="s">
        <v>211</v>
      </c>
      <c r="K86" t="s">
        <v>34</v>
      </c>
      <c r="M86" s="1" t="s">
        <v>35</v>
      </c>
      <c r="N86" s="1">
        <v>42318949</v>
      </c>
      <c r="O86" s="1" t="s">
        <v>36</v>
      </c>
      <c r="P86" s="186">
        <v>44459.548981481479</v>
      </c>
      <c r="R86" s="1" t="s">
        <v>38</v>
      </c>
      <c r="T86" s="1" t="s">
        <v>74</v>
      </c>
      <c r="U86" s="186">
        <v>44460.548981481479</v>
      </c>
      <c r="V86" s="1" t="s">
        <v>41</v>
      </c>
      <c r="W86" s="1" t="s">
        <v>49</v>
      </c>
      <c r="X86" s="13" t="str">
        <f>IF(RIGHT(H86,2)&lt;&gt;"00",H86,"")</f>
        <v/>
      </c>
      <c r="Y86" s="2">
        <f ca="1">NETWORKDAYS(P86,$Y$1)</f>
        <v>378</v>
      </c>
      <c r="Z86" s="14">
        <v>1</v>
      </c>
      <c r="AA86" s="1" t="str">
        <f t="shared" ca="1" si="5"/>
        <v>VENCIDO</v>
      </c>
      <c r="AB86" s="1" t="str">
        <f t="shared" si="6"/>
        <v>Dosa</v>
      </c>
      <c r="AC86" s="2" t="str">
        <f t="shared" si="9"/>
        <v xml:space="preserve"> RINALDO </v>
      </c>
      <c r="AD86" s="2">
        <f t="shared" si="7"/>
        <v>5</v>
      </c>
      <c r="AE86" s="2">
        <f t="shared" ca="1" si="8"/>
        <v>-526.12729016203957</v>
      </c>
      <c r="AF86" s="15"/>
    </row>
    <row r="87" spans="1:32" hidden="1">
      <c r="A87" s="1">
        <v>7726640</v>
      </c>
      <c r="B87" s="1" t="s">
        <v>81</v>
      </c>
      <c r="C87" t="s">
        <v>240</v>
      </c>
      <c r="E87" s="2">
        <v>3243000206001</v>
      </c>
      <c r="F87" s="1" t="s">
        <v>29</v>
      </c>
      <c r="G87" s="1" t="s">
        <v>53</v>
      </c>
      <c r="H87" s="1" t="s">
        <v>282</v>
      </c>
      <c r="I87" s="1" t="s">
        <v>283</v>
      </c>
      <c r="J87" s="1" t="s">
        <v>46</v>
      </c>
      <c r="K87" t="s">
        <v>34</v>
      </c>
      <c r="M87" s="1" t="s">
        <v>35</v>
      </c>
      <c r="N87" s="1">
        <v>42318949</v>
      </c>
      <c r="O87" s="1" t="s">
        <v>36</v>
      </c>
      <c r="P87" s="186">
        <v>44459.54896990741</v>
      </c>
      <c r="R87" s="1" t="s">
        <v>38</v>
      </c>
      <c r="T87" s="1" t="s">
        <v>74</v>
      </c>
      <c r="U87" s="186">
        <v>44460.54896990741</v>
      </c>
      <c r="V87" s="1" t="s">
        <v>41</v>
      </c>
      <c r="W87" s="1" t="s">
        <v>49</v>
      </c>
      <c r="X87" s="13" t="str">
        <f>IF(RIGHT(H87,2)&lt;&gt;"00",H87,"")</f>
        <v/>
      </c>
      <c r="Y87" s="2">
        <f ca="1">NETWORKDAYS(P87,$Y$1)</f>
        <v>378</v>
      </c>
      <c r="Z87" s="14">
        <v>1</v>
      </c>
      <c r="AA87" s="1" t="str">
        <f t="shared" ca="1" si="5"/>
        <v>VENCIDO</v>
      </c>
      <c r="AB87" s="1" t="str">
        <f t="shared" si="6"/>
        <v>Dosa</v>
      </c>
      <c r="AC87" s="2" t="str">
        <f t="shared" si="9"/>
        <v xml:space="preserve"> CLEITON </v>
      </c>
      <c r="AD87" s="2">
        <f t="shared" si="7"/>
        <v>5</v>
      </c>
      <c r="AE87" s="2">
        <f t="shared" ca="1" si="8"/>
        <v>-526.12730173610908</v>
      </c>
      <c r="AF87" s="15"/>
    </row>
    <row r="88" spans="1:32" hidden="1">
      <c r="A88" s="1">
        <v>7726639</v>
      </c>
      <c r="B88" s="1" t="s">
        <v>81</v>
      </c>
      <c r="C88" t="s">
        <v>240</v>
      </c>
      <c r="E88" s="2">
        <v>1060000206001</v>
      </c>
      <c r="F88" s="1" t="s">
        <v>29</v>
      </c>
      <c r="G88" s="1" t="s">
        <v>53</v>
      </c>
      <c r="H88" s="1" t="s">
        <v>284</v>
      </c>
      <c r="I88" s="1" t="s">
        <v>285</v>
      </c>
      <c r="J88" s="1" t="s">
        <v>148</v>
      </c>
      <c r="K88" t="s">
        <v>34</v>
      </c>
      <c r="M88" s="1" t="s">
        <v>35</v>
      </c>
      <c r="N88" s="1">
        <v>42318949</v>
      </c>
      <c r="O88" s="1" t="s">
        <v>36</v>
      </c>
      <c r="P88" s="186">
        <v>44459.54896990741</v>
      </c>
      <c r="R88" s="1" t="s">
        <v>38</v>
      </c>
      <c r="T88" s="1" t="s">
        <v>74</v>
      </c>
      <c r="U88" s="186">
        <v>44460.54896990741</v>
      </c>
      <c r="V88" s="1" t="s">
        <v>41</v>
      </c>
      <c r="W88" s="1" t="s">
        <v>49</v>
      </c>
      <c r="X88" s="13" t="str">
        <f>IF(RIGHT(H88,2)&lt;&gt;"00",H88,"")</f>
        <v/>
      </c>
      <c r="Y88" s="2">
        <f ca="1">NETWORKDAYS(P88,$Y$1)</f>
        <v>378</v>
      </c>
      <c r="Z88" s="14">
        <v>1</v>
      </c>
      <c r="AA88" s="1" t="str">
        <f t="shared" ca="1" si="5"/>
        <v>VENCIDO</v>
      </c>
      <c r="AB88" s="1" t="str">
        <f t="shared" si="6"/>
        <v>Dosa</v>
      </c>
      <c r="AC88" s="2" t="str">
        <f t="shared" si="9"/>
        <v xml:space="preserve"> RINALDO </v>
      </c>
      <c r="AD88" s="2">
        <f t="shared" si="7"/>
        <v>5</v>
      </c>
      <c r="AE88" s="2">
        <f t="shared" ca="1" si="8"/>
        <v>-526.12730173610908</v>
      </c>
      <c r="AF88" s="15"/>
    </row>
    <row r="89" spans="1:32" hidden="1">
      <c r="A89" s="1">
        <v>7726637</v>
      </c>
      <c r="B89" s="1" t="s">
        <v>81</v>
      </c>
      <c r="C89" t="s">
        <v>240</v>
      </c>
      <c r="E89" s="2">
        <v>3237000206001</v>
      </c>
      <c r="F89" s="1" t="s">
        <v>29</v>
      </c>
      <c r="G89" s="1" t="s">
        <v>53</v>
      </c>
      <c r="H89" s="1" t="s">
        <v>287</v>
      </c>
      <c r="I89" s="1" t="s">
        <v>288</v>
      </c>
      <c r="J89" s="1" t="s">
        <v>46</v>
      </c>
      <c r="K89" t="s">
        <v>34</v>
      </c>
      <c r="M89" s="1" t="s">
        <v>35</v>
      </c>
      <c r="N89" s="1">
        <v>42318949</v>
      </c>
      <c r="O89" s="1" t="s">
        <v>36</v>
      </c>
      <c r="P89" s="186">
        <v>44459.54896990741</v>
      </c>
      <c r="R89" s="1" t="s">
        <v>38</v>
      </c>
      <c r="T89" s="1" t="s">
        <v>74</v>
      </c>
      <c r="U89" s="186">
        <v>44460.54896990741</v>
      </c>
      <c r="V89" s="1" t="s">
        <v>41</v>
      </c>
      <c r="W89" s="1" t="s">
        <v>49</v>
      </c>
      <c r="X89" s="13" t="str">
        <f>IF(RIGHT(H89,2)&lt;&gt;"00",H89,"")</f>
        <v/>
      </c>
      <c r="Y89" s="2">
        <f ca="1">NETWORKDAYS(P89,$Y$1)</f>
        <v>378</v>
      </c>
      <c r="Z89" s="14">
        <v>1</v>
      </c>
      <c r="AA89" s="1" t="str">
        <f t="shared" ca="1" si="5"/>
        <v>VENCIDO</v>
      </c>
      <c r="AB89" s="1" t="str">
        <f t="shared" si="6"/>
        <v>Dosa</v>
      </c>
      <c r="AC89" s="2" t="str">
        <f t="shared" si="9"/>
        <v xml:space="preserve"> CLEITON </v>
      </c>
      <c r="AD89" s="2">
        <f t="shared" si="7"/>
        <v>5</v>
      </c>
      <c r="AE89" s="2">
        <f t="shared" ca="1" si="8"/>
        <v>-526.12730173610908</v>
      </c>
      <c r="AF89" s="15"/>
    </row>
    <row r="90" spans="1:32" hidden="1">
      <c r="A90" s="1">
        <v>7726636</v>
      </c>
      <c r="B90" s="1" t="s">
        <v>81</v>
      </c>
      <c r="C90" t="s">
        <v>240</v>
      </c>
      <c r="E90" s="2">
        <v>1058000206001</v>
      </c>
      <c r="F90" s="1" t="s">
        <v>29</v>
      </c>
      <c r="G90" s="1" t="s">
        <v>53</v>
      </c>
      <c r="H90" s="1" t="s">
        <v>289</v>
      </c>
      <c r="I90" s="1" t="s">
        <v>290</v>
      </c>
      <c r="J90" s="1" t="s">
        <v>56</v>
      </c>
      <c r="K90" t="s">
        <v>34</v>
      </c>
      <c r="M90" s="1" t="s">
        <v>35</v>
      </c>
      <c r="N90" s="1">
        <v>42318949</v>
      </c>
      <c r="O90" s="1" t="s">
        <v>36</v>
      </c>
      <c r="P90" s="186">
        <v>44459.54896990741</v>
      </c>
      <c r="R90" s="1" t="s">
        <v>38</v>
      </c>
      <c r="T90" s="1" t="s">
        <v>74</v>
      </c>
      <c r="U90" s="186">
        <v>44460.54896990741</v>
      </c>
      <c r="V90" s="1" t="s">
        <v>41</v>
      </c>
      <c r="W90" s="1" t="s">
        <v>49</v>
      </c>
      <c r="X90" s="13" t="str">
        <f>IF(RIGHT(H90,2)&lt;&gt;"00",H90,"")</f>
        <v/>
      </c>
      <c r="Y90" s="2">
        <f ca="1">NETWORKDAYS(P90,$Y$1)</f>
        <v>378</v>
      </c>
      <c r="Z90" s="14">
        <v>1</v>
      </c>
      <c r="AA90" s="1" t="str">
        <f t="shared" ca="1" si="5"/>
        <v>VENCIDO</v>
      </c>
      <c r="AB90" s="1" t="str">
        <f t="shared" si="6"/>
        <v>Dosa</v>
      </c>
      <c r="AC90" s="2" t="str">
        <f t="shared" si="9"/>
        <v xml:space="preserve"> CRISTINA </v>
      </c>
      <c r="AD90" s="2">
        <f t="shared" si="7"/>
        <v>5</v>
      </c>
      <c r="AE90" s="2">
        <f t="shared" ca="1" si="8"/>
        <v>-526.12730173610908</v>
      </c>
      <c r="AF90" s="15"/>
    </row>
    <row r="91" spans="1:32" hidden="1">
      <c r="A91" s="1">
        <v>7726635</v>
      </c>
      <c r="B91" s="1" t="s">
        <v>81</v>
      </c>
      <c r="C91" t="s">
        <v>240</v>
      </c>
      <c r="E91" s="2">
        <v>4235000206001</v>
      </c>
      <c r="F91" s="1" t="s">
        <v>29</v>
      </c>
      <c r="G91" s="1" t="s">
        <v>53</v>
      </c>
      <c r="H91" s="1" t="s">
        <v>291</v>
      </c>
      <c r="I91" s="1" t="s">
        <v>292</v>
      </c>
      <c r="J91" s="1" t="s">
        <v>46</v>
      </c>
      <c r="K91" t="s">
        <v>34</v>
      </c>
      <c r="M91" s="1" t="s">
        <v>35</v>
      </c>
      <c r="N91" s="1">
        <v>42318949</v>
      </c>
      <c r="O91" s="1" t="s">
        <v>36</v>
      </c>
      <c r="P91" s="186">
        <v>44459.54896990741</v>
      </c>
      <c r="R91" s="1" t="s">
        <v>38</v>
      </c>
      <c r="T91" s="1" t="s">
        <v>74</v>
      </c>
      <c r="U91" s="186">
        <v>44460.54896990741</v>
      </c>
      <c r="V91" s="1" t="s">
        <v>41</v>
      </c>
      <c r="W91" s="1" t="s">
        <v>49</v>
      </c>
      <c r="X91" s="13" t="str">
        <f>IF(RIGHT(H91,2)&lt;&gt;"00",H91,"")</f>
        <v/>
      </c>
      <c r="Y91" s="2">
        <f ca="1">NETWORKDAYS(P91,$Y$1)</f>
        <v>378</v>
      </c>
      <c r="Z91" s="14">
        <v>1</v>
      </c>
      <c r="AA91" s="1" t="str">
        <f t="shared" ca="1" si="5"/>
        <v>VENCIDO</v>
      </c>
      <c r="AB91" s="1" t="str">
        <f t="shared" si="6"/>
        <v>Dosa</v>
      </c>
      <c r="AC91" s="2" t="str">
        <f t="shared" si="9"/>
        <v xml:space="preserve"> CLEITON </v>
      </c>
      <c r="AD91" s="2">
        <f t="shared" si="7"/>
        <v>5</v>
      </c>
      <c r="AE91" s="2">
        <f t="shared" ca="1" si="8"/>
        <v>-526.12730173610908</v>
      </c>
      <c r="AF91" s="15"/>
    </row>
    <row r="92" spans="1:32" hidden="1">
      <c r="A92" s="1">
        <v>7726633</v>
      </c>
      <c r="B92" s="1" t="s">
        <v>81</v>
      </c>
      <c r="C92" t="s">
        <v>240</v>
      </c>
      <c r="E92" s="2">
        <v>8634000206001</v>
      </c>
      <c r="F92" s="1" t="s">
        <v>29</v>
      </c>
      <c r="G92" s="1" t="s">
        <v>53</v>
      </c>
      <c r="H92" s="1" t="s">
        <v>293</v>
      </c>
      <c r="I92" s="1" t="s">
        <v>294</v>
      </c>
      <c r="J92" s="1" t="s">
        <v>46</v>
      </c>
      <c r="K92" t="s">
        <v>34</v>
      </c>
      <c r="M92" s="1" t="s">
        <v>35</v>
      </c>
      <c r="N92" s="1">
        <v>42318949</v>
      </c>
      <c r="O92" s="1" t="s">
        <v>36</v>
      </c>
      <c r="P92" s="186">
        <v>44459.54896990741</v>
      </c>
      <c r="R92" s="1" t="s">
        <v>38</v>
      </c>
      <c r="T92" s="1" t="s">
        <v>74</v>
      </c>
      <c r="U92" s="186">
        <v>44460.54896990741</v>
      </c>
      <c r="V92" s="1" t="s">
        <v>41</v>
      </c>
      <c r="W92" s="1" t="s">
        <v>49</v>
      </c>
      <c r="X92" s="13" t="str">
        <f>IF(RIGHT(H92,2)&lt;&gt;"00",H92,"")</f>
        <v/>
      </c>
      <c r="Y92" s="2">
        <f ca="1">NETWORKDAYS(P92,$Y$1)</f>
        <v>378</v>
      </c>
      <c r="Z92" s="14">
        <v>1</v>
      </c>
      <c r="AA92" s="1" t="str">
        <f t="shared" ca="1" si="5"/>
        <v>VENCIDO</v>
      </c>
      <c r="AB92" s="1" t="str">
        <f t="shared" si="6"/>
        <v>Dosa</v>
      </c>
      <c r="AC92" s="2" t="str">
        <f t="shared" si="9"/>
        <v xml:space="preserve"> CLEITON </v>
      </c>
      <c r="AD92" s="2">
        <f t="shared" si="7"/>
        <v>5</v>
      </c>
      <c r="AE92" s="2">
        <f t="shared" ca="1" si="8"/>
        <v>-526.12730173610908</v>
      </c>
      <c r="AF92" s="15"/>
    </row>
    <row r="93" spans="1:32" hidden="1">
      <c r="A93" s="1">
        <v>7726632</v>
      </c>
      <c r="B93" s="1" t="s">
        <v>81</v>
      </c>
      <c r="C93" t="s">
        <v>240</v>
      </c>
      <c r="E93" s="2">
        <v>1108000206001</v>
      </c>
      <c r="F93" s="1" t="s">
        <v>29</v>
      </c>
      <c r="G93" s="1" t="s">
        <v>53</v>
      </c>
      <c r="H93" s="1" t="s">
        <v>295</v>
      </c>
      <c r="I93" s="1" t="s">
        <v>296</v>
      </c>
      <c r="J93" s="1" t="s">
        <v>90</v>
      </c>
      <c r="K93" t="s">
        <v>34</v>
      </c>
      <c r="M93" s="1" t="s">
        <v>35</v>
      </c>
      <c r="N93" s="1">
        <v>42318949</v>
      </c>
      <c r="O93" s="1" t="s">
        <v>36</v>
      </c>
      <c r="P93" s="186">
        <v>44459.54896990741</v>
      </c>
      <c r="R93" s="1" t="s">
        <v>38</v>
      </c>
      <c r="T93" s="1" t="s">
        <v>74</v>
      </c>
      <c r="U93" s="186">
        <v>44460.54896990741</v>
      </c>
      <c r="V93" s="1" t="s">
        <v>41</v>
      </c>
      <c r="W93" s="1" t="s">
        <v>49</v>
      </c>
      <c r="X93" s="13" t="str">
        <f>IF(RIGHT(H93,2)&lt;&gt;"00",H93,"")</f>
        <v/>
      </c>
      <c r="Y93" s="2">
        <f ca="1">NETWORKDAYS(P93,$Y$1)</f>
        <v>378</v>
      </c>
      <c r="Z93" s="14">
        <v>1</v>
      </c>
      <c r="AA93" s="1" t="str">
        <f t="shared" ca="1" si="5"/>
        <v>VENCIDO</v>
      </c>
      <c r="AB93" s="1" t="str">
        <f t="shared" si="6"/>
        <v>Dosa</v>
      </c>
      <c r="AC93" s="2" t="str">
        <f t="shared" si="9"/>
        <v xml:space="preserve"> RINALDO </v>
      </c>
      <c r="AD93" s="2">
        <f t="shared" si="7"/>
        <v>5</v>
      </c>
      <c r="AE93" s="2">
        <f t="shared" ca="1" si="8"/>
        <v>-526.12730173610908</v>
      </c>
      <c r="AF93" s="15"/>
    </row>
    <row r="94" spans="1:32" hidden="1">
      <c r="A94" s="1">
        <v>7726631</v>
      </c>
      <c r="B94" s="1" t="s">
        <v>81</v>
      </c>
      <c r="C94" t="s">
        <v>240</v>
      </c>
      <c r="E94" s="2">
        <v>4119000206001</v>
      </c>
      <c r="F94" s="1" t="s">
        <v>29</v>
      </c>
      <c r="G94" s="1" t="s">
        <v>53</v>
      </c>
      <c r="H94" s="1" t="s">
        <v>297</v>
      </c>
      <c r="I94" s="1" t="s">
        <v>298</v>
      </c>
      <c r="J94" s="1" t="s">
        <v>211</v>
      </c>
      <c r="K94" t="s">
        <v>34</v>
      </c>
      <c r="M94" s="1" t="s">
        <v>35</v>
      </c>
      <c r="N94" s="1">
        <v>42318949</v>
      </c>
      <c r="O94" s="1" t="s">
        <v>36</v>
      </c>
      <c r="P94" s="186">
        <v>44459.548958333333</v>
      </c>
      <c r="R94" s="1" t="s">
        <v>38</v>
      </c>
      <c r="T94" s="1" t="s">
        <v>74</v>
      </c>
      <c r="U94" s="186">
        <v>44460.548958333333</v>
      </c>
      <c r="V94" s="1" t="s">
        <v>41</v>
      </c>
      <c r="W94" s="1" t="s">
        <v>49</v>
      </c>
      <c r="X94" s="13" t="str">
        <f>IF(RIGHT(H94,2)&lt;&gt;"00",H94,"")</f>
        <v/>
      </c>
      <c r="Y94" s="2">
        <f ca="1">NETWORKDAYS(P94,$Y$1)</f>
        <v>378</v>
      </c>
      <c r="Z94" s="14">
        <v>1</v>
      </c>
      <c r="AA94" s="1" t="str">
        <f t="shared" ca="1" si="5"/>
        <v>VENCIDO</v>
      </c>
      <c r="AB94" s="1" t="str">
        <f t="shared" si="6"/>
        <v>Dosa</v>
      </c>
      <c r="AC94" s="2" t="str">
        <f t="shared" si="9"/>
        <v xml:space="preserve"> RINALDO </v>
      </c>
      <c r="AD94" s="2">
        <f t="shared" si="7"/>
        <v>5</v>
      </c>
      <c r="AE94" s="2">
        <f t="shared" ca="1" si="8"/>
        <v>-526.12731331018585</v>
      </c>
      <c r="AF94" s="15"/>
    </row>
    <row r="95" spans="1:32" hidden="1">
      <c r="A95" s="1">
        <v>7726630</v>
      </c>
      <c r="B95" s="1" t="s">
        <v>81</v>
      </c>
      <c r="C95" t="s">
        <v>240</v>
      </c>
      <c r="E95" s="2">
        <v>2388000206001</v>
      </c>
      <c r="F95" s="1" t="s">
        <v>29</v>
      </c>
      <c r="G95" s="1" t="s">
        <v>53</v>
      </c>
      <c r="H95" s="1" t="s">
        <v>299</v>
      </c>
      <c r="I95" s="1" t="s">
        <v>300</v>
      </c>
      <c r="J95" s="1" t="s">
        <v>79</v>
      </c>
      <c r="K95" t="s">
        <v>34</v>
      </c>
      <c r="M95" s="1" t="s">
        <v>35</v>
      </c>
      <c r="N95" s="1">
        <v>42318949</v>
      </c>
      <c r="O95" s="1" t="s">
        <v>36</v>
      </c>
      <c r="P95" s="186">
        <v>44459.548958333333</v>
      </c>
      <c r="R95" s="1" t="s">
        <v>38</v>
      </c>
      <c r="T95" s="1" t="s">
        <v>74</v>
      </c>
      <c r="U95" s="186">
        <v>44460.548958333333</v>
      </c>
      <c r="V95" s="1" t="s">
        <v>41</v>
      </c>
      <c r="W95" s="1" t="s">
        <v>49</v>
      </c>
      <c r="X95" s="13" t="str">
        <f>IF(RIGHT(H95,2)&lt;&gt;"00",H95,"")</f>
        <v/>
      </c>
      <c r="Y95" s="2">
        <f ca="1">NETWORKDAYS(P95,$Y$1)</f>
        <v>378</v>
      </c>
      <c r="Z95" s="14">
        <v>1</v>
      </c>
      <c r="AA95" s="1" t="str">
        <f t="shared" ca="1" si="5"/>
        <v>VENCIDO</v>
      </c>
      <c r="AB95" s="1" t="str">
        <f t="shared" si="6"/>
        <v>Dosa</v>
      </c>
      <c r="AC95" s="2" t="str">
        <f t="shared" si="9"/>
        <v xml:space="preserve"> ROSEMERE </v>
      </c>
      <c r="AD95" s="2">
        <f t="shared" si="7"/>
        <v>5</v>
      </c>
      <c r="AE95" s="2">
        <f t="shared" ca="1" si="8"/>
        <v>-526.12731331018585</v>
      </c>
      <c r="AF95" s="15"/>
    </row>
    <row r="96" spans="1:32" hidden="1">
      <c r="A96" s="1">
        <v>7726629</v>
      </c>
      <c r="B96" s="1" t="s">
        <v>81</v>
      </c>
      <c r="C96" t="s">
        <v>240</v>
      </c>
      <c r="E96" s="2">
        <v>2326000206001</v>
      </c>
      <c r="F96" s="1" t="s">
        <v>29</v>
      </c>
      <c r="G96" s="1" t="s">
        <v>53</v>
      </c>
      <c r="H96" s="1" t="s">
        <v>191</v>
      </c>
      <c r="I96" s="1" t="s">
        <v>192</v>
      </c>
      <c r="J96" s="1" t="s">
        <v>46</v>
      </c>
      <c r="K96" t="s">
        <v>34</v>
      </c>
      <c r="M96" s="1" t="s">
        <v>35</v>
      </c>
      <c r="N96" s="1">
        <v>42318949</v>
      </c>
      <c r="O96" s="1" t="s">
        <v>36</v>
      </c>
      <c r="P96" s="186">
        <v>44459.548958333333</v>
      </c>
      <c r="R96" s="1" t="s">
        <v>38</v>
      </c>
      <c r="T96" s="1" t="s">
        <v>74</v>
      </c>
      <c r="U96" s="186">
        <v>44460.548958333333</v>
      </c>
      <c r="V96" s="1" t="s">
        <v>41</v>
      </c>
      <c r="W96" s="1" t="s">
        <v>49</v>
      </c>
      <c r="X96" s="13" t="str">
        <f>IF(RIGHT(H96,2)&lt;&gt;"00",H96,"")</f>
        <v/>
      </c>
      <c r="Y96" s="2">
        <f ca="1">NETWORKDAYS(P96,$Y$1)</f>
        <v>378</v>
      </c>
      <c r="Z96" s="14">
        <v>1</v>
      </c>
      <c r="AA96" s="1" t="str">
        <f t="shared" ca="1" si="5"/>
        <v>VENCIDO</v>
      </c>
      <c r="AB96" s="1" t="str">
        <f t="shared" si="6"/>
        <v>Dosa</v>
      </c>
      <c r="AC96" s="2" t="str">
        <f t="shared" si="9"/>
        <v xml:space="preserve"> CLEITON </v>
      </c>
      <c r="AD96" s="2">
        <f t="shared" si="7"/>
        <v>5</v>
      </c>
      <c r="AE96" s="2">
        <f t="shared" ca="1" si="8"/>
        <v>-526.12731331018585</v>
      </c>
      <c r="AF96" s="15"/>
    </row>
    <row r="97" spans="1:32" hidden="1">
      <c r="A97" s="1">
        <v>7726628</v>
      </c>
      <c r="B97" s="1" t="s">
        <v>81</v>
      </c>
      <c r="C97" t="s">
        <v>240</v>
      </c>
      <c r="E97" s="2">
        <v>1360000206001</v>
      </c>
      <c r="F97" s="1" t="s">
        <v>29</v>
      </c>
      <c r="G97" s="1" t="s">
        <v>53</v>
      </c>
      <c r="H97" s="1" t="s">
        <v>303</v>
      </c>
      <c r="I97" s="1" t="s">
        <v>304</v>
      </c>
      <c r="J97" s="1" t="s">
        <v>261</v>
      </c>
      <c r="K97" t="s">
        <v>34</v>
      </c>
      <c r="M97" s="1" t="s">
        <v>35</v>
      </c>
      <c r="N97" s="1">
        <v>42318949</v>
      </c>
      <c r="O97" s="1" t="s">
        <v>36</v>
      </c>
      <c r="P97" s="186">
        <v>44459.548958333333</v>
      </c>
      <c r="R97" s="1" t="s">
        <v>38</v>
      </c>
      <c r="T97" s="1" t="s">
        <v>74</v>
      </c>
      <c r="U97" s="186">
        <v>44460.548958333333</v>
      </c>
      <c r="V97" s="1" t="s">
        <v>41</v>
      </c>
      <c r="W97" s="1" t="s">
        <v>49</v>
      </c>
      <c r="X97" s="13" t="str">
        <f>IF(RIGHT(H97,2)&lt;&gt;"00",H97,"")</f>
        <v/>
      </c>
      <c r="Y97" s="2">
        <f ca="1">NETWORKDAYS(P97,$Y$1)</f>
        <v>378</v>
      </c>
      <c r="Z97" s="14">
        <v>1</v>
      </c>
      <c r="AA97" s="1" t="str">
        <f t="shared" ca="1" si="5"/>
        <v>VENCIDO</v>
      </c>
      <c r="AB97" s="1" t="str">
        <f t="shared" si="6"/>
        <v>Dosa</v>
      </c>
      <c r="AC97" s="2" t="str">
        <f t="shared" si="9"/>
        <v xml:space="preserve"> CRISTINA </v>
      </c>
      <c r="AD97" s="2">
        <f t="shared" si="7"/>
        <v>5</v>
      </c>
      <c r="AE97" s="2">
        <f t="shared" ca="1" si="8"/>
        <v>-526.12731331018585</v>
      </c>
      <c r="AF97" s="15"/>
    </row>
    <row r="98" spans="1:32" hidden="1">
      <c r="A98" s="1">
        <v>7726627</v>
      </c>
      <c r="B98" s="1" t="s">
        <v>81</v>
      </c>
      <c r="C98" t="s">
        <v>240</v>
      </c>
      <c r="E98" s="2">
        <v>1835000206001</v>
      </c>
      <c r="F98" s="1" t="s">
        <v>29</v>
      </c>
      <c r="G98" s="1" t="s">
        <v>53</v>
      </c>
      <c r="H98" s="1" t="s">
        <v>305</v>
      </c>
      <c r="I98" s="1" t="s">
        <v>306</v>
      </c>
      <c r="J98" s="1" t="s">
        <v>46</v>
      </c>
      <c r="K98" t="s">
        <v>34</v>
      </c>
      <c r="M98" s="1" t="s">
        <v>35</v>
      </c>
      <c r="N98" s="1">
        <v>42318949</v>
      </c>
      <c r="O98" s="1" t="s">
        <v>36</v>
      </c>
      <c r="P98" s="186">
        <v>44459.548958333333</v>
      </c>
      <c r="R98" s="1" t="s">
        <v>38</v>
      </c>
      <c r="T98" s="1" t="s">
        <v>74</v>
      </c>
      <c r="U98" s="186">
        <v>44460.548958333333</v>
      </c>
      <c r="V98" s="1" t="s">
        <v>41</v>
      </c>
      <c r="W98" s="1" t="s">
        <v>49</v>
      </c>
      <c r="X98" s="13" t="str">
        <f>IF(RIGHT(H98,2)&lt;&gt;"00",H98,"")</f>
        <v/>
      </c>
      <c r="Y98" s="2">
        <f ca="1">NETWORKDAYS(P98,$Y$1)</f>
        <v>378</v>
      </c>
      <c r="Z98" s="14">
        <v>1</v>
      </c>
      <c r="AA98" s="1" t="str">
        <f t="shared" ca="1" si="5"/>
        <v>VENCIDO</v>
      </c>
      <c r="AB98" s="1" t="str">
        <f t="shared" si="6"/>
        <v>Dosa</v>
      </c>
      <c r="AC98" s="2" t="str">
        <f t="shared" si="9"/>
        <v xml:space="preserve"> CLEITON </v>
      </c>
      <c r="AD98" s="2">
        <f t="shared" si="7"/>
        <v>5</v>
      </c>
      <c r="AE98" s="2">
        <f t="shared" ca="1" si="8"/>
        <v>-526.12731331018585</v>
      </c>
      <c r="AF98" s="15"/>
    </row>
    <row r="99" spans="1:32" hidden="1">
      <c r="A99" s="1">
        <v>7726626</v>
      </c>
      <c r="B99" s="1" t="s">
        <v>81</v>
      </c>
      <c r="C99" t="s">
        <v>240</v>
      </c>
      <c r="E99" s="2">
        <v>1664000206001</v>
      </c>
      <c r="F99" s="1" t="s">
        <v>29</v>
      </c>
      <c r="G99" s="1" t="s">
        <v>53</v>
      </c>
      <c r="H99" s="1" t="s">
        <v>307</v>
      </c>
      <c r="I99" s="1" t="s">
        <v>308</v>
      </c>
      <c r="J99" s="1" t="s">
        <v>164</v>
      </c>
      <c r="K99" t="s">
        <v>34</v>
      </c>
      <c r="M99" s="1" t="s">
        <v>35</v>
      </c>
      <c r="N99" s="1">
        <v>42318949</v>
      </c>
      <c r="O99" s="1" t="s">
        <v>36</v>
      </c>
      <c r="P99" s="186">
        <v>44459.548958333333</v>
      </c>
      <c r="R99" s="1" t="s">
        <v>38</v>
      </c>
      <c r="T99" s="1" t="s">
        <v>74</v>
      </c>
      <c r="U99" s="186">
        <v>44460.548958333333</v>
      </c>
      <c r="V99" s="1" t="s">
        <v>41</v>
      </c>
      <c r="W99" s="1" t="s">
        <v>49</v>
      </c>
      <c r="X99" s="13" t="str">
        <f>IF(RIGHT(H99,2)&lt;&gt;"00",H99,"")</f>
        <v/>
      </c>
      <c r="Y99" s="2">
        <f ca="1">NETWORKDAYS(P99,$Y$1)</f>
        <v>378</v>
      </c>
      <c r="Z99" s="14">
        <v>1</v>
      </c>
      <c r="AA99" s="1" t="str">
        <f t="shared" ca="1" si="5"/>
        <v>VENCIDO</v>
      </c>
      <c r="AB99" s="1" t="str">
        <f t="shared" si="6"/>
        <v>Dosa</v>
      </c>
      <c r="AC99" s="2" t="str">
        <f t="shared" si="9"/>
        <v xml:space="preserve"> ROSEMERE </v>
      </c>
      <c r="AD99" s="2">
        <f t="shared" si="7"/>
        <v>5</v>
      </c>
      <c r="AE99" s="2">
        <f t="shared" ca="1" si="8"/>
        <v>-526.12731331018585</v>
      </c>
      <c r="AF99" s="15"/>
    </row>
    <row r="100" spans="1:32" hidden="1">
      <c r="A100" s="1">
        <v>7726624</v>
      </c>
      <c r="B100" s="1" t="s">
        <v>81</v>
      </c>
      <c r="C100" t="s">
        <v>240</v>
      </c>
      <c r="E100" s="2">
        <v>1732000206001</v>
      </c>
      <c r="F100" s="1" t="s">
        <v>29</v>
      </c>
      <c r="G100" s="1" t="s">
        <v>53</v>
      </c>
      <c r="H100" s="1" t="s">
        <v>177</v>
      </c>
      <c r="I100" s="1" t="s">
        <v>178</v>
      </c>
      <c r="J100" s="1" t="s">
        <v>164</v>
      </c>
      <c r="K100" t="s">
        <v>34</v>
      </c>
      <c r="M100" s="1" t="s">
        <v>35</v>
      </c>
      <c r="N100" s="1">
        <v>42318949</v>
      </c>
      <c r="O100" s="1" t="s">
        <v>36</v>
      </c>
      <c r="P100" s="186">
        <v>44459.548958333333</v>
      </c>
      <c r="R100" s="1" t="s">
        <v>38</v>
      </c>
      <c r="T100" s="1" t="s">
        <v>74</v>
      </c>
      <c r="U100" s="186">
        <v>44460.548958333333</v>
      </c>
      <c r="V100" s="1" t="s">
        <v>41</v>
      </c>
      <c r="W100" s="1" t="s">
        <v>49</v>
      </c>
      <c r="X100" s="13" t="str">
        <f>IF(RIGHT(H100,2)&lt;&gt;"00",H100,"")</f>
        <v/>
      </c>
      <c r="Y100" s="2">
        <f ca="1">NETWORKDAYS(P100,$Y$1)</f>
        <v>378</v>
      </c>
      <c r="Z100" s="14">
        <v>1</v>
      </c>
      <c r="AA100" s="1" t="str">
        <f t="shared" ca="1" si="5"/>
        <v>VENCIDO</v>
      </c>
      <c r="AB100" s="1" t="str">
        <f t="shared" si="6"/>
        <v>Dosa</v>
      </c>
      <c r="AC100" s="2" t="str">
        <f t="shared" si="9"/>
        <v xml:space="preserve"> ROSEMERE </v>
      </c>
      <c r="AD100" s="2">
        <f t="shared" si="7"/>
        <v>5</v>
      </c>
      <c r="AE100" s="2">
        <f t="shared" ca="1" si="8"/>
        <v>-526.12731331018585</v>
      </c>
      <c r="AF100" s="15"/>
    </row>
    <row r="101" spans="1:32" hidden="1">
      <c r="A101" s="1">
        <v>7726620</v>
      </c>
      <c r="B101" s="1" t="s">
        <v>81</v>
      </c>
      <c r="C101" t="s">
        <v>240</v>
      </c>
      <c r="E101" s="2">
        <v>3924000206001</v>
      </c>
      <c r="F101" s="1" t="s">
        <v>29</v>
      </c>
      <c r="G101" s="1" t="s">
        <v>53</v>
      </c>
      <c r="H101" s="1" t="s">
        <v>153</v>
      </c>
      <c r="I101" s="1" t="s">
        <v>154</v>
      </c>
      <c r="J101" s="1" t="s">
        <v>56</v>
      </c>
      <c r="K101" t="s">
        <v>34</v>
      </c>
      <c r="M101" s="1" t="s">
        <v>35</v>
      </c>
      <c r="N101" s="1">
        <v>42318949</v>
      </c>
      <c r="O101" s="1" t="s">
        <v>36</v>
      </c>
      <c r="P101" s="186">
        <v>44459.548946759256</v>
      </c>
      <c r="R101" s="1" t="s">
        <v>38</v>
      </c>
      <c r="T101" s="1" t="s">
        <v>74</v>
      </c>
      <c r="U101" s="186">
        <v>44460.548946759256</v>
      </c>
      <c r="V101" s="1" t="s">
        <v>41</v>
      </c>
      <c r="W101" s="1" t="s">
        <v>49</v>
      </c>
      <c r="X101" s="13" t="str">
        <f>IF(RIGHT(H101,2)&lt;&gt;"00",H101,"")</f>
        <v/>
      </c>
      <c r="Y101" s="2">
        <f ca="1">NETWORKDAYS(P101,$Y$1)</f>
        <v>378</v>
      </c>
      <c r="Z101" s="14">
        <v>1</v>
      </c>
      <c r="AA101" s="1" t="str">
        <f t="shared" ca="1" si="5"/>
        <v>VENCIDO</v>
      </c>
      <c r="AB101" s="1" t="str">
        <f t="shared" si="6"/>
        <v>Dosa</v>
      </c>
      <c r="AC101" s="2" t="str">
        <f t="shared" si="9"/>
        <v xml:space="preserve"> CRISTINA </v>
      </c>
      <c r="AD101" s="2">
        <f t="shared" si="7"/>
        <v>5</v>
      </c>
      <c r="AE101" s="2">
        <f t="shared" ca="1" si="8"/>
        <v>-526.12732488426263</v>
      </c>
      <c r="AF101" s="15"/>
    </row>
    <row r="102" spans="1:32" hidden="1">
      <c r="A102" s="1">
        <v>7726617</v>
      </c>
      <c r="B102" s="1" t="s">
        <v>81</v>
      </c>
      <c r="C102" t="s">
        <v>240</v>
      </c>
      <c r="E102" s="2">
        <v>1361000206001</v>
      </c>
      <c r="F102" s="1" t="s">
        <v>29</v>
      </c>
      <c r="G102" s="1" t="s">
        <v>53</v>
      </c>
      <c r="H102" s="1" t="s">
        <v>309</v>
      </c>
      <c r="I102" s="1" t="s">
        <v>310</v>
      </c>
      <c r="J102" s="1" t="s">
        <v>46</v>
      </c>
      <c r="K102" t="s">
        <v>34</v>
      </c>
      <c r="M102" s="1" t="s">
        <v>35</v>
      </c>
      <c r="N102" s="1">
        <v>42318949</v>
      </c>
      <c r="O102" s="1" t="s">
        <v>36</v>
      </c>
      <c r="P102" s="186">
        <v>44459.548946759256</v>
      </c>
      <c r="R102" s="1" t="s">
        <v>38</v>
      </c>
      <c r="T102" s="1" t="s">
        <v>74</v>
      </c>
      <c r="U102" s="186">
        <v>44460.548946759256</v>
      </c>
      <c r="V102" s="1" t="s">
        <v>41</v>
      </c>
      <c r="W102" s="1" t="s">
        <v>49</v>
      </c>
      <c r="X102" s="13" t="str">
        <f>IF(RIGHT(H102,2)&lt;&gt;"00",H102,"")</f>
        <v/>
      </c>
      <c r="Y102" s="2">
        <f ca="1">NETWORKDAYS(P102,$Y$1)</f>
        <v>378</v>
      </c>
      <c r="Z102" s="14">
        <v>1</v>
      </c>
      <c r="AA102" s="1" t="str">
        <f t="shared" ca="1" si="5"/>
        <v>VENCIDO</v>
      </c>
      <c r="AB102" s="1" t="str">
        <f t="shared" si="6"/>
        <v>Dosa</v>
      </c>
      <c r="AC102" s="2" t="str">
        <f t="shared" si="9"/>
        <v xml:space="preserve"> CLEITON </v>
      </c>
      <c r="AD102" s="2">
        <f t="shared" si="7"/>
        <v>5</v>
      </c>
      <c r="AE102" s="2">
        <f t="shared" ca="1" si="8"/>
        <v>-526.12732488426263</v>
      </c>
      <c r="AF102" s="15"/>
    </row>
    <row r="103" spans="1:32" hidden="1">
      <c r="A103" s="1">
        <v>7726616</v>
      </c>
      <c r="B103" s="1" t="s">
        <v>81</v>
      </c>
      <c r="C103" t="s">
        <v>240</v>
      </c>
      <c r="E103" s="2">
        <v>2737000206001</v>
      </c>
      <c r="F103" s="1" t="s">
        <v>29</v>
      </c>
      <c r="G103" s="1" t="s">
        <v>53</v>
      </c>
      <c r="H103" s="1" t="s">
        <v>311</v>
      </c>
      <c r="I103" s="1" t="s">
        <v>312</v>
      </c>
      <c r="J103" s="1" t="s">
        <v>90</v>
      </c>
      <c r="K103" t="s">
        <v>34</v>
      </c>
      <c r="M103" s="1" t="s">
        <v>35</v>
      </c>
      <c r="N103" s="1">
        <v>42318949</v>
      </c>
      <c r="O103" s="1" t="s">
        <v>36</v>
      </c>
      <c r="P103" s="186">
        <v>44459.548935185187</v>
      </c>
      <c r="R103" s="1" t="s">
        <v>38</v>
      </c>
      <c r="T103" s="1" t="s">
        <v>74</v>
      </c>
      <c r="U103" s="186">
        <v>44460.548935185187</v>
      </c>
      <c r="V103" s="1" t="s">
        <v>41</v>
      </c>
      <c r="W103" s="1" t="s">
        <v>49</v>
      </c>
      <c r="X103" s="13" t="str">
        <f>IF(RIGHT(H103,2)&lt;&gt;"00",H103,"")</f>
        <v/>
      </c>
      <c r="Y103" s="2">
        <f ca="1">NETWORKDAYS(P103,$Y$1)</f>
        <v>378</v>
      </c>
      <c r="Z103" s="14">
        <v>1</v>
      </c>
      <c r="AA103" s="1" t="str">
        <f t="shared" ca="1" si="5"/>
        <v>VENCIDO</v>
      </c>
      <c r="AB103" s="1" t="str">
        <f t="shared" si="6"/>
        <v>Dosa</v>
      </c>
      <c r="AC103" s="2" t="str">
        <f t="shared" si="9"/>
        <v xml:space="preserve"> RINALDO </v>
      </c>
      <c r="AD103" s="2">
        <f t="shared" si="7"/>
        <v>5</v>
      </c>
      <c r="AE103" s="2">
        <f t="shared" ca="1" si="8"/>
        <v>-526.12733645833214</v>
      </c>
      <c r="AF103" s="15"/>
    </row>
    <row r="104" spans="1:32" hidden="1">
      <c r="A104" s="1">
        <v>7726614</v>
      </c>
      <c r="B104" s="1" t="s">
        <v>81</v>
      </c>
      <c r="C104" t="s">
        <v>240</v>
      </c>
      <c r="E104" s="2">
        <v>244000206001</v>
      </c>
      <c r="F104" s="1" t="s">
        <v>29</v>
      </c>
      <c r="G104" s="1" t="s">
        <v>53</v>
      </c>
      <c r="H104" s="1" t="s">
        <v>313</v>
      </c>
      <c r="I104" s="1" t="s">
        <v>314</v>
      </c>
      <c r="J104" s="1" t="s">
        <v>56</v>
      </c>
      <c r="K104" t="s">
        <v>34</v>
      </c>
      <c r="M104" s="1" t="s">
        <v>35</v>
      </c>
      <c r="N104" s="1">
        <v>42318949</v>
      </c>
      <c r="O104" s="1" t="s">
        <v>36</v>
      </c>
      <c r="P104" s="186">
        <v>44459.548935185187</v>
      </c>
      <c r="R104" s="1" t="s">
        <v>38</v>
      </c>
      <c r="T104" s="1" t="s">
        <v>74</v>
      </c>
      <c r="U104" s="186">
        <v>44460.548935185187</v>
      </c>
      <c r="V104" s="1" t="s">
        <v>41</v>
      </c>
      <c r="W104" s="1" t="s">
        <v>49</v>
      </c>
      <c r="X104" s="13" t="str">
        <f>IF(RIGHT(H104,2)&lt;&gt;"00",H104,"")</f>
        <v/>
      </c>
      <c r="Y104" s="2">
        <f ca="1">NETWORKDAYS(P104,$Y$1)</f>
        <v>378</v>
      </c>
      <c r="Z104" s="14">
        <v>1</v>
      </c>
      <c r="AA104" s="1" t="str">
        <f t="shared" ca="1" si="5"/>
        <v>VENCIDO</v>
      </c>
      <c r="AB104" s="1" t="str">
        <f t="shared" si="6"/>
        <v>Dosa</v>
      </c>
      <c r="AC104" s="2" t="str">
        <f t="shared" si="9"/>
        <v xml:space="preserve"> CRISTINA </v>
      </c>
      <c r="AD104" s="2">
        <f t="shared" si="7"/>
        <v>5</v>
      </c>
      <c r="AE104" s="2">
        <f t="shared" ca="1" si="8"/>
        <v>-526.12733645833214</v>
      </c>
      <c r="AF104" s="15"/>
    </row>
    <row r="105" spans="1:32" hidden="1">
      <c r="A105" s="1">
        <v>7726613</v>
      </c>
      <c r="B105" s="1" t="s">
        <v>81</v>
      </c>
      <c r="C105" t="s">
        <v>240</v>
      </c>
      <c r="E105" s="2">
        <v>1146000206001</v>
      </c>
      <c r="F105" s="1" t="s">
        <v>29</v>
      </c>
      <c r="G105" s="1" t="s">
        <v>53</v>
      </c>
      <c r="H105" s="1" t="s">
        <v>315</v>
      </c>
      <c r="I105" s="1" t="s">
        <v>316</v>
      </c>
      <c r="J105" s="1" t="s">
        <v>148</v>
      </c>
      <c r="K105" t="s">
        <v>34</v>
      </c>
      <c r="M105" s="1" t="s">
        <v>35</v>
      </c>
      <c r="N105" s="1">
        <v>42318949</v>
      </c>
      <c r="O105" s="1" t="s">
        <v>36</v>
      </c>
      <c r="P105" s="186">
        <v>44459.548935185187</v>
      </c>
      <c r="R105" s="1" t="s">
        <v>38</v>
      </c>
      <c r="T105" s="1" t="s">
        <v>74</v>
      </c>
      <c r="U105" s="186">
        <v>44460.548935185187</v>
      </c>
      <c r="V105" s="1" t="s">
        <v>41</v>
      </c>
      <c r="W105" s="1" t="s">
        <v>49</v>
      </c>
      <c r="X105" s="13" t="str">
        <f>IF(RIGHT(H105,2)&lt;&gt;"00",H105,"")</f>
        <v/>
      </c>
      <c r="Y105" s="2">
        <f ca="1">NETWORKDAYS(P105,$Y$1)</f>
        <v>378</v>
      </c>
      <c r="Z105" s="14">
        <v>1</v>
      </c>
      <c r="AA105" s="1" t="str">
        <f t="shared" ca="1" si="5"/>
        <v>VENCIDO</v>
      </c>
      <c r="AB105" s="1" t="str">
        <f t="shared" si="6"/>
        <v>Dosa</v>
      </c>
      <c r="AC105" s="2" t="str">
        <f t="shared" si="9"/>
        <v xml:space="preserve"> RINALDO </v>
      </c>
      <c r="AD105" s="2">
        <f t="shared" si="7"/>
        <v>5</v>
      </c>
      <c r="AE105" s="2">
        <f t="shared" ca="1" si="8"/>
        <v>-526.12733645833214</v>
      </c>
      <c r="AF105" s="15"/>
    </row>
    <row r="106" spans="1:32" hidden="1">
      <c r="A106" s="1">
        <v>7726612</v>
      </c>
      <c r="B106" s="1" t="s">
        <v>81</v>
      </c>
      <c r="C106" t="s">
        <v>240</v>
      </c>
      <c r="E106" s="2">
        <v>1012000206001</v>
      </c>
      <c r="F106" s="1" t="s">
        <v>29</v>
      </c>
      <c r="G106" s="1" t="s">
        <v>53</v>
      </c>
      <c r="H106" s="1" t="s">
        <v>172</v>
      </c>
      <c r="I106" s="1" t="s">
        <v>173</v>
      </c>
      <c r="J106" s="1" t="s">
        <v>164</v>
      </c>
      <c r="K106" t="s">
        <v>34</v>
      </c>
      <c r="M106" s="1" t="s">
        <v>35</v>
      </c>
      <c r="N106" s="1">
        <v>42318949</v>
      </c>
      <c r="O106" s="1" t="s">
        <v>36</v>
      </c>
      <c r="P106" s="186">
        <v>44459.548935185187</v>
      </c>
      <c r="R106" s="1" t="s">
        <v>38</v>
      </c>
      <c r="T106" s="1" t="s">
        <v>74</v>
      </c>
      <c r="U106" s="186">
        <v>44460.548935185187</v>
      </c>
      <c r="V106" s="1" t="s">
        <v>41</v>
      </c>
      <c r="W106" s="1" t="s">
        <v>49</v>
      </c>
      <c r="X106" s="13" t="str">
        <f>IF(RIGHT(H106,2)&lt;&gt;"00",H106,"")</f>
        <v/>
      </c>
      <c r="Y106" s="2">
        <f ca="1">NETWORKDAYS(P106,$Y$1)</f>
        <v>378</v>
      </c>
      <c r="Z106" s="14">
        <v>1</v>
      </c>
      <c r="AA106" s="1" t="str">
        <f t="shared" ca="1" si="5"/>
        <v>VENCIDO</v>
      </c>
      <c r="AB106" s="1" t="str">
        <f t="shared" si="6"/>
        <v>Dosa</v>
      </c>
      <c r="AC106" s="2" t="str">
        <f t="shared" si="9"/>
        <v xml:space="preserve"> ROSEMERE </v>
      </c>
      <c r="AD106" s="2">
        <f t="shared" si="7"/>
        <v>5</v>
      </c>
      <c r="AE106" s="2">
        <f t="shared" ca="1" si="8"/>
        <v>-526.12733645833214</v>
      </c>
      <c r="AF106" s="15"/>
    </row>
    <row r="107" spans="1:32" hidden="1">
      <c r="A107" s="1">
        <v>7726611</v>
      </c>
      <c r="B107" s="1" t="s">
        <v>81</v>
      </c>
      <c r="C107" t="s">
        <v>240</v>
      </c>
      <c r="E107" s="2">
        <v>2625000206001</v>
      </c>
      <c r="F107" s="1" t="s">
        <v>29</v>
      </c>
      <c r="G107" s="1" t="s">
        <v>53</v>
      </c>
      <c r="H107" s="1" t="s">
        <v>317</v>
      </c>
      <c r="I107" s="1" t="s">
        <v>318</v>
      </c>
      <c r="J107" s="1" t="s">
        <v>164</v>
      </c>
      <c r="K107" t="s">
        <v>34</v>
      </c>
      <c r="M107" s="1" t="s">
        <v>35</v>
      </c>
      <c r="N107" s="1">
        <v>42318949</v>
      </c>
      <c r="O107" s="1" t="s">
        <v>36</v>
      </c>
      <c r="P107" s="186">
        <v>44459.548935185187</v>
      </c>
      <c r="R107" s="1" t="s">
        <v>38</v>
      </c>
      <c r="T107" s="1" t="s">
        <v>74</v>
      </c>
      <c r="U107" s="186">
        <v>44460.548935185187</v>
      </c>
      <c r="V107" s="1" t="s">
        <v>41</v>
      </c>
      <c r="W107" s="1" t="s">
        <v>49</v>
      </c>
      <c r="X107" s="13" t="str">
        <f>IF(RIGHT(H107,2)&lt;&gt;"00",H107,"")</f>
        <v/>
      </c>
      <c r="Y107" s="2">
        <f ca="1">NETWORKDAYS(P107,$Y$1)</f>
        <v>378</v>
      </c>
      <c r="Z107" s="14">
        <v>1</v>
      </c>
      <c r="AA107" s="1" t="str">
        <f t="shared" ca="1" si="5"/>
        <v>VENCIDO</v>
      </c>
      <c r="AB107" s="1" t="str">
        <f t="shared" si="6"/>
        <v>Dosa</v>
      </c>
      <c r="AC107" s="2" t="str">
        <f t="shared" si="9"/>
        <v xml:space="preserve"> ROSEMERE </v>
      </c>
      <c r="AD107" s="2">
        <f t="shared" si="7"/>
        <v>5</v>
      </c>
      <c r="AE107" s="2">
        <f t="shared" ca="1" si="8"/>
        <v>-526.12733645833214</v>
      </c>
      <c r="AF107" s="15"/>
    </row>
    <row r="108" spans="1:32" hidden="1">
      <c r="A108" s="1">
        <v>7726608</v>
      </c>
      <c r="B108" s="1" t="s">
        <v>81</v>
      </c>
      <c r="C108" t="s">
        <v>240</v>
      </c>
      <c r="E108" s="2">
        <v>3802000206001</v>
      </c>
      <c r="F108" s="1" t="s">
        <v>29</v>
      </c>
      <c r="G108" s="1" t="s">
        <v>53</v>
      </c>
      <c r="H108" s="1" t="s">
        <v>319</v>
      </c>
      <c r="I108" s="1" t="s">
        <v>320</v>
      </c>
      <c r="J108" s="1" t="s">
        <v>148</v>
      </c>
      <c r="K108" t="s">
        <v>34</v>
      </c>
      <c r="M108" s="1" t="s">
        <v>35</v>
      </c>
      <c r="N108" s="1">
        <v>42318949</v>
      </c>
      <c r="O108" s="1" t="s">
        <v>36</v>
      </c>
      <c r="P108" s="186">
        <v>44459.54892361111</v>
      </c>
      <c r="R108" s="1" t="s">
        <v>38</v>
      </c>
      <c r="T108" s="1" t="s">
        <v>74</v>
      </c>
      <c r="U108" s="186">
        <v>44460.54892361111</v>
      </c>
      <c r="V108" s="1" t="s">
        <v>41</v>
      </c>
      <c r="W108" s="1" t="s">
        <v>49</v>
      </c>
      <c r="X108" s="13" t="str">
        <f>IF(RIGHT(H108,2)&lt;&gt;"00",H108,"")</f>
        <v/>
      </c>
      <c r="Y108" s="2">
        <f ca="1">NETWORKDAYS(P108,$Y$1)</f>
        <v>378</v>
      </c>
      <c r="Z108" s="14">
        <v>1</v>
      </c>
      <c r="AA108" s="1" t="str">
        <f t="shared" ca="1" si="5"/>
        <v>VENCIDO</v>
      </c>
      <c r="AB108" s="1" t="str">
        <f t="shared" si="6"/>
        <v>Dosa</v>
      </c>
      <c r="AC108" s="2" t="str">
        <f t="shared" si="9"/>
        <v xml:space="preserve"> RINALDO </v>
      </c>
      <c r="AD108" s="2">
        <f t="shared" si="7"/>
        <v>5</v>
      </c>
      <c r="AE108" s="2">
        <f t="shared" ca="1" si="8"/>
        <v>-526.12734803240892</v>
      </c>
      <c r="AF108" s="15"/>
    </row>
    <row r="109" spans="1:32" hidden="1">
      <c r="A109" s="1">
        <v>7726607</v>
      </c>
      <c r="B109" s="1" t="s">
        <v>81</v>
      </c>
      <c r="C109" t="s">
        <v>240</v>
      </c>
      <c r="E109" s="2">
        <v>3258000206001</v>
      </c>
      <c r="F109" s="1" t="s">
        <v>29</v>
      </c>
      <c r="G109" s="1" t="s">
        <v>53</v>
      </c>
      <c r="H109" s="1" t="s">
        <v>321</v>
      </c>
      <c r="I109" s="1" t="s">
        <v>322</v>
      </c>
      <c r="J109" s="1" t="s">
        <v>46</v>
      </c>
      <c r="K109" t="s">
        <v>34</v>
      </c>
      <c r="M109" s="1" t="s">
        <v>35</v>
      </c>
      <c r="N109" s="1">
        <v>42318949</v>
      </c>
      <c r="O109" s="1" t="s">
        <v>36</v>
      </c>
      <c r="P109" s="186">
        <v>44459.54892361111</v>
      </c>
      <c r="R109" s="1" t="s">
        <v>38</v>
      </c>
      <c r="T109" s="1" t="s">
        <v>74</v>
      </c>
      <c r="U109" s="186">
        <v>44460.54892361111</v>
      </c>
      <c r="V109" s="1" t="s">
        <v>41</v>
      </c>
      <c r="W109" s="1" t="s">
        <v>49</v>
      </c>
      <c r="X109" s="13" t="str">
        <f>IF(RIGHT(H109,2)&lt;&gt;"00",H109,"")</f>
        <v/>
      </c>
      <c r="Y109" s="2">
        <f ca="1">NETWORKDAYS(P109,$Y$1)</f>
        <v>378</v>
      </c>
      <c r="Z109" s="14">
        <v>1</v>
      </c>
      <c r="AA109" s="1" t="str">
        <f t="shared" ca="1" si="5"/>
        <v>VENCIDO</v>
      </c>
      <c r="AB109" s="1" t="str">
        <f t="shared" si="6"/>
        <v>Dosa</v>
      </c>
      <c r="AC109" s="2" t="str">
        <f t="shared" si="9"/>
        <v xml:space="preserve"> CLEITON </v>
      </c>
      <c r="AD109" s="2">
        <f t="shared" si="7"/>
        <v>5</v>
      </c>
      <c r="AE109" s="2">
        <f t="shared" ca="1" si="8"/>
        <v>-526.12734803240892</v>
      </c>
      <c r="AF109" s="15"/>
    </row>
    <row r="110" spans="1:32" hidden="1">
      <c r="A110" s="1">
        <v>7726606</v>
      </c>
      <c r="B110" s="1" t="s">
        <v>81</v>
      </c>
      <c r="C110" t="s">
        <v>240</v>
      </c>
      <c r="E110" s="2">
        <v>1120000206001</v>
      </c>
      <c r="F110" s="1" t="s">
        <v>29</v>
      </c>
      <c r="G110" s="1" t="s">
        <v>53</v>
      </c>
      <c r="H110" s="1" t="s">
        <v>181</v>
      </c>
      <c r="I110" s="1" t="s">
        <v>182</v>
      </c>
      <c r="J110" s="1" t="s">
        <v>164</v>
      </c>
      <c r="K110" t="s">
        <v>34</v>
      </c>
      <c r="M110" s="1" t="s">
        <v>35</v>
      </c>
      <c r="N110" s="1">
        <v>42318949</v>
      </c>
      <c r="O110" s="1" t="s">
        <v>36</v>
      </c>
      <c r="P110" s="186">
        <v>44459.54892361111</v>
      </c>
      <c r="R110" s="1" t="s">
        <v>38</v>
      </c>
      <c r="T110" s="1" t="s">
        <v>74</v>
      </c>
      <c r="U110" s="186">
        <v>44460.54892361111</v>
      </c>
      <c r="V110" s="1" t="s">
        <v>41</v>
      </c>
      <c r="W110" s="1" t="s">
        <v>49</v>
      </c>
      <c r="X110" s="13" t="str">
        <f>IF(RIGHT(H110,2)&lt;&gt;"00",H110,"")</f>
        <v/>
      </c>
      <c r="Y110" s="2">
        <f ca="1">NETWORKDAYS(P110,$Y$1)</f>
        <v>378</v>
      </c>
      <c r="Z110" s="14">
        <v>1</v>
      </c>
      <c r="AA110" s="1" t="str">
        <f t="shared" ca="1" si="5"/>
        <v>VENCIDO</v>
      </c>
      <c r="AB110" s="1" t="str">
        <f t="shared" si="6"/>
        <v>Dosa</v>
      </c>
      <c r="AC110" s="2" t="str">
        <f t="shared" si="9"/>
        <v xml:space="preserve"> ROSEMERE </v>
      </c>
      <c r="AD110" s="2">
        <f t="shared" si="7"/>
        <v>5</v>
      </c>
      <c r="AE110" s="2">
        <f t="shared" ca="1" si="8"/>
        <v>-526.12734803240892</v>
      </c>
      <c r="AF110" s="15"/>
    </row>
    <row r="111" spans="1:32" hidden="1">
      <c r="A111" s="1">
        <v>7726605</v>
      </c>
      <c r="B111" s="1" t="s">
        <v>81</v>
      </c>
      <c r="C111" t="s">
        <v>240</v>
      </c>
      <c r="E111" s="2">
        <v>3108000206001</v>
      </c>
      <c r="F111" s="1" t="s">
        <v>29</v>
      </c>
      <c r="G111" s="1" t="s">
        <v>53</v>
      </c>
      <c r="H111" s="1" t="s">
        <v>325</v>
      </c>
      <c r="I111" s="1" t="s">
        <v>326</v>
      </c>
      <c r="J111" s="1" t="s">
        <v>46</v>
      </c>
      <c r="K111" t="s">
        <v>34</v>
      </c>
      <c r="M111" s="1" t="s">
        <v>35</v>
      </c>
      <c r="N111" s="1">
        <v>42318949</v>
      </c>
      <c r="O111" s="1" t="s">
        <v>36</v>
      </c>
      <c r="P111" s="186">
        <v>44459.54892361111</v>
      </c>
      <c r="R111" s="1" t="s">
        <v>38</v>
      </c>
      <c r="T111" s="1" t="s">
        <v>74</v>
      </c>
      <c r="U111" s="186">
        <v>44460.54892361111</v>
      </c>
      <c r="V111" s="1" t="s">
        <v>41</v>
      </c>
      <c r="W111" s="1" t="s">
        <v>49</v>
      </c>
      <c r="X111" s="13" t="str">
        <f>IF(RIGHT(H111,2)&lt;&gt;"00",H111,"")</f>
        <v/>
      </c>
      <c r="Y111" s="2">
        <f ca="1">NETWORKDAYS(P111,$Y$1)</f>
        <v>378</v>
      </c>
      <c r="Z111" s="14">
        <v>1</v>
      </c>
      <c r="AA111" s="1" t="str">
        <f t="shared" ca="1" si="5"/>
        <v>VENCIDO</v>
      </c>
      <c r="AB111" s="1" t="str">
        <f t="shared" si="6"/>
        <v>Dosa</v>
      </c>
      <c r="AC111" s="2" t="str">
        <f t="shared" si="9"/>
        <v xml:space="preserve"> CLEITON </v>
      </c>
      <c r="AD111" s="2">
        <f t="shared" si="7"/>
        <v>5</v>
      </c>
      <c r="AE111" s="2">
        <f t="shared" ca="1" si="8"/>
        <v>-526.12734803240892</v>
      </c>
      <c r="AF111" s="15"/>
    </row>
    <row r="112" spans="1:32" hidden="1">
      <c r="A112" s="1">
        <v>7726604</v>
      </c>
      <c r="B112" s="1" t="s">
        <v>81</v>
      </c>
      <c r="C112" t="s">
        <v>240</v>
      </c>
      <c r="E112" s="2">
        <v>1710000206001</v>
      </c>
      <c r="F112" s="1" t="s">
        <v>29</v>
      </c>
      <c r="G112" s="1" t="s">
        <v>53</v>
      </c>
      <c r="H112" s="1" t="s">
        <v>327</v>
      </c>
      <c r="I112" s="1" t="s">
        <v>328</v>
      </c>
      <c r="J112" s="1" t="s">
        <v>261</v>
      </c>
      <c r="K112" t="s">
        <v>34</v>
      </c>
      <c r="M112" s="1" t="s">
        <v>35</v>
      </c>
      <c r="N112" s="1">
        <v>42318949</v>
      </c>
      <c r="O112" s="1" t="s">
        <v>36</v>
      </c>
      <c r="P112" s="186">
        <v>44459.54892361111</v>
      </c>
      <c r="R112" s="1" t="s">
        <v>38</v>
      </c>
      <c r="T112" s="1" t="s">
        <v>74</v>
      </c>
      <c r="U112" s="186">
        <v>44460.54892361111</v>
      </c>
      <c r="V112" s="1" t="s">
        <v>41</v>
      </c>
      <c r="W112" s="1" t="s">
        <v>49</v>
      </c>
      <c r="X112" s="13" t="str">
        <f>IF(RIGHT(H112,2)&lt;&gt;"00",H112,"")</f>
        <v/>
      </c>
      <c r="Y112" s="2">
        <f ca="1">NETWORKDAYS(P112,$Y$1)</f>
        <v>378</v>
      </c>
      <c r="Z112" s="14">
        <v>1</v>
      </c>
      <c r="AA112" s="1" t="str">
        <f t="shared" ca="1" si="5"/>
        <v>VENCIDO</v>
      </c>
      <c r="AB112" s="1" t="str">
        <f t="shared" si="6"/>
        <v>Dosa</v>
      </c>
      <c r="AC112" s="2" t="str">
        <f t="shared" si="9"/>
        <v xml:space="preserve"> CRISTINA </v>
      </c>
      <c r="AD112" s="2">
        <f t="shared" si="7"/>
        <v>5</v>
      </c>
      <c r="AE112" s="2">
        <f t="shared" ca="1" si="8"/>
        <v>-526.12734803240892</v>
      </c>
      <c r="AF112" s="15"/>
    </row>
    <row r="113" spans="1:32" hidden="1">
      <c r="A113" s="1">
        <v>7726603</v>
      </c>
      <c r="B113" s="1" t="s">
        <v>81</v>
      </c>
      <c r="C113" t="s">
        <v>240</v>
      </c>
      <c r="E113" s="2">
        <v>1052000206001</v>
      </c>
      <c r="F113" s="1" t="s">
        <v>29</v>
      </c>
      <c r="G113" s="1" t="s">
        <v>53</v>
      </c>
      <c r="H113" s="1" t="s">
        <v>329</v>
      </c>
      <c r="I113" s="1" t="s">
        <v>330</v>
      </c>
      <c r="J113" s="1" t="s">
        <v>79</v>
      </c>
      <c r="K113" t="s">
        <v>34</v>
      </c>
      <c r="M113" s="1" t="s">
        <v>35</v>
      </c>
      <c r="N113" s="1">
        <v>42318949</v>
      </c>
      <c r="O113" s="1" t="s">
        <v>36</v>
      </c>
      <c r="P113" s="186">
        <v>44459.54891203704</v>
      </c>
      <c r="R113" s="1" t="s">
        <v>38</v>
      </c>
      <c r="T113" s="1" t="s">
        <v>74</v>
      </c>
      <c r="U113" s="186">
        <v>44460.54891203704</v>
      </c>
      <c r="V113" s="1" t="s">
        <v>41</v>
      </c>
      <c r="W113" s="1" t="s">
        <v>49</v>
      </c>
      <c r="X113" s="13" t="str">
        <f>IF(RIGHT(H113,2)&lt;&gt;"00",H113,"")</f>
        <v/>
      </c>
      <c r="Y113" s="2">
        <f ca="1">NETWORKDAYS(P113,$Y$1)</f>
        <v>378</v>
      </c>
      <c r="Z113" s="14">
        <v>1</v>
      </c>
      <c r="AA113" s="1" t="str">
        <f t="shared" ca="1" si="5"/>
        <v>VENCIDO</v>
      </c>
      <c r="AB113" s="1" t="str">
        <f t="shared" si="6"/>
        <v>Dosa</v>
      </c>
      <c r="AC113" s="2" t="str">
        <f t="shared" si="9"/>
        <v xml:space="preserve"> ROSEMERE </v>
      </c>
      <c r="AD113" s="2">
        <f t="shared" si="7"/>
        <v>5</v>
      </c>
      <c r="AE113" s="2">
        <f t="shared" ca="1" si="8"/>
        <v>-526.12735960647842</v>
      </c>
      <c r="AF113" s="15"/>
    </row>
    <row r="114" spans="1:32" hidden="1">
      <c r="A114" s="1">
        <v>7726602</v>
      </c>
      <c r="B114" s="1" t="s">
        <v>81</v>
      </c>
      <c r="C114" t="s">
        <v>240</v>
      </c>
      <c r="E114" s="2">
        <v>899000206001</v>
      </c>
      <c r="F114" s="1" t="s">
        <v>29</v>
      </c>
      <c r="G114" s="1" t="s">
        <v>53</v>
      </c>
      <c r="H114" s="1" t="s">
        <v>175</v>
      </c>
      <c r="I114" s="1" t="s">
        <v>176</v>
      </c>
      <c r="J114" s="1" t="s">
        <v>90</v>
      </c>
      <c r="K114" t="s">
        <v>34</v>
      </c>
      <c r="M114" s="1" t="s">
        <v>35</v>
      </c>
      <c r="N114" s="1">
        <v>42318949</v>
      </c>
      <c r="O114" s="1" t="s">
        <v>36</v>
      </c>
      <c r="P114" s="186">
        <v>44459.54891203704</v>
      </c>
      <c r="R114" s="1" t="s">
        <v>38</v>
      </c>
      <c r="T114" s="1" t="s">
        <v>74</v>
      </c>
      <c r="U114" s="186">
        <v>44460.54891203704</v>
      </c>
      <c r="V114" s="1" t="s">
        <v>41</v>
      </c>
      <c r="W114" s="1" t="s">
        <v>49</v>
      </c>
      <c r="X114" s="13" t="str">
        <f>IF(RIGHT(H114,2)&lt;&gt;"00",H114,"")</f>
        <v/>
      </c>
      <c r="Y114" s="2">
        <f ca="1">NETWORKDAYS(P114,$Y$1)</f>
        <v>378</v>
      </c>
      <c r="Z114" s="14">
        <v>1</v>
      </c>
      <c r="AA114" s="1" t="str">
        <f t="shared" ca="1" si="5"/>
        <v>VENCIDO</v>
      </c>
      <c r="AB114" s="1" t="str">
        <f t="shared" si="6"/>
        <v>Dosa</v>
      </c>
      <c r="AC114" s="2" t="str">
        <f t="shared" si="9"/>
        <v xml:space="preserve"> RINALDO </v>
      </c>
      <c r="AD114" s="2">
        <f t="shared" si="7"/>
        <v>5</v>
      </c>
      <c r="AE114" s="2">
        <f t="shared" ca="1" si="8"/>
        <v>-526.12735960647842</v>
      </c>
      <c r="AF114" s="15"/>
    </row>
    <row r="115" spans="1:32" hidden="1">
      <c r="A115" s="1">
        <v>7726601</v>
      </c>
      <c r="B115" s="1" t="s">
        <v>81</v>
      </c>
      <c r="C115" t="s">
        <v>240</v>
      </c>
      <c r="E115" s="2">
        <v>159000206001</v>
      </c>
      <c r="F115" s="1" t="s">
        <v>29</v>
      </c>
      <c r="G115" s="1" t="s">
        <v>53</v>
      </c>
      <c r="H115" s="1" t="s">
        <v>331</v>
      </c>
      <c r="I115" s="1" t="s">
        <v>332</v>
      </c>
      <c r="J115" s="1" t="s">
        <v>79</v>
      </c>
      <c r="K115" t="s">
        <v>34</v>
      </c>
      <c r="M115" s="1" t="s">
        <v>35</v>
      </c>
      <c r="N115" s="1">
        <v>42318949</v>
      </c>
      <c r="O115" s="1" t="s">
        <v>36</v>
      </c>
      <c r="P115" s="186">
        <v>44459.54891203704</v>
      </c>
      <c r="R115" s="1" t="s">
        <v>38</v>
      </c>
      <c r="T115" s="1" t="s">
        <v>74</v>
      </c>
      <c r="U115" s="186">
        <v>44460.54891203704</v>
      </c>
      <c r="V115" s="1" t="s">
        <v>41</v>
      </c>
      <c r="W115" s="1" t="s">
        <v>49</v>
      </c>
      <c r="X115" s="13" t="str">
        <f>IF(RIGHT(H115,2)&lt;&gt;"00",H115,"")</f>
        <v/>
      </c>
      <c r="Y115" s="2">
        <f ca="1">NETWORKDAYS(P115,$Y$1)</f>
        <v>378</v>
      </c>
      <c r="Z115" s="14">
        <v>1</v>
      </c>
      <c r="AA115" s="1" t="str">
        <f t="shared" ca="1" si="5"/>
        <v>VENCIDO</v>
      </c>
      <c r="AB115" s="1" t="str">
        <f t="shared" si="6"/>
        <v>Dosa</v>
      </c>
      <c r="AC115" s="2" t="str">
        <f t="shared" si="9"/>
        <v xml:space="preserve"> ROSEMERE </v>
      </c>
      <c r="AD115" s="2">
        <f t="shared" si="7"/>
        <v>5</v>
      </c>
      <c r="AE115" s="2">
        <f t="shared" ca="1" si="8"/>
        <v>-526.12735960647842</v>
      </c>
      <c r="AF115" s="15"/>
    </row>
    <row r="116" spans="1:32" hidden="1">
      <c r="A116" s="1">
        <v>7726600</v>
      </c>
      <c r="B116" s="1" t="s">
        <v>81</v>
      </c>
      <c r="C116" t="s">
        <v>240</v>
      </c>
      <c r="E116" s="2">
        <v>2239000206001</v>
      </c>
      <c r="F116" s="1" t="s">
        <v>29</v>
      </c>
      <c r="G116" s="1" t="s">
        <v>53</v>
      </c>
      <c r="H116" s="1" t="s">
        <v>333</v>
      </c>
      <c r="I116" s="1" t="s">
        <v>334</v>
      </c>
      <c r="J116" s="1" t="s">
        <v>261</v>
      </c>
      <c r="K116" t="s">
        <v>34</v>
      </c>
      <c r="M116" s="1" t="s">
        <v>35</v>
      </c>
      <c r="N116" s="1">
        <v>42318949</v>
      </c>
      <c r="O116" s="1" t="s">
        <v>36</v>
      </c>
      <c r="P116" s="186">
        <v>44459.54891203704</v>
      </c>
      <c r="R116" s="1" t="s">
        <v>38</v>
      </c>
      <c r="T116" s="1" t="s">
        <v>74</v>
      </c>
      <c r="U116" s="186">
        <v>44460.54891203704</v>
      </c>
      <c r="V116" s="1" t="s">
        <v>41</v>
      </c>
      <c r="W116" s="1" t="s">
        <v>49</v>
      </c>
      <c r="X116" s="13" t="str">
        <f>IF(RIGHT(H116,2)&lt;&gt;"00",H116,"")</f>
        <v/>
      </c>
      <c r="Y116" s="2">
        <f ca="1">NETWORKDAYS(P116,$Y$1)</f>
        <v>378</v>
      </c>
      <c r="Z116" s="14">
        <v>1</v>
      </c>
      <c r="AA116" s="1" t="str">
        <f t="shared" ca="1" si="5"/>
        <v>VENCIDO</v>
      </c>
      <c r="AB116" s="1" t="str">
        <f t="shared" si="6"/>
        <v>Dosa</v>
      </c>
      <c r="AC116" s="2" t="str">
        <f t="shared" si="9"/>
        <v xml:space="preserve"> CRISTINA </v>
      </c>
      <c r="AD116" s="2">
        <f t="shared" si="7"/>
        <v>5</v>
      </c>
      <c r="AE116" s="2">
        <f t="shared" ca="1" si="8"/>
        <v>-526.12735960647842</v>
      </c>
      <c r="AF116" s="15"/>
    </row>
    <row r="117" spans="1:32" hidden="1">
      <c r="A117" s="1">
        <v>7726599</v>
      </c>
      <c r="B117" s="1" t="s">
        <v>81</v>
      </c>
      <c r="C117" t="s">
        <v>240</v>
      </c>
      <c r="E117" s="2">
        <v>550000206001</v>
      </c>
      <c r="F117" s="1" t="s">
        <v>29</v>
      </c>
      <c r="G117" s="1" t="s">
        <v>53</v>
      </c>
      <c r="H117" s="1" t="s">
        <v>337</v>
      </c>
      <c r="I117" s="1" t="s">
        <v>338</v>
      </c>
      <c r="J117" s="1" t="s">
        <v>164</v>
      </c>
      <c r="K117" t="s">
        <v>34</v>
      </c>
      <c r="M117" s="1" t="s">
        <v>35</v>
      </c>
      <c r="N117" s="1">
        <v>42318949</v>
      </c>
      <c r="O117" s="1" t="s">
        <v>36</v>
      </c>
      <c r="P117" s="186">
        <v>44459.54891203704</v>
      </c>
      <c r="R117" s="1" t="s">
        <v>38</v>
      </c>
      <c r="T117" s="1" t="s">
        <v>74</v>
      </c>
      <c r="U117" s="186">
        <v>44460.54891203704</v>
      </c>
      <c r="V117" s="1" t="s">
        <v>41</v>
      </c>
      <c r="W117" s="1" t="s">
        <v>49</v>
      </c>
      <c r="X117" s="13" t="str">
        <f>IF(RIGHT(H117,2)&lt;&gt;"00",H117,"")</f>
        <v/>
      </c>
      <c r="Y117" s="2">
        <f ca="1">NETWORKDAYS(P117,$Y$1)</f>
        <v>378</v>
      </c>
      <c r="Z117" s="14">
        <v>1</v>
      </c>
      <c r="AA117" s="1" t="str">
        <f t="shared" ca="1" si="5"/>
        <v>VENCIDO</v>
      </c>
      <c r="AB117" s="1" t="str">
        <f t="shared" si="6"/>
        <v>Dosa</v>
      </c>
      <c r="AC117" s="2" t="str">
        <f t="shared" si="9"/>
        <v xml:space="preserve"> ROSEMERE </v>
      </c>
      <c r="AD117" s="2">
        <f t="shared" si="7"/>
        <v>5</v>
      </c>
      <c r="AE117" s="2">
        <f t="shared" ca="1" si="8"/>
        <v>-526.12735960647842</v>
      </c>
      <c r="AF117" s="15"/>
    </row>
    <row r="118" spans="1:32" hidden="1">
      <c r="A118" s="1">
        <v>7726598</v>
      </c>
      <c r="B118" s="1" t="s">
        <v>81</v>
      </c>
      <c r="C118" t="s">
        <v>240</v>
      </c>
      <c r="E118" s="2">
        <v>2811000206001</v>
      </c>
      <c r="F118" s="1" t="s">
        <v>29</v>
      </c>
      <c r="G118" s="1" t="s">
        <v>53</v>
      </c>
      <c r="H118" s="1" t="s">
        <v>44</v>
      </c>
      <c r="I118" s="1" t="s">
        <v>45</v>
      </c>
      <c r="J118" s="1" t="s">
        <v>46</v>
      </c>
      <c r="K118" t="s">
        <v>34</v>
      </c>
      <c r="M118" s="1" t="s">
        <v>35</v>
      </c>
      <c r="N118" s="1">
        <v>42318949</v>
      </c>
      <c r="O118" s="1" t="s">
        <v>36</v>
      </c>
      <c r="P118" s="186">
        <v>44459.548900462964</v>
      </c>
      <c r="R118" s="1" t="s">
        <v>38</v>
      </c>
      <c r="T118" s="1" t="s">
        <v>74</v>
      </c>
      <c r="U118" s="186">
        <v>44460.548900462964</v>
      </c>
      <c r="V118" s="1" t="s">
        <v>41</v>
      </c>
      <c r="W118" s="1" t="s">
        <v>49</v>
      </c>
      <c r="X118" s="13" t="str">
        <f>IF(RIGHT(H118,2)&lt;&gt;"00",H118,"")</f>
        <v/>
      </c>
      <c r="Y118" s="2">
        <f ca="1">NETWORKDAYS(P118,$Y$1)</f>
        <v>378</v>
      </c>
      <c r="Z118" s="14">
        <v>1</v>
      </c>
      <c r="AA118" s="1" t="str">
        <f t="shared" ca="1" si="5"/>
        <v>VENCIDO</v>
      </c>
      <c r="AB118" s="1" t="str">
        <f t="shared" si="6"/>
        <v>Dosa</v>
      </c>
      <c r="AC118" s="2" t="str">
        <f t="shared" si="9"/>
        <v xml:space="preserve"> CLEITON </v>
      </c>
      <c r="AD118" s="2">
        <f t="shared" si="7"/>
        <v>5</v>
      </c>
      <c r="AE118" s="2">
        <f t="shared" ca="1" si="8"/>
        <v>-526.1273711805552</v>
      </c>
      <c r="AF118" s="15"/>
    </row>
    <row r="119" spans="1:32" hidden="1">
      <c r="A119" s="1">
        <v>7726597</v>
      </c>
      <c r="B119" s="1" t="s">
        <v>81</v>
      </c>
      <c r="C119" t="s">
        <v>240</v>
      </c>
      <c r="E119" s="2">
        <v>2229000206001</v>
      </c>
      <c r="F119" s="1" t="s">
        <v>29</v>
      </c>
      <c r="G119" s="1" t="s">
        <v>53</v>
      </c>
      <c r="H119" s="1" t="s">
        <v>339</v>
      </c>
      <c r="I119" s="1" t="s">
        <v>340</v>
      </c>
      <c r="J119" s="1" t="s">
        <v>211</v>
      </c>
      <c r="K119" t="s">
        <v>34</v>
      </c>
      <c r="M119" s="1" t="s">
        <v>35</v>
      </c>
      <c r="N119" s="1">
        <v>42318949</v>
      </c>
      <c r="O119" s="1" t="s">
        <v>36</v>
      </c>
      <c r="P119" s="186">
        <v>44459.548900462964</v>
      </c>
      <c r="R119" s="1" t="s">
        <v>38</v>
      </c>
      <c r="T119" s="1" t="s">
        <v>74</v>
      </c>
      <c r="U119" s="186">
        <v>44460.548900462964</v>
      </c>
      <c r="V119" s="1" t="s">
        <v>41</v>
      </c>
      <c r="W119" s="1" t="s">
        <v>49</v>
      </c>
      <c r="X119" s="13" t="str">
        <f>IF(RIGHT(H119,2)&lt;&gt;"00",H119,"")</f>
        <v/>
      </c>
      <c r="Y119" s="2">
        <f ca="1">NETWORKDAYS(P119,$Y$1)</f>
        <v>378</v>
      </c>
      <c r="Z119" s="14">
        <v>1</v>
      </c>
      <c r="AA119" s="1" t="str">
        <f t="shared" ca="1" si="5"/>
        <v>VENCIDO</v>
      </c>
      <c r="AB119" s="1" t="str">
        <f t="shared" si="6"/>
        <v>Dosa</v>
      </c>
      <c r="AC119" s="2" t="str">
        <f t="shared" si="9"/>
        <v xml:space="preserve"> RINALDO </v>
      </c>
      <c r="AD119" s="2">
        <f t="shared" si="7"/>
        <v>5</v>
      </c>
      <c r="AE119" s="2">
        <f t="shared" ca="1" si="8"/>
        <v>-526.1273711805552</v>
      </c>
      <c r="AF119" s="15"/>
    </row>
    <row r="120" spans="1:32" hidden="1">
      <c r="A120" s="1">
        <v>7726596</v>
      </c>
      <c r="B120" s="1" t="s">
        <v>81</v>
      </c>
      <c r="C120" t="s">
        <v>240</v>
      </c>
      <c r="E120" s="2">
        <v>3699000206001</v>
      </c>
      <c r="F120" s="1" t="s">
        <v>29</v>
      </c>
      <c r="G120" s="1" t="s">
        <v>53</v>
      </c>
      <c r="H120" s="1" t="s">
        <v>343</v>
      </c>
      <c r="I120" s="1" t="s">
        <v>344</v>
      </c>
      <c r="J120" s="1" t="s">
        <v>46</v>
      </c>
      <c r="K120" t="s">
        <v>34</v>
      </c>
      <c r="M120" s="1" t="s">
        <v>35</v>
      </c>
      <c r="N120" s="1">
        <v>42318949</v>
      </c>
      <c r="O120" s="1" t="s">
        <v>36</v>
      </c>
      <c r="P120" s="186">
        <v>44459.548900462964</v>
      </c>
      <c r="R120" s="1" t="s">
        <v>38</v>
      </c>
      <c r="T120" s="1" t="s">
        <v>74</v>
      </c>
      <c r="U120" s="186">
        <v>44460.548900462964</v>
      </c>
      <c r="V120" s="1" t="s">
        <v>41</v>
      </c>
      <c r="W120" s="1" t="s">
        <v>49</v>
      </c>
      <c r="X120" s="13" t="str">
        <f>IF(RIGHT(H120,2)&lt;&gt;"00",H120,"")</f>
        <v/>
      </c>
      <c r="Y120" s="2">
        <f ca="1">NETWORKDAYS(P120,$Y$1)</f>
        <v>378</v>
      </c>
      <c r="Z120" s="14">
        <v>1</v>
      </c>
      <c r="AA120" s="1" t="str">
        <f t="shared" ca="1" si="5"/>
        <v>VENCIDO</v>
      </c>
      <c r="AB120" s="1" t="str">
        <f t="shared" si="6"/>
        <v>Dosa</v>
      </c>
      <c r="AC120" s="2" t="str">
        <f t="shared" si="9"/>
        <v xml:space="preserve"> CLEITON </v>
      </c>
      <c r="AD120" s="2">
        <f t="shared" si="7"/>
        <v>5</v>
      </c>
      <c r="AE120" s="2">
        <f t="shared" ca="1" si="8"/>
        <v>-526.1273711805552</v>
      </c>
      <c r="AF120" s="15"/>
    </row>
    <row r="121" spans="1:32" hidden="1">
      <c r="A121" s="1">
        <v>7726594</v>
      </c>
      <c r="B121" s="1" t="s">
        <v>81</v>
      </c>
      <c r="C121" t="s">
        <v>240</v>
      </c>
      <c r="E121" s="2">
        <v>325000206001</v>
      </c>
      <c r="F121" s="1" t="s">
        <v>29</v>
      </c>
      <c r="G121" s="1" t="s">
        <v>53</v>
      </c>
      <c r="H121" s="1" t="s">
        <v>345</v>
      </c>
      <c r="I121" s="1" t="s">
        <v>346</v>
      </c>
      <c r="J121" s="1" t="s">
        <v>46</v>
      </c>
      <c r="K121" t="s">
        <v>34</v>
      </c>
      <c r="M121" s="1" t="s">
        <v>35</v>
      </c>
      <c r="N121" s="1">
        <v>42318949</v>
      </c>
      <c r="O121" s="1" t="s">
        <v>36</v>
      </c>
      <c r="P121" s="186">
        <v>44459.548900462964</v>
      </c>
      <c r="R121" s="1" t="s">
        <v>38</v>
      </c>
      <c r="T121" s="1" t="s">
        <v>74</v>
      </c>
      <c r="U121" s="186">
        <v>44460.548900462964</v>
      </c>
      <c r="V121" s="1" t="s">
        <v>41</v>
      </c>
      <c r="W121" s="1" t="s">
        <v>49</v>
      </c>
      <c r="X121" s="13" t="str">
        <f>IF(RIGHT(H121,2)&lt;&gt;"00",H121,"")</f>
        <v/>
      </c>
      <c r="Y121" s="2">
        <f ca="1">NETWORKDAYS(P121,$Y$1)</f>
        <v>378</v>
      </c>
      <c r="Z121" s="14">
        <v>1</v>
      </c>
      <c r="AA121" s="1" t="str">
        <f t="shared" ca="1" si="5"/>
        <v>VENCIDO</v>
      </c>
      <c r="AB121" s="1" t="str">
        <f t="shared" si="6"/>
        <v>Dosa</v>
      </c>
      <c r="AC121" s="2" t="str">
        <f t="shared" si="9"/>
        <v xml:space="preserve"> CLEITON </v>
      </c>
      <c r="AD121" s="2">
        <f t="shared" si="7"/>
        <v>5</v>
      </c>
      <c r="AE121" s="2">
        <f t="shared" ca="1" si="8"/>
        <v>-526.1273711805552</v>
      </c>
      <c r="AF121" s="15"/>
    </row>
    <row r="122" spans="1:32" hidden="1">
      <c r="A122" s="1">
        <v>7726593</v>
      </c>
      <c r="B122" s="1" t="s">
        <v>81</v>
      </c>
      <c r="C122" t="s">
        <v>240</v>
      </c>
      <c r="E122" s="2">
        <v>2699000206001</v>
      </c>
      <c r="F122" s="1" t="s">
        <v>29</v>
      </c>
      <c r="G122" s="1" t="s">
        <v>53</v>
      </c>
      <c r="H122" s="1" t="s">
        <v>347</v>
      </c>
      <c r="I122" s="1" t="s">
        <v>348</v>
      </c>
      <c r="J122" s="1" t="s">
        <v>148</v>
      </c>
      <c r="K122" t="s">
        <v>34</v>
      </c>
      <c r="M122" s="1" t="s">
        <v>35</v>
      </c>
      <c r="N122" s="1">
        <v>42318949</v>
      </c>
      <c r="O122" s="1" t="s">
        <v>36</v>
      </c>
      <c r="P122" s="186">
        <v>44459.548900462964</v>
      </c>
      <c r="R122" s="1" t="s">
        <v>38</v>
      </c>
      <c r="T122" s="1" t="s">
        <v>74</v>
      </c>
      <c r="U122" s="186">
        <v>44460.548900462964</v>
      </c>
      <c r="V122" s="1" t="s">
        <v>41</v>
      </c>
      <c r="W122" s="1" t="s">
        <v>49</v>
      </c>
      <c r="X122" s="13" t="str">
        <f>IF(RIGHT(H122,2)&lt;&gt;"00",H122,"")</f>
        <v/>
      </c>
      <c r="Y122" s="2">
        <f ca="1">NETWORKDAYS(P122,$Y$1)</f>
        <v>378</v>
      </c>
      <c r="Z122" s="14">
        <v>1</v>
      </c>
      <c r="AA122" s="1" t="str">
        <f t="shared" ca="1" si="5"/>
        <v>VENCIDO</v>
      </c>
      <c r="AB122" s="1" t="str">
        <f t="shared" si="6"/>
        <v>Dosa</v>
      </c>
      <c r="AC122" s="2" t="str">
        <f t="shared" si="9"/>
        <v xml:space="preserve"> RINALDO </v>
      </c>
      <c r="AD122" s="2">
        <f t="shared" si="7"/>
        <v>5</v>
      </c>
      <c r="AE122" s="2">
        <f t="shared" ca="1" si="8"/>
        <v>-526.1273711805552</v>
      </c>
      <c r="AF122" s="15"/>
    </row>
    <row r="123" spans="1:32" hidden="1">
      <c r="A123" s="1">
        <v>7726592</v>
      </c>
      <c r="B123" s="1" t="s">
        <v>81</v>
      </c>
      <c r="C123" t="s">
        <v>240</v>
      </c>
      <c r="E123" s="2">
        <v>4012000206001</v>
      </c>
      <c r="F123" s="1" t="s">
        <v>29</v>
      </c>
      <c r="G123" s="1" t="s">
        <v>53</v>
      </c>
      <c r="H123" s="1" t="s">
        <v>349</v>
      </c>
      <c r="I123" s="1" t="s">
        <v>350</v>
      </c>
      <c r="J123" s="1" t="s">
        <v>261</v>
      </c>
      <c r="K123" t="s">
        <v>34</v>
      </c>
      <c r="M123" s="1" t="s">
        <v>35</v>
      </c>
      <c r="N123" s="1">
        <v>42318949</v>
      </c>
      <c r="O123" s="1" t="s">
        <v>36</v>
      </c>
      <c r="P123" s="186">
        <v>44459.548888888887</v>
      </c>
      <c r="R123" s="1" t="s">
        <v>38</v>
      </c>
      <c r="T123" s="1" t="s">
        <v>74</v>
      </c>
      <c r="U123" s="186">
        <v>44460.548888888887</v>
      </c>
      <c r="V123" s="1" t="s">
        <v>41</v>
      </c>
      <c r="W123" s="1" t="s">
        <v>49</v>
      </c>
      <c r="X123" s="13" t="str">
        <f>IF(RIGHT(H123,2)&lt;&gt;"00",H123,"")</f>
        <v/>
      </c>
      <c r="Y123" s="2">
        <f ca="1">NETWORKDAYS(P123,$Y$1)</f>
        <v>378</v>
      </c>
      <c r="Z123" s="14">
        <v>1</v>
      </c>
      <c r="AA123" s="1" t="str">
        <f t="shared" ca="1" si="5"/>
        <v>VENCIDO</v>
      </c>
      <c r="AB123" s="1" t="str">
        <f t="shared" si="6"/>
        <v>Dosa</v>
      </c>
      <c r="AC123" s="2" t="str">
        <f t="shared" si="9"/>
        <v xml:space="preserve"> CRISTINA </v>
      </c>
      <c r="AD123" s="2">
        <f t="shared" si="7"/>
        <v>5</v>
      </c>
      <c r="AE123" s="2">
        <f t="shared" ca="1" si="8"/>
        <v>-526.12738275463198</v>
      </c>
      <c r="AF123" s="15"/>
    </row>
    <row r="124" spans="1:32" hidden="1">
      <c r="A124" s="1">
        <v>7726589</v>
      </c>
      <c r="B124" s="1" t="s">
        <v>81</v>
      </c>
      <c r="C124" t="s">
        <v>240</v>
      </c>
      <c r="E124" s="2">
        <v>2365000206001</v>
      </c>
      <c r="F124" s="1" t="s">
        <v>29</v>
      </c>
      <c r="G124" s="1" t="s">
        <v>53</v>
      </c>
      <c r="H124" s="1" t="s">
        <v>159</v>
      </c>
      <c r="I124" s="1" t="s">
        <v>160</v>
      </c>
      <c r="J124" s="1" t="s">
        <v>46</v>
      </c>
      <c r="K124" t="s">
        <v>34</v>
      </c>
      <c r="M124" s="1" t="s">
        <v>35</v>
      </c>
      <c r="N124" s="1">
        <v>42318949</v>
      </c>
      <c r="O124" s="1" t="s">
        <v>36</v>
      </c>
      <c r="P124" s="186">
        <v>44459.548888888887</v>
      </c>
      <c r="R124" s="1" t="s">
        <v>38</v>
      </c>
      <c r="T124" s="1" t="s">
        <v>74</v>
      </c>
      <c r="U124" s="186">
        <v>44460.548888888887</v>
      </c>
      <c r="V124" s="1" t="s">
        <v>41</v>
      </c>
      <c r="W124" s="1" t="s">
        <v>49</v>
      </c>
      <c r="X124" s="13" t="str">
        <f>IF(RIGHT(H124,2)&lt;&gt;"00",H124,"")</f>
        <v/>
      </c>
      <c r="Y124" s="2">
        <f ca="1">NETWORKDAYS(P124,$Y$1)</f>
        <v>378</v>
      </c>
      <c r="Z124" s="14">
        <v>1</v>
      </c>
      <c r="AA124" s="1" t="str">
        <f t="shared" ca="1" si="5"/>
        <v>VENCIDO</v>
      </c>
      <c r="AB124" s="1" t="str">
        <f t="shared" si="6"/>
        <v>Dosa</v>
      </c>
      <c r="AC124" s="2" t="str">
        <f t="shared" si="9"/>
        <v xml:space="preserve"> CLEITON </v>
      </c>
      <c r="AD124" s="2">
        <f t="shared" si="7"/>
        <v>5</v>
      </c>
      <c r="AE124" s="2">
        <f t="shared" ca="1" si="8"/>
        <v>-526.12738275463198</v>
      </c>
      <c r="AF124" s="15"/>
    </row>
    <row r="125" spans="1:32" hidden="1">
      <c r="A125" s="1">
        <v>7726588</v>
      </c>
      <c r="B125" s="1" t="s">
        <v>81</v>
      </c>
      <c r="C125" t="s">
        <v>240</v>
      </c>
      <c r="E125" s="2">
        <v>1264000206001</v>
      </c>
      <c r="F125" s="1" t="s">
        <v>29</v>
      </c>
      <c r="G125" s="1" t="s">
        <v>53</v>
      </c>
      <c r="H125" s="1" t="s">
        <v>351</v>
      </c>
      <c r="I125" s="1" t="s">
        <v>352</v>
      </c>
      <c r="J125" s="1" t="s">
        <v>110</v>
      </c>
      <c r="K125" t="s">
        <v>34</v>
      </c>
      <c r="M125" s="1" t="s">
        <v>35</v>
      </c>
      <c r="N125" s="1">
        <v>42318949</v>
      </c>
      <c r="O125" s="1" t="s">
        <v>36</v>
      </c>
      <c r="P125" s="186">
        <v>44459.548888888887</v>
      </c>
      <c r="R125" s="1" t="s">
        <v>38</v>
      </c>
      <c r="T125" s="1" t="s">
        <v>74</v>
      </c>
      <c r="U125" s="186">
        <v>44460.548888888887</v>
      </c>
      <c r="V125" s="1" t="s">
        <v>41</v>
      </c>
      <c r="W125" s="1" t="s">
        <v>49</v>
      </c>
      <c r="X125" s="13" t="str">
        <f>IF(RIGHT(H125,2)&lt;&gt;"00",H125,"")</f>
        <v/>
      </c>
      <c r="Y125" s="2">
        <f ca="1">NETWORKDAYS(P125,$Y$1)</f>
        <v>378</v>
      </c>
      <c r="Z125" s="14">
        <v>1</v>
      </c>
      <c r="AA125" s="1" t="str">
        <f t="shared" ca="1" si="5"/>
        <v>VENCIDO</v>
      </c>
      <c r="AB125" s="1" t="str">
        <f t="shared" si="6"/>
        <v>Dosa</v>
      </c>
      <c r="AC125" s="2" t="str">
        <f t="shared" si="9"/>
        <v xml:space="preserve"> CRISTINA </v>
      </c>
      <c r="AD125" s="2">
        <f t="shared" si="7"/>
        <v>5</v>
      </c>
      <c r="AE125" s="2">
        <f t="shared" ca="1" si="8"/>
        <v>-526.12738275463198</v>
      </c>
      <c r="AF125" s="15"/>
    </row>
    <row r="126" spans="1:32" hidden="1">
      <c r="A126" s="1">
        <v>7726587</v>
      </c>
      <c r="B126" s="1" t="s">
        <v>81</v>
      </c>
      <c r="C126" t="s">
        <v>240</v>
      </c>
      <c r="E126" s="2">
        <v>1069000206001</v>
      </c>
      <c r="F126" s="1" t="s">
        <v>29</v>
      </c>
      <c r="G126" s="1" t="s">
        <v>53</v>
      </c>
      <c r="H126" s="1" t="s">
        <v>353</v>
      </c>
      <c r="I126" s="1" t="s">
        <v>354</v>
      </c>
      <c r="J126" s="1" t="s">
        <v>211</v>
      </c>
      <c r="K126" t="s">
        <v>34</v>
      </c>
      <c r="M126" s="1" t="s">
        <v>35</v>
      </c>
      <c r="N126" s="1">
        <v>42318949</v>
      </c>
      <c r="O126" s="1" t="s">
        <v>36</v>
      </c>
      <c r="P126" s="186">
        <v>44459.548888888887</v>
      </c>
      <c r="R126" s="1" t="s">
        <v>38</v>
      </c>
      <c r="T126" s="1" t="s">
        <v>74</v>
      </c>
      <c r="U126" s="186">
        <v>44460.548888888887</v>
      </c>
      <c r="V126" s="1" t="s">
        <v>41</v>
      </c>
      <c r="W126" s="1" t="s">
        <v>49</v>
      </c>
      <c r="X126" s="13" t="str">
        <f>IF(RIGHT(H126,2)&lt;&gt;"00",H126,"")</f>
        <v/>
      </c>
      <c r="Y126" s="2">
        <f ca="1">NETWORKDAYS(P126,$Y$1)</f>
        <v>378</v>
      </c>
      <c r="Z126" s="14">
        <v>1</v>
      </c>
      <c r="AA126" s="1" t="str">
        <f t="shared" ca="1" si="5"/>
        <v>VENCIDO</v>
      </c>
      <c r="AB126" s="1" t="str">
        <f t="shared" si="6"/>
        <v>Dosa</v>
      </c>
      <c r="AC126" s="2" t="str">
        <f t="shared" si="9"/>
        <v xml:space="preserve"> RINALDO </v>
      </c>
      <c r="AD126" s="2">
        <f t="shared" si="7"/>
        <v>5</v>
      </c>
      <c r="AE126" s="2">
        <f t="shared" ca="1" si="8"/>
        <v>-526.12738275463198</v>
      </c>
      <c r="AF126" s="15"/>
    </row>
    <row r="127" spans="1:32" hidden="1">
      <c r="A127" s="1">
        <v>7726586</v>
      </c>
      <c r="B127" s="1" t="s">
        <v>81</v>
      </c>
      <c r="C127" t="s">
        <v>240</v>
      </c>
      <c r="E127" s="2">
        <v>2529000206001</v>
      </c>
      <c r="F127" s="1" t="s">
        <v>29</v>
      </c>
      <c r="G127" s="1" t="s">
        <v>53</v>
      </c>
      <c r="H127" s="1" t="s">
        <v>355</v>
      </c>
      <c r="I127" s="1" t="s">
        <v>356</v>
      </c>
      <c r="J127" s="1" t="s">
        <v>56</v>
      </c>
      <c r="K127" t="s">
        <v>34</v>
      </c>
      <c r="M127" s="1" t="s">
        <v>35</v>
      </c>
      <c r="N127" s="1">
        <v>42318949</v>
      </c>
      <c r="O127" s="1" t="s">
        <v>36</v>
      </c>
      <c r="P127" s="186">
        <v>44459.548888888887</v>
      </c>
      <c r="R127" s="1" t="s">
        <v>38</v>
      </c>
      <c r="T127" s="1" t="s">
        <v>74</v>
      </c>
      <c r="U127" s="186">
        <v>44460.548888888887</v>
      </c>
      <c r="V127" s="1" t="s">
        <v>41</v>
      </c>
      <c r="W127" s="1" t="s">
        <v>49</v>
      </c>
      <c r="X127" s="13" t="str">
        <f>IF(RIGHT(H127,2)&lt;&gt;"00",H127,"")</f>
        <v/>
      </c>
      <c r="Y127" s="2">
        <f ca="1">NETWORKDAYS(P127,$Y$1)</f>
        <v>378</v>
      </c>
      <c r="Z127" s="14">
        <v>1</v>
      </c>
      <c r="AA127" s="1" t="str">
        <f t="shared" ca="1" si="5"/>
        <v>VENCIDO</v>
      </c>
      <c r="AB127" s="1" t="str">
        <f t="shared" si="6"/>
        <v>Dosa</v>
      </c>
      <c r="AC127" s="2" t="str">
        <f t="shared" si="9"/>
        <v xml:space="preserve"> CRISTINA </v>
      </c>
      <c r="AD127" s="2">
        <f t="shared" si="7"/>
        <v>5</v>
      </c>
      <c r="AE127" s="2">
        <f t="shared" ca="1" si="8"/>
        <v>-526.12738275463198</v>
      </c>
      <c r="AF127" s="15"/>
    </row>
    <row r="128" spans="1:32" hidden="1">
      <c r="A128" s="1">
        <v>7726584</v>
      </c>
      <c r="B128" s="1" t="s">
        <v>81</v>
      </c>
      <c r="C128" t="s">
        <v>240</v>
      </c>
      <c r="E128" s="2">
        <v>1838000206001</v>
      </c>
      <c r="F128" s="1" t="s">
        <v>29</v>
      </c>
      <c r="G128" s="1" t="s">
        <v>53</v>
      </c>
      <c r="H128" s="1" t="s">
        <v>357</v>
      </c>
      <c r="I128" s="1" t="s">
        <v>358</v>
      </c>
      <c r="J128" s="1" t="s">
        <v>46</v>
      </c>
      <c r="K128" t="s">
        <v>34</v>
      </c>
      <c r="M128" s="1" t="s">
        <v>35</v>
      </c>
      <c r="N128" s="1">
        <v>42318949</v>
      </c>
      <c r="O128" s="1" t="s">
        <v>36</v>
      </c>
      <c r="P128" s="186">
        <v>44459.548877314817</v>
      </c>
      <c r="R128" s="1" t="s">
        <v>38</v>
      </c>
      <c r="T128" s="1" t="s">
        <v>74</v>
      </c>
      <c r="U128" s="186">
        <v>44460.548877314817</v>
      </c>
      <c r="V128" s="1" t="s">
        <v>41</v>
      </c>
      <c r="W128" s="1" t="s">
        <v>49</v>
      </c>
      <c r="X128" s="13" t="str">
        <f>IF(RIGHT(H128,2)&lt;&gt;"00",H128,"")</f>
        <v/>
      </c>
      <c r="Y128" s="2">
        <f ca="1">NETWORKDAYS(P128,$Y$1)</f>
        <v>378</v>
      </c>
      <c r="Z128" s="14">
        <v>1</v>
      </c>
      <c r="AA128" s="1" t="str">
        <f t="shared" ca="1" si="5"/>
        <v>VENCIDO</v>
      </c>
      <c r="AB128" s="1" t="str">
        <f t="shared" si="6"/>
        <v>Dosa</v>
      </c>
      <c r="AC128" s="2" t="str">
        <f t="shared" si="9"/>
        <v xml:space="preserve"> CLEITON </v>
      </c>
      <c r="AD128" s="2">
        <f t="shared" si="7"/>
        <v>5</v>
      </c>
      <c r="AE128" s="2">
        <f t="shared" ca="1" si="8"/>
        <v>-526.12739432870148</v>
      </c>
      <c r="AF128" s="15"/>
    </row>
    <row r="129" spans="1:32" hidden="1">
      <c r="A129" s="1">
        <v>7726583</v>
      </c>
      <c r="B129" s="1" t="s">
        <v>81</v>
      </c>
      <c r="C129" t="s">
        <v>240</v>
      </c>
      <c r="E129" s="2">
        <v>2739000206001</v>
      </c>
      <c r="F129" s="1" t="s">
        <v>29</v>
      </c>
      <c r="G129" s="1" t="s">
        <v>53</v>
      </c>
      <c r="H129" s="1" t="s">
        <v>359</v>
      </c>
      <c r="I129" s="1" t="s">
        <v>360</v>
      </c>
      <c r="J129" s="1" t="s">
        <v>85</v>
      </c>
      <c r="K129" t="s">
        <v>34</v>
      </c>
      <c r="M129" s="1" t="s">
        <v>35</v>
      </c>
      <c r="N129" s="1">
        <v>42318949</v>
      </c>
      <c r="O129" s="1" t="s">
        <v>36</v>
      </c>
      <c r="P129" s="186">
        <v>44459.548877314817</v>
      </c>
      <c r="R129" s="1" t="s">
        <v>38</v>
      </c>
      <c r="T129" s="1" t="s">
        <v>74</v>
      </c>
      <c r="U129" s="186">
        <v>44460.548877314817</v>
      </c>
      <c r="V129" s="1" t="s">
        <v>41</v>
      </c>
      <c r="W129" s="1" t="s">
        <v>49</v>
      </c>
      <c r="X129" s="13" t="str">
        <f>IF(RIGHT(H129,2)&lt;&gt;"00",H129,"")</f>
        <v/>
      </c>
      <c r="Y129" s="2">
        <f ca="1">NETWORKDAYS(P129,$Y$1)</f>
        <v>378</v>
      </c>
      <c r="Z129" s="14">
        <v>1</v>
      </c>
      <c r="AA129" s="1" t="str">
        <f t="shared" ca="1" si="5"/>
        <v>VENCIDO</v>
      </c>
      <c r="AB129" s="1" t="str">
        <f t="shared" si="6"/>
        <v>Dosa</v>
      </c>
      <c r="AC129" s="2" t="str">
        <f t="shared" si="9"/>
        <v xml:space="preserve"> RINALDO </v>
      </c>
      <c r="AD129" s="2">
        <f t="shared" si="7"/>
        <v>5</v>
      </c>
      <c r="AE129" s="2">
        <f t="shared" ca="1" si="8"/>
        <v>-526.12739432870148</v>
      </c>
      <c r="AF129" s="15"/>
    </row>
    <row r="130" spans="1:32" hidden="1">
      <c r="A130" s="1">
        <v>7726582</v>
      </c>
      <c r="B130" s="1" t="s">
        <v>81</v>
      </c>
      <c r="C130" t="s">
        <v>240</v>
      </c>
      <c r="E130" s="2">
        <v>1643000206001</v>
      </c>
      <c r="F130" s="1" t="s">
        <v>29</v>
      </c>
      <c r="G130" s="1" t="s">
        <v>53</v>
      </c>
      <c r="H130" s="1" t="s">
        <v>361</v>
      </c>
      <c r="I130" s="1" t="s">
        <v>362</v>
      </c>
      <c r="J130" s="1" t="s">
        <v>261</v>
      </c>
      <c r="K130" t="s">
        <v>34</v>
      </c>
      <c r="M130" s="1" t="s">
        <v>35</v>
      </c>
      <c r="N130" s="1">
        <v>42318949</v>
      </c>
      <c r="O130" s="1" t="s">
        <v>36</v>
      </c>
      <c r="P130" s="186">
        <v>44459.548877314817</v>
      </c>
      <c r="R130" s="1" t="s">
        <v>38</v>
      </c>
      <c r="T130" s="1" t="s">
        <v>74</v>
      </c>
      <c r="U130" s="186">
        <v>44460.548877314817</v>
      </c>
      <c r="V130" s="1" t="s">
        <v>41</v>
      </c>
      <c r="W130" s="1" t="s">
        <v>49</v>
      </c>
      <c r="X130" s="13" t="str">
        <f>IF(RIGHT(H130,2)&lt;&gt;"00",H130,"")</f>
        <v/>
      </c>
      <c r="Y130" s="2">
        <f ca="1">NETWORKDAYS(P130,$Y$1)</f>
        <v>378</v>
      </c>
      <c r="Z130" s="14">
        <v>1</v>
      </c>
      <c r="AA130" s="1" t="str">
        <f t="shared" ref="AA130:AA193" ca="1" si="10">IF(AE130=0,"HOJE",IF(AE130&gt;0,"A VENCER",IF(AE130&lt;0,"VENCIDO")))</f>
        <v>VENCIDO</v>
      </c>
      <c r="AB130" s="1" t="str">
        <f t="shared" ref="AB130:AB193" si="11">IF(F130="GRPE-000001","C-14",IF(F130="GRPE-000002","C-14",IF(F130="GRPE-000003","C-14",IF(F130="GRPE-000004","SL-On",IF(F130="GRPE-000038","C-14",IF(F130="GRPE-900022","Dosa",IF(F130="GRPE-000029","Dosa",IF(F130="ATOS-000222","Dose","TAAe+"))))))))</f>
        <v>Dosa</v>
      </c>
      <c r="AC130" s="2" t="str">
        <f t="shared" si="9"/>
        <v xml:space="preserve"> CRISTINA </v>
      </c>
      <c r="AD130" s="2">
        <f t="shared" ref="AD130:AD193" si="12">IF(F130="GRPE-000001",5,IF(F130="GRPE-000002",5,IF(F130="GRPE-000003",15,IF(F130="GRPE-000004",1,IF(F130="GRPE-000038",5,IF(F130="GRPE-900022",5,IF(F130="GRPE-000029",5,IF(F130="ATOS-000222",5,8))))))))</f>
        <v>5</v>
      </c>
      <c r="AE130" s="2">
        <f t="shared" ref="AE130:AE193" ca="1" si="13">IF(U130=$AE$1,"",U130-$AE$1)</f>
        <v>-526.12739432870148</v>
      </c>
      <c r="AF130" s="15"/>
    </row>
    <row r="131" spans="1:32" hidden="1">
      <c r="A131" s="1">
        <v>7726581</v>
      </c>
      <c r="B131" s="1" t="s">
        <v>81</v>
      </c>
      <c r="C131" t="s">
        <v>240</v>
      </c>
      <c r="E131" s="2">
        <v>5898000206001</v>
      </c>
      <c r="F131" s="1" t="s">
        <v>29</v>
      </c>
      <c r="G131" s="1" t="s">
        <v>53</v>
      </c>
      <c r="H131" s="1" t="s">
        <v>365</v>
      </c>
      <c r="I131" s="1" t="s">
        <v>366</v>
      </c>
      <c r="J131" s="1" t="s">
        <v>164</v>
      </c>
      <c r="K131" t="s">
        <v>34</v>
      </c>
      <c r="M131" s="1" t="s">
        <v>35</v>
      </c>
      <c r="N131" s="1">
        <v>42318949</v>
      </c>
      <c r="O131" s="1" t="s">
        <v>36</v>
      </c>
      <c r="P131" s="186">
        <v>44459.548877314817</v>
      </c>
      <c r="R131" s="1" t="s">
        <v>38</v>
      </c>
      <c r="T131" s="1" t="s">
        <v>74</v>
      </c>
      <c r="U131" s="186">
        <v>44460.548877314817</v>
      </c>
      <c r="V131" s="1" t="s">
        <v>41</v>
      </c>
      <c r="W131" s="1" t="s">
        <v>49</v>
      </c>
      <c r="X131" s="13" t="str">
        <f>IF(RIGHT(H131,2)&lt;&gt;"00",H131,"")</f>
        <v/>
      </c>
      <c r="Y131" s="2">
        <f ca="1">NETWORKDAYS(P131,$Y$1)</f>
        <v>378</v>
      </c>
      <c r="Z131" s="14">
        <v>1</v>
      </c>
      <c r="AA131" s="1" t="str">
        <f t="shared" ca="1" si="10"/>
        <v>VENCIDO</v>
      </c>
      <c r="AB131" s="1" t="str">
        <f t="shared" si="11"/>
        <v>Dosa</v>
      </c>
      <c r="AC131" s="2" t="str">
        <f t="shared" ref="AC131:AC194" si="14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 xml:space="preserve"> ROSEMERE </v>
      </c>
      <c r="AD131" s="2">
        <f t="shared" si="12"/>
        <v>5</v>
      </c>
      <c r="AE131" s="2">
        <f t="shared" ca="1" si="13"/>
        <v>-526.12739432870148</v>
      </c>
      <c r="AF131" s="15"/>
    </row>
    <row r="132" spans="1:32" hidden="1">
      <c r="A132" s="1">
        <v>7726580</v>
      </c>
      <c r="B132" s="1" t="s">
        <v>81</v>
      </c>
      <c r="C132" t="s">
        <v>240</v>
      </c>
      <c r="E132" s="2">
        <v>834000206001</v>
      </c>
      <c r="F132" s="1" t="s">
        <v>29</v>
      </c>
      <c r="G132" s="1" t="s">
        <v>53</v>
      </c>
      <c r="H132" s="1" t="s">
        <v>367</v>
      </c>
      <c r="I132" s="1" t="s">
        <v>368</v>
      </c>
      <c r="J132" s="1" t="s">
        <v>261</v>
      </c>
      <c r="K132" t="s">
        <v>34</v>
      </c>
      <c r="M132" s="1" t="s">
        <v>35</v>
      </c>
      <c r="N132" s="1">
        <v>42318949</v>
      </c>
      <c r="O132" s="1" t="s">
        <v>36</v>
      </c>
      <c r="P132" s="186">
        <v>44459.548877314817</v>
      </c>
      <c r="R132" s="1" t="s">
        <v>38</v>
      </c>
      <c r="T132" s="1" t="s">
        <v>74</v>
      </c>
      <c r="U132" s="186">
        <v>44460.548877314817</v>
      </c>
      <c r="V132" s="1" t="s">
        <v>41</v>
      </c>
      <c r="W132" s="1" t="s">
        <v>49</v>
      </c>
      <c r="X132" s="13" t="str">
        <f>IF(RIGHT(H132,2)&lt;&gt;"00",H132,"")</f>
        <v/>
      </c>
      <c r="Y132" s="2">
        <f ca="1">NETWORKDAYS(P132,$Y$1)</f>
        <v>378</v>
      </c>
      <c r="Z132" s="14">
        <v>1</v>
      </c>
      <c r="AA132" s="1" t="str">
        <f t="shared" ca="1" si="10"/>
        <v>VENCIDO</v>
      </c>
      <c r="AB132" s="1" t="str">
        <f t="shared" si="11"/>
        <v>Dosa</v>
      </c>
      <c r="AC132" s="2" t="str">
        <f t="shared" si="14"/>
        <v xml:space="preserve"> CRISTINA </v>
      </c>
      <c r="AD132" s="2">
        <f t="shared" si="12"/>
        <v>5</v>
      </c>
      <c r="AE132" s="2">
        <f t="shared" ca="1" si="13"/>
        <v>-526.12739432870148</v>
      </c>
      <c r="AF132" s="15"/>
    </row>
    <row r="133" spans="1:32" hidden="1">
      <c r="A133" s="1">
        <v>7726579</v>
      </c>
      <c r="B133" s="1" t="s">
        <v>81</v>
      </c>
      <c r="C133" t="s">
        <v>240</v>
      </c>
      <c r="E133" s="2">
        <v>1833000206001</v>
      </c>
      <c r="F133" s="1" t="s">
        <v>29</v>
      </c>
      <c r="G133" s="1" t="s">
        <v>53</v>
      </c>
      <c r="H133" s="1" t="s">
        <v>369</v>
      </c>
      <c r="I133" s="1" t="s">
        <v>370</v>
      </c>
      <c r="J133" s="1" t="s">
        <v>46</v>
      </c>
      <c r="K133" t="s">
        <v>34</v>
      </c>
      <c r="M133" s="1" t="s">
        <v>35</v>
      </c>
      <c r="N133" s="1">
        <v>42318949</v>
      </c>
      <c r="O133" s="1" t="s">
        <v>36</v>
      </c>
      <c r="P133" s="186">
        <v>44459.54886574074</v>
      </c>
      <c r="R133" s="1" t="s">
        <v>38</v>
      </c>
      <c r="T133" s="1" t="s">
        <v>74</v>
      </c>
      <c r="U133" s="186">
        <v>44460.54886574074</v>
      </c>
      <c r="V133" s="1" t="s">
        <v>41</v>
      </c>
      <c r="W133" s="1" t="s">
        <v>49</v>
      </c>
      <c r="X133" s="13" t="str">
        <f>IF(RIGHT(H133,2)&lt;&gt;"00",H133,"")</f>
        <v/>
      </c>
      <c r="Y133" s="2">
        <f ca="1">NETWORKDAYS(P133,$Y$1)</f>
        <v>378</v>
      </c>
      <c r="Z133" s="14">
        <v>1</v>
      </c>
      <c r="AA133" s="1" t="str">
        <f t="shared" ca="1" si="10"/>
        <v>VENCIDO</v>
      </c>
      <c r="AB133" s="1" t="str">
        <f t="shared" si="11"/>
        <v>Dosa</v>
      </c>
      <c r="AC133" s="2" t="str">
        <f t="shared" si="14"/>
        <v xml:space="preserve"> CLEITON </v>
      </c>
      <c r="AD133" s="2">
        <f t="shared" si="12"/>
        <v>5</v>
      </c>
      <c r="AE133" s="2">
        <f t="shared" ca="1" si="13"/>
        <v>-526.12740590277826</v>
      </c>
      <c r="AF133" s="15"/>
    </row>
    <row r="134" spans="1:32" hidden="1">
      <c r="A134" s="1">
        <v>7726578</v>
      </c>
      <c r="B134" s="1" t="s">
        <v>81</v>
      </c>
      <c r="C134" t="s">
        <v>240</v>
      </c>
      <c r="E134" s="2">
        <v>3250000206001</v>
      </c>
      <c r="F134" s="1" t="s">
        <v>29</v>
      </c>
      <c r="G134" s="1" t="s">
        <v>53</v>
      </c>
      <c r="H134" s="1" t="s">
        <v>371</v>
      </c>
      <c r="I134" s="1" t="s">
        <v>372</v>
      </c>
      <c r="J134" s="1" t="s">
        <v>46</v>
      </c>
      <c r="K134" t="s">
        <v>34</v>
      </c>
      <c r="M134" s="1" t="s">
        <v>35</v>
      </c>
      <c r="N134" s="1">
        <v>42318949</v>
      </c>
      <c r="O134" s="1" t="s">
        <v>36</v>
      </c>
      <c r="P134" s="186">
        <v>44459.54886574074</v>
      </c>
      <c r="R134" s="1" t="s">
        <v>38</v>
      </c>
      <c r="T134" s="1" t="s">
        <v>74</v>
      </c>
      <c r="U134" s="186">
        <v>44460.54886574074</v>
      </c>
      <c r="V134" s="1" t="s">
        <v>41</v>
      </c>
      <c r="W134" s="1" t="s">
        <v>49</v>
      </c>
      <c r="X134" s="13" t="str">
        <f>IF(RIGHT(H134,2)&lt;&gt;"00",H134,"")</f>
        <v/>
      </c>
      <c r="Y134" s="2">
        <f ca="1">NETWORKDAYS(P134,$Y$1)</f>
        <v>378</v>
      </c>
      <c r="Z134" s="14">
        <v>1</v>
      </c>
      <c r="AA134" s="1" t="str">
        <f t="shared" ca="1" si="10"/>
        <v>VENCIDO</v>
      </c>
      <c r="AB134" s="1" t="str">
        <f t="shared" si="11"/>
        <v>Dosa</v>
      </c>
      <c r="AC134" s="2" t="str">
        <f t="shared" si="14"/>
        <v xml:space="preserve"> CLEITON </v>
      </c>
      <c r="AD134" s="2">
        <f t="shared" si="12"/>
        <v>5</v>
      </c>
      <c r="AE134" s="2">
        <f t="shared" ca="1" si="13"/>
        <v>-526.12740590277826</v>
      </c>
      <c r="AF134" s="15"/>
    </row>
    <row r="135" spans="1:32" hidden="1">
      <c r="A135" s="1">
        <v>7726576</v>
      </c>
      <c r="B135" s="1" t="s">
        <v>81</v>
      </c>
      <c r="C135" t="s">
        <v>240</v>
      </c>
      <c r="E135" s="2">
        <v>1059000206001</v>
      </c>
      <c r="F135" s="1" t="s">
        <v>29</v>
      </c>
      <c r="G135" s="1" t="s">
        <v>53</v>
      </c>
      <c r="H135" s="1" t="s">
        <v>88</v>
      </c>
      <c r="I135" s="1" t="s">
        <v>89</v>
      </c>
      <c r="J135" s="1" t="s">
        <v>90</v>
      </c>
      <c r="K135" t="s">
        <v>34</v>
      </c>
      <c r="M135" s="1" t="s">
        <v>35</v>
      </c>
      <c r="N135" s="1">
        <v>42318949</v>
      </c>
      <c r="O135" s="1" t="s">
        <v>36</v>
      </c>
      <c r="P135" s="186">
        <v>44459.54886574074</v>
      </c>
      <c r="R135" s="1" t="s">
        <v>38</v>
      </c>
      <c r="T135" s="1" t="s">
        <v>74</v>
      </c>
      <c r="U135" s="186">
        <v>44460.54886574074</v>
      </c>
      <c r="V135" s="1" t="s">
        <v>41</v>
      </c>
      <c r="W135" s="1" t="s">
        <v>49</v>
      </c>
      <c r="X135" s="13" t="str">
        <f>IF(RIGHT(H135,2)&lt;&gt;"00",H135,"")</f>
        <v/>
      </c>
      <c r="Y135" s="2">
        <f ca="1">NETWORKDAYS(P135,$Y$1)</f>
        <v>378</v>
      </c>
      <c r="Z135" s="14">
        <v>1</v>
      </c>
      <c r="AA135" s="1" t="str">
        <f t="shared" ca="1" si="10"/>
        <v>VENCIDO</v>
      </c>
      <c r="AB135" s="1" t="str">
        <f t="shared" si="11"/>
        <v>Dosa</v>
      </c>
      <c r="AC135" s="2" t="str">
        <f t="shared" si="14"/>
        <v xml:space="preserve"> RINALDO </v>
      </c>
      <c r="AD135" s="2">
        <f t="shared" si="12"/>
        <v>5</v>
      </c>
      <c r="AE135" s="2">
        <f t="shared" ca="1" si="13"/>
        <v>-526.12740590277826</v>
      </c>
      <c r="AF135" s="15"/>
    </row>
    <row r="136" spans="1:32" hidden="1">
      <c r="A136" s="1">
        <v>7726575</v>
      </c>
      <c r="B136" s="1" t="s">
        <v>81</v>
      </c>
      <c r="C136" t="s">
        <v>240</v>
      </c>
      <c r="E136" s="2">
        <v>1761000206001</v>
      </c>
      <c r="F136" s="1" t="s">
        <v>29</v>
      </c>
      <c r="G136" s="1" t="s">
        <v>53</v>
      </c>
      <c r="H136" s="1" t="s">
        <v>375</v>
      </c>
      <c r="I136" s="1" t="s">
        <v>376</v>
      </c>
      <c r="J136" s="1" t="s">
        <v>56</v>
      </c>
      <c r="K136" t="s">
        <v>34</v>
      </c>
      <c r="M136" s="1" t="s">
        <v>35</v>
      </c>
      <c r="N136" s="1">
        <v>42318949</v>
      </c>
      <c r="O136" s="1" t="s">
        <v>36</v>
      </c>
      <c r="P136" s="186">
        <v>44459.54886574074</v>
      </c>
      <c r="R136" s="1" t="s">
        <v>38</v>
      </c>
      <c r="T136" s="1" t="s">
        <v>74</v>
      </c>
      <c r="U136" s="186">
        <v>44460.54886574074</v>
      </c>
      <c r="V136" s="1" t="s">
        <v>41</v>
      </c>
      <c r="W136" s="1" t="s">
        <v>49</v>
      </c>
      <c r="X136" s="13" t="str">
        <f>IF(RIGHT(H136,2)&lt;&gt;"00",H136,"")</f>
        <v/>
      </c>
      <c r="Y136" s="2">
        <f ca="1">NETWORKDAYS(P136,$Y$1)</f>
        <v>378</v>
      </c>
      <c r="Z136" s="14">
        <v>1</v>
      </c>
      <c r="AA136" s="1" t="str">
        <f t="shared" ca="1" si="10"/>
        <v>VENCIDO</v>
      </c>
      <c r="AB136" s="1" t="str">
        <f t="shared" si="11"/>
        <v>Dosa</v>
      </c>
      <c r="AC136" s="2" t="str">
        <f t="shared" si="14"/>
        <v xml:space="preserve"> CRISTINA </v>
      </c>
      <c r="AD136" s="2">
        <f t="shared" si="12"/>
        <v>5</v>
      </c>
      <c r="AE136" s="2">
        <f t="shared" ca="1" si="13"/>
        <v>-526.12740590277826</v>
      </c>
      <c r="AF136" s="15"/>
    </row>
    <row r="137" spans="1:32" hidden="1">
      <c r="A137" s="1">
        <v>7726574</v>
      </c>
      <c r="B137" s="1" t="s">
        <v>81</v>
      </c>
      <c r="C137" t="s">
        <v>240</v>
      </c>
      <c r="E137" s="2">
        <v>714000206001</v>
      </c>
      <c r="F137" s="1" t="s">
        <v>29</v>
      </c>
      <c r="G137" s="1" t="s">
        <v>53</v>
      </c>
      <c r="H137" s="1" t="s">
        <v>377</v>
      </c>
      <c r="I137" s="1" t="s">
        <v>378</v>
      </c>
      <c r="J137" s="1" t="s">
        <v>46</v>
      </c>
      <c r="K137" t="s">
        <v>34</v>
      </c>
      <c r="M137" s="1" t="s">
        <v>35</v>
      </c>
      <c r="N137" s="1">
        <v>42318949</v>
      </c>
      <c r="O137" s="1" t="s">
        <v>36</v>
      </c>
      <c r="P137" s="186">
        <v>44459.54886574074</v>
      </c>
      <c r="R137" s="1" t="s">
        <v>38</v>
      </c>
      <c r="T137" s="1" t="s">
        <v>74</v>
      </c>
      <c r="U137" s="186">
        <v>44460.54886574074</v>
      </c>
      <c r="V137" s="1" t="s">
        <v>41</v>
      </c>
      <c r="W137" s="1" t="s">
        <v>49</v>
      </c>
      <c r="X137" s="13" t="str">
        <f>IF(RIGHT(H137,2)&lt;&gt;"00",H137,"")</f>
        <v/>
      </c>
      <c r="Y137" s="2">
        <f ca="1">NETWORKDAYS(P137,$Y$1)</f>
        <v>378</v>
      </c>
      <c r="Z137" s="14">
        <v>1</v>
      </c>
      <c r="AA137" s="1" t="str">
        <f t="shared" ca="1" si="10"/>
        <v>VENCIDO</v>
      </c>
      <c r="AB137" s="1" t="str">
        <f t="shared" si="11"/>
        <v>Dosa</v>
      </c>
      <c r="AC137" s="2" t="str">
        <f t="shared" si="14"/>
        <v xml:space="preserve"> CLEITON </v>
      </c>
      <c r="AD137" s="2">
        <f t="shared" si="12"/>
        <v>5</v>
      </c>
      <c r="AE137" s="2">
        <f t="shared" ca="1" si="13"/>
        <v>-526.12740590277826</v>
      </c>
      <c r="AF137" s="15"/>
    </row>
    <row r="138" spans="1:32" hidden="1">
      <c r="A138" s="1">
        <v>7726573</v>
      </c>
      <c r="B138" s="1" t="s">
        <v>81</v>
      </c>
      <c r="C138" t="s">
        <v>240</v>
      </c>
      <c r="E138" s="2">
        <v>2138000206001</v>
      </c>
      <c r="F138" s="1" t="s">
        <v>29</v>
      </c>
      <c r="G138" s="1" t="s">
        <v>53</v>
      </c>
      <c r="H138" s="1" t="s">
        <v>379</v>
      </c>
      <c r="I138" s="1" t="s">
        <v>380</v>
      </c>
      <c r="J138" s="1" t="s">
        <v>46</v>
      </c>
      <c r="K138" t="s">
        <v>34</v>
      </c>
      <c r="M138" s="1" t="s">
        <v>35</v>
      </c>
      <c r="N138" s="1">
        <v>42318949</v>
      </c>
      <c r="O138" s="1" t="s">
        <v>36</v>
      </c>
      <c r="P138" s="186">
        <v>44459.54886574074</v>
      </c>
      <c r="R138" s="1" t="s">
        <v>38</v>
      </c>
      <c r="T138" s="1" t="s">
        <v>74</v>
      </c>
      <c r="U138" s="186">
        <v>44460.54886574074</v>
      </c>
      <c r="V138" s="1" t="s">
        <v>41</v>
      </c>
      <c r="W138" s="1" t="s">
        <v>49</v>
      </c>
      <c r="X138" s="13" t="str">
        <f>IF(RIGHT(H138,2)&lt;&gt;"00",H138,"")</f>
        <v/>
      </c>
      <c r="Y138" s="2">
        <f ca="1">NETWORKDAYS(P138,$Y$1)</f>
        <v>378</v>
      </c>
      <c r="Z138" s="14">
        <v>1</v>
      </c>
      <c r="AA138" s="1" t="str">
        <f t="shared" ca="1" si="10"/>
        <v>VENCIDO</v>
      </c>
      <c r="AB138" s="1" t="str">
        <f t="shared" si="11"/>
        <v>Dosa</v>
      </c>
      <c r="AC138" s="2" t="str">
        <f t="shared" si="14"/>
        <v xml:space="preserve"> CLEITON </v>
      </c>
      <c r="AD138" s="2">
        <f t="shared" si="12"/>
        <v>5</v>
      </c>
      <c r="AE138" s="2">
        <f t="shared" ca="1" si="13"/>
        <v>-526.12740590277826</v>
      </c>
      <c r="AF138" s="15"/>
    </row>
    <row r="139" spans="1:32" hidden="1">
      <c r="A139" s="1">
        <v>7726572</v>
      </c>
      <c r="B139" s="1" t="s">
        <v>81</v>
      </c>
      <c r="C139" t="s">
        <v>240</v>
      </c>
      <c r="E139" s="2">
        <v>2257000206001</v>
      </c>
      <c r="F139" s="1" t="s">
        <v>29</v>
      </c>
      <c r="G139" s="1" t="s">
        <v>53</v>
      </c>
      <c r="H139" s="1" t="s">
        <v>381</v>
      </c>
      <c r="I139" s="1" t="s">
        <v>382</v>
      </c>
      <c r="J139" s="1" t="s">
        <v>110</v>
      </c>
      <c r="K139" t="s">
        <v>34</v>
      </c>
      <c r="M139" s="1" t="s">
        <v>35</v>
      </c>
      <c r="N139" s="1">
        <v>42318949</v>
      </c>
      <c r="O139" s="1" t="s">
        <v>36</v>
      </c>
      <c r="P139" s="186">
        <v>44459.54886574074</v>
      </c>
      <c r="R139" s="1" t="s">
        <v>38</v>
      </c>
      <c r="T139" s="1" t="s">
        <v>74</v>
      </c>
      <c r="U139" s="186">
        <v>44460.54886574074</v>
      </c>
      <c r="V139" s="1" t="s">
        <v>41</v>
      </c>
      <c r="W139" s="1" t="s">
        <v>49</v>
      </c>
      <c r="X139" s="13" t="str">
        <f>IF(RIGHT(H139,2)&lt;&gt;"00",H139,"")</f>
        <v/>
      </c>
      <c r="Y139" s="2">
        <f ca="1">NETWORKDAYS(P139,$Y$1)</f>
        <v>378</v>
      </c>
      <c r="Z139" s="14">
        <v>1</v>
      </c>
      <c r="AA139" s="1" t="str">
        <f t="shared" ca="1" si="10"/>
        <v>VENCIDO</v>
      </c>
      <c r="AB139" s="1" t="str">
        <f t="shared" si="11"/>
        <v>Dosa</v>
      </c>
      <c r="AC139" s="2" t="str">
        <f t="shared" si="14"/>
        <v xml:space="preserve"> CRISTINA </v>
      </c>
      <c r="AD139" s="2">
        <f t="shared" si="12"/>
        <v>5</v>
      </c>
      <c r="AE139" s="2">
        <f t="shared" ca="1" si="13"/>
        <v>-526.12740590277826</v>
      </c>
      <c r="AF139" s="15"/>
    </row>
    <row r="140" spans="1:32" hidden="1">
      <c r="A140" s="1">
        <v>7726571</v>
      </c>
      <c r="B140" s="1" t="s">
        <v>81</v>
      </c>
      <c r="C140" t="s">
        <v>240</v>
      </c>
      <c r="E140" s="2">
        <v>7000206001</v>
      </c>
      <c r="F140" s="1" t="s">
        <v>29</v>
      </c>
      <c r="G140" s="1" t="s">
        <v>53</v>
      </c>
      <c r="H140" s="1" t="s">
        <v>383</v>
      </c>
      <c r="I140" s="1" t="s">
        <v>384</v>
      </c>
      <c r="J140" s="1" t="s">
        <v>46</v>
      </c>
      <c r="K140" t="s">
        <v>34</v>
      </c>
      <c r="M140" s="1" t="s">
        <v>35</v>
      </c>
      <c r="N140" s="1">
        <v>42318949</v>
      </c>
      <c r="O140" s="1" t="s">
        <v>36</v>
      </c>
      <c r="P140" s="186">
        <v>44459.548854166664</v>
      </c>
      <c r="R140" s="1" t="s">
        <v>38</v>
      </c>
      <c r="T140" s="1" t="s">
        <v>74</v>
      </c>
      <c r="U140" s="186">
        <v>44460.548854166664</v>
      </c>
      <c r="V140" s="1" t="s">
        <v>41</v>
      </c>
      <c r="W140" s="1" t="s">
        <v>49</v>
      </c>
      <c r="X140" s="13" t="str">
        <f>IF(RIGHT(H140,2)&lt;&gt;"00",H140,"")</f>
        <v/>
      </c>
      <c r="Y140" s="2">
        <f ca="1">NETWORKDAYS(P140,$Y$1)</f>
        <v>378</v>
      </c>
      <c r="Z140" s="14">
        <v>1</v>
      </c>
      <c r="AA140" s="1" t="str">
        <f t="shared" ca="1" si="10"/>
        <v>VENCIDO</v>
      </c>
      <c r="AB140" s="1" t="str">
        <f t="shared" si="11"/>
        <v>Dosa</v>
      </c>
      <c r="AC140" s="2" t="str">
        <f t="shared" si="14"/>
        <v xml:space="preserve"> CLEITON </v>
      </c>
      <c r="AD140" s="2">
        <f t="shared" si="12"/>
        <v>5</v>
      </c>
      <c r="AE140" s="2">
        <f t="shared" ca="1" si="13"/>
        <v>-526.12741747685504</v>
      </c>
      <c r="AF140" s="15"/>
    </row>
    <row r="141" spans="1:32" hidden="1">
      <c r="A141" s="1">
        <v>7726569</v>
      </c>
      <c r="B141" s="1" t="s">
        <v>81</v>
      </c>
      <c r="C141" t="s">
        <v>240</v>
      </c>
      <c r="E141" s="2">
        <v>4274000206001</v>
      </c>
      <c r="F141" s="1" t="s">
        <v>29</v>
      </c>
      <c r="G141" s="1" t="s">
        <v>53</v>
      </c>
      <c r="H141" s="1" t="s">
        <v>386</v>
      </c>
      <c r="I141" s="1" t="s">
        <v>387</v>
      </c>
      <c r="J141" s="1" t="s">
        <v>46</v>
      </c>
      <c r="K141" t="s">
        <v>34</v>
      </c>
      <c r="M141" s="1" t="s">
        <v>35</v>
      </c>
      <c r="N141" s="1">
        <v>42318949</v>
      </c>
      <c r="O141" s="1" t="s">
        <v>36</v>
      </c>
      <c r="P141" s="186">
        <v>44459.548854166664</v>
      </c>
      <c r="R141" s="1" t="s">
        <v>38</v>
      </c>
      <c r="T141" s="1" t="s">
        <v>74</v>
      </c>
      <c r="U141" s="186">
        <v>44460.548854166664</v>
      </c>
      <c r="V141" s="1" t="s">
        <v>41</v>
      </c>
      <c r="W141" s="1" t="s">
        <v>49</v>
      </c>
      <c r="X141" s="13" t="str">
        <f>IF(RIGHT(H141,2)&lt;&gt;"00",H141,"")</f>
        <v/>
      </c>
      <c r="Y141" s="2">
        <f ca="1">NETWORKDAYS(P141,$Y$1)</f>
        <v>378</v>
      </c>
      <c r="Z141" s="14">
        <v>1</v>
      </c>
      <c r="AA141" s="1" t="str">
        <f t="shared" ca="1" si="10"/>
        <v>VENCIDO</v>
      </c>
      <c r="AB141" s="1" t="str">
        <f t="shared" si="11"/>
        <v>Dosa</v>
      </c>
      <c r="AC141" s="2" t="str">
        <f t="shared" si="14"/>
        <v xml:space="preserve"> CLEITON </v>
      </c>
      <c r="AD141" s="2">
        <f t="shared" si="12"/>
        <v>5</v>
      </c>
      <c r="AE141" s="2">
        <f t="shared" ca="1" si="13"/>
        <v>-526.12741747685504</v>
      </c>
      <c r="AF141" s="15"/>
    </row>
    <row r="142" spans="1:32" hidden="1">
      <c r="A142" s="1">
        <v>7726567</v>
      </c>
      <c r="B142" s="1" t="s">
        <v>81</v>
      </c>
      <c r="C142" t="s">
        <v>240</v>
      </c>
      <c r="E142" s="2">
        <v>2802000206001</v>
      </c>
      <c r="F142" s="1" t="s">
        <v>29</v>
      </c>
      <c r="G142" s="1" t="s">
        <v>53</v>
      </c>
      <c r="H142" s="1" t="s">
        <v>388</v>
      </c>
      <c r="I142" s="1" t="s">
        <v>389</v>
      </c>
      <c r="J142" s="1" t="s">
        <v>46</v>
      </c>
      <c r="K142" t="s">
        <v>34</v>
      </c>
      <c r="M142" s="1" t="s">
        <v>35</v>
      </c>
      <c r="N142" s="1">
        <v>42318949</v>
      </c>
      <c r="O142" s="1" t="s">
        <v>36</v>
      </c>
      <c r="P142" s="186">
        <v>44459.548854166664</v>
      </c>
      <c r="R142" s="1" t="s">
        <v>38</v>
      </c>
      <c r="T142" s="1" t="s">
        <v>74</v>
      </c>
      <c r="U142" s="186">
        <v>44460.548854166664</v>
      </c>
      <c r="V142" s="1" t="s">
        <v>41</v>
      </c>
      <c r="W142" s="1" t="s">
        <v>49</v>
      </c>
      <c r="X142" s="13" t="str">
        <f>IF(RIGHT(H142,2)&lt;&gt;"00",H142,"")</f>
        <v/>
      </c>
      <c r="Y142" s="2">
        <f ca="1">NETWORKDAYS(P142,$Y$1)</f>
        <v>378</v>
      </c>
      <c r="Z142" s="14">
        <v>1</v>
      </c>
      <c r="AA142" s="1" t="str">
        <f t="shared" ca="1" si="10"/>
        <v>VENCIDO</v>
      </c>
      <c r="AB142" s="1" t="str">
        <f t="shared" si="11"/>
        <v>Dosa</v>
      </c>
      <c r="AC142" s="2" t="str">
        <f t="shared" si="14"/>
        <v xml:space="preserve"> CLEITON </v>
      </c>
      <c r="AD142" s="2">
        <f t="shared" si="12"/>
        <v>5</v>
      </c>
      <c r="AE142" s="2">
        <f t="shared" ca="1" si="13"/>
        <v>-526.12741747685504</v>
      </c>
      <c r="AF142" s="15"/>
    </row>
    <row r="143" spans="1:32" hidden="1">
      <c r="A143" s="1">
        <v>7726563</v>
      </c>
      <c r="B143" s="1" t="s">
        <v>81</v>
      </c>
      <c r="C143" t="s">
        <v>240</v>
      </c>
      <c r="E143" s="2">
        <v>710000206001</v>
      </c>
      <c r="F143" s="1" t="s">
        <v>29</v>
      </c>
      <c r="G143" s="1" t="s">
        <v>53</v>
      </c>
      <c r="H143" s="1" t="s">
        <v>390</v>
      </c>
      <c r="I143" s="1" t="s">
        <v>391</v>
      </c>
      <c r="J143" s="1" t="s">
        <v>56</v>
      </c>
      <c r="K143" t="s">
        <v>34</v>
      </c>
      <c r="M143" s="1" t="s">
        <v>35</v>
      </c>
      <c r="N143" s="1">
        <v>42318949</v>
      </c>
      <c r="O143" s="1" t="s">
        <v>36</v>
      </c>
      <c r="P143" s="186">
        <v>44459.548842592594</v>
      </c>
      <c r="R143" s="1" t="s">
        <v>38</v>
      </c>
      <c r="T143" s="1" t="s">
        <v>74</v>
      </c>
      <c r="U143" s="186">
        <v>44460.548842592594</v>
      </c>
      <c r="V143" s="1" t="s">
        <v>41</v>
      </c>
      <c r="W143" s="1" t="s">
        <v>49</v>
      </c>
      <c r="X143" s="13" t="str">
        <f>IF(RIGHT(H143,2)&lt;&gt;"00",H143,"")</f>
        <v/>
      </c>
      <c r="Y143" s="2">
        <f ca="1">NETWORKDAYS(P143,$Y$1)</f>
        <v>378</v>
      </c>
      <c r="Z143" s="14">
        <v>1</v>
      </c>
      <c r="AA143" s="1" t="str">
        <f t="shared" ca="1" si="10"/>
        <v>VENCIDO</v>
      </c>
      <c r="AB143" s="1" t="str">
        <f t="shared" si="11"/>
        <v>Dosa</v>
      </c>
      <c r="AC143" s="2" t="str">
        <f t="shared" si="14"/>
        <v xml:space="preserve"> CRISTINA </v>
      </c>
      <c r="AD143" s="2">
        <f t="shared" si="12"/>
        <v>5</v>
      </c>
      <c r="AE143" s="2">
        <f t="shared" ca="1" si="13"/>
        <v>-526.12742905092455</v>
      </c>
      <c r="AF143" s="15"/>
    </row>
    <row r="144" spans="1:32" hidden="1">
      <c r="A144" s="1">
        <v>7726562</v>
      </c>
      <c r="B144" s="1" t="s">
        <v>81</v>
      </c>
      <c r="C144" t="s">
        <v>240</v>
      </c>
      <c r="E144" s="2">
        <v>2590000206001</v>
      </c>
      <c r="F144" s="1" t="s">
        <v>29</v>
      </c>
      <c r="G144" s="1" t="s">
        <v>53</v>
      </c>
      <c r="H144" s="1" t="s">
        <v>394</v>
      </c>
      <c r="I144" s="1" t="s">
        <v>395</v>
      </c>
      <c r="J144" s="1" t="s">
        <v>148</v>
      </c>
      <c r="K144" t="s">
        <v>34</v>
      </c>
      <c r="M144" s="1" t="s">
        <v>35</v>
      </c>
      <c r="N144" s="1">
        <v>42318949</v>
      </c>
      <c r="O144" s="1" t="s">
        <v>36</v>
      </c>
      <c r="P144" s="186">
        <v>44459.548842592594</v>
      </c>
      <c r="R144" s="1" t="s">
        <v>38</v>
      </c>
      <c r="T144" s="1" t="s">
        <v>74</v>
      </c>
      <c r="U144" s="186">
        <v>44460.548842592594</v>
      </c>
      <c r="V144" s="1" t="s">
        <v>41</v>
      </c>
      <c r="W144" s="1" t="s">
        <v>49</v>
      </c>
      <c r="X144" s="13" t="str">
        <f>IF(RIGHT(H144,2)&lt;&gt;"00",H144,"")</f>
        <v/>
      </c>
      <c r="Y144" s="2">
        <f ca="1">NETWORKDAYS(P144,$Y$1)</f>
        <v>378</v>
      </c>
      <c r="Z144" s="14">
        <v>1</v>
      </c>
      <c r="AA144" s="1" t="str">
        <f t="shared" ca="1" si="10"/>
        <v>VENCIDO</v>
      </c>
      <c r="AB144" s="1" t="str">
        <f t="shared" si="11"/>
        <v>Dosa</v>
      </c>
      <c r="AC144" s="2" t="str">
        <f t="shared" si="14"/>
        <v xml:space="preserve"> RINALDO </v>
      </c>
      <c r="AD144" s="2">
        <f t="shared" si="12"/>
        <v>5</v>
      </c>
      <c r="AE144" s="2">
        <f t="shared" ca="1" si="13"/>
        <v>-526.12742905092455</v>
      </c>
      <c r="AF144" s="15"/>
    </row>
    <row r="145" spans="1:32" hidden="1">
      <c r="A145" s="1">
        <v>7726561</v>
      </c>
      <c r="B145" s="1" t="s">
        <v>81</v>
      </c>
      <c r="C145" t="s">
        <v>240</v>
      </c>
      <c r="E145" s="2">
        <v>1814000206001</v>
      </c>
      <c r="F145" s="1" t="s">
        <v>29</v>
      </c>
      <c r="G145" s="1" t="s">
        <v>53</v>
      </c>
      <c r="H145" s="1" t="s">
        <v>396</v>
      </c>
      <c r="I145" s="1" t="s">
        <v>397</v>
      </c>
      <c r="J145" s="1" t="s">
        <v>46</v>
      </c>
      <c r="K145" t="s">
        <v>34</v>
      </c>
      <c r="M145" s="1" t="s">
        <v>35</v>
      </c>
      <c r="N145" s="1">
        <v>42318949</v>
      </c>
      <c r="O145" s="1" t="s">
        <v>36</v>
      </c>
      <c r="P145" s="186">
        <v>44459.548842592594</v>
      </c>
      <c r="R145" s="1" t="s">
        <v>38</v>
      </c>
      <c r="T145" s="1" t="s">
        <v>74</v>
      </c>
      <c r="U145" s="186">
        <v>44460.548842592594</v>
      </c>
      <c r="V145" s="1" t="s">
        <v>41</v>
      </c>
      <c r="W145" s="1" t="s">
        <v>49</v>
      </c>
      <c r="X145" s="13" t="str">
        <f>IF(RIGHT(H145,2)&lt;&gt;"00",H145,"")</f>
        <v/>
      </c>
      <c r="Y145" s="2">
        <f ca="1">NETWORKDAYS(P145,$Y$1)</f>
        <v>378</v>
      </c>
      <c r="Z145" s="14">
        <v>1</v>
      </c>
      <c r="AA145" s="1" t="str">
        <f t="shared" ca="1" si="10"/>
        <v>VENCIDO</v>
      </c>
      <c r="AB145" s="1" t="str">
        <f t="shared" si="11"/>
        <v>Dosa</v>
      </c>
      <c r="AC145" s="2" t="str">
        <f t="shared" si="14"/>
        <v xml:space="preserve"> CLEITON </v>
      </c>
      <c r="AD145" s="2">
        <f t="shared" si="12"/>
        <v>5</v>
      </c>
      <c r="AE145" s="2">
        <f t="shared" ca="1" si="13"/>
        <v>-526.12742905092455</v>
      </c>
      <c r="AF145" s="15"/>
    </row>
    <row r="146" spans="1:32" hidden="1">
      <c r="A146" s="1">
        <v>7726556</v>
      </c>
      <c r="B146" s="1" t="s">
        <v>81</v>
      </c>
      <c r="C146" t="s">
        <v>240</v>
      </c>
      <c r="E146" s="2">
        <v>3503000206001</v>
      </c>
      <c r="F146" s="1" t="s">
        <v>29</v>
      </c>
      <c r="G146" s="1" t="s">
        <v>53</v>
      </c>
      <c r="H146" s="1" t="s">
        <v>398</v>
      </c>
      <c r="I146" s="1" t="s">
        <v>399</v>
      </c>
      <c r="J146" s="1" t="s">
        <v>46</v>
      </c>
      <c r="K146" t="s">
        <v>34</v>
      </c>
      <c r="M146" s="1" t="s">
        <v>35</v>
      </c>
      <c r="N146" s="1">
        <v>42318949</v>
      </c>
      <c r="O146" s="1" t="s">
        <v>36</v>
      </c>
      <c r="P146" s="186">
        <v>44459.548831018517</v>
      </c>
      <c r="R146" s="1" t="s">
        <v>38</v>
      </c>
      <c r="T146" s="1" t="s">
        <v>74</v>
      </c>
      <c r="U146" s="186">
        <v>44460.548831018517</v>
      </c>
      <c r="V146" s="1" t="s">
        <v>41</v>
      </c>
      <c r="W146" s="1" t="s">
        <v>49</v>
      </c>
      <c r="X146" s="13" t="str">
        <f>IF(RIGHT(H146,2)&lt;&gt;"00",H146,"")</f>
        <v/>
      </c>
      <c r="Y146" s="2">
        <f ca="1">NETWORKDAYS(P146,$Y$1)</f>
        <v>378</v>
      </c>
      <c r="Z146" s="14">
        <v>1</v>
      </c>
      <c r="AA146" s="1" t="str">
        <f t="shared" ca="1" si="10"/>
        <v>VENCIDO</v>
      </c>
      <c r="AB146" s="1" t="str">
        <f t="shared" si="11"/>
        <v>Dosa</v>
      </c>
      <c r="AC146" s="2" t="str">
        <f t="shared" si="14"/>
        <v xml:space="preserve"> CLEITON </v>
      </c>
      <c r="AD146" s="2">
        <f t="shared" si="12"/>
        <v>5</v>
      </c>
      <c r="AE146" s="2">
        <f t="shared" ca="1" si="13"/>
        <v>-526.12744062500133</v>
      </c>
      <c r="AF146" s="15"/>
    </row>
    <row r="147" spans="1:32" hidden="1">
      <c r="A147" s="1">
        <v>7726555</v>
      </c>
      <c r="B147" s="1" t="s">
        <v>81</v>
      </c>
      <c r="C147" t="s">
        <v>240</v>
      </c>
      <c r="E147" s="2">
        <v>1620000206001</v>
      </c>
      <c r="F147" s="1" t="s">
        <v>29</v>
      </c>
      <c r="G147" s="1" t="s">
        <v>53</v>
      </c>
      <c r="H147" s="1" t="s">
        <v>402</v>
      </c>
      <c r="I147" s="1" t="s">
        <v>403</v>
      </c>
      <c r="J147" s="1" t="s">
        <v>46</v>
      </c>
      <c r="K147" t="s">
        <v>34</v>
      </c>
      <c r="M147" s="1" t="s">
        <v>35</v>
      </c>
      <c r="N147" s="1">
        <v>42318949</v>
      </c>
      <c r="O147" s="1" t="s">
        <v>36</v>
      </c>
      <c r="P147" s="186">
        <v>44459.548831018517</v>
      </c>
      <c r="R147" s="1" t="s">
        <v>38</v>
      </c>
      <c r="T147" s="1" t="s">
        <v>74</v>
      </c>
      <c r="U147" s="186">
        <v>44460.548831018517</v>
      </c>
      <c r="V147" s="1" t="s">
        <v>41</v>
      </c>
      <c r="W147" s="1" t="s">
        <v>49</v>
      </c>
      <c r="X147" s="13" t="str">
        <f>IF(RIGHT(H147,2)&lt;&gt;"00",H147,"")</f>
        <v/>
      </c>
      <c r="Y147" s="2">
        <f ca="1">NETWORKDAYS(P147,$Y$1)</f>
        <v>378</v>
      </c>
      <c r="Z147" s="14">
        <v>1</v>
      </c>
      <c r="AA147" s="1" t="str">
        <f t="shared" ca="1" si="10"/>
        <v>VENCIDO</v>
      </c>
      <c r="AB147" s="1" t="str">
        <f t="shared" si="11"/>
        <v>Dosa</v>
      </c>
      <c r="AC147" s="2" t="str">
        <f t="shared" si="14"/>
        <v xml:space="preserve"> CLEITON </v>
      </c>
      <c r="AD147" s="2">
        <f t="shared" si="12"/>
        <v>5</v>
      </c>
      <c r="AE147" s="2">
        <f t="shared" ca="1" si="13"/>
        <v>-526.12744062500133</v>
      </c>
      <c r="AF147" s="15"/>
    </row>
    <row r="148" spans="1:32" hidden="1">
      <c r="A148" s="1">
        <v>7726553</v>
      </c>
      <c r="B148" s="1" t="s">
        <v>81</v>
      </c>
      <c r="C148" t="s">
        <v>240</v>
      </c>
      <c r="E148" s="2">
        <v>67000206001</v>
      </c>
      <c r="F148" s="1" t="s">
        <v>29</v>
      </c>
      <c r="G148" s="1" t="s">
        <v>53</v>
      </c>
      <c r="H148" s="1" t="s">
        <v>404</v>
      </c>
      <c r="I148" s="1" t="s">
        <v>405</v>
      </c>
      <c r="J148" s="1" t="s">
        <v>164</v>
      </c>
      <c r="K148" t="s">
        <v>34</v>
      </c>
      <c r="M148" s="1" t="s">
        <v>35</v>
      </c>
      <c r="N148" s="1">
        <v>42318949</v>
      </c>
      <c r="O148" s="1" t="s">
        <v>36</v>
      </c>
      <c r="P148" s="186">
        <v>44459.548831018517</v>
      </c>
      <c r="R148" s="1" t="s">
        <v>38</v>
      </c>
      <c r="T148" s="1" t="s">
        <v>74</v>
      </c>
      <c r="U148" s="186">
        <v>44460.548831018517</v>
      </c>
      <c r="V148" s="1" t="s">
        <v>41</v>
      </c>
      <c r="W148" s="1" t="s">
        <v>49</v>
      </c>
      <c r="X148" s="13" t="str">
        <f>IF(RIGHT(H148,2)&lt;&gt;"00",H148,"")</f>
        <v/>
      </c>
      <c r="Y148" s="2">
        <f ca="1">NETWORKDAYS(P148,$Y$1)</f>
        <v>378</v>
      </c>
      <c r="Z148" s="14">
        <v>1</v>
      </c>
      <c r="AA148" s="1" t="str">
        <f t="shared" ca="1" si="10"/>
        <v>VENCIDO</v>
      </c>
      <c r="AB148" s="1" t="str">
        <f t="shared" si="11"/>
        <v>Dosa</v>
      </c>
      <c r="AC148" s="2" t="str">
        <f t="shared" si="14"/>
        <v xml:space="preserve"> ROSEMERE </v>
      </c>
      <c r="AD148" s="2">
        <f t="shared" si="12"/>
        <v>5</v>
      </c>
      <c r="AE148" s="2">
        <f t="shared" ca="1" si="13"/>
        <v>-526.12744062500133</v>
      </c>
      <c r="AF148" s="15"/>
    </row>
    <row r="149" spans="1:32" hidden="1">
      <c r="A149" s="1">
        <v>7726552</v>
      </c>
      <c r="B149" s="1" t="s">
        <v>81</v>
      </c>
      <c r="C149" t="s">
        <v>240</v>
      </c>
      <c r="E149" s="2">
        <v>4997000206001</v>
      </c>
      <c r="F149" s="1" t="s">
        <v>29</v>
      </c>
      <c r="G149" s="1" t="s">
        <v>53</v>
      </c>
      <c r="H149" s="1" t="s">
        <v>406</v>
      </c>
      <c r="I149" s="1" t="s">
        <v>407</v>
      </c>
      <c r="J149" s="1" t="s">
        <v>79</v>
      </c>
      <c r="K149" t="s">
        <v>34</v>
      </c>
      <c r="M149" s="1" t="s">
        <v>35</v>
      </c>
      <c r="N149" s="1">
        <v>42318949</v>
      </c>
      <c r="O149" s="1" t="s">
        <v>36</v>
      </c>
      <c r="P149" s="186">
        <v>44459.548831018517</v>
      </c>
      <c r="R149" s="1" t="s">
        <v>38</v>
      </c>
      <c r="T149" s="1" t="s">
        <v>74</v>
      </c>
      <c r="U149" s="186">
        <v>44460.548831018517</v>
      </c>
      <c r="V149" s="1" t="s">
        <v>41</v>
      </c>
      <c r="W149" s="1" t="s">
        <v>49</v>
      </c>
      <c r="X149" s="13" t="str">
        <f>IF(RIGHT(H149,2)&lt;&gt;"00",H149,"")</f>
        <v/>
      </c>
      <c r="Y149" s="2">
        <f ca="1">NETWORKDAYS(P149,$Y$1)</f>
        <v>378</v>
      </c>
      <c r="Z149" s="14">
        <v>1</v>
      </c>
      <c r="AA149" s="1" t="str">
        <f t="shared" ca="1" si="10"/>
        <v>VENCIDO</v>
      </c>
      <c r="AB149" s="1" t="str">
        <f t="shared" si="11"/>
        <v>Dosa</v>
      </c>
      <c r="AC149" s="2" t="str">
        <f t="shared" si="14"/>
        <v xml:space="preserve"> ROSEMERE </v>
      </c>
      <c r="AD149" s="2">
        <f t="shared" si="12"/>
        <v>5</v>
      </c>
      <c r="AE149" s="2">
        <f t="shared" ca="1" si="13"/>
        <v>-526.12744062500133</v>
      </c>
      <c r="AF149" s="15"/>
    </row>
    <row r="150" spans="1:32" hidden="1">
      <c r="A150" s="1">
        <v>7726550</v>
      </c>
      <c r="B150" s="1" t="s">
        <v>81</v>
      </c>
      <c r="C150" t="s">
        <v>240</v>
      </c>
      <c r="E150" s="2">
        <v>4118000206001</v>
      </c>
      <c r="F150" s="1" t="s">
        <v>29</v>
      </c>
      <c r="G150" s="1" t="s">
        <v>53</v>
      </c>
      <c r="H150" s="1" t="s">
        <v>71</v>
      </c>
      <c r="I150" s="1" t="s">
        <v>72</v>
      </c>
      <c r="J150" s="1" t="s">
        <v>46</v>
      </c>
      <c r="K150" t="s">
        <v>34</v>
      </c>
      <c r="M150" s="1" t="s">
        <v>35</v>
      </c>
      <c r="N150" s="1">
        <v>42318949</v>
      </c>
      <c r="O150" s="1" t="s">
        <v>36</v>
      </c>
      <c r="P150" s="186">
        <v>44459.548831018517</v>
      </c>
      <c r="R150" s="1" t="s">
        <v>38</v>
      </c>
      <c r="T150" s="1" t="s">
        <v>74</v>
      </c>
      <c r="U150" s="186">
        <v>44460.548831018517</v>
      </c>
      <c r="V150" s="1" t="s">
        <v>41</v>
      </c>
      <c r="W150" s="1" t="s">
        <v>49</v>
      </c>
      <c r="X150" s="13" t="str">
        <f>IF(RIGHT(H150,2)&lt;&gt;"00",H150,"")</f>
        <v/>
      </c>
      <c r="Y150" s="2">
        <f ca="1">NETWORKDAYS(P150,$Y$1)</f>
        <v>378</v>
      </c>
      <c r="Z150" s="14">
        <v>1</v>
      </c>
      <c r="AA150" s="1" t="str">
        <f t="shared" ca="1" si="10"/>
        <v>VENCIDO</v>
      </c>
      <c r="AB150" s="1" t="str">
        <f t="shared" si="11"/>
        <v>Dosa</v>
      </c>
      <c r="AC150" s="2" t="str">
        <f t="shared" si="14"/>
        <v xml:space="preserve"> CLEITON </v>
      </c>
      <c r="AD150" s="2">
        <f t="shared" si="12"/>
        <v>5</v>
      </c>
      <c r="AE150" s="2">
        <f t="shared" ca="1" si="13"/>
        <v>-526.12744062500133</v>
      </c>
      <c r="AF150" s="15"/>
    </row>
    <row r="151" spans="1:32" hidden="1">
      <c r="A151" s="1">
        <v>7726549</v>
      </c>
      <c r="B151" s="1" t="s">
        <v>81</v>
      </c>
      <c r="C151" t="s">
        <v>240</v>
      </c>
      <c r="E151" s="2">
        <v>1245000206001</v>
      </c>
      <c r="F151" s="1" t="s">
        <v>29</v>
      </c>
      <c r="G151" s="1" t="s">
        <v>53</v>
      </c>
      <c r="H151" s="1" t="s">
        <v>408</v>
      </c>
      <c r="I151" s="1" t="s">
        <v>409</v>
      </c>
      <c r="J151" s="1" t="s">
        <v>46</v>
      </c>
      <c r="K151" t="s">
        <v>34</v>
      </c>
      <c r="M151" s="1" t="s">
        <v>35</v>
      </c>
      <c r="N151" s="1">
        <v>42318949</v>
      </c>
      <c r="O151" s="1" t="s">
        <v>36</v>
      </c>
      <c r="P151" s="186">
        <v>44459.548819444448</v>
      </c>
      <c r="R151" s="1" t="s">
        <v>38</v>
      </c>
      <c r="T151" s="1" t="s">
        <v>74</v>
      </c>
      <c r="U151" s="186">
        <v>44460.548819444448</v>
      </c>
      <c r="V151" s="1" t="s">
        <v>41</v>
      </c>
      <c r="W151" s="1" t="s">
        <v>49</v>
      </c>
      <c r="X151" s="13" t="str">
        <f>IF(RIGHT(H151,2)&lt;&gt;"00",H151,"")</f>
        <v/>
      </c>
      <c r="Y151" s="2">
        <f ca="1">NETWORKDAYS(P151,$Y$1)</f>
        <v>378</v>
      </c>
      <c r="Z151" s="14">
        <v>1</v>
      </c>
      <c r="AA151" s="1" t="str">
        <f t="shared" ca="1" si="10"/>
        <v>VENCIDO</v>
      </c>
      <c r="AB151" s="1" t="str">
        <f t="shared" si="11"/>
        <v>Dosa</v>
      </c>
      <c r="AC151" s="2" t="str">
        <f t="shared" si="14"/>
        <v xml:space="preserve"> CLEITON </v>
      </c>
      <c r="AD151" s="2">
        <f t="shared" si="12"/>
        <v>5</v>
      </c>
      <c r="AE151" s="2">
        <f t="shared" ca="1" si="13"/>
        <v>-526.12745219907083</v>
      </c>
      <c r="AF151" s="15"/>
    </row>
    <row r="152" spans="1:32" hidden="1">
      <c r="A152" s="1">
        <v>7726548</v>
      </c>
      <c r="B152" s="1" t="s">
        <v>81</v>
      </c>
      <c r="C152" t="s">
        <v>240</v>
      </c>
      <c r="E152" s="2">
        <v>981000206001</v>
      </c>
      <c r="F152" s="1" t="s">
        <v>29</v>
      </c>
      <c r="G152" s="1" t="s">
        <v>53</v>
      </c>
      <c r="H152" s="1" t="s">
        <v>410</v>
      </c>
      <c r="I152" s="1" t="s">
        <v>411</v>
      </c>
      <c r="J152" s="1" t="s">
        <v>85</v>
      </c>
      <c r="K152" t="s">
        <v>34</v>
      </c>
      <c r="M152" s="1" t="s">
        <v>35</v>
      </c>
      <c r="N152" s="1">
        <v>42318949</v>
      </c>
      <c r="O152" s="1" t="s">
        <v>36</v>
      </c>
      <c r="P152" s="186">
        <v>44459.548819444448</v>
      </c>
      <c r="R152" s="1" t="s">
        <v>38</v>
      </c>
      <c r="T152" s="1" t="s">
        <v>74</v>
      </c>
      <c r="U152" s="186">
        <v>44460.548819444448</v>
      </c>
      <c r="V152" s="1" t="s">
        <v>41</v>
      </c>
      <c r="W152" s="1" t="s">
        <v>49</v>
      </c>
      <c r="X152" s="13" t="str">
        <f>IF(RIGHT(H152,2)&lt;&gt;"00",H152,"")</f>
        <v/>
      </c>
      <c r="Y152" s="2">
        <f ca="1">NETWORKDAYS(P152,$Y$1)</f>
        <v>378</v>
      </c>
      <c r="Z152" s="14">
        <v>1</v>
      </c>
      <c r="AA152" s="1" t="str">
        <f t="shared" ca="1" si="10"/>
        <v>VENCIDO</v>
      </c>
      <c r="AB152" s="1" t="str">
        <f t="shared" si="11"/>
        <v>Dosa</v>
      </c>
      <c r="AC152" s="2" t="str">
        <f t="shared" si="14"/>
        <v xml:space="preserve"> RINALDO </v>
      </c>
      <c r="AD152" s="2">
        <f t="shared" si="12"/>
        <v>5</v>
      </c>
      <c r="AE152" s="2">
        <f t="shared" ca="1" si="13"/>
        <v>-526.12745219907083</v>
      </c>
      <c r="AF152" s="15"/>
    </row>
    <row r="153" spans="1:32" hidden="1">
      <c r="A153" s="1">
        <v>7726545</v>
      </c>
      <c r="B153" s="1" t="s">
        <v>81</v>
      </c>
      <c r="C153" t="s">
        <v>240</v>
      </c>
      <c r="E153" s="2">
        <v>5816000206001</v>
      </c>
      <c r="F153" s="1" t="s">
        <v>29</v>
      </c>
      <c r="G153" s="1" t="s">
        <v>53</v>
      </c>
      <c r="H153" s="1" t="s">
        <v>412</v>
      </c>
      <c r="I153" s="1" t="s">
        <v>413</v>
      </c>
      <c r="J153" s="1" t="s">
        <v>46</v>
      </c>
      <c r="K153" t="s">
        <v>34</v>
      </c>
      <c r="M153" s="1" t="s">
        <v>35</v>
      </c>
      <c r="N153" s="1">
        <v>42318949</v>
      </c>
      <c r="O153" s="1" t="s">
        <v>36</v>
      </c>
      <c r="P153" s="186">
        <v>44459.548819444448</v>
      </c>
      <c r="R153" s="1" t="s">
        <v>38</v>
      </c>
      <c r="T153" s="1" t="s">
        <v>74</v>
      </c>
      <c r="U153" s="186">
        <v>44460.548819444448</v>
      </c>
      <c r="V153" s="1" t="s">
        <v>41</v>
      </c>
      <c r="W153" s="1" t="s">
        <v>49</v>
      </c>
      <c r="X153" s="13" t="str">
        <f>IF(RIGHT(H153,2)&lt;&gt;"00",H153,"")</f>
        <v/>
      </c>
      <c r="Y153" s="2">
        <f ca="1">NETWORKDAYS(P153,$Y$1)</f>
        <v>378</v>
      </c>
      <c r="Z153" s="14">
        <v>1</v>
      </c>
      <c r="AA153" s="1" t="str">
        <f t="shared" ca="1" si="10"/>
        <v>VENCIDO</v>
      </c>
      <c r="AB153" s="1" t="str">
        <f t="shared" si="11"/>
        <v>Dosa</v>
      </c>
      <c r="AC153" s="2" t="str">
        <f t="shared" si="14"/>
        <v xml:space="preserve"> CLEITON </v>
      </c>
      <c r="AD153" s="2">
        <f t="shared" si="12"/>
        <v>5</v>
      </c>
      <c r="AE153" s="2">
        <f t="shared" ca="1" si="13"/>
        <v>-526.12745219907083</v>
      </c>
      <c r="AF153" s="15"/>
    </row>
    <row r="154" spans="1:32" hidden="1">
      <c r="A154" s="1">
        <v>7726543</v>
      </c>
      <c r="B154" s="1" t="s">
        <v>81</v>
      </c>
      <c r="C154" t="s">
        <v>240</v>
      </c>
      <c r="E154" s="2">
        <v>1666000206001</v>
      </c>
      <c r="F154" s="1" t="s">
        <v>29</v>
      </c>
      <c r="G154" s="1" t="s">
        <v>53</v>
      </c>
      <c r="H154" s="1" t="s">
        <v>414</v>
      </c>
      <c r="I154" s="1" t="s">
        <v>415</v>
      </c>
      <c r="J154" s="1" t="s">
        <v>79</v>
      </c>
      <c r="K154" t="s">
        <v>34</v>
      </c>
      <c r="M154" s="1" t="s">
        <v>35</v>
      </c>
      <c r="N154" s="1">
        <v>42318949</v>
      </c>
      <c r="O154" s="1" t="s">
        <v>36</v>
      </c>
      <c r="P154" s="186">
        <v>44459.548819444448</v>
      </c>
      <c r="R154" s="1" t="s">
        <v>38</v>
      </c>
      <c r="T154" s="1" t="s">
        <v>74</v>
      </c>
      <c r="U154" s="186">
        <v>44460.548819444448</v>
      </c>
      <c r="V154" s="1" t="s">
        <v>41</v>
      </c>
      <c r="W154" s="1" t="s">
        <v>49</v>
      </c>
      <c r="X154" s="13" t="str">
        <f>IF(RIGHT(H154,2)&lt;&gt;"00",H154,"")</f>
        <v/>
      </c>
      <c r="Y154" s="2">
        <f ca="1">NETWORKDAYS(P154,$Y$1)</f>
        <v>378</v>
      </c>
      <c r="Z154" s="14">
        <v>1</v>
      </c>
      <c r="AA154" s="1" t="str">
        <f t="shared" ca="1" si="10"/>
        <v>VENCIDO</v>
      </c>
      <c r="AB154" s="1" t="str">
        <f t="shared" si="11"/>
        <v>Dosa</v>
      </c>
      <c r="AC154" s="2" t="str">
        <f t="shared" si="14"/>
        <v xml:space="preserve"> ROSEMERE </v>
      </c>
      <c r="AD154" s="2">
        <f t="shared" si="12"/>
        <v>5</v>
      </c>
      <c r="AE154" s="2">
        <f t="shared" ca="1" si="13"/>
        <v>-526.12745219907083</v>
      </c>
      <c r="AF154" s="15"/>
    </row>
    <row r="155" spans="1:32" hidden="1">
      <c r="A155" s="1">
        <v>7726541</v>
      </c>
      <c r="B155" s="1" t="s">
        <v>81</v>
      </c>
      <c r="C155" t="s">
        <v>240</v>
      </c>
      <c r="E155" s="2">
        <v>1739000206001</v>
      </c>
      <c r="F155" s="1" t="s">
        <v>29</v>
      </c>
      <c r="G155" s="1" t="s">
        <v>53</v>
      </c>
      <c r="H155" s="1" t="s">
        <v>162</v>
      </c>
      <c r="I155" s="1" t="s">
        <v>163</v>
      </c>
      <c r="J155" s="1" t="s">
        <v>164</v>
      </c>
      <c r="K155" t="s">
        <v>34</v>
      </c>
      <c r="M155" s="1" t="s">
        <v>35</v>
      </c>
      <c r="N155" s="1">
        <v>42318949</v>
      </c>
      <c r="O155" s="1" t="s">
        <v>36</v>
      </c>
      <c r="P155" s="186">
        <v>44459.548807870371</v>
      </c>
      <c r="R155" s="1" t="s">
        <v>38</v>
      </c>
      <c r="T155" s="1" t="s">
        <v>74</v>
      </c>
      <c r="U155" s="186">
        <v>44460.548807870371</v>
      </c>
      <c r="V155" s="1" t="s">
        <v>41</v>
      </c>
      <c r="W155" s="1" t="s">
        <v>49</v>
      </c>
      <c r="X155" s="13" t="str">
        <f>IF(RIGHT(H155,2)&lt;&gt;"00",H155,"")</f>
        <v/>
      </c>
      <c r="Y155" s="2">
        <f ca="1">NETWORKDAYS(P155,$Y$1)</f>
        <v>378</v>
      </c>
      <c r="Z155" s="14">
        <v>1</v>
      </c>
      <c r="AA155" s="1" t="str">
        <f t="shared" ca="1" si="10"/>
        <v>VENCIDO</v>
      </c>
      <c r="AB155" s="1" t="str">
        <f t="shared" si="11"/>
        <v>Dosa</v>
      </c>
      <c r="AC155" s="2" t="str">
        <f t="shared" si="14"/>
        <v xml:space="preserve"> ROSEMERE </v>
      </c>
      <c r="AD155" s="2">
        <f t="shared" si="12"/>
        <v>5</v>
      </c>
      <c r="AE155" s="2">
        <f t="shared" ca="1" si="13"/>
        <v>-526.12746377314761</v>
      </c>
      <c r="AF155" s="15"/>
    </row>
    <row r="156" spans="1:32" hidden="1">
      <c r="A156" s="1">
        <v>7726540</v>
      </c>
      <c r="B156" s="1" t="s">
        <v>81</v>
      </c>
      <c r="C156" t="s">
        <v>240</v>
      </c>
      <c r="E156" s="2">
        <v>2437000206001</v>
      </c>
      <c r="F156" s="1" t="s">
        <v>29</v>
      </c>
      <c r="G156" s="1" t="s">
        <v>53</v>
      </c>
      <c r="H156" s="1" t="s">
        <v>416</v>
      </c>
      <c r="I156" s="1" t="s">
        <v>417</v>
      </c>
      <c r="J156" s="1" t="s">
        <v>211</v>
      </c>
      <c r="K156" t="s">
        <v>34</v>
      </c>
      <c r="M156" s="1" t="s">
        <v>35</v>
      </c>
      <c r="N156" s="1">
        <v>42318949</v>
      </c>
      <c r="O156" s="1" t="s">
        <v>36</v>
      </c>
      <c r="P156" s="186">
        <v>44459.548807870371</v>
      </c>
      <c r="R156" s="1" t="s">
        <v>38</v>
      </c>
      <c r="T156" s="1" t="s">
        <v>74</v>
      </c>
      <c r="U156" s="186">
        <v>44460.548807870371</v>
      </c>
      <c r="V156" s="1" t="s">
        <v>41</v>
      </c>
      <c r="W156" s="1" t="s">
        <v>49</v>
      </c>
      <c r="X156" s="13" t="str">
        <f>IF(RIGHT(H156,2)&lt;&gt;"00",H156,"")</f>
        <v/>
      </c>
      <c r="Y156" s="2">
        <f ca="1">NETWORKDAYS(P156,$Y$1)</f>
        <v>378</v>
      </c>
      <c r="Z156" s="14">
        <v>1</v>
      </c>
      <c r="AA156" s="1" t="str">
        <f t="shared" ca="1" si="10"/>
        <v>VENCIDO</v>
      </c>
      <c r="AB156" s="1" t="str">
        <f t="shared" si="11"/>
        <v>Dosa</v>
      </c>
      <c r="AC156" s="2" t="str">
        <f t="shared" si="14"/>
        <v xml:space="preserve"> RINALDO </v>
      </c>
      <c r="AD156" s="2">
        <f t="shared" si="12"/>
        <v>5</v>
      </c>
      <c r="AE156" s="2">
        <f t="shared" ca="1" si="13"/>
        <v>-526.12746377314761</v>
      </c>
      <c r="AF156" s="15"/>
    </row>
    <row r="157" spans="1:32" hidden="1">
      <c r="A157" s="1">
        <v>7726539</v>
      </c>
      <c r="B157" s="1" t="s">
        <v>81</v>
      </c>
      <c r="C157" t="s">
        <v>240</v>
      </c>
      <c r="E157" s="2">
        <v>2889000206001</v>
      </c>
      <c r="F157" s="1" t="s">
        <v>29</v>
      </c>
      <c r="G157" s="1" t="s">
        <v>53</v>
      </c>
      <c r="H157" s="1" t="s">
        <v>418</v>
      </c>
      <c r="I157" s="1" t="s">
        <v>419</v>
      </c>
      <c r="J157" s="1" t="s">
        <v>46</v>
      </c>
      <c r="K157" t="s">
        <v>34</v>
      </c>
      <c r="M157" s="1" t="s">
        <v>35</v>
      </c>
      <c r="N157" s="1">
        <v>42318949</v>
      </c>
      <c r="O157" s="1" t="s">
        <v>36</v>
      </c>
      <c r="P157" s="186">
        <v>44459.548807870371</v>
      </c>
      <c r="R157" s="1" t="s">
        <v>38</v>
      </c>
      <c r="T157" s="1" t="s">
        <v>74</v>
      </c>
      <c r="U157" s="186">
        <v>44460.548807870371</v>
      </c>
      <c r="V157" s="1" t="s">
        <v>41</v>
      </c>
      <c r="W157" s="1" t="s">
        <v>49</v>
      </c>
      <c r="X157" s="13" t="str">
        <f>IF(RIGHT(H157,2)&lt;&gt;"00",H157,"")</f>
        <v/>
      </c>
      <c r="Y157" s="2">
        <f ca="1">NETWORKDAYS(P157,$Y$1)</f>
        <v>378</v>
      </c>
      <c r="Z157" s="14">
        <v>1</v>
      </c>
      <c r="AA157" s="1" t="str">
        <f t="shared" ca="1" si="10"/>
        <v>VENCIDO</v>
      </c>
      <c r="AB157" s="1" t="str">
        <f t="shared" si="11"/>
        <v>Dosa</v>
      </c>
      <c r="AC157" s="2" t="str">
        <f t="shared" si="14"/>
        <v xml:space="preserve"> CLEITON </v>
      </c>
      <c r="AD157" s="2">
        <f t="shared" si="12"/>
        <v>5</v>
      </c>
      <c r="AE157" s="2">
        <f t="shared" ca="1" si="13"/>
        <v>-526.12746377314761</v>
      </c>
      <c r="AF157" s="15"/>
    </row>
    <row r="158" spans="1:32" hidden="1">
      <c r="A158" s="1">
        <v>7726538</v>
      </c>
      <c r="B158" s="1" t="s">
        <v>81</v>
      </c>
      <c r="C158" t="s">
        <v>240</v>
      </c>
      <c r="E158" s="2">
        <v>605000206001</v>
      </c>
      <c r="F158" s="1" t="s">
        <v>29</v>
      </c>
      <c r="G158" s="1" t="s">
        <v>53</v>
      </c>
      <c r="H158" s="1" t="s">
        <v>420</v>
      </c>
      <c r="I158" s="1" t="s">
        <v>421</v>
      </c>
      <c r="J158" s="1" t="s">
        <v>90</v>
      </c>
      <c r="K158" t="s">
        <v>34</v>
      </c>
      <c r="M158" s="1" t="s">
        <v>35</v>
      </c>
      <c r="N158" s="1">
        <v>42318949</v>
      </c>
      <c r="O158" s="1" t="s">
        <v>36</v>
      </c>
      <c r="P158" s="186">
        <v>44459.548807870371</v>
      </c>
      <c r="R158" s="1" t="s">
        <v>38</v>
      </c>
      <c r="T158" s="1" t="s">
        <v>74</v>
      </c>
      <c r="U158" s="186">
        <v>44460.548807870371</v>
      </c>
      <c r="V158" s="1" t="s">
        <v>41</v>
      </c>
      <c r="W158" s="1" t="s">
        <v>49</v>
      </c>
      <c r="X158" s="13" t="str">
        <f>IF(RIGHT(H158,2)&lt;&gt;"00",H158,"")</f>
        <v/>
      </c>
      <c r="Y158" s="2">
        <f ca="1">NETWORKDAYS(P158,$Y$1)</f>
        <v>378</v>
      </c>
      <c r="Z158" s="14">
        <v>1</v>
      </c>
      <c r="AA158" s="1" t="str">
        <f t="shared" ca="1" si="10"/>
        <v>VENCIDO</v>
      </c>
      <c r="AB158" s="1" t="str">
        <f t="shared" si="11"/>
        <v>Dosa</v>
      </c>
      <c r="AC158" s="2" t="str">
        <f t="shared" si="14"/>
        <v xml:space="preserve"> RINALDO </v>
      </c>
      <c r="AD158" s="2">
        <f t="shared" si="12"/>
        <v>5</v>
      </c>
      <c r="AE158" s="2">
        <f t="shared" ca="1" si="13"/>
        <v>-526.12746377314761</v>
      </c>
      <c r="AF158" s="15"/>
    </row>
    <row r="159" spans="1:32" hidden="1">
      <c r="A159" s="1">
        <v>7726534</v>
      </c>
      <c r="B159" s="1" t="s">
        <v>81</v>
      </c>
      <c r="C159" t="s">
        <v>240</v>
      </c>
      <c r="E159" s="2">
        <v>721000206001</v>
      </c>
      <c r="F159" s="1" t="s">
        <v>29</v>
      </c>
      <c r="G159" s="1" t="s">
        <v>53</v>
      </c>
      <c r="H159" s="1" t="s">
        <v>422</v>
      </c>
      <c r="I159" s="1" t="s">
        <v>423</v>
      </c>
      <c r="J159" s="1" t="s">
        <v>79</v>
      </c>
      <c r="K159" t="s">
        <v>34</v>
      </c>
      <c r="M159" s="1" t="s">
        <v>35</v>
      </c>
      <c r="N159" s="1">
        <v>42318949</v>
      </c>
      <c r="O159" s="1" t="s">
        <v>36</v>
      </c>
      <c r="P159" s="186">
        <v>44459.548796296294</v>
      </c>
      <c r="R159" s="1" t="s">
        <v>38</v>
      </c>
      <c r="T159" s="1" t="s">
        <v>74</v>
      </c>
      <c r="U159" s="186">
        <v>44460.548796296294</v>
      </c>
      <c r="V159" s="1" t="s">
        <v>41</v>
      </c>
      <c r="W159" s="1" t="s">
        <v>49</v>
      </c>
      <c r="X159" s="13" t="str">
        <f>IF(RIGHT(H159,2)&lt;&gt;"00",H159,"")</f>
        <v/>
      </c>
      <c r="Y159" s="2">
        <f ca="1">NETWORKDAYS(P159,$Y$1)</f>
        <v>378</v>
      </c>
      <c r="Z159" s="14">
        <v>1</v>
      </c>
      <c r="AA159" s="1" t="str">
        <f t="shared" ca="1" si="10"/>
        <v>VENCIDO</v>
      </c>
      <c r="AB159" s="1" t="str">
        <f t="shared" si="11"/>
        <v>Dosa</v>
      </c>
      <c r="AC159" s="2" t="str">
        <f t="shared" si="14"/>
        <v xml:space="preserve"> ROSEMERE </v>
      </c>
      <c r="AD159" s="2">
        <f t="shared" si="12"/>
        <v>5</v>
      </c>
      <c r="AE159" s="2">
        <f t="shared" ca="1" si="13"/>
        <v>-526.12747534722439</v>
      </c>
      <c r="AF159" s="15"/>
    </row>
    <row r="160" spans="1:32" hidden="1">
      <c r="A160" s="1">
        <v>7726532</v>
      </c>
      <c r="B160" s="1" t="s">
        <v>81</v>
      </c>
      <c r="C160" t="s">
        <v>240</v>
      </c>
      <c r="E160" s="2">
        <v>233000206001</v>
      </c>
      <c r="F160" s="1" t="s">
        <v>29</v>
      </c>
      <c r="G160" s="1" t="s">
        <v>53</v>
      </c>
      <c r="H160" s="1" t="s">
        <v>424</v>
      </c>
      <c r="I160" s="1" t="s">
        <v>425</v>
      </c>
      <c r="J160" s="1" t="s">
        <v>261</v>
      </c>
      <c r="K160" t="s">
        <v>34</v>
      </c>
      <c r="M160" s="1" t="s">
        <v>35</v>
      </c>
      <c r="N160" s="1">
        <v>42318949</v>
      </c>
      <c r="O160" s="1" t="s">
        <v>36</v>
      </c>
      <c r="P160" s="186">
        <v>44459.548796296294</v>
      </c>
      <c r="R160" s="1" t="s">
        <v>38</v>
      </c>
      <c r="T160" s="1" t="s">
        <v>74</v>
      </c>
      <c r="U160" s="186">
        <v>44460.548796296294</v>
      </c>
      <c r="V160" s="1" t="s">
        <v>41</v>
      </c>
      <c r="W160" s="1" t="s">
        <v>49</v>
      </c>
      <c r="X160" s="13" t="str">
        <f>IF(RIGHT(H160,2)&lt;&gt;"00",H160,"")</f>
        <v/>
      </c>
      <c r="Y160" s="2">
        <f ca="1">NETWORKDAYS(P160,$Y$1)</f>
        <v>378</v>
      </c>
      <c r="Z160" s="14">
        <v>1</v>
      </c>
      <c r="AA160" s="1" t="str">
        <f t="shared" ca="1" si="10"/>
        <v>VENCIDO</v>
      </c>
      <c r="AB160" s="1" t="str">
        <f t="shared" si="11"/>
        <v>Dosa</v>
      </c>
      <c r="AC160" s="2" t="str">
        <f t="shared" si="14"/>
        <v xml:space="preserve"> CRISTINA </v>
      </c>
      <c r="AD160" s="2">
        <f t="shared" si="12"/>
        <v>5</v>
      </c>
      <c r="AE160" s="2">
        <f t="shared" ca="1" si="13"/>
        <v>-526.12747534722439</v>
      </c>
      <c r="AF160" s="15"/>
    </row>
    <row r="161" spans="1:32" hidden="1">
      <c r="A161" s="1">
        <v>7726531</v>
      </c>
      <c r="B161" s="1" t="s">
        <v>81</v>
      </c>
      <c r="C161" t="s">
        <v>240</v>
      </c>
      <c r="E161" s="2">
        <v>4076000206001</v>
      </c>
      <c r="F161" s="1" t="s">
        <v>29</v>
      </c>
      <c r="G161" s="1" t="s">
        <v>53</v>
      </c>
      <c r="H161" s="1" t="s">
        <v>426</v>
      </c>
      <c r="I161" s="1" t="s">
        <v>427</v>
      </c>
      <c r="J161" s="1" t="s">
        <v>79</v>
      </c>
      <c r="K161" t="s">
        <v>34</v>
      </c>
      <c r="M161" s="1" t="s">
        <v>35</v>
      </c>
      <c r="N161" s="1">
        <v>42318949</v>
      </c>
      <c r="O161" s="1" t="s">
        <v>36</v>
      </c>
      <c r="P161" s="186">
        <v>44459.548796296294</v>
      </c>
      <c r="R161" s="1" t="s">
        <v>38</v>
      </c>
      <c r="T161" s="1" t="s">
        <v>74</v>
      </c>
      <c r="U161" s="186">
        <v>44460.548796296294</v>
      </c>
      <c r="V161" s="1" t="s">
        <v>41</v>
      </c>
      <c r="W161" s="1" t="s">
        <v>49</v>
      </c>
      <c r="X161" s="13" t="str">
        <f>IF(RIGHT(H161,2)&lt;&gt;"00",H161,"")</f>
        <v/>
      </c>
      <c r="Y161" s="2">
        <f ca="1">NETWORKDAYS(P161,$Y$1)</f>
        <v>378</v>
      </c>
      <c r="Z161" s="14">
        <v>1</v>
      </c>
      <c r="AA161" s="1" t="str">
        <f t="shared" ca="1" si="10"/>
        <v>VENCIDO</v>
      </c>
      <c r="AB161" s="1" t="str">
        <f t="shared" si="11"/>
        <v>Dosa</v>
      </c>
      <c r="AC161" s="2" t="str">
        <f t="shared" si="14"/>
        <v xml:space="preserve"> ROSEMERE </v>
      </c>
      <c r="AD161" s="2">
        <f t="shared" si="12"/>
        <v>5</v>
      </c>
      <c r="AE161" s="2">
        <f t="shared" ca="1" si="13"/>
        <v>-526.12747534722439</v>
      </c>
      <c r="AF161" s="15"/>
    </row>
    <row r="162" spans="1:32" hidden="1">
      <c r="A162" s="1">
        <v>7726528</v>
      </c>
      <c r="B162" s="1" t="s">
        <v>81</v>
      </c>
      <c r="C162" t="s">
        <v>240</v>
      </c>
      <c r="E162" s="2">
        <v>934000206001</v>
      </c>
      <c r="F162" s="1" t="s">
        <v>29</v>
      </c>
      <c r="G162" s="1" t="s">
        <v>53</v>
      </c>
      <c r="H162" s="1" t="s">
        <v>428</v>
      </c>
      <c r="I162" s="1" t="s">
        <v>429</v>
      </c>
      <c r="J162" s="1" t="s">
        <v>46</v>
      </c>
      <c r="K162" t="s">
        <v>34</v>
      </c>
      <c r="M162" s="1" t="s">
        <v>35</v>
      </c>
      <c r="N162" s="1">
        <v>42318949</v>
      </c>
      <c r="O162" s="1" t="s">
        <v>36</v>
      </c>
      <c r="P162" s="186">
        <v>44459.548784722225</v>
      </c>
      <c r="R162" s="1" t="s">
        <v>38</v>
      </c>
      <c r="T162" s="1" t="s">
        <v>74</v>
      </c>
      <c r="U162" s="186">
        <v>44460.548784722225</v>
      </c>
      <c r="V162" s="1" t="s">
        <v>41</v>
      </c>
      <c r="W162" s="1" t="s">
        <v>49</v>
      </c>
      <c r="X162" s="13" t="str">
        <f>IF(RIGHT(H162,2)&lt;&gt;"00",H162,"")</f>
        <v/>
      </c>
      <c r="Y162" s="2">
        <f ca="1">NETWORKDAYS(P162,$Y$1)</f>
        <v>378</v>
      </c>
      <c r="Z162" s="14">
        <v>1</v>
      </c>
      <c r="AA162" s="1" t="str">
        <f t="shared" ca="1" si="10"/>
        <v>VENCIDO</v>
      </c>
      <c r="AB162" s="1" t="str">
        <f t="shared" si="11"/>
        <v>Dosa</v>
      </c>
      <c r="AC162" s="2" t="str">
        <f t="shared" si="14"/>
        <v xml:space="preserve"> CLEITON </v>
      </c>
      <c r="AD162" s="2">
        <f t="shared" si="12"/>
        <v>5</v>
      </c>
      <c r="AE162" s="2">
        <f t="shared" ca="1" si="13"/>
        <v>-526.12748692129389</v>
      </c>
      <c r="AF162" s="15"/>
    </row>
    <row r="163" spans="1:32" hidden="1">
      <c r="A163" s="1">
        <v>7726527</v>
      </c>
      <c r="B163" s="1" t="s">
        <v>81</v>
      </c>
      <c r="C163" t="s">
        <v>240</v>
      </c>
      <c r="E163" s="2">
        <v>5742000206001</v>
      </c>
      <c r="F163" s="1" t="s">
        <v>29</v>
      </c>
      <c r="G163" s="1" t="s">
        <v>53</v>
      </c>
      <c r="H163" s="1" t="s">
        <v>430</v>
      </c>
      <c r="I163" s="1" t="s">
        <v>431</v>
      </c>
      <c r="J163" s="1" t="s">
        <v>79</v>
      </c>
      <c r="K163" t="s">
        <v>34</v>
      </c>
      <c r="M163" s="1" t="s">
        <v>35</v>
      </c>
      <c r="N163" s="1">
        <v>42318949</v>
      </c>
      <c r="O163" s="1" t="s">
        <v>36</v>
      </c>
      <c r="P163" s="186">
        <v>44459.548784722225</v>
      </c>
      <c r="R163" s="1" t="s">
        <v>38</v>
      </c>
      <c r="T163" s="1" t="s">
        <v>74</v>
      </c>
      <c r="U163" s="186">
        <v>44460.548784722225</v>
      </c>
      <c r="V163" s="1" t="s">
        <v>41</v>
      </c>
      <c r="W163" s="1" t="s">
        <v>49</v>
      </c>
      <c r="X163" s="13" t="str">
        <f>IF(RIGHT(H163,2)&lt;&gt;"00",H163,"")</f>
        <v/>
      </c>
      <c r="Y163" s="2">
        <f ca="1">NETWORKDAYS(P163,$Y$1)</f>
        <v>378</v>
      </c>
      <c r="Z163" s="14">
        <v>1</v>
      </c>
      <c r="AA163" s="1" t="str">
        <f t="shared" ca="1" si="10"/>
        <v>VENCIDO</v>
      </c>
      <c r="AB163" s="1" t="str">
        <f t="shared" si="11"/>
        <v>Dosa</v>
      </c>
      <c r="AC163" s="2" t="str">
        <f t="shared" si="14"/>
        <v xml:space="preserve"> ROSEMERE </v>
      </c>
      <c r="AD163" s="2">
        <f t="shared" si="12"/>
        <v>5</v>
      </c>
      <c r="AE163" s="2">
        <f t="shared" ca="1" si="13"/>
        <v>-526.12748692129389</v>
      </c>
      <c r="AF163" s="15"/>
    </row>
    <row r="164" spans="1:32" hidden="1">
      <c r="A164" s="1">
        <v>7726525</v>
      </c>
      <c r="B164" s="1" t="s">
        <v>81</v>
      </c>
      <c r="C164" t="s">
        <v>240</v>
      </c>
      <c r="E164" s="2">
        <v>446000206001</v>
      </c>
      <c r="F164" s="1" t="s">
        <v>29</v>
      </c>
      <c r="G164" s="1" t="s">
        <v>53</v>
      </c>
      <c r="H164" s="1" t="s">
        <v>432</v>
      </c>
      <c r="I164" s="1" t="s">
        <v>433</v>
      </c>
      <c r="J164" s="1" t="s">
        <v>110</v>
      </c>
      <c r="K164" t="s">
        <v>34</v>
      </c>
      <c r="M164" s="1" t="s">
        <v>35</v>
      </c>
      <c r="N164" s="1">
        <v>42318949</v>
      </c>
      <c r="O164" s="1" t="s">
        <v>36</v>
      </c>
      <c r="P164" s="186">
        <v>44459.548784722225</v>
      </c>
      <c r="R164" s="1" t="s">
        <v>38</v>
      </c>
      <c r="T164" s="1" t="s">
        <v>74</v>
      </c>
      <c r="U164" s="186">
        <v>44460.548784722225</v>
      </c>
      <c r="V164" s="1" t="s">
        <v>41</v>
      </c>
      <c r="W164" s="1" t="s">
        <v>49</v>
      </c>
      <c r="X164" s="13" t="str">
        <f>IF(RIGHT(H164,2)&lt;&gt;"00",H164,"")</f>
        <v/>
      </c>
      <c r="Y164" s="2">
        <f ca="1">NETWORKDAYS(P164,$Y$1)</f>
        <v>378</v>
      </c>
      <c r="Z164" s="14">
        <v>1</v>
      </c>
      <c r="AA164" s="1" t="str">
        <f t="shared" ca="1" si="10"/>
        <v>VENCIDO</v>
      </c>
      <c r="AB164" s="1" t="str">
        <f t="shared" si="11"/>
        <v>Dosa</v>
      </c>
      <c r="AC164" s="2" t="str">
        <f t="shared" si="14"/>
        <v xml:space="preserve"> CRISTINA </v>
      </c>
      <c r="AD164" s="2">
        <f t="shared" si="12"/>
        <v>5</v>
      </c>
      <c r="AE164" s="2">
        <f t="shared" ca="1" si="13"/>
        <v>-526.12748692129389</v>
      </c>
      <c r="AF164" s="15"/>
    </row>
    <row r="165" spans="1:32" hidden="1">
      <c r="A165" s="1">
        <v>7726524</v>
      </c>
      <c r="B165" s="1" t="s">
        <v>81</v>
      </c>
      <c r="C165" t="s">
        <v>240</v>
      </c>
      <c r="E165" s="2">
        <v>570000206001</v>
      </c>
      <c r="F165" s="1" t="s">
        <v>29</v>
      </c>
      <c r="G165" s="1" t="s">
        <v>53</v>
      </c>
      <c r="H165" s="1" t="s">
        <v>434</v>
      </c>
      <c r="I165" s="1" t="s">
        <v>435</v>
      </c>
      <c r="J165" s="1" t="s">
        <v>148</v>
      </c>
      <c r="K165" t="s">
        <v>34</v>
      </c>
      <c r="M165" s="1" t="s">
        <v>35</v>
      </c>
      <c r="N165" s="1">
        <v>42318949</v>
      </c>
      <c r="O165" s="1" t="s">
        <v>36</v>
      </c>
      <c r="P165" s="186">
        <v>44459.548784722225</v>
      </c>
      <c r="R165" s="1" t="s">
        <v>38</v>
      </c>
      <c r="T165" s="1" t="s">
        <v>74</v>
      </c>
      <c r="U165" s="186">
        <v>44460.548784722225</v>
      </c>
      <c r="V165" s="1" t="s">
        <v>41</v>
      </c>
      <c r="W165" s="1" t="s">
        <v>49</v>
      </c>
      <c r="X165" s="13" t="str">
        <f>IF(RIGHT(H165,2)&lt;&gt;"00",H165,"")</f>
        <v/>
      </c>
      <c r="Y165" s="2">
        <f ca="1">NETWORKDAYS(P165,$Y$1)</f>
        <v>378</v>
      </c>
      <c r="Z165" s="14">
        <v>1</v>
      </c>
      <c r="AA165" s="1" t="str">
        <f t="shared" ca="1" si="10"/>
        <v>VENCIDO</v>
      </c>
      <c r="AB165" s="1" t="str">
        <f t="shared" si="11"/>
        <v>Dosa</v>
      </c>
      <c r="AC165" s="2" t="str">
        <f t="shared" si="14"/>
        <v xml:space="preserve"> RINALDO </v>
      </c>
      <c r="AD165" s="2">
        <f t="shared" si="12"/>
        <v>5</v>
      </c>
      <c r="AE165" s="2">
        <f t="shared" ca="1" si="13"/>
        <v>-526.12748692129389</v>
      </c>
      <c r="AF165" s="15"/>
    </row>
    <row r="166" spans="1:32" hidden="1">
      <c r="A166" s="1">
        <v>7726522</v>
      </c>
      <c r="B166" s="1" t="s">
        <v>81</v>
      </c>
      <c r="C166" t="s">
        <v>240</v>
      </c>
      <c r="E166" s="2">
        <v>917000206001</v>
      </c>
      <c r="F166" s="1" t="s">
        <v>29</v>
      </c>
      <c r="G166" s="1" t="s">
        <v>53</v>
      </c>
      <c r="H166" s="1" t="s">
        <v>83</v>
      </c>
      <c r="I166" s="1" t="s">
        <v>84</v>
      </c>
      <c r="J166" s="1" t="s">
        <v>85</v>
      </c>
      <c r="K166" t="s">
        <v>34</v>
      </c>
      <c r="M166" s="1" t="s">
        <v>35</v>
      </c>
      <c r="N166" s="1">
        <v>42318949</v>
      </c>
      <c r="O166" s="1" t="s">
        <v>36</v>
      </c>
      <c r="P166" s="186">
        <v>44459.548784722225</v>
      </c>
      <c r="R166" s="1" t="s">
        <v>38</v>
      </c>
      <c r="T166" s="1" t="s">
        <v>74</v>
      </c>
      <c r="U166" s="186">
        <v>44460.548784722225</v>
      </c>
      <c r="V166" s="1" t="s">
        <v>41</v>
      </c>
      <c r="W166" s="1" t="s">
        <v>49</v>
      </c>
      <c r="X166" s="13" t="str">
        <f>IF(RIGHT(H166,2)&lt;&gt;"00",H166,"")</f>
        <v/>
      </c>
      <c r="Y166" s="2">
        <f ca="1">NETWORKDAYS(P166,$Y$1)</f>
        <v>378</v>
      </c>
      <c r="Z166" s="14">
        <v>1</v>
      </c>
      <c r="AA166" s="1" t="str">
        <f t="shared" ca="1" si="10"/>
        <v>VENCIDO</v>
      </c>
      <c r="AB166" s="1" t="str">
        <f t="shared" si="11"/>
        <v>Dosa</v>
      </c>
      <c r="AC166" s="2" t="str">
        <f t="shared" si="14"/>
        <v xml:space="preserve"> RINALDO </v>
      </c>
      <c r="AD166" s="2">
        <f t="shared" si="12"/>
        <v>5</v>
      </c>
      <c r="AE166" s="2">
        <f t="shared" ca="1" si="13"/>
        <v>-526.12748692129389</v>
      </c>
      <c r="AF166" s="15"/>
    </row>
    <row r="167" spans="1:32" hidden="1">
      <c r="A167" s="1">
        <v>7726519</v>
      </c>
      <c r="B167" s="1" t="s">
        <v>81</v>
      </c>
      <c r="C167" t="s">
        <v>240</v>
      </c>
      <c r="E167" s="2">
        <v>608000206001</v>
      </c>
      <c r="F167" s="1" t="s">
        <v>29</v>
      </c>
      <c r="G167" s="1" t="s">
        <v>53</v>
      </c>
      <c r="H167" s="1" t="s">
        <v>438</v>
      </c>
      <c r="I167" s="1" t="s">
        <v>439</v>
      </c>
      <c r="J167" s="1" t="s">
        <v>148</v>
      </c>
      <c r="K167" t="s">
        <v>34</v>
      </c>
      <c r="M167" s="1" t="s">
        <v>35</v>
      </c>
      <c r="N167" s="1">
        <v>42318949</v>
      </c>
      <c r="O167" s="1" t="s">
        <v>36</v>
      </c>
      <c r="P167" s="186">
        <v>44459.548773148148</v>
      </c>
      <c r="R167" s="1" t="s">
        <v>38</v>
      </c>
      <c r="T167" s="1" t="s">
        <v>74</v>
      </c>
      <c r="U167" s="186">
        <v>44460.548773148148</v>
      </c>
      <c r="V167" s="1" t="s">
        <v>41</v>
      </c>
      <c r="W167" s="1" t="s">
        <v>49</v>
      </c>
      <c r="X167" s="13" t="str">
        <f>IF(RIGHT(H167,2)&lt;&gt;"00",H167,"")</f>
        <v/>
      </c>
      <c r="Y167" s="2">
        <f ca="1">NETWORKDAYS(P167,$Y$1)</f>
        <v>378</v>
      </c>
      <c r="Z167" s="14">
        <v>1</v>
      </c>
      <c r="AA167" s="1" t="str">
        <f t="shared" ca="1" si="10"/>
        <v>VENCIDO</v>
      </c>
      <c r="AB167" s="1" t="str">
        <f t="shared" si="11"/>
        <v>Dosa</v>
      </c>
      <c r="AC167" s="2" t="str">
        <f t="shared" si="14"/>
        <v xml:space="preserve"> RINALDO </v>
      </c>
      <c r="AD167" s="2">
        <f t="shared" si="12"/>
        <v>5</v>
      </c>
      <c r="AE167" s="2">
        <f t="shared" ca="1" si="13"/>
        <v>-526.12749849537067</v>
      </c>
      <c r="AF167" s="15"/>
    </row>
    <row r="168" spans="1:32" hidden="1">
      <c r="A168" s="1">
        <v>7726518</v>
      </c>
      <c r="B168" s="1" t="s">
        <v>81</v>
      </c>
      <c r="C168" t="s">
        <v>240</v>
      </c>
      <c r="E168" s="2">
        <v>537000206001</v>
      </c>
      <c r="F168" s="1" t="s">
        <v>29</v>
      </c>
      <c r="G168" s="1" t="s">
        <v>53</v>
      </c>
      <c r="H168" s="1" t="s">
        <v>442</v>
      </c>
      <c r="I168" s="1" t="s">
        <v>443</v>
      </c>
      <c r="J168" s="1" t="s">
        <v>79</v>
      </c>
      <c r="K168" t="s">
        <v>34</v>
      </c>
      <c r="M168" s="1" t="s">
        <v>35</v>
      </c>
      <c r="N168" s="1">
        <v>42318949</v>
      </c>
      <c r="O168" s="1" t="s">
        <v>36</v>
      </c>
      <c r="P168" s="186">
        <v>44459.548773148148</v>
      </c>
      <c r="R168" s="1" t="s">
        <v>38</v>
      </c>
      <c r="T168" s="1" t="s">
        <v>74</v>
      </c>
      <c r="U168" s="186">
        <v>44460.548773148148</v>
      </c>
      <c r="V168" s="1" t="s">
        <v>41</v>
      </c>
      <c r="W168" s="1" t="s">
        <v>49</v>
      </c>
      <c r="X168" s="13" t="str">
        <f>IF(RIGHT(H168,2)&lt;&gt;"00",H168,"")</f>
        <v/>
      </c>
      <c r="Y168" s="2">
        <f ca="1">NETWORKDAYS(P168,$Y$1)</f>
        <v>378</v>
      </c>
      <c r="Z168" s="14">
        <v>1</v>
      </c>
      <c r="AA168" s="1" t="str">
        <f t="shared" ca="1" si="10"/>
        <v>VENCIDO</v>
      </c>
      <c r="AB168" s="1" t="str">
        <f t="shared" si="11"/>
        <v>Dosa</v>
      </c>
      <c r="AC168" s="2" t="str">
        <f t="shared" si="14"/>
        <v xml:space="preserve"> ROSEMERE </v>
      </c>
      <c r="AD168" s="2">
        <f t="shared" si="12"/>
        <v>5</v>
      </c>
      <c r="AE168" s="2">
        <f t="shared" ca="1" si="13"/>
        <v>-526.12749849537067</v>
      </c>
      <c r="AF168" s="15"/>
    </row>
    <row r="169" spans="1:32" hidden="1">
      <c r="A169" s="1">
        <v>7726511</v>
      </c>
      <c r="B169" s="1" t="s">
        <v>81</v>
      </c>
      <c r="C169" t="s">
        <v>240</v>
      </c>
      <c r="E169" s="2">
        <v>594000206001</v>
      </c>
      <c r="F169" s="1" t="s">
        <v>29</v>
      </c>
      <c r="G169" s="1" t="s">
        <v>53</v>
      </c>
      <c r="H169" s="1" t="s">
        <v>444</v>
      </c>
      <c r="I169" s="1" t="s">
        <v>445</v>
      </c>
      <c r="J169" s="1" t="s">
        <v>33</v>
      </c>
      <c r="K169" t="s">
        <v>34</v>
      </c>
      <c r="M169" s="1" t="s">
        <v>35</v>
      </c>
      <c r="N169" s="1">
        <v>42318949</v>
      </c>
      <c r="O169" s="1" t="s">
        <v>36</v>
      </c>
      <c r="P169" s="186">
        <v>44459.548761574071</v>
      </c>
      <c r="R169" s="1" t="s">
        <v>38</v>
      </c>
      <c r="T169" s="1" t="s">
        <v>74</v>
      </c>
      <c r="U169" s="186">
        <v>44460.548761574071</v>
      </c>
      <c r="V169" s="1" t="s">
        <v>41</v>
      </c>
      <c r="W169" s="1" t="s">
        <v>42</v>
      </c>
      <c r="X169" s="13" t="str">
        <f>IF(RIGHT(H169,2)&lt;&gt;"00",H169,"")</f>
        <v/>
      </c>
      <c r="Y169" s="2">
        <f ca="1">NETWORKDAYS(P169,$Y$1)</f>
        <v>378</v>
      </c>
      <c r="Z169" s="14">
        <v>1</v>
      </c>
      <c r="AA169" s="1" t="str">
        <f t="shared" ca="1" si="10"/>
        <v>VENCIDO</v>
      </c>
      <c r="AB169" s="1" t="str">
        <f t="shared" si="11"/>
        <v>Dosa</v>
      </c>
      <c r="AC169" s="2" t="str">
        <f t="shared" si="14"/>
        <v xml:space="preserve"> ROSEMERE </v>
      </c>
      <c r="AD169" s="2">
        <f t="shared" si="12"/>
        <v>5</v>
      </c>
      <c r="AE169" s="2">
        <f t="shared" ca="1" si="13"/>
        <v>-526.12751006944745</v>
      </c>
      <c r="AF169" s="15"/>
    </row>
    <row r="170" spans="1:32" hidden="1">
      <c r="A170" s="1">
        <v>7726505</v>
      </c>
      <c r="B170" s="1" t="s">
        <v>81</v>
      </c>
      <c r="C170" t="s">
        <v>240</v>
      </c>
      <c r="E170" s="2">
        <v>2830000206001</v>
      </c>
      <c r="F170" s="1" t="s">
        <v>29</v>
      </c>
      <c r="G170" s="1" t="s">
        <v>53</v>
      </c>
      <c r="H170" s="1" t="s">
        <v>448</v>
      </c>
      <c r="I170" s="1" t="s">
        <v>449</v>
      </c>
      <c r="J170" s="1" t="s">
        <v>33</v>
      </c>
      <c r="K170" t="s">
        <v>34</v>
      </c>
      <c r="M170" s="1" t="s">
        <v>35</v>
      </c>
      <c r="N170" s="1">
        <v>42318949</v>
      </c>
      <c r="O170" s="1" t="s">
        <v>36</v>
      </c>
      <c r="P170" s="186">
        <v>44459.548761574071</v>
      </c>
      <c r="R170" s="1" t="s">
        <v>38</v>
      </c>
      <c r="T170" s="1" t="s">
        <v>74</v>
      </c>
      <c r="U170" s="186">
        <v>44460.548761574071</v>
      </c>
      <c r="V170" s="1" t="s">
        <v>41</v>
      </c>
      <c r="W170" s="1" t="s">
        <v>42</v>
      </c>
      <c r="X170" s="13" t="str">
        <f>IF(RIGHT(H170,2)&lt;&gt;"00",H170,"")</f>
        <v/>
      </c>
      <c r="Y170" s="2">
        <f ca="1">NETWORKDAYS(P170,$Y$1)</f>
        <v>378</v>
      </c>
      <c r="Z170" s="14">
        <v>1</v>
      </c>
      <c r="AA170" s="1" t="str">
        <f t="shared" ca="1" si="10"/>
        <v>VENCIDO</v>
      </c>
      <c r="AB170" s="1" t="str">
        <f t="shared" si="11"/>
        <v>Dosa</v>
      </c>
      <c r="AC170" s="2" t="str">
        <f t="shared" si="14"/>
        <v xml:space="preserve"> ROSEMERE </v>
      </c>
      <c r="AD170" s="2">
        <f t="shared" si="12"/>
        <v>5</v>
      </c>
      <c r="AE170" s="2">
        <f t="shared" ca="1" si="13"/>
        <v>-526.12751006944745</v>
      </c>
      <c r="AF170" s="15"/>
    </row>
    <row r="171" spans="1:32" hidden="1">
      <c r="A171" s="1">
        <v>7898328</v>
      </c>
      <c r="B171" s="1" t="s">
        <v>81</v>
      </c>
      <c r="C171" t="s">
        <v>450</v>
      </c>
      <c r="E171" s="2">
        <v>1664000206001</v>
      </c>
      <c r="F171" s="1" t="s">
        <v>29</v>
      </c>
      <c r="G171" s="1" t="s">
        <v>53</v>
      </c>
      <c r="H171" s="1" t="s">
        <v>307</v>
      </c>
      <c r="I171" s="1" t="s">
        <v>308</v>
      </c>
      <c r="J171" s="1" t="s">
        <v>164</v>
      </c>
      <c r="K171" t="s">
        <v>34</v>
      </c>
      <c r="M171" s="1" t="s">
        <v>35</v>
      </c>
      <c r="N171" s="1">
        <v>42318949</v>
      </c>
      <c r="O171" s="1" t="s">
        <v>36</v>
      </c>
      <c r="P171" s="186">
        <v>44466.810416666667</v>
      </c>
      <c r="R171" s="1" t="s">
        <v>38</v>
      </c>
      <c r="T171" s="1" t="s">
        <v>74</v>
      </c>
      <c r="U171" s="186">
        <v>44467.810416666667</v>
      </c>
      <c r="V171" s="1" t="s">
        <v>41</v>
      </c>
      <c r="W171" s="1" t="s">
        <v>49</v>
      </c>
      <c r="X171" s="13" t="str">
        <f>IF(RIGHT(H171,2)&lt;&gt;"00",H171,"")</f>
        <v/>
      </c>
      <c r="Y171" s="2">
        <f ca="1">NETWORKDAYS(P171,$Y$1)</f>
        <v>373</v>
      </c>
      <c r="Z171" s="14">
        <v>1</v>
      </c>
      <c r="AA171" s="1" t="str">
        <f t="shared" ca="1" si="10"/>
        <v>VENCIDO</v>
      </c>
      <c r="AB171" s="1" t="str">
        <f t="shared" si="11"/>
        <v>Dosa</v>
      </c>
      <c r="AC171" s="2" t="str">
        <f t="shared" si="14"/>
        <v xml:space="preserve"> ROSEMERE </v>
      </c>
      <c r="AD171" s="2">
        <f t="shared" si="12"/>
        <v>5</v>
      </c>
      <c r="AE171" s="2">
        <f t="shared" ca="1" si="13"/>
        <v>-518.86585497685155</v>
      </c>
      <c r="AF171" s="15"/>
    </row>
    <row r="172" spans="1:32" hidden="1">
      <c r="A172" s="1">
        <v>7898195</v>
      </c>
      <c r="B172" s="1" t="s">
        <v>81</v>
      </c>
      <c r="C172" t="s">
        <v>450</v>
      </c>
      <c r="E172" s="2">
        <v>2107000206001</v>
      </c>
      <c r="F172" s="1" t="s">
        <v>29</v>
      </c>
      <c r="G172" s="1" t="s">
        <v>53</v>
      </c>
      <c r="H172" s="1" t="s">
        <v>262</v>
      </c>
      <c r="I172" s="1" t="s">
        <v>263</v>
      </c>
      <c r="J172" s="1" t="s">
        <v>164</v>
      </c>
      <c r="K172" t="s">
        <v>34</v>
      </c>
      <c r="M172" s="1" t="s">
        <v>35</v>
      </c>
      <c r="N172" s="1">
        <v>42318949</v>
      </c>
      <c r="O172" s="1" t="s">
        <v>36</v>
      </c>
      <c r="P172" s="186">
        <v>44466.803553240738</v>
      </c>
      <c r="R172" s="1" t="s">
        <v>38</v>
      </c>
      <c r="T172" s="1" t="s">
        <v>74</v>
      </c>
      <c r="U172" s="186">
        <v>44467.803553240738</v>
      </c>
      <c r="V172" s="1" t="s">
        <v>41</v>
      </c>
      <c r="W172" s="1" t="s">
        <v>49</v>
      </c>
      <c r="X172" s="13" t="str">
        <f>IF(RIGHT(H172,2)&lt;&gt;"00",H172,"")</f>
        <v/>
      </c>
      <c r="Y172" s="2">
        <f ca="1">NETWORKDAYS(P172,$Y$1)</f>
        <v>373</v>
      </c>
      <c r="Z172" s="14">
        <v>1</v>
      </c>
      <c r="AA172" s="1" t="str">
        <f t="shared" ca="1" si="10"/>
        <v>VENCIDO</v>
      </c>
      <c r="AB172" s="1" t="str">
        <f t="shared" si="11"/>
        <v>Dosa</v>
      </c>
      <c r="AC172" s="2" t="str">
        <f t="shared" si="14"/>
        <v xml:space="preserve"> ROSEMERE </v>
      </c>
      <c r="AD172" s="2">
        <f t="shared" si="12"/>
        <v>5</v>
      </c>
      <c r="AE172" s="2">
        <f t="shared" ca="1" si="13"/>
        <v>-518.87271840278117</v>
      </c>
      <c r="AF172" s="15"/>
    </row>
    <row r="173" spans="1:32" hidden="1">
      <c r="A173" s="1">
        <v>7898176</v>
      </c>
      <c r="B173" s="1" t="s">
        <v>81</v>
      </c>
      <c r="C173" t="s">
        <v>450</v>
      </c>
      <c r="E173" s="2">
        <v>2559000206001</v>
      </c>
      <c r="F173" s="1" t="s">
        <v>29</v>
      </c>
      <c r="G173" s="1" t="s">
        <v>53</v>
      </c>
      <c r="H173" s="1" t="s">
        <v>259</v>
      </c>
      <c r="I173" s="1" t="s">
        <v>260</v>
      </c>
      <c r="J173" s="1" t="s">
        <v>261</v>
      </c>
      <c r="K173" t="s">
        <v>34</v>
      </c>
      <c r="M173" s="1" t="s">
        <v>35</v>
      </c>
      <c r="N173" s="1">
        <v>42318949</v>
      </c>
      <c r="O173" s="1" t="s">
        <v>36</v>
      </c>
      <c r="P173" s="186">
        <v>44466.803252314814</v>
      </c>
      <c r="R173" s="1" t="s">
        <v>38</v>
      </c>
      <c r="T173" s="1" t="s">
        <v>74</v>
      </c>
      <c r="U173" s="186">
        <v>44467.803252314814</v>
      </c>
      <c r="V173" s="1" t="s">
        <v>41</v>
      </c>
      <c r="W173" s="1" t="s">
        <v>49</v>
      </c>
      <c r="X173" s="13" t="str">
        <f>IF(RIGHT(H173,2)&lt;&gt;"00",H173,"")</f>
        <v/>
      </c>
      <c r="Y173" s="2">
        <f ca="1">NETWORKDAYS(P173,$Y$1)</f>
        <v>373</v>
      </c>
      <c r="Z173" s="14">
        <v>1</v>
      </c>
      <c r="AA173" s="1" t="str">
        <f t="shared" ca="1" si="10"/>
        <v>VENCIDO</v>
      </c>
      <c r="AB173" s="1" t="str">
        <f t="shared" si="11"/>
        <v>Dosa</v>
      </c>
      <c r="AC173" s="2" t="str">
        <f t="shared" si="14"/>
        <v xml:space="preserve"> CRISTINA </v>
      </c>
      <c r="AD173" s="2">
        <f t="shared" si="12"/>
        <v>5</v>
      </c>
      <c r="AE173" s="2">
        <f t="shared" ca="1" si="13"/>
        <v>-518.87301932870469</v>
      </c>
      <c r="AF173" s="15"/>
    </row>
    <row r="174" spans="1:32" hidden="1">
      <c r="A174" s="1">
        <v>7897993</v>
      </c>
      <c r="B174" s="1" t="s">
        <v>81</v>
      </c>
      <c r="C174" t="s">
        <v>450</v>
      </c>
      <c r="E174" s="2">
        <v>2564000206001</v>
      </c>
      <c r="F174" s="1" t="s">
        <v>29</v>
      </c>
      <c r="G174" s="1" t="s">
        <v>53</v>
      </c>
      <c r="H174" s="1" t="s">
        <v>255</v>
      </c>
      <c r="I174" s="1" t="s">
        <v>256</v>
      </c>
      <c r="J174" s="1" t="s">
        <v>164</v>
      </c>
      <c r="K174" t="s">
        <v>34</v>
      </c>
      <c r="M174" s="1" t="s">
        <v>35</v>
      </c>
      <c r="N174" s="1">
        <v>42318949</v>
      </c>
      <c r="O174" s="1" t="s">
        <v>36</v>
      </c>
      <c r="P174" s="186">
        <v>44466.802881944444</v>
      </c>
      <c r="R174" s="1" t="s">
        <v>38</v>
      </c>
      <c r="T174" s="1" t="s">
        <v>74</v>
      </c>
      <c r="U174" s="186">
        <v>44467.802881944444</v>
      </c>
      <c r="V174" s="1" t="s">
        <v>41</v>
      </c>
      <c r="W174" s="1" t="s">
        <v>49</v>
      </c>
      <c r="X174" s="13" t="str">
        <f>IF(RIGHT(H174,2)&lt;&gt;"00",H174,"")</f>
        <v/>
      </c>
      <c r="Y174" s="2">
        <f ca="1">NETWORKDAYS(P174,$Y$1)</f>
        <v>373</v>
      </c>
      <c r="Z174" s="14">
        <v>1</v>
      </c>
      <c r="AA174" s="1" t="str">
        <f t="shared" ca="1" si="10"/>
        <v>VENCIDO</v>
      </c>
      <c r="AB174" s="1" t="str">
        <f t="shared" si="11"/>
        <v>Dosa</v>
      </c>
      <c r="AC174" s="2" t="str">
        <f t="shared" si="14"/>
        <v xml:space="preserve"> ROSEMERE </v>
      </c>
      <c r="AD174" s="2">
        <f t="shared" si="12"/>
        <v>5</v>
      </c>
      <c r="AE174" s="2">
        <f t="shared" ca="1" si="13"/>
        <v>-518.87338969907432</v>
      </c>
      <c r="AF174" s="15"/>
    </row>
    <row r="175" spans="1:32" hidden="1">
      <c r="A175" s="1">
        <v>7973155</v>
      </c>
      <c r="B175" s="1" t="s">
        <v>62</v>
      </c>
      <c r="C175" t="s">
        <v>3574</v>
      </c>
      <c r="E175" s="2">
        <v>1836000203000</v>
      </c>
      <c r="F175" s="1" t="s">
        <v>454</v>
      </c>
      <c r="G175" s="1" t="s">
        <v>53</v>
      </c>
      <c r="H175" s="1" t="s">
        <v>455</v>
      </c>
      <c r="I175" s="1" t="s">
        <v>456</v>
      </c>
      <c r="J175" s="1" t="s">
        <v>46</v>
      </c>
      <c r="K175" t="s">
        <v>457</v>
      </c>
      <c r="M175" s="1" t="s">
        <v>58</v>
      </c>
      <c r="N175" s="1">
        <v>0</v>
      </c>
      <c r="O175" s="1" t="s">
        <v>105</v>
      </c>
      <c r="P175" s="186">
        <v>44469.974490740744</v>
      </c>
      <c r="R175" s="1" t="s">
        <v>38</v>
      </c>
      <c r="T175" s="1" t="s">
        <v>157</v>
      </c>
      <c r="U175" s="186">
        <v>44508.75</v>
      </c>
      <c r="V175" s="1" t="s">
        <v>41</v>
      </c>
      <c r="W175" s="1" t="s">
        <v>49</v>
      </c>
      <c r="X175" s="13" t="str">
        <f>IF(RIGHT(H175,2)&lt;&gt;"00",H175,"")</f>
        <v/>
      </c>
      <c r="Y175" s="2">
        <f ca="1">NETWORKDAYS(P175,$Y$1)</f>
        <v>370</v>
      </c>
      <c r="Z175" s="14">
        <v>1</v>
      </c>
      <c r="AA175" s="1" t="str">
        <f t="shared" ca="1" si="10"/>
        <v>VENCIDO</v>
      </c>
      <c r="AB175" s="1" t="str">
        <f t="shared" si="11"/>
        <v>C-14</v>
      </c>
      <c r="AC175" s="2" t="str">
        <f t="shared" si="14"/>
        <v xml:space="preserve"> CLEITON </v>
      </c>
      <c r="AD175" s="2">
        <f t="shared" si="12"/>
        <v>5</v>
      </c>
      <c r="AE175" s="2">
        <f t="shared" ca="1" si="13"/>
        <v>-477.9262716435187</v>
      </c>
      <c r="AF175" s="15"/>
    </row>
    <row r="176" spans="1:32" hidden="1">
      <c r="A176" s="1">
        <v>7973154</v>
      </c>
      <c r="B176" s="1" t="s">
        <v>62</v>
      </c>
      <c r="C176" t="s">
        <v>3574</v>
      </c>
      <c r="E176" s="2">
        <v>1836000203000</v>
      </c>
      <c r="F176" s="1" t="s">
        <v>454</v>
      </c>
      <c r="G176" s="1" t="s">
        <v>53</v>
      </c>
      <c r="H176" s="1" t="s">
        <v>455</v>
      </c>
      <c r="I176" s="1" t="s">
        <v>456</v>
      </c>
      <c r="J176" s="1" t="s">
        <v>46</v>
      </c>
      <c r="K176" t="s">
        <v>457</v>
      </c>
      <c r="M176" s="1" t="s">
        <v>58</v>
      </c>
      <c r="N176" s="1">
        <v>0</v>
      </c>
      <c r="O176" s="1" t="s">
        <v>105</v>
      </c>
      <c r="P176" s="186">
        <v>44469.974490740744</v>
      </c>
      <c r="R176" s="1" t="s">
        <v>38</v>
      </c>
      <c r="T176" s="1" t="s">
        <v>157</v>
      </c>
      <c r="U176" s="186">
        <v>44508.75</v>
      </c>
      <c r="V176" s="1" t="s">
        <v>41</v>
      </c>
      <c r="W176" s="1" t="s">
        <v>49</v>
      </c>
      <c r="X176" s="13" t="str">
        <f>IF(RIGHT(H176,2)&lt;&gt;"00",H176,"")</f>
        <v/>
      </c>
      <c r="Y176" s="2">
        <f ca="1">NETWORKDAYS(P176,$Y$1)</f>
        <v>370</v>
      </c>
      <c r="Z176" s="14">
        <v>1</v>
      </c>
      <c r="AA176" s="1" t="str">
        <f t="shared" ca="1" si="10"/>
        <v>VENCIDO</v>
      </c>
      <c r="AB176" s="1" t="str">
        <f t="shared" si="11"/>
        <v>C-14</v>
      </c>
      <c r="AC176" s="2" t="str">
        <f t="shared" si="14"/>
        <v xml:space="preserve"> CLEITON </v>
      </c>
      <c r="AD176" s="2">
        <f t="shared" si="12"/>
        <v>5</v>
      </c>
      <c r="AE176" s="2">
        <f t="shared" ca="1" si="13"/>
        <v>-477.9262716435187</v>
      </c>
      <c r="AF176" s="15"/>
    </row>
    <row r="177" spans="1:32" hidden="1">
      <c r="A177" s="1">
        <v>7973153</v>
      </c>
      <c r="B177" s="1" t="s">
        <v>62</v>
      </c>
      <c r="C177" t="s">
        <v>3574</v>
      </c>
      <c r="E177" s="2">
        <v>1836000203000</v>
      </c>
      <c r="F177" s="1" t="s">
        <v>454</v>
      </c>
      <c r="G177" s="1" t="s">
        <v>53</v>
      </c>
      <c r="H177" s="1" t="s">
        <v>455</v>
      </c>
      <c r="I177" s="1" t="s">
        <v>456</v>
      </c>
      <c r="J177" s="1" t="s">
        <v>46</v>
      </c>
      <c r="K177" t="s">
        <v>457</v>
      </c>
      <c r="M177" s="1" t="s">
        <v>58</v>
      </c>
      <c r="N177" s="1">
        <v>0</v>
      </c>
      <c r="O177" s="1" t="s">
        <v>105</v>
      </c>
      <c r="P177" s="186">
        <v>44469.974490740744</v>
      </c>
      <c r="R177" s="1" t="s">
        <v>38</v>
      </c>
      <c r="T177" s="1" t="s">
        <v>157</v>
      </c>
      <c r="U177" s="186">
        <v>44508.75</v>
      </c>
      <c r="V177" s="1" t="s">
        <v>41</v>
      </c>
      <c r="W177" s="1" t="s">
        <v>49</v>
      </c>
      <c r="X177" s="13" t="str">
        <f>IF(RIGHT(H177,2)&lt;&gt;"00",H177,"")</f>
        <v/>
      </c>
      <c r="Y177" s="2">
        <f ca="1">NETWORKDAYS(P177,$Y$1)</f>
        <v>370</v>
      </c>
      <c r="Z177" s="14">
        <v>1</v>
      </c>
      <c r="AA177" s="1" t="str">
        <f t="shared" ca="1" si="10"/>
        <v>VENCIDO</v>
      </c>
      <c r="AB177" s="1" t="str">
        <f t="shared" si="11"/>
        <v>C-14</v>
      </c>
      <c r="AC177" s="2" t="str">
        <f t="shared" si="14"/>
        <v xml:space="preserve"> CLEITON </v>
      </c>
      <c r="AD177" s="2">
        <f t="shared" si="12"/>
        <v>5</v>
      </c>
      <c r="AE177" s="2">
        <f t="shared" ca="1" si="13"/>
        <v>-477.9262716435187</v>
      </c>
      <c r="AF177" s="15"/>
    </row>
    <row r="178" spans="1:32" hidden="1">
      <c r="A178" s="1">
        <v>7973152</v>
      </c>
      <c r="B178" s="1" t="s">
        <v>62</v>
      </c>
      <c r="C178" t="s">
        <v>3574</v>
      </c>
      <c r="E178" s="2">
        <v>1836000203000</v>
      </c>
      <c r="F178" s="1" t="s">
        <v>454</v>
      </c>
      <c r="G178" s="1" t="s">
        <v>53</v>
      </c>
      <c r="H178" s="1" t="s">
        <v>455</v>
      </c>
      <c r="I178" s="1" t="s">
        <v>456</v>
      </c>
      <c r="J178" s="1" t="s">
        <v>46</v>
      </c>
      <c r="K178" t="s">
        <v>457</v>
      </c>
      <c r="M178" s="1" t="s">
        <v>58</v>
      </c>
      <c r="N178" s="1">
        <v>0</v>
      </c>
      <c r="O178" s="1" t="s">
        <v>105</v>
      </c>
      <c r="P178" s="186">
        <v>44469.974490740744</v>
      </c>
      <c r="R178" s="1" t="s">
        <v>38</v>
      </c>
      <c r="T178" s="1" t="s">
        <v>157</v>
      </c>
      <c r="U178" s="186">
        <v>44508.75</v>
      </c>
      <c r="V178" s="1" t="s">
        <v>41</v>
      </c>
      <c r="W178" s="1" t="s">
        <v>49</v>
      </c>
      <c r="X178" s="13" t="str">
        <f>IF(RIGHT(H178,2)&lt;&gt;"00",H178,"")</f>
        <v/>
      </c>
      <c r="Y178" s="2">
        <f ca="1">NETWORKDAYS(P178,$Y$1)</f>
        <v>370</v>
      </c>
      <c r="Z178" s="14">
        <v>1</v>
      </c>
      <c r="AA178" s="1" t="str">
        <f t="shared" ca="1" si="10"/>
        <v>VENCIDO</v>
      </c>
      <c r="AB178" s="1" t="str">
        <f t="shared" si="11"/>
        <v>C-14</v>
      </c>
      <c r="AC178" s="2" t="str">
        <f t="shared" si="14"/>
        <v xml:space="preserve"> CLEITON </v>
      </c>
      <c r="AD178" s="2">
        <f t="shared" si="12"/>
        <v>5</v>
      </c>
      <c r="AE178" s="2">
        <f t="shared" ca="1" si="13"/>
        <v>-477.9262716435187</v>
      </c>
      <c r="AF178" s="15"/>
    </row>
    <row r="179" spans="1:32" hidden="1">
      <c r="A179" s="1">
        <v>7973151</v>
      </c>
      <c r="B179" s="1" t="s">
        <v>62</v>
      </c>
      <c r="C179" t="s">
        <v>3574</v>
      </c>
      <c r="E179" s="2">
        <v>1836000203000</v>
      </c>
      <c r="F179" s="1" t="s">
        <v>454</v>
      </c>
      <c r="G179" s="1" t="s">
        <v>53</v>
      </c>
      <c r="H179" s="1" t="s">
        <v>455</v>
      </c>
      <c r="I179" s="1" t="s">
        <v>456</v>
      </c>
      <c r="J179" s="1" t="s">
        <v>46</v>
      </c>
      <c r="K179" t="s">
        <v>457</v>
      </c>
      <c r="M179" s="1" t="s">
        <v>58</v>
      </c>
      <c r="N179" s="1">
        <v>0</v>
      </c>
      <c r="O179" s="1" t="s">
        <v>105</v>
      </c>
      <c r="P179" s="186">
        <v>44469.974490740744</v>
      </c>
      <c r="R179" s="1" t="s">
        <v>38</v>
      </c>
      <c r="T179" s="1" t="s">
        <v>157</v>
      </c>
      <c r="U179" s="186">
        <v>44508.75</v>
      </c>
      <c r="V179" s="1" t="s">
        <v>41</v>
      </c>
      <c r="W179" s="1" t="s">
        <v>49</v>
      </c>
      <c r="X179" s="13" t="str">
        <f>IF(RIGHT(H179,2)&lt;&gt;"00",H179,"")</f>
        <v/>
      </c>
      <c r="Y179" s="2">
        <f ca="1">NETWORKDAYS(P179,$Y$1)</f>
        <v>370</v>
      </c>
      <c r="Z179" s="14">
        <v>1</v>
      </c>
      <c r="AA179" s="1" t="str">
        <f t="shared" ca="1" si="10"/>
        <v>VENCIDO</v>
      </c>
      <c r="AB179" s="1" t="str">
        <f t="shared" si="11"/>
        <v>C-14</v>
      </c>
      <c r="AC179" s="2" t="str">
        <f t="shared" si="14"/>
        <v xml:space="preserve"> CLEITON </v>
      </c>
      <c r="AD179" s="2">
        <f t="shared" si="12"/>
        <v>5</v>
      </c>
      <c r="AE179" s="2">
        <f t="shared" ca="1" si="13"/>
        <v>-477.9262716435187</v>
      </c>
      <c r="AF179" s="15"/>
    </row>
    <row r="180" spans="1:32" hidden="1">
      <c r="A180" s="1">
        <v>7973150</v>
      </c>
      <c r="B180" s="1" t="s">
        <v>62</v>
      </c>
      <c r="C180" t="s">
        <v>3574</v>
      </c>
      <c r="E180" s="2">
        <v>1836000203000</v>
      </c>
      <c r="F180" s="1" t="s">
        <v>454</v>
      </c>
      <c r="G180" s="1" t="s">
        <v>53</v>
      </c>
      <c r="H180" s="1" t="s">
        <v>455</v>
      </c>
      <c r="I180" s="1" t="s">
        <v>456</v>
      </c>
      <c r="J180" s="1" t="s">
        <v>46</v>
      </c>
      <c r="K180" t="s">
        <v>457</v>
      </c>
      <c r="M180" s="1" t="s">
        <v>58</v>
      </c>
      <c r="N180" s="1">
        <v>0</v>
      </c>
      <c r="O180" s="1" t="s">
        <v>105</v>
      </c>
      <c r="P180" s="186">
        <v>44469.974479166667</v>
      </c>
      <c r="R180" s="1" t="s">
        <v>38</v>
      </c>
      <c r="T180" s="1" t="s">
        <v>157</v>
      </c>
      <c r="U180" s="186">
        <v>44508.75</v>
      </c>
      <c r="V180" s="1" t="s">
        <v>41</v>
      </c>
      <c r="W180" s="1" t="s">
        <v>49</v>
      </c>
      <c r="X180" s="13" t="str">
        <f>IF(RIGHT(H180,2)&lt;&gt;"00",H180,"")</f>
        <v/>
      </c>
      <c r="Y180" s="2">
        <f ca="1">NETWORKDAYS(P180,$Y$1)</f>
        <v>370</v>
      </c>
      <c r="Z180" s="14">
        <v>1</v>
      </c>
      <c r="AA180" s="1" t="str">
        <f t="shared" ca="1" si="10"/>
        <v>VENCIDO</v>
      </c>
      <c r="AB180" s="1" t="str">
        <f t="shared" si="11"/>
        <v>C-14</v>
      </c>
      <c r="AC180" s="2" t="str">
        <f t="shared" si="14"/>
        <v xml:space="preserve"> CLEITON </v>
      </c>
      <c r="AD180" s="2">
        <f t="shared" si="12"/>
        <v>5</v>
      </c>
      <c r="AE180" s="2">
        <f t="shared" ca="1" si="13"/>
        <v>-477.9262716435187</v>
      </c>
      <c r="AF180" s="15"/>
    </row>
    <row r="181" spans="1:32" hidden="1">
      <c r="A181" s="1">
        <v>7973149</v>
      </c>
      <c r="B181" s="1" t="s">
        <v>62</v>
      </c>
      <c r="C181" t="s">
        <v>3574</v>
      </c>
      <c r="E181" s="2">
        <v>1836000203000</v>
      </c>
      <c r="F181" s="1" t="s">
        <v>454</v>
      </c>
      <c r="G181" s="1" t="s">
        <v>53</v>
      </c>
      <c r="H181" s="1" t="s">
        <v>455</v>
      </c>
      <c r="I181" s="1" t="s">
        <v>456</v>
      </c>
      <c r="J181" s="1" t="s">
        <v>46</v>
      </c>
      <c r="K181" t="s">
        <v>457</v>
      </c>
      <c r="M181" s="1" t="s">
        <v>58</v>
      </c>
      <c r="N181" s="1">
        <v>0</v>
      </c>
      <c r="O181" s="1" t="s">
        <v>105</v>
      </c>
      <c r="P181" s="186">
        <v>44469.974479166667</v>
      </c>
      <c r="R181" s="1" t="s">
        <v>38</v>
      </c>
      <c r="T181" s="1" t="s">
        <v>157</v>
      </c>
      <c r="U181" s="186">
        <v>44508.75</v>
      </c>
      <c r="V181" s="1" t="s">
        <v>41</v>
      </c>
      <c r="W181" s="1" t="s">
        <v>49</v>
      </c>
      <c r="X181" s="13" t="str">
        <f>IF(RIGHT(H181,2)&lt;&gt;"00",H181,"")</f>
        <v/>
      </c>
      <c r="Y181" s="2">
        <f ca="1">NETWORKDAYS(P181,$Y$1)</f>
        <v>370</v>
      </c>
      <c r="Z181" s="14">
        <v>1</v>
      </c>
      <c r="AA181" s="1" t="str">
        <f t="shared" ca="1" si="10"/>
        <v>VENCIDO</v>
      </c>
      <c r="AB181" s="1" t="str">
        <f t="shared" si="11"/>
        <v>C-14</v>
      </c>
      <c r="AC181" s="2" t="str">
        <f t="shared" si="14"/>
        <v xml:space="preserve"> CLEITON </v>
      </c>
      <c r="AD181" s="2">
        <f t="shared" si="12"/>
        <v>5</v>
      </c>
      <c r="AE181" s="2">
        <f t="shared" ca="1" si="13"/>
        <v>-477.9262716435187</v>
      </c>
      <c r="AF181" s="15"/>
    </row>
    <row r="182" spans="1:32" hidden="1">
      <c r="A182" s="1">
        <v>7973089</v>
      </c>
      <c r="B182" s="1" t="s">
        <v>62</v>
      </c>
      <c r="C182" t="s">
        <v>3574</v>
      </c>
      <c r="E182" s="2">
        <v>3242000203000</v>
      </c>
      <c r="F182" s="1" t="s">
        <v>454</v>
      </c>
      <c r="G182" s="1" t="s">
        <v>53</v>
      </c>
      <c r="H182" s="1" t="s">
        <v>461</v>
      </c>
      <c r="I182" s="1" t="s">
        <v>462</v>
      </c>
      <c r="J182" s="1" t="s">
        <v>46</v>
      </c>
      <c r="K182" t="s">
        <v>457</v>
      </c>
      <c r="M182" s="1" t="s">
        <v>58</v>
      </c>
      <c r="N182" s="1">
        <v>0</v>
      </c>
      <c r="O182" s="1" t="s">
        <v>105</v>
      </c>
      <c r="P182" s="186">
        <v>44469.974386574075</v>
      </c>
      <c r="R182" s="1" t="s">
        <v>38</v>
      </c>
      <c r="T182" s="1" t="s">
        <v>157</v>
      </c>
      <c r="U182" s="186">
        <v>44508.75</v>
      </c>
      <c r="V182" s="1" t="s">
        <v>41</v>
      </c>
      <c r="W182" s="1" t="s">
        <v>49</v>
      </c>
      <c r="X182" s="13" t="str">
        <f>IF(RIGHT(H182,2)&lt;&gt;"00",H182,"")</f>
        <v/>
      </c>
      <c r="Y182" s="2">
        <f ca="1">NETWORKDAYS(P182,$Y$1)</f>
        <v>370</v>
      </c>
      <c r="Z182" s="14">
        <v>1</v>
      </c>
      <c r="AA182" s="1" t="str">
        <f t="shared" ca="1" si="10"/>
        <v>VENCIDO</v>
      </c>
      <c r="AB182" s="1" t="str">
        <f t="shared" si="11"/>
        <v>C-14</v>
      </c>
      <c r="AC182" s="2" t="str">
        <f t="shared" si="14"/>
        <v xml:space="preserve"> CLEITON </v>
      </c>
      <c r="AD182" s="2">
        <f t="shared" si="12"/>
        <v>5</v>
      </c>
      <c r="AE182" s="2">
        <f t="shared" ca="1" si="13"/>
        <v>-477.9262716435187</v>
      </c>
      <c r="AF182" s="15"/>
    </row>
    <row r="183" spans="1:32" hidden="1">
      <c r="A183" s="1">
        <v>7973088</v>
      </c>
      <c r="B183" s="1" t="s">
        <v>62</v>
      </c>
      <c r="C183" t="s">
        <v>3574</v>
      </c>
      <c r="E183" s="2">
        <v>3242000203000</v>
      </c>
      <c r="F183" s="1" t="s">
        <v>454</v>
      </c>
      <c r="G183" s="1" t="s">
        <v>53</v>
      </c>
      <c r="H183" s="1" t="s">
        <v>461</v>
      </c>
      <c r="I183" s="1" t="s">
        <v>462</v>
      </c>
      <c r="J183" s="1" t="s">
        <v>46</v>
      </c>
      <c r="K183" t="s">
        <v>457</v>
      </c>
      <c r="M183" s="1" t="s">
        <v>58</v>
      </c>
      <c r="N183" s="1">
        <v>0</v>
      </c>
      <c r="O183" s="1" t="s">
        <v>105</v>
      </c>
      <c r="P183" s="186">
        <v>44469.974386574075</v>
      </c>
      <c r="R183" s="1" t="s">
        <v>38</v>
      </c>
      <c r="T183" s="1" t="s">
        <v>157</v>
      </c>
      <c r="U183" s="186">
        <v>44508.75</v>
      </c>
      <c r="V183" s="1" t="s">
        <v>41</v>
      </c>
      <c r="W183" s="1" t="s">
        <v>49</v>
      </c>
      <c r="X183" s="13" t="str">
        <f>IF(RIGHT(H183,2)&lt;&gt;"00",H183,"")</f>
        <v/>
      </c>
      <c r="Y183" s="2">
        <f ca="1">NETWORKDAYS(P183,$Y$1)</f>
        <v>370</v>
      </c>
      <c r="Z183" s="14">
        <v>1</v>
      </c>
      <c r="AA183" s="1" t="str">
        <f t="shared" ca="1" si="10"/>
        <v>VENCIDO</v>
      </c>
      <c r="AB183" s="1" t="str">
        <f t="shared" si="11"/>
        <v>C-14</v>
      </c>
      <c r="AC183" s="2" t="str">
        <f t="shared" si="14"/>
        <v xml:space="preserve"> CLEITON </v>
      </c>
      <c r="AD183" s="2">
        <f t="shared" si="12"/>
        <v>5</v>
      </c>
      <c r="AE183" s="2">
        <f t="shared" ca="1" si="13"/>
        <v>-477.9262716435187</v>
      </c>
      <c r="AF183" s="15"/>
    </row>
    <row r="184" spans="1:32" hidden="1">
      <c r="A184" s="1">
        <v>7973087</v>
      </c>
      <c r="B184" s="1" t="s">
        <v>62</v>
      </c>
      <c r="C184" t="s">
        <v>3574</v>
      </c>
      <c r="E184" s="2">
        <v>3242000203000</v>
      </c>
      <c r="F184" s="1" t="s">
        <v>454</v>
      </c>
      <c r="G184" s="1" t="s">
        <v>53</v>
      </c>
      <c r="H184" s="1" t="s">
        <v>461</v>
      </c>
      <c r="I184" s="1" t="s">
        <v>462</v>
      </c>
      <c r="J184" s="1" t="s">
        <v>46</v>
      </c>
      <c r="K184" t="s">
        <v>457</v>
      </c>
      <c r="M184" s="1" t="s">
        <v>58</v>
      </c>
      <c r="N184" s="1">
        <v>0</v>
      </c>
      <c r="O184" s="1" t="s">
        <v>105</v>
      </c>
      <c r="P184" s="186">
        <v>44469.974374999998</v>
      </c>
      <c r="R184" s="1" t="s">
        <v>38</v>
      </c>
      <c r="T184" s="1" t="s">
        <v>157</v>
      </c>
      <c r="U184" s="186">
        <v>44508.75</v>
      </c>
      <c r="V184" s="1" t="s">
        <v>41</v>
      </c>
      <c r="W184" s="1" t="s">
        <v>49</v>
      </c>
      <c r="X184" s="13" t="str">
        <f>IF(RIGHT(H184,2)&lt;&gt;"00",H184,"")</f>
        <v/>
      </c>
      <c r="Y184" s="2">
        <f ca="1">NETWORKDAYS(P184,$Y$1)</f>
        <v>370</v>
      </c>
      <c r="Z184" s="14">
        <v>1</v>
      </c>
      <c r="AA184" s="1" t="str">
        <f t="shared" ca="1" si="10"/>
        <v>VENCIDO</v>
      </c>
      <c r="AB184" s="1" t="str">
        <f t="shared" si="11"/>
        <v>C-14</v>
      </c>
      <c r="AC184" s="2" t="str">
        <f t="shared" si="14"/>
        <v xml:space="preserve"> CLEITON </v>
      </c>
      <c r="AD184" s="2">
        <f t="shared" si="12"/>
        <v>5</v>
      </c>
      <c r="AE184" s="2">
        <f t="shared" ca="1" si="13"/>
        <v>-477.9262716435187</v>
      </c>
      <c r="AF184" s="15"/>
    </row>
    <row r="185" spans="1:32" hidden="1">
      <c r="A185" s="1">
        <v>7973086</v>
      </c>
      <c r="B185" s="1" t="s">
        <v>62</v>
      </c>
      <c r="C185" t="s">
        <v>3574</v>
      </c>
      <c r="E185" s="2">
        <v>3242000203000</v>
      </c>
      <c r="F185" s="1" t="s">
        <v>454</v>
      </c>
      <c r="G185" s="1" t="s">
        <v>53</v>
      </c>
      <c r="H185" s="1" t="s">
        <v>461</v>
      </c>
      <c r="I185" s="1" t="s">
        <v>462</v>
      </c>
      <c r="J185" s="1" t="s">
        <v>46</v>
      </c>
      <c r="K185" t="s">
        <v>457</v>
      </c>
      <c r="M185" s="1" t="s">
        <v>58</v>
      </c>
      <c r="N185" s="1">
        <v>0</v>
      </c>
      <c r="O185" s="1" t="s">
        <v>105</v>
      </c>
      <c r="P185" s="186">
        <v>44469.974374999998</v>
      </c>
      <c r="R185" s="1" t="s">
        <v>38</v>
      </c>
      <c r="T185" s="1" t="s">
        <v>157</v>
      </c>
      <c r="U185" s="186">
        <v>44508.75</v>
      </c>
      <c r="V185" s="1" t="s">
        <v>41</v>
      </c>
      <c r="W185" s="1" t="s">
        <v>49</v>
      </c>
      <c r="X185" s="13" t="str">
        <f>IF(RIGHT(H185,2)&lt;&gt;"00",H185,"")</f>
        <v/>
      </c>
      <c r="Y185" s="2">
        <f ca="1">NETWORKDAYS(P185,$Y$1)</f>
        <v>370</v>
      </c>
      <c r="Z185" s="14">
        <v>1</v>
      </c>
      <c r="AA185" s="1" t="str">
        <f t="shared" ca="1" si="10"/>
        <v>VENCIDO</v>
      </c>
      <c r="AB185" s="1" t="str">
        <f t="shared" si="11"/>
        <v>C-14</v>
      </c>
      <c r="AC185" s="2" t="str">
        <f t="shared" si="14"/>
        <v xml:space="preserve"> CLEITON </v>
      </c>
      <c r="AD185" s="2">
        <f t="shared" si="12"/>
        <v>5</v>
      </c>
      <c r="AE185" s="2">
        <f t="shared" ca="1" si="13"/>
        <v>-477.9262716435187</v>
      </c>
      <c r="AF185" s="15"/>
    </row>
    <row r="186" spans="1:32" hidden="1">
      <c r="A186" s="1">
        <v>7973085</v>
      </c>
      <c r="B186" s="1" t="s">
        <v>62</v>
      </c>
      <c r="C186" t="s">
        <v>3574</v>
      </c>
      <c r="E186" s="2">
        <v>3242000203000</v>
      </c>
      <c r="F186" s="1" t="s">
        <v>454</v>
      </c>
      <c r="G186" s="1" t="s">
        <v>53</v>
      </c>
      <c r="H186" s="1" t="s">
        <v>461</v>
      </c>
      <c r="I186" s="1" t="s">
        <v>462</v>
      </c>
      <c r="J186" s="1" t="s">
        <v>46</v>
      </c>
      <c r="K186" t="s">
        <v>457</v>
      </c>
      <c r="M186" s="1" t="s">
        <v>58</v>
      </c>
      <c r="N186" s="1">
        <v>0</v>
      </c>
      <c r="O186" s="1" t="s">
        <v>105</v>
      </c>
      <c r="P186" s="186">
        <v>44469.974374999998</v>
      </c>
      <c r="R186" s="1" t="s">
        <v>38</v>
      </c>
      <c r="T186" s="1" t="s">
        <v>157</v>
      </c>
      <c r="U186" s="186">
        <v>44508.75</v>
      </c>
      <c r="V186" s="1" t="s">
        <v>41</v>
      </c>
      <c r="W186" s="1" t="s">
        <v>49</v>
      </c>
      <c r="X186" s="13" t="str">
        <f>IF(RIGHT(H186,2)&lt;&gt;"00",H186,"")</f>
        <v/>
      </c>
      <c r="Y186" s="2">
        <f ca="1">NETWORKDAYS(P186,$Y$1)</f>
        <v>370</v>
      </c>
      <c r="Z186" s="14">
        <v>1</v>
      </c>
      <c r="AA186" s="1" t="str">
        <f t="shared" ca="1" si="10"/>
        <v>VENCIDO</v>
      </c>
      <c r="AB186" s="1" t="str">
        <f t="shared" si="11"/>
        <v>C-14</v>
      </c>
      <c r="AC186" s="2" t="str">
        <f t="shared" si="14"/>
        <v xml:space="preserve"> CLEITON </v>
      </c>
      <c r="AD186" s="2">
        <f t="shared" si="12"/>
        <v>5</v>
      </c>
      <c r="AE186" s="2">
        <f t="shared" ca="1" si="13"/>
        <v>-477.9262716435187</v>
      </c>
      <c r="AF186" s="15"/>
    </row>
    <row r="187" spans="1:32" hidden="1">
      <c r="A187" s="1">
        <v>7970313</v>
      </c>
      <c r="B187" s="1" t="s">
        <v>62</v>
      </c>
      <c r="C187" t="s">
        <v>3574</v>
      </c>
      <c r="E187" s="2">
        <v>1833000203000</v>
      </c>
      <c r="F187" s="1" t="s">
        <v>454</v>
      </c>
      <c r="G187" s="1" t="s">
        <v>53</v>
      </c>
      <c r="H187" s="1" t="s">
        <v>369</v>
      </c>
      <c r="I187" s="1" t="s">
        <v>370</v>
      </c>
      <c r="J187" s="1" t="s">
        <v>46</v>
      </c>
      <c r="K187" t="s">
        <v>457</v>
      </c>
      <c r="M187" s="1" t="s">
        <v>58</v>
      </c>
      <c r="N187" s="1">
        <v>0</v>
      </c>
      <c r="O187" s="1" t="s">
        <v>105</v>
      </c>
      <c r="P187" s="186">
        <v>44469.857291666667</v>
      </c>
      <c r="R187" s="1" t="s">
        <v>38</v>
      </c>
      <c r="T187" s="1" t="s">
        <v>157</v>
      </c>
      <c r="U187" s="186">
        <v>44508.75</v>
      </c>
      <c r="V187" s="1" t="s">
        <v>41</v>
      </c>
      <c r="W187" s="1" t="s">
        <v>49</v>
      </c>
      <c r="X187" s="13" t="str">
        <f>IF(RIGHT(H187,2)&lt;&gt;"00",H187,"")</f>
        <v/>
      </c>
      <c r="Y187" s="2">
        <f ca="1">NETWORKDAYS(P187,$Y$1)</f>
        <v>370</v>
      </c>
      <c r="Z187" s="14">
        <v>1</v>
      </c>
      <c r="AA187" s="1" t="str">
        <f t="shared" ca="1" si="10"/>
        <v>VENCIDO</v>
      </c>
      <c r="AB187" s="1" t="str">
        <f t="shared" si="11"/>
        <v>C-14</v>
      </c>
      <c r="AC187" s="2" t="str">
        <f t="shared" si="14"/>
        <v xml:space="preserve"> CLEITON </v>
      </c>
      <c r="AD187" s="2">
        <f t="shared" si="12"/>
        <v>5</v>
      </c>
      <c r="AE187" s="2">
        <f t="shared" ca="1" si="13"/>
        <v>-477.9262716435187</v>
      </c>
      <c r="AF187" s="15"/>
    </row>
    <row r="188" spans="1:32" hidden="1">
      <c r="A188" s="1">
        <v>7970312</v>
      </c>
      <c r="B188" s="1" t="s">
        <v>62</v>
      </c>
      <c r="C188" t="s">
        <v>3574</v>
      </c>
      <c r="E188" s="2">
        <v>1833000203000</v>
      </c>
      <c r="F188" s="1" t="s">
        <v>454</v>
      </c>
      <c r="G188" s="1" t="s">
        <v>53</v>
      </c>
      <c r="H188" s="1" t="s">
        <v>369</v>
      </c>
      <c r="I188" s="1" t="s">
        <v>370</v>
      </c>
      <c r="J188" s="1" t="s">
        <v>46</v>
      </c>
      <c r="K188" t="s">
        <v>457</v>
      </c>
      <c r="M188" s="1" t="s">
        <v>58</v>
      </c>
      <c r="N188" s="1">
        <v>0</v>
      </c>
      <c r="O188" s="1" t="s">
        <v>105</v>
      </c>
      <c r="P188" s="186">
        <v>44469.857291666667</v>
      </c>
      <c r="R188" s="1" t="s">
        <v>38</v>
      </c>
      <c r="T188" s="1" t="s">
        <v>157</v>
      </c>
      <c r="U188" s="186">
        <v>44508.75</v>
      </c>
      <c r="V188" s="1" t="s">
        <v>41</v>
      </c>
      <c r="W188" s="1" t="s">
        <v>49</v>
      </c>
      <c r="X188" s="13" t="str">
        <f>IF(RIGHT(H188,2)&lt;&gt;"00",H188,"")</f>
        <v/>
      </c>
      <c r="Y188" s="2">
        <f ca="1">NETWORKDAYS(P188,$Y$1)</f>
        <v>370</v>
      </c>
      <c r="Z188" s="14">
        <v>1</v>
      </c>
      <c r="AA188" s="1" t="str">
        <f t="shared" ca="1" si="10"/>
        <v>VENCIDO</v>
      </c>
      <c r="AB188" s="1" t="str">
        <f t="shared" si="11"/>
        <v>C-14</v>
      </c>
      <c r="AC188" s="2" t="str">
        <f t="shared" si="14"/>
        <v xml:space="preserve"> CLEITON </v>
      </c>
      <c r="AD188" s="2">
        <f t="shared" si="12"/>
        <v>5</v>
      </c>
      <c r="AE188" s="2">
        <f t="shared" ca="1" si="13"/>
        <v>-477.9262716435187</v>
      </c>
      <c r="AF188" s="15"/>
    </row>
    <row r="189" spans="1:32" hidden="1">
      <c r="A189" s="1">
        <v>7970311</v>
      </c>
      <c r="B189" s="1" t="s">
        <v>62</v>
      </c>
      <c r="C189" t="s">
        <v>3574</v>
      </c>
      <c r="E189" s="2">
        <v>1833000203000</v>
      </c>
      <c r="F189" s="1" t="s">
        <v>454</v>
      </c>
      <c r="G189" s="1" t="s">
        <v>53</v>
      </c>
      <c r="H189" s="1" t="s">
        <v>369</v>
      </c>
      <c r="I189" s="1" t="s">
        <v>370</v>
      </c>
      <c r="J189" s="1" t="s">
        <v>46</v>
      </c>
      <c r="K189" t="s">
        <v>457</v>
      </c>
      <c r="M189" s="1" t="s">
        <v>58</v>
      </c>
      <c r="N189" s="1">
        <v>0</v>
      </c>
      <c r="O189" s="1" t="s">
        <v>105</v>
      </c>
      <c r="P189" s="186">
        <v>44469.857291666667</v>
      </c>
      <c r="R189" s="1" t="s">
        <v>38</v>
      </c>
      <c r="T189" s="1" t="s">
        <v>157</v>
      </c>
      <c r="U189" s="186">
        <v>44508.75</v>
      </c>
      <c r="V189" s="1" t="s">
        <v>41</v>
      </c>
      <c r="W189" s="1" t="s">
        <v>49</v>
      </c>
      <c r="X189" s="13" t="str">
        <f>IF(RIGHT(H189,2)&lt;&gt;"00",H189,"")</f>
        <v/>
      </c>
      <c r="Y189" s="2">
        <f ca="1">NETWORKDAYS(P189,$Y$1)</f>
        <v>370</v>
      </c>
      <c r="Z189" s="14">
        <v>1</v>
      </c>
      <c r="AA189" s="1" t="str">
        <f t="shared" ca="1" si="10"/>
        <v>VENCIDO</v>
      </c>
      <c r="AB189" s="1" t="str">
        <f t="shared" si="11"/>
        <v>C-14</v>
      </c>
      <c r="AC189" s="2" t="str">
        <f t="shared" si="14"/>
        <v xml:space="preserve"> CLEITON </v>
      </c>
      <c r="AD189" s="2">
        <f t="shared" si="12"/>
        <v>5</v>
      </c>
      <c r="AE189" s="2">
        <f t="shared" ca="1" si="13"/>
        <v>-477.9262716435187</v>
      </c>
      <c r="AF189" s="15"/>
    </row>
    <row r="190" spans="1:32" hidden="1">
      <c r="A190" s="1">
        <v>7970310</v>
      </c>
      <c r="B190" s="1" t="s">
        <v>62</v>
      </c>
      <c r="C190" t="s">
        <v>3574</v>
      </c>
      <c r="E190" s="2">
        <v>1833000203000</v>
      </c>
      <c r="F190" s="1" t="s">
        <v>454</v>
      </c>
      <c r="G190" s="1" t="s">
        <v>53</v>
      </c>
      <c r="H190" s="1" t="s">
        <v>369</v>
      </c>
      <c r="I190" s="1" t="s">
        <v>370</v>
      </c>
      <c r="J190" s="1" t="s">
        <v>46</v>
      </c>
      <c r="K190" t="s">
        <v>457</v>
      </c>
      <c r="M190" s="1" t="s">
        <v>58</v>
      </c>
      <c r="N190" s="1">
        <v>0</v>
      </c>
      <c r="O190" s="1" t="s">
        <v>105</v>
      </c>
      <c r="P190" s="186">
        <v>44469.857291666667</v>
      </c>
      <c r="R190" s="1" t="s">
        <v>38</v>
      </c>
      <c r="T190" s="1" t="s">
        <v>157</v>
      </c>
      <c r="U190" s="186">
        <v>44508.75</v>
      </c>
      <c r="V190" s="1" t="s">
        <v>41</v>
      </c>
      <c r="W190" s="1" t="s">
        <v>49</v>
      </c>
      <c r="X190" s="13" t="str">
        <f>IF(RIGHT(H190,2)&lt;&gt;"00",H190,"")</f>
        <v/>
      </c>
      <c r="Y190" s="2">
        <f ca="1">NETWORKDAYS(P190,$Y$1)</f>
        <v>370</v>
      </c>
      <c r="Z190" s="14">
        <v>1</v>
      </c>
      <c r="AA190" s="1" t="str">
        <f t="shared" ca="1" si="10"/>
        <v>VENCIDO</v>
      </c>
      <c r="AB190" s="1" t="str">
        <f t="shared" si="11"/>
        <v>C-14</v>
      </c>
      <c r="AC190" s="2" t="str">
        <f t="shared" si="14"/>
        <v xml:space="preserve"> CLEITON </v>
      </c>
      <c r="AD190" s="2">
        <f t="shared" si="12"/>
        <v>5</v>
      </c>
      <c r="AE190" s="2">
        <f t="shared" ca="1" si="13"/>
        <v>-477.9262716435187</v>
      </c>
      <c r="AF190" s="15"/>
    </row>
    <row r="191" spans="1:32" hidden="1">
      <c r="A191" s="1">
        <v>7970309</v>
      </c>
      <c r="B191" s="1" t="s">
        <v>62</v>
      </c>
      <c r="C191" t="s">
        <v>3574</v>
      </c>
      <c r="E191" s="2">
        <v>1833000203000</v>
      </c>
      <c r="F191" s="1" t="s">
        <v>454</v>
      </c>
      <c r="G191" s="1" t="s">
        <v>53</v>
      </c>
      <c r="H191" s="1" t="s">
        <v>369</v>
      </c>
      <c r="I191" s="1" t="s">
        <v>370</v>
      </c>
      <c r="J191" s="1" t="s">
        <v>46</v>
      </c>
      <c r="K191" t="s">
        <v>457</v>
      </c>
      <c r="M191" s="1" t="s">
        <v>58</v>
      </c>
      <c r="N191" s="1">
        <v>0</v>
      </c>
      <c r="O191" s="1" t="s">
        <v>105</v>
      </c>
      <c r="P191" s="186">
        <v>44469.85728009259</v>
      </c>
      <c r="R191" s="1" t="s">
        <v>38</v>
      </c>
      <c r="T191" s="1" t="s">
        <v>157</v>
      </c>
      <c r="U191" s="186">
        <v>44508.75</v>
      </c>
      <c r="V191" s="1" t="s">
        <v>41</v>
      </c>
      <c r="W191" s="1" t="s">
        <v>49</v>
      </c>
      <c r="X191" s="13" t="str">
        <f>IF(RIGHT(H191,2)&lt;&gt;"00",H191,"")</f>
        <v/>
      </c>
      <c r="Y191" s="2">
        <f ca="1">NETWORKDAYS(P191,$Y$1)</f>
        <v>370</v>
      </c>
      <c r="Z191" s="14">
        <v>1</v>
      </c>
      <c r="AA191" s="1" t="str">
        <f t="shared" ca="1" si="10"/>
        <v>VENCIDO</v>
      </c>
      <c r="AB191" s="1" t="str">
        <f t="shared" si="11"/>
        <v>C-14</v>
      </c>
      <c r="AC191" s="2" t="str">
        <f t="shared" si="14"/>
        <v xml:space="preserve"> CLEITON </v>
      </c>
      <c r="AD191" s="2">
        <f t="shared" si="12"/>
        <v>5</v>
      </c>
      <c r="AE191" s="2">
        <f t="shared" ca="1" si="13"/>
        <v>-477.9262716435187</v>
      </c>
      <c r="AF191" s="15"/>
    </row>
    <row r="192" spans="1:32" hidden="1">
      <c r="A192" s="1">
        <v>7970308</v>
      </c>
      <c r="B192" s="1" t="s">
        <v>62</v>
      </c>
      <c r="C192" t="s">
        <v>3574</v>
      </c>
      <c r="E192" s="2">
        <v>1833000203000</v>
      </c>
      <c r="F192" s="1" t="s">
        <v>454</v>
      </c>
      <c r="G192" s="1" t="s">
        <v>53</v>
      </c>
      <c r="H192" s="1" t="s">
        <v>369</v>
      </c>
      <c r="I192" s="1" t="s">
        <v>370</v>
      </c>
      <c r="J192" s="1" t="s">
        <v>46</v>
      </c>
      <c r="K192" t="s">
        <v>457</v>
      </c>
      <c r="M192" s="1" t="s">
        <v>58</v>
      </c>
      <c r="N192" s="1">
        <v>0</v>
      </c>
      <c r="O192" s="1" t="s">
        <v>105</v>
      </c>
      <c r="P192" s="186">
        <v>44469.85728009259</v>
      </c>
      <c r="R192" s="1" t="s">
        <v>38</v>
      </c>
      <c r="T192" s="1" t="s">
        <v>157</v>
      </c>
      <c r="U192" s="186">
        <v>44508.75</v>
      </c>
      <c r="V192" s="1" t="s">
        <v>41</v>
      </c>
      <c r="W192" s="1" t="s">
        <v>49</v>
      </c>
      <c r="X192" s="13" t="str">
        <f>IF(RIGHT(H192,2)&lt;&gt;"00",H192,"")</f>
        <v/>
      </c>
      <c r="Y192" s="2">
        <f ca="1">NETWORKDAYS(P192,$Y$1)</f>
        <v>370</v>
      </c>
      <c r="Z192" s="14">
        <v>1</v>
      </c>
      <c r="AA192" s="1" t="str">
        <f t="shared" ca="1" si="10"/>
        <v>VENCIDO</v>
      </c>
      <c r="AB192" s="1" t="str">
        <f t="shared" si="11"/>
        <v>C-14</v>
      </c>
      <c r="AC192" s="2" t="str">
        <f t="shared" si="14"/>
        <v xml:space="preserve"> CLEITON </v>
      </c>
      <c r="AD192" s="2">
        <f t="shared" si="12"/>
        <v>5</v>
      </c>
      <c r="AE192" s="2">
        <f t="shared" ca="1" si="13"/>
        <v>-477.9262716435187</v>
      </c>
      <c r="AF192" s="15"/>
    </row>
    <row r="193" spans="1:32" hidden="1">
      <c r="A193" s="1">
        <v>7970307</v>
      </c>
      <c r="B193" s="1" t="s">
        <v>62</v>
      </c>
      <c r="C193" t="s">
        <v>3574</v>
      </c>
      <c r="E193" s="2">
        <v>1833000203000</v>
      </c>
      <c r="F193" s="1" t="s">
        <v>454</v>
      </c>
      <c r="G193" s="1" t="s">
        <v>53</v>
      </c>
      <c r="H193" s="1" t="s">
        <v>369</v>
      </c>
      <c r="I193" s="1" t="s">
        <v>370</v>
      </c>
      <c r="J193" s="1" t="s">
        <v>46</v>
      </c>
      <c r="K193" t="s">
        <v>457</v>
      </c>
      <c r="M193" s="1" t="s">
        <v>58</v>
      </c>
      <c r="N193" s="1">
        <v>0</v>
      </c>
      <c r="O193" s="1" t="s">
        <v>105</v>
      </c>
      <c r="P193" s="186">
        <v>44469.85728009259</v>
      </c>
      <c r="R193" s="1" t="s">
        <v>38</v>
      </c>
      <c r="T193" s="1" t="s">
        <v>157</v>
      </c>
      <c r="U193" s="186">
        <v>44508.75</v>
      </c>
      <c r="V193" s="1" t="s">
        <v>41</v>
      </c>
      <c r="W193" s="1" t="s">
        <v>49</v>
      </c>
      <c r="X193" s="13" t="str">
        <f>IF(RIGHT(H193,2)&lt;&gt;"00",H193,"")</f>
        <v/>
      </c>
      <c r="Y193" s="2">
        <f ca="1">NETWORKDAYS(P193,$Y$1)</f>
        <v>370</v>
      </c>
      <c r="Z193" s="14">
        <v>1</v>
      </c>
      <c r="AA193" s="1" t="str">
        <f t="shared" ca="1" si="10"/>
        <v>VENCIDO</v>
      </c>
      <c r="AB193" s="1" t="str">
        <f t="shared" si="11"/>
        <v>C-14</v>
      </c>
      <c r="AC193" s="2" t="str">
        <f t="shared" si="14"/>
        <v xml:space="preserve"> CLEITON </v>
      </c>
      <c r="AD193" s="2">
        <f t="shared" si="12"/>
        <v>5</v>
      </c>
      <c r="AE193" s="2">
        <f t="shared" ca="1" si="13"/>
        <v>-477.9262716435187</v>
      </c>
      <c r="AF193" s="15"/>
    </row>
    <row r="194" spans="1:32" hidden="1">
      <c r="A194" s="1">
        <v>7970306</v>
      </c>
      <c r="B194" s="1" t="s">
        <v>62</v>
      </c>
      <c r="C194" t="s">
        <v>3574</v>
      </c>
      <c r="E194" s="2">
        <v>1833000203000</v>
      </c>
      <c r="F194" s="1" t="s">
        <v>454</v>
      </c>
      <c r="G194" s="1" t="s">
        <v>53</v>
      </c>
      <c r="H194" s="1" t="s">
        <v>369</v>
      </c>
      <c r="I194" s="1" t="s">
        <v>370</v>
      </c>
      <c r="J194" s="1" t="s">
        <v>46</v>
      </c>
      <c r="K194" t="s">
        <v>457</v>
      </c>
      <c r="M194" s="1" t="s">
        <v>58</v>
      </c>
      <c r="N194" s="1">
        <v>0</v>
      </c>
      <c r="O194" s="1" t="s">
        <v>105</v>
      </c>
      <c r="P194" s="186">
        <v>44469.85728009259</v>
      </c>
      <c r="R194" s="1" t="s">
        <v>38</v>
      </c>
      <c r="T194" s="1" t="s">
        <v>157</v>
      </c>
      <c r="U194" s="186">
        <v>44508.75</v>
      </c>
      <c r="V194" s="1" t="s">
        <v>41</v>
      </c>
      <c r="W194" s="1" t="s">
        <v>49</v>
      </c>
      <c r="X194" s="13" t="str">
        <f>IF(RIGHT(H194,2)&lt;&gt;"00",H194,"")</f>
        <v/>
      </c>
      <c r="Y194" s="2">
        <f ca="1">NETWORKDAYS(P194,$Y$1)</f>
        <v>370</v>
      </c>
      <c r="Z194" s="14">
        <v>1</v>
      </c>
      <c r="AA194" s="1" t="str">
        <f t="shared" ref="AA194:AA257" ca="1" si="15">IF(AE194=0,"HOJE",IF(AE194&gt;0,"A VENCER",IF(AE194&lt;0,"VENCIDO")))</f>
        <v>VENCIDO</v>
      </c>
      <c r="AB194" s="1" t="str">
        <f t="shared" ref="AB194:AB257" si="16">IF(F194="GRPE-000001","C-14",IF(F194="GRPE-000002","C-14",IF(F194="GRPE-000003","C-14",IF(F194="GRPE-000004","SL-On",IF(F194="GRPE-000038","C-14",IF(F194="GRPE-900022","Dosa",IF(F194="GRPE-000029","Dosa",IF(F194="ATOS-000222","Dose","TAAe+"))))))))</f>
        <v>C-14</v>
      </c>
      <c r="AC194" s="2" t="str">
        <f t="shared" si="14"/>
        <v xml:space="preserve"> CLEITON </v>
      </c>
      <c r="AD194" s="2">
        <f t="shared" ref="AD194:AD257" si="17">IF(F194="GRPE-000001",5,IF(F194="GRPE-000002",5,IF(F194="GRPE-000003",15,IF(F194="GRPE-000004",1,IF(F194="GRPE-000038",5,IF(F194="GRPE-900022",5,IF(F194="GRPE-000029",5,IF(F194="ATOS-000222",5,8))))))))</f>
        <v>5</v>
      </c>
      <c r="AE194" s="2">
        <f t="shared" ref="AE194:AE257" ca="1" si="18">IF(U194=$AE$1,"",U194-$AE$1)</f>
        <v>-477.9262716435187</v>
      </c>
      <c r="AF194" s="15"/>
    </row>
    <row r="195" spans="1:32" hidden="1">
      <c r="A195" s="1">
        <v>7970305</v>
      </c>
      <c r="B195" s="1" t="s">
        <v>62</v>
      </c>
      <c r="C195" t="s">
        <v>3574</v>
      </c>
      <c r="E195" s="2">
        <v>1833000203000</v>
      </c>
      <c r="F195" s="1" t="s">
        <v>454</v>
      </c>
      <c r="G195" s="1" t="s">
        <v>53</v>
      </c>
      <c r="H195" s="1" t="s">
        <v>369</v>
      </c>
      <c r="I195" s="1" t="s">
        <v>370</v>
      </c>
      <c r="J195" s="1" t="s">
        <v>46</v>
      </c>
      <c r="K195" t="s">
        <v>457</v>
      </c>
      <c r="M195" s="1" t="s">
        <v>58</v>
      </c>
      <c r="N195" s="1">
        <v>0</v>
      </c>
      <c r="O195" s="1" t="s">
        <v>105</v>
      </c>
      <c r="P195" s="186">
        <v>44469.85728009259</v>
      </c>
      <c r="R195" s="1" t="s">
        <v>38</v>
      </c>
      <c r="T195" s="1" t="s">
        <v>157</v>
      </c>
      <c r="U195" s="186">
        <v>44508.75</v>
      </c>
      <c r="V195" s="1" t="s">
        <v>41</v>
      </c>
      <c r="W195" s="1" t="s">
        <v>49</v>
      </c>
      <c r="X195" s="13" t="str">
        <f>IF(RIGHT(H195,2)&lt;&gt;"00",H195,"")</f>
        <v/>
      </c>
      <c r="Y195" s="2">
        <f ca="1">NETWORKDAYS(P195,$Y$1)</f>
        <v>370</v>
      </c>
      <c r="Z195" s="14">
        <v>1</v>
      </c>
      <c r="AA195" s="1" t="str">
        <f t="shared" ca="1" si="15"/>
        <v>VENCIDO</v>
      </c>
      <c r="AB195" s="1" t="str">
        <f t="shared" si="16"/>
        <v>C-14</v>
      </c>
      <c r="AC195" s="2" t="str">
        <f t="shared" ref="AC195:AC258" si="19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 xml:space="preserve"> CLEITON </v>
      </c>
      <c r="AD195" s="2">
        <f t="shared" si="17"/>
        <v>5</v>
      </c>
      <c r="AE195" s="2">
        <f t="shared" ca="1" si="18"/>
        <v>-477.9262716435187</v>
      </c>
      <c r="AF195" s="15"/>
    </row>
    <row r="196" spans="1:32" hidden="1">
      <c r="A196" s="1">
        <v>7970304</v>
      </c>
      <c r="B196" s="1" t="s">
        <v>62</v>
      </c>
      <c r="C196" t="s">
        <v>3574</v>
      </c>
      <c r="E196" s="2">
        <v>1833000203000</v>
      </c>
      <c r="F196" s="1" t="s">
        <v>454</v>
      </c>
      <c r="G196" s="1" t="s">
        <v>53</v>
      </c>
      <c r="H196" s="1" t="s">
        <v>369</v>
      </c>
      <c r="I196" s="1" t="s">
        <v>370</v>
      </c>
      <c r="J196" s="1" t="s">
        <v>46</v>
      </c>
      <c r="K196" t="s">
        <v>457</v>
      </c>
      <c r="M196" s="1" t="s">
        <v>58</v>
      </c>
      <c r="N196" s="1">
        <v>0</v>
      </c>
      <c r="O196" s="1" t="s">
        <v>105</v>
      </c>
      <c r="P196" s="186">
        <v>44469.85728009259</v>
      </c>
      <c r="R196" s="1" t="s">
        <v>38</v>
      </c>
      <c r="T196" s="1" t="s">
        <v>157</v>
      </c>
      <c r="U196" s="186">
        <v>44508.75</v>
      </c>
      <c r="V196" s="1" t="s">
        <v>41</v>
      </c>
      <c r="W196" s="1" t="s">
        <v>49</v>
      </c>
      <c r="X196" s="13" t="str">
        <f>IF(RIGHT(H196,2)&lt;&gt;"00",H196,"")</f>
        <v/>
      </c>
      <c r="Y196" s="2">
        <f ca="1">NETWORKDAYS(P196,$Y$1)</f>
        <v>370</v>
      </c>
      <c r="Z196" s="14">
        <v>1</v>
      </c>
      <c r="AA196" s="1" t="str">
        <f t="shared" ca="1" si="15"/>
        <v>VENCIDO</v>
      </c>
      <c r="AB196" s="1" t="str">
        <f t="shared" si="16"/>
        <v>C-14</v>
      </c>
      <c r="AC196" s="2" t="str">
        <f t="shared" si="19"/>
        <v xml:space="preserve"> CLEITON </v>
      </c>
      <c r="AD196" s="2">
        <f t="shared" si="17"/>
        <v>5</v>
      </c>
      <c r="AE196" s="2">
        <f t="shared" ca="1" si="18"/>
        <v>-477.9262716435187</v>
      </c>
      <c r="AF196" s="15"/>
    </row>
    <row r="197" spans="1:32" hidden="1">
      <c r="A197" s="1">
        <v>7970303</v>
      </c>
      <c r="B197" s="1" t="s">
        <v>62</v>
      </c>
      <c r="C197" t="s">
        <v>3574</v>
      </c>
      <c r="E197" s="2">
        <v>1833000203000</v>
      </c>
      <c r="F197" s="1" t="s">
        <v>454</v>
      </c>
      <c r="G197" s="1" t="s">
        <v>53</v>
      </c>
      <c r="H197" s="1" t="s">
        <v>369</v>
      </c>
      <c r="I197" s="1" t="s">
        <v>370</v>
      </c>
      <c r="J197" s="1" t="s">
        <v>46</v>
      </c>
      <c r="K197" t="s">
        <v>457</v>
      </c>
      <c r="M197" s="1" t="s">
        <v>58</v>
      </c>
      <c r="N197" s="1">
        <v>0</v>
      </c>
      <c r="O197" s="1" t="s">
        <v>105</v>
      </c>
      <c r="P197" s="186">
        <v>44469.85728009259</v>
      </c>
      <c r="R197" s="1" t="s">
        <v>38</v>
      </c>
      <c r="T197" s="1" t="s">
        <v>157</v>
      </c>
      <c r="U197" s="186">
        <v>44508.75</v>
      </c>
      <c r="V197" s="1" t="s">
        <v>41</v>
      </c>
      <c r="W197" s="1" t="s">
        <v>49</v>
      </c>
      <c r="X197" s="13" t="str">
        <f>IF(RIGHT(H197,2)&lt;&gt;"00",H197,"")</f>
        <v/>
      </c>
      <c r="Y197" s="2">
        <f ca="1">NETWORKDAYS(P197,$Y$1)</f>
        <v>370</v>
      </c>
      <c r="Z197" s="14">
        <v>1</v>
      </c>
      <c r="AA197" s="1" t="str">
        <f t="shared" ca="1" si="15"/>
        <v>VENCIDO</v>
      </c>
      <c r="AB197" s="1" t="str">
        <f t="shared" si="16"/>
        <v>C-14</v>
      </c>
      <c r="AC197" s="2" t="str">
        <f t="shared" si="19"/>
        <v xml:space="preserve"> CLEITON </v>
      </c>
      <c r="AD197" s="2">
        <f t="shared" si="17"/>
        <v>5</v>
      </c>
      <c r="AE197" s="2">
        <f t="shared" ca="1" si="18"/>
        <v>-477.9262716435187</v>
      </c>
      <c r="AF197" s="15"/>
    </row>
    <row r="198" spans="1:32" hidden="1">
      <c r="A198" s="1">
        <v>7970302</v>
      </c>
      <c r="B198" s="1" t="s">
        <v>62</v>
      </c>
      <c r="C198" t="s">
        <v>3574</v>
      </c>
      <c r="E198" s="2">
        <v>1833000203000</v>
      </c>
      <c r="F198" s="1" t="s">
        <v>454</v>
      </c>
      <c r="G198" s="1" t="s">
        <v>53</v>
      </c>
      <c r="H198" s="1" t="s">
        <v>369</v>
      </c>
      <c r="I198" s="1" t="s">
        <v>370</v>
      </c>
      <c r="J198" s="1" t="s">
        <v>46</v>
      </c>
      <c r="K198" t="s">
        <v>457</v>
      </c>
      <c r="M198" s="1" t="s">
        <v>58</v>
      </c>
      <c r="N198" s="1">
        <v>0</v>
      </c>
      <c r="O198" s="1" t="s">
        <v>105</v>
      </c>
      <c r="P198" s="186">
        <v>44469.85728009259</v>
      </c>
      <c r="R198" s="1" t="s">
        <v>38</v>
      </c>
      <c r="T198" s="1" t="s">
        <v>157</v>
      </c>
      <c r="U198" s="186">
        <v>44508.75</v>
      </c>
      <c r="V198" s="1" t="s">
        <v>41</v>
      </c>
      <c r="W198" s="1" t="s">
        <v>49</v>
      </c>
      <c r="X198" s="13" t="str">
        <f>IF(RIGHT(H198,2)&lt;&gt;"00",H198,"")</f>
        <v/>
      </c>
      <c r="Y198" s="2">
        <f ca="1">NETWORKDAYS(P198,$Y$1)</f>
        <v>370</v>
      </c>
      <c r="Z198" s="14">
        <v>1</v>
      </c>
      <c r="AA198" s="1" t="str">
        <f t="shared" ca="1" si="15"/>
        <v>VENCIDO</v>
      </c>
      <c r="AB198" s="1" t="str">
        <f t="shared" si="16"/>
        <v>C-14</v>
      </c>
      <c r="AC198" s="2" t="str">
        <f t="shared" si="19"/>
        <v xml:space="preserve"> CLEITON </v>
      </c>
      <c r="AD198" s="2">
        <f t="shared" si="17"/>
        <v>5</v>
      </c>
      <c r="AE198" s="2">
        <f t="shared" ca="1" si="18"/>
        <v>-477.9262716435187</v>
      </c>
      <c r="AF198" s="15"/>
    </row>
    <row r="199" spans="1:32" hidden="1">
      <c r="A199" s="1">
        <v>7970301</v>
      </c>
      <c r="B199" s="1" t="s">
        <v>62</v>
      </c>
      <c r="C199" t="s">
        <v>3574</v>
      </c>
      <c r="E199" s="2">
        <v>1833000203000</v>
      </c>
      <c r="F199" s="1" t="s">
        <v>454</v>
      </c>
      <c r="G199" s="1" t="s">
        <v>53</v>
      </c>
      <c r="H199" s="1" t="s">
        <v>369</v>
      </c>
      <c r="I199" s="1" t="s">
        <v>370</v>
      </c>
      <c r="J199" s="1" t="s">
        <v>46</v>
      </c>
      <c r="K199" t="s">
        <v>457</v>
      </c>
      <c r="M199" s="1" t="s">
        <v>58</v>
      </c>
      <c r="N199" s="1">
        <v>0</v>
      </c>
      <c r="O199" s="1" t="s">
        <v>105</v>
      </c>
      <c r="P199" s="186">
        <v>44469.857268518521</v>
      </c>
      <c r="R199" s="1" t="s">
        <v>38</v>
      </c>
      <c r="T199" s="1" t="s">
        <v>157</v>
      </c>
      <c r="U199" s="186">
        <v>44508.75</v>
      </c>
      <c r="V199" s="1" t="s">
        <v>41</v>
      </c>
      <c r="W199" s="1" t="s">
        <v>49</v>
      </c>
      <c r="X199" s="13" t="str">
        <f>IF(RIGHT(H199,2)&lt;&gt;"00",H199,"")</f>
        <v/>
      </c>
      <c r="Y199" s="2">
        <f ca="1">NETWORKDAYS(P199,$Y$1)</f>
        <v>370</v>
      </c>
      <c r="Z199" s="14">
        <v>1</v>
      </c>
      <c r="AA199" s="1" t="str">
        <f t="shared" ca="1" si="15"/>
        <v>VENCIDO</v>
      </c>
      <c r="AB199" s="1" t="str">
        <f t="shared" si="16"/>
        <v>C-14</v>
      </c>
      <c r="AC199" s="2" t="str">
        <f t="shared" si="19"/>
        <v xml:space="preserve"> CLEITON </v>
      </c>
      <c r="AD199" s="2">
        <f t="shared" si="17"/>
        <v>5</v>
      </c>
      <c r="AE199" s="2">
        <f t="shared" ca="1" si="18"/>
        <v>-477.9262716435187</v>
      </c>
      <c r="AF199" s="15"/>
    </row>
    <row r="200" spans="1:32" hidden="1">
      <c r="A200" s="1">
        <v>7970300</v>
      </c>
      <c r="B200" s="1" t="s">
        <v>62</v>
      </c>
      <c r="C200" t="s">
        <v>3574</v>
      </c>
      <c r="E200" s="2">
        <v>1833000203000</v>
      </c>
      <c r="F200" s="1" t="s">
        <v>454</v>
      </c>
      <c r="G200" s="1" t="s">
        <v>53</v>
      </c>
      <c r="H200" s="1" t="s">
        <v>369</v>
      </c>
      <c r="I200" s="1" t="s">
        <v>370</v>
      </c>
      <c r="J200" s="1" t="s">
        <v>46</v>
      </c>
      <c r="K200" t="s">
        <v>457</v>
      </c>
      <c r="M200" s="1" t="s">
        <v>58</v>
      </c>
      <c r="N200" s="1">
        <v>0</v>
      </c>
      <c r="O200" s="1" t="s">
        <v>105</v>
      </c>
      <c r="P200" s="186">
        <v>44469.857268518521</v>
      </c>
      <c r="R200" s="1" t="s">
        <v>38</v>
      </c>
      <c r="T200" s="1" t="s">
        <v>157</v>
      </c>
      <c r="U200" s="186">
        <v>44508.75</v>
      </c>
      <c r="V200" s="1" t="s">
        <v>41</v>
      </c>
      <c r="W200" s="1" t="s">
        <v>49</v>
      </c>
      <c r="X200" s="13" t="str">
        <f>IF(RIGHT(H200,2)&lt;&gt;"00",H200,"")</f>
        <v/>
      </c>
      <c r="Y200" s="2">
        <f ca="1">NETWORKDAYS(P200,$Y$1)</f>
        <v>370</v>
      </c>
      <c r="Z200" s="14">
        <v>1</v>
      </c>
      <c r="AA200" s="1" t="str">
        <f t="shared" ca="1" si="15"/>
        <v>VENCIDO</v>
      </c>
      <c r="AB200" s="1" t="str">
        <f t="shared" si="16"/>
        <v>C-14</v>
      </c>
      <c r="AC200" s="2" t="str">
        <f t="shared" si="19"/>
        <v xml:space="preserve"> CLEITON </v>
      </c>
      <c r="AD200" s="2">
        <f t="shared" si="17"/>
        <v>5</v>
      </c>
      <c r="AE200" s="2">
        <f t="shared" ca="1" si="18"/>
        <v>-477.9262716435187</v>
      </c>
      <c r="AF200" s="15"/>
    </row>
    <row r="201" spans="1:32" hidden="1">
      <c r="A201" s="1">
        <v>7970299</v>
      </c>
      <c r="B201" s="1" t="s">
        <v>62</v>
      </c>
      <c r="C201" t="s">
        <v>3574</v>
      </c>
      <c r="E201" s="2">
        <v>1833000203000</v>
      </c>
      <c r="F201" s="1" t="s">
        <v>454</v>
      </c>
      <c r="G201" s="1" t="s">
        <v>53</v>
      </c>
      <c r="H201" s="1" t="s">
        <v>369</v>
      </c>
      <c r="I201" s="1" t="s">
        <v>370</v>
      </c>
      <c r="J201" s="1" t="s">
        <v>46</v>
      </c>
      <c r="K201" t="s">
        <v>457</v>
      </c>
      <c r="M201" s="1" t="s">
        <v>58</v>
      </c>
      <c r="N201" s="1">
        <v>0</v>
      </c>
      <c r="O201" s="1" t="s">
        <v>105</v>
      </c>
      <c r="P201" s="186">
        <v>44469.857268518521</v>
      </c>
      <c r="R201" s="1" t="s">
        <v>38</v>
      </c>
      <c r="T201" s="1" t="s">
        <v>157</v>
      </c>
      <c r="U201" s="186">
        <v>44508.75</v>
      </c>
      <c r="V201" s="1" t="s">
        <v>41</v>
      </c>
      <c r="W201" s="1" t="s">
        <v>49</v>
      </c>
      <c r="X201" s="13" t="str">
        <f>IF(RIGHT(H201,2)&lt;&gt;"00",H201,"")</f>
        <v/>
      </c>
      <c r="Y201" s="2">
        <f ca="1">NETWORKDAYS(P201,$Y$1)</f>
        <v>370</v>
      </c>
      <c r="Z201" s="14">
        <v>1</v>
      </c>
      <c r="AA201" s="1" t="str">
        <f t="shared" ca="1" si="15"/>
        <v>VENCIDO</v>
      </c>
      <c r="AB201" s="1" t="str">
        <f t="shared" si="16"/>
        <v>C-14</v>
      </c>
      <c r="AC201" s="2" t="str">
        <f t="shared" si="19"/>
        <v xml:space="preserve"> CLEITON </v>
      </c>
      <c r="AD201" s="2">
        <f t="shared" si="17"/>
        <v>5</v>
      </c>
      <c r="AE201" s="2">
        <f t="shared" ca="1" si="18"/>
        <v>-477.9262716435187</v>
      </c>
      <c r="AF201" s="15"/>
    </row>
    <row r="202" spans="1:32" hidden="1">
      <c r="A202" s="1">
        <v>7970298</v>
      </c>
      <c r="B202" s="1" t="s">
        <v>62</v>
      </c>
      <c r="C202" t="s">
        <v>3574</v>
      </c>
      <c r="E202" s="2">
        <v>1833000203000</v>
      </c>
      <c r="F202" s="1" t="s">
        <v>454</v>
      </c>
      <c r="G202" s="1" t="s">
        <v>53</v>
      </c>
      <c r="H202" s="1" t="s">
        <v>369</v>
      </c>
      <c r="I202" s="1" t="s">
        <v>370</v>
      </c>
      <c r="J202" s="1" t="s">
        <v>46</v>
      </c>
      <c r="K202" t="s">
        <v>457</v>
      </c>
      <c r="M202" s="1" t="s">
        <v>58</v>
      </c>
      <c r="N202" s="1">
        <v>0</v>
      </c>
      <c r="O202" s="1" t="s">
        <v>105</v>
      </c>
      <c r="P202" s="186">
        <v>44469.857268518521</v>
      </c>
      <c r="R202" s="1" t="s">
        <v>38</v>
      </c>
      <c r="T202" s="1" t="s">
        <v>157</v>
      </c>
      <c r="U202" s="186">
        <v>44508.75</v>
      </c>
      <c r="V202" s="1" t="s">
        <v>41</v>
      </c>
      <c r="W202" s="1" t="s">
        <v>49</v>
      </c>
      <c r="X202" s="13" t="str">
        <f>IF(RIGHT(H202,2)&lt;&gt;"00",H202,"")</f>
        <v/>
      </c>
      <c r="Y202" s="2">
        <f ca="1">NETWORKDAYS(P202,$Y$1)</f>
        <v>370</v>
      </c>
      <c r="Z202" s="14">
        <v>1</v>
      </c>
      <c r="AA202" s="1" t="str">
        <f t="shared" ca="1" si="15"/>
        <v>VENCIDO</v>
      </c>
      <c r="AB202" s="1" t="str">
        <f t="shared" si="16"/>
        <v>C-14</v>
      </c>
      <c r="AC202" s="2" t="str">
        <f t="shared" si="19"/>
        <v xml:space="preserve"> CLEITON </v>
      </c>
      <c r="AD202" s="2">
        <f t="shared" si="17"/>
        <v>5</v>
      </c>
      <c r="AE202" s="2">
        <f t="shared" ca="1" si="18"/>
        <v>-477.9262716435187</v>
      </c>
      <c r="AF202" s="15"/>
    </row>
    <row r="203" spans="1:32" hidden="1">
      <c r="A203" s="1">
        <v>7970297</v>
      </c>
      <c r="B203" s="1" t="s">
        <v>62</v>
      </c>
      <c r="C203" t="s">
        <v>3574</v>
      </c>
      <c r="E203" s="2">
        <v>1833000203000</v>
      </c>
      <c r="F203" s="1" t="s">
        <v>454</v>
      </c>
      <c r="G203" s="1" t="s">
        <v>53</v>
      </c>
      <c r="H203" s="1" t="s">
        <v>369</v>
      </c>
      <c r="I203" s="1" t="s">
        <v>370</v>
      </c>
      <c r="J203" s="1" t="s">
        <v>46</v>
      </c>
      <c r="K203" t="s">
        <v>457</v>
      </c>
      <c r="M203" s="1" t="s">
        <v>58</v>
      </c>
      <c r="N203" s="1">
        <v>0</v>
      </c>
      <c r="O203" s="1" t="s">
        <v>105</v>
      </c>
      <c r="P203" s="186">
        <v>44469.857268518521</v>
      </c>
      <c r="R203" s="1" t="s">
        <v>38</v>
      </c>
      <c r="T203" s="1" t="s">
        <v>157</v>
      </c>
      <c r="U203" s="186">
        <v>44508.75</v>
      </c>
      <c r="V203" s="1" t="s">
        <v>41</v>
      </c>
      <c r="W203" s="1" t="s">
        <v>49</v>
      </c>
      <c r="X203" s="13" t="str">
        <f>IF(RIGHT(H203,2)&lt;&gt;"00",H203,"")</f>
        <v/>
      </c>
      <c r="Y203" s="2">
        <f ca="1">NETWORKDAYS(P203,$Y$1)</f>
        <v>370</v>
      </c>
      <c r="Z203" s="14">
        <v>1</v>
      </c>
      <c r="AA203" s="1" t="str">
        <f t="shared" ca="1" si="15"/>
        <v>VENCIDO</v>
      </c>
      <c r="AB203" s="1" t="str">
        <f t="shared" si="16"/>
        <v>C-14</v>
      </c>
      <c r="AC203" s="2" t="str">
        <f t="shared" si="19"/>
        <v xml:space="preserve"> CLEITON </v>
      </c>
      <c r="AD203" s="2">
        <f t="shared" si="17"/>
        <v>5</v>
      </c>
      <c r="AE203" s="2">
        <f t="shared" ca="1" si="18"/>
        <v>-477.9262716435187</v>
      </c>
      <c r="AF203" s="15"/>
    </row>
    <row r="204" spans="1:32" hidden="1">
      <c r="A204" s="1">
        <v>7970296</v>
      </c>
      <c r="B204" s="1" t="s">
        <v>62</v>
      </c>
      <c r="C204" t="s">
        <v>3574</v>
      </c>
      <c r="E204" s="2">
        <v>1833000203000</v>
      </c>
      <c r="F204" s="1" t="s">
        <v>454</v>
      </c>
      <c r="G204" s="1" t="s">
        <v>53</v>
      </c>
      <c r="H204" s="1" t="s">
        <v>369</v>
      </c>
      <c r="I204" s="1" t="s">
        <v>370</v>
      </c>
      <c r="J204" s="1" t="s">
        <v>46</v>
      </c>
      <c r="K204" t="s">
        <v>457</v>
      </c>
      <c r="M204" s="1" t="s">
        <v>58</v>
      </c>
      <c r="N204" s="1">
        <v>0</v>
      </c>
      <c r="O204" s="1" t="s">
        <v>105</v>
      </c>
      <c r="P204" s="186">
        <v>44469.857268518521</v>
      </c>
      <c r="R204" s="1" t="s">
        <v>38</v>
      </c>
      <c r="T204" s="1" t="s">
        <v>157</v>
      </c>
      <c r="U204" s="186">
        <v>44508.75</v>
      </c>
      <c r="V204" s="1" t="s">
        <v>41</v>
      </c>
      <c r="W204" s="1" t="s">
        <v>49</v>
      </c>
      <c r="X204" s="13" t="str">
        <f>IF(RIGHT(H204,2)&lt;&gt;"00",H204,"")</f>
        <v/>
      </c>
      <c r="Y204" s="2">
        <f ca="1">NETWORKDAYS(P204,$Y$1)</f>
        <v>370</v>
      </c>
      <c r="Z204" s="14">
        <v>1</v>
      </c>
      <c r="AA204" s="1" t="str">
        <f t="shared" ca="1" si="15"/>
        <v>VENCIDO</v>
      </c>
      <c r="AB204" s="1" t="str">
        <f t="shared" si="16"/>
        <v>C-14</v>
      </c>
      <c r="AC204" s="2" t="str">
        <f t="shared" si="19"/>
        <v xml:space="preserve"> CLEITON </v>
      </c>
      <c r="AD204" s="2">
        <f t="shared" si="17"/>
        <v>5</v>
      </c>
      <c r="AE204" s="2">
        <f t="shared" ca="1" si="18"/>
        <v>-477.9262716435187</v>
      </c>
      <c r="AF204" s="15"/>
    </row>
    <row r="205" spans="1:32" hidden="1">
      <c r="A205" s="1">
        <v>7970241</v>
      </c>
      <c r="B205" s="1" t="s">
        <v>62</v>
      </c>
      <c r="C205" t="s">
        <v>3574</v>
      </c>
      <c r="E205" s="2">
        <v>1792000203000</v>
      </c>
      <c r="F205" s="1" t="s">
        <v>454</v>
      </c>
      <c r="G205" s="1" t="s">
        <v>53</v>
      </c>
      <c r="H205" s="1" t="s">
        <v>467</v>
      </c>
      <c r="I205" s="1" t="s">
        <v>468</v>
      </c>
      <c r="J205" s="1" t="s">
        <v>110</v>
      </c>
      <c r="K205" t="s">
        <v>457</v>
      </c>
      <c r="M205" s="1" t="s">
        <v>58</v>
      </c>
      <c r="N205" s="1">
        <v>0</v>
      </c>
      <c r="O205" s="1" t="s">
        <v>105</v>
      </c>
      <c r="P205" s="186">
        <v>44469.857175925928</v>
      </c>
      <c r="R205" s="1" t="s">
        <v>38</v>
      </c>
      <c r="T205" s="1" t="s">
        <v>157</v>
      </c>
      <c r="U205" s="186">
        <v>44508.75</v>
      </c>
      <c r="V205" s="1" t="s">
        <v>41</v>
      </c>
      <c r="W205" s="1" t="s">
        <v>49</v>
      </c>
      <c r="X205" s="13" t="str">
        <f>IF(RIGHT(H205,2)&lt;&gt;"00",H205,"")</f>
        <v/>
      </c>
      <c r="Y205" s="2">
        <f ca="1">NETWORKDAYS(P205,$Y$1)</f>
        <v>370</v>
      </c>
      <c r="Z205" s="14">
        <v>1</v>
      </c>
      <c r="AA205" s="1" t="str">
        <f t="shared" ca="1" si="15"/>
        <v>VENCIDO</v>
      </c>
      <c r="AB205" s="1" t="str">
        <f t="shared" si="16"/>
        <v>C-14</v>
      </c>
      <c r="AC205" s="2" t="str">
        <f t="shared" si="19"/>
        <v xml:space="preserve"> CRISTINA </v>
      </c>
      <c r="AD205" s="2">
        <f t="shared" si="17"/>
        <v>5</v>
      </c>
      <c r="AE205" s="2">
        <f t="shared" ca="1" si="18"/>
        <v>-477.9262716435187</v>
      </c>
      <c r="AF205" s="15"/>
    </row>
    <row r="206" spans="1:32" hidden="1">
      <c r="A206" s="1">
        <v>7970240</v>
      </c>
      <c r="B206" s="1" t="s">
        <v>62</v>
      </c>
      <c r="C206" t="s">
        <v>3574</v>
      </c>
      <c r="E206" s="2">
        <v>1792000203000</v>
      </c>
      <c r="F206" s="1" t="s">
        <v>454</v>
      </c>
      <c r="G206" s="1" t="s">
        <v>53</v>
      </c>
      <c r="H206" s="1" t="s">
        <v>467</v>
      </c>
      <c r="I206" s="1" t="s">
        <v>468</v>
      </c>
      <c r="J206" s="1" t="s">
        <v>110</v>
      </c>
      <c r="K206" t="s">
        <v>457</v>
      </c>
      <c r="M206" s="1" t="s">
        <v>58</v>
      </c>
      <c r="N206" s="1">
        <v>0</v>
      </c>
      <c r="O206" s="1" t="s">
        <v>105</v>
      </c>
      <c r="P206" s="186">
        <v>44469.857164351852</v>
      </c>
      <c r="R206" s="1" t="s">
        <v>38</v>
      </c>
      <c r="T206" s="1" t="s">
        <v>157</v>
      </c>
      <c r="U206" s="186">
        <v>44508.75</v>
      </c>
      <c r="V206" s="1" t="s">
        <v>41</v>
      </c>
      <c r="W206" s="1" t="s">
        <v>49</v>
      </c>
      <c r="X206" s="13" t="str">
        <f>IF(RIGHT(H206,2)&lt;&gt;"00",H206,"")</f>
        <v/>
      </c>
      <c r="Y206" s="2">
        <f ca="1">NETWORKDAYS(P206,$Y$1)</f>
        <v>370</v>
      </c>
      <c r="Z206" s="14">
        <v>1</v>
      </c>
      <c r="AA206" s="1" t="str">
        <f t="shared" ca="1" si="15"/>
        <v>VENCIDO</v>
      </c>
      <c r="AB206" s="1" t="str">
        <f t="shared" si="16"/>
        <v>C-14</v>
      </c>
      <c r="AC206" s="2" t="str">
        <f t="shared" si="19"/>
        <v xml:space="preserve"> CRISTINA </v>
      </c>
      <c r="AD206" s="2">
        <f t="shared" si="17"/>
        <v>5</v>
      </c>
      <c r="AE206" s="2">
        <f t="shared" ca="1" si="18"/>
        <v>-477.9262716435187</v>
      </c>
      <c r="AF206" s="15"/>
    </row>
    <row r="207" spans="1:32" hidden="1">
      <c r="A207" s="1">
        <v>7970239</v>
      </c>
      <c r="B207" s="1" t="s">
        <v>62</v>
      </c>
      <c r="C207" t="s">
        <v>3574</v>
      </c>
      <c r="E207" s="2">
        <v>1792000203000</v>
      </c>
      <c r="F207" s="1" t="s">
        <v>454</v>
      </c>
      <c r="G207" s="1" t="s">
        <v>53</v>
      </c>
      <c r="H207" s="1" t="s">
        <v>467</v>
      </c>
      <c r="I207" s="1" t="s">
        <v>468</v>
      </c>
      <c r="J207" s="1" t="s">
        <v>110</v>
      </c>
      <c r="K207" t="s">
        <v>457</v>
      </c>
      <c r="M207" s="1" t="s">
        <v>58</v>
      </c>
      <c r="N207" s="1">
        <v>0</v>
      </c>
      <c r="O207" s="1" t="s">
        <v>105</v>
      </c>
      <c r="P207" s="186">
        <v>44469.857164351852</v>
      </c>
      <c r="R207" s="1" t="s">
        <v>38</v>
      </c>
      <c r="T207" s="1" t="s">
        <v>157</v>
      </c>
      <c r="U207" s="186">
        <v>44508.75</v>
      </c>
      <c r="V207" s="1" t="s">
        <v>41</v>
      </c>
      <c r="W207" s="1" t="s">
        <v>49</v>
      </c>
      <c r="X207" s="13" t="str">
        <f>IF(RIGHT(H207,2)&lt;&gt;"00",H207,"")</f>
        <v/>
      </c>
      <c r="Y207" s="2">
        <f ca="1">NETWORKDAYS(P207,$Y$1)</f>
        <v>370</v>
      </c>
      <c r="Z207" s="14">
        <v>1</v>
      </c>
      <c r="AA207" s="1" t="str">
        <f t="shared" ca="1" si="15"/>
        <v>VENCIDO</v>
      </c>
      <c r="AB207" s="1" t="str">
        <f t="shared" si="16"/>
        <v>C-14</v>
      </c>
      <c r="AC207" s="2" t="str">
        <f t="shared" si="19"/>
        <v xml:space="preserve"> CRISTINA </v>
      </c>
      <c r="AD207" s="2">
        <f t="shared" si="17"/>
        <v>5</v>
      </c>
      <c r="AE207" s="2">
        <f t="shared" ca="1" si="18"/>
        <v>-477.9262716435187</v>
      </c>
      <c r="AF207" s="15"/>
    </row>
    <row r="208" spans="1:32" hidden="1">
      <c r="A208" s="1">
        <v>7970238</v>
      </c>
      <c r="B208" s="1" t="s">
        <v>62</v>
      </c>
      <c r="C208" t="s">
        <v>3574</v>
      </c>
      <c r="E208" s="2">
        <v>1792000203000</v>
      </c>
      <c r="F208" s="1" t="s">
        <v>454</v>
      </c>
      <c r="G208" s="1" t="s">
        <v>53</v>
      </c>
      <c r="H208" s="1" t="s">
        <v>467</v>
      </c>
      <c r="I208" s="1" t="s">
        <v>468</v>
      </c>
      <c r="J208" s="1" t="s">
        <v>110</v>
      </c>
      <c r="K208" t="s">
        <v>457</v>
      </c>
      <c r="M208" s="1" t="s">
        <v>58</v>
      </c>
      <c r="N208" s="1">
        <v>0</v>
      </c>
      <c r="O208" s="1" t="s">
        <v>105</v>
      </c>
      <c r="P208" s="186">
        <v>44469.857164351852</v>
      </c>
      <c r="R208" s="1" t="s">
        <v>38</v>
      </c>
      <c r="T208" s="1" t="s">
        <v>157</v>
      </c>
      <c r="U208" s="186">
        <v>44508.75</v>
      </c>
      <c r="V208" s="1" t="s">
        <v>41</v>
      </c>
      <c r="W208" s="1" t="s">
        <v>49</v>
      </c>
      <c r="X208" s="13" t="str">
        <f>IF(RIGHT(H208,2)&lt;&gt;"00",H208,"")</f>
        <v/>
      </c>
      <c r="Y208" s="2">
        <f ca="1">NETWORKDAYS(P208,$Y$1)</f>
        <v>370</v>
      </c>
      <c r="Z208" s="14">
        <v>1</v>
      </c>
      <c r="AA208" s="1" t="str">
        <f t="shared" ca="1" si="15"/>
        <v>VENCIDO</v>
      </c>
      <c r="AB208" s="1" t="str">
        <f t="shared" si="16"/>
        <v>C-14</v>
      </c>
      <c r="AC208" s="2" t="str">
        <f t="shared" si="19"/>
        <v xml:space="preserve"> CRISTINA </v>
      </c>
      <c r="AD208" s="2">
        <f t="shared" si="17"/>
        <v>5</v>
      </c>
      <c r="AE208" s="2">
        <f t="shared" ca="1" si="18"/>
        <v>-477.9262716435187</v>
      </c>
      <c r="AF208" s="15"/>
    </row>
    <row r="209" spans="1:32" hidden="1">
      <c r="A209" s="1">
        <v>7970237</v>
      </c>
      <c r="B209" s="1" t="s">
        <v>62</v>
      </c>
      <c r="C209" t="s">
        <v>3574</v>
      </c>
      <c r="E209" s="2">
        <v>1792000203000</v>
      </c>
      <c r="F209" s="1" t="s">
        <v>454</v>
      </c>
      <c r="G209" s="1" t="s">
        <v>53</v>
      </c>
      <c r="H209" s="1" t="s">
        <v>467</v>
      </c>
      <c r="I209" s="1" t="s">
        <v>468</v>
      </c>
      <c r="J209" s="1" t="s">
        <v>110</v>
      </c>
      <c r="K209" t="s">
        <v>457</v>
      </c>
      <c r="M209" s="1" t="s">
        <v>58</v>
      </c>
      <c r="N209" s="1">
        <v>0</v>
      </c>
      <c r="O209" s="1" t="s">
        <v>105</v>
      </c>
      <c r="P209" s="186">
        <v>44469.857164351852</v>
      </c>
      <c r="R209" s="1" t="s">
        <v>38</v>
      </c>
      <c r="T209" s="1" t="s">
        <v>157</v>
      </c>
      <c r="U209" s="186">
        <v>44508.75</v>
      </c>
      <c r="V209" s="1" t="s">
        <v>41</v>
      </c>
      <c r="W209" s="1" t="s">
        <v>49</v>
      </c>
      <c r="X209" s="13" t="str">
        <f>IF(RIGHT(H209,2)&lt;&gt;"00",H209,"")</f>
        <v/>
      </c>
      <c r="Y209" s="2">
        <f ca="1">NETWORKDAYS(P209,$Y$1)</f>
        <v>370</v>
      </c>
      <c r="Z209" s="14">
        <v>1</v>
      </c>
      <c r="AA209" s="1" t="str">
        <f t="shared" ca="1" si="15"/>
        <v>VENCIDO</v>
      </c>
      <c r="AB209" s="1" t="str">
        <f t="shared" si="16"/>
        <v>C-14</v>
      </c>
      <c r="AC209" s="2" t="str">
        <f t="shared" si="19"/>
        <v xml:space="preserve"> CRISTINA </v>
      </c>
      <c r="AD209" s="2">
        <f t="shared" si="17"/>
        <v>5</v>
      </c>
      <c r="AE209" s="2">
        <f t="shared" ca="1" si="18"/>
        <v>-477.9262716435187</v>
      </c>
      <c r="AF209" s="15"/>
    </row>
    <row r="210" spans="1:32" hidden="1">
      <c r="A210" s="1">
        <v>7970218</v>
      </c>
      <c r="B210" s="1" t="s">
        <v>62</v>
      </c>
      <c r="C210" t="s">
        <v>3574</v>
      </c>
      <c r="E210" s="2">
        <v>1363000203000</v>
      </c>
      <c r="F210" s="1" t="s">
        <v>454</v>
      </c>
      <c r="G210" s="1" t="s">
        <v>53</v>
      </c>
      <c r="H210" s="1" t="s">
        <v>108</v>
      </c>
      <c r="I210" s="1" t="s">
        <v>109</v>
      </c>
      <c r="J210" s="1" t="s">
        <v>110</v>
      </c>
      <c r="K210" t="s">
        <v>457</v>
      </c>
      <c r="M210" s="1" t="s">
        <v>58</v>
      </c>
      <c r="N210" s="1">
        <v>0</v>
      </c>
      <c r="O210" s="1" t="s">
        <v>36</v>
      </c>
      <c r="P210" s="186">
        <v>44469.857141203705</v>
      </c>
      <c r="R210" s="1" t="s">
        <v>38</v>
      </c>
      <c r="T210" s="1" t="s">
        <v>157</v>
      </c>
      <c r="U210" s="186">
        <v>44508.75</v>
      </c>
      <c r="V210" s="1" t="s">
        <v>41</v>
      </c>
      <c r="W210" s="1" t="s">
        <v>49</v>
      </c>
      <c r="X210" s="13" t="str">
        <f>IF(RIGHT(H210,2)&lt;&gt;"00",H210,"")</f>
        <v/>
      </c>
      <c r="Y210" s="2">
        <f ca="1">NETWORKDAYS(P210,$Y$1)</f>
        <v>370</v>
      </c>
      <c r="Z210" s="14">
        <v>1</v>
      </c>
      <c r="AA210" s="1" t="str">
        <f t="shared" ca="1" si="15"/>
        <v>VENCIDO</v>
      </c>
      <c r="AB210" s="1" t="str">
        <f t="shared" si="16"/>
        <v>C-14</v>
      </c>
      <c r="AC210" s="2" t="str">
        <f t="shared" si="19"/>
        <v xml:space="preserve"> CRISTINA </v>
      </c>
      <c r="AD210" s="2">
        <f t="shared" si="17"/>
        <v>5</v>
      </c>
      <c r="AE210" s="2">
        <f t="shared" ca="1" si="18"/>
        <v>-477.9262716435187</v>
      </c>
      <c r="AF210" s="15"/>
    </row>
    <row r="211" spans="1:32" hidden="1">
      <c r="A211" s="1">
        <v>7998831</v>
      </c>
      <c r="B211" s="1" t="s">
        <v>27</v>
      </c>
      <c r="C211" t="s">
        <v>470</v>
      </c>
      <c r="E211" s="2">
        <v>2229000206001</v>
      </c>
      <c r="F211" s="1" t="s">
        <v>29</v>
      </c>
      <c r="G211" s="1" t="s">
        <v>53</v>
      </c>
      <c r="H211" s="1" t="s">
        <v>339</v>
      </c>
      <c r="I211" s="1" t="s">
        <v>340</v>
      </c>
      <c r="J211" s="1" t="s">
        <v>211</v>
      </c>
      <c r="K211" t="s">
        <v>34</v>
      </c>
      <c r="M211" s="1" t="s">
        <v>35</v>
      </c>
      <c r="N211" s="1">
        <v>42318949</v>
      </c>
      <c r="O211" s="1" t="s">
        <v>105</v>
      </c>
      <c r="P211" s="186">
        <v>44474.679016203707</v>
      </c>
      <c r="R211" s="1" t="s">
        <v>38</v>
      </c>
      <c r="T211" s="1" t="s">
        <v>74</v>
      </c>
      <c r="U211" s="186">
        <v>44474.75</v>
      </c>
      <c r="V211" s="1" t="s">
        <v>41</v>
      </c>
      <c r="W211" s="1" t="s">
        <v>49</v>
      </c>
      <c r="X211" s="13" t="str">
        <f>IF(RIGHT(H211,2)&lt;&gt;"00",H211,"")</f>
        <v/>
      </c>
      <c r="Y211" s="2">
        <f ca="1">NETWORKDAYS(P211,$Y$1)</f>
        <v>367</v>
      </c>
      <c r="Z211" s="14">
        <v>1</v>
      </c>
      <c r="AA211" s="1" t="str">
        <f t="shared" ca="1" si="15"/>
        <v>VENCIDO</v>
      </c>
      <c r="AB211" s="1" t="str">
        <f t="shared" si="16"/>
        <v>Dosa</v>
      </c>
      <c r="AC211" s="2" t="str">
        <f t="shared" si="19"/>
        <v xml:space="preserve"> RINALDO </v>
      </c>
      <c r="AD211" s="2">
        <f t="shared" si="17"/>
        <v>5</v>
      </c>
      <c r="AE211" s="2">
        <f t="shared" ca="1" si="18"/>
        <v>-511.9262716435187</v>
      </c>
      <c r="AF211" s="15"/>
    </row>
    <row r="212" spans="1:32" hidden="1">
      <c r="A212" s="1">
        <v>8014132</v>
      </c>
      <c r="B212" s="1" t="s">
        <v>27</v>
      </c>
      <c r="C212" t="s">
        <v>470</v>
      </c>
      <c r="E212" s="2">
        <v>1069000206001</v>
      </c>
      <c r="F212" s="1" t="s">
        <v>29</v>
      </c>
      <c r="G212" s="1" t="s">
        <v>53</v>
      </c>
      <c r="H212" s="1" t="s">
        <v>353</v>
      </c>
      <c r="I212" s="1" t="s">
        <v>354</v>
      </c>
      <c r="J212" s="1" t="s">
        <v>211</v>
      </c>
      <c r="K212" t="s">
        <v>34</v>
      </c>
      <c r="M212" s="1" t="s">
        <v>35</v>
      </c>
      <c r="N212" s="1">
        <v>42318949</v>
      </c>
      <c r="O212" s="1" t="s">
        <v>105</v>
      </c>
      <c r="P212" s="186">
        <v>44480.687534722223</v>
      </c>
      <c r="R212" s="1" t="s">
        <v>38</v>
      </c>
      <c r="T212" s="1" t="s">
        <v>74</v>
      </c>
      <c r="U212" s="186">
        <v>44480.75</v>
      </c>
      <c r="V212" s="1" t="s">
        <v>41</v>
      </c>
      <c r="W212" s="1" t="s">
        <v>49</v>
      </c>
      <c r="X212" s="13" t="str">
        <f>IF(RIGHT(H212,2)&lt;&gt;"00",H212,"")</f>
        <v/>
      </c>
      <c r="Y212" s="2">
        <f ca="1">NETWORKDAYS(P212,$Y$1)</f>
        <v>363</v>
      </c>
      <c r="Z212" s="14">
        <v>1</v>
      </c>
      <c r="AA212" s="1" t="str">
        <f t="shared" ca="1" si="15"/>
        <v>VENCIDO</v>
      </c>
      <c r="AB212" s="1" t="str">
        <f t="shared" si="16"/>
        <v>Dosa</v>
      </c>
      <c r="AC212" s="2" t="str">
        <f t="shared" si="19"/>
        <v xml:space="preserve"> RINALDO </v>
      </c>
      <c r="AD212" s="2">
        <f t="shared" si="17"/>
        <v>5</v>
      </c>
      <c r="AE212" s="2">
        <f t="shared" ca="1" si="18"/>
        <v>-505.9262716435187</v>
      </c>
      <c r="AF212" s="15"/>
    </row>
    <row r="213" spans="1:32" hidden="1">
      <c r="A213" s="1">
        <v>8018140</v>
      </c>
      <c r="B213" s="1" t="s">
        <v>62</v>
      </c>
      <c r="C213" t="s">
        <v>475</v>
      </c>
      <c r="E213" s="2">
        <v>1664000203000</v>
      </c>
      <c r="F213" s="1" t="s">
        <v>454</v>
      </c>
      <c r="G213" s="1" t="s">
        <v>53</v>
      </c>
      <c r="H213" s="1" t="s">
        <v>307</v>
      </c>
      <c r="I213" s="1" t="s">
        <v>308</v>
      </c>
      <c r="J213" s="1" t="s">
        <v>164</v>
      </c>
      <c r="K213" t="s">
        <v>457</v>
      </c>
      <c r="M213" s="1" t="s">
        <v>58</v>
      </c>
      <c r="N213" s="1">
        <v>0</v>
      </c>
      <c r="O213" s="1" t="s">
        <v>36</v>
      </c>
      <c r="P213" s="186">
        <v>44482.53765046296</v>
      </c>
      <c r="R213" s="1" t="s">
        <v>38</v>
      </c>
      <c r="T213" s="1" t="s">
        <v>157</v>
      </c>
      <c r="U213" s="186">
        <v>44518.75</v>
      </c>
      <c r="V213" s="1" t="s">
        <v>41</v>
      </c>
      <c r="W213" s="1" t="s">
        <v>49</v>
      </c>
      <c r="X213" s="13" t="str">
        <f>IF(RIGHT(H213,2)&lt;&gt;"00",H213,"")</f>
        <v/>
      </c>
      <c r="Y213" s="2">
        <f ca="1">NETWORKDAYS(P213,$Y$1)</f>
        <v>361</v>
      </c>
      <c r="Z213" s="14">
        <v>1</v>
      </c>
      <c r="AA213" s="1" t="str">
        <f t="shared" ca="1" si="15"/>
        <v>VENCIDO</v>
      </c>
      <c r="AB213" s="1" t="str">
        <f t="shared" si="16"/>
        <v>C-14</v>
      </c>
      <c r="AC213" s="2" t="str">
        <f t="shared" si="19"/>
        <v xml:space="preserve"> ROSEMERE </v>
      </c>
      <c r="AD213" s="2">
        <f t="shared" si="17"/>
        <v>5</v>
      </c>
      <c r="AE213" s="2">
        <f t="shared" ca="1" si="18"/>
        <v>-467.9262716435187</v>
      </c>
      <c r="AF213" s="15"/>
    </row>
    <row r="214" spans="1:32" hidden="1">
      <c r="A214" s="1">
        <v>8017996</v>
      </c>
      <c r="B214" s="1" t="s">
        <v>27</v>
      </c>
      <c r="C214" t="s">
        <v>476</v>
      </c>
      <c r="E214" s="2">
        <v>2170000206001</v>
      </c>
      <c r="F214" s="1" t="s">
        <v>29</v>
      </c>
      <c r="G214" s="1" t="s">
        <v>53</v>
      </c>
      <c r="H214" s="1" t="s">
        <v>477</v>
      </c>
      <c r="I214" s="1" t="s">
        <v>478</v>
      </c>
      <c r="J214" s="1" t="s">
        <v>148</v>
      </c>
      <c r="K214" t="s">
        <v>34</v>
      </c>
      <c r="M214" s="1" t="s">
        <v>35</v>
      </c>
      <c r="N214" s="1">
        <v>42318949</v>
      </c>
      <c r="O214" s="1" t="s">
        <v>36</v>
      </c>
      <c r="P214" s="186">
        <v>44482.504745370374</v>
      </c>
      <c r="R214" s="1" t="s">
        <v>38</v>
      </c>
      <c r="T214" s="1" t="s">
        <v>74</v>
      </c>
      <c r="U214" s="186">
        <v>44482.75</v>
      </c>
      <c r="V214" s="1" t="s">
        <v>41</v>
      </c>
      <c r="W214" s="1" t="s">
        <v>49</v>
      </c>
      <c r="X214" s="13" t="str">
        <f>IF(RIGHT(H214,2)&lt;&gt;"00",H214,"")</f>
        <v/>
      </c>
      <c r="Y214" s="2">
        <f ca="1">NETWORKDAYS(P214,$Y$1)</f>
        <v>361</v>
      </c>
      <c r="Z214" s="14">
        <v>1</v>
      </c>
      <c r="AA214" s="1" t="str">
        <f t="shared" ca="1" si="15"/>
        <v>VENCIDO</v>
      </c>
      <c r="AB214" s="1" t="str">
        <f t="shared" si="16"/>
        <v>Dosa</v>
      </c>
      <c r="AC214" s="2" t="str">
        <f t="shared" si="19"/>
        <v xml:space="preserve"> RINALDO </v>
      </c>
      <c r="AD214" s="2">
        <f t="shared" si="17"/>
        <v>5</v>
      </c>
      <c r="AE214" s="2">
        <f t="shared" ca="1" si="18"/>
        <v>-503.9262716435187</v>
      </c>
      <c r="AF214" s="15"/>
    </row>
    <row r="215" spans="1:32" hidden="1">
      <c r="A215" s="1">
        <v>8021722</v>
      </c>
      <c r="B215" s="1" t="s">
        <v>62</v>
      </c>
      <c r="C215" t="s">
        <v>481</v>
      </c>
      <c r="E215" s="2">
        <v>2170000203010</v>
      </c>
      <c r="F215" s="1" t="s">
        <v>152</v>
      </c>
      <c r="G215" s="1" t="s">
        <v>53</v>
      </c>
      <c r="H215" s="1" t="s">
        <v>477</v>
      </c>
      <c r="I215" s="1" t="s">
        <v>478</v>
      </c>
      <c r="J215" s="1" t="s">
        <v>148</v>
      </c>
      <c r="K215" t="s">
        <v>155</v>
      </c>
      <c r="M215" s="1" t="s">
        <v>35</v>
      </c>
      <c r="N215" s="1">
        <v>42318949</v>
      </c>
      <c r="O215" s="1" t="s">
        <v>36</v>
      </c>
      <c r="P215" s="186">
        <v>44483.655069444445</v>
      </c>
      <c r="R215" s="1" t="s">
        <v>38</v>
      </c>
      <c r="T215" s="1" t="s">
        <v>157</v>
      </c>
      <c r="U215" s="186">
        <v>44519.75</v>
      </c>
      <c r="V215" s="1" t="s">
        <v>41</v>
      </c>
      <c r="W215" s="1" t="s">
        <v>49</v>
      </c>
      <c r="X215" s="13" t="str">
        <f>IF(RIGHT(H215,2)&lt;&gt;"00",H215,"")</f>
        <v/>
      </c>
      <c r="Y215" s="2">
        <f ca="1">NETWORKDAYS(P215,$Y$1)</f>
        <v>360</v>
      </c>
      <c r="Z215" s="14">
        <v>1</v>
      </c>
      <c r="AA215" s="1" t="str">
        <f t="shared" ca="1" si="15"/>
        <v>VENCIDO</v>
      </c>
      <c r="AB215" s="1" t="str">
        <f t="shared" si="16"/>
        <v>TAAe+</v>
      </c>
      <c r="AC215" s="2" t="str">
        <f t="shared" si="19"/>
        <v xml:space="preserve"> RINALDO </v>
      </c>
      <c r="AD215" s="2">
        <f t="shared" si="17"/>
        <v>8</v>
      </c>
      <c r="AE215" s="2">
        <f t="shared" ca="1" si="18"/>
        <v>-466.9262716435187</v>
      </c>
      <c r="AF215" s="15"/>
    </row>
    <row r="216" spans="1:32" hidden="1">
      <c r="A216" s="1">
        <v>8026505</v>
      </c>
      <c r="B216" s="1" t="s">
        <v>62</v>
      </c>
      <c r="C216" t="s">
        <v>484</v>
      </c>
      <c r="E216" s="2">
        <v>4119000203000</v>
      </c>
      <c r="F216" s="1" t="s">
        <v>454</v>
      </c>
      <c r="G216" s="1" t="s">
        <v>53</v>
      </c>
      <c r="H216" s="1" t="s">
        <v>297</v>
      </c>
      <c r="I216" s="1" t="s">
        <v>298</v>
      </c>
      <c r="J216" s="1" t="s">
        <v>211</v>
      </c>
      <c r="K216" t="s">
        <v>457</v>
      </c>
      <c r="M216" s="1" t="s">
        <v>58</v>
      </c>
      <c r="N216" s="1">
        <v>0</v>
      </c>
      <c r="O216" s="1" t="s">
        <v>36</v>
      </c>
      <c r="P216" s="186">
        <v>44485.650613425925</v>
      </c>
      <c r="R216" s="1" t="s">
        <v>38</v>
      </c>
      <c r="T216" s="1" t="s">
        <v>157</v>
      </c>
      <c r="U216" s="186">
        <v>44523.75</v>
      </c>
      <c r="V216" s="1" t="s">
        <v>41</v>
      </c>
      <c r="W216" s="1" t="s">
        <v>49</v>
      </c>
      <c r="X216" s="13" t="str">
        <f>IF(RIGHT(H216,2)&lt;&gt;"00",H216,"")</f>
        <v/>
      </c>
      <c r="Y216" s="2">
        <f ca="1">NETWORKDAYS(P216,$Y$1)</f>
        <v>358</v>
      </c>
      <c r="Z216" s="14">
        <v>1</v>
      </c>
      <c r="AA216" s="1" t="str">
        <f t="shared" ca="1" si="15"/>
        <v>VENCIDO</v>
      </c>
      <c r="AB216" s="1" t="str">
        <f t="shared" si="16"/>
        <v>C-14</v>
      </c>
      <c r="AC216" s="2" t="str">
        <f t="shared" si="19"/>
        <v xml:space="preserve"> RINALDO </v>
      </c>
      <c r="AD216" s="2">
        <f t="shared" si="17"/>
        <v>5</v>
      </c>
      <c r="AE216" s="2">
        <f t="shared" ca="1" si="18"/>
        <v>-462.9262716435187</v>
      </c>
      <c r="AF216" s="15"/>
    </row>
    <row r="217" spans="1:32" hidden="1">
      <c r="A217" s="1">
        <v>8034031</v>
      </c>
      <c r="B217" s="1" t="s">
        <v>62</v>
      </c>
      <c r="C217" t="s">
        <v>487</v>
      </c>
      <c r="E217" s="2">
        <v>9704000203000</v>
      </c>
      <c r="F217" s="1" t="s">
        <v>454</v>
      </c>
      <c r="G217" s="1" t="s">
        <v>53</v>
      </c>
      <c r="H217" s="1" t="s">
        <v>488</v>
      </c>
      <c r="I217" s="1" t="s">
        <v>489</v>
      </c>
      <c r="J217" s="1" t="s">
        <v>164</v>
      </c>
      <c r="K217" t="s">
        <v>457</v>
      </c>
      <c r="M217" s="1" t="s">
        <v>58</v>
      </c>
      <c r="N217" s="1">
        <v>0</v>
      </c>
      <c r="O217" s="1" t="s">
        <v>36</v>
      </c>
      <c r="P217" s="186">
        <v>44488.65121527778</v>
      </c>
      <c r="R217" s="1" t="s">
        <v>38</v>
      </c>
      <c r="T217" s="1" t="s">
        <v>157</v>
      </c>
      <c r="U217" s="186">
        <v>44524.75</v>
      </c>
      <c r="V217" s="1" t="s">
        <v>41</v>
      </c>
      <c r="W217" s="1" t="s">
        <v>49</v>
      </c>
      <c r="X217" s="13" t="str">
        <f>IF(RIGHT(H217,2)&lt;&gt;"00",H217,"")</f>
        <v/>
      </c>
      <c r="Y217" s="2">
        <f ca="1">NETWORKDAYS(P217,$Y$1)</f>
        <v>357</v>
      </c>
      <c r="Z217" s="14">
        <v>1</v>
      </c>
      <c r="AA217" s="1" t="str">
        <f t="shared" ca="1" si="15"/>
        <v>VENCIDO</v>
      </c>
      <c r="AB217" s="1" t="str">
        <f t="shared" si="16"/>
        <v>C-14</v>
      </c>
      <c r="AC217" s="2" t="str">
        <f t="shared" si="19"/>
        <v xml:space="preserve"> ROSEMERE </v>
      </c>
      <c r="AD217" s="2">
        <f t="shared" si="17"/>
        <v>5</v>
      </c>
      <c r="AE217" s="2">
        <f t="shared" ca="1" si="18"/>
        <v>-461.9262716435187</v>
      </c>
      <c r="AF217" s="15"/>
    </row>
    <row r="218" spans="1:32" hidden="1">
      <c r="A218" s="1">
        <v>8038627</v>
      </c>
      <c r="B218" s="1" t="s">
        <v>81</v>
      </c>
      <c r="C218" t="s">
        <v>240</v>
      </c>
      <c r="E218" s="2">
        <v>9704000206001</v>
      </c>
      <c r="F218" s="1" t="s">
        <v>29</v>
      </c>
      <c r="G218" s="1" t="s">
        <v>53</v>
      </c>
      <c r="H218" s="1" t="s">
        <v>488</v>
      </c>
      <c r="I218" s="1" t="s">
        <v>489</v>
      </c>
      <c r="J218" s="1" t="s">
        <v>164</v>
      </c>
      <c r="K218" t="s">
        <v>34</v>
      </c>
      <c r="M218" s="1" t="s">
        <v>35</v>
      </c>
      <c r="N218" s="1">
        <v>42318949</v>
      </c>
      <c r="O218" s="1" t="s">
        <v>36</v>
      </c>
      <c r="P218" s="186">
        <v>44489.679629629631</v>
      </c>
      <c r="R218" s="1" t="s">
        <v>38</v>
      </c>
      <c r="T218" s="1" t="s">
        <v>74</v>
      </c>
      <c r="U218" s="186">
        <v>44490.679629629631</v>
      </c>
      <c r="V218" s="1" t="s">
        <v>41</v>
      </c>
      <c r="W218" s="1" t="s">
        <v>49</v>
      </c>
      <c r="X218" s="13" t="str">
        <f>IF(RIGHT(H218,2)&lt;&gt;"00",H218,"")</f>
        <v/>
      </c>
      <c r="Y218" s="2">
        <f ca="1">NETWORKDAYS(P218,$Y$1)</f>
        <v>356</v>
      </c>
      <c r="Z218" s="14">
        <v>1</v>
      </c>
      <c r="AA218" s="1" t="str">
        <f t="shared" ca="1" si="15"/>
        <v>VENCIDO</v>
      </c>
      <c r="AB218" s="1" t="str">
        <f t="shared" si="16"/>
        <v>Dosa</v>
      </c>
      <c r="AC218" s="2" t="str">
        <f t="shared" si="19"/>
        <v xml:space="preserve"> ROSEMERE </v>
      </c>
      <c r="AD218" s="2">
        <f t="shared" si="17"/>
        <v>5</v>
      </c>
      <c r="AE218" s="2">
        <f t="shared" ca="1" si="18"/>
        <v>-495.99664201388805</v>
      </c>
      <c r="AF218" s="15"/>
    </row>
    <row r="219" spans="1:32" hidden="1">
      <c r="A219" s="1">
        <v>8038626</v>
      </c>
      <c r="B219" s="1" t="s">
        <v>81</v>
      </c>
      <c r="C219" t="s">
        <v>240</v>
      </c>
      <c r="E219" s="2">
        <v>9703000206001</v>
      </c>
      <c r="F219" s="1" t="s">
        <v>29</v>
      </c>
      <c r="G219" s="1" t="s">
        <v>53</v>
      </c>
      <c r="H219" s="1" t="s">
        <v>494</v>
      </c>
      <c r="I219" s="1" t="s">
        <v>495</v>
      </c>
      <c r="J219" s="1" t="s">
        <v>79</v>
      </c>
      <c r="K219" t="s">
        <v>34</v>
      </c>
      <c r="M219" s="1" t="s">
        <v>35</v>
      </c>
      <c r="N219" s="1">
        <v>42318949</v>
      </c>
      <c r="O219" s="1" t="s">
        <v>36</v>
      </c>
      <c r="P219" s="186">
        <v>44489.679629629631</v>
      </c>
      <c r="R219" s="1" t="s">
        <v>38</v>
      </c>
      <c r="T219" s="1" t="s">
        <v>74</v>
      </c>
      <c r="U219" s="186">
        <v>44490.679629629631</v>
      </c>
      <c r="V219" s="1" t="s">
        <v>41</v>
      </c>
      <c r="W219" s="1" t="s">
        <v>49</v>
      </c>
      <c r="X219" s="13" t="str">
        <f>IF(RIGHT(H219,2)&lt;&gt;"00",H219,"")</f>
        <v/>
      </c>
      <c r="Y219" s="2">
        <f ca="1">NETWORKDAYS(P219,$Y$1)</f>
        <v>356</v>
      </c>
      <c r="Z219" s="14">
        <v>1</v>
      </c>
      <c r="AA219" s="1" t="str">
        <f t="shared" ca="1" si="15"/>
        <v>VENCIDO</v>
      </c>
      <c r="AB219" s="1" t="str">
        <f t="shared" si="16"/>
        <v>Dosa</v>
      </c>
      <c r="AC219" s="2" t="str">
        <f t="shared" si="19"/>
        <v xml:space="preserve"> ROSEMERE </v>
      </c>
      <c r="AD219" s="2">
        <f t="shared" si="17"/>
        <v>5</v>
      </c>
      <c r="AE219" s="2">
        <f t="shared" ca="1" si="18"/>
        <v>-495.99664201388805</v>
      </c>
      <c r="AF219" s="15"/>
    </row>
    <row r="220" spans="1:32" hidden="1">
      <c r="A220" s="1">
        <v>8038016</v>
      </c>
      <c r="B220" s="1" t="s">
        <v>81</v>
      </c>
      <c r="C220" t="s">
        <v>240</v>
      </c>
      <c r="E220" s="2">
        <v>3613200206001</v>
      </c>
      <c r="F220" s="1" t="s">
        <v>29</v>
      </c>
      <c r="G220" s="1" t="s">
        <v>53</v>
      </c>
      <c r="H220" s="1" t="s">
        <v>496</v>
      </c>
      <c r="I220" s="1" t="s">
        <v>198</v>
      </c>
      <c r="J220" s="1" t="s">
        <v>46</v>
      </c>
      <c r="K220" t="s">
        <v>34</v>
      </c>
      <c r="M220" s="1" t="s">
        <v>35</v>
      </c>
      <c r="N220" s="1">
        <v>42318949</v>
      </c>
      <c r="O220" s="1" t="s">
        <v>36</v>
      </c>
      <c r="P220" s="186">
        <v>44489.67869212963</v>
      </c>
      <c r="R220" s="1" t="s">
        <v>38</v>
      </c>
      <c r="T220" s="1" t="s">
        <v>74</v>
      </c>
      <c r="U220" s="186">
        <v>44490.67869212963</v>
      </c>
      <c r="V220" s="1" t="s">
        <v>41</v>
      </c>
      <c r="W220" s="1" t="s">
        <v>49</v>
      </c>
      <c r="X220" s="13" t="str">
        <f>IF(RIGHT(H220,2)&lt;&gt;"00",H220,"")</f>
        <v>3613.20</v>
      </c>
      <c r="Y220" s="2">
        <f ca="1">NETWORKDAYS(P220,$Y$1)</f>
        <v>356</v>
      </c>
      <c r="Z220" s="14">
        <v>1</v>
      </c>
      <c r="AA220" s="1" t="str">
        <f t="shared" ca="1" si="15"/>
        <v>VENCIDO</v>
      </c>
      <c r="AB220" s="1" t="str">
        <f t="shared" si="16"/>
        <v>Dosa</v>
      </c>
      <c r="AC220" s="2" t="str">
        <f t="shared" si="19"/>
        <v xml:space="preserve"> CLEITON </v>
      </c>
      <c r="AD220" s="2">
        <f t="shared" si="17"/>
        <v>5</v>
      </c>
      <c r="AE220" s="2">
        <f t="shared" ca="1" si="18"/>
        <v>-495.99757951388892</v>
      </c>
      <c r="AF220" s="15"/>
    </row>
    <row r="221" spans="1:32" hidden="1">
      <c r="A221" s="1">
        <v>8037912</v>
      </c>
      <c r="B221" s="1" t="s">
        <v>81</v>
      </c>
      <c r="C221" t="s">
        <v>240</v>
      </c>
      <c r="E221" s="2">
        <v>3234160206001</v>
      </c>
      <c r="F221" s="1" t="s">
        <v>29</v>
      </c>
      <c r="G221" s="1" t="s">
        <v>53</v>
      </c>
      <c r="H221" s="1" t="s">
        <v>499</v>
      </c>
      <c r="I221" s="1" t="s">
        <v>500</v>
      </c>
      <c r="J221" s="1" t="s">
        <v>46</v>
      </c>
      <c r="K221" t="s">
        <v>34</v>
      </c>
      <c r="M221" s="1" t="s">
        <v>35</v>
      </c>
      <c r="N221" s="1">
        <v>42318949</v>
      </c>
      <c r="O221" s="1" t="s">
        <v>36</v>
      </c>
      <c r="P221" s="186">
        <v>44489.678518518522</v>
      </c>
      <c r="R221" s="1" t="s">
        <v>38</v>
      </c>
      <c r="T221" s="1" t="s">
        <v>74</v>
      </c>
      <c r="U221" s="186">
        <v>44490.678518518522</v>
      </c>
      <c r="V221" s="1" t="s">
        <v>41</v>
      </c>
      <c r="W221" s="1" t="s">
        <v>49</v>
      </c>
      <c r="X221" s="13" t="str">
        <f>IF(RIGHT(H221,2)&lt;&gt;"00",H221,"")</f>
        <v>3234.16</v>
      </c>
      <c r="Y221" s="2">
        <f ca="1">NETWORKDAYS(P221,$Y$1)</f>
        <v>356</v>
      </c>
      <c r="Z221" s="14">
        <v>1</v>
      </c>
      <c r="AA221" s="1" t="str">
        <f t="shared" ca="1" si="15"/>
        <v>VENCIDO</v>
      </c>
      <c r="AB221" s="1" t="str">
        <f t="shared" si="16"/>
        <v>Dosa</v>
      </c>
      <c r="AC221" s="2" t="str">
        <f t="shared" si="19"/>
        <v xml:space="preserve"> CLEITON </v>
      </c>
      <c r="AD221" s="2">
        <f t="shared" si="17"/>
        <v>5</v>
      </c>
      <c r="AE221" s="2">
        <f t="shared" ca="1" si="18"/>
        <v>-495.99775312499696</v>
      </c>
      <c r="AF221" s="15"/>
    </row>
    <row r="222" spans="1:32" hidden="1">
      <c r="A222" s="1">
        <v>8037881</v>
      </c>
      <c r="B222" s="1" t="s">
        <v>81</v>
      </c>
      <c r="C222" t="s">
        <v>240</v>
      </c>
      <c r="E222" s="2">
        <v>3108010206001</v>
      </c>
      <c r="F222" s="1" t="s">
        <v>29</v>
      </c>
      <c r="G222" s="1" t="s">
        <v>53</v>
      </c>
      <c r="H222" s="1" t="s">
        <v>503</v>
      </c>
      <c r="I222" s="1" t="s">
        <v>504</v>
      </c>
      <c r="J222" s="1" t="s">
        <v>46</v>
      </c>
      <c r="K222" t="s">
        <v>34</v>
      </c>
      <c r="M222" s="1" t="s">
        <v>35</v>
      </c>
      <c r="N222" s="1">
        <v>42318949</v>
      </c>
      <c r="O222" s="1" t="s">
        <v>36</v>
      </c>
      <c r="P222" s="186">
        <v>44489.678483796299</v>
      </c>
      <c r="R222" s="1" t="s">
        <v>38</v>
      </c>
      <c r="T222" s="1" t="s">
        <v>74</v>
      </c>
      <c r="U222" s="186">
        <v>44490.678483796299</v>
      </c>
      <c r="V222" s="1" t="s">
        <v>41</v>
      </c>
      <c r="W222" s="1" t="s">
        <v>49</v>
      </c>
      <c r="X222" s="13" t="str">
        <f>IF(RIGHT(H222,2)&lt;&gt;"00",H222,"")</f>
        <v>3108.01</v>
      </c>
      <c r="Y222" s="2">
        <f ca="1">NETWORKDAYS(P222,$Y$1)</f>
        <v>356</v>
      </c>
      <c r="Z222" s="14">
        <v>1</v>
      </c>
      <c r="AA222" s="1" t="str">
        <f t="shared" ca="1" si="15"/>
        <v>VENCIDO</v>
      </c>
      <c r="AB222" s="1" t="str">
        <f t="shared" si="16"/>
        <v>Dosa</v>
      </c>
      <c r="AC222" s="2" t="str">
        <f t="shared" si="19"/>
        <v xml:space="preserve"> CLEITON </v>
      </c>
      <c r="AD222" s="2">
        <f t="shared" si="17"/>
        <v>5</v>
      </c>
      <c r="AE222" s="2">
        <f t="shared" ca="1" si="18"/>
        <v>-495.99778784722002</v>
      </c>
      <c r="AF222" s="15"/>
    </row>
    <row r="223" spans="1:32" hidden="1">
      <c r="A223" s="1">
        <v>8037734</v>
      </c>
      <c r="B223" s="1" t="s">
        <v>81</v>
      </c>
      <c r="C223" t="s">
        <v>240</v>
      </c>
      <c r="E223" s="2">
        <v>2413000206001</v>
      </c>
      <c r="F223" s="1" t="s">
        <v>29</v>
      </c>
      <c r="G223" s="1" t="s">
        <v>53</v>
      </c>
      <c r="H223" s="1" t="s">
        <v>505</v>
      </c>
      <c r="I223" s="1" t="s">
        <v>506</v>
      </c>
      <c r="J223" s="1" t="s">
        <v>141</v>
      </c>
      <c r="K223" t="s">
        <v>34</v>
      </c>
      <c r="M223" s="1" t="s">
        <v>35</v>
      </c>
      <c r="N223" s="1">
        <v>42318949</v>
      </c>
      <c r="O223" s="1" t="s">
        <v>36</v>
      </c>
      <c r="P223" s="186">
        <v>44489.678206018521</v>
      </c>
      <c r="R223" s="1" t="s">
        <v>38</v>
      </c>
      <c r="T223" s="1" t="s">
        <v>74</v>
      </c>
      <c r="U223" s="186">
        <v>44490.678206018521</v>
      </c>
      <c r="V223" s="1" t="s">
        <v>41</v>
      </c>
      <c r="W223" s="1" t="s">
        <v>49</v>
      </c>
      <c r="X223" s="13" t="str">
        <f>IF(RIGHT(H223,2)&lt;&gt;"00",H223,"")</f>
        <v/>
      </c>
      <c r="Y223" s="2">
        <f ca="1">NETWORKDAYS(P223,$Y$1)</f>
        <v>356</v>
      </c>
      <c r="Z223" s="14">
        <v>1</v>
      </c>
      <c r="AA223" s="1" t="str">
        <f t="shared" ca="1" si="15"/>
        <v>VENCIDO</v>
      </c>
      <c r="AB223" s="1" t="str">
        <f t="shared" si="16"/>
        <v>Dosa</v>
      </c>
      <c r="AC223" s="2" t="str">
        <f t="shared" si="19"/>
        <v xml:space="preserve"> CRISTINA </v>
      </c>
      <c r="AD223" s="2">
        <f t="shared" si="17"/>
        <v>5</v>
      </c>
      <c r="AE223" s="2">
        <f t="shared" ca="1" si="18"/>
        <v>-495.99806562499725</v>
      </c>
      <c r="AF223" s="15"/>
    </row>
    <row r="224" spans="1:32" hidden="1">
      <c r="A224" s="1">
        <v>8037079</v>
      </c>
      <c r="B224" s="1" t="s">
        <v>81</v>
      </c>
      <c r="C224" t="s">
        <v>240</v>
      </c>
      <c r="E224" s="2">
        <v>7740206001</v>
      </c>
      <c r="F224" s="1" t="s">
        <v>29</v>
      </c>
      <c r="G224" s="1" t="s">
        <v>53</v>
      </c>
      <c r="H224" s="1" t="s">
        <v>187</v>
      </c>
      <c r="I224" s="1" t="s">
        <v>188</v>
      </c>
      <c r="J224" s="1" t="s">
        <v>46</v>
      </c>
      <c r="K224" t="s">
        <v>34</v>
      </c>
      <c r="M224" s="1" t="s">
        <v>35</v>
      </c>
      <c r="N224" s="1">
        <v>42318949</v>
      </c>
      <c r="O224" s="1" t="s">
        <v>36</v>
      </c>
      <c r="P224" s="186">
        <v>44489.677141203705</v>
      </c>
      <c r="R224" s="1" t="s">
        <v>38</v>
      </c>
      <c r="T224" s="1" t="s">
        <v>74</v>
      </c>
      <c r="U224" s="186">
        <v>44490.677141203705</v>
      </c>
      <c r="V224" s="1" t="s">
        <v>41</v>
      </c>
      <c r="W224" s="1" t="s">
        <v>49</v>
      </c>
      <c r="X224" s="13" t="str">
        <f>IF(RIGHT(H224,2)&lt;&gt;"00",H224,"")</f>
        <v>0007.74</v>
      </c>
      <c r="Y224" s="2">
        <f ca="1">NETWORKDAYS(P224,$Y$1)</f>
        <v>356</v>
      </c>
      <c r="Z224" s="14">
        <v>1</v>
      </c>
      <c r="AA224" s="1" t="str">
        <f t="shared" ca="1" si="15"/>
        <v>VENCIDO</v>
      </c>
      <c r="AB224" s="1" t="str">
        <f t="shared" si="16"/>
        <v>Dosa</v>
      </c>
      <c r="AC224" s="2" t="str">
        <f t="shared" si="19"/>
        <v xml:space="preserve"> CLEITON </v>
      </c>
      <c r="AD224" s="2">
        <f t="shared" si="17"/>
        <v>5</v>
      </c>
      <c r="AE224" s="2">
        <f t="shared" ca="1" si="18"/>
        <v>-495.9991304398136</v>
      </c>
      <c r="AF224" s="15"/>
    </row>
    <row r="225" spans="1:32" hidden="1">
      <c r="A225" s="1">
        <v>8050725</v>
      </c>
      <c r="B225" s="1" t="s">
        <v>62</v>
      </c>
      <c r="C225" t="s">
        <v>511</v>
      </c>
      <c r="E225" s="2">
        <v>4997000206001</v>
      </c>
      <c r="F225" s="1" t="s">
        <v>29</v>
      </c>
      <c r="G225" s="1" t="s">
        <v>53</v>
      </c>
      <c r="H225" s="1" t="s">
        <v>406</v>
      </c>
      <c r="I225" s="1" t="s">
        <v>407</v>
      </c>
      <c r="J225" s="1" t="s">
        <v>79</v>
      </c>
      <c r="K225" t="s">
        <v>34</v>
      </c>
      <c r="M225" s="1" t="s">
        <v>35</v>
      </c>
      <c r="N225" s="1">
        <v>42318949</v>
      </c>
      <c r="O225" s="1" t="s">
        <v>105</v>
      </c>
      <c r="P225" s="186">
        <v>44494.689618055556</v>
      </c>
      <c r="R225" s="1" t="s">
        <v>38</v>
      </c>
      <c r="T225" s="1" t="s">
        <v>74</v>
      </c>
      <c r="U225" s="186">
        <v>44537.75</v>
      </c>
      <c r="V225" s="1" t="s">
        <v>41</v>
      </c>
      <c r="W225" s="1" t="s">
        <v>49</v>
      </c>
      <c r="X225" s="13" t="str">
        <f>IF(RIGHT(H225,2)&lt;&gt;"00",H225,"")</f>
        <v/>
      </c>
      <c r="Y225" s="2">
        <f ca="1">NETWORKDAYS(P225,$Y$1)</f>
        <v>353</v>
      </c>
      <c r="Z225" s="14">
        <v>1</v>
      </c>
      <c r="AA225" s="1" t="str">
        <f t="shared" ca="1" si="15"/>
        <v>VENCIDO</v>
      </c>
      <c r="AB225" s="1" t="str">
        <f t="shared" si="16"/>
        <v>Dosa</v>
      </c>
      <c r="AC225" s="2" t="str">
        <f t="shared" si="19"/>
        <v xml:space="preserve"> ROSEMERE </v>
      </c>
      <c r="AD225" s="2">
        <f t="shared" si="17"/>
        <v>5</v>
      </c>
      <c r="AE225" s="2">
        <f t="shared" ca="1" si="18"/>
        <v>-448.9262716435187</v>
      </c>
      <c r="AF225" s="15"/>
    </row>
    <row r="226" spans="1:32" hidden="1">
      <c r="A226" s="1">
        <v>8127356</v>
      </c>
      <c r="B226" s="1" t="s">
        <v>62</v>
      </c>
      <c r="C226" t="s">
        <v>514</v>
      </c>
      <c r="E226" s="2">
        <v>537000206001</v>
      </c>
      <c r="F226" s="1" t="s">
        <v>29</v>
      </c>
      <c r="G226" s="1" t="s">
        <v>53</v>
      </c>
      <c r="H226" s="1" t="s">
        <v>442</v>
      </c>
      <c r="I226" s="1" t="s">
        <v>443</v>
      </c>
      <c r="J226" s="1" t="s">
        <v>79</v>
      </c>
      <c r="K226" t="s">
        <v>34</v>
      </c>
      <c r="M226" s="1" t="s">
        <v>35</v>
      </c>
      <c r="N226" s="1">
        <v>42318949</v>
      </c>
      <c r="O226" s="1" t="s">
        <v>36</v>
      </c>
      <c r="P226" s="186">
        <v>44518.723263888889</v>
      </c>
      <c r="R226" s="1" t="s">
        <v>38</v>
      </c>
      <c r="T226" s="1" t="s">
        <v>74</v>
      </c>
      <c r="U226" s="186">
        <v>44560.75</v>
      </c>
      <c r="V226" s="1" t="s">
        <v>41</v>
      </c>
      <c r="W226" s="1" t="s">
        <v>49</v>
      </c>
      <c r="X226" s="13" t="str">
        <f>IF(RIGHT(H226,2)&lt;&gt;"00",H226,"")</f>
        <v/>
      </c>
      <c r="Y226" s="2">
        <f ca="1">NETWORKDAYS(P226,$Y$1)</f>
        <v>335</v>
      </c>
      <c r="Z226" s="14">
        <v>1</v>
      </c>
      <c r="AA226" s="1" t="str">
        <f t="shared" ca="1" si="15"/>
        <v>VENCIDO</v>
      </c>
      <c r="AB226" s="1" t="str">
        <f t="shared" si="16"/>
        <v>Dosa</v>
      </c>
      <c r="AC226" s="2" t="str">
        <f t="shared" si="19"/>
        <v xml:space="preserve"> ROSEMERE </v>
      </c>
      <c r="AD226" s="2">
        <f t="shared" si="17"/>
        <v>5</v>
      </c>
      <c r="AE226" s="2">
        <f t="shared" ca="1" si="18"/>
        <v>-425.9262716435187</v>
      </c>
      <c r="AF226" s="15"/>
    </row>
    <row r="227" spans="1:32" hidden="1">
      <c r="A227" s="1">
        <v>8130031</v>
      </c>
      <c r="B227" s="1" t="s">
        <v>62</v>
      </c>
      <c r="C227" t="s">
        <v>515</v>
      </c>
      <c r="E227" s="2">
        <v>5742000206001</v>
      </c>
      <c r="F227" s="1" t="s">
        <v>29</v>
      </c>
      <c r="G227" s="1" t="s">
        <v>53</v>
      </c>
      <c r="H227" s="1" t="s">
        <v>430</v>
      </c>
      <c r="I227" s="1" t="s">
        <v>431</v>
      </c>
      <c r="J227" s="1" t="s">
        <v>79</v>
      </c>
      <c r="K227" t="s">
        <v>34</v>
      </c>
      <c r="M227" s="1" t="s">
        <v>35</v>
      </c>
      <c r="N227" s="1">
        <v>42318949</v>
      </c>
      <c r="O227" s="1" t="s">
        <v>105</v>
      </c>
      <c r="P227" s="186">
        <v>44519.716967592591</v>
      </c>
      <c r="R227" s="1" t="s">
        <v>38</v>
      </c>
      <c r="T227" s="1" t="s">
        <v>74</v>
      </c>
      <c r="U227" s="186">
        <v>44561.75</v>
      </c>
      <c r="V227" s="1" t="s">
        <v>41</v>
      </c>
      <c r="W227" s="1" t="s">
        <v>49</v>
      </c>
      <c r="X227" s="13" t="str">
        <f>IF(RIGHT(H227,2)&lt;&gt;"00",H227,"")</f>
        <v/>
      </c>
      <c r="Y227" s="2">
        <f ca="1">NETWORKDAYS(P227,$Y$1)</f>
        <v>334</v>
      </c>
      <c r="Z227" s="14">
        <v>1</v>
      </c>
      <c r="AA227" s="1" t="str">
        <f t="shared" ca="1" si="15"/>
        <v>VENCIDO</v>
      </c>
      <c r="AB227" s="1" t="str">
        <f t="shared" si="16"/>
        <v>Dosa</v>
      </c>
      <c r="AC227" s="2" t="str">
        <f t="shared" si="19"/>
        <v xml:space="preserve"> ROSEMERE </v>
      </c>
      <c r="AD227" s="2">
        <f t="shared" si="17"/>
        <v>5</v>
      </c>
      <c r="AE227" s="2">
        <f t="shared" ca="1" si="18"/>
        <v>-424.9262716435187</v>
      </c>
      <c r="AF227" s="15"/>
    </row>
    <row r="228" spans="1:32" hidden="1">
      <c r="A228" s="1">
        <v>8139932</v>
      </c>
      <c r="B228" s="1" t="s">
        <v>81</v>
      </c>
      <c r="C228" t="s">
        <v>518</v>
      </c>
      <c r="E228" s="2">
        <v>7419141893543</v>
      </c>
      <c r="F228" s="1" t="s">
        <v>128</v>
      </c>
      <c r="G228" s="1" t="s">
        <v>53</v>
      </c>
      <c r="H228" s="1" t="s">
        <v>519</v>
      </c>
      <c r="I228" s="1" t="s">
        <v>520</v>
      </c>
      <c r="J228" s="1" t="s">
        <v>90</v>
      </c>
      <c r="K228" t="s">
        <v>129</v>
      </c>
      <c r="M228" s="1" t="s">
        <v>58</v>
      </c>
      <c r="N228" s="1">
        <v>0</v>
      </c>
      <c r="O228" s="1" t="s">
        <v>105</v>
      </c>
      <c r="P228" s="186">
        <v>44524.020509259259</v>
      </c>
      <c r="R228" s="1">
        <v>14</v>
      </c>
      <c r="T228" s="1" t="s">
        <v>238</v>
      </c>
      <c r="U228" s="186">
        <v>44525.020509259259</v>
      </c>
      <c r="V228" s="1" t="s">
        <v>41</v>
      </c>
      <c r="W228" s="1" t="s">
        <v>49</v>
      </c>
      <c r="X228" s="13" t="str">
        <f>IF(RIGHT(H228,2)&lt;&gt;"00",H228,"")</f>
        <v>0870.91</v>
      </c>
      <c r="Y228" s="2">
        <f ca="1">NETWORKDAYS(P228,$Y$1)</f>
        <v>331</v>
      </c>
      <c r="Z228" s="14">
        <v>1</v>
      </c>
      <c r="AA228" s="1" t="str">
        <f t="shared" ca="1" si="15"/>
        <v>VENCIDO</v>
      </c>
      <c r="AB228" s="1" t="str">
        <f t="shared" si="16"/>
        <v>TAAe+</v>
      </c>
      <c r="AC228" s="2" t="str">
        <f t="shared" si="19"/>
        <v xml:space="preserve"> RINALDO </v>
      </c>
      <c r="AD228" s="2">
        <f t="shared" si="17"/>
        <v>8</v>
      </c>
      <c r="AE228" s="2">
        <f t="shared" ca="1" si="18"/>
        <v>-461.65576238426002</v>
      </c>
      <c r="AF228" s="15"/>
    </row>
    <row r="229" spans="1:32" hidden="1">
      <c r="A229" s="1">
        <v>8139913</v>
      </c>
      <c r="B229" s="1" t="s">
        <v>81</v>
      </c>
      <c r="C229" t="s">
        <v>518</v>
      </c>
      <c r="E229" s="2">
        <v>7417163284512</v>
      </c>
      <c r="F229" s="1" t="s">
        <v>131</v>
      </c>
      <c r="G229" s="1" t="s">
        <v>53</v>
      </c>
      <c r="H229" s="1" t="s">
        <v>519</v>
      </c>
      <c r="I229" s="1" t="s">
        <v>520</v>
      </c>
      <c r="J229" s="1" t="s">
        <v>90</v>
      </c>
      <c r="K229" t="s">
        <v>132</v>
      </c>
      <c r="M229" s="1" t="s">
        <v>58</v>
      </c>
      <c r="N229" s="1">
        <v>0</v>
      </c>
      <c r="O229" s="1" t="s">
        <v>105</v>
      </c>
      <c r="P229" s="186">
        <v>44524.020486111112</v>
      </c>
      <c r="R229" s="1">
        <v>14</v>
      </c>
      <c r="T229" s="1" t="s">
        <v>238</v>
      </c>
      <c r="U229" s="186">
        <v>44525.020486111112</v>
      </c>
      <c r="V229" s="1" t="s">
        <v>41</v>
      </c>
      <c r="W229" s="1" t="s">
        <v>49</v>
      </c>
      <c r="X229" s="13" t="str">
        <f>IF(RIGHT(H229,2)&lt;&gt;"00",H229,"")</f>
        <v>0870.91</v>
      </c>
      <c r="Y229" s="2">
        <f ca="1">NETWORKDAYS(P229,$Y$1)</f>
        <v>331</v>
      </c>
      <c r="Z229" s="14">
        <v>1</v>
      </c>
      <c r="AA229" s="1" t="str">
        <f t="shared" ca="1" si="15"/>
        <v>VENCIDO</v>
      </c>
      <c r="AB229" s="1" t="str">
        <f t="shared" si="16"/>
        <v>TAAe+</v>
      </c>
      <c r="AC229" s="2" t="str">
        <f t="shared" si="19"/>
        <v xml:space="preserve"> RINALDO </v>
      </c>
      <c r="AD229" s="2">
        <f t="shared" si="17"/>
        <v>8</v>
      </c>
      <c r="AE229" s="2">
        <f t="shared" ca="1" si="18"/>
        <v>-461.6557855324063</v>
      </c>
      <c r="AF229" s="15"/>
    </row>
    <row r="230" spans="1:32" hidden="1">
      <c r="A230" s="1">
        <v>8253667</v>
      </c>
      <c r="B230" s="1" t="s">
        <v>62</v>
      </c>
      <c r="C230" t="s">
        <v>3575</v>
      </c>
      <c r="E230" s="2">
        <v>1902016589800</v>
      </c>
      <c r="F230" s="1" t="s">
        <v>64</v>
      </c>
      <c r="G230" s="1" t="s">
        <v>53</v>
      </c>
      <c r="H230" s="1" t="s">
        <v>365</v>
      </c>
      <c r="I230" s="1" t="s">
        <v>366</v>
      </c>
      <c r="J230" s="1" t="s">
        <v>164</v>
      </c>
      <c r="K230" t="s">
        <v>67</v>
      </c>
      <c r="M230" s="1" t="s">
        <v>35</v>
      </c>
      <c r="N230" s="1">
        <v>42318949</v>
      </c>
      <c r="O230" s="1" t="s">
        <v>36</v>
      </c>
      <c r="P230" s="186">
        <v>44565.451747685183</v>
      </c>
      <c r="R230" s="1">
        <v>1</v>
      </c>
      <c r="T230" s="1" t="s">
        <v>69</v>
      </c>
      <c r="U230" s="186">
        <v>44566.451747685183</v>
      </c>
      <c r="V230" s="1" t="s">
        <v>41</v>
      </c>
      <c r="W230" s="1" t="s">
        <v>49</v>
      </c>
      <c r="X230" s="13" t="str">
        <f>IF(RIGHT(H230,2)&lt;&gt;"00",H230,"")</f>
        <v/>
      </c>
      <c r="Y230" s="2">
        <f ca="1">NETWORKDAYS(P230,$Y$1)</f>
        <v>302</v>
      </c>
      <c r="Z230" s="14">
        <v>1</v>
      </c>
      <c r="AA230" s="1" t="str">
        <f t="shared" ca="1" si="15"/>
        <v>VENCIDO</v>
      </c>
      <c r="AB230" s="1" t="str">
        <f t="shared" si="16"/>
        <v>TAAe+</v>
      </c>
      <c r="AC230" s="2" t="str">
        <f t="shared" si="19"/>
        <v xml:space="preserve"> ROSEMERE </v>
      </c>
      <c r="AD230" s="2">
        <f t="shared" si="17"/>
        <v>8</v>
      </c>
      <c r="AE230" s="2">
        <f t="shared" ca="1" si="18"/>
        <v>-420.22452395833534</v>
      </c>
      <c r="AF230" s="15"/>
    </row>
    <row r="231" spans="1:32" hidden="1">
      <c r="A231" s="1">
        <v>8253660</v>
      </c>
      <c r="B231" s="1" t="s">
        <v>62</v>
      </c>
      <c r="C231" t="s">
        <v>3575</v>
      </c>
      <c r="E231" s="2">
        <v>1902016083400</v>
      </c>
      <c r="F231" s="1" t="s">
        <v>64</v>
      </c>
      <c r="G231" s="1" t="s">
        <v>53</v>
      </c>
      <c r="H231" s="1" t="s">
        <v>367</v>
      </c>
      <c r="I231" s="1" t="s">
        <v>368</v>
      </c>
      <c r="J231" s="1" t="s">
        <v>261</v>
      </c>
      <c r="K231" t="s">
        <v>67</v>
      </c>
      <c r="M231" s="1" t="s">
        <v>35</v>
      </c>
      <c r="N231" s="1">
        <v>42318949</v>
      </c>
      <c r="O231" s="1" t="s">
        <v>36</v>
      </c>
      <c r="P231" s="186">
        <v>44565.451736111114</v>
      </c>
      <c r="R231" s="1">
        <v>1</v>
      </c>
      <c r="T231" s="1" t="s">
        <v>69</v>
      </c>
      <c r="U231" s="186">
        <v>44566.451736111114</v>
      </c>
      <c r="V231" s="1" t="s">
        <v>41</v>
      </c>
      <c r="W231" s="1" t="s">
        <v>49</v>
      </c>
      <c r="X231" s="13" t="str">
        <f>IF(RIGHT(H231,2)&lt;&gt;"00",H231,"")</f>
        <v/>
      </c>
      <c r="Y231" s="2">
        <f ca="1">NETWORKDAYS(P231,$Y$1)</f>
        <v>302</v>
      </c>
      <c r="Z231" s="14">
        <v>1</v>
      </c>
      <c r="AA231" s="1" t="str">
        <f t="shared" ca="1" si="15"/>
        <v>VENCIDO</v>
      </c>
      <c r="AB231" s="1" t="str">
        <f t="shared" si="16"/>
        <v>TAAe+</v>
      </c>
      <c r="AC231" s="2" t="str">
        <f t="shared" si="19"/>
        <v xml:space="preserve"> CRISTINA </v>
      </c>
      <c r="AD231" s="2">
        <f t="shared" si="17"/>
        <v>8</v>
      </c>
      <c r="AE231" s="2">
        <f t="shared" ca="1" si="18"/>
        <v>-420.22453553240484</v>
      </c>
      <c r="AF231" s="15"/>
    </row>
    <row r="232" spans="1:32" hidden="1">
      <c r="A232" s="1">
        <v>8253659</v>
      </c>
      <c r="B232" s="1" t="s">
        <v>62</v>
      </c>
      <c r="C232" t="s">
        <v>3575</v>
      </c>
      <c r="E232" s="2">
        <v>1902016057000</v>
      </c>
      <c r="F232" s="1" t="s">
        <v>64</v>
      </c>
      <c r="G232" s="1" t="s">
        <v>53</v>
      </c>
      <c r="H232" s="1" t="s">
        <v>434</v>
      </c>
      <c r="I232" s="1" t="s">
        <v>435</v>
      </c>
      <c r="J232" s="1" t="s">
        <v>148</v>
      </c>
      <c r="K232" t="s">
        <v>67</v>
      </c>
      <c r="M232" s="1" t="s">
        <v>35</v>
      </c>
      <c r="N232" s="1">
        <v>42318949</v>
      </c>
      <c r="O232" s="1" t="s">
        <v>36</v>
      </c>
      <c r="P232" s="186">
        <v>44565.451736111114</v>
      </c>
      <c r="R232" s="1">
        <v>1</v>
      </c>
      <c r="T232" s="1" t="s">
        <v>69</v>
      </c>
      <c r="U232" s="186">
        <v>44566.451736111114</v>
      </c>
      <c r="V232" s="1" t="s">
        <v>41</v>
      </c>
      <c r="W232" s="1" t="s">
        <v>49</v>
      </c>
      <c r="X232" s="13" t="str">
        <f>IF(RIGHT(H232,2)&lt;&gt;"00",H232,"")</f>
        <v/>
      </c>
      <c r="Y232" s="2">
        <f ca="1">NETWORKDAYS(P232,$Y$1)</f>
        <v>302</v>
      </c>
      <c r="Z232" s="14">
        <v>1</v>
      </c>
      <c r="AA232" s="1" t="str">
        <f t="shared" ca="1" si="15"/>
        <v>VENCIDO</v>
      </c>
      <c r="AB232" s="1" t="str">
        <f t="shared" si="16"/>
        <v>TAAe+</v>
      </c>
      <c r="AC232" s="2" t="str">
        <f t="shared" si="19"/>
        <v xml:space="preserve"> RINALDO </v>
      </c>
      <c r="AD232" s="2">
        <f t="shared" si="17"/>
        <v>8</v>
      </c>
      <c r="AE232" s="2">
        <f t="shared" ca="1" si="18"/>
        <v>-420.22453553240484</v>
      </c>
      <c r="AF232" s="15"/>
    </row>
    <row r="233" spans="1:32" hidden="1">
      <c r="A233" s="1">
        <v>8253658</v>
      </c>
      <c r="B233" s="1" t="s">
        <v>62</v>
      </c>
      <c r="C233" t="s">
        <v>3575</v>
      </c>
      <c r="E233" s="2">
        <v>1902016044600</v>
      </c>
      <c r="F233" s="1" t="s">
        <v>64</v>
      </c>
      <c r="G233" s="1" t="s">
        <v>53</v>
      </c>
      <c r="H233" s="1" t="s">
        <v>432</v>
      </c>
      <c r="I233" s="1" t="s">
        <v>433</v>
      </c>
      <c r="J233" s="1" t="s">
        <v>141</v>
      </c>
      <c r="K233" t="s">
        <v>67</v>
      </c>
      <c r="M233" s="1" t="s">
        <v>35</v>
      </c>
      <c r="N233" s="1">
        <v>42318949</v>
      </c>
      <c r="O233" s="1" t="s">
        <v>36</v>
      </c>
      <c r="P233" s="186">
        <v>44565.451736111114</v>
      </c>
      <c r="R233" s="1">
        <v>1</v>
      </c>
      <c r="T233" s="1" t="s">
        <v>69</v>
      </c>
      <c r="U233" s="186">
        <v>44566.451736111114</v>
      </c>
      <c r="V233" s="1" t="s">
        <v>41</v>
      </c>
      <c r="W233" s="1" t="s">
        <v>49</v>
      </c>
      <c r="X233" s="13" t="str">
        <f>IF(RIGHT(H233,2)&lt;&gt;"00",H233,"")</f>
        <v/>
      </c>
      <c r="Y233" s="2">
        <f ca="1">NETWORKDAYS(P233,$Y$1)</f>
        <v>302</v>
      </c>
      <c r="Z233" s="14">
        <v>1</v>
      </c>
      <c r="AA233" s="1" t="str">
        <f t="shared" ca="1" si="15"/>
        <v>VENCIDO</v>
      </c>
      <c r="AB233" s="1" t="str">
        <f t="shared" si="16"/>
        <v>TAAe+</v>
      </c>
      <c r="AC233" s="2" t="str">
        <f t="shared" si="19"/>
        <v xml:space="preserve"> CRISTINA </v>
      </c>
      <c r="AD233" s="2">
        <f t="shared" si="17"/>
        <v>8</v>
      </c>
      <c r="AE233" s="2">
        <f t="shared" ca="1" si="18"/>
        <v>-420.22453553240484</v>
      </c>
      <c r="AF233" s="15"/>
    </row>
    <row r="234" spans="1:32" hidden="1">
      <c r="A234" s="1">
        <v>8253656</v>
      </c>
      <c r="B234" s="1" t="s">
        <v>62</v>
      </c>
      <c r="C234" t="s">
        <v>3575</v>
      </c>
      <c r="E234" s="2">
        <v>1902016015900</v>
      </c>
      <c r="F234" s="1" t="s">
        <v>64</v>
      </c>
      <c r="G234" s="1" t="s">
        <v>53</v>
      </c>
      <c r="H234" s="1" t="s">
        <v>331</v>
      </c>
      <c r="I234" s="1" t="s">
        <v>332</v>
      </c>
      <c r="J234" s="1" t="s">
        <v>79</v>
      </c>
      <c r="K234" t="s">
        <v>67</v>
      </c>
      <c r="M234" s="1" t="s">
        <v>35</v>
      </c>
      <c r="N234" s="1">
        <v>42318949</v>
      </c>
      <c r="O234" s="1" t="s">
        <v>36</v>
      </c>
      <c r="P234" s="186">
        <v>44565.451736111114</v>
      </c>
      <c r="R234" s="1">
        <v>1</v>
      </c>
      <c r="T234" s="1" t="s">
        <v>69</v>
      </c>
      <c r="U234" s="186">
        <v>44566.451736111114</v>
      </c>
      <c r="V234" s="1" t="s">
        <v>41</v>
      </c>
      <c r="W234" s="1" t="s">
        <v>49</v>
      </c>
      <c r="X234" s="13" t="str">
        <f>IF(RIGHT(H234,2)&lt;&gt;"00",H234,"")</f>
        <v/>
      </c>
      <c r="Y234" s="2">
        <f ca="1">NETWORKDAYS(P234,$Y$1)</f>
        <v>302</v>
      </c>
      <c r="Z234" s="14">
        <v>1</v>
      </c>
      <c r="AA234" s="1" t="str">
        <f t="shared" ca="1" si="15"/>
        <v>VENCIDO</v>
      </c>
      <c r="AB234" s="1" t="str">
        <f t="shared" si="16"/>
        <v>TAAe+</v>
      </c>
      <c r="AC234" s="2" t="str">
        <f t="shared" si="19"/>
        <v xml:space="preserve"> ROSEMERE </v>
      </c>
      <c r="AD234" s="2">
        <f t="shared" si="17"/>
        <v>8</v>
      </c>
      <c r="AE234" s="2">
        <f t="shared" ca="1" si="18"/>
        <v>-420.22453553240484</v>
      </c>
      <c r="AF234" s="15"/>
    </row>
    <row r="235" spans="1:32" hidden="1">
      <c r="A235" s="1">
        <v>8290700</v>
      </c>
      <c r="B235" s="1" t="s">
        <v>62</v>
      </c>
      <c r="C235" t="s">
        <v>530</v>
      </c>
      <c r="E235" s="2">
        <v>963000203010</v>
      </c>
      <c r="F235" s="1" t="s">
        <v>152</v>
      </c>
      <c r="G235" s="1" t="s">
        <v>53</v>
      </c>
      <c r="H235" s="1" t="s">
        <v>531</v>
      </c>
      <c r="I235" s="1" t="s">
        <v>532</v>
      </c>
      <c r="J235" s="1" t="s">
        <v>33</v>
      </c>
      <c r="K235" t="s">
        <v>155</v>
      </c>
      <c r="M235" s="1" t="s">
        <v>35</v>
      </c>
      <c r="N235" s="1">
        <v>42318949</v>
      </c>
      <c r="O235" s="1" t="s">
        <v>36</v>
      </c>
      <c r="P235" s="186">
        <v>44580.465891203705</v>
      </c>
      <c r="R235" s="1" t="s">
        <v>38</v>
      </c>
      <c r="T235" s="1" t="s">
        <v>157</v>
      </c>
      <c r="U235" s="186">
        <v>44614.75</v>
      </c>
      <c r="V235" s="1" t="s">
        <v>41</v>
      </c>
      <c r="W235" s="1" t="s">
        <v>49</v>
      </c>
      <c r="X235" s="13" t="str">
        <f>IF(RIGHT(H235,2)&lt;&gt;"00",H235,"")</f>
        <v/>
      </c>
      <c r="Y235" s="2">
        <f ca="1">NETWORKDAYS(P235,$Y$1)</f>
        <v>291</v>
      </c>
      <c r="Z235" s="14">
        <v>1</v>
      </c>
      <c r="AA235" s="1" t="str">
        <f t="shared" ca="1" si="15"/>
        <v>VENCIDO</v>
      </c>
      <c r="AB235" s="1" t="str">
        <f t="shared" si="16"/>
        <v>TAAe+</v>
      </c>
      <c r="AC235" s="2" t="str">
        <f t="shared" si="19"/>
        <v xml:space="preserve"> ROSEMERE </v>
      </c>
      <c r="AD235" s="2">
        <f t="shared" si="17"/>
        <v>8</v>
      </c>
      <c r="AE235" s="2">
        <f t="shared" ca="1" si="18"/>
        <v>-371.9262716435187</v>
      </c>
      <c r="AF235" s="15"/>
    </row>
    <row r="236" spans="1:32" hidden="1">
      <c r="A236" s="1">
        <v>8290676</v>
      </c>
      <c r="B236" s="1" t="s">
        <v>62</v>
      </c>
      <c r="C236" t="s">
        <v>530</v>
      </c>
      <c r="E236" s="2">
        <v>67000203010</v>
      </c>
      <c r="F236" s="1" t="s">
        <v>152</v>
      </c>
      <c r="G236" s="1" t="s">
        <v>53</v>
      </c>
      <c r="H236" s="1" t="s">
        <v>404</v>
      </c>
      <c r="I236" s="1" t="s">
        <v>405</v>
      </c>
      <c r="J236" s="1" t="s">
        <v>164</v>
      </c>
      <c r="K236" t="s">
        <v>155</v>
      </c>
      <c r="M236" s="1" t="s">
        <v>35</v>
      </c>
      <c r="N236" s="1">
        <v>42318949</v>
      </c>
      <c r="O236" s="1" t="s">
        <v>36</v>
      </c>
      <c r="P236" s="186">
        <v>44580.465844907405</v>
      </c>
      <c r="R236" s="1" t="s">
        <v>38</v>
      </c>
      <c r="T236" s="1" t="s">
        <v>157</v>
      </c>
      <c r="U236" s="186">
        <v>44614.75</v>
      </c>
      <c r="V236" s="1" t="s">
        <v>41</v>
      </c>
      <c r="W236" s="1" t="s">
        <v>49</v>
      </c>
      <c r="X236" s="13" t="str">
        <f>IF(RIGHT(H236,2)&lt;&gt;"00",H236,"")</f>
        <v/>
      </c>
      <c r="Y236" s="2">
        <f ca="1">NETWORKDAYS(P236,$Y$1)</f>
        <v>291</v>
      </c>
      <c r="Z236" s="14">
        <v>1</v>
      </c>
      <c r="AA236" s="1" t="str">
        <f t="shared" ca="1" si="15"/>
        <v>VENCIDO</v>
      </c>
      <c r="AB236" s="1" t="str">
        <f t="shared" si="16"/>
        <v>TAAe+</v>
      </c>
      <c r="AC236" s="2" t="str">
        <f t="shared" si="19"/>
        <v xml:space="preserve"> ROSEMERE </v>
      </c>
      <c r="AD236" s="2">
        <f t="shared" si="17"/>
        <v>8</v>
      </c>
      <c r="AE236" s="2">
        <f t="shared" ca="1" si="18"/>
        <v>-371.9262716435187</v>
      </c>
      <c r="AF236" s="15"/>
    </row>
    <row r="237" spans="1:32" hidden="1">
      <c r="A237" s="1">
        <v>8290634</v>
      </c>
      <c r="B237" s="1" t="s">
        <v>62</v>
      </c>
      <c r="C237" t="s">
        <v>530</v>
      </c>
      <c r="E237" s="2">
        <v>2988000203010</v>
      </c>
      <c r="F237" s="1" t="s">
        <v>152</v>
      </c>
      <c r="G237" s="1" t="s">
        <v>53</v>
      </c>
      <c r="H237" s="1" t="s">
        <v>536</v>
      </c>
      <c r="I237" s="1" t="s">
        <v>537</v>
      </c>
      <c r="J237" s="1" t="s">
        <v>46</v>
      </c>
      <c r="K237" t="s">
        <v>155</v>
      </c>
      <c r="M237" s="1" t="s">
        <v>35</v>
      </c>
      <c r="N237" s="1">
        <v>42318949</v>
      </c>
      <c r="O237" s="1" t="s">
        <v>36</v>
      </c>
      <c r="P237" s="186">
        <v>44580.465752314813</v>
      </c>
      <c r="R237" s="1" t="s">
        <v>38</v>
      </c>
      <c r="T237" s="1" t="s">
        <v>157</v>
      </c>
      <c r="U237" s="186">
        <v>44614.75</v>
      </c>
      <c r="V237" s="1" t="s">
        <v>41</v>
      </c>
      <c r="W237" s="1" t="s">
        <v>49</v>
      </c>
      <c r="X237" s="13" t="str">
        <f>IF(RIGHT(H237,2)&lt;&gt;"00",H237,"")</f>
        <v/>
      </c>
      <c r="Y237" s="2">
        <f ca="1">NETWORKDAYS(P237,$Y$1)</f>
        <v>291</v>
      </c>
      <c r="Z237" s="14">
        <v>1</v>
      </c>
      <c r="AA237" s="1" t="str">
        <f t="shared" ca="1" si="15"/>
        <v>VENCIDO</v>
      </c>
      <c r="AB237" s="1" t="str">
        <f t="shared" si="16"/>
        <v>TAAe+</v>
      </c>
      <c r="AC237" s="2" t="str">
        <f t="shared" si="19"/>
        <v xml:space="preserve"> CLEITON </v>
      </c>
      <c r="AD237" s="2">
        <f t="shared" si="17"/>
        <v>8</v>
      </c>
      <c r="AE237" s="2">
        <f t="shared" ca="1" si="18"/>
        <v>-371.9262716435187</v>
      </c>
      <c r="AF237" s="15"/>
    </row>
    <row r="238" spans="1:32" hidden="1">
      <c r="A238" s="1">
        <v>8290541</v>
      </c>
      <c r="B238" s="1" t="s">
        <v>62</v>
      </c>
      <c r="C238" t="s">
        <v>530</v>
      </c>
      <c r="E238" s="2">
        <v>1185000203010</v>
      </c>
      <c r="F238" s="1" t="s">
        <v>152</v>
      </c>
      <c r="G238" s="1" t="s">
        <v>53</v>
      </c>
      <c r="H238" s="1" t="s">
        <v>539</v>
      </c>
      <c r="I238" s="1" t="s">
        <v>540</v>
      </c>
      <c r="J238" s="1" t="s">
        <v>33</v>
      </c>
      <c r="K238" t="s">
        <v>155</v>
      </c>
      <c r="M238" s="1" t="s">
        <v>35</v>
      </c>
      <c r="N238" s="1">
        <v>42318949</v>
      </c>
      <c r="O238" s="1" t="s">
        <v>36</v>
      </c>
      <c r="P238" s="186">
        <v>44580.465567129628</v>
      </c>
      <c r="R238" s="1" t="s">
        <v>38</v>
      </c>
      <c r="T238" s="1" t="s">
        <v>157</v>
      </c>
      <c r="U238" s="186">
        <v>44614.75</v>
      </c>
      <c r="V238" s="1" t="s">
        <v>41</v>
      </c>
      <c r="W238" s="1" t="s">
        <v>42</v>
      </c>
      <c r="X238" s="13" t="str">
        <f>IF(RIGHT(H238,2)&lt;&gt;"00",H238,"")</f>
        <v/>
      </c>
      <c r="Y238" s="2">
        <f ca="1">NETWORKDAYS(P238,$Y$1)</f>
        <v>291</v>
      </c>
      <c r="Z238" s="14">
        <v>1</v>
      </c>
      <c r="AA238" s="1" t="str">
        <f t="shared" ca="1" si="15"/>
        <v>VENCIDO</v>
      </c>
      <c r="AB238" s="1" t="str">
        <f t="shared" si="16"/>
        <v>TAAe+</v>
      </c>
      <c r="AC238" s="2" t="str">
        <f t="shared" si="19"/>
        <v xml:space="preserve"> ROSEMERE </v>
      </c>
      <c r="AD238" s="2">
        <f t="shared" si="17"/>
        <v>8</v>
      </c>
      <c r="AE238" s="2">
        <f t="shared" ca="1" si="18"/>
        <v>-371.9262716435187</v>
      </c>
      <c r="AF238" s="15"/>
    </row>
    <row r="239" spans="1:32" hidden="1">
      <c r="A239" s="1">
        <v>8290533</v>
      </c>
      <c r="B239" s="1" t="s">
        <v>62</v>
      </c>
      <c r="C239" t="s">
        <v>530</v>
      </c>
      <c r="E239" s="2">
        <v>115000203010</v>
      </c>
      <c r="F239" s="1" t="s">
        <v>152</v>
      </c>
      <c r="G239" s="1" t="s">
        <v>53</v>
      </c>
      <c r="H239" s="1" t="s">
        <v>542</v>
      </c>
      <c r="I239" s="1" t="s">
        <v>543</v>
      </c>
      <c r="J239" s="1" t="s">
        <v>56</v>
      </c>
      <c r="K239" t="s">
        <v>155</v>
      </c>
      <c r="M239" s="1" t="s">
        <v>35</v>
      </c>
      <c r="N239" s="1">
        <v>42318949</v>
      </c>
      <c r="O239" s="1" t="s">
        <v>36</v>
      </c>
      <c r="P239" s="186">
        <v>44580.465555555558</v>
      </c>
      <c r="R239" s="1" t="s">
        <v>38</v>
      </c>
      <c r="T239" s="1" t="s">
        <v>157</v>
      </c>
      <c r="U239" s="186">
        <v>44614.75</v>
      </c>
      <c r="V239" s="1" t="s">
        <v>41</v>
      </c>
      <c r="W239" s="1" t="s">
        <v>49</v>
      </c>
      <c r="X239" s="13" t="str">
        <f>IF(RIGHT(H239,2)&lt;&gt;"00",H239,"")</f>
        <v/>
      </c>
      <c r="Y239" s="2">
        <f ca="1">NETWORKDAYS(P239,$Y$1)</f>
        <v>291</v>
      </c>
      <c r="Z239" s="14">
        <v>1</v>
      </c>
      <c r="AA239" s="1" t="str">
        <f t="shared" ca="1" si="15"/>
        <v>VENCIDO</v>
      </c>
      <c r="AB239" s="1" t="str">
        <f t="shared" si="16"/>
        <v>TAAe+</v>
      </c>
      <c r="AC239" s="2" t="str">
        <f t="shared" si="19"/>
        <v xml:space="preserve"> CRISTINA </v>
      </c>
      <c r="AD239" s="2">
        <f t="shared" si="17"/>
        <v>8</v>
      </c>
      <c r="AE239" s="2">
        <f t="shared" ca="1" si="18"/>
        <v>-371.9262716435187</v>
      </c>
      <c r="AF239" s="15"/>
    </row>
    <row r="240" spans="1:32" hidden="1">
      <c r="A240" s="1">
        <v>8290521</v>
      </c>
      <c r="B240" s="1" t="s">
        <v>62</v>
      </c>
      <c r="C240" t="s">
        <v>530</v>
      </c>
      <c r="E240" s="2">
        <v>1059000203010</v>
      </c>
      <c r="F240" s="1" t="s">
        <v>152</v>
      </c>
      <c r="G240" s="1" t="s">
        <v>53</v>
      </c>
      <c r="H240" s="1" t="s">
        <v>88</v>
      </c>
      <c r="I240" s="1" t="s">
        <v>89</v>
      </c>
      <c r="J240" s="1" t="s">
        <v>90</v>
      </c>
      <c r="K240" t="s">
        <v>155</v>
      </c>
      <c r="M240" s="1" t="s">
        <v>35</v>
      </c>
      <c r="N240" s="1">
        <v>42318949</v>
      </c>
      <c r="O240" s="1" t="s">
        <v>36</v>
      </c>
      <c r="P240" s="186">
        <v>44580.465520833335</v>
      </c>
      <c r="R240" s="1" t="s">
        <v>38</v>
      </c>
      <c r="T240" s="1" t="s">
        <v>157</v>
      </c>
      <c r="U240" s="186">
        <v>44614.75</v>
      </c>
      <c r="V240" s="1" t="s">
        <v>41</v>
      </c>
      <c r="W240" s="1" t="s">
        <v>49</v>
      </c>
      <c r="X240" s="13" t="str">
        <f>IF(RIGHT(H240,2)&lt;&gt;"00",H240,"")</f>
        <v/>
      </c>
      <c r="Y240" s="2">
        <f ca="1">NETWORKDAYS(P240,$Y$1)</f>
        <v>291</v>
      </c>
      <c r="Z240" s="14">
        <v>1</v>
      </c>
      <c r="AA240" s="1" t="str">
        <f t="shared" ca="1" si="15"/>
        <v>VENCIDO</v>
      </c>
      <c r="AB240" s="1" t="str">
        <f t="shared" si="16"/>
        <v>TAAe+</v>
      </c>
      <c r="AC240" s="2" t="str">
        <f t="shared" si="19"/>
        <v xml:space="preserve"> RINALDO </v>
      </c>
      <c r="AD240" s="2">
        <f t="shared" si="17"/>
        <v>8</v>
      </c>
      <c r="AE240" s="2">
        <f t="shared" ca="1" si="18"/>
        <v>-371.9262716435187</v>
      </c>
      <c r="AF240" s="15"/>
    </row>
    <row r="241" spans="1:32" hidden="1">
      <c r="A241" s="1">
        <v>8290456</v>
      </c>
      <c r="B241" s="1" t="s">
        <v>62</v>
      </c>
      <c r="C241" t="s">
        <v>530</v>
      </c>
      <c r="E241" s="2">
        <v>5816000203010</v>
      </c>
      <c r="F241" s="1" t="s">
        <v>152</v>
      </c>
      <c r="G241" s="1" t="s">
        <v>53</v>
      </c>
      <c r="H241" s="1" t="s">
        <v>412</v>
      </c>
      <c r="I241" s="1" t="s">
        <v>413</v>
      </c>
      <c r="J241" s="1" t="s">
        <v>46</v>
      </c>
      <c r="K241" t="s">
        <v>155</v>
      </c>
      <c r="M241" s="1" t="s">
        <v>35</v>
      </c>
      <c r="N241" s="1">
        <v>42318949</v>
      </c>
      <c r="O241" s="1" t="s">
        <v>36</v>
      </c>
      <c r="P241" s="186">
        <v>44580.465381944443</v>
      </c>
      <c r="R241" s="1" t="s">
        <v>38</v>
      </c>
      <c r="T241" s="1" t="s">
        <v>157</v>
      </c>
      <c r="U241" s="186">
        <v>44614.75</v>
      </c>
      <c r="V241" s="1" t="s">
        <v>41</v>
      </c>
      <c r="W241" s="1" t="s">
        <v>49</v>
      </c>
      <c r="X241" s="13" t="str">
        <f>IF(RIGHT(H241,2)&lt;&gt;"00",H241,"")</f>
        <v/>
      </c>
      <c r="Y241" s="2">
        <f ca="1">NETWORKDAYS(P241,$Y$1)</f>
        <v>291</v>
      </c>
      <c r="Z241" s="14">
        <v>1</v>
      </c>
      <c r="AA241" s="1" t="str">
        <f t="shared" ca="1" si="15"/>
        <v>VENCIDO</v>
      </c>
      <c r="AB241" s="1" t="str">
        <f t="shared" si="16"/>
        <v>TAAe+</v>
      </c>
      <c r="AC241" s="2" t="str">
        <f t="shared" si="19"/>
        <v xml:space="preserve"> CLEITON </v>
      </c>
      <c r="AD241" s="2">
        <f t="shared" si="17"/>
        <v>8</v>
      </c>
      <c r="AE241" s="2">
        <f t="shared" ca="1" si="18"/>
        <v>-371.9262716435187</v>
      </c>
      <c r="AF241" s="15"/>
    </row>
    <row r="242" spans="1:32" hidden="1">
      <c r="A242" s="1">
        <v>8290427</v>
      </c>
      <c r="B242" s="1" t="s">
        <v>62</v>
      </c>
      <c r="C242" t="s">
        <v>530</v>
      </c>
      <c r="E242" s="2">
        <v>2802000203010</v>
      </c>
      <c r="F242" s="1" t="s">
        <v>152</v>
      </c>
      <c r="G242" s="1" t="s">
        <v>53</v>
      </c>
      <c r="H242" s="1" t="s">
        <v>388</v>
      </c>
      <c r="I242" s="1" t="s">
        <v>389</v>
      </c>
      <c r="J242" s="1" t="s">
        <v>46</v>
      </c>
      <c r="K242" t="s">
        <v>155</v>
      </c>
      <c r="M242" s="1" t="s">
        <v>35</v>
      </c>
      <c r="N242" s="1">
        <v>42318949</v>
      </c>
      <c r="O242" s="1" t="s">
        <v>36</v>
      </c>
      <c r="P242" s="186">
        <v>44580.465312499997</v>
      </c>
      <c r="R242" s="1" t="s">
        <v>38</v>
      </c>
      <c r="T242" s="1" t="s">
        <v>157</v>
      </c>
      <c r="U242" s="186">
        <v>44614.75</v>
      </c>
      <c r="V242" s="1" t="s">
        <v>41</v>
      </c>
      <c r="W242" s="1" t="s">
        <v>49</v>
      </c>
      <c r="X242" s="13" t="str">
        <f>IF(RIGHT(H242,2)&lt;&gt;"00",H242,"")</f>
        <v/>
      </c>
      <c r="Y242" s="2">
        <f ca="1">NETWORKDAYS(P242,$Y$1)</f>
        <v>291</v>
      </c>
      <c r="Z242" s="14">
        <v>1</v>
      </c>
      <c r="AA242" s="1" t="str">
        <f t="shared" ca="1" si="15"/>
        <v>VENCIDO</v>
      </c>
      <c r="AB242" s="1" t="str">
        <f t="shared" si="16"/>
        <v>TAAe+</v>
      </c>
      <c r="AC242" s="2" t="str">
        <f t="shared" si="19"/>
        <v xml:space="preserve"> CLEITON </v>
      </c>
      <c r="AD242" s="2">
        <f t="shared" si="17"/>
        <v>8</v>
      </c>
      <c r="AE242" s="2">
        <f t="shared" ca="1" si="18"/>
        <v>-371.9262716435187</v>
      </c>
      <c r="AF242" s="15"/>
    </row>
    <row r="243" spans="1:32" hidden="1">
      <c r="A243" s="1">
        <v>8290375</v>
      </c>
      <c r="B243" s="1" t="s">
        <v>62</v>
      </c>
      <c r="C243" t="s">
        <v>530</v>
      </c>
      <c r="E243" s="2">
        <v>1138000203010</v>
      </c>
      <c r="F243" s="1" t="s">
        <v>152</v>
      </c>
      <c r="G243" s="1" t="s">
        <v>53</v>
      </c>
      <c r="H243" s="1" t="s">
        <v>548</v>
      </c>
      <c r="I243" s="1" t="s">
        <v>549</v>
      </c>
      <c r="J243" s="1" t="s">
        <v>46</v>
      </c>
      <c r="K243" t="s">
        <v>155</v>
      </c>
      <c r="M243" s="1" t="s">
        <v>35</v>
      </c>
      <c r="N243" s="1">
        <v>42318949</v>
      </c>
      <c r="O243" s="1" t="s">
        <v>36</v>
      </c>
      <c r="P243" s="186">
        <v>44580.465185185189</v>
      </c>
      <c r="R243" s="1" t="s">
        <v>38</v>
      </c>
      <c r="T243" s="1" t="s">
        <v>157</v>
      </c>
      <c r="U243" s="186">
        <v>44614.75</v>
      </c>
      <c r="V243" s="1" t="s">
        <v>41</v>
      </c>
      <c r="W243" s="1" t="s">
        <v>49</v>
      </c>
      <c r="X243" s="13" t="str">
        <f>IF(RIGHT(H243,2)&lt;&gt;"00",H243,"")</f>
        <v/>
      </c>
      <c r="Y243" s="2">
        <f ca="1">NETWORKDAYS(P243,$Y$1)</f>
        <v>291</v>
      </c>
      <c r="Z243" s="14">
        <v>1</v>
      </c>
      <c r="AA243" s="1" t="str">
        <f t="shared" ca="1" si="15"/>
        <v>VENCIDO</v>
      </c>
      <c r="AB243" s="1" t="str">
        <f t="shared" si="16"/>
        <v>TAAe+</v>
      </c>
      <c r="AC243" s="2" t="str">
        <f t="shared" si="19"/>
        <v xml:space="preserve"> CLEITON </v>
      </c>
      <c r="AD243" s="2">
        <f t="shared" si="17"/>
        <v>8</v>
      </c>
      <c r="AE243" s="2">
        <f t="shared" ca="1" si="18"/>
        <v>-371.9262716435187</v>
      </c>
      <c r="AF243" s="15"/>
    </row>
    <row r="244" spans="1:32" hidden="1">
      <c r="A244" s="1">
        <v>8338348</v>
      </c>
      <c r="B244" s="1" t="s">
        <v>62</v>
      </c>
      <c r="C244" t="s">
        <v>551</v>
      </c>
      <c r="E244" s="2">
        <v>934000203000</v>
      </c>
      <c r="F244" s="1" t="s">
        <v>454</v>
      </c>
      <c r="G244" s="1" t="s">
        <v>53</v>
      </c>
      <c r="H244" s="1" t="s">
        <v>428</v>
      </c>
      <c r="I244" s="1" t="s">
        <v>429</v>
      </c>
      <c r="J244" s="1" t="s">
        <v>46</v>
      </c>
      <c r="K244" t="s">
        <v>457</v>
      </c>
      <c r="M244" s="1" t="s">
        <v>58</v>
      </c>
      <c r="N244" s="1">
        <v>0</v>
      </c>
      <c r="O244" s="1" t="s">
        <v>36</v>
      </c>
      <c r="P244" s="186">
        <v>44595.603125000001</v>
      </c>
      <c r="R244" s="1" t="s">
        <v>38</v>
      </c>
      <c r="T244" s="1" t="s">
        <v>157</v>
      </c>
      <c r="U244" s="186">
        <v>44676.75</v>
      </c>
      <c r="V244" s="1" t="s">
        <v>41</v>
      </c>
      <c r="W244" s="1" t="s">
        <v>49</v>
      </c>
      <c r="X244" s="13" t="str">
        <f>IF(RIGHT(H244,2)&lt;&gt;"00",H244,"")</f>
        <v/>
      </c>
      <c r="Y244" s="2">
        <f ca="1">NETWORKDAYS(P244,$Y$1)</f>
        <v>280</v>
      </c>
      <c r="Z244" s="14">
        <v>1</v>
      </c>
      <c r="AA244" s="1" t="str">
        <f t="shared" ca="1" si="15"/>
        <v>VENCIDO</v>
      </c>
      <c r="AB244" s="1" t="str">
        <f t="shared" si="16"/>
        <v>C-14</v>
      </c>
      <c r="AC244" s="2" t="str">
        <f t="shared" si="19"/>
        <v xml:space="preserve"> CLEITON </v>
      </c>
      <c r="AD244" s="2">
        <f t="shared" si="17"/>
        <v>5</v>
      </c>
      <c r="AE244" s="2">
        <f t="shared" ca="1" si="18"/>
        <v>-309.9262716435187</v>
      </c>
      <c r="AF244" s="15"/>
    </row>
    <row r="245" spans="1:32" hidden="1">
      <c r="A245" s="1">
        <v>8362148</v>
      </c>
      <c r="B245" s="1" t="s">
        <v>62</v>
      </c>
      <c r="C245" t="s">
        <v>554</v>
      </c>
      <c r="E245" s="2">
        <v>2625000206001</v>
      </c>
      <c r="F245" s="1" t="s">
        <v>29</v>
      </c>
      <c r="G245" s="1" t="s">
        <v>53</v>
      </c>
      <c r="H245" s="1" t="s">
        <v>317</v>
      </c>
      <c r="I245" s="1" t="s">
        <v>318</v>
      </c>
      <c r="J245" s="1" t="s">
        <v>164</v>
      </c>
      <c r="K245" t="s">
        <v>34</v>
      </c>
      <c r="M245" s="1" t="s">
        <v>35</v>
      </c>
      <c r="N245" s="1">
        <v>42318949</v>
      </c>
      <c r="O245" s="1" t="s">
        <v>36</v>
      </c>
      <c r="P245" s="186">
        <v>44606.51085648148</v>
      </c>
      <c r="R245" s="1" t="s">
        <v>38</v>
      </c>
      <c r="T245" s="1" t="s">
        <v>74</v>
      </c>
      <c r="U245" s="186">
        <v>44649.75</v>
      </c>
      <c r="V245" s="1" t="s">
        <v>41</v>
      </c>
      <c r="W245" s="1" t="s">
        <v>49</v>
      </c>
      <c r="X245" s="13" t="str">
        <f>IF(RIGHT(H245,2)&lt;&gt;"00",H245,"")</f>
        <v/>
      </c>
      <c r="Y245" s="2">
        <f ca="1">NETWORKDAYS(P245,$Y$1)</f>
        <v>273</v>
      </c>
      <c r="Z245" s="14">
        <v>1</v>
      </c>
      <c r="AA245" s="1" t="str">
        <f t="shared" ca="1" si="15"/>
        <v>VENCIDO</v>
      </c>
      <c r="AB245" s="1" t="str">
        <f t="shared" si="16"/>
        <v>Dosa</v>
      </c>
      <c r="AC245" s="2" t="str">
        <f t="shared" si="19"/>
        <v xml:space="preserve"> ROSEMERE </v>
      </c>
      <c r="AD245" s="2">
        <f t="shared" si="17"/>
        <v>5</v>
      </c>
      <c r="AE245" s="2">
        <f t="shared" ca="1" si="18"/>
        <v>-336.9262716435187</v>
      </c>
      <c r="AF245" s="15"/>
    </row>
    <row r="246" spans="1:32" hidden="1">
      <c r="A246" s="1">
        <v>8430790</v>
      </c>
      <c r="B246" s="1" t="s">
        <v>62</v>
      </c>
      <c r="C246" t="s">
        <v>240</v>
      </c>
      <c r="E246" s="2">
        <v>2069000203000</v>
      </c>
      <c r="F246" s="1" t="s">
        <v>454</v>
      </c>
      <c r="G246" s="1" t="s">
        <v>53</v>
      </c>
      <c r="H246" s="1" t="s">
        <v>557</v>
      </c>
      <c r="I246" s="1" t="s">
        <v>558</v>
      </c>
      <c r="J246" s="1" t="s">
        <v>90</v>
      </c>
      <c r="K246" t="s">
        <v>457</v>
      </c>
      <c r="M246" s="1" t="s">
        <v>58</v>
      </c>
      <c r="N246" s="1">
        <v>0</v>
      </c>
      <c r="O246" s="1" t="s">
        <v>36</v>
      </c>
      <c r="P246" s="186">
        <v>44634.493680555555</v>
      </c>
      <c r="R246" s="1" t="s">
        <v>38</v>
      </c>
      <c r="T246" s="1" t="s">
        <v>157</v>
      </c>
      <c r="U246" s="186">
        <v>44669.75</v>
      </c>
      <c r="V246" s="1" t="s">
        <v>41</v>
      </c>
      <c r="W246" s="1" t="s">
        <v>49</v>
      </c>
      <c r="X246" s="13" t="str">
        <f>IF(RIGHT(H246,2)&lt;&gt;"00",H246,"")</f>
        <v/>
      </c>
      <c r="Y246" s="2">
        <f ca="1">NETWORKDAYS(P246,$Y$1)</f>
        <v>253</v>
      </c>
      <c r="Z246" s="14">
        <v>1</v>
      </c>
      <c r="AA246" s="1" t="str">
        <f t="shared" ca="1" si="15"/>
        <v>VENCIDO</v>
      </c>
      <c r="AB246" s="1" t="str">
        <f t="shared" si="16"/>
        <v>C-14</v>
      </c>
      <c r="AC246" s="2" t="str">
        <f t="shared" si="19"/>
        <v xml:space="preserve"> RINALDO </v>
      </c>
      <c r="AD246" s="2">
        <f t="shared" si="17"/>
        <v>5</v>
      </c>
      <c r="AE246" s="2">
        <f t="shared" ca="1" si="18"/>
        <v>-316.9262716435187</v>
      </c>
      <c r="AF246" s="15"/>
    </row>
    <row r="247" spans="1:32" hidden="1">
      <c r="A247" s="1">
        <v>8443380</v>
      </c>
      <c r="B247" s="1" t="s">
        <v>62</v>
      </c>
      <c r="C247" t="s">
        <v>530</v>
      </c>
      <c r="E247" s="2">
        <v>2669000203010</v>
      </c>
      <c r="F247" s="1" t="s">
        <v>152</v>
      </c>
      <c r="G247" s="1" t="s">
        <v>53</v>
      </c>
      <c r="H247" s="1" t="s">
        <v>561</v>
      </c>
      <c r="I247" s="1" t="s">
        <v>562</v>
      </c>
      <c r="J247" s="1" t="s">
        <v>261</v>
      </c>
      <c r="K247" t="s">
        <v>155</v>
      </c>
      <c r="M247" s="1" t="s">
        <v>35</v>
      </c>
      <c r="N247" s="1">
        <v>42318949</v>
      </c>
      <c r="O247" s="1" t="s">
        <v>36</v>
      </c>
      <c r="P247" s="186">
        <v>44638.41883101852</v>
      </c>
      <c r="R247" s="1" t="s">
        <v>38</v>
      </c>
      <c r="T247" s="1" t="s">
        <v>157</v>
      </c>
      <c r="U247" s="186">
        <v>44676.75</v>
      </c>
      <c r="V247" s="1" t="s">
        <v>41</v>
      </c>
      <c r="W247" s="1" t="s">
        <v>49</v>
      </c>
      <c r="X247" s="13" t="str">
        <f>IF(RIGHT(H247,2)&lt;&gt;"00",H247,"")</f>
        <v/>
      </c>
      <c r="Y247" s="2">
        <f ca="1">NETWORKDAYS(P247,$Y$1)</f>
        <v>249</v>
      </c>
      <c r="Z247" s="14">
        <v>1</v>
      </c>
      <c r="AA247" s="1" t="str">
        <f t="shared" ca="1" si="15"/>
        <v>VENCIDO</v>
      </c>
      <c r="AB247" s="1" t="str">
        <f t="shared" si="16"/>
        <v>TAAe+</v>
      </c>
      <c r="AC247" s="2" t="str">
        <f t="shared" si="19"/>
        <v xml:space="preserve"> CRISTINA </v>
      </c>
      <c r="AD247" s="2">
        <f t="shared" si="17"/>
        <v>8</v>
      </c>
      <c r="AE247" s="2">
        <f t="shared" ca="1" si="18"/>
        <v>-309.9262716435187</v>
      </c>
      <c r="AF247" s="15"/>
    </row>
    <row r="248" spans="1:32" hidden="1">
      <c r="A248" s="1">
        <v>8487590</v>
      </c>
      <c r="B248" s="1" t="s">
        <v>62</v>
      </c>
      <c r="C248" t="s">
        <v>3576</v>
      </c>
      <c r="E248" s="2">
        <v>1902016053700</v>
      </c>
      <c r="F248" s="1" t="s">
        <v>64</v>
      </c>
      <c r="G248" s="1" t="s">
        <v>53</v>
      </c>
      <c r="H248" s="1" t="s">
        <v>442</v>
      </c>
      <c r="I248" s="1" t="s">
        <v>443</v>
      </c>
      <c r="J248" s="1" t="s">
        <v>79</v>
      </c>
      <c r="K248" t="s">
        <v>67</v>
      </c>
      <c r="M248" s="1" t="s">
        <v>35</v>
      </c>
      <c r="N248" s="1">
        <v>42318949</v>
      </c>
      <c r="O248" s="1" t="s">
        <v>36</v>
      </c>
      <c r="P248" s="186">
        <v>44655.642384259256</v>
      </c>
      <c r="R248" s="1">
        <v>1</v>
      </c>
      <c r="T248" s="1" t="s">
        <v>69</v>
      </c>
      <c r="U248" s="186">
        <v>44656.642384259256</v>
      </c>
      <c r="V248" s="1" t="s">
        <v>41</v>
      </c>
      <c r="W248" s="1" t="s">
        <v>49</v>
      </c>
      <c r="X248" s="13" t="str">
        <f>IF(RIGHT(H248,2)&lt;&gt;"00",H248,"")</f>
        <v/>
      </c>
      <c r="Y248" s="2">
        <f ca="1">NETWORKDAYS(P248,$Y$1)</f>
        <v>238</v>
      </c>
      <c r="Z248" s="14">
        <v>1</v>
      </c>
      <c r="AA248" s="1" t="str">
        <f t="shared" ca="1" si="15"/>
        <v>VENCIDO</v>
      </c>
      <c r="AB248" s="1" t="str">
        <f t="shared" si="16"/>
        <v>TAAe+</v>
      </c>
      <c r="AC248" s="2" t="str">
        <f t="shared" si="19"/>
        <v xml:space="preserve"> ROSEMERE </v>
      </c>
      <c r="AD248" s="2">
        <f t="shared" si="17"/>
        <v>8</v>
      </c>
      <c r="AE248" s="2">
        <f t="shared" ca="1" si="18"/>
        <v>-330.03388738426293</v>
      </c>
      <c r="AF248" s="15"/>
    </row>
    <row r="249" spans="1:32" hidden="1">
      <c r="A249" s="1">
        <v>8488912</v>
      </c>
      <c r="B249" s="1" t="s">
        <v>62</v>
      </c>
      <c r="C249" t="s">
        <v>3577</v>
      </c>
      <c r="E249" s="2">
        <v>1902016192400</v>
      </c>
      <c r="F249" s="1" t="s">
        <v>64</v>
      </c>
      <c r="G249" s="1" t="s">
        <v>53</v>
      </c>
      <c r="H249" s="1" t="s">
        <v>568</v>
      </c>
      <c r="I249" s="1" t="s">
        <v>569</v>
      </c>
      <c r="J249" s="1" t="s">
        <v>33</v>
      </c>
      <c r="K249" t="s">
        <v>67</v>
      </c>
      <c r="M249" s="1" t="s">
        <v>35</v>
      </c>
      <c r="N249" s="1">
        <v>42318949</v>
      </c>
      <c r="O249" s="1" t="s">
        <v>36</v>
      </c>
      <c r="P249" s="186">
        <v>44656.359432870369</v>
      </c>
      <c r="R249" s="1" t="s">
        <v>571</v>
      </c>
      <c r="T249" s="1" t="s">
        <v>69</v>
      </c>
      <c r="U249" s="186">
        <v>44665.375</v>
      </c>
      <c r="V249" s="1" t="s">
        <v>41</v>
      </c>
      <c r="W249" s="1" t="s">
        <v>49</v>
      </c>
      <c r="X249" s="13" t="str">
        <f>IF(RIGHT(H249,2)&lt;&gt;"00",H249,"")</f>
        <v/>
      </c>
      <c r="Y249" s="2">
        <f ca="1">NETWORKDAYS(P249,$Y$1)</f>
        <v>237</v>
      </c>
      <c r="Z249" s="14">
        <v>1</v>
      </c>
      <c r="AA249" s="1" t="str">
        <f t="shared" ca="1" si="15"/>
        <v>VENCIDO</v>
      </c>
      <c r="AB249" s="1" t="str">
        <f t="shared" si="16"/>
        <v>TAAe+</v>
      </c>
      <c r="AC249" s="2" t="str">
        <f t="shared" si="19"/>
        <v xml:space="preserve"> ROSEMERE </v>
      </c>
      <c r="AD249" s="2">
        <f t="shared" si="17"/>
        <v>8</v>
      </c>
      <c r="AE249" s="2">
        <f t="shared" ca="1" si="18"/>
        <v>-321.3012716435187</v>
      </c>
      <c r="AF249" s="15"/>
    </row>
    <row r="250" spans="1:32" hidden="1">
      <c r="A250" s="1">
        <v>8555673</v>
      </c>
      <c r="B250" s="1" t="s">
        <v>101</v>
      </c>
      <c r="C250" t="s">
        <v>573</v>
      </c>
      <c r="E250" s="2">
        <v>1120000206001</v>
      </c>
      <c r="F250" s="1" t="s">
        <v>29</v>
      </c>
      <c r="G250" s="1" t="s">
        <v>53</v>
      </c>
      <c r="H250" s="1" t="s">
        <v>181</v>
      </c>
      <c r="I250" s="1" t="s">
        <v>182</v>
      </c>
      <c r="J250" s="1" t="s">
        <v>164</v>
      </c>
      <c r="K250" t="s">
        <v>34</v>
      </c>
      <c r="M250" s="1" t="s">
        <v>35</v>
      </c>
      <c r="N250" s="1">
        <v>42318949</v>
      </c>
      <c r="O250" s="1" t="s">
        <v>36</v>
      </c>
      <c r="P250" s="186">
        <v>44683.726759259262</v>
      </c>
      <c r="R250" s="1" t="s">
        <v>38</v>
      </c>
      <c r="T250" s="1" t="s">
        <v>74</v>
      </c>
      <c r="U250" s="186">
        <v>44684.75</v>
      </c>
      <c r="V250" s="1" t="s">
        <v>41</v>
      </c>
      <c r="W250" s="1" t="s">
        <v>49</v>
      </c>
      <c r="X250" s="13" t="str">
        <f>IF(RIGHT(H250,2)&lt;&gt;"00",H250,"")</f>
        <v/>
      </c>
      <c r="Y250" s="2">
        <f ca="1">NETWORKDAYS(P250,$Y$1)</f>
        <v>218</v>
      </c>
      <c r="Z250" s="14">
        <v>1</v>
      </c>
      <c r="AA250" s="1" t="str">
        <f t="shared" ca="1" si="15"/>
        <v>VENCIDO</v>
      </c>
      <c r="AB250" s="1" t="str">
        <f t="shared" si="16"/>
        <v>Dosa</v>
      </c>
      <c r="AC250" s="2" t="str">
        <f t="shared" si="19"/>
        <v xml:space="preserve"> ROSEMERE </v>
      </c>
      <c r="AD250" s="2">
        <f t="shared" si="17"/>
        <v>5</v>
      </c>
      <c r="AE250" s="2">
        <f t="shared" ca="1" si="18"/>
        <v>-301.9262716435187</v>
      </c>
      <c r="AF250" s="15"/>
    </row>
    <row r="251" spans="1:32" hidden="1">
      <c r="A251" s="1">
        <v>8555672</v>
      </c>
      <c r="B251" s="1" t="s">
        <v>101</v>
      </c>
      <c r="C251" t="s">
        <v>573</v>
      </c>
      <c r="E251" s="2">
        <v>1120000206001</v>
      </c>
      <c r="F251" s="1" t="s">
        <v>29</v>
      </c>
      <c r="G251" s="1" t="s">
        <v>53</v>
      </c>
      <c r="H251" s="1" t="s">
        <v>181</v>
      </c>
      <c r="I251" s="1" t="s">
        <v>182</v>
      </c>
      <c r="J251" s="1" t="s">
        <v>164</v>
      </c>
      <c r="K251" t="s">
        <v>34</v>
      </c>
      <c r="M251" s="1" t="s">
        <v>35</v>
      </c>
      <c r="N251" s="1">
        <v>42318949</v>
      </c>
      <c r="O251" s="1" t="s">
        <v>36</v>
      </c>
      <c r="P251" s="186">
        <v>44683.726759259262</v>
      </c>
      <c r="R251" s="1" t="s">
        <v>38</v>
      </c>
      <c r="T251" s="1" t="s">
        <v>74</v>
      </c>
      <c r="U251" s="186">
        <v>44684.75</v>
      </c>
      <c r="V251" s="1" t="s">
        <v>41</v>
      </c>
      <c r="W251" s="1" t="s">
        <v>49</v>
      </c>
      <c r="X251" s="13" t="str">
        <f>IF(RIGHT(H251,2)&lt;&gt;"00",H251,"")</f>
        <v/>
      </c>
      <c r="Y251" s="2">
        <f ca="1">NETWORKDAYS(P251,$Y$1)</f>
        <v>218</v>
      </c>
      <c r="Z251" s="14">
        <v>1</v>
      </c>
      <c r="AA251" s="1" t="str">
        <f t="shared" ca="1" si="15"/>
        <v>VENCIDO</v>
      </c>
      <c r="AB251" s="1" t="str">
        <f t="shared" si="16"/>
        <v>Dosa</v>
      </c>
      <c r="AC251" s="2" t="str">
        <f t="shared" si="19"/>
        <v xml:space="preserve"> ROSEMERE </v>
      </c>
      <c r="AD251" s="2">
        <f t="shared" si="17"/>
        <v>5</v>
      </c>
      <c r="AE251" s="2">
        <f t="shared" ca="1" si="18"/>
        <v>-301.9262716435187</v>
      </c>
      <c r="AF251" s="15"/>
    </row>
    <row r="252" spans="1:32" hidden="1">
      <c r="A252" s="1">
        <v>8555626</v>
      </c>
      <c r="B252" s="1" t="s">
        <v>101</v>
      </c>
      <c r="C252" t="s">
        <v>573</v>
      </c>
      <c r="E252" s="2">
        <v>1058000206001</v>
      </c>
      <c r="F252" s="1" t="s">
        <v>29</v>
      </c>
      <c r="G252" s="1" t="s">
        <v>53</v>
      </c>
      <c r="H252" s="1" t="s">
        <v>289</v>
      </c>
      <c r="I252" s="1" t="s">
        <v>290</v>
      </c>
      <c r="J252" s="1" t="s">
        <v>56</v>
      </c>
      <c r="K252" t="s">
        <v>34</v>
      </c>
      <c r="M252" s="1" t="s">
        <v>35</v>
      </c>
      <c r="N252" s="1">
        <v>42318949</v>
      </c>
      <c r="O252" s="1" t="s">
        <v>36</v>
      </c>
      <c r="P252" s="186">
        <v>44683.726666666669</v>
      </c>
      <c r="R252" s="1" t="s">
        <v>38</v>
      </c>
      <c r="T252" s="1" t="s">
        <v>74</v>
      </c>
      <c r="U252" s="186">
        <v>44684.75</v>
      </c>
      <c r="V252" s="1" t="s">
        <v>41</v>
      </c>
      <c r="W252" s="1" t="s">
        <v>49</v>
      </c>
      <c r="X252" s="13" t="str">
        <f>IF(RIGHT(H252,2)&lt;&gt;"00",H252,"")</f>
        <v/>
      </c>
      <c r="Y252" s="2">
        <f ca="1">NETWORKDAYS(P252,$Y$1)</f>
        <v>218</v>
      </c>
      <c r="Z252" s="14">
        <v>1</v>
      </c>
      <c r="AA252" s="1" t="str">
        <f t="shared" ca="1" si="15"/>
        <v>VENCIDO</v>
      </c>
      <c r="AB252" s="1" t="str">
        <f t="shared" si="16"/>
        <v>Dosa</v>
      </c>
      <c r="AC252" s="2" t="str">
        <f t="shared" si="19"/>
        <v xml:space="preserve"> CRISTINA </v>
      </c>
      <c r="AD252" s="2">
        <f t="shared" si="17"/>
        <v>5</v>
      </c>
      <c r="AE252" s="2">
        <f t="shared" ca="1" si="18"/>
        <v>-301.9262716435187</v>
      </c>
      <c r="AF252" s="15"/>
    </row>
    <row r="253" spans="1:32" hidden="1">
      <c r="A253" s="1">
        <v>8555625</v>
      </c>
      <c r="B253" s="1" t="s">
        <v>101</v>
      </c>
      <c r="C253" t="s">
        <v>573</v>
      </c>
      <c r="E253" s="2">
        <v>1058000206001</v>
      </c>
      <c r="F253" s="1" t="s">
        <v>29</v>
      </c>
      <c r="G253" s="1" t="s">
        <v>53</v>
      </c>
      <c r="H253" s="1" t="s">
        <v>289</v>
      </c>
      <c r="I253" s="1" t="s">
        <v>290</v>
      </c>
      <c r="J253" s="1" t="s">
        <v>56</v>
      </c>
      <c r="K253" t="s">
        <v>34</v>
      </c>
      <c r="M253" s="1" t="s">
        <v>35</v>
      </c>
      <c r="N253" s="1">
        <v>42318949</v>
      </c>
      <c r="O253" s="1" t="s">
        <v>36</v>
      </c>
      <c r="P253" s="186">
        <v>44683.726655092592</v>
      </c>
      <c r="R253" s="1" t="s">
        <v>38</v>
      </c>
      <c r="T253" s="1" t="s">
        <v>74</v>
      </c>
      <c r="U253" s="186">
        <v>44684.75</v>
      </c>
      <c r="V253" s="1" t="s">
        <v>41</v>
      </c>
      <c r="W253" s="1" t="s">
        <v>49</v>
      </c>
      <c r="X253" s="13" t="str">
        <f>IF(RIGHT(H253,2)&lt;&gt;"00",H253,"")</f>
        <v/>
      </c>
      <c r="Y253" s="2">
        <f ca="1">NETWORKDAYS(P253,$Y$1)</f>
        <v>218</v>
      </c>
      <c r="Z253" s="14">
        <v>1</v>
      </c>
      <c r="AA253" s="1" t="str">
        <f t="shared" ca="1" si="15"/>
        <v>VENCIDO</v>
      </c>
      <c r="AB253" s="1" t="str">
        <f t="shared" si="16"/>
        <v>Dosa</v>
      </c>
      <c r="AC253" s="2" t="str">
        <f t="shared" si="19"/>
        <v xml:space="preserve"> CRISTINA </v>
      </c>
      <c r="AD253" s="2">
        <f t="shared" si="17"/>
        <v>5</v>
      </c>
      <c r="AE253" s="2">
        <f t="shared" ca="1" si="18"/>
        <v>-301.9262716435187</v>
      </c>
      <c r="AF253" s="15"/>
    </row>
    <row r="254" spans="1:32" hidden="1">
      <c r="A254" s="1">
        <v>8555624</v>
      </c>
      <c r="B254" s="1" t="s">
        <v>101</v>
      </c>
      <c r="C254" t="s">
        <v>573</v>
      </c>
      <c r="E254" s="2">
        <v>1058000206001</v>
      </c>
      <c r="F254" s="1" t="s">
        <v>29</v>
      </c>
      <c r="G254" s="1" t="s">
        <v>53</v>
      </c>
      <c r="H254" s="1" t="s">
        <v>289</v>
      </c>
      <c r="I254" s="1" t="s">
        <v>290</v>
      </c>
      <c r="J254" s="1" t="s">
        <v>56</v>
      </c>
      <c r="K254" t="s">
        <v>34</v>
      </c>
      <c r="M254" s="1" t="s">
        <v>35</v>
      </c>
      <c r="N254" s="1">
        <v>42318949</v>
      </c>
      <c r="O254" s="1" t="s">
        <v>36</v>
      </c>
      <c r="P254" s="186">
        <v>44683.726655092592</v>
      </c>
      <c r="R254" s="1" t="s">
        <v>38</v>
      </c>
      <c r="T254" s="1" t="s">
        <v>74</v>
      </c>
      <c r="U254" s="186">
        <v>44684.75</v>
      </c>
      <c r="V254" s="1" t="s">
        <v>41</v>
      </c>
      <c r="W254" s="1" t="s">
        <v>49</v>
      </c>
      <c r="X254" s="13" t="str">
        <f>IF(RIGHT(H254,2)&lt;&gt;"00",H254,"")</f>
        <v/>
      </c>
      <c r="Y254" s="2">
        <f ca="1">NETWORKDAYS(P254,$Y$1)</f>
        <v>218</v>
      </c>
      <c r="Z254" s="14">
        <v>1</v>
      </c>
      <c r="AA254" s="1" t="str">
        <f t="shared" ca="1" si="15"/>
        <v>VENCIDO</v>
      </c>
      <c r="AB254" s="1" t="str">
        <f t="shared" si="16"/>
        <v>Dosa</v>
      </c>
      <c r="AC254" s="2" t="str">
        <f t="shared" si="19"/>
        <v xml:space="preserve"> CRISTINA </v>
      </c>
      <c r="AD254" s="2">
        <f t="shared" si="17"/>
        <v>5</v>
      </c>
      <c r="AE254" s="2">
        <f t="shared" ca="1" si="18"/>
        <v>-301.9262716435187</v>
      </c>
      <c r="AF254" s="15"/>
    </row>
    <row r="255" spans="1:32" hidden="1">
      <c r="A255" s="1">
        <v>8555329</v>
      </c>
      <c r="B255" s="1" t="s">
        <v>101</v>
      </c>
      <c r="C255" t="s">
        <v>573</v>
      </c>
      <c r="E255" s="2">
        <v>537000206001</v>
      </c>
      <c r="F255" s="1" t="s">
        <v>29</v>
      </c>
      <c r="G255" s="1" t="s">
        <v>53</v>
      </c>
      <c r="H255" s="1" t="s">
        <v>442</v>
      </c>
      <c r="I255" s="1" t="s">
        <v>443</v>
      </c>
      <c r="J255" s="1" t="s">
        <v>79</v>
      </c>
      <c r="K255" t="s">
        <v>34</v>
      </c>
      <c r="M255" s="1" t="s">
        <v>35</v>
      </c>
      <c r="N255" s="1">
        <v>42318949</v>
      </c>
      <c r="O255" s="1" t="s">
        <v>36</v>
      </c>
      <c r="P255" s="186">
        <v>44683.72587962963</v>
      </c>
      <c r="R255" s="1" t="s">
        <v>38</v>
      </c>
      <c r="T255" s="1" t="s">
        <v>74</v>
      </c>
      <c r="U255" s="186">
        <v>44684.75</v>
      </c>
      <c r="V255" s="1" t="s">
        <v>41</v>
      </c>
      <c r="W255" s="1" t="s">
        <v>49</v>
      </c>
      <c r="X255" s="13" t="str">
        <f>IF(RIGHT(H255,2)&lt;&gt;"00",H255,"")</f>
        <v/>
      </c>
      <c r="Y255" s="2">
        <f ca="1">NETWORKDAYS(P255,$Y$1)</f>
        <v>218</v>
      </c>
      <c r="Z255" s="14">
        <v>1</v>
      </c>
      <c r="AA255" s="1" t="str">
        <f t="shared" ca="1" si="15"/>
        <v>VENCIDO</v>
      </c>
      <c r="AB255" s="1" t="str">
        <f t="shared" si="16"/>
        <v>Dosa</v>
      </c>
      <c r="AC255" s="2" t="str">
        <f t="shared" si="19"/>
        <v xml:space="preserve"> ROSEMERE </v>
      </c>
      <c r="AD255" s="2">
        <f t="shared" si="17"/>
        <v>5</v>
      </c>
      <c r="AE255" s="2">
        <f t="shared" ca="1" si="18"/>
        <v>-301.9262716435187</v>
      </c>
      <c r="AF255" s="15"/>
    </row>
    <row r="256" spans="1:32" hidden="1">
      <c r="A256" s="1">
        <v>8591589</v>
      </c>
      <c r="B256" s="1" t="s">
        <v>27</v>
      </c>
      <c r="C256" t="s">
        <v>577</v>
      </c>
      <c r="E256" s="2">
        <v>9703000206201</v>
      </c>
      <c r="F256" s="1" t="s">
        <v>208</v>
      </c>
      <c r="G256" s="1" t="s">
        <v>53</v>
      </c>
      <c r="H256" s="1" t="s">
        <v>494</v>
      </c>
      <c r="I256" s="1" t="s">
        <v>495</v>
      </c>
      <c r="J256" s="1" t="s">
        <v>79</v>
      </c>
      <c r="K256" t="s">
        <v>212</v>
      </c>
      <c r="M256" s="1" t="s">
        <v>35</v>
      </c>
      <c r="N256" s="1">
        <v>42318949</v>
      </c>
      <c r="O256" s="1" t="s">
        <v>36</v>
      </c>
      <c r="P256" s="186">
        <v>44697.547592592593</v>
      </c>
      <c r="R256" s="1" t="s">
        <v>38</v>
      </c>
      <c r="T256" s="1" t="s">
        <v>74</v>
      </c>
      <c r="U256" s="186">
        <v>44739.75</v>
      </c>
      <c r="V256" s="1" t="s">
        <v>41</v>
      </c>
      <c r="W256" s="1" t="s">
        <v>49</v>
      </c>
      <c r="X256" s="13" t="str">
        <f>IF(RIGHT(H256,2)&lt;&gt;"00",H256,"")</f>
        <v/>
      </c>
      <c r="Y256" s="2">
        <f ca="1">NETWORKDAYS(P256,$Y$1)</f>
        <v>208</v>
      </c>
      <c r="Z256" s="14">
        <v>1</v>
      </c>
      <c r="AA256" s="1" t="str">
        <f t="shared" ca="1" si="15"/>
        <v>VENCIDO</v>
      </c>
      <c r="AB256" s="1" t="str">
        <f t="shared" si="16"/>
        <v>TAAe+</v>
      </c>
      <c r="AC256" s="2" t="str">
        <f t="shared" si="19"/>
        <v xml:space="preserve"> ROSEMERE </v>
      </c>
      <c r="AD256" s="2">
        <f t="shared" si="17"/>
        <v>8</v>
      </c>
      <c r="AE256" s="2">
        <f t="shared" ca="1" si="18"/>
        <v>-246.9262716435187</v>
      </c>
      <c r="AF256" s="15"/>
    </row>
    <row r="257" spans="1:32" hidden="1">
      <c r="A257" s="1">
        <v>8600371</v>
      </c>
      <c r="B257" s="1" t="s">
        <v>62</v>
      </c>
      <c r="C257" t="s">
        <v>578</v>
      </c>
      <c r="E257" s="2">
        <v>2437000203000</v>
      </c>
      <c r="F257" s="1" t="s">
        <v>454</v>
      </c>
      <c r="G257" s="1" t="s">
        <v>53</v>
      </c>
      <c r="H257" s="1" t="s">
        <v>416</v>
      </c>
      <c r="I257" s="1" t="s">
        <v>417</v>
      </c>
      <c r="J257" s="1" t="s">
        <v>211</v>
      </c>
      <c r="K257" t="s">
        <v>457</v>
      </c>
      <c r="M257" s="1" t="s">
        <v>58</v>
      </c>
      <c r="N257" s="1">
        <v>0</v>
      </c>
      <c r="O257" s="1" t="s">
        <v>36</v>
      </c>
      <c r="P257" s="186">
        <v>44700.687164351853</v>
      </c>
      <c r="R257" s="1">
        <v>1</v>
      </c>
      <c r="T257" s="1" t="s">
        <v>157</v>
      </c>
      <c r="U257" s="186">
        <v>44735.75</v>
      </c>
      <c r="V257" s="1" t="s">
        <v>41</v>
      </c>
      <c r="W257" s="1" t="s">
        <v>49</v>
      </c>
      <c r="X257" s="13" t="str">
        <f>IF(RIGHT(H257,2)&lt;&gt;"00",H257,"")</f>
        <v/>
      </c>
      <c r="Y257" s="2">
        <f ca="1">NETWORKDAYS(P257,$Y$1)</f>
        <v>205</v>
      </c>
      <c r="Z257" s="14">
        <v>1</v>
      </c>
      <c r="AA257" s="1" t="str">
        <f t="shared" ca="1" si="15"/>
        <v>VENCIDO</v>
      </c>
      <c r="AB257" s="1" t="str">
        <f t="shared" si="16"/>
        <v>C-14</v>
      </c>
      <c r="AC257" s="2" t="str">
        <f t="shared" si="19"/>
        <v xml:space="preserve"> RINALDO </v>
      </c>
      <c r="AD257" s="2">
        <f t="shared" si="17"/>
        <v>5</v>
      </c>
      <c r="AE257" s="2">
        <f t="shared" ca="1" si="18"/>
        <v>-250.9262716435187</v>
      </c>
      <c r="AF257" s="15"/>
    </row>
    <row r="258" spans="1:32" hidden="1">
      <c r="A258" s="1">
        <v>8624265</v>
      </c>
      <c r="B258" s="1" t="s">
        <v>27</v>
      </c>
      <c r="C258" t="s">
        <v>186</v>
      </c>
      <c r="E258" s="2">
        <v>2413000206001</v>
      </c>
      <c r="F258" s="1" t="s">
        <v>29</v>
      </c>
      <c r="G258" s="1" t="s">
        <v>53</v>
      </c>
      <c r="H258" s="1" t="s">
        <v>505</v>
      </c>
      <c r="I258" s="1" t="s">
        <v>506</v>
      </c>
      <c r="J258" s="1" t="s">
        <v>141</v>
      </c>
      <c r="K258" t="s">
        <v>34</v>
      </c>
      <c r="M258" s="1" t="s">
        <v>35</v>
      </c>
      <c r="N258" s="1">
        <v>42318949</v>
      </c>
      <c r="O258" s="1" t="s">
        <v>105</v>
      </c>
      <c r="P258" s="186">
        <v>44711.655636574076</v>
      </c>
      <c r="R258" s="1" t="s">
        <v>38</v>
      </c>
      <c r="T258" s="1" t="s">
        <v>74</v>
      </c>
      <c r="U258" s="186">
        <v>44711.75</v>
      </c>
      <c r="V258" s="1" t="s">
        <v>41</v>
      </c>
      <c r="W258" s="1" t="s">
        <v>49</v>
      </c>
      <c r="X258" s="13" t="str">
        <f>IF(RIGHT(H258,2)&lt;&gt;"00",H258,"")</f>
        <v/>
      </c>
      <c r="Y258" s="2">
        <f ca="1">NETWORKDAYS(P258,$Y$1)</f>
        <v>198</v>
      </c>
      <c r="Z258" s="14">
        <v>1</v>
      </c>
      <c r="AA258" s="1" t="str">
        <f t="shared" ref="AA258:AA321" ca="1" si="20">IF(AE258=0,"HOJE",IF(AE258&gt;0,"A VENCER",IF(AE258&lt;0,"VENCIDO")))</f>
        <v>VENCIDO</v>
      </c>
      <c r="AB258" s="1" t="str">
        <f t="shared" ref="AB258:AB321" si="21">IF(F258="GRPE-000001","C-14",IF(F258="GRPE-000002","C-14",IF(F258="GRPE-000003","C-14",IF(F258="GRPE-000004","SL-On",IF(F258="GRPE-000038","C-14",IF(F258="GRPE-900022","Dosa",IF(F258="GRPE-000029","Dosa",IF(F258="ATOS-000222","Dose","TAAe+"))))))))</f>
        <v>Dosa</v>
      </c>
      <c r="AC258" s="2" t="str">
        <f t="shared" si="19"/>
        <v xml:space="preserve"> CRISTINA </v>
      </c>
      <c r="AD258" s="2">
        <f t="shared" ref="AD258:AD321" si="22">IF(F258="GRPE-000001",5,IF(F258="GRPE-000002",5,IF(F258="GRPE-000003",15,IF(F258="GRPE-000004",1,IF(F258="GRPE-000038",5,IF(F258="GRPE-900022",5,IF(F258="GRPE-000029",5,IF(F258="ATOS-000222",5,8))))))))</f>
        <v>5</v>
      </c>
      <c r="AE258" s="2">
        <f t="shared" ref="AE258:AE321" ca="1" si="23">IF(U258=$AE$1,"",U258-$AE$1)</f>
        <v>-274.9262716435187</v>
      </c>
      <c r="AF258" s="15"/>
    </row>
    <row r="259" spans="1:32" hidden="1">
      <c r="A259" s="1">
        <v>8624202</v>
      </c>
      <c r="B259" s="1" t="s">
        <v>27</v>
      </c>
      <c r="C259" t="s">
        <v>186</v>
      </c>
      <c r="E259" s="2">
        <v>673000206001</v>
      </c>
      <c r="F259" s="1" t="s">
        <v>29</v>
      </c>
      <c r="G259" s="1" t="s">
        <v>53</v>
      </c>
      <c r="H259" s="1" t="s">
        <v>581</v>
      </c>
      <c r="I259" s="1" t="s">
        <v>582</v>
      </c>
      <c r="J259" s="1" t="s">
        <v>110</v>
      </c>
      <c r="K259" t="s">
        <v>34</v>
      </c>
      <c r="M259" s="1" t="s">
        <v>35</v>
      </c>
      <c r="N259" s="1">
        <v>42318949</v>
      </c>
      <c r="O259" s="1" t="s">
        <v>36</v>
      </c>
      <c r="P259" s="186">
        <v>44711.655486111114</v>
      </c>
      <c r="R259" s="1" t="s">
        <v>38</v>
      </c>
      <c r="T259" s="1" t="s">
        <v>74</v>
      </c>
      <c r="U259" s="186">
        <v>44711.75</v>
      </c>
      <c r="V259" s="1" t="s">
        <v>41</v>
      </c>
      <c r="W259" s="1" t="s">
        <v>49</v>
      </c>
      <c r="X259" s="13" t="str">
        <f>IF(RIGHT(H259,2)&lt;&gt;"00",H259,"")</f>
        <v/>
      </c>
      <c r="Y259" s="2">
        <f ca="1">NETWORKDAYS(P259,$Y$1)</f>
        <v>198</v>
      </c>
      <c r="Z259" s="14">
        <v>1</v>
      </c>
      <c r="AA259" s="1" t="str">
        <f t="shared" ca="1" si="20"/>
        <v>VENCIDO</v>
      </c>
      <c r="AB259" s="1" t="str">
        <f t="shared" si="21"/>
        <v>Dosa</v>
      </c>
      <c r="AC259" s="2" t="str">
        <f t="shared" ref="AC259:AC322" si="2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 xml:space="preserve"> CRISTINA </v>
      </c>
      <c r="AD259" s="2">
        <f t="shared" si="22"/>
        <v>5</v>
      </c>
      <c r="AE259" s="2">
        <f t="shared" ca="1" si="23"/>
        <v>-274.9262716435187</v>
      </c>
      <c r="AF259" s="15"/>
    </row>
    <row r="260" spans="1:32" hidden="1">
      <c r="A260" s="1">
        <v>8624200</v>
      </c>
      <c r="B260" s="1" t="s">
        <v>27</v>
      </c>
      <c r="C260" t="s">
        <v>186</v>
      </c>
      <c r="E260" s="2">
        <v>7710206001</v>
      </c>
      <c r="F260" s="1" t="s">
        <v>29</v>
      </c>
      <c r="G260" s="1" t="s">
        <v>53</v>
      </c>
      <c r="H260" s="1" t="s">
        <v>228</v>
      </c>
      <c r="I260" s="1" t="s">
        <v>229</v>
      </c>
      <c r="J260" s="1" t="s">
        <v>46</v>
      </c>
      <c r="K260" t="s">
        <v>34</v>
      </c>
      <c r="M260" s="1" t="s">
        <v>35</v>
      </c>
      <c r="N260" s="1">
        <v>42318949</v>
      </c>
      <c r="O260" s="1" t="s">
        <v>105</v>
      </c>
      <c r="P260" s="186">
        <v>44711.655474537038</v>
      </c>
      <c r="R260" s="1" t="s">
        <v>38</v>
      </c>
      <c r="T260" s="1" t="s">
        <v>74</v>
      </c>
      <c r="U260" s="186">
        <v>44711.75</v>
      </c>
      <c r="V260" s="1" t="s">
        <v>41</v>
      </c>
      <c r="W260" s="1" t="s">
        <v>49</v>
      </c>
      <c r="X260" s="13" t="str">
        <f>IF(RIGHT(H260,2)&lt;&gt;"00",H260,"")</f>
        <v>0007.71</v>
      </c>
      <c r="Y260" s="2">
        <f ca="1">NETWORKDAYS(P260,$Y$1)</f>
        <v>198</v>
      </c>
      <c r="Z260" s="14">
        <v>1</v>
      </c>
      <c r="AA260" s="1" t="str">
        <f t="shared" ca="1" si="20"/>
        <v>VENCIDO</v>
      </c>
      <c r="AB260" s="1" t="str">
        <f t="shared" si="21"/>
        <v>Dosa</v>
      </c>
      <c r="AC260" s="2" t="str">
        <f t="shared" si="24"/>
        <v xml:space="preserve"> CLEITON </v>
      </c>
      <c r="AD260" s="2">
        <f t="shared" si="22"/>
        <v>5</v>
      </c>
      <c r="AE260" s="2">
        <f t="shared" ca="1" si="23"/>
        <v>-274.9262716435187</v>
      </c>
      <c r="AF260" s="15"/>
    </row>
    <row r="261" spans="1:32" hidden="1">
      <c r="A261" s="1">
        <v>8624105</v>
      </c>
      <c r="B261" s="1" t="s">
        <v>27</v>
      </c>
      <c r="C261" t="s">
        <v>186</v>
      </c>
      <c r="E261" s="2">
        <v>3504000206001</v>
      </c>
      <c r="F261" s="1" t="s">
        <v>29</v>
      </c>
      <c r="G261" s="1" t="s">
        <v>53</v>
      </c>
      <c r="H261" s="1" t="s">
        <v>585</v>
      </c>
      <c r="I261" s="1" t="s">
        <v>586</v>
      </c>
      <c r="J261" s="1" t="s">
        <v>46</v>
      </c>
      <c r="K261" t="s">
        <v>34</v>
      </c>
      <c r="M261" s="1" t="s">
        <v>35</v>
      </c>
      <c r="N261" s="1">
        <v>42318949</v>
      </c>
      <c r="O261" s="1" t="s">
        <v>105</v>
      </c>
      <c r="P261" s="186">
        <v>44711.655358796299</v>
      </c>
      <c r="R261" s="1" t="s">
        <v>38</v>
      </c>
      <c r="T261" s="1" t="s">
        <v>74</v>
      </c>
      <c r="U261" s="186">
        <v>44711.75</v>
      </c>
      <c r="V261" s="1" t="s">
        <v>41</v>
      </c>
      <c r="W261" s="1" t="s">
        <v>49</v>
      </c>
      <c r="X261" s="13" t="str">
        <f>IF(RIGHT(H261,2)&lt;&gt;"00",H261,"")</f>
        <v/>
      </c>
      <c r="Y261" s="2">
        <f ca="1">NETWORKDAYS(P261,$Y$1)</f>
        <v>198</v>
      </c>
      <c r="Z261" s="14">
        <v>1</v>
      </c>
      <c r="AA261" s="1" t="str">
        <f t="shared" ca="1" si="20"/>
        <v>VENCIDO</v>
      </c>
      <c r="AB261" s="1" t="str">
        <f t="shared" si="21"/>
        <v>Dosa</v>
      </c>
      <c r="AC261" s="2" t="str">
        <f t="shared" si="24"/>
        <v xml:space="preserve"> CLEITON </v>
      </c>
      <c r="AD261" s="2">
        <f t="shared" si="22"/>
        <v>5</v>
      </c>
      <c r="AE261" s="2">
        <f t="shared" ca="1" si="23"/>
        <v>-274.9262716435187</v>
      </c>
      <c r="AF261" s="15"/>
    </row>
    <row r="262" spans="1:32" hidden="1">
      <c r="A262" s="1">
        <v>8624102</v>
      </c>
      <c r="B262" s="1" t="s">
        <v>27</v>
      </c>
      <c r="C262" t="s">
        <v>186</v>
      </c>
      <c r="E262" s="2">
        <v>220000206001</v>
      </c>
      <c r="F262" s="1" t="s">
        <v>29</v>
      </c>
      <c r="G262" s="1" t="s">
        <v>53</v>
      </c>
      <c r="H262" s="1" t="s">
        <v>588</v>
      </c>
      <c r="I262" s="1" t="s">
        <v>589</v>
      </c>
      <c r="J262" s="1" t="s">
        <v>110</v>
      </c>
      <c r="K262" t="s">
        <v>34</v>
      </c>
      <c r="M262" s="1" t="s">
        <v>35</v>
      </c>
      <c r="N262" s="1">
        <v>42318949</v>
      </c>
      <c r="O262" s="1" t="s">
        <v>105</v>
      </c>
      <c r="P262" s="186">
        <v>44711.655358796299</v>
      </c>
      <c r="R262" s="1" t="s">
        <v>38</v>
      </c>
      <c r="T262" s="1" t="s">
        <v>74</v>
      </c>
      <c r="U262" s="186">
        <v>44711.75</v>
      </c>
      <c r="V262" s="1" t="s">
        <v>41</v>
      </c>
      <c r="W262" s="1" t="s">
        <v>49</v>
      </c>
      <c r="X262" s="13" t="str">
        <f>IF(RIGHT(H262,2)&lt;&gt;"00",H262,"")</f>
        <v/>
      </c>
      <c r="Y262" s="2">
        <f ca="1">NETWORKDAYS(P262,$Y$1)</f>
        <v>198</v>
      </c>
      <c r="Z262" s="14">
        <v>1</v>
      </c>
      <c r="AA262" s="1" t="str">
        <f t="shared" ca="1" si="20"/>
        <v>VENCIDO</v>
      </c>
      <c r="AB262" s="1" t="str">
        <f t="shared" si="21"/>
        <v>Dosa</v>
      </c>
      <c r="AC262" s="2" t="str">
        <f t="shared" si="24"/>
        <v xml:space="preserve"> CRISTINA </v>
      </c>
      <c r="AD262" s="2">
        <f t="shared" si="22"/>
        <v>5</v>
      </c>
      <c r="AE262" s="2">
        <f t="shared" ca="1" si="23"/>
        <v>-274.9262716435187</v>
      </c>
      <c r="AF262" s="15"/>
    </row>
    <row r="263" spans="1:32" hidden="1">
      <c r="A263" s="1">
        <v>8624013</v>
      </c>
      <c r="B263" s="1" t="s">
        <v>27</v>
      </c>
      <c r="C263" t="s">
        <v>186</v>
      </c>
      <c r="E263" s="2">
        <v>2081000206001</v>
      </c>
      <c r="F263" s="1" t="s">
        <v>29</v>
      </c>
      <c r="G263" s="1" t="s">
        <v>53</v>
      </c>
      <c r="H263" s="1" t="s">
        <v>590</v>
      </c>
      <c r="I263" s="1" t="s">
        <v>591</v>
      </c>
      <c r="J263" s="1" t="s">
        <v>261</v>
      </c>
      <c r="K263" t="s">
        <v>34</v>
      </c>
      <c r="M263" s="1" t="s">
        <v>35</v>
      </c>
      <c r="N263" s="1">
        <v>42318949</v>
      </c>
      <c r="O263" s="1" t="s">
        <v>105</v>
      </c>
      <c r="P263" s="186">
        <v>44711.65525462963</v>
      </c>
      <c r="R263" s="1" t="s">
        <v>38</v>
      </c>
      <c r="T263" s="1" t="s">
        <v>74</v>
      </c>
      <c r="U263" s="186">
        <v>44711.75</v>
      </c>
      <c r="V263" s="1" t="s">
        <v>41</v>
      </c>
      <c r="W263" s="1" t="s">
        <v>49</v>
      </c>
      <c r="X263" s="13" t="str">
        <f>IF(RIGHT(H263,2)&lt;&gt;"00",H263,"")</f>
        <v/>
      </c>
      <c r="Y263" s="2">
        <f ca="1">NETWORKDAYS(P263,$Y$1)</f>
        <v>198</v>
      </c>
      <c r="Z263" s="14">
        <v>1</v>
      </c>
      <c r="AA263" s="1" t="str">
        <f t="shared" ca="1" si="20"/>
        <v>VENCIDO</v>
      </c>
      <c r="AB263" s="1" t="str">
        <f t="shared" si="21"/>
        <v>Dosa</v>
      </c>
      <c r="AC263" s="2" t="str">
        <f t="shared" si="24"/>
        <v xml:space="preserve"> CRISTINA </v>
      </c>
      <c r="AD263" s="2">
        <f t="shared" si="22"/>
        <v>5</v>
      </c>
      <c r="AE263" s="2">
        <f t="shared" ca="1" si="23"/>
        <v>-274.9262716435187</v>
      </c>
      <c r="AF263" s="15"/>
    </row>
    <row r="264" spans="1:32" hidden="1">
      <c r="A264" s="1">
        <v>8623899</v>
      </c>
      <c r="B264" s="1" t="s">
        <v>27</v>
      </c>
      <c r="C264" t="s">
        <v>186</v>
      </c>
      <c r="E264" s="2">
        <v>1358000206001</v>
      </c>
      <c r="F264" s="1" t="s">
        <v>29</v>
      </c>
      <c r="G264" s="1" t="s">
        <v>53</v>
      </c>
      <c r="H264" s="1" t="s">
        <v>593</v>
      </c>
      <c r="I264" s="1" t="s">
        <v>594</v>
      </c>
      <c r="J264" s="1" t="s">
        <v>261</v>
      </c>
      <c r="K264" t="s">
        <v>34</v>
      </c>
      <c r="M264" s="1" t="s">
        <v>35</v>
      </c>
      <c r="N264" s="1">
        <v>42318949</v>
      </c>
      <c r="O264" s="1" t="s">
        <v>105</v>
      </c>
      <c r="P264" s="186">
        <v>44711.655104166668</v>
      </c>
      <c r="R264" s="1" t="s">
        <v>38</v>
      </c>
      <c r="T264" s="1" t="s">
        <v>74</v>
      </c>
      <c r="U264" s="186">
        <v>44711.75</v>
      </c>
      <c r="V264" s="1" t="s">
        <v>41</v>
      </c>
      <c r="W264" s="1" t="s">
        <v>49</v>
      </c>
      <c r="X264" s="13" t="str">
        <f>IF(RIGHT(H264,2)&lt;&gt;"00",H264,"")</f>
        <v/>
      </c>
      <c r="Y264" s="2">
        <f ca="1">NETWORKDAYS(P264,$Y$1)</f>
        <v>198</v>
      </c>
      <c r="Z264" s="14">
        <v>1</v>
      </c>
      <c r="AA264" s="1" t="str">
        <f t="shared" ca="1" si="20"/>
        <v>VENCIDO</v>
      </c>
      <c r="AB264" s="1" t="str">
        <f t="shared" si="21"/>
        <v>Dosa</v>
      </c>
      <c r="AC264" s="2" t="str">
        <f t="shared" si="24"/>
        <v xml:space="preserve"> CRISTINA </v>
      </c>
      <c r="AD264" s="2">
        <f t="shared" si="22"/>
        <v>5</v>
      </c>
      <c r="AE264" s="2">
        <f t="shared" ca="1" si="23"/>
        <v>-274.9262716435187</v>
      </c>
      <c r="AF264" s="15"/>
    </row>
    <row r="265" spans="1:32" hidden="1">
      <c r="A265" s="1">
        <v>8623844</v>
      </c>
      <c r="B265" s="1" t="s">
        <v>27</v>
      </c>
      <c r="C265" t="s">
        <v>186</v>
      </c>
      <c r="E265" s="2">
        <v>3503000206001</v>
      </c>
      <c r="F265" s="1" t="s">
        <v>29</v>
      </c>
      <c r="G265" s="1" t="s">
        <v>53</v>
      </c>
      <c r="H265" s="1" t="s">
        <v>398</v>
      </c>
      <c r="I265" s="1" t="s">
        <v>399</v>
      </c>
      <c r="J265" s="1" t="s">
        <v>46</v>
      </c>
      <c r="K265" t="s">
        <v>34</v>
      </c>
      <c r="M265" s="1" t="s">
        <v>35</v>
      </c>
      <c r="N265" s="1">
        <v>42318949</v>
      </c>
      <c r="O265" s="1" t="s">
        <v>105</v>
      </c>
      <c r="P265" s="186">
        <v>44711.655034722222</v>
      </c>
      <c r="R265" s="1" t="s">
        <v>38</v>
      </c>
      <c r="T265" s="1" t="s">
        <v>74</v>
      </c>
      <c r="U265" s="186">
        <v>44711.75</v>
      </c>
      <c r="V265" s="1" t="s">
        <v>41</v>
      </c>
      <c r="W265" s="1" t="s">
        <v>49</v>
      </c>
      <c r="X265" s="13" t="str">
        <f>IF(RIGHT(H265,2)&lt;&gt;"00",H265,"")</f>
        <v/>
      </c>
      <c r="Y265" s="2">
        <f ca="1">NETWORKDAYS(P265,$Y$1)</f>
        <v>198</v>
      </c>
      <c r="Z265" s="14">
        <v>1</v>
      </c>
      <c r="AA265" s="1" t="str">
        <f t="shared" ca="1" si="20"/>
        <v>VENCIDO</v>
      </c>
      <c r="AB265" s="1" t="str">
        <f t="shared" si="21"/>
        <v>Dosa</v>
      </c>
      <c r="AC265" s="2" t="str">
        <f t="shared" si="24"/>
        <v xml:space="preserve"> CLEITON </v>
      </c>
      <c r="AD265" s="2">
        <f t="shared" si="22"/>
        <v>5</v>
      </c>
      <c r="AE265" s="2">
        <f t="shared" ca="1" si="23"/>
        <v>-274.9262716435187</v>
      </c>
      <c r="AF265" s="15"/>
    </row>
    <row r="266" spans="1:32" hidden="1">
      <c r="A266" s="1">
        <v>8623731</v>
      </c>
      <c r="B266" s="1" t="s">
        <v>27</v>
      </c>
      <c r="C266" t="s">
        <v>186</v>
      </c>
      <c r="E266" s="2">
        <v>3234160206001</v>
      </c>
      <c r="F266" s="1" t="s">
        <v>29</v>
      </c>
      <c r="G266" s="1" t="s">
        <v>53</v>
      </c>
      <c r="H266" s="1" t="s">
        <v>499</v>
      </c>
      <c r="I266" s="1" t="s">
        <v>500</v>
      </c>
      <c r="J266" s="1" t="s">
        <v>46</v>
      </c>
      <c r="K266" t="s">
        <v>34</v>
      </c>
      <c r="M266" s="1" t="s">
        <v>35</v>
      </c>
      <c r="N266" s="1">
        <v>42318949</v>
      </c>
      <c r="O266" s="1" t="s">
        <v>105</v>
      </c>
      <c r="P266" s="186">
        <v>44711.65488425926</v>
      </c>
      <c r="R266" s="1" t="s">
        <v>38</v>
      </c>
      <c r="T266" s="1" t="s">
        <v>74</v>
      </c>
      <c r="U266" s="186">
        <v>44711.75</v>
      </c>
      <c r="V266" s="1" t="s">
        <v>41</v>
      </c>
      <c r="W266" s="1" t="s">
        <v>49</v>
      </c>
      <c r="X266" s="13" t="str">
        <f>IF(RIGHT(H266,2)&lt;&gt;"00",H266,"")</f>
        <v>3234.16</v>
      </c>
      <c r="Y266" s="2">
        <f ca="1">NETWORKDAYS(P266,$Y$1)</f>
        <v>198</v>
      </c>
      <c r="Z266" s="14">
        <v>1</v>
      </c>
      <c r="AA266" s="1" t="str">
        <f t="shared" ca="1" si="20"/>
        <v>VENCIDO</v>
      </c>
      <c r="AB266" s="1" t="str">
        <f t="shared" si="21"/>
        <v>Dosa</v>
      </c>
      <c r="AC266" s="2" t="str">
        <f t="shared" si="24"/>
        <v xml:space="preserve"> CLEITON </v>
      </c>
      <c r="AD266" s="2">
        <f t="shared" si="22"/>
        <v>5</v>
      </c>
      <c r="AE266" s="2">
        <f t="shared" ca="1" si="23"/>
        <v>-274.9262716435187</v>
      </c>
      <c r="AF266" s="15"/>
    </row>
    <row r="267" spans="1:32" hidden="1">
      <c r="A267" s="1">
        <v>8623708</v>
      </c>
      <c r="B267" s="1" t="s">
        <v>27</v>
      </c>
      <c r="C267" t="s">
        <v>186</v>
      </c>
      <c r="E267" s="2">
        <v>2018000206001</v>
      </c>
      <c r="F267" s="1" t="s">
        <v>29</v>
      </c>
      <c r="G267" s="1" t="s">
        <v>53</v>
      </c>
      <c r="H267" s="1" t="s">
        <v>598</v>
      </c>
      <c r="I267" s="1" t="s">
        <v>599</v>
      </c>
      <c r="J267" s="1" t="s">
        <v>79</v>
      </c>
      <c r="K267" t="s">
        <v>34</v>
      </c>
      <c r="M267" s="1" t="s">
        <v>35</v>
      </c>
      <c r="N267" s="1">
        <v>42318949</v>
      </c>
      <c r="O267" s="1" t="s">
        <v>105</v>
      </c>
      <c r="P267" s="186">
        <v>44711.654861111114</v>
      </c>
      <c r="R267" s="1" t="s">
        <v>38</v>
      </c>
      <c r="T267" s="1" t="s">
        <v>74</v>
      </c>
      <c r="U267" s="186">
        <v>44711.75</v>
      </c>
      <c r="V267" s="1" t="s">
        <v>41</v>
      </c>
      <c r="W267" s="1" t="s">
        <v>49</v>
      </c>
      <c r="X267" s="13" t="str">
        <f>IF(RIGHT(H267,2)&lt;&gt;"00",H267,"")</f>
        <v/>
      </c>
      <c r="Y267" s="2">
        <f ca="1">NETWORKDAYS(P267,$Y$1)</f>
        <v>198</v>
      </c>
      <c r="Z267" s="14">
        <v>1</v>
      </c>
      <c r="AA267" s="1" t="str">
        <f t="shared" ca="1" si="20"/>
        <v>VENCIDO</v>
      </c>
      <c r="AB267" s="1" t="str">
        <f t="shared" si="21"/>
        <v>Dosa</v>
      </c>
      <c r="AC267" s="2" t="str">
        <f t="shared" si="24"/>
        <v xml:space="preserve"> ROSEMERE </v>
      </c>
      <c r="AD267" s="2">
        <f t="shared" si="22"/>
        <v>5</v>
      </c>
      <c r="AE267" s="2">
        <f t="shared" ca="1" si="23"/>
        <v>-274.9262716435187</v>
      </c>
      <c r="AF267" s="15"/>
    </row>
    <row r="268" spans="1:32" hidden="1">
      <c r="A268" s="1">
        <v>8623572</v>
      </c>
      <c r="B268" s="1" t="s">
        <v>27</v>
      </c>
      <c r="C268" t="s">
        <v>186</v>
      </c>
      <c r="E268" s="2">
        <v>3108010206001</v>
      </c>
      <c r="F268" s="1" t="s">
        <v>29</v>
      </c>
      <c r="G268" s="1" t="s">
        <v>53</v>
      </c>
      <c r="H268" s="1" t="s">
        <v>503</v>
      </c>
      <c r="I268" s="1" t="s">
        <v>504</v>
      </c>
      <c r="J268" s="1" t="s">
        <v>46</v>
      </c>
      <c r="K268" t="s">
        <v>34</v>
      </c>
      <c r="M268" s="1" t="s">
        <v>35</v>
      </c>
      <c r="N268" s="1">
        <v>42318949</v>
      </c>
      <c r="O268" s="1" t="s">
        <v>105</v>
      </c>
      <c r="P268" s="186">
        <v>44711.654664351852</v>
      </c>
      <c r="R268" s="1" t="s">
        <v>38</v>
      </c>
      <c r="T268" s="1" t="s">
        <v>74</v>
      </c>
      <c r="U268" s="186">
        <v>44711.75</v>
      </c>
      <c r="V268" s="1" t="s">
        <v>41</v>
      </c>
      <c r="W268" s="1" t="s">
        <v>49</v>
      </c>
      <c r="X268" s="13" t="str">
        <f>IF(RIGHT(H268,2)&lt;&gt;"00",H268,"")</f>
        <v>3108.01</v>
      </c>
      <c r="Y268" s="2">
        <f ca="1">NETWORKDAYS(P268,$Y$1)</f>
        <v>198</v>
      </c>
      <c r="Z268" s="14">
        <v>1</v>
      </c>
      <c r="AA268" s="1" t="str">
        <f t="shared" ca="1" si="20"/>
        <v>VENCIDO</v>
      </c>
      <c r="AB268" s="1" t="str">
        <f t="shared" si="21"/>
        <v>Dosa</v>
      </c>
      <c r="AC268" s="2" t="str">
        <f t="shared" si="24"/>
        <v xml:space="preserve"> CLEITON </v>
      </c>
      <c r="AD268" s="2">
        <f t="shared" si="22"/>
        <v>5</v>
      </c>
      <c r="AE268" s="2">
        <f t="shared" ca="1" si="23"/>
        <v>-274.9262716435187</v>
      </c>
      <c r="AF268" s="15"/>
    </row>
    <row r="269" spans="1:32" hidden="1">
      <c r="A269" s="1">
        <v>8623522</v>
      </c>
      <c r="B269" s="1" t="s">
        <v>27</v>
      </c>
      <c r="C269" t="s">
        <v>186</v>
      </c>
      <c r="E269" s="2">
        <v>1421000206001</v>
      </c>
      <c r="F269" s="1" t="s">
        <v>29</v>
      </c>
      <c r="G269" s="1" t="s">
        <v>53</v>
      </c>
      <c r="H269" s="1" t="s">
        <v>179</v>
      </c>
      <c r="I269" s="1" t="s">
        <v>180</v>
      </c>
      <c r="J269" s="1" t="s">
        <v>79</v>
      </c>
      <c r="K269" t="s">
        <v>34</v>
      </c>
      <c r="M269" s="1" t="s">
        <v>35</v>
      </c>
      <c r="N269" s="1">
        <v>42318949</v>
      </c>
      <c r="O269" s="1" t="s">
        <v>36</v>
      </c>
      <c r="P269" s="186">
        <v>44711.654594907406</v>
      </c>
      <c r="R269" s="1" t="s">
        <v>38</v>
      </c>
      <c r="T269" s="1" t="s">
        <v>74</v>
      </c>
      <c r="U269" s="186">
        <v>44711.75</v>
      </c>
      <c r="V269" s="1" t="s">
        <v>41</v>
      </c>
      <c r="W269" s="1" t="s">
        <v>49</v>
      </c>
      <c r="X269" s="13" t="str">
        <f>IF(RIGHT(H269,2)&lt;&gt;"00",H269,"")</f>
        <v/>
      </c>
      <c r="Y269" s="2">
        <f ca="1">NETWORKDAYS(P269,$Y$1)</f>
        <v>198</v>
      </c>
      <c r="Z269" s="14">
        <v>1</v>
      </c>
      <c r="AA269" s="1" t="str">
        <f t="shared" ca="1" si="20"/>
        <v>VENCIDO</v>
      </c>
      <c r="AB269" s="1" t="str">
        <f t="shared" si="21"/>
        <v>Dosa</v>
      </c>
      <c r="AC269" s="2" t="str">
        <f t="shared" si="24"/>
        <v xml:space="preserve"> ROSEMERE </v>
      </c>
      <c r="AD269" s="2">
        <f t="shared" si="22"/>
        <v>5</v>
      </c>
      <c r="AE269" s="2">
        <f t="shared" ca="1" si="23"/>
        <v>-274.9262716435187</v>
      </c>
      <c r="AF269" s="15"/>
    </row>
    <row r="270" spans="1:32" hidden="1">
      <c r="A270" s="1">
        <v>8623509</v>
      </c>
      <c r="B270" s="1" t="s">
        <v>27</v>
      </c>
      <c r="C270" t="s">
        <v>186</v>
      </c>
      <c r="E270" s="2">
        <v>1643000206001</v>
      </c>
      <c r="F270" s="1" t="s">
        <v>29</v>
      </c>
      <c r="G270" s="1" t="s">
        <v>53</v>
      </c>
      <c r="H270" s="1" t="s">
        <v>361</v>
      </c>
      <c r="I270" s="1" t="s">
        <v>362</v>
      </c>
      <c r="J270" s="1" t="s">
        <v>261</v>
      </c>
      <c r="K270" t="s">
        <v>34</v>
      </c>
      <c r="M270" s="1" t="s">
        <v>35</v>
      </c>
      <c r="N270" s="1">
        <v>42318949</v>
      </c>
      <c r="O270" s="1" t="s">
        <v>105</v>
      </c>
      <c r="P270" s="186">
        <v>44711.65457175926</v>
      </c>
      <c r="R270" s="1" t="s">
        <v>38</v>
      </c>
      <c r="T270" s="1" t="s">
        <v>74</v>
      </c>
      <c r="U270" s="186">
        <v>44711.75</v>
      </c>
      <c r="V270" s="1" t="s">
        <v>41</v>
      </c>
      <c r="W270" s="1" t="s">
        <v>49</v>
      </c>
      <c r="X270" s="13" t="str">
        <f>IF(RIGHT(H270,2)&lt;&gt;"00",H270,"")</f>
        <v/>
      </c>
      <c r="Y270" s="2">
        <f ca="1">NETWORKDAYS(P270,$Y$1)</f>
        <v>198</v>
      </c>
      <c r="Z270" s="14">
        <v>1</v>
      </c>
      <c r="AA270" s="1" t="str">
        <f t="shared" ca="1" si="20"/>
        <v>VENCIDO</v>
      </c>
      <c r="AB270" s="1" t="str">
        <f t="shared" si="21"/>
        <v>Dosa</v>
      </c>
      <c r="AC270" s="2" t="str">
        <f t="shared" si="24"/>
        <v xml:space="preserve"> CRISTINA </v>
      </c>
      <c r="AD270" s="2">
        <f t="shared" si="22"/>
        <v>5</v>
      </c>
      <c r="AE270" s="2">
        <f t="shared" ca="1" si="23"/>
        <v>-274.9262716435187</v>
      </c>
      <c r="AF270" s="15"/>
    </row>
    <row r="271" spans="1:32" hidden="1">
      <c r="A271" s="1">
        <v>8623470</v>
      </c>
      <c r="B271" s="1" t="s">
        <v>27</v>
      </c>
      <c r="C271" t="s">
        <v>186</v>
      </c>
      <c r="E271" s="2">
        <v>5898000206001</v>
      </c>
      <c r="F271" s="1" t="s">
        <v>29</v>
      </c>
      <c r="G271" s="1" t="s">
        <v>53</v>
      </c>
      <c r="H271" s="1" t="s">
        <v>365</v>
      </c>
      <c r="I271" s="1" t="s">
        <v>366</v>
      </c>
      <c r="J271" s="1" t="s">
        <v>164</v>
      </c>
      <c r="K271" t="s">
        <v>34</v>
      </c>
      <c r="M271" s="1" t="s">
        <v>35</v>
      </c>
      <c r="N271" s="1">
        <v>42318949</v>
      </c>
      <c r="O271" s="1" t="s">
        <v>36</v>
      </c>
      <c r="P271" s="186">
        <v>44711.654513888891</v>
      </c>
      <c r="R271" s="1" t="s">
        <v>38</v>
      </c>
      <c r="T271" s="1" t="s">
        <v>74</v>
      </c>
      <c r="U271" s="186">
        <v>44711.75</v>
      </c>
      <c r="V271" s="1" t="s">
        <v>41</v>
      </c>
      <c r="W271" s="1" t="s">
        <v>49</v>
      </c>
      <c r="X271" s="13" t="str">
        <f>IF(RIGHT(H271,2)&lt;&gt;"00",H271,"")</f>
        <v/>
      </c>
      <c r="Y271" s="2">
        <f ca="1">NETWORKDAYS(P271,$Y$1)</f>
        <v>198</v>
      </c>
      <c r="Z271" s="14">
        <v>1</v>
      </c>
      <c r="AA271" s="1" t="str">
        <f t="shared" ca="1" si="20"/>
        <v>VENCIDO</v>
      </c>
      <c r="AB271" s="1" t="str">
        <f t="shared" si="21"/>
        <v>Dosa</v>
      </c>
      <c r="AC271" s="2" t="str">
        <f t="shared" si="24"/>
        <v xml:space="preserve"> ROSEMERE </v>
      </c>
      <c r="AD271" s="2">
        <f t="shared" si="22"/>
        <v>5</v>
      </c>
      <c r="AE271" s="2">
        <f t="shared" ca="1" si="23"/>
        <v>-274.9262716435187</v>
      </c>
      <c r="AF271" s="15"/>
    </row>
    <row r="272" spans="1:32" hidden="1">
      <c r="A272" s="1">
        <v>8623457</v>
      </c>
      <c r="B272" s="1" t="s">
        <v>27</v>
      </c>
      <c r="C272" t="s">
        <v>186</v>
      </c>
      <c r="E272" s="2">
        <v>4118000206001</v>
      </c>
      <c r="F272" s="1" t="s">
        <v>29</v>
      </c>
      <c r="G272" s="1" t="s">
        <v>53</v>
      </c>
      <c r="H272" s="1" t="s">
        <v>71</v>
      </c>
      <c r="I272" s="1" t="s">
        <v>72</v>
      </c>
      <c r="J272" s="1" t="s">
        <v>46</v>
      </c>
      <c r="K272" t="s">
        <v>34</v>
      </c>
      <c r="M272" s="1" t="s">
        <v>35</v>
      </c>
      <c r="N272" s="1">
        <v>42318949</v>
      </c>
      <c r="O272" s="1" t="s">
        <v>105</v>
      </c>
      <c r="P272" s="186">
        <v>44711.654502314814</v>
      </c>
      <c r="R272" s="1" t="s">
        <v>38</v>
      </c>
      <c r="T272" s="1" t="s">
        <v>74</v>
      </c>
      <c r="U272" s="186">
        <v>44711.75</v>
      </c>
      <c r="V272" s="1" t="s">
        <v>41</v>
      </c>
      <c r="W272" s="1" t="s">
        <v>49</v>
      </c>
      <c r="X272" s="13" t="str">
        <f>IF(RIGHT(H272,2)&lt;&gt;"00",H272,"")</f>
        <v/>
      </c>
      <c r="Y272" s="2">
        <f ca="1">NETWORKDAYS(P272,$Y$1)</f>
        <v>198</v>
      </c>
      <c r="Z272" s="14">
        <v>1</v>
      </c>
      <c r="AA272" s="1" t="str">
        <f t="shared" ca="1" si="20"/>
        <v>VENCIDO</v>
      </c>
      <c r="AB272" s="1" t="str">
        <f t="shared" si="21"/>
        <v>Dosa</v>
      </c>
      <c r="AC272" s="2" t="str">
        <f t="shared" si="24"/>
        <v xml:space="preserve"> CLEITON </v>
      </c>
      <c r="AD272" s="2">
        <f t="shared" si="22"/>
        <v>5</v>
      </c>
      <c r="AE272" s="2">
        <f t="shared" ca="1" si="23"/>
        <v>-274.9262716435187</v>
      </c>
      <c r="AF272" s="15"/>
    </row>
    <row r="273" spans="1:32" hidden="1">
      <c r="A273" s="1">
        <v>8623414</v>
      </c>
      <c r="B273" s="1" t="s">
        <v>27</v>
      </c>
      <c r="C273" t="s">
        <v>186</v>
      </c>
      <c r="E273" s="2">
        <v>2107000206001</v>
      </c>
      <c r="F273" s="1" t="s">
        <v>29</v>
      </c>
      <c r="G273" s="1" t="s">
        <v>53</v>
      </c>
      <c r="H273" s="1" t="s">
        <v>262</v>
      </c>
      <c r="I273" s="1" t="s">
        <v>263</v>
      </c>
      <c r="J273" s="1" t="s">
        <v>164</v>
      </c>
      <c r="K273" t="s">
        <v>34</v>
      </c>
      <c r="M273" s="1" t="s">
        <v>35</v>
      </c>
      <c r="N273" s="1">
        <v>42318949</v>
      </c>
      <c r="O273" s="1" t="s">
        <v>105</v>
      </c>
      <c r="P273" s="186">
        <v>44711.654444444444</v>
      </c>
      <c r="R273" s="1" t="s">
        <v>38</v>
      </c>
      <c r="T273" s="1" t="s">
        <v>74</v>
      </c>
      <c r="U273" s="186">
        <v>44711.75</v>
      </c>
      <c r="V273" s="1" t="s">
        <v>41</v>
      </c>
      <c r="W273" s="1" t="s">
        <v>49</v>
      </c>
      <c r="X273" s="13" t="str">
        <f>IF(RIGHT(H273,2)&lt;&gt;"00",H273,"")</f>
        <v/>
      </c>
      <c r="Y273" s="2">
        <f ca="1">NETWORKDAYS(P273,$Y$1)</f>
        <v>198</v>
      </c>
      <c r="Z273" s="14">
        <v>1</v>
      </c>
      <c r="AA273" s="1" t="str">
        <f t="shared" ca="1" si="20"/>
        <v>VENCIDO</v>
      </c>
      <c r="AB273" s="1" t="str">
        <f t="shared" si="21"/>
        <v>Dosa</v>
      </c>
      <c r="AC273" s="2" t="str">
        <f t="shared" si="24"/>
        <v xml:space="preserve"> ROSEMERE </v>
      </c>
      <c r="AD273" s="2">
        <f t="shared" si="22"/>
        <v>5</v>
      </c>
      <c r="AE273" s="2">
        <f t="shared" ca="1" si="23"/>
        <v>-274.9262716435187</v>
      </c>
      <c r="AF273" s="15"/>
    </row>
    <row r="274" spans="1:32" hidden="1">
      <c r="A274" s="1">
        <v>8623404</v>
      </c>
      <c r="B274" s="1" t="s">
        <v>27</v>
      </c>
      <c r="C274" t="s">
        <v>186</v>
      </c>
      <c r="E274" s="2">
        <v>2388000206001</v>
      </c>
      <c r="F274" s="1" t="s">
        <v>29</v>
      </c>
      <c r="G274" s="1" t="s">
        <v>53</v>
      </c>
      <c r="H274" s="1" t="s">
        <v>299</v>
      </c>
      <c r="I274" s="1" t="s">
        <v>300</v>
      </c>
      <c r="J274" s="1" t="s">
        <v>79</v>
      </c>
      <c r="K274" t="s">
        <v>34</v>
      </c>
      <c r="M274" s="1" t="s">
        <v>35</v>
      </c>
      <c r="N274" s="1">
        <v>42318949</v>
      </c>
      <c r="O274" s="1" t="s">
        <v>36</v>
      </c>
      <c r="P274" s="186">
        <v>44711.654432870368</v>
      </c>
      <c r="R274" s="1" t="s">
        <v>38</v>
      </c>
      <c r="T274" s="1" t="s">
        <v>74</v>
      </c>
      <c r="U274" s="186">
        <v>44711.75</v>
      </c>
      <c r="V274" s="1" t="s">
        <v>41</v>
      </c>
      <c r="W274" s="1" t="s">
        <v>49</v>
      </c>
      <c r="X274" s="13" t="str">
        <f>IF(RIGHT(H274,2)&lt;&gt;"00",H274,"")</f>
        <v/>
      </c>
      <c r="Y274" s="2">
        <f ca="1">NETWORKDAYS(P274,$Y$1)</f>
        <v>198</v>
      </c>
      <c r="Z274" s="14">
        <v>1</v>
      </c>
      <c r="AA274" s="1" t="str">
        <f t="shared" ca="1" si="20"/>
        <v>VENCIDO</v>
      </c>
      <c r="AB274" s="1" t="str">
        <f t="shared" si="21"/>
        <v>Dosa</v>
      </c>
      <c r="AC274" s="2" t="str">
        <f t="shared" si="24"/>
        <v xml:space="preserve"> ROSEMERE </v>
      </c>
      <c r="AD274" s="2">
        <f t="shared" si="22"/>
        <v>5</v>
      </c>
      <c r="AE274" s="2">
        <f t="shared" ca="1" si="23"/>
        <v>-274.9262716435187</v>
      </c>
      <c r="AF274" s="15"/>
    </row>
    <row r="275" spans="1:32" hidden="1">
      <c r="A275" s="1">
        <v>8623397</v>
      </c>
      <c r="B275" s="1" t="s">
        <v>27</v>
      </c>
      <c r="C275" t="s">
        <v>186</v>
      </c>
      <c r="E275" s="2">
        <v>1710000206001</v>
      </c>
      <c r="F275" s="1" t="s">
        <v>29</v>
      </c>
      <c r="G275" s="1" t="s">
        <v>53</v>
      </c>
      <c r="H275" s="1" t="s">
        <v>327</v>
      </c>
      <c r="I275" s="1" t="s">
        <v>328</v>
      </c>
      <c r="J275" s="1" t="s">
        <v>261</v>
      </c>
      <c r="K275" t="s">
        <v>34</v>
      </c>
      <c r="M275" s="1" t="s">
        <v>35</v>
      </c>
      <c r="N275" s="1">
        <v>42318949</v>
      </c>
      <c r="O275" s="1" t="s">
        <v>105</v>
      </c>
      <c r="P275" s="186">
        <v>44711.654421296298</v>
      </c>
      <c r="R275" s="1" t="s">
        <v>38</v>
      </c>
      <c r="T275" s="1" t="s">
        <v>74</v>
      </c>
      <c r="U275" s="186">
        <v>44711.75</v>
      </c>
      <c r="V275" s="1" t="s">
        <v>41</v>
      </c>
      <c r="W275" s="1" t="s">
        <v>49</v>
      </c>
      <c r="X275" s="13" t="str">
        <f>IF(RIGHT(H275,2)&lt;&gt;"00",H275,"")</f>
        <v/>
      </c>
      <c r="Y275" s="2">
        <f ca="1">NETWORKDAYS(P275,$Y$1)</f>
        <v>198</v>
      </c>
      <c r="Z275" s="14">
        <v>1</v>
      </c>
      <c r="AA275" s="1" t="str">
        <f t="shared" ca="1" si="20"/>
        <v>VENCIDO</v>
      </c>
      <c r="AB275" s="1" t="str">
        <f t="shared" si="21"/>
        <v>Dosa</v>
      </c>
      <c r="AC275" s="2" t="str">
        <f t="shared" si="24"/>
        <v xml:space="preserve"> CRISTINA </v>
      </c>
      <c r="AD275" s="2">
        <f t="shared" si="22"/>
        <v>5</v>
      </c>
      <c r="AE275" s="2">
        <f t="shared" ca="1" si="23"/>
        <v>-274.9262716435187</v>
      </c>
      <c r="AF275" s="15"/>
    </row>
    <row r="276" spans="1:32" hidden="1">
      <c r="A276" s="1">
        <v>8623394</v>
      </c>
      <c r="B276" s="1" t="s">
        <v>27</v>
      </c>
      <c r="C276" t="s">
        <v>186</v>
      </c>
      <c r="E276" s="2">
        <v>4274000206001</v>
      </c>
      <c r="F276" s="1" t="s">
        <v>29</v>
      </c>
      <c r="G276" s="1" t="s">
        <v>53</v>
      </c>
      <c r="H276" s="1" t="s">
        <v>386</v>
      </c>
      <c r="I276" s="1" t="s">
        <v>387</v>
      </c>
      <c r="J276" s="1" t="s">
        <v>46</v>
      </c>
      <c r="K276" t="s">
        <v>34</v>
      </c>
      <c r="M276" s="1" t="s">
        <v>35</v>
      </c>
      <c r="N276" s="1">
        <v>42318949</v>
      </c>
      <c r="O276" s="1" t="s">
        <v>36</v>
      </c>
      <c r="P276" s="186">
        <v>44711.654409722221</v>
      </c>
      <c r="R276" s="1" t="s">
        <v>38</v>
      </c>
      <c r="T276" s="1" t="s">
        <v>74</v>
      </c>
      <c r="U276" s="186">
        <v>44711.75</v>
      </c>
      <c r="V276" s="1" t="s">
        <v>41</v>
      </c>
      <c r="W276" s="1" t="s">
        <v>49</v>
      </c>
      <c r="X276" s="13" t="str">
        <f>IF(RIGHT(H276,2)&lt;&gt;"00",H276,"")</f>
        <v/>
      </c>
      <c r="Y276" s="2">
        <f ca="1">NETWORKDAYS(P276,$Y$1)</f>
        <v>198</v>
      </c>
      <c r="Z276" s="14">
        <v>1</v>
      </c>
      <c r="AA276" s="1" t="str">
        <f t="shared" ca="1" si="20"/>
        <v>VENCIDO</v>
      </c>
      <c r="AB276" s="1" t="str">
        <f t="shared" si="21"/>
        <v>Dosa</v>
      </c>
      <c r="AC276" s="2" t="str">
        <f t="shared" si="24"/>
        <v xml:space="preserve"> CLEITON </v>
      </c>
      <c r="AD276" s="2">
        <f t="shared" si="22"/>
        <v>5</v>
      </c>
      <c r="AE276" s="2">
        <f t="shared" ca="1" si="23"/>
        <v>-274.9262716435187</v>
      </c>
      <c r="AF276" s="15"/>
    </row>
    <row r="277" spans="1:32" hidden="1">
      <c r="A277" s="1">
        <v>8623366</v>
      </c>
      <c r="B277" s="1" t="s">
        <v>27</v>
      </c>
      <c r="C277" t="s">
        <v>186</v>
      </c>
      <c r="E277" s="2">
        <v>710000206001</v>
      </c>
      <c r="F277" s="1" t="s">
        <v>29</v>
      </c>
      <c r="G277" s="1" t="s">
        <v>53</v>
      </c>
      <c r="H277" s="1" t="s">
        <v>390</v>
      </c>
      <c r="I277" s="1" t="s">
        <v>391</v>
      </c>
      <c r="J277" s="1" t="s">
        <v>56</v>
      </c>
      <c r="K277" t="s">
        <v>34</v>
      </c>
      <c r="M277" s="1" t="s">
        <v>35</v>
      </c>
      <c r="N277" s="1">
        <v>42318949</v>
      </c>
      <c r="O277" s="1" t="s">
        <v>105</v>
      </c>
      <c r="P277" s="186">
        <v>44711.654374999998</v>
      </c>
      <c r="R277" s="1" t="s">
        <v>38</v>
      </c>
      <c r="T277" s="1" t="s">
        <v>74</v>
      </c>
      <c r="U277" s="186">
        <v>44711.75</v>
      </c>
      <c r="V277" s="1" t="s">
        <v>41</v>
      </c>
      <c r="W277" s="1" t="s">
        <v>49</v>
      </c>
      <c r="X277" s="13" t="str">
        <f>IF(RIGHT(H277,2)&lt;&gt;"00",H277,"")</f>
        <v/>
      </c>
      <c r="Y277" s="2">
        <f ca="1">NETWORKDAYS(P277,$Y$1)</f>
        <v>198</v>
      </c>
      <c r="Z277" s="14">
        <v>1</v>
      </c>
      <c r="AA277" s="1" t="str">
        <f t="shared" ca="1" si="20"/>
        <v>VENCIDO</v>
      </c>
      <c r="AB277" s="1" t="str">
        <f t="shared" si="21"/>
        <v>Dosa</v>
      </c>
      <c r="AC277" s="2" t="str">
        <f t="shared" si="24"/>
        <v xml:space="preserve"> CRISTINA </v>
      </c>
      <c r="AD277" s="2">
        <f t="shared" si="22"/>
        <v>5</v>
      </c>
      <c r="AE277" s="2">
        <f t="shared" ca="1" si="23"/>
        <v>-274.9262716435187</v>
      </c>
      <c r="AF277" s="15"/>
    </row>
    <row r="278" spans="1:32" hidden="1">
      <c r="A278" s="1">
        <v>8623339</v>
      </c>
      <c r="B278" s="1" t="s">
        <v>27</v>
      </c>
      <c r="C278" t="s">
        <v>186</v>
      </c>
      <c r="E278" s="2">
        <v>550000206001</v>
      </c>
      <c r="F278" s="1" t="s">
        <v>29</v>
      </c>
      <c r="G278" s="1" t="s">
        <v>53</v>
      </c>
      <c r="H278" s="1" t="s">
        <v>337</v>
      </c>
      <c r="I278" s="1" t="s">
        <v>338</v>
      </c>
      <c r="J278" s="1" t="s">
        <v>164</v>
      </c>
      <c r="K278" t="s">
        <v>34</v>
      </c>
      <c r="M278" s="1" t="s">
        <v>35</v>
      </c>
      <c r="N278" s="1">
        <v>42318949</v>
      </c>
      <c r="O278" s="1" t="s">
        <v>105</v>
      </c>
      <c r="P278" s="186">
        <v>44711.654340277775</v>
      </c>
      <c r="R278" s="1" t="s">
        <v>38</v>
      </c>
      <c r="T278" s="1" t="s">
        <v>74</v>
      </c>
      <c r="U278" s="186">
        <v>44711.75</v>
      </c>
      <c r="V278" s="1" t="s">
        <v>41</v>
      </c>
      <c r="W278" s="1" t="s">
        <v>49</v>
      </c>
      <c r="X278" s="13" t="str">
        <f>IF(RIGHT(H278,2)&lt;&gt;"00",H278,"")</f>
        <v/>
      </c>
      <c r="Y278" s="2">
        <f ca="1">NETWORKDAYS(P278,$Y$1)</f>
        <v>198</v>
      </c>
      <c r="Z278" s="14">
        <v>1</v>
      </c>
      <c r="AA278" s="1" t="str">
        <f t="shared" ca="1" si="20"/>
        <v>VENCIDO</v>
      </c>
      <c r="AB278" s="1" t="str">
        <f t="shared" si="21"/>
        <v>Dosa</v>
      </c>
      <c r="AC278" s="2" t="str">
        <f t="shared" si="24"/>
        <v xml:space="preserve"> ROSEMERE </v>
      </c>
      <c r="AD278" s="2">
        <f t="shared" si="22"/>
        <v>5</v>
      </c>
      <c r="AE278" s="2">
        <f t="shared" ca="1" si="23"/>
        <v>-274.9262716435187</v>
      </c>
      <c r="AF278" s="15"/>
    </row>
    <row r="279" spans="1:32" hidden="1">
      <c r="A279" s="1">
        <v>8623323</v>
      </c>
      <c r="B279" s="1" t="s">
        <v>27</v>
      </c>
      <c r="C279" t="s">
        <v>186</v>
      </c>
      <c r="E279" s="2">
        <v>1943000206001</v>
      </c>
      <c r="F279" s="1" t="s">
        <v>29</v>
      </c>
      <c r="G279" s="1" t="s">
        <v>53</v>
      </c>
      <c r="H279" s="1" t="s">
        <v>264</v>
      </c>
      <c r="I279" s="1" t="s">
        <v>265</v>
      </c>
      <c r="J279" s="1" t="s">
        <v>56</v>
      </c>
      <c r="K279" t="s">
        <v>34</v>
      </c>
      <c r="M279" s="1" t="s">
        <v>35</v>
      </c>
      <c r="N279" s="1">
        <v>42318949</v>
      </c>
      <c r="O279" s="1" t="s">
        <v>105</v>
      </c>
      <c r="P279" s="186">
        <v>44711.654328703706</v>
      </c>
      <c r="R279" s="1" t="s">
        <v>38</v>
      </c>
      <c r="T279" s="1" t="s">
        <v>74</v>
      </c>
      <c r="U279" s="186">
        <v>44711.75</v>
      </c>
      <c r="V279" s="1" t="s">
        <v>41</v>
      </c>
      <c r="W279" s="1" t="s">
        <v>49</v>
      </c>
      <c r="X279" s="13" t="str">
        <f>IF(RIGHT(H279,2)&lt;&gt;"00",H279,"")</f>
        <v/>
      </c>
      <c r="Y279" s="2">
        <f ca="1">NETWORKDAYS(P279,$Y$1)</f>
        <v>198</v>
      </c>
      <c r="Z279" s="14">
        <v>1</v>
      </c>
      <c r="AA279" s="1" t="str">
        <f t="shared" ca="1" si="20"/>
        <v>VENCIDO</v>
      </c>
      <c r="AB279" s="1" t="str">
        <f t="shared" si="21"/>
        <v>Dosa</v>
      </c>
      <c r="AC279" s="2" t="str">
        <f t="shared" si="24"/>
        <v xml:space="preserve"> CRISTINA </v>
      </c>
      <c r="AD279" s="2">
        <f t="shared" si="22"/>
        <v>5</v>
      </c>
      <c r="AE279" s="2">
        <f t="shared" ca="1" si="23"/>
        <v>-274.9262716435187</v>
      </c>
      <c r="AF279" s="15"/>
    </row>
    <row r="280" spans="1:32" hidden="1">
      <c r="A280" s="1">
        <v>8623269</v>
      </c>
      <c r="B280" s="1" t="s">
        <v>27</v>
      </c>
      <c r="C280" t="s">
        <v>186</v>
      </c>
      <c r="E280" s="2">
        <v>1761000206001</v>
      </c>
      <c r="F280" s="1" t="s">
        <v>29</v>
      </c>
      <c r="G280" s="1" t="s">
        <v>53</v>
      </c>
      <c r="H280" s="1" t="s">
        <v>375</v>
      </c>
      <c r="I280" s="1" t="s">
        <v>376</v>
      </c>
      <c r="J280" s="1" t="s">
        <v>56</v>
      </c>
      <c r="K280" t="s">
        <v>34</v>
      </c>
      <c r="M280" s="1" t="s">
        <v>35</v>
      </c>
      <c r="N280" s="1">
        <v>42318949</v>
      </c>
      <c r="O280" s="1" t="s">
        <v>105</v>
      </c>
      <c r="P280" s="186">
        <v>44711.65425925926</v>
      </c>
      <c r="R280" s="1" t="s">
        <v>38</v>
      </c>
      <c r="T280" s="1" t="s">
        <v>74</v>
      </c>
      <c r="U280" s="186">
        <v>44711.75</v>
      </c>
      <c r="V280" s="1" t="s">
        <v>41</v>
      </c>
      <c r="W280" s="1" t="s">
        <v>49</v>
      </c>
      <c r="X280" s="13" t="str">
        <f>IF(RIGHT(H280,2)&lt;&gt;"00",H280,"")</f>
        <v/>
      </c>
      <c r="Y280" s="2">
        <f ca="1">NETWORKDAYS(P280,$Y$1)</f>
        <v>198</v>
      </c>
      <c r="Z280" s="14">
        <v>1</v>
      </c>
      <c r="AA280" s="1" t="str">
        <f t="shared" ca="1" si="20"/>
        <v>VENCIDO</v>
      </c>
      <c r="AB280" s="1" t="str">
        <f t="shared" si="21"/>
        <v>Dosa</v>
      </c>
      <c r="AC280" s="2" t="str">
        <f t="shared" si="24"/>
        <v xml:space="preserve"> CRISTINA </v>
      </c>
      <c r="AD280" s="2">
        <f t="shared" si="22"/>
        <v>5</v>
      </c>
      <c r="AE280" s="2">
        <f t="shared" ca="1" si="23"/>
        <v>-274.9262716435187</v>
      </c>
      <c r="AF280" s="15"/>
    </row>
    <row r="281" spans="1:32" hidden="1">
      <c r="A281" s="1">
        <v>8623187</v>
      </c>
      <c r="B281" s="1" t="s">
        <v>27</v>
      </c>
      <c r="C281" t="s">
        <v>186</v>
      </c>
      <c r="E281" s="2">
        <v>2830000206001</v>
      </c>
      <c r="F281" s="1" t="s">
        <v>29</v>
      </c>
      <c r="G281" s="1" t="s">
        <v>53</v>
      </c>
      <c r="H281" s="1" t="s">
        <v>448</v>
      </c>
      <c r="I281" s="1" t="s">
        <v>449</v>
      </c>
      <c r="J281" s="1" t="s">
        <v>33</v>
      </c>
      <c r="K281" t="s">
        <v>34</v>
      </c>
      <c r="M281" s="1" t="s">
        <v>35</v>
      </c>
      <c r="N281" s="1">
        <v>42318949</v>
      </c>
      <c r="O281" s="1" t="s">
        <v>105</v>
      </c>
      <c r="P281" s="186">
        <v>44711.654143518521</v>
      </c>
      <c r="R281" s="1" t="s">
        <v>38</v>
      </c>
      <c r="T281" s="1" t="s">
        <v>74</v>
      </c>
      <c r="U281" s="186">
        <v>44711.75</v>
      </c>
      <c r="V281" s="1" t="s">
        <v>41</v>
      </c>
      <c r="W281" s="1" t="s">
        <v>42</v>
      </c>
      <c r="X281" s="13" t="str">
        <f>IF(RIGHT(H281,2)&lt;&gt;"00",H281,"")</f>
        <v/>
      </c>
      <c r="Y281" s="2">
        <f ca="1">NETWORKDAYS(P281,$Y$1)</f>
        <v>198</v>
      </c>
      <c r="Z281" s="14">
        <v>1</v>
      </c>
      <c r="AA281" s="1" t="str">
        <f t="shared" ca="1" si="20"/>
        <v>VENCIDO</v>
      </c>
      <c r="AB281" s="1" t="str">
        <f t="shared" si="21"/>
        <v>Dosa</v>
      </c>
      <c r="AC281" s="2" t="str">
        <f t="shared" si="24"/>
        <v xml:space="preserve"> ROSEMERE </v>
      </c>
      <c r="AD281" s="2">
        <f t="shared" si="22"/>
        <v>5</v>
      </c>
      <c r="AE281" s="2">
        <f t="shared" ca="1" si="23"/>
        <v>-274.9262716435187</v>
      </c>
      <c r="AF281" s="15"/>
    </row>
    <row r="282" spans="1:32" hidden="1">
      <c r="A282" s="1">
        <v>8623156</v>
      </c>
      <c r="B282" s="1" t="s">
        <v>27</v>
      </c>
      <c r="C282" t="s">
        <v>186</v>
      </c>
      <c r="E282" s="2">
        <v>1361000206001</v>
      </c>
      <c r="F282" s="1" t="s">
        <v>29</v>
      </c>
      <c r="G282" s="1" t="s">
        <v>53</v>
      </c>
      <c r="H282" s="1" t="s">
        <v>309</v>
      </c>
      <c r="I282" s="1" t="s">
        <v>310</v>
      </c>
      <c r="J282" s="1" t="s">
        <v>46</v>
      </c>
      <c r="K282" t="s">
        <v>34</v>
      </c>
      <c r="M282" s="1" t="s">
        <v>35</v>
      </c>
      <c r="N282" s="1">
        <v>42318949</v>
      </c>
      <c r="O282" s="1" t="s">
        <v>105</v>
      </c>
      <c r="P282" s="186">
        <v>44711.654108796298</v>
      </c>
      <c r="R282" s="1" t="s">
        <v>38</v>
      </c>
      <c r="T282" s="1" t="s">
        <v>74</v>
      </c>
      <c r="U282" s="186">
        <v>44711.75</v>
      </c>
      <c r="V282" s="1" t="s">
        <v>41</v>
      </c>
      <c r="W282" s="1" t="s">
        <v>49</v>
      </c>
      <c r="X282" s="13" t="str">
        <f>IF(RIGHT(H282,2)&lt;&gt;"00",H282,"")</f>
        <v/>
      </c>
      <c r="Y282" s="2">
        <f ca="1">NETWORKDAYS(P282,$Y$1)</f>
        <v>198</v>
      </c>
      <c r="Z282" s="14">
        <v>1</v>
      </c>
      <c r="AA282" s="1" t="str">
        <f t="shared" ca="1" si="20"/>
        <v>VENCIDO</v>
      </c>
      <c r="AB282" s="1" t="str">
        <f t="shared" si="21"/>
        <v>Dosa</v>
      </c>
      <c r="AC282" s="2" t="str">
        <f t="shared" si="24"/>
        <v xml:space="preserve"> CLEITON </v>
      </c>
      <c r="AD282" s="2">
        <f t="shared" si="22"/>
        <v>5</v>
      </c>
      <c r="AE282" s="2">
        <f t="shared" ca="1" si="23"/>
        <v>-274.9262716435187</v>
      </c>
      <c r="AF282" s="15"/>
    </row>
    <row r="283" spans="1:32" hidden="1">
      <c r="A283" s="1">
        <v>8623137</v>
      </c>
      <c r="B283" s="1" t="s">
        <v>27</v>
      </c>
      <c r="C283" t="s">
        <v>186</v>
      </c>
      <c r="E283" s="2">
        <v>1771000206001</v>
      </c>
      <c r="F283" s="1" t="s">
        <v>29</v>
      </c>
      <c r="G283" s="1" t="s">
        <v>53</v>
      </c>
      <c r="H283" s="1" t="s">
        <v>615</v>
      </c>
      <c r="I283" s="1" t="s">
        <v>616</v>
      </c>
      <c r="J283" s="1" t="s">
        <v>261</v>
      </c>
      <c r="K283" t="s">
        <v>34</v>
      </c>
      <c r="M283" s="1" t="s">
        <v>35</v>
      </c>
      <c r="N283" s="1">
        <v>42318949</v>
      </c>
      <c r="O283" s="1" t="s">
        <v>105</v>
      </c>
      <c r="P283" s="186">
        <v>44711.654085648152</v>
      </c>
      <c r="R283" s="1" t="s">
        <v>38</v>
      </c>
      <c r="T283" s="1" t="s">
        <v>74</v>
      </c>
      <c r="U283" s="186">
        <v>44711.75</v>
      </c>
      <c r="V283" s="1" t="s">
        <v>41</v>
      </c>
      <c r="W283" s="1" t="s">
        <v>49</v>
      </c>
      <c r="X283" s="13" t="str">
        <f>IF(RIGHT(H283,2)&lt;&gt;"00",H283,"")</f>
        <v/>
      </c>
      <c r="Y283" s="2">
        <f ca="1">NETWORKDAYS(P283,$Y$1)</f>
        <v>198</v>
      </c>
      <c r="Z283" s="14">
        <v>1</v>
      </c>
      <c r="AA283" s="1" t="str">
        <f t="shared" ca="1" si="20"/>
        <v>VENCIDO</v>
      </c>
      <c r="AB283" s="1" t="str">
        <f t="shared" si="21"/>
        <v>Dosa</v>
      </c>
      <c r="AC283" s="2" t="str">
        <f t="shared" si="24"/>
        <v xml:space="preserve"> CRISTINA </v>
      </c>
      <c r="AD283" s="2">
        <f t="shared" si="22"/>
        <v>5</v>
      </c>
      <c r="AE283" s="2">
        <f t="shared" ca="1" si="23"/>
        <v>-274.9262716435187</v>
      </c>
      <c r="AF283" s="15"/>
    </row>
    <row r="284" spans="1:32" hidden="1">
      <c r="A284" s="1">
        <v>8623124</v>
      </c>
      <c r="B284" s="1" t="s">
        <v>27</v>
      </c>
      <c r="C284" t="s">
        <v>186</v>
      </c>
      <c r="E284" s="2">
        <v>934000206001</v>
      </c>
      <c r="F284" s="1" t="s">
        <v>29</v>
      </c>
      <c r="G284" s="1" t="s">
        <v>53</v>
      </c>
      <c r="H284" s="1" t="s">
        <v>428</v>
      </c>
      <c r="I284" s="1" t="s">
        <v>429</v>
      </c>
      <c r="J284" s="1" t="s">
        <v>46</v>
      </c>
      <c r="K284" t="s">
        <v>34</v>
      </c>
      <c r="M284" s="1" t="s">
        <v>35</v>
      </c>
      <c r="N284" s="1">
        <v>42318949</v>
      </c>
      <c r="O284" s="1" t="s">
        <v>36</v>
      </c>
      <c r="P284" s="186">
        <v>44711.654062499998</v>
      </c>
      <c r="R284" s="1" t="s">
        <v>38</v>
      </c>
      <c r="T284" s="1" t="s">
        <v>74</v>
      </c>
      <c r="U284" s="186">
        <v>44711.75</v>
      </c>
      <c r="V284" s="1" t="s">
        <v>41</v>
      </c>
      <c r="W284" s="1" t="s">
        <v>49</v>
      </c>
      <c r="X284" s="13" t="str">
        <f>IF(RIGHT(H284,2)&lt;&gt;"00",H284,"")</f>
        <v/>
      </c>
      <c r="Y284" s="2">
        <f ca="1">NETWORKDAYS(P284,$Y$1)</f>
        <v>198</v>
      </c>
      <c r="Z284" s="14">
        <v>1</v>
      </c>
      <c r="AA284" s="1" t="str">
        <f t="shared" ca="1" si="20"/>
        <v>VENCIDO</v>
      </c>
      <c r="AB284" s="1" t="str">
        <f t="shared" si="21"/>
        <v>Dosa</v>
      </c>
      <c r="AC284" s="2" t="str">
        <f t="shared" si="24"/>
        <v xml:space="preserve"> CLEITON </v>
      </c>
      <c r="AD284" s="2">
        <f t="shared" si="22"/>
        <v>5</v>
      </c>
      <c r="AE284" s="2">
        <f t="shared" ca="1" si="23"/>
        <v>-274.9262716435187</v>
      </c>
      <c r="AF284" s="15"/>
    </row>
    <row r="285" spans="1:32" hidden="1">
      <c r="A285" s="1">
        <v>8623122</v>
      </c>
      <c r="B285" s="1" t="s">
        <v>27</v>
      </c>
      <c r="C285" t="s">
        <v>186</v>
      </c>
      <c r="E285" s="2">
        <v>1264000206001</v>
      </c>
      <c r="F285" s="1" t="s">
        <v>29</v>
      </c>
      <c r="G285" s="1" t="s">
        <v>53</v>
      </c>
      <c r="H285" s="1" t="s">
        <v>351</v>
      </c>
      <c r="I285" s="1" t="s">
        <v>352</v>
      </c>
      <c r="J285" s="1" t="s">
        <v>110</v>
      </c>
      <c r="K285" t="s">
        <v>34</v>
      </c>
      <c r="M285" s="1" t="s">
        <v>35</v>
      </c>
      <c r="N285" s="1">
        <v>42318949</v>
      </c>
      <c r="O285" s="1" t="s">
        <v>105</v>
      </c>
      <c r="P285" s="186">
        <v>44711.654062499998</v>
      </c>
      <c r="R285" s="1" t="s">
        <v>38</v>
      </c>
      <c r="T285" s="1" t="s">
        <v>74</v>
      </c>
      <c r="U285" s="186">
        <v>44711.75</v>
      </c>
      <c r="V285" s="1" t="s">
        <v>41</v>
      </c>
      <c r="W285" s="1" t="s">
        <v>49</v>
      </c>
      <c r="X285" s="13" t="str">
        <f>IF(RIGHT(H285,2)&lt;&gt;"00",H285,"")</f>
        <v/>
      </c>
      <c r="Y285" s="2">
        <f ca="1">NETWORKDAYS(P285,$Y$1)</f>
        <v>198</v>
      </c>
      <c r="Z285" s="14">
        <v>1</v>
      </c>
      <c r="AA285" s="1" t="str">
        <f t="shared" ca="1" si="20"/>
        <v>VENCIDO</v>
      </c>
      <c r="AB285" s="1" t="str">
        <f t="shared" si="21"/>
        <v>Dosa</v>
      </c>
      <c r="AC285" s="2" t="str">
        <f t="shared" si="24"/>
        <v xml:space="preserve"> CRISTINA </v>
      </c>
      <c r="AD285" s="2">
        <f t="shared" si="22"/>
        <v>5</v>
      </c>
      <c r="AE285" s="2">
        <f t="shared" ca="1" si="23"/>
        <v>-274.9262716435187</v>
      </c>
      <c r="AF285" s="15"/>
    </row>
    <row r="286" spans="1:32" hidden="1">
      <c r="A286" s="1">
        <v>8622823</v>
      </c>
      <c r="B286" s="1" t="s">
        <v>27</v>
      </c>
      <c r="C286" t="s">
        <v>186</v>
      </c>
      <c r="E286" s="2">
        <v>2855000206001</v>
      </c>
      <c r="F286" s="1" t="s">
        <v>29</v>
      </c>
      <c r="G286" s="1" t="s">
        <v>53</v>
      </c>
      <c r="H286" s="1" t="s">
        <v>249</v>
      </c>
      <c r="I286" s="1" t="s">
        <v>250</v>
      </c>
      <c r="J286" s="1" t="s">
        <v>56</v>
      </c>
      <c r="K286" t="s">
        <v>34</v>
      </c>
      <c r="M286" s="1" t="s">
        <v>35</v>
      </c>
      <c r="N286" s="1">
        <v>42318949</v>
      </c>
      <c r="O286" s="1" t="s">
        <v>105</v>
      </c>
      <c r="P286" s="186">
        <v>44711.653692129628</v>
      </c>
      <c r="R286" s="1" t="s">
        <v>38</v>
      </c>
      <c r="T286" s="1" t="s">
        <v>74</v>
      </c>
      <c r="U286" s="186">
        <v>44711.75</v>
      </c>
      <c r="V286" s="1" t="s">
        <v>41</v>
      </c>
      <c r="W286" s="1" t="s">
        <v>49</v>
      </c>
      <c r="X286" s="13" t="str">
        <f>IF(RIGHT(H286,2)&lt;&gt;"00",H286,"")</f>
        <v/>
      </c>
      <c r="Y286" s="2">
        <f ca="1">NETWORKDAYS(P286,$Y$1)</f>
        <v>198</v>
      </c>
      <c r="Z286" s="14">
        <v>1</v>
      </c>
      <c r="AA286" s="1" t="str">
        <f t="shared" ca="1" si="20"/>
        <v>VENCIDO</v>
      </c>
      <c r="AB286" s="1" t="str">
        <f t="shared" si="21"/>
        <v>Dosa</v>
      </c>
      <c r="AC286" s="2" t="str">
        <f t="shared" si="24"/>
        <v xml:space="preserve"> CRISTINA </v>
      </c>
      <c r="AD286" s="2">
        <f t="shared" si="22"/>
        <v>5</v>
      </c>
      <c r="AE286" s="2">
        <f t="shared" ca="1" si="23"/>
        <v>-274.9262716435187</v>
      </c>
      <c r="AF286" s="15"/>
    </row>
    <row r="287" spans="1:32" hidden="1">
      <c r="A287" s="1">
        <v>8622810</v>
      </c>
      <c r="B287" s="1" t="s">
        <v>27</v>
      </c>
      <c r="C287" t="s">
        <v>186</v>
      </c>
      <c r="E287" s="2">
        <v>1650000206001</v>
      </c>
      <c r="F287" s="1" t="s">
        <v>29</v>
      </c>
      <c r="G287" s="1" t="s">
        <v>53</v>
      </c>
      <c r="H287" s="1" t="s">
        <v>620</v>
      </c>
      <c r="I287" s="1" t="s">
        <v>621</v>
      </c>
      <c r="J287" s="1" t="s">
        <v>141</v>
      </c>
      <c r="K287" t="s">
        <v>34</v>
      </c>
      <c r="M287" s="1" t="s">
        <v>35</v>
      </c>
      <c r="N287" s="1">
        <v>42318949</v>
      </c>
      <c r="O287" s="1" t="s">
        <v>105</v>
      </c>
      <c r="P287" s="186">
        <v>44711.653668981482</v>
      </c>
      <c r="R287" s="1" t="s">
        <v>38</v>
      </c>
      <c r="T287" s="1" t="s">
        <v>74</v>
      </c>
      <c r="U287" s="186">
        <v>44711.75</v>
      </c>
      <c r="V287" s="1" t="s">
        <v>41</v>
      </c>
      <c r="W287" s="1" t="s">
        <v>49</v>
      </c>
      <c r="X287" s="13" t="str">
        <f>IF(RIGHT(H287,2)&lt;&gt;"00",H287,"")</f>
        <v/>
      </c>
      <c r="Y287" s="2">
        <f ca="1">NETWORKDAYS(P287,$Y$1)</f>
        <v>198</v>
      </c>
      <c r="Z287" s="14">
        <v>1</v>
      </c>
      <c r="AA287" s="1" t="str">
        <f t="shared" ca="1" si="20"/>
        <v>VENCIDO</v>
      </c>
      <c r="AB287" s="1" t="str">
        <f t="shared" si="21"/>
        <v>Dosa</v>
      </c>
      <c r="AC287" s="2" t="str">
        <f t="shared" si="24"/>
        <v xml:space="preserve"> CRISTINA </v>
      </c>
      <c r="AD287" s="2">
        <f t="shared" si="22"/>
        <v>5</v>
      </c>
      <c r="AE287" s="2">
        <f t="shared" ca="1" si="23"/>
        <v>-274.9262716435187</v>
      </c>
      <c r="AF287" s="15"/>
    </row>
    <row r="288" spans="1:32" hidden="1">
      <c r="A288" s="1">
        <v>8622799</v>
      </c>
      <c r="B288" s="1" t="s">
        <v>27</v>
      </c>
      <c r="C288" t="s">
        <v>186</v>
      </c>
      <c r="E288" s="2">
        <v>7740206001</v>
      </c>
      <c r="F288" s="1" t="s">
        <v>29</v>
      </c>
      <c r="G288" s="1" t="s">
        <v>53</v>
      </c>
      <c r="H288" s="1" t="s">
        <v>187</v>
      </c>
      <c r="I288" s="1" t="s">
        <v>188</v>
      </c>
      <c r="J288" s="1" t="s">
        <v>46</v>
      </c>
      <c r="K288" t="s">
        <v>34</v>
      </c>
      <c r="M288" s="1" t="s">
        <v>35</v>
      </c>
      <c r="N288" s="1">
        <v>42318949</v>
      </c>
      <c r="O288" s="1" t="s">
        <v>105</v>
      </c>
      <c r="P288" s="186">
        <v>44711.653657407405</v>
      </c>
      <c r="R288" s="1" t="s">
        <v>38</v>
      </c>
      <c r="T288" s="1" t="s">
        <v>74</v>
      </c>
      <c r="U288" s="186">
        <v>44711.75</v>
      </c>
      <c r="V288" s="1" t="s">
        <v>41</v>
      </c>
      <c r="W288" s="1" t="s">
        <v>49</v>
      </c>
      <c r="X288" s="13" t="str">
        <f>IF(RIGHT(H288,2)&lt;&gt;"00",H288,"")</f>
        <v>0007.74</v>
      </c>
      <c r="Y288" s="2">
        <f ca="1">NETWORKDAYS(P288,$Y$1)</f>
        <v>198</v>
      </c>
      <c r="Z288" s="14">
        <v>1</v>
      </c>
      <c r="AA288" s="1" t="str">
        <f t="shared" ca="1" si="20"/>
        <v>VENCIDO</v>
      </c>
      <c r="AB288" s="1" t="str">
        <f t="shared" si="21"/>
        <v>Dosa</v>
      </c>
      <c r="AC288" s="2" t="str">
        <f t="shared" si="24"/>
        <v xml:space="preserve"> CLEITON </v>
      </c>
      <c r="AD288" s="2">
        <f t="shared" si="22"/>
        <v>5</v>
      </c>
      <c r="AE288" s="2">
        <f t="shared" ca="1" si="23"/>
        <v>-274.9262716435187</v>
      </c>
      <c r="AF288" s="15"/>
    </row>
    <row r="289" spans="1:32" hidden="1">
      <c r="A289" s="1">
        <v>8622790</v>
      </c>
      <c r="B289" s="1" t="s">
        <v>27</v>
      </c>
      <c r="C289" t="s">
        <v>186</v>
      </c>
      <c r="E289" s="2">
        <v>1664000206001</v>
      </c>
      <c r="F289" s="1" t="s">
        <v>29</v>
      </c>
      <c r="G289" s="1" t="s">
        <v>53</v>
      </c>
      <c r="H289" s="1" t="s">
        <v>307</v>
      </c>
      <c r="I289" s="1" t="s">
        <v>308</v>
      </c>
      <c r="J289" s="1" t="s">
        <v>164</v>
      </c>
      <c r="K289" t="s">
        <v>34</v>
      </c>
      <c r="M289" s="1" t="s">
        <v>35</v>
      </c>
      <c r="N289" s="1">
        <v>42318949</v>
      </c>
      <c r="O289" s="1" t="s">
        <v>105</v>
      </c>
      <c r="P289" s="186">
        <v>44711.653645833336</v>
      </c>
      <c r="R289" s="1" t="s">
        <v>38</v>
      </c>
      <c r="T289" s="1" t="s">
        <v>74</v>
      </c>
      <c r="U289" s="186">
        <v>44711.75</v>
      </c>
      <c r="V289" s="1" t="s">
        <v>41</v>
      </c>
      <c r="W289" s="1" t="s">
        <v>49</v>
      </c>
      <c r="X289" s="13" t="str">
        <f>IF(RIGHT(H289,2)&lt;&gt;"00",H289,"")</f>
        <v/>
      </c>
      <c r="Y289" s="2">
        <f ca="1">NETWORKDAYS(P289,$Y$1)</f>
        <v>198</v>
      </c>
      <c r="Z289" s="14">
        <v>1</v>
      </c>
      <c r="AA289" s="1" t="str">
        <f t="shared" ca="1" si="20"/>
        <v>VENCIDO</v>
      </c>
      <c r="AB289" s="1" t="str">
        <f t="shared" si="21"/>
        <v>Dosa</v>
      </c>
      <c r="AC289" s="2" t="str">
        <f t="shared" si="24"/>
        <v xml:space="preserve"> ROSEMERE </v>
      </c>
      <c r="AD289" s="2">
        <f t="shared" si="22"/>
        <v>5</v>
      </c>
      <c r="AE289" s="2">
        <f t="shared" ca="1" si="23"/>
        <v>-274.9262716435187</v>
      </c>
      <c r="AF289" s="15"/>
    </row>
    <row r="290" spans="1:32" hidden="1">
      <c r="A290" s="1">
        <v>8622781</v>
      </c>
      <c r="B290" s="1" t="s">
        <v>27</v>
      </c>
      <c r="C290" t="s">
        <v>186</v>
      </c>
      <c r="E290" s="2">
        <v>834000206001</v>
      </c>
      <c r="F290" s="1" t="s">
        <v>29</v>
      </c>
      <c r="G290" s="1" t="s">
        <v>53</v>
      </c>
      <c r="H290" s="1" t="s">
        <v>367</v>
      </c>
      <c r="I290" s="1" t="s">
        <v>368</v>
      </c>
      <c r="J290" s="1" t="s">
        <v>261</v>
      </c>
      <c r="K290" t="s">
        <v>34</v>
      </c>
      <c r="M290" s="1" t="s">
        <v>35</v>
      </c>
      <c r="N290" s="1">
        <v>42318949</v>
      </c>
      <c r="O290" s="1" t="s">
        <v>105</v>
      </c>
      <c r="P290" s="186">
        <v>44711.653634259259</v>
      </c>
      <c r="R290" s="1" t="s">
        <v>38</v>
      </c>
      <c r="T290" s="1" t="s">
        <v>74</v>
      </c>
      <c r="U290" s="186">
        <v>44711.75</v>
      </c>
      <c r="V290" s="1" t="s">
        <v>41</v>
      </c>
      <c r="W290" s="1" t="s">
        <v>49</v>
      </c>
      <c r="X290" s="13" t="str">
        <f>IF(RIGHT(H290,2)&lt;&gt;"00",H290,"")</f>
        <v/>
      </c>
      <c r="Y290" s="2">
        <f ca="1">NETWORKDAYS(P290,$Y$1)</f>
        <v>198</v>
      </c>
      <c r="Z290" s="14">
        <v>1</v>
      </c>
      <c r="AA290" s="1" t="str">
        <f t="shared" ca="1" si="20"/>
        <v>VENCIDO</v>
      </c>
      <c r="AB290" s="1" t="str">
        <f t="shared" si="21"/>
        <v>Dosa</v>
      </c>
      <c r="AC290" s="2" t="str">
        <f t="shared" si="24"/>
        <v xml:space="preserve"> CRISTINA </v>
      </c>
      <c r="AD290" s="2">
        <f t="shared" si="22"/>
        <v>5</v>
      </c>
      <c r="AE290" s="2">
        <f t="shared" ca="1" si="23"/>
        <v>-274.9262716435187</v>
      </c>
      <c r="AF290" s="15"/>
    </row>
    <row r="291" spans="1:32" hidden="1">
      <c r="A291" s="1">
        <v>8622757</v>
      </c>
      <c r="B291" s="1" t="s">
        <v>27</v>
      </c>
      <c r="C291" t="s">
        <v>186</v>
      </c>
      <c r="E291" s="2">
        <v>5740000206001</v>
      </c>
      <c r="F291" s="1" t="s">
        <v>29</v>
      </c>
      <c r="G291" s="1" t="s">
        <v>53</v>
      </c>
      <c r="H291" s="1" t="s">
        <v>626</v>
      </c>
      <c r="I291" s="1" t="s">
        <v>627</v>
      </c>
      <c r="J291" s="1" t="s">
        <v>46</v>
      </c>
      <c r="K291" t="s">
        <v>34</v>
      </c>
      <c r="M291" s="1" t="s">
        <v>35</v>
      </c>
      <c r="N291" s="1">
        <v>42318949</v>
      </c>
      <c r="O291" s="1" t="s">
        <v>105</v>
      </c>
      <c r="P291" s="186">
        <v>44711.653599537036</v>
      </c>
      <c r="R291" s="1" t="s">
        <v>38</v>
      </c>
      <c r="T291" s="1" t="s">
        <v>74</v>
      </c>
      <c r="U291" s="186">
        <v>44711.75</v>
      </c>
      <c r="V291" s="1" t="s">
        <v>41</v>
      </c>
      <c r="W291" s="1" t="s">
        <v>49</v>
      </c>
      <c r="X291" s="13" t="str">
        <f>IF(RIGHT(H291,2)&lt;&gt;"00",H291,"")</f>
        <v/>
      </c>
      <c r="Y291" s="2">
        <f ca="1">NETWORKDAYS(P291,$Y$1)</f>
        <v>198</v>
      </c>
      <c r="Z291" s="14">
        <v>1</v>
      </c>
      <c r="AA291" s="1" t="str">
        <f t="shared" ca="1" si="20"/>
        <v>VENCIDO</v>
      </c>
      <c r="AB291" s="1" t="str">
        <f t="shared" si="21"/>
        <v>Dosa</v>
      </c>
      <c r="AC291" s="2" t="str">
        <f t="shared" si="24"/>
        <v xml:space="preserve"> CLEITON </v>
      </c>
      <c r="AD291" s="2">
        <f t="shared" si="22"/>
        <v>5</v>
      </c>
      <c r="AE291" s="2">
        <f t="shared" ca="1" si="23"/>
        <v>-274.9262716435187</v>
      </c>
      <c r="AF291" s="15"/>
    </row>
    <row r="292" spans="1:32" hidden="1">
      <c r="A292" s="1">
        <v>8622462</v>
      </c>
      <c r="B292" s="1" t="s">
        <v>27</v>
      </c>
      <c r="C292" t="s">
        <v>186</v>
      </c>
      <c r="E292" s="2">
        <v>3234150206001</v>
      </c>
      <c r="F292" s="1" t="s">
        <v>29</v>
      </c>
      <c r="G292" s="1" t="s">
        <v>53</v>
      </c>
      <c r="H292" s="1" t="s">
        <v>629</v>
      </c>
      <c r="I292" s="1" t="s">
        <v>630</v>
      </c>
      <c r="J292" s="1" t="s">
        <v>46</v>
      </c>
      <c r="K292" t="s">
        <v>34</v>
      </c>
      <c r="M292" s="1" t="s">
        <v>35</v>
      </c>
      <c r="N292" s="1">
        <v>42318949</v>
      </c>
      <c r="O292" s="1" t="s">
        <v>105</v>
      </c>
      <c r="P292" s="186">
        <v>44711.653229166666</v>
      </c>
      <c r="R292" s="1" t="s">
        <v>38</v>
      </c>
      <c r="T292" s="1" t="s">
        <v>74</v>
      </c>
      <c r="U292" s="186">
        <v>44711.75</v>
      </c>
      <c r="V292" s="1" t="s">
        <v>41</v>
      </c>
      <c r="W292" s="1" t="s">
        <v>49</v>
      </c>
      <c r="X292" s="13" t="str">
        <f>IF(RIGHT(H292,2)&lt;&gt;"00",H292,"")</f>
        <v>3234.15</v>
      </c>
      <c r="Y292" s="2">
        <f ca="1">NETWORKDAYS(P292,$Y$1)</f>
        <v>198</v>
      </c>
      <c r="Z292" s="14">
        <v>1</v>
      </c>
      <c r="AA292" s="1" t="str">
        <f t="shared" ca="1" si="20"/>
        <v>VENCIDO</v>
      </c>
      <c r="AB292" s="1" t="str">
        <f t="shared" si="21"/>
        <v>Dosa</v>
      </c>
      <c r="AC292" s="2" t="str">
        <f t="shared" si="24"/>
        <v xml:space="preserve"> CLEITON </v>
      </c>
      <c r="AD292" s="2">
        <f t="shared" si="22"/>
        <v>5</v>
      </c>
      <c r="AE292" s="2">
        <f t="shared" ca="1" si="23"/>
        <v>-274.9262716435187</v>
      </c>
      <c r="AF292" s="15"/>
    </row>
    <row r="293" spans="1:32" hidden="1">
      <c r="A293" s="1">
        <v>8622404</v>
      </c>
      <c r="B293" s="1" t="s">
        <v>27</v>
      </c>
      <c r="C293" t="s">
        <v>186</v>
      </c>
      <c r="E293" s="2">
        <v>4235000206001</v>
      </c>
      <c r="F293" s="1" t="s">
        <v>29</v>
      </c>
      <c r="G293" s="1" t="s">
        <v>53</v>
      </c>
      <c r="H293" s="1" t="s">
        <v>291</v>
      </c>
      <c r="I293" s="1" t="s">
        <v>292</v>
      </c>
      <c r="J293" s="1" t="s">
        <v>46</v>
      </c>
      <c r="K293" t="s">
        <v>34</v>
      </c>
      <c r="M293" s="1" t="s">
        <v>35</v>
      </c>
      <c r="N293" s="1">
        <v>42318949</v>
      </c>
      <c r="O293" s="1" t="s">
        <v>105</v>
      </c>
      <c r="P293" s="186">
        <v>44711.65315972222</v>
      </c>
      <c r="R293" s="1" t="s">
        <v>38</v>
      </c>
      <c r="T293" s="1" t="s">
        <v>74</v>
      </c>
      <c r="U293" s="186">
        <v>44711.75</v>
      </c>
      <c r="V293" s="1" t="s">
        <v>41</v>
      </c>
      <c r="W293" s="1" t="s">
        <v>49</v>
      </c>
      <c r="X293" s="13" t="str">
        <f>IF(RIGHT(H293,2)&lt;&gt;"00",H293,"")</f>
        <v/>
      </c>
      <c r="Y293" s="2">
        <f ca="1">NETWORKDAYS(P293,$Y$1)</f>
        <v>198</v>
      </c>
      <c r="Z293" s="14">
        <v>1</v>
      </c>
      <c r="AA293" s="1" t="str">
        <f t="shared" ca="1" si="20"/>
        <v>VENCIDO</v>
      </c>
      <c r="AB293" s="1" t="str">
        <f t="shared" si="21"/>
        <v>Dosa</v>
      </c>
      <c r="AC293" s="2" t="str">
        <f t="shared" si="24"/>
        <v xml:space="preserve"> CLEITON </v>
      </c>
      <c r="AD293" s="2">
        <f t="shared" si="22"/>
        <v>5</v>
      </c>
      <c r="AE293" s="2">
        <f t="shared" ca="1" si="23"/>
        <v>-274.9262716435187</v>
      </c>
      <c r="AF293" s="15"/>
    </row>
    <row r="294" spans="1:32" hidden="1">
      <c r="A294" s="1">
        <v>8622376</v>
      </c>
      <c r="B294" s="1" t="s">
        <v>27</v>
      </c>
      <c r="C294" t="s">
        <v>186</v>
      </c>
      <c r="E294" s="2">
        <v>4357000206001</v>
      </c>
      <c r="F294" s="1" t="s">
        <v>29</v>
      </c>
      <c r="G294" s="1" t="s">
        <v>53</v>
      </c>
      <c r="H294" s="1" t="s">
        <v>633</v>
      </c>
      <c r="I294" s="1" t="s">
        <v>634</v>
      </c>
      <c r="J294" s="1" t="s">
        <v>46</v>
      </c>
      <c r="K294" t="s">
        <v>34</v>
      </c>
      <c r="M294" s="1" t="s">
        <v>35</v>
      </c>
      <c r="N294" s="1">
        <v>42318949</v>
      </c>
      <c r="O294" s="1" t="s">
        <v>36</v>
      </c>
      <c r="P294" s="186">
        <v>44711.653113425928</v>
      </c>
      <c r="R294" s="1" t="s">
        <v>38</v>
      </c>
      <c r="T294" s="1" t="s">
        <v>74</v>
      </c>
      <c r="U294" s="186">
        <v>44711.75</v>
      </c>
      <c r="V294" s="1" t="s">
        <v>41</v>
      </c>
      <c r="W294" s="1" t="s">
        <v>49</v>
      </c>
      <c r="X294" s="13" t="str">
        <f>IF(RIGHT(H294,2)&lt;&gt;"00",H294,"")</f>
        <v/>
      </c>
      <c r="Y294" s="2">
        <f ca="1">NETWORKDAYS(P294,$Y$1)</f>
        <v>198</v>
      </c>
      <c r="Z294" s="14">
        <v>1</v>
      </c>
      <c r="AA294" s="1" t="str">
        <f t="shared" ca="1" si="20"/>
        <v>VENCIDO</v>
      </c>
      <c r="AB294" s="1" t="str">
        <f t="shared" si="21"/>
        <v>Dosa</v>
      </c>
      <c r="AC294" s="2" t="str">
        <f t="shared" si="24"/>
        <v xml:space="preserve"> CLEITON </v>
      </c>
      <c r="AD294" s="2">
        <f t="shared" si="22"/>
        <v>5</v>
      </c>
      <c r="AE294" s="2">
        <f t="shared" ca="1" si="23"/>
        <v>-274.9262716435187</v>
      </c>
      <c r="AF294" s="15"/>
    </row>
    <row r="295" spans="1:32" hidden="1">
      <c r="A295" s="1">
        <v>8622369</v>
      </c>
      <c r="B295" s="1" t="s">
        <v>27</v>
      </c>
      <c r="C295" t="s">
        <v>186</v>
      </c>
      <c r="E295" s="2">
        <v>3243000206001</v>
      </c>
      <c r="F295" s="1" t="s">
        <v>29</v>
      </c>
      <c r="G295" s="1" t="s">
        <v>53</v>
      </c>
      <c r="H295" s="1" t="s">
        <v>282</v>
      </c>
      <c r="I295" s="1" t="s">
        <v>283</v>
      </c>
      <c r="J295" s="1" t="s">
        <v>46</v>
      </c>
      <c r="K295" t="s">
        <v>34</v>
      </c>
      <c r="M295" s="1" t="s">
        <v>35</v>
      </c>
      <c r="N295" s="1">
        <v>42318949</v>
      </c>
      <c r="O295" s="1" t="s">
        <v>105</v>
      </c>
      <c r="P295" s="186">
        <v>44711.653113425928</v>
      </c>
      <c r="R295" s="1" t="s">
        <v>38</v>
      </c>
      <c r="T295" s="1" t="s">
        <v>74</v>
      </c>
      <c r="U295" s="186">
        <v>44711.75</v>
      </c>
      <c r="V295" s="1" t="s">
        <v>41</v>
      </c>
      <c r="W295" s="1" t="s">
        <v>49</v>
      </c>
      <c r="X295" s="13" t="str">
        <f>IF(RIGHT(H295,2)&lt;&gt;"00",H295,"")</f>
        <v/>
      </c>
      <c r="Y295" s="2">
        <f ca="1">NETWORKDAYS(P295,$Y$1)</f>
        <v>198</v>
      </c>
      <c r="Z295" s="14">
        <v>1</v>
      </c>
      <c r="AA295" s="1" t="str">
        <f t="shared" ca="1" si="20"/>
        <v>VENCIDO</v>
      </c>
      <c r="AB295" s="1" t="str">
        <f t="shared" si="21"/>
        <v>Dosa</v>
      </c>
      <c r="AC295" s="2" t="str">
        <f t="shared" si="24"/>
        <v xml:space="preserve"> CLEITON </v>
      </c>
      <c r="AD295" s="2">
        <f t="shared" si="22"/>
        <v>5</v>
      </c>
      <c r="AE295" s="2">
        <f t="shared" ca="1" si="23"/>
        <v>-274.9262716435187</v>
      </c>
      <c r="AF295" s="15"/>
    </row>
    <row r="296" spans="1:32" hidden="1">
      <c r="A296" s="1">
        <v>8622191</v>
      </c>
      <c r="B296" s="1" t="s">
        <v>27</v>
      </c>
      <c r="C296" t="s">
        <v>186</v>
      </c>
      <c r="E296" s="2">
        <v>2988000206001</v>
      </c>
      <c r="F296" s="1" t="s">
        <v>29</v>
      </c>
      <c r="G296" s="1" t="s">
        <v>53</v>
      </c>
      <c r="H296" s="1" t="s">
        <v>536</v>
      </c>
      <c r="I296" s="1" t="s">
        <v>537</v>
      </c>
      <c r="J296" s="1" t="s">
        <v>46</v>
      </c>
      <c r="K296" t="s">
        <v>34</v>
      </c>
      <c r="M296" s="1" t="s">
        <v>35</v>
      </c>
      <c r="N296" s="1">
        <v>42318949</v>
      </c>
      <c r="O296" s="1" t="s">
        <v>105</v>
      </c>
      <c r="P296" s="186">
        <v>44711.652870370373</v>
      </c>
      <c r="R296" s="1" t="s">
        <v>38</v>
      </c>
      <c r="T296" s="1" t="s">
        <v>74</v>
      </c>
      <c r="U296" s="186">
        <v>44711.75</v>
      </c>
      <c r="V296" s="1" t="s">
        <v>41</v>
      </c>
      <c r="W296" s="1" t="s">
        <v>49</v>
      </c>
      <c r="X296" s="13" t="str">
        <f>IF(RIGHT(H296,2)&lt;&gt;"00",H296,"")</f>
        <v/>
      </c>
      <c r="Y296" s="2">
        <f ca="1">NETWORKDAYS(P296,$Y$1)</f>
        <v>198</v>
      </c>
      <c r="Z296" s="14">
        <v>1</v>
      </c>
      <c r="AA296" s="1" t="str">
        <f t="shared" ca="1" si="20"/>
        <v>VENCIDO</v>
      </c>
      <c r="AB296" s="1" t="str">
        <f t="shared" si="21"/>
        <v>Dosa</v>
      </c>
      <c r="AC296" s="2" t="str">
        <f t="shared" si="24"/>
        <v xml:space="preserve"> CLEITON </v>
      </c>
      <c r="AD296" s="2">
        <f t="shared" si="22"/>
        <v>5</v>
      </c>
      <c r="AE296" s="2">
        <f t="shared" ca="1" si="23"/>
        <v>-274.9262716435187</v>
      </c>
      <c r="AF296" s="15"/>
    </row>
    <row r="297" spans="1:32" hidden="1">
      <c r="A297" s="1">
        <v>8622149</v>
      </c>
      <c r="B297" s="1" t="s">
        <v>27</v>
      </c>
      <c r="C297" t="s">
        <v>186</v>
      </c>
      <c r="E297" s="2">
        <v>3699000206001</v>
      </c>
      <c r="F297" s="1" t="s">
        <v>29</v>
      </c>
      <c r="G297" s="1" t="s">
        <v>53</v>
      </c>
      <c r="H297" s="1" t="s">
        <v>343</v>
      </c>
      <c r="I297" s="1" t="s">
        <v>344</v>
      </c>
      <c r="J297" s="1" t="s">
        <v>46</v>
      </c>
      <c r="K297" t="s">
        <v>34</v>
      </c>
      <c r="M297" s="1" t="s">
        <v>35</v>
      </c>
      <c r="N297" s="1">
        <v>42318949</v>
      </c>
      <c r="O297" s="1" t="s">
        <v>105</v>
      </c>
      <c r="P297" s="186">
        <v>44711.652824074074</v>
      </c>
      <c r="R297" s="1" t="s">
        <v>38</v>
      </c>
      <c r="T297" s="1" t="s">
        <v>74</v>
      </c>
      <c r="U297" s="186">
        <v>44711.75</v>
      </c>
      <c r="V297" s="1" t="s">
        <v>41</v>
      </c>
      <c r="W297" s="1" t="s">
        <v>49</v>
      </c>
      <c r="X297" s="13" t="str">
        <f>IF(RIGHT(H297,2)&lt;&gt;"00",H297,"")</f>
        <v/>
      </c>
      <c r="Y297" s="2">
        <f ca="1">NETWORKDAYS(P297,$Y$1)</f>
        <v>198</v>
      </c>
      <c r="Z297" s="14">
        <v>1</v>
      </c>
      <c r="AA297" s="1" t="str">
        <f t="shared" ca="1" si="20"/>
        <v>VENCIDO</v>
      </c>
      <c r="AB297" s="1" t="str">
        <f t="shared" si="21"/>
        <v>Dosa</v>
      </c>
      <c r="AC297" s="2" t="str">
        <f t="shared" si="24"/>
        <v xml:space="preserve"> CLEITON </v>
      </c>
      <c r="AD297" s="2">
        <f t="shared" si="22"/>
        <v>5</v>
      </c>
      <c r="AE297" s="2">
        <f t="shared" ca="1" si="23"/>
        <v>-274.9262716435187</v>
      </c>
      <c r="AF297" s="15"/>
    </row>
    <row r="298" spans="1:32" hidden="1">
      <c r="A298" s="1">
        <v>8622140</v>
      </c>
      <c r="B298" s="1" t="s">
        <v>27</v>
      </c>
      <c r="C298" t="s">
        <v>186</v>
      </c>
      <c r="E298" s="2">
        <v>1833000206001</v>
      </c>
      <c r="F298" s="1" t="s">
        <v>29</v>
      </c>
      <c r="G298" s="1" t="s">
        <v>53</v>
      </c>
      <c r="H298" s="1" t="s">
        <v>369</v>
      </c>
      <c r="I298" s="1" t="s">
        <v>370</v>
      </c>
      <c r="J298" s="1" t="s">
        <v>46</v>
      </c>
      <c r="K298" t="s">
        <v>34</v>
      </c>
      <c r="M298" s="1" t="s">
        <v>35</v>
      </c>
      <c r="N298" s="1">
        <v>42318949</v>
      </c>
      <c r="O298" s="1" t="s">
        <v>105</v>
      </c>
      <c r="P298" s="186">
        <v>44711.652812499997</v>
      </c>
      <c r="R298" s="1" t="s">
        <v>38</v>
      </c>
      <c r="T298" s="1" t="s">
        <v>74</v>
      </c>
      <c r="U298" s="186">
        <v>44711.75</v>
      </c>
      <c r="V298" s="1" t="s">
        <v>41</v>
      </c>
      <c r="W298" s="1" t="s">
        <v>49</v>
      </c>
      <c r="X298" s="13" t="str">
        <f>IF(RIGHT(H298,2)&lt;&gt;"00",H298,"")</f>
        <v/>
      </c>
      <c r="Y298" s="2">
        <f ca="1">NETWORKDAYS(P298,$Y$1)</f>
        <v>198</v>
      </c>
      <c r="Z298" s="14">
        <v>1</v>
      </c>
      <c r="AA298" s="1" t="str">
        <f t="shared" ca="1" si="20"/>
        <v>VENCIDO</v>
      </c>
      <c r="AB298" s="1" t="str">
        <f t="shared" si="21"/>
        <v>Dosa</v>
      </c>
      <c r="AC298" s="2" t="str">
        <f t="shared" si="24"/>
        <v xml:space="preserve"> CLEITON </v>
      </c>
      <c r="AD298" s="2">
        <f t="shared" si="22"/>
        <v>5</v>
      </c>
      <c r="AE298" s="2">
        <f t="shared" ca="1" si="23"/>
        <v>-274.9262716435187</v>
      </c>
      <c r="AF298" s="15"/>
    </row>
    <row r="299" spans="1:32" hidden="1">
      <c r="A299" s="1">
        <v>8622104</v>
      </c>
      <c r="B299" s="1" t="s">
        <v>27</v>
      </c>
      <c r="C299" t="s">
        <v>186</v>
      </c>
      <c r="E299" s="2">
        <v>1838000206001</v>
      </c>
      <c r="F299" s="1" t="s">
        <v>29</v>
      </c>
      <c r="G299" s="1" t="s">
        <v>53</v>
      </c>
      <c r="H299" s="1" t="s">
        <v>357</v>
      </c>
      <c r="I299" s="1" t="s">
        <v>358</v>
      </c>
      <c r="J299" s="1" t="s">
        <v>46</v>
      </c>
      <c r="K299" t="s">
        <v>34</v>
      </c>
      <c r="M299" s="1" t="s">
        <v>35</v>
      </c>
      <c r="N299" s="1">
        <v>42318949</v>
      </c>
      <c r="O299" s="1" t="s">
        <v>36</v>
      </c>
      <c r="P299" s="186">
        <v>44711.652766203704</v>
      </c>
      <c r="R299" s="1" t="s">
        <v>38</v>
      </c>
      <c r="T299" s="1" t="s">
        <v>74</v>
      </c>
      <c r="U299" s="186">
        <v>44711.75</v>
      </c>
      <c r="V299" s="1" t="s">
        <v>41</v>
      </c>
      <c r="W299" s="1" t="s">
        <v>49</v>
      </c>
      <c r="X299" s="13" t="str">
        <f>IF(RIGHT(H299,2)&lt;&gt;"00",H299,"")</f>
        <v/>
      </c>
      <c r="Y299" s="2">
        <f ca="1">NETWORKDAYS(P299,$Y$1)</f>
        <v>198</v>
      </c>
      <c r="Z299" s="14">
        <v>1</v>
      </c>
      <c r="AA299" s="1" t="str">
        <f t="shared" ca="1" si="20"/>
        <v>VENCIDO</v>
      </c>
      <c r="AB299" s="1" t="str">
        <f t="shared" si="21"/>
        <v>Dosa</v>
      </c>
      <c r="AC299" s="2" t="str">
        <f t="shared" si="24"/>
        <v xml:space="preserve"> CLEITON </v>
      </c>
      <c r="AD299" s="2">
        <f t="shared" si="22"/>
        <v>5</v>
      </c>
      <c r="AE299" s="2">
        <f t="shared" ca="1" si="23"/>
        <v>-274.9262716435187</v>
      </c>
      <c r="AF299" s="15"/>
    </row>
    <row r="300" spans="1:32" hidden="1">
      <c r="A300" s="1">
        <v>8627619</v>
      </c>
      <c r="B300" s="1" t="s">
        <v>27</v>
      </c>
      <c r="C300" t="s">
        <v>637</v>
      </c>
      <c r="E300" s="2">
        <v>9406000206001</v>
      </c>
      <c r="F300" s="1" t="s">
        <v>29</v>
      </c>
      <c r="G300" s="1" t="s">
        <v>53</v>
      </c>
      <c r="H300" s="1" t="s">
        <v>114</v>
      </c>
      <c r="I300" s="1" t="s">
        <v>115</v>
      </c>
      <c r="J300" s="1" t="s">
        <v>46</v>
      </c>
      <c r="K300" t="s">
        <v>34</v>
      </c>
      <c r="M300" s="1" t="s">
        <v>35</v>
      </c>
      <c r="N300" s="1">
        <v>42318949</v>
      </c>
      <c r="O300" s="1" t="s">
        <v>36</v>
      </c>
      <c r="P300" s="186">
        <v>44712.701180555552</v>
      </c>
      <c r="R300" s="1" t="s">
        <v>38</v>
      </c>
      <c r="T300" s="1" t="s">
        <v>74</v>
      </c>
      <c r="U300" s="186">
        <v>44712.75</v>
      </c>
      <c r="V300" s="1" t="s">
        <v>41</v>
      </c>
      <c r="W300" s="1" t="s">
        <v>49</v>
      </c>
      <c r="X300" s="13" t="str">
        <f>IF(RIGHT(H300,2)&lt;&gt;"00",H300,"")</f>
        <v/>
      </c>
      <c r="Y300" s="2">
        <f ca="1">NETWORKDAYS(P300,$Y$1)</f>
        <v>197</v>
      </c>
      <c r="Z300" s="14">
        <v>1</v>
      </c>
      <c r="AA300" s="1" t="str">
        <f t="shared" ca="1" si="20"/>
        <v>VENCIDO</v>
      </c>
      <c r="AB300" s="1" t="str">
        <f t="shared" si="21"/>
        <v>Dosa</v>
      </c>
      <c r="AC300" s="2" t="str">
        <f t="shared" si="24"/>
        <v xml:space="preserve"> CLEITON </v>
      </c>
      <c r="AD300" s="2">
        <f t="shared" si="22"/>
        <v>5</v>
      </c>
      <c r="AE300" s="2">
        <f t="shared" ca="1" si="23"/>
        <v>-273.9262716435187</v>
      </c>
      <c r="AF300" s="15"/>
    </row>
    <row r="301" spans="1:32" hidden="1">
      <c r="A301" s="1">
        <v>8627312</v>
      </c>
      <c r="B301" s="1" t="s">
        <v>62</v>
      </c>
      <c r="C301" t="s">
        <v>3578</v>
      </c>
      <c r="E301" s="2">
        <v>1902016423500</v>
      </c>
      <c r="F301" s="1" t="s">
        <v>64</v>
      </c>
      <c r="G301" s="1" t="s">
        <v>53</v>
      </c>
      <c r="H301" s="1" t="s">
        <v>291</v>
      </c>
      <c r="I301" s="1" t="s">
        <v>292</v>
      </c>
      <c r="J301" s="1" t="s">
        <v>46</v>
      </c>
      <c r="K301" t="s">
        <v>67</v>
      </c>
      <c r="M301" s="1" t="s">
        <v>35</v>
      </c>
      <c r="N301" s="1">
        <v>42318949</v>
      </c>
      <c r="O301" s="1" t="s">
        <v>36</v>
      </c>
      <c r="P301" s="186">
        <v>44712.62332175926</v>
      </c>
      <c r="R301" s="1">
        <v>1</v>
      </c>
      <c r="T301" s="1" t="s">
        <v>69</v>
      </c>
      <c r="U301" s="186">
        <v>44713.62332175926</v>
      </c>
      <c r="V301" s="1" t="s">
        <v>41</v>
      </c>
      <c r="W301" s="1" t="s">
        <v>49</v>
      </c>
      <c r="X301" s="13" t="str">
        <f>IF(RIGHT(H301,2)&lt;&gt;"00",H301,"")</f>
        <v/>
      </c>
      <c r="Y301" s="2">
        <f ca="1">NETWORKDAYS(P301,$Y$1)</f>
        <v>197</v>
      </c>
      <c r="Z301" s="14">
        <v>1</v>
      </c>
      <c r="AA301" s="1" t="str">
        <f t="shared" ca="1" si="20"/>
        <v>VENCIDO</v>
      </c>
      <c r="AB301" s="1" t="str">
        <f t="shared" si="21"/>
        <v>TAAe+</v>
      </c>
      <c r="AC301" s="2" t="str">
        <f t="shared" si="24"/>
        <v xml:space="preserve"> CLEITON </v>
      </c>
      <c r="AD301" s="2">
        <f t="shared" si="22"/>
        <v>8</v>
      </c>
      <c r="AE301" s="2">
        <f t="shared" ca="1" si="23"/>
        <v>-273.05294988425885</v>
      </c>
      <c r="AF301" s="15"/>
    </row>
    <row r="302" spans="1:32" hidden="1">
      <c r="A302" s="1">
        <v>8646759</v>
      </c>
      <c r="B302" s="1" t="s">
        <v>101</v>
      </c>
      <c r="C302" t="s">
        <v>643</v>
      </c>
      <c r="D302" s="2">
        <v>220097008</v>
      </c>
      <c r="E302" s="2">
        <v>1362001400040</v>
      </c>
      <c r="F302" s="1" t="s">
        <v>644</v>
      </c>
      <c r="G302" s="1" t="s">
        <v>53</v>
      </c>
      <c r="H302" s="1" t="s">
        <v>268</v>
      </c>
      <c r="I302" s="1" t="s">
        <v>269</v>
      </c>
      <c r="J302" s="1" t="s">
        <v>90</v>
      </c>
      <c r="K302" t="s">
        <v>645</v>
      </c>
      <c r="M302" s="1" t="s">
        <v>58</v>
      </c>
      <c r="N302" s="1">
        <v>0</v>
      </c>
      <c r="O302" s="1" t="s">
        <v>105</v>
      </c>
      <c r="P302" s="186">
        <v>44713.458472222221</v>
      </c>
      <c r="R302" s="1">
        <v>3</v>
      </c>
      <c r="T302" s="1" t="s">
        <v>646</v>
      </c>
      <c r="U302" s="186">
        <v>44714.458472222221</v>
      </c>
      <c r="V302" s="1" t="s">
        <v>41</v>
      </c>
      <c r="W302" s="1" t="s">
        <v>49</v>
      </c>
      <c r="X302" s="13" t="str">
        <f>IF(RIGHT(H302,2)&lt;&gt;"00",H302,"")</f>
        <v/>
      </c>
      <c r="Y302" s="2">
        <f ca="1">NETWORKDAYS(P302,$Y$1)</f>
        <v>196</v>
      </c>
      <c r="Z302" s="14">
        <v>1</v>
      </c>
      <c r="AA302" s="1" t="str">
        <f t="shared" ca="1" si="20"/>
        <v>VENCIDO</v>
      </c>
      <c r="AB302" s="1" t="str">
        <f t="shared" si="21"/>
        <v>SL-On</v>
      </c>
      <c r="AC302" s="2" t="str">
        <f t="shared" si="24"/>
        <v xml:space="preserve"> RINALDO </v>
      </c>
      <c r="AD302" s="2">
        <f t="shared" si="22"/>
        <v>1</v>
      </c>
      <c r="AE302" s="2">
        <f t="shared" ca="1" si="23"/>
        <v>-272.21779942129797</v>
      </c>
      <c r="AF302" s="15"/>
    </row>
    <row r="303" spans="1:32" hidden="1">
      <c r="A303" s="1">
        <v>8645931</v>
      </c>
      <c r="B303" s="1" t="s">
        <v>101</v>
      </c>
      <c r="C303" t="s">
        <v>643</v>
      </c>
      <c r="D303" s="2">
        <v>220095864</v>
      </c>
      <c r="E303" s="2">
        <v>1120011400030</v>
      </c>
      <c r="F303" s="1" t="s">
        <v>647</v>
      </c>
      <c r="G303" s="1" t="s">
        <v>53</v>
      </c>
      <c r="H303" s="1" t="s">
        <v>648</v>
      </c>
      <c r="I303" s="1" t="s">
        <v>649</v>
      </c>
      <c r="J303" s="1" t="s">
        <v>164</v>
      </c>
      <c r="K303" t="s">
        <v>650</v>
      </c>
      <c r="M303" s="1" t="s">
        <v>58</v>
      </c>
      <c r="N303" s="1">
        <v>0</v>
      </c>
      <c r="O303" s="1" t="s">
        <v>105</v>
      </c>
      <c r="P303" s="186">
        <v>44713.426041666666</v>
      </c>
      <c r="R303" s="1">
        <v>4</v>
      </c>
      <c r="T303" s="1" t="s">
        <v>646</v>
      </c>
      <c r="U303" s="186">
        <v>44714.426053240742</v>
      </c>
      <c r="V303" s="1" t="s">
        <v>41</v>
      </c>
      <c r="W303" s="1" t="s">
        <v>49</v>
      </c>
      <c r="X303" s="13" t="str">
        <f>IF(RIGHT(H303,2)&lt;&gt;"00",H303,"")</f>
        <v>1120.01</v>
      </c>
      <c r="Y303" s="2">
        <f ca="1">NETWORKDAYS(P303,$Y$1)</f>
        <v>196</v>
      </c>
      <c r="Z303" s="14">
        <v>1</v>
      </c>
      <c r="AA303" s="1" t="str">
        <f t="shared" ca="1" si="20"/>
        <v>VENCIDO</v>
      </c>
      <c r="AB303" s="1" t="str">
        <f t="shared" si="21"/>
        <v>C-14</v>
      </c>
      <c r="AC303" s="2" t="str">
        <f t="shared" si="24"/>
        <v xml:space="preserve"> ROSEMERE </v>
      </c>
      <c r="AD303" s="2">
        <f t="shared" si="22"/>
        <v>15</v>
      </c>
      <c r="AE303" s="2">
        <f t="shared" ca="1" si="23"/>
        <v>-272.25021840277623</v>
      </c>
      <c r="AF303" s="15"/>
    </row>
    <row r="304" spans="1:32" hidden="1">
      <c r="A304" s="1">
        <v>8645897</v>
      </c>
      <c r="B304" s="1" t="s">
        <v>653</v>
      </c>
      <c r="C304" t="s">
        <v>3579</v>
      </c>
      <c r="E304" s="2">
        <v>325001400040</v>
      </c>
      <c r="F304" s="1" t="s">
        <v>644</v>
      </c>
      <c r="G304" s="1" t="s">
        <v>53</v>
      </c>
      <c r="H304" s="1" t="s">
        <v>345</v>
      </c>
      <c r="I304" s="1" t="s">
        <v>346</v>
      </c>
      <c r="J304" s="1" t="s">
        <v>46</v>
      </c>
      <c r="K304" t="s">
        <v>645</v>
      </c>
      <c r="M304" s="1" t="s">
        <v>58</v>
      </c>
      <c r="N304" s="1">
        <v>0</v>
      </c>
      <c r="O304" s="1" t="s">
        <v>105</v>
      </c>
      <c r="P304" s="186">
        <v>44713.425162037034</v>
      </c>
      <c r="R304" s="1">
        <v>3</v>
      </c>
      <c r="T304" s="1" t="s">
        <v>646</v>
      </c>
      <c r="U304" s="186">
        <v>44714.425162037034</v>
      </c>
      <c r="V304" s="1" t="s">
        <v>41</v>
      </c>
      <c r="W304" s="1" t="s">
        <v>49</v>
      </c>
      <c r="X304" s="13" t="str">
        <f>IF(RIGHT(H304,2)&lt;&gt;"00",H304,"")</f>
        <v/>
      </c>
      <c r="Y304" s="2">
        <f ca="1">NETWORKDAYS(P304,$Y$1)</f>
        <v>196</v>
      </c>
      <c r="Z304" s="14">
        <v>1</v>
      </c>
      <c r="AA304" s="1" t="str">
        <f t="shared" ca="1" si="20"/>
        <v>VENCIDO</v>
      </c>
      <c r="AB304" s="1" t="str">
        <f t="shared" si="21"/>
        <v>SL-On</v>
      </c>
      <c r="AC304" s="2" t="str">
        <f t="shared" si="24"/>
        <v xml:space="preserve"> CLEITON </v>
      </c>
      <c r="AD304" s="2">
        <f t="shared" si="22"/>
        <v>1</v>
      </c>
      <c r="AE304" s="2">
        <f t="shared" ca="1" si="23"/>
        <v>-272.25110960648453</v>
      </c>
      <c r="AF304" s="15"/>
    </row>
    <row r="305" spans="1:32" hidden="1">
      <c r="A305" s="1">
        <v>8645870</v>
      </c>
      <c r="B305" s="1" t="s">
        <v>653</v>
      </c>
      <c r="C305" t="s">
        <v>3579</v>
      </c>
      <c r="E305" s="2">
        <v>8573001400040</v>
      </c>
      <c r="F305" s="1" t="s">
        <v>644</v>
      </c>
      <c r="G305" s="1" t="s">
        <v>53</v>
      </c>
      <c r="H305" s="1" t="s">
        <v>657</v>
      </c>
      <c r="I305" s="1" t="s">
        <v>658</v>
      </c>
      <c r="J305" s="1" t="s">
        <v>33</v>
      </c>
      <c r="K305" t="s">
        <v>645</v>
      </c>
      <c r="M305" s="1" t="s">
        <v>58</v>
      </c>
      <c r="N305" s="1">
        <v>0</v>
      </c>
      <c r="O305" s="1" t="s">
        <v>105</v>
      </c>
      <c r="P305" s="186">
        <v>44713.425081018519</v>
      </c>
      <c r="R305" s="1">
        <v>3</v>
      </c>
      <c r="T305" s="1" t="s">
        <v>646</v>
      </c>
      <c r="U305" s="186">
        <v>44714.425081018519</v>
      </c>
      <c r="V305" s="1" t="s">
        <v>41</v>
      </c>
      <c r="W305" s="1" t="s">
        <v>49</v>
      </c>
      <c r="X305" s="13" t="str">
        <f>IF(RIGHT(H305,2)&lt;&gt;"00",H305,"")</f>
        <v/>
      </c>
      <c r="Y305" s="2">
        <f ca="1">NETWORKDAYS(P305,$Y$1)</f>
        <v>196</v>
      </c>
      <c r="Z305" s="14">
        <v>1</v>
      </c>
      <c r="AA305" s="1" t="str">
        <f t="shared" ca="1" si="20"/>
        <v>VENCIDO</v>
      </c>
      <c r="AB305" s="1" t="str">
        <f t="shared" si="21"/>
        <v>SL-On</v>
      </c>
      <c r="AC305" s="2" t="str">
        <f t="shared" si="24"/>
        <v xml:space="preserve"> ROSEMERE </v>
      </c>
      <c r="AD305" s="2">
        <f t="shared" si="22"/>
        <v>1</v>
      </c>
      <c r="AE305" s="2">
        <f t="shared" ca="1" si="23"/>
        <v>-272.25119062500016</v>
      </c>
      <c r="AF305" s="15"/>
    </row>
    <row r="306" spans="1:32" hidden="1">
      <c r="A306" s="1">
        <v>8645811</v>
      </c>
      <c r="B306" s="1" t="s">
        <v>653</v>
      </c>
      <c r="C306" t="s">
        <v>3579</v>
      </c>
      <c r="E306" s="2">
        <v>8973001400040</v>
      </c>
      <c r="F306" s="1" t="s">
        <v>644</v>
      </c>
      <c r="G306" s="1" t="s">
        <v>53</v>
      </c>
      <c r="H306" s="1" t="s">
        <v>661</v>
      </c>
      <c r="I306" s="1" t="s">
        <v>662</v>
      </c>
      <c r="J306" s="1" t="s">
        <v>46</v>
      </c>
      <c r="K306" t="s">
        <v>645</v>
      </c>
      <c r="M306" s="1" t="s">
        <v>58</v>
      </c>
      <c r="N306" s="1">
        <v>0</v>
      </c>
      <c r="O306" s="1" t="s">
        <v>105</v>
      </c>
      <c r="P306" s="186">
        <v>44713.425011574072</v>
      </c>
      <c r="R306" s="1">
        <v>3</v>
      </c>
      <c r="T306" s="1" t="s">
        <v>646</v>
      </c>
      <c r="U306" s="186">
        <v>44714.425011574072</v>
      </c>
      <c r="V306" s="1" t="s">
        <v>41</v>
      </c>
      <c r="W306" s="1" t="s">
        <v>49</v>
      </c>
      <c r="X306" s="13" t="str">
        <f>IF(RIGHT(H306,2)&lt;&gt;"00",H306,"")</f>
        <v/>
      </c>
      <c r="Y306" s="2">
        <f ca="1">NETWORKDAYS(P306,$Y$1)</f>
        <v>196</v>
      </c>
      <c r="Z306" s="14">
        <v>1</v>
      </c>
      <c r="AA306" s="1" t="str">
        <f t="shared" ca="1" si="20"/>
        <v>VENCIDO</v>
      </c>
      <c r="AB306" s="1" t="str">
        <f t="shared" si="21"/>
        <v>SL-On</v>
      </c>
      <c r="AC306" s="2" t="str">
        <f t="shared" si="24"/>
        <v xml:space="preserve"> CLEITON </v>
      </c>
      <c r="AD306" s="2">
        <f t="shared" si="22"/>
        <v>1</v>
      </c>
      <c r="AE306" s="2">
        <f t="shared" ca="1" si="23"/>
        <v>-272.25126006944629</v>
      </c>
      <c r="AF306" s="15"/>
    </row>
    <row r="307" spans="1:32" hidden="1">
      <c r="A307" s="1">
        <v>8645204</v>
      </c>
      <c r="B307" s="1" t="s">
        <v>653</v>
      </c>
      <c r="C307" t="s">
        <v>3579</v>
      </c>
      <c r="E307" s="2">
        <v>5898001400040</v>
      </c>
      <c r="F307" s="1" t="s">
        <v>644</v>
      </c>
      <c r="G307" s="1" t="s">
        <v>53</v>
      </c>
      <c r="H307" s="1" t="s">
        <v>365</v>
      </c>
      <c r="I307" s="1" t="s">
        <v>366</v>
      </c>
      <c r="J307" s="1" t="s">
        <v>164</v>
      </c>
      <c r="K307" t="s">
        <v>645</v>
      </c>
      <c r="M307" s="1" t="s">
        <v>58</v>
      </c>
      <c r="N307" s="1">
        <v>0</v>
      </c>
      <c r="O307" s="1" t="s">
        <v>105</v>
      </c>
      <c r="P307" s="186">
        <v>44713.423518518517</v>
      </c>
      <c r="R307" s="1">
        <v>2</v>
      </c>
      <c r="T307" s="1" t="s">
        <v>646</v>
      </c>
      <c r="U307" s="186">
        <v>44714.423518518517</v>
      </c>
      <c r="V307" s="1" t="s">
        <v>41</v>
      </c>
      <c r="W307" s="1" t="s">
        <v>49</v>
      </c>
      <c r="X307" s="13" t="str">
        <f>IF(RIGHT(H307,2)&lt;&gt;"00",H307,"")</f>
        <v/>
      </c>
      <c r="Y307" s="2">
        <f ca="1">NETWORKDAYS(P307,$Y$1)</f>
        <v>196</v>
      </c>
      <c r="Z307" s="14">
        <v>1</v>
      </c>
      <c r="AA307" s="1" t="str">
        <f t="shared" ca="1" si="20"/>
        <v>VENCIDO</v>
      </c>
      <c r="AB307" s="1" t="str">
        <f t="shared" si="21"/>
        <v>SL-On</v>
      </c>
      <c r="AC307" s="2" t="str">
        <f t="shared" si="24"/>
        <v xml:space="preserve"> ROSEMERE </v>
      </c>
      <c r="AD307" s="2">
        <f t="shared" si="22"/>
        <v>1</v>
      </c>
      <c r="AE307" s="2">
        <f t="shared" ca="1" si="23"/>
        <v>-272.25275312500162</v>
      </c>
      <c r="AF307" s="15"/>
    </row>
    <row r="308" spans="1:32" hidden="1">
      <c r="A308" s="1">
        <v>8645133</v>
      </c>
      <c r="B308" s="1" t="s">
        <v>653</v>
      </c>
      <c r="C308" t="s">
        <v>3579</v>
      </c>
      <c r="E308" s="2">
        <v>5742001400040</v>
      </c>
      <c r="F308" s="1" t="s">
        <v>644</v>
      </c>
      <c r="G308" s="1" t="s">
        <v>53</v>
      </c>
      <c r="H308" s="1" t="s">
        <v>430</v>
      </c>
      <c r="I308" s="1" t="s">
        <v>431</v>
      </c>
      <c r="J308" s="1" t="s">
        <v>79</v>
      </c>
      <c r="K308" t="s">
        <v>645</v>
      </c>
      <c r="M308" s="1" t="s">
        <v>58</v>
      </c>
      <c r="N308" s="1">
        <v>0</v>
      </c>
      <c r="O308" s="1" t="s">
        <v>105</v>
      </c>
      <c r="P308" s="186">
        <v>44713.423067129632</v>
      </c>
      <c r="R308" s="1">
        <v>2</v>
      </c>
      <c r="T308" s="1" t="s">
        <v>646</v>
      </c>
      <c r="U308" s="186">
        <v>44714.423067129632</v>
      </c>
      <c r="V308" s="1" t="s">
        <v>41</v>
      </c>
      <c r="W308" s="1" t="s">
        <v>49</v>
      </c>
      <c r="X308" s="13" t="str">
        <f>IF(RIGHT(H308,2)&lt;&gt;"00",H308,"")</f>
        <v/>
      </c>
      <c r="Y308" s="2">
        <f ca="1">NETWORKDAYS(P308,$Y$1)</f>
        <v>196</v>
      </c>
      <c r="Z308" s="14">
        <v>1</v>
      </c>
      <c r="AA308" s="1" t="str">
        <f t="shared" ca="1" si="20"/>
        <v>VENCIDO</v>
      </c>
      <c r="AB308" s="1" t="str">
        <f t="shared" si="21"/>
        <v>SL-On</v>
      </c>
      <c r="AC308" s="2" t="str">
        <f t="shared" si="24"/>
        <v xml:space="preserve"> ROSEMERE </v>
      </c>
      <c r="AD308" s="2">
        <f t="shared" si="22"/>
        <v>1</v>
      </c>
      <c r="AE308" s="2">
        <f t="shared" ca="1" si="23"/>
        <v>-272.25320451388689</v>
      </c>
      <c r="AF308" s="15"/>
    </row>
    <row r="309" spans="1:32" hidden="1">
      <c r="A309" s="1">
        <v>8644779</v>
      </c>
      <c r="B309" s="1" t="s">
        <v>653</v>
      </c>
      <c r="C309" t="s">
        <v>3579</v>
      </c>
      <c r="E309" s="2">
        <v>4623001400040</v>
      </c>
      <c r="F309" s="1" t="s">
        <v>644</v>
      </c>
      <c r="G309" s="1" t="s">
        <v>53</v>
      </c>
      <c r="H309" s="1" t="s">
        <v>669</v>
      </c>
      <c r="I309" s="1" t="s">
        <v>670</v>
      </c>
      <c r="J309" s="1" t="s">
        <v>33</v>
      </c>
      <c r="K309" t="s">
        <v>645</v>
      </c>
      <c r="M309" s="1" t="s">
        <v>58</v>
      </c>
      <c r="N309" s="1">
        <v>0</v>
      </c>
      <c r="O309" s="1" t="s">
        <v>105</v>
      </c>
      <c r="P309" s="186">
        <v>44713.421817129631</v>
      </c>
      <c r="R309" s="1">
        <v>2</v>
      </c>
      <c r="T309" s="1" t="s">
        <v>646</v>
      </c>
      <c r="U309" s="186">
        <v>44714.421817129631</v>
      </c>
      <c r="V309" s="1" t="s">
        <v>41</v>
      </c>
      <c r="W309" s="1" t="s">
        <v>42</v>
      </c>
      <c r="X309" s="13" t="str">
        <f>IF(RIGHT(H309,2)&lt;&gt;"00",H309,"")</f>
        <v/>
      </c>
      <c r="Y309" s="2">
        <f ca="1">NETWORKDAYS(P309,$Y$1)</f>
        <v>196</v>
      </c>
      <c r="Z309" s="14">
        <v>1</v>
      </c>
      <c r="AA309" s="1" t="str">
        <f t="shared" ca="1" si="20"/>
        <v>VENCIDO</v>
      </c>
      <c r="AB309" s="1" t="str">
        <f t="shared" si="21"/>
        <v>SL-On</v>
      </c>
      <c r="AC309" s="2" t="str">
        <f t="shared" si="24"/>
        <v xml:space="preserve"> ROSEMERE </v>
      </c>
      <c r="AD309" s="2">
        <f t="shared" si="22"/>
        <v>1</v>
      </c>
      <c r="AE309" s="2">
        <f t="shared" ca="1" si="23"/>
        <v>-272.25445451388805</v>
      </c>
      <c r="AF309" s="15"/>
    </row>
    <row r="310" spans="1:32" hidden="1">
      <c r="A310" s="1">
        <v>8644587</v>
      </c>
      <c r="B310" s="1" t="s">
        <v>653</v>
      </c>
      <c r="C310" t="s">
        <v>3579</v>
      </c>
      <c r="E310" s="2">
        <v>4357001400040</v>
      </c>
      <c r="F310" s="1" t="s">
        <v>644</v>
      </c>
      <c r="G310" s="1" t="s">
        <v>53</v>
      </c>
      <c r="H310" s="1" t="s">
        <v>633</v>
      </c>
      <c r="I310" s="1" t="s">
        <v>634</v>
      </c>
      <c r="J310" s="1" t="s">
        <v>46</v>
      </c>
      <c r="K310" t="s">
        <v>645</v>
      </c>
      <c r="M310" s="1" t="s">
        <v>58</v>
      </c>
      <c r="N310" s="1">
        <v>0</v>
      </c>
      <c r="O310" s="1" t="s">
        <v>105</v>
      </c>
      <c r="P310" s="186">
        <v>44713.421180555553</v>
      </c>
      <c r="R310" s="1">
        <v>2</v>
      </c>
      <c r="T310" s="1" t="s">
        <v>646</v>
      </c>
      <c r="U310" s="186">
        <v>44714.421180555553</v>
      </c>
      <c r="V310" s="1" t="s">
        <v>41</v>
      </c>
      <c r="W310" s="1" t="s">
        <v>49</v>
      </c>
      <c r="X310" s="13" t="str">
        <f>IF(RIGHT(H310,2)&lt;&gt;"00",H310,"")</f>
        <v/>
      </c>
      <c r="Y310" s="2">
        <f ca="1">NETWORKDAYS(P310,$Y$1)</f>
        <v>196</v>
      </c>
      <c r="Z310" s="14">
        <v>1</v>
      </c>
      <c r="AA310" s="1" t="str">
        <f t="shared" ca="1" si="20"/>
        <v>VENCIDO</v>
      </c>
      <c r="AB310" s="1" t="str">
        <f t="shared" si="21"/>
        <v>SL-On</v>
      </c>
      <c r="AC310" s="2" t="str">
        <f t="shared" si="24"/>
        <v xml:space="preserve"> CLEITON </v>
      </c>
      <c r="AD310" s="2">
        <f t="shared" si="22"/>
        <v>1</v>
      </c>
      <c r="AE310" s="2">
        <f t="shared" ca="1" si="23"/>
        <v>-272.25509108796541</v>
      </c>
      <c r="AF310" s="15"/>
    </row>
    <row r="311" spans="1:32" hidden="1">
      <c r="A311" s="1">
        <v>8644506</v>
      </c>
      <c r="B311" s="1" t="s">
        <v>653</v>
      </c>
      <c r="C311" t="s">
        <v>3579</v>
      </c>
      <c r="E311" s="2">
        <v>4235001400040</v>
      </c>
      <c r="F311" s="1" t="s">
        <v>644</v>
      </c>
      <c r="G311" s="1" t="s">
        <v>53</v>
      </c>
      <c r="H311" s="1" t="s">
        <v>291</v>
      </c>
      <c r="I311" s="1" t="s">
        <v>292</v>
      </c>
      <c r="J311" s="1" t="s">
        <v>46</v>
      </c>
      <c r="K311" t="s">
        <v>645</v>
      </c>
      <c r="M311" s="1" t="s">
        <v>58</v>
      </c>
      <c r="N311" s="1">
        <v>0</v>
      </c>
      <c r="O311" s="1" t="s">
        <v>105</v>
      </c>
      <c r="P311" s="186">
        <v>44713.420949074076</v>
      </c>
      <c r="R311" s="1">
        <v>2</v>
      </c>
      <c r="T311" s="1" t="s">
        <v>646</v>
      </c>
      <c r="U311" s="186">
        <v>44714.420949074076</v>
      </c>
      <c r="V311" s="1" t="s">
        <v>41</v>
      </c>
      <c r="W311" s="1" t="s">
        <v>49</v>
      </c>
      <c r="X311" s="13" t="str">
        <f>IF(RIGHT(H311,2)&lt;&gt;"00",H311,"")</f>
        <v/>
      </c>
      <c r="Y311" s="2">
        <f ca="1">NETWORKDAYS(P311,$Y$1)</f>
        <v>196</v>
      </c>
      <c r="Z311" s="14">
        <v>1</v>
      </c>
      <c r="AA311" s="1" t="str">
        <f t="shared" ca="1" si="20"/>
        <v>VENCIDO</v>
      </c>
      <c r="AB311" s="1" t="str">
        <f t="shared" si="21"/>
        <v>SL-On</v>
      </c>
      <c r="AC311" s="2" t="str">
        <f t="shared" si="24"/>
        <v xml:space="preserve"> CLEITON </v>
      </c>
      <c r="AD311" s="2">
        <f t="shared" si="22"/>
        <v>1</v>
      </c>
      <c r="AE311" s="2">
        <f t="shared" ca="1" si="23"/>
        <v>-272.2553225694428</v>
      </c>
      <c r="AF311" s="15"/>
    </row>
    <row r="312" spans="1:32" hidden="1">
      <c r="A312" s="1">
        <v>8644094</v>
      </c>
      <c r="B312" s="1" t="s">
        <v>653</v>
      </c>
      <c r="C312" t="s">
        <v>3579</v>
      </c>
      <c r="E312" s="2">
        <v>3699001400040</v>
      </c>
      <c r="F312" s="1" t="s">
        <v>644</v>
      </c>
      <c r="G312" s="1" t="s">
        <v>53</v>
      </c>
      <c r="H312" s="1" t="s">
        <v>343</v>
      </c>
      <c r="I312" s="1" t="s">
        <v>344</v>
      </c>
      <c r="J312" s="1" t="s">
        <v>46</v>
      </c>
      <c r="K312" t="s">
        <v>645</v>
      </c>
      <c r="M312" s="1" t="s">
        <v>58</v>
      </c>
      <c r="N312" s="1">
        <v>0</v>
      </c>
      <c r="O312" s="1" t="s">
        <v>105</v>
      </c>
      <c r="P312" s="186">
        <v>44713.419710648152</v>
      </c>
      <c r="R312" s="1">
        <v>2</v>
      </c>
      <c r="T312" s="1" t="s">
        <v>646</v>
      </c>
      <c r="U312" s="186">
        <v>44714.419710648152</v>
      </c>
      <c r="V312" s="1" t="s">
        <v>41</v>
      </c>
      <c r="W312" s="1" t="s">
        <v>49</v>
      </c>
      <c r="X312" s="13" t="str">
        <f>IF(RIGHT(H312,2)&lt;&gt;"00",H312,"")</f>
        <v/>
      </c>
      <c r="Y312" s="2">
        <f ca="1">NETWORKDAYS(P312,$Y$1)</f>
        <v>196</v>
      </c>
      <c r="Z312" s="14">
        <v>1</v>
      </c>
      <c r="AA312" s="1" t="str">
        <f t="shared" ca="1" si="20"/>
        <v>VENCIDO</v>
      </c>
      <c r="AB312" s="1" t="str">
        <f t="shared" si="21"/>
        <v>SL-On</v>
      </c>
      <c r="AC312" s="2" t="str">
        <f t="shared" si="24"/>
        <v xml:space="preserve"> CLEITON </v>
      </c>
      <c r="AD312" s="2">
        <f t="shared" si="22"/>
        <v>1</v>
      </c>
      <c r="AE312" s="2">
        <f t="shared" ca="1" si="23"/>
        <v>-272.25656099536718</v>
      </c>
      <c r="AF312" s="15"/>
    </row>
    <row r="313" spans="1:32" hidden="1">
      <c r="A313" s="1">
        <v>8644017</v>
      </c>
      <c r="B313" s="1" t="s">
        <v>653</v>
      </c>
      <c r="C313" t="s">
        <v>3579</v>
      </c>
      <c r="E313" s="2">
        <v>3613001400040</v>
      </c>
      <c r="F313" s="1" t="s">
        <v>644</v>
      </c>
      <c r="G313" s="1" t="s">
        <v>53</v>
      </c>
      <c r="H313" s="1" t="s">
        <v>679</v>
      </c>
      <c r="I313" s="1" t="s">
        <v>680</v>
      </c>
      <c r="J313" s="1" t="s">
        <v>46</v>
      </c>
      <c r="K313" t="s">
        <v>645</v>
      </c>
      <c r="M313" s="1" t="s">
        <v>58</v>
      </c>
      <c r="N313" s="1">
        <v>0</v>
      </c>
      <c r="O313" s="1" t="s">
        <v>105</v>
      </c>
      <c r="P313" s="186">
        <v>44713.419398148151</v>
      </c>
      <c r="R313" s="1">
        <v>3</v>
      </c>
      <c r="T313" s="1" t="s">
        <v>646</v>
      </c>
      <c r="U313" s="186">
        <v>44714.419398148151</v>
      </c>
      <c r="V313" s="1" t="s">
        <v>41</v>
      </c>
      <c r="W313" s="1" t="s">
        <v>49</v>
      </c>
      <c r="X313" s="13" t="str">
        <f>IF(RIGHT(H313,2)&lt;&gt;"00",H313,"")</f>
        <v/>
      </c>
      <c r="Y313" s="2">
        <f ca="1">NETWORKDAYS(P313,$Y$1)</f>
        <v>196</v>
      </c>
      <c r="Z313" s="14">
        <v>1</v>
      </c>
      <c r="AA313" s="1" t="str">
        <f t="shared" ca="1" si="20"/>
        <v>VENCIDO</v>
      </c>
      <c r="AB313" s="1" t="str">
        <f t="shared" si="21"/>
        <v>SL-On</v>
      </c>
      <c r="AC313" s="2" t="str">
        <f t="shared" si="24"/>
        <v xml:space="preserve"> CLEITON </v>
      </c>
      <c r="AD313" s="2">
        <f t="shared" si="22"/>
        <v>1</v>
      </c>
      <c r="AE313" s="2">
        <f t="shared" ca="1" si="23"/>
        <v>-272.25687349536747</v>
      </c>
      <c r="AF313" s="15"/>
    </row>
    <row r="314" spans="1:32" hidden="1">
      <c r="A314" s="1">
        <v>8644016</v>
      </c>
      <c r="B314" s="1" t="s">
        <v>653</v>
      </c>
      <c r="C314" t="s">
        <v>3579</v>
      </c>
      <c r="E314" s="2">
        <v>3612001400040</v>
      </c>
      <c r="F314" s="1" t="s">
        <v>644</v>
      </c>
      <c r="G314" s="1" t="s">
        <v>53</v>
      </c>
      <c r="H314" s="1" t="s">
        <v>683</v>
      </c>
      <c r="I314" s="1" t="s">
        <v>684</v>
      </c>
      <c r="J314" s="1" t="s">
        <v>46</v>
      </c>
      <c r="K314" t="s">
        <v>645</v>
      </c>
      <c r="M314" s="1" t="s">
        <v>58</v>
      </c>
      <c r="N314" s="1">
        <v>0</v>
      </c>
      <c r="O314" s="1" t="s">
        <v>105</v>
      </c>
      <c r="P314" s="186">
        <v>44713.419398148151</v>
      </c>
      <c r="R314" s="1">
        <v>3</v>
      </c>
      <c r="T314" s="1" t="s">
        <v>646</v>
      </c>
      <c r="U314" s="186">
        <v>44714.419398148151</v>
      </c>
      <c r="V314" s="1" t="s">
        <v>41</v>
      </c>
      <c r="W314" s="1" t="s">
        <v>49</v>
      </c>
      <c r="X314" s="13" t="str">
        <f>IF(RIGHT(H314,2)&lt;&gt;"00",H314,"")</f>
        <v/>
      </c>
      <c r="Y314" s="2">
        <f ca="1">NETWORKDAYS(P314,$Y$1)</f>
        <v>196</v>
      </c>
      <c r="Z314" s="14">
        <v>1</v>
      </c>
      <c r="AA314" s="1" t="str">
        <f t="shared" ca="1" si="20"/>
        <v>VENCIDO</v>
      </c>
      <c r="AB314" s="1" t="str">
        <f t="shared" si="21"/>
        <v>SL-On</v>
      </c>
      <c r="AC314" s="2" t="str">
        <f t="shared" si="24"/>
        <v xml:space="preserve"> CLEITON </v>
      </c>
      <c r="AD314" s="2">
        <f t="shared" si="22"/>
        <v>1</v>
      </c>
      <c r="AE314" s="2">
        <f t="shared" ca="1" si="23"/>
        <v>-272.25687349536747</v>
      </c>
      <c r="AF314" s="15"/>
    </row>
    <row r="315" spans="1:32" hidden="1">
      <c r="A315" s="1">
        <v>8643946</v>
      </c>
      <c r="B315" s="1" t="s">
        <v>653</v>
      </c>
      <c r="C315" t="s">
        <v>3579</v>
      </c>
      <c r="E315" s="2">
        <v>3504001400040</v>
      </c>
      <c r="F315" s="1" t="s">
        <v>644</v>
      </c>
      <c r="G315" s="1" t="s">
        <v>53</v>
      </c>
      <c r="H315" s="1" t="s">
        <v>585</v>
      </c>
      <c r="I315" s="1" t="s">
        <v>586</v>
      </c>
      <c r="J315" s="1" t="s">
        <v>46</v>
      </c>
      <c r="K315" t="s">
        <v>645</v>
      </c>
      <c r="M315" s="1" t="s">
        <v>58</v>
      </c>
      <c r="N315" s="1">
        <v>0</v>
      </c>
      <c r="O315" s="1" t="s">
        <v>105</v>
      </c>
      <c r="P315" s="186">
        <v>44713.419270833336</v>
      </c>
      <c r="R315" s="1">
        <v>3</v>
      </c>
      <c r="T315" s="1" t="s">
        <v>646</v>
      </c>
      <c r="U315" s="186">
        <v>44714.419270833336</v>
      </c>
      <c r="V315" s="1" t="s">
        <v>41</v>
      </c>
      <c r="W315" s="1" t="s">
        <v>49</v>
      </c>
      <c r="X315" s="13" t="str">
        <f>IF(RIGHT(H315,2)&lt;&gt;"00",H315,"")</f>
        <v/>
      </c>
      <c r="Y315" s="2">
        <f ca="1">NETWORKDAYS(P315,$Y$1)</f>
        <v>196</v>
      </c>
      <c r="Z315" s="14">
        <v>1</v>
      </c>
      <c r="AA315" s="1" t="str">
        <f t="shared" ca="1" si="20"/>
        <v>VENCIDO</v>
      </c>
      <c r="AB315" s="1" t="str">
        <f t="shared" si="21"/>
        <v>SL-On</v>
      </c>
      <c r="AC315" s="2" t="str">
        <f t="shared" si="24"/>
        <v xml:space="preserve"> CLEITON </v>
      </c>
      <c r="AD315" s="2">
        <f t="shared" si="22"/>
        <v>1</v>
      </c>
      <c r="AE315" s="2">
        <f t="shared" ca="1" si="23"/>
        <v>-272.25700081018294</v>
      </c>
      <c r="AF315" s="15"/>
    </row>
    <row r="316" spans="1:32" hidden="1">
      <c r="A316" s="1">
        <v>8643945</v>
      </c>
      <c r="B316" s="1" t="s">
        <v>653</v>
      </c>
      <c r="C316" t="s">
        <v>3579</v>
      </c>
      <c r="E316" s="2">
        <v>3503001400040</v>
      </c>
      <c r="F316" s="1" t="s">
        <v>644</v>
      </c>
      <c r="G316" s="1" t="s">
        <v>53</v>
      </c>
      <c r="H316" s="1" t="s">
        <v>398</v>
      </c>
      <c r="I316" s="1" t="s">
        <v>399</v>
      </c>
      <c r="J316" s="1" t="s">
        <v>46</v>
      </c>
      <c r="K316" t="s">
        <v>645</v>
      </c>
      <c r="M316" s="1" t="s">
        <v>58</v>
      </c>
      <c r="N316" s="1">
        <v>0</v>
      </c>
      <c r="O316" s="1" t="s">
        <v>105</v>
      </c>
      <c r="P316" s="186">
        <v>44713.419270833336</v>
      </c>
      <c r="R316" s="1">
        <v>2</v>
      </c>
      <c r="T316" s="1" t="s">
        <v>646</v>
      </c>
      <c r="U316" s="186">
        <v>44714.419270833336</v>
      </c>
      <c r="V316" s="1" t="s">
        <v>41</v>
      </c>
      <c r="W316" s="1" t="s">
        <v>49</v>
      </c>
      <c r="X316" s="13" t="str">
        <f>IF(RIGHT(H316,2)&lt;&gt;"00",H316,"")</f>
        <v/>
      </c>
      <c r="Y316" s="2">
        <f ca="1">NETWORKDAYS(P316,$Y$1)</f>
        <v>196</v>
      </c>
      <c r="Z316" s="14">
        <v>1</v>
      </c>
      <c r="AA316" s="1" t="str">
        <f t="shared" ca="1" si="20"/>
        <v>VENCIDO</v>
      </c>
      <c r="AB316" s="1" t="str">
        <f t="shared" si="21"/>
        <v>SL-On</v>
      </c>
      <c r="AC316" s="2" t="str">
        <f t="shared" si="24"/>
        <v xml:space="preserve"> CLEITON </v>
      </c>
      <c r="AD316" s="2">
        <f t="shared" si="22"/>
        <v>1</v>
      </c>
      <c r="AE316" s="2">
        <f t="shared" ca="1" si="23"/>
        <v>-272.25700081018294</v>
      </c>
      <c r="AF316" s="15"/>
    </row>
    <row r="317" spans="1:32" hidden="1">
      <c r="A317" s="1">
        <v>8643755</v>
      </c>
      <c r="B317" s="1" t="s">
        <v>653</v>
      </c>
      <c r="C317" t="s">
        <v>3579</v>
      </c>
      <c r="E317" s="2">
        <v>3258001400040</v>
      </c>
      <c r="F317" s="1" t="s">
        <v>644</v>
      </c>
      <c r="G317" s="1" t="s">
        <v>53</v>
      </c>
      <c r="H317" s="1" t="s">
        <v>321</v>
      </c>
      <c r="I317" s="1" t="s">
        <v>322</v>
      </c>
      <c r="J317" s="1" t="s">
        <v>46</v>
      </c>
      <c r="K317" t="s">
        <v>645</v>
      </c>
      <c r="M317" s="1" t="s">
        <v>58</v>
      </c>
      <c r="N317" s="1">
        <v>0</v>
      </c>
      <c r="O317" s="1" t="s">
        <v>105</v>
      </c>
      <c r="P317" s="186">
        <v>44713.418391203704</v>
      </c>
      <c r="R317" s="1">
        <v>2</v>
      </c>
      <c r="T317" s="1" t="s">
        <v>646</v>
      </c>
      <c r="U317" s="186">
        <v>44714.418391203704</v>
      </c>
      <c r="V317" s="1" t="s">
        <v>41</v>
      </c>
      <c r="W317" s="1" t="s">
        <v>49</v>
      </c>
      <c r="X317" s="13" t="str">
        <f>IF(RIGHT(H317,2)&lt;&gt;"00",H317,"")</f>
        <v/>
      </c>
      <c r="Y317" s="2">
        <f ca="1">NETWORKDAYS(P317,$Y$1)</f>
        <v>196</v>
      </c>
      <c r="Z317" s="14">
        <v>1</v>
      </c>
      <c r="AA317" s="1" t="str">
        <f t="shared" ca="1" si="20"/>
        <v>VENCIDO</v>
      </c>
      <c r="AB317" s="1" t="str">
        <f t="shared" si="21"/>
        <v>SL-On</v>
      </c>
      <c r="AC317" s="2" t="str">
        <f t="shared" si="24"/>
        <v xml:space="preserve"> CLEITON </v>
      </c>
      <c r="AD317" s="2">
        <f t="shared" si="22"/>
        <v>1</v>
      </c>
      <c r="AE317" s="2">
        <f t="shared" ca="1" si="23"/>
        <v>-272.25788043981447</v>
      </c>
      <c r="AF317" s="15"/>
    </row>
    <row r="318" spans="1:32" hidden="1">
      <c r="A318" s="1">
        <v>8643740</v>
      </c>
      <c r="B318" s="1" t="s">
        <v>653</v>
      </c>
      <c r="C318" t="s">
        <v>3579</v>
      </c>
      <c r="E318" s="2">
        <v>3243001400040</v>
      </c>
      <c r="F318" s="1" t="s">
        <v>644</v>
      </c>
      <c r="G318" s="1" t="s">
        <v>53</v>
      </c>
      <c r="H318" s="1" t="s">
        <v>282</v>
      </c>
      <c r="I318" s="1" t="s">
        <v>283</v>
      </c>
      <c r="J318" s="1" t="s">
        <v>46</v>
      </c>
      <c r="K318" t="s">
        <v>645</v>
      </c>
      <c r="M318" s="1" t="s">
        <v>58</v>
      </c>
      <c r="N318" s="1">
        <v>0</v>
      </c>
      <c r="O318" s="1" t="s">
        <v>105</v>
      </c>
      <c r="P318" s="186">
        <v>44713.418356481481</v>
      </c>
      <c r="R318" s="1">
        <v>3</v>
      </c>
      <c r="T318" s="1" t="s">
        <v>646</v>
      </c>
      <c r="U318" s="186">
        <v>44714.418356481481</v>
      </c>
      <c r="V318" s="1" t="s">
        <v>41</v>
      </c>
      <c r="W318" s="1" t="s">
        <v>49</v>
      </c>
      <c r="X318" s="13" t="str">
        <f>IF(RIGHT(H318,2)&lt;&gt;"00",H318,"")</f>
        <v/>
      </c>
      <c r="Y318" s="2">
        <f ca="1">NETWORKDAYS(P318,$Y$1)</f>
        <v>196</v>
      </c>
      <c r="Z318" s="14">
        <v>1</v>
      </c>
      <c r="AA318" s="1" t="str">
        <f t="shared" ca="1" si="20"/>
        <v>VENCIDO</v>
      </c>
      <c r="AB318" s="1" t="str">
        <f t="shared" si="21"/>
        <v>SL-On</v>
      </c>
      <c r="AC318" s="2" t="str">
        <f t="shared" si="24"/>
        <v xml:space="preserve"> CLEITON </v>
      </c>
      <c r="AD318" s="2">
        <f t="shared" si="22"/>
        <v>1</v>
      </c>
      <c r="AE318" s="2">
        <f t="shared" ca="1" si="23"/>
        <v>-272.25791516203753</v>
      </c>
      <c r="AF318" s="15"/>
    </row>
    <row r="319" spans="1:32" hidden="1">
      <c r="A319" s="1">
        <v>8643737</v>
      </c>
      <c r="B319" s="1" t="s">
        <v>653</v>
      </c>
      <c r="C319" t="s">
        <v>3579</v>
      </c>
      <c r="E319" s="2">
        <v>3237001400040</v>
      </c>
      <c r="F319" s="1" t="s">
        <v>644</v>
      </c>
      <c r="G319" s="1" t="s">
        <v>53</v>
      </c>
      <c r="H319" s="1" t="s">
        <v>287</v>
      </c>
      <c r="I319" s="1" t="s">
        <v>288</v>
      </c>
      <c r="J319" s="1" t="s">
        <v>46</v>
      </c>
      <c r="K319" t="s">
        <v>645</v>
      </c>
      <c r="M319" s="1" t="s">
        <v>58</v>
      </c>
      <c r="N319" s="1">
        <v>0</v>
      </c>
      <c r="O319" s="1" t="s">
        <v>105</v>
      </c>
      <c r="P319" s="186">
        <v>44713.418356481481</v>
      </c>
      <c r="R319" s="1">
        <v>2</v>
      </c>
      <c r="T319" s="1" t="s">
        <v>646</v>
      </c>
      <c r="U319" s="186">
        <v>44714.418356481481</v>
      </c>
      <c r="V319" s="1" t="s">
        <v>41</v>
      </c>
      <c r="W319" s="1" t="s">
        <v>49</v>
      </c>
      <c r="X319" s="13" t="str">
        <f>IF(RIGHT(H319,2)&lt;&gt;"00",H319,"")</f>
        <v/>
      </c>
      <c r="Y319" s="2">
        <f ca="1">NETWORKDAYS(P319,$Y$1)</f>
        <v>196</v>
      </c>
      <c r="Z319" s="14">
        <v>1</v>
      </c>
      <c r="AA319" s="1" t="str">
        <f t="shared" ca="1" si="20"/>
        <v>VENCIDO</v>
      </c>
      <c r="AB319" s="1" t="str">
        <f t="shared" si="21"/>
        <v>SL-On</v>
      </c>
      <c r="AC319" s="2" t="str">
        <f t="shared" si="24"/>
        <v xml:space="preserve"> CLEITON </v>
      </c>
      <c r="AD319" s="2">
        <f t="shared" si="22"/>
        <v>1</v>
      </c>
      <c r="AE319" s="2">
        <f t="shared" ca="1" si="23"/>
        <v>-272.25791516203753</v>
      </c>
      <c r="AF319" s="15"/>
    </row>
    <row r="320" spans="1:32" hidden="1">
      <c r="A320" s="1">
        <v>8643543</v>
      </c>
      <c r="B320" s="1" t="s">
        <v>653</v>
      </c>
      <c r="C320" t="s">
        <v>3579</v>
      </c>
      <c r="E320" s="2">
        <v>2988001400040</v>
      </c>
      <c r="F320" s="1" t="s">
        <v>644</v>
      </c>
      <c r="G320" s="1" t="s">
        <v>53</v>
      </c>
      <c r="H320" s="1" t="s">
        <v>536</v>
      </c>
      <c r="I320" s="1" t="s">
        <v>537</v>
      </c>
      <c r="J320" s="1" t="s">
        <v>46</v>
      </c>
      <c r="K320" t="s">
        <v>645</v>
      </c>
      <c r="M320" s="1" t="s">
        <v>58</v>
      </c>
      <c r="N320" s="1">
        <v>0</v>
      </c>
      <c r="O320" s="1" t="s">
        <v>105</v>
      </c>
      <c r="P320" s="186">
        <v>44713.417546296296</v>
      </c>
      <c r="R320" s="1">
        <v>2</v>
      </c>
      <c r="T320" s="1" t="s">
        <v>646</v>
      </c>
      <c r="U320" s="186">
        <v>44714.417546296296</v>
      </c>
      <c r="V320" s="1" t="s">
        <v>41</v>
      </c>
      <c r="W320" s="1" t="s">
        <v>49</v>
      </c>
      <c r="X320" s="13" t="str">
        <f>IF(RIGHT(H320,2)&lt;&gt;"00",H320,"")</f>
        <v/>
      </c>
      <c r="Y320" s="2">
        <f ca="1">NETWORKDAYS(P320,$Y$1)</f>
        <v>196</v>
      </c>
      <c r="Z320" s="14">
        <v>1</v>
      </c>
      <c r="AA320" s="1" t="str">
        <f t="shared" ca="1" si="20"/>
        <v>VENCIDO</v>
      </c>
      <c r="AB320" s="1" t="str">
        <f t="shared" si="21"/>
        <v>SL-On</v>
      </c>
      <c r="AC320" s="2" t="str">
        <f t="shared" si="24"/>
        <v xml:space="preserve"> CLEITON </v>
      </c>
      <c r="AD320" s="2">
        <f t="shared" si="22"/>
        <v>1</v>
      </c>
      <c r="AE320" s="2">
        <f t="shared" ca="1" si="23"/>
        <v>-272.25872534722293</v>
      </c>
      <c r="AF320" s="15"/>
    </row>
    <row r="321" spans="1:32" hidden="1">
      <c r="A321" s="1">
        <v>8643415</v>
      </c>
      <c r="B321" s="1" t="s">
        <v>653</v>
      </c>
      <c r="C321" t="s">
        <v>3579</v>
      </c>
      <c r="E321" s="2">
        <v>2830001400040</v>
      </c>
      <c r="F321" s="1" t="s">
        <v>644</v>
      </c>
      <c r="G321" s="1" t="s">
        <v>53</v>
      </c>
      <c r="H321" s="1" t="s">
        <v>448</v>
      </c>
      <c r="I321" s="1" t="s">
        <v>449</v>
      </c>
      <c r="J321" s="1" t="s">
        <v>33</v>
      </c>
      <c r="K321" t="s">
        <v>645</v>
      </c>
      <c r="M321" s="1" t="s">
        <v>58</v>
      </c>
      <c r="N321" s="1">
        <v>0</v>
      </c>
      <c r="O321" s="1" t="s">
        <v>105</v>
      </c>
      <c r="P321" s="186">
        <v>44713.417187500003</v>
      </c>
      <c r="R321" s="1">
        <v>2</v>
      </c>
      <c r="T321" s="1" t="s">
        <v>646</v>
      </c>
      <c r="U321" s="186">
        <v>44714.417187500003</v>
      </c>
      <c r="V321" s="1" t="s">
        <v>41</v>
      </c>
      <c r="W321" s="1" t="s">
        <v>42</v>
      </c>
      <c r="X321" s="13" t="str">
        <f>IF(RIGHT(H321,2)&lt;&gt;"00",H321,"")</f>
        <v/>
      </c>
      <c r="Y321" s="2">
        <f ca="1">NETWORKDAYS(P321,$Y$1)</f>
        <v>196</v>
      </c>
      <c r="Z321" s="14">
        <v>1</v>
      </c>
      <c r="AA321" s="1" t="str">
        <f t="shared" ca="1" si="20"/>
        <v>VENCIDO</v>
      </c>
      <c r="AB321" s="1" t="str">
        <f t="shared" si="21"/>
        <v>SL-On</v>
      </c>
      <c r="AC321" s="2" t="str">
        <f t="shared" si="24"/>
        <v xml:space="preserve"> ROSEMERE </v>
      </c>
      <c r="AD321" s="2">
        <f t="shared" si="22"/>
        <v>1</v>
      </c>
      <c r="AE321" s="2">
        <f t="shared" ca="1" si="23"/>
        <v>-272.25908414351579</v>
      </c>
      <c r="AF321" s="15"/>
    </row>
    <row r="322" spans="1:32" hidden="1">
      <c r="A322" s="1">
        <v>8643396</v>
      </c>
      <c r="B322" s="1" t="s">
        <v>653</v>
      </c>
      <c r="C322" t="s">
        <v>3579</v>
      </c>
      <c r="E322" s="2">
        <v>2811001400040</v>
      </c>
      <c r="F322" s="1" t="s">
        <v>644</v>
      </c>
      <c r="G322" s="1" t="s">
        <v>53</v>
      </c>
      <c r="H322" s="1" t="s">
        <v>44</v>
      </c>
      <c r="I322" s="1" t="s">
        <v>45</v>
      </c>
      <c r="J322" s="1" t="s">
        <v>46</v>
      </c>
      <c r="K322" t="s">
        <v>645</v>
      </c>
      <c r="M322" s="1" t="s">
        <v>58</v>
      </c>
      <c r="N322" s="1">
        <v>0</v>
      </c>
      <c r="O322" s="1" t="s">
        <v>105</v>
      </c>
      <c r="P322" s="186">
        <v>44713.417094907411</v>
      </c>
      <c r="R322" s="1">
        <v>3</v>
      </c>
      <c r="T322" s="1" t="s">
        <v>646</v>
      </c>
      <c r="U322" s="186">
        <v>44714.417094907411</v>
      </c>
      <c r="V322" s="1" t="s">
        <v>41</v>
      </c>
      <c r="W322" s="1" t="s">
        <v>49</v>
      </c>
      <c r="X322" s="13" t="str">
        <f>IF(RIGHT(H322,2)&lt;&gt;"00",H322,"")</f>
        <v/>
      </c>
      <c r="Y322" s="2">
        <f ca="1">NETWORKDAYS(P322,$Y$1)</f>
        <v>196</v>
      </c>
      <c r="Z322" s="14">
        <v>1</v>
      </c>
      <c r="AA322" s="1" t="str">
        <f t="shared" ref="AA322:AA385" ca="1" si="25">IF(AE322=0,"HOJE",IF(AE322&gt;0,"A VENCER",IF(AE322&lt;0,"VENCIDO")))</f>
        <v>VENCIDO</v>
      </c>
      <c r="AB322" s="1" t="str">
        <f t="shared" ref="AB322:AB385" si="26">IF(F322="GRPE-000001","C-14",IF(F322="GRPE-000002","C-14",IF(F322="GRPE-000003","C-14",IF(F322="GRPE-000004","SL-On",IF(F322="GRPE-000038","C-14",IF(F322="GRPE-900022","Dosa",IF(F322="GRPE-000029","Dosa",IF(F322="ATOS-000222","Dose","TAAe+"))))))))</f>
        <v>SL-On</v>
      </c>
      <c r="AC322" s="2" t="str">
        <f t="shared" si="24"/>
        <v xml:space="preserve"> CLEITON </v>
      </c>
      <c r="AD322" s="2">
        <f t="shared" ref="AD322:AD385" si="27">IF(F322="GRPE-000001",5,IF(F322="GRPE-000002",5,IF(F322="GRPE-000003",15,IF(F322="GRPE-000004",1,IF(F322="GRPE-000038",5,IF(F322="GRPE-900022",5,IF(F322="GRPE-000029",5,IF(F322="ATOS-000222",5,8))))))))</f>
        <v>1</v>
      </c>
      <c r="AE322" s="2">
        <f t="shared" ref="AE322:AE385" ca="1" si="28">IF(U322=$AE$1,"",U322-$AE$1)</f>
        <v>-272.2591767361082</v>
      </c>
      <c r="AF322" s="15"/>
    </row>
    <row r="323" spans="1:32" hidden="1">
      <c r="A323" s="1">
        <v>8643389</v>
      </c>
      <c r="B323" s="1" t="s">
        <v>653</v>
      </c>
      <c r="C323" t="s">
        <v>3579</v>
      </c>
      <c r="E323" s="2">
        <v>2802001400040</v>
      </c>
      <c r="F323" s="1" t="s">
        <v>644</v>
      </c>
      <c r="G323" s="1" t="s">
        <v>53</v>
      </c>
      <c r="H323" s="1" t="s">
        <v>388</v>
      </c>
      <c r="I323" s="1" t="s">
        <v>389</v>
      </c>
      <c r="J323" s="1" t="s">
        <v>46</v>
      </c>
      <c r="K323" t="s">
        <v>645</v>
      </c>
      <c r="M323" s="1" t="s">
        <v>58</v>
      </c>
      <c r="N323" s="1">
        <v>0</v>
      </c>
      <c r="O323" s="1" t="s">
        <v>105</v>
      </c>
      <c r="P323" s="186">
        <v>44713.417083333334</v>
      </c>
      <c r="R323" s="1">
        <v>3</v>
      </c>
      <c r="T323" s="1" t="s">
        <v>646</v>
      </c>
      <c r="U323" s="186">
        <v>44714.417083333334</v>
      </c>
      <c r="V323" s="1" t="s">
        <v>41</v>
      </c>
      <c r="W323" s="1" t="s">
        <v>49</v>
      </c>
      <c r="X323" s="13" t="str">
        <f>IF(RIGHT(H323,2)&lt;&gt;"00",H323,"")</f>
        <v/>
      </c>
      <c r="Y323" s="2">
        <f ca="1">NETWORKDAYS(P323,$Y$1)</f>
        <v>196</v>
      </c>
      <c r="Z323" s="14">
        <v>1</v>
      </c>
      <c r="AA323" s="1" t="str">
        <f t="shared" ca="1" si="25"/>
        <v>VENCIDO</v>
      </c>
      <c r="AB323" s="1" t="str">
        <f t="shared" si="26"/>
        <v>SL-On</v>
      </c>
      <c r="AC323" s="2" t="str">
        <f t="shared" ref="AC323:AC386" si="29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 xml:space="preserve"> CLEITON </v>
      </c>
      <c r="AD323" s="2">
        <f t="shared" si="27"/>
        <v>1</v>
      </c>
      <c r="AE323" s="2">
        <f t="shared" ca="1" si="28"/>
        <v>-272.25918831018498</v>
      </c>
      <c r="AF323" s="15"/>
    </row>
    <row r="324" spans="1:32" hidden="1">
      <c r="A324" s="1">
        <v>8643232</v>
      </c>
      <c r="B324" s="1" t="s">
        <v>653</v>
      </c>
      <c r="C324" t="s">
        <v>3579</v>
      </c>
      <c r="E324" s="2">
        <v>2625001400040</v>
      </c>
      <c r="F324" s="1" t="s">
        <v>644</v>
      </c>
      <c r="G324" s="1" t="s">
        <v>53</v>
      </c>
      <c r="H324" s="1" t="s">
        <v>317</v>
      </c>
      <c r="I324" s="1" t="s">
        <v>318</v>
      </c>
      <c r="J324" s="1" t="s">
        <v>164</v>
      </c>
      <c r="K324" t="s">
        <v>645</v>
      </c>
      <c r="M324" s="1" t="s">
        <v>58</v>
      </c>
      <c r="N324" s="1">
        <v>0</v>
      </c>
      <c r="O324" s="1" t="s">
        <v>105</v>
      </c>
      <c r="P324" s="186">
        <v>44713.416655092595</v>
      </c>
      <c r="R324" s="1">
        <v>3</v>
      </c>
      <c r="T324" s="1" t="s">
        <v>646</v>
      </c>
      <c r="U324" s="186">
        <v>44714.416655092595</v>
      </c>
      <c r="V324" s="1" t="s">
        <v>41</v>
      </c>
      <c r="W324" s="1" t="s">
        <v>49</v>
      </c>
      <c r="X324" s="13" t="str">
        <f>IF(RIGHT(H324,2)&lt;&gt;"00",H324,"")</f>
        <v/>
      </c>
      <c r="Y324" s="2">
        <f ca="1">NETWORKDAYS(P324,$Y$1)</f>
        <v>196</v>
      </c>
      <c r="Z324" s="14">
        <v>1</v>
      </c>
      <c r="AA324" s="1" t="str">
        <f t="shared" ca="1" si="25"/>
        <v>VENCIDO</v>
      </c>
      <c r="AB324" s="1" t="str">
        <f t="shared" si="26"/>
        <v>SL-On</v>
      </c>
      <c r="AC324" s="2" t="str">
        <f t="shared" si="29"/>
        <v xml:space="preserve"> ROSEMERE </v>
      </c>
      <c r="AD324" s="2">
        <f t="shared" si="27"/>
        <v>1</v>
      </c>
      <c r="AE324" s="2">
        <f t="shared" ca="1" si="28"/>
        <v>-272.25961655092397</v>
      </c>
      <c r="AF324" s="15"/>
    </row>
    <row r="325" spans="1:32" hidden="1">
      <c r="A325" s="1">
        <v>8643003</v>
      </c>
      <c r="B325" s="1" t="s">
        <v>653</v>
      </c>
      <c r="C325" t="s">
        <v>3579</v>
      </c>
      <c r="E325" s="2">
        <v>2369001400040</v>
      </c>
      <c r="F325" s="1" t="s">
        <v>644</v>
      </c>
      <c r="G325" s="1" t="s">
        <v>53</v>
      </c>
      <c r="H325" s="1" t="s">
        <v>701</v>
      </c>
      <c r="I325" s="1" t="s">
        <v>702</v>
      </c>
      <c r="J325" s="1" t="s">
        <v>141</v>
      </c>
      <c r="K325" t="s">
        <v>645</v>
      </c>
      <c r="M325" s="1" t="s">
        <v>58</v>
      </c>
      <c r="N325" s="1">
        <v>0</v>
      </c>
      <c r="O325" s="1" t="s">
        <v>105</v>
      </c>
      <c r="P325" s="186">
        <v>44713.415312500001</v>
      </c>
      <c r="R325" s="1">
        <v>2</v>
      </c>
      <c r="T325" s="1" t="s">
        <v>646</v>
      </c>
      <c r="U325" s="186">
        <v>44714.415312500001</v>
      </c>
      <c r="V325" s="1" t="s">
        <v>41</v>
      </c>
      <c r="W325" s="1" t="s">
        <v>49</v>
      </c>
      <c r="X325" s="13" t="str">
        <f>IF(RIGHT(H325,2)&lt;&gt;"00",H325,"")</f>
        <v/>
      </c>
      <c r="Y325" s="2">
        <f ca="1">NETWORKDAYS(P325,$Y$1)</f>
        <v>196</v>
      </c>
      <c r="Z325" s="14">
        <v>1</v>
      </c>
      <c r="AA325" s="1" t="str">
        <f t="shared" ca="1" si="25"/>
        <v>VENCIDO</v>
      </c>
      <c r="AB325" s="1" t="str">
        <f t="shared" si="26"/>
        <v>SL-On</v>
      </c>
      <c r="AC325" s="2" t="str">
        <f t="shared" si="29"/>
        <v xml:space="preserve"> CRISTINA </v>
      </c>
      <c r="AD325" s="2">
        <f t="shared" si="27"/>
        <v>1</v>
      </c>
      <c r="AE325" s="2">
        <f t="shared" ca="1" si="28"/>
        <v>-272.26095914351754</v>
      </c>
      <c r="AF325" s="15"/>
    </row>
    <row r="326" spans="1:32" hidden="1">
      <c r="A326" s="1">
        <v>8643000</v>
      </c>
      <c r="B326" s="1" t="s">
        <v>653</v>
      </c>
      <c r="C326" t="s">
        <v>3579</v>
      </c>
      <c r="E326" s="2">
        <v>2365001400040</v>
      </c>
      <c r="F326" s="1" t="s">
        <v>644</v>
      </c>
      <c r="G326" s="1" t="s">
        <v>53</v>
      </c>
      <c r="H326" s="1" t="s">
        <v>159</v>
      </c>
      <c r="I326" s="1" t="s">
        <v>160</v>
      </c>
      <c r="J326" s="1" t="s">
        <v>46</v>
      </c>
      <c r="K326" t="s">
        <v>645</v>
      </c>
      <c r="M326" s="1" t="s">
        <v>58</v>
      </c>
      <c r="N326" s="1">
        <v>0</v>
      </c>
      <c r="O326" s="1" t="s">
        <v>105</v>
      </c>
      <c r="P326" s="186">
        <v>44713.415300925924</v>
      </c>
      <c r="R326" s="1">
        <v>2</v>
      </c>
      <c r="T326" s="1" t="s">
        <v>646</v>
      </c>
      <c r="U326" s="186">
        <v>44714.415300925924</v>
      </c>
      <c r="V326" s="1" t="s">
        <v>41</v>
      </c>
      <c r="W326" s="1" t="s">
        <v>49</v>
      </c>
      <c r="X326" s="13" t="str">
        <f>IF(RIGHT(H326,2)&lt;&gt;"00",H326,"")</f>
        <v/>
      </c>
      <c r="Y326" s="2">
        <f ca="1">NETWORKDAYS(P326,$Y$1)</f>
        <v>196</v>
      </c>
      <c r="Z326" s="14">
        <v>1</v>
      </c>
      <c r="AA326" s="1" t="str">
        <f t="shared" ca="1" si="25"/>
        <v>VENCIDO</v>
      </c>
      <c r="AB326" s="1" t="str">
        <f t="shared" si="26"/>
        <v>SL-On</v>
      </c>
      <c r="AC326" s="2" t="str">
        <f t="shared" si="29"/>
        <v xml:space="preserve"> CLEITON </v>
      </c>
      <c r="AD326" s="2">
        <f t="shared" si="27"/>
        <v>1</v>
      </c>
      <c r="AE326" s="2">
        <f t="shared" ca="1" si="28"/>
        <v>-272.26097071759432</v>
      </c>
      <c r="AF326" s="15"/>
    </row>
    <row r="327" spans="1:32" hidden="1">
      <c r="A327" s="1">
        <v>8642964</v>
      </c>
      <c r="B327" s="1" t="s">
        <v>653</v>
      </c>
      <c r="C327" t="s">
        <v>3579</v>
      </c>
      <c r="E327" s="2">
        <v>2326001400040</v>
      </c>
      <c r="F327" s="1" t="s">
        <v>644</v>
      </c>
      <c r="G327" s="1" t="s">
        <v>53</v>
      </c>
      <c r="H327" s="1" t="s">
        <v>191</v>
      </c>
      <c r="I327" s="1" t="s">
        <v>192</v>
      </c>
      <c r="J327" s="1" t="s">
        <v>46</v>
      </c>
      <c r="K327" t="s">
        <v>645</v>
      </c>
      <c r="M327" s="1" t="s">
        <v>58</v>
      </c>
      <c r="N327" s="1">
        <v>0</v>
      </c>
      <c r="O327" s="1" t="s">
        <v>105</v>
      </c>
      <c r="P327" s="186">
        <v>44713.41510416667</v>
      </c>
      <c r="R327" s="1">
        <v>2</v>
      </c>
      <c r="T327" s="1" t="s">
        <v>646</v>
      </c>
      <c r="U327" s="186">
        <v>44714.41510416667</v>
      </c>
      <c r="V327" s="1" t="s">
        <v>41</v>
      </c>
      <c r="W327" s="1" t="s">
        <v>49</v>
      </c>
      <c r="X327" s="13" t="str">
        <f>IF(RIGHT(H327,2)&lt;&gt;"00",H327,"")</f>
        <v/>
      </c>
      <c r="Y327" s="2">
        <f ca="1">NETWORKDAYS(P327,$Y$1)</f>
        <v>196</v>
      </c>
      <c r="Z327" s="14">
        <v>1</v>
      </c>
      <c r="AA327" s="1" t="str">
        <f t="shared" ca="1" si="25"/>
        <v>VENCIDO</v>
      </c>
      <c r="AB327" s="1" t="str">
        <f t="shared" si="26"/>
        <v>SL-On</v>
      </c>
      <c r="AC327" s="2" t="str">
        <f t="shared" si="29"/>
        <v xml:space="preserve"> CLEITON </v>
      </c>
      <c r="AD327" s="2">
        <f t="shared" si="27"/>
        <v>1</v>
      </c>
      <c r="AE327" s="2">
        <f t="shared" ca="1" si="28"/>
        <v>-272.26116747684864</v>
      </c>
      <c r="AF327" s="15"/>
    </row>
    <row r="328" spans="1:32" hidden="1">
      <c r="A328" s="1">
        <v>8642887</v>
      </c>
      <c r="B328" s="1" t="s">
        <v>653</v>
      </c>
      <c r="C328" t="s">
        <v>3579</v>
      </c>
      <c r="E328" s="2">
        <v>2238001400040</v>
      </c>
      <c r="F328" s="1" t="s">
        <v>644</v>
      </c>
      <c r="G328" s="1" t="s">
        <v>53</v>
      </c>
      <c r="H328" s="1" t="s">
        <v>707</v>
      </c>
      <c r="I328" s="1" t="s">
        <v>708</v>
      </c>
      <c r="J328" s="1" t="s">
        <v>79</v>
      </c>
      <c r="K328" t="s">
        <v>645</v>
      </c>
      <c r="M328" s="1" t="s">
        <v>58</v>
      </c>
      <c r="N328" s="1">
        <v>0</v>
      </c>
      <c r="O328" s="1" t="s">
        <v>105</v>
      </c>
      <c r="P328" s="186">
        <v>44713.414976851855</v>
      </c>
      <c r="R328" s="1">
        <v>3</v>
      </c>
      <c r="T328" s="1" t="s">
        <v>646</v>
      </c>
      <c r="U328" s="186">
        <v>44714.414976851855</v>
      </c>
      <c r="V328" s="1" t="s">
        <v>41</v>
      </c>
      <c r="W328" s="1" t="s">
        <v>49</v>
      </c>
      <c r="X328" s="13" t="str">
        <f>IF(RIGHT(H328,2)&lt;&gt;"00",H328,"")</f>
        <v/>
      </c>
      <c r="Y328" s="2">
        <f ca="1">NETWORKDAYS(P328,$Y$1)</f>
        <v>196</v>
      </c>
      <c r="Z328" s="14">
        <v>1</v>
      </c>
      <c r="AA328" s="1" t="str">
        <f t="shared" ca="1" si="25"/>
        <v>VENCIDO</v>
      </c>
      <c r="AB328" s="1" t="str">
        <f t="shared" si="26"/>
        <v>SL-On</v>
      </c>
      <c r="AC328" s="2" t="str">
        <f t="shared" si="29"/>
        <v xml:space="preserve"> ROSEMERE </v>
      </c>
      <c r="AD328" s="2">
        <f t="shared" si="27"/>
        <v>1</v>
      </c>
      <c r="AE328" s="2">
        <f t="shared" ca="1" si="28"/>
        <v>-272.26129479166411</v>
      </c>
      <c r="AF328" s="15"/>
    </row>
    <row r="329" spans="1:32" hidden="1">
      <c r="A329" s="1">
        <v>8642791</v>
      </c>
      <c r="B329" s="1" t="s">
        <v>653</v>
      </c>
      <c r="C329" t="s">
        <v>3579</v>
      </c>
      <c r="E329" s="2">
        <v>2138001400040</v>
      </c>
      <c r="F329" s="1" t="s">
        <v>644</v>
      </c>
      <c r="G329" s="1" t="s">
        <v>53</v>
      </c>
      <c r="H329" s="1" t="s">
        <v>379</v>
      </c>
      <c r="I329" s="1" t="s">
        <v>380</v>
      </c>
      <c r="J329" s="1" t="s">
        <v>46</v>
      </c>
      <c r="K329" t="s">
        <v>645</v>
      </c>
      <c r="M329" s="1" t="s">
        <v>58</v>
      </c>
      <c r="N329" s="1">
        <v>0</v>
      </c>
      <c r="O329" s="1" t="s">
        <v>105</v>
      </c>
      <c r="P329" s="186">
        <v>44713.41474537037</v>
      </c>
      <c r="R329" s="1">
        <v>3</v>
      </c>
      <c r="T329" s="1" t="s">
        <v>646</v>
      </c>
      <c r="U329" s="186">
        <v>44714.41474537037</v>
      </c>
      <c r="V329" s="1" t="s">
        <v>41</v>
      </c>
      <c r="W329" s="1" t="s">
        <v>49</v>
      </c>
      <c r="X329" s="13" t="str">
        <f>IF(RIGHT(H329,2)&lt;&gt;"00",H329,"")</f>
        <v/>
      </c>
      <c r="Y329" s="2">
        <f ca="1">NETWORKDAYS(P329,$Y$1)</f>
        <v>196</v>
      </c>
      <c r="Z329" s="14">
        <v>1</v>
      </c>
      <c r="AA329" s="1" t="str">
        <f t="shared" ca="1" si="25"/>
        <v>VENCIDO</v>
      </c>
      <c r="AB329" s="1" t="str">
        <f t="shared" si="26"/>
        <v>SL-On</v>
      </c>
      <c r="AC329" s="2" t="str">
        <f t="shared" si="29"/>
        <v xml:space="preserve"> CLEITON </v>
      </c>
      <c r="AD329" s="2">
        <f t="shared" si="27"/>
        <v>1</v>
      </c>
      <c r="AE329" s="2">
        <f t="shared" ca="1" si="28"/>
        <v>-272.26152627314877</v>
      </c>
      <c r="AF329" s="15"/>
    </row>
    <row r="330" spans="1:32" hidden="1">
      <c r="A330" s="1">
        <v>8642762</v>
      </c>
      <c r="B330" s="1" t="s">
        <v>653</v>
      </c>
      <c r="C330" t="s">
        <v>3579</v>
      </c>
      <c r="E330" s="2">
        <v>2107001400040</v>
      </c>
      <c r="F330" s="1" t="s">
        <v>644</v>
      </c>
      <c r="G330" s="1" t="s">
        <v>53</v>
      </c>
      <c r="H330" s="1" t="s">
        <v>262</v>
      </c>
      <c r="I330" s="1" t="s">
        <v>263</v>
      </c>
      <c r="J330" s="1" t="s">
        <v>164</v>
      </c>
      <c r="K330" t="s">
        <v>645</v>
      </c>
      <c r="M330" s="1" t="s">
        <v>58</v>
      </c>
      <c r="N330" s="1">
        <v>0</v>
      </c>
      <c r="O330" s="1" t="s">
        <v>105</v>
      </c>
      <c r="P330" s="186">
        <v>44713.414351851854</v>
      </c>
      <c r="R330" s="1">
        <v>3</v>
      </c>
      <c r="T330" s="1" t="s">
        <v>646</v>
      </c>
      <c r="U330" s="186">
        <v>44714.414363425924</v>
      </c>
      <c r="V330" s="1" t="s">
        <v>41</v>
      </c>
      <c r="W330" s="1" t="s">
        <v>49</v>
      </c>
      <c r="X330" s="13" t="str">
        <f>IF(RIGHT(H330,2)&lt;&gt;"00",H330,"")</f>
        <v/>
      </c>
      <c r="Y330" s="2">
        <f ca="1">NETWORKDAYS(P330,$Y$1)</f>
        <v>196</v>
      </c>
      <c r="Z330" s="14">
        <v>1</v>
      </c>
      <c r="AA330" s="1" t="str">
        <f t="shared" ca="1" si="25"/>
        <v>VENCIDO</v>
      </c>
      <c r="AB330" s="1" t="str">
        <f t="shared" si="26"/>
        <v>SL-On</v>
      </c>
      <c r="AC330" s="2" t="str">
        <f t="shared" si="29"/>
        <v xml:space="preserve"> ROSEMERE </v>
      </c>
      <c r="AD330" s="2">
        <f t="shared" si="27"/>
        <v>1</v>
      </c>
      <c r="AE330" s="2">
        <f t="shared" ca="1" si="28"/>
        <v>-272.26190821759519</v>
      </c>
      <c r="AF330" s="15"/>
    </row>
    <row r="331" spans="1:32" hidden="1">
      <c r="A331" s="1">
        <v>8642730</v>
      </c>
      <c r="B331" s="1" t="s">
        <v>653</v>
      </c>
      <c r="C331" t="s">
        <v>3579</v>
      </c>
      <c r="E331" s="2">
        <v>2069001400040</v>
      </c>
      <c r="F331" s="1" t="s">
        <v>644</v>
      </c>
      <c r="G331" s="1" t="s">
        <v>53</v>
      </c>
      <c r="H331" s="1" t="s">
        <v>557</v>
      </c>
      <c r="I331" s="1" t="s">
        <v>558</v>
      </c>
      <c r="J331" s="1" t="s">
        <v>90</v>
      </c>
      <c r="K331" t="s">
        <v>645</v>
      </c>
      <c r="M331" s="1" t="s">
        <v>58</v>
      </c>
      <c r="N331" s="1">
        <v>0</v>
      </c>
      <c r="O331" s="1" t="s">
        <v>105</v>
      </c>
      <c r="P331" s="186">
        <v>44713.414305555554</v>
      </c>
      <c r="R331" s="1">
        <v>2</v>
      </c>
      <c r="T331" s="1" t="s">
        <v>646</v>
      </c>
      <c r="U331" s="186">
        <v>44714.414305555554</v>
      </c>
      <c r="V331" s="1" t="s">
        <v>41</v>
      </c>
      <c r="W331" s="1" t="s">
        <v>49</v>
      </c>
      <c r="X331" s="13" t="str">
        <f>IF(RIGHT(H331,2)&lt;&gt;"00",H331,"")</f>
        <v/>
      </c>
      <c r="Y331" s="2">
        <f ca="1">NETWORKDAYS(P331,$Y$1)</f>
        <v>196</v>
      </c>
      <c r="Z331" s="14">
        <v>1</v>
      </c>
      <c r="AA331" s="1" t="str">
        <f t="shared" ca="1" si="25"/>
        <v>VENCIDO</v>
      </c>
      <c r="AB331" s="1" t="str">
        <f t="shared" si="26"/>
        <v>SL-On</v>
      </c>
      <c r="AC331" s="2" t="str">
        <f t="shared" si="29"/>
        <v xml:space="preserve"> RINALDO </v>
      </c>
      <c r="AD331" s="2">
        <f t="shared" si="27"/>
        <v>1</v>
      </c>
      <c r="AE331" s="2">
        <f t="shared" ca="1" si="28"/>
        <v>-272.26196608796454</v>
      </c>
      <c r="AF331" s="15"/>
    </row>
    <row r="332" spans="1:32" hidden="1">
      <c r="A332" s="1">
        <v>8642641</v>
      </c>
      <c r="B332" s="1" t="s">
        <v>653</v>
      </c>
      <c r="C332" t="s">
        <v>3579</v>
      </c>
      <c r="E332" s="2">
        <v>1924001400040</v>
      </c>
      <c r="F332" s="1" t="s">
        <v>644</v>
      </c>
      <c r="G332" s="1" t="s">
        <v>53</v>
      </c>
      <c r="H332" s="1" t="s">
        <v>568</v>
      </c>
      <c r="I332" s="1" t="s">
        <v>569</v>
      </c>
      <c r="J332" s="1" t="s">
        <v>33</v>
      </c>
      <c r="K332" t="s">
        <v>645</v>
      </c>
      <c r="M332" s="1" t="s">
        <v>58</v>
      </c>
      <c r="N332" s="1">
        <v>0</v>
      </c>
      <c r="O332" s="1" t="s">
        <v>105</v>
      </c>
      <c r="P332" s="186">
        <v>44713.414050925923</v>
      </c>
      <c r="R332" s="1">
        <v>2</v>
      </c>
      <c r="T332" s="1" t="s">
        <v>646</v>
      </c>
      <c r="U332" s="186">
        <v>44714.414050925923</v>
      </c>
      <c r="V332" s="1" t="s">
        <v>41</v>
      </c>
      <c r="W332" s="1" t="s">
        <v>49</v>
      </c>
      <c r="X332" s="13" t="str">
        <f>IF(RIGHT(H332,2)&lt;&gt;"00",H332,"")</f>
        <v/>
      </c>
      <c r="Y332" s="2">
        <f ca="1">NETWORKDAYS(P332,$Y$1)</f>
        <v>196</v>
      </c>
      <c r="Z332" s="14">
        <v>1</v>
      </c>
      <c r="AA332" s="1" t="str">
        <f t="shared" ca="1" si="25"/>
        <v>VENCIDO</v>
      </c>
      <c r="AB332" s="1" t="str">
        <f t="shared" si="26"/>
        <v>SL-On</v>
      </c>
      <c r="AC332" s="2" t="str">
        <f t="shared" si="29"/>
        <v xml:space="preserve"> ROSEMERE </v>
      </c>
      <c r="AD332" s="2">
        <f t="shared" si="27"/>
        <v>1</v>
      </c>
      <c r="AE332" s="2">
        <f t="shared" ca="1" si="28"/>
        <v>-272.26222071759548</v>
      </c>
      <c r="AF332" s="15"/>
    </row>
    <row r="333" spans="1:32" hidden="1">
      <c r="A333" s="1">
        <v>8642588</v>
      </c>
      <c r="B333" s="1" t="s">
        <v>653</v>
      </c>
      <c r="C333" t="s">
        <v>3579</v>
      </c>
      <c r="E333" s="2">
        <v>1838001400040</v>
      </c>
      <c r="F333" s="1" t="s">
        <v>644</v>
      </c>
      <c r="G333" s="1" t="s">
        <v>53</v>
      </c>
      <c r="H333" s="1" t="s">
        <v>357</v>
      </c>
      <c r="I333" s="1" t="s">
        <v>358</v>
      </c>
      <c r="J333" s="1" t="s">
        <v>46</v>
      </c>
      <c r="K333" t="s">
        <v>645</v>
      </c>
      <c r="M333" s="1" t="s">
        <v>58</v>
      </c>
      <c r="N333" s="1">
        <v>0</v>
      </c>
      <c r="O333" s="1" t="s">
        <v>105</v>
      </c>
      <c r="P333" s="186">
        <v>44713.413969907408</v>
      </c>
      <c r="R333" s="1">
        <v>2</v>
      </c>
      <c r="T333" s="1" t="s">
        <v>646</v>
      </c>
      <c r="U333" s="186">
        <v>44714.413969907408</v>
      </c>
      <c r="V333" s="1" t="s">
        <v>41</v>
      </c>
      <c r="W333" s="1" t="s">
        <v>49</v>
      </c>
      <c r="X333" s="13" t="str">
        <f>IF(RIGHT(H333,2)&lt;&gt;"00",H333,"")</f>
        <v/>
      </c>
      <c r="Y333" s="2">
        <f ca="1">NETWORKDAYS(P333,$Y$1)</f>
        <v>196</v>
      </c>
      <c r="Z333" s="14">
        <v>1</v>
      </c>
      <c r="AA333" s="1" t="str">
        <f t="shared" ca="1" si="25"/>
        <v>VENCIDO</v>
      </c>
      <c r="AB333" s="1" t="str">
        <f t="shared" si="26"/>
        <v>SL-On</v>
      </c>
      <c r="AC333" s="2" t="str">
        <f t="shared" si="29"/>
        <v xml:space="preserve"> CLEITON </v>
      </c>
      <c r="AD333" s="2">
        <f t="shared" si="27"/>
        <v>1</v>
      </c>
      <c r="AE333" s="2">
        <f t="shared" ca="1" si="28"/>
        <v>-272.26230173611111</v>
      </c>
      <c r="AF333" s="15"/>
    </row>
    <row r="334" spans="1:32" hidden="1">
      <c r="A334" s="1">
        <v>8642586</v>
      </c>
      <c r="B334" s="1" t="s">
        <v>653</v>
      </c>
      <c r="C334" t="s">
        <v>3579</v>
      </c>
      <c r="E334" s="2">
        <v>1836001400040</v>
      </c>
      <c r="F334" s="1" t="s">
        <v>644</v>
      </c>
      <c r="G334" s="1" t="s">
        <v>53</v>
      </c>
      <c r="H334" s="1" t="s">
        <v>455</v>
      </c>
      <c r="I334" s="1" t="s">
        <v>456</v>
      </c>
      <c r="J334" s="1" t="s">
        <v>46</v>
      </c>
      <c r="K334" t="s">
        <v>645</v>
      </c>
      <c r="M334" s="1" t="s">
        <v>58</v>
      </c>
      <c r="N334" s="1">
        <v>0</v>
      </c>
      <c r="O334" s="1" t="s">
        <v>105</v>
      </c>
      <c r="P334" s="186">
        <v>44713.413958333331</v>
      </c>
      <c r="R334" s="1">
        <v>3</v>
      </c>
      <c r="T334" s="1" t="s">
        <v>646</v>
      </c>
      <c r="U334" s="186">
        <v>44714.413958333331</v>
      </c>
      <c r="V334" s="1" t="s">
        <v>41</v>
      </c>
      <c r="W334" s="1" t="s">
        <v>49</v>
      </c>
      <c r="X334" s="13" t="str">
        <f>IF(RIGHT(H334,2)&lt;&gt;"00",H334,"")</f>
        <v/>
      </c>
      <c r="Y334" s="2">
        <f ca="1">NETWORKDAYS(P334,$Y$1)</f>
        <v>196</v>
      </c>
      <c r="Z334" s="14">
        <v>1</v>
      </c>
      <c r="AA334" s="1" t="str">
        <f t="shared" ca="1" si="25"/>
        <v>VENCIDO</v>
      </c>
      <c r="AB334" s="1" t="str">
        <f t="shared" si="26"/>
        <v>SL-On</v>
      </c>
      <c r="AC334" s="2" t="str">
        <f t="shared" si="29"/>
        <v xml:space="preserve"> CLEITON </v>
      </c>
      <c r="AD334" s="2">
        <f t="shared" si="27"/>
        <v>1</v>
      </c>
      <c r="AE334" s="2">
        <f t="shared" ca="1" si="28"/>
        <v>-272.26231331018789</v>
      </c>
      <c r="AF334" s="15"/>
    </row>
    <row r="335" spans="1:32" hidden="1">
      <c r="A335" s="1">
        <v>8642585</v>
      </c>
      <c r="B335" s="1" t="s">
        <v>653</v>
      </c>
      <c r="C335" t="s">
        <v>3579</v>
      </c>
      <c r="E335" s="2">
        <v>1835001400040</v>
      </c>
      <c r="F335" s="1" t="s">
        <v>644</v>
      </c>
      <c r="G335" s="1" t="s">
        <v>53</v>
      </c>
      <c r="H335" s="1" t="s">
        <v>305</v>
      </c>
      <c r="I335" s="1" t="s">
        <v>306</v>
      </c>
      <c r="J335" s="1" t="s">
        <v>46</v>
      </c>
      <c r="K335" t="s">
        <v>645</v>
      </c>
      <c r="M335" s="1" t="s">
        <v>58</v>
      </c>
      <c r="N335" s="1">
        <v>0</v>
      </c>
      <c r="O335" s="1" t="s">
        <v>105</v>
      </c>
      <c r="P335" s="186">
        <v>44713.413958333331</v>
      </c>
      <c r="R335" s="1">
        <v>3</v>
      </c>
      <c r="T335" s="1" t="s">
        <v>646</v>
      </c>
      <c r="U335" s="186">
        <v>44714.413958333331</v>
      </c>
      <c r="V335" s="1" t="s">
        <v>41</v>
      </c>
      <c r="W335" s="1" t="s">
        <v>49</v>
      </c>
      <c r="X335" s="13" t="str">
        <f>IF(RIGHT(H335,2)&lt;&gt;"00",H335,"")</f>
        <v/>
      </c>
      <c r="Y335" s="2">
        <f ca="1">NETWORKDAYS(P335,$Y$1)</f>
        <v>196</v>
      </c>
      <c r="Z335" s="14">
        <v>1</v>
      </c>
      <c r="AA335" s="1" t="str">
        <f t="shared" ca="1" si="25"/>
        <v>VENCIDO</v>
      </c>
      <c r="AB335" s="1" t="str">
        <f t="shared" si="26"/>
        <v>SL-On</v>
      </c>
      <c r="AC335" s="2" t="str">
        <f t="shared" si="29"/>
        <v xml:space="preserve"> CLEITON </v>
      </c>
      <c r="AD335" s="2">
        <f t="shared" si="27"/>
        <v>1</v>
      </c>
      <c r="AE335" s="2">
        <f t="shared" ca="1" si="28"/>
        <v>-272.26231331018789</v>
      </c>
      <c r="AF335" s="15"/>
    </row>
    <row r="336" spans="1:32" hidden="1">
      <c r="A336" s="1">
        <v>8642583</v>
      </c>
      <c r="B336" s="1" t="s">
        <v>653</v>
      </c>
      <c r="C336" t="s">
        <v>3579</v>
      </c>
      <c r="E336" s="2">
        <v>1833001400040</v>
      </c>
      <c r="F336" s="1" t="s">
        <v>644</v>
      </c>
      <c r="G336" s="1" t="s">
        <v>53</v>
      </c>
      <c r="H336" s="1" t="s">
        <v>369</v>
      </c>
      <c r="I336" s="1" t="s">
        <v>370</v>
      </c>
      <c r="J336" s="1" t="s">
        <v>46</v>
      </c>
      <c r="K336" t="s">
        <v>645</v>
      </c>
      <c r="M336" s="1" t="s">
        <v>58</v>
      </c>
      <c r="N336" s="1">
        <v>0</v>
      </c>
      <c r="O336" s="1" t="s">
        <v>105</v>
      </c>
      <c r="P336" s="186">
        <v>44713.413958333331</v>
      </c>
      <c r="R336" s="1">
        <v>3</v>
      </c>
      <c r="T336" s="1" t="s">
        <v>646</v>
      </c>
      <c r="U336" s="186">
        <v>44714.413958333331</v>
      </c>
      <c r="V336" s="1" t="s">
        <v>41</v>
      </c>
      <c r="W336" s="1" t="s">
        <v>49</v>
      </c>
      <c r="X336" s="13" t="str">
        <f>IF(RIGHT(H336,2)&lt;&gt;"00",H336,"")</f>
        <v/>
      </c>
      <c r="Y336" s="2">
        <f ca="1">NETWORKDAYS(P336,$Y$1)</f>
        <v>196</v>
      </c>
      <c r="Z336" s="14">
        <v>1</v>
      </c>
      <c r="AA336" s="1" t="str">
        <f t="shared" ca="1" si="25"/>
        <v>VENCIDO</v>
      </c>
      <c r="AB336" s="1" t="str">
        <f t="shared" si="26"/>
        <v>SL-On</v>
      </c>
      <c r="AC336" s="2" t="str">
        <f t="shared" si="29"/>
        <v xml:space="preserve"> CLEITON </v>
      </c>
      <c r="AD336" s="2">
        <f t="shared" si="27"/>
        <v>1</v>
      </c>
      <c r="AE336" s="2">
        <f t="shared" ca="1" si="28"/>
        <v>-272.26231331018789</v>
      </c>
      <c r="AF336" s="15"/>
    </row>
    <row r="337" spans="1:32" hidden="1">
      <c r="A337" s="1">
        <v>8642527</v>
      </c>
      <c r="B337" s="1" t="s">
        <v>653</v>
      </c>
      <c r="C337" t="s">
        <v>3579</v>
      </c>
      <c r="E337" s="2">
        <v>1764001400040</v>
      </c>
      <c r="F337" s="1" t="s">
        <v>644</v>
      </c>
      <c r="G337" s="1" t="s">
        <v>53</v>
      </c>
      <c r="H337" s="1" t="s">
        <v>722</v>
      </c>
      <c r="I337" s="1" t="s">
        <v>723</v>
      </c>
      <c r="J337" s="1" t="s">
        <v>90</v>
      </c>
      <c r="K337" t="s">
        <v>645</v>
      </c>
      <c r="M337" s="1" t="s">
        <v>58</v>
      </c>
      <c r="N337" s="1">
        <v>0</v>
      </c>
      <c r="O337" s="1" t="s">
        <v>36</v>
      </c>
      <c r="P337" s="186">
        <v>44713.413668981484</v>
      </c>
      <c r="R337" s="1">
        <v>2</v>
      </c>
      <c r="T337" s="1" t="s">
        <v>646</v>
      </c>
      <c r="U337" s="186">
        <v>44714.413668981484</v>
      </c>
      <c r="V337" s="1" t="s">
        <v>41</v>
      </c>
      <c r="W337" s="1" t="s">
        <v>49</v>
      </c>
      <c r="X337" s="13" t="str">
        <f>IF(RIGHT(H337,2)&lt;&gt;"00",H337,"")</f>
        <v/>
      </c>
      <c r="Y337" s="2">
        <f ca="1">NETWORKDAYS(P337,$Y$1)</f>
        <v>196</v>
      </c>
      <c r="Z337" s="14">
        <v>1</v>
      </c>
      <c r="AA337" s="1" t="str">
        <f t="shared" ca="1" si="25"/>
        <v>VENCIDO</v>
      </c>
      <c r="AB337" s="1" t="str">
        <f t="shared" si="26"/>
        <v>SL-On</v>
      </c>
      <c r="AC337" s="2" t="str">
        <f t="shared" si="29"/>
        <v xml:space="preserve"> RINALDO </v>
      </c>
      <c r="AD337" s="2">
        <f t="shared" si="27"/>
        <v>1</v>
      </c>
      <c r="AE337" s="2">
        <f t="shared" ca="1" si="28"/>
        <v>-272.26260266203462</v>
      </c>
      <c r="AF337" s="15"/>
    </row>
    <row r="338" spans="1:32" hidden="1">
      <c r="A338" s="1">
        <v>8642499</v>
      </c>
      <c r="B338" s="1" t="s">
        <v>653</v>
      </c>
      <c r="C338" t="s">
        <v>3579</v>
      </c>
      <c r="E338" s="2">
        <v>1732001400040</v>
      </c>
      <c r="F338" s="1" t="s">
        <v>644</v>
      </c>
      <c r="G338" s="1" t="s">
        <v>53</v>
      </c>
      <c r="H338" s="1" t="s">
        <v>177</v>
      </c>
      <c r="I338" s="1" t="s">
        <v>178</v>
      </c>
      <c r="J338" s="1" t="s">
        <v>164</v>
      </c>
      <c r="K338" t="s">
        <v>645</v>
      </c>
      <c r="M338" s="1" t="s">
        <v>58</v>
      </c>
      <c r="N338" s="1">
        <v>0</v>
      </c>
      <c r="O338" s="1" t="s">
        <v>105</v>
      </c>
      <c r="P338" s="186">
        <v>44713.413622685184</v>
      </c>
      <c r="R338" s="1">
        <v>3</v>
      </c>
      <c r="T338" s="1" t="s">
        <v>646</v>
      </c>
      <c r="U338" s="186">
        <v>44714.413634259261</v>
      </c>
      <c r="V338" s="1" t="s">
        <v>41</v>
      </c>
      <c r="W338" s="1" t="s">
        <v>49</v>
      </c>
      <c r="X338" s="13" t="str">
        <f>IF(RIGHT(H338,2)&lt;&gt;"00",H338,"")</f>
        <v/>
      </c>
      <c r="Y338" s="2">
        <f ca="1">NETWORKDAYS(P338,$Y$1)</f>
        <v>196</v>
      </c>
      <c r="Z338" s="14">
        <v>1</v>
      </c>
      <c r="AA338" s="1" t="str">
        <f t="shared" ca="1" si="25"/>
        <v>VENCIDO</v>
      </c>
      <c r="AB338" s="1" t="str">
        <f t="shared" si="26"/>
        <v>SL-On</v>
      </c>
      <c r="AC338" s="2" t="str">
        <f t="shared" si="29"/>
        <v xml:space="preserve"> ROSEMERE </v>
      </c>
      <c r="AD338" s="2">
        <f t="shared" si="27"/>
        <v>1</v>
      </c>
      <c r="AE338" s="2">
        <f t="shared" ca="1" si="28"/>
        <v>-272.26263738425769</v>
      </c>
      <c r="AF338" s="15"/>
    </row>
    <row r="339" spans="1:32" hidden="1">
      <c r="A339" s="1">
        <v>8642435</v>
      </c>
      <c r="B339" s="1" t="s">
        <v>653</v>
      </c>
      <c r="C339" t="s">
        <v>3579</v>
      </c>
      <c r="E339" s="2">
        <v>1664001400040</v>
      </c>
      <c r="F339" s="1" t="s">
        <v>644</v>
      </c>
      <c r="G339" s="1" t="s">
        <v>53</v>
      </c>
      <c r="H339" s="1" t="s">
        <v>307</v>
      </c>
      <c r="I339" s="1" t="s">
        <v>308</v>
      </c>
      <c r="J339" s="1" t="s">
        <v>164</v>
      </c>
      <c r="K339" t="s">
        <v>645</v>
      </c>
      <c r="M339" s="1" t="s">
        <v>58</v>
      </c>
      <c r="N339" s="1">
        <v>0</v>
      </c>
      <c r="O339" s="1" t="s">
        <v>105</v>
      </c>
      <c r="P339" s="186">
        <v>44713.413391203707</v>
      </c>
      <c r="R339" s="1">
        <v>2</v>
      </c>
      <c r="T339" s="1" t="s">
        <v>646</v>
      </c>
      <c r="U339" s="186">
        <v>44714.413391203707</v>
      </c>
      <c r="V339" s="1" t="s">
        <v>41</v>
      </c>
      <c r="W339" s="1" t="s">
        <v>49</v>
      </c>
      <c r="X339" s="13" t="str">
        <f>IF(RIGHT(H339,2)&lt;&gt;"00",H339,"")</f>
        <v/>
      </c>
      <c r="Y339" s="2">
        <f ca="1">NETWORKDAYS(P339,$Y$1)</f>
        <v>196</v>
      </c>
      <c r="Z339" s="14">
        <v>1</v>
      </c>
      <c r="AA339" s="1" t="str">
        <f t="shared" ca="1" si="25"/>
        <v>VENCIDO</v>
      </c>
      <c r="AB339" s="1" t="str">
        <f t="shared" si="26"/>
        <v>SL-On</v>
      </c>
      <c r="AC339" s="2" t="str">
        <f t="shared" si="29"/>
        <v xml:space="preserve"> ROSEMERE </v>
      </c>
      <c r="AD339" s="2">
        <f t="shared" si="27"/>
        <v>1</v>
      </c>
      <c r="AE339" s="2">
        <f t="shared" ca="1" si="28"/>
        <v>-272.26288043981185</v>
      </c>
      <c r="AF339" s="15"/>
    </row>
    <row r="340" spans="1:32" hidden="1">
      <c r="A340" s="1">
        <v>8642415</v>
      </c>
      <c r="B340" s="1" t="s">
        <v>653</v>
      </c>
      <c r="C340" t="s">
        <v>3579</v>
      </c>
      <c r="E340" s="2">
        <v>1643001400040</v>
      </c>
      <c r="F340" s="1" t="s">
        <v>644</v>
      </c>
      <c r="G340" s="1" t="s">
        <v>53</v>
      </c>
      <c r="H340" s="1" t="s">
        <v>361</v>
      </c>
      <c r="I340" s="1" t="s">
        <v>362</v>
      </c>
      <c r="J340" s="1" t="s">
        <v>261</v>
      </c>
      <c r="K340" t="s">
        <v>645</v>
      </c>
      <c r="M340" s="1" t="s">
        <v>58</v>
      </c>
      <c r="N340" s="1">
        <v>0</v>
      </c>
      <c r="O340" s="1" t="s">
        <v>105</v>
      </c>
      <c r="P340" s="186">
        <v>44713.413356481484</v>
      </c>
      <c r="R340" s="1">
        <v>2</v>
      </c>
      <c r="T340" s="1" t="s">
        <v>646</v>
      </c>
      <c r="U340" s="186">
        <v>44714.413356481484</v>
      </c>
      <c r="V340" s="1" t="s">
        <v>41</v>
      </c>
      <c r="W340" s="1" t="s">
        <v>49</v>
      </c>
      <c r="X340" s="13" t="str">
        <f>IF(RIGHT(H340,2)&lt;&gt;"00",H340,"")</f>
        <v/>
      </c>
      <c r="Y340" s="2">
        <f ca="1">NETWORKDAYS(P340,$Y$1)</f>
        <v>196</v>
      </c>
      <c r="Z340" s="14">
        <v>1</v>
      </c>
      <c r="AA340" s="1" t="str">
        <f t="shared" ca="1" si="25"/>
        <v>VENCIDO</v>
      </c>
      <c r="AB340" s="1" t="str">
        <f t="shared" si="26"/>
        <v>SL-On</v>
      </c>
      <c r="AC340" s="2" t="str">
        <f t="shared" si="29"/>
        <v xml:space="preserve"> CRISTINA </v>
      </c>
      <c r="AD340" s="2">
        <f t="shared" si="27"/>
        <v>1</v>
      </c>
      <c r="AE340" s="2">
        <f t="shared" ca="1" si="28"/>
        <v>-272.26291516203491</v>
      </c>
      <c r="AF340" s="15"/>
    </row>
    <row r="341" spans="1:32" hidden="1">
      <c r="A341" s="1">
        <v>8642300</v>
      </c>
      <c r="B341" s="1" t="s">
        <v>653</v>
      </c>
      <c r="C341" t="s">
        <v>3579</v>
      </c>
      <c r="E341" s="2">
        <v>1509001400040</v>
      </c>
      <c r="F341" s="1" t="s">
        <v>644</v>
      </c>
      <c r="G341" s="1" t="s">
        <v>53</v>
      </c>
      <c r="H341" s="1" t="s">
        <v>731</v>
      </c>
      <c r="I341" s="1" t="s">
        <v>732</v>
      </c>
      <c r="J341" s="1" t="s">
        <v>46</v>
      </c>
      <c r="K341" t="s">
        <v>645</v>
      </c>
      <c r="M341" s="1" t="s">
        <v>58</v>
      </c>
      <c r="N341" s="1">
        <v>0</v>
      </c>
      <c r="O341" s="1" t="s">
        <v>105</v>
      </c>
      <c r="P341" s="186">
        <v>44713.412974537037</v>
      </c>
      <c r="R341" s="1">
        <v>3</v>
      </c>
      <c r="T341" s="1" t="s">
        <v>646</v>
      </c>
      <c r="U341" s="186">
        <v>44714.412974537037</v>
      </c>
      <c r="V341" s="1" t="s">
        <v>41</v>
      </c>
      <c r="W341" s="1" t="s">
        <v>49</v>
      </c>
      <c r="X341" s="13" t="str">
        <f>IF(RIGHT(H341,2)&lt;&gt;"00",H341,"")</f>
        <v/>
      </c>
      <c r="Y341" s="2">
        <f ca="1">NETWORKDAYS(P341,$Y$1)</f>
        <v>196</v>
      </c>
      <c r="Z341" s="14">
        <v>1</v>
      </c>
      <c r="AA341" s="1" t="str">
        <f t="shared" ca="1" si="25"/>
        <v>VENCIDO</v>
      </c>
      <c r="AB341" s="1" t="str">
        <f t="shared" si="26"/>
        <v>SL-On</v>
      </c>
      <c r="AC341" s="2" t="str">
        <f t="shared" si="29"/>
        <v xml:space="preserve"> CLEITON </v>
      </c>
      <c r="AD341" s="2">
        <f t="shared" si="27"/>
        <v>1</v>
      </c>
      <c r="AE341" s="2">
        <f t="shared" ca="1" si="28"/>
        <v>-272.26329710648133</v>
      </c>
      <c r="AF341" s="15"/>
    </row>
    <row r="342" spans="1:32" hidden="1">
      <c r="A342" s="1">
        <v>8642161</v>
      </c>
      <c r="B342" s="1" t="s">
        <v>653</v>
      </c>
      <c r="C342" t="s">
        <v>3579</v>
      </c>
      <c r="E342" s="2">
        <v>1362001400040</v>
      </c>
      <c r="F342" s="1" t="s">
        <v>644</v>
      </c>
      <c r="G342" s="1" t="s">
        <v>53</v>
      </c>
      <c r="H342" s="1" t="s">
        <v>268</v>
      </c>
      <c r="I342" s="1" t="s">
        <v>269</v>
      </c>
      <c r="J342" s="1" t="s">
        <v>90</v>
      </c>
      <c r="K342" t="s">
        <v>645</v>
      </c>
      <c r="M342" s="1" t="s">
        <v>58</v>
      </c>
      <c r="N342" s="1">
        <v>0</v>
      </c>
      <c r="O342" s="1" t="s">
        <v>105</v>
      </c>
      <c r="P342" s="186">
        <v>44713.412453703706</v>
      </c>
      <c r="R342" s="1">
        <v>3</v>
      </c>
      <c r="T342" s="1" t="s">
        <v>646</v>
      </c>
      <c r="U342" s="186">
        <v>44714.412453703706</v>
      </c>
      <c r="V342" s="1" t="s">
        <v>41</v>
      </c>
      <c r="W342" s="1" t="s">
        <v>49</v>
      </c>
      <c r="X342" s="13" t="str">
        <f>IF(RIGHT(H342,2)&lt;&gt;"00",H342,"")</f>
        <v/>
      </c>
      <c r="Y342" s="2">
        <f ca="1">NETWORKDAYS(P342,$Y$1)</f>
        <v>196</v>
      </c>
      <c r="Z342" s="14">
        <v>1</v>
      </c>
      <c r="AA342" s="1" t="str">
        <f t="shared" ca="1" si="25"/>
        <v>VENCIDO</v>
      </c>
      <c r="AB342" s="1" t="str">
        <f t="shared" si="26"/>
        <v>SL-On</v>
      </c>
      <c r="AC342" s="2" t="str">
        <f t="shared" si="29"/>
        <v xml:space="preserve"> RINALDO </v>
      </c>
      <c r="AD342" s="2">
        <f t="shared" si="27"/>
        <v>1</v>
      </c>
      <c r="AE342" s="2">
        <f t="shared" ca="1" si="28"/>
        <v>-272.26381793981272</v>
      </c>
      <c r="AF342" s="15"/>
    </row>
    <row r="343" spans="1:32" hidden="1">
      <c r="A343" s="1">
        <v>8642159</v>
      </c>
      <c r="B343" s="1" t="s">
        <v>653</v>
      </c>
      <c r="C343" t="s">
        <v>3579</v>
      </c>
      <c r="E343" s="2">
        <v>1360001400040</v>
      </c>
      <c r="F343" s="1" t="s">
        <v>644</v>
      </c>
      <c r="G343" s="1" t="s">
        <v>53</v>
      </c>
      <c r="H343" s="1" t="s">
        <v>303</v>
      </c>
      <c r="I343" s="1" t="s">
        <v>304</v>
      </c>
      <c r="J343" s="1" t="s">
        <v>261</v>
      </c>
      <c r="K343" t="s">
        <v>645</v>
      </c>
      <c r="M343" s="1" t="s">
        <v>58</v>
      </c>
      <c r="N343" s="1">
        <v>0</v>
      </c>
      <c r="O343" s="1" t="s">
        <v>105</v>
      </c>
      <c r="P343" s="186">
        <v>44713.412453703706</v>
      </c>
      <c r="R343" s="1">
        <v>3</v>
      </c>
      <c r="T343" s="1" t="s">
        <v>646</v>
      </c>
      <c r="U343" s="186">
        <v>44714.412453703706</v>
      </c>
      <c r="V343" s="1" t="s">
        <v>41</v>
      </c>
      <c r="W343" s="1" t="s">
        <v>49</v>
      </c>
      <c r="X343" s="13" t="str">
        <f>IF(RIGHT(H343,2)&lt;&gt;"00",H343,"")</f>
        <v/>
      </c>
      <c r="Y343" s="2">
        <f ca="1">NETWORKDAYS(P343,$Y$1)</f>
        <v>196</v>
      </c>
      <c r="Z343" s="14">
        <v>1</v>
      </c>
      <c r="AA343" s="1" t="str">
        <f t="shared" ca="1" si="25"/>
        <v>VENCIDO</v>
      </c>
      <c r="AB343" s="1" t="str">
        <f t="shared" si="26"/>
        <v>SL-On</v>
      </c>
      <c r="AC343" s="2" t="str">
        <f t="shared" si="29"/>
        <v xml:space="preserve"> CRISTINA </v>
      </c>
      <c r="AD343" s="2">
        <f t="shared" si="27"/>
        <v>1</v>
      </c>
      <c r="AE343" s="2">
        <f t="shared" ca="1" si="28"/>
        <v>-272.26381793981272</v>
      </c>
      <c r="AF343" s="15"/>
    </row>
    <row r="344" spans="1:32" hidden="1">
      <c r="A344" s="1">
        <v>8642158</v>
      </c>
      <c r="B344" s="1" t="s">
        <v>653</v>
      </c>
      <c r="C344" t="s">
        <v>3579</v>
      </c>
      <c r="E344" s="2">
        <v>1359001400040</v>
      </c>
      <c r="F344" s="1" t="s">
        <v>644</v>
      </c>
      <c r="G344" s="1" t="s">
        <v>53</v>
      </c>
      <c r="H344" s="1" t="s">
        <v>270</v>
      </c>
      <c r="I344" s="1" t="s">
        <v>271</v>
      </c>
      <c r="J344" s="1" t="s">
        <v>141</v>
      </c>
      <c r="K344" t="s">
        <v>645</v>
      </c>
      <c r="M344" s="1" t="s">
        <v>58</v>
      </c>
      <c r="N344" s="1">
        <v>0</v>
      </c>
      <c r="O344" s="1" t="s">
        <v>105</v>
      </c>
      <c r="P344" s="186">
        <v>44713.412453703706</v>
      </c>
      <c r="R344" s="1">
        <v>2</v>
      </c>
      <c r="T344" s="1" t="s">
        <v>646</v>
      </c>
      <c r="U344" s="186">
        <v>44714.412453703706</v>
      </c>
      <c r="V344" s="1" t="s">
        <v>41</v>
      </c>
      <c r="W344" s="1" t="s">
        <v>49</v>
      </c>
      <c r="X344" s="13" t="str">
        <f>IF(RIGHT(H344,2)&lt;&gt;"00",H344,"")</f>
        <v/>
      </c>
      <c r="Y344" s="2">
        <f ca="1">NETWORKDAYS(P344,$Y$1)</f>
        <v>196</v>
      </c>
      <c r="Z344" s="14">
        <v>1</v>
      </c>
      <c r="AA344" s="1" t="str">
        <f t="shared" ca="1" si="25"/>
        <v>VENCIDO</v>
      </c>
      <c r="AB344" s="1" t="str">
        <f t="shared" si="26"/>
        <v>SL-On</v>
      </c>
      <c r="AC344" s="2" t="str">
        <f t="shared" si="29"/>
        <v xml:space="preserve"> CRISTINA </v>
      </c>
      <c r="AD344" s="2">
        <f t="shared" si="27"/>
        <v>1</v>
      </c>
      <c r="AE344" s="2">
        <f t="shared" ca="1" si="28"/>
        <v>-272.26381793981272</v>
      </c>
      <c r="AF344" s="15"/>
    </row>
    <row r="345" spans="1:32" hidden="1">
      <c r="A345" s="1">
        <v>8641875</v>
      </c>
      <c r="B345" s="1" t="s">
        <v>653</v>
      </c>
      <c r="C345" t="s">
        <v>3579</v>
      </c>
      <c r="E345" s="2">
        <v>1059001400040</v>
      </c>
      <c r="F345" s="1" t="s">
        <v>644</v>
      </c>
      <c r="G345" s="1" t="s">
        <v>53</v>
      </c>
      <c r="H345" s="1" t="s">
        <v>88</v>
      </c>
      <c r="I345" s="1" t="s">
        <v>89</v>
      </c>
      <c r="J345" s="1" t="s">
        <v>90</v>
      </c>
      <c r="K345" t="s">
        <v>645</v>
      </c>
      <c r="M345" s="1" t="s">
        <v>58</v>
      </c>
      <c r="N345" s="1">
        <v>0</v>
      </c>
      <c r="O345" s="1" t="s">
        <v>105</v>
      </c>
      <c r="P345" s="186">
        <v>44713.411435185182</v>
      </c>
      <c r="R345" s="1">
        <v>2</v>
      </c>
      <c r="T345" s="1" t="s">
        <v>646</v>
      </c>
      <c r="U345" s="186">
        <v>44714.411435185182</v>
      </c>
      <c r="V345" s="1" t="s">
        <v>41</v>
      </c>
      <c r="W345" s="1" t="s">
        <v>49</v>
      </c>
      <c r="X345" s="13" t="str">
        <f>IF(RIGHT(H345,2)&lt;&gt;"00",H345,"")</f>
        <v/>
      </c>
      <c r="Y345" s="2">
        <f ca="1">NETWORKDAYS(P345,$Y$1)</f>
        <v>196</v>
      </c>
      <c r="Z345" s="14">
        <v>1</v>
      </c>
      <c r="AA345" s="1" t="str">
        <f t="shared" ca="1" si="25"/>
        <v>VENCIDO</v>
      </c>
      <c r="AB345" s="1" t="str">
        <f t="shared" si="26"/>
        <v>SL-On</v>
      </c>
      <c r="AC345" s="2" t="str">
        <f t="shared" si="29"/>
        <v xml:space="preserve"> RINALDO </v>
      </c>
      <c r="AD345" s="2">
        <f t="shared" si="27"/>
        <v>1</v>
      </c>
      <c r="AE345" s="2">
        <f t="shared" ca="1" si="28"/>
        <v>-272.2648364583365</v>
      </c>
      <c r="AF345" s="15"/>
    </row>
    <row r="346" spans="1:32" hidden="1">
      <c r="A346" s="1">
        <v>8641866</v>
      </c>
      <c r="B346" s="1" t="s">
        <v>653</v>
      </c>
      <c r="C346" t="s">
        <v>3579</v>
      </c>
      <c r="E346" s="2">
        <v>1049001400040</v>
      </c>
      <c r="F346" s="1" t="s">
        <v>644</v>
      </c>
      <c r="G346" s="1" t="s">
        <v>53</v>
      </c>
      <c r="H346" s="1" t="s">
        <v>169</v>
      </c>
      <c r="I346" s="1" t="s">
        <v>170</v>
      </c>
      <c r="J346" s="1" t="s">
        <v>164</v>
      </c>
      <c r="K346" t="s">
        <v>645</v>
      </c>
      <c r="M346" s="1" t="s">
        <v>58</v>
      </c>
      <c r="N346" s="1">
        <v>0</v>
      </c>
      <c r="O346" s="1" t="s">
        <v>105</v>
      </c>
      <c r="P346" s="186">
        <v>44713.411423611113</v>
      </c>
      <c r="R346" s="1">
        <v>2</v>
      </c>
      <c r="T346" s="1" t="s">
        <v>646</v>
      </c>
      <c r="U346" s="186">
        <v>44714.411423611113</v>
      </c>
      <c r="V346" s="1" t="s">
        <v>41</v>
      </c>
      <c r="W346" s="1" t="s">
        <v>49</v>
      </c>
      <c r="X346" s="13" t="str">
        <f>IF(RIGHT(H346,2)&lt;&gt;"00",H346,"")</f>
        <v/>
      </c>
      <c r="Y346" s="2">
        <f ca="1">NETWORKDAYS(P346,$Y$1)</f>
        <v>196</v>
      </c>
      <c r="Z346" s="14">
        <v>1</v>
      </c>
      <c r="AA346" s="1" t="str">
        <f t="shared" ca="1" si="25"/>
        <v>VENCIDO</v>
      </c>
      <c r="AB346" s="1" t="str">
        <f t="shared" si="26"/>
        <v>SL-On</v>
      </c>
      <c r="AC346" s="2" t="str">
        <f t="shared" si="29"/>
        <v xml:space="preserve"> ROSEMERE </v>
      </c>
      <c r="AD346" s="2">
        <f t="shared" si="27"/>
        <v>1</v>
      </c>
      <c r="AE346" s="2">
        <f t="shared" ca="1" si="28"/>
        <v>-272.26484803240601</v>
      </c>
      <c r="AF346" s="15"/>
    </row>
    <row r="347" spans="1:32" hidden="1">
      <c r="A347" s="1">
        <v>8641757</v>
      </c>
      <c r="B347" s="1" t="s">
        <v>653</v>
      </c>
      <c r="C347" t="s">
        <v>3579</v>
      </c>
      <c r="E347" s="2">
        <v>934001400040</v>
      </c>
      <c r="F347" s="1" t="s">
        <v>644</v>
      </c>
      <c r="G347" s="1" t="s">
        <v>53</v>
      </c>
      <c r="H347" s="1" t="s">
        <v>428</v>
      </c>
      <c r="I347" s="1" t="s">
        <v>429</v>
      </c>
      <c r="J347" s="1" t="s">
        <v>46</v>
      </c>
      <c r="K347" t="s">
        <v>645</v>
      </c>
      <c r="M347" s="1" t="s">
        <v>58</v>
      </c>
      <c r="N347" s="1">
        <v>0</v>
      </c>
      <c r="O347" s="1" t="s">
        <v>105</v>
      </c>
      <c r="P347" s="186">
        <v>44713.411087962966</v>
      </c>
      <c r="R347" s="1">
        <v>2</v>
      </c>
      <c r="T347" s="1" t="s">
        <v>646</v>
      </c>
      <c r="U347" s="186">
        <v>44714.411087962966</v>
      </c>
      <c r="V347" s="1" t="s">
        <v>41</v>
      </c>
      <c r="W347" s="1" t="s">
        <v>49</v>
      </c>
      <c r="X347" s="13" t="str">
        <f>IF(RIGHT(H347,2)&lt;&gt;"00",H347,"")</f>
        <v/>
      </c>
      <c r="Y347" s="2">
        <f ca="1">NETWORKDAYS(P347,$Y$1)</f>
        <v>196</v>
      </c>
      <c r="Z347" s="14">
        <v>1</v>
      </c>
      <c r="AA347" s="1" t="str">
        <f t="shared" ca="1" si="25"/>
        <v>VENCIDO</v>
      </c>
      <c r="AB347" s="1" t="str">
        <f t="shared" si="26"/>
        <v>SL-On</v>
      </c>
      <c r="AC347" s="2" t="str">
        <f t="shared" si="29"/>
        <v xml:space="preserve"> CLEITON </v>
      </c>
      <c r="AD347" s="2">
        <f t="shared" si="27"/>
        <v>1</v>
      </c>
      <c r="AE347" s="2">
        <f t="shared" ca="1" si="28"/>
        <v>-272.26518368055258</v>
      </c>
      <c r="AF347" s="15"/>
    </row>
    <row r="348" spans="1:32" hidden="1">
      <c r="A348" s="1">
        <v>8641532</v>
      </c>
      <c r="B348" s="1" t="s">
        <v>653</v>
      </c>
      <c r="C348" t="s">
        <v>3579</v>
      </c>
      <c r="E348" s="2">
        <v>714001400040</v>
      </c>
      <c r="F348" s="1" t="s">
        <v>644</v>
      </c>
      <c r="G348" s="1" t="s">
        <v>53</v>
      </c>
      <c r="H348" s="1" t="s">
        <v>377</v>
      </c>
      <c r="I348" s="1" t="s">
        <v>378</v>
      </c>
      <c r="J348" s="1" t="s">
        <v>46</v>
      </c>
      <c r="K348" t="s">
        <v>645</v>
      </c>
      <c r="M348" s="1" t="s">
        <v>58</v>
      </c>
      <c r="N348" s="1">
        <v>0</v>
      </c>
      <c r="O348" s="1" t="s">
        <v>105</v>
      </c>
      <c r="P348" s="186">
        <v>44713.410324074073</v>
      </c>
      <c r="R348" s="1">
        <v>3</v>
      </c>
      <c r="T348" s="1" t="s">
        <v>646</v>
      </c>
      <c r="U348" s="186">
        <v>44714.410324074073</v>
      </c>
      <c r="V348" s="1" t="s">
        <v>41</v>
      </c>
      <c r="W348" s="1" t="s">
        <v>49</v>
      </c>
      <c r="X348" s="13" t="str">
        <f>IF(RIGHT(H348,2)&lt;&gt;"00",H348,"")</f>
        <v/>
      </c>
      <c r="Y348" s="2">
        <f ca="1">NETWORKDAYS(P348,$Y$1)</f>
        <v>196</v>
      </c>
      <c r="Z348" s="14">
        <v>1</v>
      </c>
      <c r="AA348" s="1" t="str">
        <f t="shared" ca="1" si="25"/>
        <v>VENCIDO</v>
      </c>
      <c r="AB348" s="1" t="str">
        <f t="shared" si="26"/>
        <v>SL-On</v>
      </c>
      <c r="AC348" s="2" t="str">
        <f t="shared" si="29"/>
        <v xml:space="preserve"> CLEITON </v>
      </c>
      <c r="AD348" s="2">
        <f t="shared" si="27"/>
        <v>1</v>
      </c>
      <c r="AE348" s="2">
        <f t="shared" ca="1" si="28"/>
        <v>-272.26594756944542</v>
      </c>
      <c r="AF348" s="15"/>
    </row>
    <row r="349" spans="1:32" hidden="1">
      <c r="A349" s="1">
        <v>8641530</v>
      </c>
      <c r="B349" s="1" t="s">
        <v>653</v>
      </c>
      <c r="C349" t="s">
        <v>3579</v>
      </c>
      <c r="E349" s="2">
        <v>711001400040</v>
      </c>
      <c r="F349" s="1" t="s">
        <v>644</v>
      </c>
      <c r="G349" s="1" t="s">
        <v>53</v>
      </c>
      <c r="H349" s="1" t="s">
        <v>77</v>
      </c>
      <c r="I349" s="1" t="s">
        <v>78</v>
      </c>
      <c r="J349" s="1" t="s">
        <v>79</v>
      </c>
      <c r="K349" t="s">
        <v>645</v>
      </c>
      <c r="M349" s="1" t="s">
        <v>58</v>
      </c>
      <c r="N349" s="1">
        <v>0</v>
      </c>
      <c r="O349" s="1" t="s">
        <v>105</v>
      </c>
      <c r="P349" s="186">
        <v>44713.410324074073</v>
      </c>
      <c r="R349" s="1">
        <v>2</v>
      </c>
      <c r="T349" s="1" t="s">
        <v>646</v>
      </c>
      <c r="U349" s="186">
        <v>44714.410324074073</v>
      </c>
      <c r="V349" s="1" t="s">
        <v>41</v>
      </c>
      <c r="W349" s="1" t="s">
        <v>49</v>
      </c>
      <c r="X349" s="13" t="str">
        <f>IF(RIGHT(H349,2)&lt;&gt;"00",H349,"")</f>
        <v/>
      </c>
      <c r="Y349" s="2">
        <f ca="1">NETWORKDAYS(P349,$Y$1)</f>
        <v>196</v>
      </c>
      <c r="Z349" s="14">
        <v>1</v>
      </c>
      <c r="AA349" s="1" t="str">
        <f t="shared" ca="1" si="25"/>
        <v>VENCIDO</v>
      </c>
      <c r="AB349" s="1" t="str">
        <f t="shared" si="26"/>
        <v>SL-On</v>
      </c>
      <c r="AC349" s="2" t="str">
        <f t="shared" si="29"/>
        <v xml:space="preserve"> ROSEMERE </v>
      </c>
      <c r="AD349" s="2">
        <f t="shared" si="27"/>
        <v>1</v>
      </c>
      <c r="AE349" s="2">
        <f t="shared" ca="1" si="28"/>
        <v>-272.26594756944542</v>
      </c>
      <c r="AF349" s="15"/>
    </row>
    <row r="350" spans="1:32" hidden="1">
      <c r="A350" s="1">
        <v>8641366</v>
      </c>
      <c r="B350" s="1" t="s">
        <v>653</v>
      </c>
      <c r="C350" t="s">
        <v>3579</v>
      </c>
      <c r="E350" s="2">
        <v>550001400040</v>
      </c>
      <c r="F350" s="1" t="s">
        <v>644</v>
      </c>
      <c r="G350" s="1" t="s">
        <v>53</v>
      </c>
      <c r="H350" s="1" t="s">
        <v>337</v>
      </c>
      <c r="I350" s="1" t="s">
        <v>338</v>
      </c>
      <c r="J350" s="1" t="s">
        <v>164</v>
      </c>
      <c r="K350" t="s">
        <v>645</v>
      </c>
      <c r="M350" s="1" t="s">
        <v>58</v>
      </c>
      <c r="N350" s="1">
        <v>0</v>
      </c>
      <c r="O350" s="1" t="s">
        <v>105</v>
      </c>
      <c r="P350" s="186">
        <v>44713.40965277778</v>
      </c>
      <c r="R350" s="1">
        <v>3</v>
      </c>
      <c r="T350" s="1" t="s">
        <v>646</v>
      </c>
      <c r="U350" s="186">
        <v>44714.40965277778</v>
      </c>
      <c r="V350" s="1" t="s">
        <v>41</v>
      </c>
      <c r="W350" s="1" t="s">
        <v>49</v>
      </c>
      <c r="X350" s="13" t="str">
        <f>IF(RIGHT(H350,2)&lt;&gt;"00",H350,"")</f>
        <v/>
      </c>
      <c r="Y350" s="2">
        <f ca="1">NETWORKDAYS(P350,$Y$1)</f>
        <v>196</v>
      </c>
      <c r="Z350" s="14">
        <v>1</v>
      </c>
      <c r="AA350" s="1" t="str">
        <f t="shared" ca="1" si="25"/>
        <v>VENCIDO</v>
      </c>
      <c r="AB350" s="1" t="str">
        <f t="shared" si="26"/>
        <v>SL-On</v>
      </c>
      <c r="AC350" s="2" t="str">
        <f t="shared" si="29"/>
        <v xml:space="preserve"> ROSEMERE </v>
      </c>
      <c r="AD350" s="2">
        <f t="shared" si="27"/>
        <v>1</v>
      </c>
      <c r="AE350" s="2">
        <f t="shared" ca="1" si="28"/>
        <v>-272.26661886573856</v>
      </c>
      <c r="AF350" s="15"/>
    </row>
    <row r="351" spans="1:32" hidden="1">
      <c r="A351" s="1">
        <v>8641356</v>
      </c>
      <c r="B351" s="1" t="s">
        <v>653</v>
      </c>
      <c r="C351" t="s">
        <v>3579</v>
      </c>
      <c r="E351" s="2">
        <v>537001400040</v>
      </c>
      <c r="F351" s="1" t="s">
        <v>644</v>
      </c>
      <c r="G351" s="1" t="s">
        <v>53</v>
      </c>
      <c r="H351" s="1" t="s">
        <v>442</v>
      </c>
      <c r="I351" s="1" t="s">
        <v>443</v>
      </c>
      <c r="J351" s="1" t="s">
        <v>79</v>
      </c>
      <c r="K351" t="s">
        <v>645</v>
      </c>
      <c r="M351" s="1" t="s">
        <v>58</v>
      </c>
      <c r="N351" s="1">
        <v>0</v>
      </c>
      <c r="O351" s="1" t="s">
        <v>105</v>
      </c>
      <c r="P351" s="186">
        <v>44713.409641203703</v>
      </c>
      <c r="R351" s="1">
        <v>2</v>
      </c>
      <c r="T351" s="1" t="s">
        <v>646</v>
      </c>
      <c r="U351" s="186">
        <v>44714.409641203703</v>
      </c>
      <c r="V351" s="1" t="s">
        <v>41</v>
      </c>
      <c r="W351" s="1" t="s">
        <v>49</v>
      </c>
      <c r="X351" s="13" t="str">
        <f>IF(RIGHT(H351,2)&lt;&gt;"00",H351,"")</f>
        <v/>
      </c>
      <c r="Y351" s="2">
        <f ca="1">NETWORKDAYS(P351,$Y$1)</f>
        <v>196</v>
      </c>
      <c r="Z351" s="14">
        <v>1</v>
      </c>
      <c r="AA351" s="1" t="str">
        <f t="shared" ca="1" si="25"/>
        <v>VENCIDO</v>
      </c>
      <c r="AB351" s="1" t="str">
        <f t="shared" si="26"/>
        <v>SL-On</v>
      </c>
      <c r="AC351" s="2" t="str">
        <f t="shared" si="29"/>
        <v xml:space="preserve"> ROSEMERE </v>
      </c>
      <c r="AD351" s="2">
        <f t="shared" si="27"/>
        <v>1</v>
      </c>
      <c r="AE351" s="2">
        <f t="shared" ca="1" si="28"/>
        <v>-272.26663043981534</v>
      </c>
      <c r="AF351" s="15"/>
    </row>
    <row r="352" spans="1:32" hidden="1">
      <c r="A352" s="1">
        <v>8641265</v>
      </c>
      <c r="B352" s="1" t="s">
        <v>653</v>
      </c>
      <c r="C352" t="s">
        <v>3579</v>
      </c>
      <c r="E352" s="2">
        <v>446001400040</v>
      </c>
      <c r="F352" s="1" t="s">
        <v>644</v>
      </c>
      <c r="G352" s="1" t="s">
        <v>53</v>
      </c>
      <c r="H352" s="1" t="s">
        <v>432</v>
      </c>
      <c r="I352" s="1" t="s">
        <v>433</v>
      </c>
      <c r="J352" s="1" t="s">
        <v>110</v>
      </c>
      <c r="K352" t="s">
        <v>645</v>
      </c>
      <c r="M352" s="1" t="s">
        <v>58</v>
      </c>
      <c r="N352" s="1">
        <v>0</v>
      </c>
      <c r="O352" s="1" t="s">
        <v>105</v>
      </c>
      <c r="P352" s="186">
        <v>44713.409317129626</v>
      </c>
      <c r="R352" s="1">
        <v>3</v>
      </c>
      <c r="T352" s="1" t="s">
        <v>646</v>
      </c>
      <c r="U352" s="186">
        <v>44714.409328703703</v>
      </c>
      <c r="V352" s="1" t="s">
        <v>41</v>
      </c>
      <c r="W352" s="1" t="s">
        <v>49</v>
      </c>
      <c r="X352" s="13" t="str">
        <f>IF(RIGHT(H352,2)&lt;&gt;"00",H352,"")</f>
        <v/>
      </c>
      <c r="Y352" s="2">
        <f ca="1">NETWORKDAYS(P352,$Y$1)</f>
        <v>196</v>
      </c>
      <c r="Z352" s="14">
        <v>1</v>
      </c>
      <c r="AA352" s="1" t="str">
        <f t="shared" ca="1" si="25"/>
        <v>VENCIDO</v>
      </c>
      <c r="AB352" s="1" t="str">
        <f t="shared" si="26"/>
        <v>SL-On</v>
      </c>
      <c r="AC352" s="2" t="str">
        <f t="shared" si="29"/>
        <v xml:space="preserve"> CRISTINA </v>
      </c>
      <c r="AD352" s="2">
        <f t="shared" si="27"/>
        <v>1</v>
      </c>
      <c r="AE352" s="2">
        <f t="shared" ca="1" si="28"/>
        <v>-272.26694293981564</v>
      </c>
      <c r="AF352" s="15"/>
    </row>
    <row r="353" spans="1:32" hidden="1">
      <c r="A353" s="1">
        <v>8641027</v>
      </c>
      <c r="B353" s="1" t="s">
        <v>653</v>
      </c>
      <c r="C353" t="s">
        <v>3579</v>
      </c>
      <c r="E353" s="2">
        <v>233001400040</v>
      </c>
      <c r="F353" s="1" t="s">
        <v>644</v>
      </c>
      <c r="G353" s="1" t="s">
        <v>53</v>
      </c>
      <c r="H353" s="1" t="s">
        <v>424</v>
      </c>
      <c r="I353" s="1" t="s">
        <v>425</v>
      </c>
      <c r="J353" s="1" t="s">
        <v>261</v>
      </c>
      <c r="K353" t="s">
        <v>645</v>
      </c>
      <c r="M353" s="1" t="s">
        <v>58</v>
      </c>
      <c r="N353" s="1">
        <v>0</v>
      </c>
      <c r="O353" s="1" t="s">
        <v>105</v>
      </c>
      <c r="P353" s="186">
        <v>44713.408125000002</v>
      </c>
      <c r="R353" s="1">
        <v>2</v>
      </c>
      <c r="T353" s="1" t="s">
        <v>646</v>
      </c>
      <c r="U353" s="186">
        <v>44714.408125000002</v>
      </c>
      <c r="V353" s="1" t="s">
        <v>41</v>
      </c>
      <c r="W353" s="1" t="s">
        <v>49</v>
      </c>
      <c r="X353" s="13" t="str">
        <f>IF(RIGHT(H353,2)&lt;&gt;"00",H353,"")</f>
        <v/>
      </c>
      <c r="Y353" s="2">
        <f ca="1">NETWORKDAYS(P353,$Y$1)</f>
        <v>196</v>
      </c>
      <c r="Z353" s="14">
        <v>1</v>
      </c>
      <c r="AA353" s="1" t="str">
        <f t="shared" ca="1" si="25"/>
        <v>VENCIDO</v>
      </c>
      <c r="AB353" s="1" t="str">
        <f t="shared" si="26"/>
        <v>SL-On</v>
      </c>
      <c r="AC353" s="2" t="str">
        <f t="shared" si="29"/>
        <v xml:space="preserve"> CRISTINA </v>
      </c>
      <c r="AD353" s="2">
        <f t="shared" si="27"/>
        <v>1</v>
      </c>
      <c r="AE353" s="2">
        <f t="shared" ca="1" si="28"/>
        <v>-272.26814664351696</v>
      </c>
      <c r="AF353" s="15"/>
    </row>
    <row r="354" spans="1:32" hidden="1">
      <c r="A354" s="1">
        <v>8640672</v>
      </c>
      <c r="B354" s="1" t="s">
        <v>653</v>
      </c>
      <c r="C354" t="s">
        <v>3580</v>
      </c>
      <c r="E354" s="2">
        <v>7802341400030</v>
      </c>
      <c r="F354" s="1" t="s">
        <v>647</v>
      </c>
      <c r="G354" s="1" t="s">
        <v>53</v>
      </c>
      <c r="H354" s="1" t="s">
        <v>753</v>
      </c>
      <c r="I354" s="1" t="s">
        <v>754</v>
      </c>
      <c r="J354" s="1" t="s">
        <v>46</v>
      </c>
      <c r="K354" t="s">
        <v>650</v>
      </c>
      <c r="M354" s="1" t="s">
        <v>58</v>
      </c>
      <c r="N354" s="1">
        <v>0</v>
      </c>
      <c r="O354" s="1" t="s">
        <v>105</v>
      </c>
      <c r="P354" s="186">
        <v>44713.406956018516</v>
      </c>
      <c r="R354" s="1">
        <v>4</v>
      </c>
      <c r="T354" s="1" t="s">
        <v>646</v>
      </c>
      <c r="U354" s="186">
        <v>44714.406956018516</v>
      </c>
      <c r="V354" s="1" t="s">
        <v>41</v>
      </c>
      <c r="W354" s="1" t="s">
        <v>49</v>
      </c>
      <c r="X354" s="13" t="str">
        <f>IF(RIGHT(H354,2)&lt;&gt;"00",H354,"")</f>
        <v>7802.34</v>
      </c>
      <c r="Y354" s="2">
        <f ca="1">NETWORKDAYS(P354,$Y$1)</f>
        <v>196</v>
      </c>
      <c r="Z354" s="14">
        <v>1</v>
      </c>
      <c r="AA354" s="1" t="str">
        <f t="shared" ca="1" si="25"/>
        <v>VENCIDO</v>
      </c>
      <c r="AB354" s="1" t="str">
        <f t="shared" si="26"/>
        <v>C-14</v>
      </c>
      <c r="AC354" s="2" t="str">
        <f t="shared" si="29"/>
        <v xml:space="preserve"> CLEITON </v>
      </c>
      <c r="AD354" s="2">
        <f t="shared" si="27"/>
        <v>15</v>
      </c>
      <c r="AE354" s="2">
        <f t="shared" ca="1" si="28"/>
        <v>-272.26931562500249</v>
      </c>
      <c r="AF354" s="15"/>
    </row>
    <row r="355" spans="1:32" hidden="1">
      <c r="A355" s="1">
        <v>8640671</v>
      </c>
      <c r="B355" s="1" t="s">
        <v>653</v>
      </c>
      <c r="C355" t="s">
        <v>3580</v>
      </c>
      <c r="E355" s="2">
        <v>7802281400030</v>
      </c>
      <c r="F355" s="1" t="s">
        <v>647</v>
      </c>
      <c r="G355" s="1" t="s">
        <v>53</v>
      </c>
      <c r="H355" s="1" t="s">
        <v>757</v>
      </c>
      <c r="I355" s="1" t="s">
        <v>758</v>
      </c>
      <c r="J355" s="1" t="s">
        <v>46</v>
      </c>
      <c r="K355" t="s">
        <v>650</v>
      </c>
      <c r="M355" s="1" t="s">
        <v>58</v>
      </c>
      <c r="N355" s="1">
        <v>0</v>
      </c>
      <c r="O355" s="1" t="s">
        <v>105</v>
      </c>
      <c r="P355" s="186">
        <v>44713.406956018516</v>
      </c>
      <c r="R355" s="1">
        <v>4</v>
      </c>
      <c r="T355" s="1" t="s">
        <v>646</v>
      </c>
      <c r="U355" s="186">
        <v>44714.406956018516</v>
      </c>
      <c r="V355" s="1" t="s">
        <v>41</v>
      </c>
      <c r="W355" s="1" t="s">
        <v>49</v>
      </c>
      <c r="X355" s="13" t="str">
        <f>IF(RIGHT(H355,2)&lt;&gt;"00",H355,"")</f>
        <v>7802.28</v>
      </c>
      <c r="Y355" s="2">
        <f ca="1">NETWORKDAYS(P355,$Y$1)</f>
        <v>196</v>
      </c>
      <c r="Z355" s="14">
        <v>1</v>
      </c>
      <c r="AA355" s="1" t="str">
        <f t="shared" ca="1" si="25"/>
        <v>VENCIDO</v>
      </c>
      <c r="AB355" s="1" t="str">
        <f t="shared" si="26"/>
        <v>C-14</v>
      </c>
      <c r="AC355" s="2" t="str">
        <f t="shared" si="29"/>
        <v xml:space="preserve"> CLEITON </v>
      </c>
      <c r="AD355" s="2">
        <f t="shared" si="27"/>
        <v>15</v>
      </c>
      <c r="AE355" s="2">
        <f t="shared" ca="1" si="28"/>
        <v>-272.26931562500249</v>
      </c>
      <c r="AF355" s="15"/>
    </row>
    <row r="356" spans="1:32" hidden="1">
      <c r="A356" s="1">
        <v>8640670</v>
      </c>
      <c r="B356" s="1" t="s">
        <v>653</v>
      </c>
      <c r="C356" t="s">
        <v>3580</v>
      </c>
      <c r="E356" s="2">
        <v>7802221400030</v>
      </c>
      <c r="F356" s="1" t="s">
        <v>647</v>
      </c>
      <c r="G356" s="1" t="s">
        <v>53</v>
      </c>
      <c r="H356" s="1" t="s">
        <v>759</v>
      </c>
      <c r="I356" s="1" t="s">
        <v>760</v>
      </c>
      <c r="J356" s="1" t="s">
        <v>46</v>
      </c>
      <c r="K356" t="s">
        <v>650</v>
      </c>
      <c r="M356" s="1" t="s">
        <v>58</v>
      </c>
      <c r="N356" s="1">
        <v>0</v>
      </c>
      <c r="O356" s="1" t="s">
        <v>105</v>
      </c>
      <c r="P356" s="186">
        <v>44713.406956018516</v>
      </c>
      <c r="R356" s="1">
        <v>4</v>
      </c>
      <c r="T356" s="1" t="s">
        <v>646</v>
      </c>
      <c r="U356" s="186">
        <v>44714.406956018516</v>
      </c>
      <c r="V356" s="1" t="s">
        <v>41</v>
      </c>
      <c r="W356" s="1" t="s">
        <v>49</v>
      </c>
      <c r="X356" s="13" t="str">
        <f>IF(RIGHT(H356,2)&lt;&gt;"00",H356,"")</f>
        <v>7802.22</v>
      </c>
      <c r="Y356" s="2">
        <f ca="1">NETWORKDAYS(P356,$Y$1)</f>
        <v>196</v>
      </c>
      <c r="Z356" s="14">
        <v>1</v>
      </c>
      <c r="AA356" s="1" t="str">
        <f t="shared" ca="1" si="25"/>
        <v>VENCIDO</v>
      </c>
      <c r="AB356" s="1" t="str">
        <f t="shared" si="26"/>
        <v>C-14</v>
      </c>
      <c r="AC356" s="2" t="str">
        <f t="shared" si="29"/>
        <v xml:space="preserve"> CLEITON </v>
      </c>
      <c r="AD356" s="2">
        <f t="shared" si="27"/>
        <v>15</v>
      </c>
      <c r="AE356" s="2">
        <f t="shared" ca="1" si="28"/>
        <v>-272.26931562500249</v>
      </c>
      <c r="AF356" s="15"/>
    </row>
    <row r="357" spans="1:32" hidden="1">
      <c r="A357" s="1">
        <v>8640669</v>
      </c>
      <c r="B357" s="1" t="s">
        <v>653</v>
      </c>
      <c r="C357" t="s">
        <v>3580</v>
      </c>
      <c r="E357" s="2">
        <v>7802211400030</v>
      </c>
      <c r="F357" s="1" t="s">
        <v>647</v>
      </c>
      <c r="G357" s="1" t="s">
        <v>53</v>
      </c>
      <c r="H357" s="1" t="s">
        <v>761</v>
      </c>
      <c r="I357" s="1" t="s">
        <v>762</v>
      </c>
      <c r="J357" s="1" t="s">
        <v>46</v>
      </c>
      <c r="K357" t="s">
        <v>650</v>
      </c>
      <c r="M357" s="1" t="s">
        <v>58</v>
      </c>
      <c r="N357" s="1">
        <v>0</v>
      </c>
      <c r="O357" s="1" t="s">
        <v>105</v>
      </c>
      <c r="P357" s="186">
        <v>44713.406956018516</v>
      </c>
      <c r="R357" s="1">
        <v>4</v>
      </c>
      <c r="T357" s="1" t="s">
        <v>646</v>
      </c>
      <c r="U357" s="186">
        <v>44714.406956018516</v>
      </c>
      <c r="V357" s="1" t="s">
        <v>41</v>
      </c>
      <c r="W357" s="1" t="s">
        <v>49</v>
      </c>
      <c r="X357" s="13" t="str">
        <f>IF(RIGHT(H357,2)&lt;&gt;"00",H357,"")</f>
        <v>7802.21</v>
      </c>
      <c r="Y357" s="2">
        <f ca="1">NETWORKDAYS(P357,$Y$1)</f>
        <v>196</v>
      </c>
      <c r="Z357" s="14">
        <v>1</v>
      </c>
      <c r="AA357" s="1" t="str">
        <f t="shared" ca="1" si="25"/>
        <v>VENCIDO</v>
      </c>
      <c r="AB357" s="1" t="str">
        <f t="shared" si="26"/>
        <v>C-14</v>
      </c>
      <c r="AC357" s="2" t="str">
        <f t="shared" si="29"/>
        <v xml:space="preserve"> CLEITON </v>
      </c>
      <c r="AD357" s="2">
        <f t="shared" si="27"/>
        <v>15</v>
      </c>
      <c r="AE357" s="2">
        <f t="shared" ca="1" si="28"/>
        <v>-272.26931562500249</v>
      </c>
      <c r="AF357" s="15"/>
    </row>
    <row r="358" spans="1:32" hidden="1">
      <c r="A358" s="1">
        <v>8640668</v>
      </c>
      <c r="B358" s="1" t="s">
        <v>653</v>
      </c>
      <c r="C358" t="s">
        <v>3580</v>
      </c>
      <c r="E358" s="2">
        <v>7802191400030</v>
      </c>
      <c r="F358" s="1" t="s">
        <v>647</v>
      </c>
      <c r="G358" s="1" t="s">
        <v>53</v>
      </c>
      <c r="H358" s="1" t="s">
        <v>763</v>
      </c>
      <c r="I358" s="1" t="s">
        <v>764</v>
      </c>
      <c r="J358" s="1" t="s">
        <v>46</v>
      </c>
      <c r="K358" t="s">
        <v>650</v>
      </c>
      <c r="M358" s="1" t="s">
        <v>58</v>
      </c>
      <c r="N358" s="1">
        <v>0</v>
      </c>
      <c r="O358" s="1" t="s">
        <v>105</v>
      </c>
      <c r="P358" s="186">
        <v>44713.406944444447</v>
      </c>
      <c r="R358" s="1">
        <v>4</v>
      </c>
      <c r="T358" s="1" t="s">
        <v>646</v>
      </c>
      <c r="U358" s="186">
        <v>44714.406956018516</v>
      </c>
      <c r="V358" s="1" t="s">
        <v>41</v>
      </c>
      <c r="W358" s="1" t="s">
        <v>49</v>
      </c>
      <c r="X358" s="13" t="str">
        <f>IF(RIGHT(H358,2)&lt;&gt;"00",H358,"")</f>
        <v>7802.19</v>
      </c>
      <c r="Y358" s="2">
        <f ca="1">NETWORKDAYS(P358,$Y$1)</f>
        <v>196</v>
      </c>
      <c r="Z358" s="14">
        <v>1</v>
      </c>
      <c r="AA358" s="1" t="str">
        <f t="shared" ca="1" si="25"/>
        <v>VENCIDO</v>
      </c>
      <c r="AB358" s="1" t="str">
        <f t="shared" si="26"/>
        <v>C-14</v>
      </c>
      <c r="AC358" s="2" t="str">
        <f t="shared" si="29"/>
        <v xml:space="preserve"> CLEITON </v>
      </c>
      <c r="AD358" s="2">
        <f t="shared" si="27"/>
        <v>15</v>
      </c>
      <c r="AE358" s="2">
        <f t="shared" ca="1" si="28"/>
        <v>-272.26931562500249</v>
      </c>
      <c r="AF358" s="15"/>
    </row>
    <row r="359" spans="1:32" hidden="1">
      <c r="A359" s="1">
        <v>8640667</v>
      </c>
      <c r="B359" s="1" t="s">
        <v>653</v>
      </c>
      <c r="C359" t="s">
        <v>3580</v>
      </c>
      <c r="E359" s="2">
        <v>7802181400030</v>
      </c>
      <c r="F359" s="1" t="s">
        <v>647</v>
      </c>
      <c r="G359" s="1" t="s">
        <v>53</v>
      </c>
      <c r="H359" s="1" t="s">
        <v>766</v>
      </c>
      <c r="I359" s="1" t="s">
        <v>767</v>
      </c>
      <c r="J359" s="1" t="s">
        <v>46</v>
      </c>
      <c r="K359" t="s">
        <v>650</v>
      </c>
      <c r="M359" s="1" t="s">
        <v>58</v>
      </c>
      <c r="N359" s="1">
        <v>0</v>
      </c>
      <c r="O359" s="1" t="s">
        <v>105</v>
      </c>
      <c r="P359" s="186">
        <v>44713.406944444447</v>
      </c>
      <c r="R359" s="1">
        <v>4</v>
      </c>
      <c r="T359" s="1" t="s">
        <v>646</v>
      </c>
      <c r="U359" s="186">
        <v>44714.406944444447</v>
      </c>
      <c r="V359" s="1" t="s">
        <v>41</v>
      </c>
      <c r="W359" s="1" t="s">
        <v>49</v>
      </c>
      <c r="X359" s="13" t="str">
        <f>IF(RIGHT(H359,2)&lt;&gt;"00",H359,"")</f>
        <v>7802.18</v>
      </c>
      <c r="Y359" s="2">
        <f ca="1">NETWORKDAYS(P359,$Y$1)</f>
        <v>196</v>
      </c>
      <c r="Z359" s="14">
        <v>1</v>
      </c>
      <c r="AA359" s="1" t="str">
        <f t="shared" ca="1" si="25"/>
        <v>VENCIDO</v>
      </c>
      <c r="AB359" s="1" t="str">
        <f t="shared" si="26"/>
        <v>C-14</v>
      </c>
      <c r="AC359" s="2" t="str">
        <f t="shared" si="29"/>
        <v xml:space="preserve"> CLEITON </v>
      </c>
      <c r="AD359" s="2">
        <f t="shared" si="27"/>
        <v>15</v>
      </c>
      <c r="AE359" s="2">
        <f t="shared" ca="1" si="28"/>
        <v>-272.26932719907199</v>
      </c>
      <c r="AF359" s="15"/>
    </row>
    <row r="360" spans="1:32" hidden="1">
      <c r="A360" s="1">
        <v>8640666</v>
      </c>
      <c r="B360" s="1" t="s">
        <v>653</v>
      </c>
      <c r="C360" t="s">
        <v>3580</v>
      </c>
      <c r="E360" s="2">
        <v>7802171400030</v>
      </c>
      <c r="F360" s="1" t="s">
        <v>647</v>
      </c>
      <c r="G360" s="1" t="s">
        <v>53</v>
      </c>
      <c r="H360" s="1" t="s">
        <v>769</v>
      </c>
      <c r="I360" s="1" t="s">
        <v>770</v>
      </c>
      <c r="J360" s="1" t="s">
        <v>46</v>
      </c>
      <c r="K360" t="s">
        <v>650</v>
      </c>
      <c r="M360" s="1" t="s">
        <v>58</v>
      </c>
      <c r="N360" s="1">
        <v>0</v>
      </c>
      <c r="O360" s="1" t="s">
        <v>105</v>
      </c>
      <c r="P360" s="186">
        <v>44713.406944444447</v>
      </c>
      <c r="R360" s="1">
        <v>4</v>
      </c>
      <c r="T360" s="1" t="s">
        <v>646</v>
      </c>
      <c r="U360" s="186">
        <v>44714.406944444447</v>
      </c>
      <c r="V360" s="1" t="s">
        <v>41</v>
      </c>
      <c r="W360" s="1" t="s">
        <v>49</v>
      </c>
      <c r="X360" s="13" t="str">
        <f>IF(RIGHT(H360,2)&lt;&gt;"00",H360,"")</f>
        <v>7802.17</v>
      </c>
      <c r="Y360" s="2">
        <f ca="1">NETWORKDAYS(P360,$Y$1)</f>
        <v>196</v>
      </c>
      <c r="Z360" s="14">
        <v>1</v>
      </c>
      <c r="AA360" s="1" t="str">
        <f t="shared" ca="1" si="25"/>
        <v>VENCIDO</v>
      </c>
      <c r="AB360" s="1" t="str">
        <f t="shared" si="26"/>
        <v>C-14</v>
      </c>
      <c r="AC360" s="2" t="str">
        <f t="shared" si="29"/>
        <v xml:space="preserve"> CLEITON </v>
      </c>
      <c r="AD360" s="2">
        <f t="shared" si="27"/>
        <v>15</v>
      </c>
      <c r="AE360" s="2">
        <f t="shared" ca="1" si="28"/>
        <v>-272.26932719907199</v>
      </c>
      <c r="AF360" s="15"/>
    </row>
    <row r="361" spans="1:32" hidden="1">
      <c r="A361" s="1">
        <v>8640665</v>
      </c>
      <c r="B361" s="1" t="s">
        <v>653</v>
      </c>
      <c r="C361" t="s">
        <v>3580</v>
      </c>
      <c r="E361" s="2">
        <v>7802051400030</v>
      </c>
      <c r="F361" s="1" t="s">
        <v>647</v>
      </c>
      <c r="G361" s="1" t="s">
        <v>53</v>
      </c>
      <c r="H361" s="1" t="s">
        <v>771</v>
      </c>
      <c r="I361" s="1" t="s">
        <v>772</v>
      </c>
      <c r="J361" s="1" t="s">
        <v>46</v>
      </c>
      <c r="K361" t="s">
        <v>650</v>
      </c>
      <c r="M361" s="1" t="s">
        <v>58</v>
      </c>
      <c r="N361" s="1">
        <v>0</v>
      </c>
      <c r="O361" s="1" t="s">
        <v>105</v>
      </c>
      <c r="P361" s="186">
        <v>44713.406944444447</v>
      </c>
      <c r="R361" s="1">
        <v>4</v>
      </c>
      <c r="T361" s="1" t="s">
        <v>646</v>
      </c>
      <c r="U361" s="186">
        <v>44714.406944444447</v>
      </c>
      <c r="V361" s="1" t="s">
        <v>41</v>
      </c>
      <c r="W361" s="1" t="s">
        <v>49</v>
      </c>
      <c r="X361" s="13" t="str">
        <f>IF(RIGHT(H361,2)&lt;&gt;"00",H361,"")</f>
        <v>7802.05</v>
      </c>
      <c r="Y361" s="2">
        <f ca="1">NETWORKDAYS(P361,$Y$1)</f>
        <v>196</v>
      </c>
      <c r="Z361" s="14">
        <v>1</v>
      </c>
      <c r="AA361" s="1" t="str">
        <f t="shared" ca="1" si="25"/>
        <v>VENCIDO</v>
      </c>
      <c r="AB361" s="1" t="str">
        <f t="shared" si="26"/>
        <v>C-14</v>
      </c>
      <c r="AC361" s="2" t="str">
        <f t="shared" si="29"/>
        <v xml:space="preserve"> CLEITON </v>
      </c>
      <c r="AD361" s="2">
        <f t="shared" si="27"/>
        <v>15</v>
      </c>
      <c r="AE361" s="2">
        <f t="shared" ca="1" si="28"/>
        <v>-272.26932719907199</v>
      </c>
      <c r="AF361" s="15"/>
    </row>
    <row r="362" spans="1:32" hidden="1">
      <c r="A362" s="1">
        <v>8640664</v>
      </c>
      <c r="B362" s="1" t="s">
        <v>653</v>
      </c>
      <c r="C362" t="s">
        <v>3580</v>
      </c>
      <c r="E362" s="2">
        <v>7802041400030</v>
      </c>
      <c r="F362" s="1" t="s">
        <v>647</v>
      </c>
      <c r="G362" s="1" t="s">
        <v>53</v>
      </c>
      <c r="H362" s="1" t="s">
        <v>773</v>
      </c>
      <c r="I362" s="1" t="s">
        <v>774</v>
      </c>
      <c r="J362" s="1" t="s">
        <v>46</v>
      </c>
      <c r="K362" t="s">
        <v>650</v>
      </c>
      <c r="M362" s="1" t="s">
        <v>58</v>
      </c>
      <c r="N362" s="1">
        <v>0</v>
      </c>
      <c r="O362" s="1" t="s">
        <v>105</v>
      </c>
      <c r="P362" s="186">
        <v>44713.406944444447</v>
      </c>
      <c r="R362" s="1">
        <v>4</v>
      </c>
      <c r="T362" s="1" t="s">
        <v>646</v>
      </c>
      <c r="U362" s="186">
        <v>44714.406944444447</v>
      </c>
      <c r="V362" s="1" t="s">
        <v>41</v>
      </c>
      <c r="W362" s="1" t="s">
        <v>49</v>
      </c>
      <c r="X362" s="13" t="str">
        <f>IF(RIGHT(H362,2)&lt;&gt;"00",H362,"")</f>
        <v>7802.04</v>
      </c>
      <c r="Y362" s="2">
        <f ca="1">NETWORKDAYS(P362,$Y$1)</f>
        <v>196</v>
      </c>
      <c r="Z362" s="14">
        <v>1</v>
      </c>
      <c r="AA362" s="1" t="str">
        <f t="shared" ca="1" si="25"/>
        <v>VENCIDO</v>
      </c>
      <c r="AB362" s="1" t="str">
        <f t="shared" si="26"/>
        <v>C-14</v>
      </c>
      <c r="AC362" s="2" t="str">
        <f t="shared" si="29"/>
        <v xml:space="preserve"> CLEITON </v>
      </c>
      <c r="AD362" s="2">
        <f t="shared" si="27"/>
        <v>15</v>
      </c>
      <c r="AE362" s="2">
        <f t="shared" ca="1" si="28"/>
        <v>-272.26932719907199</v>
      </c>
      <c r="AF362" s="15"/>
    </row>
    <row r="363" spans="1:32" hidden="1">
      <c r="A363" s="1">
        <v>8640663</v>
      </c>
      <c r="B363" s="1" t="s">
        <v>653</v>
      </c>
      <c r="C363" t="s">
        <v>3580</v>
      </c>
      <c r="E363" s="2">
        <v>7802021400030</v>
      </c>
      <c r="F363" s="1" t="s">
        <v>647</v>
      </c>
      <c r="G363" s="1" t="s">
        <v>53</v>
      </c>
      <c r="H363" s="1" t="s">
        <v>775</v>
      </c>
      <c r="I363" s="1" t="s">
        <v>776</v>
      </c>
      <c r="J363" s="1" t="s">
        <v>46</v>
      </c>
      <c r="K363" t="s">
        <v>650</v>
      </c>
      <c r="M363" s="1" t="s">
        <v>58</v>
      </c>
      <c r="N363" s="1">
        <v>0</v>
      </c>
      <c r="O363" s="1" t="s">
        <v>36</v>
      </c>
      <c r="P363" s="186">
        <v>44713.406944444447</v>
      </c>
      <c r="R363" s="1">
        <v>4</v>
      </c>
      <c r="T363" s="1" t="s">
        <v>646</v>
      </c>
      <c r="U363" s="186">
        <v>44714.406944444447</v>
      </c>
      <c r="V363" s="1" t="s">
        <v>41</v>
      </c>
      <c r="W363" s="1" t="s">
        <v>49</v>
      </c>
      <c r="X363" s="13" t="str">
        <f>IF(RIGHT(H363,2)&lt;&gt;"00",H363,"")</f>
        <v>7802.02</v>
      </c>
      <c r="Y363" s="2">
        <f ca="1">NETWORKDAYS(P363,$Y$1)</f>
        <v>196</v>
      </c>
      <c r="Z363" s="14">
        <v>1</v>
      </c>
      <c r="AA363" s="1" t="str">
        <f t="shared" ca="1" si="25"/>
        <v>VENCIDO</v>
      </c>
      <c r="AB363" s="1" t="str">
        <f t="shared" si="26"/>
        <v>C-14</v>
      </c>
      <c r="AC363" s="2" t="str">
        <f t="shared" si="29"/>
        <v xml:space="preserve"> CLEITON </v>
      </c>
      <c r="AD363" s="2">
        <f t="shared" si="27"/>
        <v>15</v>
      </c>
      <c r="AE363" s="2">
        <f t="shared" ca="1" si="28"/>
        <v>-272.26932719907199</v>
      </c>
      <c r="AF363" s="15"/>
    </row>
    <row r="364" spans="1:32" hidden="1">
      <c r="A364" s="1">
        <v>8640662</v>
      </c>
      <c r="B364" s="1" t="s">
        <v>653</v>
      </c>
      <c r="C364" t="s">
        <v>3580</v>
      </c>
      <c r="E364" s="2">
        <v>7802011400030</v>
      </c>
      <c r="F364" s="1" t="s">
        <v>647</v>
      </c>
      <c r="G364" s="1" t="s">
        <v>53</v>
      </c>
      <c r="H364" s="1" t="s">
        <v>777</v>
      </c>
      <c r="I364" s="1" t="s">
        <v>778</v>
      </c>
      <c r="J364" s="1" t="s">
        <v>46</v>
      </c>
      <c r="K364" t="s">
        <v>650</v>
      </c>
      <c r="M364" s="1" t="s">
        <v>58</v>
      </c>
      <c r="N364" s="1">
        <v>0</v>
      </c>
      <c r="O364" s="1" t="s">
        <v>36</v>
      </c>
      <c r="P364" s="186">
        <v>44713.406944444447</v>
      </c>
      <c r="R364" s="1">
        <v>4</v>
      </c>
      <c r="T364" s="1" t="s">
        <v>646</v>
      </c>
      <c r="U364" s="186">
        <v>44714.406944444447</v>
      </c>
      <c r="V364" s="1" t="s">
        <v>41</v>
      </c>
      <c r="W364" s="1" t="s">
        <v>49</v>
      </c>
      <c r="X364" s="13" t="str">
        <f>IF(RIGHT(H364,2)&lt;&gt;"00",H364,"")</f>
        <v>7802.01</v>
      </c>
      <c r="Y364" s="2">
        <f ca="1">NETWORKDAYS(P364,$Y$1)</f>
        <v>196</v>
      </c>
      <c r="Z364" s="14">
        <v>1</v>
      </c>
      <c r="AA364" s="1" t="str">
        <f t="shared" ca="1" si="25"/>
        <v>VENCIDO</v>
      </c>
      <c r="AB364" s="1" t="str">
        <f t="shared" si="26"/>
        <v>C-14</v>
      </c>
      <c r="AC364" s="2" t="str">
        <f t="shared" si="29"/>
        <v xml:space="preserve"> CLEITON </v>
      </c>
      <c r="AD364" s="2">
        <f t="shared" si="27"/>
        <v>15</v>
      </c>
      <c r="AE364" s="2">
        <f t="shared" ca="1" si="28"/>
        <v>-272.26932719907199</v>
      </c>
      <c r="AF364" s="15"/>
    </row>
    <row r="365" spans="1:32" hidden="1">
      <c r="A365" s="1">
        <v>8640517</v>
      </c>
      <c r="B365" s="1" t="s">
        <v>653</v>
      </c>
      <c r="C365" t="s">
        <v>3580</v>
      </c>
      <c r="E365" s="2">
        <v>4890081400030</v>
      </c>
      <c r="F365" s="1" t="s">
        <v>647</v>
      </c>
      <c r="G365" s="1" t="s">
        <v>53</v>
      </c>
      <c r="H365" s="1" t="s">
        <v>779</v>
      </c>
      <c r="I365" s="1" t="s">
        <v>780</v>
      </c>
      <c r="J365" s="1" t="s">
        <v>46</v>
      </c>
      <c r="K365" t="s">
        <v>650</v>
      </c>
      <c r="M365" s="1" t="s">
        <v>58</v>
      </c>
      <c r="N365" s="1">
        <v>0</v>
      </c>
      <c r="O365" s="1" t="s">
        <v>105</v>
      </c>
      <c r="P365" s="186">
        <v>44713.406608796293</v>
      </c>
      <c r="R365" s="1">
        <v>4</v>
      </c>
      <c r="T365" s="1" t="s">
        <v>646</v>
      </c>
      <c r="U365" s="186">
        <v>44714.406608796293</v>
      </c>
      <c r="V365" s="1" t="s">
        <v>41</v>
      </c>
      <c r="W365" s="1" t="s">
        <v>49</v>
      </c>
      <c r="X365" s="13" t="str">
        <f>IF(RIGHT(H365,2)&lt;&gt;"00",H365,"")</f>
        <v>4890.08</v>
      </c>
      <c r="Y365" s="2">
        <f ca="1">NETWORKDAYS(P365,$Y$1)</f>
        <v>196</v>
      </c>
      <c r="Z365" s="14">
        <v>1</v>
      </c>
      <c r="AA365" s="1" t="str">
        <f t="shared" ca="1" si="25"/>
        <v>VENCIDO</v>
      </c>
      <c r="AB365" s="1" t="str">
        <f t="shared" si="26"/>
        <v>C-14</v>
      </c>
      <c r="AC365" s="2" t="str">
        <f t="shared" si="29"/>
        <v xml:space="preserve"> CLEITON </v>
      </c>
      <c r="AD365" s="2">
        <f t="shared" si="27"/>
        <v>15</v>
      </c>
      <c r="AE365" s="2">
        <f t="shared" ca="1" si="28"/>
        <v>-272.26966284722585</v>
      </c>
      <c r="AF365" s="15"/>
    </row>
    <row r="366" spans="1:32" hidden="1">
      <c r="A366" s="1">
        <v>8640516</v>
      </c>
      <c r="B366" s="1" t="s">
        <v>653</v>
      </c>
      <c r="C366" t="s">
        <v>3580</v>
      </c>
      <c r="E366" s="2">
        <v>4890071400030</v>
      </c>
      <c r="F366" s="1" t="s">
        <v>647</v>
      </c>
      <c r="G366" s="1" t="s">
        <v>53</v>
      </c>
      <c r="H366" s="1" t="s">
        <v>783</v>
      </c>
      <c r="I366" s="1" t="s">
        <v>784</v>
      </c>
      <c r="J366" s="1" t="s">
        <v>46</v>
      </c>
      <c r="K366" t="s">
        <v>650</v>
      </c>
      <c r="M366" s="1" t="s">
        <v>58</v>
      </c>
      <c r="N366" s="1">
        <v>0</v>
      </c>
      <c r="O366" s="1" t="s">
        <v>105</v>
      </c>
      <c r="P366" s="186">
        <v>44713.406608796293</v>
      </c>
      <c r="R366" s="1">
        <v>4</v>
      </c>
      <c r="T366" s="1" t="s">
        <v>646</v>
      </c>
      <c r="U366" s="186">
        <v>44714.406608796293</v>
      </c>
      <c r="V366" s="1" t="s">
        <v>41</v>
      </c>
      <c r="W366" s="1" t="s">
        <v>49</v>
      </c>
      <c r="X366" s="13" t="str">
        <f>IF(RIGHT(H366,2)&lt;&gt;"00",H366,"")</f>
        <v>4890.07</v>
      </c>
      <c r="Y366" s="2">
        <f ca="1">NETWORKDAYS(P366,$Y$1)</f>
        <v>196</v>
      </c>
      <c r="Z366" s="14">
        <v>1</v>
      </c>
      <c r="AA366" s="1" t="str">
        <f t="shared" ca="1" si="25"/>
        <v>VENCIDO</v>
      </c>
      <c r="AB366" s="1" t="str">
        <f t="shared" si="26"/>
        <v>C-14</v>
      </c>
      <c r="AC366" s="2" t="str">
        <f t="shared" si="29"/>
        <v xml:space="preserve"> CLEITON </v>
      </c>
      <c r="AD366" s="2">
        <f t="shared" si="27"/>
        <v>15</v>
      </c>
      <c r="AE366" s="2">
        <f t="shared" ca="1" si="28"/>
        <v>-272.26966284722585</v>
      </c>
      <c r="AF366" s="15"/>
    </row>
    <row r="367" spans="1:32" hidden="1">
      <c r="A367" s="1">
        <v>8640515</v>
      </c>
      <c r="B367" s="1" t="s">
        <v>653</v>
      </c>
      <c r="C367" t="s">
        <v>3580</v>
      </c>
      <c r="E367" s="2">
        <v>4890061400030</v>
      </c>
      <c r="F367" s="1" t="s">
        <v>647</v>
      </c>
      <c r="G367" s="1" t="s">
        <v>53</v>
      </c>
      <c r="H367" s="1" t="s">
        <v>785</v>
      </c>
      <c r="I367" s="1" t="s">
        <v>786</v>
      </c>
      <c r="J367" s="1" t="s">
        <v>46</v>
      </c>
      <c r="K367" t="s">
        <v>650</v>
      </c>
      <c r="M367" s="1" t="s">
        <v>58</v>
      </c>
      <c r="N367" s="1">
        <v>0</v>
      </c>
      <c r="O367" s="1" t="s">
        <v>105</v>
      </c>
      <c r="P367" s="186">
        <v>44713.406608796293</v>
      </c>
      <c r="R367" s="1">
        <v>4</v>
      </c>
      <c r="T367" s="1" t="s">
        <v>646</v>
      </c>
      <c r="U367" s="186">
        <v>44714.406608796293</v>
      </c>
      <c r="V367" s="1" t="s">
        <v>41</v>
      </c>
      <c r="W367" s="1" t="s">
        <v>49</v>
      </c>
      <c r="X367" s="13" t="str">
        <f>IF(RIGHT(H367,2)&lt;&gt;"00",H367,"")</f>
        <v>4890.06</v>
      </c>
      <c r="Y367" s="2">
        <f ca="1">NETWORKDAYS(P367,$Y$1)</f>
        <v>196</v>
      </c>
      <c r="Z367" s="14">
        <v>1</v>
      </c>
      <c r="AA367" s="1" t="str">
        <f t="shared" ca="1" si="25"/>
        <v>VENCIDO</v>
      </c>
      <c r="AB367" s="1" t="str">
        <f t="shared" si="26"/>
        <v>C-14</v>
      </c>
      <c r="AC367" s="2" t="str">
        <f t="shared" si="29"/>
        <v xml:space="preserve"> CLEITON </v>
      </c>
      <c r="AD367" s="2">
        <f t="shared" si="27"/>
        <v>15</v>
      </c>
      <c r="AE367" s="2">
        <f t="shared" ca="1" si="28"/>
        <v>-272.26966284722585</v>
      </c>
      <c r="AF367" s="15"/>
    </row>
    <row r="368" spans="1:32" hidden="1">
      <c r="A368" s="1">
        <v>8640514</v>
      </c>
      <c r="B368" s="1" t="s">
        <v>653</v>
      </c>
      <c r="C368" t="s">
        <v>3580</v>
      </c>
      <c r="E368" s="2">
        <v>4890051400030</v>
      </c>
      <c r="F368" s="1" t="s">
        <v>647</v>
      </c>
      <c r="G368" s="1" t="s">
        <v>53</v>
      </c>
      <c r="H368" s="1" t="s">
        <v>787</v>
      </c>
      <c r="I368" s="1" t="s">
        <v>788</v>
      </c>
      <c r="J368" s="1" t="s">
        <v>46</v>
      </c>
      <c r="K368" t="s">
        <v>650</v>
      </c>
      <c r="M368" s="1" t="s">
        <v>58</v>
      </c>
      <c r="N368" s="1">
        <v>0</v>
      </c>
      <c r="O368" s="1" t="s">
        <v>105</v>
      </c>
      <c r="P368" s="186">
        <v>44713.406597222223</v>
      </c>
      <c r="R368" s="1">
        <v>4</v>
      </c>
      <c r="T368" s="1" t="s">
        <v>646</v>
      </c>
      <c r="U368" s="186">
        <v>44714.406597222223</v>
      </c>
      <c r="V368" s="1" t="s">
        <v>41</v>
      </c>
      <c r="W368" s="1" t="s">
        <v>49</v>
      </c>
      <c r="X368" s="13" t="str">
        <f>IF(RIGHT(H368,2)&lt;&gt;"00",H368,"")</f>
        <v>4890.05</v>
      </c>
      <c r="Y368" s="2">
        <f ca="1">NETWORKDAYS(P368,$Y$1)</f>
        <v>196</v>
      </c>
      <c r="Z368" s="14">
        <v>1</v>
      </c>
      <c r="AA368" s="1" t="str">
        <f t="shared" ca="1" si="25"/>
        <v>VENCIDO</v>
      </c>
      <c r="AB368" s="1" t="str">
        <f t="shared" si="26"/>
        <v>C-14</v>
      </c>
      <c r="AC368" s="2" t="str">
        <f t="shared" si="29"/>
        <v xml:space="preserve"> CLEITON </v>
      </c>
      <c r="AD368" s="2">
        <f t="shared" si="27"/>
        <v>15</v>
      </c>
      <c r="AE368" s="2">
        <f t="shared" ca="1" si="28"/>
        <v>-272.26967442129535</v>
      </c>
      <c r="AF368" s="15"/>
    </row>
    <row r="369" spans="1:32" hidden="1">
      <c r="A369" s="1">
        <v>8640513</v>
      </c>
      <c r="B369" s="1" t="s">
        <v>653</v>
      </c>
      <c r="C369" t="s">
        <v>3580</v>
      </c>
      <c r="E369" s="2">
        <v>4890041400030</v>
      </c>
      <c r="F369" s="1" t="s">
        <v>647</v>
      </c>
      <c r="G369" s="1" t="s">
        <v>53</v>
      </c>
      <c r="H369" s="1" t="s">
        <v>791</v>
      </c>
      <c r="I369" s="1" t="s">
        <v>792</v>
      </c>
      <c r="J369" s="1" t="s">
        <v>46</v>
      </c>
      <c r="K369" t="s">
        <v>650</v>
      </c>
      <c r="M369" s="1" t="s">
        <v>58</v>
      </c>
      <c r="N369" s="1">
        <v>0</v>
      </c>
      <c r="O369" s="1" t="s">
        <v>105</v>
      </c>
      <c r="P369" s="186">
        <v>44713.406597222223</v>
      </c>
      <c r="R369" s="1">
        <v>4</v>
      </c>
      <c r="T369" s="1" t="s">
        <v>646</v>
      </c>
      <c r="U369" s="186">
        <v>44714.406597222223</v>
      </c>
      <c r="V369" s="1" t="s">
        <v>41</v>
      </c>
      <c r="W369" s="1" t="s">
        <v>49</v>
      </c>
      <c r="X369" s="13" t="str">
        <f>IF(RIGHT(H369,2)&lt;&gt;"00",H369,"")</f>
        <v>4890.04</v>
      </c>
      <c r="Y369" s="2">
        <f ca="1">NETWORKDAYS(P369,$Y$1)</f>
        <v>196</v>
      </c>
      <c r="Z369" s="14">
        <v>1</v>
      </c>
      <c r="AA369" s="1" t="str">
        <f t="shared" ca="1" si="25"/>
        <v>VENCIDO</v>
      </c>
      <c r="AB369" s="1" t="str">
        <f t="shared" si="26"/>
        <v>C-14</v>
      </c>
      <c r="AC369" s="2" t="str">
        <f t="shared" si="29"/>
        <v xml:space="preserve"> CLEITON </v>
      </c>
      <c r="AD369" s="2">
        <f t="shared" si="27"/>
        <v>15</v>
      </c>
      <c r="AE369" s="2">
        <f t="shared" ca="1" si="28"/>
        <v>-272.26967442129535</v>
      </c>
      <c r="AF369" s="15"/>
    </row>
    <row r="370" spans="1:32" hidden="1">
      <c r="A370" s="1">
        <v>8640512</v>
      </c>
      <c r="B370" s="1" t="s">
        <v>653</v>
      </c>
      <c r="C370" t="s">
        <v>3580</v>
      </c>
      <c r="E370" s="2">
        <v>4890031400030</v>
      </c>
      <c r="F370" s="1" t="s">
        <v>647</v>
      </c>
      <c r="G370" s="1" t="s">
        <v>53</v>
      </c>
      <c r="H370" s="1" t="s">
        <v>793</v>
      </c>
      <c r="I370" s="1" t="s">
        <v>794</v>
      </c>
      <c r="J370" s="1" t="s">
        <v>46</v>
      </c>
      <c r="K370" t="s">
        <v>650</v>
      </c>
      <c r="M370" s="1" t="s">
        <v>58</v>
      </c>
      <c r="N370" s="1">
        <v>0</v>
      </c>
      <c r="O370" s="1" t="s">
        <v>105</v>
      </c>
      <c r="P370" s="186">
        <v>44713.406597222223</v>
      </c>
      <c r="R370" s="1">
        <v>4</v>
      </c>
      <c r="T370" s="1" t="s">
        <v>646</v>
      </c>
      <c r="U370" s="186">
        <v>44714.406597222223</v>
      </c>
      <c r="V370" s="1" t="s">
        <v>41</v>
      </c>
      <c r="W370" s="1" t="s">
        <v>49</v>
      </c>
      <c r="X370" s="13" t="str">
        <f>IF(RIGHT(H370,2)&lt;&gt;"00",H370,"")</f>
        <v>4890.03</v>
      </c>
      <c r="Y370" s="2">
        <f ca="1">NETWORKDAYS(P370,$Y$1)</f>
        <v>196</v>
      </c>
      <c r="Z370" s="14">
        <v>1</v>
      </c>
      <c r="AA370" s="1" t="str">
        <f t="shared" ca="1" si="25"/>
        <v>VENCIDO</v>
      </c>
      <c r="AB370" s="1" t="str">
        <f t="shared" si="26"/>
        <v>C-14</v>
      </c>
      <c r="AC370" s="2" t="str">
        <f t="shared" si="29"/>
        <v xml:space="preserve"> CLEITON </v>
      </c>
      <c r="AD370" s="2">
        <f t="shared" si="27"/>
        <v>15</v>
      </c>
      <c r="AE370" s="2">
        <f t="shared" ca="1" si="28"/>
        <v>-272.26967442129535</v>
      </c>
      <c r="AF370" s="15"/>
    </row>
    <row r="371" spans="1:32" hidden="1">
      <c r="A371" s="1">
        <v>8640367</v>
      </c>
      <c r="B371" s="1" t="s">
        <v>653</v>
      </c>
      <c r="C371" t="s">
        <v>3580</v>
      </c>
      <c r="E371" s="2">
        <v>3237011400030</v>
      </c>
      <c r="F371" s="1" t="s">
        <v>647</v>
      </c>
      <c r="G371" s="1" t="s">
        <v>53</v>
      </c>
      <c r="H371" s="1" t="s">
        <v>795</v>
      </c>
      <c r="I371" s="1" t="s">
        <v>796</v>
      </c>
      <c r="J371" s="1" t="s">
        <v>46</v>
      </c>
      <c r="K371" t="s">
        <v>650</v>
      </c>
      <c r="M371" s="1" t="s">
        <v>58</v>
      </c>
      <c r="N371" s="1">
        <v>0</v>
      </c>
      <c r="O371" s="1" t="s">
        <v>105</v>
      </c>
      <c r="P371" s="186">
        <v>44713.406099537038</v>
      </c>
      <c r="R371" s="1">
        <v>4</v>
      </c>
      <c r="T371" s="1" t="s">
        <v>646</v>
      </c>
      <c r="U371" s="186">
        <v>44714.406099537038</v>
      </c>
      <c r="V371" s="1" t="s">
        <v>41</v>
      </c>
      <c r="W371" s="1" t="s">
        <v>49</v>
      </c>
      <c r="X371" s="13" t="str">
        <f>IF(RIGHT(H371,2)&lt;&gt;"00",H371,"")</f>
        <v>3237.01</v>
      </c>
      <c r="Y371" s="2">
        <f ca="1">NETWORKDAYS(P371,$Y$1)</f>
        <v>196</v>
      </c>
      <c r="Z371" s="14">
        <v>1</v>
      </c>
      <c r="AA371" s="1" t="str">
        <f t="shared" ca="1" si="25"/>
        <v>VENCIDO</v>
      </c>
      <c r="AB371" s="1" t="str">
        <f t="shared" si="26"/>
        <v>C-14</v>
      </c>
      <c r="AC371" s="2" t="str">
        <f t="shared" si="29"/>
        <v xml:space="preserve"> CLEITON </v>
      </c>
      <c r="AD371" s="2">
        <f t="shared" si="27"/>
        <v>15</v>
      </c>
      <c r="AE371" s="2">
        <f t="shared" ca="1" si="28"/>
        <v>-272.27017210648046</v>
      </c>
      <c r="AF371" s="15"/>
    </row>
    <row r="372" spans="1:32" hidden="1">
      <c r="A372" s="1">
        <v>8640366</v>
      </c>
      <c r="B372" s="1" t="s">
        <v>653</v>
      </c>
      <c r="C372" t="s">
        <v>3580</v>
      </c>
      <c r="E372" s="2">
        <v>3234171400030</v>
      </c>
      <c r="F372" s="1" t="s">
        <v>647</v>
      </c>
      <c r="G372" s="1" t="s">
        <v>53</v>
      </c>
      <c r="H372" s="1" t="s">
        <v>799</v>
      </c>
      <c r="I372" s="1" t="s">
        <v>800</v>
      </c>
      <c r="J372" s="1" t="s">
        <v>46</v>
      </c>
      <c r="K372" t="s">
        <v>650</v>
      </c>
      <c r="M372" s="1" t="s">
        <v>58</v>
      </c>
      <c r="N372" s="1">
        <v>0</v>
      </c>
      <c r="O372" s="1" t="s">
        <v>105</v>
      </c>
      <c r="P372" s="186">
        <v>44713.406099537038</v>
      </c>
      <c r="R372" s="1">
        <v>4</v>
      </c>
      <c r="T372" s="1" t="s">
        <v>646</v>
      </c>
      <c r="U372" s="186">
        <v>44714.406099537038</v>
      </c>
      <c r="V372" s="1" t="s">
        <v>41</v>
      </c>
      <c r="W372" s="1" t="s">
        <v>49</v>
      </c>
      <c r="X372" s="13" t="str">
        <f>IF(RIGHT(H372,2)&lt;&gt;"00",H372,"")</f>
        <v>3234.17</v>
      </c>
      <c r="Y372" s="2">
        <f ca="1">NETWORKDAYS(P372,$Y$1)</f>
        <v>196</v>
      </c>
      <c r="Z372" s="14">
        <v>1</v>
      </c>
      <c r="AA372" s="1" t="str">
        <f t="shared" ca="1" si="25"/>
        <v>VENCIDO</v>
      </c>
      <c r="AB372" s="1" t="str">
        <f t="shared" si="26"/>
        <v>C-14</v>
      </c>
      <c r="AC372" s="2" t="str">
        <f t="shared" si="29"/>
        <v xml:space="preserve"> CLEITON </v>
      </c>
      <c r="AD372" s="2">
        <f t="shared" si="27"/>
        <v>15</v>
      </c>
      <c r="AE372" s="2">
        <f t="shared" ca="1" si="28"/>
        <v>-272.27017210648046</v>
      </c>
      <c r="AF372" s="15"/>
    </row>
    <row r="373" spans="1:32" hidden="1">
      <c r="A373" s="1">
        <v>8640365</v>
      </c>
      <c r="B373" s="1" t="s">
        <v>653</v>
      </c>
      <c r="C373" t="s">
        <v>3580</v>
      </c>
      <c r="E373" s="2">
        <v>3234161400030</v>
      </c>
      <c r="F373" s="1" t="s">
        <v>647</v>
      </c>
      <c r="G373" s="1" t="s">
        <v>53</v>
      </c>
      <c r="H373" s="1" t="s">
        <v>499</v>
      </c>
      <c r="I373" s="1" t="s">
        <v>500</v>
      </c>
      <c r="J373" s="1" t="s">
        <v>46</v>
      </c>
      <c r="K373" t="s">
        <v>650</v>
      </c>
      <c r="M373" s="1" t="s">
        <v>58</v>
      </c>
      <c r="N373" s="1">
        <v>0</v>
      </c>
      <c r="O373" s="1" t="s">
        <v>105</v>
      </c>
      <c r="P373" s="186">
        <v>44713.406099537038</v>
      </c>
      <c r="R373" s="1">
        <v>4</v>
      </c>
      <c r="T373" s="1" t="s">
        <v>646</v>
      </c>
      <c r="U373" s="186">
        <v>44714.406099537038</v>
      </c>
      <c r="V373" s="1" t="s">
        <v>41</v>
      </c>
      <c r="W373" s="1" t="s">
        <v>49</v>
      </c>
      <c r="X373" s="13" t="str">
        <f>IF(RIGHT(H373,2)&lt;&gt;"00",H373,"")</f>
        <v>3234.16</v>
      </c>
      <c r="Y373" s="2">
        <f ca="1">NETWORKDAYS(P373,$Y$1)</f>
        <v>196</v>
      </c>
      <c r="Z373" s="14">
        <v>1</v>
      </c>
      <c r="AA373" s="1" t="str">
        <f t="shared" ca="1" si="25"/>
        <v>VENCIDO</v>
      </c>
      <c r="AB373" s="1" t="str">
        <f t="shared" si="26"/>
        <v>C-14</v>
      </c>
      <c r="AC373" s="2" t="str">
        <f t="shared" si="29"/>
        <v xml:space="preserve"> CLEITON </v>
      </c>
      <c r="AD373" s="2">
        <f t="shared" si="27"/>
        <v>15</v>
      </c>
      <c r="AE373" s="2">
        <f t="shared" ca="1" si="28"/>
        <v>-272.27017210648046</v>
      </c>
      <c r="AF373" s="15"/>
    </row>
    <row r="374" spans="1:32" hidden="1">
      <c r="A374" s="1">
        <v>8640364</v>
      </c>
      <c r="B374" s="1" t="s">
        <v>653</v>
      </c>
      <c r="C374" t="s">
        <v>3580</v>
      </c>
      <c r="E374" s="2">
        <v>3234151400030</v>
      </c>
      <c r="F374" s="1" t="s">
        <v>647</v>
      </c>
      <c r="G374" s="1" t="s">
        <v>53</v>
      </c>
      <c r="H374" s="1" t="s">
        <v>629</v>
      </c>
      <c r="I374" s="1" t="s">
        <v>630</v>
      </c>
      <c r="J374" s="1" t="s">
        <v>46</v>
      </c>
      <c r="K374" t="s">
        <v>650</v>
      </c>
      <c r="M374" s="1" t="s">
        <v>58</v>
      </c>
      <c r="N374" s="1">
        <v>0</v>
      </c>
      <c r="O374" s="1" t="s">
        <v>105</v>
      </c>
      <c r="P374" s="186">
        <v>44713.406099537038</v>
      </c>
      <c r="R374" s="1">
        <v>4</v>
      </c>
      <c r="T374" s="1" t="s">
        <v>646</v>
      </c>
      <c r="U374" s="186">
        <v>44714.406099537038</v>
      </c>
      <c r="V374" s="1" t="s">
        <v>41</v>
      </c>
      <c r="W374" s="1" t="s">
        <v>49</v>
      </c>
      <c r="X374" s="13" t="str">
        <f>IF(RIGHT(H374,2)&lt;&gt;"00",H374,"")</f>
        <v>3234.15</v>
      </c>
      <c r="Y374" s="2">
        <f ca="1">NETWORKDAYS(P374,$Y$1)</f>
        <v>196</v>
      </c>
      <c r="Z374" s="14">
        <v>1</v>
      </c>
      <c r="AA374" s="1" t="str">
        <f t="shared" ca="1" si="25"/>
        <v>VENCIDO</v>
      </c>
      <c r="AB374" s="1" t="str">
        <f t="shared" si="26"/>
        <v>C-14</v>
      </c>
      <c r="AC374" s="2" t="str">
        <f t="shared" si="29"/>
        <v xml:space="preserve"> CLEITON </v>
      </c>
      <c r="AD374" s="2">
        <f t="shared" si="27"/>
        <v>15</v>
      </c>
      <c r="AE374" s="2">
        <f t="shared" ca="1" si="28"/>
        <v>-272.27017210648046</v>
      </c>
      <c r="AF374" s="15"/>
    </row>
    <row r="375" spans="1:32" hidden="1">
      <c r="A375" s="1">
        <v>8640315</v>
      </c>
      <c r="B375" s="1" t="s">
        <v>653</v>
      </c>
      <c r="C375" t="s">
        <v>3580</v>
      </c>
      <c r="E375" s="2">
        <v>2889031400030</v>
      </c>
      <c r="F375" s="1" t="s">
        <v>647</v>
      </c>
      <c r="G375" s="1" t="s">
        <v>53</v>
      </c>
      <c r="H375" s="1" t="s">
        <v>801</v>
      </c>
      <c r="I375" s="1" t="s">
        <v>802</v>
      </c>
      <c r="J375" s="1" t="s">
        <v>46</v>
      </c>
      <c r="K375" t="s">
        <v>650</v>
      </c>
      <c r="M375" s="1" t="s">
        <v>58</v>
      </c>
      <c r="N375" s="1">
        <v>0</v>
      </c>
      <c r="O375" s="1" t="s">
        <v>105</v>
      </c>
      <c r="P375" s="186">
        <v>44713.406030092592</v>
      </c>
      <c r="R375" s="1">
        <v>4</v>
      </c>
      <c r="T375" s="1" t="s">
        <v>646</v>
      </c>
      <c r="U375" s="186">
        <v>44714.406041666669</v>
      </c>
      <c r="V375" s="1" t="s">
        <v>41</v>
      </c>
      <c r="W375" s="1" t="s">
        <v>49</v>
      </c>
      <c r="X375" s="13" t="str">
        <f>IF(RIGHT(H375,2)&lt;&gt;"00",H375,"")</f>
        <v>2889.03</v>
      </c>
      <c r="Y375" s="2">
        <f ca="1">NETWORKDAYS(P375,$Y$1)</f>
        <v>196</v>
      </c>
      <c r="Z375" s="14">
        <v>1</v>
      </c>
      <c r="AA375" s="1" t="str">
        <f t="shared" ca="1" si="25"/>
        <v>VENCIDO</v>
      </c>
      <c r="AB375" s="1" t="str">
        <f t="shared" si="26"/>
        <v>C-14</v>
      </c>
      <c r="AC375" s="2" t="str">
        <f t="shared" si="29"/>
        <v xml:space="preserve"> CLEITON </v>
      </c>
      <c r="AD375" s="2">
        <f t="shared" si="27"/>
        <v>15</v>
      </c>
      <c r="AE375" s="2">
        <f t="shared" ca="1" si="28"/>
        <v>-272.27022997684981</v>
      </c>
      <c r="AF375" s="15"/>
    </row>
    <row r="376" spans="1:32" hidden="1">
      <c r="A376" s="1">
        <v>8640314</v>
      </c>
      <c r="B376" s="1" t="s">
        <v>653</v>
      </c>
      <c r="C376" t="s">
        <v>3580</v>
      </c>
      <c r="E376" s="2">
        <v>2889011400030</v>
      </c>
      <c r="F376" s="1" t="s">
        <v>647</v>
      </c>
      <c r="G376" s="1" t="s">
        <v>53</v>
      </c>
      <c r="H376" s="1" t="s">
        <v>805</v>
      </c>
      <c r="I376" s="1" t="s">
        <v>806</v>
      </c>
      <c r="J376" s="1" t="s">
        <v>46</v>
      </c>
      <c r="K376" t="s">
        <v>650</v>
      </c>
      <c r="M376" s="1" t="s">
        <v>58</v>
      </c>
      <c r="N376" s="1">
        <v>0</v>
      </c>
      <c r="O376" s="1" t="s">
        <v>105</v>
      </c>
      <c r="P376" s="186">
        <v>44713.406030092592</v>
      </c>
      <c r="R376" s="1">
        <v>4</v>
      </c>
      <c r="T376" s="1" t="s">
        <v>646</v>
      </c>
      <c r="U376" s="186">
        <v>44714.406030092592</v>
      </c>
      <c r="V376" s="1" t="s">
        <v>41</v>
      </c>
      <c r="W376" s="1" t="s">
        <v>49</v>
      </c>
      <c r="X376" s="13" t="str">
        <f>IF(RIGHT(H376,2)&lt;&gt;"00",H376,"")</f>
        <v>2889.01</v>
      </c>
      <c r="Y376" s="2">
        <f ca="1">NETWORKDAYS(P376,$Y$1)</f>
        <v>196</v>
      </c>
      <c r="Z376" s="14">
        <v>1</v>
      </c>
      <c r="AA376" s="1" t="str">
        <f t="shared" ca="1" si="25"/>
        <v>VENCIDO</v>
      </c>
      <c r="AB376" s="1" t="str">
        <f t="shared" si="26"/>
        <v>C-14</v>
      </c>
      <c r="AC376" s="2" t="str">
        <f t="shared" si="29"/>
        <v xml:space="preserve"> CLEITON </v>
      </c>
      <c r="AD376" s="2">
        <f t="shared" si="27"/>
        <v>15</v>
      </c>
      <c r="AE376" s="2">
        <f t="shared" ca="1" si="28"/>
        <v>-272.27024155092658</v>
      </c>
      <c r="AF376" s="15"/>
    </row>
    <row r="377" spans="1:32" hidden="1">
      <c r="A377" s="1">
        <v>8640259</v>
      </c>
      <c r="B377" s="1" t="s">
        <v>653</v>
      </c>
      <c r="C377" t="s">
        <v>3580</v>
      </c>
      <c r="E377" s="2">
        <v>2365131400030</v>
      </c>
      <c r="F377" s="1" t="s">
        <v>647</v>
      </c>
      <c r="G377" s="1" t="s">
        <v>53</v>
      </c>
      <c r="H377" s="1" t="s">
        <v>807</v>
      </c>
      <c r="I377" s="1" t="s">
        <v>808</v>
      </c>
      <c r="J377" s="1" t="s">
        <v>46</v>
      </c>
      <c r="K377" t="s">
        <v>650</v>
      </c>
      <c r="M377" s="1" t="s">
        <v>58</v>
      </c>
      <c r="N377" s="1">
        <v>0</v>
      </c>
      <c r="O377" s="1" t="s">
        <v>105</v>
      </c>
      <c r="P377" s="186">
        <v>44713.405856481484</v>
      </c>
      <c r="R377" s="1">
        <v>4</v>
      </c>
      <c r="T377" s="1" t="s">
        <v>646</v>
      </c>
      <c r="U377" s="186">
        <v>44714.405856481484</v>
      </c>
      <c r="V377" s="1" t="s">
        <v>41</v>
      </c>
      <c r="W377" s="1" t="s">
        <v>49</v>
      </c>
      <c r="X377" s="13" t="str">
        <f>IF(RIGHT(H377,2)&lt;&gt;"00",H377,"")</f>
        <v>2365.13</v>
      </c>
      <c r="Y377" s="2">
        <f ca="1">NETWORKDAYS(P377,$Y$1)</f>
        <v>196</v>
      </c>
      <c r="Z377" s="14">
        <v>1</v>
      </c>
      <c r="AA377" s="1" t="str">
        <f t="shared" ca="1" si="25"/>
        <v>VENCIDO</v>
      </c>
      <c r="AB377" s="1" t="str">
        <f t="shared" si="26"/>
        <v>C-14</v>
      </c>
      <c r="AC377" s="2" t="str">
        <f t="shared" si="29"/>
        <v xml:space="preserve"> CLEITON </v>
      </c>
      <c r="AD377" s="2">
        <f t="shared" si="27"/>
        <v>15</v>
      </c>
      <c r="AE377" s="2">
        <f t="shared" ca="1" si="28"/>
        <v>-272.27041516203462</v>
      </c>
      <c r="AF377" s="15"/>
    </row>
    <row r="378" spans="1:32" hidden="1">
      <c r="A378" s="1">
        <v>8640213</v>
      </c>
      <c r="B378" s="1" t="s">
        <v>653</v>
      </c>
      <c r="C378" t="s">
        <v>3580</v>
      </c>
      <c r="E378" s="2">
        <v>1833041400030</v>
      </c>
      <c r="F378" s="1" t="s">
        <v>647</v>
      </c>
      <c r="G378" s="1" t="s">
        <v>53</v>
      </c>
      <c r="H378" s="1" t="s">
        <v>811</v>
      </c>
      <c r="I378" s="1" t="s">
        <v>812</v>
      </c>
      <c r="J378" s="1" t="s">
        <v>46</v>
      </c>
      <c r="K378" t="s">
        <v>650</v>
      </c>
      <c r="M378" s="1" t="s">
        <v>58</v>
      </c>
      <c r="N378" s="1">
        <v>0</v>
      </c>
      <c r="O378" s="1" t="s">
        <v>105</v>
      </c>
      <c r="P378" s="186">
        <v>44713.405787037038</v>
      </c>
      <c r="R378" s="1">
        <v>4</v>
      </c>
      <c r="T378" s="1" t="s">
        <v>646</v>
      </c>
      <c r="U378" s="186">
        <v>44714.405787037038</v>
      </c>
      <c r="V378" s="1" t="s">
        <v>41</v>
      </c>
      <c r="W378" s="1" t="s">
        <v>49</v>
      </c>
      <c r="X378" s="13" t="str">
        <f>IF(RIGHT(H378,2)&lt;&gt;"00",H378,"")</f>
        <v>1833.04</v>
      </c>
      <c r="Y378" s="2">
        <f ca="1">NETWORKDAYS(P378,$Y$1)</f>
        <v>196</v>
      </c>
      <c r="Z378" s="14">
        <v>1</v>
      </c>
      <c r="AA378" s="1" t="str">
        <f t="shared" ca="1" si="25"/>
        <v>VENCIDO</v>
      </c>
      <c r="AB378" s="1" t="str">
        <f t="shared" si="26"/>
        <v>C-14</v>
      </c>
      <c r="AC378" s="2" t="str">
        <f t="shared" si="29"/>
        <v xml:space="preserve"> CLEITON </v>
      </c>
      <c r="AD378" s="2">
        <f t="shared" si="27"/>
        <v>15</v>
      </c>
      <c r="AE378" s="2">
        <f t="shared" ca="1" si="28"/>
        <v>-272.27048460648075</v>
      </c>
      <c r="AF378" s="15"/>
    </row>
    <row r="379" spans="1:32" hidden="1">
      <c r="A379" s="1">
        <v>8640115</v>
      </c>
      <c r="B379" s="1" t="s">
        <v>653</v>
      </c>
      <c r="C379" t="s">
        <v>3580</v>
      </c>
      <c r="E379" s="2">
        <v>1120011400030</v>
      </c>
      <c r="F379" s="1" t="s">
        <v>647</v>
      </c>
      <c r="G379" s="1" t="s">
        <v>53</v>
      </c>
      <c r="H379" s="1" t="s">
        <v>648</v>
      </c>
      <c r="I379" s="1" t="s">
        <v>649</v>
      </c>
      <c r="J379" s="1" t="s">
        <v>164</v>
      </c>
      <c r="K379" t="s">
        <v>650</v>
      </c>
      <c r="M379" s="1" t="s">
        <v>58</v>
      </c>
      <c r="N379" s="1">
        <v>0</v>
      </c>
      <c r="O379" s="1" t="s">
        <v>105</v>
      </c>
      <c r="P379" s="186">
        <v>44713.405532407407</v>
      </c>
      <c r="R379" s="1">
        <v>4</v>
      </c>
      <c r="T379" s="1" t="s">
        <v>646</v>
      </c>
      <c r="U379" s="186">
        <v>44714.405532407407</v>
      </c>
      <c r="V379" s="1" t="s">
        <v>41</v>
      </c>
      <c r="W379" s="1" t="s">
        <v>49</v>
      </c>
      <c r="X379" s="13" t="str">
        <f>IF(RIGHT(H379,2)&lt;&gt;"00",H379,"")</f>
        <v>1120.01</v>
      </c>
      <c r="Y379" s="2">
        <f ca="1">NETWORKDAYS(P379,$Y$1)</f>
        <v>196</v>
      </c>
      <c r="Z379" s="14">
        <v>1</v>
      </c>
      <c r="AA379" s="1" t="str">
        <f t="shared" ca="1" si="25"/>
        <v>VENCIDO</v>
      </c>
      <c r="AB379" s="1" t="str">
        <f t="shared" si="26"/>
        <v>C-14</v>
      </c>
      <c r="AC379" s="2" t="str">
        <f t="shared" si="29"/>
        <v xml:space="preserve"> ROSEMERE </v>
      </c>
      <c r="AD379" s="2">
        <f t="shared" si="27"/>
        <v>15</v>
      </c>
      <c r="AE379" s="2">
        <f t="shared" ca="1" si="28"/>
        <v>-272.27073923611169</v>
      </c>
      <c r="AF379" s="15"/>
    </row>
    <row r="380" spans="1:32" hidden="1">
      <c r="A380" s="1">
        <v>8640085</v>
      </c>
      <c r="B380" s="1" t="s">
        <v>653</v>
      </c>
      <c r="C380" t="s">
        <v>3580</v>
      </c>
      <c r="E380" s="2">
        <v>821071400030</v>
      </c>
      <c r="F380" s="1" t="s">
        <v>647</v>
      </c>
      <c r="G380" s="1" t="s">
        <v>53</v>
      </c>
      <c r="H380" s="1" t="s">
        <v>817</v>
      </c>
      <c r="I380" s="1" t="s">
        <v>818</v>
      </c>
      <c r="J380" s="1" t="s">
        <v>46</v>
      </c>
      <c r="K380" t="s">
        <v>650</v>
      </c>
      <c r="M380" s="1" t="s">
        <v>58</v>
      </c>
      <c r="N380" s="1">
        <v>0</v>
      </c>
      <c r="O380" s="1" t="s">
        <v>105</v>
      </c>
      <c r="P380" s="186">
        <v>44713.405486111114</v>
      </c>
      <c r="R380" s="1">
        <v>4</v>
      </c>
      <c r="T380" s="1" t="s">
        <v>646</v>
      </c>
      <c r="U380" s="186">
        <v>44714.405486111114</v>
      </c>
      <c r="V380" s="1" t="s">
        <v>41</v>
      </c>
      <c r="W380" s="1" t="s">
        <v>49</v>
      </c>
      <c r="X380" s="13" t="str">
        <f>IF(RIGHT(H380,2)&lt;&gt;"00",H380,"")</f>
        <v>0821.07</v>
      </c>
      <c r="Y380" s="2">
        <f ca="1">NETWORKDAYS(P380,$Y$1)</f>
        <v>196</v>
      </c>
      <c r="Z380" s="14">
        <v>1</v>
      </c>
      <c r="AA380" s="1" t="str">
        <f t="shared" ca="1" si="25"/>
        <v>VENCIDO</v>
      </c>
      <c r="AB380" s="1" t="str">
        <f t="shared" si="26"/>
        <v>C-14</v>
      </c>
      <c r="AC380" s="2" t="str">
        <f t="shared" si="29"/>
        <v xml:space="preserve"> CLEITON </v>
      </c>
      <c r="AD380" s="2">
        <f t="shared" si="27"/>
        <v>15</v>
      </c>
      <c r="AE380" s="2">
        <f t="shared" ca="1" si="28"/>
        <v>-272.27078553240426</v>
      </c>
      <c r="AF380" s="15"/>
    </row>
    <row r="381" spans="1:32" hidden="1">
      <c r="A381" s="1">
        <v>8640000</v>
      </c>
      <c r="B381" s="1" t="s">
        <v>653</v>
      </c>
      <c r="C381" t="s">
        <v>3580</v>
      </c>
      <c r="E381" s="2">
        <v>325091400030</v>
      </c>
      <c r="F381" s="1" t="s">
        <v>647</v>
      </c>
      <c r="G381" s="1" t="s">
        <v>53</v>
      </c>
      <c r="H381" s="1" t="s">
        <v>821</v>
      </c>
      <c r="I381" s="1" t="s">
        <v>822</v>
      </c>
      <c r="J381" s="1" t="s">
        <v>46</v>
      </c>
      <c r="K381" t="s">
        <v>650</v>
      </c>
      <c r="M381" s="1" t="s">
        <v>58</v>
      </c>
      <c r="N381" s="1">
        <v>0</v>
      </c>
      <c r="O381" s="1" t="s">
        <v>105</v>
      </c>
      <c r="P381" s="186">
        <v>44713.405138888891</v>
      </c>
      <c r="R381" s="1">
        <v>4</v>
      </c>
      <c r="T381" s="1" t="s">
        <v>646</v>
      </c>
      <c r="U381" s="186">
        <v>44714.405138888891</v>
      </c>
      <c r="V381" s="1" t="s">
        <v>41</v>
      </c>
      <c r="W381" s="1" t="s">
        <v>49</v>
      </c>
      <c r="X381" s="13" t="str">
        <f>IF(RIGHT(H381,2)&lt;&gt;"00",H381,"")</f>
        <v>0325.09</v>
      </c>
      <c r="Y381" s="2">
        <f ca="1">NETWORKDAYS(P381,$Y$1)</f>
        <v>196</v>
      </c>
      <c r="Z381" s="14">
        <v>1</v>
      </c>
      <c r="AA381" s="1" t="str">
        <f t="shared" ca="1" si="25"/>
        <v>VENCIDO</v>
      </c>
      <c r="AB381" s="1" t="str">
        <f t="shared" si="26"/>
        <v>C-14</v>
      </c>
      <c r="AC381" s="2" t="str">
        <f t="shared" si="29"/>
        <v xml:space="preserve"> CLEITON </v>
      </c>
      <c r="AD381" s="2">
        <f t="shared" si="27"/>
        <v>15</v>
      </c>
      <c r="AE381" s="2">
        <f t="shared" ca="1" si="28"/>
        <v>-272.27113275462762</v>
      </c>
      <c r="AF381" s="15"/>
    </row>
    <row r="382" spans="1:32" hidden="1">
      <c r="A382" s="1">
        <v>8639902</v>
      </c>
      <c r="B382" s="1" t="s">
        <v>653</v>
      </c>
      <c r="C382" t="s">
        <v>3580</v>
      </c>
      <c r="E382" s="2">
        <v>69161400030</v>
      </c>
      <c r="F382" s="1" t="s">
        <v>647</v>
      </c>
      <c r="G382" s="1" t="s">
        <v>53</v>
      </c>
      <c r="H382" s="1" t="s">
        <v>234</v>
      </c>
      <c r="I382" s="1" t="s">
        <v>235</v>
      </c>
      <c r="J382" s="1" t="s">
        <v>33</v>
      </c>
      <c r="K382" t="s">
        <v>650</v>
      </c>
      <c r="M382" s="1" t="s">
        <v>58</v>
      </c>
      <c r="N382" s="1">
        <v>0</v>
      </c>
      <c r="O382" s="1" t="s">
        <v>105</v>
      </c>
      <c r="P382" s="186">
        <v>44713.404826388891</v>
      </c>
      <c r="R382" s="1">
        <v>4</v>
      </c>
      <c r="T382" s="1" t="s">
        <v>646</v>
      </c>
      <c r="U382" s="186">
        <v>44714.404826388891</v>
      </c>
      <c r="V382" s="1" t="s">
        <v>41</v>
      </c>
      <c r="W382" s="1" t="s">
        <v>42</v>
      </c>
      <c r="X382" s="13" t="str">
        <f>IF(RIGHT(H382,2)&lt;&gt;"00",H382,"")</f>
        <v>0069.16</v>
      </c>
      <c r="Y382" s="2">
        <f ca="1">NETWORKDAYS(P382,$Y$1)</f>
        <v>196</v>
      </c>
      <c r="Z382" s="14">
        <v>1</v>
      </c>
      <c r="AA382" s="1" t="str">
        <f t="shared" ca="1" si="25"/>
        <v>VENCIDO</v>
      </c>
      <c r="AB382" s="1" t="str">
        <f t="shared" si="26"/>
        <v>C-14</v>
      </c>
      <c r="AC382" s="2" t="str">
        <f t="shared" si="29"/>
        <v xml:space="preserve"> ROSEMERE </v>
      </c>
      <c r="AD382" s="2">
        <f t="shared" si="27"/>
        <v>15</v>
      </c>
      <c r="AE382" s="2">
        <f t="shared" ca="1" si="28"/>
        <v>-272.27144525462791</v>
      </c>
      <c r="AF382" s="15"/>
    </row>
    <row r="383" spans="1:32" hidden="1">
      <c r="A383" s="1">
        <v>8639870</v>
      </c>
      <c r="B383" s="1" t="s">
        <v>653</v>
      </c>
      <c r="C383" t="s">
        <v>3580</v>
      </c>
      <c r="E383" s="2">
        <v>7651400030</v>
      </c>
      <c r="F383" s="1" t="s">
        <v>647</v>
      </c>
      <c r="G383" s="1" t="s">
        <v>53</v>
      </c>
      <c r="H383" s="1" t="s">
        <v>827</v>
      </c>
      <c r="I383" s="1" t="s">
        <v>828</v>
      </c>
      <c r="J383" s="1" t="s">
        <v>46</v>
      </c>
      <c r="K383" t="s">
        <v>650</v>
      </c>
      <c r="M383" s="1" t="s">
        <v>58</v>
      </c>
      <c r="N383" s="1">
        <v>0</v>
      </c>
      <c r="O383" s="1" t="s">
        <v>105</v>
      </c>
      <c r="P383" s="186">
        <v>44713.404780092591</v>
      </c>
      <c r="R383" s="1">
        <v>4</v>
      </c>
      <c r="T383" s="1" t="s">
        <v>646</v>
      </c>
      <c r="U383" s="186">
        <v>44714.404780092591</v>
      </c>
      <c r="V383" s="1" t="s">
        <v>41</v>
      </c>
      <c r="W383" s="1" t="s">
        <v>49</v>
      </c>
      <c r="X383" s="13" t="str">
        <f>IF(RIGHT(H383,2)&lt;&gt;"00",H383,"")</f>
        <v>0007.65</v>
      </c>
      <c r="Y383" s="2">
        <f ca="1">NETWORKDAYS(P383,$Y$1)</f>
        <v>196</v>
      </c>
      <c r="Z383" s="14">
        <v>1</v>
      </c>
      <c r="AA383" s="1" t="str">
        <f t="shared" ca="1" si="25"/>
        <v>VENCIDO</v>
      </c>
      <c r="AB383" s="1" t="str">
        <f t="shared" si="26"/>
        <v>C-14</v>
      </c>
      <c r="AC383" s="2" t="str">
        <f t="shared" si="29"/>
        <v xml:space="preserve"> CLEITON </v>
      </c>
      <c r="AD383" s="2">
        <f t="shared" si="27"/>
        <v>15</v>
      </c>
      <c r="AE383" s="2">
        <f t="shared" ca="1" si="28"/>
        <v>-272.27149155092775</v>
      </c>
      <c r="AF383" s="15"/>
    </row>
    <row r="384" spans="1:32" hidden="1">
      <c r="A384" s="1">
        <v>8639844</v>
      </c>
      <c r="B384" s="1" t="s">
        <v>653</v>
      </c>
      <c r="C384" t="s">
        <v>3580</v>
      </c>
      <c r="E384" s="2">
        <v>8573001400030</v>
      </c>
      <c r="F384" s="1" t="s">
        <v>647</v>
      </c>
      <c r="G384" s="1" t="s">
        <v>53</v>
      </c>
      <c r="H384" s="1" t="s">
        <v>657</v>
      </c>
      <c r="I384" s="1" t="s">
        <v>658</v>
      </c>
      <c r="J384" s="1" t="s">
        <v>33</v>
      </c>
      <c r="K384" t="s">
        <v>650</v>
      </c>
      <c r="M384" s="1" t="s">
        <v>58</v>
      </c>
      <c r="N384" s="1">
        <v>0</v>
      </c>
      <c r="O384" s="1" t="s">
        <v>105</v>
      </c>
      <c r="P384" s="186">
        <v>44713.40457175926</v>
      </c>
      <c r="R384" s="1">
        <v>4</v>
      </c>
      <c r="T384" s="1" t="s">
        <v>646</v>
      </c>
      <c r="U384" s="186">
        <v>44714.40457175926</v>
      </c>
      <c r="V384" s="1" t="s">
        <v>41</v>
      </c>
      <c r="W384" s="1" t="s">
        <v>49</v>
      </c>
      <c r="X384" s="13" t="str">
        <f>IF(RIGHT(H384,2)&lt;&gt;"00",H384,"")</f>
        <v/>
      </c>
      <c r="Y384" s="2">
        <f ca="1">NETWORKDAYS(P384,$Y$1)</f>
        <v>196</v>
      </c>
      <c r="Z384" s="14">
        <v>1</v>
      </c>
      <c r="AA384" s="1" t="str">
        <f t="shared" ca="1" si="25"/>
        <v>VENCIDO</v>
      </c>
      <c r="AB384" s="1" t="str">
        <f t="shared" si="26"/>
        <v>C-14</v>
      </c>
      <c r="AC384" s="2" t="str">
        <f t="shared" si="29"/>
        <v xml:space="preserve"> ROSEMERE </v>
      </c>
      <c r="AD384" s="2">
        <f t="shared" si="27"/>
        <v>15</v>
      </c>
      <c r="AE384" s="2">
        <f t="shared" ca="1" si="28"/>
        <v>-272.27169988425885</v>
      </c>
      <c r="AF384" s="15"/>
    </row>
    <row r="385" spans="1:32" hidden="1">
      <c r="A385" s="1">
        <v>8639813</v>
      </c>
      <c r="B385" s="1" t="s">
        <v>653</v>
      </c>
      <c r="C385" t="s">
        <v>3580</v>
      </c>
      <c r="E385" s="2">
        <v>8973001400030</v>
      </c>
      <c r="F385" s="1" t="s">
        <v>647</v>
      </c>
      <c r="G385" s="1" t="s">
        <v>53</v>
      </c>
      <c r="H385" s="1" t="s">
        <v>661</v>
      </c>
      <c r="I385" s="1" t="s">
        <v>662</v>
      </c>
      <c r="J385" s="1" t="s">
        <v>46</v>
      </c>
      <c r="K385" t="s">
        <v>650</v>
      </c>
      <c r="M385" s="1" t="s">
        <v>58</v>
      </c>
      <c r="N385" s="1">
        <v>0</v>
      </c>
      <c r="O385" s="1" t="s">
        <v>105</v>
      </c>
      <c r="P385" s="186">
        <v>44713.40452546296</v>
      </c>
      <c r="R385" s="1">
        <v>4</v>
      </c>
      <c r="T385" s="1" t="s">
        <v>646</v>
      </c>
      <c r="U385" s="186">
        <v>44714.404537037037</v>
      </c>
      <c r="V385" s="1" t="s">
        <v>41</v>
      </c>
      <c r="W385" s="1" t="s">
        <v>49</v>
      </c>
      <c r="X385" s="13" t="str">
        <f>IF(RIGHT(H385,2)&lt;&gt;"00",H385,"")</f>
        <v/>
      </c>
      <c r="Y385" s="2">
        <f ca="1">NETWORKDAYS(P385,$Y$1)</f>
        <v>196</v>
      </c>
      <c r="Z385" s="14">
        <v>1</v>
      </c>
      <c r="AA385" s="1" t="str">
        <f t="shared" ca="1" si="25"/>
        <v>VENCIDO</v>
      </c>
      <c r="AB385" s="1" t="str">
        <f t="shared" si="26"/>
        <v>C-14</v>
      </c>
      <c r="AC385" s="2" t="str">
        <f t="shared" si="29"/>
        <v xml:space="preserve"> CLEITON </v>
      </c>
      <c r="AD385" s="2">
        <f t="shared" si="27"/>
        <v>15</v>
      </c>
      <c r="AE385" s="2">
        <f t="shared" ca="1" si="28"/>
        <v>-272.27173460648191</v>
      </c>
      <c r="AF385" s="15"/>
    </row>
    <row r="386" spans="1:32" hidden="1">
      <c r="A386" s="1">
        <v>8639796</v>
      </c>
      <c r="B386" s="1" t="s">
        <v>653</v>
      </c>
      <c r="C386" t="s">
        <v>3580</v>
      </c>
      <c r="E386" s="2">
        <v>8633001400030</v>
      </c>
      <c r="F386" s="1" t="s">
        <v>647</v>
      </c>
      <c r="G386" s="1" t="s">
        <v>53</v>
      </c>
      <c r="H386" s="1" t="s">
        <v>835</v>
      </c>
      <c r="I386" s="1" t="s">
        <v>836</v>
      </c>
      <c r="J386" s="1" t="s">
        <v>46</v>
      </c>
      <c r="K386" t="s">
        <v>650</v>
      </c>
      <c r="M386" s="1" t="s">
        <v>58</v>
      </c>
      <c r="N386" s="1">
        <v>0</v>
      </c>
      <c r="O386" s="1" t="s">
        <v>105</v>
      </c>
      <c r="P386" s="186">
        <v>44713.404502314814</v>
      </c>
      <c r="R386" s="1">
        <v>4</v>
      </c>
      <c r="T386" s="1" t="s">
        <v>646</v>
      </c>
      <c r="U386" s="186">
        <v>44714.404513888891</v>
      </c>
      <c r="V386" s="1" t="s">
        <v>41</v>
      </c>
      <c r="W386" s="1" t="s">
        <v>49</v>
      </c>
      <c r="X386" s="13" t="str">
        <f>IF(RIGHT(H386,2)&lt;&gt;"00",H386,"")</f>
        <v/>
      </c>
      <c r="Y386" s="2">
        <f ca="1">NETWORKDAYS(P386,$Y$1)</f>
        <v>196</v>
      </c>
      <c r="Z386" s="14">
        <v>1</v>
      </c>
      <c r="AA386" s="1" t="str">
        <f t="shared" ref="AA386:AA449" ca="1" si="30">IF(AE386=0,"HOJE",IF(AE386&gt;0,"A VENCER",IF(AE386&lt;0,"VENCIDO")))</f>
        <v>VENCIDO</v>
      </c>
      <c r="AB386" s="1" t="str">
        <f t="shared" ref="AB386:AB449" si="31">IF(F386="GRPE-000001","C-14",IF(F386="GRPE-000002","C-14",IF(F386="GRPE-000003","C-14",IF(F386="GRPE-000004","SL-On",IF(F386="GRPE-000038","C-14",IF(F386="GRPE-900022","Dosa",IF(F386="GRPE-000029","Dosa",IF(F386="ATOS-000222","Dose","TAAe+"))))))))</f>
        <v>C-14</v>
      </c>
      <c r="AC386" s="2" t="str">
        <f t="shared" si="29"/>
        <v xml:space="preserve"> CLEITON </v>
      </c>
      <c r="AD386" s="2">
        <f t="shared" ref="AD386:AD449" si="32">IF(F386="GRPE-000001",5,IF(F386="GRPE-000002",5,IF(F386="GRPE-000003",15,IF(F386="GRPE-000004",1,IF(F386="GRPE-000038",5,IF(F386="GRPE-900022",5,IF(F386="GRPE-000029",5,IF(F386="ATOS-000222",5,8))))))))</f>
        <v>15</v>
      </c>
      <c r="AE386" s="2">
        <f t="shared" ref="AE386:AE449" ca="1" si="33">IF(U386=$AE$1,"",U386-$AE$1)</f>
        <v>-272.2717577546282</v>
      </c>
      <c r="AF386" s="15"/>
    </row>
    <row r="387" spans="1:32" hidden="1">
      <c r="A387" s="1">
        <v>8639265</v>
      </c>
      <c r="B387" s="1" t="s">
        <v>653</v>
      </c>
      <c r="C387" t="s">
        <v>3580</v>
      </c>
      <c r="E387" s="2">
        <v>5898001400030</v>
      </c>
      <c r="F387" s="1" t="s">
        <v>647</v>
      </c>
      <c r="G387" s="1" t="s">
        <v>53</v>
      </c>
      <c r="H387" s="1" t="s">
        <v>365</v>
      </c>
      <c r="I387" s="1" t="s">
        <v>366</v>
      </c>
      <c r="J387" s="1" t="s">
        <v>164</v>
      </c>
      <c r="K387" t="s">
        <v>650</v>
      </c>
      <c r="M387" s="1" t="s">
        <v>58</v>
      </c>
      <c r="N387" s="1">
        <v>0</v>
      </c>
      <c r="O387" s="1" t="s">
        <v>105</v>
      </c>
      <c r="P387" s="186">
        <v>44713.403090277781</v>
      </c>
      <c r="R387" s="1">
        <v>4</v>
      </c>
      <c r="T387" s="1" t="s">
        <v>646</v>
      </c>
      <c r="U387" s="186">
        <v>44714.403090277781</v>
      </c>
      <c r="V387" s="1" t="s">
        <v>41</v>
      </c>
      <c r="W387" s="1" t="s">
        <v>49</v>
      </c>
      <c r="X387" s="13" t="str">
        <f>IF(RIGHT(H387,2)&lt;&gt;"00",H387,"")</f>
        <v/>
      </c>
      <c r="Y387" s="2">
        <f ca="1">NETWORKDAYS(P387,$Y$1)</f>
        <v>196</v>
      </c>
      <c r="Z387" s="14">
        <v>1</v>
      </c>
      <c r="AA387" s="1" t="str">
        <f t="shared" ca="1" si="30"/>
        <v>VENCIDO</v>
      </c>
      <c r="AB387" s="1" t="str">
        <f t="shared" si="31"/>
        <v>C-14</v>
      </c>
      <c r="AC387" s="2" t="str">
        <f t="shared" ref="AC387:AC450" si="34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 xml:space="preserve"> ROSEMERE </v>
      </c>
      <c r="AD387" s="2">
        <f t="shared" si="32"/>
        <v>15</v>
      </c>
      <c r="AE387" s="2">
        <f t="shared" ca="1" si="33"/>
        <v>-272.2731813657374</v>
      </c>
      <c r="AF387" s="15"/>
    </row>
    <row r="388" spans="1:32" hidden="1">
      <c r="A388" s="1">
        <v>8639240</v>
      </c>
      <c r="B388" s="1" t="s">
        <v>653</v>
      </c>
      <c r="C388" t="s">
        <v>3580</v>
      </c>
      <c r="E388" s="2">
        <v>5816001400030</v>
      </c>
      <c r="F388" s="1" t="s">
        <v>647</v>
      </c>
      <c r="G388" s="1" t="s">
        <v>53</v>
      </c>
      <c r="H388" s="1" t="s">
        <v>412</v>
      </c>
      <c r="I388" s="1" t="s">
        <v>413</v>
      </c>
      <c r="J388" s="1" t="s">
        <v>46</v>
      </c>
      <c r="K388" t="s">
        <v>650</v>
      </c>
      <c r="M388" s="1" t="s">
        <v>58</v>
      </c>
      <c r="N388" s="1">
        <v>0</v>
      </c>
      <c r="O388" s="1" t="s">
        <v>105</v>
      </c>
      <c r="P388" s="186">
        <v>44713.403055555558</v>
      </c>
      <c r="R388" s="1">
        <v>4</v>
      </c>
      <c r="T388" s="1" t="s">
        <v>646</v>
      </c>
      <c r="U388" s="186">
        <v>44714.403055555558</v>
      </c>
      <c r="V388" s="1" t="s">
        <v>41</v>
      </c>
      <c r="W388" s="1" t="s">
        <v>49</v>
      </c>
      <c r="X388" s="13" t="str">
        <f>IF(RIGHT(H388,2)&lt;&gt;"00",H388,"")</f>
        <v/>
      </c>
      <c r="Y388" s="2">
        <f ca="1">NETWORKDAYS(P388,$Y$1)</f>
        <v>196</v>
      </c>
      <c r="Z388" s="14">
        <v>1</v>
      </c>
      <c r="AA388" s="1" t="str">
        <f t="shared" ca="1" si="30"/>
        <v>VENCIDO</v>
      </c>
      <c r="AB388" s="1" t="str">
        <f t="shared" si="31"/>
        <v>C-14</v>
      </c>
      <c r="AC388" s="2" t="str">
        <f t="shared" si="34"/>
        <v xml:space="preserve"> CLEITON </v>
      </c>
      <c r="AD388" s="2">
        <f t="shared" si="32"/>
        <v>15</v>
      </c>
      <c r="AE388" s="2">
        <f t="shared" ca="1" si="33"/>
        <v>-272.27321608796046</v>
      </c>
      <c r="AF388" s="15"/>
    </row>
    <row r="389" spans="1:32" hidden="1">
      <c r="A389" s="1">
        <v>8639199</v>
      </c>
      <c r="B389" s="1" t="s">
        <v>653</v>
      </c>
      <c r="C389" t="s">
        <v>3580</v>
      </c>
      <c r="E389" s="2">
        <v>5755001400030</v>
      </c>
      <c r="F389" s="1" t="s">
        <v>647</v>
      </c>
      <c r="G389" s="1" t="s">
        <v>53</v>
      </c>
      <c r="H389" s="1" t="s">
        <v>841</v>
      </c>
      <c r="I389" s="1" t="s">
        <v>842</v>
      </c>
      <c r="J389" s="1" t="s">
        <v>46</v>
      </c>
      <c r="K389" t="s">
        <v>650</v>
      </c>
      <c r="M389" s="1" t="s">
        <v>58</v>
      </c>
      <c r="N389" s="1">
        <v>0</v>
      </c>
      <c r="O389" s="1" t="s">
        <v>105</v>
      </c>
      <c r="P389" s="186">
        <v>44713.402881944443</v>
      </c>
      <c r="R389" s="1">
        <v>4</v>
      </c>
      <c r="T389" s="1" t="s">
        <v>646</v>
      </c>
      <c r="U389" s="186">
        <v>44714.402881944443</v>
      </c>
      <c r="V389" s="1" t="s">
        <v>41</v>
      </c>
      <c r="W389" s="1" t="s">
        <v>49</v>
      </c>
      <c r="X389" s="13" t="str">
        <f>IF(RIGHT(H389,2)&lt;&gt;"00",H389,"")</f>
        <v/>
      </c>
      <c r="Y389" s="2">
        <f ca="1">NETWORKDAYS(P389,$Y$1)</f>
        <v>196</v>
      </c>
      <c r="Z389" s="14">
        <v>1</v>
      </c>
      <c r="AA389" s="1" t="str">
        <f t="shared" ca="1" si="30"/>
        <v>VENCIDO</v>
      </c>
      <c r="AB389" s="1" t="str">
        <f t="shared" si="31"/>
        <v>C-14</v>
      </c>
      <c r="AC389" s="2" t="str">
        <f t="shared" si="34"/>
        <v xml:space="preserve"> CLEITON </v>
      </c>
      <c r="AD389" s="2">
        <f t="shared" si="32"/>
        <v>15</v>
      </c>
      <c r="AE389" s="2">
        <f t="shared" ca="1" si="33"/>
        <v>-272.27338969907578</v>
      </c>
      <c r="AF389" s="15"/>
    </row>
    <row r="390" spans="1:32" hidden="1">
      <c r="A390" s="1">
        <v>8639195</v>
      </c>
      <c r="B390" s="1" t="s">
        <v>653</v>
      </c>
      <c r="C390" t="s">
        <v>3580</v>
      </c>
      <c r="E390" s="2">
        <v>5742001400030</v>
      </c>
      <c r="F390" s="1" t="s">
        <v>647</v>
      </c>
      <c r="G390" s="1" t="s">
        <v>53</v>
      </c>
      <c r="H390" s="1" t="s">
        <v>430</v>
      </c>
      <c r="I390" s="1" t="s">
        <v>431</v>
      </c>
      <c r="J390" s="1" t="s">
        <v>79</v>
      </c>
      <c r="K390" t="s">
        <v>650</v>
      </c>
      <c r="M390" s="1" t="s">
        <v>58</v>
      </c>
      <c r="N390" s="1">
        <v>0</v>
      </c>
      <c r="O390" s="1" t="s">
        <v>105</v>
      </c>
      <c r="P390" s="186">
        <v>44713.402881944443</v>
      </c>
      <c r="R390" s="1">
        <v>4</v>
      </c>
      <c r="T390" s="1" t="s">
        <v>646</v>
      </c>
      <c r="U390" s="186">
        <v>44714.402881944443</v>
      </c>
      <c r="V390" s="1" t="s">
        <v>41</v>
      </c>
      <c r="W390" s="1" t="s">
        <v>49</v>
      </c>
      <c r="X390" s="13" t="str">
        <f>IF(RIGHT(H390,2)&lt;&gt;"00",H390,"")</f>
        <v/>
      </c>
      <c r="Y390" s="2">
        <f ca="1">NETWORKDAYS(P390,$Y$1)</f>
        <v>196</v>
      </c>
      <c r="Z390" s="14">
        <v>1</v>
      </c>
      <c r="AA390" s="1" t="str">
        <f t="shared" ca="1" si="30"/>
        <v>VENCIDO</v>
      </c>
      <c r="AB390" s="1" t="str">
        <f t="shared" si="31"/>
        <v>C-14</v>
      </c>
      <c r="AC390" s="2" t="str">
        <f t="shared" si="34"/>
        <v xml:space="preserve"> ROSEMERE </v>
      </c>
      <c r="AD390" s="2">
        <f t="shared" si="32"/>
        <v>15</v>
      </c>
      <c r="AE390" s="2">
        <f t="shared" ca="1" si="33"/>
        <v>-272.27338969907578</v>
      </c>
      <c r="AF390" s="15"/>
    </row>
    <row r="391" spans="1:32" hidden="1">
      <c r="A391" s="1">
        <v>8639194</v>
      </c>
      <c r="B391" s="1" t="s">
        <v>653</v>
      </c>
      <c r="C391" t="s">
        <v>3580</v>
      </c>
      <c r="E391" s="2">
        <v>5740001400030</v>
      </c>
      <c r="F391" s="1" t="s">
        <v>647</v>
      </c>
      <c r="G391" s="1" t="s">
        <v>53</v>
      </c>
      <c r="H391" s="1" t="s">
        <v>626</v>
      </c>
      <c r="I391" s="1" t="s">
        <v>627</v>
      </c>
      <c r="J391" s="1" t="s">
        <v>46</v>
      </c>
      <c r="K391" t="s">
        <v>650</v>
      </c>
      <c r="M391" s="1" t="s">
        <v>58</v>
      </c>
      <c r="N391" s="1">
        <v>0</v>
      </c>
      <c r="O391" s="1" t="s">
        <v>105</v>
      </c>
      <c r="P391" s="186">
        <v>44713.402870370373</v>
      </c>
      <c r="R391" s="1">
        <v>4</v>
      </c>
      <c r="T391" s="1" t="s">
        <v>646</v>
      </c>
      <c r="U391" s="186">
        <v>44714.402881944443</v>
      </c>
      <c r="V391" s="1" t="s">
        <v>41</v>
      </c>
      <c r="W391" s="1" t="s">
        <v>49</v>
      </c>
      <c r="X391" s="13" t="str">
        <f>IF(RIGHT(H391,2)&lt;&gt;"00",H391,"")</f>
        <v/>
      </c>
      <c r="Y391" s="2">
        <f ca="1">NETWORKDAYS(P391,$Y$1)</f>
        <v>196</v>
      </c>
      <c r="Z391" s="14">
        <v>1</v>
      </c>
      <c r="AA391" s="1" t="str">
        <f t="shared" ca="1" si="30"/>
        <v>VENCIDO</v>
      </c>
      <c r="AB391" s="1" t="str">
        <f t="shared" si="31"/>
        <v>C-14</v>
      </c>
      <c r="AC391" s="2" t="str">
        <f t="shared" si="34"/>
        <v xml:space="preserve"> CLEITON </v>
      </c>
      <c r="AD391" s="2">
        <f t="shared" si="32"/>
        <v>15</v>
      </c>
      <c r="AE391" s="2">
        <f t="shared" ca="1" si="33"/>
        <v>-272.27338969907578</v>
      </c>
      <c r="AF391" s="15"/>
    </row>
    <row r="392" spans="1:32" hidden="1">
      <c r="A392" s="1">
        <v>8639017</v>
      </c>
      <c r="B392" s="1" t="s">
        <v>653</v>
      </c>
      <c r="C392" t="s">
        <v>3580</v>
      </c>
      <c r="E392" s="2">
        <v>4997001400030</v>
      </c>
      <c r="F392" s="1" t="s">
        <v>647</v>
      </c>
      <c r="G392" s="1" t="s">
        <v>53</v>
      </c>
      <c r="H392" s="1" t="s">
        <v>406</v>
      </c>
      <c r="I392" s="1" t="s">
        <v>407</v>
      </c>
      <c r="J392" s="1" t="s">
        <v>79</v>
      </c>
      <c r="K392" t="s">
        <v>650</v>
      </c>
      <c r="M392" s="1" t="s">
        <v>58</v>
      </c>
      <c r="N392" s="1">
        <v>0</v>
      </c>
      <c r="O392" s="1" t="s">
        <v>36</v>
      </c>
      <c r="P392" s="186">
        <v>44713.402326388888</v>
      </c>
      <c r="R392" s="1">
        <v>4</v>
      </c>
      <c r="T392" s="1" t="s">
        <v>646</v>
      </c>
      <c r="U392" s="186">
        <v>44714.402326388888</v>
      </c>
      <c r="V392" s="1" t="s">
        <v>41</v>
      </c>
      <c r="W392" s="1" t="s">
        <v>49</v>
      </c>
      <c r="X392" s="13" t="str">
        <f>IF(RIGHT(H392,2)&lt;&gt;"00",H392,"")</f>
        <v/>
      </c>
      <c r="Y392" s="2">
        <f ca="1">NETWORKDAYS(P392,$Y$1)</f>
        <v>196</v>
      </c>
      <c r="Z392" s="14">
        <v>1</v>
      </c>
      <c r="AA392" s="1" t="str">
        <f t="shared" ca="1" si="30"/>
        <v>VENCIDO</v>
      </c>
      <c r="AB392" s="1" t="str">
        <f t="shared" si="31"/>
        <v>C-14</v>
      </c>
      <c r="AC392" s="2" t="str">
        <f t="shared" si="34"/>
        <v xml:space="preserve"> ROSEMERE </v>
      </c>
      <c r="AD392" s="2">
        <f t="shared" si="32"/>
        <v>15</v>
      </c>
      <c r="AE392" s="2">
        <f t="shared" ca="1" si="33"/>
        <v>-272.27394525463023</v>
      </c>
      <c r="AF392" s="15"/>
    </row>
    <row r="393" spans="1:32" hidden="1">
      <c r="A393" s="1">
        <v>8638862</v>
      </c>
      <c r="B393" s="1" t="s">
        <v>653</v>
      </c>
      <c r="C393" t="s">
        <v>3580</v>
      </c>
      <c r="E393" s="2">
        <v>4637001400030</v>
      </c>
      <c r="F393" s="1" t="s">
        <v>647</v>
      </c>
      <c r="G393" s="1" t="s">
        <v>53</v>
      </c>
      <c r="H393" s="1" t="s">
        <v>848</v>
      </c>
      <c r="I393" s="1" t="s">
        <v>849</v>
      </c>
      <c r="J393" s="1" t="s">
        <v>79</v>
      </c>
      <c r="K393" t="s">
        <v>650</v>
      </c>
      <c r="M393" s="1" t="s">
        <v>58</v>
      </c>
      <c r="N393" s="1">
        <v>0</v>
      </c>
      <c r="O393" s="1" t="s">
        <v>105</v>
      </c>
      <c r="P393" s="186">
        <v>44713.401967592596</v>
      </c>
      <c r="R393" s="1">
        <v>4</v>
      </c>
      <c r="T393" s="1" t="s">
        <v>646</v>
      </c>
      <c r="U393" s="186">
        <v>44714.401967592596</v>
      </c>
      <c r="V393" s="1" t="s">
        <v>41</v>
      </c>
      <c r="W393" s="1" t="s">
        <v>49</v>
      </c>
      <c r="X393" s="13" t="str">
        <f>IF(RIGHT(H393,2)&lt;&gt;"00",H393,"")</f>
        <v/>
      </c>
      <c r="Y393" s="2">
        <f ca="1">NETWORKDAYS(P393,$Y$1)</f>
        <v>196</v>
      </c>
      <c r="Z393" s="14">
        <v>1</v>
      </c>
      <c r="AA393" s="1" t="str">
        <f t="shared" ca="1" si="30"/>
        <v>VENCIDO</v>
      </c>
      <c r="AB393" s="1" t="str">
        <f t="shared" si="31"/>
        <v>C-14</v>
      </c>
      <c r="AC393" s="2" t="str">
        <f t="shared" si="34"/>
        <v xml:space="preserve"> ROSEMERE </v>
      </c>
      <c r="AD393" s="2">
        <f t="shared" si="32"/>
        <v>15</v>
      </c>
      <c r="AE393" s="2">
        <f t="shared" ca="1" si="33"/>
        <v>-272.27430405092309</v>
      </c>
      <c r="AF393" s="15"/>
    </row>
    <row r="394" spans="1:32" hidden="1">
      <c r="A394" s="1">
        <v>8638849</v>
      </c>
      <c r="B394" s="1" t="s">
        <v>653</v>
      </c>
      <c r="C394" t="s">
        <v>3580</v>
      </c>
      <c r="E394" s="2">
        <v>4623001400030</v>
      </c>
      <c r="F394" s="1" t="s">
        <v>647</v>
      </c>
      <c r="G394" s="1" t="s">
        <v>53</v>
      </c>
      <c r="H394" s="1" t="s">
        <v>669</v>
      </c>
      <c r="I394" s="1" t="s">
        <v>670</v>
      </c>
      <c r="J394" s="1" t="s">
        <v>33</v>
      </c>
      <c r="K394" t="s">
        <v>650</v>
      </c>
      <c r="M394" s="1" t="s">
        <v>58</v>
      </c>
      <c r="N394" s="1">
        <v>0</v>
      </c>
      <c r="O394" s="1" t="s">
        <v>105</v>
      </c>
      <c r="P394" s="186">
        <v>44713.401956018519</v>
      </c>
      <c r="R394" s="1">
        <v>4</v>
      </c>
      <c r="T394" s="1" t="s">
        <v>646</v>
      </c>
      <c r="U394" s="186">
        <v>44714.401956018519</v>
      </c>
      <c r="V394" s="1" t="s">
        <v>41</v>
      </c>
      <c r="W394" s="1" t="s">
        <v>42</v>
      </c>
      <c r="X394" s="13" t="str">
        <f>IF(RIGHT(H394,2)&lt;&gt;"00",H394,"")</f>
        <v/>
      </c>
      <c r="Y394" s="2">
        <f ca="1">NETWORKDAYS(P394,$Y$1)</f>
        <v>196</v>
      </c>
      <c r="Z394" s="14">
        <v>1</v>
      </c>
      <c r="AA394" s="1" t="str">
        <f t="shared" ca="1" si="30"/>
        <v>VENCIDO</v>
      </c>
      <c r="AB394" s="1" t="str">
        <f t="shared" si="31"/>
        <v>C-14</v>
      </c>
      <c r="AC394" s="2" t="str">
        <f t="shared" si="34"/>
        <v xml:space="preserve"> ROSEMERE </v>
      </c>
      <c r="AD394" s="2">
        <f t="shared" si="32"/>
        <v>15</v>
      </c>
      <c r="AE394" s="2">
        <f t="shared" ca="1" si="33"/>
        <v>-272.27431562499987</v>
      </c>
      <c r="AF394" s="15"/>
    </row>
    <row r="395" spans="1:32" hidden="1">
      <c r="A395" s="1">
        <v>8638655</v>
      </c>
      <c r="B395" s="1" t="s">
        <v>653</v>
      </c>
      <c r="C395" t="s">
        <v>3580</v>
      </c>
      <c r="E395" s="2">
        <v>4357001400030</v>
      </c>
      <c r="F395" s="1" t="s">
        <v>647</v>
      </c>
      <c r="G395" s="1" t="s">
        <v>53</v>
      </c>
      <c r="H395" s="1" t="s">
        <v>633</v>
      </c>
      <c r="I395" s="1" t="s">
        <v>634</v>
      </c>
      <c r="J395" s="1" t="s">
        <v>46</v>
      </c>
      <c r="K395" t="s">
        <v>650</v>
      </c>
      <c r="M395" s="1" t="s">
        <v>58</v>
      </c>
      <c r="N395" s="1">
        <v>0</v>
      </c>
      <c r="O395" s="1" t="s">
        <v>105</v>
      </c>
      <c r="P395" s="186">
        <v>44713.40111111111</v>
      </c>
      <c r="R395" s="1">
        <v>4</v>
      </c>
      <c r="T395" s="1" t="s">
        <v>646</v>
      </c>
      <c r="U395" s="186">
        <v>44714.40111111111</v>
      </c>
      <c r="V395" s="1" t="s">
        <v>41</v>
      </c>
      <c r="W395" s="1" t="s">
        <v>49</v>
      </c>
      <c r="X395" s="13" t="str">
        <f>IF(RIGHT(H395,2)&lt;&gt;"00",H395,"")</f>
        <v/>
      </c>
      <c r="Y395" s="2">
        <f ca="1">NETWORKDAYS(P395,$Y$1)</f>
        <v>196</v>
      </c>
      <c r="Z395" s="14">
        <v>1</v>
      </c>
      <c r="AA395" s="1" t="str">
        <f t="shared" ca="1" si="30"/>
        <v>VENCIDO</v>
      </c>
      <c r="AB395" s="1" t="str">
        <f t="shared" si="31"/>
        <v>C-14</v>
      </c>
      <c r="AC395" s="2" t="str">
        <f t="shared" si="34"/>
        <v xml:space="preserve"> CLEITON </v>
      </c>
      <c r="AD395" s="2">
        <f t="shared" si="32"/>
        <v>15</v>
      </c>
      <c r="AE395" s="2">
        <f t="shared" ca="1" si="33"/>
        <v>-272.27516053240834</v>
      </c>
      <c r="AF395" s="15"/>
    </row>
    <row r="396" spans="1:32" hidden="1">
      <c r="A396" s="1">
        <v>8638579</v>
      </c>
      <c r="B396" s="1" t="s">
        <v>653</v>
      </c>
      <c r="C396" t="s">
        <v>3580</v>
      </c>
      <c r="E396" s="2">
        <v>4235001400030</v>
      </c>
      <c r="F396" s="1" t="s">
        <v>647</v>
      </c>
      <c r="G396" s="1" t="s">
        <v>53</v>
      </c>
      <c r="H396" s="1" t="s">
        <v>291</v>
      </c>
      <c r="I396" s="1" t="s">
        <v>292</v>
      </c>
      <c r="J396" s="1" t="s">
        <v>46</v>
      </c>
      <c r="K396" t="s">
        <v>650</v>
      </c>
      <c r="M396" s="1" t="s">
        <v>58</v>
      </c>
      <c r="N396" s="1">
        <v>0</v>
      </c>
      <c r="O396" s="1" t="s">
        <v>105</v>
      </c>
      <c r="P396" s="186">
        <v>44713.400752314818</v>
      </c>
      <c r="R396" s="1">
        <v>4</v>
      </c>
      <c r="T396" s="1" t="s">
        <v>646</v>
      </c>
      <c r="U396" s="186">
        <v>44714.400752314818</v>
      </c>
      <c r="V396" s="1" t="s">
        <v>41</v>
      </c>
      <c r="W396" s="1" t="s">
        <v>49</v>
      </c>
      <c r="X396" s="13" t="str">
        <f>IF(RIGHT(H396,2)&lt;&gt;"00",H396,"")</f>
        <v/>
      </c>
      <c r="Y396" s="2">
        <f ca="1">NETWORKDAYS(P396,$Y$1)</f>
        <v>196</v>
      </c>
      <c r="Z396" s="14">
        <v>1</v>
      </c>
      <c r="AA396" s="1" t="str">
        <f t="shared" ca="1" si="30"/>
        <v>VENCIDO</v>
      </c>
      <c r="AB396" s="1" t="str">
        <f t="shared" si="31"/>
        <v>C-14</v>
      </c>
      <c r="AC396" s="2" t="str">
        <f t="shared" si="34"/>
        <v xml:space="preserve"> CLEITON </v>
      </c>
      <c r="AD396" s="2">
        <f t="shared" si="32"/>
        <v>15</v>
      </c>
      <c r="AE396" s="2">
        <f t="shared" ca="1" si="33"/>
        <v>-272.27551932870119</v>
      </c>
      <c r="AF396" s="15"/>
    </row>
    <row r="397" spans="1:32" hidden="1">
      <c r="A397" s="1">
        <v>8638488</v>
      </c>
      <c r="B397" s="1" t="s">
        <v>653</v>
      </c>
      <c r="C397" t="s">
        <v>3580</v>
      </c>
      <c r="E397" s="2">
        <v>4118001400030</v>
      </c>
      <c r="F397" s="1" t="s">
        <v>647</v>
      </c>
      <c r="G397" s="1" t="s">
        <v>53</v>
      </c>
      <c r="H397" s="1" t="s">
        <v>71</v>
      </c>
      <c r="I397" s="1" t="s">
        <v>72</v>
      </c>
      <c r="J397" s="1" t="s">
        <v>46</v>
      </c>
      <c r="K397" t="s">
        <v>650</v>
      </c>
      <c r="M397" s="1" t="s">
        <v>58</v>
      </c>
      <c r="N397" s="1">
        <v>0</v>
      </c>
      <c r="O397" s="1" t="s">
        <v>105</v>
      </c>
      <c r="P397" s="186">
        <v>44713.40047453704</v>
      </c>
      <c r="R397" s="1">
        <v>4</v>
      </c>
      <c r="T397" s="1" t="s">
        <v>646</v>
      </c>
      <c r="U397" s="186">
        <v>44714.40047453704</v>
      </c>
      <c r="V397" s="1" t="s">
        <v>41</v>
      </c>
      <c r="W397" s="1" t="s">
        <v>49</v>
      </c>
      <c r="X397" s="13" t="str">
        <f>IF(RIGHT(H397,2)&lt;&gt;"00",H397,"")</f>
        <v/>
      </c>
      <c r="Y397" s="2">
        <f ca="1">NETWORKDAYS(P397,$Y$1)</f>
        <v>196</v>
      </c>
      <c r="Z397" s="14">
        <v>1</v>
      </c>
      <c r="AA397" s="1" t="str">
        <f t="shared" ca="1" si="30"/>
        <v>VENCIDO</v>
      </c>
      <c r="AB397" s="1" t="str">
        <f t="shared" si="31"/>
        <v>C-14</v>
      </c>
      <c r="AC397" s="2" t="str">
        <f t="shared" si="34"/>
        <v xml:space="preserve"> CLEITON </v>
      </c>
      <c r="AD397" s="2">
        <f t="shared" si="32"/>
        <v>15</v>
      </c>
      <c r="AE397" s="2">
        <f t="shared" ca="1" si="33"/>
        <v>-272.27579710647842</v>
      </c>
      <c r="AF397" s="15"/>
    </row>
    <row r="398" spans="1:32" hidden="1">
      <c r="A398" s="1">
        <v>8638189</v>
      </c>
      <c r="B398" s="1" t="s">
        <v>653</v>
      </c>
      <c r="C398" t="s">
        <v>3580</v>
      </c>
      <c r="E398" s="2">
        <v>3699001400030</v>
      </c>
      <c r="F398" s="1" t="s">
        <v>647</v>
      </c>
      <c r="G398" s="1" t="s">
        <v>53</v>
      </c>
      <c r="H398" s="1" t="s">
        <v>343</v>
      </c>
      <c r="I398" s="1" t="s">
        <v>344</v>
      </c>
      <c r="J398" s="1" t="s">
        <v>46</v>
      </c>
      <c r="K398" t="s">
        <v>650</v>
      </c>
      <c r="M398" s="1" t="s">
        <v>58</v>
      </c>
      <c r="N398" s="1">
        <v>0</v>
      </c>
      <c r="O398" s="1" t="s">
        <v>105</v>
      </c>
      <c r="P398" s="186">
        <v>44713.399594907409</v>
      </c>
      <c r="R398" s="1">
        <v>4</v>
      </c>
      <c r="T398" s="1" t="s">
        <v>646</v>
      </c>
      <c r="U398" s="186">
        <v>44714.399594907409</v>
      </c>
      <c r="V398" s="1" t="s">
        <v>41</v>
      </c>
      <c r="W398" s="1" t="s">
        <v>49</v>
      </c>
      <c r="X398" s="13" t="str">
        <f>IF(RIGHT(H398,2)&lt;&gt;"00",H398,"")</f>
        <v/>
      </c>
      <c r="Y398" s="2">
        <f ca="1">NETWORKDAYS(P398,$Y$1)</f>
        <v>196</v>
      </c>
      <c r="Z398" s="14">
        <v>1</v>
      </c>
      <c r="AA398" s="1" t="str">
        <f t="shared" ca="1" si="30"/>
        <v>VENCIDO</v>
      </c>
      <c r="AB398" s="1" t="str">
        <f t="shared" si="31"/>
        <v>C-14</v>
      </c>
      <c r="AC398" s="2" t="str">
        <f t="shared" si="34"/>
        <v xml:space="preserve"> CLEITON </v>
      </c>
      <c r="AD398" s="2">
        <f t="shared" si="32"/>
        <v>15</v>
      </c>
      <c r="AE398" s="2">
        <f t="shared" ca="1" si="33"/>
        <v>-272.27667673610995</v>
      </c>
      <c r="AF398" s="15"/>
    </row>
    <row r="399" spans="1:32" hidden="1">
      <c r="A399" s="1">
        <v>8638122</v>
      </c>
      <c r="B399" s="1" t="s">
        <v>653</v>
      </c>
      <c r="C399" t="s">
        <v>3580</v>
      </c>
      <c r="E399" s="2">
        <v>3613001400030</v>
      </c>
      <c r="F399" s="1" t="s">
        <v>647</v>
      </c>
      <c r="G399" s="1" t="s">
        <v>53</v>
      </c>
      <c r="H399" s="1" t="s">
        <v>679</v>
      </c>
      <c r="I399" s="1" t="s">
        <v>680</v>
      </c>
      <c r="J399" s="1" t="s">
        <v>46</v>
      </c>
      <c r="K399" t="s">
        <v>650</v>
      </c>
      <c r="M399" s="1" t="s">
        <v>58</v>
      </c>
      <c r="N399" s="1">
        <v>0</v>
      </c>
      <c r="O399" s="1" t="s">
        <v>105</v>
      </c>
      <c r="P399" s="186">
        <v>44713.39949074074</v>
      </c>
      <c r="R399" s="1">
        <v>4</v>
      </c>
      <c r="T399" s="1" t="s">
        <v>646</v>
      </c>
      <c r="U399" s="186">
        <v>44714.39949074074</v>
      </c>
      <c r="V399" s="1" t="s">
        <v>41</v>
      </c>
      <c r="W399" s="1" t="s">
        <v>49</v>
      </c>
      <c r="X399" s="13" t="str">
        <f>IF(RIGHT(H399,2)&lt;&gt;"00",H399,"")</f>
        <v/>
      </c>
      <c r="Y399" s="2">
        <f ca="1">NETWORKDAYS(P399,$Y$1)</f>
        <v>196</v>
      </c>
      <c r="Z399" s="14">
        <v>1</v>
      </c>
      <c r="AA399" s="1" t="str">
        <f t="shared" ca="1" si="30"/>
        <v>VENCIDO</v>
      </c>
      <c r="AB399" s="1" t="str">
        <f t="shared" si="31"/>
        <v>C-14</v>
      </c>
      <c r="AC399" s="2" t="str">
        <f t="shared" si="34"/>
        <v xml:space="preserve"> CLEITON </v>
      </c>
      <c r="AD399" s="2">
        <f t="shared" si="32"/>
        <v>15</v>
      </c>
      <c r="AE399" s="2">
        <f t="shared" ca="1" si="33"/>
        <v>-272.27678090277914</v>
      </c>
      <c r="AF399" s="15"/>
    </row>
    <row r="400" spans="1:32" hidden="1">
      <c r="A400" s="1">
        <v>8638121</v>
      </c>
      <c r="B400" s="1" t="s">
        <v>653</v>
      </c>
      <c r="C400" t="s">
        <v>3580</v>
      </c>
      <c r="E400" s="2">
        <v>3612001400030</v>
      </c>
      <c r="F400" s="1" t="s">
        <v>647</v>
      </c>
      <c r="G400" s="1" t="s">
        <v>53</v>
      </c>
      <c r="H400" s="1" t="s">
        <v>683</v>
      </c>
      <c r="I400" s="1" t="s">
        <v>684</v>
      </c>
      <c r="J400" s="1" t="s">
        <v>46</v>
      </c>
      <c r="K400" t="s">
        <v>650</v>
      </c>
      <c r="M400" s="1" t="s">
        <v>58</v>
      </c>
      <c r="N400" s="1">
        <v>0</v>
      </c>
      <c r="O400" s="1" t="s">
        <v>105</v>
      </c>
      <c r="P400" s="186">
        <v>44713.39949074074</v>
      </c>
      <c r="R400" s="1">
        <v>4</v>
      </c>
      <c r="T400" s="1" t="s">
        <v>646</v>
      </c>
      <c r="U400" s="186">
        <v>44714.39949074074</v>
      </c>
      <c r="V400" s="1" t="s">
        <v>41</v>
      </c>
      <c r="W400" s="1" t="s">
        <v>49</v>
      </c>
      <c r="X400" s="13" t="str">
        <f>IF(RIGHT(H400,2)&lt;&gt;"00",H400,"")</f>
        <v/>
      </c>
      <c r="Y400" s="2">
        <f ca="1">NETWORKDAYS(P400,$Y$1)</f>
        <v>196</v>
      </c>
      <c r="Z400" s="14">
        <v>1</v>
      </c>
      <c r="AA400" s="1" t="str">
        <f t="shared" ca="1" si="30"/>
        <v>VENCIDO</v>
      </c>
      <c r="AB400" s="1" t="str">
        <f t="shared" si="31"/>
        <v>C-14</v>
      </c>
      <c r="AC400" s="2" t="str">
        <f t="shared" si="34"/>
        <v xml:space="preserve"> CLEITON </v>
      </c>
      <c r="AD400" s="2">
        <f t="shared" si="32"/>
        <v>15</v>
      </c>
      <c r="AE400" s="2">
        <f t="shared" ca="1" si="33"/>
        <v>-272.27678090277914</v>
      </c>
      <c r="AF400" s="15"/>
    </row>
    <row r="401" spans="1:32" hidden="1">
      <c r="A401" s="1">
        <v>8638058</v>
      </c>
      <c r="B401" s="1" t="s">
        <v>653</v>
      </c>
      <c r="C401" t="s">
        <v>3580</v>
      </c>
      <c r="E401" s="2">
        <v>3504001400030</v>
      </c>
      <c r="F401" s="1" t="s">
        <v>647</v>
      </c>
      <c r="G401" s="1" t="s">
        <v>53</v>
      </c>
      <c r="H401" s="1" t="s">
        <v>585</v>
      </c>
      <c r="I401" s="1" t="s">
        <v>586</v>
      </c>
      <c r="J401" s="1" t="s">
        <v>46</v>
      </c>
      <c r="K401" t="s">
        <v>650</v>
      </c>
      <c r="M401" s="1" t="s">
        <v>58</v>
      </c>
      <c r="N401" s="1">
        <v>0</v>
      </c>
      <c r="O401" s="1" t="s">
        <v>105</v>
      </c>
      <c r="P401" s="186">
        <v>44713.399282407408</v>
      </c>
      <c r="R401" s="1">
        <v>4</v>
      </c>
      <c r="T401" s="1" t="s">
        <v>646</v>
      </c>
      <c r="U401" s="186">
        <v>44714.399282407408</v>
      </c>
      <c r="V401" s="1" t="s">
        <v>41</v>
      </c>
      <c r="W401" s="1" t="s">
        <v>49</v>
      </c>
      <c r="X401" s="13" t="str">
        <f>IF(RIGHT(H401,2)&lt;&gt;"00",H401,"")</f>
        <v/>
      </c>
      <c r="Y401" s="2">
        <f ca="1">NETWORKDAYS(P401,$Y$1)</f>
        <v>196</v>
      </c>
      <c r="Z401" s="14">
        <v>1</v>
      </c>
      <c r="AA401" s="1" t="str">
        <f t="shared" ca="1" si="30"/>
        <v>VENCIDO</v>
      </c>
      <c r="AB401" s="1" t="str">
        <f t="shared" si="31"/>
        <v>C-14</v>
      </c>
      <c r="AC401" s="2" t="str">
        <f t="shared" si="34"/>
        <v xml:space="preserve"> CLEITON </v>
      </c>
      <c r="AD401" s="2">
        <f t="shared" si="32"/>
        <v>15</v>
      </c>
      <c r="AE401" s="2">
        <f t="shared" ca="1" si="33"/>
        <v>-272.27698923611024</v>
      </c>
      <c r="AF401" s="15"/>
    </row>
    <row r="402" spans="1:32" hidden="1">
      <c r="A402" s="1">
        <v>8638057</v>
      </c>
      <c r="B402" s="1" t="s">
        <v>653</v>
      </c>
      <c r="C402" t="s">
        <v>3580</v>
      </c>
      <c r="E402" s="2">
        <v>3503001400030</v>
      </c>
      <c r="F402" s="1" t="s">
        <v>647</v>
      </c>
      <c r="G402" s="1" t="s">
        <v>53</v>
      </c>
      <c r="H402" s="1" t="s">
        <v>398</v>
      </c>
      <c r="I402" s="1" t="s">
        <v>399</v>
      </c>
      <c r="J402" s="1" t="s">
        <v>46</v>
      </c>
      <c r="K402" t="s">
        <v>650</v>
      </c>
      <c r="M402" s="1" t="s">
        <v>58</v>
      </c>
      <c r="N402" s="1">
        <v>0</v>
      </c>
      <c r="O402" s="1" t="s">
        <v>105</v>
      </c>
      <c r="P402" s="186">
        <v>44713.399282407408</v>
      </c>
      <c r="R402" s="1">
        <v>4</v>
      </c>
      <c r="T402" s="1" t="s">
        <v>646</v>
      </c>
      <c r="U402" s="186">
        <v>44714.399282407408</v>
      </c>
      <c r="V402" s="1" t="s">
        <v>41</v>
      </c>
      <c r="W402" s="1" t="s">
        <v>49</v>
      </c>
      <c r="X402" s="13" t="str">
        <f>IF(RIGHT(H402,2)&lt;&gt;"00",H402,"")</f>
        <v/>
      </c>
      <c r="Y402" s="2">
        <f ca="1">NETWORKDAYS(P402,$Y$1)</f>
        <v>196</v>
      </c>
      <c r="Z402" s="14">
        <v>1</v>
      </c>
      <c r="AA402" s="1" t="str">
        <f t="shared" ca="1" si="30"/>
        <v>VENCIDO</v>
      </c>
      <c r="AB402" s="1" t="str">
        <f t="shared" si="31"/>
        <v>C-14</v>
      </c>
      <c r="AC402" s="2" t="str">
        <f t="shared" si="34"/>
        <v xml:space="preserve"> CLEITON </v>
      </c>
      <c r="AD402" s="2">
        <f t="shared" si="32"/>
        <v>15</v>
      </c>
      <c r="AE402" s="2">
        <f t="shared" ca="1" si="33"/>
        <v>-272.27698923611024</v>
      </c>
      <c r="AF402" s="15"/>
    </row>
    <row r="403" spans="1:32" hidden="1">
      <c r="A403" s="1">
        <v>8637889</v>
      </c>
      <c r="B403" s="1" t="s">
        <v>653</v>
      </c>
      <c r="C403" t="s">
        <v>3580</v>
      </c>
      <c r="E403" s="2">
        <v>3258001400030</v>
      </c>
      <c r="F403" s="1" t="s">
        <v>647</v>
      </c>
      <c r="G403" s="1" t="s">
        <v>53</v>
      </c>
      <c r="H403" s="1" t="s">
        <v>321</v>
      </c>
      <c r="I403" s="1" t="s">
        <v>322</v>
      </c>
      <c r="J403" s="1" t="s">
        <v>46</v>
      </c>
      <c r="K403" t="s">
        <v>650</v>
      </c>
      <c r="M403" s="1" t="s">
        <v>58</v>
      </c>
      <c r="N403" s="1">
        <v>0</v>
      </c>
      <c r="O403" s="1" t="s">
        <v>105</v>
      </c>
      <c r="P403" s="186">
        <v>44713.398854166669</v>
      </c>
      <c r="R403" s="1">
        <v>4</v>
      </c>
      <c r="T403" s="1" t="s">
        <v>646</v>
      </c>
      <c r="U403" s="186">
        <v>44714.398854166669</v>
      </c>
      <c r="V403" s="1" t="s">
        <v>41</v>
      </c>
      <c r="W403" s="1" t="s">
        <v>49</v>
      </c>
      <c r="X403" s="13" t="str">
        <f>IF(RIGHT(H403,2)&lt;&gt;"00",H403,"")</f>
        <v/>
      </c>
      <c r="Y403" s="2">
        <f ca="1">NETWORKDAYS(P403,$Y$1)</f>
        <v>196</v>
      </c>
      <c r="Z403" s="14">
        <v>1</v>
      </c>
      <c r="AA403" s="1" t="str">
        <f t="shared" ca="1" si="30"/>
        <v>VENCIDO</v>
      </c>
      <c r="AB403" s="1" t="str">
        <f t="shared" si="31"/>
        <v>C-14</v>
      </c>
      <c r="AC403" s="2" t="str">
        <f t="shared" si="34"/>
        <v xml:space="preserve"> CLEITON </v>
      </c>
      <c r="AD403" s="2">
        <f t="shared" si="32"/>
        <v>15</v>
      </c>
      <c r="AE403" s="2">
        <f t="shared" ca="1" si="33"/>
        <v>-272.27741747684922</v>
      </c>
      <c r="AF403" s="15"/>
    </row>
    <row r="404" spans="1:32" hidden="1">
      <c r="A404" s="1">
        <v>8637878</v>
      </c>
      <c r="B404" s="1" t="s">
        <v>653</v>
      </c>
      <c r="C404" t="s">
        <v>3580</v>
      </c>
      <c r="E404" s="2">
        <v>3243001400030</v>
      </c>
      <c r="F404" s="1" t="s">
        <v>647</v>
      </c>
      <c r="G404" s="1" t="s">
        <v>53</v>
      </c>
      <c r="H404" s="1" t="s">
        <v>282</v>
      </c>
      <c r="I404" s="1" t="s">
        <v>283</v>
      </c>
      <c r="J404" s="1" t="s">
        <v>46</v>
      </c>
      <c r="K404" t="s">
        <v>650</v>
      </c>
      <c r="M404" s="1" t="s">
        <v>58</v>
      </c>
      <c r="N404" s="1">
        <v>0</v>
      </c>
      <c r="O404" s="1" t="s">
        <v>105</v>
      </c>
      <c r="P404" s="186">
        <v>44713.398842592593</v>
      </c>
      <c r="R404" s="1">
        <v>4</v>
      </c>
      <c r="T404" s="1" t="s">
        <v>646</v>
      </c>
      <c r="U404" s="186">
        <v>44714.398842592593</v>
      </c>
      <c r="V404" s="1" t="s">
        <v>41</v>
      </c>
      <c r="W404" s="1" t="s">
        <v>49</v>
      </c>
      <c r="X404" s="13" t="str">
        <f>IF(RIGHT(H404,2)&lt;&gt;"00",H404,"")</f>
        <v/>
      </c>
      <c r="Y404" s="2">
        <f ca="1">NETWORKDAYS(P404,$Y$1)</f>
        <v>196</v>
      </c>
      <c r="Z404" s="14">
        <v>1</v>
      </c>
      <c r="AA404" s="1" t="str">
        <f t="shared" ca="1" si="30"/>
        <v>VENCIDO</v>
      </c>
      <c r="AB404" s="1" t="str">
        <f t="shared" si="31"/>
        <v>C-14</v>
      </c>
      <c r="AC404" s="2" t="str">
        <f t="shared" si="34"/>
        <v xml:space="preserve"> CLEITON </v>
      </c>
      <c r="AD404" s="2">
        <f t="shared" si="32"/>
        <v>15</v>
      </c>
      <c r="AE404" s="2">
        <f t="shared" ca="1" si="33"/>
        <v>-272.277429050926</v>
      </c>
      <c r="AF404" s="15"/>
    </row>
    <row r="405" spans="1:32" hidden="1">
      <c r="A405" s="1">
        <v>8637875</v>
      </c>
      <c r="B405" s="1" t="s">
        <v>653</v>
      </c>
      <c r="C405" t="s">
        <v>3580</v>
      </c>
      <c r="E405" s="2">
        <v>3237001400030</v>
      </c>
      <c r="F405" s="1" t="s">
        <v>647</v>
      </c>
      <c r="G405" s="1" t="s">
        <v>53</v>
      </c>
      <c r="H405" s="1" t="s">
        <v>287</v>
      </c>
      <c r="I405" s="1" t="s">
        <v>288</v>
      </c>
      <c r="J405" s="1" t="s">
        <v>46</v>
      </c>
      <c r="K405" t="s">
        <v>650</v>
      </c>
      <c r="M405" s="1" t="s">
        <v>58</v>
      </c>
      <c r="N405" s="1">
        <v>0</v>
      </c>
      <c r="O405" s="1" t="s">
        <v>105</v>
      </c>
      <c r="P405" s="186">
        <v>44713.398831018516</v>
      </c>
      <c r="R405" s="1">
        <v>4</v>
      </c>
      <c r="T405" s="1" t="s">
        <v>646</v>
      </c>
      <c r="U405" s="186">
        <v>44714.398831018516</v>
      </c>
      <c r="V405" s="1" t="s">
        <v>41</v>
      </c>
      <c r="W405" s="1" t="s">
        <v>49</v>
      </c>
      <c r="X405" s="13" t="str">
        <f>IF(RIGHT(H405,2)&lt;&gt;"00",H405,"")</f>
        <v/>
      </c>
      <c r="Y405" s="2">
        <f ca="1">NETWORKDAYS(P405,$Y$1)</f>
        <v>196</v>
      </c>
      <c r="Z405" s="14">
        <v>1</v>
      </c>
      <c r="AA405" s="1" t="str">
        <f t="shared" ca="1" si="30"/>
        <v>VENCIDO</v>
      </c>
      <c r="AB405" s="1" t="str">
        <f t="shared" si="31"/>
        <v>C-14</v>
      </c>
      <c r="AC405" s="2" t="str">
        <f t="shared" si="34"/>
        <v xml:space="preserve"> CLEITON </v>
      </c>
      <c r="AD405" s="2">
        <f t="shared" si="32"/>
        <v>15</v>
      </c>
      <c r="AE405" s="2">
        <f t="shared" ca="1" si="33"/>
        <v>-272.27744062500278</v>
      </c>
      <c r="AF405" s="15"/>
    </row>
    <row r="406" spans="1:32" hidden="1">
      <c r="A406" s="1">
        <v>8637700</v>
      </c>
      <c r="B406" s="1" t="s">
        <v>653</v>
      </c>
      <c r="C406" t="s">
        <v>3580</v>
      </c>
      <c r="E406" s="2">
        <v>2988001400030</v>
      </c>
      <c r="F406" s="1" t="s">
        <v>647</v>
      </c>
      <c r="G406" s="1" t="s">
        <v>53</v>
      </c>
      <c r="H406" s="1" t="s">
        <v>536</v>
      </c>
      <c r="I406" s="1" t="s">
        <v>537</v>
      </c>
      <c r="J406" s="1" t="s">
        <v>46</v>
      </c>
      <c r="K406" t="s">
        <v>650</v>
      </c>
      <c r="M406" s="1" t="s">
        <v>58</v>
      </c>
      <c r="N406" s="1">
        <v>0</v>
      </c>
      <c r="O406" s="1" t="s">
        <v>105</v>
      </c>
      <c r="P406" s="186">
        <v>44713.398344907408</v>
      </c>
      <c r="R406" s="1">
        <v>4</v>
      </c>
      <c r="T406" s="1" t="s">
        <v>646</v>
      </c>
      <c r="U406" s="186">
        <v>44714.398356481484</v>
      </c>
      <c r="V406" s="1" t="s">
        <v>41</v>
      </c>
      <c r="W406" s="1" t="s">
        <v>49</v>
      </c>
      <c r="X406" s="13" t="str">
        <f>IF(RIGHT(H406,2)&lt;&gt;"00",H406,"")</f>
        <v/>
      </c>
      <c r="Y406" s="2">
        <f ca="1">NETWORKDAYS(P406,$Y$1)</f>
        <v>196</v>
      </c>
      <c r="Z406" s="14">
        <v>1</v>
      </c>
      <c r="AA406" s="1" t="str">
        <f t="shared" ca="1" si="30"/>
        <v>VENCIDO</v>
      </c>
      <c r="AB406" s="1" t="str">
        <f t="shared" si="31"/>
        <v>C-14</v>
      </c>
      <c r="AC406" s="2" t="str">
        <f t="shared" si="34"/>
        <v xml:space="preserve"> CLEITON </v>
      </c>
      <c r="AD406" s="2">
        <f t="shared" si="32"/>
        <v>15</v>
      </c>
      <c r="AE406" s="2">
        <f t="shared" ca="1" si="33"/>
        <v>-272.27791516203433</v>
      </c>
      <c r="AF406" s="15"/>
    </row>
    <row r="407" spans="1:32" hidden="1">
      <c r="A407" s="1">
        <v>8637582</v>
      </c>
      <c r="B407" s="1" t="s">
        <v>653</v>
      </c>
      <c r="C407" t="s">
        <v>3580</v>
      </c>
      <c r="E407" s="2">
        <v>2830001400030</v>
      </c>
      <c r="F407" s="1" t="s">
        <v>647</v>
      </c>
      <c r="G407" s="1" t="s">
        <v>53</v>
      </c>
      <c r="H407" s="1" t="s">
        <v>448</v>
      </c>
      <c r="I407" s="1" t="s">
        <v>449</v>
      </c>
      <c r="J407" s="1" t="s">
        <v>33</v>
      </c>
      <c r="K407" t="s">
        <v>650</v>
      </c>
      <c r="M407" s="1" t="s">
        <v>58</v>
      </c>
      <c r="N407" s="1">
        <v>0</v>
      </c>
      <c r="O407" s="1" t="s">
        <v>105</v>
      </c>
      <c r="P407" s="186">
        <v>44713.397939814815</v>
      </c>
      <c r="R407" s="1">
        <v>4</v>
      </c>
      <c r="T407" s="1" t="s">
        <v>646</v>
      </c>
      <c r="U407" s="186">
        <v>44714.397939814815</v>
      </c>
      <c r="V407" s="1" t="s">
        <v>41</v>
      </c>
      <c r="W407" s="1" t="s">
        <v>42</v>
      </c>
      <c r="X407" s="13" t="str">
        <f>IF(RIGHT(H407,2)&lt;&gt;"00",H407,"")</f>
        <v/>
      </c>
      <c r="Y407" s="2">
        <f ca="1">NETWORKDAYS(P407,$Y$1)</f>
        <v>196</v>
      </c>
      <c r="Z407" s="14">
        <v>1</v>
      </c>
      <c r="AA407" s="1" t="str">
        <f t="shared" ca="1" si="30"/>
        <v>VENCIDO</v>
      </c>
      <c r="AB407" s="1" t="str">
        <f t="shared" si="31"/>
        <v>C-14</v>
      </c>
      <c r="AC407" s="2" t="str">
        <f t="shared" si="34"/>
        <v xml:space="preserve"> ROSEMERE </v>
      </c>
      <c r="AD407" s="2">
        <f t="shared" si="32"/>
        <v>15</v>
      </c>
      <c r="AE407" s="2">
        <f t="shared" ca="1" si="33"/>
        <v>-272.27833182870381</v>
      </c>
      <c r="AF407" s="15"/>
    </row>
    <row r="408" spans="1:32" hidden="1">
      <c r="A408" s="1">
        <v>8637567</v>
      </c>
      <c r="B408" s="1" t="s">
        <v>653</v>
      </c>
      <c r="C408" t="s">
        <v>3580</v>
      </c>
      <c r="E408" s="2">
        <v>2811001400030</v>
      </c>
      <c r="F408" s="1" t="s">
        <v>647</v>
      </c>
      <c r="G408" s="1" t="s">
        <v>53</v>
      </c>
      <c r="H408" s="1" t="s">
        <v>44</v>
      </c>
      <c r="I408" s="1" t="s">
        <v>45</v>
      </c>
      <c r="J408" s="1" t="s">
        <v>46</v>
      </c>
      <c r="K408" t="s">
        <v>650</v>
      </c>
      <c r="M408" s="1" t="s">
        <v>58</v>
      </c>
      <c r="N408" s="1">
        <v>0</v>
      </c>
      <c r="O408" s="1" t="s">
        <v>105</v>
      </c>
      <c r="P408" s="186">
        <v>44713.397928240738</v>
      </c>
      <c r="R408" s="1">
        <v>4</v>
      </c>
      <c r="T408" s="1" t="s">
        <v>646</v>
      </c>
      <c r="U408" s="186">
        <v>44714.397928240738</v>
      </c>
      <c r="V408" s="1" t="s">
        <v>41</v>
      </c>
      <c r="W408" s="1" t="s">
        <v>49</v>
      </c>
      <c r="X408" s="13" t="str">
        <f>IF(RIGHT(H408,2)&lt;&gt;"00",H408,"")</f>
        <v/>
      </c>
      <c r="Y408" s="2">
        <f ca="1">NETWORKDAYS(P408,$Y$1)</f>
        <v>196</v>
      </c>
      <c r="Z408" s="14">
        <v>1</v>
      </c>
      <c r="AA408" s="1" t="str">
        <f t="shared" ca="1" si="30"/>
        <v>VENCIDO</v>
      </c>
      <c r="AB408" s="1" t="str">
        <f t="shared" si="31"/>
        <v>C-14</v>
      </c>
      <c r="AC408" s="2" t="str">
        <f t="shared" si="34"/>
        <v xml:space="preserve"> CLEITON </v>
      </c>
      <c r="AD408" s="2">
        <f t="shared" si="32"/>
        <v>15</v>
      </c>
      <c r="AE408" s="2">
        <f t="shared" ca="1" si="33"/>
        <v>-272.27834340278059</v>
      </c>
      <c r="AF408" s="15"/>
    </row>
    <row r="409" spans="1:32" hidden="1">
      <c r="A409" s="1">
        <v>8637560</v>
      </c>
      <c r="B409" s="1" t="s">
        <v>653</v>
      </c>
      <c r="C409" t="s">
        <v>3580</v>
      </c>
      <c r="E409" s="2">
        <v>2802001400030</v>
      </c>
      <c r="F409" s="1" t="s">
        <v>647</v>
      </c>
      <c r="G409" s="1" t="s">
        <v>53</v>
      </c>
      <c r="H409" s="1" t="s">
        <v>388</v>
      </c>
      <c r="I409" s="1" t="s">
        <v>389</v>
      </c>
      <c r="J409" s="1" t="s">
        <v>46</v>
      </c>
      <c r="K409" t="s">
        <v>650</v>
      </c>
      <c r="M409" s="1" t="s">
        <v>58</v>
      </c>
      <c r="N409" s="1">
        <v>0</v>
      </c>
      <c r="O409" s="1" t="s">
        <v>105</v>
      </c>
      <c r="P409" s="186">
        <v>44713.397916666669</v>
      </c>
      <c r="R409" s="1">
        <v>4</v>
      </c>
      <c r="T409" s="1" t="s">
        <v>646</v>
      </c>
      <c r="U409" s="186">
        <v>44714.397916666669</v>
      </c>
      <c r="V409" s="1" t="s">
        <v>41</v>
      </c>
      <c r="W409" s="1" t="s">
        <v>49</v>
      </c>
      <c r="X409" s="13" t="str">
        <f>IF(RIGHT(H409,2)&lt;&gt;"00",H409,"")</f>
        <v/>
      </c>
      <c r="Y409" s="2">
        <f ca="1">NETWORKDAYS(P409,$Y$1)</f>
        <v>196</v>
      </c>
      <c r="Z409" s="14">
        <v>1</v>
      </c>
      <c r="AA409" s="1" t="str">
        <f t="shared" ca="1" si="30"/>
        <v>VENCIDO</v>
      </c>
      <c r="AB409" s="1" t="str">
        <f t="shared" si="31"/>
        <v>C-14</v>
      </c>
      <c r="AC409" s="2" t="str">
        <f t="shared" si="34"/>
        <v xml:space="preserve"> CLEITON </v>
      </c>
      <c r="AD409" s="2">
        <f t="shared" si="32"/>
        <v>15</v>
      </c>
      <c r="AE409" s="2">
        <f t="shared" ca="1" si="33"/>
        <v>-272.2783549768501</v>
      </c>
      <c r="AF409" s="15"/>
    </row>
    <row r="410" spans="1:32" hidden="1">
      <c r="A410" s="1">
        <v>8637412</v>
      </c>
      <c r="B410" s="1" t="s">
        <v>653</v>
      </c>
      <c r="C410" t="s">
        <v>3580</v>
      </c>
      <c r="E410" s="2">
        <v>2625001400030</v>
      </c>
      <c r="F410" s="1" t="s">
        <v>647</v>
      </c>
      <c r="G410" s="1" t="s">
        <v>53</v>
      </c>
      <c r="H410" s="1" t="s">
        <v>317</v>
      </c>
      <c r="I410" s="1" t="s">
        <v>318</v>
      </c>
      <c r="J410" s="1" t="s">
        <v>164</v>
      </c>
      <c r="K410" t="s">
        <v>650</v>
      </c>
      <c r="M410" s="1" t="s">
        <v>58</v>
      </c>
      <c r="N410" s="1">
        <v>0</v>
      </c>
      <c r="O410" s="1" t="s">
        <v>105</v>
      </c>
      <c r="P410" s="186">
        <v>44713.397581018522</v>
      </c>
      <c r="R410" s="1">
        <v>4</v>
      </c>
      <c r="T410" s="1" t="s">
        <v>646</v>
      </c>
      <c r="U410" s="186">
        <v>44714.397581018522</v>
      </c>
      <c r="V410" s="1" t="s">
        <v>41</v>
      </c>
      <c r="W410" s="1" t="s">
        <v>49</v>
      </c>
      <c r="X410" s="13" t="str">
        <f>IF(RIGHT(H410,2)&lt;&gt;"00",H410,"")</f>
        <v/>
      </c>
      <c r="Y410" s="2">
        <f ca="1">NETWORKDAYS(P410,$Y$1)</f>
        <v>196</v>
      </c>
      <c r="Z410" s="14">
        <v>1</v>
      </c>
      <c r="AA410" s="1" t="str">
        <f t="shared" ca="1" si="30"/>
        <v>VENCIDO</v>
      </c>
      <c r="AB410" s="1" t="str">
        <f t="shared" si="31"/>
        <v>C-14</v>
      </c>
      <c r="AC410" s="2" t="str">
        <f t="shared" si="34"/>
        <v xml:space="preserve"> ROSEMERE </v>
      </c>
      <c r="AD410" s="2">
        <f t="shared" si="32"/>
        <v>15</v>
      </c>
      <c r="AE410" s="2">
        <f t="shared" ca="1" si="33"/>
        <v>-272.27869062499667</v>
      </c>
      <c r="AF410" s="15"/>
    </row>
    <row r="411" spans="1:32" hidden="1">
      <c r="A411" s="1">
        <v>8637224</v>
      </c>
      <c r="B411" s="1" t="s">
        <v>653</v>
      </c>
      <c r="C411" t="s">
        <v>3580</v>
      </c>
      <c r="E411" s="2">
        <v>2388001400030</v>
      </c>
      <c r="F411" s="1" t="s">
        <v>647</v>
      </c>
      <c r="G411" s="1" t="s">
        <v>53</v>
      </c>
      <c r="H411" s="1" t="s">
        <v>299</v>
      </c>
      <c r="I411" s="1" t="s">
        <v>300</v>
      </c>
      <c r="J411" s="1" t="s">
        <v>79</v>
      </c>
      <c r="K411" t="s">
        <v>650</v>
      </c>
      <c r="M411" s="1" t="s">
        <v>58</v>
      </c>
      <c r="N411" s="1">
        <v>0</v>
      </c>
      <c r="O411" s="1" t="s">
        <v>105</v>
      </c>
      <c r="P411" s="186">
        <v>44713.397094907406</v>
      </c>
      <c r="R411" s="1">
        <v>4</v>
      </c>
      <c r="T411" s="1" t="s">
        <v>646</v>
      </c>
      <c r="U411" s="186">
        <v>44714.397094907406</v>
      </c>
      <c r="V411" s="1" t="s">
        <v>41</v>
      </c>
      <c r="W411" s="1" t="s">
        <v>49</v>
      </c>
      <c r="X411" s="13" t="str">
        <f>IF(RIGHT(H411,2)&lt;&gt;"00",H411,"")</f>
        <v/>
      </c>
      <c r="Y411" s="2">
        <f ca="1">NETWORKDAYS(P411,$Y$1)</f>
        <v>196</v>
      </c>
      <c r="Z411" s="14">
        <v>1</v>
      </c>
      <c r="AA411" s="1" t="str">
        <f t="shared" ca="1" si="30"/>
        <v>VENCIDO</v>
      </c>
      <c r="AB411" s="1" t="str">
        <f t="shared" si="31"/>
        <v>C-14</v>
      </c>
      <c r="AC411" s="2" t="str">
        <f t="shared" si="34"/>
        <v xml:space="preserve"> ROSEMERE </v>
      </c>
      <c r="AD411" s="2">
        <f t="shared" si="32"/>
        <v>15</v>
      </c>
      <c r="AE411" s="2">
        <f t="shared" ca="1" si="33"/>
        <v>-272.27917673611228</v>
      </c>
      <c r="AF411" s="15"/>
    </row>
    <row r="412" spans="1:32" hidden="1">
      <c r="A412" s="1">
        <v>8637210</v>
      </c>
      <c r="B412" s="1" t="s">
        <v>653</v>
      </c>
      <c r="C412" t="s">
        <v>3580</v>
      </c>
      <c r="E412" s="2">
        <v>2369001400030</v>
      </c>
      <c r="F412" s="1" t="s">
        <v>647</v>
      </c>
      <c r="G412" s="1" t="s">
        <v>53</v>
      </c>
      <c r="H412" s="1" t="s">
        <v>701</v>
      </c>
      <c r="I412" s="1" t="s">
        <v>702</v>
      </c>
      <c r="J412" s="1" t="s">
        <v>141</v>
      </c>
      <c r="K412" t="s">
        <v>650</v>
      </c>
      <c r="M412" s="1" t="s">
        <v>58</v>
      </c>
      <c r="N412" s="1">
        <v>0</v>
      </c>
      <c r="O412" s="1" t="s">
        <v>105</v>
      </c>
      <c r="P412" s="186">
        <v>44713.39707175926</v>
      </c>
      <c r="R412" s="1">
        <v>4</v>
      </c>
      <c r="T412" s="1" t="s">
        <v>646</v>
      </c>
      <c r="U412" s="186">
        <v>44714.39707175926</v>
      </c>
      <c r="V412" s="1" t="s">
        <v>41</v>
      </c>
      <c r="W412" s="1" t="s">
        <v>49</v>
      </c>
      <c r="X412" s="13" t="str">
        <f>IF(RIGHT(H412,2)&lt;&gt;"00",H412,"")</f>
        <v/>
      </c>
      <c r="Y412" s="2">
        <f ca="1">NETWORKDAYS(P412,$Y$1)</f>
        <v>196</v>
      </c>
      <c r="Z412" s="14">
        <v>1</v>
      </c>
      <c r="AA412" s="1" t="str">
        <f t="shared" ca="1" si="30"/>
        <v>VENCIDO</v>
      </c>
      <c r="AB412" s="1" t="str">
        <f t="shared" si="31"/>
        <v>C-14</v>
      </c>
      <c r="AC412" s="2" t="str">
        <f t="shared" si="34"/>
        <v xml:space="preserve"> CRISTINA </v>
      </c>
      <c r="AD412" s="2">
        <f t="shared" si="32"/>
        <v>15</v>
      </c>
      <c r="AE412" s="2">
        <f t="shared" ca="1" si="33"/>
        <v>-272.27919988425856</v>
      </c>
      <c r="AF412" s="15"/>
    </row>
    <row r="413" spans="1:32" hidden="1">
      <c r="A413" s="1">
        <v>8637207</v>
      </c>
      <c r="B413" s="1" t="s">
        <v>653</v>
      </c>
      <c r="C413" t="s">
        <v>3580</v>
      </c>
      <c r="E413" s="2">
        <v>2365001400030</v>
      </c>
      <c r="F413" s="1" t="s">
        <v>647</v>
      </c>
      <c r="G413" s="1" t="s">
        <v>53</v>
      </c>
      <c r="H413" s="1" t="s">
        <v>159</v>
      </c>
      <c r="I413" s="1" t="s">
        <v>160</v>
      </c>
      <c r="J413" s="1" t="s">
        <v>46</v>
      </c>
      <c r="K413" t="s">
        <v>650</v>
      </c>
      <c r="M413" s="1" t="s">
        <v>58</v>
      </c>
      <c r="N413" s="1">
        <v>0</v>
      </c>
      <c r="O413" s="1" t="s">
        <v>105</v>
      </c>
      <c r="P413" s="186">
        <v>44713.397060185183</v>
      </c>
      <c r="R413" s="1">
        <v>4</v>
      </c>
      <c r="T413" s="1" t="s">
        <v>646</v>
      </c>
      <c r="U413" s="186">
        <v>44714.39707175926</v>
      </c>
      <c r="V413" s="1" t="s">
        <v>41</v>
      </c>
      <c r="W413" s="1" t="s">
        <v>49</v>
      </c>
      <c r="X413" s="13" t="str">
        <f>IF(RIGHT(H413,2)&lt;&gt;"00",H413,"")</f>
        <v/>
      </c>
      <c r="Y413" s="2">
        <f ca="1">NETWORKDAYS(P413,$Y$1)</f>
        <v>196</v>
      </c>
      <c r="Z413" s="14">
        <v>1</v>
      </c>
      <c r="AA413" s="1" t="str">
        <f t="shared" ca="1" si="30"/>
        <v>VENCIDO</v>
      </c>
      <c r="AB413" s="1" t="str">
        <f t="shared" si="31"/>
        <v>C-14</v>
      </c>
      <c r="AC413" s="2" t="str">
        <f t="shared" si="34"/>
        <v xml:space="preserve"> CLEITON </v>
      </c>
      <c r="AD413" s="2">
        <f t="shared" si="32"/>
        <v>15</v>
      </c>
      <c r="AE413" s="2">
        <f t="shared" ca="1" si="33"/>
        <v>-272.27919988425856</v>
      </c>
      <c r="AF413" s="15"/>
    </row>
    <row r="414" spans="1:32" hidden="1">
      <c r="A414" s="1">
        <v>8637176</v>
      </c>
      <c r="B414" s="1" t="s">
        <v>653</v>
      </c>
      <c r="C414" t="s">
        <v>3580</v>
      </c>
      <c r="E414" s="2">
        <v>2326001400030</v>
      </c>
      <c r="F414" s="1" t="s">
        <v>647</v>
      </c>
      <c r="G414" s="1" t="s">
        <v>53</v>
      </c>
      <c r="H414" s="1" t="s">
        <v>191</v>
      </c>
      <c r="I414" s="1" t="s">
        <v>192</v>
      </c>
      <c r="J414" s="1" t="s">
        <v>46</v>
      </c>
      <c r="K414" t="s">
        <v>650</v>
      </c>
      <c r="M414" s="1" t="s">
        <v>58</v>
      </c>
      <c r="N414" s="1">
        <v>0</v>
      </c>
      <c r="O414" s="1" t="s">
        <v>105</v>
      </c>
      <c r="P414" s="186">
        <v>44713.397013888891</v>
      </c>
      <c r="R414" s="1">
        <v>4</v>
      </c>
      <c r="T414" s="1" t="s">
        <v>646</v>
      </c>
      <c r="U414" s="186">
        <v>44714.397013888891</v>
      </c>
      <c r="V414" s="1" t="s">
        <v>41</v>
      </c>
      <c r="W414" s="1" t="s">
        <v>49</v>
      </c>
      <c r="X414" s="13" t="str">
        <f>IF(RIGHT(H414,2)&lt;&gt;"00",H414,"")</f>
        <v/>
      </c>
      <c r="Y414" s="2">
        <f ca="1">NETWORKDAYS(P414,$Y$1)</f>
        <v>196</v>
      </c>
      <c r="Z414" s="14">
        <v>1</v>
      </c>
      <c r="AA414" s="1" t="str">
        <f t="shared" ca="1" si="30"/>
        <v>VENCIDO</v>
      </c>
      <c r="AB414" s="1" t="str">
        <f t="shared" si="31"/>
        <v>C-14</v>
      </c>
      <c r="AC414" s="2" t="str">
        <f t="shared" si="34"/>
        <v xml:space="preserve"> CLEITON </v>
      </c>
      <c r="AD414" s="2">
        <f t="shared" si="32"/>
        <v>15</v>
      </c>
      <c r="AE414" s="2">
        <f t="shared" ca="1" si="33"/>
        <v>-272.27925775462791</v>
      </c>
      <c r="AF414" s="15"/>
    </row>
    <row r="415" spans="1:32" hidden="1">
      <c r="A415" s="1">
        <v>8637101</v>
      </c>
      <c r="B415" s="1" t="s">
        <v>653</v>
      </c>
      <c r="C415" t="s">
        <v>3580</v>
      </c>
      <c r="E415" s="2">
        <v>2238001400030</v>
      </c>
      <c r="F415" s="1" t="s">
        <v>647</v>
      </c>
      <c r="G415" s="1" t="s">
        <v>53</v>
      </c>
      <c r="H415" s="1" t="s">
        <v>707</v>
      </c>
      <c r="I415" s="1" t="s">
        <v>708</v>
      </c>
      <c r="J415" s="1" t="s">
        <v>79</v>
      </c>
      <c r="K415" t="s">
        <v>650</v>
      </c>
      <c r="M415" s="1" t="s">
        <v>58</v>
      </c>
      <c r="N415" s="1">
        <v>0</v>
      </c>
      <c r="O415" s="1" t="s">
        <v>105</v>
      </c>
      <c r="P415" s="186">
        <v>44713.396805555552</v>
      </c>
      <c r="R415" s="1">
        <v>4</v>
      </c>
      <c r="T415" s="1" t="s">
        <v>646</v>
      </c>
      <c r="U415" s="186">
        <v>44714.396817129629</v>
      </c>
      <c r="V415" s="1" t="s">
        <v>41</v>
      </c>
      <c r="W415" s="1" t="s">
        <v>49</v>
      </c>
      <c r="X415" s="13" t="str">
        <f>IF(RIGHT(H415,2)&lt;&gt;"00",H415,"")</f>
        <v/>
      </c>
      <c r="Y415" s="2">
        <f ca="1">NETWORKDAYS(P415,$Y$1)</f>
        <v>196</v>
      </c>
      <c r="Z415" s="14">
        <v>1</v>
      </c>
      <c r="AA415" s="1" t="str">
        <f t="shared" ca="1" si="30"/>
        <v>VENCIDO</v>
      </c>
      <c r="AB415" s="1" t="str">
        <f t="shared" si="31"/>
        <v>C-14</v>
      </c>
      <c r="AC415" s="2" t="str">
        <f t="shared" si="34"/>
        <v xml:space="preserve"> ROSEMERE </v>
      </c>
      <c r="AD415" s="2">
        <f t="shared" si="32"/>
        <v>15</v>
      </c>
      <c r="AE415" s="2">
        <f t="shared" ca="1" si="33"/>
        <v>-272.2794545138895</v>
      </c>
      <c r="AF415" s="15"/>
    </row>
    <row r="416" spans="1:32" hidden="1">
      <c r="A416" s="1">
        <v>8637084</v>
      </c>
      <c r="B416" s="1" t="s">
        <v>653</v>
      </c>
      <c r="C416" t="s">
        <v>3580</v>
      </c>
      <c r="E416" s="2">
        <v>2219001400030</v>
      </c>
      <c r="F416" s="1" t="s">
        <v>647</v>
      </c>
      <c r="G416" s="1" t="s">
        <v>53</v>
      </c>
      <c r="H416" s="1" t="s">
        <v>893</v>
      </c>
      <c r="I416" s="1" t="s">
        <v>894</v>
      </c>
      <c r="J416" s="1" t="s">
        <v>141</v>
      </c>
      <c r="K416" t="s">
        <v>650</v>
      </c>
      <c r="M416" s="1" t="s">
        <v>58</v>
      </c>
      <c r="N416" s="1">
        <v>0</v>
      </c>
      <c r="O416" s="1" t="s">
        <v>105</v>
      </c>
      <c r="P416" s="186">
        <v>44713.396793981483</v>
      </c>
      <c r="R416" s="1">
        <v>4</v>
      </c>
      <c r="T416" s="1" t="s">
        <v>646</v>
      </c>
      <c r="U416" s="186">
        <v>44714.396793981483</v>
      </c>
      <c r="V416" s="1" t="s">
        <v>41</v>
      </c>
      <c r="W416" s="1" t="s">
        <v>49</v>
      </c>
      <c r="X416" s="13" t="str">
        <f>IF(RIGHT(H416,2)&lt;&gt;"00",H416,"")</f>
        <v/>
      </c>
      <c r="Y416" s="2">
        <f ca="1">NETWORKDAYS(P416,$Y$1)</f>
        <v>196</v>
      </c>
      <c r="Z416" s="14">
        <v>1</v>
      </c>
      <c r="AA416" s="1" t="str">
        <f t="shared" ca="1" si="30"/>
        <v>VENCIDO</v>
      </c>
      <c r="AB416" s="1" t="str">
        <f t="shared" si="31"/>
        <v>C-14</v>
      </c>
      <c r="AC416" s="2" t="str">
        <f t="shared" si="34"/>
        <v xml:space="preserve"> CRISTINA </v>
      </c>
      <c r="AD416" s="2">
        <f t="shared" si="32"/>
        <v>15</v>
      </c>
      <c r="AE416" s="2">
        <f t="shared" ca="1" si="33"/>
        <v>-272.27947766203579</v>
      </c>
      <c r="AF416" s="15"/>
    </row>
    <row r="417" spans="1:32" hidden="1">
      <c r="A417" s="1">
        <v>8637010</v>
      </c>
      <c r="B417" s="1" t="s">
        <v>653</v>
      </c>
      <c r="C417" t="s">
        <v>3580</v>
      </c>
      <c r="E417" s="2">
        <v>2138001400030</v>
      </c>
      <c r="F417" s="1" t="s">
        <v>647</v>
      </c>
      <c r="G417" s="1" t="s">
        <v>53</v>
      </c>
      <c r="H417" s="1" t="s">
        <v>379</v>
      </c>
      <c r="I417" s="1" t="s">
        <v>380</v>
      </c>
      <c r="J417" s="1" t="s">
        <v>46</v>
      </c>
      <c r="K417" t="s">
        <v>650</v>
      </c>
      <c r="M417" s="1" t="s">
        <v>58</v>
      </c>
      <c r="N417" s="1">
        <v>0</v>
      </c>
      <c r="O417" s="1" t="s">
        <v>105</v>
      </c>
      <c r="P417" s="186">
        <v>44713.396608796298</v>
      </c>
      <c r="R417" s="1">
        <v>4</v>
      </c>
      <c r="T417" s="1" t="s">
        <v>646</v>
      </c>
      <c r="U417" s="186">
        <v>44714.396608796298</v>
      </c>
      <c r="V417" s="1" t="s">
        <v>41</v>
      </c>
      <c r="W417" s="1" t="s">
        <v>49</v>
      </c>
      <c r="X417" s="13" t="str">
        <f>IF(RIGHT(H417,2)&lt;&gt;"00",H417,"")</f>
        <v/>
      </c>
      <c r="Y417" s="2">
        <f ca="1">NETWORKDAYS(P417,$Y$1)</f>
        <v>196</v>
      </c>
      <c r="Z417" s="14">
        <v>1</v>
      </c>
      <c r="AA417" s="1" t="str">
        <f t="shared" ca="1" si="30"/>
        <v>VENCIDO</v>
      </c>
      <c r="AB417" s="1" t="str">
        <f t="shared" si="31"/>
        <v>C-14</v>
      </c>
      <c r="AC417" s="2" t="str">
        <f t="shared" si="34"/>
        <v xml:space="preserve"> CLEITON </v>
      </c>
      <c r="AD417" s="2">
        <f t="shared" si="32"/>
        <v>15</v>
      </c>
      <c r="AE417" s="2">
        <f t="shared" ca="1" si="33"/>
        <v>-272.27966284722061</v>
      </c>
      <c r="AF417" s="15"/>
    </row>
    <row r="418" spans="1:32" hidden="1">
      <c r="A418" s="1">
        <v>8636954</v>
      </c>
      <c r="B418" s="1" t="s">
        <v>653</v>
      </c>
      <c r="C418" t="s">
        <v>3580</v>
      </c>
      <c r="E418" s="2">
        <v>2069001400030</v>
      </c>
      <c r="F418" s="1" t="s">
        <v>647</v>
      </c>
      <c r="G418" s="1" t="s">
        <v>53</v>
      </c>
      <c r="H418" s="1" t="s">
        <v>557</v>
      </c>
      <c r="I418" s="1" t="s">
        <v>558</v>
      </c>
      <c r="J418" s="1" t="s">
        <v>90</v>
      </c>
      <c r="K418" t="s">
        <v>650</v>
      </c>
      <c r="M418" s="1" t="s">
        <v>58</v>
      </c>
      <c r="N418" s="1">
        <v>0</v>
      </c>
      <c r="O418" s="1" t="s">
        <v>105</v>
      </c>
      <c r="P418" s="186">
        <v>44713.396458333336</v>
      </c>
      <c r="R418" s="1">
        <v>4</v>
      </c>
      <c r="T418" s="1" t="s">
        <v>646</v>
      </c>
      <c r="U418" s="186">
        <v>44714.396458333336</v>
      </c>
      <c r="V418" s="1" t="s">
        <v>41</v>
      </c>
      <c r="W418" s="1" t="s">
        <v>49</v>
      </c>
      <c r="X418" s="13" t="str">
        <f>IF(RIGHT(H418,2)&lt;&gt;"00",H418,"")</f>
        <v/>
      </c>
      <c r="Y418" s="2">
        <f ca="1">NETWORKDAYS(P418,$Y$1)</f>
        <v>196</v>
      </c>
      <c r="Z418" s="14">
        <v>1</v>
      </c>
      <c r="AA418" s="1" t="str">
        <f t="shared" ca="1" si="30"/>
        <v>VENCIDO</v>
      </c>
      <c r="AB418" s="1" t="str">
        <f t="shared" si="31"/>
        <v>C-14</v>
      </c>
      <c r="AC418" s="2" t="str">
        <f t="shared" si="34"/>
        <v xml:space="preserve"> RINALDO </v>
      </c>
      <c r="AD418" s="2">
        <f t="shared" si="32"/>
        <v>15</v>
      </c>
      <c r="AE418" s="2">
        <f t="shared" ca="1" si="33"/>
        <v>-272.27981331018236</v>
      </c>
      <c r="AF418" s="15"/>
    </row>
    <row r="419" spans="1:32" hidden="1">
      <c r="A419" s="1">
        <v>8636914</v>
      </c>
      <c r="B419" s="1" t="s">
        <v>653</v>
      </c>
      <c r="C419" t="s">
        <v>3580</v>
      </c>
      <c r="E419" s="2">
        <v>2018001400030</v>
      </c>
      <c r="F419" s="1" t="s">
        <v>647</v>
      </c>
      <c r="G419" s="1" t="s">
        <v>53</v>
      </c>
      <c r="H419" s="1" t="s">
        <v>598</v>
      </c>
      <c r="I419" s="1" t="s">
        <v>599</v>
      </c>
      <c r="J419" s="1" t="s">
        <v>79</v>
      </c>
      <c r="K419" t="s">
        <v>650</v>
      </c>
      <c r="M419" s="1" t="s">
        <v>58</v>
      </c>
      <c r="N419" s="1">
        <v>0</v>
      </c>
      <c r="O419" s="1" t="s">
        <v>105</v>
      </c>
      <c r="P419" s="186">
        <v>44713.39640046296</v>
      </c>
      <c r="R419" s="1">
        <v>4</v>
      </c>
      <c r="T419" s="1" t="s">
        <v>646</v>
      </c>
      <c r="U419" s="186">
        <v>44714.39640046296</v>
      </c>
      <c r="V419" s="1" t="s">
        <v>41</v>
      </c>
      <c r="W419" s="1" t="s">
        <v>49</v>
      </c>
      <c r="X419" s="13" t="str">
        <f>IF(RIGHT(H419,2)&lt;&gt;"00",H419,"")</f>
        <v/>
      </c>
      <c r="Y419" s="2">
        <f ca="1">NETWORKDAYS(P419,$Y$1)</f>
        <v>196</v>
      </c>
      <c r="Z419" s="14">
        <v>1</v>
      </c>
      <c r="AA419" s="1" t="str">
        <f t="shared" ca="1" si="30"/>
        <v>VENCIDO</v>
      </c>
      <c r="AB419" s="1" t="str">
        <f t="shared" si="31"/>
        <v>C-14</v>
      </c>
      <c r="AC419" s="2" t="str">
        <f t="shared" si="34"/>
        <v xml:space="preserve"> ROSEMERE </v>
      </c>
      <c r="AD419" s="2">
        <f t="shared" si="32"/>
        <v>15</v>
      </c>
      <c r="AE419" s="2">
        <f t="shared" ca="1" si="33"/>
        <v>-272.27987118055898</v>
      </c>
      <c r="AF419" s="15"/>
    </row>
    <row r="420" spans="1:32" hidden="1">
      <c r="A420" s="1">
        <v>8636827</v>
      </c>
      <c r="B420" s="1" t="s">
        <v>653</v>
      </c>
      <c r="C420" t="s">
        <v>3580</v>
      </c>
      <c r="E420" s="2">
        <v>1838001400030</v>
      </c>
      <c r="F420" s="1" t="s">
        <v>647</v>
      </c>
      <c r="G420" s="1" t="s">
        <v>53</v>
      </c>
      <c r="H420" s="1" t="s">
        <v>357</v>
      </c>
      <c r="I420" s="1" t="s">
        <v>358</v>
      </c>
      <c r="J420" s="1" t="s">
        <v>46</v>
      </c>
      <c r="K420" t="s">
        <v>650</v>
      </c>
      <c r="M420" s="1" t="s">
        <v>58</v>
      </c>
      <c r="N420" s="1">
        <v>0</v>
      </c>
      <c r="O420" s="1" t="s">
        <v>105</v>
      </c>
      <c r="P420" s="186">
        <v>44713.396203703705</v>
      </c>
      <c r="R420" s="1">
        <v>4</v>
      </c>
      <c r="T420" s="1" t="s">
        <v>646</v>
      </c>
      <c r="U420" s="186">
        <v>44714.396203703705</v>
      </c>
      <c r="V420" s="1" t="s">
        <v>41</v>
      </c>
      <c r="W420" s="1" t="s">
        <v>49</v>
      </c>
      <c r="X420" s="13" t="str">
        <f>IF(RIGHT(H420,2)&lt;&gt;"00",H420,"")</f>
        <v/>
      </c>
      <c r="Y420" s="2">
        <f ca="1">NETWORKDAYS(P420,$Y$1)</f>
        <v>196</v>
      </c>
      <c r="Z420" s="14">
        <v>1</v>
      </c>
      <c r="AA420" s="1" t="str">
        <f t="shared" ca="1" si="30"/>
        <v>VENCIDO</v>
      </c>
      <c r="AB420" s="1" t="str">
        <f t="shared" si="31"/>
        <v>C-14</v>
      </c>
      <c r="AC420" s="2" t="str">
        <f t="shared" si="34"/>
        <v xml:space="preserve"> CLEITON </v>
      </c>
      <c r="AD420" s="2">
        <f t="shared" si="32"/>
        <v>15</v>
      </c>
      <c r="AE420" s="2">
        <f t="shared" ca="1" si="33"/>
        <v>-272.28006793981331</v>
      </c>
      <c r="AF420" s="15"/>
    </row>
    <row r="421" spans="1:32" hidden="1">
      <c r="A421" s="1">
        <v>8636825</v>
      </c>
      <c r="B421" s="1" t="s">
        <v>653</v>
      </c>
      <c r="C421" t="s">
        <v>3580</v>
      </c>
      <c r="E421" s="2">
        <v>1836001400030</v>
      </c>
      <c r="F421" s="1" t="s">
        <v>647</v>
      </c>
      <c r="G421" s="1" t="s">
        <v>53</v>
      </c>
      <c r="H421" s="1" t="s">
        <v>455</v>
      </c>
      <c r="I421" s="1" t="s">
        <v>456</v>
      </c>
      <c r="J421" s="1" t="s">
        <v>46</v>
      </c>
      <c r="K421" t="s">
        <v>650</v>
      </c>
      <c r="M421" s="1" t="s">
        <v>58</v>
      </c>
      <c r="N421" s="1">
        <v>0</v>
      </c>
      <c r="O421" s="1" t="s">
        <v>105</v>
      </c>
      <c r="P421" s="186">
        <v>44713.396203703705</v>
      </c>
      <c r="R421" s="1">
        <v>4</v>
      </c>
      <c r="T421" s="1" t="s">
        <v>646</v>
      </c>
      <c r="U421" s="186">
        <v>44714.396203703705</v>
      </c>
      <c r="V421" s="1" t="s">
        <v>41</v>
      </c>
      <c r="W421" s="1" t="s">
        <v>49</v>
      </c>
      <c r="X421" s="13" t="str">
        <f>IF(RIGHT(H421,2)&lt;&gt;"00",H421,"")</f>
        <v/>
      </c>
      <c r="Y421" s="2">
        <f ca="1">NETWORKDAYS(P421,$Y$1)</f>
        <v>196</v>
      </c>
      <c r="Z421" s="14">
        <v>1</v>
      </c>
      <c r="AA421" s="1" t="str">
        <f t="shared" ca="1" si="30"/>
        <v>VENCIDO</v>
      </c>
      <c r="AB421" s="1" t="str">
        <f t="shared" si="31"/>
        <v>C-14</v>
      </c>
      <c r="AC421" s="2" t="str">
        <f t="shared" si="34"/>
        <v xml:space="preserve"> CLEITON </v>
      </c>
      <c r="AD421" s="2">
        <f t="shared" si="32"/>
        <v>15</v>
      </c>
      <c r="AE421" s="2">
        <f t="shared" ca="1" si="33"/>
        <v>-272.28006793981331</v>
      </c>
      <c r="AF421" s="15"/>
    </row>
    <row r="422" spans="1:32" hidden="1">
      <c r="A422" s="1">
        <v>8636824</v>
      </c>
      <c r="B422" s="1" t="s">
        <v>653</v>
      </c>
      <c r="C422" t="s">
        <v>3580</v>
      </c>
      <c r="E422" s="2">
        <v>1835001400030</v>
      </c>
      <c r="F422" s="1" t="s">
        <v>647</v>
      </c>
      <c r="G422" s="1" t="s">
        <v>53</v>
      </c>
      <c r="H422" s="1" t="s">
        <v>305</v>
      </c>
      <c r="I422" s="1" t="s">
        <v>306</v>
      </c>
      <c r="J422" s="1" t="s">
        <v>46</v>
      </c>
      <c r="K422" t="s">
        <v>650</v>
      </c>
      <c r="M422" s="1" t="s">
        <v>58</v>
      </c>
      <c r="N422" s="1">
        <v>0</v>
      </c>
      <c r="O422" s="1" t="s">
        <v>105</v>
      </c>
      <c r="P422" s="186">
        <v>44713.396203703705</v>
      </c>
      <c r="R422" s="1">
        <v>4</v>
      </c>
      <c r="T422" s="1" t="s">
        <v>646</v>
      </c>
      <c r="U422" s="186">
        <v>44714.396203703705</v>
      </c>
      <c r="V422" s="1" t="s">
        <v>41</v>
      </c>
      <c r="W422" s="1" t="s">
        <v>49</v>
      </c>
      <c r="X422" s="13" t="str">
        <f>IF(RIGHT(H422,2)&lt;&gt;"00",H422,"")</f>
        <v/>
      </c>
      <c r="Y422" s="2">
        <f ca="1">NETWORKDAYS(P422,$Y$1)</f>
        <v>196</v>
      </c>
      <c r="Z422" s="14">
        <v>1</v>
      </c>
      <c r="AA422" s="1" t="str">
        <f t="shared" ca="1" si="30"/>
        <v>VENCIDO</v>
      </c>
      <c r="AB422" s="1" t="str">
        <f t="shared" si="31"/>
        <v>C-14</v>
      </c>
      <c r="AC422" s="2" t="str">
        <f t="shared" si="34"/>
        <v xml:space="preserve"> CLEITON </v>
      </c>
      <c r="AD422" s="2">
        <f t="shared" si="32"/>
        <v>15</v>
      </c>
      <c r="AE422" s="2">
        <f t="shared" ca="1" si="33"/>
        <v>-272.28006793981331</v>
      </c>
      <c r="AF422" s="15"/>
    </row>
    <row r="423" spans="1:32" hidden="1">
      <c r="A423" s="1">
        <v>8636822</v>
      </c>
      <c r="B423" s="1" t="s">
        <v>653</v>
      </c>
      <c r="C423" t="s">
        <v>3580</v>
      </c>
      <c r="E423" s="2">
        <v>1833001400030</v>
      </c>
      <c r="F423" s="1" t="s">
        <v>647</v>
      </c>
      <c r="G423" s="1" t="s">
        <v>53</v>
      </c>
      <c r="H423" s="1" t="s">
        <v>369</v>
      </c>
      <c r="I423" s="1" t="s">
        <v>370</v>
      </c>
      <c r="J423" s="1" t="s">
        <v>46</v>
      </c>
      <c r="K423" t="s">
        <v>650</v>
      </c>
      <c r="M423" s="1" t="s">
        <v>58</v>
      </c>
      <c r="N423" s="1">
        <v>0</v>
      </c>
      <c r="O423" s="1" t="s">
        <v>105</v>
      </c>
      <c r="P423" s="186">
        <v>44713.396192129629</v>
      </c>
      <c r="R423" s="1">
        <v>4</v>
      </c>
      <c r="T423" s="1" t="s">
        <v>646</v>
      </c>
      <c r="U423" s="186">
        <v>44714.396203703705</v>
      </c>
      <c r="V423" s="1" t="s">
        <v>41</v>
      </c>
      <c r="W423" s="1" t="s">
        <v>49</v>
      </c>
      <c r="X423" s="13" t="str">
        <f>IF(RIGHT(H423,2)&lt;&gt;"00",H423,"")</f>
        <v/>
      </c>
      <c r="Y423" s="2">
        <f ca="1">NETWORKDAYS(P423,$Y$1)</f>
        <v>196</v>
      </c>
      <c r="Z423" s="14">
        <v>1</v>
      </c>
      <c r="AA423" s="1" t="str">
        <f t="shared" ca="1" si="30"/>
        <v>VENCIDO</v>
      </c>
      <c r="AB423" s="1" t="str">
        <f t="shared" si="31"/>
        <v>C-14</v>
      </c>
      <c r="AC423" s="2" t="str">
        <f t="shared" si="34"/>
        <v xml:space="preserve"> CLEITON </v>
      </c>
      <c r="AD423" s="2">
        <f t="shared" si="32"/>
        <v>15</v>
      </c>
      <c r="AE423" s="2">
        <f t="shared" ca="1" si="33"/>
        <v>-272.28006793981331</v>
      </c>
      <c r="AF423" s="15"/>
    </row>
    <row r="424" spans="1:32" hidden="1">
      <c r="A424" s="1">
        <v>8636773</v>
      </c>
      <c r="B424" s="1" t="s">
        <v>653</v>
      </c>
      <c r="C424" t="s">
        <v>3580</v>
      </c>
      <c r="E424" s="2">
        <v>1764001400030</v>
      </c>
      <c r="F424" s="1" t="s">
        <v>647</v>
      </c>
      <c r="G424" s="1" t="s">
        <v>53</v>
      </c>
      <c r="H424" s="1" t="s">
        <v>722</v>
      </c>
      <c r="I424" s="1" t="s">
        <v>723</v>
      </c>
      <c r="J424" s="1" t="s">
        <v>90</v>
      </c>
      <c r="K424" t="s">
        <v>650</v>
      </c>
      <c r="M424" s="1" t="s">
        <v>58</v>
      </c>
      <c r="N424" s="1">
        <v>0</v>
      </c>
      <c r="O424" s="1" t="s">
        <v>36</v>
      </c>
      <c r="P424" s="186">
        <v>44713.396122685182</v>
      </c>
      <c r="R424" s="1">
        <v>4</v>
      </c>
      <c r="T424" s="1" t="s">
        <v>646</v>
      </c>
      <c r="U424" s="186">
        <v>44714.396122685182</v>
      </c>
      <c r="V424" s="1" t="s">
        <v>41</v>
      </c>
      <c r="W424" s="1" t="s">
        <v>49</v>
      </c>
      <c r="X424" s="13" t="str">
        <f>IF(RIGHT(H424,2)&lt;&gt;"00",H424,"")</f>
        <v/>
      </c>
      <c r="Y424" s="2">
        <f ca="1">NETWORKDAYS(P424,$Y$1)</f>
        <v>196</v>
      </c>
      <c r="Z424" s="14">
        <v>1</v>
      </c>
      <c r="AA424" s="1" t="str">
        <f t="shared" ca="1" si="30"/>
        <v>VENCIDO</v>
      </c>
      <c r="AB424" s="1" t="str">
        <f t="shared" si="31"/>
        <v>C-14</v>
      </c>
      <c r="AC424" s="2" t="str">
        <f t="shared" si="34"/>
        <v xml:space="preserve"> RINALDO </v>
      </c>
      <c r="AD424" s="2">
        <f t="shared" si="32"/>
        <v>15</v>
      </c>
      <c r="AE424" s="2">
        <f t="shared" ca="1" si="33"/>
        <v>-272.28014895833621</v>
      </c>
      <c r="AF424" s="15"/>
    </row>
    <row r="425" spans="1:32" hidden="1">
      <c r="A425" s="1">
        <v>8636745</v>
      </c>
      <c r="B425" s="1" t="s">
        <v>653</v>
      </c>
      <c r="C425" t="s">
        <v>3580</v>
      </c>
      <c r="E425" s="2">
        <v>1732001400030</v>
      </c>
      <c r="F425" s="1" t="s">
        <v>647</v>
      </c>
      <c r="G425" s="1" t="s">
        <v>53</v>
      </c>
      <c r="H425" s="1" t="s">
        <v>177</v>
      </c>
      <c r="I425" s="1" t="s">
        <v>178</v>
      </c>
      <c r="J425" s="1" t="s">
        <v>164</v>
      </c>
      <c r="K425" t="s">
        <v>650</v>
      </c>
      <c r="M425" s="1" t="s">
        <v>58</v>
      </c>
      <c r="N425" s="1">
        <v>0</v>
      </c>
      <c r="O425" s="1" t="s">
        <v>105</v>
      </c>
      <c r="P425" s="186">
        <v>44713.395995370367</v>
      </c>
      <c r="R425" s="1">
        <v>4</v>
      </c>
      <c r="T425" s="1" t="s">
        <v>646</v>
      </c>
      <c r="U425" s="186">
        <v>44714.396006944444</v>
      </c>
      <c r="V425" s="1" t="s">
        <v>41</v>
      </c>
      <c r="W425" s="1" t="s">
        <v>49</v>
      </c>
      <c r="X425" s="13" t="str">
        <f>IF(RIGHT(H425,2)&lt;&gt;"00",H425,"")</f>
        <v/>
      </c>
      <c r="Y425" s="2">
        <f ca="1">NETWORKDAYS(P425,$Y$1)</f>
        <v>196</v>
      </c>
      <c r="Z425" s="14">
        <v>1</v>
      </c>
      <c r="AA425" s="1" t="str">
        <f t="shared" ca="1" si="30"/>
        <v>VENCIDO</v>
      </c>
      <c r="AB425" s="1" t="str">
        <f t="shared" si="31"/>
        <v>C-14</v>
      </c>
      <c r="AC425" s="2" t="str">
        <f t="shared" si="34"/>
        <v xml:space="preserve"> ROSEMERE </v>
      </c>
      <c r="AD425" s="2">
        <f t="shared" si="32"/>
        <v>15</v>
      </c>
      <c r="AE425" s="2">
        <f t="shared" ca="1" si="33"/>
        <v>-272.28026469907491</v>
      </c>
      <c r="AF425" s="15"/>
    </row>
    <row r="426" spans="1:32" hidden="1">
      <c r="A426" s="1">
        <v>8636688</v>
      </c>
      <c r="B426" s="1" t="s">
        <v>653</v>
      </c>
      <c r="C426" t="s">
        <v>3580</v>
      </c>
      <c r="E426" s="2">
        <v>1664001400030</v>
      </c>
      <c r="F426" s="1" t="s">
        <v>647</v>
      </c>
      <c r="G426" s="1" t="s">
        <v>53</v>
      </c>
      <c r="H426" s="1" t="s">
        <v>307</v>
      </c>
      <c r="I426" s="1" t="s">
        <v>308</v>
      </c>
      <c r="J426" s="1" t="s">
        <v>164</v>
      </c>
      <c r="K426" t="s">
        <v>650</v>
      </c>
      <c r="M426" s="1" t="s">
        <v>58</v>
      </c>
      <c r="N426" s="1">
        <v>0</v>
      </c>
      <c r="O426" s="1" t="s">
        <v>105</v>
      </c>
      <c r="P426" s="186">
        <v>44713.395914351851</v>
      </c>
      <c r="R426" s="1">
        <v>4</v>
      </c>
      <c r="T426" s="1" t="s">
        <v>646</v>
      </c>
      <c r="U426" s="186">
        <v>44714.395914351851</v>
      </c>
      <c r="V426" s="1" t="s">
        <v>41</v>
      </c>
      <c r="W426" s="1" t="s">
        <v>49</v>
      </c>
      <c r="X426" s="13" t="str">
        <f>IF(RIGHT(H426,2)&lt;&gt;"00",H426,"")</f>
        <v/>
      </c>
      <c r="Y426" s="2">
        <f ca="1">NETWORKDAYS(P426,$Y$1)</f>
        <v>196</v>
      </c>
      <c r="Z426" s="14">
        <v>1</v>
      </c>
      <c r="AA426" s="1" t="str">
        <f t="shared" ca="1" si="30"/>
        <v>VENCIDO</v>
      </c>
      <c r="AB426" s="1" t="str">
        <f t="shared" si="31"/>
        <v>C-14</v>
      </c>
      <c r="AC426" s="2" t="str">
        <f t="shared" si="34"/>
        <v xml:space="preserve"> ROSEMERE </v>
      </c>
      <c r="AD426" s="2">
        <f t="shared" si="32"/>
        <v>15</v>
      </c>
      <c r="AE426" s="2">
        <f t="shared" ca="1" si="33"/>
        <v>-272.28035729166731</v>
      </c>
      <c r="AF426" s="15"/>
    </row>
    <row r="427" spans="1:32" hidden="1">
      <c r="A427" s="1">
        <v>8636669</v>
      </c>
      <c r="B427" s="1" t="s">
        <v>653</v>
      </c>
      <c r="C427" t="s">
        <v>3580</v>
      </c>
      <c r="E427" s="2">
        <v>1643001400030</v>
      </c>
      <c r="F427" s="1" t="s">
        <v>647</v>
      </c>
      <c r="G427" s="1" t="s">
        <v>53</v>
      </c>
      <c r="H427" s="1" t="s">
        <v>361</v>
      </c>
      <c r="I427" s="1" t="s">
        <v>362</v>
      </c>
      <c r="J427" s="1" t="s">
        <v>261</v>
      </c>
      <c r="K427" t="s">
        <v>650</v>
      </c>
      <c r="M427" s="1" t="s">
        <v>58</v>
      </c>
      <c r="N427" s="1">
        <v>0</v>
      </c>
      <c r="O427" s="1" t="s">
        <v>105</v>
      </c>
      <c r="P427" s="186">
        <v>44713.395891203705</v>
      </c>
      <c r="R427" s="1">
        <v>4</v>
      </c>
      <c r="T427" s="1" t="s">
        <v>646</v>
      </c>
      <c r="U427" s="186">
        <v>44714.395891203705</v>
      </c>
      <c r="V427" s="1" t="s">
        <v>41</v>
      </c>
      <c r="W427" s="1" t="s">
        <v>49</v>
      </c>
      <c r="X427" s="13" t="str">
        <f>IF(RIGHT(H427,2)&lt;&gt;"00",H427,"")</f>
        <v/>
      </c>
      <c r="Y427" s="2">
        <f ca="1">NETWORKDAYS(P427,$Y$1)</f>
        <v>196</v>
      </c>
      <c r="Z427" s="14">
        <v>1</v>
      </c>
      <c r="AA427" s="1" t="str">
        <f t="shared" ca="1" si="30"/>
        <v>VENCIDO</v>
      </c>
      <c r="AB427" s="1" t="str">
        <f t="shared" si="31"/>
        <v>C-14</v>
      </c>
      <c r="AC427" s="2" t="str">
        <f t="shared" si="34"/>
        <v xml:space="preserve"> CRISTINA </v>
      </c>
      <c r="AD427" s="2">
        <f t="shared" si="32"/>
        <v>15</v>
      </c>
      <c r="AE427" s="2">
        <f t="shared" ca="1" si="33"/>
        <v>-272.2803804398136</v>
      </c>
      <c r="AF427" s="15"/>
    </row>
    <row r="428" spans="1:32" hidden="1">
      <c r="A428" s="1">
        <v>8636651</v>
      </c>
      <c r="B428" s="1" t="s">
        <v>653</v>
      </c>
      <c r="C428" t="s">
        <v>3580</v>
      </c>
      <c r="E428" s="2">
        <v>1620001400030</v>
      </c>
      <c r="F428" s="1" t="s">
        <v>647</v>
      </c>
      <c r="G428" s="1" t="s">
        <v>53</v>
      </c>
      <c r="H428" s="1" t="s">
        <v>402</v>
      </c>
      <c r="I428" s="1" t="s">
        <v>403</v>
      </c>
      <c r="J428" s="1" t="s">
        <v>46</v>
      </c>
      <c r="K428" t="s">
        <v>650</v>
      </c>
      <c r="M428" s="1" t="s">
        <v>58</v>
      </c>
      <c r="N428" s="1">
        <v>0</v>
      </c>
      <c r="O428" s="1" t="s">
        <v>36</v>
      </c>
      <c r="P428" s="186">
        <v>44713.395775462966</v>
      </c>
      <c r="R428" s="1">
        <v>4</v>
      </c>
      <c r="T428" s="1" t="s">
        <v>646</v>
      </c>
      <c r="U428" s="186">
        <v>44714.395775462966</v>
      </c>
      <c r="V428" s="1" t="s">
        <v>41</v>
      </c>
      <c r="W428" s="1" t="s">
        <v>49</v>
      </c>
      <c r="X428" s="13" t="str">
        <f>IF(RIGHT(H428,2)&lt;&gt;"00",H428,"")</f>
        <v/>
      </c>
      <c r="Y428" s="2">
        <f ca="1">NETWORKDAYS(P428,$Y$1)</f>
        <v>196</v>
      </c>
      <c r="Z428" s="14">
        <v>1</v>
      </c>
      <c r="AA428" s="1" t="str">
        <f t="shared" ca="1" si="30"/>
        <v>VENCIDO</v>
      </c>
      <c r="AB428" s="1" t="str">
        <f t="shared" si="31"/>
        <v>C-14</v>
      </c>
      <c r="AC428" s="2" t="str">
        <f t="shared" si="34"/>
        <v xml:space="preserve"> CLEITON </v>
      </c>
      <c r="AD428" s="2">
        <f t="shared" si="32"/>
        <v>15</v>
      </c>
      <c r="AE428" s="2">
        <f t="shared" ca="1" si="33"/>
        <v>-272.28049618055229</v>
      </c>
      <c r="AF428" s="15"/>
    </row>
    <row r="429" spans="1:32" hidden="1">
      <c r="A429" s="1">
        <v>8636574</v>
      </c>
      <c r="B429" s="1" t="s">
        <v>653</v>
      </c>
      <c r="C429" t="s">
        <v>3580</v>
      </c>
      <c r="E429" s="2">
        <v>1509001400030</v>
      </c>
      <c r="F429" s="1" t="s">
        <v>647</v>
      </c>
      <c r="G429" s="1" t="s">
        <v>53</v>
      </c>
      <c r="H429" s="1" t="s">
        <v>731</v>
      </c>
      <c r="I429" s="1" t="s">
        <v>732</v>
      </c>
      <c r="J429" s="1" t="s">
        <v>46</v>
      </c>
      <c r="K429" t="s">
        <v>650</v>
      </c>
      <c r="M429" s="1" t="s">
        <v>58</v>
      </c>
      <c r="N429" s="1">
        <v>0</v>
      </c>
      <c r="O429" s="1" t="s">
        <v>105</v>
      </c>
      <c r="P429" s="186">
        <v>44713.39565972222</v>
      </c>
      <c r="R429" s="1">
        <v>4</v>
      </c>
      <c r="T429" s="1" t="s">
        <v>646</v>
      </c>
      <c r="U429" s="186">
        <v>44714.395671296297</v>
      </c>
      <c r="V429" s="1" t="s">
        <v>41</v>
      </c>
      <c r="W429" s="1" t="s">
        <v>49</v>
      </c>
      <c r="X429" s="13" t="str">
        <f>IF(RIGHT(H429,2)&lt;&gt;"00",H429,"")</f>
        <v/>
      </c>
      <c r="Y429" s="2">
        <f ca="1">NETWORKDAYS(P429,$Y$1)</f>
        <v>196</v>
      </c>
      <c r="Z429" s="14">
        <v>1</v>
      </c>
      <c r="AA429" s="1" t="str">
        <f t="shared" ca="1" si="30"/>
        <v>VENCIDO</v>
      </c>
      <c r="AB429" s="1" t="str">
        <f t="shared" si="31"/>
        <v>C-14</v>
      </c>
      <c r="AC429" s="2" t="str">
        <f t="shared" si="34"/>
        <v xml:space="preserve"> CLEITON </v>
      </c>
      <c r="AD429" s="2">
        <f t="shared" si="32"/>
        <v>15</v>
      </c>
      <c r="AE429" s="2">
        <f t="shared" ca="1" si="33"/>
        <v>-272.28060034722148</v>
      </c>
      <c r="AF429" s="15"/>
    </row>
    <row r="430" spans="1:32" hidden="1">
      <c r="A430" s="1">
        <v>8636441</v>
      </c>
      <c r="B430" s="1" t="s">
        <v>653</v>
      </c>
      <c r="C430" t="s">
        <v>3580</v>
      </c>
      <c r="E430" s="2">
        <v>1362001400030</v>
      </c>
      <c r="F430" s="1" t="s">
        <v>647</v>
      </c>
      <c r="G430" s="1" t="s">
        <v>53</v>
      </c>
      <c r="H430" s="1" t="s">
        <v>268</v>
      </c>
      <c r="I430" s="1" t="s">
        <v>269</v>
      </c>
      <c r="J430" s="1" t="s">
        <v>90</v>
      </c>
      <c r="K430" t="s">
        <v>650</v>
      </c>
      <c r="M430" s="1" t="s">
        <v>58</v>
      </c>
      <c r="N430" s="1">
        <v>0</v>
      </c>
      <c r="O430" s="1" t="s">
        <v>105</v>
      </c>
      <c r="P430" s="186">
        <v>44713.395324074074</v>
      </c>
      <c r="R430" s="1">
        <v>4</v>
      </c>
      <c r="T430" s="1" t="s">
        <v>646</v>
      </c>
      <c r="U430" s="186">
        <v>44714.395324074074</v>
      </c>
      <c r="V430" s="1" t="s">
        <v>41</v>
      </c>
      <c r="W430" s="1" t="s">
        <v>49</v>
      </c>
      <c r="X430" s="13" t="str">
        <f>IF(RIGHT(H430,2)&lt;&gt;"00",H430,"")</f>
        <v/>
      </c>
      <c r="Y430" s="2">
        <f ca="1">NETWORKDAYS(P430,$Y$1)</f>
        <v>196</v>
      </c>
      <c r="Z430" s="14">
        <v>1</v>
      </c>
      <c r="AA430" s="1" t="str">
        <f t="shared" ca="1" si="30"/>
        <v>VENCIDO</v>
      </c>
      <c r="AB430" s="1" t="str">
        <f t="shared" si="31"/>
        <v>C-14</v>
      </c>
      <c r="AC430" s="2" t="str">
        <f t="shared" si="34"/>
        <v xml:space="preserve"> RINALDO </v>
      </c>
      <c r="AD430" s="2">
        <f t="shared" si="32"/>
        <v>15</v>
      </c>
      <c r="AE430" s="2">
        <f t="shared" ca="1" si="33"/>
        <v>-272.28094756944483</v>
      </c>
      <c r="AF430" s="15"/>
    </row>
    <row r="431" spans="1:32" hidden="1">
      <c r="A431" s="1">
        <v>8636439</v>
      </c>
      <c r="B431" s="1" t="s">
        <v>653</v>
      </c>
      <c r="C431" t="s">
        <v>3580</v>
      </c>
      <c r="E431" s="2">
        <v>1360001400030</v>
      </c>
      <c r="F431" s="1" t="s">
        <v>647</v>
      </c>
      <c r="G431" s="1" t="s">
        <v>53</v>
      </c>
      <c r="H431" s="1" t="s">
        <v>303</v>
      </c>
      <c r="I431" s="1" t="s">
        <v>304</v>
      </c>
      <c r="J431" s="1" t="s">
        <v>261</v>
      </c>
      <c r="K431" t="s">
        <v>650</v>
      </c>
      <c r="M431" s="1" t="s">
        <v>58</v>
      </c>
      <c r="N431" s="1">
        <v>0</v>
      </c>
      <c r="O431" s="1" t="s">
        <v>105</v>
      </c>
      <c r="P431" s="186">
        <v>44713.395324074074</v>
      </c>
      <c r="R431" s="1">
        <v>4</v>
      </c>
      <c r="T431" s="1" t="s">
        <v>646</v>
      </c>
      <c r="U431" s="186">
        <v>44714.395324074074</v>
      </c>
      <c r="V431" s="1" t="s">
        <v>41</v>
      </c>
      <c r="W431" s="1" t="s">
        <v>49</v>
      </c>
      <c r="X431" s="13" t="str">
        <f>IF(RIGHT(H431,2)&lt;&gt;"00",H431,"")</f>
        <v/>
      </c>
      <c r="Y431" s="2">
        <f ca="1">NETWORKDAYS(P431,$Y$1)</f>
        <v>196</v>
      </c>
      <c r="Z431" s="14">
        <v>1</v>
      </c>
      <c r="AA431" s="1" t="str">
        <f t="shared" ca="1" si="30"/>
        <v>VENCIDO</v>
      </c>
      <c r="AB431" s="1" t="str">
        <f t="shared" si="31"/>
        <v>C-14</v>
      </c>
      <c r="AC431" s="2" t="str">
        <f t="shared" si="34"/>
        <v xml:space="preserve"> CRISTINA </v>
      </c>
      <c r="AD431" s="2">
        <f t="shared" si="32"/>
        <v>15</v>
      </c>
      <c r="AE431" s="2">
        <f t="shared" ca="1" si="33"/>
        <v>-272.28094756944483</v>
      </c>
      <c r="AF431" s="15"/>
    </row>
    <row r="432" spans="1:32" hidden="1">
      <c r="A432" s="1">
        <v>8636438</v>
      </c>
      <c r="B432" s="1" t="s">
        <v>653</v>
      </c>
      <c r="C432" t="s">
        <v>3580</v>
      </c>
      <c r="E432" s="2">
        <v>1359001400030</v>
      </c>
      <c r="F432" s="1" t="s">
        <v>647</v>
      </c>
      <c r="G432" s="1" t="s">
        <v>53</v>
      </c>
      <c r="H432" s="1" t="s">
        <v>270</v>
      </c>
      <c r="I432" s="1" t="s">
        <v>271</v>
      </c>
      <c r="J432" s="1" t="s">
        <v>141</v>
      </c>
      <c r="K432" t="s">
        <v>650</v>
      </c>
      <c r="M432" s="1" t="s">
        <v>58</v>
      </c>
      <c r="N432" s="1">
        <v>0</v>
      </c>
      <c r="O432" s="1" t="s">
        <v>105</v>
      </c>
      <c r="P432" s="186">
        <v>44713.395312499997</v>
      </c>
      <c r="R432" s="1">
        <v>4</v>
      </c>
      <c r="T432" s="1" t="s">
        <v>646</v>
      </c>
      <c r="U432" s="186">
        <v>44714.395324074074</v>
      </c>
      <c r="V432" s="1" t="s">
        <v>41</v>
      </c>
      <c r="W432" s="1" t="s">
        <v>49</v>
      </c>
      <c r="X432" s="13" t="str">
        <f>IF(RIGHT(H432,2)&lt;&gt;"00",H432,"")</f>
        <v/>
      </c>
      <c r="Y432" s="2">
        <f ca="1">NETWORKDAYS(P432,$Y$1)</f>
        <v>196</v>
      </c>
      <c r="Z432" s="14">
        <v>1</v>
      </c>
      <c r="AA432" s="1" t="str">
        <f t="shared" ca="1" si="30"/>
        <v>VENCIDO</v>
      </c>
      <c r="AB432" s="1" t="str">
        <f t="shared" si="31"/>
        <v>C-14</v>
      </c>
      <c r="AC432" s="2" t="str">
        <f t="shared" si="34"/>
        <v xml:space="preserve"> CRISTINA </v>
      </c>
      <c r="AD432" s="2">
        <f t="shared" si="32"/>
        <v>15</v>
      </c>
      <c r="AE432" s="2">
        <f t="shared" ca="1" si="33"/>
        <v>-272.28094756944483</v>
      </c>
      <c r="AF432" s="15"/>
    </row>
    <row r="433" spans="1:32" hidden="1">
      <c r="A433" s="1">
        <v>8636177</v>
      </c>
      <c r="B433" s="1" t="s">
        <v>653</v>
      </c>
      <c r="C433" t="s">
        <v>3580</v>
      </c>
      <c r="E433" s="2">
        <v>1059001400030</v>
      </c>
      <c r="F433" s="1" t="s">
        <v>647</v>
      </c>
      <c r="G433" s="1" t="s">
        <v>53</v>
      </c>
      <c r="H433" s="1" t="s">
        <v>88</v>
      </c>
      <c r="I433" s="1" t="s">
        <v>89</v>
      </c>
      <c r="J433" s="1" t="s">
        <v>90</v>
      </c>
      <c r="K433" t="s">
        <v>650</v>
      </c>
      <c r="M433" s="1" t="s">
        <v>58</v>
      </c>
      <c r="N433" s="1">
        <v>0</v>
      </c>
      <c r="O433" s="1" t="s">
        <v>105</v>
      </c>
      <c r="P433" s="186">
        <v>44713.394780092596</v>
      </c>
      <c r="R433" s="1">
        <v>4</v>
      </c>
      <c r="T433" s="1" t="s">
        <v>646</v>
      </c>
      <c r="U433" s="186">
        <v>44714.394780092596</v>
      </c>
      <c r="V433" s="1" t="s">
        <v>41</v>
      </c>
      <c r="W433" s="1" t="s">
        <v>49</v>
      </c>
      <c r="X433" s="13" t="str">
        <f>IF(RIGHT(H433,2)&lt;&gt;"00",H433,"")</f>
        <v/>
      </c>
      <c r="Y433" s="2">
        <f ca="1">NETWORKDAYS(P433,$Y$1)</f>
        <v>196</v>
      </c>
      <c r="Z433" s="14">
        <v>1</v>
      </c>
      <c r="AA433" s="1" t="str">
        <f t="shared" ca="1" si="30"/>
        <v>VENCIDO</v>
      </c>
      <c r="AB433" s="1" t="str">
        <f t="shared" si="31"/>
        <v>C-14</v>
      </c>
      <c r="AC433" s="2" t="str">
        <f t="shared" si="34"/>
        <v xml:space="preserve"> RINALDO </v>
      </c>
      <c r="AD433" s="2">
        <f t="shared" si="32"/>
        <v>15</v>
      </c>
      <c r="AE433" s="2">
        <f t="shared" ca="1" si="33"/>
        <v>-272.28149155092251</v>
      </c>
      <c r="AF433" s="15"/>
    </row>
    <row r="434" spans="1:32" hidden="1">
      <c r="A434" s="1">
        <v>8636168</v>
      </c>
      <c r="B434" s="1" t="s">
        <v>653</v>
      </c>
      <c r="C434" t="s">
        <v>3580</v>
      </c>
      <c r="E434" s="2">
        <v>1049001400030</v>
      </c>
      <c r="F434" s="1" t="s">
        <v>647</v>
      </c>
      <c r="G434" s="1" t="s">
        <v>53</v>
      </c>
      <c r="H434" s="1" t="s">
        <v>169</v>
      </c>
      <c r="I434" s="1" t="s">
        <v>170</v>
      </c>
      <c r="J434" s="1" t="s">
        <v>164</v>
      </c>
      <c r="K434" t="s">
        <v>650</v>
      </c>
      <c r="M434" s="1" t="s">
        <v>58</v>
      </c>
      <c r="N434" s="1">
        <v>0</v>
      </c>
      <c r="O434" s="1" t="s">
        <v>105</v>
      </c>
      <c r="P434" s="186">
        <v>44713.394768518519</v>
      </c>
      <c r="R434" s="1">
        <v>4</v>
      </c>
      <c r="T434" s="1" t="s">
        <v>646</v>
      </c>
      <c r="U434" s="186">
        <v>44714.394768518519</v>
      </c>
      <c r="V434" s="1" t="s">
        <v>41</v>
      </c>
      <c r="W434" s="1" t="s">
        <v>49</v>
      </c>
      <c r="X434" s="13" t="str">
        <f>IF(RIGHT(H434,2)&lt;&gt;"00",H434,"")</f>
        <v/>
      </c>
      <c r="Y434" s="2">
        <f ca="1">NETWORKDAYS(P434,$Y$1)</f>
        <v>196</v>
      </c>
      <c r="Z434" s="14">
        <v>1</v>
      </c>
      <c r="AA434" s="1" t="str">
        <f t="shared" ca="1" si="30"/>
        <v>VENCIDO</v>
      </c>
      <c r="AB434" s="1" t="str">
        <f t="shared" si="31"/>
        <v>C-14</v>
      </c>
      <c r="AC434" s="2" t="str">
        <f t="shared" si="34"/>
        <v xml:space="preserve"> ROSEMERE </v>
      </c>
      <c r="AD434" s="2">
        <f t="shared" si="32"/>
        <v>15</v>
      </c>
      <c r="AE434" s="2">
        <f t="shared" ca="1" si="33"/>
        <v>-272.28150312499929</v>
      </c>
      <c r="AF434" s="15"/>
    </row>
    <row r="435" spans="1:32" hidden="1">
      <c r="A435" s="1">
        <v>8636064</v>
      </c>
      <c r="B435" s="1" t="s">
        <v>653</v>
      </c>
      <c r="C435" t="s">
        <v>3580</v>
      </c>
      <c r="E435" s="2">
        <v>934001400030</v>
      </c>
      <c r="F435" s="1" t="s">
        <v>647</v>
      </c>
      <c r="G435" s="1" t="s">
        <v>53</v>
      </c>
      <c r="H435" s="1" t="s">
        <v>428</v>
      </c>
      <c r="I435" s="1" t="s">
        <v>429</v>
      </c>
      <c r="J435" s="1" t="s">
        <v>46</v>
      </c>
      <c r="K435" t="s">
        <v>650</v>
      </c>
      <c r="M435" s="1" t="s">
        <v>58</v>
      </c>
      <c r="N435" s="1">
        <v>0</v>
      </c>
      <c r="O435" s="1" t="s">
        <v>105</v>
      </c>
      <c r="P435" s="186">
        <v>44713.394525462965</v>
      </c>
      <c r="R435" s="1">
        <v>4</v>
      </c>
      <c r="T435" s="1" t="s">
        <v>646</v>
      </c>
      <c r="U435" s="186">
        <v>44714.394525462965</v>
      </c>
      <c r="V435" s="1" t="s">
        <v>41</v>
      </c>
      <c r="W435" s="1" t="s">
        <v>49</v>
      </c>
      <c r="X435" s="13" t="str">
        <f>IF(RIGHT(H435,2)&lt;&gt;"00",H435,"")</f>
        <v/>
      </c>
      <c r="Y435" s="2">
        <f ca="1">NETWORKDAYS(P435,$Y$1)</f>
        <v>196</v>
      </c>
      <c r="Z435" s="14">
        <v>1</v>
      </c>
      <c r="AA435" s="1" t="str">
        <f t="shared" ca="1" si="30"/>
        <v>VENCIDO</v>
      </c>
      <c r="AB435" s="1" t="str">
        <f t="shared" si="31"/>
        <v>C-14</v>
      </c>
      <c r="AC435" s="2" t="str">
        <f t="shared" si="34"/>
        <v xml:space="preserve"> CLEITON </v>
      </c>
      <c r="AD435" s="2">
        <f t="shared" si="32"/>
        <v>15</v>
      </c>
      <c r="AE435" s="2">
        <f t="shared" ca="1" si="33"/>
        <v>-272.28174618055345</v>
      </c>
      <c r="AF435" s="15"/>
    </row>
    <row r="436" spans="1:32" hidden="1">
      <c r="A436" s="1">
        <v>8635859</v>
      </c>
      <c r="B436" s="1" t="s">
        <v>653</v>
      </c>
      <c r="C436" t="s">
        <v>3580</v>
      </c>
      <c r="E436" s="2">
        <v>714001400030</v>
      </c>
      <c r="F436" s="1" t="s">
        <v>647</v>
      </c>
      <c r="G436" s="1" t="s">
        <v>53</v>
      </c>
      <c r="H436" s="1" t="s">
        <v>377</v>
      </c>
      <c r="I436" s="1" t="s">
        <v>378</v>
      </c>
      <c r="J436" s="1" t="s">
        <v>46</v>
      </c>
      <c r="K436" t="s">
        <v>650</v>
      </c>
      <c r="M436" s="1" t="s">
        <v>58</v>
      </c>
      <c r="N436" s="1">
        <v>0</v>
      </c>
      <c r="O436" s="1" t="s">
        <v>105</v>
      </c>
      <c r="P436" s="186">
        <v>44713.394085648149</v>
      </c>
      <c r="R436" s="1">
        <v>4</v>
      </c>
      <c r="T436" s="1" t="s">
        <v>646</v>
      </c>
      <c r="U436" s="186">
        <v>44714.394085648149</v>
      </c>
      <c r="V436" s="1" t="s">
        <v>41</v>
      </c>
      <c r="W436" s="1" t="s">
        <v>49</v>
      </c>
      <c r="X436" s="13" t="str">
        <f>IF(RIGHT(H436,2)&lt;&gt;"00",H436,"")</f>
        <v/>
      </c>
      <c r="Y436" s="2">
        <f ca="1">NETWORKDAYS(P436,$Y$1)</f>
        <v>196</v>
      </c>
      <c r="Z436" s="14">
        <v>1</v>
      </c>
      <c r="AA436" s="1" t="str">
        <f t="shared" ca="1" si="30"/>
        <v>VENCIDO</v>
      </c>
      <c r="AB436" s="1" t="str">
        <f t="shared" si="31"/>
        <v>C-14</v>
      </c>
      <c r="AC436" s="2" t="str">
        <f t="shared" si="34"/>
        <v xml:space="preserve"> CLEITON </v>
      </c>
      <c r="AD436" s="2">
        <f t="shared" si="32"/>
        <v>15</v>
      </c>
      <c r="AE436" s="2">
        <f t="shared" ca="1" si="33"/>
        <v>-272.28218599536922</v>
      </c>
      <c r="AF436" s="15"/>
    </row>
    <row r="437" spans="1:32" hidden="1">
      <c r="A437" s="1">
        <v>8635857</v>
      </c>
      <c r="B437" s="1" t="s">
        <v>653</v>
      </c>
      <c r="C437" t="s">
        <v>3580</v>
      </c>
      <c r="E437" s="2">
        <v>711001400030</v>
      </c>
      <c r="F437" s="1" t="s">
        <v>647</v>
      </c>
      <c r="G437" s="1" t="s">
        <v>53</v>
      </c>
      <c r="H437" s="1" t="s">
        <v>77</v>
      </c>
      <c r="I437" s="1" t="s">
        <v>78</v>
      </c>
      <c r="J437" s="1" t="s">
        <v>79</v>
      </c>
      <c r="K437" t="s">
        <v>650</v>
      </c>
      <c r="M437" s="1" t="s">
        <v>58</v>
      </c>
      <c r="N437" s="1">
        <v>0</v>
      </c>
      <c r="O437" s="1" t="s">
        <v>105</v>
      </c>
      <c r="P437" s="186">
        <v>44713.394074074073</v>
      </c>
      <c r="R437" s="1">
        <v>4</v>
      </c>
      <c r="T437" s="1" t="s">
        <v>646</v>
      </c>
      <c r="U437" s="186">
        <v>44714.394074074073</v>
      </c>
      <c r="V437" s="1" t="s">
        <v>41</v>
      </c>
      <c r="W437" s="1" t="s">
        <v>49</v>
      </c>
      <c r="X437" s="13" t="str">
        <f>IF(RIGHT(H437,2)&lt;&gt;"00",H437,"")</f>
        <v/>
      </c>
      <c r="Y437" s="2">
        <f ca="1">NETWORKDAYS(P437,$Y$1)</f>
        <v>196</v>
      </c>
      <c r="Z437" s="14">
        <v>1</v>
      </c>
      <c r="AA437" s="1" t="str">
        <f t="shared" ca="1" si="30"/>
        <v>VENCIDO</v>
      </c>
      <c r="AB437" s="1" t="str">
        <f t="shared" si="31"/>
        <v>C-14</v>
      </c>
      <c r="AC437" s="2" t="str">
        <f t="shared" si="34"/>
        <v xml:space="preserve"> ROSEMERE </v>
      </c>
      <c r="AD437" s="2">
        <f t="shared" si="32"/>
        <v>15</v>
      </c>
      <c r="AE437" s="2">
        <f t="shared" ca="1" si="33"/>
        <v>-272.282197569446</v>
      </c>
      <c r="AF437" s="15"/>
    </row>
    <row r="438" spans="1:32" hidden="1">
      <c r="A438" s="1">
        <v>8635856</v>
      </c>
      <c r="B438" s="1" t="s">
        <v>653</v>
      </c>
      <c r="C438" t="s">
        <v>3580</v>
      </c>
      <c r="E438" s="2">
        <v>710001400030</v>
      </c>
      <c r="F438" s="1" t="s">
        <v>647</v>
      </c>
      <c r="G438" s="1" t="s">
        <v>53</v>
      </c>
      <c r="H438" s="1" t="s">
        <v>390</v>
      </c>
      <c r="I438" s="1" t="s">
        <v>391</v>
      </c>
      <c r="J438" s="1" t="s">
        <v>56</v>
      </c>
      <c r="K438" t="s">
        <v>650</v>
      </c>
      <c r="M438" s="1" t="s">
        <v>58</v>
      </c>
      <c r="N438" s="1">
        <v>0</v>
      </c>
      <c r="O438" s="1" t="s">
        <v>36</v>
      </c>
      <c r="P438" s="186">
        <v>44713.394074074073</v>
      </c>
      <c r="R438" s="1">
        <v>4</v>
      </c>
      <c r="T438" s="1" t="s">
        <v>646</v>
      </c>
      <c r="U438" s="186">
        <v>44714.394074074073</v>
      </c>
      <c r="V438" s="1" t="s">
        <v>41</v>
      </c>
      <c r="W438" s="1" t="s">
        <v>49</v>
      </c>
      <c r="X438" s="13" t="str">
        <f>IF(RIGHT(H438,2)&lt;&gt;"00",H438,"")</f>
        <v/>
      </c>
      <c r="Y438" s="2">
        <f ca="1">NETWORKDAYS(P438,$Y$1)</f>
        <v>196</v>
      </c>
      <c r="Z438" s="14">
        <v>1</v>
      </c>
      <c r="AA438" s="1" t="str">
        <f t="shared" ca="1" si="30"/>
        <v>VENCIDO</v>
      </c>
      <c r="AB438" s="1" t="str">
        <f t="shared" si="31"/>
        <v>C-14</v>
      </c>
      <c r="AC438" s="2" t="str">
        <f t="shared" si="34"/>
        <v xml:space="preserve"> CRISTINA </v>
      </c>
      <c r="AD438" s="2">
        <f t="shared" si="32"/>
        <v>15</v>
      </c>
      <c r="AE438" s="2">
        <f t="shared" ca="1" si="33"/>
        <v>-272.282197569446</v>
      </c>
      <c r="AF438" s="15"/>
    </row>
    <row r="439" spans="1:32" hidden="1">
      <c r="A439" s="1">
        <v>8635705</v>
      </c>
      <c r="B439" s="1" t="s">
        <v>653</v>
      </c>
      <c r="C439" t="s">
        <v>3580</v>
      </c>
      <c r="E439" s="2">
        <v>550001400030</v>
      </c>
      <c r="F439" s="1" t="s">
        <v>647</v>
      </c>
      <c r="G439" s="1" t="s">
        <v>53</v>
      </c>
      <c r="H439" s="1" t="s">
        <v>337</v>
      </c>
      <c r="I439" s="1" t="s">
        <v>338</v>
      </c>
      <c r="J439" s="1" t="s">
        <v>164</v>
      </c>
      <c r="K439" t="s">
        <v>650</v>
      </c>
      <c r="M439" s="1" t="s">
        <v>58</v>
      </c>
      <c r="N439" s="1">
        <v>0</v>
      </c>
      <c r="O439" s="1" t="s">
        <v>105</v>
      </c>
      <c r="P439" s="186">
        <v>44713.39371527778</v>
      </c>
      <c r="R439" s="1">
        <v>4</v>
      </c>
      <c r="T439" s="1" t="s">
        <v>646</v>
      </c>
      <c r="U439" s="186">
        <v>44714.39371527778</v>
      </c>
      <c r="V439" s="1" t="s">
        <v>41</v>
      </c>
      <c r="W439" s="1" t="s">
        <v>49</v>
      </c>
      <c r="X439" s="13" t="str">
        <f>IF(RIGHT(H439,2)&lt;&gt;"00",H439,"")</f>
        <v/>
      </c>
      <c r="Y439" s="2">
        <f ca="1">NETWORKDAYS(P439,$Y$1)</f>
        <v>196</v>
      </c>
      <c r="Z439" s="14">
        <v>1</v>
      </c>
      <c r="AA439" s="1" t="str">
        <f t="shared" ca="1" si="30"/>
        <v>VENCIDO</v>
      </c>
      <c r="AB439" s="1" t="str">
        <f t="shared" si="31"/>
        <v>C-14</v>
      </c>
      <c r="AC439" s="2" t="str">
        <f t="shared" si="34"/>
        <v xml:space="preserve"> ROSEMERE </v>
      </c>
      <c r="AD439" s="2">
        <f t="shared" si="32"/>
        <v>15</v>
      </c>
      <c r="AE439" s="2">
        <f t="shared" ca="1" si="33"/>
        <v>-272.28255636573886</v>
      </c>
      <c r="AF439" s="15"/>
    </row>
    <row r="440" spans="1:32" hidden="1">
      <c r="A440" s="1">
        <v>8635695</v>
      </c>
      <c r="B440" s="1" t="s">
        <v>653</v>
      </c>
      <c r="C440" t="s">
        <v>3580</v>
      </c>
      <c r="E440" s="2">
        <v>537001400030</v>
      </c>
      <c r="F440" s="1" t="s">
        <v>647</v>
      </c>
      <c r="G440" s="1" t="s">
        <v>53</v>
      </c>
      <c r="H440" s="1" t="s">
        <v>442</v>
      </c>
      <c r="I440" s="1" t="s">
        <v>443</v>
      </c>
      <c r="J440" s="1" t="s">
        <v>79</v>
      </c>
      <c r="K440" t="s">
        <v>650</v>
      </c>
      <c r="M440" s="1" t="s">
        <v>58</v>
      </c>
      <c r="N440" s="1">
        <v>0</v>
      </c>
      <c r="O440" s="1" t="s">
        <v>105</v>
      </c>
      <c r="P440" s="186">
        <v>44713.393703703703</v>
      </c>
      <c r="R440" s="1">
        <v>4</v>
      </c>
      <c r="T440" s="1" t="s">
        <v>646</v>
      </c>
      <c r="U440" s="186">
        <v>44714.393703703703</v>
      </c>
      <c r="V440" s="1" t="s">
        <v>41</v>
      </c>
      <c r="W440" s="1" t="s">
        <v>49</v>
      </c>
      <c r="X440" s="13" t="str">
        <f>IF(RIGHT(H440,2)&lt;&gt;"00",H440,"")</f>
        <v/>
      </c>
      <c r="Y440" s="2">
        <f ca="1">NETWORKDAYS(P440,$Y$1)</f>
        <v>196</v>
      </c>
      <c r="Z440" s="14">
        <v>1</v>
      </c>
      <c r="AA440" s="1" t="str">
        <f t="shared" ca="1" si="30"/>
        <v>VENCIDO</v>
      </c>
      <c r="AB440" s="1" t="str">
        <f t="shared" si="31"/>
        <v>C-14</v>
      </c>
      <c r="AC440" s="2" t="str">
        <f t="shared" si="34"/>
        <v xml:space="preserve"> ROSEMERE </v>
      </c>
      <c r="AD440" s="2">
        <f t="shared" si="32"/>
        <v>15</v>
      </c>
      <c r="AE440" s="2">
        <f t="shared" ca="1" si="33"/>
        <v>-272.28256793981564</v>
      </c>
      <c r="AF440" s="15"/>
    </row>
    <row r="441" spans="1:32" hidden="1">
      <c r="A441" s="1">
        <v>8635610</v>
      </c>
      <c r="B441" s="1" t="s">
        <v>653</v>
      </c>
      <c r="C441" t="s">
        <v>3580</v>
      </c>
      <c r="E441" s="2">
        <v>446001400030</v>
      </c>
      <c r="F441" s="1" t="s">
        <v>647</v>
      </c>
      <c r="G441" s="1" t="s">
        <v>53</v>
      </c>
      <c r="H441" s="1" t="s">
        <v>432</v>
      </c>
      <c r="I441" s="1" t="s">
        <v>433</v>
      </c>
      <c r="J441" s="1" t="s">
        <v>110</v>
      </c>
      <c r="K441" t="s">
        <v>650</v>
      </c>
      <c r="M441" s="1" t="s">
        <v>58</v>
      </c>
      <c r="N441" s="1">
        <v>0</v>
      </c>
      <c r="O441" s="1" t="s">
        <v>105</v>
      </c>
      <c r="P441" s="186">
        <v>44713.393518518518</v>
      </c>
      <c r="R441" s="1">
        <v>4</v>
      </c>
      <c r="T441" s="1" t="s">
        <v>646</v>
      </c>
      <c r="U441" s="186">
        <v>44714.393518518518</v>
      </c>
      <c r="V441" s="1" t="s">
        <v>41</v>
      </c>
      <c r="W441" s="1" t="s">
        <v>49</v>
      </c>
      <c r="X441" s="13" t="str">
        <f>IF(RIGHT(H441,2)&lt;&gt;"00",H441,"")</f>
        <v/>
      </c>
      <c r="Y441" s="2">
        <f ca="1">NETWORKDAYS(P441,$Y$1)</f>
        <v>196</v>
      </c>
      <c r="Z441" s="14">
        <v>1</v>
      </c>
      <c r="AA441" s="1" t="str">
        <f t="shared" ca="1" si="30"/>
        <v>VENCIDO</v>
      </c>
      <c r="AB441" s="1" t="str">
        <f t="shared" si="31"/>
        <v>C-14</v>
      </c>
      <c r="AC441" s="2" t="str">
        <f t="shared" si="34"/>
        <v xml:space="preserve"> CRISTINA </v>
      </c>
      <c r="AD441" s="2">
        <f t="shared" si="32"/>
        <v>15</v>
      </c>
      <c r="AE441" s="2">
        <f t="shared" ca="1" si="33"/>
        <v>-272.28275312500045</v>
      </c>
      <c r="AF441" s="15"/>
    </row>
    <row r="442" spans="1:32" hidden="1">
      <c r="A442" s="1">
        <v>8635412</v>
      </c>
      <c r="B442" s="1" t="s">
        <v>653</v>
      </c>
      <c r="C442" t="s">
        <v>3580</v>
      </c>
      <c r="E442" s="2">
        <v>233001400030</v>
      </c>
      <c r="F442" s="1" t="s">
        <v>647</v>
      </c>
      <c r="G442" s="1" t="s">
        <v>53</v>
      </c>
      <c r="H442" s="1" t="s">
        <v>424</v>
      </c>
      <c r="I442" s="1" t="s">
        <v>425</v>
      </c>
      <c r="J442" s="1" t="s">
        <v>261</v>
      </c>
      <c r="K442" t="s">
        <v>650</v>
      </c>
      <c r="M442" s="1" t="s">
        <v>58</v>
      </c>
      <c r="N442" s="1">
        <v>0</v>
      </c>
      <c r="O442" s="1" t="s">
        <v>105</v>
      </c>
      <c r="P442" s="186">
        <v>44713.393101851849</v>
      </c>
      <c r="R442" s="1">
        <v>4</v>
      </c>
      <c r="T442" s="1" t="s">
        <v>646</v>
      </c>
      <c r="U442" s="186">
        <v>44714.393101851849</v>
      </c>
      <c r="V442" s="1" t="s">
        <v>41</v>
      </c>
      <c r="W442" s="1" t="s">
        <v>49</v>
      </c>
      <c r="X442" s="13" t="str">
        <f>IF(RIGHT(H442,2)&lt;&gt;"00",H442,"")</f>
        <v/>
      </c>
      <c r="Y442" s="2">
        <f ca="1">NETWORKDAYS(P442,$Y$1)</f>
        <v>196</v>
      </c>
      <c r="Z442" s="14">
        <v>1</v>
      </c>
      <c r="AA442" s="1" t="str">
        <f t="shared" ca="1" si="30"/>
        <v>VENCIDO</v>
      </c>
      <c r="AB442" s="1" t="str">
        <f t="shared" si="31"/>
        <v>C-14</v>
      </c>
      <c r="AC442" s="2" t="str">
        <f t="shared" si="34"/>
        <v xml:space="preserve"> CRISTINA </v>
      </c>
      <c r="AD442" s="2">
        <f t="shared" si="32"/>
        <v>15</v>
      </c>
      <c r="AE442" s="2">
        <f t="shared" ca="1" si="33"/>
        <v>-272.28316979166993</v>
      </c>
      <c r="AF442" s="15"/>
    </row>
    <row r="443" spans="1:32" hidden="1">
      <c r="A443" s="1">
        <v>8635253</v>
      </c>
      <c r="B443" s="1" t="s">
        <v>653</v>
      </c>
      <c r="C443" t="s">
        <v>3581</v>
      </c>
      <c r="E443" s="2">
        <v>325001400010</v>
      </c>
      <c r="F443" s="1" t="s">
        <v>936</v>
      </c>
      <c r="G443" s="1" t="s">
        <v>53</v>
      </c>
      <c r="H443" s="1" t="s">
        <v>345</v>
      </c>
      <c r="I443" s="1" t="s">
        <v>346</v>
      </c>
      <c r="J443" s="1" t="s">
        <v>46</v>
      </c>
      <c r="K443" t="s">
        <v>937</v>
      </c>
      <c r="M443" s="1" t="s">
        <v>58</v>
      </c>
      <c r="N443" s="1">
        <v>0</v>
      </c>
      <c r="O443" s="1" t="s">
        <v>105</v>
      </c>
      <c r="P443" s="186">
        <v>44713.392777777779</v>
      </c>
      <c r="R443" s="1">
        <v>3</v>
      </c>
      <c r="T443" s="1" t="s">
        <v>646</v>
      </c>
      <c r="U443" s="186">
        <v>44714.392777777779</v>
      </c>
      <c r="V443" s="1" t="s">
        <v>41</v>
      </c>
      <c r="W443" s="1" t="s">
        <v>49</v>
      </c>
      <c r="X443" s="13" t="str">
        <f>IF(RIGHT(H443,2)&lt;&gt;"00",H443,"")</f>
        <v/>
      </c>
      <c r="Y443" s="2">
        <f ca="1">NETWORKDAYS(P443,$Y$1)</f>
        <v>196</v>
      </c>
      <c r="Z443" s="14">
        <v>1</v>
      </c>
      <c r="AA443" s="1" t="str">
        <f t="shared" ca="1" si="30"/>
        <v>VENCIDO</v>
      </c>
      <c r="AB443" s="1" t="str">
        <f t="shared" si="31"/>
        <v>C-14</v>
      </c>
      <c r="AC443" s="2" t="str">
        <f t="shared" si="34"/>
        <v xml:space="preserve"> CLEITON </v>
      </c>
      <c r="AD443" s="2">
        <f t="shared" si="32"/>
        <v>5</v>
      </c>
      <c r="AE443" s="2">
        <f t="shared" ca="1" si="33"/>
        <v>-272.28349386573973</v>
      </c>
      <c r="AF443" s="15"/>
    </row>
    <row r="444" spans="1:32" hidden="1">
      <c r="A444" s="1">
        <v>8635179</v>
      </c>
      <c r="B444" s="1" t="s">
        <v>653</v>
      </c>
      <c r="C444" t="s">
        <v>3581</v>
      </c>
      <c r="E444" s="2">
        <v>8973001400010</v>
      </c>
      <c r="F444" s="1" t="s">
        <v>936</v>
      </c>
      <c r="G444" s="1" t="s">
        <v>53</v>
      </c>
      <c r="H444" s="1" t="s">
        <v>661</v>
      </c>
      <c r="I444" s="1" t="s">
        <v>662</v>
      </c>
      <c r="J444" s="1" t="s">
        <v>46</v>
      </c>
      <c r="K444" t="s">
        <v>937</v>
      </c>
      <c r="M444" s="1" t="s">
        <v>58</v>
      </c>
      <c r="N444" s="1">
        <v>0</v>
      </c>
      <c r="O444" s="1" t="s">
        <v>105</v>
      </c>
      <c r="P444" s="186">
        <v>44713.392581018517</v>
      </c>
      <c r="R444" s="1">
        <v>3</v>
      </c>
      <c r="T444" s="1" t="s">
        <v>646</v>
      </c>
      <c r="U444" s="186">
        <v>44714.392581018517</v>
      </c>
      <c r="V444" s="1" t="s">
        <v>41</v>
      </c>
      <c r="W444" s="1" t="s">
        <v>49</v>
      </c>
      <c r="X444" s="13" t="str">
        <f>IF(RIGHT(H444,2)&lt;&gt;"00",H444,"")</f>
        <v/>
      </c>
      <c r="Y444" s="2">
        <f ca="1">NETWORKDAYS(P444,$Y$1)</f>
        <v>196</v>
      </c>
      <c r="Z444" s="14">
        <v>1</v>
      </c>
      <c r="AA444" s="1" t="str">
        <f t="shared" ca="1" si="30"/>
        <v>VENCIDO</v>
      </c>
      <c r="AB444" s="1" t="str">
        <f t="shared" si="31"/>
        <v>C-14</v>
      </c>
      <c r="AC444" s="2" t="str">
        <f t="shared" si="34"/>
        <v xml:space="preserve"> CLEITON </v>
      </c>
      <c r="AD444" s="2">
        <f t="shared" si="32"/>
        <v>5</v>
      </c>
      <c r="AE444" s="2">
        <f t="shared" ca="1" si="33"/>
        <v>-272.28369062500133</v>
      </c>
      <c r="AF444" s="15"/>
    </row>
    <row r="445" spans="1:32" hidden="1">
      <c r="A445" s="1">
        <v>8635156</v>
      </c>
      <c r="B445" s="1" t="s">
        <v>653</v>
      </c>
      <c r="C445" t="s">
        <v>3581</v>
      </c>
      <c r="E445" s="2">
        <v>8633001400010</v>
      </c>
      <c r="F445" s="1" t="s">
        <v>936</v>
      </c>
      <c r="G445" s="1" t="s">
        <v>53</v>
      </c>
      <c r="H445" s="1" t="s">
        <v>835</v>
      </c>
      <c r="I445" s="1" t="s">
        <v>836</v>
      </c>
      <c r="J445" s="1" t="s">
        <v>46</v>
      </c>
      <c r="K445" t="s">
        <v>937</v>
      </c>
      <c r="M445" s="1" t="s">
        <v>58</v>
      </c>
      <c r="N445" s="1">
        <v>0</v>
      </c>
      <c r="O445" s="1" t="s">
        <v>105</v>
      </c>
      <c r="P445" s="186">
        <v>44713.392557870371</v>
      </c>
      <c r="R445" s="1">
        <v>3</v>
      </c>
      <c r="T445" s="1" t="s">
        <v>646</v>
      </c>
      <c r="U445" s="186">
        <v>44714.392557870371</v>
      </c>
      <c r="V445" s="1" t="s">
        <v>41</v>
      </c>
      <c r="W445" s="1" t="s">
        <v>49</v>
      </c>
      <c r="X445" s="13" t="str">
        <f>IF(RIGHT(H445,2)&lt;&gt;"00",H445,"")</f>
        <v/>
      </c>
      <c r="Y445" s="2">
        <f ca="1">NETWORKDAYS(P445,$Y$1)</f>
        <v>196</v>
      </c>
      <c r="Z445" s="14">
        <v>1</v>
      </c>
      <c r="AA445" s="1" t="str">
        <f t="shared" ca="1" si="30"/>
        <v>VENCIDO</v>
      </c>
      <c r="AB445" s="1" t="str">
        <f t="shared" si="31"/>
        <v>C-14</v>
      </c>
      <c r="AC445" s="2" t="str">
        <f t="shared" si="34"/>
        <v xml:space="preserve"> CLEITON </v>
      </c>
      <c r="AD445" s="2">
        <f t="shared" si="32"/>
        <v>5</v>
      </c>
      <c r="AE445" s="2">
        <f t="shared" ca="1" si="33"/>
        <v>-272.28371377314761</v>
      </c>
      <c r="AF445" s="15"/>
    </row>
    <row r="446" spans="1:32" hidden="1">
      <c r="A446" s="1">
        <v>8634660</v>
      </c>
      <c r="B446" s="1" t="s">
        <v>653</v>
      </c>
      <c r="C446" t="s">
        <v>3581</v>
      </c>
      <c r="E446" s="2">
        <v>5898001400010</v>
      </c>
      <c r="F446" s="1" t="s">
        <v>936</v>
      </c>
      <c r="G446" s="1" t="s">
        <v>53</v>
      </c>
      <c r="H446" s="1" t="s">
        <v>365</v>
      </c>
      <c r="I446" s="1" t="s">
        <v>366</v>
      </c>
      <c r="J446" s="1" t="s">
        <v>164</v>
      </c>
      <c r="K446" t="s">
        <v>937</v>
      </c>
      <c r="M446" s="1" t="s">
        <v>58</v>
      </c>
      <c r="N446" s="1">
        <v>0</v>
      </c>
      <c r="O446" s="1" t="s">
        <v>105</v>
      </c>
      <c r="P446" s="186">
        <v>44713.390601851854</v>
      </c>
      <c r="R446" s="1">
        <v>3</v>
      </c>
      <c r="T446" s="1" t="s">
        <v>646</v>
      </c>
      <c r="U446" s="186">
        <v>44714.390601851854</v>
      </c>
      <c r="V446" s="1" t="s">
        <v>41</v>
      </c>
      <c r="W446" s="1" t="s">
        <v>49</v>
      </c>
      <c r="X446" s="13" t="str">
        <f>IF(RIGHT(H446,2)&lt;&gt;"00",H446,"")</f>
        <v/>
      </c>
      <c r="Y446" s="2">
        <f ca="1">NETWORKDAYS(P446,$Y$1)</f>
        <v>196</v>
      </c>
      <c r="Z446" s="14">
        <v>1</v>
      </c>
      <c r="AA446" s="1" t="str">
        <f t="shared" ca="1" si="30"/>
        <v>VENCIDO</v>
      </c>
      <c r="AB446" s="1" t="str">
        <f t="shared" si="31"/>
        <v>C-14</v>
      </c>
      <c r="AC446" s="2" t="str">
        <f t="shared" si="34"/>
        <v xml:space="preserve"> ROSEMERE </v>
      </c>
      <c r="AD446" s="2">
        <f t="shared" si="32"/>
        <v>5</v>
      </c>
      <c r="AE446" s="2">
        <f t="shared" ca="1" si="33"/>
        <v>-272.28566979166499</v>
      </c>
      <c r="AF446" s="15"/>
    </row>
    <row r="447" spans="1:32" hidden="1">
      <c r="A447" s="1">
        <v>8634637</v>
      </c>
      <c r="B447" s="1" t="s">
        <v>653</v>
      </c>
      <c r="C447" t="s">
        <v>3581</v>
      </c>
      <c r="E447" s="2">
        <v>5816001400010</v>
      </c>
      <c r="F447" s="1" t="s">
        <v>936</v>
      </c>
      <c r="G447" s="1" t="s">
        <v>53</v>
      </c>
      <c r="H447" s="1" t="s">
        <v>412</v>
      </c>
      <c r="I447" s="1" t="s">
        <v>413</v>
      </c>
      <c r="J447" s="1" t="s">
        <v>46</v>
      </c>
      <c r="K447" t="s">
        <v>937</v>
      </c>
      <c r="M447" s="1" t="s">
        <v>58</v>
      </c>
      <c r="N447" s="1">
        <v>0</v>
      </c>
      <c r="O447" s="1" t="s">
        <v>105</v>
      </c>
      <c r="P447" s="186">
        <v>44713.390567129631</v>
      </c>
      <c r="R447" s="1">
        <v>3</v>
      </c>
      <c r="T447" s="1" t="s">
        <v>646</v>
      </c>
      <c r="U447" s="186">
        <v>44714.390567129631</v>
      </c>
      <c r="V447" s="1" t="s">
        <v>41</v>
      </c>
      <c r="W447" s="1" t="s">
        <v>49</v>
      </c>
      <c r="X447" s="13" t="str">
        <f>IF(RIGHT(H447,2)&lt;&gt;"00",H447,"")</f>
        <v/>
      </c>
      <c r="Y447" s="2">
        <f ca="1">NETWORKDAYS(P447,$Y$1)</f>
        <v>196</v>
      </c>
      <c r="Z447" s="14">
        <v>1</v>
      </c>
      <c r="AA447" s="1" t="str">
        <f t="shared" ca="1" si="30"/>
        <v>VENCIDO</v>
      </c>
      <c r="AB447" s="1" t="str">
        <f t="shared" si="31"/>
        <v>C-14</v>
      </c>
      <c r="AC447" s="2" t="str">
        <f t="shared" si="34"/>
        <v xml:space="preserve"> CLEITON </v>
      </c>
      <c r="AD447" s="2">
        <f t="shared" si="32"/>
        <v>5</v>
      </c>
      <c r="AE447" s="2">
        <f t="shared" ca="1" si="33"/>
        <v>-272.28570451388805</v>
      </c>
      <c r="AF447" s="15"/>
    </row>
    <row r="448" spans="1:32" hidden="1">
      <c r="A448" s="1">
        <v>8634603</v>
      </c>
      <c r="B448" s="1" t="s">
        <v>653</v>
      </c>
      <c r="C448" t="s">
        <v>3581</v>
      </c>
      <c r="E448" s="2">
        <v>5755001400010</v>
      </c>
      <c r="F448" s="1" t="s">
        <v>936</v>
      </c>
      <c r="G448" s="1" t="s">
        <v>53</v>
      </c>
      <c r="H448" s="1" t="s">
        <v>841</v>
      </c>
      <c r="I448" s="1" t="s">
        <v>842</v>
      </c>
      <c r="J448" s="1" t="s">
        <v>46</v>
      </c>
      <c r="K448" t="s">
        <v>937</v>
      </c>
      <c r="M448" s="1" t="s">
        <v>58</v>
      </c>
      <c r="N448" s="1">
        <v>0</v>
      </c>
      <c r="O448" s="1" t="s">
        <v>105</v>
      </c>
      <c r="P448" s="186">
        <v>44713.390509259261</v>
      </c>
      <c r="R448" s="1">
        <v>3</v>
      </c>
      <c r="T448" s="1" t="s">
        <v>646</v>
      </c>
      <c r="U448" s="186">
        <v>44714.390509259261</v>
      </c>
      <c r="V448" s="1" t="s">
        <v>41</v>
      </c>
      <c r="W448" s="1" t="s">
        <v>49</v>
      </c>
      <c r="X448" s="13" t="str">
        <f>IF(RIGHT(H448,2)&lt;&gt;"00",H448,"")</f>
        <v/>
      </c>
      <c r="Y448" s="2">
        <f ca="1">NETWORKDAYS(P448,$Y$1)</f>
        <v>196</v>
      </c>
      <c r="Z448" s="14">
        <v>1</v>
      </c>
      <c r="AA448" s="1" t="str">
        <f t="shared" ca="1" si="30"/>
        <v>VENCIDO</v>
      </c>
      <c r="AB448" s="1" t="str">
        <f t="shared" si="31"/>
        <v>C-14</v>
      </c>
      <c r="AC448" s="2" t="str">
        <f t="shared" si="34"/>
        <v xml:space="preserve"> CLEITON </v>
      </c>
      <c r="AD448" s="2">
        <f t="shared" si="32"/>
        <v>5</v>
      </c>
      <c r="AE448" s="2">
        <f t="shared" ca="1" si="33"/>
        <v>-272.2857623842574</v>
      </c>
      <c r="AF448" s="15"/>
    </row>
    <row r="449" spans="1:32" hidden="1">
      <c r="A449" s="1">
        <v>8634599</v>
      </c>
      <c r="B449" s="1" t="s">
        <v>653</v>
      </c>
      <c r="C449" t="s">
        <v>3581</v>
      </c>
      <c r="E449" s="2">
        <v>5742001400010</v>
      </c>
      <c r="F449" s="1" t="s">
        <v>936</v>
      </c>
      <c r="G449" s="1" t="s">
        <v>53</v>
      </c>
      <c r="H449" s="1" t="s">
        <v>430</v>
      </c>
      <c r="I449" s="1" t="s">
        <v>431</v>
      </c>
      <c r="J449" s="1" t="s">
        <v>79</v>
      </c>
      <c r="K449" t="s">
        <v>937</v>
      </c>
      <c r="M449" s="1" t="s">
        <v>58</v>
      </c>
      <c r="N449" s="1">
        <v>0</v>
      </c>
      <c r="O449" s="1" t="s">
        <v>105</v>
      </c>
      <c r="P449" s="186">
        <v>44713.390509259261</v>
      </c>
      <c r="R449" s="1">
        <v>3</v>
      </c>
      <c r="T449" s="1" t="s">
        <v>646</v>
      </c>
      <c r="U449" s="186">
        <v>44714.390509259261</v>
      </c>
      <c r="V449" s="1" t="s">
        <v>41</v>
      </c>
      <c r="W449" s="1" t="s">
        <v>49</v>
      </c>
      <c r="X449" s="13" t="str">
        <f>IF(RIGHT(H449,2)&lt;&gt;"00",H449,"")</f>
        <v/>
      </c>
      <c r="Y449" s="2">
        <f ca="1">NETWORKDAYS(P449,$Y$1)</f>
        <v>196</v>
      </c>
      <c r="Z449" s="14">
        <v>1</v>
      </c>
      <c r="AA449" s="1" t="str">
        <f t="shared" ca="1" si="30"/>
        <v>VENCIDO</v>
      </c>
      <c r="AB449" s="1" t="str">
        <f t="shared" si="31"/>
        <v>C-14</v>
      </c>
      <c r="AC449" s="2" t="str">
        <f t="shared" si="34"/>
        <v xml:space="preserve"> ROSEMERE </v>
      </c>
      <c r="AD449" s="2">
        <f t="shared" si="32"/>
        <v>5</v>
      </c>
      <c r="AE449" s="2">
        <f t="shared" ca="1" si="33"/>
        <v>-272.2857623842574</v>
      </c>
      <c r="AF449" s="15"/>
    </row>
    <row r="450" spans="1:32" hidden="1">
      <c r="A450" s="1">
        <v>8634597</v>
      </c>
      <c r="B450" s="1" t="s">
        <v>653</v>
      </c>
      <c r="C450" t="s">
        <v>3581</v>
      </c>
      <c r="E450" s="2">
        <v>5740001400010</v>
      </c>
      <c r="F450" s="1" t="s">
        <v>936</v>
      </c>
      <c r="G450" s="1" t="s">
        <v>53</v>
      </c>
      <c r="H450" s="1" t="s">
        <v>626</v>
      </c>
      <c r="I450" s="1" t="s">
        <v>627</v>
      </c>
      <c r="J450" s="1" t="s">
        <v>46</v>
      </c>
      <c r="K450" t="s">
        <v>937</v>
      </c>
      <c r="M450" s="1" t="s">
        <v>58</v>
      </c>
      <c r="N450" s="1">
        <v>0</v>
      </c>
      <c r="O450" s="1" t="s">
        <v>105</v>
      </c>
      <c r="P450" s="186">
        <v>44713.390509259261</v>
      </c>
      <c r="R450" s="1">
        <v>3</v>
      </c>
      <c r="T450" s="1" t="s">
        <v>646</v>
      </c>
      <c r="U450" s="186">
        <v>44714.390509259261</v>
      </c>
      <c r="V450" s="1" t="s">
        <v>41</v>
      </c>
      <c r="W450" s="1" t="s">
        <v>49</v>
      </c>
      <c r="X450" s="13" t="str">
        <f>IF(RIGHT(H450,2)&lt;&gt;"00",H450,"")</f>
        <v/>
      </c>
      <c r="Y450" s="2">
        <f ca="1">NETWORKDAYS(P450,$Y$1)</f>
        <v>196</v>
      </c>
      <c r="Z450" s="14">
        <v>1</v>
      </c>
      <c r="AA450" s="1" t="str">
        <f t="shared" ref="AA450:AA513" ca="1" si="35">IF(AE450=0,"HOJE",IF(AE450&gt;0,"A VENCER",IF(AE450&lt;0,"VENCIDO")))</f>
        <v>VENCIDO</v>
      </c>
      <c r="AB450" s="1" t="str">
        <f t="shared" ref="AB450:AB513" si="36">IF(F450="GRPE-000001","C-14",IF(F450="GRPE-000002","C-14",IF(F450="GRPE-000003","C-14",IF(F450="GRPE-000004","SL-On",IF(F450="GRPE-000038","C-14",IF(F450="GRPE-900022","Dosa",IF(F450="GRPE-000029","Dosa",IF(F450="ATOS-000222","Dose","TAAe+"))))))))</f>
        <v>C-14</v>
      </c>
      <c r="AC450" s="2" t="str">
        <f t="shared" si="34"/>
        <v xml:space="preserve"> CLEITON </v>
      </c>
      <c r="AD450" s="2">
        <f t="shared" ref="AD450:AD513" si="37">IF(F450="GRPE-000001",5,IF(F450="GRPE-000002",5,IF(F450="GRPE-000003",15,IF(F450="GRPE-000004",1,IF(F450="GRPE-000038",5,IF(F450="GRPE-900022",5,IF(F450="GRPE-000029",5,IF(F450="ATOS-000222",5,8))))))))</f>
        <v>5</v>
      </c>
      <c r="AE450" s="2">
        <f t="shared" ref="AE450:AE513" ca="1" si="38">IF(U450=$AE$1,"",U450-$AE$1)</f>
        <v>-272.2857623842574</v>
      </c>
      <c r="AF450" s="15"/>
    </row>
    <row r="451" spans="1:32" hidden="1">
      <c r="A451" s="1">
        <v>8634419</v>
      </c>
      <c r="B451" s="1" t="s">
        <v>653</v>
      </c>
      <c r="C451" t="s">
        <v>3581</v>
      </c>
      <c r="E451" s="2">
        <v>4997001400010</v>
      </c>
      <c r="F451" s="1" t="s">
        <v>936</v>
      </c>
      <c r="G451" s="1" t="s">
        <v>53</v>
      </c>
      <c r="H451" s="1" t="s">
        <v>406</v>
      </c>
      <c r="I451" s="1" t="s">
        <v>407</v>
      </c>
      <c r="J451" s="1" t="s">
        <v>79</v>
      </c>
      <c r="K451" t="s">
        <v>937</v>
      </c>
      <c r="M451" s="1" t="s">
        <v>58</v>
      </c>
      <c r="N451" s="1">
        <v>0</v>
      </c>
      <c r="O451" s="1" t="s">
        <v>36</v>
      </c>
      <c r="P451" s="186">
        <v>44713.390104166669</v>
      </c>
      <c r="R451" s="1">
        <v>3</v>
      </c>
      <c r="T451" s="1" t="s">
        <v>646</v>
      </c>
      <c r="U451" s="186">
        <v>44714.390104166669</v>
      </c>
      <c r="V451" s="1" t="s">
        <v>41</v>
      </c>
      <c r="W451" s="1" t="s">
        <v>49</v>
      </c>
      <c r="X451" s="13" t="str">
        <f>IF(RIGHT(H451,2)&lt;&gt;"00",H451,"")</f>
        <v/>
      </c>
      <c r="Y451" s="2">
        <f ca="1">NETWORKDAYS(P451,$Y$1)</f>
        <v>196</v>
      </c>
      <c r="Z451" s="14">
        <v>1</v>
      </c>
      <c r="AA451" s="1" t="str">
        <f t="shared" ca="1" si="35"/>
        <v>VENCIDO</v>
      </c>
      <c r="AB451" s="1" t="str">
        <f t="shared" si="36"/>
        <v>C-14</v>
      </c>
      <c r="AC451" s="2" t="str">
        <f t="shared" ref="AC451:AC514" si="39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 xml:space="preserve"> ROSEMERE </v>
      </c>
      <c r="AD451" s="2">
        <f t="shared" si="37"/>
        <v>5</v>
      </c>
      <c r="AE451" s="2">
        <f t="shared" ca="1" si="38"/>
        <v>-272.2861674768501</v>
      </c>
      <c r="AF451" s="15"/>
    </row>
    <row r="452" spans="1:32" hidden="1">
      <c r="A452" s="1">
        <v>8634261</v>
      </c>
      <c r="B452" s="1" t="s">
        <v>653</v>
      </c>
      <c r="C452" t="s">
        <v>3581</v>
      </c>
      <c r="E452" s="2">
        <v>4637001400010</v>
      </c>
      <c r="F452" s="1" t="s">
        <v>936</v>
      </c>
      <c r="G452" s="1" t="s">
        <v>53</v>
      </c>
      <c r="H452" s="1" t="s">
        <v>848</v>
      </c>
      <c r="I452" s="1" t="s">
        <v>849</v>
      </c>
      <c r="J452" s="1" t="s">
        <v>79</v>
      </c>
      <c r="K452" t="s">
        <v>937</v>
      </c>
      <c r="M452" s="1" t="s">
        <v>58</v>
      </c>
      <c r="N452" s="1">
        <v>0</v>
      </c>
      <c r="O452" s="1" t="s">
        <v>105</v>
      </c>
      <c r="P452" s="186">
        <v>44713.389722222222</v>
      </c>
      <c r="R452" s="1">
        <v>3</v>
      </c>
      <c r="T452" s="1" t="s">
        <v>646</v>
      </c>
      <c r="U452" s="186">
        <v>44714.389733796299</v>
      </c>
      <c r="V452" s="1" t="s">
        <v>41</v>
      </c>
      <c r="W452" s="1" t="s">
        <v>49</v>
      </c>
      <c r="X452" s="13" t="str">
        <f>IF(RIGHT(H452,2)&lt;&gt;"00",H452,"")</f>
        <v/>
      </c>
      <c r="Y452" s="2">
        <f ca="1">NETWORKDAYS(P452,$Y$1)</f>
        <v>196</v>
      </c>
      <c r="Z452" s="14">
        <v>1</v>
      </c>
      <c r="AA452" s="1" t="str">
        <f t="shared" ca="1" si="35"/>
        <v>VENCIDO</v>
      </c>
      <c r="AB452" s="1" t="str">
        <f t="shared" si="36"/>
        <v>C-14</v>
      </c>
      <c r="AC452" s="2" t="str">
        <f t="shared" si="39"/>
        <v xml:space="preserve"> ROSEMERE </v>
      </c>
      <c r="AD452" s="2">
        <f t="shared" si="37"/>
        <v>5</v>
      </c>
      <c r="AE452" s="2">
        <f t="shared" ca="1" si="38"/>
        <v>-272.28653784721973</v>
      </c>
      <c r="AF452" s="15"/>
    </row>
    <row r="453" spans="1:32" hidden="1">
      <c r="A453" s="1">
        <v>8634248</v>
      </c>
      <c r="B453" s="1" t="s">
        <v>653</v>
      </c>
      <c r="C453" t="s">
        <v>3581</v>
      </c>
      <c r="E453" s="2">
        <v>4623001400010</v>
      </c>
      <c r="F453" s="1" t="s">
        <v>936</v>
      </c>
      <c r="G453" s="1" t="s">
        <v>53</v>
      </c>
      <c r="H453" s="1" t="s">
        <v>669</v>
      </c>
      <c r="I453" s="1" t="s">
        <v>670</v>
      </c>
      <c r="J453" s="1" t="s">
        <v>33</v>
      </c>
      <c r="K453" t="s">
        <v>937</v>
      </c>
      <c r="M453" s="1" t="s">
        <v>58</v>
      </c>
      <c r="N453" s="1">
        <v>0</v>
      </c>
      <c r="O453" s="1" t="s">
        <v>105</v>
      </c>
      <c r="P453" s="186">
        <v>44713.389710648145</v>
      </c>
      <c r="R453" s="1">
        <v>3</v>
      </c>
      <c r="T453" s="1" t="s">
        <v>646</v>
      </c>
      <c r="U453" s="186">
        <v>44714.389710648145</v>
      </c>
      <c r="V453" s="1" t="s">
        <v>41</v>
      </c>
      <c r="W453" s="1" t="s">
        <v>42</v>
      </c>
      <c r="X453" s="13" t="str">
        <f>IF(RIGHT(H453,2)&lt;&gt;"00",H453,"")</f>
        <v/>
      </c>
      <c r="Y453" s="2">
        <f ca="1">NETWORKDAYS(P453,$Y$1)</f>
        <v>196</v>
      </c>
      <c r="Z453" s="14">
        <v>1</v>
      </c>
      <c r="AA453" s="1" t="str">
        <f t="shared" ca="1" si="35"/>
        <v>VENCIDO</v>
      </c>
      <c r="AB453" s="1" t="str">
        <f t="shared" si="36"/>
        <v>C-14</v>
      </c>
      <c r="AC453" s="2" t="str">
        <f t="shared" si="39"/>
        <v xml:space="preserve"> ROSEMERE </v>
      </c>
      <c r="AD453" s="2">
        <f t="shared" si="37"/>
        <v>5</v>
      </c>
      <c r="AE453" s="2">
        <f t="shared" ca="1" si="38"/>
        <v>-272.28656099537329</v>
      </c>
      <c r="AF453" s="15"/>
    </row>
    <row r="454" spans="1:32" hidden="1">
      <c r="A454" s="1">
        <v>8634067</v>
      </c>
      <c r="B454" s="1" t="s">
        <v>653</v>
      </c>
      <c r="C454" t="s">
        <v>3581</v>
      </c>
      <c r="E454" s="2">
        <v>4357001400010</v>
      </c>
      <c r="F454" s="1" t="s">
        <v>936</v>
      </c>
      <c r="G454" s="1" t="s">
        <v>53</v>
      </c>
      <c r="H454" s="1" t="s">
        <v>633</v>
      </c>
      <c r="I454" s="1" t="s">
        <v>634</v>
      </c>
      <c r="J454" s="1" t="s">
        <v>46</v>
      </c>
      <c r="K454" t="s">
        <v>937</v>
      </c>
      <c r="M454" s="1" t="s">
        <v>58</v>
      </c>
      <c r="N454" s="1">
        <v>0</v>
      </c>
      <c r="O454" s="1" t="s">
        <v>105</v>
      </c>
      <c r="P454" s="186">
        <v>44713.389305555553</v>
      </c>
      <c r="R454" s="1">
        <v>3</v>
      </c>
      <c r="T454" s="1" t="s">
        <v>646</v>
      </c>
      <c r="U454" s="186">
        <v>44714.389305555553</v>
      </c>
      <c r="V454" s="1" t="s">
        <v>41</v>
      </c>
      <c r="W454" s="1" t="s">
        <v>49</v>
      </c>
      <c r="X454" s="13" t="str">
        <f>IF(RIGHT(H454,2)&lt;&gt;"00",H454,"")</f>
        <v/>
      </c>
      <c r="Y454" s="2">
        <f ca="1">NETWORKDAYS(P454,$Y$1)</f>
        <v>196</v>
      </c>
      <c r="Z454" s="14">
        <v>1</v>
      </c>
      <c r="AA454" s="1" t="str">
        <f t="shared" ca="1" si="35"/>
        <v>VENCIDO</v>
      </c>
      <c r="AB454" s="1" t="str">
        <f t="shared" si="36"/>
        <v>C-14</v>
      </c>
      <c r="AC454" s="2" t="str">
        <f t="shared" si="39"/>
        <v xml:space="preserve"> CLEITON </v>
      </c>
      <c r="AD454" s="2">
        <f t="shared" si="37"/>
        <v>5</v>
      </c>
      <c r="AE454" s="2">
        <f t="shared" ca="1" si="38"/>
        <v>-272.28696608796599</v>
      </c>
      <c r="AF454" s="15"/>
    </row>
    <row r="455" spans="1:32" hidden="1">
      <c r="A455" s="1">
        <v>8633996</v>
      </c>
      <c r="B455" s="1" t="s">
        <v>653</v>
      </c>
      <c r="C455" t="s">
        <v>3581</v>
      </c>
      <c r="E455" s="2">
        <v>4235001400010</v>
      </c>
      <c r="F455" s="1" t="s">
        <v>936</v>
      </c>
      <c r="G455" s="1" t="s">
        <v>53</v>
      </c>
      <c r="H455" s="1" t="s">
        <v>291</v>
      </c>
      <c r="I455" s="1" t="s">
        <v>292</v>
      </c>
      <c r="J455" s="1" t="s">
        <v>46</v>
      </c>
      <c r="K455" t="s">
        <v>937</v>
      </c>
      <c r="M455" s="1" t="s">
        <v>58</v>
      </c>
      <c r="N455" s="1">
        <v>0</v>
      </c>
      <c r="O455" s="1" t="s">
        <v>105</v>
      </c>
      <c r="P455" s="186">
        <v>44713.38921296296</v>
      </c>
      <c r="R455" s="1">
        <v>3</v>
      </c>
      <c r="T455" s="1" t="s">
        <v>646</v>
      </c>
      <c r="U455" s="186">
        <v>44714.38921296296</v>
      </c>
      <c r="V455" s="1" t="s">
        <v>41</v>
      </c>
      <c r="W455" s="1" t="s">
        <v>49</v>
      </c>
      <c r="X455" s="13" t="str">
        <f>IF(RIGHT(H455,2)&lt;&gt;"00",H455,"")</f>
        <v/>
      </c>
      <c r="Y455" s="2">
        <f ca="1">NETWORKDAYS(P455,$Y$1)</f>
        <v>196</v>
      </c>
      <c r="Z455" s="14">
        <v>1</v>
      </c>
      <c r="AA455" s="1" t="str">
        <f t="shared" ca="1" si="35"/>
        <v>VENCIDO</v>
      </c>
      <c r="AB455" s="1" t="str">
        <f t="shared" si="36"/>
        <v>C-14</v>
      </c>
      <c r="AC455" s="2" t="str">
        <f t="shared" si="39"/>
        <v xml:space="preserve"> CLEITON </v>
      </c>
      <c r="AD455" s="2">
        <f t="shared" si="37"/>
        <v>5</v>
      </c>
      <c r="AE455" s="2">
        <f t="shared" ca="1" si="38"/>
        <v>-272.2870586805584</v>
      </c>
      <c r="AF455" s="15"/>
    </row>
    <row r="456" spans="1:32" hidden="1">
      <c r="A456" s="1">
        <v>8633745</v>
      </c>
      <c r="B456" s="1" t="s">
        <v>653</v>
      </c>
      <c r="C456" t="s">
        <v>3581</v>
      </c>
      <c r="E456" s="2">
        <v>3918001400010</v>
      </c>
      <c r="F456" s="1" t="s">
        <v>936</v>
      </c>
      <c r="G456" s="1" t="s">
        <v>53</v>
      </c>
      <c r="H456" s="1" t="s">
        <v>858</v>
      </c>
      <c r="I456" s="1" t="s">
        <v>859</v>
      </c>
      <c r="J456" s="1" t="s">
        <v>33</v>
      </c>
      <c r="K456" t="s">
        <v>937</v>
      </c>
      <c r="M456" s="1" t="s">
        <v>58</v>
      </c>
      <c r="N456" s="1">
        <v>0</v>
      </c>
      <c r="O456" s="1" t="s">
        <v>105</v>
      </c>
      <c r="P456" s="186">
        <v>44713.388645833336</v>
      </c>
      <c r="R456" s="1">
        <v>3</v>
      </c>
      <c r="T456" s="1" t="s">
        <v>646</v>
      </c>
      <c r="U456" s="186">
        <v>44714.388645833336</v>
      </c>
      <c r="V456" s="1" t="s">
        <v>41</v>
      </c>
      <c r="W456" s="1" t="s">
        <v>49</v>
      </c>
      <c r="X456" s="13" t="str">
        <f>IF(RIGHT(H456,2)&lt;&gt;"00",H456,"")</f>
        <v/>
      </c>
      <c r="Y456" s="2">
        <f ca="1">NETWORKDAYS(P456,$Y$1)</f>
        <v>196</v>
      </c>
      <c r="Z456" s="14">
        <v>1</v>
      </c>
      <c r="AA456" s="1" t="str">
        <f t="shared" ca="1" si="35"/>
        <v>VENCIDO</v>
      </c>
      <c r="AB456" s="1" t="str">
        <f t="shared" si="36"/>
        <v>C-14</v>
      </c>
      <c r="AC456" s="2" t="str">
        <f t="shared" si="39"/>
        <v xml:space="preserve"> ROSEMERE </v>
      </c>
      <c r="AD456" s="2">
        <f t="shared" si="37"/>
        <v>5</v>
      </c>
      <c r="AE456" s="2">
        <f t="shared" ca="1" si="38"/>
        <v>-272.28762581018236</v>
      </c>
      <c r="AF456" s="15"/>
    </row>
    <row r="457" spans="1:32" hidden="1">
      <c r="A457" s="1">
        <v>8633594</v>
      </c>
      <c r="B457" s="1" t="s">
        <v>653</v>
      </c>
      <c r="C457" t="s">
        <v>3581</v>
      </c>
      <c r="E457" s="2">
        <v>3699001400010</v>
      </c>
      <c r="F457" s="1" t="s">
        <v>936</v>
      </c>
      <c r="G457" s="1" t="s">
        <v>53</v>
      </c>
      <c r="H457" s="1" t="s">
        <v>343</v>
      </c>
      <c r="I457" s="1" t="s">
        <v>344</v>
      </c>
      <c r="J457" s="1" t="s">
        <v>46</v>
      </c>
      <c r="K457" t="s">
        <v>937</v>
      </c>
      <c r="M457" s="1" t="s">
        <v>58</v>
      </c>
      <c r="N457" s="1">
        <v>0</v>
      </c>
      <c r="O457" s="1" t="s">
        <v>105</v>
      </c>
      <c r="P457" s="186">
        <v>44713.388356481482</v>
      </c>
      <c r="R457" s="1">
        <v>3</v>
      </c>
      <c r="T457" s="1" t="s">
        <v>646</v>
      </c>
      <c r="U457" s="186">
        <v>44714.388356481482</v>
      </c>
      <c r="V457" s="1" t="s">
        <v>41</v>
      </c>
      <c r="W457" s="1" t="s">
        <v>49</v>
      </c>
      <c r="X457" s="13" t="str">
        <f>IF(RIGHT(H457,2)&lt;&gt;"00",H457,"")</f>
        <v/>
      </c>
      <c r="Y457" s="2">
        <f ca="1">NETWORKDAYS(P457,$Y$1)</f>
        <v>196</v>
      </c>
      <c r="Z457" s="14">
        <v>1</v>
      </c>
      <c r="AA457" s="1" t="str">
        <f t="shared" ca="1" si="35"/>
        <v>VENCIDO</v>
      </c>
      <c r="AB457" s="1" t="str">
        <f t="shared" si="36"/>
        <v>C-14</v>
      </c>
      <c r="AC457" s="2" t="str">
        <f t="shared" si="39"/>
        <v xml:space="preserve"> CLEITON </v>
      </c>
      <c r="AD457" s="2">
        <f t="shared" si="37"/>
        <v>5</v>
      </c>
      <c r="AE457" s="2">
        <f t="shared" ca="1" si="38"/>
        <v>-272.28791516203637</v>
      </c>
      <c r="AF457" s="15"/>
    </row>
    <row r="458" spans="1:32" hidden="1">
      <c r="A458" s="1">
        <v>8633518</v>
      </c>
      <c r="B458" s="1" t="s">
        <v>653</v>
      </c>
      <c r="C458" t="s">
        <v>3581</v>
      </c>
      <c r="E458" s="2">
        <v>3613001400010</v>
      </c>
      <c r="F458" s="1" t="s">
        <v>936</v>
      </c>
      <c r="G458" s="1" t="s">
        <v>53</v>
      </c>
      <c r="H458" s="1" t="s">
        <v>679</v>
      </c>
      <c r="I458" s="1" t="s">
        <v>680</v>
      </c>
      <c r="J458" s="1" t="s">
        <v>46</v>
      </c>
      <c r="K458" t="s">
        <v>937</v>
      </c>
      <c r="M458" s="1" t="s">
        <v>58</v>
      </c>
      <c r="N458" s="1">
        <v>0</v>
      </c>
      <c r="O458" s="1" t="s">
        <v>105</v>
      </c>
      <c r="P458" s="186">
        <v>44713.388171296298</v>
      </c>
      <c r="R458" s="1">
        <v>3</v>
      </c>
      <c r="T458" s="1" t="s">
        <v>646</v>
      </c>
      <c r="U458" s="186">
        <v>44714.388171296298</v>
      </c>
      <c r="V458" s="1" t="s">
        <v>41</v>
      </c>
      <c r="W458" s="1" t="s">
        <v>49</v>
      </c>
      <c r="X458" s="13" t="str">
        <f>IF(RIGHT(H458,2)&lt;&gt;"00",H458,"")</f>
        <v/>
      </c>
      <c r="Y458" s="2">
        <f ca="1">NETWORKDAYS(P458,$Y$1)</f>
        <v>196</v>
      </c>
      <c r="Z458" s="14">
        <v>1</v>
      </c>
      <c r="AA458" s="1" t="str">
        <f t="shared" ca="1" si="35"/>
        <v>VENCIDO</v>
      </c>
      <c r="AB458" s="1" t="str">
        <f t="shared" si="36"/>
        <v>C-14</v>
      </c>
      <c r="AC458" s="2" t="str">
        <f t="shared" si="39"/>
        <v xml:space="preserve"> CLEITON </v>
      </c>
      <c r="AD458" s="2">
        <f t="shared" si="37"/>
        <v>5</v>
      </c>
      <c r="AE458" s="2">
        <f t="shared" ca="1" si="38"/>
        <v>-272.28810034722119</v>
      </c>
      <c r="AF458" s="15"/>
    </row>
    <row r="459" spans="1:32" hidden="1">
      <c r="A459" s="1">
        <v>8633517</v>
      </c>
      <c r="B459" s="1" t="s">
        <v>653</v>
      </c>
      <c r="C459" t="s">
        <v>3581</v>
      </c>
      <c r="E459" s="2">
        <v>3612001400010</v>
      </c>
      <c r="F459" s="1" t="s">
        <v>936</v>
      </c>
      <c r="G459" s="1" t="s">
        <v>53</v>
      </c>
      <c r="H459" s="1" t="s">
        <v>683</v>
      </c>
      <c r="I459" s="1" t="s">
        <v>684</v>
      </c>
      <c r="J459" s="1" t="s">
        <v>46</v>
      </c>
      <c r="K459" t="s">
        <v>937</v>
      </c>
      <c r="M459" s="1" t="s">
        <v>58</v>
      </c>
      <c r="N459" s="1">
        <v>0</v>
      </c>
      <c r="O459" s="1" t="s">
        <v>105</v>
      </c>
      <c r="P459" s="186">
        <v>44713.388171296298</v>
      </c>
      <c r="R459" s="1">
        <v>3</v>
      </c>
      <c r="T459" s="1" t="s">
        <v>646</v>
      </c>
      <c r="U459" s="186">
        <v>44714.388171296298</v>
      </c>
      <c r="V459" s="1" t="s">
        <v>41</v>
      </c>
      <c r="W459" s="1" t="s">
        <v>49</v>
      </c>
      <c r="X459" s="13" t="str">
        <f>IF(RIGHT(H459,2)&lt;&gt;"00",H459,"")</f>
        <v/>
      </c>
      <c r="Y459" s="2">
        <f ca="1">NETWORKDAYS(P459,$Y$1)</f>
        <v>196</v>
      </c>
      <c r="Z459" s="14">
        <v>1</v>
      </c>
      <c r="AA459" s="1" t="str">
        <f t="shared" ca="1" si="35"/>
        <v>VENCIDO</v>
      </c>
      <c r="AB459" s="1" t="str">
        <f t="shared" si="36"/>
        <v>C-14</v>
      </c>
      <c r="AC459" s="2" t="str">
        <f t="shared" si="39"/>
        <v xml:space="preserve"> CLEITON </v>
      </c>
      <c r="AD459" s="2">
        <f t="shared" si="37"/>
        <v>5</v>
      </c>
      <c r="AE459" s="2">
        <f t="shared" ca="1" si="38"/>
        <v>-272.28810034722119</v>
      </c>
      <c r="AF459" s="15"/>
    </row>
    <row r="460" spans="1:32" hidden="1">
      <c r="A460" s="1">
        <v>8633446</v>
      </c>
      <c r="B460" s="1" t="s">
        <v>653</v>
      </c>
      <c r="C460" t="s">
        <v>3581</v>
      </c>
      <c r="E460" s="2">
        <v>3504001400010</v>
      </c>
      <c r="F460" s="1" t="s">
        <v>936</v>
      </c>
      <c r="G460" s="1" t="s">
        <v>53</v>
      </c>
      <c r="H460" s="1" t="s">
        <v>585</v>
      </c>
      <c r="I460" s="1" t="s">
        <v>586</v>
      </c>
      <c r="J460" s="1" t="s">
        <v>46</v>
      </c>
      <c r="K460" t="s">
        <v>937</v>
      </c>
      <c r="M460" s="1" t="s">
        <v>58</v>
      </c>
      <c r="N460" s="1">
        <v>0</v>
      </c>
      <c r="O460" s="1" t="s">
        <v>105</v>
      </c>
      <c r="P460" s="186">
        <v>44713.387997685182</v>
      </c>
      <c r="R460" s="1">
        <v>3</v>
      </c>
      <c r="T460" s="1" t="s">
        <v>646</v>
      </c>
      <c r="U460" s="186">
        <v>44714.387997685182</v>
      </c>
      <c r="V460" s="1" t="s">
        <v>41</v>
      </c>
      <c r="W460" s="1" t="s">
        <v>49</v>
      </c>
      <c r="X460" s="13" t="str">
        <f>IF(RIGHT(H460,2)&lt;&gt;"00",H460,"")</f>
        <v/>
      </c>
      <c r="Y460" s="2">
        <f ca="1">NETWORKDAYS(P460,$Y$1)</f>
        <v>196</v>
      </c>
      <c r="Z460" s="14">
        <v>1</v>
      </c>
      <c r="AA460" s="1" t="str">
        <f t="shared" ca="1" si="35"/>
        <v>VENCIDO</v>
      </c>
      <c r="AB460" s="1" t="str">
        <f t="shared" si="36"/>
        <v>C-14</v>
      </c>
      <c r="AC460" s="2" t="str">
        <f t="shared" si="39"/>
        <v xml:space="preserve"> CLEITON </v>
      </c>
      <c r="AD460" s="2">
        <f t="shared" si="37"/>
        <v>5</v>
      </c>
      <c r="AE460" s="2">
        <f t="shared" ca="1" si="38"/>
        <v>-272.2882739583365</v>
      </c>
      <c r="AF460" s="15"/>
    </row>
    <row r="461" spans="1:32" hidden="1">
      <c r="A461" s="1">
        <v>8633445</v>
      </c>
      <c r="B461" s="1" t="s">
        <v>653</v>
      </c>
      <c r="C461" t="s">
        <v>3581</v>
      </c>
      <c r="E461" s="2">
        <v>3503001400010</v>
      </c>
      <c r="F461" s="1" t="s">
        <v>936</v>
      </c>
      <c r="G461" s="1" t="s">
        <v>53</v>
      </c>
      <c r="H461" s="1" t="s">
        <v>398</v>
      </c>
      <c r="I461" s="1" t="s">
        <v>399</v>
      </c>
      <c r="J461" s="1" t="s">
        <v>46</v>
      </c>
      <c r="K461" t="s">
        <v>937</v>
      </c>
      <c r="M461" s="1" t="s">
        <v>58</v>
      </c>
      <c r="N461" s="1">
        <v>0</v>
      </c>
      <c r="O461" s="1" t="s">
        <v>105</v>
      </c>
      <c r="P461" s="186">
        <v>44713.387997685182</v>
      </c>
      <c r="R461" s="1">
        <v>3</v>
      </c>
      <c r="T461" s="1" t="s">
        <v>646</v>
      </c>
      <c r="U461" s="186">
        <v>44714.387997685182</v>
      </c>
      <c r="V461" s="1" t="s">
        <v>41</v>
      </c>
      <c r="W461" s="1" t="s">
        <v>49</v>
      </c>
      <c r="X461" s="13" t="str">
        <f>IF(RIGHT(H461,2)&lt;&gt;"00",H461,"")</f>
        <v/>
      </c>
      <c r="Y461" s="2">
        <f ca="1">NETWORKDAYS(P461,$Y$1)</f>
        <v>196</v>
      </c>
      <c r="Z461" s="14">
        <v>1</v>
      </c>
      <c r="AA461" s="1" t="str">
        <f t="shared" ca="1" si="35"/>
        <v>VENCIDO</v>
      </c>
      <c r="AB461" s="1" t="str">
        <f t="shared" si="36"/>
        <v>C-14</v>
      </c>
      <c r="AC461" s="2" t="str">
        <f t="shared" si="39"/>
        <v xml:space="preserve"> CLEITON </v>
      </c>
      <c r="AD461" s="2">
        <f t="shared" si="37"/>
        <v>5</v>
      </c>
      <c r="AE461" s="2">
        <f t="shared" ca="1" si="38"/>
        <v>-272.2882739583365</v>
      </c>
      <c r="AF461" s="15"/>
    </row>
    <row r="462" spans="1:32" hidden="1">
      <c r="A462" s="1">
        <v>8633297</v>
      </c>
      <c r="B462" s="1" t="s">
        <v>653</v>
      </c>
      <c r="C462" t="s">
        <v>3581</v>
      </c>
      <c r="E462" s="2">
        <v>3258001400010</v>
      </c>
      <c r="F462" s="1" t="s">
        <v>936</v>
      </c>
      <c r="G462" s="1" t="s">
        <v>53</v>
      </c>
      <c r="H462" s="1" t="s">
        <v>321</v>
      </c>
      <c r="I462" s="1" t="s">
        <v>322</v>
      </c>
      <c r="J462" s="1" t="s">
        <v>46</v>
      </c>
      <c r="K462" t="s">
        <v>937</v>
      </c>
      <c r="M462" s="1" t="s">
        <v>58</v>
      </c>
      <c r="N462" s="1">
        <v>0</v>
      </c>
      <c r="O462" s="1" t="s">
        <v>105</v>
      </c>
      <c r="P462" s="186">
        <v>44713.387743055559</v>
      </c>
      <c r="R462" s="1">
        <v>3</v>
      </c>
      <c r="T462" s="1" t="s">
        <v>646</v>
      </c>
      <c r="U462" s="186">
        <v>44714.387743055559</v>
      </c>
      <c r="V462" s="1" t="s">
        <v>41</v>
      </c>
      <c r="W462" s="1" t="s">
        <v>49</v>
      </c>
      <c r="X462" s="13" t="str">
        <f>IF(RIGHT(H462,2)&lt;&gt;"00",H462,"")</f>
        <v/>
      </c>
      <c r="Y462" s="2">
        <f ca="1">NETWORKDAYS(P462,$Y$1)</f>
        <v>196</v>
      </c>
      <c r="Z462" s="14">
        <v>1</v>
      </c>
      <c r="AA462" s="1" t="str">
        <f t="shared" ca="1" si="35"/>
        <v>VENCIDO</v>
      </c>
      <c r="AB462" s="1" t="str">
        <f t="shared" si="36"/>
        <v>C-14</v>
      </c>
      <c r="AC462" s="2" t="str">
        <f t="shared" si="39"/>
        <v xml:space="preserve"> CLEITON </v>
      </c>
      <c r="AD462" s="2">
        <f t="shared" si="37"/>
        <v>5</v>
      </c>
      <c r="AE462" s="2">
        <f t="shared" ca="1" si="38"/>
        <v>-272.28852858796017</v>
      </c>
      <c r="AF462" s="15"/>
    </row>
    <row r="463" spans="1:32" hidden="1">
      <c r="A463" s="1">
        <v>8633288</v>
      </c>
      <c r="B463" s="1" t="s">
        <v>653</v>
      </c>
      <c r="C463" t="s">
        <v>3581</v>
      </c>
      <c r="E463" s="2">
        <v>3250001400010</v>
      </c>
      <c r="F463" s="1" t="s">
        <v>936</v>
      </c>
      <c r="G463" s="1" t="s">
        <v>53</v>
      </c>
      <c r="H463" s="1" t="s">
        <v>371</v>
      </c>
      <c r="I463" s="1" t="s">
        <v>372</v>
      </c>
      <c r="J463" s="1" t="s">
        <v>46</v>
      </c>
      <c r="K463" t="s">
        <v>937</v>
      </c>
      <c r="M463" s="1" t="s">
        <v>58</v>
      </c>
      <c r="N463" s="1">
        <v>0</v>
      </c>
      <c r="O463" s="1" t="s">
        <v>105</v>
      </c>
      <c r="P463" s="186">
        <v>44713.387731481482</v>
      </c>
      <c r="R463" s="1">
        <v>3</v>
      </c>
      <c r="T463" s="1" t="s">
        <v>646</v>
      </c>
      <c r="U463" s="186">
        <v>44714.387731481482</v>
      </c>
      <c r="V463" s="1" t="s">
        <v>41</v>
      </c>
      <c r="W463" s="1" t="s">
        <v>49</v>
      </c>
      <c r="X463" s="13" t="str">
        <f>IF(RIGHT(H463,2)&lt;&gt;"00",H463,"")</f>
        <v/>
      </c>
      <c r="Y463" s="2">
        <f ca="1">NETWORKDAYS(P463,$Y$1)</f>
        <v>196</v>
      </c>
      <c r="Z463" s="14">
        <v>1</v>
      </c>
      <c r="AA463" s="1" t="str">
        <f t="shared" ca="1" si="35"/>
        <v>VENCIDO</v>
      </c>
      <c r="AB463" s="1" t="str">
        <f t="shared" si="36"/>
        <v>C-14</v>
      </c>
      <c r="AC463" s="2" t="str">
        <f t="shared" si="39"/>
        <v xml:space="preserve"> CLEITON </v>
      </c>
      <c r="AD463" s="2">
        <f t="shared" si="37"/>
        <v>5</v>
      </c>
      <c r="AE463" s="2">
        <f t="shared" ca="1" si="38"/>
        <v>-272.28854016203695</v>
      </c>
      <c r="AF463" s="15"/>
    </row>
    <row r="464" spans="1:32" hidden="1">
      <c r="A464" s="1">
        <v>8633283</v>
      </c>
      <c r="B464" s="1" t="s">
        <v>653</v>
      </c>
      <c r="C464" t="s">
        <v>3581</v>
      </c>
      <c r="E464" s="2">
        <v>3243001400010</v>
      </c>
      <c r="F464" s="1" t="s">
        <v>936</v>
      </c>
      <c r="G464" s="1" t="s">
        <v>53</v>
      </c>
      <c r="H464" s="1" t="s">
        <v>282</v>
      </c>
      <c r="I464" s="1" t="s">
        <v>283</v>
      </c>
      <c r="J464" s="1" t="s">
        <v>46</v>
      </c>
      <c r="K464" t="s">
        <v>937</v>
      </c>
      <c r="M464" s="1" t="s">
        <v>58</v>
      </c>
      <c r="N464" s="1">
        <v>0</v>
      </c>
      <c r="O464" s="1" t="s">
        <v>105</v>
      </c>
      <c r="P464" s="186">
        <v>44713.387719907405</v>
      </c>
      <c r="R464" s="1">
        <v>3</v>
      </c>
      <c r="T464" s="1" t="s">
        <v>646</v>
      </c>
      <c r="U464" s="186">
        <v>44714.387719907405</v>
      </c>
      <c r="V464" s="1" t="s">
        <v>41</v>
      </c>
      <c r="W464" s="1" t="s">
        <v>49</v>
      </c>
      <c r="X464" s="13" t="str">
        <f>IF(RIGHT(H464,2)&lt;&gt;"00",H464,"")</f>
        <v/>
      </c>
      <c r="Y464" s="2">
        <f ca="1">NETWORKDAYS(P464,$Y$1)</f>
        <v>196</v>
      </c>
      <c r="Z464" s="14">
        <v>1</v>
      </c>
      <c r="AA464" s="1" t="str">
        <f t="shared" ca="1" si="35"/>
        <v>VENCIDO</v>
      </c>
      <c r="AB464" s="1" t="str">
        <f t="shared" si="36"/>
        <v>C-14</v>
      </c>
      <c r="AC464" s="2" t="str">
        <f t="shared" si="39"/>
        <v xml:space="preserve"> CLEITON </v>
      </c>
      <c r="AD464" s="2">
        <f t="shared" si="37"/>
        <v>5</v>
      </c>
      <c r="AE464" s="2">
        <f t="shared" ca="1" si="38"/>
        <v>-272.28855173611373</v>
      </c>
      <c r="AF464" s="15"/>
    </row>
    <row r="465" spans="1:32" hidden="1">
      <c r="A465" s="1">
        <v>8633279</v>
      </c>
      <c r="B465" s="1" t="s">
        <v>653</v>
      </c>
      <c r="C465" t="s">
        <v>3581</v>
      </c>
      <c r="E465" s="2">
        <v>3234171400010</v>
      </c>
      <c r="F465" s="1" t="s">
        <v>936</v>
      </c>
      <c r="G465" s="1" t="s">
        <v>53</v>
      </c>
      <c r="H465" s="1" t="s">
        <v>799</v>
      </c>
      <c r="I465" s="1" t="s">
        <v>800</v>
      </c>
      <c r="J465" s="1" t="s">
        <v>46</v>
      </c>
      <c r="K465" t="s">
        <v>937</v>
      </c>
      <c r="M465" s="1" t="s">
        <v>58</v>
      </c>
      <c r="N465" s="1">
        <v>0</v>
      </c>
      <c r="O465" s="1" t="s">
        <v>105</v>
      </c>
      <c r="P465" s="186">
        <v>44713.387719907405</v>
      </c>
      <c r="R465" s="1">
        <v>3</v>
      </c>
      <c r="T465" s="1" t="s">
        <v>646</v>
      </c>
      <c r="U465" s="186">
        <v>44714.387719907405</v>
      </c>
      <c r="V465" s="1" t="s">
        <v>41</v>
      </c>
      <c r="W465" s="1" t="s">
        <v>49</v>
      </c>
      <c r="X465" s="13" t="str">
        <f>IF(RIGHT(H465,2)&lt;&gt;"00",H465,"")</f>
        <v>3234.17</v>
      </c>
      <c r="Y465" s="2">
        <f ca="1">NETWORKDAYS(P465,$Y$1)</f>
        <v>196</v>
      </c>
      <c r="Z465" s="14">
        <v>1</v>
      </c>
      <c r="AA465" s="1" t="str">
        <f t="shared" ca="1" si="35"/>
        <v>VENCIDO</v>
      </c>
      <c r="AB465" s="1" t="str">
        <f t="shared" si="36"/>
        <v>C-14</v>
      </c>
      <c r="AC465" s="2" t="str">
        <f t="shared" si="39"/>
        <v xml:space="preserve"> CLEITON </v>
      </c>
      <c r="AD465" s="2">
        <f t="shared" si="37"/>
        <v>5</v>
      </c>
      <c r="AE465" s="2">
        <f t="shared" ca="1" si="38"/>
        <v>-272.28855173611373</v>
      </c>
      <c r="AF465" s="15"/>
    </row>
    <row r="466" spans="1:32" hidden="1">
      <c r="A466" s="1">
        <v>8633278</v>
      </c>
      <c r="B466" s="1" t="s">
        <v>653</v>
      </c>
      <c r="C466" t="s">
        <v>3581</v>
      </c>
      <c r="E466" s="2">
        <v>3234161400010</v>
      </c>
      <c r="F466" s="1" t="s">
        <v>936</v>
      </c>
      <c r="G466" s="1" t="s">
        <v>53</v>
      </c>
      <c r="H466" s="1" t="s">
        <v>499</v>
      </c>
      <c r="I466" s="1" t="s">
        <v>500</v>
      </c>
      <c r="J466" s="1" t="s">
        <v>46</v>
      </c>
      <c r="K466" t="s">
        <v>937</v>
      </c>
      <c r="M466" s="1" t="s">
        <v>58</v>
      </c>
      <c r="N466" s="1">
        <v>0</v>
      </c>
      <c r="O466" s="1" t="s">
        <v>105</v>
      </c>
      <c r="P466" s="186">
        <v>44713.387708333335</v>
      </c>
      <c r="R466" s="1">
        <v>3</v>
      </c>
      <c r="T466" s="1" t="s">
        <v>646</v>
      </c>
      <c r="U466" s="186">
        <v>44714.387719907405</v>
      </c>
      <c r="V466" s="1" t="s">
        <v>41</v>
      </c>
      <c r="W466" s="1" t="s">
        <v>49</v>
      </c>
      <c r="X466" s="13" t="str">
        <f>IF(RIGHT(H466,2)&lt;&gt;"00",H466,"")</f>
        <v>3234.16</v>
      </c>
      <c r="Y466" s="2">
        <f ca="1">NETWORKDAYS(P466,$Y$1)</f>
        <v>196</v>
      </c>
      <c r="Z466" s="14">
        <v>1</v>
      </c>
      <c r="AA466" s="1" t="str">
        <f t="shared" ca="1" si="35"/>
        <v>VENCIDO</v>
      </c>
      <c r="AB466" s="1" t="str">
        <f t="shared" si="36"/>
        <v>C-14</v>
      </c>
      <c r="AC466" s="2" t="str">
        <f t="shared" si="39"/>
        <v xml:space="preserve"> CLEITON </v>
      </c>
      <c r="AD466" s="2">
        <f t="shared" si="37"/>
        <v>5</v>
      </c>
      <c r="AE466" s="2">
        <f t="shared" ca="1" si="38"/>
        <v>-272.28855173611373</v>
      </c>
      <c r="AF466" s="15"/>
    </row>
    <row r="467" spans="1:32" hidden="1">
      <c r="A467" s="1">
        <v>8633277</v>
      </c>
      <c r="B467" s="1" t="s">
        <v>653</v>
      </c>
      <c r="C467" t="s">
        <v>3581</v>
      </c>
      <c r="E467" s="2">
        <v>3234151400010</v>
      </c>
      <c r="F467" s="1" t="s">
        <v>936</v>
      </c>
      <c r="G467" s="1" t="s">
        <v>53</v>
      </c>
      <c r="H467" s="1" t="s">
        <v>629</v>
      </c>
      <c r="I467" s="1" t="s">
        <v>630</v>
      </c>
      <c r="J467" s="1" t="s">
        <v>46</v>
      </c>
      <c r="K467" t="s">
        <v>937</v>
      </c>
      <c r="M467" s="1" t="s">
        <v>58</v>
      </c>
      <c r="N467" s="1">
        <v>0</v>
      </c>
      <c r="O467" s="1" t="s">
        <v>105</v>
      </c>
      <c r="P467" s="186">
        <v>44713.387708333335</v>
      </c>
      <c r="R467" s="1">
        <v>3</v>
      </c>
      <c r="T467" s="1" t="s">
        <v>646</v>
      </c>
      <c r="U467" s="186">
        <v>44714.387708333335</v>
      </c>
      <c r="V467" s="1" t="s">
        <v>41</v>
      </c>
      <c r="W467" s="1" t="s">
        <v>49</v>
      </c>
      <c r="X467" s="13" t="str">
        <f>IF(RIGHT(H467,2)&lt;&gt;"00",H467,"")</f>
        <v>3234.15</v>
      </c>
      <c r="Y467" s="2">
        <f ca="1">NETWORKDAYS(P467,$Y$1)</f>
        <v>196</v>
      </c>
      <c r="Z467" s="14">
        <v>1</v>
      </c>
      <c r="AA467" s="1" t="str">
        <f t="shared" ca="1" si="35"/>
        <v>VENCIDO</v>
      </c>
      <c r="AB467" s="1" t="str">
        <f t="shared" si="36"/>
        <v>C-14</v>
      </c>
      <c r="AC467" s="2" t="str">
        <f t="shared" si="39"/>
        <v xml:space="preserve"> CLEITON </v>
      </c>
      <c r="AD467" s="2">
        <f t="shared" si="37"/>
        <v>5</v>
      </c>
      <c r="AE467" s="2">
        <f t="shared" ca="1" si="38"/>
        <v>-272.28856331018324</v>
      </c>
      <c r="AF467" s="15"/>
    </row>
    <row r="468" spans="1:32" hidden="1">
      <c r="A468" s="1">
        <v>8633187</v>
      </c>
      <c r="B468" s="1" t="s">
        <v>653</v>
      </c>
      <c r="C468" t="s">
        <v>3581</v>
      </c>
      <c r="E468" s="2">
        <v>3108011400010</v>
      </c>
      <c r="F468" s="1" t="s">
        <v>936</v>
      </c>
      <c r="G468" s="1" t="s">
        <v>53</v>
      </c>
      <c r="H468" s="1" t="s">
        <v>503</v>
      </c>
      <c r="I468" s="1" t="s">
        <v>504</v>
      </c>
      <c r="J468" s="1" t="s">
        <v>46</v>
      </c>
      <c r="K468" t="s">
        <v>937</v>
      </c>
      <c r="M468" s="1" t="s">
        <v>58</v>
      </c>
      <c r="N468" s="1">
        <v>0</v>
      </c>
      <c r="O468" s="1" t="s">
        <v>105</v>
      </c>
      <c r="P468" s="186">
        <v>44713.387546296297</v>
      </c>
      <c r="R468" s="1">
        <v>3</v>
      </c>
      <c r="T468" s="1" t="s">
        <v>646</v>
      </c>
      <c r="U468" s="186">
        <v>44714.387546296297</v>
      </c>
      <c r="V468" s="1" t="s">
        <v>41</v>
      </c>
      <c r="W468" s="1" t="s">
        <v>49</v>
      </c>
      <c r="X468" s="13" t="str">
        <f>IF(RIGHT(H468,2)&lt;&gt;"00",H468,"")</f>
        <v>3108.01</v>
      </c>
      <c r="Y468" s="2">
        <f ca="1">NETWORKDAYS(P468,$Y$1)</f>
        <v>196</v>
      </c>
      <c r="Z468" s="14">
        <v>1</v>
      </c>
      <c r="AA468" s="1" t="str">
        <f t="shared" ca="1" si="35"/>
        <v>VENCIDO</v>
      </c>
      <c r="AB468" s="1" t="str">
        <f t="shared" si="36"/>
        <v>C-14</v>
      </c>
      <c r="AC468" s="2" t="str">
        <f t="shared" si="39"/>
        <v xml:space="preserve"> CLEITON </v>
      </c>
      <c r="AD468" s="2">
        <f t="shared" si="37"/>
        <v>5</v>
      </c>
      <c r="AE468" s="2">
        <f t="shared" ca="1" si="38"/>
        <v>-272.28872534722177</v>
      </c>
      <c r="AF468" s="15"/>
    </row>
    <row r="469" spans="1:32" hidden="1">
      <c r="A469" s="1">
        <v>8633186</v>
      </c>
      <c r="B469" s="1" t="s">
        <v>653</v>
      </c>
      <c r="C469" t="s">
        <v>3581</v>
      </c>
      <c r="E469" s="2">
        <v>3108001400010</v>
      </c>
      <c r="F469" s="1" t="s">
        <v>936</v>
      </c>
      <c r="G469" s="1" t="s">
        <v>53</v>
      </c>
      <c r="H469" s="1" t="s">
        <v>325</v>
      </c>
      <c r="I469" s="1" t="s">
        <v>326</v>
      </c>
      <c r="J469" s="1" t="s">
        <v>46</v>
      </c>
      <c r="K469" t="s">
        <v>937</v>
      </c>
      <c r="M469" s="1" t="s">
        <v>58</v>
      </c>
      <c r="N469" s="1">
        <v>0</v>
      </c>
      <c r="O469" s="1" t="s">
        <v>105</v>
      </c>
      <c r="P469" s="186">
        <v>44713.387546296297</v>
      </c>
      <c r="R469" s="1">
        <v>3</v>
      </c>
      <c r="T469" s="1" t="s">
        <v>646</v>
      </c>
      <c r="U469" s="186">
        <v>44714.387546296297</v>
      </c>
      <c r="V469" s="1" t="s">
        <v>41</v>
      </c>
      <c r="W469" s="1" t="s">
        <v>49</v>
      </c>
      <c r="X469" s="13" t="str">
        <f>IF(RIGHT(H469,2)&lt;&gt;"00",H469,"")</f>
        <v/>
      </c>
      <c r="Y469" s="2">
        <f ca="1">NETWORKDAYS(P469,$Y$1)</f>
        <v>196</v>
      </c>
      <c r="Z469" s="14">
        <v>1</v>
      </c>
      <c r="AA469" s="1" t="str">
        <f t="shared" ca="1" si="35"/>
        <v>VENCIDO</v>
      </c>
      <c r="AB469" s="1" t="str">
        <f t="shared" si="36"/>
        <v>C-14</v>
      </c>
      <c r="AC469" s="2" t="str">
        <f t="shared" si="39"/>
        <v xml:space="preserve"> CLEITON </v>
      </c>
      <c r="AD469" s="2">
        <f t="shared" si="37"/>
        <v>5</v>
      </c>
      <c r="AE469" s="2">
        <f t="shared" ca="1" si="38"/>
        <v>-272.28872534722177</v>
      </c>
      <c r="AF469" s="15"/>
    </row>
    <row r="470" spans="1:32" hidden="1">
      <c r="A470" s="1">
        <v>8633096</v>
      </c>
      <c r="B470" s="1" t="s">
        <v>653</v>
      </c>
      <c r="C470" t="s">
        <v>3581</v>
      </c>
      <c r="E470" s="2">
        <v>2988001400010</v>
      </c>
      <c r="F470" s="1" t="s">
        <v>936</v>
      </c>
      <c r="G470" s="1" t="s">
        <v>53</v>
      </c>
      <c r="H470" s="1" t="s">
        <v>536</v>
      </c>
      <c r="I470" s="1" t="s">
        <v>537</v>
      </c>
      <c r="J470" s="1" t="s">
        <v>46</v>
      </c>
      <c r="K470" t="s">
        <v>937</v>
      </c>
      <c r="M470" s="1" t="s">
        <v>58</v>
      </c>
      <c r="N470" s="1">
        <v>0</v>
      </c>
      <c r="O470" s="1" t="s">
        <v>105</v>
      </c>
      <c r="P470" s="186">
        <v>44713.387361111112</v>
      </c>
      <c r="R470" s="1">
        <v>3</v>
      </c>
      <c r="T470" s="1" t="s">
        <v>646</v>
      </c>
      <c r="U470" s="186">
        <v>44714.387372685182</v>
      </c>
      <c r="V470" s="1" t="s">
        <v>41</v>
      </c>
      <c r="W470" s="1" t="s">
        <v>49</v>
      </c>
      <c r="X470" s="13" t="str">
        <f>IF(RIGHT(H470,2)&lt;&gt;"00",H470,"")</f>
        <v/>
      </c>
      <c r="Y470" s="2">
        <f ca="1">NETWORKDAYS(P470,$Y$1)</f>
        <v>196</v>
      </c>
      <c r="Z470" s="14">
        <v>1</v>
      </c>
      <c r="AA470" s="1" t="str">
        <f t="shared" ca="1" si="35"/>
        <v>VENCIDO</v>
      </c>
      <c r="AB470" s="1" t="str">
        <f t="shared" si="36"/>
        <v>C-14</v>
      </c>
      <c r="AC470" s="2" t="str">
        <f t="shared" si="39"/>
        <v xml:space="preserve"> CLEITON </v>
      </c>
      <c r="AD470" s="2">
        <f t="shared" si="37"/>
        <v>5</v>
      </c>
      <c r="AE470" s="2">
        <f t="shared" ca="1" si="38"/>
        <v>-272.28889895833709</v>
      </c>
      <c r="AF470" s="15"/>
    </row>
    <row r="471" spans="1:32" hidden="1">
      <c r="A471" s="1">
        <v>8633016</v>
      </c>
      <c r="B471" s="1" t="s">
        <v>653</v>
      </c>
      <c r="C471" t="s">
        <v>3581</v>
      </c>
      <c r="E471" s="2">
        <v>2889001400010</v>
      </c>
      <c r="F471" s="1" t="s">
        <v>936</v>
      </c>
      <c r="G471" s="1" t="s">
        <v>53</v>
      </c>
      <c r="H471" s="1" t="s">
        <v>418</v>
      </c>
      <c r="I471" s="1" t="s">
        <v>419</v>
      </c>
      <c r="J471" s="1" t="s">
        <v>46</v>
      </c>
      <c r="K471" t="s">
        <v>937</v>
      </c>
      <c r="M471" s="1" t="s">
        <v>58</v>
      </c>
      <c r="N471" s="1">
        <v>0</v>
      </c>
      <c r="O471" s="1" t="s">
        <v>105</v>
      </c>
      <c r="P471" s="186">
        <v>44713.38721064815</v>
      </c>
      <c r="R471" s="1">
        <v>3</v>
      </c>
      <c r="T471" s="1" t="s">
        <v>646</v>
      </c>
      <c r="U471" s="186">
        <v>44714.38721064815</v>
      </c>
      <c r="V471" s="1" t="s">
        <v>41</v>
      </c>
      <c r="W471" s="1" t="s">
        <v>49</v>
      </c>
      <c r="X471" s="13" t="str">
        <f>IF(RIGHT(H471,2)&lt;&gt;"00",H471,"")</f>
        <v/>
      </c>
      <c r="Y471" s="2">
        <f ca="1">NETWORKDAYS(P471,$Y$1)</f>
        <v>196</v>
      </c>
      <c r="Z471" s="14">
        <v>1</v>
      </c>
      <c r="AA471" s="1" t="str">
        <f t="shared" ca="1" si="35"/>
        <v>VENCIDO</v>
      </c>
      <c r="AB471" s="1" t="str">
        <f t="shared" si="36"/>
        <v>C-14</v>
      </c>
      <c r="AC471" s="2" t="str">
        <f t="shared" si="39"/>
        <v xml:space="preserve"> CLEITON </v>
      </c>
      <c r="AD471" s="2">
        <f t="shared" si="37"/>
        <v>5</v>
      </c>
      <c r="AE471" s="2">
        <f t="shared" ca="1" si="38"/>
        <v>-272.28906099536835</v>
      </c>
      <c r="AF471" s="15"/>
    </row>
    <row r="472" spans="1:32" hidden="1">
      <c r="A472" s="1">
        <v>8632974</v>
      </c>
      <c r="B472" s="1" t="s">
        <v>653</v>
      </c>
      <c r="C472" t="s">
        <v>3581</v>
      </c>
      <c r="E472" s="2">
        <v>2830001400010</v>
      </c>
      <c r="F472" s="1" t="s">
        <v>936</v>
      </c>
      <c r="G472" s="1" t="s">
        <v>53</v>
      </c>
      <c r="H472" s="1" t="s">
        <v>448</v>
      </c>
      <c r="I472" s="1" t="s">
        <v>449</v>
      </c>
      <c r="J472" s="1" t="s">
        <v>33</v>
      </c>
      <c r="K472" t="s">
        <v>937</v>
      </c>
      <c r="M472" s="1" t="s">
        <v>58</v>
      </c>
      <c r="N472" s="1">
        <v>0</v>
      </c>
      <c r="O472" s="1" t="s">
        <v>105</v>
      </c>
      <c r="P472" s="186">
        <v>44713.387164351851</v>
      </c>
      <c r="R472" s="1">
        <v>3</v>
      </c>
      <c r="T472" s="1" t="s">
        <v>646</v>
      </c>
      <c r="U472" s="186">
        <v>44714.387164351851</v>
      </c>
      <c r="V472" s="1" t="s">
        <v>41</v>
      </c>
      <c r="W472" s="1" t="s">
        <v>42</v>
      </c>
      <c r="X472" s="13" t="str">
        <f>IF(RIGHT(H472,2)&lt;&gt;"00",H472,"")</f>
        <v/>
      </c>
      <c r="Y472" s="2">
        <f ca="1">NETWORKDAYS(P472,$Y$1)</f>
        <v>196</v>
      </c>
      <c r="Z472" s="14">
        <v>1</v>
      </c>
      <c r="AA472" s="1" t="str">
        <f t="shared" ca="1" si="35"/>
        <v>VENCIDO</v>
      </c>
      <c r="AB472" s="1" t="str">
        <f t="shared" si="36"/>
        <v>C-14</v>
      </c>
      <c r="AC472" s="2" t="str">
        <f t="shared" si="39"/>
        <v xml:space="preserve"> ROSEMERE </v>
      </c>
      <c r="AD472" s="2">
        <f t="shared" si="37"/>
        <v>5</v>
      </c>
      <c r="AE472" s="2">
        <f t="shared" ca="1" si="38"/>
        <v>-272.28910729166819</v>
      </c>
      <c r="AF472" s="15"/>
    </row>
    <row r="473" spans="1:32" hidden="1">
      <c r="A473" s="1">
        <v>8632958</v>
      </c>
      <c r="B473" s="1" t="s">
        <v>653</v>
      </c>
      <c r="C473" t="s">
        <v>3581</v>
      </c>
      <c r="E473" s="2">
        <v>2811001400010</v>
      </c>
      <c r="F473" s="1" t="s">
        <v>936</v>
      </c>
      <c r="G473" s="1" t="s">
        <v>53</v>
      </c>
      <c r="H473" s="1" t="s">
        <v>44</v>
      </c>
      <c r="I473" s="1" t="s">
        <v>45</v>
      </c>
      <c r="J473" s="1" t="s">
        <v>46</v>
      </c>
      <c r="K473" t="s">
        <v>937</v>
      </c>
      <c r="M473" s="1" t="s">
        <v>58</v>
      </c>
      <c r="N473" s="1">
        <v>0</v>
      </c>
      <c r="O473" s="1" t="s">
        <v>105</v>
      </c>
      <c r="P473" s="186">
        <v>44713.387141203704</v>
      </c>
      <c r="R473" s="1">
        <v>3</v>
      </c>
      <c r="T473" s="1" t="s">
        <v>646</v>
      </c>
      <c r="U473" s="186">
        <v>44714.387141203704</v>
      </c>
      <c r="V473" s="1" t="s">
        <v>41</v>
      </c>
      <c r="W473" s="1" t="s">
        <v>49</v>
      </c>
      <c r="X473" s="13" t="str">
        <f>IF(RIGHT(H473,2)&lt;&gt;"00",H473,"")</f>
        <v/>
      </c>
      <c r="Y473" s="2">
        <f ca="1">NETWORKDAYS(P473,$Y$1)</f>
        <v>196</v>
      </c>
      <c r="Z473" s="14">
        <v>1</v>
      </c>
      <c r="AA473" s="1" t="str">
        <f t="shared" ca="1" si="35"/>
        <v>VENCIDO</v>
      </c>
      <c r="AB473" s="1" t="str">
        <f t="shared" si="36"/>
        <v>C-14</v>
      </c>
      <c r="AC473" s="2" t="str">
        <f t="shared" si="39"/>
        <v xml:space="preserve"> CLEITON </v>
      </c>
      <c r="AD473" s="2">
        <f t="shared" si="37"/>
        <v>5</v>
      </c>
      <c r="AE473" s="2">
        <f t="shared" ca="1" si="38"/>
        <v>-272.28913043981447</v>
      </c>
      <c r="AF473" s="15"/>
    </row>
    <row r="474" spans="1:32" hidden="1">
      <c r="A474" s="1">
        <v>8632950</v>
      </c>
      <c r="B474" s="1" t="s">
        <v>653</v>
      </c>
      <c r="C474" t="s">
        <v>3581</v>
      </c>
      <c r="E474" s="2">
        <v>2802001400010</v>
      </c>
      <c r="F474" s="1" t="s">
        <v>936</v>
      </c>
      <c r="G474" s="1" t="s">
        <v>53</v>
      </c>
      <c r="H474" s="1" t="s">
        <v>388</v>
      </c>
      <c r="I474" s="1" t="s">
        <v>389</v>
      </c>
      <c r="J474" s="1" t="s">
        <v>46</v>
      </c>
      <c r="K474" t="s">
        <v>937</v>
      </c>
      <c r="M474" s="1" t="s">
        <v>58</v>
      </c>
      <c r="N474" s="1">
        <v>0</v>
      </c>
      <c r="O474" s="1" t="s">
        <v>105</v>
      </c>
      <c r="P474" s="186">
        <v>44713.387071759258</v>
      </c>
      <c r="R474" s="1">
        <v>3</v>
      </c>
      <c r="T474" s="1" t="s">
        <v>646</v>
      </c>
      <c r="U474" s="186">
        <v>44714.387071759258</v>
      </c>
      <c r="V474" s="1" t="s">
        <v>41</v>
      </c>
      <c r="W474" s="1" t="s">
        <v>49</v>
      </c>
      <c r="X474" s="13" t="str">
        <f>IF(RIGHT(H474,2)&lt;&gt;"00",H474,"")</f>
        <v/>
      </c>
      <c r="Y474" s="2">
        <f ca="1">NETWORKDAYS(P474,$Y$1)</f>
        <v>196</v>
      </c>
      <c r="Z474" s="14">
        <v>1</v>
      </c>
      <c r="AA474" s="1" t="str">
        <f t="shared" ca="1" si="35"/>
        <v>VENCIDO</v>
      </c>
      <c r="AB474" s="1" t="str">
        <f t="shared" si="36"/>
        <v>C-14</v>
      </c>
      <c r="AC474" s="2" t="str">
        <f t="shared" si="39"/>
        <v xml:space="preserve"> CLEITON </v>
      </c>
      <c r="AD474" s="2">
        <f t="shared" si="37"/>
        <v>5</v>
      </c>
      <c r="AE474" s="2">
        <f t="shared" ca="1" si="38"/>
        <v>-272.2891998842606</v>
      </c>
      <c r="AF474" s="15"/>
    </row>
    <row r="475" spans="1:32" hidden="1">
      <c r="A475" s="1">
        <v>8632849</v>
      </c>
      <c r="B475" s="1" t="s">
        <v>653</v>
      </c>
      <c r="C475" t="s">
        <v>3581</v>
      </c>
      <c r="E475" s="2">
        <v>2683001400010</v>
      </c>
      <c r="F475" s="1" t="s">
        <v>936</v>
      </c>
      <c r="G475" s="1" t="s">
        <v>53</v>
      </c>
      <c r="H475" s="1" t="s">
        <v>276</v>
      </c>
      <c r="I475" s="1" t="s">
        <v>277</v>
      </c>
      <c r="J475" s="1" t="s">
        <v>90</v>
      </c>
      <c r="K475" t="s">
        <v>937</v>
      </c>
      <c r="M475" s="1" t="s">
        <v>58</v>
      </c>
      <c r="N475" s="1">
        <v>0</v>
      </c>
      <c r="O475" s="1" t="s">
        <v>105</v>
      </c>
      <c r="P475" s="186">
        <v>44713.386886574073</v>
      </c>
      <c r="R475" s="1">
        <v>3</v>
      </c>
      <c r="T475" s="1" t="s">
        <v>646</v>
      </c>
      <c r="U475" s="186">
        <v>44714.386886574073</v>
      </c>
      <c r="V475" s="1" t="s">
        <v>41</v>
      </c>
      <c r="W475" s="1" t="s">
        <v>49</v>
      </c>
      <c r="X475" s="13" t="str">
        <f>IF(RIGHT(H475,2)&lt;&gt;"00",H475,"")</f>
        <v/>
      </c>
      <c r="Y475" s="2">
        <f ca="1">NETWORKDAYS(P475,$Y$1)</f>
        <v>196</v>
      </c>
      <c r="Z475" s="14">
        <v>1</v>
      </c>
      <c r="AA475" s="1" t="str">
        <f t="shared" ca="1" si="35"/>
        <v>VENCIDO</v>
      </c>
      <c r="AB475" s="1" t="str">
        <f t="shared" si="36"/>
        <v>C-14</v>
      </c>
      <c r="AC475" s="2" t="str">
        <f t="shared" si="39"/>
        <v xml:space="preserve"> RINALDO </v>
      </c>
      <c r="AD475" s="2">
        <f t="shared" si="37"/>
        <v>5</v>
      </c>
      <c r="AE475" s="2">
        <f t="shared" ca="1" si="38"/>
        <v>-272.28938506944542</v>
      </c>
      <c r="AF475" s="15"/>
    </row>
    <row r="476" spans="1:32" hidden="1">
      <c r="A476" s="1">
        <v>8632846</v>
      </c>
      <c r="B476" s="1" t="s">
        <v>653</v>
      </c>
      <c r="C476" t="s">
        <v>3581</v>
      </c>
      <c r="E476" s="2">
        <v>2678001400010</v>
      </c>
      <c r="F476" s="1" t="s">
        <v>936</v>
      </c>
      <c r="G476" s="1" t="s">
        <v>53</v>
      </c>
      <c r="H476" s="1" t="s">
        <v>992</v>
      </c>
      <c r="I476" s="1" t="s">
        <v>993</v>
      </c>
      <c r="J476" s="1" t="s">
        <v>33</v>
      </c>
      <c r="K476" t="s">
        <v>937</v>
      </c>
      <c r="M476" s="1" t="s">
        <v>58</v>
      </c>
      <c r="N476" s="1">
        <v>0</v>
      </c>
      <c r="O476" s="1" t="s">
        <v>105</v>
      </c>
      <c r="P476" s="186">
        <v>44713.386886574073</v>
      </c>
      <c r="R476" s="1">
        <v>3</v>
      </c>
      <c r="T476" s="1" t="s">
        <v>646</v>
      </c>
      <c r="U476" s="186">
        <v>44714.386886574073</v>
      </c>
      <c r="V476" s="1" t="s">
        <v>41</v>
      </c>
      <c r="W476" s="1" t="s">
        <v>42</v>
      </c>
      <c r="X476" s="13" t="str">
        <f>IF(RIGHT(H476,2)&lt;&gt;"00",H476,"")</f>
        <v/>
      </c>
      <c r="Y476" s="2">
        <f ca="1">NETWORKDAYS(P476,$Y$1)</f>
        <v>196</v>
      </c>
      <c r="Z476" s="14">
        <v>1</v>
      </c>
      <c r="AA476" s="1" t="str">
        <f t="shared" ca="1" si="35"/>
        <v>VENCIDO</v>
      </c>
      <c r="AB476" s="1" t="str">
        <f t="shared" si="36"/>
        <v>C-14</v>
      </c>
      <c r="AC476" s="2" t="str">
        <f t="shared" si="39"/>
        <v xml:space="preserve"> ROSEMERE </v>
      </c>
      <c r="AD476" s="2">
        <f t="shared" si="37"/>
        <v>5</v>
      </c>
      <c r="AE476" s="2">
        <f t="shared" ca="1" si="38"/>
        <v>-272.28938506944542</v>
      </c>
      <c r="AF476" s="15"/>
    </row>
    <row r="477" spans="1:32" hidden="1">
      <c r="A477" s="1">
        <v>8632805</v>
      </c>
      <c r="B477" s="1" t="s">
        <v>653</v>
      </c>
      <c r="C477" t="s">
        <v>3581</v>
      </c>
      <c r="E477" s="2">
        <v>2625001400010</v>
      </c>
      <c r="F477" s="1" t="s">
        <v>936</v>
      </c>
      <c r="G477" s="1" t="s">
        <v>53</v>
      </c>
      <c r="H477" s="1" t="s">
        <v>317</v>
      </c>
      <c r="I477" s="1" t="s">
        <v>318</v>
      </c>
      <c r="J477" s="1" t="s">
        <v>164</v>
      </c>
      <c r="K477" t="s">
        <v>937</v>
      </c>
      <c r="M477" s="1" t="s">
        <v>58</v>
      </c>
      <c r="N477" s="1">
        <v>0</v>
      </c>
      <c r="O477" s="1" t="s">
        <v>105</v>
      </c>
      <c r="P477" s="186">
        <v>44713.386840277781</v>
      </c>
      <c r="R477" s="1">
        <v>3</v>
      </c>
      <c r="T477" s="1" t="s">
        <v>646</v>
      </c>
      <c r="U477" s="186">
        <v>44714.386840277781</v>
      </c>
      <c r="V477" s="1" t="s">
        <v>41</v>
      </c>
      <c r="W477" s="1" t="s">
        <v>49</v>
      </c>
      <c r="X477" s="13" t="str">
        <f>IF(RIGHT(H477,2)&lt;&gt;"00",H477,"")</f>
        <v/>
      </c>
      <c r="Y477" s="2">
        <f ca="1">NETWORKDAYS(P477,$Y$1)</f>
        <v>196</v>
      </c>
      <c r="Z477" s="14">
        <v>1</v>
      </c>
      <c r="AA477" s="1" t="str">
        <f t="shared" ca="1" si="35"/>
        <v>VENCIDO</v>
      </c>
      <c r="AB477" s="1" t="str">
        <f t="shared" si="36"/>
        <v>C-14</v>
      </c>
      <c r="AC477" s="2" t="str">
        <f t="shared" si="39"/>
        <v xml:space="preserve"> ROSEMERE </v>
      </c>
      <c r="AD477" s="2">
        <f t="shared" si="37"/>
        <v>5</v>
      </c>
      <c r="AE477" s="2">
        <f t="shared" ca="1" si="38"/>
        <v>-272.28943136573798</v>
      </c>
      <c r="AF477" s="15"/>
    </row>
    <row r="478" spans="1:32" hidden="1">
      <c r="A478" s="1">
        <v>8632750</v>
      </c>
      <c r="B478" s="1" t="s">
        <v>653</v>
      </c>
      <c r="C478" t="s">
        <v>3581</v>
      </c>
      <c r="E478" s="2">
        <v>2564001400010</v>
      </c>
      <c r="F478" s="1" t="s">
        <v>936</v>
      </c>
      <c r="G478" s="1" t="s">
        <v>53</v>
      </c>
      <c r="H478" s="1" t="s">
        <v>255</v>
      </c>
      <c r="I478" s="1" t="s">
        <v>256</v>
      </c>
      <c r="J478" s="1" t="s">
        <v>164</v>
      </c>
      <c r="K478" t="s">
        <v>937</v>
      </c>
      <c r="M478" s="1" t="s">
        <v>58</v>
      </c>
      <c r="N478" s="1">
        <v>0</v>
      </c>
      <c r="O478" s="1" t="s">
        <v>105</v>
      </c>
      <c r="P478" s="186">
        <v>44713.386759259258</v>
      </c>
      <c r="R478" s="1">
        <v>3</v>
      </c>
      <c r="T478" s="1" t="s">
        <v>646</v>
      </c>
      <c r="U478" s="186">
        <v>44714.386759259258</v>
      </c>
      <c r="V478" s="1" t="s">
        <v>41</v>
      </c>
      <c r="W478" s="1" t="s">
        <v>49</v>
      </c>
      <c r="X478" s="13" t="str">
        <f>IF(RIGHT(H478,2)&lt;&gt;"00",H478,"")</f>
        <v/>
      </c>
      <c r="Y478" s="2">
        <f ca="1">NETWORKDAYS(P478,$Y$1)</f>
        <v>196</v>
      </c>
      <c r="Z478" s="14">
        <v>1</v>
      </c>
      <c r="AA478" s="1" t="str">
        <f t="shared" ca="1" si="35"/>
        <v>VENCIDO</v>
      </c>
      <c r="AB478" s="1" t="str">
        <f t="shared" si="36"/>
        <v>C-14</v>
      </c>
      <c r="AC478" s="2" t="str">
        <f t="shared" si="39"/>
        <v xml:space="preserve"> ROSEMERE </v>
      </c>
      <c r="AD478" s="2">
        <f t="shared" si="37"/>
        <v>5</v>
      </c>
      <c r="AE478" s="2">
        <f t="shared" ca="1" si="38"/>
        <v>-272.28951238426089</v>
      </c>
      <c r="AF478" s="15"/>
    </row>
    <row r="479" spans="1:32" hidden="1">
      <c r="A479" s="1">
        <v>8632637</v>
      </c>
      <c r="B479" s="1" t="s">
        <v>653</v>
      </c>
      <c r="C479" t="s">
        <v>3581</v>
      </c>
      <c r="E479" s="2">
        <v>2413001400010</v>
      </c>
      <c r="F479" s="1" t="s">
        <v>936</v>
      </c>
      <c r="G479" s="1" t="s">
        <v>53</v>
      </c>
      <c r="H479" s="1" t="s">
        <v>505</v>
      </c>
      <c r="I479" s="1" t="s">
        <v>506</v>
      </c>
      <c r="J479" s="1" t="s">
        <v>141</v>
      </c>
      <c r="K479" t="s">
        <v>937</v>
      </c>
      <c r="M479" s="1" t="s">
        <v>58</v>
      </c>
      <c r="N479" s="1">
        <v>0</v>
      </c>
      <c r="O479" s="1" t="s">
        <v>105</v>
      </c>
      <c r="P479" s="186">
        <v>44713.386631944442</v>
      </c>
      <c r="R479" s="1">
        <v>3</v>
      </c>
      <c r="T479" s="1" t="s">
        <v>646</v>
      </c>
      <c r="U479" s="186">
        <v>44714.386631944442</v>
      </c>
      <c r="V479" s="1" t="s">
        <v>41</v>
      </c>
      <c r="W479" s="1" t="s">
        <v>49</v>
      </c>
      <c r="X479" s="13" t="str">
        <f>IF(RIGHT(H479,2)&lt;&gt;"00",H479,"")</f>
        <v/>
      </c>
      <c r="Y479" s="2">
        <f ca="1">NETWORKDAYS(P479,$Y$1)</f>
        <v>196</v>
      </c>
      <c r="Z479" s="14">
        <v>1</v>
      </c>
      <c r="AA479" s="1" t="str">
        <f t="shared" ca="1" si="35"/>
        <v>VENCIDO</v>
      </c>
      <c r="AB479" s="1" t="str">
        <f t="shared" si="36"/>
        <v>C-14</v>
      </c>
      <c r="AC479" s="2" t="str">
        <f t="shared" si="39"/>
        <v xml:space="preserve"> CRISTINA </v>
      </c>
      <c r="AD479" s="2">
        <f t="shared" si="37"/>
        <v>5</v>
      </c>
      <c r="AE479" s="2">
        <f t="shared" ca="1" si="38"/>
        <v>-272.28963969907636</v>
      </c>
      <c r="AF479" s="15"/>
    </row>
    <row r="480" spans="1:32" hidden="1">
      <c r="A480" s="1">
        <v>8632603</v>
      </c>
      <c r="B480" s="1" t="s">
        <v>653</v>
      </c>
      <c r="C480" t="s">
        <v>3581</v>
      </c>
      <c r="E480" s="2">
        <v>2371001400010</v>
      </c>
      <c r="F480" s="1" t="s">
        <v>936</v>
      </c>
      <c r="G480" s="1" t="s">
        <v>53</v>
      </c>
      <c r="H480" s="1" t="s">
        <v>1000</v>
      </c>
      <c r="I480" s="1" t="s">
        <v>1001</v>
      </c>
      <c r="J480" s="1" t="s">
        <v>90</v>
      </c>
      <c r="K480" t="s">
        <v>937</v>
      </c>
      <c r="M480" s="1" t="s">
        <v>58</v>
      </c>
      <c r="N480" s="1">
        <v>0</v>
      </c>
      <c r="O480" s="1" t="s">
        <v>105</v>
      </c>
      <c r="P480" s="186">
        <v>44713.386597222219</v>
      </c>
      <c r="R480" s="1">
        <v>3</v>
      </c>
      <c r="T480" s="1" t="s">
        <v>646</v>
      </c>
      <c r="U480" s="186">
        <v>44714.386597222219</v>
      </c>
      <c r="V480" s="1" t="s">
        <v>41</v>
      </c>
      <c r="W480" s="1" t="s">
        <v>49</v>
      </c>
      <c r="X480" s="13" t="str">
        <f>IF(RIGHT(H480,2)&lt;&gt;"00",H480,"")</f>
        <v/>
      </c>
      <c r="Y480" s="2">
        <f ca="1">NETWORKDAYS(P480,$Y$1)</f>
        <v>196</v>
      </c>
      <c r="Z480" s="14">
        <v>1</v>
      </c>
      <c r="AA480" s="1" t="str">
        <f t="shared" ca="1" si="35"/>
        <v>VENCIDO</v>
      </c>
      <c r="AB480" s="1" t="str">
        <f t="shared" si="36"/>
        <v>C-14</v>
      </c>
      <c r="AC480" s="2" t="str">
        <f t="shared" si="39"/>
        <v xml:space="preserve"> RINALDO </v>
      </c>
      <c r="AD480" s="2">
        <f t="shared" si="37"/>
        <v>5</v>
      </c>
      <c r="AE480" s="2">
        <f t="shared" ca="1" si="38"/>
        <v>-272.28967442129942</v>
      </c>
      <c r="AF480" s="15"/>
    </row>
    <row r="481" spans="1:32" hidden="1">
      <c r="A481" s="1">
        <v>8632602</v>
      </c>
      <c r="B481" s="1" t="s">
        <v>653</v>
      </c>
      <c r="C481" t="s">
        <v>3581</v>
      </c>
      <c r="E481" s="2">
        <v>2369001400010</v>
      </c>
      <c r="F481" s="1" t="s">
        <v>936</v>
      </c>
      <c r="G481" s="1" t="s">
        <v>53</v>
      </c>
      <c r="H481" s="1" t="s">
        <v>701</v>
      </c>
      <c r="I481" s="1" t="s">
        <v>702</v>
      </c>
      <c r="J481" s="1" t="s">
        <v>141</v>
      </c>
      <c r="K481" t="s">
        <v>937</v>
      </c>
      <c r="M481" s="1" t="s">
        <v>58</v>
      </c>
      <c r="N481" s="1">
        <v>0</v>
      </c>
      <c r="O481" s="1" t="s">
        <v>105</v>
      </c>
      <c r="P481" s="186">
        <v>44713.38658564815</v>
      </c>
      <c r="R481" s="1">
        <v>3</v>
      </c>
      <c r="T481" s="1" t="s">
        <v>646</v>
      </c>
      <c r="U481" s="186">
        <v>44714.38658564815</v>
      </c>
      <c r="V481" s="1" t="s">
        <v>41</v>
      </c>
      <c r="W481" s="1" t="s">
        <v>49</v>
      </c>
      <c r="X481" s="13" t="str">
        <f>IF(RIGHT(H481,2)&lt;&gt;"00",H481,"")</f>
        <v/>
      </c>
      <c r="Y481" s="2">
        <f ca="1">NETWORKDAYS(P481,$Y$1)</f>
        <v>196</v>
      </c>
      <c r="Z481" s="14">
        <v>1</v>
      </c>
      <c r="AA481" s="1" t="str">
        <f t="shared" ca="1" si="35"/>
        <v>VENCIDO</v>
      </c>
      <c r="AB481" s="1" t="str">
        <f t="shared" si="36"/>
        <v>C-14</v>
      </c>
      <c r="AC481" s="2" t="str">
        <f t="shared" si="39"/>
        <v xml:space="preserve"> CRISTINA </v>
      </c>
      <c r="AD481" s="2">
        <f t="shared" si="37"/>
        <v>5</v>
      </c>
      <c r="AE481" s="2">
        <f t="shared" ca="1" si="38"/>
        <v>-272.28968599536893</v>
      </c>
      <c r="AF481" s="15"/>
    </row>
    <row r="482" spans="1:32" hidden="1">
      <c r="A482" s="1">
        <v>8632599</v>
      </c>
      <c r="B482" s="1" t="s">
        <v>653</v>
      </c>
      <c r="C482" t="s">
        <v>3581</v>
      </c>
      <c r="E482" s="2">
        <v>2365001400010</v>
      </c>
      <c r="F482" s="1" t="s">
        <v>936</v>
      </c>
      <c r="G482" s="1" t="s">
        <v>53</v>
      </c>
      <c r="H482" s="1" t="s">
        <v>159</v>
      </c>
      <c r="I482" s="1" t="s">
        <v>160</v>
      </c>
      <c r="J482" s="1" t="s">
        <v>46</v>
      </c>
      <c r="K482" t="s">
        <v>937</v>
      </c>
      <c r="M482" s="1" t="s">
        <v>58</v>
      </c>
      <c r="N482" s="1">
        <v>0</v>
      </c>
      <c r="O482" s="1" t="s">
        <v>105</v>
      </c>
      <c r="P482" s="186">
        <v>44713.38658564815</v>
      </c>
      <c r="R482" s="1">
        <v>3</v>
      </c>
      <c r="T482" s="1" t="s">
        <v>646</v>
      </c>
      <c r="U482" s="186">
        <v>44714.38658564815</v>
      </c>
      <c r="V482" s="1" t="s">
        <v>41</v>
      </c>
      <c r="W482" s="1" t="s">
        <v>49</v>
      </c>
      <c r="X482" s="13" t="str">
        <f>IF(RIGHT(H482,2)&lt;&gt;"00",H482,"")</f>
        <v/>
      </c>
      <c r="Y482" s="2">
        <f ca="1">NETWORKDAYS(P482,$Y$1)</f>
        <v>196</v>
      </c>
      <c r="Z482" s="14">
        <v>1</v>
      </c>
      <c r="AA482" s="1" t="str">
        <f t="shared" ca="1" si="35"/>
        <v>VENCIDO</v>
      </c>
      <c r="AB482" s="1" t="str">
        <f t="shared" si="36"/>
        <v>C-14</v>
      </c>
      <c r="AC482" s="2" t="str">
        <f t="shared" si="39"/>
        <v xml:space="preserve"> CLEITON </v>
      </c>
      <c r="AD482" s="2">
        <f t="shared" si="37"/>
        <v>5</v>
      </c>
      <c r="AE482" s="2">
        <f t="shared" ca="1" si="38"/>
        <v>-272.28968599536893</v>
      </c>
      <c r="AF482" s="15"/>
    </row>
    <row r="483" spans="1:32" hidden="1">
      <c r="A483" s="1">
        <v>8632568</v>
      </c>
      <c r="B483" s="1" t="s">
        <v>653</v>
      </c>
      <c r="C483" t="s">
        <v>3581</v>
      </c>
      <c r="E483" s="2">
        <v>2326001400010</v>
      </c>
      <c r="F483" s="1" t="s">
        <v>936</v>
      </c>
      <c r="G483" s="1" t="s">
        <v>53</v>
      </c>
      <c r="H483" s="1" t="s">
        <v>191</v>
      </c>
      <c r="I483" s="1" t="s">
        <v>192</v>
      </c>
      <c r="J483" s="1" t="s">
        <v>46</v>
      </c>
      <c r="K483" t="s">
        <v>937</v>
      </c>
      <c r="M483" s="1" t="s">
        <v>58</v>
      </c>
      <c r="N483" s="1">
        <v>0</v>
      </c>
      <c r="O483" s="1" t="s">
        <v>105</v>
      </c>
      <c r="P483" s="186">
        <v>44713.386550925927</v>
      </c>
      <c r="R483" s="1">
        <v>3</v>
      </c>
      <c r="T483" s="1" t="s">
        <v>646</v>
      </c>
      <c r="U483" s="186">
        <v>44714.386550925927</v>
      </c>
      <c r="V483" s="1" t="s">
        <v>41</v>
      </c>
      <c r="W483" s="1" t="s">
        <v>49</v>
      </c>
      <c r="X483" s="13" t="str">
        <f>IF(RIGHT(H483,2)&lt;&gt;"00",H483,"")</f>
        <v/>
      </c>
      <c r="Y483" s="2">
        <f ca="1">NETWORKDAYS(P483,$Y$1)</f>
        <v>196</v>
      </c>
      <c r="Z483" s="14">
        <v>1</v>
      </c>
      <c r="AA483" s="1" t="str">
        <f t="shared" ca="1" si="35"/>
        <v>VENCIDO</v>
      </c>
      <c r="AB483" s="1" t="str">
        <f t="shared" si="36"/>
        <v>C-14</v>
      </c>
      <c r="AC483" s="2" t="str">
        <f t="shared" si="39"/>
        <v xml:space="preserve"> CLEITON </v>
      </c>
      <c r="AD483" s="2">
        <f t="shared" si="37"/>
        <v>5</v>
      </c>
      <c r="AE483" s="2">
        <f t="shared" ca="1" si="38"/>
        <v>-272.28972071759199</v>
      </c>
      <c r="AF483" s="15"/>
    </row>
    <row r="484" spans="1:32" hidden="1">
      <c r="A484" s="1">
        <v>8632476</v>
      </c>
      <c r="B484" s="1" t="s">
        <v>653</v>
      </c>
      <c r="C484" t="s">
        <v>3581</v>
      </c>
      <c r="E484" s="2">
        <v>2219001400010</v>
      </c>
      <c r="F484" s="1" t="s">
        <v>936</v>
      </c>
      <c r="G484" s="1" t="s">
        <v>53</v>
      </c>
      <c r="H484" s="1" t="s">
        <v>893</v>
      </c>
      <c r="I484" s="1" t="s">
        <v>894</v>
      </c>
      <c r="J484" s="1" t="s">
        <v>141</v>
      </c>
      <c r="K484" t="s">
        <v>937</v>
      </c>
      <c r="M484" s="1" t="s">
        <v>58</v>
      </c>
      <c r="N484" s="1">
        <v>0</v>
      </c>
      <c r="O484" s="1" t="s">
        <v>105</v>
      </c>
      <c r="P484" s="186">
        <v>44713.386423611111</v>
      </c>
      <c r="R484" s="1">
        <v>3</v>
      </c>
      <c r="T484" s="1" t="s">
        <v>646</v>
      </c>
      <c r="U484" s="186">
        <v>44714.386423611111</v>
      </c>
      <c r="V484" s="1" t="s">
        <v>41</v>
      </c>
      <c r="W484" s="1" t="s">
        <v>49</v>
      </c>
      <c r="X484" s="13" t="str">
        <f>IF(RIGHT(H484,2)&lt;&gt;"00",H484,"")</f>
        <v/>
      </c>
      <c r="Y484" s="2">
        <f ca="1">NETWORKDAYS(P484,$Y$1)</f>
        <v>196</v>
      </c>
      <c r="Z484" s="14">
        <v>1</v>
      </c>
      <c r="AA484" s="1" t="str">
        <f t="shared" ca="1" si="35"/>
        <v>VENCIDO</v>
      </c>
      <c r="AB484" s="1" t="str">
        <f t="shared" si="36"/>
        <v>C-14</v>
      </c>
      <c r="AC484" s="2" t="str">
        <f t="shared" si="39"/>
        <v xml:space="preserve"> CRISTINA </v>
      </c>
      <c r="AD484" s="2">
        <f t="shared" si="37"/>
        <v>5</v>
      </c>
      <c r="AE484" s="2">
        <f t="shared" ca="1" si="38"/>
        <v>-272.28984803240746</v>
      </c>
      <c r="AF484" s="15"/>
    </row>
    <row r="485" spans="1:32" hidden="1">
      <c r="A485" s="1">
        <v>8632402</v>
      </c>
      <c r="B485" s="1" t="s">
        <v>653</v>
      </c>
      <c r="C485" t="s">
        <v>3581</v>
      </c>
      <c r="E485" s="2">
        <v>2138001400010</v>
      </c>
      <c r="F485" s="1" t="s">
        <v>936</v>
      </c>
      <c r="G485" s="1" t="s">
        <v>53</v>
      </c>
      <c r="H485" s="1" t="s">
        <v>379</v>
      </c>
      <c r="I485" s="1" t="s">
        <v>380</v>
      </c>
      <c r="J485" s="1" t="s">
        <v>46</v>
      </c>
      <c r="K485" t="s">
        <v>937</v>
      </c>
      <c r="M485" s="1" t="s">
        <v>58</v>
      </c>
      <c r="N485" s="1">
        <v>0</v>
      </c>
      <c r="O485" s="1" t="s">
        <v>105</v>
      </c>
      <c r="P485" s="186">
        <v>44713.386331018519</v>
      </c>
      <c r="R485" s="1">
        <v>3</v>
      </c>
      <c r="T485" s="1" t="s">
        <v>646</v>
      </c>
      <c r="U485" s="186">
        <v>44714.386331018519</v>
      </c>
      <c r="V485" s="1" t="s">
        <v>41</v>
      </c>
      <c r="W485" s="1" t="s">
        <v>49</v>
      </c>
      <c r="X485" s="13" t="str">
        <f>IF(RIGHT(H485,2)&lt;&gt;"00",H485,"")</f>
        <v/>
      </c>
      <c r="Y485" s="2">
        <f ca="1">NETWORKDAYS(P485,$Y$1)</f>
        <v>196</v>
      </c>
      <c r="Z485" s="14">
        <v>1</v>
      </c>
      <c r="AA485" s="1" t="str">
        <f t="shared" ca="1" si="35"/>
        <v>VENCIDO</v>
      </c>
      <c r="AB485" s="1" t="str">
        <f t="shared" si="36"/>
        <v>C-14</v>
      </c>
      <c r="AC485" s="2" t="str">
        <f t="shared" si="39"/>
        <v xml:space="preserve"> CLEITON </v>
      </c>
      <c r="AD485" s="2">
        <f t="shared" si="37"/>
        <v>5</v>
      </c>
      <c r="AE485" s="2">
        <f t="shared" ca="1" si="38"/>
        <v>-272.28994062499987</v>
      </c>
      <c r="AF485" s="15"/>
    </row>
    <row r="486" spans="1:32" hidden="1">
      <c r="A486" s="1">
        <v>8632379</v>
      </c>
      <c r="B486" s="1" t="s">
        <v>653</v>
      </c>
      <c r="C486" t="s">
        <v>3581</v>
      </c>
      <c r="E486" s="2">
        <v>2107001400010</v>
      </c>
      <c r="F486" s="1" t="s">
        <v>936</v>
      </c>
      <c r="G486" s="1" t="s">
        <v>53</v>
      </c>
      <c r="H486" s="1" t="s">
        <v>262</v>
      </c>
      <c r="I486" s="1" t="s">
        <v>263</v>
      </c>
      <c r="J486" s="1" t="s">
        <v>164</v>
      </c>
      <c r="K486" t="s">
        <v>937</v>
      </c>
      <c r="M486" s="1" t="s">
        <v>58</v>
      </c>
      <c r="N486" s="1">
        <v>0</v>
      </c>
      <c r="O486" s="1" t="s">
        <v>105</v>
      </c>
      <c r="P486" s="186">
        <v>44713.386307870373</v>
      </c>
      <c r="R486" s="1">
        <v>3</v>
      </c>
      <c r="T486" s="1" t="s">
        <v>646</v>
      </c>
      <c r="U486" s="186">
        <v>44714.386307870373</v>
      </c>
      <c r="V486" s="1" t="s">
        <v>41</v>
      </c>
      <c r="W486" s="1" t="s">
        <v>49</v>
      </c>
      <c r="X486" s="13" t="str">
        <f>IF(RIGHT(H486,2)&lt;&gt;"00",H486,"")</f>
        <v/>
      </c>
      <c r="Y486" s="2">
        <f ca="1">NETWORKDAYS(P486,$Y$1)</f>
        <v>196</v>
      </c>
      <c r="Z486" s="14">
        <v>1</v>
      </c>
      <c r="AA486" s="1" t="str">
        <f t="shared" ca="1" si="35"/>
        <v>VENCIDO</v>
      </c>
      <c r="AB486" s="1" t="str">
        <f t="shared" si="36"/>
        <v>C-14</v>
      </c>
      <c r="AC486" s="2" t="str">
        <f t="shared" si="39"/>
        <v xml:space="preserve"> ROSEMERE </v>
      </c>
      <c r="AD486" s="2">
        <f t="shared" si="37"/>
        <v>5</v>
      </c>
      <c r="AE486" s="2">
        <f t="shared" ca="1" si="38"/>
        <v>-272.28996377314616</v>
      </c>
      <c r="AF486" s="15"/>
    </row>
    <row r="487" spans="1:32" hidden="1">
      <c r="A487" s="1">
        <v>8632349</v>
      </c>
      <c r="B487" s="1" t="s">
        <v>653</v>
      </c>
      <c r="C487" t="s">
        <v>3581</v>
      </c>
      <c r="E487" s="2">
        <v>2069001400010</v>
      </c>
      <c r="F487" s="1" t="s">
        <v>936</v>
      </c>
      <c r="G487" s="1" t="s">
        <v>53</v>
      </c>
      <c r="H487" s="1" t="s">
        <v>557</v>
      </c>
      <c r="I487" s="1" t="s">
        <v>558</v>
      </c>
      <c r="J487" s="1" t="s">
        <v>90</v>
      </c>
      <c r="K487" t="s">
        <v>937</v>
      </c>
      <c r="M487" s="1" t="s">
        <v>58</v>
      </c>
      <c r="N487" s="1">
        <v>0</v>
      </c>
      <c r="O487" s="1" t="s">
        <v>105</v>
      </c>
      <c r="P487" s="186">
        <v>44713.386273148149</v>
      </c>
      <c r="R487" s="1">
        <v>3</v>
      </c>
      <c r="T487" s="1" t="s">
        <v>646</v>
      </c>
      <c r="U487" s="186">
        <v>44714.386273148149</v>
      </c>
      <c r="V487" s="1" t="s">
        <v>41</v>
      </c>
      <c r="W487" s="1" t="s">
        <v>49</v>
      </c>
      <c r="X487" s="13" t="str">
        <f>IF(RIGHT(H487,2)&lt;&gt;"00",H487,"")</f>
        <v/>
      </c>
      <c r="Y487" s="2">
        <f ca="1">NETWORKDAYS(P487,$Y$1)</f>
        <v>196</v>
      </c>
      <c r="Z487" s="14">
        <v>1</v>
      </c>
      <c r="AA487" s="1" t="str">
        <f t="shared" ca="1" si="35"/>
        <v>VENCIDO</v>
      </c>
      <c r="AB487" s="1" t="str">
        <f t="shared" si="36"/>
        <v>C-14</v>
      </c>
      <c r="AC487" s="2" t="str">
        <f t="shared" si="39"/>
        <v xml:space="preserve"> RINALDO </v>
      </c>
      <c r="AD487" s="2">
        <f t="shared" si="37"/>
        <v>5</v>
      </c>
      <c r="AE487" s="2">
        <f t="shared" ca="1" si="38"/>
        <v>-272.28999849536922</v>
      </c>
      <c r="AF487" s="15"/>
    </row>
    <row r="488" spans="1:32" hidden="1">
      <c r="A488" s="1">
        <v>8632235</v>
      </c>
      <c r="B488" s="1" t="s">
        <v>653</v>
      </c>
      <c r="C488" t="s">
        <v>3581</v>
      </c>
      <c r="E488" s="2">
        <v>1838001400010</v>
      </c>
      <c r="F488" s="1" t="s">
        <v>936</v>
      </c>
      <c r="G488" s="1" t="s">
        <v>53</v>
      </c>
      <c r="H488" s="1" t="s">
        <v>357</v>
      </c>
      <c r="I488" s="1" t="s">
        <v>358</v>
      </c>
      <c r="J488" s="1" t="s">
        <v>46</v>
      </c>
      <c r="K488" t="s">
        <v>937</v>
      </c>
      <c r="M488" s="1" t="s">
        <v>58</v>
      </c>
      <c r="N488" s="1">
        <v>0</v>
      </c>
      <c r="O488" s="1" t="s">
        <v>105</v>
      </c>
      <c r="P488" s="186">
        <v>44713.386134259257</v>
      </c>
      <c r="R488" s="1">
        <v>3</v>
      </c>
      <c r="T488" s="1" t="s">
        <v>646</v>
      </c>
      <c r="U488" s="186">
        <v>44714.386134259257</v>
      </c>
      <c r="V488" s="1" t="s">
        <v>41</v>
      </c>
      <c r="W488" s="1" t="s">
        <v>49</v>
      </c>
      <c r="X488" s="13" t="str">
        <f>IF(RIGHT(H488,2)&lt;&gt;"00",H488,"")</f>
        <v/>
      </c>
      <c r="Y488" s="2">
        <f ca="1">NETWORKDAYS(P488,$Y$1)</f>
        <v>196</v>
      </c>
      <c r="Z488" s="14">
        <v>1</v>
      </c>
      <c r="AA488" s="1" t="str">
        <f t="shared" ca="1" si="35"/>
        <v>VENCIDO</v>
      </c>
      <c r="AB488" s="1" t="str">
        <f t="shared" si="36"/>
        <v>C-14</v>
      </c>
      <c r="AC488" s="2" t="str">
        <f t="shared" si="39"/>
        <v xml:space="preserve"> CLEITON </v>
      </c>
      <c r="AD488" s="2">
        <f t="shared" si="37"/>
        <v>5</v>
      </c>
      <c r="AE488" s="2">
        <f t="shared" ca="1" si="38"/>
        <v>-272.29013738426147</v>
      </c>
      <c r="AF488" s="15"/>
    </row>
    <row r="489" spans="1:32" hidden="1">
      <c r="A489" s="1">
        <v>8632233</v>
      </c>
      <c r="B489" s="1" t="s">
        <v>653</v>
      </c>
      <c r="C489" t="s">
        <v>3581</v>
      </c>
      <c r="E489" s="2">
        <v>1836001400010</v>
      </c>
      <c r="F489" s="1" t="s">
        <v>936</v>
      </c>
      <c r="G489" s="1" t="s">
        <v>53</v>
      </c>
      <c r="H489" s="1" t="s">
        <v>455</v>
      </c>
      <c r="I489" s="1" t="s">
        <v>456</v>
      </c>
      <c r="J489" s="1" t="s">
        <v>46</v>
      </c>
      <c r="K489" t="s">
        <v>937</v>
      </c>
      <c r="M489" s="1" t="s">
        <v>58</v>
      </c>
      <c r="N489" s="1">
        <v>0</v>
      </c>
      <c r="O489" s="1" t="s">
        <v>105</v>
      </c>
      <c r="P489" s="186">
        <v>44713.386134259257</v>
      </c>
      <c r="R489" s="1">
        <v>3</v>
      </c>
      <c r="T489" s="1" t="s">
        <v>646</v>
      </c>
      <c r="U489" s="186">
        <v>44714.386134259257</v>
      </c>
      <c r="V489" s="1" t="s">
        <v>41</v>
      </c>
      <c r="W489" s="1" t="s">
        <v>49</v>
      </c>
      <c r="X489" s="13" t="str">
        <f>IF(RIGHT(H489,2)&lt;&gt;"00",H489,"")</f>
        <v/>
      </c>
      <c r="Y489" s="2">
        <f ca="1">NETWORKDAYS(P489,$Y$1)</f>
        <v>196</v>
      </c>
      <c r="Z489" s="14">
        <v>1</v>
      </c>
      <c r="AA489" s="1" t="str">
        <f t="shared" ca="1" si="35"/>
        <v>VENCIDO</v>
      </c>
      <c r="AB489" s="1" t="str">
        <f t="shared" si="36"/>
        <v>C-14</v>
      </c>
      <c r="AC489" s="2" t="str">
        <f t="shared" si="39"/>
        <v xml:space="preserve"> CLEITON </v>
      </c>
      <c r="AD489" s="2">
        <f t="shared" si="37"/>
        <v>5</v>
      </c>
      <c r="AE489" s="2">
        <f t="shared" ca="1" si="38"/>
        <v>-272.29013738426147</v>
      </c>
      <c r="AF489" s="15"/>
    </row>
    <row r="490" spans="1:32" hidden="1">
      <c r="A490" s="1">
        <v>8632232</v>
      </c>
      <c r="B490" s="1" t="s">
        <v>653</v>
      </c>
      <c r="C490" t="s">
        <v>3581</v>
      </c>
      <c r="E490" s="2">
        <v>1835001400010</v>
      </c>
      <c r="F490" s="1" t="s">
        <v>936</v>
      </c>
      <c r="G490" s="1" t="s">
        <v>53</v>
      </c>
      <c r="H490" s="1" t="s">
        <v>305</v>
      </c>
      <c r="I490" s="1" t="s">
        <v>306</v>
      </c>
      <c r="J490" s="1" t="s">
        <v>46</v>
      </c>
      <c r="K490" t="s">
        <v>937</v>
      </c>
      <c r="M490" s="1" t="s">
        <v>58</v>
      </c>
      <c r="N490" s="1">
        <v>0</v>
      </c>
      <c r="O490" s="1" t="s">
        <v>105</v>
      </c>
      <c r="P490" s="186">
        <v>44713.386134259257</v>
      </c>
      <c r="R490" s="1">
        <v>3</v>
      </c>
      <c r="T490" s="1" t="s">
        <v>646</v>
      </c>
      <c r="U490" s="186">
        <v>44714.386134259257</v>
      </c>
      <c r="V490" s="1" t="s">
        <v>41</v>
      </c>
      <c r="W490" s="1" t="s">
        <v>49</v>
      </c>
      <c r="X490" s="13" t="str">
        <f>IF(RIGHT(H490,2)&lt;&gt;"00",H490,"")</f>
        <v/>
      </c>
      <c r="Y490" s="2">
        <f ca="1">NETWORKDAYS(P490,$Y$1)</f>
        <v>196</v>
      </c>
      <c r="Z490" s="14">
        <v>1</v>
      </c>
      <c r="AA490" s="1" t="str">
        <f t="shared" ca="1" si="35"/>
        <v>VENCIDO</v>
      </c>
      <c r="AB490" s="1" t="str">
        <f t="shared" si="36"/>
        <v>C-14</v>
      </c>
      <c r="AC490" s="2" t="str">
        <f t="shared" si="39"/>
        <v xml:space="preserve"> CLEITON </v>
      </c>
      <c r="AD490" s="2">
        <f t="shared" si="37"/>
        <v>5</v>
      </c>
      <c r="AE490" s="2">
        <f t="shared" ca="1" si="38"/>
        <v>-272.29013738426147</v>
      </c>
      <c r="AF490" s="15"/>
    </row>
    <row r="491" spans="1:32" hidden="1">
      <c r="A491" s="1">
        <v>8632230</v>
      </c>
      <c r="B491" s="1" t="s">
        <v>653</v>
      </c>
      <c r="C491" t="s">
        <v>3581</v>
      </c>
      <c r="E491" s="2">
        <v>1833041400010</v>
      </c>
      <c r="F491" s="1" t="s">
        <v>936</v>
      </c>
      <c r="G491" s="1" t="s">
        <v>53</v>
      </c>
      <c r="H491" s="1" t="s">
        <v>811</v>
      </c>
      <c r="I491" s="1" t="s">
        <v>812</v>
      </c>
      <c r="J491" s="1" t="s">
        <v>46</v>
      </c>
      <c r="K491" t="s">
        <v>937</v>
      </c>
      <c r="M491" s="1" t="s">
        <v>58</v>
      </c>
      <c r="N491" s="1">
        <v>0</v>
      </c>
      <c r="O491" s="1" t="s">
        <v>105</v>
      </c>
      <c r="P491" s="186">
        <v>44713.386134259257</v>
      </c>
      <c r="R491" s="1">
        <v>3</v>
      </c>
      <c r="T491" s="1" t="s">
        <v>646</v>
      </c>
      <c r="U491" s="186">
        <v>44714.386134259257</v>
      </c>
      <c r="V491" s="1" t="s">
        <v>41</v>
      </c>
      <c r="W491" s="1" t="s">
        <v>49</v>
      </c>
      <c r="X491" s="13" t="str">
        <f>IF(RIGHT(H491,2)&lt;&gt;"00",H491,"")</f>
        <v>1833.04</v>
      </c>
      <c r="Y491" s="2">
        <f ca="1">NETWORKDAYS(P491,$Y$1)</f>
        <v>196</v>
      </c>
      <c r="Z491" s="14">
        <v>1</v>
      </c>
      <c r="AA491" s="1" t="str">
        <f t="shared" ca="1" si="35"/>
        <v>VENCIDO</v>
      </c>
      <c r="AB491" s="1" t="str">
        <f t="shared" si="36"/>
        <v>C-14</v>
      </c>
      <c r="AC491" s="2" t="str">
        <f t="shared" si="39"/>
        <v xml:space="preserve"> CLEITON </v>
      </c>
      <c r="AD491" s="2">
        <f t="shared" si="37"/>
        <v>5</v>
      </c>
      <c r="AE491" s="2">
        <f t="shared" ca="1" si="38"/>
        <v>-272.29013738426147</v>
      </c>
      <c r="AF491" s="15"/>
    </row>
    <row r="492" spans="1:32" hidden="1">
      <c r="A492" s="1">
        <v>8632229</v>
      </c>
      <c r="B492" s="1" t="s">
        <v>653</v>
      </c>
      <c r="C492" t="s">
        <v>3581</v>
      </c>
      <c r="E492" s="2">
        <v>1833001400010</v>
      </c>
      <c r="F492" s="1" t="s">
        <v>936</v>
      </c>
      <c r="G492" s="1" t="s">
        <v>53</v>
      </c>
      <c r="H492" s="1" t="s">
        <v>369</v>
      </c>
      <c r="I492" s="1" t="s">
        <v>370</v>
      </c>
      <c r="J492" s="1" t="s">
        <v>46</v>
      </c>
      <c r="K492" t="s">
        <v>937</v>
      </c>
      <c r="M492" s="1" t="s">
        <v>58</v>
      </c>
      <c r="N492" s="1">
        <v>0</v>
      </c>
      <c r="O492" s="1" t="s">
        <v>105</v>
      </c>
      <c r="P492" s="186">
        <v>44713.386134259257</v>
      </c>
      <c r="R492" s="1">
        <v>3</v>
      </c>
      <c r="T492" s="1" t="s">
        <v>646</v>
      </c>
      <c r="U492" s="186">
        <v>44714.386134259257</v>
      </c>
      <c r="V492" s="1" t="s">
        <v>41</v>
      </c>
      <c r="W492" s="1" t="s">
        <v>49</v>
      </c>
      <c r="X492" s="13" t="str">
        <f>IF(RIGHT(H492,2)&lt;&gt;"00",H492,"")</f>
        <v/>
      </c>
      <c r="Y492" s="2">
        <f ca="1">NETWORKDAYS(P492,$Y$1)</f>
        <v>196</v>
      </c>
      <c r="Z492" s="14">
        <v>1</v>
      </c>
      <c r="AA492" s="1" t="str">
        <f t="shared" ca="1" si="35"/>
        <v>VENCIDO</v>
      </c>
      <c r="AB492" s="1" t="str">
        <f t="shared" si="36"/>
        <v>C-14</v>
      </c>
      <c r="AC492" s="2" t="str">
        <f t="shared" si="39"/>
        <v xml:space="preserve"> CLEITON </v>
      </c>
      <c r="AD492" s="2">
        <f t="shared" si="37"/>
        <v>5</v>
      </c>
      <c r="AE492" s="2">
        <f t="shared" ca="1" si="38"/>
        <v>-272.29013738426147</v>
      </c>
      <c r="AF492" s="15"/>
    </row>
    <row r="493" spans="1:32" hidden="1">
      <c r="A493" s="1">
        <v>8632217</v>
      </c>
      <c r="B493" s="1" t="s">
        <v>653</v>
      </c>
      <c r="C493" t="s">
        <v>3581</v>
      </c>
      <c r="E493" s="2">
        <v>1814031400010</v>
      </c>
      <c r="F493" s="1" t="s">
        <v>936</v>
      </c>
      <c r="G493" s="1" t="s">
        <v>53</v>
      </c>
      <c r="H493" s="1" t="s">
        <v>719</v>
      </c>
      <c r="I493" s="1" t="s">
        <v>188</v>
      </c>
      <c r="J493" s="1" t="s">
        <v>46</v>
      </c>
      <c r="K493" t="s">
        <v>937</v>
      </c>
      <c r="M493" s="1" t="s">
        <v>58</v>
      </c>
      <c r="N493" s="1">
        <v>0</v>
      </c>
      <c r="O493" s="1" t="s">
        <v>105</v>
      </c>
      <c r="P493" s="186">
        <v>44713.386111111111</v>
      </c>
      <c r="R493" s="1">
        <v>3</v>
      </c>
      <c r="T493" s="1" t="s">
        <v>646</v>
      </c>
      <c r="U493" s="186">
        <v>44714.386111111111</v>
      </c>
      <c r="V493" s="1" t="s">
        <v>41</v>
      </c>
      <c r="W493" s="1" t="s">
        <v>49</v>
      </c>
      <c r="X493" s="13" t="str">
        <f>IF(RIGHT(H493,2)&lt;&gt;"00",H493,"")</f>
        <v>1814.03</v>
      </c>
      <c r="Y493" s="2">
        <f ca="1">NETWORKDAYS(P493,$Y$1)</f>
        <v>196</v>
      </c>
      <c r="Z493" s="14">
        <v>1</v>
      </c>
      <c r="AA493" s="1" t="str">
        <f t="shared" ca="1" si="35"/>
        <v>VENCIDO</v>
      </c>
      <c r="AB493" s="1" t="str">
        <f t="shared" si="36"/>
        <v>C-14</v>
      </c>
      <c r="AC493" s="2" t="str">
        <f t="shared" si="39"/>
        <v xml:space="preserve"> CLEITON </v>
      </c>
      <c r="AD493" s="2">
        <f t="shared" si="37"/>
        <v>5</v>
      </c>
      <c r="AE493" s="2">
        <f t="shared" ca="1" si="38"/>
        <v>-272.29016053240775</v>
      </c>
      <c r="AF493" s="15"/>
    </row>
    <row r="494" spans="1:32" hidden="1">
      <c r="A494" s="1">
        <v>8632154</v>
      </c>
      <c r="B494" s="1" t="s">
        <v>653</v>
      </c>
      <c r="C494" t="s">
        <v>3581</v>
      </c>
      <c r="E494" s="2">
        <v>1739001400010</v>
      </c>
      <c r="F494" s="1" t="s">
        <v>936</v>
      </c>
      <c r="G494" s="1" t="s">
        <v>53</v>
      </c>
      <c r="H494" s="1" t="s">
        <v>162</v>
      </c>
      <c r="I494" s="1" t="s">
        <v>163</v>
      </c>
      <c r="J494" s="1" t="s">
        <v>164</v>
      </c>
      <c r="K494" t="s">
        <v>937</v>
      </c>
      <c r="M494" s="1" t="s">
        <v>58</v>
      </c>
      <c r="N494" s="1">
        <v>0</v>
      </c>
      <c r="O494" s="1" t="s">
        <v>105</v>
      </c>
      <c r="P494" s="186">
        <v>44713.386030092595</v>
      </c>
      <c r="R494" s="1">
        <v>3</v>
      </c>
      <c r="T494" s="1" t="s">
        <v>646</v>
      </c>
      <c r="U494" s="186">
        <v>44714.386030092595</v>
      </c>
      <c r="V494" s="1" t="s">
        <v>41</v>
      </c>
      <c r="W494" s="1" t="s">
        <v>49</v>
      </c>
      <c r="X494" s="13" t="str">
        <f>IF(RIGHT(H494,2)&lt;&gt;"00",H494,"")</f>
        <v/>
      </c>
      <c r="Y494" s="2">
        <f ca="1">NETWORKDAYS(P494,$Y$1)</f>
        <v>196</v>
      </c>
      <c r="Z494" s="14">
        <v>1</v>
      </c>
      <c r="AA494" s="1" t="str">
        <f t="shared" ca="1" si="35"/>
        <v>VENCIDO</v>
      </c>
      <c r="AB494" s="1" t="str">
        <f t="shared" si="36"/>
        <v>C-14</v>
      </c>
      <c r="AC494" s="2" t="str">
        <f t="shared" si="39"/>
        <v xml:space="preserve"> ROSEMERE </v>
      </c>
      <c r="AD494" s="2">
        <f t="shared" si="37"/>
        <v>5</v>
      </c>
      <c r="AE494" s="2">
        <f t="shared" ca="1" si="38"/>
        <v>-272.29024155092338</v>
      </c>
      <c r="AF494" s="15"/>
    </row>
    <row r="495" spans="1:32" hidden="1">
      <c r="A495" s="1">
        <v>8632150</v>
      </c>
      <c r="B495" s="1" t="s">
        <v>653</v>
      </c>
      <c r="C495" t="s">
        <v>3581</v>
      </c>
      <c r="E495" s="2">
        <v>1732001400010</v>
      </c>
      <c r="F495" s="1" t="s">
        <v>936</v>
      </c>
      <c r="G495" s="1" t="s">
        <v>53</v>
      </c>
      <c r="H495" s="1" t="s">
        <v>177</v>
      </c>
      <c r="I495" s="1" t="s">
        <v>178</v>
      </c>
      <c r="J495" s="1" t="s">
        <v>164</v>
      </c>
      <c r="K495" t="s">
        <v>937</v>
      </c>
      <c r="M495" s="1" t="s">
        <v>58</v>
      </c>
      <c r="N495" s="1">
        <v>0</v>
      </c>
      <c r="O495" s="1" t="s">
        <v>105</v>
      </c>
      <c r="P495" s="186">
        <v>44713.386030092595</v>
      </c>
      <c r="R495" s="1">
        <v>3</v>
      </c>
      <c r="T495" s="1" t="s">
        <v>646</v>
      </c>
      <c r="U495" s="186">
        <v>44714.386030092595</v>
      </c>
      <c r="V495" s="1" t="s">
        <v>41</v>
      </c>
      <c r="W495" s="1" t="s">
        <v>49</v>
      </c>
      <c r="X495" s="13" t="str">
        <f>IF(RIGHT(H495,2)&lt;&gt;"00",H495,"")</f>
        <v/>
      </c>
      <c r="Y495" s="2">
        <f ca="1">NETWORKDAYS(P495,$Y$1)</f>
        <v>196</v>
      </c>
      <c r="Z495" s="14">
        <v>1</v>
      </c>
      <c r="AA495" s="1" t="str">
        <f t="shared" ca="1" si="35"/>
        <v>VENCIDO</v>
      </c>
      <c r="AB495" s="1" t="str">
        <f t="shared" si="36"/>
        <v>C-14</v>
      </c>
      <c r="AC495" s="2" t="str">
        <f t="shared" si="39"/>
        <v xml:space="preserve"> ROSEMERE </v>
      </c>
      <c r="AD495" s="2">
        <f t="shared" si="37"/>
        <v>5</v>
      </c>
      <c r="AE495" s="2">
        <f t="shared" ca="1" si="38"/>
        <v>-272.29024155092338</v>
      </c>
      <c r="AF495" s="15"/>
    </row>
    <row r="496" spans="1:32" hidden="1">
      <c r="A496" s="1">
        <v>8632090</v>
      </c>
      <c r="B496" s="1" t="s">
        <v>653</v>
      </c>
      <c r="C496" t="s">
        <v>3581</v>
      </c>
      <c r="E496" s="2">
        <v>1664001400010</v>
      </c>
      <c r="F496" s="1" t="s">
        <v>936</v>
      </c>
      <c r="G496" s="1" t="s">
        <v>53</v>
      </c>
      <c r="H496" s="1" t="s">
        <v>307</v>
      </c>
      <c r="I496" s="1" t="s">
        <v>308</v>
      </c>
      <c r="J496" s="1" t="s">
        <v>164</v>
      </c>
      <c r="K496" t="s">
        <v>937</v>
      </c>
      <c r="M496" s="1" t="s">
        <v>58</v>
      </c>
      <c r="N496" s="1">
        <v>0</v>
      </c>
      <c r="O496" s="1" t="s">
        <v>105</v>
      </c>
      <c r="P496" s="186">
        <v>44713.385949074072</v>
      </c>
      <c r="R496" s="1">
        <v>3</v>
      </c>
      <c r="T496" s="1" t="s">
        <v>646</v>
      </c>
      <c r="U496" s="186">
        <v>44714.385949074072</v>
      </c>
      <c r="V496" s="1" t="s">
        <v>41</v>
      </c>
      <c r="W496" s="1" t="s">
        <v>49</v>
      </c>
      <c r="X496" s="13" t="str">
        <f>IF(RIGHT(H496,2)&lt;&gt;"00",H496,"")</f>
        <v/>
      </c>
      <c r="Y496" s="2">
        <f ca="1">NETWORKDAYS(P496,$Y$1)</f>
        <v>196</v>
      </c>
      <c r="Z496" s="14">
        <v>1</v>
      </c>
      <c r="AA496" s="1" t="str">
        <f t="shared" ca="1" si="35"/>
        <v>VENCIDO</v>
      </c>
      <c r="AB496" s="1" t="str">
        <f t="shared" si="36"/>
        <v>C-14</v>
      </c>
      <c r="AC496" s="2" t="str">
        <f t="shared" si="39"/>
        <v xml:space="preserve"> ROSEMERE </v>
      </c>
      <c r="AD496" s="2">
        <f t="shared" si="37"/>
        <v>5</v>
      </c>
      <c r="AE496" s="2">
        <f t="shared" ca="1" si="38"/>
        <v>-272.29032256944629</v>
      </c>
      <c r="AF496" s="15"/>
    </row>
    <row r="497" spans="1:32" hidden="1">
      <c r="A497" s="1">
        <v>8632071</v>
      </c>
      <c r="B497" s="1" t="s">
        <v>653</v>
      </c>
      <c r="C497" t="s">
        <v>3581</v>
      </c>
      <c r="E497" s="2">
        <v>1643001400010</v>
      </c>
      <c r="F497" s="1" t="s">
        <v>936</v>
      </c>
      <c r="G497" s="1" t="s">
        <v>53</v>
      </c>
      <c r="H497" s="1" t="s">
        <v>361</v>
      </c>
      <c r="I497" s="1" t="s">
        <v>362</v>
      </c>
      <c r="J497" s="1" t="s">
        <v>261</v>
      </c>
      <c r="K497" t="s">
        <v>937</v>
      </c>
      <c r="M497" s="1" t="s">
        <v>58</v>
      </c>
      <c r="N497" s="1">
        <v>0</v>
      </c>
      <c r="O497" s="1" t="s">
        <v>105</v>
      </c>
      <c r="P497" s="186">
        <v>44713.385925925926</v>
      </c>
      <c r="R497" s="1">
        <v>3</v>
      </c>
      <c r="T497" s="1" t="s">
        <v>646</v>
      </c>
      <c r="U497" s="186">
        <v>44714.385925925926</v>
      </c>
      <c r="V497" s="1" t="s">
        <v>41</v>
      </c>
      <c r="W497" s="1" t="s">
        <v>49</v>
      </c>
      <c r="X497" s="13" t="str">
        <f>IF(RIGHT(H497,2)&lt;&gt;"00",H497,"")</f>
        <v/>
      </c>
      <c r="Y497" s="2">
        <f ca="1">NETWORKDAYS(P497,$Y$1)</f>
        <v>196</v>
      </c>
      <c r="Z497" s="14">
        <v>1</v>
      </c>
      <c r="AA497" s="1" t="str">
        <f t="shared" ca="1" si="35"/>
        <v>VENCIDO</v>
      </c>
      <c r="AB497" s="1" t="str">
        <f t="shared" si="36"/>
        <v>C-14</v>
      </c>
      <c r="AC497" s="2" t="str">
        <f t="shared" si="39"/>
        <v xml:space="preserve"> CRISTINA </v>
      </c>
      <c r="AD497" s="2">
        <f t="shared" si="37"/>
        <v>5</v>
      </c>
      <c r="AE497" s="2">
        <f t="shared" ca="1" si="38"/>
        <v>-272.29034571759257</v>
      </c>
      <c r="AF497" s="15"/>
    </row>
    <row r="498" spans="1:32" hidden="1">
      <c r="A498" s="1">
        <v>8632049</v>
      </c>
      <c r="B498" s="1" t="s">
        <v>653</v>
      </c>
      <c r="C498" t="s">
        <v>3581</v>
      </c>
      <c r="E498" s="2">
        <v>1620001400010</v>
      </c>
      <c r="F498" s="1" t="s">
        <v>936</v>
      </c>
      <c r="G498" s="1" t="s">
        <v>53</v>
      </c>
      <c r="H498" s="1" t="s">
        <v>402</v>
      </c>
      <c r="I498" s="1" t="s">
        <v>403</v>
      </c>
      <c r="J498" s="1" t="s">
        <v>46</v>
      </c>
      <c r="K498" t="s">
        <v>937</v>
      </c>
      <c r="M498" s="1" t="s">
        <v>58</v>
      </c>
      <c r="N498" s="1">
        <v>0</v>
      </c>
      <c r="O498" s="1" t="s">
        <v>105</v>
      </c>
      <c r="P498" s="186">
        <v>44713.38590277778</v>
      </c>
      <c r="R498" s="1">
        <v>3</v>
      </c>
      <c r="T498" s="1" t="s">
        <v>646</v>
      </c>
      <c r="U498" s="186">
        <v>44714.38590277778</v>
      </c>
      <c r="V498" s="1" t="s">
        <v>41</v>
      </c>
      <c r="W498" s="1" t="s">
        <v>49</v>
      </c>
      <c r="X498" s="13" t="str">
        <f>IF(RIGHT(H498,2)&lt;&gt;"00",H498,"")</f>
        <v/>
      </c>
      <c r="Y498" s="2">
        <f ca="1">NETWORKDAYS(P498,$Y$1)</f>
        <v>196</v>
      </c>
      <c r="Z498" s="14">
        <v>1</v>
      </c>
      <c r="AA498" s="1" t="str">
        <f t="shared" ca="1" si="35"/>
        <v>VENCIDO</v>
      </c>
      <c r="AB498" s="1" t="str">
        <f t="shared" si="36"/>
        <v>C-14</v>
      </c>
      <c r="AC498" s="2" t="str">
        <f t="shared" si="39"/>
        <v xml:space="preserve"> CLEITON </v>
      </c>
      <c r="AD498" s="2">
        <f t="shared" si="37"/>
        <v>5</v>
      </c>
      <c r="AE498" s="2">
        <f t="shared" ca="1" si="38"/>
        <v>-272.29036886573886</v>
      </c>
      <c r="AF498" s="15"/>
    </row>
    <row r="499" spans="1:32" hidden="1">
      <c r="A499" s="1">
        <v>8631960</v>
      </c>
      <c r="B499" s="1" t="s">
        <v>653</v>
      </c>
      <c r="C499" t="s">
        <v>3581</v>
      </c>
      <c r="E499" s="2">
        <v>1509001400010</v>
      </c>
      <c r="F499" s="1" t="s">
        <v>936</v>
      </c>
      <c r="G499" s="1" t="s">
        <v>53</v>
      </c>
      <c r="H499" s="1" t="s">
        <v>731</v>
      </c>
      <c r="I499" s="1" t="s">
        <v>732</v>
      </c>
      <c r="J499" s="1" t="s">
        <v>46</v>
      </c>
      <c r="K499" t="s">
        <v>937</v>
      </c>
      <c r="M499" s="1" t="s">
        <v>58</v>
      </c>
      <c r="N499" s="1">
        <v>0</v>
      </c>
      <c r="O499" s="1" t="s">
        <v>105</v>
      </c>
      <c r="P499" s="186">
        <v>44713.385787037034</v>
      </c>
      <c r="R499" s="1">
        <v>3</v>
      </c>
      <c r="T499" s="1" t="s">
        <v>646</v>
      </c>
      <c r="U499" s="186">
        <v>44714.385787037034</v>
      </c>
      <c r="V499" s="1" t="s">
        <v>41</v>
      </c>
      <c r="W499" s="1" t="s">
        <v>49</v>
      </c>
      <c r="X499" s="13" t="str">
        <f>IF(RIGHT(H499,2)&lt;&gt;"00",H499,"")</f>
        <v/>
      </c>
      <c r="Y499" s="2">
        <f ca="1">NETWORKDAYS(P499,$Y$1)</f>
        <v>196</v>
      </c>
      <c r="Z499" s="14">
        <v>1</v>
      </c>
      <c r="AA499" s="1" t="str">
        <f t="shared" ca="1" si="35"/>
        <v>VENCIDO</v>
      </c>
      <c r="AB499" s="1" t="str">
        <f t="shared" si="36"/>
        <v>C-14</v>
      </c>
      <c r="AC499" s="2" t="str">
        <f t="shared" si="39"/>
        <v xml:space="preserve"> CLEITON </v>
      </c>
      <c r="AD499" s="2">
        <f t="shared" si="37"/>
        <v>5</v>
      </c>
      <c r="AE499" s="2">
        <f t="shared" ca="1" si="38"/>
        <v>-272.29048460648482</v>
      </c>
      <c r="AF499" s="15"/>
    </row>
    <row r="500" spans="1:32" hidden="1">
      <c r="A500" s="1">
        <v>8631881</v>
      </c>
      <c r="B500" s="1" t="s">
        <v>653</v>
      </c>
      <c r="C500" t="s">
        <v>3581</v>
      </c>
      <c r="E500" s="2">
        <v>1421001400010</v>
      </c>
      <c r="F500" s="1" t="s">
        <v>936</v>
      </c>
      <c r="G500" s="1" t="s">
        <v>53</v>
      </c>
      <c r="H500" s="1" t="s">
        <v>179</v>
      </c>
      <c r="I500" s="1" t="s">
        <v>180</v>
      </c>
      <c r="J500" s="1" t="s">
        <v>79</v>
      </c>
      <c r="K500" t="s">
        <v>937</v>
      </c>
      <c r="M500" s="1" t="s">
        <v>58</v>
      </c>
      <c r="N500" s="1">
        <v>0</v>
      </c>
      <c r="O500" s="1" t="s">
        <v>105</v>
      </c>
      <c r="P500" s="186">
        <v>44713.385671296295</v>
      </c>
      <c r="R500" s="1">
        <v>3</v>
      </c>
      <c r="T500" s="1" t="s">
        <v>646</v>
      </c>
      <c r="U500" s="186">
        <v>44714.385671296295</v>
      </c>
      <c r="V500" s="1" t="s">
        <v>41</v>
      </c>
      <c r="W500" s="1" t="s">
        <v>49</v>
      </c>
      <c r="X500" s="13" t="str">
        <f>IF(RIGHT(H500,2)&lt;&gt;"00",H500,"")</f>
        <v/>
      </c>
      <c r="Y500" s="2">
        <f ca="1">NETWORKDAYS(P500,$Y$1)</f>
        <v>196</v>
      </c>
      <c r="Z500" s="14">
        <v>1</v>
      </c>
      <c r="AA500" s="1" t="str">
        <f t="shared" ca="1" si="35"/>
        <v>VENCIDO</v>
      </c>
      <c r="AB500" s="1" t="str">
        <f t="shared" si="36"/>
        <v>C-14</v>
      </c>
      <c r="AC500" s="2" t="str">
        <f t="shared" si="39"/>
        <v xml:space="preserve"> ROSEMERE </v>
      </c>
      <c r="AD500" s="2">
        <f t="shared" si="37"/>
        <v>5</v>
      </c>
      <c r="AE500" s="2">
        <f t="shared" ca="1" si="38"/>
        <v>-272.29060034722352</v>
      </c>
      <c r="AF500" s="15"/>
    </row>
    <row r="501" spans="1:32" hidden="1">
      <c r="A501" s="1">
        <v>8631827</v>
      </c>
      <c r="B501" s="1" t="s">
        <v>653</v>
      </c>
      <c r="C501" t="s">
        <v>3581</v>
      </c>
      <c r="E501" s="2">
        <v>1362001400010</v>
      </c>
      <c r="F501" s="1" t="s">
        <v>936</v>
      </c>
      <c r="G501" s="1" t="s">
        <v>53</v>
      </c>
      <c r="H501" s="1" t="s">
        <v>268</v>
      </c>
      <c r="I501" s="1" t="s">
        <v>269</v>
      </c>
      <c r="J501" s="1" t="s">
        <v>90</v>
      </c>
      <c r="K501" t="s">
        <v>937</v>
      </c>
      <c r="M501" s="1" t="s">
        <v>58</v>
      </c>
      <c r="N501" s="1">
        <v>0</v>
      </c>
      <c r="O501" s="1" t="s">
        <v>105</v>
      </c>
      <c r="P501" s="186">
        <v>44713.385601851849</v>
      </c>
      <c r="R501" s="1">
        <v>3</v>
      </c>
      <c r="T501" s="1" t="s">
        <v>646</v>
      </c>
      <c r="U501" s="186">
        <v>44714.385601851849</v>
      </c>
      <c r="V501" s="1" t="s">
        <v>41</v>
      </c>
      <c r="W501" s="1" t="s">
        <v>49</v>
      </c>
      <c r="X501" s="13" t="str">
        <f>IF(RIGHT(H501,2)&lt;&gt;"00",H501,"")</f>
        <v/>
      </c>
      <c r="Y501" s="2">
        <f ca="1">NETWORKDAYS(P501,$Y$1)</f>
        <v>196</v>
      </c>
      <c r="Z501" s="14">
        <v>1</v>
      </c>
      <c r="AA501" s="1" t="str">
        <f t="shared" ca="1" si="35"/>
        <v>VENCIDO</v>
      </c>
      <c r="AB501" s="1" t="str">
        <f t="shared" si="36"/>
        <v>C-14</v>
      </c>
      <c r="AC501" s="2" t="str">
        <f t="shared" si="39"/>
        <v xml:space="preserve"> RINALDO </v>
      </c>
      <c r="AD501" s="2">
        <f t="shared" si="37"/>
        <v>5</v>
      </c>
      <c r="AE501" s="2">
        <f t="shared" ca="1" si="38"/>
        <v>-272.29066979166964</v>
      </c>
      <c r="AF501" s="15"/>
    </row>
    <row r="502" spans="1:32" hidden="1">
      <c r="A502" s="1">
        <v>8631826</v>
      </c>
      <c r="B502" s="1" t="s">
        <v>653</v>
      </c>
      <c r="C502" t="s">
        <v>3581</v>
      </c>
      <c r="E502" s="2">
        <v>1361001400010</v>
      </c>
      <c r="F502" s="1" t="s">
        <v>936</v>
      </c>
      <c r="G502" s="1" t="s">
        <v>53</v>
      </c>
      <c r="H502" s="1" t="s">
        <v>309</v>
      </c>
      <c r="I502" s="1" t="s">
        <v>310</v>
      </c>
      <c r="J502" s="1" t="s">
        <v>46</v>
      </c>
      <c r="K502" t="s">
        <v>937</v>
      </c>
      <c r="M502" s="1" t="s">
        <v>58</v>
      </c>
      <c r="N502" s="1">
        <v>0</v>
      </c>
      <c r="O502" s="1" t="s">
        <v>105</v>
      </c>
      <c r="P502" s="186">
        <v>44713.385601851849</v>
      </c>
      <c r="R502" s="1">
        <v>3</v>
      </c>
      <c r="T502" s="1" t="s">
        <v>646</v>
      </c>
      <c r="U502" s="186">
        <v>44714.385601851849</v>
      </c>
      <c r="V502" s="1" t="s">
        <v>41</v>
      </c>
      <c r="W502" s="1" t="s">
        <v>49</v>
      </c>
      <c r="X502" s="13" t="str">
        <f>IF(RIGHT(H502,2)&lt;&gt;"00",H502,"")</f>
        <v/>
      </c>
      <c r="Y502" s="2">
        <f ca="1">NETWORKDAYS(P502,$Y$1)</f>
        <v>196</v>
      </c>
      <c r="Z502" s="14">
        <v>1</v>
      </c>
      <c r="AA502" s="1" t="str">
        <f t="shared" ca="1" si="35"/>
        <v>VENCIDO</v>
      </c>
      <c r="AB502" s="1" t="str">
        <f t="shared" si="36"/>
        <v>C-14</v>
      </c>
      <c r="AC502" s="2" t="str">
        <f t="shared" si="39"/>
        <v xml:space="preserve"> CLEITON </v>
      </c>
      <c r="AD502" s="2">
        <f t="shared" si="37"/>
        <v>5</v>
      </c>
      <c r="AE502" s="2">
        <f t="shared" ca="1" si="38"/>
        <v>-272.29066979166964</v>
      </c>
      <c r="AF502" s="15"/>
    </row>
    <row r="503" spans="1:32" hidden="1">
      <c r="A503" s="1">
        <v>8631825</v>
      </c>
      <c r="B503" s="1" t="s">
        <v>653</v>
      </c>
      <c r="C503" t="s">
        <v>3581</v>
      </c>
      <c r="E503" s="2">
        <v>1360001400010</v>
      </c>
      <c r="F503" s="1" t="s">
        <v>936</v>
      </c>
      <c r="G503" s="1" t="s">
        <v>53</v>
      </c>
      <c r="H503" s="1" t="s">
        <v>303</v>
      </c>
      <c r="I503" s="1" t="s">
        <v>304</v>
      </c>
      <c r="J503" s="1" t="s">
        <v>261</v>
      </c>
      <c r="K503" t="s">
        <v>937</v>
      </c>
      <c r="M503" s="1" t="s">
        <v>58</v>
      </c>
      <c r="N503" s="1">
        <v>0</v>
      </c>
      <c r="O503" s="1" t="s">
        <v>105</v>
      </c>
      <c r="P503" s="186">
        <v>44713.385601851849</v>
      </c>
      <c r="R503" s="1">
        <v>3</v>
      </c>
      <c r="T503" s="1" t="s">
        <v>646</v>
      </c>
      <c r="U503" s="186">
        <v>44714.385601851849</v>
      </c>
      <c r="V503" s="1" t="s">
        <v>41</v>
      </c>
      <c r="W503" s="1" t="s">
        <v>49</v>
      </c>
      <c r="X503" s="13" t="str">
        <f>IF(RIGHT(H503,2)&lt;&gt;"00",H503,"")</f>
        <v/>
      </c>
      <c r="Y503" s="2">
        <f ca="1">NETWORKDAYS(P503,$Y$1)</f>
        <v>196</v>
      </c>
      <c r="Z503" s="14">
        <v>1</v>
      </c>
      <c r="AA503" s="1" t="str">
        <f t="shared" ca="1" si="35"/>
        <v>VENCIDO</v>
      </c>
      <c r="AB503" s="1" t="str">
        <f t="shared" si="36"/>
        <v>C-14</v>
      </c>
      <c r="AC503" s="2" t="str">
        <f t="shared" si="39"/>
        <v xml:space="preserve"> CRISTINA </v>
      </c>
      <c r="AD503" s="2">
        <f t="shared" si="37"/>
        <v>5</v>
      </c>
      <c r="AE503" s="2">
        <f t="shared" ca="1" si="38"/>
        <v>-272.29066979166964</v>
      </c>
      <c r="AF503" s="15"/>
    </row>
    <row r="504" spans="1:32" hidden="1">
      <c r="A504" s="1">
        <v>8631824</v>
      </c>
      <c r="B504" s="1" t="s">
        <v>653</v>
      </c>
      <c r="C504" t="s">
        <v>3581</v>
      </c>
      <c r="E504" s="2">
        <v>1359001400010</v>
      </c>
      <c r="F504" s="1" t="s">
        <v>936</v>
      </c>
      <c r="G504" s="1" t="s">
        <v>53</v>
      </c>
      <c r="H504" s="1" t="s">
        <v>270</v>
      </c>
      <c r="I504" s="1" t="s">
        <v>271</v>
      </c>
      <c r="J504" s="1" t="s">
        <v>141</v>
      </c>
      <c r="K504" t="s">
        <v>937</v>
      </c>
      <c r="M504" s="1" t="s">
        <v>58</v>
      </c>
      <c r="N504" s="1">
        <v>0</v>
      </c>
      <c r="O504" s="1" t="s">
        <v>105</v>
      </c>
      <c r="P504" s="186">
        <v>44713.385601851849</v>
      </c>
      <c r="R504" s="1">
        <v>3</v>
      </c>
      <c r="T504" s="1" t="s">
        <v>646</v>
      </c>
      <c r="U504" s="186">
        <v>44714.385601851849</v>
      </c>
      <c r="V504" s="1" t="s">
        <v>41</v>
      </c>
      <c r="W504" s="1" t="s">
        <v>49</v>
      </c>
      <c r="X504" s="13" t="str">
        <f>IF(RIGHT(H504,2)&lt;&gt;"00",H504,"")</f>
        <v/>
      </c>
      <c r="Y504" s="2">
        <f ca="1">NETWORKDAYS(P504,$Y$1)</f>
        <v>196</v>
      </c>
      <c r="Z504" s="14">
        <v>1</v>
      </c>
      <c r="AA504" s="1" t="str">
        <f t="shared" ca="1" si="35"/>
        <v>VENCIDO</v>
      </c>
      <c r="AB504" s="1" t="str">
        <f t="shared" si="36"/>
        <v>C-14</v>
      </c>
      <c r="AC504" s="2" t="str">
        <f t="shared" si="39"/>
        <v xml:space="preserve"> CRISTINA </v>
      </c>
      <c r="AD504" s="2">
        <f t="shared" si="37"/>
        <v>5</v>
      </c>
      <c r="AE504" s="2">
        <f t="shared" ca="1" si="38"/>
        <v>-272.29066979166964</v>
      </c>
      <c r="AF504" s="15"/>
    </row>
    <row r="505" spans="1:32" hidden="1">
      <c r="A505" s="1">
        <v>8631649</v>
      </c>
      <c r="B505" s="1" t="s">
        <v>653</v>
      </c>
      <c r="C505" t="s">
        <v>3581</v>
      </c>
      <c r="E505" s="2">
        <v>1153001400010</v>
      </c>
      <c r="F505" s="1" t="s">
        <v>936</v>
      </c>
      <c r="G505" s="1" t="s">
        <v>53</v>
      </c>
      <c r="H505" s="1" t="s">
        <v>1031</v>
      </c>
      <c r="I505" s="1" t="s">
        <v>1032</v>
      </c>
      <c r="J505" s="1" t="s">
        <v>79</v>
      </c>
      <c r="K505" t="s">
        <v>937</v>
      </c>
      <c r="M505" s="1" t="s">
        <v>58</v>
      </c>
      <c r="N505" s="1">
        <v>0</v>
      </c>
      <c r="O505" s="1" t="s">
        <v>105</v>
      </c>
      <c r="P505" s="186">
        <v>44713.385370370372</v>
      </c>
      <c r="R505" s="1">
        <v>3</v>
      </c>
      <c r="T505" s="1" t="s">
        <v>646</v>
      </c>
      <c r="U505" s="186">
        <v>44714.385381944441</v>
      </c>
      <c r="V505" s="1" t="s">
        <v>41</v>
      </c>
      <c r="W505" s="1" t="s">
        <v>49</v>
      </c>
      <c r="X505" s="13" t="str">
        <f>IF(RIGHT(H505,2)&lt;&gt;"00",H505,"")</f>
        <v/>
      </c>
      <c r="Y505" s="2">
        <f ca="1">NETWORKDAYS(P505,$Y$1)</f>
        <v>196</v>
      </c>
      <c r="Z505" s="14">
        <v>1</v>
      </c>
      <c r="AA505" s="1" t="str">
        <f t="shared" ca="1" si="35"/>
        <v>VENCIDO</v>
      </c>
      <c r="AB505" s="1" t="str">
        <f t="shared" si="36"/>
        <v>C-14</v>
      </c>
      <c r="AC505" s="2" t="str">
        <f t="shared" si="39"/>
        <v xml:space="preserve"> ROSEMERE </v>
      </c>
      <c r="AD505" s="2">
        <f t="shared" si="37"/>
        <v>5</v>
      </c>
      <c r="AE505" s="2">
        <f t="shared" ca="1" si="38"/>
        <v>-272.29088969907752</v>
      </c>
      <c r="AF505" s="15"/>
    </row>
    <row r="506" spans="1:32" hidden="1">
      <c r="A506" s="1">
        <v>8631615</v>
      </c>
      <c r="B506" s="1" t="s">
        <v>653</v>
      </c>
      <c r="C506" t="s">
        <v>3581</v>
      </c>
      <c r="E506" s="2">
        <v>1120001400010</v>
      </c>
      <c r="F506" s="1" t="s">
        <v>936</v>
      </c>
      <c r="G506" s="1" t="s">
        <v>53</v>
      </c>
      <c r="H506" s="1" t="s">
        <v>181</v>
      </c>
      <c r="I506" s="1" t="s">
        <v>182</v>
      </c>
      <c r="J506" s="1" t="s">
        <v>164</v>
      </c>
      <c r="K506" t="s">
        <v>937</v>
      </c>
      <c r="M506" s="1" t="s">
        <v>58</v>
      </c>
      <c r="N506" s="1">
        <v>0</v>
      </c>
      <c r="O506" s="1" t="s">
        <v>105</v>
      </c>
      <c r="P506" s="186">
        <v>44713.385335648149</v>
      </c>
      <c r="R506" s="1">
        <v>3</v>
      </c>
      <c r="T506" s="1" t="s">
        <v>646</v>
      </c>
      <c r="U506" s="186">
        <v>44714.385335648149</v>
      </c>
      <c r="V506" s="1" t="s">
        <v>41</v>
      </c>
      <c r="W506" s="1" t="s">
        <v>49</v>
      </c>
      <c r="X506" s="13" t="str">
        <f>IF(RIGHT(H506,2)&lt;&gt;"00",H506,"")</f>
        <v/>
      </c>
      <c r="Y506" s="2">
        <f ca="1">NETWORKDAYS(P506,$Y$1)</f>
        <v>196</v>
      </c>
      <c r="Z506" s="14">
        <v>1</v>
      </c>
      <c r="AA506" s="1" t="str">
        <f t="shared" ca="1" si="35"/>
        <v>VENCIDO</v>
      </c>
      <c r="AB506" s="1" t="str">
        <f t="shared" si="36"/>
        <v>C-14</v>
      </c>
      <c r="AC506" s="2" t="str">
        <f t="shared" si="39"/>
        <v xml:space="preserve"> ROSEMERE </v>
      </c>
      <c r="AD506" s="2">
        <f t="shared" si="37"/>
        <v>5</v>
      </c>
      <c r="AE506" s="2">
        <f t="shared" ca="1" si="38"/>
        <v>-272.29093599537009</v>
      </c>
      <c r="AF506" s="15"/>
    </row>
    <row r="507" spans="1:32" hidden="1">
      <c r="A507" s="1">
        <v>8631560</v>
      </c>
      <c r="B507" s="1" t="s">
        <v>653</v>
      </c>
      <c r="C507" t="s">
        <v>3581</v>
      </c>
      <c r="E507" s="2">
        <v>1059001400010</v>
      </c>
      <c r="F507" s="1" t="s">
        <v>936</v>
      </c>
      <c r="G507" s="1" t="s">
        <v>53</v>
      </c>
      <c r="H507" s="1" t="s">
        <v>88</v>
      </c>
      <c r="I507" s="1" t="s">
        <v>89</v>
      </c>
      <c r="J507" s="1" t="s">
        <v>90</v>
      </c>
      <c r="K507" t="s">
        <v>937</v>
      </c>
      <c r="M507" s="1" t="s">
        <v>58</v>
      </c>
      <c r="N507" s="1">
        <v>0</v>
      </c>
      <c r="O507" s="1" t="s">
        <v>105</v>
      </c>
      <c r="P507" s="186">
        <v>44713.385277777779</v>
      </c>
      <c r="R507" s="1">
        <v>3</v>
      </c>
      <c r="T507" s="1" t="s">
        <v>646</v>
      </c>
      <c r="U507" s="186">
        <v>44714.385277777779</v>
      </c>
      <c r="V507" s="1" t="s">
        <v>41</v>
      </c>
      <c r="W507" s="1" t="s">
        <v>49</v>
      </c>
      <c r="X507" s="13" t="str">
        <f>IF(RIGHT(H507,2)&lt;&gt;"00",H507,"")</f>
        <v/>
      </c>
      <c r="Y507" s="2">
        <f ca="1">NETWORKDAYS(P507,$Y$1)</f>
        <v>196</v>
      </c>
      <c r="Z507" s="14">
        <v>1</v>
      </c>
      <c r="AA507" s="1" t="str">
        <f t="shared" ca="1" si="35"/>
        <v>VENCIDO</v>
      </c>
      <c r="AB507" s="1" t="str">
        <f t="shared" si="36"/>
        <v>C-14</v>
      </c>
      <c r="AC507" s="2" t="str">
        <f t="shared" si="39"/>
        <v xml:space="preserve"> RINALDO </v>
      </c>
      <c r="AD507" s="2">
        <f t="shared" si="37"/>
        <v>5</v>
      </c>
      <c r="AE507" s="2">
        <f t="shared" ca="1" si="38"/>
        <v>-272.29099386573944</v>
      </c>
      <c r="AF507" s="15"/>
    </row>
    <row r="508" spans="1:32" hidden="1">
      <c r="A508" s="1">
        <v>8631548</v>
      </c>
      <c r="B508" s="1" t="s">
        <v>653</v>
      </c>
      <c r="C508" t="s">
        <v>3581</v>
      </c>
      <c r="E508" s="2">
        <v>1049001400010</v>
      </c>
      <c r="F508" s="1" t="s">
        <v>936</v>
      </c>
      <c r="G508" s="1" t="s">
        <v>53</v>
      </c>
      <c r="H508" s="1" t="s">
        <v>169</v>
      </c>
      <c r="I508" s="1" t="s">
        <v>170</v>
      </c>
      <c r="J508" s="1" t="s">
        <v>164</v>
      </c>
      <c r="K508" t="s">
        <v>937</v>
      </c>
      <c r="M508" s="1" t="s">
        <v>58</v>
      </c>
      <c r="N508" s="1">
        <v>0</v>
      </c>
      <c r="O508" s="1" t="s">
        <v>105</v>
      </c>
      <c r="P508" s="186">
        <v>44713.385254629633</v>
      </c>
      <c r="R508" s="1">
        <v>3</v>
      </c>
      <c r="T508" s="1" t="s">
        <v>646</v>
      </c>
      <c r="U508" s="186">
        <v>44714.385254629633</v>
      </c>
      <c r="V508" s="1" t="s">
        <v>41</v>
      </c>
      <c r="W508" s="1" t="s">
        <v>49</v>
      </c>
      <c r="X508" s="13" t="str">
        <f>IF(RIGHT(H508,2)&lt;&gt;"00",H508,"")</f>
        <v/>
      </c>
      <c r="Y508" s="2">
        <f ca="1">NETWORKDAYS(P508,$Y$1)</f>
        <v>196</v>
      </c>
      <c r="Z508" s="14">
        <v>1</v>
      </c>
      <c r="AA508" s="1" t="str">
        <f t="shared" ca="1" si="35"/>
        <v>VENCIDO</v>
      </c>
      <c r="AB508" s="1" t="str">
        <f t="shared" si="36"/>
        <v>C-14</v>
      </c>
      <c r="AC508" s="2" t="str">
        <f t="shared" si="39"/>
        <v xml:space="preserve"> ROSEMERE </v>
      </c>
      <c r="AD508" s="2">
        <f t="shared" si="37"/>
        <v>5</v>
      </c>
      <c r="AE508" s="2">
        <f t="shared" ca="1" si="38"/>
        <v>-272.29101701388572</v>
      </c>
      <c r="AF508" s="15"/>
    </row>
    <row r="509" spans="1:32" hidden="1">
      <c r="A509" s="1">
        <v>8631442</v>
      </c>
      <c r="B509" s="1" t="s">
        <v>653</v>
      </c>
      <c r="C509" t="s">
        <v>3581</v>
      </c>
      <c r="E509" s="2">
        <v>934001400010</v>
      </c>
      <c r="F509" s="1" t="s">
        <v>936</v>
      </c>
      <c r="G509" s="1" t="s">
        <v>53</v>
      </c>
      <c r="H509" s="1" t="s">
        <v>428</v>
      </c>
      <c r="I509" s="1" t="s">
        <v>429</v>
      </c>
      <c r="J509" s="1" t="s">
        <v>46</v>
      </c>
      <c r="K509" t="s">
        <v>937</v>
      </c>
      <c r="M509" s="1" t="s">
        <v>58</v>
      </c>
      <c r="N509" s="1">
        <v>0</v>
      </c>
      <c r="O509" s="1" t="s">
        <v>105</v>
      </c>
      <c r="P509" s="186">
        <v>44713.385138888887</v>
      </c>
      <c r="R509" s="1">
        <v>3</v>
      </c>
      <c r="T509" s="1" t="s">
        <v>646</v>
      </c>
      <c r="U509" s="186">
        <v>44714.385150462964</v>
      </c>
      <c r="V509" s="1" t="s">
        <v>41</v>
      </c>
      <c r="W509" s="1" t="s">
        <v>49</v>
      </c>
      <c r="X509" s="13" t="str">
        <f>IF(RIGHT(H509,2)&lt;&gt;"00",H509,"")</f>
        <v/>
      </c>
      <c r="Y509" s="2">
        <f ca="1">NETWORKDAYS(P509,$Y$1)</f>
        <v>196</v>
      </c>
      <c r="Z509" s="14">
        <v>1</v>
      </c>
      <c r="AA509" s="1" t="str">
        <f t="shared" ca="1" si="35"/>
        <v>VENCIDO</v>
      </c>
      <c r="AB509" s="1" t="str">
        <f t="shared" si="36"/>
        <v>C-14</v>
      </c>
      <c r="AC509" s="2" t="str">
        <f t="shared" si="39"/>
        <v xml:space="preserve"> CLEITON </v>
      </c>
      <c r="AD509" s="2">
        <f t="shared" si="37"/>
        <v>5</v>
      </c>
      <c r="AE509" s="2">
        <f t="shared" ca="1" si="38"/>
        <v>-272.29112118055491</v>
      </c>
      <c r="AF509" s="15"/>
    </row>
    <row r="510" spans="1:32" hidden="1">
      <c r="A510" s="1">
        <v>8631407</v>
      </c>
      <c r="B510" s="1" t="s">
        <v>653</v>
      </c>
      <c r="C510" t="s">
        <v>3581</v>
      </c>
      <c r="E510" s="2">
        <v>899001400010</v>
      </c>
      <c r="F510" s="1" t="s">
        <v>936</v>
      </c>
      <c r="G510" s="1" t="s">
        <v>53</v>
      </c>
      <c r="H510" s="1" t="s">
        <v>175</v>
      </c>
      <c r="I510" s="1" t="s">
        <v>176</v>
      </c>
      <c r="J510" s="1" t="s">
        <v>90</v>
      </c>
      <c r="K510" t="s">
        <v>937</v>
      </c>
      <c r="M510" s="1" t="s">
        <v>58</v>
      </c>
      <c r="N510" s="1">
        <v>0</v>
      </c>
      <c r="O510" s="1" t="s">
        <v>105</v>
      </c>
      <c r="P510" s="186">
        <v>44713.385104166664</v>
      </c>
      <c r="R510" s="1">
        <v>3</v>
      </c>
      <c r="T510" s="1" t="s">
        <v>646</v>
      </c>
      <c r="U510" s="186">
        <v>44714.385104166664</v>
      </c>
      <c r="V510" s="1" t="s">
        <v>41</v>
      </c>
      <c r="W510" s="1" t="s">
        <v>49</v>
      </c>
      <c r="X510" s="13" t="str">
        <f>IF(RIGHT(H510,2)&lt;&gt;"00",H510,"")</f>
        <v/>
      </c>
      <c r="Y510" s="2">
        <f ca="1">NETWORKDAYS(P510,$Y$1)</f>
        <v>196</v>
      </c>
      <c r="Z510" s="14">
        <v>1</v>
      </c>
      <c r="AA510" s="1" t="str">
        <f t="shared" ca="1" si="35"/>
        <v>VENCIDO</v>
      </c>
      <c r="AB510" s="1" t="str">
        <f t="shared" si="36"/>
        <v>C-14</v>
      </c>
      <c r="AC510" s="2" t="str">
        <f t="shared" si="39"/>
        <v xml:space="preserve"> RINALDO </v>
      </c>
      <c r="AD510" s="2">
        <f t="shared" si="37"/>
        <v>5</v>
      </c>
      <c r="AE510" s="2">
        <f t="shared" ca="1" si="38"/>
        <v>-272.29116747685475</v>
      </c>
      <c r="AF510" s="15"/>
    </row>
    <row r="511" spans="1:32" hidden="1">
      <c r="A511" s="1">
        <v>8631233</v>
      </c>
      <c r="B511" s="1" t="s">
        <v>653</v>
      </c>
      <c r="C511" t="s">
        <v>3581</v>
      </c>
      <c r="E511" s="2">
        <v>721001400010</v>
      </c>
      <c r="F511" s="1" t="s">
        <v>936</v>
      </c>
      <c r="G511" s="1" t="s">
        <v>53</v>
      </c>
      <c r="H511" s="1" t="s">
        <v>422</v>
      </c>
      <c r="I511" s="1" t="s">
        <v>423</v>
      </c>
      <c r="J511" s="1" t="s">
        <v>79</v>
      </c>
      <c r="K511" t="s">
        <v>937</v>
      </c>
      <c r="M511" s="1" t="s">
        <v>58</v>
      </c>
      <c r="N511" s="1">
        <v>0</v>
      </c>
      <c r="O511" s="1" t="s">
        <v>105</v>
      </c>
      <c r="P511" s="186">
        <v>44713.384895833333</v>
      </c>
      <c r="R511" s="1">
        <v>3</v>
      </c>
      <c r="T511" s="1" t="s">
        <v>646</v>
      </c>
      <c r="U511" s="186">
        <v>44714.384895833333</v>
      </c>
      <c r="V511" s="1" t="s">
        <v>41</v>
      </c>
      <c r="W511" s="1" t="s">
        <v>49</v>
      </c>
      <c r="X511" s="13" t="str">
        <f>IF(RIGHT(H511,2)&lt;&gt;"00",H511,"")</f>
        <v/>
      </c>
      <c r="Y511" s="2">
        <f ca="1">NETWORKDAYS(P511,$Y$1)</f>
        <v>196</v>
      </c>
      <c r="Z511" s="14">
        <v>1</v>
      </c>
      <c r="AA511" s="1" t="str">
        <f t="shared" ca="1" si="35"/>
        <v>VENCIDO</v>
      </c>
      <c r="AB511" s="1" t="str">
        <f t="shared" si="36"/>
        <v>C-14</v>
      </c>
      <c r="AC511" s="2" t="str">
        <f t="shared" si="39"/>
        <v xml:space="preserve"> ROSEMERE </v>
      </c>
      <c r="AD511" s="2">
        <f t="shared" si="37"/>
        <v>5</v>
      </c>
      <c r="AE511" s="2">
        <f t="shared" ca="1" si="38"/>
        <v>-272.29137581018585</v>
      </c>
      <c r="AF511" s="15"/>
    </row>
    <row r="512" spans="1:32" hidden="1">
      <c r="A512" s="1">
        <v>8631225</v>
      </c>
      <c r="B512" s="1" t="s">
        <v>653</v>
      </c>
      <c r="C512" t="s">
        <v>3581</v>
      </c>
      <c r="E512" s="2">
        <v>714001400010</v>
      </c>
      <c r="F512" s="1" t="s">
        <v>936</v>
      </c>
      <c r="G512" s="1" t="s">
        <v>53</v>
      </c>
      <c r="H512" s="1" t="s">
        <v>377</v>
      </c>
      <c r="I512" s="1" t="s">
        <v>378</v>
      </c>
      <c r="J512" s="1" t="s">
        <v>46</v>
      </c>
      <c r="K512" t="s">
        <v>937</v>
      </c>
      <c r="M512" s="1" t="s">
        <v>58</v>
      </c>
      <c r="N512" s="1">
        <v>0</v>
      </c>
      <c r="O512" s="1" t="s">
        <v>105</v>
      </c>
      <c r="P512" s="186">
        <v>44713.384895833333</v>
      </c>
      <c r="R512" s="1">
        <v>3</v>
      </c>
      <c r="T512" s="1" t="s">
        <v>646</v>
      </c>
      <c r="U512" s="186">
        <v>44714.384895833333</v>
      </c>
      <c r="V512" s="1" t="s">
        <v>41</v>
      </c>
      <c r="W512" s="1" t="s">
        <v>49</v>
      </c>
      <c r="X512" s="13" t="str">
        <f>IF(RIGHT(H512,2)&lt;&gt;"00",H512,"")</f>
        <v/>
      </c>
      <c r="Y512" s="2">
        <f ca="1">NETWORKDAYS(P512,$Y$1)</f>
        <v>196</v>
      </c>
      <c r="Z512" s="14">
        <v>1</v>
      </c>
      <c r="AA512" s="1" t="str">
        <f t="shared" ca="1" si="35"/>
        <v>VENCIDO</v>
      </c>
      <c r="AB512" s="1" t="str">
        <f t="shared" si="36"/>
        <v>C-14</v>
      </c>
      <c r="AC512" s="2" t="str">
        <f t="shared" si="39"/>
        <v xml:space="preserve"> CLEITON </v>
      </c>
      <c r="AD512" s="2">
        <f t="shared" si="37"/>
        <v>5</v>
      </c>
      <c r="AE512" s="2">
        <f t="shared" ca="1" si="38"/>
        <v>-272.29137581018585</v>
      </c>
      <c r="AF512" s="15"/>
    </row>
    <row r="513" spans="1:32" hidden="1">
      <c r="A513" s="1">
        <v>8631223</v>
      </c>
      <c r="B513" s="1" t="s">
        <v>653</v>
      </c>
      <c r="C513" t="s">
        <v>3581</v>
      </c>
      <c r="E513" s="2">
        <v>711001400010</v>
      </c>
      <c r="F513" s="1" t="s">
        <v>936</v>
      </c>
      <c r="G513" s="1" t="s">
        <v>53</v>
      </c>
      <c r="H513" s="1" t="s">
        <v>77</v>
      </c>
      <c r="I513" s="1" t="s">
        <v>78</v>
      </c>
      <c r="J513" s="1" t="s">
        <v>79</v>
      </c>
      <c r="K513" t="s">
        <v>937</v>
      </c>
      <c r="M513" s="1" t="s">
        <v>58</v>
      </c>
      <c r="N513" s="1">
        <v>0</v>
      </c>
      <c r="O513" s="1" t="s">
        <v>105</v>
      </c>
      <c r="P513" s="186">
        <v>44713.384884259256</v>
      </c>
      <c r="R513" s="1">
        <v>3</v>
      </c>
      <c r="T513" s="1" t="s">
        <v>646</v>
      </c>
      <c r="U513" s="186">
        <v>44714.384895833333</v>
      </c>
      <c r="V513" s="1" t="s">
        <v>41</v>
      </c>
      <c r="W513" s="1" t="s">
        <v>49</v>
      </c>
      <c r="X513" s="13" t="str">
        <f>IF(RIGHT(H513,2)&lt;&gt;"00",H513,"")</f>
        <v/>
      </c>
      <c r="Y513" s="2">
        <f ca="1">NETWORKDAYS(P513,$Y$1)</f>
        <v>196</v>
      </c>
      <c r="Z513" s="14">
        <v>1</v>
      </c>
      <c r="AA513" s="1" t="str">
        <f t="shared" ca="1" si="35"/>
        <v>VENCIDO</v>
      </c>
      <c r="AB513" s="1" t="str">
        <f t="shared" si="36"/>
        <v>C-14</v>
      </c>
      <c r="AC513" s="2" t="str">
        <f t="shared" si="39"/>
        <v xml:space="preserve"> ROSEMERE </v>
      </c>
      <c r="AD513" s="2">
        <f t="shared" si="37"/>
        <v>5</v>
      </c>
      <c r="AE513" s="2">
        <f t="shared" ca="1" si="38"/>
        <v>-272.29137581018585</v>
      </c>
      <c r="AF513" s="15"/>
    </row>
    <row r="514" spans="1:32" hidden="1">
      <c r="A514" s="1">
        <v>8631222</v>
      </c>
      <c r="B514" s="1" t="s">
        <v>653</v>
      </c>
      <c r="C514" t="s">
        <v>3581</v>
      </c>
      <c r="E514" s="2">
        <v>710001400010</v>
      </c>
      <c r="F514" s="1" t="s">
        <v>936</v>
      </c>
      <c r="G514" s="1" t="s">
        <v>53</v>
      </c>
      <c r="H514" s="1" t="s">
        <v>390</v>
      </c>
      <c r="I514" s="1" t="s">
        <v>391</v>
      </c>
      <c r="J514" s="1" t="s">
        <v>56</v>
      </c>
      <c r="K514" t="s">
        <v>937</v>
      </c>
      <c r="M514" s="1" t="s">
        <v>58</v>
      </c>
      <c r="N514" s="1">
        <v>0</v>
      </c>
      <c r="O514" s="1" t="s">
        <v>105</v>
      </c>
      <c r="P514" s="186">
        <v>44713.384884259256</v>
      </c>
      <c r="R514" s="1">
        <v>3</v>
      </c>
      <c r="T514" s="1" t="s">
        <v>646</v>
      </c>
      <c r="U514" s="186">
        <v>44714.384884259256</v>
      </c>
      <c r="V514" s="1" t="s">
        <v>41</v>
      </c>
      <c r="W514" s="1" t="s">
        <v>49</v>
      </c>
      <c r="X514" s="13" t="str">
        <f>IF(RIGHT(H514,2)&lt;&gt;"00",H514,"")</f>
        <v/>
      </c>
      <c r="Y514" s="2">
        <f ca="1">NETWORKDAYS(P514,$Y$1)</f>
        <v>196</v>
      </c>
      <c r="Z514" s="14">
        <v>1</v>
      </c>
      <c r="AA514" s="1" t="str">
        <f t="shared" ref="AA514:AA577" ca="1" si="40">IF(AE514=0,"HOJE",IF(AE514&gt;0,"A VENCER",IF(AE514&lt;0,"VENCIDO")))</f>
        <v>VENCIDO</v>
      </c>
      <c r="AB514" s="1" t="str">
        <f t="shared" ref="AB514:AB577" si="41">IF(F514="GRPE-000001","C-14",IF(F514="GRPE-000002","C-14",IF(F514="GRPE-000003","C-14",IF(F514="GRPE-000004","SL-On",IF(F514="GRPE-000038","C-14",IF(F514="GRPE-900022","Dosa",IF(F514="GRPE-000029","Dosa",IF(F514="ATOS-000222","Dose","TAAe+"))))))))</f>
        <v>C-14</v>
      </c>
      <c r="AC514" s="2" t="str">
        <f t="shared" si="39"/>
        <v xml:space="preserve"> CRISTINA </v>
      </c>
      <c r="AD514" s="2">
        <f t="shared" ref="AD514:AD577" si="42">IF(F514="GRPE-000001",5,IF(F514="GRPE-000002",5,IF(F514="GRPE-000003",15,IF(F514="GRPE-000004",1,IF(F514="GRPE-000038",5,IF(F514="GRPE-900022",5,IF(F514="GRPE-000029",5,IF(F514="ATOS-000222",5,8))))))))</f>
        <v>5</v>
      </c>
      <c r="AE514" s="2">
        <f t="shared" ref="AE514:AE577" ca="1" si="43">IF(U514=$AE$1,"",U514-$AE$1)</f>
        <v>-272.29138738426263</v>
      </c>
      <c r="AF514" s="15"/>
    </row>
    <row r="515" spans="1:32" hidden="1">
      <c r="A515" s="1">
        <v>8631065</v>
      </c>
      <c r="B515" s="1" t="s">
        <v>653</v>
      </c>
      <c r="C515" t="s">
        <v>3581</v>
      </c>
      <c r="E515" s="2">
        <v>550001400010</v>
      </c>
      <c r="F515" s="1" t="s">
        <v>936</v>
      </c>
      <c r="G515" s="1" t="s">
        <v>53</v>
      </c>
      <c r="H515" s="1" t="s">
        <v>337</v>
      </c>
      <c r="I515" s="1" t="s">
        <v>338</v>
      </c>
      <c r="J515" s="1" t="s">
        <v>164</v>
      </c>
      <c r="K515" t="s">
        <v>937</v>
      </c>
      <c r="M515" s="1" t="s">
        <v>58</v>
      </c>
      <c r="N515" s="1">
        <v>0</v>
      </c>
      <c r="O515" s="1" t="s">
        <v>105</v>
      </c>
      <c r="P515" s="186">
        <v>44713.384710648148</v>
      </c>
      <c r="R515" s="1">
        <v>3</v>
      </c>
      <c r="T515" s="1" t="s">
        <v>646</v>
      </c>
      <c r="U515" s="186">
        <v>44714.384722222225</v>
      </c>
      <c r="V515" s="1" t="s">
        <v>41</v>
      </c>
      <c r="W515" s="1" t="s">
        <v>49</v>
      </c>
      <c r="X515" s="13" t="str">
        <f>IF(RIGHT(H515,2)&lt;&gt;"00",H515,"")</f>
        <v/>
      </c>
      <c r="Y515" s="2">
        <f ca="1">NETWORKDAYS(P515,$Y$1)</f>
        <v>196</v>
      </c>
      <c r="Z515" s="14">
        <v>1</v>
      </c>
      <c r="AA515" s="1" t="str">
        <f t="shared" ca="1" si="40"/>
        <v>VENCIDO</v>
      </c>
      <c r="AB515" s="1" t="str">
        <f t="shared" si="41"/>
        <v>C-14</v>
      </c>
      <c r="AC515" s="2" t="str">
        <f t="shared" ref="AC515:AC578" si="44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 xml:space="preserve"> ROSEMERE </v>
      </c>
      <c r="AD515" s="2">
        <f t="shared" si="42"/>
        <v>5</v>
      </c>
      <c r="AE515" s="2">
        <f t="shared" ca="1" si="43"/>
        <v>-272.29154942129389</v>
      </c>
      <c r="AF515" s="15"/>
    </row>
    <row r="516" spans="1:32" hidden="1">
      <c r="A516" s="1">
        <v>8631054</v>
      </c>
      <c r="B516" s="1" t="s">
        <v>653</v>
      </c>
      <c r="C516" t="s">
        <v>3581</v>
      </c>
      <c r="E516" s="2">
        <v>537001400010</v>
      </c>
      <c r="F516" s="1" t="s">
        <v>936</v>
      </c>
      <c r="G516" s="1" t="s">
        <v>53</v>
      </c>
      <c r="H516" s="1" t="s">
        <v>442</v>
      </c>
      <c r="I516" s="1" t="s">
        <v>443</v>
      </c>
      <c r="J516" s="1" t="s">
        <v>79</v>
      </c>
      <c r="K516" t="s">
        <v>937</v>
      </c>
      <c r="M516" s="1" t="s">
        <v>58</v>
      </c>
      <c r="N516" s="1">
        <v>0</v>
      </c>
      <c r="O516" s="1" t="s">
        <v>105</v>
      </c>
      <c r="P516" s="186">
        <v>44713.384699074071</v>
      </c>
      <c r="R516" s="1">
        <v>3</v>
      </c>
      <c r="T516" s="1" t="s">
        <v>646</v>
      </c>
      <c r="U516" s="186">
        <v>44714.384699074071</v>
      </c>
      <c r="V516" s="1" t="s">
        <v>41</v>
      </c>
      <c r="W516" s="1" t="s">
        <v>49</v>
      </c>
      <c r="X516" s="13" t="str">
        <f>IF(RIGHT(H516,2)&lt;&gt;"00",H516,"")</f>
        <v/>
      </c>
      <c r="Y516" s="2">
        <f ca="1">NETWORKDAYS(P516,$Y$1)</f>
        <v>196</v>
      </c>
      <c r="Z516" s="14">
        <v>1</v>
      </c>
      <c r="AA516" s="1" t="str">
        <f t="shared" ca="1" si="40"/>
        <v>VENCIDO</v>
      </c>
      <c r="AB516" s="1" t="str">
        <f t="shared" si="41"/>
        <v>C-14</v>
      </c>
      <c r="AC516" s="2" t="str">
        <f t="shared" si="44"/>
        <v xml:space="preserve"> ROSEMERE </v>
      </c>
      <c r="AD516" s="2">
        <f t="shared" si="42"/>
        <v>5</v>
      </c>
      <c r="AE516" s="2">
        <f t="shared" ca="1" si="43"/>
        <v>-272.29157256944745</v>
      </c>
      <c r="AF516" s="15"/>
    </row>
    <row r="517" spans="1:32" hidden="1">
      <c r="A517" s="1">
        <v>8630966</v>
      </c>
      <c r="B517" s="1" t="s">
        <v>653</v>
      </c>
      <c r="C517" t="s">
        <v>3581</v>
      </c>
      <c r="E517" s="2">
        <v>446001400010</v>
      </c>
      <c r="F517" s="1" t="s">
        <v>936</v>
      </c>
      <c r="G517" s="1" t="s">
        <v>53</v>
      </c>
      <c r="H517" s="1" t="s">
        <v>432</v>
      </c>
      <c r="I517" s="1" t="s">
        <v>433</v>
      </c>
      <c r="J517" s="1" t="s">
        <v>110</v>
      </c>
      <c r="K517" t="s">
        <v>937</v>
      </c>
      <c r="M517" s="1" t="s">
        <v>58</v>
      </c>
      <c r="N517" s="1">
        <v>0</v>
      </c>
      <c r="O517" s="1" t="s">
        <v>105</v>
      </c>
      <c r="P517" s="186">
        <v>44713.384594907409</v>
      </c>
      <c r="R517" s="1">
        <v>3</v>
      </c>
      <c r="T517" s="1" t="s">
        <v>646</v>
      </c>
      <c r="U517" s="186">
        <v>44714.384594907409</v>
      </c>
      <c r="V517" s="1" t="s">
        <v>41</v>
      </c>
      <c r="W517" s="1" t="s">
        <v>49</v>
      </c>
      <c r="X517" s="13" t="str">
        <f>IF(RIGHT(H517,2)&lt;&gt;"00",H517,"")</f>
        <v/>
      </c>
      <c r="Y517" s="2">
        <f ca="1">NETWORKDAYS(P517,$Y$1)</f>
        <v>196</v>
      </c>
      <c r="Z517" s="14">
        <v>1</v>
      </c>
      <c r="AA517" s="1" t="str">
        <f t="shared" ca="1" si="40"/>
        <v>VENCIDO</v>
      </c>
      <c r="AB517" s="1" t="str">
        <f t="shared" si="41"/>
        <v>C-14</v>
      </c>
      <c r="AC517" s="2" t="str">
        <f t="shared" si="44"/>
        <v xml:space="preserve"> CRISTINA </v>
      </c>
      <c r="AD517" s="2">
        <f t="shared" si="42"/>
        <v>5</v>
      </c>
      <c r="AE517" s="2">
        <f t="shared" ca="1" si="43"/>
        <v>-272.29167673610937</v>
      </c>
      <c r="AF517" s="15"/>
    </row>
    <row r="518" spans="1:32" hidden="1">
      <c r="A518" s="1">
        <v>8630840</v>
      </c>
      <c r="B518" s="1" t="s">
        <v>653</v>
      </c>
      <c r="C518" t="s">
        <v>3581</v>
      </c>
      <c r="E518" s="2">
        <v>325091400010</v>
      </c>
      <c r="F518" s="1" t="s">
        <v>936</v>
      </c>
      <c r="G518" s="1" t="s">
        <v>53</v>
      </c>
      <c r="H518" s="1" t="s">
        <v>821</v>
      </c>
      <c r="I518" s="1" t="s">
        <v>822</v>
      </c>
      <c r="J518" s="1" t="s">
        <v>46</v>
      </c>
      <c r="K518" t="s">
        <v>937</v>
      </c>
      <c r="M518" s="1" t="s">
        <v>58</v>
      </c>
      <c r="N518" s="1">
        <v>0</v>
      </c>
      <c r="O518" s="1" t="s">
        <v>105</v>
      </c>
      <c r="P518" s="186">
        <v>44713.384456018517</v>
      </c>
      <c r="R518" s="1">
        <v>3</v>
      </c>
      <c r="T518" s="1" t="s">
        <v>646</v>
      </c>
      <c r="U518" s="186">
        <v>44714.384456018517</v>
      </c>
      <c r="V518" s="1" t="s">
        <v>41</v>
      </c>
      <c r="W518" s="1" t="s">
        <v>49</v>
      </c>
      <c r="X518" s="13" t="str">
        <f>IF(RIGHT(H518,2)&lt;&gt;"00",H518,"")</f>
        <v>0325.09</v>
      </c>
      <c r="Y518" s="2">
        <f ca="1">NETWORKDAYS(P518,$Y$1)</f>
        <v>196</v>
      </c>
      <c r="Z518" s="14">
        <v>1</v>
      </c>
      <c r="AA518" s="1" t="str">
        <f t="shared" ca="1" si="40"/>
        <v>VENCIDO</v>
      </c>
      <c r="AB518" s="1" t="str">
        <f t="shared" si="41"/>
        <v>C-14</v>
      </c>
      <c r="AC518" s="2" t="str">
        <f t="shared" si="44"/>
        <v xml:space="preserve"> CLEITON </v>
      </c>
      <c r="AD518" s="2">
        <f t="shared" si="42"/>
        <v>5</v>
      </c>
      <c r="AE518" s="2">
        <f t="shared" ca="1" si="43"/>
        <v>-272.29181562500162</v>
      </c>
      <c r="AF518" s="15"/>
    </row>
    <row r="519" spans="1:32" hidden="1">
      <c r="A519" s="1">
        <v>8630740</v>
      </c>
      <c r="B519" s="1" t="s">
        <v>653</v>
      </c>
      <c r="C519" t="s">
        <v>3581</v>
      </c>
      <c r="E519" s="2">
        <v>233001400010</v>
      </c>
      <c r="F519" s="1" t="s">
        <v>936</v>
      </c>
      <c r="G519" s="1" t="s">
        <v>53</v>
      </c>
      <c r="H519" s="1" t="s">
        <v>424</v>
      </c>
      <c r="I519" s="1" t="s">
        <v>425</v>
      </c>
      <c r="J519" s="1" t="s">
        <v>261</v>
      </c>
      <c r="K519" t="s">
        <v>937</v>
      </c>
      <c r="M519" s="1" t="s">
        <v>58</v>
      </c>
      <c r="N519" s="1">
        <v>0</v>
      </c>
      <c r="O519" s="1" t="s">
        <v>105</v>
      </c>
      <c r="P519" s="186">
        <v>44713.384340277778</v>
      </c>
      <c r="R519" s="1">
        <v>3</v>
      </c>
      <c r="T519" s="1" t="s">
        <v>646</v>
      </c>
      <c r="U519" s="186">
        <v>44714.384340277778</v>
      </c>
      <c r="V519" s="1" t="s">
        <v>41</v>
      </c>
      <c r="W519" s="1" t="s">
        <v>49</v>
      </c>
      <c r="X519" s="13" t="str">
        <f>IF(RIGHT(H519,2)&lt;&gt;"00",H519,"")</f>
        <v/>
      </c>
      <c r="Y519" s="2">
        <f ca="1">NETWORKDAYS(P519,$Y$1)</f>
        <v>196</v>
      </c>
      <c r="Z519" s="14">
        <v>1</v>
      </c>
      <c r="AA519" s="1" t="str">
        <f t="shared" ca="1" si="40"/>
        <v>VENCIDO</v>
      </c>
      <c r="AB519" s="1" t="str">
        <f t="shared" si="41"/>
        <v>C-14</v>
      </c>
      <c r="AC519" s="2" t="str">
        <f t="shared" si="44"/>
        <v xml:space="preserve"> CRISTINA </v>
      </c>
      <c r="AD519" s="2">
        <f t="shared" si="42"/>
        <v>5</v>
      </c>
      <c r="AE519" s="2">
        <f t="shared" ca="1" si="43"/>
        <v>-272.29193136574031</v>
      </c>
      <c r="AF519" s="15"/>
    </row>
    <row r="520" spans="1:32" hidden="1">
      <c r="A520" s="1">
        <v>8630705</v>
      </c>
      <c r="B520" s="1" t="s">
        <v>653</v>
      </c>
      <c r="C520" t="s">
        <v>3581</v>
      </c>
      <c r="E520" s="2">
        <v>196001400010</v>
      </c>
      <c r="F520" s="1" t="s">
        <v>936</v>
      </c>
      <c r="G520" s="1" t="s">
        <v>53</v>
      </c>
      <c r="H520" s="1" t="s">
        <v>1060</v>
      </c>
      <c r="I520" s="1" t="s">
        <v>1061</v>
      </c>
      <c r="J520" s="1" t="s">
        <v>79</v>
      </c>
      <c r="K520" t="s">
        <v>937</v>
      </c>
      <c r="M520" s="1" t="s">
        <v>58</v>
      </c>
      <c r="N520" s="1">
        <v>0</v>
      </c>
      <c r="O520" s="1" t="s">
        <v>105</v>
      </c>
      <c r="P520" s="186">
        <v>44713.384305555555</v>
      </c>
      <c r="R520" s="1">
        <v>3</v>
      </c>
      <c r="T520" s="1" t="s">
        <v>646</v>
      </c>
      <c r="U520" s="186">
        <v>44714.384305555555</v>
      </c>
      <c r="V520" s="1" t="s">
        <v>41</v>
      </c>
      <c r="W520" s="1" t="s">
        <v>49</v>
      </c>
      <c r="X520" s="13" t="str">
        <f>IF(RIGHT(H520,2)&lt;&gt;"00",H520,"")</f>
        <v/>
      </c>
      <c r="Y520" s="2">
        <f ca="1">NETWORKDAYS(P520,$Y$1)</f>
        <v>196</v>
      </c>
      <c r="Z520" s="14">
        <v>1</v>
      </c>
      <c r="AA520" s="1" t="str">
        <f t="shared" ca="1" si="40"/>
        <v>VENCIDO</v>
      </c>
      <c r="AB520" s="1" t="str">
        <f t="shared" si="41"/>
        <v>C-14</v>
      </c>
      <c r="AC520" s="2" t="str">
        <f t="shared" si="44"/>
        <v xml:space="preserve"> ROSEMERE </v>
      </c>
      <c r="AD520" s="2">
        <f t="shared" si="42"/>
        <v>5</v>
      </c>
      <c r="AE520" s="2">
        <f t="shared" ca="1" si="43"/>
        <v>-272.29196608796337</v>
      </c>
      <c r="AF520" s="15"/>
    </row>
    <row r="521" spans="1:32" hidden="1">
      <c r="A521" s="1">
        <v>8630554</v>
      </c>
      <c r="B521" s="1" t="s">
        <v>653</v>
      </c>
      <c r="C521" t="s">
        <v>3581</v>
      </c>
      <c r="E521" s="2">
        <v>7651400010</v>
      </c>
      <c r="F521" s="1" t="s">
        <v>936</v>
      </c>
      <c r="G521" s="1" t="s">
        <v>53</v>
      </c>
      <c r="H521" s="1" t="s">
        <v>827</v>
      </c>
      <c r="I521" s="1" t="s">
        <v>828</v>
      </c>
      <c r="J521" s="1" t="s">
        <v>46</v>
      </c>
      <c r="K521" t="s">
        <v>937</v>
      </c>
      <c r="M521" s="1" t="s">
        <v>58</v>
      </c>
      <c r="N521" s="1">
        <v>0</v>
      </c>
      <c r="O521" s="1" t="s">
        <v>105</v>
      </c>
      <c r="P521" s="186">
        <v>44713.384120370371</v>
      </c>
      <c r="R521" s="1">
        <v>3</v>
      </c>
      <c r="T521" s="1" t="s">
        <v>646</v>
      </c>
      <c r="U521" s="186">
        <v>44714.384120370371</v>
      </c>
      <c r="V521" s="1" t="s">
        <v>41</v>
      </c>
      <c r="W521" s="1" t="s">
        <v>49</v>
      </c>
      <c r="X521" s="13" t="str">
        <f>IF(RIGHT(H521,2)&lt;&gt;"00",H521,"")</f>
        <v>0007.65</v>
      </c>
      <c r="Y521" s="2">
        <f ca="1">NETWORKDAYS(P521,$Y$1)</f>
        <v>196</v>
      </c>
      <c r="Z521" s="14">
        <v>1</v>
      </c>
      <c r="AA521" s="1" t="str">
        <f t="shared" ca="1" si="40"/>
        <v>VENCIDO</v>
      </c>
      <c r="AB521" s="1" t="str">
        <f t="shared" si="41"/>
        <v>C-14</v>
      </c>
      <c r="AC521" s="2" t="str">
        <f t="shared" si="44"/>
        <v xml:space="preserve"> CLEITON </v>
      </c>
      <c r="AD521" s="2">
        <f t="shared" si="42"/>
        <v>5</v>
      </c>
      <c r="AE521" s="2">
        <f t="shared" ca="1" si="43"/>
        <v>-272.29215127314819</v>
      </c>
      <c r="AF521" s="15"/>
    </row>
    <row r="522" spans="1:32" hidden="1">
      <c r="A522" s="1">
        <v>8630381</v>
      </c>
      <c r="B522" s="1" t="s">
        <v>101</v>
      </c>
      <c r="C522" t="s">
        <v>643</v>
      </c>
      <c r="D522" s="2">
        <v>220094909</v>
      </c>
      <c r="E522" s="2">
        <v>1362001400030</v>
      </c>
      <c r="F522" s="1" t="s">
        <v>647</v>
      </c>
      <c r="G522" s="1" t="s">
        <v>53</v>
      </c>
      <c r="H522" s="1" t="s">
        <v>268</v>
      </c>
      <c r="I522" s="1" t="s">
        <v>269</v>
      </c>
      <c r="J522" s="1" t="s">
        <v>90</v>
      </c>
      <c r="K522" t="s">
        <v>650</v>
      </c>
      <c r="M522" s="1" t="s">
        <v>58</v>
      </c>
      <c r="N522" s="1">
        <v>0</v>
      </c>
      <c r="O522" s="1" t="s">
        <v>105</v>
      </c>
      <c r="P522" s="186">
        <v>44713.377708333333</v>
      </c>
      <c r="R522" s="1">
        <v>4</v>
      </c>
      <c r="T522" s="1" t="s">
        <v>646</v>
      </c>
      <c r="U522" s="186">
        <v>44714.377708333333</v>
      </c>
      <c r="V522" s="1" t="s">
        <v>41</v>
      </c>
      <c r="W522" s="1" t="s">
        <v>49</v>
      </c>
      <c r="X522" s="13" t="str">
        <f>IF(RIGHT(H522,2)&lt;&gt;"00",H522,"")</f>
        <v/>
      </c>
      <c r="Y522" s="2">
        <f ca="1">NETWORKDAYS(P522,$Y$1)</f>
        <v>196</v>
      </c>
      <c r="Z522" s="14">
        <v>1</v>
      </c>
      <c r="AA522" s="1" t="str">
        <f t="shared" ca="1" si="40"/>
        <v>VENCIDO</v>
      </c>
      <c r="AB522" s="1" t="str">
        <f t="shared" si="41"/>
        <v>C-14</v>
      </c>
      <c r="AC522" s="2" t="str">
        <f t="shared" si="44"/>
        <v xml:space="preserve"> RINALDO </v>
      </c>
      <c r="AD522" s="2">
        <f t="shared" si="42"/>
        <v>15</v>
      </c>
      <c r="AE522" s="2">
        <f t="shared" ca="1" si="43"/>
        <v>-272.29856331018527</v>
      </c>
      <c r="AF522" s="15"/>
    </row>
    <row r="523" spans="1:32" hidden="1">
      <c r="A523" s="1">
        <v>8630306</v>
      </c>
      <c r="B523" s="1" t="s">
        <v>101</v>
      </c>
      <c r="C523" t="s">
        <v>643</v>
      </c>
      <c r="D523" s="2">
        <v>220094756</v>
      </c>
      <c r="E523" s="2">
        <v>1049001400030</v>
      </c>
      <c r="F523" s="1" t="s">
        <v>647</v>
      </c>
      <c r="G523" s="1" t="s">
        <v>53</v>
      </c>
      <c r="H523" s="1" t="s">
        <v>169</v>
      </c>
      <c r="I523" s="1" t="s">
        <v>170</v>
      </c>
      <c r="J523" s="1" t="s">
        <v>164</v>
      </c>
      <c r="K523" t="s">
        <v>650</v>
      </c>
      <c r="M523" s="1" t="s">
        <v>58</v>
      </c>
      <c r="N523" s="1">
        <v>0</v>
      </c>
      <c r="O523" s="1" t="s">
        <v>105</v>
      </c>
      <c r="P523" s="186">
        <v>44713.373645833337</v>
      </c>
      <c r="R523" s="1">
        <v>4</v>
      </c>
      <c r="T523" s="1" t="s">
        <v>646</v>
      </c>
      <c r="U523" s="186">
        <v>44714.373657407406</v>
      </c>
      <c r="V523" s="1" t="s">
        <v>41</v>
      </c>
      <c r="W523" s="1" t="s">
        <v>49</v>
      </c>
      <c r="X523" s="13" t="str">
        <f>IF(RIGHT(H523,2)&lt;&gt;"00",H523,"")</f>
        <v/>
      </c>
      <c r="Y523" s="2">
        <f ca="1">NETWORKDAYS(P523,$Y$1)</f>
        <v>196</v>
      </c>
      <c r="Z523" s="14">
        <v>1</v>
      </c>
      <c r="AA523" s="1" t="str">
        <f t="shared" ca="1" si="40"/>
        <v>VENCIDO</v>
      </c>
      <c r="AB523" s="1" t="str">
        <f t="shared" si="41"/>
        <v>C-14</v>
      </c>
      <c r="AC523" s="2" t="str">
        <f t="shared" si="44"/>
        <v xml:space="preserve"> ROSEMERE </v>
      </c>
      <c r="AD523" s="2">
        <f t="shared" si="42"/>
        <v>15</v>
      </c>
      <c r="AE523" s="2">
        <f t="shared" ca="1" si="43"/>
        <v>-272.30261423611228</v>
      </c>
      <c r="AF523" s="15"/>
    </row>
    <row r="524" spans="1:32" hidden="1">
      <c r="A524" s="1">
        <v>8629148</v>
      </c>
      <c r="B524" s="1" t="s">
        <v>101</v>
      </c>
      <c r="C524" t="s">
        <v>643</v>
      </c>
      <c r="D524" s="2">
        <v>220092695</v>
      </c>
      <c r="E524" s="2">
        <v>1362001400010</v>
      </c>
      <c r="F524" s="1" t="s">
        <v>936</v>
      </c>
      <c r="G524" s="1" t="s">
        <v>53</v>
      </c>
      <c r="H524" s="1" t="s">
        <v>268</v>
      </c>
      <c r="I524" s="1" t="s">
        <v>269</v>
      </c>
      <c r="J524" s="1" t="s">
        <v>90</v>
      </c>
      <c r="K524" t="s">
        <v>937</v>
      </c>
      <c r="M524" s="1" t="s">
        <v>58</v>
      </c>
      <c r="N524" s="1">
        <v>0</v>
      </c>
      <c r="O524" s="1" t="s">
        <v>105</v>
      </c>
      <c r="P524" s="186">
        <v>44713.314988425926</v>
      </c>
      <c r="R524" s="1">
        <v>3</v>
      </c>
      <c r="T524" s="1" t="s">
        <v>646</v>
      </c>
      <c r="U524" s="186">
        <v>44714.314988425926</v>
      </c>
      <c r="V524" s="1" t="s">
        <v>41</v>
      </c>
      <c r="W524" s="1" t="s">
        <v>49</v>
      </c>
      <c r="X524" s="13" t="str">
        <f>IF(RIGHT(H524,2)&lt;&gt;"00",H524,"")</f>
        <v/>
      </c>
      <c r="Y524" s="2">
        <f ca="1">NETWORKDAYS(P524,$Y$1)</f>
        <v>196</v>
      </c>
      <c r="Z524" s="14">
        <v>1</v>
      </c>
      <c r="AA524" s="1" t="str">
        <f t="shared" ca="1" si="40"/>
        <v>VENCIDO</v>
      </c>
      <c r="AB524" s="1" t="str">
        <f t="shared" si="41"/>
        <v>C-14</v>
      </c>
      <c r="AC524" s="2" t="str">
        <f t="shared" si="44"/>
        <v xml:space="preserve"> RINALDO </v>
      </c>
      <c r="AD524" s="2">
        <f t="shared" si="42"/>
        <v>5</v>
      </c>
      <c r="AE524" s="2">
        <f t="shared" ca="1" si="43"/>
        <v>-272.36128321759315</v>
      </c>
      <c r="AF524" s="15"/>
    </row>
    <row r="525" spans="1:32" hidden="1">
      <c r="A525" s="1">
        <v>8629041</v>
      </c>
      <c r="B525" s="1" t="s">
        <v>101</v>
      </c>
      <c r="C525" t="s">
        <v>643</v>
      </c>
      <c r="D525" s="2">
        <v>220092544</v>
      </c>
      <c r="E525" s="2">
        <v>1049001400010</v>
      </c>
      <c r="F525" s="1" t="s">
        <v>936</v>
      </c>
      <c r="G525" s="1" t="s">
        <v>53</v>
      </c>
      <c r="H525" s="1" t="s">
        <v>169</v>
      </c>
      <c r="I525" s="1" t="s">
        <v>170</v>
      </c>
      <c r="J525" s="1" t="s">
        <v>164</v>
      </c>
      <c r="K525" t="s">
        <v>937</v>
      </c>
      <c r="M525" s="1" t="s">
        <v>58</v>
      </c>
      <c r="N525" s="1">
        <v>0</v>
      </c>
      <c r="O525" s="1" t="s">
        <v>105</v>
      </c>
      <c r="P525" s="186">
        <v>44713.308981481481</v>
      </c>
      <c r="R525" s="1">
        <v>3</v>
      </c>
      <c r="T525" s="1" t="s">
        <v>646</v>
      </c>
      <c r="U525" s="186">
        <v>44714.308981481481</v>
      </c>
      <c r="V525" s="1" t="s">
        <v>41</v>
      </c>
      <c r="W525" s="1" t="s">
        <v>49</v>
      </c>
      <c r="X525" s="13" t="str">
        <f>IF(RIGHT(H525,2)&lt;&gt;"00",H525,"")</f>
        <v/>
      </c>
      <c r="Y525" s="2">
        <f ca="1">NETWORKDAYS(P525,$Y$1)</f>
        <v>196</v>
      </c>
      <c r="Z525" s="14">
        <v>1</v>
      </c>
      <c r="AA525" s="1" t="str">
        <f t="shared" ca="1" si="40"/>
        <v>VENCIDO</v>
      </c>
      <c r="AB525" s="1" t="str">
        <f t="shared" si="41"/>
        <v>C-14</v>
      </c>
      <c r="AC525" s="2" t="str">
        <f t="shared" si="44"/>
        <v xml:space="preserve"> ROSEMERE </v>
      </c>
      <c r="AD525" s="2">
        <f t="shared" si="42"/>
        <v>5</v>
      </c>
      <c r="AE525" s="2">
        <f t="shared" ca="1" si="43"/>
        <v>-272.36729016203753</v>
      </c>
      <c r="AF525" s="15"/>
    </row>
    <row r="526" spans="1:32" hidden="1">
      <c r="A526" s="1">
        <v>8672365</v>
      </c>
      <c r="B526" s="1" t="s">
        <v>62</v>
      </c>
      <c r="C526" t="s">
        <v>1074</v>
      </c>
      <c r="E526" s="2">
        <v>2156000203000</v>
      </c>
      <c r="F526" s="1" t="s">
        <v>454</v>
      </c>
      <c r="G526" s="1" t="s">
        <v>53</v>
      </c>
      <c r="H526" s="1" t="s">
        <v>278</v>
      </c>
      <c r="I526" s="1" t="s">
        <v>279</v>
      </c>
      <c r="J526" s="1" t="s">
        <v>211</v>
      </c>
      <c r="K526" t="s">
        <v>457</v>
      </c>
      <c r="M526" s="1" t="s">
        <v>58</v>
      </c>
      <c r="N526" s="1">
        <v>0</v>
      </c>
      <c r="O526" s="1" t="s">
        <v>105</v>
      </c>
      <c r="P526" s="186">
        <v>44722.462719907409</v>
      </c>
      <c r="R526" s="1">
        <v>1</v>
      </c>
      <c r="T526" s="1" t="s">
        <v>157</v>
      </c>
      <c r="U526" s="186">
        <v>44757.75</v>
      </c>
      <c r="V526" s="1" t="s">
        <v>41</v>
      </c>
      <c r="W526" s="1" t="s">
        <v>49</v>
      </c>
      <c r="X526" s="13" t="str">
        <f>IF(RIGHT(H526,2)&lt;&gt;"00",H526,"")</f>
        <v/>
      </c>
      <c r="Y526" s="2">
        <f ca="1">NETWORKDAYS(P526,$Y$1)</f>
        <v>189</v>
      </c>
      <c r="Z526" s="14">
        <v>1</v>
      </c>
      <c r="AA526" s="1" t="str">
        <f t="shared" ca="1" si="40"/>
        <v>VENCIDO</v>
      </c>
      <c r="AB526" s="1" t="str">
        <f t="shared" si="41"/>
        <v>C-14</v>
      </c>
      <c r="AC526" s="2" t="str">
        <f t="shared" si="44"/>
        <v xml:space="preserve"> RINALDO </v>
      </c>
      <c r="AD526" s="2">
        <f t="shared" si="42"/>
        <v>5</v>
      </c>
      <c r="AE526" s="2">
        <f t="shared" ca="1" si="43"/>
        <v>-228.9262716435187</v>
      </c>
      <c r="AF526" s="15"/>
    </row>
    <row r="527" spans="1:32" hidden="1">
      <c r="A527" s="1">
        <v>8711475</v>
      </c>
      <c r="B527" s="1" t="s">
        <v>62</v>
      </c>
      <c r="C527" t="s">
        <v>1075</v>
      </c>
      <c r="E527" s="2">
        <v>7420000203000</v>
      </c>
      <c r="F527" s="1" t="s">
        <v>454</v>
      </c>
      <c r="G527" s="1" t="s">
        <v>30</v>
      </c>
      <c r="H527" s="1" t="s">
        <v>1076</v>
      </c>
      <c r="I527" s="1" t="s">
        <v>1077</v>
      </c>
      <c r="J527" s="1" t="s">
        <v>46</v>
      </c>
      <c r="K527" t="s">
        <v>457</v>
      </c>
      <c r="M527" s="1" t="s">
        <v>58</v>
      </c>
      <c r="N527" s="1">
        <v>0</v>
      </c>
      <c r="O527" s="1" t="s">
        <v>36</v>
      </c>
      <c r="P527" s="186">
        <v>44740.585196759261</v>
      </c>
      <c r="R527" s="1" t="s">
        <v>38</v>
      </c>
      <c r="T527" s="1" t="s">
        <v>157</v>
      </c>
      <c r="U527" s="186">
        <v>44810.75</v>
      </c>
      <c r="V527" s="1" t="s">
        <v>41</v>
      </c>
      <c r="W527" s="1" t="s">
        <v>49</v>
      </c>
      <c r="X527" s="13" t="str">
        <f>IF(RIGHT(H527,2)&lt;&gt;"00",H527,"")</f>
        <v/>
      </c>
      <c r="Y527" s="2">
        <f ca="1">NETWORKDAYS(P527,$Y$1)</f>
        <v>177</v>
      </c>
      <c r="Z527" s="14">
        <v>1</v>
      </c>
      <c r="AA527" s="1" t="str">
        <f t="shared" ca="1" si="40"/>
        <v>VENCIDO</v>
      </c>
      <c r="AB527" s="1" t="str">
        <f t="shared" si="41"/>
        <v>C-14</v>
      </c>
      <c r="AC527" s="2" t="str">
        <f t="shared" si="44"/>
        <v xml:space="preserve"> CLEITON </v>
      </c>
      <c r="AD527" s="2">
        <f t="shared" si="42"/>
        <v>5</v>
      </c>
      <c r="AE527" s="2">
        <f t="shared" ca="1" si="43"/>
        <v>-175.9262716435187</v>
      </c>
      <c r="AF527" s="15"/>
    </row>
    <row r="528" spans="1:32" hidden="1">
      <c r="A528" s="1">
        <v>8733876</v>
      </c>
      <c r="B528" s="1" t="s">
        <v>62</v>
      </c>
      <c r="C528" t="s">
        <v>1078</v>
      </c>
      <c r="E528" s="2">
        <v>1028000203000</v>
      </c>
      <c r="F528" s="1" t="s">
        <v>454</v>
      </c>
      <c r="G528" s="1" t="s">
        <v>53</v>
      </c>
      <c r="H528" s="1" t="s">
        <v>1079</v>
      </c>
      <c r="I528" s="1" t="s">
        <v>1080</v>
      </c>
      <c r="J528" s="1" t="s">
        <v>85</v>
      </c>
      <c r="K528" t="s">
        <v>457</v>
      </c>
      <c r="M528" s="1" t="s">
        <v>58</v>
      </c>
      <c r="N528" s="1">
        <v>0</v>
      </c>
      <c r="O528" s="1" t="s">
        <v>36</v>
      </c>
      <c r="P528" s="186">
        <v>44749.648923611108</v>
      </c>
      <c r="R528" s="1">
        <v>1</v>
      </c>
      <c r="T528" s="1" t="s">
        <v>157</v>
      </c>
      <c r="U528" s="186">
        <v>44783.75</v>
      </c>
      <c r="V528" s="1" t="s">
        <v>41</v>
      </c>
      <c r="W528" s="1" t="s">
        <v>49</v>
      </c>
      <c r="X528" s="13" t="str">
        <f>IF(RIGHT(H528,2)&lt;&gt;"00",H528,"")</f>
        <v/>
      </c>
      <c r="Y528" s="2">
        <f ca="1">NETWORKDAYS(P528,$Y$1)</f>
        <v>170</v>
      </c>
      <c r="Z528" s="14">
        <v>1</v>
      </c>
      <c r="AA528" s="1" t="str">
        <f t="shared" ca="1" si="40"/>
        <v>VENCIDO</v>
      </c>
      <c r="AB528" s="1" t="str">
        <f t="shared" si="41"/>
        <v>C-14</v>
      </c>
      <c r="AC528" s="2" t="str">
        <f t="shared" si="44"/>
        <v xml:space="preserve"> RINALDO </v>
      </c>
      <c r="AD528" s="2">
        <f t="shared" si="42"/>
        <v>5</v>
      </c>
      <c r="AE528" s="2">
        <f t="shared" ca="1" si="43"/>
        <v>-202.9262716435187</v>
      </c>
      <c r="AF528" s="15"/>
    </row>
    <row r="529" spans="1:32" hidden="1">
      <c r="A529" s="1">
        <v>8736689</v>
      </c>
      <c r="B529" s="1" t="s">
        <v>62</v>
      </c>
      <c r="C529" t="s">
        <v>1083</v>
      </c>
      <c r="E529" s="2">
        <v>600000203000</v>
      </c>
      <c r="F529" s="1" t="s">
        <v>454</v>
      </c>
      <c r="G529" s="1" t="s">
        <v>53</v>
      </c>
      <c r="H529" s="1" t="s">
        <v>1084</v>
      </c>
      <c r="I529" s="1" t="s">
        <v>1085</v>
      </c>
      <c r="J529" s="1" t="s">
        <v>90</v>
      </c>
      <c r="K529" t="s">
        <v>457</v>
      </c>
      <c r="M529" s="1" t="s">
        <v>58</v>
      </c>
      <c r="N529" s="1">
        <v>0</v>
      </c>
      <c r="O529" s="1" t="s">
        <v>36</v>
      </c>
      <c r="P529" s="186">
        <v>44750.694236111114</v>
      </c>
      <c r="R529" s="1">
        <v>1</v>
      </c>
      <c r="T529" s="1" t="s">
        <v>157</v>
      </c>
      <c r="U529" s="186">
        <v>44784.75</v>
      </c>
      <c r="V529" s="1" t="s">
        <v>41</v>
      </c>
      <c r="W529" s="1" t="s">
        <v>49</v>
      </c>
      <c r="X529" s="13" t="str">
        <f>IF(RIGHT(H529,2)&lt;&gt;"00",H529,"")</f>
        <v/>
      </c>
      <c r="Y529" s="2">
        <f ca="1">NETWORKDAYS(P529,$Y$1)</f>
        <v>169</v>
      </c>
      <c r="Z529" s="14">
        <v>1</v>
      </c>
      <c r="AA529" s="1" t="str">
        <f t="shared" ca="1" si="40"/>
        <v>VENCIDO</v>
      </c>
      <c r="AB529" s="1" t="str">
        <f t="shared" si="41"/>
        <v>C-14</v>
      </c>
      <c r="AC529" s="2" t="str">
        <f t="shared" si="44"/>
        <v xml:space="preserve"> RINALDO </v>
      </c>
      <c r="AD529" s="2">
        <f t="shared" si="42"/>
        <v>5</v>
      </c>
      <c r="AE529" s="2">
        <f t="shared" ca="1" si="43"/>
        <v>-201.9262716435187</v>
      </c>
      <c r="AF529" s="15"/>
    </row>
    <row r="530" spans="1:32" hidden="1">
      <c r="A530" s="1">
        <v>8741273</v>
      </c>
      <c r="B530" s="1" t="s">
        <v>62</v>
      </c>
      <c r="C530" t="s">
        <v>1086</v>
      </c>
      <c r="E530" s="2">
        <v>3924000202021</v>
      </c>
      <c r="F530" s="1" t="s">
        <v>103</v>
      </c>
      <c r="G530" s="1" t="s">
        <v>53</v>
      </c>
      <c r="H530" s="1" t="s">
        <v>153</v>
      </c>
      <c r="I530" s="1" t="s">
        <v>154</v>
      </c>
      <c r="J530" s="1" t="s">
        <v>56</v>
      </c>
      <c r="K530" t="s">
        <v>104</v>
      </c>
      <c r="M530" s="1" t="s">
        <v>58</v>
      </c>
      <c r="N530" s="1">
        <v>0</v>
      </c>
      <c r="O530" s="1" t="s">
        <v>36</v>
      </c>
      <c r="P530" s="186">
        <v>44753.486932870372</v>
      </c>
      <c r="R530" s="1" t="s">
        <v>38</v>
      </c>
      <c r="T530" s="1" t="s">
        <v>74</v>
      </c>
      <c r="U530" s="186">
        <v>44792.75</v>
      </c>
      <c r="V530" s="1" t="s">
        <v>41</v>
      </c>
      <c r="W530" s="1" t="s">
        <v>49</v>
      </c>
      <c r="X530" s="13" t="str">
        <f>IF(RIGHT(H530,2)&lt;&gt;"00",H530,"")</f>
        <v/>
      </c>
      <c r="Y530" s="2">
        <f ca="1">NETWORKDAYS(P530,$Y$1)</f>
        <v>168</v>
      </c>
      <c r="Z530" s="14">
        <v>1</v>
      </c>
      <c r="AA530" s="1" t="str">
        <f t="shared" ca="1" si="40"/>
        <v>VENCIDO</v>
      </c>
      <c r="AB530" s="1" t="str">
        <f t="shared" si="41"/>
        <v>Dosa</v>
      </c>
      <c r="AC530" s="2" t="str">
        <f t="shared" si="44"/>
        <v xml:space="preserve"> CRISTINA </v>
      </c>
      <c r="AD530" s="2">
        <f t="shared" si="42"/>
        <v>5</v>
      </c>
      <c r="AE530" s="2">
        <f t="shared" ca="1" si="43"/>
        <v>-193.9262716435187</v>
      </c>
      <c r="AF530" s="15"/>
    </row>
    <row r="531" spans="1:32" hidden="1">
      <c r="A531" s="1">
        <v>8741199</v>
      </c>
      <c r="B531" s="1" t="s">
        <v>1087</v>
      </c>
      <c r="C531" t="s">
        <v>1088</v>
      </c>
      <c r="E531" s="2">
        <v>244000206021</v>
      </c>
      <c r="F531" s="1" t="s">
        <v>103</v>
      </c>
      <c r="G531" s="1" t="s">
        <v>53</v>
      </c>
      <c r="H531" s="1" t="s">
        <v>313</v>
      </c>
      <c r="I531" s="1" t="s">
        <v>314</v>
      </c>
      <c r="J531" s="1" t="s">
        <v>56</v>
      </c>
      <c r="K531" t="s">
        <v>104</v>
      </c>
      <c r="M531" s="1" t="s">
        <v>58</v>
      </c>
      <c r="N531" s="1">
        <v>0</v>
      </c>
      <c r="O531" s="1" t="s">
        <v>105</v>
      </c>
      <c r="P531" s="186">
        <v>44753.480740740742</v>
      </c>
      <c r="R531" s="1" t="s">
        <v>38</v>
      </c>
      <c r="T531" s="1" t="s">
        <v>74</v>
      </c>
      <c r="U531" s="186">
        <v>44792.75</v>
      </c>
      <c r="V531" s="1" t="s">
        <v>41</v>
      </c>
      <c r="W531" s="1" t="s">
        <v>49</v>
      </c>
      <c r="X531" s="13" t="str">
        <f>IF(RIGHT(H531,2)&lt;&gt;"00",H531,"")</f>
        <v/>
      </c>
      <c r="Y531" s="2">
        <f ca="1">NETWORKDAYS(P531,$Y$1)</f>
        <v>168</v>
      </c>
      <c r="Z531" s="14">
        <v>1</v>
      </c>
      <c r="AA531" s="1" t="str">
        <f t="shared" ca="1" si="40"/>
        <v>VENCIDO</v>
      </c>
      <c r="AB531" s="1" t="str">
        <f t="shared" si="41"/>
        <v>Dosa</v>
      </c>
      <c r="AC531" s="2" t="str">
        <f t="shared" si="44"/>
        <v xml:space="preserve"> CRISTINA </v>
      </c>
      <c r="AD531" s="2">
        <f t="shared" si="42"/>
        <v>5</v>
      </c>
      <c r="AE531" s="2">
        <f t="shared" ca="1" si="43"/>
        <v>-193.9262716435187</v>
      </c>
      <c r="AF531" s="15"/>
    </row>
    <row r="532" spans="1:32" hidden="1">
      <c r="A532" s="1">
        <v>8756684</v>
      </c>
      <c r="B532" s="1" t="s">
        <v>62</v>
      </c>
      <c r="C532" t="s">
        <v>1089</v>
      </c>
      <c r="E532" s="2">
        <v>3258000203000</v>
      </c>
      <c r="F532" s="1" t="s">
        <v>454</v>
      </c>
      <c r="G532" s="1" t="s">
        <v>53</v>
      </c>
      <c r="H532" s="1" t="s">
        <v>321</v>
      </c>
      <c r="I532" s="1" t="s">
        <v>322</v>
      </c>
      <c r="J532" s="1" t="s">
        <v>46</v>
      </c>
      <c r="K532" t="s">
        <v>457</v>
      </c>
      <c r="M532" s="1" t="s">
        <v>58</v>
      </c>
      <c r="N532" s="1">
        <v>0</v>
      </c>
      <c r="O532" s="1" t="s">
        <v>36</v>
      </c>
      <c r="P532" s="186">
        <v>44760.389502314814</v>
      </c>
      <c r="R532" s="1">
        <v>1</v>
      </c>
      <c r="T532" s="1" t="s">
        <v>157</v>
      </c>
      <c r="U532" s="186">
        <v>44833.75</v>
      </c>
      <c r="V532" s="1" t="s">
        <v>41</v>
      </c>
      <c r="W532" s="1" t="s">
        <v>49</v>
      </c>
      <c r="X532" s="13" t="str">
        <f>IF(RIGHT(H532,2)&lt;&gt;"00",H532,"")</f>
        <v/>
      </c>
      <c r="Y532" s="2">
        <f ca="1">NETWORKDAYS(P532,$Y$1)</f>
        <v>163</v>
      </c>
      <c r="Z532" s="14">
        <v>1</v>
      </c>
      <c r="AA532" s="1" t="str">
        <f t="shared" ca="1" si="40"/>
        <v>VENCIDO</v>
      </c>
      <c r="AB532" s="1" t="str">
        <f t="shared" si="41"/>
        <v>C-14</v>
      </c>
      <c r="AC532" s="2" t="str">
        <f t="shared" si="44"/>
        <v xml:space="preserve"> CLEITON </v>
      </c>
      <c r="AD532" s="2">
        <f t="shared" si="42"/>
        <v>5</v>
      </c>
      <c r="AE532" s="2">
        <f t="shared" ca="1" si="43"/>
        <v>-152.9262716435187</v>
      </c>
      <c r="AF532" s="15"/>
    </row>
    <row r="533" spans="1:32" hidden="1">
      <c r="A533" s="1">
        <v>8773434</v>
      </c>
      <c r="B533" s="1" t="s">
        <v>62</v>
      </c>
      <c r="C533" t="s">
        <v>1092</v>
      </c>
      <c r="E533" s="2">
        <v>1049000203010</v>
      </c>
      <c r="F533" s="1" t="s">
        <v>152</v>
      </c>
      <c r="G533" s="1" t="s">
        <v>53</v>
      </c>
      <c r="H533" s="1" t="s">
        <v>169</v>
      </c>
      <c r="I533" s="1" t="s">
        <v>170</v>
      </c>
      <c r="J533" s="1" t="s">
        <v>164</v>
      </c>
      <c r="K533" t="s">
        <v>155</v>
      </c>
      <c r="M533" s="1" t="s">
        <v>35</v>
      </c>
      <c r="N533" s="1">
        <v>42318949</v>
      </c>
      <c r="O533" s="1" t="s">
        <v>36</v>
      </c>
      <c r="P533" s="186">
        <v>44767.715925925928</v>
      </c>
      <c r="R533" s="1">
        <v>1</v>
      </c>
      <c r="T533" s="1" t="s">
        <v>157</v>
      </c>
      <c r="U533" s="186">
        <v>44799.75</v>
      </c>
      <c r="V533" s="1" t="s">
        <v>41</v>
      </c>
      <c r="W533" s="1" t="s">
        <v>49</v>
      </c>
      <c r="X533" s="13" t="str">
        <f>IF(RIGHT(H533,2)&lt;&gt;"00",H533,"")</f>
        <v/>
      </c>
      <c r="Y533" s="2">
        <f ca="1">NETWORKDAYS(P533,$Y$1)</f>
        <v>158</v>
      </c>
      <c r="Z533" s="14">
        <v>1</v>
      </c>
      <c r="AA533" s="1" t="str">
        <f t="shared" ca="1" si="40"/>
        <v>VENCIDO</v>
      </c>
      <c r="AB533" s="1" t="str">
        <f t="shared" si="41"/>
        <v>TAAe+</v>
      </c>
      <c r="AC533" s="2" t="str">
        <f t="shared" si="44"/>
        <v xml:space="preserve"> ROSEMERE </v>
      </c>
      <c r="AD533" s="2">
        <f t="shared" si="42"/>
        <v>8</v>
      </c>
      <c r="AE533" s="2">
        <f t="shared" ca="1" si="43"/>
        <v>-186.9262716435187</v>
      </c>
      <c r="AF533" s="15"/>
    </row>
    <row r="534" spans="1:32" hidden="1">
      <c r="A534" s="1">
        <v>8792760</v>
      </c>
      <c r="B534" s="1" t="s">
        <v>62</v>
      </c>
      <c r="C534" t="s">
        <v>1095</v>
      </c>
      <c r="E534" s="2">
        <v>605000203000</v>
      </c>
      <c r="F534" s="1" t="s">
        <v>454</v>
      </c>
      <c r="G534" s="1" t="s">
        <v>53</v>
      </c>
      <c r="H534" s="1" t="s">
        <v>420</v>
      </c>
      <c r="I534" s="1" t="s">
        <v>421</v>
      </c>
      <c r="J534" s="1" t="s">
        <v>90</v>
      </c>
      <c r="K534" t="s">
        <v>457</v>
      </c>
      <c r="M534" s="1" t="s">
        <v>58</v>
      </c>
      <c r="N534" s="1">
        <v>0</v>
      </c>
      <c r="O534" s="1" t="s">
        <v>105</v>
      </c>
      <c r="P534" s="186">
        <v>44774.393900462965</v>
      </c>
      <c r="R534" s="1">
        <v>1</v>
      </c>
      <c r="T534" s="1" t="s">
        <v>157</v>
      </c>
      <c r="U534" s="186">
        <v>44806.75</v>
      </c>
      <c r="V534" s="1" t="s">
        <v>41</v>
      </c>
      <c r="W534" s="1" t="s">
        <v>49</v>
      </c>
      <c r="X534" s="13" t="str">
        <f>IF(RIGHT(H534,2)&lt;&gt;"00",H534,"")</f>
        <v/>
      </c>
      <c r="Y534" s="2">
        <f ca="1">NETWORKDAYS(P534,$Y$1)</f>
        <v>153</v>
      </c>
      <c r="Z534" s="14">
        <v>1</v>
      </c>
      <c r="AA534" s="1" t="str">
        <f t="shared" ca="1" si="40"/>
        <v>VENCIDO</v>
      </c>
      <c r="AB534" s="1" t="str">
        <f t="shared" si="41"/>
        <v>C-14</v>
      </c>
      <c r="AC534" s="2" t="str">
        <f t="shared" si="44"/>
        <v xml:space="preserve"> RINALDO </v>
      </c>
      <c r="AD534" s="2">
        <f t="shared" si="42"/>
        <v>5</v>
      </c>
      <c r="AE534" s="2">
        <f t="shared" ca="1" si="43"/>
        <v>-179.9262716435187</v>
      </c>
      <c r="AF534" s="15"/>
    </row>
    <row r="535" spans="1:32" hidden="1">
      <c r="A535" s="1">
        <v>8791670</v>
      </c>
      <c r="B535" s="1" t="s">
        <v>101</v>
      </c>
      <c r="C535" t="s">
        <v>643</v>
      </c>
      <c r="D535" s="2">
        <v>220127985</v>
      </c>
      <c r="E535" s="2">
        <v>2069001400030</v>
      </c>
      <c r="F535" s="1" t="s">
        <v>647</v>
      </c>
      <c r="G535" s="1" t="s">
        <v>53</v>
      </c>
      <c r="H535" s="1" t="s">
        <v>557</v>
      </c>
      <c r="I535" s="1" t="s">
        <v>558</v>
      </c>
      <c r="J535" s="1" t="s">
        <v>90</v>
      </c>
      <c r="K535" t="s">
        <v>650</v>
      </c>
      <c r="M535" s="1" t="s">
        <v>58</v>
      </c>
      <c r="N535" s="1">
        <v>0</v>
      </c>
      <c r="O535" s="1" t="s">
        <v>105</v>
      </c>
      <c r="P535" s="186">
        <v>44774.303842592592</v>
      </c>
      <c r="R535" s="1">
        <v>4</v>
      </c>
      <c r="T535" s="1" t="s">
        <v>646</v>
      </c>
      <c r="U535" s="186">
        <v>44775.303842592592</v>
      </c>
      <c r="V535" s="1" t="s">
        <v>41</v>
      </c>
      <c r="W535" s="1" t="s">
        <v>49</v>
      </c>
      <c r="X535" s="13" t="str">
        <f>IF(RIGHT(H535,2)&lt;&gt;"00",H535,"")</f>
        <v/>
      </c>
      <c r="Y535" s="2">
        <f ca="1">NETWORKDAYS(P535,$Y$1)</f>
        <v>153</v>
      </c>
      <c r="Z535" s="14">
        <v>1</v>
      </c>
      <c r="AA535" s="1" t="str">
        <f t="shared" ca="1" si="40"/>
        <v>VENCIDO</v>
      </c>
      <c r="AB535" s="1" t="str">
        <f t="shared" si="41"/>
        <v>C-14</v>
      </c>
      <c r="AC535" s="2" t="str">
        <f t="shared" si="44"/>
        <v xml:space="preserve"> RINALDO </v>
      </c>
      <c r="AD535" s="2">
        <f t="shared" si="42"/>
        <v>15</v>
      </c>
      <c r="AE535" s="2">
        <f t="shared" ca="1" si="43"/>
        <v>-211.37242905092717</v>
      </c>
      <c r="AF535" s="15"/>
    </row>
    <row r="536" spans="1:32" hidden="1">
      <c r="A536" s="1">
        <v>8790817</v>
      </c>
      <c r="B536" s="1" t="s">
        <v>101</v>
      </c>
      <c r="C536" t="s">
        <v>643</v>
      </c>
      <c r="D536" s="2">
        <v>220129376</v>
      </c>
      <c r="E536" s="2">
        <v>1059001400040</v>
      </c>
      <c r="F536" s="1" t="s">
        <v>644</v>
      </c>
      <c r="G536" s="1" t="s">
        <v>53</v>
      </c>
      <c r="H536" s="1" t="s">
        <v>88</v>
      </c>
      <c r="I536" s="1" t="s">
        <v>89</v>
      </c>
      <c r="J536" s="1" t="s">
        <v>90</v>
      </c>
      <c r="K536" t="s">
        <v>645</v>
      </c>
      <c r="M536" s="1" t="s">
        <v>58</v>
      </c>
      <c r="N536" s="1">
        <v>0</v>
      </c>
      <c r="O536" s="1" t="s">
        <v>105</v>
      </c>
      <c r="P536" s="186">
        <v>44774.250196759262</v>
      </c>
      <c r="R536" s="1">
        <v>2</v>
      </c>
      <c r="T536" s="1" t="s">
        <v>646</v>
      </c>
      <c r="U536" s="186">
        <v>44775.250208333331</v>
      </c>
      <c r="V536" s="1" t="s">
        <v>41</v>
      </c>
      <c r="W536" s="1" t="s">
        <v>49</v>
      </c>
      <c r="X536" s="13" t="str">
        <f>IF(RIGHT(H536,2)&lt;&gt;"00",H536,"")</f>
        <v/>
      </c>
      <c r="Y536" s="2">
        <f ca="1">NETWORKDAYS(P536,$Y$1)</f>
        <v>153</v>
      </c>
      <c r="Z536" s="14">
        <v>1</v>
      </c>
      <c r="AA536" s="1" t="str">
        <f t="shared" ca="1" si="40"/>
        <v>VENCIDO</v>
      </c>
      <c r="AB536" s="1" t="str">
        <f t="shared" si="41"/>
        <v>SL-On</v>
      </c>
      <c r="AC536" s="2" t="str">
        <f t="shared" si="44"/>
        <v xml:space="preserve"> RINALDO </v>
      </c>
      <c r="AD536" s="2">
        <f t="shared" si="42"/>
        <v>1</v>
      </c>
      <c r="AE536" s="2">
        <f t="shared" ca="1" si="43"/>
        <v>-211.4260633101876</v>
      </c>
      <c r="AF536" s="15"/>
    </row>
    <row r="537" spans="1:32" hidden="1">
      <c r="A537" s="1">
        <v>8790458</v>
      </c>
      <c r="B537" s="1" t="s">
        <v>101</v>
      </c>
      <c r="C537" t="s">
        <v>643</v>
      </c>
      <c r="D537" s="2">
        <v>220127616</v>
      </c>
      <c r="E537" s="2">
        <v>1059001400030</v>
      </c>
      <c r="F537" s="1" t="s">
        <v>647</v>
      </c>
      <c r="G537" s="1" t="s">
        <v>53</v>
      </c>
      <c r="H537" s="1" t="s">
        <v>88</v>
      </c>
      <c r="I537" s="1" t="s">
        <v>89</v>
      </c>
      <c r="J537" s="1" t="s">
        <v>90</v>
      </c>
      <c r="K537" t="s">
        <v>650</v>
      </c>
      <c r="M537" s="1" t="s">
        <v>58</v>
      </c>
      <c r="N537" s="1">
        <v>0</v>
      </c>
      <c r="O537" s="1" t="s">
        <v>105</v>
      </c>
      <c r="P537" s="186">
        <v>44774.226747685185</v>
      </c>
      <c r="R537" s="1">
        <v>4</v>
      </c>
      <c r="T537" s="1" t="s">
        <v>646</v>
      </c>
      <c r="U537" s="186">
        <v>44775.226747685185</v>
      </c>
      <c r="V537" s="1" t="s">
        <v>41</v>
      </c>
      <c r="W537" s="1" t="s">
        <v>49</v>
      </c>
      <c r="X537" s="13" t="str">
        <f>IF(RIGHT(H537,2)&lt;&gt;"00",H537,"")</f>
        <v/>
      </c>
      <c r="Y537" s="2">
        <f ca="1">NETWORKDAYS(P537,$Y$1)</f>
        <v>153</v>
      </c>
      <c r="Z537" s="14">
        <v>1</v>
      </c>
      <c r="AA537" s="1" t="str">
        <f t="shared" ca="1" si="40"/>
        <v>VENCIDO</v>
      </c>
      <c r="AB537" s="1" t="str">
        <f t="shared" si="41"/>
        <v>C-14</v>
      </c>
      <c r="AC537" s="2" t="str">
        <f t="shared" si="44"/>
        <v xml:space="preserve"> RINALDO </v>
      </c>
      <c r="AD537" s="2">
        <f t="shared" si="42"/>
        <v>15</v>
      </c>
      <c r="AE537" s="2">
        <f t="shared" ca="1" si="43"/>
        <v>-211.44952395833388</v>
      </c>
      <c r="AF537" s="15"/>
    </row>
    <row r="538" spans="1:32" hidden="1">
      <c r="A538" s="1">
        <v>8789842</v>
      </c>
      <c r="B538" s="1" t="s">
        <v>101</v>
      </c>
      <c r="C538" t="s">
        <v>643</v>
      </c>
      <c r="D538" s="2">
        <v>220125834</v>
      </c>
      <c r="E538" s="2">
        <v>2069001400010</v>
      </c>
      <c r="F538" s="1" t="s">
        <v>936</v>
      </c>
      <c r="G538" s="1" t="s">
        <v>53</v>
      </c>
      <c r="H538" s="1" t="s">
        <v>557</v>
      </c>
      <c r="I538" s="1" t="s">
        <v>558</v>
      </c>
      <c r="J538" s="1" t="s">
        <v>90</v>
      </c>
      <c r="K538" t="s">
        <v>937</v>
      </c>
      <c r="M538" s="1" t="s">
        <v>58</v>
      </c>
      <c r="N538" s="1">
        <v>0</v>
      </c>
      <c r="O538" s="1" t="s">
        <v>105</v>
      </c>
      <c r="P538" s="186">
        <v>44774.195625</v>
      </c>
      <c r="R538" s="1">
        <v>3</v>
      </c>
      <c r="T538" s="1" t="s">
        <v>646</v>
      </c>
      <c r="U538" s="186">
        <v>44775.195625</v>
      </c>
      <c r="V538" s="1" t="s">
        <v>41</v>
      </c>
      <c r="W538" s="1" t="s">
        <v>49</v>
      </c>
      <c r="X538" s="13" t="str">
        <f>IF(RIGHT(H538,2)&lt;&gt;"00",H538,"")</f>
        <v/>
      </c>
      <c r="Y538" s="2">
        <f ca="1">NETWORKDAYS(P538,$Y$1)</f>
        <v>153</v>
      </c>
      <c r="Z538" s="14">
        <v>1</v>
      </c>
      <c r="AA538" s="1" t="str">
        <f t="shared" ca="1" si="40"/>
        <v>VENCIDO</v>
      </c>
      <c r="AB538" s="1" t="str">
        <f t="shared" si="41"/>
        <v>C-14</v>
      </c>
      <c r="AC538" s="2" t="str">
        <f t="shared" si="44"/>
        <v xml:space="preserve"> RINALDO </v>
      </c>
      <c r="AD538" s="2">
        <f t="shared" si="42"/>
        <v>5</v>
      </c>
      <c r="AE538" s="2">
        <f t="shared" ca="1" si="43"/>
        <v>-211.48064664351841</v>
      </c>
      <c r="AF538" s="15"/>
    </row>
    <row r="539" spans="1:32" hidden="1">
      <c r="A539" s="1">
        <v>8789783</v>
      </c>
      <c r="B539" s="1" t="s">
        <v>101</v>
      </c>
      <c r="C539" t="s">
        <v>643</v>
      </c>
      <c r="D539" s="2">
        <v>220125480</v>
      </c>
      <c r="E539" s="2">
        <v>1059001400010</v>
      </c>
      <c r="F539" s="1" t="s">
        <v>936</v>
      </c>
      <c r="G539" s="1" t="s">
        <v>53</v>
      </c>
      <c r="H539" s="1" t="s">
        <v>88</v>
      </c>
      <c r="I539" s="1" t="s">
        <v>89</v>
      </c>
      <c r="J539" s="1" t="s">
        <v>90</v>
      </c>
      <c r="K539" t="s">
        <v>937</v>
      </c>
      <c r="M539" s="1" t="s">
        <v>58</v>
      </c>
      <c r="N539" s="1">
        <v>0</v>
      </c>
      <c r="O539" s="1" t="s">
        <v>105</v>
      </c>
      <c r="P539" s="186">
        <v>44774.190578703703</v>
      </c>
      <c r="R539" s="1">
        <v>3</v>
      </c>
      <c r="T539" s="1" t="s">
        <v>646</v>
      </c>
      <c r="U539" s="186">
        <v>44775.190578703703</v>
      </c>
      <c r="V539" s="1" t="s">
        <v>41</v>
      </c>
      <c r="W539" s="1" t="s">
        <v>49</v>
      </c>
      <c r="X539" s="13" t="str">
        <f>IF(RIGHT(H539,2)&lt;&gt;"00",H539,"")</f>
        <v/>
      </c>
      <c r="Y539" s="2">
        <f ca="1">NETWORKDAYS(P539,$Y$1)</f>
        <v>153</v>
      </c>
      <c r="Z539" s="14">
        <v>1</v>
      </c>
      <c r="AA539" s="1" t="str">
        <f t="shared" ca="1" si="40"/>
        <v>VENCIDO</v>
      </c>
      <c r="AB539" s="1" t="str">
        <f t="shared" si="41"/>
        <v>C-14</v>
      </c>
      <c r="AC539" s="2" t="str">
        <f t="shared" si="44"/>
        <v xml:space="preserve"> RINALDO </v>
      </c>
      <c r="AD539" s="2">
        <f t="shared" si="42"/>
        <v>5</v>
      </c>
      <c r="AE539" s="2">
        <f t="shared" ca="1" si="43"/>
        <v>-211.48569293981564</v>
      </c>
      <c r="AF539" s="15"/>
    </row>
    <row r="540" spans="1:32" hidden="1">
      <c r="A540" s="1">
        <v>8789228</v>
      </c>
      <c r="B540" s="1" t="s">
        <v>101</v>
      </c>
      <c r="C540" t="s">
        <v>643</v>
      </c>
      <c r="D540" s="2">
        <v>220129740</v>
      </c>
      <c r="E540" s="2">
        <v>2107001400040</v>
      </c>
      <c r="F540" s="1" t="s">
        <v>644</v>
      </c>
      <c r="G540" s="1" t="s">
        <v>53</v>
      </c>
      <c r="H540" s="1" t="s">
        <v>262</v>
      </c>
      <c r="I540" s="1" t="s">
        <v>263</v>
      </c>
      <c r="J540" s="1" t="s">
        <v>164</v>
      </c>
      <c r="K540" t="s">
        <v>645</v>
      </c>
      <c r="M540" s="1" t="s">
        <v>58</v>
      </c>
      <c r="N540" s="1">
        <v>0</v>
      </c>
      <c r="O540" s="1" t="s">
        <v>36</v>
      </c>
      <c r="P540" s="186">
        <v>44774.150763888887</v>
      </c>
      <c r="R540" s="1">
        <v>3</v>
      </c>
      <c r="T540" s="1" t="s">
        <v>646</v>
      </c>
      <c r="U540" s="186">
        <v>44775.150775462964</v>
      </c>
      <c r="V540" s="1" t="s">
        <v>41</v>
      </c>
      <c r="W540" s="1" t="s">
        <v>49</v>
      </c>
      <c r="X540" s="13" t="str">
        <f>IF(RIGHT(H540,2)&lt;&gt;"00",H540,"")</f>
        <v/>
      </c>
      <c r="Y540" s="2">
        <f ca="1">NETWORKDAYS(P540,$Y$1)</f>
        <v>153</v>
      </c>
      <c r="Z540" s="14">
        <v>1</v>
      </c>
      <c r="AA540" s="1" t="str">
        <f t="shared" ca="1" si="40"/>
        <v>VENCIDO</v>
      </c>
      <c r="AB540" s="1" t="str">
        <f t="shared" si="41"/>
        <v>SL-On</v>
      </c>
      <c r="AC540" s="2" t="str">
        <f t="shared" si="44"/>
        <v xml:space="preserve"> ROSEMERE </v>
      </c>
      <c r="AD540" s="2">
        <f t="shared" si="42"/>
        <v>1</v>
      </c>
      <c r="AE540" s="2">
        <f t="shared" ca="1" si="43"/>
        <v>-211.52549618055491</v>
      </c>
      <c r="AF540" s="15"/>
    </row>
    <row r="541" spans="1:32" hidden="1">
      <c r="A541" s="1">
        <v>8789210</v>
      </c>
      <c r="B541" s="1" t="s">
        <v>101</v>
      </c>
      <c r="C541" t="s">
        <v>643</v>
      </c>
      <c r="D541" s="2">
        <v>220129727</v>
      </c>
      <c r="E541" s="2">
        <v>2069001400040</v>
      </c>
      <c r="F541" s="1" t="s">
        <v>644</v>
      </c>
      <c r="G541" s="1" t="s">
        <v>53</v>
      </c>
      <c r="H541" s="1" t="s">
        <v>557</v>
      </c>
      <c r="I541" s="1" t="s">
        <v>558</v>
      </c>
      <c r="J541" s="1" t="s">
        <v>90</v>
      </c>
      <c r="K541" t="s">
        <v>645</v>
      </c>
      <c r="M541" s="1" t="s">
        <v>58</v>
      </c>
      <c r="N541" s="1">
        <v>0</v>
      </c>
      <c r="O541" s="1" t="s">
        <v>105</v>
      </c>
      <c r="P541" s="186">
        <v>44774.150150462963</v>
      </c>
      <c r="R541" s="1">
        <v>2</v>
      </c>
      <c r="T541" s="1" t="s">
        <v>646</v>
      </c>
      <c r="U541" s="186">
        <v>44775.150150462963</v>
      </c>
      <c r="V541" s="1" t="s">
        <v>41</v>
      </c>
      <c r="W541" s="1" t="s">
        <v>49</v>
      </c>
      <c r="X541" s="13" t="str">
        <f>IF(RIGHT(H541,2)&lt;&gt;"00",H541,"")</f>
        <v/>
      </c>
      <c r="Y541" s="2">
        <f ca="1">NETWORKDAYS(P541,$Y$1)</f>
        <v>153</v>
      </c>
      <c r="Z541" s="14">
        <v>1</v>
      </c>
      <c r="AA541" s="1" t="str">
        <f t="shared" ca="1" si="40"/>
        <v>VENCIDO</v>
      </c>
      <c r="AB541" s="1" t="str">
        <f t="shared" si="41"/>
        <v>SL-On</v>
      </c>
      <c r="AC541" s="2" t="str">
        <f t="shared" si="44"/>
        <v xml:space="preserve"> RINALDO </v>
      </c>
      <c r="AD541" s="2">
        <f t="shared" si="42"/>
        <v>1</v>
      </c>
      <c r="AE541" s="2">
        <f t="shared" ca="1" si="43"/>
        <v>-211.52612118055549</v>
      </c>
      <c r="AF541" s="15"/>
    </row>
    <row r="542" spans="1:32" hidden="1">
      <c r="A542" s="1">
        <v>8788278</v>
      </c>
      <c r="B542" s="1" t="s">
        <v>101</v>
      </c>
      <c r="C542" t="s">
        <v>643</v>
      </c>
      <c r="D542" s="2">
        <v>220127916</v>
      </c>
      <c r="E542" s="2">
        <v>1764001400030</v>
      </c>
      <c r="F542" s="1" t="s">
        <v>647</v>
      </c>
      <c r="G542" s="1" t="s">
        <v>53</v>
      </c>
      <c r="H542" s="1" t="s">
        <v>722</v>
      </c>
      <c r="I542" s="1" t="s">
        <v>723</v>
      </c>
      <c r="J542" s="1" t="s">
        <v>90</v>
      </c>
      <c r="K542" t="s">
        <v>650</v>
      </c>
      <c r="M542" s="1" t="s">
        <v>58</v>
      </c>
      <c r="N542" s="1">
        <v>0</v>
      </c>
      <c r="O542" s="1" t="s">
        <v>105</v>
      </c>
      <c r="P542" s="186">
        <v>44774.09547453704</v>
      </c>
      <c r="R542" s="1">
        <v>4</v>
      </c>
      <c r="T542" s="1" t="s">
        <v>646</v>
      </c>
      <c r="U542" s="186">
        <v>44775.09547453704</v>
      </c>
      <c r="V542" s="1" t="s">
        <v>41</v>
      </c>
      <c r="W542" s="1" t="s">
        <v>49</v>
      </c>
      <c r="X542" s="13" t="str">
        <f>IF(RIGHT(H542,2)&lt;&gt;"00",H542,"")</f>
        <v/>
      </c>
      <c r="Y542" s="2">
        <f ca="1">NETWORKDAYS(P542,$Y$1)</f>
        <v>153</v>
      </c>
      <c r="Z542" s="14">
        <v>1</v>
      </c>
      <c r="AA542" s="1" t="str">
        <f t="shared" ca="1" si="40"/>
        <v>VENCIDO</v>
      </c>
      <c r="AB542" s="1" t="str">
        <f t="shared" si="41"/>
        <v>C-14</v>
      </c>
      <c r="AC542" s="2" t="str">
        <f t="shared" si="44"/>
        <v xml:space="preserve"> RINALDO </v>
      </c>
      <c r="AD542" s="2">
        <f t="shared" si="42"/>
        <v>15</v>
      </c>
      <c r="AE542" s="2">
        <f t="shared" ca="1" si="43"/>
        <v>-211.58079710647871</v>
      </c>
      <c r="AF542" s="15"/>
    </row>
    <row r="543" spans="1:32" hidden="1">
      <c r="A543" s="1">
        <v>8802595</v>
      </c>
      <c r="B543" s="1" t="s">
        <v>62</v>
      </c>
      <c r="C543" t="s">
        <v>1114</v>
      </c>
      <c r="E543" s="2">
        <v>3918000206001</v>
      </c>
      <c r="F543" s="1" t="s">
        <v>29</v>
      </c>
      <c r="G543" s="1" t="s">
        <v>53</v>
      </c>
      <c r="H543" s="1" t="s">
        <v>858</v>
      </c>
      <c r="I543" s="1" t="s">
        <v>859</v>
      </c>
      <c r="J543" s="1" t="s">
        <v>33</v>
      </c>
      <c r="K543" t="s">
        <v>34</v>
      </c>
      <c r="M543" s="1" t="s">
        <v>35</v>
      </c>
      <c r="N543" s="1">
        <v>42318949</v>
      </c>
      <c r="O543" s="1" t="s">
        <v>36</v>
      </c>
      <c r="P543" s="186">
        <v>44777.52611111111</v>
      </c>
      <c r="R543" s="1" t="s">
        <v>38</v>
      </c>
      <c r="T543" s="1" t="s">
        <v>74</v>
      </c>
      <c r="U543" s="186">
        <v>44819.75</v>
      </c>
      <c r="V543" s="1" t="s">
        <v>41</v>
      </c>
      <c r="W543" s="1" t="s">
        <v>49</v>
      </c>
      <c r="X543" s="13" t="str">
        <f>IF(RIGHT(H543,2)&lt;&gt;"00",H543,"")</f>
        <v/>
      </c>
      <c r="Y543" s="2">
        <f ca="1">NETWORKDAYS(P543,$Y$1)</f>
        <v>150</v>
      </c>
      <c r="Z543" s="14">
        <v>1</v>
      </c>
      <c r="AA543" s="1" t="str">
        <f t="shared" ca="1" si="40"/>
        <v>VENCIDO</v>
      </c>
      <c r="AB543" s="1" t="str">
        <f t="shared" si="41"/>
        <v>Dosa</v>
      </c>
      <c r="AC543" s="2" t="str">
        <f t="shared" si="44"/>
        <v xml:space="preserve"> ROSEMERE </v>
      </c>
      <c r="AD543" s="2">
        <f t="shared" si="42"/>
        <v>5</v>
      </c>
      <c r="AE543" s="2">
        <f t="shared" ca="1" si="43"/>
        <v>-166.9262716435187</v>
      </c>
      <c r="AF543" s="15"/>
    </row>
    <row r="544" spans="1:32" hidden="1">
      <c r="A544" s="1">
        <v>8802516</v>
      </c>
      <c r="B544" s="1" t="s">
        <v>62</v>
      </c>
      <c r="C544" t="s">
        <v>1114</v>
      </c>
      <c r="E544" s="2">
        <v>2737000206001</v>
      </c>
      <c r="F544" s="1" t="s">
        <v>29</v>
      </c>
      <c r="G544" s="1" t="s">
        <v>53</v>
      </c>
      <c r="H544" s="1" t="s">
        <v>311</v>
      </c>
      <c r="I544" s="1" t="s">
        <v>312</v>
      </c>
      <c r="J544" s="1" t="s">
        <v>90</v>
      </c>
      <c r="K544" t="s">
        <v>34</v>
      </c>
      <c r="M544" s="1" t="s">
        <v>35</v>
      </c>
      <c r="N544" s="1">
        <v>42318949</v>
      </c>
      <c r="O544" s="1" t="s">
        <v>105</v>
      </c>
      <c r="P544" s="186">
        <v>44777.526006944441</v>
      </c>
      <c r="R544" s="1" t="s">
        <v>38</v>
      </c>
      <c r="T544" s="1" t="s">
        <v>74</v>
      </c>
      <c r="U544" s="186">
        <v>44819.75</v>
      </c>
      <c r="V544" s="1" t="s">
        <v>41</v>
      </c>
      <c r="W544" s="1" t="s">
        <v>49</v>
      </c>
      <c r="X544" s="13" t="str">
        <f>IF(RIGHT(H544,2)&lt;&gt;"00",H544,"")</f>
        <v/>
      </c>
      <c r="Y544" s="2">
        <f ca="1">NETWORKDAYS(P544,$Y$1)</f>
        <v>150</v>
      </c>
      <c r="Z544" s="14">
        <v>1</v>
      </c>
      <c r="AA544" s="1" t="str">
        <f t="shared" ca="1" si="40"/>
        <v>VENCIDO</v>
      </c>
      <c r="AB544" s="1" t="str">
        <f t="shared" si="41"/>
        <v>Dosa</v>
      </c>
      <c r="AC544" s="2" t="str">
        <f t="shared" si="44"/>
        <v xml:space="preserve"> RINALDO </v>
      </c>
      <c r="AD544" s="2">
        <f t="shared" si="42"/>
        <v>5</v>
      </c>
      <c r="AE544" s="2">
        <f t="shared" ca="1" si="43"/>
        <v>-166.9262716435187</v>
      </c>
      <c r="AF544" s="15"/>
    </row>
    <row r="545" spans="1:32" hidden="1">
      <c r="A545" s="1">
        <v>8802513</v>
      </c>
      <c r="B545" s="1" t="s">
        <v>62</v>
      </c>
      <c r="C545" t="s">
        <v>1114</v>
      </c>
      <c r="E545" s="2">
        <v>2693000206001</v>
      </c>
      <c r="F545" s="1" t="s">
        <v>29</v>
      </c>
      <c r="G545" s="1" t="s">
        <v>53</v>
      </c>
      <c r="H545" s="1" t="s">
        <v>253</v>
      </c>
      <c r="I545" s="1" t="s">
        <v>254</v>
      </c>
      <c r="J545" s="1" t="s">
        <v>56</v>
      </c>
      <c r="K545" t="s">
        <v>34</v>
      </c>
      <c r="M545" s="1" t="s">
        <v>35</v>
      </c>
      <c r="N545" s="1">
        <v>42318949</v>
      </c>
      <c r="O545" s="1" t="s">
        <v>105</v>
      </c>
      <c r="P545" s="186">
        <v>44777.526006944441</v>
      </c>
      <c r="R545" s="1" t="s">
        <v>38</v>
      </c>
      <c r="T545" s="1" t="s">
        <v>74</v>
      </c>
      <c r="U545" s="186">
        <v>44819.75</v>
      </c>
      <c r="V545" s="1" t="s">
        <v>41</v>
      </c>
      <c r="W545" s="1" t="s">
        <v>49</v>
      </c>
      <c r="X545" s="13" t="str">
        <f>IF(RIGHT(H545,2)&lt;&gt;"00",H545,"")</f>
        <v/>
      </c>
      <c r="Y545" s="2">
        <f ca="1">NETWORKDAYS(P545,$Y$1)</f>
        <v>150</v>
      </c>
      <c r="Z545" s="14">
        <v>1</v>
      </c>
      <c r="AA545" s="1" t="str">
        <f t="shared" ca="1" si="40"/>
        <v>VENCIDO</v>
      </c>
      <c r="AB545" s="1" t="str">
        <f t="shared" si="41"/>
        <v>Dosa</v>
      </c>
      <c r="AC545" s="2" t="str">
        <f t="shared" si="44"/>
        <v xml:space="preserve"> CRISTINA </v>
      </c>
      <c r="AD545" s="2">
        <f t="shared" si="42"/>
        <v>5</v>
      </c>
      <c r="AE545" s="2">
        <f t="shared" ca="1" si="43"/>
        <v>-166.9262716435187</v>
      </c>
      <c r="AF545" s="15"/>
    </row>
    <row r="546" spans="1:32" hidden="1">
      <c r="A546" s="1">
        <v>8802505</v>
      </c>
      <c r="B546" s="1" t="s">
        <v>62</v>
      </c>
      <c r="C546" t="s">
        <v>1114</v>
      </c>
      <c r="E546" s="2">
        <v>2590000206001</v>
      </c>
      <c r="F546" s="1" t="s">
        <v>29</v>
      </c>
      <c r="G546" s="1" t="s">
        <v>53</v>
      </c>
      <c r="H546" s="1" t="s">
        <v>394</v>
      </c>
      <c r="I546" s="1" t="s">
        <v>395</v>
      </c>
      <c r="J546" s="1" t="s">
        <v>148</v>
      </c>
      <c r="K546" t="s">
        <v>34</v>
      </c>
      <c r="M546" s="1" t="s">
        <v>35</v>
      </c>
      <c r="N546" s="1">
        <v>42318949</v>
      </c>
      <c r="O546" s="1" t="s">
        <v>105</v>
      </c>
      <c r="P546" s="186">
        <v>44777.525995370372</v>
      </c>
      <c r="R546" s="1" t="s">
        <v>38</v>
      </c>
      <c r="T546" s="1" t="s">
        <v>74</v>
      </c>
      <c r="U546" s="186">
        <v>44819.75</v>
      </c>
      <c r="V546" s="1" t="s">
        <v>41</v>
      </c>
      <c r="W546" s="1" t="s">
        <v>49</v>
      </c>
      <c r="X546" s="13" t="str">
        <f>IF(RIGHT(H546,2)&lt;&gt;"00",H546,"")</f>
        <v/>
      </c>
      <c r="Y546" s="2">
        <f ca="1">NETWORKDAYS(P546,$Y$1)</f>
        <v>150</v>
      </c>
      <c r="Z546" s="14">
        <v>1</v>
      </c>
      <c r="AA546" s="1" t="str">
        <f t="shared" ca="1" si="40"/>
        <v>VENCIDO</v>
      </c>
      <c r="AB546" s="1" t="str">
        <f t="shared" si="41"/>
        <v>Dosa</v>
      </c>
      <c r="AC546" s="2" t="str">
        <f t="shared" si="44"/>
        <v xml:space="preserve"> RINALDO </v>
      </c>
      <c r="AD546" s="2">
        <f t="shared" si="42"/>
        <v>5</v>
      </c>
      <c r="AE546" s="2">
        <f t="shared" ca="1" si="43"/>
        <v>-166.9262716435187</v>
      </c>
      <c r="AF546" s="15"/>
    </row>
    <row r="547" spans="1:32" hidden="1">
      <c r="A547" s="1">
        <v>8802477</v>
      </c>
      <c r="B547" s="1" t="s">
        <v>62</v>
      </c>
      <c r="C547" t="s">
        <v>1114</v>
      </c>
      <c r="E547" s="2">
        <v>2229000206001</v>
      </c>
      <c r="F547" s="1" t="s">
        <v>29</v>
      </c>
      <c r="G547" s="1" t="s">
        <v>53</v>
      </c>
      <c r="H547" s="1" t="s">
        <v>339</v>
      </c>
      <c r="I547" s="1" t="s">
        <v>340</v>
      </c>
      <c r="J547" s="1" t="s">
        <v>211</v>
      </c>
      <c r="K547" t="s">
        <v>34</v>
      </c>
      <c r="M547" s="1" t="s">
        <v>35</v>
      </c>
      <c r="N547" s="1">
        <v>42318949</v>
      </c>
      <c r="O547" s="1" t="s">
        <v>105</v>
      </c>
      <c r="P547" s="186">
        <v>44777.525960648149</v>
      </c>
      <c r="R547" s="1" t="s">
        <v>38</v>
      </c>
      <c r="T547" s="1" t="s">
        <v>74</v>
      </c>
      <c r="U547" s="186">
        <v>44819.75</v>
      </c>
      <c r="V547" s="1" t="s">
        <v>41</v>
      </c>
      <c r="W547" s="1" t="s">
        <v>49</v>
      </c>
      <c r="X547" s="13" t="str">
        <f>IF(RIGHT(H547,2)&lt;&gt;"00",H547,"")</f>
        <v/>
      </c>
      <c r="Y547" s="2">
        <f ca="1">NETWORKDAYS(P547,$Y$1)</f>
        <v>150</v>
      </c>
      <c r="Z547" s="14">
        <v>1</v>
      </c>
      <c r="AA547" s="1" t="str">
        <f t="shared" ca="1" si="40"/>
        <v>VENCIDO</v>
      </c>
      <c r="AB547" s="1" t="str">
        <f t="shared" si="41"/>
        <v>Dosa</v>
      </c>
      <c r="AC547" s="2" t="str">
        <f t="shared" si="44"/>
        <v xml:space="preserve"> RINALDO </v>
      </c>
      <c r="AD547" s="2">
        <f t="shared" si="42"/>
        <v>5</v>
      </c>
      <c r="AE547" s="2">
        <f t="shared" ca="1" si="43"/>
        <v>-166.9262716435187</v>
      </c>
      <c r="AF547" s="15"/>
    </row>
    <row r="548" spans="1:32" hidden="1">
      <c r="A548" s="1">
        <v>8802445</v>
      </c>
      <c r="B548" s="1" t="s">
        <v>62</v>
      </c>
      <c r="C548" t="s">
        <v>1114</v>
      </c>
      <c r="E548" s="2">
        <v>1761000206001</v>
      </c>
      <c r="F548" s="1" t="s">
        <v>29</v>
      </c>
      <c r="G548" s="1" t="s">
        <v>53</v>
      </c>
      <c r="H548" s="1" t="s">
        <v>375</v>
      </c>
      <c r="I548" s="1" t="s">
        <v>376</v>
      </c>
      <c r="J548" s="1" t="s">
        <v>56</v>
      </c>
      <c r="K548" t="s">
        <v>34</v>
      </c>
      <c r="M548" s="1" t="s">
        <v>35</v>
      </c>
      <c r="N548" s="1">
        <v>42318949</v>
      </c>
      <c r="O548" s="1" t="s">
        <v>105</v>
      </c>
      <c r="P548" s="186">
        <v>44777.525914351849</v>
      </c>
      <c r="R548" s="1" t="s">
        <v>38</v>
      </c>
      <c r="T548" s="1" t="s">
        <v>74</v>
      </c>
      <c r="U548" s="186">
        <v>44819.75</v>
      </c>
      <c r="V548" s="1" t="s">
        <v>41</v>
      </c>
      <c r="W548" s="1" t="s">
        <v>49</v>
      </c>
      <c r="X548" s="13" t="str">
        <f>IF(RIGHT(H548,2)&lt;&gt;"00",H548,"")</f>
        <v/>
      </c>
      <c r="Y548" s="2">
        <f ca="1">NETWORKDAYS(P548,$Y$1)</f>
        <v>150</v>
      </c>
      <c r="Z548" s="14">
        <v>1</v>
      </c>
      <c r="AA548" s="1" t="str">
        <f t="shared" ca="1" si="40"/>
        <v>VENCIDO</v>
      </c>
      <c r="AB548" s="1" t="str">
        <f t="shared" si="41"/>
        <v>Dosa</v>
      </c>
      <c r="AC548" s="2" t="str">
        <f t="shared" si="44"/>
        <v xml:space="preserve"> CRISTINA </v>
      </c>
      <c r="AD548" s="2">
        <f t="shared" si="42"/>
        <v>5</v>
      </c>
      <c r="AE548" s="2">
        <f t="shared" ca="1" si="43"/>
        <v>-166.9262716435187</v>
      </c>
      <c r="AF548" s="15"/>
    </row>
    <row r="549" spans="1:32" hidden="1">
      <c r="A549" s="1">
        <v>8802382</v>
      </c>
      <c r="B549" s="1" t="s">
        <v>62</v>
      </c>
      <c r="C549" t="s">
        <v>1114</v>
      </c>
      <c r="E549" s="2">
        <v>1028000206001</v>
      </c>
      <c r="F549" s="1" t="s">
        <v>29</v>
      </c>
      <c r="G549" s="1" t="s">
        <v>53</v>
      </c>
      <c r="H549" s="1" t="s">
        <v>1079</v>
      </c>
      <c r="I549" s="1" t="s">
        <v>1080</v>
      </c>
      <c r="J549" s="1" t="s">
        <v>85</v>
      </c>
      <c r="K549" t="s">
        <v>34</v>
      </c>
      <c r="M549" s="1" t="s">
        <v>35</v>
      </c>
      <c r="N549" s="1">
        <v>42318949</v>
      </c>
      <c r="O549" s="1" t="s">
        <v>105</v>
      </c>
      <c r="P549" s="186">
        <v>44777.525810185187</v>
      </c>
      <c r="R549" s="1" t="s">
        <v>38</v>
      </c>
      <c r="T549" s="1" t="s">
        <v>74</v>
      </c>
      <c r="U549" s="186">
        <v>44819.75</v>
      </c>
      <c r="V549" s="1" t="s">
        <v>41</v>
      </c>
      <c r="W549" s="1" t="s">
        <v>49</v>
      </c>
      <c r="X549" s="13" t="str">
        <f>IF(RIGHT(H549,2)&lt;&gt;"00",H549,"")</f>
        <v/>
      </c>
      <c r="Y549" s="2">
        <f ca="1">NETWORKDAYS(P549,$Y$1)</f>
        <v>150</v>
      </c>
      <c r="Z549" s="14">
        <v>1</v>
      </c>
      <c r="AA549" s="1" t="str">
        <f t="shared" ca="1" si="40"/>
        <v>VENCIDO</v>
      </c>
      <c r="AB549" s="1" t="str">
        <f t="shared" si="41"/>
        <v>Dosa</v>
      </c>
      <c r="AC549" s="2" t="str">
        <f t="shared" si="44"/>
        <v xml:space="preserve"> RINALDO </v>
      </c>
      <c r="AD549" s="2">
        <f t="shared" si="42"/>
        <v>5</v>
      </c>
      <c r="AE549" s="2">
        <f t="shared" ca="1" si="43"/>
        <v>-166.9262716435187</v>
      </c>
      <c r="AF549" s="15"/>
    </row>
    <row r="550" spans="1:32" hidden="1">
      <c r="A550" s="1">
        <v>8802376</v>
      </c>
      <c r="B550" s="1" t="s">
        <v>62</v>
      </c>
      <c r="C550" t="s">
        <v>1114</v>
      </c>
      <c r="E550" s="2">
        <v>981000206001</v>
      </c>
      <c r="F550" s="1" t="s">
        <v>29</v>
      </c>
      <c r="G550" s="1" t="s">
        <v>53</v>
      </c>
      <c r="H550" s="1" t="s">
        <v>410</v>
      </c>
      <c r="I550" s="1" t="s">
        <v>411</v>
      </c>
      <c r="J550" s="1" t="s">
        <v>85</v>
      </c>
      <c r="K550" t="s">
        <v>34</v>
      </c>
      <c r="M550" s="1" t="s">
        <v>35</v>
      </c>
      <c r="N550" s="1">
        <v>42318949</v>
      </c>
      <c r="O550" s="1" t="s">
        <v>36</v>
      </c>
      <c r="P550" s="186">
        <v>44777.525810185187</v>
      </c>
      <c r="R550" s="1" t="s">
        <v>38</v>
      </c>
      <c r="T550" s="1" t="s">
        <v>74</v>
      </c>
      <c r="U550" s="186">
        <v>44819.75</v>
      </c>
      <c r="V550" s="1" t="s">
        <v>41</v>
      </c>
      <c r="W550" s="1" t="s">
        <v>49</v>
      </c>
      <c r="X550" s="13" t="str">
        <f>IF(RIGHT(H550,2)&lt;&gt;"00",H550,"")</f>
        <v/>
      </c>
      <c r="Y550" s="2">
        <f ca="1">NETWORKDAYS(P550,$Y$1)</f>
        <v>150</v>
      </c>
      <c r="Z550" s="14">
        <v>1</v>
      </c>
      <c r="AA550" s="1" t="str">
        <f t="shared" ca="1" si="40"/>
        <v>VENCIDO</v>
      </c>
      <c r="AB550" s="1" t="str">
        <f t="shared" si="41"/>
        <v>Dosa</v>
      </c>
      <c r="AC550" s="2" t="str">
        <f t="shared" si="44"/>
        <v xml:space="preserve"> RINALDO </v>
      </c>
      <c r="AD550" s="2">
        <f t="shared" si="42"/>
        <v>5</v>
      </c>
      <c r="AE550" s="2">
        <f t="shared" ca="1" si="43"/>
        <v>-166.9262716435187</v>
      </c>
      <c r="AF550" s="15"/>
    </row>
    <row r="551" spans="1:32" hidden="1">
      <c r="A551" s="1">
        <v>8802339</v>
      </c>
      <c r="B551" s="1" t="s">
        <v>62</v>
      </c>
      <c r="C551" t="s">
        <v>1114</v>
      </c>
      <c r="E551" s="2">
        <v>608000206001</v>
      </c>
      <c r="F551" s="1" t="s">
        <v>29</v>
      </c>
      <c r="G551" s="1" t="s">
        <v>53</v>
      </c>
      <c r="H551" s="1" t="s">
        <v>438</v>
      </c>
      <c r="I551" s="1" t="s">
        <v>439</v>
      </c>
      <c r="J551" s="1" t="s">
        <v>148</v>
      </c>
      <c r="K551" t="s">
        <v>34</v>
      </c>
      <c r="M551" s="1" t="s">
        <v>35</v>
      </c>
      <c r="N551" s="1">
        <v>42318949</v>
      </c>
      <c r="O551" s="1" t="s">
        <v>105</v>
      </c>
      <c r="P551" s="186">
        <v>44777.525763888887</v>
      </c>
      <c r="R551" s="1" t="s">
        <v>38</v>
      </c>
      <c r="T551" s="1" t="s">
        <v>74</v>
      </c>
      <c r="U551" s="186">
        <v>44819.75</v>
      </c>
      <c r="V551" s="1" t="s">
        <v>41</v>
      </c>
      <c r="W551" s="1" t="s">
        <v>49</v>
      </c>
      <c r="X551" s="13" t="str">
        <f>IF(RIGHT(H551,2)&lt;&gt;"00",H551,"")</f>
        <v/>
      </c>
      <c r="Y551" s="2">
        <f ca="1">NETWORKDAYS(P551,$Y$1)</f>
        <v>150</v>
      </c>
      <c r="Z551" s="14">
        <v>1</v>
      </c>
      <c r="AA551" s="1" t="str">
        <f t="shared" ca="1" si="40"/>
        <v>VENCIDO</v>
      </c>
      <c r="AB551" s="1" t="str">
        <f t="shared" si="41"/>
        <v>Dosa</v>
      </c>
      <c r="AC551" s="2" t="str">
        <f t="shared" si="44"/>
        <v xml:space="preserve"> RINALDO </v>
      </c>
      <c r="AD551" s="2">
        <f t="shared" si="42"/>
        <v>5</v>
      </c>
      <c r="AE551" s="2">
        <f t="shared" ca="1" si="43"/>
        <v>-166.9262716435187</v>
      </c>
      <c r="AF551" s="15"/>
    </row>
    <row r="552" spans="1:32" hidden="1">
      <c r="A552" s="1">
        <v>8802198</v>
      </c>
      <c r="B552" s="1" t="s">
        <v>62</v>
      </c>
      <c r="C552" t="s">
        <v>1114</v>
      </c>
      <c r="E552" s="2">
        <v>721000206001</v>
      </c>
      <c r="F552" s="1" t="s">
        <v>29</v>
      </c>
      <c r="G552" s="1" t="s">
        <v>53</v>
      </c>
      <c r="H552" s="1" t="s">
        <v>422</v>
      </c>
      <c r="I552" s="1" t="s">
        <v>423</v>
      </c>
      <c r="J552" s="1" t="s">
        <v>79</v>
      </c>
      <c r="K552" t="s">
        <v>34</v>
      </c>
      <c r="M552" s="1" t="s">
        <v>35</v>
      </c>
      <c r="N552" s="1">
        <v>42318949</v>
      </c>
      <c r="O552" s="1" t="s">
        <v>36</v>
      </c>
      <c r="P552" s="186">
        <v>44777.525543981479</v>
      </c>
      <c r="R552" s="1" t="s">
        <v>38</v>
      </c>
      <c r="T552" s="1" t="s">
        <v>74</v>
      </c>
      <c r="U552" s="186">
        <v>44819.75</v>
      </c>
      <c r="V552" s="1" t="s">
        <v>41</v>
      </c>
      <c r="W552" s="1" t="s">
        <v>49</v>
      </c>
      <c r="X552" s="13" t="str">
        <f>IF(RIGHT(H552,2)&lt;&gt;"00",H552,"")</f>
        <v/>
      </c>
      <c r="Y552" s="2">
        <f ca="1">NETWORKDAYS(P552,$Y$1)</f>
        <v>150</v>
      </c>
      <c r="Z552" s="14">
        <v>1</v>
      </c>
      <c r="AA552" s="1" t="str">
        <f t="shared" ca="1" si="40"/>
        <v>VENCIDO</v>
      </c>
      <c r="AB552" s="1" t="str">
        <f t="shared" si="41"/>
        <v>Dosa</v>
      </c>
      <c r="AC552" s="2" t="str">
        <f t="shared" si="44"/>
        <v xml:space="preserve"> ROSEMERE </v>
      </c>
      <c r="AD552" s="2">
        <f t="shared" si="42"/>
        <v>5</v>
      </c>
      <c r="AE552" s="2">
        <f t="shared" ca="1" si="43"/>
        <v>-166.9262716435187</v>
      </c>
      <c r="AF552" s="15"/>
    </row>
    <row r="553" spans="1:32" hidden="1">
      <c r="A553" s="1">
        <v>8802177</v>
      </c>
      <c r="B553" s="1" t="s">
        <v>62</v>
      </c>
      <c r="C553" t="s">
        <v>1114</v>
      </c>
      <c r="E553" s="2">
        <v>1754000206001</v>
      </c>
      <c r="F553" s="1" t="s">
        <v>29</v>
      </c>
      <c r="G553" s="1" t="s">
        <v>53</v>
      </c>
      <c r="H553" s="1" t="s">
        <v>146</v>
      </c>
      <c r="I553" s="1" t="s">
        <v>147</v>
      </c>
      <c r="J553" s="1" t="s">
        <v>148</v>
      </c>
      <c r="K553" t="s">
        <v>34</v>
      </c>
      <c r="M553" s="1" t="s">
        <v>35</v>
      </c>
      <c r="N553" s="1">
        <v>42318949</v>
      </c>
      <c r="O553" s="1" t="s">
        <v>105</v>
      </c>
      <c r="P553" s="186">
        <v>44777.525509259256</v>
      </c>
      <c r="R553" s="1" t="s">
        <v>38</v>
      </c>
      <c r="T553" s="1" t="s">
        <v>74</v>
      </c>
      <c r="U553" s="186">
        <v>44819.75</v>
      </c>
      <c r="V553" s="1" t="s">
        <v>41</v>
      </c>
      <c r="W553" s="1" t="s">
        <v>49</v>
      </c>
      <c r="X553" s="13" t="str">
        <f>IF(RIGHT(H553,2)&lt;&gt;"00",H553,"")</f>
        <v/>
      </c>
      <c r="Y553" s="2">
        <f ca="1">NETWORKDAYS(P553,$Y$1)</f>
        <v>150</v>
      </c>
      <c r="Z553" s="14">
        <v>1</v>
      </c>
      <c r="AA553" s="1" t="str">
        <f t="shared" ca="1" si="40"/>
        <v>VENCIDO</v>
      </c>
      <c r="AB553" s="1" t="str">
        <f t="shared" si="41"/>
        <v>Dosa</v>
      </c>
      <c r="AC553" s="2" t="str">
        <f t="shared" si="44"/>
        <v xml:space="preserve"> RINALDO </v>
      </c>
      <c r="AD553" s="2">
        <f t="shared" si="42"/>
        <v>5</v>
      </c>
      <c r="AE553" s="2">
        <f t="shared" ca="1" si="43"/>
        <v>-166.9262716435187</v>
      </c>
      <c r="AF553" s="15"/>
    </row>
    <row r="554" spans="1:32" hidden="1">
      <c r="A554" s="181">
        <v>8819471</v>
      </c>
      <c r="B554" s="181" t="s">
        <v>101</v>
      </c>
      <c r="C554" s="182" t="s">
        <v>3582</v>
      </c>
      <c r="D554" s="183"/>
      <c r="E554" s="183">
        <v>9705000206001</v>
      </c>
      <c r="F554" s="181" t="s">
        <v>29</v>
      </c>
      <c r="G554" s="181" t="s">
        <v>53</v>
      </c>
      <c r="H554" s="181" t="s">
        <v>204</v>
      </c>
      <c r="I554" s="181" t="s">
        <v>205</v>
      </c>
      <c r="J554" s="181" t="s">
        <v>90</v>
      </c>
      <c r="K554" t="s">
        <v>34</v>
      </c>
      <c r="M554" s="1" t="s">
        <v>35</v>
      </c>
      <c r="N554" s="1">
        <v>42318949</v>
      </c>
      <c r="O554" s="1" t="s">
        <v>36</v>
      </c>
      <c r="P554" s="186">
        <v>44781.761643518519</v>
      </c>
      <c r="R554" s="1" t="s">
        <v>38</v>
      </c>
      <c r="T554" s="1" t="s">
        <v>74</v>
      </c>
      <c r="U554" s="186">
        <v>44782.75</v>
      </c>
      <c r="V554" s="1" t="s">
        <v>41</v>
      </c>
      <c r="W554" s="1" t="s">
        <v>49</v>
      </c>
      <c r="X554" s="13" t="str">
        <f>IF(RIGHT(H554,2)&lt;&gt;"00",H554,"")</f>
        <v/>
      </c>
      <c r="Y554" s="2">
        <f ca="1">NETWORKDAYS(P554,$Y$1)</f>
        <v>148</v>
      </c>
      <c r="Z554" s="14">
        <v>1</v>
      </c>
      <c r="AA554" s="1" t="str">
        <f t="shared" ca="1" si="40"/>
        <v>VENCIDO</v>
      </c>
      <c r="AB554" s="1" t="str">
        <f t="shared" si="41"/>
        <v>Dosa</v>
      </c>
      <c r="AC554" s="2" t="str">
        <f t="shared" si="44"/>
        <v xml:space="preserve"> RINALDO </v>
      </c>
      <c r="AD554" s="2">
        <f t="shared" si="42"/>
        <v>5</v>
      </c>
      <c r="AE554" s="2">
        <f t="shared" ca="1" si="43"/>
        <v>-203.9262716435187</v>
      </c>
      <c r="AF554" s="15"/>
    </row>
    <row r="555" spans="1:32" hidden="1">
      <c r="A555" s="1">
        <v>8818302</v>
      </c>
      <c r="B555" s="1" t="s">
        <v>101</v>
      </c>
      <c r="C555" t="s">
        <v>1125</v>
      </c>
      <c r="E555" s="2">
        <v>4637000206001</v>
      </c>
      <c r="F555" s="1" t="s">
        <v>29</v>
      </c>
      <c r="G555" s="1" t="s">
        <v>53</v>
      </c>
      <c r="H555" s="1" t="s">
        <v>848</v>
      </c>
      <c r="I555" s="1" t="s">
        <v>849</v>
      </c>
      <c r="J555" s="1" t="s">
        <v>79</v>
      </c>
      <c r="K555" t="s">
        <v>34</v>
      </c>
      <c r="M555" s="1" t="s">
        <v>35</v>
      </c>
      <c r="N555" s="1">
        <v>42318949</v>
      </c>
      <c r="O555" s="1" t="s">
        <v>105</v>
      </c>
      <c r="P555" s="186">
        <v>44781.75980324074</v>
      </c>
      <c r="R555" s="1" t="s">
        <v>38</v>
      </c>
      <c r="T555" s="1" t="s">
        <v>74</v>
      </c>
      <c r="U555" s="186">
        <v>44782.75</v>
      </c>
      <c r="V555" s="1" t="s">
        <v>41</v>
      </c>
      <c r="W555" s="1" t="s">
        <v>49</v>
      </c>
      <c r="X555" s="13" t="str">
        <f>IF(RIGHT(H555,2)&lt;&gt;"00",H555,"")</f>
        <v/>
      </c>
      <c r="Y555" s="2">
        <f ca="1">NETWORKDAYS(P555,$Y$1)</f>
        <v>148</v>
      </c>
      <c r="Z555" s="14">
        <v>1</v>
      </c>
      <c r="AA555" s="1" t="str">
        <f t="shared" ca="1" si="40"/>
        <v>VENCIDO</v>
      </c>
      <c r="AB555" s="1" t="str">
        <f t="shared" si="41"/>
        <v>Dosa</v>
      </c>
      <c r="AC555" s="2" t="str">
        <f t="shared" si="44"/>
        <v xml:space="preserve"> ROSEMERE </v>
      </c>
      <c r="AD555" s="2">
        <f t="shared" si="42"/>
        <v>5</v>
      </c>
      <c r="AE555" s="2">
        <f t="shared" ca="1" si="43"/>
        <v>-203.9262716435187</v>
      </c>
      <c r="AF555" s="15"/>
    </row>
    <row r="556" spans="1:32" hidden="1">
      <c r="A556" s="1">
        <v>8816066</v>
      </c>
      <c r="B556" s="1" t="s">
        <v>101</v>
      </c>
      <c r="C556" t="s">
        <v>1125</v>
      </c>
      <c r="E556" s="2">
        <v>1732000206001</v>
      </c>
      <c r="F556" s="1" t="s">
        <v>29</v>
      </c>
      <c r="G556" s="1" t="s">
        <v>53</v>
      </c>
      <c r="H556" s="1" t="s">
        <v>177</v>
      </c>
      <c r="I556" s="1" t="s">
        <v>178</v>
      </c>
      <c r="J556" s="1" t="s">
        <v>164</v>
      </c>
      <c r="K556" t="s">
        <v>34</v>
      </c>
      <c r="M556" s="1" t="s">
        <v>35</v>
      </c>
      <c r="N556" s="1">
        <v>42318949</v>
      </c>
      <c r="O556" s="1" t="s">
        <v>105</v>
      </c>
      <c r="P556" s="186">
        <v>44781.756666666668</v>
      </c>
      <c r="R556" s="1" t="s">
        <v>38</v>
      </c>
      <c r="T556" s="1" t="s">
        <v>74</v>
      </c>
      <c r="U556" s="186">
        <v>44782.75</v>
      </c>
      <c r="V556" s="1" t="s">
        <v>41</v>
      </c>
      <c r="W556" s="1" t="s">
        <v>49</v>
      </c>
      <c r="X556" s="13" t="str">
        <f>IF(RIGHT(H556,2)&lt;&gt;"00",H556,"")</f>
        <v/>
      </c>
      <c r="Y556" s="2">
        <f ca="1">NETWORKDAYS(P556,$Y$1)</f>
        <v>148</v>
      </c>
      <c r="Z556" s="14">
        <v>1</v>
      </c>
      <c r="AA556" s="1" t="str">
        <f t="shared" ca="1" si="40"/>
        <v>VENCIDO</v>
      </c>
      <c r="AB556" s="1" t="str">
        <f t="shared" si="41"/>
        <v>Dosa</v>
      </c>
      <c r="AC556" s="2" t="str">
        <f t="shared" si="44"/>
        <v xml:space="preserve"> ROSEMERE </v>
      </c>
      <c r="AD556" s="2">
        <f t="shared" si="42"/>
        <v>5</v>
      </c>
      <c r="AE556" s="2">
        <f t="shared" ca="1" si="43"/>
        <v>-203.9262716435187</v>
      </c>
      <c r="AF556" s="15"/>
    </row>
    <row r="557" spans="1:32" hidden="1">
      <c r="A557" s="1">
        <v>8815493</v>
      </c>
      <c r="B557" s="1" t="s">
        <v>101</v>
      </c>
      <c r="C557" t="s">
        <v>1125</v>
      </c>
      <c r="E557" s="2">
        <v>1120000206001</v>
      </c>
      <c r="F557" s="1" t="s">
        <v>29</v>
      </c>
      <c r="G557" s="1" t="s">
        <v>53</v>
      </c>
      <c r="H557" s="1" t="s">
        <v>181</v>
      </c>
      <c r="I557" s="1" t="s">
        <v>182</v>
      </c>
      <c r="J557" s="1" t="s">
        <v>164</v>
      </c>
      <c r="K557" t="s">
        <v>34</v>
      </c>
      <c r="M557" s="1" t="s">
        <v>35</v>
      </c>
      <c r="N557" s="1">
        <v>42318949</v>
      </c>
      <c r="O557" s="1" t="s">
        <v>36</v>
      </c>
      <c r="P557" s="186">
        <v>44781.755798611113</v>
      </c>
      <c r="R557" s="1" t="s">
        <v>38</v>
      </c>
      <c r="T557" s="1" t="s">
        <v>74</v>
      </c>
      <c r="U557" s="186">
        <v>44782.75</v>
      </c>
      <c r="V557" s="1" t="s">
        <v>41</v>
      </c>
      <c r="W557" s="1" t="s">
        <v>49</v>
      </c>
      <c r="X557" s="13" t="str">
        <f>IF(RIGHT(H557,2)&lt;&gt;"00",H557,"")</f>
        <v/>
      </c>
      <c r="Y557" s="2">
        <f ca="1">NETWORKDAYS(P557,$Y$1)</f>
        <v>148</v>
      </c>
      <c r="Z557" s="14">
        <v>1</v>
      </c>
      <c r="AA557" s="1" t="str">
        <f t="shared" ca="1" si="40"/>
        <v>VENCIDO</v>
      </c>
      <c r="AB557" s="1" t="str">
        <f t="shared" si="41"/>
        <v>Dosa</v>
      </c>
      <c r="AC557" s="2" t="str">
        <f t="shared" si="44"/>
        <v xml:space="preserve"> ROSEMERE </v>
      </c>
      <c r="AD557" s="2">
        <f t="shared" si="42"/>
        <v>5</v>
      </c>
      <c r="AE557" s="2">
        <f t="shared" ca="1" si="43"/>
        <v>-203.9262716435187</v>
      </c>
      <c r="AF557" s="15"/>
    </row>
    <row r="558" spans="1:32" hidden="1">
      <c r="A558" s="1">
        <v>8815426</v>
      </c>
      <c r="B558" s="1" t="s">
        <v>101</v>
      </c>
      <c r="C558" t="s">
        <v>1125</v>
      </c>
      <c r="E558" s="2">
        <v>1049000206001</v>
      </c>
      <c r="F558" s="1" t="s">
        <v>29</v>
      </c>
      <c r="G558" s="1" t="s">
        <v>53</v>
      </c>
      <c r="H558" s="1" t="s">
        <v>169</v>
      </c>
      <c r="I558" s="1" t="s">
        <v>170</v>
      </c>
      <c r="J558" s="1" t="s">
        <v>164</v>
      </c>
      <c r="K558" t="s">
        <v>34</v>
      </c>
      <c r="M558" s="1" t="s">
        <v>35</v>
      </c>
      <c r="N558" s="1">
        <v>42318949</v>
      </c>
      <c r="O558" s="1" t="s">
        <v>105</v>
      </c>
      <c r="P558" s="186">
        <v>44781.755694444444</v>
      </c>
      <c r="R558" s="1" t="s">
        <v>38</v>
      </c>
      <c r="T558" s="1" t="s">
        <v>74</v>
      </c>
      <c r="U558" s="186">
        <v>44782.75</v>
      </c>
      <c r="V558" s="1" t="s">
        <v>41</v>
      </c>
      <c r="W558" s="1" t="s">
        <v>49</v>
      </c>
      <c r="X558" s="13" t="str">
        <f>IF(RIGHT(H558,2)&lt;&gt;"00",H558,"")</f>
        <v/>
      </c>
      <c r="Y558" s="2">
        <f ca="1">NETWORKDAYS(P558,$Y$1)</f>
        <v>148</v>
      </c>
      <c r="Z558" s="14">
        <v>1</v>
      </c>
      <c r="AA558" s="1" t="str">
        <f t="shared" ca="1" si="40"/>
        <v>VENCIDO</v>
      </c>
      <c r="AB558" s="1" t="str">
        <f t="shared" si="41"/>
        <v>Dosa</v>
      </c>
      <c r="AC558" s="2" t="str">
        <f t="shared" si="44"/>
        <v xml:space="preserve"> ROSEMERE </v>
      </c>
      <c r="AD558" s="2">
        <f t="shared" si="42"/>
        <v>5</v>
      </c>
      <c r="AE558" s="2">
        <f t="shared" ca="1" si="43"/>
        <v>-203.9262716435187</v>
      </c>
      <c r="AF558" s="15"/>
    </row>
    <row r="559" spans="1:32" hidden="1">
      <c r="A559" s="1">
        <v>8815270</v>
      </c>
      <c r="B559" s="1" t="s">
        <v>101</v>
      </c>
      <c r="C559" t="s">
        <v>1125</v>
      </c>
      <c r="E559" s="2">
        <v>899000206001</v>
      </c>
      <c r="F559" s="1" t="s">
        <v>29</v>
      </c>
      <c r="G559" s="1" t="s">
        <v>53</v>
      </c>
      <c r="H559" s="1" t="s">
        <v>175</v>
      </c>
      <c r="I559" s="1" t="s">
        <v>176</v>
      </c>
      <c r="J559" s="1" t="s">
        <v>90</v>
      </c>
      <c r="K559" t="s">
        <v>34</v>
      </c>
      <c r="M559" s="1" t="s">
        <v>35</v>
      </c>
      <c r="N559" s="1">
        <v>42318949</v>
      </c>
      <c r="O559" s="1" t="s">
        <v>36</v>
      </c>
      <c r="P559" s="186">
        <v>44781.75545138889</v>
      </c>
      <c r="R559" s="1" t="s">
        <v>38</v>
      </c>
      <c r="T559" s="1" t="s">
        <v>74</v>
      </c>
      <c r="U559" s="186">
        <v>44782.75</v>
      </c>
      <c r="V559" s="1" t="s">
        <v>41</v>
      </c>
      <c r="W559" s="1" t="s">
        <v>49</v>
      </c>
      <c r="X559" s="13" t="str">
        <f>IF(RIGHT(H559,2)&lt;&gt;"00",H559,"")</f>
        <v/>
      </c>
      <c r="Y559" s="2">
        <f ca="1">NETWORKDAYS(P559,$Y$1)</f>
        <v>148</v>
      </c>
      <c r="Z559" s="14">
        <v>1</v>
      </c>
      <c r="AA559" s="1" t="str">
        <f t="shared" ca="1" si="40"/>
        <v>VENCIDO</v>
      </c>
      <c r="AB559" s="1" t="str">
        <f t="shared" si="41"/>
        <v>Dosa</v>
      </c>
      <c r="AC559" s="2" t="str">
        <f t="shared" si="44"/>
        <v xml:space="preserve"> RINALDO </v>
      </c>
      <c r="AD559" s="2">
        <f t="shared" si="42"/>
        <v>5</v>
      </c>
      <c r="AE559" s="2">
        <f t="shared" ca="1" si="43"/>
        <v>-203.9262716435187</v>
      </c>
      <c r="AF559" s="15"/>
    </row>
    <row r="560" spans="1:32" hidden="1">
      <c r="A560" s="1">
        <v>8814941</v>
      </c>
      <c r="B560" s="1" t="s">
        <v>101</v>
      </c>
      <c r="C560" t="s">
        <v>1125</v>
      </c>
      <c r="E560" s="2">
        <v>594000206001</v>
      </c>
      <c r="F560" s="1" t="s">
        <v>29</v>
      </c>
      <c r="G560" s="1" t="s">
        <v>53</v>
      </c>
      <c r="H560" s="1" t="s">
        <v>444</v>
      </c>
      <c r="I560" s="1" t="s">
        <v>445</v>
      </c>
      <c r="J560" s="1" t="s">
        <v>33</v>
      </c>
      <c r="K560" t="s">
        <v>34</v>
      </c>
      <c r="M560" s="1" t="s">
        <v>35</v>
      </c>
      <c r="N560" s="1">
        <v>42318949</v>
      </c>
      <c r="O560" s="1" t="s">
        <v>36</v>
      </c>
      <c r="P560" s="186">
        <v>44781.754965277774</v>
      </c>
      <c r="R560" s="1" t="s">
        <v>38</v>
      </c>
      <c r="T560" s="1" t="s">
        <v>74</v>
      </c>
      <c r="U560" s="186">
        <v>44782.75</v>
      </c>
      <c r="V560" s="1" t="s">
        <v>41</v>
      </c>
      <c r="W560" s="1" t="s">
        <v>42</v>
      </c>
      <c r="X560" s="13" t="str">
        <f>IF(RIGHT(H560,2)&lt;&gt;"00",H560,"")</f>
        <v/>
      </c>
      <c r="Y560" s="2">
        <f ca="1">NETWORKDAYS(P560,$Y$1)</f>
        <v>148</v>
      </c>
      <c r="Z560" s="14">
        <v>1</v>
      </c>
      <c r="AA560" s="1" t="str">
        <f t="shared" ca="1" si="40"/>
        <v>VENCIDO</v>
      </c>
      <c r="AB560" s="1" t="str">
        <f t="shared" si="41"/>
        <v>Dosa</v>
      </c>
      <c r="AC560" s="2" t="str">
        <f t="shared" si="44"/>
        <v xml:space="preserve"> ROSEMERE </v>
      </c>
      <c r="AD560" s="2">
        <f t="shared" si="42"/>
        <v>5</v>
      </c>
      <c r="AE560" s="2">
        <f t="shared" ca="1" si="43"/>
        <v>-203.9262716435187</v>
      </c>
      <c r="AF560" s="15"/>
    </row>
    <row r="561" spans="1:32" hidden="1">
      <c r="A561" s="1">
        <v>8814916</v>
      </c>
      <c r="B561" s="1" t="s">
        <v>101</v>
      </c>
      <c r="C561" t="s">
        <v>1125</v>
      </c>
      <c r="E561" s="2">
        <v>570000206001</v>
      </c>
      <c r="F561" s="1" t="s">
        <v>29</v>
      </c>
      <c r="G561" s="1" t="s">
        <v>53</v>
      </c>
      <c r="H561" s="1" t="s">
        <v>434</v>
      </c>
      <c r="I561" s="1" t="s">
        <v>435</v>
      </c>
      <c r="J561" s="1" t="s">
        <v>148</v>
      </c>
      <c r="K561" t="s">
        <v>34</v>
      </c>
      <c r="M561" s="1" t="s">
        <v>35</v>
      </c>
      <c r="N561" s="1">
        <v>42318949</v>
      </c>
      <c r="O561" s="1" t="s">
        <v>36</v>
      </c>
      <c r="P561" s="186">
        <v>44781.754930555559</v>
      </c>
      <c r="R561" s="1" t="s">
        <v>38</v>
      </c>
      <c r="T561" s="1" t="s">
        <v>74</v>
      </c>
      <c r="U561" s="186">
        <v>44782.75</v>
      </c>
      <c r="V561" s="1" t="s">
        <v>41</v>
      </c>
      <c r="W561" s="1" t="s">
        <v>49</v>
      </c>
      <c r="X561" s="13" t="str">
        <f>IF(RIGHT(H561,2)&lt;&gt;"00",H561,"")</f>
        <v/>
      </c>
      <c r="Y561" s="2">
        <f ca="1">NETWORKDAYS(P561,$Y$1)</f>
        <v>148</v>
      </c>
      <c r="Z561" s="14">
        <v>1</v>
      </c>
      <c r="AA561" s="1" t="str">
        <f t="shared" ca="1" si="40"/>
        <v>VENCIDO</v>
      </c>
      <c r="AB561" s="1" t="str">
        <f t="shared" si="41"/>
        <v>Dosa</v>
      </c>
      <c r="AC561" s="2" t="str">
        <f t="shared" si="44"/>
        <v xml:space="preserve"> RINALDO </v>
      </c>
      <c r="AD561" s="2">
        <f t="shared" si="42"/>
        <v>5</v>
      </c>
      <c r="AE561" s="2">
        <f t="shared" ca="1" si="43"/>
        <v>-203.9262716435187</v>
      </c>
      <c r="AF561" s="15"/>
    </row>
    <row r="562" spans="1:32" hidden="1">
      <c r="A562" s="1">
        <v>8814895</v>
      </c>
      <c r="B562" s="1" t="s">
        <v>101</v>
      </c>
      <c r="C562" t="s">
        <v>1125</v>
      </c>
      <c r="E562" s="2">
        <v>550000206001</v>
      </c>
      <c r="F562" s="1" t="s">
        <v>29</v>
      </c>
      <c r="G562" s="1" t="s">
        <v>53</v>
      </c>
      <c r="H562" s="1" t="s">
        <v>337</v>
      </c>
      <c r="I562" s="1" t="s">
        <v>338</v>
      </c>
      <c r="J562" s="1" t="s">
        <v>164</v>
      </c>
      <c r="K562" t="s">
        <v>34</v>
      </c>
      <c r="M562" s="1" t="s">
        <v>35</v>
      </c>
      <c r="N562" s="1">
        <v>42318949</v>
      </c>
      <c r="O562" s="1" t="s">
        <v>105</v>
      </c>
      <c r="P562" s="186">
        <v>44781.754895833335</v>
      </c>
      <c r="R562" s="1" t="s">
        <v>38</v>
      </c>
      <c r="T562" s="1" t="s">
        <v>74</v>
      </c>
      <c r="U562" s="186">
        <v>44782.75</v>
      </c>
      <c r="V562" s="1" t="s">
        <v>41</v>
      </c>
      <c r="W562" s="1" t="s">
        <v>49</v>
      </c>
      <c r="X562" s="13" t="str">
        <f>IF(RIGHT(H562,2)&lt;&gt;"00",H562,"")</f>
        <v/>
      </c>
      <c r="Y562" s="2">
        <f ca="1">NETWORKDAYS(P562,$Y$1)</f>
        <v>148</v>
      </c>
      <c r="Z562" s="14">
        <v>1</v>
      </c>
      <c r="AA562" s="1" t="str">
        <f t="shared" ca="1" si="40"/>
        <v>VENCIDO</v>
      </c>
      <c r="AB562" s="1" t="str">
        <f t="shared" si="41"/>
        <v>Dosa</v>
      </c>
      <c r="AC562" s="2" t="str">
        <f t="shared" si="44"/>
        <v xml:space="preserve"> ROSEMERE </v>
      </c>
      <c r="AD562" s="2">
        <f t="shared" si="42"/>
        <v>5</v>
      </c>
      <c r="AE562" s="2">
        <f t="shared" ca="1" si="43"/>
        <v>-203.9262716435187</v>
      </c>
      <c r="AF562" s="15"/>
    </row>
    <row r="563" spans="1:32" hidden="1">
      <c r="A563" s="181">
        <v>8812545</v>
      </c>
      <c r="B563" s="181" t="s">
        <v>101</v>
      </c>
      <c r="C563" s="182" t="s">
        <v>3583</v>
      </c>
      <c r="D563" s="183"/>
      <c r="E563" s="183">
        <v>9705000206001</v>
      </c>
      <c r="F563" s="181" t="s">
        <v>29</v>
      </c>
      <c r="G563" s="181" t="s">
        <v>53</v>
      </c>
      <c r="H563" s="181" t="s">
        <v>204</v>
      </c>
      <c r="I563" s="181" t="s">
        <v>205</v>
      </c>
      <c r="J563" s="181" t="s">
        <v>90</v>
      </c>
      <c r="K563" t="s">
        <v>34</v>
      </c>
      <c r="M563" s="1" t="s">
        <v>35</v>
      </c>
      <c r="N563" s="1">
        <v>42318949</v>
      </c>
      <c r="O563" s="1" t="s">
        <v>105</v>
      </c>
      <c r="P563" s="186">
        <v>44781.506111111114</v>
      </c>
      <c r="R563" s="1" t="s">
        <v>38</v>
      </c>
      <c r="T563" s="1" t="s">
        <v>74</v>
      </c>
      <c r="U563" s="186">
        <v>44781.75</v>
      </c>
      <c r="V563" s="1" t="s">
        <v>41</v>
      </c>
      <c r="W563" s="1" t="s">
        <v>49</v>
      </c>
      <c r="X563" s="13" t="str">
        <f>IF(RIGHT(H563,2)&lt;&gt;"00",H563,"")</f>
        <v/>
      </c>
      <c r="Y563" s="2">
        <f ca="1">NETWORKDAYS(P563,$Y$1)</f>
        <v>148</v>
      </c>
      <c r="Z563" s="14">
        <v>1</v>
      </c>
      <c r="AA563" s="1" t="str">
        <f t="shared" ca="1" si="40"/>
        <v>VENCIDO</v>
      </c>
      <c r="AB563" s="1" t="str">
        <f t="shared" si="41"/>
        <v>Dosa</v>
      </c>
      <c r="AC563" s="2" t="str">
        <f t="shared" si="44"/>
        <v xml:space="preserve"> RINALDO </v>
      </c>
      <c r="AD563" s="2">
        <f t="shared" si="42"/>
        <v>5</v>
      </c>
      <c r="AE563" s="2">
        <f t="shared" ca="1" si="43"/>
        <v>-204.9262716435187</v>
      </c>
      <c r="AF563" s="15"/>
    </row>
    <row r="564" spans="1:32" hidden="1">
      <c r="A564" s="181">
        <v>8812544</v>
      </c>
      <c r="B564" s="181" t="s">
        <v>101</v>
      </c>
      <c r="C564" s="182" t="s">
        <v>3583</v>
      </c>
      <c r="D564" s="183"/>
      <c r="E564" s="183">
        <v>9705000206001</v>
      </c>
      <c r="F564" s="181" t="s">
        <v>29</v>
      </c>
      <c r="G564" s="181" t="s">
        <v>53</v>
      </c>
      <c r="H564" s="181" t="s">
        <v>204</v>
      </c>
      <c r="I564" s="181" t="s">
        <v>205</v>
      </c>
      <c r="J564" s="181" t="s">
        <v>90</v>
      </c>
      <c r="K564" t="s">
        <v>34</v>
      </c>
      <c r="M564" s="1" t="s">
        <v>35</v>
      </c>
      <c r="N564" s="1">
        <v>42318949</v>
      </c>
      <c r="O564" s="1" t="s">
        <v>105</v>
      </c>
      <c r="P564" s="186">
        <v>44781.506111111114</v>
      </c>
      <c r="R564" s="1" t="s">
        <v>38</v>
      </c>
      <c r="T564" s="1" t="s">
        <v>74</v>
      </c>
      <c r="U564" s="186">
        <v>44781.75</v>
      </c>
      <c r="V564" s="1" t="s">
        <v>41</v>
      </c>
      <c r="W564" s="1" t="s">
        <v>49</v>
      </c>
      <c r="X564" s="13" t="str">
        <f>IF(RIGHT(H564,2)&lt;&gt;"00",H564,"")</f>
        <v/>
      </c>
      <c r="Y564" s="2">
        <f ca="1">NETWORKDAYS(P564,$Y$1)</f>
        <v>148</v>
      </c>
      <c r="Z564" s="14">
        <v>1</v>
      </c>
      <c r="AA564" s="1" t="str">
        <f t="shared" ca="1" si="40"/>
        <v>VENCIDO</v>
      </c>
      <c r="AB564" s="1" t="str">
        <f t="shared" si="41"/>
        <v>Dosa</v>
      </c>
      <c r="AC564" s="2" t="str">
        <f t="shared" si="44"/>
        <v xml:space="preserve"> RINALDO </v>
      </c>
      <c r="AD564" s="2">
        <f t="shared" si="42"/>
        <v>5</v>
      </c>
      <c r="AE564" s="2">
        <f t="shared" ca="1" si="43"/>
        <v>-204.9262716435187</v>
      </c>
      <c r="AF564" s="15"/>
    </row>
    <row r="565" spans="1:32" hidden="1">
      <c r="A565" s="181">
        <v>8812543</v>
      </c>
      <c r="B565" s="181" t="s">
        <v>101</v>
      </c>
      <c r="C565" s="182" t="s">
        <v>3583</v>
      </c>
      <c r="D565" s="183"/>
      <c r="E565" s="183">
        <v>9705000206001</v>
      </c>
      <c r="F565" s="181" t="s">
        <v>29</v>
      </c>
      <c r="G565" s="181" t="s">
        <v>53</v>
      </c>
      <c r="H565" s="181" t="s">
        <v>204</v>
      </c>
      <c r="I565" s="181" t="s">
        <v>205</v>
      </c>
      <c r="J565" s="181" t="s">
        <v>90</v>
      </c>
      <c r="K565" t="s">
        <v>34</v>
      </c>
      <c r="M565" s="1" t="s">
        <v>35</v>
      </c>
      <c r="N565" s="1">
        <v>42318949</v>
      </c>
      <c r="O565" s="1" t="s">
        <v>105</v>
      </c>
      <c r="P565" s="186">
        <v>44781.506111111114</v>
      </c>
      <c r="R565" s="1" t="s">
        <v>38</v>
      </c>
      <c r="T565" s="1" t="s">
        <v>74</v>
      </c>
      <c r="U565" s="186">
        <v>44781.75</v>
      </c>
      <c r="V565" s="1" t="s">
        <v>41</v>
      </c>
      <c r="W565" s="1" t="s">
        <v>49</v>
      </c>
      <c r="X565" s="13" t="str">
        <f>IF(RIGHT(H565,2)&lt;&gt;"00",H565,"")</f>
        <v/>
      </c>
      <c r="Y565" s="2">
        <f ca="1">NETWORKDAYS(P565,$Y$1)</f>
        <v>148</v>
      </c>
      <c r="Z565" s="14">
        <v>1</v>
      </c>
      <c r="AA565" s="1" t="str">
        <f t="shared" ca="1" si="40"/>
        <v>VENCIDO</v>
      </c>
      <c r="AB565" s="1" t="str">
        <f t="shared" si="41"/>
        <v>Dosa</v>
      </c>
      <c r="AC565" s="2" t="str">
        <f t="shared" si="44"/>
        <v xml:space="preserve"> RINALDO </v>
      </c>
      <c r="AD565" s="2">
        <f t="shared" si="42"/>
        <v>5</v>
      </c>
      <c r="AE565" s="2">
        <f t="shared" ca="1" si="43"/>
        <v>-204.9262716435187</v>
      </c>
      <c r="AF565" s="15"/>
    </row>
    <row r="566" spans="1:32" hidden="1">
      <c r="A566" s="1">
        <v>8812542</v>
      </c>
      <c r="B566" s="1" t="s">
        <v>101</v>
      </c>
      <c r="C566" t="s">
        <v>1134</v>
      </c>
      <c r="E566" s="2">
        <v>9704000206001</v>
      </c>
      <c r="F566" s="1" t="s">
        <v>29</v>
      </c>
      <c r="G566" s="1" t="s">
        <v>53</v>
      </c>
      <c r="H566" s="1" t="s">
        <v>488</v>
      </c>
      <c r="I566" s="1" t="s">
        <v>489</v>
      </c>
      <c r="J566" s="1" t="s">
        <v>164</v>
      </c>
      <c r="K566" t="s">
        <v>34</v>
      </c>
      <c r="M566" s="1" t="s">
        <v>35</v>
      </c>
      <c r="N566" s="1">
        <v>42318949</v>
      </c>
      <c r="O566" s="1" t="s">
        <v>105</v>
      </c>
      <c r="P566" s="186">
        <v>44781.506111111114</v>
      </c>
      <c r="R566" s="1" t="s">
        <v>38</v>
      </c>
      <c r="T566" s="1" t="s">
        <v>74</v>
      </c>
      <c r="U566" s="186">
        <v>44781.75</v>
      </c>
      <c r="V566" s="1" t="s">
        <v>41</v>
      </c>
      <c r="W566" s="1" t="s">
        <v>49</v>
      </c>
      <c r="X566" s="13" t="str">
        <f>IF(RIGHT(H566,2)&lt;&gt;"00",H566,"")</f>
        <v/>
      </c>
      <c r="Y566" s="2">
        <f ca="1">NETWORKDAYS(P566,$Y$1)</f>
        <v>148</v>
      </c>
      <c r="Z566" s="14">
        <v>1</v>
      </c>
      <c r="AA566" s="1" t="str">
        <f t="shared" ca="1" si="40"/>
        <v>VENCIDO</v>
      </c>
      <c r="AB566" s="1" t="str">
        <f t="shared" si="41"/>
        <v>Dosa</v>
      </c>
      <c r="AC566" s="2" t="str">
        <f t="shared" si="44"/>
        <v xml:space="preserve"> ROSEMERE </v>
      </c>
      <c r="AD566" s="2">
        <f t="shared" si="42"/>
        <v>5</v>
      </c>
      <c r="AE566" s="2">
        <f t="shared" ca="1" si="43"/>
        <v>-204.9262716435187</v>
      </c>
      <c r="AF566" s="15"/>
    </row>
    <row r="567" spans="1:32" hidden="1">
      <c r="A567" s="1">
        <v>8812541</v>
      </c>
      <c r="B567" s="1" t="s">
        <v>101</v>
      </c>
      <c r="C567" t="s">
        <v>1134</v>
      </c>
      <c r="E567" s="2">
        <v>9704000206001</v>
      </c>
      <c r="F567" s="1" t="s">
        <v>29</v>
      </c>
      <c r="G567" s="1" t="s">
        <v>53</v>
      </c>
      <c r="H567" s="1" t="s">
        <v>488</v>
      </c>
      <c r="I567" s="1" t="s">
        <v>489</v>
      </c>
      <c r="J567" s="1" t="s">
        <v>164</v>
      </c>
      <c r="K567" t="s">
        <v>34</v>
      </c>
      <c r="M567" s="1" t="s">
        <v>35</v>
      </c>
      <c r="N567" s="1">
        <v>42318949</v>
      </c>
      <c r="O567" s="1" t="s">
        <v>105</v>
      </c>
      <c r="P567" s="186">
        <v>44781.506111111114</v>
      </c>
      <c r="R567" s="1" t="s">
        <v>38</v>
      </c>
      <c r="T567" s="1" t="s">
        <v>74</v>
      </c>
      <c r="U567" s="186">
        <v>44781.75</v>
      </c>
      <c r="V567" s="1" t="s">
        <v>41</v>
      </c>
      <c r="W567" s="1" t="s">
        <v>49</v>
      </c>
      <c r="X567" s="13" t="str">
        <f>IF(RIGHT(H567,2)&lt;&gt;"00",H567,"")</f>
        <v/>
      </c>
      <c r="Y567" s="2">
        <f ca="1">NETWORKDAYS(P567,$Y$1)</f>
        <v>148</v>
      </c>
      <c r="Z567" s="14">
        <v>1</v>
      </c>
      <c r="AA567" s="1" t="str">
        <f t="shared" ca="1" si="40"/>
        <v>VENCIDO</v>
      </c>
      <c r="AB567" s="1" t="str">
        <f t="shared" si="41"/>
        <v>Dosa</v>
      </c>
      <c r="AC567" s="2" t="str">
        <f t="shared" si="44"/>
        <v xml:space="preserve"> ROSEMERE </v>
      </c>
      <c r="AD567" s="2">
        <f t="shared" si="42"/>
        <v>5</v>
      </c>
      <c r="AE567" s="2">
        <f t="shared" ca="1" si="43"/>
        <v>-204.9262716435187</v>
      </c>
      <c r="AF567" s="15"/>
    </row>
    <row r="568" spans="1:32" hidden="1">
      <c r="A568" s="1">
        <v>8812540</v>
      </c>
      <c r="B568" s="1" t="s">
        <v>101</v>
      </c>
      <c r="C568" t="s">
        <v>1134</v>
      </c>
      <c r="E568" s="2">
        <v>9704000206001</v>
      </c>
      <c r="F568" s="1" t="s">
        <v>29</v>
      </c>
      <c r="G568" s="1" t="s">
        <v>53</v>
      </c>
      <c r="H568" s="1" t="s">
        <v>488</v>
      </c>
      <c r="I568" s="1" t="s">
        <v>489</v>
      </c>
      <c r="J568" s="1" t="s">
        <v>164</v>
      </c>
      <c r="K568" t="s">
        <v>34</v>
      </c>
      <c r="M568" s="1" t="s">
        <v>35</v>
      </c>
      <c r="N568" s="1">
        <v>42318949</v>
      </c>
      <c r="O568" s="1" t="s">
        <v>105</v>
      </c>
      <c r="P568" s="186">
        <v>44781.506111111114</v>
      </c>
      <c r="R568" s="1" t="s">
        <v>38</v>
      </c>
      <c r="T568" s="1" t="s">
        <v>74</v>
      </c>
      <c r="U568" s="186">
        <v>44781.75</v>
      </c>
      <c r="V568" s="1" t="s">
        <v>41</v>
      </c>
      <c r="W568" s="1" t="s">
        <v>49</v>
      </c>
      <c r="X568" s="13" t="str">
        <f>IF(RIGHT(H568,2)&lt;&gt;"00",H568,"")</f>
        <v/>
      </c>
      <c r="Y568" s="2">
        <f ca="1">NETWORKDAYS(P568,$Y$1)</f>
        <v>148</v>
      </c>
      <c r="Z568" s="14">
        <v>1</v>
      </c>
      <c r="AA568" s="1" t="str">
        <f t="shared" ca="1" si="40"/>
        <v>VENCIDO</v>
      </c>
      <c r="AB568" s="1" t="str">
        <f t="shared" si="41"/>
        <v>Dosa</v>
      </c>
      <c r="AC568" s="2" t="str">
        <f t="shared" si="44"/>
        <v xml:space="preserve"> ROSEMERE </v>
      </c>
      <c r="AD568" s="2">
        <f t="shared" si="42"/>
        <v>5</v>
      </c>
      <c r="AE568" s="2">
        <f t="shared" ca="1" si="43"/>
        <v>-204.9262716435187</v>
      </c>
      <c r="AF568" s="15"/>
    </row>
    <row r="569" spans="1:32" hidden="1">
      <c r="A569" s="1">
        <v>8812539</v>
      </c>
      <c r="B569" s="1" t="s">
        <v>101</v>
      </c>
      <c r="C569" t="s">
        <v>1134</v>
      </c>
      <c r="E569" s="2">
        <v>9704000206001</v>
      </c>
      <c r="F569" s="1" t="s">
        <v>29</v>
      </c>
      <c r="G569" s="1" t="s">
        <v>53</v>
      </c>
      <c r="H569" s="1" t="s">
        <v>488</v>
      </c>
      <c r="I569" s="1" t="s">
        <v>489</v>
      </c>
      <c r="J569" s="1" t="s">
        <v>164</v>
      </c>
      <c r="K569" t="s">
        <v>34</v>
      </c>
      <c r="M569" s="1" t="s">
        <v>35</v>
      </c>
      <c r="N569" s="1">
        <v>42318949</v>
      </c>
      <c r="O569" s="1" t="s">
        <v>105</v>
      </c>
      <c r="P569" s="186">
        <v>44781.506111111114</v>
      </c>
      <c r="R569" s="1" t="s">
        <v>38</v>
      </c>
      <c r="T569" s="1" t="s">
        <v>74</v>
      </c>
      <c r="U569" s="186">
        <v>44781.75</v>
      </c>
      <c r="V569" s="1" t="s">
        <v>41</v>
      </c>
      <c r="W569" s="1" t="s">
        <v>49</v>
      </c>
      <c r="X569" s="13" t="str">
        <f>IF(RIGHT(H569,2)&lt;&gt;"00",H569,"")</f>
        <v/>
      </c>
      <c r="Y569" s="2">
        <f ca="1">NETWORKDAYS(P569,$Y$1)</f>
        <v>148</v>
      </c>
      <c r="Z569" s="14">
        <v>1</v>
      </c>
      <c r="AA569" s="1" t="str">
        <f t="shared" ca="1" si="40"/>
        <v>VENCIDO</v>
      </c>
      <c r="AB569" s="1" t="str">
        <f t="shared" si="41"/>
        <v>Dosa</v>
      </c>
      <c r="AC569" s="2" t="str">
        <f t="shared" si="44"/>
        <v xml:space="preserve"> ROSEMERE </v>
      </c>
      <c r="AD569" s="2">
        <f t="shared" si="42"/>
        <v>5</v>
      </c>
      <c r="AE569" s="2">
        <f t="shared" ca="1" si="43"/>
        <v>-204.9262716435187</v>
      </c>
      <c r="AF569" s="15"/>
    </row>
    <row r="570" spans="1:32" hidden="1">
      <c r="A570" s="1">
        <v>8812535</v>
      </c>
      <c r="B570" s="1" t="s">
        <v>101</v>
      </c>
      <c r="C570" t="s">
        <v>1134</v>
      </c>
      <c r="E570" s="2">
        <v>9700000206001</v>
      </c>
      <c r="F570" s="1" t="s">
        <v>29</v>
      </c>
      <c r="G570" s="1" t="s">
        <v>53</v>
      </c>
      <c r="H570" s="1" t="s">
        <v>209</v>
      </c>
      <c r="I570" s="1" t="s">
        <v>210</v>
      </c>
      <c r="J570" s="1" t="s">
        <v>211</v>
      </c>
      <c r="K570" t="s">
        <v>34</v>
      </c>
      <c r="M570" s="1" t="s">
        <v>35</v>
      </c>
      <c r="N570" s="1">
        <v>42318949</v>
      </c>
      <c r="O570" s="1" t="s">
        <v>105</v>
      </c>
      <c r="P570" s="186">
        <v>44781.506099537037</v>
      </c>
      <c r="R570" s="1" t="s">
        <v>38</v>
      </c>
      <c r="T570" s="1" t="s">
        <v>74</v>
      </c>
      <c r="U570" s="186">
        <v>44781.75</v>
      </c>
      <c r="V570" s="1" t="s">
        <v>41</v>
      </c>
      <c r="W570" s="1" t="s">
        <v>49</v>
      </c>
      <c r="X570" s="13" t="str">
        <f>IF(RIGHT(H570,2)&lt;&gt;"00",H570,"")</f>
        <v/>
      </c>
      <c r="Y570" s="2">
        <f ca="1">NETWORKDAYS(P570,$Y$1)</f>
        <v>148</v>
      </c>
      <c r="Z570" s="14">
        <v>1</v>
      </c>
      <c r="AA570" s="1" t="str">
        <f t="shared" ca="1" si="40"/>
        <v>VENCIDO</v>
      </c>
      <c r="AB570" s="1" t="str">
        <f t="shared" si="41"/>
        <v>Dosa</v>
      </c>
      <c r="AC570" s="2" t="str">
        <f t="shared" si="44"/>
        <v xml:space="preserve"> RINALDO </v>
      </c>
      <c r="AD570" s="2">
        <f t="shared" si="42"/>
        <v>5</v>
      </c>
      <c r="AE570" s="2">
        <f t="shared" ca="1" si="43"/>
        <v>-204.9262716435187</v>
      </c>
      <c r="AF570" s="15"/>
    </row>
    <row r="571" spans="1:32" hidden="1">
      <c r="A571" s="1">
        <v>8812533</v>
      </c>
      <c r="B571" s="1" t="s">
        <v>101</v>
      </c>
      <c r="C571" t="s">
        <v>1134</v>
      </c>
      <c r="E571" s="2">
        <v>9700000206001</v>
      </c>
      <c r="F571" s="1" t="s">
        <v>29</v>
      </c>
      <c r="G571" s="1" t="s">
        <v>53</v>
      </c>
      <c r="H571" s="1" t="s">
        <v>209</v>
      </c>
      <c r="I571" s="1" t="s">
        <v>210</v>
      </c>
      <c r="J571" s="1" t="s">
        <v>211</v>
      </c>
      <c r="K571" t="s">
        <v>34</v>
      </c>
      <c r="M571" s="1" t="s">
        <v>35</v>
      </c>
      <c r="N571" s="1">
        <v>42318949</v>
      </c>
      <c r="O571" s="1" t="s">
        <v>105</v>
      </c>
      <c r="P571" s="186">
        <v>44781.506099537037</v>
      </c>
      <c r="R571" s="1" t="s">
        <v>38</v>
      </c>
      <c r="T571" s="1" t="s">
        <v>74</v>
      </c>
      <c r="U571" s="186">
        <v>44781.75</v>
      </c>
      <c r="V571" s="1" t="s">
        <v>41</v>
      </c>
      <c r="W571" s="1" t="s">
        <v>49</v>
      </c>
      <c r="X571" s="13" t="str">
        <f>IF(RIGHT(H571,2)&lt;&gt;"00",H571,"")</f>
        <v/>
      </c>
      <c r="Y571" s="2">
        <f ca="1">NETWORKDAYS(P571,$Y$1)</f>
        <v>148</v>
      </c>
      <c r="Z571" s="14">
        <v>1</v>
      </c>
      <c r="AA571" s="1" t="str">
        <f t="shared" ca="1" si="40"/>
        <v>VENCIDO</v>
      </c>
      <c r="AB571" s="1" t="str">
        <f t="shared" si="41"/>
        <v>Dosa</v>
      </c>
      <c r="AC571" s="2" t="str">
        <f t="shared" si="44"/>
        <v xml:space="preserve"> RINALDO </v>
      </c>
      <c r="AD571" s="2">
        <f t="shared" si="42"/>
        <v>5</v>
      </c>
      <c r="AE571" s="2">
        <f t="shared" ca="1" si="43"/>
        <v>-204.9262716435187</v>
      </c>
      <c r="AF571" s="15"/>
    </row>
    <row r="572" spans="1:32" hidden="1">
      <c r="A572" s="1">
        <v>8812532</v>
      </c>
      <c r="B572" s="1" t="s">
        <v>101</v>
      </c>
      <c r="C572" t="s">
        <v>1134</v>
      </c>
      <c r="E572" s="2">
        <v>9700000206001</v>
      </c>
      <c r="F572" s="1" t="s">
        <v>29</v>
      </c>
      <c r="G572" s="1" t="s">
        <v>53</v>
      </c>
      <c r="H572" s="1" t="s">
        <v>209</v>
      </c>
      <c r="I572" s="1" t="s">
        <v>210</v>
      </c>
      <c r="J572" s="1" t="s">
        <v>211</v>
      </c>
      <c r="K572" t="s">
        <v>34</v>
      </c>
      <c r="M572" s="1" t="s">
        <v>35</v>
      </c>
      <c r="N572" s="1">
        <v>42318949</v>
      </c>
      <c r="O572" s="1" t="s">
        <v>105</v>
      </c>
      <c r="P572" s="186">
        <v>44781.506099537037</v>
      </c>
      <c r="R572" s="1" t="s">
        <v>38</v>
      </c>
      <c r="T572" s="1" t="s">
        <v>74</v>
      </c>
      <c r="U572" s="186">
        <v>44781.75</v>
      </c>
      <c r="V572" s="1" t="s">
        <v>41</v>
      </c>
      <c r="W572" s="1" t="s">
        <v>49</v>
      </c>
      <c r="X572" s="13" t="str">
        <f>IF(RIGHT(H572,2)&lt;&gt;"00",H572,"")</f>
        <v/>
      </c>
      <c r="Y572" s="2">
        <f ca="1">NETWORKDAYS(P572,$Y$1)</f>
        <v>148</v>
      </c>
      <c r="Z572" s="14">
        <v>1</v>
      </c>
      <c r="AA572" s="1" t="str">
        <f t="shared" ca="1" si="40"/>
        <v>VENCIDO</v>
      </c>
      <c r="AB572" s="1" t="str">
        <f t="shared" si="41"/>
        <v>Dosa</v>
      </c>
      <c r="AC572" s="2" t="str">
        <f t="shared" si="44"/>
        <v xml:space="preserve"> RINALDO </v>
      </c>
      <c r="AD572" s="2">
        <f t="shared" si="42"/>
        <v>5</v>
      </c>
      <c r="AE572" s="2">
        <f t="shared" ca="1" si="43"/>
        <v>-204.9262716435187</v>
      </c>
      <c r="AF572" s="15"/>
    </row>
    <row r="573" spans="1:32" hidden="1">
      <c r="A573" s="1">
        <v>8811822</v>
      </c>
      <c r="B573" s="1" t="s">
        <v>101</v>
      </c>
      <c r="C573" t="s">
        <v>1134</v>
      </c>
      <c r="E573" s="2">
        <v>4637000206001</v>
      </c>
      <c r="F573" s="1" t="s">
        <v>29</v>
      </c>
      <c r="G573" s="1" t="s">
        <v>53</v>
      </c>
      <c r="H573" s="1" t="s">
        <v>848</v>
      </c>
      <c r="I573" s="1" t="s">
        <v>849</v>
      </c>
      <c r="J573" s="1" t="s">
        <v>79</v>
      </c>
      <c r="K573" t="s">
        <v>34</v>
      </c>
      <c r="M573" s="1" t="s">
        <v>35</v>
      </c>
      <c r="N573" s="1">
        <v>42318949</v>
      </c>
      <c r="O573" s="1" t="s">
        <v>105</v>
      </c>
      <c r="P573" s="186">
        <v>44781.505231481482</v>
      </c>
      <c r="R573" s="1" t="s">
        <v>38</v>
      </c>
      <c r="T573" s="1" t="s">
        <v>74</v>
      </c>
      <c r="U573" s="186">
        <v>44781.75</v>
      </c>
      <c r="V573" s="1" t="s">
        <v>41</v>
      </c>
      <c r="W573" s="1" t="s">
        <v>49</v>
      </c>
      <c r="X573" s="13" t="str">
        <f>IF(RIGHT(H573,2)&lt;&gt;"00",H573,"")</f>
        <v/>
      </c>
      <c r="Y573" s="2">
        <f ca="1">NETWORKDAYS(P573,$Y$1)</f>
        <v>148</v>
      </c>
      <c r="Z573" s="14">
        <v>1</v>
      </c>
      <c r="AA573" s="1" t="str">
        <f t="shared" ca="1" si="40"/>
        <v>VENCIDO</v>
      </c>
      <c r="AB573" s="1" t="str">
        <f t="shared" si="41"/>
        <v>Dosa</v>
      </c>
      <c r="AC573" s="2" t="str">
        <f t="shared" si="44"/>
        <v xml:space="preserve"> ROSEMERE </v>
      </c>
      <c r="AD573" s="2">
        <f t="shared" si="42"/>
        <v>5</v>
      </c>
      <c r="AE573" s="2">
        <f t="shared" ca="1" si="43"/>
        <v>-204.9262716435187</v>
      </c>
      <c r="AF573" s="15"/>
    </row>
    <row r="574" spans="1:32" hidden="1">
      <c r="A574" s="1">
        <v>8811127</v>
      </c>
      <c r="B574" s="1" t="s">
        <v>101</v>
      </c>
      <c r="C574" t="s">
        <v>1134</v>
      </c>
      <c r="E574" s="2">
        <v>2437000206001</v>
      </c>
      <c r="F574" s="1" t="s">
        <v>29</v>
      </c>
      <c r="G574" s="1" t="s">
        <v>53</v>
      </c>
      <c r="H574" s="1" t="s">
        <v>416</v>
      </c>
      <c r="I574" s="1" t="s">
        <v>417</v>
      </c>
      <c r="J574" s="1" t="s">
        <v>211</v>
      </c>
      <c r="K574" t="s">
        <v>34</v>
      </c>
      <c r="M574" s="1" t="s">
        <v>35</v>
      </c>
      <c r="N574" s="1">
        <v>42318949</v>
      </c>
      <c r="O574" s="1" t="s">
        <v>105</v>
      </c>
      <c r="P574" s="186">
        <v>44781.504340277781</v>
      </c>
      <c r="R574" s="1" t="s">
        <v>38</v>
      </c>
      <c r="T574" s="1" t="s">
        <v>74</v>
      </c>
      <c r="U574" s="186">
        <v>44781.75</v>
      </c>
      <c r="V574" s="1" t="s">
        <v>41</v>
      </c>
      <c r="W574" s="1" t="s">
        <v>49</v>
      </c>
      <c r="X574" s="13" t="str">
        <f>IF(RIGHT(H574,2)&lt;&gt;"00",H574,"")</f>
        <v/>
      </c>
      <c r="Y574" s="2">
        <f ca="1">NETWORKDAYS(P574,$Y$1)</f>
        <v>148</v>
      </c>
      <c r="Z574" s="14">
        <v>1</v>
      </c>
      <c r="AA574" s="1" t="str">
        <f t="shared" ca="1" si="40"/>
        <v>VENCIDO</v>
      </c>
      <c r="AB574" s="1" t="str">
        <f t="shared" si="41"/>
        <v>Dosa</v>
      </c>
      <c r="AC574" s="2" t="str">
        <f t="shared" si="44"/>
        <v xml:space="preserve"> RINALDO </v>
      </c>
      <c r="AD574" s="2">
        <f t="shared" si="42"/>
        <v>5</v>
      </c>
      <c r="AE574" s="2">
        <f t="shared" ca="1" si="43"/>
        <v>-204.9262716435187</v>
      </c>
      <c r="AF574" s="15"/>
    </row>
    <row r="575" spans="1:32" hidden="1">
      <c r="A575" s="1">
        <v>8811126</v>
      </c>
      <c r="B575" s="1" t="s">
        <v>101</v>
      </c>
      <c r="C575" t="s">
        <v>1134</v>
      </c>
      <c r="E575" s="2">
        <v>2437000206001</v>
      </c>
      <c r="F575" s="1" t="s">
        <v>29</v>
      </c>
      <c r="G575" s="1" t="s">
        <v>53</v>
      </c>
      <c r="H575" s="1" t="s">
        <v>416</v>
      </c>
      <c r="I575" s="1" t="s">
        <v>417</v>
      </c>
      <c r="J575" s="1" t="s">
        <v>211</v>
      </c>
      <c r="K575" t="s">
        <v>34</v>
      </c>
      <c r="M575" s="1" t="s">
        <v>35</v>
      </c>
      <c r="N575" s="1">
        <v>42318949</v>
      </c>
      <c r="O575" s="1" t="s">
        <v>105</v>
      </c>
      <c r="P575" s="186">
        <v>44781.504340277781</v>
      </c>
      <c r="R575" s="1" t="s">
        <v>38</v>
      </c>
      <c r="T575" s="1" t="s">
        <v>74</v>
      </c>
      <c r="U575" s="186">
        <v>44781.75</v>
      </c>
      <c r="V575" s="1" t="s">
        <v>41</v>
      </c>
      <c r="W575" s="1" t="s">
        <v>49</v>
      </c>
      <c r="X575" s="13" t="str">
        <f>IF(RIGHT(H575,2)&lt;&gt;"00",H575,"")</f>
        <v/>
      </c>
      <c r="Y575" s="2">
        <f ca="1">NETWORKDAYS(P575,$Y$1)</f>
        <v>148</v>
      </c>
      <c r="Z575" s="14">
        <v>1</v>
      </c>
      <c r="AA575" s="1" t="str">
        <f t="shared" ca="1" si="40"/>
        <v>VENCIDO</v>
      </c>
      <c r="AB575" s="1" t="str">
        <f t="shared" si="41"/>
        <v>Dosa</v>
      </c>
      <c r="AC575" s="2" t="str">
        <f t="shared" si="44"/>
        <v xml:space="preserve"> RINALDO </v>
      </c>
      <c r="AD575" s="2">
        <f t="shared" si="42"/>
        <v>5</v>
      </c>
      <c r="AE575" s="2">
        <f t="shared" ca="1" si="43"/>
        <v>-204.9262716435187</v>
      </c>
      <c r="AF575" s="15"/>
    </row>
    <row r="576" spans="1:32" hidden="1">
      <c r="A576" s="1">
        <v>8811125</v>
      </c>
      <c r="B576" s="1" t="s">
        <v>101</v>
      </c>
      <c r="C576" t="s">
        <v>1134</v>
      </c>
      <c r="E576" s="2">
        <v>2437000206001</v>
      </c>
      <c r="F576" s="1" t="s">
        <v>29</v>
      </c>
      <c r="G576" s="1" t="s">
        <v>53</v>
      </c>
      <c r="H576" s="1" t="s">
        <v>416</v>
      </c>
      <c r="I576" s="1" t="s">
        <v>417</v>
      </c>
      <c r="J576" s="1" t="s">
        <v>211</v>
      </c>
      <c r="K576" t="s">
        <v>34</v>
      </c>
      <c r="M576" s="1" t="s">
        <v>35</v>
      </c>
      <c r="N576" s="1">
        <v>42318949</v>
      </c>
      <c r="O576" s="1" t="s">
        <v>105</v>
      </c>
      <c r="P576" s="186">
        <v>44781.504340277781</v>
      </c>
      <c r="R576" s="1" t="s">
        <v>38</v>
      </c>
      <c r="T576" s="1" t="s">
        <v>74</v>
      </c>
      <c r="U576" s="186">
        <v>44781.75</v>
      </c>
      <c r="V576" s="1" t="s">
        <v>41</v>
      </c>
      <c r="W576" s="1" t="s">
        <v>49</v>
      </c>
      <c r="X576" s="13" t="str">
        <f>IF(RIGHT(H576,2)&lt;&gt;"00",H576,"")</f>
        <v/>
      </c>
      <c r="Y576" s="2">
        <f ca="1">NETWORKDAYS(P576,$Y$1)</f>
        <v>148</v>
      </c>
      <c r="Z576" s="14">
        <v>1</v>
      </c>
      <c r="AA576" s="1" t="str">
        <f t="shared" ca="1" si="40"/>
        <v>VENCIDO</v>
      </c>
      <c r="AB576" s="1" t="str">
        <f t="shared" si="41"/>
        <v>Dosa</v>
      </c>
      <c r="AC576" s="2" t="str">
        <f t="shared" si="44"/>
        <v xml:space="preserve"> RINALDO </v>
      </c>
      <c r="AD576" s="2">
        <f t="shared" si="42"/>
        <v>5</v>
      </c>
      <c r="AE576" s="2">
        <f t="shared" ca="1" si="43"/>
        <v>-204.9262716435187</v>
      </c>
      <c r="AF576" s="15"/>
    </row>
    <row r="577" spans="1:32" hidden="1">
      <c r="A577" s="1">
        <v>8810874</v>
      </c>
      <c r="B577" s="1" t="s">
        <v>101</v>
      </c>
      <c r="C577" t="s">
        <v>1134</v>
      </c>
      <c r="E577" s="2">
        <v>1739000206001</v>
      </c>
      <c r="F577" s="1" t="s">
        <v>29</v>
      </c>
      <c r="G577" s="1" t="s">
        <v>53</v>
      </c>
      <c r="H577" s="1" t="s">
        <v>162</v>
      </c>
      <c r="I577" s="1" t="s">
        <v>163</v>
      </c>
      <c r="J577" s="1" t="s">
        <v>164</v>
      </c>
      <c r="K577" t="s">
        <v>34</v>
      </c>
      <c r="M577" s="1" t="s">
        <v>35</v>
      </c>
      <c r="N577" s="1">
        <v>42318949</v>
      </c>
      <c r="O577" s="1" t="s">
        <v>105</v>
      </c>
      <c r="P577" s="186">
        <v>44781.503969907404</v>
      </c>
      <c r="R577" s="1" t="s">
        <v>38</v>
      </c>
      <c r="T577" s="1" t="s">
        <v>74</v>
      </c>
      <c r="U577" s="186">
        <v>44781.75</v>
      </c>
      <c r="V577" s="1" t="s">
        <v>41</v>
      </c>
      <c r="W577" s="1" t="s">
        <v>49</v>
      </c>
      <c r="X577" s="13" t="str">
        <f>IF(RIGHT(H577,2)&lt;&gt;"00",H577,"")</f>
        <v/>
      </c>
      <c r="Y577" s="2">
        <f ca="1">NETWORKDAYS(P577,$Y$1)</f>
        <v>148</v>
      </c>
      <c r="Z577" s="14">
        <v>1</v>
      </c>
      <c r="AA577" s="1" t="str">
        <f t="shared" ca="1" si="40"/>
        <v>VENCIDO</v>
      </c>
      <c r="AB577" s="1" t="str">
        <f t="shared" si="41"/>
        <v>Dosa</v>
      </c>
      <c r="AC577" s="2" t="str">
        <f t="shared" si="44"/>
        <v xml:space="preserve"> ROSEMERE </v>
      </c>
      <c r="AD577" s="2">
        <f t="shared" si="42"/>
        <v>5</v>
      </c>
      <c r="AE577" s="2">
        <f t="shared" ca="1" si="43"/>
        <v>-204.9262716435187</v>
      </c>
      <c r="AF577" s="15"/>
    </row>
    <row r="578" spans="1:32" hidden="1">
      <c r="A578" s="1">
        <v>8810866</v>
      </c>
      <c r="B578" s="1" t="s">
        <v>101</v>
      </c>
      <c r="C578" t="s">
        <v>1134</v>
      </c>
      <c r="E578" s="2">
        <v>1732000206001</v>
      </c>
      <c r="F578" s="1" t="s">
        <v>29</v>
      </c>
      <c r="G578" s="1" t="s">
        <v>53</v>
      </c>
      <c r="H578" s="1" t="s">
        <v>177</v>
      </c>
      <c r="I578" s="1" t="s">
        <v>178</v>
      </c>
      <c r="J578" s="1" t="s">
        <v>164</v>
      </c>
      <c r="K578" t="s">
        <v>34</v>
      </c>
      <c r="M578" s="1" t="s">
        <v>35</v>
      </c>
      <c r="N578" s="1">
        <v>42318949</v>
      </c>
      <c r="O578" s="1" t="s">
        <v>105</v>
      </c>
      <c r="P578" s="186">
        <v>44781.503958333335</v>
      </c>
      <c r="R578" s="1" t="s">
        <v>38</v>
      </c>
      <c r="T578" s="1" t="s">
        <v>74</v>
      </c>
      <c r="U578" s="186">
        <v>44781.75</v>
      </c>
      <c r="V578" s="1" t="s">
        <v>41</v>
      </c>
      <c r="W578" s="1" t="s">
        <v>49</v>
      </c>
      <c r="X578" s="13" t="str">
        <f>IF(RIGHT(H578,2)&lt;&gt;"00",H578,"")</f>
        <v/>
      </c>
      <c r="Y578" s="2">
        <f ca="1">NETWORKDAYS(P578,$Y$1)</f>
        <v>148</v>
      </c>
      <c r="Z578" s="14">
        <v>1</v>
      </c>
      <c r="AA578" s="1" t="str">
        <f t="shared" ref="AA578:AA641" ca="1" si="45">IF(AE578=0,"HOJE",IF(AE578&gt;0,"A VENCER",IF(AE578&lt;0,"VENCIDO")))</f>
        <v>VENCIDO</v>
      </c>
      <c r="AB578" s="1" t="str">
        <f t="shared" ref="AB578:AB641" si="46">IF(F578="GRPE-000001","C-14",IF(F578="GRPE-000002","C-14",IF(F578="GRPE-000003","C-14",IF(F578="GRPE-000004","SL-On",IF(F578="GRPE-000038","C-14",IF(F578="GRPE-900022","Dosa",IF(F578="GRPE-000029","Dosa",IF(F578="ATOS-000222","Dose","TAAe+"))))))))</f>
        <v>Dosa</v>
      </c>
      <c r="AC578" s="2" t="str">
        <f t="shared" si="44"/>
        <v xml:space="preserve"> ROSEMERE </v>
      </c>
      <c r="AD578" s="2">
        <f t="shared" ref="AD578:AD641" si="47">IF(F578="GRPE-000001",5,IF(F578="GRPE-000002",5,IF(F578="GRPE-000003",15,IF(F578="GRPE-000004",1,IF(F578="GRPE-000038",5,IF(F578="GRPE-900022",5,IF(F578="GRPE-000029",5,IF(F578="ATOS-000222",5,8))))))))</f>
        <v>5</v>
      </c>
      <c r="AE578" s="2">
        <f t="shared" ref="AE578:AE641" ca="1" si="48">IF(U578=$AE$1,"",U578-$AE$1)</f>
        <v>-204.9262716435187</v>
      </c>
      <c r="AF578" s="15"/>
    </row>
    <row r="579" spans="1:32" hidden="1">
      <c r="A579" s="1">
        <v>8810674</v>
      </c>
      <c r="B579" s="1" t="s">
        <v>101</v>
      </c>
      <c r="C579" t="s">
        <v>1134</v>
      </c>
      <c r="E579" s="2">
        <v>1363000206001</v>
      </c>
      <c r="F579" s="1" t="s">
        <v>29</v>
      </c>
      <c r="G579" s="1" t="s">
        <v>53</v>
      </c>
      <c r="H579" s="1" t="s">
        <v>108</v>
      </c>
      <c r="I579" s="1" t="s">
        <v>109</v>
      </c>
      <c r="J579" s="1" t="s">
        <v>110</v>
      </c>
      <c r="K579" t="s">
        <v>34</v>
      </c>
      <c r="M579" s="1" t="s">
        <v>35</v>
      </c>
      <c r="N579" s="1">
        <v>42318949</v>
      </c>
      <c r="O579" s="1" t="s">
        <v>36</v>
      </c>
      <c r="P579" s="186">
        <v>44781.503622685188</v>
      </c>
      <c r="R579" s="1" t="s">
        <v>38</v>
      </c>
      <c r="T579" s="1" t="s">
        <v>74</v>
      </c>
      <c r="U579" s="186">
        <v>44781.75</v>
      </c>
      <c r="V579" s="1" t="s">
        <v>41</v>
      </c>
      <c r="W579" s="1" t="s">
        <v>49</v>
      </c>
      <c r="X579" s="13" t="str">
        <f>IF(RIGHT(H579,2)&lt;&gt;"00",H579,"")</f>
        <v/>
      </c>
      <c r="Y579" s="2">
        <f ca="1">NETWORKDAYS(P579,$Y$1)</f>
        <v>148</v>
      </c>
      <c r="Z579" s="14">
        <v>1</v>
      </c>
      <c r="AA579" s="1" t="str">
        <f t="shared" ca="1" si="45"/>
        <v>VENCIDO</v>
      </c>
      <c r="AB579" s="1" t="str">
        <f t="shared" si="46"/>
        <v>Dosa</v>
      </c>
      <c r="AC579" s="2" t="str">
        <f t="shared" ref="AC579:AC642" si="4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 xml:space="preserve"> CRISTINA </v>
      </c>
      <c r="AD579" s="2">
        <f t="shared" si="47"/>
        <v>5</v>
      </c>
      <c r="AE579" s="2">
        <f t="shared" ca="1" si="48"/>
        <v>-204.9262716435187</v>
      </c>
      <c r="AF579" s="15"/>
    </row>
    <row r="580" spans="1:32" hidden="1">
      <c r="A580" s="1">
        <v>8810582</v>
      </c>
      <c r="B580" s="1" t="s">
        <v>101</v>
      </c>
      <c r="C580" t="s">
        <v>1134</v>
      </c>
      <c r="E580" s="2">
        <v>1153000206001</v>
      </c>
      <c r="F580" s="1" t="s">
        <v>29</v>
      </c>
      <c r="G580" s="1" t="s">
        <v>53</v>
      </c>
      <c r="H580" s="1" t="s">
        <v>1031</v>
      </c>
      <c r="I580" s="1" t="s">
        <v>1032</v>
      </c>
      <c r="J580" s="1" t="s">
        <v>79</v>
      </c>
      <c r="K580" t="s">
        <v>34</v>
      </c>
      <c r="M580" s="1" t="s">
        <v>35</v>
      </c>
      <c r="N580" s="1">
        <v>42318949</v>
      </c>
      <c r="O580" s="1" t="s">
        <v>36</v>
      </c>
      <c r="P580" s="186">
        <v>44781.503506944442</v>
      </c>
      <c r="R580" s="1" t="s">
        <v>38</v>
      </c>
      <c r="T580" s="1" t="s">
        <v>74</v>
      </c>
      <c r="U580" s="186">
        <v>44781.75</v>
      </c>
      <c r="V580" s="1" t="s">
        <v>41</v>
      </c>
      <c r="W580" s="1" t="s">
        <v>49</v>
      </c>
      <c r="X580" s="13" t="str">
        <f>IF(RIGHT(H580,2)&lt;&gt;"00",H580,"")</f>
        <v/>
      </c>
      <c r="Y580" s="2">
        <f ca="1">NETWORKDAYS(P580,$Y$1)</f>
        <v>148</v>
      </c>
      <c r="Z580" s="14">
        <v>1</v>
      </c>
      <c r="AA580" s="1" t="str">
        <f t="shared" ca="1" si="45"/>
        <v>VENCIDO</v>
      </c>
      <c r="AB580" s="1" t="str">
        <f t="shared" si="46"/>
        <v>Dosa</v>
      </c>
      <c r="AC580" s="2" t="str">
        <f t="shared" si="49"/>
        <v xml:space="preserve"> ROSEMERE </v>
      </c>
      <c r="AD580" s="2">
        <f t="shared" si="47"/>
        <v>5</v>
      </c>
      <c r="AE580" s="2">
        <f t="shared" ca="1" si="48"/>
        <v>-204.9262716435187</v>
      </c>
      <c r="AF580" s="15"/>
    </row>
    <row r="581" spans="1:32" hidden="1">
      <c r="A581" s="1">
        <v>8810573</v>
      </c>
      <c r="B581" s="1" t="s">
        <v>101</v>
      </c>
      <c r="C581" t="s">
        <v>1134</v>
      </c>
      <c r="E581" s="2">
        <v>1120000206001</v>
      </c>
      <c r="F581" s="1" t="s">
        <v>29</v>
      </c>
      <c r="G581" s="1" t="s">
        <v>53</v>
      </c>
      <c r="H581" s="1" t="s">
        <v>181</v>
      </c>
      <c r="I581" s="1" t="s">
        <v>182</v>
      </c>
      <c r="J581" s="1" t="s">
        <v>164</v>
      </c>
      <c r="K581" t="s">
        <v>34</v>
      </c>
      <c r="M581" s="1" t="s">
        <v>35</v>
      </c>
      <c r="N581" s="1">
        <v>42318949</v>
      </c>
      <c r="O581" s="1" t="s">
        <v>36</v>
      </c>
      <c r="P581" s="186">
        <v>44781.503495370373</v>
      </c>
      <c r="R581" s="1" t="s">
        <v>38</v>
      </c>
      <c r="T581" s="1" t="s">
        <v>74</v>
      </c>
      <c r="U581" s="186">
        <v>44781.75</v>
      </c>
      <c r="V581" s="1" t="s">
        <v>41</v>
      </c>
      <c r="W581" s="1" t="s">
        <v>49</v>
      </c>
      <c r="X581" s="13" t="str">
        <f>IF(RIGHT(H581,2)&lt;&gt;"00",H581,"")</f>
        <v/>
      </c>
      <c r="Y581" s="2">
        <f ca="1">NETWORKDAYS(P581,$Y$1)</f>
        <v>148</v>
      </c>
      <c r="Z581" s="14">
        <v>1</v>
      </c>
      <c r="AA581" s="1" t="str">
        <f t="shared" ca="1" si="45"/>
        <v>VENCIDO</v>
      </c>
      <c r="AB581" s="1" t="str">
        <f t="shared" si="46"/>
        <v>Dosa</v>
      </c>
      <c r="AC581" s="2" t="str">
        <f t="shared" si="49"/>
        <v xml:space="preserve"> ROSEMERE </v>
      </c>
      <c r="AD581" s="2">
        <f t="shared" si="47"/>
        <v>5</v>
      </c>
      <c r="AE581" s="2">
        <f t="shared" ca="1" si="48"/>
        <v>-204.9262716435187</v>
      </c>
      <c r="AF581" s="15"/>
    </row>
    <row r="582" spans="1:32" hidden="1">
      <c r="A582" s="1">
        <v>8810572</v>
      </c>
      <c r="B582" s="1" t="s">
        <v>101</v>
      </c>
      <c r="C582" t="s">
        <v>1134</v>
      </c>
      <c r="E582" s="2">
        <v>1120000206001</v>
      </c>
      <c r="F582" s="1" t="s">
        <v>29</v>
      </c>
      <c r="G582" s="1" t="s">
        <v>53</v>
      </c>
      <c r="H582" s="1" t="s">
        <v>181</v>
      </c>
      <c r="I582" s="1" t="s">
        <v>182</v>
      </c>
      <c r="J582" s="1" t="s">
        <v>164</v>
      </c>
      <c r="K582" t="s">
        <v>34</v>
      </c>
      <c r="M582" s="1" t="s">
        <v>35</v>
      </c>
      <c r="N582" s="1">
        <v>42318949</v>
      </c>
      <c r="O582" s="1" t="s">
        <v>105</v>
      </c>
      <c r="P582" s="186">
        <v>44781.503483796296</v>
      </c>
      <c r="R582" s="1" t="s">
        <v>38</v>
      </c>
      <c r="T582" s="1" t="s">
        <v>74</v>
      </c>
      <c r="U582" s="186">
        <v>44781.75</v>
      </c>
      <c r="V582" s="1" t="s">
        <v>41</v>
      </c>
      <c r="W582" s="1" t="s">
        <v>49</v>
      </c>
      <c r="X582" s="13" t="str">
        <f>IF(RIGHT(H582,2)&lt;&gt;"00",H582,"")</f>
        <v/>
      </c>
      <c r="Y582" s="2">
        <f ca="1">NETWORKDAYS(P582,$Y$1)</f>
        <v>148</v>
      </c>
      <c r="Z582" s="14">
        <v>1</v>
      </c>
      <c r="AA582" s="1" t="str">
        <f t="shared" ca="1" si="45"/>
        <v>VENCIDO</v>
      </c>
      <c r="AB582" s="1" t="str">
        <f t="shared" si="46"/>
        <v>Dosa</v>
      </c>
      <c r="AC582" s="2" t="str">
        <f t="shared" si="49"/>
        <v xml:space="preserve"> ROSEMERE </v>
      </c>
      <c r="AD582" s="2">
        <f t="shared" si="47"/>
        <v>5</v>
      </c>
      <c r="AE582" s="2">
        <f t="shared" ca="1" si="48"/>
        <v>-204.9262716435187</v>
      </c>
      <c r="AF582" s="15"/>
    </row>
    <row r="583" spans="1:32" hidden="1">
      <c r="A583" s="1">
        <v>8810531</v>
      </c>
      <c r="B583" s="1" t="s">
        <v>101</v>
      </c>
      <c r="C583" t="s">
        <v>1134</v>
      </c>
      <c r="E583" s="2">
        <v>1060000206001</v>
      </c>
      <c r="F583" s="1" t="s">
        <v>29</v>
      </c>
      <c r="G583" s="1" t="s">
        <v>53</v>
      </c>
      <c r="H583" s="1" t="s">
        <v>284</v>
      </c>
      <c r="I583" s="1" t="s">
        <v>285</v>
      </c>
      <c r="J583" s="1" t="s">
        <v>148</v>
      </c>
      <c r="K583" t="s">
        <v>34</v>
      </c>
      <c r="M583" s="1" t="s">
        <v>35</v>
      </c>
      <c r="N583" s="1">
        <v>42318949</v>
      </c>
      <c r="O583" s="1" t="s">
        <v>105</v>
      </c>
      <c r="P583" s="186">
        <v>44781.503437500003</v>
      </c>
      <c r="R583" s="1" t="s">
        <v>38</v>
      </c>
      <c r="T583" s="1" t="s">
        <v>74</v>
      </c>
      <c r="U583" s="186">
        <v>44781.75</v>
      </c>
      <c r="V583" s="1" t="s">
        <v>41</v>
      </c>
      <c r="W583" s="1" t="s">
        <v>49</v>
      </c>
      <c r="X583" s="13" t="str">
        <f>IF(RIGHT(H583,2)&lt;&gt;"00",H583,"")</f>
        <v/>
      </c>
      <c r="Y583" s="2">
        <f ca="1">NETWORKDAYS(P583,$Y$1)</f>
        <v>148</v>
      </c>
      <c r="Z583" s="14">
        <v>1</v>
      </c>
      <c r="AA583" s="1" t="str">
        <f t="shared" ca="1" si="45"/>
        <v>VENCIDO</v>
      </c>
      <c r="AB583" s="1" t="str">
        <f t="shared" si="46"/>
        <v>Dosa</v>
      </c>
      <c r="AC583" s="2" t="str">
        <f t="shared" si="49"/>
        <v xml:space="preserve"> RINALDO </v>
      </c>
      <c r="AD583" s="2">
        <f t="shared" si="47"/>
        <v>5</v>
      </c>
      <c r="AE583" s="2">
        <f t="shared" ca="1" si="48"/>
        <v>-204.9262716435187</v>
      </c>
      <c r="AF583" s="15"/>
    </row>
    <row r="584" spans="1:32" hidden="1">
      <c r="A584" s="1">
        <v>8810530</v>
      </c>
      <c r="B584" s="1" t="s">
        <v>101</v>
      </c>
      <c r="C584" t="s">
        <v>1134</v>
      </c>
      <c r="E584" s="2">
        <v>1059000206001</v>
      </c>
      <c r="F584" s="1" t="s">
        <v>29</v>
      </c>
      <c r="G584" s="1" t="s">
        <v>53</v>
      </c>
      <c r="H584" s="1" t="s">
        <v>88</v>
      </c>
      <c r="I584" s="1" t="s">
        <v>89</v>
      </c>
      <c r="J584" s="1" t="s">
        <v>90</v>
      </c>
      <c r="K584" t="s">
        <v>34</v>
      </c>
      <c r="M584" s="1" t="s">
        <v>35</v>
      </c>
      <c r="N584" s="1">
        <v>42318949</v>
      </c>
      <c r="O584" s="1" t="s">
        <v>105</v>
      </c>
      <c r="P584" s="186">
        <v>44781.503437500003</v>
      </c>
      <c r="R584" s="1" t="s">
        <v>38</v>
      </c>
      <c r="T584" s="1" t="s">
        <v>74</v>
      </c>
      <c r="U584" s="186">
        <v>44781.75</v>
      </c>
      <c r="V584" s="1" t="s">
        <v>41</v>
      </c>
      <c r="W584" s="1" t="s">
        <v>49</v>
      </c>
      <c r="X584" s="13" t="str">
        <f>IF(RIGHT(H584,2)&lt;&gt;"00",H584,"")</f>
        <v/>
      </c>
      <c r="Y584" s="2">
        <f ca="1">NETWORKDAYS(P584,$Y$1)</f>
        <v>148</v>
      </c>
      <c r="Z584" s="14">
        <v>1</v>
      </c>
      <c r="AA584" s="1" t="str">
        <f t="shared" ca="1" si="45"/>
        <v>VENCIDO</v>
      </c>
      <c r="AB584" s="1" t="str">
        <f t="shared" si="46"/>
        <v>Dosa</v>
      </c>
      <c r="AC584" s="2" t="str">
        <f t="shared" si="49"/>
        <v xml:space="preserve"> RINALDO </v>
      </c>
      <c r="AD584" s="2">
        <f t="shared" si="47"/>
        <v>5</v>
      </c>
      <c r="AE584" s="2">
        <f t="shared" ca="1" si="48"/>
        <v>-204.9262716435187</v>
      </c>
      <c r="AF584" s="15"/>
    </row>
    <row r="585" spans="1:32" hidden="1">
      <c r="A585" s="1">
        <v>8810529</v>
      </c>
      <c r="B585" s="1" t="s">
        <v>101</v>
      </c>
      <c r="C585" t="s">
        <v>1134</v>
      </c>
      <c r="E585" s="2">
        <v>1058000206001</v>
      </c>
      <c r="F585" s="1" t="s">
        <v>29</v>
      </c>
      <c r="G585" s="1" t="s">
        <v>53</v>
      </c>
      <c r="H585" s="1" t="s">
        <v>289</v>
      </c>
      <c r="I585" s="1" t="s">
        <v>290</v>
      </c>
      <c r="J585" s="1" t="s">
        <v>56</v>
      </c>
      <c r="K585" t="s">
        <v>34</v>
      </c>
      <c r="M585" s="1" t="s">
        <v>35</v>
      </c>
      <c r="N585" s="1">
        <v>42318949</v>
      </c>
      <c r="O585" s="1" t="s">
        <v>105</v>
      </c>
      <c r="P585" s="186">
        <v>44781.503437500003</v>
      </c>
      <c r="R585" s="1" t="s">
        <v>38</v>
      </c>
      <c r="T585" s="1" t="s">
        <v>74</v>
      </c>
      <c r="U585" s="186">
        <v>44781.75</v>
      </c>
      <c r="V585" s="1" t="s">
        <v>41</v>
      </c>
      <c r="W585" s="1" t="s">
        <v>49</v>
      </c>
      <c r="X585" s="13" t="str">
        <f>IF(RIGHT(H585,2)&lt;&gt;"00",H585,"")</f>
        <v/>
      </c>
      <c r="Y585" s="2">
        <f ca="1">NETWORKDAYS(P585,$Y$1)</f>
        <v>148</v>
      </c>
      <c r="Z585" s="14">
        <v>1</v>
      </c>
      <c r="AA585" s="1" t="str">
        <f t="shared" ca="1" si="45"/>
        <v>VENCIDO</v>
      </c>
      <c r="AB585" s="1" t="str">
        <f t="shared" si="46"/>
        <v>Dosa</v>
      </c>
      <c r="AC585" s="2" t="str">
        <f t="shared" si="49"/>
        <v xml:space="preserve"> CRISTINA </v>
      </c>
      <c r="AD585" s="2">
        <f t="shared" si="47"/>
        <v>5</v>
      </c>
      <c r="AE585" s="2">
        <f t="shared" ca="1" si="48"/>
        <v>-204.9262716435187</v>
      </c>
      <c r="AF585" s="15"/>
    </row>
    <row r="586" spans="1:32" hidden="1">
      <c r="A586" s="1">
        <v>8810528</v>
      </c>
      <c r="B586" s="1" t="s">
        <v>101</v>
      </c>
      <c r="C586" t="s">
        <v>1134</v>
      </c>
      <c r="E586" s="2">
        <v>1058000206001</v>
      </c>
      <c r="F586" s="1" t="s">
        <v>29</v>
      </c>
      <c r="G586" s="1" t="s">
        <v>53</v>
      </c>
      <c r="H586" s="1" t="s">
        <v>289</v>
      </c>
      <c r="I586" s="1" t="s">
        <v>290</v>
      </c>
      <c r="J586" s="1" t="s">
        <v>56</v>
      </c>
      <c r="K586" t="s">
        <v>34</v>
      </c>
      <c r="M586" s="1" t="s">
        <v>35</v>
      </c>
      <c r="N586" s="1">
        <v>42318949</v>
      </c>
      <c r="O586" s="1" t="s">
        <v>105</v>
      </c>
      <c r="P586" s="186">
        <v>44781.503437500003</v>
      </c>
      <c r="R586" s="1" t="s">
        <v>38</v>
      </c>
      <c r="T586" s="1" t="s">
        <v>74</v>
      </c>
      <c r="U586" s="186">
        <v>44781.75</v>
      </c>
      <c r="V586" s="1" t="s">
        <v>41</v>
      </c>
      <c r="W586" s="1" t="s">
        <v>49</v>
      </c>
      <c r="X586" s="13" t="str">
        <f>IF(RIGHT(H586,2)&lt;&gt;"00",H586,"")</f>
        <v/>
      </c>
      <c r="Y586" s="2">
        <f ca="1">NETWORKDAYS(P586,$Y$1)</f>
        <v>148</v>
      </c>
      <c r="Z586" s="14">
        <v>1</v>
      </c>
      <c r="AA586" s="1" t="str">
        <f t="shared" ca="1" si="45"/>
        <v>VENCIDO</v>
      </c>
      <c r="AB586" s="1" t="str">
        <f t="shared" si="46"/>
        <v>Dosa</v>
      </c>
      <c r="AC586" s="2" t="str">
        <f t="shared" si="49"/>
        <v xml:space="preserve"> CRISTINA </v>
      </c>
      <c r="AD586" s="2">
        <f t="shared" si="47"/>
        <v>5</v>
      </c>
      <c r="AE586" s="2">
        <f t="shared" ca="1" si="48"/>
        <v>-204.9262716435187</v>
      </c>
      <c r="AF586" s="15"/>
    </row>
    <row r="587" spans="1:32" hidden="1">
      <c r="A587" s="1">
        <v>8810527</v>
      </c>
      <c r="B587" s="1" t="s">
        <v>101</v>
      </c>
      <c r="C587" t="s">
        <v>1134</v>
      </c>
      <c r="E587" s="2">
        <v>1058000206001</v>
      </c>
      <c r="F587" s="1" t="s">
        <v>29</v>
      </c>
      <c r="G587" s="1" t="s">
        <v>53</v>
      </c>
      <c r="H587" s="1" t="s">
        <v>289</v>
      </c>
      <c r="I587" s="1" t="s">
        <v>290</v>
      </c>
      <c r="J587" s="1" t="s">
        <v>56</v>
      </c>
      <c r="K587" t="s">
        <v>34</v>
      </c>
      <c r="M587" s="1" t="s">
        <v>35</v>
      </c>
      <c r="N587" s="1">
        <v>42318949</v>
      </c>
      <c r="O587" s="1" t="s">
        <v>105</v>
      </c>
      <c r="P587" s="186">
        <v>44781.503437500003</v>
      </c>
      <c r="R587" s="1" t="s">
        <v>38</v>
      </c>
      <c r="T587" s="1" t="s">
        <v>74</v>
      </c>
      <c r="U587" s="186">
        <v>44781.75</v>
      </c>
      <c r="V587" s="1" t="s">
        <v>41</v>
      </c>
      <c r="W587" s="1" t="s">
        <v>49</v>
      </c>
      <c r="X587" s="13" t="str">
        <f>IF(RIGHT(H587,2)&lt;&gt;"00",H587,"")</f>
        <v/>
      </c>
      <c r="Y587" s="2">
        <f ca="1">NETWORKDAYS(P587,$Y$1)</f>
        <v>148</v>
      </c>
      <c r="Z587" s="14">
        <v>1</v>
      </c>
      <c r="AA587" s="1" t="str">
        <f t="shared" ca="1" si="45"/>
        <v>VENCIDO</v>
      </c>
      <c r="AB587" s="1" t="str">
        <f t="shared" si="46"/>
        <v>Dosa</v>
      </c>
      <c r="AC587" s="2" t="str">
        <f t="shared" si="49"/>
        <v xml:space="preserve"> CRISTINA </v>
      </c>
      <c r="AD587" s="2">
        <f t="shared" si="47"/>
        <v>5</v>
      </c>
      <c r="AE587" s="2">
        <f t="shared" ca="1" si="48"/>
        <v>-204.9262716435187</v>
      </c>
      <c r="AF587" s="15"/>
    </row>
    <row r="588" spans="1:32" hidden="1">
      <c r="A588" s="1">
        <v>8810526</v>
      </c>
      <c r="B588" s="1" t="s">
        <v>101</v>
      </c>
      <c r="C588" t="s">
        <v>1134</v>
      </c>
      <c r="E588" s="2">
        <v>1058000206001</v>
      </c>
      <c r="F588" s="1" t="s">
        <v>29</v>
      </c>
      <c r="G588" s="1" t="s">
        <v>53</v>
      </c>
      <c r="H588" s="1" t="s">
        <v>289</v>
      </c>
      <c r="I588" s="1" t="s">
        <v>290</v>
      </c>
      <c r="J588" s="1" t="s">
        <v>56</v>
      </c>
      <c r="K588" t="s">
        <v>34</v>
      </c>
      <c r="M588" s="1" t="s">
        <v>35</v>
      </c>
      <c r="N588" s="1">
        <v>42318949</v>
      </c>
      <c r="O588" s="1" t="s">
        <v>105</v>
      </c>
      <c r="P588" s="186">
        <v>44781.503437500003</v>
      </c>
      <c r="R588" s="1" t="s">
        <v>38</v>
      </c>
      <c r="T588" s="1" t="s">
        <v>74</v>
      </c>
      <c r="U588" s="186">
        <v>44781.75</v>
      </c>
      <c r="V588" s="1" t="s">
        <v>41</v>
      </c>
      <c r="W588" s="1" t="s">
        <v>49</v>
      </c>
      <c r="X588" s="13" t="str">
        <f>IF(RIGHT(H588,2)&lt;&gt;"00",H588,"")</f>
        <v/>
      </c>
      <c r="Y588" s="2">
        <f ca="1">NETWORKDAYS(P588,$Y$1)</f>
        <v>148</v>
      </c>
      <c r="Z588" s="14">
        <v>1</v>
      </c>
      <c r="AA588" s="1" t="str">
        <f t="shared" ca="1" si="45"/>
        <v>VENCIDO</v>
      </c>
      <c r="AB588" s="1" t="str">
        <f t="shared" si="46"/>
        <v>Dosa</v>
      </c>
      <c r="AC588" s="2" t="str">
        <f t="shared" si="49"/>
        <v xml:space="preserve"> CRISTINA </v>
      </c>
      <c r="AD588" s="2">
        <f t="shared" si="47"/>
        <v>5</v>
      </c>
      <c r="AE588" s="2">
        <f t="shared" ca="1" si="48"/>
        <v>-204.9262716435187</v>
      </c>
      <c r="AF588" s="15"/>
    </row>
    <row r="589" spans="1:32" hidden="1">
      <c r="A589" s="1">
        <v>8810525</v>
      </c>
      <c r="B589" s="1" t="s">
        <v>101</v>
      </c>
      <c r="C589" t="s">
        <v>1134</v>
      </c>
      <c r="E589" s="2">
        <v>1058000206001</v>
      </c>
      <c r="F589" s="1" t="s">
        <v>29</v>
      </c>
      <c r="G589" s="1" t="s">
        <v>53</v>
      </c>
      <c r="H589" s="1" t="s">
        <v>289</v>
      </c>
      <c r="I589" s="1" t="s">
        <v>290</v>
      </c>
      <c r="J589" s="1" t="s">
        <v>56</v>
      </c>
      <c r="K589" t="s">
        <v>34</v>
      </c>
      <c r="M589" s="1" t="s">
        <v>35</v>
      </c>
      <c r="N589" s="1">
        <v>42318949</v>
      </c>
      <c r="O589" s="1" t="s">
        <v>105</v>
      </c>
      <c r="P589" s="186">
        <v>44781.503437500003</v>
      </c>
      <c r="R589" s="1" t="s">
        <v>38</v>
      </c>
      <c r="T589" s="1" t="s">
        <v>74</v>
      </c>
      <c r="U589" s="186">
        <v>44781.75</v>
      </c>
      <c r="V589" s="1" t="s">
        <v>41</v>
      </c>
      <c r="W589" s="1" t="s">
        <v>49</v>
      </c>
      <c r="X589" s="13" t="str">
        <f>IF(RIGHT(H589,2)&lt;&gt;"00",H589,"")</f>
        <v/>
      </c>
      <c r="Y589" s="2">
        <f ca="1">NETWORKDAYS(P589,$Y$1)</f>
        <v>148</v>
      </c>
      <c r="Z589" s="14">
        <v>1</v>
      </c>
      <c r="AA589" s="1" t="str">
        <f t="shared" ca="1" si="45"/>
        <v>VENCIDO</v>
      </c>
      <c r="AB589" s="1" t="str">
        <f t="shared" si="46"/>
        <v>Dosa</v>
      </c>
      <c r="AC589" s="2" t="str">
        <f t="shared" si="49"/>
        <v xml:space="preserve"> CRISTINA </v>
      </c>
      <c r="AD589" s="2">
        <f t="shared" si="47"/>
        <v>5</v>
      </c>
      <c r="AE589" s="2">
        <f t="shared" ca="1" si="48"/>
        <v>-204.9262716435187</v>
      </c>
      <c r="AF589" s="15"/>
    </row>
    <row r="590" spans="1:32" hidden="1">
      <c r="A590" s="1">
        <v>8810524</v>
      </c>
      <c r="B590" s="1" t="s">
        <v>101</v>
      </c>
      <c r="C590" t="s">
        <v>1134</v>
      </c>
      <c r="E590" s="2">
        <v>1058000206001</v>
      </c>
      <c r="F590" s="1" t="s">
        <v>29</v>
      </c>
      <c r="G590" s="1" t="s">
        <v>53</v>
      </c>
      <c r="H590" s="1" t="s">
        <v>289</v>
      </c>
      <c r="I590" s="1" t="s">
        <v>290</v>
      </c>
      <c r="J590" s="1" t="s">
        <v>56</v>
      </c>
      <c r="K590" t="s">
        <v>34</v>
      </c>
      <c r="M590" s="1" t="s">
        <v>35</v>
      </c>
      <c r="N590" s="1">
        <v>42318949</v>
      </c>
      <c r="O590" s="1" t="s">
        <v>105</v>
      </c>
      <c r="P590" s="186">
        <v>44781.503437500003</v>
      </c>
      <c r="R590" s="1" t="s">
        <v>38</v>
      </c>
      <c r="T590" s="1" t="s">
        <v>74</v>
      </c>
      <c r="U590" s="186">
        <v>44781.75</v>
      </c>
      <c r="V590" s="1" t="s">
        <v>41</v>
      </c>
      <c r="W590" s="1" t="s">
        <v>49</v>
      </c>
      <c r="X590" s="13" t="str">
        <f>IF(RIGHT(H590,2)&lt;&gt;"00",H590,"")</f>
        <v/>
      </c>
      <c r="Y590" s="2">
        <f ca="1">NETWORKDAYS(P590,$Y$1)</f>
        <v>148</v>
      </c>
      <c r="Z590" s="14">
        <v>1</v>
      </c>
      <c r="AA590" s="1" t="str">
        <f t="shared" ca="1" si="45"/>
        <v>VENCIDO</v>
      </c>
      <c r="AB590" s="1" t="str">
        <f t="shared" si="46"/>
        <v>Dosa</v>
      </c>
      <c r="AC590" s="2" t="str">
        <f t="shared" si="49"/>
        <v xml:space="preserve"> CRISTINA </v>
      </c>
      <c r="AD590" s="2">
        <f t="shared" si="47"/>
        <v>5</v>
      </c>
      <c r="AE590" s="2">
        <f t="shared" ca="1" si="48"/>
        <v>-204.9262716435187</v>
      </c>
      <c r="AF590" s="15"/>
    </row>
    <row r="591" spans="1:32" hidden="1">
      <c r="A591" s="1">
        <v>8810520</v>
      </c>
      <c r="B591" s="1" t="s">
        <v>101</v>
      </c>
      <c r="C591" t="s">
        <v>1134</v>
      </c>
      <c r="E591" s="2">
        <v>1052000206001</v>
      </c>
      <c r="F591" s="1" t="s">
        <v>29</v>
      </c>
      <c r="G591" s="1" t="s">
        <v>53</v>
      </c>
      <c r="H591" s="1" t="s">
        <v>329</v>
      </c>
      <c r="I591" s="1" t="s">
        <v>330</v>
      </c>
      <c r="J591" s="1" t="s">
        <v>79</v>
      </c>
      <c r="K591" t="s">
        <v>34</v>
      </c>
      <c r="M591" s="1" t="s">
        <v>35</v>
      </c>
      <c r="N591" s="1">
        <v>42318949</v>
      </c>
      <c r="O591" s="1" t="s">
        <v>105</v>
      </c>
      <c r="P591" s="186">
        <v>44781.503425925926</v>
      </c>
      <c r="R591" s="1" t="s">
        <v>38</v>
      </c>
      <c r="T591" s="1" t="s">
        <v>74</v>
      </c>
      <c r="U591" s="186">
        <v>44781.75</v>
      </c>
      <c r="V591" s="1" t="s">
        <v>41</v>
      </c>
      <c r="W591" s="1" t="s">
        <v>49</v>
      </c>
      <c r="X591" s="13" t="str">
        <f>IF(RIGHT(H591,2)&lt;&gt;"00",H591,"")</f>
        <v/>
      </c>
      <c r="Y591" s="2">
        <f ca="1">NETWORKDAYS(P591,$Y$1)</f>
        <v>148</v>
      </c>
      <c r="Z591" s="14">
        <v>1</v>
      </c>
      <c r="AA591" s="1" t="str">
        <f t="shared" ca="1" si="45"/>
        <v>VENCIDO</v>
      </c>
      <c r="AB591" s="1" t="str">
        <f t="shared" si="46"/>
        <v>Dosa</v>
      </c>
      <c r="AC591" s="2" t="str">
        <f t="shared" si="49"/>
        <v xml:space="preserve"> ROSEMERE </v>
      </c>
      <c r="AD591" s="2">
        <f t="shared" si="47"/>
        <v>5</v>
      </c>
      <c r="AE591" s="2">
        <f t="shared" ca="1" si="48"/>
        <v>-204.9262716435187</v>
      </c>
      <c r="AF591" s="15"/>
    </row>
    <row r="592" spans="1:32" hidden="1">
      <c r="A592" s="1">
        <v>8810519</v>
      </c>
      <c r="B592" s="1" t="s">
        <v>101</v>
      </c>
      <c r="C592" t="s">
        <v>1134</v>
      </c>
      <c r="E592" s="2">
        <v>1052000206001</v>
      </c>
      <c r="F592" s="1" t="s">
        <v>29</v>
      </c>
      <c r="G592" s="1" t="s">
        <v>53</v>
      </c>
      <c r="H592" s="1" t="s">
        <v>329</v>
      </c>
      <c r="I592" s="1" t="s">
        <v>330</v>
      </c>
      <c r="J592" s="1" t="s">
        <v>79</v>
      </c>
      <c r="K592" t="s">
        <v>34</v>
      </c>
      <c r="M592" s="1" t="s">
        <v>35</v>
      </c>
      <c r="N592" s="1">
        <v>42318949</v>
      </c>
      <c r="O592" s="1" t="s">
        <v>105</v>
      </c>
      <c r="P592" s="186">
        <v>44781.503425925926</v>
      </c>
      <c r="R592" s="1" t="s">
        <v>38</v>
      </c>
      <c r="T592" s="1" t="s">
        <v>74</v>
      </c>
      <c r="U592" s="186">
        <v>44781.75</v>
      </c>
      <c r="V592" s="1" t="s">
        <v>41</v>
      </c>
      <c r="W592" s="1" t="s">
        <v>49</v>
      </c>
      <c r="X592" s="13" t="str">
        <f>IF(RIGHT(H592,2)&lt;&gt;"00",H592,"")</f>
        <v/>
      </c>
      <c r="Y592" s="2">
        <f ca="1">NETWORKDAYS(P592,$Y$1)</f>
        <v>148</v>
      </c>
      <c r="Z592" s="14">
        <v>1</v>
      </c>
      <c r="AA592" s="1" t="str">
        <f t="shared" ca="1" si="45"/>
        <v>VENCIDO</v>
      </c>
      <c r="AB592" s="1" t="str">
        <f t="shared" si="46"/>
        <v>Dosa</v>
      </c>
      <c r="AC592" s="2" t="str">
        <f t="shared" si="49"/>
        <v xml:space="preserve"> ROSEMERE </v>
      </c>
      <c r="AD592" s="2">
        <f t="shared" si="47"/>
        <v>5</v>
      </c>
      <c r="AE592" s="2">
        <f t="shared" ca="1" si="48"/>
        <v>-204.9262716435187</v>
      </c>
      <c r="AF592" s="15"/>
    </row>
    <row r="593" spans="1:32" hidden="1">
      <c r="A593" s="1">
        <v>8810243</v>
      </c>
      <c r="B593" s="1" t="s">
        <v>101</v>
      </c>
      <c r="C593" t="s">
        <v>1134</v>
      </c>
      <c r="E593" s="2">
        <v>550000206001</v>
      </c>
      <c r="F593" s="1" t="s">
        <v>29</v>
      </c>
      <c r="G593" s="1" t="s">
        <v>53</v>
      </c>
      <c r="H593" s="1" t="s">
        <v>337</v>
      </c>
      <c r="I593" s="1" t="s">
        <v>338</v>
      </c>
      <c r="J593" s="1" t="s">
        <v>164</v>
      </c>
      <c r="K593" t="s">
        <v>34</v>
      </c>
      <c r="M593" s="1" t="s">
        <v>35</v>
      </c>
      <c r="N593" s="1">
        <v>42318949</v>
      </c>
      <c r="O593" s="1" t="s">
        <v>105</v>
      </c>
      <c r="P593" s="186">
        <v>44781.50309027778</v>
      </c>
      <c r="R593" s="1" t="s">
        <v>38</v>
      </c>
      <c r="T593" s="1" t="s">
        <v>74</v>
      </c>
      <c r="U593" s="186">
        <v>44781.75</v>
      </c>
      <c r="V593" s="1" t="s">
        <v>41</v>
      </c>
      <c r="W593" s="1" t="s">
        <v>49</v>
      </c>
      <c r="X593" s="13" t="str">
        <f>IF(RIGHT(H593,2)&lt;&gt;"00",H593,"")</f>
        <v/>
      </c>
      <c r="Y593" s="2">
        <f ca="1">NETWORKDAYS(P593,$Y$1)</f>
        <v>148</v>
      </c>
      <c r="Z593" s="14">
        <v>1</v>
      </c>
      <c r="AA593" s="1" t="str">
        <f t="shared" ca="1" si="45"/>
        <v>VENCIDO</v>
      </c>
      <c r="AB593" s="1" t="str">
        <f t="shared" si="46"/>
        <v>Dosa</v>
      </c>
      <c r="AC593" s="2" t="str">
        <f t="shared" si="49"/>
        <v xml:space="preserve"> ROSEMERE </v>
      </c>
      <c r="AD593" s="2">
        <f t="shared" si="47"/>
        <v>5</v>
      </c>
      <c r="AE593" s="2">
        <f t="shared" ca="1" si="48"/>
        <v>-204.9262716435187</v>
      </c>
      <c r="AF593" s="15"/>
    </row>
    <row r="594" spans="1:32" hidden="1">
      <c r="A594" s="1">
        <v>8810238</v>
      </c>
      <c r="B594" s="1" t="s">
        <v>101</v>
      </c>
      <c r="C594" t="s">
        <v>1134</v>
      </c>
      <c r="E594" s="2">
        <v>537000206001</v>
      </c>
      <c r="F594" s="1" t="s">
        <v>29</v>
      </c>
      <c r="G594" s="1" t="s">
        <v>53</v>
      </c>
      <c r="H594" s="1" t="s">
        <v>442</v>
      </c>
      <c r="I594" s="1" t="s">
        <v>443</v>
      </c>
      <c r="J594" s="1" t="s">
        <v>79</v>
      </c>
      <c r="K594" t="s">
        <v>34</v>
      </c>
      <c r="M594" s="1" t="s">
        <v>35</v>
      </c>
      <c r="N594" s="1">
        <v>42318949</v>
      </c>
      <c r="O594" s="1" t="s">
        <v>36</v>
      </c>
      <c r="P594" s="186">
        <v>44781.503078703703</v>
      </c>
      <c r="R594" s="1" t="s">
        <v>38</v>
      </c>
      <c r="T594" s="1" t="s">
        <v>74</v>
      </c>
      <c r="U594" s="186">
        <v>44781.75</v>
      </c>
      <c r="V594" s="1" t="s">
        <v>41</v>
      </c>
      <c r="W594" s="1" t="s">
        <v>49</v>
      </c>
      <c r="X594" s="13" t="str">
        <f>IF(RIGHT(H594,2)&lt;&gt;"00",H594,"")</f>
        <v/>
      </c>
      <c r="Y594" s="2">
        <f ca="1">NETWORKDAYS(P594,$Y$1)</f>
        <v>148</v>
      </c>
      <c r="Z594" s="14">
        <v>1</v>
      </c>
      <c r="AA594" s="1" t="str">
        <f t="shared" ca="1" si="45"/>
        <v>VENCIDO</v>
      </c>
      <c r="AB594" s="1" t="str">
        <f t="shared" si="46"/>
        <v>Dosa</v>
      </c>
      <c r="AC594" s="2" t="str">
        <f t="shared" si="49"/>
        <v xml:space="preserve"> ROSEMERE </v>
      </c>
      <c r="AD594" s="2">
        <f t="shared" si="47"/>
        <v>5</v>
      </c>
      <c r="AE594" s="2">
        <f t="shared" ca="1" si="48"/>
        <v>-204.9262716435187</v>
      </c>
      <c r="AF594" s="15"/>
    </row>
    <row r="595" spans="1:32" hidden="1">
      <c r="A595" s="1">
        <v>8824380</v>
      </c>
      <c r="B595" s="1" t="s">
        <v>62</v>
      </c>
      <c r="C595" t="s">
        <v>1148</v>
      </c>
      <c r="E595" s="2">
        <v>2229000203000</v>
      </c>
      <c r="F595" s="1" t="s">
        <v>454</v>
      </c>
      <c r="G595" s="1" t="s">
        <v>53</v>
      </c>
      <c r="H595" s="1" t="s">
        <v>339</v>
      </c>
      <c r="I595" s="1" t="s">
        <v>340</v>
      </c>
      <c r="J595" s="1" t="s">
        <v>211</v>
      </c>
      <c r="K595" t="s">
        <v>457</v>
      </c>
      <c r="M595" s="1" t="s">
        <v>58</v>
      </c>
      <c r="N595" s="1">
        <v>0</v>
      </c>
      <c r="O595" s="1" t="s">
        <v>36</v>
      </c>
      <c r="P595" s="186">
        <v>44783.627187500002</v>
      </c>
      <c r="R595" s="1">
        <v>1</v>
      </c>
      <c r="T595" s="1" t="s">
        <v>157</v>
      </c>
      <c r="U595" s="186">
        <v>44818.75</v>
      </c>
      <c r="V595" s="1" t="s">
        <v>41</v>
      </c>
      <c r="W595" s="1" t="s">
        <v>49</v>
      </c>
      <c r="X595" s="13" t="str">
        <f>IF(RIGHT(H595,2)&lt;&gt;"00",H595,"")</f>
        <v/>
      </c>
      <c r="Y595" s="2">
        <f ca="1">NETWORKDAYS(P595,$Y$1)</f>
        <v>146</v>
      </c>
      <c r="Z595" s="14">
        <v>1</v>
      </c>
      <c r="AA595" s="1" t="str">
        <f t="shared" ca="1" si="45"/>
        <v>VENCIDO</v>
      </c>
      <c r="AB595" s="1" t="str">
        <f t="shared" si="46"/>
        <v>C-14</v>
      </c>
      <c r="AC595" s="2" t="str">
        <f t="shared" si="49"/>
        <v xml:space="preserve"> RINALDO </v>
      </c>
      <c r="AD595" s="2">
        <f t="shared" si="47"/>
        <v>5</v>
      </c>
      <c r="AE595" s="2">
        <f t="shared" ca="1" si="48"/>
        <v>-167.9262716435187</v>
      </c>
      <c r="AF595" s="15"/>
    </row>
    <row r="596" spans="1:32" hidden="1">
      <c r="A596" s="1">
        <v>8823141</v>
      </c>
      <c r="B596" s="1" t="s">
        <v>62</v>
      </c>
      <c r="C596" t="s">
        <v>1151</v>
      </c>
      <c r="E596" s="2">
        <v>2156000203000</v>
      </c>
      <c r="F596" s="1" t="s">
        <v>454</v>
      </c>
      <c r="G596" s="1" t="s">
        <v>53</v>
      </c>
      <c r="H596" s="1" t="s">
        <v>278</v>
      </c>
      <c r="I596" s="1" t="s">
        <v>279</v>
      </c>
      <c r="J596" s="1" t="s">
        <v>211</v>
      </c>
      <c r="K596" t="s">
        <v>457</v>
      </c>
      <c r="M596" s="1" t="s">
        <v>58</v>
      </c>
      <c r="N596" s="1">
        <v>0</v>
      </c>
      <c r="O596" s="1" t="s">
        <v>36</v>
      </c>
      <c r="P596" s="186">
        <v>44783.379814814813</v>
      </c>
      <c r="R596" s="1">
        <v>1</v>
      </c>
      <c r="T596" s="1" t="s">
        <v>157</v>
      </c>
      <c r="U596" s="186">
        <v>44818.75</v>
      </c>
      <c r="V596" s="1" t="s">
        <v>41</v>
      </c>
      <c r="W596" s="1" t="s">
        <v>49</v>
      </c>
      <c r="X596" s="13" t="str">
        <f>IF(RIGHT(H596,2)&lt;&gt;"00",H596,"")</f>
        <v/>
      </c>
      <c r="Y596" s="2">
        <f ca="1">NETWORKDAYS(P596,$Y$1)</f>
        <v>146</v>
      </c>
      <c r="Z596" s="14">
        <v>1</v>
      </c>
      <c r="AA596" s="1" t="str">
        <f t="shared" ca="1" si="45"/>
        <v>VENCIDO</v>
      </c>
      <c r="AB596" s="1" t="str">
        <f t="shared" si="46"/>
        <v>C-14</v>
      </c>
      <c r="AC596" s="2" t="str">
        <f t="shared" si="49"/>
        <v xml:space="preserve"> RINALDO </v>
      </c>
      <c r="AD596" s="2">
        <f t="shared" si="47"/>
        <v>5</v>
      </c>
      <c r="AE596" s="2">
        <f t="shared" ca="1" si="48"/>
        <v>-167.9262716435187</v>
      </c>
      <c r="AF596" s="15"/>
    </row>
    <row r="597" spans="1:32" hidden="1">
      <c r="A597" s="1">
        <v>8827051</v>
      </c>
      <c r="B597" s="1" t="s">
        <v>1153</v>
      </c>
      <c r="C597" t="s">
        <v>1154</v>
      </c>
      <c r="D597" s="2">
        <v>20228489000013</v>
      </c>
      <c r="E597" s="2">
        <v>7417172315843</v>
      </c>
      <c r="F597" s="1" t="s">
        <v>1155</v>
      </c>
      <c r="G597" s="1" t="s">
        <v>53</v>
      </c>
      <c r="H597" s="1" t="s">
        <v>1156</v>
      </c>
      <c r="I597" s="1" t="s">
        <v>1157</v>
      </c>
      <c r="J597" s="1" t="s">
        <v>46</v>
      </c>
      <c r="K597" t="s">
        <v>1158</v>
      </c>
      <c r="M597" s="1" t="s">
        <v>58</v>
      </c>
      <c r="N597" s="1">
        <v>0</v>
      </c>
      <c r="O597" s="1" t="s">
        <v>36</v>
      </c>
      <c r="P597" s="186">
        <v>44784.603321759256</v>
      </c>
      <c r="R597" s="1">
        <v>22</v>
      </c>
      <c r="T597" s="1" t="s">
        <v>1160</v>
      </c>
      <c r="U597" s="186">
        <v>44789.436655092592</v>
      </c>
      <c r="V597" s="1" t="s">
        <v>41</v>
      </c>
      <c r="W597" s="1" t="s">
        <v>49</v>
      </c>
      <c r="X597" s="13" t="str">
        <f>IF(RIGHT(H597,2)&lt;&gt;"00",H597,"")</f>
        <v/>
      </c>
      <c r="Y597" s="2">
        <f ca="1">NETWORKDAYS(P597,$Y$1)</f>
        <v>145</v>
      </c>
      <c r="Z597" s="14">
        <v>1</v>
      </c>
      <c r="AA597" s="1" t="str">
        <f t="shared" ca="1" si="45"/>
        <v>VENCIDO</v>
      </c>
      <c r="AB597" s="1" t="str">
        <f t="shared" si="46"/>
        <v>TAAe+</v>
      </c>
      <c r="AC597" s="2" t="str">
        <f t="shared" si="49"/>
        <v xml:space="preserve"> CLEITON </v>
      </c>
      <c r="AD597" s="2">
        <f t="shared" si="47"/>
        <v>8</v>
      </c>
      <c r="AE597" s="2">
        <f t="shared" ca="1" si="48"/>
        <v>-197.23961655092717</v>
      </c>
      <c r="AF597" s="15"/>
    </row>
    <row r="598" spans="1:32" hidden="1">
      <c r="A598" s="1">
        <v>8833673</v>
      </c>
      <c r="B598" s="1" t="s">
        <v>62</v>
      </c>
      <c r="C598" t="s">
        <v>1162</v>
      </c>
      <c r="E598" s="2">
        <v>3108000206001</v>
      </c>
      <c r="F598" s="1" t="s">
        <v>29</v>
      </c>
      <c r="G598" s="1" t="s">
        <v>53</v>
      </c>
      <c r="H598" s="1" t="s">
        <v>325</v>
      </c>
      <c r="I598" s="1" t="s">
        <v>326</v>
      </c>
      <c r="J598" s="1" t="s">
        <v>46</v>
      </c>
      <c r="K598" t="s">
        <v>34</v>
      </c>
      <c r="M598" s="1" t="s">
        <v>35</v>
      </c>
      <c r="N598" s="1">
        <v>42318949</v>
      </c>
      <c r="O598" s="1" t="s">
        <v>36</v>
      </c>
      <c r="P598" s="186">
        <v>44788.457800925928</v>
      </c>
      <c r="R598" s="1" t="s">
        <v>38</v>
      </c>
      <c r="T598" s="1" t="s">
        <v>74</v>
      </c>
      <c r="U598" s="186">
        <v>44830.75</v>
      </c>
      <c r="V598" s="1" t="s">
        <v>41</v>
      </c>
      <c r="W598" s="1" t="s">
        <v>49</v>
      </c>
      <c r="X598" s="13" t="str">
        <f>IF(RIGHT(H598,2)&lt;&gt;"00",H598,"")</f>
        <v/>
      </c>
      <c r="Y598" s="2">
        <f ca="1">NETWORKDAYS(P598,$Y$1)</f>
        <v>143</v>
      </c>
      <c r="Z598" s="14">
        <v>1</v>
      </c>
      <c r="AA598" s="1" t="str">
        <f t="shared" ca="1" si="45"/>
        <v>VENCIDO</v>
      </c>
      <c r="AB598" s="1" t="str">
        <f t="shared" si="46"/>
        <v>Dosa</v>
      </c>
      <c r="AC598" s="2" t="str">
        <f t="shared" si="49"/>
        <v xml:space="preserve"> CLEITON </v>
      </c>
      <c r="AD598" s="2">
        <f t="shared" si="47"/>
        <v>5</v>
      </c>
      <c r="AE598" s="2">
        <f t="shared" ca="1" si="48"/>
        <v>-155.9262716435187</v>
      </c>
      <c r="AF598" s="15"/>
    </row>
    <row r="599" spans="1:32" hidden="1">
      <c r="A599" s="1">
        <v>8839442</v>
      </c>
      <c r="B599" s="1" t="s">
        <v>62</v>
      </c>
      <c r="C599" t="s">
        <v>1165</v>
      </c>
      <c r="E599" s="2">
        <v>7420380203000</v>
      </c>
      <c r="F599" s="1" t="s">
        <v>454</v>
      </c>
      <c r="G599" s="1" t="s">
        <v>30</v>
      </c>
      <c r="H599" s="1" t="s">
        <v>1166</v>
      </c>
      <c r="I599" s="1" t="s">
        <v>1167</v>
      </c>
      <c r="J599" s="1" t="s">
        <v>46</v>
      </c>
      <c r="K599" t="s">
        <v>457</v>
      </c>
      <c r="M599" s="1" t="s">
        <v>58</v>
      </c>
      <c r="N599" s="1">
        <v>0</v>
      </c>
      <c r="O599" s="1" t="s">
        <v>105</v>
      </c>
      <c r="P599" s="186">
        <v>44790.487199074072</v>
      </c>
      <c r="R599" s="1" t="s">
        <v>38</v>
      </c>
      <c r="T599" s="1" t="s">
        <v>157</v>
      </c>
      <c r="U599" s="186">
        <v>44825.75</v>
      </c>
      <c r="V599" s="1" t="s">
        <v>41</v>
      </c>
      <c r="W599" s="1" t="s">
        <v>49</v>
      </c>
      <c r="X599" s="13" t="str">
        <f>IF(RIGHT(H599,2)&lt;&gt;"00",H599,"")</f>
        <v>7420.38</v>
      </c>
      <c r="Y599" s="2">
        <f ca="1">NETWORKDAYS(P599,$Y$1)</f>
        <v>141</v>
      </c>
      <c r="Z599" s="14">
        <v>1</v>
      </c>
      <c r="AA599" s="1" t="str">
        <f t="shared" ca="1" si="45"/>
        <v>VENCIDO</v>
      </c>
      <c r="AB599" s="1" t="str">
        <f t="shared" si="46"/>
        <v>C-14</v>
      </c>
      <c r="AC599" s="2" t="str">
        <f t="shared" si="49"/>
        <v xml:space="preserve"> CLEITON </v>
      </c>
      <c r="AD599" s="2">
        <f t="shared" si="47"/>
        <v>5</v>
      </c>
      <c r="AE599" s="2">
        <f t="shared" ca="1" si="48"/>
        <v>-160.9262716435187</v>
      </c>
      <c r="AF599" s="15"/>
    </row>
    <row r="600" spans="1:32" hidden="1">
      <c r="A600" s="1">
        <v>8844322</v>
      </c>
      <c r="B600" s="1" t="s">
        <v>62</v>
      </c>
      <c r="C600" t="s">
        <v>1170</v>
      </c>
      <c r="E600" s="2">
        <v>714000203000</v>
      </c>
      <c r="F600" s="1" t="s">
        <v>454</v>
      </c>
      <c r="G600" s="1" t="s">
        <v>53</v>
      </c>
      <c r="H600" s="1" t="s">
        <v>377</v>
      </c>
      <c r="I600" s="1" t="s">
        <v>378</v>
      </c>
      <c r="J600" s="1" t="s">
        <v>46</v>
      </c>
      <c r="K600" t="s">
        <v>457</v>
      </c>
      <c r="M600" s="1" t="s">
        <v>58</v>
      </c>
      <c r="N600" s="1">
        <v>0</v>
      </c>
      <c r="O600" s="1" t="s">
        <v>36</v>
      </c>
      <c r="P600" s="186">
        <v>44792.402997685182</v>
      </c>
      <c r="R600" s="1">
        <v>1</v>
      </c>
      <c r="T600" s="1" t="s">
        <v>157</v>
      </c>
      <c r="U600" s="186">
        <v>44827.75</v>
      </c>
      <c r="V600" s="1" t="s">
        <v>41</v>
      </c>
      <c r="W600" s="1" t="s">
        <v>49</v>
      </c>
      <c r="X600" s="13" t="str">
        <f>IF(RIGHT(H600,2)&lt;&gt;"00",H600,"")</f>
        <v/>
      </c>
      <c r="Y600" s="2">
        <f ca="1">NETWORKDAYS(P600,$Y$1)</f>
        <v>139</v>
      </c>
      <c r="Z600" s="14">
        <v>1</v>
      </c>
      <c r="AA600" s="1" t="str">
        <f t="shared" ca="1" si="45"/>
        <v>VENCIDO</v>
      </c>
      <c r="AB600" s="1" t="str">
        <f t="shared" si="46"/>
        <v>C-14</v>
      </c>
      <c r="AC600" s="2" t="str">
        <f t="shared" si="49"/>
        <v xml:space="preserve"> CLEITON </v>
      </c>
      <c r="AD600" s="2">
        <f t="shared" si="47"/>
        <v>5</v>
      </c>
      <c r="AE600" s="2">
        <f t="shared" ca="1" si="48"/>
        <v>-158.9262716435187</v>
      </c>
      <c r="AF600" s="15"/>
    </row>
    <row r="601" spans="1:32" hidden="1">
      <c r="A601" s="1">
        <v>8844316</v>
      </c>
      <c r="B601" s="1" t="s">
        <v>62</v>
      </c>
      <c r="C601" t="s">
        <v>1173</v>
      </c>
      <c r="E601" s="2">
        <v>714000206001</v>
      </c>
      <c r="F601" s="1" t="s">
        <v>29</v>
      </c>
      <c r="G601" s="1" t="s">
        <v>53</v>
      </c>
      <c r="H601" s="1" t="s">
        <v>377</v>
      </c>
      <c r="I601" s="1" t="s">
        <v>378</v>
      </c>
      <c r="J601" s="1" t="s">
        <v>46</v>
      </c>
      <c r="K601" t="s">
        <v>34</v>
      </c>
      <c r="M601" s="1" t="s">
        <v>35</v>
      </c>
      <c r="N601" s="1">
        <v>42318949</v>
      </c>
      <c r="O601" s="1" t="s">
        <v>36</v>
      </c>
      <c r="P601" s="186">
        <v>44792.402361111112</v>
      </c>
      <c r="R601" s="1" t="s">
        <v>38</v>
      </c>
      <c r="T601" s="1" t="s">
        <v>74</v>
      </c>
      <c r="U601" s="186">
        <v>44834.75</v>
      </c>
      <c r="V601" s="1" t="s">
        <v>41</v>
      </c>
      <c r="W601" s="1" t="s">
        <v>49</v>
      </c>
      <c r="X601" s="13" t="str">
        <f>IF(RIGHT(H601,2)&lt;&gt;"00",H601,"")</f>
        <v/>
      </c>
      <c r="Y601" s="2">
        <f ca="1">NETWORKDAYS(P601,$Y$1)</f>
        <v>139</v>
      </c>
      <c r="Z601" s="14">
        <v>1</v>
      </c>
      <c r="AA601" s="1" t="str">
        <f t="shared" ca="1" si="45"/>
        <v>VENCIDO</v>
      </c>
      <c r="AB601" s="1" t="str">
        <f t="shared" si="46"/>
        <v>Dosa</v>
      </c>
      <c r="AC601" s="2" t="str">
        <f t="shared" si="49"/>
        <v xml:space="preserve"> CLEITON </v>
      </c>
      <c r="AD601" s="2">
        <f t="shared" si="47"/>
        <v>5</v>
      </c>
      <c r="AE601" s="2">
        <f t="shared" ca="1" si="48"/>
        <v>-151.9262716435187</v>
      </c>
      <c r="AF601" s="15"/>
    </row>
    <row r="602" spans="1:32" hidden="1">
      <c r="A602" s="181">
        <v>8851834</v>
      </c>
      <c r="B602" s="181" t="s">
        <v>101</v>
      </c>
      <c r="C602" s="182" t="s">
        <v>3584</v>
      </c>
      <c r="D602" s="183"/>
      <c r="E602" s="183">
        <v>9705000206121</v>
      </c>
      <c r="F602" s="181" t="s">
        <v>113</v>
      </c>
      <c r="G602" s="181" t="s">
        <v>53</v>
      </c>
      <c r="H602" s="181" t="s">
        <v>204</v>
      </c>
      <c r="I602" s="181" t="s">
        <v>205</v>
      </c>
      <c r="J602" s="181" t="s">
        <v>90</v>
      </c>
      <c r="K602" t="s">
        <v>116</v>
      </c>
      <c r="M602" s="1" t="s">
        <v>35</v>
      </c>
      <c r="N602" s="1">
        <v>42318949</v>
      </c>
      <c r="O602" s="1" t="s">
        <v>36</v>
      </c>
      <c r="P602" s="186">
        <v>44795.769953703704</v>
      </c>
      <c r="R602" s="1" t="s">
        <v>38</v>
      </c>
      <c r="T602" s="1" t="s">
        <v>74</v>
      </c>
      <c r="U602" s="186">
        <v>44796.75</v>
      </c>
      <c r="V602" s="1" t="s">
        <v>41</v>
      </c>
      <c r="W602" s="1" t="s">
        <v>49</v>
      </c>
      <c r="X602" s="13" t="str">
        <f>IF(RIGHT(H602,2)&lt;&gt;"00",H602,"")</f>
        <v/>
      </c>
      <c r="Y602" s="2">
        <f ca="1">NETWORKDAYS(P602,$Y$1)</f>
        <v>138</v>
      </c>
      <c r="Z602" s="14">
        <v>1</v>
      </c>
      <c r="AA602" s="1" t="str">
        <f t="shared" ca="1" si="45"/>
        <v>VENCIDO</v>
      </c>
      <c r="AB602" s="1" t="str">
        <f t="shared" si="46"/>
        <v>TAAe+</v>
      </c>
      <c r="AC602" s="2" t="str">
        <f t="shared" si="49"/>
        <v xml:space="preserve"> RINALDO </v>
      </c>
      <c r="AD602" s="2">
        <f t="shared" si="47"/>
        <v>8</v>
      </c>
      <c r="AE602" s="2">
        <f t="shared" ca="1" si="48"/>
        <v>-189.9262716435187</v>
      </c>
      <c r="AF602" s="15"/>
    </row>
    <row r="603" spans="1:32" hidden="1">
      <c r="A603" s="181">
        <v>8851833</v>
      </c>
      <c r="B603" s="181" t="s">
        <v>101</v>
      </c>
      <c r="C603" s="182" t="s">
        <v>3584</v>
      </c>
      <c r="D603" s="183"/>
      <c r="E603" s="183">
        <v>9705000206121</v>
      </c>
      <c r="F603" s="181" t="s">
        <v>113</v>
      </c>
      <c r="G603" s="181" t="s">
        <v>53</v>
      </c>
      <c r="H603" s="181" t="s">
        <v>204</v>
      </c>
      <c r="I603" s="181" t="s">
        <v>205</v>
      </c>
      <c r="J603" s="181" t="s">
        <v>90</v>
      </c>
      <c r="K603" t="s">
        <v>116</v>
      </c>
      <c r="M603" s="1" t="s">
        <v>35</v>
      </c>
      <c r="N603" s="1">
        <v>42318949</v>
      </c>
      <c r="O603" s="1" t="s">
        <v>36</v>
      </c>
      <c r="P603" s="186">
        <v>44795.769953703704</v>
      </c>
      <c r="R603" s="1" t="s">
        <v>38</v>
      </c>
      <c r="T603" s="1" t="s">
        <v>74</v>
      </c>
      <c r="U603" s="186">
        <v>44796.75</v>
      </c>
      <c r="V603" s="1" t="s">
        <v>41</v>
      </c>
      <c r="W603" s="1" t="s">
        <v>49</v>
      </c>
      <c r="X603" s="13" t="str">
        <f>IF(RIGHT(H603,2)&lt;&gt;"00",H603,"")</f>
        <v/>
      </c>
      <c r="Y603" s="2">
        <f ca="1">NETWORKDAYS(P603,$Y$1)</f>
        <v>138</v>
      </c>
      <c r="Z603" s="14">
        <v>1</v>
      </c>
      <c r="AA603" s="1" t="str">
        <f t="shared" ca="1" si="45"/>
        <v>VENCIDO</v>
      </c>
      <c r="AB603" s="1" t="str">
        <f t="shared" si="46"/>
        <v>TAAe+</v>
      </c>
      <c r="AC603" s="2" t="str">
        <f t="shared" si="49"/>
        <v xml:space="preserve"> RINALDO </v>
      </c>
      <c r="AD603" s="2">
        <f t="shared" si="47"/>
        <v>8</v>
      </c>
      <c r="AE603" s="2">
        <f t="shared" ca="1" si="48"/>
        <v>-189.9262716435187</v>
      </c>
      <c r="AF603" s="15"/>
    </row>
    <row r="604" spans="1:32" hidden="1">
      <c r="A604" s="181">
        <v>8851832</v>
      </c>
      <c r="B604" s="181" t="s">
        <v>101</v>
      </c>
      <c r="C604" s="182" t="s">
        <v>3584</v>
      </c>
      <c r="D604" s="183"/>
      <c r="E604" s="183">
        <v>9705000206121</v>
      </c>
      <c r="F604" s="181" t="s">
        <v>113</v>
      </c>
      <c r="G604" s="181" t="s">
        <v>53</v>
      </c>
      <c r="H604" s="181" t="s">
        <v>204</v>
      </c>
      <c r="I604" s="181" t="s">
        <v>205</v>
      </c>
      <c r="J604" s="181" t="s">
        <v>90</v>
      </c>
      <c r="K604" t="s">
        <v>116</v>
      </c>
      <c r="M604" s="1" t="s">
        <v>35</v>
      </c>
      <c r="N604" s="1">
        <v>42318949</v>
      </c>
      <c r="O604" s="1" t="s">
        <v>36</v>
      </c>
      <c r="P604" s="186">
        <v>44795.769953703704</v>
      </c>
      <c r="R604" s="1" t="s">
        <v>38</v>
      </c>
      <c r="T604" s="1" t="s">
        <v>74</v>
      </c>
      <c r="U604" s="186">
        <v>44796.75</v>
      </c>
      <c r="V604" s="1" t="s">
        <v>41</v>
      </c>
      <c r="W604" s="1" t="s">
        <v>49</v>
      </c>
      <c r="X604" s="13" t="str">
        <f>IF(RIGHT(H604,2)&lt;&gt;"00",H604,"")</f>
        <v/>
      </c>
      <c r="Y604" s="2">
        <f ca="1">NETWORKDAYS(P604,$Y$1)</f>
        <v>138</v>
      </c>
      <c r="Z604" s="14">
        <v>1</v>
      </c>
      <c r="AA604" s="1" t="str">
        <f t="shared" ca="1" si="45"/>
        <v>VENCIDO</v>
      </c>
      <c r="AB604" s="1" t="str">
        <f t="shared" si="46"/>
        <v>TAAe+</v>
      </c>
      <c r="AC604" s="2" t="str">
        <f t="shared" si="49"/>
        <v xml:space="preserve"> RINALDO </v>
      </c>
      <c r="AD604" s="2">
        <f t="shared" si="47"/>
        <v>8</v>
      </c>
      <c r="AE604" s="2">
        <f t="shared" ca="1" si="48"/>
        <v>-189.9262716435187</v>
      </c>
      <c r="AF604" s="15"/>
    </row>
    <row r="605" spans="1:32" hidden="1">
      <c r="A605" s="1">
        <v>8851831</v>
      </c>
      <c r="B605" s="1" t="s">
        <v>101</v>
      </c>
      <c r="C605" t="s">
        <v>1176</v>
      </c>
      <c r="E605" s="2">
        <v>9704000206121</v>
      </c>
      <c r="F605" s="1" t="s">
        <v>113</v>
      </c>
      <c r="G605" s="1" t="s">
        <v>53</v>
      </c>
      <c r="H605" s="1" t="s">
        <v>488</v>
      </c>
      <c r="I605" s="1" t="s">
        <v>489</v>
      </c>
      <c r="J605" s="1" t="s">
        <v>90</v>
      </c>
      <c r="K605" t="s">
        <v>116</v>
      </c>
      <c r="M605" s="1" t="s">
        <v>35</v>
      </c>
      <c r="N605" s="1">
        <v>42318949</v>
      </c>
      <c r="O605" s="1" t="s">
        <v>105</v>
      </c>
      <c r="P605" s="186">
        <v>44795.769953703704</v>
      </c>
      <c r="R605" s="1" t="s">
        <v>38</v>
      </c>
      <c r="T605" s="1" t="s">
        <v>74</v>
      </c>
      <c r="U605" s="186">
        <v>44796.75</v>
      </c>
      <c r="V605" s="1" t="s">
        <v>41</v>
      </c>
      <c r="W605" s="1" t="s">
        <v>49</v>
      </c>
      <c r="X605" s="13" t="str">
        <f>IF(RIGHT(H605,2)&lt;&gt;"00",H605,"")</f>
        <v/>
      </c>
      <c r="Y605" s="2">
        <f ca="1">NETWORKDAYS(P605,$Y$1)</f>
        <v>138</v>
      </c>
      <c r="Z605" s="14">
        <v>1</v>
      </c>
      <c r="AA605" s="1" t="str">
        <f t="shared" ca="1" si="45"/>
        <v>VENCIDO</v>
      </c>
      <c r="AB605" s="1" t="str">
        <f t="shared" si="46"/>
        <v>TAAe+</v>
      </c>
      <c r="AC605" s="2" t="str">
        <f t="shared" si="49"/>
        <v xml:space="preserve"> RINALDO </v>
      </c>
      <c r="AD605" s="2">
        <f t="shared" si="47"/>
        <v>8</v>
      </c>
      <c r="AE605" s="2">
        <f t="shared" ca="1" si="48"/>
        <v>-189.9262716435187</v>
      </c>
      <c r="AF605" s="15"/>
    </row>
    <row r="606" spans="1:32" hidden="1">
      <c r="A606" s="1">
        <v>8851830</v>
      </c>
      <c r="B606" s="1" t="s">
        <v>101</v>
      </c>
      <c r="C606" t="s">
        <v>1176</v>
      </c>
      <c r="E606" s="2">
        <v>9704000206121</v>
      </c>
      <c r="F606" s="1" t="s">
        <v>113</v>
      </c>
      <c r="G606" s="1" t="s">
        <v>53</v>
      </c>
      <c r="H606" s="1" t="s">
        <v>488</v>
      </c>
      <c r="I606" s="1" t="s">
        <v>489</v>
      </c>
      <c r="J606" s="1" t="s">
        <v>90</v>
      </c>
      <c r="K606" t="s">
        <v>116</v>
      </c>
      <c r="M606" s="1" t="s">
        <v>35</v>
      </c>
      <c r="N606" s="1">
        <v>42318949</v>
      </c>
      <c r="O606" s="1" t="s">
        <v>105</v>
      </c>
      <c r="P606" s="186">
        <v>44795.769953703704</v>
      </c>
      <c r="R606" s="1" t="s">
        <v>38</v>
      </c>
      <c r="T606" s="1" t="s">
        <v>74</v>
      </c>
      <c r="U606" s="186">
        <v>44796.75</v>
      </c>
      <c r="V606" s="1" t="s">
        <v>41</v>
      </c>
      <c r="W606" s="1" t="s">
        <v>49</v>
      </c>
      <c r="X606" s="13" t="str">
        <f>IF(RIGHT(H606,2)&lt;&gt;"00",H606,"")</f>
        <v/>
      </c>
      <c r="Y606" s="2">
        <f ca="1">NETWORKDAYS(P606,$Y$1)</f>
        <v>138</v>
      </c>
      <c r="Z606" s="14">
        <v>1</v>
      </c>
      <c r="AA606" s="1" t="str">
        <f t="shared" ca="1" si="45"/>
        <v>VENCIDO</v>
      </c>
      <c r="AB606" s="1" t="str">
        <f t="shared" si="46"/>
        <v>TAAe+</v>
      </c>
      <c r="AC606" s="2" t="str">
        <f t="shared" si="49"/>
        <v xml:space="preserve"> RINALDO </v>
      </c>
      <c r="AD606" s="2">
        <f t="shared" si="47"/>
        <v>8</v>
      </c>
      <c r="AE606" s="2">
        <f t="shared" ca="1" si="48"/>
        <v>-189.9262716435187</v>
      </c>
      <c r="AF606" s="15"/>
    </row>
    <row r="607" spans="1:32" hidden="1">
      <c r="A607" s="1">
        <v>8851829</v>
      </c>
      <c r="B607" s="1" t="s">
        <v>101</v>
      </c>
      <c r="C607" t="s">
        <v>1176</v>
      </c>
      <c r="E607" s="2">
        <v>9704000206121</v>
      </c>
      <c r="F607" s="1" t="s">
        <v>113</v>
      </c>
      <c r="G607" s="1" t="s">
        <v>53</v>
      </c>
      <c r="H607" s="1" t="s">
        <v>488</v>
      </c>
      <c r="I607" s="1" t="s">
        <v>489</v>
      </c>
      <c r="J607" s="1" t="s">
        <v>90</v>
      </c>
      <c r="K607" t="s">
        <v>116</v>
      </c>
      <c r="M607" s="1" t="s">
        <v>35</v>
      </c>
      <c r="N607" s="1">
        <v>42318949</v>
      </c>
      <c r="O607" s="1" t="s">
        <v>105</v>
      </c>
      <c r="P607" s="186">
        <v>44795.769953703704</v>
      </c>
      <c r="R607" s="1" t="s">
        <v>38</v>
      </c>
      <c r="T607" s="1" t="s">
        <v>74</v>
      </c>
      <c r="U607" s="186">
        <v>44796.75</v>
      </c>
      <c r="V607" s="1" t="s">
        <v>41</v>
      </c>
      <c r="W607" s="1" t="s">
        <v>49</v>
      </c>
      <c r="X607" s="13" t="str">
        <f>IF(RIGHT(H607,2)&lt;&gt;"00",H607,"")</f>
        <v/>
      </c>
      <c r="Y607" s="2">
        <f ca="1">NETWORKDAYS(P607,$Y$1)</f>
        <v>138</v>
      </c>
      <c r="Z607" s="14">
        <v>1</v>
      </c>
      <c r="AA607" s="1" t="str">
        <f t="shared" ca="1" si="45"/>
        <v>VENCIDO</v>
      </c>
      <c r="AB607" s="1" t="str">
        <f t="shared" si="46"/>
        <v>TAAe+</v>
      </c>
      <c r="AC607" s="2" t="str">
        <f t="shared" si="49"/>
        <v xml:space="preserve"> RINALDO </v>
      </c>
      <c r="AD607" s="2">
        <f t="shared" si="47"/>
        <v>8</v>
      </c>
      <c r="AE607" s="2">
        <f t="shared" ca="1" si="48"/>
        <v>-189.9262716435187</v>
      </c>
      <c r="AF607" s="15"/>
    </row>
    <row r="608" spans="1:32" hidden="1">
      <c r="A608" s="1">
        <v>8851826</v>
      </c>
      <c r="B608" s="1" t="s">
        <v>101</v>
      </c>
      <c r="C608" t="s">
        <v>1176</v>
      </c>
      <c r="E608" s="2">
        <v>9700000206121</v>
      </c>
      <c r="F608" s="1" t="s">
        <v>113</v>
      </c>
      <c r="G608" s="1" t="s">
        <v>53</v>
      </c>
      <c r="H608" s="1" t="s">
        <v>209</v>
      </c>
      <c r="I608" s="1" t="s">
        <v>210</v>
      </c>
      <c r="J608" s="1" t="s">
        <v>211</v>
      </c>
      <c r="K608" t="s">
        <v>116</v>
      </c>
      <c r="M608" s="1" t="s">
        <v>35</v>
      </c>
      <c r="N608" s="1">
        <v>42318949</v>
      </c>
      <c r="O608" s="1" t="s">
        <v>105</v>
      </c>
      <c r="P608" s="186">
        <v>44795.769953703704</v>
      </c>
      <c r="R608" s="1" t="s">
        <v>38</v>
      </c>
      <c r="T608" s="1" t="s">
        <v>74</v>
      </c>
      <c r="U608" s="186">
        <v>44796.75</v>
      </c>
      <c r="V608" s="1" t="s">
        <v>41</v>
      </c>
      <c r="W608" s="1" t="s">
        <v>49</v>
      </c>
      <c r="X608" s="13" t="str">
        <f>IF(RIGHT(H608,2)&lt;&gt;"00",H608,"")</f>
        <v/>
      </c>
      <c r="Y608" s="2">
        <f ca="1">NETWORKDAYS(P608,$Y$1)</f>
        <v>138</v>
      </c>
      <c r="Z608" s="14">
        <v>1</v>
      </c>
      <c r="AA608" s="1" t="str">
        <f t="shared" ca="1" si="45"/>
        <v>VENCIDO</v>
      </c>
      <c r="AB608" s="1" t="str">
        <f t="shared" si="46"/>
        <v>TAAe+</v>
      </c>
      <c r="AC608" s="2" t="str">
        <f t="shared" si="49"/>
        <v xml:space="preserve"> RINALDO </v>
      </c>
      <c r="AD608" s="2">
        <f t="shared" si="47"/>
        <v>8</v>
      </c>
      <c r="AE608" s="2">
        <f t="shared" ca="1" si="48"/>
        <v>-189.9262716435187</v>
      </c>
      <c r="AF608" s="15"/>
    </row>
    <row r="609" spans="1:32" hidden="1">
      <c r="A609" s="1">
        <v>8851825</v>
      </c>
      <c r="B609" s="1" t="s">
        <v>101</v>
      </c>
      <c r="C609" t="s">
        <v>1176</v>
      </c>
      <c r="E609" s="2">
        <v>9700000206121</v>
      </c>
      <c r="F609" s="1" t="s">
        <v>113</v>
      </c>
      <c r="G609" s="1" t="s">
        <v>53</v>
      </c>
      <c r="H609" s="1" t="s">
        <v>209</v>
      </c>
      <c r="I609" s="1" t="s">
        <v>210</v>
      </c>
      <c r="J609" s="1" t="s">
        <v>211</v>
      </c>
      <c r="K609" t="s">
        <v>116</v>
      </c>
      <c r="M609" s="1" t="s">
        <v>35</v>
      </c>
      <c r="N609" s="1">
        <v>42318949</v>
      </c>
      <c r="O609" s="1" t="s">
        <v>105</v>
      </c>
      <c r="P609" s="186">
        <v>44795.769953703704</v>
      </c>
      <c r="R609" s="1" t="s">
        <v>38</v>
      </c>
      <c r="T609" s="1" t="s">
        <v>74</v>
      </c>
      <c r="U609" s="186">
        <v>44796.75</v>
      </c>
      <c r="V609" s="1" t="s">
        <v>41</v>
      </c>
      <c r="W609" s="1" t="s">
        <v>49</v>
      </c>
      <c r="X609" s="13" t="str">
        <f>IF(RIGHT(H609,2)&lt;&gt;"00",H609,"")</f>
        <v/>
      </c>
      <c r="Y609" s="2">
        <f ca="1">NETWORKDAYS(P609,$Y$1)</f>
        <v>138</v>
      </c>
      <c r="Z609" s="14">
        <v>1</v>
      </c>
      <c r="AA609" s="1" t="str">
        <f t="shared" ca="1" si="45"/>
        <v>VENCIDO</v>
      </c>
      <c r="AB609" s="1" t="str">
        <f t="shared" si="46"/>
        <v>TAAe+</v>
      </c>
      <c r="AC609" s="2" t="str">
        <f t="shared" si="49"/>
        <v xml:space="preserve"> RINALDO </v>
      </c>
      <c r="AD609" s="2">
        <f t="shared" si="47"/>
        <v>8</v>
      </c>
      <c r="AE609" s="2">
        <f t="shared" ca="1" si="48"/>
        <v>-189.9262716435187</v>
      </c>
      <c r="AF609" s="15"/>
    </row>
    <row r="610" spans="1:32" hidden="1">
      <c r="A610" s="1">
        <v>8851534</v>
      </c>
      <c r="B610" s="1" t="s">
        <v>101</v>
      </c>
      <c r="C610" t="s">
        <v>1176</v>
      </c>
      <c r="E610" s="2">
        <v>9406000206121</v>
      </c>
      <c r="F610" s="1" t="s">
        <v>113</v>
      </c>
      <c r="G610" s="1" t="s">
        <v>53</v>
      </c>
      <c r="H610" s="1" t="s">
        <v>114</v>
      </c>
      <c r="I610" s="1" t="s">
        <v>115</v>
      </c>
      <c r="J610" s="1" t="s">
        <v>46</v>
      </c>
      <c r="K610" t="s">
        <v>116</v>
      </c>
      <c r="M610" s="1" t="s">
        <v>35</v>
      </c>
      <c r="N610" s="1">
        <v>42318949</v>
      </c>
      <c r="O610" s="1" t="s">
        <v>105</v>
      </c>
      <c r="P610" s="186">
        <v>44795.769618055558</v>
      </c>
      <c r="R610" s="1" t="s">
        <v>38</v>
      </c>
      <c r="T610" s="1" t="s">
        <v>74</v>
      </c>
      <c r="U610" s="186">
        <v>44796.75</v>
      </c>
      <c r="V610" s="1" t="s">
        <v>41</v>
      </c>
      <c r="W610" s="1" t="s">
        <v>49</v>
      </c>
      <c r="X610" s="13" t="str">
        <f>IF(RIGHT(H610,2)&lt;&gt;"00",H610,"")</f>
        <v/>
      </c>
      <c r="Y610" s="2">
        <f ca="1">NETWORKDAYS(P610,$Y$1)</f>
        <v>138</v>
      </c>
      <c r="Z610" s="14">
        <v>1</v>
      </c>
      <c r="AA610" s="1" t="str">
        <f t="shared" ca="1" si="45"/>
        <v>VENCIDO</v>
      </c>
      <c r="AB610" s="1" t="str">
        <f t="shared" si="46"/>
        <v>TAAe+</v>
      </c>
      <c r="AC610" s="2" t="str">
        <f t="shared" si="49"/>
        <v xml:space="preserve"> CLEITON </v>
      </c>
      <c r="AD610" s="2">
        <f t="shared" si="47"/>
        <v>8</v>
      </c>
      <c r="AE610" s="2">
        <f t="shared" ca="1" si="48"/>
        <v>-189.9262716435187</v>
      </c>
      <c r="AF610" s="15"/>
    </row>
    <row r="611" spans="1:32" hidden="1">
      <c r="A611" s="1">
        <v>8851533</v>
      </c>
      <c r="B611" s="1" t="s">
        <v>101</v>
      </c>
      <c r="C611" t="s">
        <v>1176</v>
      </c>
      <c r="E611" s="2">
        <v>9406000206121</v>
      </c>
      <c r="F611" s="1" t="s">
        <v>113</v>
      </c>
      <c r="G611" s="1" t="s">
        <v>53</v>
      </c>
      <c r="H611" s="1" t="s">
        <v>114</v>
      </c>
      <c r="I611" s="1" t="s">
        <v>115</v>
      </c>
      <c r="J611" s="1" t="s">
        <v>46</v>
      </c>
      <c r="K611" t="s">
        <v>116</v>
      </c>
      <c r="M611" s="1" t="s">
        <v>35</v>
      </c>
      <c r="N611" s="1">
        <v>42318949</v>
      </c>
      <c r="O611" s="1" t="s">
        <v>105</v>
      </c>
      <c r="P611" s="186">
        <v>44795.769618055558</v>
      </c>
      <c r="R611" s="1" t="s">
        <v>38</v>
      </c>
      <c r="T611" s="1" t="s">
        <v>74</v>
      </c>
      <c r="U611" s="186">
        <v>44796.75</v>
      </c>
      <c r="V611" s="1" t="s">
        <v>41</v>
      </c>
      <c r="W611" s="1" t="s">
        <v>49</v>
      </c>
      <c r="X611" s="13" t="str">
        <f>IF(RIGHT(H611,2)&lt;&gt;"00",H611,"")</f>
        <v/>
      </c>
      <c r="Y611" s="2">
        <f ca="1">NETWORKDAYS(P611,$Y$1)</f>
        <v>138</v>
      </c>
      <c r="Z611" s="14">
        <v>1</v>
      </c>
      <c r="AA611" s="1" t="str">
        <f t="shared" ca="1" si="45"/>
        <v>VENCIDO</v>
      </c>
      <c r="AB611" s="1" t="str">
        <f t="shared" si="46"/>
        <v>TAAe+</v>
      </c>
      <c r="AC611" s="2" t="str">
        <f t="shared" si="49"/>
        <v xml:space="preserve"> CLEITON </v>
      </c>
      <c r="AD611" s="2">
        <f t="shared" si="47"/>
        <v>8</v>
      </c>
      <c r="AE611" s="2">
        <f t="shared" ca="1" si="48"/>
        <v>-189.9262716435187</v>
      </c>
      <c r="AF611" s="15"/>
    </row>
    <row r="612" spans="1:32" hidden="1">
      <c r="A612" s="1">
        <v>8851532</v>
      </c>
      <c r="B612" s="1" t="s">
        <v>101</v>
      </c>
      <c r="C612" t="s">
        <v>1176</v>
      </c>
      <c r="E612" s="2">
        <v>9406000206121</v>
      </c>
      <c r="F612" s="1" t="s">
        <v>113</v>
      </c>
      <c r="G612" s="1" t="s">
        <v>53</v>
      </c>
      <c r="H612" s="1" t="s">
        <v>114</v>
      </c>
      <c r="I612" s="1" t="s">
        <v>115</v>
      </c>
      <c r="J612" s="1" t="s">
        <v>46</v>
      </c>
      <c r="K612" t="s">
        <v>116</v>
      </c>
      <c r="M612" s="1" t="s">
        <v>35</v>
      </c>
      <c r="N612" s="1">
        <v>42318949</v>
      </c>
      <c r="O612" s="1" t="s">
        <v>105</v>
      </c>
      <c r="P612" s="186">
        <v>44795.769618055558</v>
      </c>
      <c r="R612" s="1" t="s">
        <v>38</v>
      </c>
      <c r="T612" s="1" t="s">
        <v>74</v>
      </c>
      <c r="U612" s="186">
        <v>44796.75</v>
      </c>
      <c r="V612" s="1" t="s">
        <v>41</v>
      </c>
      <c r="W612" s="1" t="s">
        <v>49</v>
      </c>
      <c r="X612" s="13" t="str">
        <f>IF(RIGHT(H612,2)&lt;&gt;"00",H612,"")</f>
        <v/>
      </c>
      <c r="Y612" s="2">
        <f ca="1">NETWORKDAYS(P612,$Y$1)</f>
        <v>138</v>
      </c>
      <c r="Z612" s="14">
        <v>1</v>
      </c>
      <c r="AA612" s="1" t="str">
        <f t="shared" ca="1" si="45"/>
        <v>VENCIDO</v>
      </c>
      <c r="AB612" s="1" t="str">
        <f t="shared" si="46"/>
        <v>TAAe+</v>
      </c>
      <c r="AC612" s="2" t="str">
        <f t="shared" si="49"/>
        <v xml:space="preserve"> CLEITON </v>
      </c>
      <c r="AD612" s="2">
        <f t="shared" si="47"/>
        <v>8</v>
      </c>
      <c r="AE612" s="2">
        <f t="shared" ca="1" si="48"/>
        <v>-189.9262716435187</v>
      </c>
      <c r="AF612" s="15"/>
    </row>
    <row r="613" spans="1:32" hidden="1">
      <c r="A613" s="1">
        <v>8851531</v>
      </c>
      <c r="B613" s="1" t="s">
        <v>101</v>
      </c>
      <c r="C613" t="s">
        <v>1176</v>
      </c>
      <c r="E613" s="2">
        <v>9406000206121</v>
      </c>
      <c r="F613" s="1" t="s">
        <v>113</v>
      </c>
      <c r="G613" s="1" t="s">
        <v>53</v>
      </c>
      <c r="H613" s="1" t="s">
        <v>114</v>
      </c>
      <c r="I613" s="1" t="s">
        <v>115</v>
      </c>
      <c r="J613" s="1" t="s">
        <v>46</v>
      </c>
      <c r="K613" t="s">
        <v>116</v>
      </c>
      <c r="M613" s="1" t="s">
        <v>35</v>
      </c>
      <c r="N613" s="1">
        <v>42318949</v>
      </c>
      <c r="O613" s="1" t="s">
        <v>105</v>
      </c>
      <c r="P613" s="186">
        <v>44795.769618055558</v>
      </c>
      <c r="R613" s="1" t="s">
        <v>38</v>
      </c>
      <c r="T613" s="1" t="s">
        <v>74</v>
      </c>
      <c r="U613" s="186">
        <v>44796.75</v>
      </c>
      <c r="V613" s="1" t="s">
        <v>41</v>
      </c>
      <c r="W613" s="1" t="s">
        <v>49</v>
      </c>
      <c r="X613" s="13" t="str">
        <f>IF(RIGHT(H613,2)&lt;&gt;"00",H613,"")</f>
        <v/>
      </c>
      <c r="Y613" s="2">
        <f ca="1">NETWORKDAYS(P613,$Y$1)</f>
        <v>138</v>
      </c>
      <c r="Z613" s="14">
        <v>1</v>
      </c>
      <c r="AA613" s="1" t="str">
        <f t="shared" ca="1" si="45"/>
        <v>VENCIDO</v>
      </c>
      <c r="AB613" s="1" t="str">
        <f t="shared" si="46"/>
        <v>TAAe+</v>
      </c>
      <c r="AC613" s="2" t="str">
        <f t="shared" si="49"/>
        <v xml:space="preserve"> CLEITON </v>
      </c>
      <c r="AD613" s="2">
        <f t="shared" si="47"/>
        <v>8</v>
      </c>
      <c r="AE613" s="2">
        <f t="shared" ca="1" si="48"/>
        <v>-189.9262716435187</v>
      </c>
      <c r="AF613" s="15"/>
    </row>
    <row r="614" spans="1:32" hidden="1">
      <c r="A614" s="1">
        <v>8851530</v>
      </c>
      <c r="B614" s="1" t="s">
        <v>101</v>
      </c>
      <c r="C614" t="s">
        <v>1176</v>
      </c>
      <c r="E614" s="2">
        <v>9406000206121</v>
      </c>
      <c r="F614" s="1" t="s">
        <v>113</v>
      </c>
      <c r="G614" s="1" t="s">
        <v>53</v>
      </c>
      <c r="H614" s="1" t="s">
        <v>114</v>
      </c>
      <c r="I614" s="1" t="s">
        <v>115</v>
      </c>
      <c r="J614" s="1" t="s">
        <v>46</v>
      </c>
      <c r="K614" t="s">
        <v>116</v>
      </c>
      <c r="M614" s="1" t="s">
        <v>35</v>
      </c>
      <c r="N614" s="1">
        <v>42318949</v>
      </c>
      <c r="O614" s="1" t="s">
        <v>105</v>
      </c>
      <c r="P614" s="186">
        <v>44795.769606481481</v>
      </c>
      <c r="R614" s="1" t="s">
        <v>38</v>
      </c>
      <c r="T614" s="1" t="s">
        <v>74</v>
      </c>
      <c r="U614" s="186">
        <v>44796.75</v>
      </c>
      <c r="V614" s="1" t="s">
        <v>41</v>
      </c>
      <c r="W614" s="1" t="s">
        <v>49</v>
      </c>
      <c r="X614" s="13" t="str">
        <f>IF(RIGHT(H614,2)&lt;&gt;"00",H614,"")</f>
        <v/>
      </c>
      <c r="Y614" s="2">
        <f ca="1">NETWORKDAYS(P614,$Y$1)</f>
        <v>138</v>
      </c>
      <c r="Z614" s="14">
        <v>1</v>
      </c>
      <c r="AA614" s="1" t="str">
        <f t="shared" ca="1" si="45"/>
        <v>VENCIDO</v>
      </c>
      <c r="AB614" s="1" t="str">
        <f t="shared" si="46"/>
        <v>TAAe+</v>
      </c>
      <c r="AC614" s="2" t="str">
        <f t="shared" si="49"/>
        <v xml:space="preserve"> CLEITON </v>
      </c>
      <c r="AD614" s="2">
        <f t="shared" si="47"/>
        <v>8</v>
      </c>
      <c r="AE614" s="2">
        <f t="shared" ca="1" si="48"/>
        <v>-189.9262716435187</v>
      </c>
      <c r="AF614" s="15"/>
    </row>
    <row r="615" spans="1:32" hidden="1">
      <c r="A615" s="1">
        <v>8851529</v>
      </c>
      <c r="B615" s="1" t="s">
        <v>101</v>
      </c>
      <c r="C615" t="s">
        <v>1176</v>
      </c>
      <c r="E615" s="2">
        <v>9406000206121</v>
      </c>
      <c r="F615" s="1" t="s">
        <v>113</v>
      </c>
      <c r="G615" s="1" t="s">
        <v>53</v>
      </c>
      <c r="H615" s="1" t="s">
        <v>114</v>
      </c>
      <c r="I615" s="1" t="s">
        <v>115</v>
      </c>
      <c r="J615" s="1" t="s">
        <v>46</v>
      </c>
      <c r="K615" t="s">
        <v>116</v>
      </c>
      <c r="M615" s="1" t="s">
        <v>35</v>
      </c>
      <c r="N615" s="1">
        <v>42318949</v>
      </c>
      <c r="O615" s="1" t="s">
        <v>105</v>
      </c>
      <c r="P615" s="186">
        <v>44795.769606481481</v>
      </c>
      <c r="R615" s="1" t="s">
        <v>38</v>
      </c>
      <c r="T615" s="1" t="s">
        <v>74</v>
      </c>
      <c r="U615" s="186">
        <v>44796.75</v>
      </c>
      <c r="V615" s="1" t="s">
        <v>41</v>
      </c>
      <c r="W615" s="1" t="s">
        <v>49</v>
      </c>
      <c r="X615" s="13" t="str">
        <f>IF(RIGHT(H615,2)&lt;&gt;"00",H615,"")</f>
        <v/>
      </c>
      <c r="Y615" s="2">
        <f ca="1">NETWORKDAYS(P615,$Y$1)</f>
        <v>138</v>
      </c>
      <c r="Z615" s="14">
        <v>1</v>
      </c>
      <c r="AA615" s="1" t="str">
        <f t="shared" ca="1" si="45"/>
        <v>VENCIDO</v>
      </c>
      <c r="AB615" s="1" t="str">
        <f t="shared" si="46"/>
        <v>TAAe+</v>
      </c>
      <c r="AC615" s="2" t="str">
        <f t="shared" si="49"/>
        <v xml:space="preserve"> CLEITON </v>
      </c>
      <c r="AD615" s="2">
        <f t="shared" si="47"/>
        <v>8</v>
      </c>
      <c r="AE615" s="2">
        <f t="shared" ca="1" si="48"/>
        <v>-189.9262716435187</v>
      </c>
      <c r="AF615" s="15"/>
    </row>
    <row r="616" spans="1:32" hidden="1">
      <c r="A616" s="1">
        <v>8851528</v>
      </c>
      <c r="B616" s="1" t="s">
        <v>101</v>
      </c>
      <c r="C616" t="s">
        <v>1176</v>
      </c>
      <c r="E616" s="2">
        <v>9406000206121</v>
      </c>
      <c r="F616" s="1" t="s">
        <v>113</v>
      </c>
      <c r="G616" s="1" t="s">
        <v>53</v>
      </c>
      <c r="H616" s="1" t="s">
        <v>114</v>
      </c>
      <c r="I616" s="1" t="s">
        <v>115</v>
      </c>
      <c r="J616" s="1" t="s">
        <v>46</v>
      </c>
      <c r="K616" t="s">
        <v>116</v>
      </c>
      <c r="M616" s="1" t="s">
        <v>35</v>
      </c>
      <c r="N616" s="1">
        <v>42318949</v>
      </c>
      <c r="O616" s="1" t="s">
        <v>105</v>
      </c>
      <c r="P616" s="186">
        <v>44795.769606481481</v>
      </c>
      <c r="R616" s="1" t="s">
        <v>38</v>
      </c>
      <c r="T616" s="1" t="s">
        <v>74</v>
      </c>
      <c r="U616" s="186">
        <v>44796.75</v>
      </c>
      <c r="V616" s="1" t="s">
        <v>41</v>
      </c>
      <c r="W616" s="1" t="s">
        <v>49</v>
      </c>
      <c r="X616" s="13" t="str">
        <f>IF(RIGHT(H616,2)&lt;&gt;"00",H616,"")</f>
        <v/>
      </c>
      <c r="Y616" s="2">
        <f ca="1">NETWORKDAYS(P616,$Y$1)</f>
        <v>138</v>
      </c>
      <c r="Z616" s="14">
        <v>1</v>
      </c>
      <c r="AA616" s="1" t="str">
        <f t="shared" ca="1" si="45"/>
        <v>VENCIDO</v>
      </c>
      <c r="AB616" s="1" t="str">
        <f t="shared" si="46"/>
        <v>TAAe+</v>
      </c>
      <c r="AC616" s="2" t="str">
        <f t="shared" si="49"/>
        <v xml:space="preserve"> CLEITON </v>
      </c>
      <c r="AD616" s="2">
        <f t="shared" si="47"/>
        <v>8</v>
      </c>
      <c r="AE616" s="2">
        <f t="shared" ca="1" si="48"/>
        <v>-189.9262716435187</v>
      </c>
      <c r="AF616" s="15"/>
    </row>
    <row r="617" spans="1:32" hidden="1">
      <c r="A617" s="1">
        <v>8854131</v>
      </c>
      <c r="B617" s="1" t="s">
        <v>62</v>
      </c>
      <c r="C617" t="s">
        <v>1181</v>
      </c>
      <c r="E617" s="2">
        <v>600000203000</v>
      </c>
      <c r="F617" s="1" t="s">
        <v>454</v>
      </c>
      <c r="G617" s="1" t="s">
        <v>53</v>
      </c>
      <c r="H617" s="1" t="s">
        <v>1084</v>
      </c>
      <c r="I617" s="1" t="s">
        <v>1085</v>
      </c>
      <c r="J617" s="1" t="s">
        <v>90</v>
      </c>
      <c r="K617" t="s">
        <v>457</v>
      </c>
      <c r="M617" s="1" t="s">
        <v>58</v>
      </c>
      <c r="N617" s="1">
        <v>0</v>
      </c>
      <c r="O617" s="1" t="s">
        <v>36</v>
      </c>
      <c r="P617" s="186">
        <v>44796.643958333334</v>
      </c>
      <c r="R617" s="1">
        <v>1</v>
      </c>
      <c r="T617" s="1" t="s">
        <v>157</v>
      </c>
      <c r="U617" s="186">
        <v>44831.75</v>
      </c>
      <c r="V617" s="1" t="s">
        <v>41</v>
      </c>
      <c r="W617" s="1" t="s">
        <v>49</v>
      </c>
      <c r="X617" s="13" t="str">
        <f>IF(RIGHT(H617,2)&lt;&gt;"00",H617,"")</f>
        <v/>
      </c>
      <c r="Y617" s="2">
        <f ca="1">NETWORKDAYS(P617,$Y$1)</f>
        <v>137</v>
      </c>
      <c r="Z617" s="14">
        <v>1</v>
      </c>
      <c r="AA617" s="1" t="str">
        <f t="shared" ca="1" si="45"/>
        <v>VENCIDO</v>
      </c>
      <c r="AB617" s="1" t="str">
        <f t="shared" si="46"/>
        <v>C-14</v>
      </c>
      <c r="AC617" s="2" t="str">
        <f t="shared" si="49"/>
        <v xml:space="preserve"> RINALDO </v>
      </c>
      <c r="AD617" s="2">
        <f t="shared" si="47"/>
        <v>5</v>
      </c>
      <c r="AE617" s="2">
        <f t="shared" ca="1" si="48"/>
        <v>-154.9262716435187</v>
      </c>
      <c r="AF617" s="15"/>
    </row>
    <row r="618" spans="1:32" hidden="1">
      <c r="A618" s="1">
        <v>8861317</v>
      </c>
      <c r="B618" s="1" t="s">
        <v>62</v>
      </c>
      <c r="C618" t="s">
        <v>3027</v>
      </c>
      <c r="E618" s="2">
        <v>2170000206001</v>
      </c>
      <c r="F618" s="1" t="s">
        <v>29</v>
      </c>
      <c r="G618" s="1" t="s">
        <v>53</v>
      </c>
      <c r="H618" s="1" t="s">
        <v>477</v>
      </c>
      <c r="I618" s="1" t="s">
        <v>478</v>
      </c>
      <c r="J618" s="1" t="s">
        <v>148</v>
      </c>
      <c r="K618" t="s">
        <v>34</v>
      </c>
      <c r="M618" s="1" t="s">
        <v>35</v>
      </c>
      <c r="N618" s="1">
        <v>42318949</v>
      </c>
      <c r="O618" s="1" t="s">
        <v>36</v>
      </c>
      <c r="P618" s="186">
        <v>44799.364745370367</v>
      </c>
      <c r="R618" s="1" t="s">
        <v>38</v>
      </c>
      <c r="T618" s="1" t="s">
        <v>74</v>
      </c>
      <c r="U618" s="186">
        <v>44841.75</v>
      </c>
      <c r="V618" s="1" t="s">
        <v>41</v>
      </c>
      <c r="W618" s="1" t="s">
        <v>49</v>
      </c>
      <c r="X618" s="13" t="str">
        <f>IF(RIGHT(H618,2)&lt;&gt;"00",H618,"")</f>
        <v/>
      </c>
      <c r="Y618" s="2">
        <f ca="1">NETWORKDAYS(P618,$Y$1)</f>
        <v>134</v>
      </c>
      <c r="Z618" s="14">
        <v>1</v>
      </c>
      <c r="AA618" s="1" t="str">
        <f t="shared" ca="1" si="45"/>
        <v>VENCIDO</v>
      </c>
      <c r="AB618" s="1" t="str">
        <f t="shared" si="46"/>
        <v>Dosa</v>
      </c>
      <c r="AC618" s="2" t="str">
        <f t="shared" si="49"/>
        <v xml:space="preserve"> RINALDO </v>
      </c>
      <c r="AD618" s="2">
        <f t="shared" si="47"/>
        <v>5</v>
      </c>
      <c r="AE618" s="2">
        <f t="shared" ca="1" si="48"/>
        <v>-144.9262716435187</v>
      </c>
      <c r="AF618" s="15"/>
    </row>
    <row r="619" spans="1:32" hidden="1">
      <c r="A619" s="1">
        <v>8870241</v>
      </c>
      <c r="B619" s="1" t="s">
        <v>62</v>
      </c>
      <c r="C619" t="s">
        <v>3028</v>
      </c>
      <c r="E619" s="2">
        <v>2830000203000</v>
      </c>
      <c r="F619" s="1" t="s">
        <v>454</v>
      </c>
      <c r="G619" s="1" t="s">
        <v>53</v>
      </c>
      <c r="H619" s="1" t="s">
        <v>448</v>
      </c>
      <c r="I619" s="1" t="s">
        <v>449</v>
      </c>
      <c r="J619" s="1" t="s">
        <v>33</v>
      </c>
      <c r="K619" t="s">
        <v>457</v>
      </c>
      <c r="M619" s="1" t="s">
        <v>58</v>
      </c>
      <c r="N619" s="1">
        <v>0</v>
      </c>
      <c r="O619" s="1" t="s">
        <v>36</v>
      </c>
      <c r="P619" s="186">
        <v>44803.491261574076</v>
      </c>
      <c r="R619" s="1">
        <v>1</v>
      </c>
      <c r="T619" s="1" t="s">
        <v>157</v>
      </c>
      <c r="U619" s="186">
        <v>44838.75</v>
      </c>
      <c r="V619" s="1" t="s">
        <v>41</v>
      </c>
      <c r="W619" s="1" t="s">
        <v>42</v>
      </c>
      <c r="X619" s="13" t="str">
        <f>IF(RIGHT(H619,2)&lt;&gt;"00",H619,"")</f>
        <v/>
      </c>
      <c r="Y619" s="2">
        <f ca="1">NETWORKDAYS(P619,$Y$1)</f>
        <v>132</v>
      </c>
      <c r="Z619" s="14">
        <v>1</v>
      </c>
      <c r="AA619" s="1" t="str">
        <f t="shared" ca="1" si="45"/>
        <v>VENCIDO</v>
      </c>
      <c r="AB619" s="1" t="str">
        <f t="shared" si="46"/>
        <v>C-14</v>
      </c>
      <c r="AC619" s="2" t="str">
        <f t="shared" si="49"/>
        <v xml:space="preserve"> ROSEMERE </v>
      </c>
      <c r="AD619" s="2">
        <f t="shared" si="47"/>
        <v>5</v>
      </c>
      <c r="AE619" s="2">
        <f t="shared" ca="1" si="48"/>
        <v>-147.9262716435187</v>
      </c>
      <c r="AF619" s="15"/>
    </row>
    <row r="620" spans="1:32" hidden="1">
      <c r="A620" s="1">
        <v>8873349</v>
      </c>
      <c r="B620" s="1" t="s">
        <v>62</v>
      </c>
      <c r="C620" t="s">
        <v>3585</v>
      </c>
      <c r="E620" s="2">
        <v>1902016236500</v>
      </c>
      <c r="F620" s="1" t="s">
        <v>64</v>
      </c>
      <c r="G620" s="1" t="s">
        <v>53</v>
      </c>
      <c r="H620" s="1" t="s">
        <v>159</v>
      </c>
      <c r="I620" s="1" t="s">
        <v>160</v>
      </c>
      <c r="J620" s="1" t="s">
        <v>46</v>
      </c>
      <c r="K620" t="s">
        <v>67</v>
      </c>
      <c r="M620" s="1" t="s">
        <v>35</v>
      </c>
      <c r="N620" s="1">
        <v>42318949</v>
      </c>
      <c r="O620" s="1" t="s">
        <v>36</v>
      </c>
      <c r="P620" s="186">
        <v>44804.567094907405</v>
      </c>
      <c r="R620" s="1">
        <v>1</v>
      </c>
      <c r="T620" s="1" t="s">
        <v>69</v>
      </c>
      <c r="U620" s="186">
        <v>44805.567094907405</v>
      </c>
      <c r="V620" s="1" t="s">
        <v>41</v>
      </c>
      <c r="W620" s="1" t="s">
        <v>49</v>
      </c>
      <c r="X620" s="13" t="str">
        <f>IF(RIGHT(H620,2)&lt;&gt;"00",H620,"")</f>
        <v/>
      </c>
      <c r="Y620" s="2">
        <f ca="1">NETWORKDAYS(P620,$Y$1)</f>
        <v>131</v>
      </c>
      <c r="Z620" s="14">
        <v>1</v>
      </c>
      <c r="AA620" s="1" t="str">
        <f t="shared" ca="1" si="45"/>
        <v>VENCIDO</v>
      </c>
      <c r="AB620" s="1" t="str">
        <f t="shared" si="46"/>
        <v>TAAe+</v>
      </c>
      <c r="AC620" s="2" t="str">
        <f t="shared" si="49"/>
        <v xml:space="preserve"> CLEITON </v>
      </c>
      <c r="AD620" s="2">
        <f t="shared" si="47"/>
        <v>8</v>
      </c>
      <c r="AE620" s="2">
        <f t="shared" ca="1" si="48"/>
        <v>-181.10917673611402</v>
      </c>
      <c r="AF620" s="15"/>
    </row>
    <row r="621" spans="1:32" hidden="1">
      <c r="A621" s="1">
        <v>8873348</v>
      </c>
      <c r="B621" s="1" t="s">
        <v>62</v>
      </c>
      <c r="C621" t="s">
        <v>3585</v>
      </c>
      <c r="E621" s="2">
        <v>1902016232600</v>
      </c>
      <c r="F621" s="1" t="s">
        <v>64</v>
      </c>
      <c r="G621" s="1" t="s">
        <v>53</v>
      </c>
      <c r="H621" s="1" t="s">
        <v>191</v>
      </c>
      <c r="I621" s="1" t="s">
        <v>192</v>
      </c>
      <c r="J621" s="1" t="s">
        <v>46</v>
      </c>
      <c r="K621" t="s">
        <v>67</v>
      </c>
      <c r="M621" s="1" t="s">
        <v>35</v>
      </c>
      <c r="N621" s="1">
        <v>42318949</v>
      </c>
      <c r="O621" s="1" t="s">
        <v>36</v>
      </c>
      <c r="P621" s="186">
        <v>44804.567094907405</v>
      </c>
      <c r="R621" s="1">
        <v>1</v>
      </c>
      <c r="T621" s="1" t="s">
        <v>69</v>
      </c>
      <c r="U621" s="186">
        <v>44805.567094907405</v>
      </c>
      <c r="V621" s="1" t="s">
        <v>41</v>
      </c>
      <c r="W621" s="1" t="s">
        <v>49</v>
      </c>
      <c r="X621" s="13" t="str">
        <f>IF(RIGHT(H621,2)&lt;&gt;"00",H621,"")</f>
        <v/>
      </c>
      <c r="Y621" s="2">
        <f ca="1">NETWORKDAYS(P621,$Y$1)</f>
        <v>131</v>
      </c>
      <c r="Z621" s="14">
        <v>1</v>
      </c>
      <c r="AA621" s="1" t="str">
        <f t="shared" ca="1" si="45"/>
        <v>VENCIDO</v>
      </c>
      <c r="AB621" s="1" t="str">
        <f t="shared" si="46"/>
        <v>TAAe+</v>
      </c>
      <c r="AC621" s="2" t="str">
        <f t="shared" si="49"/>
        <v xml:space="preserve"> CLEITON </v>
      </c>
      <c r="AD621" s="2">
        <f t="shared" si="47"/>
        <v>8</v>
      </c>
      <c r="AE621" s="2">
        <f t="shared" ca="1" si="48"/>
        <v>-181.10917673611402</v>
      </c>
      <c r="AF621" s="15"/>
    </row>
    <row r="622" spans="1:32" hidden="1">
      <c r="A622" s="1">
        <v>8873343</v>
      </c>
      <c r="B622" s="1" t="s">
        <v>62</v>
      </c>
      <c r="C622" t="s">
        <v>3585</v>
      </c>
      <c r="E622" s="2">
        <v>1902016136200</v>
      </c>
      <c r="F622" s="1" t="s">
        <v>64</v>
      </c>
      <c r="G622" s="1" t="s">
        <v>53</v>
      </c>
      <c r="H622" s="1" t="s">
        <v>268</v>
      </c>
      <c r="I622" s="1" t="s">
        <v>269</v>
      </c>
      <c r="J622" s="1" t="s">
        <v>90</v>
      </c>
      <c r="K622" t="s">
        <v>67</v>
      </c>
      <c r="M622" s="1" t="s">
        <v>35</v>
      </c>
      <c r="N622" s="1">
        <v>42318949</v>
      </c>
      <c r="O622" s="1" t="s">
        <v>36</v>
      </c>
      <c r="P622" s="186">
        <v>44804.567083333335</v>
      </c>
      <c r="R622" s="1">
        <v>1</v>
      </c>
      <c r="T622" s="1" t="s">
        <v>69</v>
      </c>
      <c r="U622" s="186">
        <v>44805.567083333335</v>
      </c>
      <c r="V622" s="1" t="s">
        <v>41</v>
      </c>
      <c r="W622" s="1" t="s">
        <v>49</v>
      </c>
      <c r="X622" s="13" t="str">
        <f>IF(RIGHT(H622,2)&lt;&gt;"00",H622,"")</f>
        <v/>
      </c>
      <c r="Y622" s="2">
        <f ca="1">NETWORKDAYS(P622,$Y$1)</f>
        <v>131</v>
      </c>
      <c r="Z622" s="14">
        <v>1</v>
      </c>
      <c r="AA622" s="1" t="str">
        <f t="shared" ca="1" si="45"/>
        <v>VENCIDO</v>
      </c>
      <c r="AB622" s="1" t="str">
        <f t="shared" si="46"/>
        <v>TAAe+</v>
      </c>
      <c r="AC622" s="2" t="str">
        <f t="shared" si="49"/>
        <v xml:space="preserve"> RINALDO </v>
      </c>
      <c r="AD622" s="2">
        <f t="shared" si="47"/>
        <v>8</v>
      </c>
      <c r="AE622" s="2">
        <f t="shared" ca="1" si="48"/>
        <v>-181.10918831018353</v>
      </c>
      <c r="AF622" s="15"/>
    </row>
    <row r="623" spans="1:32" hidden="1">
      <c r="A623" s="1">
        <v>8873342</v>
      </c>
      <c r="B623" s="1" t="s">
        <v>62</v>
      </c>
      <c r="C623" t="s">
        <v>3585</v>
      </c>
      <c r="E623" s="2">
        <v>1902016112800</v>
      </c>
      <c r="F623" s="1" t="s">
        <v>64</v>
      </c>
      <c r="G623" s="1" t="s">
        <v>53</v>
      </c>
      <c r="H623" s="1" t="s">
        <v>1191</v>
      </c>
      <c r="I623" s="1" t="s">
        <v>1192</v>
      </c>
      <c r="J623" s="1" t="s">
        <v>33</v>
      </c>
      <c r="K623" t="s">
        <v>67</v>
      </c>
      <c r="M623" s="1" t="s">
        <v>35</v>
      </c>
      <c r="N623" s="1">
        <v>42318949</v>
      </c>
      <c r="O623" s="1" t="s">
        <v>36</v>
      </c>
      <c r="P623" s="186">
        <v>44804.567083333335</v>
      </c>
      <c r="R623" s="1">
        <v>1</v>
      </c>
      <c r="T623" s="1" t="s">
        <v>69</v>
      </c>
      <c r="U623" s="186">
        <v>44805.567083333335</v>
      </c>
      <c r="V623" s="1" t="s">
        <v>41</v>
      </c>
      <c r="W623" s="1" t="s">
        <v>49</v>
      </c>
      <c r="X623" s="13" t="str">
        <f>IF(RIGHT(H623,2)&lt;&gt;"00",H623,"")</f>
        <v/>
      </c>
      <c r="Y623" s="2">
        <f ca="1">NETWORKDAYS(P623,$Y$1)</f>
        <v>131</v>
      </c>
      <c r="Z623" s="14">
        <v>1</v>
      </c>
      <c r="AA623" s="1" t="str">
        <f t="shared" ca="1" si="45"/>
        <v>VENCIDO</v>
      </c>
      <c r="AB623" s="1" t="str">
        <f t="shared" si="46"/>
        <v>TAAe+</v>
      </c>
      <c r="AC623" s="2" t="str">
        <f t="shared" si="49"/>
        <v xml:space="preserve"> ROSEMERE </v>
      </c>
      <c r="AD623" s="2">
        <f t="shared" si="47"/>
        <v>8</v>
      </c>
      <c r="AE623" s="2">
        <f t="shared" ca="1" si="48"/>
        <v>-181.10918831018353</v>
      </c>
      <c r="AF623" s="15"/>
    </row>
    <row r="624" spans="1:32" hidden="1">
      <c r="A624" s="1">
        <v>8873335</v>
      </c>
      <c r="B624" s="1" t="s">
        <v>62</v>
      </c>
      <c r="C624" t="s">
        <v>3585</v>
      </c>
      <c r="E624" s="2">
        <v>1902016024600</v>
      </c>
      <c r="F624" s="1" t="s">
        <v>64</v>
      </c>
      <c r="G624" s="1" t="s">
        <v>53</v>
      </c>
      <c r="H624" s="1" t="s">
        <v>1193</v>
      </c>
      <c r="I624" s="1" t="s">
        <v>1194</v>
      </c>
      <c r="J624" s="1" t="s">
        <v>85</v>
      </c>
      <c r="K624" t="s">
        <v>67</v>
      </c>
      <c r="M624" s="1" t="s">
        <v>35</v>
      </c>
      <c r="N624" s="1">
        <v>42318949</v>
      </c>
      <c r="O624" s="1" t="s">
        <v>36</v>
      </c>
      <c r="P624" s="186">
        <v>44804.567071759258</v>
      </c>
      <c r="R624" s="1">
        <v>1</v>
      </c>
      <c r="T624" s="1" t="s">
        <v>69</v>
      </c>
      <c r="U624" s="186">
        <v>44805.567071759258</v>
      </c>
      <c r="V624" s="1" t="s">
        <v>41</v>
      </c>
      <c r="W624" s="1" t="s">
        <v>49</v>
      </c>
      <c r="X624" s="13" t="str">
        <f>IF(RIGHT(H624,2)&lt;&gt;"00",H624,"")</f>
        <v/>
      </c>
      <c r="Y624" s="2">
        <f ca="1">NETWORKDAYS(P624,$Y$1)</f>
        <v>131</v>
      </c>
      <c r="Z624" s="14">
        <v>1</v>
      </c>
      <c r="AA624" s="1" t="str">
        <f t="shared" ca="1" si="45"/>
        <v>VENCIDO</v>
      </c>
      <c r="AB624" s="1" t="str">
        <f t="shared" si="46"/>
        <v>TAAe+</v>
      </c>
      <c r="AC624" s="2" t="str">
        <f t="shared" si="49"/>
        <v xml:space="preserve"> RINALDO </v>
      </c>
      <c r="AD624" s="2">
        <f t="shared" si="47"/>
        <v>8</v>
      </c>
      <c r="AE624" s="2">
        <f t="shared" ca="1" si="48"/>
        <v>-181.10919988426031</v>
      </c>
      <c r="AF624" s="15"/>
    </row>
    <row r="625" spans="1:32" hidden="1">
      <c r="A625" s="1">
        <v>8879008</v>
      </c>
      <c r="B625" s="1" t="s">
        <v>62</v>
      </c>
      <c r="C625" t="s">
        <v>1195</v>
      </c>
      <c r="E625" s="2">
        <v>2365000203000</v>
      </c>
      <c r="F625" s="1" t="s">
        <v>454</v>
      </c>
      <c r="G625" s="1" t="s">
        <v>53</v>
      </c>
      <c r="H625" s="1" t="s">
        <v>159</v>
      </c>
      <c r="I625" s="1" t="s">
        <v>160</v>
      </c>
      <c r="J625" s="1" t="s">
        <v>46</v>
      </c>
      <c r="K625" t="s">
        <v>457</v>
      </c>
      <c r="M625" s="1" t="s">
        <v>58</v>
      </c>
      <c r="N625" s="1">
        <v>0</v>
      </c>
      <c r="O625" s="1" t="s">
        <v>36</v>
      </c>
      <c r="P625" s="186">
        <v>44806.652106481481</v>
      </c>
      <c r="R625" s="1">
        <v>1</v>
      </c>
      <c r="T625" s="1" t="s">
        <v>157</v>
      </c>
      <c r="U625" s="186">
        <v>44841.75</v>
      </c>
      <c r="V625" s="1" t="s">
        <v>41</v>
      </c>
      <c r="W625" s="1" t="s">
        <v>49</v>
      </c>
      <c r="X625" s="13" t="str">
        <f>IF(RIGHT(H625,2)&lt;&gt;"00",H625,"")</f>
        <v/>
      </c>
      <c r="Y625" s="2">
        <f ca="1">NETWORKDAYS(P625,$Y$1)</f>
        <v>129</v>
      </c>
      <c r="Z625" s="14">
        <v>1</v>
      </c>
      <c r="AA625" s="1" t="str">
        <f t="shared" ca="1" si="45"/>
        <v>VENCIDO</v>
      </c>
      <c r="AB625" s="1" t="str">
        <f t="shared" si="46"/>
        <v>C-14</v>
      </c>
      <c r="AC625" s="2" t="str">
        <f t="shared" si="49"/>
        <v xml:space="preserve"> CLEITON </v>
      </c>
      <c r="AD625" s="2">
        <f t="shared" si="47"/>
        <v>5</v>
      </c>
      <c r="AE625" s="2">
        <f t="shared" ca="1" si="48"/>
        <v>-144.9262716435187</v>
      </c>
      <c r="AF625" s="15"/>
    </row>
    <row r="626" spans="1:32" hidden="1">
      <c r="A626" s="1">
        <v>8878112</v>
      </c>
      <c r="B626" s="1" t="s">
        <v>62</v>
      </c>
      <c r="C626" t="s">
        <v>1198</v>
      </c>
      <c r="E626" s="2">
        <v>3108000203000</v>
      </c>
      <c r="F626" s="1" t="s">
        <v>454</v>
      </c>
      <c r="G626" s="1" t="s">
        <v>53</v>
      </c>
      <c r="H626" s="1" t="s">
        <v>325</v>
      </c>
      <c r="I626" s="1" t="s">
        <v>326</v>
      </c>
      <c r="J626" s="1" t="s">
        <v>46</v>
      </c>
      <c r="K626" t="s">
        <v>457</v>
      </c>
      <c r="M626" s="1" t="s">
        <v>58</v>
      </c>
      <c r="N626" s="1">
        <v>0</v>
      </c>
      <c r="O626" s="1" t="s">
        <v>36</v>
      </c>
      <c r="P626" s="186">
        <v>44806.460034722222</v>
      </c>
      <c r="R626" s="1">
        <v>1</v>
      </c>
      <c r="T626" s="1" t="s">
        <v>157</v>
      </c>
      <c r="U626" s="186">
        <v>44841.75</v>
      </c>
      <c r="V626" s="1" t="s">
        <v>41</v>
      </c>
      <c r="W626" s="1" t="s">
        <v>49</v>
      </c>
      <c r="X626" s="13" t="str">
        <f>IF(RIGHT(H626,2)&lt;&gt;"00",H626,"")</f>
        <v/>
      </c>
      <c r="Y626" s="2">
        <f ca="1">NETWORKDAYS(P626,$Y$1)</f>
        <v>129</v>
      </c>
      <c r="Z626" s="14">
        <v>1</v>
      </c>
      <c r="AA626" s="1" t="str">
        <f t="shared" ca="1" si="45"/>
        <v>VENCIDO</v>
      </c>
      <c r="AB626" s="1" t="str">
        <f t="shared" si="46"/>
        <v>C-14</v>
      </c>
      <c r="AC626" s="2" t="str">
        <f t="shared" si="49"/>
        <v xml:space="preserve"> CLEITON </v>
      </c>
      <c r="AD626" s="2">
        <f t="shared" si="47"/>
        <v>5</v>
      </c>
      <c r="AE626" s="2">
        <f t="shared" ca="1" si="48"/>
        <v>-144.9262716435187</v>
      </c>
      <c r="AF626" s="15"/>
    </row>
    <row r="627" spans="1:32" hidden="1">
      <c r="A627" s="1">
        <v>8894073</v>
      </c>
      <c r="B627" s="1" t="s">
        <v>62</v>
      </c>
      <c r="C627" t="s">
        <v>1200</v>
      </c>
      <c r="E627" s="2">
        <v>870000206001</v>
      </c>
      <c r="F627" s="1" t="s">
        <v>29</v>
      </c>
      <c r="G627" s="1" t="s">
        <v>53</v>
      </c>
      <c r="H627" s="1" t="s">
        <v>183</v>
      </c>
      <c r="I627" s="1" t="s">
        <v>184</v>
      </c>
      <c r="J627" s="1" t="s">
        <v>90</v>
      </c>
      <c r="K627" t="s">
        <v>34</v>
      </c>
      <c r="M627" s="1" t="s">
        <v>35</v>
      </c>
      <c r="N627" s="1">
        <v>42318949</v>
      </c>
      <c r="O627" s="1" t="s">
        <v>36</v>
      </c>
      <c r="P627" s="186">
        <v>44813.574618055558</v>
      </c>
      <c r="R627" s="1" t="s">
        <v>38</v>
      </c>
      <c r="T627" s="1" t="s">
        <v>74</v>
      </c>
      <c r="U627" s="186">
        <v>44855.75</v>
      </c>
      <c r="V627" s="1" t="s">
        <v>41</v>
      </c>
      <c r="W627" s="1" t="s">
        <v>49</v>
      </c>
      <c r="X627" s="13" t="str">
        <f>IF(RIGHT(H627,2)&lt;&gt;"00",H627,"")</f>
        <v/>
      </c>
      <c r="Y627" s="2">
        <f ca="1">NETWORKDAYS(P627,$Y$1)</f>
        <v>124</v>
      </c>
      <c r="Z627" s="14">
        <v>1</v>
      </c>
      <c r="AA627" s="1" t="str">
        <f t="shared" ca="1" si="45"/>
        <v>VENCIDO</v>
      </c>
      <c r="AB627" s="1" t="str">
        <f t="shared" si="46"/>
        <v>Dosa</v>
      </c>
      <c r="AC627" s="2" t="str">
        <f t="shared" si="49"/>
        <v xml:space="preserve"> RINALDO </v>
      </c>
      <c r="AD627" s="2">
        <f t="shared" si="47"/>
        <v>5</v>
      </c>
      <c r="AE627" s="2">
        <f t="shared" ca="1" si="48"/>
        <v>-130.9262716435187</v>
      </c>
      <c r="AF627" s="15"/>
    </row>
    <row r="628" spans="1:32" hidden="1">
      <c r="A628" s="1">
        <v>8894047</v>
      </c>
      <c r="B628" s="1" t="s">
        <v>62</v>
      </c>
      <c r="C628" t="s">
        <v>1203</v>
      </c>
      <c r="E628" s="2">
        <v>1011000206001</v>
      </c>
      <c r="F628" s="1" t="s">
        <v>29</v>
      </c>
      <c r="G628" s="1" t="s">
        <v>53</v>
      </c>
      <c r="H628" s="1" t="s">
        <v>272</v>
      </c>
      <c r="I628" s="1" t="s">
        <v>273</v>
      </c>
      <c r="J628" s="1" t="s">
        <v>33</v>
      </c>
      <c r="K628" t="s">
        <v>34</v>
      </c>
      <c r="M628" s="1" t="s">
        <v>35</v>
      </c>
      <c r="N628" s="1">
        <v>42318949</v>
      </c>
      <c r="O628" s="1" t="s">
        <v>36</v>
      </c>
      <c r="P628" s="186">
        <v>44813.573217592595</v>
      </c>
      <c r="R628" s="1" t="s">
        <v>38</v>
      </c>
      <c r="T628" s="1" t="s">
        <v>74</v>
      </c>
      <c r="U628" s="186">
        <v>44855.75</v>
      </c>
      <c r="V628" s="1" t="s">
        <v>41</v>
      </c>
      <c r="W628" s="1" t="s">
        <v>49</v>
      </c>
      <c r="X628" s="13" t="str">
        <f>IF(RIGHT(H628,2)&lt;&gt;"00",H628,"")</f>
        <v/>
      </c>
      <c r="Y628" s="2">
        <f ca="1">NETWORKDAYS(P628,$Y$1)</f>
        <v>124</v>
      </c>
      <c r="Z628" s="14">
        <v>1</v>
      </c>
      <c r="AA628" s="1" t="str">
        <f t="shared" ca="1" si="45"/>
        <v>VENCIDO</v>
      </c>
      <c r="AB628" s="1" t="str">
        <f t="shared" si="46"/>
        <v>Dosa</v>
      </c>
      <c r="AC628" s="2" t="str">
        <f t="shared" si="49"/>
        <v xml:space="preserve"> ROSEMERE </v>
      </c>
      <c r="AD628" s="2">
        <f t="shared" si="47"/>
        <v>5</v>
      </c>
      <c r="AE628" s="2">
        <f t="shared" ca="1" si="48"/>
        <v>-130.9262716435187</v>
      </c>
      <c r="AF628" s="15"/>
    </row>
    <row r="629" spans="1:32" hidden="1">
      <c r="A629" s="1">
        <v>8898899</v>
      </c>
      <c r="B629" s="1" t="s">
        <v>226</v>
      </c>
      <c r="C629" t="s">
        <v>1205</v>
      </c>
      <c r="E629" s="2">
        <v>69000206001</v>
      </c>
      <c r="F629" s="1" t="s">
        <v>29</v>
      </c>
      <c r="G629" s="1" t="s">
        <v>53</v>
      </c>
      <c r="H629" s="1" t="s">
        <v>1206</v>
      </c>
      <c r="I629" s="1" t="s">
        <v>1207</v>
      </c>
      <c r="J629" s="1" t="s">
        <v>33</v>
      </c>
      <c r="K629" t="s">
        <v>34</v>
      </c>
      <c r="M629" s="1" t="s">
        <v>35</v>
      </c>
      <c r="N629" s="1">
        <v>42318949</v>
      </c>
      <c r="O629" s="1" t="s">
        <v>105</v>
      </c>
      <c r="P629" s="186">
        <v>44816.473333333335</v>
      </c>
      <c r="R629" s="1" t="s">
        <v>38</v>
      </c>
      <c r="T629" s="1" t="s">
        <v>74</v>
      </c>
      <c r="U629" s="186">
        <v>44858.75</v>
      </c>
      <c r="V629" s="1" t="s">
        <v>41</v>
      </c>
      <c r="W629" s="1" t="s">
        <v>42</v>
      </c>
      <c r="X629" s="13" t="str">
        <f>IF(RIGHT(H629,2)&lt;&gt;"00",H629,"")</f>
        <v/>
      </c>
      <c r="Y629" s="2">
        <f ca="1">NETWORKDAYS(P629,$Y$1)</f>
        <v>123</v>
      </c>
      <c r="Z629" s="14">
        <v>1</v>
      </c>
      <c r="AA629" s="1" t="str">
        <f t="shared" ca="1" si="45"/>
        <v>VENCIDO</v>
      </c>
      <c r="AB629" s="1" t="str">
        <f t="shared" si="46"/>
        <v>Dosa</v>
      </c>
      <c r="AC629" s="2" t="str">
        <f t="shared" si="49"/>
        <v xml:space="preserve"> ROSEMERE </v>
      </c>
      <c r="AD629" s="2">
        <f t="shared" si="47"/>
        <v>5</v>
      </c>
      <c r="AE629" s="2">
        <f t="shared" ca="1" si="48"/>
        <v>-127.9262716435187</v>
      </c>
      <c r="AF629" s="15"/>
    </row>
    <row r="630" spans="1:32" hidden="1">
      <c r="A630" s="1">
        <v>8903976</v>
      </c>
      <c r="B630" s="1" t="s">
        <v>81</v>
      </c>
      <c r="C630" t="s">
        <v>1210</v>
      </c>
      <c r="E630" s="2">
        <v>7419141891975</v>
      </c>
      <c r="F630" s="1" t="s">
        <v>128</v>
      </c>
      <c r="G630" s="1" t="s">
        <v>53</v>
      </c>
      <c r="H630" s="1" t="s">
        <v>519</v>
      </c>
      <c r="I630" s="1" t="s">
        <v>520</v>
      </c>
      <c r="J630" s="1" t="s">
        <v>90</v>
      </c>
      <c r="K630" t="s">
        <v>129</v>
      </c>
      <c r="M630" s="1" t="s">
        <v>58</v>
      </c>
      <c r="N630" s="1">
        <v>0</v>
      </c>
      <c r="O630" s="1" t="s">
        <v>105</v>
      </c>
      <c r="P630" s="186">
        <v>44817.729791666665</v>
      </c>
      <c r="R630" s="1">
        <v>14</v>
      </c>
      <c r="T630" s="1" t="s">
        <v>238</v>
      </c>
      <c r="U630" s="186">
        <v>44818.730555555558</v>
      </c>
      <c r="V630" s="1" t="s">
        <v>41</v>
      </c>
      <c r="W630" s="1" t="s">
        <v>49</v>
      </c>
      <c r="X630" s="13" t="str">
        <f>IF(RIGHT(H630,2)&lt;&gt;"00",H630,"")</f>
        <v>0870.91</v>
      </c>
      <c r="Y630" s="2">
        <f ca="1">NETWORKDAYS(P630,$Y$1)</f>
        <v>122</v>
      </c>
      <c r="Z630" s="14">
        <v>1</v>
      </c>
      <c r="AA630" s="1" t="str">
        <f t="shared" ca="1" si="45"/>
        <v>VENCIDO</v>
      </c>
      <c r="AB630" s="1" t="str">
        <f t="shared" si="46"/>
        <v>TAAe+</v>
      </c>
      <c r="AC630" s="2" t="str">
        <f t="shared" si="49"/>
        <v xml:space="preserve"> RINALDO </v>
      </c>
      <c r="AD630" s="2">
        <f t="shared" si="47"/>
        <v>8</v>
      </c>
      <c r="AE630" s="2">
        <f t="shared" ca="1" si="48"/>
        <v>-167.94571608796105</v>
      </c>
      <c r="AF630" s="15"/>
    </row>
    <row r="631" spans="1:32" hidden="1">
      <c r="A631" s="1">
        <v>8903971</v>
      </c>
      <c r="B631" s="1" t="s">
        <v>81</v>
      </c>
      <c r="C631" t="s">
        <v>1210</v>
      </c>
      <c r="E631" s="2">
        <v>7417202020515</v>
      </c>
      <c r="F631" s="1" t="s">
        <v>1213</v>
      </c>
      <c r="G631" s="1" t="s">
        <v>53</v>
      </c>
      <c r="H631" s="1" t="s">
        <v>519</v>
      </c>
      <c r="I631" s="1" t="s">
        <v>520</v>
      </c>
      <c r="J631" s="1" t="s">
        <v>90</v>
      </c>
      <c r="K631" t="s">
        <v>1214</v>
      </c>
      <c r="M631" s="1" t="s">
        <v>58</v>
      </c>
      <c r="N631" s="1">
        <v>0</v>
      </c>
      <c r="O631" s="1" t="s">
        <v>105</v>
      </c>
      <c r="P631" s="186">
        <v>44817.725960648146</v>
      </c>
      <c r="R631" s="1">
        <v>14</v>
      </c>
      <c r="T631" s="1" t="s">
        <v>238</v>
      </c>
      <c r="U631" s="186">
        <v>44818.727361111109</v>
      </c>
      <c r="V631" s="1" t="s">
        <v>41</v>
      </c>
      <c r="W631" s="1" t="s">
        <v>49</v>
      </c>
      <c r="X631" s="13" t="str">
        <f>IF(RIGHT(H631,2)&lt;&gt;"00",H631,"")</f>
        <v>0870.91</v>
      </c>
      <c r="Y631" s="2">
        <f ca="1">NETWORKDAYS(P631,$Y$1)</f>
        <v>122</v>
      </c>
      <c r="Z631" s="14">
        <v>1</v>
      </c>
      <c r="AA631" s="1" t="str">
        <f t="shared" ca="1" si="45"/>
        <v>VENCIDO</v>
      </c>
      <c r="AB631" s="1" t="str">
        <f t="shared" si="46"/>
        <v>TAAe+</v>
      </c>
      <c r="AC631" s="2" t="str">
        <f t="shared" si="49"/>
        <v xml:space="preserve"> RINALDO </v>
      </c>
      <c r="AD631" s="2">
        <f t="shared" si="47"/>
        <v>8</v>
      </c>
      <c r="AE631" s="2">
        <f t="shared" ca="1" si="48"/>
        <v>-167.94891053241008</v>
      </c>
      <c r="AF631" s="15"/>
    </row>
    <row r="632" spans="1:32" hidden="1">
      <c r="A632" s="1">
        <v>8903953</v>
      </c>
      <c r="B632" s="1" t="s">
        <v>81</v>
      </c>
      <c r="C632" t="s">
        <v>1210</v>
      </c>
      <c r="E632" s="2">
        <v>7417161483328</v>
      </c>
      <c r="F632" s="1" t="s">
        <v>1217</v>
      </c>
      <c r="G632" s="1" t="s">
        <v>53</v>
      </c>
      <c r="H632" s="1" t="s">
        <v>519</v>
      </c>
      <c r="I632" s="1" t="s">
        <v>520</v>
      </c>
      <c r="J632" s="1" t="s">
        <v>90</v>
      </c>
      <c r="K632" t="s">
        <v>1218</v>
      </c>
      <c r="M632" s="1" t="s">
        <v>58</v>
      </c>
      <c r="N632" s="1">
        <v>0</v>
      </c>
      <c r="O632" s="1" t="s">
        <v>105</v>
      </c>
      <c r="P632" s="186">
        <v>44817.722349537034</v>
      </c>
      <c r="R632" s="1">
        <v>14</v>
      </c>
      <c r="T632" s="1" t="s">
        <v>238</v>
      </c>
      <c r="U632" s="186">
        <v>44818.72315972222</v>
      </c>
      <c r="V632" s="1" t="s">
        <v>41</v>
      </c>
      <c r="W632" s="1" t="s">
        <v>49</v>
      </c>
      <c r="X632" s="13" t="str">
        <f>IF(RIGHT(H632,2)&lt;&gt;"00",H632,"")</f>
        <v>0870.91</v>
      </c>
      <c r="Y632" s="2">
        <f ca="1">NETWORKDAYS(P632,$Y$1)</f>
        <v>122</v>
      </c>
      <c r="Z632" s="14">
        <v>1</v>
      </c>
      <c r="AA632" s="1" t="str">
        <f t="shared" ca="1" si="45"/>
        <v>VENCIDO</v>
      </c>
      <c r="AB632" s="1" t="str">
        <f t="shared" si="46"/>
        <v>TAAe+</v>
      </c>
      <c r="AC632" s="2" t="str">
        <f t="shared" si="49"/>
        <v xml:space="preserve"> RINALDO </v>
      </c>
      <c r="AD632" s="2">
        <f t="shared" si="47"/>
        <v>8</v>
      </c>
      <c r="AE632" s="2">
        <f t="shared" ca="1" si="48"/>
        <v>-167.95311192129884</v>
      </c>
      <c r="AF632" s="15"/>
    </row>
    <row r="633" spans="1:32" hidden="1">
      <c r="A633" s="1">
        <v>8903941</v>
      </c>
      <c r="B633" s="1" t="s">
        <v>81</v>
      </c>
      <c r="C633" t="s">
        <v>1221</v>
      </c>
      <c r="E633" s="2">
        <v>7419143323230</v>
      </c>
      <c r="F633" s="1" t="s">
        <v>1222</v>
      </c>
      <c r="G633" s="1" t="s">
        <v>53</v>
      </c>
      <c r="H633" s="1" t="s">
        <v>519</v>
      </c>
      <c r="I633" s="1" t="s">
        <v>520</v>
      </c>
      <c r="J633" s="1" t="s">
        <v>90</v>
      </c>
      <c r="K633" t="s">
        <v>1223</v>
      </c>
      <c r="M633" s="1" t="s">
        <v>58</v>
      </c>
      <c r="N633" s="1">
        <v>0</v>
      </c>
      <c r="O633" s="1" t="s">
        <v>105</v>
      </c>
      <c r="P633" s="186">
        <v>44817.717372685183</v>
      </c>
      <c r="R633" s="1">
        <v>14</v>
      </c>
      <c r="T633" s="1" t="s">
        <v>238</v>
      </c>
      <c r="U633" s="186">
        <v>44818.718124999999</v>
      </c>
      <c r="V633" s="1" t="s">
        <v>41</v>
      </c>
      <c r="W633" s="1" t="s">
        <v>49</v>
      </c>
      <c r="X633" s="13" t="str">
        <f>IF(RIGHT(H633,2)&lt;&gt;"00",H633,"")</f>
        <v>0870.91</v>
      </c>
      <c r="Y633" s="2">
        <f ca="1">NETWORKDAYS(P633,$Y$1)</f>
        <v>122</v>
      </c>
      <c r="Z633" s="14">
        <v>1</v>
      </c>
      <c r="AA633" s="1" t="str">
        <f t="shared" ca="1" si="45"/>
        <v>VENCIDO</v>
      </c>
      <c r="AB633" s="1" t="str">
        <f t="shared" si="46"/>
        <v>TAAe+</v>
      </c>
      <c r="AC633" s="2" t="str">
        <f t="shared" si="49"/>
        <v xml:space="preserve"> RINALDO </v>
      </c>
      <c r="AD633" s="2">
        <f t="shared" si="47"/>
        <v>8</v>
      </c>
      <c r="AE633" s="2">
        <f t="shared" ca="1" si="48"/>
        <v>-167.95814664351929</v>
      </c>
      <c r="AF633" s="15"/>
    </row>
    <row r="634" spans="1:32" hidden="1">
      <c r="A634" s="1">
        <v>8907264</v>
      </c>
      <c r="B634" s="1" t="s">
        <v>62</v>
      </c>
      <c r="C634" t="s">
        <v>1226</v>
      </c>
      <c r="E634" s="2">
        <v>870000203000</v>
      </c>
      <c r="F634" s="1" t="s">
        <v>454</v>
      </c>
      <c r="G634" s="1" t="s">
        <v>53</v>
      </c>
      <c r="H634" s="1" t="s">
        <v>183</v>
      </c>
      <c r="I634" s="1" t="s">
        <v>184</v>
      </c>
      <c r="J634" s="1" t="s">
        <v>90</v>
      </c>
      <c r="K634" t="s">
        <v>457</v>
      </c>
      <c r="M634" s="1" t="s">
        <v>58</v>
      </c>
      <c r="N634" s="1">
        <v>0</v>
      </c>
      <c r="O634" s="1" t="s">
        <v>36</v>
      </c>
      <c r="P634" s="186">
        <v>44819.450868055559</v>
      </c>
      <c r="R634" s="1">
        <v>1</v>
      </c>
      <c r="T634" s="1" t="s">
        <v>157</v>
      </c>
      <c r="U634" s="186">
        <v>44854.75</v>
      </c>
      <c r="V634" s="1" t="s">
        <v>41</v>
      </c>
      <c r="W634" s="1" t="s">
        <v>49</v>
      </c>
      <c r="X634" s="13" t="str">
        <f>IF(RIGHT(H634,2)&lt;&gt;"00",H634,"")</f>
        <v/>
      </c>
      <c r="Y634" s="2">
        <f ca="1">NETWORKDAYS(P634,$Y$1)</f>
        <v>120</v>
      </c>
      <c r="Z634" s="14">
        <v>1</v>
      </c>
      <c r="AA634" s="1" t="str">
        <f t="shared" ca="1" si="45"/>
        <v>VENCIDO</v>
      </c>
      <c r="AB634" s="1" t="str">
        <f t="shared" si="46"/>
        <v>C-14</v>
      </c>
      <c r="AC634" s="2" t="str">
        <f t="shared" si="49"/>
        <v xml:space="preserve"> RINALDO </v>
      </c>
      <c r="AD634" s="2">
        <f t="shared" si="47"/>
        <v>5</v>
      </c>
      <c r="AE634" s="2">
        <f t="shared" ca="1" si="48"/>
        <v>-131.9262716435187</v>
      </c>
      <c r="AF634" s="15"/>
    </row>
    <row r="635" spans="1:32" hidden="1">
      <c r="A635" s="1">
        <v>8914733</v>
      </c>
      <c r="B635" s="1" t="s">
        <v>62</v>
      </c>
      <c r="C635" t="s">
        <v>1203</v>
      </c>
      <c r="E635" s="2">
        <v>1924000206001</v>
      </c>
      <c r="F635" s="1" t="s">
        <v>29</v>
      </c>
      <c r="G635" s="1" t="s">
        <v>53</v>
      </c>
      <c r="H635" s="1" t="s">
        <v>568</v>
      </c>
      <c r="I635" s="1" t="s">
        <v>569</v>
      </c>
      <c r="J635" s="1" t="s">
        <v>33</v>
      </c>
      <c r="K635" t="s">
        <v>34</v>
      </c>
      <c r="M635" s="1" t="s">
        <v>35</v>
      </c>
      <c r="N635" s="1">
        <v>42318949</v>
      </c>
      <c r="O635" s="1" t="s">
        <v>36</v>
      </c>
      <c r="P635" s="186">
        <v>44823.434999999998</v>
      </c>
      <c r="R635" s="1" t="s">
        <v>38</v>
      </c>
      <c r="T635" s="1" t="s">
        <v>74</v>
      </c>
      <c r="U635" s="186">
        <v>44865.75</v>
      </c>
      <c r="V635" s="1" t="s">
        <v>41</v>
      </c>
      <c r="W635" s="1" t="s">
        <v>49</v>
      </c>
      <c r="X635" s="13" t="str">
        <f>IF(RIGHT(H635,2)&lt;&gt;"00",H635,"")</f>
        <v/>
      </c>
      <c r="Y635" s="2">
        <f ca="1">NETWORKDAYS(P635,$Y$1)</f>
        <v>118</v>
      </c>
      <c r="Z635" s="14">
        <v>1</v>
      </c>
      <c r="AA635" s="1" t="str">
        <f t="shared" ca="1" si="45"/>
        <v>VENCIDO</v>
      </c>
      <c r="AB635" s="1" t="str">
        <f t="shared" si="46"/>
        <v>Dosa</v>
      </c>
      <c r="AC635" s="2" t="str">
        <f t="shared" si="49"/>
        <v xml:space="preserve"> ROSEMERE </v>
      </c>
      <c r="AD635" s="2">
        <f t="shared" si="47"/>
        <v>5</v>
      </c>
      <c r="AE635" s="2">
        <f t="shared" ca="1" si="48"/>
        <v>-120.9262716435187</v>
      </c>
      <c r="AF635" s="15"/>
    </row>
    <row r="636" spans="1:32" hidden="1">
      <c r="A636" s="1">
        <v>8937635</v>
      </c>
      <c r="B636" s="1" t="s">
        <v>62</v>
      </c>
      <c r="C636" t="s">
        <v>1231</v>
      </c>
      <c r="E636" s="2">
        <v>1764000203000</v>
      </c>
      <c r="F636" s="1" t="s">
        <v>454</v>
      </c>
      <c r="G636" s="1" t="s">
        <v>53</v>
      </c>
      <c r="H636" s="1" t="s">
        <v>722</v>
      </c>
      <c r="I636" s="1" t="s">
        <v>723</v>
      </c>
      <c r="J636" s="1" t="s">
        <v>90</v>
      </c>
      <c r="K636" t="s">
        <v>457</v>
      </c>
      <c r="M636" s="1" t="s">
        <v>58</v>
      </c>
      <c r="N636" s="1">
        <v>0</v>
      </c>
      <c r="O636" s="1" t="s">
        <v>105</v>
      </c>
      <c r="P636" s="186">
        <v>44833.385520833333</v>
      </c>
      <c r="R636" s="1">
        <v>1</v>
      </c>
      <c r="T636" s="1" t="s">
        <v>157</v>
      </c>
      <c r="U636" s="186">
        <v>44869.75</v>
      </c>
      <c r="V636" s="1" t="s">
        <v>41</v>
      </c>
      <c r="W636" s="1" t="s">
        <v>49</v>
      </c>
      <c r="X636" s="13" t="str">
        <f>IF(RIGHT(H636,2)&lt;&gt;"00",H636,"")</f>
        <v/>
      </c>
      <c r="Y636" s="2">
        <f ca="1">NETWORKDAYS(P636,$Y$1)</f>
        <v>110</v>
      </c>
      <c r="Z636" s="14">
        <v>1</v>
      </c>
      <c r="AA636" s="1" t="str">
        <f t="shared" ca="1" si="45"/>
        <v>VENCIDO</v>
      </c>
      <c r="AB636" s="1" t="str">
        <f t="shared" si="46"/>
        <v>C-14</v>
      </c>
      <c r="AC636" s="2" t="str">
        <f t="shared" si="49"/>
        <v xml:space="preserve"> RINALDO </v>
      </c>
      <c r="AD636" s="2">
        <f t="shared" si="47"/>
        <v>5</v>
      </c>
      <c r="AE636" s="2">
        <f t="shared" ca="1" si="48"/>
        <v>-116.9262716435187</v>
      </c>
      <c r="AF636" s="15"/>
    </row>
    <row r="637" spans="1:32" hidden="1">
      <c r="A637" s="1">
        <v>8948448</v>
      </c>
      <c r="B637" s="1" t="s">
        <v>101</v>
      </c>
      <c r="C637" t="s">
        <v>643</v>
      </c>
      <c r="D637" s="2">
        <v>220161643</v>
      </c>
      <c r="E637" s="2">
        <v>4076001400030</v>
      </c>
      <c r="F637" s="1" t="s">
        <v>647</v>
      </c>
      <c r="G637" s="1" t="s">
        <v>53</v>
      </c>
      <c r="H637" s="1" t="s">
        <v>426</v>
      </c>
      <c r="I637" s="1" t="s">
        <v>427</v>
      </c>
      <c r="J637" s="1" t="s">
        <v>79</v>
      </c>
      <c r="K637" t="s">
        <v>650</v>
      </c>
      <c r="M637" s="1" t="s">
        <v>58</v>
      </c>
      <c r="N637" s="1">
        <v>0</v>
      </c>
      <c r="O637" s="1" t="s">
        <v>105</v>
      </c>
      <c r="P637" s="186">
        <v>44837.261319444442</v>
      </c>
      <c r="R637" s="1">
        <v>4</v>
      </c>
      <c r="T637" s="1" t="s">
        <v>646</v>
      </c>
      <c r="U637" s="186">
        <v>44838.261319444442</v>
      </c>
      <c r="V637" s="1" t="s">
        <v>41</v>
      </c>
      <c r="W637" s="1" t="s">
        <v>49</v>
      </c>
      <c r="X637" s="13" t="str">
        <f>IF(RIGHT(H637,2)&lt;&gt;"00",H637,"")</f>
        <v/>
      </c>
      <c r="Y637" s="2">
        <f ca="1">NETWORKDAYS(P637,$Y$1)</f>
        <v>108</v>
      </c>
      <c r="Z637" s="14">
        <v>1</v>
      </c>
      <c r="AA637" s="1" t="str">
        <f t="shared" ca="1" si="45"/>
        <v>VENCIDO</v>
      </c>
      <c r="AB637" s="1" t="str">
        <f t="shared" si="46"/>
        <v>C-14</v>
      </c>
      <c r="AC637" s="2" t="str">
        <f t="shared" si="49"/>
        <v xml:space="preserve"> ROSEMERE </v>
      </c>
      <c r="AD637" s="2">
        <f t="shared" si="47"/>
        <v>15</v>
      </c>
      <c r="AE637" s="2">
        <f t="shared" ca="1" si="48"/>
        <v>-148.41495219907665</v>
      </c>
      <c r="AF637" s="15"/>
    </row>
    <row r="638" spans="1:32" hidden="1">
      <c r="A638" s="1">
        <v>8947938</v>
      </c>
      <c r="B638" s="1" t="s">
        <v>101</v>
      </c>
      <c r="C638" t="s">
        <v>643</v>
      </c>
      <c r="D638" s="2">
        <v>220160524</v>
      </c>
      <c r="E638" s="2">
        <v>4076001400010</v>
      </c>
      <c r="F638" s="1" t="s">
        <v>936</v>
      </c>
      <c r="G638" s="1" t="s">
        <v>53</v>
      </c>
      <c r="H638" s="1" t="s">
        <v>426</v>
      </c>
      <c r="I638" s="1" t="s">
        <v>427</v>
      </c>
      <c r="J638" s="1" t="s">
        <v>79</v>
      </c>
      <c r="K638" t="s">
        <v>937</v>
      </c>
      <c r="M638" s="1" t="s">
        <v>58</v>
      </c>
      <c r="N638" s="1">
        <v>0</v>
      </c>
      <c r="O638" s="1" t="s">
        <v>105</v>
      </c>
      <c r="P638" s="186">
        <v>44837.213599537034</v>
      </c>
      <c r="R638" s="1">
        <v>3</v>
      </c>
      <c r="T638" s="1" t="s">
        <v>646</v>
      </c>
      <c r="U638" s="186">
        <v>44838.21361111111</v>
      </c>
      <c r="V638" s="1" t="s">
        <v>41</v>
      </c>
      <c r="W638" s="1" t="s">
        <v>49</v>
      </c>
      <c r="X638" s="13" t="str">
        <f>IF(RIGHT(H638,2)&lt;&gt;"00",H638,"")</f>
        <v/>
      </c>
      <c r="Y638" s="2">
        <f ca="1">NETWORKDAYS(P638,$Y$1)</f>
        <v>108</v>
      </c>
      <c r="Z638" s="14">
        <v>1</v>
      </c>
      <c r="AA638" s="1" t="str">
        <f t="shared" ca="1" si="45"/>
        <v>VENCIDO</v>
      </c>
      <c r="AB638" s="1" t="str">
        <f t="shared" si="46"/>
        <v>C-14</v>
      </c>
      <c r="AC638" s="2" t="str">
        <f t="shared" si="49"/>
        <v xml:space="preserve"> ROSEMERE </v>
      </c>
      <c r="AD638" s="2">
        <f t="shared" si="47"/>
        <v>5</v>
      </c>
      <c r="AE638" s="2">
        <f t="shared" ca="1" si="48"/>
        <v>-148.46266053240834</v>
      </c>
      <c r="AF638" s="15"/>
    </row>
    <row r="639" spans="1:32" hidden="1">
      <c r="A639" s="1">
        <v>8946342</v>
      </c>
      <c r="B639" s="1" t="s">
        <v>101</v>
      </c>
      <c r="C639" t="s">
        <v>643</v>
      </c>
      <c r="D639" s="2">
        <v>220163016</v>
      </c>
      <c r="E639" s="2">
        <v>4076001400040</v>
      </c>
      <c r="F639" s="1" t="s">
        <v>644</v>
      </c>
      <c r="G639" s="1" t="s">
        <v>53</v>
      </c>
      <c r="H639" s="1" t="s">
        <v>426</v>
      </c>
      <c r="I639" s="1" t="s">
        <v>427</v>
      </c>
      <c r="J639" s="1" t="s">
        <v>79</v>
      </c>
      <c r="K639" t="s">
        <v>645</v>
      </c>
      <c r="M639" s="1" t="s">
        <v>58</v>
      </c>
      <c r="N639" s="1">
        <v>0</v>
      </c>
      <c r="O639" s="1" t="s">
        <v>105</v>
      </c>
      <c r="P639" s="186">
        <v>44837.102939814817</v>
      </c>
      <c r="R639" s="1">
        <v>3</v>
      </c>
      <c r="T639" s="1" t="s">
        <v>646</v>
      </c>
      <c r="U639" s="186">
        <v>44838.102939814817</v>
      </c>
      <c r="V639" s="1" t="s">
        <v>41</v>
      </c>
      <c r="W639" s="1" t="s">
        <v>49</v>
      </c>
      <c r="X639" s="13" t="str">
        <f>IF(RIGHT(H639,2)&lt;&gt;"00",H639,"")</f>
        <v/>
      </c>
      <c r="Y639" s="2">
        <f ca="1">NETWORKDAYS(P639,$Y$1)</f>
        <v>108</v>
      </c>
      <c r="Z639" s="14">
        <v>1</v>
      </c>
      <c r="AA639" s="1" t="str">
        <f t="shared" ca="1" si="45"/>
        <v>VENCIDO</v>
      </c>
      <c r="AB639" s="1" t="str">
        <f t="shared" si="46"/>
        <v>SL-On</v>
      </c>
      <c r="AC639" s="2" t="str">
        <f t="shared" si="49"/>
        <v xml:space="preserve"> ROSEMERE </v>
      </c>
      <c r="AD639" s="2">
        <f t="shared" si="47"/>
        <v>1</v>
      </c>
      <c r="AE639" s="2">
        <f t="shared" ca="1" si="48"/>
        <v>-148.57333182870207</v>
      </c>
      <c r="AF639" s="15"/>
    </row>
    <row r="640" spans="1:32" hidden="1">
      <c r="A640" s="1">
        <v>8961211</v>
      </c>
      <c r="B640" s="1" t="s">
        <v>81</v>
      </c>
      <c r="C640" t="s">
        <v>3586</v>
      </c>
      <c r="E640" s="2">
        <v>1128000206022</v>
      </c>
      <c r="F640" s="1" t="s">
        <v>103</v>
      </c>
      <c r="G640" s="1" t="s">
        <v>53</v>
      </c>
      <c r="H640" s="1" t="s">
        <v>1191</v>
      </c>
      <c r="I640" s="1" t="s">
        <v>1192</v>
      </c>
      <c r="J640" s="1" t="s">
        <v>33</v>
      </c>
      <c r="K640" t="s">
        <v>104</v>
      </c>
      <c r="M640" s="1" t="s">
        <v>58</v>
      </c>
      <c r="N640" s="1">
        <v>0</v>
      </c>
      <c r="O640" s="1" t="s">
        <v>105</v>
      </c>
      <c r="P640" s="186">
        <v>44840.655717592592</v>
      </c>
      <c r="R640" s="1" t="s">
        <v>38</v>
      </c>
      <c r="T640" s="1" t="s">
        <v>74</v>
      </c>
      <c r="U640" s="186">
        <v>44841.655717592592</v>
      </c>
      <c r="V640" s="1" t="s">
        <v>41</v>
      </c>
      <c r="W640" s="1" t="s">
        <v>49</v>
      </c>
      <c r="X640" s="13" t="str">
        <f>IF(RIGHT(H640,2)&lt;&gt;"00",H640,"")</f>
        <v/>
      </c>
      <c r="Y640" s="2">
        <f ca="1">NETWORKDAYS(P640,$Y$1)</f>
        <v>105</v>
      </c>
      <c r="Z640" s="14">
        <v>1</v>
      </c>
      <c r="AA640" s="1" t="str">
        <f t="shared" ca="1" si="45"/>
        <v>VENCIDO</v>
      </c>
      <c r="AB640" s="1" t="str">
        <f t="shared" si="46"/>
        <v>Dosa</v>
      </c>
      <c r="AC640" s="2" t="str">
        <f t="shared" si="49"/>
        <v xml:space="preserve"> ROSEMERE </v>
      </c>
      <c r="AD640" s="2">
        <f t="shared" si="47"/>
        <v>5</v>
      </c>
      <c r="AE640" s="2">
        <f t="shared" ca="1" si="48"/>
        <v>-145.02055405092688</v>
      </c>
      <c r="AF640" s="15"/>
    </row>
    <row r="641" spans="1:32" hidden="1">
      <c r="A641" s="1">
        <v>8963507</v>
      </c>
      <c r="B641" s="1" t="s">
        <v>1153</v>
      </c>
      <c r="C641" t="s">
        <v>1243</v>
      </c>
      <c r="D641" s="2">
        <v>20228362000085</v>
      </c>
      <c r="E641" s="2">
        <v>7417172316147</v>
      </c>
      <c r="F641" s="1" t="s">
        <v>1155</v>
      </c>
      <c r="G641" s="1" t="s">
        <v>53</v>
      </c>
      <c r="H641" s="1" t="s">
        <v>1244</v>
      </c>
      <c r="I641" s="1" t="s">
        <v>1245</v>
      </c>
      <c r="J641" s="1" t="s">
        <v>46</v>
      </c>
      <c r="K641" t="s">
        <v>1158</v>
      </c>
      <c r="M641" s="1" t="s">
        <v>58</v>
      </c>
      <c r="N641" s="1">
        <v>0</v>
      </c>
      <c r="O641" s="1" t="s">
        <v>36</v>
      </c>
      <c r="P641" s="186">
        <v>44841.398495370369</v>
      </c>
      <c r="R641" s="1">
        <v>22</v>
      </c>
      <c r="T641" s="1" t="s">
        <v>1160</v>
      </c>
      <c r="U641" s="186">
        <v>44845.606828703705</v>
      </c>
      <c r="V641" s="1" t="s">
        <v>41</v>
      </c>
      <c r="W641" s="1" t="s">
        <v>49</v>
      </c>
      <c r="X641" s="13" t="str">
        <f>IF(RIGHT(H641,2)&lt;&gt;"00",H641,"")</f>
        <v/>
      </c>
      <c r="Y641" s="2">
        <f ca="1">NETWORKDAYS(P641,$Y$1)</f>
        <v>104</v>
      </c>
      <c r="Z641" s="14">
        <v>1</v>
      </c>
      <c r="AA641" s="1" t="str">
        <f t="shared" ca="1" si="45"/>
        <v>VENCIDO</v>
      </c>
      <c r="AB641" s="1" t="str">
        <f t="shared" si="46"/>
        <v>TAAe+</v>
      </c>
      <c r="AC641" s="2" t="str">
        <f t="shared" si="49"/>
        <v xml:space="preserve"> CLEITON </v>
      </c>
      <c r="AD641" s="2">
        <f t="shared" si="47"/>
        <v>8</v>
      </c>
      <c r="AE641" s="2">
        <f t="shared" ca="1" si="48"/>
        <v>-141.0694429398136</v>
      </c>
      <c r="AF641" s="15"/>
    </row>
    <row r="642" spans="1:32" hidden="1">
      <c r="A642" s="1">
        <v>8974248</v>
      </c>
      <c r="B642" s="1" t="s">
        <v>1153</v>
      </c>
      <c r="C642" t="s">
        <v>1248</v>
      </c>
      <c r="D642" s="2">
        <v>20228362000086</v>
      </c>
      <c r="E642" s="2">
        <v>7417172315342</v>
      </c>
      <c r="F642" s="1" t="s">
        <v>1155</v>
      </c>
      <c r="G642" s="1" t="s">
        <v>53</v>
      </c>
      <c r="H642" s="1" t="s">
        <v>1244</v>
      </c>
      <c r="I642" s="1" t="s">
        <v>1245</v>
      </c>
      <c r="J642" s="1" t="s">
        <v>46</v>
      </c>
      <c r="K642" t="s">
        <v>1158</v>
      </c>
      <c r="M642" s="1" t="s">
        <v>58</v>
      </c>
      <c r="N642" s="1">
        <v>0</v>
      </c>
      <c r="O642" s="1" t="s">
        <v>36</v>
      </c>
      <c r="P642" s="186">
        <v>44844.663564814815</v>
      </c>
      <c r="R642" s="1">
        <v>22</v>
      </c>
      <c r="T642" s="1" t="s">
        <v>1160</v>
      </c>
      <c r="U642" s="186">
        <v>44848.496898148151</v>
      </c>
      <c r="V642" s="1" t="s">
        <v>41</v>
      </c>
      <c r="W642" s="1" t="s">
        <v>49</v>
      </c>
      <c r="X642" s="13" t="str">
        <f>IF(RIGHT(H642,2)&lt;&gt;"00",H642,"")</f>
        <v/>
      </c>
      <c r="Y642" s="2">
        <f ca="1">NETWORKDAYS(P642,$Y$1)</f>
        <v>103</v>
      </c>
      <c r="Z642" s="14">
        <v>1</v>
      </c>
      <c r="AA642" s="1" t="str">
        <f t="shared" ref="AA642:AA699" ca="1" si="50">IF(AE642=0,"HOJE",IF(AE642&gt;0,"A VENCER",IF(AE642&lt;0,"VENCIDO")))</f>
        <v>VENCIDO</v>
      </c>
      <c r="AB642" s="1" t="str">
        <f t="shared" ref="AB642:AB699" si="51">IF(F642="GRPE-000001","C-14",IF(F642="GRPE-000002","C-14",IF(F642="GRPE-000003","C-14",IF(F642="GRPE-000004","SL-On",IF(F642="GRPE-000038","C-14",IF(F642="GRPE-900022","Dosa",IF(F642="GRPE-000029","Dosa",IF(F642="ATOS-000222","Dose","TAAe+"))))))))</f>
        <v>TAAe+</v>
      </c>
      <c r="AC642" s="2" t="str">
        <f t="shared" si="49"/>
        <v xml:space="preserve"> CLEITON </v>
      </c>
      <c r="AD642" s="2">
        <f t="shared" ref="AD642:AD699" si="52">IF(F642="GRPE-000001",5,IF(F642="GRPE-000002",5,IF(F642="GRPE-000003",15,IF(F642="GRPE-000004",1,IF(F642="GRPE-000038",5,IF(F642="GRPE-900022",5,IF(F642="GRPE-000029",5,IF(F642="ATOS-000222",5,8))))))))</f>
        <v>8</v>
      </c>
      <c r="AE642" s="2">
        <f t="shared" ref="AE642:AE699" ca="1" si="53">IF(U642=$AE$1,"",U642-$AE$1)</f>
        <v>-138.17937349536805</v>
      </c>
      <c r="AF642" s="15"/>
    </row>
    <row r="643" spans="1:32" hidden="1">
      <c r="A643" s="1">
        <v>8987410</v>
      </c>
      <c r="B643" s="1" t="s">
        <v>81</v>
      </c>
      <c r="C643" t="s">
        <v>1251</v>
      </c>
      <c r="E643" s="2">
        <v>2196000206001</v>
      </c>
      <c r="F643" s="1" t="s">
        <v>29</v>
      </c>
      <c r="G643" s="1" t="s">
        <v>53</v>
      </c>
      <c r="H643" s="1" t="s">
        <v>1252</v>
      </c>
      <c r="I643" s="1" t="s">
        <v>1253</v>
      </c>
      <c r="J643" s="1" t="s">
        <v>33</v>
      </c>
      <c r="K643" t="s">
        <v>34</v>
      </c>
      <c r="M643" s="1" t="s">
        <v>35</v>
      </c>
      <c r="N643" s="1">
        <v>42318949</v>
      </c>
      <c r="O643" s="1" t="s">
        <v>105</v>
      </c>
      <c r="P643" s="186">
        <v>44848.643437500003</v>
      </c>
      <c r="R643" s="1" t="s">
        <v>38</v>
      </c>
      <c r="T643" s="1" t="s">
        <v>74</v>
      </c>
      <c r="U643" s="186">
        <v>44849.643437500003</v>
      </c>
      <c r="V643" s="1" t="s">
        <v>41</v>
      </c>
      <c r="W643" s="1" t="s">
        <v>42</v>
      </c>
      <c r="X643" s="13" t="str">
        <f>IF(RIGHT(H643,2)&lt;&gt;"00",H643,"")</f>
        <v/>
      </c>
      <c r="Y643" s="2">
        <f ca="1">NETWORKDAYS(P643,$Y$1)</f>
        <v>99</v>
      </c>
      <c r="Z643" s="14">
        <v>1</v>
      </c>
      <c r="AA643" s="1" t="str">
        <f t="shared" ca="1" si="50"/>
        <v>VENCIDO</v>
      </c>
      <c r="AB643" s="1" t="str">
        <f t="shared" si="51"/>
        <v>Dosa</v>
      </c>
      <c r="AC643" s="2" t="str">
        <f t="shared" ref="AC643:AC699" si="54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 xml:space="preserve"> ROSEMERE </v>
      </c>
      <c r="AD643" s="2">
        <f t="shared" si="52"/>
        <v>5</v>
      </c>
      <c r="AE643" s="2">
        <f t="shared" ca="1" si="53"/>
        <v>-137.03283414351608</v>
      </c>
      <c r="AF643" s="15"/>
    </row>
    <row r="644" spans="1:32" hidden="1">
      <c r="A644" s="1">
        <v>9003116</v>
      </c>
      <c r="B644" s="1" t="s">
        <v>62</v>
      </c>
      <c r="C644" t="s">
        <v>3587</v>
      </c>
      <c r="E644" s="2">
        <v>8074000203010</v>
      </c>
      <c r="F644" s="1" t="s">
        <v>152</v>
      </c>
      <c r="G644" s="1" t="s">
        <v>53</v>
      </c>
      <c r="H644" s="1" t="s">
        <v>1257</v>
      </c>
      <c r="I644" s="1" t="s">
        <v>1258</v>
      </c>
      <c r="J644" s="1" t="s">
        <v>33</v>
      </c>
      <c r="K644" t="s">
        <v>155</v>
      </c>
      <c r="M644" s="1" t="s">
        <v>35</v>
      </c>
      <c r="N644" s="1">
        <v>42318949</v>
      </c>
      <c r="O644" s="1" t="s">
        <v>36</v>
      </c>
      <c r="P644" s="186">
        <v>44853.518310185187</v>
      </c>
      <c r="R644" s="1">
        <v>1</v>
      </c>
      <c r="T644" s="1" t="s">
        <v>157</v>
      </c>
      <c r="U644" s="186">
        <v>44889.75</v>
      </c>
      <c r="V644" s="1" t="s">
        <v>41</v>
      </c>
      <c r="W644" s="1" t="s">
        <v>49</v>
      </c>
      <c r="X644" s="13" t="str">
        <f>IF(RIGHT(H644,2)&lt;&gt;"00",H644,"")</f>
        <v/>
      </c>
      <c r="Y644" s="2">
        <f ca="1">NETWORKDAYS(P644,$Y$1)</f>
        <v>96</v>
      </c>
      <c r="Z644" s="14">
        <v>1</v>
      </c>
      <c r="AA644" s="1" t="str">
        <f t="shared" ca="1" si="50"/>
        <v>VENCIDO</v>
      </c>
      <c r="AB644" s="1" t="str">
        <f t="shared" si="51"/>
        <v>TAAe+</v>
      </c>
      <c r="AC644" s="2" t="str">
        <f t="shared" si="54"/>
        <v xml:space="preserve"> ROSEMERE </v>
      </c>
      <c r="AD644" s="2">
        <f t="shared" si="52"/>
        <v>8</v>
      </c>
      <c r="AE644" s="2">
        <f t="shared" ca="1" si="53"/>
        <v>-96.926271643518703</v>
      </c>
      <c r="AF644" s="15"/>
    </row>
    <row r="645" spans="1:32" hidden="1">
      <c r="A645" s="1">
        <v>9002878</v>
      </c>
      <c r="B645" s="1" t="s">
        <v>62</v>
      </c>
      <c r="C645" t="s">
        <v>3588</v>
      </c>
      <c r="E645" s="2">
        <v>1732000203010</v>
      </c>
      <c r="F645" s="1" t="s">
        <v>152</v>
      </c>
      <c r="G645" s="1" t="s">
        <v>53</v>
      </c>
      <c r="H645" s="1" t="s">
        <v>177</v>
      </c>
      <c r="I645" s="1" t="s">
        <v>178</v>
      </c>
      <c r="J645" s="1" t="s">
        <v>164</v>
      </c>
      <c r="K645" t="s">
        <v>155</v>
      </c>
      <c r="M645" s="1" t="s">
        <v>35</v>
      </c>
      <c r="N645" s="1">
        <v>42318949</v>
      </c>
      <c r="O645" s="1" t="s">
        <v>36</v>
      </c>
      <c r="P645" s="186">
        <v>44853.517974537041</v>
      </c>
      <c r="R645" s="1">
        <v>1</v>
      </c>
      <c r="T645" s="1" t="s">
        <v>157</v>
      </c>
      <c r="U645" s="186">
        <v>44889.75</v>
      </c>
      <c r="V645" s="1" t="s">
        <v>41</v>
      </c>
      <c r="W645" s="1" t="s">
        <v>49</v>
      </c>
      <c r="X645" s="13" t="str">
        <f>IF(RIGHT(H645,2)&lt;&gt;"00",H645,"")</f>
        <v/>
      </c>
      <c r="Y645" s="2">
        <f ca="1">NETWORKDAYS(P645,$Y$1)</f>
        <v>96</v>
      </c>
      <c r="Z645" s="14">
        <v>1</v>
      </c>
      <c r="AA645" s="1" t="str">
        <f t="shared" ca="1" si="50"/>
        <v>VENCIDO</v>
      </c>
      <c r="AB645" s="1" t="str">
        <f t="shared" si="51"/>
        <v>TAAe+</v>
      </c>
      <c r="AC645" s="2" t="str">
        <f t="shared" si="54"/>
        <v xml:space="preserve"> ROSEMERE </v>
      </c>
      <c r="AD645" s="2">
        <f t="shared" si="52"/>
        <v>8</v>
      </c>
      <c r="AE645" s="2">
        <f t="shared" ca="1" si="53"/>
        <v>-96.926271643518703</v>
      </c>
      <c r="AF645" s="15"/>
    </row>
    <row r="646" spans="1:32" hidden="1">
      <c r="A646" s="1">
        <v>9011010</v>
      </c>
      <c r="B646" s="1" t="s">
        <v>62</v>
      </c>
      <c r="C646" t="s">
        <v>1263</v>
      </c>
      <c r="E646" s="2">
        <v>2156000206021</v>
      </c>
      <c r="F646" s="1" t="s">
        <v>103</v>
      </c>
      <c r="G646" s="1" t="s">
        <v>53</v>
      </c>
      <c r="H646" s="1" t="s">
        <v>278</v>
      </c>
      <c r="I646" s="1" t="s">
        <v>279</v>
      </c>
      <c r="J646" s="1" t="s">
        <v>211</v>
      </c>
      <c r="K646" t="s">
        <v>104</v>
      </c>
      <c r="M646" s="1" t="s">
        <v>58</v>
      </c>
      <c r="N646" s="1">
        <v>0</v>
      </c>
      <c r="O646" s="1" t="s">
        <v>36</v>
      </c>
      <c r="P646" s="186">
        <v>44855.757037037038</v>
      </c>
      <c r="R646" s="1" t="s">
        <v>38</v>
      </c>
      <c r="T646" s="1" t="s">
        <v>74</v>
      </c>
      <c r="U646" s="186">
        <v>44901.75</v>
      </c>
      <c r="V646" s="1" t="s">
        <v>41</v>
      </c>
      <c r="W646" s="1" t="s">
        <v>49</v>
      </c>
      <c r="X646" s="13" t="str">
        <f>IF(RIGHT(H646,2)&lt;&gt;"00",H646,"")</f>
        <v/>
      </c>
      <c r="Y646" s="2">
        <f ca="1">NETWORKDAYS(P646,$Y$1)</f>
        <v>94</v>
      </c>
      <c r="Z646" s="14">
        <v>1</v>
      </c>
      <c r="AA646" s="1" t="str">
        <f t="shared" ca="1" si="50"/>
        <v>VENCIDO</v>
      </c>
      <c r="AB646" s="1" t="str">
        <f t="shared" si="51"/>
        <v>Dosa</v>
      </c>
      <c r="AC646" s="2" t="str">
        <f t="shared" si="54"/>
        <v xml:space="preserve"> RINALDO </v>
      </c>
      <c r="AD646" s="2">
        <f t="shared" si="52"/>
        <v>5</v>
      </c>
      <c r="AE646" s="2">
        <f t="shared" ca="1" si="53"/>
        <v>-84.926271643518703</v>
      </c>
      <c r="AF646" s="15"/>
    </row>
    <row r="647" spans="1:32" hidden="1">
      <c r="A647" s="1">
        <v>9011009</v>
      </c>
      <c r="B647" s="1" t="s">
        <v>62</v>
      </c>
      <c r="C647" t="s">
        <v>1266</v>
      </c>
      <c r="E647" s="2">
        <v>2156000206021</v>
      </c>
      <c r="F647" s="1" t="s">
        <v>103</v>
      </c>
      <c r="G647" s="1" t="s">
        <v>53</v>
      </c>
      <c r="H647" s="1" t="s">
        <v>278</v>
      </c>
      <c r="I647" s="1" t="s">
        <v>279</v>
      </c>
      <c r="J647" s="1" t="s">
        <v>211</v>
      </c>
      <c r="K647" t="s">
        <v>104</v>
      </c>
      <c r="M647" s="1" t="s">
        <v>58</v>
      </c>
      <c r="N647" s="1">
        <v>0</v>
      </c>
      <c r="O647" s="1" t="s">
        <v>36</v>
      </c>
      <c r="P647" s="186">
        <v>44855.756736111114</v>
      </c>
      <c r="R647" s="1" t="s">
        <v>38</v>
      </c>
      <c r="T647" s="1" t="s">
        <v>74</v>
      </c>
      <c r="U647" s="186">
        <v>44901.75</v>
      </c>
      <c r="V647" s="1" t="s">
        <v>41</v>
      </c>
      <c r="W647" s="1" t="s">
        <v>49</v>
      </c>
      <c r="X647" s="13" t="str">
        <f>IF(RIGHT(H647,2)&lt;&gt;"00",H647,"")</f>
        <v/>
      </c>
      <c r="Y647" s="2">
        <f ca="1">NETWORKDAYS(P647,$Y$1)</f>
        <v>94</v>
      </c>
      <c r="Z647" s="14">
        <v>1</v>
      </c>
      <c r="AA647" s="1" t="str">
        <f t="shared" ca="1" si="50"/>
        <v>VENCIDO</v>
      </c>
      <c r="AB647" s="1" t="str">
        <f t="shared" si="51"/>
        <v>Dosa</v>
      </c>
      <c r="AC647" s="2" t="str">
        <f t="shared" si="54"/>
        <v xml:space="preserve"> RINALDO </v>
      </c>
      <c r="AD647" s="2">
        <f t="shared" si="52"/>
        <v>5</v>
      </c>
      <c r="AE647" s="2">
        <f t="shared" ca="1" si="53"/>
        <v>-84.926271643518703</v>
      </c>
      <c r="AF647" s="15"/>
    </row>
    <row r="648" spans="1:32" hidden="1">
      <c r="A648" s="1">
        <v>9011008</v>
      </c>
      <c r="B648" s="1" t="s">
        <v>62</v>
      </c>
      <c r="C648" t="s">
        <v>1266</v>
      </c>
      <c r="E648" s="2">
        <v>2156000206021</v>
      </c>
      <c r="F648" s="1" t="s">
        <v>103</v>
      </c>
      <c r="G648" s="1" t="s">
        <v>53</v>
      </c>
      <c r="H648" s="1" t="s">
        <v>278</v>
      </c>
      <c r="I648" s="1" t="s">
        <v>279</v>
      </c>
      <c r="J648" s="1" t="s">
        <v>211</v>
      </c>
      <c r="K648" t="s">
        <v>104</v>
      </c>
      <c r="M648" s="1" t="s">
        <v>58</v>
      </c>
      <c r="N648" s="1">
        <v>0</v>
      </c>
      <c r="O648" s="1" t="s">
        <v>36</v>
      </c>
      <c r="P648" s="186">
        <v>44855.756435185183</v>
      </c>
      <c r="R648" s="1" t="s">
        <v>38</v>
      </c>
      <c r="T648" s="1" t="s">
        <v>74</v>
      </c>
      <c r="U648" s="186">
        <v>44901.75</v>
      </c>
      <c r="V648" s="1" t="s">
        <v>41</v>
      </c>
      <c r="W648" s="1" t="s">
        <v>49</v>
      </c>
      <c r="X648" s="13" t="str">
        <f>IF(RIGHT(H648,2)&lt;&gt;"00",H648,"")</f>
        <v/>
      </c>
      <c r="Y648" s="2">
        <f ca="1">NETWORKDAYS(P648,$Y$1)</f>
        <v>94</v>
      </c>
      <c r="Z648" s="14">
        <v>1</v>
      </c>
      <c r="AA648" s="1" t="str">
        <f t="shared" ca="1" si="50"/>
        <v>VENCIDO</v>
      </c>
      <c r="AB648" s="1" t="str">
        <f t="shared" si="51"/>
        <v>Dosa</v>
      </c>
      <c r="AC648" s="2" t="str">
        <f t="shared" si="54"/>
        <v xml:space="preserve"> RINALDO </v>
      </c>
      <c r="AD648" s="2">
        <f t="shared" si="52"/>
        <v>5</v>
      </c>
      <c r="AE648" s="2">
        <f t="shared" ca="1" si="53"/>
        <v>-84.926271643518703</v>
      </c>
      <c r="AF648" s="15"/>
    </row>
    <row r="649" spans="1:32" hidden="1">
      <c r="A649" s="1">
        <v>9011007</v>
      </c>
      <c r="B649" s="1" t="s">
        <v>62</v>
      </c>
      <c r="C649" t="s">
        <v>1266</v>
      </c>
      <c r="E649" s="2">
        <v>2156000206021</v>
      </c>
      <c r="F649" s="1" t="s">
        <v>103</v>
      </c>
      <c r="G649" s="1" t="s">
        <v>53</v>
      </c>
      <c r="H649" s="1" t="s">
        <v>278</v>
      </c>
      <c r="I649" s="1" t="s">
        <v>279</v>
      </c>
      <c r="J649" s="1" t="s">
        <v>211</v>
      </c>
      <c r="K649" t="s">
        <v>104</v>
      </c>
      <c r="M649" s="1" t="s">
        <v>58</v>
      </c>
      <c r="N649" s="1">
        <v>0</v>
      </c>
      <c r="O649" s="1" t="s">
        <v>36</v>
      </c>
      <c r="P649" s="186">
        <v>44855.756111111114</v>
      </c>
      <c r="R649" s="1" t="s">
        <v>38</v>
      </c>
      <c r="T649" s="1" t="s">
        <v>74</v>
      </c>
      <c r="U649" s="186">
        <v>44901.75</v>
      </c>
      <c r="V649" s="1" t="s">
        <v>41</v>
      </c>
      <c r="W649" s="1" t="s">
        <v>49</v>
      </c>
      <c r="X649" s="13" t="str">
        <f>IF(RIGHT(H649,2)&lt;&gt;"00",H649,"")</f>
        <v/>
      </c>
      <c r="Y649" s="2">
        <f ca="1">NETWORKDAYS(P649,$Y$1)</f>
        <v>94</v>
      </c>
      <c r="Z649" s="14">
        <v>1</v>
      </c>
      <c r="AA649" s="1" t="str">
        <f t="shared" ca="1" si="50"/>
        <v>VENCIDO</v>
      </c>
      <c r="AB649" s="1" t="str">
        <f t="shared" si="51"/>
        <v>Dosa</v>
      </c>
      <c r="AC649" s="2" t="str">
        <f t="shared" si="54"/>
        <v xml:space="preserve"> RINALDO </v>
      </c>
      <c r="AD649" s="2">
        <f t="shared" si="52"/>
        <v>5</v>
      </c>
      <c r="AE649" s="2">
        <f t="shared" ca="1" si="53"/>
        <v>-84.926271643518703</v>
      </c>
      <c r="AF649" s="15"/>
    </row>
    <row r="650" spans="1:32">
      <c r="A650" s="173">
        <v>9017924</v>
      </c>
      <c r="B650" s="173" t="s">
        <v>1153</v>
      </c>
      <c r="C650" s="178" t="s">
        <v>3450</v>
      </c>
      <c r="D650" s="174">
        <v>220174476</v>
      </c>
      <c r="E650" s="174">
        <v>4119001400030</v>
      </c>
      <c r="F650" s="173" t="s">
        <v>647</v>
      </c>
      <c r="G650" s="173" t="s">
        <v>53</v>
      </c>
      <c r="H650" s="173" t="s">
        <v>297</v>
      </c>
      <c r="I650" s="173" t="s">
        <v>298</v>
      </c>
      <c r="J650" s="173" t="s">
        <v>211</v>
      </c>
      <c r="K650" t="s">
        <v>650</v>
      </c>
      <c r="M650" s="1" t="s">
        <v>58</v>
      </c>
      <c r="N650" s="1">
        <v>0</v>
      </c>
      <c r="O650" s="1" t="s">
        <v>36</v>
      </c>
      <c r="P650" s="186">
        <v>44859.516435185185</v>
      </c>
      <c r="R650" s="1">
        <v>4</v>
      </c>
      <c r="T650" s="1" t="s">
        <v>646</v>
      </c>
      <c r="U650" s="186">
        <v>44860.537268518521</v>
      </c>
      <c r="V650" s="1" t="s">
        <v>41</v>
      </c>
      <c r="W650" s="1" t="s">
        <v>49</v>
      </c>
      <c r="X650" s="13" t="str">
        <f>IF(RIGHT(H650,2)&lt;&gt;"00",H650,"")</f>
        <v/>
      </c>
      <c r="Y650" s="2">
        <f ca="1">NETWORKDAYS(P650,$Y$1)</f>
        <v>92</v>
      </c>
      <c r="Z650" s="14">
        <v>1</v>
      </c>
      <c r="AA650" s="1" t="str">
        <f t="shared" ca="1" si="50"/>
        <v>VENCIDO</v>
      </c>
      <c r="AB650" s="1" t="str">
        <f t="shared" si="51"/>
        <v>C-14</v>
      </c>
      <c r="AC650" s="2" t="str">
        <f t="shared" si="54"/>
        <v xml:space="preserve"> RINALDO </v>
      </c>
      <c r="AD650" s="2">
        <f t="shared" si="52"/>
        <v>15</v>
      </c>
      <c r="AE650" s="2">
        <f t="shared" ca="1" si="53"/>
        <v>-126.13900312499754</v>
      </c>
      <c r="AF650" s="15"/>
    </row>
    <row r="651" spans="1:32" hidden="1">
      <c r="A651" s="1">
        <v>9020963</v>
      </c>
      <c r="B651" s="1" t="s">
        <v>1153</v>
      </c>
      <c r="C651" t="s">
        <v>1273</v>
      </c>
      <c r="D651" s="2">
        <v>20228489000019</v>
      </c>
      <c r="E651" s="2">
        <v>7417172315969</v>
      </c>
      <c r="F651" s="1" t="s">
        <v>1155</v>
      </c>
      <c r="G651" s="1" t="s">
        <v>53</v>
      </c>
      <c r="H651" s="1" t="s">
        <v>1156</v>
      </c>
      <c r="I651" s="1" t="s">
        <v>1157</v>
      </c>
      <c r="J651" s="1" t="s">
        <v>46</v>
      </c>
      <c r="K651" t="s">
        <v>1158</v>
      </c>
      <c r="M651" s="1" t="s">
        <v>58</v>
      </c>
      <c r="N651" s="1">
        <v>0</v>
      </c>
      <c r="O651" s="1" t="s">
        <v>36</v>
      </c>
      <c r="P651" s="186">
        <v>44860.644363425927</v>
      </c>
      <c r="R651" s="1">
        <v>22</v>
      </c>
      <c r="T651" s="1" t="s">
        <v>1160</v>
      </c>
      <c r="U651" s="186">
        <v>44865.477696759262</v>
      </c>
      <c r="V651" s="1" t="s">
        <v>41</v>
      </c>
      <c r="W651" s="1" t="s">
        <v>49</v>
      </c>
      <c r="X651" s="13" t="str">
        <f>IF(RIGHT(H651,2)&lt;&gt;"00",H651,"")</f>
        <v/>
      </c>
      <c r="Y651" s="2">
        <f ca="1">NETWORKDAYS(P651,$Y$1)</f>
        <v>91</v>
      </c>
      <c r="Z651" s="14">
        <v>1</v>
      </c>
      <c r="AA651" s="1" t="str">
        <f t="shared" ca="1" si="50"/>
        <v>VENCIDO</v>
      </c>
      <c r="AB651" s="1" t="str">
        <f t="shared" si="51"/>
        <v>TAAe+</v>
      </c>
      <c r="AC651" s="2" t="str">
        <f t="shared" si="54"/>
        <v xml:space="preserve"> CLEITON </v>
      </c>
      <c r="AD651" s="2">
        <f t="shared" si="52"/>
        <v>8</v>
      </c>
      <c r="AE651" s="2">
        <f t="shared" ca="1" si="53"/>
        <v>-121.19857488425623</v>
      </c>
      <c r="AF651" s="15"/>
    </row>
    <row r="652" spans="1:32" hidden="1">
      <c r="A652" s="1">
        <v>9022234</v>
      </c>
      <c r="B652" s="1" t="s">
        <v>1153</v>
      </c>
      <c r="C652" t="s">
        <v>1276</v>
      </c>
      <c r="D652" s="2">
        <v>20228489000020</v>
      </c>
      <c r="E652" s="2">
        <v>7417172314989</v>
      </c>
      <c r="F652" s="1" t="s">
        <v>1155</v>
      </c>
      <c r="G652" s="1" t="s">
        <v>53</v>
      </c>
      <c r="H652" s="1" t="s">
        <v>1156</v>
      </c>
      <c r="I652" s="1" t="s">
        <v>1157</v>
      </c>
      <c r="J652" s="1" t="s">
        <v>46</v>
      </c>
      <c r="K652" t="s">
        <v>1158</v>
      </c>
      <c r="M652" s="1" t="s">
        <v>58</v>
      </c>
      <c r="N652" s="1">
        <v>0</v>
      </c>
      <c r="O652" s="1" t="s">
        <v>36</v>
      </c>
      <c r="P652" s="186">
        <v>44861.392812500002</v>
      </c>
      <c r="R652" s="1">
        <v>22</v>
      </c>
      <c r="T652" s="1" t="s">
        <v>1160</v>
      </c>
      <c r="U652" s="186">
        <v>44865.601145833331</v>
      </c>
      <c r="V652" s="1" t="s">
        <v>41</v>
      </c>
      <c r="W652" s="1" t="s">
        <v>49</v>
      </c>
      <c r="X652" s="13" t="str">
        <f>IF(RIGHT(H652,2)&lt;&gt;"00",H652,"")</f>
        <v/>
      </c>
      <c r="Y652" s="2">
        <f ca="1">NETWORKDAYS(P652,$Y$1)</f>
        <v>90</v>
      </c>
      <c r="Z652" s="14">
        <v>1</v>
      </c>
      <c r="AA652" s="1" t="str">
        <f t="shared" ca="1" si="50"/>
        <v>VENCIDO</v>
      </c>
      <c r="AB652" s="1" t="str">
        <f t="shared" si="51"/>
        <v>TAAe+</v>
      </c>
      <c r="AC652" s="2" t="str">
        <f t="shared" si="54"/>
        <v xml:space="preserve"> CLEITON </v>
      </c>
      <c r="AD652" s="2">
        <f t="shared" si="52"/>
        <v>8</v>
      </c>
      <c r="AE652" s="2">
        <f t="shared" ca="1" si="53"/>
        <v>-121.07512581018818</v>
      </c>
      <c r="AF652" s="15"/>
    </row>
    <row r="653" spans="1:32" hidden="1">
      <c r="A653" s="1">
        <v>9025533</v>
      </c>
      <c r="B653" s="1" t="s">
        <v>62</v>
      </c>
      <c r="C653" t="s">
        <v>1277</v>
      </c>
      <c r="E653" s="2">
        <v>7420000203000</v>
      </c>
      <c r="F653" s="1" t="s">
        <v>454</v>
      </c>
      <c r="G653" s="1" t="s">
        <v>30</v>
      </c>
      <c r="H653" s="1" t="s">
        <v>1076</v>
      </c>
      <c r="I653" s="1" t="s">
        <v>1077</v>
      </c>
      <c r="J653" s="1" t="s">
        <v>46</v>
      </c>
      <c r="K653" t="s">
        <v>457</v>
      </c>
      <c r="M653" s="1" t="s">
        <v>58</v>
      </c>
      <c r="N653" s="1">
        <v>0</v>
      </c>
      <c r="O653" s="1" t="s">
        <v>105</v>
      </c>
      <c r="P653" s="186">
        <v>44862.608275462961</v>
      </c>
      <c r="R653" s="1" t="s">
        <v>38</v>
      </c>
      <c r="T653" s="1" t="s">
        <v>157</v>
      </c>
      <c r="U653" s="186">
        <v>44900.75</v>
      </c>
      <c r="V653" s="1" t="s">
        <v>41</v>
      </c>
      <c r="W653" s="1" t="s">
        <v>49</v>
      </c>
      <c r="X653" s="13" t="str">
        <f>IF(RIGHT(H653,2)&lt;&gt;"00",H653,"")</f>
        <v/>
      </c>
      <c r="Y653" s="2">
        <f ca="1">NETWORKDAYS(P653,$Y$1)</f>
        <v>89</v>
      </c>
      <c r="Z653" s="14">
        <v>1</v>
      </c>
      <c r="AA653" s="1" t="str">
        <f t="shared" ca="1" si="50"/>
        <v>VENCIDO</v>
      </c>
      <c r="AB653" s="1" t="str">
        <f t="shared" si="51"/>
        <v>C-14</v>
      </c>
      <c r="AC653" s="2" t="str">
        <f t="shared" si="54"/>
        <v xml:space="preserve"> CLEITON </v>
      </c>
      <c r="AD653" s="2">
        <f t="shared" si="52"/>
        <v>5</v>
      </c>
      <c r="AE653" s="2">
        <f t="shared" ca="1" si="53"/>
        <v>-85.926271643518703</v>
      </c>
      <c r="AF653" s="15"/>
    </row>
    <row r="654" spans="1:32" hidden="1">
      <c r="A654" s="1">
        <v>9024940</v>
      </c>
      <c r="B654" s="1" t="s">
        <v>1153</v>
      </c>
      <c r="C654" t="s">
        <v>1280</v>
      </c>
      <c r="D654" s="2">
        <v>220176632</v>
      </c>
      <c r="E654" s="2">
        <v>1761001400030</v>
      </c>
      <c r="F654" s="1" t="s">
        <v>647</v>
      </c>
      <c r="G654" s="1" t="s">
        <v>53</v>
      </c>
      <c r="H654" s="1" t="s">
        <v>375</v>
      </c>
      <c r="I654" s="1" t="s">
        <v>376</v>
      </c>
      <c r="J654" s="1" t="s">
        <v>56</v>
      </c>
      <c r="K654" t="s">
        <v>650</v>
      </c>
      <c r="M654" s="1" t="s">
        <v>58</v>
      </c>
      <c r="N654" s="1">
        <v>0</v>
      </c>
      <c r="O654" s="1" t="s">
        <v>36</v>
      </c>
      <c r="P654" s="186">
        <v>44862.474780092591</v>
      </c>
      <c r="R654" s="1">
        <v>4</v>
      </c>
      <c r="T654" s="1" t="s">
        <v>646</v>
      </c>
      <c r="U654" s="186">
        <v>44873.628472222219</v>
      </c>
      <c r="V654" s="1" t="s">
        <v>41</v>
      </c>
      <c r="W654" s="1" t="s">
        <v>49</v>
      </c>
      <c r="X654" s="13" t="str">
        <f>IF(RIGHT(H654,2)&lt;&gt;"00",H654,"")</f>
        <v/>
      </c>
      <c r="Y654" s="2">
        <f ca="1">NETWORKDAYS(P654,$Y$1)</f>
        <v>89</v>
      </c>
      <c r="Z654" s="14">
        <v>1</v>
      </c>
      <c r="AA654" s="1" t="str">
        <f t="shared" ca="1" si="50"/>
        <v>VENCIDO</v>
      </c>
      <c r="AB654" s="1" t="str">
        <f t="shared" si="51"/>
        <v>C-14</v>
      </c>
      <c r="AC654" s="2" t="str">
        <f t="shared" si="54"/>
        <v xml:space="preserve"> CRISTINA </v>
      </c>
      <c r="AD654" s="2">
        <f t="shared" si="52"/>
        <v>15</v>
      </c>
      <c r="AE654" s="2">
        <f t="shared" ca="1" si="53"/>
        <v>-113.04779942129971</v>
      </c>
      <c r="AF654" s="15"/>
    </row>
    <row r="655" spans="1:32">
      <c r="A655" s="173">
        <v>9030748</v>
      </c>
      <c r="B655" s="173" t="s">
        <v>1153</v>
      </c>
      <c r="C655" s="178" t="s">
        <v>3451</v>
      </c>
      <c r="D655" s="174">
        <v>220177570</v>
      </c>
      <c r="E655" s="174">
        <v>1028001400030</v>
      </c>
      <c r="F655" s="173" t="s">
        <v>647</v>
      </c>
      <c r="G655" s="173" t="s">
        <v>53</v>
      </c>
      <c r="H655" s="173" t="s">
        <v>1079</v>
      </c>
      <c r="I655" s="173" t="s">
        <v>1080</v>
      </c>
      <c r="J655" s="173" t="s">
        <v>85</v>
      </c>
      <c r="K655" t="s">
        <v>650</v>
      </c>
      <c r="M655" s="1" t="s">
        <v>58</v>
      </c>
      <c r="N655" s="1">
        <v>0</v>
      </c>
      <c r="O655" s="1" t="s">
        <v>36</v>
      </c>
      <c r="P655" s="186">
        <v>44865.564710648148</v>
      </c>
      <c r="R655" s="1">
        <v>4</v>
      </c>
      <c r="T655" s="1" t="s">
        <v>646</v>
      </c>
      <c r="U655" s="186">
        <v>44866.585543981484</v>
      </c>
      <c r="V655" s="1" t="s">
        <v>41</v>
      </c>
      <c r="W655" s="1" t="s">
        <v>49</v>
      </c>
      <c r="X655" s="13" t="str">
        <f>IF(RIGHT(H655,2)&lt;&gt;"00",H655,"")</f>
        <v/>
      </c>
      <c r="Y655" s="2">
        <f ca="1">NETWORKDAYS(P655,$Y$1)</f>
        <v>88</v>
      </c>
      <c r="Z655" s="14">
        <v>1</v>
      </c>
      <c r="AA655" s="1" t="str">
        <f t="shared" ca="1" si="50"/>
        <v>VENCIDO</v>
      </c>
      <c r="AB655" s="1" t="str">
        <f t="shared" si="51"/>
        <v>C-14</v>
      </c>
      <c r="AC655" s="2" t="str">
        <f t="shared" si="54"/>
        <v xml:space="preserve"> RINALDO </v>
      </c>
      <c r="AD655" s="2">
        <f t="shared" si="52"/>
        <v>15</v>
      </c>
      <c r="AE655" s="2">
        <f t="shared" ca="1" si="53"/>
        <v>-120.09072766203462</v>
      </c>
      <c r="AF655" s="15"/>
    </row>
    <row r="656" spans="1:32">
      <c r="A656" s="173">
        <v>9030747</v>
      </c>
      <c r="B656" s="173" t="s">
        <v>1153</v>
      </c>
      <c r="C656" s="178" t="s">
        <v>3452</v>
      </c>
      <c r="D656" s="174">
        <v>220177573</v>
      </c>
      <c r="E656" s="174">
        <v>1028001400030</v>
      </c>
      <c r="F656" s="173" t="s">
        <v>647</v>
      </c>
      <c r="G656" s="173" t="s">
        <v>53</v>
      </c>
      <c r="H656" s="173" t="s">
        <v>1079</v>
      </c>
      <c r="I656" s="173" t="s">
        <v>1080</v>
      </c>
      <c r="J656" s="173" t="s">
        <v>85</v>
      </c>
      <c r="K656" t="s">
        <v>650</v>
      </c>
      <c r="M656" s="1" t="s">
        <v>58</v>
      </c>
      <c r="N656" s="1">
        <v>0</v>
      </c>
      <c r="O656" s="1" t="s">
        <v>36</v>
      </c>
      <c r="P656" s="186">
        <v>44865.564652777779</v>
      </c>
      <c r="R656" s="1">
        <v>4</v>
      </c>
      <c r="T656" s="1" t="s">
        <v>646</v>
      </c>
      <c r="U656" s="186">
        <v>44866.585486111115</v>
      </c>
      <c r="V656" s="1" t="s">
        <v>41</v>
      </c>
      <c r="W656" s="1" t="s">
        <v>49</v>
      </c>
      <c r="X656" s="13" t="str">
        <f>IF(RIGHT(H656,2)&lt;&gt;"00",H656,"")</f>
        <v/>
      </c>
      <c r="Y656" s="2">
        <f ca="1">NETWORKDAYS(P656,$Y$1)</f>
        <v>88</v>
      </c>
      <c r="Z656" s="14">
        <v>1</v>
      </c>
      <c r="AA656" s="1" t="str">
        <f t="shared" ca="1" si="50"/>
        <v>VENCIDO</v>
      </c>
      <c r="AB656" s="1" t="str">
        <f t="shared" si="51"/>
        <v>C-14</v>
      </c>
      <c r="AC656" s="2" t="str">
        <f t="shared" si="54"/>
        <v xml:space="preserve"> RINALDO </v>
      </c>
      <c r="AD656" s="2">
        <f t="shared" si="52"/>
        <v>15</v>
      </c>
      <c r="AE656" s="2">
        <f t="shared" ca="1" si="53"/>
        <v>-120.09078553240397</v>
      </c>
      <c r="AF656" s="15"/>
    </row>
    <row r="657" spans="1:32">
      <c r="A657" s="173">
        <v>9030746</v>
      </c>
      <c r="B657" s="173" t="s">
        <v>1153</v>
      </c>
      <c r="C657" s="178" t="s">
        <v>3453</v>
      </c>
      <c r="D657" s="174">
        <v>220177571</v>
      </c>
      <c r="E657" s="174">
        <v>1028001400030</v>
      </c>
      <c r="F657" s="173" t="s">
        <v>647</v>
      </c>
      <c r="G657" s="173" t="s">
        <v>53</v>
      </c>
      <c r="H657" s="173" t="s">
        <v>1079</v>
      </c>
      <c r="I657" s="173" t="s">
        <v>1080</v>
      </c>
      <c r="J657" s="173" t="s">
        <v>85</v>
      </c>
      <c r="K657" t="s">
        <v>650</v>
      </c>
      <c r="M657" s="1" t="s">
        <v>58</v>
      </c>
      <c r="N657" s="1">
        <v>0</v>
      </c>
      <c r="O657" s="1" t="s">
        <v>36</v>
      </c>
      <c r="P657" s="186">
        <v>44865.564583333333</v>
      </c>
      <c r="R657" s="1">
        <v>4</v>
      </c>
      <c r="T657" s="1" t="s">
        <v>646</v>
      </c>
      <c r="U657" s="186">
        <v>44866.585416666669</v>
      </c>
      <c r="V657" s="1" t="s">
        <v>41</v>
      </c>
      <c r="W657" s="1" t="s">
        <v>49</v>
      </c>
      <c r="X657" s="13" t="str">
        <f>IF(RIGHT(H657,2)&lt;&gt;"00",H657,"")</f>
        <v/>
      </c>
      <c r="Y657" s="2">
        <f ca="1">NETWORKDAYS(P657,$Y$1)</f>
        <v>88</v>
      </c>
      <c r="Z657" s="14">
        <v>1</v>
      </c>
      <c r="AA657" s="1" t="str">
        <f t="shared" ca="1" si="50"/>
        <v>VENCIDO</v>
      </c>
      <c r="AB657" s="1" t="str">
        <f t="shared" si="51"/>
        <v>C-14</v>
      </c>
      <c r="AC657" s="2" t="str">
        <f t="shared" si="54"/>
        <v xml:space="preserve"> RINALDO </v>
      </c>
      <c r="AD657" s="2">
        <f t="shared" si="52"/>
        <v>15</v>
      </c>
      <c r="AE657" s="2">
        <f t="shared" ca="1" si="53"/>
        <v>-120.0908549768501</v>
      </c>
      <c r="AF657" s="15"/>
    </row>
    <row r="658" spans="1:32">
      <c r="A658" s="173">
        <v>9030743</v>
      </c>
      <c r="B658" s="173" t="s">
        <v>1153</v>
      </c>
      <c r="C658" s="178" t="s">
        <v>3454</v>
      </c>
      <c r="D658" s="174">
        <v>220177524</v>
      </c>
      <c r="E658" s="174">
        <v>1028001400030</v>
      </c>
      <c r="F658" s="173" t="s">
        <v>647</v>
      </c>
      <c r="G658" s="173" t="s">
        <v>53</v>
      </c>
      <c r="H658" s="173" t="s">
        <v>1079</v>
      </c>
      <c r="I658" s="173" t="s">
        <v>1080</v>
      </c>
      <c r="J658" s="173" t="s">
        <v>85</v>
      </c>
      <c r="K658" t="s">
        <v>650</v>
      </c>
      <c r="M658" s="1" t="s">
        <v>58</v>
      </c>
      <c r="N658" s="1">
        <v>0</v>
      </c>
      <c r="O658" s="1" t="s">
        <v>36</v>
      </c>
      <c r="P658" s="186">
        <v>44865.564386574071</v>
      </c>
      <c r="R658" s="1">
        <v>4</v>
      </c>
      <c r="T658" s="1" t="s">
        <v>646</v>
      </c>
      <c r="U658" s="186">
        <v>44866.585219907407</v>
      </c>
      <c r="V658" s="1" t="s">
        <v>41</v>
      </c>
      <c r="W658" s="1" t="s">
        <v>49</v>
      </c>
      <c r="X658" s="13" t="str">
        <f>IF(RIGHT(H658,2)&lt;&gt;"00",H658,"")</f>
        <v/>
      </c>
      <c r="Y658" s="2">
        <f ca="1">NETWORKDAYS(P658,$Y$1)</f>
        <v>88</v>
      </c>
      <c r="Z658" s="14">
        <v>1</v>
      </c>
      <c r="AA658" s="1" t="str">
        <f t="shared" ca="1" si="50"/>
        <v>VENCIDO</v>
      </c>
      <c r="AB658" s="1" t="str">
        <f t="shared" si="51"/>
        <v>C-14</v>
      </c>
      <c r="AC658" s="2" t="str">
        <f t="shared" si="54"/>
        <v xml:space="preserve"> RINALDO </v>
      </c>
      <c r="AD658" s="2">
        <f t="shared" si="52"/>
        <v>15</v>
      </c>
      <c r="AE658" s="2">
        <f t="shared" ca="1" si="53"/>
        <v>-120.09105173611169</v>
      </c>
      <c r="AF658" s="15"/>
    </row>
    <row r="659" spans="1:32">
      <c r="A659" s="173">
        <v>9030733</v>
      </c>
      <c r="B659" s="173" t="s">
        <v>1153</v>
      </c>
      <c r="C659" s="178" t="s">
        <v>3455</v>
      </c>
      <c r="D659" s="174">
        <v>220177525</v>
      </c>
      <c r="E659" s="174">
        <v>1028001400030</v>
      </c>
      <c r="F659" s="173" t="s">
        <v>647</v>
      </c>
      <c r="G659" s="173" t="s">
        <v>53</v>
      </c>
      <c r="H659" s="173" t="s">
        <v>1079</v>
      </c>
      <c r="I659" s="173" t="s">
        <v>1080</v>
      </c>
      <c r="J659" s="173" t="s">
        <v>85</v>
      </c>
      <c r="K659" t="s">
        <v>650</v>
      </c>
      <c r="M659" s="1" t="s">
        <v>58</v>
      </c>
      <c r="N659" s="1">
        <v>0</v>
      </c>
      <c r="O659" s="1" t="s">
        <v>36</v>
      </c>
      <c r="P659" s="186">
        <v>44865.558194444442</v>
      </c>
      <c r="R659" s="1">
        <v>4</v>
      </c>
      <c r="T659" s="1" t="s">
        <v>646</v>
      </c>
      <c r="U659" s="186">
        <v>44866.579027777778</v>
      </c>
      <c r="V659" s="1" t="s">
        <v>41</v>
      </c>
      <c r="W659" s="1" t="s">
        <v>49</v>
      </c>
      <c r="X659" s="13" t="str">
        <f>IF(RIGHT(H659,2)&lt;&gt;"00",H659,"")</f>
        <v/>
      </c>
      <c r="Y659" s="2">
        <f ca="1">NETWORKDAYS(P659,$Y$1)</f>
        <v>88</v>
      </c>
      <c r="Z659" s="14">
        <v>1</v>
      </c>
      <c r="AA659" s="1" t="str">
        <f t="shared" ca="1" si="50"/>
        <v>VENCIDO</v>
      </c>
      <c r="AB659" s="1" t="str">
        <f t="shared" si="51"/>
        <v>C-14</v>
      </c>
      <c r="AC659" s="2" t="str">
        <f t="shared" si="54"/>
        <v xml:space="preserve"> RINALDO </v>
      </c>
      <c r="AD659" s="2">
        <f t="shared" si="52"/>
        <v>15</v>
      </c>
      <c r="AE659" s="2">
        <f t="shared" ca="1" si="53"/>
        <v>-120.09724386574089</v>
      </c>
      <c r="AF659" s="15"/>
    </row>
    <row r="660" spans="1:32" hidden="1">
      <c r="A660" s="1">
        <v>9037912</v>
      </c>
      <c r="B660" s="1" t="s">
        <v>62</v>
      </c>
      <c r="C660" t="s">
        <v>1296</v>
      </c>
      <c r="E660" s="2">
        <v>1069000203000</v>
      </c>
      <c r="F660" s="1" t="s">
        <v>454</v>
      </c>
      <c r="G660" s="1" t="s">
        <v>53</v>
      </c>
      <c r="H660" s="1" t="s">
        <v>353</v>
      </c>
      <c r="I660" s="1" t="s">
        <v>354</v>
      </c>
      <c r="J660" s="1" t="s">
        <v>211</v>
      </c>
      <c r="K660" t="s">
        <v>457</v>
      </c>
      <c r="M660" s="1" t="s">
        <v>58</v>
      </c>
      <c r="N660" s="1">
        <v>0</v>
      </c>
      <c r="O660" s="1" t="s">
        <v>36</v>
      </c>
      <c r="P660" s="186">
        <v>44868.619062500002</v>
      </c>
      <c r="R660" s="1">
        <v>1</v>
      </c>
      <c r="T660" s="1" t="s">
        <v>157</v>
      </c>
      <c r="U660" s="186">
        <v>44903.75</v>
      </c>
      <c r="V660" s="1" t="s">
        <v>41</v>
      </c>
      <c r="W660" s="1" t="s">
        <v>49</v>
      </c>
      <c r="X660" s="13" t="str">
        <f>IF(RIGHT(H660,2)&lt;&gt;"00",H660,"")</f>
        <v/>
      </c>
      <c r="Y660" s="2">
        <f ca="1">NETWORKDAYS(P660,$Y$1)</f>
        <v>85</v>
      </c>
      <c r="Z660" s="14">
        <v>1</v>
      </c>
      <c r="AA660" s="1" t="str">
        <f t="shared" ca="1" si="50"/>
        <v>VENCIDO</v>
      </c>
      <c r="AB660" s="1" t="str">
        <f t="shared" si="51"/>
        <v>C-14</v>
      </c>
      <c r="AC660" s="2" t="str">
        <f t="shared" si="54"/>
        <v xml:space="preserve"> RINALDO </v>
      </c>
      <c r="AD660" s="2">
        <f t="shared" si="52"/>
        <v>5</v>
      </c>
      <c r="AE660" s="2">
        <f t="shared" ca="1" si="53"/>
        <v>-82.926271643518703</v>
      </c>
      <c r="AF660" s="15"/>
    </row>
    <row r="661" spans="1:32" hidden="1">
      <c r="A661" s="1">
        <v>9036877</v>
      </c>
      <c r="B661" s="1" t="s">
        <v>62</v>
      </c>
      <c r="C661" t="s">
        <v>1299</v>
      </c>
      <c r="E661" s="2">
        <v>5898000203000</v>
      </c>
      <c r="F661" s="1" t="s">
        <v>454</v>
      </c>
      <c r="G661" s="1" t="s">
        <v>53</v>
      </c>
      <c r="H661" s="1" t="s">
        <v>365</v>
      </c>
      <c r="I661" s="1" t="s">
        <v>366</v>
      </c>
      <c r="J661" s="1" t="s">
        <v>164</v>
      </c>
      <c r="K661" t="s">
        <v>457</v>
      </c>
      <c r="M661" s="1" t="s">
        <v>58</v>
      </c>
      <c r="N661" s="1">
        <v>0</v>
      </c>
      <c r="O661" s="1" t="s">
        <v>105</v>
      </c>
      <c r="P661" s="186">
        <v>44868.440532407411</v>
      </c>
      <c r="R661" s="1">
        <v>1</v>
      </c>
      <c r="T661" s="1" t="s">
        <v>157</v>
      </c>
      <c r="U661" s="186">
        <v>44903.75</v>
      </c>
      <c r="V661" s="1" t="s">
        <v>41</v>
      </c>
      <c r="W661" s="1" t="s">
        <v>49</v>
      </c>
      <c r="X661" s="13" t="str">
        <f>IF(RIGHT(H661,2)&lt;&gt;"00",H661,"")</f>
        <v/>
      </c>
      <c r="Y661" s="2">
        <f ca="1">NETWORKDAYS(P661,$Y$1)</f>
        <v>85</v>
      </c>
      <c r="Z661" s="14">
        <v>1</v>
      </c>
      <c r="AA661" s="1" t="str">
        <f t="shared" ca="1" si="50"/>
        <v>VENCIDO</v>
      </c>
      <c r="AB661" s="1" t="str">
        <f t="shared" si="51"/>
        <v>C-14</v>
      </c>
      <c r="AC661" s="2" t="str">
        <f t="shared" si="54"/>
        <v xml:space="preserve"> ROSEMERE </v>
      </c>
      <c r="AD661" s="2">
        <f t="shared" si="52"/>
        <v>5</v>
      </c>
      <c r="AE661" s="2">
        <f t="shared" ca="1" si="53"/>
        <v>-82.926271643518703</v>
      </c>
      <c r="AF661" s="15"/>
    </row>
    <row r="662" spans="1:32" hidden="1">
      <c r="A662" s="1">
        <v>9044943</v>
      </c>
      <c r="B662" s="1" t="s">
        <v>62</v>
      </c>
      <c r="C662" t="s">
        <v>3589</v>
      </c>
      <c r="E662" s="2">
        <v>1902016089900</v>
      </c>
      <c r="F662" s="1" t="s">
        <v>64</v>
      </c>
      <c r="G662" s="1" t="s">
        <v>53</v>
      </c>
      <c r="H662" s="1" t="s">
        <v>175</v>
      </c>
      <c r="I662" s="1" t="s">
        <v>176</v>
      </c>
      <c r="J662" s="1" t="s">
        <v>90</v>
      </c>
      <c r="K662" t="s">
        <v>67</v>
      </c>
      <c r="M662" s="1" t="s">
        <v>35</v>
      </c>
      <c r="N662" s="1">
        <v>42318949</v>
      </c>
      <c r="O662" s="1" t="s">
        <v>36</v>
      </c>
      <c r="P662" s="186">
        <v>44872.504502314812</v>
      </c>
      <c r="R662" s="1" t="s">
        <v>571</v>
      </c>
      <c r="T662" s="1" t="s">
        <v>69</v>
      </c>
      <c r="U662" s="186">
        <v>44881.504502314812</v>
      </c>
      <c r="V662" s="1" t="s">
        <v>41</v>
      </c>
      <c r="W662" s="1" t="s">
        <v>49</v>
      </c>
      <c r="X662" s="13" t="str">
        <f>IF(RIGHT(H662,2)&lt;&gt;"00",H662,"")</f>
        <v/>
      </c>
      <c r="Y662" s="2">
        <f ca="1">NETWORKDAYS(P662,$Y$1)</f>
        <v>83</v>
      </c>
      <c r="Z662" s="14">
        <v>1</v>
      </c>
      <c r="AA662" s="1" t="str">
        <f t="shared" ca="1" si="50"/>
        <v>VENCIDO</v>
      </c>
      <c r="AB662" s="1" t="str">
        <f t="shared" si="51"/>
        <v>TAAe+</v>
      </c>
      <c r="AC662" s="2" t="str">
        <f t="shared" si="54"/>
        <v xml:space="preserve"> RINALDO </v>
      </c>
      <c r="AD662" s="2">
        <f t="shared" si="52"/>
        <v>8</v>
      </c>
      <c r="AE662" s="2">
        <f t="shared" ca="1" si="53"/>
        <v>-105.17176932870643</v>
      </c>
      <c r="AF662" s="15"/>
    </row>
    <row r="663" spans="1:32" hidden="1">
      <c r="A663" s="1">
        <v>9044117</v>
      </c>
      <c r="B663" s="1" t="s">
        <v>62</v>
      </c>
      <c r="C663" t="s">
        <v>1304</v>
      </c>
      <c r="E663" s="2">
        <v>9703000203000</v>
      </c>
      <c r="F663" s="1" t="s">
        <v>454</v>
      </c>
      <c r="G663" s="1" t="s">
        <v>53</v>
      </c>
      <c r="H663" s="1" t="s">
        <v>494</v>
      </c>
      <c r="I663" s="1" t="s">
        <v>495</v>
      </c>
      <c r="J663" s="1" t="s">
        <v>79</v>
      </c>
      <c r="K663" t="s">
        <v>457</v>
      </c>
      <c r="M663" s="1" t="s">
        <v>58</v>
      </c>
      <c r="N663" s="1">
        <v>0</v>
      </c>
      <c r="O663" s="1" t="s">
        <v>36</v>
      </c>
      <c r="P663" s="186">
        <v>44872.406840277778</v>
      </c>
      <c r="R663" s="1">
        <v>1</v>
      </c>
      <c r="T663" s="1" t="s">
        <v>157</v>
      </c>
      <c r="U663" s="186">
        <v>44907.75</v>
      </c>
      <c r="V663" s="1" t="s">
        <v>41</v>
      </c>
      <c r="W663" s="1" t="s">
        <v>49</v>
      </c>
      <c r="X663" s="13" t="str">
        <f>IF(RIGHT(H663,2)&lt;&gt;"00",H663,"")</f>
        <v/>
      </c>
      <c r="Y663" s="2">
        <f ca="1">NETWORKDAYS(P663,$Y$1)</f>
        <v>83</v>
      </c>
      <c r="Z663" s="14">
        <v>1</v>
      </c>
      <c r="AA663" s="1" t="str">
        <f t="shared" ca="1" si="50"/>
        <v>VENCIDO</v>
      </c>
      <c r="AB663" s="1" t="str">
        <f t="shared" si="51"/>
        <v>C-14</v>
      </c>
      <c r="AC663" s="2" t="str">
        <f t="shared" si="54"/>
        <v xml:space="preserve"> ROSEMERE </v>
      </c>
      <c r="AD663" s="2">
        <f t="shared" si="52"/>
        <v>5</v>
      </c>
      <c r="AE663" s="2">
        <f t="shared" ca="1" si="53"/>
        <v>-78.926271643518703</v>
      </c>
      <c r="AF663" s="15"/>
    </row>
    <row r="664" spans="1:32" hidden="1">
      <c r="A664" s="1">
        <v>9047108</v>
      </c>
      <c r="B664" s="1" t="s">
        <v>62</v>
      </c>
      <c r="C664" t="s">
        <v>1307</v>
      </c>
      <c r="E664" s="2">
        <v>9703000206024</v>
      </c>
      <c r="F664" s="1" t="s">
        <v>103</v>
      </c>
      <c r="G664" s="1" t="s">
        <v>53</v>
      </c>
      <c r="H664" s="1" t="s">
        <v>494</v>
      </c>
      <c r="I664" s="1" t="s">
        <v>495</v>
      </c>
      <c r="J664" s="1" t="s">
        <v>79</v>
      </c>
      <c r="K664" t="s">
        <v>104</v>
      </c>
      <c r="M664" s="1" t="s">
        <v>35</v>
      </c>
      <c r="N664" s="1">
        <v>42318949</v>
      </c>
      <c r="O664" s="1" t="s">
        <v>36</v>
      </c>
      <c r="P664" s="186">
        <v>44873.392905092594</v>
      </c>
      <c r="R664" s="1" t="s">
        <v>38</v>
      </c>
      <c r="T664" s="1" t="s">
        <v>74</v>
      </c>
      <c r="U664" s="186">
        <v>44915.75</v>
      </c>
      <c r="V664" s="1" t="s">
        <v>41</v>
      </c>
      <c r="W664" s="1" t="s">
        <v>49</v>
      </c>
      <c r="X664" s="13" t="str">
        <f>IF(RIGHT(H664,2)&lt;&gt;"00",H664,"")</f>
        <v/>
      </c>
      <c r="Y664" s="2">
        <f ca="1">NETWORKDAYS(P664,$Y$1)</f>
        <v>82</v>
      </c>
      <c r="Z664" s="14">
        <v>1</v>
      </c>
      <c r="AA664" s="1" t="str">
        <f t="shared" ca="1" si="50"/>
        <v>VENCIDO</v>
      </c>
      <c r="AB664" s="1" t="str">
        <f t="shared" si="51"/>
        <v>Dosa</v>
      </c>
      <c r="AC664" s="2" t="str">
        <f t="shared" si="54"/>
        <v xml:space="preserve"> ROSEMERE </v>
      </c>
      <c r="AD664" s="2">
        <f t="shared" si="52"/>
        <v>5</v>
      </c>
      <c r="AE664" s="2">
        <f t="shared" ca="1" si="53"/>
        <v>-70.926271643518703</v>
      </c>
      <c r="AF664" s="15"/>
    </row>
    <row r="665" spans="1:32" hidden="1">
      <c r="A665" s="1">
        <v>9047065</v>
      </c>
      <c r="B665" s="1" t="s">
        <v>62</v>
      </c>
      <c r="C665" t="s">
        <v>1310</v>
      </c>
      <c r="E665" s="2">
        <v>9703000206001</v>
      </c>
      <c r="F665" s="1" t="s">
        <v>29</v>
      </c>
      <c r="G665" s="1" t="s">
        <v>53</v>
      </c>
      <c r="H665" s="1" t="s">
        <v>494</v>
      </c>
      <c r="I665" s="1" t="s">
        <v>495</v>
      </c>
      <c r="J665" s="1" t="s">
        <v>79</v>
      </c>
      <c r="K665" t="s">
        <v>34</v>
      </c>
      <c r="M665" s="1" t="s">
        <v>35</v>
      </c>
      <c r="N665" s="1">
        <v>42318949</v>
      </c>
      <c r="O665" s="1" t="s">
        <v>36</v>
      </c>
      <c r="P665" s="186">
        <v>44873.385509259257</v>
      </c>
      <c r="R665" s="1" t="s">
        <v>38</v>
      </c>
      <c r="T665" s="1" t="s">
        <v>74</v>
      </c>
      <c r="U665" s="186">
        <v>44915.75</v>
      </c>
      <c r="V665" s="1" t="s">
        <v>41</v>
      </c>
      <c r="W665" s="1" t="s">
        <v>49</v>
      </c>
      <c r="X665" s="13" t="str">
        <f>IF(RIGHT(H665,2)&lt;&gt;"00",H665,"")</f>
        <v/>
      </c>
      <c r="Y665" s="2">
        <f ca="1">NETWORKDAYS(P665,$Y$1)</f>
        <v>82</v>
      </c>
      <c r="Z665" s="14">
        <v>1</v>
      </c>
      <c r="AA665" s="1" t="str">
        <f t="shared" ca="1" si="50"/>
        <v>VENCIDO</v>
      </c>
      <c r="AB665" s="1" t="str">
        <f t="shared" si="51"/>
        <v>Dosa</v>
      </c>
      <c r="AC665" s="2" t="str">
        <f t="shared" si="54"/>
        <v xml:space="preserve"> ROSEMERE </v>
      </c>
      <c r="AD665" s="2">
        <f t="shared" si="52"/>
        <v>5</v>
      </c>
      <c r="AE665" s="2">
        <f t="shared" ca="1" si="53"/>
        <v>-70.926271643518703</v>
      </c>
      <c r="AF665" s="15"/>
    </row>
    <row r="666" spans="1:32" hidden="1">
      <c r="A666" s="1">
        <v>9051455</v>
      </c>
      <c r="B666" s="1" t="s">
        <v>27</v>
      </c>
      <c r="C666" t="s">
        <v>1312</v>
      </c>
      <c r="E666" s="2">
        <v>1792000206001</v>
      </c>
      <c r="F666" s="1" t="s">
        <v>29</v>
      </c>
      <c r="G666" s="1" t="s">
        <v>53</v>
      </c>
      <c r="H666" s="1" t="s">
        <v>467</v>
      </c>
      <c r="I666" s="1" t="s">
        <v>468</v>
      </c>
      <c r="J666" s="1" t="s">
        <v>110</v>
      </c>
      <c r="K666" t="s">
        <v>34</v>
      </c>
      <c r="M666" s="1" t="s">
        <v>35</v>
      </c>
      <c r="N666" s="1">
        <v>42318949</v>
      </c>
      <c r="O666" s="1" t="s">
        <v>36</v>
      </c>
      <c r="P666" s="186">
        <v>44874.715046296296</v>
      </c>
      <c r="R666" s="1" t="s">
        <v>38</v>
      </c>
      <c r="T666" s="1" t="s">
        <v>74</v>
      </c>
      <c r="U666" s="186">
        <v>44875.75</v>
      </c>
      <c r="V666" s="1" t="s">
        <v>41</v>
      </c>
      <c r="W666" s="1" t="s">
        <v>49</v>
      </c>
      <c r="X666" s="13" t="str">
        <f>IF(RIGHT(H666,2)&lt;&gt;"00",H666,"")</f>
        <v/>
      </c>
      <c r="Y666" s="2">
        <f ca="1">NETWORKDAYS(P666,$Y$1)</f>
        <v>81</v>
      </c>
      <c r="Z666" s="14">
        <v>1</v>
      </c>
      <c r="AA666" s="1" t="str">
        <f t="shared" ca="1" si="50"/>
        <v>VENCIDO</v>
      </c>
      <c r="AB666" s="1" t="str">
        <f t="shared" si="51"/>
        <v>Dosa</v>
      </c>
      <c r="AC666" s="2" t="str">
        <f t="shared" si="54"/>
        <v xml:space="preserve"> CRISTINA </v>
      </c>
      <c r="AD666" s="2">
        <f t="shared" si="52"/>
        <v>5</v>
      </c>
      <c r="AE666" s="2">
        <f t="shared" ca="1" si="53"/>
        <v>-110.9262716435187</v>
      </c>
      <c r="AF666" s="15"/>
    </row>
    <row r="667" spans="1:32" hidden="1">
      <c r="A667" s="1">
        <v>9050458</v>
      </c>
      <c r="B667" s="1" t="s">
        <v>81</v>
      </c>
      <c r="C667" t="s">
        <v>1210</v>
      </c>
      <c r="E667" s="2">
        <v>7417183024674</v>
      </c>
      <c r="F667" s="1" t="s">
        <v>1313</v>
      </c>
      <c r="G667" s="1" t="s">
        <v>53</v>
      </c>
      <c r="H667" s="1" t="s">
        <v>1314</v>
      </c>
      <c r="I667" s="1" t="s">
        <v>1315</v>
      </c>
      <c r="J667" s="1" t="s">
        <v>164</v>
      </c>
      <c r="K667" t="s">
        <v>1316</v>
      </c>
      <c r="M667" s="1" t="s">
        <v>58</v>
      </c>
      <c r="N667" s="1">
        <v>0</v>
      </c>
      <c r="O667" s="1" t="s">
        <v>105</v>
      </c>
      <c r="P667" s="186">
        <v>44874.485636574071</v>
      </c>
      <c r="R667" s="1">
        <v>15</v>
      </c>
      <c r="T667" s="1" t="s">
        <v>238</v>
      </c>
      <c r="U667" s="186">
        <v>44875.489884259259</v>
      </c>
      <c r="V667" s="1" t="s">
        <v>41</v>
      </c>
      <c r="W667" s="1" t="s">
        <v>49</v>
      </c>
      <c r="X667" s="13" t="str">
        <f>IF(RIGHT(H667,2)&lt;&gt;"00",H667,"")</f>
        <v>1049.91</v>
      </c>
      <c r="Y667" s="2">
        <f ca="1">NETWORKDAYS(P667,$Y$1)</f>
        <v>81</v>
      </c>
      <c r="Z667" s="14">
        <v>1</v>
      </c>
      <c r="AA667" s="1" t="str">
        <f t="shared" ca="1" si="50"/>
        <v>VENCIDO</v>
      </c>
      <c r="AB667" s="1" t="str">
        <f t="shared" si="51"/>
        <v>TAAe+</v>
      </c>
      <c r="AC667" s="2" t="str">
        <f t="shared" si="54"/>
        <v xml:space="preserve"> ROSEMERE </v>
      </c>
      <c r="AD667" s="2">
        <f t="shared" si="52"/>
        <v>8</v>
      </c>
      <c r="AE667" s="2">
        <f t="shared" ca="1" si="53"/>
        <v>-111.18638738425943</v>
      </c>
      <c r="AF667" s="15"/>
    </row>
    <row r="668" spans="1:32" hidden="1">
      <c r="A668" s="1">
        <v>9056147</v>
      </c>
      <c r="B668" s="1" t="s">
        <v>62</v>
      </c>
      <c r="C668" t="s">
        <v>1319</v>
      </c>
      <c r="E668" s="2">
        <v>159000206001</v>
      </c>
      <c r="F668" s="1" t="s">
        <v>29</v>
      </c>
      <c r="G668" s="1" t="s">
        <v>53</v>
      </c>
      <c r="H668" s="1" t="s">
        <v>331</v>
      </c>
      <c r="I668" s="1" t="s">
        <v>332</v>
      </c>
      <c r="J668" s="1" t="s">
        <v>79</v>
      </c>
      <c r="K668" t="s">
        <v>34</v>
      </c>
      <c r="M668" s="1" t="s">
        <v>35</v>
      </c>
      <c r="N668" s="1">
        <v>42318949</v>
      </c>
      <c r="O668" s="1" t="s">
        <v>105</v>
      </c>
      <c r="P668" s="186">
        <v>44876.61822916667</v>
      </c>
      <c r="R668" s="1" t="s">
        <v>38</v>
      </c>
      <c r="T668" s="1" t="s">
        <v>74</v>
      </c>
      <c r="U668" s="186">
        <v>44918.75</v>
      </c>
      <c r="V668" s="1" t="s">
        <v>41</v>
      </c>
      <c r="W668" s="1" t="s">
        <v>49</v>
      </c>
      <c r="X668" s="13" t="str">
        <f>IF(RIGHT(H668,2)&lt;&gt;"00",H668,"")</f>
        <v/>
      </c>
      <c r="Y668" s="2">
        <f ca="1">NETWORKDAYS(P668,$Y$1)</f>
        <v>79</v>
      </c>
      <c r="Z668" s="14">
        <v>1</v>
      </c>
      <c r="AA668" s="1" t="str">
        <f t="shared" ca="1" si="50"/>
        <v>VENCIDO</v>
      </c>
      <c r="AB668" s="1" t="str">
        <f t="shared" si="51"/>
        <v>Dosa</v>
      </c>
      <c r="AC668" s="2" t="str">
        <f t="shared" si="54"/>
        <v xml:space="preserve"> ROSEMERE </v>
      </c>
      <c r="AD668" s="2">
        <f t="shared" si="52"/>
        <v>5</v>
      </c>
      <c r="AE668" s="2">
        <f t="shared" ca="1" si="53"/>
        <v>-67.926271643518703</v>
      </c>
      <c r="AF668" s="15"/>
    </row>
    <row r="669" spans="1:32" hidden="1">
      <c r="A669" s="1">
        <v>9065338</v>
      </c>
      <c r="B669" s="1" t="s">
        <v>1153</v>
      </c>
      <c r="C669" t="s">
        <v>1322</v>
      </c>
      <c r="D669" s="2">
        <v>220184615</v>
      </c>
      <c r="E669" s="2">
        <v>2138001400030</v>
      </c>
      <c r="F669" s="1" t="s">
        <v>647</v>
      </c>
      <c r="G669" s="1" t="s">
        <v>53</v>
      </c>
      <c r="H669" s="1" t="s">
        <v>379</v>
      </c>
      <c r="I669" s="1" t="s">
        <v>380</v>
      </c>
      <c r="J669" s="1" t="s">
        <v>46</v>
      </c>
      <c r="K669" t="s">
        <v>650</v>
      </c>
      <c r="M669" s="1" t="s">
        <v>58</v>
      </c>
      <c r="N669" s="1">
        <v>0</v>
      </c>
      <c r="O669" s="1" t="s">
        <v>36</v>
      </c>
      <c r="P669" s="186">
        <v>44879.701990740738</v>
      </c>
      <c r="R669" s="1">
        <v>4</v>
      </c>
      <c r="T669" s="1" t="s">
        <v>646</v>
      </c>
      <c r="U669" s="186">
        <v>44887.479166666664</v>
      </c>
      <c r="V669" s="1" t="s">
        <v>41</v>
      </c>
      <c r="W669" s="1" t="s">
        <v>49</v>
      </c>
      <c r="X669" s="13" t="str">
        <f>IF(RIGHT(H669,2)&lt;&gt;"00",H669,"")</f>
        <v/>
      </c>
      <c r="Y669" s="2">
        <f ca="1">NETWORKDAYS(P669,$Y$1)</f>
        <v>78</v>
      </c>
      <c r="Z669" s="14">
        <v>1</v>
      </c>
      <c r="AA669" s="1" t="str">
        <f t="shared" ca="1" si="50"/>
        <v>VENCIDO</v>
      </c>
      <c r="AB669" s="1" t="str">
        <f t="shared" si="51"/>
        <v>C-14</v>
      </c>
      <c r="AC669" s="2" t="str">
        <f t="shared" si="54"/>
        <v xml:space="preserve"> CLEITON </v>
      </c>
      <c r="AD669" s="2">
        <f t="shared" si="52"/>
        <v>15</v>
      </c>
      <c r="AE669" s="2">
        <f t="shared" ca="1" si="53"/>
        <v>-99.197104976854462</v>
      </c>
      <c r="AF669" s="15"/>
    </row>
    <row r="670" spans="1:32" hidden="1">
      <c r="A670" s="1">
        <v>9095498</v>
      </c>
      <c r="B670" s="1" t="s">
        <v>1153</v>
      </c>
      <c r="C670" t="s">
        <v>1324</v>
      </c>
      <c r="D670" s="2">
        <v>220188160</v>
      </c>
      <c r="E670" s="2">
        <v>1049001400030</v>
      </c>
      <c r="F670" s="1" t="s">
        <v>647</v>
      </c>
      <c r="G670" s="1" t="s">
        <v>53</v>
      </c>
      <c r="H670" s="1" t="s">
        <v>169</v>
      </c>
      <c r="I670" s="1" t="s">
        <v>170</v>
      </c>
      <c r="J670" s="1" t="s">
        <v>164</v>
      </c>
      <c r="K670" t="s">
        <v>650</v>
      </c>
      <c r="M670" s="1" t="s">
        <v>58</v>
      </c>
      <c r="N670" s="1">
        <v>0</v>
      </c>
      <c r="O670" s="1" t="s">
        <v>36</v>
      </c>
      <c r="P670" s="186">
        <v>44888.677094907405</v>
      </c>
      <c r="R670" s="1">
        <v>4</v>
      </c>
      <c r="T670" s="1" t="s">
        <v>646</v>
      </c>
      <c r="U670" s="186">
        <v>44895.489594907405</v>
      </c>
      <c r="V670" s="1" t="s">
        <v>41</v>
      </c>
      <c r="W670" s="1" t="s">
        <v>49</v>
      </c>
      <c r="X670" s="13" t="str">
        <f>IF(RIGHT(H670,2)&lt;&gt;"00",H670,"")</f>
        <v/>
      </c>
      <c r="Y670" s="2">
        <f ca="1">NETWORKDAYS(P670,$Y$1)</f>
        <v>71</v>
      </c>
      <c r="Z670" s="14">
        <v>1</v>
      </c>
      <c r="AA670" s="1" t="str">
        <f t="shared" ca="1" si="50"/>
        <v>VENCIDO</v>
      </c>
      <c r="AB670" s="1" t="str">
        <f t="shared" si="51"/>
        <v>C-14</v>
      </c>
      <c r="AC670" s="2" t="str">
        <f t="shared" si="54"/>
        <v xml:space="preserve"> ROSEMERE </v>
      </c>
      <c r="AD670" s="2">
        <f t="shared" si="52"/>
        <v>15</v>
      </c>
      <c r="AE670" s="2">
        <f t="shared" ca="1" si="53"/>
        <v>-91.186676736113441</v>
      </c>
      <c r="AF670" s="15"/>
    </row>
    <row r="671" spans="1:32" hidden="1">
      <c r="A671" s="1">
        <v>9095341</v>
      </c>
      <c r="B671" s="1" t="s">
        <v>62</v>
      </c>
      <c r="C671" t="s">
        <v>1327</v>
      </c>
      <c r="E671" s="2">
        <v>2335000203000</v>
      </c>
      <c r="F671" s="1" t="s">
        <v>454</v>
      </c>
      <c r="G671" s="1" t="s">
        <v>53</v>
      </c>
      <c r="H671" s="1" t="s">
        <v>194</v>
      </c>
      <c r="I671" s="1" t="s">
        <v>195</v>
      </c>
      <c r="J671" s="1" t="s">
        <v>110</v>
      </c>
      <c r="K671" t="s">
        <v>457</v>
      </c>
      <c r="M671" s="1" t="s">
        <v>58</v>
      </c>
      <c r="N671" s="1">
        <v>0</v>
      </c>
      <c r="O671" s="1" t="s">
        <v>36</v>
      </c>
      <c r="P671" s="186">
        <v>44888.655601851853</v>
      </c>
      <c r="R671" s="1">
        <v>1</v>
      </c>
      <c r="T671" s="1" t="s">
        <v>157</v>
      </c>
      <c r="U671" s="186">
        <v>44928.75</v>
      </c>
      <c r="V671" s="1" t="s">
        <v>41</v>
      </c>
      <c r="W671" s="1" t="s">
        <v>49</v>
      </c>
      <c r="X671" s="13" t="str">
        <f>IF(RIGHT(H671,2)&lt;&gt;"00",H671,"")</f>
        <v/>
      </c>
      <c r="Y671" s="2">
        <f ca="1">NETWORKDAYS(P671,$Y$1)</f>
        <v>71</v>
      </c>
      <c r="Z671" s="14">
        <v>1</v>
      </c>
      <c r="AA671" s="1" t="str">
        <f t="shared" ca="1" si="50"/>
        <v>VENCIDO</v>
      </c>
      <c r="AB671" s="1" t="str">
        <f t="shared" si="51"/>
        <v>C-14</v>
      </c>
      <c r="AC671" s="2" t="str">
        <f t="shared" si="54"/>
        <v xml:space="preserve"> CRISTINA </v>
      </c>
      <c r="AD671" s="2">
        <f t="shared" si="52"/>
        <v>5</v>
      </c>
      <c r="AE671" s="2">
        <f t="shared" ca="1" si="53"/>
        <v>-57.926271643518703</v>
      </c>
      <c r="AF671" s="15"/>
    </row>
    <row r="672" spans="1:32" hidden="1">
      <c r="A672" s="1">
        <v>9093400</v>
      </c>
      <c r="B672" s="1" t="s">
        <v>101</v>
      </c>
      <c r="C672" t="s">
        <v>643</v>
      </c>
      <c r="D672" s="2">
        <v>220160091</v>
      </c>
      <c r="E672" s="2">
        <v>68001400010</v>
      </c>
      <c r="F672" s="1" t="s">
        <v>936</v>
      </c>
      <c r="G672" s="1" t="s">
        <v>53</v>
      </c>
      <c r="H672" s="1" t="s">
        <v>1330</v>
      </c>
      <c r="I672" s="1" t="s">
        <v>1331</v>
      </c>
      <c r="J672" s="1" t="s">
        <v>211</v>
      </c>
      <c r="K672" t="s">
        <v>937</v>
      </c>
      <c r="M672" s="1" t="s">
        <v>58</v>
      </c>
      <c r="N672" s="1">
        <v>0</v>
      </c>
      <c r="O672" s="1" t="s">
        <v>105</v>
      </c>
      <c r="P672" s="186">
        <v>44888.350393518522</v>
      </c>
      <c r="R672" s="1">
        <v>3</v>
      </c>
      <c r="T672" s="1" t="s">
        <v>646</v>
      </c>
      <c r="U672" s="186">
        <v>44889.350393518522</v>
      </c>
      <c r="V672" s="1" t="s">
        <v>41</v>
      </c>
      <c r="W672" s="1" t="s">
        <v>49</v>
      </c>
      <c r="X672" s="13" t="str">
        <f>IF(RIGHT(H672,2)&lt;&gt;"00",H672,"")</f>
        <v/>
      </c>
      <c r="Y672" s="2">
        <f ca="1">NETWORKDAYS(P672,$Y$1)</f>
        <v>71</v>
      </c>
      <c r="Z672" s="14">
        <v>1</v>
      </c>
      <c r="AA672" s="1" t="str">
        <f t="shared" ca="1" si="50"/>
        <v>VENCIDO</v>
      </c>
      <c r="AB672" s="1" t="str">
        <f t="shared" si="51"/>
        <v>C-14</v>
      </c>
      <c r="AC672" s="2" t="str">
        <f t="shared" si="54"/>
        <v xml:space="preserve"> RINALDO </v>
      </c>
      <c r="AD672" s="2">
        <f t="shared" si="52"/>
        <v>5</v>
      </c>
      <c r="AE672" s="2">
        <f t="shared" ca="1" si="53"/>
        <v>-97.325878124996962</v>
      </c>
      <c r="AF672" s="15"/>
    </row>
    <row r="673" spans="1:32" hidden="1">
      <c r="A673" s="1">
        <v>9093399</v>
      </c>
      <c r="B673" s="1" t="s">
        <v>101</v>
      </c>
      <c r="C673" t="s">
        <v>643</v>
      </c>
      <c r="D673" s="2">
        <v>220160090</v>
      </c>
      <c r="E673" s="2">
        <v>67001400010</v>
      </c>
      <c r="F673" s="1" t="s">
        <v>936</v>
      </c>
      <c r="G673" s="1" t="s">
        <v>53</v>
      </c>
      <c r="H673" s="1" t="s">
        <v>404</v>
      </c>
      <c r="I673" s="1" t="s">
        <v>405</v>
      </c>
      <c r="J673" s="1" t="s">
        <v>164</v>
      </c>
      <c r="K673" t="s">
        <v>937</v>
      </c>
      <c r="M673" s="1" t="s">
        <v>58</v>
      </c>
      <c r="N673" s="1">
        <v>0</v>
      </c>
      <c r="O673" s="1" t="s">
        <v>105</v>
      </c>
      <c r="P673" s="186">
        <v>44888.350335648145</v>
      </c>
      <c r="R673" s="1">
        <v>3</v>
      </c>
      <c r="T673" s="1" t="s">
        <v>646</v>
      </c>
      <c r="U673" s="186">
        <v>44889.350335648145</v>
      </c>
      <c r="V673" s="1" t="s">
        <v>41</v>
      </c>
      <c r="W673" s="1" t="s">
        <v>49</v>
      </c>
      <c r="X673" s="13" t="str">
        <f>IF(RIGHT(H673,2)&lt;&gt;"00",H673,"")</f>
        <v/>
      </c>
      <c r="Y673" s="2">
        <f ca="1">NETWORKDAYS(P673,$Y$1)</f>
        <v>71</v>
      </c>
      <c r="Z673" s="14">
        <v>1</v>
      </c>
      <c r="AA673" s="1" t="str">
        <f t="shared" ca="1" si="50"/>
        <v>VENCIDO</v>
      </c>
      <c r="AB673" s="1" t="str">
        <f t="shared" si="51"/>
        <v>C-14</v>
      </c>
      <c r="AC673" s="2" t="str">
        <f t="shared" si="54"/>
        <v xml:space="preserve"> ROSEMERE </v>
      </c>
      <c r="AD673" s="2">
        <f t="shared" si="52"/>
        <v>5</v>
      </c>
      <c r="AE673" s="2">
        <f t="shared" ca="1" si="53"/>
        <v>-97.325935995373584</v>
      </c>
      <c r="AF673" s="15"/>
    </row>
    <row r="674" spans="1:32" hidden="1">
      <c r="A674" s="1">
        <v>9110613</v>
      </c>
      <c r="B674" s="1" t="s">
        <v>62</v>
      </c>
      <c r="C674" t="s">
        <v>1336</v>
      </c>
      <c r="E674" s="2">
        <v>2830000203010</v>
      </c>
      <c r="F674" s="1" t="s">
        <v>152</v>
      </c>
      <c r="G674" s="1" t="s">
        <v>53</v>
      </c>
      <c r="H674" s="1" t="s">
        <v>448</v>
      </c>
      <c r="I674" s="1" t="s">
        <v>449</v>
      </c>
      <c r="J674" s="1" t="s">
        <v>33</v>
      </c>
      <c r="K674" t="s">
        <v>155</v>
      </c>
      <c r="M674" s="1" t="s">
        <v>35</v>
      </c>
      <c r="N674" s="1">
        <v>42318949</v>
      </c>
      <c r="O674" s="1" t="s">
        <v>105</v>
      </c>
      <c r="P674" s="186">
        <v>44893.494722222225</v>
      </c>
      <c r="R674" s="1">
        <v>1</v>
      </c>
      <c r="T674" s="1" t="s">
        <v>157</v>
      </c>
      <c r="U674" s="186">
        <v>44925.75</v>
      </c>
      <c r="V674" s="1" t="s">
        <v>41</v>
      </c>
      <c r="W674" s="1" t="s">
        <v>42</v>
      </c>
      <c r="X674" s="13" t="str">
        <f>IF(RIGHT(H674,2)&lt;&gt;"00",H674,"")</f>
        <v/>
      </c>
      <c r="Y674" s="2">
        <f ca="1">NETWORKDAYS(P674,$Y$1)</f>
        <v>68</v>
      </c>
      <c r="Z674" s="14">
        <v>1</v>
      </c>
      <c r="AA674" s="1" t="str">
        <f t="shared" ca="1" si="50"/>
        <v>VENCIDO</v>
      </c>
      <c r="AB674" s="1" t="str">
        <f t="shared" si="51"/>
        <v>TAAe+</v>
      </c>
      <c r="AC674" s="2" t="str">
        <f t="shared" si="54"/>
        <v xml:space="preserve"> ROSEMERE </v>
      </c>
      <c r="AD674" s="2">
        <f t="shared" si="52"/>
        <v>8</v>
      </c>
      <c r="AE674" s="2">
        <f t="shared" ca="1" si="53"/>
        <v>-60.926271643518703</v>
      </c>
      <c r="AF674" s="15"/>
    </row>
    <row r="675" spans="1:32" hidden="1">
      <c r="A675" s="1">
        <v>9110065</v>
      </c>
      <c r="B675" s="1" t="s">
        <v>62</v>
      </c>
      <c r="C675" t="s">
        <v>1339</v>
      </c>
      <c r="E675" s="2">
        <v>9703000206021</v>
      </c>
      <c r="F675" s="1" t="s">
        <v>103</v>
      </c>
      <c r="G675" s="1" t="s">
        <v>53</v>
      </c>
      <c r="H675" s="1" t="s">
        <v>494</v>
      </c>
      <c r="I675" s="1" t="s">
        <v>495</v>
      </c>
      <c r="J675" s="1" t="s">
        <v>79</v>
      </c>
      <c r="K675" t="s">
        <v>104</v>
      </c>
      <c r="M675" s="1" t="s">
        <v>58</v>
      </c>
      <c r="N675" s="1">
        <v>0</v>
      </c>
      <c r="O675" s="1" t="s">
        <v>105</v>
      </c>
      <c r="P675" s="186">
        <v>44893.425879629627</v>
      </c>
      <c r="R675" s="1" t="s">
        <v>38</v>
      </c>
      <c r="T675" s="1" t="s">
        <v>74</v>
      </c>
      <c r="U675" s="186">
        <v>44932.75</v>
      </c>
      <c r="V675" s="1" t="s">
        <v>41</v>
      </c>
      <c r="W675" s="1" t="s">
        <v>49</v>
      </c>
      <c r="X675" s="13" t="str">
        <f>IF(RIGHT(H675,2)&lt;&gt;"00",H675,"")</f>
        <v/>
      </c>
      <c r="Y675" s="2">
        <f ca="1">NETWORKDAYS(P675,$Y$1)</f>
        <v>68</v>
      </c>
      <c r="Z675" s="14">
        <v>1</v>
      </c>
      <c r="AA675" s="1" t="str">
        <f t="shared" ca="1" si="50"/>
        <v>VENCIDO</v>
      </c>
      <c r="AB675" s="1" t="str">
        <f t="shared" si="51"/>
        <v>Dosa</v>
      </c>
      <c r="AC675" s="2" t="str">
        <f t="shared" si="54"/>
        <v xml:space="preserve"> ROSEMERE </v>
      </c>
      <c r="AD675" s="2">
        <f t="shared" si="52"/>
        <v>5</v>
      </c>
      <c r="AE675" s="2">
        <f t="shared" ca="1" si="53"/>
        <v>-53.926271643518703</v>
      </c>
      <c r="AF675" s="15"/>
    </row>
    <row r="676" spans="1:32" hidden="1">
      <c r="A676" s="1">
        <v>9110056</v>
      </c>
      <c r="B676" s="1" t="s">
        <v>62</v>
      </c>
      <c r="C676" t="s">
        <v>1342</v>
      </c>
      <c r="E676" s="2">
        <v>9703000206021</v>
      </c>
      <c r="F676" s="1" t="s">
        <v>103</v>
      </c>
      <c r="G676" s="1" t="s">
        <v>53</v>
      </c>
      <c r="H676" s="1" t="s">
        <v>494</v>
      </c>
      <c r="I676" s="1" t="s">
        <v>495</v>
      </c>
      <c r="J676" s="1" t="s">
        <v>79</v>
      </c>
      <c r="K676" t="s">
        <v>104</v>
      </c>
      <c r="M676" s="1" t="s">
        <v>58</v>
      </c>
      <c r="N676" s="1">
        <v>0</v>
      </c>
      <c r="O676" s="1" t="s">
        <v>105</v>
      </c>
      <c r="P676" s="186">
        <v>44893.424502314818</v>
      </c>
      <c r="R676" s="1" t="s">
        <v>38</v>
      </c>
      <c r="T676" s="1" t="s">
        <v>74</v>
      </c>
      <c r="U676" s="186">
        <v>44932.75</v>
      </c>
      <c r="V676" s="1" t="s">
        <v>41</v>
      </c>
      <c r="W676" s="1" t="s">
        <v>49</v>
      </c>
      <c r="X676" s="13" t="str">
        <f>IF(RIGHT(H676,2)&lt;&gt;"00",H676,"")</f>
        <v/>
      </c>
      <c r="Y676" s="2">
        <f ca="1">NETWORKDAYS(P676,$Y$1)</f>
        <v>68</v>
      </c>
      <c r="Z676" s="14">
        <v>1</v>
      </c>
      <c r="AA676" s="1" t="str">
        <f t="shared" ca="1" si="50"/>
        <v>VENCIDO</v>
      </c>
      <c r="AB676" s="1" t="str">
        <f t="shared" si="51"/>
        <v>Dosa</v>
      </c>
      <c r="AC676" s="2" t="str">
        <f t="shared" si="54"/>
        <v xml:space="preserve"> ROSEMERE </v>
      </c>
      <c r="AD676" s="2">
        <f t="shared" si="52"/>
        <v>5</v>
      </c>
      <c r="AE676" s="2">
        <f t="shared" ca="1" si="53"/>
        <v>-53.926271643518703</v>
      </c>
      <c r="AF676" s="15"/>
    </row>
    <row r="677" spans="1:32" hidden="1">
      <c r="A677" s="1">
        <v>9110055</v>
      </c>
      <c r="B677" s="1" t="s">
        <v>62</v>
      </c>
      <c r="C677" t="s">
        <v>1342</v>
      </c>
      <c r="E677" s="2">
        <v>9703000206021</v>
      </c>
      <c r="F677" s="1" t="s">
        <v>103</v>
      </c>
      <c r="G677" s="1" t="s">
        <v>53</v>
      </c>
      <c r="H677" s="1" t="s">
        <v>494</v>
      </c>
      <c r="I677" s="1" t="s">
        <v>495</v>
      </c>
      <c r="J677" s="1" t="s">
        <v>79</v>
      </c>
      <c r="K677" t="s">
        <v>104</v>
      </c>
      <c r="M677" s="1" t="s">
        <v>58</v>
      </c>
      <c r="N677" s="1">
        <v>0</v>
      </c>
      <c r="O677" s="1" t="s">
        <v>105</v>
      </c>
      <c r="P677" s="186">
        <v>44893.423750000002</v>
      </c>
      <c r="R677" s="1" t="s">
        <v>38</v>
      </c>
      <c r="T677" s="1" t="s">
        <v>74</v>
      </c>
      <c r="U677" s="186">
        <v>44932.75</v>
      </c>
      <c r="V677" s="1" t="s">
        <v>41</v>
      </c>
      <c r="W677" s="1" t="s">
        <v>49</v>
      </c>
      <c r="X677" s="13" t="str">
        <f>IF(RIGHT(H677,2)&lt;&gt;"00",H677,"")</f>
        <v/>
      </c>
      <c r="Y677" s="2">
        <f ca="1">NETWORKDAYS(P677,$Y$1)</f>
        <v>68</v>
      </c>
      <c r="Z677" s="14">
        <v>1</v>
      </c>
      <c r="AA677" s="1" t="str">
        <f t="shared" ca="1" si="50"/>
        <v>VENCIDO</v>
      </c>
      <c r="AB677" s="1" t="str">
        <f t="shared" si="51"/>
        <v>Dosa</v>
      </c>
      <c r="AC677" s="2" t="str">
        <f t="shared" si="54"/>
        <v xml:space="preserve"> ROSEMERE </v>
      </c>
      <c r="AD677" s="2">
        <f t="shared" si="52"/>
        <v>5</v>
      </c>
      <c r="AE677" s="2">
        <f t="shared" ca="1" si="53"/>
        <v>-53.926271643518703</v>
      </c>
      <c r="AF677" s="15"/>
    </row>
    <row r="678" spans="1:32" hidden="1">
      <c r="A678" s="1">
        <v>9110054</v>
      </c>
      <c r="B678" s="1" t="s">
        <v>27</v>
      </c>
      <c r="C678" t="s">
        <v>1342</v>
      </c>
      <c r="E678" s="2">
        <v>9703000206021</v>
      </c>
      <c r="F678" s="1" t="s">
        <v>103</v>
      </c>
      <c r="G678" s="1" t="s">
        <v>53</v>
      </c>
      <c r="H678" s="1" t="s">
        <v>494</v>
      </c>
      <c r="I678" s="1" t="s">
        <v>495</v>
      </c>
      <c r="J678" s="1" t="s">
        <v>79</v>
      </c>
      <c r="K678" t="s">
        <v>104</v>
      </c>
      <c r="M678" s="1" t="s">
        <v>58</v>
      </c>
      <c r="N678" s="1">
        <v>0</v>
      </c>
      <c r="O678" s="1" t="s">
        <v>105</v>
      </c>
      <c r="P678" s="186">
        <v>44893.423159722224</v>
      </c>
      <c r="R678" s="1" t="s">
        <v>38</v>
      </c>
      <c r="T678" s="1" t="s">
        <v>74</v>
      </c>
      <c r="U678" s="186">
        <v>44932.75</v>
      </c>
      <c r="V678" s="1" t="s">
        <v>41</v>
      </c>
      <c r="W678" s="1" t="s">
        <v>49</v>
      </c>
      <c r="X678" s="13" t="str">
        <f>IF(RIGHT(H678,2)&lt;&gt;"00",H678,"")</f>
        <v/>
      </c>
      <c r="Y678" s="2">
        <f ca="1">NETWORKDAYS(P678,$Y$1)</f>
        <v>68</v>
      </c>
      <c r="Z678" s="14">
        <v>1</v>
      </c>
      <c r="AA678" s="1" t="str">
        <f t="shared" ca="1" si="50"/>
        <v>VENCIDO</v>
      </c>
      <c r="AB678" s="1" t="str">
        <f t="shared" si="51"/>
        <v>Dosa</v>
      </c>
      <c r="AC678" s="2" t="str">
        <f t="shared" si="54"/>
        <v xml:space="preserve"> ROSEMERE </v>
      </c>
      <c r="AD678" s="2">
        <f t="shared" si="52"/>
        <v>5</v>
      </c>
      <c r="AE678" s="2">
        <f t="shared" ca="1" si="53"/>
        <v>-53.926271643518703</v>
      </c>
      <c r="AF678" s="15"/>
    </row>
    <row r="679" spans="1:32" hidden="1">
      <c r="A679" s="1">
        <v>9110053</v>
      </c>
      <c r="B679" s="1" t="s">
        <v>62</v>
      </c>
      <c r="C679" t="s">
        <v>1346</v>
      </c>
      <c r="E679" s="2">
        <v>9703000206021</v>
      </c>
      <c r="F679" s="1" t="s">
        <v>103</v>
      </c>
      <c r="G679" s="1" t="s">
        <v>53</v>
      </c>
      <c r="H679" s="1" t="s">
        <v>494</v>
      </c>
      <c r="I679" s="1" t="s">
        <v>495</v>
      </c>
      <c r="J679" s="1" t="s">
        <v>79</v>
      </c>
      <c r="K679" t="s">
        <v>104</v>
      </c>
      <c r="M679" s="1" t="s">
        <v>58</v>
      </c>
      <c r="N679" s="1">
        <v>0</v>
      </c>
      <c r="O679" s="1" t="s">
        <v>105</v>
      </c>
      <c r="P679" s="186">
        <v>44893.422430555554</v>
      </c>
      <c r="R679" s="1" t="s">
        <v>38</v>
      </c>
      <c r="T679" s="1" t="s">
        <v>74</v>
      </c>
      <c r="U679" s="186">
        <v>44932.75</v>
      </c>
      <c r="V679" s="1" t="s">
        <v>41</v>
      </c>
      <c r="W679" s="1" t="s">
        <v>49</v>
      </c>
      <c r="X679" s="13" t="str">
        <f>IF(RIGHT(H679,2)&lt;&gt;"00",H679,"")</f>
        <v/>
      </c>
      <c r="Y679" s="2">
        <f ca="1">NETWORKDAYS(P679,$Y$1)</f>
        <v>68</v>
      </c>
      <c r="Z679" s="14">
        <v>1</v>
      </c>
      <c r="AA679" s="1" t="str">
        <f t="shared" ca="1" si="50"/>
        <v>VENCIDO</v>
      </c>
      <c r="AB679" s="1" t="str">
        <f t="shared" si="51"/>
        <v>Dosa</v>
      </c>
      <c r="AC679" s="2" t="str">
        <f t="shared" si="54"/>
        <v xml:space="preserve"> ROSEMERE </v>
      </c>
      <c r="AD679" s="2">
        <f t="shared" si="52"/>
        <v>5</v>
      </c>
      <c r="AE679" s="2">
        <f t="shared" ca="1" si="53"/>
        <v>-53.926271643518703</v>
      </c>
      <c r="AF679" s="15"/>
    </row>
    <row r="680" spans="1:32">
      <c r="A680" s="173">
        <v>9119774</v>
      </c>
      <c r="B680" s="173" t="s">
        <v>1153</v>
      </c>
      <c r="C680" s="178" t="s">
        <v>3459</v>
      </c>
      <c r="D680" s="174">
        <v>220190443</v>
      </c>
      <c r="E680" s="174">
        <v>1146001400030</v>
      </c>
      <c r="F680" s="173" t="s">
        <v>647</v>
      </c>
      <c r="G680" s="173" t="s">
        <v>53</v>
      </c>
      <c r="H680" s="173" t="s">
        <v>315</v>
      </c>
      <c r="I680" s="173" t="s">
        <v>316</v>
      </c>
      <c r="J680" s="173" t="s">
        <v>148</v>
      </c>
      <c r="K680" t="s">
        <v>650</v>
      </c>
      <c r="M680" s="1" t="s">
        <v>58</v>
      </c>
      <c r="N680" s="1">
        <v>0</v>
      </c>
      <c r="O680" s="1" t="s">
        <v>36</v>
      </c>
      <c r="P680" s="186">
        <v>44895.552025462966</v>
      </c>
      <c r="R680" s="1">
        <v>4</v>
      </c>
      <c r="T680" s="1" t="s">
        <v>646</v>
      </c>
      <c r="U680" s="186">
        <v>44896.572858796295</v>
      </c>
      <c r="V680" s="1" t="s">
        <v>41</v>
      </c>
      <c r="W680" s="1" t="s">
        <v>49</v>
      </c>
      <c r="X680" s="13" t="str">
        <f>IF(RIGHT(H680,2)&lt;&gt;"00",H680,"")</f>
        <v/>
      </c>
      <c r="Y680" s="2">
        <f ca="1">NETWORKDAYS(P680,$Y$1)</f>
        <v>66</v>
      </c>
      <c r="Z680" s="14">
        <v>1</v>
      </c>
      <c r="AA680" s="1" t="str">
        <f t="shared" ca="1" si="50"/>
        <v>VENCIDO</v>
      </c>
      <c r="AB680" s="1" t="str">
        <f t="shared" si="51"/>
        <v>C-14</v>
      </c>
      <c r="AC680" s="2" t="str">
        <f t="shared" si="54"/>
        <v xml:space="preserve"> RINALDO </v>
      </c>
      <c r="AD680" s="2">
        <f t="shared" si="52"/>
        <v>15</v>
      </c>
      <c r="AE680" s="2">
        <f t="shared" ca="1" si="53"/>
        <v>-90.103412847223808</v>
      </c>
      <c r="AF680" s="15"/>
    </row>
    <row r="681" spans="1:32" hidden="1">
      <c r="A681" s="1">
        <v>9131493</v>
      </c>
      <c r="B681" s="1" t="s">
        <v>101</v>
      </c>
      <c r="C681" t="s">
        <v>643</v>
      </c>
      <c r="D681" s="2">
        <v>220197038</v>
      </c>
      <c r="E681" s="2">
        <v>834001400040</v>
      </c>
      <c r="F681" s="1" t="s">
        <v>644</v>
      </c>
      <c r="G681" s="1" t="s">
        <v>53</v>
      </c>
      <c r="H681" s="1" t="s">
        <v>367</v>
      </c>
      <c r="I681" s="1" t="s">
        <v>368</v>
      </c>
      <c r="J681" s="1" t="s">
        <v>261</v>
      </c>
      <c r="K681" t="s">
        <v>645</v>
      </c>
      <c r="M681" s="1" t="s">
        <v>58</v>
      </c>
      <c r="N681" s="1">
        <v>0</v>
      </c>
      <c r="O681" s="1" t="s">
        <v>105</v>
      </c>
      <c r="P681" s="186">
        <v>44896.698067129626</v>
      </c>
      <c r="R681" s="1">
        <v>2</v>
      </c>
      <c r="T681" s="1" t="s">
        <v>646</v>
      </c>
      <c r="U681" s="186">
        <v>44897.698067129626</v>
      </c>
      <c r="V681" s="1" t="s">
        <v>41</v>
      </c>
      <c r="W681" s="1" t="s">
        <v>49</v>
      </c>
      <c r="X681" s="13" t="str">
        <f>IF(RIGHT(H681,2)&lt;&gt;"00",H681,"")</f>
        <v/>
      </c>
      <c r="Y681" s="2">
        <f ca="1">NETWORKDAYS(P681,$Y$1)</f>
        <v>65</v>
      </c>
      <c r="Z681" s="14">
        <v>1</v>
      </c>
      <c r="AA681" s="1" t="str">
        <f t="shared" ca="1" si="50"/>
        <v>VENCIDO</v>
      </c>
      <c r="AB681" s="1" t="str">
        <f t="shared" si="51"/>
        <v>SL-On</v>
      </c>
      <c r="AC681" s="2" t="str">
        <f t="shared" si="54"/>
        <v xml:space="preserve"> CRISTINA </v>
      </c>
      <c r="AD681" s="2">
        <f t="shared" si="52"/>
        <v>1</v>
      </c>
      <c r="AE681" s="2">
        <f t="shared" ca="1" si="53"/>
        <v>-88.978204513892706</v>
      </c>
      <c r="AF681" s="15"/>
    </row>
    <row r="682" spans="1:32" hidden="1">
      <c r="A682" s="1">
        <v>9131454</v>
      </c>
      <c r="B682" s="1" t="s">
        <v>101</v>
      </c>
      <c r="C682" t="s">
        <v>643</v>
      </c>
      <c r="D682" s="2">
        <v>220197033</v>
      </c>
      <c r="E682" s="2">
        <v>821001400040</v>
      </c>
      <c r="F682" s="1" t="s">
        <v>644</v>
      </c>
      <c r="G682" s="1" t="s">
        <v>53</v>
      </c>
      <c r="H682" s="1" t="s">
        <v>1351</v>
      </c>
      <c r="I682" s="1" t="s">
        <v>1352</v>
      </c>
      <c r="J682" s="1" t="s">
        <v>46</v>
      </c>
      <c r="K682" t="s">
        <v>645</v>
      </c>
      <c r="M682" s="1" t="s">
        <v>58</v>
      </c>
      <c r="N682" s="1">
        <v>0</v>
      </c>
      <c r="O682" s="1" t="s">
        <v>105</v>
      </c>
      <c r="P682" s="186">
        <v>44896.696782407409</v>
      </c>
      <c r="R682" s="1">
        <v>2</v>
      </c>
      <c r="T682" s="1" t="s">
        <v>646</v>
      </c>
      <c r="U682" s="186">
        <v>44897.696782407409</v>
      </c>
      <c r="V682" s="1" t="s">
        <v>41</v>
      </c>
      <c r="W682" s="1" t="s">
        <v>49</v>
      </c>
      <c r="X682" s="13" t="str">
        <f>IF(RIGHT(H682,2)&lt;&gt;"00",H682,"")</f>
        <v/>
      </c>
      <c r="Y682" s="2">
        <f ca="1">NETWORKDAYS(P682,$Y$1)</f>
        <v>65</v>
      </c>
      <c r="Z682" s="14">
        <v>1</v>
      </c>
      <c r="AA682" s="1" t="str">
        <f t="shared" ca="1" si="50"/>
        <v>VENCIDO</v>
      </c>
      <c r="AB682" s="1" t="str">
        <f t="shared" si="51"/>
        <v>SL-On</v>
      </c>
      <c r="AC682" s="2" t="str">
        <f t="shared" si="54"/>
        <v xml:space="preserve"> CLEITON </v>
      </c>
      <c r="AD682" s="2">
        <f t="shared" si="52"/>
        <v>1</v>
      </c>
      <c r="AE682" s="2">
        <f t="shared" ca="1" si="53"/>
        <v>-88.979489236109657</v>
      </c>
      <c r="AF682" s="15"/>
    </row>
    <row r="683" spans="1:32" hidden="1">
      <c r="A683" s="1">
        <v>9131400</v>
      </c>
      <c r="B683" s="1" t="s">
        <v>101</v>
      </c>
      <c r="C683" t="s">
        <v>643</v>
      </c>
      <c r="D683" s="2">
        <v>220195352</v>
      </c>
      <c r="E683" s="2">
        <v>1732001400030</v>
      </c>
      <c r="F683" s="1" t="s">
        <v>647</v>
      </c>
      <c r="G683" s="1" t="s">
        <v>53</v>
      </c>
      <c r="H683" s="1" t="s">
        <v>177</v>
      </c>
      <c r="I683" s="1" t="s">
        <v>178</v>
      </c>
      <c r="J683" s="1" t="s">
        <v>164</v>
      </c>
      <c r="K683" t="s">
        <v>650</v>
      </c>
      <c r="M683" s="1" t="s">
        <v>58</v>
      </c>
      <c r="N683" s="1">
        <v>0</v>
      </c>
      <c r="O683" s="1" t="s">
        <v>105</v>
      </c>
      <c r="P683" s="186">
        <v>44896.694756944446</v>
      </c>
      <c r="R683" s="1">
        <v>4</v>
      </c>
      <c r="T683" s="1" t="s">
        <v>646</v>
      </c>
      <c r="U683" s="186">
        <v>44897.694756944446</v>
      </c>
      <c r="V683" s="1" t="s">
        <v>41</v>
      </c>
      <c r="W683" s="1" t="s">
        <v>49</v>
      </c>
      <c r="X683" s="13" t="str">
        <f>IF(RIGHT(H683,2)&lt;&gt;"00",H683,"")</f>
        <v/>
      </c>
      <c r="Y683" s="2">
        <f ca="1">NETWORKDAYS(P683,$Y$1)</f>
        <v>65</v>
      </c>
      <c r="Z683" s="14">
        <v>1</v>
      </c>
      <c r="AA683" s="1" t="str">
        <f t="shared" ca="1" si="50"/>
        <v>VENCIDO</v>
      </c>
      <c r="AB683" s="1" t="str">
        <f t="shared" si="51"/>
        <v>C-14</v>
      </c>
      <c r="AC683" s="2" t="str">
        <f t="shared" si="54"/>
        <v xml:space="preserve"> ROSEMERE </v>
      </c>
      <c r="AD683" s="2">
        <f t="shared" si="52"/>
        <v>15</v>
      </c>
      <c r="AE683" s="2">
        <f t="shared" ca="1" si="53"/>
        <v>-88.981514699073159</v>
      </c>
      <c r="AF683" s="15"/>
    </row>
    <row r="684" spans="1:32" hidden="1">
      <c r="A684" s="1">
        <v>9131376</v>
      </c>
      <c r="B684" s="1" t="s">
        <v>101</v>
      </c>
      <c r="C684" t="s">
        <v>643</v>
      </c>
      <c r="D684" s="2">
        <v>220195375</v>
      </c>
      <c r="E684" s="2">
        <v>1792001400030</v>
      </c>
      <c r="F684" s="1" t="s">
        <v>647</v>
      </c>
      <c r="G684" s="1" t="s">
        <v>53</v>
      </c>
      <c r="H684" s="1" t="s">
        <v>467</v>
      </c>
      <c r="I684" s="1" t="s">
        <v>468</v>
      </c>
      <c r="J684" s="1" t="s">
        <v>110</v>
      </c>
      <c r="K684" t="s">
        <v>650</v>
      </c>
      <c r="M684" s="1" t="s">
        <v>58</v>
      </c>
      <c r="N684" s="1">
        <v>0</v>
      </c>
      <c r="O684" s="1" t="s">
        <v>105</v>
      </c>
      <c r="P684" s="186">
        <v>44896.693680555552</v>
      </c>
      <c r="R684" s="1">
        <v>4</v>
      </c>
      <c r="T684" s="1" t="s">
        <v>646</v>
      </c>
      <c r="U684" s="186">
        <v>44897.693692129629</v>
      </c>
      <c r="V684" s="1" t="s">
        <v>41</v>
      </c>
      <c r="W684" s="1" t="s">
        <v>49</v>
      </c>
      <c r="X684" s="13" t="str">
        <f>IF(RIGHT(H684,2)&lt;&gt;"00",H684,"")</f>
        <v/>
      </c>
      <c r="Y684" s="2">
        <f ca="1">NETWORKDAYS(P684,$Y$1)</f>
        <v>65</v>
      </c>
      <c r="Z684" s="14">
        <v>1</v>
      </c>
      <c r="AA684" s="1" t="str">
        <f t="shared" ca="1" si="50"/>
        <v>VENCIDO</v>
      </c>
      <c r="AB684" s="1" t="str">
        <f t="shared" si="51"/>
        <v>C-14</v>
      </c>
      <c r="AC684" s="2" t="str">
        <f t="shared" si="54"/>
        <v xml:space="preserve"> CRISTINA </v>
      </c>
      <c r="AD684" s="2">
        <f t="shared" si="52"/>
        <v>15</v>
      </c>
      <c r="AE684" s="2">
        <f t="shared" ca="1" si="53"/>
        <v>-88.982579513889505</v>
      </c>
      <c r="AF684" s="15"/>
    </row>
    <row r="685" spans="1:32" hidden="1">
      <c r="A685" s="1">
        <v>9131244</v>
      </c>
      <c r="B685" s="1" t="s">
        <v>101</v>
      </c>
      <c r="C685" t="s">
        <v>643</v>
      </c>
      <c r="D685" s="2">
        <v>220197571</v>
      </c>
      <c r="E685" s="2">
        <v>2326001400040</v>
      </c>
      <c r="F685" s="1" t="s">
        <v>644</v>
      </c>
      <c r="G685" s="1" t="s">
        <v>53</v>
      </c>
      <c r="H685" s="1" t="s">
        <v>191</v>
      </c>
      <c r="I685" s="1" t="s">
        <v>192</v>
      </c>
      <c r="J685" s="1" t="s">
        <v>46</v>
      </c>
      <c r="K685" t="s">
        <v>645</v>
      </c>
      <c r="M685" s="1" t="s">
        <v>58</v>
      </c>
      <c r="N685" s="1">
        <v>0</v>
      </c>
      <c r="O685" s="1" t="s">
        <v>105</v>
      </c>
      <c r="P685" s="186">
        <v>44896.684918981482</v>
      </c>
      <c r="R685" s="1">
        <v>2</v>
      </c>
      <c r="T685" s="1" t="s">
        <v>646</v>
      </c>
      <c r="U685" s="186">
        <v>44897.684930555559</v>
      </c>
      <c r="V685" s="1" t="s">
        <v>41</v>
      </c>
      <c r="W685" s="1" t="s">
        <v>49</v>
      </c>
      <c r="X685" s="13" t="str">
        <f>IF(RIGHT(H685,2)&lt;&gt;"00",H685,"")</f>
        <v/>
      </c>
      <c r="Y685" s="2">
        <f ca="1">NETWORKDAYS(P685,$Y$1)</f>
        <v>65</v>
      </c>
      <c r="Z685" s="14">
        <v>1</v>
      </c>
      <c r="AA685" s="1" t="str">
        <f t="shared" ca="1" si="50"/>
        <v>VENCIDO</v>
      </c>
      <c r="AB685" s="1" t="str">
        <f t="shared" si="51"/>
        <v>SL-On</v>
      </c>
      <c r="AC685" s="2" t="str">
        <f t="shared" si="54"/>
        <v xml:space="preserve"> CLEITON </v>
      </c>
      <c r="AD685" s="2">
        <f t="shared" si="52"/>
        <v>1</v>
      </c>
      <c r="AE685" s="2">
        <f t="shared" ca="1" si="53"/>
        <v>-88.991341087959881</v>
      </c>
      <c r="AF685" s="15"/>
    </row>
    <row r="686" spans="1:32" hidden="1">
      <c r="A686" s="1">
        <v>9131189</v>
      </c>
      <c r="B686" s="1" t="s">
        <v>101</v>
      </c>
      <c r="C686" t="s">
        <v>643</v>
      </c>
      <c r="D686" s="2">
        <v>220197881</v>
      </c>
      <c r="E686" s="2">
        <v>3504001400040</v>
      </c>
      <c r="F686" s="1" t="s">
        <v>644</v>
      </c>
      <c r="G686" s="1" t="s">
        <v>53</v>
      </c>
      <c r="H686" s="1" t="s">
        <v>585</v>
      </c>
      <c r="I686" s="1" t="s">
        <v>586</v>
      </c>
      <c r="J686" s="1" t="s">
        <v>46</v>
      </c>
      <c r="K686" t="s">
        <v>645</v>
      </c>
      <c r="M686" s="1" t="s">
        <v>58</v>
      </c>
      <c r="N686" s="1">
        <v>0</v>
      </c>
      <c r="O686" s="1" t="s">
        <v>105</v>
      </c>
      <c r="P686" s="186">
        <v>44896.682210648149</v>
      </c>
      <c r="R686" s="1">
        <v>3</v>
      </c>
      <c r="T686" s="1" t="s">
        <v>646</v>
      </c>
      <c r="U686" s="186">
        <v>44897.682210648149</v>
      </c>
      <c r="V686" s="1" t="s">
        <v>41</v>
      </c>
      <c r="W686" s="1" t="s">
        <v>49</v>
      </c>
      <c r="X686" s="13" t="str">
        <f>IF(RIGHT(H686,2)&lt;&gt;"00",H686,"")</f>
        <v/>
      </c>
      <c r="Y686" s="2">
        <f ca="1">NETWORKDAYS(P686,$Y$1)</f>
        <v>65</v>
      </c>
      <c r="Z686" s="14">
        <v>1</v>
      </c>
      <c r="AA686" s="1" t="str">
        <f t="shared" ca="1" si="50"/>
        <v>VENCIDO</v>
      </c>
      <c r="AB686" s="1" t="str">
        <f t="shared" si="51"/>
        <v>SL-On</v>
      </c>
      <c r="AC686" s="2" t="str">
        <f t="shared" si="54"/>
        <v xml:space="preserve"> CLEITON </v>
      </c>
      <c r="AD686" s="2">
        <f t="shared" si="52"/>
        <v>1</v>
      </c>
      <c r="AE686" s="2">
        <f t="shared" ca="1" si="53"/>
        <v>-88.994060995370091</v>
      </c>
      <c r="AF686" s="15"/>
    </row>
    <row r="687" spans="1:32" hidden="1">
      <c r="A687" s="1">
        <v>9131113</v>
      </c>
      <c r="B687" s="1" t="s">
        <v>101</v>
      </c>
      <c r="C687" t="s">
        <v>643</v>
      </c>
      <c r="D687" s="2">
        <v>220196664</v>
      </c>
      <c r="E687" s="2">
        <v>233001400040</v>
      </c>
      <c r="F687" s="1" t="s">
        <v>644</v>
      </c>
      <c r="G687" s="1" t="s">
        <v>53</v>
      </c>
      <c r="H687" s="1" t="s">
        <v>424</v>
      </c>
      <c r="I687" s="1" t="s">
        <v>425</v>
      </c>
      <c r="J687" s="1" t="s">
        <v>261</v>
      </c>
      <c r="K687" t="s">
        <v>645</v>
      </c>
      <c r="M687" s="1" t="s">
        <v>58</v>
      </c>
      <c r="N687" s="1">
        <v>0</v>
      </c>
      <c r="O687" s="1" t="s">
        <v>105</v>
      </c>
      <c r="P687" s="186">
        <v>44896.678414351853</v>
      </c>
      <c r="R687" s="1">
        <v>2</v>
      </c>
      <c r="T687" s="1" t="s">
        <v>646</v>
      </c>
      <c r="U687" s="186">
        <v>44897.678425925929</v>
      </c>
      <c r="V687" s="1" t="s">
        <v>41</v>
      </c>
      <c r="W687" s="1" t="s">
        <v>49</v>
      </c>
      <c r="X687" s="13" t="str">
        <f>IF(RIGHT(H687,2)&lt;&gt;"00",H687,"")</f>
        <v/>
      </c>
      <c r="Y687" s="2">
        <f ca="1">NETWORKDAYS(P687,$Y$1)</f>
        <v>65</v>
      </c>
      <c r="Z687" s="14">
        <v>1</v>
      </c>
      <c r="AA687" s="1" t="str">
        <f t="shared" ca="1" si="50"/>
        <v>VENCIDO</v>
      </c>
      <c r="AB687" s="1" t="str">
        <f t="shared" si="51"/>
        <v>SL-On</v>
      </c>
      <c r="AC687" s="2" t="str">
        <f t="shared" si="54"/>
        <v xml:space="preserve"> CRISTINA </v>
      </c>
      <c r="AD687" s="2">
        <f t="shared" si="52"/>
        <v>1</v>
      </c>
      <c r="AE687" s="2">
        <f t="shared" ca="1" si="53"/>
        <v>-88.997845717589371</v>
      </c>
      <c r="AF687" s="15"/>
    </row>
    <row r="688" spans="1:32" hidden="1">
      <c r="A688" s="1">
        <v>9131076</v>
      </c>
      <c r="B688" s="1" t="s">
        <v>101</v>
      </c>
      <c r="C688" t="s">
        <v>643</v>
      </c>
      <c r="D688" s="2">
        <v>220196663</v>
      </c>
      <c r="E688" s="2">
        <v>232001400040</v>
      </c>
      <c r="F688" s="1" t="s">
        <v>644</v>
      </c>
      <c r="G688" s="1" t="s">
        <v>53</v>
      </c>
      <c r="H688" s="1" t="s">
        <v>1363</v>
      </c>
      <c r="I688" s="1" t="s">
        <v>1364</v>
      </c>
      <c r="J688" s="1" t="s">
        <v>141</v>
      </c>
      <c r="K688" t="s">
        <v>645</v>
      </c>
      <c r="M688" s="1" t="s">
        <v>58</v>
      </c>
      <c r="N688" s="1">
        <v>0</v>
      </c>
      <c r="O688" s="1" t="s">
        <v>105</v>
      </c>
      <c r="P688" s="186">
        <v>44896.676157407404</v>
      </c>
      <c r="R688" s="1">
        <v>3</v>
      </c>
      <c r="T688" s="1" t="s">
        <v>646</v>
      </c>
      <c r="U688" s="186">
        <v>44897.676168981481</v>
      </c>
      <c r="V688" s="1" t="s">
        <v>41</v>
      </c>
      <c r="W688" s="1" t="s">
        <v>49</v>
      </c>
      <c r="X688" s="13" t="str">
        <f>IF(RIGHT(H688,2)&lt;&gt;"00",H688,"")</f>
        <v/>
      </c>
      <c r="Y688" s="2">
        <f ca="1">NETWORKDAYS(P688,$Y$1)</f>
        <v>65</v>
      </c>
      <c r="Z688" s="14">
        <v>1</v>
      </c>
      <c r="AA688" s="1" t="str">
        <f t="shared" ca="1" si="50"/>
        <v>VENCIDO</v>
      </c>
      <c r="AB688" s="1" t="str">
        <f t="shared" si="51"/>
        <v>SL-On</v>
      </c>
      <c r="AC688" s="2" t="str">
        <f t="shared" si="54"/>
        <v xml:space="preserve"> CRISTINA </v>
      </c>
      <c r="AD688" s="2">
        <f t="shared" si="52"/>
        <v>1</v>
      </c>
      <c r="AE688" s="2">
        <f t="shared" ca="1" si="53"/>
        <v>-89.000102662037534</v>
      </c>
      <c r="AF688" s="15"/>
    </row>
    <row r="689" spans="1:32" hidden="1">
      <c r="A689" s="1">
        <v>9131028</v>
      </c>
      <c r="B689" s="1" t="s">
        <v>101</v>
      </c>
      <c r="C689" t="s">
        <v>643</v>
      </c>
      <c r="D689" s="2">
        <v>220196655</v>
      </c>
      <c r="E689" s="2">
        <v>220001400040</v>
      </c>
      <c r="F689" s="1" t="s">
        <v>644</v>
      </c>
      <c r="G689" s="1" t="s">
        <v>53</v>
      </c>
      <c r="H689" s="1" t="s">
        <v>588</v>
      </c>
      <c r="I689" s="1" t="s">
        <v>589</v>
      </c>
      <c r="J689" s="1" t="s">
        <v>110</v>
      </c>
      <c r="K689" t="s">
        <v>645</v>
      </c>
      <c r="M689" s="1" t="s">
        <v>58</v>
      </c>
      <c r="N689" s="1">
        <v>0</v>
      </c>
      <c r="O689" s="1" t="s">
        <v>105</v>
      </c>
      <c r="P689" s="186">
        <v>44896.673981481479</v>
      </c>
      <c r="R689" s="1">
        <v>2</v>
      </c>
      <c r="T689" s="1" t="s">
        <v>646</v>
      </c>
      <c r="U689" s="186">
        <v>44897.673981481479</v>
      </c>
      <c r="V689" s="1" t="s">
        <v>41</v>
      </c>
      <c r="W689" s="1" t="s">
        <v>49</v>
      </c>
      <c r="X689" s="13" t="str">
        <f>IF(RIGHT(H689,2)&lt;&gt;"00",H689,"")</f>
        <v/>
      </c>
      <c r="Y689" s="2">
        <f ca="1">NETWORKDAYS(P689,$Y$1)</f>
        <v>65</v>
      </c>
      <c r="Z689" s="14">
        <v>1</v>
      </c>
      <c r="AA689" s="1" t="str">
        <f t="shared" ca="1" si="50"/>
        <v>VENCIDO</v>
      </c>
      <c r="AB689" s="1" t="str">
        <f t="shared" si="51"/>
        <v>SL-On</v>
      </c>
      <c r="AC689" s="2" t="str">
        <f t="shared" si="54"/>
        <v xml:space="preserve"> CRISTINA </v>
      </c>
      <c r="AD689" s="2">
        <f t="shared" si="52"/>
        <v>1</v>
      </c>
      <c r="AE689" s="2">
        <f t="shared" ca="1" si="53"/>
        <v>-89.002290162039571</v>
      </c>
      <c r="AF689" s="15"/>
    </row>
    <row r="690" spans="1:32" hidden="1">
      <c r="A690" s="1">
        <v>9131012</v>
      </c>
      <c r="B690" s="1" t="s">
        <v>101</v>
      </c>
      <c r="C690" t="s">
        <v>643</v>
      </c>
      <c r="D690" s="2">
        <v>220194569</v>
      </c>
      <c r="E690" s="2">
        <v>233001400030</v>
      </c>
      <c r="F690" s="1" t="s">
        <v>647</v>
      </c>
      <c r="G690" s="1" t="s">
        <v>53</v>
      </c>
      <c r="H690" s="1" t="s">
        <v>424</v>
      </c>
      <c r="I690" s="1" t="s">
        <v>425</v>
      </c>
      <c r="J690" s="1" t="s">
        <v>261</v>
      </c>
      <c r="K690" t="s">
        <v>650</v>
      </c>
      <c r="M690" s="1" t="s">
        <v>58</v>
      </c>
      <c r="N690" s="1">
        <v>0</v>
      </c>
      <c r="O690" s="1" t="s">
        <v>105</v>
      </c>
      <c r="P690" s="186">
        <v>44896.672835648147</v>
      </c>
      <c r="R690" s="1">
        <v>4</v>
      </c>
      <c r="T690" s="1" t="s">
        <v>646</v>
      </c>
      <c r="U690" s="186">
        <v>44897.672835648147</v>
      </c>
      <c r="V690" s="1" t="s">
        <v>41</v>
      </c>
      <c r="W690" s="1" t="s">
        <v>49</v>
      </c>
      <c r="X690" s="13" t="str">
        <f>IF(RIGHT(H690,2)&lt;&gt;"00",H690,"")</f>
        <v/>
      </c>
      <c r="Y690" s="2">
        <f ca="1">NETWORKDAYS(P690,$Y$1)</f>
        <v>65</v>
      </c>
      <c r="Z690" s="14">
        <v>1</v>
      </c>
      <c r="AA690" s="1" t="str">
        <f t="shared" ca="1" si="50"/>
        <v>VENCIDO</v>
      </c>
      <c r="AB690" s="1" t="str">
        <f t="shared" si="51"/>
        <v>C-14</v>
      </c>
      <c r="AC690" s="2" t="str">
        <f t="shared" si="54"/>
        <v xml:space="preserve"> CRISTINA </v>
      </c>
      <c r="AD690" s="2">
        <f t="shared" si="52"/>
        <v>15</v>
      </c>
      <c r="AE690" s="2">
        <f t="shared" ca="1" si="53"/>
        <v>-89.003435995371547</v>
      </c>
      <c r="AF690" s="15"/>
    </row>
    <row r="691" spans="1:32" hidden="1">
      <c r="A691" s="1">
        <v>9131002</v>
      </c>
      <c r="B691" s="1" t="s">
        <v>101</v>
      </c>
      <c r="C691" t="s">
        <v>643</v>
      </c>
      <c r="D691" s="2">
        <v>220194560</v>
      </c>
      <c r="E691" s="2">
        <v>220001400030</v>
      </c>
      <c r="F691" s="1" t="s">
        <v>647</v>
      </c>
      <c r="G691" s="1" t="s">
        <v>53</v>
      </c>
      <c r="H691" s="1" t="s">
        <v>588</v>
      </c>
      <c r="I691" s="1" t="s">
        <v>589</v>
      </c>
      <c r="J691" s="1" t="s">
        <v>110</v>
      </c>
      <c r="K691" t="s">
        <v>650</v>
      </c>
      <c r="M691" s="1" t="s">
        <v>58</v>
      </c>
      <c r="N691" s="1">
        <v>0</v>
      </c>
      <c r="O691" s="1" t="s">
        <v>105</v>
      </c>
      <c r="P691" s="186">
        <v>44896.672418981485</v>
      </c>
      <c r="R691" s="1">
        <v>4</v>
      </c>
      <c r="T691" s="1" t="s">
        <v>646</v>
      </c>
      <c r="U691" s="186">
        <v>44897.672418981485</v>
      </c>
      <c r="V691" s="1" t="s">
        <v>41</v>
      </c>
      <c r="W691" s="1" t="s">
        <v>49</v>
      </c>
      <c r="X691" s="13" t="str">
        <f>IF(RIGHT(H691,2)&lt;&gt;"00",H691,"")</f>
        <v/>
      </c>
      <c r="Y691" s="2">
        <f ca="1">NETWORKDAYS(P691,$Y$1)</f>
        <v>65</v>
      </c>
      <c r="Z691" s="14">
        <v>1</v>
      </c>
      <c r="AA691" s="1" t="str">
        <f t="shared" ca="1" si="50"/>
        <v>VENCIDO</v>
      </c>
      <c r="AB691" s="1" t="str">
        <f t="shared" si="51"/>
        <v>C-14</v>
      </c>
      <c r="AC691" s="2" t="str">
        <f t="shared" si="54"/>
        <v xml:space="preserve"> CRISTINA </v>
      </c>
      <c r="AD691" s="2">
        <f t="shared" si="52"/>
        <v>15</v>
      </c>
      <c r="AE691" s="2">
        <f t="shared" ca="1" si="53"/>
        <v>-89.003852662033751</v>
      </c>
      <c r="AF691" s="15"/>
    </row>
    <row r="692" spans="1:32" hidden="1">
      <c r="A692" s="1">
        <v>9130951</v>
      </c>
      <c r="B692" s="1" t="s">
        <v>101</v>
      </c>
      <c r="C692" t="s">
        <v>643</v>
      </c>
      <c r="D692" s="2">
        <v>220194568</v>
      </c>
      <c r="E692" s="2">
        <v>232001400030</v>
      </c>
      <c r="F692" s="1" t="s">
        <v>647</v>
      </c>
      <c r="G692" s="1" t="s">
        <v>53</v>
      </c>
      <c r="H692" s="1" t="s">
        <v>1363</v>
      </c>
      <c r="I692" s="1" t="s">
        <v>1364</v>
      </c>
      <c r="J692" s="1" t="s">
        <v>141</v>
      </c>
      <c r="K692" t="s">
        <v>650</v>
      </c>
      <c r="M692" s="1" t="s">
        <v>58</v>
      </c>
      <c r="N692" s="1">
        <v>0</v>
      </c>
      <c r="O692" s="1" t="s">
        <v>105</v>
      </c>
      <c r="P692" s="186">
        <v>44896.670624999999</v>
      </c>
      <c r="R692" s="1">
        <v>4</v>
      </c>
      <c r="T692" s="1" t="s">
        <v>646</v>
      </c>
      <c r="U692" s="186">
        <v>44897.670624999999</v>
      </c>
      <c r="V692" s="1" t="s">
        <v>41</v>
      </c>
      <c r="W692" s="1" t="s">
        <v>49</v>
      </c>
      <c r="X692" s="13" t="str">
        <f>IF(RIGHT(H692,2)&lt;&gt;"00",H692,"")</f>
        <v/>
      </c>
      <c r="Y692" s="2">
        <f ca="1">NETWORKDAYS(P692,$Y$1)</f>
        <v>65</v>
      </c>
      <c r="Z692" s="14">
        <v>1</v>
      </c>
      <c r="AA692" s="1" t="str">
        <f t="shared" ca="1" si="50"/>
        <v>VENCIDO</v>
      </c>
      <c r="AB692" s="1" t="str">
        <f t="shared" si="51"/>
        <v>C-14</v>
      </c>
      <c r="AC692" s="2" t="str">
        <f t="shared" si="54"/>
        <v xml:space="preserve"> CRISTINA </v>
      </c>
      <c r="AD692" s="2">
        <f t="shared" si="52"/>
        <v>15</v>
      </c>
      <c r="AE692" s="2">
        <f t="shared" ca="1" si="53"/>
        <v>-89.005646643519867</v>
      </c>
      <c r="AF692" s="15"/>
    </row>
    <row r="693" spans="1:32" hidden="1">
      <c r="A693" s="1">
        <v>9130904</v>
      </c>
      <c r="B693" s="1" t="s">
        <v>101</v>
      </c>
      <c r="C693" t="s">
        <v>643</v>
      </c>
      <c r="D693" s="2">
        <v>220195003</v>
      </c>
      <c r="E693" s="2">
        <v>922001400030</v>
      </c>
      <c r="F693" s="1" t="s">
        <v>647</v>
      </c>
      <c r="G693" s="1" t="s">
        <v>53</v>
      </c>
      <c r="H693" s="1" t="s">
        <v>1375</v>
      </c>
      <c r="I693" s="1" t="s">
        <v>1376</v>
      </c>
      <c r="J693" s="1" t="s">
        <v>261</v>
      </c>
      <c r="K693" t="s">
        <v>650</v>
      </c>
      <c r="M693" s="1" t="s">
        <v>58</v>
      </c>
      <c r="N693" s="1">
        <v>0</v>
      </c>
      <c r="O693" s="1" t="s">
        <v>105</v>
      </c>
      <c r="P693" s="186">
        <v>44896.668622685182</v>
      </c>
      <c r="R693" s="1">
        <v>4</v>
      </c>
      <c r="T693" s="1" t="s">
        <v>646</v>
      </c>
      <c r="U693" s="186">
        <v>44897.668622685182</v>
      </c>
      <c r="V693" s="1" t="s">
        <v>41</v>
      </c>
      <c r="W693" s="1" t="s">
        <v>49</v>
      </c>
      <c r="X693" s="13" t="str">
        <f>IF(RIGHT(H693,2)&lt;&gt;"00",H693,"")</f>
        <v/>
      </c>
      <c r="Y693" s="2">
        <f ca="1">NETWORKDAYS(P693,$Y$1)</f>
        <v>65</v>
      </c>
      <c r="Z693" s="14">
        <v>1</v>
      </c>
      <c r="AA693" s="1" t="str">
        <f t="shared" ca="1" si="50"/>
        <v>VENCIDO</v>
      </c>
      <c r="AB693" s="1" t="str">
        <f t="shared" si="51"/>
        <v>C-14</v>
      </c>
      <c r="AC693" s="2" t="str">
        <f t="shared" si="54"/>
        <v xml:space="preserve"> CRISTINA </v>
      </c>
      <c r="AD693" s="2">
        <f t="shared" si="52"/>
        <v>15</v>
      </c>
      <c r="AE693" s="2">
        <f t="shared" ca="1" si="53"/>
        <v>-89.007648958337086</v>
      </c>
      <c r="AF693" s="15"/>
    </row>
    <row r="694" spans="1:32" hidden="1">
      <c r="A694" s="1">
        <v>9130901</v>
      </c>
      <c r="B694" s="1" t="s">
        <v>101</v>
      </c>
      <c r="C694" t="s">
        <v>643</v>
      </c>
      <c r="D694" s="2">
        <v>220195001</v>
      </c>
      <c r="E694" s="2">
        <v>917001400030</v>
      </c>
      <c r="F694" s="1" t="s">
        <v>647</v>
      </c>
      <c r="G694" s="1" t="s">
        <v>53</v>
      </c>
      <c r="H694" s="1" t="s">
        <v>83</v>
      </c>
      <c r="I694" s="1" t="s">
        <v>84</v>
      </c>
      <c r="J694" s="1" t="s">
        <v>85</v>
      </c>
      <c r="K694" t="s">
        <v>650</v>
      </c>
      <c r="M694" s="1" t="s">
        <v>58</v>
      </c>
      <c r="N694" s="1">
        <v>0</v>
      </c>
      <c r="O694" s="1" t="s">
        <v>105</v>
      </c>
      <c r="P694" s="186">
        <v>44896.668437499997</v>
      </c>
      <c r="R694" s="1">
        <v>4</v>
      </c>
      <c r="T694" s="1" t="s">
        <v>646</v>
      </c>
      <c r="U694" s="186">
        <v>44897.668449074074</v>
      </c>
      <c r="V694" s="1" t="s">
        <v>41</v>
      </c>
      <c r="W694" s="1" t="s">
        <v>49</v>
      </c>
      <c r="X694" s="13" t="str">
        <f>IF(RIGHT(H694,2)&lt;&gt;"00",H694,"")</f>
        <v/>
      </c>
      <c r="Y694" s="2">
        <f ca="1">NETWORKDAYS(P694,$Y$1)</f>
        <v>65</v>
      </c>
      <c r="Z694" s="14">
        <v>1</v>
      </c>
      <c r="AA694" s="1" t="str">
        <f t="shared" ca="1" si="50"/>
        <v>VENCIDO</v>
      </c>
      <c r="AB694" s="1" t="str">
        <f t="shared" si="51"/>
        <v>C-14</v>
      </c>
      <c r="AC694" s="2" t="str">
        <f t="shared" si="54"/>
        <v xml:space="preserve"> RINALDO </v>
      </c>
      <c r="AD694" s="2">
        <f t="shared" si="52"/>
        <v>15</v>
      </c>
      <c r="AE694" s="2">
        <f t="shared" ca="1" si="53"/>
        <v>-89.007822569445125</v>
      </c>
      <c r="AF694" s="15"/>
    </row>
    <row r="695" spans="1:32" hidden="1">
      <c r="A695" s="1">
        <v>9130897</v>
      </c>
      <c r="B695" s="1" t="s">
        <v>101</v>
      </c>
      <c r="C695" t="s">
        <v>643</v>
      </c>
      <c r="D695" s="2">
        <v>220195329</v>
      </c>
      <c r="E695" s="2">
        <v>1664001400030</v>
      </c>
      <c r="F695" s="1" t="s">
        <v>647</v>
      </c>
      <c r="G695" s="1" t="s">
        <v>53</v>
      </c>
      <c r="H695" s="1" t="s">
        <v>307</v>
      </c>
      <c r="I695" s="1" t="s">
        <v>308</v>
      </c>
      <c r="J695" s="1" t="s">
        <v>164</v>
      </c>
      <c r="K695" t="s">
        <v>650</v>
      </c>
      <c r="M695" s="1" t="s">
        <v>58</v>
      </c>
      <c r="N695" s="1">
        <v>0</v>
      </c>
      <c r="O695" s="1" t="s">
        <v>105</v>
      </c>
      <c r="P695" s="186">
        <v>44896.668263888889</v>
      </c>
      <c r="R695" s="1">
        <v>4</v>
      </c>
      <c r="T695" s="1" t="s">
        <v>646</v>
      </c>
      <c r="U695" s="186">
        <v>44897.668263888889</v>
      </c>
      <c r="V695" s="1" t="s">
        <v>41</v>
      </c>
      <c r="W695" s="1" t="s">
        <v>49</v>
      </c>
      <c r="X695" s="13" t="str">
        <f>IF(RIGHT(H695,2)&lt;&gt;"00",H695,"")</f>
        <v/>
      </c>
      <c r="Y695" s="2">
        <f ca="1">NETWORKDAYS(P695,$Y$1)</f>
        <v>65</v>
      </c>
      <c r="Z695" s="14">
        <v>1</v>
      </c>
      <c r="AA695" s="1" t="str">
        <f t="shared" ca="1" si="50"/>
        <v>VENCIDO</v>
      </c>
      <c r="AB695" s="1" t="str">
        <f t="shared" si="51"/>
        <v>C-14</v>
      </c>
      <c r="AC695" s="2" t="str">
        <f t="shared" si="54"/>
        <v xml:space="preserve"> ROSEMERE </v>
      </c>
      <c r="AD695" s="2">
        <f t="shared" si="52"/>
        <v>15</v>
      </c>
      <c r="AE695" s="2">
        <f t="shared" ca="1" si="53"/>
        <v>-89.008007754629944</v>
      </c>
      <c r="AF695" s="15"/>
    </row>
    <row r="696" spans="1:32" hidden="1">
      <c r="A696" s="1">
        <v>9130892</v>
      </c>
      <c r="B696" s="1" t="s">
        <v>101</v>
      </c>
      <c r="C696" t="s">
        <v>643</v>
      </c>
      <c r="D696" s="2">
        <v>220194993</v>
      </c>
      <c r="E696" s="2">
        <v>899001400030</v>
      </c>
      <c r="F696" s="1" t="s">
        <v>647</v>
      </c>
      <c r="G696" s="1" t="s">
        <v>53</v>
      </c>
      <c r="H696" s="1" t="s">
        <v>175</v>
      </c>
      <c r="I696" s="1" t="s">
        <v>176</v>
      </c>
      <c r="J696" s="1" t="s">
        <v>90</v>
      </c>
      <c r="K696" t="s">
        <v>650</v>
      </c>
      <c r="M696" s="1" t="s">
        <v>58</v>
      </c>
      <c r="N696" s="1">
        <v>0</v>
      </c>
      <c r="O696" s="1" t="s">
        <v>36</v>
      </c>
      <c r="P696" s="186">
        <v>44896.667962962965</v>
      </c>
      <c r="R696" s="1">
        <v>4</v>
      </c>
      <c r="T696" s="1" t="s">
        <v>646</v>
      </c>
      <c r="U696" s="186">
        <v>44897.667962962965</v>
      </c>
      <c r="V696" s="1" t="s">
        <v>41</v>
      </c>
      <c r="W696" s="1" t="s">
        <v>49</v>
      </c>
      <c r="X696" s="13" t="str">
        <f>IF(RIGHT(H696,2)&lt;&gt;"00",H696,"")</f>
        <v/>
      </c>
      <c r="Y696" s="2">
        <f ca="1">NETWORKDAYS(P696,$Y$1)</f>
        <v>65</v>
      </c>
      <c r="Z696" s="14">
        <v>1</v>
      </c>
      <c r="AA696" s="1" t="str">
        <f t="shared" ca="1" si="50"/>
        <v>VENCIDO</v>
      </c>
      <c r="AB696" s="1" t="str">
        <f t="shared" si="51"/>
        <v>C-14</v>
      </c>
      <c r="AC696" s="2" t="str">
        <f t="shared" si="54"/>
        <v xml:space="preserve"> RINALDO </v>
      </c>
      <c r="AD696" s="2">
        <f t="shared" si="52"/>
        <v>15</v>
      </c>
      <c r="AE696" s="2">
        <f t="shared" ca="1" si="53"/>
        <v>-89.008308680553455</v>
      </c>
      <c r="AF696" s="15"/>
    </row>
    <row r="697" spans="1:32" hidden="1">
      <c r="A697" s="1">
        <v>9130879</v>
      </c>
      <c r="B697" s="1" t="s">
        <v>101</v>
      </c>
      <c r="C697" t="s">
        <v>643</v>
      </c>
      <c r="D697" s="2">
        <v>220195319</v>
      </c>
      <c r="E697" s="2">
        <v>1643001400030</v>
      </c>
      <c r="F697" s="1" t="s">
        <v>647</v>
      </c>
      <c r="G697" s="1" t="s">
        <v>53</v>
      </c>
      <c r="H697" s="1" t="s">
        <v>361</v>
      </c>
      <c r="I697" s="1" t="s">
        <v>362</v>
      </c>
      <c r="J697" s="1" t="s">
        <v>261</v>
      </c>
      <c r="K697" t="s">
        <v>650</v>
      </c>
      <c r="M697" s="1" t="s">
        <v>58</v>
      </c>
      <c r="N697" s="1">
        <v>0</v>
      </c>
      <c r="O697" s="1" t="s">
        <v>105</v>
      </c>
      <c r="P697" s="186">
        <v>44896.667164351849</v>
      </c>
      <c r="R697" s="1">
        <v>4</v>
      </c>
      <c r="T697" s="1" t="s">
        <v>646</v>
      </c>
      <c r="U697" s="186">
        <v>44897.667175925926</v>
      </c>
      <c r="V697" s="1" t="s">
        <v>41</v>
      </c>
      <c r="W697" s="1" t="s">
        <v>49</v>
      </c>
      <c r="X697" s="13" t="str">
        <f>IF(RIGHT(H697,2)&lt;&gt;"00",H697,"")</f>
        <v/>
      </c>
      <c r="Y697" s="2">
        <f ca="1">NETWORKDAYS(P697,$Y$1)</f>
        <v>65</v>
      </c>
      <c r="Z697" s="14">
        <v>1</v>
      </c>
      <c r="AA697" s="1" t="str">
        <f t="shared" ca="1" si="50"/>
        <v>VENCIDO</v>
      </c>
      <c r="AB697" s="1" t="str">
        <f t="shared" si="51"/>
        <v>C-14</v>
      </c>
      <c r="AC697" s="2" t="str">
        <f t="shared" si="54"/>
        <v xml:space="preserve"> CRISTINA </v>
      </c>
      <c r="AD697" s="2">
        <f t="shared" si="52"/>
        <v>15</v>
      </c>
      <c r="AE697" s="2">
        <f t="shared" ca="1" si="53"/>
        <v>-89.009095717592572</v>
      </c>
      <c r="AF697" s="15"/>
    </row>
    <row r="698" spans="1:32" hidden="1">
      <c r="A698" s="1">
        <v>9130800</v>
      </c>
      <c r="B698" s="1" t="s">
        <v>101</v>
      </c>
      <c r="C698" t="s">
        <v>643</v>
      </c>
      <c r="D698" s="2">
        <v>220194313</v>
      </c>
      <c r="E698" s="2">
        <v>5898001400010</v>
      </c>
      <c r="F698" s="1" t="s">
        <v>936</v>
      </c>
      <c r="G698" s="1" t="s">
        <v>53</v>
      </c>
      <c r="H698" s="1" t="s">
        <v>365</v>
      </c>
      <c r="I698" s="1" t="s">
        <v>366</v>
      </c>
      <c r="J698" s="1" t="s">
        <v>164</v>
      </c>
      <c r="K698" t="s">
        <v>937</v>
      </c>
      <c r="M698" s="1" t="s">
        <v>58</v>
      </c>
      <c r="N698" s="1">
        <v>0</v>
      </c>
      <c r="O698" s="1" t="s">
        <v>105</v>
      </c>
      <c r="P698" s="186">
        <v>44896.663101851853</v>
      </c>
      <c r="R698" s="1">
        <v>3</v>
      </c>
      <c r="T698" s="1" t="s">
        <v>646</v>
      </c>
      <c r="U698" s="186">
        <v>44897.663113425922</v>
      </c>
      <c r="V698" s="1" t="s">
        <v>41</v>
      </c>
      <c r="W698" s="1" t="s">
        <v>49</v>
      </c>
      <c r="X698" s="13" t="str">
        <f>IF(RIGHT(H698,2)&lt;&gt;"00",H698,"")</f>
        <v/>
      </c>
      <c r="Y698" s="2">
        <f ca="1">NETWORKDAYS(P698,$Y$1)</f>
        <v>65</v>
      </c>
      <c r="Z698" s="14">
        <v>1</v>
      </c>
      <c r="AA698" s="1" t="str">
        <f t="shared" ca="1" si="50"/>
        <v>VENCIDO</v>
      </c>
      <c r="AB698" s="1" t="str">
        <f t="shared" si="51"/>
        <v>C-14</v>
      </c>
      <c r="AC698" s="2" t="str">
        <f t="shared" si="54"/>
        <v xml:space="preserve"> ROSEMERE </v>
      </c>
      <c r="AD698" s="2">
        <f t="shared" si="52"/>
        <v>5</v>
      </c>
      <c r="AE698" s="2">
        <f t="shared" ca="1" si="53"/>
        <v>-89.013158217596356</v>
      </c>
      <c r="AF698" s="15"/>
    </row>
    <row r="699" spans="1:32" hidden="1">
      <c r="A699" s="1">
        <v>9130797</v>
      </c>
      <c r="B699" s="1" t="s">
        <v>101</v>
      </c>
      <c r="C699" t="s">
        <v>643</v>
      </c>
      <c r="D699" s="2">
        <v>220193787</v>
      </c>
      <c r="E699" s="2">
        <v>3108001400010</v>
      </c>
      <c r="F699" s="1" t="s">
        <v>936</v>
      </c>
      <c r="G699" s="1" t="s">
        <v>53</v>
      </c>
      <c r="H699" s="1" t="s">
        <v>325</v>
      </c>
      <c r="I699" s="1" t="s">
        <v>326</v>
      </c>
      <c r="J699" s="1" t="s">
        <v>46</v>
      </c>
      <c r="K699" t="s">
        <v>937</v>
      </c>
      <c r="M699" s="1" t="s">
        <v>58</v>
      </c>
      <c r="N699" s="1">
        <v>0</v>
      </c>
      <c r="O699" s="1" t="s">
        <v>105</v>
      </c>
      <c r="P699" s="186">
        <v>44896.662974537037</v>
      </c>
      <c r="R699" s="1">
        <v>3</v>
      </c>
      <c r="T699" s="1" t="s">
        <v>646</v>
      </c>
      <c r="U699" s="186">
        <v>44897.662974537037</v>
      </c>
      <c r="V699" s="1" t="s">
        <v>41</v>
      </c>
      <c r="W699" s="1" t="s">
        <v>49</v>
      </c>
      <c r="X699" s="13" t="str">
        <f>IF(RIGHT(H699,2)&lt;&gt;"00",H699,"")</f>
        <v/>
      </c>
      <c r="Y699" s="2">
        <f ca="1">NETWORKDAYS(P699,$Y$1)</f>
        <v>65</v>
      </c>
      <c r="Z699" s="14">
        <v>1</v>
      </c>
      <c r="AA699" s="1" t="str">
        <f t="shared" ca="1" si="50"/>
        <v>VENCIDO</v>
      </c>
      <c r="AB699" s="1" t="str">
        <f t="shared" si="51"/>
        <v>C-14</v>
      </c>
      <c r="AC699" s="2" t="str">
        <f t="shared" si="54"/>
        <v xml:space="preserve"> CLEITON </v>
      </c>
      <c r="AD699" s="2">
        <f t="shared" si="52"/>
        <v>5</v>
      </c>
      <c r="AE699" s="2">
        <f t="shared" ca="1" si="53"/>
        <v>-89.013297106481332</v>
      </c>
      <c r="AF699" s="15"/>
    </row>
    <row r="700" spans="1:32" hidden="1">
      <c r="A700" s="1">
        <v>9130702</v>
      </c>
      <c r="B700" s="1" t="s">
        <v>101</v>
      </c>
      <c r="C700" t="s">
        <v>643</v>
      </c>
      <c r="D700" s="2">
        <v>220197503</v>
      </c>
      <c r="E700" s="2">
        <v>2081001400040</v>
      </c>
      <c r="F700" s="1" t="s">
        <v>644</v>
      </c>
      <c r="G700" s="1" t="s">
        <v>53</v>
      </c>
      <c r="H700" s="1" t="s">
        <v>590</v>
      </c>
      <c r="I700" s="1" t="s">
        <v>591</v>
      </c>
      <c r="J700" s="1" t="s">
        <v>261</v>
      </c>
      <c r="K700" t="s">
        <v>645</v>
      </c>
      <c r="M700" s="1" t="s">
        <v>58</v>
      </c>
      <c r="N700" s="1">
        <v>0</v>
      </c>
      <c r="O700" s="1" t="s">
        <v>105</v>
      </c>
      <c r="P700" s="186">
        <v>44896.658819444441</v>
      </c>
      <c r="R700" s="1">
        <v>2</v>
      </c>
      <c r="T700" s="1" t="s">
        <v>646</v>
      </c>
      <c r="U700" s="186">
        <v>44897.658819444441</v>
      </c>
      <c r="V700" s="1" t="s">
        <v>41</v>
      </c>
      <c r="W700" s="1" t="s">
        <v>49</v>
      </c>
      <c r="X700" s="13" t="str">
        <f>IF(RIGHT(H700,2)&lt;&gt;"00",H700,"")</f>
        <v/>
      </c>
      <c r="Y700" s="2">
        <f ca="1">NETWORKDAYS(P700,$Y$1)</f>
        <v>65</v>
      </c>
      <c r="Z700" s="14">
        <v>1</v>
      </c>
      <c r="AA700" s="1" t="str">
        <f t="shared" ref="AA700:AA763" ca="1" si="55">IF(AE700=0,"HOJE",IF(AE700&gt;0,"A VENCER",IF(AE700&lt;0,"VENCIDO")))</f>
        <v>VENCIDO</v>
      </c>
      <c r="AB700" s="1" t="str">
        <f t="shared" ref="AB700:AB763" si="56">IF(F700="GRPE-000001","C-14",IF(F700="GRPE-000002","C-14",IF(F700="GRPE-000003","C-14",IF(F700="GRPE-000004","SL-On",IF(F700="GRPE-000038","C-14",IF(F700="GRPE-900022","Dosa",IF(F700="GRPE-000029","Dosa",IF(F700="ATOS-000222","Dose","TAAe+"))))))))</f>
        <v>SL-On</v>
      </c>
      <c r="AC700" s="2" t="str">
        <f t="shared" ref="AC700:AC763" si="57">IF(J700="TR-PETROLINA"," ROSEMERE ",IF(J700="TR-GARANHUNS"," ROSEMERE ",IF(J700="TR-CARUARU"," ROSEMERE ",IF(J700="TR-RIBEIRAO"," CRISTINA ",IF(J700="TR-GRAVATA"," CRISTINA ",IF(J700="TR-GOIANA"," CRISTINA ",IF(J700="TR-LIMOEIRO"," CRISTINA ",IF(J700="TR-SERRA TALHADA"," RINALDO ",IF(J700="TR-SALGUEIRO"," RINALDO ",IF(J700="TR-CARNAIBA"," RINALDO ",IF(J700="TR-ARCOVERDE"," RINALDO ",IF(J700="CAT-RECIFE"," CLEITON ",))))))))))))</f>
        <v xml:space="preserve"> CRISTINA </v>
      </c>
      <c r="AD700" s="2">
        <f t="shared" ref="AD700:AD763" si="58">IF(F700="GRPE-000001",5,IF(F700="GRPE-000002",5,IF(F700="GRPE-000003",15,IF(F700="GRPE-000004",1,IF(F700="GRPE-000038",5,IF(F700="GRPE-900022",5,IF(F700="GRPE-000029",5,IF(F700="ATOS-000222",5,8))))))))</f>
        <v>1</v>
      </c>
      <c r="AE700" s="2">
        <f t="shared" ref="AE700:AE763" ca="1" si="59">IF(U700=$AE$1,"",U700-$AE$1)</f>
        <v>-89.017452199077525</v>
      </c>
    </row>
    <row r="701" spans="1:32" hidden="1">
      <c r="A701" s="1">
        <v>9130686</v>
      </c>
      <c r="B701" s="1" t="s">
        <v>101</v>
      </c>
      <c r="C701" t="s">
        <v>643</v>
      </c>
      <c r="D701" s="2">
        <v>220197392</v>
      </c>
      <c r="E701" s="2">
        <v>1643001400040</v>
      </c>
      <c r="F701" s="1" t="s">
        <v>644</v>
      </c>
      <c r="G701" s="1" t="s">
        <v>53</v>
      </c>
      <c r="H701" s="1" t="s">
        <v>361</v>
      </c>
      <c r="I701" s="1" t="s">
        <v>362</v>
      </c>
      <c r="J701" s="1" t="s">
        <v>261</v>
      </c>
      <c r="K701" t="s">
        <v>645</v>
      </c>
      <c r="M701" s="1" t="s">
        <v>58</v>
      </c>
      <c r="N701" s="1">
        <v>0</v>
      </c>
      <c r="O701" s="1" t="s">
        <v>105</v>
      </c>
      <c r="P701" s="186">
        <v>44896.657835648148</v>
      </c>
      <c r="R701" s="1">
        <v>2</v>
      </c>
      <c r="T701" s="1" t="s">
        <v>646</v>
      </c>
      <c r="U701" s="186">
        <v>44897.657835648148</v>
      </c>
      <c r="V701" s="1" t="s">
        <v>41</v>
      </c>
      <c r="W701" s="1" t="s">
        <v>49</v>
      </c>
      <c r="X701" s="13" t="str">
        <f>IF(RIGHT(H701,2)&lt;&gt;"00",H701,"")</f>
        <v/>
      </c>
      <c r="Y701" s="2">
        <f ca="1">NETWORKDAYS(P701,$Y$1)</f>
        <v>65</v>
      </c>
      <c r="Z701" s="14">
        <v>1</v>
      </c>
      <c r="AA701" s="1" t="str">
        <f t="shared" ca="1" si="55"/>
        <v>VENCIDO</v>
      </c>
      <c r="AB701" s="1" t="str">
        <f t="shared" si="56"/>
        <v>SL-On</v>
      </c>
      <c r="AC701" s="2" t="str">
        <f t="shared" si="57"/>
        <v xml:space="preserve"> CRISTINA </v>
      </c>
      <c r="AD701" s="2">
        <f t="shared" si="58"/>
        <v>1</v>
      </c>
      <c r="AE701" s="2">
        <f t="shared" ca="1" si="59"/>
        <v>-89.018435995370965</v>
      </c>
    </row>
    <row r="702" spans="1:32" hidden="1">
      <c r="A702" s="1">
        <v>9130671</v>
      </c>
      <c r="B702" s="1" t="s">
        <v>101</v>
      </c>
      <c r="C702" t="s">
        <v>643</v>
      </c>
      <c r="D702" s="2">
        <v>220197182</v>
      </c>
      <c r="E702" s="2">
        <v>1120001400040</v>
      </c>
      <c r="F702" s="1" t="s">
        <v>644</v>
      </c>
      <c r="G702" s="1" t="s">
        <v>53</v>
      </c>
      <c r="H702" s="1" t="s">
        <v>181</v>
      </c>
      <c r="I702" s="1" t="s">
        <v>182</v>
      </c>
      <c r="J702" s="1" t="s">
        <v>164</v>
      </c>
      <c r="K702" t="s">
        <v>645</v>
      </c>
      <c r="M702" s="1" t="s">
        <v>58</v>
      </c>
      <c r="N702" s="1">
        <v>0</v>
      </c>
      <c r="O702" s="1" t="s">
        <v>105</v>
      </c>
      <c r="P702" s="186">
        <v>44896.657141203701</v>
      </c>
      <c r="R702" s="1">
        <v>2</v>
      </c>
      <c r="T702" s="1" t="s">
        <v>646</v>
      </c>
      <c r="U702" s="186">
        <v>44897.657152777778</v>
      </c>
      <c r="V702" s="1" t="s">
        <v>41</v>
      </c>
      <c r="W702" s="1" t="s">
        <v>49</v>
      </c>
      <c r="X702" s="13" t="str">
        <f>IF(RIGHT(H702,2)&lt;&gt;"00",H702,"")</f>
        <v/>
      </c>
      <c r="Y702" s="2">
        <f ca="1">NETWORKDAYS(P702,$Y$1)</f>
        <v>65</v>
      </c>
      <c r="Z702" s="14">
        <v>1</v>
      </c>
      <c r="AA702" s="1" t="str">
        <f t="shared" ca="1" si="55"/>
        <v>VENCIDO</v>
      </c>
      <c r="AB702" s="1" t="str">
        <f t="shared" si="56"/>
        <v>SL-On</v>
      </c>
      <c r="AC702" s="2" t="str">
        <f t="shared" si="57"/>
        <v xml:space="preserve"> ROSEMERE </v>
      </c>
      <c r="AD702" s="2">
        <f t="shared" si="58"/>
        <v>1</v>
      </c>
      <c r="AE702" s="2">
        <f t="shared" ca="1" si="59"/>
        <v>-89.019118865740893</v>
      </c>
    </row>
    <row r="703" spans="1:32" hidden="1">
      <c r="A703" s="1">
        <v>9130635</v>
      </c>
      <c r="B703" s="1" t="s">
        <v>101</v>
      </c>
      <c r="C703" t="s">
        <v>643</v>
      </c>
      <c r="D703" s="2">
        <v>220197154</v>
      </c>
      <c r="E703" s="2">
        <v>1069001400040</v>
      </c>
      <c r="F703" s="1" t="s">
        <v>644</v>
      </c>
      <c r="G703" s="1" t="s">
        <v>53</v>
      </c>
      <c r="H703" s="1" t="s">
        <v>353</v>
      </c>
      <c r="I703" s="1" t="s">
        <v>354</v>
      </c>
      <c r="J703" s="1" t="s">
        <v>211</v>
      </c>
      <c r="K703" t="s">
        <v>645</v>
      </c>
      <c r="M703" s="1" t="s">
        <v>58</v>
      </c>
      <c r="N703" s="1">
        <v>0</v>
      </c>
      <c r="O703" s="1" t="s">
        <v>105</v>
      </c>
      <c r="P703" s="186">
        <v>44896.655428240738</v>
      </c>
      <c r="R703" s="1">
        <v>3</v>
      </c>
      <c r="T703" s="1" t="s">
        <v>646</v>
      </c>
      <c r="U703" s="186">
        <v>44897.655428240738</v>
      </c>
      <c r="V703" s="1" t="s">
        <v>41</v>
      </c>
      <c r="W703" s="1" t="s">
        <v>49</v>
      </c>
      <c r="X703" s="13" t="str">
        <f>IF(RIGHT(H703,2)&lt;&gt;"00",H703,"")</f>
        <v/>
      </c>
      <c r="Y703" s="2">
        <f ca="1">NETWORKDAYS(P703,$Y$1)</f>
        <v>65</v>
      </c>
      <c r="Z703" s="14">
        <v>1</v>
      </c>
      <c r="AA703" s="1" t="str">
        <f t="shared" ca="1" si="55"/>
        <v>VENCIDO</v>
      </c>
      <c r="AB703" s="1" t="str">
        <f t="shared" si="56"/>
        <v>SL-On</v>
      </c>
      <c r="AC703" s="2" t="str">
        <f t="shared" si="57"/>
        <v xml:space="preserve"> RINALDO </v>
      </c>
      <c r="AD703" s="2">
        <f t="shared" si="58"/>
        <v>1</v>
      </c>
      <c r="AE703" s="2">
        <f t="shared" ca="1" si="59"/>
        <v>-89.020843402780883</v>
      </c>
    </row>
    <row r="704" spans="1:32" hidden="1">
      <c r="A704" s="1">
        <v>9130628</v>
      </c>
      <c r="B704" s="1" t="s">
        <v>101</v>
      </c>
      <c r="C704" t="s">
        <v>643</v>
      </c>
      <c r="D704" s="2">
        <v>220197147</v>
      </c>
      <c r="E704" s="2">
        <v>1049001400040</v>
      </c>
      <c r="F704" s="1" t="s">
        <v>644</v>
      </c>
      <c r="G704" s="1" t="s">
        <v>53</v>
      </c>
      <c r="H704" s="1" t="s">
        <v>169</v>
      </c>
      <c r="I704" s="1" t="s">
        <v>170</v>
      </c>
      <c r="J704" s="1" t="s">
        <v>164</v>
      </c>
      <c r="K704" t="s">
        <v>645</v>
      </c>
      <c r="M704" s="1" t="s">
        <v>58</v>
      </c>
      <c r="N704" s="1">
        <v>0</v>
      </c>
      <c r="O704" s="1" t="s">
        <v>105</v>
      </c>
      <c r="P704" s="186">
        <v>44896.655034722222</v>
      </c>
      <c r="R704" s="1">
        <v>2</v>
      </c>
      <c r="T704" s="1" t="s">
        <v>646</v>
      </c>
      <c r="U704" s="186">
        <v>44897.655046296299</v>
      </c>
      <c r="V704" s="1" t="s">
        <v>41</v>
      </c>
      <c r="W704" s="1" t="s">
        <v>49</v>
      </c>
      <c r="X704" s="13" t="str">
        <f>IF(RIGHT(H704,2)&lt;&gt;"00",H704,"")</f>
        <v/>
      </c>
      <c r="Y704" s="2">
        <f ca="1">NETWORKDAYS(P704,$Y$1)</f>
        <v>65</v>
      </c>
      <c r="Z704" s="14">
        <v>1</v>
      </c>
      <c r="AA704" s="1" t="str">
        <f t="shared" ca="1" si="55"/>
        <v>VENCIDO</v>
      </c>
      <c r="AB704" s="1" t="str">
        <f t="shared" si="56"/>
        <v>SL-On</v>
      </c>
      <c r="AC704" s="2" t="str">
        <f t="shared" si="57"/>
        <v xml:space="preserve"> ROSEMERE </v>
      </c>
      <c r="AD704" s="2">
        <f t="shared" si="58"/>
        <v>1</v>
      </c>
      <c r="AE704" s="2">
        <f t="shared" ca="1" si="59"/>
        <v>-89.021225347220025</v>
      </c>
    </row>
    <row r="705" spans="1:31" hidden="1">
      <c r="A705" s="1">
        <v>9130446</v>
      </c>
      <c r="B705" s="1" t="s">
        <v>101</v>
      </c>
      <c r="C705" t="s">
        <v>643</v>
      </c>
      <c r="D705" s="2">
        <v>220197516</v>
      </c>
      <c r="E705" s="2">
        <v>2125001400040</v>
      </c>
      <c r="F705" s="1" t="s">
        <v>644</v>
      </c>
      <c r="G705" s="1" t="s">
        <v>53</v>
      </c>
      <c r="H705" s="1" t="s">
        <v>1399</v>
      </c>
      <c r="I705" s="1" t="s">
        <v>1400</v>
      </c>
      <c r="J705" s="1" t="s">
        <v>211</v>
      </c>
      <c r="K705" t="s">
        <v>645</v>
      </c>
      <c r="M705" s="1" t="s">
        <v>58</v>
      </c>
      <c r="N705" s="1">
        <v>0</v>
      </c>
      <c r="O705" s="1" t="s">
        <v>105</v>
      </c>
      <c r="P705" s="186">
        <v>44896.646354166667</v>
      </c>
      <c r="R705" s="1">
        <v>3</v>
      </c>
      <c r="T705" s="1" t="s">
        <v>646</v>
      </c>
      <c r="U705" s="186">
        <v>44897.646354166667</v>
      </c>
      <c r="V705" s="1" t="s">
        <v>41</v>
      </c>
      <c r="W705" s="1" t="s">
        <v>49</v>
      </c>
      <c r="X705" s="13" t="str">
        <f>IF(RIGHT(H705,2)&lt;&gt;"00",H705,"")</f>
        <v/>
      </c>
      <c r="Y705" s="2">
        <f ca="1">NETWORKDAYS(P705,$Y$1)</f>
        <v>65</v>
      </c>
      <c r="Z705" s="14">
        <v>1</v>
      </c>
      <c r="AA705" s="1" t="str">
        <f t="shared" ca="1" si="55"/>
        <v>VENCIDO</v>
      </c>
      <c r="AB705" s="1" t="str">
        <f t="shared" si="56"/>
        <v>SL-On</v>
      </c>
      <c r="AC705" s="2" t="str">
        <f t="shared" si="57"/>
        <v xml:space="preserve"> RINALDO </v>
      </c>
      <c r="AD705" s="2">
        <f t="shared" si="58"/>
        <v>1</v>
      </c>
      <c r="AE705" s="2">
        <f t="shared" ca="1" si="59"/>
        <v>-89.029917476851551</v>
      </c>
    </row>
    <row r="706" spans="1:31" hidden="1">
      <c r="A706" s="1">
        <v>9130242</v>
      </c>
      <c r="B706" s="1" t="s">
        <v>101</v>
      </c>
      <c r="C706" t="s">
        <v>643</v>
      </c>
      <c r="D706" s="2">
        <v>220195741</v>
      </c>
      <c r="E706" s="2">
        <v>3243001400030</v>
      </c>
      <c r="F706" s="1" t="s">
        <v>647</v>
      </c>
      <c r="G706" s="1" t="s">
        <v>53</v>
      </c>
      <c r="H706" s="1" t="s">
        <v>282</v>
      </c>
      <c r="I706" s="1" t="s">
        <v>283</v>
      </c>
      <c r="J706" s="1" t="s">
        <v>46</v>
      </c>
      <c r="K706" t="s">
        <v>650</v>
      </c>
      <c r="M706" s="1" t="s">
        <v>58</v>
      </c>
      <c r="N706" s="1">
        <v>0</v>
      </c>
      <c r="O706" s="1" t="s">
        <v>105</v>
      </c>
      <c r="P706" s="186">
        <v>44896.636863425927</v>
      </c>
      <c r="R706" s="1">
        <v>4</v>
      </c>
      <c r="T706" s="1" t="s">
        <v>646</v>
      </c>
      <c r="U706" s="186">
        <v>44897.636863425927</v>
      </c>
      <c r="V706" s="1" t="s">
        <v>41</v>
      </c>
      <c r="W706" s="1" t="s">
        <v>49</v>
      </c>
      <c r="X706" s="13" t="str">
        <f>IF(RIGHT(H706,2)&lt;&gt;"00",H706,"")</f>
        <v/>
      </c>
      <c r="Y706" s="2">
        <f ca="1">NETWORKDAYS(P706,$Y$1)</f>
        <v>65</v>
      </c>
      <c r="Z706" s="14">
        <v>1</v>
      </c>
      <c r="AA706" s="1" t="str">
        <f t="shared" ca="1" si="55"/>
        <v>VENCIDO</v>
      </c>
      <c r="AB706" s="1" t="str">
        <f t="shared" si="56"/>
        <v>C-14</v>
      </c>
      <c r="AC706" s="2" t="str">
        <f t="shared" si="57"/>
        <v xml:space="preserve"> CLEITON </v>
      </c>
      <c r="AD706" s="2">
        <f t="shared" si="58"/>
        <v>15</v>
      </c>
      <c r="AE706" s="2">
        <f t="shared" ca="1" si="59"/>
        <v>-89.039408217591699</v>
      </c>
    </row>
    <row r="707" spans="1:31" hidden="1">
      <c r="A707" s="1">
        <v>9130123</v>
      </c>
      <c r="B707" s="1" t="s">
        <v>101</v>
      </c>
      <c r="C707" t="s">
        <v>643</v>
      </c>
      <c r="D707" s="2">
        <v>220194957</v>
      </c>
      <c r="E707" s="2">
        <v>834001400030</v>
      </c>
      <c r="F707" s="1" t="s">
        <v>647</v>
      </c>
      <c r="G707" s="1" t="s">
        <v>53</v>
      </c>
      <c r="H707" s="1" t="s">
        <v>367</v>
      </c>
      <c r="I707" s="1" t="s">
        <v>368</v>
      </c>
      <c r="J707" s="1" t="s">
        <v>261</v>
      </c>
      <c r="K707" t="s">
        <v>650</v>
      </c>
      <c r="M707" s="1" t="s">
        <v>58</v>
      </c>
      <c r="N707" s="1">
        <v>0</v>
      </c>
      <c r="O707" s="1" t="s">
        <v>105</v>
      </c>
      <c r="P707" s="186">
        <v>44896.630219907405</v>
      </c>
      <c r="R707" s="1">
        <v>4</v>
      </c>
      <c r="T707" s="1" t="s">
        <v>646</v>
      </c>
      <c r="U707" s="186">
        <v>44897.630219907405</v>
      </c>
      <c r="V707" s="1" t="s">
        <v>41</v>
      </c>
      <c r="W707" s="1" t="s">
        <v>49</v>
      </c>
      <c r="X707" s="13" t="str">
        <f>IF(RIGHT(H707,2)&lt;&gt;"00",H707,"")</f>
        <v/>
      </c>
      <c r="Y707" s="2">
        <f ca="1">NETWORKDAYS(P707,$Y$1)</f>
        <v>65</v>
      </c>
      <c r="Z707" s="14">
        <v>1</v>
      </c>
      <c r="AA707" s="1" t="str">
        <f t="shared" ca="1" si="55"/>
        <v>VENCIDO</v>
      </c>
      <c r="AB707" s="1" t="str">
        <f t="shared" si="56"/>
        <v>C-14</v>
      </c>
      <c r="AC707" s="2" t="str">
        <f t="shared" si="57"/>
        <v xml:space="preserve"> CRISTINA </v>
      </c>
      <c r="AD707" s="2">
        <f t="shared" si="58"/>
        <v>15</v>
      </c>
      <c r="AE707" s="2">
        <f t="shared" ca="1" si="59"/>
        <v>-89.046051736113441</v>
      </c>
    </row>
    <row r="708" spans="1:31" hidden="1">
      <c r="A708" s="1">
        <v>9130118</v>
      </c>
      <c r="B708" s="1" t="s">
        <v>101</v>
      </c>
      <c r="C708" t="s">
        <v>643</v>
      </c>
      <c r="D708" s="2">
        <v>220194952</v>
      </c>
      <c r="E708" s="2">
        <v>821001400030</v>
      </c>
      <c r="F708" s="1" t="s">
        <v>647</v>
      </c>
      <c r="G708" s="1" t="s">
        <v>53</v>
      </c>
      <c r="H708" s="1" t="s">
        <v>1351</v>
      </c>
      <c r="I708" s="1" t="s">
        <v>1352</v>
      </c>
      <c r="J708" s="1" t="s">
        <v>46</v>
      </c>
      <c r="K708" t="s">
        <v>650</v>
      </c>
      <c r="M708" s="1" t="s">
        <v>58</v>
      </c>
      <c r="N708" s="1">
        <v>0</v>
      </c>
      <c r="O708" s="1" t="s">
        <v>105</v>
      </c>
      <c r="P708" s="186">
        <v>44896.629907407405</v>
      </c>
      <c r="R708" s="1">
        <v>4</v>
      </c>
      <c r="T708" s="1" t="s">
        <v>646</v>
      </c>
      <c r="U708" s="186">
        <v>44897.629907407405</v>
      </c>
      <c r="V708" s="1" t="s">
        <v>41</v>
      </c>
      <c r="W708" s="1" t="s">
        <v>49</v>
      </c>
      <c r="X708" s="13" t="str">
        <f>IF(RIGHT(H708,2)&lt;&gt;"00",H708,"")</f>
        <v/>
      </c>
      <c r="Y708" s="2">
        <f ca="1">NETWORKDAYS(P708,$Y$1)</f>
        <v>65</v>
      </c>
      <c r="Z708" s="14">
        <v>1</v>
      </c>
      <c r="AA708" s="1" t="str">
        <f t="shared" ca="1" si="55"/>
        <v>VENCIDO</v>
      </c>
      <c r="AB708" s="1" t="str">
        <f t="shared" si="56"/>
        <v>C-14</v>
      </c>
      <c r="AC708" s="2" t="str">
        <f t="shared" si="57"/>
        <v xml:space="preserve"> CLEITON </v>
      </c>
      <c r="AD708" s="2">
        <f t="shared" si="58"/>
        <v>15</v>
      </c>
      <c r="AE708" s="2">
        <f t="shared" ca="1" si="59"/>
        <v>-89.046364236113732</v>
      </c>
    </row>
    <row r="709" spans="1:31" hidden="1">
      <c r="A709" s="1">
        <v>9130071</v>
      </c>
      <c r="B709" s="1" t="s">
        <v>101</v>
      </c>
      <c r="C709" t="s">
        <v>643</v>
      </c>
      <c r="D709" s="2">
        <v>220194820</v>
      </c>
      <c r="E709" s="2">
        <v>608001400030</v>
      </c>
      <c r="F709" s="1" t="s">
        <v>647</v>
      </c>
      <c r="G709" s="1" t="s">
        <v>53</v>
      </c>
      <c r="H709" s="1" t="s">
        <v>438</v>
      </c>
      <c r="I709" s="1" t="s">
        <v>439</v>
      </c>
      <c r="J709" s="1" t="s">
        <v>148</v>
      </c>
      <c r="K709" t="s">
        <v>650</v>
      </c>
      <c r="M709" s="1" t="s">
        <v>58</v>
      </c>
      <c r="N709" s="1">
        <v>0</v>
      </c>
      <c r="O709" s="1" t="s">
        <v>105</v>
      </c>
      <c r="P709" s="186">
        <v>44896.627546296295</v>
      </c>
      <c r="R709" s="1">
        <v>4</v>
      </c>
      <c r="T709" s="1" t="s">
        <v>646</v>
      </c>
      <c r="U709" s="186">
        <v>44897.627557870372</v>
      </c>
      <c r="V709" s="1" t="s">
        <v>41</v>
      </c>
      <c r="W709" s="1" t="s">
        <v>49</v>
      </c>
      <c r="X709" s="13" t="str">
        <f>IF(RIGHT(H709,2)&lt;&gt;"00",H709,"")</f>
        <v/>
      </c>
      <c r="Y709" s="2">
        <f ca="1">NETWORKDAYS(P709,$Y$1)</f>
        <v>65</v>
      </c>
      <c r="Z709" s="14">
        <v>1</v>
      </c>
      <c r="AA709" s="1" t="str">
        <f t="shared" ca="1" si="55"/>
        <v>VENCIDO</v>
      </c>
      <c r="AB709" s="1" t="str">
        <f t="shared" si="56"/>
        <v>C-14</v>
      </c>
      <c r="AC709" s="2" t="str">
        <f t="shared" si="57"/>
        <v xml:space="preserve"> RINALDO </v>
      </c>
      <c r="AD709" s="2">
        <f t="shared" si="58"/>
        <v>15</v>
      </c>
      <c r="AE709" s="2">
        <f t="shared" ca="1" si="59"/>
        <v>-89.048713773147028</v>
      </c>
    </row>
    <row r="710" spans="1:31" hidden="1">
      <c r="A710" s="1">
        <v>9129981</v>
      </c>
      <c r="B710" s="1" t="s">
        <v>101</v>
      </c>
      <c r="C710" t="s">
        <v>643</v>
      </c>
      <c r="D710" s="2">
        <v>220194118</v>
      </c>
      <c r="E710" s="2">
        <v>4637001400010</v>
      </c>
      <c r="F710" s="1" t="s">
        <v>936</v>
      </c>
      <c r="G710" s="1" t="s">
        <v>53</v>
      </c>
      <c r="H710" s="1" t="s">
        <v>848</v>
      </c>
      <c r="I710" s="1" t="s">
        <v>849</v>
      </c>
      <c r="J710" s="1" t="s">
        <v>79</v>
      </c>
      <c r="K710" t="s">
        <v>937</v>
      </c>
      <c r="M710" s="1" t="s">
        <v>58</v>
      </c>
      <c r="N710" s="1">
        <v>0</v>
      </c>
      <c r="O710" s="1" t="s">
        <v>105</v>
      </c>
      <c r="P710" s="186">
        <v>44896.623657407406</v>
      </c>
      <c r="R710" s="1">
        <v>3</v>
      </c>
      <c r="T710" s="1" t="s">
        <v>646</v>
      </c>
      <c r="U710" s="186">
        <v>44897.623657407406</v>
      </c>
      <c r="V710" s="1" t="s">
        <v>41</v>
      </c>
      <c r="W710" s="1" t="s">
        <v>49</v>
      </c>
      <c r="X710" s="13" t="str">
        <f>IF(RIGHT(H710,2)&lt;&gt;"00",H710,"")</f>
        <v/>
      </c>
      <c r="Y710" s="2">
        <f ca="1">NETWORKDAYS(P710,$Y$1)</f>
        <v>65</v>
      </c>
      <c r="Z710" s="14">
        <v>1</v>
      </c>
      <c r="AA710" s="1" t="str">
        <f t="shared" ca="1" si="55"/>
        <v>VENCIDO</v>
      </c>
      <c r="AB710" s="1" t="str">
        <f t="shared" si="56"/>
        <v>C-14</v>
      </c>
      <c r="AC710" s="2" t="str">
        <f t="shared" si="57"/>
        <v xml:space="preserve"> ROSEMERE </v>
      </c>
      <c r="AD710" s="2">
        <f t="shared" si="58"/>
        <v>5</v>
      </c>
      <c r="AE710" s="2">
        <f t="shared" ca="1" si="59"/>
        <v>-89.052614236112277</v>
      </c>
    </row>
    <row r="711" spans="1:31" hidden="1">
      <c r="A711" s="1">
        <v>9129978</v>
      </c>
      <c r="B711" s="1" t="s">
        <v>101</v>
      </c>
      <c r="C711" t="s">
        <v>643</v>
      </c>
      <c r="D711" s="2">
        <v>220194116</v>
      </c>
      <c r="E711" s="2">
        <v>4623001400010</v>
      </c>
      <c r="F711" s="1" t="s">
        <v>936</v>
      </c>
      <c r="G711" s="1" t="s">
        <v>53</v>
      </c>
      <c r="H711" s="1" t="s">
        <v>669</v>
      </c>
      <c r="I711" s="1" t="s">
        <v>670</v>
      </c>
      <c r="J711" s="1" t="s">
        <v>33</v>
      </c>
      <c r="K711" t="s">
        <v>937</v>
      </c>
      <c r="M711" s="1" t="s">
        <v>58</v>
      </c>
      <c r="N711" s="1">
        <v>0</v>
      </c>
      <c r="O711" s="1" t="s">
        <v>105</v>
      </c>
      <c r="P711" s="186">
        <v>44896.623541666668</v>
      </c>
      <c r="R711" s="1">
        <v>3</v>
      </c>
      <c r="T711" s="1" t="s">
        <v>646</v>
      </c>
      <c r="U711" s="186">
        <v>44897.623541666668</v>
      </c>
      <c r="V711" s="1" t="s">
        <v>41</v>
      </c>
      <c r="W711" s="1" t="s">
        <v>42</v>
      </c>
      <c r="X711" s="13" t="str">
        <f>IF(RIGHT(H711,2)&lt;&gt;"00",H711,"")</f>
        <v/>
      </c>
      <c r="Y711" s="2">
        <f ca="1">NETWORKDAYS(P711,$Y$1)</f>
        <v>65</v>
      </c>
      <c r="Z711" s="14">
        <v>1</v>
      </c>
      <c r="AA711" s="1" t="str">
        <f t="shared" ca="1" si="55"/>
        <v>VENCIDO</v>
      </c>
      <c r="AB711" s="1" t="str">
        <f t="shared" si="56"/>
        <v>C-14</v>
      </c>
      <c r="AC711" s="2" t="str">
        <f t="shared" si="57"/>
        <v xml:space="preserve"> ROSEMERE </v>
      </c>
      <c r="AD711" s="2">
        <f t="shared" si="58"/>
        <v>5</v>
      </c>
      <c r="AE711" s="2">
        <f t="shared" ca="1" si="59"/>
        <v>-89.052729976850969</v>
      </c>
    </row>
    <row r="712" spans="1:31" hidden="1">
      <c r="A712" s="1">
        <v>9129941</v>
      </c>
      <c r="B712" s="1" t="s">
        <v>101</v>
      </c>
      <c r="C712" t="s">
        <v>643</v>
      </c>
      <c r="D712" s="2">
        <v>220194187</v>
      </c>
      <c r="E712" s="2">
        <v>4997001400010</v>
      </c>
      <c r="F712" s="1" t="s">
        <v>936</v>
      </c>
      <c r="G712" s="1" t="s">
        <v>53</v>
      </c>
      <c r="H712" s="1" t="s">
        <v>406</v>
      </c>
      <c r="I712" s="1" t="s">
        <v>407</v>
      </c>
      <c r="J712" s="1" t="s">
        <v>79</v>
      </c>
      <c r="K712" t="s">
        <v>937</v>
      </c>
      <c r="M712" s="1" t="s">
        <v>58</v>
      </c>
      <c r="N712" s="1">
        <v>0</v>
      </c>
      <c r="O712" s="1" t="s">
        <v>105</v>
      </c>
      <c r="P712" s="186">
        <v>44896.621840277781</v>
      </c>
      <c r="R712" s="1">
        <v>3</v>
      </c>
      <c r="T712" s="1" t="s">
        <v>646</v>
      </c>
      <c r="U712" s="186">
        <v>44897.621840277781</v>
      </c>
      <c r="V712" s="1" t="s">
        <v>41</v>
      </c>
      <c r="W712" s="1" t="s">
        <v>49</v>
      </c>
      <c r="X712" s="13" t="str">
        <f>IF(RIGHT(H712,2)&lt;&gt;"00",H712,"")</f>
        <v/>
      </c>
      <c r="Y712" s="2">
        <f ca="1">NETWORKDAYS(P712,$Y$1)</f>
        <v>65</v>
      </c>
      <c r="Z712" s="14">
        <v>1</v>
      </c>
      <c r="AA712" s="1" t="str">
        <f t="shared" ca="1" si="55"/>
        <v>VENCIDO</v>
      </c>
      <c r="AB712" s="1" t="str">
        <f t="shared" si="56"/>
        <v>C-14</v>
      </c>
      <c r="AC712" s="2" t="str">
        <f t="shared" si="57"/>
        <v xml:space="preserve"> ROSEMERE </v>
      </c>
      <c r="AD712" s="2">
        <f t="shared" si="58"/>
        <v>5</v>
      </c>
      <c r="AE712" s="2">
        <f t="shared" ca="1" si="59"/>
        <v>-89.0544313657374</v>
      </c>
    </row>
    <row r="713" spans="1:31" hidden="1">
      <c r="A713" s="1">
        <v>9129868</v>
      </c>
      <c r="B713" s="1" t="s">
        <v>101</v>
      </c>
      <c r="C713" t="s">
        <v>643</v>
      </c>
      <c r="D713" s="2">
        <v>220193412</v>
      </c>
      <c r="E713" s="2">
        <v>1643001400010</v>
      </c>
      <c r="F713" s="1" t="s">
        <v>936</v>
      </c>
      <c r="G713" s="1" t="s">
        <v>53</v>
      </c>
      <c r="H713" s="1" t="s">
        <v>361</v>
      </c>
      <c r="I713" s="1" t="s">
        <v>362</v>
      </c>
      <c r="J713" s="1" t="s">
        <v>261</v>
      </c>
      <c r="K713" t="s">
        <v>937</v>
      </c>
      <c r="M713" s="1" t="s">
        <v>58</v>
      </c>
      <c r="N713" s="1">
        <v>0</v>
      </c>
      <c r="O713" s="1" t="s">
        <v>105</v>
      </c>
      <c r="P713" s="186">
        <v>44896.618703703702</v>
      </c>
      <c r="R713" s="1">
        <v>3</v>
      </c>
      <c r="T713" s="1" t="s">
        <v>646</v>
      </c>
      <c r="U713" s="186">
        <v>44897.618703703702</v>
      </c>
      <c r="V713" s="1" t="s">
        <v>41</v>
      </c>
      <c r="W713" s="1" t="s">
        <v>49</v>
      </c>
      <c r="X713" s="13" t="str">
        <f>IF(RIGHT(H713,2)&lt;&gt;"00",H713,"")</f>
        <v/>
      </c>
      <c r="Y713" s="2">
        <f ca="1">NETWORKDAYS(P713,$Y$1)</f>
        <v>65</v>
      </c>
      <c r="Z713" s="14">
        <v>1</v>
      </c>
      <c r="AA713" s="1" t="str">
        <f t="shared" ca="1" si="55"/>
        <v>VENCIDO</v>
      </c>
      <c r="AB713" s="1" t="str">
        <f t="shared" si="56"/>
        <v>C-14</v>
      </c>
      <c r="AC713" s="2" t="str">
        <f t="shared" si="57"/>
        <v xml:space="preserve"> CRISTINA </v>
      </c>
      <c r="AD713" s="2">
        <f t="shared" si="58"/>
        <v>5</v>
      </c>
      <c r="AE713" s="2">
        <f t="shared" ca="1" si="59"/>
        <v>-89.057567939817091</v>
      </c>
    </row>
    <row r="714" spans="1:31" hidden="1">
      <c r="A714" s="1">
        <v>9129798</v>
      </c>
      <c r="B714" s="1" t="s">
        <v>101</v>
      </c>
      <c r="C714" t="s">
        <v>643</v>
      </c>
      <c r="D714" s="2">
        <v>220193269</v>
      </c>
      <c r="E714" s="2">
        <v>1264001400010</v>
      </c>
      <c r="F714" s="1" t="s">
        <v>936</v>
      </c>
      <c r="G714" s="1" t="s">
        <v>53</v>
      </c>
      <c r="H714" s="1" t="s">
        <v>351</v>
      </c>
      <c r="I714" s="1" t="s">
        <v>352</v>
      </c>
      <c r="J714" s="1" t="s">
        <v>110</v>
      </c>
      <c r="K714" t="s">
        <v>937</v>
      </c>
      <c r="M714" s="1" t="s">
        <v>58</v>
      </c>
      <c r="N714" s="1">
        <v>0</v>
      </c>
      <c r="O714" s="1" t="s">
        <v>105</v>
      </c>
      <c r="P714" s="186">
        <v>44896.615624999999</v>
      </c>
      <c r="R714" s="1">
        <v>3</v>
      </c>
      <c r="T714" s="1" t="s">
        <v>646</v>
      </c>
      <c r="U714" s="186">
        <v>44897.615624999999</v>
      </c>
      <c r="V714" s="1" t="s">
        <v>41</v>
      </c>
      <c r="W714" s="1" t="s">
        <v>49</v>
      </c>
      <c r="X714" s="13" t="str">
        <f>IF(RIGHT(H714,2)&lt;&gt;"00",H714,"")</f>
        <v/>
      </c>
      <c r="Y714" s="2">
        <f ca="1">NETWORKDAYS(P714,$Y$1)</f>
        <v>65</v>
      </c>
      <c r="Z714" s="14">
        <v>1</v>
      </c>
      <c r="AA714" s="1" t="str">
        <f t="shared" ca="1" si="55"/>
        <v>VENCIDO</v>
      </c>
      <c r="AB714" s="1" t="str">
        <f t="shared" si="56"/>
        <v>C-14</v>
      </c>
      <c r="AC714" s="2" t="str">
        <f t="shared" si="57"/>
        <v xml:space="preserve"> CRISTINA </v>
      </c>
      <c r="AD714" s="2">
        <f t="shared" si="58"/>
        <v>5</v>
      </c>
      <c r="AE714" s="2">
        <f t="shared" ca="1" si="59"/>
        <v>-89.060646643520158</v>
      </c>
    </row>
    <row r="715" spans="1:31" hidden="1">
      <c r="A715" s="1">
        <v>9129788</v>
      </c>
      <c r="B715" s="1" t="s">
        <v>101</v>
      </c>
      <c r="C715" t="s">
        <v>643</v>
      </c>
      <c r="D715" s="2">
        <v>220193262</v>
      </c>
      <c r="E715" s="2">
        <v>1245001400010</v>
      </c>
      <c r="F715" s="1" t="s">
        <v>936</v>
      </c>
      <c r="G715" s="1" t="s">
        <v>53</v>
      </c>
      <c r="H715" s="1" t="s">
        <v>408</v>
      </c>
      <c r="I715" s="1" t="s">
        <v>409</v>
      </c>
      <c r="J715" s="1" t="s">
        <v>46</v>
      </c>
      <c r="K715" t="s">
        <v>937</v>
      </c>
      <c r="M715" s="1" t="s">
        <v>58</v>
      </c>
      <c r="N715" s="1">
        <v>0</v>
      </c>
      <c r="O715" s="1" t="s">
        <v>105</v>
      </c>
      <c r="P715" s="186">
        <v>44896.61519675926</v>
      </c>
      <c r="R715" s="1">
        <v>3</v>
      </c>
      <c r="T715" s="1" t="s">
        <v>646</v>
      </c>
      <c r="U715" s="186">
        <v>44897.61519675926</v>
      </c>
      <c r="V715" s="1" t="s">
        <v>41</v>
      </c>
      <c r="W715" s="1" t="s">
        <v>49</v>
      </c>
      <c r="X715" s="13" t="str">
        <f>IF(RIGHT(H715,2)&lt;&gt;"00",H715,"")</f>
        <v/>
      </c>
      <c r="Y715" s="2">
        <f ca="1">NETWORKDAYS(P715,$Y$1)</f>
        <v>65</v>
      </c>
      <c r="Z715" s="14">
        <v>1</v>
      </c>
      <c r="AA715" s="1" t="str">
        <f t="shared" ca="1" si="55"/>
        <v>VENCIDO</v>
      </c>
      <c r="AB715" s="1" t="str">
        <f t="shared" si="56"/>
        <v>C-14</v>
      </c>
      <c r="AC715" s="2" t="str">
        <f t="shared" si="57"/>
        <v xml:space="preserve"> CLEITON </v>
      </c>
      <c r="AD715" s="2">
        <f t="shared" si="58"/>
        <v>5</v>
      </c>
      <c r="AE715" s="2">
        <f t="shared" ca="1" si="59"/>
        <v>-89.061074884259142</v>
      </c>
    </row>
    <row r="716" spans="1:31" hidden="1">
      <c r="A716" s="1">
        <v>9129743</v>
      </c>
      <c r="B716" s="1" t="s">
        <v>101</v>
      </c>
      <c r="C716" t="s">
        <v>643</v>
      </c>
      <c r="D716" s="2">
        <v>220193731</v>
      </c>
      <c r="E716" s="2">
        <v>2855001400010</v>
      </c>
      <c r="F716" s="1" t="s">
        <v>936</v>
      </c>
      <c r="G716" s="1" t="s">
        <v>53</v>
      </c>
      <c r="H716" s="1" t="s">
        <v>249</v>
      </c>
      <c r="I716" s="1" t="s">
        <v>250</v>
      </c>
      <c r="J716" s="1" t="s">
        <v>56</v>
      </c>
      <c r="K716" t="s">
        <v>937</v>
      </c>
      <c r="M716" s="1" t="s">
        <v>58</v>
      </c>
      <c r="N716" s="1">
        <v>0</v>
      </c>
      <c r="O716" s="1" t="s">
        <v>105</v>
      </c>
      <c r="P716" s="186">
        <v>44896.61341435185</v>
      </c>
      <c r="R716" s="1">
        <v>3</v>
      </c>
      <c r="T716" s="1" t="s">
        <v>646</v>
      </c>
      <c r="U716" s="186">
        <v>44897.61341435185</v>
      </c>
      <c r="V716" s="1" t="s">
        <v>41</v>
      </c>
      <c r="W716" s="1" t="s">
        <v>49</v>
      </c>
      <c r="X716" s="13" t="str">
        <f>IF(RIGHT(H716,2)&lt;&gt;"00",H716,"")</f>
        <v/>
      </c>
      <c r="Y716" s="2">
        <f ca="1">NETWORKDAYS(P716,$Y$1)</f>
        <v>65</v>
      </c>
      <c r="Z716" s="14">
        <v>1</v>
      </c>
      <c r="AA716" s="1" t="str">
        <f t="shared" ca="1" si="55"/>
        <v>VENCIDO</v>
      </c>
      <c r="AB716" s="1" t="str">
        <f t="shared" si="56"/>
        <v>C-14</v>
      </c>
      <c r="AC716" s="2" t="str">
        <f t="shared" si="57"/>
        <v xml:space="preserve"> CRISTINA </v>
      </c>
      <c r="AD716" s="2">
        <f t="shared" si="58"/>
        <v>5</v>
      </c>
      <c r="AE716" s="2">
        <f t="shared" ca="1" si="59"/>
        <v>-89.062857291668479</v>
      </c>
    </row>
    <row r="717" spans="1:31" hidden="1">
      <c r="A717" s="1">
        <v>9129736</v>
      </c>
      <c r="B717" s="1" t="s">
        <v>101</v>
      </c>
      <c r="C717" t="s">
        <v>643</v>
      </c>
      <c r="D717" s="2">
        <v>220193724</v>
      </c>
      <c r="E717" s="2">
        <v>2830001400010</v>
      </c>
      <c r="F717" s="1" t="s">
        <v>936</v>
      </c>
      <c r="G717" s="1" t="s">
        <v>53</v>
      </c>
      <c r="H717" s="1" t="s">
        <v>448</v>
      </c>
      <c r="I717" s="1" t="s">
        <v>449</v>
      </c>
      <c r="J717" s="1" t="s">
        <v>33</v>
      </c>
      <c r="K717" t="s">
        <v>937</v>
      </c>
      <c r="M717" s="1" t="s">
        <v>58</v>
      </c>
      <c r="N717" s="1">
        <v>0</v>
      </c>
      <c r="O717" s="1" t="s">
        <v>105</v>
      </c>
      <c r="P717" s="186">
        <v>44896.613055555557</v>
      </c>
      <c r="R717" s="1">
        <v>3</v>
      </c>
      <c r="T717" s="1" t="s">
        <v>646</v>
      </c>
      <c r="U717" s="186">
        <v>44897.613055555557</v>
      </c>
      <c r="V717" s="1" t="s">
        <v>41</v>
      </c>
      <c r="W717" s="1" t="s">
        <v>42</v>
      </c>
      <c r="X717" s="13" t="str">
        <f>IF(RIGHT(H717,2)&lt;&gt;"00",H717,"")</f>
        <v/>
      </c>
      <c r="Y717" s="2">
        <f ca="1">NETWORKDAYS(P717,$Y$1)</f>
        <v>65</v>
      </c>
      <c r="Z717" s="14">
        <v>1</v>
      </c>
      <c r="AA717" s="1" t="str">
        <f t="shared" ca="1" si="55"/>
        <v>VENCIDO</v>
      </c>
      <c r="AB717" s="1" t="str">
        <f t="shared" si="56"/>
        <v>C-14</v>
      </c>
      <c r="AC717" s="2" t="str">
        <f t="shared" si="57"/>
        <v xml:space="preserve"> ROSEMERE </v>
      </c>
      <c r="AD717" s="2">
        <f t="shared" si="58"/>
        <v>5</v>
      </c>
      <c r="AE717" s="2">
        <f t="shared" ca="1" si="59"/>
        <v>-89.063216087961337</v>
      </c>
    </row>
    <row r="718" spans="1:31" hidden="1">
      <c r="A718" s="1">
        <v>9129707</v>
      </c>
      <c r="B718" s="1" t="s">
        <v>101</v>
      </c>
      <c r="C718" t="s">
        <v>643</v>
      </c>
      <c r="D718" s="2">
        <v>220193132</v>
      </c>
      <c r="E718" s="2">
        <v>981001400010</v>
      </c>
      <c r="F718" s="1" t="s">
        <v>936</v>
      </c>
      <c r="G718" s="1" t="s">
        <v>53</v>
      </c>
      <c r="H718" s="1" t="s">
        <v>410</v>
      </c>
      <c r="I718" s="1" t="s">
        <v>411</v>
      </c>
      <c r="J718" s="1" t="s">
        <v>85</v>
      </c>
      <c r="K718" t="s">
        <v>937</v>
      </c>
      <c r="M718" s="1" t="s">
        <v>58</v>
      </c>
      <c r="N718" s="1">
        <v>0</v>
      </c>
      <c r="O718" s="1" t="s">
        <v>105</v>
      </c>
      <c r="P718" s="186">
        <v>44896.611238425925</v>
      </c>
      <c r="R718" s="1">
        <v>3</v>
      </c>
      <c r="T718" s="1" t="s">
        <v>646</v>
      </c>
      <c r="U718" s="186">
        <v>44897.611238425925</v>
      </c>
      <c r="V718" s="1" t="s">
        <v>41</v>
      </c>
      <c r="W718" s="1" t="s">
        <v>49</v>
      </c>
      <c r="X718" s="13" t="str">
        <f>IF(RIGHT(H718,2)&lt;&gt;"00",H718,"")</f>
        <v/>
      </c>
      <c r="Y718" s="2">
        <f ca="1">NETWORKDAYS(P718,$Y$1)</f>
        <v>65</v>
      </c>
      <c r="Z718" s="14">
        <v>1</v>
      </c>
      <c r="AA718" s="1" t="str">
        <f t="shared" ca="1" si="55"/>
        <v>VENCIDO</v>
      </c>
      <c r="AB718" s="1" t="str">
        <f t="shared" si="56"/>
        <v>C-14</v>
      </c>
      <c r="AC718" s="2" t="str">
        <f t="shared" si="57"/>
        <v xml:space="preserve"> RINALDO </v>
      </c>
      <c r="AD718" s="2">
        <f t="shared" si="58"/>
        <v>5</v>
      </c>
      <c r="AE718" s="2">
        <f t="shared" ca="1" si="59"/>
        <v>-89.065033217593736</v>
      </c>
    </row>
    <row r="719" spans="1:31" hidden="1">
      <c r="A719" s="1">
        <v>9129576</v>
      </c>
      <c r="B719" s="1" t="s">
        <v>101</v>
      </c>
      <c r="C719" t="s">
        <v>643</v>
      </c>
      <c r="D719" s="2">
        <v>220198413</v>
      </c>
      <c r="E719" s="2">
        <v>1943001400040</v>
      </c>
      <c r="F719" s="1" t="s">
        <v>644</v>
      </c>
      <c r="G719" s="1" t="s">
        <v>53</v>
      </c>
      <c r="H719" s="1" t="s">
        <v>264</v>
      </c>
      <c r="I719" s="1" t="s">
        <v>265</v>
      </c>
      <c r="J719" s="1" t="s">
        <v>56</v>
      </c>
      <c r="K719" t="s">
        <v>645</v>
      </c>
      <c r="M719" s="1" t="s">
        <v>58</v>
      </c>
      <c r="N719" s="1">
        <v>0</v>
      </c>
      <c r="O719" s="1" t="s">
        <v>105</v>
      </c>
      <c r="P719" s="186">
        <v>44896.605173611111</v>
      </c>
      <c r="R719" s="1">
        <v>2</v>
      </c>
      <c r="T719" s="1" t="s">
        <v>646</v>
      </c>
      <c r="U719" s="186">
        <v>44897.605185185188</v>
      </c>
      <c r="V719" s="1" t="s">
        <v>41</v>
      </c>
      <c r="W719" s="1" t="s">
        <v>49</v>
      </c>
      <c r="X719" s="13" t="str">
        <f>IF(RIGHT(H719,2)&lt;&gt;"00",H719,"")</f>
        <v/>
      </c>
      <c r="Y719" s="2">
        <f ca="1">NETWORKDAYS(P719,$Y$1)</f>
        <v>65</v>
      </c>
      <c r="Z719" s="14">
        <v>1</v>
      </c>
      <c r="AA719" s="1" t="str">
        <f t="shared" ca="1" si="55"/>
        <v>VENCIDO</v>
      </c>
      <c r="AB719" s="1" t="str">
        <f t="shared" si="56"/>
        <v>SL-On</v>
      </c>
      <c r="AC719" s="2" t="str">
        <f t="shared" si="57"/>
        <v xml:space="preserve"> CRISTINA </v>
      </c>
      <c r="AD719" s="2">
        <f t="shared" si="58"/>
        <v>1</v>
      </c>
      <c r="AE719" s="2">
        <f t="shared" ca="1" si="59"/>
        <v>-89.071086458330683</v>
      </c>
    </row>
    <row r="720" spans="1:31" hidden="1">
      <c r="A720" s="1">
        <v>9129532</v>
      </c>
      <c r="B720" s="1" t="s">
        <v>101</v>
      </c>
      <c r="C720" t="s">
        <v>643</v>
      </c>
      <c r="D720" s="2">
        <v>220198370</v>
      </c>
      <c r="E720" s="2">
        <v>5898001400040</v>
      </c>
      <c r="F720" s="1" t="s">
        <v>644</v>
      </c>
      <c r="G720" s="1" t="s">
        <v>53</v>
      </c>
      <c r="H720" s="1" t="s">
        <v>365</v>
      </c>
      <c r="I720" s="1" t="s">
        <v>366</v>
      </c>
      <c r="J720" s="1" t="s">
        <v>164</v>
      </c>
      <c r="K720" t="s">
        <v>645</v>
      </c>
      <c r="M720" s="1" t="s">
        <v>58</v>
      </c>
      <c r="N720" s="1">
        <v>0</v>
      </c>
      <c r="O720" s="1" t="s">
        <v>105</v>
      </c>
      <c r="P720" s="186">
        <v>44896.602442129632</v>
      </c>
      <c r="R720" s="1">
        <v>2</v>
      </c>
      <c r="T720" s="1" t="s">
        <v>646</v>
      </c>
      <c r="U720" s="186">
        <v>44897.602453703701</v>
      </c>
      <c r="V720" s="1" t="s">
        <v>41</v>
      </c>
      <c r="W720" s="1" t="s">
        <v>49</v>
      </c>
      <c r="X720" s="13" t="str">
        <f>IF(RIGHT(H720,2)&lt;&gt;"00",H720,"")</f>
        <v/>
      </c>
      <c r="Y720" s="2">
        <f ca="1">NETWORKDAYS(P720,$Y$1)</f>
        <v>65</v>
      </c>
      <c r="Z720" s="14">
        <v>1</v>
      </c>
      <c r="AA720" s="1" t="str">
        <f t="shared" ca="1" si="55"/>
        <v>VENCIDO</v>
      </c>
      <c r="AB720" s="1" t="str">
        <f t="shared" si="56"/>
        <v>SL-On</v>
      </c>
      <c r="AC720" s="2" t="str">
        <f t="shared" si="57"/>
        <v xml:space="preserve"> ROSEMERE </v>
      </c>
      <c r="AD720" s="2">
        <f t="shared" si="58"/>
        <v>1</v>
      </c>
      <c r="AE720" s="2">
        <f t="shared" ca="1" si="59"/>
        <v>-89.073817939817673</v>
      </c>
    </row>
    <row r="721" spans="1:31" hidden="1">
      <c r="A721" s="1">
        <v>9129469</v>
      </c>
      <c r="B721" s="1" t="s">
        <v>101</v>
      </c>
      <c r="C721" t="s">
        <v>643</v>
      </c>
      <c r="D721" s="2">
        <v>220198152</v>
      </c>
      <c r="E721" s="2">
        <v>4637001400040</v>
      </c>
      <c r="F721" s="1" t="s">
        <v>644</v>
      </c>
      <c r="G721" s="1" t="s">
        <v>53</v>
      </c>
      <c r="H721" s="1" t="s">
        <v>848</v>
      </c>
      <c r="I721" s="1" t="s">
        <v>849</v>
      </c>
      <c r="J721" s="1" t="s">
        <v>79</v>
      </c>
      <c r="K721" t="s">
        <v>645</v>
      </c>
      <c r="M721" s="1" t="s">
        <v>58</v>
      </c>
      <c r="N721" s="1">
        <v>0</v>
      </c>
      <c r="O721" s="1" t="s">
        <v>105</v>
      </c>
      <c r="P721" s="186">
        <v>44896.599282407406</v>
      </c>
      <c r="R721" s="1">
        <v>3</v>
      </c>
      <c r="T721" s="1" t="s">
        <v>646</v>
      </c>
      <c r="U721" s="186">
        <v>44897.599282407406</v>
      </c>
      <c r="V721" s="1" t="s">
        <v>41</v>
      </c>
      <c r="W721" s="1" t="s">
        <v>49</v>
      </c>
      <c r="X721" s="13" t="str">
        <f>IF(RIGHT(H721,2)&lt;&gt;"00",H721,"")</f>
        <v/>
      </c>
      <c r="Y721" s="2">
        <f ca="1">NETWORKDAYS(P721,$Y$1)</f>
        <v>65</v>
      </c>
      <c r="Z721" s="14">
        <v>1</v>
      </c>
      <c r="AA721" s="1" t="str">
        <f t="shared" ca="1" si="55"/>
        <v>VENCIDO</v>
      </c>
      <c r="AB721" s="1" t="str">
        <f t="shared" si="56"/>
        <v>SL-On</v>
      </c>
      <c r="AC721" s="2" t="str">
        <f t="shared" si="57"/>
        <v xml:space="preserve"> ROSEMERE </v>
      </c>
      <c r="AD721" s="2">
        <f t="shared" si="58"/>
        <v>1</v>
      </c>
      <c r="AE721" s="2">
        <f t="shared" ca="1" si="59"/>
        <v>-89.07698923611315</v>
      </c>
    </row>
    <row r="722" spans="1:31" hidden="1">
      <c r="A722" s="1">
        <v>9129466</v>
      </c>
      <c r="B722" s="1" t="s">
        <v>101</v>
      </c>
      <c r="C722" t="s">
        <v>643</v>
      </c>
      <c r="D722" s="2">
        <v>220198149</v>
      </c>
      <c r="E722" s="2">
        <v>4623001400040</v>
      </c>
      <c r="F722" s="1" t="s">
        <v>644</v>
      </c>
      <c r="G722" s="1" t="s">
        <v>53</v>
      </c>
      <c r="H722" s="1" t="s">
        <v>669</v>
      </c>
      <c r="I722" s="1" t="s">
        <v>670</v>
      </c>
      <c r="J722" s="1" t="s">
        <v>33</v>
      </c>
      <c r="K722" t="s">
        <v>645</v>
      </c>
      <c r="M722" s="1" t="s">
        <v>58</v>
      </c>
      <c r="N722" s="1">
        <v>0</v>
      </c>
      <c r="O722" s="1" t="s">
        <v>105</v>
      </c>
      <c r="P722" s="186">
        <v>44896.599108796298</v>
      </c>
      <c r="R722" s="1">
        <v>2</v>
      </c>
      <c r="T722" s="1" t="s">
        <v>646</v>
      </c>
      <c r="U722" s="186">
        <v>44897.599120370367</v>
      </c>
      <c r="V722" s="1" t="s">
        <v>41</v>
      </c>
      <c r="W722" s="1" t="s">
        <v>42</v>
      </c>
      <c r="X722" s="13" t="str">
        <f>IF(RIGHT(H722,2)&lt;&gt;"00",H722,"")</f>
        <v/>
      </c>
      <c r="Y722" s="2">
        <f ca="1">NETWORKDAYS(P722,$Y$1)</f>
        <v>65</v>
      </c>
      <c r="Z722" s="14">
        <v>1</v>
      </c>
      <c r="AA722" s="1" t="str">
        <f t="shared" ca="1" si="55"/>
        <v>VENCIDO</v>
      </c>
      <c r="AB722" s="1" t="str">
        <f t="shared" si="56"/>
        <v>SL-On</v>
      </c>
      <c r="AC722" s="2" t="str">
        <f t="shared" si="57"/>
        <v xml:space="preserve"> ROSEMERE </v>
      </c>
      <c r="AD722" s="2">
        <f t="shared" si="58"/>
        <v>1</v>
      </c>
      <c r="AE722" s="2">
        <f t="shared" ca="1" si="59"/>
        <v>-89.077151273151685</v>
      </c>
    </row>
    <row r="723" spans="1:31" hidden="1">
      <c r="A723" s="1">
        <v>9129293</v>
      </c>
      <c r="B723" s="1" t="s">
        <v>101</v>
      </c>
      <c r="C723" t="s">
        <v>643</v>
      </c>
      <c r="D723" s="2">
        <v>220197353</v>
      </c>
      <c r="E723" s="2">
        <v>1509001400040</v>
      </c>
      <c r="F723" s="1" t="s">
        <v>644</v>
      </c>
      <c r="G723" s="1" t="s">
        <v>53</v>
      </c>
      <c r="H723" s="1" t="s">
        <v>731</v>
      </c>
      <c r="I723" s="1" t="s">
        <v>732</v>
      </c>
      <c r="J723" s="1" t="s">
        <v>46</v>
      </c>
      <c r="K723" t="s">
        <v>645</v>
      </c>
      <c r="M723" s="1" t="s">
        <v>58</v>
      </c>
      <c r="N723" s="1">
        <v>0</v>
      </c>
      <c r="O723" s="1" t="s">
        <v>105</v>
      </c>
      <c r="P723" s="186">
        <v>44896.590925925928</v>
      </c>
      <c r="R723" s="1">
        <v>3</v>
      </c>
      <c r="T723" s="1" t="s">
        <v>646</v>
      </c>
      <c r="U723" s="186">
        <v>44897.590925925928</v>
      </c>
      <c r="V723" s="1" t="s">
        <v>41</v>
      </c>
      <c r="W723" s="1" t="s">
        <v>49</v>
      </c>
      <c r="X723" s="13" t="str">
        <f>IF(RIGHT(H723,2)&lt;&gt;"00",H723,"")</f>
        <v/>
      </c>
      <c r="Y723" s="2">
        <f ca="1">NETWORKDAYS(P723,$Y$1)</f>
        <v>65</v>
      </c>
      <c r="Z723" s="14">
        <v>1</v>
      </c>
      <c r="AA723" s="1" t="str">
        <f t="shared" ca="1" si="55"/>
        <v>VENCIDO</v>
      </c>
      <c r="AB723" s="1" t="str">
        <f t="shared" si="56"/>
        <v>SL-On</v>
      </c>
      <c r="AC723" s="2" t="str">
        <f t="shared" si="57"/>
        <v xml:space="preserve"> CLEITON </v>
      </c>
      <c r="AD723" s="2">
        <f t="shared" si="58"/>
        <v>1</v>
      </c>
      <c r="AE723" s="2">
        <f t="shared" ca="1" si="59"/>
        <v>-89.085345717590826</v>
      </c>
    </row>
    <row r="724" spans="1:31" hidden="1">
      <c r="A724" s="1">
        <v>9129253</v>
      </c>
      <c r="B724" s="1" t="s">
        <v>101</v>
      </c>
      <c r="C724" t="s">
        <v>643</v>
      </c>
      <c r="D724" s="2">
        <v>220197205</v>
      </c>
      <c r="E724" s="2">
        <v>1162001400040</v>
      </c>
      <c r="F724" s="1" t="s">
        <v>644</v>
      </c>
      <c r="G724" s="1" t="s">
        <v>53</v>
      </c>
      <c r="H724" s="1" t="s">
        <v>280</v>
      </c>
      <c r="I724" s="1" t="s">
        <v>281</v>
      </c>
      <c r="J724" s="1" t="s">
        <v>211</v>
      </c>
      <c r="K724" t="s">
        <v>645</v>
      </c>
      <c r="M724" s="1" t="s">
        <v>58</v>
      </c>
      <c r="N724" s="1">
        <v>0</v>
      </c>
      <c r="O724" s="1" t="s">
        <v>105</v>
      </c>
      <c r="P724" s="186">
        <v>44896.588958333334</v>
      </c>
      <c r="R724" s="1">
        <v>3</v>
      </c>
      <c r="T724" s="1" t="s">
        <v>646</v>
      </c>
      <c r="U724" s="186">
        <v>44897.588958333334</v>
      </c>
      <c r="V724" s="1" t="s">
        <v>41</v>
      </c>
      <c r="W724" s="1" t="s">
        <v>49</v>
      </c>
      <c r="X724" s="13" t="str">
        <f>IF(RIGHT(H724,2)&lt;&gt;"00",H724,"")</f>
        <v/>
      </c>
      <c r="Y724" s="2">
        <f ca="1">NETWORKDAYS(P724,$Y$1)</f>
        <v>65</v>
      </c>
      <c r="Z724" s="14">
        <v>1</v>
      </c>
      <c r="AA724" s="1" t="str">
        <f t="shared" ca="1" si="55"/>
        <v>VENCIDO</v>
      </c>
      <c r="AB724" s="1" t="str">
        <f t="shared" si="56"/>
        <v>SL-On</v>
      </c>
      <c r="AC724" s="2" t="str">
        <f t="shared" si="57"/>
        <v xml:space="preserve"> RINALDO </v>
      </c>
      <c r="AD724" s="2">
        <f t="shared" si="58"/>
        <v>1</v>
      </c>
      <c r="AE724" s="2">
        <f t="shared" ca="1" si="59"/>
        <v>-89.087313310184982</v>
      </c>
    </row>
    <row r="725" spans="1:31" hidden="1">
      <c r="A725" s="1">
        <v>9129235</v>
      </c>
      <c r="B725" s="1" t="s">
        <v>101</v>
      </c>
      <c r="C725" t="s">
        <v>643</v>
      </c>
      <c r="D725" s="2">
        <v>220197191</v>
      </c>
      <c r="E725" s="2">
        <v>1138001400040</v>
      </c>
      <c r="F725" s="1" t="s">
        <v>644</v>
      </c>
      <c r="G725" s="1" t="s">
        <v>53</v>
      </c>
      <c r="H725" s="1" t="s">
        <v>548</v>
      </c>
      <c r="I725" s="1" t="s">
        <v>549</v>
      </c>
      <c r="J725" s="1" t="s">
        <v>46</v>
      </c>
      <c r="K725" t="s">
        <v>645</v>
      </c>
      <c r="M725" s="1" t="s">
        <v>58</v>
      </c>
      <c r="N725" s="1">
        <v>0</v>
      </c>
      <c r="O725" s="1" t="s">
        <v>105</v>
      </c>
      <c r="P725" s="186">
        <v>44896.588101851848</v>
      </c>
      <c r="R725" s="1">
        <v>2</v>
      </c>
      <c r="T725" s="1" t="s">
        <v>646</v>
      </c>
      <c r="U725" s="186">
        <v>44897.588113425925</v>
      </c>
      <c r="V725" s="1" t="s">
        <v>41</v>
      </c>
      <c r="W725" s="1" t="s">
        <v>49</v>
      </c>
      <c r="X725" s="13" t="str">
        <f>IF(RIGHT(H725,2)&lt;&gt;"00",H725,"")</f>
        <v/>
      </c>
      <c r="Y725" s="2">
        <f ca="1">NETWORKDAYS(P725,$Y$1)</f>
        <v>65</v>
      </c>
      <c r="Z725" s="14">
        <v>1</v>
      </c>
      <c r="AA725" s="1" t="str">
        <f t="shared" ca="1" si="55"/>
        <v>VENCIDO</v>
      </c>
      <c r="AB725" s="1" t="str">
        <f t="shared" si="56"/>
        <v>SL-On</v>
      </c>
      <c r="AC725" s="2" t="str">
        <f t="shared" si="57"/>
        <v xml:space="preserve"> CLEITON </v>
      </c>
      <c r="AD725" s="2">
        <f t="shared" si="58"/>
        <v>1</v>
      </c>
      <c r="AE725" s="2">
        <f t="shared" ca="1" si="59"/>
        <v>-89.088158217593445</v>
      </c>
    </row>
    <row r="726" spans="1:31" hidden="1">
      <c r="A726" s="1">
        <v>9129192</v>
      </c>
      <c r="B726" s="1" t="s">
        <v>101</v>
      </c>
      <c r="C726" t="s">
        <v>643</v>
      </c>
      <c r="D726" s="2">
        <v>220197715</v>
      </c>
      <c r="E726" s="2">
        <v>2830001400040</v>
      </c>
      <c r="F726" s="1" t="s">
        <v>644</v>
      </c>
      <c r="G726" s="1" t="s">
        <v>53</v>
      </c>
      <c r="H726" s="1" t="s">
        <v>448</v>
      </c>
      <c r="I726" s="1" t="s">
        <v>449</v>
      </c>
      <c r="J726" s="1" t="s">
        <v>33</v>
      </c>
      <c r="K726" t="s">
        <v>645</v>
      </c>
      <c r="M726" s="1" t="s">
        <v>58</v>
      </c>
      <c r="N726" s="1">
        <v>0</v>
      </c>
      <c r="O726" s="1" t="s">
        <v>105</v>
      </c>
      <c r="P726" s="186">
        <v>44896.585763888892</v>
      </c>
      <c r="R726" s="1">
        <v>2</v>
      </c>
      <c r="T726" s="1" t="s">
        <v>646</v>
      </c>
      <c r="U726" s="186">
        <v>44897.585775462961</v>
      </c>
      <c r="V726" s="1" t="s">
        <v>41</v>
      </c>
      <c r="W726" s="1" t="s">
        <v>42</v>
      </c>
      <c r="X726" s="13" t="str">
        <f>IF(RIGHT(H726,2)&lt;&gt;"00",H726,"")</f>
        <v/>
      </c>
      <c r="Y726" s="2">
        <f ca="1">NETWORKDAYS(P726,$Y$1)</f>
        <v>65</v>
      </c>
      <c r="Z726" s="14">
        <v>1</v>
      </c>
      <c r="AA726" s="1" t="str">
        <f t="shared" ca="1" si="55"/>
        <v>VENCIDO</v>
      </c>
      <c r="AB726" s="1" t="str">
        <f t="shared" si="56"/>
        <v>SL-On</v>
      </c>
      <c r="AC726" s="2" t="str">
        <f t="shared" si="57"/>
        <v xml:space="preserve"> ROSEMERE </v>
      </c>
      <c r="AD726" s="2">
        <f t="shared" si="58"/>
        <v>1</v>
      </c>
      <c r="AE726" s="2">
        <f t="shared" ca="1" si="59"/>
        <v>-89.090496180557238</v>
      </c>
    </row>
    <row r="727" spans="1:31" hidden="1">
      <c r="A727" s="1">
        <v>9129186</v>
      </c>
      <c r="B727" s="1" t="s">
        <v>101</v>
      </c>
      <c r="C727" t="s">
        <v>643</v>
      </c>
      <c r="D727" s="2">
        <v>220197710</v>
      </c>
      <c r="E727" s="2">
        <v>2802001400040</v>
      </c>
      <c r="F727" s="1" t="s">
        <v>644</v>
      </c>
      <c r="G727" s="1" t="s">
        <v>53</v>
      </c>
      <c r="H727" s="1" t="s">
        <v>388</v>
      </c>
      <c r="I727" s="1" t="s">
        <v>389</v>
      </c>
      <c r="J727" s="1" t="s">
        <v>46</v>
      </c>
      <c r="K727" t="s">
        <v>645</v>
      </c>
      <c r="M727" s="1" t="s">
        <v>58</v>
      </c>
      <c r="N727" s="1">
        <v>0</v>
      </c>
      <c r="O727" s="1" t="s">
        <v>105</v>
      </c>
      <c r="P727" s="186">
        <v>44896.585370370369</v>
      </c>
      <c r="R727" s="1">
        <v>3</v>
      </c>
      <c r="T727" s="1" t="s">
        <v>646</v>
      </c>
      <c r="U727" s="186">
        <v>44897.585370370369</v>
      </c>
      <c r="V727" s="1" t="s">
        <v>41</v>
      </c>
      <c r="W727" s="1" t="s">
        <v>49</v>
      </c>
      <c r="X727" s="13" t="str">
        <f>IF(RIGHT(H727,2)&lt;&gt;"00",H727,"")</f>
        <v/>
      </c>
      <c r="Y727" s="2">
        <f ca="1">NETWORKDAYS(P727,$Y$1)</f>
        <v>65</v>
      </c>
      <c r="Z727" s="14">
        <v>1</v>
      </c>
      <c r="AA727" s="1" t="str">
        <f t="shared" ca="1" si="55"/>
        <v>VENCIDO</v>
      </c>
      <c r="AB727" s="1" t="str">
        <f t="shared" si="56"/>
        <v>SL-On</v>
      </c>
      <c r="AC727" s="2" t="str">
        <f t="shared" si="57"/>
        <v xml:space="preserve"> CLEITON </v>
      </c>
      <c r="AD727" s="2">
        <f t="shared" si="58"/>
        <v>1</v>
      </c>
      <c r="AE727" s="2">
        <f t="shared" ca="1" si="59"/>
        <v>-89.090901273149939</v>
      </c>
    </row>
    <row r="728" spans="1:31" hidden="1">
      <c r="A728" s="1">
        <v>9129147</v>
      </c>
      <c r="B728" s="1" t="s">
        <v>101</v>
      </c>
      <c r="C728" t="s">
        <v>643</v>
      </c>
      <c r="D728" s="2">
        <v>220197682</v>
      </c>
      <c r="E728" s="2">
        <v>2693001400040</v>
      </c>
      <c r="F728" s="1" t="s">
        <v>644</v>
      </c>
      <c r="G728" s="1" t="s">
        <v>53</v>
      </c>
      <c r="H728" s="1" t="s">
        <v>253</v>
      </c>
      <c r="I728" s="1" t="s">
        <v>254</v>
      </c>
      <c r="J728" s="1" t="s">
        <v>56</v>
      </c>
      <c r="K728" t="s">
        <v>645</v>
      </c>
      <c r="M728" s="1" t="s">
        <v>58</v>
      </c>
      <c r="N728" s="1">
        <v>0</v>
      </c>
      <c r="O728" s="1" t="s">
        <v>105</v>
      </c>
      <c r="P728" s="186">
        <v>44896.583495370367</v>
      </c>
      <c r="R728" s="1">
        <v>2</v>
      </c>
      <c r="T728" s="1" t="s">
        <v>646</v>
      </c>
      <c r="U728" s="186">
        <v>44897.583506944444</v>
      </c>
      <c r="V728" s="1" t="s">
        <v>41</v>
      </c>
      <c r="W728" s="1" t="s">
        <v>49</v>
      </c>
      <c r="X728" s="13" t="str">
        <f>IF(RIGHT(H728,2)&lt;&gt;"00",H728,"")</f>
        <v/>
      </c>
      <c r="Y728" s="2">
        <f ca="1">NETWORKDAYS(P728,$Y$1)</f>
        <v>65</v>
      </c>
      <c r="Z728" s="14">
        <v>1</v>
      </c>
      <c r="AA728" s="1" t="str">
        <f t="shared" ca="1" si="55"/>
        <v>VENCIDO</v>
      </c>
      <c r="AB728" s="1" t="str">
        <f t="shared" si="56"/>
        <v>SL-On</v>
      </c>
      <c r="AC728" s="2" t="str">
        <f t="shared" si="57"/>
        <v xml:space="preserve"> CRISTINA </v>
      </c>
      <c r="AD728" s="2">
        <f t="shared" si="58"/>
        <v>1</v>
      </c>
      <c r="AE728" s="2">
        <f t="shared" ca="1" si="59"/>
        <v>-89.092764699074905</v>
      </c>
    </row>
    <row r="729" spans="1:31" hidden="1">
      <c r="A729" s="1">
        <v>9129072</v>
      </c>
      <c r="B729" s="1" t="s">
        <v>101</v>
      </c>
      <c r="C729" t="s">
        <v>643</v>
      </c>
      <c r="D729" s="2">
        <v>220197722</v>
      </c>
      <c r="E729" s="2">
        <v>2855001400040</v>
      </c>
      <c r="F729" s="1" t="s">
        <v>644</v>
      </c>
      <c r="G729" s="1" t="s">
        <v>53</v>
      </c>
      <c r="H729" s="1" t="s">
        <v>249</v>
      </c>
      <c r="I729" s="1" t="s">
        <v>250</v>
      </c>
      <c r="J729" s="1" t="s">
        <v>56</v>
      </c>
      <c r="K729" t="s">
        <v>645</v>
      </c>
      <c r="M729" s="1" t="s">
        <v>58</v>
      </c>
      <c r="N729" s="1">
        <v>0</v>
      </c>
      <c r="O729" s="1" t="s">
        <v>105</v>
      </c>
      <c r="P729" s="186">
        <v>44896.580439814818</v>
      </c>
      <c r="R729" s="1">
        <v>2</v>
      </c>
      <c r="T729" s="1" t="s">
        <v>646</v>
      </c>
      <c r="U729" s="186">
        <v>44897.580451388887</v>
      </c>
      <c r="V729" s="1" t="s">
        <v>41</v>
      </c>
      <c r="W729" s="1" t="s">
        <v>49</v>
      </c>
      <c r="X729" s="13" t="str">
        <f>IF(RIGHT(H729,2)&lt;&gt;"00",H729,"")</f>
        <v/>
      </c>
      <c r="Y729" s="2">
        <f ca="1">NETWORKDAYS(P729,$Y$1)</f>
        <v>65</v>
      </c>
      <c r="Z729" s="14">
        <v>1</v>
      </c>
      <c r="AA729" s="1" t="str">
        <f t="shared" ca="1" si="55"/>
        <v>VENCIDO</v>
      </c>
      <c r="AB729" s="1" t="str">
        <f t="shared" si="56"/>
        <v>SL-On</v>
      </c>
      <c r="AC729" s="2" t="str">
        <f t="shared" si="57"/>
        <v xml:space="preserve"> CRISTINA </v>
      </c>
      <c r="AD729" s="2">
        <f t="shared" si="58"/>
        <v>1</v>
      </c>
      <c r="AE729" s="2">
        <f t="shared" ca="1" si="59"/>
        <v>-89.09582025463169</v>
      </c>
    </row>
    <row r="730" spans="1:31" hidden="1">
      <c r="A730" s="1">
        <v>9129043</v>
      </c>
      <c r="B730" s="1" t="s">
        <v>101</v>
      </c>
      <c r="C730" t="s">
        <v>643</v>
      </c>
      <c r="D730" s="2">
        <v>220196970</v>
      </c>
      <c r="E730" s="2">
        <v>710001400040</v>
      </c>
      <c r="F730" s="1" t="s">
        <v>644</v>
      </c>
      <c r="G730" s="1" t="s">
        <v>53</v>
      </c>
      <c r="H730" s="1" t="s">
        <v>390</v>
      </c>
      <c r="I730" s="1" t="s">
        <v>391</v>
      </c>
      <c r="J730" s="1" t="s">
        <v>56</v>
      </c>
      <c r="K730" t="s">
        <v>645</v>
      </c>
      <c r="M730" s="1" t="s">
        <v>58</v>
      </c>
      <c r="N730" s="1">
        <v>0</v>
      </c>
      <c r="O730" s="1" t="s">
        <v>105</v>
      </c>
      <c r="P730" s="186">
        <v>44896.579571759263</v>
      </c>
      <c r="R730" s="1">
        <v>2</v>
      </c>
      <c r="T730" s="1" t="s">
        <v>646</v>
      </c>
      <c r="U730" s="186">
        <v>44897.579583333332</v>
      </c>
      <c r="V730" s="1" t="s">
        <v>41</v>
      </c>
      <c r="W730" s="1" t="s">
        <v>49</v>
      </c>
      <c r="X730" s="13" t="str">
        <f>IF(RIGHT(H730,2)&lt;&gt;"00",H730,"")</f>
        <v/>
      </c>
      <c r="Y730" s="2">
        <f ca="1">NETWORKDAYS(P730,$Y$1)</f>
        <v>65</v>
      </c>
      <c r="Z730" s="14">
        <v>1</v>
      </c>
      <c r="AA730" s="1" t="str">
        <f t="shared" ca="1" si="55"/>
        <v>VENCIDO</v>
      </c>
      <c r="AB730" s="1" t="str">
        <f t="shared" si="56"/>
        <v>SL-On</v>
      </c>
      <c r="AC730" s="2" t="str">
        <f t="shared" si="57"/>
        <v xml:space="preserve"> CRISTINA </v>
      </c>
      <c r="AD730" s="2">
        <f t="shared" si="58"/>
        <v>1</v>
      </c>
      <c r="AE730" s="2">
        <f t="shared" ca="1" si="59"/>
        <v>-89.096688310186437</v>
      </c>
    </row>
    <row r="731" spans="1:31" hidden="1">
      <c r="A731" s="1">
        <v>9128854</v>
      </c>
      <c r="B731" s="1" t="s">
        <v>101</v>
      </c>
      <c r="C731" t="s">
        <v>643</v>
      </c>
      <c r="D731" s="2">
        <v>220196470</v>
      </c>
      <c r="E731" s="2">
        <v>8259001400030</v>
      </c>
      <c r="F731" s="1" t="s">
        <v>647</v>
      </c>
      <c r="G731" s="1" t="s">
        <v>53</v>
      </c>
      <c r="H731" s="1" t="s">
        <v>245</v>
      </c>
      <c r="I731" s="1" t="s">
        <v>246</v>
      </c>
      <c r="J731" s="1" t="s">
        <v>56</v>
      </c>
      <c r="K731" t="s">
        <v>650</v>
      </c>
      <c r="M731" s="1" t="s">
        <v>58</v>
      </c>
      <c r="N731" s="1">
        <v>0</v>
      </c>
      <c r="O731" s="1" t="s">
        <v>105</v>
      </c>
      <c r="P731" s="186">
        <v>44896.569606481484</v>
      </c>
      <c r="R731" s="1">
        <v>4</v>
      </c>
      <c r="T731" s="1" t="s">
        <v>646</v>
      </c>
      <c r="U731" s="186">
        <v>44897.569606481484</v>
      </c>
      <c r="V731" s="1" t="s">
        <v>41</v>
      </c>
      <c r="W731" s="1" t="s">
        <v>49</v>
      </c>
      <c r="X731" s="13" t="str">
        <f>IF(RIGHT(H731,2)&lt;&gt;"00",H731,"")</f>
        <v/>
      </c>
      <c r="Y731" s="2">
        <f ca="1">NETWORKDAYS(P731,$Y$1)</f>
        <v>65</v>
      </c>
      <c r="Z731" s="14">
        <v>1</v>
      </c>
      <c r="AA731" s="1" t="str">
        <f t="shared" ca="1" si="55"/>
        <v>VENCIDO</v>
      </c>
      <c r="AB731" s="1" t="str">
        <f t="shared" si="56"/>
        <v>C-14</v>
      </c>
      <c r="AC731" s="2" t="str">
        <f t="shared" si="57"/>
        <v xml:space="preserve"> CRISTINA </v>
      </c>
      <c r="AD731" s="2">
        <f t="shared" si="58"/>
        <v>15</v>
      </c>
      <c r="AE731" s="2">
        <f t="shared" ca="1" si="59"/>
        <v>-89.106665162034915</v>
      </c>
    </row>
    <row r="732" spans="1:31" hidden="1">
      <c r="A732" s="1">
        <v>9128754</v>
      </c>
      <c r="B732" s="1" t="s">
        <v>101</v>
      </c>
      <c r="C732" t="s">
        <v>643</v>
      </c>
      <c r="D732" s="2">
        <v>220196094</v>
      </c>
      <c r="E732" s="2">
        <v>4623001400030</v>
      </c>
      <c r="F732" s="1" t="s">
        <v>647</v>
      </c>
      <c r="G732" s="1" t="s">
        <v>53</v>
      </c>
      <c r="H732" s="1" t="s">
        <v>669</v>
      </c>
      <c r="I732" s="1" t="s">
        <v>670</v>
      </c>
      <c r="J732" s="1" t="s">
        <v>33</v>
      </c>
      <c r="K732" t="s">
        <v>650</v>
      </c>
      <c r="M732" s="1" t="s">
        <v>58</v>
      </c>
      <c r="N732" s="1">
        <v>0</v>
      </c>
      <c r="O732" s="1" t="s">
        <v>105</v>
      </c>
      <c r="P732" s="186">
        <v>44896.566134259258</v>
      </c>
      <c r="R732" s="1">
        <v>4</v>
      </c>
      <c r="T732" s="1" t="s">
        <v>646</v>
      </c>
      <c r="U732" s="186">
        <v>44897.566145833334</v>
      </c>
      <c r="V732" s="1" t="s">
        <v>41</v>
      </c>
      <c r="W732" s="1" t="s">
        <v>42</v>
      </c>
      <c r="X732" s="13" t="str">
        <f>IF(RIGHT(H732,2)&lt;&gt;"00",H732,"")</f>
        <v/>
      </c>
      <c r="Y732" s="2">
        <f ca="1">NETWORKDAYS(P732,$Y$1)</f>
        <v>65</v>
      </c>
      <c r="Z732" s="14">
        <v>1</v>
      </c>
      <c r="AA732" s="1" t="str">
        <f t="shared" ca="1" si="55"/>
        <v>VENCIDO</v>
      </c>
      <c r="AB732" s="1" t="str">
        <f t="shared" si="56"/>
        <v>C-14</v>
      </c>
      <c r="AC732" s="2" t="str">
        <f t="shared" si="57"/>
        <v xml:space="preserve"> ROSEMERE </v>
      </c>
      <c r="AD732" s="2">
        <f t="shared" si="58"/>
        <v>15</v>
      </c>
      <c r="AE732" s="2">
        <f t="shared" ca="1" si="59"/>
        <v>-89.1101258101844</v>
      </c>
    </row>
    <row r="733" spans="1:31" hidden="1">
      <c r="A733" s="1">
        <v>9128723</v>
      </c>
      <c r="B733" s="1" t="s">
        <v>101</v>
      </c>
      <c r="C733" t="s">
        <v>643</v>
      </c>
      <c r="D733" s="2">
        <v>220196098</v>
      </c>
      <c r="E733" s="2">
        <v>4637001400030</v>
      </c>
      <c r="F733" s="1" t="s">
        <v>647</v>
      </c>
      <c r="G733" s="1" t="s">
        <v>53</v>
      </c>
      <c r="H733" s="1" t="s">
        <v>848</v>
      </c>
      <c r="I733" s="1" t="s">
        <v>849</v>
      </c>
      <c r="J733" s="1" t="s">
        <v>79</v>
      </c>
      <c r="K733" t="s">
        <v>650</v>
      </c>
      <c r="M733" s="1" t="s">
        <v>58</v>
      </c>
      <c r="N733" s="1">
        <v>0</v>
      </c>
      <c r="O733" s="1" t="s">
        <v>105</v>
      </c>
      <c r="P733" s="186">
        <v>44896.564293981479</v>
      </c>
      <c r="R733" s="1">
        <v>4</v>
      </c>
      <c r="T733" s="1" t="s">
        <v>646</v>
      </c>
      <c r="U733" s="186">
        <v>44897.564305555556</v>
      </c>
      <c r="V733" s="1" t="s">
        <v>41</v>
      </c>
      <c r="W733" s="1" t="s">
        <v>49</v>
      </c>
      <c r="X733" s="13" t="str">
        <f>IF(RIGHT(H733,2)&lt;&gt;"00",H733,"")</f>
        <v/>
      </c>
      <c r="Y733" s="2">
        <f ca="1">NETWORKDAYS(P733,$Y$1)</f>
        <v>65</v>
      </c>
      <c r="Z733" s="14">
        <v>1</v>
      </c>
      <c r="AA733" s="1" t="str">
        <f t="shared" ca="1" si="55"/>
        <v>VENCIDO</v>
      </c>
      <c r="AB733" s="1" t="str">
        <f t="shared" si="56"/>
        <v>C-14</v>
      </c>
      <c r="AC733" s="2" t="str">
        <f t="shared" si="57"/>
        <v xml:space="preserve"> ROSEMERE </v>
      </c>
      <c r="AD733" s="2">
        <f t="shared" si="58"/>
        <v>15</v>
      </c>
      <c r="AE733" s="2">
        <f t="shared" ca="1" si="59"/>
        <v>-89.111966087963083</v>
      </c>
    </row>
    <row r="734" spans="1:31" hidden="1">
      <c r="A734" s="1">
        <v>9128704</v>
      </c>
      <c r="B734" s="1" t="s">
        <v>101</v>
      </c>
      <c r="C734" t="s">
        <v>643</v>
      </c>
      <c r="D734" s="2">
        <v>220195914</v>
      </c>
      <c r="E734" s="2">
        <v>4012001400030</v>
      </c>
      <c r="F734" s="1" t="s">
        <v>647</v>
      </c>
      <c r="G734" s="1" t="s">
        <v>53</v>
      </c>
      <c r="H734" s="1" t="s">
        <v>349</v>
      </c>
      <c r="I734" s="1" t="s">
        <v>350</v>
      </c>
      <c r="J734" s="1" t="s">
        <v>261</v>
      </c>
      <c r="K734" t="s">
        <v>650</v>
      </c>
      <c r="M734" s="1" t="s">
        <v>58</v>
      </c>
      <c r="N734" s="1">
        <v>0</v>
      </c>
      <c r="O734" s="1" t="s">
        <v>105</v>
      </c>
      <c r="P734" s="186">
        <v>44896.563391203701</v>
      </c>
      <c r="R734" s="1">
        <v>4</v>
      </c>
      <c r="T734" s="1" t="s">
        <v>646</v>
      </c>
      <c r="U734" s="186">
        <v>44897.563391203701</v>
      </c>
      <c r="V734" s="1" t="s">
        <v>41</v>
      </c>
      <c r="W734" s="1" t="s">
        <v>49</v>
      </c>
      <c r="X734" s="13" t="str">
        <f>IF(RIGHT(H734,2)&lt;&gt;"00",H734,"")</f>
        <v/>
      </c>
      <c r="Y734" s="2">
        <f ca="1">NETWORKDAYS(P734,$Y$1)</f>
        <v>65</v>
      </c>
      <c r="Z734" s="14">
        <v>1</v>
      </c>
      <c r="AA734" s="1" t="str">
        <f t="shared" ca="1" si="55"/>
        <v>VENCIDO</v>
      </c>
      <c r="AB734" s="1" t="str">
        <f t="shared" si="56"/>
        <v>C-14</v>
      </c>
      <c r="AC734" s="2" t="str">
        <f t="shared" si="57"/>
        <v xml:space="preserve"> CRISTINA </v>
      </c>
      <c r="AD734" s="2">
        <f t="shared" si="58"/>
        <v>15</v>
      </c>
      <c r="AE734" s="2">
        <f t="shared" ca="1" si="59"/>
        <v>-89.112880439817673</v>
      </c>
    </row>
    <row r="735" spans="1:31" hidden="1">
      <c r="A735" s="1">
        <v>9128584</v>
      </c>
      <c r="B735" s="1" t="s">
        <v>101</v>
      </c>
      <c r="C735" t="s">
        <v>643</v>
      </c>
      <c r="D735" s="2">
        <v>220195562</v>
      </c>
      <c r="E735" s="2">
        <v>2529001400030</v>
      </c>
      <c r="F735" s="1" t="s">
        <v>647</v>
      </c>
      <c r="G735" s="1" t="s">
        <v>53</v>
      </c>
      <c r="H735" s="1" t="s">
        <v>355</v>
      </c>
      <c r="I735" s="1" t="s">
        <v>356</v>
      </c>
      <c r="J735" s="1" t="s">
        <v>56</v>
      </c>
      <c r="K735" t="s">
        <v>650</v>
      </c>
      <c r="M735" s="1" t="s">
        <v>58</v>
      </c>
      <c r="N735" s="1">
        <v>0</v>
      </c>
      <c r="O735" s="1" t="s">
        <v>105</v>
      </c>
      <c r="P735" s="186">
        <v>44896.558148148149</v>
      </c>
      <c r="R735" s="1">
        <v>4</v>
      </c>
      <c r="T735" s="1" t="s">
        <v>646</v>
      </c>
      <c r="U735" s="186">
        <v>44897.558148148149</v>
      </c>
      <c r="V735" s="1" t="s">
        <v>41</v>
      </c>
      <c r="W735" s="1" t="s">
        <v>49</v>
      </c>
      <c r="X735" s="13" t="str">
        <f>IF(RIGHT(H735,2)&lt;&gt;"00",H735,"")</f>
        <v/>
      </c>
      <c r="Y735" s="2">
        <f ca="1">NETWORKDAYS(P735,$Y$1)</f>
        <v>65</v>
      </c>
      <c r="Z735" s="14">
        <v>1</v>
      </c>
      <c r="AA735" s="1" t="str">
        <f t="shared" ca="1" si="55"/>
        <v>VENCIDO</v>
      </c>
      <c r="AB735" s="1" t="str">
        <f t="shared" si="56"/>
        <v>C-14</v>
      </c>
      <c r="AC735" s="2" t="str">
        <f t="shared" si="57"/>
        <v xml:space="preserve"> CRISTINA </v>
      </c>
      <c r="AD735" s="2">
        <f t="shared" si="58"/>
        <v>15</v>
      </c>
      <c r="AE735" s="2">
        <f t="shared" ca="1" si="59"/>
        <v>-89.118123495369218</v>
      </c>
    </row>
    <row r="736" spans="1:31" hidden="1">
      <c r="A736" s="1">
        <v>9128556</v>
      </c>
      <c r="B736" s="1" t="s">
        <v>101</v>
      </c>
      <c r="C736" t="s">
        <v>643</v>
      </c>
      <c r="D736" s="2">
        <v>220195542</v>
      </c>
      <c r="E736" s="2">
        <v>2473001400030</v>
      </c>
      <c r="F736" s="1" t="s">
        <v>647</v>
      </c>
      <c r="G736" s="1" t="s">
        <v>53</v>
      </c>
      <c r="H736" s="1" t="s">
        <v>1459</v>
      </c>
      <c r="I736" s="1" t="s">
        <v>1460</v>
      </c>
      <c r="J736" s="1" t="s">
        <v>261</v>
      </c>
      <c r="K736" t="s">
        <v>650</v>
      </c>
      <c r="M736" s="1" t="s">
        <v>58</v>
      </c>
      <c r="N736" s="1">
        <v>0</v>
      </c>
      <c r="O736" s="1" t="s">
        <v>105</v>
      </c>
      <c r="P736" s="186">
        <v>44896.556932870371</v>
      </c>
      <c r="R736" s="1">
        <v>4</v>
      </c>
      <c r="T736" s="1" t="s">
        <v>646</v>
      </c>
      <c r="U736" s="186">
        <v>44897.556932870371</v>
      </c>
      <c r="V736" s="1" t="s">
        <v>41</v>
      </c>
      <c r="W736" s="1" t="s">
        <v>49</v>
      </c>
      <c r="X736" s="13" t="str">
        <f>IF(RIGHT(H736,2)&lt;&gt;"00",H736,"")</f>
        <v/>
      </c>
      <c r="Y736" s="2">
        <f ca="1">NETWORKDAYS(P736,$Y$1)</f>
        <v>65</v>
      </c>
      <c r="Z736" s="14">
        <v>1</v>
      </c>
      <c r="AA736" s="1" t="str">
        <f t="shared" ca="1" si="55"/>
        <v>VENCIDO</v>
      </c>
      <c r="AB736" s="1" t="str">
        <f t="shared" si="56"/>
        <v>C-14</v>
      </c>
      <c r="AC736" s="2" t="str">
        <f t="shared" si="57"/>
        <v xml:space="preserve"> CRISTINA </v>
      </c>
      <c r="AD736" s="2">
        <f t="shared" si="58"/>
        <v>15</v>
      </c>
      <c r="AE736" s="2">
        <f t="shared" ca="1" si="59"/>
        <v>-89.119338773147319</v>
      </c>
    </row>
    <row r="737" spans="1:31" hidden="1">
      <c r="A737" s="1">
        <v>9128525</v>
      </c>
      <c r="B737" s="1" t="s">
        <v>101</v>
      </c>
      <c r="C737" t="s">
        <v>643</v>
      </c>
      <c r="D737" s="2">
        <v>220195522</v>
      </c>
      <c r="E737" s="2">
        <v>2413001400030</v>
      </c>
      <c r="F737" s="1" t="s">
        <v>647</v>
      </c>
      <c r="G737" s="1" t="s">
        <v>53</v>
      </c>
      <c r="H737" s="1" t="s">
        <v>505</v>
      </c>
      <c r="I737" s="1" t="s">
        <v>506</v>
      </c>
      <c r="J737" s="1" t="s">
        <v>141</v>
      </c>
      <c r="K737" t="s">
        <v>650</v>
      </c>
      <c r="M737" s="1" t="s">
        <v>58</v>
      </c>
      <c r="N737" s="1">
        <v>0</v>
      </c>
      <c r="O737" s="1" t="s">
        <v>105</v>
      </c>
      <c r="P737" s="186">
        <v>44896.555879629632</v>
      </c>
      <c r="R737" s="1">
        <v>4</v>
      </c>
      <c r="T737" s="1" t="s">
        <v>646</v>
      </c>
      <c r="U737" s="186">
        <v>44897.555891203701</v>
      </c>
      <c r="V737" s="1" t="s">
        <v>41</v>
      </c>
      <c r="W737" s="1" t="s">
        <v>49</v>
      </c>
      <c r="X737" s="13" t="str">
        <f>IF(RIGHT(H737,2)&lt;&gt;"00",H737,"")</f>
        <v/>
      </c>
      <c r="Y737" s="2">
        <f ca="1">NETWORKDAYS(P737,$Y$1)</f>
        <v>65</v>
      </c>
      <c r="Z737" s="14">
        <v>1</v>
      </c>
      <c r="AA737" s="1" t="str">
        <f t="shared" ca="1" si="55"/>
        <v>VENCIDO</v>
      </c>
      <c r="AB737" s="1" t="str">
        <f t="shared" si="56"/>
        <v>C-14</v>
      </c>
      <c r="AC737" s="2" t="str">
        <f t="shared" si="57"/>
        <v xml:space="preserve"> CRISTINA </v>
      </c>
      <c r="AD737" s="2">
        <f t="shared" si="58"/>
        <v>15</v>
      </c>
      <c r="AE737" s="2">
        <f t="shared" ca="1" si="59"/>
        <v>-89.120380439817382</v>
      </c>
    </row>
    <row r="738" spans="1:31" hidden="1">
      <c r="A738" s="1">
        <v>9128505</v>
      </c>
      <c r="B738" s="1" t="s">
        <v>101</v>
      </c>
      <c r="C738" t="s">
        <v>643</v>
      </c>
      <c r="D738" s="2">
        <v>220195710</v>
      </c>
      <c r="E738" s="2">
        <v>3108001400030</v>
      </c>
      <c r="F738" s="1" t="s">
        <v>647</v>
      </c>
      <c r="G738" s="1" t="s">
        <v>53</v>
      </c>
      <c r="H738" s="1" t="s">
        <v>325</v>
      </c>
      <c r="I738" s="1" t="s">
        <v>326</v>
      </c>
      <c r="J738" s="1" t="s">
        <v>46</v>
      </c>
      <c r="K738" t="s">
        <v>650</v>
      </c>
      <c r="M738" s="1" t="s">
        <v>58</v>
      </c>
      <c r="N738" s="1">
        <v>0</v>
      </c>
      <c r="O738" s="1" t="s">
        <v>105</v>
      </c>
      <c r="P738" s="186">
        <v>44896.555162037039</v>
      </c>
      <c r="R738" s="1">
        <v>4</v>
      </c>
      <c r="T738" s="1" t="s">
        <v>646</v>
      </c>
      <c r="U738" s="186">
        <v>44897.555162037039</v>
      </c>
      <c r="V738" s="1" t="s">
        <v>41</v>
      </c>
      <c r="W738" s="1" t="s">
        <v>49</v>
      </c>
      <c r="X738" s="13" t="str">
        <f>IF(RIGHT(H738,2)&lt;&gt;"00",H738,"")</f>
        <v/>
      </c>
      <c r="Y738" s="2">
        <f ca="1">NETWORKDAYS(P738,$Y$1)</f>
        <v>65</v>
      </c>
      <c r="Z738" s="14">
        <v>1</v>
      </c>
      <c r="AA738" s="1" t="str">
        <f t="shared" ca="1" si="55"/>
        <v>VENCIDO</v>
      </c>
      <c r="AB738" s="1" t="str">
        <f t="shared" si="56"/>
        <v>C-14</v>
      </c>
      <c r="AC738" s="2" t="str">
        <f t="shared" si="57"/>
        <v xml:space="preserve"> CLEITON </v>
      </c>
      <c r="AD738" s="2">
        <f t="shared" si="58"/>
        <v>15</v>
      </c>
      <c r="AE738" s="2">
        <f t="shared" ca="1" si="59"/>
        <v>-89.121109606479877</v>
      </c>
    </row>
    <row r="739" spans="1:31" hidden="1">
      <c r="A739" s="1">
        <v>9128485</v>
      </c>
      <c r="B739" s="1" t="s">
        <v>101</v>
      </c>
      <c r="C739" t="s">
        <v>643</v>
      </c>
      <c r="D739" s="2">
        <v>220195128</v>
      </c>
      <c r="E739" s="2">
        <v>1162001400030</v>
      </c>
      <c r="F739" s="1" t="s">
        <v>647</v>
      </c>
      <c r="G739" s="1" t="s">
        <v>53</v>
      </c>
      <c r="H739" s="1" t="s">
        <v>280</v>
      </c>
      <c r="I739" s="1" t="s">
        <v>281</v>
      </c>
      <c r="J739" s="1" t="s">
        <v>211</v>
      </c>
      <c r="K739" t="s">
        <v>650</v>
      </c>
      <c r="M739" s="1" t="s">
        <v>58</v>
      </c>
      <c r="N739" s="1">
        <v>0</v>
      </c>
      <c r="O739" s="1" t="s">
        <v>105</v>
      </c>
      <c r="P739" s="186">
        <v>44896.553865740738</v>
      </c>
      <c r="R739" s="1">
        <v>4</v>
      </c>
      <c r="T739" s="1" t="s">
        <v>646</v>
      </c>
      <c r="U739" s="186">
        <v>44897.553877314815</v>
      </c>
      <c r="V739" s="1" t="s">
        <v>41</v>
      </c>
      <c r="W739" s="1" t="s">
        <v>49</v>
      </c>
      <c r="X739" s="13" t="str">
        <f>IF(RIGHT(H739,2)&lt;&gt;"00",H739,"")</f>
        <v/>
      </c>
      <c r="Y739" s="2">
        <f ca="1">NETWORKDAYS(P739,$Y$1)</f>
        <v>65</v>
      </c>
      <c r="Z739" s="14">
        <v>1</v>
      </c>
      <c r="AA739" s="1" t="str">
        <f t="shared" ca="1" si="55"/>
        <v>VENCIDO</v>
      </c>
      <c r="AB739" s="1" t="str">
        <f t="shared" si="56"/>
        <v>C-14</v>
      </c>
      <c r="AC739" s="2" t="str">
        <f t="shared" si="57"/>
        <v xml:space="preserve"> RINALDO </v>
      </c>
      <c r="AD739" s="2">
        <f t="shared" si="58"/>
        <v>15</v>
      </c>
      <c r="AE739" s="2">
        <f t="shared" ca="1" si="59"/>
        <v>-89.122394328704104</v>
      </c>
    </row>
    <row r="740" spans="1:31" hidden="1">
      <c r="A740" s="1">
        <v>9128470</v>
      </c>
      <c r="B740" s="1" t="s">
        <v>101</v>
      </c>
      <c r="C740" t="s">
        <v>643</v>
      </c>
      <c r="D740" s="2">
        <v>220195114</v>
      </c>
      <c r="E740" s="2">
        <v>1138001400030</v>
      </c>
      <c r="F740" s="1" t="s">
        <v>647</v>
      </c>
      <c r="G740" s="1" t="s">
        <v>53</v>
      </c>
      <c r="H740" s="1" t="s">
        <v>548</v>
      </c>
      <c r="I740" s="1" t="s">
        <v>549</v>
      </c>
      <c r="J740" s="1" t="s">
        <v>46</v>
      </c>
      <c r="K740" t="s">
        <v>650</v>
      </c>
      <c r="M740" s="1" t="s">
        <v>58</v>
      </c>
      <c r="N740" s="1">
        <v>0</v>
      </c>
      <c r="O740" s="1" t="s">
        <v>105</v>
      </c>
      <c r="P740" s="186">
        <v>44896.553067129629</v>
      </c>
      <c r="R740" s="1">
        <v>4</v>
      </c>
      <c r="T740" s="1" t="s">
        <v>646</v>
      </c>
      <c r="U740" s="186">
        <v>44897.553067129629</v>
      </c>
      <c r="V740" s="1" t="s">
        <v>41</v>
      </c>
      <c r="W740" s="1" t="s">
        <v>49</v>
      </c>
      <c r="X740" s="13" t="str">
        <f>IF(RIGHT(H740,2)&lt;&gt;"00",H740,"")</f>
        <v/>
      </c>
      <c r="Y740" s="2">
        <f ca="1">NETWORKDAYS(P740,$Y$1)</f>
        <v>65</v>
      </c>
      <c r="Z740" s="14">
        <v>1</v>
      </c>
      <c r="AA740" s="1" t="str">
        <f t="shared" ca="1" si="55"/>
        <v>VENCIDO</v>
      </c>
      <c r="AB740" s="1" t="str">
        <f t="shared" si="56"/>
        <v>C-14</v>
      </c>
      <c r="AC740" s="2" t="str">
        <f t="shared" si="57"/>
        <v xml:space="preserve"> CLEITON </v>
      </c>
      <c r="AD740" s="2">
        <f t="shared" si="58"/>
        <v>15</v>
      </c>
      <c r="AE740" s="2">
        <f t="shared" ca="1" si="59"/>
        <v>-89.123204513889505</v>
      </c>
    </row>
    <row r="741" spans="1:31" hidden="1">
      <c r="A741" s="1">
        <v>9128428</v>
      </c>
      <c r="B741" s="1" t="s">
        <v>101</v>
      </c>
      <c r="C741" t="s">
        <v>643</v>
      </c>
      <c r="D741" s="2">
        <v>220195184</v>
      </c>
      <c r="E741" s="2">
        <v>1291001400030</v>
      </c>
      <c r="F741" s="1" t="s">
        <v>647</v>
      </c>
      <c r="G741" s="1" t="s">
        <v>53</v>
      </c>
      <c r="H741" s="1" t="s">
        <v>136</v>
      </c>
      <c r="I741" s="1" t="s">
        <v>137</v>
      </c>
      <c r="J741" s="1" t="s">
        <v>33</v>
      </c>
      <c r="K741" t="s">
        <v>650</v>
      </c>
      <c r="M741" s="1" t="s">
        <v>58</v>
      </c>
      <c r="N741" s="1">
        <v>0</v>
      </c>
      <c r="O741" s="1" t="s">
        <v>105</v>
      </c>
      <c r="P741" s="186">
        <v>44896.551354166666</v>
      </c>
      <c r="R741" s="1">
        <v>4</v>
      </c>
      <c r="T741" s="1" t="s">
        <v>646</v>
      </c>
      <c r="U741" s="186">
        <v>44897.551354166666</v>
      </c>
      <c r="V741" s="1" t="s">
        <v>41</v>
      </c>
      <c r="W741" s="1" t="s">
        <v>42</v>
      </c>
      <c r="X741" s="13" t="str">
        <f>IF(RIGHT(H741,2)&lt;&gt;"00",H741,"")</f>
        <v/>
      </c>
      <c r="Y741" s="2">
        <f ca="1">NETWORKDAYS(P741,$Y$1)</f>
        <v>65</v>
      </c>
      <c r="Z741" s="14">
        <v>1</v>
      </c>
      <c r="AA741" s="1" t="str">
        <f t="shared" ca="1" si="55"/>
        <v>VENCIDO</v>
      </c>
      <c r="AB741" s="1" t="str">
        <f t="shared" si="56"/>
        <v>C-14</v>
      </c>
      <c r="AC741" s="2" t="str">
        <f t="shared" si="57"/>
        <v xml:space="preserve"> ROSEMERE </v>
      </c>
      <c r="AD741" s="2">
        <f t="shared" si="58"/>
        <v>15</v>
      </c>
      <c r="AE741" s="2">
        <f t="shared" ca="1" si="59"/>
        <v>-89.124917476852715</v>
      </c>
    </row>
    <row r="742" spans="1:31" hidden="1">
      <c r="A742" s="1">
        <v>9128421</v>
      </c>
      <c r="B742" s="1" t="s">
        <v>101</v>
      </c>
      <c r="C742" t="s">
        <v>643</v>
      </c>
      <c r="D742" s="2">
        <v>220195177</v>
      </c>
      <c r="E742" s="2">
        <v>1264001400030</v>
      </c>
      <c r="F742" s="1" t="s">
        <v>647</v>
      </c>
      <c r="G742" s="1" t="s">
        <v>53</v>
      </c>
      <c r="H742" s="1" t="s">
        <v>351</v>
      </c>
      <c r="I742" s="1" t="s">
        <v>352</v>
      </c>
      <c r="J742" s="1" t="s">
        <v>110</v>
      </c>
      <c r="K742" t="s">
        <v>650</v>
      </c>
      <c r="M742" s="1" t="s">
        <v>58</v>
      </c>
      <c r="N742" s="1">
        <v>0</v>
      </c>
      <c r="O742" s="1" t="s">
        <v>105</v>
      </c>
      <c r="P742" s="186">
        <v>44896.550949074073</v>
      </c>
      <c r="R742" s="1">
        <v>4</v>
      </c>
      <c r="T742" s="1" t="s">
        <v>646</v>
      </c>
      <c r="U742" s="186">
        <v>44897.550949074073</v>
      </c>
      <c r="V742" s="1" t="s">
        <v>41</v>
      </c>
      <c r="W742" s="1" t="s">
        <v>49</v>
      </c>
      <c r="X742" s="13" t="str">
        <f>IF(RIGHT(H742,2)&lt;&gt;"00",H742,"")</f>
        <v/>
      </c>
      <c r="Y742" s="2">
        <f ca="1">NETWORKDAYS(P742,$Y$1)</f>
        <v>65</v>
      </c>
      <c r="Z742" s="14">
        <v>1</v>
      </c>
      <c r="AA742" s="1" t="str">
        <f t="shared" ca="1" si="55"/>
        <v>VENCIDO</v>
      </c>
      <c r="AB742" s="1" t="str">
        <f t="shared" si="56"/>
        <v>C-14</v>
      </c>
      <c r="AC742" s="2" t="str">
        <f t="shared" si="57"/>
        <v xml:space="preserve"> CRISTINA </v>
      </c>
      <c r="AD742" s="2">
        <f t="shared" si="58"/>
        <v>15</v>
      </c>
      <c r="AE742" s="2">
        <f t="shared" ca="1" si="59"/>
        <v>-89.125322569445416</v>
      </c>
    </row>
    <row r="743" spans="1:31" hidden="1">
      <c r="A743" s="1">
        <v>9128414</v>
      </c>
      <c r="B743" s="1" t="s">
        <v>101</v>
      </c>
      <c r="C743" t="s">
        <v>643</v>
      </c>
      <c r="D743" s="2">
        <v>220195170</v>
      </c>
      <c r="E743" s="2">
        <v>1245001400030</v>
      </c>
      <c r="F743" s="1" t="s">
        <v>647</v>
      </c>
      <c r="G743" s="1" t="s">
        <v>53</v>
      </c>
      <c r="H743" s="1" t="s">
        <v>408</v>
      </c>
      <c r="I743" s="1" t="s">
        <v>409</v>
      </c>
      <c r="J743" s="1" t="s">
        <v>46</v>
      </c>
      <c r="K743" t="s">
        <v>650</v>
      </c>
      <c r="M743" s="1" t="s">
        <v>58</v>
      </c>
      <c r="N743" s="1">
        <v>0</v>
      </c>
      <c r="O743" s="1" t="s">
        <v>105</v>
      </c>
      <c r="P743" s="186">
        <v>44896.550543981481</v>
      </c>
      <c r="R743" s="1">
        <v>4</v>
      </c>
      <c r="T743" s="1" t="s">
        <v>646</v>
      </c>
      <c r="U743" s="186">
        <v>44897.550555555557</v>
      </c>
      <c r="V743" s="1" t="s">
        <v>41</v>
      </c>
      <c r="W743" s="1" t="s">
        <v>49</v>
      </c>
      <c r="X743" s="13" t="str">
        <f>IF(RIGHT(H743,2)&lt;&gt;"00",H743,"")</f>
        <v/>
      </c>
      <c r="Y743" s="2">
        <f ca="1">NETWORKDAYS(P743,$Y$1)</f>
        <v>65</v>
      </c>
      <c r="Z743" s="14">
        <v>1</v>
      </c>
      <c r="AA743" s="1" t="str">
        <f t="shared" ca="1" si="55"/>
        <v>VENCIDO</v>
      </c>
      <c r="AB743" s="1" t="str">
        <f t="shared" si="56"/>
        <v>C-14</v>
      </c>
      <c r="AC743" s="2" t="str">
        <f t="shared" si="57"/>
        <v xml:space="preserve"> CLEITON </v>
      </c>
      <c r="AD743" s="2">
        <f t="shared" si="58"/>
        <v>15</v>
      </c>
      <c r="AE743" s="2">
        <f t="shared" ca="1" si="59"/>
        <v>-89.125716087961337</v>
      </c>
    </row>
    <row r="744" spans="1:31" hidden="1">
      <c r="A744" s="1">
        <v>9128339</v>
      </c>
      <c r="B744" s="1" t="s">
        <v>101</v>
      </c>
      <c r="C744" t="s">
        <v>643</v>
      </c>
      <c r="D744" s="2">
        <v>220194788</v>
      </c>
      <c r="E744" s="2">
        <v>550001400030</v>
      </c>
      <c r="F744" s="1" t="s">
        <v>647</v>
      </c>
      <c r="G744" s="1" t="s">
        <v>53</v>
      </c>
      <c r="H744" s="1" t="s">
        <v>337</v>
      </c>
      <c r="I744" s="1" t="s">
        <v>338</v>
      </c>
      <c r="J744" s="1" t="s">
        <v>164</v>
      </c>
      <c r="K744" t="s">
        <v>650</v>
      </c>
      <c r="M744" s="1" t="s">
        <v>58</v>
      </c>
      <c r="N744" s="1">
        <v>0</v>
      </c>
      <c r="O744" s="1" t="s">
        <v>105</v>
      </c>
      <c r="P744" s="186">
        <v>44896.547627314816</v>
      </c>
      <c r="R744" s="1">
        <v>4</v>
      </c>
      <c r="T744" s="1" t="s">
        <v>646</v>
      </c>
      <c r="U744" s="186">
        <v>44897.547638888886</v>
      </c>
      <c r="V744" s="1" t="s">
        <v>41</v>
      </c>
      <c r="W744" s="1" t="s">
        <v>49</v>
      </c>
      <c r="X744" s="13" t="str">
        <f>IF(RIGHT(H744,2)&lt;&gt;"00",H744,"")</f>
        <v/>
      </c>
      <c r="Y744" s="2">
        <f ca="1">NETWORKDAYS(P744,$Y$1)</f>
        <v>65</v>
      </c>
      <c r="Z744" s="14">
        <v>1</v>
      </c>
      <c r="AA744" s="1" t="str">
        <f t="shared" ca="1" si="55"/>
        <v>VENCIDO</v>
      </c>
      <c r="AB744" s="1" t="str">
        <f t="shared" si="56"/>
        <v>C-14</v>
      </c>
      <c r="AC744" s="2" t="str">
        <f t="shared" si="57"/>
        <v xml:space="preserve"> ROSEMERE </v>
      </c>
      <c r="AD744" s="2">
        <f t="shared" si="58"/>
        <v>15</v>
      </c>
      <c r="AE744" s="2">
        <f t="shared" ca="1" si="59"/>
        <v>-89.128632754633145</v>
      </c>
    </row>
    <row r="745" spans="1:31" hidden="1">
      <c r="A745" s="1">
        <v>9128332</v>
      </c>
      <c r="B745" s="1" t="s">
        <v>101</v>
      </c>
      <c r="C745" t="s">
        <v>643</v>
      </c>
      <c r="D745" s="2">
        <v>220194783</v>
      </c>
      <c r="E745" s="2">
        <v>537001400030</v>
      </c>
      <c r="F745" s="1" t="s">
        <v>647</v>
      </c>
      <c r="G745" s="1" t="s">
        <v>53</v>
      </c>
      <c r="H745" s="1" t="s">
        <v>442</v>
      </c>
      <c r="I745" s="1" t="s">
        <v>443</v>
      </c>
      <c r="J745" s="1" t="s">
        <v>79</v>
      </c>
      <c r="K745" t="s">
        <v>650</v>
      </c>
      <c r="M745" s="1" t="s">
        <v>58</v>
      </c>
      <c r="N745" s="1">
        <v>0</v>
      </c>
      <c r="O745" s="1" t="s">
        <v>105</v>
      </c>
      <c r="P745" s="186">
        <v>44896.547268518516</v>
      </c>
      <c r="R745" s="1">
        <v>4</v>
      </c>
      <c r="T745" s="1" t="s">
        <v>646</v>
      </c>
      <c r="U745" s="186">
        <v>44897.547268518516</v>
      </c>
      <c r="V745" s="1" t="s">
        <v>41</v>
      </c>
      <c r="W745" s="1" t="s">
        <v>49</v>
      </c>
      <c r="X745" s="13" t="str">
        <f>IF(RIGHT(H745,2)&lt;&gt;"00",H745,"")</f>
        <v/>
      </c>
      <c r="Y745" s="2">
        <f ca="1">NETWORKDAYS(P745,$Y$1)</f>
        <v>65</v>
      </c>
      <c r="Z745" s="14">
        <v>1</v>
      </c>
      <c r="AA745" s="1" t="str">
        <f t="shared" ca="1" si="55"/>
        <v>VENCIDO</v>
      </c>
      <c r="AB745" s="1" t="str">
        <f t="shared" si="56"/>
        <v>C-14</v>
      </c>
      <c r="AC745" s="2" t="str">
        <f t="shared" si="57"/>
        <v xml:space="preserve"> ROSEMERE </v>
      </c>
      <c r="AD745" s="2">
        <f t="shared" si="58"/>
        <v>15</v>
      </c>
      <c r="AE745" s="2">
        <f t="shared" ca="1" si="59"/>
        <v>-89.129003125002782</v>
      </c>
    </row>
    <row r="746" spans="1:31" hidden="1">
      <c r="A746" s="1">
        <v>9128237</v>
      </c>
      <c r="B746" s="1" t="s">
        <v>101</v>
      </c>
      <c r="C746" t="s">
        <v>643</v>
      </c>
      <c r="D746" s="2">
        <v>220194807</v>
      </c>
      <c r="E746" s="2">
        <v>582001400030</v>
      </c>
      <c r="F746" s="1" t="s">
        <v>647</v>
      </c>
      <c r="G746" s="1" t="s">
        <v>53</v>
      </c>
      <c r="H746" s="1" t="s">
        <v>139</v>
      </c>
      <c r="I746" s="1" t="s">
        <v>140</v>
      </c>
      <c r="J746" s="1" t="s">
        <v>141</v>
      </c>
      <c r="K746" t="s">
        <v>650</v>
      </c>
      <c r="M746" s="1" t="s">
        <v>58</v>
      </c>
      <c r="N746" s="1">
        <v>0</v>
      </c>
      <c r="O746" s="1" t="s">
        <v>105</v>
      </c>
      <c r="P746" s="186">
        <v>44896.542384259257</v>
      </c>
      <c r="R746" s="1">
        <v>4</v>
      </c>
      <c r="T746" s="1" t="s">
        <v>646</v>
      </c>
      <c r="U746" s="186">
        <v>44897.542384259257</v>
      </c>
      <c r="V746" s="1" t="s">
        <v>41</v>
      </c>
      <c r="W746" s="1" t="s">
        <v>49</v>
      </c>
      <c r="X746" s="13" t="str">
        <f>IF(RIGHT(H746,2)&lt;&gt;"00",H746,"")</f>
        <v/>
      </c>
      <c r="Y746" s="2">
        <f ca="1">NETWORKDAYS(P746,$Y$1)</f>
        <v>65</v>
      </c>
      <c r="Z746" s="14">
        <v>1</v>
      </c>
      <c r="AA746" s="1" t="str">
        <f t="shared" ca="1" si="55"/>
        <v>VENCIDO</v>
      </c>
      <c r="AB746" s="1" t="str">
        <f t="shared" si="56"/>
        <v>C-14</v>
      </c>
      <c r="AC746" s="2" t="str">
        <f t="shared" si="57"/>
        <v xml:space="preserve"> CRISTINA </v>
      </c>
      <c r="AD746" s="2">
        <f t="shared" si="58"/>
        <v>15</v>
      </c>
      <c r="AE746" s="2">
        <f t="shared" ca="1" si="59"/>
        <v>-89.13388738426147</v>
      </c>
    </row>
    <row r="747" spans="1:31" hidden="1">
      <c r="A747" s="1">
        <v>9128165</v>
      </c>
      <c r="B747" s="1" t="s">
        <v>101</v>
      </c>
      <c r="C747" t="s">
        <v>643</v>
      </c>
      <c r="D747" s="2">
        <v>220194363</v>
      </c>
      <c r="E747" s="2">
        <v>5755001400010</v>
      </c>
      <c r="F747" s="1" t="s">
        <v>936</v>
      </c>
      <c r="G747" s="1" t="s">
        <v>53</v>
      </c>
      <c r="H747" s="1" t="s">
        <v>841</v>
      </c>
      <c r="I747" s="1" t="s">
        <v>842</v>
      </c>
      <c r="J747" s="1" t="s">
        <v>46</v>
      </c>
      <c r="K747" t="s">
        <v>937</v>
      </c>
      <c r="M747" s="1" t="s">
        <v>58</v>
      </c>
      <c r="N747" s="1">
        <v>0</v>
      </c>
      <c r="O747" s="1" t="s">
        <v>105</v>
      </c>
      <c r="P747" s="186">
        <v>44896.5387962963</v>
      </c>
      <c r="R747" s="1">
        <v>3</v>
      </c>
      <c r="T747" s="1" t="s">
        <v>646</v>
      </c>
      <c r="U747" s="186">
        <v>44897.5387962963</v>
      </c>
      <c r="V747" s="1" t="s">
        <v>41</v>
      </c>
      <c r="W747" s="1" t="s">
        <v>49</v>
      </c>
      <c r="X747" s="13" t="str">
        <f>IF(RIGHT(H747,2)&lt;&gt;"00",H747,"")</f>
        <v/>
      </c>
      <c r="Y747" s="2">
        <f ca="1">NETWORKDAYS(P747,$Y$1)</f>
        <v>65</v>
      </c>
      <c r="Z747" s="14">
        <v>1</v>
      </c>
      <c r="AA747" s="1" t="str">
        <f t="shared" ca="1" si="55"/>
        <v>VENCIDO</v>
      </c>
      <c r="AB747" s="1" t="str">
        <f t="shared" si="56"/>
        <v>C-14</v>
      </c>
      <c r="AC747" s="2" t="str">
        <f t="shared" si="57"/>
        <v xml:space="preserve"> CLEITON </v>
      </c>
      <c r="AD747" s="2">
        <f t="shared" si="58"/>
        <v>5</v>
      </c>
      <c r="AE747" s="2">
        <f t="shared" ca="1" si="59"/>
        <v>-89.137475347219151</v>
      </c>
    </row>
    <row r="748" spans="1:31" hidden="1">
      <c r="A748" s="1">
        <v>9128005</v>
      </c>
      <c r="B748" s="1" t="s">
        <v>101</v>
      </c>
      <c r="C748" t="s">
        <v>643</v>
      </c>
      <c r="D748" s="2">
        <v>220193965</v>
      </c>
      <c r="E748" s="2">
        <v>4012001400010</v>
      </c>
      <c r="F748" s="1" t="s">
        <v>936</v>
      </c>
      <c r="G748" s="1" t="s">
        <v>53</v>
      </c>
      <c r="H748" s="1" t="s">
        <v>349</v>
      </c>
      <c r="I748" s="1" t="s">
        <v>350</v>
      </c>
      <c r="J748" s="1" t="s">
        <v>261</v>
      </c>
      <c r="K748" t="s">
        <v>937</v>
      </c>
      <c r="M748" s="1" t="s">
        <v>58</v>
      </c>
      <c r="N748" s="1">
        <v>0</v>
      </c>
      <c r="O748" s="1" t="s">
        <v>105</v>
      </c>
      <c r="P748" s="186">
        <v>44896.531909722224</v>
      </c>
      <c r="R748" s="1">
        <v>3</v>
      </c>
      <c r="T748" s="1" t="s">
        <v>646</v>
      </c>
      <c r="U748" s="186">
        <v>44897.531921296293</v>
      </c>
      <c r="V748" s="1" t="s">
        <v>41</v>
      </c>
      <c r="W748" s="1" t="s">
        <v>49</v>
      </c>
      <c r="X748" s="13" t="str">
        <f>IF(RIGHT(H748,2)&lt;&gt;"00",H748,"")</f>
        <v/>
      </c>
      <c r="Y748" s="2">
        <f ca="1">NETWORKDAYS(P748,$Y$1)</f>
        <v>65</v>
      </c>
      <c r="Z748" s="14">
        <v>1</v>
      </c>
      <c r="AA748" s="1" t="str">
        <f t="shared" ca="1" si="55"/>
        <v>VENCIDO</v>
      </c>
      <c r="AB748" s="1" t="str">
        <f t="shared" si="56"/>
        <v>C-14</v>
      </c>
      <c r="AC748" s="2" t="str">
        <f t="shared" si="57"/>
        <v xml:space="preserve"> CRISTINA </v>
      </c>
      <c r="AD748" s="2">
        <f t="shared" si="58"/>
        <v>5</v>
      </c>
      <c r="AE748" s="2">
        <f t="shared" ca="1" si="59"/>
        <v>-89.144350347225554</v>
      </c>
    </row>
    <row r="749" spans="1:31" hidden="1">
      <c r="A749" s="1">
        <v>9127889</v>
      </c>
      <c r="B749" s="1" t="s">
        <v>101</v>
      </c>
      <c r="C749" t="s">
        <v>643</v>
      </c>
      <c r="D749" s="2">
        <v>220193587</v>
      </c>
      <c r="E749" s="2">
        <v>2326001400010</v>
      </c>
      <c r="F749" s="1" t="s">
        <v>936</v>
      </c>
      <c r="G749" s="1" t="s">
        <v>53</v>
      </c>
      <c r="H749" s="1" t="s">
        <v>191</v>
      </c>
      <c r="I749" s="1" t="s">
        <v>192</v>
      </c>
      <c r="J749" s="1" t="s">
        <v>46</v>
      </c>
      <c r="K749" t="s">
        <v>937</v>
      </c>
      <c r="M749" s="1" t="s">
        <v>58</v>
      </c>
      <c r="N749" s="1">
        <v>0</v>
      </c>
      <c r="O749" s="1" t="s">
        <v>105</v>
      </c>
      <c r="P749" s="186">
        <v>44896.527627314812</v>
      </c>
      <c r="R749" s="1">
        <v>3</v>
      </c>
      <c r="T749" s="1" t="s">
        <v>646</v>
      </c>
      <c r="U749" s="186">
        <v>44897.527627314812</v>
      </c>
      <c r="V749" s="1" t="s">
        <v>41</v>
      </c>
      <c r="W749" s="1" t="s">
        <v>49</v>
      </c>
      <c r="X749" s="13" t="str">
        <f>IF(RIGHT(H749,2)&lt;&gt;"00",H749,"")</f>
        <v/>
      </c>
      <c r="Y749" s="2">
        <f ca="1">NETWORKDAYS(P749,$Y$1)</f>
        <v>65</v>
      </c>
      <c r="Z749" s="14">
        <v>1</v>
      </c>
      <c r="AA749" s="1" t="str">
        <f t="shared" ca="1" si="55"/>
        <v>VENCIDO</v>
      </c>
      <c r="AB749" s="1" t="str">
        <f t="shared" si="56"/>
        <v>C-14</v>
      </c>
      <c r="AC749" s="2" t="str">
        <f t="shared" si="57"/>
        <v xml:space="preserve"> CLEITON </v>
      </c>
      <c r="AD749" s="2">
        <f t="shared" si="58"/>
        <v>5</v>
      </c>
      <c r="AE749" s="2">
        <f t="shared" ca="1" si="59"/>
        <v>-89.148644328706723</v>
      </c>
    </row>
    <row r="750" spans="1:31" hidden="1">
      <c r="A750" s="1">
        <v>9127850</v>
      </c>
      <c r="B750" s="1" t="s">
        <v>101</v>
      </c>
      <c r="C750" t="s">
        <v>643</v>
      </c>
      <c r="D750" s="2">
        <v>220193445</v>
      </c>
      <c r="E750" s="2">
        <v>1732001400010</v>
      </c>
      <c r="F750" s="1" t="s">
        <v>936</v>
      </c>
      <c r="G750" s="1" t="s">
        <v>53</v>
      </c>
      <c r="H750" s="1" t="s">
        <v>177</v>
      </c>
      <c r="I750" s="1" t="s">
        <v>178</v>
      </c>
      <c r="J750" s="1" t="s">
        <v>164</v>
      </c>
      <c r="K750" t="s">
        <v>937</v>
      </c>
      <c r="M750" s="1" t="s">
        <v>58</v>
      </c>
      <c r="N750" s="1">
        <v>0</v>
      </c>
      <c r="O750" s="1" t="s">
        <v>105</v>
      </c>
      <c r="P750" s="186">
        <v>44896.526493055557</v>
      </c>
      <c r="R750" s="1">
        <v>3</v>
      </c>
      <c r="T750" s="1" t="s">
        <v>646</v>
      </c>
      <c r="U750" s="186">
        <v>44897.526493055557</v>
      </c>
      <c r="V750" s="1" t="s">
        <v>41</v>
      </c>
      <c r="W750" s="1" t="s">
        <v>49</v>
      </c>
      <c r="X750" s="13" t="str">
        <f>IF(RIGHT(H750,2)&lt;&gt;"00",H750,"")</f>
        <v/>
      </c>
      <c r="Y750" s="2">
        <f ca="1">NETWORKDAYS(P750,$Y$1)</f>
        <v>65</v>
      </c>
      <c r="Z750" s="14">
        <v>1</v>
      </c>
      <c r="AA750" s="1" t="str">
        <f t="shared" ca="1" si="55"/>
        <v>VENCIDO</v>
      </c>
      <c r="AB750" s="1" t="str">
        <f t="shared" si="56"/>
        <v>C-14</v>
      </c>
      <c r="AC750" s="2" t="str">
        <f t="shared" si="57"/>
        <v xml:space="preserve"> ROSEMERE </v>
      </c>
      <c r="AD750" s="2">
        <f t="shared" si="58"/>
        <v>5</v>
      </c>
      <c r="AE750" s="2">
        <f t="shared" ca="1" si="59"/>
        <v>-89.149778587961919</v>
      </c>
    </row>
    <row r="751" spans="1:31" hidden="1">
      <c r="A751" s="1">
        <v>9127804</v>
      </c>
      <c r="B751" s="1" t="s">
        <v>101</v>
      </c>
      <c r="C751" t="s">
        <v>643</v>
      </c>
      <c r="D751" s="2">
        <v>220193422</v>
      </c>
      <c r="E751" s="2">
        <v>1664001400010</v>
      </c>
      <c r="F751" s="1" t="s">
        <v>936</v>
      </c>
      <c r="G751" s="1" t="s">
        <v>53</v>
      </c>
      <c r="H751" s="1" t="s">
        <v>307</v>
      </c>
      <c r="I751" s="1" t="s">
        <v>308</v>
      </c>
      <c r="J751" s="1" t="s">
        <v>164</v>
      </c>
      <c r="K751" t="s">
        <v>937</v>
      </c>
      <c r="M751" s="1" t="s">
        <v>58</v>
      </c>
      <c r="N751" s="1">
        <v>0</v>
      </c>
      <c r="O751" s="1" t="s">
        <v>105</v>
      </c>
      <c r="P751" s="186">
        <v>44896.523692129631</v>
      </c>
      <c r="R751" s="1">
        <v>3</v>
      </c>
      <c r="T751" s="1" t="s">
        <v>646</v>
      </c>
      <c r="U751" s="186">
        <v>44897.523692129631</v>
      </c>
      <c r="V751" s="1" t="s">
        <v>41</v>
      </c>
      <c r="W751" s="1" t="s">
        <v>49</v>
      </c>
      <c r="X751" s="13" t="str">
        <f>IF(RIGHT(H751,2)&lt;&gt;"00",H751,"")</f>
        <v/>
      </c>
      <c r="Y751" s="2">
        <f ca="1">NETWORKDAYS(P751,$Y$1)</f>
        <v>65</v>
      </c>
      <c r="Z751" s="14">
        <v>1</v>
      </c>
      <c r="AA751" s="1" t="str">
        <f t="shared" ca="1" si="55"/>
        <v>VENCIDO</v>
      </c>
      <c r="AB751" s="1" t="str">
        <f t="shared" si="56"/>
        <v>C-14</v>
      </c>
      <c r="AC751" s="2" t="str">
        <f t="shared" si="57"/>
        <v xml:space="preserve"> ROSEMERE </v>
      </c>
      <c r="AD751" s="2">
        <f t="shared" si="58"/>
        <v>5</v>
      </c>
      <c r="AE751" s="2">
        <f t="shared" ca="1" si="59"/>
        <v>-89.152579513887758</v>
      </c>
    </row>
    <row r="752" spans="1:31" hidden="1">
      <c r="A752" s="1">
        <v>9127801</v>
      </c>
      <c r="B752" s="1" t="s">
        <v>101</v>
      </c>
      <c r="C752" t="s">
        <v>643</v>
      </c>
      <c r="D752" s="2">
        <v>220193719</v>
      </c>
      <c r="E752" s="2">
        <v>2802001400010</v>
      </c>
      <c r="F752" s="1" t="s">
        <v>936</v>
      </c>
      <c r="G752" s="1" t="s">
        <v>53</v>
      </c>
      <c r="H752" s="1" t="s">
        <v>388</v>
      </c>
      <c r="I752" s="1" t="s">
        <v>389</v>
      </c>
      <c r="J752" s="1" t="s">
        <v>46</v>
      </c>
      <c r="K752" t="s">
        <v>937</v>
      </c>
      <c r="M752" s="1" t="s">
        <v>58</v>
      </c>
      <c r="N752" s="1">
        <v>0</v>
      </c>
      <c r="O752" s="1" t="s">
        <v>105</v>
      </c>
      <c r="P752" s="186">
        <v>44896.5234837963</v>
      </c>
      <c r="R752" s="1">
        <v>3</v>
      </c>
      <c r="T752" s="1" t="s">
        <v>646</v>
      </c>
      <c r="U752" s="186">
        <v>44897.5234837963</v>
      </c>
      <c r="V752" s="1" t="s">
        <v>41</v>
      </c>
      <c r="W752" s="1" t="s">
        <v>49</v>
      </c>
      <c r="X752" s="13" t="str">
        <f>IF(RIGHT(H752,2)&lt;&gt;"00",H752,"")</f>
        <v/>
      </c>
      <c r="Y752" s="2">
        <f ca="1">NETWORKDAYS(P752,$Y$1)</f>
        <v>65</v>
      </c>
      <c r="Z752" s="14">
        <v>1</v>
      </c>
      <c r="AA752" s="1" t="str">
        <f t="shared" ca="1" si="55"/>
        <v>VENCIDO</v>
      </c>
      <c r="AB752" s="1" t="str">
        <f t="shared" si="56"/>
        <v>C-14</v>
      </c>
      <c r="AC752" s="2" t="str">
        <f t="shared" si="57"/>
        <v xml:space="preserve"> CLEITON </v>
      </c>
      <c r="AD752" s="2">
        <f t="shared" si="58"/>
        <v>5</v>
      </c>
      <c r="AE752" s="2">
        <f t="shared" ca="1" si="59"/>
        <v>-89.15278784721886</v>
      </c>
    </row>
    <row r="753" spans="1:31" hidden="1">
      <c r="A753" s="1">
        <v>9127762</v>
      </c>
      <c r="B753" s="1" t="s">
        <v>101</v>
      </c>
      <c r="C753" t="s">
        <v>643</v>
      </c>
      <c r="D753" s="2">
        <v>220193223</v>
      </c>
      <c r="E753" s="2">
        <v>1162001400010</v>
      </c>
      <c r="F753" s="1" t="s">
        <v>936</v>
      </c>
      <c r="G753" s="1" t="s">
        <v>53</v>
      </c>
      <c r="H753" s="1" t="s">
        <v>280</v>
      </c>
      <c r="I753" s="1" t="s">
        <v>281</v>
      </c>
      <c r="J753" s="1" t="s">
        <v>211</v>
      </c>
      <c r="K753" t="s">
        <v>937</v>
      </c>
      <c r="M753" s="1" t="s">
        <v>58</v>
      </c>
      <c r="N753" s="1">
        <v>0</v>
      </c>
      <c r="O753" s="1" t="s">
        <v>105</v>
      </c>
      <c r="P753" s="186">
        <v>44896.521273148152</v>
      </c>
      <c r="R753" s="1">
        <v>3</v>
      </c>
      <c r="T753" s="1" t="s">
        <v>646</v>
      </c>
      <c r="U753" s="186">
        <v>44897.521273148152</v>
      </c>
      <c r="V753" s="1" t="s">
        <v>41</v>
      </c>
      <c r="W753" s="1" t="s">
        <v>49</v>
      </c>
      <c r="X753" s="13" t="str">
        <f>IF(RIGHT(H753,2)&lt;&gt;"00",H753,"")</f>
        <v/>
      </c>
      <c r="Y753" s="2">
        <f ca="1">NETWORKDAYS(P753,$Y$1)</f>
        <v>65</v>
      </c>
      <c r="Z753" s="14">
        <v>1</v>
      </c>
      <c r="AA753" s="1" t="str">
        <f t="shared" ca="1" si="55"/>
        <v>VENCIDO</v>
      </c>
      <c r="AB753" s="1" t="str">
        <f t="shared" si="56"/>
        <v>C-14</v>
      </c>
      <c r="AC753" s="2" t="str">
        <f t="shared" si="57"/>
        <v xml:space="preserve"> RINALDO </v>
      </c>
      <c r="AD753" s="2">
        <f t="shared" si="58"/>
        <v>5</v>
      </c>
      <c r="AE753" s="2">
        <f t="shared" ca="1" si="59"/>
        <v>-89.154998495367181</v>
      </c>
    </row>
    <row r="754" spans="1:31" hidden="1">
      <c r="A754" s="1">
        <v>9127748</v>
      </c>
      <c r="B754" s="1" t="s">
        <v>101</v>
      </c>
      <c r="C754" t="s">
        <v>643</v>
      </c>
      <c r="D754" s="2">
        <v>220193209</v>
      </c>
      <c r="E754" s="2">
        <v>1138001400010</v>
      </c>
      <c r="F754" s="1" t="s">
        <v>936</v>
      </c>
      <c r="G754" s="1" t="s">
        <v>53</v>
      </c>
      <c r="H754" s="1" t="s">
        <v>548</v>
      </c>
      <c r="I754" s="1" t="s">
        <v>549</v>
      </c>
      <c r="J754" s="1" t="s">
        <v>46</v>
      </c>
      <c r="K754" t="s">
        <v>937</v>
      </c>
      <c r="M754" s="1" t="s">
        <v>58</v>
      </c>
      <c r="N754" s="1">
        <v>0</v>
      </c>
      <c r="O754" s="1" t="s">
        <v>105</v>
      </c>
      <c r="P754" s="186">
        <v>44896.520439814813</v>
      </c>
      <c r="R754" s="1">
        <v>3</v>
      </c>
      <c r="T754" s="1" t="s">
        <v>646</v>
      </c>
      <c r="U754" s="186">
        <v>44897.520439814813</v>
      </c>
      <c r="V754" s="1" t="s">
        <v>41</v>
      </c>
      <c r="W754" s="1" t="s">
        <v>49</v>
      </c>
      <c r="X754" s="13" t="str">
        <f>IF(RIGHT(H754,2)&lt;&gt;"00",H754,"")</f>
        <v/>
      </c>
      <c r="Y754" s="2">
        <f ca="1">NETWORKDAYS(P754,$Y$1)</f>
        <v>65</v>
      </c>
      <c r="Z754" s="14">
        <v>1</v>
      </c>
      <c r="AA754" s="1" t="str">
        <f t="shared" ca="1" si="55"/>
        <v>VENCIDO</v>
      </c>
      <c r="AB754" s="1" t="str">
        <f t="shared" si="56"/>
        <v>C-14</v>
      </c>
      <c r="AC754" s="2" t="str">
        <f t="shared" si="57"/>
        <v xml:space="preserve"> CLEITON </v>
      </c>
      <c r="AD754" s="2">
        <f t="shared" si="58"/>
        <v>5</v>
      </c>
      <c r="AE754" s="2">
        <f t="shared" ca="1" si="59"/>
        <v>-89.155831828706141</v>
      </c>
    </row>
    <row r="755" spans="1:31" hidden="1">
      <c r="A755" s="1">
        <v>9127732</v>
      </c>
      <c r="B755" s="1" t="s">
        <v>101</v>
      </c>
      <c r="C755" t="s">
        <v>643</v>
      </c>
      <c r="D755" s="2">
        <v>220193201</v>
      </c>
      <c r="E755" s="2">
        <v>1120001400010</v>
      </c>
      <c r="F755" s="1" t="s">
        <v>936</v>
      </c>
      <c r="G755" s="1" t="s">
        <v>53</v>
      </c>
      <c r="H755" s="1" t="s">
        <v>181</v>
      </c>
      <c r="I755" s="1" t="s">
        <v>182</v>
      </c>
      <c r="J755" s="1" t="s">
        <v>164</v>
      </c>
      <c r="K755" t="s">
        <v>937</v>
      </c>
      <c r="M755" s="1" t="s">
        <v>58</v>
      </c>
      <c r="N755" s="1">
        <v>0</v>
      </c>
      <c r="O755" s="1" t="s">
        <v>105</v>
      </c>
      <c r="P755" s="186">
        <v>44896.519768518519</v>
      </c>
      <c r="R755" s="1">
        <v>3</v>
      </c>
      <c r="T755" s="1" t="s">
        <v>646</v>
      </c>
      <c r="U755" s="186">
        <v>44897.519780092596</v>
      </c>
      <c r="V755" s="1" t="s">
        <v>41</v>
      </c>
      <c r="W755" s="1" t="s">
        <v>49</v>
      </c>
      <c r="X755" s="13" t="str">
        <f>IF(RIGHT(H755,2)&lt;&gt;"00",H755,"")</f>
        <v/>
      </c>
      <c r="Y755" s="2">
        <f ca="1">NETWORKDAYS(P755,$Y$1)</f>
        <v>65</v>
      </c>
      <c r="Z755" s="14">
        <v>1</v>
      </c>
      <c r="AA755" s="1" t="str">
        <f t="shared" ca="1" si="55"/>
        <v>VENCIDO</v>
      </c>
      <c r="AB755" s="1" t="str">
        <f t="shared" si="56"/>
        <v>C-14</v>
      </c>
      <c r="AC755" s="2" t="str">
        <f t="shared" si="57"/>
        <v xml:space="preserve"> ROSEMERE </v>
      </c>
      <c r="AD755" s="2">
        <f t="shared" si="58"/>
        <v>5</v>
      </c>
      <c r="AE755" s="2">
        <f t="shared" ca="1" si="59"/>
        <v>-89.15649155092251</v>
      </c>
    </row>
    <row r="756" spans="1:31" hidden="1">
      <c r="A756" s="1">
        <v>9127696</v>
      </c>
      <c r="B756" s="1" t="s">
        <v>101</v>
      </c>
      <c r="C756" t="s">
        <v>643</v>
      </c>
      <c r="D756" s="2">
        <v>220193173</v>
      </c>
      <c r="E756" s="2">
        <v>1069001400010</v>
      </c>
      <c r="F756" s="1" t="s">
        <v>936</v>
      </c>
      <c r="G756" s="1" t="s">
        <v>53</v>
      </c>
      <c r="H756" s="1" t="s">
        <v>353</v>
      </c>
      <c r="I756" s="1" t="s">
        <v>354</v>
      </c>
      <c r="J756" s="1" t="s">
        <v>211</v>
      </c>
      <c r="K756" t="s">
        <v>937</v>
      </c>
      <c r="M756" s="1" t="s">
        <v>58</v>
      </c>
      <c r="N756" s="1">
        <v>0</v>
      </c>
      <c r="O756" s="1" t="s">
        <v>105</v>
      </c>
      <c r="P756" s="186">
        <v>44896.518217592595</v>
      </c>
      <c r="R756" s="1">
        <v>3</v>
      </c>
      <c r="T756" s="1" t="s">
        <v>646</v>
      </c>
      <c r="U756" s="186">
        <v>44897.518217592595</v>
      </c>
      <c r="V756" s="1" t="s">
        <v>41</v>
      </c>
      <c r="W756" s="1" t="s">
        <v>49</v>
      </c>
      <c r="X756" s="13" t="str">
        <f>IF(RIGHT(H756,2)&lt;&gt;"00",H756,"")</f>
        <v/>
      </c>
      <c r="Y756" s="2">
        <f ca="1">NETWORKDAYS(P756,$Y$1)</f>
        <v>65</v>
      </c>
      <c r="Z756" s="14">
        <v>1</v>
      </c>
      <c r="AA756" s="1" t="str">
        <f t="shared" ca="1" si="55"/>
        <v>VENCIDO</v>
      </c>
      <c r="AB756" s="1" t="str">
        <f t="shared" si="56"/>
        <v>C-14</v>
      </c>
      <c r="AC756" s="2" t="str">
        <f t="shared" si="57"/>
        <v xml:space="preserve"> RINALDO </v>
      </c>
      <c r="AD756" s="2">
        <f t="shared" si="58"/>
        <v>5</v>
      </c>
      <c r="AE756" s="2">
        <f t="shared" ca="1" si="59"/>
        <v>-89.158054050923965</v>
      </c>
    </row>
    <row r="757" spans="1:31" hidden="1">
      <c r="A757" s="1">
        <v>9127689</v>
      </c>
      <c r="B757" s="1" t="s">
        <v>101</v>
      </c>
      <c r="C757" t="s">
        <v>643</v>
      </c>
      <c r="D757" s="2">
        <v>220193166</v>
      </c>
      <c r="E757" s="2">
        <v>1049001400010</v>
      </c>
      <c r="F757" s="1" t="s">
        <v>936</v>
      </c>
      <c r="G757" s="1" t="s">
        <v>53</v>
      </c>
      <c r="H757" s="1" t="s">
        <v>169</v>
      </c>
      <c r="I757" s="1" t="s">
        <v>170</v>
      </c>
      <c r="J757" s="1" t="s">
        <v>164</v>
      </c>
      <c r="K757" t="s">
        <v>937</v>
      </c>
      <c r="M757" s="1" t="s">
        <v>58</v>
      </c>
      <c r="N757" s="1">
        <v>0</v>
      </c>
      <c r="O757" s="1" t="s">
        <v>105</v>
      </c>
      <c r="P757" s="186">
        <v>44896.517824074072</v>
      </c>
      <c r="R757" s="1">
        <v>3</v>
      </c>
      <c r="T757" s="1" t="s">
        <v>646</v>
      </c>
      <c r="U757" s="186">
        <v>44897.517835648148</v>
      </c>
      <c r="V757" s="1" t="s">
        <v>41</v>
      </c>
      <c r="W757" s="1" t="s">
        <v>49</v>
      </c>
      <c r="X757" s="13" t="str">
        <f>IF(RIGHT(H757,2)&lt;&gt;"00",H757,"")</f>
        <v/>
      </c>
      <c r="Y757" s="2">
        <f ca="1">NETWORKDAYS(P757,$Y$1)</f>
        <v>65</v>
      </c>
      <c r="Z757" s="14">
        <v>1</v>
      </c>
      <c r="AA757" s="1" t="str">
        <f t="shared" ca="1" si="55"/>
        <v>VENCIDO</v>
      </c>
      <c r="AB757" s="1" t="str">
        <f t="shared" si="56"/>
        <v>C-14</v>
      </c>
      <c r="AC757" s="2" t="str">
        <f t="shared" si="57"/>
        <v xml:space="preserve"> ROSEMERE </v>
      </c>
      <c r="AD757" s="2">
        <f t="shared" si="58"/>
        <v>5</v>
      </c>
      <c r="AE757" s="2">
        <f t="shared" ca="1" si="59"/>
        <v>-89.158435995370382</v>
      </c>
    </row>
    <row r="758" spans="1:31" hidden="1">
      <c r="A758" s="1">
        <v>9127671</v>
      </c>
      <c r="B758" s="1" t="s">
        <v>101</v>
      </c>
      <c r="C758" t="s">
        <v>643</v>
      </c>
      <c r="D758" s="2">
        <v>220193148</v>
      </c>
      <c r="E758" s="2">
        <v>1012001400010</v>
      </c>
      <c r="F758" s="1" t="s">
        <v>936</v>
      </c>
      <c r="G758" s="1" t="s">
        <v>53</v>
      </c>
      <c r="H758" s="1" t="s">
        <v>172</v>
      </c>
      <c r="I758" s="1" t="s">
        <v>173</v>
      </c>
      <c r="J758" s="1" t="s">
        <v>164</v>
      </c>
      <c r="K758" t="s">
        <v>937</v>
      </c>
      <c r="M758" s="1" t="s">
        <v>58</v>
      </c>
      <c r="N758" s="1">
        <v>0</v>
      </c>
      <c r="O758" s="1" t="s">
        <v>105</v>
      </c>
      <c r="P758" s="186">
        <v>44896.516817129632</v>
      </c>
      <c r="R758" s="1">
        <v>3</v>
      </c>
      <c r="T758" s="1" t="s">
        <v>646</v>
      </c>
      <c r="U758" s="186">
        <v>44897.516828703701</v>
      </c>
      <c r="V758" s="1" t="s">
        <v>41</v>
      </c>
      <c r="W758" s="1" t="s">
        <v>49</v>
      </c>
      <c r="X758" s="13" t="str">
        <f>IF(RIGHT(H758,2)&lt;&gt;"00",H758,"")</f>
        <v/>
      </c>
      <c r="Y758" s="2">
        <f ca="1">NETWORKDAYS(P758,$Y$1)</f>
        <v>65</v>
      </c>
      <c r="Z758" s="14">
        <v>1</v>
      </c>
      <c r="AA758" s="1" t="str">
        <f t="shared" ca="1" si="55"/>
        <v>VENCIDO</v>
      </c>
      <c r="AB758" s="1" t="str">
        <f t="shared" si="56"/>
        <v>C-14</v>
      </c>
      <c r="AC758" s="2" t="str">
        <f t="shared" si="57"/>
        <v xml:space="preserve"> ROSEMERE </v>
      </c>
      <c r="AD758" s="2">
        <f t="shared" si="58"/>
        <v>5</v>
      </c>
      <c r="AE758" s="2">
        <f t="shared" ca="1" si="59"/>
        <v>-89.159442939817382</v>
      </c>
    </row>
    <row r="759" spans="1:31" hidden="1">
      <c r="A759" s="1">
        <v>9127658</v>
      </c>
      <c r="B759" s="1" t="s">
        <v>101</v>
      </c>
      <c r="C759" t="s">
        <v>643</v>
      </c>
      <c r="D759" s="2">
        <v>220192961</v>
      </c>
      <c r="E759" s="2">
        <v>673001400010</v>
      </c>
      <c r="F759" s="1" t="s">
        <v>936</v>
      </c>
      <c r="G759" s="1" t="s">
        <v>53</v>
      </c>
      <c r="H759" s="1" t="s">
        <v>581</v>
      </c>
      <c r="I759" s="1" t="s">
        <v>582</v>
      </c>
      <c r="J759" s="1" t="s">
        <v>110</v>
      </c>
      <c r="K759" t="s">
        <v>937</v>
      </c>
      <c r="M759" s="1" t="s">
        <v>58</v>
      </c>
      <c r="N759" s="1">
        <v>0</v>
      </c>
      <c r="O759" s="1" t="s">
        <v>105</v>
      </c>
      <c r="P759" s="186">
        <v>44896.516053240739</v>
      </c>
      <c r="R759" s="1">
        <v>3</v>
      </c>
      <c r="T759" s="1" t="s">
        <v>646</v>
      </c>
      <c r="U759" s="186">
        <v>44897.516053240739</v>
      </c>
      <c r="V759" s="1" t="s">
        <v>41</v>
      </c>
      <c r="W759" s="1" t="s">
        <v>49</v>
      </c>
      <c r="X759" s="13" t="str">
        <f>IF(RIGHT(H759,2)&lt;&gt;"00",H759,"")</f>
        <v/>
      </c>
      <c r="Y759" s="2">
        <f ca="1">NETWORKDAYS(P759,$Y$1)</f>
        <v>65</v>
      </c>
      <c r="Z759" s="14">
        <v>1</v>
      </c>
      <c r="AA759" s="1" t="str">
        <f t="shared" ca="1" si="55"/>
        <v>VENCIDO</v>
      </c>
      <c r="AB759" s="1" t="str">
        <f t="shared" si="56"/>
        <v>C-14</v>
      </c>
      <c r="AC759" s="2" t="str">
        <f t="shared" si="57"/>
        <v xml:space="preserve"> CRISTINA </v>
      </c>
      <c r="AD759" s="2">
        <f t="shared" si="58"/>
        <v>5</v>
      </c>
      <c r="AE759" s="2">
        <f t="shared" ca="1" si="59"/>
        <v>-89.160218402779719</v>
      </c>
    </row>
    <row r="760" spans="1:31" hidden="1">
      <c r="A760" s="1">
        <v>9127594</v>
      </c>
      <c r="B760" s="1" t="s">
        <v>101</v>
      </c>
      <c r="C760" t="s">
        <v>643</v>
      </c>
      <c r="D760" s="2">
        <v>220192987</v>
      </c>
      <c r="E760" s="2">
        <v>714001400010</v>
      </c>
      <c r="F760" s="1" t="s">
        <v>936</v>
      </c>
      <c r="G760" s="1" t="s">
        <v>53</v>
      </c>
      <c r="H760" s="1" t="s">
        <v>377</v>
      </c>
      <c r="I760" s="1" t="s">
        <v>378</v>
      </c>
      <c r="J760" s="1" t="s">
        <v>46</v>
      </c>
      <c r="K760" t="s">
        <v>937</v>
      </c>
      <c r="M760" s="1" t="s">
        <v>58</v>
      </c>
      <c r="N760" s="1">
        <v>0</v>
      </c>
      <c r="O760" s="1" t="s">
        <v>105</v>
      </c>
      <c r="P760" s="186">
        <v>44896.513252314813</v>
      </c>
      <c r="R760" s="1">
        <v>3</v>
      </c>
      <c r="T760" s="1" t="s">
        <v>646</v>
      </c>
      <c r="U760" s="186">
        <v>44897.513252314813</v>
      </c>
      <c r="V760" s="1" t="s">
        <v>41</v>
      </c>
      <c r="W760" s="1" t="s">
        <v>49</v>
      </c>
      <c r="X760" s="13" t="str">
        <f>IF(RIGHT(H760,2)&lt;&gt;"00",H760,"")</f>
        <v/>
      </c>
      <c r="Y760" s="2">
        <f ca="1">NETWORKDAYS(P760,$Y$1)</f>
        <v>65</v>
      </c>
      <c r="Z760" s="14">
        <v>1</v>
      </c>
      <c r="AA760" s="1" t="str">
        <f t="shared" ca="1" si="55"/>
        <v>VENCIDO</v>
      </c>
      <c r="AB760" s="1" t="str">
        <f t="shared" si="56"/>
        <v>C-14</v>
      </c>
      <c r="AC760" s="2" t="str">
        <f t="shared" si="57"/>
        <v xml:space="preserve"> CLEITON </v>
      </c>
      <c r="AD760" s="2">
        <f t="shared" si="58"/>
        <v>5</v>
      </c>
      <c r="AE760" s="2">
        <f t="shared" ca="1" si="59"/>
        <v>-89.163019328705559</v>
      </c>
    </row>
    <row r="761" spans="1:31" hidden="1">
      <c r="A761" s="1">
        <v>9127562</v>
      </c>
      <c r="B761" s="1" t="s">
        <v>101</v>
      </c>
      <c r="C761" t="s">
        <v>643</v>
      </c>
      <c r="D761" s="2">
        <v>220192986</v>
      </c>
      <c r="E761" s="2">
        <v>710001400010</v>
      </c>
      <c r="F761" s="1" t="s">
        <v>936</v>
      </c>
      <c r="G761" s="1" t="s">
        <v>53</v>
      </c>
      <c r="H761" s="1" t="s">
        <v>390</v>
      </c>
      <c r="I761" s="1" t="s">
        <v>391</v>
      </c>
      <c r="J761" s="1" t="s">
        <v>56</v>
      </c>
      <c r="K761" t="s">
        <v>937</v>
      </c>
      <c r="M761" s="1" t="s">
        <v>58</v>
      </c>
      <c r="N761" s="1">
        <v>0</v>
      </c>
      <c r="O761" s="1" t="s">
        <v>105</v>
      </c>
      <c r="P761" s="186">
        <v>44896.511631944442</v>
      </c>
      <c r="R761" s="1">
        <v>3</v>
      </c>
      <c r="T761" s="1" t="s">
        <v>646</v>
      </c>
      <c r="U761" s="186">
        <v>44897.511631944442</v>
      </c>
      <c r="V761" s="1" t="s">
        <v>41</v>
      </c>
      <c r="W761" s="1" t="s">
        <v>49</v>
      </c>
      <c r="X761" s="13" t="str">
        <f>IF(RIGHT(H761,2)&lt;&gt;"00",H761,"")</f>
        <v/>
      </c>
      <c r="Y761" s="2">
        <f ca="1">NETWORKDAYS(P761,$Y$1)</f>
        <v>65</v>
      </c>
      <c r="Z761" s="14">
        <v>1</v>
      </c>
      <c r="AA761" s="1" t="str">
        <f t="shared" ca="1" si="55"/>
        <v>VENCIDO</v>
      </c>
      <c r="AB761" s="1" t="str">
        <f t="shared" si="56"/>
        <v>C-14</v>
      </c>
      <c r="AC761" s="2" t="str">
        <f t="shared" si="57"/>
        <v xml:space="preserve"> CRISTINA </v>
      </c>
      <c r="AD761" s="2">
        <f t="shared" si="58"/>
        <v>5</v>
      </c>
      <c r="AE761" s="2">
        <f t="shared" ca="1" si="59"/>
        <v>-89.164639699076361</v>
      </c>
    </row>
    <row r="762" spans="1:31" hidden="1">
      <c r="A762" s="1">
        <v>9127512</v>
      </c>
      <c r="B762" s="1" t="s">
        <v>101</v>
      </c>
      <c r="C762" t="s">
        <v>643</v>
      </c>
      <c r="D762" s="2">
        <v>220192919</v>
      </c>
      <c r="E762" s="2">
        <v>608001400010</v>
      </c>
      <c r="F762" s="1" t="s">
        <v>936</v>
      </c>
      <c r="G762" s="1" t="s">
        <v>53</v>
      </c>
      <c r="H762" s="1" t="s">
        <v>438</v>
      </c>
      <c r="I762" s="1" t="s">
        <v>439</v>
      </c>
      <c r="J762" s="1" t="s">
        <v>148</v>
      </c>
      <c r="K762" t="s">
        <v>937</v>
      </c>
      <c r="M762" s="1" t="s">
        <v>58</v>
      </c>
      <c r="N762" s="1">
        <v>0</v>
      </c>
      <c r="O762" s="1" t="s">
        <v>105</v>
      </c>
      <c r="P762" s="186">
        <v>44896.50886574074</v>
      </c>
      <c r="R762" s="1">
        <v>3</v>
      </c>
      <c r="T762" s="1" t="s">
        <v>646</v>
      </c>
      <c r="U762" s="186">
        <v>44897.50886574074</v>
      </c>
      <c r="V762" s="1" t="s">
        <v>41</v>
      </c>
      <c r="W762" s="1" t="s">
        <v>49</v>
      </c>
      <c r="X762" s="13" t="str">
        <f>IF(RIGHT(H762,2)&lt;&gt;"00",H762,"")</f>
        <v/>
      </c>
      <c r="Y762" s="2">
        <f ca="1">NETWORKDAYS(P762,$Y$1)</f>
        <v>65</v>
      </c>
      <c r="Z762" s="14">
        <v>1</v>
      </c>
      <c r="AA762" s="1" t="str">
        <f t="shared" ca="1" si="55"/>
        <v>VENCIDO</v>
      </c>
      <c r="AB762" s="1" t="str">
        <f t="shared" si="56"/>
        <v>C-14</v>
      </c>
      <c r="AC762" s="2" t="str">
        <f t="shared" si="57"/>
        <v xml:space="preserve"> RINALDO </v>
      </c>
      <c r="AD762" s="2">
        <f t="shared" si="58"/>
        <v>5</v>
      </c>
      <c r="AE762" s="2">
        <f t="shared" ca="1" si="59"/>
        <v>-89.167405902779137</v>
      </c>
    </row>
    <row r="763" spans="1:31" hidden="1">
      <c r="A763" s="1">
        <v>9127225</v>
      </c>
      <c r="B763" s="1" t="s">
        <v>101</v>
      </c>
      <c r="C763" t="s">
        <v>643</v>
      </c>
      <c r="D763" s="2">
        <v>220198224</v>
      </c>
      <c r="E763" s="2">
        <v>4997001400040</v>
      </c>
      <c r="F763" s="1" t="s">
        <v>644</v>
      </c>
      <c r="G763" s="1" t="s">
        <v>53</v>
      </c>
      <c r="H763" s="1" t="s">
        <v>406</v>
      </c>
      <c r="I763" s="1" t="s">
        <v>407</v>
      </c>
      <c r="J763" s="1" t="s">
        <v>79</v>
      </c>
      <c r="K763" t="s">
        <v>645</v>
      </c>
      <c r="M763" s="1" t="s">
        <v>58</v>
      </c>
      <c r="N763" s="1">
        <v>0</v>
      </c>
      <c r="O763" s="1" t="s">
        <v>105</v>
      </c>
      <c r="P763" s="186">
        <v>44896.493680555555</v>
      </c>
      <c r="R763" s="1">
        <v>3</v>
      </c>
      <c r="T763" s="1" t="s">
        <v>646</v>
      </c>
      <c r="U763" s="186">
        <v>44897.493680555555</v>
      </c>
      <c r="V763" s="1" t="s">
        <v>41</v>
      </c>
      <c r="W763" s="1" t="s">
        <v>49</v>
      </c>
      <c r="X763" s="13" t="str">
        <f>IF(RIGHT(H763,2)&lt;&gt;"00",H763,"")</f>
        <v/>
      </c>
      <c r="Y763" s="2">
        <f ca="1">NETWORKDAYS(P763,$Y$1)</f>
        <v>65</v>
      </c>
      <c r="Z763" s="14">
        <v>1</v>
      </c>
      <c r="AA763" s="1" t="str">
        <f t="shared" ca="1" si="55"/>
        <v>VENCIDO</v>
      </c>
      <c r="AB763" s="1" t="str">
        <f t="shared" si="56"/>
        <v>SL-On</v>
      </c>
      <c r="AC763" s="2" t="str">
        <f t="shared" si="57"/>
        <v xml:space="preserve"> ROSEMERE </v>
      </c>
      <c r="AD763" s="2">
        <f t="shared" si="58"/>
        <v>1</v>
      </c>
      <c r="AE763" s="2">
        <f t="shared" ca="1" si="59"/>
        <v>-89.182591087963374</v>
      </c>
    </row>
    <row r="764" spans="1:31" hidden="1">
      <c r="A764" s="1">
        <v>9127174</v>
      </c>
      <c r="B764" s="1" t="s">
        <v>101</v>
      </c>
      <c r="C764" t="s">
        <v>643</v>
      </c>
      <c r="D764" s="2">
        <v>220198258</v>
      </c>
      <c r="E764" s="2">
        <v>5742001400040</v>
      </c>
      <c r="F764" s="1" t="s">
        <v>644</v>
      </c>
      <c r="G764" s="1" t="s">
        <v>53</v>
      </c>
      <c r="H764" s="1" t="s">
        <v>430</v>
      </c>
      <c r="I764" s="1" t="s">
        <v>431</v>
      </c>
      <c r="J764" s="1" t="s">
        <v>79</v>
      </c>
      <c r="K764" t="s">
        <v>645</v>
      </c>
      <c r="M764" s="1" t="s">
        <v>58</v>
      </c>
      <c r="N764" s="1">
        <v>0</v>
      </c>
      <c r="O764" s="1" t="s">
        <v>105</v>
      </c>
      <c r="P764" s="186">
        <v>44896.49145833333</v>
      </c>
      <c r="R764" s="1">
        <v>2</v>
      </c>
      <c r="T764" s="1" t="s">
        <v>646</v>
      </c>
      <c r="U764" s="186">
        <v>44897.49145833333</v>
      </c>
      <c r="V764" s="1" t="s">
        <v>41</v>
      </c>
      <c r="W764" s="1" t="s">
        <v>49</v>
      </c>
      <c r="X764" s="13" t="str">
        <f>IF(RIGHT(H764,2)&lt;&gt;"00",H764,"")</f>
        <v/>
      </c>
      <c r="Y764" s="2">
        <f ca="1">NETWORKDAYS(P764,$Y$1)</f>
        <v>65</v>
      </c>
      <c r="Z764" s="14">
        <v>1</v>
      </c>
      <c r="AA764" s="1" t="str">
        <f t="shared" ref="AA764:AA827" ca="1" si="60">IF(AE764=0,"HOJE",IF(AE764&gt;0,"A VENCER",IF(AE764&lt;0,"VENCIDO")))</f>
        <v>VENCIDO</v>
      </c>
      <c r="AB764" s="1" t="str">
        <f t="shared" ref="AB764:AB827" si="61">IF(F764="GRPE-000001","C-14",IF(F764="GRPE-000002","C-14",IF(F764="GRPE-000003","C-14",IF(F764="GRPE-000004","SL-On",IF(F764="GRPE-000038","C-14",IF(F764="GRPE-900022","Dosa",IF(F764="GRPE-000029","Dosa",IF(F764="ATOS-000222","Dose","TAAe+"))))))))</f>
        <v>SL-On</v>
      </c>
      <c r="AC764" s="2" t="str">
        <f t="shared" ref="AC764:AC827" si="62">IF(J764="TR-PETROLINA"," ROSEMERE ",IF(J764="TR-GARANHUNS"," ROSEMERE ",IF(J764="TR-CARUARU"," ROSEMERE ",IF(J764="TR-RIBEIRAO"," CRISTINA ",IF(J764="TR-GRAVATA"," CRISTINA ",IF(J764="TR-GOIANA"," CRISTINA ",IF(J764="TR-LIMOEIRO"," CRISTINA ",IF(J764="TR-SERRA TALHADA"," RINALDO ",IF(J764="TR-SALGUEIRO"," RINALDO ",IF(J764="TR-CARNAIBA"," RINALDO ",IF(J764="TR-ARCOVERDE"," RINALDO ",IF(J764="CAT-RECIFE"," CLEITON ",))))))))))))</f>
        <v xml:space="preserve"> ROSEMERE </v>
      </c>
      <c r="AD764" s="2">
        <f t="shared" ref="AD764:AD827" si="63">IF(F764="GRPE-000001",5,IF(F764="GRPE-000002",5,IF(F764="GRPE-000003",15,IF(F764="GRPE-000004",1,IF(F764="GRPE-000038",5,IF(F764="GRPE-900022",5,IF(F764="GRPE-000029",5,IF(F764="ATOS-000222",5,8))))))))</f>
        <v>1</v>
      </c>
      <c r="AE764" s="2">
        <f t="shared" ref="AE764:AE827" ca="1" si="64">IF(U764=$AE$1,"",U764-$AE$1)</f>
        <v>-89.184813310188474</v>
      </c>
    </row>
    <row r="765" spans="1:31" hidden="1">
      <c r="A765" s="1">
        <v>9126916</v>
      </c>
      <c r="B765" s="1" t="s">
        <v>101</v>
      </c>
      <c r="C765" t="s">
        <v>643</v>
      </c>
      <c r="D765" s="2">
        <v>220197812</v>
      </c>
      <c r="E765" s="2">
        <v>3243001400040</v>
      </c>
      <c r="F765" s="1" t="s">
        <v>644</v>
      </c>
      <c r="G765" s="1" t="s">
        <v>53</v>
      </c>
      <c r="H765" s="1" t="s">
        <v>282</v>
      </c>
      <c r="I765" s="1" t="s">
        <v>283</v>
      </c>
      <c r="J765" s="1" t="s">
        <v>46</v>
      </c>
      <c r="K765" t="s">
        <v>645</v>
      </c>
      <c r="M765" s="1" t="s">
        <v>58</v>
      </c>
      <c r="N765" s="1">
        <v>0</v>
      </c>
      <c r="O765" s="1" t="s">
        <v>105</v>
      </c>
      <c r="P765" s="186">
        <v>44896.480451388888</v>
      </c>
      <c r="R765" s="1">
        <v>3</v>
      </c>
      <c r="T765" s="1" t="s">
        <v>646</v>
      </c>
      <c r="U765" s="186">
        <v>44897.480451388888</v>
      </c>
      <c r="V765" s="1" t="s">
        <v>41</v>
      </c>
      <c r="W765" s="1" t="s">
        <v>49</v>
      </c>
      <c r="X765" s="13" t="str">
        <f>IF(RIGHT(H765,2)&lt;&gt;"00",H765,"")</f>
        <v/>
      </c>
      <c r="Y765" s="2">
        <f ca="1">NETWORKDAYS(P765,$Y$1)</f>
        <v>65</v>
      </c>
      <c r="Z765" s="14">
        <v>1</v>
      </c>
      <c r="AA765" s="1" t="str">
        <f t="shared" ca="1" si="60"/>
        <v>VENCIDO</v>
      </c>
      <c r="AB765" s="1" t="str">
        <f t="shared" si="61"/>
        <v>SL-On</v>
      </c>
      <c r="AC765" s="2" t="str">
        <f t="shared" si="62"/>
        <v xml:space="preserve"> CLEITON </v>
      </c>
      <c r="AD765" s="2">
        <f t="shared" si="63"/>
        <v>1</v>
      </c>
      <c r="AE765" s="2">
        <f t="shared" ca="1" si="64"/>
        <v>-89.195820254630235</v>
      </c>
    </row>
    <row r="766" spans="1:31" hidden="1">
      <c r="A766" s="1">
        <v>9126874</v>
      </c>
      <c r="B766" s="1" t="s">
        <v>101</v>
      </c>
      <c r="C766" t="s">
        <v>643</v>
      </c>
      <c r="D766" s="2">
        <v>220197782</v>
      </c>
      <c r="E766" s="2">
        <v>3108001400040</v>
      </c>
      <c r="F766" s="1" t="s">
        <v>644</v>
      </c>
      <c r="G766" s="1" t="s">
        <v>53</v>
      </c>
      <c r="H766" s="1" t="s">
        <v>325</v>
      </c>
      <c r="I766" s="1" t="s">
        <v>326</v>
      </c>
      <c r="J766" s="1" t="s">
        <v>46</v>
      </c>
      <c r="K766" t="s">
        <v>645</v>
      </c>
      <c r="M766" s="1" t="s">
        <v>58</v>
      </c>
      <c r="N766" s="1">
        <v>0</v>
      </c>
      <c r="O766" s="1" t="s">
        <v>105</v>
      </c>
      <c r="P766" s="186">
        <v>44896.478715277779</v>
      </c>
      <c r="R766" s="1">
        <v>3</v>
      </c>
      <c r="T766" s="1" t="s">
        <v>646</v>
      </c>
      <c r="U766" s="186">
        <v>44897.478715277779</v>
      </c>
      <c r="V766" s="1" t="s">
        <v>41</v>
      </c>
      <c r="W766" s="1" t="s">
        <v>49</v>
      </c>
      <c r="X766" s="13" t="str">
        <f>IF(RIGHT(H766,2)&lt;&gt;"00",H766,"")</f>
        <v/>
      </c>
      <c r="Y766" s="2">
        <f ca="1">NETWORKDAYS(P766,$Y$1)</f>
        <v>65</v>
      </c>
      <c r="Z766" s="14">
        <v>1</v>
      </c>
      <c r="AA766" s="1" t="str">
        <f t="shared" ca="1" si="60"/>
        <v>VENCIDO</v>
      </c>
      <c r="AB766" s="1" t="str">
        <f t="shared" si="61"/>
        <v>SL-On</v>
      </c>
      <c r="AC766" s="2" t="str">
        <f t="shared" si="62"/>
        <v xml:space="preserve"> CLEITON </v>
      </c>
      <c r="AD766" s="2">
        <f t="shared" si="63"/>
        <v>1</v>
      </c>
      <c r="AE766" s="2">
        <f t="shared" ca="1" si="64"/>
        <v>-89.197556365739729</v>
      </c>
    </row>
    <row r="767" spans="1:31" hidden="1">
      <c r="A767" s="1">
        <v>9126750</v>
      </c>
      <c r="B767" s="1" t="s">
        <v>101</v>
      </c>
      <c r="C767" t="s">
        <v>643</v>
      </c>
      <c r="D767" s="2">
        <v>220197982</v>
      </c>
      <c r="E767" s="2">
        <v>4012001400040</v>
      </c>
      <c r="F767" s="1" t="s">
        <v>644</v>
      </c>
      <c r="G767" s="1" t="s">
        <v>53</v>
      </c>
      <c r="H767" s="1" t="s">
        <v>349</v>
      </c>
      <c r="I767" s="1" t="s">
        <v>350</v>
      </c>
      <c r="J767" s="1" t="s">
        <v>261</v>
      </c>
      <c r="K767" t="s">
        <v>645</v>
      </c>
      <c r="M767" s="1" t="s">
        <v>58</v>
      </c>
      <c r="N767" s="1">
        <v>0</v>
      </c>
      <c r="O767" s="1" t="s">
        <v>105</v>
      </c>
      <c r="P767" s="186">
        <v>44896.474027777775</v>
      </c>
      <c r="R767" s="1">
        <v>3</v>
      </c>
      <c r="T767" s="1" t="s">
        <v>646</v>
      </c>
      <c r="U767" s="186">
        <v>44897.474027777775</v>
      </c>
      <c r="V767" s="1" t="s">
        <v>41</v>
      </c>
      <c r="W767" s="1" t="s">
        <v>49</v>
      </c>
      <c r="X767" s="13" t="str">
        <f>IF(RIGHT(H767,2)&lt;&gt;"00",H767,"")</f>
        <v/>
      </c>
      <c r="Y767" s="2">
        <f ca="1">NETWORKDAYS(P767,$Y$1)</f>
        <v>65</v>
      </c>
      <c r="Z767" s="14">
        <v>1</v>
      </c>
      <c r="AA767" s="1" t="str">
        <f t="shared" ca="1" si="60"/>
        <v>VENCIDO</v>
      </c>
      <c r="AB767" s="1" t="str">
        <f t="shared" si="61"/>
        <v>SL-On</v>
      </c>
      <c r="AC767" s="2" t="str">
        <f t="shared" si="62"/>
        <v xml:space="preserve"> CRISTINA </v>
      </c>
      <c r="AD767" s="2">
        <f t="shared" si="63"/>
        <v>1</v>
      </c>
      <c r="AE767" s="2">
        <f t="shared" ca="1" si="64"/>
        <v>-89.202243865744094</v>
      </c>
    </row>
    <row r="768" spans="1:31" hidden="1">
      <c r="A768" s="1">
        <v>9126716</v>
      </c>
      <c r="B768" s="1" t="s">
        <v>101</v>
      </c>
      <c r="C768" t="s">
        <v>643</v>
      </c>
      <c r="D768" s="2">
        <v>220197478</v>
      </c>
      <c r="E768" s="2">
        <v>2018001400040</v>
      </c>
      <c r="F768" s="1" t="s">
        <v>644</v>
      </c>
      <c r="G768" s="1" t="s">
        <v>53</v>
      </c>
      <c r="H768" s="1" t="s">
        <v>598</v>
      </c>
      <c r="I768" s="1" t="s">
        <v>599</v>
      </c>
      <c r="J768" s="1" t="s">
        <v>79</v>
      </c>
      <c r="K768" t="s">
        <v>645</v>
      </c>
      <c r="M768" s="1" t="s">
        <v>58</v>
      </c>
      <c r="N768" s="1">
        <v>0</v>
      </c>
      <c r="O768" s="1" t="s">
        <v>105</v>
      </c>
      <c r="P768" s="186">
        <v>44896.471365740741</v>
      </c>
      <c r="R768" s="1">
        <v>2</v>
      </c>
      <c r="T768" s="1" t="s">
        <v>646</v>
      </c>
      <c r="U768" s="186">
        <v>44897.471377314818</v>
      </c>
      <c r="V768" s="1" t="s">
        <v>41</v>
      </c>
      <c r="W768" s="1" t="s">
        <v>49</v>
      </c>
      <c r="X768" s="13" t="str">
        <f>IF(RIGHT(H768,2)&lt;&gt;"00",H768,"")</f>
        <v/>
      </c>
      <c r="Y768" s="2">
        <f ca="1">NETWORKDAYS(P768,$Y$1)</f>
        <v>65</v>
      </c>
      <c r="Z768" s="14">
        <v>1</v>
      </c>
      <c r="AA768" s="1" t="str">
        <f t="shared" ca="1" si="60"/>
        <v>VENCIDO</v>
      </c>
      <c r="AB768" s="1" t="str">
        <f t="shared" si="61"/>
        <v>SL-On</v>
      </c>
      <c r="AC768" s="2" t="str">
        <f t="shared" si="62"/>
        <v xml:space="preserve"> ROSEMERE </v>
      </c>
      <c r="AD768" s="2">
        <f t="shared" si="63"/>
        <v>1</v>
      </c>
      <c r="AE768" s="2">
        <f t="shared" ca="1" si="64"/>
        <v>-89.204894328700902</v>
      </c>
    </row>
    <row r="769" spans="1:31" hidden="1">
      <c r="A769" s="1">
        <v>9126674</v>
      </c>
      <c r="B769" s="1" t="s">
        <v>101</v>
      </c>
      <c r="C769" t="s">
        <v>643</v>
      </c>
      <c r="D769" s="2">
        <v>220197259</v>
      </c>
      <c r="E769" s="2">
        <v>1291001400040</v>
      </c>
      <c r="F769" s="1" t="s">
        <v>644</v>
      </c>
      <c r="G769" s="1" t="s">
        <v>53</v>
      </c>
      <c r="H769" s="1" t="s">
        <v>136</v>
      </c>
      <c r="I769" s="1" t="s">
        <v>137</v>
      </c>
      <c r="J769" s="1" t="s">
        <v>33</v>
      </c>
      <c r="K769" t="s">
        <v>645</v>
      </c>
      <c r="M769" s="1" t="s">
        <v>58</v>
      </c>
      <c r="N769" s="1">
        <v>0</v>
      </c>
      <c r="O769" s="1" t="s">
        <v>105</v>
      </c>
      <c r="P769" s="186">
        <v>44896.469618055555</v>
      </c>
      <c r="R769" s="1">
        <v>3</v>
      </c>
      <c r="T769" s="1" t="s">
        <v>646</v>
      </c>
      <c r="U769" s="186">
        <v>44897.469629629632</v>
      </c>
      <c r="V769" s="1" t="s">
        <v>41</v>
      </c>
      <c r="W769" s="1" t="s">
        <v>42</v>
      </c>
      <c r="X769" s="13" t="str">
        <f>IF(RIGHT(H769,2)&lt;&gt;"00",H769,"")</f>
        <v/>
      </c>
      <c r="Y769" s="2">
        <f ca="1">NETWORKDAYS(P769,$Y$1)</f>
        <v>65</v>
      </c>
      <c r="Z769" s="14">
        <v>1</v>
      </c>
      <c r="AA769" s="1" t="str">
        <f t="shared" ca="1" si="60"/>
        <v>VENCIDO</v>
      </c>
      <c r="AB769" s="1" t="str">
        <f t="shared" si="61"/>
        <v>SL-On</v>
      </c>
      <c r="AC769" s="2" t="str">
        <f t="shared" si="62"/>
        <v xml:space="preserve"> ROSEMERE </v>
      </c>
      <c r="AD769" s="2">
        <f t="shared" si="63"/>
        <v>1</v>
      </c>
      <c r="AE769" s="2">
        <f t="shared" ca="1" si="64"/>
        <v>-89.206642013887176</v>
      </c>
    </row>
    <row r="770" spans="1:31" hidden="1">
      <c r="A770" s="1">
        <v>9126667</v>
      </c>
      <c r="B770" s="1" t="s">
        <v>101</v>
      </c>
      <c r="C770" t="s">
        <v>643</v>
      </c>
      <c r="D770" s="2">
        <v>220197252</v>
      </c>
      <c r="E770" s="2">
        <v>1264001400040</v>
      </c>
      <c r="F770" s="1" t="s">
        <v>644</v>
      </c>
      <c r="G770" s="1" t="s">
        <v>53</v>
      </c>
      <c r="H770" s="1" t="s">
        <v>351</v>
      </c>
      <c r="I770" s="1" t="s">
        <v>352</v>
      </c>
      <c r="J770" s="1" t="s">
        <v>110</v>
      </c>
      <c r="K770" t="s">
        <v>645</v>
      </c>
      <c r="M770" s="1" t="s">
        <v>58</v>
      </c>
      <c r="N770" s="1">
        <v>0</v>
      </c>
      <c r="O770" s="1" t="s">
        <v>105</v>
      </c>
      <c r="P770" s="186">
        <v>44896.469212962962</v>
      </c>
      <c r="R770" s="1">
        <v>2</v>
      </c>
      <c r="T770" s="1" t="s">
        <v>646</v>
      </c>
      <c r="U770" s="186">
        <v>44897.469212962962</v>
      </c>
      <c r="V770" s="1" t="s">
        <v>41</v>
      </c>
      <c r="W770" s="1" t="s">
        <v>49</v>
      </c>
      <c r="X770" s="13" t="str">
        <f>IF(RIGHT(H770,2)&lt;&gt;"00",H770,"")</f>
        <v/>
      </c>
      <c r="Y770" s="2">
        <f ca="1">NETWORKDAYS(P770,$Y$1)</f>
        <v>65</v>
      </c>
      <c r="Z770" s="14">
        <v>1</v>
      </c>
      <c r="AA770" s="1" t="str">
        <f t="shared" ca="1" si="60"/>
        <v>VENCIDO</v>
      </c>
      <c r="AB770" s="1" t="str">
        <f t="shared" si="61"/>
        <v>SL-On</v>
      </c>
      <c r="AC770" s="2" t="str">
        <f t="shared" si="62"/>
        <v xml:space="preserve"> CRISTINA </v>
      </c>
      <c r="AD770" s="2">
        <f t="shared" si="63"/>
        <v>1</v>
      </c>
      <c r="AE770" s="2">
        <f t="shared" ca="1" si="64"/>
        <v>-89.207058680556656</v>
      </c>
    </row>
    <row r="771" spans="1:31" hidden="1">
      <c r="A771" s="1">
        <v>9126655</v>
      </c>
      <c r="B771" s="1" t="s">
        <v>101</v>
      </c>
      <c r="C771" t="s">
        <v>643</v>
      </c>
      <c r="D771" s="2">
        <v>220197635</v>
      </c>
      <c r="E771" s="2">
        <v>2529001400040</v>
      </c>
      <c r="F771" s="1" t="s">
        <v>644</v>
      </c>
      <c r="G771" s="1" t="s">
        <v>53</v>
      </c>
      <c r="H771" s="1" t="s">
        <v>355</v>
      </c>
      <c r="I771" s="1" t="s">
        <v>356</v>
      </c>
      <c r="J771" s="1" t="s">
        <v>56</v>
      </c>
      <c r="K771" t="s">
        <v>645</v>
      </c>
      <c r="M771" s="1" t="s">
        <v>58</v>
      </c>
      <c r="N771" s="1">
        <v>0</v>
      </c>
      <c r="O771" s="1" t="s">
        <v>105</v>
      </c>
      <c r="P771" s="186">
        <v>44896.468472222223</v>
      </c>
      <c r="R771" s="1">
        <v>2</v>
      </c>
      <c r="T771" s="1" t="s">
        <v>646</v>
      </c>
      <c r="U771" s="186">
        <v>44897.468472222223</v>
      </c>
      <c r="V771" s="1" t="s">
        <v>41</v>
      </c>
      <c r="W771" s="1" t="s">
        <v>49</v>
      </c>
      <c r="X771" s="13" t="str">
        <f>IF(RIGHT(H771,2)&lt;&gt;"00",H771,"")</f>
        <v/>
      </c>
      <c r="Y771" s="2">
        <f ca="1">NETWORKDAYS(P771,$Y$1)</f>
        <v>65</v>
      </c>
      <c r="Z771" s="14">
        <v>1</v>
      </c>
      <c r="AA771" s="1" t="str">
        <f t="shared" ca="1" si="60"/>
        <v>VENCIDO</v>
      </c>
      <c r="AB771" s="1" t="str">
        <f t="shared" si="61"/>
        <v>SL-On</v>
      </c>
      <c r="AC771" s="2" t="str">
        <f t="shared" si="62"/>
        <v xml:space="preserve"> CRISTINA </v>
      </c>
      <c r="AD771" s="2">
        <f t="shared" si="63"/>
        <v>1</v>
      </c>
      <c r="AE771" s="2">
        <f t="shared" ca="1" si="64"/>
        <v>-89.207799421295931</v>
      </c>
    </row>
    <row r="772" spans="1:31" hidden="1">
      <c r="A772" s="1">
        <v>9126627</v>
      </c>
      <c r="B772" s="1" t="s">
        <v>101</v>
      </c>
      <c r="C772" t="s">
        <v>643</v>
      </c>
      <c r="D772" s="2">
        <v>220197615</v>
      </c>
      <c r="E772" s="2">
        <v>2473001400040</v>
      </c>
      <c r="F772" s="1" t="s">
        <v>644</v>
      </c>
      <c r="G772" s="1" t="s">
        <v>53</v>
      </c>
      <c r="H772" s="1" t="s">
        <v>1459</v>
      </c>
      <c r="I772" s="1" t="s">
        <v>1460</v>
      </c>
      <c r="J772" s="1" t="s">
        <v>261</v>
      </c>
      <c r="K772" t="s">
        <v>645</v>
      </c>
      <c r="M772" s="1" t="s">
        <v>58</v>
      </c>
      <c r="N772" s="1">
        <v>0</v>
      </c>
      <c r="O772" s="1" t="s">
        <v>105</v>
      </c>
      <c r="P772" s="186">
        <v>44896.467326388891</v>
      </c>
      <c r="R772" s="1">
        <v>2</v>
      </c>
      <c r="T772" s="1" t="s">
        <v>646</v>
      </c>
      <c r="U772" s="186">
        <v>44897.467326388891</v>
      </c>
      <c r="V772" s="1" t="s">
        <v>41</v>
      </c>
      <c r="W772" s="1" t="s">
        <v>49</v>
      </c>
      <c r="X772" s="13" t="str">
        <f>IF(RIGHT(H772,2)&lt;&gt;"00",H772,"")</f>
        <v/>
      </c>
      <c r="Y772" s="2">
        <f ca="1">NETWORKDAYS(P772,$Y$1)</f>
        <v>65</v>
      </c>
      <c r="Z772" s="14">
        <v>1</v>
      </c>
      <c r="AA772" s="1" t="str">
        <f t="shared" ca="1" si="60"/>
        <v>VENCIDO</v>
      </c>
      <c r="AB772" s="1" t="str">
        <f t="shared" si="61"/>
        <v>SL-On</v>
      </c>
      <c r="AC772" s="2" t="str">
        <f t="shared" si="62"/>
        <v xml:space="preserve"> CRISTINA </v>
      </c>
      <c r="AD772" s="2">
        <f t="shared" si="63"/>
        <v>1</v>
      </c>
      <c r="AE772" s="2">
        <f t="shared" ca="1" si="64"/>
        <v>-89.208945254627906</v>
      </c>
    </row>
    <row r="773" spans="1:31" hidden="1">
      <c r="A773" s="1">
        <v>9126604</v>
      </c>
      <c r="B773" s="1" t="s">
        <v>101</v>
      </c>
      <c r="C773" t="s">
        <v>643</v>
      </c>
      <c r="D773" s="2">
        <v>220197647</v>
      </c>
      <c r="E773" s="2">
        <v>2564001400040</v>
      </c>
      <c r="F773" s="1" t="s">
        <v>644</v>
      </c>
      <c r="G773" s="1" t="s">
        <v>53</v>
      </c>
      <c r="H773" s="1" t="s">
        <v>255</v>
      </c>
      <c r="I773" s="1" t="s">
        <v>256</v>
      </c>
      <c r="J773" s="1" t="s">
        <v>164</v>
      </c>
      <c r="K773" t="s">
        <v>645</v>
      </c>
      <c r="M773" s="1" t="s">
        <v>58</v>
      </c>
      <c r="N773" s="1">
        <v>0</v>
      </c>
      <c r="O773" s="1" t="s">
        <v>105</v>
      </c>
      <c r="P773" s="186">
        <v>44896.466203703705</v>
      </c>
      <c r="R773" s="1">
        <v>3</v>
      </c>
      <c r="T773" s="1" t="s">
        <v>646</v>
      </c>
      <c r="U773" s="186">
        <v>44897.466215277775</v>
      </c>
      <c r="V773" s="1" t="s">
        <v>41</v>
      </c>
      <c r="W773" s="1" t="s">
        <v>49</v>
      </c>
      <c r="X773" s="13" t="str">
        <f>IF(RIGHT(H773,2)&lt;&gt;"00",H773,"")</f>
        <v/>
      </c>
      <c r="Y773" s="2">
        <f ca="1">NETWORKDAYS(P773,$Y$1)</f>
        <v>65</v>
      </c>
      <c r="Z773" s="14">
        <v>1</v>
      </c>
      <c r="AA773" s="1" t="str">
        <f t="shared" ca="1" si="60"/>
        <v>VENCIDO</v>
      </c>
      <c r="AB773" s="1" t="str">
        <f t="shared" si="61"/>
        <v>SL-On</v>
      </c>
      <c r="AC773" s="2" t="str">
        <f t="shared" si="62"/>
        <v xml:space="preserve"> ROSEMERE </v>
      </c>
      <c r="AD773" s="2">
        <f t="shared" si="63"/>
        <v>1</v>
      </c>
      <c r="AE773" s="2">
        <f t="shared" ca="1" si="64"/>
        <v>-89.210056365744094</v>
      </c>
    </row>
    <row r="774" spans="1:31" hidden="1">
      <c r="A774" s="1">
        <v>9126586</v>
      </c>
      <c r="B774" s="1" t="s">
        <v>101</v>
      </c>
      <c r="C774" t="s">
        <v>643</v>
      </c>
      <c r="D774" s="2">
        <v>220197595</v>
      </c>
      <c r="E774" s="2">
        <v>2413001400040</v>
      </c>
      <c r="F774" s="1" t="s">
        <v>644</v>
      </c>
      <c r="G774" s="1" t="s">
        <v>53</v>
      </c>
      <c r="H774" s="1" t="s">
        <v>505</v>
      </c>
      <c r="I774" s="1" t="s">
        <v>506</v>
      </c>
      <c r="J774" s="1" t="s">
        <v>141</v>
      </c>
      <c r="K774" t="s">
        <v>645</v>
      </c>
      <c r="M774" s="1" t="s">
        <v>58</v>
      </c>
      <c r="N774" s="1">
        <v>0</v>
      </c>
      <c r="O774" s="1" t="s">
        <v>105</v>
      </c>
      <c r="P774" s="186">
        <v>44896.465173611112</v>
      </c>
      <c r="R774" s="1">
        <v>2</v>
      </c>
      <c r="T774" s="1" t="s">
        <v>646</v>
      </c>
      <c r="U774" s="186">
        <v>44897.465185185189</v>
      </c>
      <c r="V774" s="1" t="s">
        <v>41</v>
      </c>
      <c r="W774" s="1" t="s">
        <v>49</v>
      </c>
      <c r="X774" s="13" t="str">
        <f>IF(RIGHT(H774,2)&lt;&gt;"00",H774,"")</f>
        <v/>
      </c>
      <c r="Y774" s="2">
        <f ca="1">NETWORKDAYS(P774,$Y$1)</f>
        <v>65</v>
      </c>
      <c r="Z774" s="14">
        <v>1</v>
      </c>
      <c r="AA774" s="1" t="str">
        <f t="shared" ca="1" si="60"/>
        <v>VENCIDO</v>
      </c>
      <c r="AB774" s="1" t="str">
        <f t="shared" si="61"/>
        <v>SL-On</v>
      </c>
      <c r="AC774" s="2" t="str">
        <f t="shared" si="62"/>
        <v xml:space="preserve"> CRISTINA </v>
      </c>
      <c r="AD774" s="2">
        <f t="shared" si="63"/>
        <v>1</v>
      </c>
      <c r="AE774" s="2">
        <f t="shared" ca="1" si="64"/>
        <v>-89.211086458330101</v>
      </c>
    </row>
    <row r="775" spans="1:31" hidden="1">
      <c r="A775" s="1">
        <v>9126537</v>
      </c>
      <c r="B775" s="1" t="s">
        <v>101</v>
      </c>
      <c r="C775" t="s">
        <v>643</v>
      </c>
      <c r="D775" s="2">
        <v>220197299</v>
      </c>
      <c r="E775" s="2">
        <v>1363001400040</v>
      </c>
      <c r="F775" s="1" t="s">
        <v>644</v>
      </c>
      <c r="G775" s="1" t="s">
        <v>53</v>
      </c>
      <c r="H775" s="1" t="s">
        <v>108</v>
      </c>
      <c r="I775" s="1" t="s">
        <v>109</v>
      </c>
      <c r="J775" s="1" t="s">
        <v>110</v>
      </c>
      <c r="K775" t="s">
        <v>645</v>
      </c>
      <c r="M775" s="1" t="s">
        <v>58</v>
      </c>
      <c r="N775" s="1">
        <v>0</v>
      </c>
      <c r="O775" s="1" t="s">
        <v>105</v>
      </c>
      <c r="P775" s="186">
        <v>44896.462777777779</v>
      </c>
      <c r="R775" s="1">
        <v>3</v>
      </c>
      <c r="T775" s="1" t="s">
        <v>646</v>
      </c>
      <c r="U775" s="186">
        <v>44897.462789351855</v>
      </c>
      <c r="V775" s="1" t="s">
        <v>41</v>
      </c>
      <c r="W775" s="1" t="s">
        <v>49</v>
      </c>
      <c r="X775" s="13" t="str">
        <f>IF(RIGHT(H775,2)&lt;&gt;"00",H775,"")</f>
        <v/>
      </c>
      <c r="Y775" s="2">
        <f ca="1">NETWORKDAYS(P775,$Y$1)</f>
        <v>65</v>
      </c>
      <c r="Z775" s="14">
        <v>1</v>
      </c>
      <c r="AA775" s="1" t="str">
        <f t="shared" ca="1" si="60"/>
        <v>VENCIDO</v>
      </c>
      <c r="AB775" s="1" t="str">
        <f t="shared" si="61"/>
        <v>SL-On</v>
      </c>
      <c r="AC775" s="2" t="str">
        <f t="shared" si="62"/>
        <v xml:space="preserve"> CRISTINA </v>
      </c>
      <c r="AD775" s="2">
        <f t="shared" si="63"/>
        <v>1</v>
      </c>
      <c r="AE775" s="2">
        <f t="shared" ca="1" si="64"/>
        <v>-89.21348229166324</v>
      </c>
    </row>
    <row r="776" spans="1:31" hidden="1">
      <c r="A776" s="1">
        <v>9126536</v>
      </c>
      <c r="B776" s="1" t="s">
        <v>101</v>
      </c>
      <c r="C776" t="s">
        <v>643</v>
      </c>
      <c r="D776" s="2">
        <v>220197298</v>
      </c>
      <c r="E776" s="2">
        <v>1362001400040</v>
      </c>
      <c r="F776" s="1" t="s">
        <v>644</v>
      </c>
      <c r="G776" s="1" t="s">
        <v>53</v>
      </c>
      <c r="H776" s="1" t="s">
        <v>268</v>
      </c>
      <c r="I776" s="1" t="s">
        <v>269</v>
      </c>
      <c r="J776" s="1" t="s">
        <v>90</v>
      </c>
      <c r="K776" t="s">
        <v>645</v>
      </c>
      <c r="M776" s="1" t="s">
        <v>58</v>
      </c>
      <c r="N776" s="1">
        <v>0</v>
      </c>
      <c r="O776" s="1" t="s">
        <v>105</v>
      </c>
      <c r="P776" s="186">
        <v>44896.462708333333</v>
      </c>
      <c r="R776" s="1">
        <v>3</v>
      </c>
      <c r="T776" s="1" t="s">
        <v>646</v>
      </c>
      <c r="U776" s="186">
        <v>44897.462708333333</v>
      </c>
      <c r="V776" s="1" t="s">
        <v>41</v>
      </c>
      <c r="W776" s="1" t="s">
        <v>49</v>
      </c>
      <c r="X776" s="13" t="str">
        <f>IF(RIGHT(H776,2)&lt;&gt;"00",H776,"")</f>
        <v/>
      </c>
      <c r="Y776" s="2">
        <f ca="1">NETWORKDAYS(P776,$Y$1)</f>
        <v>65</v>
      </c>
      <c r="Z776" s="14">
        <v>1</v>
      </c>
      <c r="AA776" s="1" t="str">
        <f t="shared" ca="1" si="60"/>
        <v>VENCIDO</v>
      </c>
      <c r="AB776" s="1" t="str">
        <f t="shared" si="61"/>
        <v>SL-On</v>
      </c>
      <c r="AC776" s="2" t="str">
        <f t="shared" si="62"/>
        <v xml:space="preserve"> RINALDO </v>
      </c>
      <c r="AD776" s="2">
        <f t="shared" si="63"/>
        <v>1</v>
      </c>
      <c r="AE776" s="2">
        <f t="shared" ca="1" si="64"/>
        <v>-89.213563310186146</v>
      </c>
    </row>
    <row r="777" spans="1:31" hidden="1">
      <c r="A777" s="1">
        <v>9126535</v>
      </c>
      <c r="B777" s="1" t="s">
        <v>101</v>
      </c>
      <c r="C777" t="s">
        <v>643</v>
      </c>
      <c r="D777" s="2">
        <v>220197297</v>
      </c>
      <c r="E777" s="2">
        <v>1360001400040</v>
      </c>
      <c r="F777" s="1" t="s">
        <v>644</v>
      </c>
      <c r="G777" s="1" t="s">
        <v>53</v>
      </c>
      <c r="H777" s="1" t="s">
        <v>303</v>
      </c>
      <c r="I777" s="1" t="s">
        <v>304</v>
      </c>
      <c r="J777" s="1" t="s">
        <v>261</v>
      </c>
      <c r="K777" t="s">
        <v>645</v>
      </c>
      <c r="M777" s="1" t="s">
        <v>58</v>
      </c>
      <c r="N777" s="1">
        <v>0</v>
      </c>
      <c r="O777" s="1" t="s">
        <v>105</v>
      </c>
      <c r="P777" s="186">
        <v>44896.462638888886</v>
      </c>
      <c r="R777" s="1">
        <v>3</v>
      </c>
      <c r="T777" s="1" t="s">
        <v>646</v>
      </c>
      <c r="U777" s="186">
        <v>44897.462650462963</v>
      </c>
      <c r="V777" s="1" t="s">
        <v>41</v>
      </c>
      <c r="W777" s="1" t="s">
        <v>49</v>
      </c>
      <c r="X777" s="13" t="str">
        <f>IF(RIGHT(H777,2)&lt;&gt;"00",H777,"")</f>
        <v/>
      </c>
      <c r="Y777" s="2">
        <f ca="1">NETWORKDAYS(P777,$Y$1)</f>
        <v>65</v>
      </c>
      <c r="Z777" s="14">
        <v>1</v>
      </c>
      <c r="AA777" s="1" t="str">
        <f t="shared" ca="1" si="60"/>
        <v>VENCIDO</v>
      </c>
      <c r="AB777" s="1" t="str">
        <f t="shared" si="61"/>
        <v>SL-On</v>
      </c>
      <c r="AC777" s="2" t="str">
        <f t="shared" si="62"/>
        <v xml:space="preserve"> CRISTINA </v>
      </c>
      <c r="AD777" s="2">
        <f t="shared" si="63"/>
        <v>1</v>
      </c>
      <c r="AE777" s="2">
        <f t="shared" ca="1" si="64"/>
        <v>-89.213621180555492</v>
      </c>
    </row>
    <row r="778" spans="1:31" hidden="1">
      <c r="A778" s="1">
        <v>9126534</v>
      </c>
      <c r="B778" s="1" t="s">
        <v>101</v>
      </c>
      <c r="C778" t="s">
        <v>643</v>
      </c>
      <c r="D778" s="2">
        <v>220197296</v>
      </c>
      <c r="E778" s="2">
        <v>1359001400040</v>
      </c>
      <c r="F778" s="1" t="s">
        <v>644</v>
      </c>
      <c r="G778" s="1" t="s">
        <v>53</v>
      </c>
      <c r="H778" s="1" t="s">
        <v>270</v>
      </c>
      <c r="I778" s="1" t="s">
        <v>271</v>
      </c>
      <c r="J778" s="1" t="s">
        <v>141</v>
      </c>
      <c r="K778" t="s">
        <v>645</v>
      </c>
      <c r="M778" s="1" t="s">
        <v>58</v>
      </c>
      <c r="N778" s="1">
        <v>0</v>
      </c>
      <c r="O778" s="1" t="s">
        <v>105</v>
      </c>
      <c r="P778" s="186">
        <v>44896.462569444448</v>
      </c>
      <c r="R778" s="1">
        <v>2</v>
      </c>
      <c r="T778" s="1" t="s">
        <v>646</v>
      </c>
      <c r="U778" s="186">
        <v>44897.462569444448</v>
      </c>
      <c r="V778" s="1" t="s">
        <v>41</v>
      </c>
      <c r="W778" s="1" t="s">
        <v>49</v>
      </c>
      <c r="X778" s="13" t="str">
        <f>IF(RIGHT(H778,2)&lt;&gt;"00",H778,"")</f>
        <v/>
      </c>
      <c r="Y778" s="2">
        <f ca="1">NETWORKDAYS(P778,$Y$1)</f>
        <v>65</v>
      </c>
      <c r="Z778" s="14">
        <v>1</v>
      </c>
      <c r="AA778" s="1" t="str">
        <f t="shared" ca="1" si="60"/>
        <v>VENCIDO</v>
      </c>
      <c r="AB778" s="1" t="str">
        <f t="shared" si="61"/>
        <v>SL-On</v>
      </c>
      <c r="AC778" s="2" t="str">
        <f t="shared" si="62"/>
        <v xml:space="preserve"> CRISTINA </v>
      </c>
      <c r="AD778" s="2">
        <f t="shared" si="63"/>
        <v>1</v>
      </c>
      <c r="AE778" s="2">
        <f t="shared" ca="1" si="64"/>
        <v>-89.213702199071122</v>
      </c>
    </row>
    <row r="779" spans="1:31" hidden="1">
      <c r="A779" s="1">
        <v>9126515</v>
      </c>
      <c r="B779" s="1" t="s">
        <v>101</v>
      </c>
      <c r="C779" t="s">
        <v>643</v>
      </c>
      <c r="D779" s="2">
        <v>220197245</v>
      </c>
      <c r="E779" s="2">
        <v>1245001400040</v>
      </c>
      <c r="F779" s="1" t="s">
        <v>644</v>
      </c>
      <c r="G779" s="1" t="s">
        <v>53</v>
      </c>
      <c r="H779" s="1" t="s">
        <v>408</v>
      </c>
      <c r="I779" s="1" t="s">
        <v>409</v>
      </c>
      <c r="J779" s="1" t="s">
        <v>46</v>
      </c>
      <c r="K779" t="s">
        <v>645</v>
      </c>
      <c r="M779" s="1" t="s">
        <v>58</v>
      </c>
      <c r="N779" s="1">
        <v>0</v>
      </c>
      <c r="O779" s="1" t="s">
        <v>105</v>
      </c>
      <c r="P779" s="186">
        <v>44896.461180555554</v>
      </c>
      <c r="R779" s="1">
        <v>2</v>
      </c>
      <c r="T779" s="1" t="s">
        <v>646</v>
      </c>
      <c r="U779" s="186">
        <v>44897.461192129631</v>
      </c>
      <c r="V779" s="1" t="s">
        <v>41</v>
      </c>
      <c r="W779" s="1" t="s">
        <v>49</v>
      </c>
      <c r="X779" s="13" t="str">
        <f>IF(RIGHT(H779,2)&lt;&gt;"00",H779,"")</f>
        <v/>
      </c>
      <c r="Y779" s="2">
        <f ca="1">NETWORKDAYS(P779,$Y$1)</f>
        <v>65</v>
      </c>
      <c r="Z779" s="14">
        <v>1</v>
      </c>
      <c r="AA779" s="1" t="str">
        <f t="shared" ca="1" si="60"/>
        <v>VENCIDO</v>
      </c>
      <c r="AB779" s="1" t="str">
        <f t="shared" si="61"/>
        <v>SL-On</v>
      </c>
      <c r="AC779" s="2" t="str">
        <f t="shared" si="62"/>
        <v xml:space="preserve"> CLEITON </v>
      </c>
      <c r="AD779" s="2">
        <f t="shared" si="63"/>
        <v>1</v>
      </c>
      <c r="AE779" s="2">
        <f t="shared" ca="1" si="64"/>
        <v>-89.215079513887758</v>
      </c>
    </row>
    <row r="780" spans="1:31" hidden="1">
      <c r="A780" s="1">
        <v>9126424</v>
      </c>
      <c r="B780" s="1" t="s">
        <v>101</v>
      </c>
      <c r="C780" t="s">
        <v>643</v>
      </c>
      <c r="D780" s="2">
        <v>220197448</v>
      </c>
      <c r="E780" s="2">
        <v>1792001400040</v>
      </c>
      <c r="F780" s="1" t="s">
        <v>644</v>
      </c>
      <c r="G780" s="1" t="s">
        <v>53</v>
      </c>
      <c r="H780" s="1" t="s">
        <v>467</v>
      </c>
      <c r="I780" s="1" t="s">
        <v>468</v>
      </c>
      <c r="J780" s="1" t="s">
        <v>110</v>
      </c>
      <c r="K780" t="s">
        <v>645</v>
      </c>
      <c r="M780" s="1" t="s">
        <v>58</v>
      </c>
      <c r="N780" s="1">
        <v>0</v>
      </c>
      <c r="O780" s="1" t="s">
        <v>105</v>
      </c>
      <c r="P780" s="186">
        <v>44896.457650462966</v>
      </c>
      <c r="R780" s="1">
        <v>2</v>
      </c>
      <c r="T780" s="1" t="s">
        <v>646</v>
      </c>
      <c r="U780" s="186">
        <v>44897.457662037035</v>
      </c>
      <c r="V780" s="1" t="s">
        <v>41</v>
      </c>
      <c r="W780" s="1" t="s">
        <v>49</v>
      </c>
      <c r="X780" s="13" t="str">
        <f>IF(RIGHT(H780,2)&lt;&gt;"00",H780,"")</f>
        <v/>
      </c>
      <c r="Y780" s="2">
        <f ca="1">NETWORKDAYS(P780,$Y$1)</f>
        <v>65</v>
      </c>
      <c r="Z780" s="14">
        <v>1</v>
      </c>
      <c r="AA780" s="1" t="str">
        <f t="shared" ca="1" si="60"/>
        <v>VENCIDO</v>
      </c>
      <c r="AB780" s="1" t="str">
        <f t="shared" si="61"/>
        <v>SL-On</v>
      </c>
      <c r="AC780" s="2" t="str">
        <f t="shared" si="62"/>
        <v xml:space="preserve"> CRISTINA </v>
      </c>
      <c r="AD780" s="2">
        <f t="shared" si="63"/>
        <v>1</v>
      </c>
      <c r="AE780" s="2">
        <f t="shared" ca="1" si="64"/>
        <v>-89.218609606483369</v>
      </c>
    </row>
    <row r="781" spans="1:31" hidden="1">
      <c r="A781" s="1">
        <v>9126382</v>
      </c>
      <c r="B781" s="1" t="s">
        <v>101</v>
      </c>
      <c r="C781" t="s">
        <v>643</v>
      </c>
      <c r="D781" s="2">
        <v>220197425</v>
      </c>
      <c r="E781" s="2">
        <v>1732001400040</v>
      </c>
      <c r="F781" s="1" t="s">
        <v>644</v>
      </c>
      <c r="G781" s="1" t="s">
        <v>53</v>
      </c>
      <c r="H781" s="1" t="s">
        <v>177</v>
      </c>
      <c r="I781" s="1" t="s">
        <v>178</v>
      </c>
      <c r="J781" s="1" t="s">
        <v>164</v>
      </c>
      <c r="K781" t="s">
        <v>645</v>
      </c>
      <c r="M781" s="1" t="s">
        <v>58</v>
      </c>
      <c r="N781" s="1">
        <v>0</v>
      </c>
      <c r="O781" s="1" t="s">
        <v>105</v>
      </c>
      <c r="P781" s="186">
        <v>44896.456192129626</v>
      </c>
      <c r="R781" s="1">
        <v>3</v>
      </c>
      <c r="T781" s="1" t="s">
        <v>646</v>
      </c>
      <c r="U781" s="186">
        <v>44897.456192129626</v>
      </c>
      <c r="V781" s="1" t="s">
        <v>41</v>
      </c>
      <c r="W781" s="1" t="s">
        <v>49</v>
      </c>
      <c r="X781" s="13" t="str">
        <f>IF(RIGHT(H781,2)&lt;&gt;"00",H781,"")</f>
        <v/>
      </c>
      <c r="Y781" s="2">
        <f ca="1">NETWORKDAYS(P781,$Y$1)</f>
        <v>65</v>
      </c>
      <c r="Z781" s="14">
        <v>1</v>
      </c>
      <c r="AA781" s="1" t="str">
        <f t="shared" ca="1" si="60"/>
        <v>VENCIDO</v>
      </c>
      <c r="AB781" s="1" t="str">
        <f t="shared" si="61"/>
        <v>SL-On</v>
      </c>
      <c r="AC781" s="2" t="str">
        <f t="shared" si="62"/>
        <v xml:space="preserve"> ROSEMERE </v>
      </c>
      <c r="AD781" s="2">
        <f t="shared" si="63"/>
        <v>1</v>
      </c>
      <c r="AE781" s="2">
        <f t="shared" ca="1" si="64"/>
        <v>-89.220079513892415</v>
      </c>
    </row>
    <row r="782" spans="1:31" hidden="1">
      <c r="A782" s="1">
        <v>9126343</v>
      </c>
      <c r="B782" s="1" t="s">
        <v>101</v>
      </c>
      <c r="C782" t="s">
        <v>643</v>
      </c>
      <c r="D782" s="2">
        <v>220197402</v>
      </c>
      <c r="E782" s="2">
        <v>1664001400040</v>
      </c>
      <c r="F782" s="1" t="s">
        <v>644</v>
      </c>
      <c r="G782" s="1" t="s">
        <v>53</v>
      </c>
      <c r="H782" s="1" t="s">
        <v>307</v>
      </c>
      <c r="I782" s="1" t="s">
        <v>308</v>
      </c>
      <c r="J782" s="1" t="s">
        <v>164</v>
      </c>
      <c r="K782" t="s">
        <v>645</v>
      </c>
      <c r="M782" s="1" t="s">
        <v>58</v>
      </c>
      <c r="N782" s="1">
        <v>0</v>
      </c>
      <c r="O782" s="1" t="s">
        <v>105</v>
      </c>
      <c r="P782" s="186">
        <v>44896.454652777778</v>
      </c>
      <c r="R782" s="1">
        <v>2</v>
      </c>
      <c r="T782" s="1" t="s">
        <v>646</v>
      </c>
      <c r="U782" s="186">
        <v>44897.454652777778</v>
      </c>
      <c r="V782" s="1" t="s">
        <v>41</v>
      </c>
      <c r="W782" s="1" t="s">
        <v>49</v>
      </c>
      <c r="X782" s="13" t="str">
        <f>IF(RIGHT(H782,2)&lt;&gt;"00",H782,"")</f>
        <v/>
      </c>
      <c r="Y782" s="2">
        <f ca="1">NETWORKDAYS(P782,$Y$1)</f>
        <v>65</v>
      </c>
      <c r="Z782" s="14">
        <v>1</v>
      </c>
      <c r="AA782" s="1" t="str">
        <f t="shared" ca="1" si="60"/>
        <v>VENCIDO</v>
      </c>
      <c r="AB782" s="1" t="str">
        <f t="shared" si="61"/>
        <v>SL-On</v>
      </c>
      <c r="AC782" s="2" t="str">
        <f t="shared" si="62"/>
        <v xml:space="preserve"> ROSEMERE </v>
      </c>
      <c r="AD782" s="2">
        <f t="shared" si="63"/>
        <v>1</v>
      </c>
      <c r="AE782" s="2">
        <f t="shared" ca="1" si="64"/>
        <v>-89.221618865740311</v>
      </c>
    </row>
    <row r="783" spans="1:31" hidden="1">
      <c r="A783" s="1">
        <v>9126340</v>
      </c>
      <c r="B783" s="1" t="s">
        <v>101</v>
      </c>
      <c r="C783" t="s">
        <v>643</v>
      </c>
      <c r="D783" s="2">
        <v>220197678</v>
      </c>
      <c r="E783" s="2">
        <v>2678001400040</v>
      </c>
      <c r="F783" s="1" t="s">
        <v>644</v>
      </c>
      <c r="G783" s="1" t="s">
        <v>53</v>
      </c>
      <c r="H783" s="1" t="s">
        <v>992</v>
      </c>
      <c r="I783" s="1" t="s">
        <v>993</v>
      </c>
      <c r="J783" s="1" t="s">
        <v>33</v>
      </c>
      <c r="K783" t="s">
        <v>645</v>
      </c>
      <c r="M783" s="1" t="s">
        <v>58</v>
      </c>
      <c r="N783" s="1">
        <v>0</v>
      </c>
      <c r="O783" s="1" t="s">
        <v>105</v>
      </c>
      <c r="P783" s="186">
        <v>44896.454444444447</v>
      </c>
      <c r="R783" s="1">
        <v>2</v>
      </c>
      <c r="T783" s="1" t="s">
        <v>646</v>
      </c>
      <c r="U783" s="186">
        <v>44897.454456018517</v>
      </c>
      <c r="V783" s="1" t="s">
        <v>41</v>
      </c>
      <c r="W783" s="1" t="s">
        <v>42</v>
      </c>
      <c r="X783" s="13" t="str">
        <f>IF(RIGHT(H783,2)&lt;&gt;"00",H783,"")</f>
        <v/>
      </c>
      <c r="Y783" s="2">
        <f ca="1">NETWORKDAYS(P783,$Y$1)</f>
        <v>65</v>
      </c>
      <c r="Z783" s="14">
        <v>1</v>
      </c>
      <c r="AA783" s="1" t="str">
        <f t="shared" ca="1" si="60"/>
        <v>VENCIDO</v>
      </c>
      <c r="AB783" s="1" t="str">
        <f t="shared" si="61"/>
        <v>SL-On</v>
      </c>
      <c r="AC783" s="2" t="str">
        <f t="shared" si="62"/>
        <v xml:space="preserve"> ROSEMERE </v>
      </c>
      <c r="AD783" s="2">
        <f t="shared" si="63"/>
        <v>1</v>
      </c>
      <c r="AE783" s="2">
        <f t="shared" ca="1" si="64"/>
        <v>-89.221815625001909</v>
      </c>
    </row>
    <row r="784" spans="1:31" hidden="1">
      <c r="A784" s="1">
        <v>9126315</v>
      </c>
      <c r="B784" s="1" t="s">
        <v>101</v>
      </c>
      <c r="C784" t="s">
        <v>643</v>
      </c>
      <c r="D784" s="2">
        <v>220196945</v>
      </c>
      <c r="E784" s="2">
        <v>673001400040</v>
      </c>
      <c r="F784" s="1" t="s">
        <v>644</v>
      </c>
      <c r="G784" s="1" t="s">
        <v>53</v>
      </c>
      <c r="H784" s="1" t="s">
        <v>581</v>
      </c>
      <c r="I784" s="1" t="s">
        <v>582</v>
      </c>
      <c r="J784" s="1" t="s">
        <v>110</v>
      </c>
      <c r="K784" t="s">
        <v>645</v>
      </c>
      <c r="M784" s="1" t="s">
        <v>58</v>
      </c>
      <c r="N784" s="1">
        <v>0</v>
      </c>
      <c r="O784" s="1" t="s">
        <v>105</v>
      </c>
      <c r="P784" s="186">
        <v>44896.452546296299</v>
      </c>
      <c r="R784" s="1">
        <v>2</v>
      </c>
      <c r="T784" s="1" t="s">
        <v>646</v>
      </c>
      <c r="U784" s="186">
        <v>44897.452557870369</v>
      </c>
      <c r="V784" s="1" t="s">
        <v>41</v>
      </c>
      <c r="W784" s="1" t="s">
        <v>49</v>
      </c>
      <c r="X784" s="13" t="str">
        <f>IF(RIGHT(H784,2)&lt;&gt;"00",H784,"")</f>
        <v/>
      </c>
      <c r="Y784" s="2">
        <f ca="1">NETWORKDAYS(P784,$Y$1)</f>
        <v>65</v>
      </c>
      <c r="Z784" s="14">
        <v>1</v>
      </c>
      <c r="AA784" s="1" t="str">
        <f t="shared" ca="1" si="60"/>
        <v>VENCIDO</v>
      </c>
      <c r="AB784" s="1" t="str">
        <f t="shared" si="61"/>
        <v>SL-On</v>
      </c>
      <c r="AC784" s="2" t="str">
        <f t="shared" si="62"/>
        <v xml:space="preserve"> CRISTINA </v>
      </c>
      <c r="AD784" s="2">
        <f t="shared" si="63"/>
        <v>1</v>
      </c>
      <c r="AE784" s="2">
        <f t="shared" ca="1" si="64"/>
        <v>-89.223713773149939</v>
      </c>
    </row>
    <row r="785" spans="1:31" hidden="1">
      <c r="A785" s="1">
        <v>9126276</v>
      </c>
      <c r="B785" s="1" t="s">
        <v>101</v>
      </c>
      <c r="C785" t="s">
        <v>643</v>
      </c>
      <c r="D785" s="2">
        <v>220197114</v>
      </c>
      <c r="E785" s="2">
        <v>981001400040</v>
      </c>
      <c r="F785" s="1" t="s">
        <v>644</v>
      </c>
      <c r="G785" s="1" t="s">
        <v>53</v>
      </c>
      <c r="H785" s="1" t="s">
        <v>410</v>
      </c>
      <c r="I785" s="1" t="s">
        <v>411</v>
      </c>
      <c r="J785" s="1" t="s">
        <v>85</v>
      </c>
      <c r="K785" t="s">
        <v>645</v>
      </c>
      <c r="M785" s="1" t="s">
        <v>58</v>
      </c>
      <c r="N785" s="1">
        <v>0</v>
      </c>
      <c r="O785" s="1" t="s">
        <v>105</v>
      </c>
      <c r="P785" s="186">
        <v>44896.450682870367</v>
      </c>
      <c r="R785" s="1">
        <v>3</v>
      </c>
      <c r="T785" s="1" t="s">
        <v>646</v>
      </c>
      <c r="U785" s="186">
        <v>44897.450682870367</v>
      </c>
      <c r="V785" s="1" t="s">
        <v>41</v>
      </c>
      <c r="W785" s="1" t="s">
        <v>49</v>
      </c>
      <c r="X785" s="13" t="str">
        <f>IF(RIGHT(H785,2)&lt;&gt;"00",H785,"")</f>
        <v/>
      </c>
      <c r="Y785" s="2">
        <f ca="1">NETWORKDAYS(P785,$Y$1)</f>
        <v>65</v>
      </c>
      <c r="Z785" s="14">
        <v>1</v>
      </c>
      <c r="AA785" s="1" t="str">
        <f t="shared" ca="1" si="60"/>
        <v>VENCIDO</v>
      </c>
      <c r="AB785" s="1" t="str">
        <f t="shared" si="61"/>
        <v>SL-On</v>
      </c>
      <c r="AC785" s="2" t="str">
        <f t="shared" si="62"/>
        <v xml:space="preserve"> RINALDO </v>
      </c>
      <c r="AD785" s="2">
        <f t="shared" si="63"/>
        <v>1</v>
      </c>
      <c r="AE785" s="2">
        <f t="shared" ca="1" si="64"/>
        <v>-89.225588773151685</v>
      </c>
    </row>
    <row r="786" spans="1:31" hidden="1">
      <c r="A786" s="1">
        <v>9126219</v>
      </c>
      <c r="B786" s="1" t="s">
        <v>101</v>
      </c>
      <c r="C786" t="s">
        <v>643</v>
      </c>
      <c r="D786" s="2">
        <v>220196904</v>
      </c>
      <c r="E786" s="2">
        <v>608001400040</v>
      </c>
      <c r="F786" s="1" t="s">
        <v>644</v>
      </c>
      <c r="G786" s="1" t="s">
        <v>53</v>
      </c>
      <c r="H786" s="1" t="s">
        <v>438</v>
      </c>
      <c r="I786" s="1" t="s">
        <v>439</v>
      </c>
      <c r="J786" s="1" t="s">
        <v>148</v>
      </c>
      <c r="K786" t="s">
        <v>645</v>
      </c>
      <c r="M786" s="1" t="s">
        <v>58</v>
      </c>
      <c r="N786" s="1">
        <v>0</v>
      </c>
      <c r="O786" s="1" t="s">
        <v>105</v>
      </c>
      <c r="P786" s="186">
        <v>44896.447650462964</v>
      </c>
      <c r="R786" s="1">
        <v>3</v>
      </c>
      <c r="T786" s="1" t="s">
        <v>646</v>
      </c>
      <c r="U786" s="186">
        <v>44897.447650462964</v>
      </c>
      <c r="V786" s="1" t="s">
        <v>41</v>
      </c>
      <c r="W786" s="1" t="s">
        <v>49</v>
      </c>
      <c r="X786" s="13" t="str">
        <f>IF(RIGHT(H786,2)&lt;&gt;"00",H786,"")</f>
        <v/>
      </c>
      <c r="Y786" s="2">
        <f ca="1">NETWORKDAYS(P786,$Y$1)</f>
        <v>65</v>
      </c>
      <c r="Z786" s="14">
        <v>1</v>
      </c>
      <c r="AA786" s="1" t="str">
        <f t="shared" ca="1" si="60"/>
        <v>VENCIDO</v>
      </c>
      <c r="AB786" s="1" t="str">
        <f t="shared" si="61"/>
        <v>SL-On</v>
      </c>
      <c r="AC786" s="2" t="str">
        <f t="shared" si="62"/>
        <v xml:space="preserve"> RINALDO </v>
      </c>
      <c r="AD786" s="2">
        <f t="shared" si="63"/>
        <v>1</v>
      </c>
      <c r="AE786" s="2">
        <f t="shared" ca="1" si="64"/>
        <v>-89.22862118055491</v>
      </c>
    </row>
    <row r="787" spans="1:31" hidden="1">
      <c r="A787" s="1">
        <v>9126206</v>
      </c>
      <c r="B787" s="1" t="s">
        <v>101</v>
      </c>
      <c r="C787" t="s">
        <v>643</v>
      </c>
      <c r="D787" s="2">
        <v>220196891</v>
      </c>
      <c r="E787" s="2">
        <v>582001400040</v>
      </c>
      <c r="F787" s="1" t="s">
        <v>644</v>
      </c>
      <c r="G787" s="1" t="s">
        <v>53</v>
      </c>
      <c r="H787" s="1" t="s">
        <v>139</v>
      </c>
      <c r="I787" s="1" t="s">
        <v>140</v>
      </c>
      <c r="J787" s="1" t="s">
        <v>141</v>
      </c>
      <c r="K787" t="s">
        <v>645</v>
      </c>
      <c r="M787" s="1" t="s">
        <v>58</v>
      </c>
      <c r="N787" s="1">
        <v>0</v>
      </c>
      <c r="O787" s="1" t="s">
        <v>105</v>
      </c>
      <c r="P787" s="186">
        <v>44896.446828703702</v>
      </c>
      <c r="R787" s="1">
        <v>3</v>
      </c>
      <c r="T787" s="1" t="s">
        <v>646</v>
      </c>
      <c r="U787" s="186">
        <v>44897.446828703702</v>
      </c>
      <c r="V787" s="1" t="s">
        <v>41</v>
      </c>
      <c r="W787" s="1" t="s">
        <v>49</v>
      </c>
      <c r="X787" s="13" t="str">
        <f>IF(RIGHT(H787,2)&lt;&gt;"00",H787,"")</f>
        <v/>
      </c>
      <c r="Y787" s="2">
        <f ca="1">NETWORKDAYS(P787,$Y$1)</f>
        <v>65</v>
      </c>
      <c r="Z787" s="14">
        <v>1</v>
      </c>
      <c r="AA787" s="1" t="str">
        <f t="shared" ca="1" si="60"/>
        <v>VENCIDO</v>
      </c>
      <c r="AB787" s="1" t="str">
        <f t="shared" si="61"/>
        <v>SL-On</v>
      </c>
      <c r="AC787" s="2" t="str">
        <f t="shared" si="62"/>
        <v xml:space="preserve"> CRISTINA </v>
      </c>
      <c r="AD787" s="2">
        <f t="shared" si="63"/>
        <v>1</v>
      </c>
      <c r="AE787" s="2">
        <f t="shared" ca="1" si="64"/>
        <v>-89.229442939817091</v>
      </c>
    </row>
    <row r="788" spans="1:31" hidden="1">
      <c r="A788" s="1">
        <v>9126187</v>
      </c>
      <c r="B788" s="1" t="s">
        <v>101</v>
      </c>
      <c r="C788" t="s">
        <v>643</v>
      </c>
      <c r="D788" s="2">
        <v>220196872</v>
      </c>
      <c r="E788" s="2">
        <v>550001400040</v>
      </c>
      <c r="F788" s="1" t="s">
        <v>644</v>
      </c>
      <c r="G788" s="1" t="s">
        <v>53</v>
      </c>
      <c r="H788" s="1" t="s">
        <v>337</v>
      </c>
      <c r="I788" s="1" t="s">
        <v>338</v>
      </c>
      <c r="J788" s="1" t="s">
        <v>164</v>
      </c>
      <c r="K788" t="s">
        <v>645</v>
      </c>
      <c r="M788" s="1" t="s">
        <v>58</v>
      </c>
      <c r="N788" s="1">
        <v>0</v>
      </c>
      <c r="O788" s="1" t="s">
        <v>105</v>
      </c>
      <c r="P788" s="186">
        <v>44896.445625</v>
      </c>
      <c r="R788" s="1">
        <v>3</v>
      </c>
      <c r="T788" s="1" t="s">
        <v>646</v>
      </c>
      <c r="U788" s="186">
        <v>44897.445636574077</v>
      </c>
      <c r="V788" s="1" t="s">
        <v>41</v>
      </c>
      <c r="W788" s="1" t="s">
        <v>49</v>
      </c>
      <c r="X788" s="13" t="str">
        <f>IF(RIGHT(H788,2)&lt;&gt;"00",H788,"")</f>
        <v/>
      </c>
      <c r="Y788" s="2">
        <f ca="1">NETWORKDAYS(P788,$Y$1)</f>
        <v>65</v>
      </c>
      <c r="Z788" s="14">
        <v>1</v>
      </c>
      <c r="AA788" s="1" t="str">
        <f t="shared" ca="1" si="60"/>
        <v>VENCIDO</v>
      </c>
      <c r="AB788" s="1" t="str">
        <f t="shared" si="61"/>
        <v>SL-On</v>
      </c>
      <c r="AC788" s="2" t="str">
        <f t="shared" si="62"/>
        <v xml:space="preserve"> ROSEMERE </v>
      </c>
      <c r="AD788" s="2">
        <f t="shared" si="63"/>
        <v>1</v>
      </c>
      <c r="AE788" s="2">
        <f t="shared" ca="1" si="64"/>
        <v>-89.230635069441632</v>
      </c>
    </row>
    <row r="789" spans="1:31" hidden="1">
      <c r="A789" s="1">
        <v>9126178</v>
      </c>
      <c r="B789" s="1" t="s">
        <v>101</v>
      </c>
      <c r="C789" t="s">
        <v>643</v>
      </c>
      <c r="D789" s="2">
        <v>220196867</v>
      </c>
      <c r="E789" s="2">
        <v>537001400040</v>
      </c>
      <c r="F789" s="1" t="s">
        <v>644</v>
      </c>
      <c r="G789" s="1" t="s">
        <v>53</v>
      </c>
      <c r="H789" s="1" t="s">
        <v>442</v>
      </c>
      <c r="I789" s="1" t="s">
        <v>443</v>
      </c>
      <c r="J789" s="1" t="s">
        <v>79</v>
      </c>
      <c r="K789" t="s">
        <v>645</v>
      </c>
      <c r="M789" s="1" t="s">
        <v>58</v>
      </c>
      <c r="N789" s="1">
        <v>0</v>
      </c>
      <c r="O789" s="1" t="s">
        <v>105</v>
      </c>
      <c r="P789" s="186">
        <v>44896.445023148146</v>
      </c>
      <c r="R789" s="1">
        <v>2</v>
      </c>
      <c r="T789" s="1" t="s">
        <v>646</v>
      </c>
      <c r="U789" s="186">
        <v>44897.445023148146</v>
      </c>
      <c r="V789" s="1" t="s">
        <v>41</v>
      </c>
      <c r="W789" s="1" t="s">
        <v>49</v>
      </c>
      <c r="X789" s="13" t="str">
        <f>IF(RIGHT(H789,2)&lt;&gt;"00",H789,"")</f>
        <v/>
      </c>
      <c r="Y789" s="2">
        <f ca="1">NETWORKDAYS(P789,$Y$1)</f>
        <v>65</v>
      </c>
      <c r="Z789" s="14">
        <v>1</v>
      </c>
      <c r="AA789" s="1" t="str">
        <f t="shared" ca="1" si="60"/>
        <v>VENCIDO</v>
      </c>
      <c r="AB789" s="1" t="str">
        <f t="shared" si="61"/>
        <v>SL-On</v>
      </c>
      <c r="AC789" s="2" t="str">
        <f t="shared" si="62"/>
        <v xml:space="preserve"> ROSEMERE </v>
      </c>
      <c r="AD789" s="2">
        <f t="shared" si="63"/>
        <v>1</v>
      </c>
      <c r="AE789" s="2">
        <f t="shared" ca="1" si="64"/>
        <v>-89.231248495372711</v>
      </c>
    </row>
    <row r="790" spans="1:31" hidden="1">
      <c r="A790" s="1">
        <v>9126149</v>
      </c>
      <c r="B790" s="1" t="s">
        <v>101</v>
      </c>
      <c r="C790" t="s">
        <v>643</v>
      </c>
      <c r="D790" s="2">
        <v>220197129</v>
      </c>
      <c r="E790" s="2">
        <v>1012001400040</v>
      </c>
      <c r="F790" s="1" t="s">
        <v>644</v>
      </c>
      <c r="G790" s="1" t="s">
        <v>53</v>
      </c>
      <c r="H790" s="1" t="s">
        <v>172</v>
      </c>
      <c r="I790" s="1" t="s">
        <v>173</v>
      </c>
      <c r="J790" s="1" t="s">
        <v>164</v>
      </c>
      <c r="K790" t="s">
        <v>645</v>
      </c>
      <c r="M790" s="1" t="s">
        <v>58</v>
      </c>
      <c r="N790" s="1">
        <v>0</v>
      </c>
      <c r="O790" s="1" t="s">
        <v>105</v>
      </c>
      <c r="P790" s="186">
        <v>44896.443888888891</v>
      </c>
      <c r="R790" s="1">
        <v>2</v>
      </c>
      <c r="T790" s="1" t="s">
        <v>646</v>
      </c>
      <c r="U790" s="186">
        <v>44897.443888888891</v>
      </c>
      <c r="V790" s="1" t="s">
        <v>41</v>
      </c>
      <c r="W790" s="1" t="s">
        <v>49</v>
      </c>
      <c r="X790" s="13" t="str">
        <f>IF(RIGHT(H790,2)&lt;&gt;"00",H790,"")</f>
        <v/>
      </c>
      <c r="Y790" s="2">
        <f ca="1">NETWORKDAYS(P790,$Y$1)</f>
        <v>65</v>
      </c>
      <c r="Z790" s="14">
        <v>1</v>
      </c>
      <c r="AA790" s="1" t="str">
        <f t="shared" ca="1" si="60"/>
        <v>VENCIDO</v>
      </c>
      <c r="AB790" s="1" t="str">
        <f t="shared" si="61"/>
        <v>SL-On</v>
      </c>
      <c r="AC790" s="2" t="str">
        <f t="shared" si="62"/>
        <v xml:space="preserve"> ROSEMERE </v>
      </c>
      <c r="AD790" s="2">
        <f t="shared" si="63"/>
        <v>1</v>
      </c>
      <c r="AE790" s="2">
        <f t="shared" ca="1" si="64"/>
        <v>-89.232382754627906</v>
      </c>
    </row>
    <row r="791" spans="1:31" hidden="1">
      <c r="A791" s="1">
        <v>9126105</v>
      </c>
      <c r="B791" s="1" t="s">
        <v>101</v>
      </c>
      <c r="C791" t="s">
        <v>643</v>
      </c>
      <c r="D791" s="2">
        <v>220197072</v>
      </c>
      <c r="E791" s="2">
        <v>899001400040</v>
      </c>
      <c r="F791" s="1" t="s">
        <v>644</v>
      </c>
      <c r="G791" s="1" t="s">
        <v>53</v>
      </c>
      <c r="H791" s="1" t="s">
        <v>175</v>
      </c>
      <c r="I791" s="1" t="s">
        <v>176</v>
      </c>
      <c r="J791" s="1" t="s">
        <v>90</v>
      </c>
      <c r="K791" t="s">
        <v>645</v>
      </c>
      <c r="M791" s="1" t="s">
        <v>58</v>
      </c>
      <c r="N791" s="1">
        <v>0</v>
      </c>
      <c r="O791" s="1" t="s">
        <v>36</v>
      </c>
      <c r="P791" s="186">
        <v>44896.441180555557</v>
      </c>
      <c r="R791" s="1">
        <v>2</v>
      </c>
      <c r="T791" s="1" t="s">
        <v>646</v>
      </c>
      <c r="U791" s="186">
        <v>44897.441180555557</v>
      </c>
      <c r="V791" s="1" t="s">
        <v>41</v>
      </c>
      <c r="W791" s="1" t="s">
        <v>49</v>
      </c>
      <c r="X791" s="13" t="str">
        <f>IF(RIGHT(H791,2)&lt;&gt;"00",H791,"")</f>
        <v/>
      </c>
      <c r="Y791" s="2">
        <f ca="1">NETWORKDAYS(P791,$Y$1)</f>
        <v>65</v>
      </c>
      <c r="Z791" s="14">
        <v>1</v>
      </c>
      <c r="AA791" s="1" t="str">
        <f t="shared" ca="1" si="60"/>
        <v>VENCIDO</v>
      </c>
      <c r="AB791" s="1" t="str">
        <f t="shared" si="61"/>
        <v>SL-On</v>
      </c>
      <c r="AC791" s="2" t="str">
        <f t="shared" si="62"/>
        <v xml:space="preserve"> RINALDO </v>
      </c>
      <c r="AD791" s="2">
        <f t="shared" si="63"/>
        <v>1</v>
      </c>
      <c r="AE791" s="2">
        <f t="shared" ca="1" si="64"/>
        <v>-89.235091087961337</v>
      </c>
    </row>
    <row r="792" spans="1:31" hidden="1">
      <c r="A792" s="1">
        <v>9125943</v>
      </c>
      <c r="B792" s="1" t="s">
        <v>101</v>
      </c>
      <c r="C792" t="s">
        <v>643</v>
      </c>
      <c r="D792" s="2">
        <v>220197093</v>
      </c>
      <c r="E792" s="2">
        <v>934001400040</v>
      </c>
      <c r="F792" s="1" t="s">
        <v>644</v>
      </c>
      <c r="G792" s="1" t="s">
        <v>53</v>
      </c>
      <c r="H792" s="1" t="s">
        <v>428</v>
      </c>
      <c r="I792" s="1" t="s">
        <v>429</v>
      </c>
      <c r="J792" s="1" t="s">
        <v>46</v>
      </c>
      <c r="K792" t="s">
        <v>645</v>
      </c>
      <c r="M792" s="1" t="s">
        <v>58</v>
      </c>
      <c r="N792" s="1">
        <v>0</v>
      </c>
      <c r="O792" s="1" t="s">
        <v>105</v>
      </c>
      <c r="P792" s="186">
        <v>44896.434560185182</v>
      </c>
      <c r="R792" s="1">
        <v>2</v>
      </c>
      <c r="T792" s="1" t="s">
        <v>646</v>
      </c>
      <c r="U792" s="186">
        <v>44897.434560185182</v>
      </c>
      <c r="V792" s="1" t="s">
        <v>41</v>
      </c>
      <c r="W792" s="1" t="s">
        <v>49</v>
      </c>
      <c r="X792" s="13" t="str">
        <f>IF(RIGHT(H792,2)&lt;&gt;"00",H792,"")</f>
        <v/>
      </c>
      <c r="Y792" s="2">
        <f ca="1">NETWORKDAYS(P792,$Y$1)</f>
        <v>65</v>
      </c>
      <c r="Z792" s="14">
        <v>1</v>
      </c>
      <c r="AA792" s="1" t="str">
        <f t="shared" ca="1" si="60"/>
        <v>VENCIDO</v>
      </c>
      <c r="AB792" s="1" t="str">
        <f t="shared" si="61"/>
        <v>SL-On</v>
      </c>
      <c r="AC792" s="2" t="str">
        <f t="shared" si="62"/>
        <v xml:space="preserve"> CLEITON </v>
      </c>
      <c r="AD792" s="2">
        <f t="shared" si="63"/>
        <v>1</v>
      </c>
      <c r="AE792" s="2">
        <f t="shared" ca="1" si="64"/>
        <v>-89.241711458336795</v>
      </c>
    </row>
    <row r="793" spans="1:31" hidden="1">
      <c r="A793" s="1">
        <v>9125924</v>
      </c>
      <c r="B793" s="1" t="s">
        <v>101</v>
      </c>
      <c r="C793" t="s">
        <v>643</v>
      </c>
      <c r="D793" s="2">
        <v>220197082</v>
      </c>
      <c r="E793" s="2">
        <v>922001400040</v>
      </c>
      <c r="F793" s="1" t="s">
        <v>644</v>
      </c>
      <c r="G793" s="1" t="s">
        <v>53</v>
      </c>
      <c r="H793" s="1" t="s">
        <v>1375</v>
      </c>
      <c r="I793" s="1" t="s">
        <v>1376</v>
      </c>
      <c r="J793" s="1" t="s">
        <v>261</v>
      </c>
      <c r="K793" t="s">
        <v>645</v>
      </c>
      <c r="M793" s="1" t="s">
        <v>58</v>
      </c>
      <c r="N793" s="1">
        <v>0</v>
      </c>
      <c r="O793" s="1" t="s">
        <v>105</v>
      </c>
      <c r="P793" s="186">
        <v>44896.433796296296</v>
      </c>
      <c r="R793" s="1">
        <v>3</v>
      </c>
      <c r="T793" s="1" t="s">
        <v>646</v>
      </c>
      <c r="U793" s="186">
        <v>44897.433796296296</v>
      </c>
      <c r="V793" s="1" t="s">
        <v>41</v>
      </c>
      <c r="W793" s="1" t="s">
        <v>49</v>
      </c>
      <c r="X793" s="13" t="str">
        <f>IF(RIGHT(H793,2)&lt;&gt;"00",H793,"")</f>
        <v/>
      </c>
      <c r="Y793" s="2">
        <f ca="1">NETWORKDAYS(P793,$Y$1)</f>
        <v>65</v>
      </c>
      <c r="Z793" s="14">
        <v>1</v>
      </c>
      <c r="AA793" s="1" t="str">
        <f t="shared" ca="1" si="60"/>
        <v>VENCIDO</v>
      </c>
      <c r="AB793" s="1" t="str">
        <f t="shared" si="61"/>
        <v>SL-On</v>
      </c>
      <c r="AC793" s="2" t="str">
        <f t="shared" si="62"/>
        <v xml:space="preserve"> CRISTINA </v>
      </c>
      <c r="AD793" s="2">
        <f t="shared" si="63"/>
        <v>1</v>
      </c>
      <c r="AE793" s="2">
        <f t="shared" ca="1" si="64"/>
        <v>-89.242475347222353</v>
      </c>
    </row>
    <row r="794" spans="1:31" hidden="1">
      <c r="A794" s="1">
        <v>9125919</v>
      </c>
      <c r="B794" s="1" t="s">
        <v>101</v>
      </c>
      <c r="C794" t="s">
        <v>643</v>
      </c>
      <c r="D794" s="2">
        <v>220197080</v>
      </c>
      <c r="E794" s="2">
        <v>917001400040</v>
      </c>
      <c r="F794" s="1" t="s">
        <v>644</v>
      </c>
      <c r="G794" s="1" t="s">
        <v>53</v>
      </c>
      <c r="H794" s="1" t="s">
        <v>83</v>
      </c>
      <c r="I794" s="1" t="s">
        <v>84</v>
      </c>
      <c r="J794" s="1" t="s">
        <v>85</v>
      </c>
      <c r="K794" t="s">
        <v>645</v>
      </c>
      <c r="M794" s="1" t="s">
        <v>58</v>
      </c>
      <c r="N794" s="1">
        <v>0</v>
      </c>
      <c r="O794" s="1" t="s">
        <v>105</v>
      </c>
      <c r="P794" s="186">
        <v>44896.433657407404</v>
      </c>
      <c r="R794" s="1">
        <v>3</v>
      </c>
      <c r="T794" s="1" t="s">
        <v>646</v>
      </c>
      <c r="U794" s="186">
        <v>44897.433657407404</v>
      </c>
      <c r="V794" s="1" t="s">
        <v>41</v>
      </c>
      <c r="W794" s="1" t="s">
        <v>49</v>
      </c>
      <c r="X794" s="13" t="str">
        <f>IF(RIGHT(H794,2)&lt;&gt;"00",H794,"")</f>
        <v/>
      </c>
      <c r="Y794" s="2">
        <f ca="1">NETWORKDAYS(P794,$Y$1)</f>
        <v>65</v>
      </c>
      <c r="Z794" s="14">
        <v>1</v>
      </c>
      <c r="AA794" s="1" t="str">
        <f t="shared" ca="1" si="60"/>
        <v>VENCIDO</v>
      </c>
      <c r="AB794" s="1" t="str">
        <f t="shared" si="61"/>
        <v>SL-On</v>
      </c>
      <c r="AC794" s="2" t="str">
        <f t="shared" si="62"/>
        <v xml:space="preserve"> RINALDO </v>
      </c>
      <c r="AD794" s="2">
        <f t="shared" si="63"/>
        <v>1</v>
      </c>
      <c r="AE794" s="2">
        <f t="shared" ca="1" si="64"/>
        <v>-89.242614236114605</v>
      </c>
    </row>
    <row r="795" spans="1:31" hidden="1">
      <c r="A795" s="1">
        <v>9125717</v>
      </c>
      <c r="B795" s="1" t="s">
        <v>101</v>
      </c>
      <c r="C795" t="s">
        <v>643</v>
      </c>
      <c r="D795" s="2">
        <v>220196408</v>
      </c>
      <c r="E795" s="2">
        <v>5755001400030</v>
      </c>
      <c r="F795" s="1" t="s">
        <v>647</v>
      </c>
      <c r="G795" s="1" t="s">
        <v>53</v>
      </c>
      <c r="H795" s="1" t="s">
        <v>841</v>
      </c>
      <c r="I795" s="1" t="s">
        <v>842</v>
      </c>
      <c r="J795" s="1" t="s">
        <v>46</v>
      </c>
      <c r="K795" t="s">
        <v>650</v>
      </c>
      <c r="M795" s="1" t="s">
        <v>58</v>
      </c>
      <c r="N795" s="1">
        <v>0</v>
      </c>
      <c r="O795" s="1" t="s">
        <v>105</v>
      </c>
      <c r="P795" s="186">
        <v>44896.422476851854</v>
      </c>
      <c r="R795" s="1">
        <v>4</v>
      </c>
      <c r="T795" s="1" t="s">
        <v>646</v>
      </c>
      <c r="U795" s="186">
        <v>44897.422476851854</v>
      </c>
      <c r="V795" s="1" t="s">
        <v>41</v>
      </c>
      <c r="W795" s="1" t="s">
        <v>49</v>
      </c>
      <c r="X795" s="13" t="str">
        <f>IF(RIGHT(H795,2)&lt;&gt;"00",H795,"")</f>
        <v/>
      </c>
      <c r="Y795" s="2">
        <f ca="1">NETWORKDAYS(P795,$Y$1)</f>
        <v>65</v>
      </c>
      <c r="Z795" s="14">
        <v>1</v>
      </c>
      <c r="AA795" s="1" t="str">
        <f t="shared" ca="1" si="60"/>
        <v>VENCIDO</v>
      </c>
      <c r="AB795" s="1" t="str">
        <f t="shared" si="61"/>
        <v>C-14</v>
      </c>
      <c r="AC795" s="2" t="str">
        <f t="shared" si="62"/>
        <v xml:space="preserve"> CLEITON </v>
      </c>
      <c r="AD795" s="2">
        <f t="shared" si="63"/>
        <v>15</v>
      </c>
      <c r="AE795" s="2">
        <f t="shared" ca="1" si="64"/>
        <v>-89.253794791664404</v>
      </c>
    </row>
    <row r="796" spans="1:31" hidden="1">
      <c r="A796" s="1">
        <v>9125693</v>
      </c>
      <c r="B796" s="1" t="s">
        <v>101</v>
      </c>
      <c r="C796" t="s">
        <v>643</v>
      </c>
      <c r="D796" s="2">
        <v>220196378</v>
      </c>
      <c r="E796" s="2">
        <v>1943001400030</v>
      </c>
      <c r="F796" s="1" t="s">
        <v>647</v>
      </c>
      <c r="G796" s="1" t="s">
        <v>53</v>
      </c>
      <c r="H796" s="1" t="s">
        <v>264</v>
      </c>
      <c r="I796" s="1" t="s">
        <v>265</v>
      </c>
      <c r="J796" s="1" t="s">
        <v>56</v>
      </c>
      <c r="K796" t="s">
        <v>650</v>
      </c>
      <c r="M796" s="1" t="s">
        <v>58</v>
      </c>
      <c r="N796" s="1">
        <v>0</v>
      </c>
      <c r="O796" s="1" t="s">
        <v>105</v>
      </c>
      <c r="P796" s="186">
        <v>44896.421620370369</v>
      </c>
      <c r="R796" s="1">
        <v>4</v>
      </c>
      <c r="T796" s="1" t="s">
        <v>646</v>
      </c>
      <c r="U796" s="186">
        <v>44897.421620370369</v>
      </c>
      <c r="V796" s="1" t="s">
        <v>41</v>
      </c>
      <c r="W796" s="1" t="s">
        <v>49</v>
      </c>
      <c r="X796" s="13" t="str">
        <f>IF(RIGHT(H796,2)&lt;&gt;"00",H796,"")</f>
        <v/>
      </c>
      <c r="Y796" s="2">
        <f ca="1">NETWORKDAYS(P796,$Y$1)</f>
        <v>65</v>
      </c>
      <c r="Z796" s="14">
        <v>1</v>
      </c>
      <c r="AA796" s="1" t="str">
        <f t="shared" ca="1" si="60"/>
        <v>VENCIDO</v>
      </c>
      <c r="AB796" s="1" t="str">
        <f t="shared" si="61"/>
        <v>C-14</v>
      </c>
      <c r="AC796" s="2" t="str">
        <f t="shared" si="62"/>
        <v xml:space="preserve"> CRISTINA </v>
      </c>
      <c r="AD796" s="2">
        <f t="shared" si="63"/>
        <v>15</v>
      </c>
      <c r="AE796" s="2">
        <f t="shared" ca="1" si="64"/>
        <v>-89.254651273149648</v>
      </c>
    </row>
    <row r="797" spans="1:31" hidden="1">
      <c r="A797" s="1">
        <v>9125609</v>
      </c>
      <c r="B797" s="1" t="s">
        <v>101</v>
      </c>
      <c r="C797" t="s">
        <v>643</v>
      </c>
      <c r="D797" s="2">
        <v>220196332</v>
      </c>
      <c r="E797" s="2">
        <v>5898001400030</v>
      </c>
      <c r="F797" s="1" t="s">
        <v>647</v>
      </c>
      <c r="G797" s="1" t="s">
        <v>53</v>
      </c>
      <c r="H797" s="1" t="s">
        <v>365</v>
      </c>
      <c r="I797" s="1" t="s">
        <v>366</v>
      </c>
      <c r="J797" s="1" t="s">
        <v>164</v>
      </c>
      <c r="K797" t="s">
        <v>650</v>
      </c>
      <c r="M797" s="1" t="s">
        <v>58</v>
      </c>
      <c r="N797" s="1">
        <v>0</v>
      </c>
      <c r="O797" s="1" t="s">
        <v>105</v>
      </c>
      <c r="P797" s="186">
        <v>44896.417812500003</v>
      </c>
      <c r="R797" s="1">
        <v>4</v>
      </c>
      <c r="T797" s="1" t="s">
        <v>646</v>
      </c>
      <c r="U797" s="186">
        <v>44897.417812500003</v>
      </c>
      <c r="V797" s="1" t="s">
        <v>41</v>
      </c>
      <c r="W797" s="1" t="s">
        <v>49</v>
      </c>
      <c r="X797" s="13" t="str">
        <f>IF(RIGHT(H797,2)&lt;&gt;"00",H797,"")</f>
        <v/>
      </c>
      <c r="Y797" s="2">
        <f ca="1">NETWORKDAYS(P797,$Y$1)</f>
        <v>65</v>
      </c>
      <c r="Z797" s="14">
        <v>1</v>
      </c>
      <c r="AA797" s="1" t="str">
        <f t="shared" ca="1" si="60"/>
        <v>VENCIDO</v>
      </c>
      <c r="AB797" s="1" t="str">
        <f t="shared" si="61"/>
        <v>C-14</v>
      </c>
      <c r="AC797" s="2" t="str">
        <f t="shared" si="62"/>
        <v xml:space="preserve"> ROSEMERE </v>
      </c>
      <c r="AD797" s="2">
        <f t="shared" si="63"/>
        <v>15</v>
      </c>
      <c r="AE797" s="2">
        <f t="shared" ca="1" si="64"/>
        <v>-89.258459143515211</v>
      </c>
    </row>
    <row r="798" spans="1:31" hidden="1">
      <c r="A798" s="1">
        <v>9125460</v>
      </c>
      <c r="B798" s="1" t="s">
        <v>101</v>
      </c>
      <c r="C798" t="s">
        <v>643</v>
      </c>
      <c r="D798" s="2">
        <v>220196217</v>
      </c>
      <c r="E798" s="2">
        <v>5742001400030</v>
      </c>
      <c r="F798" s="1" t="s">
        <v>647</v>
      </c>
      <c r="G798" s="1" t="s">
        <v>53</v>
      </c>
      <c r="H798" s="1" t="s">
        <v>430</v>
      </c>
      <c r="I798" s="1" t="s">
        <v>431</v>
      </c>
      <c r="J798" s="1" t="s">
        <v>79</v>
      </c>
      <c r="K798" t="s">
        <v>650</v>
      </c>
      <c r="M798" s="1" t="s">
        <v>58</v>
      </c>
      <c r="N798" s="1">
        <v>0</v>
      </c>
      <c r="O798" s="1" t="s">
        <v>105</v>
      </c>
      <c r="P798" s="186">
        <v>44896.409247685187</v>
      </c>
      <c r="R798" s="1">
        <v>4</v>
      </c>
      <c r="T798" s="1" t="s">
        <v>646</v>
      </c>
      <c r="U798" s="186">
        <v>44897.409247685187</v>
      </c>
      <c r="V798" s="1" t="s">
        <v>41</v>
      </c>
      <c r="W798" s="1" t="s">
        <v>49</v>
      </c>
      <c r="X798" s="13" t="str">
        <f>IF(RIGHT(H798,2)&lt;&gt;"00",H798,"")</f>
        <v/>
      </c>
      <c r="Y798" s="2">
        <f ca="1">NETWORKDAYS(P798,$Y$1)</f>
        <v>65</v>
      </c>
      <c r="Z798" s="14">
        <v>1</v>
      </c>
      <c r="AA798" s="1" t="str">
        <f t="shared" ca="1" si="60"/>
        <v>VENCIDO</v>
      </c>
      <c r="AB798" s="1" t="str">
        <f t="shared" si="61"/>
        <v>C-14</v>
      </c>
      <c r="AC798" s="2" t="str">
        <f t="shared" si="62"/>
        <v xml:space="preserve"> ROSEMERE </v>
      </c>
      <c r="AD798" s="2">
        <f t="shared" si="63"/>
        <v>15</v>
      </c>
      <c r="AE798" s="2">
        <f t="shared" ca="1" si="64"/>
        <v>-89.267023958331265</v>
      </c>
    </row>
    <row r="799" spans="1:31" hidden="1">
      <c r="A799" s="1">
        <v>9125444</v>
      </c>
      <c r="B799" s="1" t="s">
        <v>101</v>
      </c>
      <c r="C799" t="s">
        <v>643</v>
      </c>
      <c r="D799" s="2">
        <v>220196207</v>
      </c>
      <c r="E799" s="2">
        <v>7651400030</v>
      </c>
      <c r="F799" s="1" t="s">
        <v>647</v>
      </c>
      <c r="G799" s="1" t="s">
        <v>53</v>
      </c>
      <c r="H799" s="1" t="s">
        <v>827</v>
      </c>
      <c r="I799" s="1" t="s">
        <v>828</v>
      </c>
      <c r="J799" s="1" t="s">
        <v>46</v>
      </c>
      <c r="K799" t="s">
        <v>650</v>
      </c>
      <c r="M799" s="1" t="s">
        <v>58</v>
      </c>
      <c r="N799" s="1">
        <v>0</v>
      </c>
      <c r="O799" s="1" t="s">
        <v>105</v>
      </c>
      <c r="P799" s="186">
        <v>44896.408101851855</v>
      </c>
      <c r="R799" s="1">
        <v>4</v>
      </c>
      <c r="T799" s="1" t="s">
        <v>646</v>
      </c>
      <c r="U799" s="186">
        <v>44897.408101851855</v>
      </c>
      <c r="V799" s="1" t="s">
        <v>41</v>
      </c>
      <c r="W799" s="1" t="s">
        <v>49</v>
      </c>
      <c r="X799" s="13" t="str">
        <f>IF(RIGHT(H799,2)&lt;&gt;"00",H799,"")</f>
        <v>0007.65</v>
      </c>
      <c r="Y799" s="2">
        <f ca="1">NETWORKDAYS(P799,$Y$1)</f>
        <v>65</v>
      </c>
      <c r="Z799" s="14">
        <v>1</v>
      </c>
      <c r="AA799" s="1" t="str">
        <f t="shared" ca="1" si="60"/>
        <v>VENCIDO</v>
      </c>
      <c r="AB799" s="1" t="str">
        <f t="shared" si="61"/>
        <v>C-14</v>
      </c>
      <c r="AC799" s="2" t="str">
        <f t="shared" si="62"/>
        <v xml:space="preserve"> CLEITON </v>
      </c>
      <c r="AD799" s="2">
        <f t="shared" si="63"/>
        <v>15</v>
      </c>
      <c r="AE799" s="2">
        <f t="shared" ca="1" si="64"/>
        <v>-89.26816979166324</v>
      </c>
    </row>
    <row r="800" spans="1:31" hidden="1">
      <c r="A800" s="1">
        <v>9125404</v>
      </c>
      <c r="B800" s="1" t="s">
        <v>101</v>
      </c>
      <c r="C800" t="s">
        <v>643</v>
      </c>
      <c r="D800" s="2">
        <v>220196178</v>
      </c>
      <c r="E800" s="2">
        <v>4997001400030</v>
      </c>
      <c r="F800" s="1" t="s">
        <v>647</v>
      </c>
      <c r="G800" s="1" t="s">
        <v>53</v>
      </c>
      <c r="H800" s="1" t="s">
        <v>406</v>
      </c>
      <c r="I800" s="1" t="s">
        <v>407</v>
      </c>
      <c r="J800" s="1" t="s">
        <v>79</v>
      </c>
      <c r="K800" t="s">
        <v>650</v>
      </c>
      <c r="M800" s="1" t="s">
        <v>58</v>
      </c>
      <c r="N800" s="1">
        <v>0</v>
      </c>
      <c r="O800" s="1" t="s">
        <v>105</v>
      </c>
      <c r="P800" s="186">
        <v>44896.4062037037</v>
      </c>
      <c r="R800" s="1">
        <v>4</v>
      </c>
      <c r="T800" s="1" t="s">
        <v>646</v>
      </c>
      <c r="U800" s="186">
        <v>44897.4062037037</v>
      </c>
      <c r="V800" s="1" t="s">
        <v>41</v>
      </c>
      <c r="W800" s="1" t="s">
        <v>49</v>
      </c>
      <c r="X800" s="13" t="str">
        <f>IF(RIGHT(H800,2)&lt;&gt;"00",H800,"")</f>
        <v/>
      </c>
      <c r="Y800" s="2">
        <f ca="1">NETWORKDAYS(P800,$Y$1)</f>
        <v>65</v>
      </c>
      <c r="Z800" s="14">
        <v>1</v>
      </c>
      <c r="AA800" s="1" t="str">
        <f t="shared" ca="1" si="60"/>
        <v>VENCIDO</v>
      </c>
      <c r="AB800" s="1" t="str">
        <f t="shared" si="61"/>
        <v>C-14</v>
      </c>
      <c r="AC800" s="2" t="str">
        <f t="shared" si="62"/>
        <v xml:space="preserve"> ROSEMERE </v>
      </c>
      <c r="AD800" s="2">
        <f t="shared" si="63"/>
        <v>15</v>
      </c>
      <c r="AE800" s="2">
        <f t="shared" ca="1" si="64"/>
        <v>-89.270067939818546</v>
      </c>
    </row>
    <row r="801" spans="1:31" hidden="1">
      <c r="A801" s="1">
        <v>9125383</v>
      </c>
      <c r="B801" s="1" t="s">
        <v>101</v>
      </c>
      <c r="C801" t="s">
        <v>643</v>
      </c>
      <c r="D801" s="2">
        <v>220196166</v>
      </c>
      <c r="E801" s="2">
        <v>1120011400030</v>
      </c>
      <c r="F801" s="1" t="s">
        <v>647</v>
      </c>
      <c r="G801" s="1" t="s">
        <v>53</v>
      </c>
      <c r="H801" s="1" t="s">
        <v>648</v>
      </c>
      <c r="I801" s="1" t="s">
        <v>649</v>
      </c>
      <c r="J801" s="1" t="s">
        <v>164</v>
      </c>
      <c r="K801" t="s">
        <v>650</v>
      </c>
      <c r="M801" s="1" t="s">
        <v>58</v>
      </c>
      <c r="N801" s="1">
        <v>0</v>
      </c>
      <c r="O801" s="1" t="s">
        <v>105</v>
      </c>
      <c r="P801" s="186">
        <v>44896.405462962961</v>
      </c>
      <c r="R801" s="1">
        <v>4</v>
      </c>
      <c r="T801" s="1" t="s">
        <v>646</v>
      </c>
      <c r="U801" s="186">
        <v>44897.405462962961</v>
      </c>
      <c r="V801" s="1" t="s">
        <v>41</v>
      </c>
      <c r="W801" s="1" t="s">
        <v>49</v>
      </c>
      <c r="X801" s="13" t="str">
        <f>IF(RIGHT(H801,2)&lt;&gt;"00",H801,"")</f>
        <v>1120.01</v>
      </c>
      <c r="Y801" s="2">
        <f ca="1">NETWORKDAYS(P801,$Y$1)</f>
        <v>65</v>
      </c>
      <c r="Z801" s="14">
        <v>1</v>
      </c>
      <c r="AA801" s="1" t="str">
        <f t="shared" ca="1" si="60"/>
        <v>VENCIDO</v>
      </c>
      <c r="AB801" s="1" t="str">
        <f t="shared" si="61"/>
        <v>C-14</v>
      </c>
      <c r="AC801" s="2" t="str">
        <f t="shared" si="62"/>
        <v xml:space="preserve"> ROSEMERE </v>
      </c>
      <c r="AD801" s="2">
        <f t="shared" si="63"/>
        <v>15</v>
      </c>
      <c r="AE801" s="2">
        <f t="shared" ca="1" si="64"/>
        <v>-89.27080868055782</v>
      </c>
    </row>
    <row r="802" spans="1:31" hidden="1">
      <c r="A802" s="1">
        <v>9125336</v>
      </c>
      <c r="B802" s="1" t="s">
        <v>101</v>
      </c>
      <c r="C802" t="s">
        <v>643</v>
      </c>
      <c r="D802" s="2">
        <v>220195971</v>
      </c>
      <c r="E802" s="2">
        <v>68051400030</v>
      </c>
      <c r="F802" s="1" t="s">
        <v>647</v>
      </c>
      <c r="G802" s="1" t="s">
        <v>53</v>
      </c>
      <c r="H802" s="1" t="s">
        <v>1575</v>
      </c>
      <c r="I802" s="1" t="s">
        <v>1576</v>
      </c>
      <c r="J802" s="1" t="s">
        <v>211</v>
      </c>
      <c r="K802" t="s">
        <v>650</v>
      </c>
      <c r="M802" s="1" t="s">
        <v>58</v>
      </c>
      <c r="N802" s="1">
        <v>0</v>
      </c>
      <c r="O802" s="1" t="s">
        <v>105</v>
      </c>
      <c r="P802" s="186">
        <v>44896.403761574074</v>
      </c>
      <c r="R802" s="1">
        <v>4</v>
      </c>
      <c r="T802" s="1" t="s">
        <v>646</v>
      </c>
      <c r="U802" s="186">
        <v>44897.403761574074</v>
      </c>
      <c r="V802" s="1" t="s">
        <v>41</v>
      </c>
      <c r="W802" s="1" t="s">
        <v>49</v>
      </c>
      <c r="X802" s="13" t="str">
        <f>IF(RIGHT(H802,2)&lt;&gt;"00",H802,"")</f>
        <v>0068.05</v>
      </c>
      <c r="Y802" s="2">
        <f ca="1">NETWORKDAYS(P802,$Y$1)</f>
        <v>65</v>
      </c>
      <c r="Z802" s="14">
        <v>1</v>
      </c>
      <c r="AA802" s="1" t="str">
        <f t="shared" ca="1" si="60"/>
        <v>VENCIDO</v>
      </c>
      <c r="AB802" s="1" t="str">
        <f t="shared" si="61"/>
        <v>C-14</v>
      </c>
      <c r="AC802" s="2" t="str">
        <f t="shared" si="62"/>
        <v xml:space="preserve"> RINALDO </v>
      </c>
      <c r="AD802" s="2">
        <f t="shared" si="63"/>
        <v>15</v>
      </c>
      <c r="AE802" s="2">
        <f t="shared" ca="1" si="64"/>
        <v>-89.272510069444252</v>
      </c>
    </row>
    <row r="803" spans="1:31" hidden="1">
      <c r="A803" s="1">
        <v>9125234</v>
      </c>
      <c r="B803" s="1" t="s">
        <v>101</v>
      </c>
      <c r="C803" t="s">
        <v>643</v>
      </c>
      <c r="D803" s="2">
        <v>220195649</v>
      </c>
      <c r="E803" s="2">
        <v>2855001400030</v>
      </c>
      <c r="F803" s="1" t="s">
        <v>647</v>
      </c>
      <c r="G803" s="1" t="s">
        <v>53</v>
      </c>
      <c r="H803" s="1" t="s">
        <v>249</v>
      </c>
      <c r="I803" s="1" t="s">
        <v>250</v>
      </c>
      <c r="J803" s="1" t="s">
        <v>56</v>
      </c>
      <c r="K803" t="s">
        <v>650</v>
      </c>
      <c r="M803" s="1" t="s">
        <v>58</v>
      </c>
      <c r="N803" s="1">
        <v>0</v>
      </c>
      <c r="O803" s="1" t="s">
        <v>105</v>
      </c>
      <c r="P803" s="186">
        <v>44896.397905092592</v>
      </c>
      <c r="R803" s="1">
        <v>4</v>
      </c>
      <c r="T803" s="1" t="s">
        <v>646</v>
      </c>
      <c r="U803" s="186">
        <v>44897.397905092592</v>
      </c>
      <c r="V803" s="1" t="s">
        <v>41</v>
      </c>
      <c r="W803" s="1" t="s">
        <v>49</v>
      </c>
      <c r="X803" s="13" t="str">
        <f>IF(RIGHT(H803,2)&lt;&gt;"00",H803,"")</f>
        <v/>
      </c>
      <c r="Y803" s="2">
        <f ca="1">NETWORKDAYS(P803,$Y$1)</f>
        <v>65</v>
      </c>
      <c r="Z803" s="14">
        <v>1</v>
      </c>
      <c r="AA803" s="1" t="str">
        <f t="shared" ca="1" si="60"/>
        <v>VENCIDO</v>
      </c>
      <c r="AB803" s="1" t="str">
        <f t="shared" si="61"/>
        <v>C-14</v>
      </c>
      <c r="AC803" s="2" t="str">
        <f t="shared" si="62"/>
        <v xml:space="preserve"> CRISTINA </v>
      </c>
      <c r="AD803" s="2">
        <f t="shared" si="63"/>
        <v>15</v>
      </c>
      <c r="AE803" s="2">
        <f t="shared" ca="1" si="64"/>
        <v>-89.278366550926876</v>
      </c>
    </row>
    <row r="804" spans="1:31" hidden="1">
      <c r="A804" s="1">
        <v>9125221</v>
      </c>
      <c r="B804" s="1" t="s">
        <v>101</v>
      </c>
      <c r="C804" t="s">
        <v>643</v>
      </c>
      <c r="D804" s="2">
        <v>220195642</v>
      </c>
      <c r="E804" s="2">
        <v>2830001400030</v>
      </c>
      <c r="F804" s="1" t="s">
        <v>647</v>
      </c>
      <c r="G804" s="1" t="s">
        <v>53</v>
      </c>
      <c r="H804" s="1" t="s">
        <v>448</v>
      </c>
      <c r="I804" s="1" t="s">
        <v>449</v>
      </c>
      <c r="J804" s="1" t="s">
        <v>33</v>
      </c>
      <c r="K804" t="s">
        <v>650</v>
      </c>
      <c r="M804" s="1" t="s">
        <v>58</v>
      </c>
      <c r="N804" s="1">
        <v>0</v>
      </c>
      <c r="O804" s="1" t="s">
        <v>105</v>
      </c>
      <c r="P804" s="186">
        <v>44896.39738425926</v>
      </c>
      <c r="R804" s="1">
        <v>4</v>
      </c>
      <c r="T804" s="1" t="s">
        <v>646</v>
      </c>
      <c r="U804" s="186">
        <v>44897.39738425926</v>
      </c>
      <c r="V804" s="1" t="s">
        <v>41</v>
      </c>
      <c r="W804" s="1" t="s">
        <v>42</v>
      </c>
      <c r="X804" s="13" t="str">
        <f>IF(RIGHT(H804,2)&lt;&gt;"00",H804,"")</f>
        <v/>
      </c>
      <c r="Y804" s="2">
        <f ca="1">NETWORKDAYS(P804,$Y$1)</f>
        <v>65</v>
      </c>
      <c r="Z804" s="14">
        <v>1</v>
      </c>
      <c r="AA804" s="1" t="str">
        <f t="shared" ca="1" si="60"/>
        <v>VENCIDO</v>
      </c>
      <c r="AB804" s="1" t="str">
        <f t="shared" si="61"/>
        <v>C-14</v>
      </c>
      <c r="AC804" s="2" t="str">
        <f t="shared" si="62"/>
        <v xml:space="preserve"> ROSEMERE </v>
      </c>
      <c r="AD804" s="2">
        <f t="shared" si="63"/>
        <v>15</v>
      </c>
      <c r="AE804" s="2">
        <f t="shared" ca="1" si="64"/>
        <v>-89.278887384258269</v>
      </c>
    </row>
    <row r="805" spans="1:31" hidden="1">
      <c r="A805" s="1">
        <v>9125216</v>
      </c>
      <c r="B805" s="1" t="s">
        <v>101</v>
      </c>
      <c r="C805" t="s">
        <v>643</v>
      </c>
      <c r="D805" s="2">
        <v>220195637</v>
      </c>
      <c r="E805" s="2">
        <v>2802001400030</v>
      </c>
      <c r="F805" s="1" t="s">
        <v>647</v>
      </c>
      <c r="G805" s="1" t="s">
        <v>53</v>
      </c>
      <c r="H805" s="1" t="s">
        <v>388</v>
      </c>
      <c r="I805" s="1" t="s">
        <v>389</v>
      </c>
      <c r="J805" s="1" t="s">
        <v>46</v>
      </c>
      <c r="K805" t="s">
        <v>650</v>
      </c>
      <c r="M805" s="1" t="s">
        <v>58</v>
      </c>
      <c r="N805" s="1">
        <v>0</v>
      </c>
      <c r="O805" s="1" t="s">
        <v>105</v>
      </c>
      <c r="P805" s="186">
        <v>44896.397083333337</v>
      </c>
      <c r="R805" s="1">
        <v>4</v>
      </c>
      <c r="T805" s="1" t="s">
        <v>646</v>
      </c>
      <c r="U805" s="186">
        <v>44897.397083333337</v>
      </c>
      <c r="V805" s="1" t="s">
        <v>41</v>
      </c>
      <c r="W805" s="1" t="s">
        <v>49</v>
      </c>
      <c r="X805" s="13" t="str">
        <f>IF(RIGHT(H805,2)&lt;&gt;"00",H805,"")</f>
        <v/>
      </c>
      <c r="Y805" s="2">
        <f ca="1">NETWORKDAYS(P805,$Y$1)</f>
        <v>65</v>
      </c>
      <c r="Z805" s="14">
        <v>1</v>
      </c>
      <c r="AA805" s="1" t="str">
        <f t="shared" ca="1" si="60"/>
        <v>VENCIDO</v>
      </c>
      <c r="AB805" s="1" t="str">
        <f t="shared" si="61"/>
        <v>C-14</v>
      </c>
      <c r="AC805" s="2" t="str">
        <f t="shared" si="62"/>
        <v xml:space="preserve"> CLEITON </v>
      </c>
      <c r="AD805" s="2">
        <f t="shared" si="63"/>
        <v>15</v>
      </c>
      <c r="AE805" s="2">
        <f t="shared" ca="1" si="64"/>
        <v>-89.27918831018178</v>
      </c>
    </row>
    <row r="806" spans="1:31" hidden="1">
      <c r="A806" s="1">
        <v>9125183</v>
      </c>
      <c r="B806" s="1" t="s">
        <v>101</v>
      </c>
      <c r="C806" t="s">
        <v>643</v>
      </c>
      <c r="D806" s="2">
        <v>220195609</v>
      </c>
      <c r="E806" s="2">
        <v>2693001400030</v>
      </c>
      <c r="F806" s="1" t="s">
        <v>647</v>
      </c>
      <c r="G806" s="1" t="s">
        <v>53</v>
      </c>
      <c r="H806" s="1" t="s">
        <v>253</v>
      </c>
      <c r="I806" s="1" t="s">
        <v>254</v>
      </c>
      <c r="J806" s="1" t="s">
        <v>56</v>
      </c>
      <c r="K806" t="s">
        <v>650</v>
      </c>
      <c r="M806" s="1" t="s">
        <v>58</v>
      </c>
      <c r="N806" s="1">
        <v>0</v>
      </c>
      <c r="O806" s="1" t="s">
        <v>105</v>
      </c>
      <c r="P806" s="186">
        <v>44896.395219907405</v>
      </c>
      <c r="R806" s="1">
        <v>4</v>
      </c>
      <c r="T806" s="1" t="s">
        <v>646</v>
      </c>
      <c r="U806" s="186">
        <v>44897.395219907405</v>
      </c>
      <c r="V806" s="1" t="s">
        <v>41</v>
      </c>
      <c r="W806" s="1" t="s">
        <v>49</v>
      </c>
      <c r="X806" s="13" t="str">
        <f>IF(RIGHT(H806,2)&lt;&gt;"00",H806,"")</f>
        <v/>
      </c>
      <c r="Y806" s="2">
        <f ca="1">NETWORKDAYS(P806,$Y$1)</f>
        <v>65</v>
      </c>
      <c r="Z806" s="14">
        <v>1</v>
      </c>
      <c r="AA806" s="1" t="str">
        <f t="shared" ca="1" si="60"/>
        <v>VENCIDO</v>
      </c>
      <c r="AB806" s="1" t="str">
        <f t="shared" si="61"/>
        <v>C-14</v>
      </c>
      <c r="AC806" s="2" t="str">
        <f t="shared" si="62"/>
        <v xml:space="preserve"> CRISTINA </v>
      </c>
      <c r="AD806" s="2">
        <f t="shared" si="63"/>
        <v>15</v>
      </c>
      <c r="AE806" s="2">
        <f t="shared" ca="1" si="64"/>
        <v>-89.281051736114023</v>
      </c>
    </row>
    <row r="807" spans="1:31" hidden="1">
      <c r="A807" s="1">
        <v>9125136</v>
      </c>
      <c r="B807" s="1" t="s">
        <v>101</v>
      </c>
      <c r="C807" t="s">
        <v>643</v>
      </c>
      <c r="D807" s="2">
        <v>220195574</v>
      </c>
      <c r="E807" s="2">
        <v>2564001400030</v>
      </c>
      <c r="F807" s="1" t="s">
        <v>647</v>
      </c>
      <c r="G807" s="1" t="s">
        <v>53</v>
      </c>
      <c r="H807" s="1" t="s">
        <v>255</v>
      </c>
      <c r="I807" s="1" t="s">
        <v>256</v>
      </c>
      <c r="J807" s="1" t="s">
        <v>164</v>
      </c>
      <c r="K807" t="s">
        <v>650</v>
      </c>
      <c r="M807" s="1" t="s">
        <v>58</v>
      </c>
      <c r="N807" s="1">
        <v>0</v>
      </c>
      <c r="O807" s="1" t="s">
        <v>105</v>
      </c>
      <c r="P807" s="186">
        <v>44896.393055555556</v>
      </c>
      <c r="R807" s="1">
        <v>4</v>
      </c>
      <c r="T807" s="1" t="s">
        <v>646</v>
      </c>
      <c r="U807" s="186">
        <v>44897.393055555556</v>
      </c>
      <c r="V807" s="1" t="s">
        <v>41</v>
      </c>
      <c r="W807" s="1" t="s">
        <v>49</v>
      </c>
      <c r="X807" s="13" t="str">
        <f>IF(RIGHT(H807,2)&lt;&gt;"00",H807,"")</f>
        <v/>
      </c>
      <c r="Y807" s="2">
        <f ca="1">NETWORKDAYS(P807,$Y$1)</f>
        <v>65</v>
      </c>
      <c r="Z807" s="14">
        <v>1</v>
      </c>
      <c r="AA807" s="1" t="str">
        <f t="shared" ca="1" si="60"/>
        <v>VENCIDO</v>
      </c>
      <c r="AB807" s="1" t="str">
        <f t="shared" si="61"/>
        <v>C-14</v>
      </c>
      <c r="AC807" s="2" t="str">
        <f t="shared" si="62"/>
        <v xml:space="preserve"> ROSEMERE </v>
      </c>
      <c r="AD807" s="2">
        <f t="shared" si="63"/>
        <v>15</v>
      </c>
      <c r="AE807" s="2">
        <f t="shared" ca="1" si="64"/>
        <v>-89.283216087962501</v>
      </c>
    </row>
    <row r="808" spans="1:31" hidden="1">
      <c r="A808" s="1">
        <v>9125100</v>
      </c>
      <c r="B808" s="1" t="s">
        <v>101</v>
      </c>
      <c r="C808" t="s">
        <v>643</v>
      </c>
      <c r="D808" s="2">
        <v>220195812</v>
      </c>
      <c r="E808" s="2">
        <v>3504001400030</v>
      </c>
      <c r="F808" s="1" t="s">
        <v>647</v>
      </c>
      <c r="G808" s="1" t="s">
        <v>53</v>
      </c>
      <c r="H808" s="1" t="s">
        <v>585</v>
      </c>
      <c r="I808" s="1" t="s">
        <v>586</v>
      </c>
      <c r="J808" s="1" t="s">
        <v>46</v>
      </c>
      <c r="K808" t="s">
        <v>650</v>
      </c>
      <c r="M808" s="1" t="s">
        <v>58</v>
      </c>
      <c r="N808" s="1">
        <v>0</v>
      </c>
      <c r="O808" s="1" t="s">
        <v>105</v>
      </c>
      <c r="P808" s="186">
        <v>44896.390706018516</v>
      </c>
      <c r="R808" s="1">
        <v>4</v>
      </c>
      <c r="T808" s="1" t="s">
        <v>646</v>
      </c>
      <c r="U808" s="186">
        <v>44897.390717592592</v>
      </c>
      <c r="V808" s="1" t="s">
        <v>41</v>
      </c>
      <c r="W808" s="1" t="s">
        <v>49</v>
      </c>
      <c r="X808" s="13" t="str">
        <f>IF(RIGHT(H808,2)&lt;&gt;"00",H808,"")</f>
        <v/>
      </c>
      <c r="Y808" s="2">
        <f ca="1">NETWORKDAYS(P808,$Y$1)</f>
        <v>65</v>
      </c>
      <c r="Z808" s="14">
        <v>1</v>
      </c>
      <c r="AA808" s="1" t="str">
        <f t="shared" ca="1" si="60"/>
        <v>VENCIDO</v>
      </c>
      <c r="AB808" s="1" t="str">
        <f t="shared" si="61"/>
        <v>C-14</v>
      </c>
      <c r="AC808" s="2" t="str">
        <f t="shared" si="62"/>
        <v xml:space="preserve"> CLEITON </v>
      </c>
      <c r="AD808" s="2">
        <f t="shared" si="63"/>
        <v>15</v>
      </c>
      <c r="AE808" s="2">
        <f t="shared" ca="1" si="64"/>
        <v>-89.285554050926294</v>
      </c>
    </row>
    <row r="809" spans="1:31" hidden="1">
      <c r="A809" s="1">
        <v>9125015</v>
      </c>
      <c r="B809" s="1" t="s">
        <v>101</v>
      </c>
      <c r="C809" t="s">
        <v>643</v>
      </c>
      <c r="D809" s="2">
        <v>220195498</v>
      </c>
      <c r="E809" s="2">
        <v>2326001400030</v>
      </c>
      <c r="F809" s="1" t="s">
        <v>647</v>
      </c>
      <c r="G809" s="1" t="s">
        <v>53</v>
      </c>
      <c r="H809" s="1" t="s">
        <v>191</v>
      </c>
      <c r="I809" s="1" t="s">
        <v>192</v>
      </c>
      <c r="J809" s="1" t="s">
        <v>46</v>
      </c>
      <c r="K809" t="s">
        <v>650</v>
      </c>
      <c r="M809" s="1" t="s">
        <v>58</v>
      </c>
      <c r="N809" s="1">
        <v>0</v>
      </c>
      <c r="O809" s="1" t="s">
        <v>105</v>
      </c>
      <c r="P809" s="186">
        <v>44896.387881944444</v>
      </c>
      <c r="R809" s="1">
        <v>4</v>
      </c>
      <c r="T809" s="1" t="s">
        <v>646</v>
      </c>
      <c r="U809" s="186">
        <v>44897.387881944444</v>
      </c>
      <c r="V809" s="1" t="s">
        <v>41</v>
      </c>
      <c r="W809" s="1" t="s">
        <v>49</v>
      </c>
      <c r="X809" s="13" t="str">
        <f>IF(RIGHT(H809,2)&lt;&gt;"00",H809,"")</f>
        <v/>
      </c>
      <c r="Y809" s="2">
        <f ca="1">NETWORKDAYS(P809,$Y$1)</f>
        <v>65</v>
      </c>
      <c r="Z809" s="14">
        <v>1</v>
      </c>
      <c r="AA809" s="1" t="str">
        <f t="shared" ca="1" si="60"/>
        <v>VENCIDO</v>
      </c>
      <c r="AB809" s="1" t="str">
        <f t="shared" si="61"/>
        <v>C-14</v>
      </c>
      <c r="AC809" s="2" t="str">
        <f t="shared" si="62"/>
        <v xml:space="preserve"> CLEITON </v>
      </c>
      <c r="AD809" s="2">
        <f t="shared" si="63"/>
        <v>15</v>
      </c>
      <c r="AE809" s="2">
        <f t="shared" ca="1" si="64"/>
        <v>-89.288389699075196</v>
      </c>
    </row>
    <row r="810" spans="1:31" hidden="1">
      <c r="A810" s="1">
        <v>9124937</v>
      </c>
      <c r="B810" s="1" t="s">
        <v>101</v>
      </c>
      <c r="C810" t="s">
        <v>643</v>
      </c>
      <c r="D810" s="2">
        <v>220195443</v>
      </c>
      <c r="E810" s="2">
        <v>2125001400030</v>
      </c>
      <c r="F810" s="1" t="s">
        <v>647</v>
      </c>
      <c r="G810" s="1" t="s">
        <v>53</v>
      </c>
      <c r="H810" s="1" t="s">
        <v>1399</v>
      </c>
      <c r="I810" s="1" t="s">
        <v>1400</v>
      </c>
      <c r="J810" s="1" t="s">
        <v>211</v>
      </c>
      <c r="K810" t="s">
        <v>650</v>
      </c>
      <c r="M810" s="1" t="s">
        <v>58</v>
      </c>
      <c r="N810" s="1">
        <v>0</v>
      </c>
      <c r="O810" s="1" t="s">
        <v>105</v>
      </c>
      <c r="P810" s="186">
        <v>44896.383877314816</v>
      </c>
      <c r="R810" s="1">
        <v>4</v>
      </c>
      <c r="T810" s="1" t="s">
        <v>646</v>
      </c>
      <c r="U810" s="186">
        <v>44897.383877314816</v>
      </c>
      <c r="V810" s="1" t="s">
        <v>41</v>
      </c>
      <c r="W810" s="1" t="s">
        <v>49</v>
      </c>
      <c r="X810" s="13" t="str">
        <f>IF(RIGHT(H810,2)&lt;&gt;"00",H810,"")</f>
        <v/>
      </c>
      <c r="Y810" s="2">
        <f ca="1">NETWORKDAYS(P810,$Y$1)</f>
        <v>65</v>
      </c>
      <c r="Z810" s="14">
        <v>1</v>
      </c>
      <c r="AA810" s="1" t="str">
        <f t="shared" ca="1" si="60"/>
        <v>VENCIDO</v>
      </c>
      <c r="AB810" s="1" t="str">
        <f t="shared" si="61"/>
        <v>C-14</v>
      </c>
      <c r="AC810" s="2" t="str">
        <f t="shared" si="62"/>
        <v xml:space="preserve"> RINALDO </v>
      </c>
      <c r="AD810" s="2">
        <f t="shared" si="63"/>
        <v>15</v>
      </c>
      <c r="AE810" s="2">
        <f t="shared" ca="1" si="64"/>
        <v>-89.292394328702358</v>
      </c>
    </row>
    <row r="811" spans="1:31" hidden="1">
      <c r="A811" s="1">
        <v>9124924</v>
      </c>
      <c r="B811" s="1" t="s">
        <v>101</v>
      </c>
      <c r="C811" t="s">
        <v>643</v>
      </c>
      <c r="D811" s="2">
        <v>220195430</v>
      </c>
      <c r="E811" s="2">
        <v>2081001400030</v>
      </c>
      <c r="F811" s="1" t="s">
        <v>647</v>
      </c>
      <c r="G811" s="1" t="s">
        <v>53</v>
      </c>
      <c r="H811" s="1" t="s">
        <v>590</v>
      </c>
      <c r="I811" s="1" t="s">
        <v>591</v>
      </c>
      <c r="J811" s="1" t="s">
        <v>261</v>
      </c>
      <c r="K811" t="s">
        <v>650</v>
      </c>
      <c r="M811" s="1" t="s">
        <v>58</v>
      </c>
      <c r="N811" s="1">
        <v>0</v>
      </c>
      <c r="O811" s="1" t="s">
        <v>105</v>
      </c>
      <c r="P811" s="186">
        <v>44896.383043981485</v>
      </c>
      <c r="R811" s="1">
        <v>4</v>
      </c>
      <c r="T811" s="1" t="s">
        <v>646</v>
      </c>
      <c r="U811" s="186">
        <v>44897.383043981485</v>
      </c>
      <c r="V811" s="1" t="s">
        <v>41</v>
      </c>
      <c r="W811" s="1" t="s">
        <v>49</v>
      </c>
      <c r="X811" s="13" t="str">
        <f>IF(RIGHT(H811,2)&lt;&gt;"00",H811,"")</f>
        <v/>
      </c>
      <c r="Y811" s="2">
        <f ca="1">NETWORKDAYS(P811,$Y$1)</f>
        <v>65</v>
      </c>
      <c r="Z811" s="14">
        <v>1</v>
      </c>
      <c r="AA811" s="1" t="str">
        <f t="shared" ca="1" si="60"/>
        <v>VENCIDO</v>
      </c>
      <c r="AB811" s="1" t="str">
        <f t="shared" si="61"/>
        <v>C-14</v>
      </c>
      <c r="AC811" s="2" t="str">
        <f t="shared" si="62"/>
        <v xml:space="preserve"> CRISTINA </v>
      </c>
      <c r="AD811" s="2">
        <f t="shared" si="63"/>
        <v>15</v>
      </c>
      <c r="AE811" s="2">
        <f t="shared" ca="1" si="64"/>
        <v>-89.293227662034042</v>
      </c>
    </row>
    <row r="812" spans="1:31" hidden="1">
      <c r="A812" s="1">
        <v>9124894</v>
      </c>
      <c r="B812" s="1" t="s">
        <v>101</v>
      </c>
      <c r="C812" t="s">
        <v>643</v>
      </c>
      <c r="D812" s="2">
        <v>220195405</v>
      </c>
      <c r="E812" s="2">
        <v>2018001400030</v>
      </c>
      <c r="F812" s="1" t="s">
        <v>647</v>
      </c>
      <c r="G812" s="1" t="s">
        <v>53</v>
      </c>
      <c r="H812" s="1" t="s">
        <v>598</v>
      </c>
      <c r="I812" s="1" t="s">
        <v>599</v>
      </c>
      <c r="J812" s="1" t="s">
        <v>79</v>
      </c>
      <c r="K812" t="s">
        <v>650</v>
      </c>
      <c r="M812" s="1" t="s">
        <v>58</v>
      </c>
      <c r="N812" s="1">
        <v>0</v>
      </c>
      <c r="O812" s="1" t="s">
        <v>105</v>
      </c>
      <c r="P812" s="186">
        <v>44896.381458333337</v>
      </c>
      <c r="R812" s="1">
        <v>4</v>
      </c>
      <c r="T812" s="1" t="s">
        <v>646</v>
      </c>
      <c r="U812" s="186">
        <v>44897.381458333337</v>
      </c>
      <c r="V812" s="1" t="s">
        <v>41</v>
      </c>
      <c r="W812" s="1" t="s">
        <v>49</v>
      </c>
      <c r="X812" s="13" t="str">
        <f>IF(RIGHT(H812,2)&lt;&gt;"00",H812,"")</f>
        <v/>
      </c>
      <c r="Y812" s="2">
        <f ca="1">NETWORKDAYS(P812,$Y$1)</f>
        <v>65</v>
      </c>
      <c r="Z812" s="14">
        <v>1</v>
      </c>
      <c r="AA812" s="1" t="str">
        <f t="shared" ca="1" si="60"/>
        <v>VENCIDO</v>
      </c>
      <c r="AB812" s="1" t="str">
        <f t="shared" si="61"/>
        <v>C-14</v>
      </c>
      <c r="AC812" s="2" t="str">
        <f t="shared" si="62"/>
        <v xml:space="preserve"> ROSEMERE </v>
      </c>
      <c r="AD812" s="2">
        <f t="shared" si="63"/>
        <v>15</v>
      </c>
      <c r="AE812" s="2">
        <f t="shared" ca="1" si="64"/>
        <v>-89.29481331018178</v>
      </c>
    </row>
    <row r="813" spans="1:31" hidden="1">
      <c r="A813" s="1">
        <v>9124865</v>
      </c>
      <c r="B813" s="1" t="s">
        <v>101</v>
      </c>
      <c r="C813" t="s">
        <v>643</v>
      </c>
      <c r="D813" s="2">
        <v>220195224</v>
      </c>
      <c r="E813" s="2">
        <v>1363001400030</v>
      </c>
      <c r="F813" s="1" t="s">
        <v>647</v>
      </c>
      <c r="G813" s="1" t="s">
        <v>53</v>
      </c>
      <c r="H813" s="1" t="s">
        <v>108</v>
      </c>
      <c r="I813" s="1" t="s">
        <v>109</v>
      </c>
      <c r="J813" s="1" t="s">
        <v>110</v>
      </c>
      <c r="K813" t="s">
        <v>650</v>
      </c>
      <c r="M813" s="1" t="s">
        <v>58</v>
      </c>
      <c r="N813" s="1">
        <v>0</v>
      </c>
      <c r="O813" s="1" t="s">
        <v>105</v>
      </c>
      <c r="P813" s="186">
        <v>44896.381076388891</v>
      </c>
      <c r="R813" s="1">
        <v>4</v>
      </c>
      <c r="T813" s="1" t="s">
        <v>646</v>
      </c>
      <c r="U813" s="186">
        <v>44897.381076388891</v>
      </c>
      <c r="V813" s="1" t="s">
        <v>41</v>
      </c>
      <c r="W813" s="1" t="s">
        <v>49</v>
      </c>
      <c r="X813" s="13" t="str">
        <f>IF(RIGHT(H813,2)&lt;&gt;"00",H813,"")</f>
        <v/>
      </c>
      <c r="Y813" s="2">
        <f ca="1">NETWORKDAYS(P813,$Y$1)</f>
        <v>65</v>
      </c>
      <c r="Z813" s="14">
        <v>1</v>
      </c>
      <c r="AA813" s="1" t="str">
        <f t="shared" ca="1" si="60"/>
        <v>VENCIDO</v>
      </c>
      <c r="AB813" s="1" t="str">
        <f t="shared" si="61"/>
        <v>C-14</v>
      </c>
      <c r="AC813" s="2" t="str">
        <f t="shared" si="62"/>
        <v xml:space="preserve"> CRISTINA </v>
      </c>
      <c r="AD813" s="2">
        <f t="shared" si="63"/>
        <v>15</v>
      </c>
      <c r="AE813" s="2">
        <f t="shared" ca="1" si="64"/>
        <v>-89.295195254628197</v>
      </c>
    </row>
    <row r="814" spans="1:31" hidden="1">
      <c r="A814" s="1">
        <v>9124835</v>
      </c>
      <c r="B814" s="1" t="s">
        <v>101</v>
      </c>
      <c r="C814" t="s">
        <v>643</v>
      </c>
      <c r="D814" s="2">
        <v>220195278</v>
      </c>
      <c r="E814" s="2">
        <v>1509001400030</v>
      </c>
      <c r="F814" s="1" t="s">
        <v>647</v>
      </c>
      <c r="G814" s="1" t="s">
        <v>53</v>
      </c>
      <c r="H814" s="1" t="s">
        <v>731</v>
      </c>
      <c r="I814" s="1" t="s">
        <v>732</v>
      </c>
      <c r="J814" s="1" t="s">
        <v>46</v>
      </c>
      <c r="K814" t="s">
        <v>650</v>
      </c>
      <c r="M814" s="1" t="s">
        <v>58</v>
      </c>
      <c r="N814" s="1">
        <v>0</v>
      </c>
      <c r="O814" s="1" t="s">
        <v>105</v>
      </c>
      <c r="P814" s="186">
        <v>44896.380069444444</v>
      </c>
      <c r="R814" s="1">
        <v>4</v>
      </c>
      <c r="T814" s="1" t="s">
        <v>646</v>
      </c>
      <c r="U814" s="186">
        <v>44897.380069444444</v>
      </c>
      <c r="V814" s="1" t="s">
        <v>41</v>
      </c>
      <c r="W814" s="1" t="s">
        <v>49</v>
      </c>
      <c r="X814" s="13" t="str">
        <f>IF(RIGHT(H814,2)&lt;&gt;"00",H814,"")</f>
        <v/>
      </c>
      <c r="Y814" s="2">
        <f ca="1">NETWORKDAYS(P814,$Y$1)</f>
        <v>65</v>
      </c>
      <c r="Z814" s="14">
        <v>1</v>
      </c>
      <c r="AA814" s="1" t="str">
        <f t="shared" ca="1" si="60"/>
        <v>VENCIDO</v>
      </c>
      <c r="AB814" s="1" t="str">
        <f t="shared" si="61"/>
        <v>C-14</v>
      </c>
      <c r="AC814" s="2" t="str">
        <f t="shared" si="62"/>
        <v xml:space="preserve"> CLEITON </v>
      </c>
      <c r="AD814" s="2">
        <f t="shared" si="63"/>
        <v>15</v>
      </c>
      <c r="AE814" s="2">
        <f t="shared" ca="1" si="64"/>
        <v>-89.296202199075196</v>
      </c>
    </row>
    <row r="815" spans="1:31" hidden="1">
      <c r="A815" s="1">
        <v>9124788</v>
      </c>
      <c r="B815" s="1" t="s">
        <v>101</v>
      </c>
      <c r="C815" t="s">
        <v>643</v>
      </c>
      <c r="D815" s="2">
        <v>220195222</v>
      </c>
      <c r="E815" s="2">
        <v>1360001400030</v>
      </c>
      <c r="F815" s="1" t="s">
        <v>647</v>
      </c>
      <c r="G815" s="1" t="s">
        <v>53</v>
      </c>
      <c r="H815" s="1" t="s">
        <v>303</v>
      </c>
      <c r="I815" s="1" t="s">
        <v>304</v>
      </c>
      <c r="J815" s="1" t="s">
        <v>261</v>
      </c>
      <c r="K815" t="s">
        <v>650</v>
      </c>
      <c r="M815" s="1" t="s">
        <v>58</v>
      </c>
      <c r="N815" s="1">
        <v>0</v>
      </c>
      <c r="O815" s="1" t="s">
        <v>105</v>
      </c>
      <c r="P815" s="186">
        <v>44896.378483796296</v>
      </c>
      <c r="R815" s="1">
        <v>4</v>
      </c>
      <c r="T815" s="1" t="s">
        <v>646</v>
      </c>
      <c r="U815" s="186">
        <v>44897.378483796296</v>
      </c>
      <c r="V815" s="1" t="s">
        <v>41</v>
      </c>
      <c r="W815" s="1" t="s">
        <v>49</v>
      </c>
      <c r="X815" s="13" t="str">
        <f>IF(RIGHT(H815,2)&lt;&gt;"00",H815,"")</f>
        <v/>
      </c>
      <c r="Y815" s="2">
        <f ca="1">NETWORKDAYS(P815,$Y$1)</f>
        <v>65</v>
      </c>
      <c r="Z815" s="14">
        <v>1</v>
      </c>
      <c r="AA815" s="1" t="str">
        <f t="shared" ca="1" si="60"/>
        <v>VENCIDO</v>
      </c>
      <c r="AB815" s="1" t="str">
        <f t="shared" si="61"/>
        <v>C-14</v>
      </c>
      <c r="AC815" s="2" t="str">
        <f t="shared" si="62"/>
        <v xml:space="preserve"> CRISTINA </v>
      </c>
      <c r="AD815" s="2">
        <f t="shared" si="63"/>
        <v>15</v>
      </c>
      <c r="AE815" s="2">
        <f t="shared" ca="1" si="64"/>
        <v>-89.297787847222935</v>
      </c>
    </row>
    <row r="816" spans="1:31" hidden="1">
      <c r="A816" s="1">
        <v>9124763</v>
      </c>
      <c r="B816" s="1" t="s">
        <v>101</v>
      </c>
      <c r="C816" t="s">
        <v>643</v>
      </c>
      <c r="D816" s="2">
        <v>220195221</v>
      </c>
      <c r="E816" s="2">
        <v>1359001400030</v>
      </c>
      <c r="F816" s="1" t="s">
        <v>647</v>
      </c>
      <c r="G816" s="1" t="s">
        <v>53</v>
      </c>
      <c r="H816" s="1" t="s">
        <v>270</v>
      </c>
      <c r="I816" s="1" t="s">
        <v>271</v>
      </c>
      <c r="J816" s="1" t="s">
        <v>141</v>
      </c>
      <c r="K816" t="s">
        <v>650</v>
      </c>
      <c r="M816" s="1" t="s">
        <v>58</v>
      </c>
      <c r="N816" s="1">
        <v>0</v>
      </c>
      <c r="O816" s="1" t="s">
        <v>105</v>
      </c>
      <c r="P816" s="186">
        <v>44896.37703703704</v>
      </c>
      <c r="R816" s="1">
        <v>4</v>
      </c>
      <c r="T816" s="1" t="s">
        <v>646</v>
      </c>
      <c r="U816" s="186">
        <v>44897.37703703704</v>
      </c>
      <c r="V816" s="1" t="s">
        <v>41</v>
      </c>
      <c r="W816" s="1" t="s">
        <v>49</v>
      </c>
      <c r="X816" s="13" t="str">
        <f>IF(RIGHT(H816,2)&lt;&gt;"00",H816,"")</f>
        <v/>
      </c>
      <c r="Y816" s="2">
        <f ca="1">NETWORKDAYS(P816,$Y$1)</f>
        <v>65</v>
      </c>
      <c r="Z816" s="14">
        <v>1</v>
      </c>
      <c r="AA816" s="1" t="str">
        <f t="shared" ca="1" si="60"/>
        <v>VENCIDO</v>
      </c>
      <c r="AB816" s="1" t="str">
        <f t="shared" si="61"/>
        <v>C-14</v>
      </c>
      <c r="AC816" s="2" t="str">
        <f t="shared" si="62"/>
        <v xml:space="preserve"> CRISTINA </v>
      </c>
      <c r="AD816" s="2">
        <f t="shared" si="63"/>
        <v>15</v>
      </c>
      <c r="AE816" s="2">
        <f t="shared" ca="1" si="64"/>
        <v>-89.299234606478421</v>
      </c>
    </row>
    <row r="817" spans="1:31" hidden="1">
      <c r="A817" s="1">
        <v>9124743</v>
      </c>
      <c r="B817" s="1" t="s">
        <v>101</v>
      </c>
      <c r="C817" t="s">
        <v>643</v>
      </c>
      <c r="D817" s="2">
        <v>220195223</v>
      </c>
      <c r="E817" s="2">
        <v>1362001400030</v>
      </c>
      <c r="F817" s="1" t="s">
        <v>647</v>
      </c>
      <c r="G817" s="1" t="s">
        <v>53</v>
      </c>
      <c r="H817" s="1" t="s">
        <v>268</v>
      </c>
      <c r="I817" s="1" t="s">
        <v>269</v>
      </c>
      <c r="J817" s="1" t="s">
        <v>90</v>
      </c>
      <c r="K817" t="s">
        <v>650</v>
      </c>
      <c r="M817" s="1" t="s">
        <v>58</v>
      </c>
      <c r="N817" s="1">
        <v>0</v>
      </c>
      <c r="O817" s="1" t="s">
        <v>105</v>
      </c>
      <c r="P817" s="186">
        <v>44896.376018518517</v>
      </c>
      <c r="R817" s="1">
        <v>4</v>
      </c>
      <c r="T817" s="1" t="s">
        <v>646</v>
      </c>
      <c r="U817" s="186">
        <v>44897.376018518517</v>
      </c>
      <c r="V817" s="1" t="s">
        <v>41</v>
      </c>
      <c r="W817" s="1" t="s">
        <v>49</v>
      </c>
      <c r="X817" s="13" t="str">
        <f>IF(RIGHT(H817,2)&lt;&gt;"00",H817,"")</f>
        <v/>
      </c>
      <c r="Y817" s="2">
        <f ca="1">NETWORKDAYS(P817,$Y$1)</f>
        <v>65</v>
      </c>
      <c r="Z817" s="14">
        <v>1</v>
      </c>
      <c r="AA817" s="1" t="str">
        <f t="shared" ca="1" si="60"/>
        <v>VENCIDO</v>
      </c>
      <c r="AB817" s="1" t="str">
        <f t="shared" si="61"/>
        <v>C-14</v>
      </c>
      <c r="AC817" s="2" t="str">
        <f t="shared" si="62"/>
        <v xml:space="preserve"> RINALDO </v>
      </c>
      <c r="AD817" s="2">
        <f t="shared" si="63"/>
        <v>15</v>
      </c>
      <c r="AE817" s="2">
        <f t="shared" ca="1" si="64"/>
        <v>-89.3002531250022</v>
      </c>
    </row>
    <row r="818" spans="1:31" hidden="1">
      <c r="A818" s="1">
        <v>9124708</v>
      </c>
      <c r="B818" s="1" t="s">
        <v>101</v>
      </c>
      <c r="C818" t="s">
        <v>643</v>
      </c>
      <c r="D818" s="2">
        <v>220195015</v>
      </c>
      <c r="E818" s="2">
        <v>934001400030</v>
      </c>
      <c r="F818" s="1" t="s">
        <v>647</v>
      </c>
      <c r="G818" s="1" t="s">
        <v>53</v>
      </c>
      <c r="H818" s="1" t="s">
        <v>428</v>
      </c>
      <c r="I818" s="1" t="s">
        <v>429</v>
      </c>
      <c r="J818" s="1" t="s">
        <v>46</v>
      </c>
      <c r="K818" t="s">
        <v>650</v>
      </c>
      <c r="M818" s="1" t="s">
        <v>58</v>
      </c>
      <c r="N818" s="1">
        <v>0</v>
      </c>
      <c r="O818" s="1" t="s">
        <v>105</v>
      </c>
      <c r="P818" s="186">
        <v>44896.374155092592</v>
      </c>
      <c r="R818" s="1">
        <v>4</v>
      </c>
      <c r="T818" s="1" t="s">
        <v>646</v>
      </c>
      <c r="U818" s="186">
        <v>44897.374155092592</v>
      </c>
      <c r="V818" s="1" t="s">
        <v>41</v>
      </c>
      <c r="W818" s="1" t="s">
        <v>49</v>
      </c>
      <c r="X818" s="13" t="str">
        <f>IF(RIGHT(H818,2)&lt;&gt;"00",H818,"")</f>
        <v/>
      </c>
      <c r="Y818" s="2">
        <f ca="1">NETWORKDAYS(P818,$Y$1)</f>
        <v>65</v>
      </c>
      <c r="Z818" s="14">
        <v>1</v>
      </c>
      <c r="AA818" s="1" t="str">
        <f t="shared" ca="1" si="60"/>
        <v>VENCIDO</v>
      </c>
      <c r="AB818" s="1" t="str">
        <f t="shared" si="61"/>
        <v>C-14</v>
      </c>
      <c r="AC818" s="2" t="str">
        <f t="shared" si="62"/>
        <v xml:space="preserve"> CLEITON </v>
      </c>
      <c r="AD818" s="2">
        <f t="shared" si="63"/>
        <v>15</v>
      </c>
      <c r="AE818" s="2">
        <f t="shared" ca="1" si="64"/>
        <v>-89.302116550927167</v>
      </c>
    </row>
    <row r="819" spans="1:31" hidden="1">
      <c r="A819" s="1">
        <v>9124706</v>
      </c>
      <c r="B819" s="1" t="s">
        <v>101</v>
      </c>
      <c r="C819" t="s">
        <v>643</v>
      </c>
      <c r="D819" s="2">
        <v>220195077</v>
      </c>
      <c r="E819" s="2">
        <v>1069001400030</v>
      </c>
      <c r="F819" s="1" t="s">
        <v>647</v>
      </c>
      <c r="G819" s="1" t="s">
        <v>53</v>
      </c>
      <c r="H819" s="1" t="s">
        <v>353</v>
      </c>
      <c r="I819" s="1" t="s">
        <v>354</v>
      </c>
      <c r="J819" s="1" t="s">
        <v>211</v>
      </c>
      <c r="K819" t="s">
        <v>650</v>
      </c>
      <c r="M819" s="1" t="s">
        <v>58</v>
      </c>
      <c r="N819" s="1">
        <v>0</v>
      </c>
      <c r="O819" s="1" t="s">
        <v>105</v>
      </c>
      <c r="P819" s="186">
        <v>44896.374039351853</v>
      </c>
      <c r="R819" s="1">
        <v>4</v>
      </c>
      <c r="T819" s="1" t="s">
        <v>646</v>
      </c>
      <c r="U819" s="186">
        <v>44897.374039351853</v>
      </c>
      <c r="V819" s="1" t="s">
        <v>41</v>
      </c>
      <c r="W819" s="1" t="s">
        <v>49</v>
      </c>
      <c r="X819" s="13" t="str">
        <f>IF(RIGHT(H819,2)&lt;&gt;"00",H819,"")</f>
        <v/>
      </c>
      <c r="Y819" s="2">
        <f ca="1">NETWORKDAYS(P819,$Y$1)</f>
        <v>65</v>
      </c>
      <c r="Z819" s="14">
        <v>1</v>
      </c>
      <c r="AA819" s="1" t="str">
        <f t="shared" ca="1" si="60"/>
        <v>VENCIDO</v>
      </c>
      <c r="AB819" s="1" t="str">
        <f t="shared" si="61"/>
        <v>C-14</v>
      </c>
      <c r="AC819" s="2" t="str">
        <f t="shared" si="62"/>
        <v xml:space="preserve"> RINALDO </v>
      </c>
      <c r="AD819" s="2">
        <f t="shared" si="63"/>
        <v>15</v>
      </c>
      <c r="AE819" s="2">
        <f t="shared" ca="1" si="64"/>
        <v>-89.30223229166586</v>
      </c>
    </row>
    <row r="820" spans="1:31" hidden="1">
      <c r="A820" s="1">
        <v>9124678</v>
      </c>
      <c r="B820" s="1" t="s">
        <v>101</v>
      </c>
      <c r="C820" t="s">
        <v>643</v>
      </c>
      <c r="D820" s="2">
        <v>220195052</v>
      </c>
      <c r="E820" s="2">
        <v>1012001400030</v>
      </c>
      <c r="F820" s="1" t="s">
        <v>647</v>
      </c>
      <c r="G820" s="1" t="s">
        <v>53</v>
      </c>
      <c r="H820" s="1" t="s">
        <v>172</v>
      </c>
      <c r="I820" s="1" t="s">
        <v>173</v>
      </c>
      <c r="J820" s="1" t="s">
        <v>164</v>
      </c>
      <c r="K820" t="s">
        <v>650</v>
      </c>
      <c r="M820" s="1" t="s">
        <v>58</v>
      </c>
      <c r="N820" s="1">
        <v>0</v>
      </c>
      <c r="O820" s="1" t="s">
        <v>105</v>
      </c>
      <c r="P820" s="186">
        <v>44896.372511574074</v>
      </c>
      <c r="R820" s="1">
        <v>4</v>
      </c>
      <c r="T820" s="1" t="s">
        <v>646</v>
      </c>
      <c r="U820" s="186">
        <v>44897.372511574074</v>
      </c>
      <c r="V820" s="1" t="s">
        <v>41</v>
      </c>
      <c r="W820" s="1" t="s">
        <v>49</v>
      </c>
      <c r="X820" s="13" t="str">
        <f>IF(RIGHT(H820,2)&lt;&gt;"00",H820,"")</f>
        <v/>
      </c>
      <c r="Y820" s="2">
        <f ca="1">NETWORKDAYS(P820,$Y$1)</f>
        <v>65</v>
      </c>
      <c r="Z820" s="14">
        <v>1</v>
      </c>
      <c r="AA820" s="1" t="str">
        <f t="shared" ca="1" si="60"/>
        <v>VENCIDO</v>
      </c>
      <c r="AB820" s="1" t="str">
        <f t="shared" si="61"/>
        <v>C-14</v>
      </c>
      <c r="AC820" s="2" t="str">
        <f t="shared" si="62"/>
        <v xml:space="preserve"> ROSEMERE </v>
      </c>
      <c r="AD820" s="2">
        <f t="shared" si="63"/>
        <v>15</v>
      </c>
      <c r="AE820" s="2">
        <f t="shared" ca="1" si="64"/>
        <v>-89.303760069444252</v>
      </c>
    </row>
    <row r="821" spans="1:31" hidden="1">
      <c r="A821" s="1">
        <v>9124643</v>
      </c>
      <c r="B821" s="1" t="s">
        <v>101</v>
      </c>
      <c r="C821" t="s">
        <v>643</v>
      </c>
      <c r="D821" s="2">
        <v>220195037</v>
      </c>
      <c r="E821" s="2">
        <v>981001400030</v>
      </c>
      <c r="F821" s="1" t="s">
        <v>647</v>
      </c>
      <c r="G821" s="1" t="s">
        <v>53</v>
      </c>
      <c r="H821" s="1" t="s">
        <v>410</v>
      </c>
      <c r="I821" s="1" t="s">
        <v>411</v>
      </c>
      <c r="J821" s="1" t="s">
        <v>85</v>
      </c>
      <c r="K821" t="s">
        <v>650</v>
      </c>
      <c r="M821" s="1" t="s">
        <v>58</v>
      </c>
      <c r="N821" s="1">
        <v>0</v>
      </c>
      <c r="O821" s="1" t="s">
        <v>105</v>
      </c>
      <c r="P821" s="186">
        <v>44896.371180555558</v>
      </c>
      <c r="R821" s="1">
        <v>4</v>
      </c>
      <c r="T821" s="1" t="s">
        <v>646</v>
      </c>
      <c r="U821" s="186">
        <v>44897.371180555558</v>
      </c>
      <c r="V821" s="1" t="s">
        <v>41</v>
      </c>
      <c r="W821" s="1" t="s">
        <v>49</v>
      </c>
      <c r="X821" s="13" t="str">
        <f>IF(RIGHT(H821,2)&lt;&gt;"00",H821,"")</f>
        <v/>
      </c>
      <c r="Y821" s="2">
        <f ca="1">NETWORKDAYS(P821,$Y$1)</f>
        <v>65</v>
      </c>
      <c r="Z821" s="14">
        <v>1</v>
      </c>
      <c r="AA821" s="1" t="str">
        <f t="shared" ca="1" si="60"/>
        <v>VENCIDO</v>
      </c>
      <c r="AB821" s="1" t="str">
        <f t="shared" si="61"/>
        <v>C-14</v>
      </c>
      <c r="AC821" s="2" t="str">
        <f t="shared" si="62"/>
        <v xml:space="preserve"> RINALDO </v>
      </c>
      <c r="AD821" s="2">
        <f t="shared" si="63"/>
        <v>15</v>
      </c>
      <c r="AE821" s="2">
        <f t="shared" ca="1" si="64"/>
        <v>-89.305091087961046</v>
      </c>
    </row>
    <row r="822" spans="1:31" hidden="1">
      <c r="A822" s="1">
        <v>9124615</v>
      </c>
      <c r="B822" s="1" t="s">
        <v>101</v>
      </c>
      <c r="C822" t="s">
        <v>643</v>
      </c>
      <c r="D822" s="2">
        <v>220195070</v>
      </c>
      <c r="E822" s="2">
        <v>1049001400030</v>
      </c>
      <c r="F822" s="1" t="s">
        <v>647</v>
      </c>
      <c r="G822" s="1" t="s">
        <v>53</v>
      </c>
      <c r="H822" s="1" t="s">
        <v>169</v>
      </c>
      <c r="I822" s="1" t="s">
        <v>170</v>
      </c>
      <c r="J822" s="1" t="s">
        <v>164</v>
      </c>
      <c r="K822" t="s">
        <v>650</v>
      </c>
      <c r="M822" s="1" t="s">
        <v>58</v>
      </c>
      <c r="N822" s="1">
        <v>0</v>
      </c>
      <c r="O822" s="1" t="s">
        <v>105</v>
      </c>
      <c r="P822" s="186">
        <v>44896.369490740741</v>
      </c>
      <c r="R822" s="1">
        <v>4</v>
      </c>
      <c r="T822" s="1" t="s">
        <v>646</v>
      </c>
      <c r="U822" s="186">
        <v>44897.369490740741</v>
      </c>
      <c r="V822" s="1" t="s">
        <v>41</v>
      </c>
      <c r="W822" s="1" t="s">
        <v>49</v>
      </c>
      <c r="X822" s="13" t="str">
        <f>IF(RIGHT(H822,2)&lt;&gt;"00",H822,"")</f>
        <v/>
      </c>
      <c r="Y822" s="2">
        <f ca="1">NETWORKDAYS(P822,$Y$1)</f>
        <v>65</v>
      </c>
      <c r="Z822" s="14">
        <v>1</v>
      </c>
      <c r="AA822" s="1" t="str">
        <f t="shared" ca="1" si="60"/>
        <v>VENCIDO</v>
      </c>
      <c r="AB822" s="1" t="str">
        <f t="shared" si="61"/>
        <v>C-14</v>
      </c>
      <c r="AC822" s="2" t="str">
        <f t="shared" si="62"/>
        <v xml:space="preserve"> ROSEMERE </v>
      </c>
      <c r="AD822" s="2">
        <f t="shared" si="63"/>
        <v>15</v>
      </c>
      <c r="AE822" s="2">
        <f t="shared" ca="1" si="64"/>
        <v>-89.306780902777973</v>
      </c>
    </row>
    <row r="823" spans="1:31" hidden="1">
      <c r="A823" s="1">
        <v>9124603</v>
      </c>
      <c r="B823" s="1" t="s">
        <v>101</v>
      </c>
      <c r="C823" t="s">
        <v>643</v>
      </c>
      <c r="D823" s="2">
        <v>220195105</v>
      </c>
      <c r="E823" s="2">
        <v>1120001400030</v>
      </c>
      <c r="F823" s="1" t="s">
        <v>647</v>
      </c>
      <c r="G823" s="1" t="s">
        <v>53</v>
      </c>
      <c r="H823" s="1" t="s">
        <v>181</v>
      </c>
      <c r="I823" s="1" t="s">
        <v>182</v>
      </c>
      <c r="J823" s="1" t="s">
        <v>164</v>
      </c>
      <c r="K823" t="s">
        <v>650</v>
      </c>
      <c r="M823" s="1" t="s">
        <v>58</v>
      </c>
      <c r="N823" s="1">
        <v>0</v>
      </c>
      <c r="O823" s="1" t="s">
        <v>105</v>
      </c>
      <c r="P823" s="186">
        <v>44896.368831018517</v>
      </c>
      <c r="R823" s="1">
        <v>4</v>
      </c>
      <c r="T823" s="1" t="s">
        <v>646</v>
      </c>
      <c r="U823" s="186">
        <v>44897.368842592594</v>
      </c>
      <c r="V823" s="1" t="s">
        <v>41</v>
      </c>
      <c r="W823" s="1" t="s">
        <v>49</v>
      </c>
      <c r="X823" s="13" t="str">
        <f>IF(RIGHT(H823,2)&lt;&gt;"00",H823,"")</f>
        <v/>
      </c>
      <c r="Y823" s="2">
        <f ca="1">NETWORKDAYS(P823,$Y$1)</f>
        <v>65</v>
      </c>
      <c r="Z823" s="14">
        <v>1</v>
      </c>
      <c r="AA823" s="1" t="str">
        <f t="shared" ca="1" si="60"/>
        <v>VENCIDO</v>
      </c>
      <c r="AB823" s="1" t="str">
        <f t="shared" si="61"/>
        <v>C-14</v>
      </c>
      <c r="AC823" s="2" t="str">
        <f t="shared" si="62"/>
        <v xml:space="preserve"> ROSEMERE </v>
      </c>
      <c r="AD823" s="2">
        <f t="shared" si="63"/>
        <v>15</v>
      </c>
      <c r="AE823" s="2">
        <f t="shared" ca="1" si="64"/>
        <v>-89.307429050924839</v>
      </c>
    </row>
    <row r="824" spans="1:31" hidden="1">
      <c r="A824" s="1">
        <v>9124567</v>
      </c>
      <c r="B824" s="1" t="s">
        <v>101</v>
      </c>
      <c r="C824" t="s">
        <v>643</v>
      </c>
      <c r="D824" s="2">
        <v>220194886</v>
      </c>
      <c r="E824" s="2">
        <v>710001400030</v>
      </c>
      <c r="F824" s="1" t="s">
        <v>647</v>
      </c>
      <c r="G824" s="1" t="s">
        <v>53</v>
      </c>
      <c r="H824" s="1" t="s">
        <v>390</v>
      </c>
      <c r="I824" s="1" t="s">
        <v>391</v>
      </c>
      <c r="J824" s="1" t="s">
        <v>56</v>
      </c>
      <c r="K824" t="s">
        <v>650</v>
      </c>
      <c r="M824" s="1" t="s">
        <v>58</v>
      </c>
      <c r="N824" s="1">
        <v>0</v>
      </c>
      <c r="O824" s="1" t="s">
        <v>105</v>
      </c>
      <c r="P824" s="186">
        <v>44896.367569444446</v>
      </c>
      <c r="R824" s="1">
        <v>4</v>
      </c>
      <c r="T824" s="1" t="s">
        <v>646</v>
      </c>
      <c r="U824" s="186">
        <v>44897.367569444446</v>
      </c>
      <c r="V824" s="1" t="s">
        <v>41</v>
      </c>
      <c r="W824" s="1" t="s">
        <v>49</v>
      </c>
      <c r="X824" s="13" t="str">
        <f>IF(RIGHT(H824,2)&lt;&gt;"00",H824,"")</f>
        <v/>
      </c>
      <c r="Y824" s="2">
        <f ca="1">NETWORKDAYS(P824,$Y$1)</f>
        <v>65</v>
      </c>
      <c r="Z824" s="14">
        <v>1</v>
      </c>
      <c r="AA824" s="1" t="str">
        <f t="shared" ca="1" si="60"/>
        <v>VENCIDO</v>
      </c>
      <c r="AB824" s="1" t="str">
        <f t="shared" si="61"/>
        <v>C-14</v>
      </c>
      <c r="AC824" s="2" t="str">
        <f t="shared" si="62"/>
        <v xml:space="preserve"> CRISTINA </v>
      </c>
      <c r="AD824" s="2">
        <f t="shared" si="63"/>
        <v>15</v>
      </c>
      <c r="AE824" s="2">
        <f t="shared" ca="1" si="64"/>
        <v>-89.308702199072286</v>
      </c>
    </row>
    <row r="825" spans="1:31" hidden="1">
      <c r="A825" s="1">
        <v>9124538</v>
      </c>
      <c r="B825" s="1" t="s">
        <v>101</v>
      </c>
      <c r="C825" t="s">
        <v>643</v>
      </c>
      <c r="D825" s="2">
        <v>220194887</v>
      </c>
      <c r="E825" s="2">
        <v>714001400030</v>
      </c>
      <c r="F825" s="1" t="s">
        <v>647</v>
      </c>
      <c r="G825" s="1" t="s">
        <v>53</v>
      </c>
      <c r="H825" s="1" t="s">
        <v>377</v>
      </c>
      <c r="I825" s="1" t="s">
        <v>378</v>
      </c>
      <c r="J825" s="1" t="s">
        <v>46</v>
      </c>
      <c r="K825" t="s">
        <v>650</v>
      </c>
      <c r="M825" s="1" t="s">
        <v>58</v>
      </c>
      <c r="N825" s="1">
        <v>0</v>
      </c>
      <c r="O825" s="1" t="s">
        <v>105</v>
      </c>
      <c r="P825" s="186">
        <v>44896.365960648145</v>
      </c>
      <c r="R825" s="1">
        <v>4</v>
      </c>
      <c r="T825" s="1" t="s">
        <v>646</v>
      </c>
      <c r="U825" s="186">
        <v>44897.365960648145</v>
      </c>
      <c r="V825" s="1" t="s">
        <v>41</v>
      </c>
      <c r="W825" s="1" t="s">
        <v>49</v>
      </c>
      <c r="X825" s="13" t="str">
        <f>IF(RIGHT(H825,2)&lt;&gt;"00",H825,"")</f>
        <v/>
      </c>
      <c r="Y825" s="2">
        <f ca="1">NETWORKDAYS(P825,$Y$1)</f>
        <v>65</v>
      </c>
      <c r="Z825" s="14">
        <v>1</v>
      </c>
      <c r="AA825" s="1" t="str">
        <f t="shared" ca="1" si="60"/>
        <v>VENCIDO</v>
      </c>
      <c r="AB825" s="1" t="str">
        <f t="shared" si="61"/>
        <v>C-14</v>
      </c>
      <c r="AC825" s="2" t="str">
        <f t="shared" si="62"/>
        <v xml:space="preserve"> CLEITON </v>
      </c>
      <c r="AD825" s="2">
        <f t="shared" si="63"/>
        <v>15</v>
      </c>
      <c r="AE825" s="2">
        <f t="shared" ca="1" si="64"/>
        <v>-89.310310995373584</v>
      </c>
    </row>
    <row r="826" spans="1:31" hidden="1">
      <c r="A826" s="1">
        <v>9124463</v>
      </c>
      <c r="B826" s="1" t="s">
        <v>101</v>
      </c>
      <c r="C826" t="s">
        <v>643</v>
      </c>
      <c r="D826" s="2">
        <v>220194861</v>
      </c>
      <c r="E826" s="2">
        <v>673001400030</v>
      </c>
      <c r="F826" s="1" t="s">
        <v>647</v>
      </c>
      <c r="G826" s="1" t="s">
        <v>53</v>
      </c>
      <c r="H826" s="1" t="s">
        <v>581</v>
      </c>
      <c r="I826" s="1" t="s">
        <v>582</v>
      </c>
      <c r="J826" s="1" t="s">
        <v>110</v>
      </c>
      <c r="K826" t="s">
        <v>650</v>
      </c>
      <c r="M826" s="1" t="s">
        <v>58</v>
      </c>
      <c r="N826" s="1">
        <v>0</v>
      </c>
      <c r="O826" s="1" t="s">
        <v>105</v>
      </c>
      <c r="P826" s="186">
        <v>44896.362638888888</v>
      </c>
      <c r="R826" s="1">
        <v>4</v>
      </c>
      <c r="T826" s="1" t="s">
        <v>646</v>
      </c>
      <c r="U826" s="186">
        <v>44897.362638888888</v>
      </c>
      <c r="V826" s="1" t="s">
        <v>41</v>
      </c>
      <c r="W826" s="1" t="s">
        <v>49</v>
      </c>
      <c r="X826" s="13" t="str">
        <f>IF(RIGHT(H826,2)&lt;&gt;"00",H826,"")</f>
        <v/>
      </c>
      <c r="Y826" s="2">
        <f ca="1">NETWORKDAYS(P826,$Y$1)</f>
        <v>65</v>
      </c>
      <c r="Z826" s="14">
        <v>1</v>
      </c>
      <c r="AA826" s="1" t="str">
        <f t="shared" ca="1" si="60"/>
        <v>VENCIDO</v>
      </c>
      <c r="AB826" s="1" t="str">
        <f t="shared" si="61"/>
        <v>C-14</v>
      </c>
      <c r="AC826" s="2" t="str">
        <f t="shared" si="62"/>
        <v xml:space="preserve"> CRISTINA </v>
      </c>
      <c r="AD826" s="2">
        <f t="shared" si="63"/>
        <v>15</v>
      </c>
      <c r="AE826" s="2">
        <f t="shared" ca="1" si="64"/>
        <v>-89.313632754630817</v>
      </c>
    </row>
    <row r="827" spans="1:31" hidden="1">
      <c r="A827" s="1">
        <v>9124142</v>
      </c>
      <c r="B827" s="1" t="s">
        <v>101</v>
      </c>
      <c r="C827" t="s">
        <v>643</v>
      </c>
      <c r="D827" s="2">
        <v>220194221</v>
      </c>
      <c r="E827" s="2">
        <v>5742001400010</v>
      </c>
      <c r="F827" s="1" t="s">
        <v>936</v>
      </c>
      <c r="G827" s="1" t="s">
        <v>53</v>
      </c>
      <c r="H827" s="1" t="s">
        <v>430</v>
      </c>
      <c r="I827" s="1" t="s">
        <v>431</v>
      </c>
      <c r="J827" s="1" t="s">
        <v>79</v>
      </c>
      <c r="K827" t="s">
        <v>937</v>
      </c>
      <c r="M827" s="1" t="s">
        <v>58</v>
      </c>
      <c r="N827" s="1">
        <v>0</v>
      </c>
      <c r="O827" s="1" t="s">
        <v>105</v>
      </c>
      <c r="P827" s="186">
        <v>44896.342835648145</v>
      </c>
      <c r="R827" s="1">
        <v>3</v>
      </c>
      <c r="T827" s="1" t="s">
        <v>646</v>
      </c>
      <c r="U827" s="186">
        <v>44897.342847222222</v>
      </c>
      <c r="V827" s="1" t="s">
        <v>41</v>
      </c>
      <c r="W827" s="1" t="s">
        <v>49</v>
      </c>
      <c r="X827" s="13" t="str">
        <f>IF(RIGHT(H827,2)&lt;&gt;"00",H827,"")</f>
        <v/>
      </c>
      <c r="Y827" s="2">
        <f ca="1">NETWORKDAYS(P827,$Y$1)</f>
        <v>65</v>
      </c>
      <c r="Z827" s="14">
        <v>1</v>
      </c>
      <c r="AA827" s="1" t="str">
        <f t="shared" ca="1" si="60"/>
        <v>VENCIDO</v>
      </c>
      <c r="AB827" s="1" t="str">
        <f t="shared" si="61"/>
        <v>C-14</v>
      </c>
      <c r="AC827" s="2" t="str">
        <f t="shared" si="62"/>
        <v xml:space="preserve"> ROSEMERE </v>
      </c>
      <c r="AD827" s="2">
        <f t="shared" si="63"/>
        <v>5</v>
      </c>
      <c r="AE827" s="2">
        <f t="shared" ca="1" si="64"/>
        <v>-89.333424421296513</v>
      </c>
    </row>
    <row r="828" spans="1:31" hidden="1">
      <c r="A828" s="1">
        <v>9124126</v>
      </c>
      <c r="B828" s="1" t="s">
        <v>101</v>
      </c>
      <c r="C828" t="s">
        <v>643</v>
      </c>
      <c r="D828" s="2">
        <v>220194213</v>
      </c>
      <c r="E828" s="2">
        <v>7651400010</v>
      </c>
      <c r="F828" s="1" t="s">
        <v>936</v>
      </c>
      <c r="G828" s="1" t="s">
        <v>53</v>
      </c>
      <c r="H828" s="1" t="s">
        <v>827</v>
      </c>
      <c r="I828" s="1" t="s">
        <v>828</v>
      </c>
      <c r="J828" s="1" t="s">
        <v>46</v>
      </c>
      <c r="K828" t="s">
        <v>937</v>
      </c>
      <c r="M828" s="1" t="s">
        <v>58</v>
      </c>
      <c r="N828" s="1">
        <v>0</v>
      </c>
      <c r="O828" s="1" t="s">
        <v>105</v>
      </c>
      <c r="P828" s="186">
        <v>44896.342395833337</v>
      </c>
      <c r="R828" s="1">
        <v>3</v>
      </c>
      <c r="T828" s="1" t="s">
        <v>646</v>
      </c>
      <c r="U828" s="186">
        <v>44897.342395833337</v>
      </c>
      <c r="V828" s="1" t="s">
        <v>41</v>
      </c>
      <c r="W828" s="1" t="s">
        <v>49</v>
      </c>
      <c r="X828" s="13" t="str">
        <f>IF(RIGHT(H828,2)&lt;&gt;"00",H828,"")</f>
        <v>0007.65</v>
      </c>
      <c r="Y828" s="2">
        <f ca="1">NETWORKDAYS(P828,$Y$1)</f>
        <v>65</v>
      </c>
      <c r="Z828" s="14">
        <v>1</v>
      </c>
      <c r="AA828" s="1" t="str">
        <f t="shared" ref="AA828:AA891" ca="1" si="65">IF(AE828=0,"HOJE",IF(AE828&gt;0,"A VENCER",IF(AE828&lt;0,"VENCIDO")))</f>
        <v>VENCIDO</v>
      </c>
      <c r="AB828" s="1" t="str">
        <f t="shared" ref="AB828:AB891" si="66">IF(F828="GRPE-000001","C-14",IF(F828="GRPE-000002","C-14",IF(F828="GRPE-000003","C-14",IF(F828="GRPE-000004","SL-On",IF(F828="GRPE-000038","C-14",IF(F828="GRPE-900022","Dosa",IF(F828="GRPE-000029","Dosa",IF(F828="ATOS-000222","Dose","TAAe+"))))))))</f>
        <v>C-14</v>
      </c>
      <c r="AC828" s="2" t="str">
        <f t="shared" ref="AC828:AC891" si="67">IF(J828="TR-PETROLINA"," ROSEMERE ",IF(J828="TR-GARANHUNS"," ROSEMERE ",IF(J828="TR-CARUARU"," ROSEMERE ",IF(J828="TR-RIBEIRAO"," CRISTINA ",IF(J828="TR-GRAVATA"," CRISTINA ",IF(J828="TR-GOIANA"," CRISTINA ",IF(J828="TR-LIMOEIRO"," CRISTINA ",IF(J828="TR-SERRA TALHADA"," RINALDO ",IF(J828="TR-SALGUEIRO"," RINALDO ",IF(J828="TR-CARNAIBA"," RINALDO ",IF(J828="TR-ARCOVERDE"," RINALDO ",IF(J828="CAT-RECIFE"," CLEITON ",))))))))))))</f>
        <v xml:space="preserve"> CLEITON </v>
      </c>
      <c r="AD828" s="2">
        <f t="shared" ref="AD828:AD891" si="68">IF(F828="GRPE-000001",5,IF(F828="GRPE-000002",5,IF(F828="GRPE-000003",15,IF(F828="GRPE-000004",1,IF(F828="GRPE-000038",5,IF(F828="GRPE-900022",5,IF(F828="GRPE-000029",5,IF(F828="ATOS-000222",5,8))))))))</f>
        <v>5</v>
      </c>
      <c r="AE828" s="2">
        <f t="shared" ref="AE828:AE891" ca="1" si="69">IF(U828=$AE$1,"",U828-$AE$1)</f>
        <v>-89.33387581018178</v>
      </c>
    </row>
    <row r="829" spans="1:31" hidden="1">
      <c r="A829" s="1">
        <v>9123907</v>
      </c>
      <c r="B829" s="1" t="s">
        <v>101</v>
      </c>
      <c r="C829" t="s">
        <v>643</v>
      </c>
      <c r="D829" s="2">
        <v>220193815</v>
      </c>
      <c r="E829" s="2">
        <v>3243001400010</v>
      </c>
      <c r="F829" s="1" t="s">
        <v>936</v>
      </c>
      <c r="G829" s="1" t="s">
        <v>53</v>
      </c>
      <c r="H829" s="1" t="s">
        <v>282</v>
      </c>
      <c r="I829" s="1" t="s">
        <v>283</v>
      </c>
      <c r="J829" s="1" t="s">
        <v>46</v>
      </c>
      <c r="K829" t="s">
        <v>937</v>
      </c>
      <c r="M829" s="1" t="s">
        <v>58</v>
      </c>
      <c r="N829" s="1">
        <v>0</v>
      </c>
      <c r="O829" s="1" t="s">
        <v>105</v>
      </c>
      <c r="P829" s="186">
        <v>44896.331388888888</v>
      </c>
      <c r="R829" s="1">
        <v>3</v>
      </c>
      <c r="T829" s="1" t="s">
        <v>646</v>
      </c>
      <c r="U829" s="186">
        <v>44897.331388888888</v>
      </c>
      <c r="V829" s="1" t="s">
        <v>41</v>
      </c>
      <c r="W829" s="1" t="s">
        <v>49</v>
      </c>
      <c r="X829" s="13" t="str">
        <f>IF(RIGHT(H829,2)&lt;&gt;"00",H829,"")</f>
        <v/>
      </c>
      <c r="Y829" s="2">
        <f ca="1">NETWORKDAYS(P829,$Y$1)</f>
        <v>65</v>
      </c>
      <c r="Z829" s="14">
        <v>1</v>
      </c>
      <c r="AA829" s="1" t="str">
        <f t="shared" ca="1" si="65"/>
        <v>VENCIDO</v>
      </c>
      <c r="AB829" s="1" t="str">
        <f t="shared" si="66"/>
        <v>C-14</v>
      </c>
      <c r="AC829" s="2" t="str">
        <f t="shared" si="67"/>
        <v xml:space="preserve"> CLEITON </v>
      </c>
      <c r="AD829" s="2">
        <f t="shared" si="68"/>
        <v>5</v>
      </c>
      <c r="AE829" s="2">
        <f t="shared" ca="1" si="69"/>
        <v>-89.344882754630817</v>
      </c>
    </row>
    <row r="830" spans="1:31" hidden="1">
      <c r="A830" s="1">
        <v>9123817</v>
      </c>
      <c r="B830" s="1" t="s">
        <v>101</v>
      </c>
      <c r="C830" t="s">
        <v>643</v>
      </c>
      <c r="D830" s="2">
        <v>220193863</v>
      </c>
      <c r="E830" s="2">
        <v>3504001400010</v>
      </c>
      <c r="F830" s="1" t="s">
        <v>936</v>
      </c>
      <c r="G830" s="1" t="s">
        <v>53</v>
      </c>
      <c r="H830" s="1" t="s">
        <v>585</v>
      </c>
      <c r="I830" s="1" t="s">
        <v>586</v>
      </c>
      <c r="J830" s="1" t="s">
        <v>46</v>
      </c>
      <c r="K830" t="s">
        <v>937</v>
      </c>
      <c r="M830" s="1" t="s">
        <v>58</v>
      </c>
      <c r="N830" s="1">
        <v>0</v>
      </c>
      <c r="O830" s="1" t="s">
        <v>105</v>
      </c>
      <c r="P830" s="186">
        <v>44896.327175925922</v>
      </c>
      <c r="R830" s="1">
        <v>3</v>
      </c>
      <c r="T830" s="1" t="s">
        <v>646</v>
      </c>
      <c r="U830" s="186">
        <v>44897.327175925922</v>
      </c>
      <c r="V830" s="1" t="s">
        <v>41</v>
      </c>
      <c r="W830" s="1" t="s">
        <v>49</v>
      </c>
      <c r="X830" s="13" t="str">
        <f>IF(RIGHT(H830,2)&lt;&gt;"00",H830,"")</f>
        <v/>
      </c>
      <c r="Y830" s="2">
        <f ca="1">NETWORKDAYS(P830,$Y$1)</f>
        <v>65</v>
      </c>
      <c r="Z830" s="14">
        <v>1</v>
      </c>
      <c r="AA830" s="1" t="str">
        <f t="shared" ca="1" si="65"/>
        <v>VENCIDO</v>
      </c>
      <c r="AB830" s="1" t="str">
        <f t="shared" si="66"/>
        <v>C-14</v>
      </c>
      <c r="AC830" s="2" t="str">
        <f t="shared" si="67"/>
        <v xml:space="preserve"> CLEITON </v>
      </c>
      <c r="AD830" s="2">
        <f t="shared" si="68"/>
        <v>5</v>
      </c>
      <c r="AE830" s="2">
        <f t="shared" ca="1" si="69"/>
        <v>-89.349095717596356</v>
      </c>
    </row>
    <row r="831" spans="1:31" hidden="1">
      <c r="A831" s="1">
        <v>9123799</v>
      </c>
      <c r="B831" s="1" t="s">
        <v>101</v>
      </c>
      <c r="C831" t="s">
        <v>643</v>
      </c>
      <c r="D831" s="2">
        <v>220193693</v>
      </c>
      <c r="E831" s="2">
        <v>2693001400010</v>
      </c>
      <c r="F831" s="1" t="s">
        <v>936</v>
      </c>
      <c r="G831" s="1" t="s">
        <v>53</v>
      </c>
      <c r="H831" s="1" t="s">
        <v>253</v>
      </c>
      <c r="I831" s="1" t="s">
        <v>254</v>
      </c>
      <c r="J831" s="1" t="s">
        <v>56</v>
      </c>
      <c r="K831" t="s">
        <v>937</v>
      </c>
      <c r="M831" s="1" t="s">
        <v>58</v>
      </c>
      <c r="N831" s="1">
        <v>0</v>
      </c>
      <c r="O831" s="1" t="s">
        <v>105</v>
      </c>
      <c r="P831" s="186">
        <v>44896.325995370367</v>
      </c>
      <c r="R831" s="1">
        <v>3</v>
      </c>
      <c r="T831" s="1" t="s">
        <v>646</v>
      </c>
      <c r="U831" s="186">
        <v>44897.326006944444</v>
      </c>
      <c r="V831" s="1" t="s">
        <v>41</v>
      </c>
      <c r="W831" s="1" t="s">
        <v>49</v>
      </c>
      <c r="X831" s="13" t="str">
        <f>IF(RIGHT(H831,2)&lt;&gt;"00",H831,"")</f>
        <v/>
      </c>
      <c r="Y831" s="2">
        <f ca="1">NETWORKDAYS(P831,$Y$1)</f>
        <v>65</v>
      </c>
      <c r="Z831" s="14">
        <v>1</v>
      </c>
      <c r="AA831" s="1" t="str">
        <f t="shared" ca="1" si="65"/>
        <v>VENCIDO</v>
      </c>
      <c r="AB831" s="1" t="str">
        <f t="shared" si="66"/>
        <v>C-14</v>
      </c>
      <c r="AC831" s="2" t="str">
        <f t="shared" si="67"/>
        <v xml:space="preserve"> CRISTINA </v>
      </c>
      <c r="AD831" s="2">
        <f t="shared" si="68"/>
        <v>5</v>
      </c>
      <c r="AE831" s="2">
        <f t="shared" ca="1" si="69"/>
        <v>-89.350264699074614</v>
      </c>
    </row>
    <row r="832" spans="1:31" hidden="1">
      <c r="A832" s="1">
        <v>9123759</v>
      </c>
      <c r="B832" s="1" t="s">
        <v>101</v>
      </c>
      <c r="C832" t="s">
        <v>643</v>
      </c>
      <c r="D832" s="2">
        <v>220193661</v>
      </c>
      <c r="E832" s="2">
        <v>2564001400010</v>
      </c>
      <c r="F832" s="1" t="s">
        <v>936</v>
      </c>
      <c r="G832" s="1" t="s">
        <v>53</v>
      </c>
      <c r="H832" s="1" t="s">
        <v>255</v>
      </c>
      <c r="I832" s="1" t="s">
        <v>256</v>
      </c>
      <c r="J832" s="1" t="s">
        <v>164</v>
      </c>
      <c r="K832" t="s">
        <v>937</v>
      </c>
      <c r="M832" s="1" t="s">
        <v>58</v>
      </c>
      <c r="N832" s="1">
        <v>0</v>
      </c>
      <c r="O832" s="1" t="s">
        <v>105</v>
      </c>
      <c r="P832" s="186">
        <v>44896.323981481481</v>
      </c>
      <c r="R832" s="1">
        <v>3</v>
      </c>
      <c r="T832" s="1" t="s">
        <v>646</v>
      </c>
      <c r="U832" s="186">
        <v>44897.323981481481</v>
      </c>
      <c r="V832" s="1" t="s">
        <v>41</v>
      </c>
      <c r="W832" s="1" t="s">
        <v>49</v>
      </c>
      <c r="X832" s="13" t="str">
        <f>IF(RIGHT(H832,2)&lt;&gt;"00",H832,"")</f>
        <v/>
      </c>
      <c r="Y832" s="2">
        <f ca="1">NETWORKDAYS(P832,$Y$1)</f>
        <v>65</v>
      </c>
      <c r="Z832" s="14">
        <v>1</v>
      </c>
      <c r="AA832" s="1" t="str">
        <f t="shared" ca="1" si="65"/>
        <v>VENCIDO</v>
      </c>
      <c r="AB832" s="1" t="str">
        <f t="shared" si="66"/>
        <v>C-14</v>
      </c>
      <c r="AC832" s="2" t="str">
        <f t="shared" si="67"/>
        <v xml:space="preserve"> ROSEMERE </v>
      </c>
      <c r="AD832" s="2">
        <f t="shared" si="68"/>
        <v>5</v>
      </c>
      <c r="AE832" s="2">
        <f t="shared" ca="1" si="69"/>
        <v>-89.352290162038116</v>
      </c>
    </row>
    <row r="833" spans="1:31" hidden="1">
      <c r="A833" s="1">
        <v>9123743</v>
      </c>
      <c r="B833" s="1" t="s">
        <v>101</v>
      </c>
      <c r="C833" t="s">
        <v>643</v>
      </c>
      <c r="D833" s="2">
        <v>220193649</v>
      </c>
      <c r="E833" s="2">
        <v>2529001400010</v>
      </c>
      <c r="F833" s="1" t="s">
        <v>936</v>
      </c>
      <c r="G833" s="1" t="s">
        <v>53</v>
      </c>
      <c r="H833" s="1" t="s">
        <v>355</v>
      </c>
      <c r="I833" s="1" t="s">
        <v>356</v>
      </c>
      <c r="J833" s="1" t="s">
        <v>56</v>
      </c>
      <c r="K833" t="s">
        <v>937</v>
      </c>
      <c r="M833" s="1" t="s">
        <v>58</v>
      </c>
      <c r="N833" s="1">
        <v>0</v>
      </c>
      <c r="O833" s="1" t="s">
        <v>105</v>
      </c>
      <c r="P833" s="186">
        <v>44896.323252314818</v>
      </c>
      <c r="R833" s="1">
        <v>3</v>
      </c>
      <c r="T833" s="1" t="s">
        <v>646</v>
      </c>
      <c r="U833" s="186">
        <v>44897.323252314818</v>
      </c>
      <c r="V833" s="1" t="s">
        <v>41</v>
      </c>
      <c r="W833" s="1" t="s">
        <v>49</v>
      </c>
      <c r="X833" s="13" t="str">
        <f>IF(RIGHT(H833,2)&lt;&gt;"00",H833,"")</f>
        <v/>
      </c>
      <c r="Y833" s="2">
        <f ca="1">NETWORKDAYS(P833,$Y$1)</f>
        <v>65</v>
      </c>
      <c r="Z833" s="14">
        <v>1</v>
      </c>
      <c r="AA833" s="1" t="str">
        <f t="shared" ca="1" si="65"/>
        <v>VENCIDO</v>
      </c>
      <c r="AB833" s="1" t="str">
        <f t="shared" si="66"/>
        <v>C-14</v>
      </c>
      <c r="AC833" s="2" t="str">
        <f t="shared" si="67"/>
        <v xml:space="preserve"> CRISTINA </v>
      </c>
      <c r="AD833" s="2">
        <f t="shared" si="68"/>
        <v>5</v>
      </c>
      <c r="AE833" s="2">
        <f t="shared" ca="1" si="69"/>
        <v>-89.353019328700611</v>
      </c>
    </row>
    <row r="834" spans="1:31" hidden="1">
      <c r="A834" s="1">
        <v>9123722</v>
      </c>
      <c r="B834" s="1" t="s">
        <v>101</v>
      </c>
      <c r="C834" t="s">
        <v>643</v>
      </c>
      <c r="D834" s="2">
        <v>220193628</v>
      </c>
      <c r="E834" s="2">
        <v>2473001400010</v>
      </c>
      <c r="F834" s="1" t="s">
        <v>936</v>
      </c>
      <c r="G834" s="1" t="s">
        <v>53</v>
      </c>
      <c r="H834" s="1" t="s">
        <v>1459</v>
      </c>
      <c r="I834" s="1" t="s">
        <v>1460</v>
      </c>
      <c r="J834" s="1" t="s">
        <v>261</v>
      </c>
      <c r="K834" t="s">
        <v>937</v>
      </c>
      <c r="M834" s="1" t="s">
        <v>58</v>
      </c>
      <c r="N834" s="1">
        <v>0</v>
      </c>
      <c r="O834" s="1" t="s">
        <v>105</v>
      </c>
      <c r="P834" s="186">
        <v>44896.321979166663</v>
      </c>
      <c r="R834" s="1">
        <v>3</v>
      </c>
      <c r="T834" s="1" t="s">
        <v>646</v>
      </c>
      <c r="U834" s="186">
        <v>44897.321979166663</v>
      </c>
      <c r="V834" s="1" t="s">
        <v>41</v>
      </c>
      <c r="W834" s="1" t="s">
        <v>49</v>
      </c>
      <c r="X834" s="13" t="str">
        <f>IF(RIGHT(H834,2)&lt;&gt;"00",H834,"")</f>
        <v/>
      </c>
      <c r="Y834" s="2">
        <f ca="1">NETWORKDAYS(P834,$Y$1)</f>
        <v>65</v>
      </c>
      <c r="Z834" s="14">
        <v>1</v>
      </c>
      <c r="AA834" s="1" t="str">
        <f t="shared" ca="1" si="65"/>
        <v>VENCIDO</v>
      </c>
      <c r="AB834" s="1" t="str">
        <f t="shared" si="66"/>
        <v>C-14</v>
      </c>
      <c r="AC834" s="2" t="str">
        <f t="shared" si="67"/>
        <v xml:space="preserve"> CRISTINA </v>
      </c>
      <c r="AD834" s="2">
        <f t="shared" si="68"/>
        <v>5</v>
      </c>
      <c r="AE834" s="2">
        <f t="shared" ca="1" si="69"/>
        <v>-89.354292476855335</v>
      </c>
    </row>
    <row r="835" spans="1:31" hidden="1">
      <c r="A835" s="1">
        <v>9123696</v>
      </c>
      <c r="B835" s="1" t="s">
        <v>101</v>
      </c>
      <c r="C835" t="s">
        <v>643</v>
      </c>
      <c r="D835" s="2">
        <v>220193610</v>
      </c>
      <c r="E835" s="2">
        <v>2413001400010</v>
      </c>
      <c r="F835" s="1" t="s">
        <v>936</v>
      </c>
      <c r="G835" s="1" t="s">
        <v>53</v>
      </c>
      <c r="H835" s="1" t="s">
        <v>505</v>
      </c>
      <c r="I835" s="1" t="s">
        <v>506</v>
      </c>
      <c r="J835" s="1" t="s">
        <v>141</v>
      </c>
      <c r="K835" t="s">
        <v>937</v>
      </c>
      <c r="M835" s="1" t="s">
        <v>58</v>
      </c>
      <c r="N835" s="1">
        <v>0</v>
      </c>
      <c r="O835" s="1" t="s">
        <v>105</v>
      </c>
      <c r="P835" s="186">
        <v>44896.320925925924</v>
      </c>
      <c r="R835" s="1">
        <v>3</v>
      </c>
      <c r="T835" s="1" t="s">
        <v>646</v>
      </c>
      <c r="U835" s="186">
        <v>44897.320925925924</v>
      </c>
      <c r="V835" s="1" t="s">
        <v>41</v>
      </c>
      <c r="W835" s="1" t="s">
        <v>49</v>
      </c>
      <c r="X835" s="13" t="str">
        <f>IF(RIGHT(H835,2)&lt;&gt;"00",H835,"")</f>
        <v/>
      </c>
      <c r="Y835" s="2">
        <f ca="1">NETWORKDAYS(P835,$Y$1)</f>
        <v>65</v>
      </c>
      <c r="Z835" s="14">
        <v>1</v>
      </c>
      <c r="AA835" s="1" t="str">
        <f t="shared" ca="1" si="65"/>
        <v>VENCIDO</v>
      </c>
      <c r="AB835" s="1" t="str">
        <f t="shared" si="66"/>
        <v>C-14</v>
      </c>
      <c r="AC835" s="2" t="str">
        <f t="shared" si="67"/>
        <v xml:space="preserve"> CRISTINA </v>
      </c>
      <c r="AD835" s="2">
        <f t="shared" si="68"/>
        <v>5</v>
      </c>
      <c r="AE835" s="2">
        <f t="shared" ca="1" si="69"/>
        <v>-89.355345717594901</v>
      </c>
    </row>
    <row r="836" spans="1:31" hidden="1">
      <c r="A836" s="1">
        <v>9123651</v>
      </c>
      <c r="B836" s="1" t="s">
        <v>101</v>
      </c>
      <c r="C836" t="s">
        <v>643</v>
      </c>
      <c r="D836" s="2">
        <v>220193532</v>
      </c>
      <c r="E836" s="2">
        <v>2125001400010</v>
      </c>
      <c r="F836" s="1" t="s">
        <v>936</v>
      </c>
      <c r="G836" s="1" t="s">
        <v>53</v>
      </c>
      <c r="H836" s="1" t="s">
        <v>1399</v>
      </c>
      <c r="I836" s="1" t="s">
        <v>1400</v>
      </c>
      <c r="J836" s="1" t="s">
        <v>211</v>
      </c>
      <c r="K836" t="s">
        <v>937</v>
      </c>
      <c r="M836" s="1" t="s">
        <v>58</v>
      </c>
      <c r="N836" s="1">
        <v>0</v>
      </c>
      <c r="O836" s="1" t="s">
        <v>105</v>
      </c>
      <c r="P836" s="186">
        <v>44896.317893518521</v>
      </c>
      <c r="R836" s="1">
        <v>3</v>
      </c>
      <c r="T836" s="1" t="s">
        <v>646</v>
      </c>
      <c r="U836" s="186">
        <v>44897.317893518521</v>
      </c>
      <c r="V836" s="1" t="s">
        <v>41</v>
      </c>
      <c r="W836" s="1" t="s">
        <v>49</v>
      </c>
      <c r="X836" s="13" t="str">
        <f>IF(RIGHT(H836,2)&lt;&gt;"00",H836,"")</f>
        <v/>
      </c>
      <c r="Y836" s="2">
        <f ca="1">NETWORKDAYS(P836,$Y$1)</f>
        <v>65</v>
      </c>
      <c r="Z836" s="14">
        <v>1</v>
      </c>
      <c r="AA836" s="1" t="str">
        <f t="shared" ca="1" si="65"/>
        <v>VENCIDO</v>
      </c>
      <c r="AB836" s="1" t="str">
        <f t="shared" si="66"/>
        <v>C-14</v>
      </c>
      <c r="AC836" s="2" t="str">
        <f t="shared" si="67"/>
        <v xml:space="preserve"> RINALDO </v>
      </c>
      <c r="AD836" s="2">
        <f t="shared" si="68"/>
        <v>5</v>
      </c>
      <c r="AE836" s="2">
        <f t="shared" ca="1" si="69"/>
        <v>-89.358378124998126</v>
      </c>
    </row>
    <row r="837" spans="1:31" hidden="1">
      <c r="A837" s="1">
        <v>9123585</v>
      </c>
      <c r="B837" s="1" t="s">
        <v>101</v>
      </c>
      <c r="C837" t="s">
        <v>643</v>
      </c>
      <c r="D837" s="2">
        <v>220193497</v>
      </c>
      <c r="E837" s="2">
        <v>2018001400010</v>
      </c>
      <c r="F837" s="1" t="s">
        <v>936</v>
      </c>
      <c r="G837" s="1" t="s">
        <v>53</v>
      </c>
      <c r="H837" s="1" t="s">
        <v>598</v>
      </c>
      <c r="I837" s="1" t="s">
        <v>599</v>
      </c>
      <c r="J837" s="1" t="s">
        <v>79</v>
      </c>
      <c r="K837" t="s">
        <v>937</v>
      </c>
      <c r="M837" s="1" t="s">
        <v>58</v>
      </c>
      <c r="N837" s="1">
        <v>0</v>
      </c>
      <c r="O837" s="1" t="s">
        <v>105</v>
      </c>
      <c r="P837" s="186">
        <v>44896.315046296295</v>
      </c>
      <c r="R837" s="1">
        <v>3</v>
      </c>
      <c r="T837" s="1" t="s">
        <v>646</v>
      </c>
      <c r="U837" s="186">
        <v>44897.315057870372</v>
      </c>
      <c r="V837" s="1" t="s">
        <v>41</v>
      </c>
      <c r="W837" s="1" t="s">
        <v>49</v>
      </c>
      <c r="X837" s="13" t="str">
        <f>IF(RIGHT(H837,2)&lt;&gt;"00",H837,"")</f>
        <v/>
      </c>
      <c r="Y837" s="2">
        <f ca="1">NETWORKDAYS(P837,$Y$1)</f>
        <v>65</v>
      </c>
      <c r="Z837" s="14">
        <v>1</v>
      </c>
      <c r="AA837" s="1" t="str">
        <f t="shared" ca="1" si="65"/>
        <v>VENCIDO</v>
      </c>
      <c r="AB837" s="1" t="str">
        <f t="shared" si="66"/>
        <v>C-14</v>
      </c>
      <c r="AC837" s="2" t="str">
        <f t="shared" si="67"/>
        <v xml:space="preserve"> ROSEMERE </v>
      </c>
      <c r="AD837" s="2">
        <f t="shared" si="68"/>
        <v>5</v>
      </c>
      <c r="AE837" s="2">
        <f t="shared" ca="1" si="69"/>
        <v>-89.361213773147028</v>
      </c>
    </row>
    <row r="838" spans="1:31" hidden="1">
      <c r="A838" s="1">
        <v>9123569</v>
      </c>
      <c r="B838" s="1" t="s">
        <v>101</v>
      </c>
      <c r="C838" t="s">
        <v>643</v>
      </c>
      <c r="D838" s="2">
        <v>220193370</v>
      </c>
      <c r="E838" s="2">
        <v>1509001400010</v>
      </c>
      <c r="F838" s="1" t="s">
        <v>936</v>
      </c>
      <c r="G838" s="1" t="s">
        <v>53</v>
      </c>
      <c r="H838" s="1" t="s">
        <v>731</v>
      </c>
      <c r="I838" s="1" t="s">
        <v>732</v>
      </c>
      <c r="J838" s="1" t="s">
        <v>46</v>
      </c>
      <c r="K838" t="s">
        <v>937</v>
      </c>
      <c r="M838" s="1" t="s">
        <v>58</v>
      </c>
      <c r="N838" s="1">
        <v>0</v>
      </c>
      <c r="O838" s="1" t="s">
        <v>105</v>
      </c>
      <c r="P838" s="186">
        <v>44896.31386574074</v>
      </c>
      <c r="R838" s="1">
        <v>3</v>
      </c>
      <c r="T838" s="1" t="s">
        <v>646</v>
      </c>
      <c r="U838" s="186">
        <v>44897.31386574074</v>
      </c>
      <c r="V838" s="1" t="s">
        <v>41</v>
      </c>
      <c r="W838" s="1" t="s">
        <v>49</v>
      </c>
      <c r="X838" s="13" t="str">
        <f>IF(RIGHT(H838,2)&lt;&gt;"00",H838,"")</f>
        <v/>
      </c>
      <c r="Y838" s="2">
        <f ca="1">NETWORKDAYS(P838,$Y$1)</f>
        <v>65</v>
      </c>
      <c r="Z838" s="14">
        <v>1</v>
      </c>
      <c r="AA838" s="1" t="str">
        <f t="shared" ca="1" si="65"/>
        <v>VENCIDO</v>
      </c>
      <c r="AB838" s="1" t="str">
        <f t="shared" si="66"/>
        <v>C-14</v>
      </c>
      <c r="AC838" s="2" t="str">
        <f t="shared" si="67"/>
        <v xml:space="preserve"> CLEITON </v>
      </c>
      <c r="AD838" s="2">
        <f t="shared" si="68"/>
        <v>5</v>
      </c>
      <c r="AE838" s="2">
        <f t="shared" ca="1" si="69"/>
        <v>-89.362405902778846</v>
      </c>
    </row>
    <row r="839" spans="1:31" hidden="1">
      <c r="A839" s="1">
        <v>9123507</v>
      </c>
      <c r="B839" s="1" t="s">
        <v>101</v>
      </c>
      <c r="C839" t="s">
        <v>643</v>
      </c>
      <c r="D839" s="2">
        <v>220193316</v>
      </c>
      <c r="E839" s="2">
        <v>1363001400010</v>
      </c>
      <c r="F839" s="1" t="s">
        <v>936</v>
      </c>
      <c r="G839" s="1" t="s">
        <v>53</v>
      </c>
      <c r="H839" s="1" t="s">
        <v>108</v>
      </c>
      <c r="I839" s="1" t="s">
        <v>109</v>
      </c>
      <c r="J839" s="1" t="s">
        <v>110</v>
      </c>
      <c r="K839" t="s">
        <v>937</v>
      </c>
      <c r="M839" s="1" t="s">
        <v>58</v>
      </c>
      <c r="N839" s="1">
        <v>0</v>
      </c>
      <c r="O839" s="1" t="s">
        <v>105</v>
      </c>
      <c r="P839" s="186">
        <v>44896.31077546296</v>
      </c>
      <c r="R839" s="1">
        <v>3</v>
      </c>
      <c r="T839" s="1" t="s">
        <v>646</v>
      </c>
      <c r="U839" s="186">
        <v>44897.31077546296</v>
      </c>
      <c r="V839" s="1" t="s">
        <v>41</v>
      </c>
      <c r="W839" s="1" t="s">
        <v>49</v>
      </c>
      <c r="X839" s="13" t="str">
        <f>IF(RIGHT(H839,2)&lt;&gt;"00",H839,"")</f>
        <v/>
      </c>
      <c r="Y839" s="2">
        <f ca="1">NETWORKDAYS(P839,$Y$1)</f>
        <v>65</v>
      </c>
      <c r="Z839" s="14">
        <v>1</v>
      </c>
      <c r="AA839" s="1" t="str">
        <f t="shared" ca="1" si="65"/>
        <v>VENCIDO</v>
      </c>
      <c r="AB839" s="1" t="str">
        <f t="shared" si="66"/>
        <v>C-14</v>
      </c>
      <c r="AC839" s="2" t="str">
        <f t="shared" si="67"/>
        <v xml:space="preserve"> CRISTINA </v>
      </c>
      <c r="AD839" s="2">
        <f t="shared" si="68"/>
        <v>5</v>
      </c>
      <c r="AE839" s="2">
        <f t="shared" ca="1" si="69"/>
        <v>-89.365496180558694</v>
      </c>
    </row>
    <row r="840" spans="1:31" hidden="1">
      <c r="A840" s="1">
        <v>9123506</v>
      </c>
      <c r="B840" s="1" t="s">
        <v>101</v>
      </c>
      <c r="C840" t="s">
        <v>643</v>
      </c>
      <c r="D840" s="2">
        <v>220193315</v>
      </c>
      <c r="E840" s="2">
        <v>1362001400010</v>
      </c>
      <c r="F840" s="1" t="s">
        <v>936</v>
      </c>
      <c r="G840" s="1" t="s">
        <v>53</v>
      </c>
      <c r="H840" s="1" t="s">
        <v>268</v>
      </c>
      <c r="I840" s="1" t="s">
        <v>269</v>
      </c>
      <c r="J840" s="1" t="s">
        <v>90</v>
      </c>
      <c r="K840" t="s">
        <v>937</v>
      </c>
      <c r="M840" s="1" t="s">
        <v>58</v>
      </c>
      <c r="N840" s="1">
        <v>0</v>
      </c>
      <c r="O840" s="1" t="s">
        <v>105</v>
      </c>
      <c r="P840" s="186">
        <v>44896.310717592591</v>
      </c>
      <c r="R840" s="1">
        <v>3</v>
      </c>
      <c r="T840" s="1" t="s">
        <v>646</v>
      </c>
      <c r="U840" s="186">
        <v>44897.310717592591</v>
      </c>
      <c r="V840" s="1" t="s">
        <v>41</v>
      </c>
      <c r="W840" s="1" t="s">
        <v>49</v>
      </c>
      <c r="X840" s="13" t="str">
        <f>IF(RIGHT(H840,2)&lt;&gt;"00",H840,"")</f>
        <v/>
      </c>
      <c r="Y840" s="2">
        <f ca="1">NETWORKDAYS(P840,$Y$1)</f>
        <v>65</v>
      </c>
      <c r="Z840" s="14">
        <v>1</v>
      </c>
      <c r="AA840" s="1" t="str">
        <f t="shared" ca="1" si="65"/>
        <v>VENCIDO</v>
      </c>
      <c r="AB840" s="1" t="str">
        <f t="shared" si="66"/>
        <v>C-14</v>
      </c>
      <c r="AC840" s="2" t="str">
        <f t="shared" si="67"/>
        <v xml:space="preserve"> RINALDO </v>
      </c>
      <c r="AD840" s="2">
        <f t="shared" si="68"/>
        <v>5</v>
      </c>
      <c r="AE840" s="2">
        <f t="shared" ca="1" si="69"/>
        <v>-89.36555405092804</v>
      </c>
    </row>
    <row r="841" spans="1:31" hidden="1">
      <c r="A841" s="1">
        <v>9123505</v>
      </c>
      <c r="B841" s="1" t="s">
        <v>101</v>
      </c>
      <c r="C841" t="s">
        <v>643</v>
      </c>
      <c r="D841" s="2">
        <v>220193314</v>
      </c>
      <c r="E841" s="2">
        <v>1360001400010</v>
      </c>
      <c r="F841" s="1" t="s">
        <v>936</v>
      </c>
      <c r="G841" s="1" t="s">
        <v>53</v>
      </c>
      <c r="H841" s="1" t="s">
        <v>303</v>
      </c>
      <c r="I841" s="1" t="s">
        <v>304</v>
      </c>
      <c r="J841" s="1" t="s">
        <v>261</v>
      </c>
      <c r="K841" t="s">
        <v>937</v>
      </c>
      <c r="M841" s="1" t="s">
        <v>58</v>
      </c>
      <c r="N841" s="1">
        <v>0</v>
      </c>
      <c r="O841" s="1" t="s">
        <v>105</v>
      </c>
      <c r="P841" s="186">
        <v>44896.310659722221</v>
      </c>
      <c r="R841" s="1">
        <v>3</v>
      </c>
      <c r="T841" s="1" t="s">
        <v>646</v>
      </c>
      <c r="U841" s="186">
        <v>44897.310659722221</v>
      </c>
      <c r="V841" s="1" t="s">
        <v>41</v>
      </c>
      <c r="W841" s="1" t="s">
        <v>49</v>
      </c>
      <c r="X841" s="13" t="str">
        <f>IF(RIGHT(H841,2)&lt;&gt;"00",H841,"")</f>
        <v/>
      </c>
      <c r="Y841" s="2">
        <f ca="1">NETWORKDAYS(P841,$Y$1)</f>
        <v>65</v>
      </c>
      <c r="Z841" s="14">
        <v>1</v>
      </c>
      <c r="AA841" s="1" t="str">
        <f t="shared" ca="1" si="65"/>
        <v>VENCIDO</v>
      </c>
      <c r="AB841" s="1" t="str">
        <f t="shared" si="66"/>
        <v>C-14</v>
      </c>
      <c r="AC841" s="2" t="str">
        <f t="shared" si="67"/>
        <v xml:space="preserve"> CRISTINA </v>
      </c>
      <c r="AD841" s="2">
        <f t="shared" si="68"/>
        <v>5</v>
      </c>
      <c r="AE841" s="2">
        <f t="shared" ca="1" si="69"/>
        <v>-89.365611921297386</v>
      </c>
    </row>
    <row r="842" spans="1:31" hidden="1">
      <c r="A842" s="1">
        <v>9123504</v>
      </c>
      <c r="B842" s="1" t="s">
        <v>101</v>
      </c>
      <c r="C842" t="s">
        <v>643</v>
      </c>
      <c r="D842" s="2">
        <v>220193313</v>
      </c>
      <c r="E842" s="2">
        <v>1359001400010</v>
      </c>
      <c r="F842" s="1" t="s">
        <v>936</v>
      </c>
      <c r="G842" s="1" t="s">
        <v>53</v>
      </c>
      <c r="H842" s="1" t="s">
        <v>270</v>
      </c>
      <c r="I842" s="1" t="s">
        <v>271</v>
      </c>
      <c r="J842" s="1" t="s">
        <v>141</v>
      </c>
      <c r="K842" t="s">
        <v>937</v>
      </c>
      <c r="M842" s="1" t="s">
        <v>58</v>
      </c>
      <c r="N842" s="1">
        <v>0</v>
      </c>
      <c r="O842" s="1" t="s">
        <v>105</v>
      </c>
      <c r="P842" s="186">
        <v>44896.310601851852</v>
      </c>
      <c r="R842" s="1">
        <v>3</v>
      </c>
      <c r="T842" s="1" t="s">
        <v>646</v>
      </c>
      <c r="U842" s="186">
        <v>44897.310601851852</v>
      </c>
      <c r="V842" s="1" t="s">
        <v>41</v>
      </c>
      <c r="W842" s="1" t="s">
        <v>49</v>
      </c>
      <c r="X842" s="13" t="str">
        <f>IF(RIGHT(H842,2)&lt;&gt;"00",H842,"")</f>
        <v/>
      </c>
      <c r="Y842" s="2">
        <f ca="1">NETWORKDAYS(P842,$Y$1)</f>
        <v>65</v>
      </c>
      <c r="Z842" s="14">
        <v>1</v>
      </c>
      <c r="AA842" s="1" t="str">
        <f t="shared" ca="1" si="65"/>
        <v>VENCIDO</v>
      </c>
      <c r="AB842" s="1" t="str">
        <f t="shared" si="66"/>
        <v>C-14</v>
      </c>
      <c r="AC842" s="2" t="str">
        <f t="shared" si="67"/>
        <v xml:space="preserve"> CRISTINA </v>
      </c>
      <c r="AD842" s="2">
        <f t="shared" si="68"/>
        <v>5</v>
      </c>
      <c r="AE842" s="2">
        <f t="shared" ca="1" si="69"/>
        <v>-89.365669791666733</v>
      </c>
    </row>
    <row r="843" spans="1:31" hidden="1">
      <c r="A843" s="1">
        <v>9123455</v>
      </c>
      <c r="B843" s="1" t="s">
        <v>101</v>
      </c>
      <c r="C843" t="s">
        <v>643</v>
      </c>
      <c r="D843" s="2">
        <v>220193276</v>
      </c>
      <c r="E843" s="2">
        <v>1291001400010</v>
      </c>
      <c r="F843" s="1" t="s">
        <v>936</v>
      </c>
      <c r="G843" s="1" t="s">
        <v>53</v>
      </c>
      <c r="H843" s="1" t="s">
        <v>136</v>
      </c>
      <c r="I843" s="1" t="s">
        <v>137</v>
      </c>
      <c r="J843" s="1" t="s">
        <v>33</v>
      </c>
      <c r="K843" t="s">
        <v>937</v>
      </c>
      <c r="M843" s="1" t="s">
        <v>58</v>
      </c>
      <c r="N843" s="1">
        <v>0</v>
      </c>
      <c r="O843" s="1" t="s">
        <v>105</v>
      </c>
      <c r="P843" s="186">
        <v>44896.308368055557</v>
      </c>
      <c r="R843" s="1">
        <v>3</v>
      </c>
      <c r="T843" s="1" t="s">
        <v>646</v>
      </c>
      <c r="U843" s="186">
        <v>44897.308368055557</v>
      </c>
      <c r="V843" s="1" t="s">
        <v>41</v>
      </c>
      <c r="W843" s="1" t="s">
        <v>42</v>
      </c>
      <c r="X843" s="13" t="str">
        <f>IF(RIGHT(H843,2)&lt;&gt;"00",H843,"")</f>
        <v/>
      </c>
      <c r="Y843" s="2">
        <f ca="1">NETWORKDAYS(P843,$Y$1)</f>
        <v>65</v>
      </c>
      <c r="Z843" s="14">
        <v>1</v>
      </c>
      <c r="AA843" s="1" t="str">
        <f t="shared" ca="1" si="65"/>
        <v>VENCIDO</v>
      </c>
      <c r="AB843" s="1" t="str">
        <f t="shared" si="66"/>
        <v>C-14</v>
      </c>
      <c r="AC843" s="2" t="str">
        <f t="shared" si="67"/>
        <v xml:space="preserve"> ROSEMERE </v>
      </c>
      <c r="AD843" s="2">
        <f t="shared" si="68"/>
        <v>5</v>
      </c>
      <c r="AE843" s="2">
        <f t="shared" ca="1" si="69"/>
        <v>-89.367903587961337</v>
      </c>
    </row>
    <row r="844" spans="1:31" hidden="1">
      <c r="A844" s="1">
        <v>9123430</v>
      </c>
      <c r="B844" s="1" t="s">
        <v>101</v>
      </c>
      <c r="C844" t="s">
        <v>643</v>
      </c>
      <c r="D844" s="2">
        <v>220193099</v>
      </c>
      <c r="E844" s="2">
        <v>922001400010</v>
      </c>
      <c r="F844" s="1" t="s">
        <v>936</v>
      </c>
      <c r="G844" s="1" t="s">
        <v>53</v>
      </c>
      <c r="H844" s="1" t="s">
        <v>1375</v>
      </c>
      <c r="I844" s="1" t="s">
        <v>1376</v>
      </c>
      <c r="J844" s="1" t="s">
        <v>261</v>
      </c>
      <c r="K844" t="s">
        <v>937</v>
      </c>
      <c r="M844" s="1" t="s">
        <v>58</v>
      </c>
      <c r="N844" s="1">
        <v>0</v>
      </c>
      <c r="O844" s="1" t="s">
        <v>105</v>
      </c>
      <c r="P844" s="186">
        <v>44896.303182870368</v>
      </c>
      <c r="R844" s="1">
        <v>3</v>
      </c>
      <c r="T844" s="1" t="s">
        <v>646</v>
      </c>
      <c r="U844" s="186">
        <v>44897.303182870368</v>
      </c>
      <c r="V844" s="1" t="s">
        <v>41</v>
      </c>
      <c r="W844" s="1" t="s">
        <v>49</v>
      </c>
      <c r="X844" s="13" t="str">
        <f>IF(RIGHT(H844,2)&lt;&gt;"00",H844,"")</f>
        <v/>
      </c>
      <c r="Y844" s="2">
        <f ca="1">NETWORKDAYS(P844,$Y$1)</f>
        <v>65</v>
      </c>
      <c r="Z844" s="14">
        <v>1</v>
      </c>
      <c r="AA844" s="1" t="str">
        <f t="shared" ca="1" si="65"/>
        <v>VENCIDO</v>
      </c>
      <c r="AB844" s="1" t="str">
        <f t="shared" si="66"/>
        <v>C-14</v>
      </c>
      <c r="AC844" s="2" t="str">
        <f t="shared" si="67"/>
        <v xml:space="preserve"> CRISTINA </v>
      </c>
      <c r="AD844" s="2">
        <f t="shared" si="68"/>
        <v>5</v>
      </c>
      <c r="AE844" s="2">
        <f t="shared" ca="1" si="69"/>
        <v>-89.373088773150812</v>
      </c>
    </row>
    <row r="845" spans="1:31" hidden="1">
      <c r="A845" s="1">
        <v>9123424</v>
      </c>
      <c r="B845" s="1" t="s">
        <v>101</v>
      </c>
      <c r="C845" t="s">
        <v>643</v>
      </c>
      <c r="D845" s="2">
        <v>220193097</v>
      </c>
      <c r="E845" s="2">
        <v>917001400010</v>
      </c>
      <c r="F845" s="1" t="s">
        <v>936</v>
      </c>
      <c r="G845" s="1" t="s">
        <v>53</v>
      </c>
      <c r="H845" s="1" t="s">
        <v>83</v>
      </c>
      <c r="I845" s="1" t="s">
        <v>84</v>
      </c>
      <c r="J845" s="1" t="s">
        <v>85</v>
      </c>
      <c r="K845" t="s">
        <v>937</v>
      </c>
      <c r="M845" s="1" t="s">
        <v>58</v>
      </c>
      <c r="N845" s="1">
        <v>0</v>
      </c>
      <c r="O845" s="1" t="s">
        <v>105</v>
      </c>
      <c r="P845" s="186">
        <v>44896.303067129629</v>
      </c>
      <c r="R845" s="1">
        <v>3</v>
      </c>
      <c r="T845" s="1" t="s">
        <v>646</v>
      </c>
      <c r="U845" s="186">
        <v>44897.303067129629</v>
      </c>
      <c r="V845" s="1" t="s">
        <v>41</v>
      </c>
      <c r="W845" s="1" t="s">
        <v>49</v>
      </c>
      <c r="X845" s="13" t="str">
        <f>IF(RIGHT(H845,2)&lt;&gt;"00",H845,"")</f>
        <v/>
      </c>
      <c r="Y845" s="2">
        <f ca="1">NETWORKDAYS(P845,$Y$1)</f>
        <v>65</v>
      </c>
      <c r="Z845" s="14">
        <v>1</v>
      </c>
      <c r="AA845" s="1" t="str">
        <f t="shared" ca="1" si="65"/>
        <v>VENCIDO</v>
      </c>
      <c r="AB845" s="1" t="str">
        <f t="shared" si="66"/>
        <v>C-14</v>
      </c>
      <c r="AC845" s="2" t="str">
        <f t="shared" si="67"/>
        <v xml:space="preserve"> RINALDO </v>
      </c>
      <c r="AD845" s="2">
        <f t="shared" si="68"/>
        <v>5</v>
      </c>
      <c r="AE845" s="2">
        <f t="shared" ca="1" si="69"/>
        <v>-89.373204513889505</v>
      </c>
    </row>
    <row r="846" spans="1:31" hidden="1">
      <c r="A846" s="1">
        <v>9123416</v>
      </c>
      <c r="B846" s="1" t="s">
        <v>101</v>
      </c>
      <c r="C846" t="s">
        <v>643</v>
      </c>
      <c r="D846" s="2">
        <v>220193110</v>
      </c>
      <c r="E846" s="2">
        <v>934001400010</v>
      </c>
      <c r="F846" s="1" t="s">
        <v>936</v>
      </c>
      <c r="G846" s="1" t="s">
        <v>53</v>
      </c>
      <c r="H846" s="1" t="s">
        <v>428</v>
      </c>
      <c r="I846" s="1" t="s">
        <v>429</v>
      </c>
      <c r="J846" s="1" t="s">
        <v>46</v>
      </c>
      <c r="K846" t="s">
        <v>937</v>
      </c>
      <c r="M846" s="1" t="s">
        <v>58</v>
      </c>
      <c r="N846" s="1">
        <v>0</v>
      </c>
      <c r="O846" s="1" t="s">
        <v>105</v>
      </c>
      <c r="P846" s="186">
        <v>44896.302604166667</v>
      </c>
      <c r="R846" s="1">
        <v>3</v>
      </c>
      <c r="T846" s="1" t="s">
        <v>646</v>
      </c>
      <c r="U846" s="186">
        <v>44897.302604166667</v>
      </c>
      <c r="V846" s="1" t="s">
        <v>41</v>
      </c>
      <c r="W846" s="1" t="s">
        <v>49</v>
      </c>
      <c r="X846" s="13" t="str">
        <f>IF(RIGHT(H846,2)&lt;&gt;"00",H846,"")</f>
        <v/>
      </c>
      <c r="Y846" s="2">
        <f ca="1">NETWORKDAYS(P846,$Y$1)</f>
        <v>65</v>
      </c>
      <c r="Z846" s="14">
        <v>1</v>
      </c>
      <c r="AA846" s="1" t="str">
        <f t="shared" ca="1" si="65"/>
        <v>VENCIDO</v>
      </c>
      <c r="AB846" s="1" t="str">
        <f t="shared" si="66"/>
        <v>C-14</v>
      </c>
      <c r="AC846" s="2" t="str">
        <f t="shared" si="67"/>
        <v xml:space="preserve"> CLEITON </v>
      </c>
      <c r="AD846" s="2">
        <f t="shared" si="68"/>
        <v>5</v>
      </c>
      <c r="AE846" s="2">
        <f t="shared" ca="1" si="69"/>
        <v>-89.373667476851551</v>
      </c>
    </row>
    <row r="847" spans="1:31" hidden="1">
      <c r="A847" s="1">
        <v>9123392</v>
      </c>
      <c r="B847" s="1" t="s">
        <v>101</v>
      </c>
      <c r="C847" t="s">
        <v>643</v>
      </c>
      <c r="D847" s="2">
        <v>220193089</v>
      </c>
      <c r="E847" s="2">
        <v>899001400010</v>
      </c>
      <c r="F847" s="1" t="s">
        <v>936</v>
      </c>
      <c r="G847" s="1" t="s">
        <v>53</v>
      </c>
      <c r="H847" s="1" t="s">
        <v>175</v>
      </c>
      <c r="I847" s="1" t="s">
        <v>176</v>
      </c>
      <c r="J847" s="1" t="s">
        <v>90</v>
      </c>
      <c r="K847" t="s">
        <v>937</v>
      </c>
      <c r="M847" s="1" t="s">
        <v>58</v>
      </c>
      <c r="N847" s="1">
        <v>0</v>
      </c>
      <c r="O847" s="1" t="s">
        <v>36</v>
      </c>
      <c r="P847" s="186">
        <v>44896.301493055558</v>
      </c>
      <c r="R847" s="1">
        <v>3</v>
      </c>
      <c r="T847" s="1" t="s">
        <v>646</v>
      </c>
      <c r="U847" s="186">
        <v>44897.301493055558</v>
      </c>
      <c r="V847" s="1" t="s">
        <v>41</v>
      </c>
      <c r="W847" s="1" t="s">
        <v>49</v>
      </c>
      <c r="X847" s="13" t="str">
        <f>IF(RIGHT(H847,2)&lt;&gt;"00",H847,"")</f>
        <v/>
      </c>
      <c r="Y847" s="2">
        <f ca="1">NETWORKDAYS(P847,$Y$1)</f>
        <v>65</v>
      </c>
      <c r="Z847" s="14">
        <v>1</v>
      </c>
      <c r="AA847" s="1" t="str">
        <f t="shared" ca="1" si="65"/>
        <v>VENCIDO</v>
      </c>
      <c r="AB847" s="1" t="str">
        <f t="shared" si="66"/>
        <v>C-14</v>
      </c>
      <c r="AC847" s="2" t="str">
        <f t="shared" si="67"/>
        <v xml:space="preserve"> RINALDO </v>
      </c>
      <c r="AD847" s="2">
        <f t="shared" si="68"/>
        <v>5</v>
      </c>
      <c r="AE847" s="2">
        <f t="shared" ca="1" si="69"/>
        <v>-89.374778587960463</v>
      </c>
    </row>
    <row r="848" spans="1:31" hidden="1">
      <c r="A848" s="1">
        <v>9123373</v>
      </c>
      <c r="B848" s="1" t="s">
        <v>101</v>
      </c>
      <c r="C848" t="s">
        <v>643</v>
      </c>
      <c r="D848" s="2">
        <v>220193054</v>
      </c>
      <c r="E848" s="2">
        <v>834001400010</v>
      </c>
      <c r="F848" s="1" t="s">
        <v>936</v>
      </c>
      <c r="G848" s="1" t="s">
        <v>53</v>
      </c>
      <c r="H848" s="1" t="s">
        <v>367</v>
      </c>
      <c r="I848" s="1" t="s">
        <v>368</v>
      </c>
      <c r="J848" s="1" t="s">
        <v>261</v>
      </c>
      <c r="K848" t="s">
        <v>937</v>
      </c>
      <c r="M848" s="1" t="s">
        <v>58</v>
      </c>
      <c r="N848" s="1">
        <v>0</v>
      </c>
      <c r="O848" s="1" t="s">
        <v>105</v>
      </c>
      <c r="P848" s="186">
        <v>44896.300370370373</v>
      </c>
      <c r="R848" s="1">
        <v>3</v>
      </c>
      <c r="T848" s="1" t="s">
        <v>646</v>
      </c>
      <c r="U848" s="186">
        <v>44897.300381944442</v>
      </c>
      <c r="V848" s="1" t="s">
        <v>41</v>
      </c>
      <c r="W848" s="1" t="s">
        <v>49</v>
      </c>
      <c r="X848" s="13" t="str">
        <f>IF(RIGHT(H848,2)&lt;&gt;"00",H848,"")</f>
        <v/>
      </c>
      <c r="Y848" s="2">
        <f ca="1">NETWORKDAYS(P848,$Y$1)</f>
        <v>65</v>
      </c>
      <c r="Z848" s="14">
        <v>1</v>
      </c>
      <c r="AA848" s="1" t="str">
        <f t="shared" ca="1" si="65"/>
        <v>VENCIDO</v>
      </c>
      <c r="AB848" s="1" t="str">
        <f t="shared" si="66"/>
        <v>C-14</v>
      </c>
      <c r="AC848" s="2" t="str">
        <f t="shared" si="67"/>
        <v xml:space="preserve"> CRISTINA </v>
      </c>
      <c r="AD848" s="2">
        <f t="shared" si="68"/>
        <v>5</v>
      </c>
      <c r="AE848" s="2">
        <f t="shared" ca="1" si="69"/>
        <v>-89.375889699076652</v>
      </c>
    </row>
    <row r="849" spans="1:31" hidden="1">
      <c r="A849" s="1">
        <v>9123368</v>
      </c>
      <c r="B849" s="1" t="s">
        <v>101</v>
      </c>
      <c r="C849" t="s">
        <v>643</v>
      </c>
      <c r="D849" s="2">
        <v>220193049</v>
      </c>
      <c r="E849" s="2">
        <v>821001400010</v>
      </c>
      <c r="F849" s="1" t="s">
        <v>936</v>
      </c>
      <c r="G849" s="1" t="s">
        <v>53</v>
      </c>
      <c r="H849" s="1" t="s">
        <v>1351</v>
      </c>
      <c r="I849" s="1" t="s">
        <v>1352</v>
      </c>
      <c r="J849" s="1" t="s">
        <v>46</v>
      </c>
      <c r="K849" t="s">
        <v>937</v>
      </c>
      <c r="M849" s="1" t="s">
        <v>58</v>
      </c>
      <c r="N849" s="1">
        <v>0</v>
      </c>
      <c r="O849" s="1" t="s">
        <v>105</v>
      </c>
      <c r="P849" s="186">
        <v>44896.300046296295</v>
      </c>
      <c r="R849" s="1">
        <v>3</v>
      </c>
      <c r="T849" s="1" t="s">
        <v>646</v>
      </c>
      <c r="U849" s="186">
        <v>44897.300057870372</v>
      </c>
      <c r="V849" s="1" t="s">
        <v>41</v>
      </c>
      <c r="W849" s="1" t="s">
        <v>49</v>
      </c>
      <c r="X849" s="13" t="str">
        <f>IF(RIGHT(H849,2)&lt;&gt;"00",H849,"")</f>
        <v/>
      </c>
      <c r="Y849" s="2">
        <f ca="1">NETWORKDAYS(P849,$Y$1)</f>
        <v>65</v>
      </c>
      <c r="Z849" s="14">
        <v>1</v>
      </c>
      <c r="AA849" s="1" t="str">
        <f t="shared" ca="1" si="65"/>
        <v>VENCIDO</v>
      </c>
      <c r="AB849" s="1" t="str">
        <f t="shared" si="66"/>
        <v>C-14</v>
      </c>
      <c r="AC849" s="2" t="str">
        <f t="shared" si="67"/>
        <v xml:space="preserve"> CLEITON </v>
      </c>
      <c r="AD849" s="2">
        <f t="shared" si="68"/>
        <v>5</v>
      </c>
      <c r="AE849" s="2">
        <f t="shared" ca="1" si="69"/>
        <v>-89.376213773146446</v>
      </c>
    </row>
    <row r="850" spans="1:31" hidden="1">
      <c r="A850" s="1">
        <v>9123299</v>
      </c>
      <c r="B850" s="1" t="s">
        <v>101</v>
      </c>
      <c r="C850" t="s">
        <v>643</v>
      </c>
      <c r="D850" s="2">
        <v>220192827</v>
      </c>
      <c r="E850" s="2">
        <v>446001400010</v>
      </c>
      <c r="F850" s="1" t="s">
        <v>936</v>
      </c>
      <c r="G850" s="1" t="s">
        <v>53</v>
      </c>
      <c r="H850" s="1" t="s">
        <v>432</v>
      </c>
      <c r="I850" s="1" t="s">
        <v>433</v>
      </c>
      <c r="J850" s="1" t="s">
        <v>110</v>
      </c>
      <c r="K850" t="s">
        <v>937</v>
      </c>
      <c r="M850" s="1" t="s">
        <v>58</v>
      </c>
      <c r="N850" s="1">
        <v>0</v>
      </c>
      <c r="O850" s="1" t="s">
        <v>36</v>
      </c>
      <c r="P850" s="186">
        <v>44896.296458333331</v>
      </c>
      <c r="R850" s="1">
        <v>3</v>
      </c>
      <c r="T850" s="1" t="s">
        <v>646</v>
      </c>
      <c r="U850" s="186">
        <v>44897.296458333331</v>
      </c>
      <c r="V850" s="1" t="s">
        <v>41</v>
      </c>
      <c r="W850" s="1" t="s">
        <v>49</v>
      </c>
      <c r="X850" s="13" t="str">
        <f>IF(RIGHT(H850,2)&lt;&gt;"00",H850,"")</f>
        <v/>
      </c>
      <c r="Y850" s="2">
        <f ca="1">NETWORKDAYS(P850,$Y$1)</f>
        <v>65</v>
      </c>
      <c r="Z850" s="14">
        <v>1</v>
      </c>
      <c r="AA850" s="1" t="str">
        <f t="shared" ca="1" si="65"/>
        <v>VENCIDO</v>
      </c>
      <c r="AB850" s="1" t="str">
        <f t="shared" si="66"/>
        <v>C-14</v>
      </c>
      <c r="AC850" s="2" t="str">
        <f t="shared" si="67"/>
        <v xml:space="preserve"> CRISTINA </v>
      </c>
      <c r="AD850" s="2">
        <f t="shared" si="68"/>
        <v>5</v>
      </c>
      <c r="AE850" s="2">
        <f t="shared" ca="1" si="69"/>
        <v>-89.379813310188183</v>
      </c>
    </row>
    <row r="851" spans="1:31" hidden="1">
      <c r="A851" s="1">
        <v>9123248</v>
      </c>
      <c r="B851" s="1" t="s">
        <v>101</v>
      </c>
      <c r="C851" t="s">
        <v>643</v>
      </c>
      <c r="D851" s="2">
        <v>220192887</v>
      </c>
      <c r="E851" s="2">
        <v>550001400010</v>
      </c>
      <c r="F851" s="1" t="s">
        <v>936</v>
      </c>
      <c r="G851" s="1" t="s">
        <v>53</v>
      </c>
      <c r="H851" s="1" t="s">
        <v>337</v>
      </c>
      <c r="I851" s="1" t="s">
        <v>338</v>
      </c>
      <c r="J851" s="1" t="s">
        <v>164</v>
      </c>
      <c r="K851" t="s">
        <v>937</v>
      </c>
      <c r="M851" s="1" t="s">
        <v>58</v>
      </c>
      <c r="N851" s="1">
        <v>0</v>
      </c>
      <c r="O851" s="1" t="s">
        <v>105</v>
      </c>
      <c r="P851" s="186">
        <v>44896.294189814813</v>
      </c>
      <c r="R851" s="1">
        <v>3</v>
      </c>
      <c r="T851" s="1" t="s">
        <v>646</v>
      </c>
      <c r="U851" s="186">
        <v>44897.294189814813</v>
      </c>
      <c r="V851" s="1" t="s">
        <v>41</v>
      </c>
      <c r="W851" s="1" t="s">
        <v>49</v>
      </c>
      <c r="X851" s="13" t="str">
        <f>IF(RIGHT(H851,2)&lt;&gt;"00",H851,"")</f>
        <v/>
      </c>
      <c r="Y851" s="2">
        <f ca="1">NETWORKDAYS(P851,$Y$1)</f>
        <v>65</v>
      </c>
      <c r="Z851" s="14">
        <v>1</v>
      </c>
      <c r="AA851" s="1" t="str">
        <f t="shared" ca="1" si="65"/>
        <v>VENCIDO</v>
      </c>
      <c r="AB851" s="1" t="str">
        <f t="shared" si="66"/>
        <v>C-14</v>
      </c>
      <c r="AC851" s="2" t="str">
        <f t="shared" si="67"/>
        <v xml:space="preserve"> ROSEMERE </v>
      </c>
      <c r="AD851" s="2">
        <f t="shared" si="68"/>
        <v>5</v>
      </c>
      <c r="AE851" s="2">
        <f t="shared" ca="1" si="69"/>
        <v>-89.38208182870585</v>
      </c>
    </row>
    <row r="852" spans="1:31" hidden="1">
      <c r="A852" s="1">
        <v>9123242</v>
      </c>
      <c r="B852" s="1" t="s">
        <v>101</v>
      </c>
      <c r="C852" t="s">
        <v>643</v>
      </c>
      <c r="D852" s="2">
        <v>220192881</v>
      </c>
      <c r="E852" s="2">
        <v>537001400010</v>
      </c>
      <c r="F852" s="1" t="s">
        <v>936</v>
      </c>
      <c r="G852" s="1" t="s">
        <v>53</v>
      </c>
      <c r="H852" s="1" t="s">
        <v>442</v>
      </c>
      <c r="I852" s="1" t="s">
        <v>443</v>
      </c>
      <c r="J852" s="1" t="s">
        <v>79</v>
      </c>
      <c r="K852" t="s">
        <v>937</v>
      </c>
      <c r="M852" s="1" t="s">
        <v>58</v>
      </c>
      <c r="N852" s="1">
        <v>0</v>
      </c>
      <c r="O852" s="1" t="s">
        <v>105</v>
      </c>
      <c r="P852" s="186">
        <v>44896.293796296297</v>
      </c>
      <c r="R852" s="1">
        <v>3</v>
      </c>
      <c r="T852" s="1" t="s">
        <v>646</v>
      </c>
      <c r="U852" s="186">
        <v>44897.293796296297</v>
      </c>
      <c r="V852" s="1" t="s">
        <v>41</v>
      </c>
      <c r="W852" s="1" t="s">
        <v>49</v>
      </c>
      <c r="X852" s="13" t="str">
        <f>IF(RIGHT(H852,2)&lt;&gt;"00",H852,"")</f>
        <v/>
      </c>
      <c r="Y852" s="2">
        <f ca="1">NETWORKDAYS(P852,$Y$1)</f>
        <v>65</v>
      </c>
      <c r="Z852" s="14">
        <v>1</v>
      </c>
      <c r="AA852" s="1" t="str">
        <f t="shared" ca="1" si="65"/>
        <v>VENCIDO</v>
      </c>
      <c r="AB852" s="1" t="str">
        <f t="shared" si="66"/>
        <v>C-14</v>
      </c>
      <c r="AC852" s="2" t="str">
        <f t="shared" si="67"/>
        <v xml:space="preserve"> ROSEMERE </v>
      </c>
      <c r="AD852" s="2">
        <f t="shared" si="68"/>
        <v>5</v>
      </c>
      <c r="AE852" s="2">
        <f t="shared" ca="1" si="69"/>
        <v>-89.382475347221771</v>
      </c>
    </row>
    <row r="853" spans="1:31" hidden="1">
      <c r="A853" s="1">
        <v>9123204</v>
      </c>
      <c r="B853" s="1" t="s">
        <v>101</v>
      </c>
      <c r="C853" t="s">
        <v>643</v>
      </c>
      <c r="D853" s="2">
        <v>220192907</v>
      </c>
      <c r="E853" s="2">
        <v>582001400010</v>
      </c>
      <c r="F853" s="1" t="s">
        <v>936</v>
      </c>
      <c r="G853" s="1" t="s">
        <v>53</v>
      </c>
      <c r="H853" s="1" t="s">
        <v>139</v>
      </c>
      <c r="I853" s="1" t="s">
        <v>140</v>
      </c>
      <c r="J853" s="1" t="s">
        <v>141</v>
      </c>
      <c r="K853" t="s">
        <v>937</v>
      </c>
      <c r="M853" s="1" t="s">
        <v>58</v>
      </c>
      <c r="N853" s="1">
        <v>0</v>
      </c>
      <c r="O853" s="1" t="s">
        <v>105</v>
      </c>
      <c r="P853" s="186">
        <v>44896.292037037034</v>
      </c>
      <c r="R853" s="1">
        <v>3</v>
      </c>
      <c r="T853" s="1" t="s">
        <v>646</v>
      </c>
      <c r="U853" s="186">
        <v>44897.292037037034</v>
      </c>
      <c r="V853" s="1" t="s">
        <v>41</v>
      </c>
      <c r="W853" s="1" t="s">
        <v>49</v>
      </c>
      <c r="X853" s="13" t="str">
        <f>IF(RIGHT(H853,2)&lt;&gt;"00",H853,"")</f>
        <v/>
      </c>
      <c r="Y853" s="2">
        <f ca="1">NETWORKDAYS(P853,$Y$1)</f>
        <v>65</v>
      </c>
      <c r="Z853" s="14">
        <v>1</v>
      </c>
      <c r="AA853" s="1" t="str">
        <f t="shared" ca="1" si="65"/>
        <v>VENCIDO</v>
      </c>
      <c r="AB853" s="1" t="str">
        <f t="shared" si="66"/>
        <v>C-14</v>
      </c>
      <c r="AC853" s="2" t="str">
        <f t="shared" si="67"/>
        <v xml:space="preserve"> CRISTINA </v>
      </c>
      <c r="AD853" s="2">
        <f t="shared" si="68"/>
        <v>5</v>
      </c>
      <c r="AE853" s="2">
        <f t="shared" ca="1" si="69"/>
        <v>-89.384234606484824</v>
      </c>
    </row>
    <row r="854" spans="1:31" hidden="1">
      <c r="A854" s="1">
        <v>9123102</v>
      </c>
      <c r="B854" s="1" t="s">
        <v>101</v>
      </c>
      <c r="C854" t="s">
        <v>643</v>
      </c>
      <c r="D854" s="2">
        <v>220192673</v>
      </c>
      <c r="E854" s="2">
        <v>233001400010</v>
      </c>
      <c r="F854" s="1" t="s">
        <v>936</v>
      </c>
      <c r="G854" s="1" t="s">
        <v>53</v>
      </c>
      <c r="H854" s="1" t="s">
        <v>424</v>
      </c>
      <c r="I854" s="1" t="s">
        <v>425</v>
      </c>
      <c r="J854" s="1" t="s">
        <v>261</v>
      </c>
      <c r="K854" t="s">
        <v>937</v>
      </c>
      <c r="M854" s="1" t="s">
        <v>58</v>
      </c>
      <c r="N854" s="1">
        <v>0</v>
      </c>
      <c r="O854" s="1" t="s">
        <v>105</v>
      </c>
      <c r="P854" s="186">
        <v>44896.286504629628</v>
      </c>
      <c r="R854" s="1">
        <v>3</v>
      </c>
      <c r="T854" s="1" t="s">
        <v>646</v>
      </c>
      <c r="U854" s="186">
        <v>44897.286516203705</v>
      </c>
      <c r="V854" s="1" t="s">
        <v>41</v>
      </c>
      <c r="W854" s="1" t="s">
        <v>49</v>
      </c>
      <c r="X854" s="13" t="str">
        <f>IF(RIGHT(H854,2)&lt;&gt;"00",H854,"")</f>
        <v/>
      </c>
      <c r="Y854" s="2">
        <f ca="1">NETWORKDAYS(P854,$Y$1)</f>
        <v>65</v>
      </c>
      <c r="Z854" s="14">
        <v>1</v>
      </c>
      <c r="AA854" s="1" t="str">
        <f t="shared" ca="1" si="65"/>
        <v>VENCIDO</v>
      </c>
      <c r="AB854" s="1" t="str">
        <f t="shared" si="66"/>
        <v>C-14</v>
      </c>
      <c r="AC854" s="2" t="str">
        <f t="shared" si="67"/>
        <v xml:space="preserve"> CRISTINA </v>
      </c>
      <c r="AD854" s="2">
        <f t="shared" si="68"/>
        <v>5</v>
      </c>
      <c r="AE854" s="2">
        <f t="shared" ca="1" si="69"/>
        <v>-89.389755439813598</v>
      </c>
    </row>
    <row r="855" spans="1:31" hidden="1">
      <c r="A855" s="1">
        <v>9123093</v>
      </c>
      <c r="B855" s="1" t="s">
        <v>101</v>
      </c>
      <c r="C855" t="s">
        <v>643</v>
      </c>
      <c r="D855" s="2">
        <v>220192664</v>
      </c>
      <c r="E855" s="2">
        <v>220001400010</v>
      </c>
      <c r="F855" s="1" t="s">
        <v>936</v>
      </c>
      <c r="G855" s="1" t="s">
        <v>53</v>
      </c>
      <c r="H855" s="1" t="s">
        <v>588</v>
      </c>
      <c r="I855" s="1" t="s">
        <v>589</v>
      </c>
      <c r="J855" s="1" t="s">
        <v>110</v>
      </c>
      <c r="K855" t="s">
        <v>937</v>
      </c>
      <c r="M855" s="1" t="s">
        <v>58</v>
      </c>
      <c r="N855" s="1">
        <v>0</v>
      </c>
      <c r="O855" s="1" t="s">
        <v>105</v>
      </c>
      <c r="P855" s="186">
        <v>44896.286006944443</v>
      </c>
      <c r="R855" s="1">
        <v>3</v>
      </c>
      <c r="T855" s="1" t="s">
        <v>646</v>
      </c>
      <c r="U855" s="186">
        <v>44897.286006944443</v>
      </c>
      <c r="V855" s="1" t="s">
        <v>41</v>
      </c>
      <c r="W855" s="1" t="s">
        <v>49</v>
      </c>
      <c r="X855" s="13" t="str">
        <f>IF(RIGHT(H855,2)&lt;&gt;"00",H855,"")</f>
        <v/>
      </c>
      <c r="Y855" s="2">
        <f ca="1">NETWORKDAYS(P855,$Y$1)</f>
        <v>65</v>
      </c>
      <c r="Z855" s="14">
        <v>1</v>
      </c>
      <c r="AA855" s="1" t="str">
        <f t="shared" ca="1" si="65"/>
        <v>VENCIDO</v>
      </c>
      <c r="AB855" s="1" t="str">
        <f t="shared" si="66"/>
        <v>C-14</v>
      </c>
      <c r="AC855" s="2" t="str">
        <f t="shared" si="67"/>
        <v xml:space="preserve"> CRISTINA </v>
      </c>
      <c r="AD855" s="2">
        <f t="shared" si="68"/>
        <v>5</v>
      </c>
      <c r="AE855" s="2">
        <f t="shared" ca="1" si="69"/>
        <v>-89.390264699075487</v>
      </c>
    </row>
    <row r="856" spans="1:31" hidden="1">
      <c r="A856" s="1">
        <v>9135166</v>
      </c>
      <c r="B856" s="1" t="s">
        <v>62</v>
      </c>
      <c r="C856" t="s">
        <v>1686</v>
      </c>
      <c r="E856" s="2">
        <v>9703000206053</v>
      </c>
      <c r="F856" s="1" t="s">
        <v>113</v>
      </c>
      <c r="G856" s="1" t="s">
        <v>53</v>
      </c>
      <c r="H856" s="1" t="s">
        <v>494</v>
      </c>
      <c r="I856" s="1" t="s">
        <v>495</v>
      </c>
      <c r="J856" s="1" t="s">
        <v>79</v>
      </c>
      <c r="K856" t="s">
        <v>116</v>
      </c>
      <c r="M856" s="1" t="s">
        <v>35</v>
      </c>
      <c r="N856" s="1">
        <v>42318949</v>
      </c>
      <c r="O856" s="1" t="s">
        <v>105</v>
      </c>
      <c r="P856" s="186">
        <v>44897.528333333335</v>
      </c>
      <c r="R856" s="1" t="s">
        <v>38</v>
      </c>
      <c r="T856" s="1" t="s">
        <v>74</v>
      </c>
      <c r="U856" s="186">
        <v>44938.75</v>
      </c>
      <c r="V856" s="1" t="s">
        <v>41</v>
      </c>
      <c r="W856" s="1" t="s">
        <v>49</v>
      </c>
      <c r="X856" s="13" t="str">
        <f>IF(RIGHT(H856,2)&lt;&gt;"00",H856,"")</f>
        <v/>
      </c>
      <c r="Y856" s="2">
        <f ca="1">NETWORKDAYS(P856,$Y$1)</f>
        <v>64</v>
      </c>
      <c r="Z856" s="14">
        <v>1</v>
      </c>
      <c r="AA856" s="1" t="str">
        <f t="shared" ca="1" si="65"/>
        <v>VENCIDO</v>
      </c>
      <c r="AB856" s="1" t="str">
        <f t="shared" si="66"/>
        <v>TAAe+</v>
      </c>
      <c r="AC856" s="2" t="str">
        <f t="shared" si="67"/>
        <v xml:space="preserve"> ROSEMERE </v>
      </c>
      <c r="AD856" s="2">
        <f t="shared" si="68"/>
        <v>8</v>
      </c>
      <c r="AE856" s="2">
        <f t="shared" ca="1" si="69"/>
        <v>-47.926271643518703</v>
      </c>
    </row>
    <row r="857" spans="1:31" hidden="1">
      <c r="A857" s="1">
        <v>9134233</v>
      </c>
      <c r="B857" s="1" t="s">
        <v>62</v>
      </c>
      <c r="C857" t="s">
        <v>1689</v>
      </c>
      <c r="E857" s="2">
        <v>1108000203010</v>
      </c>
      <c r="F857" s="1" t="s">
        <v>152</v>
      </c>
      <c r="G857" s="1" t="s">
        <v>53</v>
      </c>
      <c r="H857" s="1" t="s">
        <v>295</v>
      </c>
      <c r="I857" s="1" t="s">
        <v>296</v>
      </c>
      <c r="J857" s="1" t="s">
        <v>90</v>
      </c>
      <c r="K857" t="s">
        <v>155</v>
      </c>
      <c r="M857" s="1" t="s">
        <v>35</v>
      </c>
      <c r="N857" s="1">
        <v>42318949</v>
      </c>
      <c r="O857" s="1" t="s">
        <v>105</v>
      </c>
      <c r="P857" s="186">
        <v>44897.387280092589</v>
      </c>
      <c r="R857" s="1">
        <v>1</v>
      </c>
      <c r="T857" s="1" t="s">
        <v>157</v>
      </c>
      <c r="U857" s="186">
        <v>44931.75</v>
      </c>
      <c r="V857" s="1" t="s">
        <v>41</v>
      </c>
      <c r="W857" s="1" t="s">
        <v>49</v>
      </c>
      <c r="X857" s="13" t="str">
        <f>IF(RIGHT(H857,2)&lt;&gt;"00",H857,"")</f>
        <v/>
      </c>
      <c r="Y857" s="2">
        <f ca="1">NETWORKDAYS(P857,$Y$1)</f>
        <v>64</v>
      </c>
      <c r="Z857" s="14">
        <v>1</v>
      </c>
      <c r="AA857" s="1" t="str">
        <f t="shared" ca="1" si="65"/>
        <v>VENCIDO</v>
      </c>
      <c r="AB857" s="1" t="str">
        <f t="shared" si="66"/>
        <v>TAAe+</v>
      </c>
      <c r="AC857" s="2" t="str">
        <f t="shared" si="67"/>
        <v xml:space="preserve"> RINALDO </v>
      </c>
      <c r="AD857" s="2">
        <f t="shared" si="68"/>
        <v>8</v>
      </c>
      <c r="AE857" s="2">
        <f t="shared" ca="1" si="69"/>
        <v>-54.926271643518703</v>
      </c>
    </row>
    <row r="858" spans="1:31" hidden="1">
      <c r="A858" s="1">
        <v>9152756</v>
      </c>
      <c r="B858" s="1" t="s">
        <v>62</v>
      </c>
      <c r="C858" t="s">
        <v>1692</v>
      </c>
      <c r="E858" s="2">
        <v>2138000206001</v>
      </c>
      <c r="F858" s="1" t="s">
        <v>29</v>
      </c>
      <c r="G858" s="1" t="s">
        <v>53</v>
      </c>
      <c r="H858" s="1" t="s">
        <v>379</v>
      </c>
      <c r="I858" s="1" t="s">
        <v>380</v>
      </c>
      <c r="J858" s="1" t="s">
        <v>46</v>
      </c>
      <c r="K858" t="s">
        <v>34</v>
      </c>
      <c r="M858" s="1" t="s">
        <v>35</v>
      </c>
      <c r="N858" s="1">
        <v>42318949</v>
      </c>
      <c r="O858" s="1" t="s">
        <v>36</v>
      </c>
      <c r="P858" s="186">
        <v>44901.595775462964</v>
      </c>
      <c r="R858" s="1" t="s">
        <v>38</v>
      </c>
      <c r="T858" s="1" t="s">
        <v>74</v>
      </c>
      <c r="U858" s="186">
        <v>44942.75</v>
      </c>
      <c r="V858" s="1" t="s">
        <v>41</v>
      </c>
      <c r="W858" s="1" t="s">
        <v>49</v>
      </c>
      <c r="X858" s="13" t="str">
        <f>IF(RIGHT(H858,2)&lt;&gt;"00",H858,"")</f>
        <v/>
      </c>
      <c r="Y858" s="2">
        <f ca="1">NETWORKDAYS(P858,$Y$1)</f>
        <v>62</v>
      </c>
      <c r="Z858" s="14">
        <v>1</v>
      </c>
      <c r="AA858" s="1" t="str">
        <f t="shared" ca="1" si="65"/>
        <v>VENCIDO</v>
      </c>
      <c r="AB858" s="1" t="str">
        <f t="shared" si="66"/>
        <v>Dosa</v>
      </c>
      <c r="AC858" s="2" t="str">
        <f t="shared" si="67"/>
        <v xml:space="preserve"> CLEITON </v>
      </c>
      <c r="AD858" s="2">
        <f t="shared" si="68"/>
        <v>5</v>
      </c>
      <c r="AE858" s="2">
        <f t="shared" ca="1" si="69"/>
        <v>-43.926271643518703</v>
      </c>
    </row>
    <row r="859" spans="1:31" hidden="1">
      <c r="A859" s="1">
        <v>9151711</v>
      </c>
      <c r="B859" s="1" t="s">
        <v>62</v>
      </c>
      <c r="C859" t="s">
        <v>3590</v>
      </c>
      <c r="E859" s="2">
        <v>1902016208100</v>
      </c>
      <c r="F859" s="1" t="s">
        <v>64</v>
      </c>
      <c r="G859" s="1" t="s">
        <v>53</v>
      </c>
      <c r="H859" s="1" t="s">
        <v>590</v>
      </c>
      <c r="I859" s="1" t="s">
        <v>591</v>
      </c>
      <c r="J859" s="1" t="s">
        <v>261</v>
      </c>
      <c r="K859" t="s">
        <v>67</v>
      </c>
      <c r="M859" s="1" t="s">
        <v>35</v>
      </c>
      <c r="N859" s="1">
        <v>42318949</v>
      </c>
      <c r="O859" s="1" t="s">
        <v>36</v>
      </c>
      <c r="P859" s="186">
        <v>44901.465289351851</v>
      </c>
      <c r="R859" s="1" t="s">
        <v>571</v>
      </c>
      <c r="T859" s="1" t="s">
        <v>69</v>
      </c>
      <c r="U859" s="186">
        <v>44910.465289351851</v>
      </c>
      <c r="V859" s="1" t="s">
        <v>41</v>
      </c>
      <c r="W859" s="1" t="s">
        <v>49</v>
      </c>
      <c r="X859" s="13" t="str">
        <f>IF(RIGHT(H859,2)&lt;&gt;"00",H859,"")</f>
        <v/>
      </c>
      <c r="Y859" s="2">
        <f ca="1">NETWORKDAYS(P859,$Y$1)</f>
        <v>62</v>
      </c>
      <c r="Z859" s="14">
        <v>1</v>
      </c>
      <c r="AA859" s="1" t="str">
        <f t="shared" ca="1" si="65"/>
        <v>VENCIDO</v>
      </c>
      <c r="AB859" s="1" t="str">
        <f t="shared" si="66"/>
        <v>TAAe+</v>
      </c>
      <c r="AC859" s="2" t="str">
        <f t="shared" si="67"/>
        <v xml:space="preserve"> CRISTINA </v>
      </c>
      <c r="AD859" s="2">
        <f t="shared" si="68"/>
        <v>8</v>
      </c>
      <c r="AE859" s="2">
        <f t="shared" ca="1" si="69"/>
        <v>-76.210982291668188</v>
      </c>
    </row>
    <row r="860" spans="1:31" hidden="1">
      <c r="A860" s="1">
        <v>9158610</v>
      </c>
      <c r="B860" s="1" t="s">
        <v>62</v>
      </c>
      <c r="C860" t="s">
        <v>1698</v>
      </c>
      <c r="E860" s="2">
        <v>4119000203000</v>
      </c>
      <c r="F860" s="1" t="s">
        <v>454</v>
      </c>
      <c r="G860" s="1" t="s">
        <v>53</v>
      </c>
      <c r="H860" s="1" t="s">
        <v>297</v>
      </c>
      <c r="I860" s="1" t="s">
        <v>298</v>
      </c>
      <c r="J860" s="1" t="s">
        <v>211</v>
      </c>
      <c r="K860" t="s">
        <v>457</v>
      </c>
      <c r="M860" s="1" t="s">
        <v>58</v>
      </c>
      <c r="N860" s="1">
        <v>0</v>
      </c>
      <c r="O860" s="1" t="s">
        <v>36</v>
      </c>
      <c r="P860" s="186">
        <v>44902.665810185186</v>
      </c>
      <c r="R860" s="1">
        <v>1</v>
      </c>
      <c r="T860" s="1" t="s">
        <v>157</v>
      </c>
      <c r="U860" s="186">
        <v>44936.75</v>
      </c>
      <c r="V860" s="1" t="s">
        <v>41</v>
      </c>
      <c r="W860" s="1" t="s">
        <v>49</v>
      </c>
      <c r="X860" s="13" t="str">
        <f>IF(RIGHT(H860,2)&lt;&gt;"00",H860,"")</f>
        <v/>
      </c>
      <c r="Y860" s="2">
        <f ca="1">NETWORKDAYS(P860,$Y$1)</f>
        <v>61</v>
      </c>
      <c r="Z860" s="14">
        <v>1</v>
      </c>
      <c r="AA860" s="1" t="str">
        <f t="shared" ca="1" si="65"/>
        <v>VENCIDO</v>
      </c>
      <c r="AB860" s="1" t="str">
        <f t="shared" si="66"/>
        <v>C-14</v>
      </c>
      <c r="AC860" s="2" t="str">
        <f t="shared" si="67"/>
        <v xml:space="preserve"> RINALDO </v>
      </c>
      <c r="AD860" s="2">
        <f t="shared" si="68"/>
        <v>5</v>
      </c>
      <c r="AE860" s="2">
        <f t="shared" ca="1" si="69"/>
        <v>-49.926271643518703</v>
      </c>
    </row>
    <row r="861" spans="1:31" hidden="1">
      <c r="A861" s="1">
        <v>9158041</v>
      </c>
      <c r="B861" s="1" t="s">
        <v>62</v>
      </c>
      <c r="C861" t="s">
        <v>3591</v>
      </c>
      <c r="E861" s="2">
        <v>963000203010</v>
      </c>
      <c r="F861" s="1" t="s">
        <v>152</v>
      </c>
      <c r="G861" s="1" t="s">
        <v>53</v>
      </c>
      <c r="H861" s="1" t="s">
        <v>531</v>
      </c>
      <c r="I861" s="1" t="s">
        <v>532</v>
      </c>
      <c r="J861" s="1" t="s">
        <v>33</v>
      </c>
      <c r="K861" t="s">
        <v>155</v>
      </c>
      <c r="M861" s="1" t="s">
        <v>35</v>
      </c>
      <c r="N861" s="1">
        <v>42318949</v>
      </c>
      <c r="O861" s="1" t="s">
        <v>36</v>
      </c>
      <c r="P861" s="186">
        <v>44902.592615740738</v>
      </c>
      <c r="R861" s="1">
        <v>1</v>
      </c>
      <c r="T861" s="1" t="s">
        <v>157</v>
      </c>
      <c r="U861" s="186">
        <v>44936.75</v>
      </c>
      <c r="V861" s="1" t="s">
        <v>41</v>
      </c>
      <c r="W861" s="1" t="s">
        <v>49</v>
      </c>
      <c r="X861" s="13" t="str">
        <f>IF(RIGHT(H861,2)&lt;&gt;"00",H861,"")</f>
        <v/>
      </c>
      <c r="Y861" s="2">
        <f ca="1">NETWORKDAYS(P861,$Y$1)</f>
        <v>61</v>
      </c>
      <c r="Z861" s="14">
        <v>1</v>
      </c>
      <c r="AA861" s="1" t="str">
        <f t="shared" ca="1" si="65"/>
        <v>VENCIDO</v>
      </c>
      <c r="AB861" s="1" t="str">
        <f t="shared" si="66"/>
        <v>TAAe+</v>
      </c>
      <c r="AC861" s="2" t="str">
        <f t="shared" si="67"/>
        <v xml:space="preserve"> ROSEMERE </v>
      </c>
      <c r="AD861" s="2">
        <f t="shared" si="68"/>
        <v>8</v>
      </c>
      <c r="AE861" s="2">
        <f t="shared" ca="1" si="69"/>
        <v>-49.926271643518703</v>
      </c>
    </row>
    <row r="862" spans="1:31" hidden="1">
      <c r="A862" s="1">
        <v>9158023</v>
      </c>
      <c r="B862" s="1" t="s">
        <v>62</v>
      </c>
      <c r="C862" t="s">
        <v>3591</v>
      </c>
      <c r="E862" s="2">
        <v>3918000203010</v>
      </c>
      <c r="F862" s="1" t="s">
        <v>152</v>
      </c>
      <c r="G862" s="1" t="s">
        <v>53</v>
      </c>
      <c r="H862" s="1" t="s">
        <v>858</v>
      </c>
      <c r="I862" s="1" t="s">
        <v>859</v>
      </c>
      <c r="J862" s="1" t="s">
        <v>33</v>
      </c>
      <c r="K862" t="s">
        <v>155</v>
      </c>
      <c r="M862" s="1" t="s">
        <v>35</v>
      </c>
      <c r="N862" s="1">
        <v>42318949</v>
      </c>
      <c r="O862" s="1" t="s">
        <v>36</v>
      </c>
      <c r="P862" s="186">
        <v>44902.592581018522</v>
      </c>
      <c r="R862" s="1">
        <v>1</v>
      </c>
      <c r="T862" s="1" t="s">
        <v>157</v>
      </c>
      <c r="U862" s="186">
        <v>44936.75</v>
      </c>
      <c r="V862" s="1" t="s">
        <v>41</v>
      </c>
      <c r="W862" s="1" t="s">
        <v>49</v>
      </c>
      <c r="X862" s="13" t="str">
        <f>IF(RIGHT(H862,2)&lt;&gt;"00",H862,"")</f>
        <v/>
      </c>
      <c r="Y862" s="2">
        <f ca="1">NETWORKDAYS(P862,$Y$1)</f>
        <v>61</v>
      </c>
      <c r="Z862" s="14">
        <v>1</v>
      </c>
      <c r="AA862" s="1" t="str">
        <f t="shared" ca="1" si="65"/>
        <v>VENCIDO</v>
      </c>
      <c r="AB862" s="1" t="str">
        <f t="shared" si="66"/>
        <v>TAAe+</v>
      </c>
      <c r="AC862" s="2" t="str">
        <f t="shared" si="67"/>
        <v xml:space="preserve"> ROSEMERE </v>
      </c>
      <c r="AD862" s="2">
        <f t="shared" si="68"/>
        <v>8</v>
      </c>
      <c r="AE862" s="2">
        <f t="shared" ca="1" si="69"/>
        <v>-49.926271643518703</v>
      </c>
    </row>
    <row r="863" spans="1:31" hidden="1">
      <c r="A863" s="1">
        <v>9157070</v>
      </c>
      <c r="B863" s="1" t="s">
        <v>62</v>
      </c>
      <c r="C863" t="s">
        <v>3591</v>
      </c>
      <c r="E863" s="2">
        <v>2830000203010</v>
      </c>
      <c r="F863" s="1" t="s">
        <v>152</v>
      </c>
      <c r="G863" s="1" t="s">
        <v>53</v>
      </c>
      <c r="H863" s="1" t="s">
        <v>448</v>
      </c>
      <c r="I863" s="1" t="s">
        <v>449</v>
      </c>
      <c r="J863" s="1" t="s">
        <v>33</v>
      </c>
      <c r="K863" t="s">
        <v>155</v>
      </c>
      <c r="M863" s="1" t="s">
        <v>35</v>
      </c>
      <c r="N863" s="1">
        <v>42318949</v>
      </c>
      <c r="O863" s="1" t="s">
        <v>36</v>
      </c>
      <c r="P863" s="186">
        <v>44902.480925925927</v>
      </c>
      <c r="R863" s="1">
        <v>1</v>
      </c>
      <c r="T863" s="1" t="s">
        <v>157</v>
      </c>
      <c r="U863" s="186">
        <v>44936.75</v>
      </c>
      <c r="V863" s="1" t="s">
        <v>41</v>
      </c>
      <c r="W863" s="1" t="s">
        <v>42</v>
      </c>
      <c r="X863" s="13" t="str">
        <f>IF(RIGHT(H863,2)&lt;&gt;"00",H863,"")</f>
        <v/>
      </c>
      <c r="Y863" s="2">
        <f ca="1">NETWORKDAYS(P863,$Y$1)</f>
        <v>61</v>
      </c>
      <c r="Z863" s="14">
        <v>1</v>
      </c>
      <c r="AA863" s="1" t="str">
        <f t="shared" ca="1" si="65"/>
        <v>VENCIDO</v>
      </c>
      <c r="AB863" s="1" t="str">
        <f t="shared" si="66"/>
        <v>TAAe+</v>
      </c>
      <c r="AC863" s="2" t="str">
        <f t="shared" si="67"/>
        <v xml:space="preserve"> ROSEMERE </v>
      </c>
      <c r="AD863" s="2">
        <f t="shared" si="68"/>
        <v>8</v>
      </c>
      <c r="AE863" s="2">
        <f t="shared" ca="1" si="69"/>
        <v>-49.926271643518703</v>
      </c>
    </row>
    <row r="864" spans="1:31" hidden="1">
      <c r="A864" s="1">
        <v>9157063</v>
      </c>
      <c r="B864" s="1" t="s">
        <v>62</v>
      </c>
      <c r="C864" t="s">
        <v>3591</v>
      </c>
      <c r="E864" s="2">
        <v>1833000203010</v>
      </c>
      <c r="F864" s="1" t="s">
        <v>152</v>
      </c>
      <c r="G864" s="1" t="s">
        <v>53</v>
      </c>
      <c r="H864" s="1" t="s">
        <v>369</v>
      </c>
      <c r="I864" s="1" t="s">
        <v>370</v>
      </c>
      <c r="J864" s="1" t="s">
        <v>46</v>
      </c>
      <c r="K864" t="s">
        <v>155</v>
      </c>
      <c r="M864" s="1" t="s">
        <v>35</v>
      </c>
      <c r="N864" s="1">
        <v>42318949</v>
      </c>
      <c r="O864" s="1" t="s">
        <v>36</v>
      </c>
      <c r="P864" s="186">
        <v>44902.480914351851</v>
      </c>
      <c r="R864" s="1">
        <v>1</v>
      </c>
      <c r="T864" s="1" t="s">
        <v>157</v>
      </c>
      <c r="U864" s="186">
        <v>44936.75</v>
      </c>
      <c r="V864" s="1" t="s">
        <v>41</v>
      </c>
      <c r="W864" s="1" t="s">
        <v>49</v>
      </c>
      <c r="X864" s="13" t="str">
        <f>IF(RIGHT(H864,2)&lt;&gt;"00",H864,"")</f>
        <v/>
      </c>
      <c r="Y864" s="2">
        <f ca="1">NETWORKDAYS(P864,$Y$1)</f>
        <v>61</v>
      </c>
      <c r="Z864" s="14">
        <v>1</v>
      </c>
      <c r="AA864" s="1" t="str">
        <f t="shared" ca="1" si="65"/>
        <v>VENCIDO</v>
      </c>
      <c r="AB864" s="1" t="str">
        <f t="shared" si="66"/>
        <v>TAAe+</v>
      </c>
      <c r="AC864" s="2" t="str">
        <f t="shared" si="67"/>
        <v xml:space="preserve"> CLEITON </v>
      </c>
      <c r="AD864" s="2">
        <f t="shared" si="68"/>
        <v>8</v>
      </c>
      <c r="AE864" s="2">
        <f t="shared" ca="1" si="69"/>
        <v>-49.926271643518703</v>
      </c>
    </row>
    <row r="865" spans="1:31" hidden="1">
      <c r="A865" s="1">
        <v>9157035</v>
      </c>
      <c r="B865" s="1" t="s">
        <v>62</v>
      </c>
      <c r="C865" t="s">
        <v>3591</v>
      </c>
      <c r="E865" s="2">
        <v>3924000203010</v>
      </c>
      <c r="F865" s="1" t="s">
        <v>152</v>
      </c>
      <c r="G865" s="1" t="s">
        <v>53</v>
      </c>
      <c r="H865" s="1" t="s">
        <v>153</v>
      </c>
      <c r="I865" s="1" t="s">
        <v>154</v>
      </c>
      <c r="J865" s="1" t="s">
        <v>56</v>
      </c>
      <c r="K865" t="s">
        <v>155</v>
      </c>
      <c r="M865" s="1" t="s">
        <v>35</v>
      </c>
      <c r="N865" s="1">
        <v>42318949</v>
      </c>
      <c r="O865" s="1" t="s">
        <v>36</v>
      </c>
      <c r="P865" s="186">
        <v>44902.480879629627</v>
      </c>
      <c r="R865" s="1">
        <v>1</v>
      </c>
      <c r="T865" s="1" t="s">
        <v>157</v>
      </c>
      <c r="U865" s="186">
        <v>44942.75</v>
      </c>
      <c r="V865" s="1" t="s">
        <v>41</v>
      </c>
      <c r="W865" s="1" t="s">
        <v>49</v>
      </c>
      <c r="X865" s="13" t="str">
        <f>IF(RIGHT(H865,2)&lt;&gt;"00",H865,"")</f>
        <v/>
      </c>
      <c r="Y865" s="2">
        <f ca="1">NETWORKDAYS(P865,$Y$1)</f>
        <v>61</v>
      </c>
      <c r="Z865" s="14">
        <v>1</v>
      </c>
      <c r="AA865" s="1" t="str">
        <f t="shared" ca="1" si="65"/>
        <v>VENCIDO</v>
      </c>
      <c r="AB865" s="1" t="str">
        <f t="shared" si="66"/>
        <v>TAAe+</v>
      </c>
      <c r="AC865" s="2" t="str">
        <f t="shared" si="67"/>
        <v xml:space="preserve"> CRISTINA </v>
      </c>
      <c r="AD865" s="2">
        <f t="shared" si="68"/>
        <v>8</v>
      </c>
      <c r="AE865" s="2">
        <f t="shared" ca="1" si="69"/>
        <v>-43.926271643518703</v>
      </c>
    </row>
    <row r="866" spans="1:31" hidden="1">
      <c r="A866" s="1">
        <v>9157015</v>
      </c>
      <c r="B866" s="1" t="s">
        <v>62</v>
      </c>
      <c r="C866" t="s">
        <v>3591</v>
      </c>
      <c r="E866" s="2">
        <v>1059000203010</v>
      </c>
      <c r="F866" s="1" t="s">
        <v>152</v>
      </c>
      <c r="G866" s="1" t="s">
        <v>53</v>
      </c>
      <c r="H866" s="1" t="s">
        <v>88</v>
      </c>
      <c r="I866" s="1" t="s">
        <v>89</v>
      </c>
      <c r="J866" s="1" t="s">
        <v>90</v>
      </c>
      <c r="K866" t="s">
        <v>155</v>
      </c>
      <c r="M866" s="1" t="s">
        <v>35</v>
      </c>
      <c r="N866" s="1">
        <v>42318949</v>
      </c>
      <c r="O866" s="1" t="s">
        <v>36</v>
      </c>
      <c r="P866" s="186">
        <v>44902.480844907404</v>
      </c>
      <c r="R866" s="1">
        <v>1</v>
      </c>
      <c r="T866" s="1" t="s">
        <v>157</v>
      </c>
      <c r="U866" s="186">
        <v>44936.75</v>
      </c>
      <c r="V866" s="1" t="s">
        <v>41</v>
      </c>
      <c r="W866" s="1" t="s">
        <v>49</v>
      </c>
      <c r="X866" s="13" t="str">
        <f>IF(RIGHT(H866,2)&lt;&gt;"00",H866,"")</f>
        <v/>
      </c>
      <c r="Y866" s="2">
        <f ca="1">NETWORKDAYS(P866,$Y$1)</f>
        <v>61</v>
      </c>
      <c r="Z866" s="14">
        <v>1</v>
      </c>
      <c r="AA866" s="1" t="str">
        <f t="shared" ca="1" si="65"/>
        <v>VENCIDO</v>
      </c>
      <c r="AB866" s="1" t="str">
        <f t="shared" si="66"/>
        <v>TAAe+</v>
      </c>
      <c r="AC866" s="2" t="str">
        <f t="shared" si="67"/>
        <v xml:space="preserve"> RINALDO </v>
      </c>
      <c r="AD866" s="2">
        <f t="shared" si="68"/>
        <v>8</v>
      </c>
      <c r="AE866" s="2">
        <f t="shared" ca="1" si="69"/>
        <v>-49.926271643518703</v>
      </c>
    </row>
    <row r="867" spans="1:31" hidden="1">
      <c r="A867" s="1">
        <v>9156995</v>
      </c>
      <c r="B867" s="1" t="s">
        <v>62</v>
      </c>
      <c r="C867" t="s">
        <v>3591</v>
      </c>
      <c r="E867" s="2">
        <v>2069000203010</v>
      </c>
      <c r="F867" s="1" t="s">
        <v>152</v>
      </c>
      <c r="G867" s="1" t="s">
        <v>53</v>
      </c>
      <c r="H867" s="1" t="s">
        <v>557</v>
      </c>
      <c r="I867" s="1" t="s">
        <v>558</v>
      </c>
      <c r="J867" s="1" t="s">
        <v>90</v>
      </c>
      <c r="K867" t="s">
        <v>155</v>
      </c>
      <c r="M867" s="1" t="s">
        <v>35</v>
      </c>
      <c r="N867" s="1">
        <v>42318949</v>
      </c>
      <c r="O867" s="1" t="s">
        <v>36</v>
      </c>
      <c r="P867" s="186">
        <v>44902.480810185189</v>
      </c>
      <c r="R867" s="1">
        <v>1</v>
      </c>
      <c r="T867" s="1" t="s">
        <v>157</v>
      </c>
      <c r="U867" s="186">
        <v>44936.75</v>
      </c>
      <c r="V867" s="1" t="s">
        <v>41</v>
      </c>
      <c r="W867" s="1" t="s">
        <v>49</v>
      </c>
      <c r="X867" s="13" t="str">
        <f>IF(RIGHT(H867,2)&lt;&gt;"00",H867,"")</f>
        <v/>
      </c>
      <c r="Y867" s="2">
        <f ca="1">NETWORKDAYS(P867,$Y$1)</f>
        <v>61</v>
      </c>
      <c r="Z867" s="14">
        <v>1</v>
      </c>
      <c r="AA867" s="1" t="str">
        <f t="shared" ca="1" si="65"/>
        <v>VENCIDO</v>
      </c>
      <c r="AB867" s="1" t="str">
        <f t="shared" si="66"/>
        <v>TAAe+</v>
      </c>
      <c r="AC867" s="2" t="str">
        <f t="shared" si="67"/>
        <v xml:space="preserve"> RINALDO </v>
      </c>
      <c r="AD867" s="2">
        <f t="shared" si="68"/>
        <v>8</v>
      </c>
      <c r="AE867" s="2">
        <f t="shared" ca="1" si="69"/>
        <v>-49.926271643518703</v>
      </c>
    </row>
    <row r="868" spans="1:31" hidden="1">
      <c r="A868" s="1">
        <v>9162440</v>
      </c>
      <c r="B868" s="1" t="s">
        <v>62</v>
      </c>
      <c r="C868" t="s">
        <v>1705</v>
      </c>
      <c r="E868" s="2">
        <v>68000203010</v>
      </c>
      <c r="F868" s="1" t="s">
        <v>152</v>
      </c>
      <c r="G868" s="1" t="s">
        <v>53</v>
      </c>
      <c r="H868" s="1" t="s">
        <v>1330</v>
      </c>
      <c r="I868" s="1" t="s">
        <v>1331</v>
      </c>
      <c r="J868" s="1" t="s">
        <v>211</v>
      </c>
      <c r="K868" t="s">
        <v>155</v>
      </c>
      <c r="M868" s="1" t="s">
        <v>35</v>
      </c>
      <c r="N868" s="1">
        <v>42318949</v>
      </c>
      <c r="O868" s="1" t="s">
        <v>36</v>
      </c>
      <c r="P868" s="186">
        <v>44903.531909722224</v>
      </c>
      <c r="R868" s="1">
        <v>1</v>
      </c>
      <c r="T868" s="1" t="s">
        <v>157</v>
      </c>
      <c r="U868" s="186">
        <v>44937.75</v>
      </c>
      <c r="V868" s="1" t="s">
        <v>41</v>
      </c>
      <c r="W868" s="1" t="s">
        <v>49</v>
      </c>
      <c r="X868" s="13" t="str">
        <f>IF(RIGHT(H868,2)&lt;&gt;"00",H868,"")</f>
        <v/>
      </c>
      <c r="Y868" s="2">
        <f ca="1">NETWORKDAYS(P868,$Y$1)</f>
        <v>60</v>
      </c>
      <c r="Z868" s="14">
        <v>1</v>
      </c>
      <c r="AA868" s="1" t="str">
        <f t="shared" ca="1" si="65"/>
        <v>VENCIDO</v>
      </c>
      <c r="AB868" s="1" t="str">
        <f t="shared" si="66"/>
        <v>TAAe+</v>
      </c>
      <c r="AC868" s="2" t="str">
        <f t="shared" si="67"/>
        <v xml:space="preserve"> RINALDO </v>
      </c>
      <c r="AD868" s="2">
        <f t="shared" si="68"/>
        <v>8</v>
      </c>
      <c r="AE868" s="2">
        <f t="shared" ca="1" si="69"/>
        <v>-48.926271643518703</v>
      </c>
    </row>
    <row r="869" spans="1:31" hidden="1">
      <c r="A869" s="1">
        <v>9168008</v>
      </c>
      <c r="B869" s="1" t="s">
        <v>62</v>
      </c>
      <c r="C869" t="s">
        <v>1706</v>
      </c>
      <c r="E869" s="2">
        <v>2069000203000</v>
      </c>
      <c r="F869" s="1" t="s">
        <v>454</v>
      </c>
      <c r="G869" s="1" t="s">
        <v>53</v>
      </c>
      <c r="H869" s="1" t="s">
        <v>557</v>
      </c>
      <c r="I869" s="1" t="s">
        <v>558</v>
      </c>
      <c r="J869" s="1" t="s">
        <v>90</v>
      </c>
      <c r="K869" t="s">
        <v>457</v>
      </c>
      <c r="M869" s="1" t="s">
        <v>58</v>
      </c>
      <c r="N869" s="1">
        <v>0</v>
      </c>
      <c r="O869" s="1" t="s">
        <v>36</v>
      </c>
      <c r="P869" s="186">
        <v>44904.703738425924</v>
      </c>
      <c r="R869" s="1">
        <v>1</v>
      </c>
      <c r="T869" s="1" t="s">
        <v>157</v>
      </c>
      <c r="U869" s="186">
        <v>44938.75</v>
      </c>
      <c r="V869" s="1" t="s">
        <v>41</v>
      </c>
      <c r="W869" s="1" t="s">
        <v>49</v>
      </c>
      <c r="X869" s="13" t="str">
        <f>IF(RIGHT(H869,2)&lt;&gt;"00",H869,"")</f>
        <v/>
      </c>
      <c r="Y869" s="2">
        <f ca="1">NETWORKDAYS(P869,$Y$1)</f>
        <v>59</v>
      </c>
      <c r="Z869" s="14">
        <v>1</v>
      </c>
      <c r="AA869" s="1" t="str">
        <f t="shared" ca="1" si="65"/>
        <v>VENCIDO</v>
      </c>
      <c r="AB869" s="1" t="str">
        <f t="shared" si="66"/>
        <v>C-14</v>
      </c>
      <c r="AC869" s="2" t="str">
        <f t="shared" si="67"/>
        <v xml:space="preserve"> RINALDO </v>
      </c>
      <c r="AD869" s="2">
        <f t="shared" si="68"/>
        <v>5</v>
      </c>
      <c r="AE869" s="2">
        <f t="shared" ca="1" si="69"/>
        <v>-47.926271643518703</v>
      </c>
    </row>
    <row r="870" spans="1:31" hidden="1">
      <c r="A870" s="1">
        <v>9180276</v>
      </c>
      <c r="B870" s="1" t="s">
        <v>62</v>
      </c>
      <c r="C870" t="s">
        <v>3592</v>
      </c>
      <c r="E870" s="2">
        <v>1902016006800</v>
      </c>
      <c r="F870" s="1" t="s">
        <v>64</v>
      </c>
      <c r="G870" s="1" t="s">
        <v>53</v>
      </c>
      <c r="H870" s="1" t="s">
        <v>1330</v>
      </c>
      <c r="I870" s="1" t="s">
        <v>1331</v>
      </c>
      <c r="J870" s="1" t="s">
        <v>211</v>
      </c>
      <c r="K870" t="s">
        <v>67</v>
      </c>
      <c r="M870" s="1" t="s">
        <v>35</v>
      </c>
      <c r="N870" s="1">
        <v>42318949</v>
      </c>
      <c r="O870" s="1" t="s">
        <v>36</v>
      </c>
      <c r="P870" s="186">
        <v>44907.687534722223</v>
      </c>
      <c r="R870" s="1" t="s">
        <v>571</v>
      </c>
      <c r="T870" s="1" t="s">
        <v>69</v>
      </c>
      <c r="U870" s="186">
        <v>44916.687534722223</v>
      </c>
      <c r="V870" s="1" t="s">
        <v>41</v>
      </c>
      <c r="W870" s="1" t="s">
        <v>49</v>
      </c>
      <c r="X870" s="13" t="str">
        <f>IF(RIGHT(H870,2)&lt;&gt;"00",H870,"")</f>
        <v/>
      </c>
      <c r="Y870" s="2">
        <f ca="1">NETWORKDAYS(P870,$Y$1)</f>
        <v>58</v>
      </c>
      <c r="Z870" s="14">
        <v>1</v>
      </c>
      <c r="AA870" s="1" t="str">
        <f t="shared" ca="1" si="65"/>
        <v>VENCIDO</v>
      </c>
      <c r="AB870" s="1" t="str">
        <f t="shared" si="66"/>
        <v>TAAe+</v>
      </c>
      <c r="AC870" s="2" t="str">
        <f t="shared" si="67"/>
        <v xml:space="preserve"> RINALDO </v>
      </c>
      <c r="AD870" s="2">
        <f t="shared" si="68"/>
        <v>8</v>
      </c>
      <c r="AE870" s="2">
        <f t="shared" ca="1" si="69"/>
        <v>-69.98873692129564</v>
      </c>
    </row>
    <row r="871" spans="1:31" hidden="1">
      <c r="A871" s="1">
        <v>9177930</v>
      </c>
      <c r="B871" s="1" t="s">
        <v>226</v>
      </c>
      <c r="C871" t="s">
        <v>1708</v>
      </c>
      <c r="E871" s="2">
        <v>1902016179200</v>
      </c>
      <c r="F871" s="1" t="s">
        <v>64</v>
      </c>
      <c r="G871" s="1" t="s">
        <v>53</v>
      </c>
      <c r="H871" s="1" t="s">
        <v>467</v>
      </c>
      <c r="I871" s="1" t="s">
        <v>468</v>
      </c>
      <c r="J871" s="1" t="s">
        <v>110</v>
      </c>
      <c r="K871" t="s">
        <v>67</v>
      </c>
      <c r="M871" s="1" t="s">
        <v>35</v>
      </c>
      <c r="N871" s="1">
        <v>42318949</v>
      </c>
      <c r="O871" s="1" t="s">
        <v>105</v>
      </c>
      <c r="P871" s="186">
        <v>44907.415682870371</v>
      </c>
      <c r="R871" s="1" t="s">
        <v>571</v>
      </c>
      <c r="T871" s="1" t="s">
        <v>69</v>
      </c>
      <c r="U871" s="186">
        <v>44909.415682870371</v>
      </c>
      <c r="V871" s="1" t="s">
        <v>41</v>
      </c>
      <c r="W871" s="1" t="s">
        <v>49</v>
      </c>
      <c r="X871" s="13" t="str">
        <f>IF(RIGHT(H871,2)&lt;&gt;"00",H871,"")</f>
        <v/>
      </c>
      <c r="Y871" s="2">
        <f ca="1">NETWORKDAYS(P871,$Y$1)</f>
        <v>58</v>
      </c>
      <c r="Z871" s="14">
        <v>1</v>
      </c>
      <c r="AA871" s="1" t="str">
        <f t="shared" ca="1" si="65"/>
        <v>VENCIDO</v>
      </c>
      <c r="AB871" s="1" t="str">
        <f t="shared" si="66"/>
        <v>TAAe+</v>
      </c>
      <c r="AC871" s="2" t="str">
        <f t="shared" si="67"/>
        <v xml:space="preserve"> CRISTINA </v>
      </c>
      <c r="AD871" s="2">
        <f t="shared" si="68"/>
        <v>8</v>
      </c>
      <c r="AE871" s="2">
        <f t="shared" ca="1" si="69"/>
        <v>-77.260588773147902</v>
      </c>
    </row>
    <row r="872" spans="1:31" hidden="1">
      <c r="A872" s="1">
        <v>9188220</v>
      </c>
      <c r="B872" s="1" t="s">
        <v>62</v>
      </c>
      <c r="C872" t="s">
        <v>3593</v>
      </c>
      <c r="E872" s="2">
        <v>1902016298800</v>
      </c>
      <c r="F872" s="1" t="s">
        <v>64</v>
      </c>
      <c r="G872" s="1" t="s">
        <v>53</v>
      </c>
      <c r="H872" s="1" t="s">
        <v>536</v>
      </c>
      <c r="I872" s="1" t="s">
        <v>537</v>
      </c>
      <c r="J872" s="1" t="s">
        <v>46</v>
      </c>
      <c r="K872" t="s">
        <v>67</v>
      </c>
      <c r="M872" s="1" t="s">
        <v>35</v>
      </c>
      <c r="N872" s="1">
        <v>42318949</v>
      </c>
      <c r="O872" s="1" t="s">
        <v>36</v>
      </c>
      <c r="P872" s="186">
        <v>44909.40121527778</v>
      </c>
      <c r="R872" s="1" t="s">
        <v>571</v>
      </c>
      <c r="T872" s="1" t="s">
        <v>69</v>
      </c>
      <c r="U872" s="186">
        <v>44918.40121527778</v>
      </c>
      <c r="V872" s="1" t="s">
        <v>41</v>
      </c>
      <c r="W872" s="1" t="s">
        <v>49</v>
      </c>
      <c r="X872" s="13" t="str">
        <f>IF(RIGHT(H872,2)&lt;&gt;"00",H872,"")</f>
        <v/>
      </c>
      <c r="Y872" s="2">
        <f ca="1">NETWORKDAYS(P872,$Y$1)</f>
        <v>56</v>
      </c>
      <c r="Z872" s="14">
        <v>1</v>
      </c>
      <c r="AA872" s="1" t="str">
        <f t="shared" ca="1" si="65"/>
        <v>VENCIDO</v>
      </c>
      <c r="AB872" s="1" t="str">
        <f t="shared" si="66"/>
        <v>TAAe+</v>
      </c>
      <c r="AC872" s="2" t="str">
        <f t="shared" si="67"/>
        <v xml:space="preserve"> CLEITON </v>
      </c>
      <c r="AD872" s="2">
        <f t="shared" si="68"/>
        <v>8</v>
      </c>
      <c r="AE872" s="2">
        <f t="shared" ca="1" si="69"/>
        <v>-68.275056365739147</v>
      </c>
    </row>
    <row r="873" spans="1:31" hidden="1">
      <c r="A873" s="1">
        <v>9188182</v>
      </c>
      <c r="B873" s="1" t="s">
        <v>62</v>
      </c>
      <c r="C873" t="s">
        <v>3594</v>
      </c>
      <c r="E873" s="2">
        <v>1902016087000</v>
      </c>
      <c r="F873" s="1" t="s">
        <v>64</v>
      </c>
      <c r="G873" s="1" t="s">
        <v>53</v>
      </c>
      <c r="H873" s="1" t="s">
        <v>183</v>
      </c>
      <c r="I873" s="1" t="s">
        <v>184</v>
      </c>
      <c r="J873" s="1" t="s">
        <v>90</v>
      </c>
      <c r="K873" t="s">
        <v>67</v>
      </c>
      <c r="M873" s="1" t="s">
        <v>35</v>
      </c>
      <c r="N873" s="1">
        <v>42318949</v>
      </c>
      <c r="O873" s="1" t="s">
        <v>36</v>
      </c>
      <c r="P873" s="186">
        <v>44909.398680555554</v>
      </c>
      <c r="R873" s="1" t="s">
        <v>571</v>
      </c>
      <c r="T873" s="1" t="s">
        <v>69</v>
      </c>
      <c r="U873" s="186">
        <v>44918.398680555554</v>
      </c>
      <c r="V873" s="1" t="s">
        <v>41</v>
      </c>
      <c r="W873" s="1" t="s">
        <v>49</v>
      </c>
      <c r="X873" s="13" t="str">
        <f>IF(RIGHT(H873,2)&lt;&gt;"00",H873,"")</f>
        <v/>
      </c>
      <c r="Y873" s="2">
        <f ca="1">NETWORKDAYS(P873,$Y$1)</f>
        <v>56</v>
      </c>
      <c r="Z873" s="14">
        <v>1</v>
      </c>
      <c r="AA873" s="1" t="str">
        <f t="shared" ca="1" si="65"/>
        <v>VENCIDO</v>
      </c>
      <c r="AB873" s="1" t="str">
        <f t="shared" si="66"/>
        <v>TAAe+</v>
      </c>
      <c r="AC873" s="2" t="str">
        <f t="shared" si="67"/>
        <v xml:space="preserve"> RINALDO </v>
      </c>
      <c r="AD873" s="2">
        <f t="shared" si="68"/>
        <v>8</v>
      </c>
      <c r="AE873" s="2">
        <f t="shared" ca="1" si="69"/>
        <v>-68.277591087964538</v>
      </c>
    </row>
    <row r="874" spans="1:31" hidden="1">
      <c r="A874" s="1">
        <v>9188168</v>
      </c>
      <c r="B874" s="1" t="s">
        <v>62</v>
      </c>
      <c r="C874" t="s">
        <v>3595</v>
      </c>
      <c r="E874" s="2">
        <v>1902016006700</v>
      </c>
      <c r="F874" s="1" t="s">
        <v>64</v>
      </c>
      <c r="G874" s="1" t="s">
        <v>53</v>
      </c>
      <c r="H874" s="1" t="s">
        <v>404</v>
      </c>
      <c r="I874" s="1" t="s">
        <v>405</v>
      </c>
      <c r="J874" s="1" t="s">
        <v>164</v>
      </c>
      <c r="K874" t="s">
        <v>67</v>
      </c>
      <c r="M874" s="1" t="s">
        <v>35</v>
      </c>
      <c r="N874" s="1">
        <v>42318949</v>
      </c>
      <c r="O874" s="1" t="s">
        <v>36</v>
      </c>
      <c r="P874" s="186">
        <v>44909.395740740743</v>
      </c>
      <c r="R874" s="1" t="s">
        <v>571</v>
      </c>
      <c r="T874" s="1" t="s">
        <v>69</v>
      </c>
      <c r="U874" s="186">
        <v>44918.395740740743</v>
      </c>
      <c r="V874" s="1" t="s">
        <v>41</v>
      </c>
      <c r="W874" s="1" t="s">
        <v>49</v>
      </c>
      <c r="X874" s="13" t="str">
        <f>IF(RIGHT(H874,2)&lt;&gt;"00",H874,"")</f>
        <v/>
      </c>
      <c r="Y874" s="2">
        <f ca="1">NETWORKDAYS(P874,$Y$1)</f>
        <v>56</v>
      </c>
      <c r="Z874" s="14">
        <v>1</v>
      </c>
      <c r="AA874" s="1" t="str">
        <f t="shared" ca="1" si="65"/>
        <v>VENCIDO</v>
      </c>
      <c r="AB874" s="1" t="str">
        <f t="shared" si="66"/>
        <v>TAAe+</v>
      </c>
      <c r="AC874" s="2" t="str">
        <f t="shared" si="67"/>
        <v xml:space="preserve"> ROSEMERE </v>
      </c>
      <c r="AD874" s="2">
        <f t="shared" si="68"/>
        <v>8</v>
      </c>
      <c r="AE874" s="2">
        <f t="shared" ca="1" si="69"/>
        <v>-68.280530902775354</v>
      </c>
    </row>
    <row r="875" spans="1:31" hidden="1">
      <c r="A875" s="1">
        <v>9257159</v>
      </c>
      <c r="B875" s="1" t="s">
        <v>1717</v>
      </c>
      <c r="C875" t="s">
        <v>1723</v>
      </c>
      <c r="D875" s="2">
        <v>20228573000031</v>
      </c>
      <c r="E875" s="2">
        <v>7417193051272</v>
      </c>
      <c r="F875" s="1" t="s">
        <v>1719</v>
      </c>
      <c r="G875" s="1" t="s">
        <v>53</v>
      </c>
      <c r="H875" s="1" t="s">
        <v>657</v>
      </c>
      <c r="I875" s="1" t="s">
        <v>658</v>
      </c>
      <c r="J875" s="1" t="s">
        <v>33</v>
      </c>
      <c r="K875" t="s">
        <v>1720</v>
      </c>
      <c r="M875" s="1" t="s">
        <v>58</v>
      </c>
      <c r="N875" s="1">
        <v>0</v>
      </c>
      <c r="O875" s="1" t="s">
        <v>36</v>
      </c>
      <c r="P875" s="186">
        <v>44924.464942129627</v>
      </c>
      <c r="R875" s="1">
        <v>22</v>
      </c>
      <c r="T875" s="1" t="s">
        <v>1160</v>
      </c>
      <c r="U875" s="186">
        <v>44925.47146990741</v>
      </c>
      <c r="V875" s="1" t="s">
        <v>41</v>
      </c>
      <c r="W875" s="1" t="s">
        <v>49</v>
      </c>
      <c r="X875" s="13" t="str">
        <f>IF(RIGHT(H875,2)&lt;&gt;"00",H875,"")</f>
        <v/>
      </c>
      <c r="Y875" s="2">
        <f ca="1">NETWORKDAYS(P875,$Y$1)</f>
        <v>45</v>
      </c>
      <c r="Z875" s="14">
        <v>1</v>
      </c>
      <c r="AA875" s="1" t="str">
        <f t="shared" ca="1" si="65"/>
        <v>VENCIDO</v>
      </c>
      <c r="AB875" s="1" t="str">
        <f t="shared" si="66"/>
        <v>TAAe+</v>
      </c>
      <c r="AC875" s="2" t="str">
        <f t="shared" si="67"/>
        <v xml:space="preserve"> ROSEMERE </v>
      </c>
      <c r="AD875" s="2">
        <f t="shared" si="68"/>
        <v>8</v>
      </c>
      <c r="AE875" s="2">
        <f t="shared" ca="1" si="69"/>
        <v>-61.204801736108493</v>
      </c>
    </row>
    <row r="876" spans="1:31" hidden="1">
      <c r="A876" s="1">
        <v>9273288</v>
      </c>
      <c r="B876" s="1" t="s">
        <v>1153</v>
      </c>
      <c r="C876" t="s">
        <v>1726</v>
      </c>
      <c r="D876" s="2">
        <v>20232678000001</v>
      </c>
      <c r="E876" s="2">
        <v>7417192420963</v>
      </c>
      <c r="F876" s="1" t="s">
        <v>1727</v>
      </c>
      <c r="G876" s="1" t="s">
        <v>53</v>
      </c>
      <c r="H876" s="1" t="s">
        <v>992</v>
      </c>
      <c r="I876" s="1" t="s">
        <v>993</v>
      </c>
      <c r="J876" s="1" t="s">
        <v>33</v>
      </c>
      <c r="K876" t="s">
        <v>1728</v>
      </c>
      <c r="M876" s="1" t="s">
        <v>58</v>
      </c>
      <c r="N876" s="1">
        <v>0</v>
      </c>
      <c r="O876" s="1" t="s">
        <v>36</v>
      </c>
      <c r="P876" s="186">
        <v>44928.436076388891</v>
      </c>
      <c r="R876" s="1">
        <v>22</v>
      </c>
      <c r="T876" s="1" t="s">
        <v>1160</v>
      </c>
      <c r="U876" s="186">
        <v>44930.644409722219</v>
      </c>
      <c r="V876" s="1" t="s">
        <v>41</v>
      </c>
      <c r="W876" s="1" t="s">
        <v>42</v>
      </c>
      <c r="X876" s="13" t="str">
        <f>IF(RIGHT(H876,2)&lt;&gt;"00",H876,"")</f>
        <v/>
      </c>
      <c r="Y876" s="2">
        <f ca="1">NETWORKDAYS(P876,$Y$1)</f>
        <v>43</v>
      </c>
      <c r="Z876" s="14">
        <v>1</v>
      </c>
      <c r="AA876" s="1" t="str">
        <f t="shared" ca="1" si="65"/>
        <v>VENCIDO</v>
      </c>
      <c r="AB876" s="1" t="str">
        <f t="shared" si="66"/>
        <v>TAAe+</v>
      </c>
      <c r="AC876" s="2" t="str">
        <f t="shared" si="67"/>
        <v xml:space="preserve"> ROSEMERE </v>
      </c>
      <c r="AD876" s="2">
        <f t="shared" si="68"/>
        <v>8</v>
      </c>
      <c r="AE876" s="2">
        <f t="shared" ca="1" si="69"/>
        <v>-56.031861921299424</v>
      </c>
    </row>
    <row r="877" spans="1:31" hidden="1">
      <c r="A877" s="1">
        <v>9271243</v>
      </c>
      <c r="B877" s="1" t="s">
        <v>101</v>
      </c>
      <c r="C877" t="s">
        <v>643</v>
      </c>
      <c r="D877" s="2">
        <v>230001652</v>
      </c>
      <c r="E877" s="2">
        <v>1358001400040</v>
      </c>
      <c r="F877" s="1" t="s">
        <v>644</v>
      </c>
      <c r="G877" s="1" t="s">
        <v>53</v>
      </c>
      <c r="H877" s="1" t="s">
        <v>593</v>
      </c>
      <c r="I877" s="1" t="s">
        <v>594</v>
      </c>
      <c r="J877" s="1" t="s">
        <v>261</v>
      </c>
      <c r="K877" t="s">
        <v>645</v>
      </c>
      <c r="M877" s="1" t="s">
        <v>58</v>
      </c>
      <c r="N877" s="1">
        <v>0</v>
      </c>
      <c r="O877" s="1" t="s">
        <v>105</v>
      </c>
      <c r="P877" s="186">
        <v>44928.004988425928</v>
      </c>
      <c r="R877" s="1">
        <v>3</v>
      </c>
      <c r="T877" s="1" t="s">
        <v>646</v>
      </c>
      <c r="U877" s="186">
        <v>44929.004999999997</v>
      </c>
      <c r="V877" s="1" t="s">
        <v>41</v>
      </c>
      <c r="W877" s="1" t="s">
        <v>49</v>
      </c>
      <c r="X877" s="13" t="str">
        <f>IF(RIGHT(H877,2)&lt;&gt;"00",H877,"")</f>
        <v/>
      </c>
      <c r="Y877" s="2">
        <f ca="1">NETWORKDAYS(P877,$Y$1)</f>
        <v>43</v>
      </c>
      <c r="Z877" s="14">
        <v>1</v>
      </c>
      <c r="AA877" s="1" t="str">
        <f t="shared" ca="1" si="65"/>
        <v>VENCIDO</v>
      </c>
      <c r="AB877" s="1" t="str">
        <f t="shared" si="66"/>
        <v>SL-On</v>
      </c>
      <c r="AC877" s="2" t="str">
        <f t="shared" si="67"/>
        <v xml:space="preserve"> CRISTINA </v>
      </c>
      <c r="AD877" s="2">
        <f t="shared" si="68"/>
        <v>1</v>
      </c>
      <c r="AE877" s="2">
        <f t="shared" ca="1" si="69"/>
        <v>-57.671271643521322</v>
      </c>
    </row>
    <row r="878" spans="1:31" hidden="1">
      <c r="A878" s="1">
        <v>9271230</v>
      </c>
      <c r="B878" s="1" t="s">
        <v>101</v>
      </c>
      <c r="C878" t="s">
        <v>643</v>
      </c>
      <c r="D878" s="2">
        <v>230001642</v>
      </c>
      <c r="E878" s="2">
        <v>1792001400030</v>
      </c>
      <c r="F878" s="1" t="s">
        <v>647</v>
      </c>
      <c r="G878" s="1" t="s">
        <v>53</v>
      </c>
      <c r="H878" s="1" t="s">
        <v>467</v>
      </c>
      <c r="I878" s="1" t="s">
        <v>468</v>
      </c>
      <c r="J878" s="1" t="s">
        <v>110</v>
      </c>
      <c r="K878" t="s">
        <v>650</v>
      </c>
      <c r="M878" s="1" t="s">
        <v>58</v>
      </c>
      <c r="N878" s="1">
        <v>0</v>
      </c>
      <c r="O878" s="1" t="s">
        <v>105</v>
      </c>
      <c r="P878" s="186">
        <v>44928.004513888889</v>
      </c>
      <c r="R878" s="1">
        <v>4</v>
      </c>
      <c r="T878" s="1" t="s">
        <v>646</v>
      </c>
      <c r="U878" s="186">
        <v>44929.004513888889</v>
      </c>
      <c r="V878" s="1" t="s">
        <v>41</v>
      </c>
      <c r="W878" s="1" t="s">
        <v>49</v>
      </c>
      <c r="X878" s="13" t="str">
        <f>IF(RIGHT(H878,2)&lt;&gt;"00",H878,"")</f>
        <v/>
      </c>
      <c r="Y878" s="2">
        <f ca="1">NETWORKDAYS(P878,$Y$1)</f>
        <v>43</v>
      </c>
      <c r="Z878" s="14">
        <v>1</v>
      </c>
      <c r="AA878" s="1" t="str">
        <f t="shared" ca="1" si="65"/>
        <v>VENCIDO</v>
      </c>
      <c r="AB878" s="1" t="str">
        <f t="shared" si="66"/>
        <v>C-14</v>
      </c>
      <c r="AC878" s="2" t="str">
        <f t="shared" si="67"/>
        <v xml:space="preserve"> CRISTINA </v>
      </c>
      <c r="AD878" s="2">
        <f t="shared" si="68"/>
        <v>15</v>
      </c>
      <c r="AE878" s="2">
        <f t="shared" ca="1" si="69"/>
        <v>-57.671757754629652</v>
      </c>
    </row>
    <row r="879" spans="1:31" hidden="1">
      <c r="A879" s="1">
        <v>9271227</v>
      </c>
      <c r="B879" s="1" t="s">
        <v>101</v>
      </c>
      <c r="C879" t="s">
        <v>643</v>
      </c>
      <c r="D879" s="2">
        <v>230001658</v>
      </c>
      <c r="E879" s="2">
        <v>5740001400040</v>
      </c>
      <c r="F879" s="1" t="s">
        <v>644</v>
      </c>
      <c r="G879" s="1" t="s">
        <v>53</v>
      </c>
      <c r="H879" s="1" t="s">
        <v>626</v>
      </c>
      <c r="I879" s="1" t="s">
        <v>627</v>
      </c>
      <c r="J879" s="1" t="s">
        <v>46</v>
      </c>
      <c r="K879" t="s">
        <v>645</v>
      </c>
      <c r="M879" s="1" t="s">
        <v>58</v>
      </c>
      <c r="N879" s="1">
        <v>0</v>
      </c>
      <c r="O879" s="1" t="s">
        <v>105</v>
      </c>
      <c r="P879" s="186">
        <v>44928.004340277781</v>
      </c>
      <c r="R879" s="1">
        <v>3</v>
      </c>
      <c r="T879" s="1" t="s">
        <v>646</v>
      </c>
      <c r="U879" s="186">
        <v>44929.004340277781</v>
      </c>
      <c r="V879" s="1" t="s">
        <v>41</v>
      </c>
      <c r="W879" s="1" t="s">
        <v>49</v>
      </c>
      <c r="X879" s="13" t="str">
        <f>IF(RIGHT(H879,2)&lt;&gt;"00",H879,"")</f>
        <v/>
      </c>
      <c r="Y879" s="2">
        <f ca="1">NETWORKDAYS(P879,$Y$1)</f>
        <v>43</v>
      </c>
      <c r="Z879" s="14">
        <v>1</v>
      </c>
      <c r="AA879" s="1" t="str">
        <f t="shared" ca="1" si="65"/>
        <v>VENCIDO</v>
      </c>
      <c r="AB879" s="1" t="str">
        <f t="shared" si="66"/>
        <v>SL-On</v>
      </c>
      <c r="AC879" s="2" t="str">
        <f t="shared" si="67"/>
        <v xml:space="preserve"> CLEITON </v>
      </c>
      <c r="AD879" s="2">
        <f t="shared" si="68"/>
        <v>1</v>
      </c>
      <c r="AE879" s="2">
        <f t="shared" ca="1" si="69"/>
        <v>-57.671931365737692</v>
      </c>
    </row>
    <row r="880" spans="1:31" hidden="1">
      <c r="A880" s="1">
        <v>9280165</v>
      </c>
      <c r="B880" s="1" t="s">
        <v>1153</v>
      </c>
      <c r="C880" t="s">
        <v>1737</v>
      </c>
      <c r="D880" s="2">
        <v>230002991</v>
      </c>
      <c r="E880" s="2">
        <v>3613001400030</v>
      </c>
      <c r="F880" s="1" t="s">
        <v>647</v>
      </c>
      <c r="G880" s="1" t="s">
        <v>53</v>
      </c>
      <c r="H880" s="1" t="s">
        <v>679</v>
      </c>
      <c r="I880" s="1" t="s">
        <v>680</v>
      </c>
      <c r="J880" s="1" t="s">
        <v>46</v>
      </c>
      <c r="K880" t="s">
        <v>650</v>
      </c>
      <c r="M880" s="1" t="s">
        <v>58</v>
      </c>
      <c r="N880" s="1">
        <v>0</v>
      </c>
      <c r="O880" s="1" t="s">
        <v>36</v>
      </c>
      <c r="P880" s="186">
        <v>44929.666481481479</v>
      </c>
      <c r="R880" s="1">
        <v>4</v>
      </c>
      <c r="T880" s="1" t="s">
        <v>646</v>
      </c>
      <c r="U880" s="186">
        <v>44937.729166666664</v>
      </c>
      <c r="V880" s="1" t="s">
        <v>41</v>
      </c>
      <c r="W880" s="1" t="s">
        <v>49</v>
      </c>
      <c r="X880" s="13" t="str">
        <f>IF(RIGHT(H880,2)&lt;&gt;"00",H880,"")</f>
        <v/>
      </c>
      <c r="Y880" s="2">
        <f ca="1">NETWORKDAYS(P880,$Y$1)</f>
        <v>42</v>
      </c>
      <c r="Z880" s="14">
        <v>1</v>
      </c>
      <c r="AA880" s="1" t="str">
        <f t="shared" ca="1" si="65"/>
        <v>VENCIDO</v>
      </c>
      <c r="AB880" s="1" t="str">
        <f t="shared" si="66"/>
        <v>C-14</v>
      </c>
      <c r="AC880" s="2" t="str">
        <f t="shared" si="67"/>
        <v xml:space="preserve"> CLEITON </v>
      </c>
      <c r="AD880" s="2">
        <f t="shared" si="68"/>
        <v>15</v>
      </c>
      <c r="AE880" s="2">
        <f t="shared" ca="1" si="69"/>
        <v>-48.947104976854462</v>
      </c>
    </row>
    <row r="881" spans="1:31" hidden="1">
      <c r="A881" s="1">
        <v>9285222</v>
      </c>
      <c r="B881" s="1" t="s">
        <v>101</v>
      </c>
      <c r="C881" t="s">
        <v>1740</v>
      </c>
      <c r="E881" s="2">
        <v>7417163050348</v>
      </c>
      <c r="F881" s="1" t="s">
        <v>1741</v>
      </c>
      <c r="G881" s="1" t="s">
        <v>53</v>
      </c>
      <c r="H881" s="1" t="s">
        <v>1742</v>
      </c>
      <c r="I881" s="1" t="s">
        <v>1743</v>
      </c>
      <c r="J881" s="1" t="s">
        <v>141</v>
      </c>
      <c r="K881" t="s">
        <v>1744</v>
      </c>
      <c r="M881" s="1" t="s">
        <v>58</v>
      </c>
      <c r="N881" s="1">
        <v>0</v>
      </c>
      <c r="O881" s="1" t="s">
        <v>105</v>
      </c>
      <c r="P881" s="186">
        <v>44930.678425925929</v>
      </c>
      <c r="R881" s="1">
        <v>14</v>
      </c>
      <c r="T881" s="1" t="s">
        <v>238</v>
      </c>
      <c r="U881" s="186">
        <v>44930.678425925929</v>
      </c>
      <c r="V881" s="1" t="s">
        <v>41</v>
      </c>
      <c r="W881" s="1" t="s">
        <v>49</v>
      </c>
      <c r="X881" s="13" t="str">
        <f>IF(RIGHT(H881,2)&lt;&gt;"00",H881,"")</f>
        <v>2413.91</v>
      </c>
      <c r="Y881" s="2">
        <f ca="1">NETWORKDAYS(P881,$Y$1)</f>
        <v>41</v>
      </c>
      <c r="Z881" s="14">
        <v>1</v>
      </c>
      <c r="AA881" s="1" t="str">
        <f t="shared" ca="1" si="65"/>
        <v>VENCIDO</v>
      </c>
      <c r="AB881" s="1" t="str">
        <f t="shared" si="66"/>
        <v>TAAe+</v>
      </c>
      <c r="AC881" s="2" t="str">
        <f t="shared" si="67"/>
        <v xml:space="preserve"> CRISTINA </v>
      </c>
      <c r="AD881" s="2">
        <f t="shared" si="68"/>
        <v>8</v>
      </c>
      <c r="AE881" s="2">
        <f t="shared" ca="1" si="69"/>
        <v>-55.997845717589371</v>
      </c>
    </row>
    <row r="882" spans="1:31" hidden="1">
      <c r="A882" s="1">
        <v>9283021</v>
      </c>
      <c r="B882" s="1" t="s">
        <v>1153</v>
      </c>
      <c r="C882" t="s">
        <v>1746</v>
      </c>
      <c r="D882" s="2">
        <v>230003174</v>
      </c>
      <c r="E882" s="2">
        <v>1264001400030</v>
      </c>
      <c r="F882" s="1" t="s">
        <v>647</v>
      </c>
      <c r="G882" s="1" t="s">
        <v>53</v>
      </c>
      <c r="H882" s="1" t="s">
        <v>351</v>
      </c>
      <c r="I882" s="1" t="s">
        <v>352</v>
      </c>
      <c r="J882" s="1" t="s">
        <v>110</v>
      </c>
      <c r="K882" t="s">
        <v>650</v>
      </c>
      <c r="M882" s="1" t="s">
        <v>58</v>
      </c>
      <c r="N882" s="1">
        <v>0</v>
      </c>
      <c r="O882" s="1" t="s">
        <v>36</v>
      </c>
      <c r="P882" s="186">
        <v>44930.391539351855</v>
      </c>
      <c r="R882" s="1">
        <v>4</v>
      </c>
      <c r="T882" s="1" t="s">
        <v>646</v>
      </c>
      <c r="U882" s="186">
        <v>44935.645833333336</v>
      </c>
      <c r="V882" s="1" t="s">
        <v>41</v>
      </c>
      <c r="W882" s="1" t="s">
        <v>49</v>
      </c>
      <c r="X882" s="13" t="str">
        <f>IF(RIGHT(H882,2)&lt;&gt;"00",H882,"")</f>
        <v/>
      </c>
      <c r="Y882" s="2">
        <f ca="1">NETWORKDAYS(P882,$Y$1)</f>
        <v>41</v>
      </c>
      <c r="Z882" s="14">
        <v>1</v>
      </c>
      <c r="AA882" s="1" t="str">
        <f t="shared" ca="1" si="65"/>
        <v>VENCIDO</v>
      </c>
      <c r="AB882" s="1" t="str">
        <f t="shared" si="66"/>
        <v>C-14</v>
      </c>
      <c r="AC882" s="2" t="str">
        <f t="shared" si="67"/>
        <v xml:space="preserve"> CRISTINA </v>
      </c>
      <c r="AD882" s="2">
        <f t="shared" si="68"/>
        <v>15</v>
      </c>
      <c r="AE882" s="2">
        <f t="shared" ca="1" si="69"/>
        <v>-51.030438310182944</v>
      </c>
    </row>
    <row r="883" spans="1:31" hidden="1">
      <c r="A883" s="1">
        <v>9289476</v>
      </c>
      <c r="B883" s="1" t="s">
        <v>1153</v>
      </c>
      <c r="C883" t="s">
        <v>1747</v>
      </c>
      <c r="D883" s="2">
        <v>20234924000013</v>
      </c>
      <c r="E883" s="2">
        <v>7417163281264</v>
      </c>
      <c r="F883" s="1" t="s">
        <v>131</v>
      </c>
      <c r="G883" s="1" t="s">
        <v>53</v>
      </c>
      <c r="H883" s="1" t="s">
        <v>1748</v>
      </c>
      <c r="I883" s="1" t="s">
        <v>1749</v>
      </c>
      <c r="J883" s="1" t="s">
        <v>79</v>
      </c>
      <c r="K883" t="s">
        <v>132</v>
      </c>
      <c r="M883" s="1" t="s">
        <v>58</v>
      </c>
      <c r="N883" s="1">
        <v>0</v>
      </c>
      <c r="O883" s="1" t="s">
        <v>36</v>
      </c>
      <c r="P883" s="186">
        <v>44931.581041666665</v>
      </c>
      <c r="R883" s="1">
        <v>14</v>
      </c>
      <c r="T883" s="1" t="s">
        <v>238</v>
      </c>
      <c r="U883" s="186">
        <v>44931.581041666665</v>
      </c>
      <c r="V883" s="1" t="s">
        <v>41</v>
      </c>
      <c r="W883" s="1" t="s">
        <v>49</v>
      </c>
      <c r="X883" s="13" t="str">
        <f>IF(RIGHT(H883,2)&lt;&gt;"00",H883,"")</f>
        <v>4924.02</v>
      </c>
      <c r="Y883" s="2">
        <f ca="1">NETWORKDAYS(P883,$Y$1)</f>
        <v>40</v>
      </c>
      <c r="Z883" s="14">
        <v>1</v>
      </c>
      <c r="AA883" s="1" t="str">
        <f t="shared" ca="1" si="65"/>
        <v>VENCIDO</v>
      </c>
      <c r="AB883" s="1" t="str">
        <f t="shared" si="66"/>
        <v>TAAe+</v>
      </c>
      <c r="AC883" s="2" t="str">
        <f t="shared" si="67"/>
        <v xml:space="preserve"> ROSEMERE </v>
      </c>
      <c r="AD883" s="2">
        <f t="shared" si="68"/>
        <v>8</v>
      </c>
      <c r="AE883" s="2">
        <f t="shared" ca="1" si="69"/>
        <v>-55.095229976854171</v>
      </c>
    </row>
    <row r="884" spans="1:31" hidden="1">
      <c r="A884" s="181">
        <v>9303921</v>
      </c>
      <c r="B884" s="181" t="s">
        <v>101</v>
      </c>
      <c r="C884" s="182" t="s">
        <v>3596</v>
      </c>
      <c r="D884" s="183"/>
      <c r="E884" s="183">
        <v>9705000206201</v>
      </c>
      <c r="F884" s="181" t="s">
        <v>208</v>
      </c>
      <c r="G884" s="181" t="s">
        <v>53</v>
      </c>
      <c r="H884" s="181" t="s">
        <v>204</v>
      </c>
      <c r="I884" s="181" t="s">
        <v>205</v>
      </c>
      <c r="J884" s="181" t="s">
        <v>90</v>
      </c>
      <c r="K884" t="s">
        <v>212</v>
      </c>
      <c r="M884" s="1" t="s">
        <v>35</v>
      </c>
      <c r="N884" s="1">
        <v>42318949</v>
      </c>
      <c r="O884" s="1" t="s">
        <v>105</v>
      </c>
      <c r="P884" s="11" t="s">
        <v>1752</v>
      </c>
      <c r="R884" s="1" t="s">
        <v>38</v>
      </c>
      <c r="T884" s="1" t="s">
        <v>74</v>
      </c>
      <c r="U884" s="186">
        <v>44932.75</v>
      </c>
      <c r="V884" s="1" t="s">
        <v>41</v>
      </c>
      <c r="W884" s="1" t="s">
        <v>49</v>
      </c>
      <c r="X884" s="13" t="str">
        <f>IF(RIGHT(H884,2)&lt;&gt;"00",H884,"")</f>
        <v/>
      </c>
      <c r="Y884" s="2">
        <f ca="1">NETWORKDAYS(P884,$Y$1)</f>
        <v>39</v>
      </c>
      <c r="Z884" s="14">
        <v>1</v>
      </c>
      <c r="AA884" s="1" t="str">
        <f t="shared" ca="1" si="65"/>
        <v>VENCIDO</v>
      </c>
      <c r="AB884" s="1" t="str">
        <f t="shared" si="66"/>
        <v>TAAe+</v>
      </c>
      <c r="AC884" s="2" t="str">
        <f t="shared" si="67"/>
        <v xml:space="preserve"> RINALDO </v>
      </c>
      <c r="AD884" s="2">
        <f t="shared" si="68"/>
        <v>8</v>
      </c>
      <c r="AE884" s="2">
        <f t="shared" ca="1" si="69"/>
        <v>-53.926271643518703</v>
      </c>
    </row>
    <row r="885" spans="1:31" hidden="1">
      <c r="A885" s="1">
        <v>9303920</v>
      </c>
      <c r="B885" s="1" t="s">
        <v>101</v>
      </c>
      <c r="C885" t="s">
        <v>1751</v>
      </c>
      <c r="E885" s="2">
        <v>9704000206201</v>
      </c>
      <c r="F885" s="1" t="s">
        <v>208</v>
      </c>
      <c r="G885" s="1" t="s">
        <v>53</v>
      </c>
      <c r="H885" s="1" t="s">
        <v>488</v>
      </c>
      <c r="I885" s="1" t="s">
        <v>489</v>
      </c>
      <c r="J885" s="1" t="s">
        <v>164</v>
      </c>
      <c r="K885" t="s">
        <v>212</v>
      </c>
      <c r="M885" s="1" t="s">
        <v>35</v>
      </c>
      <c r="N885" s="1">
        <v>42318949</v>
      </c>
      <c r="O885" s="1" t="s">
        <v>105</v>
      </c>
      <c r="P885" s="11" t="s">
        <v>1752</v>
      </c>
      <c r="R885" s="1" t="s">
        <v>38</v>
      </c>
      <c r="T885" s="1" t="s">
        <v>74</v>
      </c>
      <c r="U885" s="186">
        <v>44932.75</v>
      </c>
      <c r="V885" s="1" t="s">
        <v>41</v>
      </c>
      <c r="W885" s="1" t="s">
        <v>49</v>
      </c>
      <c r="X885" s="13" t="str">
        <f>IF(RIGHT(H885,2)&lt;&gt;"00",H885,"")</f>
        <v/>
      </c>
      <c r="Y885" s="2">
        <f ca="1">NETWORKDAYS(P885,$Y$1)</f>
        <v>39</v>
      </c>
      <c r="Z885" s="14">
        <v>1</v>
      </c>
      <c r="AA885" s="1" t="str">
        <f t="shared" ca="1" si="65"/>
        <v>VENCIDO</v>
      </c>
      <c r="AB885" s="1" t="str">
        <f t="shared" si="66"/>
        <v>TAAe+</v>
      </c>
      <c r="AC885" s="2" t="str">
        <f t="shared" si="67"/>
        <v xml:space="preserve"> ROSEMERE </v>
      </c>
      <c r="AD885" s="2">
        <f t="shared" si="68"/>
        <v>8</v>
      </c>
      <c r="AE885" s="2">
        <f t="shared" ca="1" si="69"/>
        <v>-53.926271643518703</v>
      </c>
    </row>
    <row r="886" spans="1:31" hidden="1">
      <c r="A886" s="1">
        <v>9303919</v>
      </c>
      <c r="B886" s="1" t="s">
        <v>101</v>
      </c>
      <c r="C886" t="s">
        <v>1751</v>
      </c>
      <c r="E886" s="2">
        <v>9703000206201</v>
      </c>
      <c r="F886" s="1" t="s">
        <v>208</v>
      </c>
      <c r="G886" s="1" t="s">
        <v>53</v>
      </c>
      <c r="H886" s="1" t="s">
        <v>494</v>
      </c>
      <c r="I886" s="1" t="s">
        <v>495</v>
      </c>
      <c r="J886" s="1" t="s">
        <v>79</v>
      </c>
      <c r="K886" t="s">
        <v>212</v>
      </c>
      <c r="M886" s="1" t="s">
        <v>35</v>
      </c>
      <c r="N886" s="1">
        <v>42318949</v>
      </c>
      <c r="O886" s="1" t="s">
        <v>105</v>
      </c>
      <c r="P886" s="11" t="s">
        <v>1752</v>
      </c>
      <c r="R886" s="1" t="s">
        <v>38</v>
      </c>
      <c r="T886" s="1" t="s">
        <v>74</v>
      </c>
      <c r="U886" s="186">
        <v>44932.75</v>
      </c>
      <c r="V886" s="1" t="s">
        <v>41</v>
      </c>
      <c r="W886" s="1" t="s">
        <v>49</v>
      </c>
      <c r="X886" s="13" t="str">
        <f>IF(RIGHT(H886,2)&lt;&gt;"00",H886,"")</f>
        <v/>
      </c>
      <c r="Y886" s="2">
        <f ca="1">NETWORKDAYS(P886,$Y$1)</f>
        <v>39</v>
      </c>
      <c r="Z886" s="14">
        <v>1</v>
      </c>
      <c r="AA886" s="1" t="str">
        <f t="shared" ca="1" si="65"/>
        <v>VENCIDO</v>
      </c>
      <c r="AB886" s="1" t="str">
        <f t="shared" si="66"/>
        <v>TAAe+</v>
      </c>
      <c r="AC886" s="2" t="str">
        <f t="shared" si="67"/>
        <v xml:space="preserve"> ROSEMERE </v>
      </c>
      <c r="AD886" s="2">
        <f t="shared" si="68"/>
        <v>8</v>
      </c>
      <c r="AE886" s="2">
        <f t="shared" ca="1" si="69"/>
        <v>-53.926271643518703</v>
      </c>
    </row>
    <row r="887" spans="1:31" hidden="1">
      <c r="A887" s="1">
        <v>9303918</v>
      </c>
      <c r="B887" s="1" t="s">
        <v>101</v>
      </c>
      <c r="C887" t="s">
        <v>1751</v>
      </c>
      <c r="E887" s="2">
        <v>9700000206201</v>
      </c>
      <c r="F887" s="1" t="s">
        <v>208</v>
      </c>
      <c r="G887" s="1" t="s">
        <v>53</v>
      </c>
      <c r="H887" s="1" t="s">
        <v>209</v>
      </c>
      <c r="I887" s="1" t="s">
        <v>210</v>
      </c>
      <c r="J887" s="1" t="s">
        <v>211</v>
      </c>
      <c r="K887" t="s">
        <v>212</v>
      </c>
      <c r="M887" s="1" t="s">
        <v>35</v>
      </c>
      <c r="N887" s="1">
        <v>42318949</v>
      </c>
      <c r="O887" s="1" t="s">
        <v>105</v>
      </c>
      <c r="P887" s="11" t="s">
        <v>1753</v>
      </c>
      <c r="R887" s="1" t="s">
        <v>38</v>
      </c>
      <c r="T887" s="1" t="s">
        <v>74</v>
      </c>
      <c r="U887" s="186">
        <v>44932.75</v>
      </c>
      <c r="V887" s="1" t="s">
        <v>41</v>
      </c>
      <c r="W887" s="1" t="s">
        <v>49</v>
      </c>
      <c r="X887" s="13" t="str">
        <f>IF(RIGHT(H887,2)&lt;&gt;"00",H887,"")</f>
        <v/>
      </c>
      <c r="Y887" s="2">
        <f ca="1">NETWORKDAYS(P887,$Y$1)</f>
        <v>39</v>
      </c>
      <c r="Z887" s="14">
        <v>1</v>
      </c>
      <c r="AA887" s="1" t="str">
        <f t="shared" ca="1" si="65"/>
        <v>VENCIDO</v>
      </c>
      <c r="AB887" s="1" t="str">
        <f t="shared" si="66"/>
        <v>TAAe+</v>
      </c>
      <c r="AC887" s="2" t="str">
        <f t="shared" si="67"/>
        <v xml:space="preserve"> RINALDO </v>
      </c>
      <c r="AD887" s="2">
        <f t="shared" si="68"/>
        <v>8</v>
      </c>
      <c r="AE887" s="2">
        <f t="shared" ca="1" si="69"/>
        <v>-53.926271643518703</v>
      </c>
    </row>
    <row r="888" spans="1:31" hidden="1">
      <c r="A888" s="1">
        <v>9303886</v>
      </c>
      <c r="B888" s="1" t="s">
        <v>101</v>
      </c>
      <c r="C888" t="s">
        <v>1751</v>
      </c>
      <c r="E888" s="2">
        <v>9661000206201</v>
      </c>
      <c r="F888" s="1" t="s">
        <v>208</v>
      </c>
      <c r="G888" s="1" t="s">
        <v>53</v>
      </c>
      <c r="H888" s="1" t="s">
        <v>31</v>
      </c>
      <c r="I888" s="1" t="s">
        <v>32</v>
      </c>
      <c r="J888" s="1" t="s">
        <v>33</v>
      </c>
      <c r="K888" t="s">
        <v>212</v>
      </c>
      <c r="M888" s="1" t="s">
        <v>35</v>
      </c>
      <c r="N888" s="1">
        <v>42318949</v>
      </c>
      <c r="O888" s="1" t="s">
        <v>105</v>
      </c>
      <c r="P888" s="11" t="s">
        <v>1754</v>
      </c>
      <c r="R888" s="1" t="s">
        <v>38</v>
      </c>
      <c r="T888" s="1" t="s">
        <v>74</v>
      </c>
      <c r="U888" s="186">
        <v>44932.75</v>
      </c>
      <c r="V888" s="1" t="s">
        <v>41</v>
      </c>
      <c r="W888" s="1" t="s">
        <v>42</v>
      </c>
      <c r="X888" s="13" t="str">
        <f>IF(RIGHT(H888,2)&lt;&gt;"00",H888,"")</f>
        <v/>
      </c>
      <c r="Y888" s="2">
        <f ca="1">NETWORKDAYS(P888,$Y$1)</f>
        <v>39</v>
      </c>
      <c r="Z888" s="14">
        <v>1</v>
      </c>
      <c r="AA888" s="1" t="str">
        <f t="shared" ca="1" si="65"/>
        <v>VENCIDO</v>
      </c>
      <c r="AB888" s="1" t="str">
        <f t="shared" si="66"/>
        <v>TAAe+</v>
      </c>
      <c r="AC888" s="2" t="str">
        <f t="shared" si="67"/>
        <v xml:space="preserve"> ROSEMERE </v>
      </c>
      <c r="AD888" s="2">
        <f t="shared" si="68"/>
        <v>8</v>
      </c>
      <c r="AE888" s="2">
        <f t="shared" ca="1" si="69"/>
        <v>-53.926271643518703</v>
      </c>
    </row>
    <row r="889" spans="1:31" hidden="1">
      <c r="A889" s="1">
        <v>9303849</v>
      </c>
      <c r="B889" s="1" t="s">
        <v>101</v>
      </c>
      <c r="C889" t="s">
        <v>1751</v>
      </c>
      <c r="E889" s="2">
        <v>9406000206201</v>
      </c>
      <c r="F889" s="1" t="s">
        <v>208</v>
      </c>
      <c r="G889" s="1" t="s">
        <v>53</v>
      </c>
      <c r="H889" s="1" t="s">
        <v>114</v>
      </c>
      <c r="I889" s="1" t="s">
        <v>115</v>
      </c>
      <c r="J889" s="1" t="s">
        <v>46</v>
      </c>
      <c r="K889" t="s">
        <v>212</v>
      </c>
      <c r="M889" s="1" t="s">
        <v>35</v>
      </c>
      <c r="N889" s="1">
        <v>42318949</v>
      </c>
      <c r="O889" s="1" t="s">
        <v>105</v>
      </c>
      <c r="P889" s="11" t="s">
        <v>1755</v>
      </c>
      <c r="R889" s="1" t="s">
        <v>38</v>
      </c>
      <c r="T889" s="1" t="s">
        <v>74</v>
      </c>
      <c r="U889" s="186">
        <v>44932.75</v>
      </c>
      <c r="V889" s="1" t="s">
        <v>41</v>
      </c>
      <c r="W889" s="1" t="s">
        <v>49</v>
      </c>
      <c r="X889" s="13" t="str">
        <f>IF(RIGHT(H889,2)&lt;&gt;"00",H889,"")</f>
        <v/>
      </c>
      <c r="Y889" s="2">
        <f ca="1">NETWORKDAYS(P889,$Y$1)</f>
        <v>39</v>
      </c>
      <c r="Z889" s="14">
        <v>1</v>
      </c>
      <c r="AA889" s="1" t="str">
        <f t="shared" ca="1" si="65"/>
        <v>VENCIDO</v>
      </c>
      <c r="AB889" s="1" t="str">
        <f t="shared" si="66"/>
        <v>TAAe+</v>
      </c>
      <c r="AC889" s="2" t="str">
        <f t="shared" si="67"/>
        <v xml:space="preserve"> CLEITON </v>
      </c>
      <c r="AD889" s="2">
        <f t="shared" si="68"/>
        <v>8</v>
      </c>
      <c r="AE889" s="2">
        <f t="shared" ca="1" si="69"/>
        <v>-53.926271643518703</v>
      </c>
    </row>
    <row r="890" spans="1:31" hidden="1">
      <c r="A890" s="181">
        <v>9303360</v>
      </c>
      <c r="B890" s="181" t="s">
        <v>101</v>
      </c>
      <c r="C890" s="182" t="s">
        <v>3597</v>
      </c>
      <c r="D890" s="183"/>
      <c r="E890" s="183">
        <v>9705000206001</v>
      </c>
      <c r="F890" s="181" t="s">
        <v>29</v>
      </c>
      <c r="G890" s="181" t="s">
        <v>53</v>
      </c>
      <c r="H890" s="181" t="s">
        <v>204</v>
      </c>
      <c r="I890" s="181" t="s">
        <v>205</v>
      </c>
      <c r="J890" s="181" t="s">
        <v>90</v>
      </c>
      <c r="K890" t="s">
        <v>34</v>
      </c>
      <c r="M890" s="1" t="s">
        <v>35</v>
      </c>
      <c r="N890" s="1">
        <v>42318949</v>
      </c>
      <c r="O890" s="1" t="s">
        <v>105</v>
      </c>
      <c r="P890" s="11" t="s">
        <v>1757</v>
      </c>
      <c r="R890" s="1" t="s">
        <v>38</v>
      </c>
      <c r="T890" s="1" t="s">
        <v>74</v>
      </c>
      <c r="U890" s="186">
        <v>44932.75</v>
      </c>
      <c r="V890" s="1" t="s">
        <v>41</v>
      </c>
      <c r="W890" s="1" t="s">
        <v>49</v>
      </c>
      <c r="X890" s="13" t="str">
        <f>IF(RIGHT(H890,2)&lt;&gt;"00",H890,"")</f>
        <v/>
      </c>
      <c r="Y890" s="2">
        <f ca="1">NETWORKDAYS(P890,$Y$1)</f>
        <v>39</v>
      </c>
      <c r="Z890" s="14">
        <v>1</v>
      </c>
      <c r="AA890" s="1" t="str">
        <f t="shared" ca="1" si="65"/>
        <v>VENCIDO</v>
      </c>
      <c r="AB890" s="1" t="str">
        <f t="shared" si="66"/>
        <v>Dosa</v>
      </c>
      <c r="AC890" s="2" t="str">
        <f t="shared" si="67"/>
        <v xml:space="preserve"> RINALDO </v>
      </c>
      <c r="AD890" s="2">
        <f t="shared" si="68"/>
        <v>5</v>
      </c>
      <c r="AE890" s="2">
        <f t="shared" ca="1" si="69"/>
        <v>-53.926271643518703</v>
      </c>
    </row>
    <row r="891" spans="1:31" hidden="1">
      <c r="A891" s="181">
        <v>9303359</v>
      </c>
      <c r="B891" s="181" t="s">
        <v>101</v>
      </c>
      <c r="C891" s="182" t="s">
        <v>3597</v>
      </c>
      <c r="D891" s="183"/>
      <c r="E891" s="183">
        <v>9705000206001</v>
      </c>
      <c r="F891" s="181" t="s">
        <v>29</v>
      </c>
      <c r="G891" s="181" t="s">
        <v>53</v>
      </c>
      <c r="H891" s="181" t="s">
        <v>204</v>
      </c>
      <c r="I891" s="181" t="s">
        <v>205</v>
      </c>
      <c r="J891" s="181" t="s">
        <v>90</v>
      </c>
      <c r="K891" t="s">
        <v>34</v>
      </c>
      <c r="M891" s="1" t="s">
        <v>35</v>
      </c>
      <c r="N891" s="1">
        <v>42318949</v>
      </c>
      <c r="O891" s="1" t="s">
        <v>105</v>
      </c>
      <c r="P891" s="11" t="s">
        <v>1757</v>
      </c>
      <c r="R891" s="1" t="s">
        <v>38</v>
      </c>
      <c r="T891" s="1" t="s">
        <v>74</v>
      </c>
      <c r="U891" s="186">
        <v>44932.75</v>
      </c>
      <c r="V891" s="1" t="s">
        <v>41</v>
      </c>
      <c r="W891" s="1" t="s">
        <v>49</v>
      </c>
      <c r="X891" s="13" t="str">
        <f>IF(RIGHT(H891,2)&lt;&gt;"00",H891,"")</f>
        <v/>
      </c>
      <c r="Y891" s="2">
        <f ca="1">NETWORKDAYS(P891,$Y$1)</f>
        <v>39</v>
      </c>
      <c r="Z891" s="14">
        <v>1</v>
      </c>
      <c r="AA891" s="1" t="str">
        <f t="shared" ca="1" si="65"/>
        <v>VENCIDO</v>
      </c>
      <c r="AB891" s="1" t="str">
        <f t="shared" si="66"/>
        <v>Dosa</v>
      </c>
      <c r="AC891" s="2" t="str">
        <f t="shared" si="67"/>
        <v xml:space="preserve"> RINALDO </v>
      </c>
      <c r="AD891" s="2">
        <f t="shared" si="68"/>
        <v>5</v>
      </c>
      <c r="AE891" s="2">
        <f t="shared" ca="1" si="69"/>
        <v>-53.926271643518703</v>
      </c>
    </row>
    <row r="892" spans="1:31" hidden="1">
      <c r="A892" s="181">
        <v>9303358</v>
      </c>
      <c r="B892" s="181" t="s">
        <v>101</v>
      </c>
      <c r="C892" s="182" t="s">
        <v>3597</v>
      </c>
      <c r="D892" s="183"/>
      <c r="E892" s="183">
        <v>9705000206001</v>
      </c>
      <c r="F892" s="181" t="s">
        <v>29</v>
      </c>
      <c r="G892" s="181" t="s">
        <v>53</v>
      </c>
      <c r="H892" s="181" t="s">
        <v>204</v>
      </c>
      <c r="I892" s="181" t="s">
        <v>205</v>
      </c>
      <c r="J892" s="181" t="s">
        <v>90</v>
      </c>
      <c r="K892" t="s">
        <v>34</v>
      </c>
      <c r="M892" s="1" t="s">
        <v>35</v>
      </c>
      <c r="N892" s="1">
        <v>42318949</v>
      </c>
      <c r="O892" s="1" t="s">
        <v>105</v>
      </c>
      <c r="P892" s="11" t="s">
        <v>1757</v>
      </c>
      <c r="R892" s="1" t="s">
        <v>38</v>
      </c>
      <c r="T892" s="1" t="s">
        <v>74</v>
      </c>
      <c r="U892" s="186">
        <v>44932.75</v>
      </c>
      <c r="V892" s="1" t="s">
        <v>41</v>
      </c>
      <c r="W892" s="1" t="s">
        <v>49</v>
      </c>
      <c r="X892" s="13" t="str">
        <f>IF(RIGHT(H892,2)&lt;&gt;"00",H892,"")</f>
        <v/>
      </c>
      <c r="Y892" s="2">
        <f ca="1">NETWORKDAYS(P892,$Y$1)</f>
        <v>39</v>
      </c>
      <c r="Z892" s="14">
        <v>1</v>
      </c>
      <c r="AA892" s="1" t="str">
        <f t="shared" ref="AA892:AA955" ca="1" si="70">IF(AE892=0,"HOJE",IF(AE892&gt;0,"A VENCER",IF(AE892&lt;0,"VENCIDO")))</f>
        <v>VENCIDO</v>
      </c>
      <c r="AB892" s="1" t="str">
        <f t="shared" ref="AB892:AB955" si="71">IF(F892="GRPE-000001","C-14",IF(F892="GRPE-000002","C-14",IF(F892="GRPE-000003","C-14",IF(F892="GRPE-000004","SL-On",IF(F892="GRPE-000038","C-14",IF(F892="GRPE-900022","Dosa",IF(F892="GRPE-000029","Dosa",IF(F892="ATOS-000222","Dose","TAAe+"))))))))</f>
        <v>Dosa</v>
      </c>
      <c r="AC892" s="2" t="str">
        <f t="shared" ref="AC892:AC955" si="72">IF(J892="TR-PETROLINA"," ROSEMERE ",IF(J892="TR-GARANHUNS"," ROSEMERE ",IF(J892="TR-CARUARU"," ROSEMERE ",IF(J892="TR-RIBEIRAO"," CRISTINA ",IF(J892="TR-GRAVATA"," CRISTINA ",IF(J892="TR-GOIANA"," CRISTINA ",IF(J892="TR-LIMOEIRO"," CRISTINA ",IF(J892="TR-SERRA TALHADA"," RINALDO ",IF(J892="TR-SALGUEIRO"," RINALDO ",IF(J892="TR-CARNAIBA"," RINALDO ",IF(J892="TR-ARCOVERDE"," RINALDO ",IF(J892="CAT-RECIFE"," CLEITON ",))))))))))))</f>
        <v xml:space="preserve"> RINALDO </v>
      </c>
      <c r="AD892" s="2">
        <f t="shared" ref="AD892:AD955" si="73">IF(F892="GRPE-000001",5,IF(F892="GRPE-000002",5,IF(F892="GRPE-000003",15,IF(F892="GRPE-000004",1,IF(F892="GRPE-000038",5,IF(F892="GRPE-900022",5,IF(F892="GRPE-000029",5,IF(F892="ATOS-000222",5,8))))))))</f>
        <v>5</v>
      </c>
      <c r="AE892" s="2">
        <f t="shared" ref="AE892:AE955" ca="1" si="74">IF(U892=$AE$1,"",U892-$AE$1)</f>
        <v>-53.926271643518703</v>
      </c>
    </row>
    <row r="893" spans="1:31" hidden="1">
      <c r="A893" s="1">
        <v>9303357</v>
      </c>
      <c r="B893" s="1" t="s">
        <v>101</v>
      </c>
      <c r="C893" t="s">
        <v>1756</v>
      </c>
      <c r="E893" s="2">
        <v>9704000206001</v>
      </c>
      <c r="F893" s="1" t="s">
        <v>29</v>
      </c>
      <c r="G893" s="1" t="s">
        <v>53</v>
      </c>
      <c r="H893" s="1" t="s">
        <v>488</v>
      </c>
      <c r="I893" s="1" t="s">
        <v>489</v>
      </c>
      <c r="J893" s="1" t="s">
        <v>164</v>
      </c>
      <c r="K893" t="s">
        <v>34</v>
      </c>
      <c r="M893" s="1" t="s">
        <v>35</v>
      </c>
      <c r="N893" s="1">
        <v>42318949</v>
      </c>
      <c r="O893" s="1" t="s">
        <v>105</v>
      </c>
      <c r="P893" s="11" t="s">
        <v>1757</v>
      </c>
      <c r="R893" s="1" t="s">
        <v>38</v>
      </c>
      <c r="T893" s="1" t="s">
        <v>74</v>
      </c>
      <c r="U893" s="186">
        <v>44932.75</v>
      </c>
      <c r="V893" s="1" t="s">
        <v>41</v>
      </c>
      <c r="W893" s="1" t="s">
        <v>49</v>
      </c>
      <c r="X893" s="13" t="str">
        <f>IF(RIGHT(H893,2)&lt;&gt;"00",H893,"")</f>
        <v/>
      </c>
      <c r="Y893" s="2">
        <f ca="1">NETWORKDAYS(P893,$Y$1)</f>
        <v>39</v>
      </c>
      <c r="Z893" s="14">
        <v>1</v>
      </c>
      <c r="AA893" s="1" t="str">
        <f t="shared" ca="1" si="70"/>
        <v>VENCIDO</v>
      </c>
      <c r="AB893" s="1" t="str">
        <f t="shared" si="71"/>
        <v>Dosa</v>
      </c>
      <c r="AC893" s="2" t="str">
        <f t="shared" si="72"/>
        <v xml:space="preserve"> ROSEMERE </v>
      </c>
      <c r="AD893" s="2">
        <f t="shared" si="73"/>
        <v>5</v>
      </c>
      <c r="AE893" s="2">
        <f t="shared" ca="1" si="74"/>
        <v>-53.926271643518703</v>
      </c>
    </row>
    <row r="894" spans="1:31" hidden="1">
      <c r="A894" s="1">
        <v>9303355</v>
      </c>
      <c r="B894" s="1" t="s">
        <v>101</v>
      </c>
      <c r="C894" t="s">
        <v>1756</v>
      </c>
      <c r="E894" s="2">
        <v>9704000206001</v>
      </c>
      <c r="F894" s="1" t="s">
        <v>29</v>
      </c>
      <c r="G894" s="1" t="s">
        <v>53</v>
      </c>
      <c r="H894" s="1" t="s">
        <v>488</v>
      </c>
      <c r="I894" s="1" t="s">
        <v>489</v>
      </c>
      <c r="J894" s="1" t="s">
        <v>164</v>
      </c>
      <c r="K894" t="s">
        <v>34</v>
      </c>
      <c r="M894" s="1" t="s">
        <v>35</v>
      </c>
      <c r="N894" s="1">
        <v>42318949</v>
      </c>
      <c r="O894" s="1" t="s">
        <v>105</v>
      </c>
      <c r="P894" s="11" t="s">
        <v>1757</v>
      </c>
      <c r="R894" s="1" t="s">
        <v>38</v>
      </c>
      <c r="T894" s="1" t="s">
        <v>74</v>
      </c>
      <c r="U894" s="186">
        <v>44932.75</v>
      </c>
      <c r="V894" s="1" t="s">
        <v>41</v>
      </c>
      <c r="W894" s="1" t="s">
        <v>49</v>
      </c>
      <c r="X894" s="13" t="str">
        <f>IF(RIGHT(H894,2)&lt;&gt;"00",H894,"")</f>
        <v/>
      </c>
      <c r="Y894" s="2">
        <f ca="1">NETWORKDAYS(P894,$Y$1)</f>
        <v>39</v>
      </c>
      <c r="Z894" s="14">
        <v>1</v>
      </c>
      <c r="AA894" s="1" t="str">
        <f t="shared" ca="1" si="70"/>
        <v>VENCIDO</v>
      </c>
      <c r="AB894" s="1" t="str">
        <f t="shared" si="71"/>
        <v>Dosa</v>
      </c>
      <c r="AC894" s="2" t="str">
        <f t="shared" si="72"/>
        <v xml:space="preserve"> ROSEMERE </v>
      </c>
      <c r="AD894" s="2">
        <f t="shared" si="73"/>
        <v>5</v>
      </c>
      <c r="AE894" s="2">
        <f t="shared" ca="1" si="74"/>
        <v>-53.926271643518703</v>
      </c>
    </row>
    <row r="895" spans="1:31" hidden="1">
      <c r="A895" s="1">
        <v>9303354</v>
      </c>
      <c r="B895" s="1" t="s">
        <v>101</v>
      </c>
      <c r="C895" t="s">
        <v>1756</v>
      </c>
      <c r="E895" s="2">
        <v>9703000206001</v>
      </c>
      <c r="F895" s="1" t="s">
        <v>29</v>
      </c>
      <c r="G895" s="1" t="s">
        <v>53</v>
      </c>
      <c r="H895" s="1" t="s">
        <v>494</v>
      </c>
      <c r="I895" s="1" t="s">
        <v>495</v>
      </c>
      <c r="J895" s="1" t="s">
        <v>79</v>
      </c>
      <c r="K895" t="s">
        <v>34</v>
      </c>
      <c r="M895" s="1" t="s">
        <v>35</v>
      </c>
      <c r="N895" s="1">
        <v>42318949</v>
      </c>
      <c r="O895" s="1" t="s">
        <v>105</v>
      </c>
      <c r="P895" s="11" t="s">
        <v>1757</v>
      </c>
      <c r="R895" s="1" t="s">
        <v>38</v>
      </c>
      <c r="T895" s="1" t="s">
        <v>74</v>
      </c>
      <c r="U895" s="186">
        <v>44932.75</v>
      </c>
      <c r="V895" s="1" t="s">
        <v>41</v>
      </c>
      <c r="W895" s="1" t="s">
        <v>49</v>
      </c>
      <c r="X895" s="13" t="str">
        <f>IF(RIGHT(H895,2)&lt;&gt;"00",H895,"")</f>
        <v/>
      </c>
      <c r="Y895" s="2">
        <f ca="1">NETWORKDAYS(P895,$Y$1)</f>
        <v>39</v>
      </c>
      <c r="Z895" s="14">
        <v>1</v>
      </c>
      <c r="AA895" s="1" t="str">
        <f t="shared" ca="1" si="70"/>
        <v>VENCIDO</v>
      </c>
      <c r="AB895" s="1" t="str">
        <f t="shared" si="71"/>
        <v>Dosa</v>
      </c>
      <c r="AC895" s="2" t="str">
        <f t="shared" si="72"/>
        <v xml:space="preserve"> ROSEMERE </v>
      </c>
      <c r="AD895" s="2">
        <f t="shared" si="73"/>
        <v>5</v>
      </c>
      <c r="AE895" s="2">
        <f t="shared" ca="1" si="74"/>
        <v>-53.926271643518703</v>
      </c>
    </row>
    <row r="896" spans="1:31" hidden="1">
      <c r="A896" s="1">
        <v>9303353</v>
      </c>
      <c r="B896" s="1" t="s">
        <v>101</v>
      </c>
      <c r="C896" t="s">
        <v>1756</v>
      </c>
      <c r="E896" s="2">
        <v>9703000206001</v>
      </c>
      <c r="F896" s="1" t="s">
        <v>29</v>
      </c>
      <c r="G896" s="1" t="s">
        <v>53</v>
      </c>
      <c r="H896" s="1" t="s">
        <v>494</v>
      </c>
      <c r="I896" s="1" t="s">
        <v>495</v>
      </c>
      <c r="J896" s="1" t="s">
        <v>79</v>
      </c>
      <c r="K896" t="s">
        <v>34</v>
      </c>
      <c r="M896" s="1" t="s">
        <v>35</v>
      </c>
      <c r="N896" s="1">
        <v>42318949</v>
      </c>
      <c r="O896" s="1" t="s">
        <v>105</v>
      </c>
      <c r="P896" s="11" t="s">
        <v>1757</v>
      </c>
      <c r="R896" s="1" t="s">
        <v>38</v>
      </c>
      <c r="T896" s="1" t="s">
        <v>74</v>
      </c>
      <c r="U896" s="186">
        <v>44932.75</v>
      </c>
      <c r="V896" s="1" t="s">
        <v>41</v>
      </c>
      <c r="W896" s="1" t="s">
        <v>49</v>
      </c>
      <c r="X896" s="13" t="str">
        <f>IF(RIGHT(H896,2)&lt;&gt;"00",H896,"")</f>
        <v/>
      </c>
      <c r="Y896" s="2">
        <f ca="1">NETWORKDAYS(P896,$Y$1)</f>
        <v>39</v>
      </c>
      <c r="Z896" s="14">
        <v>1</v>
      </c>
      <c r="AA896" s="1" t="str">
        <f t="shared" ca="1" si="70"/>
        <v>VENCIDO</v>
      </c>
      <c r="AB896" s="1" t="str">
        <f t="shared" si="71"/>
        <v>Dosa</v>
      </c>
      <c r="AC896" s="2" t="str">
        <f t="shared" si="72"/>
        <v xml:space="preserve"> ROSEMERE </v>
      </c>
      <c r="AD896" s="2">
        <f t="shared" si="73"/>
        <v>5</v>
      </c>
      <c r="AE896" s="2">
        <f t="shared" ca="1" si="74"/>
        <v>-53.926271643518703</v>
      </c>
    </row>
    <row r="897" spans="1:31" hidden="1">
      <c r="A897" s="1">
        <v>9303352</v>
      </c>
      <c r="B897" s="1" t="s">
        <v>101</v>
      </c>
      <c r="C897" t="s">
        <v>1756</v>
      </c>
      <c r="E897" s="2">
        <v>9700000206001</v>
      </c>
      <c r="F897" s="1" t="s">
        <v>29</v>
      </c>
      <c r="G897" s="1" t="s">
        <v>53</v>
      </c>
      <c r="H897" s="1" t="s">
        <v>209</v>
      </c>
      <c r="I897" s="1" t="s">
        <v>210</v>
      </c>
      <c r="J897" s="1" t="s">
        <v>211</v>
      </c>
      <c r="K897" t="s">
        <v>34</v>
      </c>
      <c r="M897" s="1" t="s">
        <v>35</v>
      </c>
      <c r="N897" s="1">
        <v>42318949</v>
      </c>
      <c r="O897" s="1" t="s">
        <v>105</v>
      </c>
      <c r="P897" s="11" t="s">
        <v>1758</v>
      </c>
      <c r="R897" s="1" t="s">
        <v>38</v>
      </c>
      <c r="T897" s="1" t="s">
        <v>74</v>
      </c>
      <c r="U897" s="186">
        <v>44932.75</v>
      </c>
      <c r="V897" s="1" t="s">
        <v>41</v>
      </c>
      <c r="W897" s="1" t="s">
        <v>49</v>
      </c>
      <c r="X897" s="13" t="str">
        <f>IF(RIGHT(H897,2)&lt;&gt;"00",H897,"")</f>
        <v/>
      </c>
      <c r="Y897" s="2">
        <f ca="1">NETWORKDAYS(P897,$Y$1)</f>
        <v>39</v>
      </c>
      <c r="Z897" s="14">
        <v>1</v>
      </c>
      <c r="AA897" s="1" t="str">
        <f t="shared" ca="1" si="70"/>
        <v>VENCIDO</v>
      </c>
      <c r="AB897" s="1" t="str">
        <f t="shared" si="71"/>
        <v>Dosa</v>
      </c>
      <c r="AC897" s="2" t="str">
        <f t="shared" si="72"/>
        <v xml:space="preserve"> RINALDO </v>
      </c>
      <c r="AD897" s="2">
        <f t="shared" si="73"/>
        <v>5</v>
      </c>
      <c r="AE897" s="2">
        <f t="shared" ca="1" si="74"/>
        <v>-53.926271643518703</v>
      </c>
    </row>
    <row r="898" spans="1:31" hidden="1">
      <c r="A898" s="1">
        <v>9303351</v>
      </c>
      <c r="B898" s="1" t="s">
        <v>101</v>
      </c>
      <c r="C898" t="s">
        <v>1756</v>
      </c>
      <c r="E898" s="2">
        <v>9700000206001</v>
      </c>
      <c r="F898" s="1" t="s">
        <v>29</v>
      </c>
      <c r="G898" s="1" t="s">
        <v>53</v>
      </c>
      <c r="H898" s="1" t="s">
        <v>209</v>
      </c>
      <c r="I898" s="1" t="s">
        <v>210</v>
      </c>
      <c r="J898" s="1" t="s">
        <v>211</v>
      </c>
      <c r="K898" t="s">
        <v>34</v>
      </c>
      <c r="M898" s="1" t="s">
        <v>35</v>
      </c>
      <c r="N898" s="1">
        <v>42318949</v>
      </c>
      <c r="O898" s="1" t="s">
        <v>105</v>
      </c>
      <c r="P898" s="11" t="s">
        <v>1758</v>
      </c>
      <c r="R898" s="1" t="s">
        <v>38</v>
      </c>
      <c r="T898" s="1" t="s">
        <v>74</v>
      </c>
      <c r="U898" s="186">
        <v>44932.75</v>
      </c>
      <c r="V898" s="1" t="s">
        <v>41</v>
      </c>
      <c r="W898" s="1" t="s">
        <v>49</v>
      </c>
      <c r="X898" s="13" t="str">
        <f>IF(RIGHT(H898,2)&lt;&gt;"00",H898,"")</f>
        <v/>
      </c>
      <c r="Y898" s="2">
        <f ca="1">NETWORKDAYS(P898,$Y$1)</f>
        <v>39</v>
      </c>
      <c r="Z898" s="14">
        <v>1</v>
      </c>
      <c r="AA898" s="1" t="str">
        <f t="shared" ca="1" si="70"/>
        <v>VENCIDO</v>
      </c>
      <c r="AB898" s="1" t="str">
        <f t="shared" si="71"/>
        <v>Dosa</v>
      </c>
      <c r="AC898" s="2" t="str">
        <f t="shared" si="72"/>
        <v xml:space="preserve"> RINALDO </v>
      </c>
      <c r="AD898" s="2">
        <f t="shared" si="73"/>
        <v>5</v>
      </c>
      <c r="AE898" s="2">
        <f t="shared" ca="1" si="74"/>
        <v>-53.926271643518703</v>
      </c>
    </row>
    <row r="899" spans="1:31" hidden="1">
      <c r="A899" s="1">
        <v>9303071</v>
      </c>
      <c r="B899" s="1" t="s">
        <v>101</v>
      </c>
      <c r="C899" t="s">
        <v>1756</v>
      </c>
      <c r="E899" s="2">
        <v>9406000206001</v>
      </c>
      <c r="F899" s="1" t="s">
        <v>29</v>
      </c>
      <c r="G899" s="1" t="s">
        <v>53</v>
      </c>
      <c r="H899" s="1" t="s">
        <v>114</v>
      </c>
      <c r="I899" s="1" t="s">
        <v>115</v>
      </c>
      <c r="J899" s="1" t="s">
        <v>46</v>
      </c>
      <c r="K899" t="s">
        <v>34</v>
      </c>
      <c r="M899" s="1" t="s">
        <v>35</v>
      </c>
      <c r="N899" s="1">
        <v>42318949</v>
      </c>
      <c r="O899" s="1" t="s">
        <v>105</v>
      </c>
      <c r="P899" s="11" t="s">
        <v>1759</v>
      </c>
      <c r="R899" s="1" t="s">
        <v>38</v>
      </c>
      <c r="T899" s="1" t="s">
        <v>74</v>
      </c>
      <c r="U899" s="186">
        <v>44932.75</v>
      </c>
      <c r="V899" s="1" t="s">
        <v>41</v>
      </c>
      <c r="W899" s="1" t="s">
        <v>49</v>
      </c>
      <c r="X899" s="13" t="str">
        <f>IF(RIGHT(H899,2)&lt;&gt;"00",H899,"")</f>
        <v/>
      </c>
      <c r="Y899" s="2">
        <f ca="1">NETWORKDAYS(P899,$Y$1)</f>
        <v>39</v>
      </c>
      <c r="Z899" s="14">
        <v>1</v>
      </c>
      <c r="AA899" s="1" t="str">
        <f t="shared" ca="1" si="70"/>
        <v>VENCIDO</v>
      </c>
      <c r="AB899" s="1" t="str">
        <f t="shared" si="71"/>
        <v>Dosa</v>
      </c>
      <c r="AC899" s="2" t="str">
        <f t="shared" si="72"/>
        <v xml:space="preserve"> CLEITON </v>
      </c>
      <c r="AD899" s="2">
        <f t="shared" si="73"/>
        <v>5</v>
      </c>
      <c r="AE899" s="2">
        <f t="shared" ca="1" si="74"/>
        <v>-53.926271643518703</v>
      </c>
    </row>
    <row r="900" spans="1:31" hidden="1">
      <c r="A900" s="1">
        <v>9303070</v>
      </c>
      <c r="B900" s="1" t="s">
        <v>101</v>
      </c>
      <c r="C900" t="s">
        <v>1756</v>
      </c>
      <c r="E900" s="2">
        <v>9406000206001</v>
      </c>
      <c r="F900" s="1" t="s">
        <v>29</v>
      </c>
      <c r="G900" s="1" t="s">
        <v>53</v>
      </c>
      <c r="H900" s="1" t="s">
        <v>114</v>
      </c>
      <c r="I900" s="1" t="s">
        <v>115</v>
      </c>
      <c r="J900" s="1" t="s">
        <v>46</v>
      </c>
      <c r="K900" t="s">
        <v>34</v>
      </c>
      <c r="M900" s="1" t="s">
        <v>35</v>
      </c>
      <c r="N900" s="1">
        <v>42318949</v>
      </c>
      <c r="O900" s="1" t="s">
        <v>105</v>
      </c>
      <c r="P900" s="11" t="s">
        <v>1760</v>
      </c>
      <c r="R900" s="1" t="s">
        <v>38</v>
      </c>
      <c r="T900" s="1" t="s">
        <v>74</v>
      </c>
      <c r="U900" s="186">
        <v>44932.75</v>
      </c>
      <c r="V900" s="1" t="s">
        <v>41</v>
      </c>
      <c r="W900" s="1" t="s">
        <v>49</v>
      </c>
      <c r="X900" s="13" t="str">
        <f>IF(RIGHT(H900,2)&lt;&gt;"00",H900,"")</f>
        <v/>
      </c>
      <c r="Y900" s="2">
        <f ca="1">NETWORKDAYS(P900,$Y$1)</f>
        <v>39</v>
      </c>
      <c r="Z900" s="14">
        <v>1</v>
      </c>
      <c r="AA900" s="1" t="str">
        <f t="shared" ca="1" si="70"/>
        <v>VENCIDO</v>
      </c>
      <c r="AB900" s="1" t="str">
        <f t="shared" si="71"/>
        <v>Dosa</v>
      </c>
      <c r="AC900" s="2" t="str">
        <f t="shared" si="72"/>
        <v xml:space="preserve"> CLEITON </v>
      </c>
      <c r="AD900" s="2">
        <f t="shared" si="73"/>
        <v>5</v>
      </c>
      <c r="AE900" s="2">
        <f t="shared" ca="1" si="74"/>
        <v>-53.926271643518703</v>
      </c>
    </row>
    <row r="901" spans="1:31" hidden="1">
      <c r="A901" s="1">
        <v>9303069</v>
      </c>
      <c r="B901" s="1" t="s">
        <v>101</v>
      </c>
      <c r="C901" t="s">
        <v>1756</v>
      </c>
      <c r="E901" s="2">
        <v>9406000206001</v>
      </c>
      <c r="F901" s="1" t="s">
        <v>29</v>
      </c>
      <c r="G901" s="1" t="s">
        <v>53</v>
      </c>
      <c r="H901" s="1" t="s">
        <v>114</v>
      </c>
      <c r="I901" s="1" t="s">
        <v>115</v>
      </c>
      <c r="J901" s="1" t="s">
        <v>46</v>
      </c>
      <c r="K901" t="s">
        <v>34</v>
      </c>
      <c r="M901" s="1" t="s">
        <v>35</v>
      </c>
      <c r="N901" s="1">
        <v>42318949</v>
      </c>
      <c r="O901" s="1" t="s">
        <v>105</v>
      </c>
      <c r="P901" s="11" t="s">
        <v>1760</v>
      </c>
      <c r="R901" s="1" t="s">
        <v>38</v>
      </c>
      <c r="T901" s="1" t="s">
        <v>74</v>
      </c>
      <c r="U901" s="186">
        <v>44932.75</v>
      </c>
      <c r="V901" s="1" t="s">
        <v>41</v>
      </c>
      <c r="W901" s="1" t="s">
        <v>49</v>
      </c>
      <c r="X901" s="13" t="str">
        <f>IF(RIGHT(H901,2)&lt;&gt;"00",H901,"")</f>
        <v/>
      </c>
      <c r="Y901" s="2">
        <f ca="1">NETWORKDAYS(P901,$Y$1)</f>
        <v>39</v>
      </c>
      <c r="Z901" s="14">
        <v>1</v>
      </c>
      <c r="AA901" s="1" t="str">
        <f t="shared" ca="1" si="70"/>
        <v>VENCIDO</v>
      </c>
      <c r="AB901" s="1" t="str">
        <f t="shared" si="71"/>
        <v>Dosa</v>
      </c>
      <c r="AC901" s="2" t="str">
        <f t="shared" si="72"/>
        <v xml:space="preserve"> CLEITON </v>
      </c>
      <c r="AD901" s="2">
        <f t="shared" si="73"/>
        <v>5</v>
      </c>
      <c r="AE901" s="2">
        <f t="shared" ca="1" si="74"/>
        <v>-53.926271643518703</v>
      </c>
    </row>
    <row r="902" spans="1:31" hidden="1">
      <c r="A902" s="1">
        <v>9303068</v>
      </c>
      <c r="B902" s="1" t="s">
        <v>101</v>
      </c>
      <c r="C902" t="s">
        <v>1756</v>
      </c>
      <c r="E902" s="2">
        <v>9406000206001</v>
      </c>
      <c r="F902" s="1" t="s">
        <v>29</v>
      </c>
      <c r="G902" s="1" t="s">
        <v>53</v>
      </c>
      <c r="H902" s="1" t="s">
        <v>114</v>
      </c>
      <c r="I902" s="1" t="s">
        <v>115</v>
      </c>
      <c r="J902" s="1" t="s">
        <v>46</v>
      </c>
      <c r="K902" t="s">
        <v>34</v>
      </c>
      <c r="M902" s="1" t="s">
        <v>35</v>
      </c>
      <c r="N902" s="1">
        <v>42318949</v>
      </c>
      <c r="O902" s="1" t="s">
        <v>105</v>
      </c>
      <c r="P902" s="11" t="s">
        <v>1760</v>
      </c>
      <c r="R902" s="1" t="s">
        <v>38</v>
      </c>
      <c r="T902" s="1" t="s">
        <v>74</v>
      </c>
      <c r="U902" s="186">
        <v>44932.75</v>
      </c>
      <c r="V902" s="1" t="s">
        <v>41</v>
      </c>
      <c r="W902" s="1" t="s">
        <v>49</v>
      </c>
      <c r="X902" s="13" t="str">
        <f>IF(RIGHT(H902,2)&lt;&gt;"00",H902,"")</f>
        <v/>
      </c>
      <c r="Y902" s="2">
        <f ca="1">NETWORKDAYS(P902,$Y$1)</f>
        <v>39</v>
      </c>
      <c r="Z902" s="14">
        <v>1</v>
      </c>
      <c r="AA902" s="1" t="str">
        <f t="shared" ca="1" si="70"/>
        <v>VENCIDO</v>
      </c>
      <c r="AB902" s="1" t="str">
        <f t="shared" si="71"/>
        <v>Dosa</v>
      </c>
      <c r="AC902" s="2" t="str">
        <f t="shared" si="72"/>
        <v xml:space="preserve"> CLEITON </v>
      </c>
      <c r="AD902" s="2">
        <f t="shared" si="73"/>
        <v>5</v>
      </c>
      <c r="AE902" s="2">
        <f t="shared" ca="1" si="74"/>
        <v>-53.926271643518703</v>
      </c>
    </row>
    <row r="903" spans="1:31" hidden="1">
      <c r="A903" s="1">
        <v>9303067</v>
      </c>
      <c r="B903" s="1" t="s">
        <v>101</v>
      </c>
      <c r="C903" t="s">
        <v>1756</v>
      </c>
      <c r="E903" s="2">
        <v>9406000206001</v>
      </c>
      <c r="F903" s="1" t="s">
        <v>29</v>
      </c>
      <c r="G903" s="1" t="s">
        <v>53</v>
      </c>
      <c r="H903" s="1" t="s">
        <v>114</v>
      </c>
      <c r="I903" s="1" t="s">
        <v>115</v>
      </c>
      <c r="J903" s="1" t="s">
        <v>46</v>
      </c>
      <c r="K903" t="s">
        <v>34</v>
      </c>
      <c r="M903" s="1" t="s">
        <v>35</v>
      </c>
      <c r="N903" s="1">
        <v>42318949</v>
      </c>
      <c r="O903" s="1" t="s">
        <v>105</v>
      </c>
      <c r="P903" s="11" t="s">
        <v>1760</v>
      </c>
      <c r="R903" s="1" t="s">
        <v>38</v>
      </c>
      <c r="T903" s="1" t="s">
        <v>74</v>
      </c>
      <c r="U903" s="186">
        <v>44932.75</v>
      </c>
      <c r="V903" s="1" t="s">
        <v>41</v>
      </c>
      <c r="W903" s="1" t="s">
        <v>49</v>
      </c>
      <c r="X903" s="13" t="str">
        <f>IF(RIGHT(H903,2)&lt;&gt;"00",H903,"")</f>
        <v/>
      </c>
      <c r="Y903" s="2">
        <f ca="1">NETWORKDAYS(P903,$Y$1)</f>
        <v>39</v>
      </c>
      <c r="Z903" s="14">
        <v>1</v>
      </c>
      <c r="AA903" s="1" t="str">
        <f t="shared" ca="1" si="70"/>
        <v>VENCIDO</v>
      </c>
      <c r="AB903" s="1" t="str">
        <f t="shared" si="71"/>
        <v>Dosa</v>
      </c>
      <c r="AC903" s="2" t="str">
        <f t="shared" si="72"/>
        <v xml:space="preserve"> CLEITON </v>
      </c>
      <c r="AD903" s="2">
        <f t="shared" si="73"/>
        <v>5</v>
      </c>
      <c r="AE903" s="2">
        <f t="shared" ca="1" si="74"/>
        <v>-53.926271643518703</v>
      </c>
    </row>
    <row r="904" spans="1:31" hidden="1">
      <c r="A904" s="1">
        <v>9303066</v>
      </c>
      <c r="B904" s="1" t="s">
        <v>101</v>
      </c>
      <c r="C904" t="s">
        <v>1756</v>
      </c>
      <c r="E904" s="2">
        <v>9406000206001</v>
      </c>
      <c r="F904" s="1" t="s">
        <v>29</v>
      </c>
      <c r="G904" s="1" t="s">
        <v>53</v>
      </c>
      <c r="H904" s="1" t="s">
        <v>114</v>
      </c>
      <c r="I904" s="1" t="s">
        <v>115</v>
      </c>
      <c r="J904" s="1" t="s">
        <v>46</v>
      </c>
      <c r="K904" t="s">
        <v>34</v>
      </c>
      <c r="M904" s="1" t="s">
        <v>35</v>
      </c>
      <c r="N904" s="1">
        <v>42318949</v>
      </c>
      <c r="O904" s="1" t="s">
        <v>105</v>
      </c>
      <c r="P904" s="11" t="s">
        <v>1760</v>
      </c>
      <c r="R904" s="1" t="s">
        <v>38</v>
      </c>
      <c r="T904" s="1" t="s">
        <v>74</v>
      </c>
      <c r="U904" s="186">
        <v>44932.75</v>
      </c>
      <c r="V904" s="1" t="s">
        <v>41</v>
      </c>
      <c r="W904" s="1" t="s">
        <v>49</v>
      </c>
      <c r="X904" s="13" t="str">
        <f>IF(RIGHT(H904,2)&lt;&gt;"00",H904,"")</f>
        <v/>
      </c>
      <c r="Y904" s="2">
        <f ca="1">NETWORKDAYS(P904,$Y$1)</f>
        <v>39</v>
      </c>
      <c r="Z904" s="14">
        <v>1</v>
      </c>
      <c r="AA904" s="1" t="str">
        <f t="shared" ca="1" si="70"/>
        <v>VENCIDO</v>
      </c>
      <c r="AB904" s="1" t="str">
        <f t="shared" si="71"/>
        <v>Dosa</v>
      </c>
      <c r="AC904" s="2" t="str">
        <f t="shared" si="72"/>
        <v xml:space="preserve"> CLEITON </v>
      </c>
      <c r="AD904" s="2">
        <f t="shared" si="73"/>
        <v>5</v>
      </c>
      <c r="AE904" s="2">
        <f t="shared" ca="1" si="74"/>
        <v>-53.926271643518703</v>
      </c>
    </row>
    <row r="905" spans="1:31" hidden="1">
      <c r="A905" s="1">
        <v>9303065</v>
      </c>
      <c r="B905" s="1" t="s">
        <v>101</v>
      </c>
      <c r="C905" t="s">
        <v>1756</v>
      </c>
      <c r="E905" s="2">
        <v>9406000206001</v>
      </c>
      <c r="F905" s="1" t="s">
        <v>29</v>
      </c>
      <c r="G905" s="1" t="s">
        <v>53</v>
      </c>
      <c r="H905" s="1" t="s">
        <v>114</v>
      </c>
      <c r="I905" s="1" t="s">
        <v>115</v>
      </c>
      <c r="J905" s="1" t="s">
        <v>46</v>
      </c>
      <c r="K905" t="s">
        <v>34</v>
      </c>
      <c r="M905" s="1" t="s">
        <v>35</v>
      </c>
      <c r="N905" s="1">
        <v>42318949</v>
      </c>
      <c r="O905" s="1" t="s">
        <v>105</v>
      </c>
      <c r="P905" s="11" t="s">
        <v>1760</v>
      </c>
      <c r="R905" s="1" t="s">
        <v>38</v>
      </c>
      <c r="T905" s="1" t="s">
        <v>74</v>
      </c>
      <c r="U905" s="186">
        <v>44932.75</v>
      </c>
      <c r="V905" s="1" t="s">
        <v>41</v>
      </c>
      <c r="W905" s="1" t="s">
        <v>49</v>
      </c>
      <c r="X905" s="13" t="str">
        <f>IF(RIGHT(H905,2)&lt;&gt;"00",H905,"")</f>
        <v/>
      </c>
      <c r="Y905" s="2">
        <f ca="1">NETWORKDAYS(P905,$Y$1)</f>
        <v>39</v>
      </c>
      <c r="Z905" s="14">
        <v>1</v>
      </c>
      <c r="AA905" s="1" t="str">
        <f t="shared" ca="1" si="70"/>
        <v>VENCIDO</v>
      </c>
      <c r="AB905" s="1" t="str">
        <f t="shared" si="71"/>
        <v>Dosa</v>
      </c>
      <c r="AC905" s="2" t="str">
        <f t="shared" si="72"/>
        <v xml:space="preserve"> CLEITON </v>
      </c>
      <c r="AD905" s="2">
        <f t="shared" si="73"/>
        <v>5</v>
      </c>
      <c r="AE905" s="2">
        <f t="shared" ca="1" si="74"/>
        <v>-53.926271643518703</v>
      </c>
    </row>
    <row r="906" spans="1:31" hidden="1">
      <c r="A906" s="181">
        <v>9301763</v>
      </c>
      <c r="B906" s="181" t="s">
        <v>101</v>
      </c>
      <c r="C906" s="182" t="s">
        <v>3598</v>
      </c>
      <c r="D906" s="183"/>
      <c r="E906" s="183">
        <v>9705000206001</v>
      </c>
      <c r="F906" s="181" t="s">
        <v>29</v>
      </c>
      <c r="G906" s="181" t="s">
        <v>53</v>
      </c>
      <c r="H906" s="181" t="s">
        <v>204</v>
      </c>
      <c r="I906" s="181" t="s">
        <v>205</v>
      </c>
      <c r="J906" s="181" t="s">
        <v>90</v>
      </c>
      <c r="K906" t="s">
        <v>34</v>
      </c>
      <c r="M906" s="1" t="s">
        <v>35</v>
      </c>
      <c r="N906" s="1">
        <v>42318949</v>
      </c>
      <c r="O906" s="1" t="s">
        <v>105</v>
      </c>
      <c r="P906" s="11" t="s">
        <v>1762</v>
      </c>
      <c r="R906" s="1" t="s">
        <v>38</v>
      </c>
      <c r="T906" s="1" t="s">
        <v>74</v>
      </c>
      <c r="U906" s="11" t="s">
        <v>1341</v>
      </c>
      <c r="V906" s="1" t="s">
        <v>41</v>
      </c>
      <c r="W906" s="1" t="s">
        <v>49</v>
      </c>
      <c r="X906" s="13" t="str">
        <f>IF(RIGHT(H906,2)&lt;&gt;"00",H906,"")</f>
        <v/>
      </c>
      <c r="Y906" s="2">
        <f ca="1">NETWORKDAYS(P906,$Y$1)</f>
        <v>39</v>
      </c>
      <c r="Z906" s="14">
        <v>1</v>
      </c>
      <c r="AA906" s="1" t="str">
        <f t="shared" ca="1" si="70"/>
        <v>VENCIDO</v>
      </c>
      <c r="AB906" s="1" t="str">
        <f t="shared" si="71"/>
        <v>Dosa</v>
      </c>
      <c r="AC906" s="2" t="str">
        <f t="shared" si="72"/>
        <v xml:space="preserve"> RINALDO </v>
      </c>
      <c r="AD906" s="2">
        <f t="shared" si="73"/>
        <v>5</v>
      </c>
      <c r="AE906" s="2">
        <f t="shared" ca="1" si="74"/>
        <v>-53.926271643518703</v>
      </c>
    </row>
    <row r="907" spans="1:31" hidden="1">
      <c r="A907" s="181">
        <v>9301762</v>
      </c>
      <c r="B907" s="181" t="s">
        <v>101</v>
      </c>
      <c r="C907" s="182" t="s">
        <v>3598</v>
      </c>
      <c r="D907" s="183"/>
      <c r="E907" s="183">
        <v>9705000206001</v>
      </c>
      <c r="F907" s="181" t="s">
        <v>29</v>
      </c>
      <c r="G907" s="181" t="s">
        <v>53</v>
      </c>
      <c r="H907" s="181" t="s">
        <v>204</v>
      </c>
      <c r="I907" s="181" t="s">
        <v>205</v>
      </c>
      <c r="J907" s="181" t="s">
        <v>90</v>
      </c>
      <c r="K907" t="s">
        <v>34</v>
      </c>
      <c r="M907" s="1" t="s">
        <v>35</v>
      </c>
      <c r="N907" s="1">
        <v>42318949</v>
      </c>
      <c r="O907" s="1" t="s">
        <v>105</v>
      </c>
      <c r="P907" s="11" t="s">
        <v>1762</v>
      </c>
      <c r="R907" s="1" t="s">
        <v>38</v>
      </c>
      <c r="T907" s="1" t="s">
        <v>74</v>
      </c>
      <c r="U907" s="11" t="s">
        <v>1341</v>
      </c>
      <c r="V907" s="1" t="s">
        <v>41</v>
      </c>
      <c r="W907" s="1" t="s">
        <v>49</v>
      </c>
      <c r="X907" s="13" t="str">
        <f>IF(RIGHT(H907,2)&lt;&gt;"00",H907,"")</f>
        <v/>
      </c>
      <c r="Y907" s="2">
        <f ca="1">NETWORKDAYS(P907,$Y$1)</f>
        <v>39</v>
      </c>
      <c r="Z907" s="14">
        <v>1</v>
      </c>
      <c r="AA907" s="1" t="str">
        <f t="shared" ca="1" si="70"/>
        <v>VENCIDO</v>
      </c>
      <c r="AB907" s="1" t="str">
        <f t="shared" si="71"/>
        <v>Dosa</v>
      </c>
      <c r="AC907" s="2" t="str">
        <f t="shared" si="72"/>
        <v xml:space="preserve"> RINALDO </v>
      </c>
      <c r="AD907" s="2">
        <f t="shared" si="73"/>
        <v>5</v>
      </c>
      <c r="AE907" s="2">
        <f t="shared" ca="1" si="74"/>
        <v>-53.926271643518703</v>
      </c>
    </row>
    <row r="908" spans="1:31" hidden="1">
      <c r="A908" s="181">
        <v>9301761</v>
      </c>
      <c r="B908" s="181" t="s">
        <v>101</v>
      </c>
      <c r="C908" s="182" t="s">
        <v>3598</v>
      </c>
      <c r="D908" s="183"/>
      <c r="E908" s="183">
        <v>9705000206001</v>
      </c>
      <c r="F908" s="181" t="s">
        <v>29</v>
      </c>
      <c r="G908" s="181" t="s">
        <v>53</v>
      </c>
      <c r="H908" s="181" t="s">
        <v>204</v>
      </c>
      <c r="I908" s="181" t="s">
        <v>205</v>
      </c>
      <c r="J908" s="181" t="s">
        <v>90</v>
      </c>
      <c r="K908" t="s">
        <v>34</v>
      </c>
      <c r="M908" s="1" t="s">
        <v>35</v>
      </c>
      <c r="N908" s="1">
        <v>42318949</v>
      </c>
      <c r="O908" s="1" t="s">
        <v>105</v>
      </c>
      <c r="P908" s="11" t="s">
        <v>1762</v>
      </c>
      <c r="R908" s="1" t="s">
        <v>38</v>
      </c>
      <c r="T908" s="1" t="s">
        <v>74</v>
      </c>
      <c r="U908" s="11" t="s">
        <v>1341</v>
      </c>
      <c r="V908" s="1" t="s">
        <v>41</v>
      </c>
      <c r="W908" s="1" t="s">
        <v>49</v>
      </c>
      <c r="X908" s="13" t="str">
        <f>IF(RIGHT(H908,2)&lt;&gt;"00",H908,"")</f>
        <v/>
      </c>
      <c r="Y908" s="2">
        <f ca="1">NETWORKDAYS(P908,$Y$1)</f>
        <v>39</v>
      </c>
      <c r="Z908" s="14">
        <v>1</v>
      </c>
      <c r="AA908" s="1" t="str">
        <f t="shared" ca="1" si="70"/>
        <v>VENCIDO</v>
      </c>
      <c r="AB908" s="1" t="str">
        <f t="shared" si="71"/>
        <v>Dosa</v>
      </c>
      <c r="AC908" s="2" t="str">
        <f t="shared" si="72"/>
        <v xml:space="preserve"> RINALDO </v>
      </c>
      <c r="AD908" s="2">
        <f t="shared" si="73"/>
        <v>5</v>
      </c>
      <c r="AE908" s="2">
        <f t="shared" ca="1" si="74"/>
        <v>-53.926271643518703</v>
      </c>
    </row>
    <row r="909" spans="1:31" hidden="1">
      <c r="A909" s="1">
        <v>9301760</v>
      </c>
      <c r="B909" s="1" t="s">
        <v>101</v>
      </c>
      <c r="C909" t="s">
        <v>1761</v>
      </c>
      <c r="E909" s="2">
        <v>9704000206001</v>
      </c>
      <c r="F909" s="1" t="s">
        <v>29</v>
      </c>
      <c r="G909" s="1" t="s">
        <v>53</v>
      </c>
      <c r="H909" s="1" t="s">
        <v>488</v>
      </c>
      <c r="I909" s="1" t="s">
        <v>489</v>
      </c>
      <c r="J909" s="1" t="s">
        <v>164</v>
      </c>
      <c r="K909" t="s">
        <v>34</v>
      </c>
      <c r="M909" s="1" t="s">
        <v>35</v>
      </c>
      <c r="N909" s="1">
        <v>42318949</v>
      </c>
      <c r="O909" s="1" t="s">
        <v>105</v>
      </c>
      <c r="P909" s="11" t="s">
        <v>1762</v>
      </c>
      <c r="R909" s="1" t="s">
        <v>38</v>
      </c>
      <c r="T909" s="1" t="s">
        <v>74</v>
      </c>
      <c r="U909" s="11" t="s">
        <v>1341</v>
      </c>
      <c r="V909" s="1" t="s">
        <v>41</v>
      </c>
      <c r="W909" s="1" t="s">
        <v>49</v>
      </c>
      <c r="X909" s="13" t="str">
        <f>IF(RIGHT(H909,2)&lt;&gt;"00",H909,"")</f>
        <v/>
      </c>
      <c r="Y909" s="2">
        <f ca="1">NETWORKDAYS(P909,$Y$1)</f>
        <v>39</v>
      </c>
      <c r="Z909" s="14">
        <v>1</v>
      </c>
      <c r="AA909" s="1" t="str">
        <f t="shared" ca="1" si="70"/>
        <v>VENCIDO</v>
      </c>
      <c r="AB909" s="1" t="str">
        <f t="shared" si="71"/>
        <v>Dosa</v>
      </c>
      <c r="AC909" s="2" t="str">
        <f t="shared" si="72"/>
        <v xml:space="preserve"> ROSEMERE </v>
      </c>
      <c r="AD909" s="2">
        <f t="shared" si="73"/>
        <v>5</v>
      </c>
      <c r="AE909" s="2">
        <f t="shared" ca="1" si="74"/>
        <v>-53.926271643518703</v>
      </c>
    </row>
    <row r="910" spans="1:31" hidden="1">
      <c r="A910" s="1">
        <v>9301759</v>
      </c>
      <c r="B910" s="1" t="s">
        <v>101</v>
      </c>
      <c r="C910" t="s">
        <v>1761</v>
      </c>
      <c r="E910" s="2">
        <v>9704000206001</v>
      </c>
      <c r="F910" s="1" t="s">
        <v>29</v>
      </c>
      <c r="G910" s="1" t="s">
        <v>53</v>
      </c>
      <c r="H910" s="1" t="s">
        <v>488</v>
      </c>
      <c r="I910" s="1" t="s">
        <v>489</v>
      </c>
      <c r="J910" s="1" t="s">
        <v>164</v>
      </c>
      <c r="K910" t="s">
        <v>34</v>
      </c>
      <c r="M910" s="1" t="s">
        <v>35</v>
      </c>
      <c r="N910" s="1">
        <v>42318949</v>
      </c>
      <c r="O910" s="1" t="s">
        <v>105</v>
      </c>
      <c r="P910" s="11" t="s">
        <v>1762</v>
      </c>
      <c r="R910" s="1" t="s">
        <v>38</v>
      </c>
      <c r="T910" s="1" t="s">
        <v>74</v>
      </c>
      <c r="U910" s="11" t="s">
        <v>1341</v>
      </c>
      <c r="V910" s="1" t="s">
        <v>41</v>
      </c>
      <c r="W910" s="1" t="s">
        <v>49</v>
      </c>
      <c r="X910" s="13" t="str">
        <f>IF(RIGHT(H910,2)&lt;&gt;"00",H910,"")</f>
        <v/>
      </c>
      <c r="Y910" s="2">
        <f ca="1">NETWORKDAYS(P910,$Y$1)</f>
        <v>39</v>
      </c>
      <c r="Z910" s="14">
        <v>1</v>
      </c>
      <c r="AA910" s="1" t="str">
        <f t="shared" ca="1" si="70"/>
        <v>VENCIDO</v>
      </c>
      <c r="AB910" s="1" t="str">
        <f t="shared" si="71"/>
        <v>Dosa</v>
      </c>
      <c r="AC910" s="2" t="str">
        <f t="shared" si="72"/>
        <v xml:space="preserve"> ROSEMERE </v>
      </c>
      <c r="AD910" s="2">
        <f t="shared" si="73"/>
        <v>5</v>
      </c>
      <c r="AE910" s="2">
        <f t="shared" ca="1" si="74"/>
        <v>-53.926271643518703</v>
      </c>
    </row>
    <row r="911" spans="1:31" hidden="1">
      <c r="A911" s="1">
        <v>9301758</v>
      </c>
      <c r="B911" s="1" t="s">
        <v>101</v>
      </c>
      <c r="C911" t="s">
        <v>1761</v>
      </c>
      <c r="E911" s="2">
        <v>9704000206001</v>
      </c>
      <c r="F911" s="1" t="s">
        <v>29</v>
      </c>
      <c r="G911" s="1" t="s">
        <v>53</v>
      </c>
      <c r="H911" s="1" t="s">
        <v>488</v>
      </c>
      <c r="I911" s="1" t="s">
        <v>489</v>
      </c>
      <c r="J911" s="1" t="s">
        <v>164</v>
      </c>
      <c r="K911" t="s">
        <v>34</v>
      </c>
      <c r="M911" s="1" t="s">
        <v>35</v>
      </c>
      <c r="N911" s="1">
        <v>42318949</v>
      </c>
      <c r="O911" s="1" t="s">
        <v>105</v>
      </c>
      <c r="P911" s="11" t="s">
        <v>1762</v>
      </c>
      <c r="R911" s="1" t="s">
        <v>38</v>
      </c>
      <c r="T911" s="1" t="s">
        <v>74</v>
      </c>
      <c r="U911" s="11" t="s">
        <v>1341</v>
      </c>
      <c r="V911" s="1" t="s">
        <v>41</v>
      </c>
      <c r="W911" s="1" t="s">
        <v>49</v>
      </c>
      <c r="X911" s="13" t="str">
        <f>IF(RIGHT(H911,2)&lt;&gt;"00",H911,"")</f>
        <v/>
      </c>
      <c r="Y911" s="2">
        <f ca="1">NETWORKDAYS(P911,$Y$1)</f>
        <v>39</v>
      </c>
      <c r="Z911" s="14">
        <v>1</v>
      </c>
      <c r="AA911" s="1" t="str">
        <f t="shared" ca="1" si="70"/>
        <v>VENCIDO</v>
      </c>
      <c r="AB911" s="1" t="str">
        <f t="shared" si="71"/>
        <v>Dosa</v>
      </c>
      <c r="AC911" s="2" t="str">
        <f t="shared" si="72"/>
        <v xml:space="preserve"> ROSEMERE </v>
      </c>
      <c r="AD911" s="2">
        <f t="shared" si="73"/>
        <v>5</v>
      </c>
      <c r="AE911" s="2">
        <f t="shared" ca="1" si="74"/>
        <v>-53.926271643518703</v>
      </c>
    </row>
    <row r="912" spans="1:31" hidden="1">
      <c r="A912" s="1">
        <v>9301757</v>
      </c>
      <c r="B912" s="1" t="s">
        <v>101</v>
      </c>
      <c r="C912" t="s">
        <v>1761</v>
      </c>
      <c r="E912" s="2">
        <v>9704000206001</v>
      </c>
      <c r="F912" s="1" t="s">
        <v>29</v>
      </c>
      <c r="G912" s="1" t="s">
        <v>53</v>
      </c>
      <c r="H912" s="1" t="s">
        <v>488</v>
      </c>
      <c r="I912" s="1" t="s">
        <v>489</v>
      </c>
      <c r="J912" s="1" t="s">
        <v>164</v>
      </c>
      <c r="K912" t="s">
        <v>34</v>
      </c>
      <c r="M912" s="1" t="s">
        <v>35</v>
      </c>
      <c r="N912" s="1">
        <v>42318949</v>
      </c>
      <c r="O912" s="1" t="s">
        <v>105</v>
      </c>
      <c r="P912" s="11" t="s">
        <v>1762</v>
      </c>
      <c r="R912" s="1" t="s">
        <v>38</v>
      </c>
      <c r="T912" s="1" t="s">
        <v>74</v>
      </c>
      <c r="U912" s="11" t="s">
        <v>1341</v>
      </c>
      <c r="V912" s="1" t="s">
        <v>41</v>
      </c>
      <c r="W912" s="1" t="s">
        <v>49</v>
      </c>
      <c r="X912" s="13" t="str">
        <f>IF(RIGHT(H912,2)&lt;&gt;"00",H912,"")</f>
        <v/>
      </c>
      <c r="Y912" s="2">
        <f ca="1">NETWORKDAYS(P912,$Y$1)</f>
        <v>39</v>
      </c>
      <c r="Z912" s="14">
        <v>1</v>
      </c>
      <c r="AA912" s="1" t="str">
        <f t="shared" ca="1" si="70"/>
        <v>VENCIDO</v>
      </c>
      <c r="AB912" s="1" t="str">
        <f t="shared" si="71"/>
        <v>Dosa</v>
      </c>
      <c r="AC912" s="2" t="str">
        <f t="shared" si="72"/>
        <v xml:space="preserve"> ROSEMERE </v>
      </c>
      <c r="AD912" s="2">
        <f t="shared" si="73"/>
        <v>5</v>
      </c>
      <c r="AE912" s="2">
        <f t="shared" ca="1" si="74"/>
        <v>-53.926271643518703</v>
      </c>
    </row>
    <row r="913" spans="1:31" hidden="1">
      <c r="A913" s="1">
        <v>9301756</v>
      </c>
      <c r="B913" s="1" t="s">
        <v>101</v>
      </c>
      <c r="C913" t="s">
        <v>1761</v>
      </c>
      <c r="E913" s="2">
        <v>9703000206001</v>
      </c>
      <c r="F913" s="1" t="s">
        <v>29</v>
      </c>
      <c r="G913" s="1" t="s">
        <v>53</v>
      </c>
      <c r="H913" s="1" t="s">
        <v>494</v>
      </c>
      <c r="I913" s="1" t="s">
        <v>495</v>
      </c>
      <c r="J913" s="1" t="s">
        <v>79</v>
      </c>
      <c r="K913" t="s">
        <v>34</v>
      </c>
      <c r="M913" s="1" t="s">
        <v>35</v>
      </c>
      <c r="N913" s="1">
        <v>42318949</v>
      </c>
      <c r="O913" s="1" t="s">
        <v>105</v>
      </c>
      <c r="P913" s="11" t="s">
        <v>1763</v>
      </c>
      <c r="R913" s="1" t="s">
        <v>38</v>
      </c>
      <c r="T913" s="1" t="s">
        <v>74</v>
      </c>
      <c r="U913" s="11" t="s">
        <v>1341</v>
      </c>
      <c r="V913" s="1" t="s">
        <v>41</v>
      </c>
      <c r="W913" s="1" t="s">
        <v>49</v>
      </c>
      <c r="X913" s="13" t="str">
        <f>IF(RIGHT(H913,2)&lt;&gt;"00",H913,"")</f>
        <v/>
      </c>
      <c r="Y913" s="2">
        <f ca="1">NETWORKDAYS(P913,$Y$1)</f>
        <v>39</v>
      </c>
      <c r="Z913" s="14">
        <v>1</v>
      </c>
      <c r="AA913" s="1" t="str">
        <f t="shared" ca="1" si="70"/>
        <v>VENCIDO</v>
      </c>
      <c r="AB913" s="1" t="str">
        <f t="shared" si="71"/>
        <v>Dosa</v>
      </c>
      <c r="AC913" s="2" t="str">
        <f t="shared" si="72"/>
        <v xml:space="preserve"> ROSEMERE </v>
      </c>
      <c r="AD913" s="2">
        <f t="shared" si="73"/>
        <v>5</v>
      </c>
      <c r="AE913" s="2">
        <f t="shared" ca="1" si="74"/>
        <v>-53.926271643518703</v>
      </c>
    </row>
    <row r="914" spans="1:31" hidden="1">
      <c r="A914" s="1">
        <v>9301755</v>
      </c>
      <c r="B914" s="1" t="s">
        <v>101</v>
      </c>
      <c r="C914" t="s">
        <v>1761</v>
      </c>
      <c r="E914" s="2">
        <v>9703000206001</v>
      </c>
      <c r="F914" s="1" t="s">
        <v>29</v>
      </c>
      <c r="G914" s="1" t="s">
        <v>53</v>
      </c>
      <c r="H914" s="1" t="s">
        <v>494</v>
      </c>
      <c r="I914" s="1" t="s">
        <v>495</v>
      </c>
      <c r="J914" s="1" t="s">
        <v>79</v>
      </c>
      <c r="K914" t="s">
        <v>34</v>
      </c>
      <c r="M914" s="1" t="s">
        <v>35</v>
      </c>
      <c r="N914" s="1">
        <v>42318949</v>
      </c>
      <c r="O914" s="1" t="s">
        <v>105</v>
      </c>
      <c r="P914" s="11" t="s">
        <v>1763</v>
      </c>
      <c r="R914" s="1" t="s">
        <v>38</v>
      </c>
      <c r="T914" s="1" t="s">
        <v>74</v>
      </c>
      <c r="U914" s="11" t="s">
        <v>1341</v>
      </c>
      <c r="V914" s="1" t="s">
        <v>41</v>
      </c>
      <c r="W914" s="1" t="s">
        <v>49</v>
      </c>
      <c r="X914" s="13" t="str">
        <f>IF(RIGHT(H914,2)&lt;&gt;"00",H914,"")</f>
        <v/>
      </c>
      <c r="Y914" s="2">
        <f ca="1">NETWORKDAYS(P914,$Y$1)</f>
        <v>39</v>
      </c>
      <c r="Z914" s="14">
        <v>1</v>
      </c>
      <c r="AA914" s="1" t="str">
        <f t="shared" ca="1" si="70"/>
        <v>VENCIDO</v>
      </c>
      <c r="AB914" s="1" t="str">
        <f t="shared" si="71"/>
        <v>Dosa</v>
      </c>
      <c r="AC914" s="2" t="str">
        <f t="shared" si="72"/>
        <v xml:space="preserve"> ROSEMERE </v>
      </c>
      <c r="AD914" s="2">
        <f t="shared" si="73"/>
        <v>5</v>
      </c>
      <c r="AE914" s="2">
        <f t="shared" ca="1" si="74"/>
        <v>-53.926271643518703</v>
      </c>
    </row>
    <row r="915" spans="1:31" hidden="1">
      <c r="A915" s="1">
        <v>9301754</v>
      </c>
      <c r="B915" s="1" t="s">
        <v>101</v>
      </c>
      <c r="C915" t="s">
        <v>1761</v>
      </c>
      <c r="E915" s="2">
        <v>9703000206001</v>
      </c>
      <c r="F915" s="1" t="s">
        <v>29</v>
      </c>
      <c r="G915" s="1" t="s">
        <v>53</v>
      </c>
      <c r="H915" s="1" t="s">
        <v>494</v>
      </c>
      <c r="I915" s="1" t="s">
        <v>495</v>
      </c>
      <c r="J915" s="1" t="s">
        <v>79</v>
      </c>
      <c r="K915" t="s">
        <v>34</v>
      </c>
      <c r="M915" s="1" t="s">
        <v>35</v>
      </c>
      <c r="N915" s="1">
        <v>42318949</v>
      </c>
      <c r="O915" s="1" t="s">
        <v>105</v>
      </c>
      <c r="P915" s="11" t="s">
        <v>1763</v>
      </c>
      <c r="R915" s="1" t="s">
        <v>38</v>
      </c>
      <c r="T915" s="1" t="s">
        <v>74</v>
      </c>
      <c r="U915" s="11" t="s">
        <v>1341</v>
      </c>
      <c r="V915" s="1" t="s">
        <v>41</v>
      </c>
      <c r="W915" s="1" t="s">
        <v>49</v>
      </c>
      <c r="X915" s="13" t="str">
        <f>IF(RIGHT(H915,2)&lt;&gt;"00",H915,"")</f>
        <v/>
      </c>
      <c r="Y915" s="2">
        <f ca="1">NETWORKDAYS(P915,$Y$1)</f>
        <v>39</v>
      </c>
      <c r="Z915" s="14">
        <v>1</v>
      </c>
      <c r="AA915" s="1" t="str">
        <f t="shared" ca="1" si="70"/>
        <v>VENCIDO</v>
      </c>
      <c r="AB915" s="1" t="str">
        <f t="shared" si="71"/>
        <v>Dosa</v>
      </c>
      <c r="AC915" s="2" t="str">
        <f t="shared" si="72"/>
        <v xml:space="preserve"> ROSEMERE </v>
      </c>
      <c r="AD915" s="2">
        <f t="shared" si="73"/>
        <v>5</v>
      </c>
      <c r="AE915" s="2">
        <f t="shared" ca="1" si="74"/>
        <v>-53.926271643518703</v>
      </c>
    </row>
    <row r="916" spans="1:31" hidden="1">
      <c r="A916" s="1">
        <v>9301753</v>
      </c>
      <c r="B916" s="1" t="s">
        <v>101</v>
      </c>
      <c r="C916" t="s">
        <v>1761</v>
      </c>
      <c r="E916" s="2">
        <v>9700000206001</v>
      </c>
      <c r="F916" s="1" t="s">
        <v>29</v>
      </c>
      <c r="G916" s="1" t="s">
        <v>53</v>
      </c>
      <c r="H916" s="1" t="s">
        <v>209</v>
      </c>
      <c r="I916" s="1" t="s">
        <v>210</v>
      </c>
      <c r="J916" s="1" t="s">
        <v>211</v>
      </c>
      <c r="K916" t="s">
        <v>34</v>
      </c>
      <c r="M916" s="1" t="s">
        <v>35</v>
      </c>
      <c r="N916" s="1">
        <v>42318949</v>
      </c>
      <c r="O916" s="1" t="s">
        <v>105</v>
      </c>
      <c r="P916" s="11" t="s">
        <v>1763</v>
      </c>
      <c r="R916" s="1" t="s">
        <v>38</v>
      </c>
      <c r="T916" s="1" t="s">
        <v>74</v>
      </c>
      <c r="U916" s="11" t="s">
        <v>1341</v>
      </c>
      <c r="V916" s="1" t="s">
        <v>41</v>
      </c>
      <c r="W916" s="1" t="s">
        <v>49</v>
      </c>
      <c r="X916" s="13" t="str">
        <f>IF(RIGHT(H916,2)&lt;&gt;"00",H916,"")</f>
        <v/>
      </c>
      <c r="Y916" s="2">
        <f ca="1">NETWORKDAYS(P916,$Y$1)</f>
        <v>39</v>
      </c>
      <c r="Z916" s="14">
        <v>1</v>
      </c>
      <c r="AA916" s="1" t="str">
        <f t="shared" ca="1" si="70"/>
        <v>VENCIDO</v>
      </c>
      <c r="AB916" s="1" t="str">
        <f t="shared" si="71"/>
        <v>Dosa</v>
      </c>
      <c r="AC916" s="2" t="str">
        <f t="shared" si="72"/>
        <v xml:space="preserve"> RINALDO </v>
      </c>
      <c r="AD916" s="2">
        <f t="shared" si="73"/>
        <v>5</v>
      </c>
      <c r="AE916" s="2">
        <f t="shared" ca="1" si="74"/>
        <v>-53.926271643518703</v>
      </c>
    </row>
    <row r="917" spans="1:31" hidden="1">
      <c r="A917" s="1">
        <v>9301752</v>
      </c>
      <c r="B917" s="1" t="s">
        <v>101</v>
      </c>
      <c r="C917" t="s">
        <v>1761</v>
      </c>
      <c r="E917" s="2">
        <v>9700000206001</v>
      </c>
      <c r="F917" s="1" t="s">
        <v>29</v>
      </c>
      <c r="G917" s="1" t="s">
        <v>53</v>
      </c>
      <c r="H917" s="1" t="s">
        <v>209</v>
      </c>
      <c r="I917" s="1" t="s">
        <v>210</v>
      </c>
      <c r="J917" s="1" t="s">
        <v>211</v>
      </c>
      <c r="K917" t="s">
        <v>34</v>
      </c>
      <c r="M917" s="1" t="s">
        <v>35</v>
      </c>
      <c r="N917" s="1">
        <v>42318949</v>
      </c>
      <c r="O917" s="1" t="s">
        <v>105</v>
      </c>
      <c r="P917" s="11" t="s">
        <v>1763</v>
      </c>
      <c r="R917" s="1" t="s">
        <v>38</v>
      </c>
      <c r="T917" s="1" t="s">
        <v>74</v>
      </c>
      <c r="U917" s="11" t="s">
        <v>1341</v>
      </c>
      <c r="V917" s="1" t="s">
        <v>41</v>
      </c>
      <c r="W917" s="1" t="s">
        <v>49</v>
      </c>
      <c r="X917" s="13" t="str">
        <f>IF(RIGHT(H917,2)&lt;&gt;"00",H917,"")</f>
        <v/>
      </c>
      <c r="Y917" s="2">
        <f ca="1">NETWORKDAYS(P917,$Y$1)</f>
        <v>39</v>
      </c>
      <c r="Z917" s="14">
        <v>1</v>
      </c>
      <c r="AA917" s="1" t="str">
        <f t="shared" ca="1" si="70"/>
        <v>VENCIDO</v>
      </c>
      <c r="AB917" s="1" t="str">
        <f t="shared" si="71"/>
        <v>Dosa</v>
      </c>
      <c r="AC917" s="2" t="str">
        <f t="shared" si="72"/>
        <v xml:space="preserve"> RINALDO </v>
      </c>
      <c r="AD917" s="2">
        <f t="shared" si="73"/>
        <v>5</v>
      </c>
      <c r="AE917" s="2">
        <f t="shared" ca="1" si="74"/>
        <v>-53.926271643518703</v>
      </c>
    </row>
    <row r="918" spans="1:31" hidden="1">
      <c r="A918" s="1">
        <v>9301751</v>
      </c>
      <c r="B918" s="1" t="s">
        <v>101</v>
      </c>
      <c r="C918" t="s">
        <v>1761</v>
      </c>
      <c r="E918" s="2">
        <v>9700000206001</v>
      </c>
      <c r="F918" s="1" t="s">
        <v>29</v>
      </c>
      <c r="G918" s="1" t="s">
        <v>53</v>
      </c>
      <c r="H918" s="1" t="s">
        <v>209</v>
      </c>
      <c r="I918" s="1" t="s">
        <v>210</v>
      </c>
      <c r="J918" s="1" t="s">
        <v>211</v>
      </c>
      <c r="K918" t="s">
        <v>34</v>
      </c>
      <c r="M918" s="1" t="s">
        <v>35</v>
      </c>
      <c r="N918" s="1">
        <v>42318949</v>
      </c>
      <c r="O918" s="1" t="s">
        <v>105</v>
      </c>
      <c r="P918" s="11" t="s">
        <v>1763</v>
      </c>
      <c r="R918" s="1" t="s">
        <v>38</v>
      </c>
      <c r="T918" s="1" t="s">
        <v>74</v>
      </c>
      <c r="U918" s="11" t="s">
        <v>1341</v>
      </c>
      <c r="V918" s="1" t="s">
        <v>41</v>
      </c>
      <c r="W918" s="1" t="s">
        <v>49</v>
      </c>
      <c r="X918" s="13" t="str">
        <f>IF(RIGHT(H918,2)&lt;&gt;"00",H918,"")</f>
        <v/>
      </c>
      <c r="Y918" s="2">
        <f ca="1">NETWORKDAYS(P918,$Y$1)</f>
        <v>39</v>
      </c>
      <c r="Z918" s="14">
        <v>1</v>
      </c>
      <c r="AA918" s="1" t="str">
        <f t="shared" ca="1" si="70"/>
        <v>VENCIDO</v>
      </c>
      <c r="AB918" s="1" t="str">
        <f t="shared" si="71"/>
        <v>Dosa</v>
      </c>
      <c r="AC918" s="2" t="str">
        <f t="shared" si="72"/>
        <v xml:space="preserve"> RINALDO </v>
      </c>
      <c r="AD918" s="2">
        <f t="shared" si="73"/>
        <v>5</v>
      </c>
      <c r="AE918" s="2">
        <f t="shared" ca="1" si="74"/>
        <v>-53.926271643518703</v>
      </c>
    </row>
    <row r="919" spans="1:31" hidden="1">
      <c r="A919" s="1">
        <v>9301660</v>
      </c>
      <c r="B919" s="1" t="s">
        <v>101</v>
      </c>
      <c r="C919" t="s">
        <v>1761</v>
      </c>
      <c r="E919" s="2">
        <v>9661000206001</v>
      </c>
      <c r="F919" s="1" t="s">
        <v>29</v>
      </c>
      <c r="G919" s="1" t="s">
        <v>53</v>
      </c>
      <c r="H919" s="1" t="s">
        <v>31</v>
      </c>
      <c r="I919" s="1" t="s">
        <v>32</v>
      </c>
      <c r="J919" s="1" t="s">
        <v>33</v>
      </c>
      <c r="K919" t="s">
        <v>34</v>
      </c>
      <c r="M919" s="1" t="s">
        <v>35</v>
      </c>
      <c r="N919" s="1">
        <v>42318949</v>
      </c>
      <c r="O919" s="1" t="s">
        <v>105</v>
      </c>
      <c r="P919" s="11" t="s">
        <v>1764</v>
      </c>
      <c r="R919" s="1" t="s">
        <v>38</v>
      </c>
      <c r="T919" s="1" t="s">
        <v>74</v>
      </c>
      <c r="U919" s="11" t="s">
        <v>1341</v>
      </c>
      <c r="V919" s="1" t="s">
        <v>41</v>
      </c>
      <c r="W919" s="1" t="s">
        <v>42</v>
      </c>
      <c r="X919" s="13" t="str">
        <f>IF(RIGHT(H919,2)&lt;&gt;"00",H919,"")</f>
        <v/>
      </c>
      <c r="Y919" s="2">
        <f ca="1">NETWORKDAYS(P919,$Y$1)</f>
        <v>39</v>
      </c>
      <c r="Z919" s="14">
        <v>1</v>
      </c>
      <c r="AA919" s="1" t="str">
        <f t="shared" ca="1" si="70"/>
        <v>VENCIDO</v>
      </c>
      <c r="AB919" s="1" t="str">
        <f t="shared" si="71"/>
        <v>Dosa</v>
      </c>
      <c r="AC919" s="2" t="str">
        <f t="shared" si="72"/>
        <v xml:space="preserve"> ROSEMERE </v>
      </c>
      <c r="AD919" s="2">
        <f t="shared" si="73"/>
        <v>5</v>
      </c>
      <c r="AE919" s="2">
        <f t="shared" ca="1" si="74"/>
        <v>-53.926271643518703</v>
      </c>
    </row>
    <row r="920" spans="1:31" hidden="1">
      <c r="A920" s="1">
        <v>9301659</v>
      </c>
      <c r="B920" s="1" t="s">
        <v>101</v>
      </c>
      <c r="C920" t="s">
        <v>1761</v>
      </c>
      <c r="E920" s="2">
        <v>9661000206001</v>
      </c>
      <c r="F920" s="1" t="s">
        <v>29</v>
      </c>
      <c r="G920" s="1" t="s">
        <v>53</v>
      </c>
      <c r="H920" s="1" t="s">
        <v>31</v>
      </c>
      <c r="I920" s="1" t="s">
        <v>32</v>
      </c>
      <c r="J920" s="1" t="s">
        <v>33</v>
      </c>
      <c r="K920" t="s">
        <v>34</v>
      </c>
      <c r="M920" s="1" t="s">
        <v>35</v>
      </c>
      <c r="N920" s="1">
        <v>42318949</v>
      </c>
      <c r="O920" s="1" t="s">
        <v>105</v>
      </c>
      <c r="P920" s="11" t="s">
        <v>1764</v>
      </c>
      <c r="R920" s="1" t="s">
        <v>38</v>
      </c>
      <c r="T920" s="1" t="s">
        <v>74</v>
      </c>
      <c r="U920" s="11" t="s">
        <v>1341</v>
      </c>
      <c r="V920" s="1" t="s">
        <v>41</v>
      </c>
      <c r="W920" s="1" t="s">
        <v>42</v>
      </c>
      <c r="X920" s="13" t="str">
        <f>IF(RIGHT(H920,2)&lt;&gt;"00",H920,"")</f>
        <v/>
      </c>
      <c r="Y920" s="2">
        <f ca="1">NETWORKDAYS(P920,$Y$1)</f>
        <v>39</v>
      </c>
      <c r="Z920" s="14">
        <v>1</v>
      </c>
      <c r="AA920" s="1" t="str">
        <f t="shared" ca="1" si="70"/>
        <v>VENCIDO</v>
      </c>
      <c r="AB920" s="1" t="str">
        <f t="shared" si="71"/>
        <v>Dosa</v>
      </c>
      <c r="AC920" s="2" t="str">
        <f t="shared" si="72"/>
        <v xml:space="preserve"> ROSEMERE </v>
      </c>
      <c r="AD920" s="2">
        <f t="shared" si="73"/>
        <v>5</v>
      </c>
      <c r="AE920" s="2">
        <f t="shared" ca="1" si="74"/>
        <v>-53.926271643518703</v>
      </c>
    </row>
    <row r="921" spans="1:31" hidden="1">
      <c r="A921" s="1">
        <v>9301480</v>
      </c>
      <c r="B921" s="1" t="s">
        <v>101</v>
      </c>
      <c r="C921" t="s">
        <v>1761</v>
      </c>
      <c r="E921" s="2">
        <v>9406000206001</v>
      </c>
      <c r="F921" s="1" t="s">
        <v>29</v>
      </c>
      <c r="G921" s="1" t="s">
        <v>53</v>
      </c>
      <c r="H921" s="1" t="s">
        <v>114</v>
      </c>
      <c r="I921" s="1" t="s">
        <v>115</v>
      </c>
      <c r="J921" s="1" t="s">
        <v>46</v>
      </c>
      <c r="K921" t="s">
        <v>34</v>
      </c>
      <c r="M921" s="1" t="s">
        <v>35</v>
      </c>
      <c r="N921" s="1">
        <v>42318949</v>
      </c>
      <c r="O921" s="1" t="s">
        <v>105</v>
      </c>
      <c r="P921" s="11" t="s">
        <v>1765</v>
      </c>
      <c r="R921" s="1" t="s">
        <v>38</v>
      </c>
      <c r="T921" s="1" t="s">
        <v>74</v>
      </c>
      <c r="U921" s="11" t="s">
        <v>1341</v>
      </c>
      <c r="V921" s="1" t="s">
        <v>41</v>
      </c>
      <c r="W921" s="1" t="s">
        <v>49</v>
      </c>
      <c r="X921" s="13" t="str">
        <f>IF(RIGHT(H921,2)&lt;&gt;"00",H921,"")</f>
        <v/>
      </c>
      <c r="Y921" s="2">
        <f ca="1">NETWORKDAYS(P921,$Y$1)</f>
        <v>39</v>
      </c>
      <c r="Z921" s="14">
        <v>1</v>
      </c>
      <c r="AA921" s="1" t="str">
        <f t="shared" ca="1" si="70"/>
        <v>VENCIDO</v>
      </c>
      <c r="AB921" s="1" t="str">
        <f t="shared" si="71"/>
        <v>Dosa</v>
      </c>
      <c r="AC921" s="2" t="str">
        <f t="shared" si="72"/>
        <v xml:space="preserve"> CLEITON </v>
      </c>
      <c r="AD921" s="2">
        <f t="shared" si="73"/>
        <v>5</v>
      </c>
      <c r="AE921" s="2">
        <f t="shared" ca="1" si="74"/>
        <v>-53.926271643518703</v>
      </c>
    </row>
    <row r="922" spans="1:31" hidden="1">
      <c r="A922" s="1">
        <v>9301479</v>
      </c>
      <c r="B922" s="1" t="s">
        <v>101</v>
      </c>
      <c r="C922" t="s">
        <v>1761</v>
      </c>
      <c r="E922" s="2">
        <v>9406000206001</v>
      </c>
      <c r="F922" s="1" t="s">
        <v>29</v>
      </c>
      <c r="G922" s="1" t="s">
        <v>53</v>
      </c>
      <c r="H922" s="1" t="s">
        <v>114</v>
      </c>
      <c r="I922" s="1" t="s">
        <v>115</v>
      </c>
      <c r="J922" s="1" t="s">
        <v>46</v>
      </c>
      <c r="K922" t="s">
        <v>34</v>
      </c>
      <c r="M922" s="1" t="s">
        <v>35</v>
      </c>
      <c r="N922" s="1">
        <v>42318949</v>
      </c>
      <c r="O922" s="1" t="s">
        <v>105</v>
      </c>
      <c r="P922" s="11" t="s">
        <v>1765</v>
      </c>
      <c r="R922" s="1" t="s">
        <v>38</v>
      </c>
      <c r="T922" s="1" t="s">
        <v>74</v>
      </c>
      <c r="U922" s="11" t="s">
        <v>1341</v>
      </c>
      <c r="V922" s="1" t="s">
        <v>41</v>
      </c>
      <c r="W922" s="1" t="s">
        <v>49</v>
      </c>
      <c r="X922" s="13" t="str">
        <f>IF(RIGHT(H922,2)&lt;&gt;"00",H922,"")</f>
        <v/>
      </c>
      <c r="Y922" s="2">
        <f ca="1">NETWORKDAYS(P922,$Y$1)</f>
        <v>39</v>
      </c>
      <c r="Z922" s="14">
        <v>1</v>
      </c>
      <c r="AA922" s="1" t="str">
        <f t="shared" ca="1" si="70"/>
        <v>VENCIDO</v>
      </c>
      <c r="AB922" s="1" t="str">
        <f t="shared" si="71"/>
        <v>Dosa</v>
      </c>
      <c r="AC922" s="2" t="str">
        <f t="shared" si="72"/>
        <v xml:space="preserve"> CLEITON </v>
      </c>
      <c r="AD922" s="2">
        <f t="shared" si="73"/>
        <v>5</v>
      </c>
      <c r="AE922" s="2">
        <f t="shared" ca="1" si="74"/>
        <v>-53.926271643518703</v>
      </c>
    </row>
    <row r="923" spans="1:31" hidden="1">
      <c r="A923" s="1">
        <v>9301478</v>
      </c>
      <c r="B923" s="1" t="s">
        <v>101</v>
      </c>
      <c r="C923" t="s">
        <v>1761</v>
      </c>
      <c r="E923" s="2">
        <v>9406000206001</v>
      </c>
      <c r="F923" s="1" t="s">
        <v>29</v>
      </c>
      <c r="G923" s="1" t="s">
        <v>53</v>
      </c>
      <c r="H923" s="1" t="s">
        <v>114</v>
      </c>
      <c r="I923" s="1" t="s">
        <v>115</v>
      </c>
      <c r="J923" s="1" t="s">
        <v>46</v>
      </c>
      <c r="K923" t="s">
        <v>34</v>
      </c>
      <c r="M923" s="1" t="s">
        <v>35</v>
      </c>
      <c r="N923" s="1">
        <v>42318949</v>
      </c>
      <c r="O923" s="1" t="s">
        <v>105</v>
      </c>
      <c r="P923" s="11" t="s">
        <v>1765</v>
      </c>
      <c r="R923" s="1" t="s">
        <v>38</v>
      </c>
      <c r="T923" s="1" t="s">
        <v>74</v>
      </c>
      <c r="U923" s="11" t="s">
        <v>1341</v>
      </c>
      <c r="V923" s="1" t="s">
        <v>41</v>
      </c>
      <c r="W923" s="1" t="s">
        <v>49</v>
      </c>
      <c r="X923" s="13" t="str">
        <f>IF(RIGHT(H923,2)&lt;&gt;"00",H923,"")</f>
        <v/>
      </c>
      <c r="Y923" s="2">
        <f ca="1">NETWORKDAYS(P923,$Y$1)</f>
        <v>39</v>
      </c>
      <c r="Z923" s="14">
        <v>1</v>
      </c>
      <c r="AA923" s="1" t="str">
        <f t="shared" ca="1" si="70"/>
        <v>VENCIDO</v>
      </c>
      <c r="AB923" s="1" t="str">
        <f t="shared" si="71"/>
        <v>Dosa</v>
      </c>
      <c r="AC923" s="2" t="str">
        <f t="shared" si="72"/>
        <v xml:space="preserve"> CLEITON </v>
      </c>
      <c r="AD923" s="2">
        <f t="shared" si="73"/>
        <v>5</v>
      </c>
      <c r="AE923" s="2">
        <f t="shared" ca="1" si="74"/>
        <v>-53.926271643518703</v>
      </c>
    </row>
    <row r="924" spans="1:31" hidden="1">
      <c r="A924" s="1">
        <v>9301477</v>
      </c>
      <c r="B924" s="1" t="s">
        <v>101</v>
      </c>
      <c r="C924" t="s">
        <v>1761</v>
      </c>
      <c r="E924" s="2">
        <v>9406000206001</v>
      </c>
      <c r="F924" s="1" t="s">
        <v>29</v>
      </c>
      <c r="G924" s="1" t="s">
        <v>53</v>
      </c>
      <c r="H924" s="1" t="s">
        <v>114</v>
      </c>
      <c r="I924" s="1" t="s">
        <v>115</v>
      </c>
      <c r="J924" s="1" t="s">
        <v>46</v>
      </c>
      <c r="K924" t="s">
        <v>34</v>
      </c>
      <c r="M924" s="1" t="s">
        <v>35</v>
      </c>
      <c r="N924" s="1">
        <v>42318949</v>
      </c>
      <c r="O924" s="1" t="s">
        <v>105</v>
      </c>
      <c r="P924" s="11" t="s">
        <v>1765</v>
      </c>
      <c r="R924" s="1" t="s">
        <v>38</v>
      </c>
      <c r="T924" s="1" t="s">
        <v>74</v>
      </c>
      <c r="U924" s="11" t="s">
        <v>1341</v>
      </c>
      <c r="V924" s="1" t="s">
        <v>41</v>
      </c>
      <c r="W924" s="1" t="s">
        <v>49</v>
      </c>
      <c r="X924" s="13" t="str">
        <f>IF(RIGHT(H924,2)&lt;&gt;"00",H924,"")</f>
        <v/>
      </c>
      <c r="Y924" s="2">
        <f ca="1">NETWORKDAYS(P924,$Y$1)</f>
        <v>39</v>
      </c>
      <c r="Z924" s="14">
        <v>1</v>
      </c>
      <c r="AA924" s="1" t="str">
        <f t="shared" ca="1" si="70"/>
        <v>VENCIDO</v>
      </c>
      <c r="AB924" s="1" t="str">
        <f t="shared" si="71"/>
        <v>Dosa</v>
      </c>
      <c r="AC924" s="2" t="str">
        <f t="shared" si="72"/>
        <v xml:space="preserve"> CLEITON </v>
      </c>
      <c r="AD924" s="2">
        <f t="shared" si="73"/>
        <v>5</v>
      </c>
      <c r="AE924" s="2">
        <f t="shared" ca="1" si="74"/>
        <v>-53.926271643518703</v>
      </c>
    </row>
    <row r="925" spans="1:31" hidden="1">
      <c r="A925" s="1">
        <v>9301476</v>
      </c>
      <c r="B925" s="1" t="s">
        <v>101</v>
      </c>
      <c r="C925" t="s">
        <v>1761</v>
      </c>
      <c r="E925" s="2">
        <v>9406000206001</v>
      </c>
      <c r="F925" s="1" t="s">
        <v>29</v>
      </c>
      <c r="G925" s="1" t="s">
        <v>53</v>
      </c>
      <c r="H925" s="1" t="s">
        <v>114</v>
      </c>
      <c r="I925" s="1" t="s">
        <v>115</v>
      </c>
      <c r="J925" s="1" t="s">
        <v>46</v>
      </c>
      <c r="K925" t="s">
        <v>34</v>
      </c>
      <c r="M925" s="1" t="s">
        <v>35</v>
      </c>
      <c r="N925" s="1">
        <v>42318949</v>
      </c>
      <c r="O925" s="1" t="s">
        <v>105</v>
      </c>
      <c r="P925" s="11" t="s">
        <v>1765</v>
      </c>
      <c r="R925" s="1" t="s">
        <v>38</v>
      </c>
      <c r="T925" s="1" t="s">
        <v>74</v>
      </c>
      <c r="U925" s="11" t="s">
        <v>1341</v>
      </c>
      <c r="V925" s="1" t="s">
        <v>41</v>
      </c>
      <c r="W925" s="1" t="s">
        <v>49</v>
      </c>
      <c r="X925" s="13" t="str">
        <f>IF(RIGHT(H925,2)&lt;&gt;"00",H925,"")</f>
        <v/>
      </c>
      <c r="Y925" s="2">
        <f ca="1">NETWORKDAYS(P925,$Y$1)</f>
        <v>39</v>
      </c>
      <c r="Z925" s="14">
        <v>1</v>
      </c>
      <c r="AA925" s="1" t="str">
        <f t="shared" ca="1" si="70"/>
        <v>VENCIDO</v>
      </c>
      <c r="AB925" s="1" t="str">
        <f t="shared" si="71"/>
        <v>Dosa</v>
      </c>
      <c r="AC925" s="2" t="str">
        <f t="shared" si="72"/>
        <v xml:space="preserve"> CLEITON </v>
      </c>
      <c r="AD925" s="2">
        <f t="shared" si="73"/>
        <v>5</v>
      </c>
      <c r="AE925" s="2">
        <f t="shared" ca="1" si="74"/>
        <v>-53.926271643518703</v>
      </c>
    </row>
    <row r="926" spans="1:31" hidden="1">
      <c r="A926" s="1">
        <v>9301475</v>
      </c>
      <c r="B926" s="1" t="s">
        <v>101</v>
      </c>
      <c r="C926" t="s">
        <v>1761</v>
      </c>
      <c r="E926" s="2">
        <v>9406000206001</v>
      </c>
      <c r="F926" s="1" t="s">
        <v>29</v>
      </c>
      <c r="G926" s="1" t="s">
        <v>53</v>
      </c>
      <c r="H926" s="1" t="s">
        <v>114</v>
      </c>
      <c r="I926" s="1" t="s">
        <v>115</v>
      </c>
      <c r="J926" s="1" t="s">
        <v>46</v>
      </c>
      <c r="K926" t="s">
        <v>34</v>
      </c>
      <c r="M926" s="1" t="s">
        <v>35</v>
      </c>
      <c r="N926" s="1">
        <v>42318949</v>
      </c>
      <c r="O926" s="1" t="s">
        <v>105</v>
      </c>
      <c r="P926" s="11" t="s">
        <v>1766</v>
      </c>
      <c r="R926" s="1" t="s">
        <v>38</v>
      </c>
      <c r="T926" s="1" t="s">
        <v>74</v>
      </c>
      <c r="U926" s="11" t="s">
        <v>1341</v>
      </c>
      <c r="V926" s="1" t="s">
        <v>41</v>
      </c>
      <c r="W926" s="1" t="s">
        <v>49</v>
      </c>
      <c r="X926" s="13" t="str">
        <f>IF(RIGHT(H926,2)&lt;&gt;"00",H926,"")</f>
        <v/>
      </c>
      <c r="Y926" s="2">
        <f ca="1">NETWORKDAYS(P926,$Y$1)</f>
        <v>39</v>
      </c>
      <c r="Z926" s="14">
        <v>1</v>
      </c>
      <c r="AA926" s="1" t="str">
        <f t="shared" ca="1" si="70"/>
        <v>VENCIDO</v>
      </c>
      <c r="AB926" s="1" t="str">
        <f t="shared" si="71"/>
        <v>Dosa</v>
      </c>
      <c r="AC926" s="2" t="str">
        <f t="shared" si="72"/>
        <v xml:space="preserve"> CLEITON </v>
      </c>
      <c r="AD926" s="2">
        <f t="shared" si="73"/>
        <v>5</v>
      </c>
      <c r="AE926" s="2">
        <f t="shared" ca="1" si="74"/>
        <v>-53.926271643518703</v>
      </c>
    </row>
    <row r="927" spans="1:31" hidden="1">
      <c r="A927" s="1">
        <v>9301474</v>
      </c>
      <c r="B927" s="1" t="s">
        <v>101</v>
      </c>
      <c r="C927" t="s">
        <v>1761</v>
      </c>
      <c r="E927" s="2">
        <v>9406000206001</v>
      </c>
      <c r="F927" s="1" t="s">
        <v>29</v>
      </c>
      <c r="G927" s="1" t="s">
        <v>53</v>
      </c>
      <c r="H927" s="1" t="s">
        <v>114</v>
      </c>
      <c r="I927" s="1" t="s">
        <v>115</v>
      </c>
      <c r="J927" s="1" t="s">
        <v>46</v>
      </c>
      <c r="K927" t="s">
        <v>34</v>
      </c>
      <c r="M927" s="1" t="s">
        <v>35</v>
      </c>
      <c r="N927" s="1">
        <v>42318949</v>
      </c>
      <c r="O927" s="1" t="s">
        <v>105</v>
      </c>
      <c r="P927" s="11" t="s">
        <v>1766</v>
      </c>
      <c r="R927" s="1" t="s">
        <v>38</v>
      </c>
      <c r="T927" s="1" t="s">
        <v>74</v>
      </c>
      <c r="U927" s="11" t="s">
        <v>1341</v>
      </c>
      <c r="V927" s="1" t="s">
        <v>41</v>
      </c>
      <c r="W927" s="1" t="s">
        <v>49</v>
      </c>
      <c r="X927" s="13" t="str">
        <f>IF(RIGHT(H927,2)&lt;&gt;"00",H927,"")</f>
        <v/>
      </c>
      <c r="Y927" s="2">
        <f ca="1">NETWORKDAYS(P927,$Y$1)</f>
        <v>39</v>
      </c>
      <c r="Z927" s="14">
        <v>1</v>
      </c>
      <c r="AA927" s="1" t="str">
        <f t="shared" ca="1" si="70"/>
        <v>VENCIDO</v>
      </c>
      <c r="AB927" s="1" t="str">
        <f t="shared" si="71"/>
        <v>Dosa</v>
      </c>
      <c r="AC927" s="2" t="str">
        <f t="shared" si="72"/>
        <v xml:space="preserve"> CLEITON </v>
      </c>
      <c r="AD927" s="2">
        <f t="shared" si="73"/>
        <v>5</v>
      </c>
      <c r="AE927" s="2">
        <f t="shared" ca="1" si="74"/>
        <v>-53.926271643518703</v>
      </c>
    </row>
    <row r="928" spans="1:31" hidden="1">
      <c r="A928" s="1">
        <v>9301473</v>
      </c>
      <c r="B928" s="1" t="s">
        <v>101</v>
      </c>
      <c r="C928" t="s">
        <v>1761</v>
      </c>
      <c r="E928" s="2">
        <v>9406000206001</v>
      </c>
      <c r="F928" s="1" t="s">
        <v>29</v>
      </c>
      <c r="G928" s="1" t="s">
        <v>53</v>
      </c>
      <c r="H928" s="1" t="s">
        <v>114</v>
      </c>
      <c r="I928" s="1" t="s">
        <v>115</v>
      </c>
      <c r="J928" s="1" t="s">
        <v>46</v>
      </c>
      <c r="K928" t="s">
        <v>34</v>
      </c>
      <c r="M928" s="1" t="s">
        <v>35</v>
      </c>
      <c r="N928" s="1">
        <v>42318949</v>
      </c>
      <c r="O928" s="1" t="s">
        <v>105</v>
      </c>
      <c r="P928" s="11" t="s">
        <v>1766</v>
      </c>
      <c r="R928" s="1" t="s">
        <v>38</v>
      </c>
      <c r="T928" s="1" t="s">
        <v>74</v>
      </c>
      <c r="U928" s="11" t="s">
        <v>1341</v>
      </c>
      <c r="V928" s="1" t="s">
        <v>41</v>
      </c>
      <c r="W928" s="1" t="s">
        <v>49</v>
      </c>
      <c r="X928" s="13" t="str">
        <f>IF(RIGHT(H928,2)&lt;&gt;"00",H928,"")</f>
        <v/>
      </c>
      <c r="Y928" s="2">
        <f ca="1">NETWORKDAYS(P928,$Y$1)</f>
        <v>39</v>
      </c>
      <c r="Z928" s="14">
        <v>1</v>
      </c>
      <c r="AA928" s="1" t="str">
        <f t="shared" ca="1" si="70"/>
        <v>VENCIDO</v>
      </c>
      <c r="AB928" s="1" t="str">
        <f t="shared" si="71"/>
        <v>Dosa</v>
      </c>
      <c r="AC928" s="2" t="str">
        <f t="shared" si="72"/>
        <v xml:space="preserve"> CLEITON </v>
      </c>
      <c r="AD928" s="2">
        <f t="shared" si="73"/>
        <v>5</v>
      </c>
      <c r="AE928" s="2">
        <f t="shared" ca="1" si="74"/>
        <v>-53.926271643518703</v>
      </c>
    </row>
    <row r="929" spans="1:31" hidden="1">
      <c r="A929" s="1">
        <v>9301472</v>
      </c>
      <c r="B929" s="1" t="s">
        <v>101</v>
      </c>
      <c r="C929" t="s">
        <v>1761</v>
      </c>
      <c r="E929" s="2">
        <v>9406000206001</v>
      </c>
      <c r="F929" s="1" t="s">
        <v>29</v>
      </c>
      <c r="G929" s="1" t="s">
        <v>53</v>
      </c>
      <c r="H929" s="1" t="s">
        <v>114</v>
      </c>
      <c r="I929" s="1" t="s">
        <v>115</v>
      </c>
      <c r="J929" s="1" t="s">
        <v>46</v>
      </c>
      <c r="K929" t="s">
        <v>34</v>
      </c>
      <c r="M929" s="1" t="s">
        <v>35</v>
      </c>
      <c r="N929" s="1">
        <v>42318949</v>
      </c>
      <c r="O929" s="1" t="s">
        <v>105</v>
      </c>
      <c r="P929" s="11" t="s">
        <v>1766</v>
      </c>
      <c r="R929" s="1" t="s">
        <v>38</v>
      </c>
      <c r="T929" s="1" t="s">
        <v>74</v>
      </c>
      <c r="U929" s="11" t="s">
        <v>1341</v>
      </c>
      <c r="V929" s="1" t="s">
        <v>41</v>
      </c>
      <c r="W929" s="1" t="s">
        <v>49</v>
      </c>
      <c r="X929" s="13" t="str">
        <f>IF(RIGHT(H929,2)&lt;&gt;"00",H929,"")</f>
        <v/>
      </c>
      <c r="Y929" s="2">
        <f ca="1">NETWORKDAYS(P929,$Y$1)</f>
        <v>39</v>
      </c>
      <c r="Z929" s="14">
        <v>1</v>
      </c>
      <c r="AA929" s="1" t="str">
        <f t="shared" ca="1" si="70"/>
        <v>VENCIDO</v>
      </c>
      <c r="AB929" s="1" t="str">
        <f t="shared" si="71"/>
        <v>Dosa</v>
      </c>
      <c r="AC929" s="2" t="str">
        <f t="shared" si="72"/>
        <v xml:space="preserve"> CLEITON </v>
      </c>
      <c r="AD929" s="2">
        <f t="shared" si="73"/>
        <v>5</v>
      </c>
      <c r="AE929" s="2">
        <f t="shared" ca="1" si="74"/>
        <v>-53.926271643518703</v>
      </c>
    </row>
    <row r="930" spans="1:31" hidden="1">
      <c r="A930" s="1">
        <v>9301471</v>
      </c>
      <c r="B930" s="1" t="s">
        <v>101</v>
      </c>
      <c r="C930" t="s">
        <v>1761</v>
      </c>
      <c r="E930" s="2">
        <v>9406000206001</v>
      </c>
      <c r="F930" s="1" t="s">
        <v>29</v>
      </c>
      <c r="G930" s="1" t="s">
        <v>53</v>
      </c>
      <c r="H930" s="1" t="s">
        <v>114</v>
      </c>
      <c r="I930" s="1" t="s">
        <v>115</v>
      </c>
      <c r="J930" s="1" t="s">
        <v>46</v>
      </c>
      <c r="K930" t="s">
        <v>34</v>
      </c>
      <c r="M930" s="1" t="s">
        <v>35</v>
      </c>
      <c r="N930" s="1">
        <v>42318949</v>
      </c>
      <c r="O930" s="1" t="s">
        <v>105</v>
      </c>
      <c r="P930" s="11" t="s">
        <v>1766</v>
      </c>
      <c r="R930" s="1" t="s">
        <v>38</v>
      </c>
      <c r="T930" s="1" t="s">
        <v>74</v>
      </c>
      <c r="U930" s="11" t="s">
        <v>1341</v>
      </c>
      <c r="V930" s="1" t="s">
        <v>41</v>
      </c>
      <c r="W930" s="1" t="s">
        <v>49</v>
      </c>
      <c r="X930" s="13" t="str">
        <f>IF(RIGHT(H930,2)&lt;&gt;"00",H930,"")</f>
        <v/>
      </c>
      <c r="Y930" s="2">
        <f ca="1">NETWORKDAYS(P930,$Y$1)</f>
        <v>39</v>
      </c>
      <c r="Z930" s="14">
        <v>1</v>
      </c>
      <c r="AA930" s="1" t="str">
        <f t="shared" ca="1" si="70"/>
        <v>VENCIDO</v>
      </c>
      <c r="AB930" s="1" t="str">
        <f t="shared" si="71"/>
        <v>Dosa</v>
      </c>
      <c r="AC930" s="2" t="str">
        <f t="shared" si="72"/>
        <v xml:space="preserve"> CLEITON </v>
      </c>
      <c r="AD930" s="2">
        <f t="shared" si="73"/>
        <v>5</v>
      </c>
      <c r="AE930" s="2">
        <f t="shared" ca="1" si="74"/>
        <v>-53.926271643518703</v>
      </c>
    </row>
    <row r="931" spans="1:31" hidden="1">
      <c r="A931" s="1">
        <v>9301080</v>
      </c>
      <c r="B931" s="1" t="s">
        <v>101</v>
      </c>
      <c r="C931" t="s">
        <v>1761</v>
      </c>
      <c r="E931" s="2">
        <v>4997000206001</v>
      </c>
      <c r="F931" s="1" t="s">
        <v>29</v>
      </c>
      <c r="G931" s="1" t="s">
        <v>53</v>
      </c>
      <c r="H931" s="1" t="s">
        <v>406</v>
      </c>
      <c r="I931" s="1" t="s">
        <v>407</v>
      </c>
      <c r="J931" s="1" t="s">
        <v>79</v>
      </c>
      <c r="K931" t="s">
        <v>34</v>
      </c>
      <c r="M931" s="1" t="s">
        <v>35</v>
      </c>
      <c r="N931" s="1">
        <v>42318949</v>
      </c>
      <c r="O931" s="1" t="s">
        <v>105</v>
      </c>
      <c r="P931" s="11" t="s">
        <v>1767</v>
      </c>
      <c r="R931" s="1" t="s">
        <v>38</v>
      </c>
      <c r="T931" s="1" t="s">
        <v>74</v>
      </c>
      <c r="U931" s="11" t="s">
        <v>1341</v>
      </c>
      <c r="V931" s="1" t="s">
        <v>41</v>
      </c>
      <c r="W931" s="1" t="s">
        <v>49</v>
      </c>
      <c r="X931" s="13" t="str">
        <f>IF(RIGHT(H931,2)&lt;&gt;"00",H931,"")</f>
        <v/>
      </c>
      <c r="Y931" s="2">
        <f ca="1">NETWORKDAYS(P931,$Y$1)</f>
        <v>39</v>
      </c>
      <c r="Z931" s="14">
        <v>1</v>
      </c>
      <c r="AA931" s="1" t="str">
        <f t="shared" ca="1" si="70"/>
        <v>VENCIDO</v>
      </c>
      <c r="AB931" s="1" t="str">
        <f t="shared" si="71"/>
        <v>Dosa</v>
      </c>
      <c r="AC931" s="2" t="str">
        <f t="shared" si="72"/>
        <v xml:space="preserve"> ROSEMERE </v>
      </c>
      <c r="AD931" s="2">
        <f t="shared" si="73"/>
        <v>5</v>
      </c>
      <c r="AE931" s="2">
        <f t="shared" ca="1" si="74"/>
        <v>-53.926271643518703</v>
      </c>
    </row>
    <row r="932" spans="1:31" hidden="1">
      <c r="A932" s="1">
        <v>9301028</v>
      </c>
      <c r="B932" s="1" t="s">
        <v>101</v>
      </c>
      <c r="C932" t="s">
        <v>1761</v>
      </c>
      <c r="E932" s="2">
        <v>4637000206001</v>
      </c>
      <c r="F932" s="1" t="s">
        <v>29</v>
      </c>
      <c r="G932" s="1" t="s">
        <v>53</v>
      </c>
      <c r="H932" s="1" t="s">
        <v>848</v>
      </c>
      <c r="I932" s="1" t="s">
        <v>849</v>
      </c>
      <c r="J932" s="1" t="s">
        <v>79</v>
      </c>
      <c r="K932" t="s">
        <v>34</v>
      </c>
      <c r="M932" s="1" t="s">
        <v>35</v>
      </c>
      <c r="N932" s="1">
        <v>42318949</v>
      </c>
      <c r="O932" s="1" t="s">
        <v>105</v>
      </c>
      <c r="P932" s="11" t="s">
        <v>1768</v>
      </c>
      <c r="R932" s="1" t="s">
        <v>38</v>
      </c>
      <c r="T932" s="1" t="s">
        <v>74</v>
      </c>
      <c r="U932" s="11" t="s">
        <v>1341</v>
      </c>
      <c r="V932" s="1" t="s">
        <v>41</v>
      </c>
      <c r="W932" s="1" t="s">
        <v>49</v>
      </c>
      <c r="X932" s="13" t="str">
        <f>IF(RIGHT(H932,2)&lt;&gt;"00",H932,"")</f>
        <v/>
      </c>
      <c r="Y932" s="2">
        <f ca="1">NETWORKDAYS(P932,$Y$1)</f>
        <v>39</v>
      </c>
      <c r="Z932" s="14">
        <v>1</v>
      </c>
      <c r="AA932" s="1" t="str">
        <f t="shared" ca="1" si="70"/>
        <v>VENCIDO</v>
      </c>
      <c r="AB932" s="1" t="str">
        <f t="shared" si="71"/>
        <v>Dosa</v>
      </c>
      <c r="AC932" s="2" t="str">
        <f t="shared" si="72"/>
        <v xml:space="preserve"> ROSEMERE </v>
      </c>
      <c r="AD932" s="2">
        <f t="shared" si="73"/>
        <v>5</v>
      </c>
      <c r="AE932" s="2">
        <f t="shared" ca="1" si="74"/>
        <v>-53.926271643518703</v>
      </c>
    </row>
    <row r="933" spans="1:31" hidden="1">
      <c r="A933" s="1">
        <v>9301024</v>
      </c>
      <c r="B933" s="1" t="s">
        <v>101</v>
      </c>
      <c r="C933" t="s">
        <v>1761</v>
      </c>
      <c r="E933" s="2">
        <v>4623000206001</v>
      </c>
      <c r="F933" s="1" t="s">
        <v>29</v>
      </c>
      <c r="G933" s="1" t="s">
        <v>53</v>
      </c>
      <c r="H933" s="1" t="s">
        <v>669</v>
      </c>
      <c r="I933" s="1" t="s">
        <v>670</v>
      </c>
      <c r="J933" s="1" t="s">
        <v>33</v>
      </c>
      <c r="K933" t="s">
        <v>34</v>
      </c>
      <c r="M933" s="1" t="s">
        <v>35</v>
      </c>
      <c r="N933" s="1">
        <v>42318949</v>
      </c>
      <c r="O933" s="1" t="s">
        <v>105</v>
      </c>
      <c r="P933" s="11" t="s">
        <v>1769</v>
      </c>
      <c r="R933" s="1" t="s">
        <v>38</v>
      </c>
      <c r="T933" s="1" t="s">
        <v>74</v>
      </c>
      <c r="U933" s="11" t="s">
        <v>1341</v>
      </c>
      <c r="V933" s="1" t="s">
        <v>41</v>
      </c>
      <c r="W933" s="1" t="s">
        <v>42</v>
      </c>
      <c r="X933" s="13" t="str">
        <f>IF(RIGHT(H933,2)&lt;&gt;"00",H933,"")</f>
        <v/>
      </c>
      <c r="Y933" s="2">
        <f ca="1">NETWORKDAYS(P933,$Y$1)</f>
        <v>39</v>
      </c>
      <c r="Z933" s="14">
        <v>1</v>
      </c>
      <c r="AA933" s="1" t="str">
        <f t="shared" ca="1" si="70"/>
        <v>VENCIDO</v>
      </c>
      <c r="AB933" s="1" t="str">
        <f t="shared" si="71"/>
        <v>Dosa</v>
      </c>
      <c r="AC933" s="2" t="str">
        <f t="shared" si="72"/>
        <v xml:space="preserve"> ROSEMERE </v>
      </c>
      <c r="AD933" s="2">
        <f t="shared" si="73"/>
        <v>5</v>
      </c>
      <c r="AE933" s="2">
        <f t="shared" ca="1" si="74"/>
        <v>-53.926271643518703</v>
      </c>
    </row>
    <row r="934" spans="1:31" hidden="1">
      <c r="A934" s="1">
        <v>9301023</v>
      </c>
      <c r="B934" s="1" t="s">
        <v>101</v>
      </c>
      <c r="C934" t="s">
        <v>1761</v>
      </c>
      <c r="E934" s="2">
        <v>4623000206001</v>
      </c>
      <c r="F934" s="1" t="s">
        <v>29</v>
      </c>
      <c r="G934" s="1" t="s">
        <v>53</v>
      </c>
      <c r="H934" s="1" t="s">
        <v>669</v>
      </c>
      <c r="I934" s="1" t="s">
        <v>670</v>
      </c>
      <c r="J934" s="1" t="s">
        <v>33</v>
      </c>
      <c r="K934" t="s">
        <v>34</v>
      </c>
      <c r="M934" s="1" t="s">
        <v>35</v>
      </c>
      <c r="N934" s="1">
        <v>42318949</v>
      </c>
      <c r="O934" s="1" t="s">
        <v>105</v>
      </c>
      <c r="P934" s="11" t="s">
        <v>1769</v>
      </c>
      <c r="R934" s="1" t="s">
        <v>38</v>
      </c>
      <c r="T934" s="1" t="s">
        <v>74</v>
      </c>
      <c r="U934" s="11" t="s">
        <v>1341</v>
      </c>
      <c r="V934" s="1" t="s">
        <v>41</v>
      </c>
      <c r="W934" s="1" t="s">
        <v>42</v>
      </c>
      <c r="X934" s="13" t="str">
        <f>IF(RIGHT(H934,2)&lt;&gt;"00",H934,"")</f>
        <v/>
      </c>
      <c r="Y934" s="2">
        <f ca="1">NETWORKDAYS(P934,$Y$1)</f>
        <v>39</v>
      </c>
      <c r="Z934" s="14">
        <v>1</v>
      </c>
      <c r="AA934" s="1" t="str">
        <f t="shared" ca="1" si="70"/>
        <v>VENCIDO</v>
      </c>
      <c r="AB934" s="1" t="str">
        <f t="shared" si="71"/>
        <v>Dosa</v>
      </c>
      <c r="AC934" s="2" t="str">
        <f t="shared" si="72"/>
        <v xml:space="preserve"> ROSEMERE </v>
      </c>
      <c r="AD934" s="2">
        <f t="shared" si="73"/>
        <v>5</v>
      </c>
      <c r="AE934" s="2">
        <f t="shared" ca="1" si="74"/>
        <v>-53.926271643518703</v>
      </c>
    </row>
    <row r="935" spans="1:31" hidden="1">
      <c r="A935" s="1">
        <v>9301022</v>
      </c>
      <c r="B935" s="1" t="s">
        <v>101</v>
      </c>
      <c r="C935" t="s">
        <v>1761</v>
      </c>
      <c r="E935" s="2">
        <v>4623000206001</v>
      </c>
      <c r="F935" s="1" t="s">
        <v>29</v>
      </c>
      <c r="G935" s="1" t="s">
        <v>53</v>
      </c>
      <c r="H935" s="1" t="s">
        <v>669</v>
      </c>
      <c r="I935" s="1" t="s">
        <v>670</v>
      </c>
      <c r="J935" s="1" t="s">
        <v>33</v>
      </c>
      <c r="K935" t="s">
        <v>34</v>
      </c>
      <c r="M935" s="1" t="s">
        <v>35</v>
      </c>
      <c r="N935" s="1">
        <v>42318949</v>
      </c>
      <c r="O935" s="1" t="s">
        <v>105</v>
      </c>
      <c r="P935" s="11" t="s">
        <v>1769</v>
      </c>
      <c r="R935" s="1" t="s">
        <v>38</v>
      </c>
      <c r="T935" s="1" t="s">
        <v>74</v>
      </c>
      <c r="U935" s="11" t="s">
        <v>1341</v>
      </c>
      <c r="V935" s="1" t="s">
        <v>41</v>
      </c>
      <c r="W935" s="1" t="s">
        <v>42</v>
      </c>
      <c r="X935" s="13" t="str">
        <f>IF(RIGHT(H935,2)&lt;&gt;"00",H935,"")</f>
        <v/>
      </c>
      <c r="Y935" s="2">
        <f ca="1">NETWORKDAYS(P935,$Y$1)</f>
        <v>39</v>
      </c>
      <c r="Z935" s="14">
        <v>1</v>
      </c>
      <c r="AA935" s="1" t="str">
        <f t="shared" ca="1" si="70"/>
        <v>VENCIDO</v>
      </c>
      <c r="AB935" s="1" t="str">
        <f t="shared" si="71"/>
        <v>Dosa</v>
      </c>
      <c r="AC935" s="2" t="str">
        <f t="shared" si="72"/>
        <v xml:space="preserve"> ROSEMERE </v>
      </c>
      <c r="AD935" s="2">
        <f t="shared" si="73"/>
        <v>5</v>
      </c>
      <c r="AE935" s="2">
        <f t="shared" ca="1" si="74"/>
        <v>-53.926271643518703</v>
      </c>
    </row>
    <row r="936" spans="1:31" hidden="1">
      <c r="A936" s="1">
        <v>9300867</v>
      </c>
      <c r="B936" s="1" t="s">
        <v>101</v>
      </c>
      <c r="C936" t="s">
        <v>1761</v>
      </c>
      <c r="E936" s="2">
        <v>4012000206001</v>
      </c>
      <c r="F936" s="1" t="s">
        <v>29</v>
      </c>
      <c r="G936" s="1" t="s">
        <v>53</v>
      </c>
      <c r="H936" s="1" t="s">
        <v>349</v>
      </c>
      <c r="I936" s="1" t="s">
        <v>350</v>
      </c>
      <c r="J936" s="1" t="s">
        <v>261</v>
      </c>
      <c r="K936" t="s">
        <v>34</v>
      </c>
      <c r="M936" s="1" t="s">
        <v>35</v>
      </c>
      <c r="N936" s="1">
        <v>42318949</v>
      </c>
      <c r="O936" s="1" t="s">
        <v>105</v>
      </c>
      <c r="P936" s="11" t="s">
        <v>3031</v>
      </c>
      <c r="R936" s="1" t="s">
        <v>38</v>
      </c>
      <c r="T936" s="1" t="s">
        <v>74</v>
      </c>
      <c r="U936" s="11" t="s">
        <v>1341</v>
      </c>
      <c r="V936" s="1" t="s">
        <v>41</v>
      </c>
      <c r="W936" s="1" t="s">
        <v>49</v>
      </c>
      <c r="X936" s="13" t="str">
        <f>IF(RIGHT(H936,2)&lt;&gt;"00",H936,"")</f>
        <v/>
      </c>
      <c r="Y936" s="2">
        <f ca="1">NETWORKDAYS(P936,$Y$1)</f>
        <v>39</v>
      </c>
      <c r="Z936" s="14">
        <v>1</v>
      </c>
      <c r="AA936" s="1" t="str">
        <f t="shared" ca="1" si="70"/>
        <v>VENCIDO</v>
      </c>
      <c r="AB936" s="1" t="str">
        <f t="shared" si="71"/>
        <v>Dosa</v>
      </c>
      <c r="AC936" s="2" t="str">
        <f t="shared" si="72"/>
        <v xml:space="preserve"> CRISTINA </v>
      </c>
      <c r="AD936" s="2">
        <f t="shared" si="73"/>
        <v>5</v>
      </c>
      <c r="AE936" s="2">
        <f t="shared" ca="1" si="74"/>
        <v>-53.926271643518703</v>
      </c>
    </row>
    <row r="937" spans="1:31" hidden="1">
      <c r="A937" s="1">
        <v>9300825</v>
      </c>
      <c r="B937" s="1" t="s">
        <v>101</v>
      </c>
      <c r="C937" t="s">
        <v>1761</v>
      </c>
      <c r="E937" s="2">
        <v>3924000206001</v>
      </c>
      <c r="F937" s="1" t="s">
        <v>29</v>
      </c>
      <c r="G937" s="1" t="s">
        <v>53</v>
      </c>
      <c r="H937" s="1" t="s">
        <v>153</v>
      </c>
      <c r="I937" s="1" t="s">
        <v>154</v>
      </c>
      <c r="J937" s="1" t="s">
        <v>56</v>
      </c>
      <c r="K937" t="s">
        <v>34</v>
      </c>
      <c r="M937" s="1" t="s">
        <v>35</v>
      </c>
      <c r="N937" s="1">
        <v>42318949</v>
      </c>
      <c r="O937" s="1" t="s">
        <v>105</v>
      </c>
      <c r="P937" s="11" t="s">
        <v>1770</v>
      </c>
      <c r="R937" s="1" t="s">
        <v>38</v>
      </c>
      <c r="T937" s="1" t="s">
        <v>74</v>
      </c>
      <c r="U937" s="11" t="s">
        <v>1341</v>
      </c>
      <c r="V937" s="1" t="s">
        <v>41</v>
      </c>
      <c r="W937" s="1" t="s">
        <v>49</v>
      </c>
      <c r="X937" s="13" t="str">
        <f>IF(RIGHT(H937,2)&lt;&gt;"00",H937,"")</f>
        <v/>
      </c>
      <c r="Y937" s="2">
        <f ca="1">NETWORKDAYS(P937,$Y$1)</f>
        <v>39</v>
      </c>
      <c r="Z937" s="14">
        <v>1</v>
      </c>
      <c r="AA937" s="1" t="str">
        <f t="shared" ca="1" si="70"/>
        <v>VENCIDO</v>
      </c>
      <c r="AB937" s="1" t="str">
        <f t="shared" si="71"/>
        <v>Dosa</v>
      </c>
      <c r="AC937" s="2" t="str">
        <f t="shared" si="72"/>
        <v xml:space="preserve"> CRISTINA </v>
      </c>
      <c r="AD937" s="2">
        <f t="shared" si="73"/>
        <v>5</v>
      </c>
      <c r="AE937" s="2">
        <f t="shared" ca="1" si="74"/>
        <v>-53.926271643518703</v>
      </c>
    </row>
    <row r="938" spans="1:31" hidden="1">
      <c r="A938" s="1">
        <v>9300610</v>
      </c>
      <c r="B938" s="1" t="s">
        <v>101</v>
      </c>
      <c r="C938" t="s">
        <v>1761</v>
      </c>
      <c r="E938" s="2">
        <v>3258000206001</v>
      </c>
      <c r="F938" s="1" t="s">
        <v>29</v>
      </c>
      <c r="G938" s="1" t="s">
        <v>53</v>
      </c>
      <c r="H938" s="1" t="s">
        <v>321</v>
      </c>
      <c r="I938" s="1" t="s">
        <v>322</v>
      </c>
      <c r="J938" s="1" t="s">
        <v>46</v>
      </c>
      <c r="K938" t="s">
        <v>34</v>
      </c>
      <c r="M938" s="1" t="s">
        <v>35</v>
      </c>
      <c r="N938" s="1">
        <v>42318949</v>
      </c>
      <c r="O938" s="1" t="s">
        <v>105</v>
      </c>
      <c r="P938" s="11" t="s">
        <v>1771</v>
      </c>
      <c r="R938" s="1" t="s">
        <v>38</v>
      </c>
      <c r="T938" s="1" t="s">
        <v>74</v>
      </c>
      <c r="U938" s="11" t="s">
        <v>1341</v>
      </c>
      <c r="V938" s="1" t="s">
        <v>41</v>
      </c>
      <c r="W938" s="1" t="s">
        <v>49</v>
      </c>
      <c r="X938" s="13" t="str">
        <f>IF(RIGHT(H938,2)&lt;&gt;"00",H938,"")</f>
        <v/>
      </c>
      <c r="Y938" s="2">
        <f ca="1">NETWORKDAYS(P938,$Y$1)</f>
        <v>39</v>
      </c>
      <c r="Z938" s="14">
        <v>1</v>
      </c>
      <c r="AA938" s="1" t="str">
        <f t="shared" ca="1" si="70"/>
        <v>VENCIDO</v>
      </c>
      <c r="AB938" s="1" t="str">
        <f t="shared" si="71"/>
        <v>Dosa</v>
      </c>
      <c r="AC938" s="2" t="str">
        <f t="shared" si="72"/>
        <v xml:space="preserve"> CLEITON </v>
      </c>
      <c r="AD938" s="2">
        <f t="shared" si="73"/>
        <v>5</v>
      </c>
      <c r="AE938" s="2">
        <f t="shared" ca="1" si="74"/>
        <v>-53.926271643518703</v>
      </c>
    </row>
    <row r="939" spans="1:31" hidden="1">
      <c r="A939" s="1">
        <v>9300609</v>
      </c>
      <c r="B939" s="1" t="s">
        <v>101</v>
      </c>
      <c r="C939" t="s">
        <v>1761</v>
      </c>
      <c r="E939" s="2">
        <v>3258000206001</v>
      </c>
      <c r="F939" s="1" t="s">
        <v>29</v>
      </c>
      <c r="G939" s="1" t="s">
        <v>53</v>
      </c>
      <c r="H939" s="1" t="s">
        <v>321</v>
      </c>
      <c r="I939" s="1" t="s">
        <v>322</v>
      </c>
      <c r="J939" s="1" t="s">
        <v>46</v>
      </c>
      <c r="K939" t="s">
        <v>34</v>
      </c>
      <c r="M939" s="1" t="s">
        <v>35</v>
      </c>
      <c r="N939" s="1">
        <v>42318949</v>
      </c>
      <c r="O939" s="1" t="s">
        <v>105</v>
      </c>
      <c r="P939" s="11" t="s">
        <v>1771</v>
      </c>
      <c r="R939" s="1" t="s">
        <v>38</v>
      </c>
      <c r="T939" s="1" t="s">
        <v>74</v>
      </c>
      <c r="U939" s="11" t="s">
        <v>1341</v>
      </c>
      <c r="V939" s="1" t="s">
        <v>41</v>
      </c>
      <c r="W939" s="1" t="s">
        <v>49</v>
      </c>
      <c r="X939" s="13" t="str">
        <f>IF(RIGHT(H939,2)&lt;&gt;"00",H939,"")</f>
        <v/>
      </c>
      <c r="Y939" s="2">
        <f ca="1">NETWORKDAYS(P939,$Y$1)</f>
        <v>39</v>
      </c>
      <c r="Z939" s="14">
        <v>1</v>
      </c>
      <c r="AA939" s="1" t="str">
        <f t="shared" ca="1" si="70"/>
        <v>VENCIDO</v>
      </c>
      <c r="AB939" s="1" t="str">
        <f t="shared" si="71"/>
        <v>Dosa</v>
      </c>
      <c r="AC939" s="2" t="str">
        <f t="shared" si="72"/>
        <v xml:space="preserve"> CLEITON </v>
      </c>
      <c r="AD939" s="2">
        <f t="shared" si="73"/>
        <v>5</v>
      </c>
      <c r="AE939" s="2">
        <f t="shared" ca="1" si="74"/>
        <v>-53.926271643518703</v>
      </c>
    </row>
    <row r="940" spans="1:31" hidden="1">
      <c r="A940" s="1">
        <v>9300380</v>
      </c>
      <c r="B940" s="1" t="s">
        <v>101</v>
      </c>
      <c r="C940" t="s">
        <v>1761</v>
      </c>
      <c r="E940" s="2">
        <v>2739000206001</v>
      </c>
      <c r="F940" s="1" t="s">
        <v>29</v>
      </c>
      <c r="G940" s="1" t="s">
        <v>53</v>
      </c>
      <c r="H940" s="1" t="s">
        <v>359</v>
      </c>
      <c r="I940" s="1" t="s">
        <v>360</v>
      </c>
      <c r="J940" s="1" t="s">
        <v>85</v>
      </c>
      <c r="K940" t="s">
        <v>34</v>
      </c>
      <c r="M940" s="1" t="s">
        <v>35</v>
      </c>
      <c r="N940" s="1">
        <v>42318949</v>
      </c>
      <c r="O940" s="1" t="s">
        <v>36</v>
      </c>
      <c r="P940" s="11" t="s">
        <v>1775</v>
      </c>
      <c r="R940" s="1" t="s">
        <v>38</v>
      </c>
      <c r="T940" s="1" t="s">
        <v>74</v>
      </c>
      <c r="U940" s="11" t="s">
        <v>1341</v>
      </c>
      <c r="V940" s="1" t="s">
        <v>41</v>
      </c>
      <c r="W940" s="1" t="s">
        <v>49</v>
      </c>
      <c r="X940" s="13" t="str">
        <f>IF(RIGHT(H940,2)&lt;&gt;"00",H940,"")</f>
        <v/>
      </c>
      <c r="Y940" s="2">
        <f ca="1">NETWORKDAYS(P940,$Y$1)</f>
        <v>39</v>
      </c>
      <c r="Z940" s="14">
        <v>1</v>
      </c>
      <c r="AA940" s="1" t="str">
        <f t="shared" ca="1" si="70"/>
        <v>VENCIDO</v>
      </c>
      <c r="AB940" s="1" t="str">
        <f t="shared" si="71"/>
        <v>Dosa</v>
      </c>
      <c r="AC940" s="2" t="str">
        <f t="shared" si="72"/>
        <v xml:space="preserve"> RINALDO </v>
      </c>
      <c r="AD940" s="2">
        <f t="shared" si="73"/>
        <v>5</v>
      </c>
      <c r="AE940" s="2">
        <f t="shared" ca="1" si="74"/>
        <v>-53.926271643518703</v>
      </c>
    </row>
    <row r="941" spans="1:31" hidden="1">
      <c r="A941" s="1">
        <v>9300311</v>
      </c>
      <c r="B941" s="1" t="s">
        <v>101</v>
      </c>
      <c r="C941" t="s">
        <v>1761</v>
      </c>
      <c r="E941" s="2">
        <v>2625000206001</v>
      </c>
      <c r="F941" s="1" t="s">
        <v>29</v>
      </c>
      <c r="G941" s="1" t="s">
        <v>53</v>
      </c>
      <c r="H941" s="1" t="s">
        <v>317</v>
      </c>
      <c r="I941" s="1" t="s">
        <v>318</v>
      </c>
      <c r="J941" s="1" t="s">
        <v>164</v>
      </c>
      <c r="K941" t="s">
        <v>34</v>
      </c>
      <c r="M941" s="1" t="s">
        <v>35</v>
      </c>
      <c r="N941" s="1">
        <v>42318949</v>
      </c>
      <c r="O941" s="1" t="s">
        <v>105</v>
      </c>
      <c r="P941" s="11" t="s">
        <v>1776</v>
      </c>
      <c r="R941" s="1" t="s">
        <v>38</v>
      </c>
      <c r="T941" s="1" t="s">
        <v>74</v>
      </c>
      <c r="U941" s="11" t="s">
        <v>1341</v>
      </c>
      <c r="V941" s="1" t="s">
        <v>41</v>
      </c>
      <c r="W941" s="1" t="s">
        <v>49</v>
      </c>
      <c r="X941" s="13" t="str">
        <f>IF(RIGHT(H941,2)&lt;&gt;"00",H941,"")</f>
        <v/>
      </c>
      <c r="Y941" s="2">
        <f ca="1">NETWORKDAYS(P941,$Y$1)</f>
        <v>39</v>
      </c>
      <c r="Z941" s="14">
        <v>1</v>
      </c>
      <c r="AA941" s="1" t="str">
        <f t="shared" ca="1" si="70"/>
        <v>VENCIDO</v>
      </c>
      <c r="AB941" s="1" t="str">
        <f t="shared" si="71"/>
        <v>Dosa</v>
      </c>
      <c r="AC941" s="2" t="str">
        <f t="shared" si="72"/>
        <v xml:space="preserve"> ROSEMERE </v>
      </c>
      <c r="AD941" s="2">
        <f t="shared" si="73"/>
        <v>5</v>
      </c>
      <c r="AE941" s="2">
        <f t="shared" ca="1" si="74"/>
        <v>-53.926271643518703</v>
      </c>
    </row>
    <row r="942" spans="1:31" hidden="1">
      <c r="A942" s="1">
        <v>9300300</v>
      </c>
      <c r="B942" s="1" t="s">
        <v>101</v>
      </c>
      <c r="C942" t="s">
        <v>1761</v>
      </c>
      <c r="E942" s="2">
        <v>2590000206001</v>
      </c>
      <c r="F942" s="1" t="s">
        <v>29</v>
      </c>
      <c r="G942" s="1" t="s">
        <v>53</v>
      </c>
      <c r="H942" s="1" t="s">
        <v>394</v>
      </c>
      <c r="I942" s="1" t="s">
        <v>395</v>
      </c>
      <c r="J942" s="1" t="s">
        <v>148</v>
      </c>
      <c r="K942" t="s">
        <v>34</v>
      </c>
      <c r="M942" s="1" t="s">
        <v>35</v>
      </c>
      <c r="N942" s="1">
        <v>42318949</v>
      </c>
      <c r="O942" s="1" t="s">
        <v>105</v>
      </c>
      <c r="P942" s="11" t="s">
        <v>1777</v>
      </c>
      <c r="R942" s="1" t="s">
        <v>38</v>
      </c>
      <c r="T942" s="1" t="s">
        <v>74</v>
      </c>
      <c r="U942" s="11" t="s">
        <v>1341</v>
      </c>
      <c r="V942" s="1" t="s">
        <v>41</v>
      </c>
      <c r="W942" s="1" t="s">
        <v>49</v>
      </c>
      <c r="X942" s="13" t="str">
        <f>IF(RIGHT(H942,2)&lt;&gt;"00",H942,"")</f>
        <v/>
      </c>
      <c r="Y942" s="2">
        <f ca="1">NETWORKDAYS(P942,$Y$1)</f>
        <v>39</v>
      </c>
      <c r="Z942" s="14">
        <v>1</v>
      </c>
      <c r="AA942" s="1" t="str">
        <f t="shared" ca="1" si="70"/>
        <v>VENCIDO</v>
      </c>
      <c r="AB942" s="1" t="str">
        <f t="shared" si="71"/>
        <v>Dosa</v>
      </c>
      <c r="AC942" s="2" t="str">
        <f t="shared" si="72"/>
        <v xml:space="preserve"> RINALDO </v>
      </c>
      <c r="AD942" s="2">
        <f t="shared" si="73"/>
        <v>5</v>
      </c>
      <c r="AE942" s="2">
        <f t="shared" ca="1" si="74"/>
        <v>-53.926271643518703</v>
      </c>
    </row>
    <row r="943" spans="1:31" hidden="1">
      <c r="A943" s="1">
        <v>9300280</v>
      </c>
      <c r="B943" s="1" t="s">
        <v>101</v>
      </c>
      <c r="C943" t="s">
        <v>1761</v>
      </c>
      <c r="E943" s="2">
        <v>2529000206001</v>
      </c>
      <c r="F943" s="1" t="s">
        <v>29</v>
      </c>
      <c r="G943" s="1" t="s">
        <v>53</v>
      </c>
      <c r="H943" s="1" t="s">
        <v>355</v>
      </c>
      <c r="I943" s="1" t="s">
        <v>356</v>
      </c>
      <c r="J943" s="1" t="s">
        <v>56</v>
      </c>
      <c r="K943" t="s">
        <v>34</v>
      </c>
      <c r="M943" s="1" t="s">
        <v>35</v>
      </c>
      <c r="N943" s="1">
        <v>42318949</v>
      </c>
      <c r="O943" s="1" t="s">
        <v>105</v>
      </c>
      <c r="P943" s="11" t="s">
        <v>1778</v>
      </c>
      <c r="R943" s="1" t="s">
        <v>38</v>
      </c>
      <c r="T943" s="1" t="s">
        <v>74</v>
      </c>
      <c r="U943" s="11" t="s">
        <v>1341</v>
      </c>
      <c r="V943" s="1" t="s">
        <v>41</v>
      </c>
      <c r="W943" s="1" t="s">
        <v>49</v>
      </c>
      <c r="X943" s="13" t="str">
        <f>IF(RIGHT(H943,2)&lt;&gt;"00",H943,"")</f>
        <v/>
      </c>
      <c r="Y943" s="2">
        <f ca="1">NETWORKDAYS(P943,$Y$1)</f>
        <v>39</v>
      </c>
      <c r="Z943" s="14">
        <v>1</v>
      </c>
      <c r="AA943" s="1" t="str">
        <f t="shared" ca="1" si="70"/>
        <v>VENCIDO</v>
      </c>
      <c r="AB943" s="1" t="str">
        <f t="shared" si="71"/>
        <v>Dosa</v>
      </c>
      <c r="AC943" s="2" t="str">
        <f t="shared" si="72"/>
        <v xml:space="preserve"> CRISTINA </v>
      </c>
      <c r="AD943" s="2">
        <f t="shared" si="73"/>
        <v>5</v>
      </c>
      <c r="AE943" s="2">
        <f t="shared" ca="1" si="74"/>
        <v>-53.926271643518703</v>
      </c>
    </row>
    <row r="944" spans="1:31" hidden="1">
      <c r="A944" s="1">
        <v>9300272</v>
      </c>
      <c r="B944" s="1" t="s">
        <v>101</v>
      </c>
      <c r="C944" t="s">
        <v>1761</v>
      </c>
      <c r="E944" s="2">
        <v>2473000206001</v>
      </c>
      <c r="F944" s="1" t="s">
        <v>29</v>
      </c>
      <c r="G944" s="1" t="s">
        <v>53</v>
      </c>
      <c r="H944" s="1" t="s">
        <v>1459</v>
      </c>
      <c r="I944" s="1" t="s">
        <v>1460</v>
      </c>
      <c r="J944" s="1" t="s">
        <v>261</v>
      </c>
      <c r="K944" t="s">
        <v>34</v>
      </c>
      <c r="M944" s="1" t="s">
        <v>35</v>
      </c>
      <c r="N944" s="1">
        <v>42318949</v>
      </c>
      <c r="O944" s="1" t="s">
        <v>105</v>
      </c>
      <c r="P944" s="11" t="s">
        <v>1779</v>
      </c>
      <c r="R944" s="1" t="s">
        <v>38</v>
      </c>
      <c r="T944" s="1" t="s">
        <v>74</v>
      </c>
      <c r="U944" s="11" t="s">
        <v>1341</v>
      </c>
      <c r="V944" s="1" t="s">
        <v>41</v>
      </c>
      <c r="W944" s="1" t="s">
        <v>49</v>
      </c>
      <c r="X944" s="13" t="str">
        <f>IF(RIGHT(H944,2)&lt;&gt;"00",H944,"")</f>
        <v/>
      </c>
      <c r="Y944" s="2">
        <f ca="1">NETWORKDAYS(P944,$Y$1)</f>
        <v>39</v>
      </c>
      <c r="Z944" s="14">
        <v>1</v>
      </c>
      <c r="AA944" s="1" t="str">
        <f t="shared" ca="1" si="70"/>
        <v>VENCIDO</v>
      </c>
      <c r="AB944" s="1" t="str">
        <f t="shared" si="71"/>
        <v>Dosa</v>
      </c>
      <c r="AC944" s="2" t="str">
        <f t="shared" si="72"/>
        <v xml:space="preserve"> CRISTINA </v>
      </c>
      <c r="AD944" s="2">
        <f t="shared" si="73"/>
        <v>5</v>
      </c>
      <c r="AE944" s="2">
        <f t="shared" ca="1" si="74"/>
        <v>-53.926271643518703</v>
      </c>
    </row>
    <row r="945" spans="1:31" hidden="1">
      <c r="A945" s="1">
        <v>9300254</v>
      </c>
      <c r="B945" s="1" t="s">
        <v>101</v>
      </c>
      <c r="C945" t="s">
        <v>1761</v>
      </c>
      <c r="E945" s="2">
        <v>2437000206001</v>
      </c>
      <c r="F945" s="1" t="s">
        <v>29</v>
      </c>
      <c r="G945" s="1" t="s">
        <v>53</v>
      </c>
      <c r="H945" s="1" t="s">
        <v>416</v>
      </c>
      <c r="I945" s="1" t="s">
        <v>417</v>
      </c>
      <c r="J945" s="1" t="s">
        <v>211</v>
      </c>
      <c r="K945" t="s">
        <v>34</v>
      </c>
      <c r="M945" s="1" t="s">
        <v>35</v>
      </c>
      <c r="N945" s="1">
        <v>42318949</v>
      </c>
      <c r="O945" s="1" t="s">
        <v>105</v>
      </c>
      <c r="P945" s="11" t="s">
        <v>1780</v>
      </c>
      <c r="R945" s="1" t="s">
        <v>38</v>
      </c>
      <c r="T945" s="1" t="s">
        <v>74</v>
      </c>
      <c r="U945" s="186">
        <v>44932.75</v>
      </c>
      <c r="V945" s="1" t="s">
        <v>41</v>
      </c>
      <c r="W945" s="1" t="s">
        <v>49</v>
      </c>
      <c r="X945" s="13" t="str">
        <f>IF(RIGHT(H945,2)&lt;&gt;"00",H945,"")</f>
        <v/>
      </c>
      <c r="Y945" s="2">
        <f ca="1">NETWORKDAYS(P945,$Y$1)</f>
        <v>39</v>
      </c>
      <c r="Z945" s="14">
        <v>1</v>
      </c>
      <c r="AA945" s="1" t="str">
        <f t="shared" ca="1" si="70"/>
        <v>VENCIDO</v>
      </c>
      <c r="AB945" s="1" t="str">
        <f t="shared" si="71"/>
        <v>Dosa</v>
      </c>
      <c r="AC945" s="2" t="str">
        <f t="shared" si="72"/>
        <v xml:space="preserve"> RINALDO </v>
      </c>
      <c r="AD945" s="2">
        <f t="shared" si="73"/>
        <v>5</v>
      </c>
      <c r="AE945" s="2">
        <f t="shared" ca="1" si="74"/>
        <v>-53.926271643518703</v>
      </c>
    </row>
    <row r="946" spans="1:31" hidden="1">
      <c r="A946" s="1">
        <v>9300253</v>
      </c>
      <c r="B946" s="1" t="s">
        <v>101</v>
      </c>
      <c r="C946" t="s">
        <v>1761</v>
      </c>
      <c r="E946" s="2">
        <v>2437000206001</v>
      </c>
      <c r="F946" s="1" t="s">
        <v>29</v>
      </c>
      <c r="G946" s="1" t="s">
        <v>53</v>
      </c>
      <c r="H946" s="1" t="s">
        <v>416</v>
      </c>
      <c r="I946" s="1" t="s">
        <v>417</v>
      </c>
      <c r="J946" s="1" t="s">
        <v>211</v>
      </c>
      <c r="K946" t="s">
        <v>34</v>
      </c>
      <c r="M946" s="1" t="s">
        <v>35</v>
      </c>
      <c r="N946" s="1">
        <v>42318949</v>
      </c>
      <c r="O946" s="1" t="s">
        <v>105</v>
      </c>
      <c r="P946" s="11" t="s">
        <v>1780</v>
      </c>
      <c r="R946" s="1" t="s">
        <v>38</v>
      </c>
      <c r="T946" s="1" t="s">
        <v>74</v>
      </c>
      <c r="U946" s="11" t="s">
        <v>1341</v>
      </c>
      <c r="V946" s="1" t="s">
        <v>41</v>
      </c>
      <c r="W946" s="1" t="s">
        <v>49</v>
      </c>
      <c r="X946" s="13" t="str">
        <f>IF(RIGHT(H946,2)&lt;&gt;"00",H946,"")</f>
        <v/>
      </c>
      <c r="Y946" s="2">
        <f ca="1">NETWORKDAYS(P946,$Y$1)</f>
        <v>39</v>
      </c>
      <c r="Z946" s="14">
        <v>1</v>
      </c>
      <c r="AA946" s="1" t="str">
        <f t="shared" ca="1" si="70"/>
        <v>VENCIDO</v>
      </c>
      <c r="AB946" s="1" t="str">
        <f t="shared" si="71"/>
        <v>Dosa</v>
      </c>
      <c r="AC946" s="2" t="str">
        <f t="shared" si="72"/>
        <v xml:space="preserve"> RINALDO </v>
      </c>
      <c r="AD946" s="2">
        <f t="shared" si="73"/>
        <v>5</v>
      </c>
      <c r="AE946" s="2">
        <f t="shared" ca="1" si="74"/>
        <v>-53.926271643518703</v>
      </c>
    </row>
    <row r="947" spans="1:31" hidden="1">
      <c r="A947" s="1">
        <v>9300252</v>
      </c>
      <c r="B947" s="1" t="s">
        <v>101</v>
      </c>
      <c r="C947" t="s">
        <v>1761</v>
      </c>
      <c r="E947" s="2">
        <v>2437000206001</v>
      </c>
      <c r="F947" s="1" t="s">
        <v>29</v>
      </c>
      <c r="G947" s="1" t="s">
        <v>53</v>
      </c>
      <c r="H947" s="1" t="s">
        <v>416</v>
      </c>
      <c r="I947" s="1" t="s">
        <v>417</v>
      </c>
      <c r="J947" s="1" t="s">
        <v>211</v>
      </c>
      <c r="K947" t="s">
        <v>34</v>
      </c>
      <c r="M947" s="1" t="s">
        <v>35</v>
      </c>
      <c r="N947" s="1">
        <v>42318949</v>
      </c>
      <c r="O947" s="1" t="s">
        <v>105</v>
      </c>
      <c r="P947" s="11" t="s">
        <v>1780</v>
      </c>
      <c r="R947" s="1" t="s">
        <v>38</v>
      </c>
      <c r="T947" s="1" t="s">
        <v>74</v>
      </c>
      <c r="U947" s="11" t="s">
        <v>1341</v>
      </c>
      <c r="V947" s="1" t="s">
        <v>41</v>
      </c>
      <c r="W947" s="1" t="s">
        <v>49</v>
      </c>
      <c r="X947" s="13" t="str">
        <f>IF(RIGHT(H947,2)&lt;&gt;"00",H947,"")</f>
        <v/>
      </c>
      <c r="Y947" s="2">
        <f ca="1">NETWORKDAYS(P947,$Y$1)</f>
        <v>39</v>
      </c>
      <c r="Z947" s="14">
        <v>1</v>
      </c>
      <c r="AA947" s="1" t="str">
        <f t="shared" ca="1" si="70"/>
        <v>VENCIDO</v>
      </c>
      <c r="AB947" s="1" t="str">
        <f t="shared" si="71"/>
        <v>Dosa</v>
      </c>
      <c r="AC947" s="2" t="str">
        <f t="shared" si="72"/>
        <v xml:space="preserve"> RINALDO </v>
      </c>
      <c r="AD947" s="2">
        <f t="shared" si="73"/>
        <v>5</v>
      </c>
      <c r="AE947" s="2">
        <f t="shared" ca="1" si="74"/>
        <v>-53.926271643518703</v>
      </c>
    </row>
    <row r="948" spans="1:31" hidden="1">
      <c r="A948" s="1">
        <v>9300229</v>
      </c>
      <c r="B948" s="1" t="s">
        <v>101</v>
      </c>
      <c r="C948" t="s">
        <v>1761</v>
      </c>
      <c r="E948" s="2">
        <v>2388000206001</v>
      </c>
      <c r="F948" s="1" t="s">
        <v>29</v>
      </c>
      <c r="G948" s="1" t="s">
        <v>53</v>
      </c>
      <c r="H948" s="1" t="s">
        <v>299</v>
      </c>
      <c r="I948" s="1" t="s">
        <v>300</v>
      </c>
      <c r="J948" s="1" t="s">
        <v>79</v>
      </c>
      <c r="K948" t="s">
        <v>34</v>
      </c>
      <c r="M948" s="1" t="s">
        <v>35</v>
      </c>
      <c r="N948" s="1">
        <v>42318949</v>
      </c>
      <c r="O948" s="1" t="s">
        <v>105</v>
      </c>
      <c r="P948" s="11" t="s">
        <v>1781</v>
      </c>
      <c r="R948" s="1" t="s">
        <v>38</v>
      </c>
      <c r="T948" s="1" t="s">
        <v>74</v>
      </c>
      <c r="U948" s="11" t="s">
        <v>1341</v>
      </c>
      <c r="V948" s="1" t="s">
        <v>41</v>
      </c>
      <c r="W948" s="1" t="s">
        <v>49</v>
      </c>
      <c r="X948" s="13" t="str">
        <f>IF(RIGHT(H948,2)&lt;&gt;"00",H948,"")</f>
        <v/>
      </c>
      <c r="Y948" s="2">
        <f ca="1">NETWORKDAYS(P948,$Y$1)</f>
        <v>39</v>
      </c>
      <c r="Z948" s="14">
        <v>1</v>
      </c>
      <c r="AA948" s="1" t="str">
        <f t="shared" ca="1" si="70"/>
        <v>VENCIDO</v>
      </c>
      <c r="AB948" s="1" t="str">
        <f t="shared" si="71"/>
        <v>Dosa</v>
      </c>
      <c r="AC948" s="2" t="str">
        <f t="shared" si="72"/>
        <v xml:space="preserve"> ROSEMERE </v>
      </c>
      <c r="AD948" s="2">
        <f t="shared" si="73"/>
        <v>5</v>
      </c>
      <c r="AE948" s="2">
        <f t="shared" ca="1" si="74"/>
        <v>-53.926271643518703</v>
      </c>
    </row>
    <row r="949" spans="1:31" hidden="1">
      <c r="A949" s="1">
        <v>9300228</v>
      </c>
      <c r="B949" s="1" t="s">
        <v>101</v>
      </c>
      <c r="C949" t="s">
        <v>1761</v>
      </c>
      <c r="E949" s="2">
        <v>2388000206001</v>
      </c>
      <c r="F949" s="1" t="s">
        <v>29</v>
      </c>
      <c r="G949" s="1" t="s">
        <v>53</v>
      </c>
      <c r="H949" s="1" t="s">
        <v>299</v>
      </c>
      <c r="I949" s="1" t="s">
        <v>300</v>
      </c>
      <c r="J949" s="1" t="s">
        <v>79</v>
      </c>
      <c r="K949" t="s">
        <v>34</v>
      </c>
      <c r="M949" s="1" t="s">
        <v>35</v>
      </c>
      <c r="N949" s="1">
        <v>42318949</v>
      </c>
      <c r="O949" s="1" t="s">
        <v>105</v>
      </c>
      <c r="P949" s="11" t="s">
        <v>1781</v>
      </c>
      <c r="R949" s="1" t="s">
        <v>38</v>
      </c>
      <c r="T949" s="1" t="s">
        <v>74</v>
      </c>
      <c r="U949" s="11" t="s">
        <v>1341</v>
      </c>
      <c r="V949" s="1" t="s">
        <v>41</v>
      </c>
      <c r="W949" s="1" t="s">
        <v>49</v>
      </c>
      <c r="X949" s="13" t="str">
        <f>IF(RIGHT(H949,2)&lt;&gt;"00",H949,"")</f>
        <v/>
      </c>
      <c r="Y949" s="2">
        <f ca="1">NETWORKDAYS(P949,$Y$1)</f>
        <v>39</v>
      </c>
      <c r="Z949" s="14">
        <v>1</v>
      </c>
      <c r="AA949" s="1" t="str">
        <f t="shared" ca="1" si="70"/>
        <v>VENCIDO</v>
      </c>
      <c r="AB949" s="1" t="str">
        <f t="shared" si="71"/>
        <v>Dosa</v>
      </c>
      <c r="AC949" s="2" t="str">
        <f t="shared" si="72"/>
        <v xml:space="preserve"> ROSEMERE </v>
      </c>
      <c r="AD949" s="2">
        <f t="shared" si="73"/>
        <v>5</v>
      </c>
      <c r="AE949" s="2">
        <f t="shared" ca="1" si="74"/>
        <v>-53.926271643518703</v>
      </c>
    </row>
    <row r="950" spans="1:31" hidden="1">
      <c r="A950" s="1">
        <v>9300194</v>
      </c>
      <c r="B950" s="1" t="s">
        <v>101</v>
      </c>
      <c r="C950" t="s">
        <v>1761</v>
      </c>
      <c r="E950" s="2">
        <v>2326000206001</v>
      </c>
      <c r="F950" s="1" t="s">
        <v>29</v>
      </c>
      <c r="G950" s="1" t="s">
        <v>53</v>
      </c>
      <c r="H950" s="1" t="s">
        <v>191</v>
      </c>
      <c r="I950" s="1" t="s">
        <v>192</v>
      </c>
      <c r="J950" s="1" t="s">
        <v>46</v>
      </c>
      <c r="K950" t="s">
        <v>34</v>
      </c>
      <c r="M950" s="1" t="s">
        <v>35</v>
      </c>
      <c r="N950" s="1">
        <v>42318949</v>
      </c>
      <c r="O950" s="1" t="s">
        <v>105</v>
      </c>
      <c r="P950" s="11" t="s">
        <v>1782</v>
      </c>
      <c r="R950" s="1" t="s">
        <v>38</v>
      </c>
      <c r="T950" s="1" t="s">
        <v>74</v>
      </c>
      <c r="U950" s="186">
        <v>44932.75</v>
      </c>
      <c r="V950" s="1" t="s">
        <v>41</v>
      </c>
      <c r="W950" s="1" t="s">
        <v>49</v>
      </c>
      <c r="X950" s="13" t="str">
        <f>IF(RIGHT(H950,2)&lt;&gt;"00",H950,"")</f>
        <v/>
      </c>
      <c r="Y950" s="2">
        <f ca="1">NETWORKDAYS(P950,$Y$1)</f>
        <v>39</v>
      </c>
      <c r="Z950" s="14">
        <v>1</v>
      </c>
      <c r="AA950" s="1" t="str">
        <f t="shared" ca="1" si="70"/>
        <v>VENCIDO</v>
      </c>
      <c r="AB950" s="1" t="str">
        <f t="shared" si="71"/>
        <v>Dosa</v>
      </c>
      <c r="AC950" s="2" t="str">
        <f t="shared" si="72"/>
        <v xml:space="preserve"> CLEITON </v>
      </c>
      <c r="AD950" s="2">
        <f t="shared" si="73"/>
        <v>5</v>
      </c>
      <c r="AE950" s="2">
        <f t="shared" ca="1" si="74"/>
        <v>-53.926271643518703</v>
      </c>
    </row>
    <row r="951" spans="1:31" hidden="1">
      <c r="A951" s="1">
        <v>9300193</v>
      </c>
      <c r="B951" s="1" t="s">
        <v>101</v>
      </c>
      <c r="C951" t="s">
        <v>1761</v>
      </c>
      <c r="E951" s="2">
        <v>2326000206001</v>
      </c>
      <c r="F951" s="1" t="s">
        <v>29</v>
      </c>
      <c r="G951" s="1" t="s">
        <v>53</v>
      </c>
      <c r="H951" s="1" t="s">
        <v>191</v>
      </c>
      <c r="I951" s="1" t="s">
        <v>192</v>
      </c>
      <c r="J951" s="1" t="s">
        <v>46</v>
      </c>
      <c r="K951" t="s">
        <v>34</v>
      </c>
      <c r="M951" s="1" t="s">
        <v>35</v>
      </c>
      <c r="N951" s="1">
        <v>42318949</v>
      </c>
      <c r="O951" s="1" t="s">
        <v>105</v>
      </c>
      <c r="P951" s="11" t="s">
        <v>1782</v>
      </c>
      <c r="R951" s="1" t="s">
        <v>38</v>
      </c>
      <c r="T951" s="1" t="s">
        <v>74</v>
      </c>
      <c r="U951" s="186">
        <v>44932.75</v>
      </c>
      <c r="V951" s="1" t="s">
        <v>41</v>
      </c>
      <c r="W951" s="1" t="s">
        <v>49</v>
      </c>
      <c r="X951" s="13" t="str">
        <f>IF(RIGHT(H951,2)&lt;&gt;"00",H951,"")</f>
        <v/>
      </c>
      <c r="Y951" s="2">
        <f ca="1">NETWORKDAYS(P951,$Y$1)</f>
        <v>39</v>
      </c>
      <c r="Z951" s="14">
        <v>1</v>
      </c>
      <c r="AA951" s="1" t="str">
        <f t="shared" ca="1" si="70"/>
        <v>VENCIDO</v>
      </c>
      <c r="AB951" s="1" t="str">
        <f t="shared" si="71"/>
        <v>Dosa</v>
      </c>
      <c r="AC951" s="2" t="str">
        <f t="shared" si="72"/>
        <v xml:space="preserve"> CLEITON </v>
      </c>
      <c r="AD951" s="2">
        <f t="shared" si="73"/>
        <v>5</v>
      </c>
      <c r="AE951" s="2">
        <f t="shared" ca="1" si="74"/>
        <v>-53.926271643518703</v>
      </c>
    </row>
    <row r="952" spans="1:31" hidden="1">
      <c r="A952" s="1">
        <v>9300192</v>
      </c>
      <c r="B952" s="1" t="s">
        <v>101</v>
      </c>
      <c r="C952" t="s">
        <v>1761</v>
      </c>
      <c r="E952" s="2">
        <v>2326000206001</v>
      </c>
      <c r="F952" s="1" t="s">
        <v>29</v>
      </c>
      <c r="G952" s="1" t="s">
        <v>53</v>
      </c>
      <c r="H952" s="1" t="s">
        <v>191</v>
      </c>
      <c r="I952" s="1" t="s">
        <v>192</v>
      </c>
      <c r="J952" s="1" t="s">
        <v>46</v>
      </c>
      <c r="K952" t="s">
        <v>34</v>
      </c>
      <c r="M952" s="1" t="s">
        <v>35</v>
      </c>
      <c r="N952" s="1">
        <v>42318949</v>
      </c>
      <c r="O952" s="1" t="s">
        <v>105</v>
      </c>
      <c r="P952" s="11" t="s">
        <v>1782</v>
      </c>
      <c r="R952" s="1" t="s">
        <v>38</v>
      </c>
      <c r="T952" s="1" t="s">
        <v>74</v>
      </c>
      <c r="U952" s="186">
        <v>44932.75</v>
      </c>
      <c r="V952" s="1" t="s">
        <v>41</v>
      </c>
      <c r="W952" s="1" t="s">
        <v>49</v>
      </c>
      <c r="X952" s="13" t="str">
        <f>IF(RIGHT(H952,2)&lt;&gt;"00",H952,"")</f>
        <v/>
      </c>
      <c r="Y952" s="2">
        <f ca="1">NETWORKDAYS(P952,$Y$1)</f>
        <v>39</v>
      </c>
      <c r="Z952" s="14">
        <v>1</v>
      </c>
      <c r="AA952" s="1" t="str">
        <f t="shared" ca="1" si="70"/>
        <v>VENCIDO</v>
      </c>
      <c r="AB952" s="1" t="str">
        <f t="shared" si="71"/>
        <v>Dosa</v>
      </c>
      <c r="AC952" s="2" t="str">
        <f t="shared" si="72"/>
        <v xml:space="preserve"> CLEITON </v>
      </c>
      <c r="AD952" s="2">
        <f t="shared" si="73"/>
        <v>5</v>
      </c>
      <c r="AE952" s="2">
        <f t="shared" ca="1" si="74"/>
        <v>-53.926271643518703</v>
      </c>
    </row>
    <row r="953" spans="1:31" hidden="1">
      <c r="A953" s="1">
        <v>9300118</v>
      </c>
      <c r="B953" s="1" t="s">
        <v>101</v>
      </c>
      <c r="C953" t="s">
        <v>1761</v>
      </c>
      <c r="E953" s="2">
        <v>2219000206001</v>
      </c>
      <c r="F953" s="1" t="s">
        <v>29</v>
      </c>
      <c r="G953" s="1" t="s">
        <v>53</v>
      </c>
      <c r="H953" s="1" t="s">
        <v>893</v>
      </c>
      <c r="I953" s="1" t="s">
        <v>894</v>
      </c>
      <c r="J953" s="1" t="s">
        <v>141</v>
      </c>
      <c r="K953" t="s">
        <v>34</v>
      </c>
      <c r="M953" s="1" t="s">
        <v>35</v>
      </c>
      <c r="N953" s="1">
        <v>42318949</v>
      </c>
      <c r="O953" s="1" t="s">
        <v>105</v>
      </c>
      <c r="P953" s="11" t="s">
        <v>1783</v>
      </c>
      <c r="R953" s="1" t="s">
        <v>38</v>
      </c>
      <c r="T953" s="1" t="s">
        <v>74</v>
      </c>
      <c r="U953" s="186">
        <v>44932.75</v>
      </c>
      <c r="V953" s="1" t="s">
        <v>41</v>
      </c>
      <c r="W953" s="1" t="s">
        <v>49</v>
      </c>
      <c r="X953" s="13" t="str">
        <f>IF(RIGHT(H953,2)&lt;&gt;"00",H953,"")</f>
        <v/>
      </c>
      <c r="Y953" s="2">
        <f ca="1">NETWORKDAYS(P953,$Y$1)</f>
        <v>39</v>
      </c>
      <c r="Z953" s="14">
        <v>1</v>
      </c>
      <c r="AA953" s="1" t="str">
        <f t="shared" ca="1" si="70"/>
        <v>VENCIDO</v>
      </c>
      <c r="AB953" s="1" t="str">
        <f t="shared" si="71"/>
        <v>Dosa</v>
      </c>
      <c r="AC953" s="2" t="str">
        <f t="shared" si="72"/>
        <v xml:space="preserve"> CRISTINA </v>
      </c>
      <c r="AD953" s="2">
        <f t="shared" si="73"/>
        <v>5</v>
      </c>
      <c r="AE953" s="2">
        <f t="shared" ca="1" si="74"/>
        <v>-53.926271643518703</v>
      </c>
    </row>
    <row r="954" spans="1:31" hidden="1">
      <c r="A954" s="1">
        <v>9300088</v>
      </c>
      <c r="B954" s="1" t="s">
        <v>101</v>
      </c>
      <c r="C954" t="s">
        <v>1761</v>
      </c>
      <c r="E954" s="2">
        <v>2170000206001</v>
      </c>
      <c r="F954" s="1" t="s">
        <v>29</v>
      </c>
      <c r="G954" s="1" t="s">
        <v>53</v>
      </c>
      <c r="H954" s="1" t="s">
        <v>477</v>
      </c>
      <c r="I954" s="1" t="s">
        <v>478</v>
      </c>
      <c r="J954" s="1" t="s">
        <v>148</v>
      </c>
      <c r="K954" t="s">
        <v>34</v>
      </c>
      <c r="M954" s="1" t="s">
        <v>35</v>
      </c>
      <c r="N954" s="1">
        <v>42318949</v>
      </c>
      <c r="O954" s="1" t="s">
        <v>105</v>
      </c>
      <c r="P954" s="11" t="s">
        <v>1784</v>
      </c>
      <c r="R954" s="1" t="s">
        <v>38</v>
      </c>
      <c r="T954" s="1" t="s">
        <v>74</v>
      </c>
      <c r="U954" s="186">
        <v>44932.75</v>
      </c>
      <c r="V954" s="1" t="s">
        <v>41</v>
      </c>
      <c r="W954" s="1" t="s">
        <v>49</v>
      </c>
      <c r="X954" s="13" t="str">
        <f>IF(RIGHT(H954,2)&lt;&gt;"00",H954,"")</f>
        <v/>
      </c>
      <c r="Y954" s="2">
        <f ca="1">NETWORKDAYS(P954,$Y$1)</f>
        <v>39</v>
      </c>
      <c r="Z954" s="14">
        <v>1</v>
      </c>
      <c r="AA954" s="1" t="str">
        <f t="shared" ca="1" si="70"/>
        <v>VENCIDO</v>
      </c>
      <c r="AB954" s="1" t="str">
        <f t="shared" si="71"/>
        <v>Dosa</v>
      </c>
      <c r="AC954" s="2" t="str">
        <f t="shared" si="72"/>
        <v xml:space="preserve"> RINALDO </v>
      </c>
      <c r="AD954" s="2">
        <f t="shared" si="73"/>
        <v>5</v>
      </c>
      <c r="AE954" s="2">
        <f t="shared" ca="1" si="74"/>
        <v>-53.926271643518703</v>
      </c>
    </row>
    <row r="955" spans="1:31" hidden="1">
      <c r="A955" s="1">
        <v>9300087</v>
      </c>
      <c r="B955" s="1" t="s">
        <v>101</v>
      </c>
      <c r="C955" t="s">
        <v>1761</v>
      </c>
      <c r="E955" s="2">
        <v>2170000206001</v>
      </c>
      <c r="F955" s="1" t="s">
        <v>29</v>
      </c>
      <c r="G955" s="1" t="s">
        <v>53</v>
      </c>
      <c r="H955" s="1" t="s">
        <v>477</v>
      </c>
      <c r="I955" s="1" t="s">
        <v>478</v>
      </c>
      <c r="J955" s="1" t="s">
        <v>148</v>
      </c>
      <c r="K955" t="s">
        <v>34</v>
      </c>
      <c r="M955" s="1" t="s">
        <v>35</v>
      </c>
      <c r="N955" s="1">
        <v>42318949</v>
      </c>
      <c r="O955" s="1" t="s">
        <v>105</v>
      </c>
      <c r="P955" s="11" t="s">
        <v>1784</v>
      </c>
      <c r="R955" s="1" t="s">
        <v>38</v>
      </c>
      <c r="T955" s="1" t="s">
        <v>74</v>
      </c>
      <c r="U955" s="186">
        <v>44932.75</v>
      </c>
      <c r="V955" s="1" t="s">
        <v>41</v>
      </c>
      <c r="W955" s="1" t="s">
        <v>49</v>
      </c>
      <c r="X955" s="13" t="str">
        <f>IF(RIGHT(H955,2)&lt;&gt;"00",H955,"")</f>
        <v/>
      </c>
      <c r="Y955" s="2">
        <f ca="1">NETWORKDAYS(P955,$Y$1)</f>
        <v>39</v>
      </c>
      <c r="Z955" s="14">
        <v>1</v>
      </c>
      <c r="AA955" s="1" t="str">
        <f t="shared" ca="1" si="70"/>
        <v>VENCIDO</v>
      </c>
      <c r="AB955" s="1" t="str">
        <f t="shared" si="71"/>
        <v>Dosa</v>
      </c>
      <c r="AC955" s="2" t="str">
        <f t="shared" si="72"/>
        <v xml:space="preserve"> RINALDO </v>
      </c>
      <c r="AD955" s="2">
        <f t="shared" si="73"/>
        <v>5</v>
      </c>
      <c r="AE955" s="2">
        <f t="shared" ca="1" si="74"/>
        <v>-53.926271643518703</v>
      </c>
    </row>
    <row r="956" spans="1:31" hidden="1">
      <c r="A956" s="1">
        <v>9299999</v>
      </c>
      <c r="B956" s="1" t="s">
        <v>101</v>
      </c>
      <c r="C956" t="s">
        <v>1761</v>
      </c>
      <c r="E956" s="2">
        <v>1837000206001</v>
      </c>
      <c r="F956" s="1" t="s">
        <v>29</v>
      </c>
      <c r="G956" s="1" t="s">
        <v>53</v>
      </c>
      <c r="H956" s="1" t="s">
        <v>1785</v>
      </c>
      <c r="I956" s="1" t="s">
        <v>1786</v>
      </c>
      <c r="J956" s="1" t="s">
        <v>46</v>
      </c>
      <c r="K956" t="s">
        <v>34</v>
      </c>
      <c r="M956" s="1" t="s">
        <v>35</v>
      </c>
      <c r="N956" s="1">
        <v>42318949</v>
      </c>
      <c r="O956" s="1" t="s">
        <v>105</v>
      </c>
      <c r="P956" s="11" t="s">
        <v>1787</v>
      </c>
      <c r="R956" s="1" t="s">
        <v>38</v>
      </c>
      <c r="T956" s="1" t="s">
        <v>74</v>
      </c>
      <c r="U956" s="186">
        <v>44932.75</v>
      </c>
      <c r="V956" s="1" t="s">
        <v>41</v>
      </c>
      <c r="W956" s="1" t="s">
        <v>49</v>
      </c>
      <c r="X956" s="13" t="str">
        <f>IF(RIGHT(H956,2)&lt;&gt;"00",H956,"")</f>
        <v/>
      </c>
      <c r="Y956" s="2">
        <f ca="1">NETWORKDAYS(P956,$Y$1)</f>
        <v>39</v>
      </c>
      <c r="Z956" s="14">
        <v>1</v>
      </c>
      <c r="AA956" s="1" t="str">
        <f t="shared" ref="AA956:AA1019" ca="1" si="75">IF(AE956=0,"HOJE",IF(AE956&gt;0,"A VENCER",IF(AE956&lt;0,"VENCIDO")))</f>
        <v>VENCIDO</v>
      </c>
      <c r="AB956" s="1" t="str">
        <f t="shared" ref="AB956:AB1019" si="76">IF(F956="GRPE-000001","C-14",IF(F956="GRPE-000002","C-14",IF(F956="GRPE-000003","C-14",IF(F956="GRPE-000004","SL-On",IF(F956="GRPE-000038","C-14",IF(F956="GRPE-900022","Dosa",IF(F956="GRPE-000029","Dosa",IF(F956="ATOS-000222","Dose","TAAe+"))))))))</f>
        <v>Dosa</v>
      </c>
      <c r="AC956" s="2" t="str">
        <f t="shared" ref="AC956:AC1019" si="77">IF(J956="TR-PETROLINA"," ROSEMERE ",IF(J956="TR-GARANHUNS"," ROSEMERE ",IF(J956="TR-CARUARU"," ROSEMERE ",IF(J956="TR-RIBEIRAO"," CRISTINA ",IF(J956="TR-GRAVATA"," CRISTINA ",IF(J956="TR-GOIANA"," CRISTINA ",IF(J956="TR-LIMOEIRO"," CRISTINA ",IF(J956="TR-SERRA TALHADA"," RINALDO ",IF(J956="TR-SALGUEIRO"," RINALDO ",IF(J956="TR-CARNAIBA"," RINALDO ",IF(J956="TR-ARCOVERDE"," RINALDO ",IF(J956="CAT-RECIFE"," CLEITON ",))))))))))))</f>
        <v xml:space="preserve"> CLEITON </v>
      </c>
      <c r="AD956" s="2">
        <f t="shared" ref="AD956:AD1019" si="78">IF(F956="GRPE-000001",5,IF(F956="GRPE-000002",5,IF(F956="GRPE-000003",15,IF(F956="GRPE-000004",1,IF(F956="GRPE-000038",5,IF(F956="GRPE-900022",5,IF(F956="GRPE-000029",5,IF(F956="ATOS-000222",5,8))))))))</f>
        <v>5</v>
      </c>
      <c r="AE956" s="2">
        <f t="shared" ref="AE956:AE1019" ca="1" si="79">IF(U956=$AE$1,"",U956-$AE$1)</f>
        <v>-53.926271643518703</v>
      </c>
    </row>
    <row r="957" spans="1:31" hidden="1">
      <c r="A957" s="1">
        <v>9299998</v>
      </c>
      <c r="B957" s="1" t="s">
        <v>101</v>
      </c>
      <c r="C957" t="s">
        <v>1761</v>
      </c>
      <c r="E957" s="2">
        <v>1837000206001</v>
      </c>
      <c r="F957" s="1" t="s">
        <v>29</v>
      </c>
      <c r="G957" s="1" t="s">
        <v>53</v>
      </c>
      <c r="H957" s="1" t="s">
        <v>1785</v>
      </c>
      <c r="I957" s="1" t="s">
        <v>1786</v>
      </c>
      <c r="J957" s="1" t="s">
        <v>46</v>
      </c>
      <c r="K957" t="s">
        <v>34</v>
      </c>
      <c r="M957" s="1" t="s">
        <v>35</v>
      </c>
      <c r="N957" s="1">
        <v>42318949</v>
      </c>
      <c r="O957" s="1" t="s">
        <v>105</v>
      </c>
      <c r="P957" s="11" t="s">
        <v>1787</v>
      </c>
      <c r="R957" s="1" t="s">
        <v>38</v>
      </c>
      <c r="T957" s="1" t="s">
        <v>74</v>
      </c>
      <c r="U957" s="186">
        <v>44932.75</v>
      </c>
      <c r="V957" s="1" t="s">
        <v>41</v>
      </c>
      <c r="W957" s="1" t="s">
        <v>49</v>
      </c>
      <c r="X957" s="13" t="str">
        <f>IF(RIGHT(H957,2)&lt;&gt;"00",H957,"")</f>
        <v/>
      </c>
      <c r="Y957" s="2">
        <f ca="1">NETWORKDAYS(P957,$Y$1)</f>
        <v>39</v>
      </c>
      <c r="Z957" s="14">
        <v>1</v>
      </c>
      <c r="AA957" s="1" t="str">
        <f t="shared" ca="1" si="75"/>
        <v>VENCIDO</v>
      </c>
      <c r="AB957" s="1" t="str">
        <f t="shared" si="76"/>
        <v>Dosa</v>
      </c>
      <c r="AC957" s="2" t="str">
        <f t="shared" si="77"/>
        <v xml:space="preserve"> CLEITON </v>
      </c>
      <c r="AD957" s="2">
        <f t="shared" si="78"/>
        <v>5</v>
      </c>
      <c r="AE957" s="2">
        <f t="shared" ca="1" si="79"/>
        <v>-53.926271643518703</v>
      </c>
    </row>
    <row r="958" spans="1:31" hidden="1">
      <c r="A958" s="1">
        <v>9299997</v>
      </c>
      <c r="B958" s="1" t="s">
        <v>101</v>
      </c>
      <c r="C958" t="s">
        <v>1761</v>
      </c>
      <c r="E958" s="2">
        <v>1837000206001</v>
      </c>
      <c r="F958" s="1" t="s">
        <v>29</v>
      </c>
      <c r="G958" s="1" t="s">
        <v>53</v>
      </c>
      <c r="H958" s="1" t="s">
        <v>1785</v>
      </c>
      <c r="I958" s="1" t="s">
        <v>1786</v>
      </c>
      <c r="J958" s="1" t="s">
        <v>46</v>
      </c>
      <c r="K958" t="s">
        <v>34</v>
      </c>
      <c r="M958" s="1" t="s">
        <v>35</v>
      </c>
      <c r="N958" s="1">
        <v>42318949</v>
      </c>
      <c r="O958" s="1" t="s">
        <v>105</v>
      </c>
      <c r="P958" s="11" t="s">
        <v>1788</v>
      </c>
      <c r="R958" s="1" t="s">
        <v>38</v>
      </c>
      <c r="T958" s="1" t="s">
        <v>74</v>
      </c>
      <c r="U958" s="186">
        <v>44932.75</v>
      </c>
      <c r="V958" s="1" t="s">
        <v>41</v>
      </c>
      <c r="W958" s="1" t="s">
        <v>49</v>
      </c>
      <c r="X958" s="13" t="str">
        <f>IF(RIGHT(H958,2)&lt;&gt;"00",H958,"")</f>
        <v/>
      </c>
      <c r="Y958" s="2">
        <f ca="1">NETWORKDAYS(P958,$Y$1)</f>
        <v>39</v>
      </c>
      <c r="Z958" s="14">
        <v>1</v>
      </c>
      <c r="AA958" s="1" t="str">
        <f t="shared" ca="1" si="75"/>
        <v>VENCIDO</v>
      </c>
      <c r="AB958" s="1" t="str">
        <f t="shared" si="76"/>
        <v>Dosa</v>
      </c>
      <c r="AC958" s="2" t="str">
        <f t="shared" si="77"/>
        <v xml:space="preserve"> CLEITON </v>
      </c>
      <c r="AD958" s="2">
        <f t="shared" si="78"/>
        <v>5</v>
      </c>
      <c r="AE958" s="2">
        <f t="shared" ca="1" si="79"/>
        <v>-53.926271643518703</v>
      </c>
    </row>
    <row r="959" spans="1:31" hidden="1">
      <c r="A959" s="1">
        <v>9299964</v>
      </c>
      <c r="B959" s="1" t="s">
        <v>101</v>
      </c>
      <c r="C959" t="s">
        <v>1761</v>
      </c>
      <c r="E959" s="2">
        <v>1739000206001</v>
      </c>
      <c r="F959" s="1" t="s">
        <v>29</v>
      </c>
      <c r="G959" s="1" t="s">
        <v>53</v>
      </c>
      <c r="H959" s="1" t="s">
        <v>162</v>
      </c>
      <c r="I959" s="1" t="s">
        <v>163</v>
      </c>
      <c r="J959" s="1" t="s">
        <v>164</v>
      </c>
      <c r="K959" t="s">
        <v>34</v>
      </c>
      <c r="M959" s="1" t="s">
        <v>35</v>
      </c>
      <c r="N959" s="1">
        <v>42318949</v>
      </c>
      <c r="O959" s="1" t="s">
        <v>105</v>
      </c>
      <c r="P959" s="11" t="s">
        <v>1789</v>
      </c>
      <c r="R959" s="1" t="s">
        <v>38</v>
      </c>
      <c r="T959" s="1" t="s">
        <v>74</v>
      </c>
      <c r="U959" s="11" t="s">
        <v>1341</v>
      </c>
      <c r="V959" s="1" t="s">
        <v>41</v>
      </c>
      <c r="W959" s="1" t="s">
        <v>49</v>
      </c>
      <c r="X959" s="13" t="str">
        <f>IF(RIGHT(H959,2)&lt;&gt;"00",H959,"")</f>
        <v/>
      </c>
      <c r="Y959" s="2">
        <f ca="1">NETWORKDAYS(P959,$Y$1)</f>
        <v>39</v>
      </c>
      <c r="Z959" s="14">
        <v>1</v>
      </c>
      <c r="AA959" s="1" t="str">
        <f t="shared" ca="1" si="75"/>
        <v>VENCIDO</v>
      </c>
      <c r="AB959" s="1" t="str">
        <f t="shared" si="76"/>
        <v>Dosa</v>
      </c>
      <c r="AC959" s="2" t="str">
        <f t="shared" si="77"/>
        <v xml:space="preserve"> ROSEMERE </v>
      </c>
      <c r="AD959" s="2">
        <f t="shared" si="78"/>
        <v>5</v>
      </c>
      <c r="AE959" s="2">
        <f t="shared" ca="1" si="79"/>
        <v>-53.926271643518703</v>
      </c>
    </row>
    <row r="960" spans="1:31" hidden="1">
      <c r="A960" s="1">
        <v>9299963</v>
      </c>
      <c r="B960" s="1" t="s">
        <v>101</v>
      </c>
      <c r="C960" t="s">
        <v>1761</v>
      </c>
      <c r="E960" s="2">
        <v>1739000206001</v>
      </c>
      <c r="F960" s="1" t="s">
        <v>29</v>
      </c>
      <c r="G960" s="1" t="s">
        <v>53</v>
      </c>
      <c r="H960" s="1" t="s">
        <v>162</v>
      </c>
      <c r="I960" s="1" t="s">
        <v>163</v>
      </c>
      <c r="J960" s="1" t="s">
        <v>164</v>
      </c>
      <c r="K960" t="s">
        <v>34</v>
      </c>
      <c r="M960" s="1" t="s">
        <v>35</v>
      </c>
      <c r="N960" s="1">
        <v>42318949</v>
      </c>
      <c r="O960" s="1" t="s">
        <v>105</v>
      </c>
      <c r="P960" s="11" t="s">
        <v>1790</v>
      </c>
      <c r="R960" s="1" t="s">
        <v>38</v>
      </c>
      <c r="T960" s="1" t="s">
        <v>74</v>
      </c>
      <c r="U960" s="11" t="s">
        <v>1341</v>
      </c>
      <c r="V960" s="1" t="s">
        <v>41</v>
      </c>
      <c r="W960" s="1" t="s">
        <v>49</v>
      </c>
      <c r="X960" s="13" t="str">
        <f>IF(RIGHT(H960,2)&lt;&gt;"00",H960,"")</f>
        <v/>
      </c>
      <c r="Y960" s="2">
        <f ca="1">NETWORKDAYS(P960,$Y$1)</f>
        <v>39</v>
      </c>
      <c r="Z960" s="14">
        <v>1</v>
      </c>
      <c r="AA960" s="1" t="str">
        <f t="shared" ca="1" si="75"/>
        <v>VENCIDO</v>
      </c>
      <c r="AB960" s="1" t="str">
        <f t="shared" si="76"/>
        <v>Dosa</v>
      </c>
      <c r="AC960" s="2" t="str">
        <f t="shared" si="77"/>
        <v xml:space="preserve"> ROSEMERE </v>
      </c>
      <c r="AD960" s="2">
        <f t="shared" si="78"/>
        <v>5</v>
      </c>
      <c r="AE960" s="2">
        <f t="shared" ca="1" si="79"/>
        <v>-53.926271643518703</v>
      </c>
    </row>
    <row r="961" spans="1:31" hidden="1">
      <c r="A961" s="1">
        <v>9299962</v>
      </c>
      <c r="B961" s="1" t="s">
        <v>101</v>
      </c>
      <c r="C961" t="s">
        <v>1761</v>
      </c>
      <c r="E961" s="2">
        <v>1739000206001</v>
      </c>
      <c r="F961" s="1" t="s">
        <v>29</v>
      </c>
      <c r="G961" s="1" t="s">
        <v>53</v>
      </c>
      <c r="H961" s="1" t="s">
        <v>162</v>
      </c>
      <c r="I961" s="1" t="s">
        <v>163</v>
      </c>
      <c r="J961" s="1" t="s">
        <v>164</v>
      </c>
      <c r="K961" t="s">
        <v>34</v>
      </c>
      <c r="M961" s="1" t="s">
        <v>35</v>
      </c>
      <c r="N961" s="1">
        <v>42318949</v>
      </c>
      <c r="O961" s="1" t="s">
        <v>105</v>
      </c>
      <c r="P961" s="11" t="s">
        <v>1790</v>
      </c>
      <c r="R961" s="1" t="s">
        <v>38</v>
      </c>
      <c r="T961" s="1" t="s">
        <v>74</v>
      </c>
      <c r="U961" s="11" t="s">
        <v>1341</v>
      </c>
      <c r="V961" s="1" t="s">
        <v>41</v>
      </c>
      <c r="W961" s="1" t="s">
        <v>49</v>
      </c>
      <c r="X961" s="13" t="str">
        <f>IF(RIGHT(H961,2)&lt;&gt;"00",H961,"")</f>
        <v/>
      </c>
      <c r="Y961" s="2">
        <f ca="1">NETWORKDAYS(P961,$Y$1)</f>
        <v>39</v>
      </c>
      <c r="Z961" s="14">
        <v>1</v>
      </c>
      <c r="AA961" s="1" t="str">
        <f t="shared" ca="1" si="75"/>
        <v>VENCIDO</v>
      </c>
      <c r="AB961" s="1" t="str">
        <f t="shared" si="76"/>
        <v>Dosa</v>
      </c>
      <c r="AC961" s="2" t="str">
        <f t="shared" si="77"/>
        <v xml:space="preserve"> ROSEMERE </v>
      </c>
      <c r="AD961" s="2">
        <f t="shared" si="78"/>
        <v>5</v>
      </c>
      <c r="AE961" s="2">
        <f t="shared" ca="1" si="79"/>
        <v>-53.926271643518703</v>
      </c>
    </row>
    <row r="962" spans="1:31" hidden="1">
      <c r="A962" s="1">
        <v>9299956</v>
      </c>
      <c r="B962" s="1" t="s">
        <v>101</v>
      </c>
      <c r="C962" t="s">
        <v>1761</v>
      </c>
      <c r="E962" s="2">
        <v>1732000206001</v>
      </c>
      <c r="F962" s="1" t="s">
        <v>29</v>
      </c>
      <c r="G962" s="1" t="s">
        <v>53</v>
      </c>
      <c r="H962" s="1" t="s">
        <v>177</v>
      </c>
      <c r="I962" s="1" t="s">
        <v>178</v>
      </c>
      <c r="J962" s="1" t="s">
        <v>164</v>
      </c>
      <c r="K962" t="s">
        <v>34</v>
      </c>
      <c r="M962" s="1" t="s">
        <v>35</v>
      </c>
      <c r="N962" s="1">
        <v>42318949</v>
      </c>
      <c r="O962" s="1" t="s">
        <v>105</v>
      </c>
      <c r="P962" s="11" t="s">
        <v>1790</v>
      </c>
      <c r="R962" s="1" t="s">
        <v>38</v>
      </c>
      <c r="T962" s="1" t="s">
        <v>74</v>
      </c>
      <c r="U962" s="11" t="s">
        <v>1341</v>
      </c>
      <c r="V962" s="1" t="s">
        <v>41</v>
      </c>
      <c r="W962" s="1" t="s">
        <v>49</v>
      </c>
      <c r="X962" s="13" t="str">
        <f>IF(RIGHT(H962,2)&lt;&gt;"00",H962,"")</f>
        <v/>
      </c>
      <c r="Y962" s="2">
        <f ca="1">NETWORKDAYS(P962,$Y$1)</f>
        <v>39</v>
      </c>
      <c r="Z962" s="14">
        <v>1</v>
      </c>
      <c r="AA962" s="1" t="str">
        <f t="shared" ca="1" si="75"/>
        <v>VENCIDO</v>
      </c>
      <c r="AB962" s="1" t="str">
        <f t="shared" si="76"/>
        <v>Dosa</v>
      </c>
      <c r="AC962" s="2" t="str">
        <f t="shared" si="77"/>
        <v xml:space="preserve"> ROSEMERE </v>
      </c>
      <c r="AD962" s="2">
        <f t="shared" si="78"/>
        <v>5</v>
      </c>
      <c r="AE962" s="2">
        <f t="shared" ca="1" si="79"/>
        <v>-53.926271643518703</v>
      </c>
    </row>
    <row r="963" spans="1:31" hidden="1">
      <c r="A963" s="1">
        <v>9299911</v>
      </c>
      <c r="B963" s="1" t="s">
        <v>101</v>
      </c>
      <c r="C963" t="s">
        <v>1761</v>
      </c>
      <c r="E963" s="2">
        <v>1650000206001</v>
      </c>
      <c r="F963" s="1" t="s">
        <v>29</v>
      </c>
      <c r="G963" s="1" t="s">
        <v>53</v>
      </c>
      <c r="H963" s="1" t="s">
        <v>620</v>
      </c>
      <c r="I963" s="1" t="s">
        <v>621</v>
      </c>
      <c r="J963" s="1" t="s">
        <v>141</v>
      </c>
      <c r="K963" t="s">
        <v>34</v>
      </c>
      <c r="M963" s="1" t="s">
        <v>35</v>
      </c>
      <c r="N963" s="1">
        <v>42318949</v>
      </c>
      <c r="O963" s="1" t="s">
        <v>105</v>
      </c>
      <c r="P963" s="11" t="s">
        <v>1791</v>
      </c>
      <c r="R963" s="1" t="s">
        <v>38</v>
      </c>
      <c r="T963" s="1" t="s">
        <v>74</v>
      </c>
      <c r="U963" s="11" t="s">
        <v>1341</v>
      </c>
      <c r="V963" s="1" t="s">
        <v>41</v>
      </c>
      <c r="W963" s="1" t="s">
        <v>49</v>
      </c>
      <c r="X963" s="13" t="str">
        <f>IF(RIGHT(H963,2)&lt;&gt;"00",H963,"")</f>
        <v/>
      </c>
      <c r="Y963" s="2">
        <f ca="1">NETWORKDAYS(P963,$Y$1)</f>
        <v>39</v>
      </c>
      <c r="Z963" s="14">
        <v>1</v>
      </c>
      <c r="AA963" s="1" t="str">
        <f t="shared" ca="1" si="75"/>
        <v>VENCIDO</v>
      </c>
      <c r="AB963" s="1" t="str">
        <f t="shared" si="76"/>
        <v>Dosa</v>
      </c>
      <c r="AC963" s="2" t="str">
        <f t="shared" si="77"/>
        <v xml:space="preserve"> CRISTINA </v>
      </c>
      <c r="AD963" s="2">
        <f t="shared" si="78"/>
        <v>5</v>
      </c>
      <c r="AE963" s="2">
        <f t="shared" ca="1" si="79"/>
        <v>-53.926271643518703</v>
      </c>
    </row>
    <row r="964" spans="1:31" hidden="1">
      <c r="A964" s="1">
        <v>9299910</v>
      </c>
      <c r="B964" s="1" t="s">
        <v>101</v>
      </c>
      <c r="C964" t="s">
        <v>1761</v>
      </c>
      <c r="E964" s="2">
        <v>1650000206001</v>
      </c>
      <c r="F964" s="1" t="s">
        <v>29</v>
      </c>
      <c r="G964" s="1" t="s">
        <v>53</v>
      </c>
      <c r="H964" s="1" t="s">
        <v>620</v>
      </c>
      <c r="I964" s="1" t="s">
        <v>621</v>
      </c>
      <c r="J964" s="1" t="s">
        <v>141</v>
      </c>
      <c r="K964" t="s">
        <v>34</v>
      </c>
      <c r="M964" s="1" t="s">
        <v>35</v>
      </c>
      <c r="N964" s="1">
        <v>42318949</v>
      </c>
      <c r="O964" s="1" t="s">
        <v>105</v>
      </c>
      <c r="P964" s="11" t="s">
        <v>1791</v>
      </c>
      <c r="R964" s="1" t="s">
        <v>38</v>
      </c>
      <c r="T964" s="1" t="s">
        <v>74</v>
      </c>
      <c r="U964" s="11" t="s">
        <v>1341</v>
      </c>
      <c r="V964" s="1" t="s">
        <v>41</v>
      </c>
      <c r="W964" s="1" t="s">
        <v>49</v>
      </c>
      <c r="X964" s="13" t="str">
        <f>IF(RIGHT(H964,2)&lt;&gt;"00",H964,"")</f>
        <v/>
      </c>
      <c r="Y964" s="2">
        <f ca="1">NETWORKDAYS(P964,$Y$1)</f>
        <v>39</v>
      </c>
      <c r="Z964" s="14">
        <v>1</v>
      </c>
      <c r="AA964" s="1" t="str">
        <f t="shared" ca="1" si="75"/>
        <v>VENCIDO</v>
      </c>
      <c r="AB964" s="1" t="str">
        <f t="shared" si="76"/>
        <v>Dosa</v>
      </c>
      <c r="AC964" s="2" t="str">
        <f t="shared" si="77"/>
        <v xml:space="preserve"> CRISTINA </v>
      </c>
      <c r="AD964" s="2">
        <f t="shared" si="78"/>
        <v>5</v>
      </c>
      <c r="AE964" s="2">
        <f t="shared" ca="1" si="79"/>
        <v>-53.926271643518703</v>
      </c>
    </row>
    <row r="965" spans="1:31" hidden="1">
      <c r="A965" s="1">
        <v>9299909</v>
      </c>
      <c r="B965" s="1" t="s">
        <v>101</v>
      </c>
      <c r="C965" t="s">
        <v>1761</v>
      </c>
      <c r="E965" s="2">
        <v>1650000206001</v>
      </c>
      <c r="F965" s="1" t="s">
        <v>29</v>
      </c>
      <c r="G965" s="1" t="s">
        <v>53</v>
      </c>
      <c r="H965" s="1" t="s">
        <v>620</v>
      </c>
      <c r="I965" s="1" t="s">
        <v>621</v>
      </c>
      <c r="J965" s="1" t="s">
        <v>141</v>
      </c>
      <c r="K965" t="s">
        <v>34</v>
      </c>
      <c r="M965" s="1" t="s">
        <v>35</v>
      </c>
      <c r="N965" s="1">
        <v>42318949</v>
      </c>
      <c r="O965" s="1" t="s">
        <v>105</v>
      </c>
      <c r="P965" s="11" t="s">
        <v>1791</v>
      </c>
      <c r="R965" s="1" t="s">
        <v>38</v>
      </c>
      <c r="T965" s="1" t="s">
        <v>74</v>
      </c>
      <c r="U965" s="11" t="s">
        <v>1341</v>
      </c>
      <c r="V965" s="1" t="s">
        <v>41</v>
      </c>
      <c r="W965" s="1" t="s">
        <v>49</v>
      </c>
      <c r="X965" s="13" t="str">
        <f>IF(RIGHT(H965,2)&lt;&gt;"00",H965,"")</f>
        <v/>
      </c>
      <c r="Y965" s="2">
        <f ca="1">NETWORKDAYS(P965,$Y$1)</f>
        <v>39</v>
      </c>
      <c r="Z965" s="14">
        <v>1</v>
      </c>
      <c r="AA965" s="1" t="str">
        <f t="shared" ca="1" si="75"/>
        <v>VENCIDO</v>
      </c>
      <c r="AB965" s="1" t="str">
        <f t="shared" si="76"/>
        <v>Dosa</v>
      </c>
      <c r="AC965" s="2" t="str">
        <f t="shared" si="77"/>
        <v xml:space="preserve"> CRISTINA </v>
      </c>
      <c r="AD965" s="2">
        <f t="shared" si="78"/>
        <v>5</v>
      </c>
      <c r="AE965" s="2">
        <f t="shared" ca="1" si="79"/>
        <v>-53.926271643518703</v>
      </c>
    </row>
    <row r="966" spans="1:31" hidden="1">
      <c r="A966" s="1">
        <v>9299908</v>
      </c>
      <c r="B966" s="1" t="s">
        <v>101</v>
      </c>
      <c r="C966" t="s">
        <v>1761</v>
      </c>
      <c r="E966" s="2">
        <v>1643000206001</v>
      </c>
      <c r="F966" s="1" t="s">
        <v>29</v>
      </c>
      <c r="G966" s="1" t="s">
        <v>53</v>
      </c>
      <c r="H966" s="1" t="s">
        <v>361</v>
      </c>
      <c r="I966" s="1" t="s">
        <v>362</v>
      </c>
      <c r="J966" s="1" t="s">
        <v>261</v>
      </c>
      <c r="K966" t="s">
        <v>34</v>
      </c>
      <c r="M966" s="1" t="s">
        <v>35</v>
      </c>
      <c r="N966" s="1">
        <v>42318949</v>
      </c>
      <c r="O966" s="1" t="s">
        <v>105</v>
      </c>
      <c r="P966" s="11" t="s">
        <v>1791</v>
      </c>
      <c r="R966" s="1" t="s">
        <v>38</v>
      </c>
      <c r="T966" s="1" t="s">
        <v>74</v>
      </c>
      <c r="U966" s="186">
        <v>44932.75</v>
      </c>
      <c r="V966" s="1" t="s">
        <v>41</v>
      </c>
      <c r="W966" s="1" t="s">
        <v>49</v>
      </c>
      <c r="X966" s="13" t="str">
        <f>IF(RIGHT(H966,2)&lt;&gt;"00",H966,"")</f>
        <v/>
      </c>
      <c r="Y966" s="2">
        <f ca="1">NETWORKDAYS(P966,$Y$1)</f>
        <v>39</v>
      </c>
      <c r="Z966" s="14">
        <v>1</v>
      </c>
      <c r="AA966" s="1" t="str">
        <f t="shared" ca="1" si="75"/>
        <v>VENCIDO</v>
      </c>
      <c r="AB966" s="1" t="str">
        <f t="shared" si="76"/>
        <v>Dosa</v>
      </c>
      <c r="AC966" s="2" t="str">
        <f t="shared" si="77"/>
        <v xml:space="preserve"> CRISTINA </v>
      </c>
      <c r="AD966" s="2">
        <f t="shared" si="78"/>
        <v>5</v>
      </c>
      <c r="AE966" s="2">
        <f t="shared" ca="1" si="79"/>
        <v>-53.926271643518703</v>
      </c>
    </row>
    <row r="967" spans="1:31" hidden="1">
      <c r="A967" s="1">
        <v>9299907</v>
      </c>
      <c r="B967" s="1" t="s">
        <v>101</v>
      </c>
      <c r="C967" t="s">
        <v>1761</v>
      </c>
      <c r="E967" s="2">
        <v>1643000206001</v>
      </c>
      <c r="F967" s="1" t="s">
        <v>29</v>
      </c>
      <c r="G967" s="1" t="s">
        <v>53</v>
      </c>
      <c r="H967" s="1" t="s">
        <v>361</v>
      </c>
      <c r="I967" s="1" t="s">
        <v>362</v>
      </c>
      <c r="J967" s="1" t="s">
        <v>261</v>
      </c>
      <c r="K967" t="s">
        <v>34</v>
      </c>
      <c r="M967" s="1" t="s">
        <v>35</v>
      </c>
      <c r="N967" s="1">
        <v>42318949</v>
      </c>
      <c r="O967" s="1" t="s">
        <v>105</v>
      </c>
      <c r="P967" s="11" t="s">
        <v>1791</v>
      </c>
      <c r="R967" s="1" t="s">
        <v>38</v>
      </c>
      <c r="T967" s="1" t="s">
        <v>74</v>
      </c>
      <c r="U967" s="186">
        <v>44932.75</v>
      </c>
      <c r="V967" s="1" t="s">
        <v>41</v>
      </c>
      <c r="W967" s="1" t="s">
        <v>49</v>
      </c>
      <c r="X967" s="13" t="str">
        <f>IF(RIGHT(H967,2)&lt;&gt;"00",H967,"")</f>
        <v/>
      </c>
      <c r="Y967" s="2">
        <f ca="1">NETWORKDAYS(P967,$Y$1)</f>
        <v>39</v>
      </c>
      <c r="Z967" s="14">
        <v>1</v>
      </c>
      <c r="AA967" s="1" t="str">
        <f t="shared" ca="1" si="75"/>
        <v>VENCIDO</v>
      </c>
      <c r="AB967" s="1" t="str">
        <f t="shared" si="76"/>
        <v>Dosa</v>
      </c>
      <c r="AC967" s="2" t="str">
        <f t="shared" si="77"/>
        <v xml:space="preserve"> CRISTINA </v>
      </c>
      <c r="AD967" s="2">
        <f t="shared" si="78"/>
        <v>5</v>
      </c>
      <c r="AE967" s="2">
        <f t="shared" ca="1" si="79"/>
        <v>-53.926271643518703</v>
      </c>
    </row>
    <row r="968" spans="1:31" hidden="1">
      <c r="A968" s="1">
        <v>9299906</v>
      </c>
      <c r="B968" s="1" t="s">
        <v>101</v>
      </c>
      <c r="C968" t="s">
        <v>1761</v>
      </c>
      <c r="E968" s="2">
        <v>1643000206001</v>
      </c>
      <c r="F968" s="1" t="s">
        <v>29</v>
      </c>
      <c r="G968" s="1" t="s">
        <v>53</v>
      </c>
      <c r="H968" s="1" t="s">
        <v>361</v>
      </c>
      <c r="I968" s="1" t="s">
        <v>362</v>
      </c>
      <c r="J968" s="1" t="s">
        <v>261</v>
      </c>
      <c r="K968" t="s">
        <v>34</v>
      </c>
      <c r="M968" s="1" t="s">
        <v>35</v>
      </c>
      <c r="N968" s="1">
        <v>42318949</v>
      </c>
      <c r="O968" s="1" t="s">
        <v>105</v>
      </c>
      <c r="P968" s="11" t="s">
        <v>1791</v>
      </c>
      <c r="R968" s="1" t="s">
        <v>38</v>
      </c>
      <c r="T968" s="1" t="s">
        <v>74</v>
      </c>
      <c r="U968" s="186">
        <v>44932.75</v>
      </c>
      <c r="V968" s="1" t="s">
        <v>41</v>
      </c>
      <c r="W968" s="1" t="s">
        <v>49</v>
      </c>
      <c r="X968" s="13" t="str">
        <f>IF(RIGHT(H968,2)&lt;&gt;"00",H968,"")</f>
        <v/>
      </c>
      <c r="Y968" s="2">
        <f ca="1">NETWORKDAYS(P968,$Y$1)</f>
        <v>39</v>
      </c>
      <c r="Z968" s="14">
        <v>1</v>
      </c>
      <c r="AA968" s="1" t="str">
        <f t="shared" ca="1" si="75"/>
        <v>VENCIDO</v>
      </c>
      <c r="AB968" s="1" t="str">
        <f t="shared" si="76"/>
        <v>Dosa</v>
      </c>
      <c r="AC968" s="2" t="str">
        <f t="shared" si="77"/>
        <v xml:space="preserve"> CRISTINA </v>
      </c>
      <c r="AD968" s="2">
        <f t="shared" si="78"/>
        <v>5</v>
      </c>
      <c r="AE968" s="2">
        <f t="shared" ca="1" si="79"/>
        <v>-53.926271643518703</v>
      </c>
    </row>
    <row r="969" spans="1:31" hidden="1">
      <c r="A969" s="1">
        <v>9299748</v>
      </c>
      <c r="B969" s="1" t="s">
        <v>101</v>
      </c>
      <c r="C969" t="s">
        <v>1761</v>
      </c>
      <c r="E969" s="2">
        <v>1363000206001</v>
      </c>
      <c r="F969" s="1" t="s">
        <v>29</v>
      </c>
      <c r="G969" s="1" t="s">
        <v>53</v>
      </c>
      <c r="H969" s="1" t="s">
        <v>108</v>
      </c>
      <c r="I969" s="1" t="s">
        <v>109</v>
      </c>
      <c r="J969" s="1" t="s">
        <v>110</v>
      </c>
      <c r="K969" t="s">
        <v>34</v>
      </c>
      <c r="M969" s="1" t="s">
        <v>35</v>
      </c>
      <c r="N969" s="1">
        <v>42318949</v>
      </c>
      <c r="O969" s="1" t="s">
        <v>105</v>
      </c>
      <c r="P969" s="11" t="s">
        <v>1792</v>
      </c>
      <c r="R969" s="1" t="s">
        <v>38</v>
      </c>
      <c r="T969" s="1" t="s">
        <v>74</v>
      </c>
      <c r="U969" s="186">
        <v>44932.75</v>
      </c>
      <c r="V969" s="1" t="s">
        <v>41</v>
      </c>
      <c r="W969" s="1" t="s">
        <v>49</v>
      </c>
      <c r="X969" s="13" t="str">
        <f>IF(RIGHT(H969,2)&lt;&gt;"00",H969,"")</f>
        <v/>
      </c>
      <c r="Y969" s="2">
        <f ca="1">NETWORKDAYS(P969,$Y$1)</f>
        <v>39</v>
      </c>
      <c r="Z969" s="14">
        <v>1</v>
      </c>
      <c r="AA969" s="1" t="str">
        <f t="shared" ca="1" si="75"/>
        <v>VENCIDO</v>
      </c>
      <c r="AB969" s="1" t="str">
        <f t="shared" si="76"/>
        <v>Dosa</v>
      </c>
      <c r="AC969" s="2" t="str">
        <f t="shared" si="77"/>
        <v xml:space="preserve"> CRISTINA </v>
      </c>
      <c r="AD969" s="2">
        <f t="shared" si="78"/>
        <v>5</v>
      </c>
      <c r="AE969" s="2">
        <f t="shared" ca="1" si="79"/>
        <v>-53.926271643518703</v>
      </c>
    </row>
    <row r="970" spans="1:31" hidden="1">
      <c r="A970" s="1">
        <v>9299747</v>
      </c>
      <c r="B970" s="1" t="s">
        <v>101</v>
      </c>
      <c r="C970" t="s">
        <v>1761</v>
      </c>
      <c r="E970" s="2">
        <v>1363000206001</v>
      </c>
      <c r="F970" s="1" t="s">
        <v>29</v>
      </c>
      <c r="G970" s="1" t="s">
        <v>53</v>
      </c>
      <c r="H970" s="1" t="s">
        <v>108</v>
      </c>
      <c r="I970" s="1" t="s">
        <v>109</v>
      </c>
      <c r="J970" s="1" t="s">
        <v>110</v>
      </c>
      <c r="K970" t="s">
        <v>34</v>
      </c>
      <c r="M970" s="1" t="s">
        <v>35</v>
      </c>
      <c r="N970" s="1">
        <v>42318949</v>
      </c>
      <c r="O970" s="1" t="s">
        <v>105</v>
      </c>
      <c r="P970" s="11" t="s">
        <v>1792</v>
      </c>
      <c r="R970" s="1" t="s">
        <v>38</v>
      </c>
      <c r="T970" s="1" t="s">
        <v>74</v>
      </c>
      <c r="U970" s="11" t="s">
        <v>1341</v>
      </c>
      <c r="V970" s="1" t="s">
        <v>41</v>
      </c>
      <c r="W970" s="1" t="s">
        <v>49</v>
      </c>
      <c r="X970" s="13" t="str">
        <f>IF(RIGHT(H970,2)&lt;&gt;"00",H970,"")</f>
        <v/>
      </c>
      <c r="Y970" s="2">
        <f ca="1">NETWORKDAYS(P970,$Y$1)</f>
        <v>39</v>
      </c>
      <c r="Z970" s="14">
        <v>1</v>
      </c>
      <c r="AA970" s="1" t="str">
        <f t="shared" ca="1" si="75"/>
        <v>VENCIDO</v>
      </c>
      <c r="AB970" s="1" t="str">
        <f t="shared" si="76"/>
        <v>Dosa</v>
      </c>
      <c r="AC970" s="2" t="str">
        <f t="shared" si="77"/>
        <v xml:space="preserve"> CRISTINA </v>
      </c>
      <c r="AD970" s="2">
        <f t="shared" si="78"/>
        <v>5</v>
      </c>
      <c r="AE970" s="2">
        <f t="shared" ca="1" si="79"/>
        <v>-53.926271643518703</v>
      </c>
    </row>
    <row r="971" spans="1:31" hidden="1">
      <c r="A971" s="1">
        <v>9299712</v>
      </c>
      <c r="B971" s="1" t="s">
        <v>101</v>
      </c>
      <c r="C971" t="s">
        <v>1761</v>
      </c>
      <c r="E971" s="2">
        <v>1291000206001</v>
      </c>
      <c r="F971" s="1" t="s">
        <v>29</v>
      </c>
      <c r="G971" s="1" t="s">
        <v>53</v>
      </c>
      <c r="H971" s="1" t="s">
        <v>136</v>
      </c>
      <c r="I971" s="1" t="s">
        <v>137</v>
      </c>
      <c r="J971" s="1" t="s">
        <v>33</v>
      </c>
      <c r="K971" t="s">
        <v>34</v>
      </c>
      <c r="M971" s="1" t="s">
        <v>35</v>
      </c>
      <c r="N971" s="1">
        <v>42318949</v>
      </c>
      <c r="O971" s="1" t="s">
        <v>105</v>
      </c>
      <c r="P971" s="11" t="s">
        <v>1793</v>
      </c>
      <c r="R971" s="1" t="s">
        <v>38</v>
      </c>
      <c r="T971" s="1" t="s">
        <v>74</v>
      </c>
      <c r="U971" s="11" t="s">
        <v>1341</v>
      </c>
      <c r="V971" s="1" t="s">
        <v>41</v>
      </c>
      <c r="W971" s="1" t="s">
        <v>42</v>
      </c>
      <c r="X971" s="13" t="str">
        <f>IF(RIGHT(H971,2)&lt;&gt;"00",H971,"")</f>
        <v/>
      </c>
      <c r="Y971" s="2">
        <f ca="1">NETWORKDAYS(P971,$Y$1)</f>
        <v>39</v>
      </c>
      <c r="Z971" s="14">
        <v>1</v>
      </c>
      <c r="AA971" s="1" t="str">
        <f t="shared" ca="1" si="75"/>
        <v>VENCIDO</v>
      </c>
      <c r="AB971" s="1" t="str">
        <f t="shared" si="76"/>
        <v>Dosa</v>
      </c>
      <c r="AC971" s="2" t="str">
        <f t="shared" si="77"/>
        <v xml:space="preserve"> ROSEMERE </v>
      </c>
      <c r="AD971" s="2">
        <f t="shared" si="78"/>
        <v>5</v>
      </c>
      <c r="AE971" s="2">
        <f t="shared" ca="1" si="79"/>
        <v>-53.926271643518703</v>
      </c>
    </row>
    <row r="972" spans="1:31" hidden="1">
      <c r="A972" s="1">
        <v>9299701</v>
      </c>
      <c r="B972" s="1" t="s">
        <v>101</v>
      </c>
      <c r="C972" t="s">
        <v>1761</v>
      </c>
      <c r="E972" s="2">
        <v>1264000206001</v>
      </c>
      <c r="F972" s="1" t="s">
        <v>29</v>
      </c>
      <c r="G972" s="1" t="s">
        <v>53</v>
      </c>
      <c r="H972" s="1" t="s">
        <v>351</v>
      </c>
      <c r="I972" s="1" t="s">
        <v>352</v>
      </c>
      <c r="J972" s="1" t="s">
        <v>110</v>
      </c>
      <c r="K972" t="s">
        <v>34</v>
      </c>
      <c r="M972" s="1" t="s">
        <v>35</v>
      </c>
      <c r="N972" s="1">
        <v>42318949</v>
      </c>
      <c r="O972" s="1" t="s">
        <v>105</v>
      </c>
      <c r="P972" s="11" t="s">
        <v>1794</v>
      </c>
      <c r="R972" s="1" t="s">
        <v>38</v>
      </c>
      <c r="T972" s="1" t="s">
        <v>74</v>
      </c>
      <c r="U972" s="11" t="s">
        <v>1341</v>
      </c>
      <c r="V972" s="1" t="s">
        <v>41</v>
      </c>
      <c r="W972" s="1" t="s">
        <v>49</v>
      </c>
      <c r="X972" s="13" t="str">
        <f>IF(RIGHT(H972,2)&lt;&gt;"00",H972,"")</f>
        <v/>
      </c>
      <c r="Y972" s="2">
        <f ca="1">NETWORKDAYS(P972,$Y$1)</f>
        <v>39</v>
      </c>
      <c r="Z972" s="14">
        <v>1</v>
      </c>
      <c r="AA972" s="1" t="str">
        <f t="shared" ca="1" si="75"/>
        <v>VENCIDO</v>
      </c>
      <c r="AB972" s="1" t="str">
        <f t="shared" si="76"/>
        <v>Dosa</v>
      </c>
      <c r="AC972" s="2" t="str">
        <f t="shared" si="77"/>
        <v xml:space="preserve"> CRISTINA </v>
      </c>
      <c r="AD972" s="2">
        <f t="shared" si="78"/>
        <v>5</v>
      </c>
      <c r="AE972" s="2">
        <f t="shared" ca="1" si="79"/>
        <v>-53.926271643518703</v>
      </c>
    </row>
    <row r="973" spans="1:31" hidden="1">
      <c r="A973" s="1">
        <v>9299700</v>
      </c>
      <c r="B973" s="1" t="s">
        <v>101</v>
      </c>
      <c r="C973" t="s">
        <v>1761</v>
      </c>
      <c r="E973" s="2">
        <v>1264000206001</v>
      </c>
      <c r="F973" s="1" t="s">
        <v>29</v>
      </c>
      <c r="G973" s="1" t="s">
        <v>53</v>
      </c>
      <c r="H973" s="1" t="s">
        <v>351</v>
      </c>
      <c r="I973" s="1" t="s">
        <v>352</v>
      </c>
      <c r="J973" s="1" t="s">
        <v>110</v>
      </c>
      <c r="K973" t="s">
        <v>34</v>
      </c>
      <c r="M973" s="1" t="s">
        <v>35</v>
      </c>
      <c r="N973" s="1">
        <v>42318949</v>
      </c>
      <c r="O973" s="1" t="s">
        <v>105</v>
      </c>
      <c r="P973" s="11" t="s">
        <v>1794</v>
      </c>
      <c r="R973" s="1" t="s">
        <v>38</v>
      </c>
      <c r="T973" s="1" t="s">
        <v>74</v>
      </c>
      <c r="U973" s="11" t="s">
        <v>1341</v>
      </c>
      <c r="V973" s="1" t="s">
        <v>41</v>
      </c>
      <c r="W973" s="1" t="s">
        <v>49</v>
      </c>
      <c r="X973" s="13" t="str">
        <f>IF(RIGHT(H973,2)&lt;&gt;"00",H973,"")</f>
        <v/>
      </c>
      <c r="Y973" s="2">
        <f ca="1">NETWORKDAYS(P973,$Y$1)</f>
        <v>39</v>
      </c>
      <c r="Z973" s="14">
        <v>1</v>
      </c>
      <c r="AA973" s="1" t="str">
        <f t="shared" ca="1" si="75"/>
        <v>VENCIDO</v>
      </c>
      <c r="AB973" s="1" t="str">
        <f t="shared" si="76"/>
        <v>Dosa</v>
      </c>
      <c r="AC973" s="2" t="str">
        <f t="shared" si="77"/>
        <v xml:space="preserve"> CRISTINA </v>
      </c>
      <c r="AD973" s="2">
        <f t="shared" si="78"/>
        <v>5</v>
      </c>
      <c r="AE973" s="2">
        <f t="shared" ca="1" si="79"/>
        <v>-53.926271643518703</v>
      </c>
    </row>
    <row r="974" spans="1:31" hidden="1">
      <c r="A974" s="1">
        <v>9299699</v>
      </c>
      <c r="B974" s="1" t="s">
        <v>101</v>
      </c>
      <c r="C974" t="s">
        <v>1761</v>
      </c>
      <c r="E974" s="2">
        <v>1264000206001</v>
      </c>
      <c r="F974" s="1" t="s">
        <v>29</v>
      </c>
      <c r="G974" s="1" t="s">
        <v>53</v>
      </c>
      <c r="H974" s="1" t="s">
        <v>351</v>
      </c>
      <c r="I974" s="1" t="s">
        <v>352</v>
      </c>
      <c r="J974" s="1" t="s">
        <v>110</v>
      </c>
      <c r="K974" t="s">
        <v>34</v>
      </c>
      <c r="M974" s="1" t="s">
        <v>35</v>
      </c>
      <c r="N974" s="1">
        <v>42318949</v>
      </c>
      <c r="O974" s="1" t="s">
        <v>105</v>
      </c>
      <c r="P974" s="11" t="s">
        <v>1794</v>
      </c>
      <c r="R974" s="1" t="s">
        <v>38</v>
      </c>
      <c r="T974" s="1" t="s">
        <v>74</v>
      </c>
      <c r="U974" s="11" t="s">
        <v>1341</v>
      </c>
      <c r="V974" s="1" t="s">
        <v>41</v>
      </c>
      <c r="W974" s="1" t="s">
        <v>49</v>
      </c>
      <c r="X974" s="13" t="str">
        <f>IF(RIGHT(H974,2)&lt;&gt;"00",H974,"")</f>
        <v/>
      </c>
      <c r="Y974" s="2">
        <f ca="1">NETWORKDAYS(P974,$Y$1)</f>
        <v>39</v>
      </c>
      <c r="Z974" s="14">
        <v>1</v>
      </c>
      <c r="AA974" s="1" t="str">
        <f t="shared" ca="1" si="75"/>
        <v>VENCIDO</v>
      </c>
      <c r="AB974" s="1" t="str">
        <f t="shared" si="76"/>
        <v>Dosa</v>
      </c>
      <c r="AC974" s="2" t="str">
        <f t="shared" si="77"/>
        <v xml:space="preserve"> CRISTINA </v>
      </c>
      <c r="AD974" s="2">
        <f t="shared" si="78"/>
        <v>5</v>
      </c>
      <c r="AE974" s="2">
        <f t="shared" ca="1" si="79"/>
        <v>-53.926271643518703</v>
      </c>
    </row>
    <row r="975" spans="1:31" hidden="1">
      <c r="A975" s="1">
        <v>9299638</v>
      </c>
      <c r="B975" s="1" t="s">
        <v>101</v>
      </c>
      <c r="C975" t="s">
        <v>1761</v>
      </c>
      <c r="E975" s="2">
        <v>1153000206001</v>
      </c>
      <c r="F975" s="1" t="s">
        <v>29</v>
      </c>
      <c r="G975" s="1" t="s">
        <v>53</v>
      </c>
      <c r="H975" s="1" t="s">
        <v>1031</v>
      </c>
      <c r="I975" s="1" t="s">
        <v>1032</v>
      </c>
      <c r="J975" s="1" t="s">
        <v>79</v>
      </c>
      <c r="K975" t="s">
        <v>34</v>
      </c>
      <c r="M975" s="1" t="s">
        <v>35</v>
      </c>
      <c r="N975" s="1">
        <v>42318949</v>
      </c>
      <c r="O975" s="1" t="s">
        <v>105</v>
      </c>
      <c r="P975" s="11" t="s">
        <v>1795</v>
      </c>
      <c r="R975" s="1" t="s">
        <v>38</v>
      </c>
      <c r="T975" s="1" t="s">
        <v>74</v>
      </c>
      <c r="U975" s="11" t="s">
        <v>1341</v>
      </c>
      <c r="V975" s="1" t="s">
        <v>41</v>
      </c>
      <c r="W975" s="1" t="s">
        <v>49</v>
      </c>
      <c r="X975" s="13" t="str">
        <f>IF(RIGHT(H975,2)&lt;&gt;"00",H975,"")</f>
        <v/>
      </c>
      <c r="Y975" s="2">
        <f ca="1">NETWORKDAYS(P975,$Y$1)</f>
        <v>39</v>
      </c>
      <c r="Z975" s="14">
        <v>1</v>
      </c>
      <c r="AA975" s="1" t="str">
        <f t="shared" ca="1" si="75"/>
        <v>VENCIDO</v>
      </c>
      <c r="AB975" s="1" t="str">
        <f t="shared" si="76"/>
        <v>Dosa</v>
      </c>
      <c r="AC975" s="2" t="str">
        <f t="shared" si="77"/>
        <v xml:space="preserve"> ROSEMERE </v>
      </c>
      <c r="AD975" s="2">
        <f t="shared" si="78"/>
        <v>5</v>
      </c>
      <c r="AE975" s="2">
        <f t="shared" ca="1" si="79"/>
        <v>-53.926271643518703</v>
      </c>
    </row>
    <row r="976" spans="1:31" hidden="1">
      <c r="A976" s="1">
        <v>9299629</v>
      </c>
      <c r="B976" s="1" t="s">
        <v>101</v>
      </c>
      <c r="C976" t="s">
        <v>1761</v>
      </c>
      <c r="E976" s="2">
        <v>1120000206001</v>
      </c>
      <c r="F976" s="1" t="s">
        <v>29</v>
      </c>
      <c r="G976" s="1" t="s">
        <v>53</v>
      </c>
      <c r="H976" s="1" t="s">
        <v>181</v>
      </c>
      <c r="I976" s="1" t="s">
        <v>182</v>
      </c>
      <c r="J976" s="1" t="s">
        <v>164</v>
      </c>
      <c r="K976" t="s">
        <v>34</v>
      </c>
      <c r="M976" s="1" t="s">
        <v>35</v>
      </c>
      <c r="N976" s="1">
        <v>42318949</v>
      </c>
      <c r="O976" s="1" t="s">
        <v>105</v>
      </c>
      <c r="P976" s="11" t="s">
        <v>3032</v>
      </c>
      <c r="R976" s="1" t="s">
        <v>38</v>
      </c>
      <c r="T976" s="1" t="s">
        <v>74</v>
      </c>
      <c r="U976" s="11" t="s">
        <v>1341</v>
      </c>
      <c r="V976" s="1" t="s">
        <v>41</v>
      </c>
      <c r="W976" s="1" t="s">
        <v>49</v>
      </c>
      <c r="X976" s="13" t="str">
        <f>IF(RIGHT(H976,2)&lt;&gt;"00",H976,"")</f>
        <v/>
      </c>
      <c r="Y976" s="2">
        <f ca="1">NETWORKDAYS(P976,$Y$1)</f>
        <v>39</v>
      </c>
      <c r="Z976" s="14">
        <v>1</v>
      </c>
      <c r="AA976" s="1" t="str">
        <f t="shared" ca="1" si="75"/>
        <v>VENCIDO</v>
      </c>
      <c r="AB976" s="1" t="str">
        <f t="shared" si="76"/>
        <v>Dosa</v>
      </c>
      <c r="AC976" s="2" t="str">
        <f t="shared" si="77"/>
        <v xml:space="preserve"> ROSEMERE </v>
      </c>
      <c r="AD976" s="2">
        <f t="shared" si="78"/>
        <v>5</v>
      </c>
      <c r="AE976" s="2">
        <f t="shared" ca="1" si="79"/>
        <v>-53.926271643518703</v>
      </c>
    </row>
    <row r="977" spans="1:31" hidden="1">
      <c r="A977" s="1">
        <v>9299628</v>
      </c>
      <c r="B977" s="1" t="s">
        <v>101</v>
      </c>
      <c r="C977" t="s">
        <v>1761</v>
      </c>
      <c r="E977" s="2">
        <v>1120000206001</v>
      </c>
      <c r="F977" s="1" t="s">
        <v>29</v>
      </c>
      <c r="G977" s="1" t="s">
        <v>53</v>
      </c>
      <c r="H977" s="1" t="s">
        <v>181</v>
      </c>
      <c r="I977" s="1" t="s">
        <v>182</v>
      </c>
      <c r="J977" s="1" t="s">
        <v>164</v>
      </c>
      <c r="K977" t="s">
        <v>34</v>
      </c>
      <c r="M977" s="1" t="s">
        <v>35</v>
      </c>
      <c r="N977" s="1">
        <v>42318949</v>
      </c>
      <c r="O977" s="1" t="s">
        <v>105</v>
      </c>
      <c r="P977" s="11" t="s">
        <v>1796</v>
      </c>
      <c r="R977" s="1" t="s">
        <v>38</v>
      </c>
      <c r="T977" s="1" t="s">
        <v>74</v>
      </c>
      <c r="U977" s="11" t="s">
        <v>1341</v>
      </c>
      <c r="V977" s="1" t="s">
        <v>41</v>
      </c>
      <c r="W977" s="1" t="s">
        <v>49</v>
      </c>
      <c r="X977" s="13" t="str">
        <f>IF(RIGHT(H977,2)&lt;&gt;"00",H977,"")</f>
        <v/>
      </c>
      <c r="Y977" s="2">
        <f ca="1">NETWORKDAYS(P977,$Y$1)</f>
        <v>39</v>
      </c>
      <c r="Z977" s="14">
        <v>1</v>
      </c>
      <c r="AA977" s="1" t="str">
        <f t="shared" ca="1" si="75"/>
        <v>VENCIDO</v>
      </c>
      <c r="AB977" s="1" t="str">
        <f t="shared" si="76"/>
        <v>Dosa</v>
      </c>
      <c r="AC977" s="2" t="str">
        <f t="shared" si="77"/>
        <v xml:space="preserve"> ROSEMERE </v>
      </c>
      <c r="AD977" s="2">
        <f t="shared" si="78"/>
        <v>5</v>
      </c>
      <c r="AE977" s="2">
        <f t="shared" ca="1" si="79"/>
        <v>-53.926271643518703</v>
      </c>
    </row>
    <row r="978" spans="1:31" hidden="1">
      <c r="A978" s="1">
        <v>9299585</v>
      </c>
      <c r="B978" s="1" t="s">
        <v>101</v>
      </c>
      <c r="C978" t="s">
        <v>1761</v>
      </c>
      <c r="E978" s="2">
        <v>1060000206001</v>
      </c>
      <c r="F978" s="1" t="s">
        <v>29</v>
      </c>
      <c r="G978" s="1" t="s">
        <v>53</v>
      </c>
      <c r="H978" s="1" t="s">
        <v>284</v>
      </c>
      <c r="I978" s="1" t="s">
        <v>285</v>
      </c>
      <c r="J978" s="1" t="s">
        <v>148</v>
      </c>
      <c r="K978" t="s">
        <v>34</v>
      </c>
      <c r="M978" s="1" t="s">
        <v>35</v>
      </c>
      <c r="N978" s="1">
        <v>42318949</v>
      </c>
      <c r="O978" s="1" t="s">
        <v>105</v>
      </c>
      <c r="P978" s="11" t="s">
        <v>1797</v>
      </c>
      <c r="R978" s="1" t="s">
        <v>38</v>
      </c>
      <c r="T978" s="1" t="s">
        <v>74</v>
      </c>
      <c r="U978" s="11" t="s">
        <v>1341</v>
      </c>
      <c r="V978" s="1" t="s">
        <v>41</v>
      </c>
      <c r="W978" s="1" t="s">
        <v>49</v>
      </c>
      <c r="X978" s="13" t="str">
        <f>IF(RIGHT(H978,2)&lt;&gt;"00",H978,"")</f>
        <v/>
      </c>
      <c r="Y978" s="2">
        <f ca="1">NETWORKDAYS(P978,$Y$1)</f>
        <v>39</v>
      </c>
      <c r="Z978" s="14">
        <v>1</v>
      </c>
      <c r="AA978" s="1" t="str">
        <f t="shared" ca="1" si="75"/>
        <v>VENCIDO</v>
      </c>
      <c r="AB978" s="1" t="str">
        <f t="shared" si="76"/>
        <v>Dosa</v>
      </c>
      <c r="AC978" s="2" t="str">
        <f t="shared" si="77"/>
        <v xml:space="preserve"> RINALDO </v>
      </c>
      <c r="AD978" s="2">
        <f t="shared" si="78"/>
        <v>5</v>
      </c>
      <c r="AE978" s="2">
        <f t="shared" ca="1" si="79"/>
        <v>-53.926271643518703</v>
      </c>
    </row>
    <row r="979" spans="1:31" hidden="1">
      <c r="A979" s="1">
        <v>9299584</v>
      </c>
      <c r="B979" s="1" t="s">
        <v>101</v>
      </c>
      <c r="C979" t="s">
        <v>1761</v>
      </c>
      <c r="E979" s="2">
        <v>1060000206001</v>
      </c>
      <c r="F979" s="1" t="s">
        <v>29</v>
      </c>
      <c r="G979" s="1" t="s">
        <v>53</v>
      </c>
      <c r="H979" s="1" t="s">
        <v>284</v>
      </c>
      <c r="I979" s="1" t="s">
        <v>285</v>
      </c>
      <c r="J979" s="1" t="s">
        <v>148</v>
      </c>
      <c r="K979" t="s">
        <v>34</v>
      </c>
      <c r="M979" s="1" t="s">
        <v>35</v>
      </c>
      <c r="N979" s="1">
        <v>42318949</v>
      </c>
      <c r="O979" s="1" t="s">
        <v>105</v>
      </c>
      <c r="P979" s="11" t="s">
        <v>1797</v>
      </c>
      <c r="R979" s="1" t="s">
        <v>38</v>
      </c>
      <c r="T979" s="1" t="s">
        <v>74</v>
      </c>
      <c r="U979" s="11" t="s">
        <v>1341</v>
      </c>
      <c r="V979" s="1" t="s">
        <v>41</v>
      </c>
      <c r="W979" s="1" t="s">
        <v>49</v>
      </c>
      <c r="X979" s="13" t="str">
        <f>IF(RIGHT(H979,2)&lt;&gt;"00",H979,"")</f>
        <v/>
      </c>
      <c r="Y979" s="2">
        <f ca="1">NETWORKDAYS(P979,$Y$1)</f>
        <v>39</v>
      </c>
      <c r="Z979" s="14">
        <v>1</v>
      </c>
      <c r="AA979" s="1" t="str">
        <f t="shared" ca="1" si="75"/>
        <v>VENCIDO</v>
      </c>
      <c r="AB979" s="1" t="str">
        <f t="shared" si="76"/>
        <v>Dosa</v>
      </c>
      <c r="AC979" s="2" t="str">
        <f t="shared" si="77"/>
        <v xml:space="preserve"> RINALDO </v>
      </c>
      <c r="AD979" s="2">
        <f t="shared" si="78"/>
        <v>5</v>
      </c>
      <c r="AE979" s="2">
        <f t="shared" ca="1" si="79"/>
        <v>-53.926271643518703</v>
      </c>
    </row>
    <row r="980" spans="1:31" hidden="1">
      <c r="A980" s="1">
        <v>9299582</v>
      </c>
      <c r="B980" s="1" t="s">
        <v>101</v>
      </c>
      <c r="C980" t="s">
        <v>1761</v>
      </c>
      <c r="E980" s="2">
        <v>1059000206001</v>
      </c>
      <c r="F980" s="1" t="s">
        <v>29</v>
      </c>
      <c r="G980" s="1" t="s">
        <v>53</v>
      </c>
      <c r="H980" s="1" t="s">
        <v>88</v>
      </c>
      <c r="I980" s="1" t="s">
        <v>89</v>
      </c>
      <c r="J980" s="1" t="s">
        <v>90</v>
      </c>
      <c r="K980" t="s">
        <v>34</v>
      </c>
      <c r="M980" s="1" t="s">
        <v>35</v>
      </c>
      <c r="N980" s="1">
        <v>42318949</v>
      </c>
      <c r="O980" s="1" t="s">
        <v>105</v>
      </c>
      <c r="P980" s="11" t="s">
        <v>1797</v>
      </c>
      <c r="R980" s="1" t="s">
        <v>38</v>
      </c>
      <c r="T980" s="1" t="s">
        <v>74</v>
      </c>
      <c r="U980" s="11" t="s">
        <v>1341</v>
      </c>
      <c r="V980" s="1" t="s">
        <v>41</v>
      </c>
      <c r="W980" s="1" t="s">
        <v>49</v>
      </c>
      <c r="X980" s="13" t="str">
        <f>IF(RIGHT(H980,2)&lt;&gt;"00",H980,"")</f>
        <v/>
      </c>
      <c r="Y980" s="2">
        <f ca="1">NETWORKDAYS(P980,$Y$1)</f>
        <v>39</v>
      </c>
      <c r="Z980" s="14">
        <v>1</v>
      </c>
      <c r="AA980" s="1" t="str">
        <f t="shared" ca="1" si="75"/>
        <v>VENCIDO</v>
      </c>
      <c r="AB980" s="1" t="str">
        <f t="shared" si="76"/>
        <v>Dosa</v>
      </c>
      <c r="AC980" s="2" t="str">
        <f t="shared" si="77"/>
        <v xml:space="preserve"> RINALDO </v>
      </c>
      <c r="AD980" s="2">
        <f t="shared" si="78"/>
        <v>5</v>
      </c>
      <c r="AE980" s="2">
        <f t="shared" ca="1" si="79"/>
        <v>-53.926271643518703</v>
      </c>
    </row>
    <row r="981" spans="1:31" hidden="1">
      <c r="A981" s="1">
        <v>9299581</v>
      </c>
      <c r="B981" s="1" t="s">
        <v>101</v>
      </c>
      <c r="C981" t="s">
        <v>1761</v>
      </c>
      <c r="E981" s="2">
        <v>1058000206001</v>
      </c>
      <c r="F981" s="1" t="s">
        <v>29</v>
      </c>
      <c r="G981" s="1" t="s">
        <v>53</v>
      </c>
      <c r="H981" s="1" t="s">
        <v>289</v>
      </c>
      <c r="I981" s="1" t="s">
        <v>290</v>
      </c>
      <c r="J981" s="1" t="s">
        <v>56</v>
      </c>
      <c r="K981" t="s">
        <v>34</v>
      </c>
      <c r="M981" s="1" t="s">
        <v>35</v>
      </c>
      <c r="N981" s="1">
        <v>42318949</v>
      </c>
      <c r="O981" s="1" t="s">
        <v>105</v>
      </c>
      <c r="P981" s="11" t="s">
        <v>1797</v>
      </c>
      <c r="R981" s="1" t="s">
        <v>38</v>
      </c>
      <c r="T981" s="1" t="s">
        <v>74</v>
      </c>
      <c r="U981" s="11" t="s">
        <v>1341</v>
      </c>
      <c r="V981" s="1" t="s">
        <v>41</v>
      </c>
      <c r="W981" s="1" t="s">
        <v>49</v>
      </c>
      <c r="X981" s="13" t="str">
        <f>IF(RIGHT(H981,2)&lt;&gt;"00",H981,"")</f>
        <v/>
      </c>
      <c r="Y981" s="2">
        <f ca="1">NETWORKDAYS(P981,$Y$1)</f>
        <v>39</v>
      </c>
      <c r="Z981" s="14">
        <v>1</v>
      </c>
      <c r="AA981" s="1" t="str">
        <f t="shared" ca="1" si="75"/>
        <v>VENCIDO</v>
      </c>
      <c r="AB981" s="1" t="str">
        <f t="shared" si="76"/>
        <v>Dosa</v>
      </c>
      <c r="AC981" s="2" t="str">
        <f t="shared" si="77"/>
        <v xml:space="preserve"> CRISTINA </v>
      </c>
      <c r="AD981" s="2">
        <f t="shared" si="78"/>
        <v>5</v>
      </c>
      <c r="AE981" s="2">
        <f t="shared" ca="1" si="79"/>
        <v>-53.926271643518703</v>
      </c>
    </row>
    <row r="982" spans="1:31" hidden="1">
      <c r="A982" s="1">
        <v>9299580</v>
      </c>
      <c r="B982" s="1" t="s">
        <v>101</v>
      </c>
      <c r="C982" t="s">
        <v>1761</v>
      </c>
      <c r="E982" s="2">
        <v>1058000206001</v>
      </c>
      <c r="F982" s="1" t="s">
        <v>29</v>
      </c>
      <c r="G982" s="1" t="s">
        <v>53</v>
      </c>
      <c r="H982" s="1" t="s">
        <v>289</v>
      </c>
      <c r="I982" s="1" t="s">
        <v>290</v>
      </c>
      <c r="J982" s="1" t="s">
        <v>56</v>
      </c>
      <c r="K982" t="s">
        <v>34</v>
      </c>
      <c r="M982" s="1" t="s">
        <v>35</v>
      </c>
      <c r="N982" s="1">
        <v>42318949</v>
      </c>
      <c r="O982" s="1" t="s">
        <v>105</v>
      </c>
      <c r="P982" s="11" t="s">
        <v>1797</v>
      </c>
      <c r="R982" s="1" t="s">
        <v>38</v>
      </c>
      <c r="T982" s="1" t="s">
        <v>74</v>
      </c>
      <c r="U982" s="11" t="s">
        <v>1341</v>
      </c>
      <c r="V982" s="1" t="s">
        <v>41</v>
      </c>
      <c r="W982" s="1" t="s">
        <v>49</v>
      </c>
      <c r="X982" s="13" t="str">
        <f>IF(RIGHT(H982,2)&lt;&gt;"00",H982,"")</f>
        <v/>
      </c>
      <c r="Y982" s="2">
        <f ca="1">NETWORKDAYS(P982,$Y$1)</f>
        <v>39</v>
      </c>
      <c r="Z982" s="14">
        <v>1</v>
      </c>
      <c r="AA982" s="1" t="str">
        <f t="shared" ca="1" si="75"/>
        <v>VENCIDO</v>
      </c>
      <c r="AB982" s="1" t="str">
        <f t="shared" si="76"/>
        <v>Dosa</v>
      </c>
      <c r="AC982" s="2" t="str">
        <f t="shared" si="77"/>
        <v xml:space="preserve"> CRISTINA </v>
      </c>
      <c r="AD982" s="2">
        <f t="shared" si="78"/>
        <v>5</v>
      </c>
      <c r="AE982" s="2">
        <f t="shared" ca="1" si="79"/>
        <v>-53.926271643518703</v>
      </c>
    </row>
    <row r="983" spans="1:31" hidden="1">
      <c r="A983" s="1">
        <v>9299579</v>
      </c>
      <c r="B983" s="1" t="s">
        <v>101</v>
      </c>
      <c r="C983" t="s">
        <v>1761</v>
      </c>
      <c r="E983" s="2">
        <v>1058000206001</v>
      </c>
      <c r="F983" s="1" t="s">
        <v>29</v>
      </c>
      <c r="G983" s="1" t="s">
        <v>53</v>
      </c>
      <c r="H983" s="1" t="s">
        <v>289</v>
      </c>
      <c r="I983" s="1" t="s">
        <v>290</v>
      </c>
      <c r="J983" s="1" t="s">
        <v>56</v>
      </c>
      <c r="K983" t="s">
        <v>34</v>
      </c>
      <c r="M983" s="1" t="s">
        <v>35</v>
      </c>
      <c r="N983" s="1">
        <v>42318949</v>
      </c>
      <c r="O983" s="1" t="s">
        <v>105</v>
      </c>
      <c r="P983" s="11" t="s">
        <v>1797</v>
      </c>
      <c r="R983" s="1" t="s">
        <v>38</v>
      </c>
      <c r="T983" s="1" t="s">
        <v>74</v>
      </c>
      <c r="U983" s="11" t="s">
        <v>1341</v>
      </c>
      <c r="V983" s="1" t="s">
        <v>41</v>
      </c>
      <c r="W983" s="1" t="s">
        <v>49</v>
      </c>
      <c r="X983" s="13" t="str">
        <f>IF(RIGHT(H983,2)&lt;&gt;"00",H983,"")</f>
        <v/>
      </c>
      <c r="Y983" s="2">
        <f ca="1">NETWORKDAYS(P983,$Y$1)</f>
        <v>39</v>
      </c>
      <c r="Z983" s="14">
        <v>1</v>
      </c>
      <c r="AA983" s="1" t="str">
        <f t="shared" ca="1" si="75"/>
        <v>VENCIDO</v>
      </c>
      <c r="AB983" s="1" t="str">
        <f t="shared" si="76"/>
        <v>Dosa</v>
      </c>
      <c r="AC983" s="2" t="str">
        <f t="shared" si="77"/>
        <v xml:space="preserve"> CRISTINA </v>
      </c>
      <c r="AD983" s="2">
        <f t="shared" si="78"/>
        <v>5</v>
      </c>
      <c r="AE983" s="2">
        <f t="shared" ca="1" si="79"/>
        <v>-53.926271643518703</v>
      </c>
    </row>
    <row r="984" spans="1:31" hidden="1">
      <c r="A984" s="1">
        <v>9299578</v>
      </c>
      <c r="B984" s="1" t="s">
        <v>101</v>
      </c>
      <c r="C984" t="s">
        <v>1761</v>
      </c>
      <c r="E984" s="2">
        <v>1058000206001</v>
      </c>
      <c r="F984" s="1" t="s">
        <v>29</v>
      </c>
      <c r="G984" s="1" t="s">
        <v>53</v>
      </c>
      <c r="H984" s="1" t="s">
        <v>289</v>
      </c>
      <c r="I984" s="1" t="s">
        <v>290</v>
      </c>
      <c r="J984" s="1" t="s">
        <v>56</v>
      </c>
      <c r="K984" t="s">
        <v>34</v>
      </c>
      <c r="M984" s="1" t="s">
        <v>35</v>
      </c>
      <c r="N984" s="1">
        <v>42318949</v>
      </c>
      <c r="O984" s="1" t="s">
        <v>105</v>
      </c>
      <c r="P984" s="11" t="s">
        <v>1797</v>
      </c>
      <c r="R984" s="1" t="s">
        <v>38</v>
      </c>
      <c r="T984" s="1" t="s">
        <v>74</v>
      </c>
      <c r="U984" s="11" t="s">
        <v>1341</v>
      </c>
      <c r="V984" s="1" t="s">
        <v>41</v>
      </c>
      <c r="W984" s="1" t="s">
        <v>49</v>
      </c>
      <c r="X984" s="13" t="str">
        <f>IF(RIGHT(H984,2)&lt;&gt;"00",H984,"")</f>
        <v/>
      </c>
      <c r="Y984" s="2">
        <f ca="1">NETWORKDAYS(P984,$Y$1)</f>
        <v>39</v>
      </c>
      <c r="Z984" s="14">
        <v>1</v>
      </c>
      <c r="AA984" s="1" t="str">
        <f t="shared" ca="1" si="75"/>
        <v>VENCIDO</v>
      </c>
      <c r="AB984" s="1" t="str">
        <f t="shared" si="76"/>
        <v>Dosa</v>
      </c>
      <c r="AC984" s="2" t="str">
        <f t="shared" si="77"/>
        <v xml:space="preserve"> CRISTINA </v>
      </c>
      <c r="AD984" s="2">
        <f t="shared" si="78"/>
        <v>5</v>
      </c>
      <c r="AE984" s="2">
        <f t="shared" ca="1" si="79"/>
        <v>-53.926271643518703</v>
      </c>
    </row>
    <row r="985" spans="1:31" hidden="1">
      <c r="A985" s="1">
        <v>9299577</v>
      </c>
      <c r="B985" s="1" t="s">
        <v>101</v>
      </c>
      <c r="C985" t="s">
        <v>1761</v>
      </c>
      <c r="E985" s="2">
        <v>1058000206001</v>
      </c>
      <c r="F985" s="1" t="s">
        <v>29</v>
      </c>
      <c r="G985" s="1" t="s">
        <v>53</v>
      </c>
      <c r="H985" s="1" t="s">
        <v>289</v>
      </c>
      <c r="I985" s="1" t="s">
        <v>290</v>
      </c>
      <c r="J985" s="1" t="s">
        <v>56</v>
      </c>
      <c r="K985" t="s">
        <v>34</v>
      </c>
      <c r="M985" s="1" t="s">
        <v>35</v>
      </c>
      <c r="N985" s="1">
        <v>42318949</v>
      </c>
      <c r="O985" s="1" t="s">
        <v>105</v>
      </c>
      <c r="P985" s="11" t="s">
        <v>1797</v>
      </c>
      <c r="R985" s="1" t="s">
        <v>38</v>
      </c>
      <c r="T985" s="1" t="s">
        <v>74</v>
      </c>
      <c r="U985" s="11" t="s">
        <v>1341</v>
      </c>
      <c r="V985" s="1" t="s">
        <v>41</v>
      </c>
      <c r="W985" s="1" t="s">
        <v>49</v>
      </c>
      <c r="X985" s="13" t="str">
        <f>IF(RIGHT(H985,2)&lt;&gt;"00",H985,"")</f>
        <v/>
      </c>
      <c r="Y985" s="2">
        <f ca="1">NETWORKDAYS(P985,$Y$1)</f>
        <v>39</v>
      </c>
      <c r="Z985" s="14">
        <v>1</v>
      </c>
      <c r="AA985" s="1" t="str">
        <f t="shared" ca="1" si="75"/>
        <v>VENCIDO</v>
      </c>
      <c r="AB985" s="1" t="str">
        <f t="shared" si="76"/>
        <v>Dosa</v>
      </c>
      <c r="AC985" s="2" t="str">
        <f t="shared" si="77"/>
        <v xml:space="preserve"> CRISTINA </v>
      </c>
      <c r="AD985" s="2">
        <f t="shared" si="78"/>
        <v>5</v>
      </c>
      <c r="AE985" s="2">
        <f t="shared" ca="1" si="79"/>
        <v>-53.926271643518703</v>
      </c>
    </row>
    <row r="986" spans="1:31" hidden="1">
      <c r="A986" s="1">
        <v>9299576</v>
      </c>
      <c r="B986" s="1" t="s">
        <v>101</v>
      </c>
      <c r="C986" t="s">
        <v>1761</v>
      </c>
      <c r="E986" s="2">
        <v>1058000206001</v>
      </c>
      <c r="F986" s="1" t="s">
        <v>29</v>
      </c>
      <c r="G986" s="1" t="s">
        <v>53</v>
      </c>
      <c r="H986" s="1" t="s">
        <v>289</v>
      </c>
      <c r="I986" s="1" t="s">
        <v>290</v>
      </c>
      <c r="J986" s="1" t="s">
        <v>56</v>
      </c>
      <c r="K986" t="s">
        <v>34</v>
      </c>
      <c r="M986" s="1" t="s">
        <v>35</v>
      </c>
      <c r="N986" s="1">
        <v>42318949</v>
      </c>
      <c r="O986" s="1" t="s">
        <v>105</v>
      </c>
      <c r="P986" s="11" t="s">
        <v>1798</v>
      </c>
      <c r="R986" s="1" t="s">
        <v>38</v>
      </c>
      <c r="T986" s="1" t="s">
        <v>74</v>
      </c>
      <c r="U986" s="11" t="s">
        <v>1341</v>
      </c>
      <c r="V986" s="1" t="s">
        <v>41</v>
      </c>
      <c r="W986" s="1" t="s">
        <v>49</v>
      </c>
      <c r="X986" s="13" t="str">
        <f>IF(RIGHT(H986,2)&lt;&gt;"00",H986,"")</f>
        <v/>
      </c>
      <c r="Y986" s="2">
        <f ca="1">NETWORKDAYS(P986,$Y$1)</f>
        <v>39</v>
      </c>
      <c r="Z986" s="14">
        <v>1</v>
      </c>
      <c r="AA986" s="1" t="str">
        <f t="shared" ca="1" si="75"/>
        <v>VENCIDO</v>
      </c>
      <c r="AB986" s="1" t="str">
        <f t="shared" si="76"/>
        <v>Dosa</v>
      </c>
      <c r="AC986" s="2" t="str">
        <f t="shared" si="77"/>
        <v xml:space="preserve"> CRISTINA </v>
      </c>
      <c r="AD986" s="2">
        <f t="shared" si="78"/>
        <v>5</v>
      </c>
      <c r="AE986" s="2">
        <f t="shared" ca="1" si="79"/>
        <v>-53.926271643518703</v>
      </c>
    </row>
    <row r="987" spans="1:31" hidden="1">
      <c r="A987" s="1">
        <v>9299572</v>
      </c>
      <c r="B987" s="1" t="s">
        <v>101</v>
      </c>
      <c r="C987" t="s">
        <v>1761</v>
      </c>
      <c r="E987" s="2">
        <v>1052000206001</v>
      </c>
      <c r="F987" s="1" t="s">
        <v>29</v>
      </c>
      <c r="G987" s="1" t="s">
        <v>53</v>
      </c>
      <c r="H987" s="1" t="s">
        <v>329</v>
      </c>
      <c r="I987" s="1" t="s">
        <v>330</v>
      </c>
      <c r="J987" s="1" t="s">
        <v>79</v>
      </c>
      <c r="K987" t="s">
        <v>34</v>
      </c>
      <c r="M987" s="1" t="s">
        <v>35</v>
      </c>
      <c r="N987" s="1">
        <v>42318949</v>
      </c>
      <c r="O987" s="1" t="s">
        <v>105</v>
      </c>
      <c r="P987" s="11" t="s">
        <v>1798</v>
      </c>
      <c r="R987" s="1" t="s">
        <v>38</v>
      </c>
      <c r="T987" s="1" t="s">
        <v>74</v>
      </c>
      <c r="U987" s="11" t="s">
        <v>1341</v>
      </c>
      <c r="V987" s="1" t="s">
        <v>41</v>
      </c>
      <c r="W987" s="1" t="s">
        <v>49</v>
      </c>
      <c r="X987" s="13" t="str">
        <f>IF(RIGHT(H987,2)&lt;&gt;"00",H987,"")</f>
        <v/>
      </c>
      <c r="Y987" s="2">
        <f ca="1">NETWORKDAYS(P987,$Y$1)</f>
        <v>39</v>
      </c>
      <c r="Z987" s="14">
        <v>1</v>
      </c>
      <c r="AA987" s="1" t="str">
        <f t="shared" ca="1" si="75"/>
        <v>VENCIDO</v>
      </c>
      <c r="AB987" s="1" t="str">
        <f t="shared" si="76"/>
        <v>Dosa</v>
      </c>
      <c r="AC987" s="2" t="str">
        <f t="shared" si="77"/>
        <v xml:space="preserve"> ROSEMERE </v>
      </c>
      <c r="AD987" s="2">
        <f t="shared" si="78"/>
        <v>5</v>
      </c>
      <c r="AE987" s="2">
        <f t="shared" ca="1" si="79"/>
        <v>-53.926271643518703</v>
      </c>
    </row>
    <row r="988" spans="1:31" hidden="1">
      <c r="A988" s="1">
        <v>9299571</v>
      </c>
      <c r="B988" s="1" t="s">
        <v>101</v>
      </c>
      <c r="C988" t="s">
        <v>1761</v>
      </c>
      <c r="E988" s="2">
        <v>1052000206001</v>
      </c>
      <c r="F988" s="1" t="s">
        <v>29</v>
      </c>
      <c r="G988" s="1" t="s">
        <v>53</v>
      </c>
      <c r="H988" s="1" t="s">
        <v>329</v>
      </c>
      <c r="I988" s="1" t="s">
        <v>330</v>
      </c>
      <c r="J988" s="1" t="s">
        <v>79</v>
      </c>
      <c r="K988" t="s">
        <v>34</v>
      </c>
      <c r="M988" s="1" t="s">
        <v>35</v>
      </c>
      <c r="N988" s="1">
        <v>42318949</v>
      </c>
      <c r="O988" s="1" t="s">
        <v>105</v>
      </c>
      <c r="P988" s="11" t="s">
        <v>1798</v>
      </c>
      <c r="R988" s="1" t="s">
        <v>38</v>
      </c>
      <c r="T988" s="1" t="s">
        <v>74</v>
      </c>
      <c r="U988" s="11" t="s">
        <v>1341</v>
      </c>
      <c r="V988" s="1" t="s">
        <v>41</v>
      </c>
      <c r="W988" s="1" t="s">
        <v>49</v>
      </c>
      <c r="X988" s="13" t="str">
        <f>IF(RIGHT(H988,2)&lt;&gt;"00",H988,"")</f>
        <v/>
      </c>
      <c r="Y988" s="2">
        <f ca="1">NETWORKDAYS(P988,$Y$1)</f>
        <v>39</v>
      </c>
      <c r="Z988" s="14">
        <v>1</v>
      </c>
      <c r="AA988" s="1" t="str">
        <f t="shared" ca="1" si="75"/>
        <v>VENCIDO</v>
      </c>
      <c r="AB988" s="1" t="str">
        <f t="shared" si="76"/>
        <v>Dosa</v>
      </c>
      <c r="AC988" s="2" t="str">
        <f t="shared" si="77"/>
        <v xml:space="preserve"> ROSEMERE </v>
      </c>
      <c r="AD988" s="2">
        <f t="shared" si="78"/>
        <v>5</v>
      </c>
      <c r="AE988" s="2">
        <f t="shared" ca="1" si="79"/>
        <v>-53.926271643518703</v>
      </c>
    </row>
    <row r="989" spans="1:31" hidden="1">
      <c r="A989" s="1">
        <v>9299552</v>
      </c>
      <c r="B989" s="1" t="s">
        <v>101</v>
      </c>
      <c r="C989" t="s">
        <v>1761</v>
      </c>
      <c r="E989" s="2">
        <v>1011000206001</v>
      </c>
      <c r="F989" s="1" t="s">
        <v>29</v>
      </c>
      <c r="G989" s="1" t="s">
        <v>53</v>
      </c>
      <c r="H989" s="1" t="s">
        <v>272</v>
      </c>
      <c r="I989" s="1" t="s">
        <v>273</v>
      </c>
      <c r="J989" s="1" t="s">
        <v>33</v>
      </c>
      <c r="K989" t="s">
        <v>34</v>
      </c>
      <c r="M989" s="1" t="s">
        <v>35</v>
      </c>
      <c r="N989" s="1">
        <v>42318949</v>
      </c>
      <c r="O989" s="1" t="s">
        <v>105</v>
      </c>
      <c r="P989" s="11" t="s">
        <v>3033</v>
      </c>
      <c r="R989" s="1" t="s">
        <v>38</v>
      </c>
      <c r="T989" s="1" t="s">
        <v>74</v>
      </c>
      <c r="U989" s="11" t="s">
        <v>1341</v>
      </c>
      <c r="V989" s="1" t="s">
        <v>41</v>
      </c>
      <c r="W989" s="1" t="s">
        <v>49</v>
      </c>
      <c r="X989" s="13" t="str">
        <f>IF(RIGHT(H989,2)&lt;&gt;"00",H989,"")</f>
        <v/>
      </c>
      <c r="Y989" s="2">
        <f ca="1">NETWORKDAYS(P989,$Y$1)</f>
        <v>39</v>
      </c>
      <c r="Z989" s="14">
        <v>1</v>
      </c>
      <c r="AA989" s="1" t="str">
        <f t="shared" ca="1" si="75"/>
        <v>VENCIDO</v>
      </c>
      <c r="AB989" s="1" t="str">
        <f t="shared" si="76"/>
        <v>Dosa</v>
      </c>
      <c r="AC989" s="2" t="str">
        <f t="shared" si="77"/>
        <v xml:space="preserve"> ROSEMERE </v>
      </c>
      <c r="AD989" s="2">
        <f t="shared" si="78"/>
        <v>5</v>
      </c>
      <c r="AE989" s="2">
        <f t="shared" ca="1" si="79"/>
        <v>-53.926271643518703</v>
      </c>
    </row>
    <row r="990" spans="1:31" hidden="1">
      <c r="A990" s="1">
        <v>9299516</v>
      </c>
      <c r="B990" s="1" t="s">
        <v>101</v>
      </c>
      <c r="C990" t="s">
        <v>1761</v>
      </c>
      <c r="E990" s="2">
        <v>981000206001</v>
      </c>
      <c r="F990" s="1" t="s">
        <v>29</v>
      </c>
      <c r="G990" s="1" t="s">
        <v>53</v>
      </c>
      <c r="H990" s="1" t="s">
        <v>410</v>
      </c>
      <c r="I990" s="1" t="s">
        <v>411</v>
      </c>
      <c r="J990" s="1" t="s">
        <v>85</v>
      </c>
      <c r="K990" t="s">
        <v>34</v>
      </c>
      <c r="M990" s="1" t="s">
        <v>35</v>
      </c>
      <c r="N990" s="1">
        <v>42318949</v>
      </c>
      <c r="O990" s="1" t="s">
        <v>105</v>
      </c>
      <c r="P990" s="11" t="s">
        <v>1799</v>
      </c>
      <c r="R990" s="1" t="s">
        <v>38</v>
      </c>
      <c r="T990" s="1" t="s">
        <v>74</v>
      </c>
      <c r="U990" s="11" t="s">
        <v>1341</v>
      </c>
      <c r="V990" s="1" t="s">
        <v>41</v>
      </c>
      <c r="W990" s="1" t="s">
        <v>49</v>
      </c>
      <c r="X990" s="13" t="str">
        <f>IF(RIGHT(H990,2)&lt;&gt;"00",H990,"")</f>
        <v/>
      </c>
      <c r="Y990" s="2">
        <f ca="1">NETWORKDAYS(P990,$Y$1)</f>
        <v>39</v>
      </c>
      <c r="Z990" s="14">
        <v>1</v>
      </c>
      <c r="AA990" s="1" t="str">
        <f t="shared" ca="1" si="75"/>
        <v>VENCIDO</v>
      </c>
      <c r="AB990" s="1" t="str">
        <f t="shared" si="76"/>
        <v>Dosa</v>
      </c>
      <c r="AC990" s="2" t="str">
        <f t="shared" si="77"/>
        <v xml:space="preserve"> RINALDO </v>
      </c>
      <c r="AD990" s="2">
        <f t="shared" si="78"/>
        <v>5</v>
      </c>
      <c r="AE990" s="2">
        <f t="shared" ca="1" si="79"/>
        <v>-53.926271643518703</v>
      </c>
    </row>
    <row r="991" spans="1:31" hidden="1">
      <c r="A991" s="1">
        <v>9299457</v>
      </c>
      <c r="B991" s="1" t="s">
        <v>101</v>
      </c>
      <c r="C991" t="s">
        <v>1761</v>
      </c>
      <c r="E991" s="2">
        <v>917000206001</v>
      </c>
      <c r="F991" s="1" t="s">
        <v>29</v>
      </c>
      <c r="G991" s="1" t="s">
        <v>53</v>
      </c>
      <c r="H991" s="1" t="s">
        <v>83</v>
      </c>
      <c r="I991" s="1" t="s">
        <v>84</v>
      </c>
      <c r="J991" s="1" t="s">
        <v>85</v>
      </c>
      <c r="K991" t="s">
        <v>34</v>
      </c>
      <c r="M991" s="1" t="s">
        <v>35</v>
      </c>
      <c r="N991" s="1">
        <v>42318949</v>
      </c>
      <c r="O991" s="1" t="s">
        <v>105</v>
      </c>
      <c r="P991" s="11" t="s">
        <v>1800</v>
      </c>
      <c r="R991" s="1" t="s">
        <v>38</v>
      </c>
      <c r="T991" s="1" t="s">
        <v>74</v>
      </c>
      <c r="U991" s="11" t="s">
        <v>1341</v>
      </c>
      <c r="V991" s="1" t="s">
        <v>41</v>
      </c>
      <c r="W991" s="1" t="s">
        <v>49</v>
      </c>
      <c r="X991" s="13" t="str">
        <f>IF(RIGHT(H991,2)&lt;&gt;"00",H991,"")</f>
        <v/>
      </c>
      <c r="Y991" s="2">
        <f ca="1">NETWORKDAYS(P991,$Y$1)</f>
        <v>39</v>
      </c>
      <c r="Z991" s="14">
        <v>1</v>
      </c>
      <c r="AA991" s="1" t="str">
        <f t="shared" ca="1" si="75"/>
        <v>VENCIDO</v>
      </c>
      <c r="AB991" s="1" t="str">
        <f t="shared" si="76"/>
        <v>Dosa</v>
      </c>
      <c r="AC991" s="2" t="str">
        <f t="shared" si="77"/>
        <v xml:space="preserve"> RINALDO </v>
      </c>
      <c r="AD991" s="2">
        <f t="shared" si="78"/>
        <v>5</v>
      </c>
      <c r="AE991" s="2">
        <f t="shared" ca="1" si="79"/>
        <v>-53.926271643518703</v>
      </c>
    </row>
    <row r="992" spans="1:31" hidden="1">
      <c r="A992" s="1">
        <v>9299432</v>
      </c>
      <c r="B992" s="1" t="s">
        <v>101</v>
      </c>
      <c r="C992" t="s">
        <v>1761</v>
      </c>
      <c r="E992" s="2">
        <v>834000206001</v>
      </c>
      <c r="F992" s="1" t="s">
        <v>29</v>
      </c>
      <c r="G992" s="1" t="s">
        <v>53</v>
      </c>
      <c r="H992" s="1" t="s">
        <v>367</v>
      </c>
      <c r="I992" s="1" t="s">
        <v>368</v>
      </c>
      <c r="J992" s="1" t="s">
        <v>261</v>
      </c>
      <c r="K992" t="s">
        <v>34</v>
      </c>
      <c r="M992" s="1" t="s">
        <v>35</v>
      </c>
      <c r="N992" s="1">
        <v>42318949</v>
      </c>
      <c r="O992" s="1" t="s">
        <v>105</v>
      </c>
      <c r="P992" s="11" t="s">
        <v>1801</v>
      </c>
      <c r="R992" s="1" t="s">
        <v>38</v>
      </c>
      <c r="T992" s="1" t="s">
        <v>74</v>
      </c>
      <c r="U992" s="11" t="s">
        <v>1341</v>
      </c>
      <c r="V992" s="1" t="s">
        <v>41</v>
      </c>
      <c r="W992" s="1" t="s">
        <v>49</v>
      </c>
      <c r="X992" s="13" t="str">
        <f>IF(RIGHT(H992,2)&lt;&gt;"00",H992,"")</f>
        <v/>
      </c>
      <c r="Y992" s="2">
        <f ca="1">NETWORKDAYS(P992,$Y$1)</f>
        <v>39</v>
      </c>
      <c r="Z992" s="14">
        <v>1</v>
      </c>
      <c r="AA992" s="1" t="str">
        <f t="shared" ca="1" si="75"/>
        <v>VENCIDO</v>
      </c>
      <c r="AB992" s="1" t="str">
        <f t="shared" si="76"/>
        <v>Dosa</v>
      </c>
      <c r="AC992" s="2" t="str">
        <f t="shared" si="77"/>
        <v xml:space="preserve"> CRISTINA </v>
      </c>
      <c r="AD992" s="2">
        <f t="shared" si="78"/>
        <v>5</v>
      </c>
      <c r="AE992" s="2">
        <f t="shared" ca="1" si="79"/>
        <v>-53.926271643518703</v>
      </c>
    </row>
    <row r="993" spans="1:31" hidden="1">
      <c r="A993" s="1">
        <v>9299374</v>
      </c>
      <c r="B993" s="1" t="s">
        <v>101</v>
      </c>
      <c r="C993" t="s">
        <v>1761</v>
      </c>
      <c r="E993" s="2">
        <v>711000206001</v>
      </c>
      <c r="F993" s="1" t="s">
        <v>29</v>
      </c>
      <c r="G993" s="1" t="s">
        <v>53</v>
      </c>
      <c r="H993" s="1" t="s">
        <v>77</v>
      </c>
      <c r="I993" s="1" t="s">
        <v>78</v>
      </c>
      <c r="J993" s="1" t="s">
        <v>79</v>
      </c>
      <c r="K993" t="s">
        <v>34</v>
      </c>
      <c r="M993" s="1" t="s">
        <v>35</v>
      </c>
      <c r="N993" s="1">
        <v>42318949</v>
      </c>
      <c r="O993" s="1" t="s">
        <v>105</v>
      </c>
      <c r="P993" s="11" t="s">
        <v>1802</v>
      </c>
      <c r="R993" s="1" t="s">
        <v>38</v>
      </c>
      <c r="T993" s="1" t="s">
        <v>74</v>
      </c>
      <c r="U993" s="11" t="s">
        <v>1341</v>
      </c>
      <c r="V993" s="1" t="s">
        <v>41</v>
      </c>
      <c r="W993" s="1" t="s">
        <v>49</v>
      </c>
      <c r="X993" s="13" t="str">
        <f>IF(RIGHT(H993,2)&lt;&gt;"00",H993,"")</f>
        <v/>
      </c>
      <c r="Y993" s="2">
        <f ca="1">NETWORKDAYS(P993,$Y$1)</f>
        <v>39</v>
      </c>
      <c r="Z993" s="14">
        <v>1</v>
      </c>
      <c r="AA993" s="1" t="str">
        <f t="shared" ca="1" si="75"/>
        <v>VENCIDO</v>
      </c>
      <c r="AB993" s="1" t="str">
        <f t="shared" si="76"/>
        <v>Dosa</v>
      </c>
      <c r="AC993" s="2" t="str">
        <f t="shared" si="77"/>
        <v xml:space="preserve"> ROSEMERE </v>
      </c>
      <c r="AD993" s="2">
        <f t="shared" si="78"/>
        <v>5</v>
      </c>
      <c r="AE993" s="2">
        <f t="shared" ca="1" si="79"/>
        <v>-53.926271643518703</v>
      </c>
    </row>
    <row r="994" spans="1:31" hidden="1">
      <c r="A994" s="1">
        <v>9299373</v>
      </c>
      <c r="B994" s="1" t="s">
        <v>101</v>
      </c>
      <c r="C994" t="s">
        <v>1761</v>
      </c>
      <c r="E994" s="2">
        <v>711000206001</v>
      </c>
      <c r="F994" s="1" t="s">
        <v>29</v>
      </c>
      <c r="G994" s="1" t="s">
        <v>53</v>
      </c>
      <c r="H994" s="1" t="s">
        <v>77</v>
      </c>
      <c r="I994" s="1" t="s">
        <v>78</v>
      </c>
      <c r="J994" s="1" t="s">
        <v>79</v>
      </c>
      <c r="K994" t="s">
        <v>34</v>
      </c>
      <c r="M994" s="1" t="s">
        <v>35</v>
      </c>
      <c r="N994" s="1">
        <v>42318949</v>
      </c>
      <c r="O994" s="1" t="s">
        <v>105</v>
      </c>
      <c r="P994" s="11" t="s">
        <v>1802</v>
      </c>
      <c r="R994" s="1" t="s">
        <v>38</v>
      </c>
      <c r="T994" s="1" t="s">
        <v>74</v>
      </c>
      <c r="U994" s="11" t="s">
        <v>1341</v>
      </c>
      <c r="V994" s="1" t="s">
        <v>41</v>
      </c>
      <c r="W994" s="1" t="s">
        <v>49</v>
      </c>
      <c r="X994" s="13" t="str">
        <f>IF(RIGHT(H994,2)&lt;&gt;"00",H994,"")</f>
        <v/>
      </c>
      <c r="Y994" s="2">
        <f ca="1">NETWORKDAYS(P994,$Y$1)</f>
        <v>39</v>
      </c>
      <c r="Z994" s="14">
        <v>1</v>
      </c>
      <c r="AA994" s="1" t="str">
        <f t="shared" ca="1" si="75"/>
        <v>VENCIDO</v>
      </c>
      <c r="AB994" s="1" t="str">
        <f t="shared" si="76"/>
        <v>Dosa</v>
      </c>
      <c r="AC994" s="2" t="str">
        <f t="shared" si="77"/>
        <v xml:space="preserve"> ROSEMERE </v>
      </c>
      <c r="AD994" s="2">
        <f t="shared" si="78"/>
        <v>5</v>
      </c>
      <c r="AE994" s="2">
        <f t="shared" ca="1" si="79"/>
        <v>-53.926271643518703</v>
      </c>
    </row>
    <row r="995" spans="1:31" hidden="1">
      <c r="A995" s="1">
        <v>9299372</v>
      </c>
      <c r="B995" s="1" t="s">
        <v>101</v>
      </c>
      <c r="C995" t="s">
        <v>1761</v>
      </c>
      <c r="E995" s="2">
        <v>711000206001</v>
      </c>
      <c r="F995" s="1" t="s">
        <v>29</v>
      </c>
      <c r="G995" s="1" t="s">
        <v>53</v>
      </c>
      <c r="H995" s="1" t="s">
        <v>77</v>
      </c>
      <c r="I995" s="1" t="s">
        <v>78</v>
      </c>
      <c r="J995" s="1" t="s">
        <v>79</v>
      </c>
      <c r="K995" t="s">
        <v>34</v>
      </c>
      <c r="M995" s="1" t="s">
        <v>35</v>
      </c>
      <c r="N995" s="1">
        <v>42318949</v>
      </c>
      <c r="O995" s="1" t="s">
        <v>105</v>
      </c>
      <c r="P995" s="11" t="s">
        <v>1802</v>
      </c>
      <c r="R995" s="1" t="s">
        <v>38</v>
      </c>
      <c r="T995" s="1" t="s">
        <v>74</v>
      </c>
      <c r="U995" s="11" t="s">
        <v>1341</v>
      </c>
      <c r="V995" s="1" t="s">
        <v>41</v>
      </c>
      <c r="W995" s="1" t="s">
        <v>49</v>
      </c>
      <c r="X995" s="13" t="str">
        <f>IF(RIGHT(H995,2)&lt;&gt;"00",H995,"")</f>
        <v/>
      </c>
      <c r="Y995" s="2">
        <f ca="1">NETWORKDAYS(P995,$Y$1)</f>
        <v>39</v>
      </c>
      <c r="Z995" s="14">
        <v>1</v>
      </c>
      <c r="AA995" s="1" t="str">
        <f t="shared" ca="1" si="75"/>
        <v>VENCIDO</v>
      </c>
      <c r="AB995" s="1" t="str">
        <f t="shared" si="76"/>
        <v>Dosa</v>
      </c>
      <c r="AC995" s="2" t="str">
        <f t="shared" si="77"/>
        <v xml:space="preserve"> ROSEMERE </v>
      </c>
      <c r="AD995" s="2">
        <f t="shared" si="78"/>
        <v>5</v>
      </c>
      <c r="AE995" s="2">
        <f t="shared" ca="1" si="79"/>
        <v>-53.926271643518703</v>
      </c>
    </row>
    <row r="996" spans="1:31" hidden="1">
      <c r="A996" s="1">
        <v>9299371</v>
      </c>
      <c r="B996" s="1" t="s">
        <v>101</v>
      </c>
      <c r="C996" t="s">
        <v>1761</v>
      </c>
      <c r="E996" s="2">
        <v>711000206001</v>
      </c>
      <c r="F996" s="1" t="s">
        <v>29</v>
      </c>
      <c r="G996" s="1" t="s">
        <v>53</v>
      </c>
      <c r="H996" s="1" t="s">
        <v>77</v>
      </c>
      <c r="I996" s="1" t="s">
        <v>78</v>
      </c>
      <c r="J996" s="1" t="s">
        <v>79</v>
      </c>
      <c r="K996" t="s">
        <v>34</v>
      </c>
      <c r="M996" s="1" t="s">
        <v>35</v>
      </c>
      <c r="N996" s="1">
        <v>42318949</v>
      </c>
      <c r="O996" s="1" t="s">
        <v>105</v>
      </c>
      <c r="P996" s="11" t="s">
        <v>1802</v>
      </c>
      <c r="R996" s="1" t="s">
        <v>38</v>
      </c>
      <c r="T996" s="1" t="s">
        <v>74</v>
      </c>
      <c r="U996" s="11" t="s">
        <v>1341</v>
      </c>
      <c r="V996" s="1" t="s">
        <v>41</v>
      </c>
      <c r="W996" s="1" t="s">
        <v>49</v>
      </c>
      <c r="X996" s="13" t="str">
        <f>IF(RIGHT(H996,2)&lt;&gt;"00",H996,"")</f>
        <v/>
      </c>
      <c r="Y996" s="2">
        <f ca="1">NETWORKDAYS(P996,$Y$1)</f>
        <v>39</v>
      </c>
      <c r="Z996" s="14">
        <v>1</v>
      </c>
      <c r="AA996" s="1" t="str">
        <f t="shared" ca="1" si="75"/>
        <v>VENCIDO</v>
      </c>
      <c r="AB996" s="1" t="str">
        <f t="shared" si="76"/>
        <v>Dosa</v>
      </c>
      <c r="AC996" s="2" t="str">
        <f t="shared" si="77"/>
        <v xml:space="preserve"> ROSEMERE </v>
      </c>
      <c r="AD996" s="2">
        <f t="shared" si="78"/>
        <v>5</v>
      </c>
      <c r="AE996" s="2">
        <f t="shared" ca="1" si="79"/>
        <v>-53.926271643518703</v>
      </c>
    </row>
    <row r="997" spans="1:31" hidden="1">
      <c r="A997" s="1">
        <v>9299370</v>
      </c>
      <c r="B997" s="1" t="s">
        <v>101</v>
      </c>
      <c r="C997" t="s">
        <v>1761</v>
      </c>
      <c r="E997" s="2">
        <v>711000206001</v>
      </c>
      <c r="F997" s="1" t="s">
        <v>29</v>
      </c>
      <c r="G997" s="1" t="s">
        <v>53</v>
      </c>
      <c r="H997" s="1" t="s">
        <v>77</v>
      </c>
      <c r="I997" s="1" t="s">
        <v>78</v>
      </c>
      <c r="J997" s="1" t="s">
        <v>79</v>
      </c>
      <c r="K997" t="s">
        <v>34</v>
      </c>
      <c r="M997" s="1" t="s">
        <v>35</v>
      </c>
      <c r="N997" s="1">
        <v>42318949</v>
      </c>
      <c r="O997" s="1" t="s">
        <v>105</v>
      </c>
      <c r="P997" s="11" t="s">
        <v>1802</v>
      </c>
      <c r="R997" s="1" t="s">
        <v>38</v>
      </c>
      <c r="T997" s="1" t="s">
        <v>74</v>
      </c>
      <c r="U997" s="11" t="s">
        <v>1341</v>
      </c>
      <c r="V997" s="1" t="s">
        <v>41</v>
      </c>
      <c r="W997" s="1" t="s">
        <v>49</v>
      </c>
      <c r="X997" s="13" t="str">
        <f>IF(RIGHT(H997,2)&lt;&gt;"00",H997,"")</f>
        <v/>
      </c>
      <c r="Y997" s="2">
        <f ca="1">NETWORKDAYS(P997,$Y$1)</f>
        <v>39</v>
      </c>
      <c r="Z997" s="14">
        <v>1</v>
      </c>
      <c r="AA997" s="1" t="str">
        <f t="shared" ca="1" si="75"/>
        <v>VENCIDO</v>
      </c>
      <c r="AB997" s="1" t="str">
        <f t="shared" si="76"/>
        <v>Dosa</v>
      </c>
      <c r="AC997" s="2" t="str">
        <f t="shared" si="77"/>
        <v xml:space="preserve"> ROSEMERE </v>
      </c>
      <c r="AD997" s="2">
        <f t="shared" si="78"/>
        <v>5</v>
      </c>
      <c r="AE997" s="2">
        <f t="shared" ca="1" si="79"/>
        <v>-53.926271643518703</v>
      </c>
    </row>
    <row r="998" spans="1:31" hidden="1">
      <c r="A998" s="1">
        <v>9299369</v>
      </c>
      <c r="B998" s="1" t="s">
        <v>101</v>
      </c>
      <c r="C998" t="s">
        <v>1761</v>
      </c>
      <c r="E998" s="2">
        <v>710000206001</v>
      </c>
      <c r="F998" s="1" t="s">
        <v>29</v>
      </c>
      <c r="G998" s="1" t="s">
        <v>53</v>
      </c>
      <c r="H998" s="1" t="s">
        <v>390</v>
      </c>
      <c r="I998" s="1" t="s">
        <v>391</v>
      </c>
      <c r="J998" s="1" t="s">
        <v>56</v>
      </c>
      <c r="K998" t="s">
        <v>34</v>
      </c>
      <c r="M998" s="1" t="s">
        <v>35</v>
      </c>
      <c r="N998" s="1">
        <v>42318949</v>
      </c>
      <c r="O998" s="1" t="s">
        <v>105</v>
      </c>
      <c r="P998" s="11" t="s">
        <v>1802</v>
      </c>
      <c r="R998" s="1" t="s">
        <v>38</v>
      </c>
      <c r="T998" s="1" t="s">
        <v>74</v>
      </c>
      <c r="U998" s="11" t="s">
        <v>1341</v>
      </c>
      <c r="V998" s="1" t="s">
        <v>41</v>
      </c>
      <c r="W998" s="1" t="s">
        <v>49</v>
      </c>
      <c r="X998" s="13" t="str">
        <f>IF(RIGHT(H998,2)&lt;&gt;"00",H998,"")</f>
        <v/>
      </c>
      <c r="Y998" s="2">
        <f ca="1">NETWORKDAYS(P998,$Y$1)</f>
        <v>39</v>
      </c>
      <c r="Z998" s="14">
        <v>1</v>
      </c>
      <c r="AA998" s="1" t="str">
        <f t="shared" ca="1" si="75"/>
        <v>VENCIDO</v>
      </c>
      <c r="AB998" s="1" t="str">
        <f t="shared" si="76"/>
        <v>Dosa</v>
      </c>
      <c r="AC998" s="2" t="str">
        <f t="shared" si="77"/>
        <v xml:space="preserve"> CRISTINA </v>
      </c>
      <c r="AD998" s="2">
        <f t="shared" si="78"/>
        <v>5</v>
      </c>
      <c r="AE998" s="2">
        <f t="shared" ca="1" si="79"/>
        <v>-53.926271643518703</v>
      </c>
    </row>
    <row r="999" spans="1:31" hidden="1">
      <c r="A999" s="1">
        <v>9299368</v>
      </c>
      <c r="B999" s="1" t="s">
        <v>101</v>
      </c>
      <c r="C999" t="s">
        <v>1761</v>
      </c>
      <c r="E999" s="2">
        <v>710000206001</v>
      </c>
      <c r="F999" s="1" t="s">
        <v>29</v>
      </c>
      <c r="G999" s="1" t="s">
        <v>53</v>
      </c>
      <c r="H999" s="1" t="s">
        <v>390</v>
      </c>
      <c r="I999" s="1" t="s">
        <v>391</v>
      </c>
      <c r="J999" s="1" t="s">
        <v>56</v>
      </c>
      <c r="K999" t="s">
        <v>34</v>
      </c>
      <c r="M999" s="1" t="s">
        <v>35</v>
      </c>
      <c r="N999" s="1">
        <v>42318949</v>
      </c>
      <c r="O999" s="1" t="s">
        <v>105</v>
      </c>
      <c r="P999" s="11" t="s">
        <v>1802</v>
      </c>
      <c r="R999" s="1" t="s">
        <v>38</v>
      </c>
      <c r="T999" s="1" t="s">
        <v>74</v>
      </c>
      <c r="U999" s="11" t="s">
        <v>1341</v>
      </c>
      <c r="V999" s="1" t="s">
        <v>41</v>
      </c>
      <c r="W999" s="1" t="s">
        <v>49</v>
      </c>
      <c r="X999" s="13" t="str">
        <f>IF(RIGHT(H999,2)&lt;&gt;"00",H999,"")</f>
        <v/>
      </c>
      <c r="Y999" s="2">
        <f ca="1">NETWORKDAYS(P999,$Y$1)</f>
        <v>39</v>
      </c>
      <c r="Z999" s="14">
        <v>1</v>
      </c>
      <c r="AA999" s="1" t="str">
        <f t="shared" ca="1" si="75"/>
        <v>VENCIDO</v>
      </c>
      <c r="AB999" s="1" t="str">
        <f t="shared" si="76"/>
        <v>Dosa</v>
      </c>
      <c r="AC999" s="2" t="str">
        <f t="shared" si="77"/>
        <v xml:space="preserve"> CRISTINA </v>
      </c>
      <c r="AD999" s="2">
        <f t="shared" si="78"/>
        <v>5</v>
      </c>
      <c r="AE999" s="2">
        <f t="shared" ca="1" si="79"/>
        <v>-53.926271643518703</v>
      </c>
    </row>
    <row r="1000" spans="1:31" hidden="1">
      <c r="A1000" s="1">
        <v>9299367</v>
      </c>
      <c r="B1000" s="1" t="s">
        <v>101</v>
      </c>
      <c r="C1000" t="s">
        <v>1761</v>
      </c>
      <c r="E1000" s="2">
        <v>710000206001</v>
      </c>
      <c r="F1000" s="1" t="s">
        <v>29</v>
      </c>
      <c r="G1000" s="1" t="s">
        <v>53</v>
      </c>
      <c r="H1000" s="1" t="s">
        <v>390</v>
      </c>
      <c r="I1000" s="1" t="s">
        <v>391</v>
      </c>
      <c r="J1000" s="1" t="s">
        <v>56</v>
      </c>
      <c r="K1000" t="s">
        <v>34</v>
      </c>
      <c r="M1000" s="1" t="s">
        <v>35</v>
      </c>
      <c r="N1000" s="1">
        <v>42318949</v>
      </c>
      <c r="O1000" s="1" t="s">
        <v>105</v>
      </c>
      <c r="P1000" s="11" t="s">
        <v>1802</v>
      </c>
      <c r="R1000" s="1" t="s">
        <v>38</v>
      </c>
      <c r="T1000" s="1" t="s">
        <v>74</v>
      </c>
      <c r="U1000" s="11" t="s">
        <v>1341</v>
      </c>
      <c r="V1000" s="1" t="s">
        <v>41</v>
      </c>
      <c r="W1000" s="1" t="s">
        <v>49</v>
      </c>
      <c r="X1000" s="13" t="str">
        <f>IF(RIGHT(H1000,2)&lt;&gt;"00",H1000,"")</f>
        <v/>
      </c>
      <c r="Y1000" s="2">
        <f ca="1">NETWORKDAYS(P1000,$Y$1)</f>
        <v>39</v>
      </c>
      <c r="Z1000" s="14">
        <v>1</v>
      </c>
      <c r="AA1000" s="1" t="str">
        <f t="shared" ca="1" si="75"/>
        <v>VENCIDO</v>
      </c>
      <c r="AB1000" s="1" t="str">
        <f t="shared" si="76"/>
        <v>Dosa</v>
      </c>
      <c r="AC1000" s="2" t="str">
        <f t="shared" si="77"/>
        <v xml:space="preserve"> CRISTINA </v>
      </c>
      <c r="AD1000" s="2">
        <f t="shared" si="78"/>
        <v>5</v>
      </c>
      <c r="AE1000" s="2">
        <f t="shared" ca="1" si="79"/>
        <v>-53.926271643518703</v>
      </c>
    </row>
    <row r="1001" spans="1:31" hidden="1">
      <c r="A1001" s="1">
        <v>9299366</v>
      </c>
      <c r="B1001" s="1" t="s">
        <v>101</v>
      </c>
      <c r="C1001" t="s">
        <v>1761</v>
      </c>
      <c r="E1001" s="2">
        <v>710000206001</v>
      </c>
      <c r="F1001" s="1" t="s">
        <v>29</v>
      </c>
      <c r="G1001" s="1" t="s">
        <v>53</v>
      </c>
      <c r="H1001" s="1" t="s">
        <v>390</v>
      </c>
      <c r="I1001" s="1" t="s">
        <v>391</v>
      </c>
      <c r="J1001" s="1" t="s">
        <v>56</v>
      </c>
      <c r="K1001" t="s">
        <v>34</v>
      </c>
      <c r="M1001" s="1" t="s">
        <v>35</v>
      </c>
      <c r="N1001" s="1">
        <v>42318949</v>
      </c>
      <c r="O1001" s="1" t="s">
        <v>36</v>
      </c>
      <c r="P1001" s="11" t="s">
        <v>1802</v>
      </c>
      <c r="R1001" s="1" t="s">
        <v>38</v>
      </c>
      <c r="T1001" s="1" t="s">
        <v>74</v>
      </c>
      <c r="U1001" s="11" t="s">
        <v>1341</v>
      </c>
      <c r="V1001" s="1" t="s">
        <v>41</v>
      </c>
      <c r="W1001" s="1" t="s">
        <v>49</v>
      </c>
      <c r="X1001" s="13" t="str">
        <f>IF(RIGHT(H1001,2)&lt;&gt;"00",H1001,"")</f>
        <v/>
      </c>
      <c r="Y1001" s="2">
        <f ca="1">NETWORKDAYS(P1001,$Y$1)</f>
        <v>39</v>
      </c>
      <c r="Z1001" s="14">
        <v>1</v>
      </c>
      <c r="AA1001" s="1" t="str">
        <f t="shared" ca="1" si="75"/>
        <v>VENCIDO</v>
      </c>
      <c r="AB1001" s="1" t="str">
        <f t="shared" si="76"/>
        <v>Dosa</v>
      </c>
      <c r="AC1001" s="2" t="str">
        <f t="shared" si="77"/>
        <v xml:space="preserve"> CRISTINA </v>
      </c>
      <c r="AD1001" s="2">
        <f t="shared" si="78"/>
        <v>5</v>
      </c>
      <c r="AE1001" s="2">
        <f t="shared" ca="1" si="79"/>
        <v>-53.926271643518703</v>
      </c>
    </row>
    <row r="1002" spans="1:31" hidden="1">
      <c r="A1002" s="1">
        <v>9299314</v>
      </c>
      <c r="B1002" s="1" t="s">
        <v>101</v>
      </c>
      <c r="C1002" t="s">
        <v>1761</v>
      </c>
      <c r="E1002" s="2">
        <v>608000206001</v>
      </c>
      <c r="F1002" s="1" t="s">
        <v>29</v>
      </c>
      <c r="G1002" s="1" t="s">
        <v>53</v>
      </c>
      <c r="H1002" s="1" t="s">
        <v>438</v>
      </c>
      <c r="I1002" s="1" t="s">
        <v>439</v>
      </c>
      <c r="J1002" s="1" t="s">
        <v>148</v>
      </c>
      <c r="K1002" t="s">
        <v>34</v>
      </c>
      <c r="M1002" s="1" t="s">
        <v>35</v>
      </c>
      <c r="N1002" s="1">
        <v>42318949</v>
      </c>
      <c r="O1002" s="1" t="s">
        <v>105</v>
      </c>
      <c r="P1002" s="11" t="s">
        <v>1803</v>
      </c>
      <c r="R1002" s="1" t="s">
        <v>38</v>
      </c>
      <c r="T1002" s="1" t="s">
        <v>74</v>
      </c>
      <c r="U1002" s="11" t="s">
        <v>1341</v>
      </c>
      <c r="V1002" s="1" t="s">
        <v>41</v>
      </c>
      <c r="W1002" s="1" t="s">
        <v>49</v>
      </c>
      <c r="X1002" s="13" t="str">
        <f>IF(RIGHT(H1002,2)&lt;&gt;"00",H1002,"")</f>
        <v/>
      </c>
      <c r="Y1002" s="2">
        <f ca="1">NETWORKDAYS(P1002,$Y$1)</f>
        <v>39</v>
      </c>
      <c r="Z1002" s="14">
        <v>1</v>
      </c>
      <c r="AA1002" s="1" t="str">
        <f t="shared" ca="1" si="75"/>
        <v>VENCIDO</v>
      </c>
      <c r="AB1002" s="1" t="str">
        <f t="shared" si="76"/>
        <v>Dosa</v>
      </c>
      <c r="AC1002" s="2" t="str">
        <f t="shared" si="77"/>
        <v xml:space="preserve"> RINALDO </v>
      </c>
      <c r="AD1002" s="2">
        <f t="shared" si="78"/>
        <v>5</v>
      </c>
      <c r="AE1002" s="2">
        <f t="shared" ca="1" si="79"/>
        <v>-53.926271643518703</v>
      </c>
    </row>
    <row r="1003" spans="1:31" hidden="1">
      <c r="A1003" s="1">
        <v>9299313</v>
      </c>
      <c r="B1003" s="1" t="s">
        <v>101</v>
      </c>
      <c r="C1003" t="s">
        <v>1761</v>
      </c>
      <c r="E1003" s="2">
        <v>608000206001</v>
      </c>
      <c r="F1003" s="1" t="s">
        <v>29</v>
      </c>
      <c r="G1003" s="1" t="s">
        <v>53</v>
      </c>
      <c r="H1003" s="1" t="s">
        <v>438</v>
      </c>
      <c r="I1003" s="1" t="s">
        <v>439</v>
      </c>
      <c r="J1003" s="1" t="s">
        <v>148</v>
      </c>
      <c r="K1003" t="s">
        <v>34</v>
      </c>
      <c r="M1003" s="1" t="s">
        <v>35</v>
      </c>
      <c r="N1003" s="1">
        <v>42318949</v>
      </c>
      <c r="O1003" s="1" t="s">
        <v>105</v>
      </c>
      <c r="P1003" s="11" t="s">
        <v>1803</v>
      </c>
      <c r="R1003" s="1" t="s">
        <v>38</v>
      </c>
      <c r="T1003" s="1" t="s">
        <v>74</v>
      </c>
      <c r="U1003" s="11" t="s">
        <v>1341</v>
      </c>
      <c r="V1003" s="1" t="s">
        <v>41</v>
      </c>
      <c r="W1003" s="1" t="s">
        <v>49</v>
      </c>
      <c r="X1003" s="13" t="str">
        <f>IF(RIGHT(H1003,2)&lt;&gt;"00",H1003,"")</f>
        <v/>
      </c>
      <c r="Y1003" s="2">
        <f ca="1">NETWORKDAYS(P1003,$Y$1)</f>
        <v>39</v>
      </c>
      <c r="Z1003" s="14">
        <v>1</v>
      </c>
      <c r="AA1003" s="1" t="str">
        <f t="shared" ca="1" si="75"/>
        <v>VENCIDO</v>
      </c>
      <c r="AB1003" s="1" t="str">
        <f t="shared" si="76"/>
        <v>Dosa</v>
      </c>
      <c r="AC1003" s="2" t="str">
        <f t="shared" si="77"/>
        <v xml:space="preserve"> RINALDO </v>
      </c>
      <c r="AD1003" s="2">
        <f t="shared" si="78"/>
        <v>5</v>
      </c>
      <c r="AE1003" s="2">
        <f t="shared" ca="1" si="79"/>
        <v>-53.926271643518703</v>
      </c>
    </row>
    <row r="1004" spans="1:31" hidden="1">
      <c r="A1004" s="1">
        <v>9299309</v>
      </c>
      <c r="B1004" s="1" t="s">
        <v>101</v>
      </c>
      <c r="C1004" t="s">
        <v>1761</v>
      </c>
      <c r="E1004" s="2">
        <v>605000206001</v>
      </c>
      <c r="F1004" s="1" t="s">
        <v>29</v>
      </c>
      <c r="G1004" s="1" t="s">
        <v>53</v>
      </c>
      <c r="H1004" s="1" t="s">
        <v>420</v>
      </c>
      <c r="I1004" s="1" t="s">
        <v>421</v>
      </c>
      <c r="J1004" s="1" t="s">
        <v>90</v>
      </c>
      <c r="K1004" t="s">
        <v>34</v>
      </c>
      <c r="M1004" s="1" t="s">
        <v>35</v>
      </c>
      <c r="N1004" s="1">
        <v>42318949</v>
      </c>
      <c r="O1004" s="1" t="s">
        <v>105</v>
      </c>
      <c r="P1004" s="11" t="s">
        <v>1804</v>
      </c>
      <c r="R1004" s="1" t="s">
        <v>38</v>
      </c>
      <c r="T1004" s="1" t="s">
        <v>74</v>
      </c>
      <c r="U1004" s="11" t="s">
        <v>1341</v>
      </c>
      <c r="V1004" s="1" t="s">
        <v>41</v>
      </c>
      <c r="W1004" s="1" t="s">
        <v>49</v>
      </c>
      <c r="X1004" s="13" t="str">
        <f>IF(RIGHT(H1004,2)&lt;&gt;"00",H1004,"")</f>
        <v/>
      </c>
      <c r="Y1004" s="2">
        <f ca="1">NETWORKDAYS(P1004,$Y$1)</f>
        <v>39</v>
      </c>
      <c r="Z1004" s="14">
        <v>1</v>
      </c>
      <c r="AA1004" s="1" t="str">
        <f t="shared" ca="1" si="75"/>
        <v>VENCIDO</v>
      </c>
      <c r="AB1004" s="1" t="str">
        <f t="shared" si="76"/>
        <v>Dosa</v>
      </c>
      <c r="AC1004" s="2" t="str">
        <f t="shared" si="77"/>
        <v xml:space="preserve"> RINALDO </v>
      </c>
      <c r="AD1004" s="2">
        <f t="shared" si="78"/>
        <v>5</v>
      </c>
      <c r="AE1004" s="2">
        <f t="shared" ca="1" si="79"/>
        <v>-53.926271643518703</v>
      </c>
    </row>
    <row r="1005" spans="1:31" hidden="1">
      <c r="A1005" s="1">
        <v>9299279</v>
      </c>
      <c r="B1005" s="1" t="s">
        <v>101</v>
      </c>
      <c r="C1005" t="s">
        <v>1761</v>
      </c>
      <c r="E1005" s="2">
        <v>550000206001</v>
      </c>
      <c r="F1005" s="1" t="s">
        <v>29</v>
      </c>
      <c r="G1005" s="1" t="s">
        <v>53</v>
      </c>
      <c r="H1005" s="1" t="s">
        <v>337</v>
      </c>
      <c r="I1005" s="1" t="s">
        <v>338</v>
      </c>
      <c r="J1005" s="1" t="s">
        <v>164</v>
      </c>
      <c r="K1005" t="s">
        <v>34</v>
      </c>
      <c r="M1005" s="1" t="s">
        <v>35</v>
      </c>
      <c r="N1005" s="1">
        <v>42318949</v>
      </c>
      <c r="O1005" s="1" t="s">
        <v>105</v>
      </c>
      <c r="P1005" s="11" t="s">
        <v>1806</v>
      </c>
      <c r="R1005" s="1" t="s">
        <v>38</v>
      </c>
      <c r="T1005" s="1" t="s">
        <v>74</v>
      </c>
      <c r="U1005" s="11" t="s">
        <v>1341</v>
      </c>
      <c r="V1005" s="1" t="s">
        <v>41</v>
      </c>
      <c r="W1005" s="1" t="s">
        <v>49</v>
      </c>
      <c r="X1005" s="13" t="str">
        <f>IF(RIGHT(H1005,2)&lt;&gt;"00",H1005,"")</f>
        <v/>
      </c>
      <c r="Y1005" s="2">
        <f ca="1">NETWORKDAYS(P1005,$Y$1)</f>
        <v>39</v>
      </c>
      <c r="Z1005" s="14">
        <v>1</v>
      </c>
      <c r="AA1005" s="1" t="str">
        <f t="shared" ca="1" si="75"/>
        <v>VENCIDO</v>
      </c>
      <c r="AB1005" s="1" t="str">
        <f t="shared" si="76"/>
        <v>Dosa</v>
      </c>
      <c r="AC1005" s="2" t="str">
        <f t="shared" si="77"/>
        <v xml:space="preserve"> ROSEMERE </v>
      </c>
      <c r="AD1005" s="2">
        <f t="shared" si="78"/>
        <v>5</v>
      </c>
      <c r="AE1005" s="2">
        <f t="shared" ca="1" si="79"/>
        <v>-53.926271643518703</v>
      </c>
    </row>
    <row r="1006" spans="1:31" hidden="1">
      <c r="A1006" s="1">
        <v>9299275</v>
      </c>
      <c r="B1006" s="1" t="s">
        <v>101</v>
      </c>
      <c r="C1006" t="s">
        <v>1761</v>
      </c>
      <c r="E1006" s="2">
        <v>537000206001</v>
      </c>
      <c r="F1006" s="1" t="s">
        <v>29</v>
      </c>
      <c r="G1006" s="1" t="s">
        <v>53</v>
      </c>
      <c r="H1006" s="1" t="s">
        <v>442</v>
      </c>
      <c r="I1006" s="1" t="s">
        <v>443</v>
      </c>
      <c r="J1006" s="1" t="s">
        <v>79</v>
      </c>
      <c r="K1006" t="s">
        <v>34</v>
      </c>
      <c r="M1006" s="1" t="s">
        <v>35</v>
      </c>
      <c r="N1006" s="1">
        <v>42318949</v>
      </c>
      <c r="O1006" s="1" t="s">
        <v>105</v>
      </c>
      <c r="P1006" s="11" t="s">
        <v>3034</v>
      </c>
      <c r="R1006" s="1" t="s">
        <v>38</v>
      </c>
      <c r="T1006" s="1" t="s">
        <v>74</v>
      </c>
      <c r="U1006" s="11" t="s">
        <v>1341</v>
      </c>
      <c r="V1006" s="1" t="s">
        <v>41</v>
      </c>
      <c r="W1006" s="1" t="s">
        <v>49</v>
      </c>
      <c r="X1006" s="13" t="str">
        <f>IF(RIGHT(H1006,2)&lt;&gt;"00",H1006,"")</f>
        <v/>
      </c>
      <c r="Y1006" s="2">
        <f ca="1">NETWORKDAYS(P1006,$Y$1)</f>
        <v>39</v>
      </c>
      <c r="Z1006" s="14">
        <v>1</v>
      </c>
      <c r="AA1006" s="1" t="str">
        <f t="shared" ca="1" si="75"/>
        <v>VENCIDO</v>
      </c>
      <c r="AB1006" s="1" t="str">
        <f t="shared" si="76"/>
        <v>Dosa</v>
      </c>
      <c r="AC1006" s="2" t="str">
        <f t="shared" si="77"/>
        <v xml:space="preserve"> ROSEMERE </v>
      </c>
      <c r="AD1006" s="2">
        <f t="shared" si="78"/>
        <v>5</v>
      </c>
      <c r="AE1006" s="2">
        <f t="shared" ca="1" si="79"/>
        <v>-53.926271643518703</v>
      </c>
    </row>
    <row r="1007" spans="1:31" hidden="1">
      <c r="A1007" s="1">
        <v>9299274</v>
      </c>
      <c r="B1007" s="1" t="s">
        <v>101</v>
      </c>
      <c r="C1007" t="s">
        <v>1761</v>
      </c>
      <c r="E1007" s="2">
        <v>537000206001</v>
      </c>
      <c r="F1007" s="1" t="s">
        <v>29</v>
      </c>
      <c r="G1007" s="1" t="s">
        <v>53</v>
      </c>
      <c r="H1007" s="1" t="s">
        <v>442</v>
      </c>
      <c r="I1007" s="1" t="s">
        <v>443</v>
      </c>
      <c r="J1007" s="1" t="s">
        <v>79</v>
      </c>
      <c r="K1007" t="s">
        <v>34</v>
      </c>
      <c r="M1007" s="1" t="s">
        <v>35</v>
      </c>
      <c r="N1007" s="1">
        <v>42318949</v>
      </c>
      <c r="O1007" s="1" t="s">
        <v>105</v>
      </c>
      <c r="P1007" s="11" t="s">
        <v>3034</v>
      </c>
      <c r="R1007" s="1" t="s">
        <v>38</v>
      </c>
      <c r="T1007" s="1" t="s">
        <v>74</v>
      </c>
      <c r="U1007" s="11" t="s">
        <v>1341</v>
      </c>
      <c r="V1007" s="1" t="s">
        <v>41</v>
      </c>
      <c r="W1007" s="1" t="s">
        <v>49</v>
      </c>
      <c r="X1007" s="13" t="str">
        <f>IF(RIGHT(H1007,2)&lt;&gt;"00",H1007,"")</f>
        <v/>
      </c>
      <c r="Y1007" s="2">
        <f ca="1">NETWORKDAYS(P1007,$Y$1)</f>
        <v>39</v>
      </c>
      <c r="Z1007" s="14">
        <v>1</v>
      </c>
      <c r="AA1007" s="1" t="str">
        <f t="shared" ca="1" si="75"/>
        <v>VENCIDO</v>
      </c>
      <c r="AB1007" s="1" t="str">
        <f t="shared" si="76"/>
        <v>Dosa</v>
      </c>
      <c r="AC1007" s="2" t="str">
        <f t="shared" si="77"/>
        <v xml:space="preserve"> ROSEMERE </v>
      </c>
      <c r="AD1007" s="2">
        <f t="shared" si="78"/>
        <v>5</v>
      </c>
      <c r="AE1007" s="2">
        <f t="shared" ca="1" si="79"/>
        <v>-53.926271643518703</v>
      </c>
    </row>
    <row r="1008" spans="1:31" hidden="1">
      <c r="A1008" s="1">
        <v>9299223</v>
      </c>
      <c r="B1008" s="1" t="s">
        <v>101</v>
      </c>
      <c r="C1008" t="s">
        <v>1761</v>
      </c>
      <c r="E1008" s="2">
        <v>446000206001</v>
      </c>
      <c r="F1008" s="1" t="s">
        <v>29</v>
      </c>
      <c r="G1008" s="1" t="s">
        <v>53</v>
      </c>
      <c r="H1008" s="1" t="s">
        <v>432</v>
      </c>
      <c r="I1008" s="1" t="s">
        <v>433</v>
      </c>
      <c r="J1008" s="1" t="s">
        <v>110</v>
      </c>
      <c r="K1008" t="s">
        <v>34</v>
      </c>
      <c r="M1008" s="1" t="s">
        <v>35</v>
      </c>
      <c r="N1008" s="1">
        <v>42318949</v>
      </c>
      <c r="O1008" s="1" t="s">
        <v>105</v>
      </c>
      <c r="P1008" s="11" t="s">
        <v>1807</v>
      </c>
      <c r="R1008" s="1" t="s">
        <v>38</v>
      </c>
      <c r="T1008" s="1" t="s">
        <v>74</v>
      </c>
      <c r="U1008" s="11" t="s">
        <v>1341</v>
      </c>
      <c r="V1008" s="1" t="s">
        <v>41</v>
      </c>
      <c r="W1008" s="1" t="s">
        <v>49</v>
      </c>
      <c r="X1008" s="13" t="str">
        <f>IF(RIGHT(H1008,2)&lt;&gt;"00",H1008,"")</f>
        <v/>
      </c>
      <c r="Y1008" s="2">
        <f ca="1">NETWORKDAYS(P1008,$Y$1)</f>
        <v>39</v>
      </c>
      <c r="Z1008" s="14">
        <v>1</v>
      </c>
      <c r="AA1008" s="1" t="str">
        <f t="shared" ca="1" si="75"/>
        <v>VENCIDO</v>
      </c>
      <c r="AB1008" s="1" t="str">
        <f t="shared" si="76"/>
        <v>Dosa</v>
      </c>
      <c r="AC1008" s="2" t="str">
        <f t="shared" si="77"/>
        <v xml:space="preserve"> CRISTINA </v>
      </c>
      <c r="AD1008" s="2">
        <f t="shared" si="78"/>
        <v>5</v>
      </c>
      <c r="AE1008" s="2">
        <f t="shared" ca="1" si="79"/>
        <v>-53.926271643518703</v>
      </c>
    </row>
    <row r="1009" spans="1:31" hidden="1">
      <c r="A1009" s="1">
        <v>9299222</v>
      </c>
      <c r="B1009" s="1" t="s">
        <v>101</v>
      </c>
      <c r="C1009" t="s">
        <v>1761</v>
      </c>
      <c r="E1009" s="2">
        <v>446000206001</v>
      </c>
      <c r="F1009" s="1" t="s">
        <v>29</v>
      </c>
      <c r="G1009" s="1" t="s">
        <v>53</v>
      </c>
      <c r="H1009" s="1" t="s">
        <v>432</v>
      </c>
      <c r="I1009" s="1" t="s">
        <v>433</v>
      </c>
      <c r="J1009" s="1" t="s">
        <v>110</v>
      </c>
      <c r="K1009" t="s">
        <v>34</v>
      </c>
      <c r="M1009" s="1" t="s">
        <v>35</v>
      </c>
      <c r="N1009" s="1">
        <v>42318949</v>
      </c>
      <c r="O1009" s="1" t="s">
        <v>105</v>
      </c>
      <c r="P1009" s="11" t="s">
        <v>1807</v>
      </c>
      <c r="R1009" s="1" t="s">
        <v>38</v>
      </c>
      <c r="T1009" s="1" t="s">
        <v>74</v>
      </c>
      <c r="U1009" s="11" t="s">
        <v>1341</v>
      </c>
      <c r="V1009" s="1" t="s">
        <v>41</v>
      </c>
      <c r="W1009" s="1" t="s">
        <v>49</v>
      </c>
      <c r="X1009" s="13" t="str">
        <f>IF(RIGHT(H1009,2)&lt;&gt;"00",H1009,"")</f>
        <v/>
      </c>
      <c r="Y1009" s="2">
        <f ca="1">NETWORKDAYS(P1009,$Y$1)</f>
        <v>39</v>
      </c>
      <c r="Z1009" s="14">
        <v>1</v>
      </c>
      <c r="AA1009" s="1" t="str">
        <f t="shared" ca="1" si="75"/>
        <v>VENCIDO</v>
      </c>
      <c r="AB1009" s="1" t="str">
        <f t="shared" si="76"/>
        <v>Dosa</v>
      </c>
      <c r="AC1009" s="2" t="str">
        <f t="shared" si="77"/>
        <v xml:space="preserve"> CRISTINA </v>
      </c>
      <c r="AD1009" s="2">
        <f t="shared" si="78"/>
        <v>5</v>
      </c>
      <c r="AE1009" s="2">
        <f t="shared" ca="1" si="79"/>
        <v>-53.926271643518703</v>
      </c>
    </row>
    <row r="1010" spans="1:31" hidden="1">
      <c r="A1010" s="1">
        <v>9299221</v>
      </c>
      <c r="B1010" s="1" t="s">
        <v>101</v>
      </c>
      <c r="C1010" t="s">
        <v>1761</v>
      </c>
      <c r="E1010" s="2">
        <v>446000206001</v>
      </c>
      <c r="F1010" s="1" t="s">
        <v>29</v>
      </c>
      <c r="G1010" s="1" t="s">
        <v>53</v>
      </c>
      <c r="H1010" s="1" t="s">
        <v>432</v>
      </c>
      <c r="I1010" s="1" t="s">
        <v>433</v>
      </c>
      <c r="J1010" s="1" t="s">
        <v>110</v>
      </c>
      <c r="K1010" t="s">
        <v>34</v>
      </c>
      <c r="M1010" s="1" t="s">
        <v>35</v>
      </c>
      <c r="N1010" s="1">
        <v>42318949</v>
      </c>
      <c r="O1010" s="1" t="s">
        <v>105</v>
      </c>
      <c r="P1010" s="11" t="s">
        <v>1807</v>
      </c>
      <c r="R1010" s="1" t="s">
        <v>38</v>
      </c>
      <c r="T1010" s="1" t="s">
        <v>74</v>
      </c>
      <c r="U1010" s="11" t="s">
        <v>1341</v>
      </c>
      <c r="V1010" s="1" t="s">
        <v>41</v>
      </c>
      <c r="W1010" s="1" t="s">
        <v>49</v>
      </c>
      <c r="X1010" s="13" t="str">
        <f>IF(RIGHT(H1010,2)&lt;&gt;"00",H1010,"")</f>
        <v/>
      </c>
      <c r="Y1010" s="2">
        <f ca="1">NETWORKDAYS(P1010,$Y$1)</f>
        <v>39</v>
      </c>
      <c r="Z1010" s="14">
        <v>1</v>
      </c>
      <c r="AA1010" s="1" t="str">
        <f t="shared" ca="1" si="75"/>
        <v>VENCIDO</v>
      </c>
      <c r="AB1010" s="1" t="str">
        <f t="shared" si="76"/>
        <v>Dosa</v>
      </c>
      <c r="AC1010" s="2" t="str">
        <f t="shared" si="77"/>
        <v xml:space="preserve"> CRISTINA </v>
      </c>
      <c r="AD1010" s="2">
        <f t="shared" si="78"/>
        <v>5</v>
      </c>
      <c r="AE1010" s="2">
        <f t="shared" ca="1" si="79"/>
        <v>-53.926271643518703</v>
      </c>
    </row>
    <row r="1011" spans="1:31" hidden="1">
      <c r="A1011" s="1">
        <v>9299220</v>
      </c>
      <c r="B1011" s="1" t="s">
        <v>101</v>
      </c>
      <c r="C1011" t="s">
        <v>1761</v>
      </c>
      <c r="E1011" s="2">
        <v>446000206001</v>
      </c>
      <c r="F1011" s="1" t="s">
        <v>29</v>
      </c>
      <c r="G1011" s="1" t="s">
        <v>53</v>
      </c>
      <c r="H1011" s="1" t="s">
        <v>432</v>
      </c>
      <c r="I1011" s="1" t="s">
        <v>433</v>
      </c>
      <c r="J1011" s="1" t="s">
        <v>110</v>
      </c>
      <c r="K1011" t="s">
        <v>34</v>
      </c>
      <c r="M1011" s="1" t="s">
        <v>35</v>
      </c>
      <c r="N1011" s="1">
        <v>42318949</v>
      </c>
      <c r="O1011" s="1" t="s">
        <v>105</v>
      </c>
      <c r="P1011" s="11" t="s">
        <v>1807</v>
      </c>
      <c r="R1011" s="1" t="s">
        <v>38</v>
      </c>
      <c r="T1011" s="1" t="s">
        <v>74</v>
      </c>
      <c r="U1011" s="11" t="s">
        <v>1341</v>
      </c>
      <c r="V1011" s="1" t="s">
        <v>41</v>
      </c>
      <c r="W1011" s="1" t="s">
        <v>49</v>
      </c>
      <c r="X1011" s="13" t="str">
        <f>IF(RIGHT(H1011,2)&lt;&gt;"00",H1011,"")</f>
        <v/>
      </c>
      <c r="Y1011" s="2">
        <f ca="1">NETWORKDAYS(P1011,$Y$1)</f>
        <v>39</v>
      </c>
      <c r="Z1011" s="14">
        <v>1</v>
      </c>
      <c r="AA1011" s="1" t="str">
        <f t="shared" ca="1" si="75"/>
        <v>VENCIDO</v>
      </c>
      <c r="AB1011" s="1" t="str">
        <f t="shared" si="76"/>
        <v>Dosa</v>
      </c>
      <c r="AC1011" s="2" t="str">
        <f t="shared" si="77"/>
        <v xml:space="preserve"> CRISTINA </v>
      </c>
      <c r="AD1011" s="2">
        <f t="shared" si="78"/>
        <v>5</v>
      </c>
      <c r="AE1011" s="2">
        <f t="shared" ca="1" si="79"/>
        <v>-53.926271643518703</v>
      </c>
    </row>
    <row r="1012" spans="1:31" hidden="1">
      <c r="A1012" s="1">
        <v>9299075</v>
      </c>
      <c r="B1012" s="1" t="s">
        <v>101</v>
      </c>
      <c r="C1012" t="s">
        <v>1761</v>
      </c>
      <c r="E1012" s="2">
        <v>246000206001</v>
      </c>
      <c r="F1012" s="1" t="s">
        <v>29</v>
      </c>
      <c r="G1012" s="1" t="s">
        <v>53</v>
      </c>
      <c r="H1012" s="1" t="s">
        <v>1193</v>
      </c>
      <c r="I1012" s="1" t="s">
        <v>1194</v>
      </c>
      <c r="J1012" s="1" t="s">
        <v>85</v>
      </c>
      <c r="K1012" t="s">
        <v>34</v>
      </c>
      <c r="M1012" s="1" t="s">
        <v>35</v>
      </c>
      <c r="N1012" s="1">
        <v>42318949</v>
      </c>
      <c r="O1012" s="1" t="s">
        <v>105</v>
      </c>
      <c r="P1012" s="48">
        <v>44932.477048611108</v>
      </c>
      <c r="R1012" s="1" t="s">
        <v>38</v>
      </c>
      <c r="T1012" s="1" t="s">
        <v>74</v>
      </c>
      <c r="U1012" s="11" t="s">
        <v>1341</v>
      </c>
      <c r="V1012" s="1" t="s">
        <v>41</v>
      </c>
      <c r="W1012" s="1" t="s">
        <v>49</v>
      </c>
      <c r="X1012" s="13" t="str">
        <f>IF(RIGHT(H1012,2)&lt;&gt;"00",H1012,"")</f>
        <v/>
      </c>
      <c r="Y1012" s="2">
        <f ca="1">NETWORKDAYS(P1012,$Y$1)</f>
        <v>39</v>
      </c>
      <c r="Z1012" s="14">
        <v>1</v>
      </c>
      <c r="AA1012" s="1" t="str">
        <f t="shared" ca="1" si="75"/>
        <v>VENCIDO</v>
      </c>
      <c r="AB1012" s="1" t="str">
        <f t="shared" si="76"/>
        <v>Dosa</v>
      </c>
      <c r="AC1012" s="2" t="str">
        <f t="shared" si="77"/>
        <v xml:space="preserve"> RINALDO </v>
      </c>
      <c r="AD1012" s="2">
        <f t="shared" si="78"/>
        <v>5</v>
      </c>
      <c r="AE1012" s="2">
        <f t="shared" ca="1" si="79"/>
        <v>-53.926271643518703</v>
      </c>
    </row>
    <row r="1013" spans="1:31" hidden="1">
      <c r="A1013" s="1">
        <v>9299074</v>
      </c>
      <c r="B1013" s="1" t="s">
        <v>101</v>
      </c>
      <c r="C1013" t="s">
        <v>1761</v>
      </c>
      <c r="E1013" s="2">
        <v>246000206001</v>
      </c>
      <c r="F1013" s="1" t="s">
        <v>29</v>
      </c>
      <c r="G1013" s="1" t="s">
        <v>53</v>
      </c>
      <c r="H1013" s="1" t="s">
        <v>1193</v>
      </c>
      <c r="I1013" s="1" t="s">
        <v>1194</v>
      </c>
      <c r="J1013" s="1" t="s">
        <v>85</v>
      </c>
      <c r="K1013" t="s">
        <v>34</v>
      </c>
      <c r="M1013" s="1" t="s">
        <v>35</v>
      </c>
      <c r="N1013" s="1">
        <v>42318949</v>
      </c>
      <c r="O1013" s="1" t="s">
        <v>105</v>
      </c>
      <c r="P1013" s="48">
        <v>44932.477048611108</v>
      </c>
      <c r="R1013" s="1" t="s">
        <v>38</v>
      </c>
      <c r="T1013" s="1" t="s">
        <v>74</v>
      </c>
      <c r="U1013" s="11" t="s">
        <v>1341</v>
      </c>
      <c r="V1013" s="1" t="s">
        <v>41</v>
      </c>
      <c r="W1013" s="1" t="s">
        <v>49</v>
      </c>
      <c r="X1013" s="13" t="str">
        <f>IF(RIGHT(H1013,2)&lt;&gt;"00",H1013,"")</f>
        <v/>
      </c>
      <c r="Y1013" s="2">
        <f ca="1">NETWORKDAYS(P1013,$Y$1)</f>
        <v>39</v>
      </c>
      <c r="Z1013" s="14">
        <v>1</v>
      </c>
      <c r="AA1013" s="1" t="str">
        <f t="shared" ca="1" si="75"/>
        <v>VENCIDO</v>
      </c>
      <c r="AB1013" s="1" t="str">
        <f t="shared" si="76"/>
        <v>Dosa</v>
      </c>
      <c r="AC1013" s="2" t="str">
        <f t="shared" si="77"/>
        <v xml:space="preserve"> RINALDO </v>
      </c>
      <c r="AD1013" s="2">
        <f t="shared" si="78"/>
        <v>5</v>
      </c>
      <c r="AE1013" s="2">
        <f t="shared" ca="1" si="79"/>
        <v>-53.926271643518703</v>
      </c>
    </row>
    <row r="1014" spans="1:31" hidden="1">
      <c r="A1014" s="1">
        <v>9299073</v>
      </c>
      <c r="B1014" s="1" t="s">
        <v>101</v>
      </c>
      <c r="C1014" t="s">
        <v>1761</v>
      </c>
      <c r="E1014" s="2">
        <v>246000206001</v>
      </c>
      <c r="F1014" s="1" t="s">
        <v>29</v>
      </c>
      <c r="G1014" s="1" t="s">
        <v>53</v>
      </c>
      <c r="H1014" s="1" t="s">
        <v>1193</v>
      </c>
      <c r="I1014" s="1" t="s">
        <v>1194</v>
      </c>
      <c r="J1014" s="1" t="s">
        <v>85</v>
      </c>
      <c r="K1014" t="s">
        <v>34</v>
      </c>
      <c r="M1014" s="1" t="s">
        <v>35</v>
      </c>
      <c r="N1014" s="1">
        <v>42318949</v>
      </c>
      <c r="O1014" s="1" t="s">
        <v>105</v>
      </c>
      <c r="P1014" s="48">
        <v>44932.477048611108</v>
      </c>
      <c r="R1014" s="1" t="s">
        <v>38</v>
      </c>
      <c r="T1014" s="1" t="s">
        <v>74</v>
      </c>
      <c r="U1014" s="11" t="s">
        <v>1341</v>
      </c>
      <c r="V1014" s="1" t="s">
        <v>41</v>
      </c>
      <c r="W1014" s="1" t="s">
        <v>49</v>
      </c>
      <c r="X1014" s="13" t="str">
        <f>IF(RIGHT(H1014,2)&lt;&gt;"00",H1014,"")</f>
        <v/>
      </c>
      <c r="Y1014" s="2">
        <f ca="1">NETWORKDAYS(P1014,$Y$1)</f>
        <v>39</v>
      </c>
      <c r="Z1014" s="14">
        <v>1</v>
      </c>
      <c r="AA1014" s="1" t="str">
        <f t="shared" ca="1" si="75"/>
        <v>VENCIDO</v>
      </c>
      <c r="AB1014" s="1" t="str">
        <f t="shared" si="76"/>
        <v>Dosa</v>
      </c>
      <c r="AC1014" s="2" t="str">
        <f t="shared" si="77"/>
        <v xml:space="preserve"> RINALDO </v>
      </c>
      <c r="AD1014" s="2">
        <f t="shared" si="78"/>
        <v>5</v>
      </c>
      <c r="AE1014" s="2">
        <f t="shared" ca="1" si="79"/>
        <v>-53.926271643518703</v>
      </c>
    </row>
    <row r="1015" spans="1:31" hidden="1">
      <c r="A1015" s="1">
        <v>9299072</v>
      </c>
      <c r="B1015" s="1" t="s">
        <v>101</v>
      </c>
      <c r="C1015" t="s">
        <v>1761</v>
      </c>
      <c r="E1015" s="2">
        <v>246000206001</v>
      </c>
      <c r="F1015" s="1" t="s">
        <v>29</v>
      </c>
      <c r="G1015" s="1" t="s">
        <v>53</v>
      </c>
      <c r="H1015" s="1" t="s">
        <v>1193</v>
      </c>
      <c r="I1015" s="1" t="s">
        <v>1194</v>
      </c>
      <c r="J1015" s="1" t="s">
        <v>85</v>
      </c>
      <c r="K1015" t="s">
        <v>34</v>
      </c>
      <c r="M1015" s="1" t="s">
        <v>35</v>
      </c>
      <c r="N1015" s="1">
        <v>42318949</v>
      </c>
      <c r="O1015" s="1" t="s">
        <v>105</v>
      </c>
      <c r="P1015" s="48">
        <v>44932.477048611108</v>
      </c>
      <c r="R1015" s="1" t="s">
        <v>38</v>
      </c>
      <c r="T1015" s="1" t="s">
        <v>74</v>
      </c>
      <c r="U1015" s="11" t="s">
        <v>1341</v>
      </c>
      <c r="V1015" s="1" t="s">
        <v>41</v>
      </c>
      <c r="W1015" s="1" t="s">
        <v>49</v>
      </c>
      <c r="X1015" s="13" t="str">
        <f>IF(RIGHT(H1015,2)&lt;&gt;"00",H1015,"")</f>
        <v/>
      </c>
      <c r="Y1015" s="2">
        <f ca="1">NETWORKDAYS(P1015,$Y$1)</f>
        <v>39</v>
      </c>
      <c r="Z1015" s="14">
        <v>1</v>
      </c>
      <c r="AA1015" s="1" t="str">
        <f t="shared" ca="1" si="75"/>
        <v>VENCIDO</v>
      </c>
      <c r="AB1015" s="1" t="str">
        <f t="shared" si="76"/>
        <v>Dosa</v>
      </c>
      <c r="AC1015" s="2" t="str">
        <f t="shared" si="77"/>
        <v xml:space="preserve"> RINALDO </v>
      </c>
      <c r="AD1015" s="2">
        <f t="shared" si="78"/>
        <v>5</v>
      </c>
      <c r="AE1015" s="2">
        <f t="shared" ca="1" si="79"/>
        <v>-53.926271643518703</v>
      </c>
    </row>
    <row r="1016" spans="1:31" hidden="1">
      <c r="A1016" s="1">
        <v>9299071</v>
      </c>
      <c r="B1016" s="1" t="s">
        <v>101</v>
      </c>
      <c r="C1016" t="s">
        <v>1761</v>
      </c>
      <c r="E1016" s="2">
        <v>244000206001</v>
      </c>
      <c r="F1016" s="1" t="s">
        <v>29</v>
      </c>
      <c r="G1016" s="1" t="s">
        <v>53</v>
      </c>
      <c r="H1016" s="1" t="s">
        <v>313</v>
      </c>
      <c r="I1016" s="1" t="s">
        <v>314</v>
      </c>
      <c r="J1016" s="1" t="s">
        <v>56</v>
      </c>
      <c r="K1016" t="s">
        <v>34</v>
      </c>
      <c r="M1016" s="1" t="s">
        <v>35</v>
      </c>
      <c r="N1016" s="1">
        <v>42318949</v>
      </c>
      <c r="O1016" s="1" t="s">
        <v>105</v>
      </c>
      <c r="P1016" s="48">
        <v>44932.477037037039</v>
      </c>
      <c r="R1016" s="1" t="s">
        <v>38</v>
      </c>
      <c r="T1016" s="1" t="s">
        <v>74</v>
      </c>
      <c r="U1016" s="11" t="s">
        <v>1341</v>
      </c>
      <c r="V1016" s="1" t="s">
        <v>41</v>
      </c>
      <c r="W1016" s="1" t="s">
        <v>49</v>
      </c>
      <c r="X1016" s="13" t="str">
        <f>IF(RIGHT(H1016,2)&lt;&gt;"00",H1016,"")</f>
        <v/>
      </c>
      <c r="Y1016" s="2">
        <f ca="1">NETWORKDAYS(P1016,$Y$1)</f>
        <v>39</v>
      </c>
      <c r="Z1016" s="14">
        <v>1</v>
      </c>
      <c r="AA1016" s="1" t="str">
        <f t="shared" ca="1" si="75"/>
        <v>VENCIDO</v>
      </c>
      <c r="AB1016" s="1" t="str">
        <f t="shared" si="76"/>
        <v>Dosa</v>
      </c>
      <c r="AC1016" s="2" t="str">
        <f t="shared" si="77"/>
        <v xml:space="preserve"> CRISTINA </v>
      </c>
      <c r="AD1016" s="2">
        <f t="shared" si="78"/>
        <v>5</v>
      </c>
      <c r="AE1016" s="2">
        <f t="shared" ca="1" si="79"/>
        <v>-53.926271643518703</v>
      </c>
    </row>
    <row r="1017" spans="1:31" hidden="1">
      <c r="A1017" s="1">
        <v>9299059</v>
      </c>
      <c r="B1017" s="1" t="s">
        <v>101</v>
      </c>
      <c r="C1017" t="s">
        <v>1761</v>
      </c>
      <c r="E1017" s="2">
        <v>220000206001</v>
      </c>
      <c r="F1017" s="1" t="s">
        <v>29</v>
      </c>
      <c r="G1017" s="1" t="s">
        <v>53</v>
      </c>
      <c r="H1017" s="1" t="s">
        <v>588</v>
      </c>
      <c r="I1017" s="1" t="s">
        <v>589</v>
      </c>
      <c r="J1017" s="1" t="s">
        <v>110</v>
      </c>
      <c r="K1017" t="s">
        <v>34</v>
      </c>
      <c r="M1017" s="1" t="s">
        <v>35</v>
      </c>
      <c r="N1017" s="1">
        <v>42318949</v>
      </c>
      <c r="O1017" s="1" t="s">
        <v>105</v>
      </c>
      <c r="P1017" s="48">
        <v>44932.477025462962</v>
      </c>
      <c r="R1017" s="1" t="s">
        <v>38</v>
      </c>
      <c r="T1017" s="1" t="s">
        <v>74</v>
      </c>
      <c r="U1017" s="11" t="s">
        <v>1341</v>
      </c>
      <c r="V1017" s="1" t="s">
        <v>41</v>
      </c>
      <c r="W1017" s="1" t="s">
        <v>49</v>
      </c>
      <c r="X1017" s="13" t="str">
        <f>IF(RIGHT(H1017,2)&lt;&gt;"00",H1017,"")</f>
        <v/>
      </c>
      <c r="Y1017" s="2">
        <f ca="1">NETWORKDAYS(P1017,$Y$1)</f>
        <v>39</v>
      </c>
      <c r="Z1017" s="14">
        <v>1</v>
      </c>
      <c r="AA1017" s="1" t="str">
        <f t="shared" ca="1" si="75"/>
        <v>VENCIDO</v>
      </c>
      <c r="AB1017" s="1" t="str">
        <f t="shared" si="76"/>
        <v>Dosa</v>
      </c>
      <c r="AC1017" s="2" t="str">
        <f t="shared" si="77"/>
        <v xml:space="preserve"> CRISTINA </v>
      </c>
      <c r="AD1017" s="2">
        <f t="shared" si="78"/>
        <v>5</v>
      </c>
      <c r="AE1017" s="2">
        <f t="shared" ca="1" si="79"/>
        <v>-53.926271643518703</v>
      </c>
    </row>
    <row r="1018" spans="1:31" hidden="1">
      <c r="A1018" s="1">
        <v>9299058</v>
      </c>
      <c r="B1018" s="1" t="s">
        <v>101</v>
      </c>
      <c r="C1018" t="s">
        <v>1761</v>
      </c>
      <c r="E1018" s="2">
        <v>220000206001</v>
      </c>
      <c r="F1018" s="1" t="s">
        <v>29</v>
      </c>
      <c r="G1018" s="1" t="s">
        <v>53</v>
      </c>
      <c r="H1018" s="1" t="s">
        <v>588</v>
      </c>
      <c r="I1018" s="1" t="s">
        <v>589</v>
      </c>
      <c r="J1018" s="1" t="s">
        <v>110</v>
      </c>
      <c r="K1018" t="s">
        <v>34</v>
      </c>
      <c r="M1018" s="1" t="s">
        <v>35</v>
      </c>
      <c r="N1018" s="1">
        <v>42318949</v>
      </c>
      <c r="O1018" s="1" t="s">
        <v>105</v>
      </c>
      <c r="P1018" s="48">
        <v>44932.477025462962</v>
      </c>
      <c r="R1018" s="1" t="s">
        <v>38</v>
      </c>
      <c r="T1018" s="1" t="s">
        <v>74</v>
      </c>
      <c r="U1018" s="11" t="s">
        <v>1341</v>
      </c>
      <c r="V1018" s="1" t="s">
        <v>41</v>
      </c>
      <c r="W1018" s="1" t="s">
        <v>49</v>
      </c>
      <c r="X1018" s="13" t="str">
        <f>IF(RIGHT(H1018,2)&lt;&gt;"00",H1018,"")</f>
        <v/>
      </c>
      <c r="Y1018" s="2">
        <f ca="1">NETWORKDAYS(P1018,$Y$1)</f>
        <v>39</v>
      </c>
      <c r="Z1018" s="14">
        <v>1</v>
      </c>
      <c r="AA1018" s="1" t="str">
        <f t="shared" ca="1" si="75"/>
        <v>VENCIDO</v>
      </c>
      <c r="AB1018" s="1" t="str">
        <f t="shared" si="76"/>
        <v>Dosa</v>
      </c>
      <c r="AC1018" s="2" t="str">
        <f t="shared" si="77"/>
        <v xml:space="preserve"> CRISTINA </v>
      </c>
      <c r="AD1018" s="2">
        <f t="shared" si="78"/>
        <v>5</v>
      </c>
      <c r="AE1018" s="2">
        <f t="shared" ca="1" si="79"/>
        <v>-53.926271643518703</v>
      </c>
    </row>
    <row r="1019" spans="1:31" hidden="1">
      <c r="A1019" s="1">
        <v>9299057</v>
      </c>
      <c r="B1019" s="1" t="s">
        <v>101</v>
      </c>
      <c r="C1019" t="s">
        <v>1761</v>
      </c>
      <c r="E1019" s="2">
        <v>220000206001</v>
      </c>
      <c r="F1019" s="1" t="s">
        <v>29</v>
      </c>
      <c r="G1019" s="1" t="s">
        <v>53</v>
      </c>
      <c r="H1019" s="1" t="s">
        <v>588</v>
      </c>
      <c r="I1019" s="1" t="s">
        <v>589</v>
      </c>
      <c r="J1019" s="1" t="s">
        <v>110</v>
      </c>
      <c r="K1019" t="s">
        <v>34</v>
      </c>
      <c r="M1019" s="1" t="s">
        <v>35</v>
      </c>
      <c r="N1019" s="1">
        <v>42318949</v>
      </c>
      <c r="O1019" s="1" t="s">
        <v>105</v>
      </c>
      <c r="P1019" s="48">
        <v>44932.477025462962</v>
      </c>
      <c r="R1019" s="1" t="s">
        <v>38</v>
      </c>
      <c r="T1019" s="1" t="s">
        <v>74</v>
      </c>
      <c r="U1019" s="11" t="s">
        <v>1341</v>
      </c>
      <c r="V1019" s="1" t="s">
        <v>41</v>
      </c>
      <c r="W1019" s="1" t="s">
        <v>49</v>
      </c>
      <c r="X1019" s="13" t="str">
        <f>IF(RIGHT(H1019,2)&lt;&gt;"00",H1019,"")</f>
        <v/>
      </c>
      <c r="Y1019" s="2">
        <f ca="1">NETWORKDAYS(P1019,$Y$1)</f>
        <v>39</v>
      </c>
      <c r="Z1019" s="14">
        <v>1</v>
      </c>
      <c r="AA1019" s="1" t="str">
        <f t="shared" ca="1" si="75"/>
        <v>VENCIDO</v>
      </c>
      <c r="AB1019" s="1" t="str">
        <f t="shared" si="76"/>
        <v>Dosa</v>
      </c>
      <c r="AC1019" s="2" t="str">
        <f t="shared" si="77"/>
        <v xml:space="preserve"> CRISTINA </v>
      </c>
      <c r="AD1019" s="2">
        <f t="shared" si="78"/>
        <v>5</v>
      </c>
      <c r="AE1019" s="2">
        <f t="shared" ca="1" si="79"/>
        <v>-53.926271643518703</v>
      </c>
    </row>
    <row r="1020" spans="1:31" hidden="1">
      <c r="A1020" s="1">
        <v>9299056</v>
      </c>
      <c r="B1020" s="1" t="s">
        <v>101</v>
      </c>
      <c r="C1020" t="s">
        <v>1761</v>
      </c>
      <c r="E1020" s="2">
        <v>220000206001</v>
      </c>
      <c r="F1020" s="1" t="s">
        <v>29</v>
      </c>
      <c r="G1020" s="1" t="s">
        <v>53</v>
      </c>
      <c r="H1020" s="1" t="s">
        <v>588</v>
      </c>
      <c r="I1020" s="1" t="s">
        <v>589</v>
      </c>
      <c r="J1020" s="1" t="s">
        <v>110</v>
      </c>
      <c r="K1020" t="s">
        <v>34</v>
      </c>
      <c r="M1020" s="1" t="s">
        <v>35</v>
      </c>
      <c r="N1020" s="1">
        <v>42318949</v>
      </c>
      <c r="O1020" s="1" t="s">
        <v>105</v>
      </c>
      <c r="P1020" s="48">
        <v>44932.477025462962</v>
      </c>
      <c r="R1020" s="1" t="s">
        <v>38</v>
      </c>
      <c r="T1020" s="1" t="s">
        <v>74</v>
      </c>
      <c r="U1020" s="11" t="s">
        <v>1341</v>
      </c>
      <c r="V1020" s="1" t="s">
        <v>41</v>
      </c>
      <c r="W1020" s="1" t="s">
        <v>49</v>
      </c>
      <c r="X1020" s="13" t="str">
        <f>IF(RIGHT(H1020,2)&lt;&gt;"00",H1020,"")</f>
        <v/>
      </c>
      <c r="Y1020" s="2">
        <f ca="1">NETWORKDAYS(P1020,$Y$1)</f>
        <v>39</v>
      </c>
      <c r="Z1020" s="14">
        <v>1</v>
      </c>
      <c r="AA1020" s="1" t="str">
        <f t="shared" ref="AA1020:AA1083" ca="1" si="80">IF(AE1020=0,"HOJE",IF(AE1020&gt;0,"A VENCER",IF(AE1020&lt;0,"VENCIDO")))</f>
        <v>VENCIDO</v>
      </c>
      <c r="AB1020" s="1" t="str">
        <f t="shared" ref="AB1020:AB1083" si="81">IF(F1020="GRPE-000001","C-14",IF(F1020="GRPE-000002","C-14",IF(F1020="GRPE-000003","C-14",IF(F1020="GRPE-000004","SL-On",IF(F1020="GRPE-000038","C-14",IF(F1020="GRPE-900022","Dosa",IF(F1020="GRPE-000029","Dosa",IF(F1020="ATOS-000222","Dose","TAAe+"))))))))</f>
        <v>Dosa</v>
      </c>
      <c r="AC1020" s="2" t="str">
        <f t="shared" ref="AC1020:AC1083" si="82">IF(J1020="TR-PETROLINA"," ROSEMERE ",IF(J1020="TR-GARANHUNS"," ROSEMERE ",IF(J1020="TR-CARUARU"," ROSEMERE ",IF(J1020="TR-RIBEIRAO"," CRISTINA ",IF(J1020="TR-GRAVATA"," CRISTINA ",IF(J1020="TR-GOIANA"," CRISTINA ",IF(J1020="TR-LIMOEIRO"," CRISTINA ",IF(J1020="TR-SERRA TALHADA"," RINALDO ",IF(J1020="TR-SALGUEIRO"," RINALDO ",IF(J1020="TR-CARNAIBA"," RINALDO ",IF(J1020="TR-ARCOVERDE"," RINALDO ",IF(J1020="CAT-RECIFE"," CLEITON ",))))))))))))</f>
        <v xml:space="preserve"> CRISTINA </v>
      </c>
      <c r="AD1020" s="2">
        <f t="shared" ref="AD1020:AD1083" si="83">IF(F1020="GRPE-000001",5,IF(F1020="GRPE-000002",5,IF(F1020="GRPE-000003",15,IF(F1020="GRPE-000004",1,IF(F1020="GRPE-000038",5,IF(F1020="GRPE-900022",5,IF(F1020="GRPE-000029",5,IF(F1020="ATOS-000222",5,8))))))))</f>
        <v>5</v>
      </c>
      <c r="AE1020" s="2">
        <f t="shared" ref="AE1020:AE1083" ca="1" si="84">IF(U1020=$AE$1,"",U1020-$AE$1)</f>
        <v>-53.926271643518703</v>
      </c>
    </row>
    <row r="1021" spans="1:31" hidden="1">
      <c r="A1021" s="1">
        <v>9299055</v>
      </c>
      <c r="B1021" s="1" t="s">
        <v>101</v>
      </c>
      <c r="C1021" t="s">
        <v>1761</v>
      </c>
      <c r="E1021" s="2">
        <v>220000206001</v>
      </c>
      <c r="F1021" s="1" t="s">
        <v>29</v>
      </c>
      <c r="G1021" s="1" t="s">
        <v>53</v>
      </c>
      <c r="H1021" s="1" t="s">
        <v>588</v>
      </c>
      <c r="I1021" s="1" t="s">
        <v>589</v>
      </c>
      <c r="J1021" s="1" t="s">
        <v>110</v>
      </c>
      <c r="K1021" t="s">
        <v>34</v>
      </c>
      <c r="M1021" s="1" t="s">
        <v>35</v>
      </c>
      <c r="N1021" s="1">
        <v>42318949</v>
      </c>
      <c r="O1021" s="1" t="s">
        <v>105</v>
      </c>
      <c r="P1021" s="11" t="s">
        <v>3599</v>
      </c>
      <c r="R1021" s="1" t="s">
        <v>38</v>
      </c>
      <c r="T1021" s="1" t="s">
        <v>74</v>
      </c>
      <c r="U1021" s="11" t="s">
        <v>1341</v>
      </c>
      <c r="V1021" s="1" t="s">
        <v>41</v>
      </c>
      <c r="W1021" s="1" t="s">
        <v>49</v>
      </c>
      <c r="X1021" s="13" t="str">
        <f>IF(RIGHT(H1021,2)&lt;&gt;"00",H1021,"")</f>
        <v/>
      </c>
      <c r="Y1021" s="2">
        <f ca="1">NETWORKDAYS(P1021,$Y$1)</f>
        <v>39</v>
      </c>
      <c r="Z1021" s="14">
        <v>1</v>
      </c>
      <c r="AA1021" s="1" t="str">
        <f t="shared" ca="1" si="80"/>
        <v>VENCIDO</v>
      </c>
      <c r="AB1021" s="1" t="str">
        <f t="shared" si="81"/>
        <v>Dosa</v>
      </c>
      <c r="AC1021" s="2" t="str">
        <f t="shared" si="82"/>
        <v xml:space="preserve"> CRISTINA </v>
      </c>
      <c r="AD1021" s="2">
        <f t="shared" si="83"/>
        <v>5</v>
      </c>
      <c r="AE1021" s="2">
        <f t="shared" ca="1" si="84"/>
        <v>-53.926271643518703</v>
      </c>
    </row>
    <row r="1022" spans="1:31" hidden="1">
      <c r="A1022" s="181">
        <v>9298529</v>
      </c>
      <c r="B1022" s="181" t="s">
        <v>101</v>
      </c>
      <c r="C1022" s="182" t="s">
        <v>3600</v>
      </c>
      <c r="D1022" s="183"/>
      <c r="E1022" s="183">
        <v>9705000206001</v>
      </c>
      <c r="F1022" s="181" t="s">
        <v>29</v>
      </c>
      <c r="G1022" s="181" t="s">
        <v>53</v>
      </c>
      <c r="H1022" s="181" t="s">
        <v>204</v>
      </c>
      <c r="I1022" s="181" t="s">
        <v>205</v>
      </c>
      <c r="J1022" s="181" t="s">
        <v>90</v>
      </c>
      <c r="K1022" t="s">
        <v>34</v>
      </c>
      <c r="M1022" s="1" t="s">
        <v>35</v>
      </c>
      <c r="N1022" s="1">
        <v>42318949</v>
      </c>
      <c r="O1022" s="1" t="s">
        <v>36</v>
      </c>
      <c r="P1022" s="11" t="s">
        <v>3601</v>
      </c>
      <c r="R1022" s="1" t="s">
        <v>38</v>
      </c>
      <c r="T1022" s="1" t="s">
        <v>74</v>
      </c>
      <c r="U1022" s="11" t="s">
        <v>1341</v>
      </c>
      <c r="V1022" s="1" t="s">
        <v>41</v>
      </c>
      <c r="W1022" s="1" t="s">
        <v>49</v>
      </c>
      <c r="X1022" s="13" t="str">
        <f>IF(RIGHT(H1022,2)&lt;&gt;"00",H1022,"")</f>
        <v/>
      </c>
      <c r="Y1022" s="2">
        <f ca="1">NETWORKDAYS(P1022,$Y$1)</f>
        <v>39</v>
      </c>
      <c r="Z1022" s="14">
        <v>1</v>
      </c>
      <c r="AA1022" s="1" t="str">
        <f t="shared" ca="1" si="80"/>
        <v>VENCIDO</v>
      </c>
      <c r="AB1022" s="1" t="str">
        <f t="shared" si="81"/>
        <v>Dosa</v>
      </c>
      <c r="AC1022" s="2" t="str">
        <f t="shared" si="82"/>
        <v xml:space="preserve"> RINALDO </v>
      </c>
      <c r="AD1022" s="2">
        <f t="shared" si="83"/>
        <v>5</v>
      </c>
      <c r="AE1022" s="2">
        <f t="shared" ca="1" si="84"/>
        <v>-53.926271643518703</v>
      </c>
    </row>
    <row r="1023" spans="1:31" hidden="1">
      <c r="A1023" s="1">
        <v>9298528</v>
      </c>
      <c r="B1023" s="1" t="s">
        <v>101</v>
      </c>
      <c r="C1023" t="s">
        <v>1810</v>
      </c>
      <c r="E1023" s="2">
        <v>9704000206001</v>
      </c>
      <c r="F1023" s="1" t="s">
        <v>29</v>
      </c>
      <c r="G1023" s="1" t="s">
        <v>53</v>
      </c>
      <c r="H1023" s="1" t="s">
        <v>488</v>
      </c>
      <c r="I1023" s="1" t="s">
        <v>489</v>
      </c>
      <c r="J1023" s="1" t="s">
        <v>164</v>
      </c>
      <c r="K1023" t="s">
        <v>34</v>
      </c>
      <c r="M1023" s="1" t="s">
        <v>35</v>
      </c>
      <c r="N1023" s="1">
        <v>42318949</v>
      </c>
      <c r="O1023" s="1" t="s">
        <v>105</v>
      </c>
      <c r="P1023" s="11" t="s">
        <v>3601</v>
      </c>
      <c r="R1023" s="1" t="s">
        <v>38</v>
      </c>
      <c r="T1023" s="1" t="s">
        <v>74</v>
      </c>
      <c r="U1023" s="11" t="s">
        <v>1341</v>
      </c>
      <c r="V1023" s="1" t="s">
        <v>41</v>
      </c>
      <c r="W1023" s="1" t="s">
        <v>49</v>
      </c>
      <c r="X1023" s="13" t="str">
        <f>IF(RIGHT(H1023,2)&lt;&gt;"00",H1023,"")</f>
        <v/>
      </c>
      <c r="Y1023" s="2">
        <f ca="1">NETWORKDAYS(P1023,$Y$1)</f>
        <v>39</v>
      </c>
      <c r="Z1023" s="14">
        <v>1</v>
      </c>
      <c r="AA1023" s="1" t="str">
        <f t="shared" ca="1" si="80"/>
        <v>VENCIDO</v>
      </c>
      <c r="AB1023" s="1" t="str">
        <f t="shared" si="81"/>
        <v>Dosa</v>
      </c>
      <c r="AC1023" s="2" t="str">
        <f t="shared" si="82"/>
        <v xml:space="preserve"> ROSEMERE </v>
      </c>
      <c r="AD1023" s="2">
        <f t="shared" si="83"/>
        <v>5</v>
      </c>
      <c r="AE1023" s="2">
        <f t="shared" ca="1" si="84"/>
        <v>-53.926271643518703</v>
      </c>
    </row>
    <row r="1024" spans="1:31" hidden="1">
      <c r="A1024" s="1">
        <v>9298527</v>
      </c>
      <c r="B1024" s="1" t="s">
        <v>101</v>
      </c>
      <c r="C1024" t="s">
        <v>1810</v>
      </c>
      <c r="E1024" s="2">
        <v>9700000206001</v>
      </c>
      <c r="F1024" s="1" t="s">
        <v>29</v>
      </c>
      <c r="G1024" s="1" t="s">
        <v>53</v>
      </c>
      <c r="H1024" s="1" t="s">
        <v>209</v>
      </c>
      <c r="I1024" s="1" t="s">
        <v>210</v>
      </c>
      <c r="J1024" s="1" t="s">
        <v>211</v>
      </c>
      <c r="K1024" t="s">
        <v>34</v>
      </c>
      <c r="M1024" s="1" t="s">
        <v>35</v>
      </c>
      <c r="N1024" s="1">
        <v>42318949</v>
      </c>
      <c r="O1024" s="1" t="s">
        <v>105</v>
      </c>
      <c r="P1024" s="11" t="s">
        <v>3601</v>
      </c>
      <c r="R1024" s="1" t="s">
        <v>38</v>
      </c>
      <c r="T1024" s="1" t="s">
        <v>74</v>
      </c>
      <c r="U1024" s="11" t="s">
        <v>1341</v>
      </c>
      <c r="V1024" s="1" t="s">
        <v>41</v>
      </c>
      <c r="W1024" s="1" t="s">
        <v>49</v>
      </c>
      <c r="X1024" s="13" t="str">
        <f>IF(RIGHT(H1024,2)&lt;&gt;"00",H1024,"")</f>
        <v/>
      </c>
      <c r="Y1024" s="2">
        <f ca="1">NETWORKDAYS(P1024,$Y$1)</f>
        <v>39</v>
      </c>
      <c r="Z1024" s="14">
        <v>1</v>
      </c>
      <c r="AA1024" s="1" t="str">
        <f t="shared" ca="1" si="80"/>
        <v>VENCIDO</v>
      </c>
      <c r="AB1024" s="1" t="str">
        <f t="shared" si="81"/>
        <v>Dosa</v>
      </c>
      <c r="AC1024" s="2" t="str">
        <f t="shared" si="82"/>
        <v xml:space="preserve"> RINALDO </v>
      </c>
      <c r="AD1024" s="2">
        <f t="shared" si="83"/>
        <v>5</v>
      </c>
      <c r="AE1024" s="2">
        <f t="shared" ca="1" si="84"/>
        <v>-53.926271643518703</v>
      </c>
    </row>
    <row r="1025" spans="1:31" hidden="1">
      <c r="A1025" s="1">
        <v>9298495</v>
      </c>
      <c r="B1025" s="1" t="s">
        <v>101</v>
      </c>
      <c r="C1025" t="s">
        <v>1810</v>
      </c>
      <c r="E1025" s="2">
        <v>9661000206001</v>
      </c>
      <c r="F1025" s="1" t="s">
        <v>29</v>
      </c>
      <c r="G1025" s="1" t="s">
        <v>53</v>
      </c>
      <c r="H1025" s="1" t="s">
        <v>31</v>
      </c>
      <c r="I1025" s="1" t="s">
        <v>32</v>
      </c>
      <c r="J1025" s="1" t="s">
        <v>33</v>
      </c>
      <c r="K1025" t="s">
        <v>34</v>
      </c>
      <c r="M1025" s="1" t="s">
        <v>35</v>
      </c>
      <c r="N1025" s="1">
        <v>42318949</v>
      </c>
      <c r="O1025" s="1" t="s">
        <v>105</v>
      </c>
      <c r="P1025" s="11" t="s">
        <v>3602</v>
      </c>
      <c r="R1025" s="1" t="s">
        <v>38</v>
      </c>
      <c r="T1025" s="1" t="s">
        <v>74</v>
      </c>
      <c r="U1025" s="11" t="s">
        <v>1341</v>
      </c>
      <c r="V1025" s="1" t="s">
        <v>41</v>
      </c>
      <c r="W1025" s="1" t="s">
        <v>42</v>
      </c>
      <c r="X1025" s="13" t="str">
        <f>IF(RIGHT(H1025,2)&lt;&gt;"00",H1025,"")</f>
        <v/>
      </c>
      <c r="Y1025" s="2">
        <f ca="1">NETWORKDAYS(P1025,$Y$1)</f>
        <v>39</v>
      </c>
      <c r="Z1025" s="14">
        <v>1</v>
      </c>
      <c r="AA1025" s="1" t="str">
        <f t="shared" ca="1" si="80"/>
        <v>VENCIDO</v>
      </c>
      <c r="AB1025" s="1" t="str">
        <f t="shared" si="81"/>
        <v>Dosa</v>
      </c>
      <c r="AC1025" s="2" t="str">
        <f t="shared" si="82"/>
        <v xml:space="preserve"> ROSEMERE </v>
      </c>
      <c r="AD1025" s="2">
        <f t="shared" si="83"/>
        <v>5</v>
      </c>
      <c r="AE1025" s="2">
        <f t="shared" ca="1" si="84"/>
        <v>-53.926271643518703</v>
      </c>
    </row>
    <row r="1026" spans="1:31" hidden="1">
      <c r="A1026" s="1">
        <v>9298454</v>
      </c>
      <c r="B1026" s="1" t="s">
        <v>101</v>
      </c>
      <c r="C1026" t="s">
        <v>1810</v>
      </c>
      <c r="E1026" s="2">
        <v>9406000206001</v>
      </c>
      <c r="F1026" s="1" t="s">
        <v>29</v>
      </c>
      <c r="G1026" s="1" t="s">
        <v>53</v>
      </c>
      <c r="H1026" s="1" t="s">
        <v>114</v>
      </c>
      <c r="I1026" s="1" t="s">
        <v>115</v>
      </c>
      <c r="J1026" s="1" t="s">
        <v>46</v>
      </c>
      <c r="K1026" t="s">
        <v>34</v>
      </c>
      <c r="M1026" s="1" t="s">
        <v>35</v>
      </c>
      <c r="N1026" s="1">
        <v>42318949</v>
      </c>
      <c r="O1026" s="1" t="s">
        <v>105</v>
      </c>
      <c r="P1026" s="11" t="s">
        <v>3603</v>
      </c>
      <c r="R1026" s="1" t="s">
        <v>38</v>
      </c>
      <c r="T1026" s="1" t="s">
        <v>74</v>
      </c>
      <c r="U1026" s="11" t="s">
        <v>1341</v>
      </c>
      <c r="V1026" s="1" t="s">
        <v>41</v>
      </c>
      <c r="W1026" s="1" t="s">
        <v>49</v>
      </c>
      <c r="X1026" s="13" t="str">
        <f>IF(RIGHT(H1026,2)&lt;&gt;"00",H1026,"")</f>
        <v/>
      </c>
      <c r="Y1026" s="2">
        <f ca="1">NETWORKDAYS(P1026,$Y$1)</f>
        <v>39</v>
      </c>
      <c r="Z1026" s="14">
        <v>1</v>
      </c>
      <c r="AA1026" s="1" t="str">
        <f t="shared" ca="1" si="80"/>
        <v>VENCIDO</v>
      </c>
      <c r="AB1026" s="1" t="str">
        <f t="shared" si="81"/>
        <v>Dosa</v>
      </c>
      <c r="AC1026" s="2" t="str">
        <f t="shared" si="82"/>
        <v xml:space="preserve"> CLEITON </v>
      </c>
      <c r="AD1026" s="2">
        <f t="shared" si="83"/>
        <v>5</v>
      </c>
      <c r="AE1026" s="2">
        <f t="shared" ca="1" si="84"/>
        <v>-53.926271643518703</v>
      </c>
    </row>
    <row r="1027" spans="1:31" hidden="1">
      <c r="A1027" s="1">
        <v>9298409</v>
      </c>
      <c r="B1027" s="1" t="s">
        <v>101</v>
      </c>
      <c r="C1027" t="s">
        <v>1810</v>
      </c>
      <c r="E1027" s="2">
        <v>8634000206001</v>
      </c>
      <c r="F1027" s="1" t="s">
        <v>29</v>
      </c>
      <c r="G1027" s="1" t="s">
        <v>53</v>
      </c>
      <c r="H1027" s="1" t="s">
        <v>293</v>
      </c>
      <c r="I1027" s="1" t="s">
        <v>294</v>
      </c>
      <c r="J1027" s="1" t="s">
        <v>46</v>
      </c>
      <c r="K1027" t="s">
        <v>34</v>
      </c>
      <c r="M1027" s="1" t="s">
        <v>35</v>
      </c>
      <c r="N1027" s="1">
        <v>42318949</v>
      </c>
      <c r="O1027" s="1" t="s">
        <v>105</v>
      </c>
      <c r="P1027" s="11" t="s">
        <v>3604</v>
      </c>
      <c r="R1027" s="1" t="s">
        <v>38</v>
      </c>
      <c r="T1027" s="1" t="s">
        <v>74</v>
      </c>
      <c r="U1027" s="11" t="s">
        <v>1341</v>
      </c>
      <c r="V1027" s="1" t="s">
        <v>41</v>
      </c>
      <c r="W1027" s="1" t="s">
        <v>49</v>
      </c>
      <c r="X1027" s="13" t="str">
        <f>IF(RIGHT(H1027,2)&lt;&gt;"00",H1027,"")</f>
        <v/>
      </c>
      <c r="Y1027" s="2">
        <f ca="1">NETWORKDAYS(P1027,$Y$1)</f>
        <v>39</v>
      </c>
      <c r="Z1027" s="14">
        <v>1</v>
      </c>
      <c r="AA1027" s="1" t="str">
        <f t="shared" ca="1" si="80"/>
        <v>VENCIDO</v>
      </c>
      <c r="AB1027" s="1" t="str">
        <f t="shared" si="81"/>
        <v>Dosa</v>
      </c>
      <c r="AC1027" s="2" t="str">
        <f t="shared" si="82"/>
        <v xml:space="preserve"> CLEITON </v>
      </c>
      <c r="AD1027" s="2">
        <f t="shared" si="83"/>
        <v>5</v>
      </c>
      <c r="AE1027" s="2">
        <f t="shared" ca="1" si="84"/>
        <v>-53.926271643518703</v>
      </c>
    </row>
    <row r="1028" spans="1:31" hidden="1">
      <c r="A1028" s="1">
        <v>9298408</v>
      </c>
      <c r="B1028" s="1" t="s">
        <v>101</v>
      </c>
      <c r="C1028" t="s">
        <v>1810</v>
      </c>
      <c r="E1028" s="2">
        <v>8633000206001</v>
      </c>
      <c r="F1028" s="1" t="s">
        <v>29</v>
      </c>
      <c r="G1028" s="1" t="s">
        <v>53</v>
      </c>
      <c r="H1028" s="1" t="s">
        <v>835</v>
      </c>
      <c r="I1028" s="1" t="s">
        <v>836</v>
      </c>
      <c r="J1028" s="1" t="s">
        <v>46</v>
      </c>
      <c r="K1028" t="s">
        <v>34</v>
      </c>
      <c r="M1028" s="1" t="s">
        <v>35</v>
      </c>
      <c r="N1028" s="1">
        <v>42318949</v>
      </c>
      <c r="O1028" s="1" t="s">
        <v>105</v>
      </c>
      <c r="P1028" s="11" t="s">
        <v>3605</v>
      </c>
      <c r="R1028" s="1" t="s">
        <v>38</v>
      </c>
      <c r="T1028" s="1" t="s">
        <v>74</v>
      </c>
      <c r="U1028" s="11" t="s">
        <v>1341</v>
      </c>
      <c r="V1028" s="1" t="s">
        <v>41</v>
      </c>
      <c r="W1028" s="1" t="s">
        <v>49</v>
      </c>
      <c r="X1028" s="13" t="str">
        <f>IF(RIGHT(H1028,2)&lt;&gt;"00",H1028,"")</f>
        <v/>
      </c>
      <c r="Y1028" s="2">
        <f ca="1">NETWORKDAYS(P1028,$Y$1)</f>
        <v>39</v>
      </c>
      <c r="Z1028" s="14">
        <v>1</v>
      </c>
      <c r="AA1028" s="1" t="str">
        <f t="shared" ca="1" si="80"/>
        <v>VENCIDO</v>
      </c>
      <c r="AB1028" s="1" t="str">
        <f t="shared" si="81"/>
        <v>Dosa</v>
      </c>
      <c r="AC1028" s="2" t="str">
        <f t="shared" si="82"/>
        <v xml:space="preserve"> CLEITON </v>
      </c>
      <c r="AD1028" s="2">
        <f t="shared" si="83"/>
        <v>5</v>
      </c>
      <c r="AE1028" s="2">
        <f t="shared" ca="1" si="84"/>
        <v>-53.926271643518703</v>
      </c>
    </row>
    <row r="1029" spans="1:31" hidden="1">
      <c r="A1029" s="1">
        <v>9298263</v>
      </c>
      <c r="B1029" s="1" t="s">
        <v>101</v>
      </c>
      <c r="C1029" t="s">
        <v>1810</v>
      </c>
      <c r="E1029" s="2">
        <v>8074000206001</v>
      </c>
      <c r="F1029" s="1" t="s">
        <v>29</v>
      </c>
      <c r="G1029" s="1" t="s">
        <v>53</v>
      </c>
      <c r="H1029" s="1" t="s">
        <v>1257</v>
      </c>
      <c r="I1029" s="1" t="s">
        <v>1258</v>
      </c>
      <c r="J1029" s="1" t="s">
        <v>33</v>
      </c>
      <c r="K1029" t="s">
        <v>34</v>
      </c>
      <c r="M1029" s="1" t="s">
        <v>35</v>
      </c>
      <c r="N1029" s="1">
        <v>42318949</v>
      </c>
      <c r="O1029" s="1" t="s">
        <v>105</v>
      </c>
      <c r="P1029" s="11" t="s">
        <v>3606</v>
      </c>
      <c r="R1029" s="1" t="s">
        <v>38</v>
      </c>
      <c r="T1029" s="1" t="s">
        <v>74</v>
      </c>
      <c r="U1029" s="11" t="s">
        <v>1341</v>
      </c>
      <c r="V1029" s="1" t="s">
        <v>41</v>
      </c>
      <c r="W1029" s="1" t="s">
        <v>49</v>
      </c>
      <c r="X1029" s="13" t="str">
        <f>IF(RIGHT(H1029,2)&lt;&gt;"00",H1029,"")</f>
        <v/>
      </c>
      <c r="Y1029" s="2">
        <f ca="1">NETWORKDAYS(P1029,$Y$1)</f>
        <v>39</v>
      </c>
      <c r="Z1029" s="14">
        <v>1</v>
      </c>
      <c r="AA1029" s="1" t="str">
        <f t="shared" ca="1" si="80"/>
        <v>VENCIDO</v>
      </c>
      <c r="AB1029" s="1" t="str">
        <f t="shared" si="81"/>
        <v>Dosa</v>
      </c>
      <c r="AC1029" s="2" t="str">
        <f t="shared" si="82"/>
        <v xml:space="preserve"> ROSEMERE </v>
      </c>
      <c r="AD1029" s="2">
        <f t="shared" si="83"/>
        <v>5</v>
      </c>
      <c r="AE1029" s="2">
        <f t="shared" ca="1" si="84"/>
        <v>-53.926271643518703</v>
      </c>
    </row>
    <row r="1030" spans="1:31" hidden="1">
      <c r="A1030" s="1">
        <v>9298238</v>
      </c>
      <c r="B1030" s="1" t="s">
        <v>101</v>
      </c>
      <c r="C1030" t="s">
        <v>1810</v>
      </c>
      <c r="E1030" s="2">
        <v>7420000206001</v>
      </c>
      <c r="F1030" s="1" t="s">
        <v>29</v>
      </c>
      <c r="G1030" s="1" t="s">
        <v>53</v>
      </c>
      <c r="H1030" s="1" t="s">
        <v>1076</v>
      </c>
      <c r="I1030" s="1" t="s">
        <v>1077</v>
      </c>
      <c r="J1030" s="1" t="s">
        <v>46</v>
      </c>
      <c r="K1030" t="s">
        <v>34</v>
      </c>
      <c r="M1030" s="1" t="s">
        <v>35</v>
      </c>
      <c r="N1030" s="1">
        <v>42318949</v>
      </c>
      <c r="O1030" s="1" t="s">
        <v>105</v>
      </c>
      <c r="P1030" s="11" t="s">
        <v>3607</v>
      </c>
      <c r="R1030" s="1" t="s">
        <v>38</v>
      </c>
      <c r="T1030" s="1" t="s">
        <v>74</v>
      </c>
      <c r="U1030" s="11" t="s">
        <v>1341</v>
      </c>
      <c r="V1030" s="1" t="s">
        <v>41</v>
      </c>
      <c r="W1030" s="1" t="s">
        <v>49</v>
      </c>
      <c r="X1030" s="13" t="str">
        <f>IF(RIGHT(H1030,2)&lt;&gt;"00",H1030,"")</f>
        <v/>
      </c>
      <c r="Y1030" s="2">
        <f ca="1">NETWORKDAYS(P1030,$Y$1)</f>
        <v>39</v>
      </c>
      <c r="Z1030" s="14">
        <v>1</v>
      </c>
      <c r="AA1030" s="1" t="str">
        <f t="shared" ca="1" si="80"/>
        <v>VENCIDO</v>
      </c>
      <c r="AB1030" s="1" t="str">
        <f t="shared" si="81"/>
        <v>Dosa</v>
      </c>
      <c r="AC1030" s="2" t="str">
        <f t="shared" si="82"/>
        <v xml:space="preserve"> CLEITON </v>
      </c>
      <c r="AD1030" s="2">
        <f t="shared" si="83"/>
        <v>5</v>
      </c>
      <c r="AE1030" s="2">
        <f t="shared" ca="1" si="84"/>
        <v>-53.926271643518703</v>
      </c>
    </row>
    <row r="1031" spans="1:31" hidden="1">
      <c r="A1031" s="1">
        <v>9297776</v>
      </c>
      <c r="B1031" s="1" t="s">
        <v>101</v>
      </c>
      <c r="C1031" t="s">
        <v>1810</v>
      </c>
      <c r="E1031" s="2">
        <v>5898000206001</v>
      </c>
      <c r="F1031" s="1" t="s">
        <v>29</v>
      </c>
      <c r="G1031" s="1" t="s">
        <v>53</v>
      </c>
      <c r="H1031" s="1" t="s">
        <v>365</v>
      </c>
      <c r="I1031" s="1" t="s">
        <v>366</v>
      </c>
      <c r="J1031" s="1" t="s">
        <v>164</v>
      </c>
      <c r="K1031" t="s">
        <v>34</v>
      </c>
      <c r="M1031" s="1" t="s">
        <v>35</v>
      </c>
      <c r="N1031" s="1">
        <v>42318949</v>
      </c>
      <c r="O1031" s="1" t="s">
        <v>105</v>
      </c>
      <c r="P1031" s="11" t="s">
        <v>3608</v>
      </c>
      <c r="R1031" s="1" t="s">
        <v>38</v>
      </c>
      <c r="T1031" s="1" t="s">
        <v>74</v>
      </c>
      <c r="U1031" s="186">
        <v>44932.75</v>
      </c>
      <c r="V1031" s="1" t="s">
        <v>41</v>
      </c>
      <c r="W1031" s="1" t="s">
        <v>49</v>
      </c>
      <c r="X1031" s="13" t="str">
        <f>IF(RIGHT(H1031,2)&lt;&gt;"00",H1031,"")</f>
        <v/>
      </c>
      <c r="Y1031" s="2">
        <f ca="1">NETWORKDAYS(P1031,$Y$1)</f>
        <v>39</v>
      </c>
      <c r="Z1031" s="14">
        <v>1</v>
      </c>
      <c r="AA1031" s="1" t="str">
        <f t="shared" ca="1" si="80"/>
        <v>VENCIDO</v>
      </c>
      <c r="AB1031" s="1" t="str">
        <f t="shared" si="81"/>
        <v>Dosa</v>
      </c>
      <c r="AC1031" s="2" t="str">
        <f t="shared" si="82"/>
        <v xml:space="preserve"> ROSEMERE </v>
      </c>
      <c r="AD1031" s="2">
        <f t="shared" si="83"/>
        <v>5</v>
      </c>
      <c r="AE1031" s="2">
        <f t="shared" ca="1" si="84"/>
        <v>-53.926271643518703</v>
      </c>
    </row>
    <row r="1032" spans="1:31" hidden="1">
      <c r="A1032" s="1">
        <v>9297748</v>
      </c>
      <c r="B1032" s="1" t="s">
        <v>101</v>
      </c>
      <c r="C1032" t="s">
        <v>1810</v>
      </c>
      <c r="E1032" s="2">
        <v>5816000206001</v>
      </c>
      <c r="F1032" s="1" t="s">
        <v>29</v>
      </c>
      <c r="G1032" s="1" t="s">
        <v>53</v>
      </c>
      <c r="H1032" s="1" t="s">
        <v>412</v>
      </c>
      <c r="I1032" s="1" t="s">
        <v>413</v>
      </c>
      <c r="J1032" s="1" t="s">
        <v>46</v>
      </c>
      <c r="K1032" t="s">
        <v>34</v>
      </c>
      <c r="M1032" s="1" t="s">
        <v>35</v>
      </c>
      <c r="N1032" s="1">
        <v>42318949</v>
      </c>
      <c r="O1032" s="1" t="s">
        <v>105</v>
      </c>
      <c r="P1032" s="11" t="s">
        <v>3609</v>
      </c>
      <c r="R1032" s="1" t="s">
        <v>38</v>
      </c>
      <c r="T1032" s="1" t="s">
        <v>74</v>
      </c>
      <c r="U1032" s="186">
        <v>44932.75</v>
      </c>
      <c r="V1032" s="1" t="s">
        <v>41</v>
      </c>
      <c r="W1032" s="1" t="s">
        <v>49</v>
      </c>
      <c r="X1032" s="13" t="str">
        <f>IF(RIGHT(H1032,2)&lt;&gt;"00",H1032,"")</f>
        <v/>
      </c>
      <c r="Y1032" s="2">
        <f ca="1">NETWORKDAYS(P1032,$Y$1)</f>
        <v>39</v>
      </c>
      <c r="Z1032" s="14">
        <v>1</v>
      </c>
      <c r="AA1032" s="1" t="str">
        <f t="shared" ca="1" si="80"/>
        <v>VENCIDO</v>
      </c>
      <c r="AB1032" s="1" t="str">
        <f t="shared" si="81"/>
        <v>Dosa</v>
      </c>
      <c r="AC1032" s="2" t="str">
        <f t="shared" si="82"/>
        <v xml:space="preserve"> CLEITON </v>
      </c>
      <c r="AD1032" s="2">
        <f t="shared" si="83"/>
        <v>5</v>
      </c>
      <c r="AE1032" s="2">
        <f t="shared" ca="1" si="84"/>
        <v>-53.926271643518703</v>
      </c>
    </row>
    <row r="1033" spans="1:31" hidden="1">
      <c r="A1033" s="1">
        <v>9297710</v>
      </c>
      <c r="B1033" s="1" t="s">
        <v>101</v>
      </c>
      <c r="C1033" t="s">
        <v>1810</v>
      </c>
      <c r="E1033" s="2">
        <v>5755000206001</v>
      </c>
      <c r="F1033" s="1" t="s">
        <v>29</v>
      </c>
      <c r="G1033" s="1" t="s">
        <v>53</v>
      </c>
      <c r="H1033" s="1" t="s">
        <v>841</v>
      </c>
      <c r="I1033" s="1" t="s">
        <v>842</v>
      </c>
      <c r="J1033" s="1" t="s">
        <v>46</v>
      </c>
      <c r="K1033" t="s">
        <v>34</v>
      </c>
      <c r="M1033" s="1" t="s">
        <v>35</v>
      </c>
      <c r="N1033" s="1">
        <v>42318949</v>
      </c>
      <c r="O1033" s="1" t="s">
        <v>105</v>
      </c>
      <c r="P1033" s="11" t="s">
        <v>3610</v>
      </c>
      <c r="R1033" s="1" t="s">
        <v>38</v>
      </c>
      <c r="T1033" s="1" t="s">
        <v>74</v>
      </c>
      <c r="U1033" s="186">
        <v>44932.75</v>
      </c>
      <c r="V1033" s="1" t="s">
        <v>41</v>
      </c>
      <c r="W1033" s="1" t="s">
        <v>49</v>
      </c>
      <c r="X1033" s="13" t="str">
        <f>IF(RIGHT(H1033,2)&lt;&gt;"00",H1033,"")</f>
        <v/>
      </c>
      <c r="Y1033" s="2">
        <f ca="1">NETWORKDAYS(P1033,$Y$1)</f>
        <v>39</v>
      </c>
      <c r="Z1033" s="14">
        <v>1</v>
      </c>
      <c r="AA1033" s="1" t="str">
        <f t="shared" ca="1" si="80"/>
        <v>VENCIDO</v>
      </c>
      <c r="AB1033" s="1" t="str">
        <f t="shared" si="81"/>
        <v>Dosa</v>
      </c>
      <c r="AC1033" s="2" t="str">
        <f t="shared" si="82"/>
        <v xml:space="preserve"> CLEITON </v>
      </c>
      <c r="AD1033" s="2">
        <f t="shared" si="83"/>
        <v>5</v>
      </c>
      <c r="AE1033" s="2">
        <f t="shared" ca="1" si="84"/>
        <v>-53.926271643518703</v>
      </c>
    </row>
    <row r="1034" spans="1:31" hidden="1">
      <c r="A1034" s="1">
        <v>9297706</v>
      </c>
      <c r="B1034" s="1" t="s">
        <v>101</v>
      </c>
      <c r="C1034" t="s">
        <v>1810</v>
      </c>
      <c r="E1034" s="2">
        <v>5749000206001</v>
      </c>
      <c r="F1034" s="1" t="s">
        <v>29</v>
      </c>
      <c r="G1034" s="1" t="s">
        <v>53</v>
      </c>
      <c r="H1034" s="1" t="s">
        <v>1811</v>
      </c>
      <c r="I1034" s="1" t="s">
        <v>1812</v>
      </c>
      <c r="J1034" s="1" t="s">
        <v>33</v>
      </c>
      <c r="K1034" t="s">
        <v>34</v>
      </c>
      <c r="M1034" s="1" t="s">
        <v>35</v>
      </c>
      <c r="N1034" s="1">
        <v>42318949</v>
      </c>
      <c r="O1034" s="1" t="s">
        <v>105</v>
      </c>
      <c r="P1034" s="11" t="s">
        <v>3611</v>
      </c>
      <c r="R1034" s="1" t="s">
        <v>38</v>
      </c>
      <c r="T1034" s="1" t="s">
        <v>74</v>
      </c>
      <c r="U1034" s="186">
        <v>44932.75</v>
      </c>
      <c r="V1034" s="1" t="s">
        <v>41</v>
      </c>
      <c r="W1034" s="1" t="s">
        <v>42</v>
      </c>
      <c r="X1034" s="13" t="str">
        <f>IF(RIGHT(H1034,2)&lt;&gt;"00",H1034,"")</f>
        <v/>
      </c>
      <c r="Y1034" s="2">
        <f ca="1">NETWORKDAYS(P1034,$Y$1)</f>
        <v>39</v>
      </c>
      <c r="Z1034" s="14">
        <v>1</v>
      </c>
      <c r="AA1034" s="1" t="str">
        <f t="shared" ca="1" si="80"/>
        <v>VENCIDO</v>
      </c>
      <c r="AB1034" s="1" t="str">
        <f t="shared" si="81"/>
        <v>Dosa</v>
      </c>
      <c r="AC1034" s="2" t="str">
        <f t="shared" si="82"/>
        <v xml:space="preserve"> ROSEMERE </v>
      </c>
      <c r="AD1034" s="2">
        <f t="shared" si="83"/>
        <v>5</v>
      </c>
      <c r="AE1034" s="2">
        <f t="shared" ca="1" si="84"/>
        <v>-53.926271643518703</v>
      </c>
    </row>
    <row r="1035" spans="1:31" hidden="1">
      <c r="A1035" s="1">
        <v>9297704</v>
      </c>
      <c r="B1035" s="1" t="s">
        <v>101</v>
      </c>
      <c r="C1035" t="s">
        <v>1810</v>
      </c>
      <c r="E1035" s="2">
        <v>5742000206001</v>
      </c>
      <c r="F1035" s="1" t="s">
        <v>29</v>
      </c>
      <c r="G1035" s="1" t="s">
        <v>53</v>
      </c>
      <c r="H1035" s="1" t="s">
        <v>430</v>
      </c>
      <c r="I1035" s="1" t="s">
        <v>431</v>
      </c>
      <c r="J1035" s="1" t="s">
        <v>79</v>
      </c>
      <c r="K1035" t="s">
        <v>34</v>
      </c>
      <c r="M1035" s="1" t="s">
        <v>35</v>
      </c>
      <c r="N1035" s="1">
        <v>42318949</v>
      </c>
      <c r="O1035" s="1" t="s">
        <v>105</v>
      </c>
      <c r="P1035" s="11" t="s">
        <v>3611</v>
      </c>
      <c r="R1035" s="1" t="s">
        <v>38</v>
      </c>
      <c r="T1035" s="1" t="s">
        <v>74</v>
      </c>
      <c r="U1035" s="11" t="s">
        <v>1341</v>
      </c>
      <c r="V1035" s="1" t="s">
        <v>41</v>
      </c>
      <c r="W1035" s="1" t="s">
        <v>49</v>
      </c>
      <c r="X1035" s="13" t="str">
        <f>IF(RIGHT(H1035,2)&lt;&gt;"00",H1035,"")</f>
        <v/>
      </c>
      <c r="Y1035" s="2">
        <f ca="1">NETWORKDAYS(P1035,$Y$1)</f>
        <v>39</v>
      </c>
      <c r="Z1035" s="14">
        <v>1</v>
      </c>
      <c r="AA1035" s="1" t="str">
        <f t="shared" ca="1" si="80"/>
        <v>VENCIDO</v>
      </c>
      <c r="AB1035" s="1" t="str">
        <f t="shared" si="81"/>
        <v>Dosa</v>
      </c>
      <c r="AC1035" s="2" t="str">
        <f t="shared" si="82"/>
        <v xml:space="preserve"> ROSEMERE </v>
      </c>
      <c r="AD1035" s="2">
        <f t="shared" si="83"/>
        <v>5</v>
      </c>
      <c r="AE1035" s="2">
        <f t="shared" ca="1" si="84"/>
        <v>-53.926271643518703</v>
      </c>
    </row>
    <row r="1036" spans="1:31" hidden="1">
      <c r="A1036" s="1">
        <v>9297703</v>
      </c>
      <c r="B1036" s="1" t="s">
        <v>101</v>
      </c>
      <c r="C1036" t="s">
        <v>1810</v>
      </c>
      <c r="E1036" s="2">
        <v>5740000206001</v>
      </c>
      <c r="F1036" s="1" t="s">
        <v>29</v>
      </c>
      <c r="G1036" s="1" t="s">
        <v>53</v>
      </c>
      <c r="H1036" s="1" t="s">
        <v>626</v>
      </c>
      <c r="I1036" s="1" t="s">
        <v>627</v>
      </c>
      <c r="J1036" s="1" t="s">
        <v>46</v>
      </c>
      <c r="K1036" t="s">
        <v>34</v>
      </c>
      <c r="M1036" s="1" t="s">
        <v>35</v>
      </c>
      <c r="N1036" s="1">
        <v>42318949</v>
      </c>
      <c r="O1036" s="1" t="s">
        <v>105</v>
      </c>
      <c r="P1036" s="11" t="s">
        <v>3611</v>
      </c>
      <c r="R1036" s="1" t="s">
        <v>38</v>
      </c>
      <c r="T1036" s="1" t="s">
        <v>74</v>
      </c>
      <c r="U1036" s="186">
        <v>44932.75</v>
      </c>
      <c r="V1036" s="1" t="s">
        <v>41</v>
      </c>
      <c r="W1036" s="1" t="s">
        <v>49</v>
      </c>
      <c r="X1036" s="13" t="str">
        <f>IF(RIGHT(H1036,2)&lt;&gt;"00",H1036,"")</f>
        <v/>
      </c>
      <c r="Y1036" s="2">
        <f ca="1">NETWORKDAYS(P1036,$Y$1)</f>
        <v>39</v>
      </c>
      <c r="Z1036" s="14">
        <v>1</v>
      </c>
      <c r="AA1036" s="1" t="str">
        <f t="shared" ca="1" si="80"/>
        <v>VENCIDO</v>
      </c>
      <c r="AB1036" s="1" t="str">
        <f t="shared" si="81"/>
        <v>Dosa</v>
      </c>
      <c r="AC1036" s="2" t="str">
        <f t="shared" si="82"/>
        <v xml:space="preserve"> CLEITON </v>
      </c>
      <c r="AD1036" s="2">
        <f t="shared" si="83"/>
        <v>5</v>
      </c>
      <c r="AE1036" s="2">
        <f t="shared" ca="1" si="84"/>
        <v>-53.926271643518703</v>
      </c>
    </row>
    <row r="1037" spans="1:31" hidden="1">
      <c r="A1037" s="1">
        <v>9297518</v>
      </c>
      <c r="B1037" s="1" t="s">
        <v>101</v>
      </c>
      <c r="C1037" t="s">
        <v>1810</v>
      </c>
      <c r="E1037" s="2">
        <v>4997000206001</v>
      </c>
      <c r="F1037" s="1" t="s">
        <v>29</v>
      </c>
      <c r="G1037" s="1" t="s">
        <v>53</v>
      </c>
      <c r="H1037" s="1" t="s">
        <v>406</v>
      </c>
      <c r="I1037" s="1" t="s">
        <v>407</v>
      </c>
      <c r="J1037" s="1" t="s">
        <v>79</v>
      </c>
      <c r="K1037" t="s">
        <v>34</v>
      </c>
      <c r="M1037" s="1" t="s">
        <v>35</v>
      </c>
      <c r="N1037" s="1">
        <v>42318949</v>
      </c>
      <c r="O1037" s="1" t="s">
        <v>105</v>
      </c>
      <c r="P1037" s="11" t="s">
        <v>3612</v>
      </c>
      <c r="R1037" s="1" t="s">
        <v>38</v>
      </c>
      <c r="T1037" s="1" t="s">
        <v>74</v>
      </c>
      <c r="U1037" s="186">
        <v>44932.75</v>
      </c>
      <c r="V1037" s="1" t="s">
        <v>41</v>
      </c>
      <c r="W1037" s="1" t="s">
        <v>49</v>
      </c>
      <c r="X1037" s="13" t="str">
        <f>IF(RIGHT(H1037,2)&lt;&gt;"00",H1037,"")</f>
        <v/>
      </c>
      <c r="Y1037" s="2">
        <f ca="1">NETWORKDAYS(P1037,$Y$1)</f>
        <v>39</v>
      </c>
      <c r="Z1037" s="14">
        <v>1</v>
      </c>
      <c r="AA1037" s="1" t="str">
        <f t="shared" ca="1" si="80"/>
        <v>VENCIDO</v>
      </c>
      <c r="AB1037" s="1" t="str">
        <f t="shared" si="81"/>
        <v>Dosa</v>
      </c>
      <c r="AC1037" s="2" t="str">
        <f t="shared" si="82"/>
        <v xml:space="preserve"> ROSEMERE </v>
      </c>
      <c r="AD1037" s="2">
        <f t="shared" si="83"/>
        <v>5</v>
      </c>
      <c r="AE1037" s="2">
        <f t="shared" ca="1" si="84"/>
        <v>-53.926271643518703</v>
      </c>
    </row>
    <row r="1038" spans="1:31" hidden="1">
      <c r="A1038" s="1">
        <v>9297506</v>
      </c>
      <c r="B1038" s="1" t="s">
        <v>101</v>
      </c>
      <c r="C1038" t="s">
        <v>1810</v>
      </c>
      <c r="E1038" s="2">
        <v>4930000206001</v>
      </c>
      <c r="F1038" s="1" t="s">
        <v>29</v>
      </c>
      <c r="G1038" s="1" t="s">
        <v>53</v>
      </c>
      <c r="H1038" s="1" t="s">
        <v>1813</v>
      </c>
      <c r="I1038" s="1" t="s">
        <v>1814</v>
      </c>
      <c r="J1038" s="1" t="s">
        <v>46</v>
      </c>
      <c r="K1038" t="s">
        <v>34</v>
      </c>
      <c r="M1038" s="1" t="s">
        <v>35</v>
      </c>
      <c r="N1038" s="1">
        <v>42318949</v>
      </c>
      <c r="O1038" s="1" t="s">
        <v>105</v>
      </c>
      <c r="P1038" s="11" t="s">
        <v>3613</v>
      </c>
      <c r="R1038" s="1" t="s">
        <v>38</v>
      </c>
      <c r="T1038" s="1" t="s">
        <v>74</v>
      </c>
      <c r="U1038" s="186">
        <v>44932.75</v>
      </c>
      <c r="V1038" s="1" t="s">
        <v>41</v>
      </c>
      <c r="W1038" s="1" t="s">
        <v>49</v>
      </c>
      <c r="X1038" s="13" t="str">
        <f>IF(RIGHT(H1038,2)&lt;&gt;"00",H1038,"")</f>
        <v/>
      </c>
      <c r="Y1038" s="2">
        <f ca="1">NETWORKDAYS(P1038,$Y$1)</f>
        <v>39</v>
      </c>
      <c r="Z1038" s="14">
        <v>1</v>
      </c>
      <c r="AA1038" s="1" t="str">
        <f t="shared" ca="1" si="80"/>
        <v>VENCIDO</v>
      </c>
      <c r="AB1038" s="1" t="str">
        <f t="shared" si="81"/>
        <v>Dosa</v>
      </c>
      <c r="AC1038" s="2" t="str">
        <f t="shared" si="82"/>
        <v xml:space="preserve"> CLEITON </v>
      </c>
      <c r="AD1038" s="2">
        <f t="shared" si="83"/>
        <v>5</v>
      </c>
      <c r="AE1038" s="2">
        <f t="shared" ca="1" si="84"/>
        <v>-53.926271643518703</v>
      </c>
    </row>
    <row r="1039" spans="1:31" hidden="1">
      <c r="A1039" s="1">
        <v>9297463</v>
      </c>
      <c r="B1039" s="1" t="s">
        <v>101</v>
      </c>
      <c r="C1039" t="s">
        <v>1810</v>
      </c>
      <c r="E1039" s="2">
        <v>4844920206001</v>
      </c>
      <c r="F1039" s="1" t="s">
        <v>29</v>
      </c>
      <c r="G1039" s="1" t="s">
        <v>53</v>
      </c>
      <c r="H1039" s="1" t="s">
        <v>1815</v>
      </c>
      <c r="I1039" s="1" t="s">
        <v>1816</v>
      </c>
      <c r="J1039" s="1" t="s">
        <v>211</v>
      </c>
      <c r="K1039" t="s">
        <v>34</v>
      </c>
      <c r="M1039" s="1" t="s">
        <v>35</v>
      </c>
      <c r="N1039" s="1">
        <v>42318949</v>
      </c>
      <c r="O1039" s="1" t="s">
        <v>105</v>
      </c>
      <c r="P1039" s="11" t="s">
        <v>3614</v>
      </c>
      <c r="R1039" s="1" t="s">
        <v>38</v>
      </c>
      <c r="T1039" s="1" t="s">
        <v>74</v>
      </c>
      <c r="U1039" s="186">
        <v>44932.75</v>
      </c>
      <c r="V1039" s="1" t="s">
        <v>41</v>
      </c>
      <c r="W1039" s="1" t="s">
        <v>49</v>
      </c>
      <c r="X1039" s="13" t="str">
        <f>IF(RIGHT(H1039,2)&lt;&gt;"00",H1039,"")</f>
        <v>4844.92</v>
      </c>
      <c r="Y1039" s="2">
        <f ca="1">NETWORKDAYS(P1039,$Y$1)</f>
        <v>39</v>
      </c>
      <c r="Z1039" s="14">
        <v>1</v>
      </c>
      <c r="AA1039" s="1" t="str">
        <f t="shared" ca="1" si="80"/>
        <v>VENCIDO</v>
      </c>
      <c r="AB1039" s="1" t="str">
        <f t="shared" si="81"/>
        <v>Dosa</v>
      </c>
      <c r="AC1039" s="2" t="str">
        <f t="shared" si="82"/>
        <v xml:space="preserve"> RINALDO </v>
      </c>
      <c r="AD1039" s="2">
        <f t="shared" si="83"/>
        <v>5</v>
      </c>
      <c r="AE1039" s="2">
        <f t="shared" ca="1" si="84"/>
        <v>-53.926271643518703</v>
      </c>
    </row>
    <row r="1040" spans="1:31" hidden="1">
      <c r="A1040" s="1">
        <v>9297342</v>
      </c>
      <c r="B1040" s="1" t="s">
        <v>101</v>
      </c>
      <c r="C1040" t="s">
        <v>1810</v>
      </c>
      <c r="E1040" s="2">
        <v>4637000206001</v>
      </c>
      <c r="F1040" s="1" t="s">
        <v>29</v>
      </c>
      <c r="G1040" s="1" t="s">
        <v>53</v>
      </c>
      <c r="H1040" s="1" t="s">
        <v>848</v>
      </c>
      <c r="I1040" s="1" t="s">
        <v>849</v>
      </c>
      <c r="J1040" s="1" t="s">
        <v>79</v>
      </c>
      <c r="K1040" t="s">
        <v>34</v>
      </c>
      <c r="M1040" s="1" t="s">
        <v>35</v>
      </c>
      <c r="N1040" s="1">
        <v>42318949</v>
      </c>
      <c r="O1040" s="1" t="s">
        <v>105</v>
      </c>
      <c r="P1040" s="11" t="s">
        <v>3615</v>
      </c>
      <c r="R1040" s="1" t="s">
        <v>38</v>
      </c>
      <c r="T1040" s="1" t="s">
        <v>74</v>
      </c>
      <c r="U1040" s="186">
        <v>44932.75</v>
      </c>
      <c r="V1040" s="1" t="s">
        <v>41</v>
      </c>
      <c r="W1040" s="1" t="s">
        <v>49</v>
      </c>
      <c r="X1040" s="13" t="str">
        <f>IF(RIGHT(H1040,2)&lt;&gt;"00",H1040,"")</f>
        <v/>
      </c>
      <c r="Y1040" s="2">
        <f ca="1">NETWORKDAYS(P1040,$Y$1)</f>
        <v>39</v>
      </c>
      <c r="Z1040" s="14">
        <v>1</v>
      </c>
      <c r="AA1040" s="1" t="str">
        <f t="shared" ca="1" si="80"/>
        <v>VENCIDO</v>
      </c>
      <c r="AB1040" s="1" t="str">
        <f t="shared" si="81"/>
        <v>Dosa</v>
      </c>
      <c r="AC1040" s="2" t="str">
        <f t="shared" si="82"/>
        <v xml:space="preserve"> ROSEMERE </v>
      </c>
      <c r="AD1040" s="2">
        <f t="shared" si="83"/>
        <v>5</v>
      </c>
      <c r="AE1040" s="2">
        <f t="shared" ca="1" si="84"/>
        <v>-53.926271643518703</v>
      </c>
    </row>
    <row r="1041" spans="1:31" hidden="1">
      <c r="A1041" s="1">
        <v>9297329</v>
      </c>
      <c r="B1041" s="1" t="s">
        <v>101</v>
      </c>
      <c r="C1041" t="s">
        <v>1810</v>
      </c>
      <c r="E1041" s="2">
        <v>4623000206001</v>
      </c>
      <c r="F1041" s="1" t="s">
        <v>29</v>
      </c>
      <c r="G1041" s="1" t="s">
        <v>53</v>
      </c>
      <c r="H1041" s="1" t="s">
        <v>669</v>
      </c>
      <c r="I1041" s="1" t="s">
        <v>670</v>
      </c>
      <c r="J1041" s="1" t="s">
        <v>33</v>
      </c>
      <c r="K1041" t="s">
        <v>34</v>
      </c>
      <c r="M1041" s="1" t="s">
        <v>35</v>
      </c>
      <c r="N1041" s="1">
        <v>42318949</v>
      </c>
      <c r="O1041" s="1" t="s">
        <v>105</v>
      </c>
      <c r="P1041" s="11" t="s">
        <v>3616</v>
      </c>
      <c r="R1041" s="1" t="s">
        <v>38</v>
      </c>
      <c r="T1041" s="1" t="s">
        <v>74</v>
      </c>
      <c r="U1041" s="186">
        <v>44932.75</v>
      </c>
      <c r="V1041" s="1" t="s">
        <v>41</v>
      </c>
      <c r="W1041" s="1" t="s">
        <v>42</v>
      </c>
      <c r="X1041" s="13" t="str">
        <f>IF(RIGHT(H1041,2)&lt;&gt;"00",H1041,"")</f>
        <v/>
      </c>
      <c r="Y1041" s="2">
        <f ca="1">NETWORKDAYS(P1041,$Y$1)</f>
        <v>39</v>
      </c>
      <c r="Z1041" s="14">
        <v>1</v>
      </c>
      <c r="AA1041" s="1" t="str">
        <f t="shared" ca="1" si="80"/>
        <v>VENCIDO</v>
      </c>
      <c r="AB1041" s="1" t="str">
        <f t="shared" si="81"/>
        <v>Dosa</v>
      </c>
      <c r="AC1041" s="2" t="str">
        <f t="shared" si="82"/>
        <v xml:space="preserve"> ROSEMERE </v>
      </c>
      <c r="AD1041" s="2">
        <f t="shared" si="83"/>
        <v>5</v>
      </c>
      <c r="AE1041" s="2">
        <f t="shared" ca="1" si="84"/>
        <v>-53.926271643518703</v>
      </c>
    </row>
    <row r="1042" spans="1:31" hidden="1">
      <c r="A1042" s="1">
        <v>9297061</v>
      </c>
      <c r="B1042" s="1" t="s">
        <v>101</v>
      </c>
      <c r="C1042" t="s">
        <v>1810</v>
      </c>
      <c r="E1042" s="2">
        <v>4235000206001</v>
      </c>
      <c r="F1042" s="1" t="s">
        <v>29</v>
      </c>
      <c r="G1042" s="1" t="s">
        <v>53</v>
      </c>
      <c r="H1042" s="1" t="s">
        <v>291</v>
      </c>
      <c r="I1042" s="1" t="s">
        <v>292</v>
      </c>
      <c r="J1042" s="1" t="s">
        <v>46</v>
      </c>
      <c r="K1042" t="s">
        <v>34</v>
      </c>
      <c r="M1042" s="1" t="s">
        <v>35</v>
      </c>
      <c r="N1042" s="1">
        <v>42318949</v>
      </c>
      <c r="O1042" s="1" t="s">
        <v>105</v>
      </c>
      <c r="P1042" s="11" t="s">
        <v>3617</v>
      </c>
      <c r="R1042" s="1" t="s">
        <v>38</v>
      </c>
      <c r="T1042" s="1" t="s">
        <v>74</v>
      </c>
      <c r="U1042" s="186">
        <v>44932.75</v>
      </c>
      <c r="V1042" s="1" t="s">
        <v>41</v>
      </c>
      <c r="W1042" s="1" t="s">
        <v>49</v>
      </c>
      <c r="X1042" s="13" t="str">
        <f>IF(RIGHT(H1042,2)&lt;&gt;"00",H1042,"")</f>
        <v/>
      </c>
      <c r="Y1042" s="2">
        <f ca="1">NETWORKDAYS(P1042,$Y$1)</f>
        <v>39</v>
      </c>
      <c r="Z1042" s="14">
        <v>1</v>
      </c>
      <c r="AA1042" s="1" t="str">
        <f t="shared" ca="1" si="80"/>
        <v>VENCIDO</v>
      </c>
      <c r="AB1042" s="1" t="str">
        <f t="shared" si="81"/>
        <v>Dosa</v>
      </c>
      <c r="AC1042" s="2" t="str">
        <f t="shared" si="82"/>
        <v xml:space="preserve"> CLEITON </v>
      </c>
      <c r="AD1042" s="2">
        <f t="shared" si="83"/>
        <v>5</v>
      </c>
      <c r="AE1042" s="2">
        <f t="shared" ca="1" si="84"/>
        <v>-53.926271643518703</v>
      </c>
    </row>
    <row r="1043" spans="1:31" hidden="1">
      <c r="A1043" s="1">
        <v>9296970</v>
      </c>
      <c r="B1043" s="1" t="s">
        <v>101</v>
      </c>
      <c r="C1043" t="s">
        <v>1810</v>
      </c>
      <c r="E1043" s="2">
        <v>4118000206001</v>
      </c>
      <c r="F1043" s="1" t="s">
        <v>29</v>
      </c>
      <c r="G1043" s="1" t="s">
        <v>53</v>
      </c>
      <c r="H1043" s="1" t="s">
        <v>71</v>
      </c>
      <c r="I1043" s="1" t="s">
        <v>72</v>
      </c>
      <c r="J1043" s="1" t="s">
        <v>46</v>
      </c>
      <c r="K1043" t="s">
        <v>34</v>
      </c>
      <c r="M1043" s="1" t="s">
        <v>35</v>
      </c>
      <c r="N1043" s="1">
        <v>42318949</v>
      </c>
      <c r="O1043" s="1" t="s">
        <v>105</v>
      </c>
      <c r="P1043" s="11" t="s">
        <v>3618</v>
      </c>
      <c r="R1043" s="1" t="s">
        <v>38</v>
      </c>
      <c r="T1043" s="1" t="s">
        <v>74</v>
      </c>
      <c r="U1043" s="11" t="s">
        <v>1341</v>
      </c>
      <c r="V1043" s="1" t="s">
        <v>41</v>
      </c>
      <c r="W1043" s="1" t="s">
        <v>49</v>
      </c>
      <c r="X1043" s="13" t="str">
        <f>IF(RIGHT(H1043,2)&lt;&gt;"00",H1043,"")</f>
        <v/>
      </c>
      <c r="Y1043" s="2">
        <f ca="1">NETWORKDAYS(P1043,$Y$1)</f>
        <v>39</v>
      </c>
      <c r="Z1043" s="14">
        <v>1</v>
      </c>
      <c r="AA1043" s="1" t="str">
        <f t="shared" ca="1" si="80"/>
        <v>VENCIDO</v>
      </c>
      <c r="AB1043" s="1" t="str">
        <f t="shared" si="81"/>
        <v>Dosa</v>
      </c>
      <c r="AC1043" s="2" t="str">
        <f t="shared" si="82"/>
        <v xml:space="preserve"> CLEITON </v>
      </c>
      <c r="AD1043" s="2">
        <f t="shared" si="83"/>
        <v>5</v>
      </c>
      <c r="AE1043" s="2">
        <f t="shared" ca="1" si="84"/>
        <v>-53.926271643518703</v>
      </c>
    </row>
    <row r="1044" spans="1:31" hidden="1">
      <c r="A1044" s="1">
        <v>9296940</v>
      </c>
      <c r="B1044" s="1" t="s">
        <v>101</v>
      </c>
      <c r="C1044" t="s">
        <v>1810</v>
      </c>
      <c r="E1044" s="2">
        <v>4076000206001</v>
      </c>
      <c r="F1044" s="1" t="s">
        <v>29</v>
      </c>
      <c r="G1044" s="1" t="s">
        <v>53</v>
      </c>
      <c r="H1044" s="1" t="s">
        <v>426</v>
      </c>
      <c r="I1044" s="1" t="s">
        <v>427</v>
      </c>
      <c r="J1044" s="1" t="s">
        <v>79</v>
      </c>
      <c r="K1044" t="s">
        <v>34</v>
      </c>
      <c r="M1044" s="1" t="s">
        <v>35</v>
      </c>
      <c r="N1044" s="1">
        <v>42318949</v>
      </c>
      <c r="O1044" s="1" t="s">
        <v>105</v>
      </c>
      <c r="P1044" s="11" t="s">
        <v>1817</v>
      </c>
      <c r="R1044" s="1" t="s">
        <v>38</v>
      </c>
      <c r="T1044" s="1" t="s">
        <v>74</v>
      </c>
      <c r="U1044" s="11" t="s">
        <v>1341</v>
      </c>
      <c r="V1044" s="1" t="s">
        <v>41</v>
      </c>
      <c r="W1044" s="1" t="s">
        <v>49</v>
      </c>
      <c r="X1044" s="13" t="str">
        <f>IF(RIGHT(H1044,2)&lt;&gt;"00",H1044,"")</f>
        <v/>
      </c>
      <c r="Y1044" s="2">
        <f ca="1">NETWORKDAYS(P1044,$Y$1)</f>
        <v>39</v>
      </c>
      <c r="Z1044" s="14">
        <v>1</v>
      </c>
      <c r="AA1044" s="1" t="str">
        <f t="shared" ca="1" si="80"/>
        <v>VENCIDO</v>
      </c>
      <c r="AB1044" s="1" t="str">
        <f t="shared" si="81"/>
        <v>Dosa</v>
      </c>
      <c r="AC1044" s="2" t="str">
        <f t="shared" si="82"/>
        <v xml:space="preserve"> ROSEMERE </v>
      </c>
      <c r="AD1044" s="2">
        <f t="shared" si="83"/>
        <v>5</v>
      </c>
      <c r="AE1044" s="2">
        <f t="shared" ca="1" si="84"/>
        <v>-53.926271643518703</v>
      </c>
    </row>
    <row r="1045" spans="1:31" hidden="1">
      <c r="A1045" s="1">
        <v>9296891</v>
      </c>
      <c r="B1045" s="1" t="s">
        <v>101</v>
      </c>
      <c r="C1045" t="s">
        <v>1810</v>
      </c>
      <c r="E1045" s="2">
        <v>4012000206001</v>
      </c>
      <c r="F1045" s="1" t="s">
        <v>29</v>
      </c>
      <c r="G1045" s="1" t="s">
        <v>53</v>
      </c>
      <c r="H1045" s="1" t="s">
        <v>349</v>
      </c>
      <c r="I1045" s="1" t="s">
        <v>350</v>
      </c>
      <c r="J1045" s="1" t="s">
        <v>261</v>
      </c>
      <c r="K1045" t="s">
        <v>34</v>
      </c>
      <c r="M1045" s="1" t="s">
        <v>35</v>
      </c>
      <c r="N1045" s="1">
        <v>42318949</v>
      </c>
      <c r="O1045" s="1" t="s">
        <v>105</v>
      </c>
      <c r="P1045" s="11" t="s">
        <v>1818</v>
      </c>
      <c r="R1045" s="1" t="s">
        <v>38</v>
      </c>
      <c r="T1045" s="1" t="s">
        <v>74</v>
      </c>
      <c r="U1045" s="186">
        <v>44932.75</v>
      </c>
      <c r="V1045" s="1" t="s">
        <v>41</v>
      </c>
      <c r="W1045" s="1" t="s">
        <v>49</v>
      </c>
      <c r="X1045" s="13" t="str">
        <f>IF(RIGHT(H1045,2)&lt;&gt;"00",H1045,"")</f>
        <v/>
      </c>
      <c r="Y1045" s="2">
        <f ca="1">NETWORKDAYS(P1045,$Y$1)</f>
        <v>39</v>
      </c>
      <c r="Z1045" s="14">
        <v>1</v>
      </c>
      <c r="AA1045" s="1" t="str">
        <f t="shared" ca="1" si="80"/>
        <v>VENCIDO</v>
      </c>
      <c r="AB1045" s="1" t="str">
        <f t="shared" si="81"/>
        <v>Dosa</v>
      </c>
      <c r="AC1045" s="2" t="str">
        <f t="shared" si="82"/>
        <v xml:space="preserve"> CRISTINA </v>
      </c>
      <c r="AD1045" s="2">
        <f t="shared" si="83"/>
        <v>5</v>
      </c>
      <c r="AE1045" s="2">
        <f t="shared" ca="1" si="84"/>
        <v>-53.926271643518703</v>
      </c>
    </row>
    <row r="1046" spans="1:31" hidden="1">
      <c r="A1046" s="1">
        <v>9296815</v>
      </c>
      <c r="B1046" s="1" t="s">
        <v>101</v>
      </c>
      <c r="C1046" t="s">
        <v>1810</v>
      </c>
      <c r="E1046" s="2">
        <v>3924000206001</v>
      </c>
      <c r="F1046" s="1" t="s">
        <v>29</v>
      </c>
      <c r="G1046" s="1" t="s">
        <v>53</v>
      </c>
      <c r="H1046" s="1" t="s">
        <v>153</v>
      </c>
      <c r="I1046" s="1" t="s">
        <v>154</v>
      </c>
      <c r="J1046" s="1" t="s">
        <v>56</v>
      </c>
      <c r="K1046" t="s">
        <v>34</v>
      </c>
      <c r="M1046" s="1" t="s">
        <v>35</v>
      </c>
      <c r="N1046" s="1">
        <v>42318949</v>
      </c>
      <c r="O1046" s="1" t="s">
        <v>105</v>
      </c>
      <c r="P1046" s="11" t="s">
        <v>1819</v>
      </c>
      <c r="R1046" s="1" t="s">
        <v>38</v>
      </c>
      <c r="T1046" s="1" t="s">
        <v>74</v>
      </c>
      <c r="U1046" s="186">
        <v>44932.75</v>
      </c>
      <c r="V1046" s="1" t="s">
        <v>41</v>
      </c>
      <c r="W1046" s="1" t="s">
        <v>49</v>
      </c>
      <c r="X1046" s="13" t="str">
        <f>IF(RIGHT(H1046,2)&lt;&gt;"00",H1046,"")</f>
        <v/>
      </c>
      <c r="Y1046" s="2">
        <f ca="1">NETWORKDAYS(P1046,$Y$1)</f>
        <v>39</v>
      </c>
      <c r="Z1046" s="14">
        <v>1</v>
      </c>
      <c r="AA1046" s="1" t="str">
        <f t="shared" ca="1" si="80"/>
        <v>VENCIDO</v>
      </c>
      <c r="AB1046" s="1" t="str">
        <f t="shared" si="81"/>
        <v>Dosa</v>
      </c>
      <c r="AC1046" s="2" t="str">
        <f t="shared" si="82"/>
        <v xml:space="preserve"> CRISTINA </v>
      </c>
      <c r="AD1046" s="2">
        <f t="shared" si="83"/>
        <v>5</v>
      </c>
      <c r="AE1046" s="2">
        <f t="shared" ca="1" si="84"/>
        <v>-53.926271643518703</v>
      </c>
    </row>
    <row r="1047" spans="1:31" hidden="1">
      <c r="A1047" s="1">
        <v>9296722</v>
      </c>
      <c r="B1047" s="1" t="s">
        <v>101</v>
      </c>
      <c r="C1047" t="s">
        <v>1810</v>
      </c>
      <c r="E1047" s="2">
        <v>3802000206001</v>
      </c>
      <c r="F1047" s="1" t="s">
        <v>29</v>
      </c>
      <c r="G1047" s="1" t="s">
        <v>53</v>
      </c>
      <c r="H1047" s="1" t="s">
        <v>319</v>
      </c>
      <c r="I1047" s="1" t="s">
        <v>320</v>
      </c>
      <c r="J1047" s="1" t="s">
        <v>148</v>
      </c>
      <c r="K1047" t="s">
        <v>34</v>
      </c>
      <c r="M1047" s="1" t="s">
        <v>35</v>
      </c>
      <c r="N1047" s="1">
        <v>42318949</v>
      </c>
      <c r="O1047" s="1" t="s">
        <v>105</v>
      </c>
      <c r="P1047" s="11" t="s">
        <v>1822</v>
      </c>
      <c r="R1047" s="1" t="s">
        <v>38</v>
      </c>
      <c r="T1047" s="1" t="s">
        <v>74</v>
      </c>
      <c r="U1047" s="186">
        <v>44932.75</v>
      </c>
      <c r="V1047" s="1" t="s">
        <v>41</v>
      </c>
      <c r="W1047" s="1" t="s">
        <v>49</v>
      </c>
      <c r="X1047" s="13" t="str">
        <f>IF(RIGHT(H1047,2)&lt;&gt;"00",H1047,"")</f>
        <v/>
      </c>
      <c r="Y1047" s="2">
        <f ca="1">NETWORKDAYS(P1047,$Y$1)</f>
        <v>39</v>
      </c>
      <c r="Z1047" s="14">
        <v>1</v>
      </c>
      <c r="AA1047" s="1" t="str">
        <f t="shared" ca="1" si="80"/>
        <v>VENCIDO</v>
      </c>
      <c r="AB1047" s="1" t="str">
        <f t="shared" si="81"/>
        <v>Dosa</v>
      </c>
      <c r="AC1047" s="2" t="str">
        <f t="shared" si="82"/>
        <v xml:space="preserve"> RINALDO </v>
      </c>
      <c r="AD1047" s="2">
        <f t="shared" si="83"/>
        <v>5</v>
      </c>
      <c r="AE1047" s="2">
        <f t="shared" ca="1" si="84"/>
        <v>-53.926271643518703</v>
      </c>
    </row>
    <row r="1048" spans="1:31" hidden="1">
      <c r="A1048" s="1">
        <v>9296577</v>
      </c>
      <c r="B1048" s="1" t="s">
        <v>101</v>
      </c>
      <c r="C1048" t="s">
        <v>1810</v>
      </c>
      <c r="E1048" s="2">
        <v>3613200206001</v>
      </c>
      <c r="F1048" s="1" t="s">
        <v>29</v>
      </c>
      <c r="G1048" s="1" t="s">
        <v>53</v>
      </c>
      <c r="H1048" s="1" t="s">
        <v>496</v>
      </c>
      <c r="I1048" s="1" t="s">
        <v>198</v>
      </c>
      <c r="J1048" s="1" t="s">
        <v>46</v>
      </c>
      <c r="K1048" t="s">
        <v>34</v>
      </c>
      <c r="M1048" s="1" t="s">
        <v>35</v>
      </c>
      <c r="N1048" s="1">
        <v>42318949</v>
      </c>
      <c r="O1048" s="1" t="s">
        <v>105</v>
      </c>
      <c r="P1048" s="11" t="s">
        <v>1823</v>
      </c>
      <c r="R1048" s="1" t="s">
        <v>38</v>
      </c>
      <c r="T1048" s="1" t="s">
        <v>74</v>
      </c>
      <c r="U1048" s="186">
        <v>44932.75</v>
      </c>
      <c r="V1048" s="1" t="s">
        <v>41</v>
      </c>
      <c r="W1048" s="1" t="s">
        <v>49</v>
      </c>
      <c r="X1048" s="13" t="str">
        <f>IF(RIGHT(H1048,2)&lt;&gt;"00",H1048,"")</f>
        <v>3613.20</v>
      </c>
      <c r="Y1048" s="2">
        <f ca="1">NETWORKDAYS(P1048,$Y$1)</f>
        <v>39</v>
      </c>
      <c r="Z1048" s="14">
        <v>1</v>
      </c>
      <c r="AA1048" s="1" t="str">
        <f t="shared" ca="1" si="80"/>
        <v>VENCIDO</v>
      </c>
      <c r="AB1048" s="1" t="str">
        <f t="shared" si="81"/>
        <v>Dosa</v>
      </c>
      <c r="AC1048" s="2" t="str">
        <f t="shared" si="82"/>
        <v xml:space="preserve"> CLEITON </v>
      </c>
      <c r="AD1048" s="2">
        <f t="shared" si="83"/>
        <v>5</v>
      </c>
      <c r="AE1048" s="2">
        <f t="shared" ca="1" si="84"/>
        <v>-53.926271643518703</v>
      </c>
    </row>
    <row r="1049" spans="1:31" hidden="1">
      <c r="A1049" s="1">
        <v>9296500</v>
      </c>
      <c r="B1049" s="1" t="s">
        <v>101</v>
      </c>
      <c r="C1049" t="s">
        <v>1810</v>
      </c>
      <c r="E1049" s="2">
        <v>3504000206001</v>
      </c>
      <c r="F1049" s="1" t="s">
        <v>29</v>
      </c>
      <c r="G1049" s="1" t="s">
        <v>53</v>
      </c>
      <c r="H1049" s="1" t="s">
        <v>585</v>
      </c>
      <c r="I1049" s="1" t="s">
        <v>586</v>
      </c>
      <c r="J1049" s="1" t="s">
        <v>46</v>
      </c>
      <c r="K1049" t="s">
        <v>34</v>
      </c>
      <c r="M1049" s="1" t="s">
        <v>35</v>
      </c>
      <c r="N1049" s="1">
        <v>42318949</v>
      </c>
      <c r="O1049" s="1" t="s">
        <v>105</v>
      </c>
      <c r="P1049" s="11" t="s">
        <v>1824</v>
      </c>
      <c r="R1049" s="1" t="s">
        <v>38</v>
      </c>
      <c r="T1049" s="1" t="s">
        <v>74</v>
      </c>
      <c r="U1049" s="186">
        <v>44932.75</v>
      </c>
      <c r="V1049" s="1" t="s">
        <v>41</v>
      </c>
      <c r="W1049" s="1" t="s">
        <v>49</v>
      </c>
      <c r="X1049" s="13" t="str">
        <f>IF(RIGHT(H1049,2)&lt;&gt;"00",H1049,"")</f>
        <v/>
      </c>
      <c r="Y1049" s="2">
        <f ca="1">NETWORKDAYS(P1049,$Y$1)</f>
        <v>39</v>
      </c>
      <c r="Z1049" s="14">
        <v>1</v>
      </c>
      <c r="AA1049" s="1" t="str">
        <f t="shared" ca="1" si="80"/>
        <v>VENCIDO</v>
      </c>
      <c r="AB1049" s="1" t="str">
        <f t="shared" si="81"/>
        <v>Dosa</v>
      </c>
      <c r="AC1049" s="2" t="str">
        <f t="shared" si="82"/>
        <v xml:space="preserve"> CLEITON </v>
      </c>
      <c r="AD1049" s="2">
        <f t="shared" si="83"/>
        <v>5</v>
      </c>
      <c r="AE1049" s="2">
        <f t="shared" ca="1" si="84"/>
        <v>-53.926271643518703</v>
      </c>
    </row>
    <row r="1050" spans="1:31" hidden="1">
      <c r="A1050" s="1">
        <v>9296499</v>
      </c>
      <c r="B1050" s="1" t="s">
        <v>101</v>
      </c>
      <c r="C1050" t="s">
        <v>1810</v>
      </c>
      <c r="E1050" s="2">
        <v>3503000206001</v>
      </c>
      <c r="F1050" s="1" t="s">
        <v>29</v>
      </c>
      <c r="G1050" s="1" t="s">
        <v>53</v>
      </c>
      <c r="H1050" s="1" t="s">
        <v>398</v>
      </c>
      <c r="I1050" s="1" t="s">
        <v>399</v>
      </c>
      <c r="J1050" s="1" t="s">
        <v>46</v>
      </c>
      <c r="K1050" t="s">
        <v>34</v>
      </c>
      <c r="M1050" s="1" t="s">
        <v>35</v>
      </c>
      <c r="N1050" s="1">
        <v>42318949</v>
      </c>
      <c r="O1050" s="1" t="s">
        <v>105</v>
      </c>
      <c r="P1050" s="11" t="s">
        <v>1824</v>
      </c>
      <c r="R1050" s="1" t="s">
        <v>38</v>
      </c>
      <c r="T1050" s="1" t="s">
        <v>74</v>
      </c>
      <c r="U1050" s="186">
        <v>44932.75</v>
      </c>
      <c r="V1050" s="1" t="s">
        <v>41</v>
      </c>
      <c r="W1050" s="1" t="s">
        <v>49</v>
      </c>
      <c r="X1050" s="13" t="str">
        <f>IF(RIGHT(H1050,2)&lt;&gt;"00",H1050,"")</f>
        <v/>
      </c>
      <c r="Y1050" s="2">
        <f ca="1">NETWORKDAYS(P1050,$Y$1)</f>
        <v>39</v>
      </c>
      <c r="Z1050" s="14">
        <v>1</v>
      </c>
      <c r="AA1050" s="1" t="str">
        <f t="shared" ca="1" si="80"/>
        <v>VENCIDO</v>
      </c>
      <c r="AB1050" s="1" t="str">
        <f t="shared" si="81"/>
        <v>Dosa</v>
      </c>
      <c r="AC1050" s="2" t="str">
        <f t="shared" si="82"/>
        <v xml:space="preserve"> CLEITON </v>
      </c>
      <c r="AD1050" s="2">
        <f t="shared" si="83"/>
        <v>5</v>
      </c>
      <c r="AE1050" s="2">
        <f t="shared" ca="1" si="84"/>
        <v>-53.926271643518703</v>
      </c>
    </row>
    <row r="1051" spans="1:31" hidden="1">
      <c r="A1051" s="1">
        <v>9296455</v>
      </c>
      <c r="B1051" s="1" t="s">
        <v>101</v>
      </c>
      <c r="C1051" t="s">
        <v>1810</v>
      </c>
      <c r="E1051" s="2">
        <v>3434000206001</v>
      </c>
      <c r="F1051" s="1" t="s">
        <v>29</v>
      </c>
      <c r="G1051" s="1" t="s">
        <v>53</v>
      </c>
      <c r="H1051" s="1" t="s">
        <v>1825</v>
      </c>
      <c r="I1051" s="1" t="s">
        <v>1826</v>
      </c>
      <c r="J1051" s="1" t="s">
        <v>46</v>
      </c>
      <c r="K1051" t="s">
        <v>34</v>
      </c>
      <c r="M1051" s="1" t="s">
        <v>35</v>
      </c>
      <c r="N1051" s="1">
        <v>42318949</v>
      </c>
      <c r="O1051" s="1" t="s">
        <v>105</v>
      </c>
      <c r="P1051" s="11" t="s">
        <v>1827</v>
      </c>
      <c r="R1051" s="1" t="s">
        <v>38</v>
      </c>
      <c r="T1051" s="1" t="s">
        <v>74</v>
      </c>
      <c r="U1051" s="186">
        <v>44932.75</v>
      </c>
      <c r="V1051" s="1" t="s">
        <v>41</v>
      </c>
      <c r="W1051" s="1" t="s">
        <v>49</v>
      </c>
      <c r="X1051" s="13" t="str">
        <f>IF(RIGHT(H1051,2)&lt;&gt;"00",H1051,"")</f>
        <v/>
      </c>
      <c r="Y1051" s="2">
        <f ca="1">NETWORKDAYS(P1051,$Y$1)</f>
        <v>39</v>
      </c>
      <c r="Z1051" s="14">
        <v>1</v>
      </c>
      <c r="AA1051" s="1" t="str">
        <f t="shared" ca="1" si="80"/>
        <v>VENCIDO</v>
      </c>
      <c r="AB1051" s="1" t="str">
        <f t="shared" si="81"/>
        <v>Dosa</v>
      </c>
      <c r="AC1051" s="2" t="str">
        <f t="shared" si="82"/>
        <v xml:space="preserve"> CLEITON </v>
      </c>
      <c r="AD1051" s="2">
        <f t="shared" si="83"/>
        <v>5</v>
      </c>
      <c r="AE1051" s="2">
        <f t="shared" ca="1" si="84"/>
        <v>-53.926271643518703</v>
      </c>
    </row>
    <row r="1052" spans="1:31" hidden="1">
      <c r="A1052" s="1">
        <v>9296322</v>
      </c>
      <c r="B1052" s="1" t="s">
        <v>101</v>
      </c>
      <c r="C1052" t="s">
        <v>1810</v>
      </c>
      <c r="E1052" s="2">
        <v>3258000206001</v>
      </c>
      <c r="F1052" s="1" t="s">
        <v>29</v>
      </c>
      <c r="G1052" s="1" t="s">
        <v>53</v>
      </c>
      <c r="H1052" s="1" t="s">
        <v>321</v>
      </c>
      <c r="I1052" s="1" t="s">
        <v>322</v>
      </c>
      <c r="J1052" s="1" t="s">
        <v>46</v>
      </c>
      <c r="K1052" t="s">
        <v>34</v>
      </c>
      <c r="M1052" s="1" t="s">
        <v>35</v>
      </c>
      <c r="N1052" s="1">
        <v>42318949</v>
      </c>
      <c r="O1052" s="1" t="s">
        <v>105</v>
      </c>
      <c r="P1052" s="11" t="s">
        <v>1828</v>
      </c>
      <c r="R1052" s="1" t="s">
        <v>38</v>
      </c>
      <c r="T1052" s="1" t="s">
        <v>74</v>
      </c>
      <c r="U1052" s="11" t="s">
        <v>1341</v>
      </c>
      <c r="V1052" s="1" t="s">
        <v>41</v>
      </c>
      <c r="W1052" s="1" t="s">
        <v>49</v>
      </c>
      <c r="X1052" s="13" t="str">
        <f>IF(RIGHT(H1052,2)&lt;&gt;"00",H1052,"")</f>
        <v/>
      </c>
      <c r="Y1052" s="2">
        <f ca="1">NETWORKDAYS(P1052,$Y$1)</f>
        <v>39</v>
      </c>
      <c r="Z1052" s="14">
        <v>1</v>
      </c>
      <c r="AA1052" s="1" t="str">
        <f t="shared" ca="1" si="80"/>
        <v>VENCIDO</v>
      </c>
      <c r="AB1052" s="1" t="str">
        <f t="shared" si="81"/>
        <v>Dosa</v>
      </c>
      <c r="AC1052" s="2" t="str">
        <f t="shared" si="82"/>
        <v xml:space="preserve"> CLEITON </v>
      </c>
      <c r="AD1052" s="2">
        <f t="shared" si="83"/>
        <v>5</v>
      </c>
      <c r="AE1052" s="2">
        <f t="shared" ca="1" si="84"/>
        <v>-53.926271643518703</v>
      </c>
    </row>
    <row r="1053" spans="1:31" hidden="1">
      <c r="A1053" s="1">
        <v>9296314</v>
      </c>
      <c r="B1053" s="1" t="s">
        <v>101</v>
      </c>
      <c r="C1053" t="s">
        <v>1810</v>
      </c>
      <c r="E1053" s="2">
        <v>3250000206001</v>
      </c>
      <c r="F1053" s="1" t="s">
        <v>29</v>
      </c>
      <c r="G1053" s="1" t="s">
        <v>53</v>
      </c>
      <c r="H1053" s="1" t="s">
        <v>371</v>
      </c>
      <c r="I1053" s="1" t="s">
        <v>372</v>
      </c>
      <c r="J1053" s="1" t="s">
        <v>46</v>
      </c>
      <c r="K1053" t="s">
        <v>34</v>
      </c>
      <c r="M1053" s="1" t="s">
        <v>35</v>
      </c>
      <c r="N1053" s="1">
        <v>42318949</v>
      </c>
      <c r="O1053" s="1" t="s">
        <v>105</v>
      </c>
      <c r="P1053" s="11" t="s">
        <v>3619</v>
      </c>
      <c r="R1053" s="1" t="s">
        <v>38</v>
      </c>
      <c r="T1053" s="1" t="s">
        <v>74</v>
      </c>
      <c r="U1053" s="11" t="s">
        <v>1341</v>
      </c>
      <c r="V1053" s="1" t="s">
        <v>41</v>
      </c>
      <c r="W1053" s="1" t="s">
        <v>49</v>
      </c>
      <c r="X1053" s="13" t="str">
        <f>IF(RIGHT(H1053,2)&lt;&gt;"00",H1053,"")</f>
        <v/>
      </c>
      <c r="Y1053" s="2">
        <f ca="1">NETWORKDAYS(P1053,$Y$1)</f>
        <v>39</v>
      </c>
      <c r="Z1053" s="14">
        <v>1</v>
      </c>
      <c r="AA1053" s="1" t="str">
        <f t="shared" ca="1" si="80"/>
        <v>VENCIDO</v>
      </c>
      <c r="AB1053" s="1" t="str">
        <f t="shared" si="81"/>
        <v>Dosa</v>
      </c>
      <c r="AC1053" s="2" t="str">
        <f t="shared" si="82"/>
        <v xml:space="preserve"> CLEITON </v>
      </c>
      <c r="AD1053" s="2">
        <f t="shared" si="83"/>
        <v>5</v>
      </c>
      <c r="AE1053" s="2">
        <f t="shared" ca="1" si="84"/>
        <v>-53.926271643518703</v>
      </c>
    </row>
    <row r="1054" spans="1:31" hidden="1">
      <c r="A1054" s="1">
        <v>9296309</v>
      </c>
      <c r="B1054" s="1" t="s">
        <v>101</v>
      </c>
      <c r="C1054" t="s">
        <v>1810</v>
      </c>
      <c r="E1054" s="2">
        <v>3243000206001</v>
      </c>
      <c r="F1054" s="1" t="s">
        <v>29</v>
      </c>
      <c r="G1054" s="1" t="s">
        <v>53</v>
      </c>
      <c r="H1054" s="1" t="s">
        <v>282</v>
      </c>
      <c r="I1054" s="1" t="s">
        <v>283</v>
      </c>
      <c r="J1054" s="1" t="s">
        <v>46</v>
      </c>
      <c r="K1054" t="s">
        <v>34</v>
      </c>
      <c r="M1054" s="1" t="s">
        <v>35</v>
      </c>
      <c r="N1054" s="1">
        <v>42318949</v>
      </c>
      <c r="O1054" s="1" t="s">
        <v>105</v>
      </c>
      <c r="P1054" s="11" t="s">
        <v>3619</v>
      </c>
      <c r="R1054" s="1" t="s">
        <v>38</v>
      </c>
      <c r="T1054" s="1" t="s">
        <v>74</v>
      </c>
      <c r="U1054" s="11" t="s">
        <v>1341</v>
      </c>
      <c r="V1054" s="1" t="s">
        <v>41</v>
      </c>
      <c r="W1054" s="1" t="s">
        <v>49</v>
      </c>
      <c r="X1054" s="13" t="str">
        <f>IF(RIGHT(H1054,2)&lt;&gt;"00",H1054,"")</f>
        <v/>
      </c>
      <c r="Y1054" s="2">
        <f ca="1">NETWORKDAYS(P1054,$Y$1)</f>
        <v>39</v>
      </c>
      <c r="Z1054" s="14">
        <v>1</v>
      </c>
      <c r="AA1054" s="1" t="str">
        <f t="shared" ca="1" si="80"/>
        <v>VENCIDO</v>
      </c>
      <c r="AB1054" s="1" t="str">
        <f t="shared" si="81"/>
        <v>Dosa</v>
      </c>
      <c r="AC1054" s="2" t="str">
        <f t="shared" si="82"/>
        <v xml:space="preserve"> CLEITON </v>
      </c>
      <c r="AD1054" s="2">
        <f t="shared" si="83"/>
        <v>5</v>
      </c>
      <c r="AE1054" s="2">
        <f t="shared" ca="1" si="84"/>
        <v>-53.926271643518703</v>
      </c>
    </row>
    <row r="1055" spans="1:31" hidden="1">
      <c r="A1055" s="1">
        <v>9296308</v>
      </c>
      <c r="B1055" s="1" t="s">
        <v>101</v>
      </c>
      <c r="C1055" t="s">
        <v>1810</v>
      </c>
      <c r="E1055" s="2">
        <v>3242000206001</v>
      </c>
      <c r="F1055" s="1" t="s">
        <v>29</v>
      </c>
      <c r="G1055" s="1" t="s">
        <v>53</v>
      </c>
      <c r="H1055" s="1" t="s">
        <v>461</v>
      </c>
      <c r="I1055" s="1" t="s">
        <v>462</v>
      </c>
      <c r="J1055" s="1" t="s">
        <v>46</v>
      </c>
      <c r="K1055" t="s">
        <v>34</v>
      </c>
      <c r="M1055" s="1" t="s">
        <v>35</v>
      </c>
      <c r="N1055" s="1">
        <v>42318949</v>
      </c>
      <c r="O1055" s="1" t="s">
        <v>105</v>
      </c>
      <c r="P1055" s="11" t="s">
        <v>1829</v>
      </c>
      <c r="R1055" s="1" t="s">
        <v>38</v>
      </c>
      <c r="T1055" s="1" t="s">
        <v>74</v>
      </c>
      <c r="U1055" s="11" t="s">
        <v>1341</v>
      </c>
      <c r="V1055" s="1" t="s">
        <v>41</v>
      </c>
      <c r="W1055" s="1" t="s">
        <v>49</v>
      </c>
      <c r="X1055" s="13" t="str">
        <f>IF(RIGHT(H1055,2)&lt;&gt;"00",H1055,"")</f>
        <v/>
      </c>
      <c r="Y1055" s="2">
        <f ca="1">NETWORKDAYS(P1055,$Y$1)</f>
        <v>39</v>
      </c>
      <c r="Z1055" s="14">
        <v>1</v>
      </c>
      <c r="AA1055" s="1" t="str">
        <f t="shared" ca="1" si="80"/>
        <v>VENCIDO</v>
      </c>
      <c r="AB1055" s="1" t="str">
        <f t="shared" si="81"/>
        <v>Dosa</v>
      </c>
      <c r="AC1055" s="2" t="str">
        <f t="shared" si="82"/>
        <v xml:space="preserve"> CLEITON </v>
      </c>
      <c r="AD1055" s="2">
        <f t="shared" si="83"/>
        <v>5</v>
      </c>
      <c r="AE1055" s="2">
        <f t="shared" ca="1" si="84"/>
        <v>-53.926271643518703</v>
      </c>
    </row>
    <row r="1056" spans="1:31" hidden="1">
      <c r="A1056" s="1">
        <v>9296305</v>
      </c>
      <c r="B1056" s="1" t="s">
        <v>101</v>
      </c>
      <c r="C1056" t="s">
        <v>1810</v>
      </c>
      <c r="E1056" s="2">
        <v>3237000206001</v>
      </c>
      <c r="F1056" s="1" t="s">
        <v>29</v>
      </c>
      <c r="G1056" s="1" t="s">
        <v>53</v>
      </c>
      <c r="H1056" s="1" t="s">
        <v>287</v>
      </c>
      <c r="I1056" s="1" t="s">
        <v>288</v>
      </c>
      <c r="J1056" s="1" t="s">
        <v>46</v>
      </c>
      <c r="K1056" t="s">
        <v>34</v>
      </c>
      <c r="M1056" s="1" t="s">
        <v>35</v>
      </c>
      <c r="N1056" s="1">
        <v>42318949</v>
      </c>
      <c r="O1056" s="1" t="s">
        <v>105</v>
      </c>
      <c r="P1056" s="48">
        <v>44932.433148148149</v>
      </c>
      <c r="R1056" s="1" t="s">
        <v>38</v>
      </c>
      <c r="T1056" s="1" t="s">
        <v>74</v>
      </c>
      <c r="U1056" s="186">
        <v>44932.75</v>
      </c>
      <c r="V1056" s="1" t="s">
        <v>41</v>
      </c>
      <c r="W1056" s="1" t="s">
        <v>49</v>
      </c>
      <c r="X1056" s="13" t="str">
        <f>IF(RIGHT(H1056,2)&lt;&gt;"00",H1056,"")</f>
        <v/>
      </c>
      <c r="Y1056" s="2">
        <f ca="1">NETWORKDAYS(P1056,$Y$1)</f>
        <v>39</v>
      </c>
      <c r="Z1056" s="14">
        <v>1</v>
      </c>
      <c r="AA1056" s="1" t="str">
        <f t="shared" ca="1" si="80"/>
        <v>VENCIDO</v>
      </c>
      <c r="AB1056" s="1" t="str">
        <f t="shared" si="81"/>
        <v>Dosa</v>
      </c>
      <c r="AC1056" s="2" t="str">
        <f t="shared" si="82"/>
        <v xml:space="preserve"> CLEITON </v>
      </c>
      <c r="AD1056" s="2">
        <f t="shared" si="83"/>
        <v>5</v>
      </c>
      <c r="AE1056" s="2">
        <f t="shared" ca="1" si="84"/>
        <v>-53.926271643518703</v>
      </c>
    </row>
    <row r="1057" spans="1:31" hidden="1">
      <c r="A1057" s="1">
        <v>9296304</v>
      </c>
      <c r="B1057" s="1" t="s">
        <v>101</v>
      </c>
      <c r="C1057" t="s">
        <v>1810</v>
      </c>
      <c r="E1057" s="2">
        <v>3234000206001</v>
      </c>
      <c r="F1057" s="1" t="s">
        <v>29</v>
      </c>
      <c r="G1057" s="1" t="s">
        <v>53</v>
      </c>
      <c r="H1057" s="1" t="s">
        <v>1830</v>
      </c>
      <c r="I1057" s="1" t="s">
        <v>1831</v>
      </c>
      <c r="J1057" s="1" t="s">
        <v>46</v>
      </c>
      <c r="K1057" t="s">
        <v>34</v>
      </c>
      <c r="M1057" s="1" t="s">
        <v>35</v>
      </c>
      <c r="N1057" s="1">
        <v>42318949</v>
      </c>
      <c r="O1057" s="1" t="s">
        <v>105</v>
      </c>
      <c r="P1057" s="48">
        <v>44932.433148148149</v>
      </c>
      <c r="R1057" s="1" t="s">
        <v>38</v>
      </c>
      <c r="T1057" s="1" t="s">
        <v>74</v>
      </c>
      <c r="U1057" s="11" t="s">
        <v>1341</v>
      </c>
      <c r="V1057" s="1" t="s">
        <v>41</v>
      </c>
      <c r="W1057" s="1" t="s">
        <v>49</v>
      </c>
      <c r="X1057" s="13" t="str">
        <f>IF(RIGHT(H1057,2)&lt;&gt;"00",H1057,"")</f>
        <v/>
      </c>
      <c r="Y1057" s="2">
        <f ca="1">NETWORKDAYS(P1057,$Y$1)</f>
        <v>39</v>
      </c>
      <c r="Z1057" s="14">
        <v>1</v>
      </c>
      <c r="AA1057" s="1" t="str">
        <f t="shared" ca="1" si="80"/>
        <v>VENCIDO</v>
      </c>
      <c r="AB1057" s="1" t="str">
        <f t="shared" si="81"/>
        <v>Dosa</v>
      </c>
      <c r="AC1057" s="2" t="str">
        <f t="shared" si="82"/>
        <v xml:space="preserve"> CLEITON </v>
      </c>
      <c r="AD1057" s="2">
        <f t="shared" si="83"/>
        <v>5</v>
      </c>
      <c r="AE1057" s="2">
        <f t="shared" ca="1" si="84"/>
        <v>-53.926271643518703</v>
      </c>
    </row>
    <row r="1058" spans="1:31" hidden="1">
      <c r="A1058" s="1">
        <v>9296208</v>
      </c>
      <c r="B1058" s="1" t="s">
        <v>101</v>
      </c>
      <c r="C1058" t="s">
        <v>1810</v>
      </c>
      <c r="E1058" s="2">
        <v>3108010206001</v>
      </c>
      <c r="F1058" s="1" t="s">
        <v>29</v>
      </c>
      <c r="G1058" s="1" t="s">
        <v>53</v>
      </c>
      <c r="H1058" s="1" t="s">
        <v>503</v>
      </c>
      <c r="I1058" s="1" t="s">
        <v>504</v>
      </c>
      <c r="J1058" s="1" t="s">
        <v>46</v>
      </c>
      <c r="K1058" t="s">
        <v>34</v>
      </c>
      <c r="M1058" s="1" t="s">
        <v>35</v>
      </c>
      <c r="N1058" s="1">
        <v>42318949</v>
      </c>
      <c r="O1058" s="1" t="s">
        <v>105</v>
      </c>
      <c r="P1058" s="48">
        <v>44932.432997685188</v>
      </c>
      <c r="R1058" s="1" t="s">
        <v>38</v>
      </c>
      <c r="T1058" s="1" t="s">
        <v>74</v>
      </c>
      <c r="U1058" s="11" t="s">
        <v>1341</v>
      </c>
      <c r="V1058" s="1" t="s">
        <v>41</v>
      </c>
      <c r="W1058" s="1" t="s">
        <v>49</v>
      </c>
      <c r="X1058" s="13" t="str">
        <f>IF(RIGHT(H1058,2)&lt;&gt;"00",H1058,"")</f>
        <v>3108.01</v>
      </c>
      <c r="Y1058" s="2">
        <f ca="1">NETWORKDAYS(P1058,$Y$1)</f>
        <v>39</v>
      </c>
      <c r="Z1058" s="14">
        <v>1</v>
      </c>
      <c r="AA1058" s="1" t="str">
        <f t="shared" ca="1" si="80"/>
        <v>VENCIDO</v>
      </c>
      <c r="AB1058" s="1" t="str">
        <f t="shared" si="81"/>
        <v>Dosa</v>
      </c>
      <c r="AC1058" s="2" t="str">
        <f t="shared" si="82"/>
        <v xml:space="preserve"> CLEITON </v>
      </c>
      <c r="AD1058" s="2">
        <f t="shared" si="83"/>
        <v>5</v>
      </c>
      <c r="AE1058" s="2">
        <f t="shared" ca="1" si="84"/>
        <v>-53.926271643518703</v>
      </c>
    </row>
    <row r="1059" spans="1:31" hidden="1">
      <c r="A1059" s="1">
        <v>9296118</v>
      </c>
      <c r="B1059" s="1" t="s">
        <v>101</v>
      </c>
      <c r="C1059" t="s">
        <v>1810</v>
      </c>
      <c r="E1059" s="2">
        <v>2988000206001</v>
      </c>
      <c r="F1059" s="1" t="s">
        <v>29</v>
      </c>
      <c r="G1059" s="1" t="s">
        <v>53</v>
      </c>
      <c r="H1059" s="1" t="s">
        <v>536</v>
      </c>
      <c r="I1059" s="1" t="s">
        <v>537</v>
      </c>
      <c r="J1059" s="1" t="s">
        <v>46</v>
      </c>
      <c r="K1059" t="s">
        <v>34</v>
      </c>
      <c r="M1059" s="1" t="s">
        <v>35</v>
      </c>
      <c r="N1059" s="1">
        <v>42318949</v>
      </c>
      <c r="O1059" s="1" t="s">
        <v>105</v>
      </c>
      <c r="P1059" s="48">
        <v>44932.432847222219</v>
      </c>
      <c r="R1059" s="1" t="s">
        <v>38</v>
      </c>
      <c r="T1059" s="1" t="s">
        <v>74</v>
      </c>
      <c r="U1059" s="11" t="s">
        <v>1341</v>
      </c>
      <c r="V1059" s="1" t="s">
        <v>41</v>
      </c>
      <c r="W1059" s="1" t="s">
        <v>49</v>
      </c>
      <c r="X1059" s="13" t="str">
        <f>IF(RIGHT(H1059,2)&lt;&gt;"00",H1059,"")</f>
        <v/>
      </c>
      <c r="Y1059" s="2">
        <f ca="1">NETWORKDAYS(P1059,$Y$1)</f>
        <v>39</v>
      </c>
      <c r="Z1059" s="14">
        <v>1</v>
      </c>
      <c r="AA1059" s="1" t="str">
        <f t="shared" ca="1" si="80"/>
        <v>VENCIDO</v>
      </c>
      <c r="AB1059" s="1" t="str">
        <f t="shared" si="81"/>
        <v>Dosa</v>
      </c>
      <c r="AC1059" s="2" t="str">
        <f t="shared" si="82"/>
        <v xml:space="preserve"> CLEITON </v>
      </c>
      <c r="AD1059" s="2">
        <f t="shared" si="83"/>
        <v>5</v>
      </c>
      <c r="AE1059" s="2">
        <f t="shared" ca="1" si="84"/>
        <v>-53.926271643518703</v>
      </c>
    </row>
    <row r="1060" spans="1:31" hidden="1">
      <c r="A1060" s="1">
        <v>9296006</v>
      </c>
      <c r="B1060" s="1" t="s">
        <v>101</v>
      </c>
      <c r="C1060" t="s">
        <v>1810</v>
      </c>
      <c r="E1060" s="2">
        <v>2855000206001</v>
      </c>
      <c r="F1060" s="1" t="s">
        <v>29</v>
      </c>
      <c r="G1060" s="1" t="s">
        <v>53</v>
      </c>
      <c r="H1060" s="1" t="s">
        <v>249</v>
      </c>
      <c r="I1060" s="1" t="s">
        <v>250</v>
      </c>
      <c r="J1060" s="1" t="s">
        <v>56</v>
      </c>
      <c r="K1060" t="s">
        <v>34</v>
      </c>
      <c r="M1060" s="1" t="s">
        <v>35</v>
      </c>
      <c r="N1060" s="1">
        <v>42318949</v>
      </c>
      <c r="O1060" s="1" t="s">
        <v>105</v>
      </c>
      <c r="P1060" s="48">
        <v>44932.432662037034</v>
      </c>
      <c r="R1060" s="1" t="s">
        <v>38</v>
      </c>
      <c r="T1060" s="1" t="s">
        <v>74</v>
      </c>
      <c r="U1060" s="186">
        <v>44932.75</v>
      </c>
      <c r="V1060" s="1" t="s">
        <v>41</v>
      </c>
      <c r="W1060" s="1" t="s">
        <v>49</v>
      </c>
      <c r="X1060" s="13" t="str">
        <f>IF(RIGHT(H1060,2)&lt;&gt;"00",H1060,"")</f>
        <v/>
      </c>
      <c r="Y1060" s="2">
        <f ca="1">NETWORKDAYS(P1060,$Y$1)</f>
        <v>39</v>
      </c>
      <c r="Z1060" s="14">
        <v>1</v>
      </c>
      <c r="AA1060" s="1" t="str">
        <f t="shared" ca="1" si="80"/>
        <v>VENCIDO</v>
      </c>
      <c r="AB1060" s="1" t="str">
        <f t="shared" si="81"/>
        <v>Dosa</v>
      </c>
      <c r="AC1060" s="2" t="str">
        <f t="shared" si="82"/>
        <v xml:space="preserve"> CRISTINA </v>
      </c>
      <c r="AD1060" s="2">
        <f t="shared" si="83"/>
        <v>5</v>
      </c>
      <c r="AE1060" s="2">
        <f t="shared" ca="1" si="84"/>
        <v>-53.926271643518703</v>
      </c>
    </row>
    <row r="1061" spans="1:31" hidden="1">
      <c r="A1061" s="1">
        <v>9295986</v>
      </c>
      <c r="B1061" s="1" t="s">
        <v>101</v>
      </c>
      <c r="C1061" t="s">
        <v>1810</v>
      </c>
      <c r="E1061" s="2">
        <v>2830000206001</v>
      </c>
      <c r="F1061" s="1" t="s">
        <v>29</v>
      </c>
      <c r="G1061" s="1" t="s">
        <v>53</v>
      </c>
      <c r="H1061" s="1" t="s">
        <v>448</v>
      </c>
      <c r="I1061" s="1" t="s">
        <v>449</v>
      </c>
      <c r="J1061" s="1" t="s">
        <v>33</v>
      </c>
      <c r="K1061" t="s">
        <v>34</v>
      </c>
      <c r="M1061" s="1" t="s">
        <v>35</v>
      </c>
      <c r="N1061" s="1">
        <v>42318949</v>
      </c>
      <c r="O1061" s="1" t="s">
        <v>105</v>
      </c>
      <c r="P1061" s="48">
        <v>44932.432638888888</v>
      </c>
      <c r="R1061" s="1" t="s">
        <v>38</v>
      </c>
      <c r="T1061" s="1" t="s">
        <v>74</v>
      </c>
      <c r="U1061" s="11" t="s">
        <v>1341</v>
      </c>
      <c r="V1061" s="1" t="s">
        <v>41</v>
      </c>
      <c r="W1061" s="1" t="s">
        <v>42</v>
      </c>
      <c r="X1061" s="13" t="str">
        <f>IF(RIGHT(H1061,2)&lt;&gt;"00",H1061,"")</f>
        <v/>
      </c>
      <c r="Y1061" s="2">
        <f ca="1">NETWORKDAYS(P1061,$Y$1)</f>
        <v>39</v>
      </c>
      <c r="Z1061" s="14">
        <v>1</v>
      </c>
      <c r="AA1061" s="1" t="str">
        <f t="shared" ca="1" si="80"/>
        <v>VENCIDO</v>
      </c>
      <c r="AB1061" s="1" t="str">
        <f t="shared" si="81"/>
        <v>Dosa</v>
      </c>
      <c r="AC1061" s="2" t="str">
        <f t="shared" si="82"/>
        <v xml:space="preserve"> ROSEMERE </v>
      </c>
      <c r="AD1061" s="2">
        <f t="shared" si="83"/>
        <v>5</v>
      </c>
      <c r="AE1061" s="2">
        <f t="shared" ca="1" si="84"/>
        <v>-53.926271643518703</v>
      </c>
    </row>
    <row r="1062" spans="1:31" hidden="1">
      <c r="A1062" s="1">
        <v>9295960</v>
      </c>
      <c r="B1062" s="1" t="s">
        <v>101</v>
      </c>
      <c r="C1062" t="s">
        <v>1810</v>
      </c>
      <c r="E1062" s="2">
        <v>2802080206001</v>
      </c>
      <c r="F1062" s="1" t="s">
        <v>29</v>
      </c>
      <c r="G1062" s="1" t="s">
        <v>53</v>
      </c>
      <c r="H1062" s="1" t="s">
        <v>1834</v>
      </c>
      <c r="I1062" s="1" t="s">
        <v>500</v>
      </c>
      <c r="J1062" s="1" t="s">
        <v>46</v>
      </c>
      <c r="K1062" t="s">
        <v>34</v>
      </c>
      <c r="M1062" s="1" t="s">
        <v>35</v>
      </c>
      <c r="N1062" s="1">
        <v>42318949</v>
      </c>
      <c r="O1062" s="1" t="s">
        <v>105</v>
      </c>
      <c r="P1062" s="48">
        <v>44932.432604166665</v>
      </c>
      <c r="R1062" s="1" t="s">
        <v>38</v>
      </c>
      <c r="T1062" s="1" t="s">
        <v>74</v>
      </c>
      <c r="U1062" s="11" t="s">
        <v>1341</v>
      </c>
      <c r="V1062" s="1" t="s">
        <v>41</v>
      </c>
      <c r="W1062" s="1" t="s">
        <v>49</v>
      </c>
      <c r="X1062" s="13" t="str">
        <f>IF(RIGHT(H1062,2)&lt;&gt;"00",H1062,"")</f>
        <v>2802.08</v>
      </c>
      <c r="Y1062" s="2">
        <f ca="1">NETWORKDAYS(P1062,$Y$1)</f>
        <v>39</v>
      </c>
      <c r="Z1062" s="14">
        <v>1</v>
      </c>
      <c r="AA1062" s="1" t="str">
        <f t="shared" ca="1" si="80"/>
        <v>VENCIDO</v>
      </c>
      <c r="AB1062" s="1" t="str">
        <f t="shared" si="81"/>
        <v>Dosa</v>
      </c>
      <c r="AC1062" s="2" t="str">
        <f t="shared" si="82"/>
        <v xml:space="preserve"> CLEITON </v>
      </c>
      <c r="AD1062" s="2">
        <f t="shared" si="83"/>
        <v>5</v>
      </c>
      <c r="AE1062" s="2">
        <f t="shared" ca="1" si="84"/>
        <v>-53.926271643518703</v>
      </c>
    </row>
    <row r="1063" spans="1:31" hidden="1">
      <c r="A1063" s="1">
        <v>9295959</v>
      </c>
      <c r="B1063" s="1" t="s">
        <v>101</v>
      </c>
      <c r="C1063" t="s">
        <v>1810</v>
      </c>
      <c r="E1063" s="2">
        <v>2802000206001</v>
      </c>
      <c r="F1063" s="1" t="s">
        <v>29</v>
      </c>
      <c r="G1063" s="1" t="s">
        <v>53</v>
      </c>
      <c r="H1063" s="1" t="s">
        <v>388</v>
      </c>
      <c r="I1063" s="1" t="s">
        <v>389</v>
      </c>
      <c r="J1063" s="1" t="s">
        <v>46</v>
      </c>
      <c r="K1063" t="s">
        <v>34</v>
      </c>
      <c r="M1063" s="1" t="s">
        <v>35</v>
      </c>
      <c r="N1063" s="1">
        <v>42318949</v>
      </c>
      <c r="O1063" s="1" t="s">
        <v>105</v>
      </c>
      <c r="P1063" s="48">
        <v>44932.432592592595</v>
      </c>
      <c r="R1063" s="1" t="s">
        <v>38</v>
      </c>
      <c r="T1063" s="1" t="s">
        <v>74</v>
      </c>
      <c r="U1063" s="11" t="s">
        <v>1341</v>
      </c>
      <c r="V1063" s="1" t="s">
        <v>41</v>
      </c>
      <c r="W1063" s="1" t="s">
        <v>49</v>
      </c>
      <c r="X1063" s="13" t="str">
        <f>IF(RIGHT(H1063,2)&lt;&gt;"00",H1063,"")</f>
        <v/>
      </c>
      <c r="Y1063" s="2">
        <f ca="1">NETWORKDAYS(P1063,$Y$1)</f>
        <v>39</v>
      </c>
      <c r="Z1063" s="14">
        <v>1</v>
      </c>
      <c r="AA1063" s="1" t="str">
        <f t="shared" ca="1" si="80"/>
        <v>VENCIDO</v>
      </c>
      <c r="AB1063" s="1" t="str">
        <f t="shared" si="81"/>
        <v>Dosa</v>
      </c>
      <c r="AC1063" s="2" t="str">
        <f t="shared" si="82"/>
        <v xml:space="preserve"> CLEITON </v>
      </c>
      <c r="AD1063" s="2">
        <f t="shared" si="83"/>
        <v>5</v>
      </c>
      <c r="AE1063" s="2">
        <f t="shared" ca="1" si="84"/>
        <v>-53.926271643518703</v>
      </c>
    </row>
    <row r="1064" spans="1:31" hidden="1">
      <c r="A1064" s="1">
        <v>9295897</v>
      </c>
      <c r="B1064" s="1" t="s">
        <v>101</v>
      </c>
      <c r="C1064" t="s">
        <v>1810</v>
      </c>
      <c r="E1064" s="2">
        <v>2737000206001</v>
      </c>
      <c r="F1064" s="1" t="s">
        <v>29</v>
      </c>
      <c r="G1064" s="1" t="s">
        <v>53</v>
      </c>
      <c r="H1064" s="1" t="s">
        <v>311</v>
      </c>
      <c r="I1064" s="1" t="s">
        <v>312</v>
      </c>
      <c r="J1064" s="1" t="s">
        <v>90</v>
      </c>
      <c r="K1064" t="s">
        <v>34</v>
      </c>
      <c r="M1064" s="1" t="s">
        <v>35</v>
      </c>
      <c r="N1064" s="1">
        <v>42318949</v>
      </c>
      <c r="O1064" s="1" t="s">
        <v>105</v>
      </c>
      <c r="P1064" s="48">
        <v>44932.432511574072</v>
      </c>
      <c r="R1064" s="1" t="s">
        <v>38</v>
      </c>
      <c r="T1064" s="1" t="s">
        <v>74</v>
      </c>
      <c r="U1064" s="11" t="s">
        <v>1341</v>
      </c>
      <c r="V1064" s="1" t="s">
        <v>41</v>
      </c>
      <c r="W1064" s="1" t="s">
        <v>49</v>
      </c>
      <c r="X1064" s="13" t="str">
        <f>IF(RIGHT(H1064,2)&lt;&gt;"00",H1064,"")</f>
        <v/>
      </c>
      <c r="Y1064" s="2">
        <f ca="1">NETWORKDAYS(P1064,$Y$1)</f>
        <v>39</v>
      </c>
      <c r="Z1064" s="14">
        <v>1</v>
      </c>
      <c r="AA1064" s="1" t="str">
        <f t="shared" ca="1" si="80"/>
        <v>VENCIDO</v>
      </c>
      <c r="AB1064" s="1" t="str">
        <f t="shared" si="81"/>
        <v>Dosa</v>
      </c>
      <c r="AC1064" s="2" t="str">
        <f t="shared" si="82"/>
        <v xml:space="preserve"> RINALDO </v>
      </c>
      <c r="AD1064" s="2">
        <f t="shared" si="83"/>
        <v>5</v>
      </c>
      <c r="AE1064" s="2">
        <f t="shared" ca="1" si="84"/>
        <v>-53.926271643518703</v>
      </c>
    </row>
    <row r="1065" spans="1:31" hidden="1">
      <c r="A1065" s="1">
        <v>9295858</v>
      </c>
      <c r="B1065" s="1" t="s">
        <v>101</v>
      </c>
      <c r="C1065" t="s">
        <v>1810</v>
      </c>
      <c r="E1065" s="2">
        <v>2693000206001</v>
      </c>
      <c r="F1065" s="1" t="s">
        <v>29</v>
      </c>
      <c r="G1065" s="1" t="s">
        <v>53</v>
      </c>
      <c r="H1065" s="1" t="s">
        <v>253</v>
      </c>
      <c r="I1065" s="1" t="s">
        <v>254</v>
      </c>
      <c r="J1065" s="1" t="s">
        <v>56</v>
      </c>
      <c r="K1065" t="s">
        <v>34</v>
      </c>
      <c r="M1065" s="1" t="s">
        <v>35</v>
      </c>
      <c r="N1065" s="1">
        <v>42318949</v>
      </c>
      <c r="O1065" s="1" t="s">
        <v>105</v>
      </c>
      <c r="P1065" s="48">
        <v>44932.432453703703</v>
      </c>
      <c r="R1065" s="1" t="s">
        <v>38</v>
      </c>
      <c r="T1065" s="1" t="s">
        <v>74</v>
      </c>
      <c r="U1065" s="11" t="s">
        <v>1341</v>
      </c>
      <c r="V1065" s="1" t="s">
        <v>41</v>
      </c>
      <c r="W1065" s="1" t="s">
        <v>49</v>
      </c>
      <c r="X1065" s="13" t="str">
        <f>IF(RIGHT(H1065,2)&lt;&gt;"00",H1065,"")</f>
        <v/>
      </c>
      <c r="Y1065" s="2">
        <f ca="1">NETWORKDAYS(P1065,$Y$1)</f>
        <v>39</v>
      </c>
      <c r="Z1065" s="14">
        <v>1</v>
      </c>
      <c r="AA1065" s="1" t="str">
        <f t="shared" ca="1" si="80"/>
        <v>VENCIDO</v>
      </c>
      <c r="AB1065" s="1" t="str">
        <f t="shared" si="81"/>
        <v>Dosa</v>
      </c>
      <c r="AC1065" s="2" t="str">
        <f t="shared" si="82"/>
        <v xml:space="preserve"> CRISTINA </v>
      </c>
      <c r="AD1065" s="2">
        <f t="shared" si="83"/>
        <v>5</v>
      </c>
      <c r="AE1065" s="2">
        <f t="shared" ca="1" si="84"/>
        <v>-53.926271643518703</v>
      </c>
    </row>
    <row r="1066" spans="1:31" hidden="1">
      <c r="A1066" s="1">
        <v>9295849</v>
      </c>
      <c r="B1066" s="1" t="s">
        <v>101</v>
      </c>
      <c r="C1066" t="s">
        <v>1810</v>
      </c>
      <c r="E1066" s="2">
        <v>2683000206001</v>
      </c>
      <c r="F1066" s="1" t="s">
        <v>29</v>
      </c>
      <c r="G1066" s="1" t="s">
        <v>53</v>
      </c>
      <c r="H1066" s="1" t="s">
        <v>276</v>
      </c>
      <c r="I1066" s="1" t="s">
        <v>277</v>
      </c>
      <c r="J1066" s="1" t="s">
        <v>90</v>
      </c>
      <c r="K1066" t="s">
        <v>34</v>
      </c>
      <c r="M1066" s="1" t="s">
        <v>35</v>
      </c>
      <c r="N1066" s="1">
        <v>42318949</v>
      </c>
      <c r="O1066" s="1" t="s">
        <v>105</v>
      </c>
      <c r="P1066" s="186">
        <v>44932.432442129626</v>
      </c>
      <c r="R1066" s="1" t="s">
        <v>38</v>
      </c>
      <c r="T1066" s="1" t="s">
        <v>74</v>
      </c>
      <c r="U1066" s="186">
        <v>44932.75</v>
      </c>
      <c r="V1066" s="1" t="s">
        <v>41</v>
      </c>
      <c r="W1066" s="1" t="s">
        <v>49</v>
      </c>
      <c r="X1066" s="13" t="str">
        <f>IF(RIGHT(H1066,2)&lt;&gt;"00",H1066,"")</f>
        <v/>
      </c>
      <c r="Y1066" s="2">
        <f ca="1">NETWORKDAYS(P1066,$Y$1)</f>
        <v>39</v>
      </c>
      <c r="Z1066" s="14">
        <v>1</v>
      </c>
      <c r="AA1066" s="1" t="str">
        <f t="shared" ca="1" si="80"/>
        <v>VENCIDO</v>
      </c>
      <c r="AB1066" s="1" t="str">
        <f t="shared" si="81"/>
        <v>Dosa</v>
      </c>
      <c r="AC1066" s="2" t="str">
        <f t="shared" si="82"/>
        <v xml:space="preserve"> RINALDO </v>
      </c>
      <c r="AD1066" s="2">
        <f t="shared" si="83"/>
        <v>5</v>
      </c>
      <c r="AE1066" s="2">
        <f t="shared" ca="1" si="84"/>
        <v>-53.926271643518703</v>
      </c>
    </row>
    <row r="1067" spans="1:31" hidden="1">
      <c r="A1067" s="1">
        <v>9295845</v>
      </c>
      <c r="B1067" s="1" t="s">
        <v>101</v>
      </c>
      <c r="C1067" t="s">
        <v>1810</v>
      </c>
      <c r="E1067" s="2">
        <v>2678000206001</v>
      </c>
      <c r="F1067" s="1" t="s">
        <v>29</v>
      </c>
      <c r="G1067" s="1" t="s">
        <v>53</v>
      </c>
      <c r="H1067" s="1" t="s">
        <v>992</v>
      </c>
      <c r="I1067" s="1" t="s">
        <v>993</v>
      </c>
      <c r="J1067" s="1" t="s">
        <v>33</v>
      </c>
      <c r="K1067" t="s">
        <v>34</v>
      </c>
      <c r="M1067" s="1" t="s">
        <v>35</v>
      </c>
      <c r="N1067" s="1">
        <v>42318949</v>
      </c>
      <c r="O1067" s="1" t="s">
        <v>105</v>
      </c>
      <c r="P1067" s="186">
        <v>44932.432442129626</v>
      </c>
      <c r="R1067" s="1" t="s">
        <v>38</v>
      </c>
      <c r="T1067" s="1" t="s">
        <v>74</v>
      </c>
      <c r="U1067" s="186">
        <v>44932.75</v>
      </c>
      <c r="V1067" s="1" t="s">
        <v>41</v>
      </c>
      <c r="W1067" s="1" t="s">
        <v>42</v>
      </c>
      <c r="X1067" s="13" t="str">
        <f>IF(RIGHT(H1067,2)&lt;&gt;"00",H1067,"")</f>
        <v/>
      </c>
      <c r="Y1067" s="2">
        <f ca="1">NETWORKDAYS(P1067,$Y$1)</f>
        <v>39</v>
      </c>
      <c r="Z1067" s="14">
        <v>1</v>
      </c>
      <c r="AA1067" s="1" t="str">
        <f t="shared" ca="1" si="80"/>
        <v>VENCIDO</v>
      </c>
      <c r="AB1067" s="1" t="str">
        <f t="shared" si="81"/>
        <v>Dosa</v>
      </c>
      <c r="AC1067" s="2" t="str">
        <f t="shared" si="82"/>
        <v xml:space="preserve"> ROSEMERE </v>
      </c>
      <c r="AD1067" s="2">
        <f t="shared" si="83"/>
        <v>5</v>
      </c>
      <c r="AE1067" s="2">
        <f t="shared" ca="1" si="84"/>
        <v>-53.926271643518703</v>
      </c>
    </row>
    <row r="1068" spans="1:31" hidden="1">
      <c r="A1068" s="1">
        <v>9295840</v>
      </c>
      <c r="B1068" s="1" t="s">
        <v>101</v>
      </c>
      <c r="C1068" t="s">
        <v>1810</v>
      </c>
      <c r="E1068" s="2">
        <v>2669000206001</v>
      </c>
      <c r="F1068" s="1" t="s">
        <v>29</v>
      </c>
      <c r="G1068" s="1" t="s">
        <v>53</v>
      </c>
      <c r="H1068" s="1" t="s">
        <v>561</v>
      </c>
      <c r="I1068" s="1" t="s">
        <v>562</v>
      </c>
      <c r="J1068" s="1" t="s">
        <v>110</v>
      </c>
      <c r="K1068" t="s">
        <v>34</v>
      </c>
      <c r="M1068" s="1" t="s">
        <v>35</v>
      </c>
      <c r="N1068" s="1">
        <v>42318949</v>
      </c>
      <c r="O1068" s="1" t="s">
        <v>36</v>
      </c>
      <c r="P1068" s="186">
        <v>44932.432430555556</v>
      </c>
      <c r="R1068" s="1" t="s">
        <v>38</v>
      </c>
      <c r="T1068" s="1" t="s">
        <v>74</v>
      </c>
      <c r="U1068" s="186">
        <v>44932.75</v>
      </c>
      <c r="V1068" s="1" t="s">
        <v>41</v>
      </c>
      <c r="W1068" s="1" t="s">
        <v>49</v>
      </c>
      <c r="X1068" s="13" t="str">
        <f>IF(RIGHT(H1068,2)&lt;&gt;"00",H1068,"")</f>
        <v/>
      </c>
      <c r="Y1068" s="2">
        <f ca="1">NETWORKDAYS(P1068,$Y$1)</f>
        <v>39</v>
      </c>
      <c r="Z1068" s="14">
        <v>1</v>
      </c>
      <c r="AA1068" s="1" t="str">
        <f t="shared" ca="1" si="80"/>
        <v>VENCIDO</v>
      </c>
      <c r="AB1068" s="1" t="str">
        <f t="shared" si="81"/>
        <v>Dosa</v>
      </c>
      <c r="AC1068" s="2" t="str">
        <f t="shared" si="82"/>
        <v xml:space="preserve"> CRISTINA </v>
      </c>
      <c r="AD1068" s="2">
        <f t="shared" si="83"/>
        <v>5</v>
      </c>
      <c r="AE1068" s="2">
        <f t="shared" ca="1" si="84"/>
        <v>-53.926271643518703</v>
      </c>
    </row>
    <row r="1069" spans="1:31" hidden="1">
      <c r="A1069" s="1">
        <v>9295800</v>
      </c>
      <c r="B1069" s="1" t="s">
        <v>101</v>
      </c>
      <c r="C1069" t="s">
        <v>1810</v>
      </c>
      <c r="E1069" s="2">
        <v>2625000206001</v>
      </c>
      <c r="F1069" s="1" t="s">
        <v>29</v>
      </c>
      <c r="G1069" s="1" t="s">
        <v>53</v>
      </c>
      <c r="H1069" s="1" t="s">
        <v>317</v>
      </c>
      <c r="I1069" s="1" t="s">
        <v>318</v>
      </c>
      <c r="J1069" s="1" t="s">
        <v>164</v>
      </c>
      <c r="K1069" t="s">
        <v>34</v>
      </c>
      <c r="M1069" s="1" t="s">
        <v>35</v>
      </c>
      <c r="N1069" s="1">
        <v>42318949</v>
      </c>
      <c r="O1069" s="1" t="s">
        <v>105</v>
      </c>
      <c r="P1069" s="186">
        <v>44932.432384259257</v>
      </c>
      <c r="R1069" s="1" t="s">
        <v>38</v>
      </c>
      <c r="T1069" s="1" t="s">
        <v>74</v>
      </c>
      <c r="U1069" s="186">
        <v>44932.75</v>
      </c>
      <c r="V1069" s="1" t="s">
        <v>41</v>
      </c>
      <c r="W1069" s="1" t="s">
        <v>49</v>
      </c>
      <c r="X1069" s="13" t="str">
        <f>IF(RIGHT(H1069,2)&lt;&gt;"00",H1069,"")</f>
        <v/>
      </c>
      <c r="Y1069" s="2">
        <f ca="1">NETWORKDAYS(P1069,$Y$1)</f>
        <v>39</v>
      </c>
      <c r="Z1069" s="14">
        <v>1</v>
      </c>
      <c r="AA1069" s="1" t="str">
        <f t="shared" ca="1" si="80"/>
        <v>VENCIDO</v>
      </c>
      <c r="AB1069" s="1" t="str">
        <f t="shared" si="81"/>
        <v>Dosa</v>
      </c>
      <c r="AC1069" s="2" t="str">
        <f t="shared" si="82"/>
        <v xml:space="preserve"> ROSEMERE </v>
      </c>
      <c r="AD1069" s="2">
        <f t="shared" si="83"/>
        <v>5</v>
      </c>
      <c r="AE1069" s="2">
        <f t="shared" ca="1" si="84"/>
        <v>-53.926271643518703</v>
      </c>
    </row>
    <row r="1070" spans="1:31" hidden="1">
      <c r="A1070" s="1">
        <v>9295771</v>
      </c>
      <c r="B1070" s="1" t="s">
        <v>101</v>
      </c>
      <c r="C1070" t="s">
        <v>1810</v>
      </c>
      <c r="E1070" s="2">
        <v>2590000206001</v>
      </c>
      <c r="F1070" s="1" t="s">
        <v>29</v>
      </c>
      <c r="G1070" s="1" t="s">
        <v>53</v>
      </c>
      <c r="H1070" s="1" t="s">
        <v>394</v>
      </c>
      <c r="I1070" s="1" t="s">
        <v>395</v>
      </c>
      <c r="J1070" s="1" t="s">
        <v>148</v>
      </c>
      <c r="K1070" t="s">
        <v>34</v>
      </c>
      <c r="M1070" s="1" t="s">
        <v>35</v>
      </c>
      <c r="N1070" s="1">
        <v>42318949</v>
      </c>
      <c r="O1070" s="1" t="s">
        <v>105</v>
      </c>
      <c r="P1070" s="186">
        <v>44932.432337962964</v>
      </c>
      <c r="R1070" s="1" t="s">
        <v>38</v>
      </c>
      <c r="T1070" s="1" t="s">
        <v>74</v>
      </c>
      <c r="U1070" s="186">
        <v>44932.75</v>
      </c>
      <c r="V1070" s="1" t="s">
        <v>41</v>
      </c>
      <c r="W1070" s="1" t="s">
        <v>49</v>
      </c>
      <c r="X1070" s="13" t="str">
        <f>IF(RIGHT(H1070,2)&lt;&gt;"00",H1070,"")</f>
        <v/>
      </c>
      <c r="Y1070" s="2">
        <f ca="1">NETWORKDAYS(P1070,$Y$1)</f>
        <v>39</v>
      </c>
      <c r="Z1070" s="14">
        <v>1</v>
      </c>
      <c r="AA1070" s="1" t="str">
        <f t="shared" ca="1" si="80"/>
        <v>VENCIDO</v>
      </c>
      <c r="AB1070" s="1" t="str">
        <f t="shared" si="81"/>
        <v>Dosa</v>
      </c>
      <c r="AC1070" s="2" t="str">
        <f t="shared" si="82"/>
        <v xml:space="preserve"> RINALDO </v>
      </c>
      <c r="AD1070" s="2">
        <f t="shared" si="83"/>
        <v>5</v>
      </c>
      <c r="AE1070" s="2">
        <f t="shared" ca="1" si="84"/>
        <v>-53.926271643518703</v>
      </c>
    </row>
    <row r="1071" spans="1:31" hidden="1">
      <c r="A1071" s="1">
        <v>9295742</v>
      </c>
      <c r="B1071" s="1" t="s">
        <v>101</v>
      </c>
      <c r="C1071" t="s">
        <v>1810</v>
      </c>
      <c r="E1071" s="2">
        <v>2564000206001</v>
      </c>
      <c r="F1071" s="1" t="s">
        <v>29</v>
      </c>
      <c r="G1071" s="1" t="s">
        <v>53</v>
      </c>
      <c r="H1071" s="1" t="s">
        <v>255</v>
      </c>
      <c r="I1071" s="1" t="s">
        <v>256</v>
      </c>
      <c r="J1071" s="1" t="s">
        <v>164</v>
      </c>
      <c r="K1071" t="s">
        <v>34</v>
      </c>
      <c r="M1071" s="1" t="s">
        <v>35</v>
      </c>
      <c r="N1071" s="1">
        <v>42318949</v>
      </c>
      <c r="O1071" s="1" t="s">
        <v>105</v>
      </c>
      <c r="P1071" s="186">
        <v>44932.432303240741</v>
      </c>
      <c r="R1071" s="1" t="s">
        <v>38</v>
      </c>
      <c r="T1071" s="1" t="s">
        <v>74</v>
      </c>
      <c r="U1071" s="186">
        <v>44932.75</v>
      </c>
      <c r="V1071" s="1" t="s">
        <v>41</v>
      </c>
      <c r="W1071" s="1" t="s">
        <v>49</v>
      </c>
      <c r="X1071" s="13" t="str">
        <f>IF(RIGHT(H1071,2)&lt;&gt;"00",H1071,"")</f>
        <v/>
      </c>
      <c r="Y1071" s="2">
        <f ca="1">NETWORKDAYS(P1071,$Y$1)</f>
        <v>39</v>
      </c>
      <c r="Z1071" s="14">
        <v>1</v>
      </c>
      <c r="AA1071" s="1" t="str">
        <f t="shared" ca="1" si="80"/>
        <v>VENCIDO</v>
      </c>
      <c r="AB1071" s="1" t="str">
        <f t="shared" si="81"/>
        <v>Dosa</v>
      </c>
      <c r="AC1071" s="2" t="str">
        <f t="shared" si="82"/>
        <v xml:space="preserve"> ROSEMERE </v>
      </c>
      <c r="AD1071" s="2">
        <f t="shared" si="83"/>
        <v>5</v>
      </c>
      <c r="AE1071" s="2">
        <f t="shared" ca="1" si="84"/>
        <v>-53.926271643518703</v>
      </c>
    </row>
    <row r="1072" spans="1:31" hidden="1">
      <c r="A1072" s="1">
        <v>9295739</v>
      </c>
      <c r="B1072" s="1" t="s">
        <v>101</v>
      </c>
      <c r="C1072" t="s">
        <v>1810</v>
      </c>
      <c r="E1072" s="2">
        <v>2559000206001</v>
      </c>
      <c r="F1072" s="1" t="s">
        <v>29</v>
      </c>
      <c r="G1072" s="1" t="s">
        <v>53</v>
      </c>
      <c r="H1072" s="1" t="s">
        <v>259</v>
      </c>
      <c r="I1072" s="1" t="s">
        <v>260</v>
      </c>
      <c r="J1072" s="1" t="s">
        <v>261</v>
      </c>
      <c r="K1072" t="s">
        <v>34</v>
      </c>
      <c r="M1072" s="1" t="s">
        <v>35</v>
      </c>
      <c r="N1072" s="1">
        <v>42318949</v>
      </c>
      <c r="O1072" s="1" t="s">
        <v>105</v>
      </c>
      <c r="P1072" s="186">
        <v>44932.432291666664</v>
      </c>
      <c r="R1072" s="1" t="s">
        <v>38</v>
      </c>
      <c r="T1072" s="1" t="s">
        <v>74</v>
      </c>
      <c r="U1072" s="186">
        <v>44932.75</v>
      </c>
      <c r="V1072" s="1" t="s">
        <v>41</v>
      </c>
      <c r="W1072" s="1" t="s">
        <v>49</v>
      </c>
      <c r="X1072" s="13" t="str">
        <f>IF(RIGHT(H1072,2)&lt;&gt;"00",H1072,"")</f>
        <v/>
      </c>
      <c r="Y1072" s="2">
        <f ca="1">NETWORKDAYS(P1072,$Y$1)</f>
        <v>39</v>
      </c>
      <c r="Z1072" s="14">
        <v>1</v>
      </c>
      <c r="AA1072" s="1" t="str">
        <f t="shared" ca="1" si="80"/>
        <v>VENCIDO</v>
      </c>
      <c r="AB1072" s="1" t="str">
        <f t="shared" si="81"/>
        <v>Dosa</v>
      </c>
      <c r="AC1072" s="2" t="str">
        <f t="shared" si="82"/>
        <v xml:space="preserve"> CRISTINA </v>
      </c>
      <c r="AD1072" s="2">
        <f t="shared" si="83"/>
        <v>5</v>
      </c>
      <c r="AE1072" s="2">
        <f t="shared" ca="1" si="84"/>
        <v>-53.926271643518703</v>
      </c>
    </row>
    <row r="1073" spans="1:31" hidden="1">
      <c r="A1073" s="1">
        <v>9295672</v>
      </c>
      <c r="B1073" s="1" t="s">
        <v>101</v>
      </c>
      <c r="C1073" t="s">
        <v>1810</v>
      </c>
      <c r="E1073" s="2">
        <v>2473000206001</v>
      </c>
      <c r="F1073" s="1" t="s">
        <v>29</v>
      </c>
      <c r="G1073" s="1" t="s">
        <v>53</v>
      </c>
      <c r="H1073" s="1" t="s">
        <v>1459</v>
      </c>
      <c r="I1073" s="1" t="s">
        <v>1460</v>
      </c>
      <c r="J1073" s="1" t="s">
        <v>261</v>
      </c>
      <c r="K1073" t="s">
        <v>34</v>
      </c>
      <c r="M1073" s="1" t="s">
        <v>35</v>
      </c>
      <c r="N1073" s="1">
        <v>42318949</v>
      </c>
      <c r="O1073" s="1" t="s">
        <v>105</v>
      </c>
      <c r="P1073" s="186">
        <v>44932.432199074072</v>
      </c>
      <c r="R1073" s="1" t="s">
        <v>38</v>
      </c>
      <c r="T1073" s="1" t="s">
        <v>74</v>
      </c>
      <c r="U1073" s="186">
        <v>44932.75</v>
      </c>
      <c r="V1073" s="1" t="s">
        <v>41</v>
      </c>
      <c r="W1073" s="1" t="s">
        <v>49</v>
      </c>
      <c r="X1073" s="13" t="str">
        <f>IF(RIGHT(H1073,2)&lt;&gt;"00",H1073,"")</f>
        <v/>
      </c>
      <c r="Y1073" s="2">
        <f ca="1">NETWORKDAYS(P1073,$Y$1)</f>
        <v>39</v>
      </c>
      <c r="Z1073" s="14">
        <v>1</v>
      </c>
      <c r="AA1073" s="1" t="str">
        <f t="shared" ca="1" si="80"/>
        <v>VENCIDO</v>
      </c>
      <c r="AB1073" s="1" t="str">
        <f t="shared" si="81"/>
        <v>Dosa</v>
      </c>
      <c r="AC1073" s="2" t="str">
        <f t="shared" si="82"/>
        <v xml:space="preserve"> CRISTINA </v>
      </c>
      <c r="AD1073" s="2">
        <f t="shared" si="83"/>
        <v>5</v>
      </c>
      <c r="AE1073" s="2">
        <f t="shared" ca="1" si="84"/>
        <v>-53.926271643518703</v>
      </c>
    </row>
    <row r="1074" spans="1:31" hidden="1">
      <c r="A1074" s="1">
        <v>9295637</v>
      </c>
      <c r="B1074" s="1" t="s">
        <v>101</v>
      </c>
      <c r="C1074" t="s">
        <v>1810</v>
      </c>
      <c r="E1074" s="2">
        <v>2437000206001</v>
      </c>
      <c r="F1074" s="1" t="s">
        <v>29</v>
      </c>
      <c r="G1074" s="1" t="s">
        <v>53</v>
      </c>
      <c r="H1074" s="1" t="s">
        <v>416</v>
      </c>
      <c r="I1074" s="1" t="s">
        <v>417</v>
      </c>
      <c r="J1074" s="1" t="s">
        <v>211</v>
      </c>
      <c r="K1074" t="s">
        <v>34</v>
      </c>
      <c r="M1074" s="1" t="s">
        <v>35</v>
      </c>
      <c r="N1074" s="1">
        <v>42318949</v>
      </c>
      <c r="O1074" s="1" t="s">
        <v>105</v>
      </c>
      <c r="P1074" s="186">
        <v>44932.432141203702</v>
      </c>
      <c r="R1074" s="1" t="s">
        <v>38</v>
      </c>
      <c r="T1074" s="1" t="s">
        <v>74</v>
      </c>
      <c r="U1074" s="186">
        <v>44932.75</v>
      </c>
      <c r="V1074" s="1" t="s">
        <v>41</v>
      </c>
      <c r="W1074" s="1" t="s">
        <v>49</v>
      </c>
      <c r="X1074" s="13" t="str">
        <f>IF(RIGHT(H1074,2)&lt;&gt;"00",H1074,"")</f>
        <v/>
      </c>
      <c r="Y1074" s="2">
        <f ca="1">NETWORKDAYS(P1074,$Y$1)</f>
        <v>39</v>
      </c>
      <c r="Z1074" s="14">
        <v>1</v>
      </c>
      <c r="AA1074" s="1" t="str">
        <f t="shared" ca="1" si="80"/>
        <v>VENCIDO</v>
      </c>
      <c r="AB1074" s="1" t="str">
        <f t="shared" si="81"/>
        <v>Dosa</v>
      </c>
      <c r="AC1074" s="2" t="str">
        <f t="shared" si="82"/>
        <v xml:space="preserve"> RINALDO </v>
      </c>
      <c r="AD1074" s="2">
        <f t="shared" si="83"/>
        <v>5</v>
      </c>
      <c r="AE1074" s="2">
        <f t="shared" ca="1" si="84"/>
        <v>-53.926271643518703</v>
      </c>
    </row>
    <row r="1075" spans="1:31" hidden="1">
      <c r="A1075" s="1">
        <v>9295622</v>
      </c>
      <c r="B1075" s="1" t="s">
        <v>101</v>
      </c>
      <c r="C1075" t="s">
        <v>1810</v>
      </c>
      <c r="E1075" s="2">
        <v>2422000206001</v>
      </c>
      <c r="F1075" s="1" t="s">
        <v>29</v>
      </c>
      <c r="G1075" s="1" t="s">
        <v>53</v>
      </c>
      <c r="H1075" s="1" t="s">
        <v>1844</v>
      </c>
      <c r="I1075" s="1" t="s">
        <v>1845</v>
      </c>
      <c r="J1075" s="1" t="s">
        <v>211</v>
      </c>
      <c r="K1075" t="s">
        <v>34</v>
      </c>
      <c r="M1075" s="1" t="s">
        <v>35</v>
      </c>
      <c r="N1075" s="1">
        <v>42318949</v>
      </c>
      <c r="O1075" s="1" t="s">
        <v>105</v>
      </c>
      <c r="P1075" s="186">
        <v>44932.432118055556</v>
      </c>
      <c r="R1075" s="1" t="s">
        <v>38</v>
      </c>
      <c r="T1075" s="1" t="s">
        <v>74</v>
      </c>
      <c r="U1075" s="186">
        <v>44932.75</v>
      </c>
      <c r="V1075" s="1" t="s">
        <v>41</v>
      </c>
      <c r="W1075" s="1" t="s">
        <v>49</v>
      </c>
      <c r="X1075" s="13" t="str">
        <f>IF(RIGHT(H1075,2)&lt;&gt;"00",H1075,"")</f>
        <v/>
      </c>
      <c r="Y1075" s="2">
        <f ca="1">NETWORKDAYS(P1075,$Y$1)</f>
        <v>39</v>
      </c>
      <c r="Z1075" s="14">
        <v>1</v>
      </c>
      <c r="AA1075" s="1" t="str">
        <f t="shared" ca="1" si="80"/>
        <v>VENCIDO</v>
      </c>
      <c r="AB1075" s="1" t="str">
        <f t="shared" si="81"/>
        <v>Dosa</v>
      </c>
      <c r="AC1075" s="2" t="str">
        <f t="shared" si="82"/>
        <v xml:space="preserve"> RINALDO </v>
      </c>
      <c r="AD1075" s="2">
        <f t="shared" si="83"/>
        <v>5</v>
      </c>
      <c r="AE1075" s="2">
        <f t="shared" ca="1" si="84"/>
        <v>-53.926271643518703</v>
      </c>
    </row>
    <row r="1076" spans="1:31" hidden="1">
      <c r="A1076" s="1">
        <v>9295613</v>
      </c>
      <c r="B1076" s="1" t="s">
        <v>101</v>
      </c>
      <c r="C1076" t="s">
        <v>1810</v>
      </c>
      <c r="E1076" s="2">
        <v>2413000206001</v>
      </c>
      <c r="F1076" s="1" t="s">
        <v>29</v>
      </c>
      <c r="G1076" s="1" t="s">
        <v>53</v>
      </c>
      <c r="H1076" s="1" t="s">
        <v>505</v>
      </c>
      <c r="I1076" s="1" t="s">
        <v>506</v>
      </c>
      <c r="J1076" s="1" t="s">
        <v>141</v>
      </c>
      <c r="K1076" t="s">
        <v>34</v>
      </c>
      <c r="M1076" s="1" t="s">
        <v>35</v>
      </c>
      <c r="N1076" s="1">
        <v>42318949</v>
      </c>
      <c r="O1076" s="1" t="s">
        <v>105</v>
      </c>
      <c r="P1076" s="186">
        <v>44932.432106481479</v>
      </c>
      <c r="R1076" s="1" t="s">
        <v>38</v>
      </c>
      <c r="T1076" s="1" t="s">
        <v>74</v>
      </c>
      <c r="U1076" s="186">
        <v>44932.75</v>
      </c>
      <c r="V1076" s="1" t="s">
        <v>41</v>
      </c>
      <c r="W1076" s="1" t="s">
        <v>49</v>
      </c>
      <c r="X1076" s="13" t="str">
        <f>IF(RIGHT(H1076,2)&lt;&gt;"00",H1076,"")</f>
        <v/>
      </c>
      <c r="Y1076" s="2">
        <f ca="1">NETWORKDAYS(P1076,$Y$1)</f>
        <v>39</v>
      </c>
      <c r="Z1076" s="14">
        <v>1</v>
      </c>
      <c r="AA1076" s="1" t="str">
        <f t="shared" ca="1" si="80"/>
        <v>VENCIDO</v>
      </c>
      <c r="AB1076" s="1" t="str">
        <f t="shared" si="81"/>
        <v>Dosa</v>
      </c>
      <c r="AC1076" s="2" t="str">
        <f t="shared" si="82"/>
        <v xml:space="preserve"> CRISTINA </v>
      </c>
      <c r="AD1076" s="2">
        <f t="shared" si="83"/>
        <v>5</v>
      </c>
      <c r="AE1076" s="2">
        <f t="shared" ca="1" si="84"/>
        <v>-53.926271643518703</v>
      </c>
    </row>
    <row r="1077" spans="1:31" hidden="1">
      <c r="A1077" s="1">
        <v>9295593</v>
      </c>
      <c r="B1077" s="1" t="s">
        <v>101</v>
      </c>
      <c r="C1077" t="s">
        <v>1810</v>
      </c>
      <c r="E1077" s="2">
        <v>2388000206001</v>
      </c>
      <c r="F1077" s="1" t="s">
        <v>29</v>
      </c>
      <c r="G1077" s="1" t="s">
        <v>53</v>
      </c>
      <c r="H1077" s="1" t="s">
        <v>299</v>
      </c>
      <c r="I1077" s="1" t="s">
        <v>300</v>
      </c>
      <c r="J1077" s="1" t="s">
        <v>79</v>
      </c>
      <c r="K1077" t="s">
        <v>34</v>
      </c>
      <c r="M1077" s="1" t="s">
        <v>35</v>
      </c>
      <c r="N1077" s="1">
        <v>42318949</v>
      </c>
      <c r="O1077" s="1" t="s">
        <v>105</v>
      </c>
      <c r="P1077" s="186">
        <v>44932.432083333333</v>
      </c>
      <c r="R1077" s="1" t="s">
        <v>38</v>
      </c>
      <c r="T1077" s="1" t="s">
        <v>74</v>
      </c>
      <c r="U1077" s="186">
        <v>44932.75</v>
      </c>
      <c r="V1077" s="1" t="s">
        <v>41</v>
      </c>
      <c r="W1077" s="1" t="s">
        <v>49</v>
      </c>
      <c r="X1077" s="13" t="str">
        <f>IF(RIGHT(H1077,2)&lt;&gt;"00",H1077,"")</f>
        <v/>
      </c>
      <c r="Y1077" s="2">
        <f ca="1">NETWORKDAYS(P1077,$Y$1)</f>
        <v>39</v>
      </c>
      <c r="Z1077" s="14">
        <v>1</v>
      </c>
      <c r="AA1077" s="1" t="str">
        <f t="shared" ca="1" si="80"/>
        <v>VENCIDO</v>
      </c>
      <c r="AB1077" s="1" t="str">
        <f t="shared" si="81"/>
        <v>Dosa</v>
      </c>
      <c r="AC1077" s="2" t="str">
        <f t="shared" si="82"/>
        <v xml:space="preserve"> ROSEMERE </v>
      </c>
      <c r="AD1077" s="2">
        <f t="shared" si="83"/>
        <v>5</v>
      </c>
      <c r="AE1077" s="2">
        <f t="shared" ca="1" si="84"/>
        <v>-53.926271643518703</v>
      </c>
    </row>
    <row r="1078" spans="1:31" hidden="1">
      <c r="A1078" s="1">
        <v>9295576</v>
      </c>
      <c r="B1078" s="1" t="s">
        <v>101</v>
      </c>
      <c r="C1078" t="s">
        <v>1810</v>
      </c>
      <c r="E1078" s="2">
        <v>2371000206001</v>
      </c>
      <c r="F1078" s="1" t="s">
        <v>29</v>
      </c>
      <c r="G1078" s="1" t="s">
        <v>53</v>
      </c>
      <c r="H1078" s="1" t="s">
        <v>1000</v>
      </c>
      <c r="I1078" s="1" t="s">
        <v>1001</v>
      </c>
      <c r="J1078" s="1" t="s">
        <v>90</v>
      </c>
      <c r="K1078" t="s">
        <v>34</v>
      </c>
      <c r="M1078" s="1" t="s">
        <v>35</v>
      </c>
      <c r="N1078" s="1">
        <v>42318949</v>
      </c>
      <c r="O1078" s="1" t="s">
        <v>36</v>
      </c>
      <c r="P1078" s="186">
        <v>44932.432060185187</v>
      </c>
      <c r="R1078" s="1" t="s">
        <v>38</v>
      </c>
      <c r="T1078" s="1" t="s">
        <v>74</v>
      </c>
      <c r="U1078" s="186">
        <v>44932.75</v>
      </c>
      <c r="V1078" s="1" t="s">
        <v>41</v>
      </c>
      <c r="W1078" s="1" t="s">
        <v>49</v>
      </c>
      <c r="X1078" s="13" t="str">
        <f>IF(RIGHT(H1078,2)&lt;&gt;"00",H1078,"")</f>
        <v/>
      </c>
      <c r="Y1078" s="2">
        <f ca="1">NETWORKDAYS(P1078,$Y$1)</f>
        <v>39</v>
      </c>
      <c r="Z1078" s="14">
        <v>1</v>
      </c>
      <c r="AA1078" s="1" t="str">
        <f t="shared" ca="1" si="80"/>
        <v>VENCIDO</v>
      </c>
      <c r="AB1078" s="1" t="str">
        <f t="shared" si="81"/>
        <v>Dosa</v>
      </c>
      <c r="AC1078" s="2" t="str">
        <f t="shared" si="82"/>
        <v xml:space="preserve"> RINALDO </v>
      </c>
      <c r="AD1078" s="2">
        <f t="shared" si="83"/>
        <v>5</v>
      </c>
      <c r="AE1078" s="2">
        <f t="shared" ca="1" si="84"/>
        <v>-53.926271643518703</v>
      </c>
    </row>
    <row r="1079" spans="1:31" hidden="1">
      <c r="A1079" s="1">
        <v>9295575</v>
      </c>
      <c r="B1079" s="1" t="s">
        <v>101</v>
      </c>
      <c r="C1079" t="s">
        <v>1810</v>
      </c>
      <c r="E1079" s="2">
        <v>2369000206001</v>
      </c>
      <c r="F1079" s="1" t="s">
        <v>29</v>
      </c>
      <c r="G1079" s="1" t="s">
        <v>53</v>
      </c>
      <c r="H1079" s="1" t="s">
        <v>701</v>
      </c>
      <c r="I1079" s="1" t="s">
        <v>702</v>
      </c>
      <c r="J1079" s="1" t="s">
        <v>141</v>
      </c>
      <c r="K1079" t="s">
        <v>34</v>
      </c>
      <c r="M1079" s="1" t="s">
        <v>35</v>
      </c>
      <c r="N1079" s="1">
        <v>42318949</v>
      </c>
      <c r="O1079" s="1" t="s">
        <v>105</v>
      </c>
      <c r="P1079" s="186">
        <v>44932.432060185187</v>
      </c>
      <c r="R1079" s="1" t="s">
        <v>38</v>
      </c>
      <c r="T1079" s="1" t="s">
        <v>74</v>
      </c>
      <c r="U1079" s="186">
        <v>44932.75</v>
      </c>
      <c r="V1079" s="1" t="s">
        <v>41</v>
      </c>
      <c r="W1079" s="1" t="s">
        <v>49</v>
      </c>
      <c r="X1079" s="13" t="str">
        <f>IF(RIGHT(H1079,2)&lt;&gt;"00",H1079,"")</f>
        <v/>
      </c>
      <c r="Y1079" s="2">
        <f ca="1">NETWORKDAYS(P1079,$Y$1)</f>
        <v>39</v>
      </c>
      <c r="Z1079" s="14">
        <v>1</v>
      </c>
      <c r="AA1079" s="1" t="str">
        <f t="shared" ca="1" si="80"/>
        <v>VENCIDO</v>
      </c>
      <c r="AB1079" s="1" t="str">
        <f t="shared" si="81"/>
        <v>Dosa</v>
      </c>
      <c r="AC1079" s="2" t="str">
        <f t="shared" si="82"/>
        <v xml:space="preserve"> CRISTINA </v>
      </c>
      <c r="AD1079" s="2">
        <f t="shared" si="83"/>
        <v>5</v>
      </c>
      <c r="AE1079" s="2">
        <f t="shared" ca="1" si="84"/>
        <v>-53.926271643518703</v>
      </c>
    </row>
    <row r="1080" spans="1:31" hidden="1">
      <c r="A1080" s="1">
        <v>9295544</v>
      </c>
      <c r="B1080" s="1" t="s">
        <v>101</v>
      </c>
      <c r="C1080" t="s">
        <v>1810</v>
      </c>
      <c r="E1080" s="2">
        <v>2335000206001</v>
      </c>
      <c r="F1080" s="1" t="s">
        <v>29</v>
      </c>
      <c r="G1080" s="1" t="s">
        <v>53</v>
      </c>
      <c r="H1080" s="1" t="s">
        <v>194</v>
      </c>
      <c r="I1080" s="1" t="s">
        <v>195</v>
      </c>
      <c r="J1080" s="1" t="s">
        <v>110</v>
      </c>
      <c r="K1080" t="s">
        <v>34</v>
      </c>
      <c r="M1080" s="1" t="s">
        <v>35</v>
      </c>
      <c r="N1080" s="1">
        <v>42318949</v>
      </c>
      <c r="O1080" s="1" t="s">
        <v>105</v>
      </c>
      <c r="P1080" s="186">
        <v>44932.432013888887</v>
      </c>
      <c r="R1080" s="1" t="s">
        <v>38</v>
      </c>
      <c r="T1080" s="1" t="s">
        <v>74</v>
      </c>
      <c r="U1080" s="186">
        <v>44932.75</v>
      </c>
      <c r="V1080" s="1" t="s">
        <v>41</v>
      </c>
      <c r="W1080" s="1" t="s">
        <v>49</v>
      </c>
      <c r="X1080" s="13" t="str">
        <f>IF(RIGHT(H1080,2)&lt;&gt;"00",H1080,"")</f>
        <v/>
      </c>
      <c r="Y1080" s="2">
        <f ca="1">NETWORKDAYS(P1080,$Y$1)</f>
        <v>39</v>
      </c>
      <c r="Z1080" s="14">
        <v>1</v>
      </c>
      <c r="AA1080" s="1" t="str">
        <f t="shared" ca="1" si="80"/>
        <v>VENCIDO</v>
      </c>
      <c r="AB1080" s="1" t="str">
        <f t="shared" si="81"/>
        <v>Dosa</v>
      </c>
      <c r="AC1080" s="2" t="str">
        <f t="shared" si="82"/>
        <v xml:space="preserve"> CRISTINA </v>
      </c>
      <c r="AD1080" s="2">
        <f t="shared" si="83"/>
        <v>5</v>
      </c>
      <c r="AE1080" s="2">
        <f t="shared" ca="1" si="84"/>
        <v>-53.926271643518703</v>
      </c>
    </row>
    <row r="1081" spans="1:31" hidden="1">
      <c r="A1081" s="1">
        <v>9295538</v>
      </c>
      <c r="B1081" s="1" t="s">
        <v>101</v>
      </c>
      <c r="C1081" t="s">
        <v>1810</v>
      </c>
      <c r="E1081" s="2">
        <v>2326000206001</v>
      </c>
      <c r="F1081" s="1" t="s">
        <v>29</v>
      </c>
      <c r="G1081" s="1" t="s">
        <v>53</v>
      </c>
      <c r="H1081" s="1" t="s">
        <v>191</v>
      </c>
      <c r="I1081" s="1" t="s">
        <v>192</v>
      </c>
      <c r="J1081" s="1" t="s">
        <v>46</v>
      </c>
      <c r="K1081" t="s">
        <v>34</v>
      </c>
      <c r="M1081" s="1" t="s">
        <v>35</v>
      </c>
      <c r="N1081" s="1">
        <v>42318949</v>
      </c>
      <c r="O1081" s="1" t="s">
        <v>105</v>
      </c>
      <c r="P1081" s="186">
        <v>44932.432002314818</v>
      </c>
      <c r="R1081" s="1" t="s">
        <v>38</v>
      </c>
      <c r="T1081" s="1" t="s">
        <v>74</v>
      </c>
      <c r="U1081" s="186">
        <v>44932.75</v>
      </c>
      <c r="V1081" s="1" t="s">
        <v>41</v>
      </c>
      <c r="W1081" s="1" t="s">
        <v>49</v>
      </c>
      <c r="X1081" s="13" t="str">
        <f>IF(RIGHT(H1081,2)&lt;&gt;"00",H1081,"")</f>
        <v/>
      </c>
      <c r="Y1081" s="2">
        <f ca="1">NETWORKDAYS(P1081,$Y$1)</f>
        <v>39</v>
      </c>
      <c r="Z1081" s="14">
        <v>1</v>
      </c>
      <c r="AA1081" s="1" t="str">
        <f t="shared" ca="1" si="80"/>
        <v>VENCIDO</v>
      </c>
      <c r="AB1081" s="1" t="str">
        <f t="shared" si="81"/>
        <v>Dosa</v>
      </c>
      <c r="AC1081" s="2" t="str">
        <f t="shared" si="82"/>
        <v xml:space="preserve"> CLEITON </v>
      </c>
      <c r="AD1081" s="2">
        <f t="shared" si="83"/>
        <v>5</v>
      </c>
      <c r="AE1081" s="2">
        <f t="shared" ca="1" si="84"/>
        <v>-53.926271643518703</v>
      </c>
    </row>
    <row r="1082" spans="1:31" hidden="1">
      <c r="A1082" s="1">
        <v>9295476</v>
      </c>
      <c r="B1082" s="1" t="s">
        <v>101</v>
      </c>
      <c r="C1082" t="s">
        <v>1810</v>
      </c>
      <c r="E1082" s="2">
        <v>2257000206001</v>
      </c>
      <c r="F1082" s="1" t="s">
        <v>29</v>
      </c>
      <c r="G1082" s="1" t="s">
        <v>53</v>
      </c>
      <c r="H1082" s="1" t="s">
        <v>381</v>
      </c>
      <c r="I1082" s="1" t="s">
        <v>382</v>
      </c>
      <c r="J1082" s="1" t="s">
        <v>110</v>
      </c>
      <c r="K1082" t="s">
        <v>34</v>
      </c>
      <c r="M1082" s="1" t="s">
        <v>35</v>
      </c>
      <c r="N1082" s="1">
        <v>42318949</v>
      </c>
      <c r="O1082" s="1" t="s">
        <v>105</v>
      </c>
      <c r="P1082" s="186">
        <v>44932.431921296295</v>
      </c>
      <c r="R1082" s="1" t="s">
        <v>38</v>
      </c>
      <c r="T1082" s="1" t="s">
        <v>74</v>
      </c>
      <c r="U1082" s="186">
        <v>44932.75</v>
      </c>
      <c r="V1082" s="1" t="s">
        <v>41</v>
      </c>
      <c r="W1082" s="1" t="s">
        <v>49</v>
      </c>
      <c r="X1082" s="13" t="str">
        <f>IF(RIGHT(H1082,2)&lt;&gt;"00",H1082,"")</f>
        <v/>
      </c>
      <c r="Y1082" s="2">
        <f ca="1">NETWORKDAYS(P1082,$Y$1)</f>
        <v>39</v>
      </c>
      <c r="Z1082" s="14">
        <v>1</v>
      </c>
      <c r="AA1082" s="1" t="str">
        <f t="shared" ca="1" si="80"/>
        <v>VENCIDO</v>
      </c>
      <c r="AB1082" s="1" t="str">
        <f t="shared" si="81"/>
        <v>Dosa</v>
      </c>
      <c r="AC1082" s="2" t="str">
        <f t="shared" si="82"/>
        <v xml:space="preserve"> CRISTINA </v>
      </c>
      <c r="AD1082" s="2">
        <f t="shared" si="83"/>
        <v>5</v>
      </c>
      <c r="AE1082" s="2">
        <f t="shared" ca="1" si="84"/>
        <v>-53.926271643518703</v>
      </c>
    </row>
    <row r="1083" spans="1:31" hidden="1">
      <c r="A1083" s="1">
        <v>9295463</v>
      </c>
      <c r="B1083" s="1" t="s">
        <v>101</v>
      </c>
      <c r="C1083" t="s">
        <v>1810</v>
      </c>
      <c r="E1083" s="2">
        <v>2244000206001</v>
      </c>
      <c r="F1083" s="1" t="s">
        <v>29</v>
      </c>
      <c r="G1083" s="1" t="s">
        <v>53</v>
      </c>
      <c r="H1083" s="1" t="s">
        <v>1853</v>
      </c>
      <c r="I1083" s="1" t="s">
        <v>1854</v>
      </c>
      <c r="J1083" s="1" t="s">
        <v>79</v>
      </c>
      <c r="K1083" t="s">
        <v>34</v>
      </c>
      <c r="M1083" s="1" t="s">
        <v>35</v>
      </c>
      <c r="N1083" s="1">
        <v>42318949</v>
      </c>
      <c r="O1083" s="1" t="s">
        <v>105</v>
      </c>
      <c r="P1083" s="186">
        <v>44932.431909722225</v>
      </c>
      <c r="R1083" s="1" t="s">
        <v>38</v>
      </c>
      <c r="T1083" s="1" t="s">
        <v>74</v>
      </c>
      <c r="U1083" s="186">
        <v>44932.75</v>
      </c>
      <c r="V1083" s="1" t="s">
        <v>41</v>
      </c>
      <c r="W1083" s="1" t="s">
        <v>49</v>
      </c>
      <c r="X1083" s="13" t="str">
        <f>IF(RIGHT(H1083,2)&lt;&gt;"00",H1083,"")</f>
        <v/>
      </c>
      <c r="Y1083" s="2">
        <f ca="1">NETWORKDAYS(P1083,$Y$1)</f>
        <v>39</v>
      </c>
      <c r="Z1083" s="14">
        <v>1</v>
      </c>
      <c r="AA1083" s="1" t="str">
        <f t="shared" ca="1" si="80"/>
        <v>VENCIDO</v>
      </c>
      <c r="AB1083" s="1" t="str">
        <f t="shared" si="81"/>
        <v>Dosa</v>
      </c>
      <c r="AC1083" s="2" t="str">
        <f t="shared" si="82"/>
        <v xml:space="preserve"> ROSEMERE </v>
      </c>
      <c r="AD1083" s="2">
        <f t="shared" si="83"/>
        <v>5</v>
      </c>
      <c r="AE1083" s="2">
        <f t="shared" ca="1" si="84"/>
        <v>-53.926271643518703</v>
      </c>
    </row>
    <row r="1084" spans="1:31" hidden="1">
      <c r="A1084" s="1">
        <v>9295457</v>
      </c>
      <c r="B1084" s="1" t="s">
        <v>101</v>
      </c>
      <c r="C1084" t="s">
        <v>1810</v>
      </c>
      <c r="E1084" s="2">
        <v>2238000206001</v>
      </c>
      <c r="F1084" s="1" t="s">
        <v>29</v>
      </c>
      <c r="G1084" s="1" t="s">
        <v>53</v>
      </c>
      <c r="H1084" s="1" t="s">
        <v>707</v>
      </c>
      <c r="I1084" s="1" t="s">
        <v>708</v>
      </c>
      <c r="J1084" s="1" t="s">
        <v>79</v>
      </c>
      <c r="K1084" t="s">
        <v>34</v>
      </c>
      <c r="M1084" s="1" t="s">
        <v>35</v>
      </c>
      <c r="N1084" s="1">
        <v>42318949</v>
      </c>
      <c r="O1084" s="1" t="s">
        <v>105</v>
      </c>
      <c r="P1084" s="186">
        <v>44932.431898148148</v>
      </c>
      <c r="R1084" s="1" t="s">
        <v>38</v>
      </c>
      <c r="T1084" s="1" t="s">
        <v>74</v>
      </c>
      <c r="U1084" s="186">
        <v>44932.75</v>
      </c>
      <c r="V1084" s="1" t="s">
        <v>41</v>
      </c>
      <c r="W1084" s="1" t="s">
        <v>49</v>
      </c>
      <c r="X1084" s="13" t="str">
        <f>IF(RIGHT(H1084,2)&lt;&gt;"00",H1084,"")</f>
        <v/>
      </c>
      <c r="Y1084" s="2">
        <f ca="1">NETWORKDAYS(P1084,$Y$1)</f>
        <v>39</v>
      </c>
      <c r="Z1084" s="14">
        <v>1</v>
      </c>
      <c r="AA1084" s="1" t="str">
        <f t="shared" ref="AA1084:AA1147" ca="1" si="85">IF(AE1084=0,"HOJE",IF(AE1084&gt;0,"A VENCER",IF(AE1084&lt;0,"VENCIDO")))</f>
        <v>VENCIDO</v>
      </c>
      <c r="AB1084" s="1" t="str">
        <f t="shared" ref="AB1084:AB1147" si="86">IF(F1084="GRPE-000001","C-14",IF(F1084="GRPE-000002","C-14",IF(F1084="GRPE-000003","C-14",IF(F1084="GRPE-000004","SL-On",IF(F1084="GRPE-000038","C-14",IF(F1084="GRPE-900022","Dosa",IF(F1084="GRPE-000029","Dosa",IF(F1084="ATOS-000222","Dose","TAAe+"))))))))</f>
        <v>Dosa</v>
      </c>
      <c r="AC1084" s="2" t="str">
        <f t="shared" ref="AC1084:AC1147" si="87">IF(J1084="TR-PETROLINA"," ROSEMERE ",IF(J1084="TR-GARANHUNS"," ROSEMERE ",IF(J1084="TR-CARUARU"," ROSEMERE ",IF(J1084="TR-RIBEIRAO"," CRISTINA ",IF(J1084="TR-GRAVATA"," CRISTINA ",IF(J1084="TR-GOIANA"," CRISTINA ",IF(J1084="TR-LIMOEIRO"," CRISTINA ",IF(J1084="TR-SERRA TALHADA"," RINALDO ",IF(J1084="TR-SALGUEIRO"," RINALDO ",IF(J1084="TR-CARNAIBA"," RINALDO ",IF(J1084="TR-ARCOVERDE"," RINALDO ",IF(J1084="CAT-RECIFE"," CLEITON ",))))))))))))</f>
        <v xml:space="preserve"> ROSEMERE </v>
      </c>
      <c r="AD1084" s="2">
        <f t="shared" ref="AD1084:AD1147" si="88">IF(F1084="GRPE-000001",5,IF(F1084="GRPE-000002",5,IF(F1084="GRPE-000003",15,IF(F1084="GRPE-000004",1,IF(F1084="GRPE-000038",5,IF(F1084="GRPE-900022",5,IF(F1084="GRPE-000029",5,IF(F1084="ATOS-000222",5,8))))))))</f>
        <v>5</v>
      </c>
      <c r="AE1084" s="2">
        <f t="shared" ref="AE1084:AE1147" ca="1" si="89">IF(U1084=$AE$1,"",U1084-$AE$1)</f>
        <v>-53.926271643518703</v>
      </c>
    </row>
    <row r="1085" spans="1:31" hidden="1">
      <c r="A1085" s="1">
        <v>9295448</v>
      </c>
      <c r="B1085" s="1" t="s">
        <v>101</v>
      </c>
      <c r="C1085" t="s">
        <v>1810</v>
      </c>
      <c r="E1085" s="2">
        <v>2229000206001</v>
      </c>
      <c r="F1085" s="1" t="s">
        <v>29</v>
      </c>
      <c r="G1085" s="1" t="s">
        <v>53</v>
      </c>
      <c r="H1085" s="1" t="s">
        <v>339</v>
      </c>
      <c r="I1085" s="1" t="s">
        <v>340</v>
      </c>
      <c r="J1085" s="1" t="s">
        <v>211</v>
      </c>
      <c r="K1085" t="s">
        <v>34</v>
      </c>
      <c r="M1085" s="1" t="s">
        <v>35</v>
      </c>
      <c r="N1085" s="1">
        <v>42318949</v>
      </c>
      <c r="O1085" s="1" t="s">
        <v>105</v>
      </c>
      <c r="P1085" s="186">
        <v>44932.431886574072</v>
      </c>
      <c r="R1085" s="1" t="s">
        <v>38</v>
      </c>
      <c r="T1085" s="1" t="s">
        <v>74</v>
      </c>
      <c r="U1085" s="186">
        <v>44932.75</v>
      </c>
      <c r="V1085" s="1" t="s">
        <v>41</v>
      </c>
      <c r="W1085" s="1" t="s">
        <v>49</v>
      </c>
      <c r="X1085" s="13" t="str">
        <f>IF(RIGHT(H1085,2)&lt;&gt;"00",H1085,"")</f>
        <v/>
      </c>
      <c r="Y1085" s="2">
        <f ca="1">NETWORKDAYS(P1085,$Y$1)</f>
        <v>39</v>
      </c>
      <c r="Z1085" s="14">
        <v>1</v>
      </c>
      <c r="AA1085" s="1" t="str">
        <f t="shared" ca="1" si="85"/>
        <v>VENCIDO</v>
      </c>
      <c r="AB1085" s="1" t="str">
        <f t="shared" si="86"/>
        <v>Dosa</v>
      </c>
      <c r="AC1085" s="2" t="str">
        <f t="shared" si="87"/>
        <v xml:space="preserve"> RINALDO </v>
      </c>
      <c r="AD1085" s="2">
        <f t="shared" si="88"/>
        <v>5</v>
      </c>
      <c r="AE1085" s="2">
        <f t="shared" ca="1" si="89"/>
        <v>-53.926271643518703</v>
      </c>
    </row>
    <row r="1086" spans="1:31" hidden="1">
      <c r="A1086" s="1">
        <v>9295438</v>
      </c>
      <c r="B1086" s="1" t="s">
        <v>101</v>
      </c>
      <c r="C1086" t="s">
        <v>1810</v>
      </c>
      <c r="E1086" s="2">
        <v>2219000206001</v>
      </c>
      <c r="F1086" s="1" t="s">
        <v>29</v>
      </c>
      <c r="G1086" s="1" t="s">
        <v>53</v>
      </c>
      <c r="H1086" s="1" t="s">
        <v>893</v>
      </c>
      <c r="I1086" s="1" t="s">
        <v>894</v>
      </c>
      <c r="J1086" s="1" t="s">
        <v>141</v>
      </c>
      <c r="K1086" t="s">
        <v>34</v>
      </c>
      <c r="M1086" s="1" t="s">
        <v>35</v>
      </c>
      <c r="N1086" s="1">
        <v>42318949</v>
      </c>
      <c r="O1086" s="1" t="s">
        <v>105</v>
      </c>
      <c r="P1086" s="186">
        <v>44932.431875000002</v>
      </c>
      <c r="R1086" s="1" t="s">
        <v>38</v>
      </c>
      <c r="T1086" s="1" t="s">
        <v>74</v>
      </c>
      <c r="U1086" s="186">
        <v>44932.75</v>
      </c>
      <c r="V1086" s="1" t="s">
        <v>41</v>
      </c>
      <c r="W1086" s="1" t="s">
        <v>49</v>
      </c>
      <c r="X1086" s="13" t="str">
        <f>IF(RIGHT(H1086,2)&lt;&gt;"00",H1086,"")</f>
        <v/>
      </c>
      <c r="Y1086" s="2">
        <f ca="1">NETWORKDAYS(P1086,$Y$1)</f>
        <v>39</v>
      </c>
      <c r="Z1086" s="14">
        <v>1</v>
      </c>
      <c r="AA1086" s="1" t="str">
        <f t="shared" ca="1" si="85"/>
        <v>VENCIDO</v>
      </c>
      <c r="AB1086" s="1" t="str">
        <f t="shared" si="86"/>
        <v>Dosa</v>
      </c>
      <c r="AC1086" s="2" t="str">
        <f t="shared" si="87"/>
        <v xml:space="preserve"> CRISTINA </v>
      </c>
      <c r="AD1086" s="2">
        <f t="shared" si="88"/>
        <v>5</v>
      </c>
      <c r="AE1086" s="2">
        <f t="shared" ca="1" si="89"/>
        <v>-53.926271643518703</v>
      </c>
    </row>
    <row r="1087" spans="1:31" hidden="1">
      <c r="A1087" s="1">
        <v>9295414</v>
      </c>
      <c r="B1087" s="1" t="s">
        <v>101</v>
      </c>
      <c r="C1087" t="s">
        <v>1810</v>
      </c>
      <c r="E1087" s="2">
        <v>2196000206001</v>
      </c>
      <c r="F1087" s="1" t="s">
        <v>29</v>
      </c>
      <c r="G1087" s="1" t="s">
        <v>53</v>
      </c>
      <c r="H1087" s="1" t="s">
        <v>1252</v>
      </c>
      <c r="I1087" s="1" t="s">
        <v>1253</v>
      </c>
      <c r="J1087" s="1" t="s">
        <v>33</v>
      </c>
      <c r="K1087" t="s">
        <v>34</v>
      </c>
      <c r="M1087" s="1" t="s">
        <v>35</v>
      </c>
      <c r="N1087" s="1">
        <v>42318949</v>
      </c>
      <c r="O1087" s="1" t="s">
        <v>36</v>
      </c>
      <c r="P1087" s="186">
        <v>44932.431840277779</v>
      </c>
      <c r="R1087" s="1" t="s">
        <v>38</v>
      </c>
      <c r="T1087" s="1" t="s">
        <v>74</v>
      </c>
      <c r="U1087" s="186">
        <v>44932.75</v>
      </c>
      <c r="V1087" s="1" t="s">
        <v>41</v>
      </c>
      <c r="W1087" s="1" t="s">
        <v>42</v>
      </c>
      <c r="X1087" s="13" t="str">
        <f>IF(RIGHT(H1087,2)&lt;&gt;"00",H1087,"")</f>
        <v/>
      </c>
      <c r="Y1087" s="2">
        <f ca="1">NETWORKDAYS(P1087,$Y$1)</f>
        <v>39</v>
      </c>
      <c r="Z1087" s="14">
        <v>1</v>
      </c>
      <c r="AA1087" s="1" t="str">
        <f t="shared" ca="1" si="85"/>
        <v>VENCIDO</v>
      </c>
      <c r="AB1087" s="1" t="str">
        <f t="shared" si="86"/>
        <v>Dosa</v>
      </c>
      <c r="AC1087" s="2" t="str">
        <f t="shared" si="87"/>
        <v xml:space="preserve"> ROSEMERE </v>
      </c>
      <c r="AD1087" s="2">
        <f t="shared" si="88"/>
        <v>5</v>
      </c>
      <c r="AE1087" s="2">
        <f t="shared" ca="1" si="89"/>
        <v>-53.926271643518703</v>
      </c>
    </row>
    <row r="1088" spans="1:31" hidden="1">
      <c r="A1088" s="1">
        <v>9295387</v>
      </c>
      <c r="B1088" s="1" t="s">
        <v>101</v>
      </c>
      <c r="C1088" t="s">
        <v>1810</v>
      </c>
      <c r="E1088" s="2">
        <v>2170000206001</v>
      </c>
      <c r="F1088" s="1" t="s">
        <v>29</v>
      </c>
      <c r="G1088" s="1" t="s">
        <v>53</v>
      </c>
      <c r="H1088" s="1" t="s">
        <v>477</v>
      </c>
      <c r="I1088" s="1" t="s">
        <v>478</v>
      </c>
      <c r="J1088" s="1" t="s">
        <v>148</v>
      </c>
      <c r="K1088" t="s">
        <v>34</v>
      </c>
      <c r="M1088" s="1" t="s">
        <v>35</v>
      </c>
      <c r="N1088" s="1">
        <v>42318949</v>
      </c>
      <c r="O1088" s="1" t="s">
        <v>105</v>
      </c>
      <c r="P1088" s="186">
        <v>44932.431793981479</v>
      </c>
      <c r="R1088" s="1" t="s">
        <v>38</v>
      </c>
      <c r="T1088" s="1" t="s">
        <v>74</v>
      </c>
      <c r="U1088" s="186">
        <v>44932.75</v>
      </c>
      <c r="V1088" s="1" t="s">
        <v>41</v>
      </c>
      <c r="W1088" s="1" t="s">
        <v>49</v>
      </c>
      <c r="X1088" s="13" t="str">
        <f>IF(RIGHT(H1088,2)&lt;&gt;"00",H1088,"")</f>
        <v/>
      </c>
      <c r="Y1088" s="2">
        <f ca="1">NETWORKDAYS(P1088,$Y$1)</f>
        <v>39</v>
      </c>
      <c r="Z1088" s="14">
        <v>1</v>
      </c>
      <c r="AA1088" s="1" t="str">
        <f t="shared" ca="1" si="85"/>
        <v>VENCIDO</v>
      </c>
      <c r="AB1088" s="1" t="str">
        <f t="shared" si="86"/>
        <v>Dosa</v>
      </c>
      <c r="AC1088" s="2" t="str">
        <f t="shared" si="87"/>
        <v xml:space="preserve"> RINALDO </v>
      </c>
      <c r="AD1088" s="2">
        <f t="shared" si="88"/>
        <v>5</v>
      </c>
      <c r="AE1088" s="2">
        <f t="shared" ca="1" si="89"/>
        <v>-53.926271643518703</v>
      </c>
    </row>
    <row r="1089" spans="1:31" hidden="1">
      <c r="A1089" s="1">
        <v>9295358</v>
      </c>
      <c r="B1089" s="1" t="s">
        <v>101</v>
      </c>
      <c r="C1089" t="s">
        <v>1810</v>
      </c>
      <c r="E1089" s="2">
        <v>2138000206001</v>
      </c>
      <c r="F1089" s="1" t="s">
        <v>29</v>
      </c>
      <c r="G1089" s="1" t="s">
        <v>53</v>
      </c>
      <c r="H1089" s="1" t="s">
        <v>379</v>
      </c>
      <c r="I1089" s="1" t="s">
        <v>380</v>
      </c>
      <c r="J1089" s="1" t="s">
        <v>46</v>
      </c>
      <c r="K1089" t="s">
        <v>34</v>
      </c>
      <c r="M1089" s="1" t="s">
        <v>35</v>
      </c>
      <c r="N1089" s="1">
        <v>42318949</v>
      </c>
      <c r="O1089" s="1" t="s">
        <v>105</v>
      </c>
      <c r="P1089" s="186">
        <v>44932.431759259256</v>
      </c>
      <c r="R1089" s="1" t="s">
        <v>38</v>
      </c>
      <c r="T1089" s="1" t="s">
        <v>74</v>
      </c>
      <c r="U1089" s="186">
        <v>44932.75</v>
      </c>
      <c r="V1089" s="1" t="s">
        <v>41</v>
      </c>
      <c r="W1089" s="1" t="s">
        <v>49</v>
      </c>
      <c r="X1089" s="13" t="str">
        <f>IF(RIGHT(H1089,2)&lt;&gt;"00",H1089,"")</f>
        <v/>
      </c>
      <c r="Y1089" s="2">
        <f ca="1">NETWORKDAYS(P1089,$Y$1)</f>
        <v>39</v>
      </c>
      <c r="Z1089" s="14">
        <v>1</v>
      </c>
      <c r="AA1089" s="1" t="str">
        <f t="shared" ca="1" si="85"/>
        <v>VENCIDO</v>
      </c>
      <c r="AB1089" s="1" t="str">
        <f t="shared" si="86"/>
        <v>Dosa</v>
      </c>
      <c r="AC1089" s="2" t="str">
        <f t="shared" si="87"/>
        <v xml:space="preserve"> CLEITON </v>
      </c>
      <c r="AD1089" s="2">
        <f t="shared" si="88"/>
        <v>5</v>
      </c>
      <c r="AE1089" s="2">
        <f t="shared" ca="1" si="89"/>
        <v>-53.926271643518703</v>
      </c>
    </row>
    <row r="1090" spans="1:31" hidden="1">
      <c r="A1090" s="1">
        <v>9295348</v>
      </c>
      <c r="B1090" s="1" t="s">
        <v>101</v>
      </c>
      <c r="C1090" t="s">
        <v>1810</v>
      </c>
      <c r="E1090" s="2">
        <v>2125000206001</v>
      </c>
      <c r="F1090" s="1" t="s">
        <v>29</v>
      </c>
      <c r="G1090" s="1" t="s">
        <v>53</v>
      </c>
      <c r="H1090" s="1" t="s">
        <v>1399</v>
      </c>
      <c r="I1090" s="1" t="s">
        <v>1400</v>
      </c>
      <c r="J1090" s="1" t="s">
        <v>211</v>
      </c>
      <c r="K1090" t="s">
        <v>34</v>
      </c>
      <c r="M1090" s="1" t="s">
        <v>35</v>
      </c>
      <c r="N1090" s="1">
        <v>42318949</v>
      </c>
      <c r="O1090" s="1" t="s">
        <v>105</v>
      </c>
      <c r="P1090" s="186">
        <v>44932.431747685187</v>
      </c>
      <c r="R1090" s="1" t="s">
        <v>38</v>
      </c>
      <c r="T1090" s="1" t="s">
        <v>74</v>
      </c>
      <c r="U1090" s="186">
        <v>44932.75</v>
      </c>
      <c r="V1090" s="1" t="s">
        <v>41</v>
      </c>
      <c r="W1090" s="1" t="s">
        <v>49</v>
      </c>
      <c r="X1090" s="13" t="str">
        <f>IF(RIGHT(H1090,2)&lt;&gt;"00",H1090,"")</f>
        <v/>
      </c>
      <c r="Y1090" s="2">
        <f ca="1">NETWORKDAYS(P1090,$Y$1)</f>
        <v>39</v>
      </c>
      <c r="Z1090" s="14">
        <v>1</v>
      </c>
      <c r="AA1090" s="1" t="str">
        <f t="shared" ca="1" si="85"/>
        <v>VENCIDO</v>
      </c>
      <c r="AB1090" s="1" t="str">
        <f t="shared" si="86"/>
        <v>Dosa</v>
      </c>
      <c r="AC1090" s="2" t="str">
        <f t="shared" si="87"/>
        <v xml:space="preserve"> RINALDO </v>
      </c>
      <c r="AD1090" s="2">
        <f t="shared" si="88"/>
        <v>5</v>
      </c>
      <c r="AE1090" s="2">
        <f t="shared" ca="1" si="89"/>
        <v>-53.926271643518703</v>
      </c>
    </row>
    <row r="1091" spans="1:31" hidden="1">
      <c r="A1091" s="1">
        <v>9295334</v>
      </c>
      <c r="B1091" s="1" t="s">
        <v>101</v>
      </c>
      <c r="C1091" t="s">
        <v>1810</v>
      </c>
      <c r="E1091" s="2">
        <v>2107000206001</v>
      </c>
      <c r="F1091" s="1" t="s">
        <v>29</v>
      </c>
      <c r="G1091" s="1" t="s">
        <v>53</v>
      </c>
      <c r="H1091" s="1" t="s">
        <v>262</v>
      </c>
      <c r="I1091" s="1" t="s">
        <v>263</v>
      </c>
      <c r="J1091" s="1" t="s">
        <v>164</v>
      </c>
      <c r="K1091" t="s">
        <v>34</v>
      </c>
      <c r="M1091" s="1" t="s">
        <v>35</v>
      </c>
      <c r="N1091" s="1">
        <v>42318949</v>
      </c>
      <c r="O1091" s="1" t="s">
        <v>105</v>
      </c>
      <c r="P1091" s="186">
        <v>44932.43172453704</v>
      </c>
      <c r="R1091" s="1" t="s">
        <v>38</v>
      </c>
      <c r="T1091" s="1" t="s">
        <v>74</v>
      </c>
      <c r="U1091" s="186">
        <v>44932.75</v>
      </c>
      <c r="V1091" s="1" t="s">
        <v>41</v>
      </c>
      <c r="W1091" s="1" t="s">
        <v>49</v>
      </c>
      <c r="X1091" s="13" t="str">
        <f>IF(RIGHT(H1091,2)&lt;&gt;"00",H1091,"")</f>
        <v/>
      </c>
      <c r="Y1091" s="2">
        <f ca="1">NETWORKDAYS(P1091,$Y$1)</f>
        <v>39</v>
      </c>
      <c r="Z1091" s="14">
        <v>1</v>
      </c>
      <c r="AA1091" s="1" t="str">
        <f t="shared" ca="1" si="85"/>
        <v>VENCIDO</v>
      </c>
      <c r="AB1091" s="1" t="str">
        <f t="shared" si="86"/>
        <v>Dosa</v>
      </c>
      <c r="AC1091" s="2" t="str">
        <f t="shared" si="87"/>
        <v xml:space="preserve"> ROSEMERE </v>
      </c>
      <c r="AD1091" s="2">
        <f t="shared" si="88"/>
        <v>5</v>
      </c>
      <c r="AE1091" s="2">
        <f t="shared" ca="1" si="89"/>
        <v>-53.926271643518703</v>
      </c>
    </row>
    <row r="1092" spans="1:31" hidden="1">
      <c r="A1092" s="1">
        <v>9295312</v>
      </c>
      <c r="B1092" s="1" t="s">
        <v>101</v>
      </c>
      <c r="C1092" t="s">
        <v>1810</v>
      </c>
      <c r="E1092" s="2">
        <v>2081000206001</v>
      </c>
      <c r="F1092" s="1" t="s">
        <v>29</v>
      </c>
      <c r="G1092" s="1" t="s">
        <v>53</v>
      </c>
      <c r="H1092" s="1" t="s">
        <v>590</v>
      </c>
      <c r="I1092" s="1" t="s">
        <v>591</v>
      </c>
      <c r="J1092" s="1" t="s">
        <v>261</v>
      </c>
      <c r="K1092" t="s">
        <v>34</v>
      </c>
      <c r="M1092" s="1" t="s">
        <v>35</v>
      </c>
      <c r="N1092" s="1">
        <v>42318949</v>
      </c>
      <c r="O1092" s="1" t="s">
        <v>105</v>
      </c>
      <c r="P1092" s="186">
        <v>44932.431689814817</v>
      </c>
      <c r="R1092" s="1" t="s">
        <v>38</v>
      </c>
      <c r="T1092" s="1" t="s">
        <v>74</v>
      </c>
      <c r="U1092" s="186">
        <v>44932.75</v>
      </c>
      <c r="V1092" s="1" t="s">
        <v>41</v>
      </c>
      <c r="W1092" s="1" t="s">
        <v>49</v>
      </c>
      <c r="X1092" s="13" t="str">
        <f>IF(RIGHT(H1092,2)&lt;&gt;"00",H1092,"")</f>
        <v/>
      </c>
      <c r="Y1092" s="2">
        <f ca="1">NETWORKDAYS(P1092,$Y$1)</f>
        <v>39</v>
      </c>
      <c r="Z1092" s="14">
        <v>1</v>
      </c>
      <c r="AA1092" s="1" t="str">
        <f t="shared" ca="1" si="85"/>
        <v>VENCIDO</v>
      </c>
      <c r="AB1092" s="1" t="str">
        <f t="shared" si="86"/>
        <v>Dosa</v>
      </c>
      <c r="AC1092" s="2" t="str">
        <f t="shared" si="87"/>
        <v xml:space="preserve"> CRISTINA </v>
      </c>
      <c r="AD1092" s="2">
        <f t="shared" si="88"/>
        <v>5</v>
      </c>
      <c r="AE1092" s="2">
        <f t="shared" ca="1" si="89"/>
        <v>-53.926271643518703</v>
      </c>
    </row>
    <row r="1093" spans="1:31" hidden="1">
      <c r="A1093" s="1">
        <v>9295301</v>
      </c>
      <c r="B1093" s="1" t="s">
        <v>101</v>
      </c>
      <c r="C1093" t="s">
        <v>1810</v>
      </c>
      <c r="E1093" s="2">
        <v>2069000206001</v>
      </c>
      <c r="F1093" s="1" t="s">
        <v>29</v>
      </c>
      <c r="G1093" s="1" t="s">
        <v>53</v>
      </c>
      <c r="H1093" s="1" t="s">
        <v>557</v>
      </c>
      <c r="I1093" s="1" t="s">
        <v>558</v>
      </c>
      <c r="J1093" s="1" t="s">
        <v>90</v>
      </c>
      <c r="K1093" t="s">
        <v>34</v>
      </c>
      <c r="M1093" s="1" t="s">
        <v>35</v>
      </c>
      <c r="N1093" s="1">
        <v>42318949</v>
      </c>
      <c r="O1093" s="1" t="s">
        <v>105</v>
      </c>
      <c r="P1093" s="186">
        <v>44932.43167824074</v>
      </c>
      <c r="R1093" s="1" t="s">
        <v>38</v>
      </c>
      <c r="T1093" s="1" t="s">
        <v>74</v>
      </c>
      <c r="U1093" s="186">
        <v>44932.75</v>
      </c>
      <c r="V1093" s="1" t="s">
        <v>41</v>
      </c>
      <c r="W1093" s="1" t="s">
        <v>49</v>
      </c>
      <c r="X1093" s="13" t="str">
        <f>IF(RIGHT(H1093,2)&lt;&gt;"00",H1093,"")</f>
        <v/>
      </c>
      <c r="Y1093" s="2">
        <f ca="1">NETWORKDAYS(P1093,$Y$1)</f>
        <v>39</v>
      </c>
      <c r="Z1093" s="14">
        <v>1</v>
      </c>
      <c r="AA1093" s="1" t="str">
        <f t="shared" ca="1" si="85"/>
        <v>VENCIDO</v>
      </c>
      <c r="AB1093" s="1" t="str">
        <f t="shared" si="86"/>
        <v>Dosa</v>
      </c>
      <c r="AC1093" s="2" t="str">
        <f t="shared" si="87"/>
        <v xml:space="preserve"> RINALDO </v>
      </c>
      <c r="AD1093" s="2">
        <f t="shared" si="88"/>
        <v>5</v>
      </c>
      <c r="AE1093" s="2">
        <f t="shared" ca="1" si="89"/>
        <v>-53.926271643518703</v>
      </c>
    </row>
    <row r="1094" spans="1:31" hidden="1">
      <c r="A1094" s="1">
        <v>9295258</v>
      </c>
      <c r="B1094" s="1" t="s">
        <v>101</v>
      </c>
      <c r="C1094" t="s">
        <v>1810</v>
      </c>
      <c r="E1094" s="2">
        <v>2018000206001</v>
      </c>
      <c r="F1094" s="1" t="s">
        <v>29</v>
      </c>
      <c r="G1094" s="1" t="s">
        <v>53</v>
      </c>
      <c r="H1094" s="1" t="s">
        <v>598</v>
      </c>
      <c r="I1094" s="1" t="s">
        <v>599</v>
      </c>
      <c r="J1094" s="1" t="s">
        <v>79</v>
      </c>
      <c r="K1094" t="s">
        <v>34</v>
      </c>
      <c r="M1094" s="1" t="s">
        <v>35</v>
      </c>
      <c r="N1094" s="1">
        <v>42318949</v>
      </c>
      <c r="O1094" s="1" t="s">
        <v>105</v>
      </c>
      <c r="P1094" s="186">
        <v>44932.431597222225</v>
      </c>
      <c r="R1094" s="1" t="s">
        <v>38</v>
      </c>
      <c r="T1094" s="1" t="s">
        <v>74</v>
      </c>
      <c r="U1094" s="186">
        <v>44932.75</v>
      </c>
      <c r="V1094" s="1" t="s">
        <v>41</v>
      </c>
      <c r="W1094" s="1" t="s">
        <v>49</v>
      </c>
      <c r="X1094" s="13" t="str">
        <f>IF(RIGHT(H1094,2)&lt;&gt;"00",H1094,"")</f>
        <v/>
      </c>
      <c r="Y1094" s="2">
        <f ca="1">NETWORKDAYS(P1094,$Y$1)</f>
        <v>39</v>
      </c>
      <c r="Z1094" s="14">
        <v>1</v>
      </c>
      <c r="AA1094" s="1" t="str">
        <f t="shared" ca="1" si="85"/>
        <v>VENCIDO</v>
      </c>
      <c r="AB1094" s="1" t="str">
        <f t="shared" si="86"/>
        <v>Dosa</v>
      </c>
      <c r="AC1094" s="2" t="str">
        <f t="shared" si="87"/>
        <v xml:space="preserve"> ROSEMERE </v>
      </c>
      <c r="AD1094" s="2">
        <f t="shared" si="88"/>
        <v>5</v>
      </c>
      <c r="AE1094" s="2">
        <f t="shared" ca="1" si="89"/>
        <v>-53.926271643518703</v>
      </c>
    </row>
    <row r="1095" spans="1:31" hidden="1">
      <c r="A1095" s="1">
        <v>9295224</v>
      </c>
      <c r="B1095" s="1" t="s">
        <v>101</v>
      </c>
      <c r="C1095" t="s">
        <v>1810</v>
      </c>
      <c r="E1095" s="2">
        <v>1943000206001</v>
      </c>
      <c r="F1095" s="1" t="s">
        <v>29</v>
      </c>
      <c r="G1095" s="1" t="s">
        <v>53</v>
      </c>
      <c r="H1095" s="1" t="s">
        <v>264</v>
      </c>
      <c r="I1095" s="1" t="s">
        <v>265</v>
      </c>
      <c r="J1095" s="1" t="s">
        <v>56</v>
      </c>
      <c r="K1095" t="s">
        <v>34</v>
      </c>
      <c r="M1095" s="1" t="s">
        <v>35</v>
      </c>
      <c r="N1095" s="1">
        <v>42318949</v>
      </c>
      <c r="O1095" s="1" t="s">
        <v>105</v>
      </c>
      <c r="P1095" s="186">
        <v>44932.431550925925</v>
      </c>
      <c r="R1095" s="1" t="s">
        <v>38</v>
      </c>
      <c r="T1095" s="1" t="s">
        <v>74</v>
      </c>
      <c r="U1095" s="186">
        <v>44932.75</v>
      </c>
      <c r="V1095" s="1" t="s">
        <v>41</v>
      </c>
      <c r="W1095" s="1" t="s">
        <v>49</v>
      </c>
      <c r="X1095" s="13" t="str">
        <f>IF(RIGHT(H1095,2)&lt;&gt;"00",H1095,"")</f>
        <v/>
      </c>
      <c r="Y1095" s="2">
        <f ca="1">NETWORKDAYS(P1095,$Y$1)</f>
        <v>39</v>
      </c>
      <c r="Z1095" s="14">
        <v>1</v>
      </c>
      <c r="AA1095" s="1" t="str">
        <f t="shared" ca="1" si="85"/>
        <v>VENCIDO</v>
      </c>
      <c r="AB1095" s="1" t="str">
        <f t="shared" si="86"/>
        <v>Dosa</v>
      </c>
      <c r="AC1095" s="2" t="str">
        <f t="shared" si="87"/>
        <v xml:space="preserve"> CRISTINA </v>
      </c>
      <c r="AD1095" s="2">
        <f t="shared" si="88"/>
        <v>5</v>
      </c>
      <c r="AE1095" s="2">
        <f t="shared" ca="1" si="89"/>
        <v>-53.926271643518703</v>
      </c>
    </row>
    <row r="1096" spans="1:31" hidden="1">
      <c r="A1096" s="1">
        <v>9295212</v>
      </c>
      <c r="B1096" s="1" t="s">
        <v>101</v>
      </c>
      <c r="C1096" t="s">
        <v>1810</v>
      </c>
      <c r="E1096" s="2">
        <v>1924000206001</v>
      </c>
      <c r="F1096" s="1" t="s">
        <v>29</v>
      </c>
      <c r="G1096" s="1" t="s">
        <v>53</v>
      </c>
      <c r="H1096" s="1" t="s">
        <v>568</v>
      </c>
      <c r="I1096" s="1" t="s">
        <v>569</v>
      </c>
      <c r="J1096" s="1" t="s">
        <v>33</v>
      </c>
      <c r="K1096" t="s">
        <v>34</v>
      </c>
      <c r="M1096" s="1" t="s">
        <v>35</v>
      </c>
      <c r="N1096" s="1">
        <v>42318949</v>
      </c>
      <c r="O1096" s="1" t="s">
        <v>105</v>
      </c>
      <c r="P1096" s="186">
        <v>44932.431539351855</v>
      </c>
      <c r="R1096" s="1" t="s">
        <v>38</v>
      </c>
      <c r="T1096" s="1" t="s">
        <v>74</v>
      </c>
      <c r="U1096" s="186">
        <v>44932.75</v>
      </c>
      <c r="V1096" s="1" t="s">
        <v>41</v>
      </c>
      <c r="W1096" s="1" t="s">
        <v>49</v>
      </c>
      <c r="X1096" s="13" t="str">
        <f>IF(RIGHT(H1096,2)&lt;&gt;"00",H1096,"")</f>
        <v/>
      </c>
      <c r="Y1096" s="2">
        <f ca="1">NETWORKDAYS(P1096,$Y$1)</f>
        <v>39</v>
      </c>
      <c r="Z1096" s="14">
        <v>1</v>
      </c>
      <c r="AA1096" s="1" t="str">
        <f t="shared" ca="1" si="85"/>
        <v>VENCIDO</v>
      </c>
      <c r="AB1096" s="1" t="str">
        <f t="shared" si="86"/>
        <v>Dosa</v>
      </c>
      <c r="AC1096" s="2" t="str">
        <f t="shared" si="87"/>
        <v xml:space="preserve"> ROSEMERE </v>
      </c>
      <c r="AD1096" s="2">
        <f t="shared" si="88"/>
        <v>5</v>
      </c>
      <c r="AE1096" s="2">
        <f t="shared" ca="1" si="89"/>
        <v>-53.926271643518703</v>
      </c>
    </row>
    <row r="1097" spans="1:31" hidden="1">
      <c r="A1097" s="1">
        <v>9295207</v>
      </c>
      <c r="B1097" s="1" t="s">
        <v>101</v>
      </c>
      <c r="C1097" t="s">
        <v>1810</v>
      </c>
      <c r="E1097" s="2">
        <v>1903220206001</v>
      </c>
      <c r="F1097" s="1" t="s">
        <v>29</v>
      </c>
      <c r="G1097" s="1" t="s">
        <v>53</v>
      </c>
      <c r="H1097" s="1" t="s">
        <v>1867</v>
      </c>
      <c r="I1097" s="1" t="s">
        <v>1868</v>
      </c>
      <c r="J1097" s="1" t="s">
        <v>211</v>
      </c>
      <c r="K1097" t="s">
        <v>34</v>
      </c>
      <c r="M1097" s="1" t="s">
        <v>35</v>
      </c>
      <c r="N1097" s="1">
        <v>42318949</v>
      </c>
      <c r="O1097" s="1" t="s">
        <v>105</v>
      </c>
      <c r="P1097" s="186">
        <v>44932.431527777779</v>
      </c>
      <c r="R1097" s="1" t="s">
        <v>38</v>
      </c>
      <c r="T1097" s="1" t="s">
        <v>74</v>
      </c>
      <c r="U1097" s="186">
        <v>44932.75</v>
      </c>
      <c r="V1097" s="1" t="s">
        <v>41</v>
      </c>
      <c r="W1097" s="1" t="s">
        <v>49</v>
      </c>
      <c r="X1097" s="13" t="str">
        <f>IF(RIGHT(H1097,2)&lt;&gt;"00",H1097,"")</f>
        <v>1903.22</v>
      </c>
      <c r="Y1097" s="2">
        <f ca="1">NETWORKDAYS(P1097,$Y$1)</f>
        <v>39</v>
      </c>
      <c r="Z1097" s="14">
        <v>1</v>
      </c>
      <c r="AA1097" s="1" t="str">
        <f t="shared" ca="1" si="85"/>
        <v>VENCIDO</v>
      </c>
      <c r="AB1097" s="1" t="str">
        <f t="shared" si="86"/>
        <v>Dosa</v>
      </c>
      <c r="AC1097" s="2" t="str">
        <f t="shared" si="87"/>
        <v xml:space="preserve"> RINALDO </v>
      </c>
      <c r="AD1097" s="2">
        <f t="shared" si="88"/>
        <v>5</v>
      </c>
      <c r="AE1097" s="2">
        <f t="shared" ca="1" si="89"/>
        <v>-53.926271643518703</v>
      </c>
    </row>
    <row r="1098" spans="1:31" hidden="1">
      <c r="A1098" s="1">
        <v>9295158</v>
      </c>
      <c r="B1098" s="1" t="s">
        <v>101</v>
      </c>
      <c r="C1098" t="s">
        <v>1810</v>
      </c>
      <c r="E1098" s="2">
        <v>1838000206001</v>
      </c>
      <c r="F1098" s="1" t="s">
        <v>29</v>
      </c>
      <c r="G1098" s="1" t="s">
        <v>53</v>
      </c>
      <c r="H1098" s="1" t="s">
        <v>357</v>
      </c>
      <c r="I1098" s="1" t="s">
        <v>358</v>
      </c>
      <c r="J1098" s="1" t="s">
        <v>46</v>
      </c>
      <c r="K1098" t="s">
        <v>34</v>
      </c>
      <c r="M1098" s="1" t="s">
        <v>35</v>
      </c>
      <c r="N1098" s="1">
        <v>42318949</v>
      </c>
      <c r="O1098" s="1" t="s">
        <v>105</v>
      </c>
      <c r="P1098" s="186">
        <v>44932.431458333333</v>
      </c>
      <c r="R1098" s="1" t="s">
        <v>38</v>
      </c>
      <c r="T1098" s="1" t="s">
        <v>74</v>
      </c>
      <c r="U1098" s="186">
        <v>44932.75</v>
      </c>
      <c r="V1098" s="1" t="s">
        <v>41</v>
      </c>
      <c r="W1098" s="1" t="s">
        <v>49</v>
      </c>
      <c r="X1098" s="13" t="str">
        <f>IF(RIGHT(H1098,2)&lt;&gt;"00",H1098,"")</f>
        <v/>
      </c>
      <c r="Y1098" s="2">
        <f ca="1">NETWORKDAYS(P1098,$Y$1)</f>
        <v>39</v>
      </c>
      <c r="Z1098" s="14">
        <v>1</v>
      </c>
      <c r="AA1098" s="1" t="str">
        <f t="shared" ca="1" si="85"/>
        <v>VENCIDO</v>
      </c>
      <c r="AB1098" s="1" t="str">
        <f t="shared" si="86"/>
        <v>Dosa</v>
      </c>
      <c r="AC1098" s="2" t="str">
        <f t="shared" si="87"/>
        <v xml:space="preserve"> CLEITON </v>
      </c>
      <c r="AD1098" s="2">
        <f t="shared" si="88"/>
        <v>5</v>
      </c>
      <c r="AE1098" s="2">
        <f t="shared" ca="1" si="89"/>
        <v>-53.926271643518703</v>
      </c>
    </row>
    <row r="1099" spans="1:31" hidden="1">
      <c r="A1099" s="1">
        <v>9295157</v>
      </c>
      <c r="B1099" s="1" t="s">
        <v>101</v>
      </c>
      <c r="C1099" t="s">
        <v>1810</v>
      </c>
      <c r="E1099" s="2">
        <v>1837000206001</v>
      </c>
      <c r="F1099" s="1" t="s">
        <v>29</v>
      </c>
      <c r="G1099" s="1" t="s">
        <v>53</v>
      </c>
      <c r="H1099" s="1" t="s">
        <v>1785</v>
      </c>
      <c r="I1099" s="1" t="s">
        <v>1786</v>
      </c>
      <c r="J1099" s="1" t="s">
        <v>46</v>
      </c>
      <c r="K1099" t="s">
        <v>34</v>
      </c>
      <c r="M1099" s="1" t="s">
        <v>35</v>
      </c>
      <c r="N1099" s="1">
        <v>42318949</v>
      </c>
      <c r="O1099" s="1" t="s">
        <v>105</v>
      </c>
      <c r="P1099" s="186">
        <v>44932.431458333333</v>
      </c>
      <c r="R1099" s="1" t="s">
        <v>38</v>
      </c>
      <c r="T1099" s="1" t="s">
        <v>74</v>
      </c>
      <c r="U1099" s="186">
        <v>44932.75</v>
      </c>
      <c r="V1099" s="1" t="s">
        <v>41</v>
      </c>
      <c r="W1099" s="1" t="s">
        <v>49</v>
      </c>
      <c r="X1099" s="13" t="str">
        <f>IF(RIGHT(H1099,2)&lt;&gt;"00",H1099,"")</f>
        <v/>
      </c>
      <c r="Y1099" s="2">
        <f ca="1">NETWORKDAYS(P1099,$Y$1)</f>
        <v>39</v>
      </c>
      <c r="Z1099" s="14">
        <v>1</v>
      </c>
      <c r="AA1099" s="1" t="str">
        <f t="shared" ca="1" si="85"/>
        <v>VENCIDO</v>
      </c>
      <c r="AB1099" s="1" t="str">
        <f t="shared" si="86"/>
        <v>Dosa</v>
      </c>
      <c r="AC1099" s="2" t="str">
        <f t="shared" si="87"/>
        <v xml:space="preserve"> CLEITON </v>
      </c>
      <c r="AD1099" s="2">
        <f t="shared" si="88"/>
        <v>5</v>
      </c>
      <c r="AE1099" s="2">
        <f t="shared" ca="1" si="89"/>
        <v>-53.926271643518703</v>
      </c>
    </row>
    <row r="1100" spans="1:31" hidden="1">
      <c r="A1100" s="1">
        <v>9295156</v>
      </c>
      <c r="B1100" s="1" t="s">
        <v>101</v>
      </c>
      <c r="C1100" t="s">
        <v>1810</v>
      </c>
      <c r="E1100" s="2">
        <v>1835000206001</v>
      </c>
      <c r="F1100" s="1" t="s">
        <v>29</v>
      </c>
      <c r="G1100" s="1" t="s">
        <v>53</v>
      </c>
      <c r="H1100" s="1" t="s">
        <v>305</v>
      </c>
      <c r="I1100" s="1" t="s">
        <v>306</v>
      </c>
      <c r="J1100" s="1" t="s">
        <v>46</v>
      </c>
      <c r="K1100" t="s">
        <v>34</v>
      </c>
      <c r="M1100" s="1" t="s">
        <v>35</v>
      </c>
      <c r="N1100" s="1">
        <v>42318949</v>
      </c>
      <c r="O1100" s="1" t="s">
        <v>105</v>
      </c>
      <c r="P1100" s="186">
        <v>44932.431458333333</v>
      </c>
      <c r="R1100" s="1" t="s">
        <v>38</v>
      </c>
      <c r="T1100" s="1" t="s">
        <v>74</v>
      </c>
      <c r="U1100" s="186">
        <v>44932.75</v>
      </c>
      <c r="V1100" s="1" t="s">
        <v>41</v>
      </c>
      <c r="W1100" s="1" t="s">
        <v>49</v>
      </c>
      <c r="X1100" s="13" t="str">
        <f>IF(RIGHT(H1100,2)&lt;&gt;"00",H1100,"")</f>
        <v/>
      </c>
      <c r="Y1100" s="2">
        <f ca="1">NETWORKDAYS(P1100,$Y$1)</f>
        <v>39</v>
      </c>
      <c r="Z1100" s="14">
        <v>1</v>
      </c>
      <c r="AA1100" s="1" t="str">
        <f t="shared" ca="1" si="85"/>
        <v>VENCIDO</v>
      </c>
      <c r="AB1100" s="1" t="str">
        <f t="shared" si="86"/>
        <v>Dosa</v>
      </c>
      <c r="AC1100" s="2" t="str">
        <f t="shared" si="87"/>
        <v xml:space="preserve"> CLEITON </v>
      </c>
      <c r="AD1100" s="2">
        <f t="shared" si="88"/>
        <v>5</v>
      </c>
      <c r="AE1100" s="2">
        <f t="shared" ca="1" si="89"/>
        <v>-53.926271643518703</v>
      </c>
    </row>
    <row r="1101" spans="1:31" hidden="1">
      <c r="A1101" s="1">
        <v>9295154</v>
      </c>
      <c r="B1101" s="1" t="s">
        <v>101</v>
      </c>
      <c r="C1101" t="s">
        <v>1810</v>
      </c>
      <c r="E1101" s="2">
        <v>1833000206001</v>
      </c>
      <c r="F1101" s="1" t="s">
        <v>29</v>
      </c>
      <c r="G1101" s="1" t="s">
        <v>53</v>
      </c>
      <c r="H1101" s="1" t="s">
        <v>369</v>
      </c>
      <c r="I1101" s="1" t="s">
        <v>370</v>
      </c>
      <c r="J1101" s="1" t="s">
        <v>46</v>
      </c>
      <c r="K1101" t="s">
        <v>34</v>
      </c>
      <c r="M1101" s="1" t="s">
        <v>35</v>
      </c>
      <c r="N1101" s="1">
        <v>42318949</v>
      </c>
      <c r="O1101" s="1" t="s">
        <v>105</v>
      </c>
      <c r="P1101" s="186">
        <v>44932.431446759256</v>
      </c>
      <c r="R1101" s="1" t="s">
        <v>38</v>
      </c>
      <c r="T1101" s="1" t="s">
        <v>74</v>
      </c>
      <c r="U1101" s="186">
        <v>44932.75</v>
      </c>
      <c r="V1101" s="1" t="s">
        <v>41</v>
      </c>
      <c r="W1101" s="1" t="s">
        <v>49</v>
      </c>
      <c r="X1101" s="13" t="str">
        <f>IF(RIGHT(H1101,2)&lt;&gt;"00",H1101,"")</f>
        <v/>
      </c>
      <c r="Y1101" s="2">
        <f ca="1">NETWORKDAYS(P1101,$Y$1)</f>
        <v>39</v>
      </c>
      <c r="Z1101" s="14">
        <v>1</v>
      </c>
      <c r="AA1101" s="1" t="str">
        <f t="shared" ca="1" si="85"/>
        <v>VENCIDO</v>
      </c>
      <c r="AB1101" s="1" t="str">
        <f t="shared" si="86"/>
        <v>Dosa</v>
      </c>
      <c r="AC1101" s="2" t="str">
        <f t="shared" si="87"/>
        <v xml:space="preserve"> CLEITON </v>
      </c>
      <c r="AD1101" s="2">
        <f t="shared" si="88"/>
        <v>5</v>
      </c>
      <c r="AE1101" s="2">
        <f t="shared" ca="1" si="89"/>
        <v>-53.926271643518703</v>
      </c>
    </row>
    <row r="1102" spans="1:31" hidden="1">
      <c r="A1102" s="1">
        <v>9295142</v>
      </c>
      <c r="B1102" s="1" t="s">
        <v>101</v>
      </c>
      <c r="C1102" t="s">
        <v>1810</v>
      </c>
      <c r="E1102" s="2">
        <v>1814000206001</v>
      </c>
      <c r="F1102" s="1" t="s">
        <v>29</v>
      </c>
      <c r="G1102" s="1" t="s">
        <v>53</v>
      </c>
      <c r="H1102" s="1" t="s">
        <v>396</v>
      </c>
      <c r="I1102" s="1" t="s">
        <v>397</v>
      </c>
      <c r="J1102" s="1" t="s">
        <v>46</v>
      </c>
      <c r="K1102" t="s">
        <v>34</v>
      </c>
      <c r="M1102" s="1" t="s">
        <v>35</v>
      </c>
      <c r="N1102" s="1">
        <v>42318949</v>
      </c>
      <c r="O1102" s="1" t="s">
        <v>105</v>
      </c>
      <c r="P1102" s="186">
        <v>44932.431435185186</v>
      </c>
      <c r="R1102" s="1" t="s">
        <v>38</v>
      </c>
      <c r="T1102" s="1" t="s">
        <v>74</v>
      </c>
      <c r="U1102" s="186">
        <v>44932.75</v>
      </c>
      <c r="V1102" s="1" t="s">
        <v>41</v>
      </c>
      <c r="W1102" s="1" t="s">
        <v>49</v>
      </c>
      <c r="X1102" s="13" t="str">
        <f>IF(RIGHT(H1102,2)&lt;&gt;"00",H1102,"")</f>
        <v/>
      </c>
      <c r="Y1102" s="2">
        <f ca="1">NETWORKDAYS(P1102,$Y$1)</f>
        <v>39</v>
      </c>
      <c r="Z1102" s="14">
        <v>1</v>
      </c>
      <c r="AA1102" s="1" t="str">
        <f t="shared" ca="1" si="85"/>
        <v>VENCIDO</v>
      </c>
      <c r="AB1102" s="1" t="str">
        <f t="shared" si="86"/>
        <v>Dosa</v>
      </c>
      <c r="AC1102" s="2" t="str">
        <f t="shared" si="87"/>
        <v xml:space="preserve"> CLEITON </v>
      </c>
      <c r="AD1102" s="2">
        <f t="shared" si="88"/>
        <v>5</v>
      </c>
      <c r="AE1102" s="2">
        <f t="shared" ca="1" si="89"/>
        <v>-53.926271643518703</v>
      </c>
    </row>
    <row r="1103" spans="1:31" hidden="1">
      <c r="A1103" s="1">
        <v>9295124</v>
      </c>
      <c r="B1103" s="1" t="s">
        <v>101</v>
      </c>
      <c r="C1103" t="s">
        <v>1810</v>
      </c>
      <c r="E1103" s="2">
        <v>1792000206001</v>
      </c>
      <c r="F1103" s="1" t="s">
        <v>29</v>
      </c>
      <c r="G1103" s="1" t="s">
        <v>53</v>
      </c>
      <c r="H1103" s="1" t="s">
        <v>467</v>
      </c>
      <c r="I1103" s="1" t="s">
        <v>468</v>
      </c>
      <c r="J1103" s="1" t="s">
        <v>110</v>
      </c>
      <c r="K1103" t="s">
        <v>34</v>
      </c>
      <c r="M1103" s="1" t="s">
        <v>35</v>
      </c>
      <c r="N1103" s="1">
        <v>42318949</v>
      </c>
      <c r="O1103" s="1" t="s">
        <v>105</v>
      </c>
      <c r="P1103" s="186">
        <v>44932.431400462963</v>
      </c>
      <c r="R1103" s="1" t="s">
        <v>38</v>
      </c>
      <c r="T1103" s="1" t="s">
        <v>74</v>
      </c>
      <c r="U1103" s="186">
        <v>44932.75</v>
      </c>
      <c r="V1103" s="1" t="s">
        <v>41</v>
      </c>
      <c r="W1103" s="1" t="s">
        <v>49</v>
      </c>
      <c r="X1103" s="13" t="str">
        <f>IF(RIGHT(H1103,2)&lt;&gt;"00",H1103,"")</f>
        <v/>
      </c>
      <c r="Y1103" s="2">
        <f ca="1">NETWORKDAYS(P1103,$Y$1)</f>
        <v>39</v>
      </c>
      <c r="Z1103" s="14">
        <v>1</v>
      </c>
      <c r="AA1103" s="1" t="str">
        <f t="shared" ca="1" si="85"/>
        <v>VENCIDO</v>
      </c>
      <c r="AB1103" s="1" t="str">
        <f t="shared" si="86"/>
        <v>Dosa</v>
      </c>
      <c r="AC1103" s="2" t="str">
        <f t="shared" si="87"/>
        <v xml:space="preserve"> CRISTINA </v>
      </c>
      <c r="AD1103" s="2">
        <f t="shared" si="88"/>
        <v>5</v>
      </c>
      <c r="AE1103" s="2">
        <f t="shared" ca="1" si="89"/>
        <v>-53.926271643518703</v>
      </c>
    </row>
    <row r="1104" spans="1:31" hidden="1">
      <c r="A1104" s="1">
        <v>9295100</v>
      </c>
      <c r="B1104" s="1" t="s">
        <v>101</v>
      </c>
      <c r="C1104" t="s">
        <v>1810</v>
      </c>
      <c r="E1104" s="2">
        <v>1764000206001</v>
      </c>
      <c r="F1104" s="1" t="s">
        <v>29</v>
      </c>
      <c r="G1104" s="1" t="s">
        <v>53</v>
      </c>
      <c r="H1104" s="1" t="s">
        <v>722</v>
      </c>
      <c r="I1104" s="1" t="s">
        <v>723</v>
      </c>
      <c r="J1104" s="1" t="s">
        <v>90</v>
      </c>
      <c r="K1104" t="s">
        <v>34</v>
      </c>
      <c r="M1104" s="1" t="s">
        <v>35</v>
      </c>
      <c r="N1104" s="1">
        <v>42318949</v>
      </c>
      <c r="O1104" s="1" t="s">
        <v>105</v>
      </c>
      <c r="P1104" s="186">
        <v>44932.43136574074</v>
      </c>
      <c r="R1104" s="1" t="s">
        <v>38</v>
      </c>
      <c r="T1104" s="1" t="s">
        <v>74</v>
      </c>
      <c r="U1104" s="186">
        <v>44932.75</v>
      </c>
      <c r="V1104" s="1" t="s">
        <v>41</v>
      </c>
      <c r="W1104" s="1" t="s">
        <v>49</v>
      </c>
      <c r="X1104" s="13" t="str">
        <f>IF(RIGHT(H1104,2)&lt;&gt;"00",H1104,"")</f>
        <v/>
      </c>
      <c r="Y1104" s="2">
        <f ca="1">NETWORKDAYS(P1104,$Y$1)</f>
        <v>39</v>
      </c>
      <c r="Z1104" s="14">
        <v>1</v>
      </c>
      <c r="AA1104" s="1" t="str">
        <f t="shared" ca="1" si="85"/>
        <v>VENCIDO</v>
      </c>
      <c r="AB1104" s="1" t="str">
        <f t="shared" si="86"/>
        <v>Dosa</v>
      </c>
      <c r="AC1104" s="2" t="str">
        <f t="shared" si="87"/>
        <v xml:space="preserve"> RINALDO </v>
      </c>
      <c r="AD1104" s="2">
        <f t="shared" si="88"/>
        <v>5</v>
      </c>
      <c r="AE1104" s="2">
        <f t="shared" ca="1" si="89"/>
        <v>-53.926271643518703</v>
      </c>
    </row>
    <row r="1105" spans="1:31" hidden="1">
      <c r="A1105" s="1">
        <v>9295076</v>
      </c>
      <c r="B1105" s="1" t="s">
        <v>101</v>
      </c>
      <c r="C1105" t="s">
        <v>1810</v>
      </c>
      <c r="E1105" s="2">
        <v>1739000206001</v>
      </c>
      <c r="F1105" s="1" t="s">
        <v>29</v>
      </c>
      <c r="G1105" s="1" t="s">
        <v>53</v>
      </c>
      <c r="H1105" s="1" t="s">
        <v>162</v>
      </c>
      <c r="I1105" s="1" t="s">
        <v>163</v>
      </c>
      <c r="J1105" s="1" t="s">
        <v>164</v>
      </c>
      <c r="K1105" t="s">
        <v>34</v>
      </c>
      <c r="M1105" s="1" t="s">
        <v>35</v>
      </c>
      <c r="N1105" s="1">
        <v>42318949</v>
      </c>
      <c r="O1105" s="1" t="s">
        <v>105</v>
      </c>
      <c r="P1105" s="186">
        <v>44932.431331018517</v>
      </c>
      <c r="R1105" s="1" t="s">
        <v>38</v>
      </c>
      <c r="T1105" s="1" t="s">
        <v>74</v>
      </c>
      <c r="U1105" s="186">
        <v>44932.75</v>
      </c>
      <c r="V1105" s="1" t="s">
        <v>41</v>
      </c>
      <c r="W1105" s="1" t="s">
        <v>49</v>
      </c>
      <c r="X1105" s="13" t="str">
        <f>IF(RIGHT(H1105,2)&lt;&gt;"00",H1105,"")</f>
        <v/>
      </c>
      <c r="Y1105" s="2">
        <f ca="1">NETWORKDAYS(P1105,$Y$1)</f>
        <v>39</v>
      </c>
      <c r="Z1105" s="14">
        <v>1</v>
      </c>
      <c r="AA1105" s="1" t="str">
        <f t="shared" ca="1" si="85"/>
        <v>VENCIDO</v>
      </c>
      <c r="AB1105" s="1" t="str">
        <f t="shared" si="86"/>
        <v>Dosa</v>
      </c>
      <c r="AC1105" s="2" t="str">
        <f t="shared" si="87"/>
        <v xml:space="preserve"> ROSEMERE </v>
      </c>
      <c r="AD1105" s="2">
        <f t="shared" si="88"/>
        <v>5</v>
      </c>
      <c r="AE1105" s="2">
        <f t="shared" ca="1" si="89"/>
        <v>-53.926271643518703</v>
      </c>
    </row>
    <row r="1106" spans="1:31" hidden="1">
      <c r="A1106" s="1">
        <v>9295072</v>
      </c>
      <c r="B1106" s="1" t="s">
        <v>101</v>
      </c>
      <c r="C1106" t="s">
        <v>1810</v>
      </c>
      <c r="E1106" s="2">
        <v>1732000206001</v>
      </c>
      <c r="F1106" s="1" t="s">
        <v>29</v>
      </c>
      <c r="G1106" s="1" t="s">
        <v>53</v>
      </c>
      <c r="H1106" s="1" t="s">
        <v>177</v>
      </c>
      <c r="I1106" s="1" t="s">
        <v>178</v>
      </c>
      <c r="J1106" s="1" t="s">
        <v>164</v>
      </c>
      <c r="K1106" t="s">
        <v>34</v>
      </c>
      <c r="M1106" s="1" t="s">
        <v>35</v>
      </c>
      <c r="N1106" s="1">
        <v>42318949</v>
      </c>
      <c r="O1106" s="1" t="s">
        <v>105</v>
      </c>
      <c r="P1106" s="186">
        <v>44932.431331018517</v>
      </c>
      <c r="R1106" s="1" t="s">
        <v>38</v>
      </c>
      <c r="T1106" s="1" t="s">
        <v>74</v>
      </c>
      <c r="U1106" s="186">
        <v>44932.75</v>
      </c>
      <c r="V1106" s="1" t="s">
        <v>41</v>
      </c>
      <c r="W1106" s="1" t="s">
        <v>49</v>
      </c>
      <c r="X1106" s="13" t="str">
        <f>IF(RIGHT(H1106,2)&lt;&gt;"00",H1106,"")</f>
        <v/>
      </c>
      <c r="Y1106" s="2">
        <f ca="1">NETWORKDAYS(P1106,$Y$1)</f>
        <v>39</v>
      </c>
      <c r="Z1106" s="14">
        <v>1</v>
      </c>
      <c r="AA1106" s="1" t="str">
        <f t="shared" ca="1" si="85"/>
        <v>VENCIDO</v>
      </c>
      <c r="AB1106" s="1" t="str">
        <f t="shared" si="86"/>
        <v>Dosa</v>
      </c>
      <c r="AC1106" s="2" t="str">
        <f t="shared" si="87"/>
        <v xml:space="preserve"> ROSEMERE </v>
      </c>
      <c r="AD1106" s="2">
        <f t="shared" si="88"/>
        <v>5</v>
      </c>
      <c r="AE1106" s="2">
        <f t="shared" ca="1" si="89"/>
        <v>-53.926271643518703</v>
      </c>
    </row>
    <row r="1107" spans="1:31" hidden="1">
      <c r="A1107" s="1">
        <v>9295049</v>
      </c>
      <c r="B1107" s="1" t="s">
        <v>101</v>
      </c>
      <c r="C1107" t="s">
        <v>1810</v>
      </c>
      <c r="E1107" s="2">
        <v>1710000206001</v>
      </c>
      <c r="F1107" s="1" t="s">
        <v>29</v>
      </c>
      <c r="G1107" s="1" t="s">
        <v>53</v>
      </c>
      <c r="H1107" s="1" t="s">
        <v>327</v>
      </c>
      <c r="I1107" s="1" t="s">
        <v>328</v>
      </c>
      <c r="J1107" s="1" t="s">
        <v>261</v>
      </c>
      <c r="K1107" t="s">
        <v>34</v>
      </c>
      <c r="M1107" s="1" t="s">
        <v>35</v>
      </c>
      <c r="N1107" s="1">
        <v>42318949</v>
      </c>
      <c r="O1107" s="1" t="s">
        <v>105</v>
      </c>
      <c r="P1107" s="186">
        <v>44932.431296296294</v>
      </c>
      <c r="R1107" s="1" t="s">
        <v>38</v>
      </c>
      <c r="T1107" s="1" t="s">
        <v>74</v>
      </c>
      <c r="U1107" s="186">
        <v>44932.75</v>
      </c>
      <c r="V1107" s="1" t="s">
        <v>41</v>
      </c>
      <c r="W1107" s="1" t="s">
        <v>49</v>
      </c>
      <c r="X1107" s="13" t="str">
        <f>IF(RIGHT(H1107,2)&lt;&gt;"00",H1107,"")</f>
        <v/>
      </c>
      <c r="Y1107" s="2">
        <f ca="1">NETWORKDAYS(P1107,$Y$1)</f>
        <v>39</v>
      </c>
      <c r="Z1107" s="14">
        <v>1</v>
      </c>
      <c r="AA1107" s="1" t="str">
        <f t="shared" ca="1" si="85"/>
        <v>VENCIDO</v>
      </c>
      <c r="AB1107" s="1" t="str">
        <f t="shared" si="86"/>
        <v>Dosa</v>
      </c>
      <c r="AC1107" s="2" t="str">
        <f t="shared" si="87"/>
        <v xml:space="preserve"> CRISTINA </v>
      </c>
      <c r="AD1107" s="2">
        <f t="shared" si="88"/>
        <v>5</v>
      </c>
      <c r="AE1107" s="2">
        <f t="shared" ca="1" si="89"/>
        <v>-53.926271643518703</v>
      </c>
    </row>
    <row r="1108" spans="1:31" hidden="1">
      <c r="A1108" s="1">
        <v>9295007</v>
      </c>
      <c r="B1108" s="1" t="s">
        <v>101</v>
      </c>
      <c r="C1108" t="s">
        <v>1810</v>
      </c>
      <c r="E1108" s="2">
        <v>1666000206001</v>
      </c>
      <c r="F1108" s="1" t="s">
        <v>29</v>
      </c>
      <c r="G1108" s="1" t="s">
        <v>53</v>
      </c>
      <c r="H1108" s="1" t="s">
        <v>414</v>
      </c>
      <c r="I1108" s="1" t="s">
        <v>415</v>
      </c>
      <c r="J1108" s="1" t="s">
        <v>79</v>
      </c>
      <c r="K1108" t="s">
        <v>34</v>
      </c>
      <c r="M1108" s="1" t="s">
        <v>35</v>
      </c>
      <c r="N1108" s="1">
        <v>42318949</v>
      </c>
      <c r="O1108" s="1" t="s">
        <v>36</v>
      </c>
      <c r="P1108" s="186">
        <v>44932.431215277778</v>
      </c>
      <c r="R1108" s="1" t="s">
        <v>38</v>
      </c>
      <c r="T1108" s="1" t="s">
        <v>74</v>
      </c>
      <c r="U1108" s="186">
        <v>44932.75</v>
      </c>
      <c r="V1108" s="1" t="s">
        <v>41</v>
      </c>
      <c r="W1108" s="1" t="s">
        <v>49</v>
      </c>
      <c r="X1108" s="13" t="str">
        <f>IF(RIGHT(H1108,2)&lt;&gt;"00",H1108,"")</f>
        <v/>
      </c>
      <c r="Y1108" s="2">
        <f ca="1">NETWORKDAYS(P1108,$Y$1)</f>
        <v>39</v>
      </c>
      <c r="Z1108" s="14">
        <v>1</v>
      </c>
      <c r="AA1108" s="1" t="str">
        <f t="shared" ca="1" si="85"/>
        <v>VENCIDO</v>
      </c>
      <c r="AB1108" s="1" t="str">
        <f t="shared" si="86"/>
        <v>Dosa</v>
      </c>
      <c r="AC1108" s="2" t="str">
        <f t="shared" si="87"/>
        <v xml:space="preserve"> ROSEMERE </v>
      </c>
      <c r="AD1108" s="2">
        <f t="shared" si="88"/>
        <v>5</v>
      </c>
      <c r="AE1108" s="2">
        <f t="shared" ca="1" si="89"/>
        <v>-53.926271643518703</v>
      </c>
    </row>
    <row r="1109" spans="1:31" hidden="1">
      <c r="A1109" s="1">
        <v>9295003</v>
      </c>
      <c r="B1109" s="1" t="s">
        <v>101</v>
      </c>
      <c r="C1109" t="s">
        <v>1810</v>
      </c>
      <c r="E1109" s="2">
        <v>1664000206001</v>
      </c>
      <c r="F1109" s="1" t="s">
        <v>29</v>
      </c>
      <c r="G1109" s="1" t="s">
        <v>53</v>
      </c>
      <c r="H1109" s="1" t="s">
        <v>307</v>
      </c>
      <c r="I1109" s="1" t="s">
        <v>308</v>
      </c>
      <c r="J1109" s="1" t="s">
        <v>164</v>
      </c>
      <c r="K1109" t="s">
        <v>34</v>
      </c>
      <c r="M1109" s="1" t="s">
        <v>35</v>
      </c>
      <c r="N1109" s="1">
        <v>42318949</v>
      </c>
      <c r="O1109" s="1" t="s">
        <v>105</v>
      </c>
      <c r="P1109" s="186">
        <v>44932.431215277778</v>
      </c>
      <c r="R1109" s="1" t="s">
        <v>38</v>
      </c>
      <c r="T1109" s="1" t="s">
        <v>74</v>
      </c>
      <c r="U1109" s="186">
        <v>44932.75</v>
      </c>
      <c r="V1109" s="1" t="s">
        <v>41</v>
      </c>
      <c r="W1109" s="1" t="s">
        <v>49</v>
      </c>
      <c r="X1109" s="13" t="str">
        <f>IF(RIGHT(H1109,2)&lt;&gt;"00",H1109,"")</f>
        <v/>
      </c>
      <c r="Y1109" s="2">
        <f ca="1">NETWORKDAYS(P1109,$Y$1)</f>
        <v>39</v>
      </c>
      <c r="Z1109" s="14">
        <v>1</v>
      </c>
      <c r="AA1109" s="1" t="str">
        <f t="shared" ca="1" si="85"/>
        <v>VENCIDO</v>
      </c>
      <c r="AB1109" s="1" t="str">
        <f t="shared" si="86"/>
        <v>Dosa</v>
      </c>
      <c r="AC1109" s="2" t="str">
        <f t="shared" si="87"/>
        <v xml:space="preserve"> ROSEMERE </v>
      </c>
      <c r="AD1109" s="2">
        <f t="shared" si="88"/>
        <v>5</v>
      </c>
      <c r="AE1109" s="2">
        <f t="shared" ca="1" si="89"/>
        <v>-53.926271643518703</v>
      </c>
    </row>
    <row r="1110" spans="1:31" hidden="1">
      <c r="A1110" s="1">
        <v>9294987</v>
      </c>
      <c r="B1110" s="1" t="s">
        <v>101</v>
      </c>
      <c r="C1110" t="s">
        <v>1810</v>
      </c>
      <c r="E1110" s="2">
        <v>1650000206001</v>
      </c>
      <c r="F1110" s="1" t="s">
        <v>29</v>
      </c>
      <c r="G1110" s="1" t="s">
        <v>53</v>
      </c>
      <c r="H1110" s="1" t="s">
        <v>620</v>
      </c>
      <c r="I1110" s="1" t="s">
        <v>621</v>
      </c>
      <c r="J1110" s="1" t="s">
        <v>141</v>
      </c>
      <c r="K1110" t="s">
        <v>34</v>
      </c>
      <c r="M1110" s="1" t="s">
        <v>35</v>
      </c>
      <c r="N1110" s="1">
        <v>42318949</v>
      </c>
      <c r="O1110" s="1" t="s">
        <v>105</v>
      </c>
      <c r="P1110" s="186">
        <v>44932.431192129632</v>
      </c>
      <c r="R1110" s="1" t="s">
        <v>38</v>
      </c>
      <c r="T1110" s="1" t="s">
        <v>74</v>
      </c>
      <c r="U1110" s="186">
        <v>44932.75</v>
      </c>
      <c r="V1110" s="1" t="s">
        <v>41</v>
      </c>
      <c r="W1110" s="1" t="s">
        <v>49</v>
      </c>
      <c r="X1110" s="13" t="str">
        <f>IF(RIGHT(H1110,2)&lt;&gt;"00",H1110,"")</f>
        <v/>
      </c>
      <c r="Y1110" s="2">
        <f ca="1">NETWORKDAYS(P1110,$Y$1)</f>
        <v>39</v>
      </c>
      <c r="Z1110" s="14">
        <v>1</v>
      </c>
      <c r="AA1110" s="1" t="str">
        <f t="shared" ca="1" si="85"/>
        <v>VENCIDO</v>
      </c>
      <c r="AB1110" s="1" t="str">
        <f t="shared" si="86"/>
        <v>Dosa</v>
      </c>
      <c r="AC1110" s="2" t="str">
        <f t="shared" si="87"/>
        <v xml:space="preserve"> CRISTINA </v>
      </c>
      <c r="AD1110" s="2">
        <f t="shared" si="88"/>
        <v>5</v>
      </c>
      <c r="AE1110" s="2">
        <f t="shared" ca="1" si="89"/>
        <v>-53.926271643518703</v>
      </c>
    </row>
    <row r="1111" spans="1:31" hidden="1">
      <c r="A1111" s="1">
        <v>9294979</v>
      </c>
      <c r="B1111" s="1" t="s">
        <v>101</v>
      </c>
      <c r="C1111" t="s">
        <v>1810</v>
      </c>
      <c r="E1111" s="2">
        <v>1643000206001</v>
      </c>
      <c r="F1111" s="1" t="s">
        <v>29</v>
      </c>
      <c r="G1111" s="1" t="s">
        <v>53</v>
      </c>
      <c r="H1111" s="1" t="s">
        <v>361</v>
      </c>
      <c r="I1111" s="1" t="s">
        <v>362</v>
      </c>
      <c r="J1111" s="1" t="s">
        <v>261</v>
      </c>
      <c r="K1111" t="s">
        <v>34</v>
      </c>
      <c r="M1111" s="1" t="s">
        <v>35</v>
      </c>
      <c r="N1111" s="1">
        <v>42318949</v>
      </c>
      <c r="O1111" s="1" t="s">
        <v>105</v>
      </c>
      <c r="P1111" s="186">
        <v>44932.431168981479</v>
      </c>
      <c r="R1111" s="1" t="s">
        <v>38</v>
      </c>
      <c r="T1111" s="1" t="s">
        <v>74</v>
      </c>
      <c r="U1111" s="186">
        <v>44932.75</v>
      </c>
      <c r="V1111" s="1" t="s">
        <v>41</v>
      </c>
      <c r="W1111" s="1" t="s">
        <v>49</v>
      </c>
      <c r="X1111" s="13" t="str">
        <f>IF(RIGHT(H1111,2)&lt;&gt;"00",H1111,"")</f>
        <v/>
      </c>
      <c r="Y1111" s="2">
        <f ca="1">NETWORKDAYS(P1111,$Y$1)</f>
        <v>39</v>
      </c>
      <c r="Z1111" s="14">
        <v>1</v>
      </c>
      <c r="AA1111" s="1" t="str">
        <f t="shared" ca="1" si="85"/>
        <v>VENCIDO</v>
      </c>
      <c r="AB1111" s="1" t="str">
        <f t="shared" si="86"/>
        <v>Dosa</v>
      </c>
      <c r="AC1111" s="2" t="str">
        <f t="shared" si="87"/>
        <v xml:space="preserve"> CRISTINA </v>
      </c>
      <c r="AD1111" s="2">
        <f t="shared" si="88"/>
        <v>5</v>
      </c>
      <c r="AE1111" s="2">
        <f t="shared" ca="1" si="89"/>
        <v>-53.926271643518703</v>
      </c>
    </row>
    <row r="1112" spans="1:31" hidden="1">
      <c r="A1112" s="1">
        <v>9294958</v>
      </c>
      <c r="B1112" s="1" t="s">
        <v>101</v>
      </c>
      <c r="C1112" t="s">
        <v>1810</v>
      </c>
      <c r="E1112" s="2">
        <v>1620000206001</v>
      </c>
      <c r="F1112" s="1" t="s">
        <v>29</v>
      </c>
      <c r="G1112" s="1" t="s">
        <v>53</v>
      </c>
      <c r="H1112" s="1" t="s">
        <v>402</v>
      </c>
      <c r="I1112" s="1" t="s">
        <v>403</v>
      </c>
      <c r="J1112" s="1" t="s">
        <v>46</v>
      </c>
      <c r="K1112" t="s">
        <v>34</v>
      </c>
      <c r="M1112" s="1" t="s">
        <v>35</v>
      </c>
      <c r="N1112" s="1">
        <v>42318949</v>
      </c>
      <c r="O1112" s="1" t="s">
        <v>105</v>
      </c>
      <c r="P1112" s="186">
        <v>44932.431145833332</v>
      </c>
      <c r="R1112" s="1" t="s">
        <v>38</v>
      </c>
      <c r="T1112" s="1" t="s">
        <v>74</v>
      </c>
      <c r="U1112" s="186">
        <v>44932.75</v>
      </c>
      <c r="V1112" s="1" t="s">
        <v>41</v>
      </c>
      <c r="W1112" s="1" t="s">
        <v>49</v>
      </c>
      <c r="X1112" s="13" t="str">
        <f>IF(RIGHT(H1112,2)&lt;&gt;"00",H1112,"")</f>
        <v/>
      </c>
      <c r="Y1112" s="2">
        <f ca="1">NETWORKDAYS(P1112,$Y$1)</f>
        <v>39</v>
      </c>
      <c r="Z1112" s="14">
        <v>1</v>
      </c>
      <c r="AA1112" s="1" t="str">
        <f t="shared" ca="1" si="85"/>
        <v>VENCIDO</v>
      </c>
      <c r="AB1112" s="1" t="str">
        <f t="shared" si="86"/>
        <v>Dosa</v>
      </c>
      <c r="AC1112" s="2" t="str">
        <f t="shared" si="87"/>
        <v xml:space="preserve"> CLEITON </v>
      </c>
      <c r="AD1112" s="2">
        <f t="shared" si="88"/>
        <v>5</v>
      </c>
      <c r="AE1112" s="2">
        <f t="shared" ca="1" si="89"/>
        <v>-53.926271643518703</v>
      </c>
    </row>
    <row r="1113" spans="1:31" hidden="1">
      <c r="A1113" s="1">
        <v>9294857</v>
      </c>
      <c r="B1113" s="1" t="s">
        <v>101</v>
      </c>
      <c r="C1113" t="s">
        <v>1810</v>
      </c>
      <c r="E1113" s="2">
        <v>1509000206001</v>
      </c>
      <c r="F1113" s="1" t="s">
        <v>29</v>
      </c>
      <c r="G1113" s="1" t="s">
        <v>53</v>
      </c>
      <c r="H1113" s="1" t="s">
        <v>731</v>
      </c>
      <c r="I1113" s="1" t="s">
        <v>732</v>
      </c>
      <c r="J1113" s="1" t="s">
        <v>46</v>
      </c>
      <c r="K1113" t="s">
        <v>34</v>
      </c>
      <c r="M1113" s="1" t="s">
        <v>35</v>
      </c>
      <c r="N1113" s="1">
        <v>42318949</v>
      </c>
      <c r="O1113" s="1" t="s">
        <v>105</v>
      </c>
      <c r="P1113" s="186">
        <v>44932.430960648147</v>
      </c>
      <c r="R1113" s="1" t="s">
        <v>38</v>
      </c>
      <c r="T1113" s="1" t="s">
        <v>74</v>
      </c>
      <c r="U1113" s="186">
        <v>44932.75</v>
      </c>
      <c r="V1113" s="1" t="s">
        <v>41</v>
      </c>
      <c r="W1113" s="1" t="s">
        <v>49</v>
      </c>
      <c r="X1113" s="13" t="str">
        <f>IF(RIGHT(H1113,2)&lt;&gt;"00",H1113,"")</f>
        <v/>
      </c>
      <c r="Y1113" s="2">
        <f ca="1">NETWORKDAYS(P1113,$Y$1)</f>
        <v>39</v>
      </c>
      <c r="Z1113" s="14">
        <v>1</v>
      </c>
      <c r="AA1113" s="1" t="str">
        <f t="shared" ca="1" si="85"/>
        <v>VENCIDO</v>
      </c>
      <c r="AB1113" s="1" t="str">
        <f t="shared" si="86"/>
        <v>Dosa</v>
      </c>
      <c r="AC1113" s="2" t="str">
        <f t="shared" si="87"/>
        <v xml:space="preserve"> CLEITON </v>
      </c>
      <c r="AD1113" s="2">
        <f t="shared" si="88"/>
        <v>5</v>
      </c>
      <c r="AE1113" s="2">
        <f t="shared" ca="1" si="89"/>
        <v>-53.926271643518703</v>
      </c>
    </row>
    <row r="1114" spans="1:31" hidden="1">
      <c r="A1114" s="1">
        <v>9294767</v>
      </c>
      <c r="B1114" s="1" t="s">
        <v>101</v>
      </c>
      <c r="C1114" t="s">
        <v>1810</v>
      </c>
      <c r="E1114" s="2">
        <v>1421000206001</v>
      </c>
      <c r="F1114" s="1" t="s">
        <v>29</v>
      </c>
      <c r="G1114" s="1" t="s">
        <v>53</v>
      </c>
      <c r="H1114" s="1" t="s">
        <v>179</v>
      </c>
      <c r="I1114" s="1" t="s">
        <v>180</v>
      </c>
      <c r="J1114" s="1" t="s">
        <v>79</v>
      </c>
      <c r="K1114" t="s">
        <v>34</v>
      </c>
      <c r="M1114" s="1" t="s">
        <v>35</v>
      </c>
      <c r="N1114" s="1">
        <v>42318949</v>
      </c>
      <c r="O1114" s="1" t="s">
        <v>105</v>
      </c>
      <c r="P1114" s="186">
        <v>44932.430775462963</v>
      </c>
      <c r="R1114" s="1" t="s">
        <v>38</v>
      </c>
      <c r="T1114" s="1" t="s">
        <v>74</v>
      </c>
      <c r="U1114" s="186">
        <v>44932.75</v>
      </c>
      <c r="V1114" s="1" t="s">
        <v>41</v>
      </c>
      <c r="W1114" s="1" t="s">
        <v>49</v>
      </c>
      <c r="X1114" s="13" t="str">
        <f>IF(RIGHT(H1114,2)&lt;&gt;"00",H1114,"")</f>
        <v/>
      </c>
      <c r="Y1114" s="2">
        <f ca="1">NETWORKDAYS(P1114,$Y$1)</f>
        <v>39</v>
      </c>
      <c r="Z1114" s="14">
        <v>1</v>
      </c>
      <c r="AA1114" s="1" t="str">
        <f t="shared" ca="1" si="85"/>
        <v>VENCIDO</v>
      </c>
      <c r="AB1114" s="1" t="str">
        <f t="shared" si="86"/>
        <v>Dosa</v>
      </c>
      <c r="AC1114" s="2" t="str">
        <f t="shared" si="87"/>
        <v xml:space="preserve"> ROSEMERE </v>
      </c>
      <c r="AD1114" s="2">
        <f t="shared" si="88"/>
        <v>5</v>
      </c>
      <c r="AE1114" s="2">
        <f t="shared" ca="1" si="89"/>
        <v>-53.926271643518703</v>
      </c>
    </row>
    <row r="1115" spans="1:31" hidden="1">
      <c r="A1115" s="1">
        <v>9294711</v>
      </c>
      <c r="B1115" s="1" t="s">
        <v>101</v>
      </c>
      <c r="C1115" t="s">
        <v>1810</v>
      </c>
      <c r="E1115" s="2">
        <v>1363000206001</v>
      </c>
      <c r="F1115" s="1" t="s">
        <v>29</v>
      </c>
      <c r="G1115" s="1" t="s">
        <v>53</v>
      </c>
      <c r="H1115" s="1" t="s">
        <v>108</v>
      </c>
      <c r="I1115" s="1" t="s">
        <v>109</v>
      </c>
      <c r="J1115" s="1" t="s">
        <v>110</v>
      </c>
      <c r="K1115" t="s">
        <v>34</v>
      </c>
      <c r="M1115" s="1" t="s">
        <v>35</v>
      </c>
      <c r="N1115" s="1">
        <v>42318949</v>
      </c>
      <c r="O1115" s="1" t="s">
        <v>105</v>
      </c>
      <c r="P1115" s="186">
        <v>44932.430659722224</v>
      </c>
      <c r="R1115" s="1" t="s">
        <v>38</v>
      </c>
      <c r="T1115" s="1" t="s">
        <v>74</v>
      </c>
      <c r="U1115" s="186">
        <v>44932.75</v>
      </c>
      <c r="V1115" s="1" t="s">
        <v>41</v>
      </c>
      <c r="W1115" s="1" t="s">
        <v>49</v>
      </c>
      <c r="X1115" s="13" t="str">
        <f>IF(RIGHT(H1115,2)&lt;&gt;"00",H1115,"")</f>
        <v/>
      </c>
      <c r="Y1115" s="2">
        <f ca="1">NETWORKDAYS(P1115,$Y$1)</f>
        <v>39</v>
      </c>
      <c r="Z1115" s="14">
        <v>1</v>
      </c>
      <c r="AA1115" s="1" t="str">
        <f t="shared" ca="1" si="85"/>
        <v>VENCIDO</v>
      </c>
      <c r="AB1115" s="1" t="str">
        <f t="shared" si="86"/>
        <v>Dosa</v>
      </c>
      <c r="AC1115" s="2" t="str">
        <f t="shared" si="87"/>
        <v xml:space="preserve"> CRISTINA </v>
      </c>
      <c r="AD1115" s="2">
        <f t="shared" si="88"/>
        <v>5</v>
      </c>
      <c r="AE1115" s="2">
        <f t="shared" ca="1" si="89"/>
        <v>-53.926271643518703</v>
      </c>
    </row>
    <row r="1116" spans="1:31" hidden="1">
      <c r="A1116" s="1">
        <v>9294710</v>
      </c>
      <c r="B1116" s="1" t="s">
        <v>101</v>
      </c>
      <c r="C1116" t="s">
        <v>1810</v>
      </c>
      <c r="E1116" s="2">
        <v>1362000206001</v>
      </c>
      <c r="F1116" s="1" t="s">
        <v>29</v>
      </c>
      <c r="G1116" s="1" t="s">
        <v>53</v>
      </c>
      <c r="H1116" s="1" t="s">
        <v>268</v>
      </c>
      <c r="I1116" s="1" t="s">
        <v>269</v>
      </c>
      <c r="J1116" s="1" t="s">
        <v>90</v>
      </c>
      <c r="K1116" t="s">
        <v>34</v>
      </c>
      <c r="M1116" s="1" t="s">
        <v>35</v>
      </c>
      <c r="N1116" s="1">
        <v>42318949</v>
      </c>
      <c r="O1116" s="1" t="s">
        <v>105</v>
      </c>
      <c r="P1116" s="186">
        <v>44932.430659722224</v>
      </c>
      <c r="R1116" s="1" t="s">
        <v>38</v>
      </c>
      <c r="T1116" s="1" t="s">
        <v>74</v>
      </c>
      <c r="U1116" s="186">
        <v>44932.75</v>
      </c>
      <c r="V1116" s="1" t="s">
        <v>41</v>
      </c>
      <c r="W1116" s="1" t="s">
        <v>49</v>
      </c>
      <c r="X1116" s="13" t="str">
        <f>IF(RIGHT(H1116,2)&lt;&gt;"00",H1116,"")</f>
        <v/>
      </c>
      <c r="Y1116" s="2">
        <f ca="1">NETWORKDAYS(P1116,$Y$1)</f>
        <v>39</v>
      </c>
      <c r="Z1116" s="14">
        <v>1</v>
      </c>
      <c r="AA1116" s="1" t="str">
        <f t="shared" ca="1" si="85"/>
        <v>VENCIDO</v>
      </c>
      <c r="AB1116" s="1" t="str">
        <f t="shared" si="86"/>
        <v>Dosa</v>
      </c>
      <c r="AC1116" s="2" t="str">
        <f t="shared" si="87"/>
        <v xml:space="preserve"> RINALDO </v>
      </c>
      <c r="AD1116" s="2">
        <f t="shared" si="88"/>
        <v>5</v>
      </c>
      <c r="AE1116" s="2">
        <f t="shared" ca="1" si="89"/>
        <v>-53.926271643518703</v>
      </c>
    </row>
    <row r="1117" spans="1:31" hidden="1">
      <c r="A1117" s="1">
        <v>9294709</v>
      </c>
      <c r="B1117" s="1" t="s">
        <v>101</v>
      </c>
      <c r="C1117" t="s">
        <v>1810</v>
      </c>
      <c r="E1117" s="2">
        <v>1361000206001</v>
      </c>
      <c r="F1117" s="1" t="s">
        <v>29</v>
      </c>
      <c r="G1117" s="1" t="s">
        <v>53</v>
      </c>
      <c r="H1117" s="1" t="s">
        <v>309</v>
      </c>
      <c r="I1117" s="1" t="s">
        <v>310</v>
      </c>
      <c r="J1117" s="1" t="s">
        <v>46</v>
      </c>
      <c r="K1117" t="s">
        <v>34</v>
      </c>
      <c r="M1117" s="1" t="s">
        <v>35</v>
      </c>
      <c r="N1117" s="1">
        <v>42318949</v>
      </c>
      <c r="O1117" s="1" t="s">
        <v>105</v>
      </c>
      <c r="P1117" s="186">
        <v>44932.430659722224</v>
      </c>
      <c r="R1117" s="1" t="s">
        <v>38</v>
      </c>
      <c r="T1117" s="1" t="s">
        <v>74</v>
      </c>
      <c r="U1117" s="186">
        <v>44932.75</v>
      </c>
      <c r="V1117" s="1" t="s">
        <v>41</v>
      </c>
      <c r="W1117" s="1" t="s">
        <v>49</v>
      </c>
      <c r="X1117" s="13" t="str">
        <f>IF(RIGHT(H1117,2)&lt;&gt;"00",H1117,"")</f>
        <v/>
      </c>
      <c r="Y1117" s="2">
        <f ca="1">NETWORKDAYS(P1117,$Y$1)</f>
        <v>39</v>
      </c>
      <c r="Z1117" s="14">
        <v>1</v>
      </c>
      <c r="AA1117" s="1" t="str">
        <f t="shared" ca="1" si="85"/>
        <v>VENCIDO</v>
      </c>
      <c r="AB1117" s="1" t="str">
        <f t="shared" si="86"/>
        <v>Dosa</v>
      </c>
      <c r="AC1117" s="2" t="str">
        <f t="shared" si="87"/>
        <v xml:space="preserve"> CLEITON </v>
      </c>
      <c r="AD1117" s="2">
        <f t="shared" si="88"/>
        <v>5</v>
      </c>
      <c r="AE1117" s="2">
        <f t="shared" ca="1" si="89"/>
        <v>-53.926271643518703</v>
      </c>
    </row>
    <row r="1118" spans="1:31" hidden="1">
      <c r="A1118" s="1">
        <v>9294708</v>
      </c>
      <c r="B1118" s="1" t="s">
        <v>101</v>
      </c>
      <c r="C1118" t="s">
        <v>1810</v>
      </c>
      <c r="E1118" s="2">
        <v>1360000206001</v>
      </c>
      <c r="F1118" s="1" t="s">
        <v>29</v>
      </c>
      <c r="G1118" s="1" t="s">
        <v>53</v>
      </c>
      <c r="H1118" s="1" t="s">
        <v>303</v>
      </c>
      <c r="I1118" s="1" t="s">
        <v>304</v>
      </c>
      <c r="J1118" s="1" t="s">
        <v>261</v>
      </c>
      <c r="K1118" t="s">
        <v>34</v>
      </c>
      <c r="M1118" s="1" t="s">
        <v>35</v>
      </c>
      <c r="N1118" s="1">
        <v>42318949</v>
      </c>
      <c r="O1118" s="1" t="s">
        <v>105</v>
      </c>
      <c r="P1118" s="186">
        <v>44932.430659722224</v>
      </c>
      <c r="R1118" s="1" t="s">
        <v>38</v>
      </c>
      <c r="T1118" s="1" t="s">
        <v>74</v>
      </c>
      <c r="U1118" s="186">
        <v>44932.75</v>
      </c>
      <c r="V1118" s="1" t="s">
        <v>41</v>
      </c>
      <c r="W1118" s="1" t="s">
        <v>49</v>
      </c>
      <c r="X1118" s="13" t="str">
        <f>IF(RIGHT(H1118,2)&lt;&gt;"00",H1118,"")</f>
        <v/>
      </c>
      <c r="Y1118" s="2">
        <f ca="1">NETWORKDAYS(P1118,$Y$1)</f>
        <v>39</v>
      </c>
      <c r="Z1118" s="14">
        <v>1</v>
      </c>
      <c r="AA1118" s="1" t="str">
        <f t="shared" ca="1" si="85"/>
        <v>VENCIDO</v>
      </c>
      <c r="AB1118" s="1" t="str">
        <f t="shared" si="86"/>
        <v>Dosa</v>
      </c>
      <c r="AC1118" s="2" t="str">
        <f t="shared" si="87"/>
        <v xml:space="preserve"> CRISTINA </v>
      </c>
      <c r="AD1118" s="2">
        <f t="shared" si="88"/>
        <v>5</v>
      </c>
      <c r="AE1118" s="2">
        <f t="shared" ca="1" si="89"/>
        <v>-53.926271643518703</v>
      </c>
    </row>
    <row r="1119" spans="1:31" hidden="1">
      <c r="A1119" s="1">
        <v>9294706</v>
      </c>
      <c r="B1119" s="1" t="s">
        <v>101</v>
      </c>
      <c r="C1119" t="s">
        <v>1810</v>
      </c>
      <c r="E1119" s="2">
        <v>1358000206001</v>
      </c>
      <c r="F1119" s="1" t="s">
        <v>29</v>
      </c>
      <c r="G1119" s="1" t="s">
        <v>53</v>
      </c>
      <c r="H1119" s="1" t="s">
        <v>593</v>
      </c>
      <c r="I1119" s="1" t="s">
        <v>594</v>
      </c>
      <c r="J1119" s="1" t="s">
        <v>261</v>
      </c>
      <c r="K1119" t="s">
        <v>34</v>
      </c>
      <c r="M1119" s="1" t="s">
        <v>35</v>
      </c>
      <c r="N1119" s="1">
        <v>42318949</v>
      </c>
      <c r="O1119" s="1" t="s">
        <v>105</v>
      </c>
      <c r="P1119" s="186">
        <v>44932.430659722224</v>
      </c>
      <c r="R1119" s="1" t="s">
        <v>38</v>
      </c>
      <c r="T1119" s="1" t="s">
        <v>74</v>
      </c>
      <c r="U1119" s="186">
        <v>44932.75</v>
      </c>
      <c r="V1119" s="1" t="s">
        <v>41</v>
      </c>
      <c r="W1119" s="1" t="s">
        <v>49</v>
      </c>
      <c r="X1119" s="13" t="str">
        <f>IF(RIGHT(H1119,2)&lt;&gt;"00",H1119,"")</f>
        <v/>
      </c>
      <c r="Y1119" s="2">
        <f ca="1">NETWORKDAYS(P1119,$Y$1)</f>
        <v>39</v>
      </c>
      <c r="Z1119" s="14">
        <v>1</v>
      </c>
      <c r="AA1119" s="1" t="str">
        <f t="shared" ca="1" si="85"/>
        <v>VENCIDO</v>
      </c>
      <c r="AB1119" s="1" t="str">
        <f t="shared" si="86"/>
        <v>Dosa</v>
      </c>
      <c r="AC1119" s="2" t="str">
        <f t="shared" si="87"/>
        <v xml:space="preserve"> CRISTINA </v>
      </c>
      <c r="AD1119" s="2">
        <f t="shared" si="88"/>
        <v>5</v>
      </c>
      <c r="AE1119" s="2">
        <f t="shared" ca="1" si="89"/>
        <v>-53.926271643518703</v>
      </c>
    </row>
    <row r="1120" spans="1:31" hidden="1">
      <c r="A1120" s="1">
        <v>9294610</v>
      </c>
      <c r="B1120" s="1" t="s">
        <v>101</v>
      </c>
      <c r="C1120" t="s">
        <v>1810</v>
      </c>
      <c r="E1120" s="2">
        <v>1245000206001</v>
      </c>
      <c r="F1120" s="1" t="s">
        <v>29</v>
      </c>
      <c r="G1120" s="1" t="s">
        <v>53</v>
      </c>
      <c r="H1120" s="1" t="s">
        <v>408</v>
      </c>
      <c r="I1120" s="1" t="s">
        <v>409</v>
      </c>
      <c r="J1120" s="1" t="s">
        <v>46</v>
      </c>
      <c r="K1120" t="s">
        <v>34</v>
      </c>
      <c r="M1120" s="1" t="s">
        <v>35</v>
      </c>
      <c r="N1120" s="1">
        <v>42318949</v>
      </c>
      <c r="O1120" s="1" t="s">
        <v>105</v>
      </c>
      <c r="P1120" s="186">
        <v>44932.430462962962</v>
      </c>
      <c r="R1120" s="1" t="s">
        <v>38</v>
      </c>
      <c r="T1120" s="1" t="s">
        <v>74</v>
      </c>
      <c r="U1120" s="186">
        <v>44932.75</v>
      </c>
      <c r="V1120" s="1" t="s">
        <v>41</v>
      </c>
      <c r="W1120" s="1" t="s">
        <v>49</v>
      </c>
      <c r="X1120" s="13" t="str">
        <f>IF(RIGHT(H1120,2)&lt;&gt;"00",H1120,"")</f>
        <v/>
      </c>
      <c r="Y1120" s="2">
        <f ca="1">NETWORKDAYS(P1120,$Y$1)</f>
        <v>39</v>
      </c>
      <c r="Z1120" s="14">
        <v>1</v>
      </c>
      <c r="AA1120" s="1" t="str">
        <f t="shared" ca="1" si="85"/>
        <v>VENCIDO</v>
      </c>
      <c r="AB1120" s="1" t="str">
        <f t="shared" si="86"/>
        <v>Dosa</v>
      </c>
      <c r="AC1120" s="2" t="str">
        <f t="shared" si="87"/>
        <v xml:space="preserve"> CLEITON </v>
      </c>
      <c r="AD1120" s="2">
        <f t="shared" si="88"/>
        <v>5</v>
      </c>
      <c r="AE1120" s="2">
        <f t="shared" ca="1" si="89"/>
        <v>-53.926271643518703</v>
      </c>
    </row>
    <row r="1121" spans="1:31" hidden="1">
      <c r="A1121" s="1">
        <v>9294550</v>
      </c>
      <c r="B1121" s="1" t="s">
        <v>101</v>
      </c>
      <c r="C1121" t="s">
        <v>1810</v>
      </c>
      <c r="E1121" s="2">
        <v>1185000206001</v>
      </c>
      <c r="F1121" s="1" t="s">
        <v>29</v>
      </c>
      <c r="G1121" s="1" t="s">
        <v>53</v>
      </c>
      <c r="H1121" s="1" t="s">
        <v>539</v>
      </c>
      <c r="I1121" s="1" t="s">
        <v>540</v>
      </c>
      <c r="J1121" s="1" t="s">
        <v>33</v>
      </c>
      <c r="K1121" t="s">
        <v>34</v>
      </c>
      <c r="M1121" s="1" t="s">
        <v>35</v>
      </c>
      <c r="N1121" s="1">
        <v>42318949</v>
      </c>
      <c r="O1121" s="1" t="s">
        <v>36</v>
      </c>
      <c r="P1121" s="186">
        <v>44932.430358796293</v>
      </c>
      <c r="R1121" s="1" t="s">
        <v>38</v>
      </c>
      <c r="T1121" s="1" t="s">
        <v>74</v>
      </c>
      <c r="U1121" s="186">
        <v>44932.75</v>
      </c>
      <c r="V1121" s="1" t="s">
        <v>41</v>
      </c>
      <c r="W1121" s="1" t="s">
        <v>42</v>
      </c>
      <c r="X1121" s="13" t="str">
        <f>IF(RIGHT(H1121,2)&lt;&gt;"00",H1121,"")</f>
        <v/>
      </c>
      <c r="Y1121" s="2">
        <f ca="1">NETWORKDAYS(P1121,$Y$1)</f>
        <v>39</v>
      </c>
      <c r="Z1121" s="14">
        <v>1</v>
      </c>
      <c r="AA1121" s="1" t="str">
        <f t="shared" ca="1" si="85"/>
        <v>VENCIDO</v>
      </c>
      <c r="AB1121" s="1" t="str">
        <f t="shared" si="86"/>
        <v>Dosa</v>
      </c>
      <c r="AC1121" s="2" t="str">
        <f t="shared" si="87"/>
        <v xml:space="preserve"> ROSEMERE </v>
      </c>
      <c r="AD1121" s="2">
        <f t="shared" si="88"/>
        <v>5</v>
      </c>
      <c r="AE1121" s="2">
        <f t="shared" ca="1" si="89"/>
        <v>-53.926271643518703</v>
      </c>
    </row>
    <row r="1122" spans="1:31" hidden="1">
      <c r="A1122" s="1">
        <v>9294531</v>
      </c>
      <c r="B1122" s="1" t="s">
        <v>101</v>
      </c>
      <c r="C1122" t="s">
        <v>1810</v>
      </c>
      <c r="E1122" s="2">
        <v>1162000206001</v>
      </c>
      <c r="F1122" s="1" t="s">
        <v>29</v>
      </c>
      <c r="G1122" s="1" t="s">
        <v>53</v>
      </c>
      <c r="H1122" s="1" t="s">
        <v>280</v>
      </c>
      <c r="I1122" s="1" t="s">
        <v>281</v>
      </c>
      <c r="J1122" s="1" t="s">
        <v>211</v>
      </c>
      <c r="K1122" t="s">
        <v>34</v>
      </c>
      <c r="M1122" s="1" t="s">
        <v>35</v>
      </c>
      <c r="N1122" s="1">
        <v>42318949</v>
      </c>
      <c r="O1122" s="1" t="s">
        <v>105</v>
      </c>
      <c r="P1122" s="186">
        <v>44932.430324074077</v>
      </c>
      <c r="R1122" s="1" t="s">
        <v>38</v>
      </c>
      <c r="T1122" s="1" t="s">
        <v>74</v>
      </c>
      <c r="U1122" s="186">
        <v>44932.75</v>
      </c>
      <c r="V1122" s="1" t="s">
        <v>41</v>
      </c>
      <c r="W1122" s="1" t="s">
        <v>49</v>
      </c>
      <c r="X1122" s="13" t="str">
        <f>IF(RIGHT(H1122,2)&lt;&gt;"00",H1122,"")</f>
        <v/>
      </c>
      <c r="Y1122" s="2">
        <f ca="1">NETWORKDAYS(P1122,$Y$1)</f>
        <v>39</v>
      </c>
      <c r="Z1122" s="14">
        <v>1</v>
      </c>
      <c r="AA1122" s="1" t="str">
        <f t="shared" ca="1" si="85"/>
        <v>VENCIDO</v>
      </c>
      <c r="AB1122" s="1" t="str">
        <f t="shared" si="86"/>
        <v>Dosa</v>
      </c>
      <c r="AC1122" s="2" t="str">
        <f t="shared" si="87"/>
        <v xml:space="preserve"> RINALDO </v>
      </c>
      <c r="AD1122" s="2">
        <f t="shared" si="88"/>
        <v>5</v>
      </c>
      <c r="AE1122" s="2">
        <f t="shared" ca="1" si="89"/>
        <v>-53.926271643518703</v>
      </c>
    </row>
    <row r="1123" spans="1:31" hidden="1">
      <c r="A1123" s="1">
        <v>9294523</v>
      </c>
      <c r="B1123" s="1" t="s">
        <v>101</v>
      </c>
      <c r="C1123" t="s">
        <v>1810</v>
      </c>
      <c r="E1123" s="2">
        <v>1153000206001</v>
      </c>
      <c r="F1123" s="1" t="s">
        <v>29</v>
      </c>
      <c r="G1123" s="1" t="s">
        <v>53</v>
      </c>
      <c r="H1123" s="1" t="s">
        <v>1031</v>
      </c>
      <c r="I1123" s="1" t="s">
        <v>1032</v>
      </c>
      <c r="J1123" s="1" t="s">
        <v>79</v>
      </c>
      <c r="K1123" t="s">
        <v>34</v>
      </c>
      <c r="M1123" s="1" t="s">
        <v>35</v>
      </c>
      <c r="N1123" s="1">
        <v>42318949</v>
      </c>
      <c r="O1123" s="1" t="s">
        <v>105</v>
      </c>
      <c r="P1123" s="186">
        <v>44932.430312500001</v>
      </c>
      <c r="R1123" s="1" t="s">
        <v>38</v>
      </c>
      <c r="T1123" s="1" t="s">
        <v>74</v>
      </c>
      <c r="U1123" s="186">
        <v>44932.75</v>
      </c>
      <c r="V1123" s="1" t="s">
        <v>41</v>
      </c>
      <c r="W1123" s="1" t="s">
        <v>49</v>
      </c>
      <c r="X1123" s="13" t="str">
        <f>IF(RIGHT(H1123,2)&lt;&gt;"00",H1123,"")</f>
        <v/>
      </c>
      <c r="Y1123" s="2">
        <f ca="1">NETWORKDAYS(P1123,$Y$1)</f>
        <v>39</v>
      </c>
      <c r="Z1123" s="14">
        <v>1</v>
      </c>
      <c r="AA1123" s="1" t="str">
        <f t="shared" ca="1" si="85"/>
        <v>VENCIDO</v>
      </c>
      <c r="AB1123" s="1" t="str">
        <f t="shared" si="86"/>
        <v>Dosa</v>
      </c>
      <c r="AC1123" s="2" t="str">
        <f t="shared" si="87"/>
        <v xml:space="preserve"> ROSEMERE </v>
      </c>
      <c r="AD1123" s="2">
        <f t="shared" si="88"/>
        <v>5</v>
      </c>
      <c r="AE1123" s="2">
        <f t="shared" ca="1" si="89"/>
        <v>-53.926271643518703</v>
      </c>
    </row>
    <row r="1124" spans="1:31" hidden="1">
      <c r="A1124" s="1">
        <v>9294508</v>
      </c>
      <c r="B1124" s="1" t="s">
        <v>101</v>
      </c>
      <c r="C1124" t="s">
        <v>1810</v>
      </c>
      <c r="E1124" s="2">
        <v>1138000206001</v>
      </c>
      <c r="F1124" s="1" t="s">
        <v>29</v>
      </c>
      <c r="G1124" s="1" t="s">
        <v>53</v>
      </c>
      <c r="H1124" s="1" t="s">
        <v>548</v>
      </c>
      <c r="I1124" s="1" t="s">
        <v>549</v>
      </c>
      <c r="J1124" s="1" t="s">
        <v>46</v>
      </c>
      <c r="K1124" t="s">
        <v>34</v>
      </c>
      <c r="M1124" s="1" t="s">
        <v>35</v>
      </c>
      <c r="N1124" s="1">
        <v>42318949</v>
      </c>
      <c r="O1124" s="1" t="s">
        <v>105</v>
      </c>
      <c r="P1124" s="186">
        <v>44932.430289351854</v>
      </c>
      <c r="R1124" s="1" t="s">
        <v>38</v>
      </c>
      <c r="T1124" s="1" t="s">
        <v>74</v>
      </c>
      <c r="U1124" s="186">
        <v>44932.75</v>
      </c>
      <c r="V1124" s="1" t="s">
        <v>41</v>
      </c>
      <c r="W1124" s="1" t="s">
        <v>49</v>
      </c>
      <c r="X1124" s="13" t="str">
        <f>IF(RIGHT(H1124,2)&lt;&gt;"00",H1124,"")</f>
        <v/>
      </c>
      <c r="Y1124" s="2">
        <f ca="1">NETWORKDAYS(P1124,$Y$1)</f>
        <v>39</v>
      </c>
      <c r="Z1124" s="14">
        <v>1</v>
      </c>
      <c r="AA1124" s="1" t="str">
        <f t="shared" ca="1" si="85"/>
        <v>VENCIDO</v>
      </c>
      <c r="AB1124" s="1" t="str">
        <f t="shared" si="86"/>
        <v>Dosa</v>
      </c>
      <c r="AC1124" s="2" t="str">
        <f t="shared" si="87"/>
        <v xml:space="preserve"> CLEITON </v>
      </c>
      <c r="AD1124" s="2">
        <f t="shared" si="88"/>
        <v>5</v>
      </c>
      <c r="AE1124" s="2">
        <f t="shared" ca="1" si="89"/>
        <v>-53.926271643518703</v>
      </c>
    </row>
    <row r="1125" spans="1:31" hidden="1">
      <c r="A1125" s="1">
        <v>9294499</v>
      </c>
      <c r="B1125" s="1" t="s">
        <v>101</v>
      </c>
      <c r="C1125" t="s">
        <v>1810</v>
      </c>
      <c r="E1125" s="2">
        <v>1128000206001</v>
      </c>
      <c r="F1125" s="1" t="s">
        <v>29</v>
      </c>
      <c r="G1125" s="1" t="s">
        <v>53</v>
      </c>
      <c r="H1125" s="1" t="s">
        <v>1191</v>
      </c>
      <c r="I1125" s="1" t="s">
        <v>1192</v>
      </c>
      <c r="J1125" s="1" t="s">
        <v>33</v>
      </c>
      <c r="K1125" t="s">
        <v>34</v>
      </c>
      <c r="M1125" s="1" t="s">
        <v>35</v>
      </c>
      <c r="N1125" s="1">
        <v>42318949</v>
      </c>
      <c r="O1125" s="1" t="s">
        <v>36</v>
      </c>
      <c r="P1125" s="186">
        <v>44932.430277777778</v>
      </c>
      <c r="R1125" s="1" t="s">
        <v>38</v>
      </c>
      <c r="T1125" s="1" t="s">
        <v>74</v>
      </c>
      <c r="U1125" s="186">
        <v>44932.75</v>
      </c>
      <c r="V1125" s="1" t="s">
        <v>41</v>
      </c>
      <c r="W1125" s="1" t="s">
        <v>49</v>
      </c>
      <c r="X1125" s="13" t="str">
        <f>IF(RIGHT(H1125,2)&lt;&gt;"00",H1125,"")</f>
        <v/>
      </c>
      <c r="Y1125" s="2">
        <f ca="1">NETWORKDAYS(P1125,$Y$1)</f>
        <v>39</v>
      </c>
      <c r="Z1125" s="14">
        <v>1</v>
      </c>
      <c r="AA1125" s="1" t="str">
        <f t="shared" ca="1" si="85"/>
        <v>VENCIDO</v>
      </c>
      <c r="AB1125" s="1" t="str">
        <f t="shared" si="86"/>
        <v>Dosa</v>
      </c>
      <c r="AC1125" s="2" t="str">
        <f t="shared" si="87"/>
        <v xml:space="preserve"> ROSEMERE </v>
      </c>
      <c r="AD1125" s="2">
        <f t="shared" si="88"/>
        <v>5</v>
      </c>
      <c r="AE1125" s="2">
        <f t="shared" ca="1" si="89"/>
        <v>-53.926271643518703</v>
      </c>
    </row>
    <row r="1126" spans="1:31" hidden="1">
      <c r="A1126" s="1">
        <v>9294491</v>
      </c>
      <c r="B1126" s="1" t="s">
        <v>101</v>
      </c>
      <c r="C1126" t="s">
        <v>1810</v>
      </c>
      <c r="E1126" s="2">
        <v>1120000206001</v>
      </c>
      <c r="F1126" s="1" t="s">
        <v>29</v>
      </c>
      <c r="G1126" s="1" t="s">
        <v>53</v>
      </c>
      <c r="H1126" s="1" t="s">
        <v>181</v>
      </c>
      <c r="I1126" s="1" t="s">
        <v>182</v>
      </c>
      <c r="J1126" s="1" t="s">
        <v>164</v>
      </c>
      <c r="K1126" t="s">
        <v>34</v>
      </c>
      <c r="M1126" s="1" t="s">
        <v>35</v>
      </c>
      <c r="N1126" s="1">
        <v>42318949</v>
      </c>
      <c r="O1126" s="1" t="s">
        <v>105</v>
      </c>
      <c r="P1126" s="186">
        <v>44932.430266203701</v>
      </c>
      <c r="R1126" s="1" t="s">
        <v>38</v>
      </c>
      <c r="T1126" s="1" t="s">
        <v>74</v>
      </c>
      <c r="U1126" s="186">
        <v>44932.75</v>
      </c>
      <c r="V1126" s="1" t="s">
        <v>41</v>
      </c>
      <c r="W1126" s="1" t="s">
        <v>49</v>
      </c>
      <c r="X1126" s="13" t="str">
        <f>IF(RIGHT(H1126,2)&lt;&gt;"00",H1126,"")</f>
        <v/>
      </c>
      <c r="Y1126" s="2">
        <f ca="1">NETWORKDAYS(P1126,$Y$1)</f>
        <v>39</v>
      </c>
      <c r="Z1126" s="14">
        <v>1</v>
      </c>
      <c r="AA1126" s="1" t="str">
        <f t="shared" ca="1" si="85"/>
        <v>VENCIDO</v>
      </c>
      <c r="AB1126" s="1" t="str">
        <f t="shared" si="86"/>
        <v>Dosa</v>
      </c>
      <c r="AC1126" s="2" t="str">
        <f t="shared" si="87"/>
        <v xml:space="preserve"> ROSEMERE </v>
      </c>
      <c r="AD1126" s="2">
        <f t="shared" si="88"/>
        <v>5</v>
      </c>
      <c r="AE1126" s="2">
        <f t="shared" ca="1" si="89"/>
        <v>-53.926271643518703</v>
      </c>
    </row>
    <row r="1127" spans="1:31" hidden="1">
      <c r="A1127" s="1">
        <v>9294445</v>
      </c>
      <c r="B1127" s="1" t="s">
        <v>101</v>
      </c>
      <c r="C1127" t="s">
        <v>1810</v>
      </c>
      <c r="E1127" s="2">
        <v>1069000206001</v>
      </c>
      <c r="F1127" s="1" t="s">
        <v>29</v>
      </c>
      <c r="G1127" s="1" t="s">
        <v>53</v>
      </c>
      <c r="H1127" s="1" t="s">
        <v>353</v>
      </c>
      <c r="I1127" s="1" t="s">
        <v>354</v>
      </c>
      <c r="J1127" s="1" t="s">
        <v>211</v>
      </c>
      <c r="K1127" t="s">
        <v>34</v>
      </c>
      <c r="M1127" s="1" t="s">
        <v>35</v>
      </c>
      <c r="N1127" s="1">
        <v>42318949</v>
      </c>
      <c r="O1127" s="1" t="s">
        <v>105</v>
      </c>
      <c r="P1127" s="186">
        <v>44932.430208333331</v>
      </c>
      <c r="R1127" s="1" t="s">
        <v>38</v>
      </c>
      <c r="T1127" s="1" t="s">
        <v>74</v>
      </c>
      <c r="U1127" s="186">
        <v>44932.75</v>
      </c>
      <c r="V1127" s="1" t="s">
        <v>41</v>
      </c>
      <c r="W1127" s="1" t="s">
        <v>49</v>
      </c>
      <c r="X1127" s="13" t="str">
        <f>IF(RIGHT(H1127,2)&lt;&gt;"00",H1127,"")</f>
        <v/>
      </c>
      <c r="Y1127" s="2">
        <f ca="1">NETWORKDAYS(P1127,$Y$1)</f>
        <v>39</v>
      </c>
      <c r="Z1127" s="14">
        <v>1</v>
      </c>
      <c r="AA1127" s="1" t="str">
        <f t="shared" ca="1" si="85"/>
        <v>VENCIDO</v>
      </c>
      <c r="AB1127" s="1" t="str">
        <f t="shared" si="86"/>
        <v>Dosa</v>
      </c>
      <c r="AC1127" s="2" t="str">
        <f t="shared" si="87"/>
        <v xml:space="preserve"> RINALDO </v>
      </c>
      <c r="AD1127" s="2">
        <f t="shared" si="88"/>
        <v>5</v>
      </c>
      <c r="AE1127" s="2">
        <f t="shared" ca="1" si="89"/>
        <v>-53.926271643518703</v>
      </c>
    </row>
    <row r="1128" spans="1:31" hidden="1">
      <c r="A1128" s="1">
        <v>9294436</v>
      </c>
      <c r="B1128" s="1" t="s">
        <v>101</v>
      </c>
      <c r="C1128" t="s">
        <v>1810</v>
      </c>
      <c r="E1128" s="2">
        <v>1059000206001</v>
      </c>
      <c r="F1128" s="1" t="s">
        <v>29</v>
      </c>
      <c r="G1128" s="1" t="s">
        <v>53</v>
      </c>
      <c r="H1128" s="1" t="s">
        <v>88</v>
      </c>
      <c r="I1128" s="1" t="s">
        <v>89</v>
      </c>
      <c r="J1128" s="1" t="s">
        <v>90</v>
      </c>
      <c r="K1128" t="s">
        <v>34</v>
      </c>
      <c r="M1128" s="1" t="s">
        <v>35</v>
      </c>
      <c r="N1128" s="1">
        <v>42318949</v>
      </c>
      <c r="O1128" s="1" t="s">
        <v>105</v>
      </c>
      <c r="P1128" s="186">
        <v>44932.430196759262</v>
      </c>
      <c r="R1128" s="1" t="s">
        <v>38</v>
      </c>
      <c r="T1128" s="1" t="s">
        <v>74</v>
      </c>
      <c r="U1128" s="186">
        <v>44932.75</v>
      </c>
      <c r="V1128" s="1" t="s">
        <v>41</v>
      </c>
      <c r="W1128" s="1" t="s">
        <v>49</v>
      </c>
      <c r="X1128" s="13" t="str">
        <f>IF(RIGHT(H1128,2)&lt;&gt;"00",H1128,"")</f>
        <v/>
      </c>
      <c r="Y1128" s="2">
        <f ca="1">NETWORKDAYS(P1128,$Y$1)</f>
        <v>39</v>
      </c>
      <c r="Z1128" s="14">
        <v>1</v>
      </c>
      <c r="AA1128" s="1" t="str">
        <f t="shared" ca="1" si="85"/>
        <v>VENCIDO</v>
      </c>
      <c r="AB1128" s="1" t="str">
        <f t="shared" si="86"/>
        <v>Dosa</v>
      </c>
      <c r="AC1128" s="2" t="str">
        <f t="shared" si="87"/>
        <v xml:space="preserve"> RINALDO </v>
      </c>
      <c r="AD1128" s="2">
        <f t="shared" si="88"/>
        <v>5</v>
      </c>
      <c r="AE1128" s="2">
        <f t="shared" ca="1" si="89"/>
        <v>-53.926271643518703</v>
      </c>
    </row>
    <row r="1129" spans="1:31" hidden="1">
      <c r="A1129" s="1">
        <v>9294435</v>
      </c>
      <c r="B1129" s="1" t="s">
        <v>101</v>
      </c>
      <c r="C1129" t="s">
        <v>1810</v>
      </c>
      <c r="E1129" s="2">
        <v>1058000206001</v>
      </c>
      <c r="F1129" s="1" t="s">
        <v>29</v>
      </c>
      <c r="G1129" s="1" t="s">
        <v>53</v>
      </c>
      <c r="H1129" s="1" t="s">
        <v>289</v>
      </c>
      <c r="I1129" s="1" t="s">
        <v>290</v>
      </c>
      <c r="J1129" s="1" t="s">
        <v>56</v>
      </c>
      <c r="K1129" t="s">
        <v>34</v>
      </c>
      <c r="M1129" s="1" t="s">
        <v>35</v>
      </c>
      <c r="N1129" s="1">
        <v>42318949</v>
      </c>
      <c r="O1129" s="1" t="s">
        <v>105</v>
      </c>
      <c r="P1129" s="186">
        <v>44932.430196759262</v>
      </c>
      <c r="R1129" s="1" t="s">
        <v>38</v>
      </c>
      <c r="T1129" s="1" t="s">
        <v>74</v>
      </c>
      <c r="U1129" s="186">
        <v>44932.75</v>
      </c>
      <c r="V1129" s="1" t="s">
        <v>41</v>
      </c>
      <c r="W1129" s="1" t="s">
        <v>49</v>
      </c>
      <c r="X1129" s="13" t="str">
        <f>IF(RIGHT(H1129,2)&lt;&gt;"00",H1129,"")</f>
        <v/>
      </c>
      <c r="Y1129" s="2">
        <f ca="1">NETWORKDAYS(P1129,$Y$1)</f>
        <v>39</v>
      </c>
      <c r="Z1129" s="14">
        <v>1</v>
      </c>
      <c r="AA1129" s="1" t="str">
        <f t="shared" ca="1" si="85"/>
        <v>VENCIDO</v>
      </c>
      <c r="AB1129" s="1" t="str">
        <f t="shared" si="86"/>
        <v>Dosa</v>
      </c>
      <c r="AC1129" s="2" t="str">
        <f t="shared" si="87"/>
        <v xml:space="preserve"> CRISTINA </v>
      </c>
      <c r="AD1129" s="2">
        <f t="shared" si="88"/>
        <v>5</v>
      </c>
      <c r="AE1129" s="2">
        <f t="shared" ca="1" si="89"/>
        <v>-53.926271643518703</v>
      </c>
    </row>
    <row r="1130" spans="1:31" hidden="1">
      <c r="A1130" s="1">
        <v>9294424</v>
      </c>
      <c r="B1130" s="1" t="s">
        <v>101</v>
      </c>
      <c r="C1130" t="s">
        <v>1810</v>
      </c>
      <c r="E1130" s="2">
        <v>1049000206001</v>
      </c>
      <c r="F1130" s="1" t="s">
        <v>29</v>
      </c>
      <c r="G1130" s="1" t="s">
        <v>53</v>
      </c>
      <c r="H1130" s="1" t="s">
        <v>169</v>
      </c>
      <c r="I1130" s="1" t="s">
        <v>170</v>
      </c>
      <c r="J1130" s="1" t="s">
        <v>164</v>
      </c>
      <c r="K1130" t="s">
        <v>34</v>
      </c>
      <c r="M1130" s="1" t="s">
        <v>35</v>
      </c>
      <c r="N1130" s="1">
        <v>42318949</v>
      </c>
      <c r="O1130" s="1" t="s">
        <v>105</v>
      </c>
      <c r="P1130" s="186">
        <v>44932.430173611108</v>
      </c>
      <c r="R1130" s="1" t="s">
        <v>38</v>
      </c>
      <c r="T1130" s="1" t="s">
        <v>74</v>
      </c>
      <c r="U1130" s="186">
        <v>44932.75</v>
      </c>
      <c r="V1130" s="1" t="s">
        <v>41</v>
      </c>
      <c r="W1130" s="1" t="s">
        <v>49</v>
      </c>
      <c r="X1130" s="13" t="str">
        <f>IF(RIGHT(H1130,2)&lt;&gt;"00",H1130,"")</f>
        <v/>
      </c>
      <c r="Y1130" s="2">
        <f ca="1">NETWORKDAYS(P1130,$Y$1)</f>
        <v>39</v>
      </c>
      <c r="Z1130" s="14">
        <v>1</v>
      </c>
      <c r="AA1130" s="1" t="str">
        <f t="shared" ca="1" si="85"/>
        <v>VENCIDO</v>
      </c>
      <c r="AB1130" s="1" t="str">
        <f t="shared" si="86"/>
        <v>Dosa</v>
      </c>
      <c r="AC1130" s="2" t="str">
        <f t="shared" si="87"/>
        <v xml:space="preserve"> ROSEMERE </v>
      </c>
      <c r="AD1130" s="2">
        <f t="shared" si="88"/>
        <v>5</v>
      </c>
      <c r="AE1130" s="2">
        <f t="shared" ca="1" si="89"/>
        <v>-53.926271643518703</v>
      </c>
    </row>
    <row r="1131" spans="1:31" hidden="1">
      <c r="A1131" s="1">
        <v>9294406</v>
      </c>
      <c r="B1131" s="1" t="s">
        <v>101</v>
      </c>
      <c r="C1131" t="s">
        <v>1810</v>
      </c>
      <c r="E1131" s="2">
        <v>1028000206001</v>
      </c>
      <c r="F1131" s="1" t="s">
        <v>29</v>
      </c>
      <c r="G1131" s="1" t="s">
        <v>53</v>
      </c>
      <c r="H1131" s="1" t="s">
        <v>1079</v>
      </c>
      <c r="I1131" s="1" t="s">
        <v>1080</v>
      </c>
      <c r="J1131" s="1" t="s">
        <v>85</v>
      </c>
      <c r="K1131" t="s">
        <v>34</v>
      </c>
      <c r="M1131" s="1" t="s">
        <v>35</v>
      </c>
      <c r="N1131" s="1">
        <v>42318949</v>
      </c>
      <c r="O1131" s="1" t="s">
        <v>105</v>
      </c>
      <c r="P1131" s="186">
        <v>44932.430150462962</v>
      </c>
      <c r="R1131" s="1" t="s">
        <v>38</v>
      </c>
      <c r="T1131" s="1" t="s">
        <v>74</v>
      </c>
      <c r="U1131" s="186">
        <v>44932.75</v>
      </c>
      <c r="V1131" s="1" t="s">
        <v>41</v>
      </c>
      <c r="W1131" s="1" t="s">
        <v>49</v>
      </c>
      <c r="X1131" s="13" t="str">
        <f>IF(RIGHT(H1131,2)&lt;&gt;"00",H1131,"")</f>
        <v/>
      </c>
      <c r="Y1131" s="2">
        <f ca="1">NETWORKDAYS(P1131,$Y$1)</f>
        <v>39</v>
      </c>
      <c r="Z1131" s="14">
        <v>1</v>
      </c>
      <c r="AA1131" s="1" t="str">
        <f t="shared" ca="1" si="85"/>
        <v>VENCIDO</v>
      </c>
      <c r="AB1131" s="1" t="str">
        <f t="shared" si="86"/>
        <v>Dosa</v>
      </c>
      <c r="AC1131" s="2" t="str">
        <f t="shared" si="87"/>
        <v xml:space="preserve"> RINALDO </v>
      </c>
      <c r="AD1131" s="2">
        <f t="shared" si="88"/>
        <v>5</v>
      </c>
      <c r="AE1131" s="2">
        <f t="shared" ca="1" si="89"/>
        <v>-53.926271643518703</v>
      </c>
    </row>
    <row r="1132" spans="1:31" hidden="1">
      <c r="A1132" s="1">
        <v>9294391</v>
      </c>
      <c r="B1132" s="1" t="s">
        <v>101</v>
      </c>
      <c r="C1132" t="s">
        <v>1810</v>
      </c>
      <c r="E1132" s="2">
        <v>1012000206001</v>
      </c>
      <c r="F1132" s="1" t="s">
        <v>29</v>
      </c>
      <c r="G1132" s="1" t="s">
        <v>53</v>
      </c>
      <c r="H1132" s="1" t="s">
        <v>172</v>
      </c>
      <c r="I1132" s="1" t="s">
        <v>173</v>
      </c>
      <c r="J1132" s="1" t="s">
        <v>164</v>
      </c>
      <c r="K1132" t="s">
        <v>34</v>
      </c>
      <c r="M1132" s="1" t="s">
        <v>35</v>
      </c>
      <c r="N1132" s="1">
        <v>42318949</v>
      </c>
      <c r="O1132" s="1" t="s">
        <v>105</v>
      </c>
      <c r="P1132" s="186">
        <v>44932.430138888885</v>
      </c>
      <c r="R1132" s="1" t="s">
        <v>38</v>
      </c>
      <c r="T1132" s="1" t="s">
        <v>74</v>
      </c>
      <c r="U1132" s="186">
        <v>44932.75</v>
      </c>
      <c r="V1132" s="1" t="s">
        <v>41</v>
      </c>
      <c r="W1132" s="1" t="s">
        <v>49</v>
      </c>
      <c r="X1132" s="13" t="str">
        <f>IF(RIGHT(H1132,2)&lt;&gt;"00",H1132,"")</f>
        <v/>
      </c>
      <c r="Y1132" s="2">
        <f ca="1">NETWORKDAYS(P1132,$Y$1)</f>
        <v>39</v>
      </c>
      <c r="Z1132" s="14">
        <v>1</v>
      </c>
      <c r="AA1132" s="1" t="str">
        <f t="shared" ca="1" si="85"/>
        <v>VENCIDO</v>
      </c>
      <c r="AB1132" s="1" t="str">
        <f t="shared" si="86"/>
        <v>Dosa</v>
      </c>
      <c r="AC1132" s="2" t="str">
        <f t="shared" si="87"/>
        <v xml:space="preserve"> ROSEMERE </v>
      </c>
      <c r="AD1132" s="2">
        <f t="shared" si="88"/>
        <v>5</v>
      </c>
      <c r="AE1132" s="2">
        <f t="shared" ca="1" si="89"/>
        <v>-53.926271643518703</v>
      </c>
    </row>
    <row r="1133" spans="1:31" hidden="1">
      <c r="A1133" s="1">
        <v>9294359</v>
      </c>
      <c r="B1133" s="1" t="s">
        <v>101</v>
      </c>
      <c r="C1133" t="s">
        <v>1810</v>
      </c>
      <c r="E1133" s="2">
        <v>981000206001</v>
      </c>
      <c r="F1133" s="1" t="s">
        <v>29</v>
      </c>
      <c r="G1133" s="1" t="s">
        <v>53</v>
      </c>
      <c r="H1133" s="1" t="s">
        <v>410</v>
      </c>
      <c r="I1133" s="1" t="s">
        <v>411</v>
      </c>
      <c r="J1133" s="1" t="s">
        <v>85</v>
      </c>
      <c r="K1133" t="s">
        <v>34</v>
      </c>
      <c r="M1133" s="1" t="s">
        <v>35</v>
      </c>
      <c r="N1133" s="1">
        <v>42318949</v>
      </c>
      <c r="O1133" s="1" t="s">
        <v>105</v>
      </c>
      <c r="P1133" s="186">
        <v>44932.430081018516</v>
      </c>
      <c r="R1133" s="1" t="s">
        <v>38</v>
      </c>
      <c r="T1133" s="1" t="s">
        <v>74</v>
      </c>
      <c r="U1133" s="186">
        <v>44932.75</v>
      </c>
      <c r="V1133" s="1" t="s">
        <v>41</v>
      </c>
      <c r="W1133" s="1" t="s">
        <v>49</v>
      </c>
      <c r="X1133" s="13" t="str">
        <f>IF(RIGHT(H1133,2)&lt;&gt;"00",H1133,"")</f>
        <v/>
      </c>
      <c r="Y1133" s="2">
        <f ca="1">NETWORKDAYS(P1133,$Y$1)</f>
        <v>39</v>
      </c>
      <c r="Z1133" s="14">
        <v>1</v>
      </c>
      <c r="AA1133" s="1" t="str">
        <f t="shared" ca="1" si="85"/>
        <v>VENCIDO</v>
      </c>
      <c r="AB1133" s="1" t="str">
        <f t="shared" si="86"/>
        <v>Dosa</v>
      </c>
      <c r="AC1133" s="2" t="str">
        <f t="shared" si="87"/>
        <v xml:space="preserve"> RINALDO </v>
      </c>
      <c r="AD1133" s="2">
        <f t="shared" si="88"/>
        <v>5</v>
      </c>
      <c r="AE1133" s="2">
        <f t="shared" ca="1" si="89"/>
        <v>-53.926271643518703</v>
      </c>
    </row>
    <row r="1134" spans="1:31" hidden="1">
      <c r="A1134" s="1">
        <v>9294339</v>
      </c>
      <c r="B1134" s="1" t="s">
        <v>101</v>
      </c>
      <c r="C1134" t="s">
        <v>1810</v>
      </c>
      <c r="E1134" s="2">
        <v>963000206001</v>
      </c>
      <c r="F1134" s="1" t="s">
        <v>29</v>
      </c>
      <c r="G1134" s="1" t="s">
        <v>53</v>
      </c>
      <c r="H1134" s="1" t="s">
        <v>531</v>
      </c>
      <c r="I1134" s="1" t="s">
        <v>532</v>
      </c>
      <c r="J1134" s="1" t="s">
        <v>33</v>
      </c>
      <c r="K1134" t="s">
        <v>34</v>
      </c>
      <c r="M1134" s="1" t="s">
        <v>35</v>
      </c>
      <c r="N1134" s="1">
        <v>42318949</v>
      </c>
      <c r="O1134" s="1" t="s">
        <v>105</v>
      </c>
      <c r="P1134" s="186">
        <v>44932.430046296293</v>
      </c>
      <c r="R1134" s="1" t="s">
        <v>38</v>
      </c>
      <c r="T1134" s="1" t="s">
        <v>74</v>
      </c>
      <c r="U1134" s="186">
        <v>44932.75</v>
      </c>
      <c r="V1134" s="1" t="s">
        <v>41</v>
      </c>
      <c r="W1134" s="1" t="s">
        <v>49</v>
      </c>
      <c r="X1134" s="13" t="str">
        <f>IF(RIGHT(H1134,2)&lt;&gt;"00",H1134,"")</f>
        <v/>
      </c>
      <c r="Y1134" s="2">
        <f ca="1">NETWORKDAYS(P1134,$Y$1)</f>
        <v>39</v>
      </c>
      <c r="Z1134" s="14">
        <v>1</v>
      </c>
      <c r="AA1134" s="1" t="str">
        <f t="shared" ca="1" si="85"/>
        <v>VENCIDO</v>
      </c>
      <c r="AB1134" s="1" t="str">
        <f t="shared" si="86"/>
        <v>Dosa</v>
      </c>
      <c r="AC1134" s="2" t="str">
        <f t="shared" si="87"/>
        <v xml:space="preserve"> ROSEMERE </v>
      </c>
      <c r="AD1134" s="2">
        <f t="shared" si="88"/>
        <v>5</v>
      </c>
      <c r="AE1134" s="2">
        <f t="shared" ca="1" si="89"/>
        <v>-53.926271643518703</v>
      </c>
    </row>
    <row r="1135" spans="1:31" hidden="1">
      <c r="A1135" s="1">
        <v>9294307</v>
      </c>
      <c r="B1135" s="1" t="s">
        <v>101</v>
      </c>
      <c r="C1135" t="s">
        <v>1810</v>
      </c>
      <c r="E1135" s="2">
        <v>934000206001</v>
      </c>
      <c r="F1135" s="1" t="s">
        <v>29</v>
      </c>
      <c r="G1135" s="1" t="s">
        <v>53</v>
      </c>
      <c r="H1135" s="1" t="s">
        <v>428</v>
      </c>
      <c r="I1135" s="1" t="s">
        <v>429</v>
      </c>
      <c r="J1135" s="1" t="s">
        <v>46</v>
      </c>
      <c r="K1135" t="s">
        <v>34</v>
      </c>
      <c r="M1135" s="1" t="s">
        <v>35</v>
      </c>
      <c r="N1135" s="1">
        <v>42318949</v>
      </c>
      <c r="O1135" s="1" t="s">
        <v>105</v>
      </c>
      <c r="P1135" s="186">
        <v>44932.43</v>
      </c>
      <c r="R1135" s="1" t="s">
        <v>38</v>
      </c>
      <c r="T1135" s="1" t="s">
        <v>74</v>
      </c>
      <c r="U1135" s="186">
        <v>44932.75</v>
      </c>
      <c r="V1135" s="1" t="s">
        <v>41</v>
      </c>
      <c r="W1135" s="1" t="s">
        <v>49</v>
      </c>
      <c r="X1135" s="13" t="str">
        <f>IF(RIGHT(H1135,2)&lt;&gt;"00",H1135,"")</f>
        <v/>
      </c>
      <c r="Y1135" s="2">
        <f ca="1">NETWORKDAYS(P1135,$Y$1)</f>
        <v>39</v>
      </c>
      <c r="Z1135" s="14">
        <v>1</v>
      </c>
      <c r="AA1135" s="1" t="str">
        <f t="shared" ca="1" si="85"/>
        <v>VENCIDO</v>
      </c>
      <c r="AB1135" s="1" t="str">
        <f t="shared" si="86"/>
        <v>Dosa</v>
      </c>
      <c r="AC1135" s="2" t="str">
        <f t="shared" si="87"/>
        <v xml:space="preserve"> CLEITON </v>
      </c>
      <c r="AD1135" s="2">
        <f t="shared" si="88"/>
        <v>5</v>
      </c>
      <c r="AE1135" s="2">
        <f t="shared" ca="1" si="89"/>
        <v>-53.926271643518703</v>
      </c>
    </row>
    <row r="1136" spans="1:31" hidden="1">
      <c r="A1136" s="1">
        <v>9294293</v>
      </c>
      <c r="B1136" s="1" t="s">
        <v>101</v>
      </c>
      <c r="C1136" t="s">
        <v>1810</v>
      </c>
      <c r="E1136" s="2">
        <v>922000206001</v>
      </c>
      <c r="F1136" s="1" t="s">
        <v>29</v>
      </c>
      <c r="G1136" s="1" t="s">
        <v>53</v>
      </c>
      <c r="H1136" s="1" t="s">
        <v>1375</v>
      </c>
      <c r="I1136" s="1" t="s">
        <v>1376</v>
      </c>
      <c r="J1136" s="1" t="s">
        <v>261</v>
      </c>
      <c r="K1136" t="s">
        <v>34</v>
      </c>
      <c r="M1136" s="1" t="s">
        <v>35</v>
      </c>
      <c r="N1136" s="1">
        <v>42318949</v>
      </c>
      <c r="O1136" s="1" t="s">
        <v>105</v>
      </c>
      <c r="P1136" s="186">
        <v>44932.429988425924</v>
      </c>
      <c r="R1136" s="1" t="s">
        <v>38</v>
      </c>
      <c r="T1136" s="1" t="s">
        <v>74</v>
      </c>
      <c r="U1136" s="186">
        <v>44932.75</v>
      </c>
      <c r="V1136" s="1" t="s">
        <v>41</v>
      </c>
      <c r="W1136" s="1" t="s">
        <v>49</v>
      </c>
      <c r="X1136" s="13" t="str">
        <f>IF(RIGHT(H1136,2)&lt;&gt;"00",H1136,"")</f>
        <v/>
      </c>
      <c r="Y1136" s="2">
        <f ca="1">NETWORKDAYS(P1136,$Y$1)</f>
        <v>39</v>
      </c>
      <c r="Z1136" s="14">
        <v>1</v>
      </c>
      <c r="AA1136" s="1" t="str">
        <f t="shared" ca="1" si="85"/>
        <v>VENCIDO</v>
      </c>
      <c r="AB1136" s="1" t="str">
        <f t="shared" si="86"/>
        <v>Dosa</v>
      </c>
      <c r="AC1136" s="2" t="str">
        <f t="shared" si="87"/>
        <v xml:space="preserve"> CRISTINA </v>
      </c>
      <c r="AD1136" s="2">
        <f t="shared" si="88"/>
        <v>5</v>
      </c>
      <c r="AE1136" s="2">
        <f t="shared" ca="1" si="89"/>
        <v>-53.926271643518703</v>
      </c>
    </row>
    <row r="1137" spans="1:31" hidden="1">
      <c r="A1137" s="1">
        <v>9294269</v>
      </c>
      <c r="B1137" s="1" t="s">
        <v>101</v>
      </c>
      <c r="C1137" t="s">
        <v>1810</v>
      </c>
      <c r="E1137" s="2">
        <v>899000206001</v>
      </c>
      <c r="F1137" s="1" t="s">
        <v>29</v>
      </c>
      <c r="G1137" s="1" t="s">
        <v>53</v>
      </c>
      <c r="H1137" s="1" t="s">
        <v>175</v>
      </c>
      <c r="I1137" s="1" t="s">
        <v>176</v>
      </c>
      <c r="J1137" s="1" t="s">
        <v>90</v>
      </c>
      <c r="K1137" t="s">
        <v>34</v>
      </c>
      <c r="M1137" s="1" t="s">
        <v>35</v>
      </c>
      <c r="N1137" s="1">
        <v>42318949</v>
      </c>
      <c r="O1137" s="1" t="s">
        <v>36</v>
      </c>
      <c r="P1137" s="186">
        <v>44932.429942129631</v>
      </c>
      <c r="R1137" s="1" t="s">
        <v>38</v>
      </c>
      <c r="T1137" s="1" t="s">
        <v>74</v>
      </c>
      <c r="U1137" s="186">
        <v>44932.75</v>
      </c>
      <c r="V1137" s="1" t="s">
        <v>41</v>
      </c>
      <c r="W1137" s="1" t="s">
        <v>49</v>
      </c>
      <c r="X1137" s="13" t="str">
        <f>IF(RIGHT(H1137,2)&lt;&gt;"00",H1137,"")</f>
        <v/>
      </c>
      <c r="Y1137" s="2">
        <f ca="1">NETWORKDAYS(P1137,$Y$1)</f>
        <v>39</v>
      </c>
      <c r="Z1137" s="14">
        <v>1</v>
      </c>
      <c r="AA1137" s="1" t="str">
        <f t="shared" ca="1" si="85"/>
        <v>VENCIDO</v>
      </c>
      <c r="AB1137" s="1" t="str">
        <f t="shared" si="86"/>
        <v>Dosa</v>
      </c>
      <c r="AC1137" s="2" t="str">
        <f t="shared" si="87"/>
        <v xml:space="preserve"> RINALDO </v>
      </c>
      <c r="AD1137" s="2">
        <f t="shared" si="88"/>
        <v>5</v>
      </c>
      <c r="AE1137" s="2">
        <f t="shared" ca="1" si="89"/>
        <v>-53.926271643518703</v>
      </c>
    </row>
    <row r="1138" spans="1:31" hidden="1">
      <c r="A1138" s="1">
        <v>9294239</v>
      </c>
      <c r="B1138" s="1" t="s">
        <v>101</v>
      </c>
      <c r="C1138" t="s">
        <v>1810</v>
      </c>
      <c r="E1138" s="2">
        <v>870000206001</v>
      </c>
      <c r="F1138" s="1" t="s">
        <v>29</v>
      </c>
      <c r="G1138" s="1" t="s">
        <v>53</v>
      </c>
      <c r="H1138" s="1" t="s">
        <v>183</v>
      </c>
      <c r="I1138" s="1" t="s">
        <v>184</v>
      </c>
      <c r="J1138" s="1" t="s">
        <v>90</v>
      </c>
      <c r="K1138" t="s">
        <v>34</v>
      </c>
      <c r="M1138" s="1" t="s">
        <v>35</v>
      </c>
      <c r="N1138" s="1">
        <v>42318949</v>
      </c>
      <c r="O1138" s="1" t="s">
        <v>105</v>
      </c>
      <c r="P1138" s="186">
        <v>44932.429907407408</v>
      </c>
      <c r="R1138" s="1" t="s">
        <v>38</v>
      </c>
      <c r="T1138" s="1" t="s">
        <v>74</v>
      </c>
      <c r="U1138" s="186">
        <v>44932.75</v>
      </c>
      <c r="V1138" s="1" t="s">
        <v>41</v>
      </c>
      <c r="W1138" s="1" t="s">
        <v>49</v>
      </c>
      <c r="X1138" s="13" t="str">
        <f>IF(RIGHT(H1138,2)&lt;&gt;"00",H1138,"")</f>
        <v/>
      </c>
      <c r="Y1138" s="2">
        <f ca="1">NETWORKDAYS(P1138,$Y$1)</f>
        <v>39</v>
      </c>
      <c r="Z1138" s="14">
        <v>1</v>
      </c>
      <c r="AA1138" s="1" t="str">
        <f t="shared" ca="1" si="85"/>
        <v>VENCIDO</v>
      </c>
      <c r="AB1138" s="1" t="str">
        <f t="shared" si="86"/>
        <v>Dosa</v>
      </c>
      <c r="AC1138" s="2" t="str">
        <f t="shared" si="87"/>
        <v xml:space="preserve"> RINALDO </v>
      </c>
      <c r="AD1138" s="2">
        <f t="shared" si="88"/>
        <v>5</v>
      </c>
      <c r="AE1138" s="2">
        <f t="shared" ca="1" si="89"/>
        <v>-53.926271643518703</v>
      </c>
    </row>
    <row r="1139" spans="1:31" hidden="1">
      <c r="A1139" s="1">
        <v>9294195</v>
      </c>
      <c r="B1139" s="1" t="s">
        <v>101</v>
      </c>
      <c r="C1139" t="s">
        <v>1810</v>
      </c>
      <c r="E1139" s="2">
        <v>834000206001</v>
      </c>
      <c r="F1139" s="1" t="s">
        <v>29</v>
      </c>
      <c r="G1139" s="1" t="s">
        <v>53</v>
      </c>
      <c r="H1139" s="1" t="s">
        <v>367</v>
      </c>
      <c r="I1139" s="1" t="s">
        <v>368</v>
      </c>
      <c r="J1139" s="1" t="s">
        <v>261</v>
      </c>
      <c r="K1139" t="s">
        <v>34</v>
      </c>
      <c r="M1139" s="1" t="s">
        <v>35</v>
      </c>
      <c r="N1139" s="1">
        <v>42318949</v>
      </c>
      <c r="O1139" s="1" t="s">
        <v>105</v>
      </c>
      <c r="P1139" s="186">
        <v>44932.429837962962</v>
      </c>
      <c r="R1139" s="1" t="s">
        <v>38</v>
      </c>
      <c r="T1139" s="1" t="s">
        <v>74</v>
      </c>
      <c r="U1139" s="186">
        <v>44932.75</v>
      </c>
      <c r="V1139" s="1" t="s">
        <v>41</v>
      </c>
      <c r="W1139" s="1" t="s">
        <v>49</v>
      </c>
      <c r="X1139" s="13" t="str">
        <f>IF(RIGHT(H1139,2)&lt;&gt;"00",H1139,"")</f>
        <v/>
      </c>
      <c r="Y1139" s="2">
        <f ca="1">NETWORKDAYS(P1139,$Y$1)</f>
        <v>39</v>
      </c>
      <c r="Z1139" s="14">
        <v>1</v>
      </c>
      <c r="AA1139" s="1" t="str">
        <f t="shared" ca="1" si="85"/>
        <v>VENCIDO</v>
      </c>
      <c r="AB1139" s="1" t="str">
        <f t="shared" si="86"/>
        <v>Dosa</v>
      </c>
      <c r="AC1139" s="2" t="str">
        <f t="shared" si="87"/>
        <v xml:space="preserve"> CRISTINA </v>
      </c>
      <c r="AD1139" s="2">
        <f t="shared" si="88"/>
        <v>5</v>
      </c>
      <c r="AE1139" s="2">
        <f t="shared" ca="1" si="89"/>
        <v>-53.926271643518703</v>
      </c>
    </row>
    <row r="1140" spans="1:31" hidden="1">
      <c r="A1140" s="1">
        <v>9294183</v>
      </c>
      <c r="B1140" s="1" t="s">
        <v>101</v>
      </c>
      <c r="C1140" t="s">
        <v>1810</v>
      </c>
      <c r="E1140" s="2">
        <v>821000206001</v>
      </c>
      <c r="F1140" s="1" t="s">
        <v>29</v>
      </c>
      <c r="G1140" s="1" t="s">
        <v>53</v>
      </c>
      <c r="H1140" s="1" t="s">
        <v>1351</v>
      </c>
      <c r="I1140" s="1" t="s">
        <v>1352</v>
      </c>
      <c r="J1140" s="1" t="s">
        <v>46</v>
      </c>
      <c r="K1140" t="s">
        <v>34</v>
      </c>
      <c r="M1140" s="1" t="s">
        <v>35</v>
      </c>
      <c r="N1140" s="1">
        <v>42318949</v>
      </c>
      <c r="O1140" s="1" t="s">
        <v>105</v>
      </c>
      <c r="P1140" s="186">
        <v>44932.429814814815</v>
      </c>
      <c r="R1140" s="1" t="s">
        <v>38</v>
      </c>
      <c r="T1140" s="1" t="s">
        <v>74</v>
      </c>
      <c r="U1140" s="186">
        <v>44932.75</v>
      </c>
      <c r="V1140" s="1" t="s">
        <v>41</v>
      </c>
      <c r="W1140" s="1" t="s">
        <v>49</v>
      </c>
      <c r="X1140" s="13" t="str">
        <f>IF(RIGHT(H1140,2)&lt;&gt;"00",H1140,"")</f>
        <v/>
      </c>
      <c r="Y1140" s="2">
        <f ca="1">NETWORKDAYS(P1140,$Y$1)</f>
        <v>39</v>
      </c>
      <c r="Z1140" s="14">
        <v>1</v>
      </c>
      <c r="AA1140" s="1" t="str">
        <f t="shared" ca="1" si="85"/>
        <v>VENCIDO</v>
      </c>
      <c r="AB1140" s="1" t="str">
        <f t="shared" si="86"/>
        <v>Dosa</v>
      </c>
      <c r="AC1140" s="2" t="str">
        <f t="shared" si="87"/>
        <v xml:space="preserve"> CLEITON </v>
      </c>
      <c r="AD1140" s="2">
        <f t="shared" si="88"/>
        <v>5</v>
      </c>
      <c r="AE1140" s="2">
        <f t="shared" ca="1" si="89"/>
        <v>-53.926271643518703</v>
      </c>
    </row>
    <row r="1141" spans="1:31" hidden="1">
      <c r="A1141" s="1">
        <v>9294081</v>
      </c>
      <c r="B1141" s="1" t="s">
        <v>101</v>
      </c>
      <c r="C1141" t="s">
        <v>1810</v>
      </c>
      <c r="E1141" s="2">
        <v>721000206001</v>
      </c>
      <c r="F1141" s="1" t="s">
        <v>29</v>
      </c>
      <c r="G1141" s="1" t="s">
        <v>53</v>
      </c>
      <c r="H1141" s="1" t="s">
        <v>422</v>
      </c>
      <c r="I1141" s="1" t="s">
        <v>423</v>
      </c>
      <c r="J1141" s="1" t="s">
        <v>79</v>
      </c>
      <c r="K1141" t="s">
        <v>34</v>
      </c>
      <c r="M1141" s="1" t="s">
        <v>35</v>
      </c>
      <c r="N1141" s="1">
        <v>42318949</v>
      </c>
      <c r="O1141" s="1" t="s">
        <v>105</v>
      </c>
      <c r="P1141" s="186">
        <v>44932.429664351854</v>
      </c>
      <c r="R1141" s="1" t="s">
        <v>38</v>
      </c>
      <c r="T1141" s="1" t="s">
        <v>74</v>
      </c>
      <c r="U1141" s="186">
        <v>44932.75</v>
      </c>
      <c r="V1141" s="1" t="s">
        <v>41</v>
      </c>
      <c r="W1141" s="1" t="s">
        <v>49</v>
      </c>
      <c r="X1141" s="13" t="str">
        <f>IF(RIGHT(H1141,2)&lt;&gt;"00",H1141,"")</f>
        <v/>
      </c>
      <c r="Y1141" s="2">
        <f ca="1">NETWORKDAYS(P1141,$Y$1)</f>
        <v>39</v>
      </c>
      <c r="Z1141" s="14">
        <v>1</v>
      </c>
      <c r="AA1141" s="1" t="str">
        <f t="shared" ca="1" si="85"/>
        <v>VENCIDO</v>
      </c>
      <c r="AB1141" s="1" t="str">
        <f t="shared" si="86"/>
        <v>Dosa</v>
      </c>
      <c r="AC1141" s="2" t="str">
        <f t="shared" si="87"/>
        <v xml:space="preserve"> ROSEMERE </v>
      </c>
      <c r="AD1141" s="2">
        <f t="shared" si="88"/>
        <v>5</v>
      </c>
      <c r="AE1141" s="2">
        <f t="shared" ca="1" si="89"/>
        <v>-53.926271643518703</v>
      </c>
    </row>
    <row r="1142" spans="1:31" hidden="1">
      <c r="A1142" s="1">
        <v>9294073</v>
      </c>
      <c r="B1142" s="1" t="s">
        <v>101</v>
      </c>
      <c r="C1142" t="s">
        <v>1810</v>
      </c>
      <c r="E1142" s="2">
        <v>714000206001</v>
      </c>
      <c r="F1142" s="1" t="s">
        <v>29</v>
      </c>
      <c r="G1142" s="1" t="s">
        <v>53</v>
      </c>
      <c r="H1142" s="1" t="s">
        <v>377</v>
      </c>
      <c r="I1142" s="1" t="s">
        <v>378</v>
      </c>
      <c r="J1142" s="1" t="s">
        <v>46</v>
      </c>
      <c r="K1142" t="s">
        <v>34</v>
      </c>
      <c r="M1142" s="1" t="s">
        <v>35</v>
      </c>
      <c r="N1142" s="1">
        <v>42318949</v>
      </c>
      <c r="O1142" s="1" t="s">
        <v>105</v>
      </c>
      <c r="P1142" s="186">
        <v>44932.429652777777</v>
      </c>
      <c r="R1142" s="1" t="s">
        <v>38</v>
      </c>
      <c r="T1142" s="1" t="s">
        <v>74</v>
      </c>
      <c r="U1142" s="186">
        <v>44932.75</v>
      </c>
      <c r="V1142" s="1" t="s">
        <v>41</v>
      </c>
      <c r="W1142" s="1" t="s">
        <v>49</v>
      </c>
      <c r="X1142" s="13" t="str">
        <f>IF(RIGHT(H1142,2)&lt;&gt;"00",H1142,"")</f>
        <v/>
      </c>
      <c r="Y1142" s="2">
        <f ca="1">NETWORKDAYS(P1142,$Y$1)</f>
        <v>39</v>
      </c>
      <c r="Z1142" s="14">
        <v>1</v>
      </c>
      <c r="AA1142" s="1" t="str">
        <f t="shared" ca="1" si="85"/>
        <v>VENCIDO</v>
      </c>
      <c r="AB1142" s="1" t="str">
        <f t="shared" si="86"/>
        <v>Dosa</v>
      </c>
      <c r="AC1142" s="2" t="str">
        <f t="shared" si="87"/>
        <v xml:space="preserve"> CLEITON </v>
      </c>
      <c r="AD1142" s="2">
        <f t="shared" si="88"/>
        <v>5</v>
      </c>
      <c r="AE1142" s="2">
        <f t="shared" ca="1" si="89"/>
        <v>-53.926271643518703</v>
      </c>
    </row>
    <row r="1143" spans="1:31" hidden="1">
      <c r="A1143" s="1">
        <v>9294069</v>
      </c>
      <c r="B1143" s="1" t="s">
        <v>101</v>
      </c>
      <c r="C1143" t="s">
        <v>1810</v>
      </c>
      <c r="E1143" s="2">
        <v>711000206001</v>
      </c>
      <c r="F1143" s="1" t="s">
        <v>29</v>
      </c>
      <c r="G1143" s="1" t="s">
        <v>53</v>
      </c>
      <c r="H1143" s="1" t="s">
        <v>77</v>
      </c>
      <c r="I1143" s="1" t="s">
        <v>78</v>
      </c>
      <c r="J1143" s="1" t="s">
        <v>79</v>
      </c>
      <c r="K1143" t="s">
        <v>34</v>
      </c>
      <c r="M1143" s="1" t="s">
        <v>35</v>
      </c>
      <c r="N1143" s="1">
        <v>42318949</v>
      </c>
      <c r="O1143" s="1" t="s">
        <v>105</v>
      </c>
      <c r="P1143" s="186">
        <v>44932.4296412037</v>
      </c>
      <c r="R1143" s="1" t="s">
        <v>38</v>
      </c>
      <c r="T1143" s="1" t="s">
        <v>74</v>
      </c>
      <c r="U1143" s="186">
        <v>44932.75</v>
      </c>
      <c r="V1143" s="1" t="s">
        <v>41</v>
      </c>
      <c r="W1143" s="1" t="s">
        <v>49</v>
      </c>
      <c r="X1143" s="13" t="str">
        <f>IF(RIGHT(H1143,2)&lt;&gt;"00",H1143,"")</f>
        <v/>
      </c>
      <c r="Y1143" s="2">
        <f ca="1">NETWORKDAYS(P1143,$Y$1)</f>
        <v>39</v>
      </c>
      <c r="Z1143" s="14">
        <v>1</v>
      </c>
      <c r="AA1143" s="1" t="str">
        <f t="shared" ca="1" si="85"/>
        <v>VENCIDO</v>
      </c>
      <c r="AB1143" s="1" t="str">
        <f t="shared" si="86"/>
        <v>Dosa</v>
      </c>
      <c r="AC1143" s="2" t="str">
        <f t="shared" si="87"/>
        <v xml:space="preserve"> ROSEMERE </v>
      </c>
      <c r="AD1143" s="2">
        <f t="shared" si="88"/>
        <v>5</v>
      </c>
      <c r="AE1143" s="2">
        <f t="shared" ca="1" si="89"/>
        <v>-53.926271643518703</v>
      </c>
    </row>
    <row r="1144" spans="1:31" hidden="1">
      <c r="A1144" s="1">
        <v>9294068</v>
      </c>
      <c r="B1144" s="1" t="s">
        <v>101</v>
      </c>
      <c r="C1144" t="s">
        <v>1810</v>
      </c>
      <c r="E1144" s="2">
        <v>710000206001</v>
      </c>
      <c r="F1144" s="1" t="s">
        <v>29</v>
      </c>
      <c r="G1144" s="1" t="s">
        <v>53</v>
      </c>
      <c r="H1144" s="1" t="s">
        <v>390</v>
      </c>
      <c r="I1144" s="1" t="s">
        <v>391</v>
      </c>
      <c r="J1144" s="1" t="s">
        <v>56</v>
      </c>
      <c r="K1144" t="s">
        <v>34</v>
      </c>
      <c r="M1144" s="1" t="s">
        <v>35</v>
      </c>
      <c r="N1144" s="1">
        <v>42318949</v>
      </c>
      <c r="O1144" s="1" t="s">
        <v>36</v>
      </c>
      <c r="P1144" s="186">
        <v>44932.4296412037</v>
      </c>
      <c r="R1144" s="1" t="s">
        <v>38</v>
      </c>
      <c r="T1144" s="1" t="s">
        <v>74</v>
      </c>
      <c r="U1144" s="186">
        <v>44932.75</v>
      </c>
      <c r="V1144" s="1" t="s">
        <v>41</v>
      </c>
      <c r="W1144" s="1" t="s">
        <v>49</v>
      </c>
      <c r="X1144" s="13" t="str">
        <f>IF(RIGHT(H1144,2)&lt;&gt;"00",H1144,"")</f>
        <v/>
      </c>
      <c r="Y1144" s="2">
        <f ca="1">NETWORKDAYS(P1144,$Y$1)</f>
        <v>39</v>
      </c>
      <c r="Z1144" s="14">
        <v>1</v>
      </c>
      <c r="AA1144" s="1" t="str">
        <f t="shared" ca="1" si="85"/>
        <v>VENCIDO</v>
      </c>
      <c r="AB1144" s="1" t="str">
        <f t="shared" si="86"/>
        <v>Dosa</v>
      </c>
      <c r="AC1144" s="2" t="str">
        <f t="shared" si="87"/>
        <v xml:space="preserve"> CRISTINA </v>
      </c>
      <c r="AD1144" s="2">
        <f t="shared" si="88"/>
        <v>5</v>
      </c>
      <c r="AE1144" s="2">
        <f t="shared" ca="1" si="89"/>
        <v>-53.926271643518703</v>
      </c>
    </row>
    <row r="1145" spans="1:31" hidden="1">
      <c r="A1145" s="1">
        <v>9294054</v>
      </c>
      <c r="B1145" s="1" t="s">
        <v>101</v>
      </c>
      <c r="C1145" t="s">
        <v>1810</v>
      </c>
      <c r="E1145" s="2">
        <v>697000206001</v>
      </c>
      <c r="F1145" s="1" t="s">
        <v>29</v>
      </c>
      <c r="G1145" s="1" t="s">
        <v>53</v>
      </c>
      <c r="H1145" s="1" t="s">
        <v>65</v>
      </c>
      <c r="I1145" s="1" t="s">
        <v>66</v>
      </c>
      <c r="J1145" s="1" t="s">
        <v>46</v>
      </c>
      <c r="K1145" t="s">
        <v>34</v>
      </c>
      <c r="M1145" s="1" t="s">
        <v>35</v>
      </c>
      <c r="N1145" s="1">
        <v>42318949</v>
      </c>
      <c r="O1145" s="1" t="s">
        <v>105</v>
      </c>
      <c r="P1145" s="186">
        <v>44932.429618055554</v>
      </c>
      <c r="R1145" s="1" t="s">
        <v>38</v>
      </c>
      <c r="T1145" s="1" t="s">
        <v>74</v>
      </c>
      <c r="U1145" s="186">
        <v>44932.75</v>
      </c>
      <c r="V1145" s="1" t="s">
        <v>41</v>
      </c>
      <c r="W1145" s="1" t="s">
        <v>49</v>
      </c>
      <c r="X1145" s="13" t="str">
        <f>IF(RIGHT(H1145,2)&lt;&gt;"00",H1145,"")</f>
        <v/>
      </c>
      <c r="Y1145" s="2">
        <f ca="1">NETWORKDAYS(P1145,$Y$1)</f>
        <v>39</v>
      </c>
      <c r="Z1145" s="14">
        <v>1</v>
      </c>
      <c r="AA1145" s="1" t="str">
        <f t="shared" ca="1" si="85"/>
        <v>VENCIDO</v>
      </c>
      <c r="AB1145" s="1" t="str">
        <f t="shared" si="86"/>
        <v>Dosa</v>
      </c>
      <c r="AC1145" s="2" t="str">
        <f t="shared" si="87"/>
        <v xml:space="preserve"> CLEITON </v>
      </c>
      <c r="AD1145" s="2">
        <f t="shared" si="88"/>
        <v>5</v>
      </c>
      <c r="AE1145" s="2">
        <f t="shared" ca="1" si="89"/>
        <v>-53.926271643518703</v>
      </c>
    </row>
    <row r="1146" spans="1:31" hidden="1">
      <c r="A1146" s="1">
        <v>9294030</v>
      </c>
      <c r="B1146" s="1" t="s">
        <v>101</v>
      </c>
      <c r="C1146" t="s">
        <v>1810</v>
      </c>
      <c r="E1146" s="2">
        <v>673000206001</v>
      </c>
      <c r="F1146" s="1" t="s">
        <v>29</v>
      </c>
      <c r="G1146" s="1" t="s">
        <v>53</v>
      </c>
      <c r="H1146" s="1" t="s">
        <v>581</v>
      </c>
      <c r="I1146" s="1" t="s">
        <v>582</v>
      </c>
      <c r="J1146" s="1" t="s">
        <v>110</v>
      </c>
      <c r="K1146" t="s">
        <v>34</v>
      </c>
      <c r="M1146" s="1" t="s">
        <v>35</v>
      </c>
      <c r="N1146" s="1">
        <v>42318949</v>
      </c>
      <c r="O1146" s="1" t="s">
        <v>105</v>
      </c>
      <c r="P1146" s="186">
        <v>44932.429583333331</v>
      </c>
      <c r="R1146" s="1" t="s">
        <v>38</v>
      </c>
      <c r="T1146" s="1" t="s">
        <v>74</v>
      </c>
      <c r="U1146" s="186">
        <v>44932.75</v>
      </c>
      <c r="V1146" s="1" t="s">
        <v>41</v>
      </c>
      <c r="W1146" s="1" t="s">
        <v>49</v>
      </c>
      <c r="X1146" s="13" t="str">
        <f>IF(RIGHT(H1146,2)&lt;&gt;"00",H1146,"")</f>
        <v/>
      </c>
      <c r="Y1146" s="2">
        <f ca="1">NETWORKDAYS(P1146,$Y$1)</f>
        <v>39</v>
      </c>
      <c r="Z1146" s="14">
        <v>1</v>
      </c>
      <c r="AA1146" s="1" t="str">
        <f t="shared" ca="1" si="85"/>
        <v>VENCIDO</v>
      </c>
      <c r="AB1146" s="1" t="str">
        <f t="shared" si="86"/>
        <v>Dosa</v>
      </c>
      <c r="AC1146" s="2" t="str">
        <f t="shared" si="87"/>
        <v xml:space="preserve"> CRISTINA </v>
      </c>
      <c r="AD1146" s="2">
        <f t="shared" si="88"/>
        <v>5</v>
      </c>
      <c r="AE1146" s="2">
        <f t="shared" ca="1" si="89"/>
        <v>-53.926271643518703</v>
      </c>
    </row>
    <row r="1147" spans="1:31" hidden="1">
      <c r="A1147" s="1">
        <v>9293955</v>
      </c>
      <c r="B1147" s="1" t="s">
        <v>101</v>
      </c>
      <c r="C1147" t="s">
        <v>1810</v>
      </c>
      <c r="E1147" s="2">
        <v>608000206001</v>
      </c>
      <c r="F1147" s="1" t="s">
        <v>29</v>
      </c>
      <c r="G1147" s="1" t="s">
        <v>53</v>
      </c>
      <c r="H1147" s="1" t="s">
        <v>438</v>
      </c>
      <c r="I1147" s="1" t="s">
        <v>439</v>
      </c>
      <c r="J1147" s="1" t="s">
        <v>148</v>
      </c>
      <c r="K1147" t="s">
        <v>34</v>
      </c>
      <c r="M1147" s="1" t="s">
        <v>35</v>
      </c>
      <c r="N1147" s="1">
        <v>42318949</v>
      </c>
      <c r="O1147" s="1" t="s">
        <v>105</v>
      </c>
      <c r="P1147" s="186">
        <v>44932.429467592592</v>
      </c>
      <c r="R1147" s="1" t="s">
        <v>38</v>
      </c>
      <c r="T1147" s="1" t="s">
        <v>74</v>
      </c>
      <c r="U1147" s="186">
        <v>44932.75</v>
      </c>
      <c r="V1147" s="1" t="s">
        <v>41</v>
      </c>
      <c r="W1147" s="1" t="s">
        <v>49</v>
      </c>
      <c r="X1147" s="13" t="str">
        <f>IF(RIGHT(H1147,2)&lt;&gt;"00",H1147,"")</f>
        <v/>
      </c>
      <c r="Y1147" s="2">
        <f ca="1">NETWORKDAYS(P1147,$Y$1)</f>
        <v>39</v>
      </c>
      <c r="Z1147" s="14">
        <v>1</v>
      </c>
      <c r="AA1147" s="1" t="str">
        <f t="shared" ca="1" si="85"/>
        <v>VENCIDO</v>
      </c>
      <c r="AB1147" s="1" t="str">
        <f t="shared" si="86"/>
        <v>Dosa</v>
      </c>
      <c r="AC1147" s="2" t="str">
        <f t="shared" si="87"/>
        <v xml:space="preserve"> RINALDO </v>
      </c>
      <c r="AD1147" s="2">
        <f t="shared" si="88"/>
        <v>5</v>
      </c>
      <c r="AE1147" s="2">
        <f t="shared" ca="1" si="89"/>
        <v>-53.926271643518703</v>
      </c>
    </row>
    <row r="1148" spans="1:31" hidden="1">
      <c r="A1148" s="1">
        <v>9293952</v>
      </c>
      <c r="B1148" s="1" t="s">
        <v>101</v>
      </c>
      <c r="C1148" t="s">
        <v>1810</v>
      </c>
      <c r="E1148" s="2">
        <v>605000206001</v>
      </c>
      <c r="F1148" s="1" t="s">
        <v>29</v>
      </c>
      <c r="G1148" s="1" t="s">
        <v>53</v>
      </c>
      <c r="H1148" s="1" t="s">
        <v>420</v>
      </c>
      <c r="I1148" s="1" t="s">
        <v>421</v>
      </c>
      <c r="J1148" s="1" t="s">
        <v>90</v>
      </c>
      <c r="K1148" t="s">
        <v>34</v>
      </c>
      <c r="M1148" s="1" t="s">
        <v>35</v>
      </c>
      <c r="N1148" s="1">
        <v>42318949</v>
      </c>
      <c r="O1148" s="1" t="s">
        <v>105</v>
      </c>
      <c r="P1148" s="186">
        <v>44932.429456018515</v>
      </c>
      <c r="R1148" s="1" t="s">
        <v>38</v>
      </c>
      <c r="T1148" s="1" t="s">
        <v>74</v>
      </c>
      <c r="U1148" s="186">
        <v>44932.75</v>
      </c>
      <c r="V1148" s="1" t="s">
        <v>41</v>
      </c>
      <c r="W1148" s="1" t="s">
        <v>49</v>
      </c>
      <c r="X1148" s="13" t="str">
        <f>IF(RIGHT(H1148,2)&lt;&gt;"00",H1148,"")</f>
        <v/>
      </c>
      <c r="Y1148" s="2">
        <f ca="1">NETWORKDAYS(P1148,$Y$1)</f>
        <v>39</v>
      </c>
      <c r="Z1148" s="14">
        <v>1</v>
      </c>
      <c r="AA1148" s="1" t="str">
        <f t="shared" ref="AA1148:AA1211" ca="1" si="90">IF(AE1148=0,"HOJE",IF(AE1148&gt;0,"A VENCER",IF(AE1148&lt;0,"VENCIDO")))</f>
        <v>VENCIDO</v>
      </c>
      <c r="AB1148" s="1" t="str">
        <f t="shared" ref="AB1148:AB1211" si="91">IF(F1148="GRPE-000001","C-14",IF(F1148="GRPE-000002","C-14",IF(F1148="GRPE-000003","C-14",IF(F1148="GRPE-000004","SL-On",IF(F1148="GRPE-000038","C-14",IF(F1148="GRPE-900022","Dosa",IF(F1148="GRPE-000029","Dosa",IF(F1148="ATOS-000222","Dose","TAAe+"))))))))</f>
        <v>Dosa</v>
      </c>
      <c r="AC1148" s="2" t="str">
        <f t="shared" ref="AC1148:AC1211" si="92">IF(J1148="TR-PETROLINA"," ROSEMERE ",IF(J1148="TR-GARANHUNS"," ROSEMERE ",IF(J1148="TR-CARUARU"," ROSEMERE ",IF(J1148="TR-RIBEIRAO"," CRISTINA ",IF(J1148="TR-GRAVATA"," CRISTINA ",IF(J1148="TR-GOIANA"," CRISTINA ",IF(J1148="TR-LIMOEIRO"," CRISTINA ",IF(J1148="TR-SERRA TALHADA"," RINALDO ",IF(J1148="TR-SALGUEIRO"," RINALDO ",IF(J1148="TR-CARNAIBA"," RINALDO ",IF(J1148="TR-ARCOVERDE"," RINALDO ",IF(J1148="CAT-RECIFE"," CLEITON ",))))))))))))</f>
        <v xml:space="preserve"> RINALDO </v>
      </c>
      <c r="AD1148" s="2">
        <f t="shared" ref="AD1148:AD1211" si="93">IF(F1148="GRPE-000001",5,IF(F1148="GRPE-000002",5,IF(F1148="GRPE-000003",15,IF(F1148="GRPE-000004",1,IF(F1148="GRPE-000038",5,IF(F1148="GRPE-900022",5,IF(F1148="GRPE-000029",5,IF(F1148="ATOS-000222",5,8))))))))</f>
        <v>5</v>
      </c>
      <c r="AE1148" s="2">
        <f t="shared" ref="AE1148:AE1211" ca="1" si="94">IF(U1148=$AE$1,"",U1148-$AE$1)</f>
        <v>-53.926271643518703</v>
      </c>
    </row>
    <row r="1149" spans="1:31" hidden="1">
      <c r="A1149" s="1">
        <v>9293925</v>
      </c>
      <c r="B1149" s="1" t="s">
        <v>101</v>
      </c>
      <c r="C1149" t="s">
        <v>1810</v>
      </c>
      <c r="E1149" s="2">
        <v>582000206001</v>
      </c>
      <c r="F1149" s="1" t="s">
        <v>29</v>
      </c>
      <c r="G1149" s="1" t="s">
        <v>53</v>
      </c>
      <c r="H1149" s="1" t="s">
        <v>139</v>
      </c>
      <c r="I1149" s="1" t="s">
        <v>140</v>
      </c>
      <c r="J1149" s="1" t="s">
        <v>141</v>
      </c>
      <c r="K1149" t="s">
        <v>34</v>
      </c>
      <c r="M1149" s="1" t="s">
        <v>35</v>
      </c>
      <c r="N1149" s="1">
        <v>42318949</v>
      </c>
      <c r="O1149" s="1" t="s">
        <v>105</v>
      </c>
      <c r="P1149" s="186">
        <v>44932.4294212963</v>
      </c>
      <c r="R1149" s="1" t="s">
        <v>38</v>
      </c>
      <c r="T1149" s="1" t="s">
        <v>74</v>
      </c>
      <c r="U1149" s="186">
        <v>44932.75</v>
      </c>
      <c r="V1149" s="1" t="s">
        <v>41</v>
      </c>
      <c r="W1149" s="1" t="s">
        <v>49</v>
      </c>
      <c r="X1149" s="13" t="str">
        <f>IF(RIGHT(H1149,2)&lt;&gt;"00",H1149,"")</f>
        <v/>
      </c>
      <c r="Y1149" s="2">
        <f ca="1">NETWORKDAYS(P1149,$Y$1)</f>
        <v>39</v>
      </c>
      <c r="Z1149" s="14">
        <v>1</v>
      </c>
      <c r="AA1149" s="1" t="str">
        <f t="shared" ca="1" si="90"/>
        <v>VENCIDO</v>
      </c>
      <c r="AB1149" s="1" t="str">
        <f t="shared" si="91"/>
        <v>Dosa</v>
      </c>
      <c r="AC1149" s="2" t="str">
        <f t="shared" si="92"/>
        <v xml:space="preserve"> CRISTINA </v>
      </c>
      <c r="AD1149" s="2">
        <f t="shared" si="93"/>
        <v>5</v>
      </c>
      <c r="AE1149" s="2">
        <f t="shared" ca="1" si="94"/>
        <v>-53.926271643518703</v>
      </c>
    </row>
    <row r="1150" spans="1:31" hidden="1">
      <c r="A1150" s="1">
        <v>9293892</v>
      </c>
      <c r="B1150" s="1" t="s">
        <v>101</v>
      </c>
      <c r="C1150" t="s">
        <v>1810</v>
      </c>
      <c r="E1150" s="2">
        <v>550000206001</v>
      </c>
      <c r="F1150" s="1" t="s">
        <v>29</v>
      </c>
      <c r="G1150" s="1" t="s">
        <v>53</v>
      </c>
      <c r="H1150" s="1" t="s">
        <v>337</v>
      </c>
      <c r="I1150" s="1" t="s">
        <v>338</v>
      </c>
      <c r="J1150" s="1" t="s">
        <v>164</v>
      </c>
      <c r="K1150" t="s">
        <v>34</v>
      </c>
      <c r="M1150" s="1" t="s">
        <v>35</v>
      </c>
      <c r="N1150" s="1">
        <v>42318949</v>
      </c>
      <c r="O1150" s="1" t="s">
        <v>105</v>
      </c>
      <c r="P1150" s="186">
        <v>44932.429363425923</v>
      </c>
      <c r="R1150" s="1" t="s">
        <v>38</v>
      </c>
      <c r="T1150" s="1" t="s">
        <v>74</v>
      </c>
      <c r="U1150" s="186">
        <v>44932.75</v>
      </c>
      <c r="V1150" s="1" t="s">
        <v>41</v>
      </c>
      <c r="W1150" s="1" t="s">
        <v>49</v>
      </c>
      <c r="X1150" s="13" t="str">
        <f>IF(RIGHT(H1150,2)&lt;&gt;"00",H1150,"")</f>
        <v/>
      </c>
      <c r="Y1150" s="2">
        <f ca="1">NETWORKDAYS(P1150,$Y$1)</f>
        <v>39</v>
      </c>
      <c r="Z1150" s="14">
        <v>1</v>
      </c>
      <c r="AA1150" s="1" t="str">
        <f t="shared" ca="1" si="90"/>
        <v>VENCIDO</v>
      </c>
      <c r="AB1150" s="1" t="str">
        <f t="shared" si="91"/>
        <v>Dosa</v>
      </c>
      <c r="AC1150" s="2" t="str">
        <f t="shared" si="92"/>
        <v xml:space="preserve"> ROSEMERE </v>
      </c>
      <c r="AD1150" s="2">
        <f t="shared" si="93"/>
        <v>5</v>
      </c>
      <c r="AE1150" s="2">
        <f t="shared" ca="1" si="94"/>
        <v>-53.926271643518703</v>
      </c>
    </row>
    <row r="1151" spans="1:31" hidden="1">
      <c r="A1151" s="1">
        <v>9293880</v>
      </c>
      <c r="B1151" s="1" t="s">
        <v>101</v>
      </c>
      <c r="C1151" t="s">
        <v>1810</v>
      </c>
      <c r="E1151" s="2">
        <v>537000206001</v>
      </c>
      <c r="F1151" s="1" t="s">
        <v>29</v>
      </c>
      <c r="G1151" s="1" t="s">
        <v>53</v>
      </c>
      <c r="H1151" s="1" t="s">
        <v>442</v>
      </c>
      <c r="I1151" s="1" t="s">
        <v>443</v>
      </c>
      <c r="J1151" s="1" t="s">
        <v>79</v>
      </c>
      <c r="K1151" t="s">
        <v>34</v>
      </c>
      <c r="M1151" s="1" t="s">
        <v>35</v>
      </c>
      <c r="N1151" s="1">
        <v>42318949</v>
      </c>
      <c r="O1151" s="1" t="s">
        <v>105</v>
      </c>
      <c r="P1151" s="186">
        <v>44932.429351851853</v>
      </c>
      <c r="R1151" s="1" t="s">
        <v>38</v>
      </c>
      <c r="T1151" s="1" t="s">
        <v>74</v>
      </c>
      <c r="U1151" s="186">
        <v>44932.75</v>
      </c>
      <c r="V1151" s="1" t="s">
        <v>41</v>
      </c>
      <c r="W1151" s="1" t="s">
        <v>49</v>
      </c>
      <c r="X1151" s="13" t="str">
        <f>IF(RIGHT(H1151,2)&lt;&gt;"00",H1151,"")</f>
        <v/>
      </c>
      <c r="Y1151" s="2">
        <f ca="1">NETWORKDAYS(P1151,$Y$1)</f>
        <v>39</v>
      </c>
      <c r="Z1151" s="14">
        <v>1</v>
      </c>
      <c r="AA1151" s="1" t="str">
        <f t="shared" ca="1" si="90"/>
        <v>VENCIDO</v>
      </c>
      <c r="AB1151" s="1" t="str">
        <f t="shared" si="91"/>
        <v>Dosa</v>
      </c>
      <c r="AC1151" s="2" t="str">
        <f t="shared" si="92"/>
        <v xml:space="preserve"> ROSEMERE </v>
      </c>
      <c r="AD1151" s="2">
        <f t="shared" si="93"/>
        <v>5</v>
      </c>
      <c r="AE1151" s="2">
        <f t="shared" ca="1" si="94"/>
        <v>-53.926271643518703</v>
      </c>
    </row>
    <row r="1152" spans="1:31" hidden="1">
      <c r="A1152" s="1">
        <v>9293775</v>
      </c>
      <c r="B1152" s="1" t="s">
        <v>101</v>
      </c>
      <c r="C1152" t="s">
        <v>1810</v>
      </c>
      <c r="E1152" s="2">
        <v>446000206001</v>
      </c>
      <c r="F1152" s="1" t="s">
        <v>29</v>
      </c>
      <c r="G1152" s="1" t="s">
        <v>53</v>
      </c>
      <c r="H1152" s="1" t="s">
        <v>432</v>
      </c>
      <c r="I1152" s="1" t="s">
        <v>433</v>
      </c>
      <c r="J1152" s="1" t="s">
        <v>110</v>
      </c>
      <c r="K1152" t="s">
        <v>34</v>
      </c>
      <c r="M1152" s="1" t="s">
        <v>35</v>
      </c>
      <c r="N1152" s="1">
        <v>42318949</v>
      </c>
      <c r="O1152" s="1" t="s">
        <v>36</v>
      </c>
      <c r="P1152" s="186">
        <v>44932.429189814815</v>
      </c>
      <c r="R1152" s="1" t="s">
        <v>38</v>
      </c>
      <c r="T1152" s="1" t="s">
        <v>74</v>
      </c>
      <c r="U1152" s="186">
        <v>44932.75</v>
      </c>
      <c r="V1152" s="1" t="s">
        <v>41</v>
      </c>
      <c r="W1152" s="1" t="s">
        <v>49</v>
      </c>
      <c r="X1152" s="13" t="str">
        <f>IF(RIGHT(H1152,2)&lt;&gt;"00",H1152,"")</f>
        <v/>
      </c>
      <c r="Y1152" s="2">
        <f ca="1">NETWORKDAYS(P1152,$Y$1)</f>
        <v>39</v>
      </c>
      <c r="Z1152" s="14">
        <v>1</v>
      </c>
      <c r="AA1152" s="1" t="str">
        <f t="shared" ca="1" si="90"/>
        <v>VENCIDO</v>
      </c>
      <c r="AB1152" s="1" t="str">
        <f t="shared" si="91"/>
        <v>Dosa</v>
      </c>
      <c r="AC1152" s="2" t="str">
        <f t="shared" si="92"/>
        <v xml:space="preserve"> CRISTINA </v>
      </c>
      <c r="AD1152" s="2">
        <f t="shared" si="93"/>
        <v>5</v>
      </c>
      <c r="AE1152" s="2">
        <f t="shared" ca="1" si="94"/>
        <v>-53.926271643518703</v>
      </c>
    </row>
    <row r="1153" spans="1:31" hidden="1">
      <c r="A1153" s="1">
        <v>9293508</v>
      </c>
      <c r="B1153" s="1" t="s">
        <v>101</v>
      </c>
      <c r="C1153" t="s">
        <v>1810</v>
      </c>
      <c r="E1153" s="2">
        <v>233000206001</v>
      </c>
      <c r="F1153" s="1" t="s">
        <v>29</v>
      </c>
      <c r="G1153" s="1" t="s">
        <v>53</v>
      </c>
      <c r="H1153" s="1" t="s">
        <v>424</v>
      </c>
      <c r="I1153" s="1" t="s">
        <v>425</v>
      </c>
      <c r="J1153" s="1" t="s">
        <v>261</v>
      </c>
      <c r="K1153" t="s">
        <v>34</v>
      </c>
      <c r="M1153" s="1" t="s">
        <v>35</v>
      </c>
      <c r="N1153" s="1">
        <v>42318949</v>
      </c>
      <c r="O1153" s="1" t="s">
        <v>105</v>
      </c>
      <c r="P1153" s="186">
        <v>44932.428796296299</v>
      </c>
      <c r="R1153" s="1" t="s">
        <v>38</v>
      </c>
      <c r="T1153" s="1" t="s">
        <v>74</v>
      </c>
      <c r="U1153" s="186">
        <v>44932.75</v>
      </c>
      <c r="V1153" s="1" t="s">
        <v>41</v>
      </c>
      <c r="W1153" s="1" t="s">
        <v>49</v>
      </c>
      <c r="X1153" s="13" t="str">
        <f>IF(RIGHT(H1153,2)&lt;&gt;"00",H1153,"")</f>
        <v/>
      </c>
      <c r="Y1153" s="2">
        <f ca="1">NETWORKDAYS(P1153,$Y$1)</f>
        <v>39</v>
      </c>
      <c r="Z1153" s="14">
        <v>1</v>
      </c>
      <c r="AA1153" s="1" t="str">
        <f t="shared" ca="1" si="90"/>
        <v>VENCIDO</v>
      </c>
      <c r="AB1153" s="1" t="str">
        <f t="shared" si="91"/>
        <v>Dosa</v>
      </c>
      <c r="AC1153" s="2" t="str">
        <f t="shared" si="92"/>
        <v xml:space="preserve"> CRISTINA </v>
      </c>
      <c r="AD1153" s="2">
        <f t="shared" si="93"/>
        <v>5</v>
      </c>
      <c r="AE1153" s="2">
        <f t="shared" ca="1" si="94"/>
        <v>-53.926271643518703</v>
      </c>
    </row>
    <row r="1154" spans="1:31" hidden="1">
      <c r="A1154" s="1">
        <v>9293507</v>
      </c>
      <c r="B1154" s="1" t="s">
        <v>101</v>
      </c>
      <c r="C1154" t="s">
        <v>1810</v>
      </c>
      <c r="E1154" s="2">
        <v>232000206001</v>
      </c>
      <c r="F1154" s="1" t="s">
        <v>29</v>
      </c>
      <c r="G1154" s="1" t="s">
        <v>53</v>
      </c>
      <c r="H1154" s="1" t="s">
        <v>1363</v>
      </c>
      <c r="I1154" s="1" t="s">
        <v>1364</v>
      </c>
      <c r="J1154" s="1" t="s">
        <v>141</v>
      </c>
      <c r="K1154" t="s">
        <v>34</v>
      </c>
      <c r="M1154" s="1" t="s">
        <v>35</v>
      </c>
      <c r="N1154" s="1">
        <v>42318949</v>
      </c>
      <c r="O1154" s="1" t="s">
        <v>105</v>
      </c>
      <c r="P1154" s="186">
        <v>44932.428796296299</v>
      </c>
      <c r="R1154" s="1" t="s">
        <v>38</v>
      </c>
      <c r="T1154" s="1" t="s">
        <v>74</v>
      </c>
      <c r="U1154" s="186">
        <v>44932.75</v>
      </c>
      <c r="V1154" s="1" t="s">
        <v>41</v>
      </c>
      <c r="W1154" s="1" t="s">
        <v>49</v>
      </c>
      <c r="X1154" s="13" t="str">
        <f>IF(RIGHT(H1154,2)&lt;&gt;"00",H1154,"")</f>
        <v/>
      </c>
      <c r="Y1154" s="2">
        <f ca="1">NETWORKDAYS(P1154,$Y$1)</f>
        <v>39</v>
      </c>
      <c r="Z1154" s="14">
        <v>1</v>
      </c>
      <c r="AA1154" s="1" t="str">
        <f t="shared" ca="1" si="90"/>
        <v>VENCIDO</v>
      </c>
      <c r="AB1154" s="1" t="str">
        <f t="shared" si="91"/>
        <v>Dosa</v>
      </c>
      <c r="AC1154" s="2" t="str">
        <f t="shared" si="92"/>
        <v xml:space="preserve"> CRISTINA </v>
      </c>
      <c r="AD1154" s="2">
        <f t="shared" si="93"/>
        <v>5</v>
      </c>
      <c r="AE1154" s="2">
        <f t="shared" ca="1" si="94"/>
        <v>-53.926271643518703</v>
      </c>
    </row>
    <row r="1155" spans="1:31" hidden="1">
      <c r="A1155" s="1">
        <v>9293492</v>
      </c>
      <c r="B1155" s="1" t="s">
        <v>101</v>
      </c>
      <c r="C1155" t="s">
        <v>1810</v>
      </c>
      <c r="E1155" s="2">
        <v>220000206001</v>
      </c>
      <c r="F1155" s="1" t="s">
        <v>29</v>
      </c>
      <c r="G1155" s="1" t="s">
        <v>53</v>
      </c>
      <c r="H1155" s="1" t="s">
        <v>588</v>
      </c>
      <c r="I1155" s="1" t="s">
        <v>589</v>
      </c>
      <c r="J1155" s="1" t="s">
        <v>110</v>
      </c>
      <c r="K1155" t="s">
        <v>34</v>
      </c>
      <c r="M1155" s="1" t="s">
        <v>35</v>
      </c>
      <c r="N1155" s="1">
        <v>42318949</v>
      </c>
      <c r="O1155" s="1" t="s">
        <v>105</v>
      </c>
      <c r="P1155" s="186">
        <v>44932.428784722222</v>
      </c>
      <c r="R1155" s="1" t="s">
        <v>38</v>
      </c>
      <c r="T1155" s="1" t="s">
        <v>74</v>
      </c>
      <c r="U1155" s="186">
        <v>44932.75</v>
      </c>
      <c r="V1155" s="1" t="s">
        <v>41</v>
      </c>
      <c r="W1155" s="1" t="s">
        <v>49</v>
      </c>
      <c r="X1155" s="13" t="str">
        <f>IF(RIGHT(H1155,2)&lt;&gt;"00",H1155,"")</f>
        <v/>
      </c>
      <c r="Y1155" s="2">
        <f ca="1">NETWORKDAYS(P1155,$Y$1)</f>
        <v>39</v>
      </c>
      <c r="Z1155" s="14">
        <v>1</v>
      </c>
      <c r="AA1155" s="1" t="str">
        <f t="shared" ca="1" si="90"/>
        <v>VENCIDO</v>
      </c>
      <c r="AB1155" s="1" t="str">
        <f t="shared" si="91"/>
        <v>Dosa</v>
      </c>
      <c r="AC1155" s="2" t="str">
        <f t="shared" si="92"/>
        <v xml:space="preserve"> CRISTINA </v>
      </c>
      <c r="AD1155" s="2">
        <f t="shared" si="93"/>
        <v>5</v>
      </c>
      <c r="AE1155" s="2">
        <f t="shared" ca="1" si="94"/>
        <v>-53.926271643518703</v>
      </c>
    </row>
    <row r="1156" spans="1:31" hidden="1">
      <c r="A1156" s="1">
        <v>9293462</v>
      </c>
      <c r="B1156" s="1" t="s">
        <v>101</v>
      </c>
      <c r="C1156" t="s">
        <v>1810</v>
      </c>
      <c r="E1156" s="2">
        <v>196000206001</v>
      </c>
      <c r="F1156" s="1" t="s">
        <v>29</v>
      </c>
      <c r="G1156" s="1" t="s">
        <v>53</v>
      </c>
      <c r="H1156" s="1" t="s">
        <v>1060</v>
      </c>
      <c r="I1156" s="1" t="s">
        <v>1061</v>
      </c>
      <c r="J1156" s="1" t="s">
        <v>79</v>
      </c>
      <c r="K1156" t="s">
        <v>34</v>
      </c>
      <c r="M1156" s="1" t="s">
        <v>35</v>
      </c>
      <c r="N1156" s="1">
        <v>42318949</v>
      </c>
      <c r="O1156" s="1" t="s">
        <v>105</v>
      </c>
      <c r="P1156" s="186">
        <v>44932.428738425922</v>
      </c>
      <c r="R1156" s="1" t="s">
        <v>38</v>
      </c>
      <c r="T1156" s="1" t="s">
        <v>74</v>
      </c>
      <c r="U1156" s="186">
        <v>44932.75</v>
      </c>
      <c r="V1156" s="1" t="s">
        <v>41</v>
      </c>
      <c r="W1156" s="1" t="s">
        <v>49</v>
      </c>
      <c r="X1156" s="13" t="str">
        <f>IF(RIGHT(H1156,2)&lt;&gt;"00",H1156,"")</f>
        <v/>
      </c>
      <c r="Y1156" s="2">
        <f ca="1">NETWORKDAYS(P1156,$Y$1)</f>
        <v>39</v>
      </c>
      <c r="Z1156" s="14">
        <v>1</v>
      </c>
      <c r="AA1156" s="1" t="str">
        <f t="shared" ca="1" si="90"/>
        <v>VENCIDO</v>
      </c>
      <c r="AB1156" s="1" t="str">
        <f t="shared" si="91"/>
        <v>Dosa</v>
      </c>
      <c r="AC1156" s="2" t="str">
        <f t="shared" si="92"/>
        <v xml:space="preserve"> ROSEMERE </v>
      </c>
      <c r="AD1156" s="2">
        <f t="shared" si="93"/>
        <v>5</v>
      </c>
      <c r="AE1156" s="2">
        <f t="shared" ca="1" si="94"/>
        <v>-53.926271643518703</v>
      </c>
    </row>
    <row r="1157" spans="1:31" hidden="1">
      <c r="A1157" s="1">
        <v>9293363</v>
      </c>
      <c r="B1157" s="1" t="s">
        <v>101</v>
      </c>
      <c r="C1157" t="s">
        <v>1810</v>
      </c>
      <c r="E1157" s="2">
        <v>115000206001</v>
      </c>
      <c r="F1157" s="1" t="s">
        <v>29</v>
      </c>
      <c r="G1157" s="1" t="s">
        <v>53</v>
      </c>
      <c r="H1157" s="1" t="s">
        <v>542</v>
      </c>
      <c r="I1157" s="1" t="s">
        <v>543</v>
      </c>
      <c r="J1157" s="1" t="s">
        <v>56</v>
      </c>
      <c r="K1157" t="s">
        <v>34</v>
      </c>
      <c r="M1157" s="1" t="s">
        <v>35</v>
      </c>
      <c r="N1157" s="1">
        <v>42318949</v>
      </c>
      <c r="O1157" s="1" t="s">
        <v>105</v>
      </c>
      <c r="P1157" s="186">
        <v>44932.428587962961</v>
      </c>
      <c r="R1157" s="1" t="s">
        <v>38</v>
      </c>
      <c r="T1157" s="1" t="s">
        <v>74</v>
      </c>
      <c r="U1157" s="186">
        <v>44932.75</v>
      </c>
      <c r="V1157" s="1" t="s">
        <v>41</v>
      </c>
      <c r="W1157" s="1" t="s">
        <v>49</v>
      </c>
      <c r="X1157" s="13" t="str">
        <f>IF(RIGHT(H1157,2)&lt;&gt;"00",H1157,"")</f>
        <v/>
      </c>
      <c r="Y1157" s="2">
        <f ca="1">NETWORKDAYS(P1157,$Y$1)</f>
        <v>39</v>
      </c>
      <c r="Z1157" s="14">
        <v>1</v>
      </c>
      <c r="AA1157" s="1" t="str">
        <f t="shared" ca="1" si="90"/>
        <v>VENCIDO</v>
      </c>
      <c r="AB1157" s="1" t="str">
        <f t="shared" si="91"/>
        <v>Dosa</v>
      </c>
      <c r="AC1157" s="2" t="str">
        <f t="shared" si="92"/>
        <v xml:space="preserve"> CRISTINA </v>
      </c>
      <c r="AD1157" s="2">
        <f t="shared" si="93"/>
        <v>5</v>
      </c>
      <c r="AE1157" s="2">
        <f t="shared" ca="1" si="94"/>
        <v>-53.926271643518703</v>
      </c>
    </row>
    <row r="1158" spans="1:31" hidden="1">
      <c r="A1158" s="1">
        <v>9293306</v>
      </c>
      <c r="B1158" s="1" t="s">
        <v>101</v>
      </c>
      <c r="C1158" t="s">
        <v>1810</v>
      </c>
      <c r="E1158" s="2">
        <v>68000206001</v>
      </c>
      <c r="F1158" s="1" t="s">
        <v>29</v>
      </c>
      <c r="G1158" s="1" t="s">
        <v>53</v>
      </c>
      <c r="H1158" s="1" t="s">
        <v>1330</v>
      </c>
      <c r="I1158" s="1" t="s">
        <v>1331</v>
      </c>
      <c r="J1158" s="1" t="s">
        <v>211</v>
      </c>
      <c r="K1158" t="s">
        <v>34</v>
      </c>
      <c r="M1158" s="1" t="s">
        <v>35</v>
      </c>
      <c r="N1158" s="1">
        <v>42318949</v>
      </c>
      <c r="O1158" s="1" t="s">
        <v>105</v>
      </c>
      <c r="P1158" s="186">
        <v>44932.428495370368</v>
      </c>
      <c r="R1158" s="1" t="s">
        <v>38</v>
      </c>
      <c r="T1158" s="1" t="s">
        <v>74</v>
      </c>
      <c r="U1158" s="186">
        <v>44932.75</v>
      </c>
      <c r="V1158" s="1" t="s">
        <v>41</v>
      </c>
      <c r="W1158" s="1" t="s">
        <v>49</v>
      </c>
      <c r="X1158" s="13" t="str">
        <f>IF(RIGHT(H1158,2)&lt;&gt;"00",H1158,"")</f>
        <v/>
      </c>
      <c r="Y1158" s="2">
        <f ca="1">NETWORKDAYS(P1158,$Y$1)</f>
        <v>39</v>
      </c>
      <c r="Z1158" s="14">
        <v>1</v>
      </c>
      <c r="AA1158" s="1" t="str">
        <f t="shared" ca="1" si="90"/>
        <v>VENCIDO</v>
      </c>
      <c r="AB1158" s="1" t="str">
        <f t="shared" si="91"/>
        <v>Dosa</v>
      </c>
      <c r="AC1158" s="2" t="str">
        <f t="shared" si="92"/>
        <v xml:space="preserve"> RINALDO </v>
      </c>
      <c r="AD1158" s="2">
        <f t="shared" si="93"/>
        <v>5</v>
      </c>
      <c r="AE1158" s="2">
        <f t="shared" ca="1" si="94"/>
        <v>-53.926271643518703</v>
      </c>
    </row>
    <row r="1159" spans="1:31" hidden="1">
      <c r="A1159" s="1">
        <v>9293305</v>
      </c>
      <c r="B1159" s="1" t="s">
        <v>101</v>
      </c>
      <c r="C1159" t="s">
        <v>1810</v>
      </c>
      <c r="E1159" s="2">
        <v>67000206001</v>
      </c>
      <c r="F1159" s="1" t="s">
        <v>29</v>
      </c>
      <c r="G1159" s="1" t="s">
        <v>53</v>
      </c>
      <c r="H1159" s="1" t="s">
        <v>404</v>
      </c>
      <c r="I1159" s="1" t="s">
        <v>405</v>
      </c>
      <c r="J1159" s="1" t="s">
        <v>164</v>
      </c>
      <c r="K1159" t="s">
        <v>34</v>
      </c>
      <c r="M1159" s="1" t="s">
        <v>35</v>
      </c>
      <c r="N1159" s="1">
        <v>42318949</v>
      </c>
      <c r="O1159" s="1" t="s">
        <v>105</v>
      </c>
      <c r="P1159" s="186">
        <v>44932.428495370368</v>
      </c>
      <c r="R1159" s="1" t="s">
        <v>38</v>
      </c>
      <c r="T1159" s="1" t="s">
        <v>74</v>
      </c>
      <c r="U1159" s="186">
        <v>44932.75</v>
      </c>
      <c r="V1159" s="1" t="s">
        <v>41</v>
      </c>
      <c r="W1159" s="1" t="s">
        <v>49</v>
      </c>
      <c r="X1159" s="13" t="str">
        <f>IF(RIGHT(H1159,2)&lt;&gt;"00",H1159,"")</f>
        <v/>
      </c>
      <c r="Y1159" s="2">
        <f ca="1">NETWORKDAYS(P1159,$Y$1)</f>
        <v>39</v>
      </c>
      <c r="Z1159" s="14">
        <v>1</v>
      </c>
      <c r="AA1159" s="1" t="str">
        <f t="shared" ca="1" si="90"/>
        <v>VENCIDO</v>
      </c>
      <c r="AB1159" s="1" t="str">
        <f t="shared" si="91"/>
        <v>Dosa</v>
      </c>
      <c r="AC1159" s="2" t="str">
        <f t="shared" si="92"/>
        <v xml:space="preserve"> ROSEMERE </v>
      </c>
      <c r="AD1159" s="2">
        <f t="shared" si="93"/>
        <v>5</v>
      </c>
      <c r="AE1159" s="2">
        <f t="shared" ca="1" si="94"/>
        <v>-53.926271643518703</v>
      </c>
    </row>
    <row r="1160" spans="1:31" hidden="1">
      <c r="A1160" s="1">
        <v>9293223</v>
      </c>
      <c r="B1160" s="1" t="s">
        <v>101</v>
      </c>
      <c r="C1160" t="s">
        <v>1810</v>
      </c>
      <c r="E1160" s="2">
        <v>7740206001</v>
      </c>
      <c r="F1160" s="1" t="s">
        <v>29</v>
      </c>
      <c r="G1160" s="1" t="s">
        <v>53</v>
      </c>
      <c r="H1160" s="1" t="s">
        <v>187</v>
      </c>
      <c r="I1160" s="1" t="s">
        <v>188</v>
      </c>
      <c r="J1160" s="1" t="s">
        <v>46</v>
      </c>
      <c r="K1160" t="s">
        <v>34</v>
      </c>
      <c r="M1160" s="1" t="s">
        <v>35</v>
      </c>
      <c r="N1160" s="1">
        <v>42318949</v>
      </c>
      <c r="O1160" s="1" t="s">
        <v>105</v>
      </c>
      <c r="P1160" s="186">
        <v>44932.428379629629</v>
      </c>
      <c r="R1160" s="1" t="s">
        <v>38</v>
      </c>
      <c r="T1160" s="1" t="s">
        <v>74</v>
      </c>
      <c r="U1160" s="186">
        <v>44932.75</v>
      </c>
      <c r="V1160" s="1" t="s">
        <v>41</v>
      </c>
      <c r="W1160" s="1" t="s">
        <v>49</v>
      </c>
      <c r="X1160" s="13" t="str">
        <f>IF(RIGHT(H1160,2)&lt;&gt;"00",H1160,"")</f>
        <v>0007.74</v>
      </c>
      <c r="Y1160" s="2">
        <f ca="1">NETWORKDAYS(P1160,$Y$1)</f>
        <v>39</v>
      </c>
      <c r="Z1160" s="14">
        <v>1</v>
      </c>
      <c r="AA1160" s="1" t="str">
        <f t="shared" ca="1" si="90"/>
        <v>VENCIDO</v>
      </c>
      <c r="AB1160" s="1" t="str">
        <f t="shared" si="91"/>
        <v>Dosa</v>
      </c>
      <c r="AC1160" s="2" t="str">
        <f t="shared" si="92"/>
        <v xml:space="preserve"> CLEITON </v>
      </c>
      <c r="AD1160" s="2">
        <f t="shared" si="93"/>
        <v>5</v>
      </c>
      <c r="AE1160" s="2">
        <f t="shared" ca="1" si="94"/>
        <v>-53.926271643518703</v>
      </c>
    </row>
    <row r="1161" spans="1:31" hidden="1">
      <c r="A1161" s="1">
        <v>9293222</v>
      </c>
      <c r="B1161" s="1" t="s">
        <v>101</v>
      </c>
      <c r="C1161" t="s">
        <v>1810</v>
      </c>
      <c r="E1161" s="2">
        <v>7710206001</v>
      </c>
      <c r="F1161" s="1" t="s">
        <v>29</v>
      </c>
      <c r="G1161" s="1" t="s">
        <v>53</v>
      </c>
      <c r="H1161" s="1" t="s">
        <v>228</v>
      </c>
      <c r="I1161" s="1" t="s">
        <v>229</v>
      </c>
      <c r="J1161" s="1" t="s">
        <v>46</v>
      </c>
      <c r="K1161" t="s">
        <v>34</v>
      </c>
      <c r="M1161" s="1" t="s">
        <v>35</v>
      </c>
      <c r="N1161" s="1">
        <v>42318949</v>
      </c>
      <c r="O1161" s="1" t="s">
        <v>105</v>
      </c>
      <c r="P1161" s="186">
        <v>44932.428368055553</v>
      </c>
      <c r="R1161" s="1" t="s">
        <v>38</v>
      </c>
      <c r="T1161" s="1" t="s">
        <v>74</v>
      </c>
      <c r="U1161" s="186">
        <v>44932.75</v>
      </c>
      <c r="V1161" s="1" t="s">
        <v>41</v>
      </c>
      <c r="W1161" s="1" t="s">
        <v>49</v>
      </c>
      <c r="X1161" s="13" t="str">
        <f>IF(RIGHT(H1161,2)&lt;&gt;"00",H1161,"")</f>
        <v>0007.71</v>
      </c>
      <c r="Y1161" s="2">
        <f ca="1">NETWORKDAYS(P1161,$Y$1)</f>
        <v>39</v>
      </c>
      <c r="Z1161" s="14">
        <v>1</v>
      </c>
      <c r="AA1161" s="1" t="str">
        <f t="shared" ca="1" si="90"/>
        <v>VENCIDO</v>
      </c>
      <c r="AB1161" s="1" t="str">
        <f t="shared" si="91"/>
        <v>Dosa</v>
      </c>
      <c r="AC1161" s="2" t="str">
        <f t="shared" si="92"/>
        <v xml:space="preserve"> CLEITON </v>
      </c>
      <c r="AD1161" s="2">
        <f t="shared" si="93"/>
        <v>5</v>
      </c>
      <c r="AE1161" s="2">
        <f t="shared" ca="1" si="94"/>
        <v>-53.926271643518703</v>
      </c>
    </row>
    <row r="1162" spans="1:31" hidden="1">
      <c r="A1162" s="1">
        <v>9316562</v>
      </c>
      <c r="B1162" s="1" t="s">
        <v>1924</v>
      </c>
      <c r="C1162" t="s">
        <v>1925</v>
      </c>
      <c r="D1162" s="2">
        <v>20234623000002</v>
      </c>
      <c r="E1162" s="2">
        <v>7417202020353</v>
      </c>
      <c r="F1162" s="1" t="s">
        <v>1213</v>
      </c>
      <c r="G1162" s="1" t="s">
        <v>53</v>
      </c>
      <c r="H1162" s="1" t="s">
        <v>1926</v>
      </c>
      <c r="I1162" s="1" t="s">
        <v>1927</v>
      </c>
      <c r="J1162" s="1" t="s">
        <v>33</v>
      </c>
      <c r="K1162" t="s">
        <v>1214</v>
      </c>
      <c r="M1162" s="1" t="s">
        <v>58</v>
      </c>
      <c r="N1162" s="1">
        <v>0</v>
      </c>
      <c r="O1162" s="1" t="s">
        <v>36</v>
      </c>
      <c r="P1162" s="11" t="s">
        <v>1928</v>
      </c>
      <c r="R1162" s="1">
        <v>14</v>
      </c>
      <c r="T1162" s="1" t="s">
        <v>238</v>
      </c>
      <c r="U1162" s="186">
        <v>44937.999305555553</v>
      </c>
      <c r="V1162" s="1" t="s">
        <v>41</v>
      </c>
      <c r="W1162" s="1" t="s">
        <v>42</v>
      </c>
      <c r="X1162" s="13" t="str">
        <f>IF(RIGHT(H1162,2)&lt;&gt;"00",H1162,"")</f>
        <v>4623.91</v>
      </c>
      <c r="Y1162" s="2">
        <f ca="1">NETWORKDAYS(P1162,$Y$1)</f>
        <v>38</v>
      </c>
      <c r="Z1162" s="14">
        <v>1</v>
      </c>
      <c r="AA1162" s="1" t="str">
        <f t="shared" ca="1" si="90"/>
        <v>VENCIDO</v>
      </c>
      <c r="AB1162" s="1" t="str">
        <f t="shared" si="91"/>
        <v>TAAe+</v>
      </c>
      <c r="AC1162" s="2" t="str">
        <f t="shared" si="92"/>
        <v xml:space="preserve"> ROSEMERE </v>
      </c>
      <c r="AD1162" s="2">
        <f t="shared" si="93"/>
        <v>8</v>
      </c>
      <c r="AE1162" s="2">
        <f t="shared" ca="1" si="94"/>
        <v>-48.676966087965411</v>
      </c>
    </row>
    <row r="1163" spans="1:31" hidden="1">
      <c r="A1163" s="1">
        <v>9314411</v>
      </c>
      <c r="B1163" s="1" t="s">
        <v>1153</v>
      </c>
      <c r="C1163" t="s">
        <v>1930</v>
      </c>
      <c r="D1163" s="2">
        <v>20231850000003</v>
      </c>
      <c r="E1163" s="2">
        <v>7417193050573</v>
      </c>
      <c r="F1163" s="1" t="s">
        <v>1719</v>
      </c>
      <c r="G1163" s="1" t="s">
        <v>53</v>
      </c>
      <c r="H1163" s="1" t="s">
        <v>1931</v>
      </c>
      <c r="I1163" s="1" t="s">
        <v>1932</v>
      </c>
      <c r="J1163" s="1" t="s">
        <v>46</v>
      </c>
      <c r="K1163" t="s">
        <v>1720</v>
      </c>
      <c r="M1163" s="1" t="s">
        <v>58</v>
      </c>
      <c r="N1163" s="1">
        <v>0</v>
      </c>
      <c r="O1163" s="1" t="s">
        <v>36</v>
      </c>
      <c r="P1163" s="11" t="s">
        <v>1933</v>
      </c>
      <c r="R1163" s="1">
        <v>22</v>
      </c>
      <c r="T1163" s="1" t="s">
        <v>1160</v>
      </c>
      <c r="U1163" s="186">
        <v>44937.631932870368</v>
      </c>
      <c r="V1163" s="1" t="s">
        <v>41</v>
      </c>
      <c r="W1163" s="1" t="s">
        <v>49</v>
      </c>
      <c r="X1163" s="13" t="str">
        <f>IF(RIGHT(H1163,2)&lt;&gt;"00",H1163,"")</f>
        <v/>
      </c>
      <c r="Y1163" s="2">
        <f ca="1">NETWORKDAYS(P1163,$Y$1)</f>
        <v>38</v>
      </c>
      <c r="Z1163" s="14">
        <v>1</v>
      </c>
      <c r="AA1163" s="1" t="str">
        <f t="shared" ca="1" si="90"/>
        <v>VENCIDO</v>
      </c>
      <c r="AB1163" s="1" t="str">
        <f t="shared" si="91"/>
        <v>TAAe+</v>
      </c>
      <c r="AC1163" s="2" t="str">
        <f t="shared" si="92"/>
        <v xml:space="preserve"> CLEITON </v>
      </c>
      <c r="AD1163" s="2">
        <f t="shared" si="93"/>
        <v>8</v>
      </c>
      <c r="AE1163" s="2">
        <f t="shared" ca="1" si="94"/>
        <v>-49.04433877315023</v>
      </c>
    </row>
    <row r="1164" spans="1:31" hidden="1">
      <c r="A1164" s="1">
        <v>9326301</v>
      </c>
      <c r="B1164" s="1" t="s">
        <v>81</v>
      </c>
      <c r="C1164" t="s">
        <v>1935</v>
      </c>
      <c r="E1164" s="2">
        <v>7417211830514</v>
      </c>
      <c r="F1164" s="1" t="s">
        <v>1936</v>
      </c>
      <c r="G1164" s="1" t="s">
        <v>53</v>
      </c>
      <c r="H1164" s="1" t="s">
        <v>1937</v>
      </c>
      <c r="I1164" s="1" t="s">
        <v>1938</v>
      </c>
      <c r="J1164" s="1" t="s">
        <v>90</v>
      </c>
      <c r="K1164" t="s">
        <v>1939</v>
      </c>
      <c r="M1164" s="1" t="s">
        <v>58</v>
      </c>
      <c r="N1164" s="1">
        <v>0</v>
      </c>
      <c r="O1164" s="1" t="s">
        <v>105</v>
      </c>
      <c r="P1164" s="11" t="s">
        <v>1940</v>
      </c>
      <c r="R1164" s="1">
        <v>14</v>
      </c>
      <c r="T1164" s="1" t="s">
        <v>238</v>
      </c>
      <c r="U1164" s="186">
        <v>44938.679988425924</v>
      </c>
      <c r="V1164" s="1" t="s">
        <v>41</v>
      </c>
      <c r="W1164" s="1" t="s">
        <v>49</v>
      </c>
      <c r="X1164" s="13" t="str">
        <f>IF(RIGHT(H1164,2)&lt;&gt;"00",H1164,"")</f>
        <v>2069.91</v>
      </c>
      <c r="Y1164" s="2">
        <f ca="1">NETWORKDAYS(P1164,$Y$1)</f>
        <v>36</v>
      </c>
      <c r="Z1164" s="14">
        <v>1</v>
      </c>
      <c r="AA1164" s="1" t="str">
        <f t="shared" ca="1" si="90"/>
        <v>VENCIDO</v>
      </c>
      <c r="AB1164" s="1" t="str">
        <f t="shared" si="91"/>
        <v>TAAe+</v>
      </c>
      <c r="AC1164" s="2" t="str">
        <f t="shared" si="92"/>
        <v xml:space="preserve"> RINALDO </v>
      </c>
      <c r="AD1164" s="2">
        <f t="shared" si="93"/>
        <v>8</v>
      </c>
      <c r="AE1164" s="2">
        <f t="shared" ca="1" si="94"/>
        <v>-47.996283217595192</v>
      </c>
    </row>
    <row r="1165" spans="1:31" hidden="1">
      <c r="A1165" s="1">
        <v>9331062</v>
      </c>
      <c r="B1165" s="1" t="s">
        <v>62</v>
      </c>
      <c r="C1165" t="s">
        <v>1942</v>
      </c>
      <c r="E1165" s="2">
        <v>2039000203000</v>
      </c>
      <c r="F1165" s="1" t="s">
        <v>454</v>
      </c>
      <c r="G1165" s="1" t="s">
        <v>53</v>
      </c>
      <c r="H1165" s="1" t="s">
        <v>1943</v>
      </c>
      <c r="I1165" s="1" t="s">
        <v>1944</v>
      </c>
      <c r="J1165" s="1" t="s">
        <v>110</v>
      </c>
      <c r="K1165" t="s">
        <v>457</v>
      </c>
      <c r="M1165" s="1" t="s">
        <v>58</v>
      </c>
      <c r="N1165" s="1">
        <v>0</v>
      </c>
      <c r="O1165" s="1" t="s">
        <v>36</v>
      </c>
      <c r="P1165" s="11" t="s">
        <v>1945</v>
      </c>
      <c r="R1165" s="1">
        <v>1</v>
      </c>
      <c r="T1165" s="1" t="s">
        <v>157</v>
      </c>
      <c r="U1165" s="186">
        <v>44972.75</v>
      </c>
      <c r="V1165" s="1" t="s">
        <v>41</v>
      </c>
      <c r="W1165" s="1" t="s">
        <v>49</v>
      </c>
      <c r="X1165" s="13" t="str">
        <f>IF(RIGHT(H1165,2)&lt;&gt;"00",H1165,"")</f>
        <v/>
      </c>
      <c r="Y1165" s="2">
        <f ca="1">NETWORKDAYS(P1165,$Y$1)</f>
        <v>35</v>
      </c>
      <c r="Z1165" s="14">
        <v>1</v>
      </c>
      <c r="AA1165" s="1" t="str">
        <f t="shared" ca="1" si="90"/>
        <v>VENCIDO</v>
      </c>
      <c r="AB1165" s="1" t="str">
        <f t="shared" si="91"/>
        <v>C-14</v>
      </c>
      <c r="AC1165" s="2" t="str">
        <f t="shared" si="92"/>
        <v xml:space="preserve"> CRISTINA </v>
      </c>
      <c r="AD1165" s="2">
        <f t="shared" si="93"/>
        <v>5</v>
      </c>
      <c r="AE1165" s="2">
        <f t="shared" ca="1" si="94"/>
        <v>-13.926271643518703</v>
      </c>
    </row>
    <row r="1166" spans="1:31" hidden="1">
      <c r="A1166" s="1">
        <v>9348557</v>
      </c>
      <c r="B1166" s="1" t="s">
        <v>81</v>
      </c>
      <c r="C1166" t="s">
        <v>1947</v>
      </c>
      <c r="E1166" s="2">
        <v>9600113561034</v>
      </c>
      <c r="F1166" s="1" t="s">
        <v>233</v>
      </c>
      <c r="G1166" s="1" t="s">
        <v>30</v>
      </c>
      <c r="H1166" s="1" t="s">
        <v>1948</v>
      </c>
      <c r="I1166" s="1" t="s">
        <v>1949</v>
      </c>
      <c r="J1166" s="1" t="s">
        <v>46</v>
      </c>
      <c r="K1166" t="s">
        <v>236</v>
      </c>
      <c r="M1166" s="1" t="s">
        <v>58</v>
      </c>
      <c r="N1166" s="1">
        <v>0</v>
      </c>
      <c r="O1166" s="1" t="s">
        <v>105</v>
      </c>
      <c r="P1166" s="11" t="s">
        <v>1950</v>
      </c>
      <c r="R1166" s="1">
        <v>15</v>
      </c>
      <c r="T1166" s="1" t="s">
        <v>238</v>
      </c>
      <c r="U1166" s="186">
        <v>44943.726122685184</v>
      </c>
      <c r="V1166" s="1" t="s">
        <v>41</v>
      </c>
      <c r="W1166" s="1" t="s">
        <v>49</v>
      </c>
      <c r="X1166" s="13" t="str">
        <f>IF(RIGHT(H1166,2)&lt;&gt;"00",H1166,"")</f>
        <v>0721.08</v>
      </c>
      <c r="Y1166" s="2">
        <f ca="1">NETWORKDAYS(P1166,$Y$1)</f>
        <v>33</v>
      </c>
      <c r="Z1166" s="14">
        <v>1</v>
      </c>
      <c r="AA1166" s="1" t="str">
        <f t="shared" ca="1" si="90"/>
        <v>VENCIDO</v>
      </c>
      <c r="AB1166" s="1" t="str">
        <f t="shared" si="91"/>
        <v>TAAe+</v>
      </c>
      <c r="AC1166" s="2" t="str">
        <f t="shared" si="92"/>
        <v xml:space="preserve"> CLEITON </v>
      </c>
      <c r="AD1166" s="2">
        <f t="shared" si="93"/>
        <v>8</v>
      </c>
      <c r="AE1166" s="2">
        <f t="shared" ca="1" si="94"/>
        <v>-42.950148958334466</v>
      </c>
    </row>
    <row r="1167" spans="1:31" hidden="1">
      <c r="A1167" s="1">
        <v>9352258</v>
      </c>
      <c r="B1167" s="1" t="s">
        <v>62</v>
      </c>
      <c r="C1167" t="s">
        <v>3620</v>
      </c>
      <c r="E1167" s="2">
        <v>1049000206001</v>
      </c>
      <c r="F1167" s="1" t="s">
        <v>29</v>
      </c>
      <c r="G1167" s="1" t="s">
        <v>53</v>
      </c>
      <c r="H1167" s="1" t="s">
        <v>169</v>
      </c>
      <c r="I1167" s="1" t="s">
        <v>170</v>
      </c>
      <c r="J1167" s="1" t="s">
        <v>164</v>
      </c>
      <c r="K1167" t="s">
        <v>34</v>
      </c>
      <c r="M1167" s="1" t="s">
        <v>35</v>
      </c>
      <c r="N1167" s="1">
        <v>42318949</v>
      </c>
      <c r="O1167" s="1" t="s">
        <v>36</v>
      </c>
      <c r="P1167" s="11" t="s">
        <v>1953</v>
      </c>
      <c r="R1167" s="1" t="s">
        <v>38</v>
      </c>
      <c r="T1167" s="1" t="s">
        <v>74</v>
      </c>
      <c r="U1167" s="186">
        <v>44986.75</v>
      </c>
      <c r="V1167" s="1" t="s">
        <v>41</v>
      </c>
      <c r="W1167" s="1" t="s">
        <v>49</v>
      </c>
      <c r="X1167" s="13" t="str">
        <f>IF(RIGHT(H1167,2)&lt;&gt;"00",H1167,"")</f>
        <v/>
      </c>
      <c r="Y1167" s="2">
        <f ca="1">NETWORKDAYS(P1167,$Y$1)</f>
        <v>32</v>
      </c>
      <c r="Z1167" s="14">
        <v>1</v>
      </c>
      <c r="AA1167" s="1" t="str">
        <f t="shared" ca="1" si="90"/>
        <v>A VENCER</v>
      </c>
      <c r="AB1167" s="1" t="str">
        <f t="shared" si="91"/>
        <v>Dosa</v>
      </c>
      <c r="AC1167" s="2" t="str">
        <f t="shared" si="92"/>
        <v xml:space="preserve"> ROSEMERE </v>
      </c>
      <c r="AD1167" s="2">
        <f t="shared" si="93"/>
        <v>5</v>
      </c>
      <c r="AE1167" s="2">
        <f t="shared" ca="1" si="94"/>
        <v>7.3728356481296942E-2</v>
      </c>
    </row>
    <row r="1168" spans="1:31" hidden="1">
      <c r="A1168" s="1">
        <v>9351974</v>
      </c>
      <c r="B1168" s="1" t="s">
        <v>62</v>
      </c>
      <c r="C1168" t="s">
        <v>1955</v>
      </c>
      <c r="E1168" s="2">
        <v>2442000203000</v>
      </c>
      <c r="F1168" s="1" t="s">
        <v>454</v>
      </c>
      <c r="G1168" s="1" t="s">
        <v>53</v>
      </c>
      <c r="H1168" s="1" t="s">
        <v>1956</v>
      </c>
      <c r="I1168" s="1" t="s">
        <v>1957</v>
      </c>
      <c r="J1168" s="1" t="s">
        <v>33</v>
      </c>
      <c r="K1168" t="s">
        <v>457</v>
      </c>
      <c r="M1168" s="1" t="s">
        <v>58</v>
      </c>
      <c r="N1168" s="1">
        <v>0</v>
      </c>
      <c r="O1168" s="1" t="s">
        <v>36</v>
      </c>
      <c r="P1168" s="11" t="s">
        <v>1958</v>
      </c>
      <c r="R1168" s="1">
        <v>1</v>
      </c>
      <c r="T1168" s="1" t="s">
        <v>157</v>
      </c>
      <c r="U1168" s="186">
        <v>44979.75</v>
      </c>
      <c r="V1168" s="1" t="s">
        <v>41</v>
      </c>
      <c r="W1168" s="1" t="s">
        <v>42</v>
      </c>
      <c r="X1168" s="13" t="str">
        <f>IF(RIGHT(H1168,2)&lt;&gt;"00",H1168,"")</f>
        <v/>
      </c>
      <c r="Y1168" s="2">
        <f ca="1">NETWORKDAYS(P1168,$Y$1)</f>
        <v>32</v>
      </c>
      <c r="Z1168" s="14">
        <v>1</v>
      </c>
      <c r="AA1168" s="1" t="str">
        <f t="shared" ca="1" si="90"/>
        <v>VENCIDO</v>
      </c>
      <c r="AB1168" s="1" t="str">
        <f t="shared" si="91"/>
        <v>C-14</v>
      </c>
      <c r="AC1168" s="2" t="str">
        <f t="shared" si="92"/>
        <v xml:space="preserve"> ROSEMERE </v>
      </c>
      <c r="AD1168" s="2">
        <f t="shared" si="93"/>
        <v>5</v>
      </c>
      <c r="AE1168" s="2">
        <f t="shared" ca="1" si="94"/>
        <v>-6.9262716435187031</v>
      </c>
    </row>
    <row r="1169" spans="1:31" hidden="1">
      <c r="A1169" s="1">
        <v>9351542</v>
      </c>
      <c r="B1169" s="1" t="s">
        <v>1153</v>
      </c>
      <c r="C1169" t="s">
        <v>1960</v>
      </c>
      <c r="D1169" s="2">
        <v>230009076</v>
      </c>
      <c r="E1169" s="2">
        <v>711001400020</v>
      </c>
      <c r="F1169" s="1" t="s">
        <v>1961</v>
      </c>
      <c r="G1169" s="1" t="s">
        <v>53</v>
      </c>
      <c r="H1169" s="1" t="s">
        <v>77</v>
      </c>
      <c r="I1169" s="1" t="s">
        <v>78</v>
      </c>
      <c r="J1169" s="1" t="s">
        <v>79</v>
      </c>
      <c r="K1169" t="s">
        <v>1962</v>
      </c>
      <c r="M1169" s="1" t="s">
        <v>58</v>
      </c>
      <c r="N1169" s="1">
        <v>0</v>
      </c>
      <c r="O1169" s="1" t="s">
        <v>36</v>
      </c>
      <c r="P1169" s="11" t="s">
        <v>1963</v>
      </c>
      <c r="R1169" s="1">
        <v>4</v>
      </c>
      <c r="T1169" s="1" t="s">
        <v>646</v>
      </c>
      <c r="U1169" s="186">
        <v>44950.479166666664</v>
      </c>
      <c r="V1169" s="1" t="s">
        <v>41</v>
      </c>
      <c r="W1169" s="1" t="s">
        <v>49</v>
      </c>
      <c r="X1169" s="13" t="str">
        <f>IF(RIGHT(H1169,2)&lt;&gt;"00",H1169,"")</f>
        <v/>
      </c>
      <c r="Y1169" s="2">
        <f ca="1">NETWORKDAYS(P1169,$Y$1)</f>
        <v>32</v>
      </c>
      <c r="Z1169" s="14">
        <v>1</v>
      </c>
      <c r="AA1169" s="1" t="str">
        <f t="shared" ca="1" si="90"/>
        <v>VENCIDO</v>
      </c>
      <c r="AB1169" s="1" t="str">
        <f t="shared" si="91"/>
        <v>C-14</v>
      </c>
      <c r="AC1169" s="2" t="str">
        <f t="shared" si="92"/>
        <v xml:space="preserve"> ROSEMERE </v>
      </c>
      <c r="AD1169" s="2">
        <f t="shared" si="93"/>
        <v>5</v>
      </c>
      <c r="AE1169" s="2">
        <f t="shared" ca="1" si="94"/>
        <v>-36.197104976854462</v>
      </c>
    </row>
    <row r="1170" spans="1:31" hidden="1">
      <c r="A1170" s="1">
        <v>9351053</v>
      </c>
      <c r="B1170" s="1" t="s">
        <v>1153</v>
      </c>
      <c r="C1170" t="s">
        <v>1965</v>
      </c>
      <c r="D1170" s="2">
        <v>20234923000021</v>
      </c>
      <c r="E1170" s="2">
        <v>7417183020099</v>
      </c>
      <c r="F1170" s="1" t="s">
        <v>1313</v>
      </c>
      <c r="G1170" s="1" t="s">
        <v>53</v>
      </c>
      <c r="H1170" s="1" t="s">
        <v>1966</v>
      </c>
      <c r="I1170" s="1" t="s">
        <v>1967</v>
      </c>
      <c r="J1170" s="1" t="s">
        <v>46</v>
      </c>
      <c r="K1170" t="s">
        <v>1316</v>
      </c>
      <c r="M1170" s="1" t="s">
        <v>58</v>
      </c>
      <c r="N1170" s="1">
        <v>0</v>
      </c>
      <c r="O1170" s="1" t="s">
        <v>36</v>
      </c>
      <c r="P1170" s="11" t="s">
        <v>1968</v>
      </c>
      <c r="R1170" s="1">
        <v>13</v>
      </c>
      <c r="T1170" s="1" t="s">
        <v>238</v>
      </c>
      <c r="U1170" s="186">
        <v>44943.395833333336</v>
      </c>
      <c r="V1170" s="1" t="s">
        <v>41</v>
      </c>
      <c r="W1170" s="1" t="s">
        <v>49</v>
      </c>
      <c r="X1170" s="13" t="str">
        <f>IF(RIGHT(H1170,2)&lt;&gt;"00",H1170,"")</f>
        <v>4923.01</v>
      </c>
      <c r="Y1170" s="2">
        <f ca="1">NETWORKDAYS(P1170,$Y$1)</f>
        <v>32</v>
      </c>
      <c r="Z1170" s="14">
        <v>1</v>
      </c>
      <c r="AA1170" s="1" t="str">
        <f t="shared" ca="1" si="90"/>
        <v>VENCIDO</v>
      </c>
      <c r="AB1170" s="1" t="str">
        <f t="shared" si="91"/>
        <v>TAAe+</v>
      </c>
      <c r="AC1170" s="2" t="str">
        <f t="shared" si="92"/>
        <v xml:space="preserve"> CLEITON </v>
      </c>
      <c r="AD1170" s="2">
        <f t="shared" si="93"/>
        <v>8</v>
      </c>
      <c r="AE1170" s="2">
        <f t="shared" ca="1" si="94"/>
        <v>-43.280438310182944</v>
      </c>
    </row>
    <row r="1171" spans="1:31">
      <c r="A1171" s="173">
        <v>9357204</v>
      </c>
      <c r="B1171" s="173" t="s">
        <v>1153</v>
      </c>
      <c r="C1171" s="178" t="s">
        <v>3484</v>
      </c>
      <c r="D1171" s="174">
        <v>20230605000012</v>
      </c>
      <c r="E1171" s="174">
        <v>7417163280932</v>
      </c>
      <c r="F1171" s="173" t="s">
        <v>131</v>
      </c>
      <c r="G1171" s="173" t="s">
        <v>53</v>
      </c>
      <c r="H1171" s="173" t="s">
        <v>1985</v>
      </c>
      <c r="I1171" s="173" t="s">
        <v>1986</v>
      </c>
      <c r="J1171" s="173" t="s">
        <v>90</v>
      </c>
      <c r="K1171" t="s">
        <v>132</v>
      </c>
      <c r="M1171" s="1" t="s">
        <v>58</v>
      </c>
      <c r="N1171" s="1">
        <v>0</v>
      </c>
      <c r="O1171" s="1" t="s">
        <v>36</v>
      </c>
      <c r="P1171" s="11" t="s">
        <v>1987</v>
      </c>
      <c r="R1171" s="1">
        <v>14</v>
      </c>
      <c r="T1171" s="1" t="s">
        <v>238</v>
      </c>
      <c r="U1171" s="186">
        <v>44944.579340277778</v>
      </c>
      <c r="V1171" s="1" t="s">
        <v>41</v>
      </c>
      <c r="W1171" s="1" t="s">
        <v>49</v>
      </c>
      <c r="X1171" s="13" t="str">
        <f>IF(RIGHT(H1171,2)&lt;&gt;"00",H1171,"")</f>
        <v>0605.91</v>
      </c>
      <c r="Y1171" s="2">
        <f ca="1">NETWORKDAYS(P1171,$Y$1)</f>
        <v>31</v>
      </c>
      <c r="Z1171" s="14">
        <v>1</v>
      </c>
      <c r="AA1171" s="1" t="str">
        <f t="shared" ca="1" si="90"/>
        <v>VENCIDO</v>
      </c>
      <c r="AB1171" s="1" t="str">
        <f t="shared" si="91"/>
        <v>TAAe+</v>
      </c>
      <c r="AC1171" s="2" t="str">
        <f t="shared" si="92"/>
        <v xml:space="preserve"> RINALDO </v>
      </c>
      <c r="AD1171" s="2">
        <f t="shared" si="93"/>
        <v>8</v>
      </c>
      <c r="AE1171" s="2">
        <f t="shared" ca="1" si="94"/>
        <v>-42.096931365740602</v>
      </c>
    </row>
    <row r="1172" spans="1:31" hidden="1">
      <c r="A1172" s="1">
        <v>9356193</v>
      </c>
      <c r="B1172" s="1" t="s">
        <v>1153</v>
      </c>
      <c r="C1172" t="s">
        <v>1988</v>
      </c>
      <c r="D1172" s="2">
        <v>20238259000001</v>
      </c>
      <c r="E1172" s="2">
        <v>7417172796319</v>
      </c>
      <c r="F1172" s="1" t="s">
        <v>1989</v>
      </c>
      <c r="G1172" s="1" t="s">
        <v>53</v>
      </c>
      <c r="H1172" s="1" t="s">
        <v>245</v>
      </c>
      <c r="I1172" s="1" t="s">
        <v>246</v>
      </c>
      <c r="J1172" s="1" t="s">
        <v>56</v>
      </c>
      <c r="K1172" t="s">
        <v>1990</v>
      </c>
      <c r="M1172" s="1" t="s">
        <v>58</v>
      </c>
      <c r="N1172" s="1">
        <v>0</v>
      </c>
      <c r="O1172" s="1" t="s">
        <v>36</v>
      </c>
      <c r="P1172" s="11" t="s">
        <v>1991</v>
      </c>
      <c r="R1172" s="1">
        <v>22</v>
      </c>
      <c r="T1172" s="1" t="s">
        <v>1160</v>
      </c>
      <c r="U1172" s="186">
        <v>44946.655682870369</v>
      </c>
      <c r="V1172" s="1" t="s">
        <v>41</v>
      </c>
      <c r="W1172" s="1" t="s">
        <v>49</v>
      </c>
      <c r="X1172" s="13" t="str">
        <f>IF(RIGHT(H1172,2)&lt;&gt;"00",H1172,"")</f>
        <v/>
      </c>
      <c r="Y1172" s="2">
        <f ca="1">NETWORKDAYS(P1172,$Y$1)</f>
        <v>31</v>
      </c>
      <c r="Z1172" s="14">
        <v>1</v>
      </c>
      <c r="AA1172" s="1" t="str">
        <f t="shared" ca="1" si="90"/>
        <v>VENCIDO</v>
      </c>
      <c r="AB1172" s="1" t="str">
        <f t="shared" si="91"/>
        <v>TAAe+</v>
      </c>
      <c r="AC1172" s="2" t="str">
        <f t="shared" si="92"/>
        <v xml:space="preserve"> CRISTINA </v>
      </c>
      <c r="AD1172" s="2">
        <f t="shared" si="93"/>
        <v>8</v>
      </c>
      <c r="AE1172" s="2">
        <f t="shared" ca="1" si="94"/>
        <v>-40.020588773149939</v>
      </c>
    </row>
    <row r="1173" spans="1:31" hidden="1">
      <c r="A1173" s="1">
        <v>9363015</v>
      </c>
      <c r="B1173" s="1" t="s">
        <v>62</v>
      </c>
      <c r="C1173" t="s">
        <v>3621</v>
      </c>
      <c r="E1173" s="2">
        <v>1837000203000</v>
      </c>
      <c r="F1173" s="1" t="s">
        <v>454</v>
      </c>
      <c r="G1173" s="1" t="s">
        <v>53</v>
      </c>
      <c r="H1173" s="1" t="s">
        <v>1785</v>
      </c>
      <c r="I1173" s="1" t="s">
        <v>1786</v>
      </c>
      <c r="J1173" s="1" t="s">
        <v>46</v>
      </c>
      <c r="K1173" t="s">
        <v>457</v>
      </c>
      <c r="M1173" s="1" t="s">
        <v>58</v>
      </c>
      <c r="N1173" s="1">
        <v>0</v>
      </c>
      <c r="O1173" s="1" t="s">
        <v>36</v>
      </c>
      <c r="P1173" s="11" t="s">
        <v>1994</v>
      </c>
      <c r="R1173" s="1">
        <v>1</v>
      </c>
      <c r="T1173" s="1" t="s">
        <v>157</v>
      </c>
      <c r="U1173" s="186">
        <v>44981.75</v>
      </c>
      <c r="V1173" s="1" t="s">
        <v>41</v>
      </c>
      <c r="W1173" s="1" t="s">
        <v>49</v>
      </c>
      <c r="X1173" s="13" t="str">
        <f>IF(RIGHT(H1173,2)&lt;&gt;"00",H1173,"")</f>
        <v/>
      </c>
      <c r="Y1173" s="2">
        <f ca="1">NETWORKDAYS(P1173,$Y$1)</f>
        <v>30</v>
      </c>
      <c r="Z1173" s="14">
        <v>1</v>
      </c>
      <c r="AA1173" s="1" t="str">
        <f t="shared" ca="1" si="90"/>
        <v>VENCIDO</v>
      </c>
      <c r="AB1173" s="1" t="str">
        <f t="shared" si="91"/>
        <v>C-14</v>
      </c>
      <c r="AC1173" s="2" t="str">
        <f t="shared" si="92"/>
        <v xml:space="preserve"> CLEITON </v>
      </c>
      <c r="AD1173" s="2">
        <f t="shared" si="93"/>
        <v>5</v>
      </c>
      <c r="AE1173" s="2">
        <f t="shared" ca="1" si="94"/>
        <v>-4.9262716435187031</v>
      </c>
    </row>
    <row r="1174" spans="1:31" hidden="1">
      <c r="A1174" s="1">
        <v>9361190</v>
      </c>
      <c r="B1174" s="1" t="s">
        <v>62</v>
      </c>
      <c r="C1174" t="s">
        <v>2011</v>
      </c>
      <c r="E1174" s="2">
        <v>3918000203000</v>
      </c>
      <c r="F1174" s="1" t="s">
        <v>454</v>
      </c>
      <c r="G1174" s="1" t="s">
        <v>53</v>
      </c>
      <c r="H1174" s="1" t="s">
        <v>858</v>
      </c>
      <c r="I1174" s="1" t="s">
        <v>859</v>
      </c>
      <c r="J1174" s="1" t="s">
        <v>33</v>
      </c>
      <c r="K1174" t="s">
        <v>457</v>
      </c>
      <c r="M1174" s="1" t="s">
        <v>58</v>
      </c>
      <c r="N1174" s="1">
        <v>0</v>
      </c>
      <c r="O1174" s="1" t="s">
        <v>105</v>
      </c>
      <c r="P1174" s="11" t="s">
        <v>2012</v>
      </c>
      <c r="R1174" s="1">
        <v>1</v>
      </c>
      <c r="T1174" s="1" t="s">
        <v>157</v>
      </c>
      <c r="U1174" s="186">
        <v>44981.75</v>
      </c>
      <c r="V1174" s="1" t="s">
        <v>41</v>
      </c>
      <c r="W1174" s="1" t="s">
        <v>49</v>
      </c>
      <c r="X1174" s="13" t="str">
        <f>IF(RIGHT(H1174,2)&lt;&gt;"00",H1174,"")</f>
        <v/>
      </c>
      <c r="Y1174" s="2">
        <f ca="1">NETWORKDAYS(P1174,$Y$1)</f>
        <v>30</v>
      </c>
      <c r="Z1174" s="14">
        <v>1</v>
      </c>
      <c r="AA1174" s="1" t="str">
        <f t="shared" ca="1" si="90"/>
        <v>VENCIDO</v>
      </c>
      <c r="AB1174" s="1" t="str">
        <f t="shared" si="91"/>
        <v>C-14</v>
      </c>
      <c r="AC1174" s="2" t="str">
        <f t="shared" si="92"/>
        <v xml:space="preserve"> ROSEMERE </v>
      </c>
      <c r="AD1174" s="2">
        <f t="shared" si="93"/>
        <v>5</v>
      </c>
      <c r="AE1174" s="2">
        <f t="shared" ca="1" si="94"/>
        <v>-4.9262716435187031</v>
      </c>
    </row>
    <row r="1175" spans="1:31" hidden="1">
      <c r="A1175" s="1">
        <v>9378351</v>
      </c>
      <c r="B1175" s="1" t="s">
        <v>62</v>
      </c>
      <c r="C1175" t="s">
        <v>2013</v>
      </c>
      <c r="E1175" s="2">
        <v>2238000206001</v>
      </c>
      <c r="F1175" s="1" t="s">
        <v>29</v>
      </c>
      <c r="G1175" s="1" t="s">
        <v>53</v>
      </c>
      <c r="H1175" s="1" t="s">
        <v>707</v>
      </c>
      <c r="I1175" s="1" t="s">
        <v>708</v>
      </c>
      <c r="J1175" s="1" t="s">
        <v>79</v>
      </c>
      <c r="K1175" t="s">
        <v>34</v>
      </c>
      <c r="M1175" s="1" t="s">
        <v>35</v>
      </c>
      <c r="N1175" s="1">
        <v>42318949</v>
      </c>
      <c r="O1175" s="1" t="s">
        <v>36</v>
      </c>
      <c r="P1175" s="11" t="s">
        <v>2014</v>
      </c>
      <c r="R1175" s="1" t="s">
        <v>38</v>
      </c>
      <c r="T1175" s="1" t="s">
        <v>74</v>
      </c>
      <c r="U1175" s="186">
        <v>44993.75</v>
      </c>
      <c r="V1175" s="1" t="s">
        <v>41</v>
      </c>
      <c r="W1175" s="1" t="s">
        <v>49</v>
      </c>
      <c r="X1175" s="13" t="str">
        <f>IF(RIGHT(H1175,2)&lt;&gt;"00",H1175,"")</f>
        <v/>
      </c>
      <c r="Y1175" s="2">
        <f ca="1">NETWORKDAYS(P1175,$Y$1)</f>
        <v>28</v>
      </c>
      <c r="Z1175" s="14">
        <v>1</v>
      </c>
      <c r="AA1175" s="1" t="str">
        <f t="shared" ca="1" si="90"/>
        <v>A VENCER</v>
      </c>
      <c r="AB1175" s="1" t="str">
        <f t="shared" si="91"/>
        <v>Dosa</v>
      </c>
      <c r="AC1175" s="2" t="str">
        <f t="shared" si="92"/>
        <v xml:space="preserve"> ROSEMERE </v>
      </c>
      <c r="AD1175" s="2">
        <f t="shared" si="93"/>
        <v>5</v>
      </c>
      <c r="AE1175" s="2">
        <f t="shared" ca="1" si="94"/>
        <v>7.0737283564812969</v>
      </c>
    </row>
    <row r="1176" spans="1:31">
      <c r="A1176" s="181">
        <v>9377451</v>
      </c>
      <c r="B1176" s="181" t="s">
        <v>1153</v>
      </c>
      <c r="C1176" s="182" t="s">
        <v>3622</v>
      </c>
      <c r="D1176" s="183"/>
      <c r="E1176" s="183">
        <v>9705000206021</v>
      </c>
      <c r="F1176" s="181" t="s">
        <v>103</v>
      </c>
      <c r="G1176" s="181" t="s">
        <v>53</v>
      </c>
      <c r="H1176" s="181" t="s">
        <v>204</v>
      </c>
      <c r="I1176" s="181" t="s">
        <v>205</v>
      </c>
      <c r="J1176" s="181" t="s">
        <v>90</v>
      </c>
      <c r="K1176" t="s">
        <v>104</v>
      </c>
      <c r="M1176" s="1" t="s">
        <v>58</v>
      </c>
      <c r="N1176" s="1">
        <v>0</v>
      </c>
      <c r="O1176" s="1" t="s">
        <v>36</v>
      </c>
      <c r="P1176" s="11" t="s">
        <v>2017</v>
      </c>
      <c r="R1176" s="1" t="s">
        <v>38</v>
      </c>
      <c r="T1176" s="1" t="s">
        <v>74</v>
      </c>
      <c r="U1176" s="186">
        <v>44984.607638888891</v>
      </c>
      <c r="V1176" s="1" t="s">
        <v>41</v>
      </c>
      <c r="W1176" s="1" t="s">
        <v>49</v>
      </c>
      <c r="X1176" s="13" t="str">
        <f>IF(RIGHT(H1176,2)&lt;&gt;"00",H1176,"")</f>
        <v/>
      </c>
      <c r="Y1176" s="2">
        <f ca="1">NETWORKDAYS(P1176,$Y$1)</f>
        <v>28</v>
      </c>
      <c r="Z1176" s="14">
        <v>1</v>
      </c>
      <c r="AA1176" s="1" t="str">
        <f t="shared" ca="1" si="90"/>
        <v>VENCIDO</v>
      </c>
      <c r="AB1176" s="1" t="str">
        <f t="shared" si="91"/>
        <v>Dosa</v>
      </c>
      <c r="AC1176" s="2" t="str">
        <f t="shared" si="92"/>
        <v xml:space="preserve"> RINALDO </v>
      </c>
      <c r="AD1176" s="2">
        <f t="shared" si="93"/>
        <v>5</v>
      </c>
      <c r="AE1176" s="2">
        <f t="shared" ca="1" si="94"/>
        <v>-2.0686327546281973</v>
      </c>
    </row>
    <row r="1177" spans="1:31">
      <c r="A1177" s="173">
        <v>9376105</v>
      </c>
      <c r="B1177" s="173" t="s">
        <v>1153</v>
      </c>
      <c r="C1177" s="178" t="s">
        <v>3487</v>
      </c>
      <c r="D1177" s="174">
        <v>20230870000010</v>
      </c>
      <c r="E1177" s="174">
        <v>7419141893543</v>
      </c>
      <c r="F1177" s="173" t="s">
        <v>128</v>
      </c>
      <c r="G1177" s="173" t="s">
        <v>53</v>
      </c>
      <c r="H1177" s="173" t="s">
        <v>519</v>
      </c>
      <c r="I1177" s="173" t="s">
        <v>520</v>
      </c>
      <c r="J1177" s="173" t="s">
        <v>90</v>
      </c>
      <c r="K1177" t="s">
        <v>129</v>
      </c>
      <c r="M1177" s="1" t="s">
        <v>58</v>
      </c>
      <c r="N1177" s="1">
        <v>0</v>
      </c>
      <c r="O1177" s="1" t="s">
        <v>36</v>
      </c>
      <c r="P1177" s="11" t="s">
        <v>2020</v>
      </c>
      <c r="R1177" s="1">
        <v>14</v>
      </c>
      <c r="T1177" s="1" t="s">
        <v>238</v>
      </c>
      <c r="U1177" s="186">
        <v>44949.420578703706</v>
      </c>
      <c r="V1177" s="1" t="s">
        <v>41</v>
      </c>
      <c r="W1177" s="1" t="s">
        <v>49</v>
      </c>
      <c r="X1177" s="13" t="str">
        <f>IF(RIGHT(H1177,2)&lt;&gt;"00",H1177,"")</f>
        <v>0870.91</v>
      </c>
      <c r="Y1177" s="2">
        <f ca="1">NETWORKDAYS(P1177,$Y$1)</f>
        <v>28</v>
      </c>
      <c r="Z1177" s="14">
        <v>1</v>
      </c>
      <c r="AA1177" s="1" t="str">
        <f t="shared" ca="1" si="90"/>
        <v>VENCIDO</v>
      </c>
      <c r="AB1177" s="1" t="str">
        <f t="shared" si="91"/>
        <v>TAAe+</v>
      </c>
      <c r="AC1177" s="2" t="str">
        <f t="shared" si="92"/>
        <v xml:space="preserve"> RINALDO </v>
      </c>
      <c r="AD1177" s="2">
        <f t="shared" si="93"/>
        <v>8</v>
      </c>
      <c r="AE1177" s="2">
        <f t="shared" ca="1" si="94"/>
        <v>-37.255692939812434</v>
      </c>
    </row>
    <row r="1178" spans="1:31" hidden="1">
      <c r="A1178" s="1">
        <v>9372193</v>
      </c>
      <c r="B1178" s="1" t="s">
        <v>1153</v>
      </c>
      <c r="C1178" t="s">
        <v>2021</v>
      </c>
      <c r="E1178" s="2">
        <v>446000206001</v>
      </c>
      <c r="F1178" s="1" t="s">
        <v>29</v>
      </c>
      <c r="G1178" s="1" t="s">
        <v>53</v>
      </c>
      <c r="H1178" s="1" t="s">
        <v>432</v>
      </c>
      <c r="I1178" s="1" t="s">
        <v>433</v>
      </c>
      <c r="J1178" s="1" t="s">
        <v>110</v>
      </c>
      <c r="K1178" t="s">
        <v>34</v>
      </c>
      <c r="M1178" s="1" t="s">
        <v>35</v>
      </c>
      <c r="N1178" s="1">
        <v>42318949</v>
      </c>
      <c r="O1178" s="1" t="s">
        <v>36</v>
      </c>
      <c r="P1178" s="11" t="s">
        <v>2022</v>
      </c>
      <c r="R1178" s="1" t="s">
        <v>38</v>
      </c>
      <c r="T1178" s="1" t="s">
        <v>74</v>
      </c>
      <c r="U1178" s="186">
        <v>44985.708333333336</v>
      </c>
      <c r="V1178" s="1" t="s">
        <v>41</v>
      </c>
      <c r="W1178" s="1" t="s">
        <v>49</v>
      </c>
      <c r="X1178" s="13" t="str">
        <f>IF(RIGHT(H1178,2)&lt;&gt;"00",H1178,"")</f>
        <v/>
      </c>
      <c r="Y1178" s="2">
        <f ca="1">NETWORKDAYS(P1178,$Y$1)</f>
        <v>28</v>
      </c>
      <c r="Z1178" s="14">
        <v>1</v>
      </c>
      <c r="AA1178" s="1" t="str">
        <f t="shared" ca="1" si="90"/>
        <v>VENCIDO</v>
      </c>
      <c r="AB1178" s="1" t="str">
        <f t="shared" si="91"/>
        <v>Dosa</v>
      </c>
      <c r="AC1178" s="2" t="str">
        <f t="shared" si="92"/>
        <v xml:space="preserve"> CRISTINA </v>
      </c>
      <c r="AD1178" s="2">
        <f t="shared" si="93"/>
        <v>5</v>
      </c>
      <c r="AE1178" s="2">
        <f t="shared" ca="1" si="94"/>
        <v>-0.96793831018294441</v>
      </c>
    </row>
    <row r="1179" spans="1:31" hidden="1">
      <c r="A1179" s="1">
        <v>9382865</v>
      </c>
      <c r="B1179" s="1" t="s">
        <v>1153</v>
      </c>
      <c r="C1179" t="s">
        <v>2024</v>
      </c>
      <c r="D1179" s="2">
        <v>230012536</v>
      </c>
      <c r="E1179" s="2">
        <v>1650001400010</v>
      </c>
      <c r="F1179" s="1" t="s">
        <v>936</v>
      </c>
      <c r="G1179" s="1" t="s">
        <v>53</v>
      </c>
      <c r="H1179" s="1" t="s">
        <v>620</v>
      </c>
      <c r="I1179" s="1" t="s">
        <v>621</v>
      </c>
      <c r="J1179" s="1" t="s">
        <v>141</v>
      </c>
      <c r="K1179" t="s">
        <v>937</v>
      </c>
      <c r="M1179" s="1" t="s">
        <v>58</v>
      </c>
      <c r="N1179" s="1">
        <v>0</v>
      </c>
      <c r="O1179" s="1" t="s">
        <v>36</v>
      </c>
      <c r="P1179" s="11" t="s">
        <v>2025</v>
      </c>
      <c r="R1179" s="1">
        <v>3</v>
      </c>
      <c r="T1179" s="1" t="s">
        <v>646</v>
      </c>
      <c r="U1179" s="186">
        <v>44981.6875</v>
      </c>
      <c r="V1179" s="1" t="s">
        <v>41</v>
      </c>
      <c r="W1179" s="1" t="s">
        <v>49</v>
      </c>
      <c r="X1179" s="13" t="str">
        <f>IF(RIGHT(H1179,2)&lt;&gt;"00",H1179,"")</f>
        <v/>
      </c>
      <c r="Y1179" s="2">
        <f ca="1">NETWORKDAYS(P1179,$Y$1)</f>
        <v>27</v>
      </c>
      <c r="Z1179" s="14">
        <v>1</v>
      </c>
      <c r="AA1179" s="1" t="str">
        <f t="shared" ca="1" si="90"/>
        <v>VENCIDO</v>
      </c>
      <c r="AB1179" s="1" t="str">
        <f t="shared" si="91"/>
        <v>C-14</v>
      </c>
      <c r="AC1179" s="2" t="str">
        <f t="shared" si="92"/>
        <v xml:space="preserve"> CRISTINA </v>
      </c>
      <c r="AD1179" s="2">
        <f t="shared" si="93"/>
        <v>5</v>
      </c>
      <c r="AE1179" s="2">
        <f t="shared" ca="1" si="94"/>
        <v>-4.9887716435187031</v>
      </c>
    </row>
    <row r="1180" spans="1:31" hidden="1">
      <c r="A1180" s="1">
        <v>9381861</v>
      </c>
      <c r="B1180" s="1" t="s">
        <v>62</v>
      </c>
      <c r="C1180" t="s">
        <v>2027</v>
      </c>
      <c r="E1180" s="2">
        <v>1069000203000</v>
      </c>
      <c r="F1180" s="1" t="s">
        <v>454</v>
      </c>
      <c r="G1180" s="1" t="s">
        <v>53</v>
      </c>
      <c r="H1180" s="1" t="s">
        <v>353</v>
      </c>
      <c r="I1180" s="1" t="s">
        <v>354</v>
      </c>
      <c r="J1180" s="1" t="s">
        <v>211</v>
      </c>
      <c r="K1180" t="s">
        <v>457</v>
      </c>
      <c r="M1180" s="1" t="s">
        <v>58</v>
      </c>
      <c r="N1180" s="1">
        <v>0</v>
      </c>
      <c r="O1180" s="1" t="s">
        <v>105</v>
      </c>
      <c r="P1180" s="11" t="s">
        <v>2028</v>
      </c>
      <c r="R1180" s="1">
        <v>1</v>
      </c>
      <c r="T1180" s="1" t="s">
        <v>157</v>
      </c>
      <c r="U1180" s="186">
        <v>44986.75</v>
      </c>
      <c r="V1180" s="1" t="s">
        <v>41</v>
      </c>
      <c r="W1180" s="1" t="s">
        <v>49</v>
      </c>
      <c r="X1180" s="13" t="str">
        <f>IF(RIGHT(H1180,2)&lt;&gt;"00",H1180,"")</f>
        <v/>
      </c>
      <c r="Y1180" s="2">
        <f ca="1">NETWORKDAYS(P1180,$Y$1)</f>
        <v>27</v>
      </c>
      <c r="Z1180" s="14">
        <v>1</v>
      </c>
      <c r="AA1180" s="1" t="str">
        <f t="shared" ca="1" si="90"/>
        <v>A VENCER</v>
      </c>
      <c r="AB1180" s="1" t="str">
        <f t="shared" si="91"/>
        <v>C-14</v>
      </c>
      <c r="AC1180" s="2" t="str">
        <f t="shared" si="92"/>
        <v xml:space="preserve"> RINALDO </v>
      </c>
      <c r="AD1180" s="2">
        <f t="shared" si="93"/>
        <v>5</v>
      </c>
      <c r="AE1180" s="2">
        <f t="shared" ca="1" si="94"/>
        <v>7.3728356481296942E-2</v>
      </c>
    </row>
    <row r="1181" spans="1:31">
      <c r="A1181" s="181">
        <v>9386899</v>
      </c>
      <c r="B1181" s="181" t="s">
        <v>1153</v>
      </c>
      <c r="C1181" s="182" t="s">
        <v>3623</v>
      </c>
      <c r="D1181" s="183">
        <v>230012987</v>
      </c>
      <c r="E1181" s="183">
        <v>1162001400010</v>
      </c>
      <c r="F1181" s="181" t="s">
        <v>936</v>
      </c>
      <c r="G1181" s="181" t="s">
        <v>53</v>
      </c>
      <c r="H1181" s="181" t="s">
        <v>280</v>
      </c>
      <c r="I1181" s="181" t="s">
        <v>281</v>
      </c>
      <c r="J1181" s="181" t="s">
        <v>211</v>
      </c>
      <c r="K1181" t="s">
        <v>937</v>
      </c>
      <c r="M1181" s="1" t="s">
        <v>58</v>
      </c>
      <c r="N1181" s="1">
        <v>0</v>
      </c>
      <c r="O1181" s="1" t="s">
        <v>36</v>
      </c>
      <c r="P1181" s="11" t="s">
        <v>2035</v>
      </c>
      <c r="R1181" s="1">
        <v>3</v>
      </c>
      <c r="T1181" s="1" t="s">
        <v>646</v>
      </c>
      <c r="U1181" s="186">
        <v>44984.586805555555</v>
      </c>
      <c r="V1181" s="1" t="s">
        <v>41</v>
      </c>
      <c r="W1181" s="1" t="s">
        <v>49</v>
      </c>
      <c r="X1181" s="13" t="str">
        <f>IF(RIGHT(H1181,2)&lt;&gt;"00",H1181,"")</f>
        <v/>
      </c>
      <c r="Y1181" s="2">
        <f ca="1">NETWORKDAYS(P1181,$Y$1)</f>
        <v>26</v>
      </c>
      <c r="Z1181" s="14">
        <v>1</v>
      </c>
      <c r="AA1181" s="1" t="str">
        <f t="shared" ca="1" si="90"/>
        <v>VENCIDO</v>
      </c>
      <c r="AB1181" s="1" t="str">
        <f t="shared" si="91"/>
        <v>C-14</v>
      </c>
      <c r="AC1181" s="2" t="str">
        <f t="shared" si="92"/>
        <v xml:space="preserve"> RINALDO </v>
      </c>
      <c r="AD1181" s="2">
        <f t="shared" si="93"/>
        <v>5</v>
      </c>
      <c r="AE1181" s="2">
        <f t="shared" ca="1" si="94"/>
        <v>-2.0894660879639559</v>
      </c>
    </row>
    <row r="1182" spans="1:31">
      <c r="A1182" s="173">
        <v>9385840</v>
      </c>
      <c r="B1182" s="173" t="s">
        <v>1153</v>
      </c>
      <c r="C1182" s="178" t="s">
        <v>3488</v>
      </c>
      <c r="D1182" s="174"/>
      <c r="E1182" s="174">
        <v>2170000206001</v>
      </c>
      <c r="F1182" s="173" t="s">
        <v>29</v>
      </c>
      <c r="G1182" s="173" t="s">
        <v>53</v>
      </c>
      <c r="H1182" s="173" t="s">
        <v>477</v>
      </c>
      <c r="I1182" s="173" t="s">
        <v>478</v>
      </c>
      <c r="J1182" s="173" t="s">
        <v>148</v>
      </c>
      <c r="K1182" t="s">
        <v>34</v>
      </c>
      <c r="M1182" s="1" t="s">
        <v>35</v>
      </c>
      <c r="N1182" s="1">
        <v>42318949</v>
      </c>
      <c r="O1182" s="1" t="s">
        <v>36</v>
      </c>
      <c r="P1182" s="11" t="s">
        <v>2041</v>
      </c>
      <c r="R1182" s="1" t="s">
        <v>38</v>
      </c>
      <c r="T1182" s="1" t="s">
        <v>74</v>
      </c>
      <c r="U1182" s="186">
        <v>44984.649305555555</v>
      </c>
      <c r="V1182" s="1" t="s">
        <v>41</v>
      </c>
      <c r="W1182" s="1" t="s">
        <v>49</v>
      </c>
      <c r="X1182" s="13" t="str">
        <f>IF(RIGHT(H1182,2)&lt;&gt;"00",H1182,"")</f>
        <v/>
      </c>
      <c r="Y1182" s="2">
        <f ca="1">NETWORKDAYS(P1182,$Y$1)</f>
        <v>26</v>
      </c>
      <c r="Z1182" s="14">
        <v>1</v>
      </c>
      <c r="AA1182" s="1" t="str">
        <f t="shared" ca="1" si="90"/>
        <v>VENCIDO</v>
      </c>
      <c r="AB1182" s="1" t="str">
        <f t="shared" si="91"/>
        <v>Dosa</v>
      </c>
      <c r="AC1182" s="2" t="str">
        <f t="shared" si="92"/>
        <v xml:space="preserve"> RINALDO </v>
      </c>
      <c r="AD1182" s="2">
        <f t="shared" si="93"/>
        <v>5</v>
      </c>
      <c r="AE1182" s="2">
        <f t="shared" ca="1" si="94"/>
        <v>-2.0269660879639559</v>
      </c>
    </row>
    <row r="1183" spans="1:31" hidden="1">
      <c r="A1183" s="1">
        <v>9385440</v>
      </c>
      <c r="B1183" s="1" t="s">
        <v>1153</v>
      </c>
      <c r="C1183" t="s">
        <v>2043</v>
      </c>
      <c r="E1183" s="2">
        <v>446000206001</v>
      </c>
      <c r="F1183" s="1" t="s">
        <v>29</v>
      </c>
      <c r="G1183" s="1" t="s">
        <v>53</v>
      </c>
      <c r="H1183" s="1" t="s">
        <v>432</v>
      </c>
      <c r="I1183" s="1" t="s">
        <v>433</v>
      </c>
      <c r="J1183" s="1" t="s">
        <v>110</v>
      </c>
      <c r="K1183" t="s">
        <v>34</v>
      </c>
      <c r="M1183" s="1" t="s">
        <v>35</v>
      </c>
      <c r="N1183" s="1">
        <v>42318949</v>
      </c>
      <c r="O1183" s="1" t="s">
        <v>36</v>
      </c>
      <c r="P1183" s="11" t="s">
        <v>2044</v>
      </c>
      <c r="R1183" s="1" t="s">
        <v>38</v>
      </c>
      <c r="T1183" s="1" t="s">
        <v>74</v>
      </c>
      <c r="U1183" s="186">
        <v>44985.708333333336</v>
      </c>
      <c r="V1183" s="1" t="s">
        <v>41</v>
      </c>
      <c r="W1183" s="1" t="s">
        <v>49</v>
      </c>
      <c r="X1183" s="13" t="str">
        <f>IF(RIGHT(H1183,2)&lt;&gt;"00",H1183,"")</f>
        <v/>
      </c>
      <c r="Y1183" s="2">
        <f ca="1">NETWORKDAYS(P1183,$Y$1)</f>
        <v>26</v>
      </c>
      <c r="Z1183" s="14">
        <v>1</v>
      </c>
      <c r="AA1183" s="1" t="str">
        <f t="shared" ca="1" si="90"/>
        <v>VENCIDO</v>
      </c>
      <c r="AB1183" s="1" t="str">
        <f t="shared" si="91"/>
        <v>Dosa</v>
      </c>
      <c r="AC1183" s="2" t="str">
        <f t="shared" si="92"/>
        <v xml:space="preserve"> CRISTINA </v>
      </c>
      <c r="AD1183" s="2">
        <f t="shared" si="93"/>
        <v>5</v>
      </c>
      <c r="AE1183" s="2">
        <f t="shared" ca="1" si="94"/>
        <v>-0.96793831018294441</v>
      </c>
    </row>
    <row r="1184" spans="1:31" hidden="1">
      <c r="A1184" s="1">
        <v>9396912</v>
      </c>
      <c r="B1184" s="1" t="s">
        <v>62</v>
      </c>
      <c r="C1184" t="s">
        <v>2045</v>
      </c>
      <c r="D1184" s="2">
        <v>230014141</v>
      </c>
      <c r="E1184" s="2">
        <v>870001400020</v>
      </c>
      <c r="F1184" s="1" t="s">
        <v>1961</v>
      </c>
      <c r="G1184" s="1" t="s">
        <v>53</v>
      </c>
      <c r="H1184" s="1" t="s">
        <v>183</v>
      </c>
      <c r="I1184" s="1" t="s">
        <v>184</v>
      </c>
      <c r="J1184" s="1" t="s">
        <v>90</v>
      </c>
      <c r="K1184" t="s">
        <v>1962</v>
      </c>
      <c r="M1184" s="1" t="s">
        <v>58</v>
      </c>
      <c r="N1184" s="1">
        <v>0</v>
      </c>
      <c r="O1184" s="1" t="s">
        <v>36</v>
      </c>
      <c r="P1184" s="11" t="s">
        <v>2046</v>
      </c>
      <c r="R1184" s="1">
        <v>4</v>
      </c>
      <c r="T1184" s="1" t="s">
        <v>646</v>
      </c>
      <c r="U1184" s="186">
        <v>44960.674432870372</v>
      </c>
      <c r="V1184" s="1" t="s">
        <v>41</v>
      </c>
      <c r="W1184" s="1" t="s">
        <v>49</v>
      </c>
      <c r="X1184" s="13" t="str">
        <f>IF(RIGHT(H1184,2)&lt;&gt;"00",H1184,"")</f>
        <v/>
      </c>
      <c r="Y1184" s="2">
        <f ca="1">NETWORKDAYS(P1184,$Y$1)</f>
        <v>24</v>
      </c>
      <c r="Z1184" s="14">
        <v>1</v>
      </c>
      <c r="AA1184" s="1" t="str">
        <f t="shared" ca="1" si="90"/>
        <v>VENCIDO</v>
      </c>
      <c r="AB1184" s="1" t="str">
        <f t="shared" si="91"/>
        <v>C-14</v>
      </c>
      <c r="AC1184" s="2" t="str">
        <f t="shared" si="92"/>
        <v xml:space="preserve"> RINALDO </v>
      </c>
      <c r="AD1184" s="2">
        <f t="shared" si="93"/>
        <v>5</v>
      </c>
      <c r="AE1184" s="2">
        <f t="shared" ca="1" si="94"/>
        <v>-26.001838773147028</v>
      </c>
    </row>
    <row r="1185" spans="1:31">
      <c r="A1185" s="173">
        <v>9396835</v>
      </c>
      <c r="B1185" s="173" t="s">
        <v>1153</v>
      </c>
      <c r="C1185" s="178" t="s">
        <v>3624</v>
      </c>
      <c r="D1185" s="174">
        <v>20231069000005</v>
      </c>
      <c r="E1185" s="174">
        <v>7417210950276</v>
      </c>
      <c r="F1185" s="173" t="s">
        <v>1213</v>
      </c>
      <c r="G1185" s="173" t="s">
        <v>53</v>
      </c>
      <c r="H1185" s="173" t="s">
        <v>2049</v>
      </c>
      <c r="I1185" s="173" t="s">
        <v>2050</v>
      </c>
      <c r="J1185" s="173" t="s">
        <v>211</v>
      </c>
      <c r="K1185" t="s">
        <v>1214</v>
      </c>
      <c r="M1185" s="1" t="s">
        <v>58</v>
      </c>
      <c r="N1185" s="1">
        <v>0</v>
      </c>
      <c r="O1185" s="1" t="s">
        <v>36</v>
      </c>
      <c r="P1185" s="11" t="s">
        <v>2051</v>
      </c>
      <c r="R1185" s="1">
        <v>14</v>
      </c>
      <c r="T1185" s="1" t="s">
        <v>238</v>
      </c>
      <c r="U1185" s="186">
        <v>44953.631932870368</v>
      </c>
      <c r="V1185" s="1" t="s">
        <v>41</v>
      </c>
      <c r="W1185" s="1" t="s">
        <v>49</v>
      </c>
      <c r="X1185" s="13" t="str">
        <f>IF(RIGHT(H1185,2)&lt;&gt;"00",H1185,"")</f>
        <v>1069.91</v>
      </c>
      <c r="Y1185" s="2">
        <f ca="1">NETWORKDAYS(P1185,$Y$1)</f>
        <v>24</v>
      </c>
      <c r="Z1185" s="14">
        <v>1</v>
      </c>
      <c r="AA1185" s="1" t="str">
        <f t="shared" ca="1" si="90"/>
        <v>VENCIDO</v>
      </c>
      <c r="AB1185" s="1" t="str">
        <f t="shared" si="91"/>
        <v>TAAe+</v>
      </c>
      <c r="AC1185" s="2" t="str">
        <f t="shared" si="92"/>
        <v xml:space="preserve"> RINALDO </v>
      </c>
      <c r="AD1185" s="2">
        <f t="shared" si="93"/>
        <v>8</v>
      </c>
      <c r="AE1185" s="2">
        <f t="shared" ca="1" si="94"/>
        <v>-33.04433877315023</v>
      </c>
    </row>
    <row r="1186" spans="1:31">
      <c r="A1186" s="181">
        <v>9395678</v>
      </c>
      <c r="B1186" s="181" t="s">
        <v>1153</v>
      </c>
      <c r="C1186" s="182" t="s">
        <v>3625</v>
      </c>
      <c r="D1186" s="183">
        <v>20234119000004</v>
      </c>
      <c r="E1186" s="183">
        <v>7417183022947</v>
      </c>
      <c r="F1186" s="181" t="s">
        <v>1313</v>
      </c>
      <c r="G1186" s="181" t="s">
        <v>53</v>
      </c>
      <c r="H1186" s="181" t="s">
        <v>2053</v>
      </c>
      <c r="I1186" s="181" t="s">
        <v>2054</v>
      </c>
      <c r="J1186" s="181" t="s">
        <v>211</v>
      </c>
      <c r="K1186" t="s">
        <v>1316</v>
      </c>
      <c r="M1186" s="1" t="s">
        <v>58</v>
      </c>
      <c r="N1186" s="1">
        <v>0</v>
      </c>
      <c r="O1186" s="1" t="s">
        <v>36</v>
      </c>
      <c r="P1186" s="11" t="s">
        <v>3037</v>
      </c>
      <c r="R1186" s="1">
        <v>14</v>
      </c>
      <c r="T1186" s="1" t="s">
        <v>238</v>
      </c>
      <c r="U1186" s="186">
        <v>44953.444606481484</v>
      </c>
      <c r="V1186" s="1" t="s">
        <v>41</v>
      </c>
      <c r="W1186" s="1" t="s">
        <v>49</v>
      </c>
      <c r="X1186" s="13" t="str">
        <f>IF(RIGHT(H1186,2)&lt;&gt;"00",H1186,"")</f>
        <v>4119.91</v>
      </c>
      <c r="Y1186" s="2">
        <f ca="1">NETWORKDAYS(P1186,$Y$1)</f>
        <v>24</v>
      </c>
      <c r="Z1186" s="14">
        <v>1</v>
      </c>
      <c r="AA1186" s="1" t="str">
        <f t="shared" ca="1" si="90"/>
        <v>VENCIDO</v>
      </c>
      <c r="AB1186" s="1" t="str">
        <f t="shared" si="91"/>
        <v>TAAe+</v>
      </c>
      <c r="AC1186" s="2" t="str">
        <f t="shared" si="92"/>
        <v xml:space="preserve"> RINALDO </v>
      </c>
      <c r="AD1186" s="2">
        <f t="shared" si="93"/>
        <v>8</v>
      </c>
      <c r="AE1186" s="2">
        <f t="shared" ca="1" si="94"/>
        <v>-33.231665162034915</v>
      </c>
    </row>
    <row r="1187" spans="1:31" hidden="1">
      <c r="A1187" s="1">
        <v>9395597</v>
      </c>
      <c r="B1187" s="1" t="s">
        <v>62</v>
      </c>
      <c r="C1187" t="s">
        <v>2055</v>
      </c>
      <c r="E1187" s="2">
        <v>9406000206001</v>
      </c>
      <c r="F1187" s="1" t="s">
        <v>29</v>
      </c>
      <c r="G1187" s="1" t="s">
        <v>53</v>
      </c>
      <c r="H1187" s="1" t="s">
        <v>114</v>
      </c>
      <c r="I1187" s="1" t="s">
        <v>115</v>
      </c>
      <c r="J1187" s="1" t="s">
        <v>46</v>
      </c>
      <c r="K1187" t="s">
        <v>34</v>
      </c>
      <c r="M1187" s="1" t="s">
        <v>35</v>
      </c>
      <c r="N1187" s="1">
        <v>42318949</v>
      </c>
      <c r="O1187" s="1" t="s">
        <v>105</v>
      </c>
      <c r="P1187" s="11" t="s">
        <v>3038</v>
      </c>
      <c r="R1187" s="1" t="s">
        <v>38</v>
      </c>
      <c r="T1187" s="1" t="s">
        <v>74</v>
      </c>
      <c r="U1187" s="186">
        <v>44998.75</v>
      </c>
      <c r="V1187" s="1" t="s">
        <v>41</v>
      </c>
      <c r="W1187" s="1" t="s">
        <v>49</v>
      </c>
      <c r="X1187" s="13" t="str">
        <f>IF(RIGHT(H1187,2)&lt;&gt;"00",H1187,"")</f>
        <v/>
      </c>
      <c r="Y1187" s="2">
        <f ca="1">NETWORKDAYS(P1187,$Y$1)</f>
        <v>24</v>
      </c>
      <c r="Z1187" s="14">
        <v>1</v>
      </c>
      <c r="AA1187" s="1" t="str">
        <f t="shared" ca="1" si="90"/>
        <v>A VENCER</v>
      </c>
      <c r="AB1187" s="1" t="str">
        <f t="shared" si="91"/>
        <v>Dosa</v>
      </c>
      <c r="AC1187" s="2" t="str">
        <f t="shared" si="92"/>
        <v xml:space="preserve"> CLEITON </v>
      </c>
      <c r="AD1187" s="2">
        <f t="shared" si="93"/>
        <v>5</v>
      </c>
      <c r="AE1187" s="2">
        <f t="shared" ca="1" si="94"/>
        <v>12.073728356481297</v>
      </c>
    </row>
    <row r="1188" spans="1:31" hidden="1">
      <c r="A1188" s="1">
        <v>9395595</v>
      </c>
      <c r="B1188" s="1" t="s">
        <v>62</v>
      </c>
      <c r="C1188" t="s">
        <v>2055</v>
      </c>
      <c r="E1188" s="2">
        <v>9406000206001</v>
      </c>
      <c r="F1188" s="1" t="s">
        <v>29</v>
      </c>
      <c r="G1188" s="1" t="s">
        <v>53</v>
      </c>
      <c r="H1188" s="1" t="s">
        <v>114</v>
      </c>
      <c r="I1188" s="1" t="s">
        <v>115</v>
      </c>
      <c r="J1188" s="1" t="s">
        <v>46</v>
      </c>
      <c r="K1188" t="s">
        <v>34</v>
      </c>
      <c r="M1188" s="1" t="s">
        <v>35</v>
      </c>
      <c r="N1188" s="1">
        <v>42318949</v>
      </c>
      <c r="O1188" s="1" t="s">
        <v>105</v>
      </c>
      <c r="P1188" s="11" t="s">
        <v>2056</v>
      </c>
      <c r="R1188" s="1" t="s">
        <v>38</v>
      </c>
      <c r="T1188" s="1" t="s">
        <v>74</v>
      </c>
      <c r="U1188" s="186">
        <v>44998.75</v>
      </c>
      <c r="V1188" s="1" t="s">
        <v>41</v>
      </c>
      <c r="W1188" s="1" t="s">
        <v>49</v>
      </c>
      <c r="X1188" s="13" t="str">
        <f>IF(RIGHT(H1188,2)&lt;&gt;"00",H1188,"")</f>
        <v/>
      </c>
      <c r="Y1188" s="2">
        <f ca="1">NETWORKDAYS(P1188,$Y$1)</f>
        <v>24</v>
      </c>
      <c r="Z1188" s="14">
        <v>1</v>
      </c>
      <c r="AA1188" s="1" t="str">
        <f t="shared" ca="1" si="90"/>
        <v>A VENCER</v>
      </c>
      <c r="AB1188" s="1" t="str">
        <f t="shared" si="91"/>
        <v>Dosa</v>
      </c>
      <c r="AC1188" s="2" t="str">
        <f t="shared" si="92"/>
        <v xml:space="preserve"> CLEITON </v>
      </c>
      <c r="AD1188" s="2">
        <f t="shared" si="93"/>
        <v>5</v>
      </c>
      <c r="AE1188" s="2">
        <f t="shared" ca="1" si="94"/>
        <v>12.073728356481297</v>
      </c>
    </row>
    <row r="1189" spans="1:31" hidden="1">
      <c r="A1189" s="1">
        <v>9395577</v>
      </c>
      <c r="B1189" s="1" t="s">
        <v>1153</v>
      </c>
      <c r="C1189" t="s">
        <v>2019</v>
      </c>
      <c r="D1189" s="2">
        <v>20234844000256</v>
      </c>
      <c r="E1189" s="2">
        <v>7419151140206</v>
      </c>
      <c r="F1189" s="1" t="s">
        <v>2058</v>
      </c>
      <c r="G1189" s="1" t="s">
        <v>53</v>
      </c>
      <c r="H1189" s="1" t="s">
        <v>2059</v>
      </c>
      <c r="I1189" s="1" t="s">
        <v>2060</v>
      </c>
      <c r="J1189" s="1" t="s">
        <v>46</v>
      </c>
      <c r="K1189" t="s">
        <v>2061</v>
      </c>
      <c r="M1189" s="1" t="s">
        <v>58</v>
      </c>
      <c r="N1189" s="1">
        <v>0</v>
      </c>
      <c r="O1189" s="1" t="s">
        <v>36</v>
      </c>
      <c r="P1189" s="11" t="s">
        <v>2062</v>
      </c>
      <c r="R1189" s="1">
        <v>13</v>
      </c>
      <c r="T1189" s="1" t="s">
        <v>238</v>
      </c>
      <c r="U1189" s="186">
        <v>44953.430891203701</v>
      </c>
      <c r="V1189" s="1" t="s">
        <v>41</v>
      </c>
      <c r="W1189" s="1" t="s">
        <v>49</v>
      </c>
      <c r="X1189" s="13" t="str">
        <f>IF(RIGHT(H1189,2)&lt;&gt;"00",H1189,"")</f>
        <v>4844.35</v>
      </c>
      <c r="Y1189" s="2">
        <f ca="1">NETWORKDAYS(P1189,$Y$1)</f>
        <v>24</v>
      </c>
      <c r="Z1189" s="14">
        <v>1</v>
      </c>
      <c r="AA1189" s="1" t="str">
        <f t="shared" ca="1" si="90"/>
        <v>VENCIDO</v>
      </c>
      <c r="AB1189" s="1" t="str">
        <f t="shared" si="91"/>
        <v>TAAe+</v>
      </c>
      <c r="AC1189" s="2" t="str">
        <f t="shared" si="92"/>
        <v xml:space="preserve"> CLEITON </v>
      </c>
      <c r="AD1189" s="2">
        <f t="shared" si="93"/>
        <v>8</v>
      </c>
      <c r="AE1189" s="2">
        <f t="shared" ca="1" si="94"/>
        <v>-33.245380439817382</v>
      </c>
    </row>
    <row r="1190" spans="1:31" hidden="1">
      <c r="A1190" s="1">
        <v>9395035</v>
      </c>
      <c r="B1190" s="1" t="s">
        <v>81</v>
      </c>
      <c r="C1190" t="s">
        <v>2063</v>
      </c>
      <c r="E1190" s="2">
        <v>7417163050344</v>
      </c>
      <c r="F1190" s="1" t="s">
        <v>1741</v>
      </c>
      <c r="G1190" s="1" t="s">
        <v>53</v>
      </c>
      <c r="H1190" s="1" t="s">
        <v>2064</v>
      </c>
      <c r="I1190" s="1" t="s">
        <v>2065</v>
      </c>
      <c r="J1190" s="1" t="s">
        <v>46</v>
      </c>
      <c r="K1190" t="s">
        <v>1744</v>
      </c>
      <c r="M1190" s="1" t="s">
        <v>58</v>
      </c>
      <c r="N1190" s="1">
        <v>0</v>
      </c>
      <c r="O1190" s="1" t="s">
        <v>105</v>
      </c>
      <c r="P1190" s="11" t="s">
        <v>2066</v>
      </c>
      <c r="R1190" s="1">
        <v>14</v>
      </c>
      <c r="T1190" s="1" t="s">
        <v>238</v>
      </c>
      <c r="U1190" s="186">
        <v>44954.365763888891</v>
      </c>
      <c r="V1190" s="1" t="s">
        <v>41</v>
      </c>
      <c r="W1190" s="1" t="s">
        <v>49</v>
      </c>
      <c r="X1190" s="13" t="str">
        <f>IF(RIGHT(H1190,2)&lt;&gt;"00",H1190,"")</f>
        <v>2473.91</v>
      </c>
      <c r="Y1190" s="2">
        <f ca="1">NETWORKDAYS(P1190,$Y$1)</f>
        <v>24</v>
      </c>
      <c r="Z1190" s="14">
        <v>1</v>
      </c>
      <c r="AA1190" s="1" t="str">
        <f t="shared" ca="1" si="90"/>
        <v>VENCIDO</v>
      </c>
      <c r="AB1190" s="1" t="str">
        <f t="shared" si="91"/>
        <v>TAAe+</v>
      </c>
      <c r="AC1190" s="2" t="str">
        <f t="shared" si="92"/>
        <v xml:space="preserve"> CLEITON </v>
      </c>
      <c r="AD1190" s="2">
        <f t="shared" si="93"/>
        <v>8</v>
      </c>
      <c r="AE1190" s="2">
        <f t="shared" ca="1" si="94"/>
        <v>-32.310507754627906</v>
      </c>
    </row>
    <row r="1191" spans="1:31" hidden="1">
      <c r="A1191" s="1">
        <v>9409622</v>
      </c>
      <c r="B1191" s="1" t="s">
        <v>1153</v>
      </c>
      <c r="C1191" t="s">
        <v>2068</v>
      </c>
      <c r="E1191" s="2">
        <v>1902016019600</v>
      </c>
      <c r="F1191" s="1" t="s">
        <v>64</v>
      </c>
      <c r="G1191" s="1" t="s">
        <v>53</v>
      </c>
      <c r="H1191" s="1" t="s">
        <v>1060</v>
      </c>
      <c r="I1191" s="1" t="s">
        <v>1061</v>
      </c>
      <c r="J1191" s="1" t="s">
        <v>79</v>
      </c>
      <c r="K1191" t="s">
        <v>67</v>
      </c>
      <c r="M1191" s="1" t="s">
        <v>35</v>
      </c>
      <c r="N1191" s="1">
        <v>42318949</v>
      </c>
      <c r="O1191" s="1" t="s">
        <v>36</v>
      </c>
      <c r="P1191" s="11" t="s">
        <v>3039</v>
      </c>
      <c r="R1191" s="1" t="s">
        <v>571</v>
      </c>
      <c r="T1191" s="1" t="s">
        <v>69</v>
      </c>
      <c r="U1191" s="186">
        <v>44965.458333333336</v>
      </c>
      <c r="V1191" s="1" t="s">
        <v>41</v>
      </c>
      <c r="W1191" s="1" t="s">
        <v>49</v>
      </c>
      <c r="X1191" s="13" t="str">
        <f>IF(RIGHT(H1191,2)&lt;&gt;"00",H1191,"")</f>
        <v/>
      </c>
      <c r="Y1191" s="2">
        <f ca="1">NETWORKDAYS(P1191,$Y$1)</f>
        <v>23</v>
      </c>
      <c r="Z1191" s="14">
        <v>1</v>
      </c>
      <c r="AA1191" s="1" t="str">
        <f t="shared" ca="1" si="90"/>
        <v>VENCIDO</v>
      </c>
      <c r="AB1191" s="1" t="str">
        <f t="shared" si="91"/>
        <v>TAAe+</v>
      </c>
      <c r="AC1191" s="2" t="str">
        <f t="shared" si="92"/>
        <v xml:space="preserve"> ROSEMERE </v>
      </c>
      <c r="AD1191" s="2">
        <f t="shared" si="93"/>
        <v>8</v>
      </c>
      <c r="AE1191" s="2">
        <f t="shared" ca="1" si="94"/>
        <v>-21.217938310182944</v>
      </c>
    </row>
    <row r="1192" spans="1:31">
      <c r="A1192" s="181">
        <v>9413534</v>
      </c>
      <c r="B1192" s="181" t="s">
        <v>1153</v>
      </c>
      <c r="C1192" s="182" t="s">
        <v>3626</v>
      </c>
      <c r="D1192" s="183">
        <v>20231162000004</v>
      </c>
      <c r="E1192" s="183">
        <v>7417211830409</v>
      </c>
      <c r="F1192" s="181" t="s">
        <v>1936</v>
      </c>
      <c r="G1192" s="181" t="s">
        <v>53</v>
      </c>
      <c r="H1192" s="181" t="s">
        <v>2077</v>
      </c>
      <c r="I1192" s="181" t="s">
        <v>2078</v>
      </c>
      <c r="J1192" s="181" t="s">
        <v>211</v>
      </c>
      <c r="K1192" t="s">
        <v>1939</v>
      </c>
      <c r="M1192" s="1" t="s">
        <v>58</v>
      </c>
      <c r="N1192" s="1">
        <v>0</v>
      </c>
      <c r="O1192" s="1" t="s">
        <v>36</v>
      </c>
      <c r="P1192" s="11" t="s">
        <v>3043</v>
      </c>
      <c r="R1192" s="1">
        <v>14</v>
      </c>
      <c r="T1192" s="1" t="s">
        <v>238</v>
      </c>
      <c r="U1192" s="186">
        <v>44957.581342592595</v>
      </c>
      <c r="V1192" s="1" t="s">
        <v>41</v>
      </c>
      <c r="W1192" s="1" t="s">
        <v>49</v>
      </c>
      <c r="X1192" s="13" t="str">
        <f>IF(RIGHT(H1192,2)&lt;&gt;"00",H1192,"")</f>
        <v>1162.91</v>
      </c>
      <c r="Y1192" s="2">
        <f ca="1">NETWORKDAYS(P1192,$Y$1)</f>
        <v>22</v>
      </c>
      <c r="Z1192" s="14">
        <v>1</v>
      </c>
      <c r="AA1192" s="1" t="str">
        <f t="shared" ca="1" si="90"/>
        <v>VENCIDO</v>
      </c>
      <c r="AB1192" s="1" t="str">
        <f t="shared" si="91"/>
        <v>TAAe+</v>
      </c>
      <c r="AC1192" s="2" t="str">
        <f t="shared" si="92"/>
        <v xml:space="preserve"> RINALDO </v>
      </c>
      <c r="AD1192" s="2">
        <f t="shared" si="93"/>
        <v>8</v>
      </c>
      <c r="AE1192" s="2">
        <f t="shared" ca="1" si="94"/>
        <v>-29.094929050923383</v>
      </c>
    </row>
    <row r="1193" spans="1:31" hidden="1">
      <c r="A1193" s="1">
        <v>9413399</v>
      </c>
      <c r="B1193" s="1" t="s">
        <v>1153</v>
      </c>
      <c r="C1193" t="s">
        <v>2079</v>
      </c>
      <c r="D1193" s="2">
        <v>230015482</v>
      </c>
      <c r="E1193" s="2">
        <v>232001400010</v>
      </c>
      <c r="F1193" s="1" t="s">
        <v>936</v>
      </c>
      <c r="G1193" s="1" t="s">
        <v>53</v>
      </c>
      <c r="H1193" s="1" t="s">
        <v>1363</v>
      </c>
      <c r="I1193" s="1" t="s">
        <v>1364</v>
      </c>
      <c r="J1193" s="1" t="s">
        <v>141</v>
      </c>
      <c r="K1193" t="s">
        <v>937</v>
      </c>
      <c r="M1193" s="1" t="s">
        <v>58</v>
      </c>
      <c r="N1193" s="1">
        <v>0</v>
      </c>
      <c r="O1193" s="1" t="s">
        <v>36</v>
      </c>
      <c r="P1193" s="11" t="s">
        <v>2080</v>
      </c>
      <c r="R1193" s="1">
        <v>3</v>
      </c>
      <c r="T1193" s="1" t="s">
        <v>646</v>
      </c>
      <c r="U1193" s="186">
        <v>44984.708333333336</v>
      </c>
      <c r="V1193" s="1" t="s">
        <v>41</v>
      </c>
      <c r="W1193" s="1" t="s">
        <v>49</v>
      </c>
      <c r="X1193" s="13" t="str">
        <f>IF(RIGHT(H1193,2)&lt;&gt;"00",H1193,"")</f>
        <v/>
      </c>
      <c r="Y1193" s="2">
        <f ca="1">NETWORKDAYS(P1193,$Y$1)</f>
        <v>22</v>
      </c>
      <c r="Z1193" s="14">
        <v>1</v>
      </c>
      <c r="AA1193" s="1" t="str">
        <f t="shared" ca="1" si="90"/>
        <v>VENCIDO</v>
      </c>
      <c r="AB1193" s="1" t="str">
        <f t="shared" si="91"/>
        <v>C-14</v>
      </c>
      <c r="AC1193" s="2" t="str">
        <f t="shared" si="92"/>
        <v xml:space="preserve"> CRISTINA </v>
      </c>
      <c r="AD1193" s="2">
        <f t="shared" si="93"/>
        <v>5</v>
      </c>
      <c r="AE1193" s="2">
        <f t="shared" ca="1" si="94"/>
        <v>-1.9679383101829444</v>
      </c>
    </row>
    <row r="1194" spans="1:31" hidden="1">
      <c r="A1194" s="1">
        <v>9412308</v>
      </c>
      <c r="B1194" s="1" t="s">
        <v>1153</v>
      </c>
      <c r="C1194" t="s">
        <v>2095</v>
      </c>
      <c r="D1194" s="2">
        <v>230015317</v>
      </c>
      <c r="E1194" s="2">
        <v>2365001400030</v>
      </c>
      <c r="F1194" s="1" t="s">
        <v>647</v>
      </c>
      <c r="G1194" s="1" t="s">
        <v>53</v>
      </c>
      <c r="H1194" s="1" t="s">
        <v>159</v>
      </c>
      <c r="I1194" s="1" t="s">
        <v>160</v>
      </c>
      <c r="J1194" s="1" t="s">
        <v>46</v>
      </c>
      <c r="K1194" t="s">
        <v>650</v>
      </c>
      <c r="M1194" s="1" t="s">
        <v>58</v>
      </c>
      <c r="N1194" s="1">
        <v>0</v>
      </c>
      <c r="O1194" s="1" t="s">
        <v>36</v>
      </c>
      <c r="P1194" s="11" t="s">
        <v>3046</v>
      </c>
      <c r="R1194" s="1">
        <v>4</v>
      </c>
      <c r="T1194" s="1" t="s">
        <v>646</v>
      </c>
      <c r="U1194" s="186">
        <v>44965.645833333336</v>
      </c>
      <c r="V1194" s="1" t="s">
        <v>41</v>
      </c>
      <c r="W1194" s="1" t="s">
        <v>49</v>
      </c>
      <c r="X1194" s="13" t="str">
        <f>IF(RIGHT(H1194,2)&lt;&gt;"00",H1194,"")</f>
        <v/>
      </c>
      <c r="Y1194" s="2">
        <f ca="1">NETWORKDAYS(P1194,$Y$1)</f>
        <v>22</v>
      </c>
      <c r="Z1194" s="14">
        <v>1</v>
      </c>
      <c r="AA1194" s="1" t="str">
        <f t="shared" ca="1" si="90"/>
        <v>VENCIDO</v>
      </c>
      <c r="AB1194" s="1" t="str">
        <f t="shared" si="91"/>
        <v>C-14</v>
      </c>
      <c r="AC1194" s="2" t="str">
        <f t="shared" si="92"/>
        <v xml:space="preserve"> CLEITON </v>
      </c>
      <c r="AD1194" s="2">
        <f t="shared" si="93"/>
        <v>15</v>
      </c>
      <c r="AE1194" s="2">
        <f t="shared" ca="1" si="94"/>
        <v>-21.030438310182944</v>
      </c>
    </row>
    <row r="1195" spans="1:31" hidden="1">
      <c r="A1195" s="1">
        <v>9423924</v>
      </c>
      <c r="B1195" s="1" t="s">
        <v>101</v>
      </c>
      <c r="C1195" t="s">
        <v>643</v>
      </c>
      <c r="D1195" s="2">
        <v>230021340</v>
      </c>
      <c r="E1195" s="2">
        <v>1764001400040</v>
      </c>
      <c r="F1195" s="1" t="s">
        <v>644</v>
      </c>
      <c r="G1195" s="1" t="s">
        <v>53</v>
      </c>
      <c r="H1195" s="1" t="s">
        <v>722</v>
      </c>
      <c r="I1195" s="1" t="s">
        <v>723</v>
      </c>
      <c r="J1195" s="1" t="s">
        <v>90</v>
      </c>
      <c r="K1195" t="s">
        <v>645</v>
      </c>
      <c r="M1195" s="1" t="s">
        <v>58</v>
      </c>
      <c r="N1195" s="1">
        <v>0</v>
      </c>
      <c r="O1195" s="1" t="s">
        <v>105</v>
      </c>
      <c r="P1195" s="11" t="s">
        <v>2098</v>
      </c>
      <c r="R1195" s="1">
        <v>2</v>
      </c>
      <c r="T1195" s="1" t="s">
        <v>646</v>
      </c>
      <c r="U1195" s="11" t="s">
        <v>2099</v>
      </c>
      <c r="V1195" s="1" t="s">
        <v>41</v>
      </c>
      <c r="W1195" s="1" t="s">
        <v>49</v>
      </c>
      <c r="X1195" s="13" t="str">
        <f>IF(RIGHT(H1195,2)&lt;&gt;"00",H1195,"")</f>
        <v/>
      </c>
      <c r="Y1195" s="2">
        <f ca="1">NETWORKDAYS(P1195,$Y$1)</f>
        <v>21</v>
      </c>
      <c r="Z1195" s="14">
        <v>1</v>
      </c>
      <c r="AA1195" s="1" t="str">
        <f t="shared" ca="1" si="90"/>
        <v>VENCIDO</v>
      </c>
      <c r="AB1195" s="1" t="str">
        <f t="shared" si="91"/>
        <v>SL-On</v>
      </c>
      <c r="AC1195" s="2" t="str">
        <f t="shared" si="92"/>
        <v xml:space="preserve"> RINALDO </v>
      </c>
      <c r="AD1195" s="2">
        <f t="shared" si="93"/>
        <v>1</v>
      </c>
      <c r="AE1195" s="2">
        <f t="shared" ca="1" si="94"/>
        <v>-26.9368387731447</v>
      </c>
    </row>
    <row r="1196" spans="1:31" hidden="1">
      <c r="A1196" s="1">
        <v>9423767</v>
      </c>
      <c r="B1196" s="1" t="s">
        <v>101</v>
      </c>
      <c r="C1196" t="s">
        <v>643</v>
      </c>
      <c r="D1196" s="2">
        <v>230020919</v>
      </c>
      <c r="E1196" s="2">
        <v>711001400040</v>
      </c>
      <c r="F1196" s="1" t="s">
        <v>644</v>
      </c>
      <c r="G1196" s="1" t="s">
        <v>53</v>
      </c>
      <c r="H1196" s="1" t="s">
        <v>77</v>
      </c>
      <c r="I1196" s="1" t="s">
        <v>78</v>
      </c>
      <c r="J1196" s="1" t="s">
        <v>79</v>
      </c>
      <c r="K1196" t="s">
        <v>645</v>
      </c>
      <c r="M1196" s="1" t="s">
        <v>58</v>
      </c>
      <c r="N1196" s="1">
        <v>0</v>
      </c>
      <c r="O1196" s="1" t="s">
        <v>105</v>
      </c>
      <c r="P1196" s="11" t="s">
        <v>2101</v>
      </c>
      <c r="R1196" s="1">
        <v>2</v>
      </c>
      <c r="T1196" s="1" t="s">
        <v>646</v>
      </c>
      <c r="U1196" s="186">
        <v>44959.728564814817</v>
      </c>
      <c r="V1196" s="1" t="s">
        <v>41</v>
      </c>
      <c r="W1196" s="1" t="s">
        <v>49</v>
      </c>
      <c r="X1196" s="13" t="str">
        <f>IF(RIGHT(H1196,2)&lt;&gt;"00",H1196,"")</f>
        <v/>
      </c>
      <c r="Y1196" s="2">
        <f ca="1">NETWORKDAYS(P1196,$Y$1)</f>
        <v>21</v>
      </c>
      <c r="Z1196" s="14">
        <v>1</v>
      </c>
      <c r="AA1196" s="1" t="str">
        <f t="shared" ca="1" si="90"/>
        <v>VENCIDO</v>
      </c>
      <c r="AB1196" s="1" t="str">
        <f t="shared" si="91"/>
        <v>SL-On</v>
      </c>
      <c r="AC1196" s="2" t="str">
        <f t="shared" si="92"/>
        <v xml:space="preserve"> ROSEMERE </v>
      </c>
      <c r="AD1196" s="2">
        <f t="shared" si="93"/>
        <v>1</v>
      </c>
      <c r="AE1196" s="2">
        <f t="shared" ca="1" si="94"/>
        <v>-26.947706828701484</v>
      </c>
    </row>
    <row r="1197" spans="1:31" hidden="1">
      <c r="A1197" s="1">
        <v>9423601</v>
      </c>
      <c r="B1197" s="1" t="s">
        <v>101</v>
      </c>
      <c r="C1197" t="s">
        <v>643</v>
      </c>
      <c r="D1197" s="2">
        <v>230020893</v>
      </c>
      <c r="E1197" s="2">
        <v>605001400040</v>
      </c>
      <c r="F1197" s="1" t="s">
        <v>644</v>
      </c>
      <c r="G1197" s="1" t="s">
        <v>53</v>
      </c>
      <c r="H1197" s="1" t="s">
        <v>420</v>
      </c>
      <c r="I1197" s="1" t="s">
        <v>421</v>
      </c>
      <c r="J1197" s="1" t="s">
        <v>90</v>
      </c>
      <c r="K1197" t="s">
        <v>645</v>
      </c>
      <c r="M1197" s="1" t="s">
        <v>58</v>
      </c>
      <c r="N1197" s="1">
        <v>0</v>
      </c>
      <c r="O1197" s="1" t="s">
        <v>105</v>
      </c>
      <c r="P1197" s="11" t="s">
        <v>2103</v>
      </c>
      <c r="R1197" s="1">
        <v>3</v>
      </c>
      <c r="T1197" s="1" t="s">
        <v>646</v>
      </c>
      <c r="U1197" s="186">
        <v>44959.722256944442</v>
      </c>
      <c r="V1197" s="1" t="s">
        <v>41</v>
      </c>
      <c r="W1197" s="1" t="s">
        <v>49</v>
      </c>
      <c r="X1197" s="13" t="str">
        <f>IF(RIGHT(H1197,2)&lt;&gt;"00",H1197,"")</f>
        <v/>
      </c>
      <c r="Y1197" s="2">
        <f ca="1">NETWORKDAYS(P1197,$Y$1)</f>
        <v>21</v>
      </c>
      <c r="Z1197" s="14">
        <v>1</v>
      </c>
      <c r="AA1197" s="1" t="str">
        <f t="shared" ca="1" si="90"/>
        <v>VENCIDO</v>
      </c>
      <c r="AB1197" s="1" t="str">
        <f t="shared" si="91"/>
        <v>SL-On</v>
      </c>
      <c r="AC1197" s="2" t="str">
        <f t="shared" si="92"/>
        <v xml:space="preserve"> RINALDO </v>
      </c>
      <c r="AD1197" s="2">
        <f t="shared" si="93"/>
        <v>1</v>
      </c>
      <c r="AE1197" s="2">
        <f t="shared" ca="1" si="94"/>
        <v>-26.954014699076652</v>
      </c>
    </row>
    <row r="1198" spans="1:31" hidden="1">
      <c r="A1198" s="1">
        <v>9423596</v>
      </c>
      <c r="B1198" s="1" t="s">
        <v>101</v>
      </c>
      <c r="C1198" t="s">
        <v>643</v>
      </c>
      <c r="D1198" s="2">
        <v>230020890</v>
      </c>
      <c r="E1198" s="2">
        <v>600001400040</v>
      </c>
      <c r="F1198" s="1" t="s">
        <v>644</v>
      </c>
      <c r="G1198" s="1" t="s">
        <v>53</v>
      </c>
      <c r="H1198" s="1" t="s">
        <v>1084</v>
      </c>
      <c r="I1198" s="1" t="s">
        <v>1085</v>
      </c>
      <c r="J1198" s="1" t="s">
        <v>90</v>
      </c>
      <c r="K1198" t="s">
        <v>645</v>
      </c>
      <c r="M1198" s="1" t="s">
        <v>58</v>
      </c>
      <c r="N1198" s="1">
        <v>0</v>
      </c>
      <c r="O1198" s="1" t="s">
        <v>105</v>
      </c>
      <c r="P1198" s="11" t="s">
        <v>2105</v>
      </c>
      <c r="R1198" s="1">
        <v>2</v>
      </c>
      <c r="T1198" s="1" t="s">
        <v>646</v>
      </c>
      <c r="U1198" s="11" t="s">
        <v>3049</v>
      </c>
      <c r="V1198" s="1" t="s">
        <v>41</v>
      </c>
      <c r="W1198" s="1" t="s">
        <v>49</v>
      </c>
      <c r="X1198" s="13" t="str">
        <f>IF(RIGHT(H1198,2)&lt;&gt;"00",H1198,"")</f>
        <v/>
      </c>
      <c r="Y1198" s="2">
        <f ca="1">NETWORKDAYS(P1198,$Y$1)</f>
        <v>21</v>
      </c>
      <c r="Z1198" s="14">
        <v>1</v>
      </c>
      <c r="AA1198" s="1" t="str">
        <f t="shared" ca="1" si="90"/>
        <v>VENCIDO</v>
      </c>
      <c r="AB1198" s="1" t="str">
        <f t="shared" si="91"/>
        <v>SL-On</v>
      </c>
      <c r="AC1198" s="2" t="str">
        <f t="shared" si="92"/>
        <v xml:space="preserve"> RINALDO </v>
      </c>
      <c r="AD1198" s="2">
        <f t="shared" si="93"/>
        <v>1</v>
      </c>
      <c r="AE1198" s="2">
        <f t="shared" ca="1" si="94"/>
        <v>-26.954176736107911</v>
      </c>
    </row>
    <row r="1199" spans="1:31">
      <c r="A1199" s="181">
        <v>9423590</v>
      </c>
      <c r="B1199" s="181" t="s">
        <v>1153</v>
      </c>
      <c r="C1199" s="182" t="s">
        <v>2106</v>
      </c>
      <c r="D1199" s="183">
        <v>20231028000006</v>
      </c>
      <c r="E1199" s="183">
        <v>7417163283625</v>
      </c>
      <c r="F1199" s="181" t="s">
        <v>131</v>
      </c>
      <c r="G1199" s="181" t="s">
        <v>53</v>
      </c>
      <c r="H1199" s="181" t="s">
        <v>2107</v>
      </c>
      <c r="I1199" s="181" t="s">
        <v>2108</v>
      </c>
      <c r="J1199" s="181" t="s">
        <v>85</v>
      </c>
      <c r="K1199" t="s">
        <v>132</v>
      </c>
      <c r="M1199" s="1" t="s">
        <v>58</v>
      </c>
      <c r="N1199" s="1">
        <v>0</v>
      </c>
      <c r="O1199" s="1" t="s">
        <v>36</v>
      </c>
      <c r="P1199" s="11" t="s">
        <v>2109</v>
      </c>
      <c r="R1199" s="1">
        <v>14</v>
      </c>
      <c r="T1199" s="1" t="s">
        <v>238</v>
      </c>
      <c r="U1199" s="11" t="s">
        <v>2109</v>
      </c>
      <c r="V1199" s="1" t="s">
        <v>41</v>
      </c>
      <c r="W1199" s="1" t="s">
        <v>49</v>
      </c>
      <c r="X1199" s="13" t="str">
        <f>IF(RIGHT(H1199,2)&lt;&gt;"00",H1199,"")</f>
        <v>1028.91</v>
      </c>
      <c r="Y1199" s="2">
        <f ca="1">NETWORKDAYS(P1199,$Y$1)</f>
        <v>21</v>
      </c>
      <c r="Z1199" s="14">
        <v>1</v>
      </c>
      <c r="AA1199" s="1" t="str">
        <f t="shared" ca="1" si="90"/>
        <v>VENCIDO</v>
      </c>
      <c r="AB1199" s="1" t="str">
        <f t="shared" si="91"/>
        <v>TAAe+</v>
      </c>
      <c r="AC1199" s="2" t="str">
        <f t="shared" si="92"/>
        <v xml:space="preserve"> RINALDO </v>
      </c>
      <c r="AD1199" s="2">
        <f t="shared" si="93"/>
        <v>8</v>
      </c>
      <c r="AE1199" s="2">
        <f t="shared" ca="1" si="94"/>
        <v>-27.987185995370965</v>
      </c>
    </row>
    <row r="1200" spans="1:31" hidden="1">
      <c r="A1200" s="1">
        <v>9423511</v>
      </c>
      <c r="B1200" s="1" t="s">
        <v>1153</v>
      </c>
      <c r="C1200" t="s">
        <v>2110</v>
      </c>
      <c r="D1200" s="2">
        <v>230022801</v>
      </c>
      <c r="E1200" s="2">
        <v>3250001400030</v>
      </c>
      <c r="F1200" s="1" t="s">
        <v>647</v>
      </c>
      <c r="G1200" s="1" t="s">
        <v>53</v>
      </c>
      <c r="H1200" s="1" t="s">
        <v>371</v>
      </c>
      <c r="I1200" s="1" t="s">
        <v>372</v>
      </c>
      <c r="J1200" s="1" t="s">
        <v>46</v>
      </c>
      <c r="K1200" t="s">
        <v>650</v>
      </c>
      <c r="M1200" s="1" t="s">
        <v>58</v>
      </c>
      <c r="N1200" s="1">
        <v>0</v>
      </c>
      <c r="O1200" s="1" t="s">
        <v>36</v>
      </c>
      <c r="P1200" s="11" t="s">
        <v>2111</v>
      </c>
      <c r="R1200" s="1">
        <v>4</v>
      </c>
      <c r="T1200" s="1" t="s">
        <v>646</v>
      </c>
      <c r="U1200" s="11" t="s">
        <v>2112</v>
      </c>
      <c r="V1200" s="1" t="s">
        <v>41</v>
      </c>
      <c r="W1200" s="1" t="s">
        <v>49</v>
      </c>
      <c r="X1200" s="13" t="str">
        <f>IF(RIGHT(H1200,2)&lt;&gt;"00",H1200,"")</f>
        <v/>
      </c>
      <c r="Y1200" s="2">
        <f ca="1">NETWORKDAYS(P1200,$Y$1)</f>
        <v>21</v>
      </c>
      <c r="Z1200" s="14">
        <v>1</v>
      </c>
      <c r="AA1200" s="1" t="str">
        <f t="shared" ca="1" si="90"/>
        <v>VENCIDO</v>
      </c>
      <c r="AB1200" s="1" t="str">
        <f t="shared" si="91"/>
        <v>C-14</v>
      </c>
      <c r="AC1200" s="2" t="str">
        <f t="shared" si="92"/>
        <v xml:space="preserve"> CLEITON </v>
      </c>
      <c r="AD1200" s="2">
        <f t="shared" si="93"/>
        <v>15</v>
      </c>
      <c r="AE1200" s="2">
        <f t="shared" ca="1" si="94"/>
        <v>-26.936861921298259</v>
      </c>
    </row>
    <row r="1201" spans="1:31" hidden="1">
      <c r="A1201" s="1">
        <v>9423443</v>
      </c>
      <c r="B1201" s="1" t="s">
        <v>101</v>
      </c>
      <c r="C1201" t="s">
        <v>643</v>
      </c>
      <c r="D1201" s="2">
        <v>230021326</v>
      </c>
      <c r="E1201" s="2">
        <v>1739001400040</v>
      </c>
      <c r="F1201" s="1" t="s">
        <v>644</v>
      </c>
      <c r="G1201" s="1" t="s">
        <v>53</v>
      </c>
      <c r="H1201" s="1" t="s">
        <v>162</v>
      </c>
      <c r="I1201" s="1" t="s">
        <v>163</v>
      </c>
      <c r="J1201" s="1" t="s">
        <v>164</v>
      </c>
      <c r="K1201" t="s">
        <v>645</v>
      </c>
      <c r="M1201" s="1" t="s">
        <v>58</v>
      </c>
      <c r="N1201" s="1">
        <v>0</v>
      </c>
      <c r="O1201" s="1" t="s">
        <v>105</v>
      </c>
      <c r="P1201" s="11" t="s">
        <v>2113</v>
      </c>
      <c r="R1201" s="1">
        <v>3</v>
      </c>
      <c r="T1201" s="1" t="s">
        <v>646</v>
      </c>
      <c r="U1201" s="11" t="s">
        <v>2114</v>
      </c>
      <c r="V1201" s="1" t="s">
        <v>41</v>
      </c>
      <c r="W1201" s="1" t="s">
        <v>49</v>
      </c>
      <c r="X1201" s="13" t="str">
        <f>IF(RIGHT(H1201,2)&lt;&gt;"00",H1201,"")</f>
        <v/>
      </c>
      <c r="Y1201" s="2">
        <f ca="1">NETWORKDAYS(P1201,$Y$1)</f>
        <v>21</v>
      </c>
      <c r="Z1201" s="14">
        <v>1</v>
      </c>
      <c r="AA1201" s="1" t="str">
        <f t="shared" ca="1" si="90"/>
        <v>VENCIDO</v>
      </c>
      <c r="AB1201" s="1" t="str">
        <f t="shared" si="91"/>
        <v>SL-On</v>
      </c>
      <c r="AC1201" s="2" t="str">
        <f t="shared" si="92"/>
        <v xml:space="preserve"> ROSEMERE </v>
      </c>
      <c r="AD1201" s="2">
        <f t="shared" si="93"/>
        <v>1</v>
      </c>
      <c r="AE1201" s="2">
        <f t="shared" ca="1" si="94"/>
        <v>-26.96159571759199</v>
      </c>
    </row>
    <row r="1202" spans="1:31" hidden="1">
      <c r="A1202" s="1">
        <v>9423416</v>
      </c>
      <c r="B1202" s="1" t="s">
        <v>101</v>
      </c>
      <c r="C1202" t="s">
        <v>643</v>
      </c>
      <c r="D1202" s="2">
        <v>230021315</v>
      </c>
      <c r="E1202" s="2">
        <v>1710001400040</v>
      </c>
      <c r="F1202" s="1" t="s">
        <v>644</v>
      </c>
      <c r="G1202" s="1" t="s">
        <v>53</v>
      </c>
      <c r="H1202" s="1" t="s">
        <v>327</v>
      </c>
      <c r="I1202" s="1" t="s">
        <v>328</v>
      </c>
      <c r="J1202" s="1" t="s">
        <v>261</v>
      </c>
      <c r="K1202" t="s">
        <v>645</v>
      </c>
      <c r="M1202" s="1" t="s">
        <v>58</v>
      </c>
      <c r="N1202" s="1">
        <v>0</v>
      </c>
      <c r="O1202" s="1" t="s">
        <v>105</v>
      </c>
      <c r="P1202" s="11" t="s">
        <v>2115</v>
      </c>
      <c r="R1202" s="1">
        <v>2</v>
      </c>
      <c r="T1202" s="1" t="s">
        <v>646</v>
      </c>
      <c r="U1202" s="11" t="s">
        <v>2116</v>
      </c>
      <c r="V1202" s="1" t="s">
        <v>41</v>
      </c>
      <c r="W1202" s="1" t="s">
        <v>49</v>
      </c>
      <c r="X1202" s="13" t="str">
        <f>IF(RIGHT(H1202,2)&lt;&gt;"00",H1202,"")</f>
        <v/>
      </c>
      <c r="Y1202" s="2">
        <f ca="1">NETWORKDAYS(P1202,$Y$1)</f>
        <v>21</v>
      </c>
      <c r="Z1202" s="14">
        <v>1</v>
      </c>
      <c r="AA1202" s="1" t="str">
        <f t="shared" ca="1" si="90"/>
        <v>VENCIDO</v>
      </c>
      <c r="AB1202" s="1" t="str">
        <f t="shared" si="91"/>
        <v>SL-On</v>
      </c>
      <c r="AC1202" s="2" t="str">
        <f t="shared" si="92"/>
        <v xml:space="preserve"> CRISTINA </v>
      </c>
      <c r="AD1202" s="2">
        <f t="shared" si="93"/>
        <v>1</v>
      </c>
      <c r="AE1202" s="2">
        <f t="shared" ca="1" si="94"/>
        <v>-26.962949884262343</v>
      </c>
    </row>
    <row r="1203" spans="1:31" hidden="1">
      <c r="A1203" s="1">
        <v>9423359</v>
      </c>
      <c r="B1203" s="1" t="s">
        <v>101</v>
      </c>
      <c r="C1203" t="s">
        <v>643</v>
      </c>
      <c r="D1203" s="2">
        <v>230021290</v>
      </c>
      <c r="E1203" s="2">
        <v>1650001400040</v>
      </c>
      <c r="F1203" s="1" t="s">
        <v>644</v>
      </c>
      <c r="G1203" s="1" t="s">
        <v>53</v>
      </c>
      <c r="H1203" s="1" t="s">
        <v>620</v>
      </c>
      <c r="I1203" s="1" t="s">
        <v>621</v>
      </c>
      <c r="J1203" s="1" t="s">
        <v>141</v>
      </c>
      <c r="K1203" t="s">
        <v>645</v>
      </c>
      <c r="M1203" s="1" t="s">
        <v>58</v>
      </c>
      <c r="N1203" s="1">
        <v>0</v>
      </c>
      <c r="O1203" s="1" t="s">
        <v>105</v>
      </c>
      <c r="P1203" s="11" t="s">
        <v>2120</v>
      </c>
      <c r="R1203" s="1">
        <v>2</v>
      </c>
      <c r="T1203" s="1" t="s">
        <v>646</v>
      </c>
      <c r="U1203" s="11" t="s">
        <v>2121</v>
      </c>
      <c r="V1203" s="1" t="s">
        <v>41</v>
      </c>
      <c r="W1203" s="1" t="s">
        <v>49</v>
      </c>
      <c r="X1203" s="13" t="str">
        <f>IF(RIGHT(H1203,2)&lt;&gt;"00",H1203,"")</f>
        <v/>
      </c>
      <c r="Y1203" s="2">
        <f ca="1">NETWORKDAYS(P1203,$Y$1)</f>
        <v>21</v>
      </c>
      <c r="Z1203" s="14">
        <v>1</v>
      </c>
      <c r="AA1203" s="1" t="str">
        <f t="shared" ca="1" si="90"/>
        <v>VENCIDO</v>
      </c>
      <c r="AB1203" s="1" t="str">
        <f t="shared" si="91"/>
        <v>SL-On</v>
      </c>
      <c r="AC1203" s="2" t="str">
        <f t="shared" si="92"/>
        <v xml:space="preserve"> CRISTINA </v>
      </c>
      <c r="AD1203" s="2">
        <f t="shared" si="93"/>
        <v>1</v>
      </c>
      <c r="AE1203" s="2">
        <f t="shared" ca="1" si="94"/>
        <v>-26.96620219907345</v>
      </c>
    </row>
    <row r="1204" spans="1:31" hidden="1">
      <c r="A1204" s="1">
        <v>9422866</v>
      </c>
      <c r="B1204" s="1" t="s">
        <v>101</v>
      </c>
      <c r="C1204" t="s">
        <v>643</v>
      </c>
      <c r="D1204" s="2">
        <v>230019683</v>
      </c>
      <c r="E1204" s="2">
        <v>2069001400030</v>
      </c>
      <c r="F1204" s="1" t="s">
        <v>647</v>
      </c>
      <c r="G1204" s="1" t="s">
        <v>53</v>
      </c>
      <c r="H1204" s="1" t="s">
        <v>557</v>
      </c>
      <c r="I1204" s="1" t="s">
        <v>558</v>
      </c>
      <c r="J1204" s="1" t="s">
        <v>90</v>
      </c>
      <c r="K1204" t="s">
        <v>650</v>
      </c>
      <c r="M1204" s="1" t="s">
        <v>58</v>
      </c>
      <c r="N1204" s="1">
        <v>0</v>
      </c>
      <c r="O1204" s="1" t="s">
        <v>105</v>
      </c>
      <c r="P1204" s="11" t="s">
        <v>2128</v>
      </c>
      <c r="R1204" s="1">
        <v>4</v>
      </c>
      <c r="T1204" s="1" t="s">
        <v>646</v>
      </c>
      <c r="U1204" s="11" t="s">
        <v>2129</v>
      </c>
      <c r="V1204" s="1" t="s">
        <v>41</v>
      </c>
      <c r="W1204" s="1" t="s">
        <v>49</v>
      </c>
      <c r="X1204" s="13" t="str">
        <f>IF(RIGHT(H1204,2)&lt;&gt;"00",H1204,"")</f>
        <v/>
      </c>
      <c r="Y1204" s="2">
        <f ca="1">NETWORKDAYS(P1204,$Y$1)</f>
        <v>21</v>
      </c>
      <c r="Z1204" s="14">
        <v>1</v>
      </c>
      <c r="AA1204" s="1" t="str">
        <f t="shared" ca="1" si="90"/>
        <v>VENCIDO</v>
      </c>
      <c r="AB1204" s="1" t="str">
        <f t="shared" si="91"/>
        <v>C-14</v>
      </c>
      <c r="AC1204" s="2" t="str">
        <f t="shared" si="92"/>
        <v xml:space="preserve"> RINALDO </v>
      </c>
      <c r="AD1204" s="2">
        <f t="shared" si="93"/>
        <v>15</v>
      </c>
      <c r="AE1204" s="2">
        <f t="shared" ca="1" si="94"/>
        <v>-26.993621180554328</v>
      </c>
    </row>
    <row r="1205" spans="1:31" hidden="1">
      <c r="A1205" s="1">
        <v>9422511</v>
      </c>
      <c r="B1205" s="1" t="s">
        <v>101</v>
      </c>
      <c r="C1205" t="s">
        <v>643</v>
      </c>
      <c r="D1205" s="2">
        <v>230019646</v>
      </c>
      <c r="E1205" s="2">
        <v>1838001400030</v>
      </c>
      <c r="F1205" s="1" t="s">
        <v>647</v>
      </c>
      <c r="G1205" s="1" t="s">
        <v>53</v>
      </c>
      <c r="H1205" s="1" t="s">
        <v>357</v>
      </c>
      <c r="I1205" s="1" t="s">
        <v>358</v>
      </c>
      <c r="J1205" s="1" t="s">
        <v>46</v>
      </c>
      <c r="K1205" t="s">
        <v>650</v>
      </c>
      <c r="M1205" s="1" t="s">
        <v>58</v>
      </c>
      <c r="N1205" s="1">
        <v>0</v>
      </c>
      <c r="O1205" s="1" t="s">
        <v>105</v>
      </c>
      <c r="P1205" s="11" t="s">
        <v>2134</v>
      </c>
      <c r="R1205" s="1">
        <v>4</v>
      </c>
      <c r="T1205" s="1" t="s">
        <v>646</v>
      </c>
      <c r="U1205" s="11" t="s">
        <v>2135</v>
      </c>
      <c r="V1205" s="1" t="s">
        <v>41</v>
      </c>
      <c r="W1205" s="1" t="s">
        <v>49</v>
      </c>
      <c r="X1205" s="13" t="str">
        <f>IF(RIGHT(H1205,2)&lt;&gt;"00",H1205,"")</f>
        <v/>
      </c>
      <c r="Y1205" s="2">
        <f ca="1">NETWORKDAYS(P1205,$Y$1)</f>
        <v>21</v>
      </c>
      <c r="Z1205" s="14">
        <v>1</v>
      </c>
      <c r="AA1205" s="1" t="str">
        <f t="shared" ca="1" si="90"/>
        <v>VENCIDO</v>
      </c>
      <c r="AB1205" s="1" t="str">
        <f t="shared" si="91"/>
        <v>C-14</v>
      </c>
      <c r="AC1205" s="2" t="str">
        <f t="shared" si="92"/>
        <v xml:space="preserve"> CLEITON </v>
      </c>
      <c r="AD1205" s="2">
        <f t="shared" si="93"/>
        <v>15</v>
      </c>
      <c r="AE1205" s="2">
        <f t="shared" ca="1" si="94"/>
        <v>-27.040773958331556</v>
      </c>
    </row>
    <row r="1206" spans="1:31" hidden="1">
      <c r="A1206" s="1">
        <v>9422510</v>
      </c>
      <c r="B1206" s="1" t="s">
        <v>101</v>
      </c>
      <c r="C1206" t="s">
        <v>643</v>
      </c>
      <c r="D1206" s="2">
        <v>230019645</v>
      </c>
      <c r="E1206" s="2">
        <v>1837001400030</v>
      </c>
      <c r="F1206" s="1" t="s">
        <v>647</v>
      </c>
      <c r="G1206" s="1" t="s">
        <v>53</v>
      </c>
      <c r="H1206" s="1" t="s">
        <v>1785</v>
      </c>
      <c r="I1206" s="1" t="s">
        <v>1786</v>
      </c>
      <c r="J1206" s="1" t="s">
        <v>46</v>
      </c>
      <c r="K1206" t="s">
        <v>650</v>
      </c>
      <c r="M1206" s="1" t="s">
        <v>58</v>
      </c>
      <c r="N1206" s="1">
        <v>0</v>
      </c>
      <c r="O1206" s="1" t="s">
        <v>105</v>
      </c>
      <c r="P1206" s="11" t="s">
        <v>2136</v>
      </c>
      <c r="R1206" s="1">
        <v>4</v>
      </c>
      <c r="T1206" s="1" t="s">
        <v>646</v>
      </c>
      <c r="U1206" s="11" t="s">
        <v>2137</v>
      </c>
      <c r="V1206" s="1" t="s">
        <v>41</v>
      </c>
      <c r="W1206" s="1" t="s">
        <v>49</v>
      </c>
      <c r="X1206" s="13" t="str">
        <f>IF(RIGHT(H1206,2)&lt;&gt;"00",H1206,"")</f>
        <v/>
      </c>
      <c r="Y1206" s="2">
        <f ca="1">NETWORKDAYS(P1206,$Y$1)</f>
        <v>21</v>
      </c>
      <c r="Z1206" s="14">
        <v>1</v>
      </c>
      <c r="AA1206" s="1" t="str">
        <f t="shared" ca="1" si="90"/>
        <v>VENCIDO</v>
      </c>
      <c r="AB1206" s="1" t="str">
        <f t="shared" si="91"/>
        <v>C-14</v>
      </c>
      <c r="AC1206" s="2" t="str">
        <f t="shared" si="92"/>
        <v xml:space="preserve"> CLEITON </v>
      </c>
      <c r="AD1206" s="2">
        <f t="shared" si="93"/>
        <v>15</v>
      </c>
      <c r="AE1206" s="2">
        <f t="shared" ca="1" si="94"/>
        <v>-27.040866550923965</v>
      </c>
    </row>
    <row r="1207" spans="1:31" hidden="1">
      <c r="A1207" s="1">
        <v>9422508</v>
      </c>
      <c r="B1207" s="1" t="s">
        <v>101</v>
      </c>
      <c r="C1207" t="s">
        <v>643</v>
      </c>
      <c r="D1207" s="2">
        <v>230019643</v>
      </c>
      <c r="E1207" s="2">
        <v>1835001400030</v>
      </c>
      <c r="F1207" s="1" t="s">
        <v>647</v>
      </c>
      <c r="G1207" s="1" t="s">
        <v>53</v>
      </c>
      <c r="H1207" s="1" t="s">
        <v>305</v>
      </c>
      <c r="I1207" s="1" t="s">
        <v>306</v>
      </c>
      <c r="J1207" s="1" t="s">
        <v>46</v>
      </c>
      <c r="K1207" t="s">
        <v>650</v>
      </c>
      <c r="M1207" s="1" t="s">
        <v>58</v>
      </c>
      <c r="N1207" s="1">
        <v>0</v>
      </c>
      <c r="O1207" s="1" t="s">
        <v>105</v>
      </c>
      <c r="P1207" s="11" t="s">
        <v>2140</v>
      </c>
      <c r="R1207" s="1">
        <v>4</v>
      </c>
      <c r="T1207" s="1" t="s">
        <v>646</v>
      </c>
      <c r="U1207" s="11" t="s">
        <v>2141</v>
      </c>
      <c r="V1207" s="1" t="s">
        <v>41</v>
      </c>
      <c r="W1207" s="1" t="s">
        <v>49</v>
      </c>
      <c r="X1207" s="13" t="str">
        <f>IF(RIGHT(H1207,2)&lt;&gt;"00",H1207,"")</f>
        <v/>
      </c>
      <c r="Y1207" s="2">
        <f ca="1">NETWORKDAYS(P1207,$Y$1)</f>
        <v>21</v>
      </c>
      <c r="Z1207" s="14">
        <v>1</v>
      </c>
      <c r="AA1207" s="1" t="str">
        <f t="shared" ca="1" si="90"/>
        <v>VENCIDO</v>
      </c>
      <c r="AB1207" s="1" t="str">
        <f t="shared" si="91"/>
        <v>C-14</v>
      </c>
      <c r="AC1207" s="2" t="str">
        <f t="shared" si="92"/>
        <v xml:space="preserve"> CLEITON </v>
      </c>
      <c r="AD1207" s="2">
        <f t="shared" si="93"/>
        <v>15</v>
      </c>
      <c r="AE1207" s="2">
        <f t="shared" ca="1" si="94"/>
        <v>-27.041051736108784</v>
      </c>
    </row>
    <row r="1208" spans="1:31" hidden="1">
      <c r="A1208" s="1">
        <v>9422506</v>
      </c>
      <c r="B1208" s="1" t="s">
        <v>101</v>
      </c>
      <c r="C1208" t="s">
        <v>643</v>
      </c>
      <c r="D1208" s="2">
        <v>230019641</v>
      </c>
      <c r="E1208" s="2">
        <v>1833001400030</v>
      </c>
      <c r="F1208" s="1" t="s">
        <v>647</v>
      </c>
      <c r="G1208" s="1" t="s">
        <v>53</v>
      </c>
      <c r="H1208" s="1" t="s">
        <v>369</v>
      </c>
      <c r="I1208" s="1" t="s">
        <v>370</v>
      </c>
      <c r="J1208" s="1" t="s">
        <v>46</v>
      </c>
      <c r="K1208" t="s">
        <v>650</v>
      </c>
      <c r="M1208" s="1" t="s">
        <v>58</v>
      </c>
      <c r="N1208" s="1">
        <v>0</v>
      </c>
      <c r="O1208" s="1" t="s">
        <v>105</v>
      </c>
      <c r="P1208" s="11" t="s">
        <v>2144</v>
      </c>
      <c r="R1208" s="1">
        <v>4</v>
      </c>
      <c r="T1208" s="1" t="s">
        <v>646</v>
      </c>
      <c r="U1208" s="11" t="s">
        <v>2145</v>
      </c>
      <c r="V1208" s="1" t="s">
        <v>41</v>
      </c>
      <c r="W1208" s="1" t="s">
        <v>49</v>
      </c>
      <c r="X1208" s="13" t="str">
        <f>IF(RIGHT(H1208,2)&lt;&gt;"00",H1208,"")</f>
        <v/>
      </c>
      <c r="Y1208" s="2">
        <f ca="1">NETWORKDAYS(P1208,$Y$1)</f>
        <v>21</v>
      </c>
      <c r="Z1208" s="14">
        <v>1</v>
      </c>
      <c r="AA1208" s="1" t="str">
        <f t="shared" ca="1" si="90"/>
        <v>VENCIDO</v>
      </c>
      <c r="AB1208" s="1" t="str">
        <f t="shared" si="91"/>
        <v>C-14</v>
      </c>
      <c r="AC1208" s="2" t="str">
        <f t="shared" si="92"/>
        <v xml:space="preserve"> CLEITON </v>
      </c>
      <c r="AD1208" s="2">
        <f t="shared" si="93"/>
        <v>15</v>
      </c>
      <c r="AE1208" s="2">
        <f t="shared" ca="1" si="94"/>
        <v>-27.041236921293603</v>
      </c>
    </row>
    <row r="1209" spans="1:31" hidden="1">
      <c r="A1209" s="1">
        <v>9422498</v>
      </c>
      <c r="B1209" s="1" t="s">
        <v>101</v>
      </c>
      <c r="C1209" t="s">
        <v>643</v>
      </c>
      <c r="D1209" s="2">
        <v>230019633</v>
      </c>
      <c r="E1209" s="2">
        <v>1814031400030</v>
      </c>
      <c r="F1209" s="1" t="s">
        <v>647</v>
      </c>
      <c r="G1209" s="1" t="s">
        <v>53</v>
      </c>
      <c r="H1209" s="1" t="s">
        <v>719</v>
      </c>
      <c r="I1209" s="1" t="s">
        <v>188</v>
      </c>
      <c r="J1209" s="1" t="s">
        <v>46</v>
      </c>
      <c r="K1209" t="s">
        <v>650</v>
      </c>
      <c r="M1209" s="1" t="s">
        <v>58</v>
      </c>
      <c r="N1209" s="1">
        <v>0</v>
      </c>
      <c r="O1209" s="1" t="s">
        <v>105</v>
      </c>
      <c r="P1209" s="11" t="s">
        <v>2146</v>
      </c>
      <c r="R1209" s="1">
        <v>4</v>
      </c>
      <c r="T1209" s="1" t="s">
        <v>646</v>
      </c>
      <c r="U1209" s="11" t="s">
        <v>2147</v>
      </c>
      <c r="V1209" s="1" t="s">
        <v>41</v>
      </c>
      <c r="W1209" s="1" t="s">
        <v>49</v>
      </c>
      <c r="X1209" s="13" t="str">
        <f>IF(RIGHT(H1209,2)&lt;&gt;"00",H1209,"")</f>
        <v>1814.03</v>
      </c>
      <c r="Y1209" s="2">
        <f ca="1">NETWORKDAYS(P1209,$Y$1)</f>
        <v>21</v>
      </c>
      <c r="Z1209" s="14">
        <v>1</v>
      </c>
      <c r="AA1209" s="1" t="str">
        <f t="shared" ca="1" si="90"/>
        <v>VENCIDO</v>
      </c>
      <c r="AB1209" s="1" t="str">
        <f t="shared" si="91"/>
        <v>C-14</v>
      </c>
      <c r="AC1209" s="2" t="str">
        <f t="shared" si="92"/>
        <v xml:space="preserve"> CLEITON </v>
      </c>
      <c r="AD1209" s="2">
        <f t="shared" si="93"/>
        <v>15</v>
      </c>
      <c r="AE1209" s="2">
        <f t="shared" ca="1" si="94"/>
        <v>-27.041861921294185</v>
      </c>
    </row>
    <row r="1210" spans="1:31" hidden="1">
      <c r="A1210" s="1">
        <v>9422497</v>
      </c>
      <c r="B1210" s="1" t="s">
        <v>101</v>
      </c>
      <c r="C1210" t="s">
        <v>643</v>
      </c>
      <c r="D1210" s="2">
        <v>230019632</v>
      </c>
      <c r="E1210" s="2">
        <v>1814001400030</v>
      </c>
      <c r="F1210" s="1" t="s">
        <v>647</v>
      </c>
      <c r="G1210" s="1" t="s">
        <v>53</v>
      </c>
      <c r="H1210" s="1" t="s">
        <v>396</v>
      </c>
      <c r="I1210" s="1" t="s">
        <v>397</v>
      </c>
      <c r="J1210" s="1" t="s">
        <v>46</v>
      </c>
      <c r="K1210" t="s">
        <v>650</v>
      </c>
      <c r="M1210" s="1" t="s">
        <v>58</v>
      </c>
      <c r="N1210" s="1">
        <v>0</v>
      </c>
      <c r="O1210" s="1" t="s">
        <v>105</v>
      </c>
      <c r="P1210" s="11" t="s">
        <v>2148</v>
      </c>
      <c r="R1210" s="1">
        <v>4</v>
      </c>
      <c r="T1210" s="1" t="s">
        <v>646</v>
      </c>
      <c r="U1210" s="11" t="s">
        <v>2149</v>
      </c>
      <c r="V1210" s="1" t="s">
        <v>41</v>
      </c>
      <c r="W1210" s="1" t="s">
        <v>49</v>
      </c>
      <c r="X1210" s="13" t="str">
        <f>IF(RIGHT(H1210,2)&lt;&gt;"00",H1210,"")</f>
        <v/>
      </c>
      <c r="Y1210" s="2">
        <f ca="1">NETWORKDAYS(P1210,$Y$1)</f>
        <v>21</v>
      </c>
      <c r="Z1210" s="14">
        <v>1</v>
      </c>
      <c r="AA1210" s="1" t="str">
        <f t="shared" ca="1" si="90"/>
        <v>VENCIDO</v>
      </c>
      <c r="AB1210" s="1" t="str">
        <f t="shared" si="91"/>
        <v>C-14</v>
      </c>
      <c r="AC1210" s="2" t="str">
        <f t="shared" si="92"/>
        <v xml:space="preserve"> CLEITON </v>
      </c>
      <c r="AD1210" s="2">
        <f t="shared" si="93"/>
        <v>15</v>
      </c>
      <c r="AE1210" s="2">
        <f t="shared" ca="1" si="94"/>
        <v>-27.041977662040154</v>
      </c>
    </row>
    <row r="1211" spans="1:31" hidden="1">
      <c r="A1211" s="1">
        <v>9422255</v>
      </c>
      <c r="B1211" s="1" t="s">
        <v>101</v>
      </c>
      <c r="C1211" t="s">
        <v>643</v>
      </c>
      <c r="D1211" s="2">
        <v>230018197</v>
      </c>
      <c r="E1211" s="2">
        <v>2257001400010</v>
      </c>
      <c r="F1211" s="1" t="s">
        <v>936</v>
      </c>
      <c r="G1211" s="1" t="s">
        <v>53</v>
      </c>
      <c r="H1211" s="1" t="s">
        <v>381</v>
      </c>
      <c r="I1211" s="1" t="s">
        <v>382</v>
      </c>
      <c r="J1211" s="1" t="s">
        <v>110</v>
      </c>
      <c r="K1211" t="s">
        <v>937</v>
      </c>
      <c r="M1211" s="1" t="s">
        <v>58</v>
      </c>
      <c r="N1211" s="1">
        <v>0</v>
      </c>
      <c r="O1211" s="1" t="s">
        <v>105</v>
      </c>
      <c r="P1211" s="11" t="s">
        <v>2150</v>
      </c>
      <c r="R1211" s="1">
        <v>3</v>
      </c>
      <c r="T1211" s="1" t="s">
        <v>646</v>
      </c>
      <c r="U1211" s="11" t="s">
        <v>2151</v>
      </c>
      <c r="V1211" s="1" t="s">
        <v>41</v>
      </c>
      <c r="W1211" s="1" t="s">
        <v>49</v>
      </c>
      <c r="X1211" s="13" t="str">
        <f>IF(RIGHT(H1211,2)&lt;&gt;"00",H1211,"")</f>
        <v/>
      </c>
      <c r="Y1211" s="2">
        <f ca="1">NETWORKDAYS(P1211,$Y$1)</f>
        <v>21</v>
      </c>
      <c r="Z1211" s="14">
        <v>1</v>
      </c>
      <c r="AA1211" s="1" t="str">
        <f t="shared" ca="1" si="90"/>
        <v>VENCIDO</v>
      </c>
      <c r="AB1211" s="1" t="str">
        <f t="shared" si="91"/>
        <v>C-14</v>
      </c>
      <c r="AC1211" s="2" t="str">
        <f t="shared" si="92"/>
        <v xml:space="preserve"> CRISTINA </v>
      </c>
      <c r="AD1211" s="2">
        <f t="shared" si="93"/>
        <v>5</v>
      </c>
      <c r="AE1211" s="2">
        <f t="shared" ca="1" si="94"/>
        <v>-27.059338773149648</v>
      </c>
    </row>
    <row r="1212" spans="1:31" hidden="1">
      <c r="A1212" s="1">
        <v>9422243</v>
      </c>
      <c r="B1212" s="1" t="s">
        <v>101</v>
      </c>
      <c r="C1212" t="s">
        <v>643</v>
      </c>
      <c r="D1212" s="2">
        <v>230017788</v>
      </c>
      <c r="E1212" s="2">
        <v>1153001400010</v>
      </c>
      <c r="F1212" s="1" t="s">
        <v>936</v>
      </c>
      <c r="G1212" s="1" t="s">
        <v>53</v>
      </c>
      <c r="H1212" s="1" t="s">
        <v>1031</v>
      </c>
      <c r="I1212" s="1" t="s">
        <v>1032</v>
      </c>
      <c r="J1212" s="1" t="s">
        <v>79</v>
      </c>
      <c r="K1212" t="s">
        <v>937</v>
      </c>
      <c r="M1212" s="1" t="s">
        <v>58</v>
      </c>
      <c r="N1212" s="1">
        <v>0</v>
      </c>
      <c r="O1212" s="1" t="s">
        <v>105</v>
      </c>
      <c r="P1212" s="11" t="s">
        <v>2152</v>
      </c>
      <c r="R1212" s="1">
        <v>3</v>
      </c>
      <c r="T1212" s="1" t="s">
        <v>646</v>
      </c>
      <c r="U1212" s="11" t="s">
        <v>2153</v>
      </c>
      <c r="V1212" s="1" t="s">
        <v>41</v>
      </c>
      <c r="W1212" s="1" t="s">
        <v>49</v>
      </c>
      <c r="X1212" s="13" t="str">
        <f>IF(RIGHT(H1212,2)&lt;&gt;"00",H1212,"")</f>
        <v/>
      </c>
      <c r="Y1212" s="2">
        <f ca="1">NETWORKDAYS(P1212,$Y$1)</f>
        <v>21</v>
      </c>
      <c r="Z1212" s="14">
        <v>1</v>
      </c>
      <c r="AA1212" s="1" t="str">
        <f t="shared" ref="AA1212:AA1275" ca="1" si="95">IF(AE1212=0,"HOJE",IF(AE1212&gt;0,"A VENCER",IF(AE1212&lt;0,"VENCIDO")))</f>
        <v>VENCIDO</v>
      </c>
      <c r="AB1212" s="1" t="str">
        <f t="shared" ref="AB1212:AB1275" si="96">IF(F1212="GRPE-000001","C-14",IF(F1212="GRPE-000002","C-14",IF(F1212="GRPE-000003","C-14",IF(F1212="GRPE-000004","SL-On",IF(F1212="GRPE-000038","C-14",IF(F1212="GRPE-900022","Dosa",IF(F1212="GRPE-000029","Dosa",IF(F1212="ATOS-000222","Dose","TAAe+"))))))))</f>
        <v>C-14</v>
      </c>
      <c r="AC1212" s="2" t="str">
        <f t="shared" ref="AC1212:AC1275" si="97">IF(J1212="TR-PETROLINA"," ROSEMERE ",IF(J1212="TR-GARANHUNS"," ROSEMERE ",IF(J1212="TR-CARUARU"," ROSEMERE ",IF(J1212="TR-RIBEIRAO"," CRISTINA ",IF(J1212="TR-GRAVATA"," CRISTINA ",IF(J1212="TR-GOIANA"," CRISTINA ",IF(J1212="TR-LIMOEIRO"," CRISTINA ",IF(J1212="TR-SERRA TALHADA"," RINALDO ",IF(J1212="TR-SALGUEIRO"," RINALDO ",IF(J1212="TR-CARNAIBA"," RINALDO ",IF(J1212="TR-ARCOVERDE"," RINALDO ",IF(J1212="CAT-RECIFE"," CLEITON ",))))))))))))</f>
        <v xml:space="preserve"> ROSEMERE </v>
      </c>
      <c r="AD1212" s="2">
        <f t="shared" ref="AD1212:AD1275" si="98">IF(F1212="GRPE-000001",5,IF(F1212="GRPE-000002",5,IF(F1212="GRPE-000003",15,IF(F1212="GRPE-000004",1,IF(F1212="GRPE-000038",5,IF(F1212="GRPE-900022",5,IF(F1212="GRPE-000029",5,IF(F1212="ATOS-000222",5,8))))))))</f>
        <v>5</v>
      </c>
      <c r="AE1212" s="2">
        <f t="shared" ref="AE1212:AE1275" ca="1" si="99">IF(U1212=$AE$1,"",U1212-$AE$1)</f>
        <v>-27.060415162035497</v>
      </c>
    </row>
    <row r="1213" spans="1:31" hidden="1">
      <c r="A1213" s="1">
        <v>9422222</v>
      </c>
      <c r="B1213" s="1" t="s">
        <v>101</v>
      </c>
      <c r="C1213" t="s">
        <v>643</v>
      </c>
      <c r="D1213" s="2">
        <v>230021493</v>
      </c>
      <c r="E1213" s="2">
        <v>2257001400040</v>
      </c>
      <c r="F1213" s="1" t="s">
        <v>644</v>
      </c>
      <c r="G1213" s="1" t="s">
        <v>53</v>
      </c>
      <c r="H1213" s="1" t="s">
        <v>381</v>
      </c>
      <c r="I1213" s="1" t="s">
        <v>382</v>
      </c>
      <c r="J1213" s="1" t="s">
        <v>110</v>
      </c>
      <c r="K1213" t="s">
        <v>645</v>
      </c>
      <c r="M1213" s="1" t="s">
        <v>58</v>
      </c>
      <c r="N1213" s="1">
        <v>0</v>
      </c>
      <c r="O1213" s="1" t="s">
        <v>105</v>
      </c>
      <c r="P1213" s="11" t="s">
        <v>2154</v>
      </c>
      <c r="R1213" s="1">
        <v>3</v>
      </c>
      <c r="T1213" s="1" t="s">
        <v>646</v>
      </c>
      <c r="U1213" s="11" t="s">
        <v>2155</v>
      </c>
      <c r="V1213" s="1" t="s">
        <v>41</v>
      </c>
      <c r="W1213" s="1" t="s">
        <v>49</v>
      </c>
      <c r="X1213" s="13" t="str">
        <f>IF(RIGHT(H1213,2)&lt;&gt;"00",H1213,"")</f>
        <v/>
      </c>
      <c r="Y1213" s="2">
        <f ca="1">NETWORKDAYS(P1213,$Y$1)</f>
        <v>21</v>
      </c>
      <c r="Z1213" s="14">
        <v>1</v>
      </c>
      <c r="AA1213" s="1" t="str">
        <f t="shared" ca="1" si="95"/>
        <v>VENCIDO</v>
      </c>
      <c r="AB1213" s="1" t="str">
        <f t="shared" si="96"/>
        <v>SL-On</v>
      </c>
      <c r="AC1213" s="2" t="str">
        <f t="shared" si="97"/>
        <v xml:space="preserve"> CRISTINA </v>
      </c>
      <c r="AD1213" s="2">
        <f t="shared" si="98"/>
        <v>1</v>
      </c>
      <c r="AE1213" s="2">
        <f t="shared" ca="1" si="99"/>
        <v>-27.062232291667897</v>
      </c>
    </row>
    <row r="1214" spans="1:31" hidden="1">
      <c r="A1214" s="1">
        <v>9422108</v>
      </c>
      <c r="B1214" s="1" t="s">
        <v>101</v>
      </c>
      <c r="C1214" t="s">
        <v>643</v>
      </c>
      <c r="D1214" s="2">
        <v>230021478</v>
      </c>
      <c r="E1214" s="2">
        <v>2229001400040</v>
      </c>
      <c r="F1214" s="1" t="s">
        <v>644</v>
      </c>
      <c r="G1214" s="1" t="s">
        <v>53</v>
      </c>
      <c r="H1214" s="1" t="s">
        <v>339</v>
      </c>
      <c r="I1214" s="1" t="s">
        <v>340</v>
      </c>
      <c r="J1214" s="1" t="s">
        <v>211</v>
      </c>
      <c r="K1214" t="s">
        <v>645</v>
      </c>
      <c r="M1214" s="1" t="s">
        <v>58</v>
      </c>
      <c r="N1214" s="1">
        <v>0</v>
      </c>
      <c r="O1214" s="1" t="s">
        <v>105</v>
      </c>
      <c r="P1214" s="11" t="s">
        <v>2158</v>
      </c>
      <c r="R1214" s="1">
        <v>2</v>
      </c>
      <c r="T1214" s="1" t="s">
        <v>646</v>
      </c>
      <c r="U1214" s="11" t="s">
        <v>2159</v>
      </c>
      <c r="V1214" s="1" t="s">
        <v>41</v>
      </c>
      <c r="W1214" s="1" t="s">
        <v>49</v>
      </c>
      <c r="X1214" s="13" t="str">
        <f>IF(RIGHT(H1214,2)&lt;&gt;"00",H1214,"")</f>
        <v/>
      </c>
      <c r="Y1214" s="2">
        <f ca="1">NETWORKDAYS(P1214,$Y$1)</f>
        <v>21</v>
      </c>
      <c r="Z1214" s="14">
        <v>1</v>
      </c>
      <c r="AA1214" s="1" t="str">
        <f t="shared" ca="1" si="95"/>
        <v>VENCIDO</v>
      </c>
      <c r="AB1214" s="1" t="str">
        <f t="shared" si="96"/>
        <v>SL-On</v>
      </c>
      <c r="AC1214" s="2" t="str">
        <f t="shared" si="97"/>
        <v xml:space="preserve"> RINALDO </v>
      </c>
      <c r="AD1214" s="2">
        <f t="shared" si="98"/>
        <v>1</v>
      </c>
      <c r="AE1214" s="2">
        <f t="shared" ca="1" si="99"/>
        <v>-27.069535532406007</v>
      </c>
    </row>
    <row r="1215" spans="1:31" hidden="1">
      <c r="A1215" s="1">
        <v>9421550</v>
      </c>
      <c r="B1215" s="1" t="s">
        <v>101</v>
      </c>
      <c r="C1215" t="s">
        <v>643</v>
      </c>
      <c r="D1215" s="2">
        <v>230019696</v>
      </c>
      <c r="E1215" s="2">
        <v>2107001400030</v>
      </c>
      <c r="F1215" s="1" t="s">
        <v>647</v>
      </c>
      <c r="G1215" s="1" t="s">
        <v>53</v>
      </c>
      <c r="H1215" s="1" t="s">
        <v>262</v>
      </c>
      <c r="I1215" s="1" t="s">
        <v>263</v>
      </c>
      <c r="J1215" s="1" t="s">
        <v>164</v>
      </c>
      <c r="K1215" t="s">
        <v>650</v>
      </c>
      <c r="M1215" s="1" t="s">
        <v>58</v>
      </c>
      <c r="N1215" s="1">
        <v>0</v>
      </c>
      <c r="O1215" s="1" t="s">
        <v>105</v>
      </c>
      <c r="P1215" s="11" t="s">
        <v>2162</v>
      </c>
      <c r="R1215" s="1">
        <v>4</v>
      </c>
      <c r="T1215" s="1" t="s">
        <v>646</v>
      </c>
      <c r="U1215" s="11" t="s">
        <v>2163</v>
      </c>
      <c r="V1215" s="1" t="s">
        <v>41</v>
      </c>
      <c r="W1215" s="1" t="s">
        <v>49</v>
      </c>
      <c r="X1215" s="13" t="str">
        <f>IF(RIGHT(H1215,2)&lt;&gt;"00",H1215,"")</f>
        <v/>
      </c>
      <c r="Y1215" s="2">
        <f ca="1">NETWORKDAYS(P1215,$Y$1)</f>
        <v>21</v>
      </c>
      <c r="Z1215" s="14">
        <v>1</v>
      </c>
      <c r="AA1215" s="1" t="str">
        <f t="shared" ca="1" si="95"/>
        <v>VENCIDO</v>
      </c>
      <c r="AB1215" s="1" t="str">
        <f t="shared" si="96"/>
        <v>C-14</v>
      </c>
      <c r="AC1215" s="2" t="str">
        <f t="shared" si="97"/>
        <v xml:space="preserve"> ROSEMERE </v>
      </c>
      <c r="AD1215" s="2">
        <f t="shared" si="98"/>
        <v>15</v>
      </c>
      <c r="AE1215" s="2">
        <f t="shared" ca="1" si="99"/>
        <v>-27.104304050924839</v>
      </c>
    </row>
    <row r="1216" spans="1:31" hidden="1">
      <c r="A1216" s="1">
        <v>9421489</v>
      </c>
      <c r="B1216" s="1" t="s">
        <v>101</v>
      </c>
      <c r="C1216" t="s">
        <v>643</v>
      </c>
      <c r="D1216" s="2">
        <v>230021042</v>
      </c>
      <c r="E1216" s="2">
        <v>1028001400040</v>
      </c>
      <c r="F1216" s="1" t="s">
        <v>644</v>
      </c>
      <c r="G1216" s="1" t="s">
        <v>53</v>
      </c>
      <c r="H1216" s="1" t="s">
        <v>1079</v>
      </c>
      <c r="I1216" s="1" t="s">
        <v>1080</v>
      </c>
      <c r="J1216" s="1" t="s">
        <v>85</v>
      </c>
      <c r="K1216" t="s">
        <v>645</v>
      </c>
      <c r="M1216" s="1" t="s">
        <v>58</v>
      </c>
      <c r="N1216" s="1">
        <v>0</v>
      </c>
      <c r="O1216" s="1" t="s">
        <v>105</v>
      </c>
      <c r="P1216" s="11" t="s">
        <v>2164</v>
      </c>
      <c r="R1216" s="1">
        <v>3</v>
      </c>
      <c r="T1216" s="1" t="s">
        <v>646</v>
      </c>
      <c r="U1216" s="11" t="s">
        <v>2165</v>
      </c>
      <c r="V1216" s="1" t="s">
        <v>41</v>
      </c>
      <c r="W1216" s="1" t="s">
        <v>49</v>
      </c>
      <c r="X1216" s="13" t="str">
        <f>IF(RIGHT(H1216,2)&lt;&gt;"00",H1216,"")</f>
        <v/>
      </c>
      <c r="Y1216" s="2">
        <f ca="1">NETWORKDAYS(P1216,$Y$1)</f>
        <v>21</v>
      </c>
      <c r="Z1216" s="14">
        <v>1</v>
      </c>
      <c r="AA1216" s="1" t="str">
        <f t="shared" ca="1" si="95"/>
        <v>VENCIDO</v>
      </c>
      <c r="AB1216" s="1" t="str">
        <f t="shared" si="96"/>
        <v>SL-On</v>
      </c>
      <c r="AC1216" s="2" t="str">
        <f t="shared" si="97"/>
        <v xml:space="preserve"> RINALDO </v>
      </c>
      <c r="AD1216" s="2">
        <f t="shared" si="98"/>
        <v>1</v>
      </c>
      <c r="AE1216" s="2">
        <f t="shared" ca="1" si="99"/>
        <v>-27.108424421297968</v>
      </c>
    </row>
    <row r="1217" spans="1:31" hidden="1">
      <c r="A1217" s="1">
        <v>9421441</v>
      </c>
      <c r="B1217" s="1" t="s">
        <v>101</v>
      </c>
      <c r="C1217" t="s">
        <v>643</v>
      </c>
      <c r="D1217" s="2">
        <v>230019840</v>
      </c>
      <c r="E1217" s="2">
        <v>2422001400030</v>
      </c>
      <c r="F1217" s="1" t="s">
        <v>647</v>
      </c>
      <c r="G1217" s="1" t="s">
        <v>53</v>
      </c>
      <c r="H1217" s="1" t="s">
        <v>1844</v>
      </c>
      <c r="I1217" s="1" t="s">
        <v>1845</v>
      </c>
      <c r="J1217" s="1" t="s">
        <v>211</v>
      </c>
      <c r="K1217" t="s">
        <v>650</v>
      </c>
      <c r="M1217" s="1" t="s">
        <v>58</v>
      </c>
      <c r="N1217" s="1">
        <v>0</v>
      </c>
      <c r="O1217" s="1" t="s">
        <v>105</v>
      </c>
      <c r="P1217" s="11" t="s">
        <v>2166</v>
      </c>
      <c r="R1217" s="1">
        <v>4</v>
      </c>
      <c r="T1217" s="1" t="s">
        <v>646</v>
      </c>
      <c r="U1217" s="11" t="s">
        <v>2167</v>
      </c>
      <c r="V1217" s="1" t="s">
        <v>41</v>
      </c>
      <c r="W1217" s="1" t="s">
        <v>49</v>
      </c>
      <c r="X1217" s="13" t="str">
        <f>IF(RIGHT(H1217,2)&lt;&gt;"00",H1217,"")</f>
        <v/>
      </c>
      <c r="Y1217" s="2">
        <f ca="1">NETWORKDAYS(P1217,$Y$1)</f>
        <v>21</v>
      </c>
      <c r="Z1217" s="14">
        <v>1</v>
      </c>
      <c r="AA1217" s="1" t="str">
        <f t="shared" ca="1" si="95"/>
        <v>VENCIDO</v>
      </c>
      <c r="AB1217" s="1" t="str">
        <f t="shared" si="96"/>
        <v>C-14</v>
      </c>
      <c r="AC1217" s="2" t="str">
        <f t="shared" si="97"/>
        <v xml:space="preserve"> RINALDO </v>
      </c>
      <c r="AD1217" s="2">
        <f t="shared" si="98"/>
        <v>15</v>
      </c>
      <c r="AE1217" s="2">
        <f t="shared" ca="1" si="99"/>
        <v>-27.111144328700902</v>
      </c>
    </row>
    <row r="1218" spans="1:31" hidden="1">
      <c r="A1218" s="1">
        <v>9421337</v>
      </c>
      <c r="B1218" s="1" t="s">
        <v>101</v>
      </c>
      <c r="C1218" t="s">
        <v>643</v>
      </c>
      <c r="D1218" s="2">
        <v>230021014</v>
      </c>
      <c r="E1218" s="2">
        <v>963001400040</v>
      </c>
      <c r="F1218" s="1" t="s">
        <v>644</v>
      </c>
      <c r="G1218" s="1" t="s">
        <v>53</v>
      </c>
      <c r="H1218" s="1" t="s">
        <v>531</v>
      </c>
      <c r="I1218" s="1" t="s">
        <v>532</v>
      </c>
      <c r="J1218" s="1" t="s">
        <v>33</v>
      </c>
      <c r="K1218" t="s">
        <v>645</v>
      </c>
      <c r="M1218" s="1" t="s">
        <v>58</v>
      </c>
      <c r="N1218" s="1">
        <v>0</v>
      </c>
      <c r="O1218" s="1" t="s">
        <v>105</v>
      </c>
      <c r="P1218" s="11" t="s">
        <v>2168</v>
      </c>
      <c r="R1218" s="1">
        <v>3</v>
      </c>
      <c r="T1218" s="1" t="s">
        <v>646</v>
      </c>
      <c r="U1218" s="11" t="s">
        <v>2169</v>
      </c>
      <c r="V1218" s="1" t="s">
        <v>41</v>
      </c>
      <c r="W1218" s="1" t="s">
        <v>49</v>
      </c>
      <c r="X1218" s="13" t="str">
        <f>IF(RIGHT(H1218,2)&lt;&gt;"00",H1218,"")</f>
        <v/>
      </c>
      <c r="Y1218" s="2">
        <f ca="1">NETWORKDAYS(P1218,$Y$1)</f>
        <v>21</v>
      </c>
      <c r="Z1218" s="14">
        <v>1</v>
      </c>
      <c r="AA1218" s="1" t="str">
        <f t="shared" ca="1" si="95"/>
        <v>VENCIDO</v>
      </c>
      <c r="AB1218" s="1" t="str">
        <f t="shared" si="96"/>
        <v>SL-On</v>
      </c>
      <c r="AC1218" s="2" t="str">
        <f t="shared" si="97"/>
        <v xml:space="preserve"> ROSEMERE </v>
      </c>
      <c r="AD1218" s="2">
        <f t="shared" si="98"/>
        <v>1</v>
      </c>
      <c r="AE1218" s="2">
        <f t="shared" ca="1" si="99"/>
        <v>-27.117093402775936</v>
      </c>
    </row>
    <row r="1219" spans="1:31" hidden="1">
      <c r="A1219" s="1">
        <v>9421295</v>
      </c>
      <c r="B1219" s="1" t="s">
        <v>101</v>
      </c>
      <c r="C1219" t="s">
        <v>643</v>
      </c>
      <c r="D1219" s="2">
        <v>230019817</v>
      </c>
      <c r="E1219" s="2">
        <v>2365001400030</v>
      </c>
      <c r="F1219" s="1" t="s">
        <v>647</v>
      </c>
      <c r="G1219" s="1" t="s">
        <v>53</v>
      </c>
      <c r="H1219" s="1" t="s">
        <v>159</v>
      </c>
      <c r="I1219" s="1" t="s">
        <v>160</v>
      </c>
      <c r="J1219" s="1" t="s">
        <v>46</v>
      </c>
      <c r="K1219" t="s">
        <v>650</v>
      </c>
      <c r="M1219" s="1" t="s">
        <v>58</v>
      </c>
      <c r="N1219" s="1">
        <v>0</v>
      </c>
      <c r="O1219" s="1" t="s">
        <v>36</v>
      </c>
      <c r="P1219" s="11" t="s">
        <v>2170</v>
      </c>
      <c r="R1219" s="1">
        <v>4</v>
      </c>
      <c r="T1219" s="1" t="s">
        <v>646</v>
      </c>
      <c r="U1219" s="11" t="s">
        <v>2171</v>
      </c>
      <c r="V1219" s="1" t="s">
        <v>41</v>
      </c>
      <c r="W1219" s="1" t="s">
        <v>49</v>
      </c>
      <c r="X1219" s="13" t="str">
        <f>IF(RIGHT(H1219,2)&lt;&gt;"00",H1219,"")</f>
        <v/>
      </c>
      <c r="Y1219" s="2">
        <f ca="1">NETWORKDAYS(P1219,$Y$1)</f>
        <v>21</v>
      </c>
      <c r="Z1219" s="14">
        <v>1</v>
      </c>
      <c r="AA1219" s="1" t="str">
        <f t="shared" ca="1" si="95"/>
        <v>VENCIDO</v>
      </c>
      <c r="AB1219" s="1" t="str">
        <f t="shared" si="96"/>
        <v>C-14</v>
      </c>
      <c r="AC1219" s="2" t="str">
        <f t="shared" si="97"/>
        <v xml:space="preserve"> CLEITON </v>
      </c>
      <c r="AD1219" s="2">
        <f t="shared" si="98"/>
        <v>15</v>
      </c>
      <c r="AE1219" s="2">
        <f t="shared" ca="1" si="99"/>
        <v>-27.119269328701193</v>
      </c>
    </row>
    <row r="1220" spans="1:31" hidden="1">
      <c r="A1220" s="1">
        <v>9421222</v>
      </c>
      <c r="B1220" s="1" t="s">
        <v>101</v>
      </c>
      <c r="C1220" t="s">
        <v>643</v>
      </c>
      <c r="D1220" s="2">
        <v>230019179</v>
      </c>
      <c r="E1220" s="2">
        <v>721001400030</v>
      </c>
      <c r="F1220" s="1" t="s">
        <v>647</v>
      </c>
      <c r="G1220" s="1" t="s">
        <v>53</v>
      </c>
      <c r="H1220" s="1" t="s">
        <v>422</v>
      </c>
      <c r="I1220" s="1" t="s">
        <v>423</v>
      </c>
      <c r="J1220" s="1" t="s">
        <v>79</v>
      </c>
      <c r="K1220" t="s">
        <v>650</v>
      </c>
      <c r="M1220" s="1" t="s">
        <v>58</v>
      </c>
      <c r="N1220" s="1">
        <v>0</v>
      </c>
      <c r="O1220" s="1" t="s">
        <v>105</v>
      </c>
      <c r="P1220" s="11" t="s">
        <v>2172</v>
      </c>
      <c r="R1220" s="1">
        <v>4</v>
      </c>
      <c r="T1220" s="1" t="s">
        <v>646</v>
      </c>
      <c r="U1220" s="11" t="s">
        <v>2173</v>
      </c>
      <c r="V1220" s="1" t="s">
        <v>41</v>
      </c>
      <c r="W1220" s="1" t="s">
        <v>49</v>
      </c>
      <c r="X1220" s="13" t="str">
        <f>IF(RIGHT(H1220,2)&lt;&gt;"00",H1220,"")</f>
        <v/>
      </c>
      <c r="Y1220" s="2">
        <f ca="1">NETWORKDAYS(P1220,$Y$1)</f>
        <v>21</v>
      </c>
      <c r="Z1220" s="14">
        <v>1</v>
      </c>
      <c r="AA1220" s="1" t="str">
        <f t="shared" ca="1" si="95"/>
        <v>VENCIDO</v>
      </c>
      <c r="AB1220" s="1" t="str">
        <f t="shared" si="96"/>
        <v>C-14</v>
      </c>
      <c r="AC1220" s="2" t="str">
        <f t="shared" si="97"/>
        <v xml:space="preserve"> ROSEMERE </v>
      </c>
      <c r="AD1220" s="2">
        <f t="shared" si="98"/>
        <v>15</v>
      </c>
      <c r="AE1220" s="2">
        <f t="shared" ca="1" si="99"/>
        <v>-27.123655902774772</v>
      </c>
    </row>
    <row r="1221" spans="1:31" hidden="1">
      <c r="A1221" s="1">
        <v>9421220</v>
      </c>
      <c r="B1221" s="1" t="s">
        <v>101</v>
      </c>
      <c r="C1221" t="s">
        <v>643</v>
      </c>
      <c r="D1221" s="2">
        <v>230019177</v>
      </c>
      <c r="E1221" s="2">
        <v>711001400030</v>
      </c>
      <c r="F1221" s="1" t="s">
        <v>647</v>
      </c>
      <c r="G1221" s="1" t="s">
        <v>53</v>
      </c>
      <c r="H1221" s="1" t="s">
        <v>77</v>
      </c>
      <c r="I1221" s="1" t="s">
        <v>78</v>
      </c>
      <c r="J1221" s="1" t="s">
        <v>79</v>
      </c>
      <c r="K1221" t="s">
        <v>650</v>
      </c>
      <c r="M1221" s="1" t="s">
        <v>58</v>
      </c>
      <c r="N1221" s="1">
        <v>0</v>
      </c>
      <c r="O1221" s="1" t="s">
        <v>105</v>
      </c>
      <c r="P1221" s="11" t="s">
        <v>2174</v>
      </c>
      <c r="R1221" s="1">
        <v>4</v>
      </c>
      <c r="T1221" s="1" t="s">
        <v>646</v>
      </c>
      <c r="U1221" s="11" t="s">
        <v>3050</v>
      </c>
      <c r="V1221" s="1" t="s">
        <v>41</v>
      </c>
      <c r="W1221" s="1" t="s">
        <v>49</v>
      </c>
      <c r="X1221" s="13" t="str">
        <f>IF(RIGHT(H1221,2)&lt;&gt;"00",H1221,"")</f>
        <v/>
      </c>
      <c r="Y1221" s="2">
        <f ca="1">NETWORKDAYS(P1221,$Y$1)</f>
        <v>21</v>
      </c>
      <c r="Z1221" s="14">
        <v>1</v>
      </c>
      <c r="AA1221" s="1" t="str">
        <f t="shared" ca="1" si="95"/>
        <v>VENCIDO</v>
      </c>
      <c r="AB1221" s="1" t="str">
        <f t="shared" si="96"/>
        <v>C-14</v>
      </c>
      <c r="AC1221" s="2" t="str">
        <f t="shared" si="97"/>
        <v xml:space="preserve"> ROSEMERE </v>
      </c>
      <c r="AD1221" s="2">
        <f t="shared" si="98"/>
        <v>15</v>
      </c>
      <c r="AE1221" s="2">
        <f t="shared" ca="1" si="99"/>
        <v>-27.12384108795959</v>
      </c>
    </row>
    <row r="1222" spans="1:31" hidden="1">
      <c r="A1222" s="1">
        <v>9421182</v>
      </c>
      <c r="B1222" s="1" t="s">
        <v>101</v>
      </c>
      <c r="C1222" t="s">
        <v>643</v>
      </c>
      <c r="D1222" s="2">
        <v>230019149</v>
      </c>
      <c r="E1222" s="2">
        <v>605001400030</v>
      </c>
      <c r="F1222" s="1" t="s">
        <v>647</v>
      </c>
      <c r="G1222" s="1" t="s">
        <v>53</v>
      </c>
      <c r="H1222" s="1" t="s">
        <v>420</v>
      </c>
      <c r="I1222" s="1" t="s">
        <v>421</v>
      </c>
      <c r="J1222" s="1" t="s">
        <v>90</v>
      </c>
      <c r="K1222" t="s">
        <v>650</v>
      </c>
      <c r="M1222" s="1" t="s">
        <v>58</v>
      </c>
      <c r="N1222" s="1">
        <v>0</v>
      </c>
      <c r="O1222" s="1" t="s">
        <v>105</v>
      </c>
      <c r="P1222" s="11" t="s">
        <v>2175</v>
      </c>
      <c r="R1222" s="1">
        <v>4</v>
      </c>
      <c r="T1222" s="1" t="s">
        <v>646</v>
      </c>
      <c r="U1222" s="11" t="s">
        <v>2176</v>
      </c>
      <c r="V1222" s="1" t="s">
        <v>41</v>
      </c>
      <c r="W1222" s="1" t="s">
        <v>49</v>
      </c>
      <c r="X1222" s="13" t="str">
        <f>IF(RIGHT(H1222,2)&lt;&gt;"00",H1222,"")</f>
        <v/>
      </c>
      <c r="Y1222" s="2">
        <f ca="1">NETWORKDAYS(P1222,$Y$1)</f>
        <v>21</v>
      </c>
      <c r="Z1222" s="14">
        <v>1</v>
      </c>
      <c r="AA1222" s="1" t="str">
        <f t="shared" ca="1" si="95"/>
        <v>VENCIDO</v>
      </c>
      <c r="AB1222" s="1" t="str">
        <f t="shared" si="96"/>
        <v>C-14</v>
      </c>
      <c r="AC1222" s="2" t="str">
        <f t="shared" si="97"/>
        <v xml:space="preserve"> RINALDO </v>
      </c>
      <c r="AD1222" s="2">
        <f t="shared" si="98"/>
        <v>15</v>
      </c>
      <c r="AE1222" s="2">
        <f t="shared" ca="1" si="99"/>
        <v>-27.126260069446289</v>
      </c>
    </row>
    <row r="1223" spans="1:31" hidden="1">
      <c r="A1223" s="1">
        <v>9421178</v>
      </c>
      <c r="B1223" s="1" t="s">
        <v>101</v>
      </c>
      <c r="C1223" t="s">
        <v>643</v>
      </c>
      <c r="D1223" s="2">
        <v>230019146</v>
      </c>
      <c r="E1223" s="2">
        <v>600001400030</v>
      </c>
      <c r="F1223" s="1" t="s">
        <v>647</v>
      </c>
      <c r="G1223" s="1" t="s">
        <v>53</v>
      </c>
      <c r="H1223" s="1" t="s">
        <v>1084</v>
      </c>
      <c r="I1223" s="1" t="s">
        <v>1085</v>
      </c>
      <c r="J1223" s="1" t="s">
        <v>90</v>
      </c>
      <c r="K1223" t="s">
        <v>650</v>
      </c>
      <c r="M1223" s="1" t="s">
        <v>58</v>
      </c>
      <c r="N1223" s="1">
        <v>0</v>
      </c>
      <c r="O1223" s="1" t="s">
        <v>105</v>
      </c>
      <c r="P1223" s="11" t="s">
        <v>2177</v>
      </c>
      <c r="R1223" s="1">
        <v>4</v>
      </c>
      <c r="T1223" s="1" t="s">
        <v>646</v>
      </c>
      <c r="U1223" s="11" t="s">
        <v>2178</v>
      </c>
      <c r="V1223" s="1" t="s">
        <v>41</v>
      </c>
      <c r="W1223" s="1" t="s">
        <v>49</v>
      </c>
      <c r="X1223" s="13" t="str">
        <f>IF(RIGHT(H1223,2)&lt;&gt;"00",H1223,"")</f>
        <v/>
      </c>
      <c r="Y1223" s="2">
        <f ca="1">NETWORKDAYS(P1223,$Y$1)</f>
        <v>21</v>
      </c>
      <c r="Z1223" s="14">
        <v>1</v>
      </c>
      <c r="AA1223" s="1" t="str">
        <f t="shared" ca="1" si="95"/>
        <v>VENCIDO</v>
      </c>
      <c r="AB1223" s="1" t="str">
        <f t="shared" si="96"/>
        <v>C-14</v>
      </c>
      <c r="AC1223" s="2" t="str">
        <f t="shared" si="97"/>
        <v xml:space="preserve"> RINALDO </v>
      </c>
      <c r="AD1223" s="2">
        <f t="shared" si="98"/>
        <v>15</v>
      </c>
      <c r="AE1223" s="2">
        <f t="shared" ca="1" si="99"/>
        <v>-27.126537847223517</v>
      </c>
    </row>
    <row r="1224" spans="1:31" hidden="1">
      <c r="A1224" s="1">
        <v>9421141</v>
      </c>
      <c r="B1224" s="1" t="s">
        <v>101</v>
      </c>
      <c r="C1224" t="s">
        <v>643</v>
      </c>
      <c r="D1224" s="2">
        <v>230019316</v>
      </c>
      <c r="E1224" s="2">
        <v>1061001400030</v>
      </c>
      <c r="F1224" s="1" t="s">
        <v>647</v>
      </c>
      <c r="G1224" s="1" t="s">
        <v>53</v>
      </c>
      <c r="H1224" s="1" t="s">
        <v>166</v>
      </c>
      <c r="I1224" s="1" t="s">
        <v>167</v>
      </c>
      <c r="J1224" s="1" t="s">
        <v>85</v>
      </c>
      <c r="K1224" t="s">
        <v>650</v>
      </c>
      <c r="M1224" s="1" t="s">
        <v>58</v>
      </c>
      <c r="N1224" s="1">
        <v>0</v>
      </c>
      <c r="O1224" s="1" t="s">
        <v>105</v>
      </c>
      <c r="P1224" s="11" t="s">
        <v>2182</v>
      </c>
      <c r="R1224" s="1">
        <v>4</v>
      </c>
      <c r="T1224" s="1" t="s">
        <v>646</v>
      </c>
      <c r="U1224" s="11" t="s">
        <v>2183</v>
      </c>
      <c r="V1224" s="1" t="s">
        <v>41</v>
      </c>
      <c r="W1224" s="1" t="s">
        <v>49</v>
      </c>
      <c r="X1224" s="13" t="str">
        <f>IF(RIGHT(H1224,2)&lt;&gt;"00",H1224,"")</f>
        <v/>
      </c>
      <c r="Y1224" s="2">
        <f ca="1">NETWORKDAYS(P1224,$Y$1)</f>
        <v>21</v>
      </c>
      <c r="Z1224" s="14">
        <v>1</v>
      </c>
      <c r="AA1224" s="1" t="str">
        <f t="shared" ca="1" si="95"/>
        <v>VENCIDO</v>
      </c>
      <c r="AB1224" s="1" t="str">
        <f t="shared" si="96"/>
        <v>C-14</v>
      </c>
      <c r="AC1224" s="2" t="str">
        <f t="shared" si="97"/>
        <v xml:space="preserve"> RINALDO </v>
      </c>
      <c r="AD1224" s="2">
        <f t="shared" si="98"/>
        <v>15</v>
      </c>
      <c r="AE1224" s="2">
        <f t="shared" ca="1" si="99"/>
        <v>-27.128898958333593</v>
      </c>
    </row>
    <row r="1225" spans="1:31" hidden="1">
      <c r="A1225" s="1">
        <v>9421140</v>
      </c>
      <c r="B1225" s="1" t="s">
        <v>101</v>
      </c>
      <c r="C1225" t="s">
        <v>643</v>
      </c>
      <c r="D1225" s="2">
        <v>230019315</v>
      </c>
      <c r="E1225" s="2">
        <v>1059001400030</v>
      </c>
      <c r="F1225" s="1" t="s">
        <v>647</v>
      </c>
      <c r="G1225" s="1" t="s">
        <v>53</v>
      </c>
      <c r="H1225" s="1" t="s">
        <v>88</v>
      </c>
      <c r="I1225" s="1" t="s">
        <v>89</v>
      </c>
      <c r="J1225" s="1" t="s">
        <v>90</v>
      </c>
      <c r="K1225" t="s">
        <v>650</v>
      </c>
      <c r="M1225" s="1" t="s">
        <v>58</v>
      </c>
      <c r="N1225" s="1">
        <v>0</v>
      </c>
      <c r="O1225" s="1" t="s">
        <v>105</v>
      </c>
      <c r="P1225" s="11" t="s">
        <v>2184</v>
      </c>
      <c r="R1225" s="1">
        <v>4</v>
      </c>
      <c r="T1225" s="1" t="s">
        <v>646</v>
      </c>
      <c r="U1225" s="11" t="s">
        <v>2185</v>
      </c>
      <c r="V1225" s="1" t="s">
        <v>41</v>
      </c>
      <c r="W1225" s="1" t="s">
        <v>49</v>
      </c>
      <c r="X1225" s="13" t="str">
        <f>IF(RIGHT(H1225,2)&lt;&gt;"00",H1225,"")</f>
        <v/>
      </c>
      <c r="Y1225" s="2">
        <f ca="1">NETWORKDAYS(P1225,$Y$1)</f>
        <v>21</v>
      </c>
      <c r="Z1225" s="14">
        <v>1</v>
      </c>
      <c r="AA1225" s="1" t="str">
        <f t="shared" ca="1" si="95"/>
        <v>VENCIDO</v>
      </c>
      <c r="AB1225" s="1" t="str">
        <f t="shared" si="96"/>
        <v>C-14</v>
      </c>
      <c r="AC1225" s="2" t="str">
        <f t="shared" si="97"/>
        <v xml:space="preserve"> RINALDO </v>
      </c>
      <c r="AD1225" s="2">
        <f t="shared" si="98"/>
        <v>15</v>
      </c>
      <c r="AE1225" s="2">
        <f t="shared" ca="1" si="99"/>
        <v>-27.128991550926003</v>
      </c>
    </row>
    <row r="1226" spans="1:31" hidden="1">
      <c r="A1226" s="1">
        <v>9421115</v>
      </c>
      <c r="B1226" s="1" t="s">
        <v>101</v>
      </c>
      <c r="C1226" t="s">
        <v>643</v>
      </c>
      <c r="D1226" s="2">
        <v>230019301</v>
      </c>
      <c r="E1226" s="2">
        <v>1028001400030</v>
      </c>
      <c r="F1226" s="1" t="s">
        <v>647</v>
      </c>
      <c r="G1226" s="1" t="s">
        <v>53</v>
      </c>
      <c r="H1226" s="1" t="s">
        <v>1079</v>
      </c>
      <c r="I1226" s="1" t="s">
        <v>1080</v>
      </c>
      <c r="J1226" s="1" t="s">
        <v>85</v>
      </c>
      <c r="K1226" t="s">
        <v>650</v>
      </c>
      <c r="M1226" s="1" t="s">
        <v>58</v>
      </c>
      <c r="N1226" s="1">
        <v>0</v>
      </c>
      <c r="O1226" s="1" t="s">
        <v>105</v>
      </c>
      <c r="P1226" s="11" t="s">
        <v>2186</v>
      </c>
      <c r="R1226" s="1">
        <v>4</v>
      </c>
      <c r="T1226" s="1" t="s">
        <v>646</v>
      </c>
      <c r="U1226" s="11" t="s">
        <v>2187</v>
      </c>
      <c r="V1226" s="1" t="s">
        <v>41</v>
      </c>
      <c r="W1226" s="1" t="s">
        <v>49</v>
      </c>
      <c r="X1226" s="13" t="str">
        <f>IF(RIGHT(H1226,2)&lt;&gt;"00",H1226,"")</f>
        <v/>
      </c>
      <c r="Y1226" s="2">
        <f ca="1">NETWORKDAYS(P1226,$Y$1)</f>
        <v>21</v>
      </c>
      <c r="Z1226" s="14">
        <v>1</v>
      </c>
      <c r="AA1226" s="1" t="str">
        <f t="shared" ca="1" si="95"/>
        <v>VENCIDO</v>
      </c>
      <c r="AB1226" s="1" t="str">
        <f t="shared" si="96"/>
        <v>C-14</v>
      </c>
      <c r="AC1226" s="2" t="str">
        <f t="shared" si="97"/>
        <v xml:space="preserve"> RINALDO </v>
      </c>
      <c r="AD1226" s="2">
        <f t="shared" si="98"/>
        <v>15</v>
      </c>
      <c r="AE1226" s="2">
        <f t="shared" ca="1" si="99"/>
        <v>-27.130507754627615</v>
      </c>
    </row>
    <row r="1227" spans="1:31" hidden="1">
      <c r="A1227" s="1">
        <v>9421027</v>
      </c>
      <c r="B1227" s="1" t="s">
        <v>101</v>
      </c>
      <c r="C1227" t="s">
        <v>643</v>
      </c>
      <c r="D1227" s="2">
        <v>230018996</v>
      </c>
      <c r="E1227" s="2">
        <v>115001400030</v>
      </c>
      <c r="F1227" s="1" t="s">
        <v>647</v>
      </c>
      <c r="G1227" s="1" t="s">
        <v>53</v>
      </c>
      <c r="H1227" s="1" t="s">
        <v>542</v>
      </c>
      <c r="I1227" s="1" t="s">
        <v>543</v>
      </c>
      <c r="J1227" s="1" t="s">
        <v>56</v>
      </c>
      <c r="K1227" t="s">
        <v>650</v>
      </c>
      <c r="M1227" s="1" t="s">
        <v>58</v>
      </c>
      <c r="N1227" s="1">
        <v>0</v>
      </c>
      <c r="O1227" s="1" t="s">
        <v>105</v>
      </c>
      <c r="P1227" s="11" t="s">
        <v>2188</v>
      </c>
      <c r="R1227" s="1">
        <v>4</v>
      </c>
      <c r="T1227" s="1" t="s">
        <v>646</v>
      </c>
      <c r="U1227" s="11" t="s">
        <v>2189</v>
      </c>
      <c r="V1227" s="1" t="s">
        <v>41</v>
      </c>
      <c r="W1227" s="1" t="s">
        <v>49</v>
      </c>
      <c r="X1227" s="13" t="str">
        <f>IF(RIGHT(H1227,2)&lt;&gt;"00",H1227,"")</f>
        <v/>
      </c>
      <c r="Y1227" s="2">
        <f ca="1">NETWORKDAYS(P1227,$Y$1)</f>
        <v>21</v>
      </c>
      <c r="Z1227" s="14">
        <v>1</v>
      </c>
      <c r="AA1227" s="1" t="str">
        <f t="shared" ca="1" si="95"/>
        <v>VENCIDO</v>
      </c>
      <c r="AB1227" s="1" t="str">
        <f t="shared" si="96"/>
        <v>C-14</v>
      </c>
      <c r="AC1227" s="2" t="str">
        <f t="shared" si="97"/>
        <v xml:space="preserve"> CRISTINA </v>
      </c>
      <c r="AD1227" s="2">
        <f t="shared" si="98"/>
        <v>15</v>
      </c>
      <c r="AE1227" s="2">
        <f t="shared" ca="1" si="99"/>
        <v>-27.136109606479295</v>
      </c>
    </row>
    <row r="1228" spans="1:31" hidden="1">
      <c r="A1228" s="1">
        <v>9420968</v>
      </c>
      <c r="B1228" s="1" t="s">
        <v>101</v>
      </c>
      <c r="C1228" t="s">
        <v>643</v>
      </c>
      <c r="D1228" s="2">
        <v>230019349</v>
      </c>
      <c r="E1228" s="2">
        <v>1153001400030</v>
      </c>
      <c r="F1228" s="1" t="s">
        <v>647</v>
      </c>
      <c r="G1228" s="1" t="s">
        <v>53</v>
      </c>
      <c r="H1228" s="1" t="s">
        <v>1031</v>
      </c>
      <c r="I1228" s="1" t="s">
        <v>1032</v>
      </c>
      <c r="J1228" s="1" t="s">
        <v>79</v>
      </c>
      <c r="K1228" t="s">
        <v>650</v>
      </c>
      <c r="M1228" s="1" t="s">
        <v>58</v>
      </c>
      <c r="N1228" s="1">
        <v>0</v>
      </c>
      <c r="O1228" s="1" t="s">
        <v>105</v>
      </c>
      <c r="P1228" s="11" t="s">
        <v>2190</v>
      </c>
      <c r="R1228" s="1">
        <v>4</v>
      </c>
      <c r="T1228" s="1" t="s">
        <v>646</v>
      </c>
      <c r="U1228" s="11" t="s">
        <v>2191</v>
      </c>
      <c r="V1228" s="1" t="s">
        <v>41</v>
      </c>
      <c r="W1228" s="1" t="s">
        <v>49</v>
      </c>
      <c r="X1228" s="13" t="str">
        <f>IF(RIGHT(H1228,2)&lt;&gt;"00",H1228,"")</f>
        <v/>
      </c>
      <c r="Y1228" s="2">
        <f ca="1">NETWORKDAYS(P1228,$Y$1)</f>
        <v>21</v>
      </c>
      <c r="Z1228" s="14">
        <v>1</v>
      </c>
      <c r="AA1228" s="1" t="str">
        <f t="shared" ca="1" si="95"/>
        <v>VENCIDO</v>
      </c>
      <c r="AB1228" s="1" t="str">
        <f t="shared" si="96"/>
        <v>C-14</v>
      </c>
      <c r="AC1228" s="2" t="str">
        <f t="shared" si="97"/>
        <v xml:space="preserve"> ROSEMERE </v>
      </c>
      <c r="AD1228" s="2">
        <f t="shared" si="98"/>
        <v>15</v>
      </c>
      <c r="AE1228" s="2">
        <f t="shared" ca="1" si="99"/>
        <v>-27.140310995368054</v>
      </c>
    </row>
    <row r="1229" spans="1:31" hidden="1">
      <c r="A1229" s="1">
        <v>9420756</v>
      </c>
      <c r="B1229" s="1" t="s">
        <v>101</v>
      </c>
      <c r="C1229" t="s">
        <v>643</v>
      </c>
      <c r="D1229" s="2">
        <v>230018030</v>
      </c>
      <c r="E1229" s="2">
        <v>1739001400010</v>
      </c>
      <c r="F1229" s="1" t="s">
        <v>936</v>
      </c>
      <c r="G1229" s="1" t="s">
        <v>53</v>
      </c>
      <c r="H1229" s="1" t="s">
        <v>162</v>
      </c>
      <c r="I1229" s="1" t="s">
        <v>163</v>
      </c>
      <c r="J1229" s="1" t="s">
        <v>164</v>
      </c>
      <c r="K1229" t="s">
        <v>937</v>
      </c>
      <c r="M1229" s="1" t="s">
        <v>58</v>
      </c>
      <c r="N1229" s="1">
        <v>0</v>
      </c>
      <c r="O1229" s="1" t="s">
        <v>105</v>
      </c>
      <c r="P1229" s="11" t="s">
        <v>2194</v>
      </c>
      <c r="R1229" s="1">
        <v>3</v>
      </c>
      <c r="T1229" s="1" t="s">
        <v>646</v>
      </c>
      <c r="U1229" s="11" t="s">
        <v>2195</v>
      </c>
      <c r="V1229" s="1" t="s">
        <v>41</v>
      </c>
      <c r="W1229" s="1" t="s">
        <v>49</v>
      </c>
      <c r="X1229" s="13" t="str">
        <f>IF(RIGHT(H1229,2)&lt;&gt;"00",H1229,"")</f>
        <v/>
      </c>
      <c r="Y1229" s="2">
        <f ca="1">NETWORKDAYS(P1229,$Y$1)</f>
        <v>21</v>
      </c>
      <c r="Z1229" s="14">
        <v>1</v>
      </c>
      <c r="AA1229" s="1" t="str">
        <f t="shared" ca="1" si="95"/>
        <v>VENCIDO</v>
      </c>
      <c r="AB1229" s="1" t="str">
        <f t="shared" si="96"/>
        <v>C-14</v>
      </c>
      <c r="AC1229" s="2" t="str">
        <f t="shared" si="97"/>
        <v xml:space="preserve"> ROSEMERE </v>
      </c>
      <c r="AD1229" s="2">
        <f t="shared" si="98"/>
        <v>5</v>
      </c>
      <c r="AE1229" s="2">
        <f t="shared" ca="1" si="99"/>
        <v>-27.148875810184109</v>
      </c>
    </row>
    <row r="1230" spans="1:31" hidden="1">
      <c r="A1230" s="1">
        <v>9420720</v>
      </c>
      <c r="B1230" s="1" t="s">
        <v>101</v>
      </c>
      <c r="C1230" t="s">
        <v>643</v>
      </c>
      <c r="D1230" s="2">
        <v>230017994</v>
      </c>
      <c r="E1230" s="2">
        <v>1650001400010</v>
      </c>
      <c r="F1230" s="1" t="s">
        <v>936</v>
      </c>
      <c r="G1230" s="1" t="s">
        <v>53</v>
      </c>
      <c r="H1230" s="1" t="s">
        <v>620</v>
      </c>
      <c r="I1230" s="1" t="s">
        <v>621</v>
      </c>
      <c r="J1230" s="1" t="s">
        <v>141</v>
      </c>
      <c r="K1230" t="s">
        <v>937</v>
      </c>
      <c r="M1230" s="1" t="s">
        <v>58</v>
      </c>
      <c r="N1230" s="1">
        <v>0</v>
      </c>
      <c r="O1230" s="1" t="s">
        <v>105</v>
      </c>
      <c r="P1230" s="11" t="s">
        <v>2196</v>
      </c>
      <c r="R1230" s="1">
        <v>3</v>
      </c>
      <c r="T1230" s="1" t="s">
        <v>646</v>
      </c>
      <c r="U1230" s="11" t="s">
        <v>2197</v>
      </c>
      <c r="V1230" s="1" t="s">
        <v>41</v>
      </c>
      <c r="W1230" s="1" t="s">
        <v>49</v>
      </c>
      <c r="X1230" s="13" t="str">
        <f>IF(RIGHT(H1230,2)&lt;&gt;"00",H1230,"")</f>
        <v/>
      </c>
      <c r="Y1230" s="2">
        <f ca="1">NETWORKDAYS(P1230,$Y$1)</f>
        <v>21</v>
      </c>
      <c r="Z1230" s="14">
        <v>1</v>
      </c>
      <c r="AA1230" s="1" t="str">
        <f t="shared" ca="1" si="95"/>
        <v>VENCIDO</v>
      </c>
      <c r="AB1230" s="1" t="str">
        <f t="shared" si="96"/>
        <v>C-14</v>
      </c>
      <c r="AC1230" s="2" t="str">
        <f t="shared" si="97"/>
        <v xml:space="preserve"> CRISTINA </v>
      </c>
      <c r="AD1230" s="2">
        <f t="shared" si="98"/>
        <v>5</v>
      </c>
      <c r="AE1230" s="2">
        <f t="shared" ca="1" si="99"/>
        <v>-27.150646643516666</v>
      </c>
    </row>
    <row r="1231" spans="1:31" hidden="1">
      <c r="A1231" s="1">
        <v>9420700</v>
      </c>
      <c r="B1231" s="1" t="s">
        <v>101</v>
      </c>
      <c r="C1231" t="s">
        <v>643</v>
      </c>
      <c r="D1231" s="2">
        <v>230018183</v>
      </c>
      <c r="E1231" s="2">
        <v>2229001400010</v>
      </c>
      <c r="F1231" s="1" t="s">
        <v>936</v>
      </c>
      <c r="G1231" s="1" t="s">
        <v>53</v>
      </c>
      <c r="H1231" s="1" t="s">
        <v>339</v>
      </c>
      <c r="I1231" s="1" t="s">
        <v>340</v>
      </c>
      <c r="J1231" s="1" t="s">
        <v>211</v>
      </c>
      <c r="K1231" t="s">
        <v>937</v>
      </c>
      <c r="M1231" s="1" t="s">
        <v>58</v>
      </c>
      <c r="N1231" s="1">
        <v>0</v>
      </c>
      <c r="O1231" s="1" t="s">
        <v>105</v>
      </c>
      <c r="P1231" s="11" t="s">
        <v>2200</v>
      </c>
      <c r="R1231" s="1">
        <v>3</v>
      </c>
      <c r="T1231" s="1" t="s">
        <v>646</v>
      </c>
      <c r="U1231" s="11" t="s">
        <v>2201</v>
      </c>
      <c r="V1231" s="1" t="s">
        <v>41</v>
      </c>
      <c r="W1231" s="1" t="s">
        <v>49</v>
      </c>
      <c r="X1231" s="13" t="str">
        <f>IF(RIGHT(H1231,2)&lt;&gt;"00",H1231,"")</f>
        <v/>
      </c>
      <c r="Y1231" s="2">
        <f ca="1">NETWORKDAYS(P1231,$Y$1)</f>
        <v>21</v>
      </c>
      <c r="Z1231" s="14">
        <v>1</v>
      </c>
      <c r="AA1231" s="1" t="str">
        <f t="shared" ca="1" si="95"/>
        <v>VENCIDO</v>
      </c>
      <c r="AB1231" s="1" t="str">
        <f t="shared" si="96"/>
        <v>C-14</v>
      </c>
      <c r="AC1231" s="2" t="str">
        <f t="shared" si="97"/>
        <v xml:space="preserve"> RINALDO </v>
      </c>
      <c r="AD1231" s="2">
        <f t="shared" si="98"/>
        <v>5</v>
      </c>
      <c r="AE1231" s="2">
        <f t="shared" ca="1" si="99"/>
        <v>-27.151676736109948</v>
      </c>
    </row>
    <row r="1232" spans="1:31" hidden="1">
      <c r="A1232" s="1">
        <v>9420634</v>
      </c>
      <c r="B1232" s="1" t="s">
        <v>101</v>
      </c>
      <c r="C1232" t="s">
        <v>643</v>
      </c>
      <c r="D1232" s="2">
        <v>230018019</v>
      </c>
      <c r="E1232" s="2">
        <v>1710001400010</v>
      </c>
      <c r="F1232" s="1" t="s">
        <v>936</v>
      </c>
      <c r="G1232" s="1" t="s">
        <v>53</v>
      </c>
      <c r="H1232" s="1" t="s">
        <v>327</v>
      </c>
      <c r="I1232" s="1" t="s">
        <v>328</v>
      </c>
      <c r="J1232" s="1" t="s">
        <v>261</v>
      </c>
      <c r="K1232" t="s">
        <v>937</v>
      </c>
      <c r="M1232" s="1" t="s">
        <v>58</v>
      </c>
      <c r="N1232" s="1">
        <v>0</v>
      </c>
      <c r="O1232" s="1" t="s">
        <v>105</v>
      </c>
      <c r="P1232" s="11" t="s">
        <v>2204</v>
      </c>
      <c r="R1232" s="1">
        <v>3</v>
      </c>
      <c r="T1232" s="1" t="s">
        <v>646</v>
      </c>
      <c r="U1232" s="11" t="s">
        <v>2205</v>
      </c>
      <c r="V1232" s="1" t="s">
        <v>41</v>
      </c>
      <c r="W1232" s="1" t="s">
        <v>49</v>
      </c>
      <c r="X1232" s="13" t="str">
        <f>IF(RIGHT(H1232,2)&lt;&gt;"00",H1232,"")</f>
        <v/>
      </c>
      <c r="Y1232" s="2">
        <f ca="1">NETWORKDAYS(P1232,$Y$1)</f>
        <v>21</v>
      </c>
      <c r="Z1232" s="14">
        <v>1</v>
      </c>
      <c r="AA1232" s="1" t="str">
        <f t="shared" ca="1" si="95"/>
        <v>VENCIDO</v>
      </c>
      <c r="AB1232" s="1" t="str">
        <f t="shared" si="96"/>
        <v>C-14</v>
      </c>
      <c r="AC1232" s="2" t="str">
        <f t="shared" si="97"/>
        <v xml:space="preserve"> CRISTINA </v>
      </c>
      <c r="AD1232" s="2">
        <f t="shared" si="98"/>
        <v>5</v>
      </c>
      <c r="AE1232" s="2">
        <f t="shared" ca="1" si="99"/>
        <v>-27.155218402775063</v>
      </c>
    </row>
    <row r="1233" spans="1:31" hidden="1">
      <c r="A1233" s="1">
        <v>9420518</v>
      </c>
      <c r="B1233" s="1" t="s">
        <v>101</v>
      </c>
      <c r="C1233" t="s">
        <v>643</v>
      </c>
      <c r="D1233" s="2">
        <v>230018414</v>
      </c>
      <c r="E1233" s="2">
        <v>2889001400010</v>
      </c>
      <c r="F1233" s="1" t="s">
        <v>936</v>
      </c>
      <c r="G1233" s="1" t="s">
        <v>53</v>
      </c>
      <c r="H1233" s="1" t="s">
        <v>418</v>
      </c>
      <c r="I1233" s="1" t="s">
        <v>419</v>
      </c>
      <c r="J1233" s="1" t="s">
        <v>46</v>
      </c>
      <c r="K1233" t="s">
        <v>937</v>
      </c>
      <c r="M1233" s="1" t="s">
        <v>58</v>
      </c>
      <c r="N1233" s="1">
        <v>0</v>
      </c>
      <c r="O1233" s="1" t="s">
        <v>36</v>
      </c>
      <c r="P1233" s="11" t="s">
        <v>2208</v>
      </c>
      <c r="R1233" s="1">
        <v>3</v>
      </c>
      <c r="T1233" s="1" t="s">
        <v>646</v>
      </c>
      <c r="U1233" s="11" t="s">
        <v>2209</v>
      </c>
      <c r="V1233" s="1" t="s">
        <v>41</v>
      </c>
      <c r="W1233" s="1" t="s">
        <v>49</v>
      </c>
      <c r="X1233" s="13" t="str">
        <f>IF(RIGHT(H1233,2)&lt;&gt;"00",H1233,"")</f>
        <v/>
      </c>
      <c r="Y1233" s="2">
        <f ca="1">NETWORKDAYS(P1233,$Y$1)</f>
        <v>21</v>
      </c>
      <c r="Z1233" s="14">
        <v>1</v>
      </c>
      <c r="AA1233" s="1" t="str">
        <f t="shared" ca="1" si="95"/>
        <v>VENCIDO</v>
      </c>
      <c r="AB1233" s="1" t="str">
        <f t="shared" si="96"/>
        <v>C-14</v>
      </c>
      <c r="AC1233" s="2" t="str">
        <f t="shared" si="97"/>
        <v xml:space="preserve"> CLEITON </v>
      </c>
      <c r="AD1233" s="2">
        <f t="shared" si="98"/>
        <v>5</v>
      </c>
      <c r="AE1233" s="2">
        <f t="shared" ca="1" si="99"/>
        <v>-27.161121180557529</v>
      </c>
    </row>
    <row r="1234" spans="1:31" hidden="1">
      <c r="A1234" s="1">
        <v>9420480</v>
      </c>
      <c r="B1234" s="1" t="s">
        <v>101</v>
      </c>
      <c r="C1234" t="s">
        <v>643</v>
      </c>
      <c r="D1234" s="2">
        <v>230018152</v>
      </c>
      <c r="E1234" s="2">
        <v>2170001400010</v>
      </c>
      <c r="F1234" s="1" t="s">
        <v>936</v>
      </c>
      <c r="G1234" s="1" t="s">
        <v>53</v>
      </c>
      <c r="H1234" s="1" t="s">
        <v>477</v>
      </c>
      <c r="I1234" s="1" t="s">
        <v>478</v>
      </c>
      <c r="J1234" s="1" t="s">
        <v>148</v>
      </c>
      <c r="K1234" t="s">
        <v>937</v>
      </c>
      <c r="M1234" s="1" t="s">
        <v>58</v>
      </c>
      <c r="N1234" s="1">
        <v>0</v>
      </c>
      <c r="O1234" s="1" t="s">
        <v>105</v>
      </c>
      <c r="P1234" s="11" t="s">
        <v>2210</v>
      </c>
      <c r="R1234" s="1">
        <v>3</v>
      </c>
      <c r="T1234" s="1" t="s">
        <v>646</v>
      </c>
      <c r="U1234" s="11" t="s">
        <v>2211</v>
      </c>
      <c r="V1234" s="1" t="s">
        <v>41</v>
      </c>
      <c r="W1234" s="1" t="s">
        <v>49</v>
      </c>
      <c r="X1234" s="13" t="str">
        <f>IF(RIGHT(H1234,2)&lt;&gt;"00",H1234,"")</f>
        <v/>
      </c>
      <c r="Y1234" s="2">
        <f ca="1">NETWORKDAYS(P1234,$Y$1)</f>
        <v>21</v>
      </c>
      <c r="Z1234" s="14">
        <v>1</v>
      </c>
      <c r="AA1234" s="1" t="str">
        <f t="shared" ca="1" si="95"/>
        <v>VENCIDO</v>
      </c>
      <c r="AB1234" s="1" t="str">
        <f t="shared" si="96"/>
        <v>C-14</v>
      </c>
      <c r="AC1234" s="2" t="str">
        <f t="shared" si="97"/>
        <v xml:space="preserve"> RINALDO </v>
      </c>
      <c r="AD1234" s="2">
        <f t="shared" si="98"/>
        <v>5</v>
      </c>
      <c r="AE1234" s="2">
        <f t="shared" ca="1" si="99"/>
        <v>-27.162845717590244</v>
      </c>
    </row>
    <row r="1235" spans="1:31" hidden="1">
      <c r="A1235" s="1">
        <v>9420284</v>
      </c>
      <c r="B1235" s="1" t="s">
        <v>101</v>
      </c>
      <c r="C1235" t="s">
        <v>643</v>
      </c>
      <c r="D1235" s="2">
        <v>230017858</v>
      </c>
      <c r="E1235" s="2">
        <v>1361001400010</v>
      </c>
      <c r="F1235" s="1" t="s">
        <v>936</v>
      </c>
      <c r="G1235" s="1" t="s">
        <v>53</v>
      </c>
      <c r="H1235" s="1" t="s">
        <v>309</v>
      </c>
      <c r="I1235" s="1" t="s">
        <v>310</v>
      </c>
      <c r="J1235" s="1" t="s">
        <v>46</v>
      </c>
      <c r="K1235" t="s">
        <v>937</v>
      </c>
      <c r="M1235" s="1" t="s">
        <v>58</v>
      </c>
      <c r="N1235" s="1">
        <v>0</v>
      </c>
      <c r="O1235" s="1" t="s">
        <v>105</v>
      </c>
      <c r="P1235" s="11" t="s">
        <v>2212</v>
      </c>
      <c r="R1235" s="1">
        <v>3</v>
      </c>
      <c r="T1235" s="1" t="s">
        <v>646</v>
      </c>
      <c r="U1235" s="11" t="s">
        <v>2213</v>
      </c>
      <c r="V1235" s="1" t="s">
        <v>41</v>
      </c>
      <c r="W1235" s="1" t="s">
        <v>49</v>
      </c>
      <c r="X1235" s="13" t="str">
        <f>IF(RIGHT(H1235,2)&lt;&gt;"00",H1235,"")</f>
        <v/>
      </c>
      <c r="Y1235" s="2">
        <f ca="1">NETWORKDAYS(P1235,$Y$1)</f>
        <v>21</v>
      </c>
      <c r="Z1235" s="14">
        <v>1</v>
      </c>
      <c r="AA1235" s="1" t="str">
        <f t="shared" ca="1" si="95"/>
        <v>VENCIDO</v>
      </c>
      <c r="AB1235" s="1" t="str">
        <f t="shared" si="96"/>
        <v>C-14</v>
      </c>
      <c r="AC1235" s="2" t="str">
        <f t="shared" si="97"/>
        <v xml:space="preserve"> CLEITON </v>
      </c>
      <c r="AD1235" s="2">
        <f t="shared" si="98"/>
        <v>5</v>
      </c>
      <c r="AE1235" s="2">
        <f t="shared" ca="1" si="99"/>
        <v>-27.173054050923383</v>
      </c>
    </row>
    <row r="1236" spans="1:31" hidden="1">
      <c r="A1236" s="1">
        <v>9420231</v>
      </c>
      <c r="B1236" s="1" t="s">
        <v>101</v>
      </c>
      <c r="C1236" t="s">
        <v>643</v>
      </c>
      <c r="D1236" s="2">
        <v>230017980</v>
      </c>
      <c r="E1236" s="2">
        <v>1620001400010</v>
      </c>
      <c r="F1236" s="1" t="s">
        <v>936</v>
      </c>
      <c r="G1236" s="1" t="s">
        <v>53</v>
      </c>
      <c r="H1236" s="1" t="s">
        <v>402</v>
      </c>
      <c r="I1236" s="1" t="s">
        <v>403</v>
      </c>
      <c r="J1236" s="1" t="s">
        <v>46</v>
      </c>
      <c r="K1236" t="s">
        <v>937</v>
      </c>
      <c r="M1236" s="1" t="s">
        <v>58</v>
      </c>
      <c r="N1236" s="1">
        <v>0</v>
      </c>
      <c r="O1236" s="1" t="s">
        <v>105</v>
      </c>
      <c r="P1236" s="11" t="s">
        <v>2214</v>
      </c>
      <c r="R1236" s="1">
        <v>3</v>
      </c>
      <c r="T1236" s="1" t="s">
        <v>646</v>
      </c>
      <c r="U1236" s="11" t="s">
        <v>2215</v>
      </c>
      <c r="V1236" s="1" t="s">
        <v>41</v>
      </c>
      <c r="W1236" s="1" t="s">
        <v>49</v>
      </c>
      <c r="X1236" s="13" t="str">
        <f>IF(RIGHT(H1236,2)&lt;&gt;"00",H1236,"")</f>
        <v/>
      </c>
      <c r="Y1236" s="2">
        <f ca="1">NETWORKDAYS(P1236,$Y$1)</f>
        <v>21</v>
      </c>
      <c r="Z1236" s="14">
        <v>1</v>
      </c>
      <c r="AA1236" s="1" t="str">
        <f t="shared" ca="1" si="95"/>
        <v>VENCIDO</v>
      </c>
      <c r="AB1236" s="1" t="str">
        <f t="shared" si="96"/>
        <v>C-14</v>
      </c>
      <c r="AC1236" s="2" t="str">
        <f t="shared" si="97"/>
        <v xml:space="preserve"> CLEITON </v>
      </c>
      <c r="AD1236" s="2">
        <f t="shared" si="98"/>
        <v>5</v>
      </c>
      <c r="AE1236" s="2">
        <f t="shared" ca="1" si="99"/>
        <v>-27.17622534721886</v>
      </c>
    </row>
    <row r="1237" spans="1:31" hidden="1">
      <c r="A1237" s="1">
        <v>9420175</v>
      </c>
      <c r="B1237" s="1" t="s">
        <v>101</v>
      </c>
      <c r="C1237" t="s">
        <v>643</v>
      </c>
      <c r="D1237" s="2">
        <v>230017622</v>
      </c>
      <c r="E1237" s="2">
        <v>721001400010</v>
      </c>
      <c r="F1237" s="1" t="s">
        <v>936</v>
      </c>
      <c r="G1237" s="1" t="s">
        <v>53</v>
      </c>
      <c r="H1237" s="1" t="s">
        <v>422</v>
      </c>
      <c r="I1237" s="1" t="s">
        <v>423</v>
      </c>
      <c r="J1237" s="1" t="s">
        <v>79</v>
      </c>
      <c r="K1237" t="s">
        <v>937</v>
      </c>
      <c r="M1237" s="1" t="s">
        <v>58</v>
      </c>
      <c r="N1237" s="1">
        <v>0</v>
      </c>
      <c r="O1237" s="1" t="s">
        <v>105</v>
      </c>
      <c r="P1237" s="11" t="s">
        <v>2216</v>
      </c>
      <c r="R1237" s="1">
        <v>3</v>
      </c>
      <c r="T1237" s="1" t="s">
        <v>646</v>
      </c>
      <c r="U1237" s="11" t="s">
        <v>2217</v>
      </c>
      <c r="V1237" s="1" t="s">
        <v>41</v>
      </c>
      <c r="W1237" s="1" t="s">
        <v>49</v>
      </c>
      <c r="X1237" s="13" t="str">
        <f>IF(RIGHT(H1237,2)&lt;&gt;"00",H1237,"")</f>
        <v/>
      </c>
      <c r="Y1237" s="2">
        <f ca="1">NETWORKDAYS(P1237,$Y$1)</f>
        <v>21</v>
      </c>
      <c r="Z1237" s="14">
        <v>1</v>
      </c>
      <c r="AA1237" s="1" t="str">
        <f t="shared" ca="1" si="95"/>
        <v>VENCIDO</v>
      </c>
      <c r="AB1237" s="1" t="str">
        <f t="shared" si="96"/>
        <v>C-14</v>
      </c>
      <c r="AC1237" s="2" t="str">
        <f t="shared" si="97"/>
        <v xml:space="preserve"> ROSEMERE </v>
      </c>
      <c r="AD1237" s="2">
        <f t="shared" si="98"/>
        <v>5</v>
      </c>
      <c r="AE1237" s="2">
        <f t="shared" ca="1" si="99"/>
        <v>-27.178852662036661</v>
      </c>
    </row>
    <row r="1238" spans="1:31" hidden="1">
      <c r="A1238" s="1">
        <v>9419921</v>
      </c>
      <c r="B1238" s="1" t="s">
        <v>101</v>
      </c>
      <c r="C1238" t="s">
        <v>643</v>
      </c>
      <c r="D1238" s="2">
        <v>230021431</v>
      </c>
      <c r="E1238" s="2">
        <v>2138001400040</v>
      </c>
      <c r="F1238" s="1" t="s">
        <v>644</v>
      </c>
      <c r="G1238" s="1" t="s">
        <v>53</v>
      </c>
      <c r="H1238" s="1" t="s">
        <v>379</v>
      </c>
      <c r="I1238" s="1" t="s">
        <v>380</v>
      </c>
      <c r="J1238" s="1" t="s">
        <v>46</v>
      </c>
      <c r="K1238" t="s">
        <v>645</v>
      </c>
      <c r="M1238" s="1" t="s">
        <v>58</v>
      </c>
      <c r="N1238" s="1">
        <v>0</v>
      </c>
      <c r="O1238" s="1" t="s">
        <v>105</v>
      </c>
      <c r="P1238" s="11" t="s">
        <v>2220</v>
      </c>
      <c r="R1238" s="1">
        <v>3</v>
      </c>
      <c r="T1238" s="1" t="s">
        <v>646</v>
      </c>
      <c r="U1238" s="186">
        <v>44959.483402777776</v>
      </c>
      <c r="V1238" s="1" t="s">
        <v>41</v>
      </c>
      <c r="W1238" s="1" t="s">
        <v>49</v>
      </c>
      <c r="X1238" s="13" t="str">
        <f>IF(RIGHT(H1238,2)&lt;&gt;"00",H1238,"")</f>
        <v/>
      </c>
      <c r="Y1238" s="2">
        <f ca="1">NETWORKDAYS(P1238,$Y$1)</f>
        <v>21</v>
      </c>
      <c r="Z1238" s="14">
        <v>1</v>
      </c>
      <c r="AA1238" s="1" t="str">
        <f t="shared" ca="1" si="95"/>
        <v>VENCIDO</v>
      </c>
      <c r="AB1238" s="1" t="str">
        <f t="shared" si="96"/>
        <v>SL-On</v>
      </c>
      <c r="AC1238" s="2" t="str">
        <f t="shared" si="97"/>
        <v xml:space="preserve"> CLEITON </v>
      </c>
      <c r="AD1238" s="2">
        <f t="shared" si="98"/>
        <v>1</v>
      </c>
      <c r="AE1238" s="2">
        <f t="shared" ca="1" si="99"/>
        <v>-27.192868865742639</v>
      </c>
    </row>
    <row r="1239" spans="1:31" hidden="1">
      <c r="A1239" s="1">
        <v>9419909</v>
      </c>
      <c r="B1239" s="1" t="s">
        <v>101</v>
      </c>
      <c r="C1239" t="s">
        <v>643</v>
      </c>
      <c r="D1239" s="2">
        <v>230021419</v>
      </c>
      <c r="E1239" s="2">
        <v>2107001400040</v>
      </c>
      <c r="F1239" s="1" t="s">
        <v>644</v>
      </c>
      <c r="G1239" s="1" t="s">
        <v>53</v>
      </c>
      <c r="H1239" s="1" t="s">
        <v>262</v>
      </c>
      <c r="I1239" s="1" t="s">
        <v>263</v>
      </c>
      <c r="J1239" s="1" t="s">
        <v>164</v>
      </c>
      <c r="K1239" t="s">
        <v>645</v>
      </c>
      <c r="M1239" s="1" t="s">
        <v>58</v>
      </c>
      <c r="N1239" s="1">
        <v>0</v>
      </c>
      <c r="O1239" s="1" t="s">
        <v>105</v>
      </c>
      <c r="P1239" s="11" t="s">
        <v>2222</v>
      </c>
      <c r="R1239" s="1">
        <v>3</v>
      </c>
      <c r="T1239" s="1" t="s">
        <v>646</v>
      </c>
      <c r="U1239" s="186">
        <v>44959.482199074075</v>
      </c>
      <c r="V1239" s="1" t="s">
        <v>41</v>
      </c>
      <c r="W1239" s="1" t="s">
        <v>49</v>
      </c>
      <c r="X1239" s="13" t="str">
        <f>IF(RIGHT(H1239,2)&lt;&gt;"00",H1239,"")</f>
        <v/>
      </c>
      <c r="Y1239" s="2">
        <f ca="1">NETWORKDAYS(P1239,$Y$1)</f>
        <v>21</v>
      </c>
      <c r="Z1239" s="14">
        <v>1</v>
      </c>
      <c r="AA1239" s="1" t="str">
        <f t="shared" ca="1" si="95"/>
        <v>VENCIDO</v>
      </c>
      <c r="AB1239" s="1" t="str">
        <f t="shared" si="96"/>
        <v>SL-On</v>
      </c>
      <c r="AC1239" s="2" t="str">
        <f t="shared" si="97"/>
        <v xml:space="preserve"> ROSEMERE </v>
      </c>
      <c r="AD1239" s="2">
        <f t="shared" si="98"/>
        <v>1</v>
      </c>
      <c r="AE1239" s="2">
        <f t="shared" ca="1" si="99"/>
        <v>-27.194072569443961</v>
      </c>
    </row>
    <row r="1240" spans="1:31" hidden="1">
      <c r="A1240" s="1">
        <v>9419884</v>
      </c>
      <c r="B1240" s="1" t="s">
        <v>101</v>
      </c>
      <c r="C1240" t="s">
        <v>643</v>
      </c>
      <c r="D1240" s="2">
        <v>230021406</v>
      </c>
      <c r="E1240" s="2">
        <v>2069001400040</v>
      </c>
      <c r="F1240" s="1" t="s">
        <v>644</v>
      </c>
      <c r="G1240" s="1" t="s">
        <v>53</v>
      </c>
      <c r="H1240" s="1" t="s">
        <v>557</v>
      </c>
      <c r="I1240" s="1" t="s">
        <v>558</v>
      </c>
      <c r="J1240" s="1" t="s">
        <v>90</v>
      </c>
      <c r="K1240" t="s">
        <v>645</v>
      </c>
      <c r="M1240" s="1" t="s">
        <v>58</v>
      </c>
      <c r="N1240" s="1">
        <v>0</v>
      </c>
      <c r="O1240" s="1" t="s">
        <v>105</v>
      </c>
      <c r="P1240" s="11" t="s">
        <v>2224</v>
      </c>
      <c r="R1240" s="1">
        <v>2</v>
      </c>
      <c r="T1240" s="1" t="s">
        <v>646</v>
      </c>
      <c r="U1240" s="186">
        <v>44959.480925925927</v>
      </c>
      <c r="V1240" s="1" t="s">
        <v>41</v>
      </c>
      <c r="W1240" s="1" t="s">
        <v>49</v>
      </c>
      <c r="X1240" s="13" t="str">
        <f>IF(RIGHT(H1240,2)&lt;&gt;"00",H1240,"")</f>
        <v/>
      </c>
      <c r="Y1240" s="2">
        <f ca="1">NETWORKDAYS(P1240,$Y$1)</f>
        <v>21</v>
      </c>
      <c r="Z1240" s="14">
        <v>1</v>
      </c>
      <c r="AA1240" s="1" t="str">
        <f t="shared" ca="1" si="95"/>
        <v>VENCIDO</v>
      </c>
      <c r="AB1240" s="1" t="str">
        <f t="shared" si="96"/>
        <v>SL-On</v>
      </c>
      <c r="AC1240" s="2" t="str">
        <f t="shared" si="97"/>
        <v xml:space="preserve"> RINALDO </v>
      </c>
      <c r="AD1240" s="2">
        <f t="shared" si="98"/>
        <v>1</v>
      </c>
      <c r="AE1240" s="2">
        <f t="shared" ca="1" si="99"/>
        <v>-27.195345717591408</v>
      </c>
    </row>
    <row r="1241" spans="1:31" hidden="1">
      <c r="A1241" s="1">
        <v>9419831</v>
      </c>
      <c r="B1241" s="1" t="s">
        <v>101</v>
      </c>
      <c r="C1241" t="s">
        <v>643</v>
      </c>
      <c r="D1241" s="2">
        <v>230021369</v>
      </c>
      <c r="E1241" s="2">
        <v>1838001400040</v>
      </c>
      <c r="F1241" s="1" t="s">
        <v>644</v>
      </c>
      <c r="G1241" s="1" t="s">
        <v>53</v>
      </c>
      <c r="H1241" s="1" t="s">
        <v>357</v>
      </c>
      <c r="I1241" s="1" t="s">
        <v>358</v>
      </c>
      <c r="J1241" s="1" t="s">
        <v>46</v>
      </c>
      <c r="K1241" t="s">
        <v>645</v>
      </c>
      <c r="M1241" s="1" t="s">
        <v>58</v>
      </c>
      <c r="N1241" s="1">
        <v>0</v>
      </c>
      <c r="O1241" s="1" t="s">
        <v>105</v>
      </c>
      <c r="P1241" s="11" t="s">
        <v>2226</v>
      </c>
      <c r="R1241" s="1">
        <v>2</v>
      </c>
      <c r="T1241" s="1" t="s">
        <v>646</v>
      </c>
      <c r="U1241" s="186">
        <v>44959.477118055554</v>
      </c>
      <c r="V1241" s="1" t="s">
        <v>41</v>
      </c>
      <c r="W1241" s="1" t="s">
        <v>49</v>
      </c>
      <c r="X1241" s="13" t="str">
        <f>IF(RIGHT(H1241,2)&lt;&gt;"00",H1241,"")</f>
        <v/>
      </c>
      <c r="Y1241" s="2">
        <f ca="1">NETWORKDAYS(P1241,$Y$1)</f>
        <v>21</v>
      </c>
      <c r="Z1241" s="14">
        <v>1</v>
      </c>
      <c r="AA1241" s="1" t="str">
        <f t="shared" ca="1" si="95"/>
        <v>VENCIDO</v>
      </c>
      <c r="AB1241" s="1" t="str">
        <f t="shared" si="96"/>
        <v>SL-On</v>
      </c>
      <c r="AC1241" s="2" t="str">
        <f t="shared" si="97"/>
        <v xml:space="preserve"> CLEITON </v>
      </c>
      <c r="AD1241" s="2">
        <f t="shared" si="98"/>
        <v>1</v>
      </c>
      <c r="AE1241" s="2">
        <f t="shared" ca="1" si="99"/>
        <v>-27.199153587964247</v>
      </c>
    </row>
    <row r="1242" spans="1:31" hidden="1">
      <c r="A1242" s="1">
        <v>9419830</v>
      </c>
      <c r="B1242" s="1" t="s">
        <v>101</v>
      </c>
      <c r="C1242" t="s">
        <v>643</v>
      </c>
      <c r="D1242" s="2">
        <v>230021368</v>
      </c>
      <c r="E1242" s="2">
        <v>1837001400040</v>
      </c>
      <c r="F1242" s="1" t="s">
        <v>644</v>
      </c>
      <c r="G1242" s="1" t="s">
        <v>53</v>
      </c>
      <c r="H1242" s="1" t="s">
        <v>1785</v>
      </c>
      <c r="I1242" s="1" t="s">
        <v>1786</v>
      </c>
      <c r="J1242" s="1" t="s">
        <v>46</v>
      </c>
      <c r="K1242" t="s">
        <v>645</v>
      </c>
      <c r="M1242" s="1" t="s">
        <v>58</v>
      </c>
      <c r="N1242" s="1">
        <v>0</v>
      </c>
      <c r="O1242" s="1" t="s">
        <v>105</v>
      </c>
      <c r="P1242" s="11" t="s">
        <v>2228</v>
      </c>
      <c r="R1242" s="1">
        <v>2</v>
      </c>
      <c r="T1242" s="1" t="s">
        <v>646</v>
      </c>
      <c r="U1242" s="186">
        <v>44959.477013888885</v>
      </c>
      <c r="V1242" s="1" t="s">
        <v>41</v>
      </c>
      <c r="W1242" s="1" t="s">
        <v>49</v>
      </c>
      <c r="X1242" s="13" t="str">
        <f>IF(RIGHT(H1242,2)&lt;&gt;"00",H1242,"")</f>
        <v/>
      </c>
      <c r="Y1242" s="2">
        <f ca="1">NETWORKDAYS(P1242,$Y$1)</f>
        <v>21</v>
      </c>
      <c r="Z1242" s="14">
        <v>1</v>
      </c>
      <c r="AA1242" s="1" t="str">
        <f t="shared" ca="1" si="95"/>
        <v>VENCIDO</v>
      </c>
      <c r="AB1242" s="1" t="str">
        <f t="shared" si="96"/>
        <v>SL-On</v>
      </c>
      <c r="AC1242" s="2" t="str">
        <f t="shared" si="97"/>
        <v xml:space="preserve"> CLEITON </v>
      </c>
      <c r="AD1242" s="2">
        <f t="shared" si="98"/>
        <v>1</v>
      </c>
      <c r="AE1242" s="2">
        <f t="shared" ca="1" si="99"/>
        <v>-27.199257754633436</v>
      </c>
    </row>
    <row r="1243" spans="1:31" hidden="1">
      <c r="A1243" s="1">
        <v>9419827</v>
      </c>
      <c r="B1243" s="1" t="s">
        <v>101</v>
      </c>
      <c r="C1243" t="s">
        <v>643</v>
      </c>
      <c r="D1243" s="2">
        <v>230021366</v>
      </c>
      <c r="E1243" s="2">
        <v>1835001400040</v>
      </c>
      <c r="F1243" s="1" t="s">
        <v>644</v>
      </c>
      <c r="G1243" s="1" t="s">
        <v>53</v>
      </c>
      <c r="H1243" s="1" t="s">
        <v>305</v>
      </c>
      <c r="I1243" s="1" t="s">
        <v>306</v>
      </c>
      <c r="J1243" s="1" t="s">
        <v>46</v>
      </c>
      <c r="K1243" t="s">
        <v>645</v>
      </c>
      <c r="M1243" s="1" t="s">
        <v>58</v>
      </c>
      <c r="N1243" s="1">
        <v>0</v>
      </c>
      <c r="O1243" s="1" t="s">
        <v>105</v>
      </c>
      <c r="P1243" s="11" t="s">
        <v>2232</v>
      </c>
      <c r="R1243" s="1">
        <v>3</v>
      </c>
      <c r="T1243" s="1" t="s">
        <v>646</v>
      </c>
      <c r="U1243" s="186">
        <v>44959.476712962962</v>
      </c>
      <c r="V1243" s="1" t="s">
        <v>41</v>
      </c>
      <c r="W1243" s="1" t="s">
        <v>49</v>
      </c>
      <c r="X1243" s="13" t="str">
        <f>IF(RIGHT(H1243,2)&lt;&gt;"00",H1243,"")</f>
        <v/>
      </c>
      <c r="Y1243" s="2">
        <f ca="1">NETWORKDAYS(P1243,$Y$1)</f>
        <v>21</v>
      </c>
      <c r="Z1243" s="14">
        <v>1</v>
      </c>
      <c r="AA1243" s="1" t="str">
        <f t="shared" ca="1" si="95"/>
        <v>VENCIDO</v>
      </c>
      <c r="AB1243" s="1" t="str">
        <f t="shared" si="96"/>
        <v>SL-On</v>
      </c>
      <c r="AC1243" s="2" t="str">
        <f t="shared" si="97"/>
        <v xml:space="preserve"> CLEITON </v>
      </c>
      <c r="AD1243" s="2">
        <f t="shared" si="98"/>
        <v>1</v>
      </c>
      <c r="AE1243" s="2">
        <f t="shared" ca="1" si="99"/>
        <v>-27.199558680556947</v>
      </c>
    </row>
    <row r="1244" spans="1:31" hidden="1">
      <c r="A1244" s="1">
        <v>9419826</v>
      </c>
      <c r="B1244" s="1" t="s">
        <v>101</v>
      </c>
      <c r="C1244" t="s">
        <v>643</v>
      </c>
      <c r="D1244" s="2">
        <v>230021365</v>
      </c>
      <c r="E1244" s="2">
        <v>1833001400040</v>
      </c>
      <c r="F1244" s="1" t="s">
        <v>644</v>
      </c>
      <c r="G1244" s="1" t="s">
        <v>53</v>
      </c>
      <c r="H1244" s="1" t="s">
        <v>369</v>
      </c>
      <c r="I1244" s="1" t="s">
        <v>370</v>
      </c>
      <c r="J1244" s="1" t="s">
        <v>46</v>
      </c>
      <c r="K1244" t="s">
        <v>645</v>
      </c>
      <c r="M1244" s="1" t="s">
        <v>58</v>
      </c>
      <c r="N1244" s="1">
        <v>0</v>
      </c>
      <c r="O1244" s="1" t="s">
        <v>105</v>
      </c>
      <c r="P1244" s="11" t="s">
        <v>2234</v>
      </c>
      <c r="R1244" s="1">
        <v>3</v>
      </c>
      <c r="T1244" s="1" t="s">
        <v>646</v>
      </c>
      <c r="U1244" s="186">
        <v>44959.4766087963</v>
      </c>
      <c r="V1244" s="1" t="s">
        <v>41</v>
      </c>
      <c r="W1244" s="1" t="s">
        <v>49</v>
      </c>
      <c r="X1244" s="13" t="str">
        <f>IF(RIGHT(H1244,2)&lt;&gt;"00",H1244,"")</f>
        <v/>
      </c>
      <c r="Y1244" s="2">
        <f ca="1">NETWORKDAYS(P1244,$Y$1)</f>
        <v>21</v>
      </c>
      <c r="Z1244" s="14">
        <v>1</v>
      </c>
      <c r="AA1244" s="1" t="str">
        <f t="shared" ca="1" si="95"/>
        <v>VENCIDO</v>
      </c>
      <c r="AB1244" s="1" t="str">
        <f t="shared" si="96"/>
        <v>SL-On</v>
      </c>
      <c r="AC1244" s="2" t="str">
        <f t="shared" si="97"/>
        <v xml:space="preserve"> CLEITON </v>
      </c>
      <c r="AD1244" s="2">
        <f t="shared" si="98"/>
        <v>1</v>
      </c>
      <c r="AE1244" s="2">
        <f t="shared" ca="1" si="99"/>
        <v>-27.19966284721886</v>
      </c>
    </row>
    <row r="1245" spans="1:31" hidden="1">
      <c r="A1245" s="1">
        <v>9419817</v>
      </c>
      <c r="B1245" s="1" t="s">
        <v>101</v>
      </c>
      <c r="C1245" t="s">
        <v>643</v>
      </c>
      <c r="D1245" s="2">
        <v>230021358</v>
      </c>
      <c r="E1245" s="2">
        <v>1814031400040</v>
      </c>
      <c r="F1245" s="1" t="s">
        <v>644</v>
      </c>
      <c r="G1245" s="1" t="s">
        <v>53</v>
      </c>
      <c r="H1245" s="1" t="s">
        <v>719</v>
      </c>
      <c r="I1245" s="1" t="s">
        <v>188</v>
      </c>
      <c r="J1245" s="1" t="s">
        <v>46</v>
      </c>
      <c r="K1245" t="s">
        <v>645</v>
      </c>
      <c r="M1245" s="1" t="s">
        <v>58</v>
      </c>
      <c r="N1245" s="1">
        <v>0</v>
      </c>
      <c r="O1245" s="1" t="s">
        <v>105</v>
      </c>
      <c r="P1245" s="11" t="s">
        <v>2236</v>
      </c>
      <c r="R1245" s="1">
        <v>3</v>
      </c>
      <c r="T1245" s="1" t="s">
        <v>646</v>
      </c>
      <c r="U1245" s="186">
        <v>44959.475706018522</v>
      </c>
      <c r="V1245" s="1" t="s">
        <v>41</v>
      </c>
      <c r="W1245" s="1" t="s">
        <v>49</v>
      </c>
      <c r="X1245" s="13" t="str">
        <f>IF(RIGHT(H1245,2)&lt;&gt;"00",H1245,"")</f>
        <v>1814.03</v>
      </c>
      <c r="Y1245" s="2">
        <f ca="1">NETWORKDAYS(P1245,$Y$1)</f>
        <v>21</v>
      </c>
      <c r="Z1245" s="14">
        <v>1</v>
      </c>
      <c r="AA1245" s="1" t="str">
        <f t="shared" ca="1" si="95"/>
        <v>VENCIDO</v>
      </c>
      <c r="AB1245" s="1" t="str">
        <f t="shared" si="96"/>
        <v>SL-On</v>
      </c>
      <c r="AC1245" s="2" t="str">
        <f t="shared" si="97"/>
        <v xml:space="preserve"> CLEITON </v>
      </c>
      <c r="AD1245" s="2">
        <f t="shared" si="98"/>
        <v>1</v>
      </c>
      <c r="AE1245" s="2">
        <f t="shared" ca="1" si="99"/>
        <v>-27.200565624996671</v>
      </c>
    </row>
    <row r="1246" spans="1:31" hidden="1">
      <c r="A1246" s="1">
        <v>9419815</v>
      </c>
      <c r="B1246" s="1" t="s">
        <v>101</v>
      </c>
      <c r="C1246" t="s">
        <v>643</v>
      </c>
      <c r="D1246" s="2">
        <v>230021357</v>
      </c>
      <c r="E1246" s="2">
        <v>1814001400040</v>
      </c>
      <c r="F1246" s="1" t="s">
        <v>644</v>
      </c>
      <c r="G1246" s="1" t="s">
        <v>53</v>
      </c>
      <c r="H1246" s="1" t="s">
        <v>396</v>
      </c>
      <c r="I1246" s="1" t="s">
        <v>397</v>
      </c>
      <c r="J1246" s="1" t="s">
        <v>46</v>
      </c>
      <c r="K1246" t="s">
        <v>645</v>
      </c>
      <c r="M1246" s="1" t="s">
        <v>58</v>
      </c>
      <c r="N1246" s="1">
        <v>0</v>
      </c>
      <c r="O1246" s="1" t="s">
        <v>105</v>
      </c>
      <c r="P1246" s="11" t="s">
        <v>2238</v>
      </c>
      <c r="R1246" s="1">
        <v>2</v>
      </c>
      <c r="T1246" s="1" t="s">
        <v>646</v>
      </c>
      <c r="U1246" s="11" t="s">
        <v>2239</v>
      </c>
      <c r="V1246" s="1" t="s">
        <v>41</v>
      </c>
      <c r="W1246" s="1" t="s">
        <v>49</v>
      </c>
      <c r="X1246" s="13" t="str">
        <f>IF(RIGHT(H1246,2)&lt;&gt;"00",H1246,"")</f>
        <v/>
      </c>
      <c r="Y1246" s="2">
        <f ca="1">NETWORKDAYS(P1246,$Y$1)</f>
        <v>21</v>
      </c>
      <c r="Z1246" s="14">
        <v>1</v>
      </c>
      <c r="AA1246" s="1" t="str">
        <f t="shared" ca="1" si="95"/>
        <v>VENCIDO</v>
      </c>
      <c r="AB1246" s="1" t="str">
        <f t="shared" si="96"/>
        <v>SL-On</v>
      </c>
      <c r="AC1246" s="2" t="str">
        <f t="shared" si="97"/>
        <v xml:space="preserve"> CLEITON </v>
      </c>
      <c r="AD1246" s="2">
        <f t="shared" si="98"/>
        <v>1</v>
      </c>
      <c r="AE1246" s="2">
        <f t="shared" ca="1" si="99"/>
        <v>-27.20066979166586</v>
      </c>
    </row>
    <row r="1247" spans="1:31" hidden="1">
      <c r="A1247" s="1">
        <v>9419654</v>
      </c>
      <c r="B1247" s="1" t="s">
        <v>101</v>
      </c>
      <c r="C1247" t="s">
        <v>643</v>
      </c>
      <c r="D1247" s="2">
        <v>230021562</v>
      </c>
      <c r="E1247" s="2">
        <v>2422001400040</v>
      </c>
      <c r="F1247" s="1" t="s">
        <v>644</v>
      </c>
      <c r="G1247" s="1" t="s">
        <v>53</v>
      </c>
      <c r="H1247" s="1" t="s">
        <v>1844</v>
      </c>
      <c r="I1247" s="1" t="s">
        <v>1845</v>
      </c>
      <c r="J1247" s="1" t="s">
        <v>211</v>
      </c>
      <c r="K1247" t="s">
        <v>645</v>
      </c>
      <c r="M1247" s="1" t="s">
        <v>58</v>
      </c>
      <c r="N1247" s="1">
        <v>0</v>
      </c>
      <c r="O1247" s="1" t="s">
        <v>105</v>
      </c>
      <c r="P1247" s="11" t="s">
        <v>2240</v>
      </c>
      <c r="R1247" s="1">
        <v>2</v>
      </c>
      <c r="T1247" s="1" t="s">
        <v>646</v>
      </c>
      <c r="U1247" s="186">
        <v>44959.463692129626</v>
      </c>
      <c r="V1247" s="1" t="s">
        <v>41</v>
      </c>
      <c r="W1247" s="1" t="s">
        <v>49</v>
      </c>
      <c r="X1247" s="13" t="str">
        <f>IF(RIGHT(H1247,2)&lt;&gt;"00",H1247,"")</f>
        <v/>
      </c>
      <c r="Y1247" s="2">
        <f ca="1">NETWORKDAYS(P1247,$Y$1)</f>
        <v>21</v>
      </c>
      <c r="Z1247" s="14">
        <v>1</v>
      </c>
      <c r="AA1247" s="1" t="str">
        <f t="shared" ca="1" si="95"/>
        <v>VENCIDO</v>
      </c>
      <c r="AB1247" s="1" t="str">
        <f t="shared" si="96"/>
        <v>SL-On</v>
      </c>
      <c r="AC1247" s="2" t="str">
        <f t="shared" si="97"/>
        <v xml:space="preserve"> RINALDO </v>
      </c>
      <c r="AD1247" s="2">
        <f t="shared" si="98"/>
        <v>1</v>
      </c>
      <c r="AE1247" s="2">
        <f t="shared" ca="1" si="99"/>
        <v>-27.212579513892706</v>
      </c>
    </row>
    <row r="1248" spans="1:31" hidden="1">
      <c r="A1248" s="1">
        <v>9419577</v>
      </c>
      <c r="B1248" s="1" t="s">
        <v>101</v>
      </c>
      <c r="C1248" t="s">
        <v>643</v>
      </c>
      <c r="D1248" s="2">
        <v>230021757</v>
      </c>
      <c r="E1248" s="2">
        <v>2988001400040</v>
      </c>
      <c r="F1248" s="1" t="s">
        <v>644</v>
      </c>
      <c r="G1248" s="1" t="s">
        <v>53</v>
      </c>
      <c r="H1248" s="1" t="s">
        <v>536</v>
      </c>
      <c r="I1248" s="1" t="s">
        <v>537</v>
      </c>
      <c r="J1248" s="1" t="s">
        <v>46</v>
      </c>
      <c r="K1248" t="s">
        <v>645</v>
      </c>
      <c r="M1248" s="1" t="s">
        <v>58</v>
      </c>
      <c r="N1248" s="1">
        <v>0</v>
      </c>
      <c r="O1248" s="1" t="s">
        <v>105</v>
      </c>
      <c r="P1248" s="11" t="s">
        <v>2242</v>
      </c>
      <c r="R1248" s="1">
        <v>2</v>
      </c>
      <c r="T1248" s="1" t="s">
        <v>646</v>
      </c>
      <c r="U1248" s="186">
        <v>44959.458240740743</v>
      </c>
      <c r="V1248" s="1" t="s">
        <v>41</v>
      </c>
      <c r="W1248" s="1" t="s">
        <v>49</v>
      </c>
      <c r="X1248" s="13" t="str">
        <f>IF(RIGHT(H1248,2)&lt;&gt;"00",H1248,"")</f>
        <v/>
      </c>
      <c r="Y1248" s="2">
        <f ca="1">NETWORKDAYS(P1248,$Y$1)</f>
        <v>21</v>
      </c>
      <c r="Z1248" s="14">
        <v>1</v>
      </c>
      <c r="AA1248" s="1" t="str">
        <f t="shared" ca="1" si="95"/>
        <v>VENCIDO</v>
      </c>
      <c r="AB1248" s="1" t="str">
        <f t="shared" si="96"/>
        <v>SL-On</v>
      </c>
      <c r="AC1248" s="2" t="str">
        <f t="shared" si="97"/>
        <v xml:space="preserve"> CLEITON </v>
      </c>
      <c r="AD1248" s="2">
        <f t="shared" si="98"/>
        <v>1</v>
      </c>
      <c r="AE1248" s="2">
        <f t="shared" ca="1" si="99"/>
        <v>-27.218030902775354</v>
      </c>
    </row>
    <row r="1249" spans="1:31" hidden="1">
      <c r="A1249" s="1">
        <v>9419561</v>
      </c>
      <c r="B1249" s="1" t="s">
        <v>101</v>
      </c>
      <c r="C1249" t="s">
        <v>643</v>
      </c>
      <c r="D1249" s="2">
        <v>230021447</v>
      </c>
      <c r="E1249" s="2">
        <v>2170001400040</v>
      </c>
      <c r="F1249" s="1" t="s">
        <v>644</v>
      </c>
      <c r="G1249" s="1" t="s">
        <v>53</v>
      </c>
      <c r="H1249" s="1" t="s">
        <v>477</v>
      </c>
      <c r="I1249" s="1" t="s">
        <v>478</v>
      </c>
      <c r="J1249" s="1" t="s">
        <v>148</v>
      </c>
      <c r="K1249" t="s">
        <v>645</v>
      </c>
      <c r="M1249" s="1" t="s">
        <v>58</v>
      </c>
      <c r="N1249" s="1">
        <v>0</v>
      </c>
      <c r="O1249" s="1" t="s">
        <v>105</v>
      </c>
      <c r="P1249" s="11" t="s">
        <v>2244</v>
      </c>
      <c r="R1249" s="1">
        <v>3</v>
      </c>
      <c r="T1249" s="1" t="s">
        <v>646</v>
      </c>
      <c r="U1249" s="186">
        <v>44959.457002314812</v>
      </c>
      <c r="V1249" s="1" t="s">
        <v>41</v>
      </c>
      <c r="W1249" s="1" t="s">
        <v>49</v>
      </c>
      <c r="X1249" s="13" t="str">
        <f>IF(RIGHT(H1249,2)&lt;&gt;"00",H1249,"")</f>
        <v/>
      </c>
      <c r="Y1249" s="2">
        <f ca="1">NETWORKDAYS(P1249,$Y$1)</f>
        <v>21</v>
      </c>
      <c r="Z1249" s="14">
        <v>1</v>
      </c>
      <c r="AA1249" s="1" t="str">
        <f t="shared" ca="1" si="95"/>
        <v>VENCIDO</v>
      </c>
      <c r="AB1249" s="1" t="str">
        <f t="shared" si="96"/>
        <v>SL-On</v>
      </c>
      <c r="AC1249" s="2" t="str">
        <f t="shared" si="97"/>
        <v xml:space="preserve"> RINALDO </v>
      </c>
      <c r="AD1249" s="2">
        <f t="shared" si="98"/>
        <v>1</v>
      </c>
      <c r="AE1249" s="2">
        <f t="shared" ca="1" si="99"/>
        <v>-27.219269328707014</v>
      </c>
    </row>
    <row r="1250" spans="1:31" hidden="1">
      <c r="A1250" s="1">
        <v>9419525</v>
      </c>
      <c r="B1250" s="1" t="s">
        <v>101</v>
      </c>
      <c r="C1250" t="s">
        <v>643</v>
      </c>
      <c r="D1250" s="2">
        <v>230021156</v>
      </c>
      <c r="E1250" s="2">
        <v>1361001400040</v>
      </c>
      <c r="F1250" s="1" t="s">
        <v>644</v>
      </c>
      <c r="G1250" s="1" t="s">
        <v>53</v>
      </c>
      <c r="H1250" s="1" t="s">
        <v>309</v>
      </c>
      <c r="I1250" s="1" t="s">
        <v>310</v>
      </c>
      <c r="J1250" s="1" t="s">
        <v>46</v>
      </c>
      <c r="K1250" t="s">
        <v>645</v>
      </c>
      <c r="M1250" s="1" t="s">
        <v>58</v>
      </c>
      <c r="N1250" s="1">
        <v>0</v>
      </c>
      <c r="O1250" s="1" t="s">
        <v>105</v>
      </c>
      <c r="P1250" s="11" t="s">
        <v>2246</v>
      </c>
      <c r="R1250" s="1">
        <v>3</v>
      </c>
      <c r="T1250" s="1" t="s">
        <v>646</v>
      </c>
      <c r="U1250" s="186">
        <v>44959.454756944448</v>
      </c>
      <c r="V1250" s="1" t="s">
        <v>41</v>
      </c>
      <c r="W1250" s="1" t="s">
        <v>49</v>
      </c>
      <c r="X1250" s="13" t="str">
        <f>IF(RIGHT(H1250,2)&lt;&gt;"00",H1250,"")</f>
        <v/>
      </c>
      <c r="Y1250" s="2">
        <f ca="1">NETWORKDAYS(P1250,$Y$1)</f>
        <v>21</v>
      </c>
      <c r="Z1250" s="14">
        <v>1</v>
      </c>
      <c r="AA1250" s="1" t="str">
        <f t="shared" ca="1" si="95"/>
        <v>VENCIDO</v>
      </c>
      <c r="AB1250" s="1" t="str">
        <f t="shared" si="96"/>
        <v>SL-On</v>
      </c>
      <c r="AC1250" s="2" t="str">
        <f t="shared" si="97"/>
        <v xml:space="preserve"> CLEITON </v>
      </c>
      <c r="AD1250" s="2">
        <f t="shared" si="98"/>
        <v>1</v>
      </c>
      <c r="AE1250" s="2">
        <f t="shared" ca="1" si="99"/>
        <v>-27.221514699071122</v>
      </c>
    </row>
    <row r="1251" spans="1:31" hidden="1">
      <c r="A1251" s="1">
        <v>9419422</v>
      </c>
      <c r="B1251" s="1" t="s">
        <v>101</v>
      </c>
      <c r="C1251" t="s">
        <v>643</v>
      </c>
      <c r="D1251" s="2">
        <v>230021088</v>
      </c>
      <c r="E1251" s="2">
        <v>1153001400040</v>
      </c>
      <c r="F1251" s="1" t="s">
        <v>644</v>
      </c>
      <c r="G1251" s="1" t="s">
        <v>53</v>
      </c>
      <c r="H1251" s="1" t="s">
        <v>1031</v>
      </c>
      <c r="I1251" s="1" t="s">
        <v>1032</v>
      </c>
      <c r="J1251" s="1" t="s">
        <v>79</v>
      </c>
      <c r="K1251" t="s">
        <v>645</v>
      </c>
      <c r="M1251" s="1" t="s">
        <v>58</v>
      </c>
      <c r="N1251" s="1">
        <v>0</v>
      </c>
      <c r="O1251" s="1" t="s">
        <v>105</v>
      </c>
      <c r="P1251" s="11" t="s">
        <v>2248</v>
      </c>
      <c r="R1251" s="1">
        <v>3</v>
      </c>
      <c r="T1251" s="1" t="s">
        <v>646</v>
      </c>
      <c r="U1251" s="186">
        <v>44959.448564814818</v>
      </c>
      <c r="V1251" s="1" t="s">
        <v>41</v>
      </c>
      <c r="W1251" s="1" t="s">
        <v>49</v>
      </c>
      <c r="X1251" s="13" t="str">
        <f>IF(RIGHT(H1251,2)&lt;&gt;"00",H1251,"")</f>
        <v/>
      </c>
      <c r="Y1251" s="2">
        <f ca="1">NETWORKDAYS(P1251,$Y$1)</f>
        <v>21</v>
      </c>
      <c r="Z1251" s="14">
        <v>1</v>
      </c>
      <c r="AA1251" s="1" t="str">
        <f t="shared" ca="1" si="95"/>
        <v>VENCIDO</v>
      </c>
      <c r="AB1251" s="1" t="str">
        <f t="shared" si="96"/>
        <v>SL-On</v>
      </c>
      <c r="AC1251" s="2" t="str">
        <f t="shared" si="97"/>
        <v xml:space="preserve"> ROSEMERE </v>
      </c>
      <c r="AD1251" s="2">
        <f t="shared" si="98"/>
        <v>1</v>
      </c>
      <c r="AE1251" s="2">
        <f t="shared" ca="1" si="99"/>
        <v>-27.22770682870032</v>
      </c>
    </row>
    <row r="1252" spans="1:31" hidden="1">
      <c r="A1252" s="1">
        <v>9419377</v>
      </c>
      <c r="B1252" s="1" t="s">
        <v>101</v>
      </c>
      <c r="C1252" t="s">
        <v>643</v>
      </c>
      <c r="D1252" s="2">
        <v>230021055</v>
      </c>
      <c r="E1252" s="2">
        <v>1059001400040</v>
      </c>
      <c r="F1252" s="1" t="s">
        <v>644</v>
      </c>
      <c r="G1252" s="1" t="s">
        <v>53</v>
      </c>
      <c r="H1252" s="1" t="s">
        <v>88</v>
      </c>
      <c r="I1252" s="1" t="s">
        <v>89</v>
      </c>
      <c r="J1252" s="1" t="s">
        <v>90</v>
      </c>
      <c r="K1252" t="s">
        <v>645</v>
      </c>
      <c r="M1252" s="1" t="s">
        <v>58</v>
      </c>
      <c r="N1252" s="1">
        <v>0</v>
      </c>
      <c r="O1252" s="1" t="s">
        <v>105</v>
      </c>
      <c r="P1252" s="11" t="s">
        <v>3051</v>
      </c>
      <c r="R1252" s="1">
        <v>2</v>
      </c>
      <c r="T1252" s="1" t="s">
        <v>646</v>
      </c>
      <c r="U1252" s="186">
        <v>44959.445428240739</v>
      </c>
      <c r="V1252" s="1" t="s">
        <v>41</v>
      </c>
      <c r="W1252" s="1" t="s">
        <v>49</v>
      </c>
      <c r="X1252" s="13" t="str">
        <f>IF(RIGHT(H1252,2)&lt;&gt;"00",H1252,"")</f>
        <v/>
      </c>
      <c r="Y1252" s="2">
        <f ca="1">NETWORKDAYS(P1252,$Y$1)</f>
        <v>21</v>
      </c>
      <c r="Z1252" s="14">
        <v>1</v>
      </c>
      <c r="AA1252" s="1" t="str">
        <f t="shared" ca="1" si="95"/>
        <v>VENCIDO</v>
      </c>
      <c r="AB1252" s="1" t="str">
        <f t="shared" si="96"/>
        <v>SL-On</v>
      </c>
      <c r="AC1252" s="2" t="str">
        <f t="shared" si="97"/>
        <v xml:space="preserve"> RINALDO </v>
      </c>
      <c r="AD1252" s="2">
        <f t="shared" si="98"/>
        <v>1</v>
      </c>
      <c r="AE1252" s="2">
        <f t="shared" ca="1" si="99"/>
        <v>-27.23084340278001</v>
      </c>
    </row>
    <row r="1253" spans="1:31" hidden="1">
      <c r="A1253" s="1">
        <v>9419293</v>
      </c>
      <c r="B1253" s="1" t="s">
        <v>101</v>
      </c>
      <c r="C1253" t="s">
        <v>643</v>
      </c>
      <c r="D1253" s="2">
        <v>230021183</v>
      </c>
      <c r="E1253" s="2">
        <v>1421001400040</v>
      </c>
      <c r="F1253" s="1" t="s">
        <v>644</v>
      </c>
      <c r="G1253" s="1" t="s">
        <v>53</v>
      </c>
      <c r="H1253" s="1" t="s">
        <v>179</v>
      </c>
      <c r="I1253" s="1" t="s">
        <v>180</v>
      </c>
      <c r="J1253" s="1" t="s">
        <v>79</v>
      </c>
      <c r="K1253" t="s">
        <v>645</v>
      </c>
      <c r="M1253" s="1" t="s">
        <v>58</v>
      </c>
      <c r="N1253" s="1">
        <v>0</v>
      </c>
      <c r="O1253" s="1" t="s">
        <v>105</v>
      </c>
      <c r="P1253" s="11" t="s">
        <v>3052</v>
      </c>
      <c r="R1253" s="1">
        <v>2</v>
      </c>
      <c r="T1253" s="1" t="s">
        <v>646</v>
      </c>
      <c r="U1253" s="186">
        <v>44959.440381944441</v>
      </c>
      <c r="V1253" s="1" t="s">
        <v>41</v>
      </c>
      <c r="W1253" s="1" t="s">
        <v>49</v>
      </c>
      <c r="X1253" s="13" t="str">
        <f>IF(RIGHT(H1253,2)&lt;&gt;"00",H1253,"")</f>
        <v/>
      </c>
      <c r="Y1253" s="2">
        <f ca="1">NETWORKDAYS(P1253,$Y$1)</f>
        <v>21</v>
      </c>
      <c r="Z1253" s="14">
        <v>1</v>
      </c>
      <c r="AA1253" s="1" t="str">
        <f t="shared" ca="1" si="95"/>
        <v>VENCIDO</v>
      </c>
      <c r="AB1253" s="1" t="str">
        <f t="shared" si="96"/>
        <v>SL-On</v>
      </c>
      <c r="AC1253" s="2" t="str">
        <f t="shared" si="97"/>
        <v xml:space="preserve"> ROSEMERE </v>
      </c>
      <c r="AD1253" s="2">
        <f t="shared" si="98"/>
        <v>1</v>
      </c>
      <c r="AE1253" s="2">
        <f t="shared" ca="1" si="99"/>
        <v>-27.235889699077234</v>
      </c>
    </row>
    <row r="1254" spans="1:31" hidden="1">
      <c r="A1254" s="1">
        <v>9419109</v>
      </c>
      <c r="B1254" s="1" t="s">
        <v>101</v>
      </c>
      <c r="C1254" t="s">
        <v>643</v>
      </c>
      <c r="D1254" s="2">
        <v>230020746</v>
      </c>
      <c r="E1254" s="2">
        <v>115001400040</v>
      </c>
      <c r="F1254" s="1" t="s">
        <v>644</v>
      </c>
      <c r="G1254" s="1" t="s">
        <v>53</v>
      </c>
      <c r="H1254" s="1" t="s">
        <v>542</v>
      </c>
      <c r="I1254" s="1" t="s">
        <v>543</v>
      </c>
      <c r="J1254" s="1" t="s">
        <v>56</v>
      </c>
      <c r="K1254" t="s">
        <v>645</v>
      </c>
      <c r="M1254" s="1" t="s">
        <v>58</v>
      </c>
      <c r="N1254" s="1">
        <v>0</v>
      </c>
      <c r="O1254" s="1" t="s">
        <v>105</v>
      </c>
      <c r="P1254" s="11" t="s">
        <v>3053</v>
      </c>
      <c r="R1254" s="1">
        <v>3</v>
      </c>
      <c r="T1254" s="1" t="s">
        <v>646</v>
      </c>
      <c r="U1254" s="186">
        <v>44959.432187500002</v>
      </c>
      <c r="V1254" s="1" t="s">
        <v>41</v>
      </c>
      <c r="W1254" s="1" t="s">
        <v>49</v>
      </c>
      <c r="X1254" s="13" t="str">
        <f>IF(RIGHT(H1254,2)&lt;&gt;"00",H1254,"")</f>
        <v/>
      </c>
      <c r="Y1254" s="2">
        <f ca="1">NETWORKDAYS(P1254,$Y$1)</f>
        <v>21</v>
      </c>
      <c r="Z1254" s="14">
        <v>1</v>
      </c>
      <c r="AA1254" s="1" t="str">
        <f t="shared" ca="1" si="95"/>
        <v>VENCIDO</v>
      </c>
      <c r="AB1254" s="1" t="str">
        <f t="shared" si="96"/>
        <v>SL-On</v>
      </c>
      <c r="AC1254" s="2" t="str">
        <f t="shared" si="97"/>
        <v xml:space="preserve"> CRISTINA </v>
      </c>
      <c r="AD1254" s="2">
        <f t="shared" si="98"/>
        <v>1</v>
      </c>
      <c r="AE1254" s="2">
        <f t="shared" ca="1" si="99"/>
        <v>-27.244084143516375</v>
      </c>
    </row>
    <row r="1255" spans="1:31" hidden="1">
      <c r="A1255" s="1">
        <v>9418770</v>
      </c>
      <c r="B1255" s="1" t="s">
        <v>101</v>
      </c>
      <c r="C1255" t="s">
        <v>643</v>
      </c>
      <c r="D1255" s="2">
        <v>230020783</v>
      </c>
      <c r="E1255" s="2">
        <v>246001400040</v>
      </c>
      <c r="F1255" s="1" t="s">
        <v>644</v>
      </c>
      <c r="G1255" s="1" t="s">
        <v>53</v>
      </c>
      <c r="H1255" s="1" t="s">
        <v>1193</v>
      </c>
      <c r="I1255" s="1" t="s">
        <v>1194</v>
      </c>
      <c r="J1255" s="1" t="s">
        <v>85</v>
      </c>
      <c r="K1255" t="s">
        <v>645</v>
      </c>
      <c r="M1255" s="1" t="s">
        <v>58</v>
      </c>
      <c r="N1255" s="1">
        <v>0</v>
      </c>
      <c r="O1255" s="1" t="s">
        <v>105</v>
      </c>
      <c r="P1255" s="11" t="s">
        <v>2252</v>
      </c>
      <c r="R1255" s="1">
        <v>2</v>
      </c>
      <c r="T1255" s="1" t="s">
        <v>646</v>
      </c>
      <c r="U1255" s="11" t="s">
        <v>2253</v>
      </c>
      <c r="V1255" s="1" t="s">
        <v>41</v>
      </c>
      <c r="W1255" s="1" t="s">
        <v>49</v>
      </c>
      <c r="X1255" s="13" t="str">
        <f>IF(RIGHT(H1255,2)&lt;&gt;"00",H1255,"")</f>
        <v/>
      </c>
      <c r="Y1255" s="2">
        <f ca="1">NETWORKDAYS(P1255,$Y$1)</f>
        <v>21</v>
      </c>
      <c r="Z1255" s="14">
        <v>1</v>
      </c>
      <c r="AA1255" s="1" t="str">
        <f t="shared" ca="1" si="95"/>
        <v>VENCIDO</v>
      </c>
      <c r="AB1255" s="1" t="str">
        <f t="shared" si="96"/>
        <v>SL-On</v>
      </c>
      <c r="AC1255" s="2" t="str">
        <f t="shared" si="97"/>
        <v xml:space="preserve"> RINALDO </v>
      </c>
      <c r="AD1255" s="2">
        <f t="shared" si="98"/>
        <v>1</v>
      </c>
      <c r="AE1255" s="2">
        <f t="shared" ca="1" si="99"/>
        <v>-27.262324884257396</v>
      </c>
    </row>
    <row r="1256" spans="1:31" hidden="1">
      <c r="A1256" s="1">
        <v>9418769</v>
      </c>
      <c r="B1256" s="1" t="s">
        <v>101</v>
      </c>
      <c r="C1256" t="s">
        <v>643</v>
      </c>
      <c r="D1256" s="2">
        <v>230020782</v>
      </c>
      <c r="E1256" s="2">
        <v>244001400040</v>
      </c>
      <c r="F1256" s="1" t="s">
        <v>644</v>
      </c>
      <c r="G1256" s="1" t="s">
        <v>53</v>
      </c>
      <c r="H1256" s="1" t="s">
        <v>313</v>
      </c>
      <c r="I1256" s="1" t="s">
        <v>314</v>
      </c>
      <c r="J1256" s="1" t="s">
        <v>56</v>
      </c>
      <c r="K1256" t="s">
        <v>645</v>
      </c>
      <c r="M1256" s="1" t="s">
        <v>58</v>
      </c>
      <c r="N1256" s="1">
        <v>0</v>
      </c>
      <c r="O1256" s="1" t="s">
        <v>105</v>
      </c>
      <c r="P1256" s="11" t="s">
        <v>2254</v>
      </c>
      <c r="R1256" s="1">
        <v>3</v>
      </c>
      <c r="T1256" s="1" t="s">
        <v>646</v>
      </c>
      <c r="U1256" s="11" t="s">
        <v>2255</v>
      </c>
      <c r="V1256" s="1" t="s">
        <v>41</v>
      </c>
      <c r="W1256" s="1" t="s">
        <v>49</v>
      </c>
      <c r="X1256" s="13" t="str">
        <f>IF(RIGHT(H1256,2)&lt;&gt;"00",H1256,"")</f>
        <v/>
      </c>
      <c r="Y1256" s="2">
        <f ca="1">NETWORKDAYS(P1256,$Y$1)</f>
        <v>21</v>
      </c>
      <c r="Z1256" s="14">
        <v>1</v>
      </c>
      <c r="AA1256" s="1" t="str">
        <f t="shared" ca="1" si="95"/>
        <v>VENCIDO</v>
      </c>
      <c r="AB1256" s="1" t="str">
        <f t="shared" si="96"/>
        <v>SL-On</v>
      </c>
      <c r="AC1256" s="2" t="str">
        <f t="shared" si="97"/>
        <v xml:space="preserve"> CRISTINA </v>
      </c>
      <c r="AD1256" s="2">
        <f t="shared" si="98"/>
        <v>1</v>
      </c>
      <c r="AE1256" s="2">
        <f t="shared" ca="1" si="99"/>
        <v>-27.262371180557238</v>
      </c>
    </row>
    <row r="1257" spans="1:31" hidden="1">
      <c r="A1257" s="1">
        <v>9418760</v>
      </c>
      <c r="B1257" s="1" t="s">
        <v>101</v>
      </c>
      <c r="C1257" t="s">
        <v>643</v>
      </c>
      <c r="D1257" s="2">
        <v>230020773</v>
      </c>
      <c r="E1257" s="2">
        <v>196001400040</v>
      </c>
      <c r="F1257" s="1" t="s">
        <v>644</v>
      </c>
      <c r="G1257" s="1" t="s">
        <v>53</v>
      </c>
      <c r="H1257" s="1" t="s">
        <v>1060</v>
      </c>
      <c r="I1257" s="1" t="s">
        <v>1061</v>
      </c>
      <c r="J1257" s="1" t="s">
        <v>79</v>
      </c>
      <c r="K1257" t="s">
        <v>645</v>
      </c>
      <c r="M1257" s="1" t="s">
        <v>58</v>
      </c>
      <c r="N1257" s="1">
        <v>0</v>
      </c>
      <c r="O1257" s="1" t="s">
        <v>105</v>
      </c>
      <c r="P1257" s="11" t="s">
        <v>2256</v>
      </c>
      <c r="R1257" s="1">
        <v>2</v>
      </c>
      <c r="T1257" s="1" t="s">
        <v>646</v>
      </c>
      <c r="U1257" s="11" t="s">
        <v>3055</v>
      </c>
      <c r="V1257" s="1" t="s">
        <v>41</v>
      </c>
      <c r="W1257" s="1" t="s">
        <v>49</v>
      </c>
      <c r="X1257" s="13" t="str">
        <f>IF(RIGHT(H1257,2)&lt;&gt;"00",H1257,"")</f>
        <v/>
      </c>
      <c r="Y1257" s="2">
        <f ca="1">NETWORKDAYS(P1257,$Y$1)</f>
        <v>21</v>
      </c>
      <c r="Z1257" s="14">
        <v>1</v>
      </c>
      <c r="AA1257" s="1" t="str">
        <f t="shared" ca="1" si="95"/>
        <v>VENCIDO</v>
      </c>
      <c r="AB1257" s="1" t="str">
        <f t="shared" si="96"/>
        <v>SL-On</v>
      </c>
      <c r="AC1257" s="2" t="str">
        <f t="shared" si="97"/>
        <v xml:space="preserve"> ROSEMERE </v>
      </c>
      <c r="AD1257" s="2">
        <f t="shared" si="98"/>
        <v>1</v>
      </c>
      <c r="AE1257" s="2">
        <f t="shared" ca="1" si="99"/>
        <v>-27.262984606481041</v>
      </c>
    </row>
    <row r="1258" spans="1:31" hidden="1">
      <c r="A1258" s="1">
        <v>9418531</v>
      </c>
      <c r="B1258" s="1" t="s">
        <v>101</v>
      </c>
      <c r="C1258" t="s">
        <v>643</v>
      </c>
      <c r="D1258" s="2">
        <v>230019757</v>
      </c>
      <c r="E1258" s="2">
        <v>2229001400030</v>
      </c>
      <c r="F1258" s="1" t="s">
        <v>647</v>
      </c>
      <c r="G1258" s="1" t="s">
        <v>53</v>
      </c>
      <c r="H1258" s="1" t="s">
        <v>339</v>
      </c>
      <c r="I1258" s="1" t="s">
        <v>340</v>
      </c>
      <c r="J1258" s="1" t="s">
        <v>211</v>
      </c>
      <c r="K1258" t="s">
        <v>650</v>
      </c>
      <c r="M1258" s="1" t="s">
        <v>58</v>
      </c>
      <c r="N1258" s="1">
        <v>0</v>
      </c>
      <c r="O1258" s="1" t="s">
        <v>105</v>
      </c>
      <c r="P1258" s="11" t="s">
        <v>2257</v>
      </c>
      <c r="R1258" s="1">
        <v>4</v>
      </c>
      <c r="T1258" s="1" t="s">
        <v>646</v>
      </c>
      <c r="U1258" s="11" t="s">
        <v>3056</v>
      </c>
      <c r="V1258" s="1" t="s">
        <v>41</v>
      </c>
      <c r="W1258" s="1" t="s">
        <v>49</v>
      </c>
      <c r="X1258" s="13" t="str">
        <f>IF(RIGHT(H1258,2)&lt;&gt;"00",H1258,"")</f>
        <v/>
      </c>
      <c r="Y1258" s="2">
        <f ca="1">NETWORKDAYS(P1258,$Y$1)</f>
        <v>21</v>
      </c>
      <c r="Z1258" s="14">
        <v>1</v>
      </c>
      <c r="AA1258" s="1" t="str">
        <f t="shared" ca="1" si="95"/>
        <v>VENCIDO</v>
      </c>
      <c r="AB1258" s="1" t="str">
        <f t="shared" si="96"/>
        <v>C-14</v>
      </c>
      <c r="AC1258" s="2" t="str">
        <f t="shared" si="97"/>
        <v xml:space="preserve"> RINALDO </v>
      </c>
      <c r="AD1258" s="2">
        <f t="shared" si="98"/>
        <v>15</v>
      </c>
      <c r="AE1258" s="2">
        <f t="shared" ca="1" si="99"/>
        <v>-27.276549421294476</v>
      </c>
    </row>
    <row r="1259" spans="1:31" hidden="1">
      <c r="A1259" s="1">
        <v>9418473</v>
      </c>
      <c r="B1259" s="1" t="s">
        <v>101</v>
      </c>
      <c r="C1259" t="s">
        <v>643</v>
      </c>
      <c r="D1259" s="2">
        <v>230019725</v>
      </c>
      <c r="E1259" s="2">
        <v>2170001400030</v>
      </c>
      <c r="F1259" s="1" t="s">
        <v>647</v>
      </c>
      <c r="G1259" s="1" t="s">
        <v>53</v>
      </c>
      <c r="H1259" s="1" t="s">
        <v>477</v>
      </c>
      <c r="I1259" s="1" t="s">
        <v>478</v>
      </c>
      <c r="J1259" s="1" t="s">
        <v>148</v>
      </c>
      <c r="K1259" t="s">
        <v>650</v>
      </c>
      <c r="M1259" s="1" t="s">
        <v>58</v>
      </c>
      <c r="N1259" s="1">
        <v>0</v>
      </c>
      <c r="O1259" s="1" t="s">
        <v>105</v>
      </c>
      <c r="P1259" s="11" t="s">
        <v>2262</v>
      </c>
      <c r="R1259" s="1">
        <v>4</v>
      </c>
      <c r="T1259" s="1" t="s">
        <v>646</v>
      </c>
      <c r="U1259" s="11" t="s">
        <v>2263</v>
      </c>
      <c r="V1259" s="1" t="s">
        <v>41</v>
      </c>
      <c r="W1259" s="1" t="s">
        <v>49</v>
      </c>
      <c r="X1259" s="13" t="str">
        <f>IF(RIGHT(H1259,2)&lt;&gt;"00",H1259,"")</f>
        <v/>
      </c>
      <c r="Y1259" s="2">
        <f ca="1">NETWORKDAYS(P1259,$Y$1)</f>
        <v>21</v>
      </c>
      <c r="Z1259" s="14">
        <v>1</v>
      </c>
      <c r="AA1259" s="1" t="str">
        <f t="shared" ca="1" si="95"/>
        <v>VENCIDO</v>
      </c>
      <c r="AB1259" s="1" t="str">
        <f t="shared" si="96"/>
        <v>C-14</v>
      </c>
      <c r="AC1259" s="2" t="str">
        <f t="shared" si="97"/>
        <v xml:space="preserve"> RINALDO </v>
      </c>
      <c r="AD1259" s="2">
        <f t="shared" si="98"/>
        <v>15</v>
      </c>
      <c r="AE1259" s="2">
        <f t="shared" ca="1" si="99"/>
        <v>-27.28010266203637</v>
      </c>
    </row>
    <row r="1260" spans="1:31" hidden="1">
      <c r="A1260" s="1">
        <v>9418455</v>
      </c>
      <c r="B1260" s="1" t="s">
        <v>101</v>
      </c>
      <c r="C1260" t="s">
        <v>643</v>
      </c>
      <c r="D1260" s="2">
        <v>230019708</v>
      </c>
      <c r="E1260" s="2">
        <v>2138001400030</v>
      </c>
      <c r="F1260" s="1" t="s">
        <v>647</v>
      </c>
      <c r="G1260" s="1" t="s">
        <v>53</v>
      </c>
      <c r="H1260" s="1" t="s">
        <v>379</v>
      </c>
      <c r="I1260" s="1" t="s">
        <v>380</v>
      </c>
      <c r="J1260" s="1" t="s">
        <v>46</v>
      </c>
      <c r="K1260" t="s">
        <v>650</v>
      </c>
      <c r="M1260" s="1" t="s">
        <v>58</v>
      </c>
      <c r="N1260" s="1">
        <v>0</v>
      </c>
      <c r="O1260" s="1" t="s">
        <v>105</v>
      </c>
      <c r="P1260" s="11" t="s">
        <v>2264</v>
      </c>
      <c r="R1260" s="1">
        <v>4</v>
      </c>
      <c r="T1260" s="1" t="s">
        <v>646</v>
      </c>
      <c r="U1260" s="186">
        <v>44959.394756944443</v>
      </c>
      <c r="V1260" s="1" t="s">
        <v>41</v>
      </c>
      <c r="W1260" s="1" t="s">
        <v>49</v>
      </c>
      <c r="X1260" s="13" t="str">
        <f>IF(RIGHT(H1260,2)&lt;&gt;"00",H1260,"")</f>
        <v/>
      </c>
      <c r="Y1260" s="2">
        <f ca="1">NETWORKDAYS(P1260,$Y$1)</f>
        <v>21</v>
      </c>
      <c r="Z1260" s="14">
        <v>1</v>
      </c>
      <c r="AA1260" s="1" t="str">
        <f t="shared" ca="1" si="95"/>
        <v>VENCIDO</v>
      </c>
      <c r="AB1260" s="1" t="str">
        <f t="shared" si="96"/>
        <v>C-14</v>
      </c>
      <c r="AC1260" s="2" t="str">
        <f t="shared" si="97"/>
        <v xml:space="preserve"> CLEITON </v>
      </c>
      <c r="AD1260" s="2">
        <f t="shared" si="98"/>
        <v>15</v>
      </c>
      <c r="AE1260" s="2">
        <f t="shared" ca="1" si="99"/>
        <v>-27.28151469907607</v>
      </c>
    </row>
    <row r="1261" spans="1:31" hidden="1">
      <c r="A1261" s="1">
        <v>9418331</v>
      </c>
      <c r="B1261" s="1" t="s">
        <v>101</v>
      </c>
      <c r="C1261" t="s">
        <v>643</v>
      </c>
      <c r="D1261" s="2">
        <v>230019888</v>
      </c>
      <c r="E1261" s="2">
        <v>2590001400030</v>
      </c>
      <c r="F1261" s="1" t="s">
        <v>647</v>
      </c>
      <c r="G1261" s="1" t="s">
        <v>53</v>
      </c>
      <c r="H1261" s="1" t="s">
        <v>394</v>
      </c>
      <c r="I1261" s="1" t="s">
        <v>395</v>
      </c>
      <c r="J1261" s="1" t="s">
        <v>148</v>
      </c>
      <c r="K1261" t="s">
        <v>650</v>
      </c>
      <c r="M1261" s="1" t="s">
        <v>58</v>
      </c>
      <c r="N1261" s="1">
        <v>0</v>
      </c>
      <c r="O1261" s="1" t="s">
        <v>105</v>
      </c>
      <c r="P1261" s="11" t="s">
        <v>2267</v>
      </c>
      <c r="R1261" s="1">
        <v>4</v>
      </c>
      <c r="T1261" s="1" t="s">
        <v>646</v>
      </c>
      <c r="U1261" s="186">
        <v>44959.387199074074</v>
      </c>
      <c r="V1261" s="1" t="s">
        <v>41</v>
      </c>
      <c r="W1261" s="1" t="s">
        <v>49</v>
      </c>
      <c r="X1261" s="13" t="str">
        <f>IF(RIGHT(H1261,2)&lt;&gt;"00",H1261,"")</f>
        <v/>
      </c>
      <c r="Y1261" s="2">
        <f ca="1">NETWORKDAYS(P1261,$Y$1)</f>
        <v>21</v>
      </c>
      <c r="Z1261" s="14">
        <v>1</v>
      </c>
      <c r="AA1261" s="1" t="str">
        <f t="shared" ca="1" si="95"/>
        <v>VENCIDO</v>
      </c>
      <c r="AB1261" s="1" t="str">
        <f t="shared" si="96"/>
        <v>C-14</v>
      </c>
      <c r="AC1261" s="2" t="str">
        <f t="shared" si="97"/>
        <v xml:space="preserve"> RINALDO </v>
      </c>
      <c r="AD1261" s="2">
        <f t="shared" si="98"/>
        <v>15</v>
      </c>
      <c r="AE1261" s="2">
        <f t="shared" ca="1" si="99"/>
        <v>-27.289072569445125</v>
      </c>
    </row>
    <row r="1262" spans="1:31" hidden="1">
      <c r="A1262" s="1">
        <v>9418162</v>
      </c>
      <c r="B1262" s="1" t="s">
        <v>101</v>
      </c>
      <c r="C1262" t="s">
        <v>643</v>
      </c>
      <c r="D1262" s="2">
        <v>230020107</v>
      </c>
      <c r="E1262" s="2">
        <v>3108011400030</v>
      </c>
      <c r="F1262" s="1" t="s">
        <v>647</v>
      </c>
      <c r="G1262" s="1" t="s">
        <v>53</v>
      </c>
      <c r="H1262" s="1" t="s">
        <v>503</v>
      </c>
      <c r="I1262" s="1" t="s">
        <v>504</v>
      </c>
      <c r="J1262" s="1" t="s">
        <v>46</v>
      </c>
      <c r="K1262" t="s">
        <v>650</v>
      </c>
      <c r="M1262" s="1" t="s">
        <v>58</v>
      </c>
      <c r="N1262" s="1">
        <v>0</v>
      </c>
      <c r="O1262" s="1" t="s">
        <v>105</v>
      </c>
      <c r="P1262" s="11" t="s">
        <v>3057</v>
      </c>
      <c r="R1262" s="1">
        <v>4</v>
      </c>
      <c r="T1262" s="1" t="s">
        <v>646</v>
      </c>
      <c r="U1262" s="186">
        <v>44959.376886574071</v>
      </c>
      <c r="V1262" s="1" t="s">
        <v>41</v>
      </c>
      <c r="W1262" s="1" t="s">
        <v>49</v>
      </c>
      <c r="X1262" s="13" t="str">
        <f>IF(RIGHT(H1262,2)&lt;&gt;"00",H1262,"")</f>
        <v>3108.01</v>
      </c>
      <c r="Y1262" s="2">
        <f ca="1">NETWORKDAYS(P1262,$Y$1)</f>
        <v>21</v>
      </c>
      <c r="Z1262" s="14">
        <v>1</v>
      </c>
      <c r="AA1262" s="1" t="str">
        <f t="shared" ca="1" si="95"/>
        <v>VENCIDO</v>
      </c>
      <c r="AB1262" s="1" t="str">
        <f t="shared" si="96"/>
        <v>C-14</v>
      </c>
      <c r="AC1262" s="2" t="str">
        <f t="shared" si="97"/>
        <v xml:space="preserve"> CLEITON </v>
      </c>
      <c r="AD1262" s="2">
        <f t="shared" si="98"/>
        <v>15</v>
      </c>
      <c r="AE1262" s="2">
        <f t="shared" ca="1" si="99"/>
        <v>-27.299385069447453</v>
      </c>
    </row>
    <row r="1263" spans="1:31" hidden="1">
      <c r="A1263" s="1">
        <v>9418133</v>
      </c>
      <c r="B1263" s="1" t="s">
        <v>101</v>
      </c>
      <c r="C1263" t="s">
        <v>643</v>
      </c>
      <c r="D1263" s="2">
        <v>230020053</v>
      </c>
      <c r="E1263" s="2">
        <v>2988001400030</v>
      </c>
      <c r="F1263" s="1" t="s">
        <v>647</v>
      </c>
      <c r="G1263" s="1" t="s">
        <v>53</v>
      </c>
      <c r="H1263" s="1" t="s">
        <v>536</v>
      </c>
      <c r="I1263" s="1" t="s">
        <v>537</v>
      </c>
      <c r="J1263" s="1" t="s">
        <v>46</v>
      </c>
      <c r="K1263" t="s">
        <v>650</v>
      </c>
      <c r="M1263" s="1" t="s">
        <v>58</v>
      </c>
      <c r="N1263" s="1">
        <v>0</v>
      </c>
      <c r="O1263" s="1" t="s">
        <v>105</v>
      </c>
      <c r="P1263" s="11" t="s">
        <v>3059</v>
      </c>
      <c r="R1263" s="1">
        <v>4</v>
      </c>
      <c r="T1263" s="1" t="s">
        <v>646</v>
      </c>
      <c r="U1263" s="186">
        <v>44959.374942129631</v>
      </c>
      <c r="V1263" s="1" t="s">
        <v>41</v>
      </c>
      <c r="W1263" s="1" t="s">
        <v>49</v>
      </c>
      <c r="X1263" s="13" t="str">
        <f>IF(RIGHT(H1263,2)&lt;&gt;"00",H1263,"")</f>
        <v/>
      </c>
      <c r="Y1263" s="2">
        <f ca="1">NETWORKDAYS(P1263,$Y$1)</f>
        <v>21</v>
      </c>
      <c r="Z1263" s="14">
        <v>1</v>
      </c>
      <c r="AA1263" s="1" t="str">
        <f t="shared" ca="1" si="95"/>
        <v>VENCIDO</v>
      </c>
      <c r="AB1263" s="1" t="str">
        <f t="shared" si="96"/>
        <v>C-14</v>
      </c>
      <c r="AC1263" s="2" t="str">
        <f t="shared" si="97"/>
        <v xml:space="preserve"> CLEITON </v>
      </c>
      <c r="AD1263" s="2">
        <f t="shared" si="98"/>
        <v>15</v>
      </c>
      <c r="AE1263" s="2">
        <f t="shared" ca="1" si="99"/>
        <v>-27.301329513888049</v>
      </c>
    </row>
    <row r="1264" spans="1:31" hidden="1">
      <c r="A1264" s="1">
        <v>9418017</v>
      </c>
      <c r="B1264" s="1" t="s">
        <v>101</v>
      </c>
      <c r="C1264" t="s">
        <v>643</v>
      </c>
      <c r="D1264" s="2">
        <v>230019614</v>
      </c>
      <c r="E1264" s="2">
        <v>1764001400030</v>
      </c>
      <c r="F1264" s="1" t="s">
        <v>647</v>
      </c>
      <c r="G1264" s="1" t="s">
        <v>53</v>
      </c>
      <c r="H1264" s="1" t="s">
        <v>722</v>
      </c>
      <c r="I1264" s="1" t="s">
        <v>723</v>
      </c>
      <c r="J1264" s="1" t="s">
        <v>90</v>
      </c>
      <c r="K1264" t="s">
        <v>650</v>
      </c>
      <c r="M1264" s="1" t="s">
        <v>58</v>
      </c>
      <c r="N1264" s="1">
        <v>0</v>
      </c>
      <c r="O1264" s="1" t="s">
        <v>105</v>
      </c>
      <c r="P1264" s="11" t="s">
        <v>3061</v>
      </c>
      <c r="R1264" s="1">
        <v>4</v>
      </c>
      <c r="T1264" s="1" t="s">
        <v>646</v>
      </c>
      <c r="U1264" s="186">
        <v>44959.367951388886</v>
      </c>
      <c r="V1264" s="1" t="s">
        <v>41</v>
      </c>
      <c r="W1264" s="1" t="s">
        <v>49</v>
      </c>
      <c r="X1264" s="13" t="str">
        <f>IF(RIGHT(H1264,2)&lt;&gt;"00",H1264,"")</f>
        <v/>
      </c>
      <c r="Y1264" s="2">
        <f ca="1">NETWORKDAYS(P1264,$Y$1)</f>
        <v>21</v>
      </c>
      <c r="Z1264" s="14">
        <v>1</v>
      </c>
      <c r="AA1264" s="1" t="str">
        <f t="shared" ca="1" si="95"/>
        <v>VENCIDO</v>
      </c>
      <c r="AB1264" s="1" t="str">
        <f t="shared" si="96"/>
        <v>C-14</v>
      </c>
      <c r="AC1264" s="2" t="str">
        <f t="shared" si="97"/>
        <v xml:space="preserve"> RINALDO </v>
      </c>
      <c r="AD1264" s="2">
        <f t="shared" si="98"/>
        <v>15</v>
      </c>
      <c r="AE1264" s="2">
        <f t="shared" ca="1" si="99"/>
        <v>-27.308320254633145</v>
      </c>
    </row>
    <row r="1265" spans="1:31" hidden="1">
      <c r="A1265" s="1">
        <v>9418009</v>
      </c>
      <c r="B1265" s="1" t="s">
        <v>1153</v>
      </c>
      <c r="C1265" t="s">
        <v>2269</v>
      </c>
      <c r="E1265" s="2">
        <v>1012000206001</v>
      </c>
      <c r="F1265" s="1" t="s">
        <v>29</v>
      </c>
      <c r="G1265" s="1" t="s">
        <v>53</v>
      </c>
      <c r="H1265" s="1" t="s">
        <v>172</v>
      </c>
      <c r="I1265" s="1" t="s">
        <v>173</v>
      </c>
      <c r="J1265" s="1" t="s">
        <v>164</v>
      </c>
      <c r="K1265" t="s">
        <v>34</v>
      </c>
      <c r="M1265" s="1" t="s">
        <v>35</v>
      </c>
      <c r="N1265" s="1">
        <v>42318949</v>
      </c>
      <c r="O1265" s="1" t="s">
        <v>36</v>
      </c>
      <c r="P1265" s="11" t="s">
        <v>3063</v>
      </c>
      <c r="R1265" s="1" t="s">
        <v>38</v>
      </c>
      <c r="T1265" s="1" t="s">
        <v>74</v>
      </c>
      <c r="U1265" s="186">
        <v>44979.708333333336</v>
      </c>
      <c r="V1265" s="1" t="s">
        <v>41</v>
      </c>
      <c r="W1265" s="1" t="s">
        <v>49</v>
      </c>
      <c r="X1265" s="13" t="str">
        <f>IF(RIGHT(H1265,2)&lt;&gt;"00",H1265,"")</f>
        <v/>
      </c>
      <c r="Y1265" s="2">
        <f ca="1">NETWORKDAYS(P1265,$Y$1)</f>
        <v>21</v>
      </c>
      <c r="Z1265" s="14">
        <v>1</v>
      </c>
      <c r="AA1265" s="1" t="str">
        <f t="shared" ca="1" si="95"/>
        <v>VENCIDO</v>
      </c>
      <c r="AB1265" s="1" t="str">
        <f t="shared" si="96"/>
        <v>Dosa</v>
      </c>
      <c r="AC1265" s="2" t="str">
        <f t="shared" si="97"/>
        <v xml:space="preserve"> ROSEMERE </v>
      </c>
      <c r="AD1265" s="2">
        <f t="shared" si="98"/>
        <v>5</v>
      </c>
      <c r="AE1265" s="2">
        <f t="shared" ca="1" si="99"/>
        <v>-6.9679383101829444</v>
      </c>
    </row>
    <row r="1266" spans="1:31" hidden="1">
      <c r="A1266" s="1">
        <v>9417996</v>
      </c>
      <c r="B1266" s="1" t="s">
        <v>101</v>
      </c>
      <c r="C1266" t="s">
        <v>643</v>
      </c>
      <c r="D1266" s="2">
        <v>230019599</v>
      </c>
      <c r="E1266" s="2">
        <v>1739001400030</v>
      </c>
      <c r="F1266" s="1" t="s">
        <v>647</v>
      </c>
      <c r="G1266" s="1" t="s">
        <v>53</v>
      </c>
      <c r="H1266" s="1" t="s">
        <v>162</v>
      </c>
      <c r="I1266" s="1" t="s">
        <v>163</v>
      </c>
      <c r="J1266" s="1" t="s">
        <v>164</v>
      </c>
      <c r="K1266" t="s">
        <v>650</v>
      </c>
      <c r="M1266" s="1" t="s">
        <v>58</v>
      </c>
      <c r="N1266" s="1">
        <v>0</v>
      </c>
      <c r="O1266" s="1" t="s">
        <v>105</v>
      </c>
      <c r="P1266" s="11" t="s">
        <v>2270</v>
      </c>
      <c r="R1266" s="1">
        <v>4</v>
      </c>
      <c r="T1266" s="1" t="s">
        <v>646</v>
      </c>
      <c r="U1266" s="186">
        <v>44959.36650462963</v>
      </c>
      <c r="V1266" s="1" t="s">
        <v>41</v>
      </c>
      <c r="W1266" s="1" t="s">
        <v>49</v>
      </c>
      <c r="X1266" s="13" t="str">
        <f>IF(RIGHT(H1266,2)&lt;&gt;"00",H1266,"")</f>
        <v/>
      </c>
      <c r="Y1266" s="2">
        <f ca="1">NETWORKDAYS(P1266,$Y$1)</f>
        <v>21</v>
      </c>
      <c r="Z1266" s="14">
        <v>1</v>
      </c>
      <c r="AA1266" s="1" t="str">
        <f t="shared" ca="1" si="95"/>
        <v>VENCIDO</v>
      </c>
      <c r="AB1266" s="1" t="str">
        <f t="shared" si="96"/>
        <v>C-14</v>
      </c>
      <c r="AC1266" s="2" t="str">
        <f t="shared" si="97"/>
        <v xml:space="preserve"> ROSEMERE </v>
      </c>
      <c r="AD1266" s="2">
        <f t="shared" si="98"/>
        <v>15</v>
      </c>
      <c r="AE1266" s="2">
        <f t="shared" ca="1" si="99"/>
        <v>-27.309767013888631</v>
      </c>
    </row>
    <row r="1267" spans="1:31" hidden="1">
      <c r="A1267" s="1">
        <v>9417969</v>
      </c>
      <c r="B1267" s="1" t="s">
        <v>101</v>
      </c>
      <c r="C1267" t="s">
        <v>643</v>
      </c>
      <c r="D1267" s="2">
        <v>230019588</v>
      </c>
      <c r="E1267" s="2">
        <v>1710001400030</v>
      </c>
      <c r="F1267" s="1" t="s">
        <v>647</v>
      </c>
      <c r="G1267" s="1" t="s">
        <v>53</v>
      </c>
      <c r="H1267" s="1" t="s">
        <v>327</v>
      </c>
      <c r="I1267" s="1" t="s">
        <v>328</v>
      </c>
      <c r="J1267" s="1" t="s">
        <v>261</v>
      </c>
      <c r="K1267" t="s">
        <v>650</v>
      </c>
      <c r="M1267" s="1" t="s">
        <v>58</v>
      </c>
      <c r="N1267" s="1">
        <v>0</v>
      </c>
      <c r="O1267" s="1" t="s">
        <v>105</v>
      </c>
      <c r="P1267" s="11" t="s">
        <v>2272</v>
      </c>
      <c r="R1267" s="1">
        <v>4</v>
      </c>
      <c r="T1267" s="1" t="s">
        <v>646</v>
      </c>
      <c r="U1267" s="186">
        <v>44959.36546296296</v>
      </c>
      <c r="V1267" s="1" t="s">
        <v>41</v>
      </c>
      <c r="W1267" s="1" t="s">
        <v>49</v>
      </c>
      <c r="X1267" s="13" t="str">
        <f>IF(RIGHT(H1267,2)&lt;&gt;"00",H1267,"")</f>
        <v/>
      </c>
      <c r="Y1267" s="2">
        <f ca="1">NETWORKDAYS(P1267,$Y$1)</f>
        <v>21</v>
      </c>
      <c r="Z1267" s="14">
        <v>1</v>
      </c>
      <c r="AA1267" s="1" t="str">
        <f t="shared" ca="1" si="95"/>
        <v>VENCIDO</v>
      </c>
      <c r="AB1267" s="1" t="str">
        <f t="shared" si="96"/>
        <v>C-14</v>
      </c>
      <c r="AC1267" s="2" t="str">
        <f t="shared" si="97"/>
        <v xml:space="preserve"> CRISTINA </v>
      </c>
      <c r="AD1267" s="2">
        <f t="shared" si="98"/>
        <v>15</v>
      </c>
      <c r="AE1267" s="2">
        <f t="shared" ca="1" si="99"/>
        <v>-27.310808680558694</v>
      </c>
    </row>
    <row r="1268" spans="1:31" hidden="1">
      <c r="A1268" s="1">
        <v>9417939</v>
      </c>
      <c r="B1268" s="1" t="s">
        <v>101</v>
      </c>
      <c r="C1268" t="s">
        <v>643</v>
      </c>
      <c r="D1268" s="2">
        <v>230019562</v>
      </c>
      <c r="E1268" s="2">
        <v>1650001400030</v>
      </c>
      <c r="F1268" s="1" t="s">
        <v>647</v>
      </c>
      <c r="G1268" s="1" t="s">
        <v>53</v>
      </c>
      <c r="H1268" s="1" t="s">
        <v>620</v>
      </c>
      <c r="I1268" s="1" t="s">
        <v>621</v>
      </c>
      <c r="J1268" s="1" t="s">
        <v>141</v>
      </c>
      <c r="K1268" t="s">
        <v>650</v>
      </c>
      <c r="M1268" s="1" t="s">
        <v>58</v>
      </c>
      <c r="N1268" s="1">
        <v>0</v>
      </c>
      <c r="O1268" s="1" t="s">
        <v>105</v>
      </c>
      <c r="P1268" s="11" t="s">
        <v>2274</v>
      </c>
      <c r="R1268" s="1">
        <v>4</v>
      </c>
      <c r="T1268" s="1" t="s">
        <v>646</v>
      </c>
      <c r="U1268" s="186">
        <v>44959.363310185188</v>
      </c>
      <c r="V1268" s="1" t="s">
        <v>41</v>
      </c>
      <c r="W1268" s="1" t="s">
        <v>49</v>
      </c>
      <c r="X1268" s="13" t="str">
        <f>IF(RIGHT(H1268,2)&lt;&gt;"00",H1268,"")</f>
        <v/>
      </c>
      <c r="Y1268" s="2">
        <f ca="1">NETWORKDAYS(P1268,$Y$1)</f>
        <v>21</v>
      </c>
      <c r="Z1268" s="14">
        <v>1</v>
      </c>
      <c r="AA1268" s="1" t="str">
        <f t="shared" ca="1" si="95"/>
        <v>VENCIDO</v>
      </c>
      <c r="AB1268" s="1" t="str">
        <f t="shared" si="96"/>
        <v>C-14</v>
      </c>
      <c r="AC1268" s="2" t="str">
        <f t="shared" si="97"/>
        <v xml:space="preserve"> CRISTINA </v>
      </c>
      <c r="AD1268" s="2">
        <f t="shared" si="98"/>
        <v>15</v>
      </c>
      <c r="AE1268" s="2">
        <f t="shared" ca="1" si="99"/>
        <v>-27.312961458330392</v>
      </c>
    </row>
    <row r="1269" spans="1:31" hidden="1">
      <c r="A1269" s="1">
        <v>9417911</v>
      </c>
      <c r="B1269" s="1" t="s">
        <v>101</v>
      </c>
      <c r="C1269" t="s">
        <v>643</v>
      </c>
      <c r="D1269" s="2">
        <v>230019546</v>
      </c>
      <c r="E1269" s="2">
        <v>1620001400030</v>
      </c>
      <c r="F1269" s="1" t="s">
        <v>647</v>
      </c>
      <c r="G1269" s="1" t="s">
        <v>53</v>
      </c>
      <c r="H1269" s="1" t="s">
        <v>402</v>
      </c>
      <c r="I1269" s="1" t="s">
        <v>403</v>
      </c>
      <c r="J1269" s="1" t="s">
        <v>46</v>
      </c>
      <c r="K1269" t="s">
        <v>650</v>
      </c>
      <c r="M1269" s="1" t="s">
        <v>58</v>
      </c>
      <c r="N1269" s="1">
        <v>0</v>
      </c>
      <c r="O1269" s="1" t="s">
        <v>105</v>
      </c>
      <c r="P1269" s="11" t="s">
        <v>2276</v>
      </c>
      <c r="R1269" s="1">
        <v>4</v>
      </c>
      <c r="T1269" s="1" t="s">
        <v>646</v>
      </c>
      <c r="U1269" s="186">
        <v>44959.361921296295</v>
      </c>
      <c r="V1269" s="1" t="s">
        <v>41</v>
      </c>
      <c r="W1269" s="1" t="s">
        <v>49</v>
      </c>
      <c r="X1269" s="13" t="str">
        <f>IF(RIGHT(H1269,2)&lt;&gt;"00",H1269,"")</f>
        <v/>
      </c>
      <c r="Y1269" s="2">
        <f ca="1">NETWORKDAYS(P1269,$Y$1)</f>
        <v>21</v>
      </c>
      <c r="Z1269" s="14">
        <v>1</v>
      </c>
      <c r="AA1269" s="1" t="str">
        <f t="shared" ca="1" si="95"/>
        <v>VENCIDO</v>
      </c>
      <c r="AB1269" s="1" t="str">
        <f t="shared" si="96"/>
        <v>C-14</v>
      </c>
      <c r="AC1269" s="2" t="str">
        <f t="shared" si="97"/>
        <v xml:space="preserve"> CLEITON </v>
      </c>
      <c r="AD1269" s="2">
        <f t="shared" si="98"/>
        <v>15</v>
      </c>
      <c r="AE1269" s="2">
        <f t="shared" ca="1" si="99"/>
        <v>-27.314350347223808</v>
      </c>
    </row>
    <row r="1270" spans="1:31" hidden="1">
      <c r="A1270" s="1">
        <v>9417871</v>
      </c>
      <c r="B1270" s="1" t="s">
        <v>101</v>
      </c>
      <c r="C1270" t="s">
        <v>643</v>
      </c>
      <c r="D1270" s="2">
        <v>230019450</v>
      </c>
      <c r="E1270" s="2">
        <v>1421001400030</v>
      </c>
      <c r="F1270" s="1" t="s">
        <v>647</v>
      </c>
      <c r="G1270" s="1" t="s">
        <v>53</v>
      </c>
      <c r="H1270" s="1" t="s">
        <v>179</v>
      </c>
      <c r="I1270" s="1" t="s">
        <v>180</v>
      </c>
      <c r="J1270" s="1" t="s">
        <v>79</v>
      </c>
      <c r="K1270" t="s">
        <v>650</v>
      </c>
      <c r="M1270" s="1" t="s">
        <v>58</v>
      </c>
      <c r="N1270" s="1">
        <v>0</v>
      </c>
      <c r="O1270" s="1" t="s">
        <v>105</v>
      </c>
      <c r="P1270" s="11" t="s">
        <v>3065</v>
      </c>
      <c r="R1270" s="1">
        <v>4</v>
      </c>
      <c r="T1270" s="1" t="s">
        <v>646</v>
      </c>
      <c r="U1270" s="186">
        <v>44959.358854166669</v>
      </c>
      <c r="V1270" s="1" t="s">
        <v>41</v>
      </c>
      <c r="W1270" s="1" t="s">
        <v>49</v>
      </c>
      <c r="X1270" s="13" t="str">
        <f>IF(RIGHT(H1270,2)&lt;&gt;"00",H1270,"")</f>
        <v/>
      </c>
      <c r="Y1270" s="2">
        <f ca="1">NETWORKDAYS(P1270,$Y$1)</f>
        <v>21</v>
      </c>
      <c r="Z1270" s="14">
        <v>1</v>
      </c>
      <c r="AA1270" s="1" t="str">
        <f t="shared" ca="1" si="95"/>
        <v>VENCIDO</v>
      </c>
      <c r="AB1270" s="1" t="str">
        <f t="shared" si="96"/>
        <v>C-14</v>
      </c>
      <c r="AC1270" s="2" t="str">
        <f t="shared" si="97"/>
        <v xml:space="preserve"> ROSEMERE </v>
      </c>
      <c r="AD1270" s="2">
        <f t="shared" si="98"/>
        <v>15</v>
      </c>
      <c r="AE1270" s="2">
        <f t="shared" ca="1" si="99"/>
        <v>-27.317417476850096</v>
      </c>
    </row>
    <row r="1271" spans="1:31" hidden="1">
      <c r="A1271" s="1">
        <v>9417830</v>
      </c>
      <c r="B1271" s="1" t="s">
        <v>101</v>
      </c>
      <c r="C1271" t="s">
        <v>643</v>
      </c>
      <c r="D1271" s="2">
        <v>230019421</v>
      </c>
      <c r="E1271" s="2">
        <v>1361001400030</v>
      </c>
      <c r="F1271" s="1" t="s">
        <v>647</v>
      </c>
      <c r="G1271" s="1" t="s">
        <v>53</v>
      </c>
      <c r="H1271" s="1" t="s">
        <v>309</v>
      </c>
      <c r="I1271" s="1" t="s">
        <v>310</v>
      </c>
      <c r="J1271" s="1" t="s">
        <v>46</v>
      </c>
      <c r="K1271" t="s">
        <v>650</v>
      </c>
      <c r="M1271" s="1" t="s">
        <v>58</v>
      </c>
      <c r="N1271" s="1">
        <v>0</v>
      </c>
      <c r="O1271" s="1" t="s">
        <v>105</v>
      </c>
      <c r="P1271" s="11" t="s">
        <v>2278</v>
      </c>
      <c r="R1271" s="1">
        <v>4</v>
      </c>
      <c r="T1271" s="1" t="s">
        <v>646</v>
      </c>
      <c r="U1271" s="186">
        <v>44959.356493055559</v>
      </c>
      <c r="V1271" s="1" t="s">
        <v>41</v>
      </c>
      <c r="W1271" s="1" t="s">
        <v>49</v>
      </c>
      <c r="X1271" s="13" t="str">
        <f>IF(RIGHT(H1271,2)&lt;&gt;"00",H1271,"")</f>
        <v/>
      </c>
      <c r="Y1271" s="2">
        <f ca="1">NETWORKDAYS(P1271,$Y$1)</f>
        <v>21</v>
      </c>
      <c r="Z1271" s="14">
        <v>1</v>
      </c>
      <c r="AA1271" s="1" t="str">
        <f t="shared" ca="1" si="95"/>
        <v>VENCIDO</v>
      </c>
      <c r="AB1271" s="1" t="str">
        <f t="shared" si="96"/>
        <v>C-14</v>
      </c>
      <c r="AC1271" s="2" t="str">
        <f t="shared" si="97"/>
        <v xml:space="preserve"> CLEITON </v>
      </c>
      <c r="AD1271" s="2">
        <f t="shared" si="98"/>
        <v>15</v>
      </c>
      <c r="AE1271" s="2">
        <f t="shared" ca="1" si="99"/>
        <v>-27.319778587960172</v>
      </c>
    </row>
    <row r="1272" spans="1:31" hidden="1">
      <c r="A1272" s="1">
        <v>9417682</v>
      </c>
      <c r="B1272" s="1" t="s">
        <v>101</v>
      </c>
      <c r="C1272" t="s">
        <v>643</v>
      </c>
      <c r="D1272" s="2">
        <v>230019273</v>
      </c>
      <c r="E1272" s="2">
        <v>963001400030</v>
      </c>
      <c r="F1272" s="1" t="s">
        <v>647</v>
      </c>
      <c r="G1272" s="1" t="s">
        <v>53</v>
      </c>
      <c r="H1272" s="1" t="s">
        <v>531</v>
      </c>
      <c r="I1272" s="1" t="s">
        <v>532</v>
      </c>
      <c r="J1272" s="1" t="s">
        <v>33</v>
      </c>
      <c r="K1272" t="s">
        <v>650</v>
      </c>
      <c r="M1272" s="1" t="s">
        <v>58</v>
      </c>
      <c r="N1272" s="1">
        <v>0</v>
      </c>
      <c r="O1272" s="1" t="s">
        <v>105</v>
      </c>
      <c r="P1272" s="11" t="s">
        <v>3067</v>
      </c>
      <c r="R1272" s="1">
        <v>4</v>
      </c>
      <c r="T1272" s="1" t="s">
        <v>646</v>
      </c>
      <c r="U1272" s="186">
        <v>44959.34814814815</v>
      </c>
      <c r="V1272" s="1" t="s">
        <v>41</v>
      </c>
      <c r="W1272" s="1" t="s">
        <v>49</v>
      </c>
      <c r="X1272" s="13" t="str">
        <f>IF(RIGHT(H1272,2)&lt;&gt;"00",H1272,"")</f>
        <v/>
      </c>
      <c r="Y1272" s="2">
        <f ca="1">NETWORKDAYS(P1272,$Y$1)</f>
        <v>21</v>
      </c>
      <c r="Z1272" s="14">
        <v>1</v>
      </c>
      <c r="AA1272" s="1" t="str">
        <f t="shared" ca="1" si="95"/>
        <v>VENCIDO</v>
      </c>
      <c r="AB1272" s="1" t="str">
        <f t="shared" si="96"/>
        <v>C-14</v>
      </c>
      <c r="AC1272" s="2" t="str">
        <f t="shared" si="97"/>
        <v xml:space="preserve"> ROSEMERE </v>
      </c>
      <c r="AD1272" s="2">
        <f t="shared" si="98"/>
        <v>15</v>
      </c>
      <c r="AE1272" s="2">
        <f t="shared" ca="1" si="99"/>
        <v>-27.328123495368345</v>
      </c>
    </row>
    <row r="1273" spans="1:31" hidden="1">
      <c r="A1273" s="1">
        <v>9417663</v>
      </c>
      <c r="B1273" s="1" t="s">
        <v>101</v>
      </c>
      <c r="C1273" t="s">
        <v>643</v>
      </c>
      <c r="D1273" s="2">
        <v>230019027</v>
      </c>
      <c r="E1273" s="2">
        <v>196001400030</v>
      </c>
      <c r="F1273" s="1" t="s">
        <v>647</v>
      </c>
      <c r="G1273" s="1" t="s">
        <v>53</v>
      </c>
      <c r="H1273" s="1" t="s">
        <v>1060</v>
      </c>
      <c r="I1273" s="1" t="s">
        <v>1061</v>
      </c>
      <c r="J1273" s="1" t="s">
        <v>79</v>
      </c>
      <c r="K1273" t="s">
        <v>650</v>
      </c>
      <c r="M1273" s="1" t="s">
        <v>58</v>
      </c>
      <c r="N1273" s="1">
        <v>0</v>
      </c>
      <c r="O1273" s="1" t="s">
        <v>105</v>
      </c>
      <c r="P1273" s="11" t="s">
        <v>2280</v>
      </c>
      <c r="R1273" s="1">
        <v>4</v>
      </c>
      <c r="T1273" s="1" t="s">
        <v>646</v>
      </c>
      <c r="U1273" s="186">
        <v>44959.346817129626</v>
      </c>
      <c r="V1273" s="1" t="s">
        <v>41</v>
      </c>
      <c r="W1273" s="1" t="s">
        <v>49</v>
      </c>
      <c r="X1273" s="13" t="str">
        <f>IF(RIGHT(H1273,2)&lt;&gt;"00",H1273,"")</f>
        <v/>
      </c>
      <c r="Y1273" s="2">
        <f ca="1">NETWORKDAYS(P1273,$Y$1)</f>
        <v>21</v>
      </c>
      <c r="Z1273" s="14">
        <v>1</v>
      </c>
      <c r="AA1273" s="1" t="str">
        <f t="shared" ca="1" si="95"/>
        <v>VENCIDO</v>
      </c>
      <c r="AB1273" s="1" t="str">
        <f t="shared" si="96"/>
        <v>C-14</v>
      </c>
      <c r="AC1273" s="2" t="str">
        <f t="shared" si="97"/>
        <v xml:space="preserve"> ROSEMERE </v>
      </c>
      <c r="AD1273" s="2">
        <f t="shared" si="98"/>
        <v>15</v>
      </c>
      <c r="AE1273" s="2">
        <f t="shared" ca="1" si="99"/>
        <v>-27.329454513892415</v>
      </c>
    </row>
    <row r="1274" spans="1:31" hidden="1">
      <c r="A1274" s="1">
        <v>9417399</v>
      </c>
      <c r="B1274" s="1" t="s">
        <v>101</v>
      </c>
      <c r="C1274" t="s">
        <v>643</v>
      </c>
      <c r="D1274" s="2">
        <v>230019038</v>
      </c>
      <c r="E1274" s="2">
        <v>246001400030</v>
      </c>
      <c r="F1274" s="1" t="s">
        <v>647</v>
      </c>
      <c r="G1274" s="1" t="s">
        <v>53</v>
      </c>
      <c r="H1274" s="1" t="s">
        <v>1193</v>
      </c>
      <c r="I1274" s="1" t="s">
        <v>1194</v>
      </c>
      <c r="J1274" s="1" t="s">
        <v>85</v>
      </c>
      <c r="K1274" t="s">
        <v>650</v>
      </c>
      <c r="M1274" s="1" t="s">
        <v>58</v>
      </c>
      <c r="N1274" s="1">
        <v>0</v>
      </c>
      <c r="O1274" s="1" t="s">
        <v>105</v>
      </c>
      <c r="P1274" s="11" t="s">
        <v>3069</v>
      </c>
      <c r="R1274" s="1">
        <v>4</v>
      </c>
      <c r="T1274" s="1" t="s">
        <v>646</v>
      </c>
      <c r="U1274" s="186">
        <v>44959.33148148148</v>
      </c>
      <c r="V1274" s="1" t="s">
        <v>41</v>
      </c>
      <c r="W1274" s="1" t="s">
        <v>49</v>
      </c>
      <c r="X1274" s="13" t="str">
        <f>IF(RIGHT(H1274,2)&lt;&gt;"00",H1274,"")</f>
        <v/>
      </c>
      <c r="Y1274" s="2">
        <f ca="1">NETWORKDAYS(P1274,$Y$1)</f>
        <v>21</v>
      </c>
      <c r="Z1274" s="14">
        <v>1</v>
      </c>
      <c r="AA1274" s="1" t="str">
        <f t="shared" ca="1" si="95"/>
        <v>VENCIDO</v>
      </c>
      <c r="AB1274" s="1" t="str">
        <f t="shared" si="96"/>
        <v>C-14</v>
      </c>
      <c r="AC1274" s="2" t="str">
        <f t="shared" si="97"/>
        <v xml:space="preserve"> RINALDO </v>
      </c>
      <c r="AD1274" s="2">
        <f t="shared" si="98"/>
        <v>15</v>
      </c>
      <c r="AE1274" s="2">
        <f t="shared" ca="1" si="99"/>
        <v>-27.344790162038407</v>
      </c>
    </row>
    <row r="1275" spans="1:31" hidden="1">
      <c r="A1275" s="1">
        <v>9417398</v>
      </c>
      <c r="B1275" s="1" t="s">
        <v>101</v>
      </c>
      <c r="C1275" t="s">
        <v>643</v>
      </c>
      <c r="D1275" s="2">
        <v>230019037</v>
      </c>
      <c r="E1275" s="2">
        <v>244001400030</v>
      </c>
      <c r="F1275" s="1" t="s">
        <v>647</v>
      </c>
      <c r="G1275" s="1" t="s">
        <v>53</v>
      </c>
      <c r="H1275" s="1" t="s">
        <v>313</v>
      </c>
      <c r="I1275" s="1" t="s">
        <v>314</v>
      </c>
      <c r="J1275" s="1" t="s">
        <v>56</v>
      </c>
      <c r="K1275" t="s">
        <v>650</v>
      </c>
      <c r="M1275" s="1" t="s">
        <v>58</v>
      </c>
      <c r="N1275" s="1">
        <v>0</v>
      </c>
      <c r="O1275" s="1" t="s">
        <v>105</v>
      </c>
      <c r="P1275" s="11" t="s">
        <v>3070</v>
      </c>
      <c r="R1275" s="1">
        <v>4</v>
      </c>
      <c r="T1275" s="1" t="s">
        <v>646</v>
      </c>
      <c r="U1275" s="186">
        <v>44959.331423611111</v>
      </c>
      <c r="V1275" s="1" t="s">
        <v>41</v>
      </c>
      <c r="W1275" s="1" t="s">
        <v>49</v>
      </c>
      <c r="X1275" s="13" t="str">
        <f>IF(RIGHT(H1275,2)&lt;&gt;"00",H1275,"")</f>
        <v/>
      </c>
      <c r="Y1275" s="2">
        <f ca="1">NETWORKDAYS(P1275,$Y$1)</f>
        <v>21</v>
      </c>
      <c r="Z1275" s="14">
        <v>1</v>
      </c>
      <c r="AA1275" s="1" t="str">
        <f t="shared" ca="1" si="95"/>
        <v>VENCIDO</v>
      </c>
      <c r="AB1275" s="1" t="str">
        <f t="shared" si="96"/>
        <v>C-14</v>
      </c>
      <c r="AC1275" s="2" t="str">
        <f t="shared" si="97"/>
        <v xml:space="preserve"> CRISTINA </v>
      </c>
      <c r="AD1275" s="2">
        <f t="shared" si="98"/>
        <v>15</v>
      </c>
      <c r="AE1275" s="2">
        <f t="shared" ca="1" si="99"/>
        <v>-27.344848032407754</v>
      </c>
    </row>
    <row r="1276" spans="1:31" hidden="1">
      <c r="A1276" s="1">
        <v>9417212</v>
      </c>
      <c r="B1276" s="1" t="s">
        <v>101</v>
      </c>
      <c r="C1276" t="s">
        <v>643</v>
      </c>
      <c r="D1276" s="2">
        <v>230018456</v>
      </c>
      <c r="E1276" s="2">
        <v>2988001400010</v>
      </c>
      <c r="F1276" s="1" t="s">
        <v>936</v>
      </c>
      <c r="G1276" s="1" t="s">
        <v>53</v>
      </c>
      <c r="H1276" s="1" t="s">
        <v>536</v>
      </c>
      <c r="I1276" s="1" t="s">
        <v>537</v>
      </c>
      <c r="J1276" s="1" t="s">
        <v>46</v>
      </c>
      <c r="K1276" t="s">
        <v>937</v>
      </c>
      <c r="M1276" s="1" t="s">
        <v>58</v>
      </c>
      <c r="N1276" s="1">
        <v>0</v>
      </c>
      <c r="O1276" s="1" t="s">
        <v>105</v>
      </c>
      <c r="P1276" s="11" t="s">
        <v>2282</v>
      </c>
      <c r="R1276" s="1">
        <v>3</v>
      </c>
      <c r="T1276" s="1" t="s">
        <v>646</v>
      </c>
      <c r="U1276" s="186">
        <v>44959.319374999999</v>
      </c>
      <c r="V1276" s="1" t="s">
        <v>41</v>
      </c>
      <c r="W1276" s="1" t="s">
        <v>49</v>
      </c>
      <c r="X1276" s="13" t="str">
        <f>IF(RIGHT(H1276,2)&lt;&gt;"00",H1276,"")</f>
        <v/>
      </c>
      <c r="Y1276" s="2">
        <f ca="1">NETWORKDAYS(P1276,$Y$1)</f>
        <v>21</v>
      </c>
      <c r="Z1276" s="14">
        <v>1</v>
      </c>
      <c r="AA1276" s="1" t="str">
        <f t="shared" ref="AA1276:AA1339" ca="1" si="100">IF(AE1276=0,"HOJE",IF(AE1276&gt;0,"A VENCER",IF(AE1276&lt;0,"VENCIDO")))</f>
        <v>VENCIDO</v>
      </c>
      <c r="AB1276" s="1" t="str">
        <f t="shared" ref="AB1276:AB1339" si="101">IF(F1276="GRPE-000001","C-14",IF(F1276="GRPE-000002","C-14",IF(F1276="GRPE-000003","C-14",IF(F1276="GRPE-000004","SL-On",IF(F1276="GRPE-000038","C-14",IF(F1276="GRPE-900022","Dosa",IF(F1276="GRPE-000029","Dosa",IF(F1276="ATOS-000222","Dose","TAAe+"))))))))</f>
        <v>C-14</v>
      </c>
      <c r="AC1276" s="2" t="str">
        <f t="shared" ref="AC1276:AC1339" si="102">IF(J1276="TR-PETROLINA"," ROSEMERE ",IF(J1276="TR-GARANHUNS"," ROSEMERE ",IF(J1276="TR-CARUARU"," ROSEMERE ",IF(J1276="TR-RIBEIRAO"," CRISTINA ",IF(J1276="TR-GRAVATA"," CRISTINA ",IF(J1276="TR-GOIANA"," CRISTINA ",IF(J1276="TR-LIMOEIRO"," CRISTINA ",IF(J1276="TR-SERRA TALHADA"," RINALDO ",IF(J1276="TR-SALGUEIRO"," RINALDO ",IF(J1276="TR-CARNAIBA"," RINALDO ",IF(J1276="TR-ARCOVERDE"," RINALDO ",IF(J1276="CAT-RECIFE"," CLEITON ",))))))))))))</f>
        <v xml:space="preserve"> CLEITON </v>
      </c>
      <c r="AD1276" s="2">
        <f t="shared" ref="AD1276:AD1339" si="103">IF(F1276="GRPE-000001",5,IF(F1276="GRPE-000002",5,IF(F1276="GRPE-000003",15,IF(F1276="GRPE-000004",1,IF(F1276="GRPE-000038",5,IF(F1276="GRPE-900022",5,IF(F1276="GRPE-000029",5,IF(F1276="ATOS-000222",5,8))))))))</f>
        <v>5</v>
      </c>
      <c r="AE1276" s="2">
        <f t="shared" ref="AE1276:AE1339" ca="1" si="104">IF(U1276=$AE$1,"",U1276-$AE$1)</f>
        <v>-27.356896643519576</v>
      </c>
    </row>
    <row r="1277" spans="1:31" hidden="1">
      <c r="A1277" s="1">
        <v>9417149</v>
      </c>
      <c r="B1277" s="1" t="s">
        <v>101</v>
      </c>
      <c r="C1277" t="s">
        <v>643</v>
      </c>
      <c r="D1277" s="2">
        <v>230018509</v>
      </c>
      <c r="E1277" s="2">
        <v>3108011400010</v>
      </c>
      <c r="F1277" s="1" t="s">
        <v>936</v>
      </c>
      <c r="G1277" s="1" t="s">
        <v>53</v>
      </c>
      <c r="H1277" s="1" t="s">
        <v>503</v>
      </c>
      <c r="I1277" s="1" t="s">
        <v>504</v>
      </c>
      <c r="J1277" s="1" t="s">
        <v>46</v>
      </c>
      <c r="K1277" t="s">
        <v>937</v>
      </c>
      <c r="M1277" s="1" t="s">
        <v>58</v>
      </c>
      <c r="N1277" s="1">
        <v>0</v>
      </c>
      <c r="O1277" s="1" t="s">
        <v>105</v>
      </c>
      <c r="P1277" s="11" t="s">
        <v>2284</v>
      </c>
      <c r="R1277" s="1">
        <v>3</v>
      </c>
      <c r="T1277" s="1" t="s">
        <v>646</v>
      </c>
      <c r="U1277" s="186">
        <v>44959.315439814818</v>
      </c>
      <c r="V1277" s="1" t="s">
        <v>41</v>
      </c>
      <c r="W1277" s="1" t="s">
        <v>49</v>
      </c>
      <c r="X1277" s="13" t="str">
        <f>IF(RIGHT(H1277,2)&lt;&gt;"00",H1277,"")</f>
        <v>3108.01</v>
      </c>
      <c r="Y1277" s="2">
        <f ca="1">NETWORKDAYS(P1277,$Y$1)</f>
        <v>21</v>
      </c>
      <c r="Z1277" s="14">
        <v>1</v>
      </c>
      <c r="AA1277" s="1" t="str">
        <f t="shared" ca="1" si="100"/>
        <v>VENCIDO</v>
      </c>
      <c r="AB1277" s="1" t="str">
        <f t="shared" si="101"/>
        <v>C-14</v>
      </c>
      <c r="AC1277" s="2" t="str">
        <f t="shared" si="102"/>
        <v xml:space="preserve"> CLEITON </v>
      </c>
      <c r="AD1277" s="2">
        <f t="shared" si="103"/>
        <v>5</v>
      </c>
      <c r="AE1277" s="2">
        <f t="shared" ca="1" si="104"/>
        <v>-27.360831828700611</v>
      </c>
    </row>
    <row r="1278" spans="1:31" hidden="1">
      <c r="A1278" s="1">
        <v>9417113</v>
      </c>
      <c r="B1278" s="1" t="s">
        <v>101</v>
      </c>
      <c r="C1278" t="s">
        <v>643</v>
      </c>
      <c r="D1278" s="2">
        <v>230018311</v>
      </c>
      <c r="E1278" s="2">
        <v>2590001400010</v>
      </c>
      <c r="F1278" s="1" t="s">
        <v>936</v>
      </c>
      <c r="G1278" s="1" t="s">
        <v>53</v>
      </c>
      <c r="H1278" s="1" t="s">
        <v>394</v>
      </c>
      <c r="I1278" s="1" t="s">
        <v>395</v>
      </c>
      <c r="J1278" s="1" t="s">
        <v>148</v>
      </c>
      <c r="K1278" t="s">
        <v>937</v>
      </c>
      <c r="M1278" s="1" t="s">
        <v>58</v>
      </c>
      <c r="N1278" s="1">
        <v>0</v>
      </c>
      <c r="O1278" s="1" t="s">
        <v>105</v>
      </c>
      <c r="P1278" s="11" t="s">
        <v>2286</v>
      </c>
      <c r="R1278" s="1">
        <v>3</v>
      </c>
      <c r="T1278" s="1" t="s">
        <v>646</v>
      </c>
      <c r="U1278" s="186">
        <v>44959.312662037039</v>
      </c>
      <c r="V1278" s="1" t="s">
        <v>41</v>
      </c>
      <c r="W1278" s="1" t="s">
        <v>49</v>
      </c>
      <c r="X1278" s="13" t="str">
        <f>IF(RIGHT(H1278,2)&lt;&gt;"00",H1278,"")</f>
        <v/>
      </c>
      <c r="Y1278" s="2">
        <f ca="1">NETWORKDAYS(P1278,$Y$1)</f>
        <v>21</v>
      </c>
      <c r="Z1278" s="14">
        <v>1</v>
      </c>
      <c r="AA1278" s="1" t="str">
        <f t="shared" ca="1" si="100"/>
        <v>VENCIDO</v>
      </c>
      <c r="AB1278" s="1" t="str">
        <f t="shared" si="101"/>
        <v>C-14</v>
      </c>
      <c r="AC1278" s="2" t="str">
        <f t="shared" si="102"/>
        <v xml:space="preserve"> RINALDO </v>
      </c>
      <c r="AD1278" s="2">
        <f t="shared" si="103"/>
        <v>5</v>
      </c>
      <c r="AE1278" s="2">
        <f t="shared" ca="1" si="104"/>
        <v>-27.363609606480168</v>
      </c>
    </row>
    <row r="1279" spans="1:31" hidden="1">
      <c r="A1279" s="1">
        <v>9417043</v>
      </c>
      <c r="B1279" s="1" t="s">
        <v>101</v>
      </c>
      <c r="C1279" t="s">
        <v>643</v>
      </c>
      <c r="D1279" s="2">
        <v>230018262</v>
      </c>
      <c r="E1279" s="2">
        <v>2422001400010</v>
      </c>
      <c r="F1279" s="1" t="s">
        <v>936</v>
      </c>
      <c r="G1279" s="1" t="s">
        <v>53</v>
      </c>
      <c r="H1279" s="1" t="s">
        <v>1844</v>
      </c>
      <c r="I1279" s="1" t="s">
        <v>1845</v>
      </c>
      <c r="J1279" s="1" t="s">
        <v>211</v>
      </c>
      <c r="K1279" t="s">
        <v>937</v>
      </c>
      <c r="M1279" s="1" t="s">
        <v>58</v>
      </c>
      <c r="N1279" s="1">
        <v>0</v>
      </c>
      <c r="O1279" s="1" t="s">
        <v>105</v>
      </c>
      <c r="P1279" s="11" t="s">
        <v>2288</v>
      </c>
      <c r="R1279" s="1">
        <v>3</v>
      </c>
      <c r="T1279" s="1" t="s">
        <v>646</v>
      </c>
      <c r="U1279" s="186">
        <v>44959.308923611112</v>
      </c>
      <c r="V1279" s="1" t="s">
        <v>41</v>
      </c>
      <c r="W1279" s="1" t="s">
        <v>49</v>
      </c>
      <c r="X1279" s="13" t="str">
        <f>IF(RIGHT(H1279,2)&lt;&gt;"00",H1279,"")</f>
        <v/>
      </c>
      <c r="Y1279" s="2">
        <f ca="1">NETWORKDAYS(P1279,$Y$1)</f>
        <v>21</v>
      </c>
      <c r="Z1279" s="14">
        <v>1</v>
      </c>
      <c r="AA1279" s="1" t="str">
        <f t="shared" ca="1" si="100"/>
        <v>VENCIDO</v>
      </c>
      <c r="AB1279" s="1" t="str">
        <f t="shared" si="101"/>
        <v>C-14</v>
      </c>
      <c r="AC1279" s="2" t="str">
        <f t="shared" si="102"/>
        <v xml:space="preserve"> RINALDO </v>
      </c>
      <c r="AD1279" s="2">
        <f t="shared" si="103"/>
        <v>5</v>
      </c>
      <c r="AE1279" s="2">
        <f t="shared" ca="1" si="104"/>
        <v>-27.367348032406881</v>
      </c>
    </row>
    <row r="1280" spans="1:31" hidden="1">
      <c r="A1280" s="1">
        <v>9416985</v>
      </c>
      <c r="B1280" s="1" t="s">
        <v>101</v>
      </c>
      <c r="C1280" t="s">
        <v>643</v>
      </c>
      <c r="D1280" s="2">
        <v>230018075</v>
      </c>
      <c r="E1280" s="2">
        <v>1838001400010</v>
      </c>
      <c r="F1280" s="1" t="s">
        <v>936</v>
      </c>
      <c r="G1280" s="1" t="s">
        <v>53</v>
      </c>
      <c r="H1280" s="1" t="s">
        <v>357</v>
      </c>
      <c r="I1280" s="1" t="s">
        <v>358</v>
      </c>
      <c r="J1280" s="1" t="s">
        <v>46</v>
      </c>
      <c r="K1280" t="s">
        <v>937</v>
      </c>
      <c r="M1280" s="1" t="s">
        <v>58</v>
      </c>
      <c r="N1280" s="1">
        <v>0</v>
      </c>
      <c r="O1280" s="1" t="s">
        <v>105</v>
      </c>
      <c r="P1280" s="11" t="s">
        <v>2290</v>
      </c>
      <c r="R1280" s="1">
        <v>3</v>
      </c>
      <c r="T1280" s="1" t="s">
        <v>646</v>
      </c>
      <c r="U1280" s="186">
        <v>44959.306064814817</v>
      </c>
      <c r="V1280" s="1" t="s">
        <v>41</v>
      </c>
      <c r="W1280" s="1" t="s">
        <v>49</v>
      </c>
      <c r="X1280" s="13" t="str">
        <f>IF(RIGHT(H1280,2)&lt;&gt;"00",H1280,"")</f>
        <v/>
      </c>
      <c r="Y1280" s="2">
        <f ca="1">NETWORKDAYS(P1280,$Y$1)</f>
        <v>21</v>
      </c>
      <c r="Z1280" s="14">
        <v>1</v>
      </c>
      <c r="AA1280" s="1" t="str">
        <f t="shared" ca="1" si="100"/>
        <v>VENCIDO</v>
      </c>
      <c r="AB1280" s="1" t="str">
        <f t="shared" si="101"/>
        <v>C-14</v>
      </c>
      <c r="AC1280" s="2" t="str">
        <f t="shared" si="102"/>
        <v xml:space="preserve"> CLEITON </v>
      </c>
      <c r="AD1280" s="2">
        <f t="shared" si="103"/>
        <v>5</v>
      </c>
      <c r="AE1280" s="2">
        <f t="shared" ca="1" si="104"/>
        <v>-27.370206828702067</v>
      </c>
    </row>
    <row r="1281" spans="1:31" hidden="1">
      <c r="A1281" s="1">
        <v>9416984</v>
      </c>
      <c r="B1281" s="1" t="s">
        <v>101</v>
      </c>
      <c r="C1281" t="s">
        <v>643</v>
      </c>
      <c r="D1281" s="2">
        <v>230018074</v>
      </c>
      <c r="E1281" s="2">
        <v>1837001400010</v>
      </c>
      <c r="F1281" s="1" t="s">
        <v>936</v>
      </c>
      <c r="G1281" s="1" t="s">
        <v>53</v>
      </c>
      <c r="H1281" s="1" t="s">
        <v>1785</v>
      </c>
      <c r="I1281" s="1" t="s">
        <v>1786</v>
      </c>
      <c r="J1281" s="1" t="s">
        <v>46</v>
      </c>
      <c r="K1281" t="s">
        <v>937</v>
      </c>
      <c r="M1281" s="1" t="s">
        <v>58</v>
      </c>
      <c r="N1281" s="1">
        <v>0</v>
      </c>
      <c r="O1281" s="1" t="s">
        <v>105</v>
      </c>
      <c r="P1281" s="11" t="s">
        <v>2292</v>
      </c>
      <c r="R1281" s="1">
        <v>3</v>
      </c>
      <c r="T1281" s="1" t="s">
        <v>646</v>
      </c>
      <c r="U1281" s="186">
        <v>44959.305995370371</v>
      </c>
      <c r="V1281" s="1" t="s">
        <v>41</v>
      </c>
      <c r="W1281" s="1" t="s">
        <v>49</v>
      </c>
      <c r="X1281" s="13" t="str">
        <f>IF(RIGHT(H1281,2)&lt;&gt;"00",H1281,"")</f>
        <v/>
      </c>
      <c r="Y1281" s="2">
        <f ca="1">NETWORKDAYS(P1281,$Y$1)</f>
        <v>21</v>
      </c>
      <c r="Z1281" s="14">
        <v>1</v>
      </c>
      <c r="AA1281" s="1" t="str">
        <f t="shared" ca="1" si="100"/>
        <v>VENCIDO</v>
      </c>
      <c r="AB1281" s="1" t="str">
        <f t="shared" si="101"/>
        <v>C-14</v>
      </c>
      <c r="AC1281" s="2" t="str">
        <f t="shared" si="102"/>
        <v xml:space="preserve"> CLEITON </v>
      </c>
      <c r="AD1281" s="2">
        <f t="shared" si="103"/>
        <v>5</v>
      </c>
      <c r="AE1281" s="2">
        <f t="shared" ca="1" si="104"/>
        <v>-27.370276273148193</v>
      </c>
    </row>
    <row r="1282" spans="1:31" hidden="1">
      <c r="A1282" s="1">
        <v>9416982</v>
      </c>
      <c r="B1282" s="1" t="s">
        <v>101</v>
      </c>
      <c r="C1282" t="s">
        <v>643</v>
      </c>
      <c r="D1282" s="2">
        <v>230018072</v>
      </c>
      <c r="E1282" s="2">
        <v>1835001400010</v>
      </c>
      <c r="F1282" s="1" t="s">
        <v>936</v>
      </c>
      <c r="G1282" s="1" t="s">
        <v>53</v>
      </c>
      <c r="H1282" s="1" t="s">
        <v>305</v>
      </c>
      <c r="I1282" s="1" t="s">
        <v>306</v>
      </c>
      <c r="J1282" s="1" t="s">
        <v>46</v>
      </c>
      <c r="K1282" t="s">
        <v>937</v>
      </c>
      <c r="M1282" s="1" t="s">
        <v>58</v>
      </c>
      <c r="N1282" s="1">
        <v>0</v>
      </c>
      <c r="O1282" s="1" t="s">
        <v>105</v>
      </c>
      <c r="P1282" s="11" t="s">
        <v>2296</v>
      </c>
      <c r="R1282" s="1">
        <v>3</v>
      </c>
      <c r="T1282" s="1" t="s">
        <v>646</v>
      </c>
      <c r="U1282" s="186">
        <v>44959.305891203701</v>
      </c>
      <c r="V1282" s="1" t="s">
        <v>41</v>
      </c>
      <c r="W1282" s="1" t="s">
        <v>49</v>
      </c>
      <c r="X1282" s="13" t="str">
        <f>IF(RIGHT(H1282,2)&lt;&gt;"00",H1282,"")</f>
        <v/>
      </c>
      <c r="Y1282" s="2">
        <f ca="1">NETWORKDAYS(P1282,$Y$1)</f>
        <v>21</v>
      </c>
      <c r="Z1282" s="14">
        <v>1</v>
      </c>
      <c r="AA1282" s="1" t="str">
        <f t="shared" ca="1" si="100"/>
        <v>VENCIDO</v>
      </c>
      <c r="AB1282" s="1" t="str">
        <f t="shared" si="101"/>
        <v>C-14</v>
      </c>
      <c r="AC1282" s="2" t="str">
        <f t="shared" si="102"/>
        <v xml:space="preserve"> CLEITON </v>
      </c>
      <c r="AD1282" s="2">
        <f t="shared" si="103"/>
        <v>5</v>
      </c>
      <c r="AE1282" s="2">
        <f t="shared" ca="1" si="104"/>
        <v>-27.370380439817382</v>
      </c>
    </row>
    <row r="1283" spans="1:31" hidden="1">
      <c r="A1283" s="1">
        <v>9416980</v>
      </c>
      <c r="B1283" s="1" t="s">
        <v>101</v>
      </c>
      <c r="C1283" t="s">
        <v>643</v>
      </c>
      <c r="D1283" s="2">
        <v>230018070</v>
      </c>
      <c r="E1283" s="2">
        <v>1833001400010</v>
      </c>
      <c r="F1283" s="1" t="s">
        <v>936</v>
      </c>
      <c r="G1283" s="1" t="s">
        <v>53</v>
      </c>
      <c r="H1283" s="1" t="s">
        <v>369</v>
      </c>
      <c r="I1283" s="1" t="s">
        <v>370</v>
      </c>
      <c r="J1283" s="1" t="s">
        <v>46</v>
      </c>
      <c r="K1283" t="s">
        <v>937</v>
      </c>
      <c r="M1283" s="1" t="s">
        <v>58</v>
      </c>
      <c r="N1283" s="1">
        <v>0</v>
      </c>
      <c r="O1283" s="1" t="s">
        <v>105</v>
      </c>
      <c r="P1283" s="11" t="s">
        <v>2298</v>
      </c>
      <c r="R1283" s="1">
        <v>3</v>
      </c>
      <c r="T1283" s="1" t="s">
        <v>646</v>
      </c>
      <c r="U1283" s="186">
        <v>44959.305787037039</v>
      </c>
      <c r="V1283" s="1" t="s">
        <v>41</v>
      </c>
      <c r="W1283" s="1" t="s">
        <v>49</v>
      </c>
      <c r="X1283" s="13" t="str">
        <f>IF(RIGHT(H1283,2)&lt;&gt;"00",H1283,"")</f>
        <v/>
      </c>
      <c r="Y1283" s="2">
        <f ca="1">NETWORKDAYS(P1283,$Y$1)</f>
        <v>21</v>
      </c>
      <c r="Z1283" s="14">
        <v>1</v>
      </c>
      <c r="AA1283" s="1" t="str">
        <f t="shared" ca="1" si="100"/>
        <v>VENCIDO</v>
      </c>
      <c r="AB1283" s="1" t="str">
        <f t="shared" si="101"/>
        <v>C-14</v>
      </c>
      <c r="AC1283" s="2" t="str">
        <f t="shared" si="102"/>
        <v xml:space="preserve"> CLEITON </v>
      </c>
      <c r="AD1283" s="2">
        <f t="shared" si="103"/>
        <v>5</v>
      </c>
      <c r="AE1283" s="2">
        <f t="shared" ca="1" si="104"/>
        <v>-27.370484606479295</v>
      </c>
    </row>
    <row r="1284" spans="1:31" hidden="1">
      <c r="A1284" s="1">
        <v>9416969</v>
      </c>
      <c r="B1284" s="1" t="s">
        <v>101</v>
      </c>
      <c r="C1284" t="s">
        <v>643</v>
      </c>
      <c r="D1284" s="2">
        <v>230018063</v>
      </c>
      <c r="E1284" s="2">
        <v>1814031400010</v>
      </c>
      <c r="F1284" s="1" t="s">
        <v>936</v>
      </c>
      <c r="G1284" s="1" t="s">
        <v>53</v>
      </c>
      <c r="H1284" s="1" t="s">
        <v>719</v>
      </c>
      <c r="I1284" s="1" t="s">
        <v>188</v>
      </c>
      <c r="J1284" s="1" t="s">
        <v>46</v>
      </c>
      <c r="K1284" t="s">
        <v>937</v>
      </c>
      <c r="M1284" s="1" t="s">
        <v>58</v>
      </c>
      <c r="N1284" s="1">
        <v>0</v>
      </c>
      <c r="O1284" s="1" t="s">
        <v>105</v>
      </c>
      <c r="P1284" s="11" t="s">
        <v>3072</v>
      </c>
      <c r="R1284" s="1">
        <v>3</v>
      </c>
      <c r="T1284" s="1" t="s">
        <v>646</v>
      </c>
      <c r="U1284" s="186">
        <v>44959.305428240739</v>
      </c>
      <c r="V1284" s="1" t="s">
        <v>41</v>
      </c>
      <c r="W1284" s="1" t="s">
        <v>49</v>
      </c>
      <c r="X1284" s="13" t="str">
        <f>IF(RIGHT(H1284,2)&lt;&gt;"00",H1284,"")</f>
        <v>1814.03</v>
      </c>
      <c r="Y1284" s="2">
        <f ca="1">NETWORKDAYS(P1284,$Y$1)</f>
        <v>21</v>
      </c>
      <c r="Z1284" s="14">
        <v>1</v>
      </c>
      <c r="AA1284" s="1" t="str">
        <f t="shared" ca="1" si="100"/>
        <v>VENCIDO</v>
      </c>
      <c r="AB1284" s="1" t="str">
        <f t="shared" si="101"/>
        <v>C-14</v>
      </c>
      <c r="AC1284" s="2" t="str">
        <f t="shared" si="102"/>
        <v xml:space="preserve"> CLEITON </v>
      </c>
      <c r="AD1284" s="2">
        <f t="shared" si="103"/>
        <v>5</v>
      </c>
      <c r="AE1284" s="2">
        <f t="shared" ca="1" si="104"/>
        <v>-27.370843402779428</v>
      </c>
    </row>
    <row r="1285" spans="1:31" hidden="1">
      <c r="A1285" s="1">
        <v>9416968</v>
      </c>
      <c r="B1285" s="1" t="s">
        <v>101</v>
      </c>
      <c r="C1285" t="s">
        <v>643</v>
      </c>
      <c r="D1285" s="2">
        <v>230018062</v>
      </c>
      <c r="E1285" s="2">
        <v>1814001400010</v>
      </c>
      <c r="F1285" s="1" t="s">
        <v>936</v>
      </c>
      <c r="G1285" s="1" t="s">
        <v>53</v>
      </c>
      <c r="H1285" s="1" t="s">
        <v>396</v>
      </c>
      <c r="I1285" s="1" t="s">
        <v>397</v>
      </c>
      <c r="J1285" s="1" t="s">
        <v>46</v>
      </c>
      <c r="K1285" t="s">
        <v>937</v>
      </c>
      <c r="M1285" s="1" t="s">
        <v>58</v>
      </c>
      <c r="N1285" s="1">
        <v>0</v>
      </c>
      <c r="O1285" s="1" t="s">
        <v>105</v>
      </c>
      <c r="P1285" s="11" t="s">
        <v>3073</v>
      </c>
      <c r="R1285" s="1">
        <v>3</v>
      </c>
      <c r="T1285" s="1" t="s">
        <v>646</v>
      </c>
      <c r="U1285" s="186">
        <v>44959.30537037037</v>
      </c>
      <c r="V1285" s="1" t="s">
        <v>41</v>
      </c>
      <c r="W1285" s="1" t="s">
        <v>49</v>
      </c>
      <c r="X1285" s="13" t="str">
        <f>IF(RIGHT(H1285,2)&lt;&gt;"00",H1285,"")</f>
        <v/>
      </c>
      <c r="Y1285" s="2">
        <f ca="1">NETWORKDAYS(P1285,$Y$1)</f>
        <v>21</v>
      </c>
      <c r="Z1285" s="14">
        <v>1</v>
      </c>
      <c r="AA1285" s="1" t="str">
        <f t="shared" ca="1" si="100"/>
        <v>VENCIDO</v>
      </c>
      <c r="AB1285" s="1" t="str">
        <f t="shared" si="101"/>
        <v>C-14</v>
      </c>
      <c r="AC1285" s="2" t="str">
        <f t="shared" si="102"/>
        <v xml:space="preserve"> CLEITON </v>
      </c>
      <c r="AD1285" s="2">
        <f t="shared" si="103"/>
        <v>5</v>
      </c>
      <c r="AE1285" s="2">
        <f t="shared" ca="1" si="104"/>
        <v>-27.370901273148775</v>
      </c>
    </row>
    <row r="1286" spans="1:31" hidden="1">
      <c r="A1286" s="1">
        <v>9416942</v>
      </c>
      <c r="B1286" s="1" t="s">
        <v>101</v>
      </c>
      <c r="C1286" t="s">
        <v>643</v>
      </c>
      <c r="D1286" s="2">
        <v>230018044</v>
      </c>
      <c r="E1286" s="2">
        <v>1764001400010</v>
      </c>
      <c r="F1286" s="1" t="s">
        <v>936</v>
      </c>
      <c r="G1286" s="1" t="s">
        <v>53</v>
      </c>
      <c r="H1286" s="1" t="s">
        <v>722</v>
      </c>
      <c r="I1286" s="1" t="s">
        <v>723</v>
      </c>
      <c r="J1286" s="1" t="s">
        <v>90</v>
      </c>
      <c r="K1286" t="s">
        <v>937</v>
      </c>
      <c r="M1286" s="1" t="s">
        <v>58</v>
      </c>
      <c r="N1286" s="1">
        <v>0</v>
      </c>
      <c r="O1286" s="1" t="s">
        <v>105</v>
      </c>
      <c r="P1286" s="11" t="s">
        <v>2300</v>
      </c>
      <c r="R1286" s="1">
        <v>3</v>
      </c>
      <c r="T1286" s="1" t="s">
        <v>646</v>
      </c>
      <c r="U1286" s="186">
        <v>44959.304444444446</v>
      </c>
      <c r="V1286" s="1" t="s">
        <v>41</v>
      </c>
      <c r="W1286" s="1" t="s">
        <v>49</v>
      </c>
      <c r="X1286" s="13" t="str">
        <f>IF(RIGHT(H1286,2)&lt;&gt;"00",H1286,"")</f>
        <v/>
      </c>
      <c r="Y1286" s="2">
        <f ca="1">NETWORKDAYS(P1286,$Y$1)</f>
        <v>21</v>
      </c>
      <c r="Z1286" s="14">
        <v>1</v>
      </c>
      <c r="AA1286" s="1" t="str">
        <f t="shared" ca="1" si="100"/>
        <v>VENCIDO</v>
      </c>
      <c r="AB1286" s="1" t="str">
        <f t="shared" si="101"/>
        <v>C-14</v>
      </c>
      <c r="AC1286" s="2" t="str">
        <f t="shared" si="102"/>
        <v xml:space="preserve"> RINALDO </v>
      </c>
      <c r="AD1286" s="2">
        <f t="shared" si="103"/>
        <v>5</v>
      </c>
      <c r="AE1286" s="2">
        <f t="shared" ca="1" si="104"/>
        <v>-27.371827199072868</v>
      </c>
    </row>
    <row r="1287" spans="1:31" hidden="1">
      <c r="A1287" s="1">
        <v>9416933</v>
      </c>
      <c r="B1287" s="1" t="s">
        <v>101</v>
      </c>
      <c r="C1287" t="s">
        <v>643</v>
      </c>
      <c r="D1287" s="2">
        <v>230018135</v>
      </c>
      <c r="E1287" s="2">
        <v>2138001400010</v>
      </c>
      <c r="F1287" s="1" t="s">
        <v>936</v>
      </c>
      <c r="G1287" s="1" t="s">
        <v>53</v>
      </c>
      <c r="H1287" s="1" t="s">
        <v>379</v>
      </c>
      <c r="I1287" s="1" t="s">
        <v>380</v>
      </c>
      <c r="J1287" s="1" t="s">
        <v>46</v>
      </c>
      <c r="K1287" t="s">
        <v>937</v>
      </c>
      <c r="M1287" s="1" t="s">
        <v>58</v>
      </c>
      <c r="N1287" s="1">
        <v>0</v>
      </c>
      <c r="O1287" s="1" t="s">
        <v>105</v>
      </c>
      <c r="P1287" s="11" t="s">
        <v>3074</v>
      </c>
      <c r="R1287" s="1">
        <v>3</v>
      </c>
      <c r="T1287" s="1" t="s">
        <v>646</v>
      </c>
      <c r="U1287" s="186">
        <v>44959.303981481484</v>
      </c>
      <c r="V1287" s="1" t="s">
        <v>41</v>
      </c>
      <c r="W1287" s="1" t="s">
        <v>49</v>
      </c>
      <c r="X1287" s="13" t="str">
        <f>IF(RIGHT(H1287,2)&lt;&gt;"00",H1287,"")</f>
        <v/>
      </c>
      <c r="Y1287" s="2">
        <f ca="1">NETWORKDAYS(P1287,$Y$1)</f>
        <v>21</v>
      </c>
      <c r="Z1287" s="14">
        <v>1</v>
      </c>
      <c r="AA1287" s="1" t="str">
        <f t="shared" ca="1" si="100"/>
        <v>VENCIDO</v>
      </c>
      <c r="AB1287" s="1" t="str">
        <f t="shared" si="101"/>
        <v>C-14</v>
      </c>
      <c r="AC1287" s="2" t="str">
        <f t="shared" si="102"/>
        <v xml:space="preserve"> CLEITON </v>
      </c>
      <c r="AD1287" s="2">
        <f t="shared" si="103"/>
        <v>5</v>
      </c>
      <c r="AE1287" s="2">
        <f t="shared" ca="1" si="104"/>
        <v>-27.372290162034915</v>
      </c>
    </row>
    <row r="1288" spans="1:31" hidden="1">
      <c r="A1288" s="1">
        <v>9416921</v>
      </c>
      <c r="B1288" s="1" t="s">
        <v>101</v>
      </c>
      <c r="C1288" t="s">
        <v>643</v>
      </c>
      <c r="D1288" s="2">
        <v>230018123</v>
      </c>
      <c r="E1288" s="2">
        <v>2107001400010</v>
      </c>
      <c r="F1288" s="1" t="s">
        <v>936</v>
      </c>
      <c r="G1288" s="1" t="s">
        <v>53</v>
      </c>
      <c r="H1288" s="1" t="s">
        <v>262</v>
      </c>
      <c r="I1288" s="1" t="s">
        <v>263</v>
      </c>
      <c r="J1288" s="1" t="s">
        <v>164</v>
      </c>
      <c r="K1288" t="s">
        <v>937</v>
      </c>
      <c r="M1288" s="1" t="s">
        <v>58</v>
      </c>
      <c r="N1288" s="1">
        <v>0</v>
      </c>
      <c r="O1288" s="1" t="s">
        <v>105</v>
      </c>
      <c r="P1288" s="11" t="s">
        <v>2303</v>
      </c>
      <c r="R1288" s="1">
        <v>3</v>
      </c>
      <c r="T1288" s="1" t="s">
        <v>646</v>
      </c>
      <c r="U1288" s="186">
        <v>44959.303344907406</v>
      </c>
      <c r="V1288" s="1" t="s">
        <v>41</v>
      </c>
      <c r="W1288" s="1" t="s">
        <v>49</v>
      </c>
      <c r="X1288" s="13" t="str">
        <f>IF(RIGHT(H1288,2)&lt;&gt;"00",H1288,"")</f>
        <v/>
      </c>
      <c r="Y1288" s="2">
        <f ca="1">NETWORKDAYS(P1288,$Y$1)</f>
        <v>21</v>
      </c>
      <c r="Z1288" s="14">
        <v>1</v>
      </c>
      <c r="AA1288" s="1" t="str">
        <f t="shared" ca="1" si="100"/>
        <v>VENCIDO</v>
      </c>
      <c r="AB1288" s="1" t="str">
        <f t="shared" si="101"/>
        <v>C-14</v>
      </c>
      <c r="AC1288" s="2" t="str">
        <f t="shared" si="102"/>
        <v xml:space="preserve"> ROSEMERE </v>
      </c>
      <c r="AD1288" s="2">
        <f t="shared" si="103"/>
        <v>5</v>
      </c>
      <c r="AE1288" s="2">
        <f t="shared" ca="1" si="104"/>
        <v>-27.372926736112277</v>
      </c>
    </row>
    <row r="1289" spans="1:31" hidden="1">
      <c r="A1289" s="1">
        <v>9416908</v>
      </c>
      <c r="B1289" s="1" t="s">
        <v>101</v>
      </c>
      <c r="C1289" t="s">
        <v>643</v>
      </c>
      <c r="D1289" s="2">
        <v>230018110</v>
      </c>
      <c r="E1289" s="2">
        <v>2069001400010</v>
      </c>
      <c r="F1289" s="1" t="s">
        <v>936</v>
      </c>
      <c r="G1289" s="1" t="s">
        <v>53</v>
      </c>
      <c r="H1289" s="1" t="s">
        <v>557</v>
      </c>
      <c r="I1289" s="1" t="s">
        <v>558</v>
      </c>
      <c r="J1289" s="1" t="s">
        <v>90</v>
      </c>
      <c r="K1289" t="s">
        <v>937</v>
      </c>
      <c r="M1289" s="1" t="s">
        <v>58</v>
      </c>
      <c r="N1289" s="1">
        <v>0</v>
      </c>
      <c r="O1289" s="1" t="s">
        <v>105</v>
      </c>
      <c r="P1289" s="11" t="s">
        <v>2304</v>
      </c>
      <c r="R1289" s="1">
        <v>3</v>
      </c>
      <c r="T1289" s="1" t="s">
        <v>646</v>
      </c>
      <c r="U1289" s="186">
        <v>44959.302662037036</v>
      </c>
      <c r="V1289" s="1" t="s">
        <v>41</v>
      </c>
      <c r="W1289" s="1" t="s">
        <v>49</v>
      </c>
      <c r="X1289" s="13" t="str">
        <f>IF(RIGHT(H1289,2)&lt;&gt;"00",H1289,"")</f>
        <v/>
      </c>
      <c r="Y1289" s="2">
        <f ca="1">NETWORKDAYS(P1289,$Y$1)</f>
        <v>21</v>
      </c>
      <c r="Z1289" s="14">
        <v>1</v>
      </c>
      <c r="AA1289" s="1" t="str">
        <f t="shared" ca="1" si="100"/>
        <v>VENCIDO</v>
      </c>
      <c r="AB1289" s="1" t="str">
        <f t="shared" si="101"/>
        <v>C-14</v>
      </c>
      <c r="AC1289" s="2" t="str">
        <f t="shared" si="102"/>
        <v xml:space="preserve"> RINALDO </v>
      </c>
      <c r="AD1289" s="2">
        <f t="shared" si="103"/>
        <v>5</v>
      </c>
      <c r="AE1289" s="2">
        <f t="shared" ca="1" si="104"/>
        <v>-27.373609606482205</v>
      </c>
    </row>
    <row r="1290" spans="1:31" hidden="1">
      <c r="A1290" s="1">
        <v>9416812</v>
      </c>
      <c r="B1290" s="1" t="s">
        <v>101</v>
      </c>
      <c r="C1290" t="s">
        <v>643</v>
      </c>
      <c r="D1290" s="2">
        <v>230017885</v>
      </c>
      <c r="E1290" s="2">
        <v>1421001400010</v>
      </c>
      <c r="F1290" s="1" t="s">
        <v>936</v>
      </c>
      <c r="G1290" s="1" t="s">
        <v>53</v>
      </c>
      <c r="H1290" s="1" t="s">
        <v>179</v>
      </c>
      <c r="I1290" s="1" t="s">
        <v>180</v>
      </c>
      <c r="J1290" s="1" t="s">
        <v>79</v>
      </c>
      <c r="K1290" t="s">
        <v>937</v>
      </c>
      <c r="M1290" s="1" t="s">
        <v>58</v>
      </c>
      <c r="N1290" s="1">
        <v>0</v>
      </c>
      <c r="O1290" s="1" t="s">
        <v>105</v>
      </c>
      <c r="P1290" s="11" t="s">
        <v>2308</v>
      </c>
      <c r="R1290" s="1">
        <v>3</v>
      </c>
      <c r="T1290" s="1" t="s">
        <v>646</v>
      </c>
      <c r="U1290" s="186">
        <v>44959.298020833332</v>
      </c>
      <c r="V1290" s="1" t="s">
        <v>41</v>
      </c>
      <c r="W1290" s="1" t="s">
        <v>49</v>
      </c>
      <c r="X1290" s="13" t="str">
        <f>IF(RIGHT(H1290,2)&lt;&gt;"00",H1290,"")</f>
        <v/>
      </c>
      <c r="Y1290" s="2">
        <f ca="1">NETWORKDAYS(P1290,$Y$1)</f>
        <v>21</v>
      </c>
      <c r="Z1290" s="14">
        <v>1</v>
      </c>
      <c r="AA1290" s="1" t="str">
        <f t="shared" ca="1" si="100"/>
        <v>VENCIDO</v>
      </c>
      <c r="AB1290" s="1" t="str">
        <f t="shared" si="101"/>
        <v>C-14</v>
      </c>
      <c r="AC1290" s="2" t="str">
        <f t="shared" si="102"/>
        <v xml:space="preserve"> ROSEMERE </v>
      </c>
      <c r="AD1290" s="2">
        <f t="shared" si="103"/>
        <v>5</v>
      </c>
      <c r="AE1290" s="2">
        <f t="shared" ca="1" si="104"/>
        <v>-27.378250810186728</v>
      </c>
    </row>
    <row r="1291" spans="1:31" hidden="1">
      <c r="A1291" s="1">
        <v>9416765</v>
      </c>
      <c r="B1291" s="1" t="s">
        <v>101</v>
      </c>
      <c r="C1291" t="s">
        <v>643</v>
      </c>
      <c r="D1291" s="2">
        <v>230017755</v>
      </c>
      <c r="E1291" s="2">
        <v>1059001400010</v>
      </c>
      <c r="F1291" s="1" t="s">
        <v>936</v>
      </c>
      <c r="G1291" s="1" t="s">
        <v>53</v>
      </c>
      <c r="H1291" s="1" t="s">
        <v>88</v>
      </c>
      <c r="I1291" s="1" t="s">
        <v>89</v>
      </c>
      <c r="J1291" s="1" t="s">
        <v>90</v>
      </c>
      <c r="K1291" t="s">
        <v>937</v>
      </c>
      <c r="M1291" s="1" t="s">
        <v>58</v>
      </c>
      <c r="N1291" s="1">
        <v>0</v>
      </c>
      <c r="O1291" s="1" t="s">
        <v>105</v>
      </c>
      <c r="P1291" s="11" t="s">
        <v>2310</v>
      </c>
      <c r="R1291" s="1">
        <v>3</v>
      </c>
      <c r="T1291" s="1" t="s">
        <v>646</v>
      </c>
      <c r="U1291" s="186">
        <v>44959.295763888891</v>
      </c>
      <c r="V1291" s="1" t="s">
        <v>41</v>
      </c>
      <c r="W1291" s="1" t="s">
        <v>49</v>
      </c>
      <c r="X1291" s="13" t="str">
        <f>IF(RIGHT(H1291,2)&lt;&gt;"00",H1291,"")</f>
        <v/>
      </c>
      <c r="Y1291" s="2">
        <f ca="1">NETWORKDAYS(P1291,$Y$1)</f>
        <v>21</v>
      </c>
      <c r="Z1291" s="14">
        <v>1</v>
      </c>
      <c r="AA1291" s="1" t="str">
        <f t="shared" ca="1" si="100"/>
        <v>VENCIDO</v>
      </c>
      <c r="AB1291" s="1" t="str">
        <f t="shared" si="101"/>
        <v>C-14</v>
      </c>
      <c r="AC1291" s="2" t="str">
        <f t="shared" si="102"/>
        <v xml:space="preserve"> RINALDO </v>
      </c>
      <c r="AD1291" s="2">
        <f t="shared" si="103"/>
        <v>5</v>
      </c>
      <c r="AE1291" s="2">
        <f t="shared" ca="1" si="104"/>
        <v>-27.380507754627615</v>
      </c>
    </row>
    <row r="1292" spans="1:31" hidden="1">
      <c r="A1292" s="1">
        <v>9416764</v>
      </c>
      <c r="B1292" s="1" t="s">
        <v>101</v>
      </c>
      <c r="C1292" t="s">
        <v>643</v>
      </c>
      <c r="D1292" s="2">
        <v>230017754</v>
      </c>
      <c r="E1292" s="2">
        <v>1058001400010</v>
      </c>
      <c r="F1292" s="1" t="s">
        <v>936</v>
      </c>
      <c r="G1292" s="1" t="s">
        <v>53</v>
      </c>
      <c r="H1292" s="1" t="s">
        <v>289</v>
      </c>
      <c r="I1292" s="1" t="s">
        <v>290</v>
      </c>
      <c r="J1292" s="1" t="s">
        <v>56</v>
      </c>
      <c r="K1292" t="s">
        <v>937</v>
      </c>
      <c r="M1292" s="1" t="s">
        <v>58</v>
      </c>
      <c r="N1292" s="1">
        <v>0</v>
      </c>
      <c r="O1292" s="1" t="s">
        <v>105</v>
      </c>
      <c r="P1292" s="11" t="s">
        <v>3075</v>
      </c>
      <c r="R1292" s="1">
        <v>3</v>
      </c>
      <c r="T1292" s="1" t="s">
        <v>646</v>
      </c>
      <c r="U1292" s="186">
        <v>44959.295717592591</v>
      </c>
      <c r="V1292" s="1" t="s">
        <v>41</v>
      </c>
      <c r="W1292" s="1" t="s">
        <v>49</v>
      </c>
      <c r="X1292" s="13" t="str">
        <f>IF(RIGHT(H1292,2)&lt;&gt;"00",H1292,"")</f>
        <v/>
      </c>
      <c r="Y1292" s="2">
        <f ca="1">NETWORKDAYS(P1292,$Y$1)</f>
        <v>21</v>
      </c>
      <c r="Z1292" s="14">
        <v>1</v>
      </c>
      <c r="AA1292" s="1" t="str">
        <f t="shared" ca="1" si="100"/>
        <v>VENCIDO</v>
      </c>
      <c r="AB1292" s="1" t="str">
        <f t="shared" si="101"/>
        <v>C-14</v>
      </c>
      <c r="AC1292" s="2" t="str">
        <f t="shared" si="102"/>
        <v xml:space="preserve"> CRISTINA </v>
      </c>
      <c r="AD1292" s="2">
        <f t="shared" si="103"/>
        <v>5</v>
      </c>
      <c r="AE1292" s="2">
        <f t="shared" ca="1" si="104"/>
        <v>-27.380554050927458</v>
      </c>
    </row>
    <row r="1293" spans="1:31" hidden="1">
      <c r="A1293" s="1">
        <v>9416746</v>
      </c>
      <c r="B1293" s="1" t="s">
        <v>101</v>
      </c>
      <c r="C1293" t="s">
        <v>643</v>
      </c>
      <c r="D1293" s="2">
        <v>230017740</v>
      </c>
      <c r="E1293" s="2">
        <v>1028001400010</v>
      </c>
      <c r="F1293" s="1" t="s">
        <v>936</v>
      </c>
      <c r="G1293" s="1" t="s">
        <v>53</v>
      </c>
      <c r="H1293" s="1" t="s">
        <v>1079</v>
      </c>
      <c r="I1293" s="1" t="s">
        <v>1080</v>
      </c>
      <c r="J1293" s="1" t="s">
        <v>85</v>
      </c>
      <c r="K1293" t="s">
        <v>937</v>
      </c>
      <c r="M1293" s="1" t="s">
        <v>58</v>
      </c>
      <c r="N1293" s="1">
        <v>0</v>
      </c>
      <c r="O1293" s="1" t="s">
        <v>105</v>
      </c>
      <c r="P1293" s="11" t="s">
        <v>2312</v>
      </c>
      <c r="R1293" s="1">
        <v>3</v>
      </c>
      <c r="T1293" s="1" t="s">
        <v>646</v>
      </c>
      <c r="U1293" s="186">
        <v>44959.294976851852</v>
      </c>
      <c r="V1293" s="1" t="s">
        <v>41</v>
      </c>
      <c r="W1293" s="1" t="s">
        <v>49</v>
      </c>
      <c r="X1293" s="13" t="str">
        <f>IF(RIGHT(H1293,2)&lt;&gt;"00",H1293,"")</f>
        <v/>
      </c>
      <c r="Y1293" s="2">
        <f ca="1">NETWORKDAYS(P1293,$Y$1)</f>
        <v>21</v>
      </c>
      <c r="Z1293" s="14">
        <v>1</v>
      </c>
      <c r="AA1293" s="1" t="str">
        <f t="shared" ca="1" si="100"/>
        <v>VENCIDO</v>
      </c>
      <c r="AB1293" s="1" t="str">
        <f t="shared" si="101"/>
        <v>C-14</v>
      </c>
      <c r="AC1293" s="2" t="str">
        <f t="shared" si="102"/>
        <v xml:space="preserve"> RINALDO </v>
      </c>
      <c r="AD1293" s="2">
        <f t="shared" si="103"/>
        <v>5</v>
      </c>
      <c r="AE1293" s="2">
        <f t="shared" ca="1" si="104"/>
        <v>-27.381294791666733</v>
      </c>
    </row>
    <row r="1294" spans="1:31" hidden="1">
      <c r="A1294" s="1">
        <v>9416578</v>
      </c>
      <c r="B1294" s="1" t="s">
        <v>101</v>
      </c>
      <c r="C1294" t="s">
        <v>643</v>
      </c>
      <c r="D1294" s="2">
        <v>230017619</v>
      </c>
      <c r="E1294" s="2">
        <v>711001400010</v>
      </c>
      <c r="F1294" s="1" t="s">
        <v>936</v>
      </c>
      <c r="G1294" s="1" t="s">
        <v>53</v>
      </c>
      <c r="H1294" s="1" t="s">
        <v>77</v>
      </c>
      <c r="I1294" s="1" t="s">
        <v>78</v>
      </c>
      <c r="J1294" s="1" t="s">
        <v>79</v>
      </c>
      <c r="K1294" t="s">
        <v>937</v>
      </c>
      <c r="M1294" s="1" t="s">
        <v>58</v>
      </c>
      <c r="N1294" s="1">
        <v>0</v>
      </c>
      <c r="O1294" s="1" t="s">
        <v>105</v>
      </c>
      <c r="P1294" s="11" t="s">
        <v>2316</v>
      </c>
      <c r="R1294" s="1">
        <v>3</v>
      </c>
      <c r="T1294" s="1" t="s">
        <v>646</v>
      </c>
      <c r="U1294" s="186">
        <v>44959.286782407406</v>
      </c>
      <c r="V1294" s="1" t="s">
        <v>41</v>
      </c>
      <c r="W1294" s="1" t="s">
        <v>49</v>
      </c>
      <c r="X1294" s="13" t="str">
        <f>IF(RIGHT(H1294,2)&lt;&gt;"00",H1294,"")</f>
        <v/>
      </c>
      <c r="Y1294" s="2">
        <f ca="1">NETWORKDAYS(P1294,$Y$1)</f>
        <v>21</v>
      </c>
      <c r="Z1294" s="14">
        <v>1</v>
      </c>
      <c r="AA1294" s="1" t="str">
        <f t="shared" ca="1" si="100"/>
        <v>VENCIDO</v>
      </c>
      <c r="AB1294" s="1" t="str">
        <f t="shared" si="101"/>
        <v>C-14</v>
      </c>
      <c r="AC1294" s="2" t="str">
        <f t="shared" si="102"/>
        <v xml:space="preserve"> ROSEMERE </v>
      </c>
      <c r="AD1294" s="2">
        <f t="shared" si="103"/>
        <v>5</v>
      </c>
      <c r="AE1294" s="2">
        <f t="shared" ca="1" si="104"/>
        <v>-27.38948923611315</v>
      </c>
    </row>
    <row r="1295" spans="1:31" hidden="1">
      <c r="A1295" s="1">
        <v>9416566</v>
      </c>
      <c r="B1295" s="1" t="s">
        <v>101</v>
      </c>
      <c r="C1295" t="s">
        <v>643</v>
      </c>
      <c r="D1295" s="2">
        <v>230017592</v>
      </c>
      <c r="E1295" s="2">
        <v>605001400010</v>
      </c>
      <c r="F1295" s="1" t="s">
        <v>936</v>
      </c>
      <c r="G1295" s="1" t="s">
        <v>53</v>
      </c>
      <c r="H1295" s="1" t="s">
        <v>420</v>
      </c>
      <c r="I1295" s="1" t="s">
        <v>421</v>
      </c>
      <c r="J1295" s="1" t="s">
        <v>90</v>
      </c>
      <c r="K1295" t="s">
        <v>937</v>
      </c>
      <c r="M1295" s="1" t="s">
        <v>58</v>
      </c>
      <c r="N1295" s="1">
        <v>0</v>
      </c>
      <c r="O1295" s="1" t="s">
        <v>105</v>
      </c>
      <c r="P1295" s="11" t="s">
        <v>3079</v>
      </c>
      <c r="R1295" s="1">
        <v>3</v>
      </c>
      <c r="T1295" s="1" t="s">
        <v>646</v>
      </c>
      <c r="U1295" s="186">
        <v>44959.286145833335</v>
      </c>
      <c r="V1295" s="1" t="s">
        <v>41</v>
      </c>
      <c r="W1295" s="1" t="s">
        <v>49</v>
      </c>
      <c r="X1295" s="13" t="str">
        <f>IF(RIGHT(H1295,2)&lt;&gt;"00",H1295,"")</f>
        <v/>
      </c>
      <c r="Y1295" s="2">
        <f ca="1">NETWORKDAYS(P1295,$Y$1)</f>
        <v>21</v>
      </c>
      <c r="Z1295" s="14">
        <v>1</v>
      </c>
      <c r="AA1295" s="1" t="str">
        <f t="shared" ca="1" si="100"/>
        <v>VENCIDO</v>
      </c>
      <c r="AB1295" s="1" t="str">
        <f t="shared" si="101"/>
        <v>C-14</v>
      </c>
      <c r="AC1295" s="2" t="str">
        <f t="shared" si="102"/>
        <v xml:space="preserve"> RINALDO </v>
      </c>
      <c r="AD1295" s="2">
        <f t="shared" si="103"/>
        <v>5</v>
      </c>
      <c r="AE1295" s="2">
        <f t="shared" ca="1" si="104"/>
        <v>-27.390125810183235</v>
      </c>
    </row>
    <row r="1296" spans="1:31" hidden="1">
      <c r="A1296" s="1">
        <v>9416563</v>
      </c>
      <c r="B1296" s="1" t="s">
        <v>101</v>
      </c>
      <c r="C1296" t="s">
        <v>643</v>
      </c>
      <c r="D1296" s="2">
        <v>230017589</v>
      </c>
      <c r="E1296" s="2">
        <v>600001400010</v>
      </c>
      <c r="F1296" s="1" t="s">
        <v>936</v>
      </c>
      <c r="G1296" s="1" t="s">
        <v>53</v>
      </c>
      <c r="H1296" s="1" t="s">
        <v>1084</v>
      </c>
      <c r="I1296" s="1" t="s">
        <v>1085</v>
      </c>
      <c r="J1296" s="1" t="s">
        <v>90</v>
      </c>
      <c r="K1296" t="s">
        <v>937</v>
      </c>
      <c r="M1296" s="1" t="s">
        <v>58</v>
      </c>
      <c r="N1296" s="1">
        <v>0</v>
      </c>
      <c r="O1296" s="1" t="s">
        <v>105</v>
      </c>
      <c r="P1296" s="11" t="s">
        <v>3081</v>
      </c>
      <c r="R1296" s="1">
        <v>3</v>
      </c>
      <c r="T1296" s="1" t="s">
        <v>646</v>
      </c>
      <c r="U1296" s="186">
        <v>44959.285995370374</v>
      </c>
      <c r="V1296" s="1" t="s">
        <v>41</v>
      </c>
      <c r="W1296" s="1" t="s">
        <v>49</v>
      </c>
      <c r="X1296" s="13" t="str">
        <f>IF(RIGHT(H1296,2)&lt;&gt;"00",H1296,"")</f>
        <v/>
      </c>
      <c r="Y1296" s="2">
        <f ca="1">NETWORKDAYS(P1296,$Y$1)</f>
        <v>21</v>
      </c>
      <c r="Z1296" s="14">
        <v>1</v>
      </c>
      <c r="AA1296" s="1" t="str">
        <f t="shared" ca="1" si="100"/>
        <v>VENCIDO</v>
      </c>
      <c r="AB1296" s="1" t="str">
        <f t="shared" si="101"/>
        <v>C-14</v>
      </c>
      <c r="AC1296" s="2" t="str">
        <f t="shared" si="102"/>
        <v xml:space="preserve"> RINALDO </v>
      </c>
      <c r="AD1296" s="2">
        <f t="shared" si="103"/>
        <v>5</v>
      </c>
      <c r="AE1296" s="2">
        <f t="shared" ca="1" si="104"/>
        <v>-27.390276273144991</v>
      </c>
    </row>
    <row r="1297" spans="1:31" hidden="1">
      <c r="A1297" s="1">
        <v>9416512</v>
      </c>
      <c r="B1297" s="1" t="s">
        <v>101</v>
      </c>
      <c r="C1297" t="s">
        <v>643</v>
      </c>
      <c r="D1297" s="2">
        <v>230017447</v>
      </c>
      <c r="E1297" s="2">
        <v>115001400010</v>
      </c>
      <c r="F1297" s="1" t="s">
        <v>936</v>
      </c>
      <c r="G1297" s="1" t="s">
        <v>53</v>
      </c>
      <c r="H1297" s="1" t="s">
        <v>542</v>
      </c>
      <c r="I1297" s="1" t="s">
        <v>543</v>
      </c>
      <c r="J1297" s="1" t="s">
        <v>56</v>
      </c>
      <c r="K1297" t="s">
        <v>937</v>
      </c>
      <c r="M1297" s="1" t="s">
        <v>58</v>
      </c>
      <c r="N1297" s="1">
        <v>0</v>
      </c>
      <c r="O1297" s="1" t="s">
        <v>105</v>
      </c>
      <c r="P1297" s="11" t="s">
        <v>3083</v>
      </c>
      <c r="R1297" s="1">
        <v>3</v>
      </c>
      <c r="T1297" s="1" t="s">
        <v>646</v>
      </c>
      <c r="U1297" s="186">
        <v>44959.282418981478</v>
      </c>
      <c r="V1297" s="1" t="s">
        <v>41</v>
      </c>
      <c r="W1297" s="1" t="s">
        <v>49</v>
      </c>
      <c r="X1297" s="13" t="str">
        <f>IF(RIGHT(H1297,2)&lt;&gt;"00",H1297,"")</f>
        <v/>
      </c>
      <c r="Y1297" s="2">
        <f ca="1">NETWORKDAYS(P1297,$Y$1)</f>
        <v>21</v>
      </c>
      <c r="Z1297" s="14">
        <v>1</v>
      </c>
      <c r="AA1297" s="1" t="str">
        <f t="shared" ca="1" si="100"/>
        <v>VENCIDO</v>
      </c>
      <c r="AB1297" s="1" t="str">
        <f t="shared" si="101"/>
        <v>C-14</v>
      </c>
      <c r="AC1297" s="2" t="str">
        <f t="shared" si="102"/>
        <v xml:space="preserve"> CRISTINA </v>
      </c>
      <c r="AD1297" s="2">
        <f t="shared" si="103"/>
        <v>5</v>
      </c>
      <c r="AE1297" s="2">
        <f t="shared" ca="1" si="104"/>
        <v>-27.393852662040445</v>
      </c>
    </row>
    <row r="1298" spans="1:31" hidden="1">
      <c r="A1298" s="1">
        <v>9416481</v>
      </c>
      <c r="B1298" s="1" t="s">
        <v>101</v>
      </c>
      <c r="C1298" t="s">
        <v>643</v>
      </c>
      <c r="D1298" s="2">
        <v>230017484</v>
      </c>
      <c r="E1298" s="2">
        <v>246001400010</v>
      </c>
      <c r="F1298" s="1" t="s">
        <v>936</v>
      </c>
      <c r="G1298" s="1" t="s">
        <v>53</v>
      </c>
      <c r="H1298" s="1" t="s">
        <v>1193</v>
      </c>
      <c r="I1298" s="1" t="s">
        <v>1194</v>
      </c>
      <c r="J1298" s="1" t="s">
        <v>85</v>
      </c>
      <c r="K1298" t="s">
        <v>937</v>
      </c>
      <c r="M1298" s="1" t="s">
        <v>58</v>
      </c>
      <c r="N1298" s="1">
        <v>0</v>
      </c>
      <c r="O1298" s="1" t="s">
        <v>105</v>
      </c>
      <c r="P1298" s="11" t="s">
        <v>2318</v>
      </c>
      <c r="R1298" s="1">
        <v>3</v>
      </c>
      <c r="T1298" s="1" t="s">
        <v>646</v>
      </c>
      <c r="U1298" s="186">
        <v>44959.280856481484</v>
      </c>
      <c r="V1298" s="1" t="s">
        <v>41</v>
      </c>
      <c r="W1298" s="1" t="s">
        <v>49</v>
      </c>
      <c r="X1298" s="13" t="str">
        <f>IF(RIGHT(H1298,2)&lt;&gt;"00",H1298,"")</f>
        <v/>
      </c>
      <c r="Y1298" s="2">
        <f ca="1">NETWORKDAYS(P1298,$Y$1)</f>
        <v>21</v>
      </c>
      <c r="Z1298" s="14">
        <v>1</v>
      </c>
      <c r="AA1298" s="1" t="str">
        <f t="shared" ca="1" si="100"/>
        <v>VENCIDO</v>
      </c>
      <c r="AB1298" s="1" t="str">
        <f t="shared" si="101"/>
        <v>C-14</v>
      </c>
      <c r="AC1298" s="2" t="str">
        <f t="shared" si="102"/>
        <v xml:space="preserve"> RINALDO </v>
      </c>
      <c r="AD1298" s="2">
        <f t="shared" si="103"/>
        <v>5</v>
      </c>
      <c r="AE1298" s="2">
        <f t="shared" ca="1" si="104"/>
        <v>-27.395415162034624</v>
      </c>
    </row>
    <row r="1299" spans="1:31" hidden="1">
      <c r="A1299" s="1">
        <v>9416477</v>
      </c>
      <c r="B1299" s="1" t="s">
        <v>101</v>
      </c>
      <c r="C1299" t="s">
        <v>643</v>
      </c>
      <c r="D1299" s="2">
        <v>230017483</v>
      </c>
      <c r="E1299" s="2">
        <v>244001400010</v>
      </c>
      <c r="F1299" s="1" t="s">
        <v>936</v>
      </c>
      <c r="G1299" s="1" t="s">
        <v>53</v>
      </c>
      <c r="H1299" s="1" t="s">
        <v>313</v>
      </c>
      <c r="I1299" s="1" t="s">
        <v>314</v>
      </c>
      <c r="J1299" s="1" t="s">
        <v>56</v>
      </c>
      <c r="K1299" t="s">
        <v>937</v>
      </c>
      <c r="M1299" s="1" t="s">
        <v>58</v>
      </c>
      <c r="N1299" s="1">
        <v>0</v>
      </c>
      <c r="O1299" s="1" t="s">
        <v>105</v>
      </c>
      <c r="P1299" s="11" t="s">
        <v>3085</v>
      </c>
      <c r="R1299" s="1">
        <v>3</v>
      </c>
      <c r="T1299" s="1" t="s">
        <v>646</v>
      </c>
      <c r="U1299" s="186">
        <v>44959.280810185184</v>
      </c>
      <c r="V1299" s="1" t="s">
        <v>41</v>
      </c>
      <c r="W1299" s="1" t="s">
        <v>49</v>
      </c>
      <c r="X1299" s="13" t="str">
        <f>IF(RIGHT(H1299,2)&lt;&gt;"00",H1299,"")</f>
        <v/>
      </c>
      <c r="Y1299" s="2">
        <f ca="1">NETWORKDAYS(P1299,$Y$1)</f>
        <v>21</v>
      </c>
      <c r="Z1299" s="14">
        <v>1</v>
      </c>
      <c r="AA1299" s="1" t="str">
        <f t="shared" ca="1" si="100"/>
        <v>VENCIDO</v>
      </c>
      <c r="AB1299" s="1" t="str">
        <f t="shared" si="101"/>
        <v>C-14</v>
      </c>
      <c r="AC1299" s="2" t="str">
        <f t="shared" si="102"/>
        <v xml:space="preserve"> CRISTINA </v>
      </c>
      <c r="AD1299" s="2">
        <f t="shared" si="103"/>
        <v>5</v>
      </c>
      <c r="AE1299" s="2">
        <f t="shared" ca="1" si="104"/>
        <v>-27.395461458334466</v>
      </c>
    </row>
    <row r="1300" spans="1:31" hidden="1">
      <c r="A1300" s="1">
        <v>9416437</v>
      </c>
      <c r="B1300" s="1" t="s">
        <v>101</v>
      </c>
      <c r="C1300" t="s">
        <v>643</v>
      </c>
      <c r="D1300" s="2">
        <v>230017474</v>
      </c>
      <c r="E1300" s="2">
        <v>196001400010</v>
      </c>
      <c r="F1300" s="1" t="s">
        <v>936</v>
      </c>
      <c r="G1300" s="1" t="s">
        <v>53</v>
      </c>
      <c r="H1300" s="1" t="s">
        <v>1060</v>
      </c>
      <c r="I1300" s="1" t="s">
        <v>1061</v>
      </c>
      <c r="J1300" s="1" t="s">
        <v>79</v>
      </c>
      <c r="K1300" t="s">
        <v>937</v>
      </c>
      <c r="M1300" s="1" t="s">
        <v>58</v>
      </c>
      <c r="N1300" s="1">
        <v>0</v>
      </c>
      <c r="O1300" s="1" t="s">
        <v>105</v>
      </c>
      <c r="P1300" s="11" t="s">
        <v>3087</v>
      </c>
      <c r="R1300" s="1">
        <v>3</v>
      </c>
      <c r="T1300" s="1" t="s">
        <v>646</v>
      </c>
      <c r="U1300" s="186">
        <v>44959.279178240744</v>
      </c>
      <c r="V1300" s="1" t="s">
        <v>41</v>
      </c>
      <c r="W1300" s="1" t="s">
        <v>49</v>
      </c>
      <c r="X1300" s="13" t="str">
        <f>IF(RIGHT(H1300,2)&lt;&gt;"00",H1300,"")</f>
        <v/>
      </c>
      <c r="Y1300" s="2">
        <f ca="1">NETWORKDAYS(P1300,$Y$1)</f>
        <v>21</v>
      </c>
      <c r="Z1300" s="14">
        <v>1</v>
      </c>
      <c r="AA1300" s="1" t="str">
        <f t="shared" ca="1" si="100"/>
        <v>VENCIDO</v>
      </c>
      <c r="AB1300" s="1" t="str">
        <f t="shared" si="101"/>
        <v>C-14</v>
      </c>
      <c r="AC1300" s="2" t="str">
        <f t="shared" si="102"/>
        <v xml:space="preserve"> ROSEMERE </v>
      </c>
      <c r="AD1300" s="2">
        <f t="shared" si="103"/>
        <v>5</v>
      </c>
      <c r="AE1300" s="2">
        <f t="shared" ca="1" si="104"/>
        <v>-27.397093402774772</v>
      </c>
    </row>
    <row r="1301" spans="1:31">
      <c r="A1301" s="173">
        <v>9428127</v>
      </c>
      <c r="B1301" s="173" t="s">
        <v>1153</v>
      </c>
      <c r="C1301" s="178" t="s">
        <v>3090</v>
      </c>
      <c r="D1301" s="174"/>
      <c r="E1301" s="174">
        <v>2590000206001</v>
      </c>
      <c r="F1301" s="173" t="s">
        <v>29</v>
      </c>
      <c r="G1301" s="173" t="s">
        <v>53</v>
      </c>
      <c r="H1301" s="173" t="s">
        <v>394</v>
      </c>
      <c r="I1301" s="173" t="s">
        <v>395</v>
      </c>
      <c r="J1301" s="173" t="s">
        <v>148</v>
      </c>
      <c r="K1301" t="s">
        <v>34</v>
      </c>
      <c r="M1301" s="1" t="s">
        <v>35</v>
      </c>
      <c r="N1301" s="1">
        <v>42318949</v>
      </c>
      <c r="O1301" s="1" t="s">
        <v>36</v>
      </c>
      <c r="P1301" s="11" t="s">
        <v>3091</v>
      </c>
      <c r="R1301" s="1" t="s">
        <v>38</v>
      </c>
      <c r="T1301" s="1" t="s">
        <v>74</v>
      </c>
      <c r="U1301" s="186">
        <v>44980.649305555555</v>
      </c>
      <c r="V1301" s="1" t="s">
        <v>41</v>
      </c>
      <c r="W1301" s="1" t="s">
        <v>49</v>
      </c>
      <c r="X1301" s="13" t="str">
        <f>IF(RIGHT(H1301,2)&lt;&gt;"00",H1301,"")</f>
        <v/>
      </c>
      <c r="Y1301" s="2">
        <f ca="1">NETWORKDAYS(P1301,$Y$1)</f>
        <v>20</v>
      </c>
      <c r="Z1301" s="14">
        <v>1</v>
      </c>
      <c r="AA1301" s="1" t="str">
        <f t="shared" ca="1" si="100"/>
        <v>VENCIDO</v>
      </c>
      <c r="AB1301" s="1" t="str">
        <f t="shared" si="101"/>
        <v>Dosa</v>
      </c>
      <c r="AC1301" s="2" t="str">
        <f t="shared" si="102"/>
        <v xml:space="preserve"> RINALDO </v>
      </c>
      <c r="AD1301" s="2">
        <f t="shared" si="103"/>
        <v>5</v>
      </c>
      <c r="AE1301" s="2">
        <f t="shared" ca="1" si="104"/>
        <v>-6.0269660879639559</v>
      </c>
    </row>
    <row r="1302" spans="1:31" hidden="1">
      <c r="A1302" s="1">
        <v>9427703</v>
      </c>
      <c r="B1302" s="1" t="s">
        <v>1153</v>
      </c>
      <c r="C1302" t="s">
        <v>2335</v>
      </c>
      <c r="E1302" s="2">
        <v>1049000206001</v>
      </c>
      <c r="F1302" s="1" t="s">
        <v>29</v>
      </c>
      <c r="G1302" s="1" t="s">
        <v>53</v>
      </c>
      <c r="H1302" s="1" t="s">
        <v>169</v>
      </c>
      <c r="I1302" s="1" t="s">
        <v>170</v>
      </c>
      <c r="J1302" s="1" t="s">
        <v>164</v>
      </c>
      <c r="K1302" t="s">
        <v>34</v>
      </c>
      <c r="M1302" s="1" t="s">
        <v>35</v>
      </c>
      <c r="N1302" s="1">
        <v>42318949</v>
      </c>
      <c r="O1302" s="1" t="s">
        <v>36</v>
      </c>
      <c r="P1302" s="11" t="s">
        <v>3095</v>
      </c>
      <c r="R1302" s="1" t="s">
        <v>38</v>
      </c>
      <c r="T1302" s="1" t="s">
        <v>74</v>
      </c>
      <c r="U1302" s="186">
        <v>44987.583333333336</v>
      </c>
      <c r="V1302" s="1" t="s">
        <v>41</v>
      </c>
      <c r="W1302" s="1" t="s">
        <v>49</v>
      </c>
      <c r="X1302" s="13" t="str">
        <f>IF(RIGHT(H1302,2)&lt;&gt;"00",H1302,"")</f>
        <v/>
      </c>
      <c r="Y1302" s="2">
        <f ca="1">NETWORKDAYS(P1302,$Y$1)</f>
        <v>20</v>
      </c>
      <c r="Z1302" s="14">
        <v>1</v>
      </c>
      <c r="AA1302" s="1" t="str">
        <f t="shared" ca="1" si="100"/>
        <v>A VENCER</v>
      </c>
      <c r="AB1302" s="1" t="str">
        <f t="shared" si="101"/>
        <v>Dosa</v>
      </c>
      <c r="AC1302" s="2" t="str">
        <f t="shared" si="102"/>
        <v xml:space="preserve"> ROSEMERE </v>
      </c>
      <c r="AD1302" s="2">
        <f t="shared" si="103"/>
        <v>5</v>
      </c>
      <c r="AE1302" s="2">
        <f t="shared" ca="1" si="104"/>
        <v>0.90706168981705559</v>
      </c>
    </row>
    <row r="1303" spans="1:31">
      <c r="A1303" s="181">
        <v>9426529</v>
      </c>
      <c r="B1303" s="181" t="s">
        <v>1153</v>
      </c>
      <c r="C1303" s="182" t="s">
        <v>3491</v>
      </c>
      <c r="D1303" s="183"/>
      <c r="E1303" s="183">
        <v>2125000206001</v>
      </c>
      <c r="F1303" s="181" t="s">
        <v>29</v>
      </c>
      <c r="G1303" s="181" t="s">
        <v>53</v>
      </c>
      <c r="H1303" s="181" t="s">
        <v>1399</v>
      </c>
      <c r="I1303" s="181" t="s">
        <v>1400</v>
      </c>
      <c r="J1303" s="181" t="s">
        <v>211</v>
      </c>
      <c r="K1303" t="s">
        <v>34</v>
      </c>
      <c r="M1303" s="1" t="s">
        <v>35</v>
      </c>
      <c r="N1303" s="1">
        <v>42318949</v>
      </c>
      <c r="O1303" s="1" t="s">
        <v>36</v>
      </c>
      <c r="P1303" s="11" t="s">
        <v>2337</v>
      </c>
      <c r="R1303" s="1" t="s">
        <v>38</v>
      </c>
      <c r="T1303" s="1" t="s">
        <v>74</v>
      </c>
      <c r="U1303" s="186">
        <v>44979.708333333336</v>
      </c>
      <c r="V1303" s="1" t="s">
        <v>41</v>
      </c>
      <c r="W1303" s="1" t="s">
        <v>49</v>
      </c>
      <c r="X1303" s="13" t="str">
        <f>IF(RIGHT(H1303,2)&lt;&gt;"00",H1303,"")</f>
        <v/>
      </c>
      <c r="Y1303" s="2">
        <f ca="1">NETWORKDAYS(P1303,$Y$1)</f>
        <v>20</v>
      </c>
      <c r="Z1303" s="14">
        <v>1</v>
      </c>
      <c r="AA1303" s="1" t="str">
        <f t="shared" ca="1" si="100"/>
        <v>VENCIDO</v>
      </c>
      <c r="AB1303" s="1" t="str">
        <f t="shared" si="101"/>
        <v>Dosa</v>
      </c>
      <c r="AC1303" s="2" t="str">
        <f t="shared" si="102"/>
        <v xml:space="preserve"> RINALDO </v>
      </c>
      <c r="AD1303" s="2">
        <f t="shared" si="103"/>
        <v>5</v>
      </c>
      <c r="AE1303" s="2">
        <f t="shared" ca="1" si="104"/>
        <v>-6.9679383101829444</v>
      </c>
    </row>
    <row r="1304" spans="1:31" hidden="1">
      <c r="A1304" s="1">
        <v>9426501</v>
      </c>
      <c r="B1304" s="1" t="s">
        <v>1153</v>
      </c>
      <c r="C1304" t="s">
        <v>2339</v>
      </c>
      <c r="D1304" s="2">
        <v>20235718000299</v>
      </c>
      <c r="E1304" s="2">
        <v>7417192423265</v>
      </c>
      <c r="F1304" s="1" t="s">
        <v>1727</v>
      </c>
      <c r="G1304" s="1" t="s">
        <v>53</v>
      </c>
      <c r="H1304" s="1" t="s">
        <v>1244</v>
      </c>
      <c r="I1304" s="1" t="s">
        <v>1245</v>
      </c>
      <c r="J1304" s="1" t="s">
        <v>46</v>
      </c>
      <c r="K1304" t="s">
        <v>1728</v>
      </c>
      <c r="M1304" s="1" t="s">
        <v>58</v>
      </c>
      <c r="N1304" s="1">
        <v>0</v>
      </c>
      <c r="O1304" s="1" t="s">
        <v>36</v>
      </c>
      <c r="P1304" s="11" t="s">
        <v>2340</v>
      </c>
      <c r="R1304" s="1">
        <v>22</v>
      </c>
      <c r="T1304" s="1" t="s">
        <v>1160</v>
      </c>
      <c r="U1304" s="186">
        <v>44963.60491898148</v>
      </c>
      <c r="V1304" s="1" t="s">
        <v>41</v>
      </c>
      <c r="W1304" s="1" t="s">
        <v>49</v>
      </c>
      <c r="X1304" s="13" t="str">
        <f>IF(RIGHT(H1304,2)&lt;&gt;"00",H1304,"")</f>
        <v/>
      </c>
      <c r="Y1304" s="2">
        <f ca="1">NETWORKDAYS(P1304,$Y$1)</f>
        <v>20</v>
      </c>
      <c r="Z1304" s="14">
        <v>1</v>
      </c>
      <c r="AA1304" s="1" t="str">
        <f t="shared" ca="1" si="100"/>
        <v>VENCIDO</v>
      </c>
      <c r="AB1304" s="1" t="str">
        <f t="shared" si="101"/>
        <v>TAAe+</v>
      </c>
      <c r="AC1304" s="2" t="str">
        <f t="shared" si="102"/>
        <v xml:space="preserve"> CLEITON </v>
      </c>
      <c r="AD1304" s="2">
        <f t="shared" si="103"/>
        <v>8</v>
      </c>
      <c r="AE1304" s="2">
        <f t="shared" ca="1" si="104"/>
        <v>-23.071352662038407</v>
      </c>
    </row>
    <row r="1305" spans="1:31" hidden="1">
      <c r="A1305" s="1">
        <v>9433742</v>
      </c>
      <c r="B1305" s="1" t="s">
        <v>1153</v>
      </c>
      <c r="C1305" t="s">
        <v>2347</v>
      </c>
      <c r="D1305" s="2">
        <v>20234844000356</v>
      </c>
      <c r="E1305" s="2">
        <v>7419141894942</v>
      </c>
      <c r="F1305" s="1" t="s">
        <v>128</v>
      </c>
      <c r="G1305" s="1" t="s">
        <v>53</v>
      </c>
      <c r="H1305" s="1" t="s">
        <v>2348</v>
      </c>
      <c r="I1305" s="1" t="s">
        <v>2349</v>
      </c>
      <c r="J1305" s="1" t="s">
        <v>46</v>
      </c>
      <c r="K1305" t="s">
        <v>129</v>
      </c>
      <c r="M1305" s="1" t="s">
        <v>58</v>
      </c>
      <c r="N1305" s="1">
        <v>0</v>
      </c>
      <c r="O1305" s="1" t="s">
        <v>36</v>
      </c>
      <c r="P1305" s="11" t="s">
        <v>2350</v>
      </c>
      <c r="R1305" s="1">
        <v>13</v>
      </c>
      <c r="T1305" s="1" t="s">
        <v>238</v>
      </c>
      <c r="U1305" s="11" t="s">
        <v>2346</v>
      </c>
      <c r="V1305" s="1" t="s">
        <v>41</v>
      </c>
      <c r="W1305" s="1" t="s">
        <v>49</v>
      </c>
      <c r="X1305" s="13" t="str">
        <f>IF(RIGHT(H1305,2)&lt;&gt;"00",H1305,"")</f>
        <v>4844.33</v>
      </c>
      <c r="Y1305" s="2">
        <f ca="1">NETWORKDAYS(P1305,$Y$1)</f>
        <v>19</v>
      </c>
      <c r="Z1305" s="14">
        <v>1</v>
      </c>
      <c r="AA1305" s="1" t="str">
        <f t="shared" ca="1" si="100"/>
        <v>VENCIDO</v>
      </c>
      <c r="AB1305" s="1" t="str">
        <f t="shared" si="101"/>
        <v>TAAe+</v>
      </c>
      <c r="AC1305" s="2" t="str">
        <f t="shared" si="102"/>
        <v xml:space="preserve"> CLEITON </v>
      </c>
      <c r="AD1305" s="2">
        <f t="shared" si="103"/>
        <v>8</v>
      </c>
      <c r="AE1305" s="2">
        <f t="shared" ca="1" si="104"/>
        <v>-23.280438310182944</v>
      </c>
    </row>
    <row r="1306" spans="1:31" hidden="1">
      <c r="A1306" s="1">
        <v>9433457</v>
      </c>
      <c r="B1306" s="1" t="s">
        <v>1153</v>
      </c>
      <c r="C1306" t="s">
        <v>2353</v>
      </c>
      <c r="D1306" s="2">
        <v>230023961</v>
      </c>
      <c r="E1306" s="2">
        <v>196001400010</v>
      </c>
      <c r="F1306" s="1" t="s">
        <v>936</v>
      </c>
      <c r="G1306" s="1" t="s">
        <v>53</v>
      </c>
      <c r="H1306" s="1" t="s">
        <v>1060</v>
      </c>
      <c r="I1306" s="1" t="s">
        <v>1061</v>
      </c>
      <c r="J1306" s="1" t="s">
        <v>79</v>
      </c>
      <c r="K1306" t="s">
        <v>937</v>
      </c>
      <c r="M1306" s="1" t="s">
        <v>58</v>
      </c>
      <c r="N1306" s="1">
        <v>0</v>
      </c>
      <c r="O1306" s="1" t="s">
        <v>36</v>
      </c>
      <c r="P1306" s="11" t="s">
        <v>2354</v>
      </c>
      <c r="R1306" s="1">
        <v>3</v>
      </c>
      <c r="T1306" s="1" t="s">
        <v>646</v>
      </c>
      <c r="U1306" s="11" t="s">
        <v>2355</v>
      </c>
      <c r="V1306" s="1" t="s">
        <v>41</v>
      </c>
      <c r="W1306" s="1" t="s">
        <v>49</v>
      </c>
      <c r="X1306" s="13" t="str">
        <f>IF(RIGHT(H1306,2)&lt;&gt;"00",H1306,"")</f>
        <v/>
      </c>
      <c r="Y1306" s="2">
        <f ca="1">NETWORKDAYS(P1306,$Y$1)</f>
        <v>19</v>
      </c>
      <c r="Z1306" s="14">
        <v>1</v>
      </c>
      <c r="AA1306" s="1" t="str">
        <f t="shared" ca="1" si="100"/>
        <v>VENCIDO</v>
      </c>
      <c r="AB1306" s="1" t="str">
        <f t="shared" si="101"/>
        <v>C-14</v>
      </c>
      <c r="AC1306" s="2" t="str">
        <f t="shared" si="102"/>
        <v xml:space="preserve"> ROSEMERE </v>
      </c>
      <c r="AD1306" s="2">
        <f t="shared" si="103"/>
        <v>5</v>
      </c>
      <c r="AE1306" s="2">
        <f t="shared" ca="1" si="104"/>
        <v>-7.2387716435187031</v>
      </c>
    </row>
    <row r="1307" spans="1:31" hidden="1">
      <c r="A1307" s="1">
        <v>9433413</v>
      </c>
      <c r="B1307" s="1" t="s">
        <v>1153</v>
      </c>
      <c r="C1307" t="s">
        <v>2356</v>
      </c>
      <c r="D1307" s="2">
        <v>20234844000350</v>
      </c>
      <c r="E1307" s="2">
        <v>7419141892809</v>
      </c>
      <c r="F1307" s="1" t="s">
        <v>128</v>
      </c>
      <c r="G1307" s="1" t="s">
        <v>53</v>
      </c>
      <c r="H1307" s="1" t="s">
        <v>2357</v>
      </c>
      <c r="I1307" s="1" t="s">
        <v>2358</v>
      </c>
      <c r="J1307" s="1" t="s">
        <v>46</v>
      </c>
      <c r="K1307" t="s">
        <v>129</v>
      </c>
      <c r="M1307" s="1" t="s">
        <v>58</v>
      </c>
      <c r="N1307" s="1">
        <v>0</v>
      </c>
      <c r="O1307" s="1" t="s">
        <v>36</v>
      </c>
      <c r="P1307" s="11" t="s">
        <v>2359</v>
      </c>
      <c r="R1307" s="1">
        <v>13</v>
      </c>
      <c r="T1307" s="1" t="s">
        <v>238</v>
      </c>
      <c r="U1307" s="11" t="s">
        <v>2359</v>
      </c>
      <c r="V1307" s="1" t="s">
        <v>41</v>
      </c>
      <c r="W1307" s="1" t="s">
        <v>49</v>
      </c>
      <c r="X1307" s="13" t="str">
        <f>IF(RIGHT(H1307,2)&lt;&gt;"00",H1307,"")</f>
        <v>4844.12</v>
      </c>
      <c r="Y1307" s="2">
        <f ca="1">NETWORKDAYS(P1307,$Y$1)</f>
        <v>19</v>
      </c>
      <c r="Z1307" s="14">
        <v>1</v>
      </c>
      <c r="AA1307" s="1" t="str">
        <f t="shared" ca="1" si="100"/>
        <v>VENCIDO</v>
      </c>
      <c r="AB1307" s="1" t="str">
        <f t="shared" si="101"/>
        <v>TAAe+</v>
      </c>
      <c r="AC1307" s="2" t="str">
        <f t="shared" si="102"/>
        <v xml:space="preserve"> CLEITON </v>
      </c>
      <c r="AD1307" s="2">
        <f t="shared" si="103"/>
        <v>8</v>
      </c>
      <c r="AE1307" s="2">
        <f t="shared" ca="1" si="104"/>
        <v>-25.987463773148193</v>
      </c>
    </row>
    <row r="1308" spans="1:31" hidden="1">
      <c r="A1308" s="1">
        <v>9433050</v>
      </c>
      <c r="B1308" s="1" t="s">
        <v>1153</v>
      </c>
      <c r="C1308" t="s">
        <v>2366</v>
      </c>
      <c r="D1308" s="2">
        <v>20234923000053</v>
      </c>
      <c r="E1308" s="2">
        <v>7417172789125</v>
      </c>
      <c r="F1308" s="1" t="s">
        <v>1989</v>
      </c>
      <c r="G1308" s="1" t="s">
        <v>53</v>
      </c>
      <c r="H1308" s="1" t="s">
        <v>1351</v>
      </c>
      <c r="I1308" s="1" t="s">
        <v>1352</v>
      </c>
      <c r="J1308" s="1" t="s">
        <v>46</v>
      </c>
      <c r="K1308" t="s">
        <v>1990</v>
      </c>
      <c r="M1308" s="1" t="s">
        <v>58</v>
      </c>
      <c r="N1308" s="1">
        <v>0</v>
      </c>
      <c r="O1308" s="1" t="s">
        <v>36</v>
      </c>
      <c r="P1308" s="11" t="s">
        <v>3097</v>
      </c>
      <c r="R1308" s="1">
        <v>22</v>
      </c>
      <c r="T1308" s="1" t="s">
        <v>1160</v>
      </c>
      <c r="U1308" s="11" t="s">
        <v>3098</v>
      </c>
      <c r="V1308" s="1" t="s">
        <v>41</v>
      </c>
      <c r="W1308" s="1" t="s">
        <v>49</v>
      </c>
      <c r="X1308" s="13" t="str">
        <f>IF(RIGHT(H1308,2)&lt;&gt;"00",H1308,"")</f>
        <v/>
      </c>
      <c r="Y1308" s="2">
        <f ca="1">NETWORKDAYS(P1308,$Y$1)</f>
        <v>19</v>
      </c>
      <c r="Z1308" s="14">
        <v>1</v>
      </c>
      <c r="AA1308" s="1" t="str">
        <f t="shared" ca="1" si="100"/>
        <v>VENCIDO</v>
      </c>
      <c r="AB1308" s="1" t="str">
        <f t="shared" si="101"/>
        <v>TAAe+</v>
      </c>
      <c r="AC1308" s="2" t="str">
        <f t="shared" si="102"/>
        <v xml:space="preserve"> CLEITON </v>
      </c>
      <c r="AD1308" s="2">
        <f t="shared" si="103"/>
        <v>8</v>
      </c>
      <c r="AE1308" s="2">
        <f t="shared" ca="1" si="104"/>
        <v>-21.206028587963374</v>
      </c>
    </row>
    <row r="1309" spans="1:31" hidden="1">
      <c r="A1309" s="1">
        <v>9432437</v>
      </c>
      <c r="B1309" s="1" t="s">
        <v>62</v>
      </c>
      <c r="C1309" t="s">
        <v>2372</v>
      </c>
      <c r="E1309" s="2">
        <v>1833000206001</v>
      </c>
      <c r="F1309" s="1" t="s">
        <v>29</v>
      </c>
      <c r="G1309" s="1" t="s">
        <v>53</v>
      </c>
      <c r="H1309" s="1" t="s">
        <v>369</v>
      </c>
      <c r="I1309" s="1" t="s">
        <v>370</v>
      </c>
      <c r="J1309" s="1" t="s">
        <v>46</v>
      </c>
      <c r="K1309" t="s">
        <v>34</v>
      </c>
      <c r="M1309" s="1" t="s">
        <v>35</v>
      </c>
      <c r="N1309" s="1">
        <v>42318949</v>
      </c>
      <c r="O1309" s="1" t="s">
        <v>36</v>
      </c>
      <c r="P1309" s="11" t="s">
        <v>3099</v>
      </c>
      <c r="R1309" s="1" t="s">
        <v>38</v>
      </c>
      <c r="T1309" s="1" t="s">
        <v>74</v>
      </c>
      <c r="U1309" s="186">
        <v>45005.75</v>
      </c>
      <c r="V1309" s="1" t="s">
        <v>41</v>
      </c>
      <c r="W1309" s="1" t="s">
        <v>49</v>
      </c>
      <c r="X1309" s="13" t="str">
        <f>IF(RIGHT(H1309,2)&lt;&gt;"00",H1309,"")</f>
        <v/>
      </c>
      <c r="Y1309" s="2">
        <f ca="1">NETWORKDAYS(P1309,$Y$1)</f>
        <v>19</v>
      </c>
      <c r="Z1309" s="14">
        <v>1</v>
      </c>
      <c r="AA1309" s="1" t="str">
        <f t="shared" ca="1" si="100"/>
        <v>A VENCER</v>
      </c>
      <c r="AB1309" s="1" t="str">
        <f t="shared" si="101"/>
        <v>Dosa</v>
      </c>
      <c r="AC1309" s="2" t="str">
        <f t="shared" si="102"/>
        <v xml:space="preserve"> CLEITON </v>
      </c>
      <c r="AD1309" s="2">
        <f t="shared" si="103"/>
        <v>5</v>
      </c>
      <c r="AE1309" s="2">
        <f t="shared" ca="1" si="104"/>
        <v>19.073728356481297</v>
      </c>
    </row>
    <row r="1310" spans="1:31" hidden="1">
      <c r="A1310" s="1">
        <v>9432115</v>
      </c>
      <c r="B1310" s="1" t="s">
        <v>1153</v>
      </c>
      <c r="C1310" t="s">
        <v>2373</v>
      </c>
      <c r="D1310" s="2">
        <v>20232257000015</v>
      </c>
      <c r="E1310" s="2">
        <v>7417183022203</v>
      </c>
      <c r="F1310" s="1" t="s">
        <v>1313</v>
      </c>
      <c r="G1310" s="1" t="s">
        <v>53</v>
      </c>
      <c r="H1310" s="1" t="s">
        <v>2326</v>
      </c>
      <c r="I1310" s="1" t="s">
        <v>2327</v>
      </c>
      <c r="J1310" s="1" t="s">
        <v>110</v>
      </c>
      <c r="K1310" t="s">
        <v>1316</v>
      </c>
      <c r="M1310" s="1" t="s">
        <v>58</v>
      </c>
      <c r="N1310" s="1">
        <v>0</v>
      </c>
      <c r="O1310" s="1" t="s">
        <v>36</v>
      </c>
      <c r="P1310" s="11" t="s">
        <v>2374</v>
      </c>
      <c r="R1310" s="1">
        <v>14</v>
      </c>
      <c r="T1310" s="1" t="s">
        <v>238</v>
      </c>
      <c r="U1310" s="186">
        <v>44960.487442129626</v>
      </c>
      <c r="V1310" s="1" t="s">
        <v>41</v>
      </c>
      <c r="W1310" s="1" t="s">
        <v>49</v>
      </c>
      <c r="X1310" s="13" t="str">
        <f>IF(RIGHT(H1310,2)&lt;&gt;"00",H1310,"")</f>
        <v>2257.91</v>
      </c>
      <c r="Y1310" s="2">
        <f ca="1">NETWORKDAYS(P1310,$Y$1)</f>
        <v>19</v>
      </c>
      <c r="Z1310" s="14">
        <v>1</v>
      </c>
      <c r="AA1310" s="1" t="str">
        <f t="shared" ca="1" si="100"/>
        <v>VENCIDO</v>
      </c>
      <c r="AB1310" s="1" t="str">
        <f t="shared" si="101"/>
        <v>TAAe+</v>
      </c>
      <c r="AC1310" s="2" t="str">
        <f t="shared" si="102"/>
        <v xml:space="preserve"> CRISTINA </v>
      </c>
      <c r="AD1310" s="2">
        <f t="shared" si="103"/>
        <v>8</v>
      </c>
      <c r="AE1310" s="2">
        <f t="shared" ca="1" si="104"/>
        <v>-26.188829513892415</v>
      </c>
    </row>
    <row r="1311" spans="1:31" hidden="1">
      <c r="A1311" s="1">
        <v>9431494</v>
      </c>
      <c r="B1311" s="1" t="s">
        <v>1153</v>
      </c>
      <c r="C1311" t="s">
        <v>2378</v>
      </c>
      <c r="D1311" s="2">
        <v>20237712000002</v>
      </c>
      <c r="E1311" s="2">
        <v>7417193051914</v>
      </c>
      <c r="F1311" s="1" t="s">
        <v>1719</v>
      </c>
      <c r="G1311" s="1" t="s">
        <v>53</v>
      </c>
      <c r="H1311" s="1" t="s">
        <v>2379</v>
      </c>
      <c r="I1311" s="1" t="s">
        <v>2380</v>
      </c>
      <c r="J1311" s="1" t="s">
        <v>46</v>
      </c>
      <c r="K1311" t="s">
        <v>1720</v>
      </c>
      <c r="M1311" s="1" t="s">
        <v>58</v>
      </c>
      <c r="N1311" s="1">
        <v>0</v>
      </c>
      <c r="O1311" s="1" t="s">
        <v>36</v>
      </c>
      <c r="P1311" s="11" t="s">
        <v>2381</v>
      </c>
      <c r="R1311" s="1">
        <v>22</v>
      </c>
      <c r="T1311" s="1" t="s">
        <v>1160</v>
      </c>
      <c r="U1311" s="186">
        <v>44964.621782407405</v>
      </c>
      <c r="V1311" s="1" t="s">
        <v>41</v>
      </c>
      <c r="W1311" s="1" t="s">
        <v>49</v>
      </c>
      <c r="X1311" s="13" t="str">
        <f>IF(RIGHT(H1311,2)&lt;&gt;"00",H1311,"")</f>
        <v/>
      </c>
      <c r="Y1311" s="2">
        <f ca="1">NETWORKDAYS(P1311,$Y$1)</f>
        <v>19</v>
      </c>
      <c r="Z1311" s="14">
        <v>1</v>
      </c>
      <c r="AA1311" s="1" t="str">
        <f t="shared" ca="1" si="100"/>
        <v>VENCIDO</v>
      </c>
      <c r="AB1311" s="1" t="str">
        <f t="shared" si="101"/>
        <v>TAAe+</v>
      </c>
      <c r="AC1311" s="2" t="str">
        <f t="shared" si="102"/>
        <v xml:space="preserve"> CLEITON </v>
      </c>
      <c r="AD1311" s="2">
        <f t="shared" si="103"/>
        <v>8</v>
      </c>
      <c r="AE1311" s="2">
        <f t="shared" ca="1" si="104"/>
        <v>-22.054489236114023</v>
      </c>
    </row>
    <row r="1312" spans="1:31" hidden="1">
      <c r="A1312" s="1">
        <v>9431491</v>
      </c>
      <c r="B1312" s="1" t="s">
        <v>1153</v>
      </c>
      <c r="C1312" t="s">
        <v>2383</v>
      </c>
      <c r="D1312" s="2">
        <v>20237712000001</v>
      </c>
      <c r="E1312" s="2">
        <v>7417193051942</v>
      </c>
      <c r="F1312" s="1" t="s">
        <v>1719</v>
      </c>
      <c r="G1312" s="1" t="s">
        <v>53</v>
      </c>
      <c r="H1312" s="1" t="s">
        <v>2379</v>
      </c>
      <c r="I1312" s="1" t="s">
        <v>2380</v>
      </c>
      <c r="J1312" s="1" t="s">
        <v>46</v>
      </c>
      <c r="K1312" t="s">
        <v>1720</v>
      </c>
      <c r="M1312" s="1" t="s">
        <v>58</v>
      </c>
      <c r="N1312" s="1">
        <v>0</v>
      </c>
      <c r="O1312" s="1" t="s">
        <v>36</v>
      </c>
      <c r="P1312" s="11" t="s">
        <v>2384</v>
      </c>
      <c r="R1312" s="1">
        <v>22</v>
      </c>
      <c r="T1312" s="1" t="s">
        <v>1160</v>
      </c>
      <c r="U1312" s="186">
        <v>44964.613969907405</v>
      </c>
      <c r="V1312" s="1" t="s">
        <v>41</v>
      </c>
      <c r="W1312" s="1" t="s">
        <v>49</v>
      </c>
      <c r="X1312" s="13" t="str">
        <f>IF(RIGHT(H1312,2)&lt;&gt;"00",H1312,"")</f>
        <v/>
      </c>
      <c r="Y1312" s="2">
        <f ca="1">NETWORKDAYS(P1312,$Y$1)</f>
        <v>19</v>
      </c>
      <c r="Z1312" s="14">
        <v>1</v>
      </c>
      <c r="AA1312" s="1" t="str">
        <f t="shared" ca="1" si="100"/>
        <v>VENCIDO</v>
      </c>
      <c r="AB1312" s="1" t="str">
        <f t="shared" si="101"/>
        <v>TAAe+</v>
      </c>
      <c r="AC1312" s="2" t="str">
        <f t="shared" si="102"/>
        <v xml:space="preserve"> CLEITON </v>
      </c>
      <c r="AD1312" s="2">
        <f t="shared" si="103"/>
        <v>8</v>
      </c>
      <c r="AE1312" s="2">
        <f t="shared" ca="1" si="104"/>
        <v>-22.062301736114023</v>
      </c>
    </row>
    <row r="1313" spans="1:31" hidden="1">
      <c r="A1313" s="1">
        <v>9430989</v>
      </c>
      <c r="B1313" s="1" t="s">
        <v>62</v>
      </c>
      <c r="C1313" t="s">
        <v>2390</v>
      </c>
      <c r="E1313" s="2">
        <v>3258000206001</v>
      </c>
      <c r="F1313" s="1" t="s">
        <v>29</v>
      </c>
      <c r="G1313" s="1" t="s">
        <v>53</v>
      </c>
      <c r="H1313" s="1" t="s">
        <v>321</v>
      </c>
      <c r="I1313" s="1" t="s">
        <v>322</v>
      </c>
      <c r="J1313" s="1" t="s">
        <v>46</v>
      </c>
      <c r="K1313" t="s">
        <v>34</v>
      </c>
      <c r="M1313" s="1" t="s">
        <v>35</v>
      </c>
      <c r="N1313" s="1">
        <v>42318949</v>
      </c>
      <c r="O1313" s="1" t="s">
        <v>105</v>
      </c>
      <c r="P1313" s="11" t="s">
        <v>3101</v>
      </c>
      <c r="R1313" s="1" t="s">
        <v>38</v>
      </c>
      <c r="T1313" s="1" t="s">
        <v>74</v>
      </c>
      <c r="U1313" s="186">
        <v>45005.75</v>
      </c>
      <c r="V1313" s="1" t="s">
        <v>41</v>
      </c>
      <c r="W1313" s="1" t="s">
        <v>49</v>
      </c>
      <c r="X1313" s="13" t="str">
        <f>IF(RIGHT(H1313,2)&lt;&gt;"00",H1313,"")</f>
        <v/>
      </c>
      <c r="Y1313" s="2">
        <f ca="1">NETWORKDAYS(P1313,$Y$1)</f>
        <v>19</v>
      </c>
      <c r="Z1313" s="14">
        <v>1</v>
      </c>
      <c r="AA1313" s="1" t="str">
        <f t="shared" ca="1" si="100"/>
        <v>A VENCER</v>
      </c>
      <c r="AB1313" s="1" t="str">
        <f t="shared" si="101"/>
        <v>Dosa</v>
      </c>
      <c r="AC1313" s="2" t="str">
        <f t="shared" si="102"/>
        <v xml:space="preserve"> CLEITON </v>
      </c>
      <c r="AD1313" s="2">
        <f t="shared" si="103"/>
        <v>5</v>
      </c>
      <c r="AE1313" s="2">
        <f t="shared" ca="1" si="104"/>
        <v>19.073728356481297</v>
      </c>
    </row>
    <row r="1314" spans="1:31" hidden="1">
      <c r="A1314" s="1">
        <v>9445712</v>
      </c>
      <c r="B1314" s="1" t="s">
        <v>1153</v>
      </c>
      <c r="C1314" t="s">
        <v>2391</v>
      </c>
      <c r="D1314" s="2">
        <v>230024766</v>
      </c>
      <c r="E1314" s="2">
        <v>3924001400030</v>
      </c>
      <c r="F1314" s="1" t="s">
        <v>647</v>
      </c>
      <c r="G1314" s="1" t="s">
        <v>53</v>
      </c>
      <c r="H1314" s="1" t="s">
        <v>153</v>
      </c>
      <c r="I1314" s="1" t="s">
        <v>154</v>
      </c>
      <c r="J1314" s="1" t="s">
        <v>56</v>
      </c>
      <c r="K1314" t="s">
        <v>650</v>
      </c>
      <c r="M1314" s="1" t="s">
        <v>58</v>
      </c>
      <c r="N1314" s="1">
        <v>0</v>
      </c>
      <c r="O1314" s="1" t="s">
        <v>36</v>
      </c>
      <c r="P1314" s="11" t="s">
        <v>3102</v>
      </c>
      <c r="R1314" s="1">
        <v>4</v>
      </c>
      <c r="T1314" s="1" t="s">
        <v>646</v>
      </c>
      <c r="U1314" s="11" t="s">
        <v>3103</v>
      </c>
      <c r="V1314" s="1" t="s">
        <v>41</v>
      </c>
      <c r="W1314" s="1" t="s">
        <v>49</v>
      </c>
      <c r="X1314" s="13" t="str">
        <f>IF(RIGHT(H1314,2)&lt;&gt;"00",H1314,"")</f>
        <v/>
      </c>
      <c r="Y1314" s="2">
        <f ca="1">NETWORKDAYS(P1314,$Y$1)</f>
        <v>18</v>
      </c>
      <c r="Z1314" s="14">
        <v>1</v>
      </c>
      <c r="AA1314" s="1" t="str">
        <f t="shared" ca="1" si="100"/>
        <v>VENCIDO</v>
      </c>
      <c r="AB1314" s="1" t="str">
        <f t="shared" si="101"/>
        <v>C-14</v>
      </c>
      <c r="AC1314" s="2" t="str">
        <f t="shared" si="102"/>
        <v xml:space="preserve"> CRISTINA </v>
      </c>
      <c r="AD1314" s="2">
        <f t="shared" si="103"/>
        <v>15</v>
      </c>
      <c r="AE1314" s="2">
        <f t="shared" ca="1" si="104"/>
        <v>-15.947104976854462</v>
      </c>
    </row>
    <row r="1315" spans="1:31" hidden="1">
      <c r="A1315" s="1">
        <v>9445663</v>
      </c>
      <c r="B1315" s="1" t="s">
        <v>1153</v>
      </c>
      <c r="C1315" t="s">
        <v>2394</v>
      </c>
      <c r="D1315" s="2">
        <v>20234844000375</v>
      </c>
      <c r="E1315" s="2">
        <v>7417163283072</v>
      </c>
      <c r="F1315" s="1" t="s">
        <v>131</v>
      </c>
      <c r="G1315" s="1" t="s">
        <v>53</v>
      </c>
      <c r="H1315" s="1" t="s">
        <v>2395</v>
      </c>
      <c r="I1315" s="1" t="s">
        <v>2396</v>
      </c>
      <c r="J1315" s="1" t="s">
        <v>46</v>
      </c>
      <c r="K1315" t="s">
        <v>132</v>
      </c>
      <c r="M1315" s="1" t="s">
        <v>58</v>
      </c>
      <c r="N1315" s="1">
        <v>0</v>
      </c>
      <c r="O1315" s="1" t="s">
        <v>36</v>
      </c>
      <c r="P1315" s="11" t="s">
        <v>2397</v>
      </c>
      <c r="R1315" s="1">
        <v>13</v>
      </c>
      <c r="T1315" s="1" t="s">
        <v>238</v>
      </c>
      <c r="U1315" s="11" t="s">
        <v>2397</v>
      </c>
      <c r="V1315" s="1" t="s">
        <v>41</v>
      </c>
      <c r="W1315" s="1" t="s">
        <v>49</v>
      </c>
      <c r="X1315" s="13" t="str">
        <f>IF(RIGHT(H1315,2)&lt;&gt;"00",H1315,"")</f>
        <v>4844.08</v>
      </c>
      <c r="Y1315" s="2">
        <f ca="1">NETWORKDAYS(P1315,$Y$1)</f>
        <v>18</v>
      </c>
      <c r="Z1315" s="14">
        <v>1</v>
      </c>
      <c r="AA1315" s="1" t="str">
        <f t="shared" ca="1" si="100"/>
        <v>VENCIDO</v>
      </c>
      <c r="AB1315" s="1" t="str">
        <f t="shared" si="101"/>
        <v>TAAe+</v>
      </c>
      <c r="AC1315" s="2" t="str">
        <f t="shared" si="102"/>
        <v xml:space="preserve"> CLEITON </v>
      </c>
      <c r="AD1315" s="2">
        <f t="shared" si="103"/>
        <v>8</v>
      </c>
      <c r="AE1315" s="2">
        <f t="shared" ca="1" si="104"/>
        <v>-22.98413043981418</v>
      </c>
    </row>
    <row r="1316" spans="1:31" hidden="1">
      <c r="A1316" s="1">
        <v>9445662</v>
      </c>
      <c r="B1316" s="1" t="s">
        <v>1153</v>
      </c>
      <c r="C1316" t="s">
        <v>2398</v>
      </c>
      <c r="D1316" s="2">
        <v>20231153000011</v>
      </c>
      <c r="E1316" s="2">
        <v>7417163284286</v>
      </c>
      <c r="F1316" s="1" t="s">
        <v>131</v>
      </c>
      <c r="G1316" s="1" t="s">
        <v>53</v>
      </c>
      <c r="H1316" s="1" t="s">
        <v>2399</v>
      </c>
      <c r="I1316" s="1" t="s">
        <v>2400</v>
      </c>
      <c r="J1316" s="1" t="s">
        <v>79</v>
      </c>
      <c r="K1316" t="s">
        <v>132</v>
      </c>
      <c r="M1316" s="1" t="s">
        <v>58</v>
      </c>
      <c r="N1316" s="1">
        <v>0</v>
      </c>
      <c r="O1316" s="1" t="s">
        <v>36</v>
      </c>
      <c r="P1316" s="11" t="s">
        <v>2401</v>
      </c>
      <c r="R1316" s="1">
        <v>14</v>
      </c>
      <c r="T1316" s="1" t="s">
        <v>238</v>
      </c>
      <c r="U1316" s="11" t="s">
        <v>2401</v>
      </c>
      <c r="V1316" s="1" t="s">
        <v>41</v>
      </c>
      <c r="W1316" s="1" t="s">
        <v>49</v>
      </c>
      <c r="X1316" s="13" t="str">
        <f>IF(RIGHT(H1316,2)&lt;&gt;"00",H1316,"")</f>
        <v>1153.91</v>
      </c>
      <c r="Y1316" s="2">
        <f ca="1">NETWORKDAYS(P1316,$Y$1)</f>
        <v>18</v>
      </c>
      <c r="Z1316" s="14">
        <v>1</v>
      </c>
      <c r="AA1316" s="1" t="str">
        <f t="shared" ca="1" si="100"/>
        <v>VENCIDO</v>
      </c>
      <c r="AB1316" s="1" t="str">
        <f t="shared" si="101"/>
        <v>TAAe+</v>
      </c>
      <c r="AC1316" s="2" t="str">
        <f t="shared" si="102"/>
        <v xml:space="preserve"> ROSEMERE </v>
      </c>
      <c r="AD1316" s="2">
        <f t="shared" si="103"/>
        <v>8</v>
      </c>
      <c r="AE1316" s="2">
        <f t="shared" ca="1" si="104"/>
        <v>-22.977371180553746</v>
      </c>
    </row>
    <row r="1317" spans="1:31" hidden="1">
      <c r="A1317" s="1">
        <v>9445531</v>
      </c>
      <c r="B1317" s="1" t="s">
        <v>1153</v>
      </c>
      <c r="C1317" t="s">
        <v>2402</v>
      </c>
      <c r="E1317" s="2">
        <v>1902016807400</v>
      </c>
      <c r="F1317" s="1" t="s">
        <v>64</v>
      </c>
      <c r="G1317" s="1" t="s">
        <v>53</v>
      </c>
      <c r="H1317" s="1" t="s">
        <v>1257</v>
      </c>
      <c r="I1317" s="1" t="s">
        <v>1258</v>
      </c>
      <c r="J1317" s="1" t="s">
        <v>33</v>
      </c>
      <c r="K1317" t="s">
        <v>67</v>
      </c>
      <c r="M1317" s="1" t="s">
        <v>35</v>
      </c>
      <c r="N1317" s="1">
        <v>42318949</v>
      </c>
      <c r="O1317" s="1" t="s">
        <v>36</v>
      </c>
      <c r="P1317" s="11" t="s">
        <v>2403</v>
      </c>
      <c r="R1317" s="1" t="s">
        <v>571</v>
      </c>
      <c r="T1317" s="1" t="s">
        <v>69</v>
      </c>
      <c r="U1317" s="11" t="s">
        <v>2404</v>
      </c>
      <c r="V1317" s="1" t="s">
        <v>41</v>
      </c>
      <c r="W1317" s="1" t="s">
        <v>49</v>
      </c>
      <c r="X1317" s="13" t="str">
        <f>IF(RIGHT(H1317,2)&lt;&gt;"00",H1317,"")</f>
        <v/>
      </c>
      <c r="Y1317" s="2">
        <f ca="1">NETWORKDAYS(P1317,$Y$1)</f>
        <v>18</v>
      </c>
      <c r="Z1317" s="14">
        <v>1</v>
      </c>
      <c r="AA1317" s="1" t="str">
        <f t="shared" ca="1" si="100"/>
        <v>VENCIDO</v>
      </c>
      <c r="AB1317" s="1" t="str">
        <f t="shared" si="101"/>
        <v>TAAe+</v>
      </c>
      <c r="AC1317" s="2" t="str">
        <f t="shared" si="102"/>
        <v xml:space="preserve"> ROSEMERE </v>
      </c>
      <c r="AD1317" s="2">
        <f t="shared" si="103"/>
        <v>8</v>
      </c>
      <c r="AE1317" s="2">
        <f t="shared" ca="1" si="104"/>
        <v>-20.987949884256523</v>
      </c>
    </row>
    <row r="1318" spans="1:31" hidden="1">
      <c r="A1318" s="1">
        <v>9444909</v>
      </c>
      <c r="B1318" s="1" t="s">
        <v>62</v>
      </c>
      <c r="C1318" t="s">
        <v>3627</v>
      </c>
      <c r="E1318" s="2">
        <v>2156000203000</v>
      </c>
      <c r="F1318" s="1" t="s">
        <v>454</v>
      </c>
      <c r="G1318" s="1" t="s">
        <v>53</v>
      </c>
      <c r="H1318" s="1" t="s">
        <v>278</v>
      </c>
      <c r="I1318" s="1" t="s">
        <v>279</v>
      </c>
      <c r="J1318" s="1" t="s">
        <v>211</v>
      </c>
      <c r="K1318" t="s">
        <v>457</v>
      </c>
      <c r="M1318" s="1" t="s">
        <v>58</v>
      </c>
      <c r="N1318" s="1">
        <v>0</v>
      </c>
      <c r="O1318" s="1" t="s">
        <v>105</v>
      </c>
      <c r="P1318" s="11" t="s">
        <v>2415</v>
      </c>
      <c r="R1318" s="1">
        <v>1</v>
      </c>
      <c r="T1318" s="1" t="s">
        <v>157</v>
      </c>
      <c r="U1318" s="11" t="s">
        <v>2416</v>
      </c>
      <c r="V1318" s="1" t="s">
        <v>41</v>
      </c>
      <c r="W1318" s="1" t="s">
        <v>49</v>
      </c>
      <c r="X1318" s="13" t="str">
        <f>IF(RIGHT(H1318,2)&lt;&gt;"00",H1318,"")</f>
        <v/>
      </c>
      <c r="Y1318" s="2">
        <f ca="1">NETWORKDAYS(P1318,$Y$1)</f>
        <v>18</v>
      </c>
      <c r="Z1318" s="14">
        <v>1</v>
      </c>
      <c r="AA1318" s="1" t="str">
        <f t="shared" ca="1" si="100"/>
        <v>A VENCER</v>
      </c>
      <c r="AB1318" s="1" t="str">
        <f t="shared" si="101"/>
        <v>C-14</v>
      </c>
      <c r="AC1318" s="2" t="str">
        <f t="shared" si="102"/>
        <v xml:space="preserve"> RINALDO </v>
      </c>
      <c r="AD1318" s="2">
        <f t="shared" si="103"/>
        <v>5</v>
      </c>
      <c r="AE1318" s="2">
        <f t="shared" ca="1" si="104"/>
        <v>13.073728356481297</v>
      </c>
    </row>
    <row r="1319" spans="1:31">
      <c r="A1319" s="181">
        <v>9444862</v>
      </c>
      <c r="B1319" s="181" t="s">
        <v>1153</v>
      </c>
      <c r="C1319" s="182" t="s">
        <v>2417</v>
      </c>
      <c r="D1319" s="183">
        <v>20232437000020</v>
      </c>
      <c r="E1319" s="183">
        <v>7419141893534</v>
      </c>
      <c r="F1319" s="181" t="s">
        <v>128</v>
      </c>
      <c r="G1319" s="181" t="s">
        <v>53</v>
      </c>
      <c r="H1319" s="181" t="s">
        <v>2418</v>
      </c>
      <c r="I1319" s="181" t="s">
        <v>2419</v>
      </c>
      <c r="J1319" s="181" t="s">
        <v>211</v>
      </c>
      <c r="K1319" t="s">
        <v>129</v>
      </c>
      <c r="M1319" s="1" t="s">
        <v>58</v>
      </c>
      <c r="N1319" s="1">
        <v>0</v>
      </c>
      <c r="O1319" s="1" t="s">
        <v>36</v>
      </c>
      <c r="P1319" s="11" t="s">
        <v>2420</v>
      </c>
      <c r="R1319" s="1">
        <v>14</v>
      </c>
      <c r="T1319" s="1" t="s">
        <v>238</v>
      </c>
      <c r="U1319" s="11" t="s">
        <v>2420</v>
      </c>
      <c r="V1319" s="1" t="s">
        <v>41</v>
      </c>
      <c r="W1319" s="1" t="s">
        <v>49</v>
      </c>
      <c r="X1319" s="13" t="str">
        <f>IF(RIGHT(H1319,2)&lt;&gt;"00",H1319,"")</f>
        <v>2437.91</v>
      </c>
      <c r="Y1319" s="2">
        <f ca="1">NETWORKDAYS(P1319,$Y$1)</f>
        <v>18</v>
      </c>
      <c r="Z1319" s="14">
        <v>1</v>
      </c>
      <c r="AA1319" s="1" t="str">
        <f t="shared" ca="1" si="100"/>
        <v>VENCIDO</v>
      </c>
      <c r="AB1319" s="1" t="str">
        <f t="shared" si="101"/>
        <v>TAAe+</v>
      </c>
      <c r="AC1319" s="2" t="str">
        <f t="shared" si="102"/>
        <v xml:space="preserve"> RINALDO </v>
      </c>
      <c r="AD1319" s="2">
        <f t="shared" si="103"/>
        <v>8</v>
      </c>
      <c r="AE1319" s="2">
        <f t="shared" ca="1" si="104"/>
        <v>-23.088447569447453</v>
      </c>
    </row>
    <row r="1320" spans="1:31">
      <c r="A1320" s="181">
        <v>9444346</v>
      </c>
      <c r="B1320" s="181" t="s">
        <v>1153</v>
      </c>
      <c r="C1320" s="182" t="s">
        <v>3628</v>
      </c>
      <c r="D1320" s="183"/>
      <c r="E1320" s="183">
        <v>1162000206001</v>
      </c>
      <c r="F1320" s="181" t="s">
        <v>29</v>
      </c>
      <c r="G1320" s="181" t="s">
        <v>53</v>
      </c>
      <c r="H1320" s="181" t="s">
        <v>280</v>
      </c>
      <c r="I1320" s="181" t="s">
        <v>281</v>
      </c>
      <c r="J1320" s="181" t="s">
        <v>211</v>
      </c>
      <c r="K1320" t="s">
        <v>34</v>
      </c>
      <c r="M1320" s="1" t="s">
        <v>35</v>
      </c>
      <c r="N1320" s="1">
        <v>42318949</v>
      </c>
      <c r="O1320" s="1" t="s">
        <v>36</v>
      </c>
      <c r="P1320" s="11" t="s">
        <v>2430</v>
      </c>
      <c r="R1320" s="1" t="s">
        <v>38</v>
      </c>
      <c r="T1320" s="1" t="s">
        <v>74</v>
      </c>
      <c r="U1320" s="11" t="s">
        <v>3629</v>
      </c>
      <c r="V1320" s="1" t="s">
        <v>41</v>
      </c>
      <c r="W1320" s="1" t="s">
        <v>49</v>
      </c>
      <c r="X1320" s="13" t="str">
        <f>IF(RIGHT(H1320,2)&lt;&gt;"00",H1320,"")</f>
        <v/>
      </c>
      <c r="Y1320" s="2">
        <f ca="1">NETWORKDAYS(P1320,$Y$1)</f>
        <v>18</v>
      </c>
      <c r="Z1320" s="14">
        <v>1</v>
      </c>
      <c r="AA1320" s="1" t="str">
        <f t="shared" ca="1" si="100"/>
        <v>VENCIDO</v>
      </c>
      <c r="AB1320" s="1" t="str">
        <f t="shared" si="101"/>
        <v>Dosa</v>
      </c>
      <c r="AC1320" s="2" t="str">
        <f t="shared" si="102"/>
        <v xml:space="preserve"> RINALDO </v>
      </c>
      <c r="AD1320" s="2">
        <f t="shared" si="103"/>
        <v>5</v>
      </c>
      <c r="AE1320" s="2">
        <f t="shared" ca="1" si="104"/>
        <v>-2.0686327546281973</v>
      </c>
    </row>
    <row r="1321" spans="1:31" hidden="1">
      <c r="A1321" s="1">
        <v>9444226</v>
      </c>
      <c r="B1321" s="1" t="s">
        <v>1153</v>
      </c>
      <c r="C1321" t="s">
        <v>2431</v>
      </c>
      <c r="D1321" s="2">
        <v>20234844000364</v>
      </c>
      <c r="E1321" s="2">
        <v>7419151140094</v>
      </c>
      <c r="F1321" s="1" t="s">
        <v>2058</v>
      </c>
      <c r="G1321" s="1" t="s">
        <v>53</v>
      </c>
      <c r="H1321" s="1" t="s">
        <v>2432</v>
      </c>
      <c r="I1321" s="1" t="s">
        <v>2433</v>
      </c>
      <c r="J1321" s="1" t="s">
        <v>46</v>
      </c>
      <c r="K1321" t="s">
        <v>2061</v>
      </c>
      <c r="M1321" s="1" t="s">
        <v>58</v>
      </c>
      <c r="N1321" s="1">
        <v>0</v>
      </c>
      <c r="O1321" s="1" t="s">
        <v>36</v>
      </c>
      <c r="P1321" s="11" t="s">
        <v>2434</v>
      </c>
      <c r="R1321" s="1">
        <v>13</v>
      </c>
      <c r="T1321" s="1" t="s">
        <v>238</v>
      </c>
      <c r="U1321" s="11" t="s">
        <v>2434</v>
      </c>
      <c r="V1321" s="1" t="s">
        <v>41</v>
      </c>
      <c r="W1321" s="1" t="s">
        <v>49</v>
      </c>
      <c r="X1321" s="13" t="str">
        <f>IF(RIGHT(H1321,2)&lt;&gt;"00",H1321,"")</f>
        <v>4844.06</v>
      </c>
      <c r="Y1321" s="2">
        <f ca="1">NETWORKDAYS(P1321,$Y$1)</f>
        <v>18</v>
      </c>
      <c r="Z1321" s="14">
        <v>1</v>
      </c>
      <c r="AA1321" s="1" t="str">
        <f t="shared" ca="1" si="100"/>
        <v>VENCIDO</v>
      </c>
      <c r="AB1321" s="1" t="str">
        <f t="shared" si="101"/>
        <v>TAAe+</v>
      </c>
      <c r="AC1321" s="2" t="str">
        <f t="shared" si="102"/>
        <v xml:space="preserve"> CLEITON </v>
      </c>
      <c r="AD1321" s="2">
        <f t="shared" si="103"/>
        <v>8</v>
      </c>
      <c r="AE1321" s="2">
        <f t="shared" ca="1" si="104"/>
        <v>-23.182915162040445</v>
      </c>
    </row>
    <row r="1322" spans="1:31" hidden="1">
      <c r="A1322" s="1">
        <v>9443716</v>
      </c>
      <c r="B1322" s="1" t="s">
        <v>1153</v>
      </c>
      <c r="C1322" t="s">
        <v>2443</v>
      </c>
      <c r="D1322" s="2">
        <v>20234844000359</v>
      </c>
      <c r="E1322" s="2">
        <v>7417163283005</v>
      </c>
      <c r="F1322" s="1" t="s">
        <v>131</v>
      </c>
      <c r="G1322" s="1" t="s">
        <v>53</v>
      </c>
      <c r="H1322" s="1" t="s">
        <v>2444</v>
      </c>
      <c r="I1322" s="1" t="s">
        <v>2445</v>
      </c>
      <c r="J1322" s="1" t="s">
        <v>46</v>
      </c>
      <c r="K1322" t="s">
        <v>132</v>
      </c>
      <c r="M1322" s="1" t="s">
        <v>58</v>
      </c>
      <c r="N1322" s="1">
        <v>0</v>
      </c>
      <c r="O1322" s="1" t="s">
        <v>36</v>
      </c>
      <c r="P1322" s="11" t="s">
        <v>2446</v>
      </c>
      <c r="R1322" s="1">
        <v>13</v>
      </c>
      <c r="T1322" s="1" t="s">
        <v>238</v>
      </c>
      <c r="U1322" s="186">
        <v>44963.445497685185</v>
      </c>
      <c r="V1322" s="1" t="s">
        <v>41</v>
      </c>
      <c r="W1322" s="1" t="s">
        <v>49</v>
      </c>
      <c r="X1322" s="13" t="str">
        <f>IF(RIGHT(H1322,2)&lt;&gt;"00",H1322,"")</f>
        <v>4844.80</v>
      </c>
      <c r="Y1322" s="2">
        <f ca="1">NETWORKDAYS(P1322,$Y$1)</f>
        <v>18</v>
      </c>
      <c r="Z1322" s="14">
        <v>1</v>
      </c>
      <c r="AA1322" s="1" t="str">
        <f t="shared" ca="1" si="100"/>
        <v>VENCIDO</v>
      </c>
      <c r="AB1322" s="1" t="str">
        <f t="shared" si="101"/>
        <v>TAAe+</v>
      </c>
      <c r="AC1322" s="2" t="str">
        <f t="shared" si="102"/>
        <v xml:space="preserve"> CLEITON </v>
      </c>
      <c r="AD1322" s="2">
        <f t="shared" si="103"/>
        <v>8</v>
      </c>
      <c r="AE1322" s="2">
        <f t="shared" ca="1" si="104"/>
        <v>-23.230773958333884</v>
      </c>
    </row>
    <row r="1323" spans="1:31" hidden="1">
      <c r="A1323" s="1">
        <v>9443334</v>
      </c>
      <c r="B1323" s="1" t="s">
        <v>1153</v>
      </c>
      <c r="C1323" t="s">
        <v>2447</v>
      </c>
      <c r="E1323" s="2">
        <v>710000206001</v>
      </c>
      <c r="F1323" s="1" t="s">
        <v>29</v>
      </c>
      <c r="G1323" s="1" t="s">
        <v>53</v>
      </c>
      <c r="H1323" s="1" t="s">
        <v>390</v>
      </c>
      <c r="I1323" s="1" t="s">
        <v>391</v>
      </c>
      <c r="J1323" s="1" t="s">
        <v>56</v>
      </c>
      <c r="K1323" t="s">
        <v>34</v>
      </c>
      <c r="M1323" s="1" t="s">
        <v>35</v>
      </c>
      <c r="N1323" s="1">
        <v>42318949</v>
      </c>
      <c r="O1323" s="1" t="s">
        <v>36</v>
      </c>
      <c r="P1323" s="11" t="s">
        <v>2448</v>
      </c>
      <c r="R1323" s="1" t="s">
        <v>38</v>
      </c>
      <c r="T1323" s="1" t="s">
        <v>74</v>
      </c>
      <c r="U1323" s="11" t="s">
        <v>2449</v>
      </c>
      <c r="V1323" s="1" t="s">
        <v>41</v>
      </c>
      <c r="W1323" s="1" t="s">
        <v>49</v>
      </c>
      <c r="X1323" s="13" t="str">
        <f>IF(RIGHT(H1323,2)&lt;&gt;"00",H1323,"")</f>
        <v/>
      </c>
      <c r="Y1323" s="2">
        <f ca="1">NETWORKDAYS(P1323,$Y$1)</f>
        <v>18</v>
      </c>
      <c r="Z1323" s="14">
        <v>1</v>
      </c>
      <c r="AA1323" s="1" t="str">
        <f t="shared" ca="1" si="100"/>
        <v>VENCIDO</v>
      </c>
      <c r="AB1323" s="1" t="str">
        <f t="shared" si="101"/>
        <v>Dosa</v>
      </c>
      <c r="AC1323" s="2" t="str">
        <f t="shared" si="102"/>
        <v xml:space="preserve"> CRISTINA </v>
      </c>
      <c r="AD1323" s="2">
        <f t="shared" si="103"/>
        <v>5</v>
      </c>
      <c r="AE1323" s="2">
        <f t="shared" ca="1" si="104"/>
        <v>-4.9679383101829444</v>
      </c>
    </row>
    <row r="1324" spans="1:31" hidden="1">
      <c r="A1324" s="1">
        <v>9443139</v>
      </c>
      <c r="B1324" s="1" t="s">
        <v>27</v>
      </c>
      <c r="C1324" t="s">
        <v>2450</v>
      </c>
      <c r="E1324" s="2">
        <v>594000206001</v>
      </c>
      <c r="F1324" s="1" t="s">
        <v>29</v>
      </c>
      <c r="G1324" s="1" t="s">
        <v>53</v>
      </c>
      <c r="H1324" s="1" t="s">
        <v>444</v>
      </c>
      <c r="I1324" s="1" t="s">
        <v>445</v>
      </c>
      <c r="J1324" s="1" t="s">
        <v>33</v>
      </c>
      <c r="K1324" t="s">
        <v>34</v>
      </c>
      <c r="M1324" s="1" t="s">
        <v>35</v>
      </c>
      <c r="N1324" s="1">
        <v>42318949</v>
      </c>
      <c r="O1324" s="1" t="s">
        <v>36</v>
      </c>
      <c r="P1324" s="11" t="s">
        <v>2451</v>
      </c>
      <c r="R1324" s="1" t="s">
        <v>38</v>
      </c>
      <c r="T1324" s="1" t="s">
        <v>74</v>
      </c>
      <c r="U1324" s="11" t="s">
        <v>2452</v>
      </c>
      <c r="V1324" s="1" t="s">
        <v>41</v>
      </c>
      <c r="W1324" s="1" t="s">
        <v>42</v>
      </c>
      <c r="X1324" s="13" t="str">
        <f>IF(RIGHT(H1324,2)&lt;&gt;"00",H1324,"")</f>
        <v/>
      </c>
      <c r="Y1324" s="2">
        <f ca="1">NETWORKDAYS(P1324,$Y$1)</f>
        <v>18</v>
      </c>
      <c r="Z1324" s="14">
        <v>1</v>
      </c>
      <c r="AA1324" s="1" t="str">
        <f t="shared" ca="1" si="100"/>
        <v>VENCIDO</v>
      </c>
      <c r="AB1324" s="1" t="str">
        <f t="shared" si="101"/>
        <v>Dosa</v>
      </c>
      <c r="AC1324" s="2" t="str">
        <f t="shared" si="102"/>
        <v xml:space="preserve"> ROSEMERE </v>
      </c>
      <c r="AD1324" s="2">
        <f t="shared" si="103"/>
        <v>5</v>
      </c>
      <c r="AE1324" s="2">
        <f t="shared" ca="1" si="104"/>
        <v>-22.926271643518703</v>
      </c>
    </row>
    <row r="1325" spans="1:31" hidden="1">
      <c r="A1325" s="1">
        <v>9443045</v>
      </c>
      <c r="B1325" s="1" t="s">
        <v>1153</v>
      </c>
      <c r="C1325" t="s">
        <v>2453</v>
      </c>
      <c r="E1325" s="2">
        <v>69000206001</v>
      </c>
      <c r="F1325" s="1" t="s">
        <v>29</v>
      </c>
      <c r="G1325" s="1" t="s">
        <v>53</v>
      </c>
      <c r="H1325" s="1" t="s">
        <v>1206</v>
      </c>
      <c r="I1325" s="1" t="s">
        <v>1207</v>
      </c>
      <c r="J1325" s="1" t="s">
        <v>33</v>
      </c>
      <c r="K1325" t="s">
        <v>34</v>
      </c>
      <c r="M1325" s="1" t="s">
        <v>35</v>
      </c>
      <c r="N1325" s="1">
        <v>42318949</v>
      </c>
      <c r="O1325" s="1" t="s">
        <v>36</v>
      </c>
      <c r="P1325" s="11" t="s">
        <v>2454</v>
      </c>
      <c r="R1325" s="1" t="s">
        <v>38</v>
      </c>
      <c r="T1325" s="1" t="s">
        <v>74</v>
      </c>
      <c r="U1325" s="11" t="s">
        <v>3105</v>
      </c>
      <c r="V1325" s="1" t="s">
        <v>41</v>
      </c>
      <c r="W1325" s="1" t="s">
        <v>42</v>
      </c>
      <c r="X1325" s="13" t="str">
        <f>IF(RIGHT(H1325,2)&lt;&gt;"00",H1325,"")</f>
        <v/>
      </c>
      <c r="Y1325" s="2">
        <f ca="1">NETWORKDAYS(P1325,$Y$1)</f>
        <v>18</v>
      </c>
      <c r="Z1325" s="14">
        <v>1</v>
      </c>
      <c r="AA1325" s="1" t="str">
        <f t="shared" ca="1" si="100"/>
        <v>VENCIDO</v>
      </c>
      <c r="AB1325" s="1" t="str">
        <f t="shared" si="101"/>
        <v>Dosa</v>
      </c>
      <c r="AC1325" s="2" t="str">
        <f t="shared" si="102"/>
        <v xml:space="preserve"> ROSEMERE </v>
      </c>
      <c r="AD1325" s="2">
        <f t="shared" si="103"/>
        <v>5</v>
      </c>
      <c r="AE1325" s="2">
        <f t="shared" ca="1" si="104"/>
        <v>-7.0512716435187031</v>
      </c>
    </row>
    <row r="1326" spans="1:31" hidden="1">
      <c r="A1326" s="1">
        <v>9439699</v>
      </c>
      <c r="B1326" s="1" t="s">
        <v>1153</v>
      </c>
      <c r="C1326" t="s">
        <v>2465</v>
      </c>
      <c r="E1326" s="2">
        <v>1792000206001</v>
      </c>
      <c r="F1326" s="1" t="s">
        <v>29</v>
      </c>
      <c r="G1326" s="1" t="s">
        <v>53</v>
      </c>
      <c r="H1326" s="1" t="s">
        <v>467</v>
      </c>
      <c r="I1326" s="1" t="s">
        <v>468</v>
      </c>
      <c r="J1326" s="1" t="s">
        <v>110</v>
      </c>
      <c r="K1326" t="s">
        <v>34</v>
      </c>
      <c r="M1326" s="1" t="s">
        <v>35</v>
      </c>
      <c r="N1326" s="1">
        <v>42318949</v>
      </c>
      <c r="O1326" s="1" t="s">
        <v>36</v>
      </c>
      <c r="P1326" s="11" t="s">
        <v>2466</v>
      </c>
      <c r="R1326" s="1" t="s">
        <v>38</v>
      </c>
      <c r="T1326" s="1" t="s">
        <v>74</v>
      </c>
      <c r="U1326" s="11" t="s">
        <v>2023</v>
      </c>
      <c r="V1326" s="1" t="s">
        <v>41</v>
      </c>
      <c r="W1326" s="1" t="s">
        <v>49</v>
      </c>
      <c r="X1326" s="13" t="str">
        <f>IF(RIGHT(H1326,2)&lt;&gt;"00",H1326,"")</f>
        <v/>
      </c>
      <c r="Y1326" s="2">
        <f ca="1">NETWORKDAYS(P1326,$Y$1)</f>
        <v>18</v>
      </c>
      <c r="Z1326" s="14">
        <v>1</v>
      </c>
      <c r="AA1326" s="1" t="str">
        <f t="shared" ca="1" si="100"/>
        <v>VENCIDO</v>
      </c>
      <c r="AB1326" s="1" t="str">
        <f t="shared" si="101"/>
        <v>Dosa</v>
      </c>
      <c r="AC1326" s="2" t="str">
        <f t="shared" si="102"/>
        <v xml:space="preserve"> CRISTINA </v>
      </c>
      <c r="AD1326" s="2">
        <f t="shared" si="103"/>
        <v>5</v>
      </c>
      <c r="AE1326" s="2">
        <f t="shared" ca="1" si="104"/>
        <v>-0.96793831018294441</v>
      </c>
    </row>
    <row r="1327" spans="1:31" hidden="1">
      <c r="A1327" s="1">
        <v>9439691</v>
      </c>
      <c r="B1327" s="1" t="s">
        <v>1153</v>
      </c>
      <c r="C1327" t="s">
        <v>2467</v>
      </c>
      <c r="E1327" s="2">
        <v>5898000206001</v>
      </c>
      <c r="F1327" s="1" t="s">
        <v>29</v>
      </c>
      <c r="G1327" s="1" t="s">
        <v>53</v>
      </c>
      <c r="H1327" s="1" t="s">
        <v>365</v>
      </c>
      <c r="I1327" s="1" t="s">
        <v>366</v>
      </c>
      <c r="J1327" s="1" t="s">
        <v>164</v>
      </c>
      <c r="K1327" t="s">
        <v>34</v>
      </c>
      <c r="M1327" s="1" t="s">
        <v>35</v>
      </c>
      <c r="N1327" s="1">
        <v>42318949</v>
      </c>
      <c r="O1327" s="1" t="s">
        <v>36</v>
      </c>
      <c r="P1327" s="11" t="s">
        <v>2468</v>
      </c>
      <c r="R1327" s="1" t="s">
        <v>38</v>
      </c>
      <c r="T1327" s="1" t="s">
        <v>74</v>
      </c>
      <c r="U1327" s="11" t="s">
        <v>3105</v>
      </c>
      <c r="V1327" s="1" t="s">
        <v>41</v>
      </c>
      <c r="W1327" s="1" t="s">
        <v>49</v>
      </c>
      <c r="X1327" s="13" t="str">
        <f>IF(RIGHT(H1327,2)&lt;&gt;"00",H1327,"")</f>
        <v/>
      </c>
      <c r="Y1327" s="2">
        <f ca="1">NETWORKDAYS(P1327,$Y$1)</f>
        <v>18</v>
      </c>
      <c r="Z1327" s="14">
        <v>1</v>
      </c>
      <c r="AA1327" s="1" t="str">
        <f t="shared" ca="1" si="100"/>
        <v>VENCIDO</v>
      </c>
      <c r="AB1327" s="1" t="str">
        <f t="shared" si="101"/>
        <v>Dosa</v>
      </c>
      <c r="AC1327" s="2" t="str">
        <f t="shared" si="102"/>
        <v xml:space="preserve"> ROSEMERE </v>
      </c>
      <c r="AD1327" s="2">
        <f t="shared" si="103"/>
        <v>5</v>
      </c>
      <c r="AE1327" s="2">
        <f t="shared" ca="1" si="104"/>
        <v>-7.0512716435187031</v>
      </c>
    </row>
    <row r="1328" spans="1:31" hidden="1">
      <c r="A1328" s="1">
        <v>9439434</v>
      </c>
      <c r="B1328" s="1" t="s">
        <v>1153</v>
      </c>
      <c r="C1328" t="s">
        <v>2472</v>
      </c>
      <c r="E1328" s="2">
        <v>2564000203000</v>
      </c>
      <c r="F1328" s="1" t="s">
        <v>454</v>
      </c>
      <c r="G1328" s="1" t="s">
        <v>53</v>
      </c>
      <c r="H1328" s="1" t="s">
        <v>255</v>
      </c>
      <c r="I1328" s="1" t="s">
        <v>256</v>
      </c>
      <c r="J1328" s="1" t="s">
        <v>164</v>
      </c>
      <c r="K1328" t="s">
        <v>457</v>
      </c>
      <c r="M1328" s="1" t="s">
        <v>58</v>
      </c>
      <c r="N1328" s="1">
        <v>0</v>
      </c>
      <c r="O1328" s="1" t="s">
        <v>36</v>
      </c>
      <c r="P1328" s="11" t="s">
        <v>2473</v>
      </c>
      <c r="R1328" s="1">
        <v>1</v>
      </c>
      <c r="T1328" s="1" t="s">
        <v>157</v>
      </c>
      <c r="U1328" s="11" t="s">
        <v>2474</v>
      </c>
      <c r="V1328" s="1" t="s">
        <v>41</v>
      </c>
      <c r="W1328" s="1" t="s">
        <v>49</v>
      </c>
      <c r="X1328" s="13" t="str">
        <f>IF(RIGHT(H1328,2)&lt;&gt;"00",H1328,"")</f>
        <v/>
      </c>
      <c r="Y1328" s="2">
        <f ca="1">NETWORKDAYS(P1328,$Y$1)</f>
        <v>18</v>
      </c>
      <c r="Z1328" s="14">
        <v>1</v>
      </c>
      <c r="AA1328" s="1" t="str">
        <f t="shared" ca="1" si="100"/>
        <v>VENCIDO</v>
      </c>
      <c r="AB1328" s="1" t="str">
        <f t="shared" si="101"/>
        <v>C-14</v>
      </c>
      <c r="AC1328" s="2" t="str">
        <f t="shared" si="102"/>
        <v xml:space="preserve"> ROSEMERE </v>
      </c>
      <c r="AD1328" s="2">
        <f t="shared" si="103"/>
        <v>5</v>
      </c>
      <c r="AE1328" s="2">
        <f t="shared" ca="1" si="104"/>
        <v>-23.248586458335922</v>
      </c>
    </row>
    <row r="1329" spans="1:31">
      <c r="A1329" s="181">
        <v>9439379</v>
      </c>
      <c r="B1329" s="181" t="s">
        <v>1153</v>
      </c>
      <c r="C1329" s="182" t="s">
        <v>3630</v>
      </c>
      <c r="D1329" s="183"/>
      <c r="E1329" s="183">
        <v>1162000206001</v>
      </c>
      <c r="F1329" s="181" t="s">
        <v>29</v>
      </c>
      <c r="G1329" s="181" t="s">
        <v>53</v>
      </c>
      <c r="H1329" s="181" t="s">
        <v>280</v>
      </c>
      <c r="I1329" s="181" t="s">
        <v>281</v>
      </c>
      <c r="J1329" s="181" t="s">
        <v>211</v>
      </c>
      <c r="K1329" t="s">
        <v>34</v>
      </c>
      <c r="M1329" s="1" t="s">
        <v>35</v>
      </c>
      <c r="N1329" s="1">
        <v>42318949</v>
      </c>
      <c r="O1329" s="1" t="s">
        <v>36</v>
      </c>
      <c r="P1329" s="11" t="s">
        <v>2476</v>
      </c>
      <c r="R1329" s="1" t="s">
        <v>38</v>
      </c>
      <c r="T1329" s="1" t="s">
        <v>74</v>
      </c>
      <c r="U1329" s="11" t="s">
        <v>3629</v>
      </c>
      <c r="V1329" s="1" t="s">
        <v>41</v>
      </c>
      <c r="W1329" s="1" t="s">
        <v>49</v>
      </c>
      <c r="X1329" s="13" t="str">
        <f>IF(RIGHT(H1329,2)&lt;&gt;"00",H1329,"")</f>
        <v/>
      </c>
      <c r="Y1329" s="2">
        <f ca="1">NETWORKDAYS(P1329,$Y$1)</f>
        <v>18</v>
      </c>
      <c r="Z1329" s="14">
        <v>1</v>
      </c>
      <c r="AA1329" s="1" t="str">
        <f t="shared" ca="1" si="100"/>
        <v>VENCIDO</v>
      </c>
      <c r="AB1329" s="1" t="str">
        <f t="shared" si="101"/>
        <v>Dosa</v>
      </c>
      <c r="AC1329" s="2" t="str">
        <f t="shared" si="102"/>
        <v xml:space="preserve"> RINALDO </v>
      </c>
      <c r="AD1329" s="2">
        <f t="shared" si="103"/>
        <v>5</v>
      </c>
      <c r="AE1329" s="2">
        <f t="shared" ca="1" si="104"/>
        <v>-2.0686327546281973</v>
      </c>
    </row>
    <row r="1330" spans="1:31" hidden="1">
      <c r="A1330" s="1">
        <v>9451053</v>
      </c>
      <c r="B1330" s="1" t="s">
        <v>1153</v>
      </c>
      <c r="C1330" t="s">
        <v>2480</v>
      </c>
      <c r="D1330" s="2">
        <v>20231012000002</v>
      </c>
      <c r="E1330" s="2">
        <v>7417183025975</v>
      </c>
      <c r="F1330" s="1" t="s">
        <v>1313</v>
      </c>
      <c r="G1330" s="1" t="s">
        <v>53</v>
      </c>
      <c r="H1330" s="1" t="s">
        <v>2481</v>
      </c>
      <c r="I1330" s="1" t="s">
        <v>2482</v>
      </c>
      <c r="J1330" s="1" t="s">
        <v>164</v>
      </c>
      <c r="K1330" t="s">
        <v>1316</v>
      </c>
      <c r="M1330" s="1" t="s">
        <v>58</v>
      </c>
      <c r="N1330" s="1">
        <v>0</v>
      </c>
      <c r="O1330" s="1" t="s">
        <v>36</v>
      </c>
      <c r="P1330" s="11" t="s">
        <v>2483</v>
      </c>
      <c r="R1330" s="1">
        <v>15</v>
      </c>
      <c r="T1330" s="1" t="s">
        <v>238</v>
      </c>
      <c r="U1330" s="11" t="s">
        <v>2484</v>
      </c>
      <c r="V1330" s="1" t="s">
        <v>41</v>
      </c>
      <c r="W1330" s="1" t="s">
        <v>49</v>
      </c>
      <c r="X1330" s="13" t="str">
        <f>IF(RIGHT(H1330,2)&lt;&gt;"00",H1330,"")</f>
        <v>1012.91</v>
      </c>
      <c r="Y1330" s="2">
        <f ca="1">NETWORKDAYS(P1330,$Y$1)</f>
        <v>17</v>
      </c>
      <c r="Z1330" s="14">
        <v>1</v>
      </c>
      <c r="AA1330" s="1" t="str">
        <f t="shared" ca="1" si="100"/>
        <v>VENCIDO</v>
      </c>
      <c r="AB1330" s="1" t="str">
        <f t="shared" si="101"/>
        <v>TAAe+</v>
      </c>
      <c r="AC1330" s="2" t="str">
        <f t="shared" si="102"/>
        <v xml:space="preserve"> ROSEMERE </v>
      </c>
      <c r="AD1330" s="2">
        <f t="shared" si="103"/>
        <v>8</v>
      </c>
      <c r="AE1330" s="2">
        <f t="shared" ca="1" si="104"/>
        <v>-21.259604976854462</v>
      </c>
    </row>
    <row r="1331" spans="1:31" hidden="1">
      <c r="A1331" s="1">
        <v>9450670</v>
      </c>
      <c r="B1331" s="1" t="s">
        <v>1153</v>
      </c>
      <c r="C1331" t="s">
        <v>2488</v>
      </c>
      <c r="D1331" s="2">
        <v>20232442000019</v>
      </c>
      <c r="E1331" s="2">
        <v>7417163281771</v>
      </c>
      <c r="F1331" s="1" t="s">
        <v>131</v>
      </c>
      <c r="G1331" s="1" t="s">
        <v>53</v>
      </c>
      <c r="H1331" s="1" t="s">
        <v>2489</v>
      </c>
      <c r="I1331" s="1" t="s">
        <v>2490</v>
      </c>
      <c r="J1331" s="1" t="s">
        <v>33</v>
      </c>
      <c r="K1331" t="s">
        <v>132</v>
      </c>
      <c r="M1331" s="1" t="s">
        <v>58</v>
      </c>
      <c r="N1331" s="1">
        <v>0</v>
      </c>
      <c r="O1331" s="1" t="s">
        <v>36</v>
      </c>
      <c r="P1331" s="11" t="s">
        <v>2491</v>
      </c>
      <c r="R1331" s="1">
        <v>15</v>
      </c>
      <c r="T1331" s="1" t="s">
        <v>238</v>
      </c>
      <c r="U1331" s="11" t="s">
        <v>2491</v>
      </c>
      <c r="V1331" s="1" t="s">
        <v>41</v>
      </c>
      <c r="W1331" s="1" t="s">
        <v>42</v>
      </c>
      <c r="X1331" s="13" t="str">
        <f>IF(RIGHT(H1331,2)&lt;&gt;"00",H1331,"")</f>
        <v>2442.91</v>
      </c>
      <c r="Y1331" s="2">
        <f ca="1">NETWORKDAYS(P1331,$Y$1)</f>
        <v>17</v>
      </c>
      <c r="Z1331" s="14">
        <v>1</v>
      </c>
      <c r="AA1331" s="1" t="str">
        <f t="shared" ca="1" si="100"/>
        <v>VENCIDO</v>
      </c>
      <c r="AB1331" s="1" t="str">
        <f t="shared" si="101"/>
        <v>TAAe+</v>
      </c>
      <c r="AC1331" s="2" t="str">
        <f t="shared" si="102"/>
        <v xml:space="preserve"> ROSEMERE </v>
      </c>
      <c r="AD1331" s="2">
        <f t="shared" si="103"/>
        <v>8</v>
      </c>
      <c r="AE1331" s="2">
        <f t="shared" ca="1" si="104"/>
        <v>-21.992648958330392</v>
      </c>
    </row>
    <row r="1332" spans="1:31" hidden="1">
      <c r="A1332" s="1">
        <v>9450561</v>
      </c>
      <c r="B1332" s="1" t="s">
        <v>1153</v>
      </c>
      <c r="C1332" t="s">
        <v>2492</v>
      </c>
      <c r="D1332" s="2">
        <v>20234844000396</v>
      </c>
      <c r="E1332" s="2">
        <v>7419141893520</v>
      </c>
      <c r="F1332" s="1" t="s">
        <v>128</v>
      </c>
      <c r="G1332" s="1" t="s">
        <v>53</v>
      </c>
      <c r="H1332" s="1" t="s">
        <v>2493</v>
      </c>
      <c r="I1332" s="1" t="s">
        <v>2494</v>
      </c>
      <c r="J1332" s="1" t="s">
        <v>46</v>
      </c>
      <c r="K1332" t="s">
        <v>129</v>
      </c>
      <c r="M1332" s="1" t="s">
        <v>58</v>
      </c>
      <c r="N1332" s="1">
        <v>0</v>
      </c>
      <c r="O1332" s="1" t="s">
        <v>36</v>
      </c>
      <c r="P1332" s="11" t="s">
        <v>2495</v>
      </c>
      <c r="R1332" s="1">
        <v>13</v>
      </c>
      <c r="T1332" s="1" t="s">
        <v>238</v>
      </c>
      <c r="U1332" s="11" t="s">
        <v>2495</v>
      </c>
      <c r="V1332" s="1" t="s">
        <v>41</v>
      </c>
      <c r="W1332" s="1" t="s">
        <v>49</v>
      </c>
      <c r="X1332" s="13" t="str">
        <f>IF(RIGHT(H1332,2)&lt;&gt;"00",H1332,"")</f>
        <v>4844.10</v>
      </c>
      <c r="Y1332" s="2">
        <f ca="1">NETWORKDAYS(P1332,$Y$1)</f>
        <v>17</v>
      </c>
      <c r="Z1332" s="14">
        <v>1</v>
      </c>
      <c r="AA1332" s="1" t="str">
        <f t="shared" ca="1" si="100"/>
        <v>VENCIDO</v>
      </c>
      <c r="AB1332" s="1" t="str">
        <f t="shared" si="101"/>
        <v>TAAe+</v>
      </c>
      <c r="AC1332" s="2" t="str">
        <f t="shared" si="102"/>
        <v xml:space="preserve"> CLEITON </v>
      </c>
      <c r="AD1332" s="2">
        <f t="shared" si="103"/>
        <v>8</v>
      </c>
      <c r="AE1332" s="2">
        <f t="shared" ca="1" si="104"/>
        <v>-22.005808680558403</v>
      </c>
    </row>
    <row r="1333" spans="1:31" hidden="1">
      <c r="A1333" s="1">
        <v>9450304</v>
      </c>
      <c r="B1333" s="1" t="s">
        <v>2497</v>
      </c>
      <c r="C1333" t="s">
        <v>2498</v>
      </c>
      <c r="E1333" s="2">
        <v>9406000206021</v>
      </c>
      <c r="F1333" s="1" t="s">
        <v>103</v>
      </c>
      <c r="G1333" s="1" t="s">
        <v>53</v>
      </c>
      <c r="H1333" s="1" t="s">
        <v>114</v>
      </c>
      <c r="I1333" s="1" t="s">
        <v>115</v>
      </c>
      <c r="J1333" s="1" t="s">
        <v>46</v>
      </c>
      <c r="K1333" t="s">
        <v>104</v>
      </c>
      <c r="M1333" s="1" t="s">
        <v>35</v>
      </c>
      <c r="N1333" s="1">
        <v>42318949</v>
      </c>
      <c r="O1333" s="1" t="s">
        <v>105</v>
      </c>
      <c r="P1333" s="11" t="s">
        <v>3107</v>
      </c>
      <c r="R1333" s="1" t="s">
        <v>38</v>
      </c>
      <c r="T1333" s="1" t="s">
        <v>74</v>
      </c>
      <c r="U1333" s="11" t="s">
        <v>3631</v>
      </c>
      <c r="V1333" s="1" t="s">
        <v>41</v>
      </c>
      <c r="W1333" s="1" t="s">
        <v>49</v>
      </c>
      <c r="X1333" s="13" t="str">
        <f>IF(RIGHT(H1333,2)&lt;&gt;"00",H1333,"")</f>
        <v/>
      </c>
      <c r="Y1333" s="2">
        <f ca="1">NETWORKDAYS(P1333,$Y$1)</f>
        <v>17</v>
      </c>
      <c r="Z1333" s="14">
        <v>1</v>
      </c>
      <c r="AA1333" s="1" t="str">
        <f t="shared" ca="1" si="100"/>
        <v>A VENCER</v>
      </c>
      <c r="AB1333" s="1" t="str">
        <f t="shared" si="101"/>
        <v>Dosa</v>
      </c>
      <c r="AC1333" s="2" t="str">
        <f t="shared" si="102"/>
        <v xml:space="preserve"> CLEITON </v>
      </c>
      <c r="AD1333" s="2">
        <f t="shared" si="103"/>
        <v>5</v>
      </c>
      <c r="AE1333" s="2">
        <f t="shared" ca="1" si="104"/>
        <v>21.073728356481297</v>
      </c>
    </row>
    <row r="1334" spans="1:31" hidden="1">
      <c r="A1334" s="1">
        <v>9450107</v>
      </c>
      <c r="B1334" s="1" t="s">
        <v>1153</v>
      </c>
      <c r="C1334" t="s">
        <v>2503</v>
      </c>
      <c r="D1334" s="2">
        <v>20231850000008</v>
      </c>
      <c r="E1334" s="2">
        <v>7417193050568</v>
      </c>
      <c r="F1334" s="1" t="s">
        <v>1719</v>
      </c>
      <c r="G1334" s="1" t="s">
        <v>53</v>
      </c>
      <c r="H1334" s="1" t="s">
        <v>1931</v>
      </c>
      <c r="I1334" s="1" t="s">
        <v>1932</v>
      </c>
      <c r="J1334" s="1" t="s">
        <v>46</v>
      </c>
      <c r="K1334" t="s">
        <v>1720</v>
      </c>
      <c r="M1334" s="1" t="s">
        <v>58</v>
      </c>
      <c r="N1334" s="1">
        <v>0</v>
      </c>
      <c r="O1334" s="1" t="s">
        <v>36</v>
      </c>
      <c r="P1334" s="11" t="s">
        <v>2504</v>
      </c>
      <c r="R1334" s="1">
        <v>22</v>
      </c>
      <c r="T1334" s="1" t="s">
        <v>1160</v>
      </c>
      <c r="U1334" s="11" t="s">
        <v>2505</v>
      </c>
      <c r="V1334" s="1" t="s">
        <v>41</v>
      </c>
      <c r="W1334" s="1" t="s">
        <v>49</v>
      </c>
      <c r="X1334" s="13" t="str">
        <f>IF(RIGHT(H1334,2)&lt;&gt;"00",H1334,"")</f>
        <v/>
      </c>
      <c r="Y1334" s="2">
        <f ca="1">NETWORKDAYS(P1334,$Y$1)</f>
        <v>17</v>
      </c>
      <c r="Z1334" s="14">
        <v>1</v>
      </c>
      <c r="AA1334" s="1" t="str">
        <f t="shared" ca="1" si="100"/>
        <v>VENCIDO</v>
      </c>
      <c r="AB1334" s="1" t="str">
        <f t="shared" si="101"/>
        <v>TAAe+</v>
      </c>
      <c r="AC1334" s="2" t="str">
        <f t="shared" si="102"/>
        <v xml:space="preserve"> CLEITON </v>
      </c>
      <c r="AD1334" s="2">
        <f t="shared" si="103"/>
        <v>8</v>
      </c>
      <c r="AE1334" s="2">
        <f t="shared" ca="1" si="104"/>
        <v>-19.243771643516084</v>
      </c>
    </row>
    <row r="1335" spans="1:31" hidden="1">
      <c r="A1335" s="1">
        <v>9449961</v>
      </c>
      <c r="B1335" s="1" t="s">
        <v>1153</v>
      </c>
      <c r="C1335" t="s">
        <v>2506</v>
      </c>
      <c r="D1335" s="2">
        <v>20230537000006</v>
      </c>
      <c r="E1335" s="2">
        <v>7417202021163</v>
      </c>
      <c r="F1335" s="1" t="s">
        <v>1213</v>
      </c>
      <c r="G1335" s="1" t="s">
        <v>53</v>
      </c>
      <c r="H1335" s="1" t="s">
        <v>2507</v>
      </c>
      <c r="I1335" s="1" t="s">
        <v>2508</v>
      </c>
      <c r="J1335" s="1" t="s">
        <v>79</v>
      </c>
      <c r="K1335" t="s">
        <v>1214</v>
      </c>
      <c r="M1335" s="1" t="s">
        <v>58</v>
      </c>
      <c r="N1335" s="1">
        <v>0</v>
      </c>
      <c r="O1335" s="1" t="s">
        <v>36</v>
      </c>
      <c r="P1335" s="11" t="s">
        <v>2509</v>
      </c>
      <c r="R1335" s="1">
        <v>14</v>
      </c>
      <c r="T1335" s="1" t="s">
        <v>238</v>
      </c>
      <c r="U1335" s="11" t="s">
        <v>2509</v>
      </c>
      <c r="V1335" s="1" t="s">
        <v>41</v>
      </c>
      <c r="W1335" s="1" t="s">
        <v>49</v>
      </c>
      <c r="X1335" s="13" t="str">
        <f>IF(RIGHT(H1335,2)&lt;&gt;"00",H1335,"")</f>
        <v>0537.91</v>
      </c>
      <c r="Y1335" s="2">
        <f ca="1">NETWORKDAYS(P1335,$Y$1)</f>
        <v>17</v>
      </c>
      <c r="Z1335" s="14">
        <v>1</v>
      </c>
      <c r="AA1335" s="1" t="str">
        <f t="shared" ca="1" si="100"/>
        <v>VENCIDO</v>
      </c>
      <c r="AB1335" s="1" t="str">
        <f t="shared" si="101"/>
        <v>TAAe+</v>
      </c>
      <c r="AC1335" s="2" t="str">
        <f t="shared" si="102"/>
        <v xml:space="preserve"> ROSEMERE </v>
      </c>
      <c r="AD1335" s="2">
        <f t="shared" si="103"/>
        <v>8</v>
      </c>
      <c r="AE1335" s="2">
        <f t="shared" ca="1" si="104"/>
        <v>-22.090368865741766</v>
      </c>
    </row>
    <row r="1336" spans="1:31" hidden="1">
      <c r="A1336" s="1">
        <v>9449888</v>
      </c>
      <c r="B1336" s="1" t="s">
        <v>1153</v>
      </c>
      <c r="C1336" t="s">
        <v>2510</v>
      </c>
      <c r="D1336" s="2">
        <v>20230582000007</v>
      </c>
      <c r="E1336" s="2">
        <v>7417183023862</v>
      </c>
      <c r="F1336" s="1" t="s">
        <v>1313</v>
      </c>
      <c r="G1336" s="1" t="s">
        <v>53</v>
      </c>
      <c r="H1336" s="1" t="s">
        <v>2511</v>
      </c>
      <c r="I1336" s="1" t="s">
        <v>2512</v>
      </c>
      <c r="J1336" s="1" t="s">
        <v>141</v>
      </c>
      <c r="K1336" t="s">
        <v>1316</v>
      </c>
      <c r="M1336" s="1" t="s">
        <v>58</v>
      </c>
      <c r="N1336" s="1">
        <v>0</v>
      </c>
      <c r="O1336" s="1" t="s">
        <v>36</v>
      </c>
      <c r="P1336" s="11" t="s">
        <v>2513</v>
      </c>
      <c r="R1336" s="1">
        <v>14</v>
      </c>
      <c r="T1336" s="1" t="s">
        <v>238</v>
      </c>
      <c r="U1336" s="11" t="s">
        <v>2513</v>
      </c>
      <c r="V1336" s="1" t="s">
        <v>41</v>
      </c>
      <c r="W1336" s="1" t="s">
        <v>49</v>
      </c>
      <c r="X1336" s="13" t="str">
        <f>IF(RIGHT(H1336,2)&lt;&gt;"00",H1336,"")</f>
        <v>0582.91</v>
      </c>
      <c r="Y1336" s="2">
        <f ca="1">NETWORKDAYS(P1336,$Y$1)</f>
        <v>17</v>
      </c>
      <c r="Z1336" s="14">
        <v>1</v>
      </c>
      <c r="AA1336" s="1" t="str">
        <f t="shared" ca="1" si="100"/>
        <v>VENCIDO</v>
      </c>
      <c r="AB1336" s="1" t="str">
        <f t="shared" si="101"/>
        <v>TAAe+</v>
      </c>
      <c r="AC1336" s="2" t="str">
        <f t="shared" si="102"/>
        <v xml:space="preserve"> CRISTINA </v>
      </c>
      <c r="AD1336" s="2">
        <f t="shared" si="103"/>
        <v>8</v>
      </c>
      <c r="AE1336" s="2">
        <f t="shared" ca="1" si="104"/>
        <v>-22.105773958333884</v>
      </c>
    </row>
    <row r="1337" spans="1:31" hidden="1">
      <c r="A1337" s="1">
        <v>9449460</v>
      </c>
      <c r="B1337" s="1" t="s">
        <v>1153</v>
      </c>
      <c r="C1337" t="s">
        <v>2517</v>
      </c>
      <c r="D1337" s="2">
        <v>20234844000391</v>
      </c>
      <c r="E1337" s="2">
        <v>7417183020643</v>
      </c>
      <c r="F1337" s="1" t="s">
        <v>1313</v>
      </c>
      <c r="G1337" s="1" t="s">
        <v>53</v>
      </c>
      <c r="H1337" s="1" t="s">
        <v>2444</v>
      </c>
      <c r="I1337" s="1" t="s">
        <v>2445</v>
      </c>
      <c r="J1337" s="1" t="s">
        <v>46</v>
      </c>
      <c r="K1337" t="s">
        <v>1316</v>
      </c>
      <c r="M1337" s="1" t="s">
        <v>58</v>
      </c>
      <c r="N1337" s="1">
        <v>0</v>
      </c>
      <c r="O1337" s="1" t="s">
        <v>36</v>
      </c>
      <c r="P1337" s="11" t="s">
        <v>2518</v>
      </c>
      <c r="R1337" s="1">
        <v>13</v>
      </c>
      <c r="T1337" s="1" t="s">
        <v>238</v>
      </c>
      <c r="U1337" s="11" t="s">
        <v>2518</v>
      </c>
      <c r="V1337" s="1" t="s">
        <v>41</v>
      </c>
      <c r="W1337" s="1" t="s">
        <v>49</v>
      </c>
      <c r="X1337" s="13" t="str">
        <f>IF(RIGHT(H1337,2)&lt;&gt;"00",H1337,"")</f>
        <v>4844.80</v>
      </c>
      <c r="Y1337" s="2">
        <f ca="1">NETWORKDAYS(P1337,$Y$1)</f>
        <v>17</v>
      </c>
      <c r="Z1337" s="14">
        <v>1</v>
      </c>
      <c r="AA1337" s="1" t="str">
        <f t="shared" ca="1" si="100"/>
        <v>VENCIDO</v>
      </c>
      <c r="AB1337" s="1" t="str">
        <f t="shared" si="101"/>
        <v>TAAe+</v>
      </c>
      <c r="AC1337" s="2" t="str">
        <f t="shared" si="102"/>
        <v xml:space="preserve"> CLEITON </v>
      </c>
      <c r="AD1337" s="2">
        <f t="shared" si="103"/>
        <v>8</v>
      </c>
      <c r="AE1337" s="2">
        <f t="shared" ca="1" si="104"/>
        <v>-22.161942939812434</v>
      </c>
    </row>
    <row r="1338" spans="1:31" hidden="1">
      <c r="A1338" s="1">
        <v>9449450</v>
      </c>
      <c r="B1338" s="1" t="s">
        <v>1153</v>
      </c>
      <c r="C1338" t="s">
        <v>2519</v>
      </c>
      <c r="D1338" s="2">
        <v>20233433000006</v>
      </c>
      <c r="E1338" s="2">
        <v>7417191614659</v>
      </c>
      <c r="F1338" s="1" t="s">
        <v>1719</v>
      </c>
      <c r="G1338" s="1" t="s">
        <v>53</v>
      </c>
      <c r="H1338" s="1" t="s">
        <v>2520</v>
      </c>
      <c r="I1338" s="1" t="s">
        <v>2521</v>
      </c>
      <c r="J1338" s="1" t="s">
        <v>46</v>
      </c>
      <c r="K1338" t="s">
        <v>1720</v>
      </c>
      <c r="M1338" s="1" t="s">
        <v>58</v>
      </c>
      <c r="N1338" s="1">
        <v>0</v>
      </c>
      <c r="O1338" s="1" t="s">
        <v>36</v>
      </c>
      <c r="P1338" s="11" t="s">
        <v>2522</v>
      </c>
      <c r="R1338" s="1">
        <v>22</v>
      </c>
      <c r="T1338" s="1" t="s">
        <v>1160</v>
      </c>
      <c r="U1338" s="11" t="s">
        <v>2523</v>
      </c>
      <c r="V1338" s="1" t="s">
        <v>41</v>
      </c>
      <c r="W1338" s="1" t="s">
        <v>49</v>
      </c>
      <c r="X1338" s="13" t="str">
        <f>IF(RIGHT(H1338,2)&lt;&gt;"00",H1338,"")</f>
        <v/>
      </c>
      <c r="Y1338" s="2">
        <f ca="1">NETWORKDAYS(P1338,$Y$1)</f>
        <v>17</v>
      </c>
      <c r="Z1338" s="14">
        <v>1</v>
      </c>
      <c r="AA1338" s="1" t="str">
        <f t="shared" ca="1" si="100"/>
        <v>VENCIDO</v>
      </c>
      <c r="AB1338" s="1" t="str">
        <f t="shared" si="101"/>
        <v>TAAe+</v>
      </c>
      <c r="AC1338" s="2" t="str">
        <f t="shared" si="102"/>
        <v xml:space="preserve"> CLEITON </v>
      </c>
      <c r="AD1338" s="2">
        <f t="shared" si="103"/>
        <v>8</v>
      </c>
      <c r="AE1338" s="2">
        <f t="shared" ca="1" si="104"/>
        <v>-19.952058680559276</v>
      </c>
    </row>
    <row r="1339" spans="1:31" hidden="1">
      <c r="A1339" s="1">
        <v>9449339</v>
      </c>
      <c r="B1339" s="1" t="s">
        <v>1153</v>
      </c>
      <c r="C1339" t="s">
        <v>2527</v>
      </c>
      <c r="D1339" s="2">
        <v>20231120000005</v>
      </c>
      <c r="E1339" s="2">
        <v>7417163280559</v>
      </c>
      <c r="F1339" s="1" t="s">
        <v>131</v>
      </c>
      <c r="G1339" s="1" t="s">
        <v>53</v>
      </c>
      <c r="H1339" s="1" t="s">
        <v>2528</v>
      </c>
      <c r="I1339" s="1" t="s">
        <v>2529</v>
      </c>
      <c r="J1339" s="1" t="s">
        <v>164</v>
      </c>
      <c r="K1339" t="s">
        <v>132</v>
      </c>
      <c r="M1339" s="1" t="s">
        <v>58</v>
      </c>
      <c r="N1339" s="1">
        <v>0</v>
      </c>
      <c r="O1339" s="1" t="s">
        <v>36</v>
      </c>
      <c r="P1339" s="11" t="s">
        <v>2530</v>
      </c>
      <c r="R1339" s="1">
        <v>14</v>
      </c>
      <c r="T1339" s="1" t="s">
        <v>238</v>
      </c>
      <c r="U1339" s="11" t="s">
        <v>2530</v>
      </c>
      <c r="V1339" s="1" t="s">
        <v>41</v>
      </c>
      <c r="W1339" s="1" t="s">
        <v>49</v>
      </c>
      <c r="X1339" s="13" t="str">
        <f>IF(RIGHT(H1339,2)&lt;&gt;"00",H1339,"")</f>
        <v>1120.91</v>
      </c>
      <c r="Y1339" s="2">
        <f ca="1">NETWORKDAYS(P1339,$Y$1)</f>
        <v>17</v>
      </c>
      <c r="Z1339" s="14">
        <v>1</v>
      </c>
      <c r="AA1339" s="1" t="str">
        <f t="shared" ca="1" si="100"/>
        <v>VENCIDO</v>
      </c>
      <c r="AB1339" s="1" t="str">
        <f t="shared" si="101"/>
        <v>TAAe+</v>
      </c>
      <c r="AC1339" s="2" t="str">
        <f t="shared" si="102"/>
        <v xml:space="preserve"> ROSEMERE </v>
      </c>
      <c r="AD1339" s="2">
        <f t="shared" si="103"/>
        <v>8</v>
      </c>
      <c r="AE1339" s="2">
        <f t="shared" ca="1" si="104"/>
        <v>-22.172058680553164</v>
      </c>
    </row>
    <row r="1340" spans="1:31" hidden="1">
      <c r="A1340" s="1">
        <v>9449008</v>
      </c>
      <c r="B1340" s="1" t="s">
        <v>1153</v>
      </c>
      <c r="C1340" t="s">
        <v>2440</v>
      </c>
      <c r="D1340" s="2">
        <v>20234981000001</v>
      </c>
      <c r="E1340" s="2">
        <v>7419152405218</v>
      </c>
      <c r="F1340" s="1" t="s">
        <v>2533</v>
      </c>
      <c r="G1340" s="1" t="s">
        <v>53</v>
      </c>
      <c r="H1340" s="1" t="s">
        <v>2534</v>
      </c>
      <c r="I1340" s="1" t="s">
        <v>2535</v>
      </c>
      <c r="J1340" s="1" t="s">
        <v>46</v>
      </c>
      <c r="K1340" t="s">
        <v>2536</v>
      </c>
      <c r="M1340" s="1" t="s">
        <v>58</v>
      </c>
      <c r="N1340" s="1">
        <v>0</v>
      </c>
      <c r="O1340" s="1" t="s">
        <v>36</v>
      </c>
      <c r="P1340" s="11" t="s">
        <v>2537</v>
      </c>
      <c r="R1340" s="1">
        <v>22</v>
      </c>
      <c r="T1340" s="1" t="s">
        <v>1160</v>
      </c>
      <c r="U1340" s="11" t="s">
        <v>2538</v>
      </c>
      <c r="V1340" s="1" t="s">
        <v>41</v>
      </c>
      <c r="W1340" s="1" t="s">
        <v>49</v>
      </c>
      <c r="X1340" s="13" t="str">
        <f>IF(RIGHT(H1340,2)&lt;&gt;"00",H1340,"")</f>
        <v/>
      </c>
      <c r="Y1340" s="2">
        <f ca="1">NETWORKDAYS(P1340,$Y$1)</f>
        <v>17</v>
      </c>
      <c r="Z1340" s="14">
        <v>1</v>
      </c>
      <c r="AA1340" s="1" t="str">
        <f t="shared" ref="AA1340:AA1403" ca="1" si="105">IF(AE1340=0,"HOJE",IF(AE1340&gt;0,"A VENCER",IF(AE1340&lt;0,"VENCIDO")))</f>
        <v>VENCIDO</v>
      </c>
      <c r="AB1340" s="1" t="str">
        <f t="shared" ref="AB1340:AB1403" si="106">IF(F1340="GRPE-000001","C-14",IF(F1340="GRPE-000002","C-14",IF(F1340="GRPE-000003","C-14",IF(F1340="GRPE-000004","SL-On",IF(F1340="GRPE-000038","C-14",IF(F1340="GRPE-900022","Dosa",IF(F1340="GRPE-000029","Dosa",IF(F1340="ATOS-000222","Dose","TAAe+"))))))))</f>
        <v>TAAe+</v>
      </c>
      <c r="AC1340" s="2" t="str">
        <f t="shared" ref="AC1340:AC1403" si="107">IF(J1340="TR-PETROLINA"," ROSEMERE ",IF(J1340="TR-GARANHUNS"," ROSEMERE ",IF(J1340="TR-CARUARU"," ROSEMERE ",IF(J1340="TR-RIBEIRAO"," CRISTINA ",IF(J1340="TR-GRAVATA"," CRISTINA ",IF(J1340="TR-GOIANA"," CRISTINA ",IF(J1340="TR-LIMOEIRO"," CRISTINA ",IF(J1340="TR-SERRA TALHADA"," RINALDO ",IF(J1340="TR-SALGUEIRO"," RINALDO ",IF(J1340="TR-CARNAIBA"," RINALDO ",IF(J1340="TR-ARCOVERDE"," RINALDO ",IF(J1340="CAT-RECIFE"," CLEITON ",))))))))))))</f>
        <v xml:space="preserve"> CLEITON </v>
      </c>
      <c r="AD1340" s="2">
        <f t="shared" ref="AD1340:AD1403" si="108">IF(F1340="GRPE-000001",5,IF(F1340="GRPE-000002",5,IF(F1340="GRPE-000003",15,IF(F1340="GRPE-000004",1,IF(F1340="GRPE-000038",5,IF(F1340="GRPE-900022",5,IF(F1340="GRPE-000029",5,IF(F1340="ATOS-000222",5,8))))))))</f>
        <v>8</v>
      </c>
      <c r="AE1340" s="2">
        <f t="shared" ref="AE1340:AE1403" ca="1" si="109">IF(U1340=$AE$1,"",U1340-$AE$1)</f>
        <v>-20.0163758101844</v>
      </c>
    </row>
    <row r="1341" spans="1:31" hidden="1">
      <c r="A1341" s="1">
        <v>9448922</v>
      </c>
      <c r="B1341" s="1" t="s">
        <v>1153</v>
      </c>
      <c r="C1341" t="s">
        <v>2539</v>
      </c>
      <c r="D1341" s="2">
        <v>20234844000385</v>
      </c>
      <c r="E1341" s="2">
        <v>7417161483344</v>
      </c>
      <c r="F1341" s="1" t="s">
        <v>1217</v>
      </c>
      <c r="G1341" s="1" t="s">
        <v>53</v>
      </c>
      <c r="H1341" s="1" t="s">
        <v>2540</v>
      </c>
      <c r="I1341" s="1" t="s">
        <v>2541</v>
      </c>
      <c r="J1341" s="1" t="s">
        <v>46</v>
      </c>
      <c r="K1341" t="s">
        <v>1218</v>
      </c>
      <c r="M1341" s="1" t="s">
        <v>58</v>
      </c>
      <c r="N1341" s="1">
        <v>0</v>
      </c>
      <c r="O1341" s="1" t="s">
        <v>36</v>
      </c>
      <c r="P1341" s="11" t="s">
        <v>2542</v>
      </c>
      <c r="R1341" s="1">
        <v>13</v>
      </c>
      <c r="T1341" s="1" t="s">
        <v>238</v>
      </c>
      <c r="U1341" s="11" t="s">
        <v>2542</v>
      </c>
      <c r="V1341" s="1" t="s">
        <v>41</v>
      </c>
      <c r="W1341" s="1" t="s">
        <v>49</v>
      </c>
      <c r="X1341" s="13" t="str">
        <f>IF(RIGHT(H1341,2)&lt;&gt;"00",H1341,"")</f>
        <v>4844.04</v>
      </c>
      <c r="Y1341" s="2">
        <f ca="1">NETWORKDAYS(P1341,$Y$1)</f>
        <v>17</v>
      </c>
      <c r="Z1341" s="14">
        <v>1</v>
      </c>
      <c r="AA1341" s="1" t="str">
        <f t="shared" ca="1" si="105"/>
        <v>VENCIDO</v>
      </c>
      <c r="AB1341" s="1" t="str">
        <f t="shared" si="106"/>
        <v>TAAe+</v>
      </c>
      <c r="AC1341" s="2" t="str">
        <f t="shared" si="107"/>
        <v xml:space="preserve"> CLEITON </v>
      </c>
      <c r="AD1341" s="2">
        <f t="shared" si="108"/>
        <v>8</v>
      </c>
      <c r="AE1341" s="2">
        <f t="shared" ca="1" si="109"/>
        <v>-22.237787847225263</v>
      </c>
    </row>
    <row r="1342" spans="1:31">
      <c r="A1342" s="173">
        <v>9448803</v>
      </c>
      <c r="B1342" s="173" t="s">
        <v>1153</v>
      </c>
      <c r="C1342" s="204" t="s">
        <v>3632</v>
      </c>
      <c r="D1342" s="174">
        <v>20232737000010</v>
      </c>
      <c r="E1342" s="174">
        <v>7417163284489</v>
      </c>
      <c r="F1342" s="173" t="s">
        <v>131</v>
      </c>
      <c r="G1342" s="173" t="s">
        <v>53</v>
      </c>
      <c r="H1342" s="173" t="s">
        <v>2544</v>
      </c>
      <c r="I1342" s="173" t="s">
        <v>2545</v>
      </c>
      <c r="J1342" s="173" t="s">
        <v>90</v>
      </c>
      <c r="K1342" t="s">
        <v>132</v>
      </c>
      <c r="M1342" s="1" t="s">
        <v>58</v>
      </c>
      <c r="N1342" s="1">
        <v>0</v>
      </c>
      <c r="O1342" s="1" t="s">
        <v>36</v>
      </c>
      <c r="P1342" s="11" t="s">
        <v>2546</v>
      </c>
      <c r="R1342" s="1">
        <v>14</v>
      </c>
      <c r="T1342" s="1" t="s">
        <v>238</v>
      </c>
      <c r="U1342" s="11" t="s">
        <v>2546</v>
      </c>
      <c r="V1342" s="1" t="s">
        <v>41</v>
      </c>
      <c r="W1342" s="1" t="s">
        <v>49</v>
      </c>
      <c r="X1342" s="13" t="str">
        <f>IF(RIGHT(H1342,2)&lt;&gt;"00",H1342,"")</f>
        <v>2737.91</v>
      </c>
      <c r="Y1342" s="2">
        <f ca="1">NETWORKDAYS(P1342,$Y$1)</f>
        <v>17</v>
      </c>
      <c r="Z1342" s="14">
        <v>1</v>
      </c>
      <c r="AA1342" s="1" t="str">
        <f t="shared" ca="1" si="105"/>
        <v>VENCIDO</v>
      </c>
      <c r="AB1342" s="1" t="str">
        <f t="shared" si="106"/>
        <v>TAAe+</v>
      </c>
      <c r="AC1342" s="2" t="str">
        <f t="shared" si="107"/>
        <v xml:space="preserve"> RINALDO </v>
      </c>
      <c r="AD1342" s="2">
        <f t="shared" si="108"/>
        <v>8</v>
      </c>
      <c r="AE1342" s="2">
        <f t="shared" ca="1" si="109"/>
        <v>-22.244466087962792</v>
      </c>
    </row>
    <row r="1343" spans="1:31" hidden="1">
      <c r="A1343" s="1">
        <v>9448626</v>
      </c>
      <c r="B1343" s="1" t="s">
        <v>1153</v>
      </c>
      <c r="C1343" t="s">
        <v>2555</v>
      </c>
      <c r="D1343" s="2">
        <v>20230710000007</v>
      </c>
      <c r="E1343" s="2">
        <v>7419141894913</v>
      </c>
      <c r="F1343" s="1" t="s">
        <v>128</v>
      </c>
      <c r="G1343" s="1" t="s">
        <v>53</v>
      </c>
      <c r="H1343" s="1" t="s">
        <v>2556</v>
      </c>
      <c r="I1343" s="1" t="s">
        <v>2557</v>
      </c>
      <c r="J1343" s="1" t="s">
        <v>56</v>
      </c>
      <c r="K1343" t="s">
        <v>129</v>
      </c>
      <c r="M1343" s="1" t="s">
        <v>58</v>
      </c>
      <c r="N1343" s="1">
        <v>0</v>
      </c>
      <c r="O1343" s="1" t="s">
        <v>36</v>
      </c>
      <c r="P1343" s="11" t="s">
        <v>2558</v>
      </c>
      <c r="R1343" s="1">
        <v>14</v>
      </c>
      <c r="T1343" s="1" t="s">
        <v>238</v>
      </c>
      <c r="U1343" s="11" t="s">
        <v>2558</v>
      </c>
      <c r="V1343" s="1" t="s">
        <v>41</v>
      </c>
      <c r="W1343" s="1" t="s">
        <v>49</v>
      </c>
      <c r="X1343" s="13" t="str">
        <f>IF(RIGHT(H1343,2)&lt;&gt;"00",H1343,"")</f>
        <v>0710.91</v>
      </c>
      <c r="Y1343" s="2">
        <f ca="1">NETWORKDAYS(P1343,$Y$1)</f>
        <v>17</v>
      </c>
      <c r="Z1343" s="14">
        <v>1</v>
      </c>
      <c r="AA1343" s="1" t="str">
        <f t="shared" ca="1" si="105"/>
        <v>VENCIDO</v>
      </c>
      <c r="AB1343" s="1" t="str">
        <f t="shared" si="106"/>
        <v>TAAe+</v>
      </c>
      <c r="AC1343" s="2" t="str">
        <f t="shared" si="107"/>
        <v xml:space="preserve"> CRISTINA </v>
      </c>
      <c r="AD1343" s="2">
        <f t="shared" si="108"/>
        <v>8</v>
      </c>
      <c r="AE1343" s="2">
        <f t="shared" ca="1" si="109"/>
        <v>-22.265010069444543</v>
      </c>
    </row>
    <row r="1344" spans="1:31" hidden="1">
      <c r="A1344" s="1">
        <v>9448398</v>
      </c>
      <c r="B1344" s="1" t="s">
        <v>1153</v>
      </c>
      <c r="C1344" t="s">
        <v>2559</v>
      </c>
      <c r="D1344" s="2">
        <v>20231052000011</v>
      </c>
      <c r="E1344" s="2">
        <v>7417163285093</v>
      </c>
      <c r="F1344" s="1" t="s">
        <v>131</v>
      </c>
      <c r="G1344" s="1" t="s">
        <v>53</v>
      </c>
      <c r="H1344" s="1" t="s">
        <v>2560</v>
      </c>
      <c r="I1344" s="1" t="s">
        <v>2561</v>
      </c>
      <c r="J1344" s="1" t="s">
        <v>79</v>
      </c>
      <c r="K1344" t="s">
        <v>132</v>
      </c>
      <c r="M1344" s="1" t="s">
        <v>58</v>
      </c>
      <c r="N1344" s="1">
        <v>0</v>
      </c>
      <c r="O1344" s="1" t="s">
        <v>36</v>
      </c>
      <c r="P1344" s="11" t="s">
        <v>2562</v>
      </c>
      <c r="R1344" s="1">
        <v>14</v>
      </c>
      <c r="T1344" s="1" t="s">
        <v>238</v>
      </c>
      <c r="U1344" s="11" t="s">
        <v>2563</v>
      </c>
      <c r="V1344" s="1" t="s">
        <v>41</v>
      </c>
      <c r="W1344" s="1" t="s">
        <v>49</v>
      </c>
      <c r="X1344" s="13" t="str">
        <f>IF(RIGHT(H1344,2)&lt;&gt;"00",H1344,"")</f>
        <v>1052.91</v>
      </c>
      <c r="Y1344" s="2">
        <f ca="1">NETWORKDAYS(P1344,$Y$1)</f>
        <v>17</v>
      </c>
      <c r="Z1344" s="14">
        <v>1</v>
      </c>
      <c r="AA1344" s="1" t="str">
        <f t="shared" ca="1" si="105"/>
        <v>VENCIDO</v>
      </c>
      <c r="AB1344" s="1" t="str">
        <f t="shared" si="106"/>
        <v>TAAe+</v>
      </c>
      <c r="AC1344" s="2" t="str">
        <f t="shared" si="107"/>
        <v xml:space="preserve"> ROSEMERE </v>
      </c>
      <c r="AD1344" s="2">
        <f t="shared" si="108"/>
        <v>8</v>
      </c>
      <c r="AE1344" s="2">
        <f t="shared" ca="1" si="109"/>
        <v>-22.280438310182944</v>
      </c>
    </row>
    <row r="1345" spans="1:31" hidden="1">
      <c r="A1345" s="1">
        <v>9456048</v>
      </c>
      <c r="B1345" s="1" t="s">
        <v>1153</v>
      </c>
      <c r="C1345" t="s">
        <v>2570</v>
      </c>
      <c r="D1345" s="2">
        <v>20235846000004</v>
      </c>
      <c r="E1345" s="2">
        <v>7419152406688</v>
      </c>
      <c r="F1345" s="1" t="s">
        <v>2533</v>
      </c>
      <c r="G1345" s="1" t="s">
        <v>53</v>
      </c>
      <c r="H1345" s="1" t="s">
        <v>2571</v>
      </c>
      <c r="I1345" s="1" t="s">
        <v>2572</v>
      </c>
      <c r="J1345" s="1" t="s">
        <v>46</v>
      </c>
      <c r="K1345" t="s">
        <v>2536</v>
      </c>
      <c r="M1345" s="1" t="s">
        <v>58</v>
      </c>
      <c r="N1345" s="1">
        <v>0</v>
      </c>
      <c r="O1345" s="1" t="s">
        <v>36</v>
      </c>
      <c r="P1345" s="11" t="s">
        <v>3109</v>
      </c>
      <c r="R1345" s="1">
        <v>22</v>
      </c>
      <c r="T1345" s="1" t="s">
        <v>1160</v>
      </c>
      <c r="U1345" s="11" t="s">
        <v>3633</v>
      </c>
      <c r="V1345" s="1" t="s">
        <v>41</v>
      </c>
      <c r="W1345" s="1" t="s">
        <v>49</v>
      </c>
      <c r="X1345" s="13" t="str">
        <f>IF(RIGHT(H1345,2)&lt;&gt;"00",H1345,"")</f>
        <v/>
      </c>
      <c r="Y1345" s="2">
        <f ca="1">NETWORKDAYS(P1345,$Y$1)</f>
        <v>16</v>
      </c>
      <c r="Z1345" s="14">
        <v>1</v>
      </c>
      <c r="AA1345" s="1" t="str">
        <f t="shared" ca="1" si="105"/>
        <v>VENCIDO</v>
      </c>
      <c r="AB1345" s="1" t="str">
        <f t="shared" si="106"/>
        <v>TAAe+</v>
      </c>
      <c r="AC1345" s="2" t="str">
        <f t="shared" si="107"/>
        <v xml:space="preserve"> CLEITON </v>
      </c>
      <c r="AD1345" s="2">
        <f t="shared" si="108"/>
        <v>8</v>
      </c>
      <c r="AE1345" s="2">
        <f t="shared" ca="1" si="109"/>
        <v>-16.092938310182944</v>
      </c>
    </row>
    <row r="1346" spans="1:31" hidden="1">
      <c r="A1346" s="1">
        <v>9456005</v>
      </c>
      <c r="B1346" s="1" t="s">
        <v>1153</v>
      </c>
      <c r="C1346" t="s">
        <v>2573</v>
      </c>
      <c r="D1346" s="2">
        <v>20234844000414</v>
      </c>
      <c r="E1346" s="2">
        <v>7419141891941</v>
      </c>
      <c r="F1346" s="1" t="s">
        <v>128</v>
      </c>
      <c r="G1346" s="1" t="s">
        <v>53</v>
      </c>
      <c r="H1346" s="1" t="s">
        <v>2574</v>
      </c>
      <c r="I1346" s="1" t="s">
        <v>2575</v>
      </c>
      <c r="J1346" s="1" t="s">
        <v>46</v>
      </c>
      <c r="K1346" t="s">
        <v>129</v>
      </c>
      <c r="M1346" s="1" t="s">
        <v>58</v>
      </c>
      <c r="N1346" s="1">
        <v>0</v>
      </c>
      <c r="O1346" s="1" t="s">
        <v>36</v>
      </c>
      <c r="P1346" s="11" t="s">
        <v>2576</v>
      </c>
      <c r="R1346" s="1">
        <v>13</v>
      </c>
      <c r="T1346" s="1" t="s">
        <v>238</v>
      </c>
      <c r="U1346" s="11" t="s">
        <v>2577</v>
      </c>
      <c r="V1346" s="1" t="s">
        <v>41</v>
      </c>
      <c r="W1346" s="1" t="s">
        <v>49</v>
      </c>
      <c r="X1346" s="13" t="str">
        <f>IF(RIGHT(H1346,2)&lt;&gt;"00",H1346,"")</f>
        <v>4844.43</v>
      </c>
      <c r="Y1346" s="2">
        <f ca="1">NETWORKDAYS(P1346,$Y$1)</f>
        <v>16</v>
      </c>
      <c r="Z1346" s="14">
        <v>1</v>
      </c>
      <c r="AA1346" s="1" t="str">
        <f t="shared" ca="1" si="105"/>
        <v>VENCIDO</v>
      </c>
      <c r="AB1346" s="1" t="str">
        <f t="shared" si="106"/>
        <v>TAAe+</v>
      </c>
      <c r="AC1346" s="2" t="str">
        <f t="shared" si="107"/>
        <v xml:space="preserve"> CLEITON </v>
      </c>
      <c r="AD1346" s="2">
        <f t="shared" si="108"/>
        <v>8</v>
      </c>
      <c r="AE1346" s="2">
        <f t="shared" ca="1" si="109"/>
        <v>-20.280438310182944</v>
      </c>
    </row>
    <row r="1347" spans="1:31" hidden="1">
      <c r="A1347" s="1">
        <v>9455659</v>
      </c>
      <c r="B1347" s="1" t="s">
        <v>62</v>
      </c>
      <c r="C1347" t="s">
        <v>2582</v>
      </c>
      <c r="E1347" s="2">
        <v>3258000206001</v>
      </c>
      <c r="F1347" s="1" t="s">
        <v>29</v>
      </c>
      <c r="G1347" s="1" t="s">
        <v>53</v>
      </c>
      <c r="H1347" s="1" t="s">
        <v>321</v>
      </c>
      <c r="I1347" s="1" t="s">
        <v>322</v>
      </c>
      <c r="J1347" s="1" t="s">
        <v>46</v>
      </c>
      <c r="K1347" t="s">
        <v>34</v>
      </c>
      <c r="M1347" s="1" t="s">
        <v>35</v>
      </c>
      <c r="N1347" s="1">
        <v>42318949</v>
      </c>
      <c r="O1347" s="1" t="s">
        <v>105</v>
      </c>
      <c r="P1347" s="11" t="s">
        <v>2583</v>
      </c>
      <c r="R1347" s="1" t="s">
        <v>38</v>
      </c>
      <c r="T1347" s="1" t="s">
        <v>74</v>
      </c>
      <c r="U1347" s="11" t="s">
        <v>2584</v>
      </c>
      <c r="V1347" s="1" t="s">
        <v>41</v>
      </c>
      <c r="W1347" s="1" t="s">
        <v>49</v>
      </c>
      <c r="X1347" s="13" t="str">
        <f>IF(RIGHT(H1347,2)&lt;&gt;"00",H1347,"")</f>
        <v/>
      </c>
      <c r="Y1347" s="2">
        <f ca="1">NETWORKDAYS(P1347,$Y$1)</f>
        <v>16</v>
      </c>
      <c r="Z1347" s="14">
        <v>1</v>
      </c>
      <c r="AA1347" s="1" t="str">
        <f t="shared" ca="1" si="105"/>
        <v>A VENCER</v>
      </c>
      <c r="AB1347" s="1" t="str">
        <f t="shared" si="106"/>
        <v>Dosa</v>
      </c>
      <c r="AC1347" s="2" t="str">
        <f t="shared" si="107"/>
        <v xml:space="preserve"> CLEITON </v>
      </c>
      <c r="AD1347" s="2">
        <f t="shared" si="108"/>
        <v>5</v>
      </c>
      <c r="AE1347" s="2">
        <f t="shared" ca="1" si="109"/>
        <v>22.073728356481297</v>
      </c>
    </row>
    <row r="1348" spans="1:31" hidden="1">
      <c r="A1348" s="1">
        <v>9454830</v>
      </c>
      <c r="B1348" s="1" t="s">
        <v>1153</v>
      </c>
      <c r="C1348" t="s">
        <v>2594</v>
      </c>
      <c r="D1348" s="2">
        <v>20230582000008</v>
      </c>
      <c r="E1348" s="2">
        <v>7417183023985</v>
      </c>
      <c r="F1348" s="1" t="s">
        <v>1313</v>
      </c>
      <c r="G1348" s="1" t="s">
        <v>53</v>
      </c>
      <c r="H1348" s="1" t="s">
        <v>2511</v>
      </c>
      <c r="I1348" s="1" t="s">
        <v>2512</v>
      </c>
      <c r="J1348" s="1" t="s">
        <v>141</v>
      </c>
      <c r="K1348" t="s">
        <v>1316</v>
      </c>
      <c r="M1348" s="1" t="s">
        <v>58</v>
      </c>
      <c r="N1348" s="1">
        <v>0</v>
      </c>
      <c r="O1348" s="1" t="s">
        <v>36</v>
      </c>
      <c r="P1348" s="11" t="s">
        <v>3110</v>
      </c>
      <c r="R1348" s="1">
        <v>14</v>
      </c>
      <c r="T1348" s="1" t="s">
        <v>238</v>
      </c>
      <c r="U1348" s="11" t="s">
        <v>3110</v>
      </c>
      <c r="V1348" s="1" t="s">
        <v>41</v>
      </c>
      <c r="W1348" s="1" t="s">
        <v>49</v>
      </c>
      <c r="X1348" s="13" t="str">
        <f>IF(RIGHT(H1348,2)&lt;&gt;"00",H1348,"")</f>
        <v>0582.91</v>
      </c>
      <c r="Y1348" s="2">
        <f ca="1">NETWORKDAYS(P1348,$Y$1)</f>
        <v>16</v>
      </c>
      <c r="Z1348" s="14">
        <v>1</v>
      </c>
      <c r="AA1348" s="1" t="str">
        <f t="shared" ca="1" si="105"/>
        <v>VENCIDO</v>
      </c>
      <c r="AB1348" s="1" t="str">
        <f t="shared" si="106"/>
        <v>TAAe+</v>
      </c>
      <c r="AC1348" s="2" t="str">
        <f t="shared" si="107"/>
        <v xml:space="preserve"> CRISTINA </v>
      </c>
      <c r="AD1348" s="2">
        <f t="shared" si="108"/>
        <v>8</v>
      </c>
      <c r="AE1348" s="2">
        <f t="shared" ca="1" si="109"/>
        <v>-21.101931365737983</v>
      </c>
    </row>
    <row r="1349" spans="1:31">
      <c r="A1349" s="181">
        <v>9454801</v>
      </c>
      <c r="B1349" s="181" t="s">
        <v>1153</v>
      </c>
      <c r="C1349" s="182" t="s">
        <v>3634</v>
      </c>
      <c r="D1349" s="183"/>
      <c r="E1349" s="183">
        <v>246000206021</v>
      </c>
      <c r="F1349" s="181" t="s">
        <v>103</v>
      </c>
      <c r="G1349" s="181" t="s">
        <v>53</v>
      </c>
      <c r="H1349" s="181" t="s">
        <v>1193</v>
      </c>
      <c r="I1349" s="181" t="s">
        <v>1194</v>
      </c>
      <c r="J1349" s="181" t="s">
        <v>85</v>
      </c>
      <c r="K1349" t="s">
        <v>104</v>
      </c>
      <c r="M1349" s="1" t="s">
        <v>58</v>
      </c>
      <c r="N1349" s="1">
        <v>0</v>
      </c>
      <c r="O1349" s="1" t="s">
        <v>36</v>
      </c>
      <c r="P1349" s="11" t="s">
        <v>3111</v>
      </c>
      <c r="R1349" s="1" t="s">
        <v>38</v>
      </c>
      <c r="T1349" s="1" t="s">
        <v>74</v>
      </c>
      <c r="U1349" s="11" t="s">
        <v>2949</v>
      </c>
      <c r="V1349" s="1" t="s">
        <v>41</v>
      </c>
      <c r="W1349" s="1" t="s">
        <v>49</v>
      </c>
      <c r="X1349" s="13" t="str">
        <f>IF(RIGHT(H1349,2)&lt;&gt;"00",H1349,"")</f>
        <v/>
      </c>
      <c r="Y1349" s="2">
        <f ca="1">NETWORKDAYS(P1349,$Y$1)</f>
        <v>16</v>
      </c>
      <c r="Z1349" s="14">
        <v>1</v>
      </c>
      <c r="AA1349" s="1" t="str">
        <f t="shared" ca="1" si="105"/>
        <v>VENCIDO</v>
      </c>
      <c r="AB1349" s="1" t="str">
        <f t="shared" si="106"/>
        <v>Dosa</v>
      </c>
      <c r="AC1349" s="2" t="str">
        <f t="shared" si="107"/>
        <v xml:space="preserve"> RINALDO </v>
      </c>
      <c r="AD1349" s="2">
        <f t="shared" si="108"/>
        <v>5</v>
      </c>
      <c r="AE1349" s="2">
        <f t="shared" ca="1" si="109"/>
        <v>-7.0269660879639559</v>
      </c>
    </row>
    <row r="1350" spans="1:31" hidden="1">
      <c r="A1350" s="1">
        <v>9453994</v>
      </c>
      <c r="B1350" s="1" t="s">
        <v>1153</v>
      </c>
      <c r="C1350" t="s">
        <v>2600</v>
      </c>
      <c r="E1350" s="2">
        <v>159000206001</v>
      </c>
      <c r="F1350" s="1" t="s">
        <v>29</v>
      </c>
      <c r="G1350" s="1" t="s">
        <v>53</v>
      </c>
      <c r="H1350" s="1" t="s">
        <v>331</v>
      </c>
      <c r="I1350" s="1" t="s">
        <v>332</v>
      </c>
      <c r="J1350" s="1" t="s">
        <v>79</v>
      </c>
      <c r="K1350" t="s">
        <v>34</v>
      </c>
      <c r="M1350" s="1" t="s">
        <v>35</v>
      </c>
      <c r="N1350" s="1">
        <v>42318949</v>
      </c>
      <c r="O1350" s="1" t="s">
        <v>36</v>
      </c>
      <c r="P1350" s="11" t="s">
        <v>2601</v>
      </c>
      <c r="R1350" s="1" t="s">
        <v>38</v>
      </c>
      <c r="T1350" s="1" t="s">
        <v>74</v>
      </c>
      <c r="U1350" s="11" t="s">
        <v>3635</v>
      </c>
      <c r="V1350" s="1" t="s">
        <v>41</v>
      </c>
      <c r="W1350" s="1" t="s">
        <v>49</v>
      </c>
      <c r="X1350" s="13" t="str">
        <f>IF(RIGHT(H1350,2)&lt;&gt;"00",H1350,"")</f>
        <v/>
      </c>
      <c r="Y1350" s="2">
        <f ca="1">NETWORKDAYS(P1350,$Y$1)</f>
        <v>16</v>
      </c>
      <c r="Z1350" s="14">
        <v>1</v>
      </c>
      <c r="AA1350" s="1" t="str">
        <f t="shared" ca="1" si="105"/>
        <v>VENCIDO</v>
      </c>
      <c r="AB1350" s="1" t="str">
        <f t="shared" si="106"/>
        <v>Dosa</v>
      </c>
      <c r="AC1350" s="2" t="str">
        <f t="shared" si="107"/>
        <v xml:space="preserve"> ROSEMERE </v>
      </c>
      <c r="AD1350" s="2">
        <f t="shared" si="108"/>
        <v>5</v>
      </c>
      <c r="AE1350" s="2">
        <f t="shared" ca="1" si="109"/>
        <v>-2.0929383101829444</v>
      </c>
    </row>
    <row r="1351" spans="1:31">
      <c r="A1351" s="181">
        <v>9453394</v>
      </c>
      <c r="B1351" s="181" t="s">
        <v>1153</v>
      </c>
      <c r="C1351" s="185" t="s">
        <v>2613</v>
      </c>
      <c r="D1351" s="183"/>
      <c r="E1351" s="183">
        <v>2125000206001</v>
      </c>
      <c r="F1351" s="181" t="s">
        <v>29</v>
      </c>
      <c r="G1351" s="181" t="s">
        <v>53</v>
      </c>
      <c r="H1351" s="181" t="s">
        <v>1399</v>
      </c>
      <c r="I1351" s="181" t="s">
        <v>1400</v>
      </c>
      <c r="J1351" s="181" t="s">
        <v>211</v>
      </c>
      <c r="K1351" t="s">
        <v>34</v>
      </c>
      <c r="M1351" s="1" t="s">
        <v>35</v>
      </c>
      <c r="N1351" s="1">
        <v>42318949</v>
      </c>
      <c r="O1351" s="1" t="s">
        <v>36</v>
      </c>
      <c r="P1351" s="11" t="s">
        <v>2614</v>
      </c>
      <c r="R1351" s="1" t="s">
        <v>38</v>
      </c>
      <c r="T1351" s="1" t="s">
        <v>74</v>
      </c>
      <c r="U1351" s="11" t="s">
        <v>3635</v>
      </c>
      <c r="V1351" s="1" t="s">
        <v>41</v>
      </c>
      <c r="W1351" s="1" t="s">
        <v>49</v>
      </c>
      <c r="X1351" s="13" t="str">
        <f>IF(RIGHT(H1351,2)&lt;&gt;"00",H1351,"")</f>
        <v/>
      </c>
      <c r="Y1351" s="2">
        <f ca="1">NETWORKDAYS(P1351,$Y$1)</f>
        <v>16</v>
      </c>
      <c r="Z1351" s="14">
        <v>1</v>
      </c>
      <c r="AA1351" s="1" t="str">
        <f t="shared" ca="1" si="105"/>
        <v>VENCIDO</v>
      </c>
      <c r="AB1351" s="1" t="str">
        <f t="shared" si="106"/>
        <v>Dosa</v>
      </c>
      <c r="AC1351" s="2" t="str">
        <f t="shared" si="107"/>
        <v xml:space="preserve"> RINALDO </v>
      </c>
      <c r="AD1351" s="2">
        <f t="shared" si="108"/>
        <v>5</v>
      </c>
      <c r="AE1351" s="2">
        <f t="shared" ca="1" si="109"/>
        <v>-2.0929383101829444</v>
      </c>
    </row>
    <row r="1352" spans="1:31" hidden="1">
      <c r="A1352" s="1">
        <v>9453118</v>
      </c>
      <c r="B1352" s="1" t="s">
        <v>1153</v>
      </c>
      <c r="C1352" t="s">
        <v>2619</v>
      </c>
      <c r="E1352" s="2">
        <v>1689000206001</v>
      </c>
      <c r="F1352" s="1" t="s">
        <v>29</v>
      </c>
      <c r="G1352" s="1" t="s">
        <v>53</v>
      </c>
      <c r="H1352" s="1" t="s">
        <v>2117</v>
      </c>
      <c r="I1352" s="1" t="s">
        <v>2118</v>
      </c>
      <c r="J1352" s="1" t="s">
        <v>79</v>
      </c>
      <c r="K1352" t="s">
        <v>34</v>
      </c>
      <c r="M1352" s="1" t="s">
        <v>35</v>
      </c>
      <c r="N1352" s="1">
        <v>42318949</v>
      </c>
      <c r="O1352" s="1" t="s">
        <v>36</v>
      </c>
      <c r="P1352" s="11" t="s">
        <v>3112</v>
      </c>
      <c r="R1352" s="1" t="s">
        <v>38</v>
      </c>
      <c r="T1352" s="1" t="s">
        <v>74</v>
      </c>
      <c r="U1352" s="11" t="s">
        <v>3636</v>
      </c>
      <c r="V1352" s="1" t="s">
        <v>41</v>
      </c>
      <c r="W1352" s="1" t="s">
        <v>49</v>
      </c>
      <c r="X1352" s="13" t="str">
        <f>IF(RIGHT(H1352,2)&lt;&gt;"00",H1352,"")</f>
        <v/>
      </c>
      <c r="Y1352" s="2">
        <f ca="1">NETWORKDAYS(P1352,$Y$1)</f>
        <v>16</v>
      </c>
      <c r="Z1352" s="14">
        <v>1</v>
      </c>
      <c r="AA1352" s="1" t="str">
        <f t="shared" ca="1" si="105"/>
        <v>VENCIDO</v>
      </c>
      <c r="AB1352" s="1" t="str">
        <f t="shared" si="106"/>
        <v>Dosa</v>
      </c>
      <c r="AC1352" s="2" t="str">
        <f t="shared" si="107"/>
        <v xml:space="preserve"> ROSEMERE </v>
      </c>
      <c r="AD1352" s="2">
        <f t="shared" si="108"/>
        <v>5</v>
      </c>
      <c r="AE1352" s="2">
        <f t="shared" ca="1" si="109"/>
        <v>-7.0304383101829444</v>
      </c>
    </row>
    <row r="1353" spans="1:31" hidden="1">
      <c r="A1353" s="1">
        <v>9453117</v>
      </c>
      <c r="B1353" s="1" t="s">
        <v>1153</v>
      </c>
      <c r="C1353" t="s">
        <v>2620</v>
      </c>
      <c r="E1353" s="2">
        <v>3924000206001</v>
      </c>
      <c r="F1353" s="1" t="s">
        <v>29</v>
      </c>
      <c r="G1353" s="1" t="s">
        <v>53</v>
      </c>
      <c r="H1353" s="1" t="s">
        <v>153</v>
      </c>
      <c r="I1353" s="1" t="s">
        <v>154</v>
      </c>
      <c r="J1353" s="1" t="s">
        <v>56</v>
      </c>
      <c r="K1353" t="s">
        <v>34</v>
      </c>
      <c r="M1353" s="1" t="s">
        <v>35</v>
      </c>
      <c r="N1353" s="1">
        <v>42318949</v>
      </c>
      <c r="O1353" s="1" t="s">
        <v>36</v>
      </c>
      <c r="P1353" s="11" t="s">
        <v>2621</v>
      </c>
      <c r="R1353" s="1" t="s">
        <v>38</v>
      </c>
      <c r="T1353" s="1" t="s">
        <v>74</v>
      </c>
      <c r="U1353" s="11" t="s">
        <v>2516</v>
      </c>
      <c r="V1353" s="1" t="s">
        <v>41</v>
      </c>
      <c r="W1353" s="1" t="s">
        <v>49</v>
      </c>
      <c r="X1353" s="13" t="str">
        <f>IF(RIGHT(H1353,2)&lt;&gt;"00",H1353,"")</f>
        <v/>
      </c>
      <c r="Y1353" s="2">
        <f ca="1">NETWORKDAYS(P1353,$Y$1)</f>
        <v>16</v>
      </c>
      <c r="Z1353" s="14">
        <v>1</v>
      </c>
      <c r="AA1353" s="1" t="str">
        <f t="shared" ca="1" si="105"/>
        <v>VENCIDO</v>
      </c>
      <c r="AB1353" s="1" t="str">
        <f t="shared" si="106"/>
        <v>Dosa</v>
      </c>
      <c r="AC1353" s="2" t="str">
        <f t="shared" si="107"/>
        <v xml:space="preserve"> CRISTINA </v>
      </c>
      <c r="AD1353" s="2">
        <f t="shared" si="108"/>
        <v>5</v>
      </c>
      <c r="AE1353" s="2">
        <f t="shared" ca="1" si="109"/>
        <v>-6.9679383101829444</v>
      </c>
    </row>
    <row r="1354" spans="1:31">
      <c r="A1354" s="181">
        <v>9460910</v>
      </c>
      <c r="B1354" s="181" t="s">
        <v>1153</v>
      </c>
      <c r="C1354" s="182" t="s">
        <v>2622</v>
      </c>
      <c r="D1354" s="183">
        <v>20230068000017</v>
      </c>
      <c r="E1354" s="183">
        <v>7419141893515</v>
      </c>
      <c r="F1354" s="181" t="s">
        <v>128</v>
      </c>
      <c r="G1354" s="181" t="s">
        <v>53</v>
      </c>
      <c r="H1354" s="181" t="s">
        <v>2623</v>
      </c>
      <c r="I1354" s="181" t="s">
        <v>2624</v>
      </c>
      <c r="J1354" s="181" t="s">
        <v>211</v>
      </c>
      <c r="K1354" t="s">
        <v>129</v>
      </c>
      <c r="M1354" s="1" t="s">
        <v>58</v>
      </c>
      <c r="N1354" s="1">
        <v>0</v>
      </c>
      <c r="O1354" s="1" t="s">
        <v>36</v>
      </c>
      <c r="P1354" s="11" t="s">
        <v>2625</v>
      </c>
      <c r="R1354" s="1">
        <v>14</v>
      </c>
      <c r="T1354" s="1" t="s">
        <v>238</v>
      </c>
      <c r="U1354" s="11" t="s">
        <v>2637</v>
      </c>
      <c r="V1354" s="1" t="s">
        <v>41</v>
      </c>
      <c r="W1354" s="1" t="s">
        <v>49</v>
      </c>
      <c r="X1354" s="13" t="str">
        <f>IF(RIGHT(H1354,2)&lt;&gt;"00",H1354,"")</f>
        <v>0068.91</v>
      </c>
      <c r="Y1354" s="2">
        <f ca="1">NETWORKDAYS(P1354,$Y$1)</f>
        <v>15</v>
      </c>
      <c r="Z1354" s="14">
        <v>1</v>
      </c>
      <c r="AA1354" s="1" t="str">
        <f t="shared" ca="1" si="105"/>
        <v>VENCIDO</v>
      </c>
      <c r="AB1354" s="1" t="str">
        <f t="shared" si="106"/>
        <v>TAAe+</v>
      </c>
      <c r="AC1354" s="2" t="str">
        <f t="shared" si="107"/>
        <v xml:space="preserve"> RINALDO </v>
      </c>
      <c r="AD1354" s="2">
        <f t="shared" si="108"/>
        <v>8</v>
      </c>
      <c r="AE1354" s="2">
        <f t="shared" ca="1" si="109"/>
        <v>-19.280438310182944</v>
      </c>
    </row>
    <row r="1355" spans="1:31" hidden="1">
      <c r="A1355" s="1">
        <v>9460685</v>
      </c>
      <c r="B1355" s="1" t="s">
        <v>1153</v>
      </c>
      <c r="C1355" t="s">
        <v>2635</v>
      </c>
      <c r="D1355" s="2">
        <v>20234844000424</v>
      </c>
      <c r="E1355" s="2">
        <v>7417163285131</v>
      </c>
      <c r="F1355" s="1" t="s">
        <v>131</v>
      </c>
      <c r="G1355" s="1" t="s">
        <v>53</v>
      </c>
      <c r="H1355" s="1" t="s">
        <v>2632</v>
      </c>
      <c r="I1355" s="1" t="s">
        <v>2633</v>
      </c>
      <c r="J1355" s="1" t="s">
        <v>46</v>
      </c>
      <c r="K1355" t="s">
        <v>132</v>
      </c>
      <c r="M1355" s="1" t="s">
        <v>58</v>
      </c>
      <c r="N1355" s="1">
        <v>0</v>
      </c>
      <c r="O1355" s="1" t="s">
        <v>36</v>
      </c>
      <c r="P1355" s="11" t="s">
        <v>2636</v>
      </c>
      <c r="R1355" s="1">
        <v>13</v>
      </c>
      <c r="T1355" s="1" t="s">
        <v>238</v>
      </c>
      <c r="U1355" s="11" t="s">
        <v>2637</v>
      </c>
      <c r="V1355" s="1" t="s">
        <v>41</v>
      </c>
      <c r="W1355" s="1" t="s">
        <v>49</v>
      </c>
      <c r="X1355" s="13" t="str">
        <f>IF(RIGHT(H1355,2)&lt;&gt;"00",H1355,"")</f>
        <v>4844.20</v>
      </c>
      <c r="Y1355" s="2">
        <f ca="1">NETWORKDAYS(P1355,$Y$1)</f>
        <v>15</v>
      </c>
      <c r="Z1355" s="14">
        <v>1</v>
      </c>
      <c r="AA1355" s="1" t="str">
        <f t="shared" ca="1" si="105"/>
        <v>VENCIDO</v>
      </c>
      <c r="AB1355" s="1" t="str">
        <f t="shared" si="106"/>
        <v>TAAe+</v>
      </c>
      <c r="AC1355" s="2" t="str">
        <f t="shared" si="107"/>
        <v xml:space="preserve"> CLEITON </v>
      </c>
      <c r="AD1355" s="2">
        <f t="shared" si="108"/>
        <v>8</v>
      </c>
      <c r="AE1355" s="2">
        <f t="shared" ca="1" si="109"/>
        <v>-19.280438310182944</v>
      </c>
    </row>
    <row r="1356" spans="1:31">
      <c r="A1356" s="181">
        <v>9460624</v>
      </c>
      <c r="B1356" s="181" t="s">
        <v>1153</v>
      </c>
      <c r="C1356" s="182" t="s">
        <v>3637</v>
      </c>
      <c r="D1356" s="183"/>
      <c r="E1356" s="183">
        <v>246000206021</v>
      </c>
      <c r="F1356" s="181" t="s">
        <v>103</v>
      </c>
      <c r="G1356" s="181" t="s">
        <v>53</v>
      </c>
      <c r="H1356" s="181" t="s">
        <v>1193</v>
      </c>
      <c r="I1356" s="181" t="s">
        <v>1194</v>
      </c>
      <c r="J1356" s="181" t="s">
        <v>85</v>
      </c>
      <c r="K1356" t="s">
        <v>104</v>
      </c>
      <c r="M1356" s="1" t="s">
        <v>58</v>
      </c>
      <c r="N1356" s="1">
        <v>0</v>
      </c>
      <c r="O1356" s="1" t="s">
        <v>36</v>
      </c>
      <c r="P1356" s="11" t="s">
        <v>2639</v>
      </c>
      <c r="R1356" s="1" t="s">
        <v>38</v>
      </c>
      <c r="T1356" s="1" t="s">
        <v>74</v>
      </c>
      <c r="U1356" s="11" t="s">
        <v>3638</v>
      </c>
      <c r="V1356" s="1" t="s">
        <v>41</v>
      </c>
      <c r="W1356" s="1" t="s">
        <v>49</v>
      </c>
      <c r="X1356" s="13" t="str">
        <f>IF(RIGHT(H1356,2)&lt;&gt;"00",H1356,"")</f>
        <v/>
      </c>
      <c r="Y1356" s="2">
        <f ca="1">NETWORKDAYS(P1356,$Y$1)</f>
        <v>15</v>
      </c>
      <c r="Z1356" s="14">
        <v>1</v>
      </c>
      <c r="AA1356" s="1" t="str">
        <f t="shared" ca="1" si="105"/>
        <v>VENCIDO</v>
      </c>
      <c r="AB1356" s="1" t="str">
        <f t="shared" si="106"/>
        <v>Dosa</v>
      </c>
      <c r="AC1356" s="2" t="str">
        <f t="shared" si="107"/>
        <v xml:space="preserve"> RINALDO </v>
      </c>
      <c r="AD1356" s="2">
        <f t="shared" si="108"/>
        <v>5</v>
      </c>
      <c r="AE1356" s="2">
        <f t="shared" ca="1" si="109"/>
        <v>-2.0269660879639559</v>
      </c>
    </row>
    <row r="1357" spans="1:31" hidden="1">
      <c r="A1357" s="1">
        <v>9460375</v>
      </c>
      <c r="B1357" s="1" t="s">
        <v>1153</v>
      </c>
      <c r="C1357" t="s">
        <v>2646</v>
      </c>
      <c r="D1357" s="2">
        <v>20232369000005</v>
      </c>
      <c r="E1357" s="2">
        <v>9600123331814</v>
      </c>
      <c r="F1357" s="1" t="s">
        <v>1997</v>
      </c>
      <c r="G1357" s="1" t="s">
        <v>53</v>
      </c>
      <c r="H1357" s="1" t="s">
        <v>701</v>
      </c>
      <c r="I1357" s="1" t="s">
        <v>702</v>
      </c>
      <c r="J1357" s="1" t="s">
        <v>141</v>
      </c>
      <c r="K1357" t="s">
        <v>2000</v>
      </c>
      <c r="M1357" s="1" t="s">
        <v>58</v>
      </c>
      <c r="N1357" s="1">
        <v>0</v>
      </c>
      <c r="O1357" s="1" t="s">
        <v>36</v>
      </c>
      <c r="P1357" s="11" t="s">
        <v>2647</v>
      </c>
      <c r="R1357" s="1">
        <v>21</v>
      </c>
      <c r="T1357" s="1" t="s">
        <v>1160</v>
      </c>
      <c r="U1357" s="11" t="s">
        <v>2648</v>
      </c>
      <c r="V1357" s="1" t="s">
        <v>41</v>
      </c>
      <c r="W1357" s="1" t="s">
        <v>49</v>
      </c>
      <c r="X1357" s="13" t="str">
        <f>IF(RIGHT(H1357,2)&lt;&gt;"00",H1357,"")</f>
        <v/>
      </c>
      <c r="Y1357" s="2">
        <f ca="1">NETWORKDAYS(P1357,$Y$1)</f>
        <v>15</v>
      </c>
      <c r="Z1357" s="14">
        <v>1</v>
      </c>
      <c r="AA1357" s="1" t="str">
        <f t="shared" ca="1" si="105"/>
        <v>VENCIDO</v>
      </c>
      <c r="AB1357" s="1" t="str">
        <f t="shared" si="106"/>
        <v>TAAe+</v>
      </c>
      <c r="AC1357" s="2" t="str">
        <f t="shared" si="107"/>
        <v xml:space="preserve"> CRISTINA </v>
      </c>
      <c r="AD1357" s="2">
        <f t="shared" si="108"/>
        <v>8</v>
      </c>
      <c r="AE1357" s="2">
        <f t="shared" ca="1" si="109"/>
        <v>-15.289662847222644</v>
      </c>
    </row>
    <row r="1358" spans="1:31" hidden="1">
      <c r="A1358" s="1">
        <v>9460265</v>
      </c>
      <c r="B1358" s="1" t="s">
        <v>1153</v>
      </c>
      <c r="C1358" t="s">
        <v>2649</v>
      </c>
      <c r="E1358" s="2">
        <v>1666000206001</v>
      </c>
      <c r="F1358" s="1" t="s">
        <v>29</v>
      </c>
      <c r="G1358" s="1" t="s">
        <v>53</v>
      </c>
      <c r="H1358" s="1" t="s">
        <v>414</v>
      </c>
      <c r="I1358" s="1" t="s">
        <v>415</v>
      </c>
      <c r="J1358" s="1" t="s">
        <v>79</v>
      </c>
      <c r="K1358" t="s">
        <v>34</v>
      </c>
      <c r="M1358" s="1" t="s">
        <v>35</v>
      </c>
      <c r="N1358" s="1">
        <v>42318949</v>
      </c>
      <c r="O1358" s="1" t="s">
        <v>36</v>
      </c>
      <c r="P1358" s="11" t="s">
        <v>2650</v>
      </c>
      <c r="R1358" s="1" t="s">
        <v>38</v>
      </c>
      <c r="T1358" s="1" t="s">
        <v>74</v>
      </c>
      <c r="U1358" s="11" t="s">
        <v>3105</v>
      </c>
      <c r="V1358" s="1" t="s">
        <v>41</v>
      </c>
      <c r="W1358" s="1" t="s">
        <v>49</v>
      </c>
      <c r="X1358" s="13" t="str">
        <f>IF(RIGHT(H1358,2)&lt;&gt;"00",H1358,"")</f>
        <v/>
      </c>
      <c r="Y1358" s="2">
        <f ca="1">NETWORKDAYS(P1358,$Y$1)</f>
        <v>15</v>
      </c>
      <c r="Z1358" s="14">
        <v>1</v>
      </c>
      <c r="AA1358" s="1" t="str">
        <f t="shared" ca="1" si="105"/>
        <v>VENCIDO</v>
      </c>
      <c r="AB1358" s="1" t="str">
        <f t="shared" si="106"/>
        <v>Dosa</v>
      </c>
      <c r="AC1358" s="2" t="str">
        <f t="shared" si="107"/>
        <v xml:space="preserve"> ROSEMERE </v>
      </c>
      <c r="AD1358" s="2">
        <f t="shared" si="108"/>
        <v>5</v>
      </c>
      <c r="AE1358" s="2">
        <f t="shared" ca="1" si="109"/>
        <v>-7.0512716435187031</v>
      </c>
    </row>
    <row r="1359" spans="1:31" hidden="1">
      <c r="A1359" s="1">
        <v>9460151</v>
      </c>
      <c r="B1359" s="1" t="s">
        <v>1153</v>
      </c>
      <c r="C1359" t="s">
        <v>2654</v>
      </c>
      <c r="D1359" s="2">
        <v>20234844000423</v>
      </c>
      <c r="E1359" s="2">
        <v>7417163284187</v>
      </c>
      <c r="F1359" s="1" t="s">
        <v>131</v>
      </c>
      <c r="G1359" s="1" t="s">
        <v>53</v>
      </c>
      <c r="H1359" s="1" t="s">
        <v>2655</v>
      </c>
      <c r="I1359" s="1" t="s">
        <v>2656</v>
      </c>
      <c r="J1359" s="1" t="s">
        <v>46</v>
      </c>
      <c r="K1359" t="s">
        <v>132</v>
      </c>
      <c r="M1359" s="1" t="s">
        <v>58</v>
      </c>
      <c r="N1359" s="1">
        <v>0</v>
      </c>
      <c r="O1359" s="1" t="s">
        <v>36</v>
      </c>
      <c r="P1359" s="11" t="s">
        <v>2657</v>
      </c>
      <c r="R1359" s="1">
        <v>13</v>
      </c>
      <c r="T1359" s="1" t="s">
        <v>238</v>
      </c>
      <c r="U1359" s="11" t="s">
        <v>2657</v>
      </c>
      <c r="V1359" s="1" t="s">
        <v>41</v>
      </c>
      <c r="W1359" s="1" t="s">
        <v>49</v>
      </c>
      <c r="X1359" s="13" t="str">
        <f>IF(RIGHT(H1359,2)&lt;&gt;"00",H1359,"")</f>
        <v>4844.01</v>
      </c>
      <c r="Y1359" s="2">
        <f ca="1">NETWORKDAYS(P1359,$Y$1)</f>
        <v>15</v>
      </c>
      <c r="Z1359" s="14">
        <v>1</v>
      </c>
      <c r="AA1359" s="1" t="str">
        <f t="shared" ca="1" si="105"/>
        <v>VENCIDO</v>
      </c>
      <c r="AB1359" s="1" t="str">
        <f t="shared" si="106"/>
        <v>TAAe+</v>
      </c>
      <c r="AC1359" s="2" t="str">
        <f t="shared" si="107"/>
        <v xml:space="preserve"> CLEITON </v>
      </c>
      <c r="AD1359" s="2">
        <f t="shared" si="108"/>
        <v>8</v>
      </c>
      <c r="AE1359" s="2">
        <f t="shared" ca="1" si="109"/>
        <v>-20.028690624996671</v>
      </c>
    </row>
    <row r="1360" spans="1:31" hidden="1">
      <c r="A1360" s="1">
        <v>9460038</v>
      </c>
      <c r="B1360" s="1" t="s">
        <v>62</v>
      </c>
      <c r="C1360" t="s">
        <v>2658</v>
      </c>
      <c r="E1360" s="2">
        <v>5749000203000</v>
      </c>
      <c r="F1360" s="1" t="s">
        <v>454</v>
      </c>
      <c r="G1360" s="1" t="s">
        <v>53</v>
      </c>
      <c r="H1360" s="1" t="s">
        <v>1811</v>
      </c>
      <c r="I1360" s="1" t="s">
        <v>1812</v>
      </c>
      <c r="J1360" s="1" t="s">
        <v>33</v>
      </c>
      <c r="K1360" t="s">
        <v>457</v>
      </c>
      <c r="M1360" s="1" t="s">
        <v>58</v>
      </c>
      <c r="N1360" s="1">
        <v>0</v>
      </c>
      <c r="O1360" s="1" t="s">
        <v>36</v>
      </c>
      <c r="P1360" s="11" t="s">
        <v>2659</v>
      </c>
      <c r="R1360" s="1">
        <v>1</v>
      </c>
      <c r="T1360" s="1" t="s">
        <v>157</v>
      </c>
      <c r="U1360" s="11" t="s">
        <v>2660</v>
      </c>
      <c r="V1360" s="1" t="s">
        <v>41</v>
      </c>
      <c r="W1360" s="1" t="s">
        <v>42</v>
      </c>
      <c r="X1360" s="13" t="str">
        <f>IF(RIGHT(H1360,2)&lt;&gt;"00",H1360,"")</f>
        <v/>
      </c>
      <c r="Y1360" s="2">
        <f ca="1">NETWORKDAYS(P1360,$Y$1)</f>
        <v>15</v>
      </c>
      <c r="Z1360" s="14">
        <v>1</v>
      </c>
      <c r="AA1360" s="1" t="str">
        <f t="shared" ca="1" si="105"/>
        <v>A VENCER</v>
      </c>
      <c r="AB1360" s="1" t="str">
        <f t="shared" si="106"/>
        <v>C-14</v>
      </c>
      <c r="AC1360" s="2" t="str">
        <f t="shared" si="107"/>
        <v xml:space="preserve"> ROSEMERE </v>
      </c>
      <c r="AD1360" s="2">
        <f t="shared" si="108"/>
        <v>5</v>
      </c>
      <c r="AE1360" s="2">
        <f t="shared" ca="1" si="109"/>
        <v>16.073728356481297</v>
      </c>
    </row>
    <row r="1361" spans="1:31" hidden="1">
      <c r="A1361" s="1">
        <v>9459814</v>
      </c>
      <c r="B1361" s="1" t="s">
        <v>1153</v>
      </c>
      <c r="C1361" t="s">
        <v>2662</v>
      </c>
      <c r="D1361" s="2">
        <v>20234844000422</v>
      </c>
      <c r="E1361" s="2">
        <v>7419143321849</v>
      </c>
      <c r="F1361" s="1" t="s">
        <v>1222</v>
      </c>
      <c r="G1361" s="1" t="s">
        <v>53</v>
      </c>
      <c r="H1361" s="1" t="s">
        <v>2663</v>
      </c>
      <c r="I1361" s="1" t="s">
        <v>2664</v>
      </c>
      <c r="J1361" s="1" t="s">
        <v>46</v>
      </c>
      <c r="K1361" t="s">
        <v>1223</v>
      </c>
      <c r="M1361" s="1" t="s">
        <v>58</v>
      </c>
      <c r="N1361" s="1">
        <v>0</v>
      </c>
      <c r="O1361" s="1" t="s">
        <v>36</v>
      </c>
      <c r="P1361" s="11" t="s">
        <v>2665</v>
      </c>
      <c r="R1361" s="1">
        <v>13</v>
      </c>
      <c r="T1361" s="1" t="s">
        <v>238</v>
      </c>
      <c r="U1361" s="11" t="s">
        <v>2665</v>
      </c>
      <c r="V1361" s="1" t="s">
        <v>41</v>
      </c>
      <c r="W1361" s="1" t="s">
        <v>49</v>
      </c>
      <c r="X1361" s="13" t="str">
        <f>IF(RIGHT(H1361,2)&lt;&gt;"00",H1361,"")</f>
        <v>4844.75</v>
      </c>
      <c r="Y1361" s="2">
        <f ca="1">NETWORKDAYS(P1361,$Y$1)</f>
        <v>15</v>
      </c>
      <c r="Z1361" s="14">
        <v>1</v>
      </c>
      <c r="AA1361" s="1" t="str">
        <f t="shared" ca="1" si="105"/>
        <v>VENCIDO</v>
      </c>
      <c r="AB1361" s="1" t="str">
        <f t="shared" si="106"/>
        <v>TAAe+</v>
      </c>
      <c r="AC1361" s="2" t="str">
        <f t="shared" si="107"/>
        <v xml:space="preserve"> CLEITON </v>
      </c>
      <c r="AD1361" s="2">
        <f t="shared" si="108"/>
        <v>8</v>
      </c>
      <c r="AE1361" s="2">
        <f t="shared" ca="1" si="109"/>
        <v>-20.079894328700902</v>
      </c>
    </row>
    <row r="1362" spans="1:31" hidden="1">
      <c r="A1362" s="1">
        <v>9459750</v>
      </c>
      <c r="B1362" s="1" t="s">
        <v>1153</v>
      </c>
      <c r="C1362" t="s">
        <v>2666</v>
      </c>
      <c r="D1362" s="2">
        <v>230027043</v>
      </c>
      <c r="E1362" s="2">
        <v>2442001400020</v>
      </c>
      <c r="F1362" s="1" t="s">
        <v>1961</v>
      </c>
      <c r="G1362" s="1" t="s">
        <v>53</v>
      </c>
      <c r="H1362" s="1" t="s">
        <v>1956</v>
      </c>
      <c r="I1362" s="1" t="s">
        <v>1957</v>
      </c>
      <c r="J1362" s="1" t="s">
        <v>33</v>
      </c>
      <c r="K1362" t="s">
        <v>1962</v>
      </c>
      <c r="M1362" s="1" t="s">
        <v>58</v>
      </c>
      <c r="N1362" s="1">
        <v>0</v>
      </c>
      <c r="O1362" s="1" t="s">
        <v>36</v>
      </c>
      <c r="P1362" s="11" t="s">
        <v>2667</v>
      </c>
      <c r="R1362" s="1">
        <v>4</v>
      </c>
      <c r="T1362" s="1" t="s">
        <v>646</v>
      </c>
      <c r="U1362" s="11" t="s">
        <v>3639</v>
      </c>
      <c r="V1362" s="1" t="s">
        <v>41</v>
      </c>
      <c r="W1362" s="1" t="s">
        <v>42</v>
      </c>
      <c r="X1362" s="13" t="str">
        <f>IF(RIGHT(H1362,2)&lt;&gt;"00",H1362,"")</f>
        <v/>
      </c>
      <c r="Y1362" s="2">
        <f ca="1">NETWORKDAYS(P1362,$Y$1)</f>
        <v>15</v>
      </c>
      <c r="Z1362" s="14">
        <v>1</v>
      </c>
      <c r="AA1362" s="1" t="str">
        <f t="shared" ca="1" si="105"/>
        <v>VENCIDO</v>
      </c>
      <c r="AB1362" s="1" t="str">
        <f t="shared" si="106"/>
        <v>C-14</v>
      </c>
      <c r="AC1362" s="2" t="str">
        <f t="shared" si="107"/>
        <v xml:space="preserve"> ROSEMERE </v>
      </c>
      <c r="AD1362" s="2">
        <f t="shared" si="108"/>
        <v>5</v>
      </c>
      <c r="AE1362" s="2">
        <f t="shared" ca="1" si="109"/>
        <v>-2.2804383101829444</v>
      </c>
    </row>
    <row r="1363" spans="1:31" hidden="1">
      <c r="A1363" s="1">
        <v>9459631</v>
      </c>
      <c r="B1363" s="1" t="s">
        <v>1153</v>
      </c>
      <c r="C1363" t="s">
        <v>2668</v>
      </c>
      <c r="D1363" s="2">
        <v>20230922000025</v>
      </c>
      <c r="E1363" s="2">
        <v>7417163282959</v>
      </c>
      <c r="F1363" s="1" t="s">
        <v>131</v>
      </c>
      <c r="G1363" s="1" t="s">
        <v>53</v>
      </c>
      <c r="H1363" s="1" t="s">
        <v>2410</v>
      </c>
      <c r="I1363" s="1" t="s">
        <v>2411</v>
      </c>
      <c r="J1363" s="1" t="s">
        <v>261</v>
      </c>
      <c r="K1363" t="s">
        <v>132</v>
      </c>
      <c r="M1363" s="1" t="s">
        <v>58</v>
      </c>
      <c r="N1363" s="1">
        <v>0</v>
      </c>
      <c r="O1363" s="1" t="s">
        <v>36</v>
      </c>
      <c r="P1363" s="11" t="s">
        <v>2669</v>
      </c>
      <c r="R1363" s="1">
        <v>14</v>
      </c>
      <c r="T1363" s="1" t="s">
        <v>238</v>
      </c>
      <c r="U1363" s="11" t="s">
        <v>2669</v>
      </c>
      <c r="V1363" s="1" t="s">
        <v>41</v>
      </c>
      <c r="W1363" s="1" t="s">
        <v>49</v>
      </c>
      <c r="X1363" s="13" t="str">
        <f>IF(RIGHT(H1363,2)&lt;&gt;"00",H1363,"")</f>
        <v>0922.91</v>
      </c>
      <c r="Y1363" s="2">
        <f ca="1">NETWORKDAYS(P1363,$Y$1)</f>
        <v>15</v>
      </c>
      <c r="Z1363" s="14">
        <v>1</v>
      </c>
      <c r="AA1363" s="1" t="str">
        <f t="shared" ca="1" si="105"/>
        <v>VENCIDO</v>
      </c>
      <c r="AB1363" s="1" t="str">
        <f t="shared" si="106"/>
        <v>TAAe+</v>
      </c>
      <c r="AC1363" s="2" t="str">
        <f t="shared" si="107"/>
        <v xml:space="preserve"> CRISTINA </v>
      </c>
      <c r="AD1363" s="2">
        <f t="shared" si="108"/>
        <v>8</v>
      </c>
      <c r="AE1363" s="2">
        <f t="shared" ca="1" si="109"/>
        <v>-20.111491550924256</v>
      </c>
    </row>
    <row r="1364" spans="1:31" hidden="1">
      <c r="A1364" s="1">
        <v>9459206</v>
      </c>
      <c r="B1364" s="1" t="s">
        <v>1153</v>
      </c>
      <c r="C1364" t="s">
        <v>2672</v>
      </c>
      <c r="E1364" s="2">
        <v>1185000206001</v>
      </c>
      <c r="F1364" s="1" t="s">
        <v>29</v>
      </c>
      <c r="G1364" s="1" t="s">
        <v>53</v>
      </c>
      <c r="H1364" s="1" t="s">
        <v>539</v>
      </c>
      <c r="I1364" s="1" t="s">
        <v>540</v>
      </c>
      <c r="J1364" s="1" t="s">
        <v>33</v>
      </c>
      <c r="K1364" t="s">
        <v>34</v>
      </c>
      <c r="M1364" s="1" t="s">
        <v>35</v>
      </c>
      <c r="N1364" s="1">
        <v>42318949</v>
      </c>
      <c r="O1364" s="1" t="s">
        <v>36</v>
      </c>
      <c r="P1364" s="11" t="s">
        <v>3115</v>
      </c>
      <c r="R1364" s="1" t="s">
        <v>38</v>
      </c>
      <c r="T1364" s="1" t="s">
        <v>74</v>
      </c>
      <c r="U1364" s="11" t="s">
        <v>2516</v>
      </c>
      <c r="V1364" s="1" t="s">
        <v>41</v>
      </c>
      <c r="W1364" s="1" t="s">
        <v>42</v>
      </c>
      <c r="X1364" s="13" t="str">
        <f>IF(RIGHT(H1364,2)&lt;&gt;"00",H1364,"")</f>
        <v/>
      </c>
      <c r="Y1364" s="2">
        <f ca="1">NETWORKDAYS(P1364,$Y$1)</f>
        <v>15</v>
      </c>
      <c r="Z1364" s="14">
        <v>1</v>
      </c>
      <c r="AA1364" s="1" t="str">
        <f t="shared" ca="1" si="105"/>
        <v>VENCIDO</v>
      </c>
      <c r="AB1364" s="1" t="str">
        <f t="shared" si="106"/>
        <v>Dosa</v>
      </c>
      <c r="AC1364" s="2" t="str">
        <f t="shared" si="107"/>
        <v xml:space="preserve"> ROSEMERE </v>
      </c>
      <c r="AD1364" s="2">
        <f t="shared" si="108"/>
        <v>5</v>
      </c>
      <c r="AE1364" s="2">
        <f t="shared" ca="1" si="109"/>
        <v>-6.9679383101829444</v>
      </c>
    </row>
    <row r="1365" spans="1:31" hidden="1">
      <c r="A1365" s="1">
        <v>9459203</v>
      </c>
      <c r="B1365" s="1" t="s">
        <v>1153</v>
      </c>
      <c r="C1365" t="s">
        <v>2673</v>
      </c>
      <c r="D1365" s="2">
        <v>230026788</v>
      </c>
      <c r="E1365" s="2">
        <v>2830001400020</v>
      </c>
      <c r="F1365" s="1" t="s">
        <v>1961</v>
      </c>
      <c r="G1365" s="1" t="s">
        <v>53</v>
      </c>
      <c r="H1365" s="1" t="s">
        <v>448</v>
      </c>
      <c r="I1365" s="1" t="s">
        <v>449</v>
      </c>
      <c r="J1365" s="1" t="s">
        <v>33</v>
      </c>
      <c r="K1365" t="s">
        <v>1962</v>
      </c>
      <c r="M1365" s="1" t="s">
        <v>58</v>
      </c>
      <c r="N1365" s="1">
        <v>0</v>
      </c>
      <c r="O1365" s="1" t="s">
        <v>36</v>
      </c>
      <c r="P1365" s="11" t="s">
        <v>3116</v>
      </c>
      <c r="R1365" s="1">
        <v>4</v>
      </c>
      <c r="T1365" s="1" t="s">
        <v>646</v>
      </c>
      <c r="U1365" s="11" t="s">
        <v>3636</v>
      </c>
      <c r="V1365" s="1" t="s">
        <v>41</v>
      </c>
      <c r="W1365" s="1" t="s">
        <v>42</v>
      </c>
      <c r="X1365" s="13" t="str">
        <f>IF(RIGHT(H1365,2)&lt;&gt;"00",H1365,"")</f>
        <v/>
      </c>
      <c r="Y1365" s="2">
        <f ca="1">NETWORKDAYS(P1365,$Y$1)</f>
        <v>15</v>
      </c>
      <c r="Z1365" s="14">
        <v>1</v>
      </c>
      <c r="AA1365" s="1" t="str">
        <f t="shared" ca="1" si="105"/>
        <v>VENCIDO</v>
      </c>
      <c r="AB1365" s="1" t="str">
        <f t="shared" si="106"/>
        <v>C-14</v>
      </c>
      <c r="AC1365" s="2" t="str">
        <f t="shared" si="107"/>
        <v xml:space="preserve"> ROSEMERE </v>
      </c>
      <c r="AD1365" s="2">
        <f t="shared" si="108"/>
        <v>5</v>
      </c>
      <c r="AE1365" s="2">
        <f t="shared" ca="1" si="109"/>
        <v>-7.0304383101829444</v>
      </c>
    </row>
    <row r="1366" spans="1:31" hidden="1">
      <c r="A1366" s="1">
        <v>9459149</v>
      </c>
      <c r="B1366" s="1" t="s">
        <v>1153</v>
      </c>
      <c r="C1366" t="s">
        <v>2674</v>
      </c>
      <c r="E1366" s="2">
        <v>1052000203000</v>
      </c>
      <c r="F1366" s="1" t="s">
        <v>454</v>
      </c>
      <c r="G1366" s="1" t="s">
        <v>53</v>
      </c>
      <c r="H1366" s="1" t="s">
        <v>329</v>
      </c>
      <c r="I1366" s="1" t="s">
        <v>330</v>
      </c>
      <c r="J1366" s="1" t="s">
        <v>79</v>
      </c>
      <c r="K1366" t="s">
        <v>457</v>
      </c>
      <c r="M1366" s="1" t="s">
        <v>58</v>
      </c>
      <c r="N1366" s="1">
        <v>0</v>
      </c>
      <c r="O1366" s="1" t="s">
        <v>36</v>
      </c>
      <c r="P1366" s="11" t="s">
        <v>3117</v>
      </c>
      <c r="R1366" s="1">
        <v>1</v>
      </c>
      <c r="T1366" s="1" t="s">
        <v>157</v>
      </c>
      <c r="U1366" s="11" t="s">
        <v>3640</v>
      </c>
      <c r="V1366" s="1" t="s">
        <v>41</v>
      </c>
      <c r="W1366" s="1" t="s">
        <v>49</v>
      </c>
      <c r="X1366" s="13" t="str">
        <f>IF(RIGHT(H1366,2)&lt;&gt;"00",H1366,"")</f>
        <v/>
      </c>
      <c r="Y1366" s="2">
        <f ca="1">NETWORKDAYS(P1366,$Y$1)</f>
        <v>15</v>
      </c>
      <c r="Z1366" s="14">
        <v>1</v>
      </c>
      <c r="AA1366" s="1" t="str">
        <f t="shared" ca="1" si="105"/>
        <v>VENCIDO</v>
      </c>
      <c r="AB1366" s="1" t="str">
        <f t="shared" si="106"/>
        <v>C-14</v>
      </c>
      <c r="AC1366" s="2" t="str">
        <f t="shared" si="107"/>
        <v xml:space="preserve"> ROSEMERE </v>
      </c>
      <c r="AD1366" s="2">
        <f t="shared" si="108"/>
        <v>5</v>
      </c>
      <c r="AE1366" s="2">
        <f t="shared" ca="1" si="109"/>
        <v>-19.175426736110239</v>
      </c>
    </row>
    <row r="1367" spans="1:31">
      <c r="A1367" s="181">
        <v>9459066</v>
      </c>
      <c r="B1367" s="181" t="s">
        <v>1153</v>
      </c>
      <c r="C1367" s="185" t="s">
        <v>2675</v>
      </c>
      <c r="D1367" s="183"/>
      <c r="E1367" s="183">
        <v>2437000206001</v>
      </c>
      <c r="F1367" s="181" t="s">
        <v>29</v>
      </c>
      <c r="G1367" s="181" t="s">
        <v>53</v>
      </c>
      <c r="H1367" s="181" t="s">
        <v>416</v>
      </c>
      <c r="I1367" s="181" t="s">
        <v>417</v>
      </c>
      <c r="J1367" s="181" t="s">
        <v>211</v>
      </c>
      <c r="K1367" t="s">
        <v>34</v>
      </c>
      <c r="M1367" s="1" t="s">
        <v>35</v>
      </c>
      <c r="N1367" s="1">
        <v>42318949</v>
      </c>
      <c r="O1367" s="1" t="s">
        <v>36</v>
      </c>
      <c r="P1367" s="11" t="s">
        <v>3118</v>
      </c>
      <c r="R1367" s="1" t="s">
        <v>38</v>
      </c>
      <c r="T1367" s="1" t="s">
        <v>74</v>
      </c>
      <c r="U1367" s="11" t="s">
        <v>3641</v>
      </c>
      <c r="V1367" s="1" t="s">
        <v>41</v>
      </c>
      <c r="W1367" s="1" t="s">
        <v>49</v>
      </c>
      <c r="X1367" s="13" t="str">
        <f>IF(RIGHT(H1367,2)&lt;&gt;"00",H1367,"")</f>
        <v/>
      </c>
      <c r="Y1367" s="2">
        <f ca="1">NETWORKDAYS(P1367,$Y$1)</f>
        <v>15</v>
      </c>
      <c r="Z1367" s="14">
        <v>1</v>
      </c>
      <c r="AA1367" s="1" t="str">
        <f t="shared" ca="1" si="105"/>
        <v>VENCIDO</v>
      </c>
      <c r="AB1367" s="1" t="str">
        <f t="shared" si="106"/>
        <v>Dosa</v>
      </c>
      <c r="AC1367" s="2" t="str">
        <f t="shared" si="107"/>
        <v xml:space="preserve"> RINALDO </v>
      </c>
      <c r="AD1367" s="2">
        <f t="shared" si="108"/>
        <v>5</v>
      </c>
      <c r="AE1367" s="2">
        <f t="shared" ca="1" si="109"/>
        <v>-6.0686327546281973</v>
      </c>
    </row>
    <row r="1368" spans="1:31" hidden="1">
      <c r="A1368" s="1">
        <v>9458689</v>
      </c>
      <c r="B1368" s="1" t="s">
        <v>1153</v>
      </c>
      <c r="C1368" t="s">
        <v>2684</v>
      </c>
      <c r="D1368" s="2">
        <v>20234923000059</v>
      </c>
      <c r="E1368" s="2">
        <v>7417183022494</v>
      </c>
      <c r="F1368" s="1" t="s">
        <v>1313</v>
      </c>
      <c r="G1368" s="1" t="s">
        <v>53</v>
      </c>
      <c r="H1368" s="1" t="s">
        <v>2685</v>
      </c>
      <c r="I1368" s="1" t="s">
        <v>2686</v>
      </c>
      <c r="J1368" s="1" t="s">
        <v>46</v>
      </c>
      <c r="K1368" t="s">
        <v>1316</v>
      </c>
      <c r="M1368" s="1" t="s">
        <v>58</v>
      </c>
      <c r="N1368" s="1">
        <v>0</v>
      </c>
      <c r="O1368" s="1" t="s">
        <v>36</v>
      </c>
      <c r="P1368" s="11" t="s">
        <v>3121</v>
      </c>
      <c r="R1368" s="1">
        <v>14</v>
      </c>
      <c r="T1368" s="1" t="s">
        <v>238</v>
      </c>
      <c r="U1368" s="11" t="s">
        <v>3121</v>
      </c>
      <c r="V1368" s="1" t="s">
        <v>41</v>
      </c>
      <c r="W1368" s="1" t="s">
        <v>49</v>
      </c>
      <c r="X1368" s="13" t="str">
        <f>IF(RIGHT(H1368,2)&lt;&gt;"00",H1368,"")</f>
        <v>4923.03</v>
      </c>
      <c r="Y1368" s="2">
        <f ca="1">NETWORKDAYS(P1368,$Y$1)</f>
        <v>15</v>
      </c>
      <c r="Z1368" s="14">
        <v>1</v>
      </c>
      <c r="AA1368" s="1" t="str">
        <f t="shared" ca="1" si="105"/>
        <v>VENCIDO</v>
      </c>
      <c r="AB1368" s="1" t="str">
        <f t="shared" si="106"/>
        <v>TAAe+</v>
      </c>
      <c r="AC1368" s="2" t="str">
        <f t="shared" si="107"/>
        <v xml:space="preserve"> CLEITON </v>
      </c>
      <c r="AD1368" s="2">
        <f t="shared" si="108"/>
        <v>8</v>
      </c>
      <c r="AE1368" s="2">
        <f t="shared" ca="1" si="109"/>
        <v>-20.243898958331556</v>
      </c>
    </row>
    <row r="1369" spans="1:31" hidden="1">
      <c r="A1369" s="1">
        <v>9458399</v>
      </c>
      <c r="B1369" s="1" t="s">
        <v>1153</v>
      </c>
      <c r="C1369" t="s">
        <v>2693</v>
      </c>
      <c r="D1369" s="2">
        <v>20232388000002</v>
      </c>
      <c r="E1369" s="2">
        <v>7417172782988</v>
      </c>
      <c r="F1369" s="1" t="s">
        <v>1989</v>
      </c>
      <c r="G1369" s="1" t="s">
        <v>53</v>
      </c>
      <c r="H1369" s="1" t="s">
        <v>299</v>
      </c>
      <c r="I1369" s="1" t="s">
        <v>300</v>
      </c>
      <c r="J1369" s="1" t="s">
        <v>79</v>
      </c>
      <c r="K1369" t="s">
        <v>1990</v>
      </c>
      <c r="M1369" s="1" t="s">
        <v>58</v>
      </c>
      <c r="N1369" s="1">
        <v>0</v>
      </c>
      <c r="O1369" s="1" t="s">
        <v>36</v>
      </c>
      <c r="P1369" s="11" t="s">
        <v>3122</v>
      </c>
      <c r="R1369" s="1">
        <v>22</v>
      </c>
      <c r="T1369" s="1" t="s">
        <v>1160</v>
      </c>
      <c r="U1369" s="11" t="s">
        <v>3642</v>
      </c>
      <c r="V1369" s="1" t="s">
        <v>41</v>
      </c>
      <c r="W1369" s="1" t="s">
        <v>49</v>
      </c>
      <c r="X1369" s="13" t="str">
        <f>IF(RIGHT(H1369,2)&lt;&gt;"00",H1369,"")</f>
        <v/>
      </c>
      <c r="Y1369" s="2">
        <f ca="1">NETWORKDAYS(P1369,$Y$1)</f>
        <v>15</v>
      </c>
      <c r="Z1369" s="14">
        <v>1</v>
      </c>
      <c r="AA1369" s="1" t="str">
        <f t="shared" ca="1" si="105"/>
        <v>VENCIDO</v>
      </c>
      <c r="AB1369" s="1" t="str">
        <f t="shared" si="106"/>
        <v>TAAe+</v>
      </c>
      <c r="AC1369" s="2" t="str">
        <f t="shared" si="107"/>
        <v xml:space="preserve"> ROSEMERE </v>
      </c>
      <c r="AD1369" s="2">
        <f t="shared" si="108"/>
        <v>8</v>
      </c>
      <c r="AE1369" s="2">
        <f t="shared" ca="1" si="109"/>
        <v>-16.071618865738856</v>
      </c>
    </row>
    <row r="1370" spans="1:31" hidden="1">
      <c r="A1370" s="1">
        <v>9458312</v>
      </c>
      <c r="B1370" s="1" t="s">
        <v>1153</v>
      </c>
      <c r="C1370" t="s">
        <v>2694</v>
      </c>
      <c r="D1370" s="2">
        <v>20232442000020</v>
      </c>
      <c r="E1370" s="2">
        <v>7417163283361</v>
      </c>
      <c r="F1370" s="1" t="s">
        <v>131</v>
      </c>
      <c r="G1370" s="1" t="s">
        <v>53</v>
      </c>
      <c r="H1370" s="1" t="s">
        <v>2489</v>
      </c>
      <c r="I1370" s="1" t="s">
        <v>2490</v>
      </c>
      <c r="J1370" s="1" t="s">
        <v>33</v>
      </c>
      <c r="K1370" t="s">
        <v>132</v>
      </c>
      <c r="M1370" s="1" t="s">
        <v>58</v>
      </c>
      <c r="N1370" s="1">
        <v>0</v>
      </c>
      <c r="O1370" s="1" t="s">
        <v>36</v>
      </c>
      <c r="P1370" s="11" t="s">
        <v>2695</v>
      </c>
      <c r="R1370" s="1">
        <v>15</v>
      </c>
      <c r="T1370" s="1" t="s">
        <v>238</v>
      </c>
      <c r="U1370" s="11" t="s">
        <v>2696</v>
      </c>
      <c r="V1370" s="1" t="s">
        <v>41</v>
      </c>
      <c r="W1370" s="1" t="s">
        <v>42</v>
      </c>
      <c r="X1370" s="13" t="str">
        <f>IF(RIGHT(H1370,2)&lt;&gt;"00",H1370,"")</f>
        <v>2442.91</v>
      </c>
      <c r="Y1370" s="2">
        <f ca="1">NETWORKDAYS(P1370,$Y$1)</f>
        <v>15</v>
      </c>
      <c r="Z1370" s="14">
        <v>1</v>
      </c>
      <c r="AA1370" s="1" t="str">
        <f t="shared" ca="1" si="105"/>
        <v>VENCIDO</v>
      </c>
      <c r="AB1370" s="1" t="str">
        <f t="shared" si="106"/>
        <v>TAAe+</v>
      </c>
      <c r="AC1370" s="2" t="str">
        <f t="shared" si="107"/>
        <v xml:space="preserve"> ROSEMERE </v>
      </c>
      <c r="AD1370" s="2">
        <f t="shared" si="108"/>
        <v>8</v>
      </c>
      <c r="AE1370" s="2">
        <f t="shared" ca="1" si="109"/>
        <v>-20.259604976854462</v>
      </c>
    </row>
    <row r="1371" spans="1:31" hidden="1">
      <c r="A1371" s="1">
        <v>9458173</v>
      </c>
      <c r="B1371" s="1" t="s">
        <v>1153</v>
      </c>
      <c r="C1371" t="s">
        <v>2697</v>
      </c>
      <c r="D1371" s="2">
        <v>20234804001469</v>
      </c>
      <c r="E1371" s="2">
        <v>7417193471170</v>
      </c>
      <c r="F1371" s="1" t="s">
        <v>2698</v>
      </c>
      <c r="G1371" s="1" t="s">
        <v>53</v>
      </c>
      <c r="H1371" s="1" t="s">
        <v>2699</v>
      </c>
      <c r="I1371" s="1" t="s">
        <v>2700</v>
      </c>
      <c r="J1371" s="1" t="s">
        <v>46</v>
      </c>
      <c r="K1371" t="s">
        <v>2701</v>
      </c>
      <c r="M1371" s="1" t="s">
        <v>58</v>
      </c>
      <c r="N1371" s="1">
        <v>0</v>
      </c>
      <c r="O1371" s="1" t="s">
        <v>36</v>
      </c>
      <c r="P1371" s="11" t="s">
        <v>2702</v>
      </c>
      <c r="R1371" s="1">
        <v>13</v>
      </c>
      <c r="S1371" s="1">
        <v>4804</v>
      </c>
      <c r="T1371" s="1" t="s">
        <v>238</v>
      </c>
      <c r="U1371" s="11" t="s">
        <v>2577</v>
      </c>
      <c r="V1371" s="1" t="s">
        <v>41</v>
      </c>
      <c r="W1371" s="1" t="s">
        <v>49</v>
      </c>
      <c r="X1371" s="13" t="str">
        <f>IF(RIGHT(H1371,2)&lt;&gt;"00",H1371,"")</f>
        <v>4357.03</v>
      </c>
      <c r="Y1371" s="2">
        <f ca="1">NETWORKDAYS(P1371,$Y$1)</f>
        <v>15</v>
      </c>
      <c r="Z1371" s="14">
        <v>1</v>
      </c>
      <c r="AA1371" s="1" t="str">
        <f t="shared" ca="1" si="105"/>
        <v>VENCIDO</v>
      </c>
      <c r="AB1371" s="1" t="str">
        <f t="shared" si="106"/>
        <v>TAAe+</v>
      </c>
      <c r="AC1371" s="2" t="str">
        <f t="shared" si="107"/>
        <v xml:space="preserve"> CLEITON </v>
      </c>
      <c r="AD1371" s="2">
        <f t="shared" si="108"/>
        <v>8</v>
      </c>
      <c r="AE1371" s="2">
        <f t="shared" ca="1" si="109"/>
        <v>-20.280438310182944</v>
      </c>
    </row>
    <row r="1372" spans="1:31">
      <c r="A1372" s="173">
        <v>9465880</v>
      </c>
      <c r="B1372" s="173" t="s">
        <v>1153</v>
      </c>
      <c r="C1372" s="178" t="s">
        <v>3495</v>
      </c>
      <c r="D1372" s="174">
        <v>230027811</v>
      </c>
      <c r="E1372" s="174">
        <v>68001400030</v>
      </c>
      <c r="F1372" s="173" t="s">
        <v>647</v>
      </c>
      <c r="G1372" s="173" t="s">
        <v>53</v>
      </c>
      <c r="H1372" s="173" t="s">
        <v>1330</v>
      </c>
      <c r="I1372" s="173" t="s">
        <v>1331</v>
      </c>
      <c r="J1372" s="173" t="s">
        <v>211</v>
      </c>
      <c r="K1372" t="s">
        <v>650</v>
      </c>
      <c r="M1372" s="1" t="s">
        <v>58</v>
      </c>
      <c r="N1372" s="1">
        <v>0</v>
      </c>
      <c r="O1372" s="1" t="s">
        <v>36</v>
      </c>
      <c r="P1372" s="11" t="s">
        <v>2705</v>
      </c>
      <c r="R1372" s="1">
        <v>4</v>
      </c>
      <c r="T1372" s="1" t="s">
        <v>646</v>
      </c>
      <c r="U1372" s="186">
        <v>44981.708333333336</v>
      </c>
      <c r="V1372" s="1" t="s">
        <v>41</v>
      </c>
      <c r="W1372" s="1" t="s">
        <v>49</v>
      </c>
      <c r="X1372" s="13" t="str">
        <f>IF(RIGHT(H1372,2)&lt;&gt;"00",H1372,"")</f>
        <v/>
      </c>
      <c r="Y1372" s="2">
        <f ca="1">NETWORKDAYS(P1372,$Y$1)</f>
        <v>14</v>
      </c>
      <c r="Z1372" s="14">
        <v>1</v>
      </c>
      <c r="AA1372" s="1" t="str">
        <f t="shared" ca="1" si="105"/>
        <v>VENCIDO</v>
      </c>
      <c r="AB1372" s="1" t="str">
        <f t="shared" si="106"/>
        <v>C-14</v>
      </c>
      <c r="AC1372" s="2" t="str">
        <f t="shared" si="107"/>
        <v xml:space="preserve"> RINALDO </v>
      </c>
      <c r="AD1372" s="2">
        <f t="shared" si="108"/>
        <v>15</v>
      </c>
      <c r="AE1372" s="2">
        <f t="shared" ca="1" si="109"/>
        <v>-4.9679383101829444</v>
      </c>
    </row>
    <row r="1373" spans="1:31">
      <c r="A1373" s="173">
        <v>9465855</v>
      </c>
      <c r="B1373" s="173" t="s">
        <v>1153</v>
      </c>
      <c r="C1373" s="178" t="s">
        <v>3496</v>
      </c>
      <c r="D1373" s="174">
        <v>230027810</v>
      </c>
      <c r="E1373" s="174">
        <v>68001400030</v>
      </c>
      <c r="F1373" s="173" t="s">
        <v>647</v>
      </c>
      <c r="G1373" s="173" t="s">
        <v>53</v>
      </c>
      <c r="H1373" s="173" t="s">
        <v>1330</v>
      </c>
      <c r="I1373" s="173" t="s">
        <v>1331</v>
      </c>
      <c r="J1373" s="173" t="s">
        <v>211</v>
      </c>
      <c r="K1373" t="s">
        <v>650</v>
      </c>
      <c r="M1373" s="1" t="s">
        <v>58</v>
      </c>
      <c r="N1373" s="1">
        <v>0</v>
      </c>
      <c r="O1373" s="1" t="s">
        <v>36</v>
      </c>
      <c r="P1373" s="11" t="s">
        <v>2707</v>
      </c>
      <c r="R1373" s="1">
        <v>4</v>
      </c>
      <c r="T1373" s="1" t="s">
        <v>646</v>
      </c>
      <c r="U1373" s="11" t="s">
        <v>2449</v>
      </c>
      <c r="V1373" s="1" t="s">
        <v>41</v>
      </c>
      <c r="W1373" s="1" t="s">
        <v>49</v>
      </c>
      <c r="X1373" s="13" t="str">
        <f>IF(RIGHT(H1373,2)&lt;&gt;"00",H1373,"")</f>
        <v/>
      </c>
      <c r="Y1373" s="2">
        <f ca="1">NETWORKDAYS(P1373,$Y$1)</f>
        <v>14</v>
      </c>
      <c r="Z1373" s="14">
        <v>1</v>
      </c>
      <c r="AA1373" s="1" t="str">
        <f t="shared" ca="1" si="105"/>
        <v>VENCIDO</v>
      </c>
      <c r="AB1373" s="1" t="str">
        <f t="shared" si="106"/>
        <v>C-14</v>
      </c>
      <c r="AC1373" s="2" t="str">
        <f t="shared" si="107"/>
        <v xml:space="preserve"> RINALDO </v>
      </c>
      <c r="AD1373" s="2">
        <f t="shared" si="108"/>
        <v>15</v>
      </c>
      <c r="AE1373" s="2">
        <f t="shared" ca="1" si="109"/>
        <v>-4.9679383101829444</v>
      </c>
    </row>
    <row r="1374" spans="1:31" hidden="1">
      <c r="A1374" s="1">
        <v>9465602</v>
      </c>
      <c r="B1374" s="1" t="s">
        <v>1153</v>
      </c>
      <c r="C1374" t="s">
        <v>2708</v>
      </c>
      <c r="D1374" s="2">
        <v>230027784</v>
      </c>
      <c r="E1374" s="2">
        <v>2335001400030</v>
      </c>
      <c r="F1374" s="1" t="s">
        <v>647</v>
      </c>
      <c r="G1374" s="1" t="s">
        <v>53</v>
      </c>
      <c r="H1374" s="1" t="s">
        <v>194</v>
      </c>
      <c r="I1374" s="1" t="s">
        <v>195</v>
      </c>
      <c r="J1374" s="1" t="s">
        <v>261</v>
      </c>
      <c r="K1374" t="s">
        <v>650</v>
      </c>
      <c r="M1374" s="1" t="s">
        <v>58</v>
      </c>
      <c r="N1374" s="1">
        <v>0</v>
      </c>
      <c r="O1374" s="1" t="s">
        <v>36</v>
      </c>
      <c r="P1374" s="11" t="s">
        <v>2709</v>
      </c>
      <c r="R1374" s="1">
        <v>4</v>
      </c>
      <c r="T1374" s="1" t="s">
        <v>646</v>
      </c>
      <c r="U1374" s="11" t="s">
        <v>2710</v>
      </c>
      <c r="V1374" s="1" t="s">
        <v>41</v>
      </c>
      <c r="W1374" s="1" t="s">
        <v>49</v>
      </c>
      <c r="X1374" s="13" t="str">
        <f>IF(RIGHT(H1374,2)&lt;&gt;"00",H1374,"")</f>
        <v/>
      </c>
      <c r="Y1374" s="2">
        <f ca="1">NETWORKDAYS(P1374,$Y$1)</f>
        <v>14</v>
      </c>
      <c r="Z1374" s="14">
        <v>1</v>
      </c>
      <c r="AA1374" s="1" t="str">
        <f t="shared" ca="1" si="105"/>
        <v>VENCIDO</v>
      </c>
      <c r="AB1374" s="1" t="str">
        <f t="shared" si="106"/>
        <v>C-14</v>
      </c>
      <c r="AC1374" s="2" t="str">
        <f t="shared" si="107"/>
        <v xml:space="preserve"> CRISTINA </v>
      </c>
      <c r="AD1374" s="2">
        <f t="shared" si="108"/>
        <v>15</v>
      </c>
      <c r="AE1374" s="2">
        <f t="shared" ca="1" si="109"/>
        <v>-12.947104976854462</v>
      </c>
    </row>
    <row r="1375" spans="1:31" hidden="1">
      <c r="A1375" s="1">
        <v>9465308</v>
      </c>
      <c r="B1375" s="1" t="s">
        <v>1153</v>
      </c>
      <c r="C1375" t="s">
        <v>2715</v>
      </c>
      <c r="D1375" s="2">
        <v>20230233000016</v>
      </c>
      <c r="E1375" s="2">
        <v>7417161480635</v>
      </c>
      <c r="F1375" s="1" t="s">
        <v>1979</v>
      </c>
      <c r="G1375" s="1" t="s">
        <v>53</v>
      </c>
      <c r="H1375" s="1" t="s">
        <v>2716</v>
      </c>
      <c r="I1375" s="1" t="s">
        <v>2717</v>
      </c>
      <c r="J1375" s="1" t="s">
        <v>261</v>
      </c>
      <c r="K1375" t="s">
        <v>1982</v>
      </c>
      <c r="M1375" s="1" t="s">
        <v>58</v>
      </c>
      <c r="N1375" s="1">
        <v>0</v>
      </c>
      <c r="O1375" s="1" t="s">
        <v>36</v>
      </c>
      <c r="P1375" s="11" t="s">
        <v>3125</v>
      </c>
      <c r="R1375" s="1">
        <v>14</v>
      </c>
      <c r="T1375" s="1" t="s">
        <v>238</v>
      </c>
      <c r="U1375" s="11" t="s">
        <v>3125</v>
      </c>
      <c r="V1375" s="1" t="s">
        <v>41</v>
      </c>
      <c r="W1375" s="1" t="s">
        <v>49</v>
      </c>
      <c r="X1375" s="13" t="str">
        <f>IF(RIGHT(H1375,2)&lt;&gt;"00",H1375,"")</f>
        <v>0233.91</v>
      </c>
      <c r="Y1375" s="2">
        <f ca="1">NETWORKDAYS(P1375,$Y$1)</f>
        <v>14</v>
      </c>
      <c r="Z1375" s="14">
        <v>1</v>
      </c>
      <c r="AA1375" s="1" t="str">
        <f t="shared" ca="1" si="105"/>
        <v>VENCIDO</v>
      </c>
      <c r="AB1375" s="1" t="str">
        <f t="shared" si="106"/>
        <v>TAAe+</v>
      </c>
      <c r="AC1375" s="2" t="str">
        <f t="shared" si="107"/>
        <v xml:space="preserve"> CRISTINA </v>
      </c>
      <c r="AD1375" s="2">
        <f t="shared" si="108"/>
        <v>8</v>
      </c>
      <c r="AE1375" s="2">
        <f t="shared" ca="1" si="109"/>
        <v>-19.001815625000745</v>
      </c>
    </row>
    <row r="1376" spans="1:31" hidden="1">
      <c r="A1376" s="1">
        <v>9465182</v>
      </c>
      <c r="B1376" s="1" t="s">
        <v>1153</v>
      </c>
      <c r="C1376" t="s">
        <v>2721</v>
      </c>
      <c r="D1376" s="2">
        <v>230027724</v>
      </c>
      <c r="E1376" s="2">
        <v>1049001400010</v>
      </c>
      <c r="F1376" s="1" t="s">
        <v>936</v>
      </c>
      <c r="G1376" s="1" t="s">
        <v>53</v>
      </c>
      <c r="H1376" s="1" t="s">
        <v>169</v>
      </c>
      <c r="I1376" s="1" t="s">
        <v>170</v>
      </c>
      <c r="J1376" s="1" t="s">
        <v>164</v>
      </c>
      <c r="K1376" t="s">
        <v>937</v>
      </c>
      <c r="M1376" s="1" t="s">
        <v>58</v>
      </c>
      <c r="N1376" s="1">
        <v>0</v>
      </c>
      <c r="O1376" s="1" t="s">
        <v>36</v>
      </c>
      <c r="P1376" s="11" t="s">
        <v>2722</v>
      </c>
      <c r="R1376" s="1">
        <v>3</v>
      </c>
      <c r="T1376" s="1" t="s">
        <v>646</v>
      </c>
      <c r="U1376" s="11" t="s">
        <v>3643</v>
      </c>
      <c r="V1376" s="1" t="s">
        <v>41</v>
      </c>
      <c r="W1376" s="1" t="s">
        <v>49</v>
      </c>
      <c r="X1376" s="13" t="str">
        <f>IF(RIGHT(H1376,2)&lt;&gt;"00",H1376,"")</f>
        <v/>
      </c>
      <c r="Y1376" s="2">
        <f ca="1">NETWORKDAYS(P1376,$Y$1)</f>
        <v>14</v>
      </c>
      <c r="Z1376" s="14">
        <v>1</v>
      </c>
      <c r="AA1376" s="1" t="str">
        <f t="shared" ca="1" si="105"/>
        <v>A VENCER</v>
      </c>
      <c r="AB1376" s="1" t="str">
        <f t="shared" si="106"/>
        <v>C-14</v>
      </c>
      <c r="AC1376" s="2" t="str">
        <f t="shared" si="107"/>
        <v xml:space="preserve"> ROSEMERE </v>
      </c>
      <c r="AD1376" s="2">
        <f t="shared" si="108"/>
        <v>5</v>
      </c>
      <c r="AE1376" s="2">
        <f t="shared" ca="1" si="109"/>
        <v>0.92789502314553829</v>
      </c>
    </row>
    <row r="1377" spans="1:31" hidden="1">
      <c r="A1377" s="1">
        <v>9465086</v>
      </c>
      <c r="B1377" s="1" t="s">
        <v>1153</v>
      </c>
      <c r="C1377" t="s">
        <v>2725</v>
      </c>
      <c r="E1377" s="2">
        <v>2802000203000</v>
      </c>
      <c r="F1377" s="1" t="s">
        <v>454</v>
      </c>
      <c r="G1377" s="1" t="s">
        <v>53</v>
      </c>
      <c r="H1377" s="1" t="s">
        <v>388</v>
      </c>
      <c r="I1377" s="1" t="s">
        <v>389</v>
      </c>
      <c r="J1377" s="1" t="s">
        <v>46</v>
      </c>
      <c r="K1377" t="s">
        <v>457</v>
      </c>
      <c r="M1377" s="1" t="s">
        <v>58</v>
      </c>
      <c r="N1377" s="1">
        <v>0</v>
      </c>
      <c r="O1377" s="1" t="s">
        <v>36</v>
      </c>
      <c r="P1377" s="11" t="s">
        <v>3128</v>
      </c>
      <c r="R1377" s="1">
        <v>1</v>
      </c>
      <c r="T1377" s="1" t="s">
        <v>157</v>
      </c>
      <c r="U1377" s="11" t="s">
        <v>3644</v>
      </c>
      <c r="V1377" s="1" t="s">
        <v>41</v>
      </c>
      <c r="W1377" s="1" t="s">
        <v>49</v>
      </c>
      <c r="X1377" s="13" t="str">
        <f>IF(RIGHT(H1377,2)&lt;&gt;"00",H1377,"")</f>
        <v/>
      </c>
      <c r="Y1377" s="2">
        <f ca="1">NETWORKDAYS(P1377,$Y$1)</f>
        <v>14</v>
      </c>
      <c r="Z1377" s="14">
        <v>1</v>
      </c>
      <c r="AA1377" s="1" t="str">
        <f t="shared" ca="1" si="105"/>
        <v>VENCIDO</v>
      </c>
      <c r="AB1377" s="1" t="str">
        <f t="shared" si="106"/>
        <v>C-14</v>
      </c>
      <c r="AC1377" s="2" t="str">
        <f t="shared" si="107"/>
        <v xml:space="preserve"> CLEITON </v>
      </c>
      <c r="AD1377" s="2">
        <f t="shared" si="108"/>
        <v>5</v>
      </c>
      <c r="AE1377" s="2">
        <f t="shared" ca="1" si="109"/>
        <v>-18.019269328702649</v>
      </c>
    </row>
    <row r="1378" spans="1:31" hidden="1">
      <c r="A1378" s="1">
        <v>9464931</v>
      </c>
      <c r="B1378" s="1" t="s">
        <v>1153</v>
      </c>
      <c r="C1378" t="s">
        <v>2726</v>
      </c>
      <c r="D1378" s="2">
        <v>230027675</v>
      </c>
      <c r="E1378" s="2">
        <v>2257001400010</v>
      </c>
      <c r="F1378" s="1" t="s">
        <v>936</v>
      </c>
      <c r="G1378" s="1" t="s">
        <v>53</v>
      </c>
      <c r="H1378" s="1" t="s">
        <v>381</v>
      </c>
      <c r="I1378" s="1" t="s">
        <v>382</v>
      </c>
      <c r="J1378" s="1" t="s">
        <v>110</v>
      </c>
      <c r="K1378" t="s">
        <v>937</v>
      </c>
      <c r="M1378" s="1" t="s">
        <v>58</v>
      </c>
      <c r="N1378" s="1">
        <v>0</v>
      </c>
      <c r="O1378" s="1" t="s">
        <v>36</v>
      </c>
      <c r="P1378" s="11" t="s">
        <v>3129</v>
      </c>
      <c r="R1378" s="1">
        <v>3</v>
      </c>
      <c r="T1378" s="1" t="s">
        <v>646</v>
      </c>
      <c r="U1378" s="186">
        <v>44985.6875</v>
      </c>
      <c r="V1378" s="1" t="s">
        <v>41</v>
      </c>
      <c r="W1378" s="1" t="s">
        <v>49</v>
      </c>
      <c r="X1378" s="13" t="str">
        <f>IF(RIGHT(H1378,2)&lt;&gt;"00",H1378,"")</f>
        <v/>
      </c>
      <c r="Y1378" s="2">
        <f ca="1">NETWORKDAYS(P1378,$Y$1)</f>
        <v>14</v>
      </c>
      <c r="Z1378" s="14">
        <v>1</v>
      </c>
      <c r="AA1378" s="1" t="str">
        <f t="shared" ca="1" si="105"/>
        <v>VENCIDO</v>
      </c>
      <c r="AB1378" s="1" t="str">
        <f t="shared" si="106"/>
        <v>C-14</v>
      </c>
      <c r="AC1378" s="2" t="str">
        <f t="shared" si="107"/>
        <v xml:space="preserve"> CRISTINA </v>
      </c>
      <c r="AD1378" s="2">
        <f t="shared" si="108"/>
        <v>5</v>
      </c>
      <c r="AE1378" s="2">
        <f t="shared" ca="1" si="109"/>
        <v>-0.98877164351870306</v>
      </c>
    </row>
    <row r="1379" spans="1:31" hidden="1">
      <c r="A1379" s="1">
        <v>9464595</v>
      </c>
      <c r="B1379" s="1" t="s">
        <v>81</v>
      </c>
      <c r="C1379" t="s">
        <v>2733</v>
      </c>
      <c r="E1379" s="2">
        <v>2564000206001</v>
      </c>
      <c r="F1379" s="1" t="s">
        <v>29</v>
      </c>
      <c r="G1379" s="1" t="s">
        <v>53</v>
      </c>
      <c r="H1379" s="1" t="s">
        <v>255</v>
      </c>
      <c r="I1379" s="1" t="s">
        <v>256</v>
      </c>
      <c r="J1379" s="1" t="s">
        <v>164</v>
      </c>
      <c r="K1379" t="s">
        <v>34</v>
      </c>
      <c r="M1379" s="1" t="s">
        <v>35</v>
      </c>
      <c r="N1379" s="1">
        <v>42318949</v>
      </c>
      <c r="O1379" s="1" t="s">
        <v>105</v>
      </c>
      <c r="P1379" s="11" t="s">
        <v>2734</v>
      </c>
      <c r="R1379" s="1" t="s">
        <v>38</v>
      </c>
      <c r="T1379" s="1" t="s">
        <v>74</v>
      </c>
      <c r="U1379" s="186">
        <v>44968.590173611112</v>
      </c>
      <c r="V1379" s="1" t="s">
        <v>41</v>
      </c>
      <c r="W1379" s="1" t="s">
        <v>49</v>
      </c>
      <c r="X1379" s="13" t="str">
        <f>IF(RIGHT(H1379,2)&lt;&gt;"00",H1379,"")</f>
        <v/>
      </c>
      <c r="Y1379" s="2">
        <f ca="1">NETWORKDAYS(P1379,$Y$1)</f>
        <v>14</v>
      </c>
      <c r="Z1379" s="14">
        <v>1</v>
      </c>
      <c r="AA1379" s="1" t="str">
        <f t="shared" ca="1" si="105"/>
        <v>VENCIDO</v>
      </c>
      <c r="AB1379" s="1" t="str">
        <f t="shared" si="106"/>
        <v>Dosa</v>
      </c>
      <c r="AC1379" s="2" t="str">
        <f t="shared" si="107"/>
        <v xml:space="preserve"> ROSEMERE </v>
      </c>
      <c r="AD1379" s="2">
        <f t="shared" si="108"/>
        <v>5</v>
      </c>
      <c r="AE1379" s="2">
        <f t="shared" ca="1" si="109"/>
        <v>-18.086098032406881</v>
      </c>
    </row>
    <row r="1380" spans="1:31" hidden="1">
      <c r="A1380" s="1">
        <v>9464594</v>
      </c>
      <c r="B1380" s="1" t="s">
        <v>81</v>
      </c>
      <c r="C1380" t="s">
        <v>2733</v>
      </c>
      <c r="E1380" s="2">
        <v>2559000206001</v>
      </c>
      <c r="F1380" s="1" t="s">
        <v>29</v>
      </c>
      <c r="G1380" s="1" t="s">
        <v>53</v>
      </c>
      <c r="H1380" s="1" t="s">
        <v>259</v>
      </c>
      <c r="I1380" s="1" t="s">
        <v>260</v>
      </c>
      <c r="J1380" s="1" t="s">
        <v>261</v>
      </c>
      <c r="K1380" t="s">
        <v>34</v>
      </c>
      <c r="M1380" s="1" t="s">
        <v>35</v>
      </c>
      <c r="N1380" s="1">
        <v>42318949</v>
      </c>
      <c r="O1380" s="1" t="s">
        <v>105</v>
      </c>
      <c r="P1380" s="11" t="s">
        <v>2734</v>
      </c>
      <c r="R1380" s="1" t="s">
        <v>38</v>
      </c>
      <c r="T1380" s="1" t="s">
        <v>74</v>
      </c>
      <c r="U1380" s="186">
        <v>44968.590173611112</v>
      </c>
      <c r="V1380" s="1" t="s">
        <v>41</v>
      </c>
      <c r="W1380" s="1" t="s">
        <v>49</v>
      </c>
      <c r="X1380" s="13" t="str">
        <f>IF(RIGHT(H1380,2)&lt;&gt;"00",H1380,"")</f>
        <v/>
      </c>
      <c r="Y1380" s="2">
        <f ca="1">NETWORKDAYS(P1380,$Y$1)</f>
        <v>14</v>
      </c>
      <c r="Z1380" s="14">
        <v>1</v>
      </c>
      <c r="AA1380" s="1" t="str">
        <f t="shared" ca="1" si="105"/>
        <v>VENCIDO</v>
      </c>
      <c r="AB1380" s="1" t="str">
        <f t="shared" si="106"/>
        <v>Dosa</v>
      </c>
      <c r="AC1380" s="2" t="str">
        <f t="shared" si="107"/>
        <v xml:space="preserve"> CRISTINA </v>
      </c>
      <c r="AD1380" s="2">
        <f t="shared" si="108"/>
        <v>5</v>
      </c>
      <c r="AE1380" s="2">
        <f t="shared" ca="1" si="109"/>
        <v>-18.086098032406881</v>
      </c>
    </row>
    <row r="1381" spans="1:31" hidden="1">
      <c r="A1381" s="1">
        <v>9464591</v>
      </c>
      <c r="B1381" s="1" t="s">
        <v>81</v>
      </c>
      <c r="C1381" t="s">
        <v>2733</v>
      </c>
      <c r="E1381" s="2">
        <v>2257000206001</v>
      </c>
      <c r="F1381" s="1" t="s">
        <v>29</v>
      </c>
      <c r="G1381" s="1" t="s">
        <v>53</v>
      </c>
      <c r="H1381" s="1" t="s">
        <v>381</v>
      </c>
      <c r="I1381" s="1" t="s">
        <v>382</v>
      </c>
      <c r="J1381" s="1" t="s">
        <v>110</v>
      </c>
      <c r="K1381" t="s">
        <v>34</v>
      </c>
      <c r="M1381" s="1" t="s">
        <v>35</v>
      </c>
      <c r="N1381" s="1">
        <v>42318949</v>
      </c>
      <c r="O1381" s="1" t="s">
        <v>105</v>
      </c>
      <c r="P1381" s="11" t="s">
        <v>3132</v>
      </c>
      <c r="R1381" s="1" t="s">
        <v>38</v>
      </c>
      <c r="T1381" s="1" t="s">
        <v>74</v>
      </c>
      <c r="U1381" s="186">
        <v>44968.590162037035</v>
      </c>
      <c r="V1381" s="1" t="s">
        <v>41</v>
      </c>
      <c r="W1381" s="1" t="s">
        <v>49</v>
      </c>
      <c r="X1381" s="13" t="str">
        <f>IF(RIGHT(H1381,2)&lt;&gt;"00",H1381,"")</f>
        <v/>
      </c>
      <c r="Y1381" s="2">
        <f ca="1">NETWORKDAYS(P1381,$Y$1)</f>
        <v>14</v>
      </c>
      <c r="Z1381" s="14">
        <v>1</v>
      </c>
      <c r="AA1381" s="1" t="str">
        <f t="shared" ca="1" si="105"/>
        <v>VENCIDO</v>
      </c>
      <c r="AB1381" s="1" t="str">
        <f t="shared" si="106"/>
        <v>Dosa</v>
      </c>
      <c r="AC1381" s="2" t="str">
        <f t="shared" si="107"/>
        <v xml:space="preserve"> CRISTINA </v>
      </c>
      <c r="AD1381" s="2">
        <f t="shared" si="108"/>
        <v>5</v>
      </c>
      <c r="AE1381" s="2">
        <f t="shared" ca="1" si="109"/>
        <v>-18.08610960648366</v>
      </c>
    </row>
    <row r="1382" spans="1:31" hidden="1">
      <c r="A1382" s="1">
        <v>9464589</v>
      </c>
      <c r="B1382" s="1" t="s">
        <v>81</v>
      </c>
      <c r="C1382" t="s">
        <v>2733</v>
      </c>
      <c r="E1382" s="2">
        <v>2156000206001</v>
      </c>
      <c r="F1382" s="1" t="s">
        <v>29</v>
      </c>
      <c r="G1382" s="1" t="s">
        <v>53</v>
      </c>
      <c r="H1382" s="1" t="s">
        <v>278</v>
      </c>
      <c r="I1382" s="1" t="s">
        <v>279</v>
      </c>
      <c r="J1382" s="1" t="s">
        <v>211</v>
      </c>
      <c r="K1382" t="s">
        <v>34</v>
      </c>
      <c r="M1382" s="1" t="s">
        <v>35</v>
      </c>
      <c r="N1382" s="1">
        <v>42318949</v>
      </c>
      <c r="O1382" s="1" t="s">
        <v>36</v>
      </c>
      <c r="P1382" s="11" t="s">
        <v>3132</v>
      </c>
      <c r="R1382" s="1" t="s">
        <v>38</v>
      </c>
      <c r="T1382" s="1" t="s">
        <v>74</v>
      </c>
      <c r="U1382" s="186">
        <v>44968.590162037035</v>
      </c>
      <c r="V1382" s="1" t="s">
        <v>41</v>
      </c>
      <c r="W1382" s="1" t="s">
        <v>49</v>
      </c>
      <c r="X1382" s="13" t="str">
        <f>IF(RIGHT(H1382,2)&lt;&gt;"00",H1382,"")</f>
        <v/>
      </c>
      <c r="Y1382" s="2">
        <f ca="1">NETWORKDAYS(P1382,$Y$1)</f>
        <v>14</v>
      </c>
      <c r="Z1382" s="14">
        <v>1</v>
      </c>
      <c r="AA1382" s="1" t="str">
        <f t="shared" ca="1" si="105"/>
        <v>VENCIDO</v>
      </c>
      <c r="AB1382" s="1" t="str">
        <f t="shared" si="106"/>
        <v>Dosa</v>
      </c>
      <c r="AC1382" s="2" t="str">
        <f t="shared" si="107"/>
        <v xml:space="preserve"> RINALDO </v>
      </c>
      <c r="AD1382" s="2">
        <f t="shared" si="108"/>
        <v>5</v>
      </c>
      <c r="AE1382" s="2">
        <f t="shared" ca="1" si="109"/>
        <v>-18.08610960648366</v>
      </c>
    </row>
    <row r="1383" spans="1:31" hidden="1">
      <c r="A1383" s="1">
        <v>9464575</v>
      </c>
      <c r="B1383" s="1" t="s">
        <v>81</v>
      </c>
      <c r="C1383" t="s">
        <v>2733</v>
      </c>
      <c r="E1383" s="2">
        <v>582000206001</v>
      </c>
      <c r="F1383" s="1" t="s">
        <v>29</v>
      </c>
      <c r="G1383" s="1" t="s">
        <v>53</v>
      </c>
      <c r="H1383" s="1" t="s">
        <v>139</v>
      </c>
      <c r="I1383" s="1" t="s">
        <v>140</v>
      </c>
      <c r="J1383" s="1" t="s">
        <v>141</v>
      </c>
      <c r="K1383" t="s">
        <v>34</v>
      </c>
      <c r="M1383" s="1" t="s">
        <v>35</v>
      </c>
      <c r="N1383" s="1">
        <v>42318949</v>
      </c>
      <c r="O1383" s="1" t="s">
        <v>105</v>
      </c>
      <c r="P1383" s="11" t="s">
        <v>3133</v>
      </c>
      <c r="R1383" s="1" t="s">
        <v>38</v>
      </c>
      <c r="T1383" s="1" t="s">
        <v>74</v>
      </c>
      <c r="U1383" s="186">
        <v>44968.590138888889</v>
      </c>
      <c r="V1383" s="1" t="s">
        <v>41</v>
      </c>
      <c r="W1383" s="1" t="s">
        <v>49</v>
      </c>
      <c r="X1383" s="13" t="str">
        <f>IF(RIGHT(H1383,2)&lt;&gt;"00",H1383,"")</f>
        <v/>
      </c>
      <c r="Y1383" s="2">
        <f ca="1">NETWORKDAYS(P1383,$Y$1)</f>
        <v>14</v>
      </c>
      <c r="Z1383" s="14">
        <v>1</v>
      </c>
      <c r="AA1383" s="1" t="str">
        <f t="shared" ca="1" si="105"/>
        <v>VENCIDO</v>
      </c>
      <c r="AB1383" s="1" t="str">
        <f t="shared" si="106"/>
        <v>Dosa</v>
      </c>
      <c r="AC1383" s="2" t="str">
        <f t="shared" si="107"/>
        <v xml:space="preserve"> CRISTINA </v>
      </c>
      <c r="AD1383" s="2">
        <f t="shared" si="108"/>
        <v>5</v>
      </c>
      <c r="AE1383" s="2">
        <f t="shared" ca="1" si="109"/>
        <v>-18.086132754629944</v>
      </c>
    </row>
    <row r="1384" spans="1:31" hidden="1">
      <c r="A1384" s="1">
        <v>9464504</v>
      </c>
      <c r="B1384" s="1" t="s">
        <v>81</v>
      </c>
      <c r="C1384" t="s">
        <v>2733</v>
      </c>
      <c r="E1384" s="2">
        <v>2802000206001</v>
      </c>
      <c r="F1384" s="1" t="s">
        <v>29</v>
      </c>
      <c r="G1384" s="1" t="s">
        <v>53</v>
      </c>
      <c r="H1384" s="1" t="s">
        <v>388</v>
      </c>
      <c r="I1384" s="1" t="s">
        <v>389</v>
      </c>
      <c r="J1384" s="1" t="s">
        <v>46</v>
      </c>
      <c r="K1384" t="s">
        <v>34</v>
      </c>
      <c r="M1384" s="1" t="s">
        <v>35</v>
      </c>
      <c r="N1384" s="1">
        <v>42318949</v>
      </c>
      <c r="O1384" s="1" t="s">
        <v>105</v>
      </c>
      <c r="P1384" s="11" t="s">
        <v>3134</v>
      </c>
      <c r="R1384" s="1" t="s">
        <v>38</v>
      </c>
      <c r="T1384" s="1" t="s">
        <v>74</v>
      </c>
      <c r="U1384" s="186">
        <v>44968.59002314815</v>
      </c>
      <c r="V1384" s="1" t="s">
        <v>41</v>
      </c>
      <c r="W1384" s="1" t="s">
        <v>49</v>
      </c>
      <c r="X1384" s="13" t="str">
        <f>IF(RIGHT(H1384,2)&lt;&gt;"00",H1384,"")</f>
        <v/>
      </c>
      <c r="Y1384" s="2">
        <f ca="1">NETWORKDAYS(P1384,$Y$1)</f>
        <v>14</v>
      </c>
      <c r="Z1384" s="14">
        <v>1</v>
      </c>
      <c r="AA1384" s="1" t="str">
        <f t="shared" ca="1" si="105"/>
        <v>VENCIDO</v>
      </c>
      <c r="AB1384" s="1" t="str">
        <f t="shared" si="106"/>
        <v>Dosa</v>
      </c>
      <c r="AC1384" s="2" t="str">
        <f t="shared" si="107"/>
        <v xml:space="preserve"> CLEITON </v>
      </c>
      <c r="AD1384" s="2">
        <f t="shared" si="108"/>
        <v>5</v>
      </c>
      <c r="AE1384" s="2">
        <f t="shared" ca="1" si="109"/>
        <v>-18.086248495368636</v>
      </c>
    </row>
    <row r="1385" spans="1:31" hidden="1">
      <c r="A1385" s="1">
        <v>9464461</v>
      </c>
      <c r="B1385" s="1" t="s">
        <v>81</v>
      </c>
      <c r="C1385" t="s">
        <v>2733</v>
      </c>
      <c r="E1385" s="2">
        <v>1245000206001</v>
      </c>
      <c r="F1385" s="1" t="s">
        <v>29</v>
      </c>
      <c r="G1385" s="1" t="s">
        <v>53</v>
      </c>
      <c r="H1385" s="1" t="s">
        <v>408</v>
      </c>
      <c r="I1385" s="1" t="s">
        <v>409</v>
      </c>
      <c r="J1385" s="1" t="s">
        <v>46</v>
      </c>
      <c r="K1385" t="s">
        <v>34</v>
      </c>
      <c r="M1385" s="1" t="s">
        <v>35</v>
      </c>
      <c r="N1385" s="1">
        <v>42318949</v>
      </c>
      <c r="O1385" s="1" t="s">
        <v>105</v>
      </c>
      <c r="P1385" s="11" t="s">
        <v>3135</v>
      </c>
      <c r="R1385" s="1" t="s">
        <v>38</v>
      </c>
      <c r="T1385" s="1" t="s">
        <v>74</v>
      </c>
      <c r="U1385" s="186">
        <v>44968.589930555558</v>
      </c>
      <c r="V1385" s="1" t="s">
        <v>41</v>
      </c>
      <c r="W1385" s="1" t="s">
        <v>49</v>
      </c>
      <c r="X1385" s="13" t="str">
        <f>IF(RIGHT(H1385,2)&lt;&gt;"00",H1385,"")</f>
        <v/>
      </c>
      <c r="Y1385" s="2">
        <f ca="1">NETWORKDAYS(P1385,$Y$1)</f>
        <v>14</v>
      </c>
      <c r="Z1385" s="14">
        <v>1</v>
      </c>
      <c r="AA1385" s="1" t="str">
        <f t="shared" ca="1" si="105"/>
        <v>VENCIDO</v>
      </c>
      <c r="AB1385" s="1" t="str">
        <f t="shared" si="106"/>
        <v>Dosa</v>
      </c>
      <c r="AC1385" s="2" t="str">
        <f t="shared" si="107"/>
        <v xml:space="preserve"> CLEITON </v>
      </c>
      <c r="AD1385" s="2">
        <f t="shared" si="108"/>
        <v>5</v>
      </c>
      <c r="AE1385" s="2">
        <f t="shared" ca="1" si="109"/>
        <v>-18.086341087961046</v>
      </c>
    </row>
    <row r="1386" spans="1:31" hidden="1">
      <c r="A1386" s="1">
        <v>9464457</v>
      </c>
      <c r="B1386" s="1" t="s">
        <v>81</v>
      </c>
      <c r="C1386" t="s">
        <v>2733</v>
      </c>
      <c r="E1386" s="2">
        <v>1128000206001</v>
      </c>
      <c r="F1386" s="1" t="s">
        <v>29</v>
      </c>
      <c r="G1386" s="1" t="s">
        <v>53</v>
      </c>
      <c r="H1386" s="1" t="s">
        <v>1191</v>
      </c>
      <c r="I1386" s="1" t="s">
        <v>1192</v>
      </c>
      <c r="J1386" s="1" t="s">
        <v>33</v>
      </c>
      <c r="K1386" t="s">
        <v>34</v>
      </c>
      <c r="M1386" s="1" t="s">
        <v>35</v>
      </c>
      <c r="N1386" s="1">
        <v>42318949</v>
      </c>
      <c r="O1386" s="1" t="s">
        <v>105</v>
      </c>
      <c r="P1386" s="11" t="s">
        <v>2736</v>
      </c>
      <c r="R1386" s="1" t="s">
        <v>38</v>
      </c>
      <c r="T1386" s="1" t="s">
        <v>74</v>
      </c>
      <c r="U1386" s="186">
        <v>44968.589930555558</v>
      </c>
      <c r="V1386" s="1" t="s">
        <v>41</v>
      </c>
      <c r="W1386" s="1" t="s">
        <v>49</v>
      </c>
      <c r="X1386" s="13" t="str">
        <f>IF(RIGHT(H1386,2)&lt;&gt;"00",H1386,"")</f>
        <v/>
      </c>
      <c r="Y1386" s="2">
        <f ca="1">NETWORKDAYS(P1386,$Y$1)</f>
        <v>14</v>
      </c>
      <c r="Z1386" s="14">
        <v>1</v>
      </c>
      <c r="AA1386" s="1" t="str">
        <f t="shared" ca="1" si="105"/>
        <v>VENCIDO</v>
      </c>
      <c r="AB1386" s="1" t="str">
        <f t="shared" si="106"/>
        <v>Dosa</v>
      </c>
      <c r="AC1386" s="2" t="str">
        <f t="shared" si="107"/>
        <v xml:space="preserve"> ROSEMERE </v>
      </c>
      <c r="AD1386" s="2">
        <f t="shared" si="108"/>
        <v>5</v>
      </c>
      <c r="AE1386" s="2">
        <f t="shared" ca="1" si="109"/>
        <v>-18.086341087961046</v>
      </c>
    </row>
    <row r="1387" spans="1:31" hidden="1">
      <c r="A1387" s="1">
        <v>9464451</v>
      </c>
      <c r="B1387" s="1" t="s">
        <v>81</v>
      </c>
      <c r="C1387" t="s">
        <v>2733</v>
      </c>
      <c r="E1387" s="2">
        <v>963000206001</v>
      </c>
      <c r="F1387" s="1" t="s">
        <v>29</v>
      </c>
      <c r="G1387" s="1" t="s">
        <v>53</v>
      </c>
      <c r="H1387" s="1" t="s">
        <v>531</v>
      </c>
      <c r="I1387" s="1" t="s">
        <v>532</v>
      </c>
      <c r="J1387" s="1" t="s">
        <v>33</v>
      </c>
      <c r="K1387" t="s">
        <v>34</v>
      </c>
      <c r="M1387" s="1" t="s">
        <v>35</v>
      </c>
      <c r="N1387" s="1">
        <v>42318949</v>
      </c>
      <c r="O1387" s="1" t="s">
        <v>105</v>
      </c>
      <c r="P1387" s="11" t="s">
        <v>2736</v>
      </c>
      <c r="R1387" s="1" t="s">
        <v>38</v>
      </c>
      <c r="T1387" s="1" t="s">
        <v>74</v>
      </c>
      <c r="U1387" s="186">
        <v>44968.589918981481</v>
      </c>
      <c r="V1387" s="1" t="s">
        <v>41</v>
      </c>
      <c r="W1387" s="1" t="s">
        <v>49</v>
      </c>
      <c r="X1387" s="13" t="str">
        <f>IF(RIGHT(H1387,2)&lt;&gt;"00",H1387,"")</f>
        <v/>
      </c>
      <c r="Y1387" s="2">
        <f ca="1">NETWORKDAYS(P1387,$Y$1)</f>
        <v>14</v>
      </c>
      <c r="Z1387" s="14">
        <v>1</v>
      </c>
      <c r="AA1387" s="1" t="str">
        <f t="shared" ca="1" si="105"/>
        <v>VENCIDO</v>
      </c>
      <c r="AB1387" s="1" t="str">
        <f t="shared" si="106"/>
        <v>Dosa</v>
      </c>
      <c r="AC1387" s="2" t="str">
        <f t="shared" si="107"/>
        <v xml:space="preserve"> ROSEMERE </v>
      </c>
      <c r="AD1387" s="2">
        <f t="shared" si="108"/>
        <v>5</v>
      </c>
      <c r="AE1387" s="2">
        <f t="shared" ca="1" si="109"/>
        <v>-18.086352662037825</v>
      </c>
    </row>
    <row r="1388" spans="1:31" hidden="1">
      <c r="A1388" s="1">
        <v>9464394</v>
      </c>
      <c r="B1388" s="1" t="s">
        <v>81</v>
      </c>
      <c r="C1388" t="s">
        <v>2733</v>
      </c>
      <c r="E1388" s="2">
        <v>67000206001</v>
      </c>
      <c r="F1388" s="1" t="s">
        <v>29</v>
      </c>
      <c r="G1388" s="1" t="s">
        <v>53</v>
      </c>
      <c r="H1388" s="1" t="s">
        <v>404</v>
      </c>
      <c r="I1388" s="1" t="s">
        <v>405</v>
      </c>
      <c r="J1388" s="1" t="s">
        <v>164</v>
      </c>
      <c r="K1388" t="s">
        <v>34</v>
      </c>
      <c r="M1388" s="1" t="s">
        <v>35</v>
      </c>
      <c r="N1388" s="1">
        <v>42318949</v>
      </c>
      <c r="O1388" s="1" t="s">
        <v>105</v>
      </c>
      <c r="P1388" s="11" t="s">
        <v>2738</v>
      </c>
      <c r="R1388" s="1" t="s">
        <v>38</v>
      </c>
      <c r="T1388" s="1" t="s">
        <v>74</v>
      </c>
      <c r="U1388" s="186">
        <v>44968.589814814812</v>
      </c>
      <c r="V1388" s="1" t="s">
        <v>41</v>
      </c>
      <c r="W1388" s="1" t="s">
        <v>49</v>
      </c>
      <c r="X1388" s="13" t="str">
        <f>IF(RIGHT(H1388,2)&lt;&gt;"00",H1388,"")</f>
        <v/>
      </c>
      <c r="Y1388" s="2">
        <f ca="1">NETWORKDAYS(P1388,$Y$1)</f>
        <v>14</v>
      </c>
      <c r="Z1388" s="14">
        <v>1</v>
      </c>
      <c r="AA1388" s="1" t="str">
        <f t="shared" ca="1" si="105"/>
        <v>VENCIDO</v>
      </c>
      <c r="AB1388" s="1" t="str">
        <f t="shared" si="106"/>
        <v>Dosa</v>
      </c>
      <c r="AC1388" s="2" t="str">
        <f t="shared" si="107"/>
        <v xml:space="preserve"> ROSEMERE </v>
      </c>
      <c r="AD1388" s="2">
        <f t="shared" si="108"/>
        <v>5</v>
      </c>
      <c r="AE1388" s="2">
        <f t="shared" ca="1" si="109"/>
        <v>-18.086456828707014</v>
      </c>
    </row>
    <row r="1389" spans="1:31" hidden="1">
      <c r="A1389" s="1">
        <v>9464090</v>
      </c>
      <c r="B1389" s="1" t="s">
        <v>1153</v>
      </c>
      <c r="C1389" t="s">
        <v>2755</v>
      </c>
      <c r="D1389" s="2">
        <v>20232855000002</v>
      </c>
      <c r="E1389" s="2">
        <v>7417210950117</v>
      </c>
      <c r="F1389" s="1" t="s">
        <v>1213</v>
      </c>
      <c r="G1389" s="1" t="s">
        <v>53</v>
      </c>
      <c r="H1389" s="1" t="s">
        <v>2756</v>
      </c>
      <c r="I1389" s="1" t="s">
        <v>2757</v>
      </c>
      <c r="J1389" s="1" t="s">
        <v>56</v>
      </c>
      <c r="K1389" t="s">
        <v>1214</v>
      </c>
      <c r="M1389" s="1" t="s">
        <v>58</v>
      </c>
      <c r="N1389" s="1">
        <v>0</v>
      </c>
      <c r="O1389" s="1" t="s">
        <v>36</v>
      </c>
      <c r="P1389" s="11" t="s">
        <v>2758</v>
      </c>
      <c r="R1389" s="1">
        <v>14</v>
      </c>
      <c r="T1389" s="1" t="s">
        <v>238</v>
      </c>
      <c r="U1389" s="186">
        <v>44967.531388888892</v>
      </c>
      <c r="V1389" s="1" t="s">
        <v>41</v>
      </c>
      <c r="W1389" s="1" t="s">
        <v>49</v>
      </c>
      <c r="X1389" s="13" t="str">
        <f>IF(RIGHT(H1389,2)&lt;&gt;"00",H1389,"")</f>
        <v>2855.91</v>
      </c>
      <c r="Y1389" s="2">
        <f ca="1">NETWORKDAYS(P1389,$Y$1)</f>
        <v>14</v>
      </c>
      <c r="Z1389" s="14">
        <v>1</v>
      </c>
      <c r="AA1389" s="1" t="str">
        <f t="shared" ca="1" si="105"/>
        <v>VENCIDO</v>
      </c>
      <c r="AB1389" s="1" t="str">
        <f t="shared" si="106"/>
        <v>TAAe+</v>
      </c>
      <c r="AC1389" s="2" t="str">
        <f t="shared" si="107"/>
        <v xml:space="preserve"> CRISTINA </v>
      </c>
      <c r="AD1389" s="2">
        <f t="shared" si="108"/>
        <v>8</v>
      </c>
      <c r="AE1389" s="2">
        <f t="shared" ca="1" si="109"/>
        <v>-19.144882754626451</v>
      </c>
    </row>
    <row r="1390" spans="1:31" hidden="1">
      <c r="A1390" s="1">
        <v>9463997</v>
      </c>
      <c r="B1390" s="1" t="s">
        <v>1153</v>
      </c>
      <c r="C1390" t="s">
        <v>2759</v>
      </c>
      <c r="D1390" s="2">
        <v>20234844000431</v>
      </c>
      <c r="E1390" s="2">
        <v>7417193390971</v>
      </c>
      <c r="F1390" s="1" t="s">
        <v>2760</v>
      </c>
      <c r="G1390" s="1" t="s">
        <v>53</v>
      </c>
      <c r="H1390" s="1" t="s">
        <v>626</v>
      </c>
      <c r="I1390" s="1" t="s">
        <v>627</v>
      </c>
      <c r="J1390" s="1" t="s">
        <v>46</v>
      </c>
      <c r="K1390" t="s">
        <v>2761</v>
      </c>
      <c r="M1390" s="1" t="s">
        <v>58</v>
      </c>
      <c r="N1390" s="1">
        <v>0</v>
      </c>
      <c r="O1390" s="1" t="s">
        <v>36</v>
      </c>
      <c r="P1390" s="11" t="s">
        <v>2762</v>
      </c>
      <c r="R1390" s="1">
        <v>22</v>
      </c>
      <c r="T1390" s="1" t="s">
        <v>1160</v>
      </c>
      <c r="U1390" s="186">
        <v>44971.718206018515</v>
      </c>
      <c r="V1390" s="1" t="s">
        <v>41</v>
      </c>
      <c r="W1390" s="1" t="s">
        <v>49</v>
      </c>
      <c r="X1390" s="13" t="str">
        <f>IF(RIGHT(H1390,2)&lt;&gt;"00",H1390,"")</f>
        <v/>
      </c>
      <c r="Y1390" s="2">
        <f ca="1">NETWORKDAYS(P1390,$Y$1)</f>
        <v>14</v>
      </c>
      <c r="Z1390" s="14">
        <v>1</v>
      </c>
      <c r="AA1390" s="1" t="str">
        <f t="shared" ca="1" si="105"/>
        <v>VENCIDO</v>
      </c>
      <c r="AB1390" s="1" t="str">
        <f t="shared" si="106"/>
        <v>TAAe+</v>
      </c>
      <c r="AC1390" s="2" t="str">
        <f t="shared" si="107"/>
        <v xml:space="preserve"> CLEITON </v>
      </c>
      <c r="AD1390" s="2">
        <f t="shared" si="108"/>
        <v>8</v>
      </c>
      <c r="AE1390" s="2">
        <f t="shared" ca="1" si="109"/>
        <v>-14.958065625003655</v>
      </c>
    </row>
    <row r="1391" spans="1:31">
      <c r="A1391" s="181">
        <v>9463988</v>
      </c>
      <c r="B1391" s="181" t="s">
        <v>1153</v>
      </c>
      <c r="C1391" s="182" t="s">
        <v>3645</v>
      </c>
      <c r="D1391" s="183">
        <v>20234119000009</v>
      </c>
      <c r="E1391" s="183">
        <v>7419152172053</v>
      </c>
      <c r="F1391" s="181" t="s">
        <v>52</v>
      </c>
      <c r="G1391" s="181" t="s">
        <v>53</v>
      </c>
      <c r="H1391" s="181" t="s">
        <v>297</v>
      </c>
      <c r="I1391" s="181" t="s">
        <v>298</v>
      </c>
      <c r="J1391" s="181" t="s">
        <v>211</v>
      </c>
      <c r="K1391" t="s">
        <v>57</v>
      </c>
      <c r="M1391" s="1" t="s">
        <v>58</v>
      </c>
      <c r="N1391" s="1">
        <v>0</v>
      </c>
      <c r="O1391" s="1" t="s">
        <v>36</v>
      </c>
      <c r="P1391" s="11" t="s">
        <v>2765</v>
      </c>
      <c r="R1391" s="1">
        <v>8</v>
      </c>
      <c r="T1391" s="1" t="s">
        <v>238</v>
      </c>
      <c r="U1391" s="186">
        <v>44968.518483796295</v>
      </c>
      <c r="V1391" s="1" t="s">
        <v>41</v>
      </c>
      <c r="W1391" s="1" t="s">
        <v>49</v>
      </c>
      <c r="X1391" s="13" t="str">
        <f>IF(RIGHT(H1391,2)&lt;&gt;"00",H1391,"")</f>
        <v/>
      </c>
      <c r="Y1391" s="2">
        <f ca="1">NETWORKDAYS(P1391,$Y$1)</f>
        <v>14</v>
      </c>
      <c r="Z1391" s="14">
        <v>1</v>
      </c>
      <c r="AA1391" s="1" t="str">
        <f t="shared" ca="1" si="105"/>
        <v>VENCIDO</v>
      </c>
      <c r="AB1391" s="1" t="str">
        <f t="shared" si="106"/>
        <v>TAAe+</v>
      </c>
      <c r="AC1391" s="2" t="str">
        <f t="shared" si="107"/>
        <v xml:space="preserve"> RINALDO </v>
      </c>
      <c r="AD1391" s="2">
        <f t="shared" si="108"/>
        <v>8</v>
      </c>
      <c r="AE1391" s="2">
        <f t="shared" ca="1" si="109"/>
        <v>-18.157787847223517</v>
      </c>
    </row>
    <row r="1392" spans="1:31" hidden="1">
      <c r="A1392" s="1">
        <v>9463914</v>
      </c>
      <c r="B1392" s="1" t="s">
        <v>1153</v>
      </c>
      <c r="C1392" t="s">
        <v>2774</v>
      </c>
      <c r="D1392" s="2">
        <v>20232107000001</v>
      </c>
      <c r="E1392" s="2">
        <v>7417183023328</v>
      </c>
      <c r="F1392" s="1" t="s">
        <v>1313</v>
      </c>
      <c r="G1392" s="1" t="s">
        <v>53</v>
      </c>
      <c r="H1392" s="1" t="s">
        <v>2775</v>
      </c>
      <c r="I1392" s="1" t="s">
        <v>2776</v>
      </c>
      <c r="J1392" s="1" t="s">
        <v>164</v>
      </c>
      <c r="K1392" t="s">
        <v>1316</v>
      </c>
      <c r="M1392" s="1" t="s">
        <v>58</v>
      </c>
      <c r="N1392" s="1">
        <v>0</v>
      </c>
      <c r="O1392" s="1" t="s">
        <v>36</v>
      </c>
      <c r="P1392" s="11" t="s">
        <v>3138</v>
      </c>
      <c r="R1392" s="1">
        <v>14</v>
      </c>
      <c r="T1392" s="1" t="s">
        <v>238</v>
      </c>
      <c r="U1392" s="186">
        <v>44967.499363425923</v>
      </c>
      <c r="V1392" s="1" t="s">
        <v>41</v>
      </c>
      <c r="W1392" s="1" t="s">
        <v>49</v>
      </c>
      <c r="X1392" s="13" t="str">
        <f>IF(RIGHT(H1392,2)&lt;&gt;"00",H1392,"")</f>
        <v>2107.91</v>
      </c>
      <c r="Y1392" s="2">
        <f ca="1">NETWORKDAYS(P1392,$Y$1)</f>
        <v>14</v>
      </c>
      <c r="Z1392" s="14">
        <v>1</v>
      </c>
      <c r="AA1392" s="1" t="str">
        <f t="shared" ca="1" si="105"/>
        <v>VENCIDO</v>
      </c>
      <c r="AB1392" s="1" t="str">
        <f t="shared" si="106"/>
        <v>TAAe+</v>
      </c>
      <c r="AC1392" s="2" t="str">
        <f t="shared" si="107"/>
        <v xml:space="preserve"> ROSEMERE </v>
      </c>
      <c r="AD1392" s="2">
        <f t="shared" si="108"/>
        <v>8</v>
      </c>
      <c r="AE1392" s="2">
        <f t="shared" ca="1" si="109"/>
        <v>-19.176908217596065</v>
      </c>
    </row>
    <row r="1393" spans="1:31" hidden="1">
      <c r="A1393" s="1">
        <v>9463836</v>
      </c>
      <c r="B1393" s="1" t="s">
        <v>1153</v>
      </c>
      <c r="C1393" t="s">
        <v>2778</v>
      </c>
      <c r="D1393" s="2">
        <v>20230673000009</v>
      </c>
      <c r="E1393" s="2">
        <v>7419152459789</v>
      </c>
      <c r="F1393" s="1" t="s">
        <v>2744</v>
      </c>
      <c r="G1393" s="1" t="s">
        <v>53</v>
      </c>
      <c r="H1393" s="1" t="s">
        <v>581</v>
      </c>
      <c r="I1393" s="1" t="s">
        <v>582</v>
      </c>
      <c r="J1393" s="1" t="s">
        <v>110</v>
      </c>
      <c r="K1393" t="s">
        <v>2745</v>
      </c>
      <c r="M1393" s="1" t="s">
        <v>58</v>
      </c>
      <c r="N1393" s="1">
        <v>0</v>
      </c>
      <c r="O1393" s="1" t="s">
        <v>36</v>
      </c>
      <c r="P1393" s="11" t="s">
        <v>2779</v>
      </c>
      <c r="R1393" s="1">
        <v>22</v>
      </c>
      <c r="T1393" s="1" t="s">
        <v>1160</v>
      </c>
      <c r="U1393" s="186">
        <v>44971.696921296294</v>
      </c>
      <c r="V1393" s="1" t="s">
        <v>41</v>
      </c>
      <c r="W1393" s="1" t="s">
        <v>49</v>
      </c>
      <c r="X1393" s="13" t="str">
        <f>IF(RIGHT(H1393,2)&lt;&gt;"00",H1393,"")</f>
        <v/>
      </c>
      <c r="Y1393" s="2">
        <f ca="1">NETWORKDAYS(P1393,$Y$1)</f>
        <v>14</v>
      </c>
      <c r="Z1393" s="14">
        <v>1</v>
      </c>
      <c r="AA1393" s="1" t="str">
        <f t="shared" ca="1" si="105"/>
        <v>VENCIDO</v>
      </c>
      <c r="AB1393" s="1" t="str">
        <f t="shared" si="106"/>
        <v>TAAe+</v>
      </c>
      <c r="AC1393" s="2" t="str">
        <f t="shared" si="107"/>
        <v xml:space="preserve"> CRISTINA </v>
      </c>
      <c r="AD1393" s="2">
        <f t="shared" si="108"/>
        <v>8</v>
      </c>
      <c r="AE1393" s="2">
        <f t="shared" ca="1" si="109"/>
        <v>-14.979350347224681</v>
      </c>
    </row>
    <row r="1394" spans="1:31" hidden="1">
      <c r="A1394" s="1">
        <v>9463783</v>
      </c>
      <c r="B1394" s="1" t="s">
        <v>1153</v>
      </c>
      <c r="C1394" t="s">
        <v>2781</v>
      </c>
      <c r="D1394" s="2">
        <v>20231363000015</v>
      </c>
      <c r="E1394" s="2">
        <v>7417172790231</v>
      </c>
      <c r="F1394" s="1" t="s">
        <v>1989</v>
      </c>
      <c r="G1394" s="1" t="s">
        <v>53</v>
      </c>
      <c r="H1394" s="1" t="s">
        <v>108</v>
      </c>
      <c r="I1394" s="1" t="s">
        <v>109</v>
      </c>
      <c r="J1394" s="1" t="s">
        <v>110</v>
      </c>
      <c r="K1394" t="s">
        <v>1990</v>
      </c>
      <c r="M1394" s="1" t="s">
        <v>58</v>
      </c>
      <c r="N1394" s="1">
        <v>0</v>
      </c>
      <c r="O1394" s="1" t="s">
        <v>105</v>
      </c>
      <c r="P1394" s="11" t="s">
        <v>2782</v>
      </c>
      <c r="R1394" s="1">
        <v>22</v>
      </c>
      <c r="T1394" s="1" t="s">
        <v>1160</v>
      </c>
      <c r="U1394" s="186">
        <v>44971.684120370373</v>
      </c>
      <c r="V1394" s="1" t="s">
        <v>41</v>
      </c>
      <c r="W1394" s="1" t="s">
        <v>49</v>
      </c>
      <c r="X1394" s="13" t="str">
        <f>IF(RIGHT(H1394,2)&lt;&gt;"00",H1394,"")</f>
        <v/>
      </c>
      <c r="Y1394" s="2">
        <f ca="1">NETWORKDAYS(P1394,$Y$1)</f>
        <v>14</v>
      </c>
      <c r="Z1394" s="14">
        <v>1</v>
      </c>
      <c r="AA1394" s="1" t="str">
        <f t="shared" ca="1" si="105"/>
        <v>VENCIDO</v>
      </c>
      <c r="AB1394" s="1" t="str">
        <f t="shared" si="106"/>
        <v>TAAe+</v>
      </c>
      <c r="AC1394" s="2" t="str">
        <f t="shared" si="107"/>
        <v xml:space="preserve"> CRISTINA </v>
      </c>
      <c r="AD1394" s="2">
        <f t="shared" si="108"/>
        <v>8</v>
      </c>
      <c r="AE1394" s="2">
        <f t="shared" ca="1" si="109"/>
        <v>-14.992151273145282</v>
      </c>
    </row>
    <row r="1395" spans="1:31" hidden="1">
      <c r="A1395" s="1">
        <v>9463716</v>
      </c>
      <c r="B1395" s="1" t="s">
        <v>1153</v>
      </c>
      <c r="C1395" t="s">
        <v>2790</v>
      </c>
      <c r="E1395" s="2">
        <v>9406000206001</v>
      </c>
      <c r="F1395" s="1" t="s">
        <v>29</v>
      </c>
      <c r="G1395" s="1" t="s">
        <v>53</v>
      </c>
      <c r="H1395" s="1" t="s">
        <v>114</v>
      </c>
      <c r="I1395" s="1" t="s">
        <v>115</v>
      </c>
      <c r="J1395" s="1" t="s">
        <v>46</v>
      </c>
      <c r="K1395" t="s">
        <v>34</v>
      </c>
      <c r="M1395" s="1" t="s">
        <v>35</v>
      </c>
      <c r="N1395" s="1">
        <v>42318949</v>
      </c>
      <c r="O1395" s="1" t="s">
        <v>36</v>
      </c>
      <c r="P1395" s="11" t="s">
        <v>3140</v>
      </c>
      <c r="R1395" s="1" t="s">
        <v>38</v>
      </c>
      <c r="T1395" s="1" t="s">
        <v>74</v>
      </c>
      <c r="U1395" s="186">
        <v>44980.708333333336</v>
      </c>
      <c r="V1395" s="1" t="s">
        <v>41</v>
      </c>
      <c r="W1395" s="1" t="s">
        <v>49</v>
      </c>
      <c r="X1395" s="13" t="str">
        <f>IF(RIGHT(H1395,2)&lt;&gt;"00",H1395,"")</f>
        <v/>
      </c>
      <c r="Y1395" s="2">
        <f ca="1">NETWORKDAYS(P1395,$Y$1)</f>
        <v>14</v>
      </c>
      <c r="Z1395" s="14">
        <v>1</v>
      </c>
      <c r="AA1395" s="1" t="str">
        <f t="shared" ca="1" si="105"/>
        <v>VENCIDO</v>
      </c>
      <c r="AB1395" s="1" t="str">
        <f t="shared" si="106"/>
        <v>Dosa</v>
      </c>
      <c r="AC1395" s="2" t="str">
        <f t="shared" si="107"/>
        <v xml:space="preserve"> CLEITON </v>
      </c>
      <c r="AD1395" s="2">
        <f t="shared" si="108"/>
        <v>5</v>
      </c>
      <c r="AE1395" s="2">
        <f t="shared" ca="1" si="109"/>
        <v>-5.9679383101829444</v>
      </c>
    </row>
    <row r="1396" spans="1:31" hidden="1">
      <c r="A1396" s="1">
        <v>9463456</v>
      </c>
      <c r="B1396" s="1" t="s">
        <v>1153</v>
      </c>
      <c r="C1396" t="s">
        <v>2795</v>
      </c>
      <c r="D1396" s="2">
        <v>20234844000428</v>
      </c>
      <c r="E1396" s="2">
        <v>7417183020147</v>
      </c>
      <c r="F1396" s="1" t="s">
        <v>1313</v>
      </c>
      <c r="G1396" s="1" t="s">
        <v>53</v>
      </c>
      <c r="H1396" s="1" t="s">
        <v>2796</v>
      </c>
      <c r="I1396" s="1" t="s">
        <v>2797</v>
      </c>
      <c r="J1396" s="1" t="s">
        <v>46</v>
      </c>
      <c r="K1396" t="s">
        <v>1316</v>
      </c>
      <c r="M1396" s="1" t="s">
        <v>58</v>
      </c>
      <c r="N1396" s="1">
        <v>0</v>
      </c>
      <c r="O1396" s="1" t="s">
        <v>36</v>
      </c>
      <c r="P1396" s="11" t="s">
        <v>2798</v>
      </c>
      <c r="R1396" s="1">
        <v>13</v>
      </c>
      <c r="T1396" s="1" t="s">
        <v>238</v>
      </c>
      <c r="U1396" s="186">
        <v>44967.426226851851</v>
      </c>
      <c r="V1396" s="1" t="s">
        <v>41</v>
      </c>
      <c r="W1396" s="1" t="s">
        <v>49</v>
      </c>
      <c r="X1396" s="13" t="str">
        <f>IF(RIGHT(H1396,2)&lt;&gt;"00",H1396,"")</f>
        <v>4844.30</v>
      </c>
      <c r="Y1396" s="2">
        <f ca="1">NETWORKDAYS(P1396,$Y$1)</f>
        <v>14</v>
      </c>
      <c r="Z1396" s="14">
        <v>1</v>
      </c>
      <c r="AA1396" s="1" t="str">
        <f t="shared" ca="1" si="105"/>
        <v>VENCIDO</v>
      </c>
      <c r="AB1396" s="1" t="str">
        <f t="shared" si="106"/>
        <v>TAAe+</v>
      </c>
      <c r="AC1396" s="2" t="str">
        <f t="shared" si="107"/>
        <v xml:space="preserve"> CLEITON </v>
      </c>
      <c r="AD1396" s="2">
        <f t="shared" si="108"/>
        <v>8</v>
      </c>
      <c r="AE1396" s="2">
        <f t="shared" ca="1" si="109"/>
        <v>-19.250044791668188</v>
      </c>
    </row>
    <row r="1397" spans="1:31" hidden="1">
      <c r="A1397" s="1">
        <v>9463181</v>
      </c>
      <c r="B1397" s="1" t="s">
        <v>1153</v>
      </c>
      <c r="C1397" t="s">
        <v>2801</v>
      </c>
      <c r="E1397" s="2">
        <v>4997000206001</v>
      </c>
      <c r="F1397" s="1" t="s">
        <v>29</v>
      </c>
      <c r="G1397" s="1" t="s">
        <v>53</v>
      </c>
      <c r="H1397" s="1" t="s">
        <v>406</v>
      </c>
      <c r="I1397" s="1" t="s">
        <v>407</v>
      </c>
      <c r="J1397" s="1" t="s">
        <v>79</v>
      </c>
      <c r="K1397" t="s">
        <v>34</v>
      </c>
      <c r="M1397" s="1" t="s">
        <v>35</v>
      </c>
      <c r="N1397" s="1">
        <v>42318949</v>
      </c>
      <c r="O1397" s="1" t="s">
        <v>36</v>
      </c>
      <c r="P1397" s="11" t="s">
        <v>2802</v>
      </c>
      <c r="R1397" s="1" t="s">
        <v>38</v>
      </c>
      <c r="T1397" s="1" t="s">
        <v>74</v>
      </c>
      <c r="U1397" s="186">
        <v>44979.708333333336</v>
      </c>
      <c r="V1397" s="1" t="s">
        <v>41</v>
      </c>
      <c r="W1397" s="1" t="s">
        <v>49</v>
      </c>
      <c r="X1397" s="13" t="str">
        <f>IF(RIGHT(H1397,2)&lt;&gt;"00",H1397,"")</f>
        <v/>
      </c>
      <c r="Y1397" s="2">
        <f ca="1">NETWORKDAYS(P1397,$Y$1)</f>
        <v>14</v>
      </c>
      <c r="Z1397" s="14">
        <v>1</v>
      </c>
      <c r="AA1397" s="1" t="str">
        <f t="shared" ca="1" si="105"/>
        <v>VENCIDO</v>
      </c>
      <c r="AB1397" s="1" t="str">
        <f t="shared" si="106"/>
        <v>Dosa</v>
      </c>
      <c r="AC1397" s="2" t="str">
        <f t="shared" si="107"/>
        <v xml:space="preserve"> ROSEMERE </v>
      </c>
      <c r="AD1397" s="2">
        <f t="shared" si="108"/>
        <v>5</v>
      </c>
      <c r="AE1397" s="2">
        <f t="shared" ca="1" si="109"/>
        <v>-6.9679383101829444</v>
      </c>
    </row>
    <row r="1398" spans="1:31" hidden="1">
      <c r="A1398" s="1">
        <v>9463157</v>
      </c>
      <c r="B1398" s="1" t="s">
        <v>1153</v>
      </c>
      <c r="C1398" t="s">
        <v>2803</v>
      </c>
      <c r="D1398" s="2">
        <v>230027366</v>
      </c>
      <c r="E1398" s="2">
        <v>4637001400010</v>
      </c>
      <c r="F1398" s="1" t="s">
        <v>936</v>
      </c>
      <c r="G1398" s="1" t="s">
        <v>53</v>
      </c>
      <c r="H1398" s="1" t="s">
        <v>848</v>
      </c>
      <c r="I1398" s="1" t="s">
        <v>849</v>
      </c>
      <c r="J1398" s="1" t="s">
        <v>79</v>
      </c>
      <c r="K1398" t="s">
        <v>937</v>
      </c>
      <c r="M1398" s="1" t="s">
        <v>58</v>
      </c>
      <c r="N1398" s="1">
        <v>0</v>
      </c>
      <c r="O1398" s="1" t="s">
        <v>36</v>
      </c>
      <c r="P1398" s="11" t="s">
        <v>2804</v>
      </c>
      <c r="R1398" s="1">
        <v>3</v>
      </c>
      <c r="T1398" s="1" t="s">
        <v>646</v>
      </c>
      <c r="U1398" s="186">
        <v>44984.4375</v>
      </c>
      <c r="V1398" s="1" t="s">
        <v>41</v>
      </c>
      <c r="W1398" s="1" t="s">
        <v>49</v>
      </c>
      <c r="X1398" s="13" t="str">
        <f>IF(RIGHT(H1398,2)&lt;&gt;"00",H1398,"")</f>
        <v/>
      </c>
      <c r="Y1398" s="2">
        <f ca="1">NETWORKDAYS(P1398,$Y$1)</f>
        <v>14</v>
      </c>
      <c r="Z1398" s="14">
        <v>1</v>
      </c>
      <c r="AA1398" s="1" t="str">
        <f t="shared" ca="1" si="105"/>
        <v>VENCIDO</v>
      </c>
      <c r="AB1398" s="1" t="str">
        <f t="shared" si="106"/>
        <v>C-14</v>
      </c>
      <c r="AC1398" s="2" t="str">
        <f t="shared" si="107"/>
        <v xml:space="preserve"> ROSEMERE </v>
      </c>
      <c r="AD1398" s="2">
        <f t="shared" si="108"/>
        <v>5</v>
      </c>
      <c r="AE1398" s="2">
        <f t="shared" ca="1" si="109"/>
        <v>-2.2387716435187031</v>
      </c>
    </row>
    <row r="1399" spans="1:31" hidden="1">
      <c r="A1399" s="1">
        <v>9478527</v>
      </c>
      <c r="B1399" s="1" t="s">
        <v>101</v>
      </c>
      <c r="C1399" t="s">
        <v>1978</v>
      </c>
      <c r="D1399" s="2">
        <v>20232437000021</v>
      </c>
      <c r="E1399" s="2">
        <v>7419141893524</v>
      </c>
      <c r="F1399" s="1" t="s">
        <v>128</v>
      </c>
      <c r="G1399" s="1" t="s">
        <v>53</v>
      </c>
      <c r="H1399" s="1" t="s">
        <v>2418</v>
      </c>
      <c r="I1399" s="1" t="s">
        <v>2419</v>
      </c>
      <c r="J1399" s="1" t="s">
        <v>211</v>
      </c>
      <c r="K1399" t="s">
        <v>129</v>
      </c>
      <c r="M1399" s="1" t="s">
        <v>58</v>
      </c>
      <c r="N1399" s="1">
        <v>0</v>
      </c>
      <c r="O1399" s="1" t="s">
        <v>105</v>
      </c>
      <c r="P1399" s="11" t="s">
        <v>3142</v>
      </c>
      <c r="R1399" s="1">
        <v>14</v>
      </c>
      <c r="T1399" s="1" t="s">
        <v>238</v>
      </c>
      <c r="U1399" s="11" t="s">
        <v>3142</v>
      </c>
      <c r="V1399" s="1" t="s">
        <v>41</v>
      </c>
      <c r="W1399" s="1" t="s">
        <v>49</v>
      </c>
      <c r="X1399" s="13" t="str">
        <f>IF(RIGHT(H1399,2)&lt;&gt;"00",H1399,"")</f>
        <v>2437.91</v>
      </c>
      <c r="Y1399" s="2">
        <f ca="1">NETWORKDAYS(P1399,$Y$1)</f>
        <v>13</v>
      </c>
      <c r="Z1399" s="14">
        <v>1</v>
      </c>
      <c r="AA1399" s="1" t="str">
        <f t="shared" ca="1" si="105"/>
        <v>VENCIDO</v>
      </c>
      <c r="AB1399" s="1" t="str">
        <f t="shared" si="106"/>
        <v>TAAe+</v>
      </c>
      <c r="AC1399" s="2" t="str">
        <f t="shared" si="107"/>
        <v xml:space="preserve"> RINALDO </v>
      </c>
      <c r="AD1399" s="2">
        <f t="shared" si="108"/>
        <v>8</v>
      </c>
      <c r="AE1399" s="2">
        <f t="shared" ca="1" si="109"/>
        <v>-15.910403587964538</v>
      </c>
    </row>
    <row r="1400" spans="1:31" hidden="1">
      <c r="A1400" s="1">
        <v>9478476</v>
      </c>
      <c r="B1400" s="1" t="s">
        <v>101</v>
      </c>
      <c r="C1400" t="s">
        <v>1978</v>
      </c>
      <c r="D1400" s="2">
        <v>20232678000014</v>
      </c>
      <c r="E1400" s="2">
        <v>7417163281860</v>
      </c>
      <c r="F1400" s="1" t="s">
        <v>131</v>
      </c>
      <c r="G1400" s="1" t="s">
        <v>53</v>
      </c>
      <c r="H1400" s="1" t="s">
        <v>2814</v>
      </c>
      <c r="I1400" s="1" t="s">
        <v>2815</v>
      </c>
      <c r="J1400" s="1" t="s">
        <v>33</v>
      </c>
      <c r="K1400" t="s">
        <v>132</v>
      </c>
      <c r="M1400" s="1" t="s">
        <v>58</v>
      </c>
      <c r="N1400" s="1">
        <v>0</v>
      </c>
      <c r="O1400" s="1" t="s">
        <v>105</v>
      </c>
      <c r="P1400" s="11" t="s">
        <v>3143</v>
      </c>
      <c r="R1400" s="1">
        <v>15</v>
      </c>
      <c r="T1400" s="1" t="s">
        <v>238</v>
      </c>
      <c r="U1400" s="11" t="s">
        <v>3143</v>
      </c>
      <c r="V1400" s="1" t="s">
        <v>41</v>
      </c>
      <c r="W1400" s="1" t="s">
        <v>42</v>
      </c>
      <c r="X1400" s="13" t="str">
        <f>IF(RIGHT(H1400,2)&lt;&gt;"00",H1400,"")</f>
        <v>2678.91</v>
      </c>
      <c r="Y1400" s="2">
        <f ca="1">NETWORKDAYS(P1400,$Y$1)</f>
        <v>13</v>
      </c>
      <c r="Z1400" s="14">
        <v>1</v>
      </c>
      <c r="AA1400" s="1" t="str">
        <f t="shared" ca="1" si="105"/>
        <v>VENCIDO</v>
      </c>
      <c r="AB1400" s="1" t="str">
        <f t="shared" si="106"/>
        <v>TAAe+</v>
      </c>
      <c r="AC1400" s="2" t="str">
        <f t="shared" si="107"/>
        <v xml:space="preserve"> ROSEMERE </v>
      </c>
      <c r="AD1400" s="2">
        <f t="shared" si="108"/>
        <v>8</v>
      </c>
      <c r="AE1400" s="2">
        <f t="shared" ca="1" si="109"/>
        <v>-15.915901273147028</v>
      </c>
    </row>
    <row r="1401" spans="1:31" hidden="1">
      <c r="A1401" s="1">
        <v>9478382</v>
      </c>
      <c r="B1401" s="1" t="s">
        <v>101</v>
      </c>
      <c r="C1401" t="s">
        <v>1978</v>
      </c>
      <c r="D1401" s="2">
        <v>20234923000067</v>
      </c>
      <c r="E1401" s="2">
        <v>7419141892150</v>
      </c>
      <c r="F1401" s="1" t="s">
        <v>128</v>
      </c>
      <c r="G1401" s="1" t="s">
        <v>53</v>
      </c>
      <c r="H1401" s="1" t="s">
        <v>1966</v>
      </c>
      <c r="I1401" s="1" t="s">
        <v>1967</v>
      </c>
      <c r="J1401" s="1" t="s">
        <v>46</v>
      </c>
      <c r="K1401" t="s">
        <v>129</v>
      </c>
      <c r="M1401" s="1" t="s">
        <v>58</v>
      </c>
      <c r="N1401" s="1">
        <v>0</v>
      </c>
      <c r="O1401" s="1" t="s">
        <v>36</v>
      </c>
      <c r="P1401" s="11" t="s">
        <v>3144</v>
      </c>
      <c r="R1401" s="1">
        <v>13</v>
      </c>
      <c r="T1401" s="1" t="s">
        <v>238</v>
      </c>
      <c r="U1401" s="11" t="s">
        <v>3144</v>
      </c>
      <c r="V1401" s="1" t="s">
        <v>41</v>
      </c>
      <c r="W1401" s="1" t="s">
        <v>49</v>
      </c>
      <c r="X1401" s="13" t="str">
        <f>IF(RIGHT(H1401,2)&lt;&gt;"00",H1401,"")</f>
        <v>4923.01</v>
      </c>
      <c r="Y1401" s="2">
        <f ca="1">NETWORKDAYS(P1401,$Y$1)</f>
        <v>13</v>
      </c>
      <c r="Z1401" s="14">
        <v>1</v>
      </c>
      <c r="AA1401" s="1" t="str">
        <f t="shared" ca="1" si="105"/>
        <v>VENCIDO</v>
      </c>
      <c r="AB1401" s="1" t="str">
        <f t="shared" si="106"/>
        <v>TAAe+</v>
      </c>
      <c r="AC1401" s="2" t="str">
        <f t="shared" si="107"/>
        <v xml:space="preserve"> CLEITON </v>
      </c>
      <c r="AD1401" s="2">
        <f t="shared" si="108"/>
        <v>8</v>
      </c>
      <c r="AE1401" s="2">
        <f t="shared" ca="1" si="109"/>
        <v>-15.91982488425856</v>
      </c>
    </row>
    <row r="1402" spans="1:31" hidden="1">
      <c r="A1402" s="1">
        <v>9478325</v>
      </c>
      <c r="B1402" s="1" t="s">
        <v>101</v>
      </c>
      <c r="C1402" t="s">
        <v>1978</v>
      </c>
      <c r="D1402" s="2">
        <v>20234844000453</v>
      </c>
      <c r="E1402" s="2">
        <v>7417163282352</v>
      </c>
      <c r="F1402" s="1" t="s">
        <v>131</v>
      </c>
      <c r="G1402" s="1" t="s">
        <v>53</v>
      </c>
      <c r="H1402" s="1" t="s">
        <v>2816</v>
      </c>
      <c r="I1402" s="1" t="s">
        <v>2817</v>
      </c>
      <c r="J1402" s="1" t="s">
        <v>46</v>
      </c>
      <c r="K1402" t="s">
        <v>132</v>
      </c>
      <c r="M1402" s="1" t="s">
        <v>58</v>
      </c>
      <c r="N1402" s="1">
        <v>0</v>
      </c>
      <c r="O1402" s="1" t="s">
        <v>105</v>
      </c>
      <c r="P1402" s="11" t="s">
        <v>3145</v>
      </c>
      <c r="R1402" s="1">
        <v>13</v>
      </c>
      <c r="T1402" s="1" t="s">
        <v>238</v>
      </c>
      <c r="U1402" s="11" t="s">
        <v>3145</v>
      </c>
      <c r="V1402" s="1" t="s">
        <v>41</v>
      </c>
      <c r="W1402" s="1" t="s">
        <v>49</v>
      </c>
      <c r="X1402" s="13" t="str">
        <f>IF(RIGHT(H1402,2)&lt;&gt;"00",H1402,"")</f>
        <v>4844.64</v>
      </c>
      <c r="Y1402" s="2">
        <f ca="1">NETWORKDAYS(P1402,$Y$1)</f>
        <v>13</v>
      </c>
      <c r="Z1402" s="14">
        <v>1</v>
      </c>
      <c r="AA1402" s="1" t="str">
        <f t="shared" ca="1" si="105"/>
        <v>VENCIDO</v>
      </c>
      <c r="AB1402" s="1" t="str">
        <f t="shared" si="106"/>
        <v>TAAe+</v>
      </c>
      <c r="AC1402" s="2" t="str">
        <f t="shared" si="107"/>
        <v xml:space="preserve"> CLEITON </v>
      </c>
      <c r="AD1402" s="2">
        <f t="shared" si="108"/>
        <v>8</v>
      </c>
      <c r="AE1402" s="2">
        <f t="shared" ca="1" si="109"/>
        <v>-15.925554050925712</v>
      </c>
    </row>
    <row r="1403" spans="1:31" hidden="1">
      <c r="A1403" s="1">
        <v>9478324</v>
      </c>
      <c r="B1403" s="1" t="s">
        <v>101</v>
      </c>
      <c r="C1403" t="s">
        <v>1978</v>
      </c>
      <c r="D1403" s="2">
        <v>20234637000008</v>
      </c>
      <c r="E1403" s="2">
        <v>7417163284105</v>
      </c>
      <c r="F1403" s="1" t="s">
        <v>131</v>
      </c>
      <c r="G1403" s="1" t="s">
        <v>53</v>
      </c>
      <c r="H1403" s="1" t="s">
        <v>2004</v>
      </c>
      <c r="I1403" s="1" t="s">
        <v>2005</v>
      </c>
      <c r="J1403" s="1" t="s">
        <v>79</v>
      </c>
      <c r="K1403" t="s">
        <v>132</v>
      </c>
      <c r="M1403" s="1" t="s">
        <v>58</v>
      </c>
      <c r="N1403" s="1">
        <v>0</v>
      </c>
      <c r="O1403" s="1" t="s">
        <v>105</v>
      </c>
      <c r="P1403" s="11" t="s">
        <v>3146</v>
      </c>
      <c r="R1403" s="1">
        <v>14</v>
      </c>
      <c r="T1403" s="1" t="s">
        <v>238</v>
      </c>
      <c r="U1403" s="11" t="s">
        <v>3146</v>
      </c>
      <c r="V1403" s="1" t="s">
        <v>41</v>
      </c>
      <c r="W1403" s="1" t="s">
        <v>49</v>
      </c>
      <c r="X1403" s="13" t="str">
        <f>IF(RIGHT(H1403,2)&lt;&gt;"00",H1403,"")</f>
        <v>4637.91</v>
      </c>
      <c r="Y1403" s="2">
        <f ca="1">NETWORKDAYS(P1403,$Y$1)</f>
        <v>13</v>
      </c>
      <c r="Z1403" s="14">
        <v>1</v>
      </c>
      <c r="AA1403" s="1" t="str">
        <f t="shared" ca="1" si="105"/>
        <v>VENCIDO</v>
      </c>
      <c r="AB1403" s="1" t="str">
        <f t="shared" si="106"/>
        <v>TAAe+</v>
      </c>
      <c r="AC1403" s="2" t="str">
        <f t="shared" si="107"/>
        <v xml:space="preserve"> ROSEMERE </v>
      </c>
      <c r="AD1403" s="2">
        <f t="shared" si="108"/>
        <v>8</v>
      </c>
      <c r="AE1403" s="2">
        <f t="shared" ca="1" si="109"/>
        <v>-15.925565625002491</v>
      </c>
    </row>
    <row r="1404" spans="1:31" hidden="1">
      <c r="A1404" s="1">
        <v>9478256</v>
      </c>
      <c r="B1404" s="1" t="s">
        <v>101</v>
      </c>
      <c r="C1404" t="s">
        <v>1978</v>
      </c>
      <c r="D1404" s="2">
        <v>20234844000452</v>
      </c>
      <c r="E1404" s="2">
        <v>7417183020637</v>
      </c>
      <c r="F1404" s="1" t="s">
        <v>1313</v>
      </c>
      <c r="G1404" s="1" t="s">
        <v>53</v>
      </c>
      <c r="H1404" s="1" t="s">
        <v>2816</v>
      </c>
      <c r="I1404" s="1" t="s">
        <v>2817</v>
      </c>
      <c r="J1404" s="1" t="s">
        <v>46</v>
      </c>
      <c r="K1404" t="s">
        <v>1316</v>
      </c>
      <c r="M1404" s="1" t="s">
        <v>58</v>
      </c>
      <c r="N1404" s="1">
        <v>0</v>
      </c>
      <c r="O1404" s="1" t="s">
        <v>105</v>
      </c>
      <c r="P1404" s="11" t="s">
        <v>3147</v>
      </c>
      <c r="R1404" s="1">
        <v>13</v>
      </c>
      <c r="T1404" s="1" t="s">
        <v>238</v>
      </c>
      <c r="U1404" s="11" t="s">
        <v>3147</v>
      </c>
      <c r="V1404" s="1" t="s">
        <v>41</v>
      </c>
      <c r="W1404" s="1" t="s">
        <v>49</v>
      </c>
      <c r="X1404" s="13" t="str">
        <f>IF(RIGHT(H1404,2)&lt;&gt;"00",H1404,"")</f>
        <v>4844.64</v>
      </c>
      <c r="Y1404" s="2">
        <f ca="1">NETWORKDAYS(P1404,$Y$1)</f>
        <v>13</v>
      </c>
      <c r="Z1404" s="14">
        <v>1</v>
      </c>
      <c r="AA1404" s="1" t="str">
        <f t="shared" ref="AA1404:AA1467" ca="1" si="110">IF(AE1404=0,"HOJE",IF(AE1404&gt;0,"A VENCER",IF(AE1404&lt;0,"VENCIDO")))</f>
        <v>VENCIDO</v>
      </c>
      <c r="AB1404" s="1" t="str">
        <f t="shared" ref="AB1404:AB1467" si="111">IF(F1404="GRPE-000001","C-14",IF(F1404="GRPE-000002","C-14",IF(F1404="GRPE-000003","C-14",IF(F1404="GRPE-000004","SL-On",IF(F1404="GRPE-000038","C-14",IF(F1404="GRPE-900022","Dosa",IF(F1404="GRPE-000029","Dosa",IF(F1404="ATOS-000222","Dose","TAAe+"))))))))</f>
        <v>TAAe+</v>
      </c>
      <c r="AC1404" s="2" t="str">
        <f t="shared" ref="AC1404:AC1467" si="112">IF(J1404="TR-PETROLINA"," ROSEMERE ",IF(J1404="TR-GARANHUNS"," ROSEMERE ",IF(J1404="TR-CARUARU"," ROSEMERE ",IF(J1404="TR-RIBEIRAO"," CRISTINA ",IF(J1404="TR-GRAVATA"," CRISTINA ",IF(J1404="TR-GOIANA"," CRISTINA ",IF(J1404="TR-LIMOEIRO"," CRISTINA ",IF(J1404="TR-SERRA TALHADA"," RINALDO ",IF(J1404="TR-SALGUEIRO"," RINALDO ",IF(J1404="TR-CARNAIBA"," RINALDO ",IF(J1404="TR-ARCOVERDE"," RINALDO ",IF(J1404="CAT-RECIFE"," CLEITON ",))))))))))))</f>
        <v xml:space="preserve"> CLEITON </v>
      </c>
      <c r="AD1404" s="2">
        <f t="shared" ref="AD1404:AD1467" si="113">IF(F1404="GRPE-000001",5,IF(F1404="GRPE-000002",5,IF(F1404="GRPE-000003",15,IF(F1404="GRPE-000004",1,IF(F1404="GRPE-000038",5,IF(F1404="GRPE-900022",5,IF(F1404="GRPE-000029",5,IF(F1404="ATOS-000222",5,8))))))))</f>
        <v>8</v>
      </c>
      <c r="AE1404" s="2">
        <f t="shared" ref="AE1404:AE1467" ca="1" si="114">IF(U1404=$AE$1,"",U1404-$AE$1)</f>
        <v>-15.927475347220025</v>
      </c>
    </row>
    <row r="1405" spans="1:31" hidden="1">
      <c r="A1405" s="1">
        <v>9478195</v>
      </c>
      <c r="B1405" s="1" t="s">
        <v>101</v>
      </c>
      <c r="C1405" t="s">
        <v>1978</v>
      </c>
      <c r="D1405" s="2">
        <v>20234844000451</v>
      </c>
      <c r="E1405" s="2">
        <v>7417163282362</v>
      </c>
      <c r="F1405" s="1" t="s">
        <v>131</v>
      </c>
      <c r="G1405" s="1" t="s">
        <v>53</v>
      </c>
      <c r="H1405" s="1" t="s">
        <v>2821</v>
      </c>
      <c r="I1405" s="1" t="s">
        <v>2822</v>
      </c>
      <c r="J1405" s="1" t="s">
        <v>46</v>
      </c>
      <c r="K1405" t="s">
        <v>132</v>
      </c>
      <c r="M1405" s="1" t="s">
        <v>58</v>
      </c>
      <c r="N1405" s="1">
        <v>0</v>
      </c>
      <c r="O1405" s="1" t="s">
        <v>105</v>
      </c>
      <c r="P1405" s="11" t="s">
        <v>3148</v>
      </c>
      <c r="R1405" s="1">
        <v>13</v>
      </c>
      <c r="T1405" s="1" t="s">
        <v>238</v>
      </c>
      <c r="U1405" s="11" t="s">
        <v>3148</v>
      </c>
      <c r="V1405" s="1" t="s">
        <v>41</v>
      </c>
      <c r="W1405" s="1" t="s">
        <v>49</v>
      </c>
      <c r="X1405" s="13" t="str">
        <f>IF(RIGHT(H1405,2)&lt;&gt;"00",H1405,"")</f>
        <v>4844.17</v>
      </c>
      <c r="Y1405" s="2">
        <f ca="1">NETWORKDAYS(P1405,$Y$1)</f>
        <v>13</v>
      </c>
      <c r="Z1405" s="14">
        <v>1</v>
      </c>
      <c r="AA1405" s="1" t="str">
        <f t="shared" ca="1" si="110"/>
        <v>VENCIDO</v>
      </c>
      <c r="AB1405" s="1" t="str">
        <f t="shared" si="111"/>
        <v>TAAe+</v>
      </c>
      <c r="AC1405" s="2" t="str">
        <f t="shared" si="112"/>
        <v xml:space="preserve"> CLEITON </v>
      </c>
      <c r="AD1405" s="2">
        <f t="shared" si="113"/>
        <v>8</v>
      </c>
      <c r="AE1405" s="2">
        <f t="shared" ca="1" si="114"/>
        <v>-15.934442939811561</v>
      </c>
    </row>
    <row r="1406" spans="1:31" hidden="1">
      <c r="A1406" s="1">
        <v>9478110</v>
      </c>
      <c r="B1406" s="1" t="s">
        <v>1970</v>
      </c>
      <c r="C1406" t="s">
        <v>1971</v>
      </c>
      <c r="D1406" s="2">
        <v>20231059000017</v>
      </c>
      <c r="E1406" s="2">
        <v>7419141894708</v>
      </c>
      <c r="F1406" s="1" t="s">
        <v>128</v>
      </c>
      <c r="G1406" s="1" t="s">
        <v>53</v>
      </c>
      <c r="H1406" s="1" t="s">
        <v>1972</v>
      </c>
      <c r="I1406" s="1" t="s">
        <v>1973</v>
      </c>
      <c r="J1406" s="1" t="s">
        <v>90</v>
      </c>
      <c r="K1406" t="s">
        <v>129</v>
      </c>
      <c r="M1406" s="1" t="s">
        <v>58</v>
      </c>
      <c r="N1406" s="1">
        <v>0</v>
      </c>
      <c r="O1406" s="1" t="s">
        <v>36</v>
      </c>
      <c r="P1406" s="11" t="s">
        <v>3150</v>
      </c>
      <c r="R1406" s="1">
        <v>14</v>
      </c>
      <c r="T1406" s="1" t="s">
        <v>238</v>
      </c>
      <c r="U1406" s="11" t="s">
        <v>3151</v>
      </c>
      <c r="V1406" s="1" t="s">
        <v>41</v>
      </c>
      <c r="W1406" s="1" t="s">
        <v>49</v>
      </c>
      <c r="X1406" s="13" t="str">
        <f>IF(RIGHT(H1406,2)&lt;&gt;"00",H1406,"")</f>
        <v>1059.91</v>
      </c>
      <c r="Y1406" s="2">
        <f ca="1">NETWORKDAYS(P1406,$Y$1)</f>
        <v>13</v>
      </c>
      <c r="Z1406" s="14">
        <v>1</v>
      </c>
      <c r="AA1406" s="1" t="str">
        <f t="shared" ca="1" si="110"/>
        <v>VENCIDO</v>
      </c>
      <c r="AB1406" s="1" t="str">
        <f t="shared" si="111"/>
        <v>TAAe+</v>
      </c>
      <c r="AC1406" s="2" t="str">
        <f t="shared" si="112"/>
        <v xml:space="preserve"> RINALDO </v>
      </c>
      <c r="AD1406" s="2">
        <f t="shared" si="113"/>
        <v>8</v>
      </c>
      <c r="AE1406" s="2">
        <f t="shared" ca="1" si="114"/>
        <v>-14.930021643522196</v>
      </c>
    </row>
    <row r="1407" spans="1:31" hidden="1">
      <c r="A1407" s="1">
        <v>9478043</v>
      </c>
      <c r="B1407" s="1" t="s">
        <v>1970</v>
      </c>
      <c r="C1407" t="s">
        <v>1971</v>
      </c>
      <c r="D1407" s="2">
        <v>20234844000450</v>
      </c>
      <c r="E1407" s="2">
        <v>7417163285199</v>
      </c>
      <c r="F1407" s="1" t="s">
        <v>131</v>
      </c>
      <c r="G1407" s="1" t="s">
        <v>53</v>
      </c>
      <c r="H1407" s="1" t="s">
        <v>2348</v>
      </c>
      <c r="I1407" s="1" t="s">
        <v>2349</v>
      </c>
      <c r="J1407" s="1" t="s">
        <v>46</v>
      </c>
      <c r="K1407" t="s">
        <v>132</v>
      </c>
      <c r="M1407" s="1" t="s">
        <v>58</v>
      </c>
      <c r="N1407" s="1">
        <v>0</v>
      </c>
      <c r="O1407" s="1" t="s">
        <v>105</v>
      </c>
      <c r="P1407" s="11" t="s">
        <v>3152</v>
      </c>
      <c r="R1407" s="1">
        <v>13</v>
      </c>
      <c r="T1407" s="1" t="s">
        <v>238</v>
      </c>
      <c r="U1407" s="11" t="s">
        <v>3153</v>
      </c>
      <c r="V1407" s="1" t="s">
        <v>41</v>
      </c>
      <c r="W1407" s="1" t="s">
        <v>49</v>
      </c>
      <c r="X1407" s="13" t="str">
        <f>IF(RIGHT(H1407,2)&lt;&gt;"00",H1407,"")</f>
        <v>4844.33</v>
      </c>
      <c r="Y1407" s="2">
        <f ca="1">NETWORKDAYS(P1407,$Y$1)</f>
        <v>13</v>
      </c>
      <c r="Z1407" s="14">
        <v>1</v>
      </c>
      <c r="AA1407" s="1" t="str">
        <f t="shared" ca="1" si="110"/>
        <v>VENCIDO</v>
      </c>
      <c r="AB1407" s="1" t="str">
        <f t="shared" si="111"/>
        <v>TAAe+</v>
      </c>
      <c r="AC1407" s="2" t="str">
        <f t="shared" si="112"/>
        <v xml:space="preserve"> CLEITON </v>
      </c>
      <c r="AD1407" s="2">
        <f t="shared" si="113"/>
        <v>8</v>
      </c>
      <c r="AE1407" s="2">
        <f t="shared" ca="1" si="114"/>
        <v>-14.930148958330392</v>
      </c>
    </row>
    <row r="1408" spans="1:31" hidden="1">
      <c r="A1408" s="1">
        <v>9478042</v>
      </c>
      <c r="B1408" s="1" t="s">
        <v>1970</v>
      </c>
      <c r="C1408" t="s">
        <v>1971</v>
      </c>
      <c r="D1408" s="2">
        <v>20231052000013</v>
      </c>
      <c r="E1408" s="2">
        <v>7417163285093</v>
      </c>
      <c r="F1408" s="1" t="s">
        <v>131</v>
      </c>
      <c r="G1408" s="1" t="s">
        <v>53</v>
      </c>
      <c r="H1408" s="1" t="s">
        <v>2560</v>
      </c>
      <c r="I1408" s="1" t="s">
        <v>2561</v>
      </c>
      <c r="J1408" s="1" t="s">
        <v>79</v>
      </c>
      <c r="K1408" t="s">
        <v>132</v>
      </c>
      <c r="M1408" s="1" t="s">
        <v>58</v>
      </c>
      <c r="N1408" s="1">
        <v>0</v>
      </c>
      <c r="O1408" s="1" t="s">
        <v>105</v>
      </c>
      <c r="P1408" s="11" t="s">
        <v>3154</v>
      </c>
      <c r="R1408" s="1">
        <v>14</v>
      </c>
      <c r="T1408" s="1" t="s">
        <v>238</v>
      </c>
      <c r="U1408" s="11" t="s">
        <v>3153</v>
      </c>
      <c r="V1408" s="1" t="s">
        <v>41</v>
      </c>
      <c r="W1408" s="1" t="s">
        <v>49</v>
      </c>
      <c r="X1408" s="13" t="str">
        <f>IF(RIGHT(H1408,2)&lt;&gt;"00",H1408,"")</f>
        <v>1052.91</v>
      </c>
      <c r="Y1408" s="2">
        <f ca="1">NETWORKDAYS(P1408,$Y$1)</f>
        <v>13</v>
      </c>
      <c r="Z1408" s="14">
        <v>1</v>
      </c>
      <c r="AA1408" s="1" t="str">
        <f t="shared" ca="1" si="110"/>
        <v>VENCIDO</v>
      </c>
      <c r="AB1408" s="1" t="str">
        <f t="shared" si="111"/>
        <v>TAAe+</v>
      </c>
      <c r="AC1408" s="2" t="str">
        <f t="shared" si="112"/>
        <v xml:space="preserve"> ROSEMERE </v>
      </c>
      <c r="AD1408" s="2">
        <f t="shared" si="113"/>
        <v>8</v>
      </c>
      <c r="AE1408" s="2">
        <f t="shared" ca="1" si="114"/>
        <v>-14.930148958330392</v>
      </c>
    </row>
    <row r="1409" spans="1:31" hidden="1">
      <c r="A1409" s="1">
        <v>9477977</v>
      </c>
      <c r="B1409" s="1" t="s">
        <v>1970</v>
      </c>
      <c r="C1409" t="s">
        <v>1971</v>
      </c>
      <c r="D1409" s="2">
        <v>20230870000025</v>
      </c>
      <c r="E1409" s="2">
        <v>7417163283610</v>
      </c>
      <c r="F1409" s="1" t="s">
        <v>131</v>
      </c>
      <c r="G1409" s="1" t="s">
        <v>53</v>
      </c>
      <c r="H1409" s="1" t="s">
        <v>519</v>
      </c>
      <c r="I1409" s="1" t="s">
        <v>520</v>
      </c>
      <c r="J1409" s="1" t="s">
        <v>90</v>
      </c>
      <c r="K1409" t="s">
        <v>132</v>
      </c>
      <c r="M1409" s="1" t="s">
        <v>58</v>
      </c>
      <c r="N1409" s="1">
        <v>0</v>
      </c>
      <c r="O1409" s="1" t="s">
        <v>105</v>
      </c>
      <c r="P1409" s="11" t="s">
        <v>3155</v>
      </c>
      <c r="R1409" s="1">
        <v>14</v>
      </c>
      <c r="T1409" s="1" t="s">
        <v>238</v>
      </c>
      <c r="U1409" s="11" t="s">
        <v>3156</v>
      </c>
      <c r="V1409" s="1" t="s">
        <v>41</v>
      </c>
      <c r="W1409" s="1" t="s">
        <v>49</v>
      </c>
      <c r="X1409" s="13" t="str">
        <f>IF(RIGHT(H1409,2)&lt;&gt;"00",H1409,"")</f>
        <v>0870.91</v>
      </c>
      <c r="Y1409" s="2">
        <f ca="1">NETWORKDAYS(P1409,$Y$1)</f>
        <v>13</v>
      </c>
      <c r="Z1409" s="14">
        <v>1</v>
      </c>
      <c r="AA1409" s="1" t="str">
        <f t="shared" ca="1" si="110"/>
        <v>VENCIDO</v>
      </c>
      <c r="AB1409" s="1" t="str">
        <f t="shared" si="111"/>
        <v>TAAe+</v>
      </c>
      <c r="AC1409" s="2" t="str">
        <f t="shared" si="112"/>
        <v xml:space="preserve"> RINALDO </v>
      </c>
      <c r="AD1409" s="2">
        <f t="shared" si="113"/>
        <v>8</v>
      </c>
      <c r="AE1409" s="2">
        <f t="shared" ca="1" si="114"/>
        <v>-14.941005439817673</v>
      </c>
    </row>
    <row r="1410" spans="1:31" hidden="1">
      <c r="A1410" s="1">
        <v>9477966</v>
      </c>
      <c r="B1410" s="1" t="s">
        <v>1970</v>
      </c>
      <c r="C1410" t="s">
        <v>1971</v>
      </c>
      <c r="D1410" s="2">
        <v>20232678000013</v>
      </c>
      <c r="E1410" s="2">
        <v>7417163282981</v>
      </c>
      <c r="F1410" s="1" t="s">
        <v>131</v>
      </c>
      <c r="G1410" s="1" t="s">
        <v>53</v>
      </c>
      <c r="H1410" s="1" t="s">
        <v>2814</v>
      </c>
      <c r="I1410" s="1" t="s">
        <v>2815</v>
      </c>
      <c r="J1410" s="1" t="s">
        <v>33</v>
      </c>
      <c r="K1410" t="s">
        <v>132</v>
      </c>
      <c r="M1410" s="1" t="s">
        <v>58</v>
      </c>
      <c r="N1410" s="1">
        <v>0</v>
      </c>
      <c r="O1410" s="1" t="s">
        <v>105</v>
      </c>
      <c r="P1410" s="11" t="s">
        <v>3157</v>
      </c>
      <c r="R1410" s="1">
        <v>15</v>
      </c>
      <c r="T1410" s="1" t="s">
        <v>238</v>
      </c>
      <c r="U1410" s="11" t="s">
        <v>3158</v>
      </c>
      <c r="V1410" s="1" t="s">
        <v>41</v>
      </c>
      <c r="W1410" s="1" t="s">
        <v>42</v>
      </c>
      <c r="X1410" s="13" t="str">
        <f>IF(RIGHT(H1410,2)&lt;&gt;"00",H1410,"")</f>
        <v>2678.91</v>
      </c>
      <c r="Y1410" s="2">
        <f ca="1">NETWORKDAYS(P1410,$Y$1)</f>
        <v>13</v>
      </c>
      <c r="Z1410" s="14">
        <v>1</v>
      </c>
      <c r="AA1410" s="1" t="str">
        <f t="shared" ca="1" si="110"/>
        <v>VENCIDO</v>
      </c>
      <c r="AB1410" s="1" t="str">
        <f t="shared" si="111"/>
        <v>TAAe+</v>
      </c>
      <c r="AC1410" s="2" t="str">
        <f t="shared" si="112"/>
        <v xml:space="preserve"> ROSEMERE </v>
      </c>
      <c r="AD1410" s="2">
        <f t="shared" si="113"/>
        <v>8</v>
      </c>
      <c r="AE1410" s="2">
        <f t="shared" ca="1" si="114"/>
        <v>-14.941028587963956</v>
      </c>
    </row>
    <row r="1411" spans="1:31" hidden="1">
      <c r="A1411" s="1">
        <v>9477885</v>
      </c>
      <c r="B1411" s="1" t="s">
        <v>1970</v>
      </c>
      <c r="C1411" t="s">
        <v>1971</v>
      </c>
      <c r="D1411" s="2">
        <v>20231059000016</v>
      </c>
      <c r="E1411" s="2">
        <v>7417161482599</v>
      </c>
      <c r="F1411" s="1" t="s">
        <v>1217</v>
      </c>
      <c r="G1411" s="1" t="s">
        <v>53</v>
      </c>
      <c r="H1411" s="1" t="s">
        <v>1972</v>
      </c>
      <c r="I1411" s="1" t="s">
        <v>1973</v>
      </c>
      <c r="J1411" s="1" t="s">
        <v>90</v>
      </c>
      <c r="K1411" t="s">
        <v>1218</v>
      </c>
      <c r="M1411" s="1" t="s">
        <v>58</v>
      </c>
      <c r="N1411" s="1">
        <v>0</v>
      </c>
      <c r="O1411" s="1" t="s">
        <v>36</v>
      </c>
      <c r="P1411" s="11" t="s">
        <v>2826</v>
      </c>
      <c r="R1411" s="1">
        <v>14</v>
      </c>
      <c r="T1411" s="1" t="s">
        <v>238</v>
      </c>
      <c r="U1411" s="11" t="s">
        <v>2827</v>
      </c>
      <c r="V1411" s="1" t="s">
        <v>41</v>
      </c>
      <c r="W1411" s="1" t="s">
        <v>49</v>
      </c>
      <c r="X1411" s="13" t="str">
        <f>IF(RIGHT(H1411,2)&lt;&gt;"00",H1411,"")</f>
        <v>1059.91</v>
      </c>
      <c r="Y1411" s="2">
        <f ca="1">NETWORKDAYS(P1411,$Y$1)</f>
        <v>13</v>
      </c>
      <c r="Z1411" s="14">
        <v>1</v>
      </c>
      <c r="AA1411" s="1" t="str">
        <f t="shared" ca="1" si="110"/>
        <v>VENCIDO</v>
      </c>
      <c r="AB1411" s="1" t="str">
        <f t="shared" si="111"/>
        <v>TAAe+</v>
      </c>
      <c r="AC1411" s="2" t="str">
        <f t="shared" si="112"/>
        <v xml:space="preserve"> RINALDO </v>
      </c>
      <c r="AD1411" s="2">
        <f t="shared" si="113"/>
        <v>8</v>
      </c>
      <c r="AE1411" s="2">
        <f t="shared" ca="1" si="114"/>
        <v>-14.944419791667315</v>
      </c>
    </row>
    <row r="1412" spans="1:31" hidden="1">
      <c r="A1412" s="1">
        <v>9477533</v>
      </c>
      <c r="B1412" s="1" t="s">
        <v>62</v>
      </c>
      <c r="C1412" t="s">
        <v>2845</v>
      </c>
      <c r="E1412" s="2">
        <v>7417183022889</v>
      </c>
      <c r="F1412" s="1" t="s">
        <v>1313</v>
      </c>
      <c r="G1412" s="1" t="s">
        <v>53</v>
      </c>
      <c r="H1412" s="1" t="s">
        <v>2846</v>
      </c>
      <c r="I1412" s="1" t="s">
        <v>2847</v>
      </c>
      <c r="J1412" s="1" t="s">
        <v>110</v>
      </c>
      <c r="K1412" t="s">
        <v>1316</v>
      </c>
      <c r="M1412" s="1" t="s">
        <v>58</v>
      </c>
      <c r="N1412" s="1">
        <v>0</v>
      </c>
      <c r="O1412" s="1" t="s">
        <v>105</v>
      </c>
      <c r="P1412" s="11" t="s">
        <v>3159</v>
      </c>
      <c r="R1412" s="1">
        <v>14</v>
      </c>
      <c r="T1412" s="1" t="s">
        <v>238</v>
      </c>
      <c r="U1412" s="11" t="s">
        <v>3160</v>
      </c>
      <c r="V1412" s="1" t="s">
        <v>41</v>
      </c>
      <c r="W1412" s="1" t="s">
        <v>49</v>
      </c>
      <c r="X1412" s="13" t="str">
        <f>IF(RIGHT(H1412,2)&lt;&gt;"00",H1412,"")</f>
        <v>1363.91</v>
      </c>
      <c r="Y1412" s="2">
        <f ca="1">NETWORKDAYS(P1412,$Y$1)</f>
        <v>13</v>
      </c>
      <c r="Z1412" s="14">
        <v>1</v>
      </c>
      <c r="AA1412" s="1" t="str">
        <f t="shared" ca="1" si="110"/>
        <v>VENCIDO</v>
      </c>
      <c r="AB1412" s="1" t="str">
        <f t="shared" si="111"/>
        <v>TAAe+</v>
      </c>
      <c r="AC1412" s="2" t="str">
        <f t="shared" si="112"/>
        <v xml:space="preserve"> CRISTINA </v>
      </c>
      <c r="AD1412" s="2">
        <f t="shared" si="113"/>
        <v>8</v>
      </c>
      <c r="AE1412" s="2">
        <f t="shared" ca="1" si="114"/>
        <v>-11.676966087965411</v>
      </c>
    </row>
    <row r="1413" spans="1:31">
      <c r="A1413" s="173">
        <v>9477367</v>
      </c>
      <c r="B1413" s="173" t="s">
        <v>1153</v>
      </c>
      <c r="C1413" s="178" t="s">
        <v>3501</v>
      </c>
      <c r="D1413" s="174"/>
      <c r="E1413" s="174">
        <v>246000206021</v>
      </c>
      <c r="F1413" s="173" t="s">
        <v>103</v>
      </c>
      <c r="G1413" s="173" t="s">
        <v>53</v>
      </c>
      <c r="H1413" s="173" t="s">
        <v>1193</v>
      </c>
      <c r="I1413" s="173" t="s">
        <v>1194</v>
      </c>
      <c r="J1413" s="173" t="s">
        <v>85</v>
      </c>
      <c r="K1413" t="s">
        <v>104</v>
      </c>
      <c r="M1413" s="1" t="s">
        <v>58</v>
      </c>
      <c r="N1413" s="1">
        <v>0</v>
      </c>
      <c r="O1413" s="1" t="s">
        <v>36</v>
      </c>
      <c r="P1413" s="11" t="s">
        <v>3162</v>
      </c>
      <c r="R1413" s="1" t="s">
        <v>38</v>
      </c>
      <c r="T1413" s="1" t="s">
        <v>74</v>
      </c>
      <c r="U1413" s="11" t="s">
        <v>1959</v>
      </c>
      <c r="V1413" s="1" t="s">
        <v>41</v>
      </c>
      <c r="W1413" s="1" t="s">
        <v>49</v>
      </c>
      <c r="X1413" s="13" t="str">
        <f>IF(RIGHT(H1413,2)&lt;&gt;"00",H1413,"")</f>
        <v/>
      </c>
      <c r="Y1413" s="2">
        <f ca="1">NETWORKDAYS(P1413,$Y$1)</f>
        <v>13</v>
      </c>
      <c r="Z1413" s="14">
        <v>1</v>
      </c>
      <c r="AA1413" s="1" t="str">
        <f t="shared" ca="1" si="110"/>
        <v>VENCIDO</v>
      </c>
      <c r="AB1413" s="1" t="str">
        <f t="shared" si="111"/>
        <v>Dosa</v>
      </c>
      <c r="AC1413" s="2" t="str">
        <f t="shared" si="112"/>
        <v xml:space="preserve"> RINALDO </v>
      </c>
      <c r="AD1413" s="2">
        <f t="shared" si="113"/>
        <v>5</v>
      </c>
      <c r="AE1413" s="2">
        <f t="shared" ca="1" si="114"/>
        <v>-6.9262716435187031</v>
      </c>
    </row>
    <row r="1414" spans="1:31" hidden="1">
      <c r="A1414" s="1">
        <v>9477347</v>
      </c>
      <c r="B1414" s="1" t="s">
        <v>1153</v>
      </c>
      <c r="C1414" t="s">
        <v>2849</v>
      </c>
      <c r="D1414" s="2">
        <v>20234844000448</v>
      </c>
      <c r="E1414" s="2">
        <v>7417183020602</v>
      </c>
      <c r="F1414" s="1" t="s">
        <v>1313</v>
      </c>
      <c r="G1414" s="1" t="s">
        <v>53</v>
      </c>
      <c r="H1414" s="1" t="s">
        <v>2850</v>
      </c>
      <c r="I1414" s="1" t="s">
        <v>2851</v>
      </c>
      <c r="J1414" s="1" t="s">
        <v>46</v>
      </c>
      <c r="K1414" t="s">
        <v>1316</v>
      </c>
      <c r="M1414" s="1" t="s">
        <v>58</v>
      </c>
      <c r="N1414" s="1">
        <v>0</v>
      </c>
      <c r="O1414" s="1" t="s">
        <v>105</v>
      </c>
      <c r="P1414" s="11" t="s">
        <v>2852</v>
      </c>
      <c r="R1414" s="1">
        <v>13</v>
      </c>
      <c r="T1414" s="1" t="s">
        <v>238</v>
      </c>
      <c r="U1414" s="186">
        <v>44970.639490740738</v>
      </c>
      <c r="V1414" s="1" t="s">
        <v>41</v>
      </c>
      <c r="W1414" s="1" t="s">
        <v>49</v>
      </c>
      <c r="X1414" s="13" t="str">
        <f>IF(RIGHT(H1414,2)&lt;&gt;"00",H1414,"")</f>
        <v>4844.02</v>
      </c>
      <c r="Y1414" s="2">
        <f ca="1">NETWORKDAYS(P1414,$Y$1)</f>
        <v>13</v>
      </c>
      <c r="Z1414" s="14">
        <v>1</v>
      </c>
      <c r="AA1414" s="1" t="str">
        <f t="shared" ca="1" si="110"/>
        <v>VENCIDO</v>
      </c>
      <c r="AB1414" s="1" t="str">
        <f t="shared" si="111"/>
        <v>TAAe+</v>
      </c>
      <c r="AC1414" s="2" t="str">
        <f t="shared" si="112"/>
        <v xml:space="preserve"> CLEITON </v>
      </c>
      <c r="AD1414" s="2">
        <f t="shared" si="113"/>
        <v>8</v>
      </c>
      <c r="AE1414" s="2">
        <f t="shared" ca="1" si="114"/>
        <v>-16.036780902781175</v>
      </c>
    </row>
    <row r="1415" spans="1:31" hidden="1">
      <c r="A1415" s="1">
        <v>9477241</v>
      </c>
      <c r="B1415" s="1" t="s">
        <v>1153</v>
      </c>
      <c r="C1415" t="s">
        <v>2853</v>
      </c>
      <c r="D1415" s="2">
        <v>20231421000012</v>
      </c>
      <c r="E1415" s="2">
        <v>7417202021229</v>
      </c>
      <c r="F1415" s="1" t="s">
        <v>1213</v>
      </c>
      <c r="G1415" s="1" t="s">
        <v>53</v>
      </c>
      <c r="H1415" s="1" t="s">
        <v>2854</v>
      </c>
      <c r="I1415" s="1" t="s">
        <v>2855</v>
      </c>
      <c r="J1415" s="1" t="s">
        <v>79</v>
      </c>
      <c r="K1415" t="s">
        <v>1214</v>
      </c>
      <c r="M1415" s="1" t="s">
        <v>58</v>
      </c>
      <c r="N1415" s="1">
        <v>0</v>
      </c>
      <c r="O1415" s="1" t="s">
        <v>36</v>
      </c>
      <c r="P1415" s="11" t="s">
        <v>3163</v>
      </c>
      <c r="R1415" s="1">
        <v>14</v>
      </c>
      <c r="T1415" s="1" t="s">
        <v>238</v>
      </c>
      <c r="U1415" s="186">
        <v>44970.63689814815</v>
      </c>
      <c r="V1415" s="1" t="s">
        <v>41</v>
      </c>
      <c r="W1415" s="1" t="s">
        <v>49</v>
      </c>
      <c r="X1415" s="13" t="str">
        <f>IF(RIGHT(H1415,2)&lt;&gt;"00",H1415,"")</f>
        <v>1421.91</v>
      </c>
      <c r="Y1415" s="2">
        <f ca="1">NETWORKDAYS(P1415,$Y$1)</f>
        <v>13</v>
      </c>
      <c r="Z1415" s="14">
        <v>1</v>
      </c>
      <c r="AA1415" s="1" t="str">
        <f t="shared" ca="1" si="110"/>
        <v>VENCIDO</v>
      </c>
      <c r="AB1415" s="1" t="str">
        <f t="shared" si="111"/>
        <v>TAAe+</v>
      </c>
      <c r="AC1415" s="2" t="str">
        <f t="shared" si="112"/>
        <v xml:space="preserve"> ROSEMERE </v>
      </c>
      <c r="AD1415" s="2">
        <f t="shared" si="113"/>
        <v>8</v>
      </c>
      <c r="AE1415" s="2">
        <f t="shared" ca="1" si="114"/>
        <v>-16.039373495368636</v>
      </c>
    </row>
    <row r="1416" spans="1:31" hidden="1">
      <c r="A1416" s="1">
        <v>9477100</v>
      </c>
      <c r="B1416" s="1" t="s">
        <v>1153</v>
      </c>
      <c r="C1416" t="s">
        <v>2857</v>
      </c>
      <c r="D1416" s="2">
        <v>20230711000013</v>
      </c>
      <c r="E1416" s="2">
        <v>7419141893475</v>
      </c>
      <c r="F1416" s="1" t="s">
        <v>128</v>
      </c>
      <c r="G1416" s="1" t="s">
        <v>53</v>
      </c>
      <c r="H1416" s="1" t="s">
        <v>2858</v>
      </c>
      <c r="I1416" s="1" t="s">
        <v>2859</v>
      </c>
      <c r="J1416" s="1" t="s">
        <v>79</v>
      </c>
      <c r="K1416" t="s">
        <v>129</v>
      </c>
      <c r="M1416" s="1" t="s">
        <v>58</v>
      </c>
      <c r="N1416" s="1">
        <v>0</v>
      </c>
      <c r="O1416" s="1" t="s">
        <v>36</v>
      </c>
      <c r="P1416" s="11" t="s">
        <v>3164</v>
      </c>
      <c r="R1416" s="1">
        <v>14</v>
      </c>
      <c r="T1416" s="1" t="s">
        <v>238</v>
      </c>
      <c r="U1416" s="11" t="s">
        <v>3164</v>
      </c>
      <c r="V1416" s="1" t="s">
        <v>41</v>
      </c>
      <c r="W1416" s="1" t="s">
        <v>49</v>
      </c>
      <c r="X1416" s="13" t="str">
        <f>IF(RIGHT(H1416,2)&lt;&gt;"00",H1416,"")</f>
        <v>0711.91</v>
      </c>
      <c r="Y1416" s="2">
        <f ca="1">NETWORKDAYS(P1416,$Y$1)</f>
        <v>13</v>
      </c>
      <c r="Z1416" s="14">
        <v>1</v>
      </c>
      <c r="AA1416" s="1" t="str">
        <f t="shared" ca="1" si="110"/>
        <v>VENCIDO</v>
      </c>
      <c r="AB1416" s="1" t="str">
        <f t="shared" si="111"/>
        <v>TAAe+</v>
      </c>
      <c r="AC1416" s="2" t="str">
        <f t="shared" si="112"/>
        <v xml:space="preserve"> ROSEMERE </v>
      </c>
      <c r="AD1416" s="2">
        <f t="shared" si="113"/>
        <v>8</v>
      </c>
      <c r="AE1416" s="2">
        <f t="shared" ca="1" si="114"/>
        <v>-16.061202199074614</v>
      </c>
    </row>
    <row r="1417" spans="1:31" hidden="1">
      <c r="A1417" s="1">
        <v>9476939</v>
      </c>
      <c r="B1417" s="1" t="s">
        <v>1153</v>
      </c>
      <c r="C1417" t="s">
        <v>2862</v>
      </c>
      <c r="D1417" s="2">
        <v>230028336</v>
      </c>
      <c r="E1417" s="2">
        <v>1128001400020</v>
      </c>
      <c r="F1417" s="1" t="s">
        <v>1961</v>
      </c>
      <c r="G1417" s="1" t="s">
        <v>53</v>
      </c>
      <c r="H1417" s="1" t="s">
        <v>1191</v>
      </c>
      <c r="I1417" s="1" t="s">
        <v>1192</v>
      </c>
      <c r="J1417" s="1" t="s">
        <v>33</v>
      </c>
      <c r="K1417" t="s">
        <v>1962</v>
      </c>
      <c r="M1417" s="1" t="s">
        <v>58</v>
      </c>
      <c r="N1417" s="1">
        <v>0</v>
      </c>
      <c r="O1417" s="1" t="s">
        <v>36</v>
      </c>
      <c r="P1417" s="11" t="s">
        <v>3167</v>
      </c>
      <c r="R1417" s="1">
        <v>4</v>
      </c>
      <c r="T1417" s="1" t="s">
        <v>646</v>
      </c>
      <c r="U1417" s="11" t="s">
        <v>3168</v>
      </c>
      <c r="V1417" s="1" t="s">
        <v>41</v>
      </c>
      <c r="W1417" s="1" t="s">
        <v>49</v>
      </c>
      <c r="X1417" s="13" t="str">
        <f>IF(RIGHT(H1417,2)&lt;&gt;"00",H1417,"")</f>
        <v/>
      </c>
      <c r="Y1417" s="2">
        <f ca="1">NETWORKDAYS(P1417,$Y$1)</f>
        <v>13</v>
      </c>
      <c r="Z1417" s="14">
        <v>1</v>
      </c>
      <c r="AA1417" s="1" t="str">
        <f t="shared" ca="1" si="110"/>
        <v>VENCIDO</v>
      </c>
      <c r="AB1417" s="1" t="str">
        <f t="shared" si="111"/>
        <v>C-14</v>
      </c>
      <c r="AC1417" s="2" t="str">
        <f t="shared" si="112"/>
        <v xml:space="preserve"> ROSEMERE </v>
      </c>
      <c r="AD1417" s="2">
        <f t="shared" si="113"/>
        <v>5</v>
      </c>
      <c r="AE1417" s="2">
        <f t="shared" ca="1" si="114"/>
        <v>-7.1554383101829444</v>
      </c>
    </row>
    <row r="1418" spans="1:31" hidden="1">
      <c r="A1418" s="1">
        <v>9476686</v>
      </c>
      <c r="B1418" s="1" t="s">
        <v>1153</v>
      </c>
      <c r="C1418" t="s">
        <v>2865</v>
      </c>
      <c r="D1418" s="2">
        <v>20238074000005</v>
      </c>
      <c r="E1418" s="2">
        <v>7417210950046</v>
      </c>
      <c r="F1418" s="1" t="s">
        <v>1213</v>
      </c>
      <c r="G1418" s="1" t="s">
        <v>53</v>
      </c>
      <c r="H1418" s="1" t="s">
        <v>2866</v>
      </c>
      <c r="I1418" s="1" t="s">
        <v>2867</v>
      </c>
      <c r="J1418" s="1" t="s">
        <v>33</v>
      </c>
      <c r="K1418" t="s">
        <v>1214</v>
      </c>
      <c r="M1418" s="1" t="s">
        <v>58</v>
      </c>
      <c r="N1418" s="1">
        <v>0</v>
      </c>
      <c r="O1418" s="1" t="s">
        <v>36</v>
      </c>
      <c r="P1418" s="11" t="s">
        <v>3171</v>
      </c>
      <c r="R1418" s="1">
        <v>14</v>
      </c>
      <c r="T1418" s="1" t="s">
        <v>238</v>
      </c>
      <c r="U1418" s="11" t="s">
        <v>3171</v>
      </c>
      <c r="V1418" s="1" t="s">
        <v>41</v>
      </c>
      <c r="W1418" s="1" t="s">
        <v>49</v>
      </c>
      <c r="X1418" s="13" t="str">
        <f>IF(RIGHT(H1418,2)&lt;&gt;"00",H1418,"")</f>
        <v>8074.91</v>
      </c>
      <c r="Y1418" s="2">
        <f ca="1">NETWORKDAYS(P1418,$Y$1)</f>
        <v>13</v>
      </c>
      <c r="Z1418" s="14">
        <v>1</v>
      </c>
      <c r="AA1418" s="1" t="str">
        <f t="shared" ca="1" si="110"/>
        <v>VENCIDO</v>
      </c>
      <c r="AB1418" s="1" t="str">
        <f t="shared" si="111"/>
        <v>TAAe+</v>
      </c>
      <c r="AC1418" s="2" t="str">
        <f t="shared" si="112"/>
        <v xml:space="preserve"> ROSEMERE </v>
      </c>
      <c r="AD1418" s="2">
        <f t="shared" si="113"/>
        <v>8</v>
      </c>
      <c r="AE1418" s="2">
        <f t="shared" ca="1" si="114"/>
        <v>-16.127903587963374</v>
      </c>
    </row>
    <row r="1419" spans="1:31" hidden="1">
      <c r="A1419" s="1">
        <v>9476598</v>
      </c>
      <c r="B1419" s="1" t="s">
        <v>1153</v>
      </c>
      <c r="C1419" t="s">
        <v>2872</v>
      </c>
      <c r="D1419" s="2">
        <v>20234844000445</v>
      </c>
      <c r="E1419" s="2">
        <v>7417172789396</v>
      </c>
      <c r="F1419" s="1" t="s">
        <v>1989</v>
      </c>
      <c r="G1419" s="1" t="s">
        <v>53</v>
      </c>
      <c r="H1419" s="1" t="s">
        <v>2873</v>
      </c>
      <c r="I1419" s="1" t="s">
        <v>2874</v>
      </c>
      <c r="J1419" s="1" t="s">
        <v>46</v>
      </c>
      <c r="K1419" t="s">
        <v>1990</v>
      </c>
      <c r="M1419" s="1" t="s">
        <v>58</v>
      </c>
      <c r="N1419" s="1">
        <v>0</v>
      </c>
      <c r="O1419" s="1" t="s">
        <v>36</v>
      </c>
      <c r="P1419" s="11" t="s">
        <v>3173</v>
      </c>
      <c r="R1419" s="1">
        <v>22</v>
      </c>
      <c r="T1419" s="1" t="s">
        <v>1160</v>
      </c>
      <c r="U1419" s="186">
        <v>44972.747662037036</v>
      </c>
      <c r="V1419" s="1" t="s">
        <v>41</v>
      </c>
      <c r="W1419" s="1" t="s">
        <v>49</v>
      </c>
      <c r="X1419" s="13" t="str">
        <f>IF(RIGHT(H1419,2)&lt;&gt;"00",H1419,"")</f>
        <v>4845.14</v>
      </c>
      <c r="Y1419" s="2">
        <f ca="1">NETWORKDAYS(P1419,$Y$1)</f>
        <v>13</v>
      </c>
      <c r="Z1419" s="14">
        <v>1</v>
      </c>
      <c r="AA1419" s="1" t="str">
        <f t="shared" ca="1" si="110"/>
        <v>VENCIDO</v>
      </c>
      <c r="AB1419" s="1" t="str">
        <f t="shared" si="111"/>
        <v>TAAe+</v>
      </c>
      <c r="AC1419" s="2" t="str">
        <f t="shared" si="112"/>
        <v xml:space="preserve"> CLEITON </v>
      </c>
      <c r="AD1419" s="2">
        <f t="shared" si="113"/>
        <v>8</v>
      </c>
      <c r="AE1419" s="2">
        <f t="shared" ca="1" si="114"/>
        <v>-13.928609606482496</v>
      </c>
    </row>
    <row r="1420" spans="1:31" hidden="1">
      <c r="A1420" s="1">
        <v>9476515</v>
      </c>
      <c r="B1420" s="1" t="s">
        <v>1153</v>
      </c>
      <c r="C1420" t="s">
        <v>3175</v>
      </c>
      <c r="D1420" s="2">
        <v>20231421000011</v>
      </c>
      <c r="E1420" s="2">
        <v>7417202021230</v>
      </c>
      <c r="F1420" s="1" t="s">
        <v>1213</v>
      </c>
      <c r="G1420" s="1" t="s">
        <v>53</v>
      </c>
      <c r="H1420" s="1" t="s">
        <v>2854</v>
      </c>
      <c r="I1420" s="1" t="s">
        <v>2855</v>
      </c>
      <c r="J1420" s="1" t="s">
        <v>79</v>
      </c>
      <c r="K1420" t="s">
        <v>1214</v>
      </c>
      <c r="M1420" s="1" t="s">
        <v>58</v>
      </c>
      <c r="N1420" s="1">
        <v>0</v>
      </c>
      <c r="O1420" s="1" t="s">
        <v>36</v>
      </c>
      <c r="P1420" s="11" t="s">
        <v>3176</v>
      </c>
      <c r="R1420" s="1">
        <v>14</v>
      </c>
      <c r="T1420" s="1" t="s">
        <v>238</v>
      </c>
      <c r="U1420" s="186">
        <v>44970.523252314815</v>
      </c>
      <c r="V1420" s="1" t="s">
        <v>41</v>
      </c>
      <c r="W1420" s="1" t="s">
        <v>49</v>
      </c>
      <c r="X1420" s="13" t="str">
        <f>IF(RIGHT(H1420,2)&lt;&gt;"00",H1420,"")</f>
        <v>1421.91</v>
      </c>
      <c r="Y1420" s="2">
        <f ca="1">NETWORKDAYS(P1420,$Y$1)</f>
        <v>13</v>
      </c>
      <c r="Z1420" s="14">
        <v>1</v>
      </c>
      <c r="AA1420" s="1" t="str">
        <f t="shared" ca="1" si="110"/>
        <v>VENCIDO</v>
      </c>
      <c r="AB1420" s="1" t="str">
        <f t="shared" si="111"/>
        <v>TAAe+</v>
      </c>
      <c r="AC1420" s="2" t="str">
        <f t="shared" si="112"/>
        <v xml:space="preserve"> ROSEMERE </v>
      </c>
      <c r="AD1420" s="2">
        <f t="shared" si="113"/>
        <v>8</v>
      </c>
      <c r="AE1420" s="2">
        <f t="shared" ca="1" si="114"/>
        <v>-16.153019328703522</v>
      </c>
    </row>
    <row r="1421" spans="1:31" hidden="1">
      <c r="A1421" s="1">
        <v>9476344</v>
      </c>
      <c r="B1421" s="1" t="s">
        <v>1153</v>
      </c>
      <c r="C1421" t="s">
        <v>2888</v>
      </c>
      <c r="E1421" s="2">
        <v>2830000206001</v>
      </c>
      <c r="F1421" s="1" t="s">
        <v>29</v>
      </c>
      <c r="G1421" s="1" t="s">
        <v>53</v>
      </c>
      <c r="H1421" s="1" t="s">
        <v>448</v>
      </c>
      <c r="I1421" s="1" t="s">
        <v>449</v>
      </c>
      <c r="J1421" s="1" t="s">
        <v>33</v>
      </c>
      <c r="K1421" t="s">
        <v>34</v>
      </c>
      <c r="M1421" s="1" t="s">
        <v>35</v>
      </c>
      <c r="N1421" s="1">
        <v>42318949</v>
      </c>
      <c r="O1421" s="1" t="s">
        <v>36</v>
      </c>
      <c r="P1421" s="11" t="s">
        <v>3181</v>
      </c>
      <c r="R1421" s="1" t="s">
        <v>38</v>
      </c>
      <c r="T1421" s="1" t="s">
        <v>74</v>
      </c>
      <c r="U1421" s="11" t="s">
        <v>3635</v>
      </c>
      <c r="V1421" s="1" t="s">
        <v>41</v>
      </c>
      <c r="W1421" s="1" t="s">
        <v>42</v>
      </c>
      <c r="X1421" s="13" t="str">
        <f>IF(RIGHT(H1421,2)&lt;&gt;"00",H1421,"")</f>
        <v/>
      </c>
      <c r="Y1421" s="2">
        <f ca="1">NETWORKDAYS(P1421,$Y$1)</f>
        <v>13</v>
      </c>
      <c r="Z1421" s="14">
        <v>1</v>
      </c>
      <c r="AA1421" s="1" t="str">
        <f t="shared" ca="1" si="110"/>
        <v>VENCIDO</v>
      </c>
      <c r="AB1421" s="1" t="str">
        <f t="shared" si="111"/>
        <v>Dosa</v>
      </c>
      <c r="AC1421" s="2" t="str">
        <f t="shared" si="112"/>
        <v xml:space="preserve"> ROSEMERE </v>
      </c>
      <c r="AD1421" s="2">
        <f t="shared" si="113"/>
        <v>5</v>
      </c>
      <c r="AE1421" s="2">
        <f t="shared" ca="1" si="114"/>
        <v>-2.0929383101829444</v>
      </c>
    </row>
    <row r="1422" spans="1:31" hidden="1">
      <c r="A1422" s="1">
        <v>9476194</v>
      </c>
      <c r="B1422" s="1" t="s">
        <v>1153</v>
      </c>
      <c r="C1422" t="s">
        <v>2890</v>
      </c>
      <c r="D1422" s="2">
        <v>20231739000003</v>
      </c>
      <c r="E1422" s="2">
        <v>7417210950311</v>
      </c>
      <c r="F1422" s="1" t="s">
        <v>1213</v>
      </c>
      <c r="G1422" s="1" t="s">
        <v>53</v>
      </c>
      <c r="H1422" s="1" t="s">
        <v>2891</v>
      </c>
      <c r="I1422" s="1" t="s">
        <v>2892</v>
      </c>
      <c r="J1422" s="1" t="s">
        <v>164</v>
      </c>
      <c r="K1422" t="s">
        <v>1214</v>
      </c>
      <c r="M1422" s="1" t="s">
        <v>58</v>
      </c>
      <c r="N1422" s="1">
        <v>0</v>
      </c>
      <c r="O1422" s="1" t="s">
        <v>36</v>
      </c>
      <c r="P1422" s="11" t="s">
        <v>3184</v>
      </c>
      <c r="R1422" s="1">
        <v>14</v>
      </c>
      <c r="T1422" s="1" t="s">
        <v>238</v>
      </c>
      <c r="U1422" s="11" t="s">
        <v>3184</v>
      </c>
      <c r="V1422" s="1" t="s">
        <v>41</v>
      </c>
      <c r="W1422" s="1" t="s">
        <v>49</v>
      </c>
      <c r="X1422" s="13" t="str">
        <f>IF(RIGHT(H1422,2)&lt;&gt;"00",H1422,"")</f>
        <v>1739.91</v>
      </c>
      <c r="Y1422" s="2">
        <f ca="1">NETWORKDAYS(P1422,$Y$1)</f>
        <v>13</v>
      </c>
      <c r="Z1422" s="14">
        <v>1</v>
      </c>
      <c r="AA1422" s="1" t="str">
        <f t="shared" ca="1" si="110"/>
        <v>VENCIDO</v>
      </c>
      <c r="AB1422" s="1" t="str">
        <f t="shared" si="111"/>
        <v>TAAe+</v>
      </c>
      <c r="AC1422" s="2" t="str">
        <f t="shared" si="112"/>
        <v xml:space="preserve"> ROSEMERE </v>
      </c>
      <c r="AD1422" s="2">
        <f t="shared" si="113"/>
        <v>8</v>
      </c>
      <c r="AE1422" s="2">
        <f t="shared" ca="1" si="114"/>
        <v>-16.193922106482205</v>
      </c>
    </row>
    <row r="1423" spans="1:31" hidden="1">
      <c r="A1423" s="1">
        <v>9476101</v>
      </c>
      <c r="B1423" s="1" t="s">
        <v>1153</v>
      </c>
      <c r="C1423" t="s">
        <v>2894</v>
      </c>
      <c r="D1423" s="2">
        <v>20231052000012</v>
      </c>
      <c r="E1423" s="2">
        <v>7417183020683</v>
      </c>
      <c r="F1423" s="1" t="s">
        <v>1313</v>
      </c>
      <c r="G1423" s="1" t="s">
        <v>53</v>
      </c>
      <c r="H1423" s="1" t="s">
        <v>2560</v>
      </c>
      <c r="I1423" s="1" t="s">
        <v>2561</v>
      </c>
      <c r="J1423" s="1" t="s">
        <v>79</v>
      </c>
      <c r="K1423" t="s">
        <v>1316</v>
      </c>
      <c r="M1423" s="1" t="s">
        <v>58</v>
      </c>
      <c r="N1423" s="1">
        <v>0</v>
      </c>
      <c r="O1423" s="1" t="s">
        <v>36</v>
      </c>
      <c r="P1423" s="11" t="s">
        <v>2895</v>
      </c>
      <c r="R1423" s="1">
        <v>14</v>
      </c>
      <c r="T1423" s="1" t="s">
        <v>238</v>
      </c>
      <c r="U1423" s="186">
        <v>44970.475324074076</v>
      </c>
      <c r="V1423" s="1" t="s">
        <v>41</v>
      </c>
      <c r="W1423" s="1" t="s">
        <v>49</v>
      </c>
      <c r="X1423" s="13" t="str">
        <f>IF(RIGHT(H1423,2)&lt;&gt;"00",H1423,"")</f>
        <v>1052.91</v>
      </c>
      <c r="Y1423" s="2">
        <f ca="1">NETWORKDAYS(P1423,$Y$1)</f>
        <v>13</v>
      </c>
      <c r="Z1423" s="14">
        <v>1</v>
      </c>
      <c r="AA1423" s="1" t="str">
        <f t="shared" ca="1" si="110"/>
        <v>VENCIDO</v>
      </c>
      <c r="AB1423" s="1" t="str">
        <f t="shared" si="111"/>
        <v>TAAe+</v>
      </c>
      <c r="AC1423" s="2" t="str">
        <f t="shared" si="112"/>
        <v xml:space="preserve"> ROSEMERE </v>
      </c>
      <c r="AD1423" s="2">
        <f t="shared" si="113"/>
        <v>8</v>
      </c>
      <c r="AE1423" s="2">
        <f t="shared" ca="1" si="114"/>
        <v>-16.200947569443088</v>
      </c>
    </row>
    <row r="1424" spans="1:31">
      <c r="A1424" s="181">
        <v>9475757</v>
      </c>
      <c r="B1424" s="181" t="s">
        <v>1153</v>
      </c>
      <c r="C1424" s="185" t="s">
        <v>2903</v>
      </c>
      <c r="D1424" s="183">
        <v>230028057</v>
      </c>
      <c r="E1424" s="183">
        <v>2437001400010</v>
      </c>
      <c r="F1424" s="181" t="s">
        <v>936</v>
      </c>
      <c r="G1424" s="181" t="s">
        <v>53</v>
      </c>
      <c r="H1424" s="181" t="s">
        <v>416</v>
      </c>
      <c r="I1424" s="181" t="s">
        <v>417</v>
      </c>
      <c r="J1424" s="181" t="s">
        <v>211</v>
      </c>
      <c r="K1424" t="s">
        <v>937</v>
      </c>
      <c r="M1424" s="1" t="s">
        <v>58</v>
      </c>
      <c r="N1424" s="1">
        <v>0</v>
      </c>
      <c r="O1424" s="1" t="s">
        <v>36</v>
      </c>
      <c r="P1424" s="11" t="s">
        <v>2904</v>
      </c>
      <c r="R1424" s="1">
        <v>3</v>
      </c>
      <c r="T1424" s="1" t="s">
        <v>646</v>
      </c>
      <c r="U1424" s="186">
        <v>44984.586805555555</v>
      </c>
      <c r="V1424" s="1" t="s">
        <v>41</v>
      </c>
      <c r="W1424" s="1" t="s">
        <v>49</v>
      </c>
      <c r="X1424" s="13" t="str">
        <f>IF(RIGHT(H1424,2)&lt;&gt;"00",H1424,"")</f>
        <v/>
      </c>
      <c r="Y1424" s="2">
        <f ca="1">NETWORKDAYS(P1424,$Y$1)</f>
        <v>13</v>
      </c>
      <c r="Z1424" s="14">
        <v>1</v>
      </c>
      <c r="AA1424" s="1" t="str">
        <f t="shared" ca="1" si="110"/>
        <v>VENCIDO</v>
      </c>
      <c r="AB1424" s="1" t="str">
        <f t="shared" si="111"/>
        <v>C-14</v>
      </c>
      <c r="AC1424" s="2" t="str">
        <f t="shared" si="112"/>
        <v xml:space="preserve"> RINALDO </v>
      </c>
      <c r="AD1424" s="2">
        <f t="shared" si="113"/>
        <v>5</v>
      </c>
      <c r="AE1424" s="2">
        <f t="shared" ca="1" si="114"/>
        <v>-2.0894660879639559</v>
      </c>
    </row>
    <row r="1425" spans="1:31" hidden="1">
      <c r="A1425" s="1">
        <v>9475584</v>
      </c>
      <c r="B1425" s="1" t="s">
        <v>101</v>
      </c>
      <c r="C1425" t="s">
        <v>1740</v>
      </c>
      <c r="E1425" s="2">
        <v>7419151140262</v>
      </c>
      <c r="F1425" s="1" t="s">
        <v>2058</v>
      </c>
      <c r="G1425" s="1" t="s">
        <v>53</v>
      </c>
      <c r="H1425" s="1" t="s">
        <v>2910</v>
      </c>
      <c r="I1425" s="1" t="s">
        <v>2911</v>
      </c>
      <c r="J1425" s="1" t="s">
        <v>90</v>
      </c>
      <c r="K1425" t="s">
        <v>2061</v>
      </c>
      <c r="M1425" s="1" t="s">
        <v>58</v>
      </c>
      <c r="N1425" s="1">
        <v>0</v>
      </c>
      <c r="O1425" s="1" t="s">
        <v>36</v>
      </c>
      <c r="P1425" s="11" t="s">
        <v>2912</v>
      </c>
      <c r="R1425" s="1">
        <v>14</v>
      </c>
      <c r="T1425" s="1" t="s">
        <v>238</v>
      </c>
      <c r="U1425" s="186">
        <v>44970.429606481484</v>
      </c>
      <c r="V1425" s="1" t="s">
        <v>41</v>
      </c>
      <c r="W1425" s="1" t="s">
        <v>49</v>
      </c>
      <c r="X1425" s="13" t="str">
        <f>IF(RIGHT(H1425,2)&lt;&gt;"00",H1425,"")</f>
        <v>1362.91</v>
      </c>
      <c r="Y1425" s="2">
        <f ca="1">NETWORKDAYS(P1425,$Y$1)</f>
        <v>13</v>
      </c>
      <c r="Z1425" s="14">
        <v>1</v>
      </c>
      <c r="AA1425" s="1" t="str">
        <f t="shared" ca="1" si="110"/>
        <v>VENCIDO</v>
      </c>
      <c r="AB1425" s="1" t="str">
        <f t="shared" si="111"/>
        <v>TAAe+</v>
      </c>
      <c r="AC1425" s="2" t="str">
        <f t="shared" si="112"/>
        <v xml:space="preserve"> RINALDO </v>
      </c>
      <c r="AD1425" s="2">
        <f t="shared" si="113"/>
        <v>8</v>
      </c>
      <c r="AE1425" s="2">
        <f t="shared" ca="1" si="114"/>
        <v>-16.246665162034333</v>
      </c>
    </row>
    <row r="1426" spans="1:31" hidden="1">
      <c r="A1426" s="1">
        <v>9475564</v>
      </c>
      <c r="B1426" s="1" t="s">
        <v>1153</v>
      </c>
      <c r="C1426" t="s">
        <v>2921</v>
      </c>
      <c r="D1426" s="2">
        <v>20231363000016</v>
      </c>
      <c r="E1426" s="2">
        <v>7419152461296</v>
      </c>
      <c r="F1426" s="1" t="s">
        <v>2744</v>
      </c>
      <c r="G1426" s="1" t="s">
        <v>53</v>
      </c>
      <c r="H1426" s="1" t="s">
        <v>108</v>
      </c>
      <c r="I1426" s="1" t="s">
        <v>109</v>
      </c>
      <c r="J1426" s="1" t="s">
        <v>110</v>
      </c>
      <c r="K1426" t="s">
        <v>2745</v>
      </c>
      <c r="M1426" s="1" t="s">
        <v>58</v>
      </c>
      <c r="N1426" s="1">
        <v>0</v>
      </c>
      <c r="O1426" s="1" t="s">
        <v>36</v>
      </c>
      <c r="P1426" s="11" t="s">
        <v>2922</v>
      </c>
      <c r="R1426" s="1">
        <v>22</v>
      </c>
      <c r="T1426" s="1" t="s">
        <v>1160</v>
      </c>
      <c r="U1426" s="186">
        <v>44972.630833333336</v>
      </c>
      <c r="V1426" s="1" t="s">
        <v>41</v>
      </c>
      <c r="W1426" s="1" t="s">
        <v>49</v>
      </c>
      <c r="X1426" s="13" t="str">
        <f>IF(RIGHT(H1426,2)&lt;&gt;"00",H1426,"")</f>
        <v/>
      </c>
      <c r="Y1426" s="2">
        <f ca="1">NETWORKDAYS(P1426,$Y$1)</f>
        <v>13</v>
      </c>
      <c r="Z1426" s="14">
        <v>1</v>
      </c>
      <c r="AA1426" s="1" t="str">
        <f t="shared" ca="1" si="110"/>
        <v>VENCIDO</v>
      </c>
      <c r="AB1426" s="1" t="str">
        <f t="shared" si="111"/>
        <v>TAAe+</v>
      </c>
      <c r="AC1426" s="2" t="str">
        <f t="shared" si="112"/>
        <v xml:space="preserve"> CRISTINA </v>
      </c>
      <c r="AD1426" s="2">
        <f t="shared" si="113"/>
        <v>8</v>
      </c>
      <c r="AE1426" s="2">
        <f t="shared" ca="1" si="114"/>
        <v>-14.045438310182362</v>
      </c>
    </row>
    <row r="1427" spans="1:31" hidden="1">
      <c r="A1427" s="1">
        <v>9475382</v>
      </c>
      <c r="B1427" s="1" t="s">
        <v>1153</v>
      </c>
      <c r="C1427" t="s">
        <v>2924</v>
      </c>
      <c r="D1427" s="2">
        <v>20232388000005</v>
      </c>
      <c r="E1427" s="2">
        <v>7417183024351</v>
      </c>
      <c r="F1427" s="1" t="s">
        <v>1313</v>
      </c>
      <c r="G1427" s="1" t="s">
        <v>53</v>
      </c>
      <c r="H1427" s="1" t="s">
        <v>2925</v>
      </c>
      <c r="I1427" s="1" t="s">
        <v>2926</v>
      </c>
      <c r="J1427" s="1" t="s">
        <v>79</v>
      </c>
      <c r="K1427" t="s">
        <v>1316</v>
      </c>
      <c r="M1427" s="1" t="s">
        <v>58</v>
      </c>
      <c r="N1427" s="1">
        <v>0</v>
      </c>
      <c r="O1427" s="1" t="s">
        <v>105</v>
      </c>
      <c r="P1427" s="11" t="s">
        <v>3189</v>
      </c>
      <c r="R1427" s="1">
        <v>14</v>
      </c>
      <c r="T1427" s="1" t="s">
        <v>238</v>
      </c>
      <c r="U1427" s="186">
        <v>44970.411215277774</v>
      </c>
      <c r="V1427" s="1" t="s">
        <v>41</v>
      </c>
      <c r="W1427" s="1" t="s">
        <v>49</v>
      </c>
      <c r="X1427" s="13" t="str">
        <f>IF(RIGHT(H1427,2)&lt;&gt;"00",H1427,"")</f>
        <v>2388.91</v>
      </c>
      <c r="Y1427" s="2">
        <f ca="1">NETWORKDAYS(P1427,$Y$1)</f>
        <v>13</v>
      </c>
      <c r="Z1427" s="14">
        <v>1</v>
      </c>
      <c r="AA1427" s="1" t="str">
        <f t="shared" ca="1" si="110"/>
        <v>VENCIDO</v>
      </c>
      <c r="AB1427" s="1" t="str">
        <f t="shared" si="111"/>
        <v>TAAe+</v>
      </c>
      <c r="AC1427" s="2" t="str">
        <f t="shared" si="112"/>
        <v xml:space="preserve"> ROSEMERE </v>
      </c>
      <c r="AD1427" s="2">
        <f t="shared" si="113"/>
        <v>8</v>
      </c>
      <c r="AE1427" s="2">
        <f t="shared" ca="1" si="114"/>
        <v>-16.265056365744385</v>
      </c>
    </row>
    <row r="1428" spans="1:31" hidden="1">
      <c r="A1428" s="1">
        <v>9475240</v>
      </c>
      <c r="B1428" s="1" t="s">
        <v>1153</v>
      </c>
      <c r="C1428" t="s">
        <v>2928</v>
      </c>
      <c r="E1428" s="2">
        <v>2442000206001</v>
      </c>
      <c r="F1428" s="1" t="s">
        <v>29</v>
      </c>
      <c r="G1428" s="1" t="s">
        <v>53</v>
      </c>
      <c r="H1428" s="1" t="s">
        <v>1956</v>
      </c>
      <c r="I1428" s="1" t="s">
        <v>1957</v>
      </c>
      <c r="J1428" s="1" t="s">
        <v>33</v>
      </c>
      <c r="K1428" t="s">
        <v>34</v>
      </c>
      <c r="M1428" s="1" t="s">
        <v>35</v>
      </c>
      <c r="N1428" s="1">
        <v>42318949</v>
      </c>
      <c r="O1428" s="1" t="s">
        <v>36</v>
      </c>
      <c r="P1428" s="11" t="s">
        <v>3192</v>
      </c>
      <c r="R1428" s="1" t="s">
        <v>38</v>
      </c>
      <c r="T1428" s="1" t="s">
        <v>74</v>
      </c>
      <c r="U1428" s="11" t="s">
        <v>3044</v>
      </c>
      <c r="V1428" s="1" t="s">
        <v>41</v>
      </c>
      <c r="W1428" s="1" t="s">
        <v>42</v>
      </c>
      <c r="X1428" s="13" t="str">
        <f>IF(RIGHT(H1428,2)&lt;&gt;"00",H1428,"")</f>
        <v/>
      </c>
      <c r="Y1428" s="2">
        <f ca="1">NETWORKDAYS(P1428,$Y$1)</f>
        <v>13</v>
      </c>
      <c r="Z1428" s="14">
        <v>1</v>
      </c>
      <c r="AA1428" s="1" t="str">
        <f t="shared" ca="1" si="110"/>
        <v>VENCIDO</v>
      </c>
      <c r="AB1428" s="1" t="str">
        <f t="shared" si="111"/>
        <v>Dosa</v>
      </c>
      <c r="AC1428" s="2" t="str">
        <f t="shared" si="112"/>
        <v xml:space="preserve"> ROSEMERE </v>
      </c>
      <c r="AD1428" s="2">
        <f t="shared" si="113"/>
        <v>5</v>
      </c>
      <c r="AE1428" s="2">
        <f t="shared" ca="1" si="114"/>
        <v>-1.9679383101829444</v>
      </c>
    </row>
    <row r="1429" spans="1:31">
      <c r="A1429" s="173">
        <v>9475024</v>
      </c>
      <c r="B1429" s="173" t="s">
        <v>1153</v>
      </c>
      <c r="C1429" s="178" t="s">
        <v>3503</v>
      </c>
      <c r="D1429" s="174">
        <v>230027889</v>
      </c>
      <c r="E1429" s="174">
        <v>1108001400030</v>
      </c>
      <c r="F1429" s="173" t="s">
        <v>647</v>
      </c>
      <c r="G1429" s="173" t="s">
        <v>53</v>
      </c>
      <c r="H1429" s="173" t="s">
        <v>295</v>
      </c>
      <c r="I1429" s="173" t="s">
        <v>296</v>
      </c>
      <c r="J1429" s="173" t="s">
        <v>90</v>
      </c>
      <c r="K1429" t="s">
        <v>650</v>
      </c>
      <c r="M1429" s="1" t="s">
        <v>58</v>
      </c>
      <c r="N1429" s="1">
        <v>0</v>
      </c>
      <c r="O1429" s="1" t="s">
        <v>36</v>
      </c>
      <c r="P1429" s="11" t="s">
        <v>3194</v>
      </c>
      <c r="R1429" s="1">
        <v>4</v>
      </c>
      <c r="T1429" s="1" t="s">
        <v>646</v>
      </c>
      <c r="U1429" s="11" t="s">
        <v>1959</v>
      </c>
      <c r="V1429" s="1" t="s">
        <v>41</v>
      </c>
      <c r="W1429" s="1" t="s">
        <v>49</v>
      </c>
      <c r="X1429" s="13" t="str">
        <f>IF(RIGHT(H1429,2)&lt;&gt;"00",H1429,"")</f>
        <v/>
      </c>
      <c r="Y1429" s="2">
        <f ca="1">NETWORKDAYS(P1429,$Y$1)</f>
        <v>13</v>
      </c>
      <c r="Z1429" s="14">
        <v>1</v>
      </c>
      <c r="AA1429" s="1" t="str">
        <f t="shared" ca="1" si="110"/>
        <v>VENCIDO</v>
      </c>
      <c r="AB1429" s="1" t="str">
        <f t="shared" si="111"/>
        <v>C-14</v>
      </c>
      <c r="AC1429" s="2" t="str">
        <f t="shared" si="112"/>
        <v xml:space="preserve"> RINALDO </v>
      </c>
      <c r="AD1429" s="2">
        <f t="shared" si="113"/>
        <v>15</v>
      </c>
      <c r="AE1429" s="2">
        <f t="shared" ca="1" si="114"/>
        <v>-6.9262716435187031</v>
      </c>
    </row>
    <row r="1430" spans="1:31">
      <c r="A1430" s="173">
        <v>9474759</v>
      </c>
      <c r="B1430" s="173" t="s">
        <v>1153</v>
      </c>
      <c r="C1430" s="178" t="s">
        <v>3505</v>
      </c>
      <c r="D1430" s="174">
        <v>230027818</v>
      </c>
      <c r="E1430" s="174">
        <v>2304001400010</v>
      </c>
      <c r="F1430" s="173" t="s">
        <v>936</v>
      </c>
      <c r="G1430" s="173" t="s">
        <v>53</v>
      </c>
      <c r="H1430" s="173" t="s">
        <v>2711</v>
      </c>
      <c r="I1430" s="173" t="s">
        <v>2712</v>
      </c>
      <c r="J1430" s="173" t="s">
        <v>85</v>
      </c>
      <c r="K1430" t="s">
        <v>937</v>
      </c>
      <c r="M1430" s="1" t="s">
        <v>58</v>
      </c>
      <c r="N1430" s="1">
        <v>0</v>
      </c>
      <c r="O1430" s="1" t="s">
        <v>36</v>
      </c>
      <c r="P1430" s="11" t="s">
        <v>2934</v>
      </c>
      <c r="R1430" s="1">
        <v>3</v>
      </c>
      <c r="T1430" s="1" t="s">
        <v>646</v>
      </c>
      <c r="U1430" s="11" t="s">
        <v>3646</v>
      </c>
      <c r="V1430" s="1" t="s">
        <v>41</v>
      </c>
      <c r="W1430" s="1" t="s">
        <v>49</v>
      </c>
      <c r="X1430" s="13" t="str">
        <f>IF(RIGHT(H1430,2)&lt;&gt;"00",H1430,"")</f>
        <v/>
      </c>
      <c r="Y1430" s="2">
        <f ca="1">NETWORKDAYS(P1430,$Y$1)</f>
        <v>13</v>
      </c>
      <c r="Z1430" s="14">
        <v>1</v>
      </c>
      <c r="AA1430" s="1" t="str">
        <f t="shared" ca="1" si="110"/>
        <v>VENCIDO</v>
      </c>
      <c r="AB1430" s="1" t="str">
        <f t="shared" si="111"/>
        <v>C-14</v>
      </c>
      <c r="AC1430" s="2" t="str">
        <f t="shared" si="112"/>
        <v xml:space="preserve"> RINALDO </v>
      </c>
      <c r="AD1430" s="2">
        <f t="shared" si="113"/>
        <v>5</v>
      </c>
      <c r="AE1430" s="2">
        <f t="shared" ca="1" si="114"/>
        <v>-1.0894660879639559</v>
      </c>
    </row>
    <row r="1431" spans="1:31" hidden="1">
      <c r="A1431" s="1">
        <v>9474736</v>
      </c>
      <c r="B1431" s="1" t="s">
        <v>1153</v>
      </c>
      <c r="C1431" t="s">
        <v>2935</v>
      </c>
      <c r="E1431" s="2">
        <v>1902016281100</v>
      </c>
      <c r="F1431" s="1" t="s">
        <v>64</v>
      </c>
      <c r="G1431" s="1" t="s">
        <v>53</v>
      </c>
      <c r="H1431" s="1" t="s">
        <v>44</v>
      </c>
      <c r="I1431" s="1" t="s">
        <v>45</v>
      </c>
      <c r="J1431" s="1" t="s">
        <v>46</v>
      </c>
      <c r="K1431" t="s">
        <v>67</v>
      </c>
      <c r="M1431" s="1" t="s">
        <v>35</v>
      </c>
      <c r="N1431" s="1">
        <v>42318949</v>
      </c>
      <c r="O1431" s="1" t="s">
        <v>36</v>
      </c>
      <c r="P1431" s="11" t="s">
        <v>2936</v>
      </c>
      <c r="R1431" s="1" t="s">
        <v>2937</v>
      </c>
      <c r="T1431" s="1" t="s">
        <v>69</v>
      </c>
      <c r="U1431" s="11" t="s">
        <v>2938</v>
      </c>
      <c r="V1431" s="1" t="s">
        <v>41</v>
      </c>
      <c r="W1431" s="1" t="s">
        <v>49</v>
      </c>
      <c r="X1431" s="13" t="str">
        <f>IF(RIGHT(H1431,2)&lt;&gt;"00",H1431,"")</f>
        <v/>
      </c>
      <c r="Y1431" s="2">
        <f ca="1">NETWORKDAYS(P1431,$Y$1)</f>
        <v>13</v>
      </c>
      <c r="Z1431" s="14">
        <v>1</v>
      </c>
      <c r="AA1431" s="1" t="str">
        <f t="shared" ca="1" si="110"/>
        <v>VENCIDO</v>
      </c>
      <c r="AB1431" s="1" t="str">
        <f t="shared" si="111"/>
        <v>TAAe+</v>
      </c>
      <c r="AC1431" s="2" t="str">
        <f t="shared" si="112"/>
        <v xml:space="preserve"> CLEITON </v>
      </c>
      <c r="AD1431" s="2">
        <f t="shared" si="113"/>
        <v>8</v>
      </c>
      <c r="AE1431" s="2">
        <f t="shared" ca="1" si="114"/>
        <v>-15.967938310182944</v>
      </c>
    </row>
    <row r="1432" spans="1:31" hidden="1">
      <c r="A1432" s="1">
        <v>9474659</v>
      </c>
      <c r="B1432" s="1" t="s">
        <v>1153</v>
      </c>
      <c r="C1432" t="s">
        <v>2940</v>
      </c>
      <c r="D1432" s="2">
        <v>20234804001543</v>
      </c>
      <c r="E1432" s="2">
        <v>7417183022672</v>
      </c>
      <c r="F1432" s="1" t="s">
        <v>1313</v>
      </c>
      <c r="G1432" s="1" t="s">
        <v>53</v>
      </c>
      <c r="H1432" s="1" t="s">
        <v>2941</v>
      </c>
      <c r="I1432" s="1" t="s">
        <v>2942</v>
      </c>
      <c r="J1432" s="1" t="s">
        <v>46</v>
      </c>
      <c r="K1432" t="s">
        <v>1316</v>
      </c>
      <c r="M1432" s="1" t="s">
        <v>58</v>
      </c>
      <c r="N1432" s="1">
        <v>0</v>
      </c>
      <c r="O1432" s="1" t="s">
        <v>36</v>
      </c>
      <c r="P1432" s="11" t="s">
        <v>2943</v>
      </c>
      <c r="R1432" s="1">
        <v>13</v>
      </c>
      <c r="S1432" s="1">
        <v>4804</v>
      </c>
      <c r="T1432" s="1" t="s">
        <v>238</v>
      </c>
      <c r="U1432" s="186">
        <v>44970.395833333336</v>
      </c>
      <c r="V1432" s="1" t="s">
        <v>41</v>
      </c>
      <c r="W1432" s="1" t="s">
        <v>49</v>
      </c>
      <c r="X1432" s="13" t="str">
        <f>IF(RIGHT(H1432,2)&lt;&gt;"00",H1432,"")</f>
        <v>4844.53</v>
      </c>
      <c r="Y1432" s="2">
        <f ca="1">NETWORKDAYS(P1432,$Y$1)</f>
        <v>13</v>
      </c>
      <c r="Z1432" s="14">
        <v>1</v>
      </c>
      <c r="AA1432" s="1" t="str">
        <f t="shared" ca="1" si="110"/>
        <v>VENCIDO</v>
      </c>
      <c r="AB1432" s="1" t="str">
        <f t="shared" si="111"/>
        <v>TAAe+</v>
      </c>
      <c r="AC1432" s="2" t="str">
        <f t="shared" si="112"/>
        <v xml:space="preserve"> CLEITON </v>
      </c>
      <c r="AD1432" s="2">
        <f t="shared" si="113"/>
        <v>8</v>
      </c>
      <c r="AE1432" s="2">
        <f t="shared" ca="1" si="114"/>
        <v>-16.280438310182944</v>
      </c>
    </row>
    <row r="1433" spans="1:31" hidden="1">
      <c r="A1433" s="1">
        <v>9471778</v>
      </c>
      <c r="B1433" s="1" t="s">
        <v>1153</v>
      </c>
      <c r="C1433" t="s">
        <v>2956</v>
      </c>
      <c r="E1433" s="2">
        <v>4637000206001</v>
      </c>
      <c r="F1433" s="1" t="s">
        <v>29</v>
      </c>
      <c r="G1433" s="1" t="s">
        <v>53</v>
      </c>
      <c r="H1433" s="1" t="s">
        <v>848</v>
      </c>
      <c r="I1433" s="1" t="s">
        <v>849</v>
      </c>
      <c r="J1433" s="1" t="s">
        <v>79</v>
      </c>
      <c r="K1433" t="s">
        <v>34</v>
      </c>
      <c r="M1433" s="1" t="s">
        <v>35</v>
      </c>
      <c r="N1433" s="1">
        <v>42318949</v>
      </c>
      <c r="O1433" s="1" t="s">
        <v>36</v>
      </c>
      <c r="P1433" s="11" t="s">
        <v>3200</v>
      </c>
      <c r="R1433" s="1" t="s">
        <v>38</v>
      </c>
      <c r="T1433" s="1" t="s">
        <v>74</v>
      </c>
      <c r="U1433" s="11" t="s">
        <v>3647</v>
      </c>
      <c r="V1433" s="1" t="s">
        <v>41</v>
      </c>
      <c r="W1433" s="1" t="s">
        <v>49</v>
      </c>
      <c r="X1433" s="13" t="str">
        <f>IF(RIGHT(H1433,2)&lt;&gt;"00",H1433,"")</f>
        <v/>
      </c>
      <c r="Y1433" s="2">
        <f ca="1">NETWORKDAYS(P1433,$Y$1)</f>
        <v>13</v>
      </c>
      <c r="Z1433" s="14">
        <v>1</v>
      </c>
      <c r="AA1433" s="1" t="str">
        <f t="shared" ca="1" si="110"/>
        <v>VENCIDO</v>
      </c>
      <c r="AB1433" s="1" t="str">
        <f t="shared" si="111"/>
        <v>Dosa</v>
      </c>
      <c r="AC1433" s="2" t="str">
        <f t="shared" si="112"/>
        <v xml:space="preserve"> ROSEMERE </v>
      </c>
      <c r="AD1433" s="2">
        <f t="shared" si="113"/>
        <v>5</v>
      </c>
      <c r="AE1433" s="2">
        <f t="shared" ca="1" si="114"/>
        <v>-2.2179383101829444</v>
      </c>
    </row>
    <row r="1434" spans="1:31" hidden="1">
      <c r="A1434" s="1">
        <v>9471628</v>
      </c>
      <c r="B1434" s="1" t="s">
        <v>1153</v>
      </c>
      <c r="C1434" t="s">
        <v>2960</v>
      </c>
      <c r="E1434" s="2">
        <v>5742000206001</v>
      </c>
      <c r="F1434" s="1" t="s">
        <v>29</v>
      </c>
      <c r="G1434" s="1" t="s">
        <v>53</v>
      </c>
      <c r="H1434" s="1" t="s">
        <v>430</v>
      </c>
      <c r="I1434" s="1" t="s">
        <v>431</v>
      </c>
      <c r="J1434" s="1" t="s">
        <v>79</v>
      </c>
      <c r="K1434" t="s">
        <v>34</v>
      </c>
      <c r="M1434" s="1" t="s">
        <v>35</v>
      </c>
      <c r="N1434" s="1">
        <v>42318949</v>
      </c>
      <c r="O1434" s="1" t="s">
        <v>36</v>
      </c>
      <c r="P1434" s="11" t="s">
        <v>3201</v>
      </c>
      <c r="R1434" s="1" t="s">
        <v>38</v>
      </c>
      <c r="T1434" s="1" t="s">
        <v>74</v>
      </c>
      <c r="U1434" s="11" t="s">
        <v>3647</v>
      </c>
      <c r="V1434" s="1" t="s">
        <v>41</v>
      </c>
      <c r="W1434" s="1" t="s">
        <v>49</v>
      </c>
      <c r="X1434" s="13" t="str">
        <f>IF(RIGHT(H1434,2)&lt;&gt;"00",H1434,"")</f>
        <v/>
      </c>
      <c r="Y1434" s="2">
        <f ca="1">NETWORKDAYS(P1434,$Y$1)</f>
        <v>13</v>
      </c>
      <c r="Z1434" s="14">
        <v>1</v>
      </c>
      <c r="AA1434" s="1" t="str">
        <f t="shared" ca="1" si="110"/>
        <v>VENCIDO</v>
      </c>
      <c r="AB1434" s="1" t="str">
        <f t="shared" si="111"/>
        <v>Dosa</v>
      </c>
      <c r="AC1434" s="2" t="str">
        <f t="shared" si="112"/>
        <v xml:space="preserve"> ROSEMERE </v>
      </c>
      <c r="AD1434" s="2">
        <f t="shared" si="113"/>
        <v>5</v>
      </c>
      <c r="AE1434" s="2">
        <f t="shared" ca="1" si="114"/>
        <v>-2.2179383101829444</v>
      </c>
    </row>
    <row r="1435" spans="1:31">
      <c r="A1435" s="181">
        <v>9471530</v>
      </c>
      <c r="B1435" s="181" t="s">
        <v>1153</v>
      </c>
      <c r="C1435" s="182" t="s">
        <v>3648</v>
      </c>
      <c r="D1435" s="183"/>
      <c r="E1435" s="183">
        <v>2683000206001</v>
      </c>
      <c r="F1435" s="181" t="s">
        <v>29</v>
      </c>
      <c r="G1435" s="181" t="s">
        <v>53</v>
      </c>
      <c r="H1435" s="181" t="s">
        <v>276</v>
      </c>
      <c r="I1435" s="181" t="s">
        <v>277</v>
      </c>
      <c r="J1435" s="181" t="s">
        <v>90</v>
      </c>
      <c r="K1435" t="s">
        <v>34</v>
      </c>
      <c r="M1435" s="1" t="s">
        <v>35</v>
      </c>
      <c r="N1435" s="1">
        <v>42318949</v>
      </c>
      <c r="O1435" s="1" t="s">
        <v>36</v>
      </c>
      <c r="P1435" s="11" t="s">
        <v>3204</v>
      </c>
      <c r="R1435" s="1" t="s">
        <v>38</v>
      </c>
      <c r="T1435" s="1" t="s">
        <v>74</v>
      </c>
      <c r="U1435" s="11" t="s">
        <v>3649</v>
      </c>
      <c r="V1435" s="1" t="s">
        <v>41</v>
      </c>
      <c r="W1435" s="1" t="s">
        <v>49</v>
      </c>
      <c r="X1435" s="13" t="str">
        <f>IF(RIGHT(H1435,2)&lt;&gt;"00",H1435,"")</f>
        <v/>
      </c>
      <c r="Y1435" s="2">
        <f ca="1">NETWORKDAYS(P1435,$Y$1)</f>
        <v>13</v>
      </c>
      <c r="Z1435" s="14">
        <v>1</v>
      </c>
      <c r="AA1435" s="1" t="str">
        <f t="shared" ca="1" si="110"/>
        <v>VENCIDO</v>
      </c>
      <c r="AB1435" s="1" t="str">
        <f t="shared" si="111"/>
        <v>Dosa</v>
      </c>
      <c r="AC1435" s="2" t="str">
        <f t="shared" si="112"/>
        <v xml:space="preserve"> RINALDO </v>
      </c>
      <c r="AD1435" s="2">
        <f t="shared" si="113"/>
        <v>5</v>
      </c>
      <c r="AE1435" s="2">
        <f t="shared" ca="1" si="114"/>
        <v>-1.0686327546281973</v>
      </c>
    </row>
    <row r="1436" spans="1:31">
      <c r="A1436" s="181">
        <v>9471374</v>
      </c>
      <c r="B1436" s="181" t="s">
        <v>1153</v>
      </c>
      <c r="C1436" s="185" t="s">
        <v>2966</v>
      </c>
      <c r="D1436" s="183"/>
      <c r="E1436" s="183">
        <v>1069000203000</v>
      </c>
      <c r="F1436" s="181" t="s">
        <v>454</v>
      </c>
      <c r="G1436" s="181" t="s">
        <v>53</v>
      </c>
      <c r="H1436" s="181" t="s">
        <v>353</v>
      </c>
      <c r="I1436" s="181" t="s">
        <v>354</v>
      </c>
      <c r="J1436" s="181" t="s">
        <v>211</v>
      </c>
      <c r="K1436" t="s">
        <v>457</v>
      </c>
      <c r="M1436" s="1" t="s">
        <v>58</v>
      </c>
      <c r="N1436" s="1">
        <v>0</v>
      </c>
      <c r="O1436" s="1" t="s">
        <v>36</v>
      </c>
      <c r="P1436" s="11" t="s">
        <v>2968</v>
      </c>
      <c r="R1436" s="1">
        <v>1</v>
      </c>
      <c r="T1436" s="1" t="s">
        <v>157</v>
      </c>
      <c r="U1436" s="11" t="s">
        <v>2969</v>
      </c>
      <c r="V1436" s="1" t="s">
        <v>41</v>
      </c>
      <c r="W1436" s="1" t="s">
        <v>49</v>
      </c>
      <c r="X1436" s="13" t="str">
        <f>IF(RIGHT(H1436,2)&lt;&gt;"00",H1436,"")</f>
        <v/>
      </c>
      <c r="Y1436" s="2">
        <f ca="1">NETWORKDAYS(P1436,$Y$1)</f>
        <v>13</v>
      </c>
      <c r="Z1436" s="14">
        <v>1</v>
      </c>
      <c r="AA1436" s="1" t="str">
        <f t="shared" ca="1" si="110"/>
        <v>VENCIDO</v>
      </c>
      <c r="AB1436" s="1" t="str">
        <f t="shared" si="111"/>
        <v>C-14</v>
      </c>
      <c r="AC1436" s="2" t="str">
        <f t="shared" si="112"/>
        <v xml:space="preserve"> RINALDO </v>
      </c>
      <c r="AD1436" s="2">
        <f t="shared" si="113"/>
        <v>5</v>
      </c>
      <c r="AE1436" s="2">
        <f t="shared" ca="1" si="114"/>
        <v>-16.258667476853589</v>
      </c>
    </row>
    <row r="1437" spans="1:31" hidden="1">
      <c r="A1437" s="1">
        <v>9471370</v>
      </c>
      <c r="B1437" s="1" t="s">
        <v>1153</v>
      </c>
      <c r="C1437" t="s">
        <v>2966</v>
      </c>
      <c r="E1437" s="2">
        <v>1049000203000</v>
      </c>
      <c r="F1437" s="1" t="s">
        <v>454</v>
      </c>
      <c r="G1437" s="1" t="s">
        <v>53</v>
      </c>
      <c r="H1437" s="1" t="s">
        <v>169</v>
      </c>
      <c r="I1437" s="1" t="s">
        <v>170</v>
      </c>
      <c r="J1437" s="1" t="s">
        <v>164</v>
      </c>
      <c r="K1437" t="s">
        <v>457</v>
      </c>
      <c r="M1437" s="1" t="s">
        <v>58</v>
      </c>
      <c r="N1437" s="1">
        <v>0</v>
      </c>
      <c r="O1437" s="1" t="s">
        <v>36</v>
      </c>
      <c r="P1437" s="11" t="s">
        <v>2970</v>
      </c>
      <c r="R1437" s="1">
        <v>1</v>
      </c>
      <c r="T1437" s="1" t="s">
        <v>157</v>
      </c>
      <c r="U1437" s="11" t="s">
        <v>2971</v>
      </c>
      <c r="V1437" s="1" t="s">
        <v>41</v>
      </c>
      <c r="W1437" s="1" t="s">
        <v>49</v>
      </c>
      <c r="X1437" s="13" t="str">
        <f>IF(RIGHT(H1437,2)&lt;&gt;"00",H1437,"")</f>
        <v/>
      </c>
      <c r="Y1437" s="2">
        <f ca="1">NETWORKDAYS(P1437,$Y$1)</f>
        <v>13</v>
      </c>
      <c r="Z1437" s="14">
        <v>1</v>
      </c>
      <c r="AA1437" s="1" t="str">
        <f t="shared" ca="1" si="110"/>
        <v>VENCIDO</v>
      </c>
      <c r="AB1437" s="1" t="str">
        <f t="shared" si="111"/>
        <v>C-14</v>
      </c>
      <c r="AC1437" s="2" t="str">
        <f t="shared" si="112"/>
        <v xml:space="preserve"> ROSEMERE </v>
      </c>
      <c r="AD1437" s="2">
        <f t="shared" si="113"/>
        <v>5</v>
      </c>
      <c r="AE1437" s="2">
        <f t="shared" ca="1" si="114"/>
        <v>-16.258933680554037</v>
      </c>
    </row>
    <row r="1438" spans="1:31" hidden="1">
      <c r="A1438" s="1">
        <v>9471368</v>
      </c>
      <c r="B1438" s="1" t="s">
        <v>1153</v>
      </c>
      <c r="C1438" t="s">
        <v>2966</v>
      </c>
      <c r="E1438" s="2">
        <v>1011000203000</v>
      </c>
      <c r="F1438" s="1" t="s">
        <v>454</v>
      </c>
      <c r="G1438" s="1" t="s">
        <v>53</v>
      </c>
      <c r="H1438" s="1" t="s">
        <v>272</v>
      </c>
      <c r="I1438" s="1" t="s">
        <v>273</v>
      </c>
      <c r="J1438" s="1" t="s">
        <v>33</v>
      </c>
      <c r="K1438" t="s">
        <v>457</v>
      </c>
      <c r="M1438" s="1" t="s">
        <v>58</v>
      </c>
      <c r="N1438" s="1">
        <v>0</v>
      </c>
      <c r="O1438" s="1" t="s">
        <v>36</v>
      </c>
      <c r="P1438" s="11" t="s">
        <v>2972</v>
      </c>
      <c r="R1438" s="1">
        <v>1</v>
      </c>
      <c r="T1438" s="1" t="s">
        <v>157</v>
      </c>
      <c r="U1438" s="186">
        <v>44970.417222222219</v>
      </c>
      <c r="V1438" s="1" t="s">
        <v>41</v>
      </c>
      <c r="W1438" s="1" t="s">
        <v>49</v>
      </c>
      <c r="X1438" s="13" t="str">
        <f>IF(RIGHT(H1438,2)&lt;&gt;"00",H1438,"")</f>
        <v/>
      </c>
      <c r="Y1438" s="2">
        <f ca="1">NETWORKDAYS(P1438,$Y$1)</f>
        <v>13</v>
      </c>
      <c r="Z1438" s="14">
        <v>1</v>
      </c>
      <c r="AA1438" s="1" t="str">
        <f t="shared" ca="1" si="110"/>
        <v>VENCIDO</v>
      </c>
      <c r="AB1438" s="1" t="str">
        <f t="shared" si="111"/>
        <v>C-14</v>
      </c>
      <c r="AC1438" s="2" t="str">
        <f t="shared" si="112"/>
        <v xml:space="preserve"> ROSEMERE </v>
      </c>
      <c r="AD1438" s="2">
        <f t="shared" si="113"/>
        <v>5</v>
      </c>
      <c r="AE1438" s="2">
        <f t="shared" ca="1" si="114"/>
        <v>-16.259049421300006</v>
      </c>
    </row>
    <row r="1439" spans="1:31">
      <c r="A1439" s="181">
        <v>9471333</v>
      </c>
      <c r="B1439" s="181" t="s">
        <v>1153</v>
      </c>
      <c r="C1439" s="182" t="s">
        <v>3509</v>
      </c>
      <c r="D1439" s="183"/>
      <c r="E1439" s="183">
        <v>68000203000</v>
      </c>
      <c r="F1439" s="181" t="s">
        <v>454</v>
      </c>
      <c r="G1439" s="181" t="s">
        <v>53</v>
      </c>
      <c r="H1439" s="181" t="s">
        <v>1330</v>
      </c>
      <c r="I1439" s="181" t="s">
        <v>1331</v>
      </c>
      <c r="J1439" s="181" t="s">
        <v>211</v>
      </c>
      <c r="K1439" t="s">
        <v>457</v>
      </c>
      <c r="M1439" s="1" t="s">
        <v>58</v>
      </c>
      <c r="N1439" s="1">
        <v>0</v>
      </c>
      <c r="O1439" s="1" t="s">
        <v>36</v>
      </c>
      <c r="P1439" s="11" t="s">
        <v>2975</v>
      </c>
      <c r="R1439" s="1">
        <v>1</v>
      </c>
      <c r="T1439" s="1" t="s">
        <v>157</v>
      </c>
      <c r="U1439" s="186">
        <v>44970.407256944447</v>
      </c>
      <c r="V1439" s="1" t="s">
        <v>41</v>
      </c>
      <c r="W1439" s="1" t="s">
        <v>49</v>
      </c>
      <c r="X1439" s="13" t="str">
        <f>IF(RIGHT(H1439,2)&lt;&gt;"00",H1439,"")</f>
        <v/>
      </c>
      <c r="Y1439" s="2">
        <f ca="1">NETWORKDAYS(P1439,$Y$1)</f>
        <v>13</v>
      </c>
      <c r="Z1439" s="14">
        <v>1</v>
      </c>
      <c r="AA1439" s="1" t="str">
        <f t="shared" ca="1" si="110"/>
        <v>VENCIDO</v>
      </c>
      <c r="AB1439" s="1" t="str">
        <f t="shared" si="111"/>
        <v>C-14</v>
      </c>
      <c r="AC1439" s="2" t="str">
        <f t="shared" si="112"/>
        <v xml:space="preserve"> RINALDO </v>
      </c>
      <c r="AD1439" s="2">
        <f t="shared" si="113"/>
        <v>5</v>
      </c>
      <c r="AE1439" s="2">
        <f t="shared" ca="1" si="114"/>
        <v>-16.269014699071704</v>
      </c>
    </row>
    <row r="1440" spans="1:31" hidden="1">
      <c r="A1440" s="1">
        <v>9471332</v>
      </c>
      <c r="B1440" s="1" t="s">
        <v>1153</v>
      </c>
      <c r="C1440" t="s">
        <v>2966</v>
      </c>
      <c r="E1440" s="2">
        <v>7740203000</v>
      </c>
      <c r="F1440" s="1" t="s">
        <v>454</v>
      </c>
      <c r="G1440" s="1" t="s">
        <v>53</v>
      </c>
      <c r="H1440" s="1" t="s">
        <v>187</v>
      </c>
      <c r="I1440" s="1" t="s">
        <v>188</v>
      </c>
      <c r="J1440" s="1" t="s">
        <v>46</v>
      </c>
      <c r="K1440" t="s">
        <v>457</v>
      </c>
      <c r="M1440" s="1" t="s">
        <v>58</v>
      </c>
      <c r="N1440" s="1">
        <v>0</v>
      </c>
      <c r="O1440" s="1" t="s">
        <v>36</v>
      </c>
      <c r="P1440" s="11" t="s">
        <v>2977</v>
      </c>
      <c r="R1440" s="1">
        <v>1</v>
      </c>
      <c r="T1440" s="1" t="s">
        <v>157</v>
      </c>
      <c r="U1440" s="186">
        <v>44970.407199074078</v>
      </c>
      <c r="V1440" s="1" t="s">
        <v>41</v>
      </c>
      <c r="W1440" s="1" t="s">
        <v>49</v>
      </c>
      <c r="X1440" s="13" t="str">
        <f>IF(RIGHT(H1440,2)&lt;&gt;"00",H1440,"")</f>
        <v>0007.74</v>
      </c>
      <c r="Y1440" s="2">
        <f ca="1">NETWORKDAYS(P1440,$Y$1)</f>
        <v>13</v>
      </c>
      <c r="Z1440" s="14">
        <v>1</v>
      </c>
      <c r="AA1440" s="1" t="str">
        <f t="shared" ca="1" si="110"/>
        <v>VENCIDO</v>
      </c>
      <c r="AB1440" s="1" t="str">
        <f t="shared" si="111"/>
        <v>C-14</v>
      </c>
      <c r="AC1440" s="2" t="str">
        <f t="shared" si="112"/>
        <v xml:space="preserve"> CLEITON </v>
      </c>
      <c r="AD1440" s="2">
        <f t="shared" si="113"/>
        <v>5</v>
      </c>
      <c r="AE1440" s="2">
        <f t="shared" ca="1" si="114"/>
        <v>-16.26907256944105</v>
      </c>
    </row>
    <row r="1441" spans="1:31">
      <c r="A1441" s="181">
        <v>9471313</v>
      </c>
      <c r="B1441" s="181" t="s">
        <v>1153</v>
      </c>
      <c r="C1441" s="182" t="s">
        <v>3650</v>
      </c>
      <c r="D1441" s="183"/>
      <c r="E1441" s="183">
        <v>981000206001</v>
      </c>
      <c r="F1441" s="181" t="s">
        <v>29</v>
      </c>
      <c r="G1441" s="181" t="s">
        <v>53</v>
      </c>
      <c r="H1441" s="181" t="s">
        <v>410</v>
      </c>
      <c r="I1441" s="181" t="s">
        <v>411</v>
      </c>
      <c r="J1441" s="181" t="s">
        <v>85</v>
      </c>
      <c r="K1441" t="s">
        <v>34</v>
      </c>
      <c r="M1441" s="1" t="s">
        <v>35</v>
      </c>
      <c r="N1441" s="1">
        <v>42318949</v>
      </c>
      <c r="O1441" s="1" t="s">
        <v>36</v>
      </c>
      <c r="P1441" s="11" t="s">
        <v>2980</v>
      </c>
      <c r="R1441" s="1" t="s">
        <v>38</v>
      </c>
      <c r="T1441" s="1" t="s">
        <v>74</v>
      </c>
      <c r="U1441" s="186">
        <v>44984.607638888891</v>
      </c>
      <c r="V1441" s="1" t="s">
        <v>41</v>
      </c>
      <c r="W1441" s="1" t="s">
        <v>49</v>
      </c>
      <c r="X1441" s="13" t="str">
        <f>IF(RIGHT(H1441,2)&lt;&gt;"00",H1441,"")</f>
        <v/>
      </c>
      <c r="Y1441" s="2">
        <f ca="1">NETWORKDAYS(P1441,$Y$1)</f>
        <v>13</v>
      </c>
      <c r="Z1441" s="14">
        <v>1</v>
      </c>
      <c r="AA1441" s="1" t="str">
        <f t="shared" ca="1" si="110"/>
        <v>VENCIDO</v>
      </c>
      <c r="AB1441" s="1" t="str">
        <f t="shared" si="111"/>
        <v>Dosa</v>
      </c>
      <c r="AC1441" s="2" t="str">
        <f t="shared" si="112"/>
        <v xml:space="preserve"> RINALDO </v>
      </c>
      <c r="AD1441" s="2">
        <f t="shared" si="113"/>
        <v>5</v>
      </c>
      <c r="AE1441" s="2">
        <f t="shared" ca="1" si="114"/>
        <v>-2.0686327546281973</v>
      </c>
    </row>
    <row r="1442" spans="1:31" hidden="1">
      <c r="A1442" s="1">
        <v>9483471</v>
      </c>
      <c r="B1442" s="1" t="s">
        <v>226</v>
      </c>
      <c r="C1442" t="s">
        <v>3205</v>
      </c>
      <c r="D1442" s="2">
        <v>230027215</v>
      </c>
      <c r="E1442" s="2">
        <v>550001400010</v>
      </c>
      <c r="F1442" s="1" t="s">
        <v>936</v>
      </c>
      <c r="G1442" s="1" t="s">
        <v>53</v>
      </c>
      <c r="H1442" s="1" t="s">
        <v>337</v>
      </c>
      <c r="I1442" s="1" t="s">
        <v>338</v>
      </c>
      <c r="J1442" s="1" t="s">
        <v>164</v>
      </c>
      <c r="K1442" t="s">
        <v>937</v>
      </c>
      <c r="M1442" s="1" t="s">
        <v>58</v>
      </c>
      <c r="N1442" s="1">
        <v>0</v>
      </c>
      <c r="O1442" s="1" t="s">
        <v>105</v>
      </c>
      <c r="P1442" s="11" t="s">
        <v>3206</v>
      </c>
      <c r="R1442" s="1">
        <v>3</v>
      </c>
      <c r="T1442" s="1" t="s">
        <v>646</v>
      </c>
      <c r="U1442" s="11"/>
      <c r="V1442" s="1" t="s">
        <v>41</v>
      </c>
      <c r="W1442" s="1" t="s">
        <v>49</v>
      </c>
      <c r="X1442" s="13" t="str">
        <f>IF(RIGHT(H1442,2)&lt;&gt;"00",H1442,"")</f>
        <v/>
      </c>
      <c r="Y1442" s="2">
        <f ca="1">NETWORKDAYS(P1442,$Y$1)</f>
        <v>12</v>
      </c>
      <c r="Z1442" s="14">
        <v>1</v>
      </c>
      <c r="AA1442" s="1" t="str">
        <f t="shared" ca="1" si="110"/>
        <v>VENCIDO</v>
      </c>
      <c r="AB1442" s="1" t="str">
        <f t="shared" si="111"/>
        <v>C-14</v>
      </c>
      <c r="AC1442" s="2" t="str">
        <f t="shared" si="112"/>
        <v xml:space="preserve"> ROSEMERE </v>
      </c>
      <c r="AD1442" s="2">
        <f t="shared" si="113"/>
        <v>5</v>
      </c>
      <c r="AE1442" s="2">
        <f t="shared" ca="1" si="114"/>
        <v>-44986.676271643519</v>
      </c>
    </row>
    <row r="1443" spans="1:31" hidden="1">
      <c r="A1443" s="1">
        <v>9483064</v>
      </c>
      <c r="B1443" s="1" t="s">
        <v>1153</v>
      </c>
      <c r="C1443" t="s">
        <v>3209</v>
      </c>
      <c r="D1443" s="2">
        <v>20234844000467</v>
      </c>
      <c r="E1443" s="2">
        <v>7417161480619</v>
      </c>
      <c r="F1443" s="1" t="s">
        <v>1979</v>
      </c>
      <c r="G1443" s="1" t="s">
        <v>53</v>
      </c>
      <c r="H1443" s="1" t="s">
        <v>2883</v>
      </c>
      <c r="I1443" s="1" t="s">
        <v>2884</v>
      </c>
      <c r="J1443" s="1" t="s">
        <v>46</v>
      </c>
      <c r="K1443" t="s">
        <v>1982</v>
      </c>
      <c r="M1443" s="1" t="s">
        <v>58</v>
      </c>
      <c r="N1443" s="1">
        <v>0</v>
      </c>
      <c r="O1443" s="1" t="s">
        <v>36</v>
      </c>
      <c r="P1443" s="11" t="s">
        <v>3210</v>
      </c>
      <c r="R1443" s="1">
        <v>13</v>
      </c>
      <c r="T1443" s="1" t="s">
        <v>238</v>
      </c>
      <c r="U1443" s="11" t="s">
        <v>3392</v>
      </c>
      <c r="V1443" s="1" t="s">
        <v>41</v>
      </c>
      <c r="W1443" s="1" t="s">
        <v>49</v>
      </c>
      <c r="X1443" s="13" t="str">
        <f>IF(RIGHT(H1443,2)&lt;&gt;"00",H1443,"")</f>
        <v>4844.11</v>
      </c>
      <c r="Y1443" s="2">
        <f ca="1">NETWORKDAYS(P1443,$Y$1)</f>
        <v>12</v>
      </c>
      <c r="Z1443" s="14">
        <v>1</v>
      </c>
      <c r="AA1443" s="1" t="str">
        <f t="shared" ca="1" si="110"/>
        <v>VENCIDO</v>
      </c>
      <c r="AB1443" s="1" t="str">
        <f t="shared" si="111"/>
        <v>TAAe+</v>
      </c>
      <c r="AC1443" s="2" t="str">
        <f t="shared" si="112"/>
        <v xml:space="preserve"> CLEITON </v>
      </c>
      <c r="AD1443" s="2">
        <f t="shared" si="113"/>
        <v>8</v>
      </c>
      <c r="AE1443" s="2">
        <f t="shared" ca="1" si="114"/>
        <v>-14.280438310182944</v>
      </c>
    </row>
    <row r="1444" spans="1:31" hidden="1">
      <c r="A1444" s="1">
        <v>9483056</v>
      </c>
      <c r="B1444" s="1" t="s">
        <v>62</v>
      </c>
      <c r="C1444" t="s">
        <v>3211</v>
      </c>
      <c r="E1444" s="2">
        <v>68000203000</v>
      </c>
      <c r="F1444" s="1" t="s">
        <v>454</v>
      </c>
      <c r="G1444" s="1" t="s">
        <v>53</v>
      </c>
      <c r="H1444" s="1" t="s">
        <v>1330</v>
      </c>
      <c r="I1444" s="1" t="s">
        <v>1331</v>
      </c>
      <c r="J1444" s="1" t="s">
        <v>211</v>
      </c>
      <c r="K1444" t="s">
        <v>457</v>
      </c>
      <c r="M1444" s="1" t="s">
        <v>58</v>
      </c>
      <c r="N1444" s="1">
        <v>0</v>
      </c>
      <c r="O1444" s="1" t="s">
        <v>105</v>
      </c>
      <c r="P1444" s="11" t="s">
        <v>3212</v>
      </c>
      <c r="R1444" s="1">
        <v>1</v>
      </c>
      <c r="T1444" s="1" t="s">
        <v>157</v>
      </c>
      <c r="U1444" s="11" t="s">
        <v>3631</v>
      </c>
      <c r="V1444" s="1" t="s">
        <v>41</v>
      </c>
      <c r="W1444" s="1" t="s">
        <v>49</v>
      </c>
      <c r="X1444" s="13" t="str">
        <f>IF(RIGHT(H1444,2)&lt;&gt;"00",H1444,"")</f>
        <v/>
      </c>
      <c r="Y1444" s="2">
        <f ca="1">NETWORKDAYS(P1444,$Y$1)</f>
        <v>12</v>
      </c>
      <c r="Z1444" s="14">
        <v>1</v>
      </c>
      <c r="AA1444" s="1" t="str">
        <f t="shared" ca="1" si="110"/>
        <v>A VENCER</v>
      </c>
      <c r="AB1444" s="1" t="str">
        <f t="shared" si="111"/>
        <v>C-14</v>
      </c>
      <c r="AC1444" s="2" t="str">
        <f t="shared" si="112"/>
        <v xml:space="preserve"> RINALDO </v>
      </c>
      <c r="AD1444" s="2">
        <f t="shared" si="113"/>
        <v>5</v>
      </c>
      <c r="AE1444" s="2">
        <f t="shared" ca="1" si="114"/>
        <v>21.073728356481297</v>
      </c>
    </row>
    <row r="1445" spans="1:31">
      <c r="A1445" s="181">
        <v>9483038</v>
      </c>
      <c r="B1445" s="181" t="s">
        <v>1153</v>
      </c>
      <c r="C1445" s="185" t="s">
        <v>3213</v>
      </c>
      <c r="D1445" s="183"/>
      <c r="E1445" s="183">
        <v>1061000203000</v>
      </c>
      <c r="F1445" s="181" t="s">
        <v>454</v>
      </c>
      <c r="G1445" s="181" t="s">
        <v>53</v>
      </c>
      <c r="H1445" s="181" t="s">
        <v>166</v>
      </c>
      <c r="I1445" s="181" t="s">
        <v>167</v>
      </c>
      <c r="J1445" s="181" t="s">
        <v>85</v>
      </c>
      <c r="K1445" t="s">
        <v>457</v>
      </c>
      <c r="M1445" s="1" t="s">
        <v>58</v>
      </c>
      <c r="N1445" s="1">
        <v>0</v>
      </c>
      <c r="O1445" s="1" t="s">
        <v>36</v>
      </c>
      <c r="P1445" s="11" t="s">
        <v>3214</v>
      </c>
      <c r="R1445" s="1">
        <v>1</v>
      </c>
      <c r="T1445" s="1" t="s">
        <v>157</v>
      </c>
      <c r="U1445" s="11" t="s">
        <v>3651</v>
      </c>
      <c r="V1445" s="1" t="s">
        <v>41</v>
      </c>
      <c r="W1445" s="1" t="s">
        <v>49</v>
      </c>
      <c r="X1445" s="13" t="str">
        <f>IF(RIGHT(H1445,2)&lt;&gt;"00",H1445,"")</f>
        <v/>
      </c>
      <c r="Y1445" s="2">
        <f ca="1">NETWORKDAYS(P1445,$Y$1)</f>
        <v>12</v>
      </c>
      <c r="Z1445" s="14">
        <v>1</v>
      </c>
      <c r="AA1445" s="1" t="str">
        <f t="shared" ca="1" si="110"/>
        <v>VENCIDO</v>
      </c>
      <c r="AB1445" s="1" t="str">
        <f t="shared" si="111"/>
        <v>C-14</v>
      </c>
      <c r="AC1445" s="2" t="str">
        <f t="shared" si="112"/>
        <v xml:space="preserve"> RINALDO </v>
      </c>
      <c r="AD1445" s="2">
        <f t="shared" si="113"/>
        <v>5</v>
      </c>
      <c r="AE1445" s="2">
        <f t="shared" ca="1" si="114"/>
        <v>-13.946514699076943</v>
      </c>
    </row>
    <row r="1446" spans="1:31" hidden="1">
      <c r="A1446" s="1">
        <v>9483036</v>
      </c>
      <c r="B1446" s="1" t="s">
        <v>1153</v>
      </c>
      <c r="C1446" t="s">
        <v>3215</v>
      </c>
      <c r="E1446" s="2">
        <v>2219000206001</v>
      </c>
      <c r="F1446" s="1" t="s">
        <v>29</v>
      </c>
      <c r="G1446" s="1" t="s">
        <v>53</v>
      </c>
      <c r="H1446" s="1" t="s">
        <v>893</v>
      </c>
      <c r="I1446" s="1" t="s">
        <v>894</v>
      </c>
      <c r="J1446" s="1" t="s">
        <v>141</v>
      </c>
      <c r="K1446" t="s">
        <v>34</v>
      </c>
      <c r="M1446" s="1" t="s">
        <v>35</v>
      </c>
      <c r="N1446" s="1">
        <v>42318949</v>
      </c>
      <c r="O1446" s="1" t="s">
        <v>36</v>
      </c>
      <c r="P1446" s="11" t="s">
        <v>3216</v>
      </c>
      <c r="R1446" s="1" t="s">
        <v>38</v>
      </c>
      <c r="T1446" s="1" t="s">
        <v>74</v>
      </c>
      <c r="U1446" s="11" t="s">
        <v>2023</v>
      </c>
      <c r="V1446" s="1" t="s">
        <v>41</v>
      </c>
      <c r="W1446" s="1" t="s">
        <v>49</v>
      </c>
      <c r="X1446" s="13" t="str">
        <f>IF(RIGHT(H1446,2)&lt;&gt;"00",H1446,"")</f>
        <v/>
      </c>
      <c r="Y1446" s="2">
        <f ca="1">NETWORKDAYS(P1446,$Y$1)</f>
        <v>12</v>
      </c>
      <c r="Z1446" s="14">
        <v>1</v>
      </c>
      <c r="AA1446" s="1" t="str">
        <f t="shared" ca="1" si="110"/>
        <v>VENCIDO</v>
      </c>
      <c r="AB1446" s="1" t="str">
        <f t="shared" si="111"/>
        <v>Dosa</v>
      </c>
      <c r="AC1446" s="2" t="str">
        <f t="shared" si="112"/>
        <v xml:space="preserve"> CRISTINA </v>
      </c>
      <c r="AD1446" s="2">
        <f t="shared" si="113"/>
        <v>5</v>
      </c>
      <c r="AE1446" s="2">
        <f t="shared" ca="1" si="114"/>
        <v>-0.96793831018294441</v>
      </c>
    </row>
    <row r="1447" spans="1:31" hidden="1">
      <c r="A1447" s="1">
        <v>9482926</v>
      </c>
      <c r="B1447" s="1" t="s">
        <v>1153</v>
      </c>
      <c r="C1447" t="s">
        <v>3217</v>
      </c>
      <c r="D1447" s="2">
        <v>20234844000466</v>
      </c>
      <c r="E1447" s="2">
        <v>7419143322534</v>
      </c>
      <c r="F1447" s="1" t="s">
        <v>1222</v>
      </c>
      <c r="G1447" s="1" t="s">
        <v>53</v>
      </c>
      <c r="H1447" s="1" t="s">
        <v>2821</v>
      </c>
      <c r="I1447" s="1" t="s">
        <v>2822</v>
      </c>
      <c r="J1447" s="1" t="s">
        <v>46</v>
      </c>
      <c r="K1447" t="s">
        <v>1223</v>
      </c>
      <c r="M1447" s="1" t="s">
        <v>58</v>
      </c>
      <c r="N1447" s="1">
        <v>0</v>
      </c>
      <c r="O1447" s="1" t="s">
        <v>105</v>
      </c>
      <c r="P1447" s="11" t="s">
        <v>3218</v>
      </c>
      <c r="R1447" s="1">
        <v>13</v>
      </c>
      <c r="T1447" s="1" t="s">
        <v>238</v>
      </c>
      <c r="U1447" s="11" t="s">
        <v>3218</v>
      </c>
      <c r="V1447" s="1" t="s">
        <v>41</v>
      </c>
      <c r="W1447" s="1" t="s">
        <v>49</v>
      </c>
      <c r="X1447" s="13" t="str">
        <f>IF(RIGHT(H1447,2)&lt;&gt;"00",H1447,"")</f>
        <v>4844.17</v>
      </c>
      <c r="Y1447" s="2">
        <f ca="1">NETWORKDAYS(P1447,$Y$1)</f>
        <v>12</v>
      </c>
      <c r="Z1447" s="14">
        <v>1</v>
      </c>
      <c r="AA1447" s="1" t="str">
        <f t="shared" ca="1" si="110"/>
        <v>VENCIDO</v>
      </c>
      <c r="AB1447" s="1" t="str">
        <f t="shared" si="111"/>
        <v>TAAe+</v>
      </c>
      <c r="AC1447" s="2" t="str">
        <f t="shared" si="112"/>
        <v xml:space="preserve"> CLEITON </v>
      </c>
      <c r="AD1447" s="2">
        <f t="shared" si="113"/>
        <v>8</v>
      </c>
      <c r="AE1447" s="2">
        <f t="shared" ca="1" si="114"/>
        <v>-14.976352662037243</v>
      </c>
    </row>
    <row r="1448" spans="1:31" hidden="1">
      <c r="A1448" s="1">
        <v>9482851</v>
      </c>
      <c r="B1448" s="1" t="s">
        <v>1153</v>
      </c>
      <c r="C1448" t="s">
        <v>3219</v>
      </c>
      <c r="D1448" s="2">
        <v>20234844000465</v>
      </c>
      <c r="E1448" s="2">
        <v>7419141893532</v>
      </c>
      <c r="F1448" s="1" t="s">
        <v>128</v>
      </c>
      <c r="G1448" s="1" t="s">
        <v>53</v>
      </c>
      <c r="H1448" s="1" t="s">
        <v>2395</v>
      </c>
      <c r="I1448" s="1" t="s">
        <v>2396</v>
      </c>
      <c r="J1448" s="1" t="s">
        <v>46</v>
      </c>
      <c r="K1448" t="s">
        <v>129</v>
      </c>
      <c r="M1448" s="1" t="s">
        <v>58</v>
      </c>
      <c r="N1448" s="1">
        <v>0</v>
      </c>
      <c r="O1448" s="1" t="s">
        <v>36</v>
      </c>
      <c r="P1448" s="11" t="s">
        <v>3220</v>
      </c>
      <c r="R1448" s="1">
        <v>13</v>
      </c>
      <c r="T1448" s="1" t="s">
        <v>238</v>
      </c>
      <c r="U1448" s="11" t="s">
        <v>3220</v>
      </c>
      <c r="V1448" s="1" t="s">
        <v>41</v>
      </c>
      <c r="W1448" s="1" t="s">
        <v>49</v>
      </c>
      <c r="X1448" s="13" t="str">
        <f>IF(RIGHT(H1448,2)&lt;&gt;"00",H1448,"")</f>
        <v>4844.08</v>
      </c>
      <c r="Y1448" s="2">
        <f ca="1">NETWORKDAYS(P1448,$Y$1)</f>
        <v>12</v>
      </c>
      <c r="Z1448" s="14">
        <v>1</v>
      </c>
      <c r="AA1448" s="1" t="str">
        <f t="shared" ca="1" si="110"/>
        <v>VENCIDO</v>
      </c>
      <c r="AB1448" s="1" t="str">
        <f t="shared" si="111"/>
        <v>TAAe+</v>
      </c>
      <c r="AC1448" s="2" t="str">
        <f t="shared" si="112"/>
        <v xml:space="preserve"> CLEITON </v>
      </c>
      <c r="AD1448" s="2">
        <f t="shared" si="113"/>
        <v>8</v>
      </c>
      <c r="AE1448" s="2">
        <f t="shared" ca="1" si="114"/>
        <v>-14.989014699072868</v>
      </c>
    </row>
    <row r="1449" spans="1:31" hidden="1">
      <c r="A1449" s="1">
        <v>9482775</v>
      </c>
      <c r="B1449" s="1" t="s">
        <v>1153</v>
      </c>
      <c r="C1449" t="s">
        <v>3223</v>
      </c>
      <c r="D1449" s="2">
        <v>20230711000015</v>
      </c>
      <c r="E1449" s="2">
        <v>7417211830257</v>
      </c>
      <c r="F1449" s="1" t="s">
        <v>1936</v>
      </c>
      <c r="G1449" s="1" t="s">
        <v>53</v>
      </c>
      <c r="H1449" s="1" t="s">
        <v>2858</v>
      </c>
      <c r="I1449" s="1" t="s">
        <v>2859</v>
      </c>
      <c r="J1449" s="1" t="s">
        <v>79</v>
      </c>
      <c r="K1449" t="s">
        <v>1939</v>
      </c>
      <c r="M1449" s="1" t="s">
        <v>58</v>
      </c>
      <c r="N1449" s="1">
        <v>0</v>
      </c>
      <c r="O1449" s="1" t="s">
        <v>105</v>
      </c>
      <c r="P1449" s="11" t="s">
        <v>3224</v>
      </c>
      <c r="R1449" s="1">
        <v>14</v>
      </c>
      <c r="T1449" s="1" t="s">
        <v>238</v>
      </c>
      <c r="U1449" s="11" t="s">
        <v>3224</v>
      </c>
      <c r="V1449" s="1" t="s">
        <v>41</v>
      </c>
      <c r="W1449" s="1" t="s">
        <v>49</v>
      </c>
      <c r="X1449" s="13" t="str">
        <f>IF(RIGHT(H1449,2)&lt;&gt;"00",H1449,"")</f>
        <v>0711.91</v>
      </c>
      <c r="Y1449" s="2">
        <f ca="1">NETWORKDAYS(P1449,$Y$1)</f>
        <v>12</v>
      </c>
      <c r="Z1449" s="14">
        <v>1</v>
      </c>
      <c r="AA1449" s="1" t="str">
        <f t="shared" ca="1" si="110"/>
        <v>VENCIDO</v>
      </c>
      <c r="AB1449" s="1" t="str">
        <f t="shared" si="111"/>
        <v>TAAe+</v>
      </c>
      <c r="AC1449" s="2" t="str">
        <f t="shared" si="112"/>
        <v xml:space="preserve"> ROSEMERE </v>
      </c>
      <c r="AD1449" s="2">
        <f t="shared" si="113"/>
        <v>8</v>
      </c>
      <c r="AE1449" s="2">
        <f t="shared" ca="1" si="114"/>
        <v>-14.999894328706432</v>
      </c>
    </row>
    <row r="1450" spans="1:31" hidden="1">
      <c r="A1450" s="1">
        <v>9482660</v>
      </c>
      <c r="B1450" s="1" t="s">
        <v>1153</v>
      </c>
      <c r="C1450" t="s">
        <v>3225</v>
      </c>
      <c r="D1450" s="2">
        <v>20232219000013</v>
      </c>
      <c r="E1450" s="2">
        <v>7417202020217</v>
      </c>
      <c r="F1450" s="1" t="s">
        <v>1213</v>
      </c>
      <c r="G1450" s="1" t="s">
        <v>53</v>
      </c>
      <c r="H1450" s="1" t="s">
        <v>1980</v>
      </c>
      <c r="I1450" s="1" t="s">
        <v>1981</v>
      </c>
      <c r="J1450" s="1" t="s">
        <v>141</v>
      </c>
      <c r="K1450" t="s">
        <v>1214</v>
      </c>
      <c r="M1450" s="1" t="s">
        <v>58</v>
      </c>
      <c r="N1450" s="1">
        <v>0</v>
      </c>
      <c r="O1450" s="1" t="s">
        <v>36</v>
      </c>
      <c r="P1450" s="11" t="s">
        <v>3226</v>
      </c>
      <c r="R1450" s="1">
        <v>14</v>
      </c>
      <c r="T1450" s="1" t="s">
        <v>238</v>
      </c>
      <c r="U1450" s="11" t="s">
        <v>3226</v>
      </c>
      <c r="V1450" s="1" t="s">
        <v>41</v>
      </c>
      <c r="W1450" s="1" t="s">
        <v>49</v>
      </c>
      <c r="X1450" s="13" t="str">
        <f>IF(RIGHT(H1450,2)&lt;&gt;"00",H1450,"")</f>
        <v>2219.91</v>
      </c>
      <c r="Y1450" s="2">
        <f ca="1">NETWORKDAYS(P1450,$Y$1)</f>
        <v>12</v>
      </c>
      <c r="Z1450" s="14">
        <v>1</v>
      </c>
      <c r="AA1450" s="1" t="str">
        <f t="shared" ca="1" si="110"/>
        <v>VENCIDO</v>
      </c>
      <c r="AB1450" s="1" t="str">
        <f t="shared" si="111"/>
        <v>TAAe+</v>
      </c>
      <c r="AC1450" s="2" t="str">
        <f t="shared" si="112"/>
        <v xml:space="preserve"> CRISTINA </v>
      </c>
      <c r="AD1450" s="2">
        <f t="shared" si="113"/>
        <v>8</v>
      </c>
      <c r="AE1450" s="2">
        <f t="shared" ca="1" si="114"/>
        <v>-15.019778587964538</v>
      </c>
    </row>
    <row r="1451" spans="1:31" hidden="1">
      <c r="A1451" s="1">
        <v>9482649</v>
      </c>
      <c r="B1451" s="1" t="s">
        <v>1153</v>
      </c>
      <c r="C1451" t="s">
        <v>3227</v>
      </c>
      <c r="D1451" s="2">
        <v>20231012000005</v>
      </c>
      <c r="E1451" s="2">
        <v>7417202020693</v>
      </c>
      <c r="F1451" s="1" t="s">
        <v>1213</v>
      </c>
      <c r="G1451" s="1" t="s">
        <v>53</v>
      </c>
      <c r="H1451" s="1" t="s">
        <v>2481</v>
      </c>
      <c r="I1451" s="1" t="s">
        <v>2482</v>
      </c>
      <c r="J1451" s="1" t="s">
        <v>164</v>
      </c>
      <c r="K1451" t="s">
        <v>1214</v>
      </c>
      <c r="M1451" s="1" t="s">
        <v>58</v>
      </c>
      <c r="N1451" s="1">
        <v>0</v>
      </c>
      <c r="O1451" s="1" t="s">
        <v>105</v>
      </c>
      <c r="P1451" s="11" t="s">
        <v>3228</v>
      </c>
      <c r="R1451" s="1">
        <v>15</v>
      </c>
      <c r="T1451" s="1" t="s">
        <v>238</v>
      </c>
      <c r="U1451" s="11" t="s">
        <v>3228</v>
      </c>
      <c r="V1451" s="1" t="s">
        <v>41</v>
      </c>
      <c r="W1451" s="1" t="s">
        <v>49</v>
      </c>
      <c r="X1451" s="13" t="str">
        <f>IF(RIGHT(H1451,2)&lt;&gt;"00",H1451,"")</f>
        <v>1012.91</v>
      </c>
      <c r="Y1451" s="2">
        <f ca="1">NETWORKDAYS(P1451,$Y$1)</f>
        <v>12</v>
      </c>
      <c r="Z1451" s="14">
        <v>1</v>
      </c>
      <c r="AA1451" s="1" t="str">
        <f t="shared" ca="1" si="110"/>
        <v>VENCIDO</v>
      </c>
      <c r="AB1451" s="1" t="str">
        <f t="shared" si="111"/>
        <v>TAAe+</v>
      </c>
      <c r="AC1451" s="2" t="str">
        <f t="shared" si="112"/>
        <v xml:space="preserve"> ROSEMERE </v>
      </c>
      <c r="AD1451" s="2">
        <f t="shared" si="113"/>
        <v>8</v>
      </c>
      <c r="AE1451" s="2">
        <f t="shared" ca="1" si="114"/>
        <v>-15.013528587965993</v>
      </c>
    </row>
    <row r="1452" spans="1:31" hidden="1">
      <c r="A1452" s="1">
        <v>9482637</v>
      </c>
      <c r="B1452" s="1" t="s">
        <v>1153</v>
      </c>
      <c r="C1452" t="s">
        <v>3229</v>
      </c>
      <c r="D1452" s="2">
        <v>20234844000464</v>
      </c>
      <c r="E1452" s="2">
        <v>7417163283071</v>
      </c>
      <c r="F1452" s="1" t="s">
        <v>131</v>
      </c>
      <c r="G1452" s="1" t="s">
        <v>53</v>
      </c>
      <c r="H1452" s="1" t="s">
        <v>2395</v>
      </c>
      <c r="I1452" s="1" t="s">
        <v>2396</v>
      </c>
      <c r="J1452" s="1" t="s">
        <v>46</v>
      </c>
      <c r="K1452" t="s">
        <v>132</v>
      </c>
      <c r="M1452" s="1" t="s">
        <v>58</v>
      </c>
      <c r="N1452" s="1">
        <v>0</v>
      </c>
      <c r="O1452" s="1" t="s">
        <v>36</v>
      </c>
      <c r="P1452" s="11" t="s">
        <v>3230</v>
      </c>
      <c r="R1452" s="1">
        <v>13</v>
      </c>
      <c r="T1452" s="1" t="s">
        <v>238</v>
      </c>
      <c r="U1452" s="11" t="s">
        <v>3230</v>
      </c>
      <c r="V1452" s="1" t="s">
        <v>41</v>
      </c>
      <c r="W1452" s="1" t="s">
        <v>49</v>
      </c>
      <c r="X1452" s="13" t="str">
        <f>IF(RIGHT(H1452,2)&lt;&gt;"00",H1452,"")</f>
        <v>4844.08</v>
      </c>
      <c r="Y1452" s="2">
        <f ca="1">NETWORKDAYS(P1452,$Y$1)</f>
        <v>12</v>
      </c>
      <c r="Z1452" s="14">
        <v>1</v>
      </c>
      <c r="AA1452" s="1" t="str">
        <f t="shared" ca="1" si="110"/>
        <v>VENCIDO</v>
      </c>
      <c r="AB1452" s="1" t="str">
        <f t="shared" si="111"/>
        <v>TAAe+</v>
      </c>
      <c r="AC1452" s="2" t="str">
        <f t="shared" si="112"/>
        <v xml:space="preserve"> CLEITON </v>
      </c>
      <c r="AD1452" s="2">
        <f t="shared" si="113"/>
        <v>8</v>
      </c>
      <c r="AE1452" s="2">
        <f t="shared" ca="1" si="114"/>
        <v>-15.015345717591117</v>
      </c>
    </row>
    <row r="1453" spans="1:31" hidden="1">
      <c r="A1453" s="1">
        <v>9482633</v>
      </c>
      <c r="B1453" s="1" t="s">
        <v>1153</v>
      </c>
      <c r="C1453" t="s">
        <v>3233</v>
      </c>
      <c r="D1453" s="2">
        <v>20231850000009</v>
      </c>
      <c r="E1453" s="2">
        <v>7417193050600</v>
      </c>
      <c r="F1453" s="1" t="s">
        <v>1719</v>
      </c>
      <c r="G1453" s="1" t="s">
        <v>53</v>
      </c>
      <c r="H1453" s="1" t="s">
        <v>1931</v>
      </c>
      <c r="I1453" s="1" t="s">
        <v>1932</v>
      </c>
      <c r="J1453" s="1" t="s">
        <v>46</v>
      </c>
      <c r="K1453" t="s">
        <v>1720</v>
      </c>
      <c r="M1453" s="1" t="s">
        <v>58</v>
      </c>
      <c r="N1453" s="1">
        <v>0</v>
      </c>
      <c r="O1453" s="1" t="s">
        <v>36</v>
      </c>
      <c r="P1453" s="11" t="s">
        <v>3234</v>
      </c>
      <c r="R1453" s="1">
        <v>22</v>
      </c>
      <c r="T1453" s="1" t="s">
        <v>1160</v>
      </c>
      <c r="U1453" s="11" t="s">
        <v>3652</v>
      </c>
      <c r="V1453" s="1" t="s">
        <v>41</v>
      </c>
      <c r="W1453" s="1" t="s">
        <v>49</v>
      </c>
      <c r="X1453" s="13" t="str">
        <f>IF(RIGHT(H1453,2)&lt;&gt;"00",H1453,"")</f>
        <v/>
      </c>
      <c r="Y1453" s="2">
        <f ca="1">NETWORKDAYS(P1453,$Y$1)</f>
        <v>12</v>
      </c>
      <c r="Z1453" s="14">
        <v>1</v>
      </c>
      <c r="AA1453" s="1" t="str">
        <f t="shared" ca="1" si="110"/>
        <v>VENCIDO</v>
      </c>
      <c r="AB1453" s="1" t="str">
        <f t="shared" si="111"/>
        <v>TAAe+</v>
      </c>
      <c r="AC1453" s="2" t="str">
        <f t="shared" si="112"/>
        <v xml:space="preserve"> CLEITON </v>
      </c>
      <c r="AD1453" s="2">
        <f t="shared" si="113"/>
        <v>8</v>
      </c>
      <c r="AE1453" s="2">
        <f t="shared" ca="1" si="114"/>
        <v>-12.183389699071995</v>
      </c>
    </row>
    <row r="1454" spans="1:31" hidden="1">
      <c r="A1454" s="1">
        <v>9482555</v>
      </c>
      <c r="B1454" s="1" t="s">
        <v>1153</v>
      </c>
      <c r="C1454" t="s">
        <v>3235</v>
      </c>
      <c r="D1454" s="2">
        <v>20232326000009</v>
      </c>
      <c r="E1454" s="2">
        <v>7417183020153</v>
      </c>
      <c r="F1454" s="1" t="s">
        <v>1313</v>
      </c>
      <c r="G1454" s="1" t="s">
        <v>53</v>
      </c>
      <c r="H1454" s="1" t="s">
        <v>3236</v>
      </c>
      <c r="I1454" s="1" t="s">
        <v>3237</v>
      </c>
      <c r="J1454" s="1" t="s">
        <v>46</v>
      </c>
      <c r="K1454" t="s">
        <v>1316</v>
      </c>
      <c r="M1454" s="1" t="s">
        <v>58</v>
      </c>
      <c r="N1454" s="1">
        <v>0</v>
      </c>
      <c r="O1454" s="1" t="s">
        <v>36</v>
      </c>
      <c r="P1454" s="11" t="s">
        <v>3238</v>
      </c>
      <c r="R1454" s="1">
        <v>13</v>
      </c>
      <c r="T1454" s="1" t="s">
        <v>238</v>
      </c>
      <c r="U1454" s="11" t="s">
        <v>3238</v>
      </c>
      <c r="V1454" s="1" t="s">
        <v>41</v>
      </c>
      <c r="W1454" s="1" t="s">
        <v>49</v>
      </c>
      <c r="X1454" s="13" t="str">
        <f>IF(RIGHT(H1454,2)&lt;&gt;"00",H1454,"")</f>
        <v>2326.91</v>
      </c>
      <c r="Y1454" s="2">
        <f ca="1">NETWORKDAYS(P1454,$Y$1)</f>
        <v>12</v>
      </c>
      <c r="Z1454" s="14">
        <v>1</v>
      </c>
      <c r="AA1454" s="1" t="str">
        <f t="shared" ca="1" si="110"/>
        <v>VENCIDO</v>
      </c>
      <c r="AB1454" s="1" t="str">
        <f t="shared" si="111"/>
        <v>TAAe+</v>
      </c>
      <c r="AC1454" s="2" t="str">
        <f t="shared" si="112"/>
        <v xml:space="preserve"> CLEITON </v>
      </c>
      <c r="AD1454" s="2">
        <f t="shared" si="113"/>
        <v>8</v>
      </c>
      <c r="AE1454" s="2">
        <f t="shared" ca="1" si="114"/>
        <v>-15.035010069441341</v>
      </c>
    </row>
    <row r="1455" spans="1:31" hidden="1">
      <c r="A1455" s="1">
        <v>9482481</v>
      </c>
      <c r="B1455" s="1" t="s">
        <v>1153</v>
      </c>
      <c r="C1455" t="s">
        <v>3243</v>
      </c>
      <c r="E1455" s="2">
        <v>9704000206200</v>
      </c>
      <c r="F1455" s="1" t="s">
        <v>208</v>
      </c>
      <c r="G1455" s="1" t="s">
        <v>53</v>
      </c>
      <c r="H1455" s="1" t="s">
        <v>488</v>
      </c>
      <c r="I1455" s="1" t="s">
        <v>489</v>
      </c>
      <c r="J1455" s="1" t="s">
        <v>164</v>
      </c>
      <c r="K1455" t="s">
        <v>212</v>
      </c>
      <c r="M1455" s="1" t="s">
        <v>35</v>
      </c>
      <c r="N1455" s="1">
        <v>42318949</v>
      </c>
      <c r="O1455" s="1" t="s">
        <v>36</v>
      </c>
      <c r="P1455" s="11" t="s">
        <v>3244</v>
      </c>
      <c r="R1455" s="1" t="s">
        <v>38</v>
      </c>
      <c r="T1455" s="1" t="s">
        <v>74</v>
      </c>
      <c r="U1455" s="11" t="s">
        <v>3647</v>
      </c>
      <c r="V1455" s="1" t="s">
        <v>41</v>
      </c>
      <c r="W1455" s="1" t="s">
        <v>49</v>
      </c>
      <c r="X1455" s="13" t="str">
        <f>IF(RIGHT(H1455,2)&lt;&gt;"00",H1455,"")</f>
        <v/>
      </c>
      <c r="Y1455" s="2">
        <f ca="1">NETWORKDAYS(P1455,$Y$1)</f>
        <v>12</v>
      </c>
      <c r="Z1455" s="14">
        <v>1</v>
      </c>
      <c r="AA1455" s="1" t="str">
        <f t="shared" ca="1" si="110"/>
        <v>VENCIDO</v>
      </c>
      <c r="AB1455" s="1" t="str">
        <f t="shared" si="111"/>
        <v>TAAe+</v>
      </c>
      <c r="AC1455" s="2" t="str">
        <f t="shared" si="112"/>
        <v xml:space="preserve"> ROSEMERE </v>
      </c>
      <c r="AD1455" s="2">
        <f t="shared" si="113"/>
        <v>8</v>
      </c>
      <c r="AE1455" s="2">
        <f t="shared" ca="1" si="114"/>
        <v>-2.2179383101829444</v>
      </c>
    </row>
    <row r="1456" spans="1:31" hidden="1">
      <c r="A1456" s="1">
        <v>9482426</v>
      </c>
      <c r="B1456" s="1" t="s">
        <v>1153</v>
      </c>
      <c r="C1456" t="s">
        <v>3245</v>
      </c>
      <c r="D1456" s="2">
        <v>20231012000004</v>
      </c>
      <c r="E1456" s="2">
        <v>7417183020615</v>
      </c>
      <c r="F1456" s="1" t="s">
        <v>1313</v>
      </c>
      <c r="G1456" s="1" t="s">
        <v>53</v>
      </c>
      <c r="H1456" s="1" t="s">
        <v>2481</v>
      </c>
      <c r="I1456" s="1" t="s">
        <v>2482</v>
      </c>
      <c r="J1456" s="1" t="s">
        <v>164</v>
      </c>
      <c r="K1456" t="s">
        <v>1316</v>
      </c>
      <c r="M1456" s="1" t="s">
        <v>58</v>
      </c>
      <c r="N1456" s="1">
        <v>0</v>
      </c>
      <c r="O1456" s="1" t="s">
        <v>105</v>
      </c>
      <c r="P1456" s="11" t="s">
        <v>3246</v>
      </c>
      <c r="R1456" s="1">
        <v>15</v>
      </c>
      <c r="T1456" s="1" t="s">
        <v>238</v>
      </c>
      <c r="U1456" s="11" t="s">
        <v>3246</v>
      </c>
      <c r="V1456" s="1" t="s">
        <v>41</v>
      </c>
      <c r="W1456" s="1" t="s">
        <v>49</v>
      </c>
      <c r="X1456" s="13" t="str">
        <f>IF(RIGHT(H1456,2)&lt;&gt;"00",H1456,"")</f>
        <v>1012.91</v>
      </c>
      <c r="Y1456" s="2">
        <f ca="1">NETWORKDAYS(P1456,$Y$1)</f>
        <v>12</v>
      </c>
      <c r="Z1456" s="14">
        <v>1</v>
      </c>
      <c r="AA1456" s="1" t="str">
        <f t="shared" ca="1" si="110"/>
        <v>VENCIDO</v>
      </c>
      <c r="AB1456" s="1" t="str">
        <f t="shared" si="111"/>
        <v>TAAe+</v>
      </c>
      <c r="AC1456" s="2" t="str">
        <f t="shared" si="112"/>
        <v xml:space="preserve"> ROSEMERE </v>
      </c>
      <c r="AD1456" s="2">
        <f t="shared" si="113"/>
        <v>8</v>
      </c>
      <c r="AE1456" s="2">
        <f t="shared" ca="1" si="114"/>
        <v>-15.050843402779719</v>
      </c>
    </row>
    <row r="1457" spans="1:31" hidden="1">
      <c r="A1457" s="1">
        <v>9482130</v>
      </c>
      <c r="B1457" s="1" t="s">
        <v>1153</v>
      </c>
      <c r="C1457" t="s">
        <v>3256</v>
      </c>
      <c r="E1457" s="2">
        <v>2855000206001</v>
      </c>
      <c r="F1457" s="1" t="s">
        <v>29</v>
      </c>
      <c r="G1457" s="1" t="s">
        <v>53</v>
      </c>
      <c r="H1457" s="1" t="s">
        <v>249</v>
      </c>
      <c r="I1457" s="1" t="s">
        <v>250</v>
      </c>
      <c r="J1457" s="1" t="s">
        <v>56</v>
      </c>
      <c r="K1457" t="s">
        <v>34</v>
      </c>
      <c r="M1457" s="1" t="s">
        <v>35</v>
      </c>
      <c r="N1457" s="1">
        <v>42318949</v>
      </c>
      <c r="O1457" s="1" t="s">
        <v>36</v>
      </c>
      <c r="P1457" s="11" t="s">
        <v>3257</v>
      </c>
      <c r="R1457" s="1" t="s">
        <v>38</v>
      </c>
      <c r="T1457" s="1" t="s">
        <v>74</v>
      </c>
      <c r="U1457" s="11" t="s">
        <v>3044</v>
      </c>
      <c r="V1457" s="1" t="s">
        <v>41</v>
      </c>
      <c r="W1457" s="1" t="s">
        <v>49</v>
      </c>
      <c r="X1457" s="13" t="str">
        <f>IF(RIGHT(H1457,2)&lt;&gt;"00",H1457,"")</f>
        <v/>
      </c>
      <c r="Y1457" s="2">
        <f ca="1">NETWORKDAYS(P1457,$Y$1)</f>
        <v>12</v>
      </c>
      <c r="Z1457" s="14">
        <v>1</v>
      </c>
      <c r="AA1457" s="1" t="str">
        <f t="shared" ca="1" si="110"/>
        <v>VENCIDO</v>
      </c>
      <c r="AB1457" s="1" t="str">
        <f t="shared" si="111"/>
        <v>Dosa</v>
      </c>
      <c r="AC1457" s="2" t="str">
        <f t="shared" si="112"/>
        <v xml:space="preserve"> CRISTINA </v>
      </c>
      <c r="AD1457" s="2">
        <f t="shared" si="113"/>
        <v>5</v>
      </c>
      <c r="AE1457" s="2">
        <f t="shared" ca="1" si="114"/>
        <v>-1.9679383101829444</v>
      </c>
    </row>
    <row r="1458" spans="1:31" hidden="1">
      <c r="A1458" s="1">
        <v>9481995</v>
      </c>
      <c r="B1458" s="1" t="s">
        <v>1153</v>
      </c>
      <c r="C1458" t="s">
        <v>3258</v>
      </c>
      <c r="D1458" s="2">
        <v>20230115000012</v>
      </c>
      <c r="E1458" s="2">
        <v>7417183022877</v>
      </c>
      <c r="F1458" s="1" t="s">
        <v>1313</v>
      </c>
      <c r="G1458" s="1" t="s">
        <v>53</v>
      </c>
      <c r="H1458" s="1" t="s">
        <v>2591</v>
      </c>
      <c r="I1458" s="1" t="s">
        <v>2592</v>
      </c>
      <c r="J1458" s="1" t="s">
        <v>56</v>
      </c>
      <c r="K1458" t="s">
        <v>1316</v>
      </c>
      <c r="M1458" s="1" t="s">
        <v>58</v>
      </c>
      <c r="N1458" s="1">
        <v>0</v>
      </c>
      <c r="O1458" s="1" t="s">
        <v>36</v>
      </c>
      <c r="P1458" s="11" t="s">
        <v>3259</v>
      </c>
      <c r="R1458" s="1">
        <v>14</v>
      </c>
      <c r="T1458" s="1" t="s">
        <v>238</v>
      </c>
      <c r="U1458" s="11" t="s">
        <v>3259</v>
      </c>
      <c r="V1458" s="1" t="s">
        <v>41</v>
      </c>
      <c r="W1458" s="1" t="s">
        <v>49</v>
      </c>
      <c r="X1458" s="13" t="str">
        <f>IF(RIGHT(H1458,2)&lt;&gt;"00",H1458,"")</f>
        <v>0115.91</v>
      </c>
      <c r="Y1458" s="2">
        <f ca="1">NETWORKDAYS(P1458,$Y$1)</f>
        <v>12</v>
      </c>
      <c r="Z1458" s="14">
        <v>1</v>
      </c>
      <c r="AA1458" s="1" t="str">
        <f t="shared" ca="1" si="110"/>
        <v>VENCIDO</v>
      </c>
      <c r="AB1458" s="1" t="str">
        <f t="shared" si="111"/>
        <v>TAAe+</v>
      </c>
      <c r="AC1458" s="2" t="str">
        <f t="shared" si="112"/>
        <v xml:space="preserve"> CRISTINA </v>
      </c>
      <c r="AD1458" s="2">
        <f t="shared" si="113"/>
        <v>8</v>
      </c>
      <c r="AE1458" s="2">
        <f t="shared" ca="1" si="114"/>
        <v>-15.122336458334757</v>
      </c>
    </row>
    <row r="1459" spans="1:31" hidden="1">
      <c r="A1459" s="1">
        <v>9481886</v>
      </c>
      <c r="B1459" s="1" t="s">
        <v>1153</v>
      </c>
      <c r="C1459" t="s">
        <v>2991</v>
      </c>
      <c r="D1459" s="2">
        <v>20234844000458</v>
      </c>
      <c r="E1459" s="2">
        <v>7419143322492</v>
      </c>
      <c r="F1459" s="1" t="s">
        <v>1222</v>
      </c>
      <c r="G1459" s="1" t="s">
        <v>53</v>
      </c>
      <c r="H1459" s="1" t="s">
        <v>2992</v>
      </c>
      <c r="I1459" s="1" t="s">
        <v>2993</v>
      </c>
      <c r="J1459" s="1" t="s">
        <v>46</v>
      </c>
      <c r="K1459" t="s">
        <v>1223</v>
      </c>
      <c r="M1459" s="1" t="s">
        <v>58</v>
      </c>
      <c r="N1459" s="1">
        <v>0</v>
      </c>
      <c r="O1459" s="1" t="s">
        <v>36</v>
      </c>
      <c r="P1459" s="11" t="s">
        <v>3262</v>
      </c>
      <c r="R1459" s="1">
        <v>13</v>
      </c>
      <c r="T1459" s="1" t="s">
        <v>238</v>
      </c>
      <c r="U1459" s="186">
        <v>44971.534155092595</v>
      </c>
      <c r="V1459" s="1" t="s">
        <v>41</v>
      </c>
      <c r="W1459" s="1" t="s">
        <v>49</v>
      </c>
      <c r="X1459" s="13" t="str">
        <f>IF(RIGHT(H1459,2)&lt;&gt;"00",H1459,"")</f>
        <v>4844.03</v>
      </c>
      <c r="Y1459" s="2">
        <f ca="1">NETWORKDAYS(P1459,$Y$1)</f>
        <v>12</v>
      </c>
      <c r="Z1459" s="14">
        <v>1</v>
      </c>
      <c r="AA1459" s="1" t="str">
        <f t="shared" ca="1" si="110"/>
        <v>VENCIDO</v>
      </c>
      <c r="AB1459" s="1" t="str">
        <f t="shared" si="111"/>
        <v>TAAe+</v>
      </c>
      <c r="AC1459" s="2" t="str">
        <f t="shared" si="112"/>
        <v xml:space="preserve"> CLEITON </v>
      </c>
      <c r="AD1459" s="2">
        <f t="shared" si="113"/>
        <v>8</v>
      </c>
      <c r="AE1459" s="2">
        <f t="shared" ca="1" si="114"/>
        <v>-15.142116550923674</v>
      </c>
    </row>
    <row r="1460" spans="1:31" hidden="1">
      <c r="A1460" s="1">
        <v>9481874</v>
      </c>
      <c r="B1460" s="1" t="s">
        <v>1153</v>
      </c>
      <c r="C1460" t="s">
        <v>2994</v>
      </c>
      <c r="D1460" s="2">
        <v>20231650000004</v>
      </c>
      <c r="E1460" s="2">
        <v>8558100222966</v>
      </c>
      <c r="F1460" s="1" t="s">
        <v>2995</v>
      </c>
      <c r="G1460" s="1" t="s">
        <v>53</v>
      </c>
      <c r="H1460" s="1" t="s">
        <v>620</v>
      </c>
      <c r="I1460" s="1" t="s">
        <v>621</v>
      </c>
      <c r="J1460" s="1" t="s">
        <v>141</v>
      </c>
      <c r="K1460" t="s">
        <v>2996</v>
      </c>
      <c r="M1460" s="1" t="s">
        <v>58</v>
      </c>
      <c r="N1460" s="1">
        <v>0</v>
      </c>
      <c r="O1460" s="1" t="s">
        <v>36</v>
      </c>
      <c r="P1460" s="11" t="s">
        <v>3263</v>
      </c>
      <c r="R1460" s="1">
        <v>21</v>
      </c>
      <c r="T1460" s="1" t="s">
        <v>1160</v>
      </c>
      <c r="U1460" s="11" t="s">
        <v>3264</v>
      </c>
      <c r="V1460" s="1" t="s">
        <v>41</v>
      </c>
      <c r="W1460" s="1" t="s">
        <v>49</v>
      </c>
      <c r="X1460" s="13" t="str">
        <f>IF(RIGHT(H1460,2)&lt;&gt;"00",H1460,"")</f>
        <v/>
      </c>
      <c r="Y1460" s="2">
        <f ca="1">NETWORKDAYS(P1460,$Y$1)</f>
        <v>12</v>
      </c>
      <c r="Z1460" s="14">
        <v>1</v>
      </c>
      <c r="AA1460" s="1" t="str">
        <f t="shared" ca="1" si="110"/>
        <v>VENCIDO</v>
      </c>
      <c r="AB1460" s="1" t="str">
        <f t="shared" si="111"/>
        <v>TAAe+</v>
      </c>
      <c r="AC1460" s="2" t="str">
        <f t="shared" si="112"/>
        <v xml:space="preserve"> CRISTINA </v>
      </c>
      <c r="AD1460" s="2">
        <f t="shared" si="113"/>
        <v>8</v>
      </c>
      <c r="AE1460" s="2">
        <f t="shared" ca="1" si="114"/>
        <v>-13.060785532405134</v>
      </c>
    </row>
    <row r="1461" spans="1:31" hidden="1">
      <c r="A1461" s="1">
        <v>9481854</v>
      </c>
      <c r="B1461" s="1" t="s">
        <v>1153</v>
      </c>
      <c r="C1461" t="s">
        <v>2997</v>
      </c>
      <c r="D1461" s="2">
        <v>230028931</v>
      </c>
      <c r="E1461" s="2">
        <v>67001400010</v>
      </c>
      <c r="F1461" s="1" t="s">
        <v>936</v>
      </c>
      <c r="G1461" s="1" t="s">
        <v>53</v>
      </c>
      <c r="H1461" s="1" t="s">
        <v>404</v>
      </c>
      <c r="I1461" s="1" t="s">
        <v>405</v>
      </c>
      <c r="J1461" s="1" t="s">
        <v>164</v>
      </c>
      <c r="K1461" t="s">
        <v>937</v>
      </c>
      <c r="M1461" s="1" t="s">
        <v>58</v>
      </c>
      <c r="N1461" s="1">
        <v>0</v>
      </c>
      <c r="O1461" s="1" t="s">
        <v>36</v>
      </c>
      <c r="P1461" s="11" t="s">
        <v>3265</v>
      </c>
      <c r="R1461" s="1">
        <v>3</v>
      </c>
      <c r="T1461" s="1" t="s">
        <v>646</v>
      </c>
      <c r="U1461" s="11" t="s">
        <v>3266</v>
      </c>
      <c r="V1461" s="1" t="s">
        <v>41</v>
      </c>
      <c r="W1461" s="1" t="s">
        <v>49</v>
      </c>
      <c r="X1461" s="13" t="str">
        <f>IF(RIGHT(H1461,2)&lt;&gt;"00",H1461,"")</f>
        <v/>
      </c>
      <c r="Y1461" s="2">
        <f ca="1">NETWORKDAYS(P1461,$Y$1)</f>
        <v>12</v>
      </c>
      <c r="Z1461" s="14">
        <v>1</v>
      </c>
      <c r="AA1461" s="1" t="str">
        <f t="shared" ca="1" si="110"/>
        <v>VENCIDO</v>
      </c>
      <c r="AB1461" s="1" t="str">
        <f t="shared" si="111"/>
        <v>C-14</v>
      </c>
      <c r="AC1461" s="2" t="str">
        <f t="shared" si="112"/>
        <v xml:space="preserve"> ROSEMERE </v>
      </c>
      <c r="AD1461" s="2">
        <f t="shared" si="113"/>
        <v>5</v>
      </c>
      <c r="AE1461" s="2">
        <f t="shared" ca="1" si="114"/>
        <v>-6.1936327546281973</v>
      </c>
    </row>
    <row r="1462" spans="1:31" hidden="1">
      <c r="A1462" s="1">
        <v>9481771</v>
      </c>
      <c r="B1462" s="1" t="s">
        <v>62</v>
      </c>
      <c r="C1462" t="s">
        <v>2999</v>
      </c>
      <c r="E1462" s="2">
        <v>3108010206001</v>
      </c>
      <c r="F1462" s="1" t="s">
        <v>29</v>
      </c>
      <c r="G1462" s="1" t="s">
        <v>53</v>
      </c>
      <c r="H1462" s="1" t="s">
        <v>503</v>
      </c>
      <c r="I1462" s="1" t="s">
        <v>504</v>
      </c>
      <c r="J1462" s="1" t="s">
        <v>46</v>
      </c>
      <c r="K1462" t="s">
        <v>34</v>
      </c>
      <c r="M1462" s="1" t="s">
        <v>35</v>
      </c>
      <c r="N1462" s="1">
        <v>42318949</v>
      </c>
      <c r="O1462" s="1" t="s">
        <v>105</v>
      </c>
      <c r="P1462" s="11" t="s">
        <v>3267</v>
      </c>
      <c r="R1462" s="1" t="s">
        <v>38</v>
      </c>
      <c r="T1462" s="1" t="s">
        <v>74</v>
      </c>
      <c r="U1462" s="11" t="s">
        <v>3268</v>
      </c>
      <c r="V1462" s="1" t="s">
        <v>41</v>
      </c>
      <c r="W1462" s="1" t="s">
        <v>49</v>
      </c>
      <c r="X1462" s="13" t="str">
        <f>IF(RIGHT(H1462,2)&lt;&gt;"00",H1462,"")</f>
        <v>3108.01</v>
      </c>
      <c r="Y1462" s="2">
        <f ca="1">NETWORKDAYS(P1462,$Y$1)</f>
        <v>12</v>
      </c>
      <c r="Z1462" s="14">
        <v>1</v>
      </c>
      <c r="AA1462" s="1" t="str">
        <f t="shared" ca="1" si="110"/>
        <v>A VENCER</v>
      </c>
      <c r="AB1462" s="1" t="str">
        <f t="shared" si="111"/>
        <v>Dosa</v>
      </c>
      <c r="AC1462" s="2" t="str">
        <f t="shared" si="112"/>
        <v xml:space="preserve"> CLEITON </v>
      </c>
      <c r="AD1462" s="2">
        <f t="shared" si="113"/>
        <v>5</v>
      </c>
      <c r="AE1462" s="2">
        <f t="shared" ca="1" si="114"/>
        <v>28.073728356481297</v>
      </c>
    </row>
    <row r="1463" spans="1:31">
      <c r="A1463" s="181">
        <v>9481708</v>
      </c>
      <c r="B1463" s="181" t="s">
        <v>1153</v>
      </c>
      <c r="C1463" s="185" t="s">
        <v>3000</v>
      </c>
      <c r="D1463" s="183"/>
      <c r="E1463" s="183">
        <v>2437000206001</v>
      </c>
      <c r="F1463" s="181" t="s">
        <v>29</v>
      </c>
      <c r="G1463" s="181" t="s">
        <v>53</v>
      </c>
      <c r="H1463" s="181" t="s">
        <v>416</v>
      </c>
      <c r="I1463" s="181" t="s">
        <v>417</v>
      </c>
      <c r="J1463" s="181" t="s">
        <v>211</v>
      </c>
      <c r="K1463" t="s">
        <v>34</v>
      </c>
      <c r="M1463" s="1" t="s">
        <v>35</v>
      </c>
      <c r="N1463" s="1">
        <v>42318949</v>
      </c>
      <c r="O1463" s="1" t="s">
        <v>36</v>
      </c>
      <c r="P1463" s="11" t="s">
        <v>3269</v>
      </c>
      <c r="R1463" s="1" t="s">
        <v>38</v>
      </c>
      <c r="T1463" s="1" t="s">
        <v>74</v>
      </c>
      <c r="U1463" s="11" t="s">
        <v>2516</v>
      </c>
      <c r="V1463" s="1" t="s">
        <v>41</v>
      </c>
      <c r="W1463" s="1" t="s">
        <v>49</v>
      </c>
      <c r="X1463" s="13" t="str">
        <f>IF(RIGHT(H1463,2)&lt;&gt;"00",H1463,"")</f>
        <v/>
      </c>
      <c r="Y1463" s="2">
        <f ca="1">NETWORKDAYS(P1463,$Y$1)</f>
        <v>12</v>
      </c>
      <c r="Z1463" s="14">
        <v>1</v>
      </c>
      <c r="AA1463" s="1" t="str">
        <f t="shared" ca="1" si="110"/>
        <v>VENCIDO</v>
      </c>
      <c r="AB1463" s="1" t="str">
        <f t="shared" si="111"/>
        <v>Dosa</v>
      </c>
      <c r="AC1463" s="2" t="str">
        <f t="shared" si="112"/>
        <v xml:space="preserve"> RINALDO </v>
      </c>
      <c r="AD1463" s="2">
        <f t="shared" si="113"/>
        <v>5</v>
      </c>
      <c r="AE1463" s="2">
        <f t="shared" ca="1" si="114"/>
        <v>-6.9679383101829444</v>
      </c>
    </row>
    <row r="1464" spans="1:31" hidden="1">
      <c r="A1464" s="1">
        <v>9481422</v>
      </c>
      <c r="B1464" s="1" t="s">
        <v>1153</v>
      </c>
      <c r="C1464" t="s">
        <v>3004</v>
      </c>
      <c r="D1464" s="2">
        <v>230028843</v>
      </c>
      <c r="E1464" s="2">
        <v>3699001400030</v>
      </c>
      <c r="F1464" s="1" t="s">
        <v>647</v>
      </c>
      <c r="G1464" s="1" t="s">
        <v>53</v>
      </c>
      <c r="H1464" s="1" t="s">
        <v>343</v>
      </c>
      <c r="I1464" s="1" t="s">
        <v>344</v>
      </c>
      <c r="J1464" s="1" t="s">
        <v>46</v>
      </c>
      <c r="K1464" t="s">
        <v>650</v>
      </c>
      <c r="M1464" s="1" t="s">
        <v>58</v>
      </c>
      <c r="N1464" s="1">
        <v>0</v>
      </c>
      <c r="O1464" s="1" t="s">
        <v>36</v>
      </c>
      <c r="P1464" s="11" t="s">
        <v>3271</v>
      </c>
      <c r="R1464" s="1">
        <v>4</v>
      </c>
      <c r="T1464" s="1" t="s">
        <v>646</v>
      </c>
      <c r="U1464" s="11" t="s">
        <v>3272</v>
      </c>
      <c r="V1464" s="1" t="s">
        <v>41</v>
      </c>
      <c r="W1464" s="1" t="s">
        <v>49</v>
      </c>
      <c r="X1464" s="13" t="str">
        <f>IF(RIGHT(H1464,2)&lt;&gt;"00",H1464,"")</f>
        <v/>
      </c>
      <c r="Y1464" s="2">
        <f ca="1">NETWORKDAYS(P1464,$Y$1)</f>
        <v>12</v>
      </c>
      <c r="Z1464" s="14">
        <v>1</v>
      </c>
      <c r="AA1464" s="1" t="str">
        <f t="shared" ca="1" si="110"/>
        <v>VENCIDO</v>
      </c>
      <c r="AB1464" s="1" t="str">
        <f t="shared" si="111"/>
        <v>C-14</v>
      </c>
      <c r="AC1464" s="2" t="str">
        <f t="shared" si="112"/>
        <v xml:space="preserve"> CLEITON </v>
      </c>
      <c r="AD1464" s="2">
        <f t="shared" si="113"/>
        <v>15</v>
      </c>
      <c r="AE1464" s="2">
        <f t="shared" ca="1" si="114"/>
        <v>-6.0512716435187031</v>
      </c>
    </row>
    <row r="1465" spans="1:31" hidden="1">
      <c r="A1465" s="1">
        <v>9481389</v>
      </c>
      <c r="B1465" s="1" t="s">
        <v>1153</v>
      </c>
      <c r="C1465" t="s">
        <v>3006</v>
      </c>
      <c r="D1465" s="2">
        <v>20232369000007</v>
      </c>
      <c r="E1465" s="2">
        <v>7417161480604</v>
      </c>
      <c r="F1465" s="1" t="s">
        <v>1979</v>
      </c>
      <c r="G1465" s="1" t="s">
        <v>53</v>
      </c>
      <c r="H1465" s="1" t="s">
        <v>2809</v>
      </c>
      <c r="I1465" s="1" t="s">
        <v>2810</v>
      </c>
      <c r="J1465" s="1" t="s">
        <v>141</v>
      </c>
      <c r="K1465" t="s">
        <v>1982</v>
      </c>
      <c r="M1465" s="1" t="s">
        <v>58</v>
      </c>
      <c r="N1465" s="1">
        <v>0</v>
      </c>
      <c r="O1465" s="1" t="s">
        <v>36</v>
      </c>
      <c r="P1465" s="11" t="s">
        <v>3273</v>
      </c>
      <c r="R1465" s="1">
        <v>14</v>
      </c>
      <c r="T1465" s="1" t="s">
        <v>238</v>
      </c>
      <c r="U1465" s="11" t="s">
        <v>3273</v>
      </c>
      <c r="V1465" s="1" t="s">
        <v>41</v>
      </c>
      <c r="W1465" s="1" t="s">
        <v>49</v>
      </c>
      <c r="X1465" s="13" t="str">
        <f>IF(RIGHT(H1465,2)&lt;&gt;"00",H1465,"")</f>
        <v>2369.91</v>
      </c>
      <c r="Y1465" s="2">
        <f ca="1">NETWORKDAYS(P1465,$Y$1)</f>
        <v>12</v>
      </c>
      <c r="Z1465" s="14">
        <v>1</v>
      </c>
      <c r="AA1465" s="1" t="str">
        <f t="shared" ca="1" si="110"/>
        <v>VENCIDO</v>
      </c>
      <c r="AB1465" s="1" t="str">
        <f t="shared" si="111"/>
        <v>TAAe+</v>
      </c>
      <c r="AC1465" s="2" t="str">
        <f t="shared" si="112"/>
        <v xml:space="preserve"> CRISTINA </v>
      </c>
      <c r="AD1465" s="2">
        <f t="shared" si="113"/>
        <v>8</v>
      </c>
      <c r="AE1465" s="2">
        <f t="shared" ca="1" si="114"/>
        <v>-15.210241550928913</v>
      </c>
    </row>
    <row r="1466" spans="1:31" hidden="1">
      <c r="A1466" s="1">
        <v>9481183</v>
      </c>
      <c r="B1466" s="1" t="s">
        <v>1153</v>
      </c>
      <c r="C1466" t="s">
        <v>3009</v>
      </c>
      <c r="D1466" s="2">
        <v>20231739000004</v>
      </c>
      <c r="E1466" s="2">
        <v>7417161480638</v>
      </c>
      <c r="F1466" s="1" t="s">
        <v>1979</v>
      </c>
      <c r="G1466" s="1" t="s">
        <v>53</v>
      </c>
      <c r="H1466" s="1" t="s">
        <v>2891</v>
      </c>
      <c r="I1466" s="1" t="s">
        <v>2892</v>
      </c>
      <c r="J1466" s="1" t="s">
        <v>164</v>
      </c>
      <c r="K1466" t="s">
        <v>1982</v>
      </c>
      <c r="M1466" s="1" t="s">
        <v>58</v>
      </c>
      <c r="N1466" s="1">
        <v>0</v>
      </c>
      <c r="O1466" s="1" t="s">
        <v>36</v>
      </c>
      <c r="P1466" s="11" t="s">
        <v>3276</v>
      </c>
      <c r="R1466" s="1">
        <v>14</v>
      </c>
      <c r="T1466" s="1" t="s">
        <v>238</v>
      </c>
      <c r="U1466" s="11" t="s">
        <v>3276</v>
      </c>
      <c r="V1466" s="1" t="s">
        <v>41</v>
      </c>
      <c r="W1466" s="1" t="s">
        <v>49</v>
      </c>
      <c r="X1466" s="13" t="str">
        <f>IF(RIGHT(H1466,2)&lt;&gt;"00",H1466,"")</f>
        <v>1739.91</v>
      </c>
      <c r="Y1466" s="2">
        <f ca="1">NETWORKDAYS(P1466,$Y$1)</f>
        <v>12</v>
      </c>
      <c r="Z1466" s="14">
        <v>1</v>
      </c>
      <c r="AA1466" s="1" t="str">
        <f t="shared" ca="1" si="110"/>
        <v>VENCIDO</v>
      </c>
      <c r="AB1466" s="1" t="str">
        <f t="shared" si="111"/>
        <v>TAAe+</v>
      </c>
      <c r="AC1466" s="2" t="str">
        <f t="shared" si="112"/>
        <v xml:space="preserve"> ROSEMERE </v>
      </c>
      <c r="AD1466" s="2">
        <f t="shared" si="113"/>
        <v>8</v>
      </c>
      <c r="AE1466" s="2">
        <f t="shared" ca="1" si="114"/>
        <v>-15.232996180558985</v>
      </c>
    </row>
    <row r="1467" spans="1:31" hidden="1">
      <c r="A1467" s="1">
        <v>9481147</v>
      </c>
      <c r="B1467" s="1" t="s">
        <v>1153</v>
      </c>
      <c r="C1467" t="s">
        <v>3010</v>
      </c>
      <c r="D1467" s="2">
        <v>20232678000016</v>
      </c>
      <c r="E1467" s="2">
        <v>7417163281860</v>
      </c>
      <c r="F1467" s="1" t="s">
        <v>131</v>
      </c>
      <c r="G1467" s="1" t="s">
        <v>53</v>
      </c>
      <c r="H1467" s="1" t="s">
        <v>2814</v>
      </c>
      <c r="I1467" s="1" t="s">
        <v>2815</v>
      </c>
      <c r="J1467" s="1" t="s">
        <v>33</v>
      </c>
      <c r="K1467" t="s">
        <v>132</v>
      </c>
      <c r="M1467" s="1" t="s">
        <v>58</v>
      </c>
      <c r="N1467" s="1">
        <v>0</v>
      </c>
      <c r="O1467" s="1" t="s">
        <v>36</v>
      </c>
      <c r="P1467" s="11" t="s">
        <v>3277</v>
      </c>
      <c r="R1467" s="1">
        <v>15</v>
      </c>
      <c r="T1467" s="1" t="s">
        <v>238</v>
      </c>
      <c r="U1467" s="11" t="s">
        <v>3277</v>
      </c>
      <c r="V1467" s="1" t="s">
        <v>41</v>
      </c>
      <c r="W1467" s="1" t="s">
        <v>42</v>
      </c>
      <c r="X1467" s="13" t="str">
        <f>IF(RIGHT(H1467,2)&lt;&gt;"00",H1467,"")</f>
        <v>2678.91</v>
      </c>
      <c r="Y1467" s="2">
        <f ca="1">NETWORKDAYS(P1467,$Y$1)</f>
        <v>12</v>
      </c>
      <c r="Z1467" s="14">
        <v>1</v>
      </c>
      <c r="AA1467" s="1" t="str">
        <f t="shared" ca="1" si="110"/>
        <v>VENCIDO</v>
      </c>
      <c r="AB1467" s="1" t="str">
        <f t="shared" si="111"/>
        <v>TAAe+</v>
      </c>
      <c r="AC1467" s="2" t="str">
        <f t="shared" si="112"/>
        <v xml:space="preserve"> ROSEMERE </v>
      </c>
      <c r="AD1467" s="2">
        <f t="shared" si="113"/>
        <v>8</v>
      </c>
      <c r="AE1467" s="2">
        <f t="shared" ca="1" si="114"/>
        <v>-15.24063506944367</v>
      </c>
    </row>
    <row r="1468" spans="1:31" hidden="1">
      <c r="A1468" s="1">
        <v>9481146</v>
      </c>
      <c r="B1468" s="1" t="s">
        <v>1153</v>
      </c>
      <c r="C1468" t="s">
        <v>3011</v>
      </c>
      <c r="D1468" s="2">
        <v>20232678000015</v>
      </c>
      <c r="E1468" s="2">
        <v>7417163282981</v>
      </c>
      <c r="F1468" s="1" t="s">
        <v>131</v>
      </c>
      <c r="G1468" s="1" t="s">
        <v>53</v>
      </c>
      <c r="H1468" s="1" t="s">
        <v>2814</v>
      </c>
      <c r="I1468" s="1" t="s">
        <v>2815</v>
      </c>
      <c r="J1468" s="1" t="s">
        <v>33</v>
      </c>
      <c r="K1468" t="s">
        <v>132</v>
      </c>
      <c r="M1468" s="1" t="s">
        <v>58</v>
      </c>
      <c r="N1468" s="1">
        <v>0</v>
      </c>
      <c r="O1468" s="1" t="s">
        <v>36</v>
      </c>
      <c r="P1468" s="11" t="s">
        <v>3278</v>
      </c>
      <c r="R1468" s="1">
        <v>15</v>
      </c>
      <c r="T1468" s="1" t="s">
        <v>238</v>
      </c>
      <c r="U1468" s="11" t="s">
        <v>3278</v>
      </c>
      <c r="V1468" s="1" t="s">
        <v>41</v>
      </c>
      <c r="W1468" s="1" t="s">
        <v>42</v>
      </c>
      <c r="X1468" s="13" t="str">
        <f>IF(RIGHT(H1468,2)&lt;&gt;"00",H1468,"")</f>
        <v>2678.91</v>
      </c>
      <c r="Y1468" s="2">
        <f ca="1">NETWORKDAYS(P1468,$Y$1)</f>
        <v>12</v>
      </c>
      <c r="Z1468" s="14">
        <v>1</v>
      </c>
      <c r="AA1468" s="1" t="str">
        <f t="shared" ref="AA1468:AA1531" ca="1" si="115">IF(AE1468=0,"HOJE",IF(AE1468&gt;0,"A VENCER",IF(AE1468&lt;0,"VENCIDO")))</f>
        <v>VENCIDO</v>
      </c>
      <c r="AB1468" s="1" t="str">
        <f t="shared" ref="AB1468:AB1531" si="116">IF(F1468="GRPE-000001","C-14",IF(F1468="GRPE-000002","C-14",IF(F1468="GRPE-000003","C-14",IF(F1468="GRPE-000004","SL-On",IF(F1468="GRPE-000038","C-14",IF(F1468="GRPE-900022","Dosa",IF(F1468="GRPE-000029","Dosa",IF(F1468="ATOS-000222","Dose","TAAe+"))))))))</f>
        <v>TAAe+</v>
      </c>
      <c r="AC1468" s="2" t="str">
        <f t="shared" ref="AC1468:AC1531" si="117">IF(J1468="TR-PETROLINA"," ROSEMERE ",IF(J1468="TR-GARANHUNS"," ROSEMERE ",IF(J1468="TR-CARUARU"," ROSEMERE ",IF(J1468="TR-RIBEIRAO"," CRISTINA ",IF(J1468="TR-GRAVATA"," CRISTINA ",IF(J1468="TR-GOIANA"," CRISTINA ",IF(J1468="TR-LIMOEIRO"," CRISTINA ",IF(J1468="TR-SERRA TALHADA"," RINALDO ",IF(J1468="TR-SALGUEIRO"," RINALDO ",IF(J1468="TR-CARNAIBA"," RINALDO ",IF(J1468="TR-ARCOVERDE"," RINALDO ",IF(J1468="CAT-RECIFE"," CLEITON ",))))))))))))</f>
        <v xml:space="preserve"> ROSEMERE </v>
      </c>
      <c r="AD1468" s="2">
        <f t="shared" ref="AD1468:AD1531" si="118">IF(F1468="GRPE-000001",5,IF(F1468="GRPE-000002",5,IF(F1468="GRPE-000003",15,IF(F1468="GRPE-000004",1,IF(F1468="GRPE-000038",5,IF(F1468="GRPE-900022",5,IF(F1468="GRPE-000029",5,IF(F1468="ATOS-000222",5,8))))))))</f>
        <v>8</v>
      </c>
      <c r="AE1468" s="2">
        <f t="shared" ref="AE1468:AE1531" ca="1" si="119">IF(U1468=$AE$1,"",U1468-$AE$1)</f>
        <v>-15.240681365743512</v>
      </c>
    </row>
    <row r="1469" spans="1:31" hidden="1">
      <c r="A1469" s="1">
        <v>9481015</v>
      </c>
      <c r="B1469" s="1" t="s">
        <v>1153</v>
      </c>
      <c r="C1469" t="s">
        <v>3013</v>
      </c>
      <c r="D1469" s="2">
        <v>230028753</v>
      </c>
      <c r="E1469" s="2">
        <v>233001400020</v>
      </c>
      <c r="F1469" s="1" t="s">
        <v>1961</v>
      </c>
      <c r="G1469" s="1" t="s">
        <v>53</v>
      </c>
      <c r="H1469" s="1" t="s">
        <v>424</v>
      </c>
      <c r="I1469" s="1" t="s">
        <v>425</v>
      </c>
      <c r="J1469" s="1" t="s">
        <v>261</v>
      </c>
      <c r="K1469" t="s">
        <v>1962</v>
      </c>
      <c r="M1469" s="1" t="s">
        <v>58</v>
      </c>
      <c r="N1469" s="1">
        <v>0</v>
      </c>
      <c r="O1469" s="1" t="s">
        <v>36</v>
      </c>
      <c r="P1469" s="11" t="s">
        <v>3280</v>
      </c>
      <c r="R1469" s="1">
        <v>4</v>
      </c>
      <c r="T1469" s="1" t="s">
        <v>646</v>
      </c>
      <c r="U1469" s="186">
        <v>44985.729166666664</v>
      </c>
      <c r="V1469" s="1" t="s">
        <v>41</v>
      </c>
      <c r="W1469" s="1" t="s">
        <v>49</v>
      </c>
      <c r="X1469" s="13" t="str">
        <f>IF(RIGHT(H1469,2)&lt;&gt;"00",H1469,"")</f>
        <v/>
      </c>
      <c r="Y1469" s="2">
        <f ca="1">NETWORKDAYS(P1469,$Y$1)</f>
        <v>12</v>
      </c>
      <c r="Z1469" s="14">
        <v>1</v>
      </c>
      <c r="AA1469" s="1" t="str">
        <f t="shared" ca="1" si="115"/>
        <v>VENCIDO</v>
      </c>
      <c r="AB1469" s="1" t="str">
        <f t="shared" si="116"/>
        <v>C-14</v>
      </c>
      <c r="AC1469" s="2" t="str">
        <f t="shared" si="117"/>
        <v xml:space="preserve"> CRISTINA </v>
      </c>
      <c r="AD1469" s="2">
        <f t="shared" si="118"/>
        <v>5</v>
      </c>
      <c r="AE1469" s="2">
        <f t="shared" ca="1" si="119"/>
        <v>-0.94710497685446171</v>
      </c>
    </row>
    <row r="1470" spans="1:31" hidden="1">
      <c r="A1470" s="1">
        <v>9480751</v>
      </c>
      <c r="B1470" s="1" t="s">
        <v>1153</v>
      </c>
      <c r="C1470" t="s">
        <v>3016</v>
      </c>
      <c r="D1470" s="2">
        <v>20238074000007</v>
      </c>
      <c r="E1470" s="2">
        <v>7419141891762</v>
      </c>
      <c r="F1470" s="1" t="s">
        <v>128</v>
      </c>
      <c r="G1470" s="1" t="s">
        <v>53</v>
      </c>
      <c r="H1470" s="1" t="s">
        <v>2866</v>
      </c>
      <c r="I1470" s="1" t="s">
        <v>2867</v>
      </c>
      <c r="J1470" s="1" t="s">
        <v>33</v>
      </c>
      <c r="K1470" t="s">
        <v>129</v>
      </c>
      <c r="M1470" s="1" t="s">
        <v>58</v>
      </c>
      <c r="N1470" s="1">
        <v>0</v>
      </c>
      <c r="O1470" s="1" t="s">
        <v>36</v>
      </c>
      <c r="P1470" s="11" t="s">
        <v>3283</v>
      </c>
      <c r="R1470" s="1">
        <v>14</v>
      </c>
      <c r="T1470" s="1" t="s">
        <v>238</v>
      </c>
      <c r="U1470" s="186">
        <v>44971.395833333336</v>
      </c>
      <c r="V1470" s="1" t="s">
        <v>41</v>
      </c>
      <c r="W1470" s="1" t="s">
        <v>49</v>
      </c>
      <c r="X1470" s="13" t="str">
        <f>IF(RIGHT(H1470,2)&lt;&gt;"00",H1470,"")</f>
        <v>8074.91</v>
      </c>
      <c r="Y1470" s="2">
        <f ca="1">NETWORKDAYS(P1470,$Y$1)</f>
        <v>12</v>
      </c>
      <c r="Z1470" s="14">
        <v>1</v>
      </c>
      <c r="AA1470" s="1" t="str">
        <f t="shared" ca="1" si="115"/>
        <v>VENCIDO</v>
      </c>
      <c r="AB1470" s="1" t="str">
        <f t="shared" si="116"/>
        <v>TAAe+</v>
      </c>
      <c r="AC1470" s="2" t="str">
        <f t="shared" si="117"/>
        <v xml:space="preserve"> ROSEMERE </v>
      </c>
      <c r="AD1470" s="2">
        <f t="shared" si="118"/>
        <v>8</v>
      </c>
      <c r="AE1470" s="2">
        <f t="shared" ca="1" si="119"/>
        <v>-15.280438310182944</v>
      </c>
    </row>
    <row r="1471" spans="1:31" hidden="1">
      <c r="A1471" s="1">
        <v>9480717</v>
      </c>
      <c r="B1471" s="1" t="s">
        <v>1153</v>
      </c>
      <c r="C1471" t="s">
        <v>3017</v>
      </c>
      <c r="E1471" s="2">
        <v>2625000206001</v>
      </c>
      <c r="F1471" s="1" t="s">
        <v>29</v>
      </c>
      <c r="G1471" s="1" t="s">
        <v>53</v>
      </c>
      <c r="H1471" s="1" t="s">
        <v>317</v>
      </c>
      <c r="I1471" s="1" t="s">
        <v>318</v>
      </c>
      <c r="J1471" s="1" t="s">
        <v>164</v>
      </c>
      <c r="K1471" t="s">
        <v>34</v>
      </c>
      <c r="M1471" s="1" t="s">
        <v>35</v>
      </c>
      <c r="N1471" s="1">
        <v>42318949</v>
      </c>
      <c r="O1471" s="1" t="s">
        <v>36</v>
      </c>
      <c r="P1471" s="11" t="s">
        <v>3284</v>
      </c>
      <c r="R1471" s="1" t="s">
        <v>38</v>
      </c>
      <c r="T1471" s="1" t="s">
        <v>74</v>
      </c>
      <c r="U1471" s="186">
        <v>44979.625</v>
      </c>
      <c r="V1471" s="1" t="s">
        <v>41</v>
      </c>
      <c r="W1471" s="1" t="s">
        <v>49</v>
      </c>
      <c r="X1471" s="13" t="str">
        <f>IF(RIGHT(H1471,2)&lt;&gt;"00",H1471,"")</f>
        <v/>
      </c>
      <c r="Y1471" s="2">
        <f ca="1">NETWORKDAYS(P1471,$Y$1)</f>
        <v>12</v>
      </c>
      <c r="Z1471" s="14">
        <v>1</v>
      </c>
      <c r="AA1471" s="1" t="str">
        <f t="shared" ca="1" si="115"/>
        <v>VENCIDO</v>
      </c>
      <c r="AB1471" s="1" t="str">
        <f t="shared" si="116"/>
        <v>Dosa</v>
      </c>
      <c r="AC1471" s="2" t="str">
        <f t="shared" si="117"/>
        <v xml:space="preserve"> ROSEMERE </v>
      </c>
      <c r="AD1471" s="2">
        <f t="shared" si="118"/>
        <v>5</v>
      </c>
      <c r="AE1471" s="2">
        <f t="shared" ca="1" si="119"/>
        <v>-7.0512716435187031</v>
      </c>
    </row>
    <row r="1472" spans="1:31" hidden="1">
      <c r="A1472" s="1">
        <v>9480465</v>
      </c>
      <c r="B1472" s="1" t="s">
        <v>1153</v>
      </c>
      <c r="C1472" t="s">
        <v>3022</v>
      </c>
      <c r="D1472" s="2">
        <v>20234804001636</v>
      </c>
      <c r="E1472" s="2">
        <v>7417183022673</v>
      </c>
      <c r="F1472" s="1" t="s">
        <v>1313</v>
      </c>
      <c r="G1472" s="1" t="s">
        <v>53</v>
      </c>
      <c r="H1472" s="1" t="s">
        <v>2941</v>
      </c>
      <c r="I1472" s="1" t="s">
        <v>2942</v>
      </c>
      <c r="J1472" s="1" t="s">
        <v>46</v>
      </c>
      <c r="K1472" t="s">
        <v>1316</v>
      </c>
      <c r="M1472" s="1" t="s">
        <v>58</v>
      </c>
      <c r="N1472" s="1">
        <v>0</v>
      </c>
      <c r="O1472" s="1" t="s">
        <v>36</v>
      </c>
      <c r="P1472" s="11" t="s">
        <v>3023</v>
      </c>
      <c r="R1472" s="1">
        <v>13</v>
      </c>
      <c r="S1472" s="1">
        <v>4804</v>
      </c>
      <c r="T1472" s="1" t="s">
        <v>238</v>
      </c>
      <c r="U1472" s="186">
        <v>44971.395833333336</v>
      </c>
      <c r="V1472" s="1" t="s">
        <v>41</v>
      </c>
      <c r="W1472" s="1" t="s">
        <v>49</v>
      </c>
      <c r="X1472" s="13" t="str">
        <f>IF(RIGHT(H1472,2)&lt;&gt;"00",H1472,"")</f>
        <v>4844.53</v>
      </c>
      <c r="Y1472" s="2">
        <f ca="1">NETWORKDAYS(P1472,$Y$1)</f>
        <v>12</v>
      </c>
      <c r="Z1472" s="14">
        <v>1</v>
      </c>
      <c r="AA1472" s="1" t="str">
        <f t="shared" ca="1" si="115"/>
        <v>VENCIDO</v>
      </c>
      <c r="AB1472" s="1" t="str">
        <f t="shared" si="116"/>
        <v>TAAe+</v>
      </c>
      <c r="AC1472" s="2" t="str">
        <f t="shared" si="117"/>
        <v xml:space="preserve"> CLEITON </v>
      </c>
      <c r="AD1472" s="2">
        <f t="shared" si="118"/>
        <v>8</v>
      </c>
      <c r="AE1472" s="2">
        <f t="shared" ca="1" si="119"/>
        <v>-15.280438310182944</v>
      </c>
    </row>
    <row r="1473" spans="1:31">
      <c r="A1473" s="181">
        <v>9480428</v>
      </c>
      <c r="B1473" s="181" t="s">
        <v>1153</v>
      </c>
      <c r="C1473" s="182" t="s">
        <v>3653</v>
      </c>
      <c r="D1473" s="183"/>
      <c r="E1473" s="183">
        <v>870000206001</v>
      </c>
      <c r="F1473" s="181" t="s">
        <v>29</v>
      </c>
      <c r="G1473" s="181" t="s">
        <v>53</v>
      </c>
      <c r="H1473" s="181" t="s">
        <v>183</v>
      </c>
      <c r="I1473" s="181" t="s">
        <v>184</v>
      </c>
      <c r="J1473" s="181" t="s">
        <v>90</v>
      </c>
      <c r="K1473" t="s">
        <v>34</v>
      </c>
      <c r="M1473" s="1" t="s">
        <v>35</v>
      </c>
      <c r="N1473" s="1">
        <v>42318949</v>
      </c>
      <c r="O1473" s="1" t="s">
        <v>36</v>
      </c>
      <c r="P1473" s="11" t="s">
        <v>3285</v>
      </c>
      <c r="R1473" s="1" t="s">
        <v>38</v>
      </c>
      <c r="T1473" s="1" t="s">
        <v>74</v>
      </c>
      <c r="U1473" s="186">
        <v>44979.708333333336</v>
      </c>
      <c r="V1473" s="1" t="s">
        <v>41</v>
      </c>
      <c r="W1473" s="1" t="s">
        <v>49</v>
      </c>
      <c r="X1473" s="13" t="str">
        <f>IF(RIGHT(H1473,2)&lt;&gt;"00",H1473,"")</f>
        <v/>
      </c>
      <c r="Y1473" s="2">
        <f ca="1">NETWORKDAYS(P1473,$Y$1)</f>
        <v>12</v>
      </c>
      <c r="Z1473" s="14">
        <v>1</v>
      </c>
      <c r="AA1473" s="1" t="str">
        <f t="shared" ca="1" si="115"/>
        <v>VENCIDO</v>
      </c>
      <c r="AB1473" s="1" t="str">
        <f t="shared" si="116"/>
        <v>Dosa</v>
      </c>
      <c r="AC1473" s="2" t="str">
        <f t="shared" si="117"/>
        <v xml:space="preserve"> RINALDO </v>
      </c>
      <c r="AD1473" s="2">
        <f t="shared" si="118"/>
        <v>5</v>
      </c>
      <c r="AE1473" s="2">
        <f t="shared" ca="1" si="119"/>
        <v>-6.9679383101829444</v>
      </c>
    </row>
    <row r="1474" spans="1:31" hidden="1">
      <c r="A1474" s="1">
        <v>9480413</v>
      </c>
      <c r="B1474" s="1" t="s">
        <v>1153</v>
      </c>
      <c r="C1474" t="s">
        <v>3026</v>
      </c>
      <c r="E1474" s="2">
        <v>2988000206001</v>
      </c>
      <c r="F1474" s="1" t="s">
        <v>29</v>
      </c>
      <c r="G1474" s="1" t="s">
        <v>53</v>
      </c>
      <c r="H1474" s="1" t="s">
        <v>536</v>
      </c>
      <c r="I1474" s="1" t="s">
        <v>537</v>
      </c>
      <c r="J1474" s="1" t="s">
        <v>46</v>
      </c>
      <c r="K1474" t="s">
        <v>34</v>
      </c>
      <c r="M1474" s="1" t="s">
        <v>35</v>
      </c>
      <c r="N1474" s="1">
        <v>42318949</v>
      </c>
      <c r="O1474" s="1" t="s">
        <v>36</v>
      </c>
      <c r="P1474" s="11" t="s">
        <v>3286</v>
      </c>
      <c r="R1474" s="1" t="s">
        <v>38</v>
      </c>
      <c r="T1474" s="1" t="s">
        <v>74</v>
      </c>
      <c r="U1474" s="186">
        <v>44979.708333333336</v>
      </c>
      <c r="V1474" s="1" t="s">
        <v>41</v>
      </c>
      <c r="W1474" s="1" t="s">
        <v>49</v>
      </c>
      <c r="X1474" s="13" t="str">
        <f>IF(RIGHT(H1474,2)&lt;&gt;"00",H1474,"")</f>
        <v/>
      </c>
      <c r="Y1474" s="2">
        <f ca="1">NETWORKDAYS(P1474,$Y$1)</f>
        <v>12</v>
      </c>
      <c r="Z1474" s="14">
        <v>1</v>
      </c>
      <c r="AA1474" s="1" t="str">
        <f t="shared" ca="1" si="115"/>
        <v>VENCIDO</v>
      </c>
      <c r="AB1474" s="1" t="str">
        <f t="shared" si="116"/>
        <v>Dosa</v>
      </c>
      <c r="AC1474" s="2" t="str">
        <f t="shared" si="117"/>
        <v xml:space="preserve"> CLEITON </v>
      </c>
      <c r="AD1474" s="2">
        <f t="shared" si="118"/>
        <v>5</v>
      </c>
      <c r="AE1474" s="2">
        <f t="shared" ca="1" si="119"/>
        <v>-6.9679383101829444</v>
      </c>
    </row>
    <row r="1475" spans="1:31" hidden="1">
      <c r="A1475" s="1">
        <v>9488077</v>
      </c>
      <c r="B1475" s="1" t="s">
        <v>1153</v>
      </c>
      <c r="C1475" t="s">
        <v>3513</v>
      </c>
      <c r="D1475" s="2">
        <v>20234844000484</v>
      </c>
      <c r="E1475" s="2">
        <v>7417183020090</v>
      </c>
      <c r="F1475" s="1" t="s">
        <v>1313</v>
      </c>
      <c r="G1475" s="1" t="s">
        <v>53</v>
      </c>
      <c r="H1475" s="1" t="s">
        <v>2606</v>
      </c>
      <c r="I1475" s="1" t="s">
        <v>2607</v>
      </c>
      <c r="J1475" s="1" t="s">
        <v>46</v>
      </c>
      <c r="K1475" t="s">
        <v>1316</v>
      </c>
      <c r="M1475" s="1" t="s">
        <v>58</v>
      </c>
      <c r="N1475" s="1">
        <v>0</v>
      </c>
      <c r="O1475" s="1" t="s">
        <v>36</v>
      </c>
      <c r="P1475" s="12">
        <v>44972.79446759259</v>
      </c>
      <c r="R1475" s="1">
        <v>13</v>
      </c>
      <c r="T1475" s="1" t="s">
        <v>238</v>
      </c>
      <c r="U1475" s="12">
        <v>44973.395833333336</v>
      </c>
      <c r="V1475" s="1" t="s">
        <v>41</v>
      </c>
      <c r="W1475" s="1" t="s">
        <v>49</v>
      </c>
      <c r="X1475" s="13" t="str">
        <f>IF(RIGHT(H1475,2)&lt;&gt;"00",H1475,"")</f>
        <v>4844.28</v>
      </c>
      <c r="Y1475" s="2">
        <f ca="1">NETWORKDAYS(P1475,$Y$1)</f>
        <v>11</v>
      </c>
      <c r="Z1475" s="14">
        <v>1</v>
      </c>
      <c r="AA1475" s="1" t="str">
        <f t="shared" ca="1" si="115"/>
        <v>VENCIDO</v>
      </c>
      <c r="AB1475" s="1" t="str">
        <f t="shared" si="116"/>
        <v>TAAe+</v>
      </c>
      <c r="AC1475" s="2" t="str">
        <f t="shared" si="117"/>
        <v xml:space="preserve"> CLEITON </v>
      </c>
      <c r="AD1475" s="2">
        <f t="shared" si="118"/>
        <v>8</v>
      </c>
      <c r="AE1475" s="2">
        <f t="shared" ca="1" si="119"/>
        <v>-13.280438310182944</v>
      </c>
    </row>
    <row r="1476" spans="1:31" hidden="1">
      <c r="A1476" s="1">
        <v>9487987</v>
      </c>
      <c r="B1476" s="1" t="s">
        <v>1153</v>
      </c>
      <c r="C1476" t="s">
        <v>3514</v>
      </c>
      <c r="D1476" s="2">
        <v>20234844000483</v>
      </c>
      <c r="E1476" s="2">
        <v>7417183020652</v>
      </c>
      <c r="F1476" s="1" t="s">
        <v>1313</v>
      </c>
      <c r="G1476" s="1" t="s">
        <v>53</v>
      </c>
      <c r="H1476" s="1" t="s">
        <v>2357</v>
      </c>
      <c r="I1476" s="1" t="s">
        <v>2358</v>
      </c>
      <c r="J1476" s="1" t="s">
        <v>46</v>
      </c>
      <c r="K1476" t="s">
        <v>1316</v>
      </c>
      <c r="M1476" s="1" t="s">
        <v>58</v>
      </c>
      <c r="N1476" s="1">
        <v>0</v>
      </c>
      <c r="O1476" s="1" t="s">
        <v>105</v>
      </c>
      <c r="P1476" s="12">
        <v>44972.768819444442</v>
      </c>
      <c r="R1476" s="1">
        <v>13</v>
      </c>
      <c r="T1476" s="1" t="s">
        <v>238</v>
      </c>
      <c r="U1476" s="12">
        <v>44973.395833333336</v>
      </c>
      <c r="V1476" s="1" t="s">
        <v>41</v>
      </c>
      <c r="W1476" s="1" t="s">
        <v>49</v>
      </c>
      <c r="X1476" s="13" t="str">
        <f>IF(RIGHT(H1476,2)&lt;&gt;"00",H1476,"")</f>
        <v>4844.12</v>
      </c>
      <c r="Y1476" s="2">
        <f ca="1">NETWORKDAYS(P1476,$Y$1)</f>
        <v>11</v>
      </c>
      <c r="Z1476" s="14">
        <v>1</v>
      </c>
      <c r="AA1476" s="1" t="str">
        <f t="shared" ca="1" si="115"/>
        <v>VENCIDO</v>
      </c>
      <c r="AB1476" s="1" t="str">
        <f t="shared" si="116"/>
        <v>TAAe+</v>
      </c>
      <c r="AC1476" s="2" t="str">
        <f t="shared" si="117"/>
        <v xml:space="preserve"> CLEITON </v>
      </c>
      <c r="AD1476" s="2">
        <f t="shared" si="118"/>
        <v>8</v>
      </c>
      <c r="AE1476" s="2">
        <f t="shared" ca="1" si="119"/>
        <v>-13.280438310182944</v>
      </c>
    </row>
    <row r="1477" spans="1:31" hidden="1">
      <c r="A1477" s="1">
        <v>9487960</v>
      </c>
      <c r="B1477" s="1" t="s">
        <v>1153</v>
      </c>
      <c r="C1477" t="s">
        <v>3515</v>
      </c>
      <c r="D1477" s="2">
        <v>20234844000482</v>
      </c>
      <c r="E1477" s="2">
        <v>7419141894858</v>
      </c>
      <c r="F1477" s="1" t="s">
        <v>128</v>
      </c>
      <c r="G1477" s="1" t="s">
        <v>53</v>
      </c>
      <c r="H1477" s="1" t="s">
        <v>2655</v>
      </c>
      <c r="I1477" s="1" t="s">
        <v>2656</v>
      </c>
      <c r="J1477" s="1" t="s">
        <v>46</v>
      </c>
      <c r="K1477" t="s">
        <v>129</v>
      </c>
      <c r="M1477" s="1" t="s">
        <v>58</v>
      </c>
      <c r="N1477" s="1">
        <v>0</v>
      </c>
      <c r="O1477" s="1" t="s">
        <v>36</v>
      </c>
      <c r="P1477" s="12">
        <v>44972.755243055559</v>
      </c>
      <c r="R1477" s="1">
        <v>13</v>
      </c>
      <c r="T1477" s="1" t="s">
        <v>238</v>
      </c>
      <c r="U1477" s="12">
        <v>44973.395833333336</v>
      </c>
      <c r="V1477" s="1" t="s">
        <v>41</v>
      </c>
      <c r="W1477" s="1" t="s">
        <v>49</v>
      </c>
      <c r="X1477" s="13" t="str">
        <f>IF(RIGHT(H1477,2)&lt;&gt;"00",H1477,"")</f>
        <v>4844.01</v>
      </c>
      <c r="Y1477" s="2">
        <f ca="1">NETWORKDAYS(P1477,$Y$1)</f>
        <v>11</v>
      </c>
      <c r="Z1477" s="14">
        <v>1</v>
      </c>
      <c r="AA1477" s="1" t="str">
        <f t="shared" ca="1" si="115"/>
        <v>VENCIDO</v>
      </c>
      <c r="AB1477" s="1" t="str">
        <f t="shared" si="116"/>
        <v>TAAe+</v>
      </c>
      <c r="AC1477" s="2" t="str">
        <f t="shared" si="117"/>
        <v xml:space="preserve"> CLEITON </v>
      </c>
      <c r="AD1477" s="2">
        <f t="shared" si="118"/>
        <v>8</v>
      </c>
      <c r="AE1477" s="2">
        <f t="shared" ca="1" si="119"/>
        <v>-13.280438310182944</v>
      </c>
    </row>
    <row r="1478" spans="1:31" hidden="1">
      <c r="A1478" s="1">
        <v>9487859</v>
      </c>
      <c r="B1478" s="1" t="s">
        <v>1153</v>
      </c>
      <c r="C1478" t="s">
        <v>3517</v>
      </c>
      <c r="D1478" s="2">
        <v>20234923000071</v>
      </c>
      <c r="E1478" s="2">
        <v>7417183022495</v>
      </c>
      <c r="F1478" s="1" t="s">
        <v>1313</v>
      </c>
      <c r="G1478" s="1" t="s">
        <v>53</v>
      </c>
      <c r="H1478" s="1" t="s">
        <v>2685</v>
      </c>
      <c r="I1478" s="1" t="s">
        <v>2686</v>
      </c>
      <c r="J1478" s="1" t="s">
        <v>46</v>
      </c>
      <c r="K1478" t="s">
        <v>1316</v>
      </c>
      <c r="M1478" s="1" t="s">
        <v>58</v>
      </c>
      <c r="N1478" s="1">
        <v>0</v>
      </c>
      <c r="O1478" s="1" t="s">
        <v>105</v>
      </c>
      <c r="P1478" s="12">
        <v>44972.738344907404</v>
      </c>
      <c r="R1478" s="1">
        <v>14</v>
      </c>
      <c r="T1478" s="1" t="s">
        <v>238</v>
      </c>
      <c r="U1478" s="12">
        <v>44973.395833333336</v>
      </c>
      <c r="V1478" s="1" t="s">
        <v>41</v>
      </c>
      <c r="W1478" s="1" t="s">
        <v>49</v>
      </c>
      <c r="X1478" s="13" t="str">
        <f>IF(RIGHT(H1478,2)&lt;&gt;"00",H1478,"")</f>
        <v>4923.03</v>
      </c>
      <c r="Y1478" s="2">
        <f ca="1">NETWORKDAYS(P1478,$Y$1)</f>
        <v>11</v>
      </c>
      <c r="Z1478" s="14">
        <v>1</v>
      </c>
      <c r="AA1478" s="1" t="str">
        <f t="shared" ca="1" si="115"/>
        <v>VENCIDO</v>
      </c>
      <c r="AB1478" s="1" t="str">
        <f t="shared" si="116"/>
        <v>TAAe+</v>
      </c>
      <c r="AC1478" s="2" t="str">
        <f t="shared" si="117"/>
        <v xml:space="preserve"> CLEITON </v>
      </c>
      <c r="AD1478" s="2">
        <f t="shared" si="118"/>
        <v>8</v>
      </c>
      <c r="AE1478" s="2">
        <f t="shared" ca="1" si="119"/>
        <v>-13.280438310182944</v>
      </c>
    </row>
    <row r="1479" spans="1:31" hidden="1">
      <c r="A1479" s="1">
        <v>9487858</v>
      </c>
      <c r="B1479" s="1" t="s">
        <v>1153</v>
      </c>
      <c r="C1479" t="s">
        <v>3518</v>
      </c>
      <c r="D1479" s="2">
        <v>20234923000070</v>
      </c>
      <c r="E1479" s="2">
        <v>7417163283075</v>
      </c>
      <c r="F1479" s="1" t="s">
        <v>131</v>
      </c>
      <c r="G1479" s="1" t="s">
        <v>53</v>
      </c>
      <c r="H1479" s="1" t="s">
        <v>2685</v>
      </c>
      <c r="I1479" s="1" t="s">
        <v>2686</v>
      </c>
      <c r="J1479" s="1" t="s">
        <v>46</v>
      </c>
      <c r="K1479" t="s">
        <v>132</v>
      </c>
      <c r="M1479" s="1" t="s">
        <v>58</v>
      </c>
      <c r="N1479" s="1">
        <v>0</v>
      </c>
      <c r="O1479" s="1" t="s">
        <v>105</v>
      </c>
      <c r="P1479" s="12">
        <v>44972.737719907411</v>
      </c>
      <c r="R1479" s="1">
        <v>14</v>
      </c>
      <c r="T1479" s="1" t="s">
        <v>238</v>
      </c>
      <c r="U1479" s="12">
        <v>44973.395833333336</v>
      </c>
      <c r="V1479" s="1" t="s">
        <v>41</v>
      </c>
      <c r="W1479" s="1" t="s">
        <v>49</v>
      </c>
      <c r="X1479" s="13" t="str">
        <f>IF(RIGHT(H1479,2)&lt;&gt;"00",H1479,"")</f>
        <v>4923.03</v>
      </c>
      <c r="Y1479" s="2">
        <f ca="1">NETWORKDAYS(P1479,$Y$1)</f>
        <v>11</v>
      </c>
      <c r="Z1479" s="14">
        <v>1</v>
      </c>
      <c r="AA1479" s="1" t="str">
        <f t="shared" ca="1" si="115"/>
        <v>VENCIDO</v>
      </c>
      <c r="AB1479" s="1" t="str">
        <f t="shared" si="116"/>
        <v>TAAe+</v>
      </c>
      <c r="AC1479" s="2" t="str">
        <f t="shared" si="117"/>
        <v xml:space="preserve"> CLEITON </v>
      </c>
      <c r="AD1479" s="2">
        <f t="shared" si="118"/>
        <v>8</v>
      </c>
      <c r="AE1479" s="2">
        <f t="shared" ca="1" si="119"/>
        <v>-13.280438310182944</v>
      </c>
    </row>
    <row r="1480" spans="1:31" hidden="1">
      <c r="A1480" s="1">
        <v>9487857</v>
      </c>
      <c r="B1480" s="1" t="s">
        <v>1153</v>
      </c>
      <c r="C1480" t="s">
        <v>3519</v>
      </c>
      <c r="D1480" s="2">
        <v>20234923000069</v>
      </c>
      <c r="E1480" s="2">
        <v>7417163284583</v>
      </c>
      <c r="F1480" s="1" t="s">
        <v>131</v>
      </c>
      <c r="G1480" s="1" t="s">
        <v>53</v>
      </c>
      <c r="H1480" s="1" t="s">
        <v>2685</v>
      </c>
      <c r="I1480" s="1" t="s">
        <v>2686</v>
      </c>
      <c r="J1480" s="1" t="s">
        <v>46</v>
      </c>
      <c r="K1480" t="s">
        <v>132</v>
      </c>
      <c r="M1480" s="1" t="s">
        <v>58</v>
      </c>
      <c r="N1480" s="1">
        <v>0</v>
      </c>
      <c r="O1480" s="1" t="s">
        <v>105</v>
      </c>
      <c r="P1480" s="12">
        <v>44972.737291666665</v>
      </c>
      <c r="R1480" s="1">
        <v>14</v>
      </c>
      <c r="T1480" s="1" t="s">
        <v>238</v>
      </c>
      <c r="U1480" s="12">
        <v>44973.395833333336</v>
      </c>
      <c r="V1480" s="1" t="s">
        <v>41</v>
      </c>
      <c r="W1480" s="1" t="s">
        <v>49</v>
      </c>
      <c r="X1480" s="13" t="str">
        <f>IF(RIGHT(H1480,2)&lt;&gt;"00",H1480,"")</f>
        <v>4923.03</v>
      </c>
      <c r="Y1480" s="2">
        <f ca="1">NETWORKDAYS(P1480,$Y$1)</f>
        <v>11</v>
      </c>
      <c r="Z1480" s="14">
        <v>1</v>
      </c>
      <c r="AA1480" s="1" t="str">
        <f t="shared" ca="1" si="115"/>
        <v>VENCIDO</v>
      </c>
      <c r="AB1480" s="1" t="str">
        <f t="shared" si="116"/>
        <v>TAAe+</v>
      </c>
      <c r="AC1480" s="2" t="str">
        <f t="shared" si="117"/>
        <v xml:space="preserve"> CLEITON </v>
      </c>
      <c r="AD1480" s="2">
        <f t="shared" si="118"/>
        <v>8</v>
      </c>
      <c r="AE1480" s="2">
        <f t="shared" ca="1" si="119"/>
        <v>-13.280438310182944</v>
      </c>
    </row>
    <row r="1481" spans="1:31" hidden="1">
      <c r="A1481" s="1">
        <v>9487810</v>
      </c>
      <c r="B1481" s="1" t="s">
        <v>1153</v>
      </c>
      <c r="C1481" t="s">
        <v>3521</v>
      </c>
      <c r="E1481" s="2">
        <v>2473000203000</v>
      </c>
      <c r="F1481" s="1" t="s">
        <v>454</v>
      </c>
      <c r="G1481" s="1" t="s">
        <v>53</v>
      </c>
      <c r="H1481" s="1" t="s">
        <v>1459</v>
      </c>
      <c r="I1481" s="1" t="s">
        <v>1460</v>
      </c>
      <c r="J1481" s="1" t="s">
        <v>261</v>
      </c>
      <c r="K1481" t="s">
        <v>457</v>
      </c>
      <c r="M1481" s="1" t="s">
        <v>58</v>
      </c>
      <c r="N1481" s="1">
        <v>0</v>
      </c>
      <c r="O1481" s="1" t="s">
        <v>36</v>
      </c>
      <c r="P1481" s="12">
        <v>44972.74</v>
      </c>
      <c r="R1481" s="1">
        <v>1</v>
      </c>
      <c r="T1481" s="1" t="s">
        <v>157</v>
      </c>
      <c r="U1481" s="12">
        <v>44973.740011574075</v>
      </c>
      <c r="V1481" s="1" t="s">
        <v>41</v>
      </c>
      <c r="W1481" s="1" t="s">
        <v>49</v>
      </c>
      <c r="X1481" s="13" t="str">
        <f>IF(RIGHT(H1481,2)&lt;&gt;"00",H1481,"")</f>
        <v/>
      </c>
      <c r="Y1481" s="2">
        <f ca="1">NETWORKDAYS(P1481,$Y$1)</f>
        <v>11</v>
      </c>
      <c r="Z1481" s="14">
        <v>1</v>
      </c>
      <c r="AA1481" s="1" t="str">
        <f t="shared" ca="1" si="115"/>
        <v>VENCIDO</v>
      </c>
      <c r="AB1481" s="1" t="str">
        <f t="shared" si="116"/>
        <v>C-14</v>
      </c>
      <c r="AC1481" s="2" t="str">
        <f t="shared" si="117"/>
        <v xml:space="preserve"> CRISTINA </v>
      </c>
      <c r="AD1481" s="2">
        <f t="shared" si="118"/>
        <v>5</v>
      </c>
      <c r="AE1481" s="2">
        <f t="shared" ca="1" si="119"/>
        <v>-12.936260069443961</v>
      </c>
    </row>
    <row r="1482" spans="1:31" hidden="1">
      <c r="A1482" s="1">
        <v>9487760</v>
      </c>
      <c r="B1482" s="1" t="s">
        <v>1153</v>
      </c>
      <c r="C1482" t="s">
        <v>3522</v>
      </c>
      <c r="E1482" s="2">
        <v>2564000203000</v>
      </c>
      <c r="F1482" s="1" t="s">
        <v>454</v>
      </c>
      <c r="G1482" s="1" t="s">
        <v>53</v>
      </c>
      <c r="H1482" s="1" t="s">
        <v>255</v>
      </c>
      <c r="I1482" s="1" t="s">
        <v>256</v>
      </c>
      <c r="J1482" s="1" t="s">
        <v>164</v>
      </c>
      <c r="K1482" t="s">
        <v>457</v>
      </c>
      <c r="M1482" s="1" t="s">
        <v>58</v>
      </c>
      <c r="N1482" s="1">
        <v>0</v>
      </c>
      <c r="O1482" s="1" t="s">
        <v>36</v>
      </c>
      <c r="P1482" s="12">
        <v>44972.73</v>
      </c>
      <c r="R1482" s="1">
        <v>1</v>
      </c>
      <c r="T1482" s="1" t="s">
        <v>157</v>
      </c>
      <c r="U1482" s="12">
        <v>44973.73</v>
      </c>
      <c r="V1482" s="1" t="s">
        <v>41</v>
      </c>
      <c r="W1482" s="1" t="s">
        <v>49</v>
      </c>
      <c r="X1482" s="13" t="str">
        <f>IF(RIGHT(H1482,2)&lt;&gt;"00",H1482,"")</f>
        <v/>
      </c>
      <c r="Y1482" s="2">
        <f ca="1">NETWORKDAYS(P1482,$Y$1)</f>
        <v>11</v>
      </c>
      <c r="Z1482" s="14">
        <v>1</v>
      </c>
      <c r="AA1482" s="1" t="str">
        <f t="shared" ca="1" si="115"/>
        <v>VENCIDO</v>
      </c>
      <c r="AB1482" s="1" t="str">
        <f t="shared" si="116"/>
        <v>C-14</v>
      </c>
      <c r="AC1482" s="2" t="str">
        <f t="shared" si="117"/>
        <v xml:space="preserve"> ROSEMERE </v>
      </c>
      <c r="AD1482" s="2">
        <f t="shared" si="118"/>
        <v>5</v>
      </c>
      <c r="AE1482" s="2">
        <f t="shared" ca="1" si="119"/>
        <v>-12.946271643515502</v>
      </c>
    </row>
    <row r="1483" spans="1:31" hidden="1">
      <c r="A1483" s="1">
        <v>9487740</v>
      </c>
      <c r="B1483" s="1" t="s">
        <v>1153</v>
      </c>
      <c r="C1483" t="s">
        <v>3523</v>
      </c>
      <c r="D1483" s="2">
        <v>20231666000013</v>
      </c>
      <c r="E1483" s="2">
        <v>7419152457462</v>
      </c>
      <c r="F1483" s="1" t="s">
        <v>2744</v>
      </c>
      <c r="G1483" s="1" t="s">
        <v>53</v>
      </c>
      <c r="H1483" s="1" t="s">
        <v>414</v>
      </c>
      <c r="I1483" s="1" t="s">
        <v>415</v>
      </c>
      <c r="J1483" s="1" t="s">
        <v>79</v>
      </c>
      <c r="K1483" t="s">
        <v>2745</v>
      </c>
      <c r="M1483" s="1" t="s">
        <v>58</v>
      </c>
      <c r="N1483" s="1">
        <v>0</v>
      </c>
      <c r="O1483" s="1" t="s">
        <v>105</v>
      </c>
      <c r="P1483" s="12">
        <v>44972.71634259259</v>
      </c>
      <c r="R1483" s="1">
        <v>22</v>
      </c>
      <c r="T1483" s="1" t="s">
        <v>1160</v>
      </c>
      <c r="U1483" s="12">
        <v>44979.549675925926</v>
      </c>
      <c r="V1483" s="1" t="s">
        <v>41</v>
      </c>
      <c r="W1483" s="1" t="s">
        <v>49</v>
      </c>
      <c r="X1483" s="13" t="str">
        <f>IF(RIGHT(H1483,2)&lt;&gt;"00",H1483,"")</f>
        <v/>
      </c>
      <c r="Y1483" s="2">
        <f ca="1">NETWORKDAYS(P1483,$Y$1)</f>
        <v>11</v>
      </c>
      <c r="Z1483" s="14">
        <v>1</v>
      </c>
      <c r="AA1483" s="1" t="str">
        <f t="shared" ca="1" si="115"/>
        <v>VENCIDO</v>
      </c>
      <c r="AB1483" s="1" t="str">
        <f t="shared" si="116"/>
        <v>TAAe+</v>
      </c>
      <c r="AC1483" s="2" t="str">
        <f t="shared" si="117"/>
        <v xml:space="preserve"> ROSEMERE </v>
      </c>
      <c r="AD1483" s="2">
        <f t="shared" si="118"/>
        <v>8</v>
      </c>
      <c r="AE1483" s="2">
        <f t="shared" ca="1" si="119"/>
        <v>-7.1265957175928634</v>
      </c>
    </row>
    <row r="1484" spans="1:31" hidden="1">
      <c r="A1484" s="1">
        <v>9487733</v>
      </c>
      <c r="B1484" s="1" t="s">
        <v>1153</v>
      </c>
      <c r="C1484" t="s">
        <v>3524</v>
      </c>
      <c r="D1484" s="2">
        <v>20232678000017</v>
      </c>
      <c r="E1484" s="2">
        <v>7417193470505</v>
      </c>
      <c r="F1484" s="1" t="s">
        <v>2698</v>
      </c>
      <c r="G1484" s="1" t="s">
        <v>53</v>
      </c>
      <c r="H1484" s="1" t="s">
        <v>3525</v>
      </c>
      <c r="I1484" s="1" t="s">
        <v>3526</v>
      </c>
      <c r="J1484" s="1" t="s">
        <v>33</v>
      </c>
      <c r="K1484" t="s">
        <v>2701</v>
      </c>
      <c r="M1484" s="1" t="s">
        <v>58</v>
      </c>
      <c r="N1484" s="1">
        <v>0</v>
      </c>
      <c r="O1484" s="1" t="s">
        <v>105</v>
      </c>
      <c r="P1484" s="12">
        <v>44972.716168981482</v>
      </c>
      <c r="R1484" s="1">
        <v>15</v>
      </c>
      <c r="T1484" s="1" t="s">
        <v>238</v>
      </c>
      <c r="U1484" s="12">
        <v>44973.416666666664</v>
      </c>
      <c r="V1484" s="1" t="s">
        <v>41</v>
      </c>
      <c r="W1484" s="1" t="s">
        <v>42</v>
      </c>
      <c r="X1484" s="13" t="str">
        <f>IF(RIGHT(H1484,2)&lt;&gt;"00",H1484,"")</f>
        <v>2678.01</v>
      </c>
      <c r="Y1484" s="2">
        <f ca="1">NETWORKDAYS(P1484,$Y$1)</f>
        <v>11</v>
      </c>
      <c r="Z1484" s="14">
        <v>1</v>
      </c>
      <c r="AA1484" s="1" t="str">
        <f t="shared" ca="1" si="115"/>
        <v>VENCIDO</v>
      </c>
      <c r="AB1484" s="1" t="str">
        <f t="shared" si="116"/>
        <v>TAAe+</v>
      </c>
      <c r="AC1484" s="2" t="str">
        <f t="shared" si="117"/>
        <v xml:space="preserve"> ROSEMERE </v>
      </c>
      <c r="AD1484" s="2">
        <f t="shared" si="118"/>
        <v>8</v>
      </c>
      <c r="AE1484" s="2">
        <f t="shared" ca="1" si="119"/>
        <v>-13.259604976854462</v>
      </c>
    </row>
    <row r="1485" spans="1:31" hidden="1">
      <c r="A1485" s="1">
        <v>9487728</v>
      </c>
      <c r="B1485" s="1" t="s">
        <v>1153</v>
      </c>
      <c r="C1485" t="s">
        <v>3527</v>
      </c>
      <c r="D1485" s="2">
        <v>20234012000005</v>
      </c>
      <c r="E1485" s="2">
        <v>7417183023647</v>
      </c>
      <c r="F1485" s="1" t="s">
        <v>1313</v>
      </c>
      <c r="G1485" s="1" t="s">
        <v>53</v>
      </c>
      <c r="H1485" s="1" t="s">
        <v>3528</v>
      </c>
      <c r="I1485" s="1" t="s">
        <v>3529</v>
      </c>
      <c r="J1485" s="1" t="s">
        <v>261</v>
      </c>
      <c r="K1485" t="s">
        <v>1316</v>
      </c>
      <c r="M1485" s="1" t="s">
        <v>58</v>
      </c>
      <c r="N1485" s="1">
        <v>0</v>
      </c>
      <c r="O1485" s="1" t="s">
        <v>105</v>
      </c>
      <c r="P1485" s="12">
        <v>44972.711921296293</v>
      </c>
      <c r="R1485" s="1">
        <v>14</v>
      </c>
      <c r="T1485" s="1" t="s">
        <v>238</v>
      </c>
      <c r="U1485" s="12">
        <v>44973.395833333336</v>
      </c>
      <c r="V1485" s="1" t="s">
        <v>41</v>
      </c>
      <c r="W1485" s="1" t="s">
        <v>49</v>
      </c>
      <c r="X1485" s="13" t="str">
        <f>IF(RIGHT(H1485,2)&lt;&gt;"00",H1485,"")</f>
        <v>4012.91</v>
      </c>
      <c r="Y1485" s="2">
        <f ca="1">NETWORKDAYS(P1485,$Y$1)</f>
        <v>11</v>
      </c>
      <c r="Z1485" s="14">
        <v>1</v>
      </c>
      <c r="AA1485" s="1" t="str">
        <f t="shared" ca="1" si="115"/>
        <v>VENCIDO</v>
      </c>
      <c r="AB1485" s="1" t="str">
        <f t="shared" si="116"/>
        <v>TAAe+</v>
      </c>
      <c r="AC1485" s="2" t="str">
        <f t="shared" si="117"/>
        <v xml:space="preserve"> CRISTINA </v>
      </c>
      <c r="AD1485" s="2">
        <f t="shared" si="118"/>
        <v>8</v>
      </c>
      <c r="AE1485" s="2">
        <f t="shared" ca="1" si="119"/>
        <v>-13.280438310182944</v>
      </c>
    </row>
    <row r="1486" spans="1:31" hidden="1">
      <c r="A1486" s="1">
        <v>9487650</v>
      </c>
      <c r="B1486" s="1" t="s">
        <v>1153</v>
      </c>
      <c r="C1486" t="s">
        <v>3535</v>
      </c>
      <c r="D1486" s="2">
        <v>20231710000011</v>
      </c>
      <c r="E1486" s="2">
        <v>7419152792552</v>
      </c>
      <c r="F1486" s="1" t="s">
        <v>3536</v>
      </c>
      <c r="G1486" s="1" t="s">
        <v>53</v>
      </c>
      <c r="H1486" s="1" t="s">
        <v>327</v>
      </c>
      <c r="I1486" s="1" t="s">
        <v>328</v>
      </c>
      <c r="J1486" s="1" t="s">
        <v>261</v>
      </c>
      <c r="K1486" t="s">
        <v>3537</v>
      </c>
      <c r="M1486" s="1" t="s">
        <v>58</v>
      </c>
      <c r="N1486" s="1">
        <v>0</v>
      </c>
      <c r="O1486" s="1" t="s">
        <v>36</v>
      </c>
      <c r="P1486" s="12">
        <v>44972.702476851853</v>
      </c>
      <c r="R1486" s="1">
        <v>23</v>
      </c>
      <c r="T1486" s="1" t="s">
        <v>1160</v>
      </c>
      <c r="U1486" s="12">
        <v>44980.702476851853</v>
      </c>
      <c r="V1486" s="1" t="s">
        <v>41</v>
      </c>
      <c r="W1486" s="1" t="s">
        <v>49</v>
      </c>
      <c r="X1486" s="13" t="str">
        <f>IF(RIGHT(H1486,2)&lt;&gt;"00",H1486,"")</f>
        <v/>
      </c>
      <c r="Y1486" s="2">
        <f ca="1">NETWORKDAYS(P1486,$Y$1)</f>
        <v>11</v>
      </c>
      <c r="Z1486" s="14">
        <v>1</v>
      </c>
      <c r="AA1486" s="1" t="str">
        <f t="shared" ca="1" si="115"/>
        <v>VENCIDO</v>
      </c>
      <c r="AB1486" s="1" t="str">
        <f t="shared" si="116"/>
        <v>TAAe+</v>
      </c>
      <c r="AC1486" s="2" t="str">
        <f t="shared" si="117"/>
        <v xml:space="preserve"> CRISTINA </v>
      </c>
      <c r="AD1486" s="2">
        <f t="shared" si="118"/>
        <v>8</v>
      </c>
      <c r="AE1486" s="2">
        <f t="shared" ca="1" si="119"/>
        <v>-5.9737947916655685</v>
      </c>
    </row>
    <row r="1487" spans="1:31" hidden="1">
      <c r="A1487" s="1">
        <v>9487622</v>
      </c>
      <c r="B1487" s="1" t="s">
        <v>1153</v>
      </c>
      <c r="C1487" t="s">
        <v>3539</v>
      </c>
      <c r="E1487" s="2">
        <v>3699000203000</v>
      </c>
      <c r="F1487" s="1" t="s">
        <v>454</v>
      </c>
      <c r="G1487" s="1" t="s">
        <v>53</v>
      </c>
      <c r="H1487" s="1" t="s">
        <v>343</v>
      </c>
      <c r="I1487" s="1" t="s">
        <v>344</v>
      </c>
      <c r="J1487" s="1" t="s">
        <v>46</v>
      </c>
      <c r="K1487" t="s">
        <v>457</v>
      </c>
      <c r="M1487" s="1" t="s">
        <v>58</v>
      </c>
      <c r="N1487" s="1">
        <v>0</v>
      </c>
      <c r="O1487" s="1" t="s">
        <v>36</v>
      </c>
      <c r="P1487" s="12">
        <v>44972.709236111114</v>
      </c>
      <c r="R1487" s="1">
        <v>1</v>
      </c>
      <c r="T1487" s="1" t="s">
        <v>157</v>
      </c>
      <c r="U1487" s="12">
        <v>44973.709236111114</v>
      </c>
      <c r="V1487" s="1" t="s">
        <v>41</v>
      </c>
      <c r="W1487" s="1" t="s">
        <v>49</v>
      </c>
      <c r="X1487" s="13" t="str">
        <f>IF(RIGHT(H1487,2)&lt;&gt;"00",H1487,"")</f>
        <v/>
      </c>
      <c r="Y1487" s="2">
        <f ca="1">NETWORKDAYS(P1487,$Y$1)</f>
        <v>11</v>
      </c>
      <c r="Z1487" s="14">
        <v>1</v>
      </c>
      <c r="AA1487" s="1" t="str">
        <f t="shared" ca="1" si="115"/>
        <v>VENCIDO</v>
      </c>
      <c r="AB1487" s="1" t="str">
        <f t="shared" si="116"/>
        <v>C-14</v>
      </c>
      <c r="AC1487" s="2" t="str">
        <f t="shared" si="117"/>
        <v xml:space="preserve"> CLEITON </v>
      </c>
      <c r="AD1487" s="2">
        <f t="shared" si="118"/>
        <v>5</v>
      </c>
      <c r="AE1487" s="2">
        <f t="shared" ca="1" si="119"/>
        <v>-12.967035532405134</v>
      </c>
    </row>
    <row r="1488" spans="1:31" hidden="1">
      <c r="A1488" s="1">
        <v>9487555</v>
      </c>
      <c r="B1488" s="1" t="s">
        <v>3541</v>
      </c>
      <c r="C1488" t="s">
        <v>3542</v>
      </c>
      <c r="E1488" s="2">
        <v>7417162430877</v>
      </c>
      <c r="F1488" s="1" t="s">
        <v>3543</v>
      </c>
      <c r="G1488" s="1" t="s">
        <v>30</v>
      </c>
      <c r="H1488" s="1" t="s">
        <v>159</v>
      </c>
      <c r="I1488" s="1" t="s">
        <v>160</v>
      </c>
      <c r="J1488" s="1" t="s">
        <v>46</v>
      </c>
      <c r="K1488" t="s">
        <v>3544</v>
      </c>
      <c r="M1488" s="1" t="s">
        <v>58</v>
      </c>
      <c r="N1488" s="1">
        <v>0</v>
      </c>
      <c r="O1488" s="1" t="s">
        <v>105</v>
      </c>
      <c r="P1488" s="12">
        <v>44972.700277777774</v>
      </c>
      <c r="R1488" s="1">
        <v>22</v>
      </c>
      <c r="T1488" s="1" t="s">
        <v>1160</v>
      </c>
      <c r="U1488" s="12">
        <v>44973.999305555553</v>
      </c>
      <c r="V1488" s="1" t="s">
        <v>41</v>
      </c>
      <c r="W1488" s="1" t="s">
        <v>49</v>
      </c>
      <c r="X1488" s="13" t="str">
        <f>IF(RIGHT(H1488,2)&lt;&gt;"00",H1488,"")</f>
        <v/>
      </c>
      <c r="Y1488" s="2">
        <f ca="1">NETWORKDAYS(P1488,$Y$1)</f>
        <v>11</v>
      </c>
      <c r="Z1488" s="14">
        <v>1</v>
      </c>
      <c r="AA1488" s="1" t="str">
        <f t="shared" ca="1" si="115"/>
        <v>VENCIDO</v>
      </c>
      <c r="AB1488" s="1" t="str">
        <f t="shared" si="116"/>
        <v>TAAe+</v>
      </c>
      <c r="AC1488" s="2" t="str">
        <f t="shared" si="117"/>
        <v xml:space="preserve"> CLEITON </v>
      </c>
      <c r="AD1488" s="2">
        <f t="shared" si="118"/>
        <v>8</v>
      </c>
      <c r="AE1488" s="2">
        <f t="shared" ca="1" si="119"/>
        <v>-12.676966087965411</v>
      </c>
    </row>
    <row r="1489" spans="1:31" hidden="1">
      <c r="A1489" s="1">
        <v>9487284</v>
      </c>
      <c r="B1489" s="1" t="s">
        <v>1153</v>
      </c>
      <c r="C1489" t="s">
        <v>3290</v>
      </c>
      <c r="D1489" s="2">
        <v>20232257000016</v>
      </c>
      <c r="E1489" s="2">
        <v>7419151141229</v>
      </c>
      <c r="F1489" s="1" t="s">
        <v>123</v>
      </c>
      <c r="G1489" s="1" t="s">
        <v>53</v>
      </c>
      <c r="H1489" s="1" t="s">
        <v>2326</v>
      </c>
      <c r="I1489" s="1" t="s">
        <v>2327</v>
      </c>
      <c r="J1489" s="1" t="s">
        <v>110</v>
      </c>
      <c r="K1489" t="s">
        <v>126</v>
      </c>
      <c r="M1489" s="1" t="s">
        <v>58</v>
      </c>
      <c r="N1489" s="1">
        <v>0</v>
      </c>
      <c r="O1489" s="1" t="s">
        <v>36</v>
      </c>
      <c r="P1489" s="12">
        <v>44972.648125</v>
      </c>
      <c r="R1489" s="1">
        <v>14</v>
      </c>
      <c r="T1489" s="1" t="s">
        <v>238</v>
      </c>
      <c r="U1489" s="12">
        <v>44972.648125</v>
      </c>
      <c r="V1489" s="1" t="s">
        <v>41</v>
      </c>
      <c r="W1489" s="1" t="s">
        <v>49</v>
      </c>
      <c r="X1489" s="13" t="str">
        <f>IF(RIGHT(H1489,2)&lt;&gt;"00",H1489,"")</f>
        <v>2257.91</v>
      </c>
      <c r="Y1489" s="2">
        <f ca="1">NETWORKDAYS(P1489,$Y$1)</f>
        <v>11</v>
      </c>
      <c r="Z1489" s="14">
        <v>1</v>
      </c>
      <c r="AA1489" s="1" t="str">
        <f t="shared" ca="1" si="115"/>
        <v>VENCIDO</v>
      </c>
      <c r="AB1489" s="1" t="str">
        <f t="shared" si="116"/>
        <v>TAAe+</v>
      </c>
      <c r="AC1489" s="2" t="str">
        <f t="shared" si="117"/>
        <v xml:space="preserve"> CRISTINA </v>
      </c>
      <c r="AD1489" s="2">
        <f t="shared" si="118"/>
        <v>8</v>
      </c>
      <c r="AE1489" s="2">
        <f t="shared" ca="1" si="119"/>
        <v>-14.028146643518994</v>
      </c>
    </row>
    <row r="1490" spans="1:31" hidden="1">
      <c r="A1490" s="1">
        <v>9487216</v>
      </c>
      <c r="B1490" s="1" t="s">
        <v>1153</v>
      </c>
      <c r="C1490" t="s">
        <v>3292</v>
      </c>
      <c r="D1490" s="2">
        <v>20231664000004</v>
      </c>
      <c r="E1490" s="2">
        <v>7417202021242</v>
      </c>
      <c r="F1490" s="1" t="s">
        <v>1213</v>
      </c>
      <c r="G1490" s="1" t="s">
        <v>53</v>
      </c>
      <c r="H1490" s="1" t="s">
        <v>3293</v>
      </c>
      <c r="I1490" s="1" t="s">
        <v>3294</v>
      </c>
      <c r="J1490" s="1" t="s">
        <v>164</v>
      </c>
      <c r="K1490" t="s">
        <v>1214</v>
      </c>
      <c r="M1490" s="1" t="s">
        <v>58</v>
      </c>
      <c r="N1490" s="1">
        <v>0</v>
      </c>
      <c r="O1490" s="1" t="s">
        <v>105</v>
      </c>
      <c r="P1490" s="12">
        <v>44972.637118055558</v>
      </c>
      <c r="R1490" s="1">
        <v>14</v>
      </c>
      <c r="T1490" s="1" t="s">
        <v>238</v>
      </c>
      <c r="U1490" s="12">
        <v>44972.637118055558</v>
      </c>
      <c r="V1490" s="1" t="s">
        <v>41</v>
      </c>
      <c r="W1490" s="1" t="s">
        <v>49</v>
      </c>
      <c r="X1490" s="13" t="str">
        <f>IF(RIGHT(H1490,2)&lt;&gt;"00",H1490,"")</f>
        <v>1664.91</v>
      </c>
      <c r="Y1490" s="2">
        <f ca="1">NETWORKDAYS(P1490,$Y$1)</f>
        <v>11</v>
      </c>
      <c r="Z1490" s="14">
        <v>1</v>
      </c>
      <c r="AA1490" s="1" t="str">
        <f t="shared" ca="1" si="115"/>
        <v>VENCIDO</v>
      </c>
      <c r="AB1490" s="1" t="str">
        <f t="shared" si="116"/>
        <v>TAAe+</v>
      </c>
      <c r="AC1490" s="2" t="str">
        <f t="shared" si="117"/>
        <v xml:space="preserve"> ROSEMERE </v>
      </c>
      <c r="AD1490" s="2">
        <f t="shared" si="118"/>
        <v>8</v>
      </c>
      <c r="AE1490" s="2">
        <f t="shared" ca="1" si="119"/>
        <v>-14.039153587960755</v>
      </c>
    </row>
    <row r="1491" spans="1:31" hidden="1">
      <c r="A1491" s="1">
        <v>9487119</v>
      </c>
      <c r="B1491" s="1" t="s">
        <v>1153</v>
      </c>
      <c r="C1491" t="s">
        <v>3296</v>
      </c>
      <c r="D1491" s="2">
        <v>20234923000068</v>
      </c>
      <c r="E1491" s="2">
        <v>7417183020181</v>
      </c>
      <c r="F1491" s="1" t="s">
        <v>1313</v>
      </c>
      <c r="G1491" s="1" t="s">
        <v>53</v>
      </c>
      <c r="H1491" s="1" t="s">
        <v>2870</v>
      </c>
      <c r="I1491" s="1" t="s">
        <v>2871</v>
      </c>
      <c r="J1491" s="1" t="s">
        <v>46</v>
      </c>
      <c r="K1491" t="s">
        <v>1316</v>
      </c>
      <c r="M1491" s="1" t="s">
        <v>58</v>
      </c>
      <c r="N1491" s="1">
        <v>0</v>
      </c>
      <c r="O1491" s="1" t="s">
        <v>36</v>
      </c>
      <c r="P1491" s="12">
        <v>44972.616956018515</v>
      </c>
      <c r="R1491" s="1">
        <v>13</v>
      </c>
      <c r="T1491" s="1" t="s">
        <v>238</v>
      </c>
      <c r="U1491" s="12">
        <v>44972.616956018515</v>
      </c>
      <c r="V1491" s="1" t="s">
        <v>41</v>
      </c>
      <c r="W1491" s="1" t="s">
        <v>49</v>
      </c>
      <c r="X1491" s="13" t="str">
        <f>IF(RIGHT(H1491,2)&lt;&gt;"00",H1491,"")</f>
        <v>4923.04</v>
      </c>
      <c r="Y1491" s="2">
        <f ca="1">NETWORKDAYS(P1491,$Y$1)</f>
        <v>11</v>
      </c>
      <c r="Z1491" s="14">
        <v>1</v>
      </c>
      <c r="AA1491" s="1" t="str">
        <f t="shared" ca="1" si="115"/>
        <v>VENCIDO</v>
      </c>
      <c r="AB1491" s="1" t="str">
        <f t="shared" si="116"/>
        <v>TAAe+</v>
      </c>
      <c r="AC1491" s="2" t="str">
        <f t="shared" si="117"/>
        <v xml:space="preserve"> CLEITON </v>
      </c>
      <c r="AD1491" s="2">
        <f t="shared" si="118"/>
        <v>8</v>
      </c>
      <c r="AE1491" s="2">
        <f t="shared" ca="1" si="119"/>
        <v>-14.059315625003364</v>
      </c>
    </row>
    <row r="1492" spans="1:31" hidden="1">
      <c r="A1492" s="1">
        <v>9487087</v>
      </c>
      <c r="B1492" s="1" t="s">
        <v>3298</v>
      </c>
      <c r="C1492" t="s">
        <v>3299</v>
      </c>
      <c r="D1492" s="2">
        <v>20233433000007</v>
      </c>
      <c r="E1492" s="2">
        <v>7417203360125</v>
      </c>
      <c r="F1492" s="1" t="s">
        <v>3300</v>
      </c>
      <c r="G1492" s="1" t="s">
        <v>53</v>
      </c>
      <c r="H1492" s="1" t="s">
        <v>2520</v>
      </c>
      <c r="I1492" s="1" t="s">
        <v>2521</v>
      </c>
      <c r="J1492" s="1" t="s">
        <v>46</v>
      </c>
      <c r="K1492" t="s">
        <v>3301</v>
      </c>
      <c r="M1492" s="1" t="s">
        <v>58</v>
      </c>
      <c r="N1492" s="1">
        <v>0</v>
      </c>
      <c r="O1492" s="1" t="s">
        <v>36</v>
      </c>
      <c r="P1492" s="12">
        <v>44972.622233796297</v>
      </c>
      <c r="R1492" s="1">
        <v>22</v>
      </c>
      <c r="T1492" s="1" t="s">
        <v>1160</v>
      </c>
      <c r="U1492" s="12">
        <v>44973.627870370372</v>
      </c>
      <c r="V1492" s="1" t="s">
        <v>41</v>
      </c>
      <c r="W1492" s="1" t="s">
        <v>49</v>
      </c>
      <c r="X1492" s="13" t="str">
        <f>IF(RIGHT(H1492,2)&lt;&gt;"00",H1492,"")</f>
        <v/>
      </c>
      <c r="Y1492" s="2">
        <f ca="1">NETWORKDAYS(P1492,$Y$1)</f>
        <v>11</v>
      </c>
      <c r="Z1492" s="14">
        <v>1</v>
      </c>
      <c r="AA1492" s="1" t="str">
        <f t="shared" ca="1" si="115"/>
        <v>VENCIDO</v>
      </c>
      <c r="AB1492" s="1" t="str">
        <f t="shared" si="116"/>
        <v>TAAe+</v>
      </c>
      <c r="AC1492" s="2" t="str">
        <f t="shared" si="117"/>
        <v xml:space="preserve"> CLEITON </v>
      </c>
      <c r="AD1492" s="2">
        <f t="shared" si="118"/>
        <v>8</v>
      </c>
      <c r="AE1492" s="2">
        <f t="shared" ca="1" si="119"/>
        <v>-13.048401273146737</v>
      </c>
    </row>
    <row r="1493" spans="1:31" hidden="1">
      <c r="A1493" s="1">
        <v>9487037</v>
      </c>
      <c r="B1493" s="1" t="s">
        <v>1153</v>
      </c>
      <c r="C1493" t="s">
        <v>3304</v>
      </c>
      <c r="D1493" s="2">
        <v>20234637000010</v>
      </c>
      <c r="E1493" s="2">
        <v>7419151141178</v>
      </c>
      <c r="F1493" s="1" t="s">
        <v>123</v>
      </c>
      <c r="G1493" s="1" t="s">
        <v>53</v>
      </c>
      <c r="H1493" s="1" t="s">
        <v>2004</v>
      </c>
      <c r="I1493" s="1" t="s">
        <v>2005</v>
      </c>
      <c r="J1493" s="1" t="s">
        <v>79</v>
      </c>
      <c r="K1493" t="s">
        <v>126</v>
      </c>
      <c r="M1493" s="1" t="s">
        <v>58</v>
      </c>
      <c r="N1493" s="1">
        <v>0</v>
      </c>
      <c r="O1493" s="1" t="s">
        <v>105</v>
      </c>
      <c r="P1493" s="12">
        <v>44972.607361111113</v>
      </c>
      <c r="R1493" s="1">
        <v>14</v>
      </c>
      <c r="T1493" s="1" t="s">
        <v>238</v>
      </c>
      <c r="U1493" s="12">
        <v>44972.607361111113</v>
      </c>
      <c r="V1493" s="1" t="s">
        <v>41</v>
      </c>
      <c r="W1493" s="1" t="s">
        <v>49</v>
      </c>
      <c r="X1493" s="13" t="str">
        <f>IF(RIGHT(H1493,2)&lt;&gt;"00",H1493,"")</f>
        <v>4637.91</v>
      </c>
      <c r="Y1493" s="2">
        <f ca="1">NETWORKDAYS(P1493,$Y$1)</f>
        <v>11</v>
      </c>
      <c r="Z1493" s="14">
        <v>1</v>
      </c>
      <c r="AA1493" s="1" t="str">
        <f t="shared" ca="1" si="115"/>
        <v>VENCIDO</v>
      </c>
      <c r="AB1493" s="1" t="str">
        <f t="shared" si="116"/>
        <v>TAAe+</v>
      </c>
      <c r="AC1493" s="2" t="str">
        <f t="shared" si="117"/>
        <v xml:space="preserve"> ROSEMERE </v>
      </c>
      <c r="AD1493" s="2">
        <f t="shared" si="118"/>
        <v>8</v>
      </c>
      <c r="AE1493" s="2">
        <f t="shared" ca="1" si="119"/>
        <v>-14.068910532405425</v>
      </c>
    </row>
    <row r="1494" spans="1:31" hidden="1">
      <c r="A1494" s="1">
        <v>9487032</v>
      </c>
      <c r="B1494" s="1" t="s">
        <v>1153</v>
      </c>
      <c r="C1494" t="s">
        <v>3306</v>
      </c>
      <c r="D1494" s="2">
        <v>20230233000018</v>
      </c>
      <c r="E1494" s="2">
        <v>7417183020061</v>
      </c>
      <c r="F1494" s="1" t="s">
        <v>1313</v>
      </c>
      <c r="G1494" s="1" t="s">
        <v>53</v>
      </c>
      <c r="H1494" s="1" t="s">
        <v>2716</v>
      </c>
      <c r="I1494" s="1" t="s">
        <v>2717</v>
      </c>
      <c r="J1494" s="1" t="s">
        <v>261</v>
      </c>
      <c r="K1494" t="s">
        <v>1316</v>
      </c>
      <c r="M1494" s="1" t="s">
        <v>58</v>
      </c>
      <c r="N1494" s="1">
        <v>0</v>
      </c>
      <c r="O1494" s="1" t="s">
        <v>105</v>
      </c>
      <c r="P1494" s="12">
        <v>44972.60465277778</v>
      </c>
      <c r="R1494" s="1">
        <v>14</v>
      </c>
      <c r="T1494" s="1" t="s">
        <v>238</v>
      </c>
      <c r="U1494" s="12">
        <v>44972.60465277778</v>
      </c>
      <c r="V1494" s="1" t="s">
        <v>41</v>
      </c>
      <c r="W1494" s="1" t="s">
        <v>49</v>
      </c>
      <c r="X1494" s="13" t="str">
        <f>IF(RIGHT(H1494,2)&lt;&gt;"00",H1494,"")</f>
        <v>0233.91</v>
      </c>
      <c r="Y1494" s="2">
        <f ca="1">NETWORKDAYS(P1494,$Y$1)</f>
        <v>11</v>
      </c>
      <c r="Z1494" s="14">
        <v>1</v>
      </c>
      <c r="AA1494" s="1" t="str">
        <f t="shared" ca="1" si="115"/>
        <v>VENCIDO</v>
      </c>
      <c r="AB1494" s="1" t="str">
        <f t="shared" si="116"/>
        <v>TAAe+</v>
      </c>
      <c r="AC1494" s="2" t="str">
        <f t="shared" si="117"/>
        <v xml:space="preserve"> CRISTINA </v>
      </c>
      <c r="AD1494" s="2">
        <f t="shared" si="118"/>
        <v>8</v>
      </c>
      <c r="AE1494" s="2">
        <f t="shared" ca="1" si="119"/>
        <v>-14.071618865738856</v>
      </c>
    </row>
    <row r="1495" spans="1:31" hidden="1">
      <c r="A1495" s="1">
        <v>9486990</v>
      </c>
      <c r="B1495" s="1" t="s">
        <v>62</v>
      </c>
      <c r="C1495" t="s">
        <v>3308</v>
      </c>
      <c r="E1495" s="2">
        <v>1924000203000</v>
      </c>
      <c r="F1495" s="1" t="s">
        <v>454</v>
      </c>
      <c r="G1495" s="1" t="s">
        <v>53</v>
      </c>
      <c r="H1495" s="1" t="s">
        <v>568</v>
      </c>
      <c r="I1495" s="1" t="s">
        <v>569</v>
      </c>
      <c r="J1495" s="1" t="s">
        <v>33</v>
      </c>
      <c r="K1495" t="s">
        <v>457</v>
      </c>
      <c r="M1495" s="1" t="s">
        <v>58</v>
      </c>
      <c r="N1495" s="1">
        <v>0</v>
      </c>
      <c r="O1495" s="1" t="s">
        <v>36</v>
      </c>
      <c r="P1495" s="12">
        <v>44972.612916666665</v>
      </c>
      <c r="R1495" s="1" t="s">
        <v>38</v>
      </c>
      <c r="T1495" s="1" t="s">
        <v>157</v>
      </c>
      <c r="U1495" s="12">
        <v>45008.75</v>
      </c>
      <c r="V1495" s="1" t="s">
        <v>41</v>
      </c>
      <c r="W1495" s="1" t="s">
        <v>49</v>
      </c>
      <c r="X1495" s="13" t="str">
        <f>IF(RIGHT(H1495,2)&lt;&gt;"00",H1495,"")</f>
        <v/>
      </c>
      <c r="Y1495" s="2">
        <f ca="1">NETWORKDAYS(P1495,$Y$1)</f>
        <v>11</v>
      </c>
      <c r="Z1495" s="14">
        <v>1</v>
      </c>
      <c r="AA1495" s="1" t="str">
        <f t="shared" ca="1" si="115"/>
        <v>A VENCER</v>
      </c>
      <c r="AB1495" s="1" t="str">
        <f t="shared" si="116"/>
        <v>C-14</v>
      </c>
      <c r="AC1495" s="2" t="str">
        <f t="shared" si="117"/>
        <v xml:space="preserve"> ROSEMERE </v>
      </c>
      <c r="AD1495" s="2">
        <f t="shared" si="118"/>
        <v>5</v>
      </c>
      <c r="AE1495" s="2">
        <f t="shared" ca="1" si="119"/>
        <v>22.073728356481297</v>
      </c>
    </row>
    <row r="1496" spans="1:31" hidden="1">
      <c r="A1496" s="1">
        <v>9486956</v>
      </c>
      <c r="B1496" s="1" t="s">
        <v>1153</v>
      </c>
      <c r="C1496" t="s">
        <v>3309</v>
      </c>
      <c r="D1496" s="2">
        <v>20231761000013</v>
      </c>
      <c r="E1496" s="2">
        <v>7419141893216</v>
      </c>
      <c r="F1496" s="1" t="s">
        <v>128</v>
      </c>
      <c r="G1496" s="1" t="s">
        <v>53</v>
      </c>
      <c r="H1496" s="1" t="s">
        <v>54</v>
      </c>
      <c r="I1496" s="1" t="s">
        <v>55</v>
      </c>
      <c r="J1496" s="1" t="s">
        <v>56</v>
      </c>
      <c r="K1496" t="s">
        <v>129</v>
      </c>
      <c r="M1496" s="1" t="s">
        <v>58</v>
      </c>
      <c r="N1496" s="1">
        <v>0</v>
      </c>
      <c r="O1496" s="1" t="s">
        <v>105</v>
      </c>
      <c r="P1496" s="12">
        <v>44972.590462962966</v>
      </c>
      <c r="R1496" s="1">
        <v>14</v>
      </c>
      <c r="T1496" s="1" t="s">
        <v>238</v>
      </c>
      <c r="U1496" s="12">
        <v>44972.590462962966</v>
      </c>
      <c r="V1496" s="1" t="s">
        <v>41</v>
      </c>
      <c r="W1496" s="1" t="s">
        <v>49</v>
      </c>
      <c r="X1496" s="13" t="str">
        <f>IF(RIGHT(H1496,2)&lt;&gt;"00",H1496,"")</f>
        <v>1761.91</v>
      </c>
      <c r="Y1496" s="2">
        <f ca="1">NETWORKDAYS(P1496,$Y$1)</f>
        <v>11</v>
      </c>
      <c r="Z1496" s="14">
        <v>1</v>
      </c>
      <c r="AA1496" s="1" t="str">
        <f t="shared" ca="1" si="115"/>
        <v>VENCIDO</v>
      </c>
      <c r="AB1496" s="1" t="str">
        <f t="shared" si="116"/>
        <v>TAAe+</v>
      </c>
      <c r="AC1496" s="2" t="str">
        <f t="shared" si="117"/>
        <v xml:space="preserve"> CRISTINA </v>
      </c>
      <c r="AD1496" s="2">
        <f t="shared" si="118"/>
        <v>8</v>
      </c>
      <c r="AE1496" s="2">
        <f t="shared" ca="1" si="119"/>
        <v>-14.085808680552873</v>
      </c>
    </row>
    <row r="1497" spans="1:31" hidden="1">
      <c r="A1497" s="1">
        <v>9486952</v>
      </c>
      <c r="B1497" s="1" t="s">
        <v>1153</v>
      </c>
      <c r="C1497" t="s">
        <v>3311</v>
      </c>
      <c r="D1497" s="2">
        <v>20231153000015</v>
      </c>
      <c r="E1497" s="2">
        <v>7417163281297</v>
      </c>
      <c r="F1497" s="1" t="s">
        <v>131</v>
      </c>
      <c r="G1497" s="1" t="s">
        <v>53</v>
      </c>
      <c r="H1497" s="1" t="s">
        <v>2399</v>
      </c>
      <c r="I1497" s="1" t="s">
        <v>2400</v>
      </c>
      <c r="J1497" s="1" t="s">
        <v>79</v>
      </c>
      <c r="K1497" t="s">
        <v>132</v>
      </c>
      <c r="M1497" s="1" t="s">
        <v>58</v>
      </c>
      <c r="N1497" s="1">
        <v>0</v>
      </c>
      <c r="O1497" s="1" t="s">
        <v>105</v>
      </c>
      <c r="P1497" s="12">
        <v>44972.587812500002</v>
      </c>
      <c r="R1497" s="1">
        <v>14</v>
      </c>
      <c r="T1497" s="1" t="s">
        <v>238</v>
      </c>
      <c r="U1497" s="12">
        <v>44972.587812500002</v>
      </c>
      <c r="V1497" s="1" t="s">
        <v>41</v>
      </c>
      <c r="W1497" s="1" t="s">
        <v>49</v>
      </c>
      <c r="X1497" s="13" t="str">
        <f>IF(RIGHT(H1497,2)&lt;&gt;"00",H1497,"")</f>
        <v>1153.91</v>
      </c>
      <c r="Y1497" s="2">
        <f ca="1">NETWORKDAYS(P1497,$Y$1)</f>
        <v>11</v>
      </c>
      <c r="Z1497" s="14">
        <v>1</v>
      </c>
      <c r="AA1497" s="1" t="str">
        <f t="shared" ca="1" si="115"/>
        <v>VENCIDO</v>
      </c>
      <c r="AB1497" s="1" t="str">
        <f t="shared" si="116"/>
        <v>TAAe+</v>
      </c>
      <c r="AC1497" s="2" t="str">
        <f t="shared" si="117"/>
        <v xml:space="preserve"> ROSEMERE </v>
      </c>
      <c r="AD1497" s="2">
        <f t="shared" si="118"/>
        <v>8</v>
      </c>
      <c r="AE1497" s="2">
        <f t="shared" ca="1" si="119"/>
        <v>-14.088459143516957</v>
      </c>
    </row>
    <row r="1498" spans="1:31" hidden="1">
      <c r="A1498" s="1">
        <v>9486883</v>
      </c>
      <c r="B1498" s="1" t="s">
        <v>1153</v>
      </c>
      <c r="C1498" t="s">
        <v>3313</v>
      </c>
      <c r="D1498" s="2">
        <v>20230220000020</v>
      </c>
      <c r="E1498" s="2">
        <v>7417163284482</v>
      </c>
      <c r="F1498" s="1" t="s">
        <v>131</v>
      </c>
      <c r="G1498" s="1" t="s">
        <v>53</v>
      </c>
      <c r="H1498" s="1" t="s">
        <v>2030</v>
      </c>
      <c r="I1498" s="1" t="s">
        <v>2031</v>
      </c>
      <c r="J1498" s="1" t="s">
        <v>110</v>
      </c>
      <c r="K1498" t="s">
        <v>132</v>
      </c>
      <c r="M1498" s="1" t="s">
        <v>58</v>
      </c>
      <c r="N1498" s="1">
        <v>0</v>
      </c>
      <c r="O1498" s="1" t="s">
        <v>105</v>
      </c>
      <c r="P1498" s="12">
        <v>44972.585856481484</v>
      </c>
      <c r="R1498" s="1">
        <v>14</v>
      </c>
      <c r="T1498" s="1" t="s">
        <v>238</v>
      </c>
      <c r="U1498" s="12">
        <v>44972.585856481484</v>
      </c>
      <c r="V1498" s="1" t="s">
        <v>41</v>
      </c>
      <c r="W1498" s="1" t="s">
        <v>49</v>
      </c>
      <c r="X1498" s="13" t="str">
        <f>IF(RIGHT(H1498,2)&lt;&gt;"00",H1498,"")</f>
        <v>0220.91</v>
      </c>
      <c r="Y1498" s="2">
        <f ca="1">NETWORKDAYS(P1498,$Y$1)</f>
        <v>11</v>
      </c>
      <c r="Z1498" s="14">
        <v>1</v>
      </c>
      <c r="AA1498" s="1" t="str">
        <f t="shared" ca="1" si="115"/>
        <v>VENCIDO</v>
      </c>
      <c r="AB1498" s="1" t="str">
        <f t="shared" si="116"/>
        <v>TAAe+</v>
      </c>
      <c r="AC1498" s="2" t="str">
        <f t="shared" si="117"/>
        <v xml:space="preserve"> CRISTINA </v>
      </c>
      <c r="AD1498" s="2">
        <f t="shared" si="118"/>
        <v>8</v>
      </c>
      <c r="AE1498" s="2">
        <f t="shared" ca="1" si="119"/>
        <v>-14.090415162034333</v>
      </c>
    </row>
    <row r="1499" spans="1:31" hidden="1">
      <c r="A1499" s="1">
        <v>9486864</v>
      </c>
      <c r="B1499" s="1" t="s">
        <v>1153</v>
      </c>
      <c r="C1499" t="s">
        <v>3315</v>
      </c>
      <c r="D1499" s="2">
        <v>20234637000009</v>
      </c>
      <c r="E1499" s="2">
        <v>7417163284105</v>
      </c>
      <c r="F1499" s="1" t="s">
        <v>131</v>
      </c>
      <c r="G1499" s="1" t="s">
        <v>53</v>
      </c>
      <c r="H1499" s="1" t="s">
        <v>2004</v>
      </c>
      <c r="I1499" s="1" t="s">
        <v>2005</v>
      </c>
      <c r="J1499" s="1" t="s">
        <v>79</v>
      </c>
      <c r="K1499" t="s">
        <v>132</v>
      </c>
      <c r="M1499" s="1" t="s">
        <v>58</v>
      </c>
      <c r="N1499" s="1">
        <v>0</v>
      </c>
      <c r="O1499" s="1" t="s">
        <v>105</v>
      </c>
      <c r="P1499" s="12">
        <v>44972.581979166665</v>
      </c>
      <c r="R1499" s="1">
        <v>14</v>
      </c>
      <c r="T1499" s="1" t="s">
        <v>238</v>
      </c>
      <c r="U1499" s="12">
        <v>44972.581979166665</v>
      </c>
      <c r="V1499" s="1" t="s">
        <v>41</v>
      </c>
      <c r="W1499" s="1" t="s">
        <v>49</v>
      </c>
      <c r="X1499" s="13" t="str">
        <f>IF(RIGHT(H1499,2)&lt;&gt;"00",H1499,"")</f>
        <v>4637.91</v>
      </c>
      <c r="Y1499" s="2">
        <f ca="1">NETWORKDAYS(P1499,$Y$1)</f>
        <v>11</v>
      </c>
      <c r="Z1499" s="14">
        <v>1</v>
      </c>
      <c r="AA1499" s="1" t="str">
        <f t="shared" ca="1" si="115"/>
        <v>VENCIDO</v>
      </c>
      <c r="AB1499" s="1" t="str">
        <f t="shared" si="116"/>
        <v>TAAe+</v>
      </c>
      <c r="AC1499" s="2" t="str">
        <f t="shared" si="117"/>
        <v xml:space="preserve"> ROSEMERE </v>
      </c>
      <c r="AD1499" s="2">
        <f t="shared" si="118"/>
        <v>8</v>
      </c>
      <c r="AE1499" s="2">
        <f t="shared" ca="1" si="119"/>
        <v>-14.094292476853298</v>
      </c>
    </row>
    <row r="1500" spans="1:31">
      <c r="A1500" s="181">
        <v>9486855</v>
      </c>
      <c r="B1500" s="181" t="s">
        <v>1153</v>
      </c>
      <c r="C1500" s="182" t="s">
        <v>3654</v>
      </c>
      <c r="D1500" s="183"/>
      <c r="E1500" s="183">
        <v>608000206001</v>
      </c>
      <c r="F1500" s="181" t="s">
        <v>29</v>
      </c>
      <c r="G1500" s="181" t="s">
        <v>53</v>
      </c>
      <c r="H1500" s="181" t="s">
        <v>438</v>
      </c>
      <c r="I1500" s="181" t="s">
        <v>439</v>
      </c>
      <c r="J1500" s="181" t="s">
        <v>148</v>
      </c>
      <c r="K1500" t="s">
        <v>34</v>
      </c>
      <c r="M1500" s="1" t="s">
        <v>35</v>
      </c>
      <c r="N1500" s="1">
        <v>42318949</v>
      </c>
      <c r="O1500" s="1" t="s">
        <v>36</v>
      </c>
      <c r="P1500" s="12">
        <v>44972.594259259262</v>
      </c>
      <c r="R1500" s="1" t="s">
        <v>38</v>
      </c>
      <c r="T1500" s="1" t="s">
        <v>74</v>
      </c>
      <c r="U1500" s="12">
        <v>44979.67759259259</v>
      </c>
      <c r="V1500" s="1" t="s">
        <v>41</v>
      </c>
      <c r="W1500" s="1" t="s">
        <v>49</v>
      </c>
      <c r="X1500" s="13" t="str">
        <f>IF(RIGHT(H1500,2)&lt;&gt;"00",H1500,"")</f>
        <v/>
      </c>
      <c r="Y1500" s="2">
        <f ca="1">NETWORKDAYS(P1500,$Y$1)</f>
        <v>11</v>
      </c>
      <c r="Z1500" s="14">
        <v>1</v>
      </c>
      <c r="AA1500" s="1" t="str">
        <f t="shared" ca="1" si="115"/>
        <v>VENCIDO</v>
      </c>
      <c r="AB1500" s="1" t="str">
        <f t="shared" si="116"/>
        <v>Dosa</v>
      </c>
      <c r="AC1500" s="2" t="str">
        <f t="shared" si="117"/>
        <v xml:space="preserve"> RINALDO </v>
      </c>
      <c r="AD1500" s="2">
        <f t="shared" si="118"/>
        <v>5</v>
      </c>
      <c r="AE1500" s="2">
        <f t="shared" ca="1" si="119"/>
        <v>-6.998679050928331</v>
      </c>
    </row>
    <row r="1501" spans="1:31" hidden="1">
      <c r="A1501" s="1">
        <v>9486673</v>
      </c>
      <c r="B1501" s="1" t="s">
        <v>1153</v>
      </c>
      <c r="C1501" t="s">
        <v>3323</v>
      </c>
      <c r="D1501" s="2">
        <v>20230446000013</v>
      </c>
      <c r="E1501" s="2">
        <v>7417163284281</v>
      </c>
      <c r="F1501" s="1" t="s">
        <v>131</v>
      </c>
      <c r="G1501" s="1" t="s">
        <v>53</v>
      </c>
      <c r="H1501" s="1" t="s">
        <v>3324</v>
      </c>
      <c r="I1501" s="1" t="s">
        <v>3325</v>
      </c>
      <c r="J1501" s="1" t="s">
        <v>110</v>
      </c>
      <c r="K1501" t="s">
        <v>132</v>
      </c>
      <c r="M1501" s="1" t="s">
        <v>58</v>
      </c>
      <c r="N1501" s="1">
        <v>0</v>
      </c>
      <c r="O1501" s="1" t="s">
        <v>36</v>
      </c>
      <c r="P1501" s="12">
        <v>44972.550717592596</v>
      </c>
      <c r="R1501" s="1">
        <v>14</v>
      </c>
      <c r="T1501" s="1" t="s">
        <v>238</v>
      </c>
      <c r="U1501" s="12">
        <v>44972.550717592596</v>
      </c>
      <c r="V1501" s="1" t="s">
        <v>41</v>
      </c>
      <c r="W1501" s="1" t="s">
        <v>49</v>
      </c>
      <c r="X1501" s="13" t="str">
        <f>IF(RIGHT(H1501,2)&lt;&gt;"00",H1501,"")</f>
        <v>0446.91</v>
      </c>
      <c r="Y1501" s="2">
        <f ca="1">NETWORKDAYS(P1501,$Y$1)</f>
        <v>11</v>
      </c>
      <c r="Z1501" s="14">
        <v>1</v>
      </c>
      <c r="AA1501" s="1" t="str">
        <f t="shared" ca="1" si="115"/>
        <v>VENCIDO</v>
      </c>
      <c r="AB1501" s="1" t="str">
        <f t="shared" si="116"/>
        <v>TAAe+</v>
      </c>
      <c r="AC1501" s="2" t="str">
        <f t="shared" si="117"/>
        <v xml:space="preserve"> CRISTINA </v>
      </c>
      <c r="AD1501" s="2">
        <f t="shared" si="118"/>
        <v>8</v>
      </c>
      <c r="AE1501" s="2">
        <f t="shared" ca="1" si="119"/>
        <v>-14.125554050922801</v>
      </c>
    </row>
    <row r="1502" spans="1:31" hidden="1">
      <c r="A1502" s="1">
        <v>9486549</v>
      </c>
      <c r="B1502" s="1" t="s">
        <v>1153</v>
      </c>
      <c r="C1502" t="s">
        <v>3327</v>
      </c>
      <c r="D1502" s="2">
        <v>20234924000057</v>
      </c>
      <c r="E1502" s="2">
        <v>7417161483343</v>
      </c>
      <c r="F1502" s="1" t="s">
        <v>1217</v>
      </c>
      <c r="G1502" s="1" t="s">
        <v>53</v>
      </c>
      <c r="H1502" s="1" t="s">
        <v>3328</v>
      </c>
      <c r="I1502" s="1" t="s">
        <v>3329</v>
      </c>
      <c r="J1502" s="1" t="s">
        <v>79</v>
      </c>
      <c r="K1502" t="s">
        <v>1218</v>
      </c>
      <c r="M1502" s="1" t="s">
        <v>58</v>
      </c>
      <c r="N1502" s="1">
        <v>0</v>
      </c>
      <c r="O1502" s="1" t="s">
        <v>36</v>
      </c>
      <c r="P1502" s="12">
        <v>44972.532650462963</v>
      </c>
      <c r="R1502" s="1">
        <v>14</v>
      </c>
      <c r="T1502" s="1" t="s">
        <v>238</v>
      </c>
      <c r="U1502" s="12">
        <v>44972.532650462963</v>
      </c>
      <c r="V1502" s="1" t="s">
        <v>41</v>
      </c>
      <c r="W1502" s="1" t="s">
        <v>49</v>
      </c>
      <c r="X1502" s="13" t="str">
        <f>IF(RIGHT(H1502,2)&lt;&gt;"00",H1502,"")</f>
        <v>4924.01</v>
      </c>
      <c r="Y1502" s="2">
        <f ca="1">NETWORKDAYS(P1502,$Y$1)</f>
        <v>11</v>
      </c>
      <c r="Z1502" s="14">
        <v>1</v>
      </c>
      <c r="AA1502" s="1" t="str">
        <f t="shared" ca="1" si="115"/>
        <v>VENCIDO</v>
      </c>
      <c r="AB1502" s="1" t="str">
        <f t="shared" si="116"/>
        <v>TAAe+</v>
      </c>
      <c r="AC1502" s="2" t="str">
        <f t="shared" si="117"/>
        <v xml:space="preserve"> ROSEMERE </v>
      </c>
      <c r="AD1502" s="2">
        <f t="shared" si="118"/>
        <v>8</v>
      </c>
      <c r="AE1502" s="2">
        <f t="shared" ca="1" si="119"/>
        <v>-14.143621180555783</v>
      </c>
    </row>
    <row r="1503" spans="1:31" hidden="1">
      <c r="A1503" s="1">
        <v>9486434</v>
      </c>
      <c r="B1503" s="1" t="s">
        <v>1153</v>
      </c>
      <c r="C1503" t="s">
        <v>3335</v>
      </c>
      <c r="E1503" s="2">
        <v>9704000206001</v>
      </c>
      <c r="F1503" s="1" t="s">
        <v>29</v>
      </c>
      <c r="G1503" s="1" t="s">
        <v>53</v>
      </c>
      <c r="H1503" s="1" t="s">
        <v>488</v>
      </c>
      <c r="I1503" s="1" t="s">
        <v>489</v>
      </c>
      <c r="J1503" s="1" t="s">
        <v>164</v>
      </c>
      <c r="K1503" t="s">
        <v>34</v>
      </c>
      <c r="M1503" s="1" t="s">
        <v>35</v>
      </c>
      <c r="N1503" s="1">
        <v>42318949</v>
      </c>
      <c r="O1503" s="1" t="s">
        <v>36</v>
      </c>
      <c r="P1503" s="12">
        <v>44972.521770833337</v>
      </c>
      <c r="R1503" s="1" t="s">
        <v>38</v>
      </c>
      <c r="T1503" s="1" t="s">
        <v>74</v>
      </c>
      <c r="U1503" s="12">
        <v>44984.458333333336</v>
      </c>
      <c r="V1503" s="1" t="s">
        <v>41</v>
      </c>
      <c r="W1503" s="1" t="s">
        <v>49</v>
      </c>
      <c r="X1503" s="13" t="str">
        <f>IF(RIGHT(H1503,2)&lt;&gt;"00",H1503,"")</f>
        <v/>
      </c>
      <c r="Y1503" s="2">
        <f ca="1">NETWORKDAYS(P1503,$Y$1)</f>
        <v>11</v>
      </c>
      <c r="Z1503" s="14">
        <v>1</v>
      </c>
      <c r="AA1503" s="1" t="str">
        <f t="shared" ca="1" si="115"/>
        <v>VENCIDO</v>
      </c>
      <c r="AB1503" s="1" t="str">
        <f t="shared" si="116"/>
        <v>Dosa</v>
      </c>
      <c r="AC1503" s="2" t="str">
        <f t="shared" si="117"/>
        <v xml:space="preserve"> ROSEMERE </v>
      </c>
      <c r="AD1503" s="2">
        <f t="shared" si="118"/>
        <v>5</v>
      </c>
      <c r="AE1503" s="2">
        <f t="shared" ca="1" si="119"/>
        <v>-2.2179383101829444</v>
      </c>
    </row>
    <row r="1504" spans="1:31" hidden="1">
      <c r="A1504" s="1">
        <v>9486167</v>
      </c>
      <c r="B1504" s="1" t="s">
        <v>1153</v>
      </c>
      <c r="C1504" t="s">
        <v>3339</v>
      </c>
      <c r="D1504" s="2">
        <v>20234844000474</v>
      </c>
      <c r="E1504" s="2">
        <v>7417161480640</v>
      </c>
      <c r="F1504" s="1" t="s">
        <v>1979</v>
      </c>
      <c r="G1504" s="1" t="s">
        <v>53</v>
      </c>
      <c r="H1504" s="1" t="s">
        <v>2821</v>
      </c>
      <c r="I1504" s="1" t="s">
        <v>2822</v>
      </c>
      <c r="J1504" s="1" t="s">
        <v>46</v>
      </c>
      <c r="K1504" t="s">
        <v>1982</v>
      </c>
      <c r="M1504" s="1" t="s">
        <v>58</v>
      </c>
      <c r="N1504" s="1">
        <v>0</v>
      </c>
      <c r="O1504" s="1" t="s">
        <v>105</v>
      </c>
      <c r="P1504" s="12">
        <v>44972.475682870368</v>
      </c>
      <c r="R1504" s="1">
        <v>13</v>
      </c>
      <c r="T1504" s="1" t="s">
        <v>238</v>
      </c>
      <c r="U1504" s="12">
        <v>44972.475682870368</v>
      </c>
      <c r="V1504" s="1" t="s">
        <v>41</v>
      </c>
      <c r="W1504" s="1" t="s">
        <v>49</v>
      </c>
      <c r="X1504" s="13" t="str">
        <f>IF(RIGHT(H1504,2)&lt;&gt;"00",H1504,"")</f>
        <v>4844.17</v>
      </c>
      <c r="Y1504" s="2">
        <f ca="1">NETWORKDAYS(P1504,$Y$1)</f>
        <v>11</v>
      </c>
      <c r="Z1504" s="14">
        <v>1</v>
      </c>
      <c r="AA1504" s="1" t="str">
        <f t="shared" ca="1" si="115"/>
        <v>VENCIDO</v>
      </c>
      <c r="AB1504" s="1" t="str">
        <f t="shared" si="116"/>
        <v>TAAe+</v>
      </c>
      <c r="AC1504" s="2" t="str">
        <f t="shared" si="117"/>
        <v xml:space="preserve"> CLEITON </v>
      </c>
      <c r="AD1504" s="2">
        <f t="shared" si="118"/>
        <v>8</v>
      </c>
      <c r="AE1504" s="2">
        <f t="shared" ca="1" si="119"/>
        <v>-14.20058877315023</v>
      </c>
    </row>
    <row r="1505" spans="1:31" hidden="1">
      <c r="A1505" s="1">
        <v>9486166</v>
      </c>
      <c r="B1505" s="1" t="s">
        <v>1153</v>
      </c>
      <c r="C1505" t="s">
        <v>3341</v>
      </c>
      <c r="D1505" s="2">
        <v>20234844000473</v>
      </c>
      <c r="E1505" s="2">
        <v>7419143322502</v>
      </c>
      <c r="F1505" s="1" t="s">
        <v>1222</v>
      </c>
      <c r="G1505" s="1" t="s">
        <v>53</v>
      </c>
      <c r="H1505" s="1" t="s">
        <v>2395</v>
      </c>
      <c r="I1505" s="1" t="s">
        <v>2396</v>
      </c>
      <c r="J1505" s="1" t="s">
        <v>46</v>
      </c>
      <c r="K1505" t="s">
        <v>1223</v>
      </c>
      <c r="M1505" s="1" t="s">
        <v>58</v>
      </c>
      <c r="N1505" s="1">
        <v>0</v>
      </c>
      <c r="O1505" s="1" t="s">
        <v>105</v>
      </c>
      <c r="P1505" s="12">
        <v>44972.46837962963</v>
      </c>
      <c r="R1505" s="1">
        <v>13</v>
      </c>
      <c r="T1505" s="1" t="s">
        <v>238</v>
      </c>
      <c r="U1505" s="12">
        <v>44972.46837962963</v>
      </c>
      <c r="V1505" s="1" t="s">
        <v>41</v>
      </c>
      <c r="W1505" s="1" t="s">
        <v>49</v>
      </c>
      <c r="X1505" s="13" t="str">
        <f>IF(RIGHT(H1505,2)&lt;&gt;"00",H1505,"")</f>
        <v>4844.08</v>
      </c>
      <c r="Y1505" s="2">
        <f ca="1">NETWORKDAYS(P1505,$Y$1)</f>
        <v>11</v>
      </c>
      <c r="Z1505" s="14">
        <v>1</v>
      </c>
      <c r="AA1505" s="1" t="str">
        <f t="shared" ca="1" si="115"/>
        <v>VENCIDO</v>
      </c>
      <c r="AB1505" s="1" t="str">
        <f t="shared" si="116"/>
        <v>TAAe+</v>
      </c>
      <c r="AC1505" s="2" t="str">
        <f t="shared" si="117"/>
        <v xml:space="preserve"> CLEITON </v>
      </c>
      <c r="AD1505" s="2">
        <f t="shared" si="118"/>
        <v>8</v>
      </c>
      <c r="AE1505" s="2">
        <f t="shared" ca="1" si="119"/>
        <v>-14.20789201388834</v>
      </c>
    </row>
    <row r="1506" spans="1:31" hidden="1">
      <c r="A1506" s="1">
        <v>9485948</v>
      </c>
      <c r="B1506" s="1" t="s">
        <v>1153</v>
      </c>
      <c r="C1506" t="s">
        <v>3353</v>
      </c>
      <c r="D1506" s="2">
        <v>230029375</v>
      </c>
      <c r="E1506" s="2">
        <v>2669001400020</v>
      </c>
      <c r="F1506" s="1" t="s">
        <v>1961</v>
      </c>
      <c r="G1506" s="1" t="s">
        <v>53</v>
      </c>
      <c r="H1506" s="1" t="s">
        <v>561</v>
      </c>
      <c r="I1506" s="1" t="s">
        <v>562</v>
      </c>
      <c r="J1506" s="1" t="s">
        <v>110</v>
      </c>
      <c r="K1506" t="s">
        <v>1962</v>
      </c>
      <c r="M1506" s="1" t="s">
        <v>58</v>
      </c>
      <c r="N1506" s="1">
        <v>0</v>
      </c>
      <c r="O1506" s="1" t="s">
        <v>36</v>
      </c>
      <c r="P1506" s="12">
        <v>44972.457766203705</v>
      </c>
      <c r="R1506" s="1">
        <v>4</v>
      </c>
      <c r="T1506" s="1" t="s">
        <v>646</v>
      </c>
      <c r="U1506" s="12">
        <v>44985.729166666664</v>
      </c>
      <c r="V1506" s="1" t="s">
        <v>41</v>
      </c>
      <c r="W1506" s="1" t="s">
        <v>49</v>
      </c>
      <c r="X1506" s="13" t="str">
        <f>IF(RIGHT(H1506,2)&lt;&gt;"00",H1506,"")</f>
        <v/>
      </c>
      <c r="Y1506" s="2">
        <f ca="1">NETWORKDAYS(P1506,$Y$1)</f>
        <v>11</v>
      </c>
      <c r="Z1506" s="14">
        <v>1</v>
      </c>
      <c r="AA1506" s="1" t="str">
        <f t="shared" ca="1" si="115"/>
        <v>VENCIDO</v>
      </c>
      <c r="AB1506" s="1" t="str">
        <f t="shared" si="116"/>
        <v>C-14</v>
      </c>
      <c r="AC1506" s="2" t="str">
        <f t="shared" si="117"/>
        <v xml:space="preserve"> CRISTINA </v>
      </c>
      <c r="AD1506" s="2">
        <f t="shared" si="118"/>
        <v>5</v>
      </c>
      <c r="AE1506" s="2">
        <f t="shared" ca="1" si="119"/>
        <v>-0.94710497685446171</v>
      </c>
    </row>
    <row r="1507" spans="1:31" hidden="1">
      <c r="A1507" s="1">
        <v>9485898</v>
      </c>
      <c r="B1507" s="1" t="s">
        <v>1153</v>
      </c>
      <c r="C1507" t="s">
        <v>3356</v>
      </c>
      <c r="D1507" s="2">
        <v>20230067000019</v>
      </c>
      <c r="E1507" s="2">
        <v>7417183020616</v>
      </c>
      <c r="F1507" s="1" t="s">
        <v>1313</v>
      </c>
      <c r="G1507" s="1" t="s">
        <v>53</v>
      </c>
      <c r="H1507" s="1" t="s">
        <v>2091</v>
      </c>
      <c r="I1507" s="1" t="s">
        <v>2092</v>
      </c>
      <c r="J1507" s="1" t="s">
        <v>164</v>
      </c>
      <c r="K1507" t="s">
        <v>1316</v>
      </c>
      <c r="M1507" s="1" t="s">
        <v>58</v>
      </c>
      <c r="N1507" s="1">
        <v>0</v>
      </c>
      <c r="O1507" s="1" t="s">
        <v>105</v>
      </c>
      <c r="P1507" s="12">
        <v>44972.437141203707</v>
      </c>
      <c r="R1507" s="1">
        <v>14</v>
      </c>
      <c r="T1507" s="1" t="s">
        <v>238</v>
      </c>
      <c r="U1507" s="12">
        <v>44972.437141203707</v>
      </c>
      <c r="V1507" s="1" t="s">
        <v>41</v>
      </c>
      <c r="W1507" s="1" t="s">
        <v>49</v>
      </c>
      <c r="X1507" s="13" t="str">
        <f>IF(RIGHT(H1507,2)&lt;&gt;"00",H1507,"")</f>
        <v>0067.91</v>
      </c>
      <c r="Y1507" s="2">
        <f ca="1">NETWORKDAYS(P1507,$Y$1)</f>
        <v>11</v>
      </c>
      <c r="Z1507" s="14">
        <v>1</v>
      </c>
      <c r="AA1507" s="1" t="str">
        <f t="shared" ca="1" si="115"/>
        <v>VENCIDO</v>
      </c>
      <c r="AB1507" s="1" t="str">
        <f t="shared" si="116"/>
        <v>TAAe+</v>
      </c>
      <c r="AC1507" s="2" t="str">
        <f t="shared" si="117"/>
        <v xml:space="preserve"> ROSEMERE </v>
      </c>
      <c r="AD1507" s="2">
        <f t="shared" si="118"/>
        <v>8</v>
      </c>
      <c r="AE1507" s="2">
        <f t="shared" ca="1" si="119"/>
        <v>-14.239130439811561</v>
      </c>
    </row>
    <row r="1508" spans="1:31" hidden="1">
      <c r="A1508" s="1">
        <v>9485890</v>
      </c>
      <c r="B1508" s="1" t="s">
        <v>1153</v>
      </c>
      <c r="C1508" t="s">
        <v>3358</v>
      </c>
      <c r="D1508" s="2">
        <v>230029350</v>
      </c>
      <c r="E1508" s="2">
        <v>2138001400030</v>
      </c>
      <c r="F1508" s="1" t="s">
        <v>647</v>
      </c>
      <c r="G1508" s="1" t="s">
        <v>53</v>
      </c>
      <c r="H1508" s="1" t="s">
        <v>379</v>
      </c>
      <c r="I1508" s="1" t="s">
        <v>380</v>
      </c>
      <c r="J1508" s="1" t="s">
        <v>46</v>
      </c>
      <c r="K1508" t="s">
        <v>650</v>
      </c>
      <c r="M1508" s="1" t="s">
        <v>58</v>
      </c>
      <c r="N1508" s="1">
        <v>0</v>
      </c>
      <c r="O1508" s="1" t="s">
        <v>36</v>
      </c>
      <c r="P1508" s="11" t="s">
        <v>3359</v>
      </c>
      <c r="R1508" s="1">
        <v>4</v>
      </c>
      <c r="T1508" s="1" t="s">
        <v>646</v>
      </c>
      <c r="U1508" s="11" t="s">
        <v>3636</v>
      </c>
      <c r="V1508" s="1" t="s">
        <v>41</v>
      </c>
      <c r="W1508" s="1" t="s">
        <v>49</v>
      </c>
      <c r="X1508" s="13" t="str">
        <f>IF(RIGHT(H1508,2)&lt;&gt;"00",H1508,"")</f>
        <v/>
      </c>
      <c r="Y1508" s="2">
        <f ca="1">NETWORKDAYS(P1508,$Y$1)</f>
        <v>11</v>
      </c>
      <c r="Z1508" s="14">
        <v>1</v>
      </c>
      <c r="AA1508" s="1" t="str">
        <f t="shared" ca="1" si="115"/>
        <v>VENCIDO</v>
      </c>
      <c r="AB1508" s="1" t="str">
        <f t="shared" si="116"/>
        <v>C-14</v>
      </c>
      <c r="AC1508" s="2" t="str">
        <f t="shared" si="117"/>
        <v xml:space="preserve"> CLEITON </v>
      </c>
      <c r="AD1508" s="2">
        <f t="shared" si="118"/>
        <v>15</v>
      </c>
      <c r="AE1508" s="2">
        <f t="shared" ca="1" si="119"/>
        <v>-7.0304383101829444</v>
      </c>
    </row>
    <row r="1509" spans="1:31" hidden="1">
      <c r="A1509" s="1">
        <v>9485824</v>
      </c>
      <c r="B1509" s="1" t="s">
        <v>1153</v>
      </c>
      <c r="C1509" t="s">
        <v>3361</v>
      </c>
      <c r="D1509" s="2">
        <v>20234844000471</v>
      </c>
      <c r="E1509" s="2">
        <v>7417193471242</v>
      </c>
      <c r="F1509" s="1" t="s">
        <v>2698</v>
      </c>
      <c r="G1509" s="1" t="s">
        <v>53</v>
      </c>
      <c r="H1509" s="1" t="s">
        <v>827</v>
      </c>
      <c r="I1509" s="1" t="s">
        <v>828</v>
      </c>
      <c r="J1509" s="1" t="s">
        <v>46</v>
      </c>
      <c r="K1509" t="s">
        <v>2701</v>
      </c>
      <c r="M1509" s="1" t="s">
        <v>58</v>
      </c>
      <c r="N1509" s="1">
        <v>0</v>
      </c>
      <c r="O1509" s="1" t="s">
        <v>105</v>
      </c>
      <c r="P1509" s="11" t="s">
        <v>3362</v>
      </c>
      <c r="R1509" s="1">
        <v>13</v>
      </c>
      <c r="S1509" s="1">
        <v>4804</v>
      </c>
      <c r="T1509" s="1" t="s">
        <v>238</v>
      </c>
      <c r="U1509" s="11" t="s">
        <v>3362</v>
      </c>
      <c r="V1509" s="1" t="s">
        <v>41</v>
      </c>
      <c r="W1509" s="1" t="s">
        <v>49</v>
      </c>
      <c r="X1509" s="13" t="str">
        <f>IF(RIGHT(H1509,2)&lt;&gt;"00",H1509,"")</f>
        <v>0007.65</v>
      </c>
      <c r="Y1509" s="2">
        <f ca="1">NETWORKDAYS(P1509,$Y$1)</f>
        <v>11</v>
      </c>
      <c r="Z1509" s="14">
        <v>1</v>
      </c>
      <c r="AA1509" s="1" t="str">
        <f t="shared" ca="1" si="115"/>
        <v>VENCIDO</v>
      </c>
      <c r="AB1509" s="1" t="str">
        <f t="shared" si="116"/>
        <v>TAAe+</v>
      </c>
      <c r="AC1509" s="2" t="str">
        <f t="shared" si="117"/>
        <v xml:space="preserve"> CLEITON </v>
      </c>
      <c r="AD1509" s="2">
        <f t="shared" si="118"/>
        <v>8</v>
      </c>
      <c r="AE1509" s="2">
        <f t="shared" ca="1" si="119"/>
        <v>-14.24703553240397</v>
      </c>
    </row>
    <row r="1510" spans="1:31" hidden="1">
      <c r="A1510" s="1">
        <v>9485808</v>
      </c>
      <c r="B1510" s="1" t="s">
        <v>1153</v>
      </c>
      <c r="C1510" t="s">
        <v>3363</v>
      </c>
      <c r="D1510" s="2">
        <v>20233924000005</v>
      </c>
      <c r="E1510" s="2">
        <v>7419152462780</v>
      </c>
      <c r="F1510" s="1" t="s">
        <v>2744</v>
      </c>
      <c r="G1510" s="1" t="s">
        <v>53</v>
      </c>
      <c r="H1510" s="1" t="s">
        <v>153</v>
      </c>
      <c r="I1510" s="1" t="s">
        <v>154</v>
      </c>
      <c r="J1510" s="1" t="s">
        <v>56</v>
      </c>
      <c r="K1510" t="s">
        <v>2745</v>
      </c>
      <c r="M1510" s="1" t="s">
        <v>58</v>
      </c>
      <c r="N1510" s="1">
        <v>0</v>
      </c>
      <c r="O1510" s="1" t="s">
        <v>36</v>
      </c>
      <c r="P1510" s="11" t="s">
        <v>3364</v>
      </c>
      <c r="R1510" s="1">
        <v>22</v>
      </c>
      <c r="T1510" s="1" t="s">
        <v>1160</v>
      </c>
      <c r="U1510" s="11" t="s">
        <v>3365</v>
      </c>
      <c r="V1510" s="1" t="s">
        <v>41</v>
      </c>
      <c r="W1510" s="1" t="s">
        <v>49</v>
      </c>
      <c r="X1510" s="13" t="str">
        <f>IF(RIGHT(H1510,2)&lt;&gt;"00",H1510,"")</f>
        <v/>
      </c>
      <c r="Y1510" s="2">
        <f ca="1">NETWORKDAYS(P1510,$Y$1)</f>
        <v>11</v>
      </c>
      <c r="Z1510" s="14">
        <v>1</v>
      </c>
      <c r="AA1510" s="1" t="str">
        <f t="shared" ca="1" si="115"/>
        <v>VENCIDO</v>
      </c>
      <c r="AB1510" s="1" t="str">
        <f t="shared" si="116"/>
        <v>TAAe+</v>
      </c>
      <c r="AC1510" s="2" t="str">
        <f t="shared" si="117"/>
        <v xml:space="preserve"> CRISTINA </v>
      </c>
      <c r="AD1510" s="2">
        <f t="shared" si="118"/>
        <v>8</v>
      </c>
      <c r="AE1510" s="2">
        <f t="shared" ca="1" si="119"/>
        <v>-12.042579513887176</v>
      </c>
    </row>
    <row r="1511" spans="1:31">
      <c r="A1511" s="181">
        <v>9485767</v>
      </c>
      <c r="B1511" s="181" t="s">
        <v>1153</v>
      </c>
      <c r="C1511" s="182" t="s">
        <v>3655</v>
      </c>
      <c r="D1511" s="183"/>
      <c r="E1511" s="183">
        <v>9705000206205</v>
      </c>
      <c r="F1511" s="181" t="s">
        <v>208</v>
      </c>
      <c r="G1511" s="181" t="s">
        <v>53</v>
      </c>
      <c r="H1511" s="181" t="s">
        <v>204</v>
      </c>
      <c r="I1511" s="181" t="s">
        <v>205</v>
      </c>
      <c r="J1511" s="181" t="s">
        <v>90</v>
      </c>
      <c r="K1511" t="s">
        <v>212</v>
      </c>
      <c r="M1511" s="1" t="s">
        <v>35</v>
      </c>
      <c r="N1511" s="1">
        <v>42318949</v>
      </c>
      <c r="O1511" s="1" t="s">
        <v>36</v>
      </c>
      <c r="P1511" s="11" t="s">
        <v>3369</v>
      </c>
      <c r="R1511" s="1" t="s">
        <v>38</v>
      </c>
      <c r="T1511" s="1" t="s">
        <v>74</v>
      </c>
      <c r="U1511" s="11" t="s">
        <v>3641</v>
      </c>
      <c r="V1511" s="1" t="s">
        <v>41</v>
      </c>
      <c r="W1511" s="1" t="s">
        <v>49</v>
      </c>
      <c r="X1511" s="13" t="str">
        <f>IF(RIGHT(H1511,2)&lt;&gt;"00",H1511,"")</f>
        <v/>
      </c>
      <c r="Y1511" s="2">
        <f ca="1">NETWORKDAYS(P1511,$Y$1)</f>
        <v>11</v>
      </c>
      <c r="Z1511" s="14">
        <v>1</v>
      </c>
      <c r="AA1511" s="1" t="str">
        <f t="shared" ca="1" si="115"/>
        <v>VENCIDO</v>
      </c>
      <c r="AB1511" s="1" t="str">
        <f t="shared" si="116"/>
        <v>TAAe+</v>
      </c>
      <c r="AC1511" s="2" t="str">
        <f t="shared" si="117"/>
        <v xml:space="preserve"> RINALDO </v>
      </c>
      <c r="AD1511" s="2">
        <f t="shared" si="118"/>
        <v>8</v>
      </c>
      <c r="AE1511" s="2">
        <f t="shared" ca="1" si="119"/>
        <v>-6.0686327546281973</v>
      </c>
    </row>
    <row r="1512" spans="1:31" hidden="1">
      <c r="A1512" s="1">
        <v>9485713</v>
      </c>
      <c r="B1512" s="1" t="s">
        <v>1153</v>
      </c>
      <c r="C1512" t="s">
        <v>3370</v>
      </c>
      <c r="D1512" s="2">
        <v>20230922000027</v>
      </c>
      <c r="E1512" s="2">
        <v>7417161482288</v>
      </c>
      <c r="F1512" s="1" t="s">
        <v>1979</v>
      </c>
      <c r="G1512" s="1" t="s">
        <v>53</v>
      </c>
      <c r="H1512" s="1" t="s">
        <v>2410</v>
      </c>
      <c r="I1512" s="1" t="s">
        <v>2411</v>
      </c>
      <c r="J1512" s="1" t="s">
        <v>261</v>
      </c>
      <c r="K1512" t="s">
        <v>1982</v>
      </c>
      <c r="M1512" s="1" t="s">
        <v>58</v>
      </c>
      <c r="N1512" s="1">
        <v>0</v>
      </c>
      <c r="O1512" s="1" t="s">
        <v>36</v>
      </c>
      <c r="P1512" s="11" t="s">
        <v>3371</v>
      </c>
      <c r="R1512" s="1">
        <v>14</v>
      </c>
      <c r="T1512" s="1" t="s">
        <v>238</v>
      </c>
      <c r="U1512" s="11" t="s">
        <v>3371</v>
      </c>
      <c r="V1512" s="1" t="s">
        <v>41</v>
      </c>
      <c r="W1512" s="1" t="s">
        <v>49</v>
      </c>
      <c r="X1512" s="13" t="str">
        <f>IF(RIGHT(H1512,2)&lt;&gt;"00",H1512,"")</f>
        <v>0922.91</v>
      </c>
      <c r="Y1512" s="2">
        <f ca="1">NETWORKDAYS(P1512,$Y$1)</f>
        <v>11</v>
      </c>
      <c r="Z1512" s="14">
        <v>1</v>
      </c>
      <c r="AA1512" s="1" t="str">
        <f t="shared" ca="1" si="115"/>
        <v>VENCIDO</v>
      </c>
      <c r="AB1512" s="1" t="str">
        <f t="shared" si="116"/>
        <v>TAAe+</v>
      </c>
      <c r="AC1512" s="2" t="str">
        <f t="shared" si="117"/>
        <v xml:space="preserve"> CRISTINA </v>
      </c>
      <c r="AD1512" s="2">
        <f t="shared" si="118"/>
        <v>8</v>
      </c>
      <c r="AE1512" s="2">
        <f t="shared" ca="1" si="119"/>
        <v>-14.253702199071995</v>
      </c>
    </row>
    <row r="1513" spans="1:31" hidden="1">
      <c r="A1513" s="1">
        <v>9485709</v>
      </c>
      <c r="B1513" s="1" t="s">
        <v>1153</v>
      </c>
      <c r="C1513" t="s">
        <v>3372</v>
      </c>
      <c r="D1513" s="2">
        <v>20230922000026</v>
      </c>
      <c r="E1513" s="2">
        <v>7417183020103</v>
      </c>
      <c r="F1513" s="1" t="s">
        <v>1313</v>
      </c>
      <c r="G1513" s="1" t="s">
        <v>53</v>
      </c>
      <c r="H1513" s="1" t="s">
        <v>2410</v>
      </c>
      <c r="I1513" s="1" t="s">
        <v>2411</v>
      </c>
      <c r="J1513" s="1" t="s">
        <v>261</v>
      </c>
      <c r="K1513" t="s">
        <v>1316</v>
      </c>
      <c r="M1513" s="1" t="s">
        <v>58</v>
      </c>
      <c r="N1513" s="1">
        <v>0</v>
      </c>
      <c r="O1513" s="1" t="s">
        <v>36</v>
      </c>
      <c r="P1513" s="11" t="s">
        <v>3373</v>
      </c>
      <c r="R1513" s="1">
        <v>14</v>
      </c>
      <c r="T1513" s="1" t="s">
        <v>238</v>
      </c>
      <c r="U1513" s="11" t="s">
        <v>3373</v>
      </c>
      <c r="V1513" s="1" t="s">
        <v>41</v>
      </c>
      <c r="W1513" s="1" t="s">
        <v>49</v>
      </c>
      <c r="X1513" s="13" t="str">
        <f>IF(RIGHT(H1513,2)&lt;&gt;"00",H1513,"")</f>
        <v>0922.91</v>
      </c>
      <c r="Y1513" s="2">
        <f ca="1">NETWORKDAYS(P1513,$Y$1)</f>
        <v>11</v>
      </c>
      <c r="Z1513" s="14">
        <v>1</v>
      </c>
      <c r="AA1513" s="1" t="str">
        <f t="shared" ca="1" si="115"/>
        <v>VENCIDO</v>
      </c>
      <c r="AB1513" s="1" t="str">
        <f t="shared" si="116"/>
        <v>TAAe+</v>
      </c>
      <c r="AC1513" s="2" t="str">
        <f t="shared" si="117"/>
        <v xml:space="preserve"> CRISTINA </v>
      </c>
      <c r="AD1513" s="2">
        <f t="shared" si="118"/>
        <v>8</v>
      </c>
      <c r="AE1513" s="2">
        <f t="shared" ca="1" si="119"/>
        <v>-14.254720717595774</v>
      </c>
    </row>
    <row r="1514" spans="1:31" hidden="1">
      <c r="A1514" s="1">
        <v>9485644</v>
      </c>
      <c r="B1514" s="1" t="s">
        <v>1153</v>
      </c>
      <c r="C1514" t="s">
        <v>3374</v>
      </c>
      <c r="D1514" s="2">
        <v>20234844000470</v>
      </c>
      <c r="E1514" s="2">
        <v>7417183020646</v>
      </c>
      <c r="F1514" s="1" t="s">
        <v>1313</v>
      </c>
      <c r="G1514" s="1" t="s">
        <v>53</v>
      </c>
      <c r="H1514" s="1" t="s">
        <v>2883</v>
      </c>
      <c r="I1514" s="1" t="s">
        <v>2884</v>
      </c>
      <c r="J1514" s="1" t="s">
        <v>46</v>
      </c>
      <c r="K1514" t="s">
        <v>1316</v>
      </c>
      <c r="M1514" s="1" t="s">
        <v>58</v>
      </c>
      <c r="N1514" s="1">
        <v>0</v>
      </c>
      <c r="O1514" s="1" t="s">
        <v>36</v>
      </c>
      <c r="P1514" s="11" t="s">
        <v>3375</v>
      </c>
      <c r="R1514" s="1">
        <v>13</v>
      </c>
      <c r="T1514" s="1" t="s">
        <v>238</v>
      </c>
      <c r="U1514" s="11" t="s">
        <v>3375</v>
      </c>
      <c r="V1514" s="1" t="s">
        <v>41</v>
      </c>
      <c r="W1514" s="1" t="s">
        <v>49</v>
      </c>
      <c r="X1514" s="13" t="str">
        <f>IF(RIGHT(H1514,2)&lt;&gt;"00",H1514,"")</f>
        <v>4844.11</v>
      </c>
      <c r="Y1514" s="2">
        <f ca="1">NETWORKDAYS(P1514,$Y$1)</f>
        <v>11</v>
      </c>
      <c r="Z1514" s="14">
        <v>1</v>
      </c>
      <c r="AA1514" s="1" t="str">
        <f t="shared" ca="1" si="115"/>
        <v>VENCIDO</v>
      </c>
      <c r="AB1514" s="1" t="str">
        <f t="shared" si="116"/>
        <v>TAAe+</v>
      </c>
      <c r="AC1514" s="2" t="str">
        <f t="shared" si="117"/>
        <v xml:space="preserve"> CLEITON </v>
      </c>
      <c r="AD1514" s="2">
        <f t="shared" si="118"/>
        <v>8</v>
      </c>
      <c r="AE1514" s="2">
        <f t="shared" ca="1" si="119"/>
        <v>-14.269292476848932</v>
      </c>
    </row>
    <row r="1515" spans="1:31" hidden="1">
      <c r="A1515" s="1">
        <v>9485633</v>
      </c>
      <c r="B1515" s="1" t="s">
        <v>1153</v>
      </c>
      <c r="C1515" t="s">
        <v>3376</v>
      </c>
      <c r="D1515" s="2">
        <v>20230220000019</v>
      </c>
      <c r="E1515" s="2">
        <v>7419141892914</v>
      </c>
      <c r="F1515" s="1" t="s">
        <v>128</v>
      </c>
      <c r="G1515" s="1" t="s">
        <v>53</v>
      </c>
      <c r="H1515" s="1" t="s">
        <v>2030</v>
      </c>
      <c r="I1515" s="1" t="s">
        <v>2031</v>
      </c>
      <c r="J1515" s="1" t="s">
        <v>110</v>
      </c>
      <c r="K1515" t="s">
        <v>129</v>
      </c>
      <c r="M1515" s="1" t="s">
        <v>58</v>
      </c>
      <c r="N1515" s="1">
        <v>0</v>
      </c>
      <c r="O1515" s="1" t="s">
        <v>105</v>
      </c>
      <c r="P1515" s="11" t="s">
        <v>3377</v>
      </c>
      <c r="R1515" s="1">
        <v>14</v>
      </c>
      <c r="T1515" s="1" t="s">
        <v>238</v>
      </c>
      <c r="U1515" s="11" t="s">
        <v>3377</v>
      </c>
      <c r="V1515" s="1" t="s">
        <v>41</v>
      </c>
      <c r="W1515" s="1" t="s">
        <v>49</v>
      </c>
      <c r="X1515" s="13" t="str">
        <f>IF(RIGHT(H1515,2)&lt;&gt;"00",H1515,"")</f>
        <v>0220.91</v>
      </c>
      <c r="Y1515" s="2">
        <f ca="1">NETWORKDAYS(P1515,$Y$1)</f>
        <v>11</v>
      </c>
      <c r="Z1515" s="14">
        <v>1</v>
      </c>
      <c r="AA1515" s="1" t="str">
        <f t="shared" ca="1" si="115"/>
        <v>VENCIDO</v>
      </c>
      <c r="AB1515" s="1" t="str">
        <f t="shared" si="116"/>
        <v>TAAe+</v>
      </c>
      <c r="AC1515" s="2" t="str">
        <f t="shared" si="117"/>
        <v xml:space="preserve"> CRISTINA </v>
      </c>
      <c r="AD1515" s="2">
        <f t="shared" si="118"/>
        <v>8</v>
      </c>
      <c r="AE1515" s="2">
        <f t="shared" ca="1" si="119"/>
        <v>-14.268540162040154</v>
      </c>
    </row>
    <row r="1516" spans="1:31" hidden="1">
      <c r="A1516" s="1">
        <v>9485521</v>
      </c>
      <c r="B1516" s="1" t="s">
        <v>1153</v>
      </c>
      <c r="C1516" t="s">
        <v>3378</v>
      </c>
      <c r="E1516" s="2">
        <v>2039000206001</v>
      </c>
      <c r="F1516" s="1" t="s">
        <v>29</v>
      </c>
      <c r="G1516" s="1" t="s">
        <v>53</v>
      </c>
      <c r="H1516" s="1" t="s">
        <v>1943</v>
      </c>
      <c r="I1516" s="1" t="s">
        <v>1944</v>
      </c>
      <c r="J1516" s="1" t="s">
        <v>110</v>
      </c>
      <c r="K1516" t="s">
        <v>34</v>
      </c>
      <c r="M1516" s="1" t="s">
        <v>35</v>
      </c>
      <c r="N1516" s="1">
        <v>42318949</v>
      </c>
      <c r="O1516" s="1" t="s">
        <v>36</v>
      </c>
      <c r="P1516" s="11" t="s">
        <v>3379</v>
      </c>
      <c r="R1516" s="1" t="s">
        <v>38</v>
      </c>
      <c r="T1516" s="1" t="s">
        <v>74</v>
      </c>
      <c r="U1516" s="11" t="s">
        <v>3044</v>
      </c>
      <c r="V1516" s="1" t="s">
        <v>41</v>
      </c>
      <c r="W1516" s="1" t="s">
        <v>49</v>
      </c>
      <c r="X1516" s="13" t="str">
        <f>IF(RIGHT(H1516,2)&lt;&gt;"00",H1516,"")</f>
        <v/>
      </c>
      <c r="Y1516" s="2">
        <f ca="1">NETWORKDAYS(P1516,$Y$1)</f>
        <v>11</v>
      </c>
      <c r="Z1516" s="14">
        <v>1</v>
      </c>
      <c r="AA1516" s="1" t="str">
        <f t="shared" ca="1" si="115"/>
        <v>VENCIDO</v>
      </c>
      <c r="AB1516" s="1" t="str">
        <f t="shared" si="116"/>
        <v>Dosa</v>
      </c>
      <c r="AC1516" s="2" t="str">
        <f t="shared" si="117"/>
        <v xml:space="preserve"> CRISTINA </v>
      </c>
      <c r="AD1516" s="2">
        <f t="shared" si="118"/>
        <v>5</v>
      </c>
      <c r="AE1516" s="2">
        <f t="shared" ca="1" si="119"/>
        <v>-1.9679383101829444</v>
      </c>
    </row>
    <row r="1517" spans="1:31">
      <c r="A1517" s="181">
        <v>9485253</v>
      </c>
      <c r="B1517" s="181" t="s">
        <v>1153</v>
      </c>
      <c r="C1517" s="182" t="s">
        <v>3549</v>
      </c>
      <c r="D1517" s="183">
        <v>20232699000016</v>
      </c>
      <c r="E1517" s="183">
        <v>7419141894741</v>
      </c>
      <c r="F1517" s="181" t="s">
        <v>128</v>
      </c>
      <c r="G1517" s="181" t="s">
        <v>53</v>
      </c>
      <c r="H1517" s="181" t="s">
        <v>2070</v>
      </c>
      <c r="I1517" s="181" t="s">
        <v>2071</v>
      </c>
      <c r="J1517" s="181" t="s">
        <v>148</v>
      </c>
      <c r="K1517" t="s">
        <v>129</v>
      </c>
      <c r="M1517" s="1" t="s">
        <v>58</v>
      </c>
      <c r="N1517" s="1">
        <v>0</v>
      </c>
      <c r="O1517" s="1" t="s">
        <v>36</v>
      </c>
      <c r="P1517" s="11" t="s">
        <v>3391</v>
      </c>
      <c r="R1517" s="1">
        <v>14</v>
      </c>
      <c r="T1517" s="1" t="s">
        <v>238</v>
      </c>
      <c r="U1517" s="11" t="s">
        <v>3392</v>
      </c>
      <c r="V1517" s="1" t="s">
        <v>41</v>
      </c>
      <c r="W1517" s="1" t="s">
        <v>49</v>
      </c>
      <c r="X1517" s="13" t="str">
        <f>IF(RIGHT(H1517,2)&lt;&gt;"00",H1517,"")</f>
        <v>2699.91</v>
      </c>
      <c r="Y1517" s="2">
        <f ca="1">NETWORKDAYS(P1517,$Y$1)</f>
        <v>11</v>
      </c>
      <c r="Z1517" s="14">
        <v>1</v>
      </c>
      <c r="AA1517" s="1" t="str">
        <f t="shared" ca="1" si="115"/>
        <v>VENCIDO</v>
      </c>
      <c r="AB1517" s="1" t="str">
        <f t="shared" si="116"/>
        <v>TAAe+</v>
      </c>
      <c r="AC1517" s="2" t="str">
        <f t="shared" si="117"/>
        <v xml:space="preserve"> RINALDO </v>
      </c>
      <c r="AD1517" s="2">
        <f t="shared" si="118"/>
        <v>8</v>
      </c>
      <c r="AE1517" s="2">
        <f t="shared" ca="1" si="119"/>
        <v>-14.280438310182944</v>
      </c>
    </row>
    <row r="1518" spans="1:31">
      <c r="A1518" s="181">
        <v>9491876</v>
      </c>
      <c r="B1518" s="181" t="s">
        <v>1153</v>
      </c>
      <c r="C1518" s="182" t="s">
        <v>3656</v>
      </c>
      <c r="D1518" s="183">
        <v>20230068000023</v>
      </c>
      <c r="E1518" s="183">
        <v>7417161480595</v>
      </c>
      <c r="F1518" s="181" t="s">
        <v>1979</v>
      </c>
      <c r="G1518" s="181" t="s">
        <v>53</v>
      </c>
      <c r="H1518" s="181" t="s">
        <v>2623</v>
      </c>
      <c r="I1518" s="181" t="s">
        <v>2624</v>
      </c>
      <c r="J1518" s="181" t="s">
        <v>211</v>
      </c>
      <c r="K1518" t="s">
        <v>1982</v>
      </c>
      <c r="M1518" s="1" t="s">
        <v>58</v>
      </c>
      <c r="N1518" s="1">
        <v>0</v>
      </c>
      <c r="O1518" s="1" t="s">
        <v>105</v>
      </c>
      <c r="P1518" s="12">
        <v>44973.741956018515</v>
      </c>
      <c r="R1518" s="1">
        <v>14</v>
      </c>
      <c r="T1518" s="1" t="s">
        <v>238</v>
      </c>
      <c r="U1518" s="12">
        <v>44974.395833333336</v>
      </c>
      <c r="V1518" s="1" t="s">
        <v>41</v>
      </c>
      <c r="W1518" s="1" t="s">
        <v>49</v>
      </c>
      <c r="X1518" s="13" t="str">
        <f>IF(RIGHT(H1518,2)&lt;&gt;"00",H1518,"")</f>
        <v>0068.91</v>
      </c>
      <c r="Y1518" s="2">
        <f ca="1">NETWORKDAYS(P1518,$Y$1)</f>
        <v>10</v>
      </c>
      <c r="Z1518" s="14">
        <v>1</v>
      </c>
      <c r="AA1518" s="1" t="str">
        <f t="shared" ca="1" si="115"/>
        <v>VENCIDO</v>
      </c>
      <c r="AB1518" s="1" t="str">
        <f t="shared" si="116"/>
        <v>TAAe+</v>
      </c>
      <c r="AC1518" s="2" t="str">
        <f t="shared" si="117"/>
        <v xml:space="preserve"> RINALDO </v>
      </c>
      <c r="AD1518" s="2">
        <f t="shared" si="118"/>
        <v>8</v>
      </c>
      <c r="AE1518" s="2">
        <f t="shared" ca="1" si="119"/>
        <v>-12.280438310182944</v>
      </c>
    </row>
    <row r="1519" spans="1:31" hidden="1">
      <c r="A1519" s="1">
        <v>9491818</v>
      </c>
      <c r="B1519" s="1" t="s">
        <v>1153</v>
      </c>
      <c r="C1519" t="s">
        <v>3657</v>
      </c>
      <c r="D1519" s="2">
        <v>20234844000492</v>
      </c>
      <c r="E1519" s="2">
        <v>7419143322538</v>
      </c>
      <c r="F1519" s="1" t="s">
        <v>1222</v>
      </c>
      <c r="G1519" s="1" t="s">
        <v>53</v>
      </c>
      <c r="H1519" s="1" t="s">
        <v>2357</v>
      </c>
      <c r="I1519" s="1" t="s">
        <v>2358</v>
      </c>
      <c r="J1519" s="1" t="s">
        <v>46</v>
      </c>
      <c r="K1519" t="s">
        <v>1223</v>
      </c>
      <c r="M1519" s="1" t="s">
        <v>58</v>
      </c>
      <c r="N1519" s="1">
        <v>0</v>
      </c>
      <c r="O1519" s="1" t="s">
        <v>105</v>
      </c>
      <c r="P1519" s="12">
        <v>44973.723819444444</v>
      </c>
      <c r="R1519" s="1">
        <v>13</v>
      </c>
      <c r="T1519" s="1" t="s">
        <v>238</v>
      </c>
      <c r="U1519" s="12">
        <v>44974.395833333336</v>
      </c>
      <c r="V1519" s="1" t="s">
        <v>41</v>
      </c>
      <c r="W1519" s="1" t="s">
        <v>49</v>
      </c>
      <c r="X1519" s="13" t="str">
        <f>IF(RIGHT(H1519,2)&lt;&gt;"00",H1519,"")</f>
        <v>4844.12</v>
      </c>
      <c r="Y1519" s="2">
        <f ca="1">NETWORKDAYS(P1519,$Y$1)</f>
        <v>10</v>
      </c>
      <c r="Z1519" s="14">
        <v>1</v>
      </c>
      <c r="AA1519" s="1" t="str">
        <f t="shared" ca="1" si="115"/>
        <v>VENCIDO</v>
      </c>
      <c r="AB1519" s="1" t="str">
        <f t="shared" si="116"/>
        <v>TAAe+</v>
      </c>
      <c r="AC1519" s="2" t="str">
        <f t="shared" si="117"/>
        <v xml:space="preserve"> CLEITON </v>
      </c>
      <c r="AD1519" s="2">
        <f t="shared" si="118"/>
        <v>8</v>
      </c>
      <c r="AE1519" s="2">
        <f t="shared" ca="1" si="119"/>
        <v>-12.280438310182944</v>
      </c>
    </row>
    <row r="1520" spans="1:31">
      <c r="A1520" s="181">
        <v>9491795</v>
      </c>
      <c r="B1520" s="181" t="s">
        <v>1153</v>
      </c>
      <c r="C1520" s="185" t="s">
        <v>3658</v>
      </c>
      <c r="D1520" s="183"/>
      <c r="E1520" s="183">
        <v>605000206001</v>
      </c>
      <c r="F1520" s="181" t="s">
        <v>29</v>
      </c>
      <c r="G1520" s="181" t="s">
        <v>53</v>
      </c>
      <c r="H1520" s="181" t="s">
        <v>420</v>
      </c>
      <c r="I1520" s="181" t="s">
        <v>421</v>
      </c>
      <c r="J1520" s="181" t="s">
        <v>90</v>
      </c>
      <c r="K1520" t="s">
        <v>34</v>
      </c>
      <c r="M1520" s="1" t="s">
        <v>35</v>
      </c>
      <c r="N1520" s="1">
        <v>42318949</v>
      </c>
      <c r="O1520" s="1" t="s">
        <v>36</v>
      </c>
      <c r="P1520" s="12">
        <v>44973.729594907411</v>
      </c>
      <c r="R1520" s="1" t="s">
        <v>38</v>
      </c>
      <c r="T1520" s="1" t="s">
        <v>74</v>
      </c>
      <c r="U1520" s="12">
        <v>44984.607638888891</v>
      </c>
      <c r="V1520" s="1" t="s">
        <v>41</v>
      </c>
      <c r="W1520" s="1" t="s">
        <v>49</v>
      </c>
      <c r="X1520" s="13" t="str">
        <f>IF(RIGHT(H1520,2)&lt;&gt;"00",H1520,"")</f>
        <v/>
      </c>
      <c r="Y1520" s="2">
        <f ca="1">NETWORKDAYS(P1520,$Y$1)</f>
        <v>10</v>
      </c>
      <c r="Z1520" s="14">
        <v>1</v>
      </c>
      <c r="AA1520" s="1" t="str">
        <f t="shared" ca="1" si="115"/>
        <v>VENCIDO</v>
      </c>
      <c r="AB1520" s="1" t="str">
        <f t="shared" si="116"/>
        <v>Dosa</v>
      </c>
      <c r="AC1520" s="2" t="str">
        <f t="shared" si="117"/>
        <v xml:space="preserve"> RINALDO </v>
      </c>
      <c r="AD1520" s="2">
        <f t="shared" si="118"/>
        <v>5</v>
      </c>
      <c r="AE1520" s="2">
        <f t="shared" ca="1" si="119"/>
        <v>-2.0686327546281973</v>
      </c>
    </row>
    <row r="1521" spans="1:31" hidden="1">
      <c r="A1521" s="1">
        <v>9491788</v>
      </c>
      <c r="B1521" s="1" t="s">
        <v>1153</v>
      </c>
      <c r="C1521" t="s">
        <v>3659</v>
      </c>
      <c r="D1521" s="2">
        <v>20231058000005</v>
      </c>
      <c r="E1521" s="2">
        <v>7419141894825</v>
      </c>
      <c r="F1521" s="1" t="s">
        <v>128</v>
      </c>
      <c r="G1521" s="1" t="s">
        <v>53</v>
      </c>
      <c r="H1521" s="1" t="s">
        <v>3660</v>
      </c>
      <c r="I1521" s="1" t="s">
        <v>3661</v>
      </c>
      <c r="J1521" s="1" t="s">
        <v>56</v>
      </c>
      <c r="K1521" t="s">
        <v>129</v>
      </c>
      <c r="M1521" s="1" t="s">
        <v>58</v>
      </c>
      <c r="N1521" s="1">
        <v>0</v>
      </c>
      <c r="O1521" s="1" t="s">
        <v>105</v>
      </c>
      <c r="P1521" s="12">
        <v>44973.718807870369</v>
      </c>
      <c r="R1521" s="1">
        <v>14</v>
      </c>
      <c r="T1521" s="1" t="s">
        <v>238</v>
      </c>
      <c r="U1521" s="12">
        <v>44974.395833333336</v>
      </c>
      <c r="V1521" s="1" t="s">
        <v>41</v>
      </c>
      <c r="W1521" s="1" t="s">
        <v>49</v>
      </c>
      <c r="X1521" s="13" t="str">
        <f>IF(RIGHT(H1521,2)&lt;&gt;"00",H1521,"")</f>
        <v>1058.91</v>
      </c>
      <c r="Y1521" s="2">
        <f ca="1">NETWORKDAYS(P1521,$Y$1)</f>
        <v>10</v>
      </c>
      <c r="Z1521" s="14">
        <v>1</v>
      </c>
      <c r="AA1521" s="1" t="str">
        <f t="shared" ca="1" si="115"/>
        <v>VENCIDO</v>
      </c>
      <c r="AB1521" s="1" t="str">
        <f t="shared" si="116"/>
        <v>TAAe+</v>
      </c>
      <c r="AC1521" s="2" t="str">
        <f t="shared" si="117"/>
        <v xml:space="preserve"> CRISTINA </v>
      </c>
      <c r="AD1521" s="2">
        <f t="shared" si="118"/>
        <v>8</v>
      </c>
      <c r="AE1521" s="2">
        <f t="shared" ca="1" si="119"/>
        <v>-12.280438310182944</v>
      </c>
    </row>
    <row r="1522" spans="1:31">
      <c r="A1522" s="181">
        <v>9491727</v>
      </c>
      <c r="B1522" s="181" t="s">
        <v>1153</v>
      </c>
      <c r="C1522" s="185" t="s">
        <v>3662</v>
      </c>
      <c r="D1522" s="183">
        <v>20230600000010</v>
      </c>
      <c r="E1522" s="183">
        <v>7417172780612</v>
      </c>
      <c r="F1522" s="181" t="s">
        <v>1989</v>
      </c>
      <c r="G1522" s="181" t="s">
        <v>53</v>
      </c>
      <c r="H1522" s="181" t="s">
        <v>1084</v>
      </c>
      <c r="I1522" s="181" t="s">
        <v>1085</v>
      </c>
      <c r="J1522" s="181" t="s">
        <v>90</v>
      </c>
      <c r="K1522" t="s">
        <v>1990</v>
      </c>
      <c r="M1522" s="1" t="s">
        <v>58</v>
      </c>
      <c r="N1522" s="1">
        <v>0</v>
      </c>
      <c r="O1522" s="1" t="s">
        <v>105</v>
      </c>
      <c r="P1522" s="12">
        <v>44973.708252314813</v>
      </c>
      <c r="R1522" s="1">
        <v>22</v>
      </c>
      <c r="T1522" s="1" t="s">
        <v>1160</v>
      </c>
      <c r="U1522" s="12">
        <v>44980.541585648149</v>
      </c>
      <c r="V1522" s="1" t="s">
        <v>41</v>
      </c>
      <c r="W1522" s="1" t="s">
        <v>49</v>
      </c>
      <c r="X1522" s="13" t="str">
        <f>IF(RIGHT(H1522,2)&lt;&gt;"00",H1522,"")</f>
        <v/>
      </c>
      <c r="Y1522" s="2">
        <f ca="1">NETWORKDAYS(P1522,$Y$1)</f>
        <v>10</v>
      </c>
      <c r="Z1522" s="14">
        <v>1</v>
      </c>
      <c r="AA1522" s="1" t="str">
        <f t="shared" ca="1" si="115"/>
        <v>VENCIDO</v>
      </c>
      <c r="AB1522" s="1" t="str">
        <f t="shared" si="116"/>
        <v>TAAe+</v>
      </c>
      <c r="AC1522" s="2" t="str">
        <f t="shared" si="117"/>
        <v xml:space="preserve"> RINALDO </v>
      </c>
      <c r="AD1522" s="2">
        <f t="shared" si="118"/>
        <v>8</v>
      </c>
      <c r="AE1522" s="2">
        <f t="shared" ca="1" si="119"/>
        <v>-6.1346859953700914</v>
      </c>
    </row>
    <row r="1523" spans="1:31">
      <c r="A1523" s="181">
        <v>9491726</v>
      </c>
      <c r="B1523" s="181" t="s">
        <v>1153</v>
      </c>
      <c r="C1523" s="185" t="s">
        <v>3662</v>
      </c>
      <c r="D1523" s="183">
        <v>20230600000009</v>
      </c>
      <c r="E1523" s="183">
        <v>7417172780624</v>
      </c>
      <c r="F1523" s="181" t="s">
        <v>1989</v>
      </c>
      <c r="G1523" s="181" t="s">
        <v>53</v>
      </c>
      <c r="H1523" s="181" t="s">
        <v>1084</v>
      </c>
      <c r="I1523" s="181" t="s">
        <v>1085</v>
      </c>
      <c r="J1523" s="181" t="s">
        <v>90</v>
      </c>
      <c r="K1523" t="s">
        <v>1990</v>
      </c>
      <c r="M1523" s="1" t="s">
        <v>58</v>
      </c>
      <c r="N1523" s="1">
        <v>0</v>
      </c>
      <c r="O1523" s="1" t="s">
        <v>105</v>
      </c>
      <c r="P1523" s="12">
        <v>44973.70784722222</v>
      </c>
      <c r="R1523" s="1">
        <v>22</v>
      </c>
      <c r="T1523" s="1" t="s">
        <v>1160</v>
      </c>
      <c r="U1523" s="12">
        <v>44980.541180555556</v>
      </c>
      <c r="V1523" s="1" t="s">
        <v>41</v>
      </c>
      <c r="W1523" s="1" t="s">
        <v>49</v>
      </c>
      <c r="X1523" s="13" t="str">
        <f>IF(RIGHT(H1523,2)&lt;&gt;"00",H1523,"")</f>
        <v/>
      </c>
      <c r="Y1523" s="2">
        <f ca="1">NETWORKDAYS(P1523,$Y$1)</f>
        <v>10</v>
      </c>
      <c r="Z1523" s="14">
        <v>1</v>
      </c>
      <c r="AA1523" s="1" t="str">
        <f t="shared" ca="1" si="115"/>
        <v>VENCIDO</v>
      </c>
      <c r="AB1523" s="1" t="str">
        <f t="shared" si="116"/>
        <v>TAAe+</v>
      </c>
      <c r="AC1523" s="2" t="str">
        <f t="shared" si="117"/>
        <v xml:space="preserve"> RINALDO </v>
      </c>
      <c r="AD1523" s="2">
        <f t="shared" si="118"/>
        <v>8</v>
      </c>
      <c r="AE1523" s="2">
        <f t="shared" ca="1" si="119"/>
        <v>-6.1350910879627918</v>
      </c>
    </row>
    <row r="1524" spans="1:31" hidden="1">
      <c r="A1524" s="1">
        <v>9491702</v>
      </c>
      <c r="B1524" s="1" t="s">
        <v>1153</v>
      </c>
      <c r="C1524" t="s">
        <v>3663</v>
      </c>
      <c r="E1524" s="2">
        <v>2081000203000</v>
      </c>
      <c r="F1524" s="1" t="s">
        <v>454</v>
      </c>
      <c r="G1524" s="1" t="s">
        <v>53</v>
      </c>
      <c r="H1524" s="1" t="s">
        <v>590</v>
      </c>
      <c r="I1524" s="1" t="s">
        <v>591</v>
      </c>
      <c r="J1524" s="1" t="s">
        <v>261</v>
      </c>
      <c r="K1524" t="s">
        <v>457</v>
      </c>
      <c r="M1524" s="1" t="s">
        <v>58</v>
      </c>
      <c r="N1524" s="1">
        <v>0</v>
      </c>
      <c r="O1524" s="1" t="s">
        <v>36</v>
      </c>
      <c r="P1524" s="12">
        <v>44973.708761574075</v>
      </c>
      <c r="R1524" s="1">
        <v>1</v>
      </c>
      <c r="T1524" s="1" t="s">
        <v>157</v>
      </c>
      <c r="U1524" s="12">
        <v>44974.708761574075</v>
      </c>
      <c r="V1524" s="1" t="s">
        <v>41</v>
      </c>
      <c r="W1524" s="1" t="s">
        <v>49</v>
      </c>
      <c r="X1524" s="13" t="str">
        <f>IF(RIGHT(H1524,2)&lt;&gt;"00",H1524,"")</f>
        <v/>
      </c>
      <c r="Y1524" s="2">
        <f ca="1">NETWORKDAYS(P1524,$Y$1)</f>
        <v>10</v>
      </c>
      <c r="Z1524" s="14">
        <v>1</v>
      </c>
      <c r="AA1524" s="1" t="str">
        <f t="shared" ca="1" si="115"/>
        <v>VENCIDO</v>
      </c>
      <c r="AB1524" s="1" t="str">
        <f t="shared" si="116"/>
        <v>C-14</v>
      </c>
      <c r="AC1524" s="2" t="str">
        <f t="shared" si="117"/>
        <v xml:space="preserve"> CRISTINA </v>
      </c>
      <c r="AD1524" s="2">
        <f t="shared" si="118"/>
        <v>5</v>
      </c>
      <c r="AE1524" s="2">
        <f t="shared" ca="1" si="119"/>
        <v>-11.967510069443961</v>
      </c>
    </row>
    <row r="1525" spans="1:31" hidden="1">
      <c r="A1525" s="1">
        <v>9491558</v>
      </c>
      <c r="B1525" s="1" t="s">
        <v>1153</v>
      </c>
      <c r="C1525" t="s">
        <v>3664</v>
      </c>
      <c r="E1525" s="2">
        <v>220000206001</v>
      </c>
      <c r="F1525" s="1" t="s">
        <v>29</v>
      </c>
      <c r="G1525" s="1" t="s">
        <v>53</v>
      </c>
      <c r="H1525" s="1" t="s">
        <v>588</v>
      </c>
      <c r="I1525" s="1" t="s">
        <v>589</v>
      </c>
      <c r="J1525" s="1" t="s">
        <v>110</v>
      </c>
      <c r="K1525" t="s">
        <v>34</v>
      </c>
      <c r="M1525" s="1" t="s">
        <v>35</v>
      </c>
      <c r="N1525" s="1">
        <v>42318949</v>
      </c>
      <c r="O1525" s="1" t="s">
        <v>36</v>
      </c>
      <c r="P1525" s="12">
        <v>44973.67759259259</v>
      </c>
      <c r="R1525" s="1" t="s">
        <v>38</v>
      </c>
      <c r="T1525" s="1" t="s">
        <v>74</v>
      </c>
      <c r="U1525" s="12">
        <v>44981.604166666664</v>
      </c>
      <c r="V1525" s="1" t="s">
        <v>41</v>
      </c>
      <c r="W1525" s="1" t="s">
        <v>49</v>
      </c>
      <c r="X1525" s="13" t="str">
        <f>IF(RIGHT(H1525,2)&lt;&gt;"00",H1525,"")</f>
        <v/>
      </c>
      <c r="Y1525" s="2">
        <f ca="1">NETWORKDAYS(P1525,$Y$1)</f>
        <v>10</v>
      </c>
      <c r="Z1525" s="14">
        <v>1</v>
      </c>
      <c r="AA1525" s="1" t="str">
        <f t="shared" ca="1" si="115"/>
        <v>VENCIDO</v>
      </c>
      <c r="AB1525" s="1" t="str">
        <f t="shared" si="116"/>
        <v>Dosa</v>
      </c>
      <c r="AC1525" s="2" t="str">
        <f t="shared" si="117"/>
        <v xml:space="preserve"> CRISTINA </v>
      </c>
      <c r="AD1525" s="2">
        <f t="shared" si="118"/>
        <v>5</v>
      </c>
      <c r="AE1525" s="2">
        <f t="shared" ca="1" si="119"/>
        <v>-5.0721049768544617</v>
      </c>
    </row>
    <row r="1526" spans="1:31" hidden="1">
      <c r="A1526" s="1">
        <v>9491548</v>
      </c>
      <c r="B1526" s="1" t="s">
        <v>1153</v>
      </c>
      <c r="C1526" t="s">
        <v>3665</v>
      </c>
      <c r="D1526" s="2">
        <v>20232335000005</v>
      </c>
      <c r="E1526" s="2">
        <v>7417163281728</v>
      </c>
      <c r="F1526" s="1" t="s">
        <v>131</v>
      </c>
      <c r="G1526" s="1" t="s">
        <v>53</v>
      </c>
      <c r="H1526" s="1" t="s">
        <v>2643</v>
      </c>
      <c r="I1526" s="1" t="s">
        <v>2644</v>
      </c>
      <c r="J1526" s="1" t="s">
        <v>110</v>
      </c>
      <c r="K1526" t="s">
        <v>132</v>
      </c>
      <c r="M1526" s="1" t="s">
        <v>58</v>
      </c>
      <c r="N1526" s="1">
        <v>0</v>
      </c>
      <c r="O1526" s="1" t="s">
        <v>36</v>
      </c>
      <c r="P1526" s="12">
        <v>44973.658506944441</v>
      </c>
      <c r="R1526" s="1">
        <v>14</v>
      </c>
      <c r="T1526" s="1" t="s">
        <v>238</v>
      </c>
      <c r="U1526" s="12">
        <v>44973.658506944441</v>
      </c>
      <c r="V1526" s="1" t="s">
        <v>41</v>
      </c>
      <c r="W1526" s="1" t="s">
        <v>49</v>
      </c>
      <c r="X1526" s="13" t="str">
        <f>IF(RIGHT(H1526,2)&lt;&gt;"00",H1526,"")</f>
        <v>2335.91</v>
      </c>
      <c r="Y1526" s="2">
        <f ca="1">NETWORKDAYS(P1526,$Y$1)</f>
        <v>10</v>
      </c>
      <c r="Z1526" s="14">
        <v>1</v>
      </c>
      <c r="AA1526" s="1" t="str">
        <f t="shared" ca="1" si="115"/>
        <v>VENCIDO</v>
      </c>
      <c r="AB1526" s="1" t="str">
        <f t="shared" si="116"/>
        <v>TAAe+</v>
      </c>
      <c r="AC1526" s="2" t="str">
        <f t="shared" si="117"/>
        <v xml:space="preserve"> CRISTINA </v>
      </c>
      <c r="AD1526" s="2">
        <f t="shared" si="118"/>
        <v>8</v>
      </c>
      <c r="AE1526" s="2">
        <f t="shared" ca="1" si="119"/>
        <v>-13.017764699077816</v>
      </c>
    </row>
    <row r="1527" spans="1:31" hidden="1">
      <c r="A1527" s="1">
        <v>9491463</v>
      </c>
      <c r="B1527" s="1" t="s">
        <v>1153</v>
      </c>
      <c r="C1527" t="s">
        <v>2703</v>
      </c>
      <c r="E1527" s="2">
        <v>1264000206001</v>
      </c>
      <c r="F1527" s="1" t="s">
        <v>29</v>
      </c>
      <c r="G1527" s="1" t="s">
        <v>53</v>
      </c>
      <c r="H1527" s="1" t="s">
        <v>351</v>
      </c>
      <c r="I1527" s="1" t="s">
        <v>352</v>
      </c>
      <c r="J1527" s="1" t="s">
        <v>110</v>
      </c>
      <c r="K1527" t="s">
        <v>34</v>
      </c>
      <c r="M1527" s="1" t="s">
        <v>35</v>
      </c>
      <c r="N1527" s="1">
        <v>42318949</v>
      </c>
      <c r="O1527" s="1" t="s">
        <v>36</v>
      </c>
      <c r="P1527" s="12">
        <v>44973.656759259262</v>
      </c>
      <c r="R1527" s="1" t="s">
        <v>38</v>
      </c>
      <c r="T1527" s="1" t="s">
        <v>74</v>
      </c>
      <c r="U1527" s="12">
        <v>44981.604166666664</v>
      </c>
      <c r="V1527" s="1" t="s">
        <v>41</v>
      </c>
      <c r="W1527" s="1" t="s">
        <v>49</v>
      </c>
      <c r="X1527" s="13" t="str">
        <f>IF(RIGHT(H1527,2)&lt;&gt;"00",H1527,"")</f>
        <v/>
      </c>
      <c r="Y1527" s="2">
        <f ca="1">NETWORKDAYS(P1527,$Y$1)</f>
        <v>10</v>
      </c>
      <c r="Z1527" s="14">
        <v>1</v>
      </c>
      <c r="AA1527" s="1" t="str">
        <f t="shared" ca="1" si="115"/>
        <v>VENCIDO</v>
      </c>
      <c r="AB1527" s="1" t="str">
        <f t="shared" si="116"/>
        <v>Dosa</v>
      </c>
      <c r="AC1527" s="2" t="str">
        <f t="shared" si="117"/>
        <v xml:space="preserve"> CRISTINA </v>
      </c>
      <c r="AD1527" s="2">
        <f t="shared" si="118"/>
        <v>5</v>
      </c>
      <c r="AE1527" s="2">
        <f t="shared" ca="1" si="119"/>
        <v>-5.0721049768544617</v>
      </c>
    </row>
    <row r="1528" spans="1:31" hidden="1">
      <c r="A1528" s="1">
        <v>9491434</v>
      </c>
      <c r="B1528" s="1" t="s">
        <v>1153</v>
      </c>
      <c r="C1528" t="s">
        <v>3666</v>
      </c>
      <c r="D1528" s="2">
        <v>20231291000008</v>
      </c>
      <c r="E1528" s="2">
        <v>7417163283751</v>
      </c>
      <c r="F1528" s="1" t="s">
        <v>131</v>
      </c>
      <c r="G1528" s="1" t="s">
        <v>53</v>
      </c>
      <c r="H1528" s="1" t="s">
        <v>3667</v>
      </c>
      <c r="I1528" s="1" t="s">
        <v>3668</v>
      </c>
      <c r="J1528" s="1" t="s">
        <v>33</v>
      </c>
      <c r="K1528" t="s">
        <v>132</v>
      </c>
      <c r="M1528" s="1" t="s">
        <v>58</v>
      </c>
      <c r="N1528" s="1">
        <v>0</v>
      </c>
      <c r="O1528" s="1" t="s">
        <v>105</v>
      </c>
      <c r="P1528" s="12">
        <v>44973.639502314814</v>
      </c>
      <c r="R1528" s="1">
        <v>14</v>
      </c>
      <c r="T1528" s="1" t="s">
        <v>238</v>
      </c>
      <c r="U1528" s="12">
        <v>44973.639502314814</v>
      </c>
      <c r="V1528" s="1" t="s">
        <v>41</v>
      </c>
      <c r="W1528" s="1" t="s">
        <v>42</v>
      </c>
      <c r="X1528" s="13" t="str">
        <f>IF(RIGHT(H1528,2)&lt;&gt;"00",H1528,"")</f>
        <v>1291.91</v>
      </c>
      <c r="Y1528" s="2">
        <f ca="1">NETWORKDAYS(P1528,$Y$1)</f>
        <v>10</v>
      </c>
      <c r="Z1528" s="14">
        <v>1</v>
      </c>
      <c r="AA1528" s="1" t="str">
        <f t="shared" ca="1" si="115"/>
        <v>VENCIDO</v>
      </c>
      <c r="AB1528" s="1" t="str">
        <f t="shared" si="116"/>
        <v>TAAe+</v>
      </c>
      <c r="AC1528" s="2" t="str">
        <f t="shared" si="117"/>
        <v xml:space="preserve"> ROSEMERE </v>
      </c>
      <c r="AD1528" s="2">
        <f t="shared" si="118"/>
        <v>8</v>
      </c>
      <c r="AE1528" s="2">
        <f t="shared" ca="1" si="119"/>
        <v>-13.036769328704395</v>
      </c>
    </row>
    <row r="1529" spans="1:31" hidden="1">
      <c r="A1529" s="1">
        <v>9491359</v>
      </c>
      <c r="B1529" s="1" t="s">
        <v>1153</v>
      </c>
      <c r="C1529" t="s">
        <v>3669</v>
      </c>
      <c r="D1529" s="2">
        <v>20230594000014</v>
      </c>
      <c r="E1529" s="2">
        <v>7417163280924</v>
      </c>
      <c r="F1529" s="1" t="s">
        <v>131</v>
      </c>
      <c r="G1529" s="1" t="s">
        <v>53</v>
      </c>
      <c r="H1529" s="1" t="s">
        <v>3670</v>
      </c>
      <c r="I1529" s="1" t="s">
        <v>3671</v>
      </c>
      <c r="J1529" s="1" t="s">
        <v>33</v>
      </c>
      <c r="K1529" t="s">
        <v>132</v>
      </c>
      <c r="M1529" s="1" t="s">
        <v>58</v>
      </c>
      <c r="N1529" s="1">
        <v>0</v>
      </c>
      <c r="O1529" s="1" t="s">
        <v>105</v>
      </c>
      <c r="P1529" s="12">
        <v>44973.620891203704</v>
      </c>
      <c r="R1529" s="1">
        <v>15</v>
      </c>
      <c r="T1529" s="1" t="s">
        <v>238</v>
      </c>
      <c r="U1529" s="12">
        <v>44973.620891203704</v>
      </c>
      <c r="V1529" s="1" t="s">
        <v>41</v>
      </c>
      <c r="W1529" s="1" t="s">
        <v>42</v>
      </c>
      <c r="X1529" s="13" t="str">
        <f>IF(RIGHT(H1529,2)&lt;&gt;"00",H1529,"")</f>
        <v>0594.91</v>
      </c>
      <c r="Y1529" s="2">
        <f ca="1">NETWORKDAYS(P1529,$Y$1)</f>
        <v>10</v>
      </c>
      <c r="Z1529" s="14">
        <v>1</v>
      </c>
      <c r="AA1529" s="1" t="str">
        <f t="shared" ca="1" si="115"/>
        <v>VENCIDO</v>
      </c>
      <c r="AB1529" s="1" t="str">
        <f t="shared" si="116"/>
        <v>TAAe+</v>
      </c>
      <c r="AC1529" s="2" t="str">
        <f t="shared" si="117"/>
        <v xml:space="preserve"> ROSEMERE </v>
      </c>
      <c r="AD1529" s="2">
        <f t="shared" si="118"/>
        <v>8</v>
      </c>
      <c r="AE1529" s="2">
        <f t="shared" ca="1" si="119"/>
        <v>-13.055380439815053</v>
      </c>
    </row>
    <row r="1530" spans="1:31" hidden="1">
      <c r="A1530" s="1">
        <v>9491262</v>
      </c>
      <c r="B1530" s="1" t="s">
        <v>1153</v>
      </c>
      <c r="C1530" t="s">
        <v>3672</v>
      </c>
      <c r="D1530" s="2">
        <v>20234804001736</v>
      </c>
      <c r="E1530" s="2">
        <v>7417183021083</v>
      </c>
      <c r="F1530" s="1" t="s">
        <v>1313</v>
      </c>
      <c r="G1530" s="1" t="s">
        <v>53</v>
      </c>
      <c r="H1530" s="1" t="s">
        <v>3556</v>
      </c>
      <c r="I1530" s="1" t="s">
        <v>3557</v>
      </c>
      <c r="J1530" s="1" t="s">
        <v>110</v>
      </c>
      <c r="K1530" t="s">
        <v>1316</v>
      </c>
      <c r="M1530" s="1" t="s">
        <v>58</v>
      </c>
      <c r="N1530" s="1">
        <v>0</v>
      </c>
      <c r="O1530" s="1" t="s">
        <v>105</v>
      </c>
      <c r="P1530" s="12">
        <v>44973.597083333334</v>
      </c>
      <c r="R1530" s="1">
        <v>13</v>
      </c>
      <c r="S1530" s="1">
        <v>4804</v>
      </c>
      <c r="T1530" s="1" t="s">
        <v>238</v>
      </c>
      <c r="U1530" s="12">
        <v>44973.597083333334</v>
      </c>
      <c r="V1530" s="1" t="s">
        <v>41</v>
      </c>
      <c r="W1530" s="1" t="s">
        <v>49</v>
      </c>
      <c r="X1530" s="13" t="str">
        <f>IF(RIGHT(H1530,2)&lt;&gt;"00",H1530,"")</f>
        <v>2039.91</v>
      </c>
      <c r="Y1530" s="2">
        <f ca="1">NETWORKDAYS(P1530,$Y$1)</f>
        <v>10</v>
      </c>
      <c r="Z1530" s="14">
        <v>1</v>
      </c>
      <c r="AA1530" s="1" t="str">
        <f t="shared" ca="1" si="115"/>
        <v>VENCIDO</v>
      </c>
      <c r="AB1530" s="1" t="str">
        <f t="shared" si="116"/>
        <v>TAAe+</v>
      </c>
      <c r="AC1530" s="2" t="str">
        <f t="shared" si="117"/>
        <v xml:space="preserve"> CRISTINA </v>
      </c>
      <c r="AD1530" s="2">
        <f t="shared" si="118"/>
        <v>8</v>
      </c>
      <c r="AE1530" s="2">
        <f t="shared" ca="1" si="119"/>
        <v>-13.079188310184691</v>
      </c>
    </row>
    <row r="1531" spans="1:31">
      <c r="A1531" s="181">
        <v>9491259</v>
      </c>
      <c r="B1531" s="181" t="s">
        <v>1153</v>
      </c>
      <c r="C1531" s="185" t="s">
        <v>3673</v>
      </c>
      <c r="D1531" s="183">
        <v>20231061000013</v>
      </c>
      <c r="E1531" s="183">
        <v>7419141892055</v>
      </c>
      <c r="F1531" s="181" t="s">
        <v>128</v>
      </c>
      <c r="G1531" s="181" t="s">
        <v>53</v>
      </c>
      <c r="H1531" s="181" t="s">
        <v>3674</v>
      </c>
      <c r="I1531" s="181" t="s">
        <v>3675</v>
      </c>
      <c r="J1531" s="181" t="s">
        <v>85</v>
      </c>
      <c r="K1531" t="s">
        <v>129</v>
      </c>
      <c r="M1531" s="1" t="s">
        <v>58</v>
      </c>
      <c r="N1531" s="1">
        <v>0</v>
      </c>
      <c r="O1531" s="1" t="s">
        <v>105</v>
      </c>
      <c r="P1531" s="12">
        <v>44973.598460648151</v>
      </c>
      <c r="R1531" s="1">
        <v>14</v>
      </c>
      <c r="T1531" s="1" t="s">
        <v>238</v>
      </c>
      <c r="U1531" s="12">
        <v>44973.598460648151</v>
      </c>
      <c r="V1531" s="1" t="s">
        <v>41</v>
      </c>
      <c r="W1531" s="1" t="s">
        <v>49</v>
      </c>
      <c r="X1531" s="13" t="str">
        <f>IF(RIGHT(H1531,2)&lt;&gt;"00",H1531,"")</f>
        <v>1061.91</v>
      </c>
      <c r="Y1531" s="2">
        <f ca="1">NETWORKDAYS(P1531,$Y$1)</f>
        <v>10</v>
      </c>
      <c r="Z1531" s="14">
        <v>1</v>
      </c>
      <c r="AA1531" s="1" t="str">
        <f t="shared" ca="1" si="115"/>
        <v>VENCIDO</v>
      </c>
      <c r="AB1531" s="1" t="str">
        <f t="shared" si="116"/>
        <v>TAAe+</v>
      </c>
      <c r="AC1531" s="2" t="str">
        <f t="shared" si="117"/>
        <v xml:space="preserve"> RINALDO </v>
      </c>
      <c r="AD1531" s="2">
        <f t="shared" si="118"/>
        <v>8</v>
      </c>
      <c r="AE1531" s="2">
        <f t="shared" ca="1" si="119"/>
        <v>-13.077810995368054</v>
      </c>
    </row>
    <row r="1532" spans="1:31" hidden="1">
      <c r="A1532" s="1">
        <v>9491033</v>
      </c>
      <c r="B1532" s="1" t="s">
        <v>1153</v>
      </c>
      <c r="C1532" t="s">
        <v>3676</v>
      </c>
      <c r="D1532" s="2">
        <v>20230067000021</v>
      </c>
      <c r="E1532" s="2">
        <v>7417163283166</v>
      </c>
      <c r="F1532" s="1" t="s">
        <v>131</v>
      </c>
      <c r="G1532" s="1" t="s">
        <v>53</v>
      </c>
      <c r="H1532" s="1" t="s">
        <v>2091</v>
      </c>
      <c r="I1532" s="1" t="s">
        <v>2092</v>
      </c>
      <c r="J1532" s="1" t="s">
        <v>164</v>
      </c>
      <c r="K1532" t="s">
        <v>132</v>
      </c>
      <c r="M1532" s="1" t="s">
        <v>58</v>
      </c>
      <c r="N1532" s="1">
        <v>0</v>
      </c>
      <c r="O1532" s="1" t="s">
        <v>105</v>
      </c>
      <c r="P1532" s="12">
        <v>44973.536689814813</v>
      </c>
      <c r="R1532" s="1">
        <v>14</v>
      </c>
      <c r="T1532" s="1" t="s">
        <v>238</v>
      </c>
      <c r="U1532" s="12">
        <v>44973.536689814813</v>
      </c>
      <c r="V1532" s="1" t="s">
        <v>41</v>
      </c>
      <c r="W1532" s="1" t="s">
        <v>49</v>
      </c>
      <c r="X1532" s="13" t="str">
        <f>IF(RIGHT(H1532,2)&lt;&gt;"00",H1532,"")</f>
        <v>0067.91</v>
      </c>
      <c r="Y1532" s="2">
        <f ca="1">NETWORKDAYS(P1532,$Y$1)</f>
        <v>10</v>
      </c>
      <c r="Z1532" s="14">
        <v>1</v>
      </c>
      <c r="AA1532" s="1" t="str">
        <f t="shared" ref="AA1532:AA1595" ca="1" si="120">IF(AE1532=0,"HOJE",IF(AE1532&gt;0,"A VENCER",IF(AE1532&lt;0,"VENCIDO")))</f>
        <v>VENCIDO</v>
      </c>
      <c r="AB1532" s="1" t="str">
        <f t="shared" ref="AB1532:AB1595" si="121">IF(F1532="GRPE-000001","C-14",IF(F1532="GRPE-000002","C-14",IF(F1532="GRPE-000003","C-14",IF(F1532="GRPE-000004","SL-On",IF(F1532="GRPE-000038","C-14",IF(F1532="GRPE-900022","Dosa",IF(F1532="GRPE-000029","Dosa",IF(F1532="ATOS-000222","Dose","TAAe+"))))))))</f>
        <v>TAAe+</v>
      </c>
      <c r="AC1532" s="2" t="str">
        <f t="shared" ref="AC1532:AC1595" si="122">IF(J1532="TR-PETROLINA"," ROSEMERE ",IF(J1532="TR-GARANHUNS"," ROSEMERE ",IF(J1532="TR-CARUARU"," ROSEMERE ",IF(J1532="TR-RIBEIRAO"," CRISTINA ",IF(J1532="TR-GRAVATA"," CRISTINA ",IF(J1532="TR-GOIANA"," CRISTINA ",IF(J1532="TR-LIMOEIRO"," CRISTINA ",IF(J1532="TR-SERRA TALHADA"," RINALDO ",IF(J1532="TR-SALGUEIRO"," RINALDO ",IF(J1532="TR-CARNAIBA"," RINALDO ",IF(J1532="TR-ARCOVERDE"," RINALDO ",IF(J1532="CAT-RECIFE"," CLEITON ",))))))))))))</f>
        <v xml:space="preserve"> ROSEMERE </v>
      </c>
      <c r="AD1532" s="2">
        <f t="shared" ref="AD1532:AD1595" si="123">IF(F1532="GRPE-000001",5,IF(F1532="GRPE-000002",5,IF(F1532="GRPE-000003",15,IF(F1532="GRPE-000004",1,IF(F1532="GRPE-000038",5,IF(F1532="GRPE-900022",5,IF(F1532="GRPE-000029",5,IF(F1532="ATOS-000222",5,8))))))))</f>
        <v>8</v>
      </c>
      <c r="AE1532" s="2">
        <f t="shared" ref="AE1532:AE1595" ca="1" si="124">IF(U1532=$AE$1,"",U1532-$AE$1)</f>
        <v>-13.139581828705559</v>
      </c>
    </row>
    <row r="1533" spans="1:31" hidden="1">
      <c r="A1533" s="1">
        <v>9491032</v>
      </c>
      <c r="B1533" s="1" t="s">
        <v>1153</v>
      </c>
      <c r="C1533" t="s">
        <v>3677</v>
      </c>
      <c r="D1533" s="2">
        <v>20232239000010</v>
      </c>
      <c r="E1533" s="2">
        <v>7417163281691</v>
      </c>
      <c r="F1533" s="1" t="s">
        <v>131</v>
      </c>
      <c r="G1533" s="1" t="s">
        <v>53</v>
      </c>
      <c r="H1533" s="1" t="s">
        <v>2838</v>
      </c>
      <c r="I1533" s="1" t="s">
        <v>2839</v>
      </c>
      <c r="J1533" s="1" t="s">
        <v>261</v>
      </c>
      <c r="K1533" t="s">
        <v>132</v>
      </c>
      <c r="M1533" s="1" t="s">
        <v>58</v>
      </c>
      <c r="N1533" s="1">
        <v>0</v>
      </c>
      <c r="O1533" s="1" t="s">
        <v>105</v>
      </c>
      <c r="P1533" s="12">
        <v>44973.536736111113</v>
      </c>
      <c r="R1533" s="1">
        <v>14</v>
      </c>
      <c r="T1533" s="1" t="s">
        <v>238</v>
      </c>
      <c r="U1533" s="12">
        <v>44973.536736111113</v>
      </c>
      <c r="V1533" s="1" t="s">
        <v>41</v>
      </c>
      <c r="W1533" s="1" t="s">
        <v>49</v>
      </c>
      <c r="X1533" s="13" t="str">
        <f>IF(RIGHT(H1533,2)&lt;&gt;"00",H1533,"")</f>
        <v>2239.91</v>
      </c>
      <c r="Y1533" s="2">
        <f ca="1">NETWORKDAYS(P1533,$Y$1)</f>
        <v>10</v>
      </c>
      <c r="Z1533" s="14">
        <v>1</v>
      </c>
      <c r="AA1533" s="1" t="str">
        <f t="shared" ca="1" si="120"/>
        <v>VENCIDO</v>
      </c>
      <c r="AB1533" s="1" t="str">
        <f t="shared" si="121"/>
        <v>TAAe+</v>
      </c>
      <c r="AC1533" s="2" t="str">
        <f t="shared" si="122"/>
        <v xml:space="preserve"> CRISTINA </v>
      </c>
      <c r="AD1533" s="2">
        <f t="shared" si="123"/>
        <v>8</v>
      </c>
      <c r="AE1533" s="2">
        <f t="shared" ca="1" si="124"/>
        <v>-13.139535532405716</v>
      </c>
    </row>
    <row r="1534" spans="1:31" hidden="1">
      <c r="A1534" s="1">
        <v>9491031</v>
      </c>
      <c r="B1534" s="1" t="s">
        <v>1153</v>
      </c>
      <c r="C1534" t="s">
        <v>3678</v>
      </c>
      <c r="D1534" s="2">
        <v>20232239000009</v>
      </c>
      <c r="E1534" s="2">
        <v>7417163281692</v>
      </c>
      <c r="F1534" s="1" t="s">
        <v>131</v>
      </c>
      <c r="G1534" s="1" t="s">
        <v>53</v>
      </c>
      <c r="H1534" s="1" t="s">
        <v>2838</v>
      </c>
      <c r="I1534" s="1" t="s">
        <v>2839</v>
      </c>
      <c r="J1534" s="1" t="s">
        <v>261</v>
      </c>
      <c r="K1534" t="s">
        <v>132</v>
      </c>
      <c r="M1534" s="1" t="s">
        <v>58</v>
      </c>
      <c r="N1534" s="1">
        <v>0</v>
      </c>
      <c r="O1534" s="1" t="s">
        <v>105</v>
      </c>
      <c r="P1534" s="12">
        <v>44973.534861111111</v>
      </c>
      <c r="R1534" s="1">
        <v>14</v>
      </c>
      <c r="T1534" s="1" t="s">
        <v>238</v>
      </c>
      <c r="U1534" s="12">
        <v>44973.534861111111</v>
      </c>
      <c r="V1534" s="1" t="s">
        <v>41</v>
      </c>
      <c r="W1534" s="1" t="s">
        <v>49</v>
      </c>
      <c r="X1534" s="13" t="str">
        <f>IF(RIGHT(H1534,2)&lt;&gt;"00",H1534,"")</f>
        <v>2239.91</v>
      </c>
      <c r="Y1534" s="2">
        <f ca="1">NETWORKDAYS(P1534,$Y$1)</f>
        <v>10</v>
      </c>
      <c r="Z1534" s="14">
        <v>1</v>
      </c>
      <c r="AA1534" s="1" t="str">
        <f t="shared" ca="1" si="120"/>
        <v>VENCIDO</v>
      </c>
      <c r="AB1534" s="1" t="str">
        <f t="shared" si="121"/>
        <v>TAAe+</v>
      </c>
      <c r="AC1534" s="2" t="str">
        <f t="shared" si="122"/>
        <v xml:space="preserve"> CRISTINA </v>
      </c>
      <c r="AD1534" s="2">
        <f t="shared" si="123"/>
        <v>8</v>
      </c>
      <c r="AE1534" s="2">
        <f t="shared" ca="1" si="124"/>
        <v>-13.141410532407463</v>
      </c>
    </row>
    <row r="1535" spans="1:31" hidden="1">
      <c r="A1535" s="1">
        <v>9491021</v>
      </c>
      <c r="B1535" s="1" t="s">
        <v>1153</v>
      </c>
      <c r="C1535" t="s">
        <v>3679</v>
      </c>
      <c r="E1535" s="2">
        <v>1643000206001</v>
      </c>
      <c r="F1535" s="1" t="s">
        <v>29</v>
      </c>
      <c r="G1535" s="1" t="s">
        <v>53</v>
      </c>
      <c r="H1535" s="1" t="s">
        <v>361</v>
      </c>
      <c r="I1535" s="1" t="s">
        <v>362</v>
      </c>
      <c r="J1535" s="1" t="s">
        <v>261</v>
      </c>
      <c r="K1535" t="s">
        <v>34</v>
      </c>
      <c r="M1535" s="1" t="s">
        <v>35</v>
      </c>
      <c r="N1535" s="1">
        <v>42318949</v>
      </c>
      <c r="O1535" s="1" t="s">
        <v>36</v>
      </c>
      <c r="P1535" s="12">
        <v>44973.546944444446</v>
      </c>
      <c r="R1535" s="1" t="s">
        <v>38</v>
      </c>
      <c r="T1535" s="1" t="s">
        <v>74</v>
      </c>
      <c r="U1535" s="12">
        <v>44980.604166666664</v>
      </c>
      <c r="V1535" s="1" t="s">
        <v>41</v>
      </c>
      <c r="W1535" s="1" t="s">
        <v>49</v>
      </c>
      <c r="X1535" s="13" t="str">
        <f>IF(RIGHT(H1535,2)&lt;&gt;"00",H1535,"")</f>
        <v/>
      </c>
      <c r="Y1535" s="2">
        <f ca="1">NETWORKDAYS(P1535,$Y$1)</f>
        <v>10</v>
      </c>
      <c r="Z1535" s="14">
        <v>1</v>
      </c>
      <c r="AA1535" s="1" t="str">
        <f t="shared" ca="1" si="120"/>
        <v>VENCIDO</v>
      </c>
      <c r="AB1535" s="1" t="str">
        <f t="shared" si="121"/>
        <v>Dosa</v>
      </c>
      <c r="AC1535" s="2" t="str">
        <f t="shared" si="122"/>
        <v xml:space="preserve"> CRISTINA </v>
      </c>
      <c r="AD1535" s="2">
        <f t="shared" si="123"/>
        <v>5</v>
      </c>
      <c r="AE1535" s="2">
        <f t="shared" ca="1" si="124"/>
        <v>-6.0721049768544617</v>
      </c>
    </row>
    <row r="1536" spans="1:31" hidden="1">
      <c r="A1536" s="1">
        <v>9490757</v>
      </c>
      <c r="B1536" s="1" t="s">
        <v>1153</v>
      </c>
      <c r="C1536" t="s">
        <v>3680</v>
      </c>
      <c r="D1536" s="2">
        <v>20234844000490</v>
      </c>
      <c r="E1536" s="2">
        <v>7417183020653</v>
      </c>
      <c r="F1536" s="1" t="s">
        <v>1313</v>
      </c>
      <c r="G1536" s="1" t="s">
        <v>53</v>
      </c>
      <c r="H1536" s="1" t="s">
        <v>2357</v>
      </c>
      <c r="I1536" s="1" t="s">
        <v>2358</v>
      </c>
      <c r="J1536" s="1" t="s">
        <v>46</v>
      </c>
      <c r="K1536" t="s">
        <v>1316</v>
      </c>
      <c r="M1536" s="1" t="s">
        <v>58</v>
      </c>
      <c r="N1536" s="1">
        <v>0</v>
      </c>
      <c r="O1536" s="1" t="s">
        <v>105</v>
      </c>
      <c r="P1536" s="12">
        <v>44973.468148148146</v>
      </c>
      <c r="R1536" s="1">
        <v>13</v>
      </c>
      <c r="T1536" s="1" t="s">
        <v>238</v>
      </c>
      <c r="U1536" s="12">
        <v>44973.468148148146</v>
      </c>
      <c r="V1536" s="1" t="s">
        <v>41</v>
      </c>
      <c r="W1536" s="1" t="s">
        <v>49</v>
      </c>
      <c r="X1536" s="13" t="str">
        <f>IF(RIGHT(H1536,2)&lt;&gt;"00",H1536,"")</f>
        <v>4844.12</v>
      </c>
      <c r="Y1536" s="2">
        <f ca="1">NETWORKDAYS(P1536,$Y$1)</f>
        <v>10</v>
      </c>
      <c r="Z1536" s="14">
        <v>1</v>
      </c>
      <c r="AA1536" s="1" t="str">
        <f t="shared" ca="1" si="120"/>
        <v>VENCIDO</v>
      </c>
      <c r="AB1536" s="1" t="str">
        <f t="shared" si="121"/>
        <v>TAAe+</v>
      </c>
      <c r="AC1536" s="2" t="str">
        <f t="shared" si="122"/>
        <v xml:space="preserve"> CLEITON </v>
      </c>
      <c r="AD1536" s="2">
        <f t="shared" si="123"/>
        <v>8</v>
      </c>
      <c r="AE1536" s="2">
        <f t="shared" ca="1" si="124"/>
        <v>-13.208123495373002</v>
      </c>
    </row>
    <row r="1537" spans="1:31">
      <c r="A1537" s="181">
        <v>9490716</v>
      </c>
      <c r="B1537" s="181" t="s">
        <v>1153</v>
      </c>
      <c r="C1537" s="185" t="s">
        <v>3681</v>
      </c>
      <c r="D1537" s="183">
        <v>20232437000024</v>
      </c>
      <c r="E1537" s="183">
        <v>7417210550033</v>
      </c>
      <c r="F1537" s="181" t="s">
        <v>1936</v>
      </c>
      <c r="G1537" s="181" t="s">
        <v>53</v>
      </c>
      <c r="H1537" s="181" t="s">
        <v>2418</v>
      </c>
      <c r="I1537" s="181" t="s">
        <v>2419</v>
      </c>
      <c r="J1537" s="181" t="s">
        <v>211</v>
      </c>
      <c r="K1537" t="s">
        <v>1939</v>
      </c>
      <c r="M1537" s="1" t="s">
        <v>58</v>
      </c>
      <c r="N1537" s="1">
        <v>0</v>
      </c>
      <c r="O1537" s="1" t="s">
        <v>36</v>
      </c>
      <c r="P1537" s="12">
        <v>44973.469571759262</v>
      </c>
      <c r="R1537" s="1">
        <v>14</v>
      </c>
      <c r="T1537" s="1" t="s">
        <v>238</v>
      </c>
      <c r="U1537" s="12">
        <v>44973.469571759262</v>
      </c>
      <c r="V1537" s="1" t="s">
        <v>41</v>
      </c>
      <c r="W1537" s="1" t="s">
        <v>49</v>
      </c>
      <c r="X1537" s="13" t="str">
        <f>IF(RIGHT(H1537,2)&lt;&gt;"00",H1537,"")</f>
        <v>2437.91</v>
      </c>
      <c r="Y1537" s="2">
        <f ca="1">NETWORKDAYS(P1537,$Y$1)</f>
        <v>10</v>
      </c>
      <c r="Z1537" s="14">
        <v>1</v>
      </c>
      <c r="AA1537" s="1" t="str">
        <f t="shared" ca="1" si="120"/>
        <v>VENCIDO</v>
      </c>
      <c r="AB1537" s="1" t="str">
        <f t="shared" si="121"/>
        <v>TAAe+</v>
      </c>
      <c r="AC1537" s="2" t="str">
        <f t="shared" si="122"/>
        <v xml:space="preserve"> RINALDO </v>
      </c>
      <c r="AD1537" s="2">
        <f t="shared" si="123"/>
        <v>8</v>
      </c>
      <c r="AE1537" s="2">
        <f t="shared" ca="1" si="124"/>
        <v>-13.206699884256523</v>
      </c>
    </row>
    <row r="1538" spans="1:31" hidden="1">
      <c r="A1538" s="1">
        <v>9490707</v>
      </c>
      <c r="B1538" s="1" t="s">
        <v>1153</v>
      </c>
      <c r="C1538" t="s">
        <v>3682</v>
      </c>
      <c r="D1538" s="2">
        <v>20235898000008</v>
      </c>
      <c r="E1538" s="2">
        <v>7417202020387</v>
      </c>
      <c r="F1538" s="1" t="s">
        <v>1213</v>
      </c>
      <c r="G1538" s="1" t="s">
        <v>53</v>
      </c>
      <c r="H1538" s="1" t="s">
        <v>3683</v>
      </c>
      <c r="I1538" s="1" t="s">
        <v>3684</v>
      </c>
      <c r="J1538" s="1" t="s">
        <v>164</v>
      </c>
      <c r="K1538" t="s">
        <v>1214</v>
      </c>
      <c r="M1538" s="1" t="s">
        <v>58</v>
      </c>
      <c r="N1538" s="1">
        <v>0</v>
      </c>
      <c r="O1538" s="1" t="s">
        <v>105</v>
      </c>
      <c r="P1538" s="12">
        <v>44973.467847222222</v>
      </c>
      <c r="R1538" s="1">
        <v>14</v>
      </c>
      <c r="T1538" s="1" t="s">
        <v>238</v>
      </c>
      <c r="U1538" s="12">
        <v>44973.467847222222</v>
      </c>
      <c r="V1538" s="1" t="s">
        <v>41</v>
      </c>
      <c r="W1538" s="1" t="s">
        <v>49</v>
      </c>
      <c r="X1538" s="13" t="str">
        <f>IF(RIGHT(H1538,2)&lt;&gt;"00",H1538,"")</f>
        <v>5898.91</v>
      </c>
      <c r="Y1538" s="2">
        <f ca="1">NETWORKDAYS(P1538,$Y$1)</f>
        <v>10</v>
      </c>
      <c r="Z1538" s="14">
        <v>1</v>
      </c>
      <c r="AA1538" s="1" t="str">
        <f t="shared" ca="1" si="120"/>
        <v>VENCIDO</v>
      </c>
      <c r="AB1538" s="1" t="str">
        <f t="shared" si="121"/>
        <v>TAAe+</v>
      </c>
      <c r="AC1538" s="2" t="str">
        <f t="shared" si="122"/>
        <v xml:space="preserve"> ROSEMERE </v>
      </c>
      <c r="AD1538" s="2">
        <f t="shared" si="123"/>
        <v>8</v>
      </c>
      <c r="AE1538" s="2">
        <f t="shared" ca="1" si="124"/>
        <v>-13.208424421296513</v>
      </c>
    </row>
    <row r="1539" spans="1:31" hidden="1">
      <c r="A1539" s="1">
        <v>9490620</v>
      </c>
      <c r="B1539" s="1" t="s">
        <v>1153</v>
      </c>
      <c r="C1539" t="s">
        <v>3685</v>
      </c>
      <c r="D1539" s="2">
        <v>20234844000489</v>
      </c>
      <c r="E1539" s="2">
        <v>7417163282354</v>
      </c>
      <c r="F1539" s="1" t="s">
        <v>131</v>
      </c>
      <c r="G1539" s="1" t="s">
        <v>53</v>
      </c>
      <c r="H1539" s="1" t="s">
        <v>2059</v>
      </c>
      <c r="I1539" s="1" t="s">
        <v>2060</v>
      </c>
      <c r="J1539" s="1" t="s">
        <v>46</v>
      </c>
      <c r="K1539" t="s">
        <v>132</v>
      </c>
      <c r="M1539" s="1" t="s">
        <v>58</v>
      </c>
      <c r="N1539" s="1">
        <v>0</v>
      </c>
      <c r="O1539" s="1" t="s">
        <v>36</v>
      </c>
      <c r="P1539" s="12">
        <v>44973.439270833333</v>
      </c>
      <c r="R1539" s="1">
        <v>13</v>
      </c>
      <c r="T1539" s="1" t="s">
        <v>238</v>
      </c>
      <c r="U1539" s="12">
        <v>44973.439270833333</v>
      </c>
      <c r="V1539" s="1" t="s">
        <v>41</v>
      </c>
      <c r="W1539" s="1" t="s">
        <v>49</v>
      </c>
      <c r="X1539" s="13" t="str">
        <f>IF(RIGHT(H1539,2)&lt;&gt;"00",H1539,"")</f>
        <v>4844.35</v>
      </c>
      <c r="Y1539" s="2">
        <f ca="1">NETWORKDAYS(P1539,$Y$1)</f>
        <v>10</v>
      </c>
      <c r="Z1539" s="14">
        <v>1</v>
      </c>
      <c r="AA1539" s="1" t="str">
        <f t="shared" ca="1" si="120"/>
        <v>VENCIDO</v>
      </c>
      <c r="AB1539" s="1" t="str">
        <f t="shared" si="121"/>
        <v>TAAe+</v>
      </c>
      <c r="AC1539" s="2" t="str">
        <f t="shared" si="122"/>
        <v xml:space="preserve"> CLEITON </v>
      </c>
      <c r="AD1539" s="2">
        <f t="shared" si="123"/>
        <v>8</v>
      </c>
      <c r="AE1539" s="2">
        <f t="shared" ca="1" si="124"/>
        <v>-13.237000810186146</v>
      </c>
    </row>
    <row r="1540" spans="1:31" hidden="1">
      <c r="A1540" s="1">
        <v>9490520</v>
      </c>
      <c r="B1540" s="1" t="s">
        <v>1153</v>
      </c>
      <c r="C1540" t="s">
        <v>3555</v>
      </c>
      <c r="D1540" s="2">
        <v>20234804001722</v>
      </c>
      <c r="E1540" s="2">
        <v>7417183020662</v>
      </c>
      <c r="F1540" s="1" t="s">
        <v>1313</v>
      </c>
      <c r="G1540" s="1" t="s">
        <v>53</v>
      </c>
      <c r="H1540" s="1" t="s">
        <v>3556</v>
      </c>
      <c r="I1540" s="1" t="s">
        <v>3557</v>
      </c>
      <c r="J1540" s="1" t="s">
        <v>110</v>
      </c>
      <c r="K1540" t="s">
        <v>1316</v>
      </c>
      <c r="M1540" s="1" t="s">
        <v>58</v>
      </c>
      <c r="N1540" s="1">
        <v>0</v>
      </c>
      <c r="O1540" s="1" t="s">
        <v>36</v>
      </c>
      <c r="P1540" s="12">
        <v>44973.417060185187</v>
      </c>
      <c r="R1540" s="1">
        <v>13</v>
      </c>
      <c r="S1540" s="1">
        <v>4804</v>
      </c>
      <c r="T1540" s="1" t="s">
        <v>238</v>
      </c>
      <c r="U1540" s="12">
        <v>44973.417060185187</v>
      </c>
      <c r="V1540" s="1" t="s">
        <v>41</v>
      </c>
      <c r="W1540" s="1" t="s">
        <v>49</v>
      </c>
      <c r="X1540" s="13" t="str">
        <f>IF(RIGHT(H1540,2)&lt;&gt;"00",H1540,"")</f>
        <v>2039.91</v>
      </c>
      <c r="Y1540" s="2">
        <f ca="1">NETWORKDAYS(P1540,$Y$1)</f>
        <v>10</v>
      </c>
      <c r="Z1540" s="14">
        <v>1</v>
      </c>
      <c r="AA1540" s="1" t="str">
        <f t="shared" ca="1" si="120"/>
        <v>VENCIDO</v>
      </c>
      <c r="AB1540" s="1" t="str">
        <f t="shared" si="121"/>
        <v>TAAe+</v>
      </c>
      <c r="AC1540" s="2" t="str">
        <f t="shared" si="122"/>
        <v xml:space="preserve"> CRISTINA </v>
      </c>
      <c r="AD1540" s="2">
        <f t="shared" si="123"/>
        <v>8</v>
      </c>
      <c r="AE1540" s="2">
        <f t="shared" ca="1" si="124"/>
        <v>-13.259211458331265</v>
      </c>
    </row>
    <row r="1541" spans="1:31" hidden="1">
      <c r="A1541" s="1">
        <v>9490501</v>
      </c>
      <c r="B1541" s="1" t="s">
        <v>1153</v>
      </c>
      <c r="C1541" t="s">
        <v>3558</v>
      </c>
      <c r="D1541" s="2">
        <v>20230067000020</v>
      </c>
      <c r="E1541" s="2">
        <v>7417161482831</v>
      </c>
      <c r="F1541" s="1" t="s">
        <v>1217</v>
      </c>
      <c r="G1541" s="1" t="s">
        <v>53</v>
      </c>
      <c r="H1541" s="1" t="s">
        <v>2091</v>
      </c>
      <c r="I1541" s="1" t="s">
        <v>2092</v>
      </c>
      <c r="J1541" s="1" t="s">
        <v>164</v>
      </c>
      <c r="K1541" t="s">
        <v>1218</v>
      </c>
      <c r="M1541" s="1" t="s">
        <v>58</v>
      </c>
      <c r="N1541" s="1">
        <v>0</v>
      </c>
      <c r="O1541" s="1" t="s">
        <v>105</v>
      </c>
      <c r="P1541" s="12">
        <v>44973.424004629633</v>
      </c>
      <c r="R1541" s="1">
        <v>14</v>
      </c>
      <c r="T1541" s="1" t="s">
        <v>238</v>
      </c>
      <c r="U1541" s="12">
        <v>44973.424004629633</v>
      </c>
      <c r="V1541" s="1" t="s">
        <v>41</v>
      </c>
      <c r="W1541" s="1" t="s">
        <v>49</v>
      </c>
      <c r="X1541" s="13" t="str">
        <f>IF(RIGHT(H1541,2)&lt;&gt;"00",H1541,"")</f>
        <v>0067.91</v>
      </c>
      <c r="Y1541" s="2">
        <f ca="1">NETWORKDAYS(P1541,$Y$1)</f>
        <v>10</v>
      </c>
      <c r="Z1541" s="14">
        <v>1</v>
      </c>
      <c r="AA1541" s="1" t="str">
        <f t="shared" ca="1" si="120"/>
        <v>VENCIDO</v>
      </c>
      <c r="AB1541" s="1" t="str">
        <f t="shared" si="121"/>
        <v>TAAe+</v>
      </c>
      <c r="AC1541" s="2" t="str">
        <f t="shared" si="122"/>
        <v xml:space="preserve"> ROSEMERE </v>
      </c>
      <c r="AD1541" s="2">
        <f t="shared" si="123"/>
        <v>8</v>
      </c>
      <c r="AE1541" s="2">
        <f t="shared" ca="1" si="124"/>
        <v>-13.252267013886012</v>
      </c>
    </row>
    <row r="1542" spans="1:31" hidden="1">
      <c r="A1542" s="1">
        <v>9490369</v>
      </c>
      <c r="B1542" s="1" t="s">
        <v>1153</v>
      </c>
      <c r="C1542" t="s">
        <v>3561</v>
      </c>
      <c r="D1542" s="2">
        <v>20231049000002</v>
      </c>
      <c r="E1542" s="2">
        <v>7417193391053</v>
      </c>
      <c r="F1542" s="1" t="s">
        <v>2760</v>
      </c>
      <c r="G1542" s="1" t="s">
        <v>53</v>
      </c>
      <c r="H1542" s="1" t="s">
        <v>169</v>
      </c>
      <c r="I1542" s="1" t="s">
        <v>170</v>
      </c>
      <c r="J1542" s="1" t="s">
        <v>164</v>
      </c>
      <c r="K1542" t="s">
        <v>2761</v>
      </c>
      <c r="M1542" s="1" t="s">
        <v>58</v>
      </c>
      <c r="N1542" s="1">
        <v>0</v>
      </c>
      <c r="O1542" s="1" t="s">
        <v>105</v>
      </c>
      <c r="P1542" s="12">
        <v>44973.403344907405</v>
      </c>
      <c r="R1542" s="1">
        <v>22</v>
      </c>
      <c r="T1542" s="1" t="s">
        <v>1160</v>
      </c>
      <c r="U1542" s="12">
        <v>44979.611678240741</v>
      </c>
      <c r="V1542" s="1" t="s">
        <v>41</v>
      </c>
      <c r="W1542" s="1" t="s">
        <v>49</v>
      </c>
      <c r="X1542" s="13" t="str">
        <f>IF(RIGHT(H1542,2)&lt;&gt;"00",H1542,"")</f>
        <v/>
      </c>
      <c r="Y1542" s="2">
        <f ca="1">NETWORKDAYS(P1542,$Y$1)</f>
        <v>10</v>
      </c>
      <c r="Z1542" s="14">
        <v>1</v>
      </c>
      <c r="AA1542" s="1" t="str">
        <f t="shared" ca="1" si="120"/>
        <v>VENCIDO</v>
      </c>
      <c r="AB1542" s="1" t="str">
        <f t="shared" si="121"/>
        <v>TAAe+</v>
      </c>
      <c r="AC1542" s="2" t="str">
        <f t="shared" si="122"/>
        <v xml:space="preserve"> ROSEMERE </v>
      </c>
      <c r="AD1542" s="2">
        <f t="shared" si="123"/>
        <v>8</v>
      </c>
      <c r="AE1542" s="2">
        <f t="shared" ca="1" si="124"/>
        <v>-7.0645934027779731</v>
      </c>
    </row>
    <row r="1543" spans="1:31">
      <c r="A1543" s="181">
        <v>9490178</v>
      </c>
      <c r="B1543" s="181" t="s">
        <v>1153</v>
      </c>
      <c r="C1543" s="182" t="s">
        <v>3686</v>
      </c>
      <c r="D1543" s="183">
        <v>20230068000022</v>
      </c>
      <c r="E1543" s="183">
        <v>7417193050628</v>
      </c>
      <c r="F1543" s="181" t="s">
        <v>1719</v>
      </c>
      <c r="G1543" s="181" t="s">
        <v>53</v>
      </c>
      <c r="H1543" s="181" t="s">
        <v>1330</v>
      </c>
      <c r="I1543" s="181" t="s">
        <v>1331</v>
      </c>
      <c r="J1543" s="181" t="s">
        <v>211</v>
      </c>
      <c r="K1543" t="s">
        <v>1720</v>
      </c>
      <c r="M1543" s="1" t="s">
        <v>58</v>
      </c>
      <c r="N1543" s="1">
        <v>0</v>
      </c>
      <c r="O1543" s="1" t="s">
        <v>105</v>
      </c>
      <c r="P1543" s="12">
        <v>44973.382974537039</v>
      </c>
      <c r="R1543" s="1">
        <v>22</v>
      </c>
      <c r="T1543" s="1" t="s">
        <v>1160</v>
      </c>
      <c r="U1543" s="12">
        <v>44979.591307870367</v>
      </c>
      <c r="V1543" s="1" t="s">
        <v>41</v>
      </c>
      <c r="W1543" s="1" t="s">
        <v>49</v>
      </c>
      <c r="X1543" s="13" t="str">
        <f>IF(RIGHT(H1543,2)&lt;&gt;"00",H1543,"")</f>
        <v/>
      </c>
      <c r="Y1543" s="2">
        <f ca="1">NETWORKDAYS(P1543,$Y$1)</f>
        <v>10</v>
      </c>
      <c r="Z1543" s="14">
        <v>1</v>
      </c>
      <c r="AA1543" s="1" t="str">
        <f t="shared" ca="1" si="120"/>
        <v>VENCIDO</v>
      </c>
      <c r="AB1543" s="1" t="str">
        <f t="shared" si="121"/>
        <v>TAAe+</v>
      </c>
      <c r="AC1543" s="2" t="str">
        <f t="shared" si="122"/>
        <v xml:space="preserve"> RINALDO </v>
      </c>
      <c r="AD1543" s="2">
        <f t="shared" si="123"/>
        <v>8</v>
      </c>
      <c r="AE1543" s="2">
        <f t="shared" ca="1" si="124"/>
        <v>-7.084963773151685</v>
      </c>
    </row>
    <row r="1544" spans="1:31" hidden="1">
      <c r="A1544" s="1">
        <v>9490143</v>
      </c>
      <c r="B1544" s="1" t="s">
        <v>1153</v>
      </c>
      <c r="C1544" t="s">
        <v>3564</v>
      </c>
      <c r="D1544" s="2">
        <v>230029837</v>
      </c>
      <c r="E1544" s="2">
        <v>3234161400010</v>
      </c>
      <c r="F1544" s="1" t="s">
        <v>936</v>
      </c>
      <c r="G1544" s="1" t="s">
        <v>53</v>
      </c>
      <c r="H1544" s="1" t="s">
        <v>499</v>
      </c>
      <c r="I1544" s="1" t="s">
        <v>500</v>
      </c>
      <c r="J1544" s="1" t="s">
        <v>46</v>
      </c>
      <c r="K1544" t="s">
        <v>937</v>
      </c>
      <c r="M1544" s="1" t="s">
        <v>58</v>
      </c>
      <c r="N1544" s="1">
        <v>0</v>
      </c>
      <c r="O1544" s="1" t="s">
        <v>36</v>
      </c>
      <c r="P1544" s="12">
        <v>44973.384722222225</v>
      </c>
      <c r="R1544" s="1">
        <v>3</v>
      </c>
      <c r="T1544" s="1" t="s">
        <v>646</v>
      </c>
      <c r="U1544" s="12">
        <v>44981.416666666664</v>
      </c>
      <c r="V1544" s="1" t="s">
        <v>41</v>
      </c>
      <c r="W1544" s="1" t="s">
        <v>49</v>
      </c>
      <c r="X1544" s="13" t="str">
        <f>IF(RIGHT(H1544,2)&lt;&gt;"00",H1544,"")</f>
        <v>3234.16</v>
      </c>
      <c r="Y1544" s="2">
        <f ca="1">NETWORKDAYS(P1544,$Y$1)</f>
        <v>10</v>
      </c>
      <c r="Z1544" s="14">
        <v>1</v>
      </c>
      <c r="AA1544" s="1" t="str">
        <f t="shared" ca="1" si="120"/>
        <v>VENCIDO</v>
      </c>
      <c r="AB1544" s="1" t="str">
        <f t="shared" si="121"/>
        <v>C-14</v>
      </c>
      <c r="AC1544" s="2" t="str">
        <f t="shared" si="122"/>
        <v xml:space="preserve"> CLEITON </v>
      </c>
      <c r="AD1544" s="2">
        <f t="shared" si="123"/>
        <v>5</v>
      </c>
      <c r="AE1544" s="2">
        <f t="shared" ca="1" si="124"/>
        <v>-5.2596049768544617</v>
      </c>
    </row>
    <row r="1545" spans="1:31" hidden="1">
      <c r="A1545" s="1">
        <v>9490113</v>
      </c>
      <c r="B1545" s="1" t="s">
        <v>1153</v>
      </c>
      <c r="C1545" t="s">
        <v>3565</v>
      </c>
      <c r="D1545" s="2">
        <v>20232239000008</v>
      </c>
      <c r="E1545" s="2">
        <v>7417183024313</v>
      </c>
      <c r="F1545" s="1" t="s">
        <v>1313</v>
      </c>
      <c r="G1545" s="1" t="s">
        <v>53</v>
      </c>
      <c r="H1545" s="1" t="s">
        <v>2838</v>
      </c>
      <c r="I1545" s="1" t="s">
        <v>2839</v>
      </c>
      <c r="J1545" s="1" t="s">
        <v>261</v>
      </c>
      <c r="K1545" t="s">
        <v>1316</v>
      </c>
      <c r="M1545" s="1" t="s">
        <v>58</v>
      </c>
      <c r="N1545" s="1">
        <v>0</v>
      </c>
      <c r="O1545" s="1" t="s">
        <v>105</v>
      </c>
      <c r="P1545" s="12">
        <v>44973.363067129627</v>
      </c>
      <c r="R1545" s="1">
        <v>14</v>
      </c>
      <c r="T1545" s="1" t="s">
        <v>238</v>
      </c>
      <c r="U1545" s="12">
        <v>44973.395833333336</v>
      </c>
      <c r="V1545" s="1" t="s">
        <v>41</v>
      </c>
      <c r="W1545" s="1" t="s">
        <v>49</v>
      </c>
      <c r="X1545" s="13" t="str">
        <f>IF(RIGHT(H1545,2)&lt;&gt;"00",H1545,"")</f>
        <v>2239.91</v>
      </c>
      <c r="Y1545" s="2">
        <f ca="1">NETWORKDAYS(P1545,$Y$1)</f>
        <v>10</v>
      </c>
      <c r="Z1545" s="14">
        <v>1</v>
      </c>
      <c r="AA1545" s="1" t="str">
        <f t="shared" ca="1" si="120"/>
        <v>VENCIDO</v>
      </c>
      <c r="AB1545" s="1" t="str">
        <f t="shared" si="121"/>
        <v>TAAe+</v>
      </c>
      <c r="AC1545" s="2" t="str">
        <f t="shared" si="122"/>
        <v xml:space="preserve"> CRISTINA </v>
      </c>
      <c r="AD1545" s="2">
        <f t="shared" si="123"/>
        <v>8</v>
      </c>
      <c r="AE1545" s="2">
        <f t="shared" ca="1" si="124"/>
        <v>-13.280438310182944</v>
      </c>
    </row>
    <row r="1546" spans="1:31">
      <c r="A1546" s="181">
        <v>9490075</v>
      </c>
      <c r="B1546" s="181" t="s">
        <v>1153</v>
      </c>
      <c r="C1546" s="182" t="s">
        <v>3687</v>
      </c>
      <c r="D1546" s="183"/>
      <c r="E1546" s="183">
        <v>1059000206001</v>
      </c>
      <c r="F1546" s="181" t="s">
        <v>29</v>
      </c>
      <c r="G1546" s="181" t="s">
        <v>53</v>
      </c>
      <c r="H1546" s="181" t="s">
        <v>88</v>
      </c>
      <c r="I1546" s="181" t="s">
        <v>89</v>
      </c>
      <c r="J1546" s="181" t="s">
        <v>90</v>
      </c>
      <c r="K1546" t="s">
        <v>34</v>
      </c>
      <c r="M1546" s="1" t="s">
        <v>35</v>
      </c>
      <c r="N1546" s="1">
        <v>42318949</v>
      </c>
      <c r="O1546" s="1" t="s">
        <v>36</v>
      </c>
      <c r="P1546" s="12">
        <v>44973.375358796293</v>
      </c>
      <c r="R1546" s="1" t="s">
        <v>38</v>
      </c>
      <c r="T1546" s="1" t="s">
        <v>74</v>
      </c>
      <c r="U1546" s="12">
        <v>44980.417025462964</v>
      </c>
      <c r="V1546" s="1" t="s">
        <v>41</v>
      </c>
      <c r="W1546" s="1" t="s">
        <v>49</v>
      </c>
      <c r="X1546" s="13" t="str">
        <f>IF(RIGHT(H1546,2)&lt;&gt;"00",H1546,"")</f>
        <v/>
      </c>
      <c r="Y1546" s="2">
        <f ca="1">NETWORKDAYS(P1546,$Y$1)</f>
        <v>10</v>
      </c>
      <c r="Z1546" s="14">
        <v>1</v>
      </c>
      <c r="AA1546" s="1" t="str">
        <f t="shared" ca="1" si="120"/>
        <v>VENCIDO</v>
      </c>
      <c r="AB1546" s="1" t="str">
        <f t="shared" si="121"/>
        <v>Dosa</v>
      </c>
      <c r="AC1546" s="2" t="str">
        <f t="shared" si="122"/>
        <v xml:space="preserve"> RINALDO </v>
      </c>
      <c r="AD1546" s="2">
        <f t="shared" si="123"/>
        <v>5</v>
      </c>
      <c r="AE1546" s="2">
        <f t="shared" ca="1" si="124"/>
        <v>-6.259246180554328</v>
      </c>
    </row>
    <row r="1547" spans="1:31" hidden="1">
      <c r="A1547" s="1">
        <v>9489999</v>
      </c>
      <c r="B1547" s="1" t="s">
        <v>1153</v>
      </c>
      <c r="C1547" t="s">
        <v>3568</v>
      </c>
      <c r="E1547" s="2">
        <v>2081000206001</v>
      </c>
      <c r="F1547" s="1" t="s">
        <v>29</v>
      </c>
      <c r="G1547" s="1" t="s">
        <v>53</v>
      </c>
      <c r="H1547" s="1" t="s">
        <v>590</v>
      </c>
      <c r="I1547" s="1" t="s">
        <v>591</v>
      </c>
      <c r="J1547" s="1" t="s">
        <v>261</v>
      </c>
      <c r="K1547" t="s">
        <v>34</v>
      </c>
      <c r="M1547" s="1" t="s">
        <v>35</v>
      </c>
      <c r="N1547" s="1">
        <v>42318949</v>
      </c>
      <c r="O1547" s="1" t="s">
        <v>36</v>
      </c>
      <c r="P1547" s="12">
        <v>44973.364872685182</v>
      </c>
      <c r="R1547" s="1" t="s">
        <v>38</v>
      </c>
      <c r="T1547" s="1" t="s">
        <v>74</v>
      </c>
      <c r="U1547" s="12">
        <v>44984.708333333336</v>
      </c>
      <c r="V1547" s="1" t="s">
        <v>41</v>
      </c>
      <c r="W1547" s="1" t="s">
        <v>49</v>
      </c>
      <c r="X1547" s="13" t="str">
        <f>IF(RIGHT(H1547,2)&lt;&gt;"00",H1547,"")</f>
        <v/>
      </c>
      <c r="Y1547" s="2">
        <f ca="1">NETWORKDAYS(P1547,$Y$1)</f>
        <v>10</v>
      </c>
      <c r="Z1547" s="14">
        <v>1</v>
      </c>
      <c r="AA1547" s="1" t="str">
        <f t="shared" ca="1" si="120"/>
        <v>VENCIDO</v>
      </c>
      <c r="AB1547" s="1" t="str">
        <f t="shared" si="121"/>
        <v>Dosa</v>
      </c>
      <c r="AC1547" s="2" t="str">
        <f t="shared" si="122"/>
        <v xml:space="preserve"> CRISTINA </v>
      </c>
      <c r="AD1547" s="2">
        <f t="shared" si="123"/>
        <v>5</v>
      </c>
      <c r="AE1547" s="2">
        <f t="shared" ca="1" si="124"/>
        <v>-1.9679383101829444</v>
      </c>
    </row>
    <row r="1548" spans="1:31">
      <c r="A1548" s="181">
        <v>9489928</v>
      </c>
      <c r="B1548" s="181" t="s">
        <v>1153</v>
      </c>
      <c r="C1548" s="185" t="s">
        <v>3569</v>
      </c>
      <c r="D1548" s="183"/>
      <c r="E1548" s="183">
        <v>1902016242200</v>
      </c>
      <c r="F1548" s="181" t="s">
        <v>64</v>
      </c>
      <c r="G1548" s="181" t="s">
        <v>53</v>
      </c>
      <c r="H1548" s="181" t="s">
        <v>1844</v>
      </c>
      <c r="I1548" s="181" t="s">
        <v>1845</v>
      </c>
      <c r="J1548" s="181" t="s">
        <v>211</v>
      </c>
      <c r="K1548" t="s">
        <v>67</v>
      </c>
      <c r="M1548" s="1" t="s">
        <v>35</v>
      </c>
      <c r="N1548" s="1">
        <v>42318949</v>
      </c>
      <c r="O1548" s="1" t="s">
        <v>36</v>
      </c>
      <c r="P1548" s="12">
        <v>44973.352488425924</v>
      </c>
      <c r="R1548" s="1" t="s">
        <v>571</v>
      </c>
      <c r="T1548" s="1" t="s">
        <v>69</v>
      </c>
      <c r="U1548" s="12">
        <v>44985.607638888891</v>
      </c>
      <c r="V1548" s="1" t="s">
        <v>41</v>
      </c>
      <c r="W1548" s="1" t="s">
        <v>49</v>
      </c>
      <c r="X1548" s="13" t="str">
        <f>IF(RIGHT(H1548,2)&lt;&gt;"00",H1548,"")</f>
        <v/>
      </c>
      <c r="Y1548" s="2">
        <f ca="1">NETWORKDAYS(P1548,$Y$1)</f>
        <v>10</v>
      </c>
      <c r="Z1548" s="14">
        <v>1</v>
      </c>
      <c r="AA1548" s="1" t="str">
        <f t="shared" ca="1" si="120"/>
        <v>VENCIDO</v>
      </c>
      <c r="AB1548" s="1" t="str">
        <f t="shared" si="121"/>
        <v>TAAe+</v>
      </c>
      <c r="AC1548" s="2" t="str">
        <f t="shared" si="122"/>
        <v xml:space="preserve"> RINALDO </v>
      </c>
      <c r="AD1548" s="2">
        <f t="shared" si="123"/>
        <v>8</v>
      </c>
      <c r="AE1548" s="2">
        <f t="shared" ca="1" si="124"/>
        <v>-1.0686327546281973</v>
      </c>
    </row>
    <row r="1549" spans="1:31">
      <c r="A1549" s="173">
        <v>9494552</v>
      </c>
      <c r="B1549" s="173" t="s">
        <v>1153</v>
      </c>
      <c r="C1549" s="178" t="s">
        <v>3688</v>
      </c>
      <c r="D1549" s="174">
        <v>230031041</v>
      </c>
      <c r="E1549" s="174">
        <v>2156001400020</v>
      </c>
      <c r="F1549" s="173" t="s">
        <v>1961</v>
      </c>
      <c r="G1549" s="173" t="s">
        <v>53</v>
      </c>
      <c r="H1549" s="173" t="s">
        <v>278</v>
      </c>
      <c r="I1549" s="173" t="s">
        <v>279</v>
      </c>
      <c r="J1549" s="173" t="s">
        <v>211</v>
      </c>
      <c r="K1549" t="s">
        <v>1962</v>
      </c>
      <c r="M1549" s="1" t="s">
        <v>58</v>
      </c>
      <c r="N1549" s="1">
        <v>0</v>
      </c>
      <c r="O1549" s="1" t="s">
        <v>36</v>
      </c>
      <c r="P1549" s="11" t="s">
        <v>3689</v>
      </c>
      <c r="R1549" s="1">
        <v>4</v>
      </c>
      <c r="T1549" s="1" t="s">
        <v>646</v>
      </c>
      <c r="U1549" s="11" t="s">
        <v>1959</v>
      </c>
      <c r="V1549" s="1" t="s">
        <v>41</v>
      </c>
      <c r="W1549" s="1" t="s">
        <v>49</v>
      </c>
      <c r="X1549" s="13" t="str">
        <f>IF(RIGHT(H1549,2)&lt;&gt;"00",H1549,"")</f>
        <v/>
      </c>
      <c r="Y1549" s="2">
        <f ca="1">NETWORKDAYS(P1549,$Y$1)</f>
        <v>9</v>
      </c>
      <c r="Z1549" s="14">
        <v>1</v>
      </c>
      <c r="AA1549" s="1" t="str">
        <f t="shared" ca="1" si="120"/>
        <v>VENCIDO</v>
      </c>
      <c r="AB1549" s="1" t="str">
        <f t="shared" si="121"/>
        <v>C-14</v>
      </c>
      <c r="AC1549" s="2" t="str">
        <f t="shared" si="122"/>
        <v xml:space="preserve"> RINALDO </v>
      </c>
      <c r="AD1549" s="2">
        <f t="shared" si="123"/>
        <v>5</v>
      </c>
      <c r="AE1549" s="2">
        <f t="shared" ca="1" si="124"/>
        <v>-6.9262716435187031</v>
      </c>
    </row>
    <row r="1550" spans="1:31">
      <c r="A1550" s="181">
        <v>9494300</v>
      </c>
      <c r="B1550" s="181" t="s">
        <v>1153</v>
      </c>
      <c r="C1550" s="185" t="s">
        <v>3690</v>
      </c>
      <c r="D1550" s="183">
        <v>20232125000005</v>
      </c>
      <c r="E1550" s="183">
        <v>7417161481559</v>
      </c>
      <c r="F1550" s="181" t="s">
        <v>1979</v>
      </c>
      <c r="G1550" s="181" t="s">
        <v>53</v>
      </c>
      <c r="H1550" s="181" t="s">
        <v>3691</v>
      </c>
      <c r="I1550" s="181" t="s">
        <v>3692</v>
      </c>
      <c r="J1550" s="181" t="s">
        <v>211</v>
      </c>
      <c r="K1550" t="s">
        <v>1982</v>
      </c>
      <c r="M1550" s="1" t="s">
        <v>58</v>
      </c>
      <c r="N1550" s="1">
        <v>0</v>
      </c>
      <c r="O1550" s="1" t="s">
        <v>105</v>
      </c>
      <c r="P1550" s="11" t="s">
        <v>3693</v>
      </c>
      <c r="R1550" s="1">
        <v>14</v>
      </c>
      <c r="T1550" s="1" t="s">
        <v>238</v>
      </c>
      <c r="U1550" s="11" t="s">
        <v>3694</v>
      </c>
      <c r="V1550" s="1" t="s">
        <v>41</v>
      </c>
      <c r="W1550" s="1" t="s">
        <v>49</v>
      </c>
      <c r="X1550" s="13" t="str">
        <f>IF(RIGHT(H1550,2)&lt;&gt;"00",H1550,"")</f>
        <v>2125.91</v>
      </c>
      <c r="Y1550" s="2">
        <f ca="1">NETWORKDAYS(P1550,$Y$1)</f>
        <v>9</v>
      </c>
      <c r="Z1550" s="14">
        <v>1</v>
      </c>
      <c r="AA1550" s="1" t="str">
        <f t="shared" ca="1" si="120"/>
        <v>VENCIDO</v>
      </c>
      <c r="AB1550" s="1" t="str">
        <f t="shared" si="121"/>
        <v>TAAe+</v>
      </c>
      <c r="AC1550" s="2" t="str">
        <f t="shared" si="122"/>
        <v xml:space="preserve"> RINALDO </v>
      </c>
      <c r="AD1550" s="2">
        <f t="shared" si="123"/>
        <v>8</v>
      </c>
      <c r="AE1550" s="2">
        <f t="shared" ca="1" si="124"/>
        <v>-7.2804383101829444</v>
      </c>
    </row>
    <row r="1551" spans="1:31">
      <c r="A1551" s="181">
        <v>9494299</v>
      </c>
      <c r="B1551" s="181" t="s">
        <v>1153</v>
      </c>
      <c r="C1551" s="185" t="s">
        <v>3695</v>
      </c>
      <c r="D1551" s="183">
        <v>20232125000004</v>
      </c>
      <c r="E1551" s="183">
        <v>7417163285129</v>
      </c>
      <c r="F1551" s="181" t="s">
        <v>131</v>
      </c>
      <c r="G1551" s="181" t="s">
        <v>53</v>
      </c>
      <c r="H1551" s="181" t="s">
        <v>3691</v>
      </c>
      <c r="I1551" s="181" t="s">
        <v>3692</v>
      </c>
      <c r="J1551" s="181" t="s">
        <v>211</v>
      </c>
      <c r="K1551" t="s">
        <v>132</v>
      </c>
      <c r="M1551" s="1" t="s">
        <v>58</v>
      </c>
      <c r="N1551" s="1">
        <v>0</v>
      </c>
      <c r="O1551" s="1" t="s">
        <v>105</v>
      </c>
      <c r="P1551" s="11" t="s">
        <v>3696</v>
      </c>
      <c r="R1551" s="1">
        <v>14</v>
      </c>
      <c r="T1551" s="1" t="s">
        <v>238</v>
      </c>
      <c r="U1551" s="11" t="s">
        <v>3694</v>
      </c>
      <c r="V1551" s="1" t="s">
        <v>41</v>
      </c>
      <c r="W1551" s="1" t="s">
        <v>49</v>
      </c>
      <c r="X1551" s="13" t="str">
        <f>IF(RIGHT(H1551,2)&lt;&gt;"00",H1551,"")</f>
        <v>2125.91</v>
      </c>
      <c r="Y1551" s="2">
        <f ca="1">NETWORKDAYS(P1551,$Y$1)</f>
        <v>9</v>
      </c>
      <c r="Z1551" s="14">
        <v>1</v>
      </c>
      <c r="AA1551" s="1" t="str">
        <f t="shared" ca="1" si="120"/>
        <v>VENCIDO</v>
      </c>
      <c r="AB1551" s="1" t="str">
        <f t="shared" si="121"/>
        <v>TAAe+</v>
      </c>
      <c r="AC1551" s="2" t="str">
        <f t="shared" si="122"/>
        <v xml:space="preserve"> RINALDO </v>
      </c>
      <c r="AD1551" s="2">
        <f t="shared" si="123"/>
        <v>8</v>
      </c>
      <c r="AE1551" s="2">
        <f t="shared" ca="1" si="124"/>
        <v>-7.2804383101829444</v>
      </c>
    </row>
    <row r="1552" spans="1:31" hidden="1">
      <c r="A1552" s="1">
        <v>9494265</v>
      </c>
      <c r="B1552" s="1" t="s">
        <v>1153</v>
      </c>
      <c r="C1552" t="s">
        <v>3697</v>
      </c>
      <c r="D1552" s="2">
        <v>20230115000014</v>
      </c>
      <c r="E1552" s="2">
        <v>7417202020304</v>
      </c>
      <c r="F1552" s="1" t="s">
        <v>1213</v>
      </c>
      <c r="G1552" s="1" t="s">
        <v>53</v>
      </c>
      <c r="H1552" s="1" t="s">
        <v>2591</v>
      </c>
      <c r="I1552" s="1" t="s">
        <v>2592</v>
      </c>
      <c r="J1552" s="1" t="s">
        <v>56</v>
      </c>
      <c r="K1552" t="s">
        <v>1214</v>
      </c>
      <c r="M1552" s="1" t="s">
        <v>58</v>
      </c>
      <c r="N1552" s="1">
        <v>0</v>
      </c>
      <c r="O1552" s="1" t="s">
        <v>105</v>
      </c>
      <c r="P1552" s="11" t="s">
        <v>3698</v>
      </c>
      <c r="R1552" s="1">
        <v>14</v>
      </c>
      <c r="T1552" s="1" t="s">
        <v>238</v>
      </c>
      <c r="U1552" s="11" t="s">
        <v>3694</v>
      </c>
      <c r="V1552" s="1" t="s">
        <v>41</v>
      </c>
      <c r="W1552" s="1" t="s">
        <v>49</v>
      </c>
      <c r="X1552" s="13" t="str">
        <f>IF(RIGHT(H1552,2)&lt;&gt;"00",H1552,"")</f>
        <v>0115.91</v>
      </c>
      <c r="Y1552" s="2">
        <f ca="1">NETWORKDAYS(P1552,$Y$1)</f>
        <v>9</v>
      </c>
      <c r="Z1552" s="14">
        <v>1</v>
      </c>
      <c r="AA1552" s="1" t="str">
        <f t="shared" ca="1" si="120"/>
        <v>VENCIDO</v>
      </c>
      <c r="AB1552" s="1" t="str">
        <f t="shared" si="121"/>
        <v>TAAe+</v>
      </c>
      <c r="AC1552" s="2" t="str">
        <f t="shared" si="122"/>
        <v xml:space="preserve"> CRISTINA </v>
      </c>
      <c r="AD1552" s="2">
        <f t="shared" si="123"/>
        <v>8</v>
      </c>
      <c r="AE1552" s="2">
        <f t="shared" ca="1" si="124"/>
        <v>-7.2804383101829444</v>
      </c>
    </row>
    <row r="1553" spans="1:31" hidden="1">
      <c r="A1553" s="1">
        <v>9494234</v>
      </c>
      <c r="B1553" s="1" t="s">
        <v>1153</v>
      </c>
      <c r="C1553" t="s">
        <v>3699</v>
      </c>
      <c r="D1553" s="2">
        <v>20238889000065</v>
      </c>
      <c r="E1553" s="2">
        <v>7417163282971</v>
      </c>
      <c r="F1553" s="1" t="s">
        <v>131</v>
      </c>
      <c r="G1553" s="1" t="s">
        <v>53</v>
      </c>
      <c r="H1553" s="1" t="s">
        <v>2917</v>
      </c>
      <c r="I1553" s="1" t="s">
        <v>2918</v>
      </c>
      <c r="J1553" s="1" t="s">
        <v>33</v>
      </c>
      <c r="K1553" t="s">
        <v>132</v>
      </c>
      <c r="M1553" s="1" t="s">
        <v>58</v>
      </c>
      <c r="N1553" s="1">
        <v>0</v>
      </c>
      <c r="O1553" s="1" t="s">
        <v>105</v>
      </c>
      <c r="P1553" s="11" t="s">
        <v>3700</v>
      </c>
      <c r="R1553" s="1">
        <v>14</v>
      </c>
      <c r="T1553" s="1" t="s">
        <v>238</v>
      </c>
      <c r="U1553" s="11" t="s">
        <v>3694</v>
      </c>
      <c r="V1553" s="1" t="s">
        <v>41</v>
      </c>
      <c r="W1553" s="1" t="s">
        <v>49</v>
      </c>
      <c r="X1553" s="13" t="str">
        <f>IF(RIGHT(H1553,2)&lt;&gt;"00",H1553,"")</f>
        <v>8889.02</v>
      </c>
      <c r="Y1553" s="2">
        <f ca="1">NETWORKDAYS(P1553,$Y$1)</f>
        <v>9</v>
      </c>
      <c r="Z1553" s="14">
        <v>1</v>
      </c>
      <c r="AA1553" s="1" t="str">
        <f t="shared" ca="1" si="120"/>
        <v>VENCIDO</v>
      </c>
      <c r="AB1553" s="1" t="str">
        <f t="shared" si="121"/>
        <v>TAAe+</v>
      </c>
      <c r="AC1553" s="2" t="str">
        <f t="shared" si="122"/>
        <v xml:space="preserve"> ROSEMERE </v>
      </c>
      <c r="AD1553" s="2">
        <f t="shared" si="123"/>
        <v>8</v>
      </c>
      <c r="AE1553" s="2">
        <f t="shared" ca="1" si="124"/>
        <v>-7.2804383101829444</v>
      </c>
    </row>
    <row r="1554" spans="1:31" hidden="1">
      <c r="A1554" s="1">
        <v>9494172</v>
      </c>
      <c r="B1554" s="1" t="s">
        <v>1153</v>
      </c>
      <c r="C1554" t="s">
        <v>3701</v>
      </c>
      <c r="E1554" s="2">
        <v>4274000203000</v>
      </c>
      <c r="F1554" s="1" t="s">
        <v>454</v>
      </c>
      <c r="G1554" s="1" t="s">
        <v>53</v>
      </c>
      <c r="H1554" s="1" t="s">
        <v>386</v>
      </c>
      <c r="I1554" s="1" t="s">
        <v>387</v>
      </c>
      <c r="J1554" s="1" t="s">
        <v>46</v>
      </c>
      <c r="K1554" t="s">
        <v>457</v>
      </c>
      <c r="M1554" s="1" t="s">
        <v>58</v>
      </c>
      <c r="N1554" s="1">
        <v>0</v>
      </c>
      <c r="O1554" s="1" t="s">
        <v>36</v>
      </c>
      <c r="P1554" s="11" t="s">
        <v>3702</v>
      </c>
      <c r="R1554" s="1">
        <v>1</v>
      </c>
      <c r="T1554" s="1" t="s">
        <v>157</v>
      </c>
      <c r="U1554" s="11" t="s">
        <v>3703</v>
      </c>
      <c r="V1554" s="1" t="s">
        <v>41</v>
      </c>
      <c r="W1554" s="1" t="s">
        <v>49</v>
      </c>
      <c r="X1554" s="13" t="str">
        <f>IF(RIGHT(H1554,2)&lt;&gt;"00",H1554,"")</f>
        <v/>
      </c>
      <c r="Y1554" s="2">
        <f ca="1">NETWORKDAYS(P1554,$Y$1)</f>
        <v>9</v>
      </c>
      <c r="Z1554" s="14">
        <v>1</v>
      </c>
      <c r="AA1554" s="1" t="str">
        <f t="shared" ca="1" si="120"/>
        <v>VENCIDO</v>
      </c>
      <c r="AB1554" s="1" t="str">
        <f t="shared" si="121"/>
        <v>C-14</v>
      </c>
      <c r="AC1554" s="2" t="str">
        <f t="shared" si="122"/>
        <v xml:space="preserve"> CLEITON </v>
      </c>
      <c r="AD1554" s="2">
        <f t="shared" si="123"/>
        <v>5</v>
      </c>
      <c r="AE1554" s="2">
        <f t="shared" ca="1" si="124"/>
        <v>-10.946780902777391</v>
      </c>
    </row>
    <row r="1555" spans="1:31" hidden="1">
      <c r="A1555" s="1">
        <v>9494138</v>
      </c>
      <c r="B1555" s="1" t="s">
        <v>1153</v>
      </c>
      <c r="C1555" t="s">
        <v>3704</v>
      </c>
      <c r="D1555" s="2">
        <v>20234844000511</v>
      </c>
      <c r="E1555" s="2">
        <v>7419141891764</v>
      </c>
      <c r="F1555" s="1" t="s">
        <v>128</v>
      </c>
      <c r="G1555" s="1" t="s">
        <v>53</v>
      </c>
      <c r="H1555" s="1" t="s">
        <v>2606</v>
      </c>
      <c r="I1555" s="1" t="s">
        <v>2607</v>
      </c>
      <c r="J1555" s="1" t="s">
        <v>46</v>
      </c>
      <c r="K1555" t="s">
        <v>129</v>
      </c>
      <c r="M1555" s="1" t="s">
        <v>58</v>
      </c>
      <c r="N1555" s="1">
        <v>0</v>
      </c>
      <c r="O1555" s="1" t="s">
        <v>105</v>
      </c>
      <c r="P1555" s="11" t="s">
        <v>3705</v>
      </c>
      <c r="R1555" s="1">
        <v>13</v>
      </c>
      <c r="T1555" s="1" t="s">
        <v>238</v>
      </c>
      <c r="U1555" s="11" t="s">
        <v>3694</v>
      </c>
      <c r="V1555" s="1" t="s">
        <v>41</v>
      </c>
      <c r="W1555" s="1" t="s">
        <v>49</v>
      </c>
      <c r="X1555" s="13" t="str">
        <f>IF(RIGHT(H1555,2)&lt;&gt;"00",H1555,"")</f>
        <v>4844.28</v>
      </c>
      <c r="Y1555" s="2">
        <f ca="1">NETWORKDAYS(P1555,$Y$1)</f>
        <v>9</v>
      </c>
      <c r="Z1555" s="14">
        <v>1</v>
      </c>
      <c r="AA1555" s="1" t="str">
        <f t="shared" ca="1" si="120"/>
        <v>VENCIDO</v>
      </c>
      <c r="AB1555" s="1" t="str">
        <f t="shared" si="121"/>
        <v>TAAe+</v>
      </c>
      <c r="AC1555" s="2" t="str">
        <f t="shared" si="122"/>
        <v xml:space="preserve"> CLEITON </v>
      </c>
      <c r="AD1555" s="2">
        <f t="shared" si="123"/>
        <v>8</v>
      </c>
      <c r="AE1555" s="2">
        <f t="shared" ca="1" si="124"/>
        <v>-7.2804383101829444</v>
      </c>
    </row>
    <row r="1556" spans="1:31" hidden="1">
      <c r="A1556" s="1">
        <v>9494121</v>
      </c>
      <c r="B1556" s="1" t="s">
        <v>1153</v>
      </c>
      <c r="C1556" t="s">
        <v>3706</v>
      </c>
      <c r="E1556" s="2">
        <v>821000203000</v>
      </c>
      <c r="F1556" s="1" t="s">
        <v>454</v>
      </c>
      <c r="G1556" s="1" t="s">
        <v>53</v>
      </c>
      <c r="H1556" s="1" t="s">
        <v>1351</v>
      </c>
      <c r="I1556" s="1" t="s">
        <v>1352</v>
      </c>
      <c r="J1556" s="1" t="s">
        <v>46</v>
      </c>
      <c r="K1556" t="s">
        <v>457</v>
      </c>
      <c r="M1556" s="1" t="s">
        <v>58</v>
      </c>
      <c r="N1556" s="1">
        <v>0</v>
      </c>
      <c r="O1556" s="1" t="s">
        <v>105</v>
      </c>
      <c r="P1556" s="11" t="s">
        <v>3707</v>
      </c>
      <c r="R1556" s="1">
        <v>1</v>
      </c>
      <c r="T1556" s="1" t="s">
        <v>157</v>
      </c>
      <c r="U1556" s="11" t="s">
        <v>3708</v>
      </c>
      <c r="V1556" s="1" t="s">
        <v>41</v>
      </c>
      <c r="W1556" s="1" t="s">
        <v>49</v>
      </c>
      <c r="X1556" s="13" t="str">
        <f>IF(RIGHT(H1556,2)&lt;&gt;"00",H1556,"")</f>
        <v/>
      </c>
      <c r="Y1556" s="2">
        <f ca="1">NETWORKDAYS(P1556,$Y$1)</f>
        <v>9</v>
      </c>
      <c r="Z1556" s="14">
        <v>1</v>
      </c>
      <c r="AA1556" s="1" t="str">
        <f t="shared" ca="1" si="120"/>
        <v>VENCIDO</v>
      </c>
      <c r="AB1556" s="1" t="str">
        <f t="shared" si="121"/>
        <v>C-14</v>
      </c>
      <c r="AC1556" s="2" t="str">
        <f t="shared" si="122"/>
        <v xml:space="preserve"> CLEITON </v>
      </c>
      <c r="AD1556" s="2">
        <f t="shared" si="123"/>
        <v>5</v>
      </c>
      <c r="AE1556" s="2">
        <f t="shared" ca="1" si="124"/>
        <v>-10.957047106479877</v>
      </c>
    </row>
    <row r="1557" spans="1:31" hidden="1">
      <c r="A1557" s="1">
        <v>9494120</v>
      </c>
      <c r="B1557" s="1" t="s">
        <v>1153</v>
      </c>
      <c r="C1557" t="s">
        <v>3709</v>
      </c>
      <c r="E1557" s="2">
        <v>2365000203000</v>
      </c>
      <c r="F1557" s="1" t="s">
        <v>454</v>
      </c>
      <c r="G1557" s="1" t="s">
        <v>53</v>
      </c>
      <c r="H1557" s="1" t="s">
        <v>159</v>
      </c>
      <c r="I1557" s="1" t="s">
        <v>160</v>
      </c>
      <c r="J1557" s="1" t="s">
        <v>46</v>
      </c>
      <c r="K1557" t="s">
        <v>457</v>
      </c>
      <c r="M1557" s="1" t="s">
        <v>58</v>
      </c>
      <c r="N1557" s="1">
        <v>0</v>
      </c>
      <c r="O1557" s="1" t="s">
        <v>36</v>
      </c>
      <c r="P1557" s="11" t="s">
        <v>3710</v>
      </c>
      <c r="R1557" s="1">
        <v>1</v>
      </c>
      <c r="T1557" s="1" t="s">
        <v>157</v>
      </c>
      <c r="U1557" s="11" t="s">
        <v>3711</v>
      </c>
      <c r="V1557" s="1" t="s">
        <v>41</v>
      </c>
      <c r="W1557" s="1" t="s">
        <v>49</v>
      </c>
      <c r="X1557" s="13" t="str">
        <f>IF(RIGHT(H1557,2)&lt;&gt;"00",H1557,"")</f>
        <v/>
      </c>
      <c r="Y1557" s="2">
        <f ca="1">NETWORKDAYS(P1557,$Y$1)</f>
        <v>9</v>
      </c>
      <c r="Z1557" s="14">
        <v>1</v>
      </c>
      <c r="AA1557" s="1" t="str">
        <f t="shared" ca="1" si="120"/>
        <v>VENCIDO</v>
      </c>
      <c r="AB1557" s="1" t="str">
        <f t="shared" si="121"/>
        <v>C-14</v>
      </c>
      <c r="AC1557" s="2" t="str">
        <f t="shared" si="122"/>
        <v xml:space="preserve"> CLEITON </v>
      </c>
      <c r="AD1557" s="2">
        <f t="shared" si="123"/>
        <v>5</v>
      </c>
      <c r="AE1557" s="2">
        <f t="shared" ca="1" si="124"/>
        <v>-10.957128125002782</v>
      </c>
    </row>
    <row r="1558" spans="1:31" hidden="1">
      <c r="A1558" s="1">
        <v>9494092</v>
      </c>
      <c r="B1558" s="1" t="s">
        <v>1153</v>
      </c>
      <c r="C1558" t="s">
        <v>3712</v>
      </c>
      <c r="D1558" s="2">
        <v>20234844000510</v>
      </c>
      <c r="E1558" s="2">
        <v>7419141891884</v>
      </c>
      <c r="F1558" s="1" t="s">
        <v>128</v>
      </c>
      <c r="G1558" s="1" t="s">
        <v>53</v>
      </c>
      <c r="H1558" s="1" t="s">
        <v>2883</v>
      </c>
      <c r="I1558" s="1" t="s">
        <v>2884</v>
      </c>
      <c r="J1558" s="1" t="s">
        <v>46</v>
      </c>
      <c r="K1558" t="s">
        <v>129</v>
      </c>
      <c r="M1558" s="1" t="s">
        <v>58</v>
      </c>
      <c r="N1558" s="1">
        <v>0</v>
      </c>
      <c r="O1558" s="1" t="s">
        <v>105</v>
      </c>
      <c r="P1558" s="11" t="s">
        <v>3713</v>
      </c>
      <c r="R1558" s="1">
        <v>13</v>
      </c>
      <c r="T1558" s="1" t="s">
        <v>238</v>
      </c>
      <c r="U1558" s="11" t="s">
        <v>3713</v>
      </c>
      <c r="V1558" s="1" t="s">
        <v>41</v>
      </c>
      <c r="W1558" s="1" t="s">
        <v>49</v>
      </c>
      <c r="X1558" s="13" t="str">
        <f>IF(RIGHT(H1558,2)&lt;&gt;"00",H1558,"")</f>
        <v>4844.11</v>
      </c>
      <c r="Y1558" s="2">
        <f ca="1">NETWORKDAYS(P1558,$Y$1)</f>
        <v>9</v>
      </c>
      <c r="Z1558" s="14">
        <v>1</v>
      </c>
      <c r="AA1558" s="1" t="str">
        <f t="shared" ca="1" si="120"/>
        <v>VENCIDO</v>
      </c>
      <c r="AB1558" s="1" t="str">
        <f t="shared" si="121"/>
        <v>TAAe+</v>
      </c>
      <c r="AC1558" s="2" t="str">
        <f t="shared" si="122"/>
        <v xml:space="preserve"> CLEITON </v>
      </c>
      <c r="AD1558" s="2">
        <f t="shared" si="123"/>
        <v>8</v>
      </c>
      <c r="AE1558" s="2">
        <f t="shared" ca="1" si="124"/>
        <v>-11.979732291663822</v>
      </c>
    </row>
    <row r="1559" spans="1:31" hidden="1">
      <c r="A1559" s="1">
        <v>9494071</v>
      </c>
      <c r="B1559" s="1" t="s">
        <v>1153</v>
      </c>
      <c r="C1559" t="s">
        <v>3714</v>
      </c>
      <c r="E1559" s="2">
        <v>2326000203000</v>
      </c>
      <c r="F1559" s="1" t="s">
        <v>454</v>
      </c>
      <c r="G1559" s="1" t="s">
        <v>53</v>
      </c>
      <c r="H1559" s="1" t="s">
        <v>191</v>
      </c>
      <c r="I1559" s="1" t="s">
        <v>192</v>
      </c>
      <c r="J1559" s="1" t="s">
        <v>46</v>
      </c>
      <c r="K1559" t="s">
        <v>457</v>
      </c>
      <c r="M1559" s="1" t="s">
        <v>58</v>
      </c>
      <c r="N1559" s="1">
        <v>0</v>
      </c>
      <c r="O1559" s="1" t="s">
        <v>36</v>
      </c>
      <c r="P1559" s="12">
        <v>44974.708726851852</v>
      </c>
      <c r="R1559" s="1">
        <v>1</v>
      </c>
      <c r="T1559" s="1" t="s">
        <v>157</v>
      </c>
      <c r="U1559" s="12">
        <v>44975.708726851852</v>
      </c>
      <c r="V1559" s="1" t="s">
        <v>41</v>
      </c>
      <c r="W1559" s="1" t="s">
        <v>49</v>
      </c>
      <c r="X1559" s="13" t="str">
        <f>IF(RIGHT(H1559,2)&lt;&gt;"00",H1559,"")</f>
        <v/>
      </c>
      <c r="Y1559" s="2">
        <f ca="1">NETWORKDAYS(P1559,$Y$1)</f>
        <v>9</v>
      </c>
      <c r="Z1559" s="14">
        <v>1</v>
      </c>
      <c r="AA1559" s="1" t="str">
        <f t="shared" ca="1" si="120"/>
        <v>VENCIDO</v>
      </c>
      <c r="AB1559" s="1" t="str">
        <f t="shared" si="121"/>
        <v>C-14</v>
      </c>
      <c r="AC1559" s="2" t="str">
        <f t="shared" si="122"/>
        <v xml:space="preserve"> CLEITON </v>
      </c>
      <c r="AD1559" s="2">
        <f t="shared" si="123"/>
        <v>5</v>
      </c>
      <c r="AE1559" s="2">
        <f t="shared" ca="1" si="124"/>
        <v>-10.967544791667024</v>
      </c>
    </row>
    <row r="1560" spans="1:31" hidden="1">
      <c r="A1560" s="1">
        <v>9494034</v>
      </c>
      <c r="B1560" s="1" t="s">
        <v>1153</v>
      </c>
      <c r="C1560" t="s">
        <v>3715</v>
      </c>
      <c r="E1560" s="2">
        <v>934000203000</v>
      </c>
      <c r="F1560" s="1" t="s">
        <v>454</v>
      </c>
      <c r="G1560" s="1" t="s">
        <v>53</v>
      </c>
      <c r="H1560" s="1" t="s">
        <v>428</v>
      </c>
      <c r="I1560" s="1" t="s">
        <v>429</v>
      </c>
      <c r="J1560" s="1" t="s">
        <v>46</v>
      </c>
      <c r="K1560" t="s">
        <v>457</v>
      </c>
      <c r="M1560" s="1" t="s">
        <v>58</v>
      </c>
      <c r="N1560" s="1">
        <v>0</v>
      </c>
      <c r="O1560" s="1" t="s">
        <v>36</v>
      </c>
      <c r="P1560" s="12">
        <v>44974.698240740741</v>
      </c>
      <c r="R1560" s="1">
        <v>1</v>
      </c>
      <c r="T1560" s="1" t="s">
        <v>157</v>
      </c>
      <c r="U1560" s="12">
        <v>44975.698240740741</v>
      </c>
      <c r="V1560" s="1" t="s">
        <v>41</v>
      </c>
      <c r="W1560" s="1" t="s">
        <v>49</v>
      </c>
      <c r="X1560" s="13" t="str">
        <f>IF(RIGHT(H1560,2)&lt;&gt;"00",H1560,"")</f>
        <v/>
      </c>
      <c r="Y1560" s="2">
        <f ca="1">NETWORKDAYS(P1560,$Y$1)</f>
        <v>9</v>
      </c>
      <c r="Z1560" s="14">
        <v>1</v>
      </c>
      <c r="AA1560" s="1" t="str">
        <f t="shared" ca="1" si="120"/>
        <v>VENCIDO</v>
      </c>
      <c r="AB1560" s="1" t="str">
        <f t="shared" si="121"/>
        <v>C-14</v>
      </c>
      <c r="AC1560" s="2" t="str">
        <f t="shared" si="122"/>
        <v xml:space="preserve"> CLEITON </v>
      </c>
      <c r="AD1560" s="2">
        <f t="shared" si="123"/>
        <v>5</v>
      </c>
      <c r="AE1560" s="2">
        <f t="shared" ca="1" si="124"/>
        <v>-10.978030902777391</v>
      </c>
    </row>
    <row r="1561" spans="1:31">
      <c r="A1561" s="175">
        <v>9493987</v>
      </c>
      <c r="B1561" s="175" t="s">
        <v>1153</v>
      </c>
      <c r="C1561" s="176" t="s">
        <v>3716</v>
      </c>
      <c r="D1561" s="177"/>
      <c r="E1561" s="177">
        <v>3802000206001</v>
      </c>
      <c r="F1561" s="175" t="s">
        <v>29</v>
      </c>
      <c r="G1561" s="175" t="s">
        <v>53</v>
      </c>
      <c r="H1561" s="175" t="s">
        <v>319</v>
      </c>
      <c r="I1561" s="175" t="s">
        <v>320</v>
      </c>
      <c r="J1561" s="175" t="s">
        <v>148</v>
      </c>
      <c r="K1561" t="s">
        <v>34</v>
      </c>
      <c r="M1561" s="1" t="s">
        <v>35</v>
      </c>
      <c r="N1561" s="1">
        <v>42318949</v>
      </c>
      <c r="O1561" s="1" t="s">
        <v>36</v>
      </c>
      <c r="P1561" s="12">
        <v>44974.687824074077</v>
      </c>
      <c r="R1561" s="1" t="s">
        <v>38</v>
      </c>
      <c r="T1561" s="1" t="s">
        <v>74</v>
      </c>
      <c r="U1561" s="12">
        <v>44979.729490740741</v>
      </c>
      <c r="V1561" s="1" t="s">
        <v>41</v>
      </c>
      <c r="W1561" s="1" t="s">
        <v>49</v>
      </c>
      <c r="X1561" s="13" t="str">
        <f>IF(RIGHT(H1561,2)&lt;&gt;"00",H1561,"")</f>
        <v/>
      </c>
      <c r="Y1561" s="2">
        <f ca="1">NETWORKDAYS(P1561,$Y$1)</f>
        <v>9</v>
      </c>
      <c r="Z1561" s="14">
        <v>1</v>
      </c>
      <c r="AA1561" s="1" t="str">
        <f t="shared" ca="1" si="120"/>
        <v>VENCIDO</v>
      </c>
      <c r="AB1561" s="1" t="str">
        <f t="shared" si="121"/>
        <v>Dosa</v>
      </c>
      <c r="AC1561" s="2" t="str">
        <f t="shared" si="122"/>
        <v xml:space="preserve"> RINALDO </v>
      </c>
      <c r="AD1561" s="2">
        <f t="shared" si="123"/>
        <v>5</v>
      </c>
      <c r="AE1561" s="2">
        <f t="shared" ca="1" si="124"/>
        <v>-6.946780902777391</v>
      </c>
    </row>
    <row r="1562" spans="1:31" hidden="1">
      <c r="A1562" s="1">
        <v>9493965</v>
      </c>
      <c r="B1562" s="1" t="s">
        <v>1153</v>
      </c>
      <c r="C1562" t="s">
        <v>3717</v>
      </c>
      <c r="D1562" s="2">
        <v>20234844000508</v>
      </c>
      <c r="E1562" s="2">
        <v>7417183020670</v>
      </c>
      <c r="F1562" s="1" t="s">
        <v>1313</v>
      </c>
      <c r="G1562" s="1" t="s">
        <v>53</v>
      </c>
      <c r="H1562" s="1" t="s">
        <v>2550</v>
      </c>
      <c r="I1562" s="1" t="s">
        <v>2551</v>
      </c>
      <c r="J1562" s="1" t="s">
        <v>46</v>
      </c>
      <c r="K1562" t="s">
        <v>1316</v>
      </c>
      <c r="M1562" s="1" t="s">
        <v>58</v>
      </c>
      <c r="N1562" s="1">
        <v>0</v>
      </c>
      <c r="O1562" s="1" t="s">
        <v>105</v>
      </c>
      <c r="P1562" s="12">
        <v>44974.665833333333</v>
      </c>
      <c r="R1562" s="1">
        <v>13</v>
      </c>
      <c r="T1562" s="1" t="s">
        <v>238</v>
      </c>
      <c r="U1562" s="12">
        <v>44974.665833333333</v>
      </c>
      <c r="V1562" s="1" t="s">
        <v>41</v>
      </c>
      <c r="W1562" s="1" t="s">
        <v>49</v>
      </c>
      <c r="X1562" s="13" t="str">
        <f>IF(RIGHT(H1562,2)&lt;&gt;"00",H1562,"")</f>
        <v>4844.19</v>
      </c>
      <c r="Y1562" s="2">
        <f ca="1">NETWORKDAYS(P1562,$Y$1)</f>
        <v>9</v>
      </c>
      <c r="Z1562" s="14">
        <v>1</v>
      </c>
      <c r="AA1562" s="1" t="str">
        <f t="shared" ca="1" si="120"/>
        <v>VENCIDO</v>
      </c>
      <c r="AB1562" s="1" t="str">
        <f t="shared" si="121"/>
        <v>TAAe+</v>
      </c>
      <c r="AC1562" s="2" t="str">
        <f t="shared" si="122"/>
        <v xml:space="preserve"> CLEITON </v>
      </c>
      <c r="AD1562" s="2">
        <f t="shared" si="123"/>
        <v>8</v>
      </c>
      <c r="AE1562" s="2">
        <f t="shared" ca="1" si="124"/>
        <v>-12.010438310186146</v>
      </c>
    </row>
    <row r="1563" spans="1:31" hidden="1">
      <c r="A1563" s="1">
        <v>9493962</v>
      </c>
      <c r="B1563" s="1" t="s">
        <v>1153</v>
      </c>
      <c r="C1563" t="s">
        <v>3718</v>
      </c>
      <c r="D1563" s="2">
        <v>20234844000509</v>
      </c>
      <c r="E1563" s="2">
        <v>7417183020672</v>
      </c>
      <c r="F1563" s="1" t="s">
        <v>1313</v>
      </c>
      <c r="G1563" s="1" t="s">
        <v>53</v>
      </c>
      <c r="H1563" s="1" t="s">
        <v>2550</v>
      </c>
      <c r="I1563" s="1" t="s">
        <v>2551</v>
      </c>
      <c r="J1563" s="1" t="s">
        <v>46</v>
      </c>
      <c r="K1563" t="s">
        <v>1316</v>
      </c>
      <c r="M1563" s="1" t="s">
        <v>58</v>
      </c>
      <c r="N1563" s="1">
        <v>0</v>
      </c>
      <c r="O1563" s="1" t="s">
        <v>105</v>
      </c>
      <c r="P1563" s="12">
        <v>44974.666759259257</v>
      </c>
      <c r="R1563" s="1">
        <v>13</v>
      </c>
      <c r="T1563" s="1" t="s">
        <v>238</v>
      </c>
      <c r="U1563" s="12">
        <v>44974.666759259257</v>
      </c>
      <c r="V1563" s="1" t="s">
        <v>41</v>
      </c>
      <c r="W1563" s="1" t="s">
        <v>49</v>
      </c>
      <c r="X1563" s="13" t="str">
        <f>IF(RIGHT(H1563,2)&lt;&gt;"00",H1563,"")</f>
        <v>4844.19</v>
      </c>
      <c r="Y1563" s="2">
        <f ca="1">NETWORKDAYS(P1563,$Y$1)</f>
        <v>9</v>
      </c>
      <c r="Z1563" s="14">
        <v>1</v>
      </c>
      <c r="AA1563" s="1" t="str">
        <f t="shared" ca="1" si="120"/>
        <v>VENCIDO</v>
      </c>
      <c r="AB1563" s="1" t="str">
        <f t="shared" si="121"/>
        <v>TAAe+</v>
      </c>
      <c r="AC1563" s="2" t="str">
        <f t="shared" si="122"/>
        <v xml:space="preserve"> CLEITON </v>
      </c>
      <c r="AD1563" s="2">
        <f t="shared" si="123"/>
        <v>8</v>
      </c>
      <c r="AE1563" s="2">
        <f t="shared" ca="1" si="124"/>
        <v>-12.009512384262052</v>
      </c>
    </row>
    <row r="1564" spans="1:31" hidden="1">
      <c r="A1564" s="1">
        <v>9493919</v>
      </c>
      <c r="B1564" s="1" t="s">
        <v>1153</v>
      </c>
      <c r="C1564" t="s">
        <v>3719</v>
      </c>
      <c r="D1564" s="2">
        <v>20234844000507</v>
      </c>
      <c r="E1564" s="2">
        <v>7417183020621</v>
      </c>
      <c r="F1564" s="1" t="s">
        <v>1313</v>
      </c>
      <c r="G1564" s="1" t="s">
        <v>53</v>
      </c>
      <c r="H1564" s="1" t="s">
        <v>2690</v>
      </c>
      <c r="I1564" s="1" t="s">
        <v>2691</v>
      </c>
      <c r="J1564" s="1" t="s">
        <v>46</v>
      </c>
      <c r="K1564" t="s">
        <v>1316</v>
      </c>
      <c r="M1564" s="1" t="s">
        <v>58</v>
      </c>
      <c r="N1564" s="1">
        <v>0</v>
      </c>
      <c r="O1564" s="1" t="s">
        <v>105</v>
      </c>
      <c r="P1564" s="12">
        <v>44974.657847222225</v>
      </c>
      <c r="R1564" s="1">
        <v>13</v>
      </c>
      <c r="T1564" s="1" t="s">
        <v>238</v>
      </c>
      <c r="U1564" s="12">
        <v>44974.657847222225</v>
      </c>
      <c r="V1564" s="1" t="s">
        <v>41</v>
      </c>
      <c r="W1564" s="1" t="s">
        <v>49</v>
      </c>
      <c r="X1564" s="13" t="str">
        <f>IF(RIGHT(H1564,2)&lt;&gt;"00",H1564,"")</f>
        <v>4844.16</v>
      </c>
      <c r="Y1564" s="2">
        <f ca="1">NETWORKDAYS(P1564,$Y$1)</f>
        <v>9</v>
      </c>
      <c r="Z1564" s="14">
        <v>1</v>
      </c>
      <c r="AA1564" s="1" t="str">
        <f t="shared" ca="1" si="120"/>
        <v>VENCIDO</v>
      </c>
      <c r="AB1564" s="1" t="str">
        <f t="shared" si="121"/>
        <v>TAAe+</v>
      </c>
      <c r="AC1564" s="2" t="str">
        <f t="shared" si="122"/>
        <v xml:space="preserve"> CLEITON </v>
      </c>
      <c r="AD1564" s="2">
        <f t="shared" si="123"/>
        <v>8</v>
      </c>
      <c r="AE1564" s="2">
        <f t="shared" ca="1" si="124"/>
        <v>-12.018424421294185</v>
      </c>
    </row>
    <row r="1565" spans="1:31" hidden="1">
      <c r="A1565" s="1">
        <v>9493855</v>
      </c>
      <c r="B1565" s="1" t="s">
        <v>1153</v>
      </c>
      <c r="C1565" t="s">
        <v>3720</v>
      </c>
      <c r="D1565" s="2">
        <v>20234844000502</v>
      </c>
      <c r="E1565" s="2">
        <v>7419143322034</v>
      </c>
      <c r="F1565" s="1" t="s">
        <v>1222</v>
      </c>
      <c r="G1565" s="1" t="s">
        <v>53</v>
      </c>
      <c r="H1565" s="1" t="s">
        <v>2796</v>
      </c>
      <c r="I1565" s="1" t="s">
        <v>2797</v>
      </c>
      <c r="J1565" s="1" t="s">
        <v>46</v>
      </c>
      <c r="K1565" t="s">
        <v>1223</v>
      </c>
      <c r="M1565" s="1" t="s">
        <v>58</v>
      </c>
      <c r="N1565" s="1">
        <v>0</v>
      </c>
      <c r="O1565" s="1" t="s">
        <v>105</v>
      </c>
      <c r="P1565" s="12">
        <v>44974.645868055559</v>
      </c>
      <c r="R1565" s="1">
        <v>13</v>
      </c>
      <c r="T1565" s="1" t="s">
        <v>238</v>
      </c>
      <c r="U1565" s="12">
        <v>44974.645868055559</v>
      </c>
      <c r="V1565" s="1" t="s">
        <v>41</v>
      </c>
      <c r="W1565" s="1" t="s">
        <v>49</v>
      </c>
      <c r="X1565" s="13" t="str">
        <f>IF(RIGHT(H1565,2)&lt;&gt;"00",H1565,"")</f>
        <v>4844.30</v>
      </c>
      <c r="Y1565" s="2">
        <f ca="1">NETWORKDAYS(P1565,$Y$1)</f>
        <v>9</v>
      </c>
      <c r="Z1565" s="14">
        <v>1</v>
      </c>
      <c r="AA1565" s="1" t="str">
        <f t="shared" ca="1" si="120"/>
        <v>VENCIDO</v>
      </c>
      <c r="AB1565" s="1" t="str">
        <f t="shared" si="121"/>
        <v>TAAe+</v>
      </c>
      <c r="AC1565" s="2" t="str">
        <f t="shared" si="122"/>
        <v xml:space="preserve"> CLEITON </v>
      </c>
      <c r="AD1565" s="2">
        <f t="shared" si="123"/>
        <v>8</v>
      </c>
      <c r="AE1565" s="2">
        <f t="shared" ca="1" si="124"/>
        <v>-12.030403587959881</v>
      </c>
    </row>
    <row r="1566" spans="1:31" hidden="1">
      <c r="A1566" s="1">
        <v>9493787</v>
      </c>
      <c r="B1566" s="1" t="s">
        <v>1153</v>
      </c>
      <c r="C1566" t="s">
        <v>3721</v>
      </c>
      <c r="D1566" s="2">
        <v>230030783</v>
      </c>
      <c r="E1566" s="2">
        <v>3258001400020</v>
      </c>
      <c r="F1566" s="1" t="s">
        <v>1961</v>
      </c>
      <c r="G1566" s="1" t="s">
        <v>53</v>
      </c>
      <c r="H1566" s="1" t="s">
        <v>321</v>
      </c>
      <c r="I1566" s="1" t="s">
        <v>322</v>
      </c>
      <c r="J1566" s="1" t="s">
        <v>46</v>
      </c>
      <c r="K1566" t="s">
        <v>1962</v>
      </c>
      <c r="M1566" s="1" t="s">
        <v>58</v>
      </c>
      <c r="N1566" s="1">
        <v>0</v>
      </c>
      <c r="O1566" s="1" t="s">
        <v>36</v>
      </c>
      <c r="P1566" s="12">
        <v>44974.634791666664</v>
      </c>
      <c r="R1566" s="1">
        <v>4</v>
      </c>
      <c r="T1566" s="1" t="s">
        <v>646</v>
      </c>
      <c r="U1566" s="12">
        <v>44979.655624999999</v>
      </c>
      <c r="V1566" s="1" t="s">
        <v>41</v>
      </c>
      <c r="W1566" s="1" t="s">
        <v>49</v>
      </c>
      <c r="X1566" s="13" t="str">
        <f>IF(RIGHT(H1566,2)&lt;&gt;"00",H1566,"")</f>
        <v/>
      </c>
      <c r="Y1566" s="2">
        <f ca="1">NETWORKDAYS(P1566,$Y$1)</f>
        <v>9</v>
      </c>
      <c r="Z1566" s="14">
        <v>1</v>
      </c>
      <c r="AA1566" s="1" t="str">
        <f t="shared" ca="1" si="120"/>
        <v>VENCIDO</v>
      </c>
      <c r="AB1566" s="1" t="str">
        <f t="shared" si="121"/>
        <v>C-14</v>
      </c>
      <c r="AC1566" s="2" t="str">
        <f t="shared" si="122"/>
        <v xml:space="preserve"> CLEITON </v>
      </c>
      <c r="AD1566" s="2">
        <f t="shared" si="123"/>
        <v>5</v>
      </c>
      <c r="AE1566" s="2">
        <f t="shared" ca="1" si="124"/>
        <v>-7.0206466435192851</v>
      </c>
    </row>
    <row r="1567" spans="1:31">
      <c r="A1567" s="181">
        <v>9493727</v>
      </c>
      <c r="B1567" s="181" t="s">
        <v>1153</v>
      </c>
      <c r="C1567" s="185" t="s">
        <v>3722</v>
      </c>
      <c r="D1567" s="183">
        <v>20230605000016</v>
      </c>
      <c r="E1567" s="183">
        <v>7417162430096</v>
      </c>
      <c r="F1567" s="181" t="s">
        <v>3543</v>
      </c>
      <c r="G1567" s="181" t="s">
        <v>53</v>
      </c>
      <c r="H1567" s="181" t="s">
        <v>420</v>
      </c>
      <c r="I1567" s="181" t="s">
        <v>421</v>
      </c>
      <c r="J1567" s="181" t="s">
        <v>90</v>
      </c>
      <c r="K1567" t="s">
        <v>3544</v>
      </c>
      <c r="M1567" s="1" t="s">
        <v>58</v>
      </c>
      <c r="N1567" s="1">
        <v>0</v>
      </c>
      <c r="O1567" s="1" t="s">
        <v>36</v>
      </c>
      <c r="P1567" s="12">
        <v>44974.605937499997</v>
      </c>
      <c r="R1567" s="1">
        <v>22</v>
      </c>
      <c r="T1567" s="1" t="s">
        <v>1160</v>
      </c>
      <c r="U1567" s="12">
        <v>44981.439270833333</v>
      </c>
      <c r="V1567" s="1" t="s">
        <v>41</v>
      </c>
      <c r="W1567" s="1" t="s">
        <v>49</v>
      </c>
      <c r="X1567" s="13" t="str">
        <f>IF(RIGHT(H1567,2)&lt;&gt;"00",H1567,"")</f>
        <v/>
      </c>
      <c r="Y1567" s="2">
        <f ca="1">NETWORKDAYS(P1567,$Y$1)</f>
        <v>9</v>
      </c>
      <c r="Z1567" s="14">
        <v>1</v>
      </c>
      <c r="AA1567" s="1" t="str">
        <f t="shared" ca="1" si="120"/>
        <v>VENCIDO</v>
      </c>
      <c r="AB1567" s="1" t="str">
        <f t="shared" si="121"/>
        <v>TAAe+</v>
      </c>
      <c r="AC1567" s="2" t="str">
        <f t="shared" si="122"/>
        <v xml:space="preserve"> RINALDO </v>
      </c>
      <c r="AD1567" s="2">
        <f t="shared" si="123"/>
        <v>8</v>
      </c>
      <c r="AE1567" s="2">
        <f t="shared" ca="1" si="124"/>
        <v>-5.2370008101861458</v>
      </c>
    </row>
    <row r="1568" spans="1:31" hidden="1">
      <c r="A1568" s="1">
        <v>9493705</v>
      </c>
      <c r="B1568" s="1" t="s">
        <v>1153</v>
      </c>
      <c r="C1568" t="s">
        <v>3723</v>
      </c>
      <c r="E1568" s="2">
        <v>2889000206001</v>
      </c>
      <c r="F1568" s="1" t="s">
        <v>29</v>
      </c>
      <c r="G1568" s="1" t="s">
        <v>53</v>
      </c>
      <c r="H1568" s="1" t="s">
        <v>418</v>
      </c>
      <c r="I1568" s="1" t="s">
        <v>419</v>
      </c>
      <c r="J1568" s="1" t="s">
        <v>46</v>
      </c>
      <c r="K1568" t="s">
        <v>34</v>
      </c>
      <c r="M1568" s="1" t="s">
        <v>35</v>
      </c>
      <c r="N1568" s="1">
        <v>42318949</v>
      </c>
      <c r="O1568" s="1" t="s">
        <v>36</v>
      </c>
      <c r="P1568" s="12">
        <v>44974.614907407406</v>
      </c>
      <c r="R1568" s="1" t="s">
        <v>38</v>
      </c>
      <c r="T1568" s="1" t="s">
        <v>74</v>
      </c>
      <c r="U1568" s="12">
        <v>44979.614907407406</v>
      </c>
      <c r="V1568" s="1" t="s">
        <v>41</v>
      </c>
      <c r="W1568" s="1" t="s">
        <v>49</v>
      </c>
      <c r="X1568" s="13" t="str">
        <f>IF(RIGHT(H1568,2)&lt;&gt;"00",H1568,"")</f>
        <v/>
      </c>
      <c r="Y1568" s="2">
        <f ca="1">NETWORKDAYS(P1568,$Y$1)</f>
        <v>9</v>
      </c>
      <c r="Z1568" s="14">
        <v>1</v>
      </c>
      <c r="AA1568" s="1" t="str">
        <f t="shared" ca="1" si="120"/>
        <v>VENCIDO</v>
      </c>
      <c r="AB1568" s="1" t="str">
        <f t="shared" si="121"/>
        <v>Dosa</v>
      </c>
      <c r="AC1568" s="2" t="str">
        <f t="shared" si="122"/>
        <v xml:space="preserve"> CLEITON </v>
      </c>
      <c r="AD1568" s="2">
        <f t="shared" si="123"/>
        <v>5</v>
      </c>
      <c r="AE1568" s="2">
        <f t="shared" ca="1" si="124"/>
        <v>-7.0613642361131497</v>
      </c>
    </row>
    <row r="1569" spans="1:31" hidden="1">
      <c r="A1569" s="1">
        <v>9493696</v>
      </c>
      <c r="B1569" s="1" t="s">
        <v>1153</v>
      </c>
      <c r="C1569" t="s">
        <v>3724</v>
      </c>
      <c r="D1569" s="2">
        <v>20234844000501</v>
      </c>
      <c r="E1569" s="2">
        <v>7419141892252</v>
      </c>
      <c r="F1569" s="1" t="s">
        <v>128</v>
      </c>
      <c r="G1569" s="1" t="s">
        <v>53</v>
      </c>
      <c r="H1569" s="1" t="s">
        <v>2493</v>
      </c>
      <c r="I1569" s="1" t="s">
        <v>2494</v>
      </c>
      <c r="J1569" s="1" t="s">
        <v>46</v>
      </c>
      <c r="K1569" t="s">
        <v>129</v>
      </c>
      <c r="M1569" s="1" t="s">
        <v>58</v>
      </c>
      <c r="N1569" s="1">
        <v>0</v>
      </c>
      <c r="O1569" s="1" t="s">
        <v>105</v>
      </c>
      <c r="P1569" s="12">
        <v>44974.603900462964</v>
      </c>
      <c r="R1569" s="1">
        <v>13</v>
      </c>
      <c r="T1569" s="1" t="s">
        <v>238</v>
      </c>
      <c r="U1569" s="12">
        <v>44974.603900462964</v>
      </c>
      <c r="V1569" s="1" t="s">
        <v>41</v>
      </c>
      <c r="W1569" s="1" t="s">
        <v>49</v>
      </c>
      <c r="X1569" s="13" t="str">
        <f>IF(RIGHT(H1569,2)&lt;&gt;"00",H1569,"")</f>
        <v>4844.10</v>
      </c>
      <c r="Y1569" s="2">
        <f ca="1">NETWORKDAYS(P1569,$Y$1)</f>
        <v>9</v>
      </c>
      <c r="Z1569" s="14">
        <v>1</v>
      </c>
      <c r="AA1569" s="1" t="str">
        <f t="shared" ca="1" si="120"/>
        <v>VENCIDO</v>
      </c>
      <c r="AB1569" s="1" t="str">
        <f t="shared" si="121"/>
        <v>TAAe+</v>
      </c>
      <c r="AC1569" s="2" t="str">
        <f t="shared" si="122"/>
        <v xml:space="preserve"> CLEITON </v>
      </c>
      <c r="AD1569" s="2">
        <f t="shared" si="123"/>
        <v>8</v>
      </c>
      <c r="AE1569" s="2">
        <f t="shared" ca="1" si="124"/>
        <v>-12.07237118055491</v>
      </c>
    </row>
    <row r="1570" spans="1:31" hidden="1">
      <c r="A1570" s="1">
        <v>9493576</v>
      </c>
      <c r="B1570" s="1" t="s">
        <v>1153</v>
      </c>
      <c r="C1570" t="s">
        <v>3725</v>
      </c>
      <c r="D1570" s="2">
        <v>20230446000014</v>
      </c>
      <c r="E1570" s="2">
        <v>7419151141153</v>
      </c>
      <c r="F1570" s="1" t="s">
        <v>123</v>
      </c>
      <c r="G1570" s="1" t="s">
        <v>53</v>
      </c>
      <c r="H1570" s="1" t="s">
        <v>3324</v>
      </c>
      <c r="I1570" s="1" t="s">
        <v>3325</v>
      </c>
      <c r="J1570" s="1" t="s">
        <v>110</v>
      </c>
      <c r="K1570" t="s">
        <v>126</v>
      </c>
      <c r="M1570" s="1" t="s">
        <v>58</v>
      </c>
      <c r="N1570" s="1">
        <v>0</v>
      </c>
      <c r="O1570" s="1" t="s">
        <v>36</v>
      </c>
      <c r="P1570" s="12">
        <v>44974.571203703701</v>
      </c>
      <c r="R1570" s="1">
        <v>14</v>
      </c>
      <c r="T1570" s="1" t="s">
        <v>238</v>
      </c>
      <c r="U1570" s="12">
        <v>44974.571203703701</v>
      </c>
      <c r="V1570" s="1" t="s">
        <v>41</v>
      </c>
      <c r="W1570" s="1" t="s">
        <v>49</v>
      </c>
      <c r="X1570" s="13" t="str">
        <f>IF(RIGHT(H1570,2)&lt;&gt;"00",H1570,"")</f>
        <v>0446.91</v>
      </c>
      <c r="Y1570" s="2">
        <f ca="1">NETWORKDAYS(P1570,$Y$1)</f>
        <v>9</v>
      </c>
      <c r="Z1570" s="14">
        <v>1</v>
      </c>
      <c r="AA1570" s="1" t="str">
        <f t="shared" ca="1" si="120"/>
        <v>VENCIDO</v>
      </c>
      <c r="AB1570" s="1" t="str">
        <f t="shared" si="121"/>
        <v>TAAe+</v>
      </c>
      <c r="AC1570" s="2" t="str">
        <f t="shared" si="122"/>
        <v xml:space="preserve"> CRISTINA </v>
      </c>
      <c r="AD1570" s="2">
        <f t="shared" si="123"/>
        <v>8</v>
      </c>
      <c r="AE1570" s="2">
        <f t="shared" ca="1" si="124"/>
        <v>-12.105067939817673</v>
      </c>
    </row>
    <row r="1571" spans="1:31" hidden="1">
      <c r="A1571" s="1">
        <v>9493511</v>
      </c>
      <c r="B1571" s="1" t="s">
        <v>1153</v>
      </c>
      <c r="C1571" t="s">
        <v>3726</v>
      </c>
      <c r="D1571" s="2">
        <v>20232196000010</v>
      </c>
      <c r="E1571" s="2">
        <v>7417163284130</v>
      </c>
      <c r="F1571" s="1" t="s">
        <v>131</v>
      </c>
      <c r="G1571" s="1" t="s">
        <v>53</v>
      </c>
      <c r="H1571" s="1" t="s">
        <v>3727</v>
      </c>
      <c r="I1571" s="1" t="s">
        <v>3728</v>
      </c>
      <c r="J1571" s="1" t="s">
        <v>33</v>
      </c>
      <c r="K1571" t="s">
        <v>132</v>
      </c>
      <c r="M1571" s="1" t="s">
        <v>58</v>
      </c>
      <c r="N1571" s="1">
        <v>0</v>
      </c>
      <c r="O1571" s="1" t="s">
        <v>36</v>
      </c>
      <c r="P1571" s="12">
        <v>44974.549618055556</v>
      </c>
      <c r="R1571" s="1">
        <v>13</v>
      </c>
      <c r="T1571" s="1" t="s">
        <v>238</v>
      </c>
      <c r="U1571" s="12">
        <v>44974.549618055556</v>
      </c>
      <c r="V1571" s="1" t="s">
        <v>41</v>
      </c>
      <c r="W1571" s="1" t="s">
        <v>42</v>
      </c>
      <c r="X1571" s="13" t="str">
        <f>IF(RIGHT(H1571,2)&lt;&gt;"00",H1571,"")</f>
        <v>2196.91</v>
      </c>
      <c r="Y1571" s="2">
        <f ca="1">NETWORKDAYS(P1571,$Y$1)</f>
        <v>9</v>
      </c>
      <c r="Z1571" s="14">
        <v>1</v>
      </c>
      <c r="AA1571" s="1" t="str">
        <f t="shared" ca="1" si="120"/>
        <v>VENCIDO</v>
      </c>
      <c r="AB1571" s="1" t="str">
        <f t="shared" si="121"/>
        <v>TAAe+</v>
      </c>
      <c r="AC1571" s="2" t="str">
        <f t="shared" si="122"/>
        <v xml:space="preserve"> ROSEMERE </v>
      </c>
      <c r="AD1571" s="2">
        <f t="shared" si="123"/>
        <v>8</v>
      </c>
      <c r="AE1571" s="2">
        <f t="shared" ca="1" si="124"/>
        <v>-12.12665358796221</v>
      </c>
    </row>
    <row r="1572" spans="1:31" hidden="1">
      <c r="A1572" s="1">
        <v>9493355</v>
      </c>
      <c r="B1572" s="1" t="s">
        <v>1153</v>
      </c>
      <c r="C1572" t="s">
        <v>3729</v>
      </c>
      <c r="D1572" s="2">
        <v>20234844000496</v>
      </c>
      <c r="E1572" s="2">
        <v>7419141893537</v>
      </c>
      <c r="F1572" s="1" t="s">
        <v>128</v>
      </c>
      <c r="G1572" s="1" t="s">
        <v>53</v>
      </c>
      <c r="H1572" s="1" t="s">
        <v>2087</v>
      </c>
      <c r="I1572" s="1" t="s">
        <v>2088</v>
      </c>
      <c r="J1572" s="1" t="s">
        <v>46</v>
      </c>
      <c r="K1572" t="s">
        <v>129</v>
      </c>
      <c r="M1572" s="1" t="s">
        <v>58</v>
      </c>
      <c r="N1572" s="1">
        <v>0</v>
      </c>
      <c r="O1572" s="1" t="s">
        <v>105</v>
      </c>
      <c r="P1572" s="12">
        <v>44974.499421296299</v>
      </c>
      <c r="R1572" s="1">
        <v>13</v>
      </c>
      <c r="T1572" s="1" t="s">
        <v>238</v>
      </c>
      <c r="U1572" s="12">
        <v>44974.499421296299</v>
      </c>
      <c r="V1572" s="1" t="s">
        <v>41</v>
      </c>
      <c r="W1572" s="1" t="s">
        <v>49</v>
      </c>
      <c r="X1572" s="13" t="str">
        <f>IF(RIGHT(H1572,2)&lt;&gt;"00",H1572,"")</f>
        <v>4844.13</v>
      </c>
      <c r="Y1572" s="2">
        <f ca="1">NETWORKDAYS(P1572,$Y$1)</f>
        <v>9</v>
      </c>
      <c r="Z1572" s="14">
        <v>1</v>
      </c>
      <c r="AA1572" s="1" t="str">
        <f t="shared" ca="1" si="120"/>
        <v>VENCIDO</v>
      </c>
      <c r="AB1572" s="1" t="str">
        <f t="shared" si="121"/>
        <v>TAAe+</v>
      </c>
      <c r="AC1572" s="2" t="str">
        <f t="shared" si="122"/>
        <v xml:space="preserve"> CLEITON </v>
      </c>
      <c r="AD1572" s="2">
        <f t="shared" si="123"/>
        <v>8</v>
      </c>
      <c r="AE1572" s="2">
        <f t="shared" ca="1" si="124"/>
        <v>-12.176850347219442</v>
      </c>
    </row>
    <row r="1573" spans="1:31" hidden="1">
      <c r="A1573" s="1">
        <v>9493351</v>
      </c>
      <c r="B1573" s="1" t="s">
        <v>1153</v>
      </c>
      <c r="C1573" t="s">
        <v>3730</v>
      </c>
      <c r="D1573" s="2">
        <v>20232257000017</v>
      </c>
      <c r="E1573" s="2">
        <v>7417161480608</v>
      </c>
      <c r="F1573" s="1" t="s">
        <v>1979</v>
      </c>
      <c r="G1573" s="1" t="s">
        <v>53</v>
      </c>
      <c r="H1573" s="1" t="s">
        <v>2326</v>
      </c>
      <c r="I1573" s="1" t="s">
        <v>2327</v>
      </c>
      <c r="J1573" s="1" t="s">
        <v>110</v>
      </c>
      <c r="K1573" t="s">
        <v>1982</v>
      </c>
      <c r="M1573" s="1" t="s">
        <v>58</v>
      </c>
      <c r="N1573" s="1">
        <v>0</v>
      </c>
      <c r="O1573" s="1" t="s">
        <v>105</v>
      </c>
      <c r="P1573" s="12">
        <v>44974.501898148148</v>
      </c>
      <c r="R1573" s="1">
        <v>14</v>
      </c>
      <c r="T1573" s="1" t="s">
        <v>238</v>
      </c>
      <c r="U1573" s="12">
        <v>44974.501898148148</v>
      </c>
      <c r="V1573" s="1" t="s">
        <v>41</v>
      </c>
      <c r="W1573" s="1" t="s">
        <v>49</v>
      </c>
      <c r="X1573" s="13" t="str">
        <f>IF(RIGHT(H1573,2)&lt;&gt;"00",H1573,"")</f>
        <v>2257.91</v>
      </c>
      <c r="Y1573" s="2">
        <f ca="1">NETWORKDAYS(P1573,$Y$1)</f>
        <v>9</v>
      </c>
      <c r="Z1573" s="14">
        <v>1</v>
      </c>
      <c r="AA1573" s="1" t="str">
        <f t="shared" ca="1" si="120"/>
        <v>VENCIDO</v>
      </c>
      <c r="AB1573" s="1" t="str">
        <f t="shared" si="121"/>
        <v>TAAe+</v>
      </c>
      <c r="AC1573" s="2" t="str">
        <f t="shared" si="122"/>
        <v xml:space="preserve"> CRISTINA </v>
      </c>
      <c r="AD1573" s="2">
        <f t="shared" si="123"/>
        <v>8</v>
      </c>
      <c r="AE1573" s="2">
        <f t="shared" ca="1" si="124"/>
        <v>-12.174373495370673</v>
      </c>
    </row>
    <row r="1574" spans="1:31">
      <c r="A1574" s="181">
        <v>9493276</v>
      </c>
      <c r="B1574" s="181" t="s">
        <v>1153</v>
      </c>
      <c r="C1574" s="182" t="s">
        <v>3731</v>
      </c>
      <c r="D1574" s="183">
        <v>20230570000009</v>
      </c>
      <c r="E1574" s="183">
        <v>7419152464533</v>
      </c>
      <c r="F1574" s="181" t="s">
        <v>2744</v>
      </c>
      <c r="G1574" s="181" t="s">
        <v>53</v>
      </c>
      <c r="H1574" s="181" t="s">
        <v>434</v>
      </c>
      <c r="I1574" s="181" t="s">
        <v>435</v>
      </c>
      <c r="J1574" s="181" t="s">
        <v>148</v>
      </c>
      <c r="K1574" t="s">
        <v>2745</v>
      </c>
      <c r="M1574" s="1" t="s">
        <v>58</v>
      </c>
      <c r="N1574" s="1">
        <v>0</v>
      </c>
      <c r="O1574" s="1" t="s">
        <v>105</v>
      </c>
      <c r="P1574" s="12">
        <v>44974.481712962966</v>
      </c>
      <c r="R1574" s="1">
        <v>22</v>
      </c>
      <c r="T1574" s="1" t="s">
        <v>1160</v>
      </c>
      <c r="U1574" s="12">
        <v>44980.690046296295</v>
      </c>
      <c r="V1574" s="1" t="s">
        <v>41</v>
      </c>
      <c r="W1574" s="1" t="s">
        <v>49</v>
      </c>
      <c r="X1574" s="13" t="str">
        <f>IF(RIGHT(H1574,2)&lt;&gt;"00",H1574,"")</f>
        <v/>
      </c>
      <c r="Y1574" s="2">
        <f ca="1">NETWORKDAYS(P1574,$Y$1)</f>
        <v>9</v>
      </c>
      <c r="Z1574" s="14">
        <v>1</v>
      </c>
      <c r="AA1574" s="1" t="str">
        <f t="shared" ca="1" si="120"/>
        <v>VENCIDO</v>
      </c>
      <c r="AB1574" s="1" t="str">
        <f t="shared" si="121"/>
        <v>TAAe+</v>
      </c>
      <c r="AC1574" s="2" t="str">
        <f t="shared" si="122"/>
        <v xml:space="preserve"> RINALDO </v>
      </c>
      <c r="AD1574" s="2">
        <f t="shared" si="123"/>
        <v>8</v>
      </c>
      <c r="AE1574" s="2">
        <f t="shared" ca="1" si="124"/>
        <v>-5.9862253472238081</v>
      </c>
    </row>
    <row r="1575" spans="1:31" hidden="1">
      <c r="A1575" s="1">
        <v>9493160</v>
      </c>
      <c r="B1575" s="1" t="s">
        <v>1153</v>
      </c>
      <c r="C1575" t="s">
        <v>3732</v>
      </c>
      <c r="D1575" s="2">
        <v>20234844000494</v>
      </c>
      <c r="E1575" s="2">
        <v>7417183020632</v>
      </c>
      <c r="F1575" s="1" t="s">
        <v>1313</v>
      </c>
      <c r="G1575" s="1" t="s">
        <v>53</v>
      </c>
      <c r="H1575" s="1" t="s">
        <v>2478</v>
      </c>
      <c r="I1575" s="1" t="s">
        <v>2479</v>
      </c>
      <c r="J1575" s="1" t="s">
        <v>46</v>
      </c>
      <c r="K1575" t="s">
        <v>1316</v>
      </c>
      <c r="M1575" s="1" t="s">
        <v>58</v>
      </c>
      <c r="N1575" s="1">
        <v>0</v>
      </c>
      <c r="O1575" s="1" t="s">
        <v>105</v>
      </c>
      <c r="P1575" s="12">
        <v>44974.457905092589</v>
      </c>
      <c r="R1575" s="1">
        <v>13</v>
      </c>
      <c r="T1575" s="1" t="s">
        <v>238</v>
      </c>
      <c r="U1575" s="12">
        <v>44974.457905092589</v>
      </c>
      <c r="V1575" s="1" t="s">
        <v>41</v>
      </c>
      <c r="W1575" s="1" t="s">
        <v>49</v>
      </c>
      <c r="X1575" s="13" t="str">
        <f>IF(RIGHT(H1575,2)&lt;&gt;"00",H1575,"")</f>
        <v>4844.38</v>
      </c>
      <c r="Y1575" s="2">
        <f ca="1">NETWORKDAYS(P1575,$Y$1)</f>
        <v>9</v>
      </c>
      <c r="Z1575" s="14">
        <v>1</v>
      </c>
      <c r="AA1575" s="1" t="str">
        <f t="shared" ca="1" si="120"/>
        <v>VENCIDO</v>
      </c>
      <c r="AB1575" s="1" t="str">
        <f t="shared" si="121"/>
        <v>TAAe+</v>
      </c>
      <c r="AC1575" s="2" t="str">
        <f t="shared" si="122"/>
        <v xml:space="preserve"> CLEITON </v>
      </c>
      <c r="AD1575" s="2">
        <f t="shared" si="123"/>
        <v>8</v>
      </c>
      <c r="AE1575" s="2">
        <f t="shared" ca="1" si="124"/>
        <v>-12.218366550929204</v>
      </c>
    </row>
    <row r="1576" spans="1:31" hidden="1">
      <c r="A1576" s="1">
        <v>9493154</v>
      </c>
      <c r="B1576" s="1" t="s">
        <v>1153</v>
      </c>
      <c r="C1576" t="s">
        <v>3733</v>
      </c>
      <c r="D1576" s="2">
        <v>20231732000011</v>
      </c>
      <c r="E1576" s="2">
        <v>7417160931799</v>
      </c>
      <c r="F1576" s="1" t="s">
        <v>2770</v>
      </c>
      <c r="G1576" s="1" t="s">
        <v>53</v>
      </c>
      <c r="H1576" s="1" t="s">
        <v>177</v>
      </c>
      <c r="I1576" s="1" t="s">
        <v>178</v>
      </c>
      <c r="J1576" s="1" t="s">
        <v>164</v>
      </c>
      <c r="K1576" t="s">
        <v>2771</v>
      </c>
      <c r="M1576" s="1" t="s">
        <v>58</v>
      </c>
      <c r="N1576" s="1">
        <v>0</v>
      </c>
      <c r="O1576" s="1" t="s">
        <v>105</v>
      </c>
      <c r="P1576" s="12">
        <v>44974.458518518521</v>
      </c>
      <c r="R1576" s="1">
        <v>23</v>
      </c>
      <c r="T1576" s="1" t="s">
        <v>1160</v>
      </c>
      <c r="U1576" s="12">
        <v>44984.458518518521</v>
      </c>
      <c r="V1576" s="1" t="s">
        <v>41</v>
      </c>
      <c r="W1576" s="1" t="s">
        <v>49</v>
      </c>
      <c r="X1576" s="13" t="str">
        <f>IF(RIGHT(H1576,2)&lt;&gt;"00",H1576,"")</f>
        <v/>
      </c>
      <c r="Y1576" s="2">
        <f ca="1">NETWORKDAYS(P1576,$Y$1)</f>
        <v>9</v>
      </c>
      <c r="Z1576" s="14">
        <v>1</v>
      </c>
      <c r="AA1576" s="1" t="str">
        <f t="shared" ca="1" si="120"/>
        <v>VENCIDO</v>
      </c>
      <c r="AB1576" s="1" t="str">
        <f t="shared" si="121"/>
        <v>TAAe+</v>
      </c>
      <c r="AC1576" s="2" t="str">
        <f t="shared" si="122"/>
        <v xml:space="preserve"> ROSEMERE </v>
      </c>
      <c r="AD1576" s="2">
        <f t="shared" si="123"/>
        <v>8</v>
      </c>
      <c r="AE1576" s="2">
        <f t="shared" ca="1" si="124"/>
        <v>-2.2177531249981257</v>
      </c>
    </row>
    <row r="1577" spans="1:31" hidden="1">
      <c r="A1577" s="1">
        <v>9493113</v>
      </c>
      <c r="B1577" s="1" t="s">
        <v>1153</v>
      </c>
      <c r="C1577" t="s">
        <v>3734</v>
      </c>
      <c r="D1577" s="2">
        <v>20234804001749</v>
      </c>
      <c r="E1577" s="2">
        <v>7417183020640</v>
      </c>
      <c r="F1577" s="1" t="s">
        <v>1313</v>
      </c>
      <c r="G1577" s="1" t="s">
        <v>53</v>
      </c>
      <c r="H1577" s="1" t="s">
        <v>3571</v>
      </c>
      <c r="I1577" s="1" t="s">
        <v>3572</v>
      </c>
      <c r="J1577" s="1" t="s">
        <v>46</v>
      </c>
      <c r="K1577" t="s">
        <v>1316</v>
      </c>
      <c r="M1577" s="1" t="s">
        <v>58</v>
      </c>
      <c r="N1577" s="1">
        <v>0</v>
      </c>
      <c r="O1577" s="1" t="s">
        <v>36</v>
      </c>
      <c r="P1577" s="12">
        <v>44974.447395833333</v>
      </c>
      <c r="R1577" s="1">
        <v>13</v>
      </c>
      <c r="S1577" s="1">
        <v>4804</v>
      </c>
      <c r="T1577" s="1" t="s">
        <v>238</v>
      </c>
      <c r="U1577" s="12">
        <v>44974.447395833333</v>
      </c>
      <c r="V1577" s="1" t="s">
        <v>41</v>
      </c>
      <c r="W1577" s="1" t="s">
        <v>49</v>
      </c>
      <c r="X1577" s="13" t="str">
        <f>IF(RIGHT(H1577,2)&lt;&gt;"00",H1577,"")</f>
        <v>4923.05</v>
      </c>
      <c r="Y1577" s="2">
        <f ca="1">NETWORKDAYS(P1577,$Y$1)</f>
        <v>9</v>
      </c>
      <c r="Z1577" s="14">
        <v>1</v>
      </c>
      <c r="AA1577" s="1" t="str">
        <f t="shared" ca="1" si="120"/>
        <v>VENCIDO</v>
      </c>
      <c r="AB1577" s="1" t="str">
        <f t="shared" si="121"/>
        <v>TAAe+</v>
      </c>
      <c r="AC1577" s="2" t="str">
        <f t="shared" si="122"/>
        <v xml:space="preserve"> CLEITON </v>
      </c>
      <c r="AD1577" s="2">
        <f t="shared" si="123"/>
        <v>8</v>
      </c>
      <c r="AE1577" s="2">
        <f t="shared" ca="1" si="124"/>
        <v>-12.228875810185855</v>
      </c>
    </row>
    <row r="1578" spans="1:31" hidden="1">
      <c r="A1578" s="1">
        <v>9493001</v>
      </c>
      <c r="B1578" s="1" t="s">
        <v>1153</v>
      </c>
      <c r="C1578" t="s">
        <v>3735</v>
      </c>
      <c r="D1578" s="2">
        <v>20231359000004</v>
      </c>
      <c r="E1578" s="2">
        <v>7417202021027</v>
      </c>
      <c r="F1578" s="1" t="s">
        <v>1213</v>
      </c>
      <c r="G1578" s="1" t="s">
        <v>53</v>
      </c>
      <c r="H1578" s="1" t="s">
        <v>3736</v>
      </c>
      <c r="I1578" s="1" t="s">
        <v>3737</v>
      </c>
      <c r="J1578" s="1" t="s">
        <v>141</v>
      </c>
      <c r="K1578" t="s">
        <v>1214</v>
      </c>
      <c r="M1578" s="1" t="s">
        <v>58</v>
      </c>
      <c r="N1578" s="1">
        <v>0</v>
      </c>
      <c r="O1578" s="1" t="s">
        <v>105</v>
      </c>
      <c r="P1578" s="12">
        <v>44974.451828703706</v>
      </c>
      <c r="R1578" s="1">
        <v>14</v>
      </c>
      <c r="T1578" s="1" t="s">
        <v>238</v>
      </c>
      <c r="U1578" s="12">
        <v>44974.451828703706</v>
      </c>
      <c r="V1578" s="1" t="s">
        <v>41</v>
      </c>
      <c r="W1578" s="1" t="s">
        <v>49</v>
      </c>
      <c r="X1578" s="13" t="str">
        <f>IF(RIGHT(H1578,2)&lt;&gt;"00",H1578,"")</f>
        <v>1359.91</v>
      </c>
      <c r="Y1578" s="2">
        <f ca="1">NETWORKDAYS(P1578,$Y$1)</f>
        <v>9</v>
      </c>
      <c r="Z1578" s="14">
        <v>1</v>
      </c>
      <c r="AA1578" s="1" t="str">
        <f t="shared" ca="1" si="120"/>
        <v>VENCIDO</v>
      </c>
      <c r="AB1578" s="1" t="str">
        <f t="shared" si="121"/>
        <v>TAAe+</v>
      </c>
      <c r="AC1578" s="2" t="str">
        <f t="shared" si="122"/>
        <v xml:space="preserve"> CRISTINA </v>
      </c>
      <c r="AD1578" s="2">
        <f t="shared" si="123"/>
        <v>8</v>
      </c>
      <c r="AE1578" s="2">
        <f t="shared" ca="1" si="124"/>
        <v>-12.224442939812434</v>
      </c>
    </row>
    <row r="1579" spans="1:31">
      <c r="A1579" s="1">
        <v>9492969</v>
      </c>
      <c r="B1579" s="1" t="s">
        <v>1153</v>
      </c>
      <c r="C1579" t="s">
        <v>3738</v>
      </c>
      <c r="D1579" s="2">
        <v>20230246000011</v>
      </c>
      <c r="E1579" s="2">
        <v>7419141894924</v>
      </c>
      <c r="F1579" s="1" t="s">
        <v>128</v>
      </c>
      <c r="G1579" s="1" t="s">
        <v>53</v>
      </c>
      <c r="H1579" s="1" t="s">
        <v>2321</v>
      </c>
      <c r="I1579" s="1" t="s">
        <v>2322</v>
      </c>
      <c r="J1579" s="1" t="s">
        <v>85</v>
      </c>
      <c r="K1579" t="s">
        <v>129</v>
      </c>
      <c r="M1579" s="1" t="s">
        <v>58</v>
      </c>
      <c r="N1579" s="1">
        <v>0</v>
      </c>
      <c r="O1579" s="1" t="s">
        <v>36</v>
      </c>
      <c r="P1579" s="12">
        <v>44974.451736111114</v>
      </c>
      <c r="R1579" s="1">
        <v>14</v>
      </c>
      <c r="T1579" s="1" t="s">
        <v>238</v>
      </c>
      <c r="U1579" s="12">
        <v>44974.451736111114</v>
      </c>
      <c r="V1579" s="1" t="s">
        <v>41</v>
      </c>
      <c r="W1579" s="1" t="s">
        <v>49</v>
      </c>
      <c r="X1579" s="13" t="str">
        <f>IF(RIGHT(H1579,2)&lt;&gt;"00",H1579,"")</f>
        <v>0246.91</v>
      </c>
      <c r="Y1579" s="2">
        <f ca="1">NETWORKDAYS(P1579,$Y$1)</f>
        <v>9</v>
      </c>
      <c r="Z1579" s="14">
        <v>1</v>
      </c>
      <c r="AA1579" s="1" t="str">
        <f t="shared" ca="1" si="120"/>
        <v>VENCIDO</v>
      </c>
      <c r="AB1579" s="1" t="str">
        <f t="shared" si="121"/>
        <v>TAAe+</v>
      </c>
      <c r="AC1579" s="2" t="str">
        <f t="shared" si="122"/>
        <v xml:space="preserve"> RINALDO </v>
      </c>
      <c r="AD1579" s="2">
        <f t="shared" si="123"/>
        <v>8</v>
      </c>
      <c r="AE1579" s="2">
        <f t="shared" ca="1" si="124"/>
        <v>-12.224535532404843</v>
      </c>
    </row>
    <row r="1580" spans="1:31" hidden="1">
      <c r="A1580" s="1">
        <v>9492956</v>
      </c>
      <c r="B1580" s="1" t="s">
        <v>1153</v>
      </c>
      <c r="C1580" t="s">
        <v>3739</v>
      </c>
      <c r="D1580" s="2">
        <v>20231012000006</v>
      </c>
      <c r="E1580" s="2">
        <v>7417202020564</v>
      </c>
      <c r="F1580" s="1" t="s">
        <v>1213</v>
      </c>
      <c r="G1580" s="1" t="s">
        <v>53</v>
      </c>
      <c r="H1580" s="1" t="s">
        <v>2481</v>
      </c>
      <c r="I1580" s="1" t="s">
        <v>2482</v>
      </c>
      <c r="J1580" s="1" t="s">
        <v>164</v>
      </c>
      <c r="K1580" t="s">
        <v>1214</v>
      </c>
      <c r="M1580" s="1" t="s">
        <v>58</v>
      </c>
      <c r="N1580" s="1">
        <v>0</v>
      </c>
      <c r="O1580" s="1" t="s">
        <v>105</v>
      </c>
      <c r="P1580" s="12">
        <v>44974.449236111112</v>
      </c>
      <c r="R1580" s="1">
        <v>15</v>
      </c>
      <c r="T1580" s="1" t="s">
        <v>238</v>
      </c>
      <c r="U1580" s="12">
        <v>44974.449236111112</v>
      </c>
      <c r="V1580" s="1" t="s">
        <v>41</v>
      </c>
      <c r="W1580" s="1" t="s">
        <v>49</v>
      </c>
      <c r="X1580" s="13" t="str">
        <f>IF(RIGHT(H1580,2)&lt;&gt;"00",H1580,"")</f>
        <v>1012.91</v>
      </c>
      <c r="Y1580" s="2">
        <f ca="1">NETWORKDAYS(P1580,$Y$1)</f>
        <v>9</v>
      </c>
      <c r="Z1580" s="14">
        <v>1</v>
      </c>
      <c r="AA1580" s="1" t="str">
        <f t="shared" ca="1" si="120"/>
        <v>VENCIDO</v>
      </c>
      <c r="AB1580" s="1" t="str">
        <f t="shared" si="121"/>
        <v>TAAe+</v>
      </c>
      <c r="AC1580" s="2" t="str">
        <f t="shared" si="122"/>
        <v xml:space="preserve"> ROSEMERE </v>
      </c>
      <c r="AD1580" s="2">
        <f t="shared" si="123"/>
        <v>8</v>
      </c>
      <c r="AE1580" s="2">
        <f t="shared" ca="1" si="124"/>
        <v>-12.227035532407172</v>
      </c>
    </row>
    <row r="1581" spans="1:31" hidden="1">
      <c r="A1581" s="1">
        <v>9492941</v>
      </c>
      <c r="B1581" s="1" t="s">
        <v>1153</v>
      </c>
      <c r="C1581" t="s">
        <v>3740</v>
      </c>
      <c r="D1581" s="2">
        <v>20230220000021</v>
      </c>
      <c r="E1581" s="2">
        <v>7417163284480</v>
      </c>
      <c r="F1581" s="1" t="s">
        <v>131</v>
      </c>
      <c r="G1581" s="1" t="s">
        <v>53</v>
      </c>
      <c r="H1581" s="1" t="s">
        <v>2030</v>
      </c>
      <c r="I1581" s="1" t="s">
        <v>2031</v>
      </c>
      <c r="J1581" s="1" t="s">
        <v>110</v>
      </c>
      <c r="K1581" t="s">
        <v>132</v>
      </c>
      <c r="M1581" s="1" t="s">
        <v>58</v>
      </c>
      <c r="N1581" s="1">
        <v>0</v>
      </c>
      <c r="O1581" s="1" t="s">
        <v>105</v>
      </c>
      <c r="P1581" s="12">
        <v>44974.449131944442</v>
      </c>
      <c r="R1581" s="1">
        <v>14</v>
      </c>
      <c r="T1581" s="1" t="s">
        <v>238</v>
      </c>
      <c r="U1581" s="12">
        <v>44974.449131944442</v>
      </c>
      <c r="V1581" s="1" t="s">
        <v>41</v>
      </c>
      <c r="W1581" s="1" t="s">
        <v>49</v>
      </c>
      <c r="X1581" s="13" t="str">
        <f>IF(RIGHT(H1581,2)&lt;&gt;"00",H1581,"")</f>
        <v>0220.91</v>
      </c>
      <c r="Y1581" s="2">
        <f ca="1">NETWORKDAYS(P1581,$Y$1)</f>
        <v>9</v>
      </c>
      <c r="Z1581" s="14">
        <v>1</v>
      </c>
      <c r="AA1581" s="1" t="str">
        <f t="shared" ca="1" si="120"/>
        <v>VENCIDO</v>
      </c>
      <c r="AB1581" s="1" t="str">
        <f t="shared" si="121"/>
        <v>TAAe+</v>
      </c>
      <c r="AC1581" s="2" t="str">
        <f t="shared" si="122"/>
        <v xml:space="preserve"> CRISTINA </v>
      </c>
      <c r="AD1581" s="2">
        <f t="shared" si="123"/>
        <v>8</v>
      </c>
      <c r="AE1581" s="2">
        <f t="shared" ca="1" si="124"/>
        <v>-12.227139699076361</v>
      </c>
    </row>
    <row r="1582" spans="1:31" hidden="1">
      <c r="A1582" s="1">
        <v>9492873</v>
      </c>
      <c r="B1582" s="1" t="s">
        <v>1153</v>
      </c>
      <c r="C1582" t="s">
        <v>2963</v>
      </c>
      <c r="E1582" s="2">
        <v>1943000206001</v>
      </c>
      <c r="F1582" s="1" t="s">
        <v>29</v>
      </c>
      <c r="G1582" s="1" t="s">
        <v>53</v>
      </c>
      <c r="H1582" s="1" t="s">
        <v>264</v>
      </c>
      <c r="I1582" s="1" t="s">
        <v>265</v>
      </c>
      <c r="J1582" s="1" t="s">
        <v>56</v>
      </c>
      <c r="K1582" t="s">
        <v>34</v>
      </c>
      <c r="M1582" s="1" t="s">
        <v>35</v>
      </c>
      <c r="N1582" s="1">
        <v>42318949</v>
      </c>
      <c r="O1582" s="1" t="s">
        <v>36</v>
      </c>
      <c r="P1582" s="12">
        <v>44974.448252314818</v>
      </c>
      <c r="R1582" s="1" t="s">
        <v>38</v>
      </c>
      <c r="T1582" s="1" t="s">
        <v>74</v>
      </c>
      <c r="U1582" s="12">
        <v>44979.448252314818</v>
      </c>
      <c r="V1582" s="1" t="s">
        <v>41</v>
      </c>
      <c r="W1582" s="1" t="s">
        <v>49</v>
      </c>
      <c r="X1582" s="13" t="str">
        <f>IF(RIGHT(H1582,2)&lt;&gt;"00",H1582,"")</f>
        <v/>
      </c>
      <c r="Y1582" s="2">
        <f ca="1">NETWORKDAYS(P1582,$Y$1)</f>
        <v>9</v>
      </c>
      <c r="Z1582" s="14">
        <v>1</v>
      </c>
      <c r="AA1582" s="1" t="str">
        <f t="shared" ca="1" si="120"/>
        <v>VENCIDO</v>
      </c>
      <c r="AB1582" s="1" t="str">
        <f t="shared" si="121"/>
        <v>Dosa</v>
      </c>
      <c r="AC1582" s="2" t="str">
        <f t="shared" si="122"/>
        <v xml:space="preserve"> CRISTINA </v>
      </c>
      <c r="AD1582" s="2">
        <f t="shared" si="123"/>
        <v>5</v>
      </c>
      <c r="AE1582" s="2">
        <f t="shared" ca="1" si="124"/>
        <v>-7.2280193287006114</v>
      </c>
    </row>
    <row r="1583" spans="1:31" hidden="1">
      <c r="A1583" s="1">
        <v>9492696</v>
      </c>
      <c r="B1583" s="1" t="s">
        <v>1153</v>
      </c>
      <c r="C1583" t="s">
        <v>3741</v>
      </c>
      <c r="E1583" s="2">
        <v>2442000203000</v>
      </c>
      <c r="F1583" s="1" t="s">
        <v>454</v>
      </c>
      <c r="G1583" s="1" t="s">
        <v>53</v>
      </c>
      <c r="H1583" s="1" t="s">
        <v>1956</v>
      </c>
      <c r="I1583" s="1" t="s">
        <v>1957</v>
      </c>
      <c r="J1583" s="1" t="s">
        <v>33</v>
      </c>
      <c r="K1583" t="s">
        <v>457</v>
      </c>
      <c r="M1583" s="1" t="s">
        <v>58</v>
      </c>
      <c r="N1583" s="1">
        <v>0</v>
      </c>
      <c r="O1583" s="1" t="s">
        <v>36</v>
      </c>
      <c r="P1583" s="12">
        <v>44974.385949074072</v>
      </c>
      <c r="R1583" s="1">
        <v>1</v>
      </c>
      <c r="T1583" s="1" t="s">
        <v>157</v>
      </c>
      <c r="U1583" s="12">
        <v>44975.385949074072</v>
      </c>
      <c r="V1583" s="1" t="s">
        <v>41</v>
      </c>
      <c r="W1583" s="1" t="s">
        <v>42</v>
      </c>
      <c r="X1583" s="13" t="str">
        <f>IF(RIGHT(H1583,2)&lt;&gt;"00",H1583,"")</f>
        <v/>
      </c>
      <c r="Y1583" s="2">
        <f ca="1">NETWORKDAYS(P1583,$Y$1)</f>
        <v>9</v>
      </c>
      <c r="Z1583" s="14">
        <v>1</v>
      </c>
      <c r="AA1583" s="1" t="str">
        <f t="shared" ca="1" si="120"/>
        <v>VENCIDO</v>
      </c>
      <c r="AB1583" s="1" t="str">
        <f t="shared" si="121"/>
        <v>C-14</v>
      </c>
      <c r="AC1583" s="2" t="str">
        <f t="shared" si="122"/>
        <v xml:space="preserve"> ROSEMERE </v>
      </c>
      <c r="AD1583" s="2">
        <f t="shared" si="123"/>
        <v>5</v>
      </c>
      <c r="AE1583" s="2">
        <f t="shared" ca="1" si="124"/>
        <v>-11.290322569446289</v>
      </c>
    </row>
    <row r="1584" spans="1:31" hidden="1">
      <c r="A1584" s="1">
        <v>9492616</v>
      </c>
      <c r="B1584" s="1" t="s">
        <v>1153</v>
      </c>
      <c r="C1584" t="s">
        <v>3742</v>
      </c>
      <c r="E1584" s="2">
        <v>2018000203000</v>
      </c>
      <c r="F1584" s="1" t="s">
        <v>454</v>
      </c>
      <c r="G1584" s="1" t="s">
        <v>53</v>
      </c>
      <c r="H1584" s="1" t="s">
        <v>598</v>
      </c>
      <c r="I1584" s="1" t="s">
        <v>599</v>
      </c>
      <c r="J1584" s="1" t="s">
        <v>79</v>
      </c>
      <c r="K1584" t="s">
        <v>457</v>
      </c>
      <c r="M1584" s="1" t="s">
        <v>58</v>
      </c>
      <c r="N1584" s="1">
        <v>0</v>
      </c>
      <c r="O1584" s="1" t="s">
        <v>36</v>
      </c>
      <c r="P1584" s="12">
        <v>44974.365532407406</v>
      </c>
      <c r="R1584" s="1">
        <v>1</v>
      </c>
      <c r="T1584" s="1" t="s">
        <v>157</v>
      </c>
      <c r="U1584" s="12">
        <v>44975.365543981483</v>
      </c>
      <c r="V1584" s="1" t="s">
        <v>41</v>
      </c>
      <c r="W1584" s="1" t="s">
        <v>49</v>
      </c>
      <c r="X1584" s="13" t="str">
        <f>IF(RIGHT(H1584,2)&lt;&gt;"00",H1584,"")</f>
        <v/>
      </c>
      <c r="Y1584" s="2">
        <f ca="1">NETWORKDAYS(P1584,$Y$1)</f>
        <v>9</v>
      </c>
      <c r="Z1584" s="14">
        <v>1</v>
      </c>
      <c r="AA1584" s="1" t="str">
        <f t="shared" ca="1" si="120"/>
        <v>VENCIDO</v>
      </c>
      <c r="AB1584" s="1" t="str">
        <f t="shared" si="121"/>
        <v>C-14</v>
      </c>
      <c r="AC1584" s="2" t="str">
        <f t="shared" si="122"/>
        <v xml:space="preserve"> ROSEMERE </v>
      </c>
      <c r="AD1584" s="2">
        <f t="shared" si="123"/>
        <v>5</v>
      </c>
      <c r="AE1584" s="2">
        <f t="shared" ca="1" si="124"/>
        <v>-11.310727662035788</v>
      </c>
    </row>
    <row r="1585" spans="1:31">
      <c r="A1585" s="1">
        <v>9492610</v>
      </c>
      <c r="B1585" s="1" t="s">
        <v>1153</v>
      </c>
      <c r="C1585" t="s">
        <v>3743</v>
      </c>
      <c r="E1585" s="2">
        <v>4119000203000</v>
      </c>
      <c r="F1585" s="1" t="s">
        <v>454</v>
      </c>
      <c r="G1585" s="1" t="s">
        <v>53</v>
      </c>
      <c r="H1585" s="1" t="s">
        <v>297</v>
      </c>
      <c r="I1585" s="1" t="s">
        <v>298</v>
      </c>
      <c r="J1585" s="1" t="s">
        <v>211</v>
      </c>
      <c r="K1585" t="s">
        <v>457</v>
      </c>
      <c r="M1585" s="1" t="s">
        <v>58</v>
      </c>
      <c r="N1585" s="1">
        <v>0</v>
      </c>
      <c r="O1585" s="1" t="s">
        <v>36</v>
      </c>
      <c r="P1585" s="12">
        <v>44974.365243055552</v>
      </c>
      <c r="R1585" s="1">
        <v>1</v>
      </c>
      <c r="T1585" s="1" t="s">
        <v>157</v>
      </c>
      <c r="U1585" s="12">
        <v>44975.365243055552</v>
      </c>
      <c r="V1585" s="1" t="s">
        <v>41</v>
      </c>
      <c r="W1585" s="1" t="s">
        <v>49</v>
      </c>
      <c r="X1585" s="13" t="str">
        <f>IF(RIGHT(H1585,2)&lt;&gt;"00",H1585,"")</f>
        <v/>
      </c>
      <c r="Y1585" s="2">
        <f ca="1">NETWORKDAYS(P1585,$Y$1)</f>
        <v>9</v>
      </c>
      <c r="Z1585" s="14">
        <v>1</v>
      </c>
      <c r="AA1585" s="1" t="str">
        <f t="shared" ca="1" si="120"/>
        <v>VENCIDO</v>
      </c>
      <c r="AB1585" s="1" t="str">
        <f t="shared" si="121"/>
        <v>C-14</v>
      </c>
      <c r="AC1585" s="2" t="str">
        <f t="shared" si="122"/>
        <v xml:space="preserve"> RINALDO </v>
      </c>
      <c r="AD1585" s="2">
        <f t="shared" si="123"/>
        <v>5</v>
      </c>
      <c r="AE1585" s="2">
        <f t="shared" ca="1" si="124"/>
        <v>-11.311028587966575</v>
      </c>
    </row>
    <row r="1586" spans="1:31">
      <c r="A1586" s="1">
        <v>9498027</v>
      </c>
      <c r="B1586" s="1" t="s">
        <v>1153</v>
      </c>
      <c r="C1586" t="s">
        <v>3744</v>
      </c>
      <c r="E1586" s="2">
        <v>1362000206001</v>
      </c>
      <c r="F1586" s="1" t="s">
        <v>29</v>
      </c>
      <c r="G1586" s="1" t="s">
        <v>53</v>
      </c>
      <c r="H1586" s="1" t="s">
        <v>268</v>
      </c>
      <c r="I1586" s="1" t="s">
        <v>269</v>
      </c>
      <c r="J1586" s="1" t="s">
        <v>90</v>
      </c>
      <c r="K1586" t="s">
        <v>34</v>
      </c>
      <c r="M1586" s="1" t="s">
        <v>35</v>
      </c>
      <c r="N1586" s="1">
        <v>42318949</v>
      </c>
      <c r="O1586" s="1" t="s">
        <v>36</v>
      </c>
      <c r="P1586" s="11" t="s">
        <v>3745</v>
      </c>
      <c r="R1586" s="1" t="s">
        <v>38</v>
      </c>
      <c r="T1586" s="1" t="s">
        <v>74</v>
      </c>
      <c r="U1586" s="11" t="s">
        <v>1959</v>
      </c>
      <c r="V1586" s="1" t="s">
        <v>41</v>
      </c>
      <c r="W1586" s="1" t="s">
        <v>49</v>
      </c>
      <c r="X1586" s="13" t="str">
        <f>IF(RIGHT(H1586,2)&lt;&gt;"00",H1586,"")</f>
        <v/>
      </c>
      <c r="Y1586" s="2">
        <f ca="1">NETWORKDAYS(P1586,$Y$1)</f>
        <v>8</v>
      </c>
      <c r="Z1586" s="14">
        <v>1</v>
      </c>
      <c r="AA1586" s="1" t="str">
        <f t="shared" ca="1" si="120"/>
        <v>VENCIDO</v>
      </c>
      <c r="AB1586" s="1" t="str">
        <f t="shared" si="121"/>
        <v>Dosa</v>
      </c>
      <c r="AC1586" s="2" t="str">
        <f t="shared" si="122"/>
        <v xml:space="preserve"> RINALDO </v>
      </c>
      <c r="AD1586" s="2">
        <f t="shared" si="123"/>
        <v>5</v>
      </c>
      <c r="AE1586" s="2">
        <f t="shared" ca="1" si="124"/>
        <v>-6.9262716435187031</v>
      </c>
    </row>
    <row r="1587" spans="1:31" hidden="1">
      <c r="A1587" s="1">
        <v>9497784</v>
      </c>
      <c r="B1587" s="1" t="s">
        <v>1153</v>
      </c>
      <c r="C1587" t="s">
        <v>3746</v>
      </c>
      <c r="E1587" s="2">
        <v>2244000206001</v>
      </c>
      <c r="F1587" s="1" t="s">
        <v>29</v>
      </c>
      <c r="G1587" s="1" t="s">
        <v>53</v>
      </c>
      <c r="H1587" s="1" t="s">
        <v>1853</v>
      </c>
      <c r="I1587" s="1" t="s">
        <v>1854</v>
      </c>
      <c r="J1587" s="1" t="s">
        <v>79</v>
      </c>
      <c r="K1587" t="s">
        <v>34</v>
      </c>
      <c r="M1587" s="1" t="s">
        <v>35</v>
      </c>
      <c r="N1587" s="1">
        <v>42318949</v>
      </c>
      <c r="O1587" s="1" t="s">
        <v>36</v>
      </c>
      <c r="P1587" s="11" t="s">
        <v>3747</v>
      </c>
      <c r="R1587" s="1" t="s">
        <v>38</v>
      </c>
      <c r="T1587" s="1" t="s">
        <v>74</v>
      </c>
      <c r="U1587" s="11" t="s">
        <v>2516</v>
      </c>
      <c r="V1587" s="1" t="s">
        <v>41</v>
      </c>
      <c r="W1587" s="1" t="s">
        <v>49</v>
      </c>
      <c r="X1587" s="13" t="str">
        <f>IF(RIGHT(H1587,2)&lt;&gt;"00",H1587,"")</f>
        <v/>
      </c>
      <c r="Y1587" s="2">
        <f ca="1">NETWORKDAYS(P1587,$Y$1)</f>
        <v>8</v>
      </c>
      <c r="Z1587" s="14">
        <v>1</v>
      </c>
      <c r="AA1587" s="1" t="str">
        <f t="shared" ca="1" si="120"/>
        <v>VENCIDO</v>
      </c>
      <c r="AB1587" s="1" t="str">
        <f t="shared" si="121"/>
        <v>Dosa</v>
      </c>
      <c r="AC1587" s="2" t="str">
        <f t="shared" si="122"/>
        <v xml:space="preserve"> ROSEMERE </v>
      </c>
      <c r="AD1587" s="2">
        <f t="shared" si="123"/>
        <v>5</v>
      </c>
      <c r="AE1587" s="2">
        <f t="shared" ca="1" si="124"/>
        <v>-6.9679383101829444</v>
      </c>
    </row>
    <row r="1588" spans="1:31" hidden="1">
      <c r="A1588" s="1">
        <v>9497643</v>
      </c>
      <c r="B1588" s="1" t="s">
        <v>1153</v>
      </c>
      <c r="C1588" t="s">
        <v>3748</v>
      </c>
      <c r="E1588" s="2">
        <v>1138000206001</v>
      </c>
      <c r="F1588" s="1" t="s">
        <v>29</v>
      </c>
      <c r="G1588" s="1" t="s">
        <v>53</v>
      </c>
      <c r="H1588" s="1" t="s">
        <v>548</v>
      </c>
      <c r="I1588" s="1" t="s">
        <v>549</v>
      </c>
      <c r="J1588" s="1" t="s">
        <v>46</v>
      </c>
      <c r="K1588" t="s">
        <v>34</v>
      </c>
      <c r="M1588" s="1" t="s">
        <v>35</v>
      </c>
      <c r="N1588" s="1">
        <v>42318949</v>
      </c>
      <c r="O1588" s="1" t="s">
        <v>36</v>
      </c>
      <c r="P1588" s="11" t="s">
        <v>3749</v>
      </c>
      <c r="R1588" s="1" t="s">
        <v>38</v>
      </c>
      <c r="T1588" s="1" t="s">
        <v>74</v>
      </c>
      <c r="U1588" s="11" t="s">
        <v>2516</v>
      </c>
      <c r="V1588" s="1" t="s">
        <v>41</v>
      </c>
      <c r="W1588" s="1" t="s">
        <v>49</v>
      </c>
      <c r="X1588" s="13" t="str">
        <f>IF(RIGHT(H1588,2)&lt;&gt;"00",H1588,"")</f>
        <v/>
      </c>
      <c r="Y1588" s="2">
        <f ca="1">NETWORKDAYS(P1588,$Y$1)</f>
        <v>8</v>
      </c>
      <c r="Z1588" s="14">
        <v>1</v>
      </c>
      <c r="AA1588" s="1" t="str">
        <f t="shared" ca="1" si="120"/>
        <v>VENCIDO</v>
      </c>
      <c r="AB1588" s="1" t="str">
        <f t="shared" si="121"/>
        <v>Dosa</v>
      </c>
      <c r="AC1588" s="2" t="str">
        <f t="shared" si="122"/>
        <v xml:space="preserve"> CLEITON </v>
      </c>
      <c r="AD1588" s="2">
        <f t="shared" si="123"/>
        <v>5</v>
      </c>
      <c r="AE1588" s="2">
        <f t="shared" ca="1" si="124"/>
        <v>-6.9679383101829444</v>
      </c>
    </row>
    <row r="1589" spans="1:31" hidden="1">
      <c r="A1589" s="1">
        <v>9497603</v>
      </c>
      <c r="B1589" s="1" t="s">
        <v>1153</v>
      </c>
      <c r="C1589" t="s">
        <v>3750</v>
      </c>
      <c r="E1589" s="2">
        <v>1264000206001</v>
      </c>
      <c r="F1589" s="1" t="s">
        <v>29</v>
      </c>
      <c r="G1589" s="1" t="s">
        <v>53</v>
      </c>
      <c r="H1589" s="1" t="s">
        <v>351</v>
      </c>
      <c r="I1589" s="1" t="s">
        <v>352</v>
      </c>
      <c r="J1589" s="1" t="s">
        <v>110</v>
      </c>
      <c r="K1589" t="s">
        <v>34</v>
      </c>
      <c r="M1589" s="1" t="s">
        <v>35</v>
      </c>
      <c r="N1589" s="1">
        <v>42318949</v>
      </c>
      <c r="O1589" s="1" t="s">
        <v>36</v>
      </c>
      <c r="P1589" s="11" t="s">
        <v>3751</v>
      </c>
      <c r="R1589" s="1" t="s">
        <v>38</v>
      </c>
      <c r="T1589" s="1" t="s">
        <v>74</v>
      </c>
      <c r="U1589" s="11" t="s">
        <v>2516</v>
      </c>
      <c r="V1589" s="1" t="s">
        <v>41</v>
      </c>
      <c r="W1589" s="1" t="s">
        <v>49</v>
      </c>
      <c r="X1589" s="13" t="str">
        <f>IF(RIGHT(H1589,2)&lt;&gt;"00",H1589,"")</f>
        <v/>
      </c>
      <c r="Y1589" s="2">
        <f ca="1">NETWORKDAYS(P1589,$Y$1)</f>
        <v>8</v>
      </c>
      <c r="Z1589" s="14">
        <v>1</v>
      </c>
      <c r="AA1589" s="1" t="str">
        <f t="shared" ca="1" si="120"/>
        <v>VENCIDO</v>
      </c>
      <c r="AB1589" s="1" t="str">
        <f t="shared" si="121"/>
        <v>Dosa</v>
      </c>
      <c r="AC1589" s="2" t="str">
        <f t="shared" si="122"/>
        <v xml:space="preserve"> CRISTINA </v>
      </c>
      <c r="AD1589" s="2">
        <f t="shared" si="123"/>
        <v>5</v>
      </c>
      <c r="AE1589" s="2">
        <f t="shared" ca="1" si="124"/>
        <v>-6.9679383101829444</v>
      </c>
    </row>
    <row r="1590" spans="1:31" hidden="1">
      <c r="A1590" s="1">
        <v>9497593</v>
      </c>
      <c r="B1590" s="1" t="s">
        <v>1153</v>
      </c>
      <c r="C1590" t="s">
        <v>3752</v>
      </c>
      <c r="E1590" s="2">
        <v>2811000206001</v>
      </c>
      <c r="F1590" s="1" t="s">
        <v>29</v>
      </c>
      <c r="G1590" s="1" t="s">
        <v>53</v>
      </c>
      <c r="H1590" s="1" t="s">
        <v>44</v>
      </c>
      <c r="I1590" s="1" t="s">
        <v>45</v>
      </c>
      <c r="J1590" s="1" t="s">
        <v>46</v>
      </c>
      <c r="K1590" t="s">
        <v>34</v>
      </c>
      <c r="M1590" s="1" t="s">
        <v>35</v>
      </c>
      <c r="N1590" s="1">
        <v>42318949</v>
      </c>
      <c r="O1590" s="1" t="s">
        <v>36</v>
      </c>
      <c r="P1590" s="11" t="s">
        <v>3753</v>
      </c>
      <c r="R1590" s="1" t="s">
        <v>38</v>
      </c>
      <c r="T1590" s="1" t="s">
        <v>74</v>
      </c>
      <c r="U1590" s="11" t="s">
        <v>2516</v>
      </c>
      <c r="V1590" s="1" t="s">
        <v>41</v>
      </c>
      <c r="W1590" s="1" t="s">
        <v>49</v>
      </c>
      <c r="X1590" s="13" t="str">
        <f>IF(RIGHT(H1590,2)&lt;&gt;"00",H1590,"")</f>
        <v/>
      </c>
      <c r="Y1590" s="2">
        <f ca="1">NETWORKDAYS(P1590,$Y$1)</f>
        <v>8</v>
      </c>
      <c r="Z1590" s="14">
        <v>1</v>
      </c>
      <c r="AA1590" s="1" t="str">
        <f t="shared" ca="1" si="120"/>
        <v>VENCIDO</v>
      </c>
      <c r="AB1590" s="1" t="str">
        <f t="shared" si="121"/>
        <v>Dosa</v>
      </c>
      <c r="AC1590" s="2" t="str">
        <f t="shared" si="122"/>
        <v xml:space="preserve"> CLEITON </v>
      </c>
      <c r="AD1590" s="2">
        <f t="shared" si="123"/>
        <v>5</v>
      </c>
      <c r="AE1590" s="2">
        <f t="shared" ca="1" si="124"/>
        <v>-6.9679383101829444</v>
      </c>
    </row>
    <row r="1591" spans="1:31" hidden="1">
      <c r="A1591" s="1">
        <v>9497586</v>
      </c>
      <c r="B1591" s="1" t="s">
        <v>1153</v>
      </c>
      <c r="C1591" t="s">
        <v>3754</v>
      </c>
      <c r="E1591" s="2">
        <v>2811000206001</v>
      </c>
      <c r="F1591" s="1" t="s">
        <v>29</v>
      </c>
      <c r="G1591" s="1" t="s">
        <v>53</v>
      </c>
      <c r="H1591" s="1" t="s">
        <v>44</v>
      </c>
      <c r="I1591" s="1" t="s">
        <v>45</v>
      </c>
      <c r="J1591" s="1" t="s">
        <v>46</v>
      </c>
      <c r="K1591" t="s">
        <v>34</v>
      </c>
      <c r="M1591" s="1" t="s">
        <v>35</v>
      </c>
      <c r="N1591" s="1">
        <v>42318949</v>
      </c>
      <c r="O1591" s="1" t="s">
        <v>36</v>
      </c>
      <c r="P1591" s="11" t="s">
        <v>3755</v>
      </c>
      <c r="R1591" s="1" t="s">
        <v>38</v>
      </c>
      <c r="T1591" s="1" t="s">
        <v>74</v>
      </c>
      <c r="U1591" s="11" t="s">
        <v>2516</v>
      </c>
      <c r="V1591" s="1" t="s">
        <v>41</v>
      </c>
      <c r="W1591" s="1" t="s">
        <v>49</v>
      </c>
      <c r="X1591" s="13" t="str">
        <f>IF(RIGHT(H1591,2)&lt;&gt;"00",H1591,"")</f>
        <v/>
      </c>
      <c r="Y1591" s="2">
        <f ca="1">NETWORKDAYS(P1591,$Y$1)</f>
        <v>8</v>
      </c>
      <c r="Z1591" s="14">
        <v>1</v>
      </c>
      <c r="AA1591" s="1" t="str">
        <f t="shared" ca="1" si="120"/>
        <v>VENCIDO</v>
      </c>
      <c r="AB1591" s="1" t="str">
        <f t="shared" si="121"/>
        <v>Dosa</v>
      </c>
      <c r="AC1591" s="2" t="str">
        <f t="shared" si="122"/>
        <v xml:space="preserve"> CLEITON </v>
      </c>
      <c r="AD1591" s="2">
        <f t="shared" si="123"/>
        <v>5</v>
      </c>
      <c r="AE1591" s="2">
        <f t="shared" ca="1" si="124"/>
        <v>-6.9679383101829444</v>
      </c>
    </row>
    <row r="1592" spans="1:31" hidden="1">
      <c r="A1592" s="1">
        <v>9497574</v>
      </c>
      <c r="B1592" s="1" t="s">
        <v>1153</v>
      </c>
      <c r="C1592" t="s">
        <v>3756</v>
      </c>
      <c r="E1592" s="2">
        <v>1245000206001</v>
      </c>
      <c r="F1592" s="1" t="s">
        <v>29</v>
      </c>
      <c r="G1592" s="1" t="s">
        <v>53</v>
      </c>
      <c r="H1592" s="1" t="s">
        <v>408</v>
      </c>
      <c r="I1592" s="1" t="s">
        <v>409</v>
      </c>
      <c r="J1592" s="1" t="s">
        <v>46</v>
      </c>
      <c r="K1592" t="s">
        <v>34</v>
      </c>
      <c r="M1592" s="1" t="s">
        <v>35</v>
      </c>
      <c r="N1592" s="1">
        <v>42318949</v>
      </c>
      <c r="O1592" s="1" t="s">
        <v>36</v>
      </c>
      <c r="P1592" s="11" t="s">
        <v>3757</v>
      </c>
      <c r="R1592" s="1" t="s">
        <v>38</v>
      </c>
      <c r="T1592" s="1" t="s">
        <v>74</v>
      </c>
      <c r="U1592" s="11" t="s">
        <v>2516</v>
      </c>
      <c r="V1592" s="1" t="s">
        <v>41</v>
      </c>
      <c r="W1592" s="1" t="s">
        <v>49</v>
      </c>
      <c r="X1592" s="13" t="str">
        <f>IF(RIGHT(H1592,2)&lt;&gt;"00",H1592,"")</f>
        <v/>
      </c>
      <c r="Y1592" s="2">
        <f ca="1">NETWORKDAYS(P1592,$Y$1)</f>
        <v>8</v>
      </c>
      <c r="Z1592" s="14">
        <v>1</v>
      </c>
      <c r="AA1592" s="1" t="str">
        <f t="shared" ca="1" si="120"/>
        <v>VENCIDO</v>
      </c>
      <c r="AB1592" s="1" t="str">
        <f t="shared" si="121"/>
        <v>Dosa</v>
      </c>
      <c r="AC1592" s="2" t="str">
        <f t="shared" si="122"/>
        <v xml:space="preserve"> CLEITON </v>
      </c>
      <c r="AD1592" s="2">
        <f t="shared" si="123"/>
        <v>5</v>
      </c>
      <c r="AE1592" s="2">
        <f t="shared" ca="1" si="124"/>
        <v>-6.9679383101829444</v>
      </c>
    </row>
    <row r="1593" spans="1:31">
      <c r="A1593" s="1">
        <v>9497561</v>
      </c>
      <c r="B1593" s="1" t="s">
        <v>1153</v>
      </c>
      <c r="C1593" t="s">
        <v>3758</v>
      </c>
      <c r="E1593" s="2">
        <v>1362000206001</v>
      </c>
      <c r="F1593" s="1" t="s">
        <v>29</v>
      </c>
      <c r="G1593" s="1" t="s">
        <v>53</v>
      </c>
      <c r="H1593" s="1" t="s">
        <v>268</v>
      </c>
      <c r="I1593" s="1" t="s">
        <v>269</v>
      </c>
      <c r="J1593" s="1" t="s">
        <v>90</v>
      </c>
      <c r="K1593" t="s">
        <v>34</v>
      </c>
      <c r="M1593" s="1" t="s">
        <v>35</v>
      </c>
      <c r="N1593" s="1">
        <v>42318949</v>
      </c>
      <c r="O1593" s="1" t="s">
        <v>36</v>
      </c>
      <c r="P1593" s="11" t="s">
        <v>3759</v>
      </c>
      <c r="R1593" s="1" t="s">
        <v>38</v>
      </c>
      <c r="T1593" s="1" t="s">
        <v>74</v>
      </c>
      <c r="U1593" s="11" t="s">
        <v>1959</v>
      </c>
      <c r="V1593" s="1" t="s">
        <v>41</v>
      </c>
      <c r="W1593" s="1" t="s">
        <v>49</v>
      </c>
      <c r="X1593" s="13" t="str">
        <f>IF(RIGHT(H1593,2)&lt;&gt;"00",H1593,"")</f>
        <v/>
      </c>
      <c r="Y1593" s="2">
        <f ca="1">NETWORKDAYS(P1593,$Y$1)</f>
        <v>8</v>
      </c>
      <c r="Z1593" s="14">
        <v>1</v>
      </c>
      <c r="AA1593" s="1" t="str">
        <f t="shared" ca="1" si="120"/>
        <v>VENCIDO</v>
      </c>
      <c r="AB1593" s="1" t="str">
        <f t="shared" si="121"/>
        <v>Dosa</v>
      </c>
      <c r="AC1593" s="2" t="str">
        <f t="shared" si="122"/>
        <v xml:space="preserve"> RINALDO </v>
      </c>
      <c r="AD1593" s="2">
        <f t="shared" si="123"/>
        <v>5</v>
      </c>
      <c r="AE1593" s="2">
        <f t="shared" ca="1" si="124"/>
        <v>-6.9262716435187031</v>
      </c>
    </row>
    <row r="1594" spans="1:31" hidden="1">
      <c r="A1594" s="1">
        <v>9497547</v>
      </c>
      <c r="B1594" s="1" t="s">
        <v>1153</v>
      </c>
      <c r="C1594" t="s">
        <v>3760</v>
      </c>
      <c r="E1594" s="2">
        <v>2802000206001</v>
      </c>
      <c r="F1594" s="1" t="s">
        <v>29</v>
      </c>
      <c r="G1594" s="1" t="s">
        <v>53</v>
      </c>
      <c r="H1594" s="1" t="s">
        <v>388</v>
      </c>
      <c r="I1594" s="1" t="s">
        <v>389</v>
      </c>
      <c r="J1594" s="1" t="s">
        <v>46</v>
      </c>
      <c r="K1594" t="s">
        <v>34</v>
      </c>
      <c r="M1594" s="1" t="s">
        <v>35</v>
      </c>
      <c r="N1594" s="1">
        <v>42318949</v>
      </c>
      <c r="O1594" s="1" t="s">
        <v>36</v>
      </c>
      <c r="P1594" s="11" t="s">
        <v>3761</v>
      </c>
      <c r="R1594" s="1" t="s">
        <v>38</v>
      </c>
      <c r="T1594" s="1" t="s">
        <v>74</v>
      </c>
      <c r="U1594" s="11" t="s">
        <v>2516</v>
      </c>
      <c r="V1594" s="1" t="s">
        <v>41</v>
      </c>
      <c r="W1594" s="1" t="s">
        <v>49</v>
      </c>
      <c r="X1594" s="13" t="str">
        <f>IF(RIGHT(H1594,2)&lt;&gt;"00",H1594,"")</f>
        <v/>
      </c>
      <c r="Y1594" s="2">
        <f ca="1">NETWORKDAYS(P1594,$Y$1)</f>
        <v>8</v>
      </c>
      <c r="Z1594" s="14">
        <v>1</v>
      </c>
      <c r="AA1594" s="1" t="str">
        <f t="shared" ca="1" si="120"/>
        <v>VENCIDO</v>
      </c>
      <c r="AB1594" s="1" t="str">
        <f t="shared" si="121"/>
        <v>Dosa</v>
      </c>
      <c r="AC1594" s="2" t="str">
        <f t="shared" si="122"/>
        <v xml:space="preserve"> CLEITON </v>
      </c>
      <c r="AD1594" s="2">
        <f t="shared" si="123"/>
        <v>5</v>
      </c>
      <c r="AE1594" s="2">
        <f t="shared" ca="1" si="124"/>
        <v>-6.9679383101829444</v>
      </c>
    </row>
    <row r="1595" spans="1:31" hidden="1">
      <c r="A1595" s="1">
        <v>9497508</v>
      </c>
      <c r="B1595" s="1" t="s">
        <v>1153</v>
      </c>
      <c r="C1595" t="s">
        <v>3762</v>
      </c>
      <c r="E1595" s="2">
        <v>3504000203000</v>
      </c>
      <c r="F1595" s="1" t="s">
        <v>454</v>
      </c>
      <c r="G1595" s="1" t="s">
        <v>53</v>
      </c>
      <c r="H1595" s="1" t="s">
        <v>585</v>
      </c>
      <c r="I1595" s="1" t="s">
        <v>586</v>
      </c>
      <c r="J1595" s="1" t="s">
        <v>46</v>
      </c>
      <c r="K1595" t="s">
        <v>457</v>
      </c>
      <c r="M1595" s="1" t="s">
        <v>58</v>
      </c>
      <c r="N1595" s="1">
        <v>0</v>
      </c>
      <c r="O1595" s="1" t="s">
        <v>36</v>
      </c>
      <c r="P1595" s="11" t="s">
        <v>3763</v>
      </c>
      <c r="R1595" s="1">
        <v>1</v>
      </c>
      <c r="T1595" s="1" t="s">
        <v>157</v>
      </c>
      <c r="U1595" s="11" t="s">
        <v>3764</v>
      </c>
      <c r="V1595" s="1" t="s">
        <v>41</v>
      </c>
      <c r="W1595" s="1" t="s">
        <v>49</v>
      </c>
      <c r="X1595" s="13" t="str">
        <f>IF(RIGHT(H1595,2)&lt;&gt;"00",H1595,"")</f>
        <v/>
      </c>
      <c r="Y1595" s="2">
        <f ca="1">NETWORKDAYS(P1595,$Y$1)</f>
        <v>8</v>
      </c>
      <c r="Z1595" s="14">
        <v>1</v>
      </c>
      <c r="AA1595" s="1" t="str">
        <f t="shared" ca="1" si="120"/>
        <v>VENCIDO</v>
      </c>
      <c r="AB1595" s="1" t="str">
        <f t="shared" si="121"/>
        <v>C-14</v>
      </c>
      <c r="AC1595" s="2" t="str">
        <f t="shared" si="122"/>
        <v xml:space="preserve"> CLEITON </v>
      </c>
      <c r="AD1595" s="2">
        <f t="shared" si="123"/>
        <v>5</v>
      </c>
      <c r="AE1595" s="2">
        <f t="shared" ca="1" si="124"/>
        <v>-8.3185517361125676</v>
      </c>
    </row>
    <row r="1596" spans="1:31" hidden="1">
      <c r="A1596" s="1">
        <v>9496706</v>
      </c>
      <c r="B1596" s="1" t="s">
        <v>1153</v>
      </c>
      <c r="C1596" t="s">
        <v>3765</v>
      </c>
      <c r="E1596" s="2">
        <v>711000206001</v>
      </c>
      <c r="F1596" s="1" t="s">
        <v>29</v>
      </c>
      <c r="G1596" s="1" t="s">
        <v>53</v>
      </c>
      <c r="H1596" s="1" t="s">
        <v>77</v>
      </c>
      <c r="I1596" s="1" t="s">
        <v>78</v>
      </c>
      <c r="J1596" s="1" t="s">
        <v>79</v>
      </c>
      <c r="K1596" t="s">
        <v>34</v>
      </c>
      <c r="M1596" s="1" t="s">
        <v>35</v>
      </c>
      <c r="N1596" s="1">
        <v>42318949</v>
      </c>
      <c r="O1596" s="1" t="s">
        <v>36</v>
      </c>
      <c r="P1596" s="11" t="s">
        <v>3766</v>
      </c>
      <c r="R1596" s="1" t="s">
        <v>38</v>
      </c>
      <c r="T1596" s="1" t="s">
        <v>74</v>
      </c>
      <c r="U1596" s="11" t="s">
        <v>2516</v>
      </c>
      <c r="V1596" s="1" t="s">
        <v>41</v>
      </c>
      <c r="W1596" s="1" t="s">
        <v>49</v>
      </c>
      <c r="X1596" s="13" t="str">
        <f>IF(RIGHT(H1596,2)&lt;&gt;"00",H1596,"")</f>
        <v/>
      </c>
      <c r="Y1596" s="2">
        <f ca="1">NETWORKDAYS(P1596,$Y$1)</f>
        <v>8</v>
      </c>
      <c r="Z1596" s="14">
        <v>1</v>
      </c>
      <c r="AA1596" s="1" t="str">
        <f t="shared" ref="AA1596:AA1659" ca="1" si="125">IF(AE1596=0,"HOJE",IF(AE1596&gt;0,"A VENCER",IF(AE1596&lt;0,"VENCIDO")))</f>
        <v>VENCIDO</v>
      </c>
      <c r="AB1596" s="1" t="str">
        <f t="shared" ref="AB1596:AB1659" si="126">IF(F1596="GRPE-000001","C-14",IF(F1596="GRPE-000002","C-14",IF(F1596="GRPE-000003","C-14",IF(F1596="GRPE-000004","SL-On",IF(F1596="GRPE-000038","C-14",IF(F1596="GRPE-900022","Dosa",IF(F1596="GRPE-000029","Dosa",IF(F1596="ATOS-000222","Dose","TAAe+"))))))))</f>
        <v>Dosa</v>
      </c>
      <c r="AC1596" s="2" t="str">
        <f t="shared" ref="AC1596:AC1659" si="127">IF(J1596="TR-PETROLINA"," ROSEMERE ",IF(J1596="TR-GARANHUNS"," ROSEMERE ",IF(J1596="TR-CARUARU"," ROSEMERE ",IF(J1596="TR-RIBEIRAO"," CRISTINA ",IF(J1596="TR-GRAVATA"," CRISTINA ",IF(J1596="TR-GOIANA"," CRISTINA ",IF(J1596="TR-LIMOEIRO"," CRISTINA ",IF(J1596="TR-SERRA TALHADA"," RINALDO ",IF(J1596="TR-SALGUEIRO"," RINALDO ",IF(J1596="TR-CARNAIBA"," RINALDO ",IF(J1596="TR-ARCOVERDE"," RINALDO ",IF(J1596="CAT-RECIFE"," CLEITON ",))))))))))))</f>
        <v xml:space="preserve"> ROSEMERE </v>
      </c>
      <c r="AD1596" s="2">
        <f t="shared" ref="AD1596:AD1659" si="128">IF(F1596="GRPE-000001",5,IF(F1596="GRPE-000002",5,IF(F1596="GRPE-000003",15,IF(F1596="GRPE-000004",1,IF(F1596="GRPE-000038",5,IF(F1596="GRPE-900022",5,IF(F1596="GRPE-000029",5,IF(F1596="ATOS-000222",5,8))))))))</f>
        <v>5</v>
      </c>
      <c r="AE1596" s="2">
        <f t="shared" ref="AE1596:AE1659" ca="1" si="129">IF(U1596=$AE$1,"",U1596-$AE$1)</f>
        <v>-6.9679383101829444</v>
      </c>
    </row>
    <row r="1597" spans="1:31" hidden="1">
      <c r="A1597" s="1">
        <v>9496595</v>
      </c>
      <c r="B1597" s="1" t="s">
        <v>1153</v>
      </c>
      <c r="C1597" t="s">
        <v>3767</v>
      </c>
      <c r="E1597" s="2">
        <v>220000203000</v>
      </c>
      <c r="F1597" s="1" t="s">
        <v>454</v>
      </c>
      <c r="G1597" s="1" t="s">
        <v>53</v>
      </c>
      <c r="H1597" s="1" t="s">
        <v>588</v>
      </c>
      <c r="I1597" s="1" t="s">
        <v>589</v>
      </c>
      <c r="J1597" s="1" t="s">
        <v>110</v>
      </c>
      <c r="K1597" t="s">
        <v>457</v>
      </c>
      <c r="M1597" s="1" t="s">
        <v>58</v>
      </c>
      <c r="N1597" s="1">
        <v>0</v>
      </c>
      <c r="O1597" s="1" t="s">
        <v>105</v>
      </c>
      <c r="P1597" s="11" t="s">
        <v>3768</v>
      </c>
      <c r="R1597" s="1">
        <v>1</v>
      </c>
      <c r="T1597" s="1" t="s">
        <v>157</v>
      </c>
      <c r="U1597" s="11" t="s">
        <v>3769</v>
      </c>
      <c r="V1597" s="1" t="s">
        <v>41</v>
      </c>
      <c r="W1597" s="1" t="s">
        <v>49</v>
      </c>
      <c r="X1597" s="13" t="str">
        <f>IF(RIGHT(H1597,2)&lt;&gt;"00",H1597,"")</f>
        <v/>
      </c>
      <c r="Y1597" s="2">
        <f ca="1">NETWORKDAYS(P1597,$Y$1)</f>
        <v>8</v>
      </c>
      <c r="Z1597" s="14">
        <v>1</v>
      </c>
      <c r="AA1597" s="1" t="str">
        <f t="shared" ca="1" si="125"/>
        <v>VENCIDO</v>
      </c>
      <c r="AB1597" s="1" t="str">
        <f t="shared" si="126"/>
        <v>C-14</v>
      </c>
      <c r="AC1597" s="2" t="str">
        <f t="shared" si="127"/>
        <v xml:space="preserve"> CRISTINA </v>
      </c>
      <c r="AD1597" s="2">
        <f t="shared" si="128"/>
        <v>5</v>
      </c>
      <c r="AE1597" s="2">
        <f t="shared" ca="1" si="129"/>
        <v>-9.0944776620381163</v>
      </c>
    </row>
    <row r="1598" spans="1:31" hidden="1">
      <c r="A1598" s="1">
        <v>9496486</v>
      </c>
      <c r="B1598" s="1" t="s">
        <v>1153</v>
      </c>
      <c r="C1598" t="s">
        <v>3770</v>
      </c>
      <c r="E1598" s="2">
        <v>1291000203000</v>
      </c>
      <c r="F1598" s="1" t="s">
        <v>454</v>
      </c>
      <c r="G1598" s="1" t="s">
        <v>53</v>
      </c>
      <c r="H1598" s="1" t="s">
        <v>136</v>
      </c>
      <c r="I1598" s="1" t="s">
        <v>137</v>
      </c>
      <c r="J1598" s="1" t="s">
        <v>33</v>
      </c>
      <c r="K1598" t="s">
        <v>457</v>
      </c>
      <c r="M1598" s="1" t="s">
        <v>58</v>
      </c>
      <c r="N1598" s="1">
        <v>0</v>
      </c>
      <c r="O1598" s="1" t="s">
        <v>36</v>
      </c>
      <c r="P1598" s="11" t="s">
        <v>3771</v>
      </c>
      <c r="R1598" s="1">
        <v>1</v>
      </c>
      <c r="T1598" s="1" t="s">
        <v>157</v>
      </c>
      <c r="U1598" s="11" t="s">
        <v>3772</v>
      </c>
      <c r="V1598" s="1" t="s">
        <v>41</v>
      </c>
      <c r="W1598" s="1" t="s">
        <v>42</v>
      </c>
      <c r="X1598" s="13" t="str">
        <f>IF(RIGHT(H1598,2)&lt;&gt;"00",H1598,"")</f>
        <v/>
      </c>
      <c r="Y1598" s="2">
        <f ca="1">NETWORKDAYS(P1598,$Y$1)</f>
        <v>8</v>
      </c>
      <c r="Z1598" s="14">
        <v>1</v>
      </c>
      <c r="AA1598" s="1" t="str">
        <f t="shared" ca="1" si="125"/>
        <v>VENCIDO</v>
      </c>
      <c r="AB1598" s="1" t="str">
        <f t="shared" si="126"/>
        <v>C-14</v>
      </c>
      <c r="AC1598" s="2" t="str">
        <f t="shared" si="127"/>
        <v xml:space="preserve"> ROSEMERE </v>
      </c>
      <c r="AD1598" s="2">
        <f t="shared" si="128"/>
        <v>5</v>
      </c>
      <c r="AE1598" s="2">
        <f t="shared" ca="1" si="129"/>
        <v>-9.1363642361102393</v>
      </c>
    </row>
    <row r="1599" spans="1:31" hidden="1">
      <c r="A1599" s="1">
        <v>9496417</v>
      </c>
      <c r="B1599" s="1" t="s">
        <v>1153</v>
      </c>
      <c r="C1599" t="s">
        <v>3773</v>
      </c>
      <c r="E1599" s="2">
        <v>2564000203000</v>
      </c>
      <c r="F1599" s="1" t="s">
        <v>454</v>
      </c>
      <c r="G1599" s="1" t="s">
        <v>53</v>
      </c>
      <c r="H1599" s="1" t="s">
        <v>255</v>
      </c>
      <c r="I1599" s="1" t="s">
        <v>256</v>
      </c>
      <c r="J1599" s="1" t="s">
        <v>164</v>
      </c>
      <c r="K1599" t="s">
        <v>457</v>
      </c>
      <c r="M1599" s="1" t="s">
        <v>58</v>
      </c>
      <c r="N1599" s="1">
        <v>0</v>
      </c>
      <c r="O1599" s="1" t="s">
        <v>36</v>
      </c>
      <c r="P1599" s="11" t="s">
        <v>3774</v>
      </c>
      <c r="R1599" s="1">
        <v>1</v>
      </c>
      <c r="T1599" s="1" t="s">
        <v>157</v>
      </c>
      <c r="U1599" s="11" t="s">
        <v>3775</v>
      </c>
      <c r="V1599" s="1" t="s">
        <v>41</v>
      </c>
      <c r="W1599" s="1" t="s">
        <v>49</v>
      </c>
      <c r="X1599" s="13" t="str">
        <f>IF(RIGHT(H1599,2)&lt;&gt;"00",H1599,"")</f>
        <v/>
      </c>
      <c r="Y1599" s="2">
        <f ca="1">NETWORKDAYS(P1599,$Y$1)</f>
        <v>8</v>
      </c>
      <c r="Z1599" s="14">
        <v>1</v>
      </c>
      <c r="AA1599" s="1" t="str">
        <f t="shared" ca="1" si="125"/>
        <v>VENCIDO</v>
      </c>
      <c r="AB1599" s="1" t="str">
        <f t="shared" si="126"/>
        <v>C-14</v>
      </c>
      <c r="AC1599" s="2" t="str">
        <f t="shared" si="127"/>
        <v xml:space="preserve"> ROSEMERE </v>
      </c>
      <c r="AD1599" s="2">
        <f t="shared" si="128"/>
        <v>5</v>
      </c>
      <c r="AE1599" s="2">
        <f t="shared" ca="1" si="129"/>
        <v>-9.1672438657406019</v>
      </c>
    </row>
    <row r="1600" spans="1:31" hidden="1">
      <c r="A1600" s="1">
        <v>9496416</v>
      </c>
      <c r="B1600" s="1" t="s">
        <v>1153</v>
      </c>
      <c r="C1600" t="s">
        <v>3776</v>
      </c>
      <c r="E1600" s="2">
        <v>2473000203000</v>
      </c>
      <c r="F1600" s="1" t="s">
        <v>454</v>
      </c>
      <c r="G1600" s="1" t="s">
        <v>53</v>
      </c>
      <c r="H1600" s="1" t="s">
        <v>1459</v>
      </c>
      <c r="I1600" s="1" t="s">
        <v>1460</v>
      </c>
      <c r="J1600" s="1" t="s">
        <v>261</v>
      </c>
      <c r="K1600" t="s">
        <v>457</v>
      </c>
      <c r="M1600" s="1" t="s">
        <v>58</v>
      </c>
      <c r="N1600" s="1">
        <v>0</v>
      </c>
      <c r="O1600" s="1" t="s">
        <v>105</v>
      </c>
      <c r="P1600" s="11" t="s">
        <v>3777</v>
      </c>
      <c r="R1600" s="1">
        <v>1</v>
      </c>
      <c r="T1600" s="1" t="s">
        <v>157</v>
      </c>
      <c r="U1600" s="11" t="s">
        <v>3778</v>
      </c>
      <c r="V1600" s="1" t="s">
        <v>41</v>
      </c>
      <c r="W1600" s="1" t="s">
        <v>49</v>
      </c>
      <c r="X1600" s="13" t="str">
        <f>IF(RIGHT(H1600,2)&lt;&gt;"00",H1600,"")</f>
        <v/>
      </c>
      <c r="Y1600" s="2">
        <f ca="1">NETWORKDAYS(P1600,$Y$1)</f>
        <v>8</v>
      </c>
      <c r="Z1600" s="14">
        <v>1</v>
      </c>
      <c r="AA1600" s="1" t="str">
        <f t="shared" ca="1" si="125"/>
        <v>VENCIDO</v>
      </c>
      <c r="AB1600" s="1" t="str">
        <f t="shared" si="126"/>
        <v>C-14</v>
      </c>
      <c r="AC1600" s="2" t="str">
        <f t="shared" si="127"/>
        <v xml:space="preserve"> CRISTINA </v>
      </c>
      <c r="AD1600" s="2">
        <f t="shared" si="128"/>
        <v>5</v>
      </c>
      <c r="AE1600" s="2">
        <f t="shared" ca="1" si="129"/>
        <v>-9.1673133101867279</v>
      </c>
    </row>
    <row r="1601" spans="1:31">
      <c r="A1601" s="181">
        <v>9496406</v>
      </c>
      <c r="B1601" s="181" t="s">
        <v>1153</v>
      </c>
      <c r="C1601" s="182" t="s">
        <v>3779</v>
      </c>
      <c r="D1601" s="183"/>
      <c r="E1601" s="183">
        <v>2590000206001</v>
      </c>
      <c r="F1601" s="181" t="s">
        <v>29</v>
      </c>
      <c r="G1601" s="181" t="s">
        <v>53</v>
      </c>
      <c r="H1601" s="181" t="s">
        <v>394</v>
      </c>
      <c r="I1601" s="181" t="s">
        <v>395</v>
      </c>
      <c r="J1601" s="181" t="s">
        <v>148</v>
      </c>
      <c r="K1601" t="s">
        <v>34</v>
      </c>
      <c r="M1601" s="1" t="s">
        <v>35</v>
      </c>
      <c r="N1601" s="1">
        <v>42318949</v>
      </c>
      <c r="O1601" s="1" t="s">
        <v>36</v>
      </c>
      <c r="P1601" s="11" t="s">
        <v>3780</v>
      </c>
      <c r="R1601" s="1" t="s">
        <v>38</v>
      </c>
      <c r="T1601" s="1" t="s">
        <v>74</v>
      </c>
      <c r="U1601" s="11" t="s">
        <v>1959</v>
      </c>
      <c r="V1601" s="1" t="s">
        <v>41</v>
      </c>
      <c r="W1601" s="1" t="s">
        <v>49</v>
      </c>
      <c r="X1601" s="13" t="str">
        <f>IF(RIGHT(H1601,2)&lt;&gt;"00",H1601,"")</f>
        <v/>
      </c>
      <c r="Y1601" s="2">
        <f ca="1">NETWORKDAYS(P1601,$Y$1)</f>
        <v>8</v>
      </c>
      <c r="Z1601" s="14">
        <v>1</v>
      </c>
      <c r="AA1601" s="1" t="str">
        <f t="shared" ca="1" si="125"/>
        <v>VENCIDO</v>
      </c>
      <c r="AB1601" s="1" t="str">
        <f t="shared" si="126"/>
        <v>Dosa</v>
      </c>
      <c r="AC1601" s="2" t="str">
        <f t="shared" si="127"/>
        <v xml:space="preserve"> RINALDO </v>
      </c>
      <c r="AD1601" s="2">
        <f t="shared" si="128"/>
        <v>5</v>
      </c>
      <c r="AE1601" s="2">
        <f t="shared" ca="1" si="129"/>
        <v>-6.9262716435187031</v>
      </c>
    </row>
    <row r="1602" spans="1:31" hidden="1">
      <c r="A1602" s="1">
        <v>9496381</v>
      </c>
      <c r="B1602" s="1" t="s">
        <v>1153</v>
      </c>
      <c r="C1602" t="s">
        <v>3781</v>
      </c>
      <c r="E1602" s="2">
        <v>4274000206001</v>
      </c>
      <c r="F1602" s="1" t="s">
        <v>29</v>
      </c>
      <c r="G1602" s="1" t="s">
        <v>53</v>
      </c>
      <c r="H1602" s="1" t="s">
        <v>386</v>
      </c>
      <c r="I1602" s="1" t="s">
        <v>387</v>
      </c>
      <c r="J1602" s="1" t="s">
        <v>46</v>
      </c>
      <c r="K1602" t="s">
        <v>34</v>
      </c>
      <c r="M1602" s="1" t="s">
        <v>35</v>
      </c>
      <c r="N1602" s="1">
        <v>42318949</v>
      </c>
      <c r="O1602" s="1" t="s">
        <v>36</v>
      </c>
      <c r="P1602" s="11" t="s">
        <v>3782</v>
      </c>
      <c r="R1602" s="1" t="s">
        <v>38</v>
      </c>
      <c r="T1602" s="1" t="s">
        <v>74</v>
      </c>
      <c r="U1602" s="11" t="s">
        <v>2516</v>
      </c>
      <c r="V1602" s="1" t="s">
        <v>41</v>
      </c>
      <c r="W1602" s="1" t="s">
        <v>49</v>
      </c>
      <c r="X1602" s="13" t="str">
        <f>IF(RIGHT(H1602,2)&lt;&gt;"00",H1602,"")</f>
        <v/>
      </c>
      <c r="Y1602" s="2">
        <f ca="1">NETWORKDAYS(P1602,$Y$1)</f>
        <v>8</v>
      </c>
      <c r="Z1602" s="14">
        <v>1</v>
      </c>
      <c r="AA1602" s="1" t="str">
        <f t="shared" ca="1" si="125"/>
        <v>VENCIDO</v>
      </c>
      <c r="AB1602" s="1" t="str">
        <f t="shared" si="126"/>
        <v>Dosa</v>
      </c>
      <c r="AC1602" s="2" t="str">
        <f t="shared" si="127"/>
        <v xml:space="preserve"> CLEITON </v>
      </c>
      <c r="AD1602" s="2">
        <f t="shared" si="128"/>
        <v>5</v>
      </c>
      <c r="AE1602" s="2">
        <f t="shared" ca="1" si="129"/>
        <v>-6.9679383101829444</v>
      </c>
    </row>
    <row r="1603" spans="1:31" hidden="1">
      <c r="A1603" s="1">
        <v>9496337</v>
      </c>
      <c r="B1603" s="1" t="s">
        <v>1153</v>
      </c>
      <c r="C1603" t="s">
        <v>3783</v>
      </c>
      <c r="E1603" s="2">
        <v>1837000206001</v>
      </c>
      <c r="F1603" s="1" t="s">
        <v>29</v>
      </c>
      <c r="G1603" s="1" t="s">
        <v>53</v>
      </c>
      <c r="H1603" s="1" t="s">
        <v>1785</v>
      </c>
      <c r="I1603" s="1" t="s">
        <v>1786</v>
      </c>
      <c r="J1603" s="1" t="s">
        <v>46</v>
      </c>
      <c r="K1603" t="s">
        <v>34</v>
      </c>
      <c r="M1603" s="1" t="s">
        <v>35</v>
      </c>
      <c r="N1603" s="1">
        <v>42318949</v>
      </c>
      <c r="O1603" s="1" t="s">
        <v>36</v>
      </c>
      <c r="P1603" s="11" t="s">
        <v>3784</v>
      </c>
      <c r="R1603" s="1" t="s">
        <v>38</v>
      </c>
      <c r="T1603" s="1" t="s">
        <v>74</v>
      </c>
      <c r="U1603" s="11" t="s">
        <v>2516</v>
      </c>
      <c r="V1603" s="1" t="s">
        <v>41</v>
      </c>
      <c r="W1603" s="1" t="s">
        <v>49</v>
      </c>
      <c r="X1603" s="13" t="str">
        <f>IF(RIGHT(H1603,2)&lt;&gt;"00",H1603,"")</f>
        <v/>
      </c>
      <c r="Y1603" s="2">
        <f ca="1">NETWORKDAYS(P1603,$Y$1)</f>
        <v>8</v>
      </c>
      <c r="Z1603" s="14">
        <v>1</v>
      </c>
      <c r="AA1603" s="1" t="str">
        <f t="shared" ca="1" si="125"/>
        <v>VENCIDO</v>
      </c>
      <c r="AB1603" s="1" t="str">
        <f t="shared" si="126"/>
        <v>Dosa</v>
      </c>
      <c r="AC1603" s="2" t="str">
        <f t="shared" si="127"/>
        <v xml:space="preserve"> CLEITON </v>
      </c>
      <c r="AD1603" s="2">
        <f t="shared" si="128"/>
        <v>5</v>
      </c>
      <c r="AE1603" s="2">
        <f t="shared" ca="1" si="129"/>
        <v>-6.9679383101829444</v>
      </c>
    </row>
    <row r="1604" spans="1:31">
      <c r="A1604" s="1">
        <v>9496334</v>
      </c>
      <c r="B1604" s="1" t="s">
        <v>1153</v>
      </c>
      <c r="C1604" t="s">
        <v>2037</v>
      </c>
      <c r="E1604" s="2">
        <v>2170000206001</v>
      </c>
      <c r="F1604" s="1" t="s">
        <v>29</v>
      </c>
      <c r="G1604" s="1" t="s">
        <v>53</v>
      </c>
      <c r="H1604" s="1" t="s">
        <v>477</v>
      </c>
      <c r="I1604" s="1" t="s">
        <v>478</v>
      </c>
      <c r="J1604" s="1" t="s">
        <v>148</v>
      </c>
      <c r="K1604" t="s">
        <v>34</v>
      </c>
      <c r="M1604" s="1" t="s">
        <v>35</v>
      </c>
      <c r="N1604" s="1">
        <v>42318949</v>
      </c>
      <c r="O1604" s="1" t="s">
        <v>36</v>
      </c>
      <c r="P1604" s="11" t="s">
        <v>3785</v>
      </c>
      <c r="R1604" s="1" t="s">
        <v>38</v>
      </c>
      <c r="T1604" s="1" t="s">
        <v>74</v>
      </c>
      <c r="U1604" s="11" t="s">
        <v>1959</v>
      </c>
      <c r="V1604" s="1" t="s">
        <v>41</v>
      </c>
      <c r="W1604" s="1" t="s">
        <v>49</v>
      </c>
      <c r="X1604" s="13" t="str">
        <f>IF(RIGHT(H1604,2)&lt;&gt;"00",H1604,"")</f>
        <v/>
      </c>
      <c r="Y1604" s="2">
        <f ca="1">NETWORKDAYS(P1604,$Y$1)</f>
        <v>8</v>
      </c>
      <c r="Z1604" s="14">
        <v>1</v>
      </c>
      <c r="AA1604" s="1" t="str">
        <f t="shared" ca="1" si="125"/>
        <v>VENCIDO</v>
      </c>
      <c r="AB1604" s="1" t="str">
        <f t="shared" si="126"/>
        <v>Dosa</v>
      </c>
      <c r="AC1604" s="2" t="str">
        <f t="shared" si="127"/>
        <v xml:space="preserve"> RINALDO </v>
      </c>
      <c r="AD1604" s="2">
        <f t="shared" si="128"/>
        <v>5</v>
      </c>
      <c r="AE1604" s="2">
        <f t="shared" ca="1" si="129"/>
        <v>-6.9262716435187031</v>
      </c>
    </row>
    <row r="1605" spans="1:31" hidden="1">
      <c r="A1605" s="1">
        <v>9496332</v>
      </c>
      <c r="B1605" s="1" t="s">
        <v>1153</v>
      </c>
      <c r="C1605" t="s">
        <v>3786</v>
      </c>
      <c r="E1605" s="2">
        <v>1664000206001</v>
      </c>
      <c r="F1605" s="1" t="s">
        <v>29</v>
      </c>
      <c r="G1605" s="1" t="s">
        <v>53</v>
      </c>
      <c r="H1605" s="1" t="s">
        <v>307</v>
      </c>
      <c r="I1605" s="1" t="s">
        <v>308</v>
      </c>
      <c r="J1605" s="1" t="s">
        <v>164</v>
      </c>
      <c r="K1605" t="s">
        <v>34</v>
      </c>
      <c r="M1605" s="1" t="s">
        <v>35</v>
      </c>
      <c r="N1605" s="1">
        <v>42318949</v>
      </c>
      <c r="O1605" s="1" t="s">
        <v>36</v>
      </c>
      <c r="P1605" s="11" t="s">
        <v>3787</v>
      </c>
      <c r="R1605" s="1" t="s">
        <v>38</v>
      </c>
      <c r="T1605" s="1" t="s">
        <v>74</v>
      </c>
      <c r="U1605" s="11" t="s">
        <v>2516</v>
      </c>
      <c r="V1605" s="1" t="s">
        <v>41</v>
      </c>
      <c r="W1605" s="1" t="s">
        <v>49</v>
      </c>
      <c r="X1605" s="13" t="str">
        <f>IF(RIGHT(H1605,2)&lt;&gt;"00",H1605,"")</f>
        <v/>
      </c>
      <c r="Y1605" s="2">
        <f ca="1">NETWORKDAYS(P1605,$Y$1)</f>
        <v>8</v>
      </c>
      <c r="Z1605" s="14">
        <v>1</v>
      </c>
      <c r="AA1605" s="1" t="str">
        <f t="shared" ca="1" si="125"/>
        <v>VENCIDO</v>
      </c>
      <c r="AB1605" s="1" t="str">
        <f t="shared" si="126"/>
        <v>Dosa</v>
      </c>
      <c r="AC1605" s="2" t="str">
        <f t="shared" si="127"/>
        <v xml:space="preserve"> ROSEMERE </v>
      </c>
      <c r="AD1605" s="2">
        <f t="shared" si="128"/>
        <v>5</v>
      </c>
      <c r="AE1605" s="2">
        <f t="shared" ca="1" si="129"/>
        <v>-6.9679383101829444</v>
      </c>
    </row>
    <row r="1606" spans="1:31" hidden="1">
      <c r="A1606" s="1">
        <v>9496312</v>
      </c>
      <c r="B1606" s="1" t="s">
        <v>1153</v>
      </c>
      <c r="C1606" t="s">
        <v>3788</v>
      </c>
      <c r="E1606" s="2">
        <v>2138000206001</v>
      </c>
      <c r="F1606" s="1" t="s">
        <v>29</v>
      </c>
      <c r="G1606" s="1" t="s">
        <v>53</v>
      </c>
      <c r="H1606" s="1" t="s">
        <v>379</v>
      </c>
      <c r="I1606" s="1" t="s">
        <v>380</v>
      </c>
      <c r="J1606" s="1" t="s">
        <v>46</v>
      </c>
      <c r="K1606" t="s">
        <v>34</v>
      </c>
      <c r="M1606" s="1" t="s">
        <v>35</v>
      </c>
      <c r="N1606" s="1">
        <v>42318949</v>
      </c>
      <c r="O1606" s="1" t="s">
        <v>36</v>
      </c>
      <c r="P1606" s="11" t="s">
        <v>3789</v>
      </c>
      <c r="R1606" s="1" t="s">
        <v>38</v>
      </c>
      <c r="T1606" s="1" t="s">
        <v>74</v>
      </c>
      <c r="U1606" s="11" t="s">
        <v>2516</v>
      </c>
      <c r="V1606" s="1" t="s">
        <v>41</v>
      </c>
      <c r="W1606" s="1" t="s">
        <v>49</v>
      </c>
      <c r="X1606" s="13" t="str">
        <f>IF(RIGHT(H1606,2)&lt;&gt;"00",H1606,"")</f>
        <v/>
      </c>
      <c r="Y1606" s="2">
        <f ca="1">NETWORKDAYS(P1606,$Y$1)</f>
        <v>8</v>
      </c>
      <c r="Z1606" s="14">
        <v>1</v>
      </c>
      <c r="AA1606" s="1" t="str">
        <f t="shared" ca="1" si="125"/>
        <v>VENCIDO</v>
      </c>
      <c r="AB1606" s="1" t="str">
        <f t="shared" si="126"/>
        <v>Dosa</v>
      </c>
      <c r="AC1606" s="2" t="str">
        <f t="shared" si="127"/>
        <v xml:space="preserve"> CLEITON </v>
      </c>
      <c r="AD1606" s="2">
        <f t="shared" si="128"/>
        <v>5</v>
      </c>
      <c r="AE1606" s="2">
        <f t="shared" ca="1" si="129"/>
        <v>-6.9679383101829444</v>
      </c>
    </row>
    <row r="1607" spans="1:31" hidden="1">
      <c r="A1607" s="1">
        <v>9496284</v>
      </c>
      <c r="B1607" s="1" t="s">
        <v>1153</v>
      </c>
      <c r="C1607" t="s">
        <v>3790</v>
      </c>
      <c r="E1607" s="2">
        <v>1814000206001</v>
      </c>
      <c r="F1607" s="1" t="s">
        <v>29</v>
      </c>
      <c r="G1607" s="1" t="s">
        <v>53</v>
      </c>
      <c r="H1607" s="1" t="s">
        <v>396</v>
      </c>
      <c r="I1607" s="1" t="s">
        <v>397</v>
      </c>
      <c r="J1607" s="1" t="s">
        <v>46</v>
      </c>
      <c r="K1607" t="s">
        <v>34</v>
      </c>
      <c r="M1607" s="1" t="s">
        <v>35</v>
      </c>
      <c r="N1607" s="1">
        <v>42318949</v>
      </c>
      <c r="O1607" s="1" t="s">
        <v>36</v>
      </c>
      <c r="P1607" s="11" t="s">
        <v>3791</v>
      </c>
      <c r="R1607" s="1" t="s">
        <v>38</v>
      </c>
      <c r="T1607" s="1" t="s">
        <v>74</v>
      </c>
      <c r="U1607" s="11" t="s">
        <v>2516</v>
      </c>
      <c r="V1607" s="1" t="s">
        <v>41</v>
      </c>
      <c r="W1607" s="1" t="s">
        <v>49</v>
      </c>
      <c r="X1607" s="13" t="str">
        <f>IF(RIGHT(H1607,2)&lt;&gt;"00",H1607,"")</f>
        <v/>
      </c>
      <c r="Y1607" s="2">
        <f ca="1">NETWORKDAYS(P1607,$Y$1)</f>
        <v>8</v>
      </c>
      <c r="Z1607" s="14">
        <v>1</v>
      </c>
      <c r="AA1607" s="1" t="str">
        <f t="shared" ca="1" si="125"/>
        <v>VENCIDO</v>
      </c>
      <c r="AB1607" s="1" t="str">
        <f t="shared" si="126"/>
        <v>Dosa</v>
      </c>
      <c r="AC1607" s="2" t="str">
        <f t="shared" si="127"/>
        <v xml:space="preserve"> CLEITON </v>
      </c>
      <c r="AD1607" s="2">
        <f t="shared" si="128"/>
        <v>5</v>
      </c>
      <c r="AE1607" s="2">
        <f t="shared" ca="1" si="129"/>
        <v>-6.9679383101829444</v>
      </c>
    </row>
    <row r="1608" spans="1:31">
      <c r="A1608" s="1">
        <v>9496178</v>
      </c>
      <c r="B1608" s="1" t="s">
        <v>1153</v>
      </c>
      <c r="C1608" t="s">
        <v>3792</v>
      </c>
      <c r="E1608" s="2">
        <v>2304000206001</v>
      </c>
      <c r="F1608" s="1" t="s">
        <v>29</v>
      </c>
      <c r="G1608" s="1" t="s">
        <v>53</v>
      </c>
      <c r="H1608" s="1" t="s">
        <v>2711</v>
      </c>
      <c r="I1608" s="1" t="s">
        <v>2712</v>
      </c>
      <c r="J1608" s="1" t="s">
        <v>85</v>
      </c>
      <c r="K1608" t="s">
        <v>34</v>
      </c>
      <c r="M1608" s="1" t="s">
        <v>35</v>
      </c>
      <c r="N1608" s="1">
        <v>42318949</v>
      </c>
      <c r="O1608" s="1" t="s">
        <v>36</v>
      </c>
      <c r="P1608" s="11" t="s">
        <v>3793</v>
      </c>
      <c r="R1608" s="1" t="s">
        <v>38</v>
      </c>
      <c r="T1608" s="1" t="s">
        <v>74</v>
      </c>
      <c r="U1608" s="11" t="s">
        <v>2516</v>
      </c>
      <c r="V1608" s="1" t="s">
        <v>41</v>
      </c>
      <c r="W1608" s="1" t="s">
        <v>49</v>
      </c>
      <c r="X1608" s="13" t="str">
        <f>IF(RIGHT(H1608,2)&lt;&gt;"00",H1608,"")</f>
        <v/>
      </c>
      <c r="Y1608" s="2">
        <f ca="1">NETWORKDAYS(P1608,$Y$1)</f>
        <v>8</v>
      </c>
      <c r="Z1608" s="14">
        <v>1</v>
      </c>
      <c r="AA1608" s="1" t="str">
        <f t="shared" ca="1" si="125"/>
        <v>VENCIDO</v>
      </c>
      <c r="AB1608" s="1" t="str">
        <f t="shared" si="126"/>
        <v>Dosa</v>
      </c>
      <c r="AC1608" s="2" t="str">
        <f t="shared" si="127"/>
        <v xml:space="preserve"> RINALDO </v>
      </c>
      <c r="AD1608" s="2">
        <f t="shared" si="128"/>
        <v>5</v>
      </c>
      <c r="AE1608" s="2">
        <f t="shared" ca="1" si="129"/>
        <v>-6.9679383101829444</v>
      </c>
    </row>
    <row r="1609" spans="1:31">
      <c r="A1609" s="1">
        <v>9496152</v>
      </c>
      <c r="B1609" s="1" t="s">
        <v>1153</v>
      </c>
      <c r="C1609" t="s">
        <v>3794</v>
      </c>
      <c r="E1609" s="2">
        <v>981000206001</v>
      </c>
      <c r="F1609" s="1" t="s">
        <v>29</v>
      </c>
      <c r="G1609" s="1" t="s">
        <v>53</v>
      </c>
      <c r="H1609" s="1" t="s">
        <v>410</v>
      </c>
      <c r="I1609" s="1" t="s">
        <v>411</v>
      </c>
      <c r="J1609" s="1" t="s">
        <v>85</v>
      </c>
      <c r="K1609" t="s">
        <v>34</v>
      </c>
      <c r="M1609" s="1" t="s">
        <v>35</v>
      </c>
      <c r="N1609" s="1">
        <v>42318949</v>
      </c>
      <c r="O1609" s="1" t="s">
        <v>36</v>
      </c>
      <c r="P1609" s="11" t="s">
        <v>3795</v>
      </c>
      <c r="R1609" s="1" t="s">
        <v>38</v>
      </c>
      <c r="T1609" s="1" t="s">
        <v>74</v>
      </c>
      <c r="U1609" s="11" t="s">
        <v>2516</v>
      </c>
      <c r="V1609" s="1" t="s">
        <v>41</v>
      </c>
      <c r="W1609" s="1" t="s">
        <v>49</v>
      </c>
      <c r="X1609" s="13" t="str">
        <f>IF(RIGHT(H1609,2)&lt;&gt;"00",H1609,"")</f>
        <v/>
      </c>
      <c r="Y1609" s="2">
        <f ca="1">NETWORKDAYS(P1609,$Y$1)</f>
        <v>8</v>
      </c>
      <c r="Z1609" s="14">
        <v>1</v>
      </c>
      <c r="AA1609" s="1" t="str">
        <f t="shared" ca="1" si="125"/>
        <v>VENCIDO</v>
      </c>
      <c r="AB1609" s="1" t="str">
        <f t="shared" si="126"/>
        <v>Dosa</v>
      </c>
      <c r="AC1609" s="2" t="str">
        <f t="shared" si="127"/>
        <v xml:space="preserve"> RINALDO </v>
      </c>
      <c r="AD1609" s="2">
        <f t="shared" si="128"/>
        <v>5</v>
      </c>
      <c r="AE1609" s="2">
        <f t="shared" ca="1" si="129"/>
        <v>-6.9679383101829444</v>
      </c>
    </row>
    <row r="1610" spans="1:31">
      <c r="A1610" s="181">
        <v>9496135</v>
      </c>
      <c r="B1610" s="181" t="s">
        <v>1153</v>
      </c>
      <c r="C1610" s="182" t="s">
        <v>3796</v>
      </c>
      <c r="D1610" s="183"/>
      <c r="E1610" s="183">
        <v>608000206001</v>
      </c>
      <c r="F1610" s="181" t="s">
        <v>29</v>
      </c>
      <c r="G1610" s="181" t="s">
        <v>53</v>
      </c>
      <c r="H1610" s="181" t="s">
        <v>438</v>
      </c>
      <c r="I1610" s="181" t="s">
        <v>439</v>
      </c>
      <c r="J1610" s="181" t="s">
        <v>148</v>
      </c>
      <c r="K1610" t="s">
        <v>34</v>
      </c>
      <c r="M1610" s="1" t="s">
        <v>35</v>
      </c>
      <c r="N1610" s="1">
        <v>42318949</v>
      </c>
      <c r="O1610" s="1" t="s">
        <v>36</v>
      </c>
      <c r="P1610" s="11" t="s">
        <v>3797</v>
      </c>
      <c r="R1610" s="1" t="s">
        <v>38</v>
      </c>
      <c r="T1610" s="1" t="s">
        <v>74</v>
      </c>
      <c r="U1610" s="11" t="s">
        <v>3798</v>
      </c>
      <c r="V1610" s="1" t="s">
        <v>41</v>
      </c>
      <c r="W1610" s="1" t="s">
        <v>49</v>
      </c>
      <c r="X1610" s="13" t="str">
        <f>IF(RIGHT(H1610,2)&lt;&gt;"00",H1610,"")</f>
        <v/>
      </c>
      <c r="Y1610" s="2">
        <f ca="1">NETWORKDAYS(P1610,$Y$1)</f>
        <v>8</v>
      </c>
      <c r="Z1610" s="14">
        <v>1</v>
      </c>
      <c r="AA1610" s="1" t="str">
        <f t="shared" ca="1" si="125"/>
        <v>VENCIDO</v>
      </c>
      <c r="AB1610" s="1" t="str">
        <f t="shared" si="126"/>
        <v>Dosa</v>
      </c>
      <c r="AC1610" s="2" t="str">
        <f t="shared" si="127"/>
        <v xml:space="preserve"> RINALDO </v>
      </c>
      <c r="AD1610" s="2">
        <f t="shared" si="128"/>
        <v>5</v>
      </c>
      <c r="AE1610" s="2">
        <f t="shared" ca="1" si="129"/>
        <v>-2.2596049768544617</v>
      </c>
    </row>
    <row r="1611" spans="1:31" hidden="1">
      <c r="A1611" s="1">
        <v>9496132</v>
      </c>
      <c r="B1611" s="1" t="s">
        <v>1153</v>
      </c>
      <c r="C1611" t="s">
        <v>3799</v>
      </c>
      <c r="E1611" s="2">
        <v>2802000203000</v>
      </c>
      <c r="F1611" s="1" t="s">
        <v>454</v>
      </c>
      <c r="G1611" s="1" t="s">
        <v>53</v>
      </c>
      <c r="H1611" s="1" t="s">
        <v>388</v>
      </c>
      <c r="I1611" s="1" t="s">
        <v>389</v>
      </c>
      <c r="J1611" s="1" t="s">
        <v>46</v>
      </c>
      <c r="K1611" t="s">
        <v>457</v>
      </c>
      <c r="M1611" s="1" t="s">
        <v>58</v>
      </c>
      <c r="N1611" s="1">
        <v>0</v>
      </c>
      <c r="O1611" s="1" t="s">
        <v>36</v>
      </c>
      <c r="P1611" s="11" t="s">
        <v>3800</v>
      </c>
      <c r="R1611" s="1">
        <v>1</v>
      </c>
      <c r="T1611" s="1" t="s">
        <v>157</v>
      </c>
      <c r="U1611" s="11" t="s">
        <v>3801</v>
      </c>
      <c r="V1611" s="1" t="s">
        <v>41</v>
      </c>
      <c r="W1611" s="1" t="s">
        <v>49</v>
      </c>
      <c r="X1611" s="13" t="str">
        <f>IF(RIGHT(H1611,2)&lt;&gt;"00",H1611,"")</f>
        <v/>
      </c>
      <c r="Y1611" s="2">
        <f ca="1">NETWORKDAYS(P1611,$Y$1)</f>
        <v>8</v>
      </c>
      <c r="Z1611" s="14">
        <v>1</v>
      </c>
      <c r="AA1611" s="1" t="str">
        <f t="shared" ca="1" si="125"/>
        <v>VENCIDO</v>
      </c>
      <c r="AB1611" s="1" t="str">
        <f t="shared" si="126"/>
        <v>C-14</v>
      </c>
      <c r="AC1611" s="2" t="str">
        <f t="shared" si="127"/>
        <v xml:space="preserve"> CLEITON </v>
      </c>
      <c r="AD1611" s="2">
        <f t="shared" si="128"/>
        <v>5</v>
      </c>
      <c r="AE1611" s="2">
        <f t="shared" ca="1" si="129"/>
        <v>-9.293007754633436</v>
      </c>
    </row>
    <row r="1612" spans="1:31" hidden="1">
      <c r="A1612" s="1">
        <v>9496130</v>
      </c>
      <c r="B1612" s="1" t="s">
        <v>1153</v>
      </c>
      <c r="C1612" t="s">
        <v>3802</v>
      </c>
      <c r="E1612" s="2">
        <v>3258000203000</v>
      </c>
      <c r="F1612" s="1" t="s">
        <v>454</v>
      </c>
      <c r="G1612" s="1" t="s">
        <v>53</v>
      </c>
      <c r="H1612" s="1" t="s">
        <v>321</v>
      </c>
      <c r="I1612" s="1" t="s">
        <v>322</v>
      </c>
      <c r="J1612" s="1" t="s">
        <v>46</v>
      </c>
      <c r="K1612" t="s">
        <v>457</v>
      </c>
      <c r="M1612" s="1" t="s">
        <v>58</v>
      </c>
      <c r="N1612" s="1">
        <v>0</v>
      </c>
      <c r="O1612" s="1" t="s">
        <v>36</v>
      </c>
      <c r="P1612" s="11" t="s">
        <v>3803</v>
      </c>
      <c r="R1612" s="1">
        <v>1</v>
      </c>
      <c r="T1612" s="1" t="s">
        <v>157</v>
      </c>
      <c r="U1612" s="11" t="s">
        <v>3804</v>
      </c>
      <c r="V1612" s="1" t="s">
        <v>41</v>
      </c>
      <c r="W1612" s="1" t="s">
        <v>49</v>
      </c>
      <c r="X1612" s="13" t="str">
        <f>IF(RIGHT(H1612,2)&lt;&gt;"00",H1612,"")</f>
        <v/>
      </c>
      <c r="Y1612" s="2">
        <f ca="1">NETWORKDAYS(P1612,$Y$1)</f>
        <v>8</v>
      </c>
      <c r="Z1612" s="14">
        <v>1</v>
      </c>
      <c r="AA1612" s="1" t="str">
        <f t="shared" ca="1" si="125"/>
        <v>VENCIDO</v>
      </c>
      <c r="AB1612" s="1" t="str">
        <f t="shared" si="126"/>
        <v>C-14</v>
      </c>
      <c r="AC1612" s="2" t="str">
        <f t="shared" si="127"/>
        <v xml:space="preserve"> CLEITON </v>
      </c>
      <c r="AD1612" s="2">
        <f t="shared" si="128"/>
        <v>5</v>
      </c>
      <c r="AE1612" s="2">
        <f t="shared" ca="1" si="129"/>
        <v>-9.293146643518412</v>
      </c>
    </row>
    <row r="1613" spans="1:31" hidden="1">
      <c r="A1613" s="1">
        <v>9496114</v>
      </c>
      <c r="B1613" s="1" t="s">
        <v>1153</v>
      </c>
      <c r="C1613" t="s">
        <v>3805</v>
      </c>
      <c r="E1613" s="2">
        <v>1838000203000</v>
      </c>
      <c r="F1613" s="1" t="s">
        <v>454</v>
      </c>
      <c r="G1613" s="1" t="s">
        <v>53</v>
      </c>
      <c r="H1613" s="1" t="s">
        <v>357</v>
      </c>
      <c r="I1613" s="1" t="s">
        <v>358</v>
      </c>
      <c r="J1613" s="1" t="s">
        <v>46</v>
      </c>
      <c r="K1613" t="s">
        <v>457</v>
      </c>
      <c r="M1613" s="1" t="s">
        <v>58</v>
      </c>
      <c r="N1613" s="1">
        <v>0</v>
      </c>
      <c r="O1613" s="1" t="s">
        <v>36</v>
      </c>
      <c r="P1613" s="11" t="s">
        <v>3806</v>
      </c>
      <c r="R1613" s="1">
        <v>1</v>
      </c>
      <c r="T1613" s="1" t="s">
        <v>157</v>
      </c>
      <c r="U1613" s="11" t="s">
        <v>3807</v>
      </c>
      <c r="V1613" s="1" t="s">
        <v>41</v>
      </c>
      <c r="W1613" s="1" t="s">
        <v>49</v>
      </c>
      <c r="X1613" s="13" t="str">
        <f>IF(RIGHT(H1613,2)&lt;&gt;"00",H1613,"")</f>
        <v/>
      </c>
      <c r="Y1613" s="2">
        <f ca="1">NETWORKDAYS(P1613,$Y$1)</f>
        <v>8</v>
      </c>
      <c r="Z1613" s="14">
        <v>1</v>
      </c>
      <c r="AA1613" s="1" t="str">
        <f t="shared" ca="1" si="125"/>
        <v>VENCIDO</v>
      </c>
      <c r="AB1613" s="1" t="str">
        <f t="shared" si="126"/>
        <v>C-14</v>
      </c>
      <c r="AC1613" s="2" t="str">
        <f t="shared" si="127"/>
        <v xml:space="preserve"> CLEITON </v>
      </c>
      <c r="AD1613" s="2">
        <f t="shared" si="128"/>
        <v>5</v>
      </c>
      <c r="AE1613" s="2">
        <f t="shared" ca="1" si="129"/>
        <v>-9.3036327546287794</v>
      </c>
    </row>
    <row r="1614" spans="1:31" hidden="1">
      <c r="A1614" s="1">
        <v>9499146</v>
      </c>
      <c r="B1614" s="1" t="s">
        <v>1153</v>
      </c>
      <c r="C1614" t="s">
        <v>3808</v>
      </c>
      <c r="E1614" s="2">
        <v>3108010206001</v>
      </c>
      <c r="F1614" s="1" t="s">
        <v>29</v>
      </c>
      <c r="G1614" s="1" t="s">
        <v>53</v>
      </c>
      <c r="H1614" s="1" t="s">
        <v>503</v>
      </c>
      <c r="I1614" s="1" t="s">
        <v>504</v>
      </c>
      <c r="J1614" s="1" t="s">
        <v>46</v>
      </c>
      <c r="K1614" t="s">
        <v>34</v>
      </c>
      <c r="M1614" s="1" t="s">
        <v>35</v>
      </c>
      <c r="N1614" s="1">
        <v>42318949</v>
      </c>
      <c r="O1614" s="1" t="s">
        <v>36</v>
      </c>
      <c r="P1614" s="11" t="s">
        <v>3809</v>
      </c>
      <c r="R1614" s="1" t="s">
        <v>38</v>
      </c>
      <c r="T1614" s="1" t="s">
        <v>74</v>
      </c>
      <c r="U1614" s="11" t="s">
        <v>2516</v>
      </c>
      <c r="V1614" s="1" t="s">
        <v>41</v>
      </c>
      <c r="W1614" s="1" t="s">
        <v>49</v>
      </c>
      <c r="X1614" s="13" t="str">
        <f>IF(RIGHT(H1614,2)&lt;&gt;"00",H1614,"")</f>
        <v>3108.01</v>
      </c>
      <c r="Y1614" s="2">
        <f ca="1">NETWORKDAYS(P1614,$Y$1)</f>
        <v>7</v>
      </c>
      <c r="Z1614" s="14">
        <v>1</v>
      </c>
      <c r="AA1614" s="1" t="str">
        <f t="shared" ca="1" si="125"/>
        <v>VENCIDO</v>
      </c>
      <c r="AB1614" s="1" t="str">
        <f t="shared" si="126"/>
        <v>Dosa</v>
      </c>
      <c r="AC1614" s="2" t="str">
        <f t="shared" si="127"/>
        <v xml:space="preserve"> CLEITON </v>
      </c>
      <c r="AD1614" s="2">
        <f t="shared" si="128"/>
        <v>5</v>
      </c>
      <c r="AE1614" s="2">
        <f t="shared" ca="1" si="129"/>
        <v>-6.9679383101829444</v>
      </c>
    </row>
    <row r="1615" spans="1:31" hidden="1">
      <c r="A1615" s="1">
        <v>9498887</v>
      </c>
      <c r="B1615" s="1" t="s">
        <v>1153</v>
      </c>
      <c r="C1615" t="s">
        <v>3810</v>
      </c>
      <c r="E1615" s="2">
        <v>2196000206001</v>
      </c>
      <c r="F1615" s="1" t="s">
        <v>29</v>
      </c>
      <c r="G1615" s="1" t="s">
        <v>53</v>
      </c>
      <c r="H1615" s="1" t="s">
        <v>1252</v>
      </c>
      <c r="I1615" s="1" t="s">
        <v>1253</v>
      </c>
      <c r="J1615" s="1" t="s">
        <v>33</v>
      </c>
      <c r="K1615" t="s">
        <v>34</v>
      </c>
      <c r="M1615" s="1" t="s">
        <v>35</v>
      </c>
      <c r="N1615" s="1">
        <v>42318949</v>
      </c>
      <c r="O1615" s="1" t="s">
        <v>36</v>
      </c>
      <c r="P1615" s="11" t="s">
        <v>3811</v>
      </c>
      <c r="R1615" s="1" t="s">
        <v>38</v>
      </c>
      <c r="T1615" s="1" t="s">
        <v>74</v>
      </c>
      <c r="U1615" s="11" t="s">
        <v>1959</v>
      </c>
      <c r="V1615" s="1" t="s">
        <v>41</v>
      </c>
      <c r="W1615" s="1" t="s">
        <v>42</v>
      </c>
      <c r="X1615" s="13" t="str">
        <f>IF(RIGHT(H1615,2)&lt;&gt;"00",H1615,"")</f>
        <v/>
      </c>
      <c r="Y1615" s="2">
        <f ca="1">NETWORKDAYS(P1615,$Y$1)</f>
        <v>7</v>
      </c>
      <c r="Z1615" s="14">
        <v>1</v>
      </c>
      <c r="AA1615" s="1" t="str">
        <f t="shared" ca="1" si="125"/>
        <v>VENCIDO</v>
      </c>
      <c r="AB1615" s="1" t="str">
        <f t="shared" si="126"/>
        <v>Dosa</v>
      </c>
      <c r="AC1615" s="2" t="str">
        <f t="shared" si="127"/>
        <v xml:space="preserve"> ROSEMERE </v>
      </c>
      <c r="AD1615" s="2">
        <f t="shared" si="128"/>
        <v>5</v>
      </c>
      <c r="AE1615" s="2">
        <f t="shared" ca="1" si="129"/>
        <v>-6.9262716435187031</v>
      </c>
    </row>
    <row r="1616" spans="1:31" hidden="1">
      <c r="A1616" s="1">
        <v>9498760</v>
      </c>
      <c r="B1616" s="1" t="s">
        <v>1153</v>
      </c>
      <c r="C1616" t="s">
        <v>3812</v>
      </c>
      <c r="E1616" s="2">
        <v>594000206001</v>
      </c>
      <c r="F1616" s="1" t="s">
        <v>29</v>
      </c>
      <c r="G1616" s="1" t="s">
        <v>53</v>
      </c>
      <c r="H1616" s="1" t="s">
        <v>444</v>
      </c>
      <c r="I1616" s="1" t="s">
        <v>445</v>
      </c>
      <c r="J1616" s="1" t="s">
        <v>33</v>
      </c>
      <c r="K1616" t="s">
        <v>34</v>
      </c>
      <c r="M1616" s="1" t="s">
        <v>35</v>
      </c>
      <c r="N1616" s="1">
        <v>42318949</v>
      </c>
      <c r="O1616" s="1" t="s">
        <v>36</v>
      </c>
      <c r="P1616" s="11" t="s">
        <v>3813</v>
      </c>
      <c r="R1616" s="1" t="s">
        <v>38</v>
      </c>
      <c r="T1616" s="1" t="s">
        <v>74</v>
      </c>
      <c r="U1616" s="11" t="s">
        <v>3814</v>
      </c>
      <c r="V1616" s="1" t="s">
        <v>41</v>
      </c>
      <c r="W1616" s="1" t="s">
        <v>42</v>
      </c>
      <c r="X1616" s="13" t="str">
        <f>IF(RIGHT(H1616,2)&lt;&gt;"00",H1616,"")</f>
        <v/>
      </c>
      <c r="Y1616" s="2">
        <f ca="1">NETWORKDAYS(P1616,$Y$1)</f>
        <v>7</v>
      </c>
      <c r="Z1616" s="14">
        <v>1</v>
      </c>
      <c r="AA1616" s="1" t="str">
        <f t="shared" ca="1" si="125"/>
        <v>VENCIDO</v>
      </c>
      <c r="AB1616" s="1" t="str">
        <f t="shared" si="126"/>
        <v>Dosa</v>
      </c>
      <c r="AC1616" s="2" t="str">
        <f t="shared" si="127"/>
        <v xml:space="preserve"> ROSEMERE </v>
      </c>
      <c r="AD1616" s="2">
        <f t="shared" si="128"/>
        <v>5</v>
      </c>
      <c r="AE1616" s="2">
        <f t="shared" ca="1" si="129"/>
        <v>-1.1346049768544617</v>
      </c>
    </row>
    <row r="1617" spans="1:31">
      <c r="A1617" s="1">
        <v>9498703</v>
      </c>
      <c r="B1617" s="1" t="s">
        <v>1153</v>
      </c>
      <c r="C1617" t="s">
        <v>3815</v>
      </c>
      <c r="E1617" s="2">
        <v>2156000206001</v>
      </c>
      <c r="F1617" s="1" t="s">
        <v>29</v>
      </c>
      <c r="G1617" s="1" t="s">
        <v>53</v>
      </c>
      <c r="H1617" s="1" t="s">
        <v>278</v>
      </c>
      <c r="I1617" s="1" t="s">
        <v>279</v>
      </c>
      <c r="J1617" s="1" t="s">
        <v>211</v>
      </c>
      <c r="K1617" t="s">
        <v>34</v>
      </c>
      <c r="M1617" s="1" t="s">
        <v>35</v>
      </c>
      <c r="N1617" s="1">
        <v>42318949</v>
      </c>
      <c r="O1617" s="1" t="s">
        <v>36</v>
      </c>
      <c r="P1617" s="11" t="s">
        <v>3816</v>
      </c>
      <c r="R1617" s="1" t="s">
        <v>38</v>
      </c>
      <c r="T1617" s="1" t="s">
        <v>74</v>
      </c>
      <c r="U1617" s="11" t="s">
        <v>2516</v>
      </c>
      <c r="V1617" s="1" t="s">
        <v>41</v>
      </c>
      <c r="W1617" s="1" t="s">
        <v>49</v>
      </c>
      <c r="X1617" s="13" t="str">
        <f>IF(RIGHT(H1617,2)&lt;&gt;"00",H1617,"")</f>
        <v/>
      </c>
      <c r="Y1617" s="2">
        <f ca="1">NETWORKDAYS(P1617,$Y$1)</f>
        <v>7</v>
      </c>
      <c r="Z1617" s="14">
        <v>1</v>
      </c>
      <c r="AA1617" s="1" t="str">
        <f t="shared" ca="1" si="125"/>
        <v>VENCIDO</v>
      </c>
      <c r="AB1617" s="1" t="str">
        <f t="shared" si="126"/>
        <v>Dosa</v>
      </c>
      <c r="AC1617" s="2" t="str">
        <f t="shared" si="127"/>
        <v xml:space="preserve"> RINALDO </v>
      </c>
      <c r="AD1617" s="2">
        <f t="shared" si="128"/>
        <v>5</v>
      </c>
      <c r="AE1617" s="2">
        <f t="shared" ca="1" si="129"/>
        <v>-6.9679383101829444</v>
      </c>
    </row>
    <row r="1618" spans="1:31">
      <c r="A1618" s="1">
        <v>9502134</v>
      </c>
      <c r="B1618" s="1" t="s">
        <v>1153</v>
      </c>
      <c r="C1618" t="s">
        <v>3817</v>
      </c>
      <c r="D1618" s="2">
        <v>20231362000008</v>
      </c>
      <c r="E1618" s="2">
        <v>7419151140262</v>
      </c>
      <c r="F1618" s="1" t="s">
        <v>2058</v>
      </c>
      <c r="G1618" s="1" t="s">
        <v>53</v>
      </c>
      <c r="H1618" s="1" t="s">
        <v>2910</v>
      </c>
      <c r="I1618" s="1" t="s">
        <v>2911</v>
      </c>
      <c r="J1618" s="1" t="s">
        <v>90</v>
      </c>
      <c r="K1618" t="s">
        <v>2061</v>
      </c>
      <c r="M1618" s="1" t="s">
        <v>58</v>
      </c>
      <c r="N1618" s="1">
        <v>0</v>
      </c>
      <c r="O1618" s="1" t="s">
        <v>105</v>
      </c>
      <c r="P1618" s="11" t="s">
        <v>3818</v>
      </c>
      <c r="R1618" s="1">
        <v>14</v>
      </c>
      <c r="T1618" s="1" t="s">
        <v>238</v>
      </c>
      <c r="U1618" s="11" t="s">
        <v>3819</v>
      </c>
      <c r="V1618" s="1" t="s">
        <v>41</v>
      </c>
      <c r="W1618" s="1" t="s">
        <v>49</v>
      </c>
      <c r="X1618" s="13" t="str">
        <f>IF(RIGHT(H1618,2)&lt;&gt;"00",H1618,"")</f>
        <v>1362.91</v>
      </c>
      <c r="Y1618" s="2">
        <f ca="1">NETWORKDAYS(P1618,$Y$1)</f>
        <v>6</v>
      </c>
      <c r="Z1618" s="14">
        <v>1</v>
      </c>
      <c r="AA1618" s="1" t="str">
        <f t="shared" ca="1" si="125"/>
        <v>VENCIDO</v>
      </c>
      <c r="AB1618" s="1" t="str">
        <f t="shared" si="126"/>
        <v>TAAe+</v>
      </c>
      <c r="AC1618" s="2" t="str">
        <f t="shared" si="127"/>
        <v xml:space="preserve"> RINALDO </v>
      </c>
      <c r="AD1618" s="2">
        <f t="shared" si="128"/>
        <v>8</v>
      </c>
      <c r="AE1618" s="2">
        <f t="shared" ca="1" si="129"/>
        <v>-6.2804383101829444</v>
      </c>
    </row>
    <row r="1619" spans="1:31">
      <c r="A1619" s="1">
        <v>9502057</v>
      </c>
      <c r="B1619" s="1" t="s">
        <v>1153</v>
      </c>
      <c r="C1619" t="s">
        <v>3820</v>
      </c>
      <c r="D1619" s="2">
        <v>20231059000018</v>
      </c>
      <c r="E1619" s="2">
        <v>7419141893204</v>
      </c>
      <c r="F1619" s="1" t="s">
        <v>128</v>
      </c>
      <c r="G1619" s="1" t="s">
        <v>53</v>
      </c>
      <c r="H1619" s="1" t="s">
        <v>1972</v>
      </c>
      <c r="I1619" s="1" t="s">
        <v>1973</v>
      </c>
      <c r="J1619" s="1" t="s">
        <v>90</v>
      </c>
      <c r="K1619" t="s">
        <v>129</v>
      </c>
      <c r="M1619" s="1" t="s">
        <v>58</v>
      </c>
      <c r="N1619" s="1">
        <v>0</v>
      </c>
      <c r="O1619" s="1" t="s">
        <v>105</v>
      </c>
      <c r="P1619" s="11" t="s">
        <v>3821</v>
      </c>
      <c r="R1619" s="1">
        <v>14</v>
      </c>
      <c r="T1619" s="1" t="s">
        <v>238</v>
      </c>
      <c r="U1619" s="11" t="s">
        <v>3819</v>
      </c>
      <c r="V1619" s="1" t="s">
        <v>41</v>
      </c>
      <c r="W1619" s="1" t="s">
        <v>49</v>
      </c>
      <c r="X1619" s="13" t="str">
        <f>IF(RIGHT(H1619,2)&lt;&gt;"00",H1619,"")</f>
        <v>1059.91</v>
      </c>
      <c r="Y1619" s="2">
        <f ca="1">NETWORKDAYS(P1619,$Y$1)</f>
        <v>6</v>
      </c>
      <c r="Z1619" s="14">
        <v>1</v>
      </c>
      <c r="AA1619" s="1" t="str">
        <f t="shared" ca="1" si="125"/>
        <v>VENCIDO</v>
      </c>
      <c r="AB1619" s="1" t="str">
        <f t="shared" si="126"/>
        <v>TAAe+</v>
      </c>
      <c r="AC1619" s="2" t="str">
        <f t="shared" si="127"/>
        <v xml:space="preserve"> RINALDO </v>
      </c>
      <c r="AD1619" s="2">
        <f t="shared" si="128"/>
        <v>8</v>
      </c>
      <c r="AE1619" s="2">
        <f t="shared" ca="1" si="129"/>
        <v>-6.2804383101829444</v>
      </c>
    </row>
    <row r="1620" spans="1:31" hidden="1">
      <c r="A1620" s="1">
        <v>9502037</v>
      </c>
      <c r="B1620" s="1" t="s">
        <v>1153</v>
      </c>
      <c r="C1620" t="s">
        <v>3822</v>
      </c>
      <c r="D1620" s="2">
        <v>20231666000016</v>
      </c>
      <c r="E1620" s="2">
        <v>7417163285374</v>
      </c>
      <c r="F1620" s="1" t="s">
        <v>131</v>
      </c>
      <c r="G1620" s="1" t="s">
        <v>53</v>
      </c>
      <c r="H1620" s="1" t="s">
        <v>2679</v>
      </c>
      <c r="I1620" s="1" t="s">
        <v>2680</v>
      </c>
      <c r="J1620" s="1" t="s">
        <v>79</v>
      </c>
      <c r="K1620" t="s">
        <v>132</v>
      </c>
      <c r="M1620" s="1" t="s">
        <v>58</v>
      </c>
      <c r="N1620" s="1">
        <v>0</v>
      </c>
      <c r="O1620" s="1" t="s">
        <v>105</v>
      </c>
      <c r="P1620" s="11" t="s">
        <v>3823</v>
      </c>
      <c r="R1620" s="1">
        <v>14</v>
      </c>
      <c r="T1620" s="1" t="s">
        <v>238</v>
      </c>
      <c r="U1620" s="11" t="s">
        <v>3819</v>
      </c>
      <c r="V1620" s="1" t="s">
        <v>41</v>
      </c>
      <c r="W1620" s="1" t="s">
        <v>49</v>
      </c>
      <c r="X1620" s="13" t="str">
        <f>IF(RIGHT(H1620,2)&lt;&gt;"00",H1620,"")</f>
        <v>1666.91</v>
      </c>
      <c r="Y1620" s="2">
        <f ca="1">NETWORKDAYS(P1620,$Y$1)</f>
        <v>6</v>
      </c>
      <c r="Z1620" s="14">
        <v>1</v>
      </c>
      <c r="AA1620" s="1" t="str">
        <f t="shared" ca="1" si="125"/>
        <v>VENCIDO</v>
      </c>
      <c r="AB1620" s="1" t="str">
        <f t="shared" si="126"/>
        <v>TAAe+</v>
      </c>
      <c r="AC1620" s="2" t="str">
        <f t="shared" si="127"/>
        <v xml:space="preserve"> ROSEMERE </v>
      </c>
      <c r="AD1620" s="2">
        <f t="shared" si="128"/>
        <v>8</v>
      </c>
      <c r="AE1620" s="2">
        <f t="shared" ca="1" si="129"/>
        <v>-6.2804383101829444</v>
      </c>
    </row>
    <row r="1621" spans="1:31" hidden="1">
      <c r="A1621" s="1">
        <v>9502036</v>
      </c>
      <c r="B1621" s="1" t="s">
        <v>1153</v>
      </c>
      <c r="C1621" t="s">
        <v>3824</v>
      </c>
      <c r="D1621" s="2">
        <v>20231666000015</v>
      </c>
      <c r="E1621" s="2">
        <v>7417202020767</v>
      </c>
      <c r="F1621" s="1" t="s">
        <v>1213</v>
      </c>
      <c r="G1621" s="1" t="s">
        <v>53</v>
      </c>
      <c r="H1621" s="1" t="s">
        <v>2679</v>
      </c>
      <c r="I1621" s="1" t="s">
        <v>2680</v>
      </c>
      <c r="J1621" s="1" t="s">
        <v>79</v>
      </c>
      <c r="K1621" t="s">
        <v>1214</v>
      </c>
      <c r="M1621" s="1" t="s">
        <v>58</v>
      </c>
      <c r="N1621" s="1">
        <v>0</v>
      </c>
      <c r="O1621" s="1" t="s">
        <v>105</v>
      </c>
      <c r="P1621" s="11" t="s">
        <v>3825</v>
      </c>
      <c r="R1621" s="1">
        <v>14</v>
      </c>
      <c r="T1621" s="1" t="s">
        <v>238</v>
      </c>
      <c r="U1621" s="11" t="s">
        <v>3819</v>
      </c>
      <c r="V1621" s="1" t="s">
        <v>41</v>
      </c>
      <c r="W1621" s="1" t="s">
        <v>49</v>
      </c>
      <c r="X1621" s="13" t="str">
        <f>IF(RIGHT(H1621,2)&lt;&gt;"00",H1621,"")</f>
        <v>1666.91</v>
      </c>
      <c r="Y1621" s="2">
        <f ca="1">NETWORKDAYS(P1621,$Y$1)</f>
        <v>6</v>
      </c>
      <c r="Z1621" s="14">
        <v>1</v>
      </c>
      <c r="AA1621" s="1" t="str">
        <f t="shared" ca="1" si="125"/>
        <v>VENCIDO</v>
      </c>
      <c r="AB1621" s="1" t="str">
        <f t="shared" si="126"/>
        <v>TAAe+</v>
      </c>
      <c r="AC1621" s="2" t="str">
        <f t="shared" si="127"/>
        <v xml:space="preserve"> ROSEMERE </v>
      </c>
      <c r="AD1621" s="2">
        <f t="shared" si="128"/>
        <v>8</v>
      </c>
      <c r="AE1621" s="2">
        <f t="shared" ca="1" si="129"/>
        <v>-6.2804383101829444</v>
      </c>
    </row>
    <row r="1622" spans="1:31" hidden="1">
      <c r="A1622" s="1">
        <v>9502002</v>
      </c>
      <c r="B1622" s="1" t="s">
        <v>1153</v>
      </c>
      <c r="C1622" t="s">
        <v>3826</v>
      </c>
      <c r="D1622" s="2">
        <v>230031686</v>
      </c>
      <c r="E1622" s="2">
        <v>115001400020</v>
      </c>
      <c r="F1622" s="1" t="s">
        <v>1961</v>
      </c>
      <c r="G1622" s="1" t="s">
        <v>53</v>
      </c>
      <c r="H1622" s="1" t="s">
        <v>542</v>
      </c>
      <c r="I1622" s="1" t="s">
        <v>543</v>
      </c>
      <c r="J1622" s="1" t="s">
        <v>56</v>
      </c>
      <c r="K1622" t="s">
        <v>1962</v>
      </c>
      <c r="M1622" s="1" t="s">
        <v>58</v>
      </c>
      <c r="N1622" s="1">
        <v>0</v>
      </c>
      <c r="O1622" s="1" t="s">
        <v>105</v>
      </c>
      <c r="P1622" s="11" t="s">
        <v>3827</v>
      </c>
      <c r="R1622" s="1">
        <v>4</v>
      </c>
      <c r="T1622" s="1" t="s">
        <v>646</v>
      </c>
      <c r="U1622" s="11" t="s">
        <v>3828</v>
      </c>
      <c r="V1622" s="1" t="s">
        <v>41</v>
      </c>
      <c r="W1622" s="1" t="s">
        <v>49</v>
      </c>
      <c r="X1622" s="13" t="str">
        <f>IF(RIGHT(H1622,2)&lt;&gt;"00",H1622,"")</f>
        <v/>
      </c>
      <c r="Y1622" s="2">
        <f ca="1">NETWORKDAYS(P1622,$Y$1)</f>
        <v>6</v>
      </c>
      <c r="Z1622" s="14">
        <v>1</v>
      </c>
      <c r="AA1622" s="1" t="str">
        <f t="shared" ca="1" si="125"/>
        <v>VENCIDO</v>
      </c>
      <c r="AB1622" s="1" t="str">
        <f t="shared" si="126"/>
        <v>C-14</v>
      </c>
      <c r="AC1622" s="2" t="str">
        <f t="shared" si="127"/>
        <v xml:space="preserve"> CRISTINA </v>
      </c>
      <c r="AD1622" s="2">
        <f t="shared" si="128"/>
        <v>5</v>
      </c>
      <c r="AE1622" s="2">
        <f t="shared" ca="1" si="129"/>
        <v>-5.9262716435187031</v>
      </c>
    </row>
    <row r="1623" spans="1:31" hidden="1">
      <c r="A1623" s="1">
        <v>9501945</v>
      </c>
      <c r="B1623" s="1" t="s">
        <v>1153</v>
      </c>
      <c r="C1623" t="s">
        <v>3829</v>
      </c>
      <c r="D1623" s="2">
        <v>20234844000532</v>
      </c>
      <c r="E1623" s="2">
        <v>7417163284795</v>
      </c>
      <c r="F1623" s="1" t="s">
        <v>131</v>
      </c>
      <c r="G1623" s="1" t="s">
        <v>53</v>
      </c>
      <c r="H1623" s="1" t="s">
        <v>2540</v>
      </c>
      <c r="I1623" s="1" t="s">
        <v>2541</v>
      </c>
      <c r="J1623" s="1" t="s">
        <v>46</v>
      </c>
      <c r="K1623" t="s">
        <v>132</v>
      </c>
      <c r="M1623" s="1" t="s">
        <v>58</v>
      </c>
      <c r="N1623" s="1">
        <v>0</v>
      </c>
      <c r="O1623" s="1" t="s">
        <v>105</v>
      </c>
      <c r="P1623" s="11" t="s">
        <v>3830</v>
      </c>
      <c r="R1623" s="1">
        <v>13</v>
      </c>
      <c r="T1623" s="1" t="s">
        <v>238</v>
      </c>
      <c r="U1623" s="11" t="s">
        <v>3830</v>
      </c>
      <c r="V1623" s="1" t="s">
        <v>41</v>
      </c>
      <c r="W1623" s="1" t="s">
        <v>49</v>
      </c>
      <c r="X1623" s="13" t="str">
        <f>IF(RIGHT(H1623,2)&lt;&gt;"00",H1623,"")</f>
        <v>4844.04</v>
      </c>
      <c r="Y1623" s="2">
        <f ca="1">NETWORKDAYS(P1623,$Y$1)</f>
        <v>6</v>
      </c>
      <c r="Z1623" s="14">
        <v>1</v>
      </c>
      <c r="AA1623" s="1" t="str">
        <f t="shared" ca="1" si="125"/>
        <v>VENCIDO</v>
      </c>
      <c r="AB1623" s="1" t="str">
        <f t="shared" si="126"/>
        <v>TAAe+</v>
      </c>
      <c r="AC1623" s="2" t="str">
        <f t="shared" si="127"/>
        <v xml:space="preserve"> CLEITON </v>
      </c>
      <c r="AD1623" s="2">
        <f t="shared" si="128"/>
        <v>8</v>
      </c>
      <c r="AE1623" s="2">
        <f t="shared" ca="1" si="129"/>
        <v>-6.9741188657426392</v>
      </c>
    </row>
    <row r="1624" spans="1:31" hidden="1">
      <c r="A1624" s="1">
        <v>9501897</v>
      </c>
      <c r="B1624" s="1" t="s">
        <v>1153</v>
      </c>
      <c r="C1624" t="s">
        <v>3831</v>
      </c>
      <c r="D1624" s="2">
        <v>20234844000531</v>
      </c>
      <c r="E1624" s="2">
        <v>7419143151172</v>
      </c>
      <c r="F1624" s="1" t="s">
        <v>1222</v>
      </c>
      <c r="G1624" s="1" t="s">
        <v>53</v>
      </c>
      <c r="H1624" s="1" t="s">
        <v>2540</v>
      </c>
      <c r="I1624" s="1" t="s">
        <v>2541</v>
      </c>
      <c r="J1624" s="1" t="s">
        <v>46</v>
      </c>
      <c r="K1624" t="s">
        <v>1223</v>
      </c>
      <c r="M1624" s="1" t="s">
        <v>58</v>
      </c>
      <c r="N1624" s="1">
        <v>0</v>
      </c>
      <c r="O1624" s="1" t="s">
        <v>105</v>
      </c>
      <c r="P1624" s="11" t="s">
        <v>3832</v>
      </c>
      <c r="R1624" s="1">
        <v>13</v>
      </c>
      <c r="T1624" s="1" t="s">
        <v>238</v>
      </c>
      <c r="U1624" s="11" t="s">
        <v>3832</v>
      </c>
      <c r="V1624" s="1" t="s">
        <v>41</v>
      </c>
      <c r="W1624" s="1" t="s">
        <v>49</v>
      </c>
      <c r="X1624" s="13" t="str">
        <f>IF(RIGHT(H1624,2)&lt;&gt;"00",H1624,"")</f>
        <v>4844.04</v>
      </c>
      <c r="Y1624" s="2">
        <f ca="1">NETWORKDAYS(P1624,$Y$1)</f>
        <v>6</v>
      </c>
      <c r="Z1624" s="14">
        <v>1</v>
      </c>
      <c r="AA1624" s="1" t="str">
        <f t="shared" ca="1" si="125"/>
        <v>VENCIDO</v>
      </c>
      <c r="AB1624" s="1" t="str">
        <f t="shared" si="126"/>
        <v>TAAe+</v>
      </c>
      <c r="AC1624" s="2" t="str">
        <f t="shared" si="127"/>
        <v xml:space="preserve"> CLEITON </v>
      </c>
      <c r="AD1624" s="2">
        <f t="shared" si="128"/>
        <v>8</v>
      </c>
      <c r="AE1624" s="2">
        <f t="shared" ca="1" si="129"/>
        <v>-6.9805309027797193</v>
      </c>
    </row>
    <row r="1625" spans="1:31" hidden="1">
      <c r="A1625" s="1">
        <v>9501896</v>
      </c>
      <c r="B1625" s="1" t="s">
        <v>1153</v>
      </c>
      <c r="C1625" t="s">
        <v>3833</v>
      </c>
      <c r="D1625" s="2">
        <v>20234844000530</v>
      </c>
      <c r="E1625" s="2">
        <v>7417163280594</v>
      </c>
      <c r="F1625" s="1" t="s">
        <v>131</v>
      </c>
      <c r="G1625" s="1" t="s">
        <v>53</v>
      </c>
      <c r="H1625" s="1" t="s">
        <v>2540</v>
      </c>
      <c r="I1625" s="1" t="s">
        <v>2541</v>
      </c>
      <c r="J1625" s="1" t="s">
        <v>46</v>
      </c>
      <c r="K1625" t="s">
        <v>132</v>
      </c>
      <c r="M1625" s="1" t="s">
        <v>58</v>
      </c>
      <c r="N1625" s="1">
        <v>0</v>
      </c>
      <c r="O1625" s="1" t="s">
        <v>105</v>
      </c>
      <c r="P1625" s="11" t="s">
        <v>3834</v>
      </c>
      <c r="R1625" s="1">
        <v>13</v>
      </c>
      <c r="T1625" s="1" t="s">
        <v>238</v>
      </c>
      <c r="U1625" s="11" t="s">
        <v>3834</v>
      </c>
      <c r="V1625" s="1" t="s">
        <v>41</v>
      </c>
      <c r="W1625" s="1" t="s">
        <v>49</v>
      </c>
      <c r="X1625" s="13" t="str">
        <f>IF(RIGHT(H1625,2)&lt;&gt;"00",H1625,"")</f>
        <v>4844.04</v>
      </c>
      <c r="Y1625" s="2">
        <f ca="1">NETWORKDAYS(P1625,$Y$1)</f>
        <v>6</v>
      </c>
      <c r="Z1625" s="14">
        <v>1</v>
      </c>
      <c r="AA1625" s="1" t="str">
        <f t="shared" ca="1" si="125"/>
        <v>VENCIDO</v>
      </c>
      <c r="AB1625" s="1" t="str">
        <f t="shared" si="126"/>
        <v>TAAe+</v>
      </c>
      <c r="AC1625" s="2" t="str">
        <f t="shared" si="127"/>
        <v xml:space="preserve"> CLEITON </v>
      </c>
      <c r="AD1625" s="2">
        <f t="shared" si="128"/>
        <v>8</v>
      </c>
      <c r="AE1625" s="2">
        <f t="shared" ca="1" si="129"/>
        <v>-6.9818156249966705</v>
      </c>
    </row>
    <row r="1626" spans="1:31" hidden="1">
      <c r="A1626" s="1">
        <v>9501860</v>
      </c>
      <c r="B1626" s="1" t="s">
        <v>1153</v>
      </c>
      <c r="C1626" t="s">
        <v>3835</v>
      </c>
      <c r="D1626" s="2">
        <v>20230115000015</v>
      </c>
      <c r="E1626" s="2">
        <v>7419151141121</v>
      </c>
      <c r="F1626" s="1" t="s">
        <v>123</v>
      </c>
      <c r="G1626" s="1" t="s">
        <v>53</v>
      </c>
      <c r="H1626" s="1" t="s">
        <v>2591</v>
      </c>
      <c r="I1626" s="1" t="s">
        <v>2592</v>
      </c>
      <c r="J1626" s="1" t="s">
        <v>56</v>
      </c>
      <c r="K1626" t="s">
        <v>126</v>
      </c>
      <c r="M1626" s="1" t="s">
        <v>58</v>
      </c>
      <c r="N1626" s="1">
        <v>0</v>
      </c>
      <c r="O1626" s="1" t="s">
        <v>105</v>
      </c>
      <c r="P1626" s="11" t="s">
        <v>3836</v>
      </c>
      <c r="R1626" s="1">
        <v>14</v>
      </c>
      <c r="T1626" s="1" t="s">
        <v>238</v>
      </c>
      <c r="U1626" s="11" t="s">
        <v>3836</v>
      </c>
      <c r="V1626" s="1" t="s">
        <v>41</v>
      </c>
      <c r="W1626" s="1" t="s">
        <v>49</v>
      </c>
      <c r="X1626" s="13" t="str">
        <f>IF(RIGHT(H1626,2)&lt;&gt;"00",H1626,"")</f>
        <v>0115.91</v>
      </c>
      <c r="Y1626" s="2">
        <f ca="1">NETWORKDAYS(P1626,$Y$1)</f>
        <v>6</v>
      </c>
      <c r="Z1626" s="14">
        <v>1</v>
      </c>
      <c r="AA1626" s="1" t="str">
        <f t="shared" ca="1" si="125"/>
        <v>VENCIDO</v>
      </c>
      <c r="AB1626" s="1" t="str">
        <f t="shared" si="126"/>
        <v>TAAe+</v>
      </c>
      <c r="AC1626" s="2" t="str">
        <f t="shared" si="127"/>
        <v xml:space="preserve"> CRISTINA </v>
      </c>
      <c r="AD1626" s="2">
        <f t="shared" si="128"/>
        <v>8</v>
      </c>
      <c r="AE1626" s="2">
        <f t="shared" ca="1" si="129"/>
        <v>-6.9834475694442517</v>
      </c>
    </row>
    <row r="1627" spans="1:31" hidden="1">
      <c r="A1627" s="1">
        <v>9501854</v>
      </c>
      <c r="B1627" s="1" t="s">
        <v>1153</v>
      </c>
      <c r="C1627" t="s">
        <v>3837</v>
      </c>
      <c r="D1627" s="2">
        <v>20234924000068</v>
      </c>
      <c r="E1627" s="2">
        <v>7419141893227</v>
      </c>
      <c r="F1627" s="1" t="s">
        <v>128</v>
      </c>
      <c r="G1627" s="1" t="s">
        <v>53</v>
      </c>
      <c r="H1627" s="1" t="s">
        <v>3328</v>
      </c>
      <c r="I1627" s="1" t="s">
        <v>3329</v>
      </c>
      <c r="J1627" s="1" t="s">
        <v>79</v>
      </c>
      <c r="K1627" t="s">
        <v>129</v>
      </c>
      <c r="M1627" s="1" t="s">
        <v>58</v>
      </c>
      <c r="N1627" s="1">
        <v>0</v>
      </c>
      <c r="O1627" s="1" t="s">
        <v>105</v>
      </c>
      <c r="P1627" s="11" t="s">
        <v>3838</v>
      </c>
      <c r="R1627" s="1">
        <v>14</v>
      </c>
      <c r="T1627" s="1" t="s">
        <v>238</v>
      </c>
      <c r="U1627" s="11" t="s">
        <v>3838</v>
      </c>
      <c r="V1627" s="1" t="s">
        <v>41</v>
      </c>
      <c r="W1627" s="1" t="s">
        <v>49</v>
      </c>
      <c r="X1627" s="13" t="str">
        <f>IF(RIGHT(H1627,2)&lt;&gt;"00",H1627,"")</f>
        <v>4924.01</v>
      </c>
      <c r="Y1627" s="2">
        <f ca="1">NETWORKDAYS(P1627,$Y$1)</f>
        <v>6</v>
      </c>
      <c r="Z1627" s="14">
        <v>1</v>
      </c>
      <c r="AA1627" s="1" t="str">
        <f t="shared" ca="1" si="125"/>
        <v>VENCIDO</v>
      </c>
      <c r="AB1627" s="1" t="str">
        <f t="shared" si="126"/>
        <v>TAAe+</v>
      </c>
      <c r="AC1627" s="2" t="str">
        <f t="shared" si="127"/>
        <v xml:space="preserve"> ROSEMERE </v>
      </c>
      <c r="AD1627" s="2">
        <f t="shared" si="128"/>
        <v>8</v>
      </c>
      <c r="AE1627" s="2">
        <f t="shared" ca="1" si="129"/>
        <v>-6.9888063657417661</v>
      </c>
    </row>
    <row r="1628" spans="1:31" hidden="1">
      <c r="A1628" s="1">
        <v>9501845</v>
      </c>
      <c r="B1628" s="1" t="s">
        <v>1153</v>
      </c>
      <c r="C1628" t="s">
        <v>3839</v>
      </c>
      <c r="D1628" s="2">
        <v>20232559000003</v>
      </c>
      <c r="E1628" s="2">
        <v>7417210950115</v>
      </c>
      <c r="F1628" s="1" t="s">
        <v>1213</v>
      </c>
      <c r="G1628" s="1" t="s">
        <v>53</v>
      </c>
      <c r="H1628" s="1" t="s">
        <v>2387</v>
      </c>
      <c r="I1628" s="1" t="s">
        <v>2388</v>
      </c>
      <c r="J1628" s="1" t="s">
        <v>261</v>
      </c>
      <c r="K1628" t="s">
        <v>1214</v>
      </c>
      <c r="M1628" s="1" t="s">
        <v>58</v>
      </c>
      <c r="N1628" s="1">
        <v>0</v>
      </c>
      <c r="O1628" s="1" t="s">
        <v>105</v>
      </c>
      <c r="P1628" s="11" t="s">
        <v>3840</v>
      </c>
      <c r="R1628" s="1">
        <v>14</v>
      </c>
      <c r="T1628" s="1" t="s">
        <v>238</v>
      </c>
      <c r="U1628" s="11" t="s">
        <v>3840</v>
      </c>
      <c r="V1628" s="1" t="s">
        <v>41</v>
      </c>
      <c r="W1628" s="1" t="s">
        <v>49</v>
      </c>
      <c r="X1628" s="13" t="str">
        <f>IF(RIGHT(H1628,2)&lt;&gt;"00",H1628,"")</f>
        <v>2559.91</v>
      </c>
      <c r="Y1628" s="2">
        <f ca="1">NETWORKDAYS(P1628,$Y$1)</f>
        <v>6</v>
      </c>
      <c r="Z1628" s="14">
        <v>1</v>
      </c>
      <c r="AA1628" s="1" t="str">
        <f t="shared" ca="1" si="125"/>
        <v>VENCIDO</v>
      </c>
      <c r="AB1628" s="1" t="str">
        <f t="shared" si="126"/>
        <v>TAAe+</v>
      </c>
      <c r="AC1628" s="2" t="str">
        <f t="shared" si="127"/>
        <v xml:space="preserve"> CRISTINA </v>
      </c>
      <c r="AD1628" s="2">
        <f t="shared" si="128"/>
        <v>8</v>
      </c>
      <c r="AE1628" s="2">
        <f t="shared" ca="1" si="129"/>
        <v>-6.9893966435192851</v>
      </c>
    </row>
    <row r="1629" spans="1:31">
      <c r="A1629" s="181">
        <v>9501815</v>
      </c>
      <c r="B1629" s="181" t="s">
        <v>1153</v>
      </c>
      <c r="C1629" s="182" t="s">
        <v>3841</v>
      </c>
      <c r="D1629" s="183">
        <v>20230870000031</v>
      </c>
      <c r="E1629" s="183">
        <v>7417172783731</v>
      </c>
      <c r="F1629" s="181" t="s">
        <v>1989</v>
      </c>
      <c r="G1629" s="181" t="s">
        <v>53</v>
      </c>
      <c r="H1629" s="181" t="s">
        <v>183</v>
      </c>
      <c r="I1629" s="181" t="s">
        <v>184</v>
      </c>
      <c r="J1629" s="181" t="s">
        <v>90</v>
      </c>
      <c r="K1629" t="s">
        <v>1990</v>
      </c>
      <c r="M1629" s="1" t="s">
        <v>58</v>
      </c>
      <c r="N1629" s="1">
        <v>0</v>
      </c>
      <c r="O1629" s="1" t="s">
        <v>105</v>
      </c>
      <c r="P1629" s="11" t="s">
        <v>3842</v>
      </c>
      <c r="R1629" s="1">
        <v>22</v>
      </c>
      <c r="T1629" s="1" t="s">
        <v>1160</v>
      </c>
      <c r="U1629" s="11" t="s">
        <v>3843</v>
      </c>
      <c r="V1629" s="1" t="s">
        <v>41</v>
      </c>
      <c r="W1629" s="1" t="s">
        <v>49</v>
      </c>
      <c r="X1629" s="13" t="str">
        <f>IF(RIGHT(H1629,2)&lt;&gt;"00",H1629,"")</f>
        <v/>
      </c>
      <c r="Y1629" s="2">
        <f ca="1">NETWORKDAYS(P1629,$Y$1)</f>
        <v>6</v>
      </c>
      <c r="Z1629" s="14">
        <v>1</v>
      </c>
      <c r="AA1629" s="1" t="str">
        <f t="shared" ca="1" si="125"/>
        <v>VENCIDO</v>
      </c>
      <c r="AB1629" s="1" t="str">
        <f t="shared" si="126"/>
        <v>TAAe+</v>
      </c>
      <c r="AC1629" s="2" t="str">
        <f t="shared" si="127"/>
        <v xml:space="preserve"> RINALDO </v>
      </c>
      <c r="AD1629" s="2">
        <f t="shared" si="128"/>
        <v>8</v>
      </c>
      <c r="AE1629" s="2">
        <f t="shared" ca="1" si="129"/>
        <v>-2.167973032410373</v>
      </c>
    </row>
    <row r="1630" spans="1:31" hidden="1">
      <c r="A1630" s="1">
        <v>9501790</v>
      </c>
      <c r="B1630" s="1" t="s">
        <v>1153</v>
      </c>
      <c r="C1630" t="s">
        <v>3844</v>
      </c>
      <c r="D1630" s="2">
        <v>20234923000074</v>
      </c>
      <c r="E1630" s="2">
        <v>7419141893152</v>
      </c>
      <c r="F1630" s="1" t="s">
        <v>128</v>
      </c>
      <c r="G1630" s="1" t="s">
        <v>53</v>
      </c>
      <c r="H1630" s="1" t="s">
        <v>2870</v>
      </c>
      <c r="I1630" s="1" t="s">
        <v>2871</v>
      </c>
      <c r="J1630" s="1" t="s">
        <v>46</v>
      </c>
      <c r="K1630" t="s">
        <v>129</v>
      </c>
      <c r="M1630" s="1" t="s">
        <v>58</v>
      </c>
      <c r="N1630" s="1">
        <v>0</v>
      </c>
      <c r="O1630" s="1" t="s">
        <v>105</v>
      </c>
      <c r="P1630" s="11" t="s">
        <v>3845</v>
      </c>
      <c r="R1630" s="1">
        <v>13</v>
      </c>
      <c r="T1630" s="1" t="s">
        <v>238</v>
      </c>
      <c r="U1630" s="11" t="s">
        <v>3845</v>
      </c>
      <c r="V1630" s="1" t="s">
        <v>41</v>
      </c>
      <c r="W1630" s="1" t="s">
        <v>49</v>
      </c>
      <c r="X1630" s="13" t="str">
        <f>IF(RIGHT(H1630,2)&lt;&gt;"00",H1630,"")</f>
        <v>4923.04</v>
      </c>
      <c r="Y1630" s="2">
        <f ca="1">NETWORKDAYS(P1630,$Y$1)</f>
        <v>6</v>
      </c>
      <c r="Z1630" s="14">
        <v>1</v>
      </c>
      <c r="AA1630" s="1" t="str">
        <f t="shared" ca="1" si="125"/>
        <v>VENCIDO</v>
      </c>
      <c r="AB1630" s="1" t="str">
        <f t="shared" si="126"/>
        <v>TAAe+</v>
      </c>
      <c r="AC1630" s="2" t="str">
        <f t="shared" si="127"/>
        <v xml:space="preserve"> CLEITON </v>
      </c>
      <c r="AD1630" s="2">
        <f t="shared" si="128"/>
        <v>8</v>
      </c>
      <c r="AE1630" s="2">
        <f t="shared" ca="1" si="129"/>
        <v>-7.0183665509248385</v>
      </c>
    </row>
    <row r="1631" spans="1:31" hidden="1">
      <c r="A1631" s="1">
        <v>9501775</v>
      </c>
      <c r="B1631" s="1" t="s">
        <v>1153</v>
      </c>
      <c r="C1631" t="s">
        <v>3846</v>
      </c>
      <c r="D1631" s="2">
        <v>20232239000013</v>
      </c>
      <c r="E1631" s="2">
        <v>7419141893538</v>
      </c>
      <c r="F1631" s="1" t="s">
        <v>128</v>
      </c>
      <c r="G1631" s="1" t="s">
        <v>53</v>
      </c>
      <c r="H1631" s="1" t="s">
        <v>2838</v>
      </c>
      <c r="I1631" s="1" t="s">
        <v>2839</v>
      </c>
      <c r="J1631" s="1" t="s">
        <v>261</v>
      </c>
      <c r="K1631" t="s">
        <v>129</v>
      </c>
      <c r="M1631" s="1" t="s">
        <v>58</v>
      </c>
      <c r="N1631" s="1">
        <v>0</v>
      </c>
      <c r="O1631" s="1" t="s">
        <v>105</v>
      </c>
      <c r="P1631" s="11" t="s">
        <v>3847</v>
      </c>
      <c r="R1631" s="1">
        <v>14</v>
      </c>
      <c r="T1631" s="1" t="s">
        <v>238</v>
      </c>
      <c r="U1631" s="11" t="s">
        <v>3847</v>
      </c>
      <c r="V1631" s="1" t="s">
        <v>41</v>
      </c>
      <c r="W1631" s="1" t="s">
        <v>49</v>
      </c>
      <c r="X1631" s="13" t="str">
        <f>IF(RIGHT(H1631,2)&lt;&gt;"00",H1631,"")</f>
        <v>2239.91</v>
      </c>
      <c r="Y1631" s="2">
        <f ca="1">NETWORKDAYS(P1631,$Y$1)</f>
        <v>6</v>
      </c>
      <c r="Z1631" s="14">
        <v>1</v>
      </c>
      <c r="AA1631" s="1" t="str">
        <f t="shared" ca="1" si="125"/>
        <v>VENCIDO</v>
      </c>
      <c r="AB1631" s="1" t="str">
        <f t="shared" si="126"/>
        <v>TAAe+</v>
      </c>
      <c r="AC1631" s="2" t="str">
        <f t="shared" si="127"/>
        <v xml:space="preserve"> CRISTINA </v>
      </c>
      <c r="AD1631" s="2">
        <f t="shared" si="128"/>
        <v>8</v>
      </c>
      <c r="AE1631" s="2">
        <f t="shared" ca="1" si="129"/>
        <v>-7.0170123842617613</v>
      </c>
    </row>
    <row r="1632" spans="1:31" hidden="1">
      <c r="A1632" s="1">
        <v>9501763</v>
      </c>
      <c r="B1632" s="1" t="s">
        <v>1153</v>
      </c>
      <c r="C1632" t="s">
        <v>3848</v>
      </c>
      <c r="D1632" s="2">
        <v>20232442000022</v>
      </c>
      <c r="E1632" s="2">
        <v>7417210550030</v>
      </c>
      <c r="F1632" s="1" t="s">
        <v>1936</v>
      </c>
      <c r="G1632" s="1" t="s">
        <v>53</v>
      </c>
      <c r="H1632" s="1" t="s">
        <v>2489</v>
      </c>
      <c r="I1632" s="1" t="s">
        <v>2490</v>
      </c>
      <c r="J1632" s="1" t="s">
        <v>33</v>
      </c>
      <c r="K1632" t="s">
        <v>1939</v>
      </c>
      <c r="M1632" s="1" t="s">
        <v>58</v>
      </c>
      <c r="N1632" s="1">
        <v>0</v>
      </c>
      <c r="O1632" s="1" t="s">
        <v>105</v>
      </c>
      <c r="P1632" s="11" t="s">
        <v>3849</v>
      </c>
      <c r="R1632" s="1">
        <v>15</v>
      </c>
      <c r="T1632" s="1" t="s">
        <v>238</v>
      </c>
      <c r="U1632" s="11" t="s">
        <v>3849</v>
      </c>
      <c r="V1632" s="1" t="s">
        <v>41</v>
      </c>
      <c r="W1632" s="1" t="s">
        <v>42</v>
      </c>
      <c r="X1632" s="13" t="str">
        <f>IF(RIGHT(H1632,2)&lt;&gt;"00",H1632,"")</f>
        <v>2442.91</v>
      </c>
      <c r="Y1632" s="2">
        <f ca="1">NETWORKDAYS(P1632,$Y$1)</f>
        <v>6</v>
      </c>
      <c r="Z1632" s="14">
        <v>1</v>
      </c>
      <c r="AA1632" s="1" t="str">
        <f t="shared" ca="1" si="125"/>
        <v>VENCIDO</v>
      </c>
      <c r="AB1632" s="1" t="str">
        <f t="shared" si="126"/>
        <v>TAAe+</v>
      </c>
      <c r="AC1632" s="2" t="str">
        <f t="shared" si="127"/>
        <v xml:space="preserve"> ROSEMERE </v>
      </c>
      <c r="AD1632" s="2">
        <f t="shared" si="128"/>
        <v>8</v>
      </c>
      <c r="AE1632" s="2">
        <f t="shared" ca="1" si="129"/>
        <v>-7.0190031250022002</v>
      </c>
    </row>
    <row r="1633" spans="1:31" hidden="1">
      <c r="A1633" s="1">
        <v>9501744</v>
      </c>
      <c r="B1633" s="1" t="s">
        <v>1153</v>
      </c>
      <c r="C1633" t="s">
        <v>3850</v>
      </c>
      <c r="D1633" s="2">
        <v>20230220000022</v>
      </c>
      <c r="E1633" s="2">
        <v>7417163284483</v>
      </c>
      <c r="F1633" s="1" t="s">
        <v>131</v>
      </c>
      <c r="G1633" s="1" t="s">
        <v>53</v>
      </c>
      <c r="H1633" s="1" t="s">
        <v>2030</v>
      </c>
      <c r="I1633" s="1" t="s">
        <v>2031</v>
      </c>
      <c r="J1633" s="1" t="s">
        <v>110</v>
      </c>
      <c r="K1633" t="s">
        <v>132</v>
      </c>
      <c r="M1633" s="1" t="s">
        <v>58</v>
      </c>
      <c r="N1633" s="1">
        <v>0</v>
      </c>
      <c r="O1633" s="1" t="s">
        <v>105</v>
      </c>
      <c r="P1633" s="11" t="s">
        <v>3851</v>
      </c>
      <c r="R1633" s="1">
        <v>14</v>
      </c>
      <c r="T1633" s="1" t="s">
        <v>238</v>
      </c>
      <c r="U1633" s="11" t="s">
        <v>3851</v>
      </c>
      <c r="V1633" s="1" t="s">
        <v>41</v>
      </c>
      <c r="W1633" s="1" t="s">
        <v>49</v>
      </c>
      <c r="X1633" s="13" t="str">
        <f>IF(RIGHT(H1633,2)&lt;&gt;"00",H1633,"")</f>
        <v>0220.91</v>
      </c>
      <c r="Y1633" s="2">
        <f ca="1">NETWORKDAYS(P1633,$Y$1)</f>
        <v>6</v>
      </c>
      <c r="Z1633" s="14">
        <v>1</v>
      </c>
      <c r="AA1633" s="1" t="str">
        <f t="shared" ca="1" si="125"/>
        <v>VENCIDO</v>
      </c>
      <c r="AB1633" s="1" t="str">
        <f t="shared" si="126"/>
        <v>TAAe+</v>
      </c>
      <c r="AC1633" s="2" t="str">
        <f t="shared" si="127"/>
        <v xml:space="preserve"> CRISTINA </v>
      </c>
      <c r="AD1633" s="2">
        <f t="shared" si="128"/>
        <v>8</v>
      </c>
      <c r="AE1633" s="2">
        <f t="shared" ca="1" si="129"/>
        <v>-7.0253804398162174</v>
      </c>
    </row>
    <row r="1634" spans="1:31" hidden="1">
      <c r="A1634" s="1">
        <v>9501738</v>
      </c>
      <c r="B1634" s="1" t="s">
        <v>1153</v>
      </c>
      <c r="C1634" t="s">
        <v>3852</v>
      </c>
      <c r="D1634" s="2">
        <v>20230711000017</v>
      </c>
      <c r="E1634" s="2">
        <v>7417210950238</v>
      </c>
      <c r="F1634" s="1" t="s">
        <v>1213</v>
      </c>
      <c r="G1634" s="1" t="s">
        <v>53</v>
      </c>
      <c r="H1634" s="1" t="s">
        <v>2858</v>
      </c>
      <c r="I1634" s="1" t="s">
        <v>2859</v>
      </c>
      <c r="J1634" s="1" t="s">
        <v>79</v>
      </c>
      <c r="K1634" t="s">
        <v>1214</v>
      </c>
      <c r="M1634" s="1" t="s">
        <v>58</v>
      </c>
      <c r="N1634" s="1">
        <v>0</v>
      </c>
      <c r="O1634" s="1" t="s">
        <v>105</v>
      </c>
      <c r="P1634" s="11" t="s">
        <v>3853</v>
      </c>
      <c r="R1634" s="1">
        <v>14</v>
      </c>
      <c r="T1634" s="1" t="s">
        <v>238</v>
      </c>
      <c r="U1634" s="11" t="s">
        <v>3853</v>
      </c>
      <c r="V1634" s="1" t="s">
        <v>41</v>
      </c>
      <c r="W1634" s="1" t="s">
        <v>49</v>
      </c>
      <c r="X1634" s="13" t="str">
        <f>IF(RIGHT(H1634,2)&lt;&gt;"00",H1634,"")</f>
        <v>0711.91</v>
      </c>
      <c r="Y1634" s="2">
        <f ca="1">NETWORKDAYS(P1634,$Y$1)</f>
        <v>6</v>
      </c>
      <c r="Z1634" s="14">
        <v>1</v>
      </c>
      <c r="AA1634" s="1" t="str">
        <f t="shared" ca="1" si="125"/>
        <v>VENCIDO</v>
      </c>
      <c r="AB1634" s="1" t="str">
        <f t="shared" si="126"/>
        <v>TAAe+</v>
      </c>
      <c r="AC1634" s="2" t="str">
        <f t="shared" si="127"/>
        <v xml:space="preserve"> ROSEMERE </v>
      </c>
      <c r="AD1634" s="2">
        <f t="shared" si="128"/>
        <v>8</v>
      </c>
      <c r="AE1634" s="2">
        <f t="shared" ca="1" si="129"/>
        <v>-7.0206697916655685</v>
      </c>
    </row>
    <row r="1635" spans="1:31">
      <c r="A1635" s="181">
        <v>9501710</v>
      </c>
      <c r="B1635" s="181" t="s">
        <v>1153</v>
      </c>
      <c r="C1635" s="182" t="s">
        <v>3854</v>
      </c>
      <c r="D1635" s="183">
        <v>20231060000012</v>
      </c>
      <c r="E1635" s="183">
        <v>7417183020617</v>
      </c>
      <c r="F1635" s="181" t="s">
        <v>1313</v>
      </c>
      <c r="G1635" s="181" t="s">
        <v>53</v>
      </c>
      <c r="H1635" s="181" t="s">
        <v>3855</v>
      </c>
      <c r="I1635" s="181" t="s">
        <v>3856</v>
      </c>
      <c r="J1635" s="181" t="s">
        <v>148</v>
      </c>
      <c r="K1635" t="s">
        <v>1316</v>
      </c>
      <c r="M1635" s="1" t="s">
        <v>58</v>
      </c>
      <c r="N1635" s="1">
        <v>0</v>
      </c>
      <c r="O1635" s="1" t="s">
        <v>105</v>
      </c>
      <c r="P1635" s="11" t="s">
        <v>3857</v>
      </c>
      <c r="R1635" s="1">
        <v>14</v>
      </c>
      <c r="T1635" s="1" t="s">
        <v>238</v>
      </c>
      <c r="U1635" s="11" t="s">
        <v>3857</v>
      </c>
      <c r="V1635" s="1" t="s">
        <v>41</v>
      </c>
      <c r="W1635" s="1" t="s">
        <v>49</v>
      </c>
      <c r="X1635" s="13" t="str">
        <f>IF(RIGHT(H1635,2)&lt;&gt;"00",H1635,"")</f>
        <v>1060.91</v>
      </c>
      <c r="Y1635" s="2">
        <f ca="1">NETWORKDAYS(P1635,$Y$1)</f>
        <v>6</v>
      </c>
      <c r="Z1635" s="14">
        <v>1</v>
      </c>
      <c r="AA1635" s="1" t="str">
        <f t="shared" ca="1" si="125"/>
        <v>VENCIDO</v>
      </c>
      <c r="AB1635" s="1" t="str">
        <f t="shared" si="126"/>
        <v>TAAe+</v>
      </c>
      <c r="AC1635" s="2" t="str">
        <f t="shared" si="127"/>
        <v xml:space="preserve"> RINALDO </v>
      </c>
      <c r="AD1635" s="2">
        <f t="shared" si="128"/>
        <v>8</v>
      </c>
      <c r="AE1635" s="2">
        <f t="shared" ca="1" si="129"/>
        <v>-7.0237947916684789</v>
      </c>
    </row>
    <row r="1636" spans="1:31" hidden="1">
      <c r="A1636" s="1">
        <v>9501694</v>
      </c>
      <c r="B1636" s="1" t="s">
        <v>1153</v>
      </c>
      <c r="C1636" t="s">
        <v>3858</v>
      </c>
      <c r="E1636" s="2">
        <v>4274000206001</v>
      </c>
      <c r="F1636" s="1" t="s">
        <v>29</v>
      </c>
      <c r="G1636" s="1" t="s">
        <v>53</v>
      </c>
      <c r="H1636" s="1" t="s">
        <v>386</v>
      </c>
      <c r="I1636" s="1" t="s">
        <v>387</v>
      </c>
      <c r="J1636" s="1" t="s">
        <v>46</v>
      </c>
      <c r="K1636" t="s">
        <v>34</v>
      </c>
      <c r="M1636" s="1" t="s">
        <v>35</v>
      </c>
      <c r="N1636" s="1">
        <v>42318949</v>
      </c>
      <c r="O1636" s="1" t="s">
        <v>105</v>
      </c>
      <c r="P1636" s="11" t="s">
        <v>3859</v>
      </c>
      <c r="R1636" s="1" t="s">
        <v>38</v>
      </c>
      <c r="T1636" s="1" t="s">
        <v>74</v>
      </c>
      <c r="U1636" s="11" t="s">
        <v>3860</v>
      </c>
      <c r="V1636" s="1" t="s">
        <v>41</v>
      </c>
      <c r="W1636" s="1" t="s">
        <v>49</v>
      </c>
      <c r="X1636" s="13" t="str">
        <f>IF(RIGHT(H1636,2)&lt;&gt;"00",H1636,"")</f>
        <v/>
      </c>
      <c r="Y1636" s="2">
        <f ca="1">NETWORKDAYS(P1636,$Y$1)</f>
        <v>6</v>
      </c>
      <c r="Z1636" s="14">
        <v>1</v>
      </c>
      <c r="AA1636" s="1" t="str">
        <f t="shared" ca="1" si="125"/>
        <v>VENCIDO</v>
      </c>
      <c r="AB1636" s="1" t="str">
        <f t="shared" si="126"/>
        <v>Dosa</v>
      </c>
      <c r="AC1636" s="2" t="str">
        <f t="shared" si="127"/>
        <v xml:space="preserve"> CLEITON </v>
      </c>
      <c r="AD1636" s="2">
        <f t="shared" si="128"/>
        <v>5</v>
      </c>
      <c r="AE1636" s="2">
        <f t="shared" ca="1" si="129"/>
        <v>-5.9679383101829444</v>
      </c>
    </row>
    <row r="1637" spans="1:31">
      <c r="A1637" s="173">
        <v>9501693</v>
      </c>
      <c r="B1637" s="1" t="s">
        <v>1153</v>
      </c>
      <c r="C1637" t="s">
        <v>3861</v>
      </c>
      <c r="E1637" s="2">
        <v>2304000206001</v>
      </c>
      <c r="F1637" s="173" t="s">
        <v>29</v>
      </c>
      <c r="G1637" s="1" t="s">
        <v>53</v>
      </c>
      <c r="H1637" s="1" t="s">
        <v>2711</v>
      </c>
      <c r="I1637" s="1" t="s">
        <v>2712</v>
      </c>
      <c r="J1637" s="203" t="s">
        <v>85</v>
      </c>
      <c r="K1637" t="s">
        <v>34</v>
      </c>
      <c r="M1637" s="1" t="s">
        <v>35</v>
      </c>
      <c r="N1637" s="1">
        <v>42318949</v>
      </c>
      <c r="O1637" s="1" t="s">
        <v>105</v>
      </c>
      <c r="P1637" s="11" t="s">
        <v>3862</v>
      </c>
      <c r="R1637" s="1" t="s">
        <v>38</v>
      </c>
      <c r="T1637" s="1" t="s">
        <v>74</v>
      </c>
      <c r="U1637" s="11" t="s">
        <v>3860</v>
      </c>
      <c r="V1637" s="1" t="s">
        <v>41</v>
      </c>
      <c r="W1637" s="1" t="s">
        <v>49</v>
      </c>
      <c r="X1637" s="13" t="str">
        <f>IF(RIGHT(H1637,2)&lt;&gt;"00",H1637,"")</f>
        <v/>
      </c>
      <c r="Y1637" s="2">
        <f ca="1">NETWORKDAYS(P1637,$Y$1)</f>
        <v>6</v>
      </c>
      <c r="Z1637" s="14">
        <v>1</v>
      </c>
      <c r="AA1637" s="1" t="str">
        <f t="shared" ca="1" si="125"/>
        <v>VENCIDO</v>
      </c>
      <c r="AB1637" s="1" t="str">
        <f t="shared" si="126"/>
        <v>Dosa</v>
      </c>
      <c r="AC1637" s="2" t="str">
        <f t="shared" si="127"/>
        <v xml:space="preserve"> RINALDO </v>
      </c>
      <c r="AD1637" s="2">
        <f t="shared" si="128"/>
        <v>5</v>
      </c>
      <c r="AE1637" s="2">
        <f t="shared" ca="1" si="129"/>
        <v>-5.9679383101829444</v>
      </c>
    </row>
    <row r="1638" spans="1:31" hidden="1">
      <c r="A1638" s="1">
        <v>9501680</v>
      </c>
      <c r="B1638" s="1" t="s">
        <v>1153</v>
      </c>
      <c r="C1638" t="s">
        <v>3863</v>
      </c>
      <c r="D1638" s="2">
        <v>20232802000002</v>
      </c>
      <c r="E1638" s="2">
        <v>7419152436991</v>
      </c>
      <c r="F1638" s="1" t="s">
        <v>2744</v>
      </c>
      <c r="G1638" s="1" t="s">
        <v>53</v>
      </c>
      <c r="H1638" s="1" t="s">
        <v>388</v>
      </c>
      <c r="I1638" s="1" t="s">
        <v>389</v>
      </c>
      <c r="J1638" s="1" t="s">
        <v>46</v>
      </c>
      <c r="K1638" t="s">
        <v>2745</v>
      </c>
      <c r="M1638" s="1" t="s">
        <v>58</v>
      </c>
      <c r="N1638" s="1">
        <v>0</v>
      </c>
      <c r="O1638" s="1" t="s">
        <v>105</v>
      </c>
      <c r="P1638" s="11" t="s">
        <v>3864</v>
      </c>
      <c r="R1638" s="1">
        <v>22</v>
      </c>
      <c r="T1638" s="1" t="s">
        <v>1160</v>
      </c>
      <c r="U1638" s="11" t="s">
        <v>3865</v>
      </c>
      <c r="V1638" s="1" t="s">
        <v>41</v>
      </c>
      <c r="W1638" s="1" t="s">
        <v>49</v>
      </c>
      <c r="X1638" s="13" t="str">
        <f>IF(RIGHT(H1638,2)&lt;&gt;"00",H1638,"")</f>
        <v/>
      </c>
      <c r="Y1638" s="2">
        <f ca="1">NETWORKDAYS(P1638,$Y$1)</f>
        <v>6</v>
      </c>
      <c r="Z1638" s="14">
        <v>1</v>
      </c>
      <c r="AA1638" s="1" t="str">
        <f t="shared" ca="1" si="125"/>
        <v>VENCIDO</v>
      </c>
      <c r="AB1638" s="1" t="str">
        <f t="shared" si="126"/>
        <v>TAAe+</v>
      </c>
      <c r="AC1638" s="2" t="str">
        <f t="shared" si="127"/>
        <v xml:space="preserve"> CLEITON </v>
      </c>
      <c r="AD1638" s="2">
        <f t="shared" si="128"/>
        <v>8</v>
      </c>
      <c r="AE1638" s="2">
        <f t="shared" ca="1" si="129"/>
        <v>-2.2053804398165084</v>
      </c>
    </row>
    <row r="1639" spans="1:31" hidden="1">
      <c r="A1639" s="1">
        <v>9501669</v>
      </c>
      <c r="B1639" s="1" t="s">
        <v>1153</v>
      </c>
      <c r="C1639" t="s">
        <v>3866</v>
      </c>
      <c r="D1639" s="2">
        <v>20230244000009</v>
      </c>
      <c r="E1639" s="2">
        <v>7419151141159</v>
      </c>
      <c r="F1639" s="1" t="s">
        <v>123</v>
      </c>
      <c r="G1639" s="1" t="s">
        <v>53</v>
      </c>
      <c r="H1639" s="1" t="s">
        <v>2579</v>
      </c>
      <c r="I1639" s="1" t="s">
        <v>2580</v>
      </c>
      <c r="J1639" s="1" t="s">
        <v>56</v>
      </c>
      <c r="K1639" t="s">
        <v>126</v>
      </c>
      <c r="M1639" s="1" t="s">
        <v>58</v>
      </c>
      <c r="N1639" s="1">
        <v>0</v>
      </c>
      <c r="O1639" s="1" t="s">
        <v>105</v>
      </c>
      <c r="P1639" s="11" t="s">
        <v>3867</v>
      </c>
      <c r="R1639" s="1">
        <v>14</v>
      </c>
      <c r="T1639" s="1" t="s">
        <v>238</v>
      </c>
      <c r="U1639" s="11" t="s">
        <v>3867</v>
      </c>
      <c r="V1639" s="1" t="s">
        <v>41</v>
      </c>
      <c r="W1639" s="1" t="s">
        <v>49</v>
      </c>
      <c r="X1639" s="13" t="str">
        <f>IF(RIGHT(H1639,2)&lt;&gt;"00",H1639,"")</f>
        <v>0244.91</v>
      </c>
      <c r="Y1639" s="2">
        <f ca="1">NETWORKDAYS(P1639,$Y$1)</f>
        <v>6</v>
      </c>
      <c r="Z1639" s="14">
        <v>1</v>
      </c>
      <c r="AA1639" s="1" t="str">
        <f t="shared" ca="1" si="125"/>
        <v>VENCIDO</v>
      </c>
      <c r="AB1639" s="1" t="str">
        <f t="shared" si="126"/>
        <v>TAAe+</v>
      </c>
      <c r="AC1639" s="2" t="str">
        <f t="shared" si="127"/>
        <v xml:space="preserve"> CRISTINA </v>
      </c>
      <c r="AD1639" s="2">
        <f t="shared" si="128"/>
        <v>8</v>
      </c>
      <c r="AE1639" s="2">
        <f t="shared" ca="1" si="129"/>
        <v>-7.0409938657394378</v>
      </c>
    </row>
    <row r="1640" spans="1:31" hidden="1">
      <c r="A1640" s="1">
        <v>9501617</v>
      </c>
      <c r="B1640" s="1" t="s">
        <v>1153</v>
      </c>
      <c r="C1640" t="s">
        <v>3868</v>
      </c>
      <c r="D1640" s="2">
        <v>20230244000008</v>
      </c>
      <c r="E1640" s="2">
        <v>7417211830098</v>
      </c>
      <c r="F1640" s="1" t="s">
        <v>1936</v>
      </c>
      <c r="G1640" s="1" t="s">
        <v>53</v>
      </c>
      <c r="H1640" s="1" t="s">
        <v>2579</v>
      </c>
      <c r="I1640" s="1" t="s">
        <v>2580</v>
      </c>
      <c r="J1640" s="1" t="s">
        <v>56</v>
      </c>
      <c r="K1640" t="s">
        <v>1939</v>
      </c>
      <c r="M1640" s="1" t="s">
        <v>58</v>
      </c>
      <c r="N1640" s="1">
        <v>0</v>
      </c>
      <c r="O1640" s="1" t="s">
        <v>105</v>
      </c>
      <c r="P1640" s="11" t="s">
        <v>3869</v>
      </c>
      <c r="R1640" s="1">
        <v>14</v>
      </c>
      <c r="T1640" s="1" t="s">
        <v>238</v>
      </c>
      <c r="U1640" s="11" t="s">
        <v>3869</v>
      </c>
      <c r="V1640" s="1" t="s">
        <v>41</v>
      </c>
      <c r="W1640" s="1" t="s">
        <v>49</v>
      </c>
      <c r="X1640" s="13" t="str">
        <f>IF(RIGHT(H1640,2)&lt;&gt;"00",H1640,"")</f>
        <v>0244.91</v>
      </c>
      <c r="Y1640" s="2">
        <f ca="1">NETWORKDAYS(P1640,$Y$1)</f>
        <v>6</v>
      </c>
      <c r="Z1640" s="14">
        <v>1</v>
      </c>
      <c r="AA1640" s="1" t="str">
        <f t="shared" ca="1" si="125"/>
        <v>VENCIDO</v>
      </c>
      <c r="AB1640" s="1" t="str">
        <f t="shared" si="126"/>
        <v>TAAe+</v>
      </c>
      <c r="AC1640" s="2" t="str">
        <f t="shared" si="127"/>
        <v xml:space="preserve"> CRISTINA </v>
      </c>
      <c r="AD1640" s="2">
        <f t="shared" si="128"/>
        <v>8</v>
      </c>
      <c r="AE1640" s="2">
        <f t="shared" ca="1" si="129"/>
        <v>-7.043146643518412</v>
      </c>
    </row>
    <row r="1641" spans="1:31" hidden="1">
      <c r="A1641" s="1">
        <v>9501569</v>
      </c>
      <c r="B1641" s="1" t="s">
        <v>1153</v>
      </c>
      <c r="C1641" t="s">
        <v>3870</v>
      </c>
      <c r="D1641" s="2">
        <v>20231689000010</v>
      </c>
      <c r="E1641" s="2">
        <v>7419141892184</v>
      </c>
      <c r="F1641" s="1" t="s">
        <v>128</v>
      </c>
      <c r="G1641" s="1" t="s">
        <v>53</v>
      </c>
      <c r="H1641" s="1" t="s">
        <v>2131</v>
      </c>
      <c r="I1641" s="1" t="s">
        <v>2132</v>
      </c>
      <c r="J1641" s="1" t="s">
        <v>79</v>
      </c>
      <c r="K1641" t="s">
        <v>129</v>
      </c>
      <c r="M1641" s="1" t="s">
        <v>58</v>
      </c>
      <c r="N1641" s="1">
        <v>0</v>
      </c>
      <c r="O1641" s="1" t="s">
        <v>105</v>
      </c>
      <c r="P1641" s="11" t="s">
        <v>3871</v>
      </c>
      <c r="R1641" s="1">
        <v>13</v>
      </c>
      <c r="T1641" s="1" t="s">
        <v>238</v>
      </c>
      <c r="U1641" s="11" t="s">
        <v>3871</v>
      </c>
      <c r="V1641" s="1" t="s">
        <v>41</v>
      </c>
      <c r="W1641" s="1" t="s">
        <v>49</v>
      </c>
      <c r="X1641" s="13" t="str">
        <f>IF(RIGHT(H1641,2)&lt;&gt;"00",H1641,"")</f>
        <v>1689.91</v>
      </c>
      <c r="Y1641" s="2">
        <f ca="1">NETWORKDAYS(P1641,$Y$1)</f>
        <v>6</v>
      </c>
      <c r="Z1641" s="14">
        <v>1</v>
      </c>
      <c r="AA1641" s="1" t="str">
        <f t="shared" ca="1" si="125"/>
        <v>VENCIDO</v>
      </c>
      <c r="AB1641" s="1" t="str">
        <f t="shared" si="126"/>
        <v>TAAe+</v>
      </c>
      <c r="AC1641" s="2" t="str">
        <f t="shared" si="127"/>
        <v xml:space="preserve"> ROSEMERE </v>
      </c>
      <c r="AD1641" s="2">
        <f t="shared" si="128"/>
        <v>8</v>
      </c>
      <c r="AE1641" s="2">
        <f t="shared" ca="1" si="129"/>
        <v>-7.0564568287009024</v>
      </c>
    </row>
    <row r="1642" spans="1:31" hidden="1">
      <c r="A1642" s="1">
        <v>9501490</v>
      </c>
      <c r="B1642" s="1" t="s">
        <v>1153</v>
      </c>
      <c r="C1642" t="s">
        <v>2037</v>
      </c>
      <c r="E1642" s="2">
        <v>1710000206001</v>
      </c>
      <c r="F1642" s="1" t="s">
        <v>29</v>
      </c>
      <c r="G1642" s="1" t="s">
        <v>53</v>
      </c>
      <c r="H1642" s="1" t="s">
        <v>327</v>
      </c>
      <c r="I1642" s="1" t="s">
        <v>328</v>
      </c>
      <c r="J1642" s="1" t="s">
        <v>261</v>
      </c>
      <c r="K1642" t="s">
        <v>34</v>
      </c>
      <c r="M1642" s="1" t="s">
        <v>35</v>
      </c>
      <c r="N1642" s="1">
        <v>42318949</v>
      </c>
      <c r="O1642" s="1" t="s">
        <v>105</v>
      </c>
      <c r="P1642" s="11" t="s">
        <v>3872</v>
      </c>
      <c r="R1642" s="1" t="s">
        <v>38</v>
      </c>
      <c r="T1642" s="1" t="s">
        <v>74</v>
      </c>
      <c r="U1642" s="11" t="s">
        <v>3860</v>
      </c>
      <c r="V1642" s="1" t="s">
        <v>41</v>
      </c>
      <c r="W1642" s="1" t="s">
        <v>49</v>
      </c>
      <c r="X1642" s="13" t="str">
        <f>IF(RIGHT(H1642,2)&lt;&gt;"00",H1642,"")</f>
        <v/>
      </c>
      <c r="Y1642" s="2">
        <f ca="1">NETWORKDAYS(P1642,$Y$1)</f>
        <v>6</v>
      </c>
      <c r="Z1642" s="14">
        <v>1</v>
      </c>
      <c r="AA1642" s="1" t="str">
        <f t="shared" ca="1" si="125"/>
        <v>VENCIDO</v>
      </c>
      <c r="AB1642" s="1" t="str">
        <f t="shared" si="126"/>
        <v>Dosa</v>
      </c>
      <c r="AC1642" s="2" t="str">
        <f t="shared" si="127"/>
        <v xml:space="preserve"> CRISTINA </v>
      </c>
      <c r="AD1642" s="2">
        <f t="shared" si="128"/>
        <v>5</v>
      </c>
      <c r="AE1642" s="2">
        <f t="shared" ca="1" si="129"/>
        <v>-5.9679383101829444</v>
      </c>
    </row>
    <row r="1643" spans="1:31" hidden="1">
      <c r="A1643" s="1">
        <v>9501468</v>
      </c>
      <c r="B1643" s="1" t="s">
        <v>1153</v>
      </c>
      <c r="C1643" t="s">
        <v>3873</v>
      </c>
      <c r="D1643" s="2">
        <v>20234844000529</v>
      </c>
      <c r="E1643" s="2">
        <v>7417183020649</v>
      </c>
      <c r="F1643" s="1" t="s">
        <v>1313</v>
      </c>
      <c r="G1643" s="1" t="s">
        <v>53</v>
      </c>
      <c r="H1643" s="1" t="s">
        <v>2821</v>
      </c>
      <c r="I1643" s="1" t="s">
        <v>2822</v>
      </c>
      <c r="J1643" s="1" t="s">
        <v>46</v>
      </c>
      <c r="K1643" t="s">
        <v>1316</v>
      </c>
      <c r="M1643" s="1" t="s">
        <v>58</v>
      </c>
      <c r="N1643" s="1">
        <v>0</v>
      </c>
      <c r="O1643" s="1" t="s">
        <v>105</v>
      </c>
      <c r="P1643" s="11" t="s">
        <v>3874</v>
      </c>
      <c r="R1643" s="1">
        <v>13</v>
      </c>
      <c r="T1643" s="1" t="s">
        <v>238</v>
      </c>
      <c r="U1643" s="11" t="s">
        <v>3874</v>
      </c>
      <c r="V1643" s="1" t="s">
        <v>41</v>
      </c>
      <c r="W1643" s="1" t="s">
        <v>49</v>
      </c>
      <c r="X1643" s="13" t="str">
        <f>IF(RIGHT(H1643,2)&lt;&gt;"00",H1643,"")</f>
        <v>4844.17</v>
      </c>
      <c r="Y1643" s="2">
        <f ca="1">NETWORKDAYS(P1643,$Y$1)</f>
        <v>6</v>
      </c>
      <c r="Z1643" s="14">
        <v>1</v>
      </c>
      <c r="AA1643" s="1" t="str">
        <f t="shared" ca="1" si="125"/>
        <v>VENCIDO</v>
      </c>
      <c r="AB1643" s="1" t="str">
        <f t="shared" si="126"/>
        <v>TAAe+</v>
      </c>
      <c r="AC1643" s="2" t="str">
        <f t="shared" si="127"/>
        <v xml:space="preserve"> CLEITON </v>
      </c>
      <c r="AD1643" s="2">
        <f t="shared" si="128"/>
        <v>8</v>
      </c>
      <c r="AE1643" s="2">
        <f t="shared" ca="1" si="129"/>
        <v>-7.079211458330974</v>
      </c>
    </row>
    <row r="1644" spans="1:31" hidden="1">
      <c r="A1644" s="1">
        <v>9501466</v>
      </c>
      <c r="B1644" s="1" t="s">
        <v>1153</v>
      </c>
      <c r="C1644" t="s">
        <v>3875</v>
      </c>
      <c r="D1644" s="2">
        <v>20234844000528</v>
      </c>
      <c r="E1644" s="2">
        <v>7419141892255</v>
      </c>
      <c r="F1644" s="1" t="s">
        <v>128</v>
      </c>
      <c r="G1644" s="1" t="s">
        <v>53</v>
      </c>
      <c r="H1644" s="1" t="s">
        <v>2059</v>
      </c>
      <c r="I1644" s="1" t="s">
        <v>2060</v>
      </c>
      <c r="J1644" s="1" t="s">
        <v>46</v>
      </c>
      <c r="K1644" t="s">
        <v>129</v>
      </c>
      <c r="M1644" s="1" t="s">
        <v>58</v>
      </c>
      <c r="N1644" s="1">
        <v>0</v>
      </c>
      <c r="O1644" s="1" t="s">
        <v>105</v>
      </c>
      <c r="P1644" s="11" t="s">
        <v>3876</v>
      </c>
      <c r="R1644" s="1">
        <v>13</v>
      </c>
      <c r="T1644" s="1" t="s">
        <v>238</v>
      </c>
      <c r="U1644" s="11" t="s">
        <v>3876</v>
      </c>
      <c r="V1644" s="1" t="s">
        <v>41</v>
      </c>
      <c r="W1644" s="1" t="s">
        <v>49</v>
      </c>
      <c r="X1644" s="13" t="str">
        <f>IF(RIGHT(H1644,2)&lt;&gt;"00",H1644,"")</f>
        <v>4844.35</v>
      </c>
      <c r="Y1644" s="2">
        <f ca="1">NETWORKDAYS(P1644,$Y$1)</f>
        <v>6</v>
      </c>
      <c r="Z1644" s="14">
        <v>1</v>
      </c>
      <c r="AA1644" s="1" t="str">
        <f t="shared" ca="1" si="125"/>
        <v>VENCIDO</v>
      </c>
      <c r="AB1644" s="1" t="str">
        <f t="shared" si="126"/>
        <v>TAAe+</v>
      </c>
      <c r="AC1644" s="2" t="str">
        <f t="shared" si="127"/>
        <v xml:space="preserve"> CLEITON </v>
      </c>
      <c r="AD1644" s="2">
        <f t="shared" si="128"/>
        <v>8</v>
      </c>
      <c r="AE1644" s="2">
        <f t="shared" ca="1" si="129"/>
        <v>-7.084720717590244</v>
      </c>
    </row>
    <row r="1645" spans="1:31" hidden="1">
      <c r="A1645" s="1">
        <v>9501453</v>
      </c>
      <c r="B1645" s="1" t="s">
        <v>62</v>
      </c>
      <c r="C1645" t="s">
        <v>3877</v>
      </c>
      <c r="E1645" s="2">
        <v>3699000203000</v>
      </c>
      <c r="F1645" s="1" t="s">
        <v>454</v>
      </c>
      <c r="G1645" s="1" t="s">
        <v>53</v>
      </c>
      <c r="H1645" s="1" t="s">
        <v>343</v>
      </c>
      <c r="I1645" s="1" t="s">
        <v>344</v>
      </c>
      <c r="J1645" s="1" t="s">
        <v>46</v>
      </c>
      <c r="K1645" t="s">
        <v>457</v>
      </c>
      <c r="M1645" s="1" t="s">
        <v>58</v>
      </c>
      <c r="N1645" s="1">
        <v>0</v>
      </c>
      <c r="O1645" s="1" t="s">
        <v>105</v>
      </c>
      <c r="P1645" s="11" t="s">
        <v>3878</v>
      </c>
      <c r="R1645" s="1">
        <v>1</v>
      </c>
      <c r="T1645" s="1" t="s">
        <v>157</v>
      </c>
      <c r="U1645" s="11" t="s">
        <v>3879</v>
      </c>
      <c r="V1645" s="1" t="s">
        <v>41</v>
      </c>
      <c r="W1645" s="1" t="s">
        <v>49</v>
      </c>
      <c r="X1645" s="13" t="str">
        <f>IF(RIGHT(H1645,2)&lt;&gt;"00",H1645,"")</f>
        <v/>
      </c>
      <c r="Y1645" s="2">
        <f ca="1">NETWORKDAYS(P1645,$Y$1)</f>
        <v>6</v>
      </c>
      <c r="Z1645" s="14">
        <v>1</v>
      </c>
      <c r="AA1645" s="1" t="str">
        <f t="shared" ca="1" si="125"/>
        <v>A VENCER</v>
      </c>
      <c r="AB1645" s="1" t="str">
        <f t="shared" si="126"/>
        <v>C-14</v>
      </c>
      <c r="AC1645" s="2" t="str">
        <f t="shared" si="127"/>
        <v xml:space="preserve"> CLEITON </v>
      </c>
      <c r="AD1645" s="2">
        <f t="shared" si="128"/>
        <v>5</v>
      </c>
      <c r="AE1645" s="2">
        <f t="shared" ca="1" si="129"/>
        <v>27.073728356481297</v>
      </c>
    </row>
    <row r="1646" spans="1:31" hidden="1">
      <c r="A1646" s="1">
        <v>9501371</v>
      </c>
      <c r="B1646" s="1" t="s">
        <v>1153</v>
      </c>
      <c r="C1646" t="s">
        <v>3880</v>
      </c>
      <c r="D1646" s="2">
        <v>230031469</v>
      </c>
      <c r="E1646" s="2">
        <v>3613001400010</v>
      </c>
      <c r="F1646" s="1" t="s">
        <v>936</v>
      </c>
      <c r="G1646" s="1" t="s">
        <v>53</v>
      </c>
      <c r="H1646" s="1" t="s">
        <v>679</v>
      </c>
      <c r="I1646" s="1" t="s">
        <v>680</v>
      </c>
      <c r="J1646" s="1" t="s">
        <v>46</v>
      </c>
      <c r="K1646" t="s">
        <v>937</v>
      </c>
      <c r="M1646" s="1" t="s">
        <v>58</v>
      </c>
      <c r="N1646" s="1">
        <v>0</v>
      </c>
      <c r="O1646" s="1" t="s">
        <v>105</v>
      </c>
      <c r="P1646" s="11" t="s">
        <v>3881</v>
      </c>
      <c r="R1646" s="1">
        <v>3</v>
      </c>
      <c r="T1646" s="1" t="s">
        <v>646</v>
      </c>
      <c r="U1646" s="11" t="s">
        <v>3882</v>
      </c>
      <c r="V1646" s="1" t="s">
        <v>41</v>
      </c>
      <c r="W1646" s="1" t="s">
        <v>49</v>
      </c>
      <c r="X1646" s="13" t="str">
        <f>IF(RIGHT(H1646,2)&lt;&gt;"00",H1646,"")</f>
        <v/>
      </c>
      <c r="Y1646" s="2">
        <f ca="1">NETWORKDAYS(P1646,$Y$1)</f>
        <v>6</v>
      </c>
      <c r="Z1646" s="14">
        <v>1</v>
      </c>
      <c r="AA1646" s="1" t="str">
        <f t="shared" ca="1" si="125"/>
        <v>VENCIDO</v>
      </c>
      <c r="AB1646" s="1" t="str">
        <f t="shared" si="126"/>
        <v>C-14</v>
      </c>
      <c r="AC1646" s="2" t="str">
        <f t="shared" si="127"/>
        <v xml:space="preserve"> CLEITON </v>
      </c>
      <c r="AD1646" s="2">
        <f t="shared" si="128"/>
        <v>5</v>
      </c>
      <c r="AE1646" s="2">
        <f t="shared" ca="1" si="129"/>
        <v>-6.0216998842588509</v>
      </c>
    </row>
    <row r="1647" spans="1:31" hidden="1">
      <c r="A1647" s="1">
        <v>9501339</v>
      </c>
      <c r="B1647" s="1" t="s">
        <v>1153</v>
      </c>
      <c r="C1647" t="s">
        <v>3883</v>
      </c>
      <c r="D1647" s="2">
        <v>230031285</v>
      </c>
      <c r="E1647" s="2">
        <v>3504001400020</v>
      </c>
      <c r="F1647" s="1" t="s">
        <v>1961</v>
      </c>
      <c r="G1647" s="1" t="s">
        <v>53</v>
      </c>
      <c r="H1647" s="1" t="s">
        <v>585</v>
      </c>
      <c r="I1647" s="1" t="s">
        <v>586</v>
      </c>
      <c r="J1647" s="1" t="s">
        <v>46</v>
      </c>
      <c r="K1647" t="s">
        <v>1962</v>
      </c>
      <c r="M1647" s="1" t="s">
        <v>58</v>
      </c>
      <c r="N1647" s="1">
        <v>0</v>
      </c>
      <c r="O1647" s="1" t="s">
        <v>105</v>
      </c>
      <c r="P1647" s="11" t="s">
        <v>3884</v>
      </c>
      <c r="R1647" s="1">
        <v>4</v>
      </c>
      <c r="T1647" s="1" t="s">
        <v>646</v>
      </c>
      <c r="U1647" s="11" t="s">
        <v>3885</v>
      </c>
      <c r="V1647" s="1" t="s">
        <v>41</v>
      </c>
      <c r="W1647" s="1" t="s">
        <v>49</v>
      </c>
      <c r="X1647" s="13" t="str">
        <f>IF(RIGHT(H1647,2)&lt;&gt;"00",H1647,"")</f>
        <v/>
      </c>
      <c r="Y1647" s="2">
        <f ca="1">NETWORKDAYS(P1647,$Y$1)</f>
        <v>6</v>
      </c>
      <c r="Z1647" s="14">
        <v>1</v>
      </c>
      <c r="AA1647" s="1" t="str">
        <f t="shared" ca="1" si="125"/>
        <v>VENCIDO</v>
      </c>
      <c r="AB1647" s="1" t="str">
        <f t="shared" si="126"/>
        <v>C-14</v>
      </c>
      <c r="AC1647" s="2" t="str">
        <f t="shared" si="127"/>
        <v xml:space="preserve"> CLEITON </v>
      </c>
      <c r="AD1647" s="2">
        <f t="shared" si="128"/>
        <v>5</v>
      </c>
      <c r="AE1647" s="2">
        <f t="shared" ca="1" si="129"/>
        <v>-5.9866651620395714</v>
      </c>
    </row>
    <row r="1648" spans="1:31" hidden="1">
      <c r="A1648" s="1">
        <v>9501315</v>
      </c>
      <c r="B1648" s="1" t="s">
        <v>1153</v>
      </c>
      <c r="C1648" t="s">
        <v>3886</v>
      </c>
      <c r="D1648" s="2">
        <v>230031188</v>
      </c>
      <c r="E1648" s="2">
        <v>3242001400010</v>
      </c>
      <c r="F1648" s="1" t="s">
        <v>936</v>
      </c>
      <c r="G1648" s="1" t="s">
        <v>53</v>
      </c>
      <c r="H1648" s="1" t="s">
        <v>461</v>
      </c>
      <c r="I1648" s="1" t="s">
        <v>462</v>
      </c>
      <c r="J1648" s="1" t="s">
        <v>46</v>
      </c>
      <c r="K1648" t="s">
        <v>937</v>
      </c>
      <c r="M1648" s="1" t="s">
        <v>58</v>
      </c>
      <c r="N1648" s="1">
        <v>0</v>
      </c>
      <c r="O1648" s="1" t="s">
        <v>105</v>
      </c>
      <c r="P1648" s="11" t="s">
        <v>3887</v>
      </c>
      <c r="R1648" s="1">
        <v>3</v>
      </c>
      <c r="T1648" s="1" t="s">
        <v>646</v>
      </c>
      <c r="U1648" s="11" t="s">
        <v>3888</v>
      </c>
      <c r="V1648" s="1" t="s">
        <v>41</v>
      </c>
      <c r="W1648" s="1" t="s">
        <v>49</v>
      </c>
      <c r="X1648" s="13" t="str">
        <f>IF(RIGHT(H1648,2)&lt;&gt;"00",H1648,"")</f>
        <v/>
      </c>
      <c r="Y1648" s="2">
        <f ca="1">NETWORKDAYS(P1648,$Y$1)</f>
        <v>6</v>
      </c>
      <c r="Z1648" s="14">
        <v>1</v>
      </c>
      <c r="AA1648" s="1" t="str">
        <f t="shared" ca="1" si="125"/>
        <v>VENCIDO</v>
      </c>
      <c r="AB1648" s="1" t="str">
        <f t="shared" si="126"/>
        <v>C-14</v>
      </c>
      <c r="AC1648" s="2" t="str">
        <f t="shared" si="127"/>
        <v xml:space="preserve"> CLEITON </v>
      </c>
      <c r="AD1648" s="2">
        <f t="shared" si="128"/>
        <v>5</v>
      </c>
      <c r="AE1648" s="2">
        <f t="shared" ca="1" si="129"/>
        <v>-6.0339568287017755</v>
      </c>
    </row>
    <row r="1649" spans="1:31" hidden="1">
      <c r="A1649" s="1">
        <v>9501297</v>
      </c>
      <c r="B1649" s="1" t="s">
        <v>1153</v>
      </c>
      <c r="C1649" t="s">
        <v>3889</v>
      </c>
      <c r="D1649" s="2">
        <v>230031225</v>
      </c>
      <c r="E1649" s="2">
        <v>2138001400010</v>
      </c>
      <c r="F1649" s="1" t="s">
        <v>936</v>
      </c>
      <c r="G1649" s="1" t="s">
        <v>53</v>
      </c>
      <c r="H1649" s="1" t="s">
        <v>379</v>
      </c>
      <c r="I1649" s="1" t="s">
        <v>380</v>
      </c>
      <c r="J1649" s="1" t="s">
        <v>46</v>
      </c>
      <c r="K1649" t="s">
        <v>937</v>
      </c>
      <c r="M1649" s="1" t="s">
        <v>58</v>
      </c>
      <c r="N1649" s="1">
        <v>0</v>
      </c>
      <c r="O1649" s="1" t="s">
        <v>105</v>
      </c>
      <c r="P1649" s="11" t="s">
        <v>3890</v>
      </c>
      <c r="R1649" s="1">
        <v>3</v>
      </c>
      <c r="T1649" s="1" t="s">
        <v>646</v>
      </c>
      <c r="U1649" s="11" t="s">
        <v>3891</v>
      </c>
      <c r="V1649" s="1" t="s">
        <v>41</v>
      </c>
      <c r="W1649" s="1" t="s">
        <v>49</v>
      </c>
      <c r="X1649" s="13" t="str">
        <f>IF(RIGHT(H1649,2)&lt;&gt;"00",H1649,"")</f>
        <v/>
      </c>
      <c r="Y1649" s="2">
        <f ca="1">NETWORKDAYS(P1649,$Y$1)</f>
        <v>6</v>
      </c>
      <c r="Z1649" s="14">
        <v>1</v>
      </c>
      <c r="AA1649" s="1" t="str">
        <f t="shared" ca="1" si="125"/>
        <v>VENCIDO</v>
      </c>
      <c r="AB1649" s="1" t="str">
        <f t="shared" si="126"/>
        <v>C-14</v>
      </c>
      <c r="AC1649" s="2" t="str">
        <f t="shared" si="127"/>
        <v xml:space="preserve"> CLEITON </v>
      </c>
      <c r="AD1649" s="2">
        <f t="shared" si="128"/>
        <v>5</v>
      </c>
      <c r="AE1649" s="2">
        <f t="shared" ca="1" si="129"/>
        <v>-6.0366420138889225</v>
      </c>
    </row>
    <row r="1650" spans="1:31" hidden="1">
      <c r="A1650" s="1">
        <v>9501254</v>
      </c>
      <c r="B1650" s="1" t="s">
        <v>1153</v>
      </c>
      <c r="C1650" t="s">
        <v>3892</v>
      </c>
      <c r="D1650" s="2">
        <v>230031056</v>
      </c>
      <c r="E1650" s="2">
        <v>2081001400020</v>
      </c>
      <c r="F1650" s="1" t="s">
        <v>1961</v>
      </c>
      <c r="G1650" s="1" t="s">
        <v>53</v>
      </c>
      <c r="H1650" s="1" t="s">
        <v>590</v>
      </c>
      <c r="I1650" s="1" t="s">
        <v>591</v>
      </c>
      <c r="J1650" s="1" t="s">
        <v>261</v>
      </c>
      <c r="K1650" t="s">
        <v>1962</v>
      </c>
      <c r="M1650" s="1" t="s">
        <v>58</v>
      </c>
      <c r="N1650" s="1">
        <v>0</v>
      </c>
      <c r="O1650" s="1" t="s">
        <v>105</v>
      </c>
      <c r="P1650" s="11" t="s">
        <v>3893</v>
      </c>
      <c r="R1650" s="1">
        <v>4</v>
      </c>
      <c r="T1650" s="1" t="s">
        <v>646</v>
      </c>
      <c r="U1650" s="11" t="s">
        <v>3894</v>
      </c>
      <c r="V1650" s="1" t="s">
        <v>41</v>
      </c>
      <c r="W1650" s="1" t="s">
        <v>49</v>
      </c>
      <c r="X1650" s="13" t="str">
        <f>IF(RIGHT(H1650,2)&lt;&gt;"00",H1650,"")</f>
        <v/>
      </c>
      <c r="Y1650" s="2">
        <f ca="1">NETWORKDAYS(P1650,$Y$1)</f>
        <v>6</v>
      </c>
      <c r="Z1650" s="14">
        <v>1</v>
      </c>
      <c r="AA1650" s="1" t="str">
        <f t="shared" ca="1" si="125"/>
        <v>VENCIDO</v>
      </c>
      <c r="AB1650" s="1" t="str">
        <f t="shared" si="126"/>
        <v>C-14</v>
      </c>
      <c r="AC1650" s="2" t="str">
        <f t="shared" si="127"/>
        <v xml:space="preserve"> CRISTINA </v>
      </c>
      <c r="AD1650" s="2">
        <f t="shared" si="128"/>
        <v>5</v>
      </c>
      <c r="AE1650" s="2">
        <f t="shared" ca="1" si="129"/>
        <v>-6.0018040509239654</v>
      </c>
    </row>
    <row r="1651" spans="1:31" hidden="1">
      <c r="A1651" s="1">
        <v>9501237</v>
      </c>
      <c r="B1651" s="1" t="s">
        <v>1153</v>
      </c>
      <c r="C1651" t="s">
        <v>3895</v>
      </c>
      <c r="D1651" s="2">
        <v>230031107</v>
      </c>
      <c r="E1651" s="2">
        <v>233001400020</v>
      </c>
      <c r="F1651" s="1" t="s">
        <v>1961</v>
      </c>
      <c r="G1651" s="1" t="s">
        <v>53</v>
      </c>
      <c r="H1651" s="1" t="s">
        <v>424</v>
      </c>
      <c r="I1651" s="1" t="s">
        <v>425</v>
      </c>
      <c r="J1651" s="1" t="s">
        <v>261</v>
      </c>
      <c r="K1651" t="s">
        <v>1962</v>
      </c>
      <c r="M1651" s="1" t="s">
        <v>58</v>
      </c>
      <c r="N1651" s="1">
        <v>0</v>
      </c>
      <c r="O1651" s="1" t="s">
        <v>105</v>
      </c>
      <c r="P1651" s="11" t="s">
        <v>3896</v>
      </c>
      <c r="R1651" s="1">
        <v>4</v>
      </c>
      <c r="T1651" s="1" t="s">
        <v>646</v>
      </c>
      <c r="U1651" s="11" t="s">
        <v>3897</v>
      </c>
      <c r="V1651" s="1" t="s">
        <v>41</v>
      </c>
      <c r="W1651" s="1" t="s">
        <v>49</v>
      </c>
      <c r="X1651" s="13" t="str">
        <f>IF(RIGHT(H1651,2)&lt;&gt;"00",H1651,"")</f>
        <v/>
      </c>
      <c r="Y1651" s="2">
        <f ca="1">NETWORKDAYS(P1651,$Y$1)</f>
        <v>6</v>
      </c>
      <c r="Z1651" s="14">
        <v>1</v>
      </c>
      <c r="AA1651" s="1" t="str">
        <f t="shared" ca="1" si="125"/>
        <v>VENCIDO</v>
      </c>
      <c r="AB1651" s="1" t="str">
        <f t="shared" si="126"/>
        <v>C-14</v>
      </c>
      <c r="AC1651" s="2" t="str">
        <f t="shared" si="127"/>
        <v xml:space="preserve"> CRISTINA </v>
      </c>
      <c r="AD1651" s="2">
        <f t="shared" si="128"/>
        <v>5</v>
      </c>
      <c r="AE1651" s="2">
        <f t="shared" ca="1" si="129"/>
        <v>-6.0038642361105303</v>
      </c>
    </row>
    <row r="1652" spans="1:31" hidden="1">
      <c r="A1652" s="1">
        <v>9501080</v>
      </c>
      <c r="B1652" s="1" t="s">
        <v>1153</v>
      </c>
      <c r="C1652" t="s">
        <v>3898</v>
      </c>
      <c r="D1652" s="2">
        <v>20232239000012</v>
      </c>
      <c r="E1652" s="2">
        <v>7417211830539</v>
      </c>
      <c r="F1652" s="1" t="s">
        <v>1936</v>
      </c>
      <c r="G1652" s="1" t="s">
        <v>53</v>
      </c>
      <c r="H1652" s="1" t="s">
        <v>2838</v>
      </c>
      <c r="I1652" s="1" t="s">
        <v>2839</v>
      </c>
      <c r="J1652" s="1" t="s">
        <v>261</v>
      </c>
      <c r="K1652" t="s">
        <v>1939</v>
      </c>
      <c r="M1652" s="1" t="s">
        <v>58</v>
      </c>
      <c r="N1652" s="1">
        <v>0</v>
      </c>
      <c r="O1652" s="1" t="s">
        <v>105</v>
      </c>
      <c r="P1652" s="11" t="s">
        <v>3899</v>
      </c>
      <c r="R1652" s="1">
        <v>14</v>
      </c>
      <c r="T1652" s="1" t="s">
        <v>238</v>
      </c>
      <c r="U1652" s="11" t="s">
        <v>3899</v>
      </c>
      <c r="V1652" s="1" t="s">
        <v>41</v>
      </c>
      <c r="W1652" s="1" t="s">
        <v>49</v>
      </c>
      <c r="X1652" s="13" t="str">
        <f>IF(RIGHT(H1652,2)&lt;&gt;"00",H1652,"")</f>
        <v>2239.91</v>
      </c>
      <c r="Y1652" s="2">
        <f ca="1">NETWORKDAYS(P1652,$Y$1)</f>
        <v>6</v>
      </c>
      <c r="Z1652" s="14">
        <v>1</v>
      </c>
      <c r="AA1652" s="1" t="str">
        <f t="shared" ca="1" si="125"/>
        <v>VENCIDO</v>
      </c>
      <c r="AB1652" s="1" t="str">
        <f t="shared" si="126"/>
        <v>TAAe+</v>
      </c>
      <c r="AC1652" s="2" t="str">
        <f t="shared" si="127"/>
        <v xml:space="preserve"> CRISTINA </v>
      </c>
      <c r="AD1652" s="2">
        <f t="shared" si="128"/>
        <v>8</v>
      </c>
      <c r="AE1652" s="2">
        <f t="shared" ca="1" si="129"/>
        <v>-7.1177068287070142</v>
      </c>
    </row>
    <row r="1653" spans="1:31" hidden="1">
      <c r="A1653" s="1">
        <v>9500965</v>
      </c>
      <c r="B1653" s="1" t="s">
        <v>1153</v>
      </c>
      <c r="C1653" t="s">
        <v>3900</v>
      </c>
      <c r="D1653" s="2">
        <v>20234844000524</v>
      </c>
      <c r="E1653" s="2">
        <v>7417183020642</v>
      </c>
      <c r="F1653" s="1" t="s">
        <v>1313</v>
      </c>
      <c r="G1653" s="1" t="s">
        <v>53</v>
      </c>
      <c r="H1653" s="1" t="s">
        <v>2444</v>
      </c>
      <c r="I1653" s="1" t="s">
        <v>2445</v>
      </c>
      <c r="J1653" s="1" t="s">
        <v>46</v>
      </c>
      <c r="K1653" t="s">
        <v>1316</v>
      </c>
      <c r="M1653" s="1" t="s">
        <v>58</v>
      </c>
      <c r="N1653" s="1">
        <v>0</v>
      </c>
      <c r="O1653" s="1" t="s">
        <v>105</v>
      </c>
      <c r="P1653" s="11" t="s">
        <v>3901</v>
      </c>
      <c r="R1653" s="1">
        <v>13</v>
      </c>
      <c r="T1653" s="1" t="s">
        <v>238</v>
      </c>
      <c r="U1653" s="11" t="s">
        <v>3901</v>
      </c>
      <c r="V1653" s="1" t="s">
        <v>41</v>
      </c>
      <c r="W1653" s="1" t="s">
        <v>49</v>
      </c>
      <c r="X1653" s="13" t="str">
        <f>IF(RIGHT(H1653,2)&lt;&gt;"00",H1653,"")</f>
        <v>4844.80</v>
      </c>
      <c r="Y1653" s="2">
        <f ca="1">NETWORKDAYS(P1653,$Y$1)</f>
        <v>6</v>
      </c>
      <c r="Z1653" s="14">
        <v>1</v>
      </c>
      <c r="AA1653" s="1" t="str">
        <f t="shared" ca="1" si="125"/>
        <v>VENCIDO</v>
      </c>
      <c r="AB1653" s="1" t="str">
        <f t="shared" si="126"/>
        <v>TAAe+</v>
      </c>
      <c r="AC1653" s="2" t="str">
        <f t="shared" si="127"/>
        <v xml:space="preserve"> CLEITON </v>
      </c>
      <c r="AD1653" s="2">
        <f t="shared" si="128"/>
        <v>8</v>
      </c>
      <c r="AE1653" s="2">
        <f t="shared" ca="1" si="129"/>
        <v>-7.1290609953721287</v>
      </c>
    </row>
    <row r="1654" spans="1:31" hidden="1">
      <c r="A1654" s="1">
        <v>9500961</v>
      </c>
      <c r="B1654" s="1" t="s">
        <v>1153</v>
      </c>
      <c r="C1654" t="s">
        <v>3902</v>
      </c>
      <c r="D1654" s="2">
        <v>20231185000019</v>
      </c>
      <c r="E1654" s="2">
        <v>7417202021214</v>
      </c>
      <c r="F1654" s="1" t="s">
        <v>1213</v>
      </c>
      <c r="G1654" s="1" t="s">
        <v>53</v>
      </c>
      <c r="H1654" s="1" t="s">
        <v>2500</v>
      </c>
      <c r="I1654" s="1" t="s">
        <v>2501</v>
      </c>
      <c r="J1654" s="1" t="s">
        <v>33</v>
      </c>
      <c r="K1654" t="s">
        <v>1214</v>
      </c>
      <c r="M1654" s="1" t="s">
        <v>58</v>
      </c>
      <c r="N1654" s="1">
        <v>0</v>
      </c>
      <c r="O1654" s="1" t="s">
        <v>105</v>
      </c>
      <c r="P1654" s="11" t="s">
        <v>3903</v>
      </c>
      <c r="R1654" s="1">
        <v>14</v>
      </c>
      <c r="T1654" s="1" t="s">
        <v>238</v>
      </c>
      <c r="U1654" s="11" t="s">
        <v>3903</v>
      </c>
      <c r="V1654" s="1" t="s">
        <v>41</v>
      </c>
      <c r="W1654" s="1" t="s">
        <v>42</v>
      </c>
      <c r="X1654" s="13" t="str">
        <f>IF(RIGHT(H1654,2)&lt;&gt;"00",H1654,"")</f>
        <v>1185.91</v>
      </c>
      <c r="Y1654" s="2">
        <f ca="1">NETWORKDAYS(P1654,$Y$1)</f>
        <v>6</v>
      </c>
      <c r="Z1654" s="14">
        <v>1</v>
      </c>
      <c r="AA1654" s="1" t="str">
        <f t="shared" ca="1" si="125"/>
        <v>VENCIDO</v>
      </c>
      <c r="AB1654" s="1" t="str">
        <f t="shared" si="126"/>
        <v>TAAe+</v>
      </c>
      <c r="AC1654" s="2" t="str">
        <f t="shared" si="127"/>
        <v xml:space="preserve"> ROSEMERE </v>
      </c>
      <c r="AD1654" s="2">
        <f t="shared" si="128"/>
        <v>8</v>
      </c>
      <c r="AE1654" s="2">
        <f t="shared" ca="1" si="129"/>
        <v>-7.1335748842611792</v>
      </c>
    </row>
    <row r="1655" spans="1:31" hidden="1">
      <c r="A1655" s="1">
        <v>9500960</v>
      </c>
      <c r="B1655" s="1" t="s">
        <v>1153</v>
      </c>
      <c r="C1655" t="s">
        <v>3902</v>
      </c>
      <c r="D1655" s="2">
        <v>20231185000018</v>
      </c>
      <c r="E1655" s="2">
        <v>7417202021213</v>
      </c>
      <c r="F1655" s="1" t="s">
        <v>1213</v>
      </c>
      <c r="G1655" s="1" t="s">
        <v>53</v>
      </c>
      <c r="H1655" s="1" t="s">
        <v>2500</v>
      </c>
      <c r="I1655" s="1" t="s">
        <v>2501</v>
      </c>
      <c r="J1655" s="1" t="s">
        <v>33</v>
      </c>
      <c r="K1655" t="s">
        <v>1214</v>
      </c>
      <c r="M1655" s="1" t="s">
        <v>58</v>
      </c>
      <c r="N1655" s="1">
        <v>0</v>
      </c>
      <c r="O1655" s="1" t="s">
        <v>105</v>
      </c>
      <c r="P1655" s="11" t="s">
        <v>3904</v>
      </c>
      <c r="R1655" s="1">
        <v>14</v>
      </c>
      <c r="T1655" s="1" t="s">
        <v>238</v>
      </c>
      <c r="U1655" s="11" t="s">
        <v>3904</v>
      </c>
      <c r="V1655" s="1" t="s">
        <v>41</v>
      </c>
      <c r="W1655" s="1" t="s">
        <v>42</v>
      </c>
      <c r="X1655" s="13" t="str">
        <f>IF(RIGHT(H1655,2)&lt;&gt;"00",H1655,"")</f>
        <v>1185.91</v>
      </c>
      <c r="Y1655" s="2">
        <f ca="1">NETWORKDAYS(P1655,$Y$1)</f>
        <v>6</v>
      </c>
      <c r="Z1655" s="14">
        <v>1</v>
      </c>
      <c r="AA1655" s="1" t="str">
        <f t="shared" ca="1" si="125"/>
        <v>VENCIDO</v>
      </c>
      <c r="AB1655" s="1" t="str">
        <f t="shared" si="126"/>
        <v>TAAe+</v>
      </c>
      <c r="AC1655" s="2" t="str">
        <f t="shared" si="127"/>
        <v xml:space="preserve"> ROSEMERE </v>
      </c>
      <c r="AD1655" s="2">
        <f t="shared" si="128"/>
        <v>8</v>
      </c>
      <c r="AE1655" s="2">
        <f t="shared" ca="1" si="129"/>
        <v>-7.1339105324077536</v>
      </c>
    </row>
    <row r="1656" spans="1:31" hidden="1">
      <c r="A1656" s="1">
        <v>9500893</v>
      </c>
      <c r="B1656" s="1" t="s">
        <v>1153</v>
      </c>
      <c r="C1656" t="s">
        <v>3905</v>
      </c>
      <c r="D1656" s="2">
        <v>20234844000523</v>
      </c>
      <c r="E1656" s="2">
        <v>7419141893533</v>
      </c>
      <c r="F1656" s="1" t="s">
        <v>128</v>
      </c>
      <c r="G1656" s="1" t="s">
        <v>53</v>
      </c>
      <c r="H1656" s="1" t="s">
        <v>2087</v>
      </c>
      <c r="I1656" s="1" t="s">
        <v>2088</v>
      </c>
      <c r="J1656" s="1" t="s">
        <v>46</v>
      </c>
      <c r="K1656" t="s">
        <v>129</v>
      </c>
      <c r="M1656" s="1" t="s">
        <v>58</v>
      </c>
      <c r="N1656" s="1">
        <v>0</v>
      </c>
      <c r="O1656" s="1" t="s">
        <v>105</v>
      </c>
      <c r="P1656" s="11" t="s">
        <v>3906</v>
      </c>
      <c r="R1656" s="1">
        <v>13</v>
      </c>
      <c r="T1656" s="1" t="s">
        <v>238</v>
      </c>
      <c r="U1656" s="11" t="s">
        <v>3906</v>
      </c>
      <c r="V1656" s="1" t="s">
        <v>41</v>
      </c>
      <c r="W1656" s="1" t="s">
        <v>49</v>
      </c>
      <c r="X1656" s="13" t="str">
        <f>IF(RIGHT(H1656,2)&lt;&gt;"00",H1656,"")</f>
        <v>4844.13</v>
      </c>
      <c r="Y1656" s="2">
        <f ca="1">NETWORKDAYS(P1656,$Y$1)</f>
        <v>6</v>
      </c>
      <c r="Z1656" s="14">
        <v>1</v>
      </c>
      <c r="AA1656" s="1" t="str">
        <f t="shared" ca="1" si="125"/>
        <v>VENCIDO</v>
      </c>
      <c r="AB1656" s="1" t="str">
        <f t="shared" si="126"/>
        <v>TAAe+</v>
      </c>
      <c r="AC1656" s="2" t="str">
        <f t="shared" si="127"/>
        <v xml:space="preserve"> CLEITON </v>
      </c>
      <c r="AD1656" s="2">
        <f t="shared" si="128"/>
        <v>8</v>
      </c>
      <c r="AE1656" s="2">
        <f t="shared" ca="1" si="129"/>
        <v>-7.141850347223226</v>
      </c>
    </row>
    <row r="1657" spans="1:31" hidden="1">
      <c r="A1657" s="1">
        <v>9500750</v>
      </c>
      <c r="B1657" s="1" t="s">
        <v>1153</v>
      </c>
      <c r="C1657" t="s">
        <v>3907</v>
      </c>
      <c r="D1657" s="2">
        <v>20234844000522</v>
      </c>
      <c r="E1657" s="2">
        <v>7419141892253</v>
      </c>
      <c r="F1657" s="1" t="s">
        <v>128</v>
      </c>
      <c r="G1657" s="1" t="s">
        <v>53</v>
      </c>
      <c r="H1657" s="1" t="s">
        <v>2059</v>
      </c>
      <c r="I1657" s="1" t="s">
        <v>2060</v>
      </c>
      <c r="J1657" s="1" t="s">
        <v>46</v>
      </c>
      <c r="K1657" t="s">
        <v>129</v>
      </c>
      <c r="M1657" s="1" t="s">
        <v>58</v>
      </c>
      <c r="N1657" s="1">
        <v>0</v>
      </c>
      <c r="O1657" s="1" t="s">
        <v>105</v>
      </c>
      <c r="P1657" s="11" t="s">
        <v>3908</v>
      </c>
      <c r="R1657" s="1">
        <v>13</v>
      </c>
      <c r="T1657" s="1" t="s">
        <v>238</v>
      </c>
      <c r="U1657" s="11" t="s">
        <v>3908</v>
      </c>
      <c r="V1657" s="1" t="s">
        <v>41</v>
      </c>
      <c r="W1657" s="1" t="s">
        <v>49</v>
      </c>
      <c r="X1657" s="13" t="str">
        <f>IF(RIGHT(H1657,2)&lt;&gt;"00",H1657,"")</f>
        <v>4844.35</v>
      </c>
      <c r="Y1657" s="2">
        <f ca="1">NETWORKDAYS(P1657,$Y$1)</f>
        <v>6</v>
      </c>
      <c r="Z1657" s="14">
        <v>1</v>
      </c>
      <c r="AA1657" s="1" t="str">
        <f t="shared" ca="1" si="125"/>
        <v>VENCIDO</v>
      </c>
      <c r="AB1657" s="1" t="str">
        <f t="shared" si="126"/>
        <v>TAAe+</v>
      </c>
      <c r="AC1657" s="2" t="str">
        <f t="shared" si="127"/>
        <v xml:space="preserve"> CLEITON </v>
      </c>
      <c r="AD1657" s="2">
        <f t="shared" si="128"/>
        <v>8</v>
      </c>
      <c r="AE1657" s="2">
        <f t="shared" ca="1" si="129"/>
        <v>-7.1637832175911171</v>
      </c>
    </row>
    <row r="1658" spans="1:31" hidden="1">
      <c r="A1658" s="1">
        <v>9500616</v>
      </c>
      <c r="B1658" s="1" t="s">
        <v>1153</v>
      </c>
      <c r="C1658" t="s">
        <v>3909</v>
      </c>
      <c r="D1658" s="2">
        <v>20234844000521</v>
      </c>
      <c r="E1658" s="2">
        <v>7419143322539</v>
      </c>
      <c r="F1658" s="1" t="s">
        <v>1222</v>
      </c>
      <c r="G1658" s="1" t="s">
        <v>53</v>
      </c>
      <c r="H1658" s="1" t="s">
        <v>2357</v>
      </c>
      <c r="I1658" s="1" t="s">
        <v>2358</v>
      </c>
      <c r="J1658" s="1" t="s">
        <v>46</v>
      </c>
      <c r="K1658" t="s">
        <v>1223</v>
      </c>
      <c r="M1658" s="1" t="s">
        <v>58</v>
      </c>
      <c r="N1658" s="1">
        <v>0</v>
      </c>
      <c r="O1658" s="1" t="s">
        <v>105</v>
      </c>
      <c r="P1658" s="11" t="s">
        <v>3910</v>
      </c>
      <c r="R1658" s="1">
        <v>13</v>
      </c>
      <c r="T1658" s="1" t="s">
        <v>238</v>
      </c>
      <c r="U1658" s="11" t="s">
        <v>3910</v>
      </c>
      <c r="V1658" s="1" t="s">
        <v>41</v>
      </c>
      <c r="W1658" s="1" t="s">
        <v>49</v>
      </c>
      <c r="X1658" s="13" t="str">
        <f>IF(RIGHT(H1658,2)&lt;&gt;"00",H1658,"")</f>
        <v>4844.12</v>
      </c>
      <c r="Y1658" s="2">
        <f ca="1">NETWORKDAYS(P1658,$Y$1)</f>
        <v>6</v>
      </c>
      <c r="Z1658" s="14">
        <v>1</v>
      </c>
      <c r="AA1658" s="1" t="str">
        <f t="shared" ca="1" si="125"/>
        <v>VENCIDO</v>
      </c>
      <c r="AB1658" s="1" t="str">
        <f t="shared" si="126"/>
        <v>TAAe+</v>
      </c>
      <c r="AC1658" s="2" t="str">
        <f t="shared" si="127"/>
        <v xml:space="preserve"> CLEITON </v>
      </c>
      <c r="AD1658" s="2">
        <f t="shared" si="128"/>
        <v>8</v>
      </c>
      <c r="AE1658" s="2">
        <f t="shared" ca="1" si="129"/>
        <v>-7.1757045138874673</v>
      </c>
    </row>
    <row r="1659" spans="1:31" hidden="1">
      <c r="A1659" s="1">
        <v>9500615</v>
      </c>
      <c r="B1659" s="1" t="s">
        <v>1153</v>
      </c>
      <c r="C1659" t="s">
        <v>3911</v>
      </c>
      <c r="D1659" s="2">
        <v>20234844000520</v>
      </c>
      <c r="E1659" s="2">
        <v>7417183020656</v>
      </c>
      <c r="F1659" s="1" t="s">
        <v>1313</v>
      </c>
      <c r="G1659" s="1" t="s">
        <v>53</v>
      </c>
      <c r="H1659" s="1" t="s">
        <v>2357</v>
      </c>
      <c r="I1659" s="1" t="s">
        <v>2358</v>
      </c>
      <c r="J1659" s="1" t="s">
        <v>46</v>
      </c>
      <c r="K1659" t="s">
        <v>1316</v>
      </c>
      <c r="M1659" s="1" t="s">
        <v>58</v>
      </c>
      <c r="N1659" s="1">
        <v>0</v>
      </c>
      <c r="O1659" s="1" t="s">
        <v>105</v>
      </c>
      <c r="P1659" s="11" t="s">
        <v>3912</v>
      </c>
      <c r="R1659" s="1">
        <v>13</v>
      </c>
      <c r="T1659" s="1" t="s">
        <v>238</v>
      </c>
      <c r="U1659" s="11" t="s">
        <v>3912</v>
      </c>
      <c r="V1659" s="1" t="s">
        <v>41</v>
      </c>
      <c r="W1659" s="1" t="s">
        <v>49</v>
      </c>
      <c r="X1659" s="13" t="str">
        <f>IF(RIGHT(H1659,2)&lt;&gt;"00",H1659,"")</f>
        <v>4844.12</v>
      </c>
      <c r="Y1659" s="2">
        <f ca="1">NETWORKDAYS(P1659,$Y$1)</f>
        <v>6</v>
      </c>
      <c r="Z1659" s="14">
        <v>1</v>
      </c>
      <c r="AA1659" s="1" t="str">
        <f t="shared" ca="1" si="125"/>
        <v>VENCIDO</v>
      </c>
      <c r="AB1659" s="1" t="str">
        <f t="shared" si="126"/>
        <v>TAAe+</v>
      </c>
      <c r="AC1659" s="2" t="str">
        <f t="shared" si="127"/>
        <v xml:space="preserve"> CLEITON </v>
      </c>
      <c r="AD1659" s="2">
        <f t="shared" si="128"/>
        <v>8</v>
      </c>
      <c r="AE1659" s="2">
        <f t="shared" ca="1" si="129"/>
        <v>-7.1786906249981257</v>
      </c>
    </row>
    <row r="1660" spans="1:31" hidden="1">
      <c r="A1660" s="1">
        <v>9500613</v>
      </c>
      <c r="B1660" s="1" t="s">
        <v>1153</v>
      </c>
      <c r="C1660" t="s">
        <v>3913</v>
      </c>
      <c r="D1660" s="2">
        <v>20234844000519</v>
      </c>
      <c r="E1660" s="2">
        <v>7417183020650</v>
      </c>
      <c r="F1660" s="1" t="s">
        <v>1313</v>
      </c>
      <c r="G1660" s="1" t="s">
        <v>53</v>
      </c>
      <c r="H1660" s="1" t="s">
        <v>2357</v>
      </c>
      <c r="I1660" s="1" t="s">
        <v>2358</v>
      </c>
      <c r="J1660" s="1" t="s">
        <v>46</v>
      </c>
      <c r="K1660" t="s">
        <v>1316</v>
      </c>
      <c r="M1660" s="1" t="s">
        <v>58</v>
      </c>
      <c r="N1660" s="1">
        <v>0</v>
      </c>
      <c r="O1660" s="1" t="s">
        <v>105</v>
      </c>
      <c r="P1660" s="11" t="s">
        <v>3914</v>
      </c>
      <c r="R1660" s="1">
        <v>13</v>
      </c>
      <c r="T1660" s="1" t="s">
        <v>238</v>
      </c>
      <c r="U1660" s="11" t="s">
        <v>3914</v>
      </c>
      <c r="V1660" s="1" t="s">
        <v>41</v>
      </c>
      <c r="W1660" s="1" t="s">
        <v>49</v>
      </c>
      <c r="X1660" s="13" t="str">
        <f>IF(RIGHT(H1660,2)&lt;&gt;"00",H1660,"")</f>
        <v>4844.12</v>
      </c>
      <c r="Y1660" s="2">
        <f ca="1">NETWORKDAYS(P1660,$Y$1)</f>
        <v>6</v>
      </c>
      <c r="Z1660" s="14">
        <v>1</v>
      </c>
      <c r="AA1660" s="1" t="str">
        <f t="shared" ref="AA1660:AA1677" ca="1" si="130">IF(AE1660=0,"HOJE",IF(AE1660&gt;0,"A VENCER",IF(AE1660&lt;0,"VENCIDO")))</f>
        <v>VENCIDO</v>
      </c>
      <c r="AB1660" s="1" t="str">
        <f t="shared" ref="AB1660:AB1677" si="131">IF(F1660="GRPE-000001","C-14",IF(F1660="GRPE-000002","C-14",IF(F1660="GRPE-000003","C-14",IF(F1660="GRPE-000004","SL-On",IF(F1660="GRPE-000038","C-14",IF(F1660="GRPE-900022","Dosa",IF(F1660="GRPE-000029","Dosa",IF(F1660="ATOS-000222","Dose","TAAe+"))))))))</f>
        <v>TAAe+</v>
      </c>
      <c r="AC1660" s="2" t="str">
        <f t="shared" ref="AC1660:AC1677" si="132">IF(J1660="TR-PETROLINA"," ROSEMERE ",IF(J1660="TR-GARANHUNS"," ROSEMERE ",IF(J1660="TR-CARUARU"," ROSEMERE ",IF(J1660="TR-RIBEIRAO"," CRISTINA ",IF(J1660="TR-GRAVATA"," CRISTINA ",IF(J1660="TR-GOIANA"," CRISTINA ",IF(J1660="TR-LIMOEIRO"," CRISTINA ",IF(J1660="TR-SERRA TALHADA"," RINALDO ",IF(J1660="TR-SALGUEIRO"," RINALDO ",IF(J1660="TR-CARNAIBA"," RINALDO ",IF(J1660="TR-ARCOVERDE"," RINALDO ",IF(J1660="CAT-RECIFE"," CLEITON ",))))))))))))</f>
        <v xml:space="preserve"> CLEITON </v>
      </c>
      <c r="AD1660" s="2">
        <f t="shared" ref="AD1660:AD1677" si="133">IF(F1660="GRPE-000001",5,IF(F1660="GRPE-000002",5,IF(F1660="GRPE-000003",15,IF(F1660="GRPE-000004",1,IF(F1660="GRPE-000038",5,IF(F1660="GRPE-900022",5,IF(F1660="GRPE-000029",5,IF(F1660="ATOS-000222",5,8))))))))</f>
        <v>8</v>
      </c>
      <c r="AE1660" s="2">
        <f t="shared" ref="AE1660:AE1677" ca="1" si="134">IF(U1660=$AE$1,"",U1660-$AE$1)</f>
        <v>-7.1793040509292041</v>
      </c>
    </row>
    <row r="1661" spans="1:31" hidden="1">
      <c r="A1661" s="1">
        <v>9500595</v>
      </c>
      <c r="B1661" s="1" t="s">
        <v>1153</v>
      </c>
      <c r="C1661" t="s">
        <v>3915</v>
      </c>
      <c r="D1661" s="2">
        <v>20231153000016</v>
      </c>
      <c r="E1661" s="2">
        <v>7417181200183</v>
      </c>
      <c r="F1661" s="1" t="s">
        <v>3916</v>
      </c>
      <c r="G1661" s="1" t="s">
        <v>53</v>
      </c>
      <c r="H1661" s="1" t="s">
        <v>1031</v>
      </c>
      <c r="I1661" s="1" t="s">
        <v>1032</v>
      </c>
      <c r="J1661" s="1" t="s">
        <v>79</v>
      </c>
      <c r="K1661" t="s">
        <v>3917</v>
      </c>
      <c r="M1661" s="1" t="s">
        <v>58</v>
      </c>
      <c r="N1661" s="1">
        <v>0</v>
      </c>
      <c r="O1661" s="1" t="s">
        <v>105</v>
      </c>
      <c r="P1661" s="11" t="s">
        <v>3918</v>
      </c>
      <c r="R1661" s="1">
        <v>22</v>
      </c>
      <c r="T1661" s="1" t="s">
        <v>1160</v>
      </c>
      <c r="U1661" s="11" t="s">
        <v>3919</v>
      </c>
      <c r="V1661" s="1" t="s">
        <v>41</v>
      </c>
      <c r="W1661" s="1" t="s">
        <v>49</v>
      </c>
      <c r="X1661" s="13" t="str">
        <f>IF(RIGHT(H1661,2)&lt;&gt;"00",H1661,"")</f>
        <v/>
      </c>
      <c r="Y1661" s="2">
        <f ca="1">NETWORKDAYS(P1661,$Y$1)</f>
        <v>6</v>
      </c>
      <c r="Z1661" s="14">
        <v>1</v>
      </c>
      <c r="AA1661" s="1" t="str">
        <f t="shared" ca="1" si="130"/>
        <v>VENCIDO</v>
      </c>
      <c r="AB1661" s="1" t="str">
        <f t="shared" si="131"/>
        <v>TAAe+</v>
      </c>
      <c r="AC1661" s="2" t="str">
        <f t="shared" si="132"/>
        <v xml:space="preserve"> ROSEMERE </v>
      </c>
      <c r="AD1661" s="2">
        <f t="shared" si="133"/>
        <v>8</v>
      </c>
      <c r="AE1661" s="2">
        <f t="shared" ca="1" si="134"/>
        <v>-4.9680771990751964</v>
      </c>
    </row>
    <row r="1662" spans="1:31" hidden="1">
      <c r="A1662" s="1">
        <v>9500594</v>
      </c>
      <c r="B1662" s="1" t="s">
        <v>1153</v>
      </c>
      <c r="C1662" t="s">
        <v>3920</v>
      </c>
      <c r="D1662" s="2">
        <v>20234923000073</v>
      </c>
      <c r="E1662" s="2">
        <v>7417183020101</v>
      </c>
      <c r="F1662" s="1" t="s">
        <v>1313</v>
      </c>
      <c r="G1662" s="1" t="s">
        <v>53</v>
      </c>
      <c r="H1662" s="1" t="s">
        <v>1966</v>
      </c>
      <c r="I1662" s="1" t="s">
        <v>1967</v>
      </c>
      <c r="J1662" s="1" t="s">
        <v>46</v>
      </c>
      <c r="K1662" t="s">
        <v>1316</v>
      </c>
      <c r="M1662" s="1" t="s">
        <v>58</v>
      </c>
      <c r="N1662" s="1">
        <v>0</v>
      </c>
      <c r="O1662" s="1" t="s">
        <v>105</v>
      </c>
      <c r="P1662" s="11" t="s">
        <v>3921</v>
      </c>
      <c r="R1662" s="1">
        <v>13</v>
      </c>
      <c r="T1662" s="1" t="s">
        <v>238</v>
      </c>
      <c r="U1662" s="11" t="s">
        <v>3921</v>
      </c>
      <c r="V1662" s="1" t="s">
        <v>41</v>
      </c>
      <c r="W1662" s="1" t="s">
        <v>49</v>
      </c>
      <c r="X1662" s="13" t="str">
        <f>IF(RIGHT(H1662,2)&lt;&gt;"00",H1662,"")</f>
        <v>4923.01</v>
      </c>
      <c r="Y1662" s="2">
        <f ca="1">NETWORKDAYS(P1662,$Y$1)</f>
        <v>6</v>
      </c>
      <c r="Z1662" s="14">
        <v>1</v>
      </c>
      <c r="AA1662" s="1" t="str">
        <f t="shared" ca="1" si="130"/>
        <v>VENCIDO</v>
      </c>
      <c r="AB1662" s="1" t="str">
        <f t="shared" si="131"/>
        <v>TAAe+</v>
      </c>
      <c r="AC1662" s="2" t="str">
        <f t="shared" si="132"/>
        <v xml:space="preserve"> CLEITON </v>
      </c>
      <c r="AD1662" s="2">
        <f t="shared" si="133"/>
        <v>8</v>
      </c>
      <c r="AE1662" s="2">
        <f t="shared" ca="1" si="134"/>
        <v>-7.1850795138889225</v>
      </c>
    </row>
    <row r="1663" spans="1:31" hidden="1">
      <c r="A1663" s="1">
        <v>9500593</v>
      </c>
      <c r="B1663" s="1" t="s">
        <v>1153</v>
      </c>
      <c r="C1663" t="s">
        <v>2863</v>
      </c>
      <c r="D1663" s="2">
        <v>20234923000072</v>
      </c>
      <c r="E1663" s="2">
        <v>7419152172804</v>
      </c>
      <c r="F1663" s="1" t="s">
        <v>52</v>
      </c>
      <c r="G1663" s="1" t="s">
        <v>53</v>
      </c>
      <c r="H1663" s="1" t="s">
        <v>1966</v>
      </c>
      <c r="I1663" s="1" t="s">
        <v>1967</v>
      </c>
      <c r="J1663" s="1" t="s">
        <v>46</v>
      </c>
      <c r="K1663" t="s">
        <v>57</v>
      </c>
      <c r="M1663" s="1" t="s">
        <v>58</v>
      </c>
      <c r="N1663" s="1">
        <v>0</v>
      </c>
      <c r="O1663" s="1" t="s">
        <v>105</v>
      </c>
      <c r="P1663" s="11" t="s">
        <v>3922</v>
      </c>
      <c r="R1663" s="1">
        <v>8</v>
      </c>
      <c r="T1663" s="1" t="s">
        <v>238</v>
      </c>
      <c r="U1663" s="11" t="s">
        <v>3923</v>
      </c>
      <c r="V1663" s="1" t="s">
        <v>41</v>
      </c>
      <c r="W1663" s="1" t="s">
        <v>49</v>
      </c>
      <c r="X1663" s="13" t="str">
        <f>IF(RIGHT(H1663,2)&lt;&gt;"00",H1663,"")</f>
        <v>4923.01</v>
      </c>
      <c r="Y1663" s="2">
        <f ca="1">NETWORKDAYS(P1663,$Y$1)</f>
        <v>6</v>
      </c>
      <c r="Z1663" s="14">
        <v>1</v>
      </c>
      <c r="AA1663" s="1" t="str">
        <f t="shared" ca="1" si="130"/>
        <v>VENCIDO</v>
      </c>
      <c r="AB1663" s="1" t="str">
        <f t="shared" si="131"/>
        <v>TAAe+</v>
      </c>
      <c r="AC1663" s="2" t="str">
        <f t="shared" si="132"/>
        <v xml:space="preserve"> CLEITON </v>
      </c>
      <c r="AD1663" s="2">
        <f t="shared" si="133"/>
        <v>8</v>
      </c>
      <c r="AE1663" s="2">
        <f t="shared" ca="1" si="134"/>
        <v>-6.1515262731481926</v>
      </c>
    </row>
    <row r="1664" spans="1:31" hidden="1">
      <c r="A1664" s="1">
        <v>9500528</v>
      </c>
      <c r="B1664" s="1" t="s">
        <v>1153</v>
      </c>
      <c r="C1664" t="s">
        <v>3924</v>
      </c>
      <c r="D1664" s="2">
        <v>20231058000006</v>
      </c>
      <c r="E1664" s="2">
        <v>7417172792231</v>
      </c>
      <c r="F1664" s="1" t="s">
        <v>1989</v>
      </c>
      <c r="G1664" s="1" t="s">
        <v>53</v>
      </c>
      <c r="H1664" s="1" t="s">
        <v>289</v>
      </c>
      <c r="I1664" s="1" t="s">
        <v>290</v>
      </c>
      <c r="J1664" s="1" t="s">
        <v>56</v>
      </c>
      <c r="K1664" t="s">
        <v>1990</v>
      </c>
      <c r="M1664" s="1" t="s">
        <v>58</v>
      </c>
      <c r="N1664" s="1">
        <v>0</v>
      </c>
      <c r="O1664" s="1" t="s">
        <v>105</v>
      </c>
      <c r="P1664" s="11" t="s">
        <v>3925</v>
      </c>
      <c r="R1664" s="1">
        <v>22</v>
      </c>
      <c r="T1664" s="1" t="s">
        <v>1160</v>
      </c>
      <c r="U1664" s="11" t="s">
        <v>3926</v>
      </c>
      <c r="V1664" s="1" t="s">
        <v>41</v>
      </c>
      <c r="W1664" s="1" t="s">
        <v>49</v>
      </c>
      <c r="X1664" s="13" t="str">
        <f>IF(RIGHT(H1664,2)&lt;&gt;"00",H1664,"")</f>
        <v/>
      </c>
      <c r="Y1664" s="2">
        <f ca="1">NETWORKDAYS(P1664,$Y$1)</f>
        <v>6</v>
      </c>
      <c r="Z1664" s="14">
        <v>1</v>
      </c>
      <c r="AA1664" s="1" t="str">
        <f t="shared" ca="1" si="130"/>
        <v>VENCIDO</v>
      </c>
      <c r="AB1664" s="1" t="str">
        <f t="shared" si="131"/>
        <v>TAAe+</v>
      </c>
      <c r="AC1664" s="2" t="str">
        <f t="shared" si="132"/>
        <v xml:space="preserve"> CRISTINA </v>
      </c>
      <c r="AD1664" s="2">
        <f t="shared" si="133"/>
        <v>8</v>
      </c>
      <c r="AE1664" s="2">
        <f t="shared" ca="1" si="134"/>
        <v>-4.9877878472252632</v>
      </c>
    </row>
    <row r="1665" spans="1:31" hidden="1">
      <c r="A1665" s="1">
        <v>9500500</v>
      </c>
      <c r="B1665" s="1" t="s">
        <v>1153</v>
      </c>
      <c r="C1665" t="s">
        <v>3927</v>
      </c>
      <c r="D1665" s="2">
        <v>20234844000518</v>
      </c>
      <c r="E1665" s="2">
        <v>7417163281988</v>
      </c>
      <c r="F1665" s="1" t="s">
        <v>131</v>
      </c>
      <c r="G1665" s="1" t="s">
        <v>53</v>
      </c>
      <c r="H1665" s="1" t="s">
        <v>2444</v>
      </c>
      <c r="I1665" s="1" t="s">
        <v>2445</v>
      </c>
      <c r="J1665" s="1" t="s">
        <v>46</v>
      </c>
      <c r="K1665" t="s">
        <v>132</v>
      </c>
      <c r="M1665" s="1" t="s">
        <v>58</v>
      </c>
      <c r="N1665" s="1">
        <v>0</v>
      </c>
      <c r="O1665" s="1" t="s">
        <v>36</v>
      </c>
      <c r="P1665" s="11" t="s">
        <v>3928</v>
      </c>
      <c r="R1665" s="1">
        <v>13</v>
      </c>
      <c r="T1665" s="1" t="s">
        <v>238</v>
      </c>
      <c r="U1665" s="11" t="s">
        <v>3928</v>
      </c>
      <c r="V1665" s="1" t="s">
        <v>41</v>
      </c>
      <c r="W1665" s="1" t="s">
        <v>49</v>
      </c>
      <c r="X1665" s="13" t="str">
        <f>IF(RIGHT(H1665,2)&lt;&gt;"00",H1665,"")</f>
        <v>4844.80</v>
      </c>
      <c r="Y1665" s="2">
        <f ca="1">NETWORKDAYS(P1665,$Y$1)</f>
        <v>6</v>
      </c>
      <c r="Z1665" s="14">
        <v>1</v>
      </c>
      <c r="AA1665" s="1" t="str">
        <f t="shared" ca="1" si="130"/>
        <v>VENCIDO</v>
      </c>
      <c r="AB1665" s="1" t="str">
        <f t="shared" si="131"/>
        <v>TAAe+</v>
      </c>
      <c r="AC1665" s="2" t="str">
        <f t="shared" si="132"/>
        <v xml:space="preserve"> CLEITON </v>
      </c>
      <c r="AD1665" s="2">
        <f t="shared" si="133"/>
        <v>8</v>
      </c>
      <c r="AE1665" s="2">
        <f t="shared" ca="1" si="134"/>
        <v>-7.1927994212965132</v>
      </c>
    </row>
    <row r="1666" spans="1:31" hidden="1">
      <c r="A1666" s="1">
        <v>9500494</v>
      </c>
      <c r="B1666" s="1" t="s">
        <v>1153</v>
      </c>
      <c r="C1666" t="s">
        <v>3929</v>
      </c>
      <c r="D1666" s="2">
        <v>20234844000515</v>
      </c>
      <c r="E1666" s="2">
        <v>7417161480618</v>
      </c>
      <c r="F1666" s="1" t="s">
        <v>1979</v>
      </c>
      <c r="G1666" s="1" t="s">
        <v>53</v>
      </c>
      <c r="H1666" s="1" t="s">
        <v>2444</v>
      </c>
      <c r="I1666" s="1" t="s">
        <v>2445</v>
      </c>
      <c r="J1666" s="1" t="s">
        <v>46</v>
      </c>
      <c r="K1666" t="s">
        <v>1982</v>
      </c>
      <c r="M1666" s="1" t="s">
        <v>58</v>
      </c>
      <c r="N1666" s="1">
        <v>0</v>
      </c>
      <c r="O1666" s="1" t="s">
        <v>105</v>
      </c>
      <c r="P1666" s="11" t="s">
        <v>3930</v>
      </c>
      <c r="R1666" s="1">
        <v>13</v>
      </c>
      <c r="T1666" s="1" t="s">
        <v>238</v>
      </c>
      <c r="U1666" s="11" t="s">
        <v>3930</v>
      </c>
      <c r="V1666" s="1" t="s">
        <v>41</v>
      </c>
      <c r="W1666" s="1" t="s">
        <v>49</v>
      </c>
      <c r="X1666" s="13" t="str">
        <f>IF(RIGHT(H1666,2)&lt;&gt;"00",H1666,"")</f>
        <v>4844.80</v>
      </c>
      <c r="Y1666" s="2">
        <f ca="1">NETWORKDAYS(P1666,$Y$1)</f>
        <v>6</v>
      </c>
      <c r="Z1666" s="14">
        <v>1</v>
      </c>
      <c r="AA1666" s="1" t="str">
        <f t="shared" ca="1" si="130"/>
        <v>VENCIDO</v>
      </c>
      <c r="AB1666" s="1" t="str">
        <f t="shared" si="131"/>
        <v>TAAe+</v>
      </c>
      <c r="AC1666" s="2" t="str">
        <f t="shared" si="132"/>
        <v xml:space="preserve"> CLEITON </v>
      </c>
      <c r="AD1666" s="2">
        <f t="shared" si="133"/>
        <v>8</v>
      </c>
      <c r="AE1666" s="2">
        <f t="shared" ca="1" si="134"/>
        <v>-7.1962484953692183</v>
      </c>
    </row>
    <row r="1667" spans="1:31" hidden="1">
      <c r="A1667" s="1">
        <v>9500489</v>
      </c>
      <c r="B1667" s="1" t="s">
        <v>1153</v>
      </c>
      <c r="C1667" t="s">
        <v>3931</v>
      </c>
      <c r="D1667" s="2">
        <v>20234844000514</v>
      </c>
      <c r="E1667" s="2">
        <v>7417172789799</v>
      </c>
      <c r="F1667" s="1" t="s">
        <v>1989</v>
      </c>
      <c r="G1667" s="1" t="s">
        <v>53</v>
      </c>
      <c r="H1667" s="1" t="s">
        <v>2348</v>
      </c>
      <c r="I1667" s="1" t="s">
        <v>2349</v>
      </c>
      <c r="J1667" s="1" t="s">
        <v>46</v>
      </c>
      <c r="K1667" t="s">
        <v>1990</v>
      </c>
      <c r="M1667" s="1" t="s">
        <v>58</v>
      </c>
      <c r="N1667" s="1">
        <v>0</v>
      </c>
      <c r="O1667" s="1" t="s">
        <v>105</v>
      </c>
      <c r="P1667" s="11" t="s">
        <v>3932</v>
      </c>
      <c r="R1667" s="1">
        <v>22</v>
      </c>
      <c r="T1667" s="1" t="s">
        <v>1160</v>
      </c>
      <c r="U1667" s="11" t="s">
        <v>3933</v>
      </c>
      <c r="V1667" s="1" t="s">
        <v>41</v>
      </c>
      <c r="W1667" s="1" t="s">
        <v>49</v>
      </c>
      <c r="X1667" s="13" t="str">
        <f>IF(RIGHT(H1667,2)&lt;&gt;"00",H1667,"")</f>
        <v>4844.33</v>
      </c>
      <c r="Y1667" s="2">
        <f ca="1">NETWORKDAYS(P1667,$Y$1)</f>
        <v>6</v>
      </c>
      <c r="Z1667" s="14">
        <v>1</v>
      </c>
      <c r="AA1667" s="1" t="str">
        <f t="shared" ca="1" si="130"/>
        <v>VENCIDO</v>
      </c>
      <c r="AB1667" s="1" t="str">
        <f t="shared" si="131"/>
        <v>TAAe+</v>
      </c>
      <c r="AC1667" s="2" t="str">
        <f t="shared" si="132"/>
        <v xml:space="preserve"> CLEITON </v>
      </c>
      <c r="AD1667" s="2">
        <f t="shared" si="133"/>
        <v>8</v>
      </c>
      <c r="AE1667" s="2">
        <f t="shared" ca="1" si="134"/>
        <v>-4.9896049768503872</v>
      </c>
    </row>
    <row r="1668" spans="1:31" hidden="1">
      <c r="A1668" s="1">
        <v>9500180</v>
      </c>
      <c r="B1668" s="1" t="s">
        <v>1153</v>
      </c>
      <c r="C1668" t="s">
        <v>3934</v>
      </c>
      <c r="D1668" s="2">
        <v>20234844000512</v>
      </c>
      <c r="E1668" s="2">
        <v>7417183020666</v>
      </c>
      <c r="F1668" s="1" t="s">
        <v>1313</v>
      </c>
      <c r="G1668" s="1" t="s">
        <v>53</v>
      </c>
      <c r="H1668" s="1" t="s">
        <v>2333</v>
      </c>
      <c r="I1668" s="1" t="s">
        <v>2334</v>
      </c>
      <c r="J1668" s="1" t="s">
        <v>46</v>
      </c>
      <c r="K1668" t="s">
        <v>1316</v>
      </c>
      <c r="M1668" s="1" t="s">
        <v>58</v>
      </c>
      <c r="N1668" s="1">
        <v>0</v>
      </c>
      <c r="O1668" s="1" t="s">
        <v>105</v>
      </c>
      <c r="P1668" s="11" t="s">
        <v>3935</v>
      </c>
      <c r="R1668" s="1">
        <v>13</v>
      </c>
      <c r="T1668" s="1" t="s">
        <v>238</v>
      </c>
      <c r="U1668" s="11" t="s">
        <v>3935</v>
      </c>
      <c r="V1668" s="1" t="s">
        <v>41</v>
      </c>
      <c r="W1668" s="1" t="s">
        <v>49</v>
      </c>
      <c r="X1668" s="13" t="str">
        <f>IF(RIGHT(H1668,2)&lt;&gt;"00",H1668,"")</f>
        <v>4844.25</v>
      </c>
      <c r="Y1668" s="2">
        <f ca="1">NETWORKDAYS(P1668,$Y$1)</f>
        <v>6</v>
      </c>
      <c r="Z1668" s="14">
        <v>1</v>
      </c>
      <c r="AA1668" s="1" t="str">
        <f t="shared" ca="1" si="130"/>
        <v>VENCIDO</v>
      </c>
      <c r="AB1668" s="1" t="str">
        <f t="shared" si="131"/>
        <v>TAAe+</v>
      </c>
      <c r="AC1668" s="2" t="str">
        <f t="shared" si="132"/>
        <v xml:space="preserve"> CLEITON </v>
      </c>
      <c r="AD1668" s="2">
        <f t="shared" si="133"/>
        <v>8</v>
      </c>
      <c r="AE1668" s="2">
        <f t="shared" ca="1" si="134"/>
        <v>-7.2471049768500961</v>
      </c>
    </row>
    <row r="1669" spans="1:31" hidden="1">
      <c r="A1669" s="1">
        <v>9499983</v>
      </c>
      <c r="B1669" s="1" t="s">
        <v>1153</v>
      </c>
      <c r="C1669" t="s">
        <v>3936</v>
      </c>
      <c r="E1669" s="2">
        <v>1012000206001</v>
      </c>
      <c r="F1669" s="1" t="s">
        <v>29</v>
      </c>
      <c r="G1669" s="1" t="s">
        <v>53</v>
      </c>
      <c r="H1669" s="1" t="s">
        <v>172</v>
      </c>
      <c r="I1669" s="1" t="s">
        <v>173</v>
      </c>
      <c r="J1669" s="1" t="s">
        <v>164</v>
      </c>
      <c r="K1669" t="s">
        <v>34</v>
      </c>
      <c r="M1669" s="1" t="s">
        <v>35</v>
      </c>
      <c r="N1669" s="1">
        <v>42318949</v>
      </c>
      <c r="O1669" s="1" t="s">
        <v>36</v>
      </c>
      <c r="P1669" s="11" t="s">
        <v>3937</v>
      </c>
      <c r="R1669" s="1" t="s">
        <v>38</v>
      </c>
      <c r="T1669" s="1" t="s">
        <v>74</v>
      </c>
      <c r="U1669" s="11" t="s">
        <v>3938</v>
      </c>
      <c r="V1669" s="1" t="s">
        <v>41</v>
      </c>
      <c r="W1669" s="1" t="s">
        <v>49</v>
      </c>
      <c r="X1669" s="13" t="str">
        <f>IF(RIGHT(H1669,2)&lt;&gt;"00",H1669,"")</f>
        <v/>
      </c>
      <c r="Y1669" s="2">
        <f ca="1">NETWORKDAYS(P1669,$Y$1)</f>
        <v>6</v>
      </c>
      <c r="Z1669" s="14">
        <v>1</v>
      </c>
      <c r="AA1669" s="1" t="str">
        <f t="shared" ca="1" si="130"/>
        <v>VENCIDO</v>
      </c>
      <c r="AB1669" s="1" t="str">
        <f t="shared" si="131"/>
        <v>Dosa</v>
      </c>
      <c r="AC1669" s="2" t="str">
        <f t="shared" si="132"/>
        <v xml:space="preserve"> ROSEMERE </v>
      </c>
      <c r="AD1669" s="2">
        <f t="shared" si="133"/>
        <v>5</v>
      </c>
      <c r="AE1669" s="2">
        <f t="shared" ca="1" si="134"/>
        <v>-6.9366651620366611</v>
      </c>
    </row>
    <row r="1670" spans="1:31">
      <c r="A1670" s="1">
        <v>9499955</v>
      </c>
      <c r="B1670" s="1" t="s">
        <v>1153</v>
      </c>
      <c r="C1670" t="s">
        <v>3939</v>
      </c>
      <c r="E1670" s="2">
        <v>2156000206001</v>
      </c>
      <c r="F1670" s="1" t="s">
        <v>29</v>
      </c>
      <c r="G1670" s="1" t="s">
        <v>53</v>
      </c>
      <c r="H1670" s="1" t="s">
        <v>278</v>
      </c>
      <c r="I1670" s="1" t="s">
        <v>279</v>
      </c>
      <c r="J1670" s="1" t="s">
        <v>211</v>
      </c>
      <c r="K1670" t="s">
        <v>34</v>
      </c>
      <c r="M1670" s="1" t="s">
        <v>35</v>
      </c>
      <c r="N1670" s="1">
        <v>42318949</v>
      </c>
      <c r="O1670" s="1" t="s">
        <v>36</v>
      </c>
      <c r="P1670" s="11" t="s">
        <v>3940</v>
      </c>
      <c r="R1670" s="1" t="s">
        <v>38</v>
      </c>
      <c r="T1670" s="1" t="s">
        <v>74</v>
      </c>
      <c r="U1670" s="11" t="s">
        <v>3941</v>
      </c>
      <c r="V1670" s="1" t="s">
        <v>41</v>
      </c>
      <c r="W1670" s="1" t="s">
        <v>49</v>
      </c>
      <c r="X1670" s="13" t="str">
        <f>IF(RIGHT(H1670,2)&lt;&gt;"00",H1670,"")</f>
        <v/>
      </c>
      <c r="Y1670" s="2">
        <f ca="1">NETWORKDAYS(P1670,$Y$1)</f>
        <v>6</v>
      </c>
      <c r="Z1670" s="14">
        <v>1</v>
      </c>
      <c r="AA1670" s="1" t="str">
        <f t="shared" ca="1" si="130"/>
        <v>VENCIDO</v>
      </c>
      <c r="AB1670" s="1" t="str">
        <f t="shared" si="131"/>
        <v>Dosa</v>
      </c>
      <c r="AC1670" s="2" t="str">
        <f t="shared" si="132"/>
        <v xml:space="preserve"> RINALDO </v>
      </c>
      <c r="AD1670" s="2">
        <f t="shared" si="133"/>
        <v>5</v>
      </c>
      <c r="AE1670" s="2">
        <f t="shared" ca="1" si="134"/>
        <v>-6.9472091435163748</v>
      </c>
    </row>
    <row r="1671" spans="1:31" hidden="1">
      <c r="A1671" s="1">
        <v>9499954</v>
      </c>
      <c r="B1671" s="1" t="s">
        <v>1153</v>
      </c>
      <c r="C1671" t="s">
        <v>3942</v>
      </c>
      <c r="E1671" s="2">
        <v>220000206001</v>
      </c>
      <c r="F1671" s="1" t="s">
        <v>29</v>
      </c>
      <c r="G1671" s="1" t="s">
        <v>53</v>
      </c>
      <c r="H1671" s="1" t="s">
        <v>588</v>
      </c>
      <c r="I1671" s="1" t="s">
        <v>589</v>
      </c>
      <c r="J1671" s="1" t="s">
        <v>110</v>
      </c>
      <c r="K1671" t="s">
        <v>34</v>
      </c>
      <c r="M1671" s="1" t="s">
        <v>35</v>
      </c>
      <c r="N1671" s="1">
        <v>42318949</v>
      </c>
      <c r="O1671" s="1" t="s">
        <v>36</v>
      </c>
      <c r="P1671" s="11" t="s">
        <v>3943</v>
      </c>
      <c r="R1671" s="1" t="s">
        <v>38</v>
      </c>
      <c r="T1671" s="1" t="s">
        <v>74</v>
      </c>
      <c r="U1671" s="11" t="s">
        <v>3944</v>
      </c>
      <c r="V1671" s="1" t="s">
        <v>41</v>
      </c>
      <c r="W1671" s="1" t="s">
        <v>49</v>
      </c>
      <c r="X1671" s="13" t="str">
        <f>IF(RIGHT(H1671,2)&lt;&gt;"00",H1671,"")</f>
        <v/>
      </c>
      <c r="Y1671" s="2">
        <f ca="1">NETWORKDAYS(P1671,$Y$1)</f>
        <v>6</v>
      </c>
      <c r="Z1671" s="14">
        <v>1</v>
      </c>
      <c r="AA1671" s="1" t="str">
        <f t="shared" ca="1" si="130"/>
        <v>VENCIDO</v>
      </c>
      <c r="AB1671" s="1" t="str">
        <f t="shared" si="131"/>
        <v>Dosa</v>
      </c>
      <c r="AC1671" s="2" t="str">
        <f t="shared" si="132"/>
        <v xml:space="preserve"> CRISTINA </v>
      </c>
      <c r="AD1671" s="2">
        <f t="shared" si="133"/>
        <v>5</v>
      </c>
      <c r="AE1671" s="2">
        <f t="shared" ca="1" si="134"/>
        <v>-6.9472670138857211</v>
      </c>
    </row>
    <row r="1672" spans="1:31" hidden="1">
      <c r="A1672" s="1">
        <v>9502742</v>
      </c>
      <c r="B1672" s="1" t="s">
        <v>1153</v>
      </c>
      <c r="C1672" t="s">
        <v>3945</v>
      </c>
      <c r="D1672" s="2">
        <v>20234844000536</v>
      </c>
      <c r="E1672" s="2">
        <v>7417183022041</v>
      </c>
      <c r="F1672" s="1" t="s">
        <v>1313</v>
      </c>
      <c r="G1672" s="1" t="s">
        <v>53</v>
      </c>
      <c r="H1672" s="1" t="s">
        <v>3946</v>
      </c>
      <c r="I1672" s="1" t="s">
        <v>3947</v>
      </c>
      <c r="J1672" s="1" t="s">
        <v>46</v>
      </c>
      <c r="K1672" t="s">
        <v>1316</v>
      </c>
      <c r="M1672" s="1" t="s">
        <v>58</v>
      </c>
      <c r="N1672" s="1">
        <v>0</v>
      </c>
      <c r="O1672" s="1" t="s">
        <v>105</v>
      </c>
      <c r="P1672" s="11" t="s">
        <v>3948</v>
      </c>
      <c r="R1672" s="1">
        <v>13</v>
      </c>
      <c r="T1672" s="1" t="s">
        <v>238</v>
      </c>
      <c r="U1672" s="11" t="s">
        <v>3819</v>
      </c>
      <c r="V1672" s="1" t="s">
        <v>41</v>
      </c>
      <c r="W1672" s="1" t="s">
        <v>49</v>
      </c>
      <c r="X1672" s="13" t="str">
        <f>IF(RIGHT(H1672,2)&lt;&gt;"00",H1672,"")</f>
        <v>4844.82</v>
      </c>
      <c r="Y1672" s="2">
        <f ca="1">NETWORKDAYS(P1672,$Y$1)</f>
        <v>5</v>
      </c>
      <c r="Z1672" s="14">
        <v>1</v>
      </c>
      <c r="AA1672" s="1" t="str">
        <f t="shared" ca="1" si="130"/>
        <v>VENCIDO</v>
      </c>
      <c r="AB1672" s="1" t="str">
        <f t="shared" si="131"/>
        <v>TAAe+</v>
      </c>
      <c r="AC1672" s="2" t="str">
        <f t="shared" si="132"/>
        <v xml:space="preserve"> CLEITON </v>
      </c>
      <c r="AD1672" s="2">
        <f t="shared" si="133"/>
        <v>8</v>
      </c>
      <c r="AE1672" s="2">
        <f t="shared" ca="1" si="134"/>
        <v>-6.2804383101829444</v>
      </c>
    </row>
    <row r="1673" spans="1:31" hidden="1">
      <c r="A1673" s="1">
        <v>9502741</v>
      </c>
      <c r="B1673" s="1" t="s">
        <v>1153</v>
      </c>
      <c r="C1673" t="s">
        <v>3945</v>
      </c>
      <c r="D1673" s="2">
        <v>20234844000535</v>
      </c>
      <c r="E1673" s="2">
        <v>7417183022026</v>
      </c>
      <c r="F1673" s="1" t="s">
        <v>1313</v>
      </c>
      <c r="G1673" s="1" t="s">
        <v>53</v>
      </c>
      <c r="H1673" s="1" t="s">
        <v>3946</v>
      </c>
      <c r="I1673" s="1" t="s">
        <v>3947</v>
      </c>
      <c r="J1673" s="1" t="s">
        <v>46</v>
      </c>
      <c r="K1673" t="s">
        <v>1316</v>
      </c>
      <c r="M1673" s="1" t="s">
        <v>58</v>
      </c>
      <c r="N1673" s="1">
        <v>0</v>
      </c>
      <c r="O1673" s="1" t="s">
        <v>105</v>
      </c>
      <c r="P1673" s="11" t="s">
        <v>3949</v>
      </c>
      <c r="R1673" s="1">
        <v>13</v>
      </c>
      <c r="T1673" s="1" t="s">
        <v>238</v>
      </c>
      <c r="U1673" s="11" t="s">
        <v>3819</v>
      </c>
      <c r="V1673" s="1" t="s">
        <v>41</v>
      </c>
      <c r="W1673" s="1" t="s">
        <v>49</v>
      </c>
      <c r="X1673" s="13" t="str">
        <f>IF(RIGHT(H1673,2)&lt;&gt;"00",H1673,"")</f>
        <v>4844.82</v>
      </c>
      <c r="Y1673" s="2">
        <f ca="1">NETWORKDAYS(P1673,$Y$1)</f>
        <v>5</v>
      </c>
      <c r="Z1673" s="14">
        <v>1</v>
      </c>
      <c r="AA1673" s="1" t="str">
        <f t="shared" ca="1" si="130"/>
        <v>VENCIDO</v>
      </c>
      <c r="AB1673" s="1" t="str">
        <f t="shared" si="131"/>
        <v>TAAe+</v>
      </c>
      <c r="AC1673" s="2" t="str">
        <f t="shared" si="132"/>
        <v xml:space="preserve"> CLEITON </v>
      </c>
      <c r="AD1673" s="2">
        <f t="shared" si="133"/>
        <v>8</v>
      </c>
      <c r="AE1673" s="2">
        <f t="shared" ca="1" si="134"/>
        <v>-6.2804383101829444</v>
      </c>
    </row>
    <row r="1674" spans="1:31" hidden="1">
      <c r="A1674" s="1">
        <v>9502740</v>
      </c>
      <c r="B1674" s="1" t="s">
        <v>1153</v>
      </c>
      <c r="C1674" t="s">
        <v>3945</v>
      </c>
      <c r="D1674" s="2">
        <v>20234844000534</v>
      </c>
      <c r="E1674" s="2">
        <v>7417211830683</v>
      </c>
      <c r="F1674" s="1" t="s">
        <v>1936</v>
      </c>
      <c r="G1674" s="1" t="s">
        <v>53</v>
      </c>
      <c r="H1674" s="1" t="s">
        <v>3946</v>
      </c>
      <c r="I1674" s="1" t="s">
        <v>3947</v>
      </c>
      <c r="J1674" s="1" t="s">
        <v>46</v>
      </c>
      <c r="K1674" t="s">
        <v>1939</v>
      </c>
      <c r="M1674" s="1" t="s">
        <v>58</v>
      </c>
      <c r="N1674" s="1">
        <v>0</v>
      </c>
      <c r="O1674" s="1" t="s">
        <v>105</v>
      </c>
      <c r="P1674" s="11" t="s">
        <v>3950</v>
      </c>
      <c r="R1674" s="1">
        <v>13</v>
      </c>
      <c r="T1674" s="1" t="s">
        <v>238</v>
      </c>
      <c r="U1674" s="11" t="s">
        <v>3819</v>
      </c>
      <c r="V1674" s="1" t="s">
        <v>41</v>
      </c>
      <c r="W1674" s="1" t="s">
        <v>49</v>
      </c>
      <c r="X1674" s="13" t="str">
        <f>IF(RIGHT(H1674,2)&lt;&gt;"00",H1674,"")</f>
        <v>4844.82</v>
      </c>
      <c r="Y1674" s="2">
        <f ca="1">NETWORKDAYS(P1674,$Y$1)</f>
        <v>5</v>
      </c>
      <c r="Z1674" s="14">
        <v>1</v>
      </c>
      <c r="AA1674" s="1" t="str">
        <f t="shared" ca="1" si="130"/>
        <v>VENCIDO</v>
      </c>
      <c r="AB1674" s="1" t="str">
        <f t="shared" si="131"/>
        <v>TAAe+</v>
      </c>
      <c r="AC1674" s="2" t="str">
        <f t="shared" si="132"/>
        <v xml:space="preserve"> CLEITON </v>
      </c>
      <c r="AD1674" s="2">
        <f t="shared" si="133"/>
        <v>8</v>
      </c>
      <c r="AE1674" s="2">
        <f t="shared" ca="1" si="134"/>
        <v>-6.2804383101829444</v>
      </c>
    </row>
    <row r="1675" spans="1:31" hidden="1">
      <c r="A1675" s="1">
        <v>9502739</v>
      </c>
      <c r="B1675" s="1" t="s">
        <v>1153</v>
      </c>
      <c r="C1675" t="s">
        <v>2806</v>
      </c>
      <c r="D1675" s="2">
        <v>20234844000533</v>
      </c>
      <c r="E1675" s="2">
        <v>7417183020641</v>
      </c>
      <c r="F1675" s="1" t="s">
        <v>1313</v>
      </c>
      <c r="G1675" s="1" t="s">
        <v>53</v>
      </c>
      <c r="H1675" s="1" t="s">
        <v>2444</v>
      </c>
      <c r="I1675" s="1" t="s">
        <v>2445</v>
      </c>
      <c r="J1675" s="1" t="s">
        <v>46</v>
      </c>
      <c r="K1675" t="s">
        <v>1316</v>
      </c>
      <c r="M1675" s="1" t="s">
        <v>58</v>
      </c>
      <c r="N1675" s="1">
        <v>0</v>
      </c>
      <c r="O1675" s="1" t="s">
        <v>105</v>
      </c>
      <c r="P1675" s="11" t="s">
        <v>3951</v>
      </c>
      <c r="R1675" s="1">
        <v>13</v>
      </c>
      <c r="T1675" s="1" t="s">
        <v>238</v>
      </c>
      <c r="U1675" s="11" t="s">
        <v>3819</v>
      </c>
      <c r="V1675" s="1" t="s">
        <v>41</v>
      </c>
      <c r="W1675" s="1" t="s">
        <v>49</v>
      </c>
      <c r="X1675" s="13" t="str">
        <f>IF(RIGHT(H1675,2)&lt;&gt;"00",H1675,"")</f>
        <v>4844.80</v>
      </c>
      <c r="Y1675" s="2">
        <f ca="1">NETWORKDAYS(P1675,$Y$1)</f>
        <v>5</v>
      </c>
      <c r="Z1675" s="14">
        <v>1</v>
      </c>
      <c r="AA1675" s="1" t="str">
        <f t="shared" ca="1" si="130"/>
        <v>VENCIDO</v>
      </c>
      <c r="AB1675" s="1" t="str">
        <f t="shared" si="131"/>
        <v>TAAe+</v>
      </c>
      <c r="AC1675" s="2" t="str">
        <f t="shared" si="132"/>
        <v xml:space="preserve"> CLEITON </v>
      </c>
      <c r="AD1675" s="2">
        <f t="shared" si="133"/>
        <v>8</v>
      </c>
      <c r="AE1675" s="2">
        <f t="shared" ca="1" si="134"/>
        <v>-6.2804383101829444</v>
      </c>
    </row>
    <row r="1676" spans="1:31">
      <c r="A1676" s="181">
        <v>9502663</v>
      </c>
      <c r="B1676" s="181" t="s">
        <v>1153</v>
      </c>
      <c r="C1676" s="182" t="s">
        <v>3952</v>
      </c>
      <c r="D1676" s="183"/>
      <c r="E1676" s="183">
        <v>1060000206001</v>
      </c>
      <c r="F1676" s="181" t="s">
        <v>29</v>
      </c>
      <c r="G1676" s="181" t="s">
        <v>53</v>
      </c>
      <c r="H1676" s="181" t="s">
        <v>284</v>
      </c>
      <c r="I1676" s="181" t="s">
        <v>285</v>
      </c>
      <c r="J1676" s="181" t="s">
        <v>148</v>
      </c>
      <c r="K1676" t="s">
        <v>34</v>
      </c>
      <c r="M1676" s="1" t="s">
        <v>35</v>
      </c>
      <c r="N1676" s="1">
        <v>42318949</v>
      </c>
      <c r="O1676" s="1" t="s">
        <v>105</v>
      </c>
      <c r="P1676" s="11" t="s">
        <v>3953</v>
      </c>
      <c r="R1676" s="1" t="s">
        <v>38</v>
      </c>
      <c r="T1676" s="1" t="s">
        <v>74</v>
      </c>
      <c r="U1676" s="11" t="s">
        <v>3954</v>
      </c>
      <c r="V1676" s="1" t="s">
        <v>41</v>
      </c>
      <c r="W1676" s="1" t="s">
        <v>49</v>
      </c>
      <c r="X1676" s="13" t="str">
        <f>IF(RIGHT(H1676,2)&lt;&gt;"00",H1676,"")</f>
        <v/>
      </c>
      <c r="Y1676" s="2">
        <f ca="1">NETWORKDAYS(P1676,$Y$1)</f>
        <v>5</v>
      </c>
      <c r="Z1676" s="14">
        <v>1</v>
      </c>
      <c r="AA1676" s="1" t="str">
        <f t="shared" ca="1" si="130"/>
        <v>VENCIDO</v>
      </c>
      <c r="AB1676" s="1" t="str">
        <f t="shared" si="131"/>
        <v>Dosa</v>
      </c>
      <c r="AC1676" s="2" t="str">
        <f t="shared" si="132"/>
        <v xml:space="preserve"> RINALDO </v>
      </c>
      <c r="AD1676" s="2">
        <f t="shared" si="133"/>
        <v>5</v>
      </c>
      <c r="AE1676" s="2">
        <f t="shared" ca="1" si="134"/>
        <v>-5.2834475694471621</v>
      </c>
    </row>
    <row r="1677" spans="1:31" hidden="1">
      <c r="A1677" s="1">
        <v>9502654</v>
      </c>
      <c r="B1677" s="1" t="s">
        <v>1153</v>
      </c>
      <c r="C1677" t="s">
        <v>3955</v>
      </c>
      <c r="D1677" s="2">
        <v>20234804001850</v>
      </c>
      <c r="E1677" s="2">
        <v>7419141893217</v>
      </c>
      <c r="F1677" s="1" t="s">
        <v>128</v>
      </c>
      <c r="G1677" s="1" t="s">
        <v>53</v>
      </c>
      <c r="H1677" s="1" t="s">
        <v>3956</v>
      </c>
      <c r="I1677" s="1" t="s">
        <v>3957</v>
      </c>
      <c r="J1677" s="1" t="s">
        <v>46</v>
      </c>
      <c r="K1677" t="s">
        <v>129</v>
      </c>
      <c r="M1677" s="1" t="s">
        <v>58</v>
      </c>
      <c r="N1677" s="1">
        <v>0</v>
      </c>
      <c r="O1677" s="1" t="s">
        <v>105</v>
      </c>
      <c r="P1677" s="11" t="s">
        <v>3958</v>
      </c>
      <c r="R1677" s="1">
        <v>12</v>
      </c>
      <c r="S1677" s="1">
        <v>4804</v>
      </c>
      <c r="T1677" s="1" t="s">
        <v>238</v>
      </c>
      <c r="U1677" s="11" t="s">
        <v>3959</v>
      </c>
      <c r="V1677" s="1" t="s">
        <v>41</v>
      </c>
      <c r="W1677" s="1" t="s">
        <v>49</v>
      </c>
      <c r="X1677" s="13" t="str">
        <f>IF(RIGHT(H1677,2)&lt;&gt;"00",H1677,"")</f>
        <v>0325.18</v>
      </c>
      <c r="Y1677" s="2">
        <f ca="1">NETWORKDAYS(P1677,$Y$1)</f>
        <v>5</v>
      </c>
      <c r="Z1677" s="14">
        <v>1</v>
      </c>
      <c r="AA1677" s="1" t="str">
        <f t="shared" ca="1" si="130"/>
        <v>VENCIDO</v>
      </c>
      <c r="AB1677" s="1" t="str">
        <f t="shared" si="131"/>
        <v>TAAe+</v>
      </c>
      <c r="AC1677" s="2" t="str">
        <f t="shared" si="132"/>
        <v xml:space="preserve"> CLEITON </v>
      </c>
      <c r="AD1677" s="2">
        <f t="shared" si="133"/>
        <v>8</v>
      </c>
      <c r="AE1677" s="2">
        <f t="shared" ca="1" si="134"/>
        <v>-6.3429383101829444</v>
      </c>
    </row>
  </sheetData>
  <autoFilter ref="A1:Y1677" xr:uid="{00000000-0009-0000-0000-000009000000}">
    <filterColumn colId="1">
      <filters>
        <filter val="Manutenção Corretiva"/>
      </filters>
    </filterColumn>
    <filterColumn colId="9">
      <filters>
        <filter val="TR-ARCOVERDE"/>
        <filter val="TR-CARNAIBA"/>
        <filter val="TR-SALGUEIRO"/>
        <filter val="TR-SERRA TALHADA"/>
      </filters>
    </filterColumn>
    <sortState xmlns:xlrd2="http://schemas.microsoft.com/office/spreadsheetml/2017/richdata2" ref="A2:Y1677">
      <sortCondition descending="1" ref="Y2:Y1677"/>
    </sortState>
  </autoFilter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3033-3E6C-426F-8A49-BD98BFCEAC1B}">
  <sheetPr filterMode="1"/>
  <dimension ref="A1:AH1625"/>
  <sheetViews>
    <sheetView zoomScale="90" zoomScaleNormal="90" workbookViewId="0">
      <pane xSplit="10" ySplit="1" topLeftCell="T644" activePane="bottomRight" state="frozen"/>
      <selection pane="bottomRight" activeCell="A1480" sqref="A1480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5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 hidden="1">
      <c r="A2" s="1">
        <v>178166</v>
      </c>
      <c r="B2" s="1" t="s">
        <v>27</v>
      </c>
      <c r="C2" t="s">
        <v>28</v>
      </c>
      <c r="E2" s="2">
        <v>9661000000000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t="s">
        <v>34</v>
      </c>
      <c r="M2" s="1" t="s">
        <v>35</v>
      </c>
      <c r="N2" s="1">
        <v>42318949</v>
      </c>
      <c r="O2" s="1" t="s">
        <v>36</v>
      </c>
      <c r="P2" s="11" t="s">
        <v>37</v>
      </c>
      <c r="R2" s="1" t="s">
        <v>38</v>
      </c>
      <c r="T2" s="1" t="s">
        <v>39</v>
      </c>
      <c r="U2" s="11" t="s">
        <v>40</v>
      </c>
      <c r="V2" s="1" t="s">
        <v>41</v>
      </c>
      <c r="W2" s="1" t="s">
        <v>42</v>
      </c>
      <c r="X2" s="13" t="str">
        <f>IF(RIGHT(H2,2)&lt;&gt;"00",H2,"")</f>
        <v/>
      </c>
      <c r="Y2" s="2">
        <f t="shared" ref="Y2:Y65" ca="1" si="0">NETWORKDAYS(P2,$Y$1)</f>
        <v>1061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Dosa</v>
      </c>
      <c r="AC2" s="2" t="str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 xml:space="preserve"> ROSEMERE 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5</v>
      </c>
      <c r="AE2" s="2">
        <f t="shared" ref="AE2:AE65" ca="1" si="4">IF(U2=$AE$1,"",U2-$AE$1)</f>
        <v>-1426.9262716435187</v>
      </c>
      <c r="AF2" s="15"/>
      <c r="AH2" s="16"/>
    </row>
    <row r="3" spans="1:34" hidden="1">
      <c r="A3" s="1">
        <v>524537</v>
      </c>
      <c r="B3" s="1" t="s">
        <v>27</v>
      </c>
      <c r="C3" t="s">
        <v>43</v>
      </c>
      <c r="E3" s="2">
        <v>2811000000000</v>
      </c>
      <c r="F3" s="1" t="s">
        <v>29</v>
      </c>
      <c r="G3" s="1" t="s">
        <v>30</v>
      </c>
      <c r="H3" s="1" t="s">
        <v>44</v>
      </c>
      <c r="I3" s="1" t="s">
        <v>45</v>
      </c>
      <c r="J3" s="1" t="s">
        <v>46</v>
      </c>
      <c r="K3" t="s">
        <v>34</v>
      </c>
      <c r="M3" s="1" t="s">
        <v>35</v>
      </c>
      <c r="N3" s="1">
        <v>42318949</v>
      </c>
      <c r="O3" s="1" t="s">
        <v>36</v>
      </c>
      <c r="P3" s="11" t="s">
        <v>47</v>
      </c>
      <c r="R3" s="1" t="s">
        <v>38</v>
      </c>
      <c r="T3" s="1" t="s">
        <v>39</v>
      </c>
      <c r="U3" s="11" t="s">
        <v>48</v>
      </c>
      <c r="V3" s="1" t="s">
        <v>41</v>
      </c>
      <c r="W3" s="1" t="s">
        <v>49</v>
      </c>
      <c r="X3" s="13" t="str">
        <f t="shared" ref="X3:X66" si="5">IF(RIGHT(H3,2)&lt;&gt;"00",H3,"")</f>
        <v/>
      </c>
      <c r="Y3" s="2">
        <f t="shared" ca="1" si="0"/>
        <v>894</v>
      </c>
      <c r="Z3" s="14">
        <v>1</v>
      </c>
      <c r="AA3" s="1" t="str">
        <f t="shared" ca="1" si="1"/>
        <v>VENCIDO</v>
      </c>
      <c r="AB3" s="1" t="str">
        <f t="shared" si="2"/>
        <v>Dosa</v>
      </c>
      <c r="AC3" s="2" t="str">
        <f t="shared" ref="AC3:AC66" si="6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 xml:space="preserve"> CLEITON </v>
      </c>
      <c r="AD3" s="2">
        <f t="shared" si="3"/>
        <v>5</v>
      </c>
      <c r="AE3" s="2">
        <f t="shared" ca="1" si="4"/>
        <v>-1194.9262716435187</v>
      </c>
      <c r="AF3" s="15"/>
      <c r="AH3" s="17"/>
    </row>
    <row r="4" spans="1:34" hidden="1">
      <c r="A4" s="1">
        <v>526434</v>
      </c>
      <c r="B4" s="1" t="s">
        <v>50</v>
      </c>
      <c r="C4" t="s">
        <v>51</v>
      </c>
      <c r="E4" s="2">
        <v>7419152172059</v>
      </c>
      <c r="F4" s="1" t="s">
        <v>52</v>
      </c>
      <c r="G4" s="1" t="s">
        <v>53</v>
      </c>
      <c r="H4" s="1" t="s">
        <v>54</v>
      </c>
      <c r="I4" s="1" t="s">
        <v>55</v>
      </c>
      <c r="J4" s="1" t="s">
        <v>56</v>
      </c>
      <c r="K4" t="s">
        <v>57</v>
      </c>
      <c r="M4" s="1" t="s">
        <v>58</v>
      </c>
      <c r="N4" s="1">
        <v>0</v>
      </c>
      <c r="O4" s="1" t="s">
        <v>36</v>
      </c>
      <c r="P4" s="11" t="s">
        <v>59</v>
      </c>
      <c r="R4" s="1">
        <v>9</v>
      </c>
      <c r="T4" s="1" t="s">
        <v>60</v>
      </c>
      <c r="U4" s="11" t="s">
        <v>61</v>
      </c>
      <c r="V4" s="1" t="s">
        <v>41</v>
      </c>
      <c r="W4" s="1" t="s">
        <v>49</v>
      </c>
      <c r="X4" s="13" t="str">
        <f t="shared" si="5"/>
        <v>1761.91</v>
      </c>
      <c r="Y4" s="2">
        <f t="shared" ca="1" si="0"/>
        <v>893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 t="str">
        <f t="shared" si="6"/>
        <v xml:space="preserve"> CRISTINA </v>
      </c>
      <c r="AD4" s="2">
        <f t="shared" si="3"/>
        <v>8</v>
      </c>
      <c r="AE4" s="2">
        <f t="shared" ca="1" si="4"/>
        <v>-1238.6769660879654</v>
      </c>
      <c r="AF4" s="15"/>
      <c r="AH4" s="16"/>
    </row>
    <row r="5" spans="1:34" hidden="1">
      <c r="A5" s="1">
        <v>811950</v>
      </c>
      <c r="B5" s="1" t="s">
        <v>62</v>
      </c>
      <c r="C5" t="s">
        <v>63</v>
      </c>
      <c r="E5" s="2">
        <v>1902016069700</v>
      </c>
      <c r="F5" s="1" t="s">
        <v>64</v>
      </c>
      <c r="G5" s="1" t="s">
        <v>53</v>
      </c>
      <c r="H5" s="1" t="s">
        <v>65</v>
      </c>
      <c r="I5" s="1" t="s">
        <v>66</v>
      </c>
      <c r="J5" s="1" t="s">
        <v>46</v>
      </c>
      <c r="K5" t="s">
        <v>67</v>
      </c>
      <c r="M5" s="1" t="s">
        <v>35</v>
      </c>
      <c r="N5" s="1">
        <v>42318949</v>
      </c>
      <c r="O5" s="1" t="s">
        <v>36</v>
      </c>
      <c r="P5" s="11" t="s">
        <v>68</v>
      </c>
      <c r="R5" s="1">
        <v>1</v>
      </c>
      <c r="T5" s="1" t="s">
        <v>69</v>
      </c>
      <c r="U5" s="11"/>
      <c r="V5" s="1" t="s">
        <v>41</v>
      </c>
      <c r="W5" s="1" t="s">
        <v>49</v>
      </c>
      <c r="X5" s="13" t="str">
        <f t="shared" si="5"/>
        <v/>
      </c>
      <c r="Y5" s="2">
        <f t="shared" ca="1" si="0"/>
        <v>743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 t="str">
        <f t="shared" si="6"/>
        <v xml:space="preserve"> CLEITON 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 hidden="1">
      <c r="A6" s="1">
        <v>937455</v>
      </c>
      <c r="B6" s="1" t="s">
        <v>27</v>
      </c>
      <c r="C6" t="s">
        <v>70</v>
      </c>
      <c r="E6" s="2">
        <v>4118000206001</v>
      </c>
      <c r="F6" s="1" t="s">
        <v>29</v>
      </c>
      <c r="G6" s="1" t="s">
        <v>53</v>
      </c>
      <c r="H6" s="1" t="s">
        <v>71</v>
      </c>
      <c r="I6" s="1" t="s">
        <v>72</v>
      </c>
      <c r="J6" s="1" t="s">
        <v>46</v>
      </c>
      <c r="K6" t="s">
        <v>34</v>
      </c>
      <c r="M6" s="1" t="s">
        <v>35</v>
      </c>
      <c r="N6" s="1">
        <v>42318949</v>
      </c>
      <c r="O6" s="1" t="s">
        <v>36</v>
      </c>
      <c r="P6" s="11" t="s">
        <v>73</v>
      </c>
      <c r="R6" s="1" t="s">
        <v>38</v>
      </c>
      <c r="T6" s="1" t="s">
        <v>74</v>
      </c>
      <c r="U6" s="11" t="s">
        <v>75</v>
      </c>
      <c r="V6" s="1" t="s">
        <v>41</v>
      </c>
      <c r="W6" s="1" t="s">
        <v>49</v>
      </c>
      <c r="X6" s="13" t="str">
        <f t="shared" si="5"/>
        <v/>
      </c>
      <c r="Y6" s="2">
        <f t="shared" ca="1" si="0"/>
        <v>677</v>
      </c>
      <c r="Z6" s="14">
        <v>1</v>
      </c>
      <c r="AA6" s="1" t="str">
        <f t="shared" ca="1" si="1"/>
        <v>VENCIDO</v>
      </c>
      <c r="AB6" s="1" t="str">
        <f t="shared" si="2"/>
        <v>Dosa</v>
      </c>
      <c r="AC6" s="2" t="str">
        <f t="shared" si="6"/>
        <v xml:space="preserve"> CLEITON </v>
      </c>
      <c r="AD6" s="2">
        <f t="shared" si="3"/>
        <v>5</v>
      </c>
      <c r="AE6" s="2">
        <f t="shared" ca="1" si="4"/>
        <v>-945.9262716435187</v>
      </c>
      <c r="AF6" s="15"/>
      <c r="AH6" s="16"/>
    </row>
    <row r="7" spans="1:34" hidden="1">
      <c r="A7" s="1">
        <v>937269</v>
      </c>
      <c r="B7" s="1" t="s">
        <v>27</v>
      </c>
      <c r="C7" t="s">
        <v>76</v>
      </c>
      <c r="E7" s="2">
        <v>711000206001</v>
      </c>
      <c r="F7" s="1" t="s">
        <v>29</v>
      </c>
      <c r="G7" s="1" t="s">
        <v>53</v>
      </c>
      <c r="H7" s="1" t="s">
        <v>77</v>
      </c>
      <c r="I7" s="1" t="s">
        <v>78</v>
      </c>
      <c r="J7" s="1" t="s">
        <v>79</v>
      </c>
      <c r="K7" t="s">
        <v>34</v>
      </c>
      <c r="M7" s="1" t="s">
        <v>35</v>
      </c>
      <c r="N7" s="1">
        <v>42318949</v>
      </c>
      <c r="O7" s="1" t="s">
        <v>36</v>
      </c>
      <c r="P7" s="11" t="s">
        <v>80</v>
      </c>
      <c r="R7" s="1" t="s">
        <v>38</v>
      </c>
      <c r="T7" s="1" t="s">
        <v>74</v>
      </c>
      <c r="U7" s="11" t="s">
        <v>75</v>
      </c>
      <c r="V7" s="1" t="s">
        <v>41</v>
      </c>
      <c r="W7" s="1" t="s">
        <v>49</v>
      </c>
      <c r="X7" s="13" t="str">
        <f t="shared" si="5"/>
        <v/>
      </c>
      <c r="Y7" s="2">
        <f t="shared" ca="1" si="0"/>
        <v>677</v>
      </c>
      <c r="Z7" s="14">
        <v>1</v>
      </c>
      <c r="AA7" s="1" t="str">
        <f t="shared" ca="1" si="1"/>
        <v>VENCIDO</v>
      </c>
      <c r="AB7" s="1" t="str">
        <f t="shared" si="2"/>
        <v>Dosa</v>
      </c>
      <c r="AC7" s="2" t="str">
        <f t="shared" si="6"/>
        <v xml:space="preserve"> ROSEMERE </v>
      </c>
      <c r="AD7" s="2">
        <f t="shared" si="3"/>
        <v>5</v>
      </c>
      <c r="AE7" s="2">
        <f t="shared" ca="1" si="4"/>
        <v>-945.9262716435187</v>
      </c>
      <c r="AF7" s="15"/>
      <c r="AH7" s="16"/>
    </row>
    <row r="8" spans="1:34" hidden="1">
      <c r="A8" s="1">
        <v>945945</v>
      </c>
      <c r="B8" s="1" t="s">
        <v>81</v>
      </c>
      <c r="C8" t="s">
        <v>82</v>
      </c>
      <c r="E8" s="2">
        <v>917000206001</v>
      </c>
      <c r="F8" s="1" t="s">
        <v>29</v>
      </c>
      <c r="G8" s="1" t="s">
        <v>53</v>
      </c>
      <c r="H8" s="1" t="s">
        <v>83</v>
      </c>
      <c r="I8" s="1" t="s">
        <v>84</v>
      </c>
      <c r="J8" s="1" t="s">
        <v>85</v>
      </c>
      <c r="K8" t="s">
        <v>34</v>
      </c>
      <c r="M8" s="1" t="s">
        <v>35</v>
      </c>
      <c r="N8" s="1">
        <v>42318949</v>
      </c>
      <c r="O8" s="1" t="s">
        <v>36</v>
      </c>
      <c r="P8" s="11" t="s">
        <v>86</v>
      </c>
      <c r="R8" s="1" t="s">
        <v>38</v>
      </c>
      <c r="T8" s="1" t="s">
        <v>74</v>
      </c>
      <c r="U8" s="11"/>
      <c r="V8" s="1" t="s">
        <v>41</v>
      </c>
      <c r="W8" s="1" t="s">
        <v>49</v>
      </c>
      <c r="X8" s="13" t="str">
        <f t="shared" si="5"/>
        <v/>
      </c>
      <c r="Y8" s="2">
        <f t="shared" ca="1" si="0"/>
        <v>672</v>
      </c>
      <c r="Z8" s="14">
        <v>1</v>
      </c>
      <c r="AA8" s="1" t="str">
        <f t="shared" ca="1" si="1"/>
        <v>VENCIDO</v>
      </c>
      <c r="AB8" s="1" t="str">
        <f t="shared" si="2"/>
        <v>Dosa</v>
      </c>
      <c r="AC8" s="2" t="str">
        <f t="shared" si="6"/>
        <v xml:space="preserve"> RINALDO </v>
      </c>
      <c r="AD8" s="2">
        <f t="shared" si="3"/>
        <v>5</v>
      </c>
      <c r="AE8" s="2">
        <f t="shared" ca="1" si="4"/>
        <v>-44986.676271643519</v>
      </c>
      <c r="AF8" s="15"/>
      <c r="AH8" s="16"/>
    </row>
    <row r="9" spans="1:34" hidden="1">
      <c r="A9" s="1">
        <v>1007606</v>
      </c>
      <c r="B9" s="1" t="s">
        <v>62</v>
      </c>
      <c r="C9" t="s">
        <v>87</v>
      </c>
      <c r="E9" s="2">
        <v>1059000206001</v>
      </c>
      <c r="F9" s="1" t="s">
        <v>29</v>
      </c>
      <c r="G9" s="1" t="s">
        <v>53</v>
      </c>
      <c r="H9" s="1" t="s">
        <v>88</v>
      </c>
      <c r="I9" s="1" t="s">
        <v>89</v>
      </c>
      <c r="J9" s="1" t="s">
        <v>90</v>
      </c>
      <c r="K9" t="s">
        <v>34</v>
      </c>
      <c r="M9" s="1" t="s">
        <v>35</v>
      </c>
      <c r="N9" s="1">
        <v>42318949</v>
      </c>
      <c r="O9" s="1" t="s">
        <v>36</v>
      </c>
      <c r="P9" s="11" t="s">
        <v>91</v>
      </c>
      <c r="R9" s="1" t="s">
        <v>38</v>
      </c>
      <c r="T9" s="1" t="s">
        <v>74</v>
      </c>
      <c r="U9" s="11" t="s">
        <v>92</v>
      </c>
      <c r="V9" s="1" t="s">
        <v>41</v>
      </c>
      <c r="W9" s="1" t="s">
        <v>49</v>
      </c>
      <c r="X9" s="13" t="str">
        <f t="shared" si="5"/>
        <v/>
      </c>
      <c r="Y9" s="2">
        <f t="shared" ca="1" si="0"/>
        <v>634</v>
      </c>
      <c r="Z9" s="14">
        <v>1</v>
      </c>
      <c r="AA9" s="1" t="str">
        <f t="shared" ca="1" si="1"/>
        <v>VENCIDO</v>
      </c>
      <c r="AB9" s="1" t="str">
        <f t="shared" si="2"/>
        <v>Dosa</v>
      </c>
      <c r="AC9" s="2" t="str">
        <f t="shared" si="6"/>
        <v xml:space="preserve"> RINALDO </v>
      </c>
      <c r="AD9" s="2">
        <f t="shared" si="3"/>
        <v>5</v>
      </c>
      <c r="AE9" s="2">
        <f t="shared" ca="1" si="4"/>
        <v>-841.9262716435187</v>
      </c>
      <c r="AF9" s="15"/>
      <c r="AH9" s="16"/>
    </row>
    <row r="10" spans="1:34" hidden="1">
      <c r="A10" s="1">
        <v>1739574</v>
      </c>
      <c r="B10" s="1" t="s">
        <v>62</v>
      </c>
      <c r="C10" t="s">
        <v>93</v>
      </c>
      <c r="E10" s="2">
        <v>9661000206001</v>
      </c>
      <c r="F10" s="1" t="s">
        <v>29</v>
      </c>
      <c r="G10" s="1" t="s">
        <v>53</v>
      </c>
      <c r="H10" s="1" t="s">
        <v>31</v>
      </c>
      <c r="I10" s="1" t="s">
        <v>32</v>
      </c>
      <c r="J10" s="1" t="s">
        <v>33</v>
      </c>
      <c r="K10" t="s">
        <v>34</v>
      </c>
      <c r="M10" s="1" t="s">
        <v>35</v>
      </c>
      <c r="N10" s="1">
        <v>42318949</v>
      </c>
      <c r="O10" s="1" t="s">
        <v>36</v>
      </c>
      <c r="P10" s="11" t="s">
        <v>94</v>
      </c>
      <c r="R10" s="1" t="s">
        <v>38</v>
      </c>
      <c r="T10" s="1" t="s">
        <v>74</v>
      </c>
      <c r="U10" s="11" t="s">
        <v>95</v>
      </c>
      <c r="V10" s="1" t="s">
        <v>41</v>
      </c>
      <c r="W10" s="1" t="s">
        <v>42</v>
      </c>
      <c r="X10" s="13" t="str">
        <f t="shared" si="5"/>
        <v/>
      </c>
      <c r="Y10" s="2">
        <f t="shared" ca="1" si="0"/>
        <v>591</v>
      </c>
      <c r="Z10" s="14">
        <v>1</v>
      </c>
      <c r="AA10" s="1" t="str">
        <f t="shared" ca="1" si="1"/>
        <v>VENCIDO</v>
      </c>
      <c r="AB10" s="1" t="str">
        <f t="shared" si="2"/>
        <v>Dosa</v>
      </c>
      <c r="AC10" s="2" t="str">
        <f t="shared" si="6"/>
        <v xml:space="preserve"> ROSEMERE </v>
      </c>
      <c r="AD10" s="2">
        <f t="shared" si="3"/>
        <v>5</v>
      </c>
      <c r="AE10" s="2">
        <f t="shared" ca="1" si="4"/>
        <v>-781.9262716435187</v>
      </c>
      <c r="AF10" s="15"/>
    </row>
    <row r="11" spans="1:34" hidden="1">
      <c r="A11" s="1">
        <v>1769469</v>
      </c>
      <c r="B11" s="1" t="s">
        <v>62</v>
      </c>
      <c r="C11" t="s">
        <v>96</v>
      </c>
      <c r="E11" s="2">
        <v>9661000206001</v>
      </c>
      <c r="F11" s="1" t="s">
        <v>29</v>
      </c>
      <c r="G11" s="1" t="s">
        <v>53</v>
      </c>
      <c r="H11" s="1" t="s">
        <v>31</v>
      </c>
      <c r="I11" s="1" t="s">
        <v>32</v>
      </c>
      <c r="J11" s="1" t="s">
        <v>33</v>
      </c>
      <c r="K11" t="s">
        <v>34</v>
      </c>
      <c r="M11" s="1" t="s">
        <v>35</v>
      </c>
      <c r="N11" s="1">
        <v>42318949</v>
      </c>
      <c r="O11" s="1" t="s">
        <v>36</v>
      </c>
      <c r="P11" s="11" t="s">
        <v>97</v>
      </c>
      <c r="R11" s="1" t="s">
        <v>38</v>
      </c>
      <c r="T11" s="1" t="s">
        <v>74</v>
      </c>
      <c r="U11" s="11" t="s">
        <v>98</v>
      </c>
      <c r="V11" s="1" t="s">
        <v>41</v>
      </c>
      <c r="W11" s="1" t="s">
        <v>42</v>
      </c>
      <c r="X11" s="13" t="str">
        <f t="shared" si="5"/>
        <v/>
      </c>
      <c r="Y11" s="2">
        <f t="shared" ca="1" si="0"/>
        <v>589</v>
      </c>
      <c r="Z11" s="14">
        <v>1</v>
      </c>
      <c r="AA11" s="1" t="str">
        <f t="shared" ca="1" si="1"/>
        <v>VENCIDO</v>
      </c>
      <c r="AB11" s="1" t="str">
        <f t="shared" si="2"/>
        <v>Dosa</v>
      </c>
      <c r="AC11" s="2" t="str">
        <f t="shared" si="6"/>
        <v xml:space="preserve"> ROSEMERE </v>
      </c>
      <c r="AD11" s="2">
        <f t="shared" si="3"/>
        <v>5</v>
      </c>
      <c r="AE11" s="2">
        <f t="shared" ca="1" si="4"/>
        <v>-777.9262716435187</v>
      </c>
      <c r="AF11" s="15"/>
    </row>
    <row r="12" spans="1:34" hidden="1">
      <c r="A12" s="1">
        <v>1769442</v>
      </c>
      <c r="B12" s="1" t="s">
        <v>62</v>
      </c>
      <c r="C12" t="s">
        <v>96</v>
      </c>
      <c r="E12" s="2">
        <v>9661000206001</v>
      </c>
      <c r="F12" s="1" t="s">
        <v>29</v>
      </c>
      <c r="G12" s="1" t="s">
        <v>53</v>
      </c>
      <c r="H12" s="1" t="s">
        <v>31</v>
      </c>
      <c r="I12" s="1" t="s">
        <v>32</v>
      </c>
      <c r="J12" s="1" t="s">
        <v>33</v>
      </c>
      <c r="K12" t="s">
        <v>34</v>
      </c>
      <c r="M12" s="1" t="s">
        <v>35</v>
      </c>
      <c r="N12" s="1">
        <v>42318949</v>
      </c>
      <c r="O12" s="1" t="s">
        <v>36</v>
      </c>
      <c r="P12" s="11" t="s">
        <v>99</v>
      </c>
      <c r="R12" s="1" t="s">
        <v>38</v>
      </c>
      <c r="T12" s="1" t="s">
        <v>74</v>
      </c>
      <c r="U12" s="11" t="s">
        <v>98</v>
      </c>
      <c r="V12" s="1" t="s">
        <v>41</v>
      </c>
      <c r="W12" s="1" t="s">
        <v>42</v>
      </c>
      <c r="X12" s="13" t="str">
        <f t="shared" si="5"/>
        <v/>
      </c>
      <c r="Y12" s="2">
        <f t="shared" ca="1" si="0"/>
        <v>589</v>
      </c>
      <c r="Z12" s="14">
        <v>1</v>
      </c>
      <c r="AA12" s="1" t="str">
        <f t="shared" ca="1" si="1"/>
        <v>VENCIDO</v>
      </c>
      <c r="AB12" s="1" t="str">
        <f t="shared" si="2"/>
        <v>Dosa</v>
      </c>
      <c r="AC12" s="2" t="str">
        <f t="shared" si="6"/>
        <v xml:space="preserve"> ROSEMERE </v>
      </c>
      <c r="AD12" s="2">
        <f t="shared" si="3"/>
        <v>5</v>
      </c>
      <c r="AE12" s="2">
        <f t="shared" ca="1" si="4"/>
        <v>-777.9262716435187</v>
      </c>
      <c r="AF12" s="15"/>
    </row>
    <row r="13" spans="1:34" hidden="1">
      <c r="A13" s="1">
        <v>1769406</v>
      </c>
      <c r="B13" s="1" t="s">
        <v>62</v>
      </c>
      <c r="C13" t="s">
        <v>96</v>
      </c>
      <c r="E13" s="2">
        <v>9661000206001</v>
      </c>
      <c r="F13" s="1" t="s">
        <v>29</v>
      </c>
      <c r="G13" s="1" t="s">
        <v>53</v>
      </c>
      <c r="H13" s="1" t="s">
        <v>31</v>
      </c>
      <c r="I13" s="1" t="s">
        <v>32</v>
      </c>
      <c r="J13" s="1" t="s">
        <v>33</v>
      </c>
      <c r="K13" t="s">
        <v>34</v>
      </c>
      <c r="M13" s="1" t="s">
        <v>35</v>
      </c>
      <c r="N13" s="1">
        <v>42318949</v>
      </c>
      <c r="O13" s="1" t="s">
        <v>36</v>
      </c>
      <c r="P13" s="11" t="s">
        <v>100</v>
      </c>
      <c r="R13" s="1" t="s">
        <v>38</v>
      </c>
      <c r="T13" s="1" t="s">
        <v>74</v>
      </c>
      <c r="U13" s="11" t="s">
        <v>98</v>
      </c>
      <c r="V13" s="1" t="s">
        <v>41</v>
      </c>
      <c r="W13" s="1" t="s">
        <v>42</v>
      </c>
      <c r="X13" s="13" t="str">
        <f t="shared" si="5"/>
        <v/>
      </c>
      <c r="Y13" s="2">
        <f t="shared" ca="1" si="0"/>
        <v>589</v>
      </c>
      <c r="Z13" s="14">
        <v>1</v>
      </c>
      <c r="AA13" s="1" t="str">
        <f t="shared" ca="1" si="1"/>
        <v>VENCIDO</v>
      </c>
      <c r="AB13" s="1" t="str">
        <f t="shared" si="2"/>
        <v>Dosa</v>
      </c>
      <c r="AC13" s="2" t="str">
        <f t="shared" si="6"/>
        <v xml:space="preserve"> ROSEMERE </v>
      </c>
      <c r="AD13" s="2">
        <f t="shared" si="3"/>
        <v>5</v>
      </c>
      <c r="AE13" s="2">
        <f t="shared" ca="1" si="4"/>
        <v>-777.9262716435187</v>
      </c>
      <c r="AF13" s="15"/>
    </row>
    <row r="14" spans="1:34" hidden="1">
      <c r="A14" s="1">
        <v>2852304</v>
      </c>
      <c r="B14" s="1" t="s">
        <v>101</v>
      </c>
      <c r="C14" t="s">
        <v>102</v>
      </c>
      <c r="E14" s="2">
        <v>1059000202021</v>
      </c>
      <c r="F14" s="1" t="s">
        <v>103</v>
      </c>
      <c r="G14" s="1" t="s">
        <v>53</v>
      </c>
      <c r="H14" s="1" t="s">
        <v>88</v>
      </c>
      <c r="I14" s="1" t="s">
        <v>89</v>
      </c>
      <c r="J14" s="1" t="s">
        <v>90</v>
      </c>
      <c r="K14" t="s">
        <v>104</v>
      </c>
      <c r="M14" s="1" t="s">
        <v>58</v>
      </c>
      <c r="N14" s="1">
        <v>0</v>
      </c>
      <c r="O14" s="1" t="s">
        <v>105</v>
      </c>
      <c r="P14" s="11" t="s">
        <v>106</v>
      </c>
      <c r="R14" s="1" t="s">
        <v>38</v>
      </c>
      <c r="T14" s="1" t="s">
        <v>74</v>
      </c>
      <c r="U14" s="11" t="s">
        <v>107</v>
      </c>
      <c r="V14" s="1" t="s">
        <v>41</v>
      </c>
      <c r="W14" s="1" t="s">
        <v>49</v>
      </c>
      <c r="X14" s="13" t="str">
        <f t="shared" si="5"/>
        <v/>
      </c>
      <c r="Y14" s="2">
        <f t="shared" ca="1" si="0"/>
        <v>544</v>
      </c>
      <c r="Z14" s="14">
        <v>1</v>
      </c>
      <c r="AA14" s="1" t="str">
        <f t="shared" ca="1" si="1"/>
        <v>VENCIDO</v>
      </c>
      <c r="AB14" s="1" t="str">
        <f t="shared" si="2"/>
        <v>Dosa</v>
      </c>
      <c r="AC14" s="2" t="str">
        <f t="shared" si="6"/>
        <v xml:space="preserve"> RINALDO </v>
      </c>
      <c r="AD14" s="2">
        <f t="shared" si="3"/>
        <v>5</v>
      </c>
      <c r="AE14" s="2">
        <f t="shared" ca="1" si="4"/>
        <v>-757.9262716435187</v>
      </c>
      <c r="AF14" s="15"/>
    </row>
    <row r="15" spans="1:34" hidden="1">
      <c r="A15" s="1">
        <v>2852303</v>
      </c>
      <c r="B15" s="1" t="s">
        <v>101</v>
      </c>
      <c r="C15" t="s">
        <v>102</v>
      </c>
      <c r="E15" s="2">
        <v>1363000202022</v>
      </c>
      <c r="F15" s="1" t="s">
        <v>103</v>
      </c>
      <c r="G15" s="1" t="s">
        <v>53</v>
      </c>
      <c r="H15" s="1" t="s">
        <v>108</v>
      </c>
      <c r="I15" s="1" t="s">
        <v>109</v>
      </c>
      <c r="J15" s="1" t="s">
        <v>110</v>
      </c>
      <c r="K15" t="s">
        <v>104</v>
      </c>
      <c r="M15" s="1" t="s">
        <v>58</v>
      </c>
      <c r="N15" s="1">
        <v>0</v>
      </c>
      <c r="O15" s="1" t="s">
        <v>36</v>
      </c>
      <c r="P15" s="11" t="s">
        <v>111</v>
      </c>
      <c r="R15" s="1" t="s">
        <v>38</v>
      </c>
      <c r="T15" s="1" t="s">
        <v>74</v>
      </c>
      <c r="U15" s="11" t="s">
        <v>107</v>
      </c>
      <c r="V15" s="1" t="s">
        <v>41</v>
      </c>
      <c r="W15" s="1" t="s">
        <v>49</v>
      </c>
      <c r="X15" s="13" t="str">
        <f t="shared" si="5"/>
        <v/>
      </c>
      <c r="Y15" s="2">
        <f t="shared" ca="1" si="0"/>
        <v>544</v>
      </c>
      <c r="Z15" s="14">
        <v>1</v>
      </c>
      <c r="AA15" s="1" t="str">
        <f t="shared" ca="1" si="1"/>
        <v>VENCIDO</v>
      </c>
      <c r="AB15" s="1" t="str">
        <f t="shared" si="2"/>
        <v>Dosa</v>
      </c>
      <c r="AC15" s="2" t="str">
        <f t="shared" si="6"/>
        <v xml:space="preserve"> CRISTINA </v>
      </c>
      <c r="AD15" s="2">
        <f t="shared" si="3"/>
        <v>5</v>
      </c>
      <c r="AE15" s="2">
        <f t="shared" ca="1" si="4"/>
        <v>-757.9262716435187</v>
      </c>
      <c r="AF15" s="15"/>
    </row>
    <row r="16" spans="1:34" hidden="1">
      <c r="A16" s="1">
        <v>2852205</v>
      </c>
      <c r="B16" s="1" t="s">
        <v>101</v>
      </c>
      <c r="C16" t="s">
        <v>102</v>
      </c>
      <c r="E16" s="2">
        <v>711002060022</v>
      </c>
      <c r="F16" s="1" t="s">
        <v>103</v>
      </c>
      <c r="G16" s="1" t="s">
        <v>53</v>
      </c>
      <c r="H16" s="1" t="s">
        <v>77</v>
      </c>
      <c r="I16" s="1" t="s">
        <v>78</v>
      </c>
      <c r="J16" s="1" t="s">
        <v>79</v>
      </c>
      <c r="K16" t="s">
        <v>104</v>
      </c>
      <c r="M16" s="1" t="s">
        <v>58</v>
      </c>
      <c r="N16" s="1">
        <v>0</v>
      </c>
      <c r="O16" s="1" t="s">
        <v>105</v>
      </c>
      <c r="P16" s="11" t="s">
        <v>112</v>
      </c>
      <c r="R16" s="1" t="s">
        <v>38</v>
      </c>
      <c r="T16" s="1" t="s">
        <v>74</v>
      </c>
      <c r="U16" s="11" t="s">
        <v>107</v>
      </c>
      <c r="V16" s="1" t="s">
        <v>41</v>
      </c>
      <c r="W16" s="1" t="s">
        <v>49</v>
      </c>
      <c r="X16" s="13" t="str">
        <f t="shared" si="5"/>
        <v/>
      </c>
      <c r="Y16" s="2">
        <f t="shared" ca="1" si="0"/>
        <v>544</v>
      </c>
      <c r="Z16" s="14">
        <v>1</v>
      </c>
      <c r="AA16" s="1" t="str">
        <f t="shared" ca="1" si="1"/>
        <v>VENCIDO</v>
      </c>
      <c r="AB16" s="1" t="str">
        <f t="shared" si="2"/>
        <v>Dosa</v>
      </c>
      <c r="AC16" s="2" t="str">
        <f t="shared" si="6"/>
        <v xml:space="preserve"> ROSEMERE </v>
      </c>
      <c r="AD16" s="2">
        <f t="shared" si="3"/>
        <v>5</v>
      </c>
      <c r="AE16" s="2">
        <f t="shared" ca="1" si="4"/>
        <v>-757.9262716435187</v>
      </c>
      <c r="AF16" s="15"/>
    </row>
    <row r="17" spans="1:32" hidden="1">
      <c r="A17" s="1">
        <v>2851942</v>
      </c>
      <c r="B17" s="1" t="s">
        <v>101</v>
      </c>
      <c r="C17" t="s">
        <v>102</v>
      </c>
      <c r="E17" s="2">
        <v>9406000206054</v>
      </c>
      <c r="F17" s="1" t="s">
        <v>113</v>
      </c>
      <c r="G17" s="1" t="s">
        <v>53</v>
      </c>
      <c r="H17" s="1" t="s">
        <v>114</v>
      </c>
      <c r="I17" s="1" t="s">
        <v>115</v>
      </c>
      <c r="J17" s="1" t="s">
        <v>46</v>
      </c>
      <c r="K17" t="s">
        <v>116</v>
      </c>
      <c r="M17" s="1" t="s">
        <v>35</v>
      </c>
      <c r="N17" s="1">
        <v>42318949</v>
      </c>
      <c r="O17" s="1" t="s">
        <v>36</v>
      </c>
      <c r="P17" s="11" t="s">
        <v>117</v>
      </c>
      <c r="R17" s="1" t="s">
        <v>38</v>
      </c>
      <c r="T17" s="1" t="s">
        <v>74</v>
      </c>
      <c r="U17" s="11" t="s">
        <v>107</v>
      </c>
      <c r="V17" s="1" t="s">
        <v>41</v>
      </c>
      <c r="W17" s="1" t="s">
        <v>49</v>
      </c>
      <c r="X17" s="13" t="str">
        <f t="shared" si="5"/>
        <v/>
      </c>
      <c r="Y17" s="2">
        <f t="shared" ca="1" si="0"/>
        <v>544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 t="str">
        <f t="shared" si="6"/>
        <v xml:space="preserve"> CLEITON </v>
      </c>
      <c r="AD17" s="2">
        <f t="shared" si="3"/>
        <v>8</v>
      </c>
      <c r="AE17" s="2">
        <f t="shared" ca="1" si="4"/>
        <v>-757.9262716435187</v>
      </c>
      <c r="AF17" s="15"/>
    </row>
    <row r="18" spans="1:32" hidden="1">
      <c r="A18" s="1">
        <v>4298266</v>
      </c>
      <c r="B18" s="1" t="s">
        <v>81</v>
      </c>
      <c r="C18" t="s">
        <v>118</v>
      </c>
      <c r="E18" s="2">
        <v>9600102981128</v>
      </c>
      <c r="F18" s="1" t="s">
        <v>119</v>
      </c>
      <c r="G18" s="1" t="s">
        <v>30</v>
      </c>
      <c r="H18" s="1" t="s">
        <v>120</v>
      </c>
      <c r="I18" s="1" t="s">
        <v>121</v>
      </c>
      <c r="J18" s="1" t="s">
        <v>33</v>
      </c>
      <c r="K18" t="s">
        <v>122</v>
      </c>
      <c r="M18" s="1" t="s">
        <v>58</v>
      </c>
      <c r="N18" s="1">
        <v>0</v>
      </c>
      <c r="O18" s="1" t="s">
        <v>105</v>
      </c>
      <c r="P18" s="11" t="s">
        <v>3960</v>
      </c>
      <c r="R18" s="1">
        <v>14</v>
      </c>
      <c r="T18" s="1" t="s">
        <v>60</v>
      </c>
      <c r="U18" s="11"/>
      <c r="V18" s="1" t="s">
        <v>41</v>
      </c>
      <c r="W18" s="1" t="s">
        <v>42</v>
      </c>
      <c r="X18" s="13" t="str">
        <f t="shared" si="5"/>
        <v>8889.03</v>
      </c>
      <c r="Y18" s="2">
        <f t="shared" ca="1" si="0"/>
        <v>494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 t="str">
        <f t="shared" si="6"/>
        <v xml:space="preserve"> ROSEMERE </v>
      </c>
      <c r="AD18" s="2">
        <f t="shared" si="3"/>
        <v>8</v>
      </c>
      <c r="AE18" s="2">
        <f t="shared" ca="1" si="4"/>
        <v>-44986.676271643519</v>
      </c>
      <c r="AF18" s="15"/>
    </row>
    <row r="19" spans="1:32" hidden="1">
      <c r="A19" s="1">
        <v>4298261</v>
      </c>
      <c r="B19" s="1" t="s">
        <v>81</v>
      </c>
      <c r="C19" t="s">
        <v>118</v>
      </c>
      <c r="E19" s="2">
        <v>9600102980984</v>
      </c>
      <c r="F19" s="1" t="s">
        <v>119</v>
      </c>
      <c r="G19" s="1" t="s">
        <v>30</v>
      </c>
      <c r="H19" s="1" t="s">
        <v>120</v>
      </c>
      <c r="I19" s="1" t="s">
        <v>121</v>
      </c>
      <c r="J19" s="1" t="s">
        <v>33</v>
      </c>
      <c r="K19" t="s">
        <v>122</v>
      </c>
      <c r="M19" s="1" t="s">
        <v>58</v>
      </c>
      <c r="N19" s="1">
        <v>0</v>
      </c>
      <c r="O19" s="1" t="s">
        <v>105</v>
      </c>
      <c r="P19" s="11" t="s">
        <v>3961</v>
      </c>
      <c r="R19" s="1">
        <v>14</v>
      </c>
      <c r="T19" s="1" t="s">
        <v>60</v>
      </c>
      <c r="U19" s="11"/>
      <c r="V19" s="1" t="s">
        <v>41</v>
      </c>
      <c r="W19" s="1" t="s">
        <v>42</v>
      </c>
      <c r="X19" s="13" t="str">
        <f t="shared" si="5"/>
        <v>8889.03</v>
      </c>
      <c r="Y19" s="2">
        <f t="shared" ca="1" si="0"/>
        <v>494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 t="str">
        <f t="shared" si="6"/>
        <v xml:space="preserve"> ROSEMERE </v>
      </c>
      <c r="AD19" s="2">
        <f t="shared" si="3"/>
        <v>8</v>
      </c>
      <c r="AE19" s="2">
        <f t="shared" ca="1" si="4"/>
        <v>-44986.676271643519</v>
      </c>
      <c r="AF19" s="15"/>
    </row>
    <row r="20" spans="1:32" hidden="1">
      <c r="A20" s="1">
        <v>4298189</v>
      </c>
      <c r="B20" s="1" t="s">
        <v>81</v>
      </c>
      <c r="C20" t="s">
        <v>118</v>
      </c>
      <c r="E20" s="2">
        <v>7419151141007</v>
      </c>
      <c r="F20" s="1" t="s">
        <v>123</v>
      </c>
      <c r="G20" s="1" t="s">
        <v>53</v>
      </c>
      <c r="H20" s="1" t="s">
        <v>124</v>
      </c>
      <c r="I20" s="1" t="s">
        <v>125</v>
      </c>
      <c r="J20" s="1" t="s">
        <v>33</v>
      </c>
      <c r="K20" t="s">
        <v>126</v>
      </c>
      <c r="M20" s="1" t="s">
        <v>58</v>
      </c>
      <c r="N20" s="1">
        <v>0</v>
      </c>
      <c r="O20" s="1" t="s">
        <v>105</v>
      </c>
      <c r="P20" s="11" t="s">
        <v>127</v>
      </c>
      <c r="R20" s="1">
        <v>14</v>
      </c>
      <c r="T20" s="1" t="s">
        <v>60</v>
      </c>
      <c r="U20" s="11"/>
      <c r="V20" s="1" t="s">
        <v>41</v>
      </c>
      <c r="W20" s="1" t="s">
        <v>42</v>
      </c>
      <c r="X20" s="13" t="str">
        <f t="shared" si="5"/>
        <v>4561.91</v>
      </c>
      <c r="Y20" s="2">
        <f t="shared" ca="1" si="0"/>
        <v>494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 t="str">
        <f t="shared" si="6"/>
        <v xml:space="preserve"> ROSEMERE </v>
      </c>
      <c r="AD20" s="2">
        <f t="shared" si="3"/>
        <v>8</v>
      </c>
      <c r="AE20" s="2">
        <f t="shared" ca="1" si="4"/>
        <v>-44986.676271643519</v>
      </c>
      <c r="AF20" s="15"/>
    </row>
    <row r="21" spans="1:32" hidden="1">
      <c r="A21" s="1">
        <v>4298074</v>
      </c>
      <c r="B21" s="1" t="s">
        <v>81</v>
      </c>
      <c r="C21" t="s">
        <v>118</v>
      </c>
      <c r="E21" s="2">
        <v>7419141892457</v>
      </c>
      <c r="F21" s="1" t="s">
        <v>128</v>
      </c>
      <c r="G21" s="1" t="s">
        <v>53</v>
      </c>
      <c r="H21" s="1" t="s">
        <v>124</v>
      </c>
      <c r="I21" s="1" t="s">
        <v>125</v>
      </c>
      <c r="J21" s="1" t="s">
        <v>33</v>
      </c>
      <c r="K21" t="s">
        <v>129</v>
      </c>
      <c r="M21" s="1" t="s">
        <v>58</v>
      </c>
      <c r="N21" s="1">
        <v>0</v>
      </c>
      <c r="O21" s="1" t="s">
        <v>105</v>
      </c>
      <c r="P21" s="11" t="s">
        <v>3393</v>
      </c>
      <c r="R21" s="1">
        <v>14</v>
      </c>
      <c r="T21" s="1" t="s">
        <v>60</v>
      </c>
      <c r="U21" s="11"/>
      <c r="V21" s="1" t="s">
        <v>41</v>
      </c>
      <c r="W21" s="1" t="s">
        <v>42</v>
      </c>
      <c r="X21" s="13" t="str">
        <f t="shared" si="5"/>
        <v>4561.91</v>
      </c>
      <c r="Y21" s="2">
        <f t="shared" ca="1" si="0"/>
        <v>494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 t="str">
        <f t="shared" si="6"/>
        <v xml:space="preserve"> ROSEMERE </v>
      </c>
      <c r="AD21" s="2">
        <f t="shared" si="3"/>
        <v>8</v>
      </c>
      <c r="AE21" s="2">
        <f t="shared" ca="1" si="4"/>
        <v>-44986.676271643519</v>
      </c>
      <c r="AF21" s="15"/>
    </row>
    <row r="22" spans="1:32" hidden="1">
      <c r="A22" s="1">
        <v>4298073</v>
      </c>
      <c r="B22" s="1" t="s">
        <v>81</v>
      </c>
      <c r="C22" t="s">
        <v>118</v>
      </c>
      <c r="E22" s="2">
        <v>7419141892456</v>
      </c>
      <c r="F22" s="1" t="s">
        <v>128</v>
      </c>
      <c r="G22" s="1" t="s">
        <v>53</v>
      </c>
      <c r="H22" s="1" t="s">
        <v>124</v>
      </c>
      <c r="I22" s="1" t="s">
        <v>125</v>
      </c>
      <c r="J22" s="1" t="s">
        <v>33</v>
      </c>
      <c r="K22" t="s">
        <v>129</v>
      </c>
      <c r="M22" s="1" t="s">
        <v>58</v>
      </c>
      <c r="N22" s="1">
        <v>0</v>
      </c>
      <c r="O22" s="1" t="s">
        <v>105</v>
      </c>
      <c r="P22" s="11" t="s">
        <v>3393</v>
      </c>
      <c r="R22" s="1">
        <v>14</v>
      </c>
      <c r="T22" s="1" t="s">
        <v>60</v>
      </c>
      <c r="U22" s="11"/>
      <c r="V22" s="1" t="s">
        <v>41</v>
      </c>
      <c r="W22" s="1" t="s">
        <v>42</v>
      </c>
      <c r="X22" s="13" t="str">
        <f t="shared" si="5"/>
        <v>4561.91</v>
      </c>
      <c r="Y22" s="2">
        <f t="shared" ca="1" si="0"/>
        <v>494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 t="str">
        <f t="shared" si="6"/>
        <v xml:space="preserve"> ROSEMERE </v>
      </c>
      <c r="AD22" s="2">
        <f t="shared" si="3"/>
        <v>8</v>
      </c>
      <c r="AE22" s="2">
        <f t="shared" ca="1" si="4"/>
        <v>-44986.676271643519</v>
      </c>
      <c r="AF22" s="15"/>
    </row>
    <row r="23" spans="1:32" hidden="1">
      <c r="A23" s="1">
        <v>4297923</v>
      </c>
      <c r="B23" s="1" t="s">
        <v>81</v>
      </c>
      <c r="C23" t="s">
        <v>118</v>
      </c>
      <c r="E23" s="2">
        <v>7417172142561</v>
      </c>
      <c r="F23" s="1" t="s">
        <v>52</v>
      </c>
      <c r="G23" s="1" t="s">
        <v>53</v>
      </c>
      <c r="H23" s="1" t="s">
        <v>120</v>
      </c>
      <c r="I23" s="1" t="s">
        <v>121</v>
      </c>
      <c r="J23" s="1" t="s">
        <v>33</v>
      </c>
      <c r="K23" t="s">
        <v>57</v>
      </c>
      <c r="M23" s="1" t="s">
        <v>58</v>
      </c>
      <c r="N23" s="1">
        <v>0</v>
      </c>
      <c r="O23" s="1" t="s">
        <v>105</v>
      </c>
      <c r="P23" s="11" t="s">
        <v>130</v>
      </c>
      <c r="R23" s="1">
        <v>9</v>
      </c>
      <c r="T23" s="1" t="s">
        <v>60</v>
      </c>
      <c r="U23" s="11"/>
      <c r="V23" s="1" t="s">
        <v>41</v>
      </c>
      <c r="W23" s="1" t="s">
        <v>42</v>
      </c>
      <c r="X23" s="13" t="str">
        <f t="shared" si="5"/>
        <v>8889.03</v>
      </c>
      <c r="Y23" s="2">
        <f t="shared" ca="1" si="0"/>
        <v>494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 t="str">
        <f t="shared" si="6"/>
        <v xml:space="preserve"> ROSEMERE </v>
      </c>
      <c r="AD23" s="2">
        <f t="shared" si="3"/>
        <v>8</v>
      </c>
      <c r="AE23" s="2">
        <f t="shared" ca="1" si="4"/>
        <v>-44986.676271643519</v>
      </c>
      <c r="AF23" s="15"/>
    </row>
    <row r="24" spans="1:32" hidden="1">
      <c r="A24" s="1">
        <v>4297890</v>
      </c>
      <c r="B24" s="1" t="s">
        <v>81</v>
      </c>
      <c r="C24" t="s">
        <v>118</v>
      </c>
      <c r="E24" s="2">
        <v>7417163285126</v>
      </c>
      <c r="F24" s="1" t="s">
        <v>131</v>
      </c>
      <c r="G24" s="1" t="s">
        <v>53</v>
      </c>
      <c r="H24" s="1" t="s">
        <v>120</v>
      </c>
      <c r="I24" s="1" t="s">
        <v>121</v>
      </c>
      <c r="J24" s="1" t="s">
        <v>33</v>
      </c>
      <c r="K24" t="s">
        <v>132</v>
      </c>
      <c r="M24" s="1" t="s">
        <v>58</v>
      </c>
      <c r="N24" s="1">
        <v>0</v>
      </c>
      <c r="O24" s="1" t="s">
        <v>105</v>
      </c>
      <c r="P24" s="11" t="s">
        <v>133</v>
      </c>
      <c r="R24" s="1">
        <v>14</v>
      </c>
      <c r="T24" s="1" t="s">
        <v>60</v>
      </c>
      <c r="U24" s="11"/>
      <c r="V24" s="1" t="s">
        <v>41</v>
      </c>
      <c r="W24" s="1" t="s">
        <v>42</v>
      </c>
      <c r="X24" s="13" t="str">
        <f t="shared" si="5"/>
        <v>8889.03</v>
      </c>
      <c r="Y24" s="2">
        <f t="shared" ca="1" si="0"/>
        <v>494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 t="str">
        <f t="shared" si="6"/>
        <v xml:space="preserve"> ROSEMERE </v>
      </c>
      <c r="AD24" s="2">
        <f t="shared" si="3"/>
        <v>8</v>
      </c>
      <c r="AE24" s="2">
        <f t="shared" ca="1" si="4"/>
        <v>-44986.676271643519</v>
      </c>
      <c r="AF24" s="15"/>
    </row>
    <row r="25" spans="1:32" hidden="1">
      <c r="A25" s="1">
        <v>4544244</v>
      </c>
      <c r="B25" s="1" t="s">
        <v>27</v>
      </c>
      <c r="C25" t="s">
        <v>134</v>
      </c>
      <c r="E25" s="2">
        <v>9661000206001</v>
      </c>
      <c r="F25" s="1" t="s">
        <v>29</v>
      </c>
      <c r="G25" s="1" t="s">
        <v>53</v>
      </c>
      <c r="H25" s="1" t="s">
        <v>31</v>
      </c>
      <c r="I25" s="1" t="s">
        <v>32</v>
      </c>
      <c r="J25" s="1" t="s">
        <v>33</v>
      </c>
      <c r="K25" t="s">
        <v>34</v>
      </c>
      <c r="M25" s="1" t="s">
        <v>35</v>
      </c>
      <c r="N25" s="1">
        <v>42318949</v>
      </c>
      <c r="O25" s="1" t="s">
        <v>105</v>
      </c>
      <c r="P25" s="11" t="s">
        <v>3962</v>
      </c>
      <c r="R25" s="1" t="s">
        <v>38</v>
      </c>
      <c r="T25" s="1" t="s">
        <v>74</v>
      </c>
      <c r="U25" s="11" t="s">
        <v>3963</v>
      </c>
      <c r="V25" s="1" t="s">
        <v>41</v>
      </c>
      <c r="W25" s="1" t="s">
        <v>42</v>
      </c>
      <c r="X25" s="13" t="str">
        <f t="shared" si="5"/>
        <v/>
      </c>
      <c r="Y25" s="2">
        <f t="shared" ca="1" si="0"/>
        <v>485</v>
      </c>
      <c r="Z25" s="14">
        <v>1</v>
      </c>
      <c r="AA25" s="1" t="str">
        <f t="shared" ca="1" si="1"/>
        <v>VENCIDO</v>
      </c>
      <c r="AB25" s="1" t="str">
        <f t="shared" si="2"/>
        <v>Dosa</v>
      </c>
      <c r="AC25" s="2" t="str">
        <f t="shared" si="6"/>
        <v xml:space="preserve"> ROSEMERE </v>
      </c>
      <c r="AD25" s="2">
        <f t="shared" si="3"/>
        <v>5</v>
      </c>
      <c r="AE25" s="2">
        <f t="shared" ca="1" si="4"/>
        <v>-677.9262716435187</v>
      </c>
      <c r="AF25" s="15"/>
    </row>
    <row r="26" spans="1:32" hidden="1">
      <c r="A26" s="1">
        <v>4796975</v>
      </c>
      <c r="B26" s="1" t="s">
        <v>62</v>
      </c>
      <c r="C26" t="s">
        <v>135</v>
      </c>
      <c r="E26" s="2">
        <v>1291000206001</v>
      </c>
      <c r="F26" s="1" t="s">
        <v>29</v>
      </c>
      <c r="G26" s="1" t="s">
        <v>53</v>
      </c>
      <c r="H26" s="1" t="s">
        <v>136</v>
      </c>
      <c r="I26" s="1" t="s">
        <v>137</v>
      </c>
      <c r="J26" s="1" t="s">
        <v>33</v>
      </c>
      <c r="K26" t="s">
        <v>34</v>
      </c>
      <c r="M26" s="1" t="s">
        <v>35</v>
      </c>
      <c r="N26" s="1">
        <v>42318949</v>
      </c>
      <c r="O26" s="1" t="s">
        <v>36</v>
      </c>
      <c r="P26" s="11" t="s">
        <v>3964</v>
      </c>
      <c r="R26" s="1" t="s">
        <v>38</v>
      </c>
      <c r="T26" s="1" t="s">
        <v>74</v>
      </c>
      <c r="U26" s="11" t="s">
        <v>3965</v>
      </c>
      <c r="V26" s="1" t="s">
        <v>41</v>
      </c>
      <c r="W26" s="1" t="s">
        <v>42</v>
      </c>
      <c r="X26" s="13" t="str">
        <f t="shared" si="5"/>
        <v/>
      </c>
      <c r="Y26" s="2">
        <f t="shared" ca="1" si="0"/>
        <v>476</v>
      </c>
      <c r="Z26" s="14">
        <v>1</v>
      </c>
      <c r="AA26" s="1" t="str">
        <f t="shared" ca="1" si="1"/>
        <v>VENCIDO</v>
      </c>
      <c r="AB26" s="1" t="str">
        <f t="shared" si="2"/>
        <v>Dosa</v>
      </c>
      <c r="AC26" s="2" t="str">
        <f t="shared" si="6"/>
        <v xml:space="preserve"> ROSEMERE </v>
      </c>
      <c r="AD26" s="2">
        <f t="shared" si="3"/>
        <v>5</v>
      </c>
      <c r="AE26" s="2">
        <f t="shared" ca="1" si="4"/>
        <v>-621.9262716435187</v>
      </c>
      <c r="AF26" s="15"/>
    </row>
    <row r="27" spans="1:32" hidden="1">
      <c r="A27" s="1">
        <v>4968022</v>
      </c>
      <c r="B27" s="1" t="s">
        <v>62</v>
      </c>
      <c r="C27" t="s">
        <v>138</v>
      </c>
      <c r="E27" s="2">
        <v>582000206001</v>
      </c>
      <c r="F27" s="1" t="s">
        <v>29</v>
      </c>
      <c r="G27" s="1" t="s">
        <v>53</v>
      </c>
      <c r="H27" s="1" t="s">
        <v>139</v>
      </c>
      <c r="I27" s="1" t="s">
        <v>140</v>
      </c>
      <c r="J27" s="1" t="s">
        <v>141</v>
      </c>
      <c r="K27" t="s">
        <v>34</v>
      </c>
      <c r="M27" s="1" t="s">
        <v>35</v>
      </c>
      <c r="N27" s="1">
        <v>42318949</v>
      </c>
      <c r="O27" s="1" t="s">
        <v>36</v>
      </c>
      <c r="P27" s="11" t="s">
        <v>142</v>
      </c>
      <c r="R27" s="1" t="s">
        <v>38</v>
      </c>
      <c r="T27" s="1" t="s">
        <v>74</v>
      </c>
      <c r="U27" s="11" t="s">
        <v>143</v>
      </c>
      <c r="V27" s="1" t="s">
        <v>41</v>
      </c>
      <c r="W27" s="1" t="s">
        <v>49</v>
      </c>
      <c r="X27" s="13" t="str">
        <f t="shared" si="5"/>
        <v/>
      </c>
      <c r="Y27" s="2">
        <f t="shared" ca="1" si="0"/>
        <v>470</v>
      </c>
      <c r="Z27" s="14">
        <v>1</v>
      </c>
      <c r="AA27" s="1" t="str">
        <f t="shared" ca="1" si="1"/>
        <v>VENCIDO</v>
      </c>
      <c r="AB27" s="1" t="str">
        <f t="shared" si="2"/>
        <v>Dosa</v>
      </c>
      <c r="AC27" s="2" t="str">
        <f t="shared" si="6"/>
        <v xml:space="preserve"> CRISTINA </v>
      </c>
      <c r="AD27" s="2">
        <f t="shared" si="3"/>
        <v>5</v>
      </c>
      <c r="AE27" s="2">
        <f t="shared" ca="1" si="4"/>
        <v>-613.9262716435187</v>
      </c>
      <c r="AF27" s="15"/>
    </row>
    <row r="28" spans="1:32" hidden="1">
      <c r="A28" s="1">
        <v>4968021</v>
      </c>
      <c r="B28" s="1" t="s">
        <v>62</v>
      </c>
      <c r="C28" t="s">
        <v>144</v>
      </c>
      <c r="E28" s="2">
        <v>582000206001</v>
      </c>
      <c r="F28" s="1" t="s">
        <v>29</v>
      </c>
      <c r="G28" s="1" t="s">
        <v>53</v>
      </c>
      <c r="H28" s="1" t="s">
        <v>139</v>
      </c>
      <c r="I28" s="1" t="s">
        <v>140</v>
      </c>
      <c r="J28" s="1" t="s">
        <v>141</v>
      </c>
      <c r="K28" t="s">
        <v>34</v>
      </c>
      <c r="M28" s="1" t="s">
        <v>35</v>
      </c>
      <c r="N28" s="1">
        <v>42318949</v>
      </c>
      <c r="O28" s="1" t="s">
        <v>36</v>
      </c>
      <c r="P28" s="11" t="s">
        <v>3966</v>
      </c>
      <c r="R28" s="1" t="s">
        <v>38</v>
      </c>
      <c r="T28" s="1" t="s">
        <v>74</v>
      </c>
      <c r="U28" s="11" t="s">
        <v>143</v>
      </c>
      <c r="V28" s="1" t="s">
        <v>41</v>
      </c>
      <c r="W28" s="1" t="s">
        <v>49</v>
      </c>
      <c r="X28" s="13" t="str">
        <f t="shared" si="5"/>
        <v/>
      </c>
      <c r="Y28" s="2">
        <f t="shared" ca="1" si="0"/>
        <v>470</v>
      </c>
      <c r="Z28" s="14">
        <v>1</v>
      </c>
      <c r="AA28" s="1" t="str">
        <f t="shared" ca="1" si="1"/>
        <v>VENCIDO</v>
      </c>
      <c r="AB28" s="1" t="str">
        <f t="shared" si="2"/>
        <v>Dosa</v>
      </c>
      <c r="AC28" s="2" t="str">
        <f t="shared" si="6"/>
        <v xml:space="preserve"> CRISTINA </v>
      </c>
      <c r="AD28" s="2">
        <f t="shared" si="3"/>
        <v>5</v>
      </c>
      <c r="AE28" s="2">
        <f t="shared" ca="1" si="4"/>
        <v>-613.9262716435187</v>
      </c>
      <c r="AF28" s="15"/>
    </row>
    <row r="29" spans="1:32" hidden="1">
      <c r="A29" s="1">
        <v>4967954</v>
      </c>
      <c r="B29" s="1" t="s">
        <v>62</v>
      </c>
      <c r="C29" t="s">
        <v>144</v>
      </c>
      <c r="E29" s="2">
        <v>582000206001</v>
      </c>
      <c r="F29" s="1" t="s">
        <v>29</v>
      </c>
      <c r="G29" s="1" t="s">
        <v>53</v>
      </c>
      <c r="H29" s="1" t="s">
        <v>139</v>
      </c>
      <c r="I29" s="1" t="s">
        <v>140</v>
      </c>
      <c r="J29" s="1" t="s">
        <v>141</v>
      </c>
      <c r="K29" t="s">
        <v>34</v>
      </c>
      <c r="M29" s="1" t="s">
        <v>35</v>
      </c>
      <c r="N29" s="1">
        <v>42318949</v>
      </c>
      <c r="O29" s="1" t="s">
        <v>36</v>
      </c>
      <c r="P29" s="11" t="s">
        <v>3967</v>
      </c>
      <c r="R29" s="1" t="s">
        <v>38</v>
      </c>
      <c r="T29" s="1" t="s">
        <v>74</v>
      </c>
      <c r="U29" s="11" t="s">
        <v>143</v>
      </c>
      <c r="V29" s="1" t="s">
        <v>41</v>
      </c>
      <c r="W29" s="1" t="s">
        <v>49</v>
      </c>
      <c r="X29" s="13" t="str">
        <f t="shared" si="5"/>
        <v/>
      </c>
      <c r="Y29" s="2">
        <f t="shared" ca="1" si="0"/>
        <v>470</v>
      </c>
      <c r="Z29" s="14">
        <v>1</v>
      </c>
      <c r="AA29" s="1" t="str">
        <f t="shared" ca="1" si="1"/>
        <v>VENCIDO</v>
      </c>
      <c r="AB29" s="1" t="str">
        <f t="shared" si="2"/>
        <v>Dosa</v>
      </c>
      <c r="AC29" s="2" t="str">
        <f t="shared" si="6"/>
        <v xml:space="preserve"> CRISTINA </v>
      </c>
      <c r="AD29" s="2">
        <f t="shared" si="3"/>
        <v>5</v>
      </c>
      <c r="AE29" s="2">
        <f t="shared" ca="1" si="4"/>
        <v>-613.9262716435187</v>
      </c>
      <c r="AF29" s="15"/>
    </row>
    <row r="30" spans="1:32" hidden="1">
      <c r="A30" s="1">
        <v>6477850</v>
      </c>
      <c r="B30" s="1" t="s">
        <v>62</v>
      </c>
      <c r="C30" t="s">
        <v>145</v>
      </c>
      <c r="E30" s="2">
        <v>1754000206001</v>
      </c>
      <c r="F30" s="1" t="s">
        <v>29</v>
      </c>
      <c r="G30" s="1" t="s">
        <v>53</v>
      </c>
      <c r="H30" s="1" t="s">
        <v>146</v>
      </c>
      <c r="I30" s="1" t="s">
        <v>147</v>
      </c>
      <c r="J30" s="1" t="s">
        <v>148</v>
      </c>
      <c r="K30" t="s">
        <v>34</v>
      </c>
      <c r="M30" s="1" t="s">
        <v>35</v>
      </c>
      <c r="N30" s="1">
        <v>42318949</v>
      </c>
      <c r="O30" s="1" t="s">
        <v>105</v>
      </c>
      <c r="P30" s="11" t="s">
        <v>149</v>
      </c>
      <c r="R30" s="1" t="s">
        <v>38</v>
      </c>
      <c r="T30" s="1" t="s">
        <v>74</v>
      </c>
      <c r="U30" s="11" t="s">
        <v>150</v>
      </c>
      <c r="V30" s="1" t="s">
        <v>41</v>
      </c>
      <c r="W30" s="1" t="s">
        <v>49</v>
      </c>
      <c r="X30" s="13" t="str">
        <f t="shared" si="5"/>
        <v/>
      </c>
      <c r="Y30" s="2">
        <f t="shared" ca="1" si="0"/>
        <v>417</v>
      </c>
      <c r="Z30" s="14">
        <v>1</v>
      </c>
      <c r="AA30" s="1" t="str">
        <f t="shared" ca="1" si="1"/>
        <v>VENCIDO</v>
      </c>
      <c r="AB30" s="1" t="str">
        <f t="shared" si="2"/>
        <v>Dosa</v>
      </c>
      <c r="AC30" s="2" t="str">
        <f t="shared" si="6"/>
        <v xml:space="preserve"> RINALDO </v>
      </c>
      <c r="AD30" s="2">
        <f t="shared" si="3"/>
        <v>5</v>
      </c>
      <c r="AE30" s="2">
        <f t="shared" ca="1" si="4"/>
        <v>-538.9262716435187</v>
      </c>
      <c r="AF30" s="15"/>
    </row>
    <row r="31" spans="1:32" hidden="1">
      <c r="A31" s="1">
        <v>6829400</v>
      </c>
      <c r="B31" s="1" t="s">
        <v>62</v>
      </c>
      <c r="C31" t="s">
        <v>151</v>
      </c>
      <c r="E31" s="2">
        <v>3924000203010</v>
      </c>
      <c r="F31" s="1" t="s">
        <v>152</v>
      </c>
      <c r="G31" s="1" t="s">
        <v>53</v>
      </c>
      <c r="H31" s="1" t="s">
        <v>153</v>
      </c>
      <c r="I31" s="1" t="s">
        <v>154</v>
      </c>
      <c r="J31" s="1" t="s">
        <v>56</v>
      </c>
      <c r="K31" t="s">
        <v>155</v>
      </c>
      <c r="M31" s="1" t="s">
        <v>35</v>
      </c>
      <c r="N31" s="1">
        <v>42318949</v>
      </c>
      <c r="O31" s="1" t="s">
        <v>36</v>
      </c>
      <c r="P31" s="11" t="s">
        <v>156</v>
      </c>
      <c r="R31" s="1" t="s">
        <v>38</v>
      </c>
      <c r="T31" s="1" t="s">
        <v>157</v>
      </c>
      <c r="U31" s="11" t="s">
        <v>158</v>
      </c>
      <c r="V31" s="1" t="s">
        <v>41</v>
      </c>
      <c r="W31" s="1" t="s">
        <v>49</v>
      </c>
      <c r="X31" s="13" t="str">
        <f t="shared" si="5"/>
        <v/>
      </c>
      <c r="Y31" s="2">
        <f t="shared" ca="1" si="0"/>
        <v>405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 t="str">
        <f t="shared" si="6"/>
        <v xml:space="preserve"> CRISTINA </v>
      </c>
      <c r="AD31" s="2">
        <f t="shared" si="3"/>
        <v>8</v>
      </c>
      <c r="AE31" s="2">
        <f t="shared" ca="1" si="4"/>
        <v>-529.9262716435187</v>
      </c>
      <c r="AF31" s="15"/>
    </row>
    <row r="32" spans="1:32" hidden="1">
      <c r="A32" s="1">
        <v>6829307</v>
      </c>
      <c r="B32" s="1" t="s">
        <v>62</v>
      </c>
      <c r="C32" t="s">
        <v>151</v>
      </c>
      <c r="E32" s="2">
        <v>2365000203010</v>
      </c>
      <c r="F32" s="1" t="s">
        <v>152</v>
      </c>
      <c r="G32" s="1" t="s">
        <v>53</v>
      </c>
      <c r="H32" s="1" t="s">
        <v>159</v>
      </c>
      <c r="I32" s="1" t="s">
        <v>160</v>
      </c>
      <c r="J32" s="1" t="s">
        <v>46</v>
      </c>
      <c r="K32" t="s">
        <v>155</v>
      </c>
      <c r="M32" s="1" t="s">
        <v>35</v>
      </c>
      <c r="N32" s="1">
        <v>42318949</v>
      </c>
      <c r="O32" s="1" t="s">
        <v>36</v>
      </c>
      <c r="P32" s="11" t="s">
        <v>161</v>
      </c>
      <c r="R32" s="1" t="s">
        <v>38</v>
      </c>
      <c r="T32" s="1" t="s">
        <v>157</v>
      </c>
      <c r="U32" s="11" t="s">
        <v>158</v>
      </c>
      <c r="V32" s="1" t="s">
        <v>41</v>
      </c>
      <c r="W32" s="1" t="s">
        <v>49</v>
      </c>
      <c r="X32" s="13" t="str">
        <f t="shared" si="5"/>
        <v/>
      </c>
      <c r="Y32" s="2">
        <f t="shared" ca="1" si="0"/>
        <v>405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 t="str">
        <f t="shared" si="6"/>
        <v xml:space="preserve"> CLEITON </v>
      </c>
      <c r="AD32" s="2">
        <f t="shared" si="3"/>
        <v>8</v>
      </c>
      <c r="AE32" s="2">
        <f t="shared" ca="1" si="4"/>
        <v>-529.9262716435187</v>
      </c>
      <c r="AF32" s="15"/>
    </row>
    <row r="33" spans="1:32" hidden="1">
      <c r="A33" s="1">
        <v>6829259</v>
      </c>
      <c r="B33" s="1" t="s">
        <v>62</v>
      </c>
      <c r="C33" t="s">
        <v>151</v>
      </c>
      <c r="E33" s="2">
        <v>1739000203010</v>
      </c>
      <c r="F33" s="1" t="s">
        <v>152</v>
      </c>
      <c r="G33" s="1" t="s">
        <v>53</v>
      </c>
      <c r="H33" s="1" t="s">
        <v>162</v>
      </c>
      <c r="I33" s="1" t="s">
        <v>163</v>
      </c>
      <c r="J33" s="1" t="s">
        <v>164</v>
      </c>
      <c r="K33" t="s">
        <v>155</v>
      </c>
      <c r="M33" s="1" t="s">
        <v>35</v>
      </c>
      <c r="N33" s="1">
        <v>42318949</v>
      </c>
      <c r="O33" s="1" t="s">
        <v>36</v>
      </c>
      <c r="P33" s="11" t="s">
        <v>165</v>
      </c>
      <c r="R33" s="1" t="s">
        <v>38</v>
      </c>
      <c r="T33" s="1" t="s">
        <v>157</v>
      </c>
      <c r="U33" s="11" t="s">
        <v>158</v>
      </c>
      <c r="V33" s="1" t="s">
        <v>41</v>
      </c>
      <c r="W33" s="1" t="s">
        <v>49</v>
      </c>
      <c r="X33" s="13" t="str">
        <f t="shared" si="5"/>
        <v/>
      </c>
      <c r="Y33" s="2">
        <f t="shared" ca="1" si="0"/>
        <v>405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 t="str">
        <f t="shared" si="6"/>
        <v xml:space="preserve"> ROSEMERE </v>
      </c>
      <c r="AD33" s="2">
        <f t="shared" si="3"/>
        <v>8</v>
      </c>
      <c r="AE33" s="2">
        <f t="shared" ca="1" si="4"/>
        <v>-529.9262716435187</v>
      </c>
      <c r="AF33" s="15"/>
    </row>
    <row r="34" spans="1:32" hidden="1">
      <c r="A34" s="1">
        <v>6829206</v>
      </c>
      <c r="B34" s="1" t="s">
        <v>62</v>
      </c>
      <c r="C34" t="s">
        <v>151</v>
      </c>
      <c r="E34" s="2">
        <v>1061000203010</v>
      </c>
      <c r="F34" s="1" t="s">
        <v>152</v>
      </c>
      <c r="G34" s="1" t="s">
        <v>53</v>
      </c>
      <c r="H34" s="1" t="s">
        <v>166</v>
      </c>
      <c r="I34" s="1" t="s">
        <v>167</v>
      </c>
      <c r="J34" s="1" t="s">
        <v>85</v>
      </c>
      <c r="K34" t="s">
        <v>155</v>
      </c>
      <c r="M34" s="1" t="s">
        <v>35</v>
      </c>
      <c r="N34" s="1">
        <v>42318949</v>
      </c>
      <c r="O34" s="1" t="s">
        <v>36</v>
      </c>
      <c r="P34" s="11" t="s">
        <v>168</v>
      </c>
      <c r="R34" s="1" t="s">
        <v>38</v>
      </c>
      <c r="T34" s="1" t="s">
        <v>157</v>
      </c>
      <c r="U34" s="11" t="s">
        <v>158</v>
      </c>
      <c r="V34" s="1" t="s">
        <v>41</v>
      </c>
      <c r="W34" s="1" t="s">
        <v>49</v>
      </c>
      <c r="X34" s="13" t="str">
        <f t="shared" si="5"/>
        <v/>
      </c>
      <c r="Y34" s="2">
        <f t="shared" ca="1" si="0"/>
        <v>405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 t="str">
        <f t="shared" si="6"/>
        <v xml:space="preserve"> RINALDO </v>
      </c>
      <c r="AD34" s="2">
        <f t="shared" si="3"/>
        <v>8</v>
      </c>
      <c r="AE34" s="2">
        <f t="shared" ca="1" si="4"/>
        <v>-529.9262716435187</v>
      </c>
      <c r="AF34" s="15"/>
    </row>
    <row r="35" spans="1:32" hidden="1">
      <c r="A35" s="1">
        <v>6829203</v>
      </c>
      <c r="B35" s="1" t="s">
        <v>62</v>
      </c>
      <c r="C35" t="s">
        <v>151</v>
      </c>
      <c r="E35" s="2">
        <v>1049000203010</v>
      </c>
      <c r="F35" s="1" t="s">
        <v>152</v>
      </c>
      <c r="G35" s="1" t="s">
        <v>53</v>
      </c>
      <c r="H35" s="1" t="s">
        <v>169</v>
      </c>
      <c r="I35" s="1" t="s">
        <v>170</v>
      </c>
      <c r="J35" s="1" t="s">
        <v>164</v>
      </c>
      <c r="K35" t="s">
        <v>155</v>
      </c>
      <c r="M35" s="1" t="s">
        <v>35</v>
      </c>
      <c r="N35" s="1">
        <v>42318949</v>
      </c>
      <c r="O35" s="1" t="s">
        <v>36</v>
      </c>
      <c r="P35" s="11" t="s">
        <v>171</v>
      </c>
      <c r="R35" s="1" t="s">
        <v>38</v>
      </c>
      <c r="T35" s="1" t="s">
        <v>157</v>
      </c>
      <c r="U35" s="11" t="s">
        <v>158</v>
      </c>
      <c r="V35" s="1" t="s">
        <v>41</v>
      </c>
      <c r="W35" s="1" t="s">
        <v>49</v>
      </c>
      <c r="X35" s="13" t="str">
        <f t="shared" si="5"/>
        <v/>
      </c>
      <c r="Y35" s="2">
        <f t="shared" ca="1" si="0"/>
        <v>405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 t="str">
        <f t="shared" si="6"/>
        <v xml:space="preserve"> ROSEMERE </v>
      </c>
      <c r="AD35" s="2">
        <f t="shared" si="3"/>
        <v>8</v>
      </c>
      <c r="AE35" s="2">
        <f t="shared" ca="1" si="4"/>
        <v>-529.9262716435187</v>
      </c>
      <c r="AF35" s="15"/>
    </row>
    <row r="36" spans="1:32" hidden="1">
      <c r="A36" s="1">
        <v>6829198</v>
      </c>
      <c r="B36" s="1" t="s">
        <v>62</v>
      </c>
      <c r="C36" t="s">
        <v>151</v>
      </c>
      <c r="E36" s="2">
        <v>1012000203010</v>
      </c>
      <c r="F36" s="1" t="s">
        <v>152</v>
      </c>
      <c r="G36" s="1" t="s">
        <v>53</v>
      </c>
      <c r="H36" s="1" t="s">
        <v>172</v>
      </c>
      <c r="I36" s="1" t="s">
        <v>173</v>
      </c>
      <c r="J36" s="1" t="s">
        <v>164</v>
      </c>
      <c r="K36" t="s">
        <v>155</v>
      </c>
      <c r="M36" s="1" t="s">
        <v>35</v>
      </c>
      <c r="N36" s="1">
        <v>42318949</v>
      </c>
      <c r="O36" s="1" t="s">
        <v>36</v>
      </c>
      <c r="P36" s="11" t="s">
        <v>174</v>
      </c>
      <c r="R36" s="1" t="s">
        <v>38</v>
      </c>
      <c r="T36" s="1" t="s">
        <v>157</v>
      </c>
      <c r="U36" s="11" t="s">
        <v>158</v>
      </c>
      <c r="V36" s="1" t="s">
        <v>41</v>
      </c>
      <c r="W36" s="1" t="s">
        <v>49</v>
      </c>
      <c r="X36" s="13" t="str">
        <f t="shared" si="5"/>
        <v/>
      </c>
      <c r="Y36" s="2">
        <f t="shared" ca="1" si="0"/>
        <v>405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 t="str">
        <f t="shared" si="6"/>
        <v xml:space="preserve"> ROSEMERE </v>
      </c>
      <c r="AD36" s="2">
        <f t="shared" si="3"/>
        <v>8</v>
      </c>
      <c r="AE36" s="2">
        <f t="shared" ca="1" si="4"/>
        <v>-529.9262716435187</v>
      </c>
      <c r="AF36" s="15"/>
    </row>
    <row r="37" spans="1:32" hidden="1">
      <c r="A37" s="1">
        <v>6829184</v>
      </c>
      <c r="B37" s="1" t="s">
        <v>62</v>
      </c>
      <c r="C37" t="s">
        <v>151</v>
      </c>
      <c r="E37" s="2">
        <v>899000203010</v>
      </c>
      <c r="F37" s="1" t="s">
        <v>152</v>
      </c>
      <c r="G37" s="1" t="s">
        <v>53</v>
      </c>
      <c r="H37" s="1" t="s">
        <v>175</v>
      </c>
      <c r="I37" s="1" t="s">
        <v>176</v>
      </c>
      <c r="J37" s="1" t="s">
        <v>90</v>
      </c>
      <c r="K37" t="s">
        <v>155</v>
      </c>
      <c r="M37" s="1" t="s">
        <v>35</v>
      </c>
      <c r="N37" s="1">
        <v>42318949</v>
      </c>
      <c r="O37" s="1" t="s">
        <v>36</v>
      </c>
      <c r="P37" s="11" t="s">
        <v>3394</v>
      </c>
      <c r="R37" s="1" t="s">
        <v>38</v>
      </c>
      <c r="T37" s="1" t="s">
        <v>157</v>
      </c>
      <c r="U37" s="11" t="s">
        <v>158</v>
      </c>
      <c r="V37" s="1" t="s">
        <v>41</v>
      </c>
      <c r="W37" s="1" t="s">
        <v>49</v>
      </c>
      <c r="X37" s="13" t="str">
        <f t="shared" si="5"/>
        <v/>
      </c>
      <c r="Y37" s="2">
        <f t="shared" ca="1" si="0"/>
        <v>405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 t="str">
        <f t="shared" si="6"/>
        <v xml:space="preserve"> RINALDO </v>
      </c>
      <c r="AD37" s="2">
        <f t="shared" si="3"/>
        <v>8</v>
      </c>
      <c r="AE37" s="2">
        <f t="shared" ca="1" si="4"/>
        <v>-529.9262716435187</v>
      </c>
      <c r="AF37" s="15"/>
    </row>
    <row r="38" spans="1:32" hidden="1">
      <c r="A38" s="1">
        <v>6842502</v>
      </c>
      <c r="B38" s="1" t="s">
        <v>62</v>
      </c>
      <c r="C38" t="s">
        <v>151</v>
      </c>
      <c r="E38" s="2">
        <v>1732000203010</v>
      </c>
      <c r="F38" s="1" t="s">
        <v>152</v>
      </c>
      <c r="G38" s="1" t="s">
        <v>53</v>
      </c>
      <c r="H38" s="1" t="s">
        <v>177</v>
      </c>
      <c r="I38" s="1" t="s">
        <v>178</v>
      </c>
      <c r="J38" s="1" t="s">
        <v>164</v>
      </c>
      <c r="K38" t="s">
        <v>155</v>
      </c>
      <c r="M38" s="1" t="s">
        <v>35</v>
      </c>
      <c r="N38" s="1">
        <v>42318949</v>
      </c>
      <c r="O38" s="1" t="s">
        <v>36</v>
      </c>
      <c r="P38" s="11" t="s">
        <v>3395</v>
      </c>
      <c r="R38" s="1" t="s">
        <v>38</v>
      </c>
      <c r="T38" s="1" t="s">
        <v>157</v>
      </c>
      <c r="U38" s="11" t="s">
        <v>158</v>
      </c>
      <c r="V38" s="1" t="s">
        <v>41</v>
      </c>
      <c r="W38" s="1" t="s">
        <v>49</v>
      </c>
      <c r="X38" s="13" t="str">
        <f t="shared" si="5"/>
        <v/>
      </c>
      <c r="Y38" s="2">
        <f t="shared" ca="1" si="0"/>
        <v>404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 t="str">
        <f t="shared" si="6"/>
        <v xml:space="preserve"> ROSEMERE </v>
      </c>
      <c r="AD38" s="2">
        <f t="shared" si="3"/>
        <v>8</v>
      </c>
      <c r="AE38" s="2">
        <f t="shared" ca="1" si="4"/>
        <v>-529.9262716435187</v>
      </c>
      <c r="AF38" s="15"/>
    </row>
    <row r="39" spans="1:32" hidden="1">
      <c r="A39" s="1">
        <v>6842406</v>
      </c>
      <c r="B39" s="1" t="s">
        <v>62</v>
      </c>
      <c r="C39" t="s">
        <v>151</v>
      </c>
      <c r="E39" s="2">
        <v>1421000203010</v>
      </c>
      <c r="F39" s="1" t="s">
        <v>152</v>
      </c>
      <c r="G39" s="1" t="s">
        <v>53</v>
      </c>
      <c r="H39" s="1" t="s">
        <v>179</v>
      </c>
      <c r="I39" s="1" t="s">
        <v>180</v>
      </c>
      <c r="J39" s="1" t="s">
        <v>79</v>
      </c>
      <c r="K39" t="s">
        <v>155</v>
      </c>
      <c r="M39" s="1" t="s">
        <v>35</v>
      </c>
      <c r="N39" s="1">
        <v>42318949</v>
      </c>
      <c r="O39" s="1" t="s">
        <v>36</v>
      </c>
      <c r="P39" s="11" t="s">
        <v>3396</v>
      </c>
      <c r="R39" s="1" t="s">
        <v>38</v>
      </c>
      <c r="T39" s="1" t="s">
        <v>157</v>
      </c>
      <c r="U39" s="11" t="s">
        <v>158</v>
      </c>
      <c r="V39" s="1" t="s">
        <v>41</v>
      </c>
      <c r="W39" s="1" t="s">
        <v>49</v>
      </c>
      <c r="X39" s="13" t="str">
        <f t="shared" si="5"/>
        <v/>
      </c>
      <c r="Y39" s="2">
        <f t="shared" ca="1" si="0"/>
        <v>404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 t="str">
        <f t="shared" si="6"/>
        <v xml:space="preserve"> ROSEMERE </v>
      </c>
      <c r="AD39" s="2">
        <f t="shared" si="3"/>
        <v>8</v>
      </c>
      <c r="AE39" s="2">
        <f t="shared" ca="1" si="4"/>
        <v>-529.9262716435187</v>
      </c>
      <c r="AF39" s="15"/>
    </row>
    <row r="40" spans="1:32" hidden="1">
      <c r="A40" s="1">
        <v>6842400</v>
      </c>
      <c r="B40" s="1" t="s">
        <v>62</v>
      </c>
      <c r="C40" t="s">
        <v>151</v>
      </c>
      <c r="E40" s="2">
        <v>1120000203010</v>
      </c>
      <c r="F40" s="1" t="s">
        <v>152</v>
      </c>
      <c r="G40" s="1" t="s">
        <v>53</v>
      </c>
      <c r="H40" s="1" t="s">
        <v>181</v>
      </c>
      <c r="I40" s="1" t="s">
        <v>182</v>
      </c>
      <c r="J40" s="1" t="s">
        <v>164</v>
      </c>
      <c r="K40" t="s">
        <v>155</v>
      </c>
      <c r="M40" s="1" t="s">
        <v>35</v>
      </c>
      <c r="N40" s="1">
        <v>42318949</v>
      </c>
      <c r="O40" s="1" t="s">
        <v>36</v>
      </c>
      <c r="P40" s="11" t="s">
        <v>3397</v>
      </c>
      <c r="R40" s="1" t="s">
        <v>38</v>
      </c>
      <c r="T40" s="1" t="s">
        <v>157</v>
      </c>
      <c r="U40" s="11" t="s">
        <v>158</v>
      </c>
      <c r="V40" s="1" t="s">
        <v>41</v>
      </c>
      <c r="W40" s="1" t="s">
        <v>49</v>
      </c>
      <c r="X40" s="13" t="str">
        <f t="shared" si="5"/>
        <v/>
      </c>
      <c r="Y40" s="2">
        <f t="shared" ca="1" si="0"/>
        <v>404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 t="str">
        <f t="shared" si="6"/>
        <v xml:space="preserve"> ROSEMERE </v>
      </c>
      <c r="AD40" s="2">
        <f t="shared" si="3"/>
        <v>8</v>
      </c>
      <c r="AE40" s="2">
        <f t="shared" ca="1" si="4"/>
        <v>-529.9262716435187</v>
      </c>
      <c r="AF40" s="15"/>
    </row>
    <row r="41" spans="1:32" hidden="1">
      <c r="A41" s="1">
        <v>6842393</v>
      </c>
      <c r="B41" s="1" t="s">
        <v>62</v>
      </c>
      <c r="C41" t="s">
        <v>151</v>
      </c>
      <c r="E41" s="2">
        <v>870000203010</v>
      </c>
      <c r="F41" s="1" t="s">
        <v>152</v>
      </c>
      <c r="G41" s="1" t="s">
        <v>53</v>
      </c>
      <c r="H41" s="1" t="s">
        <v>183</v>
      </c>
      <c r="I41" s="1" t="s">
        <v>184</v>
      </c>
      <c r="J41" s="1" t="s">
        <v>90</v>
      </c>
      <c r="K41" t="s">
        <v>155</v>
      </c>
      <c r="M41" s="1" t="s">
        <v>35</v>
      </c>
      <c r="N41" s="1">
        <v>42318949</v>
      </c>
      <c r="O41" s="1" t="s">
        <v>36</v>
      </c>
      <c r="P41" s="11" t="s">
        <v>185</v>
      </c>
      <c r="R41" s="1" t="s">
        <v>38</v>
      </c>
      <c r="T41" s="1" t="s">
        <v>157</v>
      </c>
      <c r="U41" s="11" t="s">
        <v>158</v>
      </c>
      <c r="V41" s="1" t="s">
        <v>41</v>
      </c>
      <c r="W41" s="1" t="s">
        <v>49</v>
      </c>
      <c r="X41" s="13" t="str">
        <f t="shared" si="5"/>
        <v/>
      </c>
      <c r="Y41" s="2">
        <f t="shared" ca="1" si="0"/>
        <v>404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 t="str">
        <f t="shared" si="6"/>
        <v xml:space="preserve"> RINALDO </v>
      </c>
      <c r="AD41" s="2">
        <f t="shared" si="3"/>
        <v>8</v>
      </c>
      <c r="AE41" s="2">
        <f t="shared" ca="1" si="4"/>
        <v>-529.9262716435187</v>
      </c>
      <c r="AF41" s="15"/>
    </row>
    <row r="42" spans="1:32" hidden="1">
      <c r="A42" s="1">
        <v>6966972</v>
      </c>
      <c r="B42" s="1" t="s">
        <v>27</v>
      </c>
      <c r="C42" t="s">
        <v>186</v>
      </c>
      <c r="E42" s="2">
        <v>7740206001</v>
      </c>
      <c r="F42" s="1" t="s">
        <v>29</v>
      </c>
      <c r="G42" s="1" t="s">
        <v>53</v>
      </c>
      <c r="H42" s="1" t="s">
        <v>187</v>
      </c>
      <c r="I42" s="1" t="s">
        <v>188</v>
      </c>
      <c r="J42" s="1" t="s">
        <v>46</v>
      </c>
      <c r="K42" t="s">
        <v>34</v>
      </c>
      <c r="M42" s="1" t="s">
        <v>35</v>
      </c>
      <c r="N42" s="1">
        <v>42318949</v>
      </c>
      <c r="O42" s="1" t="s">
        <v>36</v>
      </c>
      <c r="P42" s="12">
        <v>44426.85628472222</v>
      </c>
      <c r="R42" s="1" t="s">
        <v>38</v>
      </c>
      <c r="T42" s="1" t="s">
        <v>74</v>
      </c>
      <c r="U42" s="12">
        <v>44427.75</v>
      </c>
      <c r="V42" s="1" t="s">
        <v>41</v>
      </c>
      <c r="W42" s="1" t="s">
        <v>49</v>
      </c>
      <c r="X42" s="13" t="str">
        <f t="shared" si="5"/>
        <v>0007.74</v>
      </c>
      <c r="Y42" s="2">
        <f t="shared" ca="1" si="0"/>
        <v>401</v>
      </c>
      <c r="Z42" s="14">
        <v>1</v>
      </c>
      <c r="AA42" s="1" t="str">
        <f t="shared" ca="1" si="1"/>
        <v>VENCIDO</v>
      </c>
      <c r="AB42" s="1" t="str">
        <f t="shared" si="2"/>
        <v>Dosa</v>
      </c>
      <c r="AC42" s="2" t="str">
        <f t="shared" si="6"/>
        <v xml:space="preserve"> CLEITON </v>
      </c>
      <c r="AD42" s="2">
        <f t="shared" si="3"/>
        <v>5</v>
      </c>
      <c r="AE42" s="2">
        <f t="shared" ca="1" si="4"/>
        <v>-558.9262716435187</v>
      </c>
      <c r="AF42" s="15"/>
    </row>
    <row r="43" spans="1:32" hidden="1">
      <c r="A43" s="1">
        <v>6986331</v>
      </c>
      <c r="B43" s="1" t="s">
        <v>27</v>
      </c>
      <c r="C43" t="s">
        <v>186</v>
      </c>
      <c r="E43" s="2">
        <v>2326000206001</v>
      </c>
      <c r="F43" s="1" t="s">
        <v>29</v>
      </c>
      <c r="G43" s="1" t="s">
        <v>53</v>
      </c>
      <c r="H43" s="1" t="s">
        <v>191</v>
      </c>
      <c r="I43" s="1" t="s">
        <v>192</v>
      </c>
      <c r="J43" s="1" t="s">
        <v>46</v>
      </c>
      <c r="K43" t="s">
        <v>34</v>
      </c>
      <c r="M43" s="1" t="s">
        <v>35</v>
      </c>
      <c r="N43" s="1">
        <v>42318949</v>
      </c>
      <c r="O43" s="1" t="s">
        <v>105</v>
      </c>
      <c r="P43" s="12">
        <v>44427.683576388888</v>
      </c>
      <c r="R43" s="1" t="s">
        <v>38</v>
      </c>
      <c r="T43" s="1" t="s">
        <v>74</v>
      </c>
      <c r="U43" s="12">
        <v>44427.75</v>
      </c>
      <c r="V43" s="1" t="s">
        <v>41</v>
      </c>
      <c r="W43" s="1" t="s">
        <v>49</v>
      </c>
      <c r="X43" s="13" t="str">
        <f t="shared" si="5"/>
        <v/>
      </c>
      <c r="Y43" s="2">
        <f t="shared" ca="1" si="0"/>
        <v>400</v>
      </c>
      <c r="Z43" s="14">
        <v>1</v>
      </c>
      <c r="AA43" s="1" t="str">
        <f t="shared" ca="1" si="1"/>
        <v>VENCIDO</v>
      </c>
      <c r="AB43" s="1" t="str">
        <f t="shared" si="2"/>
        <v>Dosa</v>
      </c>
      <c r="AC43" s="2" t="str">
        <f t="shared" si="6"/>
        <v xml:space="preserve"> CLEITON </v>
      </c>
      <c r="AD43" s="2">
        <f t="shared" si="3"/>
        <v>5</v>
      </c>
      <c r="AE43" s="2">
        <f t="shared" ca="1" si="4"/>
        <v>-558.9262716435187</v>
      </c>
      <c r="AF43" s="15"/>
    </row>
    <row r="44" spans="1:32" hidden="1">
      <c r="A44" s="1">
        <v>6986330</v>
      </c>
      <c r="B44" s="1" t="s">
        <v>27</v>
      </c>
      <c r="C44" t="s">
        <v>186</v>
      </c>
      <c r="E44" s="2">
        <v>2335000206001</v>
      </c>
      <c r="F44" s="1" t="s">
        <v>29</v>
      </c>
      <c r="G44" s="1" t="s">
        <v>53</v>
      </c>
      <c r="H44" s="1" t="s">
        <v>194</v>
      </c>
      <c r="I44" s="1" t="s">
        <v>195</v>
      </c>
      <c r="J44" s="1" t="s">
        <v>110</v>
      </c>
      <c r="K44" t="s">
        <v>34</v>
      </c>
      <c r="M44" s="1" t="s">
        <v>35</v>
      </c>
      <c r="N44" s="1">
        <v>42318949</v>
      </c>
      <c r="O44" s="1" t="s">
        <v>36</v>
      </c>
      <c r="P44" s="12">
        <v>44427.683136574073</v>
      </c>
      <c r="R44" s="1" t="s">
        <v>38</v>
      </c>
      <c r="T44" s="1" t="s">
        <v>74</v>
      </c>
      <c r="U44" s="12">
        <v>44427.75</v>
      </c>
      <c r="V44" s="1" t="s">
        <v>41</v>
      </c>
      <c r="W44" s="1" t="s">
        <v>49</v>
      </c>
      <c r="X44" s="13" t="str">
        <f t="shared" si="5"/>
        <v/>
      </c>
      <c r="Y44" s="2">
        <f t="shared" ca="1" si="0"/>
        <v>400</v>
      </c>
      <c r="Z44" s="14">
        <v>1</v>
      </c>
      <c r="AA44" s="1" t="str">
        <f t="shared" ca="1" si="1"/>
        <v>VENCIDO</v>
      </c>
      <c r="AB44" s="1" t="str">
        <f t="shared" si="2"/>
        <v>Dosa</v>
      </c>
      <c r="AC44" s="2" t="str">
        <f t="shared" si="6"/>
        <v xml:space="preserve"> CRISTINA </v>
      </c>
      <c r="AD44" s="2">
        <f t="shared" si="3"/>
        <v>5</v>
      </c>
      <c r="AE44" s="2">
        <f t="shared" ca="1" si="4"/>
        <v>-558.9262716435187</v>
      </c>
      <c r="AF44" s="15"/>
    </row>
    <row r="45" spans="1:32" hidden="1">
      <c r="A45" s="1">
        <v>6981314</v>
      </c>
      <c r="B45" s="1" t="s">
        <v>27</v>
      </c>
      <c r="C45" t="s">
        <v>186</v>
      </c>
      <c r="E45" s="2">
        <v>4357010206001</v>
      </c>
      <c r="F45" s="1" t="s">
        <v>29</v>
      </c>
      <c r="G45" s="1" t="s">
        <v>53</v>
      </c>
      <c r="H45" s="1" t="s">
        <v>197</v>
      </c>
      <c r="I45" s="1" t="s">
        <v>198</v>
      </c>
      <c r="J45" s="1" t="s">
        <v>46</v>
      </c>
      <c r="K45" t="s">
        <v>34</v>
      </c>
      <c r="M45" s="1" t="s">
        <v>35</v>
      </c>
      <c r="N45" s="1">
        <v>42318949</v>
      </c>
      <c r="O45" s="1" t="s">
        <v>36</v>
      </c>
      <c r="P45" s="12">
        <v>44427.488483796296</v>
      </c>
      <c r="R45" s="1" t="s">
        <v>38</v>
      </c>
      <c r="T45" s="1" t="s">
        <v>74</v>
      </c>
      <c r="U45" s="12">
        <v>44427.75</v>
      </c>
      <c r="V45" s="1" t="s">
        <v>41</v>
      </c>
      <c r="W45" s="1" t="s">
        <v>49</v>
      </c>
      <c r="X45" s="13" t="str">
        <f t="shared" si="5"/>
        <v>4357.01</v>
      </c>
      <c r="Y45" s="2">
        <f t="shared" ca="1" si="0"/>
        <v>400</v>
      </c>
      <c r="Z45" s="14">
        <v>1</v>
      </c>
      <c r="AA45" s="1" t="str">
        <f t="shared" ca="1" si="1"/>
        <v>VENCIDO</v>
      </c>
      <c r="AB45" s="1" t="str">
        <f t="shared" si="2"/>
        <v>Dosa</v>
      </c>
      <c r="AC45" s="2" t="str">
        <f t="shared" si="6"/>
        <v xml:space="preserve"> CLEITON </v>
      </c>
      <c r="AD45" s="2">
        <f t="shared" si="3"/>
        <v>5</v>
      </c>
      <c r="AE45" s="2">
        <f t="shared" ca="1" si="4"/>
        <v>-558.9262716435187</v>
      </c>
      <c r="AF45" s="15"/>
    </row>
    <row r="46" spans="1:32" hidden="1">
      <c r="A46" s="1">
        <v>7150745</v>
      </c>
      <c r="B46" s="1" t="s">
        <v>101</v>
      </c>
      <c r="C46" t="s">
        <v>199</v>
      </c>
      <c r="E46" s="2">
        <v>1059002060021</v>
      </c>
      <c r="F46" s="1" t="s">
        <v>103</v>
      </c>
      <c r="G46" s="1" t="s">
        <v>53</v>
      </c>
      <c r="H46" s="1" t="s">
        <v>88</v>
      </c>
      <c r="I46" s="1" t="s">
        <v>89</v>
      </c>
      <c r="J46" s="1" t="s">
        <v>90</v>
      </c>
      <c r="K46" t="s">
        <v>104</v>
      </c>
      <c r="M46" s="1" t="s">
        <v>58</v>
      </c>
      <c r="N46" s="1">
        <v>0</v>
      </c>
      <c r="O46" s="1" t="s">
        <v>36</v>
      </c>
      <c r="P46" s="12">
        <v>44434.404027777775</v>
      </c>
      <c r="R46" s="1" t="s">
        <v>38</v>
      </c>
      <c r="T46" s="1" t="s">
        <v>74</v>
      </c>
      <c r="U46" s="12">
        <v>44434.75</v>
      </c>
      <c r="V46" s="1" t="s">
        <v>41</v>
      </c>
      <c r="W46" s="1" t="s">
        <v>49</v>
      </c>
      <c r="X46" s="13" t="str">
        <f t="shared" si="5"/>
        <v/>
      </c>
      <c r="Y46" s="2">
        <f t="shared" ca="1" si="0"/>
        <v>395</v>
      </c>
      <c r="Z46" s="14">
        <v>1</v>
      </c>
      <c r="AA46" s="1" t="str">
        <f t="shared" ca="1" si="1"/>
        <v>VENCIDO</v>
      </c>
      <c r="AB46" s="1" t="str">
        <f t="shared" si="2"/>
        <v>Dosa</v>
      </c>
      <c r="AC46" s="2" t="str">
        <f t="shared" si="6"/>
        <v xml:space="preserve"> RINALDO </v>
      </c>
      <c r="AD46" s="2">
        <f t="shared" si="3"/>
        <v>5</v>
      </c>
      <c r="AE46" s="2">
        <f t="shared" ca="1" si="4"/>
        <v>-551.9262716435187</v>
      </c>
      <c r="AF46" s="15"/>
    </row>
    <row r="47" spans="1:32" hidden="1">
      <c r="A47" s="1">
        <v>7150715</v>
      </c>
      <c r="B47" s="1" t="s">
        <v>101</v>
      </c>
      <c r="C47" t="s">
        <v>199</v>
      </c>
      <c r="E47" s="2">
        <v>711002060021</v>
      </c>
      <c r="F47" s="1" t="s">
        <v>103</v>
      </c>
      <c r="G47" s="1" t="s">
        <v>53</v>
      </c>
      <c r="H47" s="1" t="s">
        <v>77</v>
      </c>
      <c r="I47" s="1" t="s">
        <v>78</v>
      </c>
      <c r="J47" s="1" t="s">
        <v>79</v>
      </c>
      <c r="K47" t="s">
        <v>104</v>
      </c>
      <c r="M47" s="1" t="s">
        <v>58</v>
      </c>
      <c r="N47" s="1">
        <v>0</v>
      </c>
      <c r="O47" s="1" t="s">
        <v>105</v>
      </c>
      <c r="P47" s="12">
        <v>44434.403935185182</v>
      </c>
      <c r="R47" s="1" t="s">
        <v>38</v>
      </c>
      <c r="T47" s="1" t="s">
        <v>74</v>
      </c>
      <c r="U47" s="12">
        <v>44434.75</v>
      </c>
      <c r="V47" s="1" t="s">
        <v>41</v>
      </c>
      <c r="W47" s="1" t="s">
        <v>49</v>
      </c>
      <c r="X47" s="13" t="str">
        <f t="shared" si="5"/>
        <v/>
      </c>
      <c r="Y47" s="2">
        <f t="shared" ca="1" si="0"/>
        <v>395</v>
      </c>
      <c r="Z47" s="14">
        <v>1</v>
      </c>
      <c r="AA47" s="1" t="str">
        <f t="shared" ca="1" si="1"/>
        <v>VENCIDO</v>
      </c>
      <c r="AB47" s="1" t="str">
        <f t="shared" si="2"/>
        <v>Dosa</v>
      </c>
      <c r="AC47" s="2" t="str">
        <f t="shared" si="6"/>
        <v xml:space="preserve"> ROSEMERE </v>
      </c>
      <c r="AD47" s="2">
        <f t="shared" si="3"/>
        <v>5</v>
      </c>
      <c r="AE47" s="2">
        <f t="shared" ca="1" si="4"/>
        <v>-551.9262716435187</v>
      </c>
      <c r="AF47" s="15"/>
    </row>
    <row r="48" spans="1:32" hidden="1">
      <c r="A48" s="1">
        <v>7149319</v>
      </c>
      <c r="B48" s="1" t="s">
        <v>101</v>
      </c>
      <c r="C48" t="s">
        <v>207</v>
      </c>
      <c r="E48" s="2">
        <v>9700000206215</v>
      </c>
      <c r="F48" s="1" t="s">
        <v>208</v>
      </c>
      <c r="G48" s="1" t="s">
        <v>53</v>
      </c>
      <c r="H48" s="1" t="s">
        <v>209</v>
      </c>
      <c r="I48" s="1" t="s">
        <v>210</v>
      </c>
      <c r="J48" s="1" t="s">
        <v>211</v>
      </c>
      <c r="K48" t="s">
        <v>212</v>
      </c>
      <c r="M48" s="1" t="s">
        <v>35</v>
      </c>
      <c r="N48" s="1">
        <v>42318949</v>
      </c>
      <c r="O48" s="1" t="s">
        <v>105</v>
      </c>
      <c r="P48" s="12">
        <v>44434.401979166665</v>
      </c>
      <c r="R48" s="1" t="s">
        <v>38</v>
      </c>
      <c r="T48" s="1" t="s">
        <v>74</v>
      </c>
      <c r="U48" s="12">
        <v>44434.75</v>
      </c>
      <c r="V48" s="1" t="s">
        <v>41</v>
      </c>
      <c r="W48" s="1" t="s">
        <v>49</v>
      </c>
      <c r="X48" s="13" t="str">
        <f t="shared" si="5"/>
        <v/>
      </c>
      <c r="Y48" s="2">
        <f t="shared" ca="1" si="0"/>
        <v>395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 t="str">
        <f t="shared" si="6"/>
        <v xml:space="preserve"> RINALDO </v>
      </c>
      <c r="AD48" s="2">
        <f t="shared" si="3"/>
        <v>8</v>
      </c>
      <c r="AE48" s="2">
        <f t="shared" ca="1" si="4"/>
        <v>-551.9262716435187</v>
      </c>
      <c r="AF48" s="15"/>
    </row>
    <row r="49" spans="1:32" hidden="1">
      <c r="A49" s="1">
        <v>7148873</v>
      </c>
      <c r="B49" s="1" t="s">
        <v>101</v>
      </c>
      <c r="C49" t="s">
        <v>207</v>
      </c>
      <c r="E49" s="2">
        <v>9700000206206</v>
      </c>
      <c r="F49" s="1" t="s">
        <v>208</v>
      </c>
      <c r="G49" s="1" t="s">
        <v>53</v>
      </c>
      <c r="H49" s="1" t="s">
        <v>209</v>
      </c>
      <c r="I49" s="1" t="s">
        <v>210</v>
      </c>
      <c r="J49" s="1" t="s">
        <v>211</v>
      </c>
      <c r="K49" t="s">
        <v>212</v>
      </c>
      <c r="M49" s="1" t="s">
        <v>35</v>
      </c>
      <c r="N49" s="1">
        <v>42318949</v>
      </c>
      <c r="O49" s="1" t="s">
        <v>105</v>
      </c>
      <c r="P49" s="12">
        <v>44434.401319444441</v>
      </c>
      <c r="R49" s="1" t="s">
        <v>38</v>
      </c>
      <c r="T49" s="1" t="s">
        <v>74</v>
      </c>
      <c r="U49" s="12">
        <v>44434.75</v>
      </c>
      <c r="V49" s="1" t="s">
        <v>41</v>
      </c>
      <c r="W49" s="1" t="s">
        <v>49</v>
      </c>
      <c r="X49" s="13" t="str">
        <f t="shared" si="5"/>
        <v/>
      </c>
      <c r="Y49" s="2">
        <f t="shared" ca="1" si="0"/>
        <v>395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 t="str">
        <f t="shared" si="6"/>
        <v xml:space="preserve"> RINALDO </v>
      </c>
      <c r="AD49" s="2">
        <f t="shared" si="3"/>
        <v>8</v>
      </c>
      <c r="AE49" s="2">
        <f t="shared" ca="1" si="4"/>
        <v>-551.9262716435187</v>
      </c>
      <c r="AF49" s="15"/>
    </row>
    <row r="50" spans="1:32" hidden="1">
      <c r="A50" s="1">
        <v>7148559</v>
      </c>
      <c r="B50" s="1" t="s">
        <v>101</v>
      </c>
      <c r="C50" t="s">
        <v>207</v>
      </c>
      <c r="E50" s="2">
        <v>9700000206208</v>
      </c>
      <c r="F50" s="1" t="s">
        <v>208</v>
      </c>
      <c r="G50" s="1" t="s">
        <v>53</v>
      </c>
      <c r="H50" s="1" t="s">
        <v>209</v>
      </c>
      <c r="I50" s="1" t="s">
        <v>210</v>
      </c>
      <c r="J50" s="1" t="s">
        <v>211</v>
      </c>
      <c r="K50" t="s">
        <v>212</v>
      </c>
      <c r="M50" s="1" t="s">
        <v>35</v>
      </c>
      <c r="N50" s="1">
        <v>42318949</v>
      </c>
      <c r="O50" s="1" t="s">
        <v>105</v>
      </c>
      <c r="P50" s="12">
        <v>44434.400891203702</v>
      </c>
      <c r="R50" s="1" t="s">
        <v>38</v>
      </c>
      <c r="T50" s="1" t="s">
        <v>74</v>
      </c>
      <c r="U50" s="12">
        <v>44434.75</v>
      </c>
      <c r="V50" s="1" t="s">
        <v>41</v>
      </c>
      <c r="W50" s="1" t="s">
        <v>49</v>
      </c>
      <c r="X50" s="13" t="str">
        <f t="shared" si="5"/>
        <v/>
      </c>
      <c r="Y50" s="2">
        <f t="shared" ca="1" si="0"/>
        <v>395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 t="str">
        <f t="shared" si="6"/>
        <v xml:space="preserve"> RINALDO </v>
      </c>
      <c r="AD50" s="2">
        <f t="shared" si="3"/>
        <v>8</v>
      </c>
      <c r="AE50" s="2">
        <f t="shared" ca="1" si="4"/>
        <v>-551.9262716435187</v>
      </c>
      <c r="AF50" s="15"/>
    </row>
    <row r="51" spans="1:32" hidden="1">
      <c r="A51" s="1">
        <v>7148259</v>
      </c>
      <c r="B51" s="1" t="s">
        <v>101</v>
      </c>
      <c r="C51" t="s">
        <v>207</v>
      </c>
      <c r="E51" s="2">
        <v>9700000206202</v>
      </c>
      <c r="F51" s="1" t="s">
        <v>208</v>
      </c>
      <c r="G51" s="1" t="s">
        <v>53</v>
      </c>
      <c r="H51" s="1" t="s">
        <v>209</v>
      </c>
      <c r="I51" s="1" t="s">
        <v>210</v>
      </c>
      <c r="J51" s="1" t="s">
        <v>211</v>
      </c>
      <c r="K51" t="s">
        <v>212</v>
      </c>
      <c r="M51" s="1" t="s">
        <v>35</v>
      </c>
      <c r="N51" s="1">
        <v>42318949</v>
      </c>
      <c r="O51" s="1" t="s">
        <v>105</v>
      </c>
      <c r="P51" s="12">
        <v>44434.400416666664</v>
      </c>
      <c r="R51" s="1" t="s">
        <v>38</v>
      </c>
      <c r="T51" s="1" t="s">
        <v>74</v>
      </c>
      <c r="U51" s="12">
        <v>44434.75</v>
      </c>
      <c r="V51" s="1" t="s">
        <v>41</v>
      </c>
      <c r="W51" s="1" t="s">
        <v>49</v>
      </c>
      <c r="X51" s="13" t="str">
        <f t="shared" si="5"/>
        <v/>
      </c>
      <c r="Y51" s="2">
        <f t="shared" ca="1" si="0"/>
        <v>395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 t="str">
        <f t="shared" si="6"/>
        <v xml:space="preserve"> RINALDO </v>
      </c>
      <c r="AD51" s="2">
        <f t="shared" si="3"/>
        <v>8</v>
      </c>
      <c r="AE51" s="2">
        <f t="shared" ca="1" si="4"/>
        <v>-551.9262716435187</v>
      </c>
      <c r="AF51" s="15"/>
    </row>
    <row r="52" spans="1:32" hidden="1">
      <c r="A52" s="1">
        <v>7148258</v>
      </c>
      <c r="B52" s="1" t="s">
        <v>101</v>
      </c>
      <c r="C52" t="s">
        <v>207</v>
      </c>
      <c r="E52" s="2">
        <v>9700000206200</v>
      </c>
      <c r="F52" s="1" t="s">
        <v>208</v>
      </c>
      <c r="G52" s="1" t="s">
        <v>53</v>
      </c>
      <c r="H52" s="1" t="s">
        <v>209</v>
      </c>
      <c r="I52" s="1" t="s">
        <v>210</v>
      </c>
      <c r="J52" s="1" t="s">
        <v>211</v>
      </c>
      <c r="K52" t="s">
        <v>212</v>
      </c>
      <c r="M52" s="1" t="s">
        <v>35</v>
      </c>
      <c r="N52" s="1">
        <v>42318949</v>
      </c>
      <c r="O52" s="1" t="s">
        <v>105</v>
      </c>
      <c r="P52" s="12">
        <v>44434.400405092594</v>
      </c>
      <c r="R52" s="1" t="s">
        <v>38</v>
      </c>
      <c r="T52" s="1" t="s">
        <v>74</v>
      </c>
      <c r="U52" s="12">
        <v>44434.75</v>
      </c>
      <c r="V52" s="1" t="s">
        <v>41</v>
      </c>
      <c r="W52" s="1" t="s">
        <v>49</v>
      </c>
      <c r="X52" s="13" t="str">
        <f t="shared" si="5"/>
        <v/>
      </c>
      <c r="Y52" s="2">
        <f t="shared" ca="1" si="0"/>
        <v>395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 t="str">
        <f t="shared" si="6"/>
        <v xml:space="preserve"> RINALDO </v>
      </c>
      <c r="AD52" s="2">
        <f t="shared" si="3"/>
        <v>8</v>
      </c>
      <c r="AE52" s="2">
        <f t="shared" ca="1" si="4"/>
        <v>-551.9262716435187</v>
      </c>
      <c r="AF52" s="15"/>
    </row>
    <row r="53" spans="1:32" hidden="1">
      <c r="A53" s="1">
        <v>7148018</v>
      </c>
      <c r="B53" s="1" t="s">
        <v>101</v>
      </c>
      <c r="C53" t="s">
        <v>207</v>
      </c>
      <c r="E53" s="2">
        <v>9700000206214</v>
      </c>
      <c r="F53" s="1" t="s">
        <v>208</v>
      </c>
      <c r="G53" s="1" t="s">
        <v>53</v>
      </c>
      <c r="H53" s="1" t="s">
        <v>209</v>
      </c>
      <c r="I53" s="1" t="s">
        <v>210</v>
      </c>
      <c r="J53" s="1" t="s">
        <v>211</v>
      </c>
      <c r="K53" t="s">
        <v>212</v>
      </c>
      <c r="M53" s="1" t="s">
        <v>35</v>
      </c>
      <c r="N53" s="1">
        <v>42318949</v>
      </c>
      <c r="O53" s="1" t="s">
        <v>105</v>
      </c>
      <c r="P53" s="12">
        <v>44434.399953703702</v>
      </c>
      <c r="R53" s="1" t="s">
        <v>38</v>
      </c>
      <c r="T53" s="1" t="s">
        <v>74</v>
      </c>
      <c r="U53" s="12">
        <v>44434.75</v>
      </c>
      <c r="V53" s="1" t="s">
        <v>41</v>
      </c>
      <c r="W53" s="1" t="s">
        <v>49</v>
      </c>
      <c r="X53" s="13" t="str">
        <f t="shared" si="5"/>
        <v/>
      </c>
      <c r="Y53" s="2">
        <f t="shared" ca="1" si="0"/>
        <v>395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 t="str">
        <f t="shared" si="6"/>
        <v xml:space="preserve"> RINALDO </v>
      </c>
      <c r="AD53" s="2">
        <f t="shared" si="3"/>
        <v>8</v>
      </c>
      <c r="AE53" s="2">
        <f t="shared" ca="1" si="4"/>
        <v>-551.9262716435187</v>
      </c>
      <c r="AF53" s="15"/>
    </row>
    <row r="54" spans="1:32" hidden="1">
      <c r="A54" s="1">
        <v>7147788</v>
      </c>
      <c r="B54" s="1" t="s">
        <v>101</v>
      </c>
      <c r="C54" t="s">
        <v>207</v>
      </c>
      <c r="E54" s="2">
        <v>9700000206219</v>
      </c>
      <c r="F54" s="1" t="s">
        <v>208</v>
      </c>
      <c r="G54" s="1" t="s">
        <v>53</v>
      </c>
      <c r="H54" s="1" t="s">
        <v>209</v>
      </c>
      <c r="I54" s="1" t="s">
        <v>210</v>
      </c>
      <c r="J54" s="1" t="s">
        <v>211</v>
      </c>
      <c r="K54" t="s">
        <v>212</v>
      </c>
      <c r="M54" s="1" t="s">
        <v>35</v>
      </c>
      <c r="N54" s="1">
        <v>42318949</v>
      </c>
      <c r="O54" s="1" t="s">
        <v>105</v>
      </c>
      <c r="P54" s="12">
        <v>44434.39947916667</v>
      </c>
      <c r="R54" s="1" t="s">
        <v>38</v>
      </c>
      <c r="T54" s="1" t="s">
        <v>74</v>
      </c>
      <c r="U54" s="12">
        <v>44434.75</v>
      </c>
      <c r="V54" s="1" t="s">
        <v>41</v>
      </c>
      <c r="W54" s="1" t="s">
        <v>49</v>
      </c>
      <c r="X54" s="13" t="str">
        <f t="shared" si="5"/>
        <v/>
      </c>
      <c r="Y54" s="2">
        <f t="shared" ca="1" si="0"/>
        <v>395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 t="str">
        <f t="shared" si="6"/>
        <v xml:space="preserve"> RINALDO </v>
      </c>
      <c r="AD54" s="2">
        <f t="shared" si="3"/>
        <v>8</v>
      </c>
      <c r="AE54" s="2">
        <f t="shared" ca="1" si="4"/>
        <v>-551.9262716435187</v>
      </c>
      <c r="AF54" s="15"/>
    </row>
    <row r="55" spans="1:32" hidden="1">
      <c r="A55" s="1">
        <v>7147787</v>
      </c>
      <c r="B55" s="1" t="s">
        <v>101</v>
      </c>
      <c r="C55" t="s">
        <v>207</v>
      </c>
      <c r="E55" s="2">
        <v>9700000206210</v>
      </c>
      <c r="F55" s="1" t="s">
        <v>208</v>
      </c>
      <c r="G55" s="1" t="s">
        <v>53</v>
      </c>
      <c r="H55" s="1" t="s">
        <v>209</v>
      </c>
      <c r="I55" s="1" t="s">
        <v>210</v>
      </c>
      <c r="J55" s="1" t="s">
        <v>211</v>
      </c>
      <c r="K55" t="s">
        <v>212</v>
      </c>
      <c r="M55" s="1" t="s">
        <v>35</v>
      </c>
      <c r="N55" s="1">
        <v>42318949</v>
      </c>
      <c r="O55" s="1" t="s">
        <v>105</v>
      </c>
      <c r="P55" s="12">
        <v>44434.39947916667</v>
      </c>
      <c r="R55" s="1" t="s">
        <v>38</v>
      </c>
      <c r="T55" s="1" t="s">
        <v>74</v>
      </c>
      <c r="U55" s="12">
        <v>44434.75</v>
      </c>
      <c r="V55" s="1" t="s">
        <v>41</v>
      </c>
      <c r="W55" s="1" t="s">
        <v>49</v>
      </c>
      <c r="X55" s="13" t="str">
        <f t="shared" si="5"/>
        <v/>
      </c>
      <c r="Y55" s="2">
        <f t="shared" ca="1" si="0"/>
        <v>395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 t="str">
        <f t="shared" si="6"/>
        <v xml:space="preserve"> RINALDO </v>
      </c>
      <c r="AD55" s="2">
        <f t="shared" si="3"/>
        <v>8</v>
      </c>
      <c r="AE55" s="2">
        <f t="shared" ca="1" si="4"/>
        <v>-551.9262716435187</v>
      </c>
      <c r="AF55" s="15"/>
    </row>
    <row r="56" spans="1:32" hidden="1">
      <c r="A56" s="1">
        <v>7146947</v>
      </c>
      <c r="B56" s="1" t="s">
        <v>101</v>
      </c>
      <c r="C56" t="s">
        <v>207</v>
      </c>
      <c r="E56" s="2">
        <v>9700000206218</v>
      </c>
      <c r="F56" s="1" t="s">
        <v>208</v>
      </c>
      <c r="G56" s="1" t="s">
        <v>53</v>
      </c>
      <c r="H56" s="1" t="s">
        <v>209</v>
      </c>
      <c r="I56" s="1" t="s">
        <v>210</v>
      </c>
      <c r="J56" s="1" t="s">
        <v>211</v>
      </c>
      <c r="K56" t="s">
        <v>212</v>
      </c>
      <c r="M56" s="1" t="s">
        <v>35</v>
      </c>
      <c r="N56" s="1">
        <v>42318949</v>
      </c>
      <c r="O56" s="1" t="s">
        <v>105</v>
      </c>
      <c r="P56" s="12">
        <v>44434.398113425923</v>
      </c>
      <c r="R56" s="1" t="s">
        <v>38</v>
      </c>
      <c r="T56" s="1" t="s">
        <v>74</v>
      </c>
      <c r="U56" s="12">
        <v>44434.75</v>
      </c>
      <c r="V56" s="1" t="s">
        <v>41</v>
      </c>
      <c r="W56" s="1" t="s">
        <v>49</v>
      </c>
      <c r="X56" s="13" t="str">
        <f t="shared" si="5"/>
        <v/>
      </c>
      <c r="Y56" s="2">
        <f t="shared" ca="1" si="0"/>
        <v>395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 t="str">
        <f t="shared" si="6"/>
        <v xml:space="preserve"> RINALDO </v>
      </c>
      <c r="AD56" s="2">
        <f t="shared" si="3"/>
        <v>8</v>
      </c>
      <c r="AE56" s="2">
        <f t="shared" ca="1" si="4"/>
        <v>-551.9262716435187</v>
      </c>
      <c r="AF56" s="15"/>
    </row>
    <row r="57" spans="1:32" hidden="1">
      <c r="A57" s="1">
        <v>7146818</v>
      </c>
      <c r="B57" s="1" t="s">
        <v>101</v>
      </c>
      <c r="C57" t="s">
        <v>207</v>
      </c>
      <c r="E57" s="2">
        <v>9700000206203</v>
      </c>
      <c r="F57" s="1" t="s">
        <v>208</v>
      </c>
      <c r="G57" s="1" t="s">
        <v>53</v>
      </c>
      <c r="H57" s="1" t="s">
        <v>209</v>
      </c>
      <c r="I57" s="1" t="s">
        <v>210</v>
      </c>
      <c r="J57" s="1" t="s">
        <v>211</v>
      </c>
      <c r="K57" t="s">
        <v>212</v>
      </c>
      <c r="M57" s="1" t="s">
        <v>35</v>
      </c>
      <c r="N57" s="1">
        <v>42318949</v>
      </c>
      <c r="O57" s="1" t="s">
        <v>105</v>
      </c>
      <c r="P57" s="12">
        <v>44434.397800925923</v>
      </c>
      <c r="R57" s="1" t="s">
        <v>38</v>
      </c>
      <c r="T57" s="1" t="s">
        <v>74</v>
      </c>
      <c r="U57" s="12">
        <v>44434.75</v>
      </c>
      <c r="V57" s="1" t="s">
        <v>41</v>
      </c>
      <c r="W57" s="1" t="s">
        <v>49</v>
      </c>
      <c r="X57" s="13" t="str">
        <f t="shared" si="5"/>
        <v/>
      </c>
      <c r="Y57" s="2">
        <f t="shared" ca="1" si="0"/>
        <v>395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 t="str">
        <f t="shared" si="6"/>
        <v xml:space="preserve"> RINALDO </v>
      </c>
      <c r="AD57" s="2">
        <f t="shared" si="3"/>
        <v>8</v>
      </c>
      <c r="AE57" s="2">
        <f t="shared" ca="1" si="4"/>
        <v>-551.9262716435187</v>
      </c>
      <c r="AF57" s="15"/>
    </row>
    <row r="58" spans="1:32" hidden="1">
      <c r="A58" s="1">
        <v>7146758</v>
      </c>
      <c r="B58" s="1" t="s">
        <v>101</v>
      </c>
      <c r="C58" t="s">
        <v>207</v>
      </c>
      <c r="E58" s="2">
        <v>9700000206201</v>
      </c>
      <c r="F58" s="1" t="s">
        <v>208</v>
      </c>
      <c r="G58" s="1" t="s">
        <v>53</v>
      </c>
      <c r="H58" s="1" t="s">
        <v>209</v>
      </c>
      <c r="I58" s="1" t="s">
        <v>210</v>
      </c>
      <c r="J58" s="1" t="s">
        <v>211</v>
      </c>
      <c r="K58" t="s">
        <v>212</v>
      </c>
      <c r="M58" s="1" t="s">
        <v>35</v>
      </c>
      <c r="N58" s="1">
        <v>42318949</v>
      </c>
      <c r="O58" s="1" t="s">
        <v>105</v>
      </c>
      <c r="P58" s="12">
        <v>44434.397673611114</v>
      </c>
      <c r="R58" s="1" t="s">
        <v>38</v>
      </c>
      <c r="T58" s="1" t="s">
        <v>74</v>
      </c>
      <c r="U58" s="12">
        <v>44434.75</v>
      </c>
      <c r="V58" s="1" t="s">
        <v>41</v>
      </c>
      <c r="W58" s="1" t="s">
        <v>49</v>
      </c>
      <c r="X58" s="13" t="str">
        <f t="shared" si="5"/>
        <v/>
      </c>
      <c r="Y58" s="2">
        <f t="shared" ca="1" si="0"/>
        <v>395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 t="str">
        <f t="shared" si="6"/>
        <v xml:space="preserve"> RINALDO </v>
      </c>
      <c r="AD58" s="2">
        <f t="shared" si="3"/>
        <v>8</v>
      </c>
      <c r="AE58" s="2">
        <f t="shared" ca="1" si="4"/>
        <v>-551.9262716435187</v>
      </c>
      <c r="AF58" s="15"/>
    </row>
    <row r="59" spans="1:32" hidden="1">
      <c r="A59" s="1">
        <v>7146156</v>
      </c>
      <c r="B59" s="1" t="s">
        <v>101</v>
      </c>
      <c r="C59" t="s">
        <v>207</v>
      </c>
      <c r="E59" s="2">
        <v>9700000206205</v>
      </c>
      <c r="F59" s="1" t="s">
        <v>208</v>
      </c>
      <c r="G59" s="1" t="s">
        <v>53</v>
      </c>
      <c r="H59" s="1" t="s">
        <v>209</v>
      </c>
      <c r="I59" s="1" t="s">
        <v>210</v>
      </c>
      <c r="J59" s="1" t="s">
        <v>211</v>
      </c>
      <c r="K59" t="s">
        <v>212</v>
      </c>
      <c r="M59" s="1" t="s">
        <v>35</v>
      </c>
      <c r="N59" s="1">
        <v>42318949</v>
      </c>
      <c r="O59" s="1" t="s">
        <v>105</v>
      </c>
      <c r="P59" s="12">
        <v>44434.396678240744</v>
      </c>
      <c r="R59" s="1" t="s">
        <v>38</v>
      </c>
      <c r="T59" s="1" t="s">
        <v>74</v>
      </c>
      <c r="U59" s="12">
        <v>44434.75</v>
      </c>
      <c r="V59" s="1" t="s">
        <v>41</v>
      </c>
      <c r="W59" s="1" t="s">
        <v>49</v>
      </c>
      <c r="X59" s="13" t="str">
        <f t="shared" si="5"/>
        <v/>
      </c>
      <c r="Y59" s="2">
        <f t="shared" ca="1" si="0"/>
        <v>395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 t="str">
        <f t="shared" si="6"/>
        <v xml:space="preserve"> RINALDO </v>
      </c>
      <c r="AD59" s="2">
        <f t="shared" si="3"/>
        <v>8</v>
      </c>
      <c r="AE59" s="2">
        <f t="shared" ca="1" si="4"/>
        <v>-551.9262716435187</v>
      </c>
      <c r="AF59" s="15"/>
    </row>
    <row r="60" spans="1:32" hidden="1">
      <c r="A60" s="1">
        <v>7145602</v>
      </c>
      <c r="B60" s="1" t="s">
        <v>101</v>
      </c>
      <c r="C60" t="s">
        <v>207</v>
      </c>
      <c r="E60" s="2">
        <v>9700000206207</v>
      </c>
      <c r="F60" s="1" t="s">
        <v>208</v>
      </c>
      <c r="G60" s="1" t="s">
        <v>53</v>
      </c>
      <c r="H60" s="1" t="s">
        <v>209</v>
      </c>
      <c r="I60" s="1" t="s">
        <v>210</v>
      </c>
      <c r="J60" s="1" t="s">
        <v>211</v>
      </c>
      <c r="K60" t="s">
        <v>212</v>
      </c>
      <c r="M60" s="1" t="s">
        <v>35</v>
      </c>
      <c r="N60" s="1">
        <v>42318949</v>
      </c>
      <c r="O60" s="1" t="s">
        <v>105</v>
      </c>
      <c r="P60" s="12">
        <v>44434.395624999997</v>
      </c>
      <c r="R60" s="1" t="s">
        <v>38</v>
      </c>
      <c r="T60" s="1" t="s">
        <v>74</v>
      </c>
      <c r="U60" s="12">
        <v>44434.75</v>
      </c>
      <c r="V60" s="1" t="s">
        <v>41</v>
      </c>
      <c r="W60" s="1" t="s">
        <v>49</v>
      </c>
      <c r="X60" s="13" t="str">
        <f t="shared" si="5"/>
        <v/>
      </c>
      <c r="Y60" s="2">
        <f t="shared" ca="1" si="0"/>
        <v>395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 t="str">
        <f t="shared" si="6"/>
        <v xml:space="preserve"> RINALDO </v>
      </c>
      <c r="AD60" s="2">
        <f t="shared" si="3"/>
        <v>8</v>
      </c>
      <c r="AE60" s="2">
        <f t="shared" ca="1" si="4"/>
        <v>-551.9262716435187</v>
      </c>
      <c r="AF60" s="15"/>
    </row>
    <row r="61" spans="1:32" hidden="1">
      <c r="A61" s="1">
        <v>7145601</v>
      </c>
      <c r="B61" s="1" t="s">
        <v>101</v>
      </c>
      <c r="C61" t="s">
        <v>207</v>
      </c>
      <c r="E61" s="2">
        <v>9700000206204</v>
      </c>
      <c r="F61" s="1" t="s">
        <v>208</v>
      </c>
      <c r="G61" s="1" t="s">
        <v>53</v>
      </c>
      <c r="H61" s="1" t="s">
        <v>209</v>
      </c>
      <c r="I61" s="1" t="s">
        <v>210</v>
      </c>
      <c r="J61" s="1" t="s">
        <v>211</v>
      </c>
      <c r="K61" t="s">
        <v>212</v>
      </c>
      <c r="M61" s="1" t="s">
        <v>35</v>
      </c>
      <c r="N61" s="1">
        <v>42318949</v>
      </c>
      <c r="O61" s="1" t="s">
        <v>105</v>
      </c>
      <c r="P61" s="12">
        <v>44434.395624999997</v>
      </c>
      <c r="R61" s="1" t="s">
        <v>38</v>
      </c>
      <c r="T61" s="1" t="s">
        <v>74</v>
      </c>
      <c r="U61" s="12">
        <v>44434.75</v>
      </c>
      <c r="V61" s="1" t="s">
        <v>41</v>
      </c>
      <c r="W61" s="1" t="s">
        <v>49</v>
      </c>
      <c r="X61" s="13" t="str">
        <f t="shared" si="5"/>
        <v/>
      </c>
      <c r="Y61" s="2">
        <f t="shared" ca="1" si="0"/>
        <v>395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 t="str">
        <f t="shared" si="6"/>
        <v xml:space="preserve"> RINALDO </v>
      </c>
      <c r="AD61" s="2">
        <f t="shared" si="3"/>
        <v>8</v>
      </c>
      <c r="AE61" s="2">
        <f t="shared" ca="1" si="4"/>
        <v>-551.9262716435187</v>
      </c>
      <c r="AF61" s="15"/>
    </row>
    <row r="62" spans="1:32" hidden="1">
      <c r="A62" s="1">
        <v>7145296</v>
      </c>
      <c r="B62" s="1" t="s">
        <v>101</v>
      </c>
      <c r="C62" t="s">
        <v>207</v>
      </c>
      <c r="E62" s="2">
        <v>9700000206213</v>
      </c>
      <c r="F62" s="1" t="s">
        <v>208</v>
      </c>
      <c r="G62" s="1" t="s">
        <v>53</v>
      </c>
      <c r="H62" s="1" t="s">
        <v>209</v>
      </c>
      <c r="I62" s="1" t="s">
        <v>210</v>
      </c>
      <c r="J62" s="1" t="s">
        <v>211</v>
      </c>
      <c r="K62" t="s">
        <v>212</v>
      </c>
      <c r="M62" s="1" t="s">
        <v>35</v>
      </c>
      <c r="N62" s="1">
        <v>42318949</v>
      </c>
      <c r="O62" s="1" t="s">
        <v>105</v>
      </c>
      <c r="P62" s="12">
        <v>44434.395150462966</v>
      </c>
      <c r="R62" s="1" t="s">
        <v>38</v>
      </c>
      <c r="T62" s="1" t="s">
        <v>74</v>
      </c>
      <c r="U62" s="12">
        <v>44434.75</v>
      </c>
      <c r="V62" s="1" t="s">
        <v>41</v>
      </c>
      <c r="W62" s="1" t="s">
        <v>49</v>
      </c>
      <c r="X62" s="13" t="str">
        <f t="shared" si="5"/>
        <v/>
      </c>
      <c r="Y62" s="2">
        <f t="shared" ca="1" si="0"/>
        <v>395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 t="str">
        <f t="shared" si="6"/>
        <v xml:space="preserve"> RINALDO </v>
      </c>
      <c r="AD62" s="2">
        <f t="shared" si="3"/>
        <v>8</v>
      </c>
      <c r="AE62" s="2">
        <f t="shared" ca="1" si="4"/>
        <v>-551.9262716435187</v>
      </c>
      <c r="AF62" s="15"/>
    </row>
    <row r="63" spans="1:32" hidden="1">
      <c r="A63" s="1">
        <v>7144762</v>
      </c>
      <c r="B63" s="1" t="s">
        <v>101</v>
      </c>
      <c r="C63" t="s">
        <v>207</v>
      </c>
      <c r="E63" s="2">
        <v>9700000206212</v>
      </c>
      <c r="F63" s="1" t="s">
        <v>208</v>
      </c>
      <c r="G63" s="1" t="s">
        <v>53</v>
      </c>
      <c r="H63" s="1" t="s">
        <v>209</v>
      </c>
      <c r="I63" s="1" t="s">
        <v>210</v>
      </c>
      <c r="J63" s="1" t="s">
        <v>211</v>
      </c>
      <c r="K63" t="s">
        <v>212</v>
      </c>
      <c r="M63" s="1" t="s">
        <v>35</v>
      </c>
      <c r="N63" s="1">
        <v>42318949</v>
      </c>
      <c r="O63" s="1" t="s">
        <v>105</v>
      </c>
      <c r="P63" s="12">
        <v>44434.39434027778</v>
      </c>
      <c r="R63" s="1" t="s">
        <v>38</v>
      </c>
      <c r="T63" s="1" t="s">
        <v>74</v>
      </c>
      <c r="U63" s="12">
        <v>44434.75</v>
      </c>
      <c r="V63" s="1" t="s">
        <v>41</v>
      </c>
      <c r="W63" s="1" t="s">
        <v>49</v>
      </c>
      <c r="X63" s="13" t="str">
        <f t="shared" si="5"/>
        <v/>
      </c>
      <c r="Y63" s="2">
        <f t="shared" ca="1" si="0"/>
        <v>395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 t="str">
        <f t="shared" si="6"/>
        <v xml:space="preserve"> RINALDO </v>
      </c>
      <c r="AD63" s="2">
        <f t="shared" si="3"/>
        <v>8</v>
      </c>
      <c r="AE63" s="2">
        <f t="shared" ca="1" si="4"/>
        <v>-551.9262716435187</v>
      </c>
      <c r="AF63" s="15"/>
    </row>
    <row r="64" spans="1:32" hidden="1">
      <c r="A64" s="1">
        <v>7144761</v>
      </c>
      <c r="B64" s="1" t="s">
        <v>101</v>
      </c>
      <c r="C64" t="s">
        <v>207</v>
      </c>
      <c r="E64" s="2">
        <v>9700000206209</v>
      </c>
      <c r="F64" s="1" t="s">
        <v>208</v>
      </c>
      <c r="G64" s="1" t="s">
        <v>53</v>
      </c>
      <c r="H64" s="1" t="s">
        <v>209</v>
      </c>
      <c r="I64" s="1" t="s">
        <v>210</v>
      </c>
      <c r="J64" s="1" t="s">
        <v>211</v>
      </c>
      <c r="K64" t="s">
        <v>212</v>
      </c>
      <c r="M64" s="1" t="s">
        <v>35</v>
      </c>
      <c r="N64" s="1">
        <v>42318949</v>
      </c>
      <c r="O64" s="1" t="s">
        <v>105</v>
      </c>
      <c r="P64" s="12">
        <v>44434.39434027778</v>
      </c>
      <c r="R64" s="1" t="s">
        <v>38</v>
      </c>
      <c r="T64" s="1" t="s">
        <v>74</v>
      </c>
      <c r="U64" s="12">
        <v>44434.75</v>
      </c>
      <c r="V64" s="1" t="s">
        <v>41</v>
      </c>
      <c r="W64" s="1" t="s">
        <v>49</v>
      </c>
      <c r="X64" s="13" t="str">
        <f t="shared" si="5"/>
        <v/>
      </c>
      <c r="Y64" s="2">
        <f t="shared" ca="1" si="0"/>
        <v>395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 t="str">
        <f t="shared" si="6"/>
        <v xml:space="preserve"> RINALDO </v>
      </c>
      <c r="AD64" s="2">
        <f t="shared" si="3"/>
        <v>8</v>
      </c>
      <c r="AE64" s="2">
        <f t="shared" ca="1" si="4"/>
        <v>-551.9262716435187</v>
      </c>
      <c r="AF64" s="15"/>
    </row>
    <row r="65" spans="1:32" hidden="1">
      <c r="A65" s="1">
        <v>7144466</v>
      </c>
      <c r="B65" s="1" t="s">
        <v>101</v>
      </c>
      <c r="C65" t="s">
        <v>207</v>
      </c>
      <c r="E65" s="2">
        <v>9700000206217</v>
      </c>
      <c r="F65" s="1" t="s">
        <v>208</v>
      </c>
      <c r="G65" s="1" t="s">
        <v>53</v>
      </c>
      <c r="H65" s="1" t="s">
        <v>209</v>
      </c>
      <c r="I65" s="1" t="s">
        <v>210</v>
      </c>
      <c r="J65" s="1" t="s">
        <v>211</v>
      </c>
      <c r="K65" t="s">
        <v>212</v>
      </c>
      <c r="M65" s="1" t="s">
        <v>35</v>
      </c>
      <c r="N65" s="1">
        <v>42318949</v>
      </c>
      <c r="O65" s="1" t="s">
        <v>105</v>
      </c>
      <c r="P65" s="12">
        <v>44434.393923611111</v>
      </c>
      <c r="R65" s="1" t="s">
        <v>38</v>
      </c>
      <c r="T65" s="1" t="s">
        <v>74</v>
      </c>
      <c r="U65" s="12">
        <v>44434.75</v>
      </c>
      <c r="V65" s="1" t="s">
        <v>41</v>
      </c>
      <c r="W65" s="1" t="s">
        <v>49</v>
      </c>
      <c r="X65" s="13" t="str">
        <f t="shared" si="5"/>
        <v/>
      </c>
      <c r="Y65" s="2">
        <f t="shared" ca="1" si="0"/>
        <v>395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 t="str">
        <f t="shared" si="6"/>
        <v xml:space="preserve"> RINALDO </v>
      </c>
      <c r="AD65" s="2">
        <f t="shared" si="3"/>
        <v>8</v>
      </c>
      <c r="AE65" s="2">
        <f t="shared" ca="1" si="4"/>
        <v>-551.9262716435187</v>
      </c>
      <c r="AF65" s="15"/>
    </row>
    <row r="66" spans="1:32" hidden="1">
      <c r="A66" s="1">
        <v>7144465</v>
      </c>
      <c r="B66" s="1" t="s">
        <v>101</v>
      </c>
      <c r="C66" t="s">
        <v>207</v>
      </c>
      <c r="E66" s="2">
        <v>9700000206216</v>
      </c>
      <c r="F66" s="1" t="s">
        <v>208</v>
      </c>
      <c r="G66" s="1" t="s">
        <v>53</v>
      </c>
      <c r="H66" s="1" t="s">
        <v>209</v>
      </c>
      <c r="I66" s="1" t="s">
        <v>210</v>
      </c>
      <c r="J66" s="1" t="s">
        <v>211</v>
      </c>
      <c r="K66" t="s">
        <v>212</v>
      </c>
      <c r="M66" s="1" t="s">
        <v>35</v>
      </c>
      <c r="N66" s="1">
        <v>42318949</v>
      </c>
      <c r="O66" s="1" t="s">
        <v>105</v>
      </c>
      <c r="P66" s="12">
        <v>44434.393923611111</v>
      </c>
      <c r="R66" s="1" t="s">
        <v>38</v>
      </c>
      <c r="T66" s="1" t="s">
        <v>74</v>
      </c>
      <c r="U66" s="12">
        <v>44434.75</v>
      </c>
      <c r="V66" s="1" t="s">
        <v>41</v>
      </c>
      <c r="W66" s="1" t="s">
        <v>49</v>
      </c>
      <c r="X66" s="13" t="str">
        <f t="shared" si="5"/>
        <v/>
      </c>
      <c r="Y66" s="2">
        <f t="shared" ref="Y66:Y129" ca="1" si="7">NETWORKDAYS(P66,$Y$1)</f>
        <v>395</v>
      </c>
      <c r="Z66" s="14">
        <v>1</v>
      </c>
      <c r="AA66" s="1" t="str">
        <f t="shared" ref="AA66:AA129" ca="1" si="8">IF(AE66=0,"HOJE",IF(AE66&gt;0,"A VENCER",IF(AE66&lt;0,"VENCIDO")))</f>
        <v>VENCIDO</v>
      </c>
      <c r="AB66" s="1" t="str">
        <f t="shared" ref="AB66:AB129" si="9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 t="str">
        <f t="shared" si="6"/>
        <v xml:space="preserve"> RINALDO </v>
      </c>
      <c r="AD66" s="2">
        <f t="shared" ref="AD66:AD129" si="10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1">IF(U66=$AE$1,"",U66-$AE$1)</f>
        <v>-551.9262716435187</v>
      </c>
      <c r="AF66" s="15"/>
    </row>
    <row r="67" spans="1:32" hidden="1">
      <c r="A67" s="1">
        <v>7144464</v>
      </c>
      <c r="B67" s="1" t="s">
        <v>101</v>
      </c>
      <c r="C67" t="s">
        <v>207</v>
      </c>
      <c r="E67" s="2">
        <v>9700000206211</v>
      </c>
      <c r="F67" s="1" t="s">
        <v>208</v>
      </c>
      <c r="G67" s="1" t="s">
        <v>53</v>
      </c>
      <c r="H67" s="1" t="s">
        <v>209</v>
      </c>
      <c r="I67" s="1" t="s">
        <v>210</v>
      </c>
      <c r="J67" s="1" t="s">
        <v>211</v>
      </c>
      <c r="K67" t="s">
        <v>212</v>
      </c>
      <c r="M67" s="1" t="s">
        <v>35</v>
      </c>
      <c r="N67" s="1">
        <v>42318949</v>
      </c>
      <c r="O67" s="1" t="s">
        <v>105</v>
      </c>
      <c r="P67" s="12">
        <v>44434.393923611111</v>
      </c>
      <c r="R67" s="1" t="s">
        <v>38</v>
      </c>
      <c r="T67" s="1" t="s">
        <v>74</v>
      </c>
      <c r="U67" s="12">
        <v>44434.75</v>
      </c>
      <c r="V67" s="1" t="s">
        <v>41</v>
      </c>
      <c r="W67" s="1" t="s">
        <v>49</v>
      </c>
      <c r="X67" s="13" t="str">
        <f t="shared" ref="X67:X130" si="12">IF(RIGHT(H67,2)&lt;&gt;"00",H67,"")</f>
        <v/>
      </c>
      <c r="Y67" s="2">
        <f t="shared" ca="1" si="7"/>
        <v>395</v>
      </c>
      <c r="Z67" s="14">
        <v>1</v>
      </c>
      <c r="AA67" s="1" t="str">
        <f t="shared" ca="1" si="8"/>
        <v>VENCIDO</v>
      </c>
      <c r="AB67" s="1" t="str">
        <f t="shared" si="9"/>
        <v>TAAe+</v>
      </c>
      <c r="AC67" s="2" t="str">
        <f t="shared" ref="AC67:AC130" si="13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 xml:space="preserve"> RINALDO </v>
      </c>
      <c r="AD67" s="2">
        <f t="shared" si="10"/>
        <v>8</v>
      </c>
      <c r="AE67" s="2">
        <f t="shared" ca="1" si="11"/>
        <v>-551.9262716435187</v>
      </c>
      <c r="AF67" s="15"/>
    </row>
    <row r="68" spans="1:32" hidden="1">
      <c r="A68" s="1">
        <v>7280202</v>
      </c>
      <c r="B68" s="1" t="s">
        <v>226</v>
      </c>
      <c r="C68" t="s">
        <v>227</v>
      </c>
      <c r="E68" s="2">
        <v>7710206001</v>
      </c>
      <c r="F68" s="1" t="s">
        <v>29</v>
      </c>
      <c r="G68" s="1" t="s">
        <v>53</v>
      </c>
      <c r="H68" s="1" t="s">
        <v>228</v>
      </c>
      <c r="I68" s="1" t="s">
        <v>229</v>
      </c>
      <c r="J68" s="1" t="s">
        <v>46</v>
      </c>
      <c r="K68" t="s">
        <v>34</v>
      </c>
      <c r="M68" s="1" t="s">
        <v>35</v>
      </c>
      <c r="N68" s="1">
        <v>42318949</v>
      </c>
      <c r="O68" s="1" t="s">
        <v>105</v>
      </c>
      <c r="P68" s="12">
        <v>44440.410682870373</v>
      </c>
      <c r="R68" s="1" t="s">
        <v>38</v>
      </c>
      <c r="T68" s="1" t="s">
        <v>74</v>
      </c>
      <c r="U68" s="12">
        <v>44483.75</v>
      </c>
      <c r="V68" s="1" t="s">
        <v>41</v>
      </c>
      <c r="W68" s="1" t="s">
        <v>49</v>
      </c>
      <c r="X68" s="13" t="str">
        <f t="shared" si="12"/>
        <v>0007.71</v>
      </c>
      <c r="Y68" s="2">
        <f t="shared" ca="1" si="7"/>
        <v>391</v>
      </c>
      <c r="Z68" s="14">
        <v>1</v>
      </c>
      <c r="AA68" s="1" t="str">
        <f t="shared" ca="1" si="8"/>
        <v>VENCIDO</v>
      </c>
      <c r="AB68" s="1" t="str">
        <f t="shared" si="9"/>
        <v>Dosa</v>
      </c>
      <c r="AC68" s="2" t="str">
        <f t="shared" si="13"/>
        <v xml:space="preserve"> CLEITON </v>
      </c>
      <c r="AD68" s="2">
        <f t="shared" si="10"/>
        <v>5</v>
      </c>
      <c r="AE68" s="2">
        <f t="shared" ca="1" si="11"/>
        <v>-502.9262716435187</v>
      </c>
      <c r="AF68" s="15"/>
    </row>
    <row r="69" spans="1:32" hidden="1">
      <c r="A69" s="1">
        <v>7633015</v>
      </c>
      <c r="B69" s="1" t="s">
        <v>81</v>
      </c>
      <c r="C69" t="s">
        <v>232</v>
      </c>
      <c r="E69" s="2">
        <v>9600113560766</v>
      </c>
      <c r="F69" s="1" t="s">
        <v>233</v>
      </c>
      <c r="G69" s="1" t="s">
        <v>30</v>
      </c>
      <c r="H69" s="1" t="s">
        <v>234</v>
      </c>
      <c r="I69" s="1" t="s">
        <v>235</v>
      </c>
      <c r="J69" s="1" t="s">
        <v>33</v>
      </c>
      <c r="K69" t="s">
        <v>236</v>
      </c>
      <c r="M69" s="1" t="s">
        <v>58</v>
      </c>
      <c r="N69" s="1">
        <v>0</v>
      </c>
      <c r="O69" s="1" t="s">
        <v>105</v>
      </c>
      <c r="P69" s="11" t="s">
        <v>237</v>
      </c>
      <c r="R69" s="1">
        <v>12</v>
      </c>
      <c r="S69" s="1">
        <v>4804</v>
      </c>
      <c r="T69" s="1" t="s">
        <v>238</v>
      </c>
      <c r="U69" s="11" t="s">
        <v>239</v>
      </c>
      <c r="V69" s="1" t="s">
        <v>41</v>
      </c>
      <c r="W69" s="1" t="s">
        <v>42</v>
      </c>
      <c r="X69" s="13" t="str">
        <f t="shared" si="12"/>
        <v>0069.16</v>
      </c>
      <c r="Y69" s="2">
        <f t="shared" ca="1" si="7"/>
        <v>380</v>
      </c>
      <c r="Z69" s="14">
        <v>1</v>
      </c>
      <c r="AA69" s="1" t="str">
        <f t="shared" ca="1" si="8"/>
        <v>VENCIDO</v>
      </c>
      <c r="AB69" s="1" t="str">
        <f t="shared" si="9"/>
        <v>TAAe+</v>
      </c>
      <c r="AC69" s="2" t="str">
        <f t="shared" si="13"/>
        <v xml:space="preserve"> ROSEMERE </v>
      </c>
      <c r="AD69" s="2">
        <f t="shared" si="10"/>
        <v>8</v>
      </c>
      <c r="AE69" s="2">
        <f t="shared" ca="1" si="11"/>
        <v>-530.08753321759286</v>
      </c>
      <c r="AF69" s="15"/>
    </row>
    <row r="70" spans="1:32" hidden="1">
      <c r="A70" s="1">
        <v>7727803</v>
      </c>
      <c r="B70" s="1" t="s">
        <v>81</v>
      </c>
      <c r="C70" t="s">
        <v>240</v>
      </c>
      <c r="E70" s="2">
        <v>3478000206001</v>
      </c>
      <c r="F70" s="1" t="s">
        <v>29</v>
      </c>
      <c r="G70" s="1" t="s">
        <v>53</v>
      </c>
      <c r="H70" s="1" t="s">
        <v>241</v>
      </c>
      <c r="I70" s="1" t="s">
        <v>242</v>
      </c>
      <c r="J70" s="1" t="s">
        <v>46</v>
      </c>
      <c r="K70" t="s">
        <v>34</v>
      </c>
      <c r="M70" s="1" t="s">
        <v>35</v>
      </c>
      <c r="N70" s="1">
        <v>42318949</v>
      </c>
      <c r="O70" s="1" t="s">
        <v>36</v>
      </c>
      <c r="P70" s="11" t="s">
        <v>243</v>
      </c>
      <c r="R70" s="1" t="s">
        <v>38</v>
      </c>
      <c r="T70" s="1" t="s">
        <v>74</v>
      </c>
      <c r="U70" s="11" t="s">
        <v>244</v>
      </c>
      <c r="V70" s="1" t="s">
        <v>41</v>
      </c>
      <c r="W70" s="1" t="s">
        <v>49</v>
      </c>
      <c r="X70" s="13" t="str">
        <f t="shared" si="12"/>
        <v>2988.91</v>
      </c>
      <c r="Y70" s="2">
        <f t="shared" ca="1" si="7"/>
        <v>378</v>
      </c>
      <c r="Z70" s="14">
        <v>1</v>
      </c>
      <c r="AA70" s="1" t="str">
        <f t="shared" ca="1" si="8"/>
        <v>VENCIDO</v>
      </c>
      <c r="AB70" s="1" t="str">
        <f t="shared" si="9"/>
        <v>Dosa</v>
      </c>
      <c r="AC70" s="2" t="str">
        <f t="shared" si="13"/>
        <v xml:space="preserve"> CLEITON </v>
      </c>
      <c r="AD70" s="2">
        <f t="shared" si="10"/>
        <v>5</v>
      </c>
      <c r="AE70" s="2">
        <f t="shared" ca="1" si="11"/>
        <v>-526.12525312499929</v>
      </c>
      <c r="AF70" s="15"/>
    </row>
    <row r="71" spans="1:32" hidden="1">
      <c r="A71" s="1">
        <v>7726669</v>
      </c>
      <c r="B71" s="1" t="s">
        <v>81</v>
      </c>
      <c r="C71" t="s">
        <v>240</v>
      </c>
      <c r="E71" s="2">
        <v>8259000206001</v>
      </c>
      <c r="F71" s="1" t="s">
        <v>29</v>
      </c>
      <c r="G71" s="1" t="s">
        <v>53</v>
      </c>
      <c r="H71" s="1" t="s">
        <v>245</v>
      </c>
      <c r="I71" s="1" t="s">
        <v>246</v>
      </c>
      <c r="J71" s="1" t="s">
        <v>141</v>
      </c>
      <c r="K71" t="s">
        <v>34</v>
      </c>
      <c r="M71" s="1" t="s">
        <v>35</v>
      </c>
      <c r="N71" s="1">
        <v>42318949</v>
      </c>
      <c r="O71" s="1" t="s">
        <v>36</v>
      </c>
      <c r="P71" s="11" t="s">
        <v>247</v>
      </c>
      <c r="R71" s="1" t="s">
        <v>38</v>
      </c>
      <c r="T71" s="1" t="s">
        <v>74</v>
      </c>
      <c r="U71" s="186">
        <v>44460.549027777779</v>
      </c>
      <c r="V71" s="1" t="s">
        <v>41</v>
      </c>
      <c r="W71" s="1" t="s">
        <v>49</v>
      </c>
      <c r="X71" s="13" t="str">
        <f t="shared" si="12"/>
        <v/>
      </c>
      <c r="Y71" s="2">
        <f t="shared" ca="1" si="7"/>
        <v>378</v>
      </c>
      <c r="Z71" s="14">
        <v>1</v>
      </c>
      <c r="AA71" s="1" t="str">
        <f t="shared" ca="1" si="8"/>
        <v>VENCIDO</v>
      </c>
      <c r="AB71" s="1" t="str">
        <f t="shared" si="9"/>
        <v>Dosa</v>
      </c>
      <c r="AC71" s="2" t="str">
        <f t="shared" si="13"/>
        <v xml:space="preserve"> CRISTINA </v>
      </c>
      <c r="AD71" s="2">
        <f t="shared" si="10"/>
        <v>5</v>
      </c>
      <c r="AE71" s="2">
        <f t="shared" ca="1" si="11"/>
        <v>-526.12724386573973</v>
      </c>
      <c r="AF71" s="15"/>
    </row>
    <row r="72" spans="1:32" hidden="1">
      <c r="A72" s="1">
        <v>7726664</v>
      </c>
      <c r="B72" s="1" t="s">
        <v>81</v>
      </c>
      <c r="C72" t="s">
        <v>240</v>
      </c>
      <c r="E72" s="2">
        <v>2855000206001</v>
      </c>
      <c r="F72" s="1" t="s">
        <v>29</v>
      </c>
      <c r="G72" s="1" t="s">
        <v>53</v>
      </c>
      <c r="H72" s="1" t="s">
        <v>249</v>
      </c>
      <c r="I72" s="1" t="s">
        <v>250</v>
      </c>
      <c r="J72" s="1" t="s">
        <v>56</v>
      </c>
      <c r="K72" t="s">
        <v>34</v>
      </c>
      <c r="M72" s="1" t="s">
        <v>35</v>
      </c>
      <c r="N72" s="1">
        <v>42318949</v>
      </c>
      <c r="O72" s="1" t="s">
        <v>36</v>
      </c>
      <c r="P72" s="11" t="s">
        <v>251</v>
      </c>
      <c r="R72" s="1" t="s">
        <v>38</v>
      </c>
      <c r="T72" s="1" t="s">
        <v>74</v>
      </c>
      <c r="U72" s="11" t="s">
        <v>252</v>
      </c>
      <c r="V72" s="1" t="s">
        <v>41</v>
      </c>
      <c r="W72" s="1" t="s">
        <v>49</v>
      </c>
      <c r="X72" s="13" t="str">
        <f t="shared" si="12"/>
        <v/>
      </c>
      <c r="Y72" s="2">
        <f t="shared" ca="1" si="7"/>
        <v>378</v>
      </c>
      <c r="Z72" s="14">
        <v>1</v>
      </c>
      <c r="AA72" s="1" t="str">
        <f t="shared" ca="1" si="8"/>
        <v>VENCIDO</v>
      </c>
      <c r="AB72" s="1" t="str">
        <f t="shared" si="9"/>
        <v>Dosa</v>
      </c>
      <c r="AC72" s="2" t="str">
        <f t="shared" si="13"/>
        <v xml:space="preserve"> CRISTINA </v>
      </c>
      <c r="AD72" s="2">
        <f t="shared" si="10"/>
        <v>5</v>
      </c>
      <c r="AE72" s="2">
        <f t="shared" ca="1" si="11"/>
        <v>-526.12725543981651</v>
      </c>
      <c r="AF72" s="15"/>
    </row>
    <row r="73" spans="1:32" hidden="1">
      <c r="A73" s="1">
        <v>7726663</v>
      </c>
      <c r="B73" s="1" t="s">
        <v>81</v>
      </c>
      <c r="C73" t="s">
        <v>240</v>
      </c>
      <c r="E73" s="2">
        <v>2693000206001</v>
      </c>
      <c r="F73" s="1" t="s">
        <v>29</v>
      </c>
      <c r="G73" s="1" t="s">
        <v>53</v>
      </c>
      <c r="H73" s="1" t="s">
        <v>253</v>
      </c>
      <c r="I73" s="1" t="s">
        <v>254</v>
      </c>
      <c r="J73" s="1" t="s">
        <v>56</v>
      </c>
      <c r="K73" t="s">
        <v>34</v>
      </c>
      <c r="M73" s="1" t="s">
        <v>35</v>
      </c>
      <c r="N73" s="1">
        <v>42318949</v>
      </c>
      <c r="O73" s="1" t="s">
        <v>36</v>
      </c>
      <c r="P73" s="11" t="s">
        <v>251</v>
      </c>
      <c r="R73" s="1" t="s">
        <v>38</v>
      </c>
      <c r="T73" s="1" t="s">
        <v>74</v>
      </c>
      <c r="U73" s="11" t="s">
        <v>252</v>
      </c>
      <c r="V73" s="1" t="s">
        <v>41</v>
      </c>
      <c r="W73" s="1" t="s">
        <v>49</v>
      </c>
      <c r="X73" s="13" t="str">
        <f t="shared" si="12"/>
        <v/>
      </c>
      <c r="Y73" s="2">
        <f t="shared" ca="1" si="7"/>
        <v>378</v>
      </c>
      <c r="Z73" s="14">
        <v>1</v>
      </c>
      <c r="AA73" s="1" t="str">
        <f t="shared" ca="1" si="8"/>
        <v>VENCIDO</v>
      </c>
      <c r="AB73" s="1" t="str">
        <f t="shared" si="9"/>
        <v>Dosa</v>
      </c>
      <c r="AC73" s="2" t="str">
        <f t="shared" si="13"/>
        <v xml:space="preserve"> CRISTINA </v>
      </c>
      <c r="AD73" s="2">
        <f t="shared" si="10"/>
        <v>5</v>
      </c>
      <c r="AE73" s="2">
        <f t="shared" ca="1" si="11"/>
        <v>-526.12725543981651</v>
      </c>
      <c r="AF73" s="15"/>
    </row>
    <row r="74" spans="1:32" hidden="1">
      <c r="A74" s="1">
        <v>7726661</v>
      </c>
      <c r="B74" s="1" t="s">
        <v>81</v>
      </c>
      <c r="C74" t="s">
        <v>240</v>
      </c>
      <c r="E74" s="2">
        <v>2564000206001</v>
      </c>
      <c r="F74" s="1" t="s">
        <v>29</v>
      </c>
      <c r="G74" s="1" t="s">
        <v>53</v>
      </c>
      <c r="H74" s="1" t="s">
        <v>255</v>
      </c>
      <c r="I74" s="1" t="s">
        <v>256</v>
      </c>
      <c r="J74" s="1" t="s">
        <v>164</v>
      </c>
      <c r="K74" t="s">
        <v>34</v>
      </c>
      <c r="M74" s="1" t="s">
        <v>35</v>
      </c>
      <c r="N74" s="1">
        <v>42318949</v>
      </c>
      <c r="O74" s="1" t="s">
        <v>36</v>
      </c>
      <c r="P74" s="11" t="s">
        <v>257</v>
      </c>
      <c r="R74" s="1" t="s">
        <v>38</v>
      </c>
      <c r="T74" s="1" t="s">
        <v>74</v>
      </c>
      <c r="U74" s="11" t="s">
        <v>258</v>
      </c>
      <c r="V74" s="1" t="s">
        <v>41</v>
      </c>
      <c r="W74" s="1" t="s">
        <v>49</v>
      </c>
      <c r="X74" s="13" t="str">
        <f t="shared" si="12"/>
        <v/>
      </c>
      <c r="Y74" s="2">
        <f t="shared" ca="1" si="7"/>
        <v>378</v>
      </c>
      <c r="Z74" s="14">
        <v>1</v>
      </c>
      <c r="AA74" s="1" t="str">
        <f t="shared" ca="1" si="8"/>
        <v>VENCIDO</v>
      </c>
      <c r="AB74" s="1" t="str">
        <f t="shared" si="9"/>
        <v>Dosa</v>
      </c>
      <c r="AC74" s="2" t="str">
        <f t="shared" si="13"/>
        <v xml:space="preserve"> ROSEMERE </v>
      </c>
      <c r="AD74" s="2">
        <f t="shared" si="10"/>
        <v>5</v>
      </c>
      <c r="AE74" s="2">
        <f t="shared" ca="1" si="11"/>
        <v>-526.12726701388601</v>
      </c>
      <c r="AF74" s="15"/>
    </row>
    <row r="75" spans="1:32" hidden="1">
      <c r="A75" s="1">
        <v>7726660</v>
      </c>
      <c r="B75" s="1" t="s">
        <v>81</v>
      </c>
      <c r="C75" t="s">
        <v>240</v>
      </c>
      <c r="E75" s="2">
        <v>2559000206001</v>
      </c>
      <c r="F75" s="1" t="s">
        <v>29</v>
      </c>
      <c r="G75" s="1" t="s">
        <v>53</v>
      </c>
      <c r="H75" s="1" t="s">
        <v>259</v>
      </c>
      <c r="I75" s="1" t="s">
        <v>260</v>
      </c>
      <c r="J75" s="1" t="s">
        <v>261</v>
      </c>
      <c r="K75" t="s">
        <v>34</v>
      </c>
      <c r="M75" s="1" t="s">
        <v>35</v>
      </c>
      <c r="N75" s="1">
        <v>42318949</v>
      </c>
      <c r="O75" s="1" t="s">
        <v>36</v>
      </c>
      <c r="P75" s="11" t="s">
        <v>257</v>
      </c>
      <c r="R75" s="1" t="s">
        <v>38</v>
      </c>
      <c r="T75" s="1" t="s">
        <v>74</v>
      </c>
      <c r="U75" s="11" t="s">
        <v>258</v>
      </c>
      <c r="V75" s="1" t="s">
        <v>41</v>
      </c>
      <c r="W75" s="1" t="s">
        <v>49</v>
      </c>
      <c r="X75" s="13" t="str">
        <f t="shared" si="12"/>
        <v/>
      </c>
      <c r="Y75" s="2">
        <f t="shared" ca="1" si="7"/>
        <v>378</v>
      </c>
      <c r="Z75" s="14">
        <v>1</v>
      </c>
      <c r="AA75" s="1" t="str">
        <f t="shared" ca="1" si="8"/>
        <v>VENCIDO</v>
      </c>
      <c r="AB75" s="1" t="str">
        <f t="shared" si="9"/>
        <v>Dosa</v>
      </c>
      <c r="AC75" s="2" t="str">
        <f t="shared" si="13"/>
        <v xml:space="preserve"> CRISTINA </v>
      </c>
      <c r="AD75" s="2">
        <f t="shared" si="10"/>
        <v>5</v>
      </c>
      <c r="AE75" s="2">
        <f t="shared" ca="1" si="11"/>
        <v>-526.12726701388601</v>
      </c>
      <c r="AF75" s="15"/>
    </row>
    <row r="76" spans="1:32" hidden="1">
      <c r="A76" s="1">
        <v>7726658</v>
      </c>
      <c r="B76" s="1" t="s">
        <v>81</v>
      </c>
      <c r="C76" t="s">
        <v>240</v>
      </c>
      <c r="E76" s="2">
        <v>2107000206001</v>
      </c>
      <c r="F76" s="1" t="s">
        <v>29</v>
      </c>
      <c r="G76" s="1" t="s">
        <v>53</v>
      </c>
      <c r="H76" s="1" t="s">
        <v>262</v>
      </c>
      <c r="I76" s="1" t="s">
        <v>263</v>
      </c>
      <c r="J76" s="1" t="s">
        <v>164</v>
      </c>
      <c r="K76" t="s">
        <v>34</v>
      </c>
      <c r="M76" s="1" t="s">
        <v>35</v>
      </c>
      <c r="N76" s="1">
        <v>42318949</v>
      </c>
      <c r="O76" s="1" t="s">
        <v>36</v>
      </c>
      <c r="P76" s="11" t="s">
        <v>257</v>
      </c>
      <c r="R76" s="1" t="s">
        <v>38</v>
      </c>
      <c r="T76" s="1" t="s">
        <v>74</v>
      </c>
      <c r="U76" s="11" t="s">
        <v>258</v>
      </c>
      <c r="V76" s="1" t="s">
        <v>41</v>
      </c>
      <c r="W76" s="1" t="s">
        <v>49</v>
      </c>
      <c r="X76" s="13" t="str">
        <f t="shared" si="12"/>
        <v/>
      </c>
      <c r="Y76" s="2">
        <f t="shared" ca="1" si="7"/>
        <v>378</v>
      </c>
      <c r="Z76" s="14">
        <v>1</v>
      </c>
      <c r="AA76" s="1" t="str">
        <f t="shared" ca="1" si="8"/>
        <v>VENCIDO</v>
      </c>
      <c r="AB76" s="1" t="str">
        <f t="shared" si="9"/>
        <v>Dosa</v>
      </c>
      <c r="AC76" s="2" t="str">
        <f t="shared" si="13"/>
        <v xml:space="preserve"> ROSEMERE </v>
      </c>
      <c r="AD76" s="2">
        <f t="shared" si="10"/>
        <v>5</v>
      </c>
      <c r="AE76" s="2">
        <f t="shared" ca="1" si="11"/>
        <v>-526.12726701388601</v>
      </c>
      <c r="AF76" s="15"/>
    </row>
    <row r="77" spans="1:32" hidden="1">
      <c r="A77" s="1">
        <v>7726655</v>
      </c>
      <c r="B77" s="1" t="s">
        <v>81</v>
      </c>
      <c r="C77" t="s">
        <v>240</v>
      </c>
      <c r="E77" s="2">
        <v>1943000206001</v>
      </c>
      <c r="F77" s="1" t="s">
        <v>29</v>
      </c>
      <c r="G77" s="1" t="s">
        <v>53</v>
      </c>
      <c r="H77" s="1" t="s">
        <v>264</v>
      </c>
      <c r="I77" s="1" t="s">
        <v>265</v>
      </c>
      <c r="J77" s="1" t="s">
        <v>56</v>
      </c>
      <c r="K77" t="s">
        <v>34</v>
      </c>
      <c r="M77" s="1" t="s">
        <v>35</v>
      </c>
      <c r="N77" s="1">
        <v>42318949</v>
      </c>
      <c r="O77" s="1" t="s">
        <v>36</v>
      </c>
      <c r="P77" s="11" t="s">
        <v>266</v>
      </c>
      <c r="R77" s="1" t="s">
        <v>38</v>
      </c>
      <c r="T77" s="1" t="s">
        <v>74</v>
      </c>
      <c r="U77" s="11" t="s">
        <v>267</v>
      </c>
      <c r="V77" s="1" t="s">
        <v>41</v>
      </c>
      <c r="W77" s="1" t="s">
        <v>49</v>
      </c>
      <c r="X77" s="13" t="str">
        <f t="shared" si="12"/>
        <v/>
      </c>
      <c r="Y77" s="2">
        <f t="shared" ca="1" si="7"/>
        <v>378</v>
      </c>
      <c r="Z77" s="14">
        <v>1</v>
      </c>
      <c r="AA77" s="1" t="str">
        <f t="shared" ca="1" si="8"/>
        <v>VENCIDO</v>
      </c>
      <c r="AB77" s="1" t="str">
        <f t="shared" si="9"/>
        <v>Dosa</v>
      </c>
      <c r="AC77" s="2" t="str">
        <f t="shared" si="13"/>
        <v xml:space="preserve"> CRISTINA </v>
      </c>
      <c r="AD77" s="2">
        <f t="shared" si="10"/>
        <v>5</v>
      </c>
      <c r="AE77" s="2">
        <f t="shared" ca="1" si="11"/>
        <v>-526.12727858796279</v>
      </c>
      <c r="AF77" s="15"/>
    </row>
    <row r="78" spans="1:32" hidden="1">
      <c r="A78" s="1">
        <v>7726652</v>
      </c>
      <c r="B78" s="1" t="s">
        <v>81</v>
      </c>
      <c r="C78" t="s">
        <v>240</v>
      </c>
      <c r="E78" s="2">
        <v>1754000206001</v>
      </c>
      <c r="F78" s="1" t="s">
        <v>29</v>
      </c>
      <c r="G78" s="1" t="s">
        <v>53</v>
      </c>
      <c r="H78" s="1" t="s">
        <v>146</v>
      </c>
      <c r="I78" s="1" t="s">
        <v>147</v>
      </c>
      <c r="J78" s="1" t="s">
        <v>148</v>
      </c>
      <c r="K78" t="s">
        <v>34</v>
      </c>
      <c r="M78" s="1" t="s">
        <v>35</v>
      </c>
      <c r="N78" s="1">
        <v>42318949</v>
      </c>
      <c r="O78" s="1" t="s">
        <v>36</v>
      </c>
      <c r="P78" s="11" t="s">
        <v>266</v>
      </c>
      <c r="R78" s="1" t="s">
        <v>38</v>
      </c>
      <c r="T78" s="1" t="s">
        <v>74</v>
      </c>
      <c r="U78" s="11" t="s">
        <v>267</v>
      </c>
      <c r="V78" s="1" t="s">
        <v>41</v>
      </c>
      <c r="W78" s="1" t="s">
        <v>49</v>
      </c>
      <c r="X78" s="13" t="str">
        <f t="shared" si="12"/>
        <v/>
      </c>
      <c r="Y78" s="2">
        <f t="shared" ca="1" si="7"/>
        <v>378</v>
      </c>
      <c r="Z78" s="14">
        <v>1</v>
      </c>
      <c r="AA78" s="1" t="str">
        <f t="shared" ca="1" si="8"/>
        <v>VENCIDO</v>
      </c>
      <c r="AB78" s="1" t="str">
        <f t="shared" si="9"/>
        <v>Dosa</v>
      </c>
      <c r="AC78" s="2" t="str">
        <f t="shared" si="13"/>
        <v xml:space="preserve"> RINALDO </v>
      </c>
      <c r="AD78" s="2">
        <f t="shared" si="10"/>
        <v>5</v>
      </c>
      <c r="AE78" s="2">
        <f t="shared" ca="1" si="11"/>
        <v>-526.12727858796279</v>
      </c>
      <c r="AF78" s="15"/>
    </row>
    <row r="79" spans="1:32" hidden="1">
      <c r="A79" s="1">
        <v>7726651</v>
      </c>
      <c r="B79" s="1" t="s">
        <v>81</v>
      </c>
      <c r="C79" t="s">
        <v>240</v>
      </c>
      <c r="E79" s="2">
        <v>1362000206001</v>
      </c>
      <c r="F79" s="1" t="s">
        <v>29</v>
      </c>
      <c r="G79" s="1" t="s">
        <v>53</v>
      </c>
      <c r="H79" s="1" t="s">
        <v>268</v>
      </c>
      <c r="I79" s="1" t="s">
        <v>269</v>
      </c>
      <c r="J79" s="1" t="s">
        <v>90</v>
      </c>
      <c r="K79" t="s">
        <v>34</v>
      </c>
      <c r="M79" s="1" t="s">
        <v>35</v>
      </c>
      <c r="N79" s="1">
        <v>42318949</v>
      </c>
      <c r="O79" s="1" t="s">
        <v>36</v>
      </c>
      <c r="P79" s="11" t="s">
        <v>266</v>
      </c>
      <c r="R79" s="1" t="s">
        <v>38</v>
      </c>
      <c r="T79" s="1" t="s">
        <v>74</v>
      </c>
      <c r="U79" s="11" t="s">
        <v>267</v>
      </c>
      <c r="V79" s="1" t="s">
        <v>41</v>
      </c>
      <c r="W79" s="1" t="s">
        <v>49</v>
      </c>
      <c r="X79" s="13" t="str">
        <f t="shared" si="12"/>
        <v/>
      </c>
      <c r="Y79" s="2">
        <f t="shared" ca="1" si="7"/>
        <v>378</v>
      </c>
      <c r="Z79" s="14">
        <v>1</v>
      </c>
      <c r="AA79" s="1" t="str">
        <f t="shared" ca="1" si="8"/>
        <v>VENCIDO</v>
      </c>
      <c r="AB79" s="1" t="str">
        <f t="shared" si="9"/>
        <v>Dosa</v>
      </c>
      <c r="AC79" s="2" t="str">
        <f t="shared" si="13"/>
        <v xml:space="preserve"> RINALDO </v>
      </c>
      <c r="AD79" s="2">
        <f t="shared" si="10"/>
        <v>5</v>
      </c>
      <c r="AE79" s="2">
        <f t="shared" ca="1" si="11"/>
        <v>-526.12727858796279</v>
      </c>
      <c r="AF79" s="15"/>
    </row>
    <row r="80" spans="1:32" hidden="1">
      <c r="A80" s="1">
        <v>7726650</v>
      </c>
      <c r="B80" s="1" t="s">
        <v>81</v>
      </c>
      <c r="C80" t="s">
        <v>240</v>
      </c>
      <c r="E80" s="2">
        <v>1359000206001</v>
      </c>
      <c r="F80" s="1" t="s">
        <v>29</v>
      </c>
      <c r="G80" s="1" t="s">
        <v>53</v>
      </c>
      <c r="H80" s="1" t="s">
        <v>270</v>
      </c>
      <c r="I80" s="1" t="s">
        <v>271</v>
      </c>
      <c r="J80" s="1" t="s">
        <v>141</v>
      </c>
      <c r="K80" t="s">
        <v>34</v>
      </c>
      <c r="M80" s="1" t="s">
        <v>35</v>
      </c>
      <c r="N80" s="1">
        <v>42318949</v>
      </c>
      <c r="O80" s="1" t="s">
        <v>36</v>
      </c>
      <c r="P80" s="11" t="s">
        <v>266</v>
      </c>
      <c r="R80" s="1" t="s">
        <v>38</v>
      </c>
      <c r="T80" s="1" t="s">
        <v>74</v>
      </c>
      <c r="U80" s="11" t="s">
        <v>267</v>
      </c>
      <c r="V80" s="1" t="s">
        <v>41</v>
      </c>
      <c r="W80" s="1" t="s">
        <v>49</v>
      </c>
      <c r="X80" s="13" t="str">
        <f t="shared" si="12"/>
        <v/>
      </c>
      <c r="Y80" s="2">
        <f t="shared" ca="1" si="7"/>
        <v>378</v>
      </c>
      <c r="Z80" s="14">
        <v>1</v>
      </c>
      <c r="AA80" s="1" t="str">
        <f t="shared" ca="1" si="8"/>
        <v>VENCIDO</v>
      </c>
      <c r="AB80" s="1" t="str">
        <f t="shared" si="9"/>
        <v>Dosa</v>
      </c>
      <c r="AC80" s="2" t="str">
        <f t="shared" si="13"/>
        <v xml:space="preserve"> CRISTINA </v>
      </c>
      <c r="AD80" s="2">
        <f t="shared" si="10"/>
        <v>5</v>
      </c>
      <c r="AE80" s="2">
        <f t="shared" ca="1" si="11"/>
        <v>-526.12727858796279</v>
      </c>
      <c r="AF80" s="15"/>
    </row>
    <row r="81" spans="1:32" hidden="1">
      <c r="A81" s="1">
        <v>7726648</v>
      </c>
      <c r="B81" s="1" t="s">
        <v>81</v>
      </c>
      <c r="C81" t="s">
        <v>240</v>
      </c>
      <c r="E81" s="2">
        <v>1011000206001</v>
      </c>
      <c r="F81" s="1" t="s">
        <v>29</v>
      </c>
      <c r="G81" s="1" t="s">
        <v>53</v>
      </c>
      <c r="H81" s="1" t="s">
        <v>272</v>
      </c>
      <c r="I81" s="1" t="s">
        <v>273</v>
      </c>
      <c r="J81" s="1" t="s">
        <v>33</v>
      </c>
      <c r="K81" t="s">
        <v>34</v>
      </c>
      <c r="M81" s="1" t="s">
        <v>35</v>
      </c>
      <c r="N81" s="1">
        <v>42318949</v>
      </c>
      <c r="O81" s="1" t="s">
        <v>36</v>
      </c>
      <c r="P81" s="11" t="s">
        <v>274</v>
      </c>
      <c r="R81" s="1" t="s">
        <v>38</v>
      </c>
      <c r="T81" s="1" t="s">
        <v>74</v>
      </c>
      <c r="U81" s="186">
        <v>44460.548981481479</v>
      </c>
      <c r="V81" s="1" t="s">
        <v>41</v>
      </c>
      <c r="W81" s="1" t="s">
        <v>49</v>
      </c>
      <c r="X81" s="13" t="str">
        <f t="shared" si="12"/>
        <v/>
      </c>
      <c r="Y81" s="2">
        <f t="shared" ca="1" si="7"/>
        <v>378</v>
      </c>
      <c r="Z81" s="14">
        <v>1</v>
      </c>
      <c r="AA81" s="1" t="str">
        <f t="shared" ca="1" si="8"/>
        <v>VENCIDO</v>
      </c>
      <c r="AB81" s="1" t="str">
        <f t="shared" si="9"/>
        <v>Dosa</v>
      </c>
      <c r="AC81" s="2" t="str">
        <f t="shared" si="13"/>
        <v xml:space="preserve"> ROSEMERE </v>
      </c>
      <c r="AD81" s="2">
        <f t="shared" si="10"/>
        <v>5</v>
      </c>
      <c r="AE81" s="2">
        <f t="shared" ca="1" si="11"/>
        <v>-526.12729016203957</v>
      </c>
      <c r="AF81" s="15"/>
    </row>
    <row r="82" spans="1:32" hidden="1">
      <c r="A82" s="1">
        <v>7726647</v>
      </c>
      <c r="B82" s="1" t="s">
        <v>81</v>
      </c>
      <c r="C82" t="s">
        <v>240</v>
      </c>
      <c r="E82" s="2">
        <v>1049000206001</v>
      </c>
      <c r="F82" s="1" t="s">
        <v>29</v>
      </c>
      <c r="G82" s="1" t="s">
        <v>53</v>
      </c>
      <c r="H82" s="1" t="s">
        <v>169</v>
      </c>
      <c r="I82" s="1" t="s">
        <v>170</v>
      </c>
      <c r="J82" s="1" t="s">
        <v>164</v>
      </c>
      <c r="K82" t="s">
        <v>34</v>
      </c>
      <c r="M82" s="1" t="s">
        <v>35</v>
      </c>
      <c r="N82" s="1">
        <v>42318949</v>
      </c>
      <c r="O82" s="1" t="s">
        <v>36</v>
      </c>
      <c r="P82" s="11" t="s">
        <v>274</v>
      </c>
      <c r="R82" s="1" t="s">
        <v>38</v>
      </c>
      <c r="T82" s="1" t="s">
        <v>74</v>
      </c>
      <c r="U82" s="186">
        <v>44460.548981481479</v>
      </c>
      <c r="V82" s="1" t="s">
        <v>41</v>
      </c>
      <c r="W82" s="1" t="s">
        <v>49</v>
      </c>
      <c r="X82" s="13" t="str">
        <f t="shared" si="12"/>
        <v/>
      </c>
      <c r="Y82" s="2">
        <f t="shared" ca="1" si="7"/>
        <v>378</v>
      </c>
      <c r="Z82" s="14">
        <v>1</v>
      </c>
      <c r="AA82" s="1" t="str">
        <f t="shared" ca="1" si="8"/>
        <v>VENCIDO</v>
      </c>
      <c r="AB82" s="1" t="str">
        <f t="shared" si="9"/>
        <v>Dosa</v>
      </c>
      <c r="AC82" s="2" t="str">
        <f t="shared" si="13"/>
        <v xml:space="preserve"> ROSEMERE </v>
      </c>
      <c r="AD82" s="2">
        <f t="shared" si="10"/>
        <v>5</v>
      </c>
      <c r="AE82" s="2">
        <f t="shared" ca="1" si="11"/>
        <v>-526.12729016203957</v>
      </c>
      <c r="AF82" s="15"/>
    </row>
    <row r="83" spans="1:32" hidden="1">
      <c r="A83" s="1">
        <v>7726645</v>
      </c>
      <c r="B83" s="1" t="s">
        <v>81</v>
      </c>
      <c r="C83" t="s">
        <v>240</v>
      </c>
      <c r="E83" s="2">
        <v>2683000206001</v>
      </c>
      <c r="F83" s="1" t="s">
        <v>29</v>
      </c>
      <c r="G83" s="1" t="s">
        <v>53</v>
      </c>
      <c r="H83" s="1" t="s">
        <v>276</v>
      </c>
      <c r="I83" s="1" t="s">
        <v>277</v>
      </c>
      <c r="J83" s="1" t="s">
        <v>90</v>
      </c>
      <c r="K83" t="s">
        <v>34</v>
      </c>
      <c r="M83" s="1" t="s">
        <v>35</v>
      </c>
      <c r="N83" s="1">
        <v>42318949</v>
      </c>
      <c r="O83" s="1" t="s">
        <v>36</v>
      </c>
      <c r="P83" s="11" t="s">
        <v>274</v>
      </c>
      <c r="R83" s="1" t="s">
        <v>38</v>
      </c>
      <c r="T83" s="1" t="s">
        <v>74</v>
      </c>
      <c r="U83" s="186">
        <v>44460.548981481479</v>
      </c>
      <c r="V83" s="1" t="s">
        <v>41</v>
      </c>
      <c r="W83" s="1" t="s">
        <v>49</v>
      </c>
      <c r="X83" s="13" t="str">
        <f t="shared" si="12"/>
        <v/>
      </c>
      <c r="Y83" s="2">
        <f t="shared" ca="1" si="7"/>
        <v>378</v>
      </c>
      <c r="Z83" s="14">
        <v>1</v>
      </c>
      <c r="AA83" s="1" t="str">
        <f t="shared" ca="1" si="8"/>
        <v>VENCIDO</v>
      </c>
      <c r="AB83" s="1" t="str">
        <f t="shared" si="9"/>
        <v>Dosa</v>
      </c>
      <c r="AC83" s="2" t="str">
        <f t="shared" si="13"/>
        <v xml:space="preserve"> RINALDO </v>
      </c>
      <c r="AD83" s="2">
        <f t="shared" si="10"/>
        <v>5</v>
      </c>
      <c r="AE83" s="2">
        <f t="shared" ca="1" si="11"/>
        <v>-526.12729016203957</v>
      </c>
      <c r="AF83" s="15"/>
    </row>
    <row r="84" spans="1:32" hidden="1">
      <c r="A84" s="1">
        <v>7726643</v>
      </c>
      <c r="B84" s="1" t="s">
        <v>81</v>
      </c>
      <c r="C84" t="s">
        <v>240</v>
      </c>
      <c r="E84" s="2">
        <v>2156000206001</v>
      </c>
      <c r="F84" s="1" t="s">
        <v>29</v>
      </c>
      <c r="G84" s="1" t="s">
        <v>53</v>
      </c>
      <c r="H84" s="1" t="s">
        <v>278</v>
      </c>
      <c r="I84" s="1" t="s">
        <v>279</v>
      </c>
      <c r="J84" s="1" t="s">
        <v>211</v>
      </c>
      <c r="K84" t="s">
        <v>34</v>
      </c>
      <c r="M84" s="1" t="s">
        <v>35</v>
      </c>
      <c r="N84" s="1">
        <v>42318949</v>
      </c>
      <c r="O84" s="1" t="s">
        <v>36</v>
      </c>
      <c r="P84" s="11" t="s">
        <v>274</v>
      </c>
      <c r="R84" s="1" t="s">
        <v>38</v>
      </c>
      <c r="T84" s="1" t="s">
        <v>74</v>
      </c>
      <c r="U84" s="186">
        <v>44460.548981481479</v>
      </c>
      <c r="V84" s="1" t="s">
        <v>41</v>
      </c>
      <c r="W84" s="1" t="s">
        <v>49</v>
      </c>
      <c r="X84" s="13" t="str">
        <f t="shared" si="12"/>
        <v/>
      </c>
      <c r="Y84" s="2">
        <f t="shared" ca="1" si="7"/>
        <v>378</v>
      </c>
      <c r="Z84" s="14">
        <v>1</v>
      </c>
      <c r="AA84" s="1" t="str">
        <f t="shared" ca="1" si="8"/>
        <v>VENCIDO</v>
      </c>
      <c r="AB84" s="1" t="str">
        <f t="shared" si="9"/>
        <v>Dosa</v>
      </c>
      <c r="AC84" s="2" t="str">
        <f t="shared" si="13"/>
        <v xml:space="preserve"> RINALDO </v>
      </c>
      <c r="AD84" s="2">
        <f t="shared" si="10"/>
        <v>5</v>
      </c>
      <c r="AE84" s="2">
        <f t="shared" ca="1" si="11"/>
        <v>-526.12729016203957</v>
      </c>
      <c r="AF84" s="15"/>
    </row>
    <row r="85" spans="1:32" hidden="1">
      <c r="A85" s="1">
        <v>7726642</v>
      </c>
      <c r="B85" s="1" t="s">
        <v>81</v>
      </c>
      <c r="C85" t="s">
        <v>240</v>
      </c>
      <c r="E85" s="2">
        <v>1162000206001</v>
      </c>
      <c r="F85" s="1" t="s">
        <v>29</v>
      </c>
      <c r="G85" s="1" t="s">
        <v>53</v>
      </c>
      <c r="H85" s="1" t="s">
        <v>280</v>
      </c>
      <c r="I85" s="1" t="s">
        <v>281</v>
      </c>
      <c r="J85" s="1" t="s">
        <v>211</v>
      </c>
      <c r="K85" t="s">
        <v>34</v>
      </c>
      <c r="M85" s="1" t="s">
        <v>35</v>
      </c>
      <c r="N85" s="1">
        <v>42318949</v>
      </c>
      <c r="O85" s="1" t="s">
        <v>36</v>
      </c>
      <c r="P85" s="11" t="s">
        <v>274</v>
      </c>
      <c r="R85" s="1" t="s">
        <v>38</v>
      </c>
      <c r="T85" s="1" t="s">
        <v>74</v>
      </c>
      <c r="U85" s="186">
        <v>44460.548981481479</v>
      </c>
      <c r="V85" s="1" t="s">
        <v>41</v>
      </c>
      <c r="W85" s="1" t="s">
        <v>49</v>
      </c>
      <c r="X85" s="13" t="str">
        <f t="shared" si="12"/>
        <v/>
      </c>
      <c r="Y85" s="2">
        <f t="shared" ca="1" si="7"/>
        <v>378</v>
      </c>
      <c r="Z85" s="14">
        <v>1</v>
      </c>
      <c r="AA85" s="1" t="str">
        <f t="shared" ca="1" si="8"/>
        <v>VENCIDO</v>
      </c>
      <c r="AB85" s="1" t="str">
        <f t="shared" si="9"/>
        <v>Dosa</v>
      </c>
      <c r="AC85" s="2" t="str">
        <f t="shared" si="13"/>
        <v xml:space="preserve"> RINALDO </v>
      </c>
      <c r="AD85" s="2">
        <f t="shared" si="10"/>
        <v>5</v>
      </c>
      <c r="AE85" s="2">
        <f t="shared" ca="1" si="11"/>
        <v>-526.12729016203957</v>
      </c>
      <c r="AF85" s="15"/>
    </row>
    <row r="86" spans="1:32" hidden="1">
      <c r="A86" s="1">
        <v>7726640</v>
      </c>
      <c r="B86" s="1" t="s">
        <v>81</v>
      </c>
      <c r="C86" t="s">
        <v>240</v>
      </c>
      <c r="E86" s="2">
        <v>3243000206001</v>
      </c>
      <c r="F86" s="1" t="s">
        <v>29</v>
      </c>
      <c r="G86" s="1" t="s">
        <v>53</v>
      </c>
      <c r="H86" s="1" t="s">
        <v>282</v>
      </c>
      <c r="I86" s="1" t="s">
        <v>283</v>
      </c>
      <c r="J86" s="1" t="s">
        <v>46</v>
      </c>
      <c r="K86" t="s">
        <v>34</v>
      </c>
      <c r="M86" s="1" t="s">
        <v>35</v>
      </c>
      <c r="N86" s="1">
        <v>42318949</v>
      </c>
      <c r="O86" s="1" t="s">
        <v>36</v>
      </c>
      <c r="P86" s="11" t="s">
        <v>286</v>
      </c>
      <c r="R86" s="1" t="s">
        <v>38</v>
      </c>
      <c r="T86" s="1" t="s">
        <v>74</v>
      </c>
      <c r="U86" s="186">
        <v>44460.54896990741</v>
      </c>
      <c r="V86" s="1" t="s">
        <v>41</v>
      </c>
      <c r="W86" s="1" t="s">
        <v>49</v>
      </c>
      <c r="X86" s="13" t="str">
        <f t="shared" si="12"/>
        <v/>
      </c>
      <c r="Y86" s="2">
        <f t="shared" ca="1" si="7"/>
        <v>378</v>
      </c>
      <c r="Z86" s="14">
        <v>1</v>
      </c>
      <c r="AA86" s="1" t="str">
        <f t="shared" ca="1" si="8"/>
        <v>VENCIDO</v>
      </c>
      <c r="AB86" s="1" t="str">
        <f t="shared" si="9"/>
        <v>Dosa</v>
      </c>
      <c r="AC86" s="2" t="str">
        <f t="shared" si="13"/>
        <v xml:space="preserve"> CLEITON </v>
      </c>
      <c r="AD86" s="2">
        <f t="shared" si="10"/>
        <v>5</v>
      </c>
      <c r="AE86" s="2">
        <f t="shared" ca="1" si="11"/>
        <v>-526.12730173610908</v>
      </c>
      <c r="AF86" s="15"/>
    </row>
    <row r="87" spans="1:32" hidden="1">
      <c r="A87" s="1">
        <v>7726639</v>
      </c>
      <c r="B87" s="1" t="s">
        <v>81</v>
      </c>
      <c r="C87" t="s">
        <v>240</v>
      </c>
      <c r="E87" s="2">
        <v>1060000206001</v>
      </c>
      <c r="F87" s="1" t="s">
        <v>29</v>
      </c>
      <c r="G87" s="1" t="s">
        <v>53</v>
      </c>
      <c r="H87" s="1" t="s">
        <v>284</v>
      </c>
      <c r="I87" s="1" t="s">
        <v>285</v>
      </c>
      <c r="J87" s="1" t="s">
        <v>148</v>
      </c>
      <c r="K87" t="s">
        <v>34</v>
      </c>
      <c r="M87" s="1" t="s">
        <v>35</v>
      </c>
      <c r="N87" s="1">
        <v>42318949</v>
      </c>
      <c r="O87" s="1" t="s">
        <v>36</v>
      </c>
      <c r="P87" s="12">
        <v>44459.54896990741</v>
      </c>
      <c r="R87" s="1" t="s">
        <v>38</v>
      </c>
      <c r="T87" s="1" t="s">
        <v>74</v>
      </c>
      <c r="U87" s="12">
        <v>44460.54896990741</v>
      </c>
      <c r="V87" s="1" t="s">
        <v>41</v>
      </c>
      <c r="W87" s="1" t="s">
        <v>49</v>
      </c>
      <c r="X87" s="13" t="str">
        <f t="shared" si="12"/>
        <v/>
      </c>
      <c r="Y87" s="2">
        <f t="shared" ca="1" si="7"/>
        <v>378</v>
      </c>
      <c r="Z87" s="14">
        <v>1</v>
      </c>
      <c r="AA87" s="1" t="str">
        <f t="shared" ca="1" si="8"/>
        <v>VENCIDO</v>
      </c>
      <c r="AB87" s="1" t="str">
        <f t="shared" si="9"/>
        <v>Dosa</v>
      </c>
      <c r="AC87" s="2" t="str">
        <f t="shared" si="13"/>
        <v xml:space="preserve"> RINALDO </v>
      </c>
      <c r="AD87" s="2">
        <f t="shared" si="10"/>
        <v>5</v>
      </c>
      <c r="AE87" s="2">
        <f t="shared" ca="1" si="11"/>
        <v>-526.12730173610908</v>
      </c>
      <c r="AF87" s="15"/>
    </row>
    <row r="88" spans="1:32" hidden="1">
      <c r="A88" s="1">
        <v>7726637</v>
      </c>
      <c r="B88" s="1" t="s">
        <v>81</v>
      </c>
      <c r="C88" t="s">
        <v>240</v>
      </c>
      <c r="E88" s="2">
        <v>3237000206001</v>
      </c>
      <c r="F88" s="1" t="s">
        <v>29</v>
      </c>
      <c r="G88" s="1" t="s">
        <v>53</v>
      </c>
      <c r="H88" s="1" t="s">
        <v>287</v>
      </c>
      <c r="I88" s="1" t="s">
        <v>288</v>
      </c>
      <c r="J88" s="1" t="s">
        <v>46</v>
      </c>
      <c r="K88" t="s">
        <v>34</v>
      </c>
      <c r="M88" s="1" t="s">
        <v>35</v>
      </c>
      <c r="N88" s="1">
        <v>42318949</v>
      </c>
      <c r="O88" s="1" t="s">
        <v>36</v>
      </c>
      <c r="P88" s="12">
        <v>44459.54896990741</v>
      </c>
      <c r="R88" s="1" t="s">
        <v>38</v>
      </c>
      <c r="T88" s="1" t="s">
        <v>74</v>
      </c>
      <c r="U88" s="12">
        <v>44460.54896990741</v>
      </c>
      <c r="V88" s="1" t="s">
        <v>41</v>
      </c>
      <c r="W88" s="1" t="s">
        <v>49</v>
      </c>
      <c r="X88" s="13" t="str">
        <f t="shared" si="12"/>
        <v/>
      </c>
      <c r="Y88" s="2">
        <f t="shared" ca="1" si="7"/>
        <v>378</v>
      </c>
      <c r="Z88" s="14">
        <v>1</v>
      </c>
      <c r="AA88" s="1" t="str">
        <f t="shared" ca="1" si="8"/>
        <v>VENCIDO</v>
      </c>
      <c r="AB88" s="1" t="str">
        <f t="shared" si="9"/>
        <v>Dosa</v>
      </c>
      <c r="AC88" s="2" t="str">
        <f t="shared" si="13"/>
        <v xml:space="preserve"> CLEITON </v>
      </c>
      <c r="AD88" s="2">
        <f t="shared" si="10"/>
        <v>5</v>
      </c>
      <c r="AE88" s="2">
        <f t="shared" ca="1" si="11"/>
        <v>-526.12730173610908</v>
      </c>
      <c r="AF88" s="15"/>
    </row>
    <row r="89" spans="1:32" hidden="1">
      <c r="A89" s="1">
        <v>7726636</v>
      </c>
      <c r="B89" s="1" t="s">
        <v>81</v>
      </c>
      <c r="C89" t="s">
        <v>240</v>
      </c>
      <c r="E89" s="2">
        <v>1058000206001</v>
      </c>
      <c r="F89" s="1" t="s">
        <v>29</v>
      </c>
      <c r="G89" s="1" t="s">
        <v>53</v>
      </c>
      <c r="H89" s="1" t="s">
        <v>289</v>
      </c>
      <c r="I89" s="1" t="s">
        <v>290</v>
      </c>
      <c r="J89" s="1" t="s">
        <v>56</v>
      </c>
      <c r="K89" t="s">
        <v>34</v>
      </c>
      <c r="M89" s="1" t="s">
        <v>35</v>
      </c>
      <c r="N89" s="1">
        <v>42318949</v>
      </c>
      <c r="O89" s="1" t="s">
        <v>36</v>
      </c>
      <c r="P89" s="12">
        <v>44459.54896990741</v>
      </c>
      <c r="R89" s="1" t="s">
        <v>38</v>
      </c>
      <c r="T89" s="1" t="s">
        <v>74</v>
      </c>
      <c r="U89" s="12">
        <v>44460.54896990741</v>
      </c>
      <c r="V89" s="1" t="s">
        <v>41</v>
      </c>
      <c r="W89" s="1" t="s">
        <v>49</v>
      </c>
      <c r="X89" s="13" t="str">
        <f t="shared" si="12"/>
        <v/>
      </c>
      <c r="Y89" s="2">
        <f t="shared" ca="1" si="7"/>
        <v>378</v>
      </c>
      <c r="Z89" s="14">
        <v>1</v>
      </c>
      <c r="AA89" s="1" t="str">
        <f t="shared" ca="1" si="8"/>
        <v>VENCIDO</v>
      </c>
      <c r="AB89" s="1" t="str">
        <f t="shared" si="9"/>
        <v>Dosa</v>
      </c>
      <c r="AC89" s="2" t="str">
        <f t="shared" si="13"/>
        <v xml:space="preserve"> CRISTINA </v>
      </c>
      <c r="AD89" s="2">
        <f t="shared" si="10"/>
        <v>5</v>
      </c>
      <c r="AE89" s="2">
        <f t="shared" ca="1" si="11"/>
        <v>-526.12730173610908</v>
      </c>
      <c r="AF89" s="15"/>
    </row>
    <row r="90" spans="1:32" hidden="1">
      <c r="A90" s="1">
        <v>7726635</v>
      </c>
      <c r="B90" s="1" t="s">
        <v>81</v>
      </c>
      <c r="C90" t="s">
        <v>240</v>
      </c>
      <c r="E90" s="2">
        <v>4235000206001</v>
      </c>
      <c r="F90" s="1" t="s">
        <v>29</v>
      </c>
      <c r="G90" s="1" t="s">
        <v>53</v>
      </c>
      <c r="H90" s="1" t="s">
        <v>291</v>
      </c>
      <c r="I90" s="1" t="s">
        <v>292</v>
      </c>
      <c r="J90" s="1" t="s">
        <v>46</v>
      </c>
      <c r="K90" t="s">
        <v>34</v>
      </c>
      <c r="M90" s="1" t="s">
        <v>35</v>
      </c>
      <c r="N90" s="1">
        <v>42318949</v>
      </c>
      <c r="O90" s="1" t="s">
        <v>36</v>
      </c>
      <c r="P90" s="12">
        <v>44459.54896990741</v>
      </c>
      <c r="R90" s="1" t="s">
        <v>38</v>
      </c>
      <c r="T90" s="1" t="s">
        <v>74</v>
      </c>
      <c r="U90" s="12">
        <v>44460.54896990741</v>
      </c>
      <c r="V90" s="1" t="s">
        <v>41</v>
      </c>
      <c r="W90" s="1" t="s">
        <v>49</v>
      </c>
      <c r="X90" s="13" t="str">
        <f t="shared" si="12"/>
        <v/>
      </c>
      <c r="Y90" s="2">
        <f t="shared" ca="1" si="7"/>
        <v>378</v>
      </c>
      <c r="Z90" s="14">
        <v>1</v>
      </c>
      <c r="AA90" s="1" t="str">
        <f t="shared" ca="1" si="8"/>
        <v>VENCIDO</v>
      </c>
      <c r="AB90" s="1" t="str">
        <f t="shared" si="9"/>
        <v>Dosa</v>
      </c>
      <c r="AC90" s="2" t="str">
        <f t="shared" si="13"/>
        <v xml:space="preserve"> CLEITON </v>
      </c>
      <c r="AD90" s="2">
        <f t="shared" si="10"/>
        <v>5</v>
      </c>
      <c r="AE90" s="2">
        <f t="shared" ca="1" si="11"/>
        <v>-526.12730173610908</v>
      </c>
      <c r="AF90" s="15"/>
    </row>
    <row r="91" spans="1:32" hidden="1">
      <c r="A91" s="1">
        <v>7726633</v>
      </c>
      <c r="B91" s="1" t="s">
        <v>81</v>
      </c>
      <c r="C91" t="s">
        <v>240</v>
      </c>
      <c r="E91" s="2">
        <v>8634000206001</v>
      </c>
      <c r="F91" s="1" t="s">
        <v>29</v>
      </c>
      <c r="G91" s="1" t="s">
        <v>53</v>
      </c>
      <c r="H91" s="1" t="s">
        <v>293</v>
      </c>
      <c r="I91" s="1" t="s">
        <v>294</v>
      </c>
      <c r="J91" s="1" t="s">
        <v>46</v>
      </c>
      <c r="K91" t="s">
        <v>34</v>
      </c>
      <c r="M91" s="1" t="s">
        <v>35</v>
      </c>
      <c r="N91" s="1">
        <v>42318949</v>
      </c>
      <c r="O91" s="1" t="s">
        <v>36</v>
      </c>
      <c r="P91" s="12">
        <v>44459.54896990741</v>
      </c>
      <c r="R91" s="1" t="s">
        <v>38</v>
      </c>
      <c r="T91" s="1" t="s">
        <v>74</v>
      </c>
      <c r="U91" s="12">
        <v>44460.54896990741</v>
      </c>
      <c r="V91" s="1" t="s">
        <v>41</v>
      </c>
      <c r="W91" s="1" t="s">
        <v>49</v>
      </c>
      <c r="X91" s="13" t="str">
        <f t="shared" si="12"/>
        <v/>
      </c>
      <c r="Y91" s="2">
        <f t="shared" ca="1" si="7"/>
        <v>378</v>
      </c>
      <c r="Z91" s="14">
        <v>1</v>
      </c>
      <c r="AA91" s="1" t="str">
        <f t="shared" ca="1" si="8"/>
        <v>VENCIDO</v>
      </c>
      <c r="AB91" s="1" t="str">
        <f t="shared" si="9"/>
        <v>Dosa</v>
      </c>
      <c r="AC91" s="2" t="str">
        <f t="shared" si="13"/>
        <v xml:space="preserve"> CLEITON </v>
      </c>
      <c r="AD91" s="2">
        <f t="shared" si="10"/>
        <v>5</v>
      </c>
      <c r="AE91" s="2">
        <f t="shared" ca="1" si="11"/>
        <v>-526.12730173610908</v>
      </c>
      <c r="AF91" s="15"/>
    </row>
    <row r="92" spans="1:32" hidden="1">
      <c r="A92" s="1">
        <v>7726632</v>
      </c>
      <c r="B92" s="1" t="s">
        <v>81</v>
      </c>
      <c r="C92" t="s">
        <v>240</v>
      </c>
      <c r="E92" s="2">
        <v>1108000206001</v>
      </c>
      <c r="F92" s="1" t="s">
        <v>29</v>
      </c>
      <c r="G92" s="1" t="s">
        <v>53</v>
      </c>
      <c r="H92" s="1" t="s">
        <v>295</v>
      </c>
      <c r="I92" s="1" t="s">
        <v>296</v>
      </c>
      <c r="J92" s="1" t="s">
        <v>90</v>
      </c>
      <c r="K92" t="s">
        <v>34</v>
      </c>
      <c r="M92" s="1" t="s">
        <v>35</v>
      </c>
      <c r="N92" s="1">
        <v>42318949</v>
      </c>
      <c r="O92" s="1" t="s">
        <v>36</v>
      </c>
      <c r="P92" s="12">
        <v>44459.54896990741</v>
      </c>
      <c r="R92" s="1" t="s">
        <v>38</v>
      </c>
      <c r="T92" s="1" t="s">
        <v>74</v>
      </c>
      <c r="U92" s="12">
        <v>44460.54896990741</v>
      </c>
      <c r="V92" s="1" t="s">
        <v>41</v>
      </c>
      <c r="W92" s="1" t="s">
        <v>49</v>
      </c>
      <c r="X92" s="13" t="str">
        <f t="shared" si="12"/>
        <v/>
      </c>
      <c r="Y92" s="2">
        <f t="shared" ca="1" si="7"/>
        <v>378</v>
      </c>
      <c r="Z92" s="14">
        <v>1</v>
      </c>
      <c r="AA92" s="1" t="str">
        <f t="shared" ca="1" si="8"/>
        <v>VENCIDO</v>
      </c>
      <c r="AB92" s="1" t="str">
        <f t="shared" si="9"/>
        <v>Dosa</v>
      </c>
      <c r="AC92" s="2" t="str">
        <f t="shared" si="13"/>
        <v xml:space="preserve"> RINALDO </v>
      </c>
      <c r="AD92" s="2">
        <f t="shared" si="10"/>
        <v>5</v>
      </c>
      <c r="AE92" s="2">
        <f t="shared" ca="1" si="11"/>
        <v>-526.12730173610908</v>
      </c>
      <c r="AF92" s="15"/>
    </row>
    <row r="93" spans="1:32" hidden="1">
      <c r="A93" s="1">
        <v>7726631</v>
      </c>
      <c r="B93" s="1" t="s">
        <v>81</v>
      </c>
      <c r="C93" t="s">
        <v>240</v>
      </c>
      <c r="E93" s="2">
        <v>4119000206001</v>
      </c>
      <c r="F93" s="1" t="s">
        <v>29</v>
      </c>
      <c r="G93" s="1" t="s">
        <v>53</v>
      </c>
      <c r="H93" s="1" t="s">
        <v>297</v>
      </c>
      <c r="I93" s="1" t="s">
        <v>298</v>
      </c>
      <c r="J93" s="1" t="s">
        <v>211</v>
      </c>
      <c r="K93" t="s">
        <v>34</v>
      </c>
      <c r="M93" s="1" t="s">
        <v>35</v>
      </c>
      <c r="N93" s="1">
        <v>42318949</v>
      </c>
      <c r="O93" s="1" t="s">
        <v>36</v>
      </c>
      <c r="P93" s="12">
        <v>44459.548958333333</v>
      </c>
      <c r="R93" s="1" t="s">
        <v>38</v>
      </c>
      <c r="T93" s="1" t="s">
        <v>74</v>
      </c>
      <c r="U93" s="12">
        <v>44460.548958333333</v>
      </c>
      <c r="V93" s="1" t="s">
        <v>41</v>
      </c>
      <c r="W93" s="1" t="s">
        <v>49</v>
      </c>
      <c r="X93" s="13" t="str">
        <f t="shared" si="12"/>
        <v/>
      </c>
      <c r="Y93" s="2">
        <f t="shared" ca="1" si="7"/>
        <v>378</v>
      </c>
      <c r="Z93" s="14">
        <v>1</v>
      </c>
      <c r="AA93" s="1" t="str">
        <f t="shared" ca="1" si="8"/>
        <v>VENCIDO</v>
      </c>
      <c r="AB93" s="1" t="str">
        <f t="shared" si="9"/>
        <v>Dosa</v>
      </c>
      <c r="AC93" s="2" t="str">
        <f t="shared" si="13"/>
        <v xml:space="preserve"> RINALDO </v>
      </c>
      <c r="AD93" s="2">
        <f t="shared" si="10"/>
        <v>5</v>
      </c>
      <c r="AE93" s="2">
        <f t="shared" ca="1" si="11"/>
        <v>-526.12731331018585</v>
      </c>
      <c r="AF93" s="15"/>
    </row>
    <row r="94" spans="1:32" hidden="1">
      <c r="A94" s="1">
        <v>7726630</v>
      </c>
      <c r="B94" s="1" t="s">
        <v>81</v>
      </c>
      <c r="C94" t="s">
        <v>240</v>
      </c>
      <c r="E94" s="2">
        <v>2388000206001</v>
      </c>
      <c r="F94" s="1" t="s">
        <v>29</v>
      </c>
      <c r="G94" s="1" t="s">
        <v>53</v>
      </c>
      <c r="H94" s="1" t="s">
        <v>299</v>
      </c>
      <c r="I94" s="1" t="s">
        <v>300</v>
      </c>
      <c r="J94" s="1" t="s">
        <v>79</v>
      </c>
      <c r="K94" t="s">
        <v>34</v>
      </c>
      <c r="M94" s="1" t="s">
        <v>35</v>
      </c>
      <c r="N94" s="1">
        <v>42318949</v>
      </c>
      <c r="O94" s="1" t="s">
        <v>36</v>
      </c>
      <c r="P94" s="12">
        <v>44459.548958333333</v>
      </c>
      <c r="R94" s="1" t="s">
        <v>38</v>
      </c>
      <c r="T94" s="1" t="s">
        <v>74</v>
      </c>
      <c r="U94" s="12">
        <v>44460.548958333333</v>
      </c>
      <c r="V94" s="1" t="s">
        <v>41</v>
      </c>
      <c r="W94" s="1" t="s">
        <v>49</v>
      </c>
      <c r="X94" s="13" t="str">
        <f t="shared" si="12"/>
        <v/>
      </c>
      <c r="Y94" s="2">
        <f t="shared" ca="1" si="7"/>
        <v>378</v>
      </c>
      <c r="Z94" s="14">
        <v>1</v>
      </c>
      <c r="AA94" s="1" t="str">
        <f t="shared" ca="1" si="8"/>
        <v>VENCIDO</v>
      </c>
      <c r="AB94" s="1" t="str">
        <f t="shared" si="9"/>
        <v>Dosa</v>
      </c>
      <c r="AC94" s="2" t="str">
        <f t="shared" si="13"/>
        <v xml:space="preserve"> ROSEMERE </v>
      </c>
      <c r="AD94" s="2">
        <f t="shared" si="10"/>
        <v>5</v>
      </c>
      <c r="AE94" s="2">
        <f t="shared" ca="1" si="11"/>
        <v>-526.12731331018585</v>
      </c>
      <c r="AF94" s="15"/>
    </row>
    <row r="95" spans="1:32" hidden="1">
      <c r="A95" s="1">
        <v>7726629</v>
      </c>
      <c r="B95" s="1" t="s">
        <v>81</v>
      </c>
      <c r="C95" t="s">
        <v>240</v>
      </c>
      <c r="E95" s="2">
        <v>2326000206001</v>
      </c>
      <c r="F95" s="1" t="s">
        <v>29</v>
      </c>
      <c r="G95" s="1" t="s">
        <v>53</v>
      </c>
      <c r="H95" s="1" t="s">
        <v>191</v>
      </c>
      <c r="I95" s="1" t="s">
        <v>192</v>
      </c>
      <c r="J95" s="1" t="s">
        <v>46</v>
      </c>
      <c r="K95" t="s">
        <v>34</v>
      </c>
      <c r="M95" s="1" t="s">
        <v>35</v>
      </c>
      <c r="N95" s="1">
        <v>42318949</v>
      </c>
      <c r="O95" s="1" t="s">
        <v>36</v>
      </c>
      <c r="P95" s="12">
        <v>44459.548958333333</v>
      </c>
      <c r="R95" s="1" t="s">
        <v>38</v>
      </c>
      <c r="T95" s="1" t="s">
        <v>74</v>
      </c>
      <c r="U95" s="12">
        <v>44460.548958333333</v>
      </c>
      <c r="V95" s="1" t="s">
        <v>41</v>
      </c>
      <c r="W95" s="1" t="s">
        <v>49</v>
      </c>
      <c r="X95" s="13" t="str">
        <f t="shared" si="12"/>
        <v/>
      </c>
      <c r="Y95" s="2">
        <f t="shared" ca="1" si="7"/>
        <v>378</v>
      </c>
      <c r="Z95" s="14">
        <v>1</v>
      </c>
      <c r="AA95" s="1" t="str">
        <f t="shared" ca="1" si="8"/>
        <v>VENCIDO</v>
      </c>
      <c r="AB95" s="1" t="str">
        <f t="shared" si="9"/>
        <v>Dosa</v>
      </c>
      <c r="AC95" s="2" t="str">
        <f t="shared" si="13"/>
        <v xml:space="preserve"> CLEITON </v>
      </c>
      <c r="AD95" s="2">
        <f t="shared" si="10"/>
        <v>5</v>
      </c>
      <c r="AE95" s="2">
        <f t="shared" ca="1" si="11"/>
        <v>-526.12731331018585</v>
      </c>
      <c r="AF95" s="15"/>
    </row>
    <row r="96" spans="1:32" hidden="1">
      <c r="A96" s="1">
        <v>7726628</v>
      </c>
      <c r="B96" s="1" t="s">
        <v>81</v>
      </c>
      <c r="C96" t="s">
        <v>240</v>
      </c>
      <c r="E96" s="2">
        <v>1360000206001</v>
      </c>
      <c r="F96" s="1" t="s">
        <v>29</v>
      </c>
      <c r="G96" s="1" t="s">
        <v>53</v>
      </c>
      <c r="H96" s="1" t="s">
        <v>303</v>
      </c>
      <c r="I96" s="1" t="s">
        <v>304</v>
      </c>
      <c r="J96" s="1" t="s">
        <v>261</v>
      </c>
      <c r="K96" t="s">
        <v>34</v>
      </c>
      <c r="M96" s="1" t="s">
        <v>35</v>
      </c>
      <c r="N96" s="1">
        <v>42318949</v>
      </c>
      <c r="O96" s="1" t="s">
        <v>36</v>
      </c>
      <c r="P96" s="12">
        <v>44459.548958333333</v>
      </c>
      <c r="R96" s="1" t="s">
        <v>38</v>
      </c>
      <c r="T96" s="1" t="s">
        <v>74</v>
      </c>
      <c r="U96" s="12">
        <v>44460.548958333333</v>
      </c>
      <c r="V96" s="1" t="s">
        <v>41</v>
      </c>
      <c r="W96" s="1" t="s">
        <v>49</v>
      </c>
      <c r="X96" s="13" t="str">
        <f t="shared" si="12"/>
        <v/>
      </c>
      <c r="Y96" s="2">
        <f t="shared" ca="1" si="7"/>
        <v>378</v>
      </c>
      <c r="Z96" s="14">
        <v>1</v>
      </c>
      <c r="AA96" s="1" t="str">
        <f t="shared" ca="1" si="8"/>
        <v>VENCIDO</v>
      </c>
      <c r="AB96" s="1" t="str">
        <f t="shared" si="9"/>
        <v>Dosa</v>
      </c>
      <c r="AC96" s="2" t="str">
        <f t="shared" si="13"/>
        <v xml:space="preserve"> CRISTINA </v>
      </c>
      <c r="AD96" s="2">
        <f t="shared" si="10"/>
        <v>5</v>
      </c>
      <c r="AE96" s="2">
        <f t="shared" ca="1" si="11"/>
        <v>-526.12731331018585</v>
      </c>
      <c r="AF96" s="15"/>
    </row>
    <row r="97" spans="1:32" hidden="1">
      <c r="A97" s="1">
        <v>7726627</v>
      </c>
      <c r="B97" s="1" t="s">
        <v>81</v>
      </c>
      <c r="C97" t="s">
        <v>240</v>
      </c>
      <c r="E97" s="2">
        <v>1835000206001</v>
      </c>
      <c r="F97" s="1" t="s">
        <v>29</v>
      </c>
      <c r="G97" s="1" t="s">
        <v>53</v>
      </c>
      <c r="H97" s="1" t="s">
        <v>305</v>
      </c>
      <c r="I97" s="1" t="s">
        <v>306</v>
      </c>
      <c r="J97" s="1" t="s">
        <v>46</v>
      </c>
      <c r="K97" t="s">
        <v>34</v>
      </c>
      <c r="M97" s="1" t="s">
        <v>35</v>
      </c>
      <c r="N97" s="1">
        <v>42318949</v>
      </c>
      <c r="O97" s="1" t="s">
        <v>36</v>
      </c>
      <c r="P97" s="12">
        <v>44459.548958333333</v>
      </c>
      <c r="R97" s="1" t="s">
        <v>38</v>
      </c>
      <c r="T97" s="1" t="s">
        <v>74</v>
      </c>
      <c r="U97" s="12">
        <v>44460.548958333333</v>
      </c>
      <c r="V97" s="1" t="s">
        <v>41</v>
      </c>
      <c r="W97" s="1" t="s">
        <v>49</v>
      </c>
      <c r="X97" s="13" t="str">
        <f t="shared" si="12"/>
        <v/>
      </c>
      <c r="Y97" s="2">
        <f t="shared" ca="1" si="7"/>
        <v>378</v>
      </c>
      <c r="Z97" s="14">
        <v>1</v>
      </c>
      <c r="AA97" s="1" t="str">
        <f t="shared" ca="1" si="8"/>
        <v>VENCIDO</v>
      </c>
      <c r="AB97" s="1" t="str">
        <f t="shared" si="9"/>
        <v>Dosa</v>
      </c>
      <c r="AC97" s="2" t="str">
        <f t="shared" si="13"/>
        <v xml:space="preserve"> CLEITON </v>
      </c>
      <c r="AD97" s="2">
        <f t="shared" si="10"/>
        <v>5</v>
      </c>
      <c r="AE97" s="2">
        <f t="shared" ca="1" si="11"/>
        <v>-526.12731331018585</v>
      </c>
      <c r="AF97" s="15"/>
    </row>
    <row r="98" spans="1:32" hidden="1">
      <c r="A98" s="1">
        <v>7726626</v>
      </c>
      <c r="B98" s="1" t="s">
        <v>81</v>
      </c>
      <c r="C98" t="s">
        <v>240</v>
      </c>
      <c r="E98" s="2">
        <v>1664000206001</v>
      </c>
      <c r="F98" s="1" t="s">
        <v>29</v>
      </c>
      <c r="G98" s="1" t="s">
        <v>53</v>
      </c>
      <c r="H98" s="1" t="s">
        <v>307</v>
      </c>
      <c r="I98" s="1" t="s">
        <v>308</v>
      </c>
      <c r="J98" s="1" t="s">
        <v>164</v>
      </c>
      <c r="K98" t="s">
        <v>34</v>
      </c>
      <c r="M98" s="1" t="s">
        <v>35</v>
      </c>
      <c r="N98" s="1">
        <v>42318949</v>
      </c>
      <c r="O98" s="1" t="s">
        <v>36</v>
      </c>
      <c r="P98" s="12">
        <v>44459.548958333333</v>
      </c>
      <c r="R98" s="1" t="s">
        <v>38</v>
      </c>
      <c r="T98" s="1" t="s">
        <v>74</v>
      </c>
      <c r="U98" s="12">
        <v>44460.548958333333</v>
      </c>
      <c r="V98" s="1" t="s">
        <v>41</v>
      </c>
      <c r="W98" s="1" t="s">
        <v>49</v>
      </c>
      <c r="X98" s="13" t="str">
        <f t="shared" si="12"/>
        <v/>
      </c>
      <c r="Y98" s="2">
        <f t="shared" ca="1" si="7"/>
        <v>378</v>
      </c>
      <c r="Z98" s="14">
        <v>1</v>
      </c>
      <c r="AA98" s="1" t="str">
        <f t="shared" ca="1" si="8"/>
        <v>VENCIDO</v>
      </c>
      <c r="AB98" s="1" t="str">
        <f t="shared" si="9"/>
        <v>Dosa</v>
      </c>
      <c r="AC98" s="2" t="str">
        <f t="shared" si="13"/>
        <v xml:space="preserve"> ROSEMERE </v>
      </c>
      <c r="AD98" s="2">
        <f t="shared" si="10"/>
        <v>5</v>
      </c>
      <c r="AE98" s="2">
        <f t="shared" ca="1" si="11"/>
        <v>-526.12731331018585</v>
      </c>
      <c r="AF98" s="15"/>
    </row>
    <row r="99" spans="1:32" hidden="1">
      <c r="A99" s="1">
        <v>7726624</v>
      </c>
      <c r="B99" s="1" t="s">
        <v>81</v>
      </c>
      <c r="C99" t="s">
        <v>240</v>
      </c>
      <c r="E99" s="2">
        <v>1732000206001</v>
      </c>
      <c r="F99" s="1" t="s">
        <v>29</v>
      </c>
      <c r="G99" s="1" t="s">
        <v>53</v>
      </c>
      <c r="H99" s="1" t="s">
        <v>177</v>
      </c>
      <c r="I99" s="1" t="s">
        <v>178</v>
      </c>
      <c r="J99" s="1" t="s">
        <v>164</v>
      </c>
      <c r="K99" t="s">
        <v>34</v>
      </c>
      <c r="M99" s="1" t="s">
        <v>35</v>
      </c>
      <c r="N99" s="1">
        <v>42318949</v>
      </c>
      <c r="O99" s="1" t="s">
        <v>36</v>
      </c>
      <c r="P99" s="12">
        <v>44459.548958333333</v>
      </c>
      <c r="R99" s="1" t="s">
        <v>38</v>
      </c>
      <c r="T99" s="1" t="s">
        <v>74</v>
      </c>
      <c r="U99" s="12">
        <v>44460.548958333333</v>
      </c>
      <c r="V99" s="1" t="s">
        <v>41</v>
      </c>
      <c r="W99" s="1" t="s">
        <v>49</v>
      </c>
      <c r="X99" s="13" t="str">
        <f t="shared" si="12"/>
        <v/>
      </c>
      <c r="Y99" s="2">
        <f t="shared" ca="1" si="7"/>
        <v>378</v>
      </c>
      <c r="Z99" s="14">
        <v>1</v>
      </c>
      <c r="AA99" s="1" t="str">
        <f t="shared" ca="1" si="8"/>
        <v>VENCIDO</v>
      </c>
      <c r="AB99" s="1" t="str">
        <f t="shared" si="9"/>
        <v>Dosa</v>
      </c>
      <c r="AC99" s="2" t="str">
        <f t="shared" si="13"/>
        <v xml:space="preserve"> ROSEMERE </v>
      </c>
      <c r="AD99" s="2">
        <f t="shared" si="10"/>
        <v>5</v>
      </c>
      <c r="AE99" s="2">
        <f t="shared" ca="1" si="11"/>
        <v>-526.12731331018585</v>
      </c>
      <c r="AF99" s="15"/>
    </row>
    <row r="100" spans="1:32" hidden="1">
      <c r="A100" s="1">
        <v>7726620</v>
      </c>
      <c r="B100" s="1" t="s">
        <v>81</v>
      </c>
      <c r="C100" t="s">
        <v>240</v>
      </c>
      <c r="E100" s="2">
        <v>3924000206001</v>
      </c>
      <c r="F100" s="1" t="s">
        <v>29</v>
      </c>
      <c r="G100" s="1" t="s">
        <v>53</v>
      </c>
      <c r="H100" s="1" t="s">
        <v>153</v>
      </c>
      <c r="I100" s="1" t="s">
        <v>154</v>
      </c>
      <c r="J100" s="1" t="s">
        <v>56</v>
      </c>
      <c r="K100" t="s">
        <v>34</v>
      </c>
      <c r="M100" s="1" t="s">
        <v>35</v>
      </c>
      <c r="N100" s="1">
        <v>42318949</v>
      </c>
      <c r="O100" s="1" t="s">
        <v>36</v>
      </c>
      <c r="P100" s="12">
        <v>44459.548946759256</v>
      </c>
      <c r="R100" s="1" t="s">
        <v>38</v>
      </c>
      <c r="T100" s="1" t="s">
        <v>74</v>
      </c>
      <c r="U100" s="12">
        <v>44460.548946759256</v>
      </c>
      <c r="V100" s="1" t="s">
        <v>41</v>
      </c>
      <c r="W100" s="1" t="s">
        <v>49</v>
      </c>
      <c r="X100" s="13" t="str">
        <f t="shared" si="12"/>
        <v/>
      </c>
      <c r="Y100" s="2">
        <f t="shared" ca="1" si="7"/>
        <v>378</v>
      </c>
      <c r="Z100" s="14">
        <v>1</v>
      </c>
      <c r="AA100" s="1" t="str">
        <f t="shared" ca="1" si="8"/>
        <v>VENCIDO</v>
      </c>
      <c r="AB100" s="1" t="str">
        <f t="shared" si="9"/>
        <v>Dosa</v>
      </c>
      <c r="AC100" s="2" t="str">
        <f t="shared" si="13"/>
        <v xml:space="preserve"> CRISTINA </v>
      </c>
      <c r="AD100" s="2">
        <f t="shared" si="10"/>
        <v>5</v>
      </c>
      <c r="AE100" s="2">
        <f t="shared" ca="1" si="11"/>
        <v>-526.12732488426263</v>
      </c>
      <c r="AF100" s="15"/>
    </row>
    <row r="101" spans="1:32" hidden="1">
      <c r="A101" s="1">
        <v>7726617</v>
      </c>
      <c r="B101" s="1" t="s">
        <v>81</v>
      </c>
      <c r="C101" t="s">
        <v>240</v>
      </c>
      <c r="E101" s="2">
        <v>1361000206001</v>
      </c>
      <c r="F101" s="1" t="s">
        <v>29</v>
      </c>
      <c r="G101" s="1" t="s">
        <v>53</v>
      </c>
      <c r="H101" s="1" t="s">
        <v>309</v>
      </c>
      <c r="I101" s="1" t="s">
        <v>310</v>
      </c>
      <c r="J101" s="1" t="s">
        <v>46</v>
      </c>
      <c r="K101" t="s">
        <v>34</v>
      </c>
      <c r="M101" s="1" t="s">
        <v>35</v>
      </c>
      <c r="N101" s="1">
        <v>42318949</v>
      </c>
      <c r="O101" s="1" t="s">
        <v>36</v>
      </c>
      <c r="P101" s="12">
        <v>44459.548946759256</v>
      </c>
      <c r="R101" s="1" t="s">
        <v>38</v>
      </c>
      <c r="T101" s="1" t="s">
        <v>74</v>
      </c>
      <c r="U101" s="12">
        <v>44460.548946759256</v>
      </c>
      <c r="V101" s="1" t="s">
        <v>41</v>
      </c>
      <c r="W101" s="1" t="s">
        <v>49</v>
      </c>
      <c r="X101" s="13" t="str">
        <f t="shared" si="12"/>
        <v/>
      </c>
      <c r="Y101" s="2">
        <f t="shared" ca="1" si="7"/>
        <v>378</v>
      </c>
      <c r="Z101" s="14">
        <v>1</v>
      </c>
      <c r="AA101" s="1" t="str">
        <f t="shared" ca="1" si="8"/>
        <v>VENCIDO</v>
      </c>
      <c r="AB101" s="1" t="str">
        <f t="shared" si="9"/>
        <v>Dosa</v>
      </c>
      <c r="AC101" s="2" t="str">
        <f t="shared" si="13"/>
        <v xml:space="preserve"> CLEITON </v>
      </c>
      <c r="AD101" s="2">
        <f t="shared" si="10"/>
        <v>5</v>
      </c>
      <c r="AE101" s="2">
        <f t="shared" ca="1" si="11"/>
        <v>-526.12732488426263</v>
      </c>
      <c r="AF101" s="15"/>
    </row>
    <row r="102" spans="1:32" hidden="1">
      <c r="A102" s="1">
        <v>7726616</v>
      </c>
      <c r="B102" s="1" t="s">
        <v>81</v>
      </c>
      <c r="C102" t="s">
        <v>240</v>
      </c>
      <c r="E102" s="2">
        <v>2737000206001</v>
      </c>
      <c r="F102" s="1" t="s">
        <v>29</v>
      </c>
      <c r="G102" s="1" t="s">
        <v>53</v>
      </c>
      <c r="H102" s="1" t="s">
        <v>311</v>
      </c>
      <c r="I102" s="1" t="s">
        <v>312</v>
      </c>
      <c r="J102" s="1" t="s">
        <v>90</v>
      </c>
      <c r="K102" t="s">
        <v>34</v>
      </c>
      <c r="M102" s="1" t="s">
        <v>35</v>
      </c>
      <c r="N102" s="1">
        <v>42318949</v>
      </c>
      <c r="O102" s="1" t="s">
        <v>36</v>
      </c>
      <c r="P102" s="12">
        <v>44459.548935185187</v>
      </c>
      <c r="R102" s="1" t="s">
        <v>38</v>
      </c>
      <c r="T102" s="1" t="s">
        <v>74</v>
      </c>
      <c r="U102" s="12">
        <v>44460.548935185187</v>
      </c>
      <c r="V102" s="1" t="s">
        <v>41</v>
      </c>
      <c r="W102" s="1" t="s">
        <v>49</v>
      </c>
      <c r="X102" s="13" t="str">
        <f t="shared" si="12"/>
        <v/>
      </c>
      <c r="Y102" s="2">
        <f t="shared" ca="1" si="7"/>
        <v>378</v>
      </c>
      <c r="Z102" s="14">
        <v>1</v>
      </c>
      <c r="AA102" s="1" t="str">
        <f t="shared" ca="1" si="8"/>
        <v>VENCIDO</v>
      </c>
      <c r="AB102" s="1" t="str">
        <f t="shared" si="9"/>
        <v>Dosa</v>
      </c>
      <c r="AC102" s="2" t="str">
        <f t="shared" si="13"/>
        <v xml:space="preserve"> RINALDO </v>
      </c>
      <c r="AD102" s="2">
        <f t="shared" si="10"/>
        <v>5</v>
      </c>
      <c r="AE102" s="2">
        <f t="shared" ca="1" si="11"/>
        <v>-526.12733645833214</v>
      </c>
      <c r="AF102" s="15"/>
    </row>
    <row r="103" spans="1:32" hidden="1">
      <c r="A103" s="1">
        <v>7726614</v>
      </c>
      <c r="B103" s="1" t="s">
        <v>81</v>
      </c>
      <c r="C103" t="s">
        <v>240</v>
      </c>
      <c r="E103" s="2">
        <v>244000206001</v>
      </c>
      <c r="F103" s="1" t="s">
        <v>29</v>
      </c>
      <c r="G103" s="1" t="s">
        <v>53</v>
      </c>
      <c r="H103" s="1" t="s">
        <v>313</v>
      </c>
      <c r="I103" s="1" t="s">
        <v>314</v>
      </c>
      <c r="J103" s="1" t="s">
        <v>56</v>
      </c>
      <c r="K103" t="s">
        <v>34</v>
      </c>
      <c r="M103" s="1" t="s">
        <v>35</v>
      </c>
      <c r="N103" s="1">
        <v>42318949</v>
      </c>
      <c r="O103" s="1" t="s">
        <v>36</v>
      </c>
      <c r="P103" s="12">
        <v>44459.548935185187</v>
      </c>
      <c r="R103" s="1" t="s">
        <v>38</v>
      </c>
      <c r="T103" s="1" t="s">
        <v>74</v>
      </c>
      <c r="U103" s="12">
        <v>44460.548935185187</v>
      </c>
      <c r="V103" s="1" t="s">
        <v>41</v>
      </c>
      <c r="W103" s="1" t="s">
        <v>49</v>
      </c>
      <c r="X103" s="13" t="str">
        <f t="shared" si="12"/>
        <v/>
      </c>
      <c r="Y103" s="2">
        <f t="shared" ca="1" si="7"/>
        <v>378</v>
      </c>
      <c r="Z103" s="14">
        <v>1</v>
      </c>
      <c r="AA103" s="1" t="str">
        <f t="shared" ca="1" si="8"/>
        <v>VENCIDO</v>
      </c>
      <c r="AB103" s="1" t="str">
        <f t="shared" si="9"/>
        <v>Dosa</v>
      </c>
      <c r="AC103" s="2" t="str">
        <f t="shared" si="13"/>
        <v xml:space="preserve"> CRISTINA </v>
      </c>
      <c r="AD103" s="2">
        <f t="shared" si="10"/>
        <v>5</v>
      </c>
      <c r="AE103" s="2">
        <f t="shared" ca="1" si="11"/>
        <v>-526.12733645833214</v>
      </c>
      <c r="AF103" s="15"/>
    </row>
    <row r="104" spans="1:32" hidden="1">
      <c r="A104" s="1">
        <v>7726613</v>
      </c>
      <c r="B104" s="1" t="s">
        <v>81</v>
      </c>
      <c r="C104" t="s">
        <v>240</v>
      </c>
      <c r="E104" s="2">
        <v>1146000206001</v>
      </c>
      <c r="F104" s="1" t="s">
        <v>29</v>
      </c>
      <c r="G104" s="1" t="s">
        <v>53</v>
      </c>
      <c r="H104" s="1" t="s">
        <v>315</v>
      </c>
      <c r="I104" s="1" t="s">
        <v>316</v>
      </c>
      <c r="J104" s="1" t="s">
        <v>148</v>
      </c>
      <c r="K104" t="s">
        <v>34</v>
      </c>
      <c r="M104" s="1" t="s">
        <v>35</v>
      </c>
      <c r="N104" s="1">
        <v>42318949</v>
      </c>
      <c r="O104" s="1" t="s">
        <v>36</v>
      </c>
      <c r="P104" s="12">
        <v>44459.548935185187</v>
      </c>
      <c r="R104" s="1" t="s">
        <v>38</v>
      </c>
      <c r="T104" s="1" t="s">
        <v>74</v>
      </c>
      <c r="U104" s="12">
        <v>44460.548935185187</v>
      </c>
      <c r="V104" s="1" t="s">
        <v>41</v>
      </c>
      <c r="W104" s="1" t="s">
        <v>49</v>
      </c>
      <c r="X104" s="13" t="str">
        <f t="shared" si="12"/>
        <v/>
      </c>
      <c r="Y104" s="2">
        <f t="shared" ca="1" si="7"/>
        <v>378</v>
      </c>
      <c r="Z104" s="14">
        <v>1</v>
      </c>
      <c r="AA104" s="1" t="str">
        <f t="shared" ca="1" si="8"/>
        <v>VENCIDO</v>
      </c>
      <c r="AB104" s="1" t="str">
        <f t="shared" si="9"/>
        <v>Dosa</v>
      </c>
      <c r="AC104" s="2" t="str">
        <f t="shared" si="13"/>
        <v xml:space="preserve"> RINALDO </v>
      </c>
      <c r="AD104" s="2">
        <f t="shared" si="10"/>
        <v>5</v>
      </c>
      <c r="AE104" s="2">
        <f t="shared" ca="1" si="11"/>
        <v>-526.12733645833214</v>
      </c>
      <c r="AF104" s="15"/>
    </row>
    <row r="105" spans="1:32" hidden="1">
      <c r="A105" s="1">
        <v>7726612</v>
      </c>
      <c r="B105" s="1" t="s">
        <v>81</v>
      </c>
      <c r="C105" t="s">
        <v>240</v>
      </c>
      <c r="E105" s="2">
        <v>1012000206001</v>
      </c>
      <c r="F105" s="1" t="s">
        <v>29</v>
      </c>
      <c r="G105" s="1" t="s">
        <v>53</v>
      </c>
      <c r="H105" s="1" t="s">
        <v>172</v>
      </c>
      <c r="I105" s="1" t="s">
        <v>173</v>
      </c>
      <c r="J105" s="1" t="s">
        <v>164</v>
      </c>
      <c r="K105" t="s">
        <v>34</v>
      </c>
      <c r="M105" s="1" t="s">
        <v>35</v>
      </c>
      <c r="N105" s="1">
        <v>42318949</v>
      </c>
      <c r="O105" s="1" t="s">
        <v>36</v>
      </c>
      <c r="P105" s="12">
        <v>44459.548935185187</v>
      </c>
      <c r="R105" s="1" t="s">
        <v>38</v>
      </c>
      <c r="T105" s="1" t="s">
        <v>74</v>
      </c>
      <c r="U105" s="12">
        <v>44460.548935185187</v>
      </c>
      <c r="V105" s="1" t="s">
        <v>41</v>
      </c>
      <c r="W105" s="1" t="s">
        <v>49</v>
      </c>
      <c r="X105" s="13" t="str">
        <f t="shared" si="12"/>
        <v/>
      </c>
      <c r="Y105" s="2">
        <f t="shared" ca="1" si="7"/>
        <v>378</v>
      </c>
      <c r="Z105" s="14">
        <v>1</v>
      </c>
      <c r="AA105" s="1" t="str">
        <f t="shared" ca="1" si="8"/>
        <v>VENCIDO</v>
      </c>
      <c r="AB105" s="1" t="str">
        <f t="shared" si="9"/>
        <v>Dosa</v>
      </c>
      <c r="AC105" s="2" t="str">
        <f t="shared" si="13"/>
        <v xml:space="preserve"> ROSEMERE </v>
      </c>
      <c r="AD105" s="2">
        <f t="shared" si="10"/>
        <v>5</v>
      </c>
      <c r="AE105" s="2">
        <f t="shared" ca="1" si="11"/>
        <v>-526.12733645833214</v>
      </c>
      <c r="AF105" s="15"/>
    </row>
    <row r="106" spans="1:32" hidden="1">
      <c r="A106" s="1">
        <v>7726611</v>
      </c>
      <c r="B106" s="1" t="s">
        <v>81</v>
      </c>
      <c r="C106" t="s">
        <v>240</v>
      </c>
      <c r="E106" s="2">
        <v>2625000206001</v>
      </c>
      <c r="F106" s="1" t="s">
        <v>29</v>
      </c>
      <c r="G106" s="1" t="s">
        <v>53</v>
      </c>
      <c r="H106" s="1" t="s">
        <v>317</v>
      </c>
      <c r="I106" s="1" t="s">
        <v>318</v>
      </c>
      <c r="J106" s="1" t="s">
        <v>164</v>
      </c>
      <c r="K106" t="s">
        <v>34</v>
      </c>
      <c r="M106" s="1" t="s">
        <v>35</v>
      </c>
      <c r="N106" s="1">
        <v>42318949</v>
      </c>
      <c r="O106" s="1" t="s">
        <v>36</v>
      </c>
      <c r="P106" s="12">
        <v>44459.548935185187</v>
      </c>
      <c r="R106" s="1" t="s">
        <v>38</v>
      </c>
      <c r="T106" s="1" t="s">
        <v>74</v>
      </c>
      <c r="U106" s="12">
        <v>44460.548935185187</v>
      </c>
      <c r="V106" s="1" t="s">
        <v>41</v>
      </c>
      <c r="W106" s="1" t="s">
        <v>49</v>
      </c>
      <c r="X106" s="13" t="str">
        <f t="shared" si="12"/>
        <v/>
      </c>
      <c r="Y106" s="2">
        <f t="shared" ca="1" si="7"/>
        <v>378</v>
      </c>
      <c r="Z106" s="14">
        <v>1</v>
      </c>
      <c r="AA106" s="1" t="str">
        <f t="shared" ca="1" si="8"/>
        <v>VENCIDO</v>
      </c>
      <c r="AB106" s="1" t="str">
        <f t="shared" si="9"/>
        <v>Dosa</v>
      </c>
      <c r="AC106" s="2" t="str">
        <f t="shared" si="13"/>
        <v xml:space="preserve"> ROSEMERE </v>
      </c>
      <c r="AD106" s="2">
        <f t="shared" si="10"/>
        <v>5</v>
      </c>
      <c r="AE106" s="2">
        <f t="shared" ca="1" si="11"/>
        <v>-526.12733645833214</v>
      </c>
      <c r="AF106" s="15"/>
    </row>
    <row r="107" spans="1:32" hidden="1">
      <c r="A107" s="1">
        <v>7726608</v>
      </c>
      <c r="B107" s="1" t="s">
        <v>81</v>
      </c>
      <c r="C107" t="s">
        <v>240</v>
      </c>
      <c r="E107" s="2">
        <v>3802000206001</v>
      </c>
      <c r="F107" s="1" t="s">
        <v>29</v>
      </c>
      <c r="G107" s="1" t="s">
        <v>53</v>
      </c>
      <c r="H107" s="1" t="s">
        <v>319</v>
      </c>
      <c r="I107" s="1" t="s">
        <v>320</v>
      </c>
      <c r="J107" s="1" t="s">
        <v>148</v>
      </c>
      <c r="K107" t="s">
        <v>34</v>
      </c>
      <c r="M107" s="1" t="s">
        <v>35</v>
      </c>
      <c r="N107" s="1">
        <v>42318949</v>
      </c>
      <c r="O107" s="1" t="s">
        <v>36</v>
      </c>
      <c r="P107" s="12">
        <v>44459.54892361111</v>
      </c>
      <c r="R107" s="1" t="s">
        <v>38</v>
      </c>
      <c r="T107" s="1" t="s">
        <v>74</v>
      </c>
      <c r="U107" s="12">
        <v>44460.54892361111</v>
      </c>
      <c r="V107" s="1" t="s">
        <v>41</v>
      </c>
      <c r="W107" s="1" t="s">
        <v>49</v>
      </c>
      <c r="X107" s="13" t="str">
        <f t="shared" si="12"/>
        <v/>
      </c>
      <c r="Y107" s="2">
        <f t="shared" ca="1" si="7"/>
        <v>378</v>
      </c>
      <c r="Z107" s="14">
        <v>1</v>
      </c>
      <c r="AA107" s="1" t="str">
        <f t="shared" ca="1" si="8"/>
        <v>VENCIDO</v>
      </c>
      <c r="AB107" s="1" t="str">
        <f t="shared" si="9"/>
        <v>Dosa</v>
      </c>
      <c r="AC107" s="2" t="str">
        <f t="shared" si="13"/>
        <v xml:space="preserve"> RINALDO </v>
      </c>
      <c r="AD107" s="2">
        <f t="shared" si="10"/>
        <v>5</v>
      </c>
      <c r="AE107" s="2">
        <f t="shared" ca="1" si="11"/>
        <v>-526.12734803240892</v>
      </c>
      <c r="AF107" s="15"/>
    </row>
    <row r="108" spans="1:32" hidden="1">
      <c r="A108" s="1">
        <v>7726607</v>
      </c>
      <c r="B108" s="1" t="s">
        <v>81</v>
      </c>
      <c r="C108" t="s">
        <v>240</v>
      </c>
      <c r="E108" s="2">
        <v>3258000206001</v>
      </c>
      <c r="F108" s="1" t="s">
        <v>29</v>
      </c>
      <c r="G108" s="1" t="s">
        <v>53</v>
      </c>
      <c r="H108" s="1" t="s">
        <v>321</v>
      </c>
      <c r="I108" s="1" t="s">
        <v>322</v>
      </c>
      <c r="J108" s="1" t="s">
        <v>46</v>
      </c>
      <c r="K108" t="s">
        <v>34</v>
      </c>
      <c r="M108" s="1" t="s">
        <v>35</v>
      </c>
      <c r="N108" s="1">
        <v>42318949</v>
      </c>
      <c r="O108" s="1" t="s">
        <v>36</v>
      </c>
      <c r="P108" s="12">
        <v>44459.54892361111</v>
      </c>
      <c r="R108" s="1" t="s">
        <v>38</v>
      </c>
      <c r="T108" s="1" t="s">
        <v>74</v>
      </c>
      <c r="U108" s="12">
        <v>44460.54892361111</v>
      </c>
      <c r="V108" s="1" t="s">
        <v>41</v>
      </c>
      <c r="W108" s="1" t="s">
        <v>49</v>
      </c>
      <c r="X108" s="13" t="str">
        <f t="shared" si="12"/>
        <v/>
      </c>
      <c r="Y108" s="2">
        <f t="shared" ca="1" si="7"/>
        <v>378</v>
      </c>
      <c r="Z108" s="14">
        <v>1</v>
      </c>
      <c r="AA108" s="1" t="str">
        <f t="shared" ca="1" si="8"/>
        <v>VENCIDO</v>
      </c>
      <c r="AB108" s="1" t="str">
        <f t="shared" si="9"/>
        <v>Dosa</v>
      </c>
      <c r="AC108" s="2" t="str">
        <f t="shared" si="13"/>
        <v xml:space="preserve"> CLEITON </v>
      </c>
      <c r="AD108" s="2">
        <f t="shared" si="10"/>
        <v>5</v>
      </c>
      <c r="AE108" s="2">
        <f t="shared" ca="1" si="11"/>
        <v>-526.12734803240892</v>
      </c>
      <c r="AF108" s="15"/>
    </row>
    <row r="109" spans="1:32" hidden="1">
      <c r="A109" s="1">
        <v>7726606</v>
      </c>
      <c r="B109" s="1" t="s">
        <v>81</v>
      </c>
      <c r="C109" t="s">
        <v>240</v>
      </c>
      <c r="E109" s="2">
        <v>1120000206001</v>
      </c>
      <c r="F109" s="1" t="s">
        <v>29</v>
      </c>
      <c r="G109" s="1" t="s">
        <v>53</v>
      </c>
      <c r="H109" s="1" t="s">
        <v>181</v>
      </c>
      <c r="I109" s="1" t="s">
        <v>182</v>
      </c>
      <c r="J109" s="1" t="s">
        <v>164</v>
      </c>
      <c r="K109" t="s">
        <v>34</v>
      </c>
      <c r="M109" s="1" t="s">
        <v>35</v>
      </c>
      <c r="N109" s="1">
        <v>42318949</v>
      </c>
      <c r="O109" s="1" t="s">
        <v>36</v>
      </c>
      <c r="P109" s="12">
        <v>44459.54892361111</v>
      </c>
      <c r="R109" s="1" t="s">
        <v>38</v>
      </c>
      <c r="T109" s="1" t="s">
        <v>74</v>
      </c>
      <c r="U109" s="12">
        <v>44460.54892361111</v>
      </c>
      <c r="V109" s="1" t="s">
        <v>41</v>
      </c>
      <c r="W109" s="1" t="s">
        <v>49</v>
      </c>
      <c r="X109" s="13" t="str">
        <f t="shared" si="12"/>
        <v/>
      </c>
      <c r="Y109" s="2">
        <f t="shared" ca="1" si="7"/>
        <v>378</v>
      </c>
      <c r="Z109" s="14">
        <v>1</v>
      </c>
      <c r="AA109" s="1" t="str">
        <f t="shared" ca="1" si="8"/>
        <v>VENCIDO</v>
      </c>
      <c r="AB109" s="1" t="str">
        <f t="shared" si="9"/>
        <v>Dosa</v>
      </c>
      <c r="AC109" s="2" t="str">
        <f t="shared" si="13"/>
        <v xml:space="preserve"> ROSEMERE </v>
      </c>
      <c r="AD109" s="2">
        <f t="shared" si="10"/>
        <v>5</v>
      </c>
      <c r="AE109" s="2">
        <f t="shared" ca="1" si="11"/>
        <v>-526.12734803240892</v>
      </c>
      <c r="AF109" s="15"/>
    </row>
    <row r="110" spans="1:32" hidden="1">
      <c r="A110" s="1">
        <v>7726605</v>
      </c>
      <c r="B110" s="1" t="s">
        <v>81</v>
      </c>
      <c r="C110" t="s">
        <v>240</v>
      </c>
      <c r="E110" s="2">
        <v>3108000206001</v>
      </c>
      <c r="F110" s="1" t="s">
        <v>29</v>
      </c>
      <c r="G110" s="1" t="s">
        <v>53</v>
      </c>
      <c r="H110" s="1" t="s">
        <v>325</v>
      </c>
      <c r="I110" s="1" t="s">
        <v>326</v>
      </c>
      <c r="J110" s="1" t="s">
        <v>46</v>
      </c>
      <c r="K110" t="s">
        <v>34</v>
      </c>
      <c r="M110" s="1" t="s">
        <v>35</v>
      </c>
      <c r="N110" s="1">
        <v>42318949</v>
      </c>
      <c r="O110" s="1" t="s">
        <v>36</v>
      </c>
      <c r="P110" s="12">
        <v>44459.54892361111</v>
      </c>
      <c r="R110" s="1" t="s">
        <v>38</v>
      </c>
      <c r="T110" s="1" t="s">
        <v>74</v>
      </c>
      <c r="U110" s="12">
        <v>44460.54892361111</v>
      </c>
      <c r="V110" s="1" t="s">
        <v>41</v>
      </c>
      <c r="W110" s="1" t="s">
        <v>49</v>
      </c>
      <c r="X110" s="13" t="str">
        <f t="shared" si="12"/>
        <v/>
      </c>
      <c r="Y110" s="2">
        <f t="shared" ca="1" si="7"/>
        <v>378</v>
      </c>
      <c r="Z110" s="14">
        <v>1</v>
      </c>
      <c r="AA110" s="1" t="str">
        <f t="shared" ca="1" si="8"/>
        <v>VENCIDO</v>
      </c>
      <c r="AB110" s="1" t="str">
        <f t="shared" si="9"/>
        <v>Dosa</v>
      </c>
      <c r="AC110" s="2" t="str">
        <f t="shared" si="13"/>
        <v xml:space="preserve"> CLEITON </v>
      </c>
      <c r="AD110" s="2">
        <f t="shared" si="10"/>
        <v>5</v>
      </c>
      <c r="AE110" s="2">
        <f t="shared" ca="1" si="11"/>
        <v>-526.12734803240892</v>
      </c>
      <c r="AF110" s="15"/>
    </row>
    <row r="111" spans="1:32" hidden="1">
      <c r="A111" s="1">
        <v>7726604</v>
      </c>
      <c r="B111" s="1" t="s">
        <v>81</v>
      </c>
      <c r="C111" t="s">
        <v>240</v>
      </c>
      <c r="E111" s="2">
        <v>1710000206001</v>
      </c>
      <c r="F111" s="1" t="s">
        <v>29</v>
      </c>
      <c r="G111" s="1" t="s">
        <v>53</v>
      </c>
      <c r="H111" s="1" t="s">
        <v>327</v>
      </c>
      <c r="I111" s="1" t="s">
        <v>328</v>
      </c>
      <c r="J111" s="1" t="s">
        <v>261</v>
      </c>
      <c r="K111" t="s">
        <v>34</v>
      </c>
      <c r="M111" s="1" t="s">
        <v>35</v>
      </c>
      <c r="N111" s="1">
        <v>42318949</v>
      </c>
      <c r="O111" s="1" t="s">
        <v>36</v>
      </c>
      <c r="P111" s="12">
        <v>44459.54892361111</v>
      </c>
      <c r="R111" s="1" t="s">
        <v>38</v>
      </c>
      <c r="T111" s="1" t="s">
        <v>74</v>
      </c>
      <c r="U111" s="12">
        <v>44460.54892361111</v>
      </c>
      <c r="V111" s="1" t="s">
        <v>41</v>
      </c>
      <c r="W111" s="1" t="s">
        <v>49</v>
      </c>
      <c r="X111" s="13" t="str">
        <f t="shared" si="12"/>
        <v/>
      </c>
      <c r="Y111" s="2">
        <f t="shared" ca="1" si="7"/>
        <v>378</v>
      </c>
      <c r="Z111" s="14">
        <v>1</v>
      </c>
      <c r="AA111" s="1" t="str">
        <f t="shared" ca="1" si="8"/>
        <v>VENCIDO</v>
      </c>
      <c r="AB111" s="1" t="str">
        <f t="shared" si="9"/>
        <v>Dosa</v>
      </c>
      <c r="AC111" s="2" t="str">
        <f t="shared" si="13"/>
        <v xml:space="preserve"> CRISTINA </v>
      </c>
      <c r="AD111" s="2">
        <f t="shared" si="10"/>
        <v>5</v>
      </c>
      <c r="AE111" s="2">
        <f t="shared" ca="1" si="11"/>
        <v>-526.12734803240892</v>
      </c>
      <c r="AF111" s="15"/>
    </row>
    <row r="112" spans="1:32" hidden="1">
      <c r="A112" s="1">
        <v>7726603</v>
      </c>
      <c r="B112" s="1" t="s">
        <v>81</v>
      </c>
      <c r="C112" t="s">
        <v>240</v>
      </c>
      <c r="E112" s="2">
        <v>1052000206001</v>
      </c>
      <c r="F112" s="1" t="s">
        <v>29</v>
      </c>
      <c r="G112" s="1" t="s">
        <v>53</v>
      </c>
      <c r="H112" s="1" t="s">
        <v>329</v>
      </c>
      <c r="I112" s="1" t="s">
        <v>330</v>
      </c>
      <c r="J112" s="1" t="s">
        <v>79</v>
      </c>
      <c r="K112" t="s">
        <v>34</v>
      </c>
      <c r="M112" s="1" t="s">
        <v>35</v>
      </c>
      <c r="N112" s="1">
        <v>42318949</v>
      </c>
      <c r="O112" s="1" t="s">
        <v>36</v>
      </c>
      <c r="P112" s="12">
        <v>44459.54891203704</v>
      </c>
      <c r="R112" s="1" t="s">
        <v>38</v>
      </c>
      <c r="T112" s="1" t="s">
        <v>74</v>
      </c>
      <c r="U112" s="12">
        <v>44460.54891203704</v>
      </c>
      <c r="V112" s="1" t="s">
        <v>41</v>
      </c>
      <c r="W112" s="1" t="s">
        <v>49</v>
      </c>
      <c r="X112" s="13" t="str">
        <f t="shared" si="12"/>
        <v/>
      </c>
      <c r="Y112" s="2">
        <f t="shared" ca="1" si="7"/>
        <v>378</v>
      </c>
      <c r="Z112" s="14">
        <v>1</v>
      </c>
      <c r="AA112" s="1" t="str">
        <f t="shared" ca="1" si="8"/>
        <v>VENCIDO</v>
      </c>
      <c r="AB112" s="1" t="str">
        <f t="shared" si="9"/>
        <v>Dosa</v>
      </c>
      <c r="AC112" s="2" t="str">
        <f t="shared" si="13"/>
        <v xml:space="preserve"> ROSEMERE </v>
      </c>
      <c r="AD112" s="2">
        <f t="shared" si="10"/>
        <v>5</v>
      </c>
      <c r="AE112" s="2">
        <f t="shared" ca="1" si="11"/>
        <v>-526.12735960647842</v>
      </c>
      <c r="AF112" s="15"/>
    </row>
    <row r="113" spans="1:32" hidden="1">
      <c r="A113" s="1">
        <v>7726602</v>
      </c>
      <c r="B113" s="1" t="s">
        <v>81</v>
      </c>
      <c r="C113" t="s">
        <v>240</v>
      </c>
      <c r="E113" s="2">
        <v>899000206001</v>
      </c>
      <c r="F113" s="1" t="s">
        <v>29</v>
      </c>
      <c r="G113" s="1" t="s">
        <v>53</v>
      </c>
      <c r="H113" s="1" t="s">
        <v>175</v>
      </c>
      <c r="I113" s="1" t="s">
        <v>176</v>
      </c>
      <c r="J113" s="1" t="s">
        <v>90</v>
      </c>
      <c r="K113" t="s">
        <v>34</v>
      </c>
      <c r="M113" s="1" t="s">
        <v>35</v>
      </c>
      <c r="N113" s="1">
        <v>42318949</v>
      </c>
      <c r="O113" s="1" t="s">
        <v>36</v>
      </c>
      <c r="P113" s="12">
        <v>44459.54891203704</v>
      </c>
      <c r="R113" s="1" t="s">
        <v>38</v>
      </c>
      <c r="T113" s="1" t="s">
        <v>74</v>
      </c>
      <c r="U113" s="12">
        <v>44460.54891203704</v>
      </c>
      <c r="V113" s="1" t="s">
        <v>41</v>
      </c>
      <c r="W113" s="1" t="s">
        <v>49</v>
      </c>
      <c r="X113" s="13" t="str">
        <f t="shared" si="12"/>
        <v/>
      </c>
      <c r="Y113" s="2">
        <f t="shared" ca="1" si="7"/>
        <v>378</v>
      </c>
      <c r="Z113" s="14">
        <v>1</v>
      </c>
      <c r="AA113" s="1" t="str">
        <f t="shared" ca="1" si="8"/>
        <v>VENCIDO</v>
      </c>
      <c r="AB113" s="1" t="str">
        <f t="shared" si="9"/>
        <v>Dosa</v>
      </c>
      <c r="AC113" s="2" t="str">
        <f t="shared" si="13"/>
        <v xml:space="preserve"> RINALDO </v>
      </c>
      <c r="AD113" s="2">
        <f t="shared" si="10"/>
        <v>5</v>
      </c>
      <c r="AE113" s="2">
        <f t="shared" ca="1" si="11"/>
        <v>-526.12735960647842</v>
      </c>
      <c r="AF113" s="15"/>
    </row>
    <row r="114" spans="1:32" hidden="1">
      <c r="A114" s="1">
        <v>7726601</v>
      </c>
      <c r="B114" s="1" t="s">
        <v>81</v>
      </c>
      <c r="C114" t="s">
        <v>240</v>
      </c>
      <c r="E114" s="2">
        <v>159000206001</v>
      </c>
      <c r="F114" s="1" t="s">
        <v>29</v>
      </c>
      <c r="G114" s="1" t="s">
        <v>53</v>
      </c>
      <c r="H114" s="1" t="s">
        <v>331</v>
      </c>
      <c r="I114" s="1" t="s">
        <v>332</v>
      </c>
      <c r="J114" s="1" t="s">
        <v>79</v>
      </c>
      <c r="K114" t="s">
        <v>34</v>
      </c>
      <c r="M114" s="1" t="s">
        <v>35</v>
      </c>
      <c r="N114" s="1">
        <v>42318949</v>
      </c>
      <c r="O114" s="1" t="s">
        <v>36</v>
      </c>
      <c r="P114" s="12">
        <v>44459.54891203704</v>
      </c>
      <c r="R114" s="1" t="s">
        <v>38</v>
      </c>
      <c r="T114" s="1" t="s">
        <v>74</v>
      </c>
      <c r="U114" s="12">
        <v>44460.54891203704</v>
      </c>
      <c r="V114" s="1" t="s">
        <v>41</v>
      </c>
      <c r="W114" s="1" t="s">
        <v>49</v>
      </c>
      <c r="X114" s="13" t="str">
        <f t="shared" si="12"/>
        <v/>
      </c>
      <c r="Y114" s="2">
        <f t="shared" ca="1" si="7"/>
        <v>378</v>
      </c>
      <c r="Z114" s="14">
        <v>1</v>
      </c>
      <c r="AA114" s="1" t="str">
        <f t="shared" ca="1" si="8"/>
        <v>VENCIDO</v>
      </c>
      <c r="AB114" s="1" t="str">
        <f t="shared" si="9"/>
        <v>Dosa</v>
      </c>
      <c r="AC114" s="2" t="str">
        <f t="shared" si="13"/>
        <v xml:space="preserve"> ROSEMERE </v>
      </c>
      <c r="AD114" s="2">
        <f t="shared" si="10"/>
        <v>5</v>
      </c>
      <c r="AE114" s="2">
        <f t="shared" ca="1" si="11"/>
        <v>-526.12735960647842</v>
      </c>
      <c r="AF114" s="15"/>
    </row>
    <row r="115" spans="1:32" hidden="1">
      <c r="A115" s="1">
        <v>7726600</v>
      </c>
      <c r="B115" s="1" t="s">
        <v>81</v>
      </c>
      <c r="C115" t="s">
        <v>240</v>
      </c>
      <c r="E115" s="2">
        <v>2239000206001</v>
      </c>
      <c r="F115" s="1" t="s">
        <v>29</v>
      </c>
      <c r="G115" s="1" t="s">
        <v>53</v>
      </c>
      <c r="H115" s="1" t="s">
        <v>333</v>
      </c>
      <c r="I115" s="1" t="s">
        <v>334</v>
      </c>
      <c r="J115" s="1" t="s">
        <v>261</v>
      </c>
      <c r="K115" t="s">
        <v>34</v>
      </c>
      <c r="M115" s="1" t="s">
        <v>35</v>
      </c>
      <c r="N115" s="1">
        <v>42318949</v>
      </c>
      <c r="O115" s="1" t="s">
        <v>36</v>
      </c>
      <c r="P115" s="12">
        <v>44459.54891203704</v>
      </c>
      <c r="R115" s="1" t="s">
        <v>38</v>
      </c>
      <c r="T115" s="1" t="s">
        <v>74</v>
      </c>
      <c r="U115" s="12">
        <v>44460.54891203704</v>
      </c>
      <c r="V115" s="1" t="s">
        <v>41</v>
      </c>
      <c r="W115" s="1" t="s">
        <v>49</v>
      </c>
      <c r="X115" s="13" t="str">
        <f t="shared" si="12"/>
        <v/>
      </c>
      <c r="Y115" s="2">
        <f t="shared" ca="1" si="7"/>
        <v>378</v>
      </c>
      <c r="Z115" s="14">
        <v>1</v>
      </c>
      <c r="AA115" s="1" t="str">
        <f t="shared" ca="1" si="8"/>
        <v>VENCIDO</v>
      </c>
      <c r="AB115" s="1" t="str">
        <f t="shared" si="9"/>
        <v>Dosa</v>
      </c>
      <c r="AC115" s="2" t="str">
        <f t="shared" si="13"/>
        <v xml:space="preserve"> CRISTINA </v>
      </c>
      <c r="AD115" s="2">
        <f t="shared" si="10"/>
        <v>5</v>
      </c>
      <c r="AE115" s="2">
        <f t="shared" ca="1" si="11"/>
        <v>-526.12735960647842</v>
      </c>
      <c r="AF115" s="15"/>
    </row>
    <row r="116" spans="1:32" hidden="1">
      <c r="A116" s="1">
        <v>7726599</v>
      </c>
      <c r="B116" s="1" t="s">
        <v>81</v>
      </c>
      <c r="C116" t="s">
        <v>240</v>
      </c>
      <c r="E116" s="2">
        <v>550000206001</v>
      </c>
      <c r="F116" s="1" t="s">
        <v>29</v>
      </c>
      <c r="G116" s="1" t="s">
        <v>53</v>
      </c>
      <c r="H116" s="1" t="s">
        <v>337</v>
      </c>
      <c r="I116" s="1" t="s">
        <v>338</v>
      </c>
      <c r="J116" s="1" t="s">
        <v>164</v>
      </c>
      <c r="K116" t="s">
        <v>34</v>
      </c>
      <c r="M116" s="1" t="s">
        <v>35</v>
      </c>
      <c r="N116" s="1">
        <v>42318949</v>
      </c>
      <c r="O116" s="1" t="s">
        <v>36</v>
      </c>
      <c r="P116" s="12">
        <v>44459.54891203704</v>
      </c>
      <c r="R116" s="1" t="s">
        <v>38</v>
      </c>
      <c r="T116" s="1" t="s">
        <v>74</v>
      </c>
      <c r="U116" s="12">
        <v>44460.54891203704</v>
      </c>
      <c r="V116" s="1" t="s">
        <v>41</v>
      </c>
      <c r="W116" s="1" t="s">
        <v>49</v>
      </c>
      <c r="X116" s="13" t="str">
        <f t="shared" si="12"/>
        <v/>
      </c>
      <c r="Y116" s="2">
        <f t="shared" ca="1" si="7"/>
        <v>378</v>
      </c>
      <c r="Z116" s="14">
        <v>1</v>
      </c>
      <c r="AA116" s="1" t="str">
        <f t="shared" ca="1" si="8"/>
        <v>VENCIDO</v>
      </c>
      <c r="AB116" s="1" t="str">
        <f t="shared" si="9"/>
        <v>Dosa</v>
      </c>
      <c r="AC116" s="2" t="str">
        <f t="shared" si="13"/>
        <v xml:space="preserve"> ROSEMERE </v>
      </c>
      <c r="AD116" s="2">
        <f t="shared" si="10"/>
        <v>5</v>
      </c>
      <c r="AE116" s="2">
        <f t="shared" ca="1" si="11"/>
        <v>-526.12735960647842</v>
      </c>
      <c r="AF116" s="15"/>
    </row>
    <row r="117" spans="1:32" hidden="1">
      <c r="A117" s="1">
        <v>7726598</v>
      </c>
      <c r="B117" s="1" t="s">
        <v>81</v>
      </c>
      <c r="C117" t="s">
        <v>240</v>
      </c>
      <c r="E117" s="2">
        <v>2811000206001</v>
      </c>
      <c r="F117" s="1" t="s">
        <v>29</v>
      </c>
      <c r="G117" s="1" t="s">
        <v>53</v>
      </c>
      <c r="H117" s="1" t="s">
        <v>44</v>
      </c>
      <c r="I117" s="1" t="s">
        <v>45</v>
      </c>
      <c r="J117" s="1" t="s">
        <v>46</v>
      </c>
      <c r="K117" t="s">
        <v>34</v>
      </c>
      <c r="M117" s="1" t="s">
        <v>35</v>
      </c>
      <c r="N117" s="1">
        <v>42318949</v>
      </c>
      <c r="O117" s="1" t="s">
        <v>36</v>
      </c>
      <c r="P117" s="12">
        <v>44459.548900462964</v>
      </c>
      <c r="R117" s="1" t="s">
        <v>38</v>
      </c>
      <c r="T117" s="1" t="s">
        <v>74</v>
      </c>
      <c r="U117" s="12">
        <v>44460.548900462964</v>
      </c>
      <c r="V117" s="1" t="s">
        <v>41</v>
      </c>
      <c r="W117" s="1" t="s">
        <v>49</v>
      </c>
      <c r="X117" s="13" t="str">
        <f t="shared" si="12"/>
        <v/>
      </c>
      <c r="Y117" s="2">
        <f t="shared" ca="1" si="7"/>
        <v>378</v>
      </c>
      <c r="Z117" s="14">
        <v>1</v>
      </c>
      <c r="AA117" s="1" t="str">
        <f t="shared" ca="1" si="8"/>
        <v>VENCIDO</v>
      </c>
      <c r="AB117" s="1" t="str">
        <f t="shared" si="9"/>
        <v>Dosa</v>
      </c>
      <c r="AC117" s="2" t="str">
        <f t="shared" si="13"/>
        <v xml:space="preserve"> CLEITON </v>
      </c>
      <c r="AD117" s="2">
        <f t="shared" si="10"/>
        <v>5</v>
      </c>
      <c r="AE117" s="2">
        <f t="shared" ca="1" si="11"/>
        <v>-526.1273711805552</v>
      </c>
      <c r="AF117" s="15"/>
    </row>
    <row r="118" spans="1:32" hidden="1">
      <c r="A118" s="1">
        <v>7726597</v>
      </c>
      <c r="B118" s="1" t="s">
        <v>81</v>
      </c>
      <c r="C118" t="s">
        <v>240</v>
      </c>
      <c r="E118" s="2">
        <v>2229000206001</v>
      </c>
      <c r="F118" s="1" t="s">
        <v>29</v>
      </c>
      <c r="G118" s="1" t="s">
        <v>53</v>
      </c>
      <c r="H118" s="1" t="s">
        <v>339</v>
      </c>
      <c r="I118" s="1" t="s">
        <v>340</v>
      </c>
      <c r="J118" s="1" t="s">
        <v>211</v>
      </c>
      <c r="K118" t="s">
        <v>34</v>
      </c>
      <c r="M118" s="1" t="s">
        <v>35</v>
      </c>
      <c r="N118" s="1">
        <v>42318949</v>
      </c>
      <c r="O118" s="1" t="s">
        <v>36</v>
      </c>
      <c r="P118" s="12">
        <v>44459.548900462964</v>
      </c>
      <c r="R118" s="1" t="s">
        <v>38</v>
      </c>
      <c r="T118" s="1" t="s">
        <v>74</v>
      </c>
      <c r="U118" s="12">
        <v>44460.548900462964</v>
      </c>
      <c r="V118" s="1" t="s">
        <v>41</v>
      </c>
      <c r="W118" s="1" t="s">
        <v>49</v>
      </c>
      <c r="X118" s="13" t="str">
        <f t="shared" si="12"/>
        <v/>
      </c>
      <c r="Y118" s="2">
        <f t="shared" ca="1" si="7"/>
        <v>378</v>
      </c>
      <c r="Z118" s="14">
        <v>1</v>
      </c>
      <c r="AA118" s="1" t="str">
        <f t="shared" ca="1" si="8"/>
        <v>VENCIDO</v>
      </c>
      <c r="AB118" s="1" t="str">
        <f t="shared" si="9"/>
        <v>Dosa</v>
      </c>
      <c r="AC118" s="2" t="str">
        <f t="shared" si="13"/>
        <v xml:space="preserve"> RINALDO </v>
      </c>
      <c r="AD118" s="2">
        <f t="shared" si="10"/>
        <v>5</v>
      </c>
      <c r="AE118" s="2">
        <f t="shared" ca="1" si="11"/>
        <v>-526.1273711805552</v>
      </c>
      <c r="AF118" s="15"/>
    </row>
    <row r="119" spans="1:32" hidden="1">
      <c r="A119" s="1">
        <v>7726596</v>
      </c>
      <c r="B119" s="1" t="s">
        <v>81</v>
      </c>
      <c r="C119" t="s">
        <v>240</v>
      </c>
      <c r="E119" s="2">
        <v>3699000206001</v>
      </c>
      <c r="F119" s="1" t="s">
        <v>29</v>
      </c>
      <c r="G119" s="1" t="s">
        <v>53</v>
      </c>
      <c r="H119" s="1" t="s">
        <v>343</v>
      </c>
      <c r="I119" s="1" t="s">
        <v>344</v>
      </c>
      <c r="J119" s="1" t="s">
        <v>46</v>
      </c>
      <c r="K119" t="s">
        <v>34</v>
      </c>
      <c r="M119" s="1" t="s">
        <v>35</v>
      </c>
      <c r="N119" s="1">
        <v>42318949</v>
      </c>
      <c r="O119" s="1" t="s">
        <v>36</v>
      </c>
      <c r="P119" s="12">
        <v>44459.548900462964</v>
      </c>
      <c r="R119" s="1" t="s">
        <v>38</v>
      </c>
      <c r="T119" s="1" t="s">
        <v>74</v>
      </c>
      <c r="U119" s="12">
        <v>44460.548900462964</v>
      </c>
      <c r="V119" s="1" t="s">
        <v>41</v>
      </c>
      <c r="W119" s="1" t="s">
        <v>49</v>
      </c>
      <c r="X119" s="13" t="str">
        <f t="shared" si="12"/>
        <v/>
      </c>
      <c r="Y119" s="2">
        <f t="shared" ca="1" si="7"/>
        <v>378</v>
      </c>
      <c r="Z119" s="14">
        <v>1</v>
      </c>
      <c r="AA119" s="1" t="str">
        <f t="shared" ca="1" si="8"/>
        <v>VENCIDO</v>
      </c>
      <c r="AB119" s="1" t="str">
        <f t="shared" si="9"/>
        <v>Dosa</v>
      </c>
      <c r="AC119" s="2" t="str">
        <f t="shared" si="13"/>
        <v xml:space="preserve"> CLEITON </v>
      </c>
      <c r="AD119" s="2">
        <f t="shared" si="10"/>
        <v>5</v>
      </c>
      <c r="AE119" s="2">
        <f t="shared" ca="1" si="11"/>
        <v>-526.1273711805552</v>
      </c>
      <c r="AF119" s="15"/>
    </row>
    <row r="120" spans="1:32" hidden="1">
      <c r="A120" s="1">
        <v>7726594</v>
      </c>
      <c r="B120" s="1" t="s">
        <v>81</v>
      </c>
      <c r="C120" t="s">
        <v>240</v>
      </c>
      <c r="E120" s="2">
        <v>325000206001</v>
      </c>
      <c r="F120" s="1" t="s">
        <v>29</v>
      </c>
      <c r="G120" s="1" t="s">
        <v>53</v>
      </c>
      <c r="H120" s="1" t="s">
        <v>345</v>
      </c>
      <c r="I120" s="1" t="s">
        <v>346</v>
      </c>
      <c r="J120" s="1" t="s">
        <v>46</v>
      </c>
      <c r="K120" t="s">
        <v>34</v>
      </c>
      <c r="M120" s="1" t="s">
        <v>35</v>
      </c>
      <c r="N120" s="1">
        <v>42318949</v>
      </c>
      <c r="O120" s="1" t="s">
        <v>36</v>
      </c>
      <c r="P120" s="11" t="s">
        <v>341</v>
      </c>
      <c r="R120" s="1" t="s">
        <v>38</v>
      </c>
      <c r="T120" s="1" t="s">
        <v>74</v>
      </c>
      <c r="U120" s="11" t="s">
        <v>342</v>
      </c>
      <c r="V120" s="1" t="s">
        <v>41</v>
      </c>
      <c r="W120" s="1" t="s">
        <v>49</v>
      </c>
      <c r="X120" s="13" t="str">
        <f t="shared" si="12"/>
        <v/>
      </c>
      <c r="Y120" s="2">
        <f t="shared" ca="1" si="7"/>
        <v>378</v>
      </c>
      <c r="Z120" s="14">
        <v>1</v>
      </c>
      <c r="AA120" s="1" t="str">
        <f t="shared" ca="1" si="8"/>
        <v>VENCIDO</v>
      </c>
      <c r="AB120" s="1" t="str">
        <f t="shared" si="9"/>
        <v>Dosa</v>
      </c>
      <c r="AC120" s="2" t="str">
        <f t="shared" si="13"/>
        <v xml:space="preserve"> CLEITON </v>
      </c>
      <c r="AD120" s="2">
        <f t="shared" si="10"/>
        <v>5</v>
      </c>
      <c r="AE120" s="2">
        <f t="shared" ca="1" si="11"/>
        <v>-526.1273711805552</v>
      </c>
      <c r="AF120" s="15"/>
    </row>
    <row r="121" spans="1:32" hidden="1">
      <c r="A121" s="1">
        <v>7726593</v>
      </c>
      <c r="B121" s="1" t="s">
        <v>81</v>
      </c>
      <c r="C121" t="s">
        <v>240</v>
      </c>
      <c r="E121" s="2">
        <v>2699000206001</v>
      </c>
      <c r="F121" s="1" t="s">
        <v>29</v>
      </c>
      <c r="G121" s="1" t="s">
        <v>53</v>
      </c>
      <c r="H121" s="1" t="s">
        <v>347</v>
      </c>
      <c r="I121" s="1" t="s">
        <v>348</v>
      </c>
      <c r="J121" s="1" t="s">
        <v>148</v>
      </c>
      <c r="K121" t="s">
        <v>34</v>
      </c>
      <c r="M121" s="1" t="s">
        <v>35</v>
      </c>
      <c r="N121" s="1">
        <v>42318949</v>
      </c>
      <c r="O121" s="1" t="s">
        <v>36</v>
      </c>
      <c r="P121" s="11" t="s">
        <v>341</v>
      </c>
      <c r="R121" s="1" t="s">
        <v>38</v>
      </c>
      <c r="T121" s="1" t="s">
        <v>74</v>
      </c>
      <c r="U121" s="11" t="s">
        <v>342</v>
      </c>
      <c r="V121" s="1" t="s">
        <v>41</v>
      </c>
      <c r="W121" s="1" t="s">
        <v>49</v>
      </c>
      <c r="X121" s="13" t="str">
        <f t="shared" si="12"/>
        <v/>
      </c>
      <c r="Y121" s="2">
        <f t="shared" ca="1" si="7"/>
        <v>378</v>
      </c>
      <c r="Z121" s="14">
        <v>1</v>
      </c>
      <c r="AA121" s="1" t="str">
        <f t="shared" ca="1" si="8"/>
        <v>VENCIDO</v>
      </c>
      <c r="AB121" s="1" t="str">
        <f t="shared" si="9"/>
        <v>Dosa</v>
      </c>
      <c r="AC121" s="2" t="str">
        <f t="shared" si="13"/>
        <v xml:space="preserve"> RINALDO </v>
      </c>
      <c r="AD121" s="2">
        <f t="shared" si="10"/>
        <v>5</v>
      </c>
      <c r="AE121" s="2">
        <f t="shared" ca="1" si="11"/>
        <v>-526.1273711805552</v>
      </c>
      <c r="AF121" s="15"/>
    </row>
    <row r="122" spans="1:32" hidden="1">
      <c r="A122" s="1">
        <v>7726592</v>
      </c>
      <c r="B122" s="1" t="s">
        <v>81</v>
      </c>
      <c r="C122" t="s">
        <v>240</v>
      </c>
      <c r="E122" s="2">
        <v>4012000206001</v>
      </c>
      <c r="F122" s="1" t="s">
        <v>29</v>
      </c>
      <c r="G122" s="1" t="s">
        <v>53</v>
      </c>
      <c r="H122" s="1" t="s">
        <v>349</v>
      </c>
      <c r="I122" s="1" t="s">
        <v>350</v>
      </c>
      <c r="J122" s="1" t="s">
        <v>261</v>
      </c>
      <c r="K122" t="s">
        <v>34</v>
      </c>
      <c r="M122" s="1" t="s">
        <v>35</v>
      </c>
      <c r="N122" s="1">
        <v>42318949</v>
      </c>
      <c r="O122" s="1" t="s">
        <v>36</v>
      </c>
      <c r="P122" s="11" t="s">
        <v>3404</v>
      </c>
      <c r="R122" s="1" t="s">
        <v>38</v>
      </c>
      <c r="T122" s="1" t="s">
        <v>74</v>
      </c>
      <c r="U122" s="11" t="s">
        <v>3968</v>
      </c>
      <c r="V122" s="1" t="s">
        <v>41</v>
      </c>
      <c r="W122" s="1" t="s">
        <v>49</v>
      </c>
      <c r="X122" s="13" t="str">
        <f t="shared" si="12"/>
        <v/>
      </c>
      <c r="Y122" s="2">
        <f t="shared" ca="1" si="7"/>
        <v>378</v>
      </c>
      <c r="Z122" s="14">
        <v>1</v>
      </c>
      <c r="AA122" s="1" t="str">
        <f t="shared" ca="1" si="8"/>
        <v>VENCIDO</v>
      </c>
      <c r="AB122" s="1" t="str">
        <f t="shared" si="9"/>
        <v>Dosa</v>
      </c>
      <c r="AC122" s="2" t="str">
        <f t="shared" si="13"/>
        <v xml:space="preserve"> CRISTINA </v>
      </c>
      <c r="AD122" s="2">
        <f t="shared" si="10"/>
        <v>5</v>
      </c>
      <c r="AE122" s="2">
        <f t="shared" ca="1" si="11"/>
        <v>-526.12738275463198</v>
      </c>
      <c r="AF122" s="15"/>
    </row>
    <row r="123" spans="1:32" hidden="1">
      <c r="A123" s="1">
        <v>7726589</v>
      </c>
      <c r="B123" s="1" t="s">
        <v>81</v>
      </c>
      <c r="C123" t="s">
        <v>240</v>
      </c>
      <c r="E123" s="2">
        <v>2365000206001</v>
      </c>
      <c r="F123" s="1" t="s">
        <v>29</v>
      </c>
      <c r="G123" s="1" t="s">
        <v>53</v>
      </c>
      <c r="H123" s="1" t="s">
        <v>159</v>
      </c>
      <c r="I123" s="1" t="s">
        <v>160</v>
      </c>
      <c r="J123" s="1" t="s">
        <v>46</v>
      </c>
      <c r="K123" t="s">
        <v>34</v>
      </c>
      <c r="M123" s="1" t="s">
        <v>35</v>
      </c>
      <c r="N123" s="1">
        <v>42318949</v>
      </c>
      <c r="O123" s="1" t="s">
        <v>36</v>
      </c>
      <c r="P123" s="11" t="s">
        <v>3404</v>
      </c>
      <c r="R123" s="1" t="s">
        <v>38</v>
      </c>
      <c r="T123" s="1" t="s">
        <v>74</v>
      </c>
      <c r="U123" s="11" t="s">
        <v>3968</v>
      </c>
      <c r="V123" s="1" t="s">
        <v>41</v>
      </c>
      <c r="W123" s="1" t="s">
        <v>49</v>
      </c>
      <c r="X123" s="13" t="str">
        <f t="shared" si="12"/>
        <v/>
      </c>
      <c r="Y123" s="2">
        <f t="shared" ca="1" si="7"/>
        <v>378</v>
      </c>
      <c r="Z123" s="14">
        <v>1</v>
      </c>
      <c r="AA123" s="1" t="str">
        <f t="shared" ca="1" si="8"/>
        <v>VENCIDO</v>
      </c>
      <c r="AB123" s="1" t="str">
        <f t="shared" si="9"/>
        <v>Dosa</v>
      </c>
      <c r="AC123" s="2" t="str">
        <f t="shared" si="13"/>
        <v xml:space="preserve"> CLEITON </v>
      </c>
      <c r="AD123" s="2">
        <f t="shared" si="10"/>
        <v>5</v>
      </c>
      <c r="AE123" s="2">
        <f t="shared" ca="1" si="11"/>
        <v>-526.12738275463198</v>
      </c>
      <c r="AF123" s="15"/>
    </row>
    <row r="124" spans="1:32" hidden="1">
      <c r="A124" s="1">
        <v>7726588</v>
      </c>
      <c r="B124" s="1" t="s">
        <v>81</v>
      </c>
      <c r="C124" t="s">
        <v>240</v>
      </c>
      <c r="E124" s="2">
        <v>1264000206001</v>
      </c>
      <c r="F124" s="1" t="s">
        <v>29</v>
      </c>
      <c r="G124" s="1" t="s">
        <v>53</v>
      </c>
      <c r="H124" s="1" t="s">
        <v>351</v>
      </c>
      <c r="I124" s="1" t="s">
        <v>352</v>
      </c>
      <c r="J124" s="1" t="s">
        <v>110</v>
      </c>
      <c r="K124" t="s">
        <v>34</v>
      </c>
      <c r="M124" s="1" t="s">
        <v>35</v>
      </c>
      <c r="N124" s="1">
        <v>42318949</v>
      </c>
      <c r="O124" s="1" t="s">
        <v>36</v>
      </c>
      <c r="P124" s="11" t="s">
        <v>3404</v>
      </c>
      <c r="R124" s="1" t="s">
        <v>38</v>
      </c>
      <c r="T124" s="1" t="s">
        <v>74</v>
      </c>
      <c r="U124" s="11" t="s">
        <v>3968</v>
      </c>
      <c r="V124" s="1" t="s">
        <v>41</v>
      </c>
      <c r="W124" s="1" t="s">
        <v>49</v>
      </c>
      <c r="X124" s="13" t="str">
        <f t="shared" si="12"/>
        <v/>
      </c>
      <c r="Y124" s="2">
        <f t="shared" ca="1" si="7"/>
        <v>378</v>
      </c>
      <c r="Z124" s="14">
        <v>1</v>
      </c>
      <c r="AA124" s="1" t="str">
        <f t="shared" ca="1" si="8"/>
        <v>VENCIDO</v>
      </c>
      <c r="AB124" s="1" t="str">
        <f t="shared" si="9"/>
        <v>Dosa</v>
      </c>
      <c r="AC124" s="2" t="str">
        <f t="shared" si="13"/>
        <v xml:space="preserve"> CRISTINA </v>
      </c>
      <c r="AD124" s="2">
        <f t="shared" si="10"/>
        <v>5</v>
      </c>
      <c r="AE124" s="2">
        <f t="shared" ca="1" si="11"/>
        <v>-526.12738275463198</v>
      </c>
      <c r="AF124" s="15"/>
    </row>
    <row r="125" spans="1:32" hidden="1">
      <c r="A125" s="1">
        <v>7726587</v>
      </c>
      <c r="B125" s="1" t="s">
        <v>81</v>
      </c>
      <c r="C125" t="s">
        <v>240</v>
      </c>
      <c r="E125" s="2">
        <v>1069000206001</v>
      </c>
      <c r="F125" s="1" t="s">
        <v>29</v>
      </c>
      <c r="G125" s="1" t="s">
        <v>53</v>
      </c>
      <c r="H125" s="1" t="s">
        <v>353</v>
      </c>
      <c r="I125" s="1" t="s">
        <v>354</v>
      </c>
      <c r="J125" s="1" t="s">
        <v>211</v>
      </c>
      <c r="K125" t="s">
        <v>34</v>
      </c>
      <c r="M125" s="1" t="s">
        <v>35</v>
      </c>
      <c r="N125" s="1">
        <v>42318949</v>
      </c>
      <c r="O125" s="1" t="s">
        <v>36</v>
      </c>
      <c r="P125" s="11" t="s">
        <v>3404</v>
      </c>
      <c r="R125" s="1" t="s">
        <v>38</v>
      </c>
      <c r="T125" s="1" t="s">
        <v>74</v>
      </c>
      <c r="U125" s="11" t="s">
        <v>3968</v>
      </c>
      <c r="V125" s="1" t="s">
        <v>41</v>
      </c>
      <c r="W125" s="1" t="s">
        <v>49</v>
      </c>
      <c r="X125" s="13" t="str">
        <f t="shared" si="12"/>
        <v/>
      </c>
      <c r="Y125" s="2">
        <f t="shared" ca="1" si="7"/>
        <v>378</v>
      </c>
      <c r="Z125" s="14">
        <v>1</v>
      </c>
      <c r="AA125" s="1" t="str">
        <f t="shared" ca="1" si="8"/>
        <v>VENCIDO</v>
      </c>
      <c r="AB125" s="1" t="str">
        <f t="shared" si="9"/>
        <v>Dosa</v>
      </c>
      <c r="AC125" s="2" t="str">
        <f t="shared" si="13"/>
        <v xml:space="preserve"> RINALDO </v>
      </c>
      <c r="AD125" s="2">
        <f t="shared" si="10"/>
        <v>5</v>
      </c>
      <c r="AE125" s="2">
        <f t="shared" ca="1" si="11"/>
        <v>-526.12738275463198</v>
      </c>
      <c r="AF125" s="15"/>
    </row>
    <row r="126" spans="1:32" hidden="1">
      <c r="A126" s="1">
        <v>7726586</v>
      </c>
      <c r="B126" s="1" t="s">
        <v>81</v>
      </c>
      <c r="C126" t="s">
        <v>240</v>
      </c>
      <c r="E126" s="2">
        <v>2529000206001</v>
      </c>
      <c r="F126" s="1" t="s">
        <v>29</v>
      </c>
      <c r="G126" s="1" t="s">
        <v>53</v>
      </c>
      <c r="H126" s="1" t="s">
        <v>355</v>
      </c>
      <c r="I126" s="1" t="s">
        <v>356</v>
      </c>
      <c r="J126" s="1" t="s">
        <v>56</v>
      </c>
      <c r="K126" t="s">
        <v>34</v>
      </c>
      <c r="M126" s="1" t="s">
        <v>35</v>
      </c>
      <c r="N126" s="1">
        <v>42318949</v>
      </c>
      <c r="O126" s="1" t="s">
        <v>36</v>
      </c>
      <c r="P126" s="11" t="s">
        <v>3404</v>
      </c>
      <c r="R126" s="1" t="s">
        <v>38</v>
      </c>
      <c r="T126" s="1" t="s">
        <v>74</v>
      </c>
      <c r="U126" s="11" t="s">
        <v>3968</v>
      </c>
      <c r="V126" s="1" t="s">
        <v>41</v>
      </c>
      <c r="W126" s="1" t="s">
        <v>49</v>
      </c>
      <c r="X126" s="13" t="str">
        <f t="shared" si="12"/>
        <v/>
      </c>
      <c r="Y126" s="2">
        <f t="shared" ca="1" si="7"/>
        <v>378</v>
      </c>
      <c r="Z126" s="14">
        <v>1</v>
      </c>
      <c r="AA126" s="1" t="str">
        <f t="shared" ca="1" si="8"/>
        <v>VENCIDO</v>
      </c>
      <c r="AB126" s="1" t="str">
        <f t="shared" si="9"/>
        <v>Dosa</v>
      </c>
      <c r="AC126" s="2" t="str">
        <f t="shared" si="13"/>
        <v xml:space="preserve"> CRISTINA </v>
      </c>
      <c r="AD126" s="2">
        <f t="shared" si="10"/>
        <v>5</v>
      </c>
      <c r="AE126" s="2">
        <f t="shared" ca="1" si="11"/>
        <v>-526.12738275463198</v>
      </c>
      <c r="AF126" s="15"/>
    </row>
    <row r="127" spans="1:32" hidden="1">
      <c r="A127" s="1">
        <v>7726584</v>
      </c>
      <c r="B127" s="1" t="s">
        <v>81</v>
      </c>
      <c r="C127" t="s">
        <v>240</v>
      </c>
      <c r="E127" s="2">
        <v>1838000206001</v>
      </c>
      <c r="F127" s="1" t="s">
        <v>29</v>
      </c>
      <c r="G127" s="1" t="s">
        <v>53</v>
      </c>
      <c r="H127" s="1" t="s">
        <v>357</v>
      </c>
      <c r="I127" s="1" t="s">
        <v>358</v>
      </c>
      <c r="J127" s="1" t="s">
        <v>46</v>
      </c>
      <c r="K127" t="s">
        <v>34</v>
      </c>
      <c r="M127" s="1" t="s">
        <v>35</v>
      </c>
      <c r="N127" s="1">
        <v>42318949</v>
      </c>
      <c r="O127" s="1" t="s">
        <v>36</v>
      </c>
      <c r="P127" s="11" t="s">
        <v>363</v>
      </c>
      <c r="R127" s="1" t="s">
        <v>38</v>
      </c>
      <c r="T127" s="1" t="s">
        <v>74</v>
      </c>
      <c r="U127" s="11" t="s">
        <v>364</v>
      </c>
      <c r="V127" s="1" t="s">
        <v>41</v>
      </c>
      <c r="W127" s="1" t="s">
        <v>49</v>
      </c>
      <c r="X127" s="13" t="str">
        <f t="shared" si="12"/>
        <v/>
      </c>
      <c r="Y127" s="2">
        <f t="shared" ca="1" si="7"/>
        <v>378</v>
      </c>
      <c r="Z127" s="14">
        <v>1</v>
      </c>
      <c r="AA127" s="1" t="str">
        <f t="shared" ca="1" si="8"/>
        <v>VENCIDO</v>
      </c>
      <c r="AB127" s="1" t="str">
        <f t="shared" si="9"/>
        <v>Dosa</v>
      </c>
      <c r="AC127" s="2" t="str">
        <f t="shared" si="13"/>
        <v xml:space="preserve"> CLEITON </v>
      </c>
      <c r="AD127" s="2">
        <f t="shared" si="10"/>
        <v>5</v>
      </c>
      <c r="AE127" s="2">
        <f t="shared" ca="1" si="11"/>
        <v>-526.12739432870148</v>
      </c>
      <c r="AF127" s="15"/>
    </row>
    <row r="128" spans="1:32" hidden="1">
      <c r="A128" s="1">
        <v>7726583</v>
      </c>
      <c r="B128" s="1" t="s">
        <v>81</v>
      </c>
      <c r="C128" t="s">
        <v>240</v>
      </c>
      <c r="E128" s="2">
        <v>2739000206001</v>
      </c>
      <c r="F128" s="1" t="s">
        <v>29</v>
      </c>
      <c r="G128" s="1" t="s">
        <v>53</v>
      </c>
      <c r="H128" s="1" t="s">
        <v>359</v>
      </c>
      <c r="I128" s="1" t="s">
        <v>360</v>
      </c>
      <c r="J128" s="1" t="s">
        <v>85</v>
      </c>
      <c r="K128" t="s">
        <v>34</v>
      </c>
      <c r="M128" s="1" t="s">
        <v>35</v>
      </c>
      <c r="N128" s="1">
        <v>42318949</v>
      </c>
      <c r="O128" s="1" t="s">
        <v>36</v>
      </c>
      <c r="P128" s="11" t="s">
        <v>363</v>
      </c>
      <c r="R128" s="1" t="s">
        <v>38</v>
      </c>
      <c r="T128" s="1" t="s">
        <v>74</v>
      </c>
      <c r="U128" s="11" t="s">
        <v>364</v>
      </c>
      <c r="V128" s="1" t="s">
        <v>41</v>
      </c>
      <c r="W128" s="1" t="s">
        <v>49</v>
      </c>
      <c r="X128" s="13" t="str">
        <f t="shared" si="12"/>
        <v/>
      </c>
      <c r="Y128" s="2">
        <f t="shared" ca="1" si="7"/>
        <v>378</v>
      </c>
      <c r="Z128" s="14">
        <v>1</v>
      </c>
      <c r="AA128" s="1" t="str">
        <f t="shared" ca="1" si="8"/>
        <v>VENCIDO</v>
      </c>
      <c r="AB128" s="1" t="str">
        <f t="shared" si="9"/>
        <v>Dosa</v>
      </c>
      <c r="AC128" s="2" t="str">
        <f t="shared" si="13"/>
        <v xml:space="preserve"> RINALDO </v>
      </c>
      <c r="AD128" s="2">
        <f t="shared" si="10"/>
        <v>5</v>
      </c>
      <c r="AE128" s="2">
        <f t="shared" ca="1" si="11"/>
        <v>-526.12739432870148</v>
      </c>
      <c r="AF128" s="15"/>
    </row>
    <row r="129" spans="1:32" hidden="1">
      <c r="A129" s="1">
        <v>7726582</v>
      </c>
      <c r="B129" s="1" t="s">
        <v>81</v>
      </c>
      <c r="C129" t="s">
        <v>240</v>
      </c>
      <c r="E129" s="2">
        <v>1643000206001</v>
      </c>
      <c r="F129" s="1" t="s">
        <v>29</v>
      </c>
      <c r="G129" s="1" t="s">
        <v>53</v>
      </c>
      <c r="H129" s="1" t="s">
        <v>361</v>
      </c>
      <c r="I129" s="1" t="s">
        <v>362</v>
      </c>
      <c r="J129" s="1" t="s">
        <v>261</v>
      </c>
      <c r="K129" t="s">
        <v>34</v>
      </c>
      <c r="M129" s="1" t="s">
        <v>35</v>
      </c>
      <c r="N129" s="1">
        <v>42318949</v>
      </c>
      <c r="O129" s="1" t="s">
        <v>36</v>
      </c>
      <c r="P129" s="11" t="s">
        <v>363</v>
      </c>
      <c r="R129" s="1" t="s">
        <v>38</v>
      </c>
      <c r="T129" s="1" t="s">
        <v>74</v>
      </c>
      <c r="U129" s="11" t="s">
        <v>364</v>
      </c>
      <c r="V129" s="1" t="s">
        <v>41</v>
      </c>
      <c r="W129" s="1" t="s">
        <v>49</v>
      </c>
      <c r="X129" s="13" t="str">
        <f t="shared" si="12"/>
        <v/>
      </c>
      <c r="Y129" s="2">
        <f t="shared" ca="1" si="7"/>
        <v>378</v>
      </c>
      <c r="Z129" s="14">
        <v>1</v>
      </c>
      <c r="AA129" s="1" t="str">
        <f t="shared" ca="1" si="8"/>
        <v>VENCIDO</v>
      </c>
      <c r="AB129" s="1" t="str">
        <f t="shared" si="9"/>
        <v>Dosa</v>
      </c>
      <c r="AC129" s="2" t="str">
        <f t="shared" si="13"/>
        <v xml:space="preserve"> CRISTINA </v>
      </c>
      <c r="AD129" s="2">
        <f t="shared" si="10"/>
        <v>5</v>
      </c>
      <c r="AE129" s="2">
        <f t="shared" ca="1" si="11"/>
        <v>-526.12739432870148</v>
      </c>
      <c r="AF129" s="15"/>
    </row>
    <row r="130" spans="1:32" hidden="1">
      <c r="A130" s="1">
        <v>7726581</v>
      </c>
      <c r="B130" s="1" t="s">
        <v>81</v>
      </c>
      <c r="C130" t="s">
        <v>240</v>
      </c>
      <c r="E130" s="2">
        <v>5898000206001</v>
      </c>
      <c r="F130" s="1" t="s">
        <v>29</v>
      </c>
      <c r="G130" s="1" t="s">
        <v>53</v>
      </c>
      <c r="H130" s="1" t="s">
        <v>365</v>
      </c>
      <c r="I130" s="1" t="s">
        <v>366</v>
      </c>
      <c r="J130" s="1" t="s">
        <v>164</v>
      </c>
      <c r="K130" t="s">
        <v>34</v>
      </c>
      <c r="M130" s="1" t="s">
        <v>35</v>
      </c>
      <c r="N130" s="1">
        <v>42318949</v>
      </c>
      <c r="O130" s="1" t="s">
        <v>36</v>
      </c>
      <c r="P130" s="12">
        <v>44459.548877314817</v>
      </c>
      <c r="R130" s="1" t="s">
        <v>38</v>
      </c>
      <c r="T130" s="1" t="s">
        <v>74</v>
      </c>
      <c r="U130" s="12">
        <v>44460.548877314817</v>
      </c>
      <c r="V130" s="1" t="s">
        <v>41</v>
      </c>
      <c r="W130" s="1" t="s">
        <v>49</v>
      </c>
      <c r="X130" s="13" t="str">
        <f t="shared" si="12"/>
        <v/>
      </c>
      <c r="Y130" s="2">
        <f t="shared" ref="Y130:Y193" ca="1" si="14">NETWORKDAYS(P130,$Y$1)</f>
        <v>378</v>
      </c>
      <c r="Z130" s="14">
        <v>1</v>
      </c>
      <c r="AA130" s="1" t="str">
        <f t="shared" ref="AA130:AA193" ca="1" si="15">IF(AE130=0,"HOJE",IF(AE130&gt;0,"A VENCER",IF(AE130&lt;0,"VENCIDO")))</f>
        <v>VENCIDO</v>
      </c>
      <c r="AB130" s="1" t="str">
        <f t="shared" ref="AB130:AB193" si="16">IF(F130="GRPE-000001","C-14",IF(F130="GRPE-000002","C-14",IF(F130="GRPE-000003","C-14",IF(F130="GRPE-000004","SL-On",IF(F130="GRPE-000038","C-14",IF(F130="GRPE-900022","Dosa",IF(F130="GRPE-000029","Dosa",IF(F130="ATOS-000222","Dose","TAAe+"))))))))</f>
        <v>Dosa</v>
      </c>
      <c r="AC130" s="2" t="str">
        <f t="shared" si="13"/>
        <v xml:space="preserve"> ROSEMERE </v>
      </c>
      <c r="AD130" s="2">
        <f t="shared" ref="AD130:AD193" si="17">IF(F130="GRPE-000001",5,IF(F130="GRPE-000002",5,IF(F130="GRPE-000003",15,IF(F130="GRPE-000004",1,IF(F130="GRPE-000038",5,IF(F130="GRPE-900022",5,IF(F130="GRPE-000029",5,IF(F130="ATOS-000222",5,8))))))))</f>
        <v>5</v>
      </c>
      <c r="AE130" s="2">
        <f t="shared" ref="AE130:AE193" ca="1" si="18">IF(U130=$AE$1,"",U130-$AE$1)</f>
        <v>-526.12739432870148</v>
      </c>
      <c r="AF130" s="15"/>
    </row>
    <row r="131" spans="1:32" hidden="1">
      <c r="A131" s="1">
        <v>7726580</v>
      </c>
      <c r="B131" s="1" t="s">
        <v>81</v>
      </c>
      <c r="C131" t="s">
        <v>240</v>
      </c>
      <c r="E131" s="2">
        <v>834000206001</v>
      </c>
      <c r="F131" s="1" t="s">
        <v>29</v>
      </c>
      <c r="G131" s="1" t="s">
        <v>53</v>
      </c>
      <c r="H131" s="1" t="s">
        <v>367</v>
      </c>
      <c r="I131" s="1" t="s">
        <v>368</v>
      </c>
      <c r="J131" s="1" t="s">
        <v>261</v>
      </c>
      <c r="K131" t="s">
        <v>34</v>
      </c>
      <c r="M131" s="1" t="s">
        <v>35</v>
      </c>
      <c r="N131" s="1">
        <v>42318949</v>
      </c>
      <c r="O131" s="1" t="s">
        <v>36</v>
      </c>
      <c r="P131" s="12">
        <v>44459.548877314817</v>
      </c>
      <c r="R131" s="1" t="s">
        <v>38</v>
      </c>
      <c r="T131" s="1" t="s">
        <v>74</v>
      </c>
      <c r="U131" s="12">
        <v>44460.548877314817</v>
      </c>
      <c r="V131" s="1" t="s">
        <v>41</v>
      </c>
      <c r="W131" s="1" t="s">
        <v>49</v>
      </c>
      <c r="X131" s="13" t="str">
        <f t="shared" ref="X131:X194" si="19">IF(RIGHT(H131,2)&lt;&gt;"00",H131,"")</f>
        <v/>
      </c>
      <c r="Y131" s="2">
        <f t="shared" ca="1" si="14"/>
        <v>378</v>
      </c>
      <c r="Z131" s="14">
        <v>1</v>
      </c>
      <c r="AA131" s="1" t="str">
        <f t="shared" ca="1" si="15"/>
        <v>VENCIDO</v>
      </c>
      <c r="AB131" s="1" t="str">
        <f t="shared" si="16"/>
        <v>Dosa</v>
      </c>
      <c r="AC131" s="2" t="str">
        <f t="shared" ref="AC131:AC194" si="20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 xml:space="preserve"> CRISTINA </v>
      </c>
      <c r="AD131" s="2">
        <f t="shared" si="17"/>
        <v>5</v>
      </c>
      <c r="AE131" s="2">
        <f t="shared" ca="1" si="18"/>
        <v>-526.12739432870148</v>
      </c>
      <c r="AF131" s="15"/>
    </row>
    <row r="132" spans="1:32" hidden="1">
      <c r="A132" s="1">
        <v>7726579</v>
      </c>
      <c r="B132" s="1" t="s">
        <v>81</v>
      </c>
      <c r="C132" t="s">
        <v>240</v>
      </c>
      <c r="E132" s="2">
        <v>1833000206001</v>
      </c>
      <c r="F132" s="1" t="s">
        <v>29</v>
      </c>
      <c r="G132" s="1" t="s">
        <v>53</v>
      </c>
      <c r="H132" s="1" t="s">
        <v>369</v>
      </c>
      <c r="I132" s="1" t="s">
        <v>370</v>
      </c>
      <c r="J132" s="1" t="s">
        <v>46</v>
      </c>
      <c r="K132" t="s">
        <v>34</v>
      </c>
      <c r="M132" s="1" t="s">
        <v>35</v>
      </c>
      <c r="N132" s="1">
        <v>42318949</v>
      </c>
      <c r="O132" s="1" t="s">
        <v>36</v>
      </c>
      <c r="P132" s="12">
        <v>44459.54886574074</v>
      </c>
      <c r="R132" s="1" t="s">
        <v>38</v>
      </c>
      <c r="T132" s="1" t="s">
        <v>74</v>
      </c>
      <c r="U132" s="12">
        <v>44460.54886574074</v>
      </c>
      <c r="V132" s="1" t="s">
        <v>41</v>
      </c>
      <c r="W132" s="1" t="s">
        <v>49</v>
      </c>
      <c r="X132" s="13" t="str">
        <f t="shared" si="19"/>
        <v/>
      </c>
      <c r="Y132" s="2">
        <f t="shared" ca="1" si="14"/>
        <v>378</v>
      </c>
      <c r="Z132" s="14">
        <v>1</v>
      </c>
      <c r="AA132" s="1" t="str">
        <f t="shared" ca="1" si="15"/>
        <v>VENCIDO</v>
      </c>
      <c r="AB132" s="1" t="str">
        <f t="shared" si="16"/>
        <v>Dosa</v>
      </c>
      <c r="AC132" s="2" t="str">
        <f t="shared" si="20"/>
        <v xml:space="preserve"> CLEITON </v>
      </c>
      <c r="AD132" s="2">
        <f t="shared" si="17"/>
        <v>5</v>
      </c>
      <c r="AE132" s="2">
        <f t="shared" ca="1" si="18"/>
        <v>-526.12740590277826</v>
      </c>
      <c r="AF132" s="15"/>
    </row>
    <row r="133" spans="1:32" hidden="1">
      <c r="A133" s="1">
        <v>7726578</v>
      </c>
      <c r="B133" s="1" t="s">
        <v>81</v>
      </c>
      <c r="C133" t="s">
        <v>240</v>
      </c>
      <c r="E133" s="2">
        <v>3250000206001</v>
      </c>
      <c r="F133" s="1" t="s">
        <v>29</v>
      </c>
      <c r="G133" s="1" t="s">
        <v>53</v>
      </c>
      <c r="H133" s="1" t="s">
        <v>371</v>
      </c>
      <c r="I133" s="1" t="s">
        <v>372</v>
      </c>
      <c r="J133" s="1" t="s">
        <v>46</v>
      </c>
      <c r="K133" t="s">
        <v>34</v>
      </c>
      <c r="M133" s="1" t="s">
        <v>35</v>
      </c>
      <c r="N133" s="1">
        <v>42318949</v>
      </c>
      <c r="O133" s="1" t="s">
        <v>36</v>
      </c>
      <c r="P133" s="12">
        <v>44459.54886574074</v>
      </c>
      <c r="R133" s="1" t="s">
        <v>38</v>
      </c>
      <c r="T133" s="1" t="s">
        <v>74</v>
      </c>
      <c r="U133" s="12">
        <v>44460.54886574074</v>
      </c>
      <c r="V133" s="1" t="s">
        <v>41</v>
      </c>
      <c r="W133" s="1" t="s">
        <v>49</v>
      </c>
      <c r="X133" s="13" t="str">
        <f t="shared" si="19"/>
        <v/>
      </c>
      <c r="Y133" s="2">
        <f t="shared" ca="1" si="14"/>
        <v>378</v>
      </c>
      <c r="Z133" s="14">
        <v>1</v>
      </c>
      <c r="AA133" s="1" t="str">
        <f t="shared" ca="1" si="15"/>
        <v>VENCIDO</v>
      </c>
      <c r="AB133" s="1" t="str">
        <f t="shared" si="16"/>
        <v>Dosa</v>
      </c>
      <c r="AC133" s="2" t="str">
        <f t="shared" si="20"/>
        <v xml:space="preserve"> CLEITON </v>
      </c>
      <c r="AD133" s="2">
        <f t="shared" si="17"/>
        <v>5</v>
      </c>
      <c r="AE133" s="2">
        <f t="shared" ca="1" si="18"/>
        <v>-526.12740590277826</v>
      </c>
      <c r="AF133" s="15"/>
    </row>
    <row r="134" spans="1:32" hidden="1">
      <c r="A134" s="1">
        <v>7726576</v>
      </c>
      <c r="B134" s="1" t="s">
        <v>81</v>
      </c>
      <c r="C134" t="s">
        <v>240</v>
      </c>
      <c r="E134" s="2">
        <v>1059000206001</v>
      </c>
      <c r="F134" s="1" t="s">
        <v>29</v>
      </c>
      <c r="G134" s="1" t="s">
        <v>53</v>
      </c>
      <c r="H134" s="1" t="s">
        <v>88</v>
      </c>
      <c r="I134" s="1" t="s">
        <v>89</v>
      </c>
      <c r="J134" s="1" t="s">
        <v>90</v>
      </c>
      <c r="K134" t="s">
        <v>34</v>
      </c>
      <c r="M134" s="1" t="s">
        <v>35</v>
      </c>
      <c r="N134" s="1">
        <v>42318949</v>
      </c>
      <c r="O134" s="1" t="s">
        <v>36</v>
      </c>
      <c r="P134" s="12">
        <v>44459.54886574074</v>
      </c>
      <c r="R134" s="1" t="s">
        <v>38</v>
      </c>
      <c r="T134" s="1" t="s">
        <v>74</v>
      </c>
      <c r="U134" s="12">
        <v>44460.54886574074</v>
      </c>
      <c r="V134" s="1" t="s">
        <v>41</v>
      </c>
      <c r="W134" s="1" t="s">
        <v>49</v>
      </c>
      <c r="X134" s="13" t="str">
        <f t="shared" si="19"/>
        <v/>
      </c>
      <c r="Y134" s="2">
        <f t="shared" ca="1" si="14"/>
        <v>378</v>
      </c>
      <c r="Z134" s="14">
        <v>1</v>
      </c>
      <c r="AA134" s="1" t="str">
        <f t="shared" ca="1" si="15"/>
        <v>VENCIDO</v>
      </c>
      <c r="AB134" s="1" t="str">
        <f t="shared" si="16"/>
        <v>Dosa</v>
      </c>
      <c r="AC134" s="2" t="str">
        <f t="shared" si="20"/>
        <v xml:space="preserve"> RINALDO </v>
      </c>
      <c r="AD134" s="2">
        <f t="shared" si="17"/>
        <v>5</v>
      </c>
      <c r="AE134" s="2">
        <f t="shared" ca="1" si="18"/>
        <v>-526.12740590277826</v>
      </c>
      <c r="AF134" s="15"/>
    </row>
    <row r="135" spans="1:32" hidden="1">
      <c r="A135" s="1">
        <v>7726575</v>
      </c>
      <c r="B135" s="1" t="s">
        <v>81</v>
      </c>
      <c r="C135" t="s">
        <v>240</v>
      </c>
      <c r="E135" s="2">
        <v>1761000206001</v>
      </c>
      <c r="F135" s="1" t="s">
        <v>29</v>
      </c>
      <c r="G135" s="1" t="s">
        <v>53</v>
      </c>
      <c r="H135" s="1" t="s">
        <v>375</v>
      </c>
      <c r="I135" s="1" t="s">
        <v>376</v>
      </c>
      <c r="J135" s="1" t="s">
        <v>56</v>
      </c>
      <c r="K135" t="s">
        <v>34</v>
      </c>
      <c r="M135" s="1" t="s">
        <v>35</v>
      </c>
      <c r="N135" s="1">
        <v>42318949</v>
      </c>
      <c r="O135" s="1" t="s">
        <v>36</v>
      </c>
      <c r="P135" s="12">
        <v>44459.54886574074</v>
      </c>
      <c r="R135" s="1" t="s">
        <v>38</v>
      </c>
      <c r="T135" s="1" t="s">
        <v>74</v>
      </c>
      <c r="U135" s="12">
        <v>44460.54886574074</v>
      </c>
      <c r="V135" s="1" t="s">
        <v>41</v>
      </c>
      <c r="W135" s="1" t="s">
        <v>49</v>
      </c>
      <c r="X135" s="13" t="str">
        <f t="shared" si="19"/>
        <v/>
      </c>
      <c r="Y135" s="2">
        <f t="shared" ca="1" si="14"/>
        <v>378</v>
      </c>
      <c r="Z135" s="14">
        <v>1</v>
      </c>
      <c r="AA135" s="1" t="str">
        <f t="shared" ca="1" si="15"/>
        <v>VENCIDO</v>
      </c>
      <c r="AB135" s="1" t="str">
        <f t="shared" si="16"/>
        <v>Dosa</v>
      </c>
      <c r="AC135" s="2" t="str">
        <f t="shared" si="20"/>
        <v xml:space="preserve"> CRISTINA </v>
      </c>
      <c r="AD135" s="2">
        <f t="shared" si="17"/>
        <v>5</v>
      </c>
      <c r="AE135" s="2">
        <f t="shared" ca="1" si="18"/>
        <v>-526.12740590277826</v>
      </c>
      <c r="AF135" s="15"/>
    </row>
    <row r="136" spans="1:32" hidden="1">
      <c r="A136" s="1">
        <v>7726574</v>
      </c>
      <c r="B136" s="1" t="s">
        <v>81</v>
      </c>
      <c r="C136" t="s">
        <v>240</v>
      </c>
      <c r="E136" s="2">
        <v>714000206001</v>
      </c>
      <c r="F136" s="1" t="s">
        <v>29</v>
      </c>
      <c r="G136" s="1" t="s">
        <v>53</v>
      </c>
      <c r="H136" s="1" t="s">
        <v>377</v>
      </c>
      <c r="I136" s="1" t="s">
        <v>378</v>
      </c>
      <c r="J136" s="1" t="s">
        <v>46</v>
      </c>
      <c r="K136" t="s">
        <v>34</v>
      </c>
      <c r="M136" s="1" t="s">
        <v>35</v>
      </c>
      <c r="N136" s="1">
        <v>42318949</v>
      </c>
      <c r="O136" s="1" t="s">
        <v>36</v>
      </c>
      <c r="P136" s="12">
        <v>44459.54886574074</v>
      </c>
      <c r="R136" s="1" t="s">
        <v>38</v>
      </c>
      <c r="T136" s="1" t="s">
        <v>74</v>
      </c>
      <c r="U136" s="12">
        <v>44460.54886574074</v>
      </c>
      <c r="V136" s="1" t="s">
        <v>41</v>
      </c>
      <c r="W136" s="1" t="s">
        <v>49</v>
      </c>
      <c r="X136" s="13" t="str">
        <f t="shared" si="19"/>
        <v/>
      </c>
      <c r="Y136" s="2">
        <f t="shared" ca="1" si="14"/>
        <v>378</v>
      </c>
      <c r="Z136" s="14">
        <v>1</v>
      </c>
      <c r="AA136" s="1" t="str">
        <f t="shared" ca="1" si="15"/>
        <v>VENCIDO</v>
      </c>
      <c r="AB136" s="1" t="str">
        <f t="shared" si="16"/>
        <v>Dosa</v>
      </c>
      <c r="AC136" s="2" t="str">
        <f t="shared" si="20"/>
        <v xml:space="preserve"> CLEITON </v>
      </c>
      <c r="AD136" s="2">
        <f t="shared" si="17"/>
        <v>5</v>
      </c>
      <c r="AE136" s="2">
        <f t="shared" ca="1" si="18"/>
        <v>-526.12740590277826</v>
      </c>
      <c r="AF136" s="15"/>
    </row>
    <row r="137" spans="1:32" hidden="1">
      <c r="A137" s="1">
        <v>7726573</v>
      </c>
      <c r="B137" s="1" t="s">
        <v>81</v>
      </c>
      <c r="C137" t="s">
        <v>240</v>
      </c>
      <c r="E137" s="2">
        <v>2138000206001</v>
      </c>
      <c r="F137" s="1" t="s">
        <v>29</v>
      </c>
      <c r="G137" s="1" t="s">
        <v>53</v>
      </c>
      <c r="H137" s="1" t="s">
        <v>379</v>
      </c>
      <c r="I137" s="1" t="s">
        <v>380</v>
      </c>
      <c r="J137" s="1" t="s">
        <v>46</v>
      </c>
      <c r="K137" t="s">
        <v>34</v>
      </c>
      <c r="M137" s="1" t="s">
        <v>35</v>
      </c>
      <c r="N137" s="1">
        <v>42318949</v>
      </c>
      <c r="O137" s="1" t="s">
        <v>36</v>
      </c>
      <c r="P137" s="12">
        <v>44459.54886574074</v>
      </c>
      <c r="R137" s="1" t="s">
        <v>38</v>
      </c>
      <c r="T137" s="1" t="s">
        <v>74</v>
      </c>
      <c r="U137" s="12">
        <v>44460.54886574074</v>
      </c>
      <c r="V137" s="1" t="s">
        <v>41</v>
      </c>
      <c r="W137" s="1" t="s">
        <v>49</v>
      </c>
      <c r="X137" s="13" t="str">
        <f t="shared" si="19"/>
        <v/>
      </c>
      <c r="Y137" s="2">
        <f t="shared" ca="1" si="14"/>
        <v>378</v>
      </c>
      <c r="Z137" s="14">
        <v>1</v>
      </c>
      <c r="AA137" s="1" t="str">
        <f t="shared" ca="1" si="15"/>
        <v>VENCIDO</v>
      </c>
      <c r="AB137" s="1" t="str">
        <f t="shared" si="16"/>
        <v>Dosa</v>
      </c>
      <c r="AC137" s="2" t="str">
        <f t="shared" si="20"/>
        <v xml:space="preserve"> CLEITON </v>
      </c>
      <c r="AD137" s="2">
        <f t="shared" si="17"/>
        <v>5</v>
      </c>
      <c r="AE137" s="2">
        <f t="shared" ca="1" si="18"/>
        <v>-526.12740590277826</v>
      </c>
      <c r="AF137" s="15"/>
    </row>
    <row r="138" spans="1:32" hidden="1">
      <c r="A138" s="1">
        <v>7726572</v>
      </c>
      <c r="B138" s="1" t="s">
        <v>81</v>
      </c>
      <c r="C138" t="s">
        <v>240</v>
      </c>
      <c r="E138" s="2">
        <v>2257000206001</v>
      </c>
      <c r="F138" s="1" t="s">
        <v>29</v>
      </c>
      <c r="G138" s="1" t="s">
        <v>53</v>
      </c>
      <c r="H138" s="1" t="s">
        <v>381</v>
      </c>
      <c r="I138" s="1" t="s">
        <v>382</v>
      </c>
      <c r="J138" s="1" t="s">
        <v>110</v>
      </c>
      <c r="K138" t="s">
        <v>34</v>
      </c>
      <c r="M138" s="1" t="s">
        <v>35</v>
      </c>
      <c r="N138" s="1">
        <v>42318949</v>
      </c>
      <c r="O138" s="1" t="s">
        <v>36</v>
      </c>
      <c r="P138" s="12">
        <v>44459.54886574074</v>
      </c>
      <c r="R138" s="1" t="s">
        <v>38</v>
      </c>
      <c r="T138" s="1" t="s">
        <v>74</v>
      </c>
      <c r="U138" s="12">
        <v>44460.54886574074</v>
      </c>
      <c r="V138" s="1" t="s">
        <v>41</v>
      </c>
      <c r="W138" s="1" t="s">
        <v>49</v>
      </c>
      <c r="X138" s="13" t="str">
        <f t="shared" si="19"/>
        <v/>
      </c>
      <c r="Y138" s="2">
        <f t="shared" ca="1" si="14"/>
        <v>378</v>
      </c>
      <c r="Z138" s="14">
        <v>1</v>
      </c>
      <c r="AA138" s="1" t="str">
        <f t="shared" ca="1" si="15"/>
        <v>VENCIDO</v>
      </c>
      <c r="AB138" s="1" t="str">
        <f t="shared" si="16"/>
        <v>Dosa</v>
      </c>
      <c r="AC138" s="2" t="str">
        <f t="shared" si="20"/>
        <v xml:space="preserve"> CRISTINA </v>
      </c>
      <c r="AD138" s="2">
        <f t="shared" si="17"/>
        <v>5</v>
      </c>
      <c r="AE138" s="2">
        <f t="shared" ca="1" si="18"/>
        <v>-526.12740590277826</v>
      </c>
      <c r="AF138" s="15"/>
    </row>
    <row r="139" spans="1:32" hidden="1">
      <c r="A139" s="1">
        <v>7726571</v>
      </c>
      <c r="B139" s="1" t="s">
        <v>81</v>
      </c>
      <c r="C139" t="s">
        <v>240</v>
      </c>
      <c r="E139" s="2">
        <v>7000206001</v>
      </c>
      <c r="F139" s="1" t="s">
        <v>29</v>
      </c>
      <c r="G139" s="1" t="s">
        <v>53</v>
      </c>
      <c r="H139" s="1" t="s">
        <v>383</v>
      </c>
      <c r="I139" s="1" t="s">
        <v>384</v>
      </c>
      <c r="J139" s="1" t="s">
        <v>46</v>
      </c>
      <c r="K139" t="s">
        <v>34</v>
      </c>
      <c r="M139" s="1" t="s">
        <v>35</v>
      </c>
      <c r="N139" s="1">
        <v>42318949</v>
      </c>
      <c r="O139" s="1" t="s">
        <v>36</v>
      </c>
      <c r="P139" s="12">
        <v>44459.548854166664</v>
      </c>
      <c r="R139" s="1" t="s">
        <v>38</v>
      </c>
      <c r="T139" s="1" t="s">
        <v>74</v>
      </c>
      <c r="U139" s="12">
        <v>44460.548854166664</v>
      </c>
      <c r="V139" s="1" t="s">
        <v>41</v>
      </c>
      <c r="W139" s="1" t="s">
        <v>49</v>
      </c>
      <c r="X139" s="13" t="str">
        <f t="shared" si="19"/>
        <v/>
      </c>
      <c r="Y139" s="2">
        <f t="shared" ca="1" si="14"/>
        <v>378</v>
      </c>
      <c r="Z139" s="14">
        <v>1</v>
      </c>
      <c r="AA139" s="1" t="str">
        <f t="shared" ca="1" si="15"/>
        <v>VENCIDO</v>
      </c>
      <c r="AB139" s="1" t="str">
        <f t="shared" si="16"/>
        <v>Dosa</v>
      </c>
      <c r="AC139" s="2" t="str">
        <f t="shared" si="20"/>
        <v xml:space="preserve"> CLEITON </v>
      </c>
      <c r="AD139" s="2">
        <f t="shared" si="17"/>
        <v>5</v>
      </c>
      <c r="AE139" s="2">
        <f t="shared" ca="1" si="18"/>
        <v>-526.12741747685504</v>
      </c>
      <c r="AF139" s="15"/>
    </row>
    <row r="140" spans="1:32" hidden="1">
      <c r="A140" s="1">
        <v>7726569</v>
      </c>
      <c r="B140" s="1" t="s">
        <v>81</v>
      </c>
      <c r="C140" t="s">
        <v>240</v>
      </c>
      <c r="E140" s="2">
        <v>4274000206001</v>
      </c>
      <c r="F140" s="1" t="s">
        <v>29</v>
      </c>
      <c r="G140" s="1" t="s">
        <v>53</v>
      </c>
      <c r="H140" s="1" t="s">
        <v>386</v>
      </c>
      <c r="I140" s="1" t="s">
        <v>387</v>
      </c>
      <c r="J140" s="1" t="s">
        <v>46</v>
      </c>
      <c r="K140" t="s">
        <v>34</v>
      </c>
      <c r="M140" s="1" t="s">
        <v>35</v>
      </c>
      <c r="N140" s="1">
        <v>42318949</v>
      </c>
      <c r="O140" s="1" t="s">
        <v>36</v>
      </c>
      <c r="P140" s="12">
        <v>44459.548854166664</v>
      </c>
      <c r="R140" s="1" t="s">
        <v>38</v>
      </c>
      <c r="T140" s="1" t="s">
        <v>74</v>
      </c>
      <c r="U140" s="12">
        <v>44460.548854166664</v>
      </c>
      <c r="V140" s="1" t="s">
        <v>41</v>
      </c>
      <c r="W140" s="1" t="s">
        <v>49</v>
      </c>
      <c r="X140" s="13" t="str">
        <f t="shared" si="19"/>
        <v/>
      </c>
      <c r="Y140" s="2">
        <f t="shared" ca="1" si="14"/>
        <v>378</v>
      </c>
      <c r="Z140" s="14">
        <v>1</v>
      </c>
      <c r="AA140" s="1" t="str">
        <f t="shared" ca="1" si="15"/>
        <v>VENCIDO</v>
      </c>
      <c r="AB140" s="1" t="str">
        <f t="shared" si="16"/>
        <v>Dosa</v>
      </c>
      <c r="AC140" s="2" t="str">
        <f t="shared" si="20"/>
        <v xml:space="preserve"> CLEITON </v>
      </c>
      <c r="AD140" s="2">
        <f t="shared" si="17"/>
        <v>5</v>
      </c>
      <c r="AE140" s="2">
        <f t="shared" ca="1" si="18"/>
        <v>-526.12741747685504</v>
      </c>
      <c r="AF140" s="15"/>
    </row>
    <row r="141" spans="1:32" hidden="1">
      <c r="A141" s="1">
        <v>7726567</v>
      </c>
      <c r="B141" s="1" t="s">
        <v>81</v>
      </c>
      <c r="C141" t="s">
        <v>240</v>
      </c>
      <c r="E141" s="2">
        <v>2802000206001</v>
      </c>
      <c r="F141" s="1" t="s">
        <v>29</v>
      </c>
      <c r="G141" s="1" t="s">
        <v>53</v>
      </c>
      <c r="H141" s="1" t="s">
        <v>388</v>
      </c>
      <c r="I141" s="1" t="s">
        <v>389</v>
      </c>
      <c r="J141" s="1" t="s">
        <v>46</v>
      </c>
      <c r="K141" t="s">
        <v>34</v>
      </c>
      <c r="M141" s="1" t="s">
        <v>35</v>
      </c>
      <c r="N141" s="1">
        <v>42318949</v>
      </c>
      <c r="O141" s="1" t="s">
        <v>36</v>
      </c>
      <c r="P141" s="12">
        <v>44459.548854166664</v>
      </c>
      <c r="R141" s="1" t="s">
        <v>38</v>
      </c>
      <c r="T141" s="1" t="s">
        <v>74</v>
      </c>
      <c r="U141" s="12">
        <v>44460.548854166664</v>
      </c>
      <c r="V141" s="1" t="s">
        <v>41</v>
      </c>
      <c r="W141" s="1" t="s">
        <v>49</v>
      </c>
      <c r="X141" s="13" t="str">
        <f t="shared" si="19"/>
        <v/>
      </c>
      <c r="Y141" s="2">
        <f t="shared" ca="1" si="14"/>
        <v>378</v>
      </c>
      <c r="Z141" s="14">
        <v>1</v>
      </c>
      <c r="AA141" s="1" t="str">
        <f t="shared" ca="1" si="15"/>
        <v>VENCIDO</v>
      </c>
      <c r="AB141" s="1" t="str">
        <f t="shared" si="16"/>
        <v>Dosa</v>
      </c>
      <c r="AC141" s="2" t="str">
        <f t="shared" si="20"/>
        <v xml:space="preserve"> CLEITON </v>
      </c>
      <c r="AD141" s="2">
        <f t="shared" si="17"/>
        <v>5</v>
      </c>
      <c r="AE141" s="2">
        <f t="shared" ca="1" si="18"/>
        <v>-526.12741747685504</v>
      </c>
      <c r="AF141" s="15"/>
    </row>
    <row r="142" spans="1:32" hidden="1">
      <c r="A142" s="1">
        <v>7726563</v>
      </c>
      <c r="B142" s="1" t="s">
        <v>81</v>
      </c>
      <c r="C142" t="s">
        <v>240</v>
      </c>
      <c r="E142" s="2">
        <v>710000206001</v>
      </c>
      <c r="F142" s="1" t="s">
        <v>29</v>
      </c>
      <c r="G142" s="1" t="s">
        <v>53</v>
      </c>
      <c r="H142" s="1" t="s">
        <v>390</v>
      </c>
      <c r="I142" s="1" t="s">
        <v>391</v>
      </c>
      <c r="J142" s="1" t="s">
        <v>56</v>
      </c>
      <c r="K142" t="s">
        <v>34</v>
      </c>
      <c r="M142" s="1" t="s">
        <v>35</v>
      </c>
      <c r="N142" s="1">
        <v>42318949</v>
      </c>
      <c r="O142" s="1" t="s">
        <v>36</v>
      </c>
      <c r="P142" s="12">
        <v>44459.548842592594</v>
      </c>
      <c r="R142" s="1" t="s">
        <v>38</v>
      </c>
      <c r="T142" s="1" t="s">
        <v>74</v>
      </c>
      <c r="U142" s="12">
        <v>44460.548842592594</v>
      </c>
      <c r="V142" s="1" t="s">
        <v>41</v>
      </c>
      <c r="W142" s="1" t="s">
        <v>49</v>
      </c>
      <c r="X142" s="13" t="str">
        <f t="shared" si="19"/>
        <v/>
      </c>
      <c r="Y142" s="2">
        <f t="shared" ca="1" si="14"/>
        <v>378</v>
      </c>
      <c r="Z142" s="14">
        <v>1</v>
      </c>
      <c r="AA142" s="1" t="str">
        <f t="shared" ca="1" si="15"/>
        <v>VENCIDO</v>
      </c>
      <c r="AB142" s="1" t="str">
        <f t="shared" si="16"/>
        <v>Dosa</v>
      </c>
      <c r="AC142" s="2" t="str">
        <f t="shared" si="20"/>
        <v xml:space="preserve"> CRISTINA </v>
      </c>
      <c r="AD142" s="2">
        <f t="shared" si="17"/>
        <v>5</v>
      </c>
      <c r="AE142" s="2">
        <f t="shared" ca="1" si="18"/>
        <v>-526.12742905092455</v>
      </c>
      <c r="AF142" s="15"/>
    </row>
    <row r="143" spans="1:32" hidden="1">
      <c r="A143" s="1">
        <v>7726562</v>
      </c>
      <c r="B143" s="1" t="s">
        <v>81</v>
      </c>
      <c r="C143" t="s">
        <v>240</v>
      </c>
      <c r="E143" s="2">
        <v>2590000206001</v>
      </c>
      <c r="F143" s="1" t="s">
        <v>29</v>
      </c>
      <c r="G143" s="1" t="s">
        <v>53</v>
      </c>
      <c r="H143" s="1" t="s">
        <v>394</v>
      </c>
      <c r="I143" s="1" t="s">
        <v>395</v>
      </c>
      <c r="J143" s="1" t="s">
        <v>148</v>
      </c>
      <c r="K143" t="s">
        <v>34</v>
      </c>
      <c r="M143" s="1" t="s">
        <v>35</v>
      </c>
      <c r="N143" s="1">
        <v>42318949</v>
      </c>
      <c r="O143" s="1" t="s">
        <v>36</v>
      </c>
      <c r="P143" s="12">
        <v>44459.548842592594</v>
      </c>
      <c r="R143" s="1" t="s">
        <v>38</v>
      </c>
      <c r="T143" s="1" t="s">
        <v>74</v>
      </c>
      <c r="U143" s="12">
        <v>44460.548842592594</v>
      </c>
      <c r="V143" s="1" t="s">
        <v>41</v>
      </c>
      <c r="W143" s="1" t="s">
        <v>49</v>
      </c>
      <c r="X143" s="13" t="str">
        <f t="shared" si="19"/>
        <v/>
      </c>
      <c r="Y143" s="2">
        <f t="shared" ca="1" si="14"/>
        <v>378</v>
      </c>
      <c r="Z143" s="14">
        <v>1</v>
      </c>
      <c r="AA143" s="1" t="str">
        <f t="shared" ca="1" si="15"/>
        <v>VENCIDO</v>
      </c>
      <c r="AB143" s="1" t="str">
        <f t="shared" si="16"/>
        <v>Dosa</v>
      </c>
      <c r="AC143" s="2" t="str">
        <f t="shared" si="20"/>
        <v xml:space="preserve"> RINALDO </v>
      </c>
      <c r="AD143" s="2">
        <f t="shared" si="17"/>
        <v>5</v>
      </c>
      <c r="AE143" s="2">
        <f t="shared" ca="1" si="18"/>
        <v>-526.12742905092455</v>
      </c>
      <c r="AF143" s="15"/>
    </row>
    <row r="144" spans="1:32" hidden="1">
      <c r="A144" s="1">
        <v>7726561</v>
      </c>
      <c r="B144" s="1" t="s">
        <v>81</v>
      </c>
      <c r="C144" t="s">
        <v>240</v>
      </c>
      <c r="E144" s="2">
        <v>1814000206001</v>
      </c>
      <c r="F144" s="1" t="s">
        <v>29</v>
      </c>
      <c r="G144" s="1" t="s">
        <v>53</v>
      </c>
      <c r="H144" s="1" t="s">
        <v>396</v>
      </c>
      <c r="I144" s="1" t="s">
        <v>397</v>
      </c>
      <c r="J144" s="1" t="s">
        <v>46</v>
      </c>
      <c r="K144" t="s">
        <v>34</v>
      </c>
      <c r="M144" s="1" t="s">
        <v>35</v>
      </c>
      <c r="N144" s="1">
        <v>42318949</v>
      </c>
      <c r="O144" s="1" t="s">
        <v>36</v>
      </c>
      <c r="P144" s="12">
        <v>44459.548842592594</v>
      </c>
      <c r="R144" s="1" t="s">
        <v>38</v>
      </c>
      <c r="T144" s="1" t="s">
        <v>74</v>
      </c>
      <c r="U144" s="12">
        <v>44460.548842592594</v>
      </c>
      <c r="V144" s="1" t="s">
        <v>41</v>
      </c>
      <c r="W144" s="1" t="s">
        <v>49</v>
      </c>
      <c r="X144" s="13" t="str">
        <f t="shared" si="19"/>
        <v/>
      </c>
      <c r="Y144" s="2">
        <f t="shared" ca="1" si="14"/>
        <v>378</v>
      </c>
      <c r="Z144" s="14">
        <v>1</v>
      </c>
      <c r="AA144" s="1" t="str">
        <f t="shared" ca="1" si="15"/>
        <v>VENCIDO</v>
      </c>
      <c r="AB144" s="1" t="str">
        <f t="shared" si="16"/>
        <v>Dosa</v>
      </c>
      <c r="AC144" s="2" t="str">
        <f t="shared" si="20"/>
        <v xml:space="preserve"> CLEITON </v>
      </c>
      <c r="AD144" s="2">
        <f t="shared" si="17"/>
        <v>5</v>
      </c>
      <c r="AE144" s="2">
        <f t="shared" ca="1" si="18"/>
        <v>-526.12742905092455</v>
      </c>
      <c r="AF144" s="15"/>
    </row>
    <row r="145" spans="1:32" hidden="1">
      <c r="A145" s="1">
        <v>7726556</v>
      </c>
      <c r="B145" s="1" t="s">
        <v>81</v>
      </c>
      <c r="C145" t="s">
        <v>240</v>
      </c>
      <c r="E145" s="2">
        <v>3503000206001</v>
      </c>
      <c r="F145" s="1" t="s">
        <v>29</v>
      </c>
      <c r="G145" s="1" t="s">
        <v>53</v>
      </c>
      <c r="H145" s="1" t="s">
        <v>398</v>
      </c>
      <c r="I145" s="1" t="s">
        <v>399</v>
      </c>
      <c r="J145" s="1" t="s">
        <v>46</v>
      </c>
      <c r="K145" t="s">
        <v>34</v>
      </c>
      <c r="M145" s="1" t="s">
        <v>35</v>
      </c>
      <c r="N145" s="1">
        <v>42318949</v>
      </c>
      <c r="O145" s="1" t="s">
        <v>36</v>
      </c>
      <c r="P145" s="12">
        <v>44459.548831018517</v>
      </c>
      <c r="R145" s="1" t="s">
        <v>38</v>
      </c>
      <c r="T145" s="1" t="s">
        <v>74</v>
      </c>
      <c r="U145" s="12">
        <v>44460.548831018517</v>
      </c>
      <c r="V145" s="1" t="s">
        <v>41</v>
      </c>
      <c r="W145" s="1" t="s">
        <v>49</v>
      </c>
      <c r="X145" s="13" t="str">
        <f t="shared" si="19"/>
        <v/>
      </c>
      <c r="Y145" s="2">
        <f t="shared" ca="1" si="14"/>
        <v>378</v>
      </c>
      <c r="Z145" s="14">
        <v>1</v>
      </c>
      <c r="AA145" s="1" t="str">
        <f t="shared" ca="1" si="15"/>
        <v>VENCIDO</v>
      </c>
      <c r="AB145" s="1" t="str">
        <f t="shared" si="16"/>
        <v>Dosa</v>
      </c>
      <c r="AC145" s="2" t="str">
        <f t="shared" si="20"/>
        <v xml:space="preserve"> CLEITON </v>
      </c>
      <c r="AD145" s="2">
        <f t="shared" si="17"/>
        <v>5</v>
      </c>
      <c r="AE145" s="2">
        <f t="shared" ca="1" si="18"/>
        <v>-526.12744062500133</v>
      </c>
      <c r="AF145" s="15"/>
    </row>
    <row r="146" spans="1:32" hidden="1">
      <c r="A146" s="1">
        <v>7726555</v>
      </c>
      <c r="B146" s="1" t="s">
        <v>81</v>
      </c>
      <c r="C146" t="s">
        <v>240</v>
      </c>
      <c r="E146" s="2">
        <v>1620000206001</v>
      </c>
      <c r="F146" s="1" t="s">
        <v>29</v>
      </c>
      <c r="G146" s="1" t="s">
        <v>53</v>
      </c>
      <c r="H146" s="1" t="s">
        <v>402</v>
      </c>
      <c r="I146" s="1" t="s">
        <v>403</v>
      </c>
      <c r="J146" s="1" t="s">
        <v>46</v>
      </c>
      <c r="K146" t="s">
        <v>34</v>
      </c>
      <c r="M146" s="1" t="s">
        <v>35</v>
      </c>
      <c r="N146" s="1">
        <v>42318949</v>
      </c>
      <c r="O146" s="1" t="s">
        <v>36</v>
      </c>
      <c r="P146" s="12">
        <v>44459.548831018517</v>
      </c>
      <c r="R146" s="1" t="s">
        <v>38</v>
      </c>
      <c r="T146" s="1" t="s">
        <v>74</v>
      </c>
      <c r="U146" s="12">
        <v>44460.548831018517</v>
      </c>
      <c r="V146" s="1" t="s">
        <v>41</v>
      </c>
      <c r="W146" s="1" t="s">
        <v>49</v>
      </c>
      <c r="X146" s="13" t="str">
        <f t="shared" si="19"/>
        <v/>
      </c>
      <c r="Y146" s="2">
        <f t="shared" ca="1" si="14"/>
        <v>378</v>
      </c>
      <c r="Z146" s="14">
        <v>1</v>
      </c>
      <c r="AA146" s="1" t="str">
        <f t="shared" ca="1" si="15"/>
        <v>VENCIDO</v>
      </c>
      <c r="AB146" s="1" t="str">
        <f t="shared" si="16"/>
        <v>Dosa</v>
      </c>
      <c r="AC146" s="2" t="str">
        <f t="shared" si="20"/>
        <v xml:space="preserve"> CLEITON </v>
      </c>
      <c r="AD146" s="2">
        <f t="shared" si="17"/>
        <v>5</v>
      </c>
      <c r="AE146" s="2">
        <f t="shared" ca="1" si="18"/>
        <v>-526.12744062500133</v>
      </c>
      <c r="AF146" s="15"/>
    </row>
    <row r="147" spans="1:32" hidden="1">
      <c r="A147" s="1">
        <v>7726553</v>
      </c>
      <c r="B147" s="1" t="s">
        <v>81</v>
      </c>
      <c r="C147" t="s">
        <v>240</v>
      </c>
      <c r="E147" s="2">
        <v>67000206001</v>
      </c>
      <c r="F147" s="1" t="s">
        <v>29</v>
      </c>
      <c r="G147" s="1" t="s">
        <v>53</v>
      </c>
      <c r="H147" s="1" t="s">
        <v>404</v>
      </c>
      <c r="I147" s="1" t="s">
        <v>405</v>
      </c>
      <c r="J147" s="1" t="s">
        <v>164</v>
      </c>
      <c r="K147" t="s">
        <v>34</v>
      </c>
      <c r="M147" s="1" t="s">
        <v>35</v>
      </c>
      <c r="N147" s="1">
        <v>42318949</v>
      </c>
      <c r="O147" s="1" t="s">
        <v>36</v>
      </c>
      <c r="P147" s="12">
        <v>44459.548831018517</v>
      </c>
      <c r="R147" s="1" t="s">
        <v>38</v>
      </c>
      <c r="T147" s="1" t="s">
        <v>74</v>
      </c>
      <c r="U147" s="12">
        <v>44460.548831018517</v>
      </c>
      <c r="V147" s="1" t="s">
        <v>41</v>
      </c>
      <c r="W147" s="1" t="s">
        <v>49</v>
      </c>
      <c r="X147" s="13" t="str">
        <f t="shared" si="19"/>
        <v/>
      </c>
      <c r="Y147" s="2">
        <f t="shared" ca="1" si="14"/>
        <v>378</v>
      </c>
      <c r="Z147" s="14">
        <v>1</v>
      </c>
      <c r="AA147" s="1" t="str">
        <f t="shared" ca="1" si="15"/>
        <v>VENCIDO</v>
      </c>
      <c r="AB147" s="1" t="str">
        <f t="shared" si="16"/>
        <v>Dosa</v>
      </c>
      <c r="AC147" s="2" t="str">
        <f t="shared" si="20"/>
        <v xml:space="preserve"> ROSEMERE </v>
      </c>
      <c r="AD147" s="2">
        <f t="shared" si="17"/>
        <v>5</v>
      </c>
      <c r="AE147" s="2">
        <f t="shared" ca="1" si="18"/>
        <v>-526.12744062500133</v>
      </c>
      <c r="AF147" s="15"/>
    </row>
    <row r="148" spans="1:32" hidden="1">
      <c r="A148" s="1">
        <v>7726552</v>
      </c>
      <c r="B148" s="1" t="s">
        <v>81</v>
      </c>
      <c r="C148" t="s">
        <v>240</v>
      </c>
      <c r="E148" s="2">
        <v>4997000206001</v>
      </c>
      <c r="F148" s="1" t="s">
        <v>29</v>
      </c>
      <c r="G148" s="1" t="s">
        <v>53</v>
      </c>
      <c r="H148" s="1" t="s">
        <v>406</v>
      </c>
      <c r="I148" s="1" t="s">
        <v>407</v>
      </c>
      <c r="J148" s="1" t="s">
        <v>79</v>
      </c>
      <c r="K148" t="s">
        <v>34</v>
      </c>
      <c r="M148" s="1" t="s">
        <v>35</v>
      </c>
      <c r="N148" s="1">
        <v>42318949</v>
      </c>
      <c r="O148" s="1" t="s">
        <v>36</v>
      </c>
      <c r="P148" s="12">
        <v>44459.548831018517</v>
      </c>
      <c r="R148" s="1" t="s">
        <v>38</v>
      </c>
      <c r="T148" s="1" t="s">
        <v>74</v>
      </c>
      <c r="U148" s="12">
        <v>44460.548831018517</v>
      </c>
      <c r="V148" s="1" t="s">
        <v>41</v>
      </c>
      <c r="W148" s="1" t="s">
        <v>49</v>
      </c>
      <c r="X148" s="13" t="str">
        <f t="shared" si="19"/>
        <v/>
      </c>
      <c r="Y148" s="2">
        <f t="shared" ca="1" si="14"/>
        <v>378</v>
      </c>
      <c r="Z148" s="14">
        <v>1</v>
      </c>
      <c r="AA148" s="1" t="str">
        <f t="shared" ca="1" si="15"/>
        <v>VENCIDO</v>
      </c>
      <c r="AB148" s="1" t="str">
        <f t="shared" si="16"/>
        <v>Dosa</v>
      </c>
      <c r="AC148" s="2" t="str">
        <f t="shared" si="20"/>
        <v xml:space="preserve"> ROSEMERE </v>
      </c>
      <c r="AD148" s="2">
        <f t="shared" si="17"/>
        <v>5</v>
      </c>
      <c r="AE148" s="2">
        <f t="shared" ca="1" si="18"/>
        <v>-526.12744062500133</v>
      </c>
      <c r="AF148" s="15"/>
    </row>
    <row r="149" spans="1:32" hidden="1">
      <c r="A149" s="1">
        <v>7726550</v>
      </c>
      <c r="B149" s="1" t="s">
        <v>81</v>
      </c>
      <c r="C149" t="s">
        <v>240</v>
      </c>
      <c r="E149" s="2">
        <v>4118000206001</v>
      </c>
      <c r="F149" s="1" t="s">
        <v>29</v>
      </c>
      <c r="G149" s="1" t="s">
        <v>53</v>
      </c>
      <c r="H149" s="1" t="s">
        <v>71</v>
      </c>
      <c r="I149" s="1" t="s">
        <v>72</v>
      </c>
      <c r="J149" s="1" t="s">
        <v>46</v>
      </c>
      <c r="K149" t="s">
        <v>34</v>
      </c>
      <c r="M149" s="1" t="s">
        <v>35</v>
      </c>
      <c r="N149" s="1">
        <v>42318949</v>
      </c>
      <c r="O149" s="1" t="s">
        <v>36</v>
      </c>
      <c r="P149" s="12">
        <v>44459.548831018517</v>
      </c>
      <c r="R149" s="1" t="s">
        <v>38</v>
      </c>
      <c r="T149" s="1" t="s">
        <v>74</v>
      </c>
      <c r="U149" s="12">
        <v>44460.548831018517</v>
      </c>
      <c r="V149" s="1" t="s">
        <v>41</v>
      </c>
      <c r="W149" s="1" t="s">
        <v>49</v>
      </c>
      <c r="X149" s="13" t="str">
        <f t="shared" si="19"/>
        <v/>
      </c>
      <c r="Y149" s="2">
        <f t="shared" ca="1" si="14"/>
        <v>378</v>
      </c>
      <c r="Z149" s="14">
        <v>1</v>
      </c>
      <c r="AA149" s="1" t="str">
        <f t="shared" ca="1" si="15"/>
        <v>VENCIDO</v>
      </c>
      <c r="AB149" s="1" t="str">
        <f t="shared" si="16"/>
        <v>Dosa</v>
      </c>
      <c r="AC149" s="2" t="str">
        <f t="shared" si="20"/>
        <v xml:space="preserve"> CLEITON </v>
      </c>
      <c r="AD149" s="2">
        <f t="shared" si="17"/>
        <v>5</v>
      </c>
      <c r="AE149" s="2">
        <f t="shared" ca="1" si="18"/>
        <v>-526.12744062500133</v>
      </c>
      <c r="AF149" s="15"/>
    </row>
    <row r="150" spans="1:32" hidden="1">
      <c r="A150" s="1">
        <v>7726549</v>
      </c>
      <c r="B150" s="1" t="s">
        <v>81</v>
      </c>
      <c r="C150" t="s">
        <v>240</v>
      </c>
      <c r="E150" s="2">
        <v>1245000206001</v>
      </c>
      <c r="F150" s="1" t="s">
        <v>29</v>
      </c>
      <c r="G150" s="1" t="s">
        <v>53</v>
      </c>
      <c r="H150" s="1" t="s">
        <v>408</v>
      </c>
      <c r="I150" s="1" t="s">
        <v>409</v>
      </c>
      <c r="J150" s="1" t="s">
        <v>46</v>
      </c>
      <c r="K150" t="s">
        <v>34</v>
      </c>
      <c r="M150" s="1" t="s">
        <v>35</v>
      </c>
      <c r="N150" s="1">
        <v>42318949</v>
      </c>
      <c r="O150" s="1" t="s">
        <v>36</v>
      </c>
      <c r="P150" s="12">
        <v>44459.548819444448</v>
      </c>
      <c r="R150" s="1" t="s">
        <v>38</v>
      </c>
      <c r="T150" s="1" t="s">
        <v>74</v>
      </c>
      <c r="U150" s="12">
        <v>44460.548819444448</v>
      </c>
      <c r="V150" s="1" t="s">
        <v>41</v>
      </c>
      <c r="W150" s="1" t="s">
        <v>49</v>
      </c>
      <c r="X150" s="13" t="str">
        <f t="shared" si="19"/>
        <v/>
      </c>
      <c r="Y150" s="2">
        <f t="shared" ca="1" si="14"/>
        <v>378</v>
      </c>
      <c r="Z150" s="14">
        <v>1</v>
      </c>
      <c r="AA150" s="1" t="str">
        <f t="shared" ca="1" si="15"/>
        <v>VENCIDO</v>
      </c>
      <c r="AB150" s="1" t="str">
        <f t="shared" si="16"/>
        <v>Dosa</v>
      </c>
      <c r="AC150" s="2" t="str">
        <f t="shared" si="20"/>
        <v xml:space="preserve"> CLEITON </v>
      </c>
      <c r="AD150" s="2">
        <f t="shared" si="17"/>
        <v>5</v>
      </c>
      <c r="AE150" s="2">
        <f t="shared" ca="1" si="18"/>
        <v>-526.12745219907083</v>
      </c>
      <c r="AF150" s="15"/>
    </row>
    <row r="151" spans="1:32" hidden="1">
      <c r="A151" s="1">
        <v>7726548</v>
      </c>
      <c r="B151" s="1" t="s">
        <v>81</v>
      </c>
      <c r="C151" t="s">
        <v>240</v>
      </c>
      <c r="E151" s="2">
        <v>981000206001</v>
      </c>
      <c r="F151" s="1" t="s">
        <v>29</v>
      </c>
      <c r="G151" s="1" t="s">
        <v>53</v>
      </c>
      <c r="H151" s="1" t="s">
        <v>410</v>
      </c>
      <c r="I151" s="1" t="s">
        <v>411</v>
      </c>
      <c r="J151" s="1" t="s">
        <v>85</v>
      </c>
      <c r="K151" t="s">
        <v>34</v>
      </c>
      <c r="M151" s="1" t="s">
        <v>35</v>
      </c>
      <c r="N151" s="1">
        <v>42318949</v>
      </c>
      <c r="O151" s="1" t="s">
        <v>36</v>
      </c>
      <c r="P151" s="12">
        <v>44459.548819444448</v>
      </c>
      <c r="R151" s="1" t="s">
        <v>38</v>
      </c>
      <c r="T151" s="1" t="s">
        <v>74</v>
      </c>
      <c r="U151" s="12">
        <v>44460.548819444448</v>
      </c>
      <c r="V151" s="1" t="s">
        <v>41</v>
      </c>
      <c r="W151" s="1" t="s">
        <v>49</v>
      </c>
      <c r="X151" s="13" t="str">
        <f t="shared" si="19"/>
        <v/>
      </c>
      <c r="Y151" s="2">
        <f t="shared" ca="1" si="14"/>
        <v>378</v>
      </c>
      <c r="Z151" s="14">
        <v>1</v>
      </c>
      <c r="AA151" s="1" t="str">
        <f t="shared" ca="1" si="15"/>
        <v>VENCIDO</v>
      </c>
      <c r="AB151" s="1" t="str">
        <f t="shared" si="16"/>
        <v>Dosa</v>
      </c>
      <c r="AC151" s="2" t="str">
        <f t="shared" si="20"/>
        <v xml:space="preserve"> RINALDO </v>
      </c>
      <c r="AD151" s="2">
        <f t="shared" si="17"/>
        <v>5</v>
      </c>
      <c r="AE151" s="2">
        <f t="shared" ca="1" si="18"/>
        <v>-526.12745219907083</v>
      </c>
      <c r="AF151" s="15"/>
    </row>
    <row r="152" spans="1:32" hidden="1">
      <c r="A152" s="1">
        <v>7726545</v>
      </c>
      <c r="B152" s="1" t="s">
        <v>81</v>
      </c>
      <c r="C152" t="s">
        <v>240</v>
      </c>
      <c r="E152" s="2">
        <v>5816000206001</v>
      </c>
      <c r="F152" s="1" t="s">
        <v>29</v>
      </c>
      <c r="G152" s="1" t="s">
        <v>53</v>
      </c>
      <c r="H152" s="1" t="s">
        <v>412</v>
      </c>
      <c r="I152" s="1" t="s">
        <v>413</v>
      </c>
      <c r="J152" s="1" t="s">
        <v>46</v>
      </c>
      <c r="K152" t="s">
        <v>34</v>
      </c>
      <c r="M152" s="1" t="s">
        <v>35</v>
      </c>
      <c r="N152" s="1">
        <v>42318949</v>
      </c>
      <c r="O152" s="1" t="s">
        <v>36</v>
      </c>
      <c r="P152" s="12">
        <v>44459.548819444448</v>
      </c>
      <c r="R152" s="1" t="s">
        <v>38</v>
      </c>
      <c r="T152" s="1" t="s">
        <v>74</v>
      </c>
      <c r="U152" s="12">
        <v>44460.548819444448</v>
      </c>
      <c r="V152" s="1" t="s">
        <v>41</v>
      </c>
      <c r="W152" s="1" t="s">
        <v>49</v>
      </c>
      <c r="X152" s="13" t="str">
        <f t="shared" si="19"/>
        <v/>
      </c>
      <c r="Y152" s="2">
        <f t="shared" ca="1" si="14"/>
        <v>378</v>
      </c>
      <c r="Z152" s="14">
        <v>1</v>
      </c>
      <c r="AA152" s="1" t="str">
        <f t="shared" ca="1" si="15"/>
        <v>VENCIDO</v>
      </c>
      <c r="AB152" s="1" t="str">
        <f t="shared" si="16"/>
        <v>Dosa</v>
      </c>
      <c r="AC152" s="2" t="str">
        <f t="shared" si="20"/>
        <v xml:space="preserve"> CLEITON </v>
      </c>
      <c r="AD152" s="2">
        <f t="shared" si="17"/>
        <v>5</v>
      </c>
      <c r="AE152" s="2">
        <f t="shared" ca="1" si="18"/>
        <v>-526.12745219907083</v>
      </c>
      <c r="AF152" s="15"/>
    </row>
    <row r="153" spans="1:32" hidden="1">
      <c r="A153" s="1">
        <v>7726543</v>
      </c>
      <c r="B153" s="1" t="s">
        <v>81</v>
      </c>
      <c r="C153" t="s">
        <v>240</v>
      </c>
      <c r="E153" s="2">
        <v>1666000206001</v>
      </c>
      <c r="F153" s="1" t="s">
        <v>29</v>
      </c>
      <c r="G153" s="1" t="s">
        <v>53</v>
      </c>
      <c r="H153" s="1" t="s">
        <v>414</v>
      </c>
      <c r="I153" s="1" t="s">
        <v>415</v>
      </c>
      <c r="J153" s="1" t="s">
        <v>79</v>
      </c>
      <c r="K153" t="s">
        <v>34</v>
      </c>
      <c r="M153" s="1" t="s">
        <v>35</v>
      </c>
      <c r="N153" s="1">
        <v>42318949</v>
      </c>
      <c r="O153" s="1" t="s">
        <v>36</v>
      </c>
      <c r="P153" s="12">
        <v>44459.548819444448</v>
      </c>
      <c r="R153" s="1" t="s">
        <v>38</v>
      </c>
      <c r="T153" s="1" t="s">
        <v>74</v>
      </c>
      <c r="U153" s="12">
        <v>44460.548819444448</v>
      </c>
      <c r="V153" s="1" t="s">
        <v>41</v>
      </c>
      <c r="W153" s="1" t="s">
        <v>49</v>
      </c>
      <c r="X153" s="13" t="str">
        <f t="shared" si="19"/>
        <v/>
      </c>
      <c r="Y153" s="2">
        <f t="shared" ca="1" si="14"/>
        <v>378</v>
      </c>
      <c r="Z153" s="14">
        <v>1</v>
      </c>
      <c r="AA153" s="1" t="str">
        <f t="shared" ca="1" si="15"/>
        <v>VENCIDO</v>
      </c>
      <c r="AB153" s="1" t="str">
        <f t="shared" si="16"/>
        <v>Dosa</v>
      </c>
      <c r="AC153" s="2" t="str">
        <f t="shared" si="20"/>
        <v xml:space="preserve"> ROSEMERE </v>
      </c>
      <c r="AD153" s="2">
        <f t="shared" si="17"/>
        <v>5</v>
      </c>
      <c r="AE153" s="2">
        <f t="shared" ca="1" si="18"/>
        <v>-526.12745219907083</v>
      </c>
      <c r="AF153" s="15"/>
    </row>
    <row r="154" spans="1:32" hidden="1">
      <c r="A154" s="1">
        <v>7726541</v>
      </c>
      <c r="B154" s="1" t="s">
        <v>81</v>
      </c>
      <c r="C154" t="s">
        <v>240</v>
      </c>
      <c r="E154" s="2">
        <v>1739000206001</v>
      </c>
      <c r="F154" s="1" t="s">
        <v>29</v>
      </c>
      <c r="G154" s="1" t="s">
        <v>53</v>
      </c>
      <c r="H154" s="1" t="s">
        <v>162</v>
      </c>
      <c r="I154" s="1" t="s">
        <v>163</v>
      </c>
      <c r="J154" s="1" t="s">
        <v>164</v>
      </c>
      <c r="K154" t="s">
        <v>34</v>
      </c>
      <c r="M154" s="1" t="s">
        <v>35</v>
      </c>
      <c r="N154" s="1">
        <v>42318949</v>
      </c>
      <c r="O154" s="1" t="s">
        <v>36</v>
      </c>
      <c r="P154" s="12">
        <v>44459.548807870371</v>
      </c>
      <c r="R154" s="1" t="s">
        <v>38</v>
      </c>
      <c r="T154" s="1" t="s">
        <v>74</v>
      </c>
      <c r="U154" s="12">
        <v>44460.548807870371</v>
      </c>
      <c r="V154" s="1" t="s">
        <v>41</v>
      </c>
      <c r="W154" s="1" t="s">
        <v>49</v>
      </c>
      <c r="X154" s="13" t="str">
        <f t="shared" si="19"/>
        <v/>
      </c>
      <c r="Y154" s="2">
        <f t="shared" ca="1" si="14"/>
        <v>378</v>
      </c>
      <c r="Z154" s="14">
        <v>1</v>
      </c>
      <c r="AA154" s="1" t="str">
        <f t="shared" ca="1" si="15"/>
        <v>VENCIDO</v>
      </c>
      <c r="AB154" s="1" t="str">
        <f t="shared" si="16"/>
        <v>Dosa</v>
      </c>
      <c r="AC154" s="2" t="str">
        <f t="shared" si="20"/>
        <v xml:space="preserve"> ROSEMERE </v>
      </c>
      <c r="AD154" s="2">
        <f t="shared" si="17"/>
        <v>5</v>
      </c>
      <c r="AE154" s="2">
        <f t="shared" ca="1" si="18"/>
        <v>-526.12746377314761</v>
      </c>
      <c r="AF154" s="15"/>
    </row>
    <row r="155" spans="1:32" hidden="1">
      <c r="A155" s="1">
        <v>7726540</v>
      </c>
      <c r="B155" s="1" t="s">
        <v>81</v>
      </c>
      <c r="C155" t="s">
        <v>240</v>
      </c>
      <c r="E155" s="2">
        <v>2437000206001</v>
      </c>
      <c r="F155" s="1" t="s">
        <v>29</v>
      </c>
      <c r="G155" s="1" t="s">
        <v>53</v>
      </c>
      <c r="H155" s="1" t="s">
        <v>416</v>
      </c>
      <c r="I155" s="1" t="s">
        <v>417</v>
      </c>
      <c r="J155" s="1" t="s">
        <v>211</v>
      </c>
      <c r="K155" t="s">
        <v>34</v>
      </c>
      <c r="M155" s="1" t="s">
        <v>35</v>
      </c>
      <c r="N155" s="1">
        <v>42318949</v>
      </c>
      <c r="O155" s="1" t="s">
        <v>36</v>
      </c>
      <c r="P155" s="12">
        <v>44459.548807870371</v>
      </c>
      <c r="R155" s="1" t="s">
        <v>38</v>
      </c>
      <c r="T155" s="1" t="s">
        <v>74</v>
      </c>
      <c r="U155" s="12">
        <v>44460.548807870371</v>
      </c>
      <c r="V155" s="1" t="s">
        <v>41</v>
      </c>
      <c r="W155" s="1" t="s">
        <v>49</v>
      </c>
      <c r="X155" s="13" t="str">
        <f t="shared" si="19"/>
        <v/>
      </c>
      <c r="Y155" s="2">
        <f t="shared" ca="1" si="14"/>
        <v>378</v>
      </c>
      <c r="Z155" s="14">
        <v>1</v>
      </c>
      <c r="AA155" s="1" t="str">
        <f t="shared" ca="1" si="15"/>
        <v>VENCIDO</v>
      </c>
      <c r="AB155" s="1" t="str">
        <f t="shared" si="16"/>
        <v>Dosa</v>
      </c>
      <c r="AC155" s="2" t="str">
        <f t="shared" si="20"/>
        <v xml:space="preserve"> RINALDO </v>
      </c>
      <c r="AD155" s="2">
        <f t="shared" si="17"/>
        <v>5</v>
      </c>
      <c r="AE155" s="2">
        <f t="shared" ca="1" si="18"/>
        <v>-526.12746377314761</v>
      </c>
      <c r="AF155" s="15"/>
    </row>
    <row r="156" spans="1:32" hidden="1">
      <c r="A156" s="1">
        <v>7726539</v>
      </c>
      <c r="B156" s="1" t="s">
        <v>81</v>
      </c>
      <c r="C156" t="s">
        <v>240</v>
      </c>
      <c r="E156" s="2">
        <v>2889000206001</v>
      </c>
      <c r="F156" s="1" t="s">
        <v>29</v>
      </c>
      <c r="G156" s="1" t="s">
        <v>53</v>
      </c>
      <c r="H156" s="1" t="s">
        <v>418</v>
      </c>
      <c r="I156" s="1" t="s">
        <v>419</v>
      </c>
      <c r="J156" s="1" t="s">
        <v>46</v>
      </c>
      <c r="K156" t="s">
        <v>34</v>
      </c>
      <c r="M156" s="1" t="s">
        <v>35</v>
      </c>
      <c r="N156" s="1">
        <v>42318949</v>
      </c>
      <c r="O156" s="1" t="s">
        <v>36</v>
      </c>
      <c r="P156" s="12">
        <v>44459.548807870371</v>
      </c>
      <c r="R156" s="1" t="s">
        <v>38</v>
      </c>
      <c r="T156" s="1" t="s">
        <v>74</v>
      </c>
      <c r="U156" s="12">
        <v>44460.548807870371</v>
      </c>
      <c r="V156" s="1" t="s">
        <v>41</v>
      </c>
      <c r="W156" s="1" t="s">
        <v>49</v>
      </c>
      <c r="X156" s="13" t="str">
        <f t="shared" si="19"/>
        <v/>
      </c>
      <c r="Y156" s="2">
        <f t="shared" ca="1" si="14"/>
        <v>378</v>
      </c>
      <c r="Z156" s="14">
        <v>1</v>
      </c>
      <c r="AA156" s="1" t="str">
        <f t="shared" ca="1" si="15"/>
        <v>VENCIDO</v>
      </c>
      <c r="AB156" s="1" t="str">
        <f t="shared" si="16"/>
        <v>Dosa</v>
      </c>
      <c r="AC156" s="2" t="str">
        <f t="shared" si="20"/>
        <v xml:space="preserve"> CLEITON </v>
      </c>
      <c r="AD156" s="2">
        <f t="shared" si="17"/>
        <v>5</v>
      </c>
      <c r="AE156" s="2">
        <f t="shared" ca="1" si="18"/>
        <v>-526.12746377314761</v>
      </c>
      <c r="AF156" s="15"/>
    </row>
    <row r="157" spans="1:32" hidden="1">
      <c r="A157" s="1">
        <v>7726538</v>
      </c>
      <c r="B157" s="1" t="s">
        <v>81</v>
      </c>
      <c r="C157" t="s">
        <v>240</v>
      </c>
      <c r="E157" s="2">
        <v>605000206001</v>
      </c>
      <c r="F157" s="1" t="s">
        <v>29</v>
      </c>
      <c r="G157" s="1" t="s">
        <v>53</v>
      </c>
      <c r="H157" s="1" t="s">
        <v>420</v>
      </c>
      <c r="I157" s="1" t="s">
        <v>421</v>
      </c>
      <c r="J157" s="1" t="s">
        <v>90</v>
      </c>
      <c r="K157" t="s">
        <v>34</v>
      </c>
      <c r="M157" s="1" t="s">
        <v>35</v>
      </c>
      <c r="N157" s="1">
        <v>42318949</v>
      </c>
      <c r="O157" s="1" t="s">
        <v>36</v>
      </c>
      <c r="P157" s="12">
        <v>44459.548807870371</v>
      </c>
      <c r="R157" s="1" t="s">
        <v>38</v>
      </c>
      <c r="T157" s="1" t="s">
        <v>74</v>
      </c>
      <c r="U157" s="12">
        <v>44460.548807870371</v>
      </c>
      <c r="V157" s="1" t="s">
        <v>41</v>
      </c>
      <c r="W157" s="1" t="s">
        <v>49</v>
      </c>
      <c r="X157" s="13" t="str">
        <f t="shared" si="19"/>
        <v/>
      </c>
      <c r="Y157" s="2">
        <f t="shared" ca="1" si="14"/>
        <v>378</v>
      </c>
      <c r="Z157" s="14">
        <v>1</v>
      </c>
      <c r="AA157" s="1" t="str">
        <f t="shared" ca="1" si="15"/>
        <v>VENCIDO</v>
      </c>
      <c r="AB157" s="1" t="str">
        <f t="shared" si="16"/>
        <v>Dosa</v>
      </c>
      <c r="AC157" s="2" t="str">
        <f t="shared" si="20"/>
        <v xml:space="preserve"> RINALDO </v>
      </c>
      <c r="AD157" s="2">
        <f t="shared" si="17"/>
        <v>5</v>
      </c>
      <c r="AE157" s="2">
        <f t="shared" ca="1" si="18"/>
        <v>-526.12746377314761</v>
      </c>
      <c r="AF157" s="15"/>
    </row>
    <row r="158" spans="1:32" hidden="1">
      <c r="A158" s="1">
        <v>7726534</v>
      </c>
      <c r="B158" s="1" t="s">
        <v>81</v>
      </c>
      <c r="C158" t="s">
        <v>240</v>
      </c>
      <c r="E158" s="2">
        <v>721000206001</v>
      </c>
      <c r="F158" s="1" t="s">
        <v>29</v>
      </c>
      <c r="G158" s="1" t="s">
        <v>53</v>
      </c>
      <c r="H158" s="1" t="s">
        <v>422</v>
      </c>
      <c r="I158" s="1" t="s">
        <v>423</v>
      </c>
      <c r="J158" s="1" t="s">
        <v>79</v>
      </c>
      <c r="K158" t="s">
        <v>34</v>
      </c>
      <c r="M158" s="1" t="s">
        <v>35</v>
      </c>
      <c r="N158" s="1">
        <v>42318949</v>
      </c>
      <c r="O158" s="1" t="s">
        <v>36</v>
      </c>
      <c r="P158" s="12">
        <v>44459.548796296294</v>
      </c>
      <c r="R158" s="1" t="s">
        <v>38</v>
      </c>
      <c r="T158" s="1" t="s">
        <v>74</v>
      </c>
      <c r="U158" s="12">
        <v>44460.548796296294</v>
      </c>
      <c r="V158" s="1" t="s">
        <v>41</v>
      </c>
      <c r="W158" s="1" t="s">
        <v>49</v>
      </c>
      <c r="X158" s="13" t="str">
        <f t="shared" si="19"/>
        <v/>
      </c>
      <c r="Y158" s="2">
        <f t="shared" ca="1" si="14"/>
        <v>378</v>
      </c>
      <c r="Z158" s="14">
        <v>1</v>
      </c>
      <c r="AA158" s="1" t="str">
        <f t="shared" ca="1" si="15"/>
        <v>VENCIDO</v>
      </c>
      <c r="AB158" s="1" t="str">
        <f t="shared" si="16"/>
        <v>Dosa</v>
      </c>
      <c r="AC158" s="2" t="str">
        <f t="shared" si="20"/>
        <v xml:space="preserve"> ROSEMERE </v>
      </c>
      <c r="AD158" s="2">
        <f t="shared" si="17"/>
        <v>5</v>
      </c>
      <c r="AE158" s="2">
        <f t="shared" ca="1" si="18"/>
        <v>-526.12747534722439</v>
      </c>
      <c r="AF158" s="15"/>
    </row>
    <row r="159" spans="1:32" hidden="1">
      <c r="A159" s="1">
        <v>7726532</v>
      </c>
      <c r="B159" s="1" t="s">
        <v>81</v>
      </c>
      <c r="C159" t="s">
        <v>240</v>
      </c>
      <c r="E159" s="2">
        <v>233000206001</v>
      </c>
      <c r="F159" s="1" t="s">
        <v>29</v>
      </c>
      <c r="G159" s="1" t="s">
        <v>53</v>
      </c>
      <c r="H159" s="1" t="s">
        <v>424</v>
      </c>
      <c r="I159" s="1" t="s">
        <v>425</v>
      </c>
      <c r="J159" s="1" t="s">
        <v>261</v>
      </c>
      <c r="K159" t="s">
        <v>34</v>
      </c>
      <c r="M159" s="1" t="s">
        <v>35</v>
      </c>
      <c r="N159" s="1">
        <v>42318949</v>
      </c>
      <c r="O159" s="1" t="s">
        <v>36</v>
      </c>
      <c r="P159" s="12">
        <v>44459.548796296294</v>
      </c>
      <c r="R159" s="1" t="s">
        <v>38</v>
      </c>
      <c r="T159" s="1" t="s">
        <v>74</v>
      </c>
      <c r="U159" s="12">
        <v>44460.548796296294</v>
      </c>
      <c r="V159" s="1" t="s">
        <v>41</v>
      </c>
      <c r="W159" s="1" t="s">
        <v>49</v>
      </c>
      <c r="X159" s="13" t="str">
        <f t="shared" si="19"/>
        <v/>
      </c>
      <c r="Y159" s="2">
        <f t="shared" ca="1" si="14"/>
        <v>378</v>
      </c>
      <c r="Z159" s="14">
        <v>1</v>
      </c>
      <c r="AA159" s="1" t="str">
        <f t="shared" ca="1" si="15"/>
        <v>VENCIDO</v>
      </c>
      <c r="AB159" s="1" t="str">
        <f t="shared" si="16"/>
        <v>Dosa</v>
      </c>
      <c r="AC159" s="2" t="str">
        <f t="shared" si="20"/>
        <v xml:space="preserve"> CRISTINA </v>
      </c>
      <c r="AD159" s="2">
        <f t="shared" si="17"/>
        <v>5</v>
      </c>
      <c r="AE159" s="2">
        <f t="shared" ca="1" si="18"/>
        <v>-526.12747534722439</v>
      </c>
      <c r="AF159" s="15"/>
    </row>
    <row r="160" spans="1:32" hidden="1">
      <c r="A160" s="1">
        <v>7726531</v>
      </c>
      <c r="B160" s="1" t="s">
        <v>81</v>
      </c>
      <c r="C160" t="s">
        <v>240</v>
      </c>
      <c r="E160" s="2">
        <v>4076000206001</v>
      </c>
      <c r="F160" s="1" t="s">
        <v>29</v>
      </c>
      <c r="G160" s="1" t="s">
        <v>53</v>
      </c>
      <c r="H160" s="1" t="s">
        <v>426</v>
      </c>
      <c r="I160" s="1" t="s">
        <v>427</v>
      </c>
      <c r="J160" s="1" t="s">
        <v>79</v>
      </c>
      <c r="K160" t="s">
        <v>34</v>
      </c>
      <c r="M160" s="1" t="s">
        <v>35</v>
      </c>
      <c r="N160" s="1">
        <v>42318949</v>
      </c>
      <c r="O160" s="1" t="s">
        <v>36</v>
      </c>
      <c r="P160" s="12">
        <v>44459.548796296294</v>
      </c>
      <c r="R160" s="1" t="s">
        <v>38</v>
      </c>
      <c r="T160" s="1" t="s">
        <v>74</v>
      </c>
      <c r="U160" s="12">
        <v>44460.548796296294</v>
      </c>
      <c r="V160" s="1" t="s">
        <v>41</v>
      </c>
      <c r="W160" s="1" t="s">
        <v>49</v>
      </c>
      <c r="X160" s="13" t="str">
        <f t="shared" si="19"/>
        <v/>
      </c>
      <c r="Y160" s="2">
        <f t="shared" ca="1" si="14"/>
        <v>378</v>
      </c>
      <c r="Z160" s="14">
        <v>1</v>
      </c>
      <c r="AA160" s="1" t="str">
        <f t="shared" ca="1" si="15"/>
        <v>VENCIDO</v>
      </c>
      <c r="AB160" s="1" t="str">
        <f t="shared" si="16"/>
        <v>Dosa</v>
      </c>
      <c r="AC160" s="2" t="str">
        <f t="shared" si="20"/>
        <v xml:space="preserve"> ROSEMERE </v>
      </c>
      <c r="AD160" s="2">
        <f t="shared" si="17"/>
        <v>5</v>
      </c>
      <c r="AE160" s="2">
        <f t="shared" ca="1" si="18"/>
        <v>-526.12747534722439</v>
      </c>
      <c r="AF160" s="15"/>
    </row>
    <row r="161" spans="1:32" hidden="1">
      <c r="A161" s="1">
        <v>7726528</v>
      </c>
      <c r="B161" s="1" t="s">
        <v>81</v>
      </c>
      <c r="C161" t="s">
        <v>240</v>
      </c>
      <c r="E161" s="2">
        <v>934000206001</v>
      </c>
      <c r="F161" s="1" t="s">
        <v>29</v>
      </c>
      <c r="G161" s="1" t="s">
        <v>53</v>
      </c>
      <c r="H161" s="1" t="s">
        <v>428</v>
      </c>
      <c r="I161" s="1" t="s">
        <v>429</v>
      </c>
      <c r="J161" s="1" t="s">
        <v>46</v>
      </c>
      <c r="K161" t="s">
        <v>34</v>
      </c>
      <c r="M161" s="1" t="s">
        <v>35</v>
      </c>
      <c r="N161" s="1">
        <v>42318949</v>
      </c>
      <c r="O161" s="1" t="s">
        <v>36</v>
      </c>
      <c r="P161" s="11" t="s">
        <v>436</v>
      </c>
      <c r="R161" s="1" t="s">
        <v>38</v>
      </c>
      <c r="T161" s="1" t="s">
        <v>74</v>
      </c>
      <c r="U161" s="11" t="s">
        <v>437</v>
      </c>
      <c r="V161" s="1" t="s">
        <v>41</v>
      </c>
      <c r="W161" s="1" t="s">
        <v>49</v>
      </c>
      <c r="X161" s="13" t="str">
        <f t="shared" si="19"/>
        <v/>
      </c>
      <c r="Y161" s="2">
        <f t="shared" ca="1" si="14"/>
        <v>378</v>
      </c>
      <c r="Z161" s="14">
        <v>1</v>
      </c>
      <c r="AA161" s="1" t="str">
        <f t="shared" ca="1" si="15"/>
        <v>VENCIDO</v>
      </c>
      <c r="AB161" s="1" t="str">
        <f t="shared" si="16"/>
        <v>Dosa</v>
      </c>
      <c r="AC161" s="2" t="str">
        <f t="shared" si="20"/>
        <v xml:space="preserve"> CLEITON </v>
      </c>
      <c r="AD161" s="2">
        <f t="shared" si="17"/>
        <v>5</v>
      </c>
      <c r="AE161" s="2">
        <f t="shared" ca="1" si="18"/>
        <v>-526.12748692129389</v>
      </c>
      <c r="AF161" s="15"/>
    </row>
    <row r="162" spans="1:32" hidden="1">
      <c r="A162" s="1">
        <v>7726527</v>
      </c>
      <c r="B162" s="1" t="s">
        <v>81</v>
      </c>
      <c r="C162" t="s">
        <v>240</v>
      </c>
      <c r="E162" s="2">
        <v>5742000206001</v>
      </c>
      <c r="F162" s="1" t="s">
        <v>29</v>
      </c>
      <c r="G162" s="1" t="s">
        <v>53</v>
      </c>
      <c r="H162" s="1" t="s">
        <v>430</v>
      </c>
      <c r="I162" s="1" t="s">
        <v>431</v>
      </c>
      <c r="J162" s="1" t="s">
        <v>79</v>
      </c>
      <c r="K162" t="s">
        <v>34</v>
      </c>
      <c r="M162" s="1" t="s">
        <v>35</v>
      </c>
      <c r="N162" s="1">
        <v>42318949</v>
      </c>
      <c r="O162" s="1" t="s">
        <v>36</v>
      </c>
      <c r="P162" s="11" t="s">
        <v>436</v>
      </c>
      <c r="R162" s="1" t="s">
        <v>38</v>
      </c>
      <c r="T162" s="1" t="s">
        <v>74</v>
      </c>
      <c r="U162" s="11" t="s">
        <v>437</v>
      </c>
      <c r="V162" s="1" t="s">
        <v>41</v>
      </c>
      <c r="W162" s="1" t="s">
        <v>49</v>
      </c>
      <c r="X162" s="13" t="str">
        <f t="shared" si="19"/>
        <v/>
      </c>
      <c r="Y162" s="2">
        <f t="shared" ca="1" si="14"/>
        <v>378</v>
      </c>
      <c r="Z162" s="14">
        <v>1</v>
      </c>
      <c r="AA162" s="1" t="str">
        <f t="shared" ca="1" si="15"/>
        <v>VENCIDO</v>
      </c>
      <c r="AB162" s="1" t="str">
        <f t="shared" si="16"/>
        <v>Dosa</v>
      </c>
      <c r="AC162" s="2" t="str">
        <f t="shared" si="20"/>
        <v xml:space="preserve"> ROSEMERE </v>
      </c>
      <c r="AD162" s="2">
        <f t="shared" si="17"/>
        <v>5</v>
      </c>
      <c r="AE162" s="2">
        <f t="shared" ca="1" si="18"/>
        <v>-526.12748692129389</v>
      </c>
      <c r="AF162" s="15"/>
    </row>
    <row r="163" spans="1:32" hidden="1">
      <c r="A163" s="1">
        <v>7726525</v>
      </c>
      <c r="B163" s="1" t="s">
        <v>81</v>
      </c>
      <c r="C163" t="s">
        <v>240</v>
      </c>
      <c r="E163" s="2">
        <v>446000206001</v>
      </c>
      <c r="F163" s="1" t="s">
        <v>29</v>
      </c>
      <c r="G163" s="1" t="s">
        <v>53</v>
      </c>
      <c r="H163" s="1" t="s">
        <v>432</v>
      </c>
      <c r="I163" s="1" t="s">
        <v>433</v>
      </c>
      <c r="J163" s="1" t="s">
        <v>110</v>
      </c>
      <c r="K163" t="s">
        <v>34</v>
      </c>
      <c r="M163" s="1" t="s">
        <v>35</v>
      </c>
      <c r="N163" s="1">
        <v>42318949</v>
      </c>
      <c r="O163" s="1" t="s">
        <v>36</v>
      </c>
      <c r="P163" s="11" t="s">
        <v>436</v>
      </c>
      <c r="R163" s="1" t="s">
        <v>38</v>
      </c>
      <c r="T163" s="1" t="s">
        <v>74</v>
      </c>
      <c r="U163" s="11" t="s">
        <v>437</v>
      </c>
      <c r="V163" s="1" t="s">
        <v>41</v>
      </c>
      <c r="W163" s="1" t="s">
        <v>49</v>
      </c>
      <c r="X163" s="13" t="str">
        <f t="shared" si="19"/>
        <v/>
      </c>
      <c r="Y163" s="2">
        <f t="shared" ca="1" si="14"/>
        <v>378</v>
      </c>
      <c r="Z163" s="14">
        <v>1</v>
      </c>
      <c r="AA163" s="1" t="str">
        <f t="shared" ca="1" si="15"/>
        <v>VENCIDO</v>
      </c>
      <c r="AB163" s="1" t="str">
        <f t="shared" si="16"/>
        <v>Dosa</v>
      </c>
      <c r="AC163" s="2" t="str">
        <f t="shared" si="20"/>
        <v xml:space="preserve"> CRISTINA </v>
      </c>
      <c r="AD163" s="2">
        <f t="shared" si="17"/>
        <v>5</v>
      </c>
      <c r="AE163" s="2">
        <f t="shared" ca="1" si="18"/>
        <v>-526.12748692129389</v>
      </c>
      <c r="AF163" s="15"/>
    </row>
    <row r="164" spans="1:32" hidden="1">
      <c r="A164" s="1">
        <v>7726524</v>
      </c>
      <c r="B164" s="1" t="s">
        <v>81</v>
      </c>
      <c r="C164" t="s">
        <v>240</v>
      </c>
      <c r="E164" s="2">
        <v>570000206001</v>
      </c>
      <c r="F164" s="1" t="s">
        <v>29</v>
      </c>
      <c r="G164" s="1" t="s">
        <v>53</v>
      </c>
      <c r="H164" s="1" t="s">
        <v>434</v>
      </c>
      <c r="I164" s="1" t="s">
        <v>435</v>
      </c>
      <c r="J164" s="1" t="s">
        <v>148</v>
      </c>
      <c r="K164" t="s">
        <v>34</v>
      </c>
      <c r="M164" s="1" t="s">
        <v>35</v>
      </c>
      <c r="N164" s="1">
        <v>42318949</v>
      </c>
      <c r="O164" s="1" t="s">
        <v>36</v>
      </c>
      <c r="P164" s="11" t="s">
        <v>436</v>
      </c>
      <c r="R164" s="1" t="s">
        <v>38</v>
      </c>
      <c r="T164" s="1" t="s">
        <v>74</v>
      </c>
      <c r="U164" s="11" t="s">
        <v>437</v>
      </c>
      <c r="V164" s="1" t="s">
        <v>41</v>
      </c>
      <c r="W164" s="1" t="s">
        <v>49</v>
      </c>
      <c r="X164" s="13" t="str">
        <f t="shared" si="19"/>
        <v/>
      </c>
      <c r="Y164" s="2">
        <f t="shared" ca="1" si="14"/>
        <v>378</v>
      </c>
      <c r="Z164" s="14">
        <v>1</v>
      </c>
      <c r="AA164" s="1" t="str">
        <f t="shared" ca="1" si="15"/>
        <v>VENCIDO</v>
      </c>
      <c r="AB164" s="1" t="str">
        <f t="shared" si="16"/>
        <v>Dosa</v>
      </c>
      <c r="AC164" s="2" t="str">
        <f t="shared" si="20"/>
        <v xml:space="preserve"> RINALDO </v>
      </c>
      <c r="AD164" s="2">
        <f t="shared" si="17"/>
        <v>5</v>
      </c>
      <c r="AE164" s="2">
        <f t="shared" ca="1" si="18"/>
        <v>-526.12748692129389</v>
      </c>
      <c r="AF164" s="15"/>
    </row>
    <row r="165" spans="1:32" hidden="1">
      <c r="A165" s="1">
        <v>7726522</v>
      </c>
      <c r="B165" s="1" t="s">
        <v>81</v>
      </c>
      <c r="C165" t="s">
        <v>240</v>
      </c>
      <c r="E165" s="2">
        <v>917000206001</v>
      </c>
      <c r="F165" s="1" t="s">
        <v>29</v>
      </c>
      <c r="G165" s="1" t="s">
        <v>53</v>
      </c>
      <c r="H165" s="1" t="s">
        <v>83</v>
      </c>
      <c r="I165" s="1" t="s">
        <v>84</v>
      </c>
      <c r="J165" s="1" t="s">
        <v>85</v>
      </c>
      <c r="K165" t="s">
        <v>34</v>
      </c>
      <c r="M165" s="1" t="s">
        <v>35</v>
      </c>
      <c r="N165" s="1">
        <v>42318949</v>
      </c>
      <c r="O165" s="1" t="s">
        <v>36</v>
      </c>
      <c r="P165" s="11" t="s">
        <v>436</v>
      </c>
      <c r="R165" s="1" t="s">
        <v>38</v>
      </c>
      <c r="T165" s="1" t="s">
        <v>74</v>
      </c>
      <c r="U165" s="11" t="s">
        <v>437</v>
      </c>
      <c r="V165" s="1" t="s">
        <v>41</v>
      </c>
      <c r="W165" s="1" t="s">
        <v>49</v>
      </c>
      <c r="X165" s="13" t="str">
        <f t="shared" si="19"/>
        <v/>
      </c>
      <c r="Y165" s="2">
        <f t="shared" ca="1" si="14"/>
        <v>378</v>
      </c>
      <c r="Z165" s="14">
        <v>1</v>
      </c>
      <c r="AA165" s="1" t="str">
        <f t="shared" ca="1" si="15"/>
        <v>VENCIDO</v>
      </c>
      <c r="AB165" s="1" t="str">
        <f t="shared" si="16"/>
        <v>Dosa</v>
      </c>
      <c r="AC165" s="2" t="str">
        <f t="shared" si="20"/>
        <v xml:space="preserve"> RINALDO </v>
      </c>
      <c r="AD165" s="2">
        <f t="shared" si="17"/>
        <v>5</v>
      </c>
      <c r="AE165" s="2">
        <f t="shared" ca="1" si="18"/>
        <v>-526.12748692129389</v>
      </c>
      <c r="AF165" s="15"/>
    </row>
    <row r="166" spans="1:32" hidden="1">
      <c r="A166" s="1">
        <v>7726519</v>
      </c>
      <c r="B166" s="1" t="s">
        <v>81</v>
      </c>
      <c r="C166" t="s">
        <v>240</v>
      </c>
      <c r="E166" s="2">
        <v>608000206001</v>
      </c>
      <c r="F166" s="1" t="s">
        <v>29</v>
      </c>
      <c r="G166" s="1" t="s">
        <v>53</v>
      </c>
      <c r="H166" s="1" t="s">
        <v>438</v>
      </c>
      <c r="I166" s="1" t="s">
        <v>439</v>
      </c>
      <c r="J166" s="1" t="s">
        <v>148</v>
      </c>
      <c r="K166" t="s">
        <v>34</v>
      </c>
      <c r="M166" s="1" t="s">
        <v>35</v>
      </c>
      <c r="N166" s="1">
        <v>42318949</v>
      </c>
      <c r="O166" s="1" t="s">
        <v>36</v>
      </c>
      <c r="P166" s="11" t="s">
        <v>440</v>
      </c>
      <c r="R166" s="1" t="s">
        <v>38</v>
      </c>
      <c r="T166" s="1" t="s">
        <v>74</v>
      </c>
      <c r="U166" s="11" t="s">
        <v>441</v>
      </c>
      <c r="V166" s="1" t="s">
        <v>41</v>
      </c>
      <c r="W166" s="1" t="s">
        <v>49</v>
      </c>
      <c r="X166" s="13" t="str">
        <f t="shared" si="19"/>
        <v/>
      </c>
      <c r="Y166" s="2">
        <f t="shared" ca="1" si="14"/>
        <v>378</v>
      </c>
      <c r="Z166" s="14">
        <v>1</v>
      </c>
      <c r="AA166" s="1" t="str">
        <f t="shared" ca="1" si="15"/>
        <v>VENCIDO</v>
      </c>
      <c r="AB166" s="1" t="str">
        <f t="shared" si="16"/>
        <v>Dosa</v>
      </c>
      <c r="AC166" s="2" t="str">
        <f t="shared" si="20"/>
        <v xml:space="preserve"> RINALDO </v>
      </c>
      <c r="AD166" s="2">
        <f t="shared" si="17"/>
        <v>5</v>
      </c>
      <c r="AE166" s="2">
        <f t="shared" ca="1" si="18"/>
        <v>-526.12749849537067</v>
      </c>
      <c r="AF166" s="15"/>
    </row>
    <row r="167" spans="1:32" hidden="1">
      <c r="A167" s="1">
        <v>7726518</v>
      </c>
      <c r="B167" s="1" t="s">
        <v>81</v>
      </c>
      <c r="C167" t="s">
        <v>240</v>
      </c>
      <c r="E167" s="2">
        <v>537000206001</v>
      </c>
      <c r="F167" s="1" t="s">
        <v>29</v>
      </c>
      <c r="G167" s="1" t="s">
        <v>53</v>
      </c>
      <c r="H167" s="1" t="s">
        <v>442</v>
      </c>
      <c r="I167" s="1" t="s">
        <v>443</v>
      </c>
      <c r="J167" s="1" t="s">
        <v>79</v>
      </c>
      <c r="K167" t="s">
        <v>34</v>
      </c>
      <c r="M167" s="1" t="s">
        <v>35</v>
      </c>
      <c r="N167" s="1">
        <v>42318949</v>
      </c>
      <c r="O167" s="1" t="s">
        <v>36</v>
      </c>
      <c r="P167" s="11" t="s">
        <v>440</v>
      </c>
      <c r="R167" s="1" t="s">
        <v>38</v>
      </c>
      <c r="T167" s="1" t="s">
        <v>74</v>
      </c>
      <c r="U167" s="11" t="s">
        <v>441</v>
      </c>
      <c r="V167" s="1" t="s">
        <v>41</v>
      </c>
      <c r="W167" s="1" t="s">
        <v>49</v>
      </c>
      <c r="X167" s="13" t="str">
        <f t="shared" si="19"/>
        <v/>
      </c>
      <c r="Y167" s="2">
        <f t="shared" ca="1" si="14"/>
        <v>378</v>
      </c>
      <c r="Z167" s="14">
        <v>1</v>
      </c>
      <c r="AA167" s="1" t="str">
        <f t="shared" ca="1" si="15"/>
        <v>VENCIDO</v>
      </c>
      <c r="AB167" s="1" t="str">
        <f t="shared" si="16"/>
        <v>Dosa</v>
      </c>
      <c r="AC167" s="2" t="str">
        <f t="shared" si="20"/>
        <v xml:space="preserve"> ROSEMERE </v>
      </c>
      <c r="AD167" s="2">
        <f t="shared" si="17"/>
        <v>5</v>
      </c>
      <c r="AE167" s="2">
        <f t="shared" ca="1" si="18"/>
        <v>-526.12749849537067</v>
      </c>
      <c r="AF167" s="15"/>
    </row>
    <row r="168" spans="1:32" hidden="1">
      <c r="A168" s="1">
        <v>7726511</v>
      </c>
      <c r="B168" s="1" t="s">
        <v>81</v>
      </c>
      <c r="C168" t="s">
        <v>240</v>
      </c>
      <c r="E168" s="2">
        <v>594000206001</v>
      </c>
      <c r="F168" s="1" t="s">
        <v>29</v>
      </c>
      <c r="G168" s="1" t="s">
        <v>53</v>
      </c>
      <c r="H168" s="1" t="s">
        <v>444</v>
      </c>
      <c r="I168" s="1" t="s">
        <v>445</v>
      </c>
      <c r="J168" s="1" t="s">
        <v>33</v>
      </c>
      <c r="K168" t="s">
        <v>34</v>
      </c>
      <c r="M168" s="1" t="s">
        <v>35</v>
      </c>
      <c r="N168" s="1">
        <v>42318949</v>
      </c>
      <c r="O168" s="1" t="s">
        <v>36</v>
      </c>
      <c r="P168" s="11" t="s">
        <v>446</v>
      </c>
      <c r="R168" s="1" t="s">
        <v>38</v>
      </c>
      <c r="T168" s="1" t="s">
        <v>74</v>
      </c>
      <c r="U168" s="11" t="s">
        <v>447</v>
      </c>
      <c r="V168" s="1" t="s">
        <v>41</v>
      </c>
      <c r="W168" s="1" t="s">
        <v>42</v>
      </c>
      <c r="X168" s="13" t="str">
        <f t="shared" si="19"/>
        <v/>
      </c>
      <c r="Y168" s="2">
        <f t="shared" ca="1" si="14"/>
        <v>378</v>
      </c>
      <c r="Z168" s="14">
        <v>1</v>
      </c>
      <c r="AA168" s="1" t="str">
        <f t="shared" ca="1" si="15"/>
        <v>VENCIDO</v>
      </c>
      <c r="AB168" s="1" t="str">
        <f t="shared" si="16"/>
        <v>Dosa</v>
      </c>
      <c r="AC168" s="2" t="str">
        <f t="shared" si="20"/>
        <v xml:space="preserve"> ROSEMERE </v>
      </c>
      <c r="AD168" s="2">
        <f t="shared" si="17"/>
        <v>5</v>
      </c>
      <c r="AE168" s="2">
        <f t="shared" ca="1" si="18"/>
        <v>-526.12751006944745</v>
      </c>
      <c r="AF168" s="15"/>
    </row>
    <row r="169" spans="1:32" hidden="1">
      <c r="A169" s="1">
        <v>7726505</v>
      </c>
      <c r="B169" s="1" t="s">
        <v>81</v>
      </c>
      <c r="C169" t="s">
        <v>240</v>
      </c>
      <c r="E169" s="2">
        <v>2830000206001</v>
      </c>
      <c r="F169" s="1" t="s">
        <v>29</v>
      </c>
      <c r="G169" s="1" t="s">
        <v>53</v>
      </c>
      <c r="H169" s="1" t="s">
        <v>448</v>
      </c>
      <c r="I169" s="1" t="s">
        <v>449</v>
      </c>
      <c r="J169" s="1" t="s">
        <v>33</v>
      </c>
      <c r="K169" t="s">
        <v>34</v>
      </c>
      <c r="M169" s="1" t="s">
        <v>35</v>
      </c>
      <c r="N169" s="1">
        <v>42318949</v>
      </c>
      <c r="O169" s="1" t="s">
        <v>36</v>
      </c>
      <c r="P169" s="11" t="s">
        <v>446</v>
      </c>
      <c r="R169" s="1" t="s">
        <v>38</v>
      </c>
      <c r="T169" s="1" t="s">
        <v>74</v>
      </c>
      <c r="U169" s="11" t="s">
        <v>447</v>
      </c>
      <c r="V169" s="1" t="s">
        <v>41</v>
      </c>
      <c r="W169" s="1" t="s">
        <v>42</v>
      </c>
      <c r="X169" s="13" t="str">
        <f t="shared" si="19"/>
        <v/>
      </c>
      <c r="Y169" s="2">
        <f t="shared" ca="1" si="14"/>
        <v>378</v>
      </c>
      <c r="Z169" s="14">
        <v>1</v>
      </c>
      <c r="AA169" s="1" t="str">
        <f t="shared" ca="1" si="15"/>
        <v>VENCIDO</v>
      </c>
      <c r="AB169" s="1" t="str">
        <f t="shared" si="16"/>
        <v>Dosa</v>
      </c>
      <c r="AC169" s="2" t="str">
        <f t="shared" si="20"/>
        <v xml:space="preserve"> ROSEMERE </v>
      </c>
      <c r="AD169" s="2">
        <f t="shared" si="17"/>
        <v>5</v>
      </c>
      <c r="AE169" s="2">
        <f t="shared" ca="1" si="18"/>
        <v>-526.12751006944745</v>
      </c>
      <c r="AF169" s="15"/>
    </row>
    <row r="170" spans="1:32" hidden="1">
      <c r="A170" s="1">
        <v>7898328</v>
      </c>
      <c r="B170" s="1" t="s">
        <v>81</v>
      </c>
      <c r="C170" t="s">
        <v>450</v>
      </c>
      <c r="E170" s="2">
        <v>1664000206001</v>
      </c>
      <c r="F170" s="1" t="s">
        <v>29</v>
      </c>
      <c r="G170" s="1" t="s">
        <v>53</v>
      </c>
      <c r="H170" s="1" t="s">
        <v>307</v>
      </c>
      <c r="I170" s="1" t="s">
        <v>308</v>
      </c>
      <c r="J170" s="1" t="s">
        <v>164</v>
      </c>
      <c r="K170" t="s">
        <v>34</v>
      </c>
      <c r="M170" s="1" t="s">
        <v>35</v>
      </c>
      <c r="N170" s="1">
        <v>42318949</v>
      </c>
      <c r="O170" s="1" t="s">
        <v>36</v>
      </c>
      <c r="P170" s="11" t="s">
        <v>3412</v>
      </c>
      <c r="R170" s="1" t="s">
        <v>38</v>
      </c>
      <c r="T170" s="1" t="s">
        <v>74</v>
      </c>
      <c r="U170" s="11" t="s">
        <v>3413</v>
      </c>
      <c r="V170" s="1" t="s">
        <v>41</v>
      </c>
      <c r="W170" s="1" t="s">
        <v>49</v>
      </c>
      <c r="X170" s="13" t="str">
        <f t="shared" si="19"/>
        <v/>
      </c>
      <c r="Y170" s="2">
        <f t="shared" ca="1" si="14"/>
        <v>373</v>
      </c>
      <c r="Z170" s="14">
        <v>1</v>
      </c>
      <c r="AA170" s="1" t="str">
        <f t="shared" ca="1" si="15"/>
        <v>VENCIDO</v>
      </c>
      <c r="AB170" s="1" t="str">
        <f t="shared" si="16"/>
        <v>Dosa</v>
      </c>
      <c r="AC170" s="2" t="str">
        <f t="shared" si="20"/>
        <v xml:space="preserve"> ROSEMERE </v>
      </c>
      <c r="AD170" s="2">
        <f t="shared" si="17"/>
        <v>5</v>
      </c>
      <c r="AE170" s="2">
        <f t="shared" ca="1" si="18"/>
        <v>-518.86585497685155</v>
      </c>
      <c r="AF170" s="15"/>
    </row>
    <row r="171" spans="1:32" hidden="1">
      <c r="A171" s="1">
        <v>7898195</v>
      </c>
      <c r="B171" s="1" t="s">
        <v>81</v>
      </c>
      <c r="C171" t="s">
        <v>450</v>
      </c>
      <c r="E171" s="2">
        <v>2107000206001</v>
      </c>
      <c r="F171" s="1" t="s">
        <v>29</v>
      </c>
      <c r="G171" s="1" t="s">
        <v>53</v>
      </c>
      <c r="H171" s="1" t="s">
        <v>262</v>
      </c>
      <c r="I171" s="1" t="s">
        <v>263</v>
      </c>
      <c r="J171" s="1" t="s">
        <v>164</v>
      </c>
      <c r="K171" t="s">
        <v>34</v>
      </c>
      <c r="M171" s="1" t="s">
        <v>35</v>
      </c>
      <c r="N171" s="1">
        <v>42318949</v>
      </c>
      <c r="O171" s="1" t="s">
        <v>36</v>
      </c>
      <c r="P171" s="11" t="s">
        <v>3414</v>
      </c>
      <c r="R171" s="1" t="s">
        <v>38</v>
      </c>
      <c r="T171" s="1" t="s">
        <v>74</v>
      </c>
      <c r="U171" s="11" t="s">
        <v>3415</v>
      </c>
      <c r="V171" s="1" t="s">
        <v>41</v>
      </c>
      <c r="W171" s="1" t="s">
        <v>49</v>
      </c>
      <c r="X171" s="13" t="str">
        <f t="shared" si="19"/>
        <v/>
      </c>
      <c r="Y171" s="2">
        <f t="shared" ca="1" si="14"/>
        <v>373</v>
      </c>
      <c r="Z171" s="14">
        <v>1</v>
      </c>
      <c r="AA171" s="1" t="str">
        <f t="shared" ca="1" si="15"/>
        <v>VENCIDO</v>
      </c>
      <c r="AB171" s="1" t="str">
        <f t="shared" si="16"/>
        <v>Dosa</v>
      </c>
      <c r="AC171" s="2" t="str">
        <f t="shared" si="20"/>
        <v xml:space="preserve"> ROSEMERE </v>
      </c>
      <c r="AD171" s="2">
        <f t="shared" si="17"/>
        <v>5</v>
      </c>
      <c r="AE171" s="2">
        <f t="shared" ca="1" si="18"/>
        <v>-518.87271840278117</v>
      </c>
      <c r="AF171" s="15"/>
    </row>
    <row r="172" spans="1:32" hidden="1">
      <c r="A172" s="1">
        <v>7898176</v>
      </c>
      <c r="B172" s="1" t="s">
        <v>81</v>
      </c>
      <c r="C172" t="s">
        <v>450</v>
      </c>
      <c r="E172" s="2">
        <v>2559000206001</v>
      </c>
      <c r="F172" s="1" t="s">
        <v>29</v>
      </c>
      <c r="G172" s="1" t="s">
        <v>53</v>
      </c>
      <c r="H172" s="1" t="s">
        <v>259</v>
      </c>
      <c r="I172" s="1" t="s">
        <v>260</v>
      </c>
      <c r="J172" s="1" t="s">
        <v>261</v>
      </c>
      <c r="K172" t="s">
        <v>34</v>
      </c>
      <c r="M172" s="1" t="s">
        <v>35</v>
      </c>
      <c r="N172" s="1">
        <v>42318949</v>
      </c>
      <c r="O172" s="1" t="s">
        <v>36</v>
      </c>
      <c r="P172" s="11" t="s">
        <v>451</v>
      </c>
      <c r="R172" s="1" t="s">
        <v>38</v>
      </c>
      <c r="T172" s="1" t="s">
        <v>74</v>
      </c>
      <c r="U172" s="11" t="s">
        <v>452</v>
      </c>
      <c r="V172" s="1" t="s">
        <v>41</v>
      </c>
      <c r="W172" s="1" t="s">
        <v>49</v>
      </c>
      <c r="X172" s="13" t="str">
        <f t="shared" si="19"/>
        <v/>
      </c>
      <c r="Y172" s="2">
        <f t="shared" ca="1" si="14"/>
        <v>373</v>
      </c>
      <c r="Z172" s="14">
        <v>1</v>
      </c>
      <c r="AA172" s="1" t="str">
        <f t="shared" ca="1" si="15"/>
        <v>VENCIDO</v>
      </c>
      <c r="AB172" s="1" t="str">
        <f t="shared" si="16"/>
        <v>Dosa</v>
      </c>
      <c r="AC172" s="2" t="str">
        <f t="shared" si="20"/>
        <v xml:space="preserve"> CRISTINA </v>
      </c>
      <c r="AD172" s="2">
        <f t="shared" si="17"/>
        <v>5</v>
      </c>
      <c r="AE172" s="2">
        <f t="shared" ca="1" si="18"/>
        <v>-518.87301932870469</v>
      </c>
      <c r="AF172" s="15"/>
    </row>
    <row r="173" spans="1:32" hidden="1">
      <c r="A173" s="1">
        <v>7897993</v>
      </c>
      <c r="B173" s="1" t="s">
        <v>81</v>
      </c>
      <c r="C173" t="s">
        <v>450</v>
      </c>
      <c r="E173" s="2">
        <v>2564000206001</v>
      </c>
      <c r="F173" s="1" t="s">
        <v>29</v>
      </c>
      <c r="G173" s="1" t="s">
        <v>53</v>
      </c>
      <c r="H173" s="1" t="s">
        <v>255</v>
      </c>
      <c r="I173" s="1" t="s">
        <v>256</v>
      </c>
      <c r="J173" s="1" t="s">
        <v>164</v>
      </c>
      <c r="K173" t="s">
        <v>34</v>
      </c>
      <c r="M173" s="1" t="s">
        <v>35</v>
      </c>
      <c r="N173" s="1">
        <v>42318949</v>
      </c>
      <c r="O173" s="1" t="s">
        <v>36</v>
      </c>
      <c r="P173" s="11" t="s">
        <v>3416</v>
      </c>
      <c r="R173" s="1" t="s">
        <v>38</v>
      </c>
      <c r="T173" s="1" t="s">
        <v>74</v>
      </c>
      <c r="U173" s="11" t="s">
        <v>3417</v>
      </c>
      <c r="V173" s="1" t="s">
        <v>41</v>
      </c>
      <c r="W173" s="1" t="s">
        <v>49</v>
      </c>
      <c r="X173" s="13" t="str">
        <f t="shared" si="19"/>
        <v/>
      </c>
      <c r="Y173" s="2">
        <f t="shared" ca="1" si="14"/>
        <v>373</v>
      </c>
      <c r="Z173" s="14">
        <v>1</v>
      </c>
      <c r="AA173" s="1" t="str">
        <f t="shared" ca="1" si="15"/>
        <v>VENCIDO</v>
      </c>
      <c r="AB173" s="1" t="str">
        <f t="shared" si="16"/>
        <v>Dosa</v>
      </c>
      <c r="AC173" s="2" t="str">
        <f t="shared" si="20"/>
        <v xml:space="preserve"> ROSEMERE </v>
      </c>
      <c r="AD173" s="2">
        <f t="shared" si="17"/>
        <v>5</v>
      </c>
      <c r="AE173" s="2">
        <f t="shared" ca="1" si="18"/>
        <v>-518.87338969907432</v>
      </c>
      <c r="AF173" s="15"/>
    </row>
    <row r="174" spans="1:32" hidden="1">
      <c r="A174" s="1">
        <v>7973155</v>
      </c>
      <c r="B174" s="1" t="s">
        <v>62</v>
      </c>
      <c r="C174" t="s">
        <v>3574</v>
      </c>
      <c r="E174" s="2">
        <v>1836000203000</v>
      </c>
      <c r="F174" s="1" t="s">
        <v>454</v>
      </c>
      <c r="G174" s="1" t="s">
        <v>53</v>
      </c>
      <c r="H174" s="1" t="s">
        <v>455</v>
      </c>
      <c r="I174" s="1" t="s">
        <v>456</v>
      </c>
      <c r="J174" s="1" t="s">
        <v>46</v>
      </c>
      <c r="K174" t="s">
        <v>457</v>
      </c>
      <c r="M174" s="1" t="s">
        <v>58</v>
      </c>
      <c r="N174" s="1">
        <v>0</v>
      </c>
      <c r="O174" s="1" t="s">
        <v>105</v>
      </c>
      <c r="P174" s="11" t="s">
        <v>458</v>
      </c>
      <c r="R174" s="1" t="s">
        <v>38</v>
      </c>
      <c r="T174" s="1" t="s">
        <v>157</v>
      </c>
      <c r="U174" s="11" t="s">
        <v>459</v>
      </c>
      <c r="V174" s="1" t="s">
        <v>41</v>
      </c>
      <c r="W174" s="1" t="s">
        <v>49</v>
      </c>
      <c r="X174" s="13" t="str">
        <f t="shared" si="19"/>
        <v/>
      </c>
      <c r="Y174" s="2">
        <f t="shared" ca="1" si="14"/>
        <v>370</v>
      </c>
      <c r="Z174" s="14">
        <v>1</v>
      </c>
      <c r="AA174" s="1" t="str">
        <f t="shared" ca="1" si="15"/>
        <v>VENCIDO</v>
      </c>
      <c r="AB174" s="1" t="str">
        <f t="shared" si="16"/>
        <v>C-14</v>
      </c>
      <c r="AC174" s="2" t="str">
        <f t="shared" si="20"/>
        <v xml:space="preserve"> CLEITON </v>
      </c>
      <c r="AD174" s="2">
        <f t="shared" si="17"/>
        <v>5</v>
      </c>
      <c r="AE174" s="2">
        <f t="shared" ca="1" si="18"/>
        <v>-477.9262716435187</v>
      </c>
      <c r="AF174" s="15"/>
    </row>
    <row r="175" spans="1:32" hidden="1">
      <c r="A175" s="1">
        <v>7973154</v>
      </c>
      <c r="B175" s="1" t="s">
        <v>62</v>
      </c>
      <c r="C175" t="s">
        <v>3574</v>
      </c>
      <c r="E175" s="2">
        <v>1836000203000</v>
      </c>
      <c r="F175" s="1" t="s">
        <v>454</v>
      </c>
      <c r="G175" s="1" t="s">
        <v>53</v>
      </c>
      <c r="H175" s="1" t="s">
        <v>455</v>
      </c>
      <c r="I175" s="1" t="s">
        <v>456</v>
      </c>
      <c r="J175" s="1" t="s">
        <v>46</v>
      </c>
      <c r="K175" t="s">
        <v>457</v>
      </c>
      <c r="M175" s="1" t="s">
        <v>58</v>
      </c>
      <c r="N175" s="1">
        <v>0</v>
      </c>
      <c r="O175" s="1" t="s">
        <v>105</v>
      </c>
      <c r="P175" s="11" t="s">
        <v>458</v>
      </c>
      <c r="R175" s="1" t="s">
        <v>38</v>
      </c>
      <c r="T175" s="1" t="s">
        <v>157</v>
      </c>
      <c r="U175" s="186">
        <v>44508.75</v>
      </c>
      <c r="V175" s="1" t="s">
        <v>41</v>
      </c>
      <c r="W175" s="1" t="s">
        <v>49</v>
      </c>
      <c r="X175" s="13" t="str">
        <f t="shared" si="19"/>
        <v/>
      </c>
      <c r="Y175" s="2">
        <f t="shared" ca="1" si="14"/>
        <v>370</v>
      </c>
      <c r="Z175" s="14">
        <v>1</v>
      </c>
      <c r="AA175" s="1" t="str">
        <f t="shared" ca="1" si="15"/>
        <v>VENCIDO</v>
      </c>
      <c r="AB175" s="1" t="str">
        <f t="shared" si="16"/>
        <v>C-14</v>
      </c>
      <c r="AC175" s="2" t="str">
        <f t="shared" si="20"/>
        <v xml:space="preserve"> CLEITON </v>
      </c>
      <c r="AD175" s="2">
        <f t="shared" si="17"/>
        <v>5</v>
      </c>
      <c r="AE175" s="2">
        <f t="shared" ca="1" si="18"/>
        <v>-477.9262716435187</v>
      </c>
      <c r="AF175" s="15"/>
    </row>
    <row r="176" spans="1:32" hidden="1">
      <c r="A176" s="1">
        <v>7973153</v>
      </c>
      <c r="B176" s="1" t="s">
        <v>62</v>
      </c>
      <c r="C176" t="s">
        <v>3574</v>
      </c>
      <c r="E176" s="2">
        <v>1836000203000</v>
      </c>
      <c r="F176" s="1" t="s">
        <v>454</v>
      </c>
      <c r="G176" s="1" t="s">
        <v>53</v>
      </c>
      <c r="H176" s="1" t="s">
        <v>455</v>
      </c>
      <c r="I176" s="1" t="s">
        <v>456</v>
      </c>
      <c r="J176" s="1" t="s">
        <v>46</v>
      </c>
      <c r="K176" t="s">
        <v>457</v>
      </c>
      <c r="M176" s="1" t="s">
        <v>58</v>
      </c>
      <c r="N176" s="1">
        <v>0</v>
      </c>
      <c r="O176" s="1" t="s">
        <v>105</v>
      </c>
      <c r="P176" s="11" t="s">
        <v>458</v>
      </c>
      <c r="R176" s="1" t="s">
        <v>38</v>
      </c>
      <c r="T176" s="1" t="s">
        <v>157</v>
      </c>
      <c r="U176" s="186">
        <v>44508.75</v>
      </c>
      <c r="V176" s="1" t="s">
        <v>41</v>
      </c>
      <c r="W176" s="1" t="s">
        <v>49</v>
      </c>
      <c r="X176" s="13" t="str">
        <f t="shared" si="19"/>
        <v/>
      </c>
      <c r="Y176" s="2">
        <f t="shared" ca="1" si="14"/>
        <v>370</v>
      </c>
      <c r="Z176" s="14">
        <v>1</v>
      </c>
      <c r="AA176" s="1" t="str">
        <f t="shared" ca="1" si="15"/>
        <v>VENCIDO</v>
      </c>
      <c r="AB176" s="1" t="str">
        <f t="shared" si="16"/>
        <v>C-14</v>
      </c>
      <c r="AC176" s="2" t="str">
        <f t="shared" si="20"/>
        <v xml:space="preserve"> CLEITON </v>
      </c>
      <c r="AD176" s="2">
        <f t="shared" si="17"/>
        <v>5</v>
      </c>
      <c r="AE176" s="2">
        <f t="shared" ca="1" si="18"/>
        <v>-477.9262716435187</v>
      </c>
      <c r="AF176" s="15"/>
    </row>
    <row r="177" spans="1:32" hidden="1">
      <c r="A177" s="1">
        <v>7973152</v>
      </c>
      <c r="B177" s="1" t="s">
        <v>62</v>
      </c>
      <c r="C177" t="s">
        <v>3574</v>
      </c>
      <c r="E177" s="2">
        <v>1836000203000</v>
      </c>
      <c r="F177" s="1" t="s">
        <v>454</v>
      </c>
      <c r="G177" s="1" t="s">
        <v>53</v>
      </c>
      <c r="H177" s="1" t="s">
        <v>455</v>
      </c>
      <c r="I177" s="1" t="s">
        <v>456</v>
      </c>
      <c r="J177" s="1" t="s">
        <v>46</v>
      </c>
      <c r="K177" t="s">
        <v>457</v>
      </c>
      <c r="M177" s="1" t="s">
        <v>58</v>
      </c>
      <c r="N177" s="1">
        <v>0</v>
      </c>
      <c r="O177" s="1" t="s">
        <v>105</v>
      </c>
      <c r="P177" s="11" t="s">
        <v>458</v>
      </c>
      <c r="R177" s="1" t="s">
        <v>38</v>
      </c>
      <c r="T177" s="1" t="s">
        <v>157</v>
      </c>
      <c r="U177" s="11" t="s">
        <v>459</v>
      </c>
      <c r="V177" s="1" t="s">
        <v>41</v>
      </c>
      <c r="W177" s="1" t="s">
        <v>49</v>
      </c>
      <c r="X177" s="13" t="str">
        <f t="shared" si="19"/>
        <v/>
      </c>
      <c r="Y177" s="2">
        <f t="shared" ca="1" si="14"/>
        <v>370</v>
      </c>
      <c r="Z177" s="14">
        <v>1</v>
      </c>
      <c r="AA177" s="1" t="str">
        <f t="shared" ca="1" si="15"/>
        <v>VENCIDO</v>
      </c>
      <c r="AB177" s="1" t="str">
        <f t="shared" si="16"/>
        <v>C-14</v>
      </c>
      <c r="AC177" s="2" t="str">
        <f t="shared" si="20"/>
        <v xml:space="preserve"> CLEITON </v>
      </c>
      <c r="AD177" s="2">
        <f t="shared" si="17"/>
        <v>5</v>
      </c>
      <c r="AE177" s="2">
        <f t="shared" ca="1" si="18"/>
        <v>-477.9262716435187</v>
      </c>
      <c r="AF177" s="15"/>
    </row>
    <row r="178" spans="1:32" hidden="1">
      <c r="A178" s="1">
        <v>7973151</v>
      </c>
      <c r="B178" s="1" t="s">
        <v>62</v>
      </c>
      <c r="C178" t="s">
        <v>3574</v>
      </c>
      <c r="E178" s="2">
        <v>1836000203000</v>
      </c>
      <c r="F178" s="1" t="s">
        <v>454</v>
      </c>
      <c r="G178" s="1" t="s">
        <v>53</v>
      </c>
      <c r="H178" s="1" t="s">
        <v>455</v>
      </c>
      <c r="I178" s="1" t="s">
        <v>456</v>
      </c>
      <c r="J178" s="1" t="s">
        <v>46</v>
      </c>
      <c r="K178" t="s">
        <v>457</v>
      </c>
      <c r="M178" s="1" t="s">
        <v>58</v>
      </c>
      <c r="N178" s="1">
        <v>0</v>
      </c>
      <c r="O178" s="1" t="s">
        <v>105</v>
      </c>
      <c r="P178" s="11" t="s">
        <v>458</v>
      </c>
      <c r="R178" s="1" t="s">
        <v>38</v>
      </c>
      <c r="T178" s="1" t="s">
        <v>157</v>
      </c>
      <c r="U178" s="11" t="s">
        <v>459</v>
      </c>
      <c r="V178" s="1" t="s">
        <v>41</v>
      </c>
      <c r="W178" s="1" t="s">
        <v>49</v>
      </c>
      <c r="X178" s="13" t="str">
        <f t="shared" si="19"/>
        <v/>
      </c>
      <c r="Y178" s="2">
        <f t="shared" ca="1" si="14"/>
        <v>370</v>
      </c>
      <c r="Z178" s="14">
        <v>1</v>
      </c>
      <c r="AA178" s="1" t="str">
        <f t="shared" ca="1" si="15"/>
        <v>VENCIDO</v>
      </c>
      <c r="AB178" s="1" t="str">
        <f t="shared" si="16"/>
        <v>C-14</v>
      </c>
      <c r="AC178" s="2" t="str">
        <f t="shared" si="20"/>
        <v xml:space="preserve"> CLEITON </v>
      </c>
      <c r="AD178" s="2">
        <f t="shared" si="17"/>
        <v>5</v>
      </c>
      <c r="AE178" s="2">
        <f t="shared" ca="1" si="18"/>
        <v>-477.9262716435187</v>
      </c>
      <c r="AF178" s="15"/>
    </row>
    <row r="179" spans="1:32" hidden="1">
      <c r="A179" s="1">
        <v>7973150</v>
      </c>
      <c r="B179" s="1" t="s">
        <v>62</v>
      </c>
      <c r="C179" t="s">
        <v>3574</v>
      </c>
      <c r="E179" s="2">
        <v>1836000203000</v>
      </c>
      <c r="F179" s="1" t="s">
        <v>454</v>
      </c>
      <c r="G179" s="1" t="s">
        <v>53</v>
      </c>
      <c r="H179" s="1" t="s">
        <v>455</v>
      </c>
      <c r="I179" s="1" t="s">
        <v>456</v>
      </c>
      <c r="J179" s="1" t="s">
        <v>46</v>
      </c>
      <c r="K179" t="s">
        <v>457</v>
      </c>
      <c r="M179" s="1" t="s">
        <v>58</v>
      </c>
      <c r="N179" s="1">
        <v>0</v>
      </c>
      <c r="O179" s="1" t="s">
        <v>105</v>
      </c>
      <c r="P179" s="11" t="s">
        <v>460</v>
      </c>
      <c r="R179" s="1" t="s">
        <v>38</v>
      </c>
      <c r="T179" s="1" t="s">
        <v>157</v>
      </c>
      <c r="U179" s="186">
        <v>44508.75</v>
      </c>
      <c r="V179" s="1" t="s">
        <v>41</v>
      </c>
      <c r="W179" s="1" t="s">
        <v>49</v>
      </c>
      <c r="X179" s="13" t="str">
        <f t="shared" si="19"/>
        <v/>
      </c>
      <c r="Y179" s="2">
        <f t="shared" ca="1" si="14"/>
        <v>370</v>
      </c>
      <c r="Z179" s="14">
        <v>1</v>
      </c>
      <c r="AA179" s="1" t="str">
        <f t="shared" ca="1" si="15"/>
        <v>VENCIDO</v>
      </c>
      <c r="AB179" s="1" t="str">
        <f t="shared" si="16"/>
        <v>C-14</v>
      </c>
      <c r="AC179" s="2" t="str">
        <f t="shared" si="20"/>
        <v xml:space="preserve"> CLEITON </v>
      </c>
      <c r="AD179" s="2">
        <f t="shared" si="17"/>
        <v>5</v>
      </c>
      <c r="AE179" s="2">
        <f t="shared" ca="1" si="18"/>
        <v>-477.9262716435187</v>
      </c>
      <c r="AF179" s="15"/>
    </row>
    <row r="180" spans="1:32" hidden="1">
      <c r="A180" s="1">
        <v>7973149</v>
      </c>
      <c r="B180" s="1" t="s">
        <v>62</v>
      </c>
      <c r="C180" t="s">
        <v>3574</v>
      </c>
      <c r="E180" s="2">
        <v>1836000203000</v>
      </c>
      <c r="F180" s="1" t="s">
        <v>454</v>
      </c>
      <c r="G180" s="1" t="s">
        <v>53</v>
      </c>
      <c r="H180" s="1" t="s">
        <v>455</v>
      </c>
      <c r="I180" s="1" t="s">
        <v>456</v>
      </c>
      <c r="J180" s="1" t="s">
        <v>46</v>
      </c>
      <c r="K180" t="s">
        <v>457</v>
      </c>
      <c r="M180" s="1" t="s">
        <v>58</v>
      </c>
      <c r="N180" s="1">
        <v>0</v>
      </c>
      <c r="O180" s="1" t="s">
        <v>105</v>
      </c>
      <c r="P180" s="11" t="s">
        <v>460</v>
      </c>
      <c r="R180" s="1" t="s">
        <v>38</v>
      </c>
      <c r="T180" s="1" t="s">
        <v>157</v>
      </c>
      <c r="U180" s="186">
        <v>44508.75</v>
      </c>
      <c r="V180" s="1" t="s">
        <v>41</v>
      </c>
      <c r="W180" s="1" t="s">
        <v>49</v>
      </c>
      <c r="X180" s="13" t="str">
        <f t="shared" si="19"/>
        <v/>
      </c>
      <c r="Y180" s="2">
        <f t="shared" ca="1" si="14"/>
        <v>370</v>
      </c>
      <c r="Z180" s="14">
        <v>1</v>
      </c>
      <c r="AA180" s="1" t="str">
        <f t="shared" ca="1" si="15"/>
        <v>VENCIDO</v>
      </c>
      <c r="AB180" s="1" t="str">
        <f t="shared" si="16"/>
        <v>C-14</v>
      </c>
      <c r="AC180" s="2" t="str">
        <f t="shared" si="20"/>
        <v xml:space="preserve"> CLEITON </v>
      </c>
      <c r="AD180" s="2">
        <f t="shared" si="17"/>
        <v>5</v>
      </c>
      <c r="AE180" s="2">
        <f t="shared" ca="1" si="18"/>
        <v>-477.9262716435187</v>
      </c>
      <c r="AF180" s="15"/>
    </row>
    <row r="181" spans="1:32" hidden="1">
      <c r="A181" s="1">
        <v>7973089</v>
      </c>
      <c r="B181" s="1" t="s">
        <v>62</v>
      </c>
      <c r="C181" t="s">
        <v>3574</v>
      </c>
      <c r="E181" s="2">
        <v>3242000203000</v>
      </c>
      <c r="F181" s="1" t="s">
        <v>454</v>
      </c>
      <c r="G181" s="1" t="s">
        <v>53</v>
      </c>
      <c r="H181" s="1" t="s">
        <v>461</v>
      </c>
      <c r="I181" s="1" t="s">
        <v>462</v>
      </c>
      <c r="J181" s="1" t="s">
        <v>46</v>
      </c>
      <c r="K181" t="s">
        <v>457</v>
      </c>
      <c r="M181" s="1" t="s">
        <v>58</v>
      </c>
      <c r="N181" s="1">
        <v>0</v>
      </c>
      <c r="O181" s="1" t="s">
        <v>105</v>
      </c>
      <c r="P181" s="11" t="s">
        <v>463</v>
      </c>
      <c r="R181" s="1" t="s">
        <v>38</v>
      </c>
      <c r="T181" s="1" t="s">
        <v>157</v>
      </c>
      <c r="U181" s="186">
        <v>44508.75</v>
      </c>
      <c r="V181" s="1" t="s">
        <v>41</v>
      </c>
      <c r="W181" s="1" t="s">
        <v>49</v>
      </c>
      <c r="X181" s="13" t="str">
        <f t="shared" si="19"/>
        <v/>
      </c>
      <c r="Y181" s="2">
        <f t="shared" ca="1" si="14"/>
        <v>370</v>
      </c>
      <c r="Z181" s="14">
        <v>1</v>
      </c>
      <c r="AA181" s="1" t="str">
        <f t="shared" ca="1" si="15"/>
        <v>VENCIDO</v>
      </c>
      <c r="AB181" s="1" t="str">
        <f t="shared" si="16"/>
        <v>C-14</v>
      </c>
      <c r="AC181" s="2" t="str">
        <f t="shared" si="20"/>
        <v xml:space="preserve"> CLEITON </v>
      </c>
      <c r="AD181" s="2">
        <f t="shared" si="17"/>
        <v>5</v>
      </c>
      <c r="AE181" s="2">
        <f t="shared" ca="1" si="18"/>
        <v>-477.9262716435187</v>
      </c>
      <c r="AF181" s="15"/>
    </row>
    <row r="182" spans="1:32" hidden="1">
      <c r="A182" s="1">
        <v>7973088</v>
      </c>
      <c r="B182" s="1" t="s">
        <v>62</v>
      </c>
      <c r="C182" t="s">
        <v>3574</v>
      </c>
      <c r="E182" s="2">
        <v>3242000203000</v>
      </c>
      <c r="F182" s="1" t="s">
        <v>454</v>
      </c>
      <c r="G182" s="1" t="s">
        <v>53</v>
      </c>
      <c r="H182" s="1" t="s">
        <v>461</v>
      </c>
      <c r="I182" s="1" t="s">
        <v>462</v>
      </c>
      <c r="J182" s="1" t="s">
        <v>46</v>
      </c>
      <c r="K182" t="s">
        <v>457</v>
      </c>
      <c r="M182" s="1" t="s">
        <v>58</v>
      </c>
      <c r="N182" s="1">
        <v>0</v>
      </c>
      <c r="O182" s="1" t="s">
        <v>105</v>
      </c>
      <c r="P182" s="11" t="s">
        <v>463</v>
      </c>
      <c r="R182" s="1" t="s">
        <v>38</v>
      </c>
      <c r="T182" s="1" t="s">
        <v>157</v>
      </c>
      <c r="U182" s="186">
        <v>44508.75</v>
      </c>
      <c r="V182" s="1" t="s">
        <v>41</v>
      </c>
      <c r="W182" s="1" t="s">
        <v>49</v>
      </c>
      <c r="X182" s="13" t="str">
        <f t="shared" si="19"/>
        <v/>
      </c>
      <c r="Y182" s="2">
        <f t="shared" ca="1" si="14"/>
        <v>370</v>
      </c>
      <c r="Z182" s="14">
        <v>1</v>
      </c>
      <c r="AA182" s="1" t="str">
        <f t="shared" ca="1" si="15"/>
        <v>VENCIDO</v>
      </c>
      <c r="AB182" s="1" t="str">
        <f t="shared" si="16"/>
        <v>C-14</v>
      </c>
      <c r="AC182" s="2" t="str">
        <f t="shared" si="20"/>
        <v xml:space="preserve"> CLEITON </v>
      </c>
      <c r="AD182" s="2">
        <f t="shared" si="17"/>
        <v>5</v>
      </c>
      <c r="AE182" s="2">
        <f t="shared" ca="1" si="18"/>
        <v>-477.9262716435187</v>
      </c>
      <c r="AF182" s="15"/>
    </row>
    <row r="183" spans="1:32" hidden="1">
      <c r="A183" s="1">
        <v>7973087</v>
      </c>
      <c r="B183" s="1" t="s">
        <v>62</v>
      </c>
      <c r="C183" t="s">
        <v>3574</v>
      </c>
      <c r="E183" s="2">
        <v>3242000203000</v>
      </c>
      <c r="F183" s="1" t="s">
        <v>454</v>
      </c>
      <c r="G183" s="1" t="s">
        <v>53</v>
      </c>
      <c r="H183" s="1" t="s">
        <v>461</v>
      </c>
      <c r="I183" s="1" t="s">
        <v>462</v>
      </c>
      <c r="J183" s="1" t="s">
        <v>46</v>
      </c>
      <c r="K183" t="s">
        <v>457</v>
      </c>
      <c r="M183" s="1" t="s">
        <v>58</v>
      </c>
      <c r="N183" s="1">
        <v>0</v>
      </c>
      <c r="O183" s="1" t="s">
        <v>105</v>
      </c>
      <c r="P183" s="11" t="s">
        <v>464</v>
      </c>
      <c r="R183" s="1" t="s">
        <v>38</v>
      </c>
      <c r="T183" s="1" t="s">
        <v>157</v>
      </c>
      <c r="U183" s="186">
        <v>44508.75</v>
      </c>
      <c r="V183" s="1" t="s">
        <v>41</v>
      </c>
      <c r="W183" s="1" t="s">
        <v>49</v>
      </c>
      <c r="X183" s="13" t="str">
        <f t="shared" si="19"/>
        <v/>
      </c>
      <c r="Y183" s="2">
        <f t="shared" ca="1" si="14"/>
        <v>370</v>
      </c>
      <c r="Z183" s="14">
        <v>1</v>
      </c>
      <c r="AA183" s="1" t="str">
        <f t="shared" ca="1" si="15"/>
        <v>VENCIDO</v>
      </c>
      <c r="AB183" s="1" t="str">
        <f t="shared" si="16"/>
        <v>C-14</v>
      </c>
      <c r="AC183" s="2" t="str">
        <f t="shared" si="20"/>
        <v xml:space="preserve"> CLEITON </v>
      </c>
      <c r="AD183" s="2">
        <f t="shared" si="17"/>
        <v>5</v>
      </c>
      <c r="AE183" s="2">
        <f t="shared" ca="1" si="18"/>
        <v>-477.9262716435187</v>
      </c>
      <c r="AF183" s="15"/>
    </row>
    <row r="184" spans="1:32" hidden="1">
      <c r="A184" s="1">
        <v>7973086</v>
      </c>
      <c r="B184" s="1" t="s">
        <v>62</v>
      </c>
      <c r="C184" t="s">
        <v>3574</v>
      </c>
      <c r="E184" s="2">
        <v>3242000203000</v>
      </c>
      <c r="F184" s="1" t="s">
        <v>454</v>
      </c>
      <c r="G184" s="1" t="s">
        <v>53</v>
      </c>
      <c r="H184" s="1" t="s">
        <v>461</v>
      </c>
      <c r="I184" s="1" t="s">
        <v>462</v>
      </c>
      <c r="J184" s="1" t="s">
        <v>46</v>
      </c>
      <c r="K184" t="s">
        <v>457</v>
      </c>
      <c r="M184" s="1" t="s">
        <v>58</v>
      </c>
      <c r="N184" s="1">
        <v>0</v>
      </c>
      <c r="O184" s="1" t="s">
        <v>105</v>
      </c>
      <c r="P184" s="11" t="s">
        <v>464</v>
      </c>
      <c r="R184" s="1" t="s">
        <v>38</v>
      </c>
      <c r="T184" s="1" t="s">
        <v>157</v>
      </c>
      <c r="U184" s="11" t="s">
        <v>459</v>
      </c>
      <c r="V184" s="1" t="s">
        <v>41</v>
      </c>
      <c r="W184" s="1" t="s">
        <v>49</v>
      </c>
      <c r="X184" s="13" t="str">
        <f t="shared" si="19"/>
        <v/>
      </c>
      <c r="Y184" s="2">
        <f t="shared" ca="1" si="14"/>
        <v>370</v>
      </c>
      <c r="Z184" s="14">
        <v>1</v>
      </c>
      <c r="AA184" s="1" t="str">
        <f t="shared" ca="1" si="15"/>
        <v>VENCIDO</v>
      </c>
      <c r="AB184" s="1" t="str">
        <f t="shared" si="16"/>
        <v>C-14</v>
      </c>
      <c r="AC184" s="2" t="str">
        <f t="shared" si="20"/>
        <v xml:space="preserve"> CLEITON </v>
      </c>
      <c r="AD184" s="2">
        <f t="shared" si="17"/>
        <v>5</v>
      </c>
      <c r="AE184" s="2">
        <f t="shared" ca="1" si="18"/>
        <v>-477.9262716435187</v>
      </c>
      <c r="AF184" s="15"/>
    </row>
    <row r="185" spans="1:32" hidden="1">
      <c r="A185" s="1">
        <v>7973085</v>
      </c>
      <c r="B185" s="1" t="s">
        <v>62</v>
      </c>
      <c r="C185" t="s">
        <v>3574</v>
      </c>
      <c r="E185" s="2">
        <v>3242000203000</v>
      </c>
      <c r="F185" s="1" t="s">
        <v>454</v>
      </c>
      <c r="G185" s="1" t="s">
        <v>53</v>
      </c>
      <c r="H185" s="1" t="s">
        <v>461</v>
      </c>
      <c r="I185" s="1" t="s">
        <v>462</v>
      </c>
      <c r="J185" s="1" t="s">
        <v>46</v>
      </c>
      <c r="K185" t="s">
        <v>457</v>
      </c>
      <c r="M185" s="1" t="s">
        <v>58</v>
      </c>
      <c r="N185" s="1">
        <v>0</v>
      </c>
      <c r="O185" s="1" t="s">
        <v>105</v>
      </c>
      <c r="P185" s="11" t="s">
        <v>464</v>
      </c>
      <c r="R185" s="1" t="s">
        <v>38</v>
      </c>
      <c r="T185" s="1" t="s">
        <v>157</v>
      </c>
      <c r="U185" s="11" t="s">
        <v>459</v>
      </c>
      <c r="V185" s="1" t="s">
        <v>41</v>
      </c>
      <c r="W185" s="1" t="s">
        <v>49</v>
      </c>
      <c r="X185" s="13" t="str">
        <f t="shared" si="19"/>
        <v/>
      </c>
      <c r="Y185" s="2">
        <f t="shared" ca="1" si="14"/>
        <v>370</v>
      </c>
      <c r="Z185" s="14">
        <v>1</v>
      </c>
      <c r="AA185" s="1" t="str">
        <f t="shared" ca="1" si="15"/>
        <v>VENCIDO</v>
      </c>
      <c r="AB185" s="1" t="str">
        <f t="shared" si="16"/>
        <v>C-14</v>
      </c>
      <c r="AC185" s="2" t="str">
        <f t="shared" si="20"/>
        <v xml:space="preserve"> CLEITON </v>
      </c>
      <c r="AD185" s="2">
        <f t="shared" si="17"/>
        <v>5</v>
      </c>
      <c r="AE185" s="2">
        <f t="shared" ca="1" si="18"/>
        <v>-477.9262716435187</v>
      </c>
      <c r="AF185" s="15"/>
    </row>
    <row r="186" spans="1:32" hidden="1">
      <c r="A186" s="1">
        <v>7970313</v>
      </c>
      <c r="B186" s="1" t="s">
        <v>62</v>
      </c>
      <c r="C186" t="s">
        <v>3574</v>
      </c>
      <c r="E186" s="2">
        <v>1833000203000</v>
      </c>
      <c r="F186" s="1" t="s">
        <v>454</v>
      </c>
      <c r="G186" s="1" t="s">
        <v>53</v>
      </c>
      <c r="H186" s="1" t="s">
        <v>369</v>
      </c>
      <c r="I186" s="1" t="s">
        <v>370</v>
      </c>
      <c r="J186" s="1" t="s">
        <v>46</v>
      </c>
      <c r="K186" t="s">
        <v>457</v>
      </c>
      <c r="M186" s="1" t="s">
        <v>58</v>
      </c>
      <c r="N186" s="1">
        <v>0</v>
      </c>
      <c r="O186" s="1" t="s">
        <v>105</v>
      </c>
      <c r="P186" s="11" t="s">
        <v>465</v>
      </c>
      <c r="R186" s="1" t="s">
        <v>38</v>
      </c>
      <c r="T186" s="1" t="s">
        <v>157</v>
      </c>
      <c r="U186" s="11" t="s">
        <v>459</v>
      </c>
      <c r="V186" s="1" t="s">
        <v>41</v>
      </c>
      <c r="W186" s="1" t="s">
        <v>49</v>
      </c>
      <c r="X186" s="13" t="str">
        <f t="shared" si="19"/>
        <v/>
      </c>
      <c r="Y186" s="2">
        <f t="shared" ca="1" si="14"/>
        <v>370</v>
      </c>
      <c r="Z186" s="14">
        <v>1</v>
      </c>
      <c r="AA186" s="1" t="str">
        <f t="shared" ca="1" si="15"/>
        <v>VENCIDO</v>
      </c>
      <c r="AB186" s="1" t="str">
        <f t="shared" si="16"/>
        <v>C-14</v>
      </c>
      <c r="AC186" s="2" t="str">
        <f t="shared" si="20"/>
        <v xml:space="preserve"> CLEITON </v>
      </c>
      <c r="AD186" s="2">
        <f t="shared" si="17"/>
        <v>5</v>
      </c>
      <c r="AE186" s="2">
        <f t="shared" ca="1" si="18"/>
        <v>-477.9262716435187</v>
      </c>
      <c r="AF186" s="15"/>
    </row>
    <row r="187" spans="1:32" hidden="1">
      <c r="A187" s="1">
        <v>7970312</v>
      </c>
      <c r="B187" s="1" t="s">
        <v>62</v>
      </c>
      <c r="C187" t="s">
        <v>3574</v>
      </c>
      <c r="E187" s="2">
        <v>1833000203000</v>
      </c>
      <c r="F187" s="1" t="s">
        <v>454</v>
      </c>
      <c r="G187" s="1" t="s">
        <v>53</v>
      </c>
      <c r="H187" s="1" t="s">
        <v>369</v>
      </c>
      <c r="I187" s="1" t="s">
        <v>370</v>
      </c>
      <c r="J187" s="1" t="s">
        <v>46</v>
      </c>
      <c r="K187" t="s">
        <v>457</v>
      </c>
      <c r="M187" s="1" t="s">
        <v>58</v>
      </c>
      <c r="N187" s="1">
        <v>0</v>
      </c>
      <c r="O187" s="1" t="s">
        <v>105</v>
      </c>
      <c r="P187" s="11" t="s">
        <v>465</v>
      </c>
      <c r="R187" s="1" t="s">
        <v>38</v>
      </c>
      <c r="T187" s="1" t="s">
        <v>157</v>
      </c>
      <c r="U187" s="11" t="s">
        <v>459</v>
      </c>
      <c r="V187" s="1" t="s">
        <v>41</v>
      </c>
      <c r="W187" s="1" t="s">
        <v>49</v>
      </c>
      <c r="X187" s="13" t="str">
        <f t="shared" si="19"/>
        <v/>
      </c>
      <c r="Y187" s="2">
        <f t="shared" ca="1" si="14"/>
        <v>370</v>
      </c>
      <c r="Z187" s="14">
        <v>1</v>
      </c>
      <c r="AA187" s="1" t="str">
        <f t="shared" ca="1" si="15"/>
        <v>VENCIDO</v>
      </c>
      <c r="AB187" s="1" t="str">
        <f t="shared" si="16"/>
        <v>C-14</v>
      </c>
      <c r="AC187" s="2" t="str">
        <f t="shared" si="20"/>
        <v xml:space="preserve"> CLEITON </v>
      </c>
      <c r="AD187" s="2">
        <f t="shared" si="17"/>
        <v>5</v>
      </c>
      <c r="AE187" s="2">
        <f t="shared" ca="1" si="18"/>
        <v>-477.9262716435187</v>
      </c>
      <c r="AF187" s="15"/>
    </row>
    <row r="188" spans="1:32" hidden="1">
      <c r="A188" s="1">
        <v>7970311</v>
      </c>
      <c r="B188" s="1" t="s">
        <v>62</v>
      </c>
      <c r="C188" t="s">
        <v>3574</v>
      </c>
      <c r="E188" s="2">
        <v>1833000203000</v>
      </c>
      <c r="F188" s="1" t="s">
        <v>454</v>
      </c>
      <c r="G188" s="1" t="s">
        <v>53</v>
      </c>
      <c r="H188" s="1" t="s">
        <v>369</v>
      </c>
      <c r="I188" s="1" t="s">
        <v>370</v>
      </c>
      <c r="J188" s="1" t="s">
        <v>46</v>
      </c>
      <c r="K188" t="s">
        <v>457</v>
      </c>
      <c r="M188" s="1" t="s">
        <v>58</v>
      </c>
      <c r="N188" s="1">
        <v>0</v>
      </c>
      <c r="O188" s="1" t="s">
        <v>105</v>
      </c>
      <c r="P188" s="11" t="s">
        <v>465</v>
      </c>
      <c r="R188" s="1" t="s">
        <v>38</v>
      </c>
      <c r="T188" s="1" t="s">
        <v>157</v>
      </c>
      <c r="U188" s="186">
        <v>44508.75</v>
      </c>
      <c r="V188" s="1" t="s">
        <v>41</v>
      </c>
      <c r="W188" s="1" t="s">
        <v>49</v>
      </c>
      <c r="X188" s="13" t="str">
        <f t="shared" si="19"/>
        <v/>
      </c>
      <c r="Y188" s="2">
        <f t="shared" ca="1" si="14"/>
        <v>370</v>
      </c>
      <c r="Z188" s="14">
        <v>1</v>
      </c>
      <c r="AA188" s="1" t="str">
        <f t="shared" ca="1" si="15"/>
        <v>VENCIDO</v>
      </c>
      <c r="AB188" s="1" t="str">
        <f t="shared" si="16"/>
        <v>C-14</v>
      </c>
      <c r="AC188" s="2" t="str">
        <f t="shared" si="20"/>
        <v xml:space="preserve"> CLEITON </v>
      </c>
      <c r="AD188" s="2">
        <f t="shared" si="17"/>
        <v>5</v>
      </c>
      <c r="AE188" s="2">
        <f t="shared" ca="1" si="18"/>
        <v>-477.9262716435187</v>
      </c>
      <c r="AF188" s="15"/>
    </row>
    <row r="189" spans="1:32" hidden="1">
      <c r="A189" s="1">
        <v>7970310</v>
      </c>
      <c r="B189" s="1" t="s">
        <v>62</v>
      </c>
      <c r="C189" t="s">
        <v>3574</v>
      </c>
      <c r="E189" s="2">
        <v>1833000203000</v>
      </c>
      <c r="F189" s="1" t="s">
        <v>454</v>
      </c>
      <c r="G189" s="1" t="s">
        <v>53</v>
      </c>
      <c r="H189" s="1" t="s">
        <v>369</v>
      </c>
      <c r="I189" s="1" t="s">
        <v>370</v>
      </c>
      <c r="J189" s="1" t="s">
        <v>46</v>
      </c>
      <c r="K189" t="s">
        <v>457</v>
      </c>
      <c r="M189" s="1" t="s">
        <v>58</v>
      </c>
      <c r="N189" s="1">
        <v>0</v>
      </c>
      <c r="O189" s="1" t="s">
        <v>105</v>
      </c>
      <c r="P189" s="11" t="s">
        <v>465</v>
      </c>
      <c r="R189" s="1" t="s">
        <v>38</v>
      </c>
      <c r="T189" s="1" t="s">
        <v>157</v>
      </c>
      <c r="U189" s="11" t="s">
        <v>459</v>
      </c>
      <c r="V189" s="1" t="s">
        <v>41</v>
      </c>
      <c r="W189" s="1" t="s">
        <v>49</v>
      </c>
      <c r="X189" s="13" t="str">
        <f t="shared" si="19"/>
        <v/>
      </c>
      <c r="Y189" s="2">
        <f t="shared" ca="1" si="14"/>
        <v>370</v>
      </c>
      <c r="Z189" s="14">
        <v>1</v>
      </c>
      <c r="AA189" s="1" t="str">
        <f t="shared" ca="1" si="15"/>
        <v>VENCIDO</v>
      </c>
      <c r="AB189" s="1" t="str">
        <f t="shared" si="16"/>
        <v>C-14</v>
      </c>
      <c r="AC189" s="2" t="str">
        <f t="shared" si="20"/>
        <v xml:space="preserve"> CLEITON </v>
      </c>
      <c r="AD189" s="2">
        <f t="shared" si="17"/>
        <v>5</v>
      </c>
      <c r="AE189" s="2">
        <f t="shared" ca="1" si="18"/>
        <v>-477.9262716435187</v>
      </c>
      <c r="AF189" s="15"/>
    </row>
    <row r="190" spans="1:32" hidden="1">
      <c r="A190" s="1">
        <v>7970309</v>
      </c>
      <c r="B190" s="1" t="s">
        <v>62</v>
      </c>
      <c r="C190" t="s">
        <v>3574</v>
      </c>
      <c r="E190" s="2">
        <v>1833000203000</v>
      </c>
      <c r="F190" s="1" t="s">
        <v>454</v>
      </c>
      <c r="G190" s="1" t="s">
        <v>53</v>
      </c>
      <c r="H190" s="1" t="s">
        <v>369</v>
      </c>
      <c r="I190" s="1" t="s">
        <v>370</v>
      </c>
      <c r="J190" s="1" t="s">
        <v>46</v>
      </c>
      <c r="K190" t="s">
        <v>457</v>
      </c>
      <c r="M190" s="1" t="s">
        <v>58</v>
      </c>
      <c r="N190" s="1">
        <v>0</v>
      </c>
      <c r="O190" s="1" t="s">
        <v>105</v>
      </c>
      <c r="P190" s="11" t="s">
        <v>466</v>
      </c>
      <c r="R190" s="1" t="s">
        <v>38</v>
      </c>
      <c r="T190" s="1" t="s">
        <v>157</v>
      </c>
      <c r="U190" s="11" t="s">
        <v>459</v>
      </c>
      <c r="V190" s="1" t="s">
        <v>41</v>
      </c>
      <c r="W190" s="1" t="s">
        <v>49</v>
      </c>
      <c r="X190" s="13" t="str">
        <f t="shared" si="19"/>
        <v/>
      </c>
      <c r="Y190" s="2">
        <f t="shared" ca="1" si="14"/>
        <v>370</v>
      </c>
      <c r="Z190" s="14">
        <v>1</v>
      </c>
      <c r="AA190" s="1" t="str">
        <f t="shared" ca="1" si="15"/>
        <v>VENCIDO</v>
      </c>
      <c r="AB190" s="1" t="str">
        <f t="shared" si="16"/>
        <v>C-14</v>
      </c>
      <c r="AC190" s="2" t="str">
        <f t="shared" si="20"/>
        <v xml:space="preserve"> CLEITON </v>
      </c>
      <c r="AD190" s="2">
        <f t="shared" si="17"/>
        <v>5</v>
      </c>
      <c r="AE190" s="2">
        <f t="shared" ca="1" si="18"/>
        <v>-477.9262716435187</v>
      </c>
      <c r="AF190" s="15"/>
    </row>
    <row r="191" spans="1:32" hidden="1">
      <c r="A191" s="1">
        <v>7970308</v>
      </c>
      <c r="B191" s="1" t="s">
        <v>62</v>
      </c>
      <c r="C191" t="s">
        <v>3574</v>
      </c>
      <c r="E191" s="2">
        <v>1833000203000</v>
      </c>
      <c r="F191" s="1" t="s">
        <v>454</v>
      </c>
      <c r="G191" s="1" t="s">
        <v>53</v>
      </c>
      <c r="H191" s="1" t="s">
        <v>369</v>
      </c>
      <c r="I191" s="1" t="s">
        <v>370</v>
      </c>
      <c r="J191" s="1" t="s">
        <v>46</v>
      </c>
      <c r="K191" t="s">
        <v>457</v>
      </c>
      <c r="M191" s="1" t="s">
        <v>58</v>
      </c>
      <c r="N191" s="1">
        <v>0</v>
      </c>
      <c r="O191" s="1" t="s">
        <v>105</v>
      </c>
      <c r="P191" s="11" t="s">
        <v>466</v>
      </c>
      <c r="R191" s="1" t="s">
        <v>38</v>
      </c>
      <c r="T191" s="1" t="s">
        <v>157</v>
      </c>
      <c r="U191" s="11" t="s">
        <v>459</v>
      </c>
      <c r="V191" s="1" t="s">
        <v>41</v>
      </c>
      <c r="W191" s="1" t="s">
        <v>49</v>
      </c>
      <c r="X191" s="13" t="str">
        <f t="shared" si="19"/>
        <v/>
      </c>
      <c r="Y191" s="2">
        <f t="shared" ca="1" si="14"/>
        <v>370</v>
      </c>
      <c r="Z191" s="14">
        <v>1</v>
      </c>
      <c r="AA191" s="1" t="str">
        <f t="shared" ca="1" si="15"/>
        <v>VENCIDO</v>
      </c>
      <c r="AB191" s="1" t="str">
        <f t="shared" si="16"/>
        <v>C-14</v>
      </c>
      <c r="AC191" s="2" t="str">
        <f t="shared" si="20"/>
        <v xml:space="preserve"> CLEITON </v>
      </c>
      <c r="AD191" s="2">
        <f t="shared" si="17"/>
        <v>5</v>
      </c>
      <c r="AE191" s="2">
        <f t="shared" ca="1" si="18"/>
        <v>-477.9262716435187</v>
      </c>
      <c r="AF191" s="15"/>
    </row>
    <row r="192" spans="1:32" hidden="1">
      <c r="A192" s="1">
        <v>7970307</v>
      </c>
      <c r="B192" s="1" t="s">
        <v>62</v>
      </c>
      <c r="C192" t="s">
        <v>3574</v>
      </c>
      <c r="E192" s="2">
        <v>1833000203000</v>
      </c>
      <c r="F192" s="1" t="s">
        <v>454</v>
      </c>
      <c r="G192" s="1" t="s">
        <v>53</v>
      </c>
      <c r="H192" s="1" t="s">
        <v>369</v>
      </c>
      <c r="I192" s="1" t="s">
        <v>370</v>
      </c>
      <c r="J192" s="1" t="s">
        <v>46</v>
      </c>
      <c r="K192" t="s">
        <v>457</v>
      </c>
      <c r="M192" s="1" t="s">
        <v>58</v>
      </c>
      <c r="N192" s="1">
        <v>0</v>
      </c>
      <c r="O192" s="1" t="s">
        <v>105</v>
      </c>
      <c r="P192" s="11" t="s">
        <v>466</v>
      </c>
      <c r="R192" s="1" t="s">
        <v>38</v>
      </c>
      <c r="T192" s="1" t="s">
        <v>157</v>
      </c>
      <c r="U192" s="11" t="s">
        <v>459</v>
      </c>
      <c r="V192" s="1" t="s">
        <v>41</v>
      </c>
      <c r="W192" s="1" t="s">
        <v>49</v>
      </c>
      <c r="X192" s="13" t="str">
        <f t="shared" si="19"/>
        <v/>
      </c>
      <c r="Y192" s="2">
        <f t="shared" ca="1" si="14"/>
        <v>370</v>
      </c>
      <c r="Z192" s="14">
        <v>1</v>
      </c>
      <c r="AA192" s="1" t="str">
        <f t="shared" ca="1" si="15"/>
        <v>VENCIDO</v>
      </c>
      <c r="AB192" s="1" t="str">
        <f t="shared" si="16"/>
        <v>C-14</v>
      </c>
      <c r="AC192" s="2" t="str">
        <f t="shared" si="20"/>
        <v xml:space="preserve"> CLEITON </v>
      </c>
      <c r="AD192" s="2">
        <f t="shared" si="17"/>
        <v>5</v>
      </c>
      <c r="AE192" s="2">
        <f t="shared" ca="1" si="18"/>
        <v>-477.9262716435187</v>
      </c>
      <c r="AF192" s="15"/>
    </row>
    <row r="193" spans="1:32" hidden="1">
      <c r="A193" s="1">
        <v>7970306</v>
      </c>
      <c r="B193" s="1" t="s">
        <v>62</v>
      </c>
      <c r="C193" t="s">
        <v>3574</v>
      </c>
      <c r="E193" s="2">
        <v>1833000203000</v>
      </c>
      <c r="F193" s="1" t="s">
        <v>454</v>
      </c>
      <c r="G193" s="1" t="s">
        <v>53</v>
      </c>
      <c r="H193" s="1" t="s">
        <v>369</v>
      </c>
      <c r="I193" s="1" t="s">
        <v>370</v>
      </c>
      <c r="J193" s="1" t="s">
        <v>46</v>
      </c>
      <c r="K193" t="s">
        <v>457</v>
      </c>
      <c r="M193" s="1" t="s">
        <v>58</v>
      </c>
      <c r="N193" s="1">
        <v>0</v>
      </c>
      <c r="O193" s="1" t="s">
        <v>105</v>
      </c>
      <c r="P193" s="11" t="s">
        <v>466</v>
      </c>
      <c r="R193" s="1" t="s">
        <v>38</v>
      </c>
      <c r="T193" s="1" t="s">
        <v>157</v>
      </c>
      <c r="U193" s="11" t="s">
        <v>459</v>
      </c>
      <c r="V193" s="1" t="s">
        <v>41</v>
      </c>
      <c r="W193" s="1" t="s">
        <v>49</v>
      </c>
      <c r="X193" s="13" t="str">
        <f t="shared" si="19"/>
        <v/>
      </c>
      <c r="Y193" s="2">
        <f t="shared" ca="1" si="14"/>
        <v>370</v>
      </c>
      <c r="Z193" s="14">
        <v>1</v>
      </c>
      <c r="AA193" s="1" t="str">
        <f t="shared" ca="1" si="15"/>
        <v>VENCIDO</v>
      </c>
      <c r="AB193" s="1" t="str">
        <f t="shared" si="16"/>
        <v>C-14</v>
      </c>
      <c r="AC193" s="2" t="str">
        <f t="shared" si="20"/>
        <v xml:space="preserve"> CLEITON </v>
      </c>
      <c r="AD193" s="2">
        <f t="shared" si="17"/>
        <v>5</v>
      </c>
      <c r="AE193" s="2">
        <f t="shared" ca="1" si="18"/>
        <v>-477.9262716435187</v>
      </c>
      <c r="AF193" s="15"/>
    </row>
    <row r="194" spans="1:32" hidden="1">
      <c r="A194" s="1">
        <v>7970305</v>
      </c>
      <c r="B194" s="1" t="s">
        <v>62</v>
      </c>
      <c r="C194" t="s">
        <v>3574</v>
      </c>
      <c r="E194" s="2">
        <v>1833000203000</v>
      </c>
      <c r="F194" s="1" t="s">
        <v>454</v>
      </c>
      <c r="G194" s="1" t="s">
        <v>53</v>
      </c>
      <c r="H194" s="1" t="s">
        <v>369</v>
      </c>
      <c r="I194" s="1" t="s">
        <v>370</v>
      </c>
      <c r="J194" s="1" t="s">
        <v>46</v>
      </c>
      <c r="K194" t="s">
        <v>457</v>
      </c>
      <c r="M194" s="1" t="s">
        <v>58</v>
      </c>
      <c r="N194" s="1">
        <v>0</v>
      </c>
      <c r="O194" s="1" t="s">
        <v>105</v>
      </c>
      <c r="P194" s="11" t="s">
        <v>466</v>
      </c>
      <c r="R194" s="1" t="s">
        <v>38</v>
      </c>
      <c r="T194" s="1" t="s">
        <v>157</v>
      </c>
      <c r="U194" s="186">
        <v>44508.75</v>
      </c>
      <c r="V194" s="1" t="s">
        <v>41</v>
      </c>
      <c r="W194" s="1" t="s">
        <v>49</v>
      </c>
      <c r="X194" s="13" t="str">
        <f t="shared" si="19"/>
        <v/>
      </c>
      <c r="Y194" s="2">
        <f t="shared" ref="Y194:Y257" ca="1" si="21">NETWORKDAYS(P194,$Y$1)</f>
        <v>370</v>
      </c>
      <c r="Z194" s="14">
        <v>1</v>
      </c>
      <c r="AA194" s="1" t="str">
        <f t="shared" ref="AA194:AA257" ca="1" si="22">IF(AE194=0,"HOJE",IF(AE194&gt;0,"A VENCER",IF(AE194&lt;0,"VENCIDO")))</f>
        <v>VENCIDO</v>
      </c>
      <c r="AB194" s="1" t="str">
        <f t="shared" ref="AB194:AB257" si="23">IF(F194="GRPE-000001","C-14",IF(F194="GRPE-000002","C-14",IF(F194="GRPE-000003","C-14",IF(F194="GRPE-000004","SL-On",IF(F194="GRPE-000038","C-14",IF(F194="GRPE-900022","Dosa",IF(F194="GRPE-000029","Dosa",IF(F194="ATOS-000222","Dose","TAAe+"))))))))</f>
        <v>C-14</v>
      </c>
      <c r="AC194" s="2" t="str">
        <f t="shared" si="20"/>
        <v xml:space="preserve"> CLEITON </v>
      </c>
      <c r="AD194" s="2">
        <f t="shared" ref="AD194:AD257" si="24">IF(F194="GRPE-000001",5,IF(F194="GRPE-000002",5,IF(F194="GRPE-000003",15,IF(F194="GRPE-000004",1,IF(F194="GRPE-000038",5,IF(F194="GRPE-900022",5,IF(F194="GRPE-000029",5,IF(F194="ATOS-000222",5,8))))))))</f>
        <v>5</v>
      </c>
      <c r="AE194" s="2">
        <f t="shared" ref="AE194:AE257" ca="1" si="25">IF(U194=$AE$1,"",U194-$AE$1)</f>
        <v>-477.9262716435187</v>
      </c>
      <c r="AF194" s="15"/>
    </row>
    <row r="195" spans="1:32" hidden="1">
      <c r="A195" s="1">
        <v>7970304</v>
      </c>
      <c r="B195" s="1" t="s">
        <v>62</v>
      </c>
      <c r="C195" t="s">
        <v>3574</v>
      </c>
      <c r="E195" s="2">
        <v>1833000203000</v>
      </c>
      <c r="F195" s="1" t="s">
        <v>454</v>
      </c>
      <c r="G195" s="1" t="s">
        <v>53</v>
      </c>
      <c r="H195" s="1" t="s">
        <v>369</v>
      </c>
      <c r="I195" s="1" t="s">
        <v>370</v>
      </c>
      <c r="J195" s="1" t="s">
        <v>46</v>
      </c>
      <c r="K195" t="s">
        <v>457</v>
      </c>
      <c r="M195" s="1" t="s">
        <v>58</v>
      </c>
      <c r="N195" s="1">
        <v>0</v>
      </c>
      <c r="O195" s="1" t="s">
        <v>105</v>
      </c>
      <c r="P195" s="11" t="s">
        <v>466</v>
      </c>
      <c r="R195" s="1" t="s">
        <v>38</v>
      </c>
      <c r="T195" s="1" t="s">
        <v>157</v>
      </c>
      <c r="U195" s="186">
        <v>44508.75</v>
      </c>
      <c r="V195" s="1" t="s">
        <v>41</v>
      </c>
      <c r="W195" s="1" t="s">
        <v>49</v>
      </c>
      <c r="X195" s="13" t="str">
        <f t="shared" ref="X195:X258" si="26">IF(RIGHT(H195,2)&lt;&gt;"00",H195,"")</f>
        <v/>
      </c>
      <c r="Y195" s="2">
        <f t="shared" ca="1" si="21"/>
        <v>370</v>
      </c>
      <c r="Z195" s="14">
        <v>1</v>
      </c>
      <c r="AA195" s="1" t="str">
        <f t="shared" ca="1" si="22"/>
        <v>VENCIDO</v>
      </c>
      <c r="AB195" s="1" t="str">
        <f t="shared" si="23"/>
        <v>C-14</v>
      </c>
      <c r="AC195" s="2" t="str">
        <f t="shared" ref="AC195:AC258" si="27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 xml:space="preserve"> CLEITON </v>
      </c>
      <c r="AD195" s="2">
        <f t="shared" si="24"/>
        <v>5</v>
      </c>
      <c r="AE195" s="2">
        <f t="shared" ca="1" si="25"/>
        <v>-477.9262716435187</v>
      </c>
      <c r="AF195" s="15"/>
    </row>
    <row r="196" spans="1:32" hidden="1">
      <c r="A196" s="1">
        <v>7970303</v>
      </c>
      <c r="B196" s="1" t="s">
        <v>62</v>
      </c>
      <c r="C196" t="s">
        <v>3574</v>
      </c>
      <c r="E196" s="2">
        <v>1833000203000</v>
      </c>
      <c r="F196" s="1" t="s">
        <v>454</v>
      </c>
      <c r="G196" s="1" t="s">
        <v>53</v>
      </c>
      <c r="H196" s="1" t="s">
        <v>369</v>
      </c>
      <c r="I196" s="1" t="s">
        <v>370</v>
      </c>
      <c r="J196" s="1" t="s">
        <v>46</v>
      </c>
      <c r="K196" t="s">
        <v>457</v>
      </c>
      <c r="M196" s="1" t="s">
        <v>58</v>
      </c>
      <c r="N196" s="1">
        <v>0</v>
      </c>
      <c r="O196" s="1" t="s">
        <v>105</v>
      </c>
      <c r="P196" s="11" t="s">
        <v>466</v>
      </c>
      <c r="R196" s="1" t="s">
        <v>38</v>
      </c>
      <c r="T196" s="1" t="s">
        <v>157</v>
      </c>
      <c r="U196" s="186">
        <v>44508.75</v>
      </c>
      <c r="V196" s="1" t="s">
        <v>41</v>
      </c>
      <c r="W196" s="1" t="s">
        <v>49</v>
      </c>
      <c r="X196" s="13" t="str">
        <f t="shared" si="26"/>
        <v/>
      </c>
      <c r="Y196" s="2">
        <f t="shared" ca="1" si="21"/>
        <v>370</v>
      </c>
      <c r="Z196" s="14">
        <v>1</v>
      </c>
      <c r="AA196" s="1" t="str">
        <f t="shared" ca="1" si="22"/>
        <v>VENCIDO</v>
      </c>
      <c r="AB196" s="1" t="str">
        <f t="shared" si="23"/>
        <v>C-14</v>
      </c>
      <c r="AC196" s="2" t="str">
        <f t="shared" si="27"/>
        <v xml:space="preserve"> CLEITON </v>
      </c>
      <c r="AD196" s="2">
        <f t="shared" si="24"/>
        <v>5</v>
      </c>
      <c r="AE196" s="2">
        <f t="shared" ca="1" si="25"/>
        <v>-477.9262716435187</v>
      </c>
      <c r="AF196" s="15"/>
    </row>
    <row r="197" spans="1:32" hidden="1">
      <c r="A197" s="1">
        <v>7970302</v>
      </c>
      <c r="B197" s="1" t="s">
        <v>62</v>
      </c>
      <c r="C197" t="s">
        <v>3574</v>
      </c>
      <c r="E197" s="2">
        <v>1833000203000</v>
      </c>
      <c r="F197" s="1" t="s">
        <v>454</v>
      </c>
      <c r="G197" s="1" t="s">
        <v>53</v>
      </c>
      <c r="H197" s="1" t="s">
        <v>369</v>
      </c>
      <c r="I197" s="1" t="s">
        <v>370</v>
      </c>
      <c r="J197" s="1" t="s">
        <v>46</v>
      </c>
      <c r="K197" t="s">
        <v>457</v>
      </c>
      <c r="M197" s="1" t="s">
        <v>58</v>
      </c>
      <c r="N197" s="1">
        <v>0</v>
      </c>
      <c r="O197" s="1" t="s">
        <v>105</v>
      </c>
      <c r="P197" s="11" t="s">
        <v>466</v>
      </c>
      <c r="R197" s="1" t="s">
        <v>38</v>
      </c>
      <c r="T197" s="1" t="s">
        <v>157</v>
      </c>
      <c r="U197" s="186">
        <v>44508.75</v>
      </c>
      <c r="V197" s="1" t="s">
        <v>41</v>
      </c>
      <c r="W197" s="1" t="s">
        <v>49</v>
      </c>
      <c r="X197" s="13" t="str">
        <f t="shared" si="26"/>
        <v/>
      </c>
      <c r="Y197" s="2">
        <f t="shared" ca="1" si="21"/>
        <v>370</v>
      </c>
      <c r="Z197" s="14">
        <v>1</v>
      </c>
      <c r="AA197" s="1" t="str">
        <f t="shared" ca="1" si="22"/>
        <v>VENCIDO</v>
      </c>
      <c r="AB197" s="1" t="str">
        <f t="shared" si="23"/>
        <v>C-14</v>
      </c>
      <c r="AC197" s="2" t="str">
        <f t="shared" si="27"/>
        <v xml:space="preserve"> CLEITON </v>
      </c>
      <c r="AD197" s="2">
        <f t="shared" si="24"/>
        <v>5</v>
      </c>
      <c r="AE197" s="2">
        <f t="shared" ca="1" si="25"/>
        <v>-477.9262716435187</v>
      </c>
      <c r="AF197" s="15"/>
    </row>
    <row r="198" spans="1:32" hidden="1">
      <c r="A198" s="1">
        <v>7970301</v>
      </c>
      <c r="B198" s="1" t="s">
        <v>62</v>
      </c>
      <c r="C198" t="s">
        <v>3574</v>
      </c>
      <c r="E198" s="2">
        <v>1833000203000</v>
      </c>
      <c r="F198" s="1" t="s">
        <v>454</v>
      </c>
      <c r="G198" s="1" t="s">
        <v>53</v>
      </c>
      <c r="H198" s="1" t="s">
        <v>369</v>
      </c>
      <c r="I198" s="1" t="s">
        <v>370</v>
      </c>
      <c r="J198" s="1" t="s">
        <v>46</v>
      </c>
      <c r="K198" t="s">
        <v>457</v>
      </c>
      <c r="M198" s="1" t="s">
        <v>58</v>
      </c>
      <c r="N198" s="1">
        <v>0</v>
      </c>
      <c r="O198" s="1" t="s">
        <v>105</v>
      </c>
      <c r="P198" s="11" t="s">
        <v>3418</v>
      </c>
      <c r="R198" s="1" t="s">
        <v>38</v>
      </c>
      <c r="T198" s="1" t="s">
        <v>157</v>
      </c>
      <c r="U198" s="11" t="s">
        <v>459</v>
      </c>
      <c r="V198" s="1" t="s">
        <v>41</v>
      </c>
      <c r="W198" s="1" t="s">
        <v>49</v>
      </c>
      <c r="X198" s="13" t="str">
        <f t="shared" si="26"/>
        <v/>
      </c>
      <c r="Y198" s="2">
        <f t="shared" ca="1" si="21"/>
        <v>370</v>
      </c>
      <c r="Z198" s="14">
        <v>1</v>
      </c>
      <c r="AA198" s="1" t="str">
        <f t="shared" ca="1" si="22"/>
        <v>VENCIDO</v>
      </c>
      <c r="AB198" s="1" t="str">
        <f t="shared" si="23"/>
        <v>C-14</v>
      </c>
      <c r="AC198" s="2" t="str">
        <f t="shared" si="27"/>
        <v xml:space="preserve"> CLEITON </v>
      </c>
      <c r="AD198" s="2">
        <f t="shared" si="24"/>
        <v>5</v>
      </c>
      <c r="AE198" s="2">
        <f t="shared" ca="1" si="25"/>
        <v>-477.9262716435187</v>
      </c>
      <c r="AF198" s="15"/>
    </row>
    <row r="199" spans="1:32" hidden="1">
      <c r="A199" s="1">
        <v>7970300</v>
      </c>
      <c r="B199" s="1" t="s">
        <v>62</v>
      </c>
      <c r="C199" t="s">
        <v>3574</v>
      </c>
      <c r="E199" s="2">
        <v>1833000203000</v>
      </c>
      <c r="F199" s="1" t="s">
        <v>454</v>
      </c>
      <c r="G199" s="1" t="s">
        <v>53</v>
      </c>
      <c r="H199" s="1" t="s">
        <v>369</v>
      </c>
      <c r="I199" s="1" t="s">
        <v>370</v>
      </c>
      <c r="J199" s="1" t="s">
        <v>46</v>
      </c>
      <c r="K199" t="s">
        <v>457</v>
      </c>
      <c r="M199" s="1" t="s">
        <v>58</v>
      </c>
      <c r="N199" s="1">
        <v>0</v>
      </c>
      <c r="O199" s="1" t="s">
        <v>105</v>
      </c>
      <c r="P199" s="11" t="s">
        <v>3418</v>
      </c>
      <c r="R199" s="1" t="s">
        <v>38</v>
      </c>
      <c r="T199" s="1" t="s">
        <v>157</v>
      </c>
      <c r="U199" s="11" t="s">
        <v>459</v>
      </c>
      <c r="V199" s="1" t="s">
        <v>41</v>
      </c>
      <c r="W199" s="1" t="s">
        <v>49</v>
      </c>
      <c r="X199" s="13" t="str">
        <f t="shared" si="26"/>
        <v/>
      </c>
      <c r="Y199" s="2">
        <f t="shared" ca="1" si="21"/>
        <v>370</v>
      </c>
      <c r="Z199" s="14">
        <v>1</v>
      </c>
      <c r="AA199" s="1" t="str">
        <f t="shared" ca="1" si="22"/>
        <v>VENCIDO</v>
      </c>
      <c r="AB199" s="1" t="str">
        <f t="shared" si="23"/>
        <v>C-14</v>
      </c>
      <c r="AC199" s="2" t="str">
        <f t="shared" si="27"/>
        <v xml:space="preserve"> CLEITON </v>
      </c>
      <c r="AD199" s="2">
        <f t="shared" si="24"/>
        <v>5</v>
      </c>
      <c r="AE199" s="2">
        <f t="shared" ca="1" si="25"/>
        <v>-477.9262716435187</v>
      </c>
      <c r="AF199" s="15"/>
    </row>
    <row r="200" spans="1:32" hidden="1">
      <c r="A200" s="1">
        <v>7970299</v>
      </c>
      <c r="B200" s="1" t="s">
        <v>62</v>
      </c>
      <c r="C200" t="s">
        <v>3574</v>
      </c>
      <c r="E200" s="2">
        <v>1833000203000</v>
      </c>
      <c r="F200" s="1" t="s">
        <v>454</v>
      </c>
      <c r="G200" s="1" t="s">
        <v>53</v>
      </c>
      <c r="H200" s="1" t="s">
        <v>369</v>
      </c>
      <c r="I200" s="1" t="s">
        <v>370</v>
      </c>
      <c r="J200" s="1" t="s">
        <v>46</v>
      </c>
      <c r="K200" t="s">
        <v>457</v>
      </c>
      <c r="M200" s="1" t="s">
        <v>58</v>
      </c>
      <c r="N200" s="1">
        <v>0</v>
      </c>
      <c r="O200" s="1" t="s">
        <v>105</v>
      </c>
      <c r="P200" s="11" t="s">
        <v>3418</v>
      </c>
      <c r="R200" s="1" t="s">
        <v>38</v>
      </c>
      <c r="T200" s="1" t="s">
        <v>157</v>
      </c>
      <c r="U200" s="11" t="s">
        <v>459</v>
      </c>
      <c r="V200" s="1" t="s">
        <v>41</v>
      </c>
      <c r="W200" s="1" t="s">
        <v>49</v>
      </c>
      <c r="X200" s="13" t="str">
        <f t="shared" si="26"/>
        <v/>
      </c>
      <c r="Y200" s="2">
        <f t="shared" ca="1" si="21"/>
        <v>370</v>
      </c>
      <c r="Z200" s="14">
        <v>1</v>
      </c>
      <c r="AA200" s="1" t="str">
        <f t="shared" ca="1" si="22"/>
        <v>VENCIDO</v>
      </c>
      <c r="AB200" s="1" t="str">
        <f t="shared" si="23"/>
        <v>C-14</v>
      </c>
      <c r="AC200" s="2" t="str">
        <f t="shared" si="27"/>
        <v xml:space="preserve"> CLEITON </v>
      </c>
      <c r="AD200" s="2">
        <f t="shared" si="24"/>
        <v>5</v>
      </c>
      <c r="AE200" s="2">
        <f t="shared" ca="1" si="25"/>
        <v>-477.9262716435187</v>
      </c>
      <c r="AF200" s="15"/>
    </row>
    <row r="201" spans="1:32" hidden="1">
      <c r="A201" s="1">
        <v>7970298</v>
      </c>
      <c r="B201" s="1" t="s">
        <v>62</v>
      </c>
      <c r="C201" t="s">
        <v>3574</v>
      </c>
      <c r="E201" s="2">
        <v>1833000203000</v>
      </c>
      <c r="F201" s="1" t="s">
        <v>454</v>
      </c>
      <c r="G201" s="1" t="s">
        <v>53</v>
      </c>
      <c r="H201" s="1" t="s">
        <v>369</v>
      </c>
      <c r="I201" s="1" t="s">
        <v>370</v>
      </c>
      <c r="J201" s="1" t="s">
        <v>46</v>
      </c>
      <c r="K201" t="s">
        <v>457</v>
      </c>
      <c r="M201" s="1" t="s">
        <v>58</v>
      </c>
      <c r="N201" s="1">
        <v>0</v>
      </c>
      <c r="O201" s="1" t="s">
        <v>105</v>
      </c>
      <c r="P201" s="11" t="s">
        <v>3418</v>
      </c>
      <c r="R201" s="1" t="s">
        <v>38</v>
      </c>
      <c r="T201" s="1" t="s">
        <v>157</v>
      </c>
      <c r="U201" s="11" t="s">
        <v>459</v>
      </c>
      <c r="V201" s="1" t="s">
        <v>41</v>
      </c>
      <c r="W201" s="1" t="s">
        <v>49</v>
      </c>
      <c r="X201" s="13" t="str">
        <f t="shared" si="26"/>
        <v/>
      </c>
      <c r="Y201" s="2">
        <f t="shared" ca="1" si="21"/>
        <v>370</v>
      </c>
      <c r="Z201" s="14">
        <v>1</v>
      </c>
      <c r="AA201" s="1" t="str">
        <f t="shared" ca="1" si="22"/>
        <v>VENCIDO</v>
      </c>
      <c r="AB201" s="1" t="str">
        <f t="shared" si="23"/>
        <v>C-14</v>
      </c>
      <c r="AC201" s="2" t="str">
        <f t="shared" si="27"/>
        <v xml:space="preserve"> CLEITON </v>
      </c>
      <c r="AD201" s="2">
        <f t="shared" si="24"/>
        <v>5</v>
      </c>
      <c r="AE201" s="2">
        <f t="shared" ca="1" si="25"/>
        <v>-477.9262716435187</v>
      </c>
      <c r="AF201" s="15"/>
    </row>
    <row r="202" spans="1:32" hidden="1">
      <c r="A202" s="1">
        <v>7970297</v>
      </c>
      <c r="B202" s="1" t="s">
        <v>62</v>
      </c>
      <c r="C202" t="s">
        <v>3574</v>
      </c>
      <c r="E202" s="2">
        <v>1833000203000</v>
      </c>
      <c r="F202" s="1" t="s">
        <v>454</v>
      </c>
      <c r="G202" s="1" t="s">
        <v>53</v>
      </c>
      <c r="H202" s="1" t="s">
        <v>369</v>
      </c>
      <c r="I202" s="1" t="s">
        <v>370</v>
      </c>
      <c r="J202" s="1" t="s">
        <v>46</v>
      </c>
      <c r="K202" t="s">
        <v>457</v>
      </c>
      <c r="M202" s="1" t="s">
        <v>58</v>
      </c>
      <c r="N202" s="1">
        <v>0</v>
      </c>
      <c r="O202" s="1" t="s">
        <v>105</v>
      </c>
      <c r="P202" s="11" t="s">
        <v>3418</v>
      </c>
      <c r="R202" s="1" t="s">
        <v>38</v>
      </c>
      <c r="T202" s="1" t="s">
        <v>157</v>
      </c>
      <c r="U202" s="11" t="s">
        <v>459</v>
      </c>
      <c r="V202" s="1" t="s">
        <v>41</v>
      </c>
      <c r="W202" s="1" t="s">
        <v>49</v>
      </c>
      <c r="X202" s="13" t="str">
        <f t="shared" si="26"/>
        <v/>
      </c>
      <c r="Y202" s="2">
        <f t="shared" ca="1" si="21"/>
        <v>370</v>
      </c>
      <c r="Z202" s="14">
        <v>1</v>
      </c>
      <c r="AA202" s="1" t="str">
        <f t="shared" ca="1" si="22"/>
        <v>VENCIDO</v>
      </c>
      <c r="AB202" s="1" t="str">
        <f t="shared" si="23"/>
        <v>C-14</v>
      </c>
      <c r="AC202" s="2" t="str">
        <f t="shared" si="27"/>
        <v xml:space="preserve"> CLEITON </v>
      </c>
      <c r="AD202" s="2">
        <f t="shared" si="24"/>
        <v>5</v>
      </c>
      <c r="AE202" s="2">
        <f t="shared" ca="1" si="25"/>
        <v>-477.9262716435187</v>
      </c>
      <c r="AF202" s="15"/>
    </row>
    <row r="203" spans="1:32" hidden="1">
      <c r="A203" s="1">
        <v>7970296</v>
      </c>
      <c r="B203" s="1" t="s">
        <v>62</v>
      </c>
      <c r="C203" t="s">
        <v>3574</v>
      </c>
      <c r="E203" s="2">
        <v>1833000203000</v>
      </c>
      <c r="F203" s="1" t="s">
        <v>454</v>
      </c>
      <c r="G203" s="1" t="s">
        <v>53</v>
      </c>
      <c r="H203" s="1" t="s">
        <v>369</v>
      </c>
      <c r="I203" s="1" t="s">
        <v>370</v>
      </c>
      <c r="J203" s="1" t="s">
        <v>46</v>
      </c>
      <c r="K203" t="s">
        <v>457</v>
      </c>
      <c r="M203" s="1" t="s">
        <v>58</v>
      </c>
      <c r="N203" s="1">
        <v>0</v>
      </c>
      <c r="O203" s="1" t="s">
        <v>105</v>
      </c>
      <c r="P203" s="11" t="s">
        <v>3418</v>
      </c>
      <c r="R203" s="1" t="s">
        <v>38</v>
      </c>
      <c r="T203" s="1" t="s">
        <v>157</v>
      </c>
      <c r="U203" s="11" t="s">
        <v>459</v>
      </c>
      <c r="V203" s="1" t="s">
        <v>41</v>
      </c>
      <c r="W203" s="1" t="s">
        <v>49</v>
      </c>
      <c r="X203" s="13" t="str">
        <f t="shared" si="26"/>
        <v/>
      </c>
      <c r="Y203" s="2">
        <f t="shared" ca="1" si="21"/>
        <v>370</v>
      </c>
      <c r="Z203" s="14">
        <v>1</v>
      </c>
      <c r="AA203" s="1" t="str">
        <f t="shared" ca="1" si="22"/>
        <v>VENCIDO</v>
      </c>
      <c r="AB203" s="1" t="str">
        <f t="shared" si="23"/>
        <v>C-14</v>
      </c>
      <c r="AC203" s="2" t="str">
        <f t="shared" si="27"/>
        <v xml:space="preserve"> CLEITON </v>
      </c>
      <c r="AD203" s="2">
        <f t="shared" si="24"/>
        <v>5</v>
      </c>
      <c r="AE203" s="2">
        <f t="shared" ca="1" si="25"/>
        <v>-477.9262716435187</v>
      </c>
      <c r="AF203" s="15"/>
    </row>
    <row r="204" spans="1:32" hidden="1">
      <c r="A204" s="1">
        <v>7970241</v>
      </c>
      <c r="B204" s="1" t="s">
        <v>62</v>
      </c>
      <c r="C204" t="s">
        <v>3574</v>
      </c>
      <c r="E204" s="2">
        <v>1792000203000</v>
      </c>
      <c r="F204" s="1" t="s">
        <v>454</v>
      </c>
      <c r="G204" s="1" t="s">
        <v>53</v>
      </c>
      <c r="H204" s="1" t="s">
        <v>467</v>
      </c>
      <c r="I204" s="1" t="s">
        <v>468</v>
      </c>
      <c r="J204" s="1" t="s">
        <v>110</v>
      </c>
      <c r="K204" t="s">
        <v>457</v>
      </c>
      <c r="M204" s="1" t="s">
        <v>58</v>
      </c>
      <c r="N204" s="1">
        <v>0</v>
      </c>
      <c r="O204" s="1" t="s">
        <v>105</v>
      </c>
      <c r="P204" s="11" t="s">
        <v>3419</v>
      </c>
      <c r="R204" s="1" t="s">
        <v>38</v>
      </c>
      <c r="T204" s="1" t="s">
        <v>157</v>
      </c>
      <c r="U204" s="11" t="s">
        <v>459</v>
      </c>
      <c r="V204" s="1" t="s">
        <v>41</v>
      </c>
      <c r="W204" s="1" t="s">
        <v>49</v>
      </c>
      <c r="X204" s="13" t="str">
        <f t="shared" si="26"/>
        <v/>
      </c>
      <c r="Y204" s="2">
        <f t="shared" ca="1" si="21"/>
        <v>370</v>
      </c>
      <c r="Z204" s="14">
        <v>1</v>
      </c>
      <c r="AA204" s="1" t="str">
        <f t="shared" ca="1" si="22"/>
        <v>VENCIDO</v>
      </c>
      <c r="AB204" s="1" t="str">
        <f t="shared" si="23"/>
        <v>C-14</v>
      </c>
      <c r="AC204" s="2" t="str">
        <f t="shared" si="27"/>
        <v xml:space="preserve"> CRISTINA </v>
      </c>
      <c r="AD204" s="2">
        <f t="shared" si="24"/>
        <v>5</v>
      </c>
      <c r="AE204" s="2">
        <f t="shared" ca="1" si="25"/>
        <v>-477.9262716435187</v>
      </c>
      <c r="AF204" s="15"/>
    </row>
    <row r="205" spans="1:32" hidden="1">
      <c r="A205" s="1">
        <v>7970240</v>
      </c>
      <c r="B205" s="1" t="s">
        <v>62</v>
      </c>
      <c r="C205" t="s">
        <v>3574</v>
      </c>
      <c r="E205" s="2">
        <v>1792000203000</v>
      </c>
      <c r="F205" s="1" t="s">
        <v>454</v>
      </c>
      <c r="G205" s="1" t="s">
        <v>53</v>
      </c>
      <c r="H205" s="1" t="s">
        <v>467</v>
      </c>
      <c r="I205" s="1" t="s">
        <v>468</v>
      </c>
      <c r="J205" s="1" t="s">
        <v>110</v>
      </c>
      <c r="K205" t="s">
        <v>457</v>
      </c>
      <c r="M205" s="1" t="s">
        <v>58</v>
      </c>
      <c r="N205" s="1">
        <v>0</v>
      </c>
      <c r="O205" s="1" t="s">
        <v>105</v>
      </c>
      <c r="P205" s="11" t="s">
        <v>469</v>
      </c>
      <c r="R205" s="1" t="s">
        <v>38</v>
      </c>
      <c r="T205" s="1" t="s">
        <v>157</v>
      </c>
      <c r="U205" s="11" t="s">
        <v>459</v>
      </c>
      <c r="V205" s="1" t="s">
        <v>41</v>
      </c>
      <c r="W205" s="1" t="s">
        <v>49</v>
      </c>
      <c r="X205" s="13" t="str">
        <f t="shared" si="26"/>
        <v/>
      </c>
      <c r="Y205" s="2">
        <f t="shared" ca="1" si="21"/>
        <v>370</v>
      </c>
      <c r="Z205" s="14">
        <v>1</v>
      </c>
      <c r="AA205" s="1" t="str">
        <f t="shared" ca="1" si="22"/>
        <v>VENCIDO</v>
      </c>
      <c r="AB205" s="1" t="str">
        <f t="shared" si="23"/>
        <v>C-14</v>
      </c>
      <c r="AC205" s="2" t="str">
        <f t="shared" si="27"/>
        <v xml:space="preserve"> CRISTINA </v>
      </c>
      <c r="AD205" s="2">
        <f t="shared" si="24"/>
        <v>5</v>
      </c>
      <c r="AE205" s="2">
        <f t="shared" ca="1" si="25"/>
        <v>-477.9262716435187</v>
      </c>
      <c r="AF205" s="15"/>
    </row>
    <row r="206" spans="1:32" hidden="1">
      <c r="A206" s="1">
        <v>7970239</v>
      </c>
      <c r="B206" s="1" t="s">
        <v>62</v>
      </c>
      <c r="C206" t="s">
        <v>3574</v>
      </c>
      <c r="E206" s="2">
        <v>1792000203000</v>
      </c>
      <c r="F206" s="1" t="s">
        <v>454</v>
      </c>
      <c r="G206" s="1" t="s">
        <v>53</v>
      </c>
      <c r="H206" s="1" t="s">
        <v>467</v>
      </c>
      <c r="I206" s="1" t="s">
        <v>468</v>
      </c>
      <c r="J206" s="1" t="s">
        <v>110</v>
      </c>
      <c r="K206" t="s">
        <v>457</v>
      </c>
      <c r="M206" s="1" t="s">
        <v>58</v>
      </c>
      <c r="N206" s="1">
        <v>0</v>
      </c>
      <c r="O206" s="1" t="s">
        <v>105</v>
      </c>
      <c r="P206" s="11" t="s">
        <v>469</v>
      </c>
      <c r="R206" s="1" t="s">
        <v>38</v>
      </c>
      <c r="T206" s="1" t="s">
        <v>157</v>
      </c>
      <c r="U206" s="11" t="s">
        <v>459</v>
      </c>
      <c r="V206" s="1" t="s">
        <v>41</v>
      </c>
      <c r="W206" s="1" t="s">
        <v>49</v>
      </c>
      <c r="X206" s="13" t="str">
        <f t="shared" si="26"/>
        <v/>
      </c>
      <c r="Y206" s="2">
        <f t="shared" ca="1" si="21"/>
        <v>370</v>
      </c>
      <c r="Z206" s="14">
        <v>1</v>
      </c>
      <c r="AA206" s="1" t="str">
        <f t="shared" ca="1" si="22"/>
        <v>VENCIDO</v>
      </c>
      <c r="AB206" s="1" t="str">
        <f t="shared" si="23"/>
        <v>C-14</v>
      </c>
      <c r="AC206" s="2" t="str">
        <f t="shared" si="27"/>
        <v xml:space="preserve"> CRISTINA </v>
      </c>
      <c r="AD206" s="2">
        <f t="shared" si="24"/>
        <v>5</v>
      </c>
      <c r="AE206" s="2">
        <f t="shared" ca="1" si="25"/>
        <v>-477.9262716435187</v>
      </c>
      <c r="AF206" s="15"/>
    </row>
    <row r="207" spans="1:32" hidden="1">
      <c r="A207" s="1">
        <v>7970238</v>
      </c>
      <c r="B207" s="1" t="s">
        <v>62</v>
      </c>
      <c r="C207" t="s">
        <v>3574</v>
      </c>
      <c r="E207" s="2">
        <v>1792000203000</v>
      </c>
      <c r="F207" s="1" t="s">
        <v>454</v>
      </c>
      <c r="G207" s="1" t="s">
        <v>53</v>
      </c>
      <c r="H207" s="1" t="s">
        <v>467</v>
      </c>
      <c r="I207" s="1" t="s">
        <v>468</v>
      </c>
      <c r="J207" s="1" t="s">
        <v>110</v>
      </c>
      <c r="K207" t="s">
        <v>457</v>
      </c>
      <c r="M207" s="1" t="s">
        <v>58</v>
      </c>
      <c r="N207" s="1">
        <v>0</v>
      </c>
      <c r="O207" s="1" t="s">
        <v>105</v>
      </c>
      <c r="P207" s="11" t="s">
        <v>469</v>
      </c>
      <c r="R207" s="1" t="s">
        <v>38</v>
      </c>
      <c r="T207" s="1" t="s">
        <v>157</v>
      </c>
      <c r="U207" s="11" t="s">
        <v>459</v>
      </c>
      <c r="V207" s="1" t="s">
        <v>41</v>
      </c>
      <c r="W207" s="1" t="s">
        <v>49</v>
      </c>
      <c r="X207" s="13" t="str">
        <f t="shared" si="26"/>
        <v/>
      </c>
      <c r="Y207" s="2">
        <f t="shared" ca="1" si="21"/>
        <v>370</v>
      </c>
      <c r="Z207" s="14">
        <v>1</v>
      </c>
      <c r="AA207" s="1" t="str">
        <f t="shared" ca="1" si="22"/>
        <v>VENCIDO</v>
      </c>
      <c r="AB207" s="1" t="str">
        <f t="shared" si="23"/>
        <v>C-14</v>
      </c>
      <c r="AC207" s="2" t="str">
        <f t="shared" si="27"/>
        <v xml:space="preserve"> CRISTINA </v>
      </c>
      <c r="AD207" s="2">
        <f t="shared" si="24"/>
        <v>5</v>
      </c>
      <c r="AE207" s="2">
        <f t="shared" ca="1" si="25"/>
        <v>-477.9262716435187</v>
      </c>
      <c r="AF207" s="15"/>
    </row>
    <row r="208" spans="1:32" hidden="1">
      <c r="A208" s="1">
        <v>7970237</v>
      </c>
      <c r="B208" s="1" t="s">
        <v>62</v>
      </c>
      <c r="C208" t="s">
        <v>3574</v>
      </c>
      <c r="E208" s="2">
        <v>1792000203000</v>
      </c>
      <c r="F208" s="1" t="s">
        <v>454</v>
      </c>
      <c r="G208" s="1" t="s">
        <v>53</v>
      </c>
      <c r="H208" s="1" t="s">
        <v>467</v>
      </c>
      <c r="I208" s="1" t="s">
        <v>468</v>
      </c>
      <c r="J208" s="1" t="s">
        <v>110</v>
      </c>
      <c r="K208" t="s">
        <v>457</v>
      </c>
      <c r="M208" s="1" t="s">
        <v>58</v>
      </c>
      <c r="N208" s="1">
        <v>0</v>
      </c>
      <c r="O208" s="1" t="s">
        <v>105</v>
      </c>
      <c r="P208" s="11" t="s">
        <v>469</v>
      </c>
      <c r="R208" s="1" t="s">
        <v>38</v>
      </c>
      <c r="T208" s="1" t="s">
        <v>157</v>
      </c>
      <c r="U208" s="11" t="s">
        <v>459</v>
      </c>
      <c r="V208" s="1" t="s">
        <v>41</v>
      </c>
      <c r="W208" s="1" t="s">
        <v>49</v>
      </c>
      <c r="X208" s="13" t="str">
        <f t="shared" si="26"/>
        <v/>
      </c>
      <c r="Y208" s="2">
        <f t="shared" ca="1" si="21"/>
        <v>370</v>
      </c>
      <c r="Z208" s="14">
        <v>1</v>
      </c>
      <c r="AA208" s="1" t="str">
        <f t="shared" ca="1" si="22"/>
        <v>VENCIDO</v>
      </c>
      <c r="AB208" s="1" t="str">
        <f t="shared" si="23"/>
        <v>C-14</v>
      </c>
      <c r="AC208" s="2" t="str">
        <f t="shared" si="27"/>
        <v xml:space="preserve"> CRISTINA </v>
      </c>
      <c r="AD208" s="2">
        <f t="shared" si="24"/>
        <v>5</v>
      </c>
      <c r="AE208" s="2">
        <f t="shared" ca="1" si="25"/>
        <v>-477.9262716435187</v>
      </c>
      <c r="AF208" s="15"/>
    </row>
    <row r="209" spans="1:32" hidden="1">
      <c r="A209" s="1">
        <v>7970218</v>
      </c>
      <c r="B209" s="1" t="s">
        <v>62</v>
      </c>
      <c r="C209" t="s">
        <v>3574</v>
      </c>
      <c r="E209" s="2">
        <v>1363000203000</v>
      </c>
      <c r="F209" s="1" t="s">
        <v>454</v>
      </c>
      <c r="G209" s="1" t="s">
        <v>53</v>
      </c>
      <c r="H209" s="1" t="s">
        <v>108</v>
      </c>
      <c r="I209" s="1" t="s">
        <v>109</v>
      </c>
      <c r="J209" s="1" t="s">
        <v>110</v>
      </c>
      <c r="K209" t="s">
        <v>457</v>
      </c>
      <c r="M209" s="1" t="s">
        <v>58</v>
      </c>
      <c r="N209" s="1">
        <v>0</v>
      </c>
      <c r="O209" s="1" t="s">
        <v>36</v>
      </c>
      <c r="P209" s="11" t="s">
        <v>3420</v>
      </c>
      <c r="R209" s="1" t="s">
        <v>38</v>
      </c>
      <c r="T209" s="1" t="s">
        <v>157</v>
      </c>
      <c r="U209" s="11" t="s">
        <v>459</v>
      </c>
      <c r="V209" s="1" t="s">
        <v>41</v>
      </c>
      <c r="W209" s="1" t="s">
        <v>49</v>
      </c>
      <c r="X209" s="13" t="str">
        <f t="shared" si="26"/>
        <v/>
      </c>
      <c r="Y209" s="2">
        <f t="shared" ca="1" si="21"/>
        <v>370</v>
      </c>
      <c r="Z209" s="14">
        <v>1</v>
      </c>
      <c r="AA209" s="1" t="str">
        <f t="shared" ca="1" si="22"/>
        <v>VENCIDO</v>
      </c>
      <c r="AB209" s="1" t="str">
        <f t="shared" si="23"/>
        <v>C-14</v>
      </c>
      <c r="AC209" s="2" t="str">
        <f t="shared" si="27"/>
        <v xml:space="preserve"> CRISTINA </v>
      </c>
      <c r="AD209" s="2">
        <f t="shared" si="24"/>
        <v>5</v>
      </c>
      <c r="AE209" s="2">
        <f t="shared" ca="1" si="25"/>
        <v>-477.9262716435187</v>
      </c>
      <c r="AF209" s="15"/>
    </row>
    <row r="210" spans="1:32" hidden="1">
      <c r="A210" s="1">
        <v>7998831</v>
      </c>
      <c r="B210" s="1" t="s">
        <v>27</v>
      </c>
      <c r="C210" t="s">
        <v>470</v>
      </c>
      <c r="E210" s="2">
        <v>2229000206001</v>
      </c>
      <c r="F210" s="1" t="s">
        <v>29</v>
      </c>
      <c r="G210" s="1" t="s">
        <v>53</v>
      </c>
      <c r="H210" s="1" t="s">
        <v>339</v>
      </c>
      <c r="I210" s="1" t="s">
        <v>340</v>
      </c>
      <c r="J210" s="1" t="s">
        <v>211</v>
      </c>
      <c r="K210" t="s">
        <v>34</v>
      </c>
      <c r="M210" s="1" t="s">
        <v>35</v>
      </c>
      <c r="N210" s="1">
        <v>42318949</v>
      </c>
      <c r="O210" s="1" t="s">
        <v>105</v>
      </c>
      <c r="P210" s="11" t="s">
        <v>471</v>
      </c>
      <c r="R210" s="1" t="s">
        <v>38</v>
      </c>
      <c r="T210" s="1" t="s">
        <v>74</v>
      </c>
      <c r="U210" s="11" t="s">
        <v>472</v>
      </c>
      <c r="V210" s="1" t="s">
        <v>41</v>
      </c>
      <c r="W210" s="1" t="s">
        <v>49</v>
      </c>
      <c r="X210" s="13" t="str">
        <f t="shared" si="26"/>
        <v/>
      </c>
      <c r="Y210" s="2">
        <f t="shared" ca="1" si="21"/>
        <v>367</v>
      </c>
      <c r="Z210" s="14">
        <v>1</v>
      </c>
      <c r="AA210" s="1" t="str">
        <f t="shared" ca="1" si="22"/>
        <v>VENCIDO</v>
      </c>
      <c r="AB210" s="1" t="str">
        <f t="shared" si="23"/>
        <v>Dosa</v>
      </c>
      <c r="AC210" s="2" t="str">
        <f t="shared" si="27"/>
        <v xml:space="preserve"> RINALDO </v>
      </c>
      <c r="AD210" s="2">
        <f t="shared" si="24"/>
        <v>5</v>
      </c>
      <c r="AE210" s="2">
        <f t="shared" ca="1" si="25"/>
        <v>-511.9262716435187</v>
      </c>
      <c r="AF210" s="15"/>
    </row>
    <row r="211" spans="1:32" hidden="1">
      <c r="A211" s="1">
        <v>8014132</v>
      </c>
      <c r="B211" s="1" t="s">
        <v>27</v>
      </c>
      <c r="C211" t="s">
        <v>470</v>
      </c>
      <c r="E211" s="2">
        <v>1069000206001</v>
      </c>
      <c r="F211" s="1" t="s">
        <v>29</v>
      </c>
      <c r="G211" s="1" t="s">
        <v>53</v>
      </c>
      <c r="H211" s="1" t="s">
        <v>353</v>
      </c>
      <c r="I211" s="1" t="s">
        <v>354</v>
      </c>
      <c r="J211" s="1" t="s">
        <v>211</v>
      </c>
      <c r="K211" t="s">
        <v>34</v>
      </c>
      <c r="M211" s="1" t="s">
        <v>35</v>
      </c>
      <c r="N211" s="1">
        <v>42318949</v>
      </c>
      <c r="O211" s="1" t="s">
        <v>105</v>
      </c>
      <c r="P211" s="11" t="s">
        <v>473</v>
      </c>
      <c r="R211" s="1" t="s">
        <v>38</v>
      </c>
      <c r="T211" s="1" t="s">
        <v>74</v>
      </c>
      <c r="U211" s="11" t="s">
        <v>474</v>
      </c>
      <c r="V211" s="1" t="s">
        <v>41</v>
      </c>
      <c r="W211" s="1" t="s">
        <v>49</v>
      </c>
      <c r="X211" s="13" t="str">
        <f t="shared" si="26"/>
        <v/>
      </c>
      <c r="Y211" s="2">
        <f t="shared" ca="1" si="21"/>
        <v>363</v>
      </c>
      <c r="Z211" s="14">
        <v>1</v>
      </c>
      <c r="AA211" s="1" t="str">
        <f t="shared" ca="1" si="22"/>
        <v>VENCIDO</v>
      </c>
      <c r="AB211" s="1" t="str">
        <f t="shared" si="23"/>
        <v>Dosa</v>
      </c>
      <c r="AC211" s="2" t="str">
        <f t="shared" si="27"/>
        <v xml:space="preserve"> RINALDO </v>
      </c>
      <c r="AD211" s="2">
        <f t="shared" si="24"/>
        <v>5</v>
      </c>
      <c r="AE211" s="2">
        <f t="shared" ca="1" si="25"/>
        <v>-505.9262716435187</v>
      </c>
      <c r="AF211" s="15"/>
    </row>
    <row r="212" spans="1:32" hidden="1">
      <c r="A212" s="1">
        <v>8018140</v>
      </c>
      <c r="B212" s="1" t="s">
        <v>62</v>
      </c>
      <c r="C212" t="s">
        <v>475</v>
      </c>
      <c r="E212" s="2">
        <v>1664000203000</v>
      </c>
      <c r="F212" s="1" t="s">
        <v>454</v>
      </c>
      <c r="G212" s="1" t="s">
        <v>53</v>
      </c>
      <c r="H212" s="1" t="s">
        <v>307</v>
      </c>
      <c r="I212" s="1" t="s">
        <v>308</v>
      </c>
      <c r="J212" s="1" t="s">
        <v>164</v>
      </c>
      <c r="K212" t="s">
        <v>457</v>
      </c>
      <c r="M212" s="1" t="s">
        <v>58</v>
      </c>
      <c r="N212" s="1">
        <v>0</v>
      </c>
      <c r="O212" s="1" t="s">
        <v>36</v>
      </c>
      <c r="P212" s="11" t="s">
        <v>3421</v>
      </c>
      <c r="R212" s="1" t="s">
        <v>38</v>
      </c>
      <c r="T212" s="1" t="s">
        <v>157</v>
      </c>
      <c r="U212" s="186">
        <v>44518.75</v>
      </c>
      <c r="V212" s="1" t="s">
        <v>41</v>
      </c>
      <c r="W212" s="1" t="s">
        <v>49</v>
      </c>
      <c r="X212" s="13" t="str">
        <f t="shared" si="26"/>
        <v/>
      </c>
      <c r="Y212" s="2">
        <f t="shared" ca="1" si="21"/>
        <v>361</v>
      </c>
      <c r="Z212" s="14">
        <v>1</v>
      </c>
      <c r="AA212" s="1" t="str">
        <f t="shared" ca="1" si="22"/>
        <v>VENCIDO</v>
      </c>
      <c r="AB212" s="1" t="str">
        <f t="shared" si="23"/>
        <v>C-14</v>
      </c>
      <c r="AC212" s="2" t="str">
        <f t="shared" si="27"/>
        <v xml:space="preserve"> ROSEMERE </v>
      </c>
      <c r="AD212" s="2">
        <f t="shared" si="24"/>
        <v>5</v>
      </c>
      <c r="AE212" s="2">
        <f t="shared" ca="1" si="25"/>
        <v>-467.9262716435187</v>
      </c>
      <c r="AF212" s="15"/>
    </row>
    <row r="213" spans="1:32" hidden="1">
      <c r="A213" s="1">
        <v>8017996</v>
      </c>
      <c r="B213" s="1" t="s">
        <v>27</v>
      </c>
      <c r="C213" t="s">
        <v>476</v>
      </c>
      <c r="E213" s="2">
        <v>2170000206001</v>
      </c>
      <c r="F213" s="1" t="s">
        <v>29</v>
      </c>
      <c r="G213" s="1" t="s">
        <v>53</v>
      </c>
      <c r="H213" s="1" t="s">
        <v>477</v>
      </c>
      <c r="I213" s="1" t="s">
        <v>478</v>
      </c>
      <c r="J213" s="1" t="s">
        <v>148</v>
      </c>
      <c r="K213" t="s">
        <v>34</v>
      </c>
      <c r="M213" s="1" t="s">
        <v>35</v>
      </c>
      <c r="N213" s="1">
        <v>42318949</v>
      </c>
      <c r="O213" s="1" t="s">
        <v>36</v>
      </c>
      <c r="P213" s="11" t="s">
        <v>479</v>
      </c>
      <c r="R213" s="1" t="s">
        <v>38</v>
      </c>
      <c r="T213" s="1" t="s">
        <v>74</v>
      </c>
      <c r="U213" s="186">
        <v>44482.75</v>
      </c>
      <c r="V213" s="1" t="s">
        <v>41</v>
      </c>
      <c r="W213" s="1" t="s">
        <v>49</v>
      </c>
      <c r="X213" s="13" t="str">
        <f t="shared" si="26"/>
        <v/>
      </c>
      <c r="Y213" s="2">
        <f t="shared" ca="1" si="21"/>
        <v>361</v>
      </c>
      <c r="Z213" s="14">
        <v>1</v>
      </c>
      <c r="AA213" s="1" t="str">
        <f t="shared" ca="1" si="22"/>
        <v>VENCIDO</v>
      </c>
      <c r="AB213" s="1" t="str">
        <f t="shared" si="23"/>
        <v>Dosa</v>
      </c>
      <c r="AC213" s="2" t="str">
        <f t="shared" si="27"/>
        <v xml:space="preserve"> RINALDO </v>
      </c>
      <c r="AD213" s="2">
        <f t="shared" si="24"/>
        <v>5</v>
      </c>
      <c r="AE213" s="2">
        <f t="shared" ca="1" si="25"/>
        <v>-503.9262716435187</v>
      </c>
      <c r="AF213" s="15"/>
    </row>
    <row r="214" spans="1:32" hidden="1">
      <c r="A214" s="1">
        <v>8021722</v>
      </c>
      <c r="B214" s="1" t="s">
        <v>62</v>
      </c>
      <c r="C214" t="s">
        <v>481</v>
      </c>
      <c r="E214" s="2">
        <v>2170000203010</v>
      </c>
      <c r="F214" s="1" t="s">
        <v>152</v>
      </c>
      <c r="G214" s="1" t="s">
        <v>53</v>
      </c>
      <c r="H214" s="1" t="s">
        <v>477</v>
      </c>
      <c r="I214" s="1" t="s">
        <v>478</v>
      </c>
      <c r="J214" s="1" t="s">
        <v>148</v>
      </c>
      <c r="K214" t="s">
        <v>155</v>
      </c>
      <c r="M214" s="1" t="s">
        <v>35</v>
      </c>
      <c r="N214" s="1">
        <v>42318949</v>
      </c>
      <c r="O214" s="1" t="s">
        <v>36</v>
      </c>
      <c r="P214" s="11" t="s">
        <v>482</v>
      </c>
      <c r="R214" s="1" t="s">
        <v>38</v>
      </c>
      <c r="T214" s="1" t="s">
        <v>157</v>
      </c>
      <c r="U214" s="11" t="s">
        <v>483</v>
      </c>
      <c r="V214" s="1" t="s">
        <v>41</v>
      </c>
      <c r="W214" s="1" t="s">
        <v>49</v>
      </c>
      <c r="X214" s="13" t="str">
        <f t="shared" si="26"/>
        <v/>
      </c>
      <c r="Y214" s="2">
        <f t="shared" ca="1" si="21"/>
        <v>360</v>
      </c>
      <c r="Z214" s="14">
        <v>1</v>
      </c>
      <c r="AA214" s="1" t="str">
        <f t="shared" ca="1" si="22"/>
        <v>VENCIDO</v>
      </c>
      <c r="AB214" s="1" t="str">
        <f t="shared" si="23"/>
        <v>TAAe+</v>
      </c>
      <c r="AC214" s="2" t="str">
        <f t="shared" si="27"/>
        <v xml:space="preserve"> RINALDO </v>
      </c>
      <c r="AD214" s="2">
        <f t="shared" si="24"/>
        <v>8</v>
      </c>
      <c r="AE214" s="2">
        <f t="shared" ca="1" si="25"/>
        <v>-466.9262716435187</v>
      </c>
      <c r="AF214" s="15"/>
    </row>
    <row r="215" spans="1:32" hidden="1">
      <c r="A215" s="1">
        <v>8026505</v>
      </c>
      <c r="B215" s="1" t="s">
        <v>62</v>
      </c>
      <c r="C215" t="s">
        <v>484</v>
      </c>
      <c r="E215" s="2">
        <v>4119000203000</v>
      </c>
      <c r="F215" s="1" t="s">
        <v>454</v>
      </c>
      <c r="G215" s="1" t="s">
        <v>53</v>
      </c>
      <c r="H215" s="1" t="s">
        <v>297</v>
      </c>
      <c r="I215" s="1" t="s">
        <v>298</v>
      </c>
      <c r="J215" s="1" t="s">
        <v>211</v>
      </c>
      <c r="K215" t="s">
        <v>457</v>
      </c>
      <c r="M215" s="1" t="s">
        <v>58</v>
      </c>
      <c r="N215" s="1">
        <v>0</v>
      </c>
      <c r="O215" s="1" t="s">
        <v>36</v>
      </c>
      <c r="P215" s="11" t="s">
        <v>485</v>
      </c>
      <c r="R215" s="1" t="s">
        <v>38</v>
      </c>
      <c r="T215" s="1" t="s">
        <v>157</v>
      </c>
      <c r="U215" s="11" t="s">
        <v>486</v>
      </c>
      <c r="V215" s="1" t="s">
        <v>41</v>
      </c>
      <c r="W215" s="1" t="s">
        <v>49</v>
      </c>
      <c r="X215" s="13" t="str">
        <f t="shared" si="26"/>
        <v/>
      </c>
      <c r="Y215" s="2">
        <f t="shared" ca="1" si="21"/>
        <v>358</v>
      </c>
      <c r="Z215" s="14">
        <v>1</v>
      </c>
      <c r="AA215" s="1" t="str">
        <f t="shared" ca="1" si="22"/>
        <v>VENCIDO</v>
      </c>
      <c r="AB215" s="1" t="str">
        <f t="shared" si="23"/>
        <v>C-14</v>
      </c>
      <c r="AC215" s="2" t="str">
        <f t="shared" si="27"/>
        <v xml:space="preserve"> RINALDO </v>
      </c>
      <c r="AD215" s="2">
        <f t="shared" si="24"/>
        <v>5</v>
      </c>
      <c r="AE215" s="2">
        <f t="shared" ca="1" si="25"/>
        <v>-462.9262716435187</v>
      </c>
      <c r="AF215" s="15"/>
    </row>
    <row r="216" spans="1:32" hidden="1">
      <c r="A216" s="1">
        <v>8034031</v>
      </c>
      <c r="B216" s="1" t="s">
        <v>62</v>
      </c>
      <c r="C216" t="s">
        <v>487</v>
      </c>
      <c r="E216" s="2">
        <v>9704000203000</v>
      </c>
      <c r="F216" s="1" t="s">
        <v>454</v>
      </c>
      <c r="G216" s="1" t="s">
        <v>53</v>
      </c>
      <c r="H216" s="1" t="s">
        <v>488</v>
      </c>
      <c r="I216" s="1" t="s">
        <v>489</v>
      </c>
      <c r="J216" s="1" t="s">
        <v>164</v>
      </c>
      <c r="K216" t="s">
        <v>457</v>
      </c>
      <c r="M216" s="1" t="s">
        <v>58</v>
      </c>
      <c r="N216" s="1">
        <v>0</v>
      </c>
      <c r="O216" s="1" t="s">
        <v>36</v>
      </c>
      <c r="P216" s="11" t="s">
        <v>490</v>
      </c>
      <c r="R216" s="1" t="s">
        <v>38</v>
      </c>
      <c r="T216" s="1" t="s">
        <v>157</v>
      </c>
      <c r="U216" s="11" t="s">
        <v>491</v>
      </c>
      <c r="V216" s="1" t="s">
        <v>41</v>
      </c>
      <c r="W216" s="1" t="s">
        <v>49</v>
      </c>
      <c r="X216" s="13" t="str">
        <f t="shared" si="26"/>
        <v/>
      </c>
      <c r="Y216" s="2">
        <f t="shared" ca="1" si="21"/>
        <v>357</v>
      </c>
      <c r="Z216" s="14">
        <v>1</v>
      </c>
      <c r="AA216" s="1" t="str">
        <f t="shared" ca="1" si="22"/>
        <v>VENCIDO</v>
      </c>
      <c r="AB216" s="1" t="str">
        <f t="shared" si="23"/>
        <v>C-14</v>
      </c>
      <c r="AC216" s="2" t="str">
        <f t="shared" si="27"/>
        <v xml:space="preserve"> ROSEMERE </v>
      </c>
      <c r="AD216" s="2">
        <f t="shared" si="24"/>
        <v>5</v>
      </c>
      <c r="AE216" s="2">
        <f t="shared" ca="1" si="25"/>
        <v>-461.9262716435187</v>
      </c>
      <c r="AF216" s="15"/>
    </row>
    <row r="217" spans="1:32" hidden="1">
      <c r="A217" s="1">
        <v>8038627</v>
      </c>
      <c r="B217" s="1" t="s">
        <v>81</v>
      </c>
      <c r="C217" t="s">
        <v>240</v>
      </c>
      <c r="E217" s="2">
        <v>9704000206001</v>
      </c>
      <c r="F217" s="1" t="s">
        <v>29</v>
      </c>
      <c r="G217" s="1" t="s">
        <v>53</v>
      </c>
      <c r="H217" s="1" t="s">
        <v>488</v>
      </c>
      <c r="I217" s="1" t="s">
        <v>489</v>
      </c>
      <c r="J217" s="1" t="s">
        <v>164</v>
      </c>
      <c r="K217" t="s">
        <v>34</v>
      </c>
      <c r="M217" s="1" t="s">
        <v>35</v>
      </c>
      <c r="N217" s="1">
        <v>42318949</v>
      </c>
      <c r="O217" s="1" t="s">
        <v>36</v>
      </c>
      <c r="P217" s="11" t="s">
        <v>492</v>
      </c>
      <c r="R217" s="1" t="s">
        <v>38</v>
      </c>
      <c r="T217" s="1" t="s">
        <v>74</v>
      </c>
      <c r="U217" s="11" t="s">
        <v>493</v>
      </c>
      <c r="V217" s="1" t="s">
        <v>41</v>
      </c>
      <c r="W217" s="1" t="s">
        <v>49</v>
      </c>
      <c r="X217" s="13" t="str">
        <f t="shared" si="26"/>
        <v/>
      </c>
      <c r="Y217" s="2">
        <f t="shared" ca="1" si="21"/>
        <v>356</v>
      </c>
      <c r="Z217" s="14">
        <v>1</v>
      </c>
      <c r="AA217" s="1" t="str">
        <f t="shared" ca="1" si="22"/>
        <v>VENCIDO</v>
      </c>
      <c r="AB217" s="1" t="str">
        <f t="shared" si="23"/>
        <v>Dosa</v>
      </c>
      <c r="AC217" s="2" t="str">
        <f t="shared" si="27"/>
        <v xml:space="preserve"> ROSEMERE </v>
      </c>
      <c r="AD217" s="2">
        <f t="shared" si="24"/>
        <v>5</v>
      </c>
      <c r="AE217" s="2">
        <f t="shared" ca="1" si="25"/>
        <v>-495.99664201388805</v>
      </c>
      <c r="AF217" s="15"/>
    </row>
    <row r="218" spans="1:32" hidden="1">
      <c r="A218" s="1">
        <v>8038626</v>
      </c>
      <c r="B218" s="1" t="s">
        <v>81</v>
      </c>
      <c r="C218" t="s">
        <v>240</v>
      </c>
      <c r="E218" s="2">
        <v>9703000206001</v>
      </c>
      <c r="F218" s="1" t="s">
        <v>29</v>
      </c>
      <c r="G218" s="1" t="s">
        <v>53</v>
      </c>
      <c r="H218" s="1" t="s">
        <v>494</v>
      </c>
      <c r="I218" s="1" t="s">
        <v>495</v>
      </c>
      <c r="J218" s="1" t="s">
        <v>79</v>
      </c>
      <c r="K218" t="s">
        <v>34</v>
      </c>
      <c r="M218" s="1" t="s">
        <v>35</v>
      </c>
      <c r="N218" s="1">
        <v>42318949</v>
      </c>
      <c r="O218" s="1" t="s">
        <v>36</v>
      </c>
      <c r="P218" s="11" t="s">
        <v>492</v>
      </c>
      <c r="R218" s="1" t="s">
        <v>38</v>
      </c>
      <c r="T218" s="1" t="s">
        <v>74</v>
      </c>
      <c r="U218" s="11" t="s">
        <v>493</v>
      </c>
      <c r="V218" s="1" t="s">
        <v>41</v>
      </c>
      <c r="W218" s="1" t="s">
        <v>49</v>
      </c>
      <c r="X218" s="13" t="str">
        <f t="shared" si="26"/>
        <v/>
      </c>
      <c r="Y218" s="2">
        <f t="shared" ca="1" si="21"/>
        <v>356</v>
      </c>
      <c r="Z218" s="14">
        <v>1</v>
      </c>
      <c r="AA218" s="1" t="str">
        <f t="shared" ca="1" si="22"/>
        <v>VENCIDO</v>
      </c>
      <c r="AB218" s="1" t="str">
        <f t="shared" si="23"/>
        <v>Dosa</v>
      </c>
      <c r="AC218" s="2" t="str">
        <f t="shared" si="27"/>
        <v xml:space="preserve"> ROSEMERE </v>
      </c>
      <c r="AD218" s="2">
        <f t="shared" si="24"/>
        <v>5</v>
      </c>
      <c r="AE218" s="2">
        <f t="shared" ca="1" si="25"/>
        <v>-495.99664201388805</v>
      </c>
      <c r="AF218" s="15"/>
    </row>
    <row r="219" spans="1:32" hidden="1">
      <c r="A219" s="1">
        <v>8038016</v>
      </c>
      <c r="B219" s="1" t="s">
        <v>81</v>
      </c>
      <c r="C219" t="s">
        <v>240</v>
      </c>
      <c r="E219" s="2">
        <v>3613200206001</v>
      </c>
      <c r="F219" s="1" t="s">
        <v>29</v>
      </c>
      <c r="G219" s="1" t="s">
        <v>53</v>
      </c>
      <c r="H219" s="1" t="s">
        <v>496</v>
      </c>
      <c r="I219" s="1" t="s">
        <v>198</v>
      </c>
      <c r="J219" s="1" t="s">
        <v>46</v>
      </c>
      <c r="K219" t="s">
        <v>34</v>
      </c>
      <c r="M219" s="1" t="s">
        <v>35</v>
      </c>
      <c r="N219" s="1">
        <v>42318949</v>
      </c>
      <c r="O219" s="1" t="s">
        <v>36</v>
      </c>
      <c r="P219" s="11" t="s">
        <v>497</v>
      </c>
      <c r="R219" s="1" t="s">
        <v>38</v>
      </c>
      <c r="T219" s="1" t="s">
        <v>74</v>
      </c>
      <c r="U219" s="11" t="s">
        <v>498</v>
      </c>
      <c r="V219" s="1" t="s">
        <v>41</v>
      </c>
      <c r="W219" s="1" t="s">
        <v>49</v>
      </c>
      <c r="X219" s="13" t="str">
        <f t="shared" si="26"/>
        <v>3613.20</v>
      </c>
      <c r="Y219" s="2">
        <f t="shared" ca="1" si="21"/>
        <v>356</v>
      </c>
      <c r="Z219" s="14">
        <v>1</v>
      </c>
      <c r="AA219" s="1" t="str">
        <f t="shared" ca="1" si="22"/>
        <v>VENCIDO</v>
      </c>
      <c r="AB219" s="1" t="str">
        <f t="shared" si="23"/>
        <v>Dosa</v>
      </c>
      <c r="AC219" s="2" t="str">
        <f t="shared" si="27"/>
        <v xml:space="preserve"> CLEITON </v>
      </c>
      <c r="AD219" s="2">
        <f t="shared" si="24"/>
        <v>5</v>
      </c>
      <c r="AE219" s="2">
        <f t="shared" ca="1" si="25"/>
        <v>-495.99757951388892</v>
      </c>
      <c r="AF219" s="15"/>
    </row>
    <row r="220" spans="1:32" hidden="1">
      <c r="A220" s="1">
        <v>8037912</v>
      </c>
      <c r="B220" s="1" t="s">
        <v>81</v>
      </c>
      <c r="C220" t="s">
        <v>240</v>
      </c>
      <c r="E220" s="2">
        <v>3234160206001</v>
      </c>
      <c r="F220" s="1" t="s">
        <v>29</v>
      </c>
      <c r="G220" s="1" t="s">
        <v>53</v>
      </c>
      <c r="H220" s="1" t="s">
        <v>499</v>
      </c>
      <c r="I220" s="1" t="s">
        <v>500</v>
      </c>
      <c r="J220" s="1" t="s">
        <v>46</v>
      </c>
      <c r="K220" t="s">
        <v>34</v>
      </c>
      <c r="M220" s="1" t="s">
        <v>35</v>
      </c>
      <c r="N220" s="1">
        <v>42318949</v>
      </c>
      <c r="O220" s="1" t="s">
        <v>36</v>
      </c>
      <c r="P220" s="11" t="s">
        <v>501</v>
      </c>
      <c r="R220" s="1" t="s">
        <v>38</v>
      </c>
      <c r="T220" s="1" t="s">
        <v>74</v>
      </c>
      <c r="U220" s="11" t="s">
        <v>502</v>
      </c>
      <c r="V220" s="1" t="s">
        <v>41</v>
      </c>
      <c r="W220" s="1" t="s">
        <v>49</v>
      </c>
      <c r="X220" s="13" t="str">
        <f t="shared" si="26"/>
        <v>3234.16</v>
      </c>
      <c r="Y220" s="2">
        <f t="shared" ca="1" si="21"/>
        <v>356</v>
      </c>
      <c r="Z220" s="14">
        <v>1</v>
      </c>
      <c r="AA220" s="1" t="str">
        <f t="shared" ca="1" si="22"/>
        <v>VENCIDO</v>
      </c>
      <c r="AB220" s="1" t="str">
        <f t="shared" si="23"/>
        <v>Dosa</v>
      </c>
      <c r="AC220" s="2" t="str">
        <f t="shared" si="27"/>
        <v xml:space="preserve"> CLEITON </v>
      </c>
      <c r="AD220" s="2">
        <f t="shared" si="24"/>
        <v>5</v>
      </c>
      <c r="AE220" s="2">
        <f t="shared" ca="1" si="25"/>
        <v>-495.99775312499696</v>
      </c>
      <c r="AF220" s="15"/>
    </row>
    <row r="221" spans="1:32" hidden="1">
      <c r="A221" s="1">
        <v>8037881</v>
      </c>
      <c r="B221" s="1" t="s">
        <v>81</v>
      </c>
      <c r="C221" t="s">
        <v>240</v>
      </c>
      <c r="E221" s="2">
        <v>3108010206001</v>
      </c>
      <c r="F221" s="1" t="s">
        <v>29</v>
      </c>
      <c r="G221" s="1" t="s">
        <v>53</v>
      </c>
      <c r="H221" s="1" t="s">
        <v>503</v>
      </c>
      <c r="I221" s="1" t="s">
        <v>504</v>
      </c>
      <c r="J221" s="1" t="s">
        <v>46</v>
      </c>
      <c r="K221" t="s">
        <v>34</v>
      </c>
      <c r="M221" s="1" t="s">
        <v>35</v>
      </c>
      <c r="N221" s="1">
        <v>42318949</v>
      </c>
      <c r="O221" s="1" t="s">
        <v>36</v>
      </c>
      <c r="P221" s="11" t="s">
        <v>3422</v>
      </c>
      <c r="R221" s="1" t="s">
        <v>38</v>
      </c>
      <c r="T221" s="1" t="s">
        <v>74</v>
      </c>
      <c r="U221" s="11" t="s">
        <v>3969</v>
      </c>
      <c r="V221" s="1" t="s">
        <v>41</v>
      </c>
      <c r="W221" s="1" t="s">
        <v>49</v>
      </c>
      <c r="X221" s="13" t="str">
        <f t="shared" si="26"/>
        <v>3108.01</v>
      </c>
      <c r="Y221" s="2">
        <f t="shared" ca="1" si="21"/>
        <v>356</v>
      </c>
      <c r="Z221" s="14">
        <v>1</v>
      </c>
      <c r="AA221" s="1" t="str">
        <f t="shared" ca="1" si="22"/>
        <v>VENCIDO</v>
      </c>
      <c r="AB221" s="1" t="str">
        <f t="shared" si="23"/>
        <v>Dosa</v>
      </c>
      <c r="AC221" s="2" t="str">
        <f t="shared" si="27"/>
        <v xml:space="preserve"> CLEITON </v>
      </c>
      <c r="AD221" s="2">
        <f t="shared" si="24"/>
        <v>5</v>
      </c>
      <c r="AE221" s="2">
        <f t="shared" ca="1" si="25"/>
        <v>-495.99778784722002</v>
      </c>
      <c r="AF221" s="15"/>
    </row>
    <row r="222" spans="1:32" hidden="1">
      <c r="A222" s="1">
        <v>8037734</v>
      </c>
      <c r="B222" s="1" t="s">
        <v>81</v>
      </c>
      <c r="C222" t="s">
        <v>240</v>
      </c>
      <c r="E222" s="2">
        <v>2413000206001</v>
      </c>
      <c r="F222" s="1" t="s">
        <v>29</v>
      </c>
      <c r="G222" s="1" t="s">
        <v>53</v>
      </c>
      <c r="H222" s="1" t="s">
        <v>505</v>
      </c>
      <c r="I222" s="1" t="s">
        <v>506</v>
      </c>
      <c r="J222" s="1" t="s">
        <v>141</v>
      </c>
      <c r="K222" t="s">
        <v>34</v>
      </c>
      <c r="M222" s="1" t="s">
        <v>35</v>
      </c>
      <c r="N222" s="1">
        <v>42318949</v>
      </c>
      <c r="O222" s="1" t="s">
        <v>36</v>
      </c>
      <c r="P222" s="11" t="s">
        <v>507</v>
      </c>
      <c r="R222" s="1" t="s">
        <v>38</v>
      </c>
      <c r="T222" s="1" t="s">
        <v>74</v>
      </c>
      <c r="U222" s="11" t="s">
        <v>508</v>
      </c>
      <c r="V222" s="1" t="s">
        <v>41</v>
      </c>
      <c r="W222" s="1" t="s">
        <v>49</v>
      </c>
      <c r="X222" s="13" t="str">
        <f t="shared" si="26"/>
        <v/>
      </c>
      <c r="Y222" s="2">
        <f t="shared" ca="1" si="21"/>
        <v>356</v>
      </c>
      <c r="Z222" s="14">
        <v>1</v>
      </c>
      <c r="AA222" s="1" t="str">
        <f t="shared" ca="1" si="22"/>
        <v>VENCIDO</v>
      </c>
      <c r="AB222" s="1" t="str">
        <f t="shared" si="23"/>
        <v>Dosa</v>
      </c>
      <c r="AC222" s="2" t="str">
        <f t="shared" si="27"/>
        <v xml:space="preserve"> CRISTINA </v>
      </c>
      <c r="AD222" s="2">
        <f t="shared" si="24"/>
        <v>5</v>
      </c>
      <c r="AE222" s="2">
        <f t="shared" ca="1" si="25"/>
        <v>-495.99806562499725</v>
      </c>
      <c r="AF222" s="15"/>
    </row>
    <row r="223" spans="1:32" hidden="1">
      <c r="A223" s="1">
        <v>8037079</v>
      </c>
      <c r="B223" s="1" t="s">
        <v>81</v>
      </c>
      <c r="C223" t="s">
        <v>240</v>
      </c>
      <c r="E223" s="2">
        <v>7740206001</v>
      </c>
      <c r="F223" s="1" t="s">
        <v>29</v>
      </c>
      <c r="G223" s="1" t="s">
        <v>53</v>
      </c>
      <c r="H223" s="1" t="s">
        <v>187</v>
      </c>
      <c r="I223" s="1" t="s">
        <v>188</v>
      </c>
      <c r="J223" s="1" t="s">
        <v>46</v>
      </c>
      <c r="K223" t="s">
        <v>34</v>
      </c>
      <c r="M223" s="1" t="s">
        <v>35</v>
      </c>
      <c r="N223" s="1">
        <v>42318949</v>
      </c>
      <c r="O223" s="1" t="s">
        <v>36</v>
      </c>
      <c r="P223" s="11" t="s">
        <v>509</v>
      </c>
      <c r="R223" s="1" t="s">
        <v>38</v>
      </c>
      <c r="T223" s="1" t="s">
        <v>74</v>
      </c>
      <c r="U223" s="11" t="s">
        <v>510</v>
      </c>
      <c r="V223" s="1" t="s">
        <v>41</v>
      </c>
      <c r="W223" s="1" t="s">
        <v>49</v>
      </c>
      <c r="X223" s="13" t="str">
        <f t="shared" si="26"/>
        <v>0007.74</v>
      </c>
      <c r="Y223" s="2">
        <f t="shared" ca="1" si="21"/>
        <v>356</v>
      </c>
      <c r="Z223" s="14">
        <v>1</v>
      </c>
      <c r="AA223" s="1" t="str">
        <f t="shared" ca="1" si="22"/>
        <v>VENCIDO</v>
      </c>
      <c r="AB223" s="1" t="str">
        <f t="shared" si="23"/>
        <v>Dosa</v>
      </c>
      <c r="AC223" s="2" t="str">
        <f t="shared" si="27"/>
        <v xml:space="preserve"> CLEITON </v>
      </c>
      <c r="AD223" s="2">
        <f t="shared" si="24"/>
        <v>5</v>
      </c>
      <c r="AE223" s="2">
        <f t="shared" ca="1" si="25"/>
        <v>-495.9991304398136</v>
      </c>
      <c r="AF223" s="15"/>
    </row>
    <row r="224" spans="1:32" hidden="1">
      <c r="A224" s="1">
        <v>8050725</v>
      </c>
      <c r="B224" s="1" t="s">
        <v>62</v>
      </c>
      <c r="C224" t="s">
        <v>511</v>
      </c>
      <c r="E224" s="2">
        <v>4997000206001</v>
      </c>
      <c r="F224" s="1" t="s">
        <v>29</v>
      </c>
      <c r="G224" s="1" t="s">
        <v>53</v>
      </c>
      <c r="H224" s="1" t="s">
        <v>406</v>
      </c>
      <c r="I224" s="1" t="s">
        <v>407</v>
      </c>
      <c r="J224" s="1" t="s">
        <v>79</v>
      </c>
      <c r="K224" t="s">
        <v>34</v>
      </c>
      <c r="M224" s="1" t="s">
        <v>35</v>
      </c>
      <c r="N224" s="1">
        <v>42318949</v>
      </c>
      <c r="O224" s="1" t="s">
        <v>105</v>
      </c>
      <c r="P224" s="11" t="s">
        <v>512</v>
      </c>
      <c r="R224" s="1" t="s">
        <v>38</v>
      </c>
      <c r="T224" s="1" t="s">
        <v>74</v>
      </c>
      <c r="U224" s="11" t="s">
        <v>513</v>
      </c>
      <c r="V224" s="1" t="s">
        <v>41</v>
      </c>
      <c r="W224" s="1" t="s">
        <v>49</v>
      </c>
      <c r="X224" s="13" t="str">
        <f t="shared" si="26"/>
        <v/>
      </c>
      <c r="Y224" s="2">
        <f t="shared" ca="1" si="21"/>
        <v>353</v>
      </c>
      <c r="Z224" s="14">
        <v>1</v>
      </c>
      <c r="AA224" s="1" t="str">
        <f t="shared" ca="1" si="22"/>
        <v>VENCIDO</v>
      </c>
      <c r="AB224" s="1" t="str">
        <f t="shared" si="23"/>
        <v>Dosa</v>
      </c>
      <c r="AC224" s="2" t="str">
        <f t="shared" si="27"/>
        <v xml:space="preserve"> ROSEMERE </v>
      </c>
      <c r="AD224" s="2">
        <f t="shared" si="24"/>
        <v>5</v>
      </c>
      <c r="AE224" s="2">
        <f t="shared" ca="1" si="25"/>
        <v>-448.9262716435187</v>
      </c>
      <c r="AF224" s="15"/>
    </row>
    <row r="225" spans="1:32" hidden="1">
      <c r="A225" s="1">
        <v>8127356</v>
      </c>
      <c r="B225" s="1" t="s">
        <v>62</v>
      </c>
      <c r="C225" t="s">
        <v>514</v>
      </c>
      <c r="E225" s="2">
        <v>537000206001</v>
      </c>
      <c r="F225" s="1" t="s">
        <v>29</v>
      </c>
      <c r="G225" s="1" t="s">
        <v>53</v>
      </c>
      <c r="H225" s="1" t="s">
        <v>442</v>
      </c>
      <c r="I225" s="1" t="s">
        <v>443</v>
      </c>
      <c r="J225" s="1" t="s">
        <v>79</v>
      </c>
      <c r="K225" t="s">
        <v>34</v>
      </c>
      <c r="M225" s="1" t="s">
        <v>35</v>
      </c>
      <c r="N225" s="1">
        <v>42318949</v>
      </c>
      <c r="O225" s="1" t="s">
        <v>36</v>
      </c>
      <c r="P225" s="11" t="s">
        <v>3423</v>
      </c>
      <c r="R225" s="1" t="s">
        <v>38</v>
      </c>
      <c r="T225" s="1" t="s">
        <v>74</v>
      </c>
      <c r="U225" s="11" t="s">
        <v>3970</v>
      </c>
      <c r="V225" s="1" t="s">
        <v>41</v>
      </c>
      <c r="W225" s="1" t="s">
        <v>49</v>
      </c>
      <c r="X225" s="13" t="str">
        <f t="shared" si="26"/>
        <v/>
      </c>
      <c r="Y225" s="2">
        <f t="shared" ca="1" si="21"/>
        <v>335</v>
      </c>
      <c r="Z225" s="14">
        <v>1</v>
      </c>
      <c r="AA225" s="1" t="str">
        <f t="shared" ca="1" si="22"/>
        <v>VENCIDO</v>
      </c>
      <c r="AB225" s="1" t="str">
        <f t="shared" si="23"/>
        <v>Dosa</v>
      </c>
      <c r="AC225" s="2" t="str">
        <f t="shared" si="27"/>
        <v xml:space="preserve"> ROSEMERE </v>
      </c>
      <c r="AD225" s="2">
        <f t="shared" si="24"/>
        <v>5</v>
      </c>
      <c r="AE225" s="2">
        <f t="shared" ca="1" si="25"/>
        <v>-425.9262716435187</v>
      </c>
      <c r="AF225" s="15"/>
    </row>
    <row r="226" spans="1:32" hidden="1">
      <c r="A226" s="1">
        <v>8130031</v>
      </c>
      <c r="B226" s="1" t="s">
        <v>62</v>
      </c>
      <c r="C226" t="s">
        <v>515</v>
      </c>
      <c r="E226" s="2">
        <v>5742000206001</v>
      </c>
      <c r="F226" s="1" t="s">
        <v>29</v>
      </c>
      <c r="G226" s="1" t="s">
        <v>53</v>
      </c>
      <c r="H226" s="1" t="s">
        <v>430</v>
      </c>
      <c r="I226" s="1" t="s">
        <v>431</v>
      </c>
      <c r="J226" s="1" t="s">
        <v>79</v>
      </c>
      <c r="K226" t="s">
        <v>34</v>
      </c>
      <c r="M226" s="1" t="s">
        <v>35</v>
      </c>
      <c r="N226" s="1">
        <v>42318949</v>
      </c>
      <c r="O226" s="1" t="s">
        <v>105</v>
      </c>
      <c r="P226" s="11" t="s">
        <v>516</v>
      </c>
      <c r="R226" s="1" t="s">
        <v>38</v>
      </c>
      <c r="T226" s="1" t="s">
        <v>74</v>
      </c>
      <c r="U226" s="11" t="s">
        <v>517</v>
      </c>
      <c r="V226" s="1" t="s">
        <v>41</v>
      </c>
      <c r="W226" s="1" t="s">
        <v>49</v>
      </c>
      <c r="X226" s="13" t="str">
        <f t="shared" si="26"/>
        <v/>
      </c>
      <c r="Y226" s="2">
        <f t="shared" ca="1" si="21"/>
        <v>334</v>
      </c>
      <c r="Z226" s="14">
        <v>1</v>
      </c>
      <c r="AA226" s="1" t="str">
        <f t="shared" ca="1" si="22"/>
        <v>VENCIDO</v>
      </c>
      <c r="AB226" s="1" t="str">
        <f t="shared" si="23"/>
        <v>Dosa</v>
      </c>
      <c r="AC226" s="2" t="str">
        <f t="shared" si="27"/>
        <v xml:space="preserve"> ROSEMERE </v>
      </c>
      <c r="AD226" s="2">
        <f t="shared" si="24"/>
        <v>5</v>
      </c>
      <c r="AE226" s="2">
        <f t="shared" ca="1" si="25"/>
        <v>-424.9262716435187</v>
      </c>
      <c r="AF226" s="15"/>
    </row>
    <row r="227" spans="1:32" hidden="1">
      <c r="A227" s="1">
        <v>8139932</v>
      </c>
      <c r="B227" s="1" t="s">
        <v>81</v>
      </c>
      <c r="C227" t="s">
        <v>518</v>
      </c>
      <c r="E227" s="2">
        <v>7419141893543</v>
      </c>
      <c r="F227" s="1" t="s">
        <v>128</v>
      </c>
      <c r="G227" s="1" t="s">
        <v>53</v>
      </c>
      <c r="H227" s="1" t="s">
        <v>519</v>
      </c>
      <c r="I227" s="1" t="s">
        <v>520</v>
      </c>
      <c r="J227" s="1" t="s">
        <v>90</v>
      </c>
      <c r="K227" t="s">
        <v>129</v>
      </c>
      <c r="M227" s="1" t="s">
        <v>58</v>
      </c>
      <c r="N227" s="1">
        <v>0</v>
      </c>
      <c r="O227" s="1" t="s">
        <v>105</v>
      </c>
      <c r="P227" s="11" t="s">
        <v>521</v>
      </c>
      <c r="R227" s="1">
        <v>14</v>
      </c>
      <c r="T227" s="1" t="s">
        <v>238</v>
      </c>
      <c r="U227" s="11" t="s">
        <v>522</v>
      </c>
      <c r="V227" s="1" t="s">
        <v>41</v>
      </c>
      <c r="W227" s="1" t="s">
        <v>49</v>
      </c>
      <c r="X227" s="13" t="str">
        <f t="shared" si="26"/>
        <v>0870.91</v>
      </c>
      <c r="Y227" s="2">
        <f t="shared" ca="1" si="21"/>
        <v>331</v>
      </c>
      <c r="Z227" s="14">
        <v>1</v>
      </c>
      <c r="AA227" s="1" t="str">
        <f t="shared" ca="1" si="22"/>
        <v>VENCIDO</v>
      </c>
      <c r="AB227" s="1" t="str">
        <f t="shared" si="23"/>
        <v>TAAe+</v>
      </c>
      <c r="AC227" s="2" t="str">
        <f t="shared" si="27"/>
        <v xml:space="preserve"> RINALDO </v>
      </c>
      <c r="AD227" s="2">
        <f t="shared" si="24"/>
        <v>8</v>
      </c>
      <c r="AE227" s="2">
        <f t="shared" ca="1" si="25"/>
        <v>-461.65576238426002</v>
      </c>
      <c r="AF227" s="15"/>
    </row>
    <row r="228" spans="1:32" hidden="1">
      <c r="A228" s="1">
        <v>8139913</v>
      </c>
      <c r="B228" s="1" t="s">
        <v>81</v>
      </c>
      <c r="C228" t="s">
        <v>518</v>
      </c>
      <c r="E228" s="2">
        <v>7417163284512</v>
      </c>
      <c r="F228" s="1" t="s">
        <v>131</v>
      </c>
      <c r="G228" s="1" t="s">
        <v>53</v>
      </c>
      <c r="H228" s="1" t="s">
        <v>519</v>
      </c>
      <c r="I228" s="1" t="s">
        <v>520</v>
      </c>
      <c r="J228" s="1" t="s">
        <v>90</v>
      </c>
      <c r="K228" t="s">
        <v>132</v>
      </c>
      <c r="M228" s="1" t="s">
        <v>58</v>
      </c>
      <c r="N228" s="1">
        <v>0</v>
      </c>
      <c r="O228" s="1" t="s">
        <v>105</v>
      </c>
      <c r="P228" s="11" t="s">
        <v>523</v>
      </c>
      <c r="R228" s="1">
        <v>14</v>
      </c>
      <c r="T228" s="1" t="s">
        <v>238</v>
      </c>
      <c r="U228" s="11" t="s">
        <v>524</v>
      </c>
      <c r="V228" s="1" t="s">
        <v>41</v>
      </c>
      <c r="W228" s="1" t="s">
        <v>49</v>
      </c>
      <c r="X228" s="13" t="str">
        <f t="shared" si="26"/>
        <v>0870.91</v>
      </c>
      <c r="Y228" s="2">
        <f t="shared" ca="1" si="21"/>
        <v>331</v>
      </c>
      <c r="Z228" s="14">
        <v>1</v>
      </c>
      <c r="AA228" s="1" t="str">
        <f t="shared" ca="1" si="22"/>
        <v>VENCIDO</v>
      </c>
      <c r="AB228" s="1" t="str">
        <f t="shared" si="23"/>
        <v>TAAe+</v>
      </c>
      <c r="AC228" s="2" t="str">
        <f t="shared" si="27"/>
        <v xml:space="preserve"> RINALDO </v>
      </c>
      <c r="AD228" s="2">
        <f t="shared" si="24"/>
        <v>8</v>
      </c>
      <c r="AE228" s="2">
        <f t="shared" ca="1" si="25"/>
        <v>-461.6557855324063</v>
      </c>
      <c r="AF228" s="15"/>
    </row>
    <row r="229" spans="1:32" hidden="1">
      <c r="A229" s="1">
        <v>8253667</v>
      </c>
      <c r="B229" s="1" t="s">
        <v>62</v>
      </c>
      <c r="C229" t="s">
        <v>3575</v>
      </c>
      <c r="E229" s="2">
        <v>1902016589800</v>
      </c>
      <c r="F229" s="1" t="s">
        <v>64</v>
      </c>
      <c r="G229" s="1" t="s">
        <v>53</v>
      </c>
      <c r="H229" s="1" t="s">
        <v>365</v>
      </c>
      <c r="I229" s="1" t="s">
        <v>366</v>
      </c>
      <c r="J229" s="1" t="s">
        <v>164</v>
      </c>
      <c r="K229" t="s">
        <v>67</v>
      </c>
      <c r="M229" s="1" t="s">
        <v>35</v>
      </c>
      <c r="N229" s="1">
        <v>42318949</v>
      </c>
      <c r="O229" s="1" t="s">
        <v>36</v>
      </c>
      <c r="P229" s="11" t="s">
        <v>526</v>
      </c>
      <c r="R229" s="1">
        <v>1</v>
      </c>
      <c r="T229" s="1" t="s">
        <v>69</v>
      </c>
      <c r="U229" s="186">
        <v>44566.451747685183</v>
      </c>
      <c r="V229" s="1" t="s">
        <v>41</v>
      </c>
      <c r="W229" s="1" t="s">
        <v>49</v>
      </c>
      <c r="X229" s="13" t="str">
        <f t="shared" si="26"/>
        <v/>
      </c>
      <c r="Y229" s="2">
        <f t="shared" ca="1" si="21"/>
        <v>302</v>
      </c>
      <c r="Z229" s="14">
        <v>1</v>
      </c>
      <c r="AA229" s="1" t="str">
        <f t="shared" ca="1" si="22"/>
        <v>VENCIDO</v>
      </c>
      <c r="AB229" s="1" t="str">
        <f t="shared" si="23"/>
        <v>TAAe+</v>
      </c>
      <c r="AC229" s="2" t="str">
        <f t="shared" si="27"/>
        <v xml:space="preserve"> ROSEMERE </v>
      </c>
      <c r="AD229" s="2">
        <f t="shared" si="24"/>
        <v>8</v>
      </c>
      <c r="AE229" s="2">
        <f t="shared" ca="1" si="25"/>
        <v>-420.22452395833534</v>
      </c>
      <c r="AF229" s="15"/>
    </row>
    <row r="230" spans="1:32" hidden="1">
      <c r="A230" s="1">
        <v>8253660</v>
      </c>
      <c r="B230" s="1" t="s">
        <v>62</v>
      </c>
      <c r="C230" t="s">
        <v>3575</v>
      </c>
      <c r="E230" s="2">
        <v>1902016083400</v>
      </c>
      <c r="F230" s="1" t="s">
        <v>64</v>
      </c>
      <c r="G230" s="1" t="s">
        <v>53</v>
      </c>
      <c r="H230" s="1" t="s">
        <v>367</v>
      </c>
      <c r="I230" s="1" t="s">
        <v>368</v>
      </c>
      <c r="J230" s="1" t="s">
        <v>261</v>
      </c>
      <c r="K230" t="s">
        <v>67</v>
      </c>
      <c r="M230" s="1" t="s">
        <v>35</v>
      </c>
      <c r="N230" s="1">
        <v>42318949</v>
      </c>
      <c r="O230" s="1" t="s">
        <v>36</v>
      </c>
      <c r="P230" s="11" t="s">
        <v>528</v>
      </c>
      <c r="R230" s="1">
        <v>1</v>
      </c>
      <c r="T230" s="1" t="s">
        <v>69</v>
      </c>
      <c r="U230" s="186">
        <v>44566.451736111114</v>
      </c>
      <c r="V230" s="1" t="s">
        <v>41</v>
      </c>
      <c r="W230" s="1" t="s">
        <v>49</v>
      </c>
      <c r="X230" s="13" t="str">
        <f t="shared" si="26"/>
        <v/>
      </c>
      <c r="Y230" s="2">
        <f t="shared" ca="1" si="21"/>
        <v>302</v>
      </c>
      <c r="Z230" s="14">
        <v>1</v>
      </c>
      <c r="AA230" s="1" t="str">
        <f t="shared" ca="1" si="22"/>
        <v>VENCIDO</v>
      </c>
      <c r="AB230" s="1" t="str">
        <f t="shared" si="23"/>
        <v>TAAe+</v>
      </c>
      <c r="AC230" s="2" t="str">
        <f t="shared" si="27"/>
        <v xml:space="preserve"> CRISTINA </v>
      </c>
      <c r="AD230" s="2">
        <f t="shared" si="24"/>
        <v>8</v>
      </c>
      <c r="AE230" s="2">
        <f t="shared" ca="1" si="25"/>
        <v>-420.22453553240484</v>
      </c>
      <c r="AF230" s="15"/>
    </row>
    <row r="231" spans="1:32" hidden="1">
      <c r="A231" s="1">
        <v>8253659</v>
      </c>
      <c r="B231" s="1" t="s">
        <v>62</v>
      </c>
      <c r="C231" t="s">
        <v>3575</v>
      </c>
      <c r="E231" s="2">
        <v>1902016057000</v>
      </c>
      <c r="F231" s="1" t="s">
        <v>64</v>
      </c>
      <c r="G231" s="1" t="s">
        <v>53</v>
      </c>
      <c r="H231" s="1" t="s">
        <v>434</v>
      </c>
      <c r="I231" s="1" t="s">
        <v>435</v>
      </c>
      <c r="J231" s="1" t="s">
        <v>148</v>
      </c>
      <c r="K231" t="s">
        <v>67</v>
      </c>
      <c r="M231" s="1" t="s">
        <v>35</v>
      </c>
      <c r="N231" s="1">
        <v>42318949</v>
      </c>
      <c r="O231" s="1" t="s">
        <v>36</v>
      </c>
      <c r="P231" s="11" t="s">
        <v>528</v>
      </c>
      <c r="R231" s="1">
        <v>1</v>
      </c>
      <c r="T231" s="1" t="s">
        <v>69</v>
      </c>
      <c r="U231" s="186">
        <v>44566.451736111114</v>
      </c>
      <c r="V231" s="1" t="s">
        <v>41</v>
      </c>
      <c r="W231" s="1" t="s">
        <v>49</v>
      </c>
      <c r="X231" s="13" t="str">
        <f t="shared" si="26"/>
        <v/>
      </c>
      <c r="Y231" s="2">
        <f t="shared" ca="1" si="21"/>
        <v>302</v>
      </c>
      <c r="Z231" s="14">
        <v>1</v>
      </c>
      <c r="AA231" s="1" t="str">
        <f t="shared" ca="1" si="22"/>
        <v>VENCIDO</v>
      </c>
      <c r="AB231" s="1" t="str">
        <f t="shared" si="23"/>
        <v>TAAe+</v>
      </c>
      <c r="AC231" s="2" t="str">
        <f t="shared" si="27"/>
        <v xml:space="preserve"> RINALDO </v>
      </c>
      <c r="AD231" s="2">
        <f t="shared" si="24"/>
        <v>8</v>
      </c>
      <c r="AE231" s="2">
        <f t="shared" ca="1" si="25"/>
        <v>-420.22453553240484</v>
      </c>
      <c r="AF231" s="15"/>
    </row>
    <row r="232" spans="1:32" hidden="1">
      <c r="A232" s="1">
        <v>8253658</v>
      </c>
      <c r="B232" s="1" t="s">
        <v>62</v>
      </c>
      <c r="C232" t="s">
        <v>3575</v>
      </c>
      <c r="E232" s="2">
        <v>1902016044600</v>
      </c>
      <c r="F232" s="1" t="s">
        <v>64</v>
      </c>
      <c r="G232" s="1" t="s">
        <v>53</v>
      </c>
      <c r="H232" s="1" t="s">
        <v>432</v>
      </c>
      <c r="I232" s="1" t="s">
        <v>433</v>
      </c>
      <c r="J232" s="1" t="s">
        <v>141</v>
      </c>
      <c r="K232" t="s">
        <v>67</v>
      </c>
      <c r="M232" s="1" t="s">
        <v>35</v>
      </c>
      <c r="N232" s="1">
        <v>42318949</v>
      </c>
      <c r="O232" s="1" t="s">
        <v>36</v>
      </c>
      <c r="P232" s="11" t="s">
        <v>528</v>
      </c>
      <c r="R232" s="1">
        <v>1</v>
      </c>
      <c r="T232" s="1" t="s">
        <v>69</v>
      </c>
      <c r="U232" s="186">
        <v>44566.451736111114</v>
      </c>
      <c r="V232" s="1" t="s">
        <v>41</v>
      </c>
      <c r="W232" s="1" t="s">
        <v>49</v>
      </c>
      <c r="X232" s="13" t="str">
        <f t="shared" si="26"/>
        <v/>
      </c>
      <c r="Y232" s="2">
        <f t="shared" ca="1" si="21"/>
        <v>302</v>
      </c>
      <c r="Z232" s="14">
        <v>1</v>
      </c>
      <c r="AA232" s="1" t="str">
        <f t="shared" ca="1" si="22"/>
        <v>VENCIDO</v>
      </c>
      <c r="AB232" s="1" t="str">
        <f t="shared" si="23"/>
        <v>TAAe+</v>
      </c>
      <c r="AC232" s="2" t="str">
        <f t="shared" si="27"/>
        <v xml:space="preserve"> CRISTINA </v>
      </c>
      <c r="AD232" s="2">
        <f t="shared" si="24"/>
        <v>8</v>
      </c>
      <c r="AE232" s="2">
        <f t="shared" ca="1" si="25"/>
        <v>-420.22453553240484</v>
      </c>
      <c r="AF232" s="15"/>
    </row>
    <row r="233" spans="1:32" hidden="1">
      <c r="A233" s="1">
        <v>8253656</v>
      </c>
      <c r="B233" s="1" t="s">
        <v>62</v>
      </c>
      <c r="C233" t="s">
        <v>3575</v>
      </c>
      <c r="E233" s="2">
        <v>1902016015900</v>
      </c>
      <c r="F233" s="1" t="s">
        <v>64</v>
      </c>
      <c r="G233" s="1" t="s">
        <v>53</v>
      </c>
      <c r="H233" s="1" t="s">
        <v>331</v>
      </c>
      <c r="I233" s="1" t="s">
        <v>332</v>
      </c>
      <c r="J233" s="1" t="s">
        <v>79</v>
      </c>
      <c r="K233" t="s">
        <v>67</v>
      </c>
      <c r="M233" s="1" t="s">
        <v>35</v>
      </c>
      <c r="N233" s="1">
        <v>42318949</v>
      </c>
      <c r="O233" s="1" t="s">
        <v>36</v>
      </c>
      <c r="P233" s="11" t="s">
        <v>528</v>
      </c>
      <c r="R233" s="1">
        <v>1</v>
      </c>
      <c r="T233" s="1" t="s">
        <v>69</v>
      </c>
      <c r="U233" s="186">
        <v>44566.451736111114</v>
      </c>
      <c r="V233" s="1" t="s">
        <v>41</v>
      </c>
      <c r="W233" s="1" t="s">
        <v>49</v>
      </c>
      <c r="X233" s="13" t="str">
        <f t="shared" si="26"/>
        <v/>
      </c>
      <c r="Y233" s="2">
        <f t="shared" ca="1" si="21"/>
        <v>302</v>
      </c>
      <c r="Z233" s="14">
        <v>1</v>
      </c>
      <c r="AA233" s="1" t="str">
        <f t="shared" ca="1" si="22"/>
        <v>VENCIDO</v>
      </c>
      <c r="AB233" s="1" t="str">
        <f t="shared" si="23"/>
        <v>TAAe+</v>
      </c>
      <c r="AC233" s="2" t="str">
        <f t="shared" si="27"/>
        <v xml:space="preserve"> ROSEMERE </v>
      </c>
      <c r="AD233" s="2">
        <f t="shared" si="24"/>
        <v>8</v>
      </c>
      <c r="AE233" s="2">
        <f t="shared" ca="1" si="25"/>
        <v>-420.22453553240484</v>
      </c>
      <c r="AF233" s="15"/>
    </row>
    <row r="234" spans="1:32" hidden="1">
      <c r="A234" s="1">
        <v>8290700</v>
      </c>
      <c r="B234" s="1" t="s">
        <v>62</v>
      </c>
      <c r="C234" t="s">
        <v>530</v>
      </c>
      <c r="E234" s="2">
        <v>963000203010</v>
      </c>
      <c r="F234" s="1" t="s">
        <v>152</v>
      </c>
      <c r="G234" s="1" t="s">
        <v>53</v>
      </c>
      <c r="H234" s="1" t="s">
        <v>531</v>
      </c>
      <c r="I234" s="1" t="s">
        <v>532</v>
      </c>
      <c r="J234" s="1" t="s">
        <v>33</v>
      </c>
      <c r="K234" t="s">
        <v>155</v>
      </c>
      <c r="M234" s="1" t="s">
        <v>35</v>
      </c>
      <c r="N234" s="1">
        <v>42318949</v>
      </c>
      <c r="O234" s="1" t="s">
        <v>36</v>
      </c>
      <c r="P234" s="11" t="s">
        <v>533</v>
      </c>
      <c r="R234" s="1" t="s">
        <v>38</v>
      </c>
      <c r="T234" s="1" t="s">
        <v>157</v>
      </c>
      <c r="U234" s="186">
        <v>44614.75</v>
      </c>
      <c r="V234" s="1" t="s">
        <v>41</v>
      </c>
      <c r="W234" s="1" t="s">
        <v>49</v>
      </c>
      <c r="X234" s="13" t="str">
        <f t="shared" si="26"/>
        <v/>
      </c>
      <c r="Y234" s="2">
        <f t="shared" ca="1" si="21"/>
        <v>291</v>
      </c>
      <c r="Z234" s="14">
        <v>1</v>
      </c>
      <c r="AA234" s="1" t="str">
        <f t="shared" ca="1" si="22"/>
        <v>VENCIDO</v>
      </c>
      <c r="AB234" s="1" t="str">
        <f t="shared" si="23"/>
        <v>TAAe+</v>
      </c>
      <c r="AC234" s="2" t="str">
        <f t="shared" si="27"/>
        <v xml:space="preserve"> ROSEMERE </v>
      </c>
      <c r="AD234" s="2">
        <f t="shared" si="24"/>
        <v>8</v>
      </c>
      <c r="AE234" s="2">
        <f t="shared" ca="1" si="25"/>
        <v>-371.9262716435187</v>
      </c>
      <c r="AF234" s="15"/>
    </row>
    <row r="235" spans="1:32" hidden="1">
      <c r="A235" s="1">
        <v>8290676</v>
      </c>
      <c r="B235" s="1" t="s">
        <v>62</v>
      </c>
      <c r="C235" t="s">
        <v>530</v>
      </c>
      <c r="E235" s="2">
        <v>67000203010</v>
      </c>
      <c r="F235" s="1" t="s">
        <v>152</v>
      </c>
      <c r="G235" s="1" t="s">
        <v>53</v>
      </c>
      <c r="H235" s="1" t="s">
        <v>404</v>
      </c>
      <c r="I235" s="1" t="s">
        <v>405</v>
      </c>
      <c r="J235" s="1" t="s">
        <v>164</v>
      </c>
      <c r="K235" t="s">
        <v>155</v>
      </c>
      <c r="M235" s="1" t="s">
        <v>35</v>
      </c>
      <c r="N235" s="1">
        <v>42318949</v>
      </c>
      <c r="O235" s="1" t="s">
        <v>36</v>
      </c>
      <c r="P235" s="11" t="s">
        <v>535</v>
      </c>
      <c r="R235" s="1" t="s">
        <v>38</v>
      </c>
      <c r="T235" s="1" t="s">
        <v>157</v>
      </c>
      <c r="U235" s="186">
        <v>44614.75</v>
      </c>
      <c r="V235" s="1" t="s">
        <v>41</v>
      </c>
      <c r="W235" s="1" t="s">
        <v>49</v>
      </c>
      <c r="X235" s="13" t="str">
        <f t="shared" si="26"/>
        <v/>
      </c>
      <c r="Y235" s="2">
        <f t="shared" ca="1" si="21"/>
        <v>291</v>
      </c>
      <c r="Z235" s="14">
        <v>1</v>
      </c>
      <c r="AA235" s="1" t="str">
        <f t="shared" ca="1" si="22"/>
        <v>VENCIDO</v>
      </c>
      <c r="AB235" s="1" t="str">
        <f t="shared" si="23"/>
        <v>TAAe+</v>
      </c>
      <c r="AC235" s="2" t="str">
        <f t="shared" si="27"/>
        <v xml:space="preserve"> ROSEMERE </v>
      </c>
      <c r="AD235" s="2">
        <f t="shared" si="24"/>
        <v>8</v>
      </c>
      <c r="AE235" s="2">
        <f t="shared" ca="1" si="25"/>
        <v>-371.9262716435187</v>
      </c>
      <c r="AF235" s="15"/>
    </row>
    <row r="236" spans="1:32" hidden="1">
      <c r="A236" s="1">
        <v>8290634</v>
      </c>
      <c r="B236" s="1" t="s">
        <v>62</v>
      </c>
      <c r="C236" t="s">
        <v>530</v>
      </c>
      <c r="E236" s="2">
        <v>2988000203010</v>
      </c>
      <c r="F236" s="1" t="s">
        <v>152</v>
      </c>
      <c r="G236" s="1" t="s">
        <v>53</v>
      </c>
      <c r="H236" s="1" t="s">
        <v>536</v>
      </c>
      <c r="I236" s="1" t="s">
        <v>537</v>
      </c>
      <c r="J236" s="1" t="s">
        <v>46</v>
      </c>
      <c r="K236" t="s">
        <v>155</v>
      </c>
      <c r="M236" s="1" t="s">
        <v>35</v>
      </c>
      <c r="N236" s="1">
        <v>42318949</v>
      </c>
      <c r="O236" s="1" t="s">
        <v>36</v>
      </c>
      <c r="P236" s="11" t="s">
        <v>538</v>
      </c>
      <c r="R236" s="1" t="s">
        <v>38</v>
      </c>
      <c r="T236" s="1" t="s">
        <v>157</v>
      </c>
      <c r="U236" s="186">
        <v>44614.75</v>
      </c>
      <c r="V236" s="1" t="s">
        <v>41</v>
      </c>
      <c r="W236" s="1" t="s">
        <v>49</v>
      </c>
      <c r="X236" s="13" t="str">
        <f t="shared" si="26"/>
        <v/>
      </c>
      <c r="Y236" s="2">
        <f t="shared" ca="1" si="21"/>
        <v>291</v>
      </c>
      <c r="Z236" s="14">
        <v>1</v>
      </c>
      <c r="AA236" s="1" t="str">
        <f t="shared" ca="1" si="22"/>
        <v>VENCIDO</v>
      </c>
      <c r="AB236" s="1" t="str">
        <f t="shared" si="23"/>
        <v>TAAe+</v>
      </c>
      <c r="AC236" s="2" t="str">
        <f t="shared" si="27"/>
        <v xml:space="preserve"> CLEITON </v>
      </c>
      <c r="AD236" s="2">
        <f t="shared" si="24"/>
        <v>8</v>
      </c>
      <c r="AE236" s="2">
        <f t="shared" ca="1" si="25"/>
        <v>-371.9262716435187</v>
      </c>
      <c r="AF236" s="15"/>
    </row>
    <row r="237" spans="1:32" hidden="1">
      <c r="A237" s="1">
        <v>8290541</v>
      </c>
      <c r="B237" s="1" t="s">
        <v>62</v>
      </c>
      <c r="C237" t="s">
        <v>530</v>
      </c>
      <c r="E237" s="2">
        <v>1185000203010</v>
      </c>
      <c r="F237" s="1" t="s">
        <v>152</v>
      </c>
      <c r="G237" s="1" t="s">
        <v>53</v>
      </c>
      <c r="H237" s="1" t="s">
        <v>539</v>
      </c>
      <c r="I237" s="1" t="s">
        <v>540</v>
      </c>
      <c r="J237" s="1" t="s">
        <v>33</v>
      </c>
      <c r="K237" t="s">
        <v>155</v>
      </c>
      <c r="M237" s="1" t="s">
        <v>35</v>
      </c>
      <c r="N237" s="1">
        <v>42318949</v>
      </c>
      <c r="O237" s="1" t="s">
        <v>36</v>
      </c>
      <c r="P237" s="11" t="s">
        <v>541</v>
      </c>
      <c r="R237" s="1" t="s">
        <v>38</v>
      </c>
      <c r="T237" s="1" t="s">
        <v>157</v>
      </c>
      <c r="U237" s="186">
        <v>44614.75</v>
      </c>
      <c r="V237" s="1" t="s">
        <v>41</v>
      </c>
      <c r="W237" s="1" t="s">
        <v>42</v>
      </c>
      <c r="X237" s="13" t="str">
        <f t="shared" si="26"/>
        <v/>
      </c>
      <c r="Y237" s="2">
        <f t="shared" ca="1" si="21"/>
        <v>291</v>
      </c>
      <c r="Z237" s="14">
        <v>1</v>
      </c>
      <c r="AA237" s="1" t="str">
        <f t="shared" ca="1" si="22"/>
        <v>VENCIDO</v>
      </c>
      <c r="AB237" s="1" t="str">
        <f t="shared" si="23"/>
        <v>TAAe+</v>
      </c>
      <c r="AC237" s="2" t="str">
        <f t="shared" si="27"/>
        <v xml:space="preserve"> ROSEMERE </v>
      </c>
      <c r="AD237" s="2">
        <f t="shared" si="24"/>
        <v>8</v>
      </c>
      <c r="AE237" s="2">
        <f t="shared" ca="1" si="25"/>
        <v>-371.9262716435187</v>
      </c>
      <c r="AF237" s="15"/>
    </row>
    <row r="238" spans="1:32" hidden="1">
      <c r="A238" s="1">
        <v>8290533</v>
      </c>
      <c r="B238" s="1" t="s">
        <v>62</v>
      </c>
      <c r="C238" t="s">
        <v>530</v>
      </c>
      <c r="E238" s="2">
        <v>115000203010</v>
      </c>
      <c r="F238" s="1" t="s">
        <v>152</v>
      </c>
      <c r="G238" s="1" t="s">
        <v>53</v>
      </c>
      <c r="H238" s="1" t="s">
        <v>542</v>
      </c>
      <c r="I238" s="1" t="s">
        <v>543</v>
      </c>
      <c r="J238" s="1" t="s">
        <v>56</v>
      </c>
      <c r="K238" t="s">
        <v>155</v>
      </c>
      <c r="M238" s="1" t="s">
        <v>35</v>
      </c>
      <c r="N238" s="1">
        <v>42318949</v>
      </c>
      <c r="O238" s="1" t="s">
        <v>36</v>
      </c>
      <c r="P238" s="11" t="s">
        <v>544</v>
      </c>
      <c r="R238" s="1" t="s">
        <v>38</v>
      </c>
      <c r="T238" s="1" t="s">
        <v>157</v>
      </c>
      <c r="U238" s="186">
        <v>44614.75</v>
      </c>
      <c r="V238" s="1" t="s">
        <v>41</v>
      </c>
      <c r="W238" s="1" t="s">
        <v>49</v>
      </c>
      <c r="X238" s="13" t="str">
        <f t="shared" si="26"/>
        <v/>
      </c>
      <c r="Y238" s="2">
        <f t="shared" ca="1" si="21"/>
        <v>291</v>
      </c>
      <c r="Z238" s="14">
        <v>1</v>
      </c>
      <c r="AA238" s="1" t="str">
        <f t="shared" ca="1" si="22"/>
        <v>VENCIDO</v>
      </c>
      <c r="AB238" s="1" t="str">
        <f t="shared" si="23"/>
        <v>TAAe+</v>
      </c>
      <c r="AC238" s="2" t="str">
        <f t="shared" si="27"/>
        <v xml:space="preserve"> CRISTINA </v>
      </c>
      <c r="AD238" s="2">
        <f t="shared" si="24"/>
        <v>8</v>
      </c>
      <c r="AE238" s="2">
        <f t="shared" ca="1" si="25"/>
        <v>-371.9262716435187</v>
      </c>
      <c r="AF238" s="15"/>
    </row>
    <row r="239" spans="1:32" hidden="1">
      <c r="A239" s="1">
        <v>8290521</v>
      </c>
      <c r="B239" s="1" t="s">
        <v>62</v>
      </c>
      <c r="C239" t="s">
        <v>530</v>
      </c>
      <c r="E239" s="2">
        <v>1059000203010</v>
      </c>
      <c r="F239" s="1" t="s">
        <v>152</v>
      </c>
      <c r="G239" s="1" t="s">
        <v>53</v>
      </c>
      <c r="H239" s="1" t="s">
        <v>88</v>
      </c>
      <c r="I239" s="1" t="s">
        <v>89</v>
      </c>
      <c r="J239" s="1" t="s">
        <v>90</v>
      </c>
      <c r="K239" t="s">
        <v>155</v>
      </c>
      <c r="M239" s="1" t="s">
        <v>35</v>
      </c>
      <c r="N239" s="1">
        <v>42318949</v>
      </c>
      <c r="O239" s="1" t="s">
        <v>36</v>
      </c>
      <c r="P239" s="11" t="s">
        <v>545</v>
      </c>
      <c r="R239" s="1" t="s">
        <v>38</v>
      </c>
      <c r="T239" s="1" t="s">
        <v>157</v>
      </c>
      <c r="U239" s="186">
        <v>44614.75</v>
      </c>
      <c r="V239" s="1" t="s">
        <v>41</v>
      </c>
      <c r="W239" s="1" t="s">
        <v>49</v>
      </c>
      <c r="X239" s="13" t="str">
        <f t="shared" si="26"/>
        <v/>
      </c>
      <c r="Y239" s="2">
        <f t="shared" ca="1" si="21"/>
        <v>291</v>
      </c>
      <c r="Z239" s="14">
        <v>1</v>
      </c>
      <c r="AA239" s="1" t="str">
        <f t="shared" ca="1" si="22"/>
        <v>VENCIDO</v>
      </c>
      <c r="AB239" s="1" t="str">
        <f t="shared" si="23"/>
        <v>TAAe+</v>
      </c>
      <c r="AC239" s="2" t="str">
        <f t="shared" si="27"/>
        <v xml:space="preserve"> RINALDO </v>
      </c>
      <c r="AD239" s="2">
        <f t="shared" si="24"/>
        <v>8</v>
      </c>
      <c r="AE239" s="2">
        <f t="shared" ca="1" si="25"/>
        <v>-371.9262716435187</v>
      </c>
      <c r="AF239" s="15"/>
    </row>
    <row r="240" spans="1:32" hidden="1">
      <c r="A240" s="1">
        <v>8290456</v>
      </c>
      <c r="B240" s="1" t="s">
        <v>62</v>
      </c>
      <c r="C240" t="s">
        <v>530</v>
      </c>
      <c r="E240" s="2">
        <v>5816000203010</v>
      </c>
      <c r="F240" s="1" t="s">
        <v>152</v>
      </c>
      <c r="G240" s="1" t="s">
        <v>53</v>
      </c>
      <c r="H240" s="1" t="s">
        <v>412</v>
      </c>
      <c r="I240" s="1" t="s">
        <v>413</v>
      </c>
      <c r="J240" s="1" t="s">
        <v>46</v>
      </c>
      <c r="K240" t="s">
        <v>155</v>
      </c>
      <c r="M240" s="1" t="s">
        <v>35</v>
      </c>
      <c r="N240" s="1">
        <v>42318949</v>
      </c>
      <c r="O240" s="1" t="s">
        <v>36</v>
      </c>
      <c r="P240" s="11" t="s">
        <v>546</v>
      </c>
      <c r="R240" s="1" t="s">
        <v>38</v>
      </c>
      <c r="T240" s="1" t="s">
        <v>157</v>
      </c>
      <c r="U240" s="186">
        <v>44614.75</v>
      </c>
      <c r="V240" s="1" t="s">
        <v>41</v>
      </c>
      <c r="W240" s="1" t="s">
        <v>49</v>
      </c>
      <c r="X240" s="13" t="str">
        <f t="shared" si="26"/>
        <v/>
      </c>
      <c r="Y240" s="2">
        <f t="shared" ca="1" si="21"/>
        <v>291</v>
      </c>
      <c r="Z240" s="14">
        <v>1</v>
      </c>
      <c r="AA240" s="1" t="str">
        <f t="shared" ca="1" si="22"/>
        <v>VENCIDO</v>
      </c>
      <c r="AB240" s="1" t="str">
        <f t="shared" si="23"/>
        <v>TAAe+</v>
      </c>
      <c r="AC240" s="2" t="str">
        <f t="shared" si="27"/>
        <v xml:space="preserve"> CLEITON </v>
      </c>
      <c r="AD240" s="2">
        <f t="shared" si="24"/>
        <v>8</v>
      </c>
      <c r="AE240" s="2">
        <f t="shared" ca="1" si="25"/>
        <v>-371.9262716435187</v>
      </c>
      <c r="AF240" s="15"/>
    </row>
    <row r="241" spans="1:32" hidden="1">
      <c r="A241" s="1">
        <v>8290427</v>
      </c>
      <c r="B241" s="1" t="s">
        <v>62</v>
      </c>
      <c r="C241" t="s">
        <v>530</v>
      </c>
      <c r="E241" s="2">
        <v>2802000203010</v>
      </c>
      <c r="F241" s="1" t="s">
        <v>152</v>
      </c>
      <c r="G241" s="1" t="s">
        <v>53</v>
      </c>
      <c r="H241" s="1" t="s">
        <v>388</v>
      </c>
      <c r="I241" s="1" t="s">
        <v>389</v>
      </c>
      <c r="J241" s="1" t="s">
        <v>46</v>
      </c>
      <c r="K241" t="s">
        <v>155</v>
      </c>
      <c r="M241" s="1" t="s">
        <v>35</v>
      </c>
      <c r="N241" s="1">
        <v>42318949</v>
      </c>
      <c r="O241" s="1" t="s">
        <v>36</v>
      </c>
      <c r="P241" s="11" t="s">
        <v>547</v>
      </c>
      <c r="R241" s="1" t="s">
        <v>38</v>
      </c>
      <c r="T241" s="1" t="s">
        <v>157</v>
      </c>
      <c r="U241" s="186">
        <v>44614.75</v>
      </c>
      <c r="V241" s="1" t="s">
        <v>41</v>
      </c>
      <c r="W241" s="1" t="s">
        <v>49</v>
      </c>
      <c r="X241" s="13" t="str">
        <f t="shared" si="26"/>
        <v/>
      </c>
      <c r="Y241" s="2">
        <f t="shared" ca="1" si="21"/>
        <v>291</v>
      </c>
      <c r="Z241" s="14">
        <v>1</v>
      </c>
      <c r="AA241" s="1" t="str">
        <f t="shared" ca="1" si="22"/>
        <v>VENCIDO</v>
      </c>
      <c r="AB241" s="1" t="str">
        <f t="shared" si="23"/>
        <v>TAAe+</v>
      </c>
      <c r="AC241" s="2" t="str">
        <f t="shared" si="27"/>
        <v xml:space="preserve"> CLEITON </v>
      </c>
      <c r="AD241" s="2">
        <f t="shared" si="24"/>
        <v>8</v>
      </c>
      <c r="AE241" s="2">
        <f t="shared" ca="1" si="25"/>
        <v>-371.9262716435187</v>
      </c>
      <c r="AF241" s="15"/>
    </row>
    <row r="242" spans="1:32" hidden="1">
      <c r="A242" s="1">
        <v>8290375</v>
      </c>
      <c r="B242" s="1" t="s">
        <v>62</v>
      </c>
      <c r="C242" t="s">
        <v>530</v>
      </c>
      <c r="E242" s="2">
        <v>1138000203010</v>
      </c>
      <c r="F242" s="1" t="s">
        <v>152</v>
      </c>
      <c r="G242" s="1" t="s">
        <v>53</v>
      </c>
      <c r="H242" s="1" t="s">
        <v>548</v>
      </c>
      <c r="I242" s="1" t="s">
        <v>549</v>
      </c>
      <c r="J242" s="1" t="s">
        <v>46</v>
      </c>
      <c r="K242" t="s">
        <v>155</v>
      </c>
      <c r="M242" s="1" t="s">
        <v>35</v>
      </c>
      <c r="N242" s="1">
        <v>42318949</v>
      </c>
      <c r="O242" s="1" t="s">
        <v>36</v>
      </c>
      <c r="P242" s="11" t="s">
        <v>550</v>
      </c>
      <c r="R242" s="1" t="s">
        <v>38</v>
      </c>
      <c r="T242" s="1" t="s">
        <v>157</v>
      </c>
      <c r="U242" s="186">
        <v>44614.75</v>
      </c>
      <c r="V242" s="1" t="s">
        <v>41</v>
      </c>
      <c r="W242" s="1" t="s">
        <v>49</v>
      </c>
      <c r="X242" s="13" t="str">
        <f t="shared" si="26"/>
        <v/>
      </c>
      <c r="Y242" s="2">
        <f t="shared" ca="1" si="21"/>
        <v>291</v>
      </c>
      <c r="Z242" s="14">
        <v>1</v>
      </c>
      <c r="AA242" s="1" t="str">
        <f t="shared" ca="1" si="22"/>
        <v>VENCIDO</v>
      </c>
      <c r="AB242" s="1" t="str">
        <f t="shared" si="23"/>
        <v>TAAe+</v>
      </c>
      <c r="AC242" s="2" t="str">
        <f t="shared" si="27"/>
        <v xml:space="preserve"> CLEITON </v>
      </c>
      <c r="AD242" s="2">
        <f t="shared" si="24"/>
        <v>8</v>
      </c>
      <c r="AE242" s="2">
        <f t="shared" ca="1" si="25"/>
        <v>-371.9262716435187</v>
      </c>
      <c r="AF242" s="15"/>
    </row>
    <row r="243" spans="1:32" hidden="1">
      <c r="A243" s="1">
        <v>8338348</v>
      </c>
      <c r="B243" s="1" t="s">
        <v>62</v>
      </c>
      <c r="C243" t="s">
        <v>551</v>
      </c>
      <c r="E243" s="2">
        <v>934000203000</v>
      </c>
      <c r="F243" s="1" t="s">
        <v>454</v>
      </c>
      <c r="G243" s="1" t="s">
        <v>53</v>
      </c>
      <c r="H243" s="1" t="s">
        <v>428</v>
      </c>
      <c r="I243" s="1" t="s">
        <v>429</v>
      </c>
      <c r="J243" s="1" t="s">
        <v>46</v>
      </c>
      <c r="K243" t="s">
        <v>457</v>
      </c>
      <c r="M243" s="1" t="s">
        <v>58</v>
      </c>
      <c r="N243" s="1">
        <v>0</v>
      </c>
      <c r="O243" s="1" t="s">
        <v>36</v>
      </c>
      <c r="P243" s="11" t="s">
        <v>552</v>
      </c>
      <c r="R243" s="1" t="s">
        <v>38</v>
      </c>
      <c r="T243" s="1" t="s">
        <v>157</v>
      </c>
      <c r="U243" s="186">
        <v>44676.75</v>
      </c>
      <c r="V243" s="1" t="s">
        <v>41</v>
      </c>
      <c r="W243" s="1" t="s">
        <v>49</v>
      </c>
      <c r="X243" s="13" t="str">
        <f t="shared" si="26"/>
        <v/>
      </c>
      <c r="Y243" s="2">
        <f t="shared" ca="1" si="21"/>
        <v>280</v>
      </c>
      <c r="Z243" s="14">
        <v>1</v>
      </c>
      <c r="AA243" s="1" t="str">
        <f t="shared" ca="1" si="22"/>
        <v>VENCIDO</v>
      </c>
      <c r="AB243" s="1" t="str">
        <f t="shared" si="23"/>
        <v>C-14</v>
      </c>
      <c r="AC243" s="2" t="str">
        <f t="shared" si="27"/>
        <v xml:space="preserve"> CLEITON </v>
      </c>
      <c r="AD243" s="2">
        <f t="shared" si="24"/>
        <v>5</v>
      </c>
      <c r="AE243" s="2">
        <f t="shared" ca="1" si="25"/>
        <v>-309.9262716435187</v>
      </c>
      <c r="AF243" s="15"/>
    </row>
    <row r="244" spans="1:32" hidden="1">
      <c r="A244" s="1">
        <v>8362148</v>
      </c>
      <c r="B244" s="1" t="s">
        <v>62</v>
      </c>
      <c r="C244" t="s">
        <v>554</v>
      </c>
      <c r="E244" s="2">
        <v>2625000206001</v>
      </c>
      <c r="F244" s="1" t="s">
        <v>29</v>
      </c>
      <c r="G244" s="1" t="s">
        <v>53</v>
      </c>
      <c r="H244" s="1" t="s">
        <v>317</v>
      </c>
      <c r="I244" s="1" t="s">
        <v>318</v>
      </c>
      <c r="J244" s="1" t="s">
        <v>164</v>
      </c>
      <c r="K244" t="s">
        <v>34</v>
      </c>
      <c r="M244" s="1" t="s">
        <v>35</v>
      </c>
      <c r="N244" s="1">
        <v>42318949</v>
      </c>
      <c r="O244" s="1" t="s">
        <v>36</v>
      </c>
      <c r="P244" s="11" t="s">
        <v>555</v>
      </c>
      <c r="R244" s="1" t="s">
        <v>38</v>
      </c>
      <c r="T244" s="1" t="s">
        <v>74</v>
      </c>
      <c r="U244" s="186">
        <v>44649.75</v>
      </c>
      <c r="V244" s="1" t="s">
        <v>41</v>
      </c>
      <c r="W244" s="1" t="s">
        <v>49</v>
      </c>
      <c r="X244" s="13" t="str">
        <f t="shared" si="26"/>
        <v/>
      </c>
      <c r="Y244" s="2">
        <f t="shared" ca="1" si="21"/>
        <v>273</v>
      </c>
      <c r="Z244" s="14">
        <v>1</v>
      </c>
      <c r="AA244" s="1" t="str">
        <f t="shared" ca="1" si="22"/>
        <v>VENCIDO</v>
      </c>
      <c r="AB244" s="1" t="str">
        <f t="shared" si="23"/>
        <v>Dosa</v>
      </c>
      <c r="AC244" s="2" t="str">
        <f t="shared" si="27"/>
        <v xml:space="preserve"> ROSEMERE </v>
      </c>
      <c r="AD244" s="2">
        <f t="shared" si="24"/>
        <v>5</v>
      </c>
      <c r="AE244" s="2">
        <f t="shared" ca="1" si="25"/>
        <v>-336.9262716435187</v>
      </c>
      <c r="AF244" s="15"/>
    </row>
    <row r="245" spans="1:32" hidden="1">
      <c r="A245" s="1">
        <v>8430790</v>
      </c>
      <c r="B245" s="1" t="s">
        <v>62</v>
      </c>
      <c r="C245" t="s">
        <v>240</v>
      </c>
      <c r="E245" s="2">
        <v>2069000203000</v>
      </c>
      <c r="F245" s="1" t="s">
        <v>454</v>
      </c>
      <c r="G245" s="1" t="s">
        <v>53</v>
      </c>
      <c r="H245" s="1" t="s">
        <v>557</v>
      </c>
      <c r="I245" s="1" t="s">
        <v>558</v>
      </c>
      <c r="J245" s="1" t="s">
        <v>90</v>
      </c>
      <c r="K245" t="s">
        <v>457</v>
      </c>
      <c r="M245" s="1" t="s">
        <v>58</v>
      </c>
      <c r="N245" s="1">
        <v>0</v>
      </c>
      <c r="O245" s="1" t="s">
        <v>36</v>
      </c>
      <c r="P245" s="11" t="s">
        <v>559</v>
      </c>
      <c r="R245" s="1" t="s">
        <v>38</v>
      </c>
      <c r="T245" s="1" t="s">
        <v>157</v>
      </c>
      <c r="U245" s="186">
        <v>44669.75</v>
      </c>
      <c r="V245" s="1" t="s">
        <v>41</v>
      </c>
      <c r="W245" s="1" t="s">
        <v>49</v>
      </c>
      <c r="X245" s="13" t="str">
        <f t="shared" si="26"/>
        <v/>
      </c>
      <c r="Y245" s="2">
        <f t="shared" ca="1" si="21"/>
        <v>253</v>
      </c>
      <c r="Z245" s="14">
        <v>1</v>
      </c>
      <c r="AA245" s="1" t="str">
        <f t="shared" ca="1" si="22"/>
        <v>VENCIDO</v>
      </c>
      <c r="AB245" s="1" t="str">
        <f t="shared" si="23"/>
        <v>C-14</v>
      </c>
      <c r="AC245" s="2" t="str">
        <f t="shared" si="27"/>
        <v xml:space="preserve"> RINALDO </v>
      </c>
      <c r="AD245" s="2">
        <f t="shared" si="24"/>
        <v>5</v>
      </c>
      <c r="AE245" s="2">
        <f t="shared" ca="1" si="25"/>
        <v>-316.9262716435187</v>
      </c>
      <c r="AF245" s="15"/>
    </row>
    <row r="246" spans="1:32" hidden="1">
      <c r="A246" s="1">
        <v>8443380</v>
      </c>
      <c r="B246" s="1" t="s">
        <v>62</v>
      </c>
      <c r="C246" t="s">
        <v>530</v>
      </c>
      <c r="E246" s="2">
        <v>2669000203010</v>
      </c>
      <c r="F246" s="1" t="s">
        <v>152</v>
      </c>
      <c r="G246" s="1" t="s">
        <v>53</v>
      </c>
      <c r="H246" s="1" t="s">
        <v>561</v>
      </c>
      <c r="I246" s="1" t="s">
        <v>562</v>
      </c>
      <c r="J246" s="1" t="s">
        <v>261</v>
      </c>
      <c r="K246" t="s">
        <v>155</v>
      </c>
      <c r="M246" s="1" t="s">
        <v>35</v>
      </c>
      <c r="N246" s="1">
        <v>42318949</v>
      </c>
      <c r="O246" s="1" t="s">
        <v>36</v>
      </c>
      <c r="P246" s="11" t="s">
        <v>563</v>
      </c>
      <c r="R246" s="1" t="s">
        <v>38</v>
      </c>
      <c r="T246" s="1" t="s">
        <v>157</v>
      </c>
      <c r="U246" s="186">
        <v>44676.75</v>
      </c>
      <c r="V246" s="1" t="s">
        <v>41</v>
      </c>
      <c r="W246" s="1" t="s">
        <v>49</v>
      </c>
      <c r="X246" s="13" t="str">
        <f t="shared" si="26"/>
        <v/>
      </c>
      <c r="Y246" s="2">
        <f t="shared" ca="1" si="21"/>
        <v>249</v>
      </c>
      <c r="Z246" s="14">
        <v>1</v>
      </c>
      <c r="AA246" s="1" t="str">
        <f t="shared" ca="1" si="22"/>
        <v>VENCIDO</v>
      </c>
      <c r="AB246" s="1" t="str">
        <f t="shared" si="23"/>
        <v>TAAe+</v>
      </c>
      <c r="AC246" s="2" t="str">
        <f t="shared" si="27"/>
        <v xml:space="preserve"> CRISTINA </v>
      </c>
      <c r="AD246" s="2">
        <f t="shared" si="24"/>
        <v>8</v>
      </c>
      <c r="AE246" s="2">
        <f t="shared" ca="1" si="25"/>
        <v>-309.9262716435187</v>
      </c>
      <c r="AF246" s="15"/>
    </row>
    <row r="247" spans="1:32" hidden="1">
      <c r="A247" s="1">
        <v>8487590</v>
      </c>
      <c r="B247" s="1" t="s">
        <v>62</v>
      </c>
      <c r="C247" t="s">
        <v>3576</v>
      </c>
      <c r="E247" s="2">
        <v>1902016053700</v>
      </c>
      <c r="F247" s="1" t="s">
        <v>64</v>
      </c>
      <c r="G247" s="1" t="s">
        <v>53</v>
      </c>
      <c r="H247" s="1" t="s">
        <v>442</v>
      </c>
      <c r="I247" s="1" t="s">
        <v>443</v>
      </c>
      <c r="J247" s="1" t="s">
        <v>79</v>
      </c>
      <c r="K247" t="s">
        <v>67</v>
      </c>
      <c r="M247" s="1" t="s">
        <v>35</v>
      </c>
      <c r="N247" s="1">
        <v>42318949</v>
      </c>
      <c r="O247" s="1" t="s">
        <v>36</v>
      </c>
      <c r="P247" s="11" t="s">
        <v>565</v>
      </c>
      <c r="R247" s="1">
        <v>1</v>
      </c>
      <c r="T247" s="1" t="s">
        <v>69</v>
      </c>
      <c r="U247" s="186">
        <v>44656.642384259256</v>
      </c>
      <c r="V247" s="1" t="s">
        <v>41</v>
      </c>
      <c r="W247" s="1" t="s">
        <v>49</v>
      </c>
      <c r="X247" s="13" t="str">
        <f t="shared" si="26"/>
        <v/>
      </c>
      <c r="Y247" s="2">
        <f t="shared" ca="1" si="21"/>
        <v>238</v>
      </c>
      <c r="Z247" s="14">
        <v>1</v>
      </c>
      <c r="AA247" s="1" t="str">
        <f t="shared" ca="1" si="22"/>
        <v>VENCIDO</v>
      </c>
      <c r="AB247" s="1" t="str">
        <f t="shared" si="23"/>
        <v>TAAe+</v>
      </c>
      <c r="AC247" s="2" t="str">
        <f t="shared" si="27"/>
        <v xml:space="preserve"> ROSEMERE </v>
      </c>
      <c r="AD247" s="2">
        <f t="shared" si="24"/>
        <v>8</v>
      </c>
      <c r="AE247" s="2">
        <f t="shared" ca="1" si="25"/>
        <v>-330.03388738426293</v>
      </c>
      <c r="AF247" s="15"/>
    </row>
    <row r="248" spans="1:32" hidden="1">
      <c r="A248" s="1">
        <v>8488912</v>
      </c>
      <c r="B248" s="1" t="s">
        <v>62</v>
      </c>
      <c r="C248" t="s">
        <v>3577</v>
      </c>
      <c r="E248" s="2">
        <v>1902016192400</v>
      </c>
      <c r="F248" s="1" t="s">
        <v>64</v>
      </c>
      <c r="G248" s="1" t="s">
        <v>53</v>
      </c>
      <c r="H248" s="1" t="s">
        <v>568</v>
      </c>
      <c r="I248" s="1" t="s">
        <v>569</v>
      </c>
      <c r="J248" s="1" t="s">
        <v>33</v>
      </c>
      <c r="K248" t="s">
        <v>67</v>
      </c>
      <c r="M248" s="1" t="s">
        <v>35</v>
      </c>
      <c r="N248" s="1">
        <v>42318949</v>
      </c>
      <c r="O248" s="1" t="s">
        <v>36</v>
      </c>
      <c r="P248" s="11" t="s">
        <v>570</v>
      </c>
      <c r="R248" s="1" t="s">
        <v>571</v>
      </c>
      <c r="T248" s="1" t="s">
        <v>69</v>
      </c>
      <c r="U248" s="186">
        <v>44665.375</v>
      </c>
      <c r="V248" s="1" t="s">
        <v>41</v>
      </c>
      <c r="W248" s="1" t="s">
        <v>49</v>
      </c>
      <c r="X248" s="13" t="str">
        <f t="shared" si="26"/>
        <v/>
      </c>
      <c r="Y248" s="2">
        <f t="shared" ca="1" si="21"/>
        <v>237</v>
      </c>
      <c r="Z248" s="14">
        <v>1</v>
      </c>
      <c r="AA248" s="1" t="str">
        <f t="shared" ca="1" si="22"/>
        <v>VENCIDO</v>
      </c>
      <c r="AB248" s="1" t="str">
        <f t="shared" si="23"/>
        <v>TAAe+</v>
      </c>
      <c r="AC248" s="2" t="str">
        <f t="shared" si="27"/>
        <v xml:space="preserve"> ROSEMERE </v>
      </c>
      <c r="AD248" s="2">
        <f t="shared" si="24"/>
        <v>8</v>
      </c>
      <c r="AE248" s="2">
        <f t="shared" ca="1" si="25"/>
        <v>-321.3012716435187</v>
      </c>
      <c r="AF248" s="15"/>
    </row>
    <row r="249" spans="1:32" hidden="1">
      <c r="A249" s="1">
        <v>8555673</v>
      </c>
      <c r="B249" s="1" t="s">
        <v>101</v>
      </c>
      <c r="C249" t="s">
        <v>573</v>
      </c>
      <c r="E249" s="2">
        <v>1120000206001</v>
      </c>
      <c r="F249" s="1" t="s">
        <v>29</v>
      </c>
      <c r="G249" s="1" t="s">
        <v>53</v>
      </c>
      <c r="H249" s="1" t="s">
        <v>181</v>
      </c>
      <c r="I249" s="1" t="s">
        <v>182</v>
      </c>
      <c r="J249" s="1" t="s">
        <v>164</v>
      </c>
      <c r="K249" t="s">
        <v>34</v>
      </c>
      <c r="M249" s="1" t="s">
        <v>35</v>
      </c>
      <c r="N249" s="1">
        <v>42318949</v>
      </c>
      <c r="O249" s="1" t="s">
        <v>36</v>
      </c>
      <c r="P249" s="11" t="s">
        <v>3424</v>
      </c>
      <c r="R249" s="1" t="s">
        <v>38</v>
      </c>
      <c r="T249" s="1" t="s">
        <v>74</v>
      </c>
      <c r="U249" s="11" t="s">
        <v>575</v>
      </c>
      <c r="V249" s="1" t="s">
        <v>41</v>
      </c>
      <c r="W249" s="1" t="s">
        <v>49</v>
      </c>
      <c r="X249" s="13" t="str">
        <f t="shared" si="26"/>
        <v/>
      </c>
      <c r="Y249" s="2">
        <f t="shared" ca="1" si="21"/>
        <v>218</v>
      </c>
      <c r="Z249" s="14">
        <v>1</v>
      </c>
      <c r="AA249" s="1" t="str">
        <f t="shared" ca="1" si="22"/>
        <v>VENCIDO</v>
      </c>
      <c r="AB249" s="1" t="str">
        <f t="shared" si="23"/>
        <v>Dosa</v>
      </c>
      <c r="AC249" s="2" t="str">
        <f t="shared" si="27"/>
        <v xml:space="preserve"> ROSEMERE </v>
      </c>
      <c r="AD249" s="2">
        <f t="shared" si="24"/>
        <v>5</v>
      </c>
      <c r="AE249" s="2">
        <f t="shared" ca="1" si="25"/>
        <v>-301.9262716435187</v>
      </c>
      <c r="AF249" s="15"/>
    </row>
    <row r="250" spans="1:32" hidden="1">
      <c r="A250" s="1">
        <v>8555672</v>
      </c>
      <c r="B250" s="1" t="s">
        <v>101</v>
      </c>
      <c r="C250" t="s">
        <v>573</v>
      </c>
      <c r="E250" s="2">
        <v>1120000206001</v>
      </c>
      <c r="F250" s="1" t="s">
        <v>29</v>
      </c>
      <c r="G250" s="1" t="s">
        <v>53</v>
      </c>
      <c r="H250" s="1" t="s">
        <v>181</v>
      </c>
      <c r="I250" s="1" t="s">
        <v>182</v>
      </c>
      <c r="J250" s="1" t="s">
        <v>164</v>
      </c>
      <c r="K250" t="s">
        <v>34</v>
      </c>
      <c r="M250" s="1" t="s">
        <v>35</v>
      </c>
      <c r="N250" s="1">
        <v>42318949</v>
      </c>
      <c r="O250" s="1" t="s">
        <v>36</v>
      </c>
      <c r="P250" s="11" t="s">
        <v>3424</v>
      </c>
      <c r="R250" s="1" t="s">
        <v>38</v>
      </c>
      <c r="T250" s="1" t="s">
        <v>74</v>
      </c>
      <c r="U250" s="11" t="s">
        <v>575</v>
      </c>
      <c r="V250" s="1" t="s">
        <v>41</v>
      </c>
      <c r="W250" s="1" t="s">
        <v>49</v>
      </c>
      <c r="X250" s="13" t="str">
        <f t="shared" si="26"/>
        <v/>
      </c>
      <c r="Y250" s="2">
        <f t="shared" ca="1" si="21"/>
        <v>218</v>
      </c>
      <c r="Z250" s="14">
        <v>1</v>
      </c>
      <c r="AA250" s="1" t="str">
        <f t="shared" ca="1" si="22"/>
        <v>VENCIDO</v>
      </c>
      <c r="AB250" s="1" t="str">
        <f t="shared" si="23"/>
        <v>Dosa</v>
      </c>
      <c r="AC250" s="2" t="str">
        <f t="shared" si="27"/>
        <v xml:space="preserve"> ROSEMERE </v>
      </c>
      <c r="AD250" s="2">
        <f t="shared" si="24"/>
        <v>5</v>
      </c>
      <c r="AE250" s="2">
        <f t="shared" ca="1" si="25"/>
        <v>-301.9262716435187</v>
      </c>
      <c r="AF250" s="15"/>
    </row>
    <row r="251" spans="1:32" hidden="1">
      <c r="A251" s="1">
        <v>8555626</v>
      </c>
      <c r="B251" s="1" t="s">
        <v>101</v>
      </c>
      <c r="C251" t="s">
        <v>573</v>
      </c>
      <c r="E251" s="2">
        <v>1058000206001</v>
      </c>
      <c r="F251" s="1" t="s">
        <v>29</v>
      </c>
      <c r="G251" s="1" t="s">
        <v>53</v>
      </c>
      <c r="H251" s="1" t="s">
        <v>289</v>
      </c>
      <c r="I251" s="1" t="s">
        <v>290</v>
      </c>
      <c r="J251" s="1" t="s">
        <v>56</v>
      </c>
      <c r="K251" t="s">
        <v>34</v>
      </c>
      <c r="M251" s="1" t="s">
        <v>35</v>
      </c>
      <c r="N251" s="1">
        <v>42318949</v>
      </c>
      <c r="O251" s="1" t="s">
        <v>36</v>
      </c>
      <c r="P251" s="11" t="s">
        <v>574</v>
      </c>
      <c r="R251" s="1" t="s">
        <v>38</v>
      </c>
      <c r="T251" s="1" t="s">
        <v>74</v>
      </c>
      <c r="U251" s="11" t="s">
        <v>575</v>
      </c>
      <c r="V251" s="1" t="s">
        <v>41</v>
      </c>
      <c r="W251" s="1" t="s">
        <v>49</v>
      </c>
      <c r="X251" s="13" t="str">
        <f t="shared" si="26"/>
        <v/>
      </c>
      <c r="Y251" s="2">
        <f t="shared" ca="1" si="21"/>
        <v>218</v>
      </c>
      <c r="Z251" s="14">
        <v>1</v>
      </c>
      <c r="AA251" s="1" t="str">
        <f t="shared" ca="1" si="22"/>
        <v>VENCIDO</v>
      </c>
      <c r="AB251" s="1" t="str">
        <f t="shared" si="23"/>
        <v>Dosa</v>
      </c>
      <c r="AC251" s="2" t="str">
        <f t="shared" si="27"/>
        <v xml:space="preserve"> CRISTINA </v>
      </c>
      <c r="AD251" s="2">
        <f t="shared" si="24"/>
        <v>5</v>
      </c>
      <c r="AE251" s="2">
        <f t="shared" ca="1" si="25"/>
        <v>-301.9262716435187</v>
      </c>
      <c r="AF251" s="15"/>
    </row>
    <row r="252" spans="1:32" hidden="1">
      <c r="A252" s="1">
        <v>8555625</v>
      </c>
      <c r="B252" s="1" t="s">
        <v>101</v>
      </c>
      <c r="C252" t="s">
        <v>573</v>
      </c>
      <c r="E252" s="2">
        <v>1058000206001</v>
      </c>
      <c r="F252" s="1" t="s">
        <v>29</v>
      </c>
      <c r="G252" s="1" t="s">
        <v>53</v>
      </c>
      <c r="H252" s="1" t="s">
        <v>289</v>
      </c>
      <c r="I252" s="1" t="s">
        <v>290</v>
      </c>
      <c r="J252" s="1" t="s">
        <v>56</v>
      </c>
      <c r="K252" t="s">
        <v>34</v>
      </c>
      <c r="M252" s="1" t="s">
        <v>35</v>
      </c>
      <c r="N252" s="1">
        <v>42318949</v>
      </c>
      <c r="O252" s="1" t="s">
        <v>36</v>
      </c>
      <c r="P252" s="11" t="s">
        <v>3425</v>
      </c>
      <c r="R252" s="1" t="s">
        <v>38</v>
      </c>
      <c r="T252" s="1" t="s">
        <v>74</v>
      </c>
      <c r="U252" s="11" t="s">
        <v>575</v>
      </c>
      <c r="V252" s="1" t="s">
        <v>41</v>
      </c>
      <c r="W252" s="1" t="s">
        <v>49</v>
      </c>
      <c r="X252" s="13" t="str">
        <f t="shared" si="26"/>
        <v/>
      </c>
      <c r="Y252" s="2">
        <f t="shared" ca="1" si="21"/>
        <v>218</v>
      </c>
      <c r="Z252" s="14">
        <v>1</v>
      </c>
      <c r="AA252" s="1" t="str">
        <f t="shared" ca="1" si="22"/>
        <v>VENCIDO</v>
      </c>
      <c r="AB252" s="1" t="str">
        <f t="shared" si="23"/>
        <v>Dosa</v>
      </c>
      <c r="AC252" s="2" t="str">
        <f t="shared" si="27"/>
        <v xml:space="preserve"> CRISTINA </v>
      </c>
      <c r="AD252" s="2">
        <f t="shared" si="24"/>
        <v>5</v>
      </c>
      <c r="AE252" s="2">
        <f t="shared" ca="1" si="25"/>
        <v>-301.9262716435187</v>
      </c>
      <c r="AF252" s="15"/>
    </row>
    <row r="253" spans="1:32" hidden="1">
      <c r="A253" s="1">
        <v>8555624</v>
      </c>
      <c r="B253" s="1" t="s">
        <v>101</v>
      </c>
      <c r="C253" t="s">
        <v>573</v>
      </c>
      <c r="E253" s="2">
        <v>1058000206001</v>
      </c>
      <c r="F253" s="1" t="s">
        <v>29</v>
      </c>
      <c r="G253" s="1" t="s">
        <v>53</v>
      </c>
      <c r="H253" s="1" t="s">
        <v>289</v>
      </c>
      <c r="I253" s="1" t="s">
        <v>290</v>
      </c>
      <c r="J253" s="1" t="s">
        <v>56</v>
      </c>
      <c r="K253" t="s">
        <v>34</v>
      </c>
      <c r="M253" s="1" t="s">
        <v>35</v>
      </c>
      <c r="N253" s="1">
        <v>42318949</v>
      </c>
      <c r="O253" s="1" t="s">
        <v>36</v>
      </c>
      <c r="P253" s="11" t="s">
        <v>3425</v>
      </c>
      <c r="R253" s="1" t="s">
        <v>38</v>
      </c>
      <c r="T253" s="1" t="s">
        <v>74</v>
      </c>
      <c r="U253" s="11" t="s">
        <v>575</v>
      </c>
      <c r="V253" s="1" t="s">
        <v>41</v>
      </c>
      <c r="W253" s="1" t="s">
        <v>49</v>
      </c>
      <c r="X253" s="13" t="str">
        <f t="shared" si="26"/>
        <v/>
      </c>
      <c r="Y253" s="2">
        <f t="shared" ca="1" si="21"/>
        <v>218</v>
      </c>
      <c r="Z253" s="14">
        <v>1</v>
      </c>
      <c r="AA253" s="1" t="str">
        <f t="shared" ca="1" si="22"/>
        <v>VENCIDO</v>
      </c>
      <c r="AB253" s="1" t="str">
        <f t="shared" si="23"/>
        <v>Dosa</v>
      </c>
      <c r="AC253" s="2" t="str">
        <f t="shared" si="27"/>
        <v xml:space="preserve"> CRISTINA </v>
      </c>
      <c r="AD253" s="2">
        <f t="shared" si="24"/>
        <v>5</v>
      </c>
      <c r="AE253" s="2">
        <f t="shared" ca="1" si="25"/>
        <v>-301.9262716435187</v>
      </c>
      <c r="AF253" s="15"/>
    </row>
    <row r="254" spans="1:32" hidden="1">
      <c r="A254" s="1">
        <v>8555329</v>
      </c>
      <c r="B254" s="1" t="s">
        <v>101</v>
      </c>
      <c r="C254" t="s">
        <v>573</v>
      </c>
      <c r="E254" s="2">
        <v>537000206001</v>
      </c>
      <c r="F254" s="1" t="s">
        <v>29</v>
      </c>
      <c r="G254" s="1" t="s">
        <v>53</v>
      </c>
      <c r="H254" s="1" t="s">
        <v>442</v>
      </c>
      <c r="I254" s="1" t="s">
        <v>443</v>
      </c>
      <c r="J254" s="1" t="s">
        <v>79</v>
      </c>
      <c r="K254" t="s">
        <v>34</v>
      </c>
      <c r="M254" s="1" t="s">
        <v>35</v>
      </c>
      <c r="N254" s="1">
        <v>42318949</v>
      </c>
      <c r="O254" s="1" t="s">
        <v>36</v>
      </c>
      <c r="P254" s="11" t="s">
        <v>576</v>
      </c>
      <c r="R254" s="1" t="s">
        <v>38</v>
      </c>
      <c r="T254" s="1" t="s">
        <v>74</v>
      </c>
      <c r="U254" s="186">
        <v>44684.75</v>
      </c>
      <c r="V254" s="1" t="s">
        <v>41</v>
      </c>
      <c r="W254" s="1" t="s">
        <v>49</v>
      </c>
      <c r="X254" s="13" t="str">
        <f t="shared" si="26"/>
        <v/>
      </c>
      <c r="Y254" s="2">
        <f t="shared" ca="1" si="21"/>
        <v>218</v>
      </c>
      <c r="Z254" s="14">
        <v>1</v>
      </c>
      <c r="AA254" s="1" t="str">
        <f t="shared" ca="1" si="22"/>
        <v>VENCIDO</v>
      </c>
      <c r="AB254" s="1" t="str">
        <f t="shared" si="23"/>
        <v>Dosa</v>
      </c>
      <c r="AC254" s="2" t="str">
        <f t="shared" si="27"/>
        <v xml:space="preserve"> ROSEMERE </v>
      </c>
      <c r="AD254" s="2">
        <f t="shared" si="24"/>
        <v>5</v>
      </c>
      <c r="AE254" s="2">
        <f t="shared" ca="1" si="25"/>
        <v>-301.9262716435187</v>
      </c>
      <c r="AF254" s="15"/>
    </row>
    <row r="255" spans="1:32" hidden="1">
      <c r="A255" s="1">
        <v>8591589</v>
      </c>
      <c r="B255" s="1" t="s">
        <v>27</v>
      </c>
      <c r="C255" t="s">
        <v>577</v>
      </c>
      <c r="E255" s="2">
        <v>9703000206201</v>
      </c>
      <c r="F255" s="1" t="s">
        <v>208</v>
      </c>
      <c r="G255" s="1" t="s">
        <v>53</v>
      </c>
      <c r="H255" s="1" t="s">
        <v>494</v>
      </c>
      <c r="I255" s="1" t="s">
        <v>495</v>
      </c>
      <c r="J255" s="1" t="s">
        <v>79</v>
      </c>
      <c r="K255" t="s">
        <v>212</v>
      </c>
      <c r="M255" s="1" t="s">
        <v>35</v>
      </c>
      <c r="N255" s="1">
        <v>42318949</v>
      </c>
      <c r="O255" s="1" t="s">
        <v>36</v>
      </c>
      <c r="P255" s="11" t="s">
        <v>3426</v>
      </c>
      <c r="R255" s="1" t="s">
        <v>38</v>
      </c>
      <c r="T255" s="1" t="s">
        <v>74</v>
      </c>
      <c r="U255" s="186">
        <v>44739.75</v>
      </c>
      <c r="V255" s="1" t="s">
        <v>41</v>
      </c>
      <c r="W255" s="1" t="s">
        <v>49</v>
      </c>
      <c r="X255" s="13" t="str">
        <f t="shared" si="26"/>
        <v/>
      </c>
      <c r="Y255" s="2">
        <f t="shared" ca="1" si="21"/>
        <v>208</v>
      </c>
      <c r="Z255" s="14">
        <v>1</v>
      </c>
      <c r="AA255" s="1" t="str">
        <f t="shared" ca="1" si="22"/>
        <v>VENCIDO</v>
      </c>
      <c r="AB255" s="1" t="str">
        <f t="shared" si="23"/>
        <v>TAAe+</v>
      </c>
      <c r="AC255" s="2" t="str">
        <f t="shared" si="27"/>
        <v xml:space="preserve"> ROSEMERE </v>
      </c>
      <c r="AD255" s="2">
        <f t="shared" si="24"/>
        <v>8</v>
      </c>
      <c r="AE255" s="2">
        <f t="shared" ca="1" si="25"/>
        <v>-246.9262716435187</v>
      </c>
      <c r="AF255" s="15"/>
    </row>
    <row r="256" spans="1:32" hidden="1">
      <c r="A256" s="1">
        <v>8600371</v>
      </c>
      <c r="B256" s="1" t="s">
        <v>62</v>
      </c>
      <c r="C256" t="s">
        <v>578</v>
      </c>
      <c r="E256" s="2">
        <v>2437000203000</v>
      </c>
      <c r="F256" s="1" t="s">
        <v>454</v>
      </c>
      <c r="G256" s="1" t="s">
        <v>53</v>
      </c>
      <c r="H256" s="1" t="s">
        <v>416</v>
      </c>
      <c r="I256" s="1" t="s">
        <v>417</v>
      </c>
      <c r="J256" s="1" t="s">
        <v>211</v>
      </c>
      <c r="K256" t="s">
        <v>457</v>
      </c>
      <c r="M256" s="1" t="s">
        <v>58</v>
      </c>
      <c r="N256" s="1">
        <v>0</v>
      </c>
      <c r="O256" s="1" t="s">
        <v>36</v>
      </c>
      <c r="P256" s="11" t="s">
        <v>3427</v>
      </c>
      <c r="R256" s="1">
        <v>1</v>
      </c>
      <c r="T256" s="1" t="s">
        <v>157</v>
      </c>
      <c r="U256" s="11" t="s">
        <v>3971</v>
      </c>
      <c r="V256" s="1" t="s">
        <v>41</v>
      </c>
      <c r="W256" s="1" t="s">
        <v>49</v>
      </c>
      <c r="X256" s="13" t="str">
        <f t="shared" si="26"/>
        <v/>
      </c>
      <c r="Y256" s="2">
        <f t="shared" ca="1" si="21"/>
        <v>205</v>
      </c>
      <c r="Z256" s="14">
        <v>1</v>
      </c>
      <c r="AA256" s="1" t="str">
        <f t="shared" ca="1" si="22"/>
        <v>VENCIDO</v>
      </c>
      <c r="AB256" s="1" t="str">
        <f t="shared" si="23"/>
        <v>C-14</v>
      </c>
      <c r="AC256" s="2" t="str">
        <f t="shared" si="27"/>
        <v xml:space="preserve"> RINALDO </v>
      </c>
      <c r="AD256" s="2">
        <f t="shared" si="24"/>
        <v>5</v>
      </c>
      <c r="AE256" s="2">
        <f t="shared" ca="1" si="25"/>
        <v>-250.9262716435187</v>
      </c>
      <c r="AF256" s="15"/>
    </row>
    <row r="257" spans="1:32" hidden="1">
      <c r="A257" s="1">
        <v>8624265</v>
      </c>
      <c r="B257" s="1" t="s">
        <v>27</v>
      </c>
      <c r="C257" t="s">
        <v>186</v>
      </c>
      <c r="E257" s="2">
        <v>2413000206001</v>
      </c>
      <c r="F257" s="1" t="s">
        <v>29</v>
      </c>
      <c r="G257" s="1" t="s">
        <v>53</v>
      </c>
      <c r="H257" s="1" t="s">
        <v>505</v>
      </c>
      <c r="I257" s="1" t="s">
        <v>506</v>
      </c>
      <c r="J257" s="1" t="s">
        <v>141</v>
      </c>
      <c r="K257" t="s">
        <v>34</v>
      </c>
      <c r="M257" s="1" t="s">
        <v>35</v>
      </c>
      <c r="N257" s="1">
        <v>42318949</v>
      </c>
      <c r="O257" s="1" t="s">
        <v>105</v>
      </c>
      <c r="P257" s="11" t="s">
        <v>579</v>
      </c>
      <c r="R257" s="1" t="s">
        <v>38</v>
      </c>
      <c r="T257" s="1" t="s">
        <v>74</v>
      </c>
      <c r="U257" s="11" t="s">
        <v>580</v>
      </c>
      <c r="V257" s="1" t="s">
        <v>41</v>
      </c>
      <c r="W257" s="1" t="s">
        <v>49</v>
      </c>
      <c r="X257" s="13" t="str">
        <f t="shared" si="26"/>
        <v/>
      </c>
      <c r="Y257" s="2">
        <f t="shared" ca="1" si="21"/>
        <v>198</v>
      </c>
      <c r="Z257" s="14">
        <v>1</v>
      </c>
      <c r="AA257" s="1" t="str">
        <f t="shared" ca="1" si="22"/>
        <v>VENCIDO</v>
      </c>
      <c r="AB257" s="1" t="str">
        <f t="shared" si="23"/>
        <v>Dosa</v>
      </c>
      <c r="AC257" s="2" t="str">
        <f t="shared" si="27"/>
        <v xml:space="preserve"> CRISTINA </v>
      </c>
      <c r="AD257" s="2">
        <f t="shared" si="24"/>
        <v>5</v>
      </c>
      <c r="AE257" s="2">
        <f t="shared" ca="1" si="25"/>
        <v>-274.9262716435187</v>
      </c>
      <c r="AF257" s="15"/>
    </row>
    <row r="258" spans="1:32" hidden="1">
      <c r="A258" s="1">
        <v>8624202</v>
      </c>
      <c r="B258" s="1" t="s">
        <v>27</v>
      </c>
      <c r="C258" t="s">
        <v>186</v>
      </c>
      <c r="E258" s="2">
        <v>673000206001</v>
      </c>
      <c r="F258" s="1" t="s">
        <v>29</v>
      </c>
      <c r="G258" s="1" t="s">
        <v>53</v>
      </c>
      <c r="H258" s="1" t="s">
        <v>581</v>
      </c>
      <c r="I258" s="1" t="s">
        <v>582</v>
      </c>
      <c r="J258" s="1" t="s">
        <v>110</v>
      </c>
      <c r="K258" t="s">
        <v>34</v>
      </c>
      <c r="M258" s="1" t="s">
        <v>35</v>
      </c>
      <c r="N258" s="1">
        <v>42318949</v>
      </c>
      <c r="O258" s="1" t="s">
        <v>36</v>
      </c>
      <c r="P258" s="11" t="s">
        <v>583</v>
      </c>
      <c r="R258" s="1" t="s">
        <v>38</v>
      </c>
      <c r="T258" s="1" t="s">
        <v>74</v>
      </c>
      <c r="U258" s="11" t="s">
        <v>580</v>
      </c>
      <c r="V258" s="1" t="s">
        <v>41</v>
      </c>
      <c r="W258" s="1" t="s">
        <v>49</v>
      </c>
      <c r="X258" s="13" t="str">
        <f t="shared" si="26"/>
        <v/>
      </c>
      <c r="Y258" s="2">
        <f t="shared" ref="Y258:Y321" ca="1" si="28">NETWORKDAYS(P258,$Y$1)</f>
        <v>198</v>
      </c>
      <c r="Z258" s="14">
        <v>1</v>
      </c>
      <c r="AA258" s="1" t="str">
        <f t="shared" ref="AA258:AA321" ca="1" si="29">IF(AE258=0,"HOJE",IF(AE258&gt;0,"A VENCER",IF(AE258&lt;0,"VENCIDO")))</f>
        <v>VENCIDO</v>
      </c>
      <c r="AB258" s="1" t="str">
        <f t="shared" ref="AB258:AB321" si="30">IF(F258="GRPE-000001","C-14",IF(F258="GRPE-000002","C-14",IF(F258="GRPE-000003","C-14",IF(F258="GRPE-000004","SL-On",IF(F258="GRPE-000038","C-14",IF(F258="GRPE-900022","Dosa",IF(F258="GRPE-000029","Dosa",IF(F258="ATOS-000222","Dose","TAAe+"))))))))</f>
        <v>Dosa</v>
      </c>
      <c r="AC258" s="2" t="str">
        <f t="shared" si="27"/>
        <v xml:space="preserve"> CRISTINA </v>
      </c>
      <c r="AD258" s="2">
        <f t="shared" ref="AD258:AD321" si="31">IF(F258="GRPE-000001",5,IF(F258="GRPE-000002",5,IF(F258="GRPE-000003",15,IF(F258="GRPE-000004",1,IF(F258="GRPE-000038",5,IF(F258="GRPE-900022",5,IF(F258="GRPE-000029",5,IF(F258="ATOS-000222",5,8))))))))</f>
        <v>5</v>
      </c>
      <c r="AE258" s="2">
        <f t="shared" ref="AE258:AE321" ca="1" si="32">IF(U258=$AE$1,"",U258-$AE$1)</f>
        <v>-274.9262716435187</v>
      </c>
      <c r="AF258" s="15"/>
    </row>
    <row r="259" spans="1:32" hidden="1">
      <c r="A259" s="1">
        <v>8624200</v>
      </c>
      <c r="B259" s="1" t="s">
        <v>27</v>
      </c>
      <c r="C259" t="s">
        <v>186</v>
      </c>
      <c r="E259" s="2">
        <v>7710206001</v>
      </c>
      <c r="F259" s="1" t="s">
        <v>29</v>
      </c>
      <c r="G259" s="1" t="s">
        <v>53</v>
      </c>
      <c r="H259" s="1" t="s">
        <v>228</v>
      </c>
      <c r="I259" s="1" t="s">
        <v>229</v>
      </c>
      <c r="J259" s="1" t="s">
        <v>46</v>
      </c>
      <c r="K259" t="s">
        <v>34</v>
      </c>
      <c r="M259" s="1" t="s">
        <v>35</v>
      </c>
      <c r="N259" s="1">
        <v>42318949</v>
      </c>
      <c r="O259" s="1" t="s">
        <v>105</v>
      </c>
      <c r="P259" s="11" t="s">
        <v>584</v>
      </c>
      <c r="R259" s="1" t="s">
        <v>38</v>
      </c>
      <c r="T259" s="1" t="s">
        <v>74</v>
      </c>
      <c r="U259" s="11" t="s">
        <v>580</v>
      </c>
      <c r="V259" s="1" t="s">
        <v>41</v>
      </c>
      <c r="W259" s="1" t="s">
        <v>49</v>
      </c>
      <c r="X259" s="13" t="str">
        <f t="shared" ref="X259:X322" si="33">IF(RIGHT(H259,2)&lt;&gt;"00",H259,"")</f>
        <v>0007.71</v>
      </c>
      <c r="Y259" s="2">
        <f t="shared" ca="1" si="28"/>
        <v>198</v>
      </c>
      <c r="Z259" s="14">
        <v>1</v>
      </c>
      <c r="AA259" s="1" t="str">
        <f t="shared" ca="1" si="29"/>
        <v>VENCIDO</v>
      </c>
      <c r="AB259" s="1" t="str">
        <f t="shared" si="30"/>
        <v>Dosa</v>
      </c>
      <c r="AC259" s="2" t="str">
        <f t="shared" ref="AC259:AC322" si="3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 xml:space="preserve"> CLEITON </v>
      </c>
      <c r="AD259" s="2">
        <f t="shared" si="31"/>
        <v>5</v>
      </c>
      <c r="AE259" s="2">
        <f t="shared" ca="1" si="32"/>
        <v>-274.9262716435187</v>
      </c>
      <c r="AF259" s="15"/>
    </row>
    <row r="260" spans="1:32" hidden="1">
      <c r="A260" s="1">
        <v>8624105</v>
      </c>
      <c r="B260" s="1" t="s">
        <v>27</v>
      </c>
      <c r="C260" t="s">
        <v>186</v>
      </c>
      <c r="E260" s="2">
        <v>3504000206001</v>
      </c>
      <c r="F260" s="1" t="s">
        <v>29</v>
      </c>
      <c r="G260" s="1" t="s">
        <v>53</v>
      </c>
      <c r="H260" s="1" t="s">
        <v>585</v>
      </c>
      <c r="I260" s="1" t="s">
        <v>586</v>
      </c>
      <c r="J260" s="1" t="s">
        <v>46</v>
      </c>
      <c r="K260" t="s">
        <v>34</v>
      </c>
      <c r="M260" s="1" t="s">
        <v>35</v>
      </c>
      <c r="N260" s="1">
        <v>42318949</v>
      </c>
      <c r="O260" s="1" t="s">
        <v>105</v>
      </c>
      <c r="P260" s="11" t="s">
        <v>587</v>
      </c>
      <c r="R260" s="1" t="s">
        <v>38</v>
      </c>
      <c r="T260" s="1" t="s">
        <v>74</v>
      </c>
      <c r="U260" s="11" t="s">
        <v>580</v>
      </c>
      <c r="V260" s="1" t="s">
        <v>41</v>
      </c>
      <c r="W260" s="1" t="s">
        <v>49</v>
      </c>
      <c r="X260" s="13" t="str">
        <f t="shared" si="33"/>
        <v/>
      </c>
      <c r="Y260" s="2">
        <f t="shared" ca="1" si="28"/>
        <v>198</v>
      </c>
      <c r="Z260" s="14">
        <v>1</v>
      </c>
      <c r="AA260" s="1" t="str">
        <f t="shared" ca="1" si="29"/>
        <v>VENCIDO</v>
      </c>
      <c r="AB260" s="1" t="str">
        <f t="shared" si="30"/>
        <v>Dosa</v>
      </c>
      <c r="AC260" s="2" t="str">
        <f t="shared" si="34"/>
        <v xml:space="preserve"> CLEITON </v>
      </c>
      <c r="AD260" s="2">
        <f t="shared" si="31"/>
        <v>5</v>
      </c>
      <c r="AE260" s="2">
        <f t="shared" ca="1" si="32"/>
        <v>-274.9262716435187</v>
      </c>
      <c r="AF260" s="15"/>
    </row>
    <row r="261" spans="1:32" hidden="1">
      <c r="A261" s="1">
        <v>8624102</v>
      </c>
      <c r="B261" s="1" t="s">
        <v>27</v>
      </c>
      <c r="C261" t="s">
        <v>186</v>
      </c>
      <c r="E261" s="2">
        <v>220000206001</v>
      </c>
      <c r="F261" s="1" t="s">
        <v>29</v>
      </c>
      <c r="G261" s="1" t="s">
        <v>53</v>
      </c>
      <c r="H261" s="1" t="s">
        <v>588</v>
      </c>
      <c r="I261" s="1" t="s">
        <v>589</v>
      </c>
      <c r="J261" s="1" t="s">
        <v>110</v>
      </c>
      <c r="K261" t="s">
        <v>34</v>
      </c>
      <c r="M261" s="1" t="s">
        <v>35</v>
      </c>
      <c r="N261" s="1">
        <v>42318949</v>
      </c>
      <c r="O261" s="1" t="s">
        <v>105</v>
      </c>
      <c r="P261" s="11" t="s">
        <v>587</v>
      </c>
      <c r="R261" s="1" t="s">
        <v>38</v>
      </c>
      <c r="T261" s="1" t="s">
        <v>74</v>
      </c>
      <c r="U261" s="11" t="s">
        <v>580</v>
      </c>
      <c r="V261" s="1" t="s">
        <v>41</v>
      </c>
      <c r="W261" s="1" t="s">
        <v>49</v>
      </c>
      <c r="X261" s="13" t="str">
        <f t="shared" si="33"/>
        <v/>
      </c>
      <c r="Y261" s="2">
        <f t="shared" ca="1" si="28"/>
        <v>198</v>
      </c>
      <c r="Z261" s="14">
        <v>1</v>
      </c>
      <c r="AA261" s="1" t="str">
        <f t="shared" ca="1" si="29"/>
        <v>VENCIDO</v>
      </c>
      <c r="AB261" s="1" t="str">
        <f t="shared" si="30"/>
        <v>Dosa</v>
      </c>
      <c r="AC261" s="2" t="str">
        <f t="shared" si="34"/>
        <v xml:space="preserve"> CRISTINA </v>
      </c>
      <c r="AD261" s="2">
        <f t="shared" si="31"/>
        <v>5</v>
      </c>
      <c r="AE261" s="2">
        <f t="shared" ca="1" si="32"/>
        <v>-274.9262716435187</v>
      </c>
      <c r="AF261" s="15"/>
    </row>
    <row r="262" spans="1:32" hidden="1">
      <c r="A262" s="1">
        <v>8624013</v>
      </c>
      <c r="B262" s="1" t="s">
        <v>27</v>
      </c>
      <c r="C262" t="s">
        <v>186</v>
      </c>
      <c r="E262" s="2">
        <v>2081000206001</v>
      </c>
      <c r="F262" s="1" t="s">
        <v>29</v>
      </c>
      <c r="G262" s="1" t="s">
        <v>53</v>
      </c>
      <c r="H262" s="1" t="s">
        <v>590</v>
      </c>
      <c r="I262" s="1" t="s">
        <v>591</v>
      </c>
      <c r="J262" s="1" t="s">
        <v>261</v>
      </c>
      <c r="K262" t="s">
        <v>34</v>
      </c>
      <c r="M262" s="1" t="s">
        <v>35</v>
      </c>
      <c r="N262" s="1">
        <v>42318949</v>
      </c>
      <c r="O262" s="1" t="s">
        <v>105</v>
      </c>
      <c r="P262" s="11" t="s">
        <v>592</v>
      </c>
      <c r="R262" s="1" t="s">
        <v>38</v>
      </c>
      <c r="T262" s="1" t="s">
        <v>74</v>
      </c>
      <c r="U262" s="11" t="s">
        <v>580</v>
      </c>
      <c r="V262" s="1" t="s">
        <v>41</v>
      </c>
      <c r="W262" s="1" t="s">
        <v>49</v>
      </c>
      <c r="X262" s="13" t="str">
        <f t="shared" si="33"/>
        <v/>
      </c>
      <c r="Y262" s="2">
        <f t="shared" ca="1" si="28"/>
        <v>198</v>
      </c>
      <c r="Z262" s="14">
        <v>1</v>
      </c>
      <c r="AA262" s="1" t="str">
        <f t="shared" ca="1" si="29"/>
        <v>VENCIDO</v>
      </c>
      <c r="AB262" s="1" t="str">
        <f t="shared" si="30"/>
        <v>Dosa</v>
      </c>
      <c r="AC262" s="2" t="str">
        <f t="shared" si="34"/>
        <v xml:space="preserve"> CRISTINA </v>
      </c>
      <c r="AD262" s="2">
        <f t="shared" si="31"/>
        <v>5</v>
      </c>
      <c r="AE262" s="2">
        <f t="shared" ca="1" si="32"/>
        <v>-274.9262716435187</v>
      </c>
      <c r="AF262" s="15"/>
    </row>
    <row r="263" spans="1:32" hidden="1">
      <c r="A263" s="1">
        <v>8623899</v>
      </c>
      <c r="B263" s="1" t="s">
        <v>27</v>
      </c>
      <c r="C263" t="s">
        <v>186</v>
      </c>
      <c r="E263" s="2">
        <v>1358000206001</v>
      </c>
      <c r="F263" s="1" t="s">
        <v>29</v>
      </c>
      <c r="G263" s="1" t="s">
        <v>53</v>
      </c>
      <c r="H263" s="1" t="s">
        <v>593</v>
      </c>
      <c r="I263" s="1" t="s">
        <v>594</v>
      </c>
      <c r="J263" s="1" t="s">
        <v>261</v>
      </c>
      <c r="K263" t="s">
        <v>34</v>
      </c>
      <c r="M263" s="1" t="s">
        <v>35</v>
      </c>
      <c r="N263" s="1">
        <v>42318949</v>
      </c>
      <c r="O263" s="1" t="s">
        <v>105</v>
      </c>
      <c r="P263" s="11" t="s">
        <v>595</v>
      </c>
      <c r="R263" s="1" t="s">
        <v>38</v>
      </c>
      <c r="T263" s="1" t="s">
        <v>74</v>
      </c>
      <c r="U263" s="11" t="s">
        <v>580</v>
      </c>
      <c r="V263" s="1" t="s">
        <v>41</v>
      </c>
      <c r="W263" s="1" t="s">
        <v>49</v>
      </c>
      <c r="X263" s="13" t="str">
        <f t="shared" si="33"/>
        <v/>
      </c>
      <c r="Y263" s="2">
        <f t="shared" ca="1" si="28"/>
        <v>198</v>
      </c>
      <c r="Z263" s="14">
        <v>1</v>
      </c>
      <c r="AA263" s="1" t="str">
        <f t="shared" ca="1" si="29"/>
        <v>VENCIDO</v>
      </c>
      <c r="AB263" s="1" t="str">
        <f t="shared" si="30"/>
        <v>Dosa</v>
      </c>
      <c r="AC263" s="2" t="str">
        <f t="shared" si="34"/>
        <v xml:space="preserve"> CRISTINA </v>
      </c>
      <c r="AD263" s="2">
        <f t="shared" si="31"/>
        <v>5</v>
      </c>
      <c r="AE263" s="2">
        <f t="shared" ca="1" si="32"/>
        <v>-274.9262716435187</v>
      </c>
      <c r="AF263" s="15"/>
    </row>
    <row r="264" spans="1:32" hidden="1">
      <c r="A264" s="1">
        <v>8623844</v>
      </c>
      <c r="B264" s="1" t="s">
        <v>27</v>
      </c>
      <c r="C264" t="s">
        <v>186</v>
      </c>
      <c r="E264" s="2">
        <v>3503000206001</v>
      </c>
      <c r="F264" s="1" t="s">
        <v>29</v>
      </c>
      <c r="G264" s="1" t="s">
        <v>53</v>
      </c>
      <c r="H264" s="1" t="s">
        <v>398</v>
      </c>
      <c r="I264" s="1" t="s">
        <v>399</v>
      </c>
      <c r="J264" s="1" t="s">
        <v>46</v>
      </c>
      <c r="K264" t="s">
        <v>34</v>
      </c>
      <c r="M264" s="1" t="s">
        <v>35</v>
      </c>
      <c r="N264" s="1">
        <v>42318949</v>
      </c>
      <c r="O264" s="1" t="s">
        <v>105</v>
      </c>
      <c r="P264" s="11" t="s">
        <v>596</v>
      </c>
      <c r="R264" s="1" t="s">
        <v>38</v>
      </c>
      <c r="T264" s="1" t="s">
        <v>74</v>
      </c>
      <c r="U264" s="11" t="s">
        <v>580</v>
      </c>
      <c r="V264" s="1" t="s">
        <v>41</v>
      </c>
      <c r="W264" s="1" t="s">
        <v>49</v>
      </c>
      <c r="X264" s="13" t="str">
        <f t="shared" si="33"/>
        <v/>
      </c>
      <c r="Y264" s="2">
        <f t="shared" ca="1" si="28"/>
        <v>198</v>
      </c>
      <c r="Z264" s="14">
        <v>1</v>
      </c>
      <c r="AA264" s="1" t="str">
        <f t="shared" ca="1" si="29"/>
        <v>VENCIDO</v>
      </c>
      <c r="AB264" s="1" t="str">
        <f t="shared" si="30"/>
        <v>Dosa</v>
      </c>
      <c r="AC264" s="2" t="str">
        <f t="shared" si="34"/>
        <v xml:space="preserve"> CLEITON </v>
      </c>
      <c r="AD264" s="2">
        <f t="shared" si="31"/>
        <v>5</v>
      </c>
      <c r="AE264" s="2">
        <f t="shared" ca="1" si="32"/>
        <v>-274.9262716435187</v>
      </c>
      <c r="AF264" s="15"/>
    </row>
    <row r="265" spans="1:32" hidden="1">
      <c r="A265" s="1">
        <v>8623731</v>
      </c>
      <c r="B265" s="1" t="s">
        <v>27</v>
      </c>
      <c r="C265" t="s">
        <v>186</v>
      </c>
      <c r="E265" s="2">
        <v>3234160206001</v>
      </c>
      <c r="F265" s="1" t="s">
        <v>29</v>
      </c>
      <c r="G265" s="1" t="s">
        <v>53</v>
      </c>
      <c r="H265" s="1" t="s">
        <v>499</v>
      </c>
      <c r="I265" s="1" t="s">
        <v>500</v>
      </c>
      <c r="J265" s="1" t="s">
        <v>46</v>
      </c>
      <c r="K265" t="s">
        <v>34</v>
      </c>
      <c r="M265" s="1" t="s">
        <v>35</v>
      </c>
      <c r="N265" s="1">
        <v>42318949</v>
      </c>
      <c r="O265" s="1" t="s">
        <v>105</v>
      </c>
      <c r="P265" s="11" t="s">
        <v>597</v>
      </c>
      <c r="R265" s="1" t="s">
        <v>38</v>
      </c>
      <c r="T265" s="1" t="s">
        <v>74</v>
      </c>
      <c r="U265" s="11" t="s">
        <v>580</v>
      </c>
      <c r="V265" s="1" t="s">
        <v>41</v>
      </c>
      <c r="W265" s="1" t="s">
        <v>49</v>
      </c>
      <c r="X265" s="13" t="str">
        <f t="shared" si="33"/>
        <v>3234.16</v>
      </c>
      <c r="Y265" s="2">
        <f t="shared" ca="1" si="28"/>
        <v>198</v>
      </c>
      <c r="Z265" s="14">
        <v>1</v>
      </c>
      <c r="AA265" s="1" t="str">
        <f t="shared" ca="1" si="29"/>
        <v>VENCIDO</v>
      </c>
      <c r="AB265" s="1" t="str">
        <f t="shared" si="30"/>
        <v>Dosa</v>
      </c>
      <c r="AC265" s="2" t="str">
        <f t="shared" si="34"/>
        <v xml:space="preserve"> CLEITON </v>
      </c>
      <c r="AD265" s="2">
        <f t="shared" si="31"/>
        <v>5</v>
      </c>
      <c r="AE265" s="2">
        <f t="shared" ca="1" si="32"/>
        <v>-274.9262716435187</v>
      </c>
      <c r="AF265" s="15"/>
    </row>
    <row r="266" spans="1:32" hidden="1">
      <c r="A266" s="1">
        <v>8623708</v>
      </c>
      <c r="B266" s="1" t="s">
        <v>27</v>
      </c>
      <c r="C266" t="s">
        <v>186</v>
      </c>
      <c r="E266" s="2">
        <v>2018000206001</v>
      </c>
      <c r="F266" s="1" t="s">
        <v>29</v>
      </c>
      <c r="G266" s="1" t="s">
        <v>53</v>
      </c>
      <c r="H266" s="1" t="s">
        <v>598</v>
      </c>
      <c r="I266" s="1" t="s">
        <v>599</v>
      </c>
      <c r="J266" s="1" t="s">
        <v>79</v>
      </c>
      <c r="K266" t="s">
        <v>34</v>
      </c>
      <c r="M266" s="1" t="s">
        <v>35</v>
      </c>
      <c r="N266" s="1">
        <v>42318949</v>
      </c>
      <c r="O266" s="1" t="s">
        <v>105</v>
      </c>
      <c r="P266" s="11" t="s">
        <v>600</v>
      </c>
      <c r="R266" s="1" t="s">
        <v>38</v>
      </c>
      <c r="T266" s="1" t="s">
        <v>74</v>
      </c>
      <c r="U266" s="11" t="s">
        <v>580</v>
      </c>
      <c r="V266" s="1" t="s">
        <v>41</v>
      </c>
      <c r="W266" s="1" t="s">
        <v>49</v>
      </c>
      <c r="X266" s="13" t="str">
        <f t="shared" si="33"/>
        <v/>
      </c>
      <c r="Y266" s="2">
        <f t="shared" ca="1" si="28"/>
        <v>198</v>
      </c>
      <c r="Z266" s="14">
        <v>1</v>
      </c>
      <c r="AA266" s="1" t="str">
        <f t="shared" ca="1" si="29"/>
        <v>VENCIDO</v>
      </c>
      <c r="AB266" s="1" t="str">
        <f t="shared" si="30"/>
        <v>Dosa</v>
      </c>
      <c r="AC266" s="2" t="str">
        <f t="shared" si="34"/>
        <v xml:space="preserve"> ROSEMERE </v>
      </c>
      <c r="AD266" s="2">
        <f t="shared" si="31"/>
        <v>5</v>
      </c>
      <c r="AE266" s="2">
        <f t="shared" ca="1" si="32"/>
        <v>-274.9262716435187</v>
      </c>
      <c r="AF266" s="15"/>
    </row>
    <row r="267" spans="1:32" hidden="1">
      <c r="A267" s="1">
        <v>8623572</v>
      </c>
      <c r="B267" s="1" t="s">
        <v>27</v>
      </c>
      <c r="C267" t="s">
        <v>186</v>
      </c>
      <c r="E267" s="2">
        <v>3108010206001</v>
      </c>
      <c r="F267" s="1" t="s">
        <v>29</v>
      </c>
      <c r="G267" s="1" t="s">
        <v>53</v>
      </c>
      <c r="H267" s="1" t="s">
        <v>503</v>
      </c>
      <c r="I267" s="1" t="s">
        <v>504</v>
      </c>
      <c r="J267" s="1" t="s">
        <v>46</v>
      </c>
      <c r="K267" t="s">
        <v>34</v>
      </c>
      <c r="M267" s="1" t="s">
        <v>35</v>
      </c>
      <c r="N267" s="1">
        <v>42318949</v>
      </c>
      <c r="O267" s="1" t="s">
        <v>105</v>
      </c>
      <c r="P267" s="11" t="s">
        <v>601</v>
      </c>
      <c r="R267" s="1" t="s">
        <v>38</v>
      </c>
      <c r="T267" s="1" t="s">
        <v>74</v>
      </c>
      <c r="U267" s="11" t="s">
        <v>580</v>
      </c>
      <c r="V267" s="1" t="s">
        <v>41</v>
      </c>
      <c r="W267" s="1" t="s">
        <v>49</v>
      </c>
      <c r="X267" s="13" t="str">
        <f t="shared" si="33"/>
        <v>3108.01</v>
      </c>
      <c r="Y267" s="2">
        <f t="shared" ca="1" si="28"/>
        <v>198</v>
      </c>
      <c r="Z267" s="14">
        <v>1</v>
      </c>
      <c r="AA267" s="1" t="str">
        <f t="shared" ca="1" si="29"/>
        <v>VENCIDO</v>
      </c>
      <c r="AB267" s="1" t="str">
        <f t="shared" si="30"/>
        <v>Dosa</v>
      </c>
      <c r="AC267" s="2" t="str">
        <f t="shared" si="34"/>
        <v xml:space="preserve"> CLEITON </v>
      </c>
      <c r="AD267" s="2">
        <f t="shared" si="31"/>
        <v>5</v>
      </c>
      <c r="AE267" s="2">
        <f t="shared" ca="1" si="32"/>
        <v>-274.9262716435187</v>
      </c>
      <c r="AF267" s="15"/>
    </row>
    <row r="268" spans="1:32" hidden="1">
      <c r="A268" s="1">
        <v>8623522</v>
      </c>
      <c r="B268" s="1" t="s">
        <v>27</v>
      </c>
      <c r="C268" t="s">
        <v>186</v>
      </c>
      <c r="E268" s="2">
        <v>1421000206001</v>
      </c>
      <c r="F268" s="1" t="s">
        <v>29</v>
      </c>
      <c r="G268" s="1" t="s">
        <v>53</v>
      </c>
      <c r="H268" s="1" t="s">
        <v>179</v>
      </c>
      <c r="I268" s="1" t="s">
        <v>180</v>
      </c>
      <c r="J268" s="1" t="s">
        <v>79</v>
      </c>
      <c r="K268" t="s">
        <v>34</v>
      </c>
      <c r="M268" s="1" t="s">
        <v>35</v>
      </c>
      <c r="N268" s="1">
        <v>42318949</v>
      </c>
      <c r="O268" s="1" t="s">
        <v>36</v>
      </c>
      <c r="P268" s="11" t="s">
        <v>602</v>
      </c>
      <c r="R268" s="1" t="s">
        <v>38</v>
      </c>
      <c r="T268" s="1" t="s">
        <v>74</v>
      </c>
      <c r="U268" s="11" t="s">
        <v>580</v>
      </c>
      <c r="V268" s="1" t="s">
        <v>41</v>
      </c>
      <c r="W268" s="1" t="s">
        <v>49</v>
      </c>
      <c r="X268" s="13" t="str">
        <f t="shared" si="33"/>
        <v/>
      </c>
      <c r="Y268" s="2">
        <f t="shared" ca="1" si="28"/>
        <v>198</v>
      </c>
      <c r="Z268" s="14">
        <v>1</v>
      </c>
      <c r="AA268" s="1" t="str">
        <f t="shared" ca="1" si="29"/>
        <v>VENCIDO</v>
      </c>
      <c r="AB268" s="1" t="str">
        <f t="shared" si="30"/>
        <v>Dosa</v>
      </c>
      <c r="AC268" s="2" t="str">
        <f t="shared" si="34"/>
        <v xml:space="preserve"> ROSEMERE </v>
      </c>
      <c r="AD268" s="2">
        <f t="shared" si="31"/>
        <v>5</v>
      </c>
      <c r="AE268" s="2">
        <f t="shared" ca="1" si="32"/>
        <v>-274.9262716435187</v>
      </c>
      <c r="AF268" s="15"/>
    </row>
    <row r="269" spans="1:32" hidden="1">
      <c r="A269" s="1">
        <v>8623509</v>
      </c>
      <c r="B269" s="1" t="s">
        <v>27</v>
      </c>
      <c r="C269" s="15" t="s">
        <v>186</v>
      </c>
      <c r="E269" s="2">
        <v>1643000206001</v>
      </c>
      <c r="F269" s="1" t="s">
        <v>29</v>
      </c>
      <c r="G269" s="1" t="s">
        <v>53</v>
      </c>
      <c r="H269" s="1" t="s">
        <v>361</v>
      </c>
      <c r="I269" s="1" t="s">
        <v>362</v>
      </c>
      <c r="J269" s="1" t="s">
        <v>261</v>
      </c>
      <c r="K269" t="s">
        <v>34</v>
      </c>
      <c r="M269" s="1" t="s">
        <v>35</v>
      </c>
      <c r="N269" s="1">
        <v>42318949</v>
      </c>
      <c r="O269" s="1" t="s">
        <v>105</v>
      </c>
      <c r="P269" s="11" t="s">
        <v>603</v>
      </c>
      <c r="R269" s="1" t="s">
        <v>38</v>
      </c>
      <c r="T269" s="1" t="s">
        <v>74</v>
      </c>
      <c r="U269" s="11" t="s">
        <v>580</v>
      </c>
      <c r="V269" s="1" t="s">
        <v>41</v>
      </c>
      <c r="W269" s="1" t="s">
        <v>49</v>
      </c>
      <c r="X269" s="13" t="str">
        <f t="shared" si="33"/>
        <v/>
      </c>
      <c r="Y269" s="2">
        <f t="shared" ca="1" si="28"/>
        <v>198</v>
      </c>
      <c r="Z269" s="14">
        <v>1</v>
      </c>
      <c r="AA269" s="1" t="str">
        <f t="shared" ca="1" si="29"/>
        <v>VENCIDO</v>
      </c>
      <c r="AB269" s="1" t="str">
        <f t="shared" si="30"/>
        <v>Dosa</v>
      </c>
      <c r="AC269" s="2" t="str">
        <f t="shared" si="34"/>
        <v xml:space="preserve"> CRISTINA </v>
      </c>
      <c r="AD269" s="2">
        <f t="shared" si="31"/>
        <v>5</v>
      </c>
      <c r="AE269" s="2">
        <f t="shared" ca="1" si="32"/>
        <v>-274.9262716435187</v>
      </c>
      <c r="AF269" s="15"/>
    </row>
    <row r="270" spans="1:32" hidden="1">
      <c r="A270" s="1">
        <v>8623470</v>
      </c>
      <c r="B270" s="1" t="s">
        <v>27</v>
      </c>
      <c r="C270" t="s">
        <v>186</v>
      </c>
      <c r="E270" s="2">
        <v>5898000206001</v>
      </c>
      <c r="F270" s="1" t="s">
        <v>29</v>
      </c>
      <c r="G270" s="1" t="s">
        <v>53</v>
      </c>
      <c r="H270" s="1" t="s">
        <v>365</v>
      </c>
      <c r="I270" s="1" t="s">
        <v>366</v>
      </c>
      <c r="J270" s="1" t="s">
        <v>164</v>
      </c>
      <c r="K270" t="s">
        <v>34</v>
      </c>
      <c r="M270" s="1" t="s">
        <v>35</v>
      </c>
      <c r="N270" s="1">
        <v>42318949</v>
      </c>
      <c r="O270" s="1" t="s">
        <v>36</v>
      </c>
      <c r="P270" s="11" t="s">
        <v>604</v>
      </c>
      <c r="R270" s="1" t="s">
        <v>38</v>
      </c>
      <c r="T270" s="1" t="s">
        <v>74</v>
      </c>
      <c r="U270" s="11" t="s">
        <v>580</v>
      </c>
      <c r="V270" s="1" t="s">
        <v>41</v>
      </c>
      <c r="W270" s="1" t="s">
        <v>49</v>
      </c>
      <c r="X270" s="13" t="str">
        <f t="shared" si="33"/>
        <v/>
      </c>
      <c r="Y270" s="2">
        <f t="shared" ca="1" si="28"/>
        <v>198</v>
      </c>
      <c r="Z270" s="14">
        <v>1</v>
      </c>
      <c r="AA270" s="1" t="str">
        <f t="shared" ca="1" si="29"/>
        <v>VENCIDO</v>
      </c>
      <c r="AB270" s="1" t="str">
        <f t="shared" si="30"/>
        <v>Dosa</v>
      </c>
      <c r="AC270" s="2" t="str">
        <f t="shared" si="34"/>
        <v xml:space="preserve"> ROSEMERE </v>
      </c>
      <c r="AD270" s="2">
        <f t="shared" si="31"/>
        <v>5</v>
      </c>
      <c r="AE270" s="2">
        <f t="shared" ca="1" si="32"/>
        <v>-274.9262716435187</v>
      </c>
      <c r="AF270" s="15"/>
    </row>
    <row r="271" spans="1:32" hidden="1">
      <c r="A271" s="1">
        <v>8623457</v>
      </c>
      <c r="B271" s="1" t="s">
        <v>27</v>
      </c>
      <c r="C271" t="s">
        <v>186</v>
      </c>
      <c r="E271" s="2">
        <v>4118000206001</v>
      </c>
      <c r="F271" s="1" t="s">
        <v>29</v>
      </c>
      <c r="G271" s="1" t="s">
        <v>53</v>
      </c>
      <c r="H271" s="1" t="s">
        <v>71</v>
      </c>
      <c r="I271" s="1" t="s">
        <v>72</v>
      </c>
      <c r="J271" s="1" t="s">
        <v>46</v>
      </c>
      <c r="K271" t="s">
        <v>34</v>
      </c>
      <c r="M271" s="1" t="s">
        <v>35</v>
      </c>
      <c r="N271" s="1">
        <v>42318949</v>
      </c>
      <c r="O271" s="1" t="s">
        <v>105</v>
      </c>
      <c r="P271" s="11" t="s">
        <v>605</v>
      </c>
      <c r="R271" s="1" t="s">
        <v>38</v>
      </c>
      <c r="T271" s="1" t="s">
        <v>74</v>
      </c>
      <c r="U271" s="11" t="s">
        <v>580</v>
      </c>
      <c r="V271" s="1" t="s">
        <v>41</v>
      </c>
      <c r="W271" s="1" t="s">
        <v>49</v>
      </c>
      <c r="X271" s="13" t="str">
        <f t="shared" si="33"/>
        <v/>
      </c>
      <c r="Y271" s="2">
        <f t="shared" ca="1" si="28"/>
        <v>198</v>
      </c>
      <c r="Z271" s="14">
        <v>1</v>
      </c>
      <c r="AA271" s="1" t="str">
        <f t="shared" ca="1" si="29"/>
        <v>VENCIDO</v>
      </c>
      <c r="AB271" s="1" t="str">
        <f t="shared" si="30"/>
        <v>Dosa</v>
      </c>
      <c r="AC271" s="2" t="str">
        <f t="shared" si="34"/>
        <v xml:space="preserve"> CLEITON </v>
      </c>
      <c r="AD271" s="2">
        <f t="shared" si="31"/>
        <v>5</v>
      </c>
      <c r="AE271" s="2">
        <f t="shared" ca="1" si="32"/>
        <v>-274.9262716435187</v>
      </c>
      <c r="AF271" s="15"/>
    </row>
    <row r="272" spans="1:32" hidden="1">
      <c r="A272" s="1">
        <v>8623414</v>
      </c>
      <c r="B272" s="1" t="s">
        <v>27</v>
      </c>
      <c r="C272" t="s">
        <v>186</v>
      </c>
      <c r="E272" s="2">
        <v>2107000206001</v>
      </c>
      <c r="F272" s="1" t="s">
        <v>29</v>
      </c>
      <c r="G272" s="1" t="s">
        <v>53</v>
      </c>
      <c r="H272" s="1" t="s">
        <v>262</v>
      </c>
      <c r="I272" s="1" t="s">
        <v>263</v>
      </c>
      <c r="J272" s="1" t="s">
        <v>164</v>
      </c>
      <c r="K272" t="s">
        <v>34</v>
      </c>
      <c r="M272" s="1" t="s">
        <v>35</v>
      </c>
      <c r="N272" s="1">
        <v>42318949</v>
      </c>
      <c r="O272" s="1" t="s">
        <v>105</v>
      </c>
      <c r="P272" s="11" t="s">
        <v>606</v>
      </c>
      <c r="R272" s="1" t="s">
        <v>38</v>
      </c>
      <c r="T272" s="1" t="s">
        <v>74</v>
      </c>
      <c r="U272" s="11" t="s">
        <v>580</v>
      </c>
      <c r="V272" s="1" t="s">
        <v>41</v>
      </c>
      <c r="W272" s="1" t="s">
        <v>49</v>
      </c>
      <c r="X272" s="13" t="str">
        <f t="shared" si="33"/>
        <v/>
      </c>
      <c r="Y272" s="2">
        <f t="shared" ca="1" si="28"/>
        <v>198</v>
      </c>
      <c r="Z272" s="14">
        <v>1</v>
      </c>
      <c r="AA272" s="1" t="str">
        <f t="shared" ca="1" si="29"/>
        <v>VENCIDO</v>
      </c>
      <c r="AB272" s="1" t="str">
        <f t="shared" si="30"/>
        <v>Dosa</v>
      </c>
      <c r="AC272" s="2" t="str">
        <f t="shared" si="34"/>
        <v xml:space="preserve"> ROSEMERE </v>
      </c>
      <c r="AD272" s="2">
        <f t="shared" si="31"/>
        <v>5</v>
      </c>
      <c r="AE272" s="2">
        <f t="shared" ca="1" si="32"/>
        <v>-274.9262716435187</v>
      </c>
      <c r="AF272" s="15"/>
    </row>
    <row r="273" spans="1:32" hidden="1">
      <c r="A273" s="1">
        <v>8623404</v>
      </c>
      <c r="B273" s="1" t="s">
        <v>27</v>
      </c>
      <c r="C273" t="s">
        <v>186</v>
      </c>
      <c r="E273" s="2">
        <v>2388000206001</v>
      </c>
      <c r="F273" s="1" t="s">
        <v>29</v>
      </c>
      <c r="G273" s="1" t="s">
        <v>53</v>
      </c>
      <c r="H273" s="1" t="s">
        <v>299</v>
      </c>
      <c r="I273" s="1" t="s">
        <v>300</v>
      </c>
      <c r="J273" s="1" t="s">
        <v>79</v>
      </c>
      <c r="K273" t="s">
        <v>34</v>
      </c>
      <c r="M273" s="1" t="s">
        <v>35</v>
      </c>
      <c r="N273" s="1">
        <v>42318949</v>
      </c>
      <c r="O273" s="1" t="s">
        <v>36</v>
      </c>
      <c r="P273" s="11" t="s">
        <v>607</v>
      </c>
      <c r="R273" s="1" t="s">
        <v>38</v>
      </c>
      <c r="T273" s="1" t="s">
        <v>74</v>
      </c>
      <c r="U273" s="11" t="s">
        <v>580</v>
      </c>
      <c r="V273" s="1" t="s">
        <v>41</v>
      </c>
      <c r="W273" s="1" t="s">
        <v>49</v>
      </c>
      <c r="X273" s="13" t="str">
        <f t="shared" si="33"/>
        <v/>
      </c>
      <c r="Y273" s="2">
        <f t="shared" ca="1" si="28"/>
        <v>198</v>
      </c>
      <c r="Z273" s="14">
        <v>1</v>
      </c>
      <c r="AA273" s="1" t="str">
        <f t="shared" ca="1" si="29"/>
        <v>VENCIDO</v>
      </c>
      <c r="AB273" s="1" t="str">
        <f t="shared" si="30"/>
        <v>Dosa</v>
      </c>
      <c r="AC273" s="2" t="str">
        <f t="shared" si="34"/>
        <v xml:space="preserve"> ROSEMERE </v>
      </c>
      <c r="AD273" s="2">
        <f t="shared" si="31"/>
        <v>5</v>
      </c>
      <c r="AE273" s="2">
        <f t="shared" ca="1" si="32"/>
        <v>-274.9262716435187</v>
      </c>
      <c r="AF273" s="15"/>
    </row>
    <row r="274" spans="1:32" hidden="1">
      <c r="A274" s="1">
        <v>8623397</v>
      </c>
      <c r="B274" s="1" t="s">
        <v>27</v>
      </c>
      <c r="C274" t="s">
        <v>186</v>
      </c>
      <c r="E274" s="2">
        <v>1710000206001</v>
      </c>
      <c r="F274" s="1" t="s">
        <v>29</v>
      </c>
      <c r="G274" s="1" t="s">
        <v>53</v>
      </c>
      <c r="H274" s="1" t="s">
        <v>327</v>
      </c>
      <c r="I274" s="1" t="s">
        <v>328</v>
      </c>
      <c r="J274" s="1" t="s">
        <v>261</v>
      </c>
      <c r="K274" t="s">
        <v>34</v>
      </c>
      <c r="M274" s="1" t="s">
        <v>35</v>
      </c>
      <c r="N274" s="1">
        <v>42318949</v>
      </c>
      <c r="O274" s="1" t="s">
        <v>105</v>
      </c>
      <c r="P274" s="11" t="s">
        <v>3428</v>
      </c>
      <c r="R274" s="1" t="s">
        <v>38</v>
      </c>
      <c r="T274" s="1" t="s">
        <v>74</v>
      </c>
      <c r="U274" s="11" t="s">
        <v>580</v>
      </c>
      <c r="V274" s="1" t="s">
        <v>41</v>
      </c>
      <c r="W274" s="1" t="s">
        <v>49</v>
      </c>
      <c r="X274" s="13" t="str">
        <f t="shared" si="33"/>
        <v/>
      </c>
      <c r="Y274" s="2">
        <f t="shared" ca="1" si="28"/>
        <v>198</v>
      </c>
      <c r="Z274" s="14">
        <v>1</v>
      </c>
      <c r="AA274" s="1" t="str">
        <f t="shared" ca="1" si="29"/>
        <v>VENCIDO</v>
      </c>
      <c r="AB274" s="1" t="str">
        <f t="shared" si="30"/>
        <v>Dosa</v>
      </c>
      <c r="AC274" s="2" t="str">
        <f t="shared" si="34"/>
        <v xml:space="preserve"> CRISTINA </v>
      </c>
      <c r="AD274" s="2">
        <f t="shared" si="31"/>
        <v>5</v>
      </c>
      <c r="AE274" s="2">
        <f t="shared" ca="1" si="32"/>
        <v>-274.9262716435187</v>
      </c>
      <c r="AF274" s="15"/>
    </row>
    <row r="275" spans="1:32" hidden="1">
      <c r="A275" s="1">
        <v>8623394</v>
      </c>
      <c r="B275" s="1" t="s">
        <v>27</v>
      </c>
      <c r="C275" t="s">
        <v>186</v>
      </c>
      <c r="E275" s="2">
        <v>4274000206001</v>
      </c>
      <c r="F275" s="1" t="s">
        <v>29</v>
      </c>
      <c r="G275" s="1" t="s">
        <v>53</v>
      </c>
      <c r="H275" s="1" t="s">
        <v>386</v>
      </c>
      <c r="I275" s="1" t="s">
        <v>387</v>
      </c>
      <c r="J275" s="1" t="s">
        <v>46</v>
      </c>
      <c r="K275" t="s">
        <v>34</v>
      </c>
      <c r="M275" s="1" t="s">
        <v>35</v>
      </c>
      <c r="N275" s="1">
        <v>42318949</v>
      </c>
      <c r="O275" s="1" t="s">
        <v>36</v>
      </c>
      <c r="P275" s="11" t="s">
        <v>608</v>
      </c>
      <c r="R275" s="1" t="s">
        <v>38</v>
      </c>
      <c r="T275" s="1" t="s">
        <v>74</v>
      </c>
      <c r="U275" s="11" t="s">
        <v>580</v>
      </c>
      <c r="V275" s="1" t="s">
        <v>41</v>
      </c>
      <c r="W275" s="1" t="s">
        <v>49</v>
      </c>
      <c r="X275" s="13" t="str">
        <f t="shared" si="33"/>
        <v/>
      </c>
      <c r="Y275" s="2">
        <f t="shared" ca="1" si="28"/>
        <v>198</v>
      </c>
      <c r="Z275" s="14">
        <v>1</v>
      </c>
      <c r="AA275" s="1" t="str">
        <f t="shared" ca="1" si="29"/>
        <v>VENCIDO</v>
      </c>
      <c r="AB275" s="1" t="str">
        <f t="shared" si="30"/>
        <v>Dosa</v>
      </c>
      <c r="AC275" s="2" t="str">
        <f t="shared" si="34"/>
        <v xml:space="preserve"> CLEITON </v>
      </c>
      <c r="AD275" s="2">
        <f t="shared" si="31"/>
        <v>5</v>
      </c>
      <c r="AE275" s="2">
        <f t="shared" ca="1" si="32"/>
        <v>-274.9262716435187</v>
      </c>
      <c r="AF275" s="15"/>
    </row>
    <row r="276" spans="1:32" hidden="1">
      <c r="A276" s="1">
        <v>8623366</v>
      </c>
      <c r="B276" s="1" t="s">
        <v>27</v>
      </c>
      <c r="C276" t="s">
        <v>186</v>
      </c>
      <c r="E276" s="2">
        <v>710000206001</v>
      </c>
      <c r="F276" s="1" t="s">
        <v>29</v>
      </c>
      <c r="G276" s="1" t="s">
        <v>53</v>
      </c>
      <c r="H276" s="1" t="s">
        <v>390</v>
      </c>
      <c r="I276" s="1" t="s">
        <v>391</v>
      </c>
      <c r="J276" s="1" t="s">
        <v>56</v>
      </c>
      <c r="K276" t="s">
        <v>34</v>
      </c>
      <c r="M276" s="1" t="s">
        <v>35</v>
      </c>
      <c r="N276" s="1">
        <v>42318949</v>
      </c>
      <c r="O276" s="1" t="s">
        <v>105</v>
      </c>
      <c r="P276" s="11" t="s">
        <v>609</v>
      </c>
      <c r="R276" s="1" t="s">
        <v>38</v>
      </c>
      <c r="T276" s="1" t="s">
        <v>74</v>
      </c>
      <c r="U276" s="11" t="s">
        <v>580</v>
      </c>
      <c r="V276" s="1" t="s">
        <v>41</v>
      </c>
      <c r="W276" s="1" t="s">
        <v>49</v>
      </c>
      <c r="X276" s="13" t="str">
        <f t="shared" si="33"/>
        <v/>
      </c>
      <c r="Y276" s="2">
        <f t="shared" ca="1" si="28"/>
        <v>198</v>
      </c>
      <c r="Z276" s="14">
        <v>1</v>
      </c>
      <c r="AA276" s="1" t="str">
        <f t="shared" ca="1" si="29"/>
        <v>VENCIDO</v>
      </c>
      <c r="AB276" s="1" t="str">
        <f t="shared" si="30"/>
        <v>Dosa</v>
      </c>
      <c r="AC276" s="2" t="str">
        <f t="shared" si="34"/>
        <v xml:space="preserve"> CRISTINA </v>
      </c>
      <c r="AD276" s="2">
        <f t="shared" si="31"/>
        <v>5</v>
      </c>
      <c r="AE276" s="2">
        <f t="shared" ca="1" si="32"/>
        <v>-274.9262716435187</v>
      </c>
      <c r="AF276" s="15"/>
    </row>
    <row r="277" spans="1:32" hidden="1">
      <c r="A277" s="1">
        <v>8623339</v>
      </c>
      <c r="B277" s="1" t="s">
        <v>27</v>
      </c>
      <c r="C277" t="s">
        <v>186</v>
      </c>
      <c r="E277" s="2">
        <v>550000206001</v>
      </c>
      <c r="F277" s="1" t="s">
        <v>29</v>
      </c>
      <c r="G277" s="1" t="s">
        <v>53</v>
      </c>
      <c r="H277" s="1" t="s">
        <v>337</v>
      </c>
      <c r="I277" s="1" t="s">
        <v>338</v>
      </c>
      <c r="J277" s="1" t="s">
        <v>164</v>
      </c>
      <c r="K277" t="s">
        <v>34</v>
      </c>
      <c r="M277" s="1" t="s">
        <v>35</v>
      </c>
      <c r="N277" s="1">
        <v>42318949</v>
      </c>
      <c r="O277" s="1" t="s">
        <v>105</v>
      </c>
      <c r="P277" s="11" t="s">
        <v>610</v>
      </c>
      <c r="R277" s="1" t="s">
        <v>38</v>
      </c>
      <c r="T277" s="1" t="s">
        <v>74</v>
      </c>
      <c r="U277" s="11" t="s">
        <v>580</v>
      </c>
      <c r="V277" s="1" t="s">
        <v>41</v>
      </c>
      <c r="W277" s="1" t="s">
        <v>49</v>
      </c>
      <c r="X277" s="13" t="str">
        <f t="shared" si="33"/>
        <v/>
      </c>
      <c r="Y277" s="2">
        <f t="shared" ca="1" si="28"/>
        <v>198</v>
      </c>
      <c r="Z277" s="14">
        <v>1</v>
      </c>
      <c r="AA277" s="1" t="str">
        <f t="shared" ca="1" si="29"/>
        <v>VENCIDO</v>
      </c>
      <c r="AB277" s="1" t="str">
        <f t="shared" si="30"/>
        <v>Dosa</v>
      </c>
      <c r="AC277" s="2" t="str">
        <f t="shared" si="34"/>
        <v xml:space="preserve"> ROSEMERE </v>
      </c>
      <c r="AD277" s="2">
        <f t="shared" si="31"/>
        <v>5</v>
      </c>
      <c r="AE277" s="2">
        <f t="shared" ca="1" si="32"/>
        <v>-274.9262716435187</v>
      </c>
      <c r="AF277" s="15"/>
    </row>
    <row r="278" spans="1:32" hidden="1">
      <c r="A278" s="1">
        <v>8623323</v>
      </c>
      <c r="B278" s="1" t="s">
        <v>27</v>
      </c>
      <c r="C278" t="s">
        <v>186</v>
      </c>
      <c r="E278" s="2">
        <v>1943000206001</v>
      </c>
      <c r="F278" s="1" t="s">
        <v>29</v>
      </c>
      <c r="G278" s="1" t="s">
        <v>53</v>
      </c>
      <c r="H278" s="1" t="s">
        <v>264</v>
      </c>
      <c r="I278" s="1" t="s">
        <v>265</v>
      </c>
      <c r="J278" s="1" t="s">
        <v>56</v>
      </c>
      <c r="K278" t="s">
        <v>34</v>
      </c>
      <c r="M278" s="1" t="s">
        <v>35</v>
      </c>
      <c r="N278" s="1">
        <v>42318949</v>
      </c>
      <c r="O278" s="1" t="s">
        <v>105</v>
      </c>
      <c r="P278" s="11" t="s">
        <v>611</v>
      </c>
      <c r="R278" s="1" t="s">
        <v>38</v>
      </c>
      <c r="T278" s="1" t="s">
        <v>74</v>
      </c>
      <c r="U278" s="11" t="s">
        <v>580</v>
      </c>
      <c r="V278" s="1" t="s">
        <v>41</v>
      </c>
      <c r="W278" s="1" t="s">
        <v>49</v>
      </c>
      <c r="X278" s="13" t="str">
        <f t="shared" si="33"/>
        <v/>
      </c>
      <c r="Y278" s="2">
        <f t="shared" ca="1" si="28"/>
        <v>198</v>
      </c>
      <c r="Z278" s="14">
        <v>1</v>
      </c>
      <c r="AA278" s="1" t="str">
        <f t="shared" ca="1" si="29"/>
        <v>VENCIDO</v>
      </c>
      <c r="AB278" s="1" t="str">
        <f t="shared" si="30"/>
        <v>Dosa</v>
      </c>
      <c r="AC278" s="2" t="str">
        <f t="shared" si="34"/>
        <v xml:space="preserve"> CRISTINA </v>
      </c>
      <c r="AD278" s="2">
        <f t="shared" si="31"/>
        <v>5</v>
      </c>
      <c r="AE278" s="2">
        <f t="shared" ca="1" si="32"/>
        <v>-274.9262716435187</v>
      </c>
      <c r="AF278" s="15"/>
    </row>
    <row r="279" spans="1:32" hidden="1">
      <c r="A279" s="1">
        <v>8623269</v>
      </c>
      <c r="B279" s="1" t="s">
        <v>27</v>
      </c>
      <c r="C279" t="s">
        <v>186</v>
      </c>
      <c r="E279" s="2">
        <v>1761000206001</v>
      </c>
      <c r="F279" s="1" t="s">
        <v>29</v>
      </c>
      <c r="G279" s="1" t="s">
        <v>53</v>
      </c>
      <c r="H279" s="1" t="s">
        <v>375</v>
      </c>
      <c r="I279" s="1" t="s">
        <v>376</v>
      </c>
      <c r="J279" s="1" t="s">
        <v>56</v>
      </c>
      <c r="K279" t="s">
        <v>34</v>
      </c>
      <c r="M279" s="1" t="s">
        <v>35</v>
      </c>
      <c r="N279" s="1">
        <v>42318949</v>
      </c>
      <c r="O279" s="1" t="s">
        <v>105</v>
      </c>
      <c r="P279" s="11" t="s">
        <v>612</v>
      </c>
      <c r="R279" s="1" t="s">
        <v>38</v>
      </c>
      <c r="T279" s="1" t="s">
        <v>74</v>
      </c>
      <c r="U279" s="11" t="s">
        <v>580</v>
      </c>
      <c r="V279" s="1" t="s">
        <v>41</v>
      </c>
      <c r="W279" s="1" t="s">
        <v>49</v>
      </c>
      <c r="X279" s="13" t="str">
        <f t="shared" si="33"/>
        <v/>
      </c>
      <c r="Y279" s="2">
        <f t="shared" ca="1" si="28"/>
        <v>198</v>
      </c>
      <c r="Z279" s="14">
        <v>1</v>
      </c>
      <c r="AA279" s="1" t="str">
        <f t="shared" ca="1" si="29"/>
        <v>VENCIDO</v>
      </c>
      <c r="AB279" s="1" t="str">
        <f t="shared" si="30"/>
        <v>Dosa</v>
      </c>
      <c r="AC279" s="2" t="str">
        <f t="shared" si="34"/>
        <v xml:space="preserve"> CRISTINA </v>
      </c>
      <c r="AD279" s="2">
        <f t="shared" si="31"/>
        <v>5</v>
      </c>
      <c r="AE279" s="2">
        <f t="shared" ca="1" si="32"/>
        <v>-274.9262716435187</v>
      </c>
      <c r="AF279" s="15"/>
    </row>
    <row r="280" spans="1:32" hidden="1">
      <c r="A280" s="1">
        <v>8623187</v>
      </c>
      <c r="B280" s="1" t="s">
        <v>27</v>
      </c>
      <c r="C280" t="s">
        <v>186</v>
      </c>
      <c r="E280" s="2">
        <v>2830000206001</v>
      </c>
      <c r="F280" s="1" t="s">
        <v>29</v>
      </c>
      <c r="G280" s="1" t="s">
        <v>53</v>
      </c>
      <c r="H280" s="1" t="s">
        <v>448</v>
      </c>
      <c r="I280" s="1" t="s">
        <v>449</v>
      </c>
      <c r="J280" s="1" t="s">
        <v>33</v>
      </c>
      <c r="K280" t="s">
        <v>34</v>
      </c>
      <c r="M280" s="1" t="s">
        <v>35</v>
      </c>
      <c r="N280" s="1">
        <v>42318949</v>
      </c>
      <c r="O280" s="1" t="s">
        <v>105</v>
      </c>
      <c r="P280" s="11" t="s">
        <v>613</v>
      </c>
      <c r="R280" s="1" t="s">
        <v>38</v>
      </c>
      <c r="T280" s="1" t="s">
        <v>74</v>
      </c>
      <c r="U280" s="11" t="s">
        <v>580</v>
      </c>
      <c r="V280" s="1" t="s">
        <v>41</v>
      </c>
      <c r="W280" s="1" t="s">
        <v>42</v>
      </c>
      <c r="X280" s="13" t="str">
        <f t="shared" si="33"/>
        <v/>
      </c>
      <c r="Y280" s="2">
        <f t="shared" ca="1" si="28"/>
        <v>198</v>
      </c>
      <c r="Z280" s="14">
        <v>1</v>
      </c>
      <c r="AA280" s="1" t="str">
        <f t="shared" ca="1" si="29"/>
        <v>VENCIDO</v>
      </c>
      <c r="AB280" s="1" t="str">
        <f t="shared" si="30"/>
        <v>Dosa</v>
      </c>
      <c r="AC280" s="2" t="str">
        <f t="shared" si="34"/>
        <v xml:space="preserve"> ROSEMERE </v>
      </c>
      <c r="AD280" s="2">
        <f t="shared" si="31"/>
        <v>5</v>
      </c>
      <c r="AE280" s="2">
        <f t="shared" ca="1" si="32"/>
        <v>-274.9262716435187</v>
      </c>
      <c r="AF280" s="15"/>
    </row>
    <row r="281" spans="1:32" hidden="1">
      <c r="A281" s="1">
        <v>8623156</v>
      </c>
      <c r="B281" s="1" t="s">
        <v>27</v>
      </c>
      <c r="C281" t="s">
        <v>186</v>
      </c>
      <c r="E281" s="2">
        <v>1361000206001</v>
      </c>
      <c r="F281" s="1" t="s">
        <v>29</v>
      </c>
      <c r="G281" s="1" t="s">
        <v>53</v>
      </c>
      <c r="H281" s="1" t="s">
        <v>309</v>
      </c>
      <c r="I281" s="1" t="s">
        <v>310</v>
      </c>
      <c r="J281" s="1" t="s">
        <v>46</v>
      </c>
      <c r="K281" t="s">
        <v>34</v>
      </c>
      <c r="M281" s="1" t="s">
        <v>35</v>
      </c>
      <c r="N281" s="1">
        <v>42318949</v>
      </c>
      <c r="O281" s="1" t="s">
        <v>105</v>
      </c>
      <c r="P281" s="11" t="s">
        <v>614</v>
      </c>
      <c r="R281" s="1" t="s">
        <v>38</v>
      </c>
      <c r="T281" s="1" t="s">
        <v>74</v>
      </c>
      <c r="U281" s="11" t="s">
        <v>580</v>
      </c>
      <c r="V281" s="1" t="s">
        <v>41</v>
      </c>
      <c r="W281" s="1" t="s">
        <v>49</v>
      </c>
      <c r="X281" s="13" t="str">
        <f t="shared" si="33"/>
        <v/>
      </c>
      <c r="Y281" s="2">
        <f t="shared" ca="1" si="28"/>
        <v>198</v>
      </c>
      <c r="Z281" s="14">
        <v>1</v>
      </c>
      <c r="AA281" s="1" t="str">
        <f t="shared" ca="1" si="29"/>
        <v>VENCIDO</v>
      </c>
      <c r="AB281" s="1" t="str">
        <f t="shared" si="30"/>
        <v>Dosa</v>
      </c>
      <c r="AC281" s="2" t="str">
        <f t="shared" si="34"/>
        <v xml:space="preserve"> CLEITON </v>
      </c>
      <c r="AD281" s="2">
        <f t="shared" si="31"/>
        <v>5</v>
      </c>
      <c r="AE281" s="2">
        <f t="shared" ca="1" si="32"/>
        <v>-274.9262716435187</v>
      </c>
      <c r="AF281" s="15"/>
    </row>
    <row r="282" spans="1:32" hidden="1">
      <c r="A282" s="1">
        <v>8623137</v>
      </c>
      <c r="B282" s="1" t="s">
        <v>27</v>
      </c>
      <c r="C282" t="s">
        <v>186</v>
      </c>
      <c r="E282" s="2">
        <v>1771000206001</v>
      </c>
      <c r="F282" s="1" t="s">
        <v>29</v>
      </c>
      <c r="G282" s="1" t="s">
        <v>53</v>
      </c>
      <c r="H282" s="1" t="s">
        <v>615</v>
      </c>
      <c r="I282" s="1" t="s">
        <v>616</v>
      </c>
      <c r="J282" s="1" t="s">
        <v>261</v>
      </c>
      <c r="K282" t="s">
        <v>34</v>
      </c>
      <c r="M282" s="1" t="s">
        <v>35</v>
      </c>
      <c r="N282" s="1">
        <v>42318949</v>
      </c>
      <c r="O282" s="1" t="s">
        <v>105</v>
      </c>
      <c r="P282" s="11" t="s">
        <v>617</v>
      </c>
      <c r="R282" s="1" t="s">
        <v>38</v>
      </c>
      <c r="T282" s="1" t="s">
        <v>74</v>
      </c>
      <c r="U282" s="11" t="s">
        <v>580</v>
      </c>
      <c r="V282" s="1" t="s">
        <v>41</v>
      </c>
      <c r="W282" s="1" t="s">
        <v>49</v>
      </c>
      <c r="X282" s="13" t="str">
        <f t="shared" si="33"/>
        <v/>
      </c>
      <c r="Y282" s="2">
        <f t="shared" ca="1" si="28"/>
        <v>198</v>
      </c>
      <c r="Z282" s="14">
        <v>1</v>
      </c>
      <c r="AA282" s="1" t="str">
        <f t="shared" ca="1" si="29"/>
        <v>VENCIDO</v>
      </c>
      <c r="AB282" s="1" t="str">
        <f t="shared" si="30"/>
        <v>Dosa</v>
      </c>
      <c r="AC282" s="2" t="str">
        <f t="shared" si="34"/>
        <v xml:space="preserve"> CRISTINA </v>
      </c>
      <c r="AD282" s="2">
        <f t="shared" si="31"/>
        <v>5</v>
      </c>
      <c r="AE282" s="2">
        <f t="shared" ca="1" si="32"/>
        <v>-274.9262716435187</v>
      </c>
      <c r="AF282" s="15"/>
    </row>
    <row r="283" spans="1:32" hidden="1">
      <c r="A283" s="1">
        <v>8623124</v>
      </c>
      <c r="B283" s="1" t="s">
        <v>27</v>
      </c>
      <c r="C283" t="s">
        <v>186</v>
      </c>
      <c r="E283" s="2">
        <v>934000206001</v>
      </c>
      <c r="F283" s="1" t="s">
        <v>29</v>
      </c>
      <c r="G283" s="1" t="s">
        <v>53</v>
      </c>
      <c r="H283" s="1" t="s">
        <v>428</v>
      </c>
      <c r="I283" s="1" t="s">
        <v>429</v>
      </c>
      <c r="J283" s="1" t="s">
        <v>46</v>
      </c>
      <c r="K283" t="s">
        <v>34</v>
      </c>
      <c r="M283" s="1" t="s">
        <v>35</v>
      </c>
      <c r="N283" s="1">
        <v>42318949</v>
      </c>
      <c r="O283" s="1" t="s">
        <v>36</v>
      </c>
      <c r="P283" s="11" t="s">
        <v>618</v>
      </c>
      <c r="R283" s="1" t="s">
        <v>38</v>
      </c>
      <c r="T283" s="1" t="s">
        <v>74</v>
      </c>
      <c r="U283" s="11" t="s">
        <v>580</v>
      </c>
      <c r="V283" s="1" t="s">
        <v>41</v>
      </c>
      <c r="W283" s="1" t="s">
        <v>49</v>
      </c>
      <c r="X283" s="13" t="str">
        <f t="shared" si="33"/>
        <v/>
      </c>
      <c r="Y283" s="2">
        <f t="shared" ca="1" si="28"/>
        <v>198</v>
      </c>
      <c r="Z283" s="14">
        <v>1</v>
      </c>
      <c r="AA283" s="1" t="str">
        <f t="shared" ca="1" si="29"/>
        <v>VENCIDO</v>
      </c>
      <c r="AB283" s="1" t="str">
        <f t="shared" si="30"/>
        <v>Dosa</v>
      </c>
      <c r="AC283" s="2" t="str">
        <f t="shared" si="34"/>
        <v xml:space="preserve"> CLEITON </v>
      </c>
      <c r="AD283" s="2">
        <f t="shared" si="31"/>
        <v>5</v>
      </c>
      <c r="AE283" s="2">
        <f t="shared" ca="1" si="32"/>
        <v>-274.9262716435187</v>
      </c>
      <c r="AF283" s="15"/>
    </row>
    <row r="284" spans="1:32" hidden="1">
      <c r="A284" s="1">
        <v>8623122</v>
      </c>
      <c r="B284" s="1" t="s">
        <v>27</v>
      </c>
      <c r="C284" t="s">
        <v>186</v>
      </c>
      <c r="E284" s="2">
        <v>1264000206001</v>
      </c>
      <c r="F284" s="1" t="s">
        <v>29</v>
      </c>
      <c r="G284" s="1" t="s">
        <v>53</v>
      </c>
      <c r="H284" s="1" t="s">
        <v>351</v>
      </c>
      <c r="I284" s="1" t="s">
        <v>352</v>
      </c>
      <c r="J284" s="1" t="s">
        <v>110</v>
      </c>
      <c r="K284" t="s">
        <v>34</v>
      </c>
      <c r="M284" s="1" t="s">
        <v>35</v>
      </c>
      <c r="N284" s="1">
        <v>42318949</v>
      </c>
      <c r="O284" s="1" t="s">
        <v>105</v>
      </c>
      <c r="P284" s="11" t="s">
        <v>618</v>
      </c>
      <c r="R284" s="1" t="s">
        <v>38</v>
      </c>
      <c r="T284" s="1" t="s">
        <v>74</v>
      </c>
      <c r="U284" s="11" t="s">
        <v>580</v>
      </c>
      <c r="V284" s="1" t="s">
        <v>41</v>
      </c>
      <c r="W284" s="1" t="s">
        <v>49</v>
      </c>
      <c r="X284" s="13" t="str">
        <f t="shared" si="33"/>
        <v/>
      </c>
      <c r="Y284" s="2">
        <f t="shared" ca="1" si="28"/>
        <v>198</v>
      </c>
      <c r="Z284" s="14">
        <v>1</v>
      </c>
      <c r="AA284" s="1" t="str">
        <f t="shared" ca="1" si="29"/>
        <v>VENCIDO</v>
      </c>
      <c r="AB284" s="1" t="str">
        <f t="shared" si="30"/>
        <v>Dosa</v>
      </c>
      <c r="AC284" s="2" t="str">
        <f t="shared" si="34"/>
        <v xml:space="preserve"> CRISTINA </v>
      </c>
      <c r="AD284" s="2">
        <f t="shared" si="31"/>
        <v>5</v>
      </c>
      <c r="AE284" s="2">
        <f t="shared" ca="1" si="32"/>
        <v>-274.9262716435187</v>
      </c>
      <c r="AF284" s="15"/>
    </row>
    <row r="285" spans="1:32" hidden="1">
      <c r="A285" s="1">
        <v>8622823</v>
      </c>
      <c r="B285" s="1" t="s">
        <v>27</v>
      </c>
      <c r="C285" t="s">
        <v>186</v>
      </c>
      <c r="E285" s="2">
        <v>2855000206001</v>
      </c>
      <c r="F285" s="1" t="s">
        <v>29</v>
      </c>
      <c r="G285" s="1" t="s">
        <v>53</v>
      </c>
      <c r="H285" s="1" t="s">
        <v>249</v>
      </c>
      <c r="I285" s="1" t="s">
        <v>250</v>
      </c>
      <c r="J285" s="1" t="s">
        <v>56</v>
      </c>
      <c r="K285" t="s">
        <v>34</v>
      </c>
      <c r="M285" s="1" t="s">
        <v>35</v>
      </c>
      <c r="N285" s="1">
        <v>42318949</v>
      </c>
      <c r="O285" s="1" t="s">
        <v>105</v>
      </c>
      <c r="P285" s="11" t="s">
        <v>619</v>
      </c>
      <c r="R285" s="1" t="s">
        <v>38</v>
      </c>
      <c r="T285" s="1" t="s">
        <v>74</v>
      </c>
      <c r="U285" s="11" t="s">
        <v>580</v>
      </c>
      <c r="V285" s="1" t="s">
        <v>41</v>
      </c>
      <c r="W285" s="1" t="s">
        <v>49</v>
      </c>
      <c r="X285" s="13" t="str">
        <f t="shared" si="33"/>
        <v/>
      </c>
      <c r="Y285" s="2">
        <f t="shared" ca="1" si="28"/>
        <v>198</v>
      </c>
      <c r="Z285" s="14">
        <v>1</v>
      </c>
      <c r="AA285" s="1" t="str">
        <f t="shared" ca="1" si="29"/>
        <v>VENCIDO</v>
      </c>
      <c r="AB285" s="1" t="str">
        <f t="shared" si="30"/>
        <v>Dosa</v>
      </c>
      <c r="AC285" s="2" t="str">
        <f t="shared" si="34"/>
        <v xml:space="preserve"> CRISTINA </v>
      </c>
      <c r="AD285" s="2">
        <f t="shared" si="31"/>
        <v>5</v>
      </c>
      <c r="AE285" s="2">
        <f t="shared" ca="1" si="32"/>
        <v>-274.9262716435187</v>
      </c>
      <c r="AF285" s="15"/>
    </row>
    <row r="286" spans="1:32" hidden="1">
      <c r="A286" s="1">
        <v>8622810</v>
      </c>
      <c r="B286" s="1" t="s">
        <v>27</v>
      </c>
      <c r="C286" t="s">
        <v>186</v>
      </c>
      <c r="E286" s="2">
        <v>1650000206001</v>
      </c>
      <c r="F286" s="1" t="s">
        <v>29</v>
      </c>
      <c r="G286" s="1" t="s">
        <v>53</v>
      </c>
      <c r="H286" s="1" t="s">
        <v>620</v>
      </c>
      <c r="I286" s="1" t="s">
        <v>621</v>
      </c>
      <c r="J286" s="1" t="s">
        <v>141</v>
      </c>
      <c r="K286" t="s">
        <v>34</v>
      </c>
      <c r="M286" s="1" t="s">
        <v>35</v>
      </c>
      <c r="N286" s="1">
        <v>42318949</v>
      </c>
      <c r="O286" s="1" t="s">
        <v>105</v>
      </c>
      <c r="P286" s="11" t="s">
        <v>622</v>
      </c>
      <c r="R286" s="1" t="s">
        <v>38</v>
      </c>
      <c r="T286" s="1" t="s">
        <v>74</v>
      </c>
      <c r="U286" s="11" t="s">
        <v>580</v>
      </c>
      <c r="V286" s="1" t="s">
        <v>41</v>
      </c>
      <c r="W286" s="1" t="s">
        <v>49</v>
      </c>
      <c r="X286" s="13" t="str">
        <f t="shared" si="33"/>
        <v/>
      </c>
      <c r="Y286" s="2">
        <f t="shared" ca="1" si="28"/>
        <v>198</v>
      </c>
      <c r="Z286" s="14">
        <v>1</v>
      </c>
      <c r="AA286" s="1" t="str">
        <f t="shared" ca="1" si="29"/>
        <v>VENCIDO</v>
      </c>
      <c r="AB286" s="1" t="str">
        <f t="shared" si="30"/>
        <v>Dosa</v>
      </c>
      <c r="AC286" s="2" t="str">
        <f t="shared" si="34"/>
        <v xml:space="preserve"> CRISTINA </v>
      </c>
      <c r="AD286" s="2">
        <f t="shared" si="31"/>
        <v>5</v>
      </c>
      <c r="AE286" s="2">
        <f t="shared" ca="1" si="32"/>
        <v>-274.9262716435187</v>
      </c>
      <c r="AF286" s="15"/>
    </row>
    <row r="287" spans="1:32" hidden="1">
      <c r="A287" s="1">
        <v>8622790</v>
      </c>
      <c r="B287" s="1" t="s">
        <v>27</v>
      </c>
      <c r="C287" t="s">
        <v>186</v>
      </c>
      <c r="E287" s="2">
        <v>1664000206001</v>
      </c>
      <c r="F287" s="1" t="s">
        <v>29</v>
      </c>
      <c r="G287" s="1" t="s">
        <v>53</v>
      </c>
      <c r="H287" s="1" t="s">
        <v>307</v>
      </c>
      <c r="I287" s="1" t="s">
        <v>308</v>
      </c>
      <c r="J287" s="1" t="s">
        <v>164</v>
      </c>
      <c r="K287" t="s">
        <v>34</v>
      </c>
      <c r="M287" s="1" t="s">
        <v>35</v>
      </c>
      <c r="N287" s="1">
        <v>42318949</v>
      </c>
      <c r="O287" s="1" t="s">
        <v>105</v>
      </c>
      <c r="P287" s="11" t="s">
        <v>624</v>
      </c>
      <c r="R287" s="1" t="s">
        <v>38</v>
      </c>
      <c r="T287" s="1" t="s">
        <v>74</v>
      </c>
      <c r="U287" s="11" t="s">
        <v>580</v>
      </c>
      <c r="V287" s="1" t="s">
        <v>41</v>
      </c>
      <c r="W287" s="1" t="s">
        <v>49</v>
      </c>
      <c r="X287" s="13" t="str">
        <f t="shared" si="33"/>
        <v/>
      </c>
      <c r="Y287" s="2">
        <f t="shared" ca="1" si="28"/>
        <v>198</v>
      </c>
      <c r="Z287" s="14">
        <v>1</v>
      </c>
      <c r="AA287" s="1" t="str">
        <f t="shared" ca="1" si="29"/>
        <v>VENCIDO</v>
      </c>
      <c r="AB287" s="1" t="str">
        <f t="shared" si="30"/>
        <v>Dosa</v>
      </c>
      <c r="AC287" s="2" t="str">
        <f t="shared" si="34"/>
        <v xml:space="preserve"> ROSEMERE </v>
      </c>
      <c r="AD287" s="2">
        <f t="shared" si="31"/>
        <v>5</v>
      </c>
      <c r="AE287" s="2">
        <f t="shared" ca="1" si="32"/>
        <v>-274.9262716435187</v>
      </c>
      <c r="AF287" s="15"/>
    </row>
    <row r="288" spans="1:32" hidden="1">
      <c r="A288" s="1">
        <v>8622781</v>
      </c>
      <c r="B288" s="1" t="s">
        <v>27</v>
      </c>
      <c r="C288" t="s">
        <v>186</v>
      </c>
      <c r="E288" s="2">
        <v>834000206001</v>
      </c>
      <c r="F288" s="1" t="s">
        <v>29</v>
      </c>
      <c r="G288" s="1" t="s">
        <v>53</v>
      </c>
      <c r="H288" s="1" t="s">
        <v>367</v>
      </c>
      <c r="I288" s="1" t="s">
        <v>368</v>
      </c>
      <c r="J288" s="1" t="s">
        <v>261</v>
      </c>
      <c r="K288" t="s">
        <v>34</v>
      </c>
      <c r="M288" s="1" t="s">
        <v>35</v>
      </c>
      <c r="N288" s="1">
        <v>42318949</v>
      </c>
      <c r="O288" s="1" t="s">
        <v>105</v>
      </c>
      <c r="P288" s="11" t="s">
        <v>625</v>
      </c>
      <c r="R288" s="1" t="s">
        <v>38</v>
      </c>
      <c r="T288" s="1" t="s">
        <v>74</v>
      </c>
      <c r="U288" s="11" t="s">
        <v>580</v>
      </c>
      <c r="V288" s="1" t="s">
        <v>41</v>
      </c>
      <c r="W288" s="1" t="s">
        <v>49</v>
      </c>
      <c r="X288" s="13" t="str">
        <f t="shared" si="33"/>
        <v/>
      </c>
      <c r="Y288" s="2">
        <f t="shared" ca="1" si="28"/>
        <v>198</v>
      </c>
      <c r="Z288" s="14">
        <v>1</v>
      </c>
      <c r="AA288" s="1" t="str">
        <f t="shared" ca="1" si="29"/>
        <v>VENCIDO</v>
      </c>
      <c r="AB288" s="1" t="str">
        <f t="shared" si="30"/>
        <v>Dosa</v>
      </c>
      <c r="AC288" s="2" t="str">
        <f t="shared" si="34"/>
        <v xml:space="preserve"> CRISTINA </v>
      </c>
      <c r="AD288" s="2">
        <f t="shared" si="31"/>
        <v>5</v>
      </c>
      <c r="AE288" s="2">
        <f t="shared" ca="1" si="32"/>
        <v>-274.9262716435187</v>
      </c>
      <c r="AF288" s="15"/>
    </row>
    <row r="289" spans="1:32" hidden="1">
      <c r="A289" s="1">
        <v>8622757</v>
      </c>
      <c r="B289" s="1" t="s">
        <v>27</v>
      </c>
      <c r="C289" t="s">
        <v>186</v>
      </c>
      <c r="E289" s="2">
        <v>5740000206001</v>
      </c>
      <c r="F289" s="1" t="s">
        <v>29</v>
      </c>
      <c r="G289" s="1" t="s">
        <v>53</v>
      </c>
      <c r="H289" s="1" t="s">
        <v>626</v>
      </c>
      <c r="I289" s="1" t="s">
        <v>627</v>
      </c>
      <c r="J289" s="1" t="s">
        <v>46</v>
      </c>
      <c r="K289" t="s">
        <v>34</v>
      </c>
      <c r="M289" s="1" t="s">
        <v>35</v>
      </c>
      <c r="N289" s="1">
        <v>42318949</v>
      </c>
      <c r="O289" s="1" t="s">
        <v>105</v>
      </c>
      <c r="P289" s="11" t="s">
        <v>628</v>
      </c>
      <c r="R289" s="1" t="s">
        <v>38</v>
      </c>
      <c r="T289" s="1" t="s">
        <v>74</v>
      </c>
      <c r="U289" s="11" t="s">
        <v>580</v>
      </c>
      <c r="V289" s="1" t="s">
        <v>41</v>
      </c>
      <c r="W289" s="1" t="s">
        <v>49</v>
      </c>
      <c r="X289" s="13" t="str">
        <f t="shared" si="33"/>
        <v/>
      </c>
      <c r="Y289" s="2">
        <f t="shared" ca="1" si="28"/>
        <v>198</v>
      </c>
      <c r="Z289" s="14">
        <v>1</v>
      </c>
      <c r="AA289" s="1" t="str">
        <f t="shared" ca="1" si="29"/>
        <v>VENCIDO</v>
      </c>
      <c r="AB289" s="1" t="str">
        <f t="shared" si="30"/>
        <v>Dosa</v>
      </c>
      <c r="AC289" s="2" t="str">
        <f t="shared" si="34"/>
        <v xml:space="preserve"> CLEITON </v>
      </c>
      <c r="AD289" s="2">
        <f t="shared" si="31"/>
        <v>5</v>
      </c>
      <c r="AE289" s="2">
        <f t="shared" ca="1" si="32"/>
        <v>-274.9262716435187</v>
      </c>
      <c r="AF289" s="15"/>
    </row>
    <row r="290" spans="1:32" hidden="1">
      <c r="A290" s="1">
        <v>8622462</v>
      </c>
      <c r="B290" s="1" t="s">
        <v>27</v>
      </c>
      <c r="C290" t="s">
        <v>186</v>
      </c>
      <c r="E290" s="2">
        <v>3234150206001</v>
      </c>
      <c r="F290" s="1" t="s">
        <v>29</v>
      </c>
      <c r="G290" s="1" t="s">
        <v>53</v>
      </c>
      <c r="H290" s="1" t="s">
        <v>629</v>
      </c>
      <c r="I290" s="1" t="s">
        <v>630</v>
      </c>
      <c r="J290" s="1" t="s">
        <v>46</v>
      </c>
      <c r="K290" t="s">
        <v>34</v>
      </c>
      <c r="M290" s="1" t="s">
        <v>35</v>
      </c>
      <c r="N290" s="1">
        <v>42318949</v>
      </c>
      <c r="O290" s="1" t="s">
        <v>105</v>
      </c>
      <c r="P290" s="11" t="s">
        <v>631</v>
      </c>
      <c r="R290" s="1" t="s">
        <v>38</v>
      </c>
      <c r="T290" s="1" t="s">
        <v>74</v>
      </c>
      <c r="U290" s="11" t="s">
        <v>580</v>
      </c>
      <c r="V290" s="1" t="s">
        <v>41</v>
      </c>
      <c r="W290" s="1" t="s">
        <v>49</v>
      </c>
      <c r="X290" s="13" t="str">
        <f t="shared" si="33"/>
        <v>3234.15</v>
      </c>
      <c r="Y290" s="2">
        <f t="shared" ca="1" si="28"/>
        <v>198</v>
      </c>
      <c r="Z290" s="14">
        <v>1</v>
      </c>
      <c r="AA290" s="1" t="str">
        <f t="shared" ca="1" si="29"/>
        <v>VENCIDO</v>
      </c>
      <c r="AB290" s="1" t="str">
        <f t="shared" si="30"/>
        <v>Dosa</v>
      </c>
      <c r="AC290" s="2" t="str">
        <f t="shared" si="34"/>
        <v xml:space="preserve"> CLEITON </v>
      </c>
      <c r="AD290" s="2">
        <f t="shared" si="31"/>
        <v>5</v>
      </c>
      <c r="AE290" s="2">
        <f t="shared" ca="1" si="32"/>
        <v>-274.9262716435187</v>
      </c>
      <c r="AF290" s="15"/>
    </row>
    <row r="291" spans="1:32" hidden="1">
      <c r="A291" s="1">
        <v>8622404</v>
      </c>
      <c r="B291" s="1" t="s">
        <v>27</v>
      </c>
      <c r="C291" t="s">
        <v>186</v>
      </c>
      <c r="E291" s="2">
        <v>4235000206001</v>
      </c>
      <c r="F291" s="1" t="s">
        <v>29</v>
      </c>
      <c r="G291" s="1" t="s">
        <v>53</v>
      </c>
      <c r="H291" s="1" t="s">
        <v>291</v>
      </c>
      <c r="I291" s="1" t="s">
        <v>292</v>
      </c>
      <c r="J291" s="1" t="s">
        <v>46</v>
      </c>
      <c r="K291" t="s">
        <v>34</v>
      </c>
      <c r="M291" s="1" t="s">
        <v>35</v>
      </c>
      <c r="N291" s="1">
        <v>42318949</v>
      </c>
      <c r="O291" s="1" t="s">
        <v>105</v>
      </c>
      <c r="P291" s="11" t="s">
        <v>632</v>
      </c>
      <c r="R291" s="1" t="s">
        <v>38</v>
      </c>
      <c r="T291" s="1" t="s">
        <v>74</v>
      </c>
      <c r="U291" s="11" t="s">
        <v>580</v>
      </c>
      <c r="V291" s="1" t="s">
        <v>41</v>
      </c>
      <c r="W291" s="1" t="s">
        <v>49</v>
      </c>
      <c r="X291" s="13" t="str">
        <f t="shared" si="33"/>
        <v/>
      </c>
      <c r="Y291" s="2">
        <f t="shared" ca="1" si="28"/>
        <v>198</v>
      </c>
      <c r="Z291" s="14">
        <v>1</v>
      </c>
      <c r="AA291" s="1" t="str">
        <f t="shared" ca="1" si="29"/>
        <v>VENCIDO</v>
      </c>
      <c r="AB291" s="1" t="str">
        <f t="shared" si="30"/>
        <v>Dosa</v>
      </c>
      <c r="AC291" s="2" t="str">
        <f t="shared" si="34"/>
        <v xml:space="preserve"> CLEITON </v>
      </c>
      <c r="AD291" s="2">
        <f t="shared" si="31"/>
        <v>5</v>
      </c>
      <c r="AE291" s="2">
        <f t="shared" ca="1" si="32"/>
        <v>-274.9262716435187</v>
      </c>
      <c r="AF291" s="15"/>
    </row>
    <row r="292" spans="1:32" hidden="1">
      <c r="A292" s="1">
        <v>8622376</v>
      </c>
      <c r="B292" s="1" t="s">
        <v>27</v>
      </c>
      <c r="C292" t="s">
        <v>186</v>
      </c>
      <c r="E292" s="2">
        <v>4357000206001</v>
      </c>
      <c r="F292" s="1" t="s">
        <v>29</v>
      </c>
      <c r="G292" s="1" t="s">
        <v>53</v>
      </c>
      <c r="H292" s="1" t="s">
        <v>633</v>
      </c>
      <c r="I292" s="1" t="s">
        <v>634</v>
      </c>
      <c r="J292" s="1" t="s">
        <v>46</v>
      </c>
      <c r="K292" t="s">
        <v>34</v>
      </c>
      <c r="M292" s="1" t="s">
        <v>35</v>
      </c>
      <c r="N292" s="1">
        <v>42318949</v>
      </c>
      <c r="O292" s="1" t="s">
        <v>36</v>
      </c>
      <c r="P292" s="11" t="s">
        <v>635</v>
      </c>
      <c r="R292" s="1" t="s">
        <v>38</v>
      </c>
      <c r="T292" s="1" t="s">
        <v>74</v>
      </c>
      <c r="U292" s="11" t="s">
        <v>580</v>
      </c>
      <c r="V292" s="1" t="s">
        <v>41</v>
      </c>
      <c r="W292" s="1" t="s">
        <v>49</v>
      </c>
      <c r="X292" s="13" t="str">
        <f t="shared" si="33"/>
        <v/>
      </c>
      <c r="Y292" s="2">
        <f t="shared" ca="1" si="28"/>
        <v>198</v>
      </c>
      <c r="Z292" s="14">
        <v>1</v>
      </c>
      <c r="AA292" s="1" t="str">
        <f t="shared" ca="1" si="29"/>
        <v>VENCIDO</v>
      </c>
      <c r="AB292" s="1" t="str">
        <f t="shared" si="30"/>
        <v>Dosa</v>
      </c>
      <c r="AC292" s="2" t="str">
        <f t="shared" si="34"/>
        <v xml:space="preserve"> CLEITON </v>
      </c>
      <c r="AD292" s="2">
        <f t="shared" si="31"/>
        <v>5</v>
      </c>
      <c r="AE292" s="2">
        <f t="shared" ca="1" si="32"/>
        <v>-274.9262716435187</v>
      </c>
      <c r="AF292" s="15"/>
    </row>
    <row r="293" spans="1:32" hidden="1">
      <c r="A293" s="1">
        <v>8622369</v>
      </c>
      <c r="B293" s="1" t="s">
        <v>27</v>
      </c>
      <c r="C293" t="s">
        <v>186</v>
      </c>
      <c r="E293" s="2">
        <v>3243000206001</v>
      </c>
      <c r="F293" s="1" t="s">
        <v>29</v>
      </c>
      <c r="G293" s="1" t="s">
        <v>53</v>
      </c>
      <c r="H293" s="1" t="s">
        <v>282</v>
      </c>
      <c r="I293" s="1" t="s">
        <v>283</v>
      </c>
      <c r="J293" s="1" t="s">
        <v>46</v>
      </c>
      <c r="K293" t="s">
        <v>34</v>
      </c>
      <c r="M293" s="1" t="s">
        <v>35</v>
      </c>
      <c r="N293" s="1">
        <v>42318949</v>
      </c>
      <c r="O293" s="1" t="s">
        <v>105</v>
      </c>
      <c r="P293" s="11" t="s">
        <v>635</v>
      </c>
      <c r="R293" s="1" t="s">
        <v>38</v>
      </c>
      <c r="T293" s="1" t="s">
        <v>74</v>
      </c>
      <c r="U293" s="11" t="s">
        <v>580</v>
      </c>
      <c r="V293" s="1" t="s">
        <v>41</v>
      </c>
      <c r="W293" s="1" t="s">
        <v>49</v>
      </c>
      <c r="X293" s="13" t="str">
        <f t="shared" si="33"/>
        <v/>
      </c>
      <c r="Y293" s="2">
        <f t="shared" ca="1" si="28"/>
        <v>198</v>
      </c>
      <c r="Z293" s="14">
        <v>1</v>
      </c>
      <c r="AA293" s="1" t="str">
        <f t="shared" ca="1" si="29"/>
        <v>VENCIDO</v>
      </c>
      <c r="AB293" s="1" t="str">
        <f t="shared" si="30"/>
        <v>Dosa</v>
      </c>
      <c r="AC293" s="2" t="str">
        <f t="shared" si="34"/>
        <v xml:space="preserve"> CLEITON </v>
      </c>
      <c r="AD293" s="2">
        <f t="shared" si="31"/>
        <v>5</v>
      </c>
      <c r="AE293" s="2">
        <f t="shared" ca="1" si="32"/>
        <v>-274.9262716435187</v>
      </c>
      <c r="AF293" s="15"/>
    </row>
    <row r="294" spans="1:32" hidden="1">
      <c r="A294" s="1">
        <v>8622191</v>
      </c>
      <c r="B294" s="1" t="s">
        <v>27</v>
      </c>
      <c r="C294" t="s">
        <v>186</v>
      </c>
      <c r="E294" s="2">
        <v>2988000206001</v>
      </c>
      <c r="F294" s="1" t="s">
        <v>29</v>
      </c>
      <c r="G294" s="1" t="s">
        <v>53</v>
      </c>
      <c r="H294" s="1" t="s">
        <v>536</v>
      </c>
      <c r="I294" s="1" t="s">
        <v>537</v>
      </c>
      <c r="J294" s="1" t="s">
        <v>46</v>
      </c>
      <c r="K294" t="s">
        <v>34</v>
      </c>
      <c r="M294" s="1" t="s">
        <v>35</v>
      </c>
      <c r="N294" s="1">
        <v>42318949</v>
      </c>
      <c r="O294" s="1" t="s">
        <v>36</v>
      </c>
      <c r="P294" s="11" t="s">
        <v>3429</v>
      </c>
      <c r="R294" s="1" t="s">
        <v>38</v>
      </c>
      <c r="T294" s="1" t="s">
        <v>74</v>
      </c>
      <c r="U294" s="11" t="s">
        <v>580</v>
      </c>
      <c r="V294" s="1" t="s">
        <v>41</v>
      </c>
      <c r="W294" s="1" t="s">
        <v>49</v>
      </c>
      <c r="X294" s="13" t="str">
        <f t="shared" si="33"/>
        <v/>
      </c>
      <c r="Y294" s="2">
        <f t="shared" ca="1" si="28"/>
        <v>198</v>
      </c>
      <c r="Z294" s="14">
        <v>1</v>
      </c>
      <c r="AA294" s="1" t="str">
        <f t="shared" ca="1" si="29"/>
        <v>VENCIDO</v>
      </c>
      <c r="AB294" s="1" t="str">
        <f t="shared" si="30"/>
        <v>Dosa</v>
      </c>
      <c r="AC294" s="2" t="str">
        <f t="shared" si="34"/>
        <v xml:space="preserve"> CLEITON </v>
      </c>
      <c r="AD294" s="2">
        <f t="shared" si="31"/>
        <v>5</v>
      </c>
      <c r="AE294" s="2">
        <f t="shared" ca="1" si="32"/>
        <v>-274.9262716435187</v>
      </c>
      <c r="AF294" s="15"/>
    </row>
    <row r="295" spans="1:32" hidden="1">
      <c r="A295" s="1">
        <v>8622149</v>
      </c>
      <c r="B295" s="1" t="s">
        <v>27</v>
      </c>
      <c r="C295" t="s">
        <v>186</v>
      </c>
      <c r="E295" s="2">
        <v>3699000206001</v>
      </c>
      <c r="F295" s="1" t="s">
        <v>29</v>
      </c>
      <c r="G295" s="1" t="s">
        <v>53</v>
      </c>
      <c r="H295" s="1" t="s">
        <v>343</v>
      </c>
      <c r="I295" s="1" t="s">
        <v>344</v>
      </c>
      <c r="J295" s="1" t="s">
        <v>46</v>
      </c>
      <c r="K295" t="s">
        <v>34</v>
      </c>
      <c r="M295" s="1" t="s">
        <v>35</v>
      </c>
      <c r="N295" s="1">
        <v>42318949</v>
      </c>
      <c r="O295" s="1" t="s">
        <v>105</v>
      </c>
      <c r="P295" s="11" t="s">
        <v>3430</v>
      </c>
      <c r="R295" s="1" t="s">
        <v>38</v>
      </c>
      <c r="T295" s="1" t="s">
        <v>74</v>
      </c>
      <c r="U295" s="11" t="s">
        <v>580</v>
      </c>
      <c r="V295" s="1" t="s">
        <v>41</v>
      </c>
      <c r="W295" s="1" t="s">
        <v>49</v>
      </c>
      <c r="X295" s="13" t="str">
        <f t="shared" si="33"/>
        <v/>
      </c>
      <c r="Y295" s="2">
        <f t="shared" ca="1" si="28"/>
        <v>198</v>
      </c>
      <c r="Z295" s="14">
        <v>1</v>
      </c>
      <c r="AA295" s="1" t="str">
        <f t="shared" ca="1" si="29"/>
        <v>VENCIDO</v>
      </c>
      <c r="AB295" s="1" t="str">
        <f t="shared" si="30"/>
        <v>Dosa</v>
      </c>
      <c r="AC295" s="2" t="str">
        <f t="shared" si="34"/>
        <v xml:space="preserve"> CLEITON </v>
      </c>
      <c r="AD295" s="2">
        <f t="shared" si="31"/>
        <v>5</v>
      </c>
      <c r="AE295" s="2">
        <f t="shared" ca="1" si="32"/>
        <v>-274.9262716435187</v>
      </c>
      <c r="AF295" s="15"/>
    </row>
    <row r="296" spans="1:32" hidden="1">
      <c r="A296" s="1">
        <v>8622140</v>
      </c>
      <c r="B296" s="1" t="s">
        <v>27</v>
      </c>
      <c r="C296" t="s">
        <v>186</v>
      </c>
      <c r="E296" s="2">
        <v>1833000206001</v>
      </c>
      <c r="F296" s="1" t="s">
        <v>29</v>
      </c>
      <c r="G296" s="1" t="s">
        <v>53</v>
      </c>
      <c r="H296" s="1" t="s">
        <v>369</v>
      </c>
      <c r="I296" s="1" t="s">
        <v>370</v>
      </c>
      <c r="J296" s="1" t="s">
        <v>46</v>
      </c>
      <c r="K296" t="s">
        <v>34</v>
      </c>
      <c r="M296" s="1" t="s">
        <v>35</v>
      </c>
      <c r="N296" s="1">
        <v>42318949</v>
      </c>
      <c r="O296" s="1" t="s">
        <v>105</v>
      </c>
      <c r="P296" s="11" t="s">
        <v>636</v>
      </c>
      <c r="R296" s="1" t="s">
        <v>38</v>
      </c>
      <c r="T296" s="1" t="s">
        <v>74</v>
      </c>
      <c r="U296" s="11" t="s">
        <v>580</v>
      </c>
      <c r="V296" s="1" t="s">
        <v>41</v>
      </c>
      <c r="W296" s="1" t="s">
        <v>49</v>
      </c>
      <c r="X296" s="13" t="str">
        <f t="shared" si="33"/>
        <v/>
      </c>
      <c r="Y296" s="2">
        <f t="shared" ca="1" si="28"/>
        <v>198</v>
      </c>
      <c r="Z296" s="14">
        <v>1</v>
      </c>
      <c r="AA296" s="1" t="str">
        <f t="shared" ca="1" si="29"/>
        <v>VENCIDO</v>
      </c>
      <c r="AB296" s="1" t="str">
        <f t="shared" si="30"/>
        <v>Dosa</v>
      </c>
      <c r="AC296" s="2" t="str">
        <f t="shared" si="34"/>
        <v xml:space="preserve"> CLEITON </v>
      </c>
      <c r="AD296" s="2">
        <f t="shared" si="31"/>
        <v>5</v>
      </c>
      <c r="AE296" s="2">
        <f t="shared" ca="1" si="32"/>
        <v>-274.9262716435187</v>
      </c>
      <c r="AF296" s="15"/>
    </row>
    <row r="297" spans="1:32" hidden="1">
      <c r="A297" s="1">
        <v>8622104</v>
      </c>
      <c r="B297" s="1" t="s">
        <v>27</v>
      </c>
      <c r="C297" t="s">
        <v>186</v>
      </c>
      <c r="E297" s="2">
        <v>1838000206001</v>
      </c>
      <c r="F297" s="1" t="s">
        <v>29</v>
      </c>
      <c r="G297" s="1" t="s">
        <v>53</v>
      </c>
      <c r="H297" s="1" t="s">
        <v>357</v>
      </c>
      <c r="I297" s="1" t="s">
        <v>358</v>
      </c>
      <c r="J297" s="1" t="s">
        <v>46</v>
      </c>
      <c r="K297" t="s">
        <v>34</v>
      </c>
      <c r="M297" s="1" t="s">
        <v>35</v>
      </c>
      <c r="N297" s="1">
        <v>42318949</v>
      </c>
      <c r="O297" s="1" t="s">
        <v>36</v>
      </c>
      <c r="P297" s="11" t="s">
        <v>3431</v>
      </c>
      <c r="R297" s="1" t="s">
        <v>38</v>
      </c>
      <c r="T297" s="1" t="s">
        <v>74</v>
      </c>
      <c r="U297" s="11" t="s">
        <v>580</v>
      </c>
      <c r="V297" s="1" t="s">
        <v>41</v>
      </c>
      <c r="W297" s="1" t="s">
        <v>49</v>
      </c>
      <c r="X297" s="13" t="str">
        <f t="shared" si="33"/>
        <v/>
      </c>
      <c r="Y297" s="2">
        <f t="shared" ca="1" si="28"/>
        <v>198</v>
      </c>
      <c r="Z297" s="14">
        <v>1</v>
      </c>
      <c r="AA297" s="1" t="str">
        <f t="shared" ca="1" si="29"/>
        <v>VENCIDO</v>
      </c>
      <c r="AB297" s="1" t="str">
        <f t="shared" si="30"/>
        <v>Dosa</v>
      </c>
      <c r="AC297" s="2" t="str">
        <f t="shared" si="34"/>
        <v xml:space="preserve"> CLEITON </v>
      </c>
      <c r="AD297" s="2">
        <f t="shared" si="31"/>
        <v>5</v>
      </c>
      <c r="AE297" s="2">
        <f t="shared" ca="1" si="32"/>
        <v>-274.9262716435187</v>
      </c>
      <c r="AF297" s="15"/>
    </row>
    <row r="298" spans="1:32" hidden="1">
      <c r="A298" s="1">
        <v>8627619</v>
      </c>
      <c r="B298" s="1" t="s">
        <v>27</v>
      </c>
      <c r="C298" t="s">
        <v>637</v>
      </c>
      <c r="E298" s="2">
        <v>9406000206001</v>
      </c>
      <c r="F298" s="1" t="s">
        <v>29</v>
      </c>
      <c r="G298" s="1" t="s">
        <v>53</v>
      </c>
      <c r="H298" s="1" t="s">
        <v>114</v>
      </c>
      <c r="I298" s="1" t="s">
        <v>115</v>
      </c>
      <c r="J298" s="1" t="s">
        <v>46</v>
      </c>
      <c r="K298" t="s">
        <v>34</v>
      </c>
      <c r="M298" s="1" t="s">
        <v>35</v>
      </c>
      <c r="N298" s="1">
        <v>42318949</v>
      </c>
      <c r="O298" s="1" t="s">
        <v>36</v>
      </c>
      <c r="P298" s="11" t="s">
        <v>638</v>
      </c>
      <c r="R298" s="1" t="s">
        <v>38</v>
      </c>
      <c r="T298" s="1" t="s">
        <v>74</v>
      </c>
      <c r="U298" s="11" t="s">
        <v>639</v>
      </c>
      <c r="V298" s="1" t="s">
        <v>41</v>
      </c>
      <c r="W298" s="1" t="s">
        <v>49</v>
      </c>
      <c r="X298" s="13" t="str">
        <f t="shared" si="33"/>
        <v/>
      </c>
      <c r="Y298" s="2">
        <f t="shared" ca="1" si="28"/>
        <v>197</v>
      </c>
      <c r="Z298" s="14">
        <v>1</v>
      </c>
      <c r="AA298" s="1" t="str">
        <f t="shared" ca="1" si="29"/>
        <v>VENCIDO</v>
      </c>
      <c r="AB298" s="1" t="str">
        <f t="shared" si="30"/>
        <v>Dosa</v>
      </c>
      <c r="AC298" s="2" t="str">
        <f t="shared" si="34"/>
        <v xml:space="preserve"> CLEITON </v>
      </c>
      <c r="AD298" s="2">
        <f t="shared" si="31"/>
        <v>5</v>
      </c>
      <c r="AE298" s="2">
        <f t="shared" ca="1" si="32"/>
        <v>-273.9262716435187</v>
      </c>
      <c r="AF298" s="15"/>
    </row>
    <row r="299" spans="1:32" hidden="1">
      <c r="A299" s="1">
        <v>8627312</v>
      </c>
      <c r="B299" s="1" t="s">
        <v>62</v>
      </c>
      <c r="C299" t="s">
        <v>3578</v>
      </c>
      <c r="E299" s="2">
        <v>1902016423500</v>
      </c>
      <c r="F299" s="1" t="s">
        <v>64</v>
      </c>
      <c r="G299" s="1" t="s">
        <v>53</v>
      </c>
      <c r="H299" s="1" t="s">
        <v>291</v>
      </c>
      <c r="I299" s="1" t="s">
        <v>292</v>
      </c>
      <c r="J299" s="1" t="s">
        <v>46</v>
      </c>
      <c r="K299" t="s">
        <v>67</v>
      </c>
      <c r="M299" s="1" t="s">
        <v>35</v>
      </c>
      <c r="N299" s="1">
        <v>42318949</v>
      </c>
      <c r="O299" s="1" t="s">
        <v>36</v>
      </c>
      <c r="P299" s="11" t="s">
        <v>641</v>
      </c>
      <c r="R299" s="1">
        <v>1</v>
      </c>
      <c r="T299" s="1" t="s">
        <v>69</v>
      </c>
      <c r="U299" s="11" t="s">
        <v>642</v>
      </c>
      <c r="V299" s="1" t="s">
        <v>41</v>
      </c>
      <c r="W299" s="1" t="s">
        <v>49</v>
      </c>
      <c r="X299" s="13" t="str">
        <f t="shared" si="33"/>
        <v/>
      </c>
      <c r="Y299" s="2">
        <f t="shared" ca="1" si="28"/>
        <v>197</v>
      </c>
      <c r="Z299" s="14">
        <v>1</v>
      </c>
      <c r="AA299" s="1" t="str">
        <f t="shared" ca="1" si="29"/>
        <v>VENCIDO</v>
      </c>
      <c r="AB299" s="1" t="str">
        <f t="shared" si="30"/>
        <v>TAAe+</v>
      </c>
      <c r="AC299" s="2" t="str">
        <f t="shared" si="34"/>
        <v xml:space="preserve"> CLEITON </v>
      </c>
      <c r="AD299" s="2">
        <f t="shared" si="31"/>
        <v>8</v>
      </c>
      <c r="AE299" s="2">
        <f t="shared" ca="1" si="32"/>
        <v>-273.05294988425885</v>
      </c>
      <c r="AF299" s="15"/>
    </row>
    <row r="300" spans="1:32" hidden="1">
      <c r="A300" s="1">
        <v>8646759</v>
      </c>
      <c r="B300" s="1" t="s">
        <v>101</v>
      </c>
      <c r="C300" t="s">
        <v>643</v>
      </c>
      <c r="D300" s="2">
        <v>220097008</v>
      </c>
      <c r="E300" s="2">
        <v>1362001400040</v>
      </c>
      <c r="F300" s="1" t="s">
        <v>644</v>
      </c>
      <c r="G300" s="1" t="s">
        <v>53</v>
      </c>
      <c r="H300" s="1" t="s">
        <v>268</v>
      </c>
      <c r="I300" s="1" t="s">
        <v>269</v>
      </c>
      <c r="J300" s="1" t="s">
        <v>90</v>
      </c>
      <c r="K300" t="s">
        <v>645</v>
      </c>
      <c r="M300" s="1" t="s">
        <v>58</v>
      </c>
      <c r="N300" s="1">
        <v>0</v>
      </c>
      <c r="O300" s="1" t="s">
        <v>105</v>
      </c>
      <c r="P300" s="186">
        <v>44713.458472222221</v>
      </c>
      <c r="R300" s="1">
        <v>3</v>
      </c>
      <c r="T300" s="1" t="s">
        <v>646</v>
      </c>
      <c r="U300" s="186">
        <v>44714.458472222221</v>
      </c>
      <c r="V300" s="1" t="s">
        <v>41</v>
      </c>
      <c r="W300" s="1" t="s">
        <v>49</v>
      </c>
      <c r="X300" s="13" t="str">
        <f t="shared" si="33"/>
        <v/>
      </c>
      <c r="Y300" s="2">
        <f t="shared" ca="1" si="28"/>
        <v>196</v>
      </c>
      <c r="Z300" s="14">
        <v>1</v>
      </c>
      <c r="AA300" s="1" t="str">
        <f t="shared" ca="1" si="29"/>
        <v>VENCIDO</v>
      </c>
      <c r="AB300" s="1" t="str">
        <f t="shared" si="30"/>
        <v>SL-On</v>
      </c>
      <c r="AC300" s="2" t="str">
        <f t="shared" si="34"/>
        <v xml:space="preserve"> RINALDO </v>
      </c>
      <c r="AD300" s="2">
        <f t="shared" si="31"/>
        <v>1</v>
      </c>
      <c r="AE300" s="2">
        <f t="shared" ca="1" si="32"/>
        <v>-272.21779942129797</v>
      </c>
      <c r="AF300" s="15"/>
    </row>
    <row r="301" spans="1:32" hidden="1">
      <c r="A301" s="1">
        <v>8645931</v>
      </c>
      <c r="B301" s="1" t="s">
        <v>101</v>
      </c>
      <c r="C301" t="s">
        <v>643</v>
      </c>
      <c r="D301" s="2">
        <v>220095864</v>
      </c>
      <c r="E301" s="2">
        <v>1120011400030</v>
      </c>
      <c r="F301" s="1" t="s">
        <v>647</v>
      </c>
      <c r="G301" s="1" t="s">
        <v>53</v>
      </c>
      <c r="H301" s="1" t="s">
        <v>648</v>
      </c>
      <c r="I301" s="1" t="s">
        <v>649</v>
      </c>
      <c r="J301" s="1" t="s">
        <v>164</v>
      </c>
      <c r="K301" t="s">
        <v>650</v>
      </c>
      <c r="M301" s="1" t="s">
        <v>58</v>
      </c>
      <c r="N301" s="1">
        <v>0</v>
      </c>
      <c r="O301" s="1" t="s">
        <v>105</v>
      </c>
      <c r="P301" s="186">
        <v>44713.426041666666</v>
      </c>
      <c r="R301" s="1">
        <v>4</v>
      </c>
      <c r="T301" s="1" t="s">
        <v>646</v>
      </c>
      <c r="U301" s="186">
        <v>44714.426053240742</v>
      </c>
      <c r="V301" s="1" t="s">
        <v>41</v>
      </c>
      <c r="W301" s="1" t="s">
        <v>49</v>
      </c>
      <c r="X301" s="13" t="str">
        <f t="shared" si="33"/>
        <v>1120.01</v>
      </c>
      <c r="Y301" s="2">
        <f t="shared" ca="1" si="28"/>
        <v>196</v>
      </c>
      <c r="Z301" s="14">
        <v>1</v>
      </c>
      <c r="AA301" s="1" t="str">
        <f t="shared" ca="1" si="29"/>
        <v>VENCIDO</v>
      </c>
      <c r="AB301" s="1" t="str">
        <f t="shared" si="30"/>
        <v>C-14</v>
      </c>
      <c r="AC301" s="2" t="str">
        <f t="shared" si="34"/>
        <v xml:space="preserve"> ROSEMERE </v>
      </c>
      <c r="AD301" s="2">
        <f t="shared" si="31"/>
        <v>15</v>
      </c>
      <c r="AE301" s="2">
        <f t="shared" ca="1" si="32"/>
        <v>-272.25021840277623</v>
      </c>
      <c r="AF301" s="15"/>
    </row>
    <row r="302" spans="1:32" hidden="1">
      <c r="A302" s="1">
        <v>8645897</v>
      </c>
      <c r="B302" s="1" t="s">
        <v>653</v>
      </c>
      <c r="C302" t="s">
        <v>3579</v>
      </c>
      <c r="E302" s="2">
        <v>325001400040</v>
      </c>
      <c r="F302" s="1" t="s">
        <v>644</v>
      </c>
      <c r="G302" s="1" t="s">
        <v>53</v>
      </c>
      <c r="H302" s="1" t="s">
        <v>345</v>
      </c>
      <c r="I302" s="1" t="s">
        <v>346</v>
      </c>
      <c r="J302" s="1" t="s">
        <v>46</v>
      </c>
      <c r="K302" t="s">
        <v>645</v>
      </c>
      <c r="M302" s="1" t="s">
        <v>58</v>
      </c>
      <c r="N302" s="1">
        <v>0</v>
      </c>
      <c r="O302" s="1" t="s">
        <v>105</v>
      </c>
      <c r="P302" s="186">
        <v>44713.425162037034</v>
      </c>
      <c r="R302" s="1">
        <v>3</v>
      </c>
      <c r="T302" s="1" t="s">
        <v>646</v>
      </c>
      <c r="U302" s="186">
        <v>44714.425162037034</v>
      </c>
      <c r="V302" s="1" t="s">
        <v>41</v>
      </c>
      <c r="W302" s="1" t="s">
        <v>49</v>
      </c>
      <c r="X302" s="13" t="str">
        <f t="shared" si="33"/>
        <v/>
      </c>
      <c r="Y302" s="2">
        <f t="shared" ca="1" si="28"/>
        <v>196</v>
      </c>
      <c r="Z302" s="14">
        <v>1</v>
      </c>
      <c r="AA302" s="1" t="str">
        <f t="shared" ca="1" si="29"/>
        <v>VENCIDO</v>
      </c>
      <c r="AB302" s="1" t="str">
        <f t="shared" si="30"/>
        <v>SL-On</v>
      </c>
      <c r="AC302" s="2" t="str">
        <f t="shared" si="34"/>
        <v xml:space="preserve"> CLEITON </v>
      </c>
      <c r="AD302" s="2">
        <f t="shared" si="31"/>
        <v>1</v>
      </c>
      <c r="AE302" s="2">
        <f t="shared" ca="1" si="32"/>
        <v>-272.25110960648453</v>
      </c>
      <c r="AF302" s="15"/>
    </row>
    <row r="303" spans="1:32" hidden="1">
      <c r="A303" s="1">
        <v>8645870</v>
      </c>
      <c r="B303" s="1" t="s">
        <v>653</v>
      </c>
      <c r="C303" t="s">
        <v>3579</v>
      </c>
      <c r="E303" s="2">
        <v>8573001400040</v>
      </c>
      <c r="F303" s="1" t="s">
        <v>644</v>
      </c>
      <c r="G303" s="1" t="s">
        <v>53</v>
      </c>
      <c r="H303" s="1" t="s">
        <v>657</v>
      </c>
      <c r="I303" s="1" t="s">
        <v>658</v>
      </c>
      <c r="J303" s="1" t="s">
        <v>33</v>
      </c>
      <c r="K303" t="s">
        <v>645</v>
      </c>
      <c r="M303" s="1" t="s">
        <v>58</v>
      </c>
      <c r="N303" s="1">
        <v>0</v>
      </c>
      <c r="O303" s="1" t="s">
        <v>105</v>
      </c>
      <c r="P303" s="186">
        <v>44713.425081018519</v>
      </c>
      <c r="R303" s="1">
        <v>3</v>
      </c>
      <c r="T303" s="1" t="s">
        <v>646</v>
      </c>
      <c r="U303" s="186">
        <v>44714.425081018519</v>
      </c>
      <c r="V303" s="1" t="s">
        <v>41</v>
      </c>
      <c r="W303" s="1" t="s">
        <v>49</v>
      </c>
      <c r="X303" s="13" t="str">
        <f t="shared" si="33"/>
        <v/>
      </c>
      <c r="Y303" s="2">
        <f t="shared" ca="1" si="28"/>
        <v>196</v>
      </c>
      <c r="Z303" s="14">
        <v>1</v>
      </c>
      <c r="AA303" s="1" t="str">
        <f t="shared" ca="1" si="29"/>
        <v>VENCIDO</v>
      </c>
      <c r="AB303" s="1" t="str">
        <f t="shared" si="30"/>
        <v>SL-On</v>
      </c>
      <c r="AC303" s="2" t="str">
        <f t="shared" si="34"/>
        <v xml:space="preserve"> ROSEMERE </v>
      </c>
      <c r="AD303" s="2">
        <f t="shared" si="31"/>
        <v>1</v>
      </c>
      <c r="AE303" s="2">
        <f t="shared" ca="1" si="32"/>
        <v>-272.25119062500016</v>
      </c>
      <c r="AF303" s="15"/>
    </row>
    <row r="304" spans="1:32" hidden="1">
      <c r="A304" s="1">
        <v>8645811</v>
      </c>
      <c r="B304" s="1" t="s">
        <v>653</v>
      </c>
      <c r="C304" t="s">
        <v>3579</v>
      </c>
      <c r="E304" s="2">
        <v>8973001400040</v>
      </c>
      <c r="F304" s="1" t="s">
        <v>644</v>
      </c>
      <c r="G304" s="1" t="s">
        <v>53</v>
      </c>
      <c r="H304" s="1" t="s">
        <v>661</v>
      </c>
      <c r="I304" s="1" t="s">
        <v>662</v>
      </c>
      <c r="J304" s="1" t="s">
        <v>46</v>
      </c>
      <c r="K304" t="s">
        <v>645</v>
      </c>
      <c r="M304" s="1" t="s">
        <v>58</v>
      </c>
      <c r="N304" s="1">
        <v>0</v>
      </c>
      <c r="O304" s="1" t="s">
        <v>105</v>
      </c>
      <c r="P304" s="186">
        <v>44713.425011574072</v>
      </c>
      <c r="R304" s="1">
        <v>3</v>
      </c>
      <c r="T304" s="1" t="s">
        <v>646</v>
      </c>
      <c r="U304" s="186">
        <v>44714.425011574072</v>
      </c>
      <c r="V304" s="1" t="s">
        <v>41</v>
      </c>
      <c r="W304" s="1" t="s">
        <v>49</v>
      </c>
      <c r="X304" s="13" t="str">
        <f t="shared" si="33"/>
        <v/>
      </c>
      <c r="Y304" s="2">
        <f t="shared" ca="1" si="28"/>
        <v>196</v>
      </c>
      <c r="Z304" s="14">
        <v>1</v>
      </c>
      <c r="AA304" s="1" t="str">
        <f t="shared" ca="1" si="29"/>
        <v>VENCIDO</v>
      </c>
      <c r="AB304" s="1" t="str">
        <f t="shared" si="30"/>
        <v>SL-On</v>
      </c>
      <c r="AC304" s="2" t="str">
        <f t="shared" si="34"/>
        <v xml:space="preserve"> CLEITON </v>
      </c>
      <c r="AD304" s="2">
        <f t="shared" si="31"/>
        <v>1</v>
      </c>
      <c r="AE304" s="2">
        <f t="shared" ca="1" si="32"/>
        <v>-272.25126006944629</v>
      </c>
      <c r="AF304" s="15"/>
    </row>
    <row r="305" spans="1:32" hidden="1">
      <c r="A305" s="1">
        <v>8645204</v>
      </c>
      <c r="B305" s="1" t="s">
        <v>653</v>
      </c>
      <c r="C305" t="s">
        <v>3579</v>
      </c>
      <c r="E305" s="2">
        <v>5898001400040</v>
      </c>
      <c r="F305" s="1" t="s">
        <v>644</v>
      </c>
      <c r="G305" s="1" t="s">
        <v>53</v>
      </c>
      <c r="H305" s="1" t="s">
        <v>365</v>
      </c>
      <c r="I305" s="1" t="s">
        <v>366</v>
      </c>
      <c r="J305" s="1" t="s">
        <v>164</v>
      </c>
      <c r="K305" t="s">
        <v>645</v>
      </c>
      <c r="M305" s="1" t="s">
        <v>58</v>
      </c>
      <c r="N305" s="1">
        <v>0</v>
      </c>
      <c r="O305" s="1" t="s">
        <v>105</v>
      </c>
      <c r="P305" s="186">
        <v>44713.423518518517</v>
      </c>
      <c r="R305" s="1">
        <v>2</v>
      </c>
      <c r="T305" s="1" t="s">
        <v>646</v>
      </c>
      <c r="U305" s="186">
        <v>44714.423518518517</v>
      </c>
      <c r="V305" s="1" t="s">
        <v>41</v>
      </c>
      <c r="W305" s="1" t="s">
        <v>49</v>
      </c>
      <c r="X305" s="13" t="str">
        <f t="shared" si="33"/>
        <v/>
      </c>
      <c r="Y305" s="2">
        <f t="shared" ca="1" si="28"/>
        <v>196</v>
      </c>
      <c r="Z305" s="14">
        <v>1</v>
      </c>
      <c r="AA305" s="1" t="str">
        <f t="shared" ca="1" si="29"/>
        <v>VENCIDO</v>
      </c>
      <c r="AB305" s="1" t="str">
        <f t="shared" si="30"/>
        <v>SL-On</v>
      </c>
      <c r="AC305" s="2" t="str">
        <f t="shared" si="34"/>
        <v xml:space="preserve"> ROSEMERE </v>
      </c>
      <c r="AD305" s="2">
        <f t="shared" si="31"/>
        <v>1</v>
      </c>
      <c r="AE305" s="2">
        <f t="shared" ca="1" si="32"/>
        <v>-272.25275312500162</v>
      </c>
      <c r="AF305" s="15"/>
    </row>
    <row r="306" spans="1:32" hidden="1">
      <c r="A306" s="1">
        <v>8645133</v>
      </c>
      <c r="B306" s="1" t="s">
        <v>653</v>
      </c>
      <c r="C306" t="s">
        <v>3579</v>
      </c>
      <c r="E306" s="2">
        <v>5742001400040</v>
      </c>
      <c r="F306" s="1" t="s">
        <v>644</v>
      </c>
      <c r="G306" s="1" t="s">
        <v>53</v>
      </c>
      <c r="H306" s="1" t="s">
        <v>430</v>
      </c>
      <c r="I306" s="1" t="s">
        <v>431</v>
      </c>
      <c r="J306" s="1" t="s">
        <v>79</v>
      </c>
      <c r="K306" t="s">
        <v>645</v>
      </c>
      <c r="M306" s="1" t="s">
        <v>58</v>
      </c>
      <c r="N306" s="1">
        <v>0</v>
      </c>
      <c r="O306" s="1" t="s">
        <v>105</v>
      </c>
      <c r="P306" s="186">
        <v>44713.423067129632</v>
      </c>
      <c r="R306" s="1">
        <v>2</v>
      </c>
      <c r="T306" s="1" t="s">
        <v>646</v>
      </c>
      <c r="U306" s="186">
        <v>44714.423067129632</v>
      </c>
      <c r="V306" s="1" t="s">
        <v>41</v>
      </c>
      <c r="W306" s="1" t="s">
        <v>49</v>
      </c>
      <c r="X306" s="13" t="str">
        <f t="shared" si="33"/>
        <v/>
      </c>
      <c r="Y306" s="2">
        <f t="shared" ca="1" si="28"/>
        <v>196</v>
      </c>
      <c r="Z306" s="14">
        <v>1</v>
      </c>
      <c r="AA306" s="1" t="str">
        <f t="shared" ca="1" si="29"/>
        <v>VENCIDO</v>
      </c>
      <c r="AB306" s="1" t="str">
        <f t="shared" si="30"/>
        <v>SL-On</v>
      </c>
      <c r="AC306" s="2" t="str">
        <f t="shared" si="34"/>
        <v xml:space="preserve"> ROSEMERE </v>
      </c>
      <c r="AD306" s="2">
        <f t="shared" si="31"/>
        <v>1</v>
      </c>
      <c r="AE306" s="2">
        <f t="shared" ca="1" si="32"/>
        <v>-272.25320451388689</v>
      </c>
      <c r="AF306" s="15"/>
    </row>
    <row r="307" spans="1:32" hidden="1">
      <c r="A307" s="1">
        <v>8644779</v>
      </c>
      <c r="B307" s="1" t="s">
        <v>653</v>
      </c>
      <c r="C307" t="s">
        <v>3579</v>
      </c>
      <c r="E307" s="2">
        <v>4623001400040</v>
      </c>
      <c r="F307" s="1" t="s">
        <v>644</v>
      </c>
      <c r="G307" s="1" t="s">
        <v>53</v>
      </c>
      <c r="H307" s="1" t="s">
        <v>669</v>
      </c>
      <c r="I307" s="1" t="s">
        <v>670</v>
      </c>
      <c r="J307" s="1" t="s">
        <v>33</v>
      </c>
      <c r="K307" t="s">
        <v>645</v>
      </c>
      <c r="M307" s="1" t="s">
        <v>58</v>
      </c>
      <c r="N307" s="1">
        <v>0</v>
      </c>
      <c r="O307" s="1" t="s">
        <v>105</v>
      </c>
      <c r="P307" s="186">
        <v>44713.421817129631</v>
      </c>
      <c r="R307" s="1">
        <v>2</v>
      </c>
      <c r="T307" s="1" t="s">
        <v>646</v>
      </c>
      <c r="U307" s="186">
        <v>44714.421817129631</v>
      </c>
      <c r="V307" s="1" t="s">
        <v>41</v>
      </c>
      <c r="W307" s="1" t="s">
        <v>42</v>
      </c>
      <c r="X307" s="13" t="str">
        <f t="shared" si="33"/>
        <v/>
      </c>
      <c r="Y307" s="2">
        <f t="shared" ca="1" si="28"/>
        <v>196</v>
      </c>
      <c r="Z307" s="14">
        <v>1</v>
      </c>
      <c r="AA307" s="1" t="str">
        <f t="shared" ca="1" si="29"/>
        <v>VENCIDO</v>
      </c>
      <c r="AB307" s="1" t="str">
        <f t="shared" si="30"/>
        <v>SL-On</v>
      </c>
      <c r="AC307" s="2" t="str">
        <f t="shared" si="34"/>
        <v xml:space="preserve"> ROSEMERE </v>
      </c>
      <c r="AD307" s="2">
        <f t="shared" si="31"/>
        <v>1</v>
      </c>
      <c r="AE307" s="2">
        <f t="shared" ca="1" si="32"/>
        <v>-272.25445451388805</v>
      </c>
      <c r="AF307" s="15"/>
    </row>
    <row r="308" spans="1:32" hidden="1">
      <c r="A308" s="1">
        <v>8644587</v>
      </c>
      <c r="B308" s="1" t="s">
        <v>653</v>
      </c>
      <c r="C308" t="s">
        <v>3579</v>
      </c>
      <c r="E308" s="2">
        <v>4357001400040</v>
      </c>
      <c r="F308" s="1" t="s">
        <v>644</v>
      </c>
      <c r="G308" s="1" t="s">
        <v>53</v>
      </c>
      <c r="H308" s="1" t="s">
        <v>633</v>
      </c>
      <c r="I308" s="1" t="s">
        <v>634</v>
      </c>
      <c r="J308" s="1" t="s">
        <v>46</v>
      </c>
      <c r="K308" t="s">
        <v>645</v>
      </c>
      <c r="M308" s="1" t="s">
        <v>58</v>
      </c>
      <c r="N308" s="1">
        <v>0</v>
      </c>
      <c r="O308" s="1" t="s">
        <v>105</v>
      </c>
      <c r="P308" s="186">
        <v>44713.421180555553</v>
      </c>
      <c r="R308" s="1">
        <v>2</v>
      </c>
      <c r="T308" s="1" t="s">
        <v>646</v>
      </c>
      <c r="U308" s="186">
        <v>44714.421180555553</v>
      </c>
      <c r="V308" s="1" t="s">
        <v>41</v>
      </c>
      <c r="W308" s="1" t="s">
        <v>49</v>
      </c>
      <c r="X308" s="13" t="str">
        <f t="shared" si="33"/>
        <v/>
      </c>
      <c r="Y308" s="2">
        <f t="shared" ca="1" si="28"/>
        <v>196</v>
      </c>
      <c r="Z308" s="14">
        <v>1</v>
      </c>
      <c r="AA308" s="1" t="str">
        <f t="shared" ca="1" si="29"/>
        <v>VENCIDO</v>
      </c>
      <c r="AB308" s="1" t="str">
        <f t="shared" si="30"/>
        <v>SL-On</v>
      </c>
      <c r="AC308" s="2" t="str">
        <f t="shared" si="34"/>
        <v xml:space="preserve"> CLEITON </v>
      </c>
      <c r="AD308" s="2">
        <f t="shared" si="31"/>
        <v>1</v>
      </c>
      <c r="AE308" s="2">
        <f t="shared" ca="1" si="32"/>
        <v>-272.25509108796541</v>
      </c>
      <c r="AF308" s="15"/>
    </row>
    <row r="309" spans="1:32" hidden="1">
      <c r="A309" s="1">
        <v>8644506</v>
      </c>
      <c r="B309" s="1" t="s">
        <v>653</v>
      </c>
      <c r="C309" t="s">
        <v>3579</v>
      </c>
      <c r="E309" s="2">
        <v>4235001400040</v>
      </c>
      <c r="F309" s="1" t="s">
        <v>644</v>
      </c>
      <c r="G309" s="1" t="s">
        <v>53</v>
      </c>
      <c r="H309" s="1" t="s">
        <v>291</v>
      </c>
      <c r="I309" s="1" t="s">
        <v>292</v>
      </c>
      <c r="J309" s="1" t="s">
        <v>46</v>
      </c>
      <c r="K309" t="s">
        <v>645</v>
      </c>
      <c r="M309" s="1" t="s">
        <v>58</v>
      </c>
      <c r="N309" s="1">
        <v>0</v>
      </c>
      <c r="O309" s="1" t="s">
        <v>105</v>
      </c>
      <c r="P309" s="186">
        <v>44713.420949074076</v>
      </c>
      <c r="R309" s="1">
        <v>2</v>
      </c>
      <c r="T309" s="1" t="s">
        <v>646</v>
      </c>
      <c r="U309" s="186">
        <v>44714.420949074076</v>
      </c>
      <c r="V309" s="1" t="s">
        <v>41</v>
      </c>
      <c r="W309" s="1" t="s">
        <v>49</v>
      </c>
      <c r="X309" s="13" t="str">
        <f t="shared" si="33"/>
        <v/>
      </c>
      <c r="Y309" s="2">
        <f t="shared" ca="1" si="28"/>
        <v>196</v>
      </c>
      <c r="Z309" s="14">
        <v>1</v>
      </c>
      <c r="AA309" s="1" t="str">
        <f t="shared" ca="1" si="29"/>
        <v>VENCIDO</v>
      </c>
      <c r="AB309" s="1" t="str">
        <f t="shared" si="30"/>
        <v>SL-On</v>
      </c>
      <c r="AC309" s="2" t="str">
        <f t="shared" si="34"/>
        <v xml:space="preserve"> CLEITON </v>
      </c>
      <c r="AD309" s="2">
        <f t="shared" si="31"/>
        <v>1</v>
      </c>
      <c r="AE309" s="2">
        <f t="shared" ca="1" si="32"/>
        <v>-272.2553225694428</v>
      </c>
      <c r="AF309" s="15"/>
    </row>
    <row r="310" spans="1:32" hidden="1">
      <c r="A310" s="1">
        <v>8644094</v>
      </c>
      <c r="B310" s="1" t="s">
        <v>653</v>
      </c>
      <c r="C310" t="s">
        <v>3579</v>
      </c>
      <c r="E310" s="2">
        <v>3699001400040</v>
      </c>
      <c r="F310" s="1" t="s">
        <v>644</v>
      </c>
      <c r="G310" s="1" t="s">
        <v>53</v>
      </c>
      <c r="H310" s="1" t="s">
        <v>343</v>
      </c>
      <c r="I310" s="1" t="s">
        <v>344</v>
      </c>
      <c r="J310" s="1" t="s">
        <v>46</v>
      </c>
      <c r="K310" t="s">
        <v>645</v>
      </c>
      <c r="M310" s="1" t="s">
        <v>58</v>
      </c>
      <c r="N310" s="1">
        <v>0</v>
      </c>
      <c r="O310" s="1" t="s">
        <v>105</v>
      </c>
      <c r="P310" s="186">
        <v>44713.419710648152</v>
      </c>
      <c r="R310" s="1">
        <v>2</v>
      </c>
      <c r="T310" s="1" t="s">
        <v>646</v>
      </c>
      <c r="U310" s="186">
        <v>44714.419710648152</v>
      </c>
      <c r="V310" s="1" t="s">
        <v>41</v>
      </c>
      <c r="W310" s="1" t="s">
        <v>49</v>
      </c>
      <c r="X310" s="13" t="str">
        <f t="shared" si="33"/>
        <v/>
      </c>
      <c r="Y310" s="2">
        <f t="shared" ca="1" si="28"/>
        <v>196</v>
      </c>
      <c r="Z310" s="14">
        <v>1</v>
      </c>
      <c r="AA310" s="1" t="str">
        <f t="shared" ca="1" si="29"/>
        <v>VENCIDO</v>
      </c>
      <c r="AB310" s="1" t="str">
        <f t="shared" si="30"/>
        <v>SL-On</v>
      </c>
      <c r="AC310" s="2" t="str">
        <f t="shared" si="34"/>
        <v xml:space="preserve"> CLEITON </v>
      </c>
      <c r="AD310" s="2">
        <f t="shared" si="31"/>
        <v>1</v>
      </c>
      <c r="AE310" s="2">
        <f t="shared" ca="1" si="32"/>
        <v>-272.25656099536718</v>
      </c>
      <c r="AF310" s="15"/>
    </row>
    <row r="311" spans="1:32" hidden="1">
      <c r="A311" s="1">
        <v>8644017</v>
      </c>
      <c r="B311" s="1" t="s">
        <v>653</v>
      </c>
      <c r="C311" t="s">
        <v>3579</v>
      </c>
      <c r="E311" s="2">
        <v>3613001400040</v>
      </c>
      <c r="F311" s="1" t="s">
        <v>644</v>
      </c>
      <c r="G311" s="1" t="s">
        <v>53</v>
      </c>
      <c r="H311" s="1" t="s">
        <v>679</v>
      </c>
      <c r="I311" s="1" t="s">
        <v>680</v>
      </c>
      <c r="J311" s="1" t="s">
        <v>46</v>
      </c>
      <c r="K311" t="s">
        <v>645</v>
      </c>
      <c r="M311" s="1" t="s">
        <v>58</v>
      </c>
      <c r="N311" s="1">
        <v>0</v>
      </c>
      <c r="O311" s="1" t="s">
        <v>105</v>
      </c>
      <c r="P311" s="186">
        <v>44713.419398148151</v>
      </c>
      <c r="R311" s="1">
        <v>3</v>
      </c>
      <c r="T311" s="1" t="s">
        <v>646</v>
      </c>
      <c r="U311" s="186">
        <v>44714.419398148151</v>
      </c>
      <c r="V311" s="1" t="s">
        <v>41</v>
      </c>
      <c r="W311" s="1" t="s">
        <v>49</v>
      </c>
      <c r="X311" s="13" t="str">
        <f t="shared" si="33"/>
        <v/>
      </c>
      <c r="Y311" s="2">
        <f t="shared" ca="1" si="28"/>
        <v>196</v>
      </c>
      <c r="Z311" s="14">
        <v>1</v>
      </c>
      <c r="AA311" s="1" t="str">
        <f t="shared" ca="1" si="29"/>
        <v>VENCIDO</v>
      </c>
      <c r="AB311" s="1" t="str">
        <f t="shared" si="30"/>
        <v>SL-On</v>
      </c>
      <c r="AC311" s="2" t="str">
        <f t="shared" si="34"/>
        <v xml:space="preserve"> CLEITON </v>
      </c>
      <c r="AD311" s="2">
        <f t="shared" si="31"/>
        <v>1</v>
      </c>
      <c r="AE311" s="2">
        <f t="shared" ca="1" si="32"/>
        <v>-272.25687349536747</v>
      </c>
      <c r="AF311" s="15"/>
    </row>
    <row r="312" spans="1:32" hidden="1">
      <c r="A312" s="1">
        <v>8644016</v>
      </c>
      <c r="B312" s="1" t="s">
        <v>653</v>
      </c>
      <c r="C312" t="s">
        <v>3579</v>
      </c>
      <c r="E312" s="2">
        <v>3612001400040</v>
      </c>
      <c r="F312" s="1" t="s">
        <v>644</v>
      </c>
      <c r="G312" s="1" t="s">
        <v>53</v>
      </c>
      <c r="H312" s="1" t="s">
        <v>683</v>
      </c>
      <c r="I312" s="1" t="s">
        <v>684</v>
      </c>
      <c r="J312" s="1" t="s">
        <v>46</v>
      </c>
      <c r="K312" t="s">
        <v>645</v>
      </c>
      <c r="M312" s="1" t="s">
        <v>58</v>
      </c>
      <c r="N312" s="1">
        <v>0</v>
      </c>
      <c r="O312" s="1" t="s">
        <v>105</v>
      </c>
      <c r="P312" s="186">
        <v>44713.419398148151</v>
      </c>
      <c r="R312" s="1">
        <v>3</v>
      </c>
      <c r="T312" s="1" t="s">
        <v>646</v>
      </c>
      <c r="U312" s="186">
        <v>44714.419398148151</v>
      </c>
      <c r="V312" s="1" t="s">
        <v>41</v>
      </c>
      <c r="W312" s="1" t="s">
        <v>49</v>
      </c>
      <c r="X312" s="13" t="str">
        <f t="shared" si="33"/>
        <v/>
      </c>
      <c r="Y312" s="2">
        <f t="shared" ca="1" si="28"/>
        <v>196</v>
      </c>
      <c r="Z312" s="14">
        <v>1</v>
      </c>
      <c r="AA312" s="1" t="str">
        <f t="shared" ca="1" si="29"/>
        <v>VENCIDO</v>
      </c>
      <c r="AB312" s="1" t="str">
        <f t="shared" si="30"/>
        <v>SL-On</v>
      </c>
      <c r="AC312" s="2" t="str">
        <f t="shared" si="34"/>
        <v xml:space="preserve"> CLEITON </v>
      </c>
      <c r="AD312" s="2">
        <f t="shared" si="31"/>
        <v>1</v>
      </c>
      <c r="AE312" s="2">
        <f t="shared" ca="1" si="32"/>
        <v>-272.25687349536747</v>
      </c>
      <c r="AF312" s="15"/>
    </row>
    <row r="313" spans="1:32" hidden="1">
      <c r="A313" s="1">
        <v>8643946</v>
      </c>
      <c r="B313" s="1" t="s">
        <v>653</v>
      </c>
      <c r="C313" t="s">
        <v>3579</v>
      </c>
      <c r="E313" s="2">
        <v>3504001400040</v>
      </c>
      <c r="F313" s="1" t="s">
        <v>644</v>
      </c>
      <c r="G313" s="1" t="s">
        <v>53</v>
      </c>
      <c r="H313" s="1" t="s">
        <v>585</v>
      </c>
      <c r="I313" s="1" t="s">
        <v>586</v>
      </c>
      <c r="J313" s="1" t="s">
        <v>46</v>
      </c>
      <c r="K313" t="s">
        <v>645</v>
      </c>
      <c r="M313" s="1" t="s">
        <v>58</v>
      </c>
      <c r="N313" s="1">
        <v>0</v>
      </c>
      <c r="O313" s="1" t="s">
        <v>105</v>
      </c>
      <c r="P313" s="186">
        <v>44713.419270833336</v>
      </c>
      <c r="R313" s="1">
        <v>3</v>
      </c>
      <c r="T313" s="1" t="s">
        <v>646</v>
      </c>
      <c r="U313" s="186">
        <v>44714.419270833336</v>
      </c>
      <c r="V313" s="1" t="s">
        <v>41</v>
      </c>
      <c r="W313" s="1" t="s">
        <v>49</v>
      </c>
      <c r="X313" s="13" t="str">
        <f t="shared" si="33"/>
        <v/>
      </c>
      <c r="Y313" s="2">
        <f t="shared" ca="1" si="28"/>
        <v>196</v>
      </c>
      <c r="Z313" s="14">
        <v>1</v>
      </c>
      <c r="AA313" s="1" t="str">
        <f t="shared" ca="1" si="29"/>
        <v>VENCIDO</v>
      </c>
      <c r="AB313" s="1" t="str">
        <f t="shared" si="30"/>
        <v>SL-On</v>
      </c>
      <c r="AC313" s="2" t="str">
        <f t="shared" si="34"/>
        <v xml:space="preserve"> CLEITON </v>
      </c>
      <c r="AD313" s="2">
        <f t="shared" si="31"/>
        <v>1</v>
      </c>
      <c r="AE313" s="2">
        <f t="shared" ca="1" si="32"/>
        <v>-272.25700081018294</v>
      </c>
      <c r="AF313" s="15"/>
    </row>
    <row r="314" spans="1:32" hidden="1">
      <c r="A314" s="1">
        <v>8643945</v>
      </c>
      <c r="B314" s="1" t="s">
        <v>653</v>
      </c>
      <c r="C314" t="s">
        <v>3579</v>
      </c>
      <c r="E314" s="2">
        <v>3503001400040</v>
      </c>
      <c r="F314" s="1" t="s">
        <v>644</v>
      </c>
      <c r="G314" s="1" t="s">
        <v>53</v>
      </c>
      <c r="H314" s="1" t="s">
        <v>398</v>
      </c>
      <c r="I314" s="1" t="s">
        <v>399</v>
      </c>
      <c r="J314" s="1" t="s">
        <v>46</v>
      </c>
      <c r="K314" t="s">
        <v>645</v>
      </c>
      <c r="M314" s="1" t="s">
        <v>58</v>
      </c>
      <c r="N314" s="1">
        <v>0</v>
      </c>
      <c r="O314" s="1" t="s">
        <v>105</v>
      </c>
      <c r="P314" s="186">
        <v>44713.419270833336</v>
      </c>
      <c r="R314" s="1">
        <v>2</v>
      </c>
      <c r="T314" s="1" t="s">
        <v>646</v>
      </c>
      <c r="U314" s="186">
        <v>44714.419270833336</v>
      </c>
      <c r="V314" s="1" t="s">
        <v>41</v>
      </c>
      <c r="W314" s="1" t="s">
        <v>49</v>
      </c>
      <c r="X314" s="13" t="str">
        <f t="shared" si="33"/>
        <v/>
      </c>
      <c r="Y314" s="2">
        <f t="shared" ca="1" si="28"/>
        <v>196</v>
      </c>
      <c r="Z314" s="14">
        <v>1</v>
      </c>
      <c r="AA314" s="1" t="str">
        <f t="shared" ca="1" si="29"/>
        <v>VENCIDO</v>
      </c>
      <c r="AB314" s="1" t="str">
        <f t="shared" si="30"/>
        <v>SL-On</v>
      </c>
      <c r="AC314" s="2" t="str">
        <f t="shared" si="34"/>
        <v xml:space="preserve"> CLEITON </v>
      </c>
      <c r="AD314" s="2">
        <f t="shared" si="31"/>
        <v>1</v>
      </c>
      <c r="AE314" s="2">
        <f t="shared" ca="1" si="32"/>
        <v>-272.25700081018294</v>
      </c>
      <c r="AF314" s="15"/>
    </row>
    <row r="315" spans="1:32" hidden="1">
      <c r="A315" s="1">
        <v>8643755</v>
      </c>
      <c r="B315" s="1" t="s">
        <v>653</v>
      </c>
      <c r="C315" t="s">
        <v>3579</v>
      </c>
      <c r="E315" s="2">
        <v>3258001400040</v>
      </c>
      <c r="F315" s="1" t="s">
        <v>644</v>
      </c>
      <c r="G315" s="1" t="s">
        <v>53</v>
      </c>
      <c r="H315" s="1" t="s">
        <v>321</v>
      </c>
      <c r="I315" s="1" t="s">
        <v>322</v>
      </c>
      <c r="J315" s="1" t="s">
        <v>46</v>
      </c>
      <c r="K315" t="s">
        <v>645</v>
      </c>
      <c r="M315" s="1" t="s">
        <v>58</v>
      </c>
      <c r="N315" s="1">
        <v>0</v>
      </c>
      <c r="O315" s="1" t="s">
        <v>105</v>
      </c>
      <c r="P315" s="186">
        <v>44713.418391203704</v>
      </c>
      <c r="R315" s="1">
        <v>2</v>
      </c>
      <c r="T315" s="1" t="s">
        <v>646</v>
      </c>
      <c r="U315" s="186">
        <v>44714.418391203704</v>
      </c>
      <c r="V315" s="1" t="s">
        <v>41</v>
      </c>
      <c r="W315" s="1" t="s">
        <v>49</v>
      </c>
      <c r="X315" s="13" t="str">
        <f t="shared" si="33"/>
        <v/>
      </c>
      <c r="Y315" s="2">
        <f t="shared" ca="1" si="28"/>
        <v>196</v>
      </c>
      <c r="Z315" s="14">
        <v>1</v>
      </c>
      <c r="AA315" s="1" t="str">
        <f t="shared" ca="1" si="29"/>
        <v>VENCIDO</v>
      </c>
      <c r="AB315" s="1" t="str">
        <f t="shared" si="30"/>
        <v>SL-On</v>
      </c>
      <c r="AC315" s="2" t="str">
        <f t="shared" si="34"/>
        <v xml:space="preserve"> CLEITON </v>
      </c>
      <c r="AD315" s="2">
        <f t="shared" si="31"/>
        <v>1</v>
      </c>
      <c r="AE315" s="2">
        <f t="shared" ca="1" si="32"/>
        <v>-272.25788043981447</v>
      </c>
      <c r="AF315" s="15"/>
    </row>
    <row r="316" spans="1:32" hidden="1">
      <c r="A316" s="1">
        <v>8643740</v>
      </c>
      <c r="B316" s="1" t="s">
        <v>653</v>
      </c>
      <c r="C316" t="s">
        <v>3579</v>
      </c>
      <c r="E316" s="2">
        <v>3243001400040</v>
      </c>
      <c r="F316" s="1" t="s">
        <v>644</v>
      </c>
      <c r="G316" s="1" t="s">
        <v>53</v>
      </c>
      <c r="H316" s="1" t="s">
        <v>282</v>
      </c>
      <c r="I316" s="1" t="s">
        <v>283</v>
      </c>
      <c r="J316" s="1" t="s">
        <v>46</v>
      </c>
      <c r="K316" t="s">
        <v>645</v>
      </c>
      <c r="M316" s="1" t="s">
        <v>58</v>
      </c>
      <c r="N316" s="1">
        <v>0</v>
      </c>
      <c r="O316" s="1" t="s">
        <v>105</v>
      </c>
      <c r="P316" s="186">
        <v>44713.418356481481</v>
      </c>
      <c r="R316" s="1">
        <v>3</v>
      </c>
      <c r="T316" s="1" t="s">
        <v>646</v>
      </c>
      <c r="U316" s="186">
        <v>44714.418356481481</v>
      </c>
      <c r="V316" s="1" t="s">
        <v>41</v>
      </c>
      <c r="W316" s="1" t="s">
        <v>49</v>
      </c>
      <c r="X316" s="13" t="str">
        <f t="shared" si="33"/>
        <v/>
      </c>
      <c r="Y316" s="2">
        <f t="shared" ca="1" si="28"/>
        <v>196</v>
      </c>
      <c r="Z316" s="14">
        <v>1</v>
      </c>
      <c r="AA316" s="1" t="str">
        <f t="shared" ca="1" si="29"/>
        <v>VENCIDO</v>
      </c>
      <c r="AB316" s="1" t="str">
        <f t="shared" si="30"/>
        <v>SL-On</v>
      </c>
      <c r="AC316" s="2" t="str">
        <f t="shared" si="34"/>
        <v xml:space="preserve"> CLEITON </v>
      </c>
      <c r="AD316" s="2">
        <f t="shared" si="31"/>
        <v>1</v>
      </c>
      <c r="AE316" s="2">
        <f t="shared" ca="1" si="32"/>
        <v>-272.25791516203753</v>
      </c>
      <c r="AF316" s="15"/>
    </row>
    <row r="317" spans="1:32" hidden="1">
      <c r="A317" s="1">
        <v>8643737</v>
      </c>
      <c r="B317" s="1" t="s">
        <v>653</v>
      </c>
      <c r="C317" t="s">
        <v>3579</v>
      </c>
      <c r="E317" s="2">
        <v>3237001400040</v>
      </c>
      <c r="F317" s="1" t="s">
        <v>644</v>
      </c>
      <c r="G317" s="1" t="s">
        <v>53</v>
      </c>
      <c r="H317" s="1" t="s">
        <v>287</v>
      </c>
      <c r="I317" s="1" t="s">
        <v>288</v>
      </c>
      <c r="J317" s="1" t="s">
        <v>46</v>
      </c>
      <c r="K317" t="s">
        <v>645</v>
      </c>
      <c r="M317" s="1" t="s">
        <v>58</v>
      </c>
      <c r="N317" s="1">
        <v>0</v>
      </c>
      <c r="O317" s="1" t="s">
        <v>105</v>
      </c>
      <c r="P317" s="186">
        <v>44713.418356481481</v>
      </c>
      <c r="R317" s="1">
        <v>2</v>
      </c>
      <c r="T317" s="1" t="s">
        <v>646</v>
      </c>
      <c r="U317" s="186">
        <v>44714.418356481481</v>
      </c>
      <c r="V317" s="1" t="s">
        <v>41</v>
      </c>
      <c r="W317" s="1" t="s">
        <v>49</v>
      </c>
      <c r="X317" s="13" t="str">
        <f t="shared" si="33"/>
        <v/>
      </c>
      <c r="Y317" s="2">
        <f t="shared" ca="1" si="28"/>
        <v>196</v>
      </c>
      <c r="Z317" s="14">
        <v>1</v>
      </c>
      <c r="AA317" s="1" t="str">
        <f t="shared" ca="1" si="29"/>
        <v>VENCIDO</v>
      </c>
      <c r="AB317" s="1" t="str">
        <f t="shared" si="30"/>
        <v>SL-On</v>
      </c>
      <c r="AC317" s="2" t="str">
        <f t="shared" si="34"/>
        <v xml:space="preserve"> CLEITON </v>
      </c>
      <c r="AD317" s="2">
        <f t="shared" si="31"/>
        <v>1</v>
      </c>
      <c r="AE317" s="2">
        <f t="shared" ca="1" si="32"/>
        <v>-272.25791516203753</v>
      </c>
      <c r="AF317" s="15"/>
    </row>
    <row r="318" spans="1:32" hidden="1">
      <c r="A318" s="1">
        <v>8643543</v>
      </c>
      <c r="B318" s="1" t="s">
        <v>653</v>
      </c>
      <c r="C318" t="s">
        <v>3579</v>
      </c>
      <c r="E318" s="2">
        <v>2988001400040</v>
      </c>
      <c r="F318" s="1" t="s">
        <v>644</v>
      </c>
      <c r="G318" s="1" t="s">
        <v>53</v>
      </c>
      <c r="H318" s="1" t="s">
        <v>536</v>
      </c>
      <c r="I318" s="1" t="s">
        <v>537</v>
      </c>
      <c r="J318" s="1" t="s">
        <v>46</v>
      </c>
      <c r="K318" t="s">
        <v>645</v>
      </c>
      <c r="M318" s="1" t="s">
        <v>58</v>
      </c>
      <c r="N318" s="1">
        <v>0</v>
      </c>
      <c r="O318" s="1" t="s">
        <v>105</v>
      </c>
      <c r="P318" s="186">
        <v>44713.417546296296</v>
      </c>
      <c r="R318" s="1">
        <v>2</v>
      </c>
      <c r="T318" s="1" t="s">
        <v>646</v>
      </c>
      <c r="U318" s="186">
        <v>44714.417546296296</v>
      </c>
      <c r="V318" s="1" t="s">
        <v>41</v>
      </c>
      <c r="W318" s="1" t="s">
        <v>49</v>
      </c>
      <c r="X318" s="13" t="str">
        <f t="shared" si="33"/>
        <v/>
      </c>
      <c r="Y318" s="2">
        <f t="shared" ca="1" si="28"/>
        <v>196</v>
      </c>
      <c r="Z318" s="14">
        <v>1</v>
      </c>
      <c r="AA318" s="1" t="str">
        <f t="shared" ca="1" si="29"/>
        <v>VENCIDO</v>
      </c>
      <c r="AB318" s="1" t="str">
        <f t="shared" si="30"/>
        <v>SL-On</v>
      </c>
      <c r="AC318" s="2" t="str">
        <f t="shared" si="34"/>
        <v xml:space="preserve"> CLEITON </v>
      </c>
      <c r="AD318" s="2">
        <f t="shared" si="31"/>
        <v>1</v>
      </c>
      <c r="AE318" s="2">
        <f t="shared" ca="1" si="32"/>
        <v>-272.25872534722293</v>
      </c>
      <c r="AF318" s="15"/>
    </row>
    <row r="319" spans="1:32" hidden="1">
      <c r="A319" s="1">
        <v>8643415</v>
      </c>
      <c r="B319" s="1" t="s">
        <v>653</v>
      </c>
      <c r="C319" t="s">
        <v>3579</v>
      </c>
      <c r="E319" s="2">
        <v>2830001400040</v>
      </c>
      <c r="F319" s="1" t="s">
        <v>644</v>
      </c>
      <c r="G319" s="1" t="s">
        <v>53</v>
      </c>
      <c r="H319" s="1" t="s">
        <v>448</v>
      </c>
      <c r="I319" s="1" t="s">
        <v>449</v>
      </c>
      <c r="J319" s="1" t="s">
        <v>33</v>
      </c>
      <c r="K319" t="s">
        <v>645</v>
      </c>
      <c r="M319" s="1" t="s">
        <v>58</v>
      </c>
      <c r="N319" s="1">
        <v>0</v>
      </c>
      <c r="O319" s="1" t="s">
        <v>105</v>
      </c>
      <c r="P319" s="186">
        <v>44713.417187500003</v>
      </c>
      <c r="R319" s="1">
        <v>2</v>
      </c>
      <c r="T319" s="1" t="s">
        <v>646</v>
      </c>
      <c r="U319" s="186">
        <v>44714.417187500003</v>
      </c>
      <c r="V319" s="1" t="s">
        <v>41</v>
      </c>
      <c r="W319" s="1" t="s">
        <v>42</v>
      </c>
      <c r="X319" s="13" t="str">
        <f t="shared" si="33"/>
        <v/>
      </c>
      <c r="Y319" s="2">
        <f t="shared" ca="1" si="28"/>
        <v>196</v>
      </c>
      <c r="Z319" s="14">
        <v>1</v>
      </c>
      <c r="AA319" s="1" t="str">
        <f t="shared" ca="1" si="29"/>
        <v>VENCIDO</v>
      </c>
      <c r="AB319" s="1" t="str">
        <f t="shared" si="30"/>
        <v>SL-On</v>
      </c>
      <c r="AC319" s="2" t="str">
        <f t="shared" si="34"/>
        <v xml:space="preserve"> ROSEMERE </v>
      </c>
      <c r="AD319" s="2">
        <f t="shared" si="31"/>
        <v>1</v>
      </c>
      <c r="AE319" s="2">
        <f t="shared" ca="1" si="32"/>
        <v>-272.25908414351579</v>
      </c>
      <c r="AF319" s="15"/>
    </row>
    <row r="320" spans="1:32" hidden="1">
      <c r="A320" s="1">
        <v>8643396</v>
      </c>
      <c r="B320" s="1" t="s">
        <v>653</v>
      </c>
      <c r="C320" t="s">
        <v>3579</v>
      </c>
      <c r="E320" s="2">
        <v>2811001400040</v>
      </c>
      <c r="F320" s="1" t="s">
        <v>644</v>
      </c>
      <c r="G320" s="1" t="s">
        <v>53</v>
      </c>
      <c r="H320" s="1" t="s">
        <v>44</v>
      </c>
      <c r="I320" s="1" t="s">
        <v>45</v>
      </c>
      <c r="J320" s="1" t="s">
        <v>46</v>
      </c>
      <c r="K320" t="s">
        <v>645</v>
      </c>
      <c r="M320" s="1" t="s">
        <v>58</v>
      </c>
      <c r="N320" s="1">
        <v>0</v>
      </c>
      <c r="O320" s="1" t="s">
        <v>105</v>
      </c>
      <c r="P320" s="186">
        <v>44713.417094907411</v>
      </c>
      <c r="R320" s="1">
        <v>3</v>
      </c>
      <c r="T320" s="1" t="s">
        <v>646</v>
      </c>
      <c r="U320" s="186">
        <v>44714.417094907411</v>
      </c>
      <c r="V320" s="1" t="s">
        <v>41</v>
      </c>
      <c r="W320" s="1" t="s">
        <v>49</v>
      </c>
      <c r="X320" s="13" t="str">
        <f t="shared" si="33"/>
        <v/>
      </c>
      <c r="Y320" s="2">
        <f t="shared" ca="1" si="28"/>
        <v>196</v>
      </c>
      <c r="Z320" s="14">
        <v>1</v>
      </c>
      <c r="AA320" s="1" t="str">
        <f t="shared" ca="1" si="29"/>
        <v>VENCIDO</v>
      </c>
      <c r="AB320" s="1" t="str">
        <f t="shared" si="30"/>
        <v>SL-On</v>
      </c>
      <c r="AC320" s="2" t="str">
        <f t="shared" si="34"/>
        <v xml:space="preserve"> CLEITON </v>
      </c>
      <c r="AD320" s="2">
        <f t="shared" si="31"/>
        <v>1</v>
      </c>
      <c r="AE320" s="2">
        <f t="shared" ca="1" si="32"/>
        <v>-272.2591767361082</v>
      </c>
      <c r="AF320" s="15"/>
    </row>
    <row r="321" spans="1:32" hidden="1">
      <c r="A321" s="1">
        <v>8643389</v>
      </c>
      <c r="B321" s="1" t="s">
        <v>653</v>
      </c>
      <c r="C321" t="s">
        <v>3579</v>
      </c>
      <c r="E321" s="2">
        <v>2802001400040</v>
      </c>
      <c r="F321" s="1" t="s">
        <v>644</v>
      </c>
      <c r="G321" s="1" t="s">
        <v>53</v>
      </c>
      <c r="H321" s="1" t="s">
        <v>388</v>
      </c>
      <c r="I321" s="1" t="s">
        <v>389</v>
      </c>
      <c r="J321" s="1" t="s">
        <v>46</v>
      </c>
      <c r="K321" t="s">
        <v>645</v>
      </c>
      <c r="M321" s="1" t="s">
        <v>58</v>
      </c>
      <c r="N321" s="1">
        <v>0</v>
      </c>
      <c r="O321" s="1" t="s">
        <v>105</v>
      </c>
      <c r="P321" s="186">
        <v>44713.417083333334</v>
      </c>
      <c r="R321" s="1">
        <v>3</v>
      </c>
      <c r="T321" s="1" t="s">
        <v>646</v>
      </c>
      <c r="U321" s="186">
        <v>44714.417083333334</v>
      </c>
      <c r="V321" s="1" t="s">
        <v>41</v>
      </c>
      <c r="W321" s="1" t="s">
        <v>49</v>
      </c>
      <c r="X321" s="13" t="str">
        <f t="shared" si="33"/>
        <v/>
      </c>
      <c r="Y321" s="2">
        <f t="shared" ca="1" si="28"/>
        <v>196</v>
      </c>
      <c r="Z321" s="14">
        <v>1</v>
      </c>
      <c r="AA321" s="1" t="str">
        <f t="shared" ca="1" si="29"/>
        <v>VENCIDO</v>
      </c>
      <c r="AB321" s="1" t="str">
        <f t="shared" si="30"/>
        <v>SL-On</v>
      </c>
      <c r="AC321" s="2" t="str">
        <f t="shared" si="34"/>
        <v xml:space="preserve"> CLEITON </v>
      </c>
      <c r="AD321" s="2">
        <f t="shared" si="31"/>
        <v>1</v>
      </c>
      <c r="AE321" s="2">
        <f t="shared" ca="1" si="32"/>
        <v>-272.25918831018498</v>
      </c>
      <c r="AF321" s="15"/>
    </row>
    <row r="322" spans="1:32" hidden="1">
      <c r="A322" s="1">
        <v>8643232</v>
      </c>
      <c r="B322" s="1" t="s">
        <v>653</v>
      </c>
      <c r="C322" t="s">
        <v>3579</v>
      </c>
      <c r="E322" s="2">
        <v>2625001400040</v>
      </c>
      <c r="F322" s="1" t="s">
        <v>644</v>
      </c>
      <c r="G322" s="1" t="s">
        <v>53</v>
      </c>
      <c r="H322" s="1" t="s">
        <v>317</v>
      </c>
      <c r="I322" s="1" t="s">
        <v>318</v>
      </c>
      <c r="J322" s="1" t="s">
        <v>164</v>
      </c>
      <c r="K322" t="s">
        <v>645</v>
      </c>
      <c r="M322" s="1" t="s">
        <v>58</v>
      </c>
      <c r="N322" s="1">
        <v>0</v>
      </c>
      <c r="O322" s="1" t="s">
        <v>105</v>
      </c>
      <c r="P322" s="186">
        <v>44713.416655092595</v>
      </c>
      <c r="R322" s="1">
        <v>3</v>
      </c>
      <c r="T322" s="1" t="s">
        <v>646</v>
      </c>
      <c r="U322" s="186">
        <v>44714.416655092595</v>
      </c>
      <c r="V322" s="1" t="s">
        <v>41</v>
      </c>
      <c r="W322" s="1" t="s">
        <v>49</v>
      </c>
      <c r="X322" s="13" t="str">
        <f t="shared" si="33"/>
        <v/>
      </c>
      <c r="Y322" s="2">
        <f t="shared" ref="Y322:Y385" ca="1" si="35">NETWORKDAYS(P322,$Y$1)</f>
        <v>196</v>
      </c>
      <c r="Z322" s="14">
        <v>1</v>
      </c>
      <c r="AA322" s="1" t="str">
        <f t="shared" ref="AA322:AA385" ca="1" si="36">IF(AE322=0,"HOJE",IF(AE322&gt;0,"A VENCER",IF(AE322&lt;0,"VENCIDO")))</f>
        <v>VENCIDO</v>
      </c>
      <c r="AB322" s="1" t="str">
        <f t="shared" ref="AB322:AB385" si="37">IF(F322="GRPE-000001","C-14",IF(F322="GRPE-000002","C-14",IF(F322="GRPE-000003","C-14",IF(F322="GRPE-000004","SL-On",IF(F322="GRPE-000038","C-14",IF(F322="GRPE-900022","Dosa",IF(F322="GRPE-000029","Dosa",IF(F322="ATOS-000222","Dose","TAAe+"))))))))</f>
        <v>SL-On</v>
      </c>
      <c r="AC322" s="2" t="str">
        <f t="shared" si="34"/>
        <v xml:space="preserve"> ROSEMERE </v>
      </c>
      <c r="AD322" s="2">
        <f t="shared" ref="AD322:AD385" si="38">IF(F322="GRPE-000001",5,IF(F322="GRPE-000002",5,IF(F322="GRPE-000003",15,IF(F322="GRPE-000004",1,IF(F322="GRPE-000038",5,IF(F322="GRPE-900022",5,IF(F322="GRPE-000029",5,IF(F322="ATOS-000222",5,8))))))))</f>
        <v>1</v>
      </c>
      <c r="AE322" s="2">
        <f t="shared" ref="AE322:AE385" ca="1" si="39">IF(U322=$AE$1,"",U322-$AE$1)</f>
        <v>-272.25961655092397</v>
      </c>
      <c r="AF322" s="15"/>
    </row>
    <row r="323" spans="1:32" hidden="1">
      <c r="A323" s="1">
        <v>8643003</v>
      </c>
      <c r="B323" s="1" t="s">
        <v>653</v>
      </c>
      <c r="C323" t="s">
        <v>3579</v>
      </c>
      <c r="E323" s="2">
        <v>2369001400040</v>
      </c>
      <c r="F323" s="1" t="s">
        <v>644</v>
      </c>
      <c r="G323" s="1" t="s">
        <v>53</v>
      </c>
      <c r="H323" s="1" t="s">
        <v>701</v>
      </c>
      <c r="I323" s="1" t="s">
        <v>702</v>
      </c>
      <c r="J323" s="1" t="s">
        <v>141</v>
      </c>
      <c r="K323" t="s">
        <v>645</v>
      </c>
      <c r="M323" s="1" t="s">
        <v>58</v>
      </c>
      <c r="N323" s="1">
        <v>0</v>
      </c>
      <c r="O323" s="1" t="s">
        <v>105</v>
      </c>
      <c r="P323" s="186">
        <v>44713.415312500001</v>
      </c>
      <c r="R323" s="1">
        <v>2</v>
      </c>
      <c r="T323" s="1" t="s">
        <v>646</v>
      </c>
      <c r="U323" s="186">
        <v>44714.415312500001</v>
      </c>
      <c r="V323" s="1" t="s">
        <v>41</v>
      </c>
      <c r="W323" s="1" t="s">
        <v>49</v>
      </c>
      <c r="X323" s="13" t="str">
        <f t="shared" ref="X323:X386" si="40">IF(RIGHT(H323,2)&lt;&gt;"00",H323,"")</f>
        <v/>
      </c>
      <c r="Y323" s="2">
        <f t="shared" ca="1" si="35"/>
        <v>196</v>
      </c>
      <c r="Z323" s="14">
        <v>1</v>
      </c>
      <c r="AA323" s="1" t="str">
        <f t="shared" ca="1" si="36"/>
        <v>VENCIDO</v>
      </c>
      <c r="AB323" s="1" t="str">
        <f t="shared" si="37"/>
        <v>SL-On</v>
      </c>
      <c r="AC323" s="2" t="str">
        <f t="shared" ref="AC323:AC386" si="41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 xml:space="preserve"> CRISTINA </v>
      </c>
      <c r="AD323" s="2">
        <f t="shared" si="38"/>
        <v>1</v>
      </c>
      <c r="AE323" s="2">
        <f t="shared" ca="1" si="39"/>
        <v>-272.26095914351754</v>
      </c>
      <c r="AF323" s="15"/>
    </row>
    <row r="324" spans="1:32" hidden="1">
      <c r="A324" s="1">
        <v>8642964</v>
      </c>
      <c r="B324" s="1" t="s">
        <v>653</v>
      </c>
      <c r="C324" t="s">
        <v>3579</v>
      </c>
      <c r="E324" s="2">
        <v>2326001400040</v>
      </c>
      <c r="F324" s="1" t="s">
        <v>644</v>
      </c>
      <c r="G324" s="1" t="s">
        <v>53</v>
      </c>
      <c r="H324" s="1" t="s">
        <v>191</v>
      </c>
      <c r="I324" s="1" t="s">
        <v>192</v>
      </c>
      <c r="J324" s="1" t="s">
        <v>46</v>
      </c>
      <c r="K324" t="s">
        <v>645</v>
      </c>
      <c r="M324" s="1" t="s">
        <v>58</v>
      </c>
      <c r="N324" s="1">
        <v>0</v>
      </c>
      <c r="O324" s="1" t="s">
        <v>105</v>
      </c>
      <c r="P324" s="186">
        <v>44713.41510416667</v>
      </c>
      <c r="R324" s="1">
        <v>2</v>
      </c>
      <c r="T324" s="1" t="s">
        <v>646</v>
      </c>
      <c r="U324" s="186">
        <v>44714.41510416667</v>
      </c>
      <c r="V324" s="1" t="s">
        <v>41</v>
      </c>
      <c r="W324" s="1" t="s">
        <v>49</v>
      </c>
      <c r="X324" s="13" t="str">
        <f t="shared" si="40"/>
        <v/>
      </c>
      <c r="Y324" s="2">
        <f t="shared" ca="1" si="35"/>
        <v>196</v>
      </c>
      <c r="Z324" s="14">
        <v>1</v>
      </c>
      <c r="AA324" s="1" t="str">
        <f t="shared" ca="1" si="36"/>
        <v>VENCIDO</v>
      </c>
      <c r="AB324" s="1" t="str">
        <f t="shared" si="37"/>
        <v>SL-On</v>
      </c>
      <c r="AC324" s="2" t="str">
        <f t="shared" si="41"/>
        <v xml:space="preserve"> CLEITON </v>
      </c>
      <c r="AD324" s="2">
        <f t="shared" si="38"/>
        <v>1</v>
      </c>
      <c r="AE324" s="2">
        <f t="shared" ca="1" si="39"/>
        <v>-272.26116747684864</v>
      </c>
      <c r="AF324" s="15"/>
    </row>
    <row r="325" spans="1:32" hidden="1">
      <c r="A325" s="1">
        <v>8642887</v>
      </c>
      <c r="B325" s="1" t="s">
        <v>653</v>
      </c>
      <c r="C325" t="s">
        <v>3579</v>
      </c>
      <c r="E325" s="2">
        <v>2238001400040</v>
      </c>
      <c r="F325" s="1" t="s">
        <v>644</v>
      </c>
      <c r="G325" s="1" t="s">
        <v>53</v>
      </c>
      <c r="H325" s="1" t="s">
        <v>707</v>
      </c>
      <c r="I325" s="1" t="s">
        <v>708</v>
      </c>
      <c r="J325" s="1" t="s">
        <v>79</v>
      </c>
      <c r="K325" t="s">
        <v>645</v>
      </c>
      <c r="M325" s="1" t="s">
        <v>58</v>
      </c>
      <c r="N325" s="1">
        <v>0</v>
      </c>
      <c r="O325" s="1" t="s">
        <v>105</v>
      </c>
      <c r="P325" s="186">
        <v>44713.414976851855</v>
      </c>
      <c r="R325" s="1">
        <v>3</v>
      </c>
      <c r="T325" s="1" t="s">
        <v>646</v>
      </c>
      <c r="U325" s="186">
        <v>44714.414976851855</v>
      </c>
      <c r="V325" s="1" t="s">
        <v>41</v>
      </c>
      <c r="W325" s="1" t="s">
        <v>49</v>
      </c>
      <c r="X325" s="13" t="str">
        <f t="shared" si="40"/>
        <v/>
      </c>
      <c r="Y325" s="2">
        <f t="shared" ca="1" si="35"/>
        <v>196</v>
      </c>
      <c r="Z325" s="14">
        <v>1</v>
      </c>
      <c r="AA325" s="1" t="str">
        <f t="shared" ca="1" si="36"/>
        <v>VENCIDO</v>
      </c>
      <c r="AB325" s="1" t="str">
        <f t="shared" si="37"/>
        <v>SL-On</v>
      </c>
      <c r="AC325" s="2" t="str">
        <f t="shared" si="41"/>
        <v xml:space="preserve"> ROSEMERE </v>
      </c>
      <c r="AD325" s="2">
        <f t="shared" si="38"/>
        <v>1</v>
      </c>
      <c r="AE325" s="2">
        <f t="shared" ca="1" si="39"/>
        <v>-272.26129479166411</v>
      </c>
      <c r="AF325" s="15"/>
    </row>
    <row r="326" spans="1:32" hidden="1">
      <c r="A326" s="1">
        <v>8642791</v>
      </c>
      <c r="B326" s="1" t="s">
        <v>653</v>
      </c>
      <c r="C326" t="s">
        <v>3579</v>
      </c>
      <c r="E326" s="2">
        <v>2138001400040</v>
      </c>
      <c r="F326" s="1" t="s">
        <v>644</v>
      </c>
      <c r="G326" s="1" t="s">
        <v>53</v>
      </c>
      <c r="H326" s="1" t="s">
        <v>379</v>
      </c>
      <c r="I326" s="1" t="s">
        <v>380</v>
      </c>
      <c r="J326" s="1" t="s">
        <v>46</v>
      </c>
      <c r="K326" t="s">
        <v>645</v>
      </c>
      <c r="M326" s="1" t="s">
        <v>58</v>
      </c>
      <c r="N326" s="1">
        <v>0</v>
      </c>
      <c r="O326" s="1" t="s">
        <v>105</v>
      </c>
      <c r="P326" s="186">
        <v>44713.41474537037</v>
      </c>
      <c r="R326" s="1">
        <v>3</v>
      </c>
      <c r="T326" s="1" t="s">
        <v>646</v>
      </c>
      <c r="U326" s="186">
        <v>44714.41474537037</v>
      </c>
      <c r="V326" s="1" t="s">
        <v>41</v>
      </c>
      <c r="W326" s="1" t="s">
        <v>49</v>
      </c>
      <c r="X326" s="13" t="str">
        <f t="shared" si="40"/>
        <v/>
      </c>
      <c r="Y326" s="2">
        <f t="shared" ca="1" si="35"/>
        <v>196</v>
      </c>
      <c r="Z326" s="14">
        <v>1</v>
      </c>
      <c r="AA326" s="1" t="str">
        <f t="shared" ca="1" si="36"/>
        <v>VENCIDO</v>
      </c>
      <c r="AB326" s="1" t="str">
        <f t="shared" si="37"/>
        <v>SL-On</v>
      </c>
      <c r="AC326" s="2" t="str">
        <f t="shared" si="41"/>
        <v xml:space="preserve"> CLEITON </v>
      </c>
      <c r="AD326" s="2">
        <f t="shared" si="38"/>
        <v>1</v>
      </c>
      <c r="AE326" s="2">
        <f t="shared" ca="1" si="39"/>
        <v>-272.26152627314877</v>
      </c>
      <c r="AF326" s="15"/>
    </row>
    <row r="327" spans="1:32" hidden="1">
      <c r="A327" s="1">
        <v>8642762</v>
      </c>
      <c r="B327" s="1" t="s">
        <v>653</v>
      </c>
      <c r="C327" t="s">
        <v>3579</v>
      </c>
      <c r="E327" s="2">
        <v>2107001400040</v>
      </c>
      <c r="F327" s="1" t="s">
        <v>644</v>
      </c>
      <c r="G327" s="1" t="s">
        <v>53</v>
      </c>
      <c r="H327" s="1" t="s">
        <v>262</v>
      </c>
      <c r="I327" s="1" t="s">
        <v>263</v>
      </c>
      <c r="J327" s="1" t="s">
        <v>164</v>
      </c>
      <c r="K327" t="s">
        <v>645</v>
      </c>
      <c r="M327" s="1" t="s">
        <v>58</v>
      </c>
      <c r="N327" s="1">
        <v>0</v>
      </c>
      <c r="O327" s="1" t="s">
        <v>105</v>
      </c>
      <c r="P327" s="186">
        <v>44713.414351851854</v>
      </c>
      <c r="R327" s="1">
        <v>3</v>
      </c>
      <c r="T327" s="1" t="s">
        <v>646</v>
      </c>
      <c r="U327" s="186">
        <v>44714.414363425924</v>
      </c>
      <c r="V327" s="1" t="s">
        <v>41</v>
      </c>
      <c r="W327" s="1" t="s">
        <v>49</v>
      </c>
      <c r="X327" s="13" t="str">
        <f t="shared" si="40"/>
        <v/>
      </c>
      <c r="Y327" s="2">
        <f t="shared" ca="1" si="35"/>
        <v>196</v>
      </c>
      <c r="Z327" s="14">
        <v>1</v>
      </c>
      <c r="AA327" s="1" t="str">
        <f t="shared" ca="1" si="36"/>
        <v>VENCIDO</v>
      </c>
      <c r="AB327" s="1" t="str">
        <f t="shared" si="37"/>
        <v>SL-On</v>
      </c>
      <c r="AC327" s="2" t="str">
        <f t="shared" si="41"/>
        <v xml:space="preserve"> ROSEMERE </v>
      </c>
      <c r="AD327" s="2">
        <f t="shared" si="38"/>
        <v>1</v>
      </c>
      <c r="AE327" s="2">
        <f t="shared" ca="1" si="39"/>
        <v>-272.26190821759519</v>
      </c>
      <c r="AF327" s="15"/>
    </row>
    <row r="328" spans="1:32" hidden="1">
      <c r="A328" s="1">
        <v>8642730</v>
      </c>
      <c r="B328" s="1" t="s">
        <v>653</v>
      </c>
      <c r="C328" t="s">
        <v>3579</v>
      </c>
      <c r="E328" s="2">
        <v>2069001400040</v>
      </c>
      <c r="F328" s="1" t="s">
        <v>644</v>
      </c>
      <c r="G328" s="1" t="s">
        <v>53</v>
      </c>
      <c r="H328" s="1" t="s">
        <v>557</v>
      </c>
      <c r="I328" s="1" t="s">
        <v>558</v>
      </c>
      <c r="J328" s="1" t="s">
        <v>90</v>
      </c>
      <c r="K328" t="s">
        <v>645</v>
      </c>
      <c r="M328" s="1" t="s">
        <v>58</v>
      </c>
      <c r="N328" s="1">
        <v>0</v>
      </c>
      <c r="O328" s="1" t="s">
        <v>105</v>
      </c>
      <c r="P328" s="186">
        <v>44713.414305555554</v>
      </c>
      <c r="R328" s="1">
        <v>2</v>
      </c>
      <c r="T328" s="1" t="s">
        <v>646</v>
      </c>
      <c r="U328" s="186">
        <v>44714.414305555554</v>
      </c>
      <c r="V328" s="1" t="s">
        <v>41</v>
      </c>
      <c r="W328" s="1" t="s">
        <v>49</v>
      </c>
      <c r="X328" s="13" t="str">
        <f t="shared" si="40"/>
        <v/>
      </c>
      <c r="Y328" s="2">
        <f t="shared" ca="1" si="35"/>
        <v>196</v>
      </c>
      <c r="Z328" s="14">
        <v>1</v>
      </c>
      <c r="AA328" s="1" t="str">
        <f t="shared" ca="1" si="36"/>
        <v>VENCIDO</v>
      </c>
      <c r="AB328" s="1" t="str">
        <f t="shared" si="37"/>
        <v>SL-On</v>
      </c>
      <c r="AC328" s="2" t="str">
        <f t="shared" si="41"/>
        <v xml:space="preserve"> RINALDO </v>
      </c>
      <c r="AD328" s="2">
        <f t="shared" si="38"/>
        <v>1</v>
      </c>
      <c r="AE328" s="2">
        <f t="shared" ca="1" si="39"/>
        <v>-272.26196608796454</v>
      </c>
      <c r="AF328" s="15"/>
    </row>
    <row r="329" spans="1:32" hidden="1">
      <c r="A329" s="1">
        <v>8642641</v>
      </c>
      <c r="B329" s="1" t="s">
        <v>653</v>
      </c>
      <c r="C329" t="s">
        <v>3579</v>
      </c>
      <c r="E329" s="2">
        <v>1924001400040</v>
      </c>
      <c r="F329" s="1" t="s">
        <v>644</v>
      </c>
      <c r="G329" s="1" t="s">
        <v>53</v>
      </c>
      <c r="H329" s="1" t="s">
        <v>568</v>
      </c>
      <c r="I329" s="1" t="s">
        <v>569</v>
      </c>
      <c r="J329" s="1" t="s">
        <v>33</v>
      </c>
      <c r="K329" t="s">
        <v>645</v>
      </c>
      <c r="M329" s="1" t="s">
        <v>58</v>
      </c>
      <c r="N329" s="1">
        <v>0</v>
      </c>
      <c r="O329" s="1" t="s">
        <v>105</v>
      </c>
      <c r="P329" s="186">
        <v>44713.414050925923</v>
      </c>
      <c r="R329" s="1">
        <v>2</v>
      </c>
      <c r="T329" s="1" t="s">
        <v>646</v>
      </c>
      <c r="U329" s="186">
        <v>44714.414050925923</v>
      </c>
      <c r="V329" s="1" t="s">
        <v>41</v>
      </c>
      <c r="W329" s="1" t="s">
        <v>49</v>
      </c>
      <c r="X329" s="13" t="str">
        <f t="shared" si="40"/>
        <v/>
      </c>
      <c r="Y329" s="2">
        <f t="shared" ca="1" si="35"/>
        <v>196</v>
      </c>
      <c r="Z329" s="14">
        <v>1</v>
      </c>
      <c r="AA329" s="1" t="str">
        <f t="shared" ca="1" si="36"/>
        <v>VENCIDO</v>
      </c>
      <c r="AB329" s="1" t="str">
        <f t="shared" si="37"/>
        <v>SL-On</v>
      </c>
      <c r="AC329" s="2" t="str">
        <f t="shared" si="41"/>
        <v xml:space="preserve"> ROSEMERE </v>
      </c>
      <c r="AD329" s="2">
        <f t="shared" si="38"/>
        <v>1</v>
      </c>
      <c r="AE329" s="2">
        <f t="shared" ca="1" si="39"/>
        <v>-272.26222071759548</v>
      </c>
      <c r="AF329" s="15"/>
    </row>
    <row r="330" spans="1:32" hidden="1">
      <c r="A330" s="1">
        <v>8642588</v>
      </c>
      <c r="B330" s="1" t="s">
        <v>653</v>
      </c>
      <c r="C330" t="s">
        <v>3579</v>
      </c>
      <c r="E330" s="2">
        <v>1838001400040</v>
      </c>
      <c r="F330" s="1" t="s">
        <v>644</v>
      </c>
      <c r="G330" s="1" t="s">
        <v>53</v>
      </c>
      <c r="H330" s="1" t="s">
        <v>357</v>
      </c>
      <c r="I330" s="1" t="s">
        <v>358</v>
      </c>
      <c r="J330" s="1" t="s">
        <v>46</v>
      </c>
      <c r="K330" t="s">
        <v>645</v>
      </c>
      <c r="M330" s="1" t="s">
        <v>58</v>
      </c>
      <c r="N330" s="1">
        <v>0</v>
      </c>
      <c r="O330" s="1" t="s">
        <v>105</v>
      </c>
      <c r="P330" s="186">
        <v>44713.413969907408</v>
      </c>
      <c r="R330" s="1">
        <v>2</v>
      </c>
      <c r="T330" s="1" t="s">
        <v>646</v>
      </c>
      <c r="U330" s="186">
        <v>44714.413969907408</v>
      </c>
      <c r="V330" s="1" t="s">
        <v>41</v>
      </c>
      <c r="W330" s="1" t="s">
        <v>49</v>
      </c>
      <c r="X330" s="13" t="str">
        <f t="shared" si="40"/>
        <v/>
      </c>
      <c r="Y330" s="2">
        <f t="shared" ca="1" si="35"/>
        <v>196</v>
      </c>
      <c r="Z330" s="14">
        <v>1</v>
      </c>
      <c r="AA330" s="1" t="str">
        <f t="shared" ca="1" si="36"/>
        <v>VENCIDO</v>
      </c>
      <c r="AB330" s="1" t="str">
        <f t="shared" si="37"/>
        <v>SL-On</v>
      </c>
      <c r="AC330" s="2" t="str">
        <f t="shared" si="41"/>
        <v xml:space="preserve"> CLEITON </v>
      </c>
      <c r="AD330" s="2">
        <f t="shared" si="38"/>
        <v>1</v>
      </c>
      <c r="AE330" s="2">
        <f t="shared" ca="1" si="39"/>
        <v>-272.26230173611111</v>
      </c>
      <c r="AF330" s="15"/>
    </row>
    <row r="331" spans="1:32" hidden="1">
      <c r="A331" s="1">
        <v>8642586</v>
      </c>
      <c r="B331" s="1" t="s">
        <v>653</v>
      </c>
      <c r="C331" t="s">
        <v>3579</v>
      </c>
      <c r="E331" s="2">
        <v>1836001400040</v>
      </c>
      <c r="F331" s="1" t="s">
        <v>644</v>
      </c>
      <c r="G331" s="1" t="s">
        <v>53</v>
      </c>
      <c r="H331" s="1" t="s">
        <v>455</v>
      </c>
      <c r="I331" s="1" t="s">
        <v>456</v>
      </c>
      <c r="J331" s="1" t="s">
        <v>46</v>
      </c>
      <c r="K331" t="s">
        <v>645</v>
      </c>
      <c r="M331" s="1" t="s">
        <v>58</v>
      </c>
      <c r="N331" s="1">
        <v>0</v>
      </c>
      <c r="O331" s="1" t="s">
        <v>105</v>
      </c>
      <c r="P331" s="186">
        <v>44713.413958333331</v>
      </c>
      <c r="R331" s="1">
        <v>3</v>
      </c>
      <c r="T331" s="1" t="s">
        <v>646</v>
      </c>
      <c r="U331" s="186">
        <v>44714.413958333331</v>
      </c>
      <c r="V331" s="1" t="s">
        <v>41</v>
      </c>
      <c r="W331" s="1" t="s">
        <v>49</v>
      </c>
      <c r="X331" s="13" t="str">
        <f t="shared" si="40"/>
        <v/>
      </c>
      <c r="Y331" s="2">
        <f t="shared" ca="1" si="35"/>
        <v>196</v>
      </c>
      <c r="Z331" s="14">
        <v>1</v>
      </c>
      <c r="AA331" s="1" t="str">
        <f t="shared" ca="1" si="36"/>
        <v>VENCIDO</v>
      </c>
      <c r="AB331" s="1" t="str">
        <f t="shared" si="37"/>
        <v>SL-On</v>
      </c>
      <c r="AC331" s="2" t="str">
        <f t="shared" si="41"/>
        <v xml:space="preserve"> CLEITON </v>
      </c>
      <c r="AD331" s="2">
        <f t="shared" si="38"/>
        <v>1</v>
      </c>
      <c r="AE331" s="2">
        <f t="shared" ca="1" si="39"/>
        <v>-272.26231331018789</v>
      </c>
      <c r="AF331" s="15"/>
    </row>
    <row r="332" spans="1:32" hidden="1">
      <c r="A332" s="1">
        <v>8642585</v>
      </c>
      <c r="B332" s="1" t="s">
        <v>653</v>
      </c>
      <c r="C332" t="s">
        <v>3579</v>
      </c>
      <c r="E332" s="2">
        <v>1835001400040</v>
      </c>
      <c r="F332" s="1" t="s">
        <v>644</v>
      </c>
      <c r="G332" s="1" t="s">
        <v>53</v>
      </c>
      <c r="H332" s="1" t="s">
        <v>305</v>
      </c>
      <c r="I332" s="1" t="s">
        <v>306</v>
      </c>
      <c r="J332" s="1" t="s">
        <v>46</v>
      </c>
      <c r="K332" t="s">
        <v>645</v>
      </c>
      <c r="M332" s="1" t="s">
        <v>58</v>
      </c>
      <c r="N332" s="1">
        <v>0</v>
      </c>
      <c r="O332" s="1" t="s">
        <v>105</v>
      </c>
      <c r="P332" s="186">
        <v>44713.413958333331</v>
      </c>
      <c r="R332" s="1">
        <v>3</v>
      </c>
      <c r="T332" s="1" t="s">
        <v>646</v>
      </c>
      <c r="U332" s="186">
        <v>44714.413958333331</v>
      </c>
      <c r="V332" s="1" t="s">
        <v>41</v>
      </c>
      <c r="W332" s="1" t="s">
        <v>49</v>
      </c>
      <c r="X332" s="13" t="str">
        <f t="shared" si="40"/>
        <v/>
      </c>
      <c r="Y332" s="2">
        <f t="shared" ca="1" si="35"/>
        <v>196</v>
      </c>
      <c r="Z332" s="14">
        <v>1</v>
      </c>
      <c r="AA332" s="1" t="str">
        <f t="shared" ca="1" si="36"/>
        <v>VENCIDO</v>
      </c>
      <c r="AB332" s="1" t="str">
        <f t="shared" si="37"/>
        <v>SL-On</v>
      </c>
      <c r="AC332" s="2" t="str">
        <f t="shared" si="41"/>
        <v xml:space="preserve"> CLEITON </v>
      </c>
      <c r="AD332" s="2">
        <f t="shared" si="38"/>
        <v>1</v>
      </c>
      <c r="AE332" s="2">
        <f t="shared" ca="1" si="39"/>
        <v>-272.26231331018789</v>
      </c>
      <c r="AF332" s="15"/>
    </row>
    <row r="333" spans="1:32" hidden="1">
      <c r="A333" s="1">
        <v>8642583</v>
      </c>
      <c r="B333" s="1" t="s">
        <v>653</v>
      </c>
      <c r="C333" t="s">
        <v>3579</v>
      </c>
      <c r="E333" s="2">
        <v>1833001400040</v>
      </c>
      <c r="F333" s="1" t="s">
        <v>644</v>
      </c>
      <c r="G333" s="1" t="s">
        <v>53</v>
      </c>
      <c r="H333" s="1" t="s">
        <v>369</v>
      </c>
      <c r="I333" s="1" t="s">
        <v>370</v>
      </c>
      <c r="J333" s="1" t="s">
        <v>46</v>
      </c>
      <c r="K333" t="s">
        <v>645</v>
      </c>
      <c r="M333" s="1" t="s">
        <v>58</v>
      </c>
      <c r="N333" s="1">
        <v>0</v>
      </c>
      <c r="O333" s="1" t="s">
        <v>105</v>
      </c>
      <c r="P333" s="186">
        <v>44713.413958333331</v>
      </c>
      <c r="R333" s="1">
        <v>3</v>
      </c>
      <c r="T333" s="1" t="s">
        <v>646</v>
      </c>
      <c r="U333" s="186">
        <v>44714.413958333331</v>
      </c>
      <c r="V333" s="1" t="s">
        <v>41</v>
      </c>
      <c r="W333" s="1" t="s">
        <v>49</v>
      </c>
      <c r="X333" s="13" t="str">
        <f t="shared" si="40"/>
        <v/>
      </c>
      <c r="Y333" s="2">
        <f t="shared" ca="1" si="35"/>
        <v>196</v>
      </c>
      <c r="Z333" s="14">
        <v>1</v>
      </c>
      <c r="AA333" s="1" t="str">
        <f t="shared" ca="1" si="36"/>
        <v>VENCIDO</v>
      </c>
      <c r="AB333" s="1" t="str">
        <f t="shared" si="37"/>
        <v>SL-On</v>
      </c>
      <c r="AC333" s="2" t="str">
        <f t="shared" si="41"/>
        <v xml:space="preserve"> CLEITON </v>
      </c>
      <c r="AD333" s="2">
        <f t="shared" si="38"/>
        <v>1</v>
      </c>
      <c r="AE333" s="2">
        <f t="shared" ca="1" si="39"/>
        <v>-272.26231331018789</v>
      </c>
      <c r="AF333" s="15"/>
    </row>
    <row r="334" spans="1:32" hidden="1">
      <c r="A334" s="1">
        <v>8642527</v>
      </c>
      <c r="B334" s="1" t="s">
        <v>653</v>
      </c>
      <c r="C334" t="s">
        <v>3579</v>
      </c>
      <c r="E334" s="2">
        <v>1764001400040</v>
      </c>
      <c r="F334" s="1" t="s">
        <v>644</v>
      </c>
      <c r="G334" s="1" t="s">
        <v>53</v>
      </c>
      <c r="H334" s="1" t="s">
        <v>722</v>
      </c>
      <c r="I334" s="1" t="s">
        <v>723</v>
      </c>
      <c r="J334" s="1" t="s">
        <v>90</v>
      </c>
      <c r="K334" t="s">
        <v>645</v>
      </c>
      <c r="M334" s="1" t="s">
        <v>58</v>
      </c>
      <c r="N334" s="1">
        <v>0</v>
      </c>
      <c r="O334" s="1" t="s">
        <v>36</v>
      </c>
      <c r="P334" s="186">
        <v>44713.413668981484</v>
      </c>
      <c r="R334" s="1">
        <v>2</v>
      </c>
      <c r="T334" s="1" t="s">
        <v>646</v>
      </c>
      <c r="U334" s="186">
        <v>44714.413668981484</v>
      </c>
      <c r="V334" s="1" t="s">
        <v>41</v>
      </c>
      <c r="W334" s="1" t="s">
        <v>49</v>
      </c>
      <c r="X334" s="13" t="str">
        <f t="shared" si="40"/>
        <v/>
      </c>
      <c r="Y334" s="2">
        <f t="shared" ca="1" si="35"/>
        <v>196</v>
      </c>
      <c r="Z334" s="14">
        <v>1</v>
      </c>
      <c r="AA334" s="1" t="str">
        <f t="shared" ca="1" si="36"/>
        <v>VENCIDO</v>
      </c>
      <c r="AB334" s="1" t="str">
        <f t="shared" si="37"/>
        <v>SL-On</v>
      </c>
      <c r="AC334" s="2" t="str">
        <f t="shared" si="41"/>
        <v xml:space="preserve"> RINALDO </v>
      </c>
      <c r="AD334" s="2">
        <f t="shared" si="38"/>
        <v>1</v>
      </c>
      <c r="AE334" s="2">
        <f t="shared" ca="1" si="39"/>
        <v>-272.26260266203462</v>
      </c>
      <c r="AF334" s="15"/>
    </row>
    <row r="335" spans="1:32" hidden="1">
      <c r="A335" s="1">
        <v>8642499</v>
      </c>
      <c r="B335" s="1" t="s">
        <v>653</v>
      </c>
      <c r="C335" t="s">
        <v>3579</v>
      </c>
      <c r="E335" s="2">
        <v>1732001400040</v>
      </c>
      <c r="F335" s="1" t="s">
        <v>644</v>
      </c>
      <c r="G335" s="1" t="s">
        <v>53</v>
      </c>
      <c r="H335" s="1" t="s">
        <v>177</v>
      </c>
      <c r="I335" s="1" t="s">
        <v>178</v>
      </c>
      <c r="J335" s="1" t="s">
        <v>164</v>
      </c>
      <c r="K335" t="s">
        <v>645</v>
      </c>
      <c r="M335" s="1" t="s">
        <v>58</v>
      </c>
      <c r="N335" s="1">
        <v>0</v>
      </c>
      <c r="O335" s="1" t="s">
        <v>105</v>
      </c>
      <c r="P335" s="186">
        <v>44713.413622685184</v>
      </c>
      <c r="R335" s="1">
        <v>3</v>
      </c>
      <c r="T335" s="1" t="s">
        <v>646</v>
      </c>
      <c r="U335" s="186">
        <v>44714.413634259261</v>
      </c>
      <c r="V335" s="1" t="s">
        <v>41</v>
      </c>
      <c r="W335" s="1" t="s">
        <v>49</v>
      </c>
      <c r="X335" s="13" t="str">
        <f t="shared" si="40"/>
        <v/>
      </c>
      <c r="Y335" s="2">
        <f t="shared" ca="1" si="35"/>
        <v>196</v>
      </c>
      <c r="Z335" s="14">
        <v>1</v>
      </c>
      <c r="AA335" s="1" t="str">
        <f t="shared" ca="1" si="36"/>
        <v>VENCIDO</v>
      </c>
      <c r="AB335" s="1" t="str">
        <f t="shared" si="37"/>
        <v>SL-On</v>
      </c>
      <c r="AC335" s="2" t="str">
        <f t="shared" si="41"/>
        <v xml:space="preserve"> ROSEMERE </v>
      </c>
      <c r="AD335" s="2">
        <f t="shared" si="38"/>
        <v>1</v>
      </c>
      <c r="AE335" s="2">
        <f t="shared" ca="1" si="39"/>
        <v>-272.26263738425769</v>
      </c>
      <c r="AF335" s="15"/>
    </row>
    <row r="336" spans="1:32" hidden="1">
      <c r="A336" s="1">
        <v>8642435</v>
      </c>
      <c r="B336" s="1" t="s">
        <v>653</v>
      </c>
      <c r="C336" t="s">
        <v>3579</v>
      </c>
      <c r="E336" s="2">
        <v>1664001400040</v>
      </c>
      <c r="F336" s="1" t="s">
        <v>644</v>
      </c>
      <c r="G336" s="1" t="s">
        <v>53</v>
      </c>
      <c r="H336" s="1" t="s">
        <v>307</v>
      </c>
      <c r="I336" s="1" t="s">
        <v>308</v>
      </c>
      <c r="J336" s="1" t="s">
        <v>164</v>
      </c>
      <c r="K336" t="s">
        <v>645</v>
      </c>
      <c r="M336" s="1" t="s">
        <v>58</v>
      </c>
      <c r="N336" s="1">
        <v>0</v>
      </c>
      <c r="O336" s="1" t="s">
        <v>105</v>
      </c>
      <c r="P336" s="186">
        <v>44713.413391203707</v>
      </c>
      <c r="R336" s="1">
        <v>2</v>
      </c>
      <c r="T336" s="1" t="s">
        <v>646</v>
      </c>
      <c r="U336" s="186">
        <v>44714.413391203707</v>
      </c>
      <c r="V336" s="1" t="s">
        <v>41</v>
      </c>
      <c r="W336" s="1" t="s">
        <v>49</v>
      </c>
      <c r="X336" s="13" t="str">
        <f t="shared" si="40"/>
        <v/>
      </c>
      <c r="Y336" s="2">
        <f t="shared" ca="1" si="35"/>
        <v>196</v>
      </c>
      <c r="Z336" s="14">
        <v>1</v>
      </c>
      <c r="AA336" s="1" t="str">
        <f t="shared" ca="1" si="36"/>
        <v>VENCIDO</v>
      </c>
      <c r="AB336" s="1" t="str">
        <f t="shared" si="37"/>
        <v>SL-On</v>
      </c>
      <c r="AC336" s="2" t="str">
        <f t="shared" si="41"/>
        <v xml:space="preserve"> ROSEMERE </v>
      </c>
      <c r="AD336" s="2">
        <f t="shared" si="38"/>
        <v>1</v>
      </c>
      <c r="AE336" s="2">
        <f t="shared" ca="1" si="39"/>
        <v>-272.26288043981185</v>
      </c>
      <c r="AF336" s="15"/>
    </row>
    <row r="337" spans="1:32" hidden="1">
      <c r="A337" s="1">
        <v>8642415</v>
      </c>
      <c r="B337" s="1" t="s">
        <v>653</v>
      </c>
      <c r="C337" t="s">
        <v>3579</v>
      </c>
      <c r="E337" s="2">
        <v>1643001400040</v>
      </c>
      <c r="F337" s="1" t="s">
        <v>644</v>
      </c>
      <c r="G337" s="1" t="s">
        <v>53</v>
      </c>
      <c r="H337" s="1" t="s">
        <v>361</v>
      </c>
      <c r="I337" s="1" t="s">
        <v>362</v>
      </c>
      <c r="J337" s="1" t="s">
        <v>261</v>
      </c>
      <c r="K337" t="s">
        <v>645</v>
      </c>
      <c r="M337" s="1" t="s">
        <v>58</v>
      </c>
      <c r="N337" s="1">
        <v>0</v>
      </c>
      <c r="O337" s="1" t="s">
        <v>105</v>
      </c>
      <c r="P337" s="186">
        <v>44713.413356481484</v>
      </c>
      <c r="R337" s="1">
        <v>2</v>
      </c>
      <c r="T337" s="1" t="s">
        <v>646</v>
      </c>
      <c r="U337" s="186">
        <v>44714.413356481484</v>
      </c>
      <c r="V337" s="1" t="s">
        <v>41</v>
      </c>
      <c r="W337" s="1" t="s">
        <v>49</v>
      </c>
      <c r="X337" s="13" t="str">
        <f t="shared" si="40"/>
        <v/>
      </c>
      <c r="Y337" s="2">
        <f t="shared" ca="1" si="35"/>
        <v>196</v>
      </c>
      <c r="Z337" s="14">
        <v>1</v>
      </c>
      <c r="AA337" s="1" t="str">
        <f t="shared" ca="1" si="36"/>
        <v>VENCIDO</v>
      </c>
      <c r="AB337" s="1" t="str">
        <f t="shared" si="37"/>
        <v>SL-On</v>
      </c>
      <c r="AC337" s="2" t="str">
        <f t="shared" si="41"/>
        <v xml:space="preserve"> CRISTINA </v>
      </c>
      <c r="AD337" s="2">
        <f t="shared" si="38"/>
        <v>1</v>
      </c>
      <c r="AE337" s="2">
        <f t="shared" ca="1" si="39"/>
        <v>-272.26291516203491</v>
      </c>
      <c r="AF337" s="15"/>
    </row>
    <row r="338" spans="1:32" hidden="1">
      <c r="A338" s="1">
        <v>8642300</v>
      </c>
      <c r="B338" s="1" t="s">
        <v>653</v>
      </c>
      <c r="C338" t="s">
        <v>3579</v>
      </c>
      <c r="E338" s="2">
        <v>1509001400040</v>
      </c>
      <c r="F338" s="1" t="s">
        <v>644</v>
      </c>
      <c r="G338" s="1" t="s">
        <v>53</v>
      </c>
      <c r="H338" s="1" t="s">
        <v>731</v>
      </c>
      <c r="I338" s="1" t="s">
        <v>732</v>
      </c>
      <c r="J338" s="1" t="s">
        <v>46</v>
      </c>
      <c r="K338" t="s">
        <v>645</v>
      </c>
      <c r="M338" s="1" t="s">
        <v>58</v>
      </c>
      <c r="N338" s="1">
        <v>0</v>
      </c>
      <c r="O338" s="1" t="s">
        <v>105</v>
      </c>
      <c r="P338" s="186">
        <v>44713.412974537037</v>
      </c>
      <c r="R338" s="1">
        <v>3</v>
      </c>
      <c r="T338" s="1" t="s">
        <v>646</v>
      </c>
      <c r="U338" s="186">
        <v>44714.412974537037</v>
      </c>
      <c r="V338" s="1" t="s">
        <v>41</v>
      </c>
      <c r="W338" s="1" t="s">
        <v>49</v>
      </c>
      <c r="X338" s="13" t="str">
        <f t="shared" si="40"/>
        <v/>
      </c>
      <c r="Y338" s="2">
        <f t="shared" ca="1" si="35"/>
        <v>196</v>
      </c>
      <c r="Z338" s="14">
        <v>1</v>
      </c>
      <c r="AA338" s="1" t="str">
        <f t="shared" ca="1" si="36"/>
        <v>VENCIDO</v>
      </c>
      <c r="AB338" s="1" t="str">
        <f t="shared" si="37"/>
        <v>SL-On</v>
      </c>
      <c r="AC338" s="2" t="str">
        <f t="shared" si="41"/>
        <v xml:space="preserve"> CLEITON </v>
      </c>
      <c r="AD338" s="2">
        <f t="shared" si="38"/>
        <v>1</v>
      </c>
      <c r="AE338" s="2">
        <f t="shared" ca="1" si="39"/>
        <v>-272.26329710648133</v>
      </c>
      <c r="AF338" s="15"/>
    </row>
    <row r="339" spans="1:32" hidden="1">
      <c r="A339" s="1">
        <v>8642161</v>
      </c>
      <c r="B339" s="1" t="s">
        <v>653</v>
      </c>
      <c r="C339" t="s">
        <v>3579</v>
      </c>
      <c r="E339" s="2">
        <v>1362001400040</v>
      </c>
      <c r="F339" s="1" t="s">
        <v>644</v>
      </c>
      <c r="G339" s="1" t="s">
        <v>53</v>
      </c>
      <c r="H339" s="1" t="s">
        <v>268</v>
      </c>
      <c r="I339" s="1" t="s">
        <v>269</v>
      </c>
      <c r="J339" s="1" t="s">
        <v>90</v>
      </c>
      <c r="K339" t="s">
        <v>645</v>
      </c>
      <c r="M339" s="1" t="s">
        <v>58</v>
      </c>
      <c r="N339" s="1">
        <v>0</v>
      </c>
      <c r="O339" s="1" t="s">
        <v>105</v>
      </c>
      <c r="P339" s="186">
        <v>44713.412453703706</v>
      </c>
      <c r="R339" s="1">
        <v>3</v>
      </c>
      <c r="T339" s="1" t="s">
        <v>646</v>
      </c>
      <c r="U339" s="186">
        <v>44714.412453703706</v>
      </c>
      <c r="V339" s="1" t="s">
        <v>41</v>
      </c>
      <c r="W339" s="1" t="s">
        <v>49</v>
      </c>
      <c r="X339" s="13" t="str">
        <f t="shared" si="40"/>
        <v/>
      </c>
      <c r="Y339" s="2">
        <f t="shared" ca="1" si="35"/>
        <v>196</v>
      </c>
      <c r="Z339" s="14">
        <v>1</v>
      </c>
      <c r="AA339" s="1" t="str">
        <f t="shared" ca="1" si="36"/>
        <v>VENCIDO</v>
      </c>
      <c r="AB339" s="1" t="str">
        <f t="shared" si="37"/>
        <v>SL-On</v>
      </c>
      <c r="AC339" s="2" t="str">
        <f t="shared" si="41"/>
        <v xml:space="preserve"> RINALDO </v>
      </c>
      <c r="AD339" s="2">
        <f t="shared" si="38"/>
        <v>1</v>
      </c>
      <c r="AE339" s="2">
        <f t="shared" ca="1" si="39"/>
        <v>-272.26381793981272</v>
      </c>
      <c r="AF339" s="15"/>
    </row>
    <row r="340" spans="1:32" hidden="1">
      <c r="A340" s="1">
        <v>8642159</v>
      </c>
      <c r="B340" s="1" t="s">
        <v>653</v>
      </c>
      <c r="C340" t="s">
        <v>3579</v>
      </c>
      <c r="E340" s="2">
        <v>1360001400040</v>
      </c>
      <c r="F340" s="1" t="s">
        <v>644</v>
      </c>
      <c r="G340" s="1" t="s">
        <v>53</v>
      </c>
      <c r="H340" s="1" t="s">
        <v>303</v>
      </c>
      <c r="I340" s="1" t="s">
        <v>304</v>
      </c>
      <c r="J340" s="1" t="s">
        <v>261</v>
      </c>
      <c r="K340" t="s">
        <v>645</v>
      </c>
      <c r="M340" s="1" t="s">
        <v>58</v>
      </c>
      <c r="N340" s="1">
        <v>0</v>
      </c>
      <c r="O340" s="1" t="s">
        <v>105</v>
      </c>
      <c r="P340" s="186">
        <v>44713.412453703706</v>
      </c>
      <c r="R340" s="1">
        <v>3</v>
      </c>
      <c r="T340" s="1" t="s">
        <v>646</v>
      </c>
      <c r="U340" s="186">
        <v>44714.412453703706</v>
      </c>
      <c r="V340" s="1" t="s">
        <v>41</v>
      </c>
      <c r="W340" s="1" t="s">
        <v>49</v>
      </c>
      <c r="X340" s="13" t="str">
        <f t="shared" si="40"/>
        <v/>
      </c>
      <c r="Y340" s="2">
        <f t="shared" ca="1" si="35"/>
        <v>196</v>
      </c>
      <c r="Z340" s="14">
        <v>1</v>
      </c>
      <c r="AA340" s="1" t="str">
        <f t="shared" ca="1" si="36"/>
        <v>VENCIDO</v>
      </c>
      <c r="AB340" s="1" t="str">
        <f t="shared" si="37"/>
        <v>SL-On</v>
      </c>
      <c r="AC340" s="2" t="str">
        <f t="shared" si="41"/>
        <v xml:space="preserve"> CRISTINA </v>
      </c>
      <c r="AD340" s="2">
        <f t="shared" si="38"/>
        <v>1</v>
      </c>
      <c r="AE340" s="2">
        <f t="shared" ca="1" si="39"/>
        <v>-272.26381793981272</v>
      </c>
      <c r="AF340" s="15"/>
    </row>
    <row r="341" spans="1:32" hidden="1">
      <c r="A341" s="1">
        <v>8642158</v>
      </c>
      <c r="B341" s="1" t="s">
        <v>653</v>
      </c>
      <c r="C341" t="s">
        <v>3579</v>
      </c>
      <c r="E341" s="2">
        <v>1359001400040</v>
      </c>
      <c r="F341" s="1" t="s">
        <v>644</v>
      </c>
      <c r="G341" s="1" t="s">
        <v>53</v>
      </c>
      <c r="H341" s="1" t="s">
        <v>270</v>
      </c>
      <c r="I341" s="1" t="s">
        <v>271</v>
      </c>
      <c r="J341" s="1" t="s">
        <v>141</v>
      </c>
      <c r="K341" t="s">
        <v>645</v>
      </c>
      <c r="M341" s="1" t="s">
        <v>58</v>
      </c>
      <c r="N341" s="1">
        <v>0</v>
      </c>
      <c r="O341" s="1" t="s">
        <v>105</v>
      </c>
      <c r="P341" s="186">
        <v>44713.412453703706</v>
      </c>
      <c r="R341" s="1">
        <v>2</v>
      </c>
      <c r="T341" s="1" t="s">
        <v>646</v>
      </c>
      <c r="U341" s="186">
        <v>44714.412453703706</v>
      </c>
      <c r="V341" s="1" t="s">
        <v>41</v>
      </c>
      <c r="W341" s="1" t="s">
        <v>49</v>
      </c>
      <c r="X341" s="13" t="str">
        <f t="shared" si="40"/>
        <v/>
      </c>
      <c r="Y341" s="2">
        <f t="shared" ca="1" si="35"/>
        <v>196</v>
      </c>
      <c r="Z341" s="14">
        <v>1</v>
      </c>
      <c r="AA341" s="1" t="str">
        <f t="shared" ca="1" si="36"/>
        <v>VENCIDO</v>
      </c>
      <c r="AB341" s="1" t="str">
        <f t="shared" si="37"/>
        <v>SL-On</v>
      </c>
      <c r="AC341" s="2" t="str">
        <f t="shared" si="41"/>
        <v xml:space="preserve"> CRISTINA </v>
      </c>
      <c r="AD341" s="2">
        <f t="shared" si="38"/>
        <v>1</v>
      </c>
      <c r="AE341" s="2">
        <f t="shared" ca="1" si="39"/>
        <v>-272.26381793981272</v>
      </c>
      <c r="AF341" s="15"/>
    </row>
    <row r="342" spans="1:32" hidden="1">
      <c r="A342" s="1">
        <v>8641875</v>
      </c>
      <c r="B342" s="1" t="s">
        <v>653</v>
      </c>
      <c r="C342" t="s">
        <v>3579</v>
      </c>
      <c r="E342" s="2">
        <v>1059001400040</v>
      </c>
      <c r="F342" s="1" t="s">
        <v>644</v>
      </c>
      <c r="G342" s="1" t="s">
        <v>53</v>
      </c>
      <c r="H342" s="1" t="s">
        <v>88</v>
      </c>
      <c r="I342" s="1" t="s">
        <v>89</v>
      </c>
      <c r="J342" s="1" t="s">
        <v>90</v>
      </c>
      <c r="K342" t="s">
        <v>645</v>
      </c>
      <c r="M342" s="1" t="s">
        <v>58</v>
      </c>
      <c r="N342" s="1">
        <v>0</v>
      </c>
      <c r="O342" s="1" t="s">
        <v>105</v>
      </c>
      <c r="P342" s="186">
        <v>44713.411435185182</v>
      </c>
      <c r="R342" s="1">
        <v>2</v>
      </c>
      <c r="T342" s="1" t="s">
        <v>646</v>
      </c>
      <c r="U342" s="186">
        <v>44714.411435185182</v>
      </c>
      <c r="V342" s="1" t="s">
        <v>41</v>
      </c>
      <c r="W342" s="1" t="s">
        <v>49</v>
      </c>
      <c r="X342" s="13" t="str">
        <f t="shared" si="40"/>
        <v/>
      </c>
      <c r="Y342" s="2">
        <f t="shared" ca="1" si="35"/>
        <v>196</v>
      </c>
      <c r="Z342" s="14">
        <v>1</v>
      </c>
      <c r="AA342" s="1" t="str">
        <f t="shared" ca="1" si="36"/>
        <v>VENCIDO</v>
      </c>
      <c r="AB342" s="1" t="str">
        <f t="shared" si="37"/>
        <v>SL-On</v>
      </c>
      <c r="AC342" s="2" t="str">
        <f t="shared" si="41"/>
        <v xml:space="preserve"> RINALDO </v>
      </c>
      <c r="AD342" s="2">
        <f t="shared" si="38"/>
        <v>1</v>
      </c>
      <c r="AE342" s="2">
        <f t="shared" ca="1" si="39"/>
        <v>-272.2648364583365</v>
      </c>
      <c r="AF342" s="15"/>
    </row>
    <row r="343" spans="1:32" hidden="1">
      <c r="A343" s="1">
        <v>8641866</v>
      </c>
      <c r="B343" s="1" t="s">
        <v>653</v>
      </c>
      <c r="C343" t="s">
        <v>3579</v>
      </c>
      <c r="E343" s="2">
        <v>1049001400040</v>
      </c>
      <c r="F343" s="1" t="s">
        <v>644</v>
      </c>
      <c r="G343" s="1" t="s">
        <v>53</v>
      </c>
      <c r="H343" s="1" t="s">
        <v>169</v>
      </c>
      <c r="I343" s="1" t="s">
        <v>170</v>
      </c>
      <c r="J343" s="1" t="s">
        <v>164</v>
      </c>
      <c r="K343" t="s">
        <v>645</v>
      </c>
      <c r="M343" s="1" t="s">
        <v>58</v>
      </c>
      <c r="N343" s="1">
        <v>0</v>
      </c>
      <c r="O343" s="1" t="s">
        <v>105</v>
      </c>
      <c r="P343" s="186">
        <v>44713.411423611113</v>
      </c>
      <c r="R343" s="1">
        <v>2</v>
      </c>
      <c r="T343" s="1" t="s">
        <v>646</v>
      </c>
      <c r="U343" s="186">
        <v>44714.411423611113</v>
      </c>
      <c r="V343" s="1" t="s">
        <v>41</v>
      </c>
      <c r="W343" s="1" t="s">
        <v>49</v>
      </c>
      <c r="X343" s="13" t="str">
        <f t="shared" si="40"/>
        <v/>
      </c>
      <c r="Y343" s="2">
        <f t="shared" ca="1" si="35"/>
        <v>196</v>
      </c>
      <c r="Z343" s="14">
        <v>1</v>
      </c>
      <c r="AA343" s="1" t="str">
        <f t="shared" ca="1" si="36"/>
        <v>VENCIDO</v>
      </c>
      <c r="AB343" s="1" t="str">
        <f t="shared" si="37"/>
        <v>SL-On</v>
      </c>
      <c r="AC343" s="2" t="str">
        <f t="shared" si="41"/>
        <v xml:space="preserve"> ROSEMERE </v>
      </c>
      <c r="AD343" s="2">
        <f t="shared" si="38"/>
        <v>1</v>
      </c>
      <c r="AE343" s="2">
        <f t="shared" ca="1" si="39"/>
        <v>-272.26484803240601</v>
      </c>
      <c r="AF343" s="15"/>
    </row>
    <row r="344" spans="1:32" hidden="1">
      <c r="A344" s="1">
        <v>8641757</v>
      </c>
      <c r="B344" s="1" t="s">
        <v>653</v>
      </c>
      <c r="C344" t="s">
        <v>3579</v>
      </c>
      <c r="E344" s="2">
        <v>934001400040</v>
      </c>
      <c r="F344" s="1" t="s">
        <v>644</v>
      </c>
      <c r="G344" s="1" t="s">
        <v>53</v>
      </c>
      <c r="H344" s="1" t="s">
        <v>428</v>
      </c>
      <c r="I344" s="1" t="s">
        <v>429</v>
      </c>
      <c r="J344" s="1" t="s">
        <v>46</v>
      </c>
      <c r="K344" t="s">
        <v>645</v>
      </c>
      <c r="M344" s="1" t="s">
        <v>58</v>
      </c>
      <c r="N344" s="1">
        <v>0</v>
      </c>
      <c r="O344" s="1" t="s">
        <v>105</v>
      </c>
      <c r="P344" s="186">
        <v>44713.411087962966</v>
      </c>
      <c r="R344" s="1">
        <v>2</v>
      </c>
      <c r="T344" s="1" t="s">
        <v>646</v>
      </c>
      <c r="U344" s="186">
        <v>44714.411087962966</v>
      </c>
      <c r="V344" s="1" t="s">
        <v>41</v>
      </c>
      <c r="W344" s="1" t="s">
        <v>49</v>
      </c>
      <c r="X344" s="13" t="str">
        <f t="shared" si="40"/>
        <v/>
      </c>
      <c r="Y344" s="2">
        <f t="shared" ca="1" si="35"/>
        <v>196</v>
      </c>
      <c r="Z344" s="14">
        <v>1</v>
      </c>
      <c r="AA344" s="1" t="str">
        <f t="shared" ca="1" si="36"/>
        <v>VENCIDO</v>
      </c>
      <c r="AB344" s="1" t="str">
        <f t="shared" si="37"/>
        <v>SL-On</v>
      </c>
      <c r="AC344" s="2" t="str">
        <f t="shared" si="41"/>
        <v xml:space="preserve"> CLEITON </v>
      </c>
      <c r="AD344" s="2">
        <f t="shared" si="38"/>
        <v>1</v>
      </c>
      <c r="AE344" s="2">
        <f t="shared" ca="1" si="39"/>
        <v>-272.26518368055258</v>
      </c>
      <c r="AF344" s="15"/>
    </row>
    <row r="345" spans="1:32" hidden="1">
      <c r="A345" s="1">
        <v>8641532</v>
      </c>
      <c r="B345" s="1" t="s">
        <v>653</v>
      </c>
      <c r="C345" t="s">
        <v>3579</v>
      </c>
      <c r="E345" s="2">
        <v>714001400040</v>
      </c>
      <c r="F345" s="1" t="s">
        <v>644</v>
      </c>
      <c r="G345" s="1" t="s">
        <v>53</v>
      </c>
      <c r="H345" s="1" t="s">
        <v>377</v>
      </c>
      <c r="I345" s="1" t="s">
        <v>378</v>
      </c>
      <c r="J345" s="1" t="s">
        <v>46</v>
      </c>
      <c r="K345" t="s">
        <v>645</v>
      </c>
      <c r="M345" s="1" t="s">
        <v>58</v>
      </c>
      <c r="N345" s="1">
        <v>0</v>
      </c>
      <c r="O345" s="1" t="s">
        <v>105</v>
      </c>
      <c r="P345" s="186">
        <v>44713.410324074073</v>
      </c>
      <c r="R345" s="1">
        <v>3</v>
      </c>
      <c r="T345" s="1" t="s">
        <v>646</v>
      </c>
      <c r="U345" s="186">
        <v>44714.410324074073</v>
      </c>
      <c r="V345" s="1" t="s">
        <v>41</v>
      </c>
      <c r="W345" s="1" t="s">
        <v>49</v>
      </c>
      <c r="X345" s="13" t="str">
        <f t="shared" si="40"/>
        <v/>
      </c>
      <c r="Y345" s="2">
        <f t="shared" ca="1" si="35"/>
        <v>196</v>
      </c>
      <c r="Z345" s="14">
        <v>1</v>
      </c>
      <c r="AA345" s="1" t="str">
        <f t="shared" ca="1" si="36"/>
        <v>VENCIDO</v>
      </c>
      <c r="AB345" s="1" t="str">
        <f t="shared" si="37"/>
        <v>SL-On</v>
      </c>
      <c r="AC345" s="2" t="str">
        <f t="shared" si="41"/>
        <v xml:space="preserve"> CLEITON </v>
      </c>
      <c r="AD345" s="2">
        <f t="shared" si="38"/>
        <v>1</v>
      </c>
      <c r="AE345" s="2">
        <f t="shared" ca="1" si="39"/>
        <v>-272.26594756944542</v>
      </c>
      <c r="AF345" s="15"/>
    </row>
    <row r="346" spans="1:32" hidden="1">
      <c r="A346" s="1">
        <v>8641530</v>
      </c>
      <c r="B346" s="1" t="s">
        <v>653</v>
      </c>
      <c r="C346" t="s">
        <v>3579</v>
      </c>
      <c r="E346" s="2">
        <v>711001400040</v>
      </c>
      <c r="F346" s="1" t="s">
        <v>644</v>
      </c>
      <c r="G346" s="1" t="s">
        <v>53</v>
      </c>
      <c r="H346" s="1" t="s">
        <v>77</v>
      </c>
      <c r="I346" s="1" t="s">
        <v>78</v>
      </c>
      <c r="J346" s="1" t="s">
        <v>79</v>
      </c>
      <c r="K346" t="s">
        <v>645</v>
      </c>
      <c r="M346" s="1" t="s">
        <v>58</v>
      </c>
      <c r="N346" s="1">
        <v>0</v>
      </c>
      <c r="O346" s="1" t="s">
        <v>105</v>
      </c>
      <c r="P346" s="186">
        <v>44713.410324074073</v>
      </c>
      <c r="R346" s="1">
        <v>2</v>
      </c>
      <c r="T346" s="1" t="s">
        <v>646</v>
      </c>
      <c r="U346" s="186">
        <v>44714.410324074073</v>
      </c>
      <c r="V346" s="1" t="s">
        <v>41</v>
      </c>
      <c r="W346" s="1" t="s">
        <v>49</v>
      </c>
      <c r="X346" s="13" t="str">
        <f t="shared" si="40"/>
        <v/>
      </c>
      <c r="Y346" s="2">
        <f t="shared" ca="1" si="35"/>
        <v>196</v>
      </c>
      <c r="Z346" s="14">
        <v>1</v>
      </c>
      <c r="AA346" s="1" t="str">
        <f t="shared" ca="1" si="36"/>
        <v>VENCIDO</v>
      </c>
      <c r="AB346" s="1" t="str">
        <f t="shared" si="37"/>
        <v>SL-On</v>
      </c>
      <c r="AC346" s="2" t="str">
        <f t="shared" si="41"/>
        <v xml:space="preserve"> ROSEMERE </v>
      </c>
      <c r="AD346" s="2">
        <f t="shared" si="38"/>
        <v>1</v>
      </c>
      <c r="AE346" s="2">
        <f t="shared" ca="1" si="39"/>
        <v>-272.26594756944542</v>
      </c>
      <c r="AF346" s="15"/>
    </row>
    <row r="347" spans="1:32" hidden="1">
      <c r="A347" s="1">
        <v>8641366</v>
      </c>
      <c r="B347" s="1" t="s">
        <v>653</v>
      </c>
      <c r="C347" t="s">
        <v>3579</v>
      </c>
      <c r="E347" s="2">
        <v>550001400040</v>
      </c>
      <c r="F347" s="1" t="s">
        <v>644</v>
      </c>
      <c r="G347" s="1" t="s">
        <v>53</v>
      </c>
      <c r="H347" s="1" t="s">
        <v>337</v>
      </c>
      <c r="I347" s="1" t="s">
        <v>338</v>
      </c>
      <c r="J347" s="1" t="s">
        <v>164</v>
      </c>
      <c r="K347" t="s">
        <v>645</v>
      </c>
      <c r="M347" s="1" t="s">
        <v>58</v>
      </c>
      <c r="N347" s="1">
        <v>0</v>
      </c>
      <c r="O347" s="1" t="s">
        <v>105</v>
      </c>
      <c r="P347" s="186">
        <v>44713.40965277778</v>
      </c>
      <c r="R347" s="1">
        <v>3</v>
      </c>
      <c r="T347" s="1" t="s">
        <v>646</v>
      </c>
      <c r="U347" s="186">
        <v>44714.40965277778</v>
      </c>
      <c r="V347" s="1" t="s">
        <v>41</v>
      </c>
      <c r="W347" s="1" t="s">
        <v>49</v>
      </c>
      <c r="X347" s="13" t="str">
        <f t="shared" si="40"/>
        <v/>
      </c>
      <c r="Y347" s="2">
        <f t="shared" ca="1" si="35"/>
        <v>196</v>
      </c>
      <c r="Z347" s="14">
        <v>1</v>
      </c>
      <c r="AA347" s="1" t="str">
        <f t="shared" ca="1" si="36"/>
        <v>VENCIDO</v>
      </c>
      <c r="AB347" s="1" t="str">
        <f t="shared" si="37"/>
        <v>SL-On</v>
      </c>
      <c r="AC347" s="2" t="str">
        <f t="shared" si="41"/>
        <v xml:space="preserve"> ROSEMERE </v>
      </c>
      <c r="AD347" s="2">
        <f t="shared" si="38"/>
        <v>1</v>
      </c>
      <c r="AE347" s="2">
        <f t="shared" ca="1" si="39"/>
        <v>-272.26661886573856</v>
      </c>
      <c r="AF347" s="15"/>
    </row>
    <row r="348" spans="1:32" hidden="1">
      <c r="A348" s="1">
        <v>8641356</v>
      </c>
      <c r="B348" s="1" t="s">
        <v>653</v>
      </c>
      <c r="C348" t="s">
        <v>3579</v>
      </c>
      <c r="E348" s="2">
        <v>537001400040</v>
      </c>
      <c r="F348" s="1" t="s">
        <v>644</v>
      </c>
      <c r="G348" s="1" t="s">
        <v>53</v>
      </c>
      <c r="H348" s="1" t="s">
        <v>442</v>
      </c>
      <c r="I348" s="1" t="s">
        <v>443</v>
      </c>
      <c r="J348" s="1" t="s">
        <v>79</v>
      </c>
      <c r="K348" t="s">
        <v>645</v>
      </c>
      <c r="M348" s="1" t="s">
        <v>58</v>
      </c>
      <c r="N348" s="1">
        <v>0</v>
      </c>
      <c r="O348" s="1" t="s">
        <v>105</v>
      </c>
      <c r="P348" s="186">
        <v>44713.409641203703</v>
      </c>
      <c r="R348" s="1">
        <v>2</v>
      </c>
      <c r="T348" s="1" t="s">
        <v>646</v>
      </c>
      <c r="U348" s="186">
        <v>44714.409641203703</v>
      </c>
      <c r="V348" s="1" t="s">
        <v>41</v>
      </c>
      <c r="W348" s="1" t="s">
        <v>49</v>
      </c>
      <c r="X348" s="13" t="str">
        <f t="shared" si="40"/>
        <v/>
      </c>
      <c r="Y348" s="2">
        <f t="shared" ca="1" si="35"/>
        <v>196</v>
      </c>
      <c r="Z348" s="14">
        <v>1</v>
      </c>
      <c r="AA348" s="1" t="str">
        <f t="shared" ca="1" si="36"/>
        <v>VENCIDO</v>
      </c>
      <c r="AB348" s="1" t="str">
        <f t="shared" si="37"/>
        <v>SL-On</v>
      </c>
      <c r="AC348" s="2" t="str">
        <f t="shared" si="41"/>
        <v xml:space="preserve"> ROSEMERE </v>
      </c>
      <c r="AD348" s="2">
        <f t="shared" si="38"/>
        <v>1</v>
      </c>
      <c r="AE348" s="2">
        <f t="shared" ca="1" si="39"/>
        <v>-272.26663043981534</v>
      </c>
      <c r="AF348" s="15"/>
    </row>
    <row r="349" spans="1:32" hidden="1">
      <c r="A349" s="1">
        <v>8641265</v>
      </c>
      <c r="B349" s="1" t="s">
        <v>653</v>
      </c>
      <c r="C349" t="s">
        <v>3579</v>
      </c>
      <c r="E349" s="2">
        <v>446001400040</v>
      </c>
      <c r="F349" s="1" t="s">
        <v>644</v>
      </c>
      <c r="G349" s="1" t="s">
        <v>53</v>
      </c>
      <c r="H349" s="1" t="s">
        <v>432</v>
      </c>
      <c r="I349" s="1" t="s">
        <v>433</v>
      </c>
      <c r="J349" s="1" t="s">
        <v>110</v>
      </c>
      <c r="K349" t="s">
        <v>645</v>
      </c>
      <c r="M349" s="1" t="s">
        <v>58</v>
      </c>
      <c r="N349" s="1">
        <v>0</v>
      </c>
      <c r="O349" s="1" t="s">
        <v>105</v>
      </c>
      <c r="P349" s="186">
        <v>44713.409317129626</v>
      </c>
      <c r="R349" s="1">
        <v>3</v>
      </c>
      <c r="T349" s="1" t="s">
        <v>646</v>
      </c>
      <c r="U349" s="186">
        <v>44714.409328703703</v>
      </c>
      <c r="V349" s="1" t="s">
        <v>41</v>
      </c>
      <c r="W349" s="1" t="s">
        <v>49</v>
      </c>
      <c r="X349" s="13" t="str">
        <f t="shared" si="40"/>
        <v/>
      </c>
      <c r="Y349" s="2">
        <f t="shared" ca="1" si="35"/>
        <v>196</v>
      </c>
      <c r="Z349" s="14">
        <v>1</v>
      </c>
      <c r="AA349" s="1" t="str">
        <f t="shared" ca="1" si="36"/>
        <v>VENCIDO</v>
      </c>
      <c r="AB349" s="1" t="str">
        <f t="shared" si="37"/>
        <v>SL-On</v>
      </c>
      <c r="AC349" s="2" t="str">
        <f t="shared" si="41"/>
        <v xml:space="preserve"> CRISTINA </v>
      </c>
      <c r="AD349" s="2">
        <f t="shared" si="38"/>
        <v>1</v>
      </c>
      <c r="AE349" s="2">
        <f t="shared" ca="1" si="39"/>
        <v>-272.26694293981564</v>
      </c>
      <c r="AF349" s="15"/>
    </row>
    <row r="350" spans="1:32" hidden="1">
      <c r="A350" s="1">
        <v>8641027</v>
      </c>
      <c r="B350" s="1" t="s">
        <v>653</v>
      </c>
      <c r="C350" t="s">
        <v>3579</v>
      </c>
      <c r="E350" s="2">
        <v>233001400040</v>
      </c>
      <c r="F350" s="1" t="s">
        <v>644</v>
      </c>
      <c r="G350" s="1" t="s">
        <v>53</v>
      </c>
      <c r="H350" s="1" t="s">
        <v>424</v>
      </c>
      <c r="I350" s="1" t="s">
        <v>425</v>
      </c>
      <c r="J350" s="1" t="s">
        <v>261</v>
      </c>
      <c r="K350" t="s">
        <v>645</v>
      </c>
      <c r="M350" s="1" t="s">
        <v>58</v>
      </c>
      <c r="N350" s="1">
        <v>0</v>
      </c>
      <c r="O350" s="1" t="s">
        <v>105</v>
      </c>
      <c r="P350" s="186">
        <v>44713.408125000002</v>
      </c>
      <c r="R350" s="1">
        <v>2</v>
      </c>
      <c r="T350" s="1" t="s">
        <v>646</v>
      </c>
      <c r="U350" s="186">
        <v>44714.408125000002</v>
      </c>
      <c r="V350" s="1" t="s">
        <v>41</v>
      </c>
      <c r="W350" s="1" t="s">
        <v>49</v>
      </c>
      <c r="X350" s="13" t="str">
        <f t="shared" si="40"/>
        <v/>
      </c>
      <c r="Y350" s="2">
        <f t="shared" ca="1" si="35"/>
        <v>196</v>
      </c>
      <c r="Z350" s="14">
        <v>1</v>
      </c>
      <c r="AA350" s="1" t="str">
        <f t="shared" ca="1" si="36"/>
        <v>VENCIDO</v>
      </c>
      <c r="AB350" s="1" t="str">
        <f t="shared" si="37"/>
        <v>SL-On</v>
      </c>
      <c r="AC350" s="2" t="str">
        <f t="shared" si="41"/>
        <v xml:space="preserve"> CRISTINA </v>
      </c>
      <c r="AD350" s="2">
        <f t="shared" si="38"/>
        <v>1</v>
      </c>
      <c r="AE350" s="2">
        <f t="shared" ca="1" si="39"/>
        <v>-272.26814664351696</v>
      </c>
      <c r="AF350" s="15"/>
    </row>
    <row r="351" spans="1:32" hidden="1">
      <c r="A351" s="1">
        <v>8640672</v>
      </c>
      <c r="B351" s="1" t="s">
        <v>653</v>
      </c>
      <c r="C351" t="s">
        <v>3580</v>
      </c>
      <c r="E351" s="2">
        <v>7802341400030</v>
      </c>
      <c r="F351" s="1" t="s">
        <v>647</v>
      </c>
      <c r="G351" s="1" t="s">
        <v>53</v>
      </c>
      <c r="H351" s="1" t="s">
        <v>753</v>
      </c>
      <c r="I351" s="1" t="s">
        <v>754</v>
      </c>
      <c r="J351" s="1" t="s">
        <v>46</v>
      </c>
      <c r="K351" t="s">
        <v>650</v>
      </c>
      <c r="M351" s="1" t="s">
        <v>58</v>
      </c>
      <c r="N351" s="1">
        <v>0</v>
      </c>
      <c r="O351" s="1" t="s">
        <v>105</v>
      </c>
      <c r="P351" s="186">
        <v>44713.406956018516</v>
      </c>
      <c r="R351" s="1">
        <v>4</v>
      </c>
      <c r="T351" s="1" t="s">
        <v>646</v>
      </c>
      <c r="U351" s="186">
        <v>44714.406956018516</v>
      </c>
      <c r="V351" s="1" t="s">
        <v>41</v>
      </c>
      <c r="W351" s="1" t="s">
        <v>49</v>
      </c>
      <c r="X351" s="13" t="str">
        <f t="shared" si="40"/>
        <v>7802.34</v>
      </c>
      <c r="Y351" s="2">
        <f t="shared" ca="1" si="35"/>
        <v>196</v>
      </c>
      <c r="Z351" s="14">
        <v>1</v>
      </c>
      <c r="AA351" s="1" t="str">
        <f t="shared" ca="1" si="36"/>
        <v>VENCIDO</v>
      </c>
      <c r="AB351" s="1" t="str">
        <f t="shared" si="37"/>
        <v>C-14</v>
      </c>
      <c r="AC351" s="2" t="str">
        <f t="shared" si="41"/>
        <v xml:space="preserve"> CLEITON </v>
      </c>
      <c r="AD351" s="2">
        <f t="shared" si="38"/>
        <v>15</v>
      </c>
      <c r="AE351" s="2">
        <f t="shared" ca="1" si="39"/>
        <v>-272.26931562500249</v>
      </c>
      <c r="AF351" s="15"/>
    </row>
    <row r="352" spans="1:32" hidden="1">
      <c r="A352" s="1">
        <v>8640671</v>
      </c>
      <c r="B352" s="1" t="s">
        <v>653</v>
      </c>
      <c r="C352" t="s">
        <v>3580</v>
      </c>
      <c r="E352" s="2">
        <v>7802281400030</v>
      </c>
      <c r="F352" s="1" t="s">
        <v>647</v>
      </c>
      <c r="G352" s="1" t="s">
        <v>53</v>
      </c>
      <c r="H352" s="1" t="s">
        <v>757</v>
      </c>
      <c r="I352" s="1" t="s">
        <v>758</v>
      </c>
      <c r="J352" s="1" t="s">
        <v>46</v>
      </c>
      <c r="K352" t="s">
        <v>650</v>
      </c>
      <c r="M352" s="1" t="s">
        <v>58</v>
      </c>
      <c r="N352" s="1">
        <v>0</v>
      </c>
      <c r="O352" s="1" t="s">
        <v>105</v>
      </c>
      <c r="P352" s="186">
        <v>44713.406956018516</v>
      </c>
      <c r="R352" s="1">
        <v>4</v>
      </c>
      <c r="T352" s="1" t="s">
        <v>646</v>
      </c>
      <c r="U352" s="186">
        <v>44714.406956018516</v>
      </c>
      <c r="V352" s="1" t="s">
        <v>41</v>
      </c>
      <c r="W352" s="1" t="s">
        <v>49</v>
      </c>
      <c r="X352" s="13" t="str">
        <f t="shared" si="40"/>
        <v>7802.28</v>
      </c>
      <c r="Y352" s="2">
        <f t="shared" ca="1" si="35"/>
        <v>196</v>
      </c>
      <c r="Z352" s="14">
        <v>1</v>
      </c>
      <c r="AA352" s="1" t="str">
        <f t="shared" ca="1" si="36"/>
        <v>VENCIDO</v>
      </c>
      <c r="AB352" s="1" t="str">
        <f t="shared" si="37"/>
        <v>C-14</v>
      </c>
      <c r="AC352" s="2" t="str">
        <f t="shared" si="41"/>
        <v xml:space="preserve"> CLEITON </v>
      </c>
      <c r="AD352" s="2">
        <f t="shared" si="38"/>
        <v>15</v>
      </c>
      <c r="AE352" s="2">
        <f t="shared" ca="1" si="39"/>
        <v>-272.26931562500249</v>
      </c>
      <c r="AF352" s="15"/>
    </row>
    <row r="353" spans="1:32" hidden="1">
      <c r="A353" s="1">
        <v>8640670</v>
      </c>
      <c r="B353" s="1" t="s">
        <v>653</v>
      </c>
      <c r="C353" t="s">
        <v>3580</v>
      </c>
      <c r="E353" s="2">
        <v>7802221400030</v>
      </c>
      <c r="F353" s="1" t="s">
        <v>647</v>
      </c>
      <c r="G353" s="1" t="s">
        <v>53</v>
      </c>
      <c r="H353" s="1" t="s">
        <v>759</v>
      </c>
      <c r="I353" s="1" t="s">
        <v>760</v>
      </c>
      <c r="J353" s="1" t="s">
        <v>46</v>
      </c>
      <c r="K353" t="s">
        <v>650</v>
      </c>
      <c r="M353" s="1" t="s">
        <v>58</v>
      </c>
      <c r="N353" s="1">
        <v>0</v>
      </c>
      <c r="O353" s="1" t="s">
        <v>105</v>
      </c>
      <c r="P353" s="186">
        <v>44713.406956018516</v>
      </c>
      <c r="R353" s="1">
        <v>4</v>
      </c>
      <c r="T353" s="1" t="s">
        <v>646</v>
      </c>
      <c r="U353" s="186">
        <v>44714.406956018516</v>
      </c>
      <c r="V353" s="1" t="s">
        <v>41</v>
      </c>
      <c r="W353" s="1" t="s">
        <v>49</v>
      </c>
      <c r="X353" s="13" t="str">
        <f t="shared" si="40"/>
        <v>7802.22</v>
      </c>
      <c r="Y353" s="2">
        <f t="shared" ca="1" si="35"/>
        <v>196</v>
      </c>
      <c r="Z353" s="14">
        <v>1</v>
      </c>
      <c r="AA353" s="1" t="str">
        <f t="shared" ca="1" si="36"/>
        <v>VENCIDO</v>
      </c>
      <c r="AB353" s="1" t="str">
        <f t="shared" si="37"/>
        <v>C-14</v>
      </c>
      <c r="AC353" s="2" t="str">
        <f t="shared" si="41"/>
        <v xml:space="preserve"> CLEITON </v>
      </c>
      <c r="AD353" s="2">
        <f t="shared" si="38"/>
        <v>15</v>
      </c>
      <c r="AE353" s="2">
        <f t="shared" ca="1" si="39"/>
        <v>-272.26931562500249</v>
      </c>
      <c r="AF353" s="15"/>
    </row>
    <row r="354" spans="1:32" hidden="1">
      <c r="A354" s="1">
        <v>8640669</v>
      </c>
      <c r="B354" s="1" t="s">
        <v>653</v>
      </c>
      <c r="C354" t="s">
        <v>3580</v>
      </c>
      <c r="E354" s="2">
        <v>7802211400030</v>
      </c>
      <c r="F354" s="1" t="s">
        <v>647</v>
      </c>
      <c r="G354" s="1" t="s">
        <v>53</v>
      </c>
      <c r="H354" s="1" t="s">
        <v>761</v>
      </c>
      <c r="I354" s="1" t="s">
        <v>762</v>
      </c>
      <c r="J354" s="1" t="s">
        <v>46</v>
      </c>
      <c r="K354" t="s">
        <v>650</v>
      </c>
      <c r="M354" s="1" t="s">
        <v>58</v>
      </c>
      <c r="N354" s="1">
        <v>0</v>
      </c>
      <c r="O354" s="1" t="s">
        <v>105</v>
      </c>
      <c r="P354" s="186">
        <v>44713.406956018516</v>
      </c>
      <c r="R354" s="1">
        <v>4</v>
      </c>
      <c r="T354" s="1" t="s">
        <v>646</v>
      </c>
      <c r="U354" s="186">
        <v>44714.406956018516</v>
      </c>
      <c r="V354" s="1" t="s">
        <v>41</v>
      </c>
      <c r="W354" s="1" t="s">
        <v>49</v>
      </c>
      <c r="X354" s="13" t="str">
        <f t="shared" si="40"/>
        <v>7802.21</v>
      </c>
      <c r="Y354" s="2">
        <f t="shared" ca="1" si="35"/>
        <v>196</v>
      </c>
      <c r="Z354" s="14">
        <v>1</v>
      </c>
      <c r="AA354" s="1" t="str">
        <f t="shared" ca="1" si="36"/>
        <v>VENCIDO</v>
      </c>
      <c r="AB354" s="1" t="str">
        <f t="shared" si="37"/>
        <v>C-14</v>
      </c>
      <c r="AC354" s="2" t="str">
        <f t="shared" si="41"/>
        <v xml:space="preserve"> CLEITON </v>
      </c>
      <c r="AD354" s="2">
        <f t="shared" si="38"/>
        <v>15</v>
      </c>
      <c r="AE354" s="2">
        <f t="shared" ca="1" si="39"/>
        <v>-272.26931562500249</v>
      </c>
      <c r="AF354" s="15"/>
    </row>
    <row r="355" spans="1:32" hidden="1">
      <c r="A355" s="1">
        <v>8640668</v>
      </c>
      <c r="B355" s="1" t="s">
        <v>653</v>
      </c>
      <c r="C355" t="s">
        <v>3580</v>
      </c>
      <c r="E355" s="2">
        <v>7802191400030</v>
      </c>
      <c r="F355" s="1" t="s">
        <v>647</v>
      </c>
      <c r="G355" s="1" t="s">
        <v>53</v>
      </c>
      <c r="H355" s="1" t="s">
        <v>763</v>
      </c>
      <c r="I355" s="1" t="s">
        <v>764</v>
      </c>
      <c r="J355" s="1" t="s">
        <v>46</v>
      </c>
      <c r="K355" t="s">
        <v>650</v>
      </c>
      <c r="M355" s="1" t="s">
        <v>58</v>
      </c>
      <c r="N355" s="1">
        <v>0</v>
      </c>
      <c r="O355" s="1" t="s">
        <v>105</v>
      </c>
      <c r="P355" s="186">
        <v>44713.406944444447</v>
      </c>
      <c r="R355" s="1">
        <v>4</v>
      </c>
      <c r="T355" s="1" t="s">
        <v>646</v>
      </c>
      <c r="U355" s="186">
        <v>44714.406956018516</v>
      </c>
      <c r="V355" s="1" t="s">
        <v>41</v>
      </c>
      <c r="W355" s="1" t="s">
        <v>49</v>
      </c>
      <c r="X355" s="13" t="str">
        <f t="shared" si="40"/>
        <v>7802.19</v>
      </c>
      <c r="Y355" s="2">
        <f t="shared" ca="1" si="35"/>
        <v>196</v>
      </c>
      <c r="Z355" s="14">
        <v>1</v>
      </c>
      <c r="AA355" s="1" t="str">
        <f t="shared" ca="1" si="36"/>
        <v>VENCIDO</v>
      </c>
      <c r="AB355" s="1" t="str">
        <f t="shared" si="37"/>
        <v>C-14</v>
      </c>
      <c r="AC355" s="2" t="str">
        <f t="shared" si="41"/>
        <v xml:space="preserve"> CLEITON </v>
      </c>
      <c r="AD355" s="2">
        <f t="shared" si="38"/>
        <v>15</v>
      </c>
      <c r="AE355" s="2">
        <f t="shared" ca="1" si="39"/>
        <v>-272.26931562500249</v>
      </c>
      <c r="AF355" s="15"/>
    </row>
    <row r="356" spans="1:32" hidden="1">
      <c r="A356" s="1">
        <v>8640667</v>
      </c>
      <c r="B356" s="1" t="s">
        <v>653</v>
      </c>
      <c r="C356" t="s">
        <v>3580</v>
      </c>
      <c r="E356" s="2">
        <v>7802181400030</v>
      </c>
      <c r="F356" s="1" t="s">
        <v>647</v>
      </c>
      <c r="G356" s="1" t="s">
        <v>53</v>
      </c>
      <c r="H356" s="1" t="s">
        <v>766</v>
      </c>
      <c r="I356" s="1" t="s">
        <v>767</v>
      </c>
      <c r="J356" s="1" t="s">
        <v>46</v>
      </c>
      <c r="K356" t="s">
        <v>650</v>
      </c>
      <c r="M356" s="1" t="s">
        <v>58</v>
      </c>
      <c r="N356" s="1">
        <v>0</v>
      </c>
      <c r="O356" s="1" t="s">
        <v>105</v>
      </c>
      <c r="P356" s="11" t="s">
        <v>765</v>
      </c>
      <c r="R356" s="1">
        <v>4</v>
      </c>
      <c r="T356" s="1" t="s">
        <v>646</v>
      </c>
      <c r="U356" s="186">
        <v>44714.406944444447</v>
      </c>
      <c r="V356" s="1" t="s">
        <v>41</v>
      </c>
      <c r="W356" s="1" t="s">
        <v>49</v>
      </c>
      <c r="X356" s="13" t="str">
        <f t="shared" si="40"/>
        <v>7802.18</v>
      </c>
      <c r="Y356" s="2">
        <f t="shared" ca="1" si="35"/>
        <v>196</v>
      </c>
      <c r="Z356" s="14">
        <v>1</v>
      </c>
      <c r="AA356" s="1" t="str">
        <f t="shared" ca="1" si="36"/>
        <v>VENCIDO</v>
      </c>
      <c r="AB356" s="1" t="str">
        <f t="shared" si="37"/>
        <v>C-14</v>
      </c>
      <c r="AC356" s="2" t="str">
        <f t="shared" si="41"/>
        <v xml:space="preserve"> CLEITON </v>
      </c>
      <c r="AD356" s="2">
        <f t="shared" si="38"/>
        <v>15</v>
      </c>
      <c r="AE356" s="2">
        <f t="shared" ca="1" si="39"/>
        <v>-272.26932719907199</v>
      </c>
      <c r="AF356" s="15"/>
    </row>
    <row r="357" spans="1:32" hidden="1">
      <c r="A357" s="1">
        <v>8640666</v>
      </c>
      <c r="B357" s="1" t="s">
        <v>653</v>
      </c>
      <c r="C357" t="s">
        <v>3580</v>
      </c>
      <c r="E357" s="2">
        <v>7802171400030</v>
      </c>
      <c r="F357" s="1" t="s">
        <v>647</v>
      </c>
      <c r="G357" s="1" t="s">
        <v>53</v>
      </c>
      <c r="H357" s="1" t="s">
        <v>769</v>
      </c>
      <c r="I357" s="1" t="s">
        <v>770</v>
      </c>
      <c r="J357" s="1" t="s">
        <v>46</v>
      </c>
      <c r="K357" t="s">
        <v>650</v>
      </c>
      <c r="M357" s="1" t="s">
        <v>58</v>
      </c>
      <c r="N357" s="1">
        <v>0</v>
      </c>
      <c r="O357" s="1" t="s">
        <v>105</v>
      </c>
      <c r="P357" s="11" t="s">
        <v>765</v>
      </c>
      <c r="R357" s="1">
        <v>4</v>
      </c>
      <c r="T357" s="1" t="s">
        <v>646</v>
      </c>
      <c r="U357" s="186">
        <v>44714.406944444447</v>
      </c>
      <c r="V357" s="1" t="s">
        <v>41</v>
      </c>
      <c r="W357" s="1" t="s">
        <v>49</v>
      </c>
      <c r="X357" s="13" t="str">
        <f t="shared" si="40"/>
        <v>7802.17</v>
      </c>
      <c r="Y357" s="2">
        <f t="shared" ca="1" si="35"/>
        <v>196</v>
      </c>
      <c r="Z357" s="14">
        <v>1</v>
      </c>
      <c r="AA357" s="1" t="str">
        <f t="shared" ca="1" si="36"/>
        <v>VENCIDO</v>
      </c>
      <c r="AB357" s="1" t="str">
        <f t="shared" si="37"/>
        <v>C-14</v>
      </c>
      <c r="AC357" s="2" t="str">
        <f t="shared" si="41"/>
        <v xml:space="preserve"> CLEITON </v>
      </c>
      <c r="AD357" s="2">
        <f t="shared" si="38"/>
        <v>15</v>
      </c>
      <c r="AE357" s="2">
        <f t="shared" ca="1" si="39"/>
        <v>-272.26932719907199</v>
      </c>
      <c r="AF357" s="15"/>
    </row>
    <row r="358" spans="1:32" hidden="1">
      <c r="A358" s="1">
        <v>8640665</v>
      </c>
      <c r="B358" s="1" t="s">
        <v>653</v>
      </c>
      <c r="C358" t="s">
        <v>3580</v>
      </c>
      <c r="E358" s="2">
        <v>7802051400030</v>
      </c>
      <c r="F358" s="1" t="s">
        <v>647</v>
      </c>
      <c r="G358" s="1" t="s">
        <v>53</v>
      </c>
      <c r="H358" s="1" t="s">
        <v>771</v>
      </c>
      <c r="I358" s="1" t="s">
        <v>772</v>
      </c>
      <c r="J358" s="1" t="s">
        <v>46</v>
      </c>
      <c r="K358" t="s">
        <v>650</v>
      </c>
      <c r="M358" s="1" t="s">
        <v>58</v>
      </c>
      <c r="N358" s="1">
        <v>0</v>
      </c>
      <c r="O358" s="1" t="s">
        <v>36</v>
      </c>
      <c r="P358" s="11" t="s">
        <v>765</v>
      </c>
      <c r="R358" s="1">
        <v>4</v>
      </c>
      <c r="T358" s="1" t="s">
        <v>646</v>
      </c>
      <c r="U358" s="186">
        <v>44714.406944444447</v>
      </c>
      <c r="V358" s="1" t="s">
        <v>41</v>
      </c>
      <c r="W358" s="1" t="s">
        <v>49</v>
      </c>
      <c r="X358" s="13" t="str">
        <f t="shared" si="40"/>
        <v>7802.05</v>
      </c>
      <c r="Y358" s="2">
        <f t="shared" ca="1" si="35"/>
        <v>196</v>
      </c>
      <c r="Z358" s="14">
        <v>1</v>
      </c>
      <c r="AA358" s="1" t="str">
        <f t="shared" ca="1" si="36"/>
        <v>VENCIDO</v>
      </c>
      <c r="AB358" s="1" t="str">
        <f t="shared" si="37"/>
        <v>C-14</v>
      </c>
      <c r="AC358" s="2" t="str">
        <f t="shared" si="41"/>
        <v xml:space="preserve"> CLEITON </v>
      </c>
      <c r="AD358" s="2">
        <f t="shared" si="38"/>
        <v>15</v>
      </c>
      <c r="AE358" s="2">
        <f t="shared" ca="1" si="39"/>
        <v>-272.26932719907199</v>
      </c>
      <c r="AF358" s="15"/>
    </row>
    <row r="359" spans="1:32" hidden="1">
      <c r="A359" s="1">
        <v>8640664</v>
      </c>
      <c r="B359" s="1" t="s">
        <v>653</v>
      </c>
      <c r="C359" t="s">
        <v>3580</v>
      </c>
      <c r="E359" s="2">
        <v>7802041400030</v>
      </c>
      <c r="F359" s="1" t="s">
        <v>647</v>
      </c>
      <c r="G359" s="1" t="s">
        <v>53</v>
      </c>
      <c r="H359" s="1" t="s">
        <v>773</v>
      </c>
      <c r="I359" s="1" t="s">
        <v>774</v>
      </c>
      <c r="J359" s="1" t="s">
        <v>46</v>
      </c>
      <c r="K359" t="s">
        <v>650</v>
      </c>
      <c r="M359" s="1" t="s">
        <v>58</v>
      </c>
      <c r="N359" s="1">
        <v>0</v>
      </c>
      <c r="O359" s="1" t="s">
        <v>105</v>
      </c>
      <c r="P359" s="11" t="s">
        <v>765</v>
      </c>
      <c r="R359" s="1">
        <v>4</v>
      </c>
      <c r="T359" s="1" t="s">
        <v>646</v>
      </c>
      <c r="U359" s="186">
        <v>44714.406944444447</v>
      </c>
      <c r="V359" s="1" t="s">
        <v>41</v>
      </c>
      <c r="W359" s="1" t="s">
        <v>49</v>
      </c>
      <c r="X359" s="13" t="str">
        <f t="shared" si="40"/>
        <v>7802.04</v>
      </c>
      <c r="Y359" s="2">
        <f t="shared" ca="1" si="35"/>
        <v>196</v>
      </c>
      <c r="Z359" s="14">
        <v>1</v>
      </c>
      <c r="AA359" s="1" t="str">
        <f t="shared" ca="1" si="36"/>
        <v>VENCIDO</v>
      </c>
      <c r="AB359" s="1" t="str">
        <f t="shared" si="37"/>
        <v>C-14</v>
      </c>
      <c r="AC359" s="2" t="str">
        <f t="shared" si="41"/>
        <v xml:space="preserve"> CLEITON </v>
      </c>
      <c r="AD359" s="2">
        <f t="shared" si="38"/>
        <v>15</v>
      </c>
      <c r="AE359" s="2">
        <f t="shared" ca="1" si="39"/>
        <v>-272.26932719907199</v>
      </c>
      <c r="AF359" s="15"/>
    </row>
    <row r="360" spans="1:32" hidden="1">
      <c r="A360" s="1">
        <v>8640663</v>
      </c>
      <c r="B360" s="1" t="s">
        <v>653</v>
      </c>
      <c r="C360" t="s">
        <v>3580</v>
      </c>
      <c r="E360" s="2">
        <v>7802021400030</v>
      </c>
      <c r="F360" s="1" t="s">
        <v>647</v>
      </c>
      <c r="G360" s="1" t="s">
        <v>53</v>
      </c>
      <c r="H360" s="1" t="s">
        <v>775</v>
      </c>
      <c r="I360" s="1" t="s">
        <v>776</v>
      </c>
      <c r="J360" s="1" t="s">
        <v>46</v>
      </c>
      <c r="K360" t="s">
        <v>650</v>
      </c>
      <c r="M360" s="1" t="s">
        <v>58</v>
      </c>
      <c r="N360" s="1">
        <v>0</v>
      </c>
      <c r="O360" s="1" t="s">
        <v>36</v>
      </c>
      <c r="P360" s="11" t="s">
        <v>765</v>
      </c>
      <c r="R360" s="1">
        <v>4</v>
      </c>
      <c r="T360" s="1" t="s">
        <v>646</v>
      </c>
      <c r="U360" s="186">
        <v>44714.406944444447</v>
      </c>
      <c r="V360" s="1" t="s">
        <v>41</v>
      </c>
      <c r="W360" s="1" t="s">
        <v>49</v>
      </c>
      <c r="X360" s="13" t="str">
        <f t="shared" si="40"/>
        <v>7802.02</v>
      </c>
      <c r="Y360" s="2">
        <f t="shared" ca="1" si="35"/>
        <v>196</v>
      </c>
      <c r="Z360" s="14">
        <v>1</v>
      </c>
      <c r="AA360" s="1" t="str">
        <f t="shared" ca="1" si="36"/>
        <v>VENCIDO</v>
      </c>
      <c r="AB360" s="1" t="str">
        <f t="shared" si="37"/>
        <v>C-14</v>
      </c>
      <c r="AC360" s="2" t="str">
        <f t="shared" si="41"/>
        <v xml:space="preserve"> CLEITON </v>
      </c>
      <c r="AD360" s="2">
        <f t="shared" si="38"/>
        <v>15</v>
      </c>
      <c r="AE360" s="2">
        <f t="shared" ca="1" si="39"/>
        <v>-272.26932719907199</v>
      </c>
      <c r="AF360" s="15"/>
    </row>
    <row r="361" spans="1:32" hidden="1">
      <c r="A361" s="1">
        <v>8640662</v>
      </c>
      <c r="B361" s="1" t="s">
        <v>653</v>
      </c>
      <c r="C361" t="s">
        <v>3580</v>
      </c>
      <c r="E361" s="2">
        <v>7802011400030</v>
      </c>
      <c r="F361" s="1" t="s">
        <v>647</v>
      </c>
      <c r="G361" s="1" t="s">
        <v>53</v>
      </c>
      <c r="H361" s="1" t="s">
        <v>777</v>
      </c>
      <c r="I361" s="1" t="s">
        <v>778</v>
      </c>
      <c r="J361" s="1" t="s">
        <v>46</v>
      </c>
      <c r="K361" t="s">
        <v>650</v>
      </c>
      <c r="M361" s="1" t="s">
        <v>58</v>
      </c>
      <c r="N361" s="1">
        <v>0</v>
      </c>
      <c r="O361" s="1" t="s">
        <v>36</v>
      </c>
      <c r="P361" s="11" t="s">
        <v>765</v>
      </c>
      <c r="R361" s="1">
        <v>4</v>
      </c>
      <c r="T361" s="1" t="s">
        <v>646</v>
      </c>
      <c r="U361" s="186">
        <v>44714.406944444447</v>
      </c>
      <c r="V361" s="1" t="s">
        <v>41</v>
      </c>
      <c r="W361" s="1" t="s">
        <v>49</v>
      </c>
      <c r="X361" s="13" t="str">
        <f t="shared" si="40"/>
        <v>7802.01</v>
      </c>
      <c r="Y361" s="2">
        <f t="shared" ca="1" si="35"/>
        <v>196</v>
      </c>
      <c r="Z361" s="14">
        <v>1</v>
      </c>
      <c r="AA361" s="1" t="str">
        <f t="shared" ca="1" si="36"/>
        <v>VENCIDO</v>
      </c>
      <c r="AB361" s="1" t="str">
        <f t="shared" si="37"/>
        <v>C-14</v>
      </c>
      <c r="AC361" s="2" t="str">
        <f t="shared" si="41"/>
        <v xml:space="preserve"> CLEITON </v>
      </c>
      <c r="AD361" s="2">
        <f t="shared" si="38"/>
        <v>15</v>
      </c>
      <c r="AE361" s="2">
        <f t="shared" ca="1" si="39"/>
        <v>-272.26932719907199</v>
      </c>
      <c r="AF361" s="15"/>
    </row>
    <row r="362" spans="1:32" hidden="1">
      <c r="A362" s="1">
        <v>8640517</v>
      </c>
      <c r="B362" s="1" t="s">
        <v>653</v>
      </c>
      <c r="C362" t="s">
        <v>3580</v>
      </c>
      <c r="E362" s="2">
        <v>4890081400030</v>
      </c>
      <c r="F362" s="1" t="s">
        <v>647</v>
      </c>
      <c r="G362" s="1" t="s">
        <v>53</v>
      </c>
      <c r="H362" s="1" t="s">
        <v>779</v>
      </c>
      <c r="I362" s="1" t="s">
        <v>780</v>
      </c>
      <c r="J362" s="1" t="s">
        <v>46</v>
      </c>
      <c r="K362" t="s">
        <v>650</v>
      </c>
      <c r="M362" s="1" t="s">
        <v>58</v>
      </c>
      <c r="N362" s="1">
        <v>0</v>
      </c>
      <c r="O362" s="1" t="s">
        <v>105</v>
      </c>
      <c r="P362" s="11" t="s">
        <v>781</v>
      </c>
      <c r="R362" s="1">
        <v>4</v>
      </c>
      <c r="T362" s="1" t="s">
        <v>646</v>
      </c>
      <c r="U362" s="186">
        <v>44714.406608796293</v>
      </c>
      <c r="V362" s="1" t="s">
        <v>41</v>
      </c>
      <c r="W362" s="1" t="s">
        <v>49</v>
      </c>
      <c r="X362" s="13" t="str">
        <f t="shared" si="40"/>
        <v>4890.08</v>
      </c>
      <c r="Y362" s="2">
        <f t="shared" ca="1" si="35"/>
        <v>196</v>
      </c>
      <c r="Z362" s="14">
        <v>1</v>
      </c>
      <c r="AA362" s="1" t="str">
        <f t="shared" ca="1" si="36"/>
        <v>VENCIDO</v>
      </c>
      <c r="AB362" s="1" t="str">
        <f t="shared" si="37"/>
        <v>C-14</v>
      </c>
      <c r="AC362" s="2" t="str">
        <f t="shared" si="41"/>
        <v xml:space="preserve"> CLEITON </v>
      </c>
      <c r="AD362" s="2">
        <f t="shared" si="38"/>
        <v>15</v>
      </c>
      <c r="AE362" s="2">
        <f t="shared" ca="1" si="39"/>
        <v>-272.26966284722585</v>
      </c>
      <c r="AF362" s="15"/>
    </row>
    <row r="363" spans="1:32" hidden="1">
      <c r="A363" s="1">
        <v>8640516</v>
      </c>
      <c r="B363" s="1" t="s">
        <v>653</v>
      </c>
      <c r="C363" t="s">
        <v>3580</v>
      </c>
      <c r="E363" s="2">
        <v>4890071400030</v>
      </c>
      <c r="F363" s="1" t="s">
        <v>647</v>
      </c>
      <c r="G363" s="1" t="s">
        <v>53</v>
      </c>
      <c r="H363" s="1" t="s">
        <v>783</v>
      </c>
      <c r="I363" s="1" t="s">
        <v>784</v>
      </c>
      <c r="J363" s="1" t="s">
        <v>46</v>
      </c>
      <c r="K363" t="s">
        <v>650</v>
      </c>
      <c r="M363" s="1" t="s">
        <v>58</v>
      </c>
      <c r="N363" s="1">
        <v>0</v>
      </c>
      <c r="O363" s="1" t="s">
        <v>105</v>
      </c>
      <c r="P363" s="11" t="s">
        <v>781</v>
      </c>
      <c r="R363" s="1">
        <v>4</v>
      </c>
      <c r="T363" s="1" t="s">
        <v>646</v>
      </c>
      <c r="U363" s="186">
        <v>44714.406608796293</v>
      </c>
      <c r="V363" s="1" t="s">
        <v>41</v>
      </c>
      <c r="W363" s="1" t="s">
        <v>49</v>
      </c>
      <c r="X363" s="13" t="str">
        <f t="shared" si="40"/>
        <v>4890.07</v>
      </c>
      <c r="Y363" s="2">
        <f t="shared" ca="1" si="35"/>
        <v>196</v>
      </c>
      <c r="Z363" s="14">
        <v>1</v>
      </c>
      <c r="AA363" s="1" t="str">
        <f t="shared" ca="1" si="36"/>
        <v>VENCIDO</v>
      </c>
      <c r="AB363" s="1" t="str">
        <f t="shared" si="37"/>
        <v>C-14</v>
      </c>
      <c r="AC363" s="2" t="str">
        <f t="shared" si="41"/>
        <v xml:space="preserve"> CLEITON </v>
      </c>
      <c r="AD363" s="2">
        <f t="shared" si="38"/>
        <v>15</v>
      </c>
      <c r="AE363" s="2">
        <f t="shared" ca="1" si="39"/>
        <v>-272.26966284722585</v>
      </c>
      <c r="AF363" s="15"/>
    </row>
    <row r="364" spans="1:32" hidden="1">
      <c r="A364" s="1">
        <v>8640515</v>
      </c>
      <c r="B364" s="1" t="s">
        <v>653</v>
      </c>
      <c r="C364" t="s">
        <v>3580</v>
      </c>
      <c r="E364" s="2">
        <v>4890061400030</v>
      </c>
      <c r="F364" s="1" t="s">
        <v>647</v>
      </c>
      <c r="G364" s="1" t="s">
        <v>53</v>
      </c>
      <c r="H364" s="1" t="s">
        <v>785</v>
      </c>
      <c r="I364" s="1" t="s">
        <v>786</v>
      </c>
      <c r="J364" s="1" t="s">
        <v>46</v>
      </c>
      <c r="K364" t="s">
        <v>650</v>
      </c>
      <c r="M364" s="1" t="s">
        <v>58</v>
      </c>
      <c r="N364" s="1">
        <v>0</v>
      </c>
      <c r="O364" s="1" t="s">
        <v>105</v>
      </c>
      <c r="P364" s="11" t="s">
        <v>781</v>
      </c>
      <c r="R364" s="1">
        <v>4</v>
      </c>
      <c r="T364" s="1" t="s">
        <v>646</v>
      </c>
      <c r="U364" s="186">
        <v>44714.406608796293</v>
      </c>
      <c r="V364" s="1" t="s">
        <v>41</v>
      </c>
      <c r="W364" s="1" t="s">
        <v>49</v>
      </c>
      <c r="X364" s="13" t="str">
        <f t="shared" si="40"/>
        <v>4890.06</v>
      </c>
      <c r="Y364" s="2">
        <f t="shared" ca="1" si="35"/>
        <v>196</v>
      </c>
      <c r="Z364" s="14">
        <v>1</v>
      </c>
      <c r="AA364" s="1" t="str">
        <f t="shared" ca="1" si="36"/>
        <v>VENCIDO</v>
      </c>
      <c r="AB364" s="1" t="str">
        <f t="shared" si="37"/>
        <v>C-14</v>
      </c>
      <c r="AC364" s="2" t="str">
        <f t="shared" si="41"/>
        <v xml:space="preserve"> CLEITON </v>
      </c>
      <c r="AD364" s="2">
        <f t="shared" si="38"/>
        <v>15</v>
      </c>
      <c r="AE364" s="2">
        <f t="shared" ca="1" si="39"/>
        <v>-272.26966284722585</v>
      </c>
      <c r="AF364" s="15"/>
    </row>
    <row r="365" spans="1:32" hidden="1">
      <c r="A365" s="1">
        <v>8640514</v>
      </c>
      <c r="B365" s="1" t="s">
        <v>653</v>
      </c>
      <c r="C365" t="s">
        <v>3580</v>
      </c>
      <c r="E365" s="2">
        <v>4890051400030</v>
      </c>
      <c r="F365" s="1" t="s">
        <v>647</v>
      </c>
      <c r="G365" s="1" t="s">
        <v>53</v>
      </c>
      <c r="H365" s="1" t="s">
        <v>787</v>
      </c>
      <c r="I365" s="1" t="s">
        <v>788</v>
      </c>
      <c r="J365" s="1" t="s">
        <v>46</v>
      </c>
      <c r="K365" t="s">
        <v>650</v>
      </c>
      <c r="M365" s="1" t="s">
        <v>58</v>
      </c>
      <c r="N365" s="1">
        <v>0</v>
      </c>
      <c r="O365" s="1" t="s">
        <v>105</v>
      </c>
      <c r="P365" s="11" t="s">
        <v>789</v>
      </c>
      <c r="R365" s="1">
        <v>4</v>
      </c>
      <c r="T365" s="1" t="s">
        <v>646</v>
      </c>
      <c r="U365" s="186">
        <v>44714.406597222223</v>
      </c>
      <c r="V365" s="1" t="s">
        <v>41</v>
      </c>
      <c r="W365" s="1" t="s">
        <v>49</v>
      </c>
      <c r="X365" s="13" t="str">
        <f t="shared" si="40"/>
        <v>4890.05</v>
      </c>
      <c r="Y365" s="2">
        <f t="shared" ca="1" si="35"/>
        <v>196</v>
      </c>
      <c r="Z365" s="14">
        <v>1</v>
      </c>
      <c r="AA365" s="1" t="str">
        <f t="shared" ca="1" si="36"/>
        <v>VENCIDO</v>
      </c>
      <c r="AB365" s="1" t="str">
        <f t="shared" si="37"/>
        <v>C-14</v>
      </c>
      <c r="AC365" s="2" t="str">
        <f t="shared" si="41"/>
        <v xml:space="preserve"> CLEITON </v>
      </c>
      <c r="AD365" s="2">
        <f t="shared" si="38"/>
        <v>15</v>
      </c>
      <c r="AE365" s="2">
        <f t="shared" ca="1" si="39"/>
        <v>-272.26967442129535</v>
      </c>
      <c r="AF365" s="15"/>
    </row>
    <row r="366" spans="1:32" hidden="1">
      <c r="A366" s="1">
        <v>8640513</v>
      </c>
      <c r="B366" s="1" t="s">
        <v>653</v>
      </c>
      <c r="C366" t="s">
        <v>3580</v>
      </c>
      <c r="E366" s="2">
        <v>4890041400030</v>
      </c>
      <c r="F366" s="1" t="s">
        <v>647</v>
      </c>
      <c r="G366" s="1" t="s">
        <v>53</v>
      </c>
      <c r="H366" s="1" t="s">
        <v>791</v>
      </c>
      <c r="I366" s="1" t="s">
        <v>792</v>
      </c>
      <c r="J366" s="1" t="s">
        <v>46</v>
      </c>
      <c r="K366" t="s">
        <v>650</v>
      </c>
      <c r="M366" s="1" t="s">
        <v>58</v>
      </c>
      <c r="N366" s="1">
        <v>0</v>
      </c>
      <c r="O366" s="1" t="s">
        <v>105</v>
      </c>
      <c r="P366" s="11" t="s">
        <v>789</v>
      </c>
      <c r="R366" s="1">
        <v>4</v>
      </c>
      <c r="T366" s="1" t="s">
        <v>646</v>
      </c>
      <c r="U366" s="186">
        <v>44714.406597222223</v>
      </c>
      <c r="V366" s="1" t="s">
        <v>41</v>
      </c>
      <c r="W366" s="1" t="s">
        <v>49</v>
      </c>
      <c r="X366" s="13" t="str">
        <f t="shared" si="40"/>
        <v>4890.04</v>
      </c>
      <c r="Y366" s="2">
        <f t="shared" ca="1" si="35"/>
        <v>196</v>
      </c>
      <c r="Z366" s="14">
        <v>1</v>
      </c>
      <c r="AA366" s="1" t="str">
        <f t="shared" ca="1" si="36"/>
        <v>VENCIDO</v>
      </c>
      <c r="AB366" s="1" t="str">
        <f t="shared" si="37"/>
        <v>C-14</v>
      </c>
      <c r="AC366" s="2" t="str">
        <f t="shared" si="41"/>
        <v xml:space="preserve"> CLEITON </v>
      </c>
      <c r="AD366" s="2">
        <f t="shared" si="38"/>
        <v>15</v>
      </c>
      <c r="AE366" s="2">
        <f t="shared" ca="1" si="39"/>
        <v>-272.26967442129535</v>
      </c>
      <c r="AF366" s="15"/>
    </row>
    <row r="367" spans="1:32" hidden="1">
      <c r="A367" s="1">
        <v>8640512</v>
      </c>
      <c r="B367" s="1" t="s">
        <v>653</v>
      </c>
      <c r="C367" t="s">
        <v>3580</v>
      </c>
      <c r="E367" s="2">
        <v>4890031400030</v>
      </c>
      <c r="F367" s="1" t="s">
        <v>647</v>
      </c>
      <c r="G367" s="1" t="s">
        <v>53</v>
      </c>
      <c r="H367" s="1" t="s">
        <v>793</v>
      </c>
      <c r="I367" s="1" t="s">
        <v>794</v>
      </c>
      <c r="J367" s="1" t="s">
        <v>46</v>
      </c>
      <c r="K367" t="s">
        <v>650</v>
      </c>
      <c r="M367" s="1" t="s">
        <v>58</v>
      </c>
      <c r="N367" s="1">
        <v>0</v>
      </c>
      <c r="O367" s="1" t="s">
        <v>105</v>
      </c>
      <c r="P367" s="11" t="s">
        <v>789</v>
      </c>
      <c r="R367" s="1">
        <v>4</v>
      </c>
      <c r="T367" s="1" t="s">
        <v>646</v>
      </c>
      <c r="U367" s="186">
        <v>44714.406597222223</v>
      </c>
      <c r="V367" s="1" t="s">
        <v>41</v>
      </c>
      <c r="W367" s="1" t="s">
        <v>49</v>
      </c>
      <c r="X367" s="13" t="str">
        <f t="shared" si="40"/>
        <v>4890.03</v>
      </c>
      <c r="Y367" s="2">
        <f t="shared" ca="1" si="35"/>
        <v>196</v>
      </c>
      <c r="Z367" s="14">
        <v>1</v>
      </c>
      <c r="AA367" s="1" t="str">
        <f t="shared" ca="1" si="36"/>
        <v>VENCIDO</v>
      </c>
      <c r="AB367" s="1" t="str">
        <f t="shared" si="37"/>
        <v>C-14</v>
      </c>
      <c r="AC367" s="2" t="str">
        <f t="shared" si="41"/>
        <v xml:space="preserve"> CLEITON </v>
      </c>
      <c r="AD367" s="2">
        <f t="shared" si="38"/>
        <v>15</v>
      </c>
      <c r="AE367" s="2">
        <f t="shared" ca="1" si="39"/>
        <v>-272.26967442129535</v>
      </c>
      <c r="AF367" s="15"/>
    </row>
    <row r="368" spans="1:32" hidden="1">
      <c r="A368" s="1">
        <v>8640367</v>
      </c>
      <c r="B368" s="1" t="s">
        <v>653</v>
      </c>
      <c r="C368" t="s">
        <v>3580</v>
      </c>
      <c r="E368" s="2">
        <v>3237011400030</v>
      </c>
      <c r="F368" s="1" t="s">
        <v>647</v>
      </c>
      <c r="G368" s="1" t="s">
        <v>53</v>
      </c>
      <c r="H368" s="1" t="s">
        <v>795</v>
      </c>
      <c r="I368" s="1" t="s">
        <v>796</v>
      </c>
      <c r="J368" s="1" t="s">
        <v>46</v>
      </c>
      <c r="K368" t="s">
        <v>650</v>
      </c>
      <c r="M368" s="1" t="s">
        <v>58</v>
      </c>
      <c r="N368" s="1">
        <v>0</v>
      </c>
      <c r="O368" s="1" t="s">
        <v>105</v>
      </c>
      <c r="P368" s="11" t="s">
        <v>797</v>
      </c>
      <c r="R368" s="1">
        <v>4</v>
      </c>
      <c r="T368" s="1" t="s">
        <v>646</v>
      </c>
      <c r="U368" s="186">
        <v>44714.406099537038</v>
      </c>
      <c r="V368" s="1" t="s">
        <v>41</v>
      </c>
      <c r="W368" s="1" t="s">
        <v>49</v>
      </c>
      <c r="X368" s="13" t="str">
        <f t="shared" si="40"/>
        <v>3237.01</v>
      </c>
      <c r="Y368" s="2">
        <f t="shared" ca="1" si="35"/>
        <v>196</v>
      </c>
      <c r="Z368" s="14">
        <v>1</v>
      </c>
      <c r="AA368" s="1" t="str">
        <f t="shared" ca="1" si="36"/>
        <v>VENCIDO</v>
      </c>
      <c r="AB368" s="1" t="str">
        <f t="shared" si="37"/>
        <v>C-14</v>
      </c>
      <c r="AC368" s="2" t="str">
        <f t="shared" si="41"/>
        <v xml:space="preserve"> CLEITON </v>
      </c>
      <c r="AD368" s="2">
        <f t="shared" si="38"/>
        <v>15</v>
      </c>
      <c r="AE368" s="2">
        <f t="shared" ca="1" si="39"/>
        <v>-272.27017210648046</v>
      </c>
      <c r="AF368" s="15"/>
    </row>
    <row r="369" spans="1:32" hidden="1">
      <c r="A369" s="1">
        <v>8640366</v>
      </c>
      <c r="B369" s="1" t="s">
        <v>653</v>
      </c>
      <c r="C369" t="s">
        <v>3580</v>
      </c>
      <c r="E369" s="2">
        <v>3234171400030</v>
      </c>
      <c r="F369" s="1" t="s">
        <v>647</v>
      </c>
      <c r="G369" s="1" t="s">
        <v>53</v>
      </c>
      <c r="H369" s="1" t="s">
        <v>799</v>
      </c>
      <c r="I369" s="1" t="s">
        <v>800</v>
      </c>
      <c r="J369" s="1" t="s">
        <v>46</v>
      </c>
      <c r="K369" t="s">
        <v>650</v>
      </c>
      <c r="M369" s="1" t="s">
        <v>58</v>
      </c>
      <c r="N369" s="1">
        <v>0</v>
      </c>
      <c r="O369" s="1" t="s">
        <v>105</v>
      </c>
      <c r="P369" s="11" t="s">
        <v>797</v>
      </c>
      <c r="R369" s="1">
        <v>4</v>
      </c>
      <c r="T369" s="1" t="s">
        <v>646</v>
      </c>
      <c r="U369" s="186">
        <v>44714.406099537038</v>
      </c>
      <c r="V369" s="1" t="s">
        <v>41</v>
      </c>
      <c r="W369" s="1" t="s">
        <v>49</v>
      </c>
      <c r="X369" s="13" t="str">
        <f t="shared" si="40"/>
        <v>3234.17</v>
      </c>
      <c r="Y369" s="2">
        <f t="shared" ca="1" si="35"/>
        <v>196</v>
      </c>
      <c r="Z369" s="14">
        <v>1</v>
      </c>
      <c r="AA369" s="1" t="str">
        <f t="shared" ca="1" si="36"/>
        <v>VENCIDO</v>
      </c>
      <c r="AB369" s="1" t="str">
        <f t="shared" si="37"/>
        <v>C-14</v>
      </c>
      <c r="AC369" s="2" t="str">
        <f t="shared" si="41"/>
        <v xml:space="preserve"> CLEITON </v>
      </c>
      <c r="AD369" s="2">
        <f t="shared" si="38"/>
        <v>15</v>
      </c>
      <c r="AE369" s="2">
        <f t="shared" ca="1" si="39"/>
        <v>-272.27017210648046</v>
      </c>
      <c r="AF369" s="15"/>
    </row>
    <row r="370" spans="1:32" hidden="1">
      <c r="A370" s="1">
        <v>8640364</v>
      </c>
      <c r="B370" s="1" t="s">
        <v>653</v>
      </c>
      <c r="C370" t="s">
        <v>3580</v>
      </c>
      <c r="E370" s="2">
        <v>3234151400030</v>
      </c>
      <c r="F370" s="1" t="s">
        <v>647</v>
      </c>
      <c r="G370" s="1" t="s">
        <v>53</v>
      </c>
      <c r="H370" s="1" t="s">
        <v>629</v>
      </c>
      <c r="I370" s="1" t="s">
        <v>630</v>
      </c>
      <c r="J370" s="1" t="s">
        <v>46</v>
      </c>
      <c r="K370" t="s">
        <v>650</v>
      </c>
      <c r="M370" s="1" t="s">
        <v>58</v>
      </c>
      <c r="N370" s="1">
        <v>0</v>
      </c>
      <c r="O370" s="1" t="s">
        <v>105</v>
      </c>
      <c r="P370" s="11" t="s">
        <v>797</v>
      </c>
      <c r="R370" s="1">
        <v>4</v>
      </c>
      <c r="T370" s="1" t="s">
        <v>646</v>
      </c>
      <c r="U370" s="186">
        <v>44714.406099537038</v>
      </c>
      <c r="V370" s="1" t="s">
        <v>41</v>
      </c>
      <c r="W370" s="1" t="s">
        <v>49</v>
      </c>
      <c r="X370" s="13" t="str">
        <f t="shared" si="40"/>
        <v>3234.15</v>
      </c>
      <c r="Y370" s="2">
        <f t="shared" ca="1" si="35"/>
        <v>196</v>
      </c>
      <c r="Z370" s="14">
        <v>1</v>
      </c>
      <c r="AA370" s="1" t="str">
        <f t="shared" ca="1" si="36"/>
        <v>VENCIDO</v>
      </c>
      <c r="AB370" s="1" t="str">
        <f t="shared" si="37"/>
        <v>C-14</v>
      </c>
      <c r="AC370" s="2" t="str">
        <f t="shared" si="41"/>
        <v xml:space="preserve"> CLEITON </v>
      </c>
      <c r="AD370" s="2">
        <f t="shared" si="38"/>
        <v>15</v>
      </c>
      <c r="AE370" s="2">
        <f t="shared" ca="1" si="39"/>
        <v>-272.27017210648046</v>
      </c>
      <c r="AF370" s="15"/>
    </row>
    <row r="371" spans="1:32" hidden="1">
      <c r="A371" s="1">
        <v>8640315</v>
      </c>
      <c r="B371" s="1" t="s">
        <v>653</v>
      </c>
      <c r="C371" t="s">
        <v>3580</v>
      </c>
      <c r="E371" s="2">
        <v>2889031400030</v>
      </c>
      <c r="F371" s="1" t="s">
        <v>647</v>
      </c>
      <c r="G371" s="1" t="s">
        <v>53</v>
      </c>
      <c r="H371" s="1" t="s">
        <v>801</v>
      </c>
      <c r="I371" s="1" t="s">
        <v>802</v>
      </c>
      <c r="J371" s="1" t="s">
        <v>46</v>
      </c>
      <c r="K371" t="s">
        <v>650</v>
      </c>
      <c r="M371" s="1" t="s">
        <v>58</v>
      </c>
      <c r="N371" s="1">
        <v>0</v>
      </c>
      <c r="O371" s="1" t="s">
        <v>105</v>
      </c>
      <c r="P371" s="11" t="s">
        <v>803</v>
      </c>
      <c r="R371" s="1">
        <v>4</v>
      </c>
      <c r="T371" s="1" t="s">
        <v>646</v>
      </c>
      <c r="U371" s="186">
        <v>44714.406041666669</v>
      </c>
      <c r="V371" s="1" t="s">
        <v>41</v>
      </c>
      <c r="W371" s="1" t="s">
        <v>49</v>
      </c>
      <c r="X371" s="13" t="str">
        <f t="shared" si="40"/>
        <v>2889.03</v>
      </c>
      <c r="Y371" s="2">
        <f t="shared" ca="1" si="35"/>
        <v>196</v>
      </c>
      <c r="Z371" s="14">
        <v>1</v>
      </c>
      <c r="AA371" s="1" t="str">
        <f t="shared" ca="1" si="36"/>
        <v>VENCIDO</v>
      </c>
      <c r="AB371" s="1" t="str">
        <f t="shared" si="37"/>
        <v>C-14</v>
      </c>
      <c r="AC371" s="2" t="str">
        <f t="shared" si="41"/>
        <v xml:space="preserve"> CLEITON </v>
      </c>
      <c r="AD371" s="2">
        <f t="shared" si="38"/>
        <v>15</v>
      </c>
      <c r="AE371" s="2">
        <f t="shared" ca="1" si="39"/>
        <v>-272.27022997684981</v>
      </c>
      <c r="AF371" s="15"/>
    </row>
    <row r="372" spans="1:32" hidden="1">
      <c r="A372" s="1">
        <v>8640314</v>
      </c>
      <c r="B372" s="1" t="s">
        <v>653</v>
      </c>
      <c r="C372" t="s">
        <v>3580</v>
      </c>
      <c r="E372" s="2">
        <v>2889011400030</v>
      </c>
      <c r="F372" s="1" t="s">
        <v>647</v>
      </c>
      <c r="G372" s="1" t="s">
        <v>53</v>
      </c>
      <c r="H372" s="1" t="s">
        <v>805</v>
      </c>
      <c r="I372" s="1" t="s">
        <v>806</v>
      </c>
      <c r="J372" s="1" t="s">
        <v>46</v>
      </c>
      <c r="K372" t="s">
        <v>650</v>
      </c>
      <c r="M372" s="1" t="s">
        <v>58</v>
      </c>
      <c r="N372" s="1">
        <v>0</v>
      </c>
      <c r="O372" s="1" t="s">
        <v>105</v>
      </c>
      <c r="P372" s="11" t="s">
        <v>803</v>
      </c>
      <c r="R372" s="1">
        <v>4</v>
      </c>
      <c r="T372" s="1" t="s">
        <v>646</v>
      </c>
      <c r="U372" s="186">
        <v>44714.406030092592</v>
      </c>
      <c r="V372" s="1" t="s">
        <v>41</v>
      </c>
      <c r="W372" s="1" t="s">
        <v>49</v>
      </c>
      <c r="X372" s="13" t="str">
        <f t="shared" si="40"/>
        <v>2889.01</v>
      </c>
      <c r="Y372" s="2">
        <f t="shared" ca="1" si="35"/>
        <v>196</v>
      </c>
      <c r="Z372" s="14">
        <v>1</v>
      </c>
      <c r="AA372" s="1" t="str">
        <f t="shared" ca="1" si="36"/>
        <v>VENCIDO</v>
      </c>
      <c r="AB372" s="1" t="str">
        <f t="shared" si="37"/>
        <v>C-14</v>
      </c>
      <c r="AC372" s="2" t="str">
        <f t="shared" si="41"/>
        <v xml:space="preserve"> CLEITON </v>
      </c>
      <c r="AD372" s="2">
        <f t="shared" si="38"/>
        <v>15</v>
      </c>
      <c r="AE372" s="2">
        <f t="shared" ca="1" si="39"/>
        <v>-272.27024155092658</v>
      </c>
      <c r="AF372" s="15"/>
    </row>
    <row r="373" spans="1:32" hidden="1">
      <c r="A373" s="1">
        <v>8640259</v>
      </c>
      <c r="B373" s="1" t="s">
        <v>653</v>
      </c>
      <c r="C373" t="s">
        <v>3580</v>
      </c>
      <c r="E373" s="2">
        <v>2365131400030</v>
      </c>
      <c r="F373" s="1" t="s">
        <v>647</v>
      </c>
      <c r="G373" s="1" t="s">
        <v>53</v>
      </c>
      <c r="H373" s="1" t="s">
        <v>807</v>
      </c>
      <c r="I373" s="1" t="s">
        <v>808</v>
      </c>
      <c r="J373" s="1" t="s">
        <v>46</v>
      </c>
      <c r="K373" t="s">
        <v>650</v>
      </c>
      <c r="M373" s="1" t="s">
        <v>58</v>
      </c>
      <c r="N373" s="1">
        <v>0</v>
      </c>
      <c r="O373" s="1" t="s">
        <v>105</v>
      </c>
      <c r="P373" s="11" t="s">
        <v>809</v>
      </c>
      <c r="R373" s="1">
        <v>4</v>
      </c>
      <c r="T373" s="1" t="s">
        <v>646</v>
      </c>
      <c r="U373" s="186">
        <v>44714.405856481484</v>
      </c>
      <c r="V373" s="1" t="s">
        <v>41</v>
      </c>
      <c r="W373" s="1" t="s">
        <v>49</v>
      </c>
      <c r="X373" s="13" t="str">
        <f t="shared" si="40"/>
        <v>2365.13</v>
      </c>
      <c r="Y373" s="2">
        <f t="shared" ca="1" si="35"/>
        <v>196</v>
      </c>
      <c r="Z373" s="14">
        <v>1</v>
      </c>
      <c r="AA373" s="1" t="str">
        <f t="shared" ca="1" si="36"/>
        <v>VENCIDO</v>
      </c>
      <c r="AB373" s="1" t="str">
        <f t="shared" si="37"/>
        <v>C-14</v>
      </c>
      <c r="AC373" s="2" t="str">
        <f t="shared" si="41"/>
        <v xml:space="preserve"> CLEITON </v>
      </c>
      <c r="AD373" s="2">
        <f t="shared" si="38"/>
        <v>15</v>
      </c>
      <c r="AE373" s="2">
        <f t="shared" ca="1" si="39"/>
        <v>-272.27041516203462</v>
      </c>
      <c r="AF373" s="15"/>
    </row>
    <row r="374" spans="1:32" hidden="1">
      <c r="A374" s="1">
        <v>8640213</v>
      </c>
      <c r="B374" s="1" t="s">
        <v>653</v>
      </c>
      <c r="C374" t="s">
        <v>3580</v>
      </c>
      <c r="E374" s="2">
        <v>1833041400030</v>
      </c>
      <c r="F374" s="1" t="s">
        <v>647</v>
      </c>
      <c r="G374" s="1" t="s">
        <v>53</v>
      </c>
      <c r="H374" s="1" t="s">
        <v>811</v>
      </c>
      <c r="I374" s="1" t="s">
        <v>812</v>
      </c>
      <c r="J374" s="1" t="s">
        <v>46</v>
      </c>
      <c r="K374" t="s">
        <v>650</v>
      </c>
      <c r="M374" s="1" t="s">
        <v>58</v>
      </c>
      <c r="N374" s="1">
        <v>0</v>
      </c>
      <c r="O374" s="1" t="s">
        <v>105</v>
      </c>
      <c r="P374" s="11" t="s">
        <v>813</v>
      </c>
      <c r="R374" s="1">
        <v>4</v>
      </c>
      <c r="T374" s="1" t="s">
        <v>646</v>
      </c>
      <c r="U374" s="186">
        <v>44714.405787037038</v>
      </c>
      <c r="V374" s="1" t="s">
        <v>41</v>
      </c>
      <c r="W374" s="1" t="s">
        <v>49</v>
      </c>
      <c r="X374" s="13" t="str">
        <f t="shared" si="40"/>
        <v>1833.04</v>
      </c>
      <c r="Y374" s="2">
        <f t="shared" ca="1" si="35"/>
        <v>196</v>
      </c>
      <c r="Z374" s="14">
        <v>1</v>
      </c>
      <c r="AA374" s="1" t="str">
        <f t="shared" ca="1" si="36"/>
        <v>VENCIDO</v>
      </c>
      <c r="AB374" s="1" t="str">
        <f t="shared" si="37"/>
        <v>C-14</v>
      </c>
      <c r="AC374" s="2" t="str">
        <f t="shared" si="41"/>
        <v xml:space="preserve"> CLEITON </v>
      </c>
      <c r="AD374" s="2">
        <f t="shared" si="38"/>
        <v>15</v>
      </c>
      <c r="AE374" s="2">
        <f t="shared" ca="1" si="39"/>
        <v>-272.27048460648075</v>
      </c>
      <c r="AF374" s="15"/>
    </row>
    <row r="375" spans="1:32" hidden="1">
      <c r="A375" s="1">
        <v>8640115</v>
      </c>
      <c r="B375" s="1" t="s">
        <v>653</v>
      </c>
      <c r="C375" t="s">
        <v>3580</v>
      </c>
      <c r="E375" s="2">
        <v>1120011400030</v>
      </c>
      <c r="F375" s="1" t="s">
        <v>647</v>
      </c>
      <c r="G375" s="1" t="s">
        <v>53</v>
      </c>
      <c r="H375" s="1" t="s">
        <v>648</v>
      </c>
      <c r="I375" s="1" t="s">
        <v>649</v>
      </c>
      <c r="J375" s="1" t="s">
        <v>164</v>
      </c>
      <c r="K375" t="s">
        <v>650</v>
      </c>
      <c r="M375" s="1" t="s">
        <v>58</v>
      </c>
      <c r="N375" s="1">
        <v>0</v>
      </c>
      <c r="O375" s="1" t="s">
        <v>105</v>
      </c>
      <c r="P375" s="11" t="s">
        <v>815</v>
      </c>
      <c r="R375" s="1">
        <v>4</v>
      </c>
      <c r="T375" s="1" t="s">
        <v>646</v>
      </c>
      <c r="U375" s="186">
        <v>44714.405532407407</v>
      </c>
      <c r="V375" s="1" t="s">
        <v>41</v>
      </c>
      <c r="W375" s="1" t="s">
        <v>49</v>
      </c>
      <c r="X375" s="13" t="str">
        <f t="shared" si="40"/>
        <v>1120.01</v>
      </c>
      <c r="Y375" s="2">
        <f t="shared" ca="1" si="35"/>
        <v>196</v>
      </c>
      <c r="Z375" s="14">
        <v>1</v>
      </c>
      <c r="AA375" s="1" t="str">
        <f t="shared" ca="1" si="36"/>
        <v>VENCIDO</v>
      </c>
      <c r="AB375" s="1" t="str">
        <f t="shared" si="37"/>
        <v>C-14</v>
      </c>
      <c r="AC375" s="2" t="str">
        <f t="shared" si="41"/>
        <v xml:space="preserve"> ROSEMERE </v>
      </c>
      <c r="AD375" s="2">
        <f t="shared" si="38"/>
        <v>15</v>
      </c>
      <c r="AE375" s="2">
        <f t="shared" ca="1" si="39"/>
        <v>-272.27073923611169</v>
      </c>
      <c r="AF375" s="15"/>
    </row>
    <row r="376" spans="1:32" hidden="1">
      <c r="A376" s="1">
        <v>8640085</v>
      </c>
      <c r="B376" s="1" t="s">
        <v>653</v>
      </c>
      <c r="C376" t="s">
        <v>3580</v>
      </c>
      <c r="E376" s="2">
        <v>821071400030</v>
      </c>
      <c r="F376" s="1" t="s">
        <v>647</v>
      </c>
      <c r="G376" s="1" t="s">
        <v>53</v>
      </c>
      <c r="H376" s="1" t="s">
        <v>817</v>
      </c>
      <c r="I376" s="1" t="s">
        <v>818</v>
      </c>
      <c r="J376" s="1" t="s">
        <v>46</v>
      </c>
      <c r="K376" t="s">
        <v>650</v>
      </c>
      <c r="M376" s="1" t="s">
        <v>58</v>
      </c>
      <c r="N376" s="1">
        <v>0</v>
      </c>
      <c r="O376" s="1" t="s">
        <v>105</v>
      </c>
      <c r="P376" s="11" t="s">
        <v>819</v>
      </c>
      <c r="R376" s="1">
        <v>4</v>
      </c>
      <c r="T376" s="1" t="s">
        <v>646</v>
      </c>
      <c r="U376" s="186">
        <v>44714.405486111114</v>
      </c>
      <c r="V376" s="1" t="s">
        <v>41</v>
      </c>
      <c r="W376" s="1" t="s">
        <v>49</v>
      </c>
      <c r="X376" s="13" t="str">
        <f t="shared" si="40"/>
        <v>0821.07</v>
      </c>
      <c r="Y376" s="2">
        <f t="shared" ca="1" si="35"/>
        <v>196</v>
      </c>
      <c r="Z376" s="14">
        <v>1</v>
      </c>
      <c r="AA376" s="1" t="str">
        <f t="shared" ca="1" si="36"/>
        <v>VENCIDO</v>
      </c>
      <c r="AB376" s="1" t="str">
        <f t="shared" si="37"/>
        <v>C-14</v>
      </c>
      <c r="AC376" s="2" t="str">
        <f t="shared" si="41"/>
        <v xml:space="preserve"> CLEITON </v>
      </c>
      <c r="AD376" s="2">
        <f t="shared" si="38"/>
        <v>15</v>
      </c>
      <c r="AE376" s="2">
        <f t="shared" ca="1" si="39"/>
        <v>-272.27078553240426</v>
      </c>
      <c r="AF376" s="15"/>
    </row>
    <row r="377" spans="1:32" hidden="1">
      <c r="A377" s="1">
        <v>8640000</v>
      </c>
      <c r="B377" s="1" t="s">
        <v>653</v>
      </c>
      <c r="C377" t="s">
        <v>3580</v>
      </c>
      <c r="E377" s="2">
        <v>325091400030</v>
      </c>
      <c r="F377" s="1" t="s">
        <v>647</v>
      </c>
      <c r="G377" s="1" t="s">
        <v>53</v>
      </c>
      <c r="H377" s="1" t="s">
        <v>821</v>
      </c>
      <c r="I377" s="1" t="s">
        <v>822</v>
      </c>
      <c r="J377" s="1" t="s">
        <v>46</v>
      </c>
      <c r="K377" t="s">
        <v>650</v>
      </c>
      <c r="M377" s="1" t="s">
        <v>58</v>
      </c>
      <c r="N377" s="1">
        <v>0</v>
      </c>
      <c r="O377" s="1" t="s">
        <v>105</v>
      </c>
      <c r="P377" s="11" t="s">
        <v>823</v>
      </c>
      <c r="R377" s="1">
        <v>4</v>
      </c>
      <c r="T377" s="1" t="s">
        <v>646</v>
      </c>
      <c r="U377" s="186">
        <v>44714.405138888891</v>
      </c>
      <c r="V377" s="1" t="s">
        <v>41</v>
      </c>
      <c r="W377" s="1" t="s">
        <v>49</v>
      </c>
      <c r="X377" s="13" t="str">
        <f t="shared" si="40"/>
        <v>0325.09</v>
      </c>
      <c r="Y377" s="2">
        <f t="shared" ca="1" si="35"/>
        <v>196</v>
      </c>
      <c r="Z377" s="14">
        <v>1</v>
      </c>
      <c r="AA377" s="1" t="str">
        <f t="shared" ca="1" si="36"/>
        <v>VENCIDO</v>
      </c>
      <c r="AB377" s="1" t="str">
        <f t="shared" si="37"/>
        <v>C-14</v>
      </c>
      <c r="AC377" s="2" t="str">
        <f t="shared" si="41"/>
        <v xml:space="preserve"> CLEITON </v>
      </c>
      <c r="AD377" s="2">
        <f t="shared" si="38"/>
        <v>15</v>
      </c>
      <c r="AE377" s="2">
        <f t="shared" ca="1" si="39"/>
        <v>-272.27113275462762</v>
      </c>
      <c r="AF377" s="15"/>
    </row>
    <row r="378" spans="1:32" hidden="1">
      <c r="A378" s="1">
        <v>8639902</v>
      </c>
      <c r="B378" s="1" t="s">
        <v>653</v>
      </c>
      <c r="C378" t="s">
        <v>3580</v>
      </c>
      <c r="E378" s="2">
        <v>69161400030</v>
      </c>
      <c r="F378" s="1" t="s">
        <v>647</v>
      </c>
      <c r="G378" s="1" t="s">
        <v>53</v>
      </c>
      <c r="H378" s="1" t="s">
        <v>234</v>
      </c>
      <c r="I378" s="1" t="s">
        <v>235</v>
      </c>
      <c r="J378" s="1" t="s">
        <v>33</v>
      </c>
      <c r="K378" t="s">
        <v>650</v>
      </c>
      <c r="M378" s="1" t="s">
        <v>58</v>
      </c>
      <c r="N378" s="1">
        <v>0</v>
      </c>
      <c r="O378" s="1" t="s">
        <v>105</v>
      </c>
      <c r="P378" s="11" t="s">
        <v>825</v>
      </c>
      <c r="R378" s="1">
        <v>4</v>
      </c>
      <c r="T378" s="1" t="s">
        <v>646</v>
      </c>
      <c r="U378" s="186">
        <v>44714.404826388891</v>
      </c>
      <c r="V378" s="1" t="s">
        <v>41</v>
      </c>
      <c r="W378" s="1" t="s">
        <v>42</v>
      </c>
      <c r="X378" s="13" t="str">
        <f t="shared" si="40"/>
        <v>0069.16</v>
      </c>
      <c r="Y378" s="2">
        <f t="shared" ca="1" si="35"/>
        <v>196</v>
      </c>
      <c r="Z378" s="14">
        <v>1</v>
      </c>
      <c r="AA378" s="1" t="str">
        <f t="shared" ca="1" si="36"/>
        <v>VENCIDO</v>
      </c>
      <c r="AB378" s="1" t="str">
        <f t="shared" si="37"/>
        <v>C-14</v>
      </c>
      <c r="AC378" s="2" t="str">
        <f t="shared" si="41"/>
        <v xml:space="preserve"> ROSEMERE </v>
      </c>
      <c r="AD378" s="2">
        <f t="shared" si="38"/>
        <v>15</v>
      </c>
      <c r="AE378" s="2">
        <f t="shared" ca="1" si="39"/>
        <v>-272.27144525462791</v>
      </c>
      <c r="AF378" s="15"/>
    </row>
    <row r="379" spans="1:32" hidden="1">
      <c r="A379" s="1">
        <v>8639870</v>
      </c>
      <c r="B379" s="1" t="s">
        <v>653</v>
      </c>
      <c r="C379" t="s">
        <v>3580</v>
      </c>
      <c r="E379" s="2">
        <v>7651400030</v>
      </c>
      <c r="F379" s="1" t="s">
        <v>647</v>
      </c>
      <c r="G379" s="1" t="s">
        <v>53</v>
      </c>
      <c r="H379" s="1" t="s">
        <v>827</v>
      </c>
      <c r="I379" s="1" t="s">
        <v>828</v>
      </c>
      <c r="J379" s="1" t="s">
        <v>46</v>
      </c>
      <c r="K379" t="s">
        <v>650</v>
      </c>
      <c r="M379" s="1" t="s">
        <v>58</v>
      </c>
      <c r="N379" s="1">
        <v>0</v>
      </c>
      <c r="O379" s="1" t="s">
        <v>105</v>
      </c>
      <c r="P379" s="11" t="s">
        <v>829</v>
      </c>
      <c r="R379" s="1">
        <v>4</v>
      </c>
      <c r="T379" s="1" t="s">
        <v>646</v>
      </c>
      <c r="U379" s="186">
        <v>44714.404780092591</v>
      </c>
      <c r="V379" s="1" t="s">
        <v>41</v>
      </c>
      <c r="W379" s="1" t="s">
        <v>49</v>
      </c>
      <c r="X379" s="13" t="str">
        <f t="shared" si="40"/>
        <v>0007.65</v>
      </c>
      <c r="Y379" s="2">
        <f t="shared" ca="1" si="35"/>
        <v>196</v>
      </c>
      <c r="Z379" s="14">
        <v>1</v>
      </c>
      <c r="AA379" s="1" t="str">
        <f t="shared" ca="1" si="36"/>
        <v>VENCIDO</v>
      </c>
      <c r="AB379" s="1" t="str">
        <f t="shared" si="37"/>
        <v>C-14</v>
      </c>
      <c r="AC379" s="2" t="str">
        <f t="shared" si="41"/>
        <v xml:space="preserve"> CLEITON </v>
      </c>
      <c r="AD379" s="2">
        <f t="shared" si="38"/>
        <v>15</v>
      </c>
      <c r="AE379" s="2">
        <f t="shared" ca="1" si="39"/>
        <v>-272.27149155092775</v>
      </c>
      <c r="AF379" s="15"/>
    </row>
    <row r="380" spans="1:32" hidden="1">
      <c r="A380" s="1">
        <v>8639844</v>
      </c>
      <c r="B380" s="1" t="s">
        <v>653</v>
      </c>
      <c r="C380" t="s">
        <v>3580</v>
      </c>
      <c r="E380" s="2">
        <v>8573001400030</v>
      </c>
      <c r="F380" s="1" t="s">
        <v>647</v>
      </c>
      <c r="G380" s="1" t="s">
        <v>53</v>
      </c>
      <c r="H380" s="1" t="s">
        <v>657</v>
      </c>
      <c r="I380" s="1" t="s">
        <v>658</v>
      </c>
      <c r="J380" s="1" t="s">
        <v>33</v>
      </c>
      <c r="K380" t="s">
        <v>650</v>
      </c>
      <c r="M380" s="1" t="s">
        <v>58</v>
      </c>
      <c r="N380" s="1">
        <v>0</v>
      </c>
      <c r="O380" s="1" t="s">
        <v>105</v>
      </c>
      <c r="P380" s="11" t="s">
        <v>831</v>
      </c>
      <c r="R380" s="1">
        <v>4</v>
      </c>
      <c r="T380" s="1" t="s">
        <v>646</v>
      </c>
      <c r="U380" s="186">
        <v>44714.40457175926</v>
      </c>
      <c r="V380" s="1" t="s">
        <v>41</v>
      </c>
      <c r="W380" s="1" t="s">
        <v>49</v>
      </c>
      <c r="X380" s="13" t="str">
        <f t="shared" si="40"/>
        <v/>
      </c>
      <c r="Y380" s="2">
        <f t="shared" ca="1" si="35"/>
        <v>196</v>
      </c>
      <c r="Z380" s="14">
        <v>1</v>
      </c>
      <c r="AA380" s="1" t="str">
        <f t="shared" ca="1" si="36"/>
        <v>VENCIDO</v>
      </c>
      <c r="AB380" s="1" t="str">
        <f t="shared" si="37"/>
        <v>C-14</v>
      </c>
      <c r="AC380" s="2" t="str">
        <f t="shared" si="41"/>
        <v xml:space="preserve"> ROSEMERE </v>
      </c>
      <c r="AD380" s="2">
        <f t="shared" si="38"/>
        <v>15</v>
      </c>
      <c r="AE380" s="2">
        <f t="shared" ca="1" si="39"/>
        <v>-272.27169988425885</v>
      </c>
      <c r="AF380" s="15"/>
    </row>
    <row r="381" spans="1:32" hidden="1">
      <c r="A381" s="1">
        <v>8639813</v>
      </c>
      <c r="B381" s="1" t="s">
        <v>653</v>
      </c>
      <c r="C381" t="s">
        <v>3580</v>
      </c>
      <c r="E381" s="2">
        <v>8973001400030</v>
      </c>
      <c r="F381" s="1" t="s">
        <v>647</v>
      </c>
      <c r="G381" s="1" t="s">
        <v>53</v>
      </c>
      <c r="H381" s="1" t="s">
        <v>661</v>
      </c>
      <c r="I381" s="1" t="s">
        <v>662</v>
      </c>
      <c r="J381" s="1" t="s">
        <v>46</v>
      </c>
      <c r="K381" t="s">
        <v>650</v>
      </c>
      <c r="M381" s="1" t="s">
        <v>58</v>
      </c>
      <c r="N381" s="1">
        <v>0</v>
      </c>
      <c r="O381" s="1" t="s">
        <v>105</v>
      </c>
      <c r="P381" s="11" t="s">
        <v>833</v>
      </c>
      <c r="R381" s="1">
        <v>4</v>
      </c>
      <c r="T381" s="1" t="s">
        <v>646</v>
      </c>
      <c r="U381" s="186">
        <v>44714.404537037037</v>
      </c>
      <c r="V381" s="1" t="s">
        <v>41</v>
      </c>
      <c r="W381" s="1" t="s">
        <v>49</v>
      </c>
      <c r="X381" s="13" t="str">
        <f t="shared" si="40"/>
        <v/>
      </c>
      <c r="Y381" s="2">
        <f t="shared" ca="1" si="35"/>
        <v>196</v>
      </c>
      <c r="Z381" s="14">
        <v>1</v>
      </c>
      <c r="AA381" s="1" t="str">
        <f t="shared" ca="1" si="36"/>
        <v>VENCIDO</v>
      </c>
      <c r="AB381" s="1" t="str">
        <f t="shared" si="37"/>
        <v>C-14</v>
      </c>
      <c r="AC381" s="2" t="str">
        <f t="shared" si="41"/>
        <v xml:space="preserve"> CLEITON </v>
      </c>
      <c r="AD381" s="2">
        <f t="shared" si="38"/>
        <v>15</v>
      </c>
      <c r="AE381" s="2">
        <f t="shared" ca="1" si="39"/>
        <v>-272.27173460648191</v>
      </c>
      <c r="AF381" s="15"/>
    </row>
    <row r="382" spans="1:32" hidden="1">
      <c r="A382" s="1">
        <v>8639796</v>
      </c>
      <c r="B382" s="1" t="s">
        <v>653</v>
      </c>
      <c r="C382" t="s">
        <v>3580</v>
      </c>
      <c r="E382" s="2">
        <v>8633001400030</v>
      </c>
      <c r="F382" s="1" t="s">
        <v>647</v>
      </c>
      <c r="G382" s="1" t="s">
        <v>53</v>
      </c>
      <c r="H382" s="1" t="s">
        <v>835</v>
      </c>
      <c r="I382" s="1" t="s">
        <v>836</v>
      </c>
      <c r="J382" s="1" t="s">
        <v>46</v>
      </c>
      <c r="K382" t="s">
        <v>650</v>
      </c>
      <c r="M382" s="1" t="s">
        <v>58</v>
      </c>
      <c r="N382" s="1">
        <v>0</v>
      </c>
      <c r="O382" s="1" t="s">
        <v>105</v>
      </c>
      <c r="P382" s="11" t="s">
        <v>837</v>
      </c>
      <c r="R382" s="1">
        <v>4</v>
      </c>
      <c r="T382" s="1" t="s">
        <v>646</v>
      </c>
      <c r="U382" s="186">
        <v>44714.404513888891</v>
      </c>
      <c r="V382" s="1" t="s">
        <v>41</v>
      </c>
      <c r="W382" s="1" t="s">
        <v>49</v>
      </c>
      <c r="X382" s="13" t="str">
        <f t="shared" si="40"/>
        <v/>
      </c>
      <c r="Y382" s="2">
        <f t="shared" ca="1" si="35"/>
        <v>196</v>
      </c>
      <c r="Z382" s="14">
        <v>1</v>
      </c>
      <c r="AA382" s="1" t="str">
        <f t="shared" ca="1" si="36"/>
        <v>VENCIDO</v>
      </c>
      <c r="AB382" s="1" t="str">
        <f t="shared" si="37"/>
        <v>C-14</v>
      </c>
      <c r="AC382" s="2" t="str">
        <f t="shared" si="41"/>
        <v xml:space="preserve"> CLEITON </v>
      </c>
      <c r="AD382" s="2">
        <f t="shared" si="38"/>
        <v>15</v>
      </c>
      <c r="AE382" s="2">
        <f t="shared" ca="1" si="39"/>
        <v>-272.2717577546282</v>
      </c>
      <c r="AF382" s="15"/>
    </row>
    <row r="383" spans="1:32" hidden="1">
      <c r="A383" s="1">
        <v>8639265</v>
      </c>
      <c r="B383" s="1" t="s">
        <v>653</v>
      </c>
      <c r="C383" t="s">
        <v>3580</v>
      </c>
      <c r="E383" s="2">
        <v>5898001400030</v>
      </c>
      <c r="F383" s="1" t="s">
        <v>647</v>
      </c>
      <c r="G383" s="1" t="s">
        <v>53</v>
      </c>
      <c r="H383" s="1" t="s">
        <v>365</v>
      </c>
      <c r="I383" s="1" t="s">
        <v>366</v>
      </c>
      <c r="J383" s="1" t="s">
        <v>164</v>
      </c>
      <c r="K383" t="s">
        <v>650</v>
      </c>
      <c r="M383" s="1" t="s">
        <v>58</v>
      </c>
      <c r="N383" s="1">
        <v>0</v>
      </c>
      <c r="O383" s="1" t="s">
        <v>105</v>
      </c>
      <c r="P383" s="11" t="s">
        <v>3438</v>
      </c>
      <c r="R383" s="1">
        <v>4</v>
      </c>
      <c r="T383" s="1" t="s">
        <v>646</v>
      </c>
      <c r="U383" s="186">
        <v>44714.403090277781</v>
      </c>
      <c r="V383" s="1" t="s">
        <v>41</v>
      </c>
      <c r="W383" s="1" t="s">
        <v>49</v>
      </c>
      <c r="X383" s="13" t="str">
        <f t="shared" si="40"/>
        <v/>
      </c>
      <c r="Y383" s="2">
        <f t="shared" ca="1" si="35"/>
        <v>196</v>
      </c>
      <c r="Z383" s="14">
        <v>1</v>
      </c>
      <c r="AA383" s="1" t="str">
        <f t="shared" ca="1" si="36"/>
        <v>VENCIDO</v>
      </c>
      <c r="AB383" s="1" t="str">
        <f t="shared" si="37"/>
        <v>C-14</v>
      </c>
      <c r="AC383" s="2" t="str">
        <f t="shared" si="41"/>
        <v xml:space="preserve"> ROSEMERE </v>
      </c>
      <c r="AD383" s="2">
        <f t="shared" si="38"/>
        <v>15</v>
      </c>
      <c r="AE383" s="2">
        <f t="shared" ca="1" si="39"/>
        <v>-272.2731813657374</v>
      </c>
      <c r="AF383" s="15"/>
    </row>
    <row r="384" spans="1:32" hidden="1">
      <c r="A384" s="1">
        <v>8639240</v>
      </c>
      <c r="B384" s="1" t="s">
        <v>653</v>
      </c>
      <c r="C384" t="s">
        <v>3580</v>
      </c>
      <c r="E384" s="2">
        <v>5816001400030</v>
      </c>
      <c r="F384" s="1" t="s">
        <v>647</v>
      </c>
      <c r="G384" s="1" t="s">
        <v>53</v>
      </c>
      <c r="H384" s="1" t="s">
        <v>412</v>
      </c>
      <c r="I384" s="1" t="s">
        <v>413</v>
      </c>
      <c r="J384" s="1" t="s">
        <v>46</v>
      </c>
      <c r="K384" t="s">
        <v>650</v>
      </c>
      <c r="M384" s="1" t="s">
        <v>58</v>
      </c>
      <c r="N384" s="1">
        <v>0</v>
      </c>
      <c r="O384" s="1" t="s">
        <v>105</v>
      </c>
      <c r="P384" s="11" t="s">
        <v>839</v>
      </c>
      <c r="R384" s="1">
        <v>4</v>
      </c>
      <c r="T384" s="1" t="s">
        <v>646</v>
      </c>
      <c r="U384" s="186">
        <v>44714.403055555558</v>
      </c>
      <c r="V384" s="1" t="s">
        <v>41</v>
      </c>
      <c r="W384" s="1" t="s">
        <v>49</v>
      </c>
      <c r="X384" s="13" t="str">
        <f t="shared" si="40"/>
        <v/>
      </c>
      <c r="Y384" s="2">
        <f t="shared" ca="1" si="35"/>
        <v>196</v>
      </c>
      <c r="Z384" s="14">
        <v>1</v>
      </c>
      <c r="AA384" s="1" t="str">
        <f t="shared" ca="1" si="36"/>
        <v>VENCIDO</v>
      </c>
      <c r="AB384" s="1" t="str">
        <f t="shared" si="37"/>
        <v>C-14</v>
      </c>
      <c r="AC384" s="2" t="str">
        <f t="shared" si="41"/>
        <v xml:space="preserve"> CLEITON </v>
      </c>
      <c r="AD384" s="2">
        <f t="shared" si="38"/>
        <v>15</v>
      </c>
      <c r="AE384" s="2">
        <f t="shared" ca="1" si="39"/>
        <v>-272.27321608796046</v>
      </c>
      <c r="AF384" s="15"/>
    </row>
    <row r="385" spans="1:32" hidden="1">
      <c r="A385" s="1">
        <v>8639199</v>
      </c>
      <c r="B385" s="1" t="s">
        <v>653</v>
      </c>
      <c r="C385" t="s">
        <v>3580</v>
      </c>
      <c r="E385" s="2">
        <v>5755001400030</v>
      </c>
      <c r="F385" s="1" t="s">
        <v>647</v>
      </c>
      <c r="G385" s="1" t="s">
        <v>53</v>
      </c>
      <c r="H385" s="1" t="s">
        <v>841</v>
      </c>
      <c r="I385" s="1" t="s">
        <v>842</v>
      </c>
      <c r="J385" s="1" t="s">
        <v>46</v>
      </c>
      <c r="K385" t="s">
        <v>650</v>
      </c>
      <c r="M385" s="1" t="s">
        <v>58</v>
      </c>
      <c r="N385" s="1">
        <v>0</v>
      </c>
      <c r="O385" s="1" t="s">
        <v>105</v>
      </c>
      <c r="P385" s="11" t="s">
        <v>843</v>
      </c>
      <c r="R385" s="1">
        <v>4</v>
      </c>
      <c r="T385" s="1" t="s">
        <v>646</v>
      </c>
      <c r="U385" s="186">
        <v>44714.402881944443</v>
      </c>
      <c r="V385" s="1" t="s">
        <v>41</v>
      </c>
      <c r="W385" s="1" t="s">
        <v>49</v>
      </c>
      <c r="X385" s="13" t="str">
        <f t="shared" si="40"/>
        <v/>
      </c>
      <c r="Y385" s="2">
        <f t="shared" ca="1" si="35"/>
        <v>196</v>
      </c>
      <c r="Z385" s="14">
        <v>1</v>
      </c>
      <c r="AA385" s="1" t="str">
        <f t="shared" ca="1" si="36"/>
        <v>VENCIDO</v>
      </c>
      <c r="AB385" s="1" t="str">
        <f t="shared" si="37"/>
        <v>C-14</v>
      </c>
      <c r="AC385" s="2" t="str">
        <f t="shared" si="41"/>
        <v xml:space="preserve"> CLEITON </v>
      </c>
      <c r="AD385" s="2">
        <f t="shared" si="38"/>
        <v>15</v>
      </c>
      <c r="AE385" s="2">
        <f t="shared" ca="1" si="39"/>
        <v>-272.27338969907578</v>
      </c>
      <c r="AF385" s="15"/>
    </row>
    <row r="386" spans="1:32" hidden="1">
      <c r="A386" s="1">
        <v>8639195</v>
      </c>
      <c r="B386" s="1" t="s">
        <v>653</v>
      </c>
      <c r="C386" t="s">
        <v>3580</v>
      </c>
      <c r="E386" s="2">
        <v>5742001400030</v>
      </c>
      <c r="F386" s="1" t="s">
        <v>647</v>
      </c>
      <c r="G386" s="1" t="s">
        <v>53</v>
      </c>
      <c r="H386" s="1" t="s">
        <v>430</v>
      </c>
      <c r="I386" s="1" t="s">
        <v>431</v>
      </c>
      <c r="J386" s="1" t="s">
        <v>79</v>
      </c>
      <c r="K386" t="s">
        <v>650</v>
      </c>
      <c r="M386" s="1" t="s">
        <v>58</v>
      </c>
      <c r="N386" s="1">
        <v>0</v>
      </c>
      <c r="O386" s="1" t="s">
        <v>105</v>
      </c>
      <c r="P386" s="11" t="s">
        <v>843</v>
      </c>
      <c r="R386" s="1">
        <v>4</v>
      </c>
      <c r="T386" s="1" t="s">
        <v>646</v>
      </c>
      <c r="U386" s="186">
        <v>44714.402881944443</v>
      </c>
      <c r="V386" s="1" t="s">
        <v>41</v>
      </c>
      <c r="W386" s="1" t="s">
        <v>49</v>
      </c>
      <c r="X386" s="13" t="str">
        <f t="shared" si="40"/>
        <v/>
      </c>
      <c r="Y386" s="2">
        <f t="shared" ref="Y386:Y449" ca="1" si="42">NETWORKDAYS(P386,$Y$1)</f>
        <v>196</v>
      </c>
      <c r="Z386" s="14">
        <v>1</v>
      </c>
      <c r="AA386" s="1" t="str">
        <f t="shared" ref="AA386:AA449" ca="1" si="43">IF(AE386=0,"HOJE",IF(AE386&gt;0,"A VENCER",IF(AE386&lt;0,"VENCIDO")))</f>
        <v>VENCIDO</v>
      </c>
      <c r="AB386" s="1" t="str">
        <f t="shared" ref="AB386:AB449" si="44">IF(F386="GRPE-000001","C-14",IF(F386="GRPE-000002","C-14",IF(F386="GRPE-000003","C-14",IF(F386="GRPE-000004","SL-On",IF(F386="GRPE-000038","C-14",IF(F386="GRPE-900022","Dosa",IF(F386="GRPE-000029","Dosa",IF(F386="ATOS-000222","Dose","TAAe+"))))))))</f>
        <v>C-14</v>
      </c>
      <c r="AC386" s="2" t="str">
        <f t="shared" si="41"/>
        <v xml:space="preserve"> ROSEMERE </v>
      </c>
      <c r="AD386" s="2">
        <f t="shared" ref="AD386:AD449" si="45">IF(F386="GRPE-000001",5,IF(F386="GRPE-000002",5,IF(F386="GRPE-000003",15,IF(F386="GRPE-000004",1,IF(F386="GRPE-000038",5,IF(F386="GRPE-900022",5,IF(F386="GRPE-000029",5,IF(F386="ATOS-000222",5,8))))))))</f>
        <v>15</v>
      </c>
      <c r="AE386" s="2">
        <f t="shared" ref="AE386:AE449" ca="1" si="46">IF(U386=$AE$1,"",U386-$AE$1)</f>
        <v>-272.27338969907578</v>
      </c>
      <c r="AF386" s="15"/>
    </row>
    <row r="387" spans="1:32" hidden="1">
      <c r="A387" s="1">
        <v>8639194</v>
      </c>
      <c r="B387" s="1" t="s">
        <v>653</v>
      </c>
      <c r="C387" t="s">
        <v>3580</v>
      </c>
      <c r="E387" s="2">
        <v>5740001400030</v>
      </c>
      <c r="F387" s="1" t="s">
        <v>647</v>
      </c>
      <c r="G387" s="1" t="s">
        <v>53</v>
      </c>
      <c r="H387" s="1" t="s">
        <v>626</v>
      </c>
      <c r="I387" s="1" t="s">
        <v>627</v>
      </c>
      <c r="J387" s="1" t="s">
        <v>46</v>
      </c>
      <c r="K387" t="s">
        <v>650</v>
      </c>
      <c r="M387" s="1" t="s">
        <v>58</v>
      </c>
      <c r="N387" s="1">
        <v>0</v>
      </c>
      <c r="O387" s="1" t="s">
        <v>105</v>
      </c>
      <c r="P387" s="11" t="s">
        <v>845</v>
      </c>
      <c r="R387" s="1">
        <v>4</v>
      </c>
      <c r="T387" s="1" t="s">
        <v>646</v>
      </c>
      <c r="U387" s="186">
        <v>44714.402881944443</v>
      </c>
      <c r="V387" s="1" t="s">
        <v>41</v>
      </c>
      <c r="W387" s="1" t="s">
        <v>49</v>
      </c>
      <c r="X387" s="13" t="str">
        <f t="shared" ref="X387:X450" si="47">IF(RIGHT(H387,2)&lt;&gt;"00",H387,"")</f>
        <v/>
      </c>
      <c r="Y387" s="2">
        <f t="shared" ca="1" si="42"/>
        <v>196</v>
      </c>
      <c r="Z387" s="14">
        <v>1</v>
      </c>
      <c r="AA387" s="1" t="str">
        <f t="shared" ca="1" si="43"/>
        <v>VENCIDO</v>
      </c>
      <c r="AB387" s="1" t="str">
        <f t="shared" si="44"/>
        <v>C-14</v>
      </c>
      <c r="AC387" s="2" t="str">
        <f t="shared" ref="AC387:AC450" si="48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 xml:space="preserve"> CLEITON </v>
      </c>
      <c r="AD387" s="2">
        <f t="shared" si="45"/>
        <v>15</v>
      </c>
      <c r="AE387" s="2">
        <f t="shared" ca="1" si="46"/>
        <v>-272.27338969907578</v>
      </c>
      <c r="AF387" s="15"/>
    </row>
    <row r="388" spans="1:32" hidden="1">
      <c r="A388" s="1">
        <v>8639017</v>
      </c>
      <c r="B388" s="1" t="s">
        <v>653</v>
      </c>
      <c r="C388" t="s">
        <v>3580</v>
      </c>
      <c r="E388" s="2">
        <v>4997001400030</v>
      </c>
      <c r="F388" s="1" t="s">
        <v>647</v>
      </c>
      <c r="G388" s="1" t="s">
        <v>53</v>
      </c>
      <c r="H388" s="1" t="s">
        <v>406</v>
      </c>
      <c r="I388" s="1" t="s">
        <v>407</v>
      </c>
      <c r="J388" s="1" t="s">
        <v>79</v>
      </c>
      <c r="K388" t="s">
        <v>650</v>
      </c>
      <c r="M388" s="1" t="s">
        <v>58</v>
      </c>
      <c r="N388" s="1">
        <v>0</v>
      </c>
      <c r="O388" s="1" t="s">
        <v>36</v>
      </c>
      <c r="P388" s="11" t="s">
        <v>846</v>
      </c>
      <c r="R388" s="1">
        <v>4</v>
      </c>
      <c r="T388" s="1" t="s">
        <v>646</v>
      </c>
      <c r="U388" s="186">
        <v>44714.402326388888</v>
      </c>
      <c r="V388" s="1" t="s">
        <v>41</v>
      </c>
      <c r="W388" s="1" t="s">
        <v>49</v>
      </c>
      <c r="X388" s="13" t="str">
        <f t="shared" si="47"/>
        <v/>
      </c>
      <c r="Y388" s="2">
        <f t="shared" ca="1" si="42"/>
        <v>196</v>
      </c>
      <c r="Z388" s="14">
        <v>1</v>
      </c>
      <c r="AA388" s="1" t="str">
        <f t="shared" ca="1" si="43"/>
        <v>VENCIDO</v>
      </c>
      <c r="AB388" s="1" t="str">
        <f t="shared" si="44"/>
        <v>C-14</v>
      </c>
      <c r="AC388" s="2" t="str">
        <f t="shared" si="48"/>
        <v xml:space="preserve"> ROSEMERE </v>
      </c>
      <c r="AD388" s="2">
        <f t="shared" si="45"/>
        <v>15</v>
      </c>
      <c r="AE388" s="2">
        <f t="shared" ca="1" si="46"/>
        <v>-272.27394525463023</v>
      </c>
      <c r="AF388" s="15"/>
    </row>
    <row r="389" spans="1:32" hidden="1">
      <c r="A389" s="1">
        <v>8638862</v>
      </c>
      <c r="B389" s="1" t="s">
        <v>653</v>
      </c>
      <c r="C389" t="s">
        <v>3580</v>
      </c>
      <c r="E389" s="2">
        <v>4637001400030</v>
      </c>
      <c r="F389" s="1" t="s">
        <v>647</v>
      </c>
      <c r="G389" s="1" t="s">
        <v>53</v>
      </c>
      <c r="H389" s="1" t="s">
        <v>848</v>
      </c>
      <c r="I389" s="1" t="s">
        <v>849</v>
      </c>
      <c r="J389" s="1" t="s">
        <v>79</v>
      </c>
      <c r="K389" t="s">
        <v>650</v>
      </c>
      <c r="M389" s="1" t="s">
        <v>58</v>
      </c>
      <c r="N389" s="1">
        <v>0</v>
      </c>
      <c r="O389" s="1" t="s">
        <v>105</v>
      </c>
      <c r="P389" s="11" t="s">
        <v>850</v>
      </c>
      <c r="R389" s="1">
        <v>4</v>
      </c>
      <c r="T389" s="1" t="s">
        <v>646</v>
      </c>
      <c r="U389" s="11" t="s">
        <v>851</v>
      </c>
      <c r="V389" s="1" t="s">
        <v>41</v>
      </c>
      <c r="W389" s="1" t="s">
        <v>49</v>
      </c>
      <c r="X389" s="13" t="str">
        <f t="shared" si="47"/>
        <v/>
      </c>
      <c r="Y389" s="2">
        <f t="shared" ca="1" si="42"/>
        <v>196</v>
      </c>
      <c r="Z389" s="14">
        <v>1</v>
      </c>
      <c r="AA389" s="1" t="str">
        <f t="shared" ca="1" si="43"/>
        <v>VENCIDO</v>
      </c>
      <c r="AB389" s="1" t="str">
        <f t="shared" si="44"/>
        <v>C-14</v>
      </c>
      <c r="AC389" s="2" t="str">
        <f t="shared" si="48"/>
        <v xml:space="preserve"> ROSEMERE </v>
      </c>
      <c r="AD389" s="2">
        <f t="shared" si="45"/>
        <v>15</v>
      </c>
      <c r="AE389" s="2">
        <f t="shared" ca="1" si="46"/>
        <v>-272.27430405092309</v>
      </c>
      <c r="AF389" s="15"/>
    </row>
    <row r="390" spans="1:32" hidden="1">
      <c r="A390" s="1">
        <v>8638849</v>
      </c>
      <c r="B390" s="1" t="s">
        <v>653</v>
      </c>
      <c r="C390" t="s">
        <v>3580</v>
      </c>
      <c r="E390" s="2">
        <v>4623001400030</v>
      </c>
      <c r="F390" s="1" t="s">
        <v>647</v>
      </c>
      <c r="G390" s="1" t="s">
        <v>53</v>
      </c>
      <c r="H390" s="1" t="s">
        <v>669</v>
      </c>
      <c r="I390" s="1" t="s">
        <v>670</v>
      </c>
      <c r="J390" s="1" t="s">
        <v>33</v>
      </c>
      <c r="K390" t="s">
        <v>650</v>
      </c>
      <c r="M390" s="1" t="s">
        <v>58</v>
      </c>
      <c r="N390" s="1">
        <v>0</v>
      </c>
      <c r="O390" s="1" t="s">
        <v>105</v>
      </c>
      <c r="P390" s="11" t="s">
        <v>852</v>
      </c>
      <c r="R390" s="1">
        <v>4</v>
      </c>
      <c r="T390" s="1" t="s">
        <v>646</v>
      </c>
      <c r="U390" s="186">
        <v>44714.401956018519</v>
      </c>
      <c r="V390" s="1" t="s">
        <v>41</v>
      </c>
      <c r="W390" s="1" t="s">
        <v>42</v>
      </c>
      <c r="X390" s="13" t="str">
        <f t="shared" si="47"/>
        <v/>
      </c>
      <c r="Y390" s="2">
        <f t="shared" ca="1" si="42"/>
        <v>196</v>
      </c>
      <c r="Z390" s="14">
        <v>1</v>
      </c>
      <c r="AA390" s="1" t="str">
        <f t="shared" ca="1" si="43"/>
        <v>VENCIDO</v>
      </c>
      <c r="AB390" s="1" t="str">
        <f t="shared" si="44"/>
        <v>C-14</v>
      </c>
      <c r="AC390" s="2" t="str">
        <f t="shared" si="48"/>
        <v xml:space="preserve"> ROSEMERE </v>
      </c>
      <c r="AD390" s="2">
        <f t="shared" si="45"/>
        <v>15</v>
      </c>
      <c r="AE390" s="2">
        <f t="shared" ca="1" si="46"/>
        <v>-272.27431562499987</v>
      </c>
      <c r="AF390" s="15"/>
    </row>
    <row r="391" spans="1:32" hidden="1">
      <c r="A391" s="1">
        <v>8638655</v>
      </c>
      <c r="B391" s="1" t="s">
        <v>653</v>
      </c>
      <c r="C391" t="s">
        <v>3580</v>
      </c>
      <c r="E391" s="2">
        <v>4357001400030</v>
      </c>
      <c r="F391" s="1" t="s">
        <v>647</v>
      </c>
      <c r="G391" s="1" t="s">
        <v>53</v>
      </c>
      <c r="H391" s="1" t="s">
        <v>633</v>
      </c>
      <c r="I391" s="1" t="s">
        <v>634</v>
      </c>
      <c r="J391" s="1" t="s">
        <v>46</v>
      </c>
      <c r="K391" t="s">
        <v>650</v>
      </c>
      <c r="M391" s="1" t="s">
        <v>58</v>
      </c>
      <c r="N391" s="1">
        <v>0</v>
      </c>
      <c r="O391" s="1" t="s">
        <v>105</v>
      </c>
      <c r="P391" s="11" t="s">
        <v>854</v>
      </c>
      <c r="R391" s="1">
        <v>4</v>
      </c>
      <c r="T391" s="1" t="s">
        <v>646</v>
      </c>
      <c r="U391" s="186">
        <v>44714.40111111111</v>
      </c>
      <c r="V391" s="1" t="s">
        <v>41</v>
      </c>
      <c r="W391" s="1" t="s">
        <v>49</v>
      </c>
      <c r="X391" s="13" t="str">
        <f t="shared" si="47"/>
        <v/>
      </c>
      <c r="Y391" s="2">
        <f t="shared" ca="1" si="42"/>
        <v>196</v>
      </c>
      <c r="Z391" s="14">
        <v>1</v>
      </c>
      <c r="AA391" s="1" t="str">
        <f t="shared" ca="1" si="43"/>
        <v>VENCIDO</v>
      </c>
      <c r="AB391" s="1" t="str">
        <f t="shared" si="44"/>
        <v>C-14</v>
      </c>
      <c r="AC391" s="2" t="str">
        <f t="shared" si="48"/>
        <v xml:space="preserve"> CLEITON </v>
      </c>
      <c r="AD391" s="2">
        <f t="shared" si="45"/>
        <v>15</v>
      </c>
      <c r="AE391" s="2">
        <f t="shared" ca="1" si="46"/>
        <v>-272.27516053240834</v>
      </c>
      <c r="AF391" s="15"/>
    </row>
    <row r="392" spans="1:32" hidden="1">
      <c r="A392" s="1">
        <v>8638579</v>
      </c>
      <c r="B392" s="1" t="s">
        <v>653</v>
      </c>
      <c r="C392" t="s">
        <v>3580</v>
      </c>
      <c r="E392" s="2">
        <v>4235001400030</v>
      </c>
      <c r="F392" s="1" t="s">
        <v>647</v>
      </c>
      <c r="G392" s="1" t="s">
        <v>53</v>
      </c>
      <c r="H392" s="1" t="s">
        <v>291</v>
      </c>
      <c r="I392" s="1" t="s">
        <v>292</v>
      </c>
      <c r="J392" s="1" t="s">
        <v>46</v>
      </c>
      <c r="K392" t="s">
        <v>650</v>
      </c>
      <c r="M392" s="1" t="s">
        <v>58</v>
      </c>
      <c r="N392" s="1">
        <v>0</v>
      </c>
      <c r="O392" s="1" t="s">
        <v>105</v>
      </c>
      <c r="P392" s="11" t="s">
        <v>856</v>
      </c>
      <c r="R392" s="1">
        <v>4</v>
      </c>
      <c r="T392" s="1" t="s">
        <v>646</v>
      </c>
      <c r="U392" s="11" t="s">
        <v>857</v>
      </c>
      <c r="V392" s="1" t="s">
        <v>41</v>
      </c>
      <c r="W392" s="1" t="s">
        <v>49</v>
      </c>
      <c r="X392" s="13" t="str">
        <f t="shared" si="47"/>
        <v/>
      </c>
      <c r="Y392" s="2">
        <f t="shared" ca="1" si="42"/>
        <v>196</v>
      </c>
      <c r="Z392" s="14">
        <v>1</v>
      </c>
      <c r="AA392" s="1" t="str">
        <f t="shared" ca="1" si="43"/>
        <v>VENCIDO</v>
      </c>
      <c r="AB392" s="1" t="str">
        <f t="shared" si="44"/>
        <v>C-14</v>
      </c>
      <c r="AC392" s="2" t="str">
        <f t="shared" si="48"/>
        <v xml:space="preserve"> CLEITON </v>
      </c>
      <c r="AD392" s="2">
        <f t="shared" si="45"/>
        <v>15</v>
      </c>
      <c r="AE392" s="2">
        <f t="shared" ca="1" si="46"/>
        <v>-272.27551932870119</v>
      </c>
      <c r="AF392" s="15"/>
    </row>
    <row r="393" spans="1:32" hidden="1">
      <c r="A393" s="1">
        <v>8638488</v>
      </c>
      <c r="B393" s="1" t="s">
        <v>653</v>
      </c>
      <c r="C393" t="s">
        <v>3580</v>
      </c>
      <c r="E393" s="2">
        <v>4118001400030</v>
      </c>
      <c r="F393" s="1" t="s">
        <v>647</v>
      </c>
      <c r="G393" s="1" t="s">
        <v>53</v>
      </c>
      <c r="H393" s="1" t="s">
        <v>71</v>
      </c>
      <c r="I393" s="1" t="s">
        <v>72</v>
      </c>
      <c r="J393" s="1" t="s">
        <v>46</v>
      </c>
      <c r="K393" t="s">
        <v>650</v>
      </c>
      <c r="M393" s="1" t="s">
        <v>58</v>
      </c>
      <c r="N393" s="1">
        <v>0</v>
      </c>
      <c r="O393" s="1" t="s">
        <v>105</v>
      </c>
      <c r="P393" s="11" t="s">
        <v>3440</v>
      </c>
      <c r="R393" s="1">
        <v>4</v>
      </c>
      <c r="T393" s="1" t="s">
        <v>646</v>
      </c>
      <c r="U393" s="11" t="s">
        <v>3441</v>
      </c>
      <c r="V393" s="1" t="s">
        <v>41</v>
      </c>
      <c r="W393" s="1" t="s">
        <v>49</v>
      </c>
      <c r="X393" s="13" t="str">
        <f t="shared" si="47"/>
        <v/>
      </c>
      <c r="Y393" s="2">
        <f t="shared" ca="1" si="42"/>
        <v>196</v>
      </c>
      <c r="Z393" s="14">
        <v>1</v>
      </c>
      <c r="AA393" s="1" t="str">
        <f t="shared" ca="1" si="43"/>
        <v>VENCIDO</v>
      </c>
      <c r="AB393" s="1" t="str">
        <f t="shared" si="44"/>
        <v>C-14</v>
      </c>
      <c r="AC393" s="2" t="str">
        <f t="shared" si="48"/>
        <v xml:space="preserve"> CLEITON </v>
      </c>
      <c r="AD393" s="2">
        <f t="shared" si="45"/>
        <v>15</v>
      </c>
      <c r="AE393" s="2">
        <f t="shared" ca="1" si="46"/>
        <v>-272.27579710647842</v>
      </c>
      <c r="AF393" s="15"/>
    </row>
    <row r="394" spans="1:32" hidden="1">
      <c r="A394" s="1">
        <v>8638189</v>
      </c>
      <c r="B394" s="1" t="s">
        <v>653</v>
      </c>
      <c r="C394" t="s">
        <v>3580</v>
      </c>
      <c r="E394" s="2">
        <v>3699001400030</v>
      </c>
      <c r="F394" s="1" t="s">
        <v>647</v>
      </c>
      <c r="G394" s="1" t="s">
        <v>53</v>
      </c>
      <c r="H394" s="1" t="s">
        <v>343</v>
      </c>
      <c r="I394" s="1" t="s">
        <v>344</v>
      </c>
      <c r="J394" s="1" t="s">
        <v>46</v>
      </c>
      <c r="K394" t="s">
        <v>650</v>
      </c>
      <c r="M394" s="1" t="s">
        <v>58</v>
      </c>
      <c r="N394" s="1">
        <v>0</v>
      </c>
      <c r="O394" s="1" t="s">
        <v>105</v>
      </c>
      <c r="P394" s="11" t="s">
        <v>862</v>
      </c>
      <c r="R394" s="1">
        <v>4</v>
      </c>
      <c r="T394" s="1" t="s">
        <v>646</v>
      </c>
      <c r="U394" s="11" t="s">
        <v>863</v>
      </c>
      <c r="V394" s="1" t="s">
        <v>41</v>
      </c>
      <c r="W394" s="1" t="s">
        <v>49</v>
      </c>
      <c r="X394" s="13" t="str">
        <f t="shared" si="47"/>
        <v/>
      </c>
      <c r="Y394" s="2">
        <f t="shared" ca="1" si="42"/>
        <v>196</v>
      </c>
      <c r="Z394" s="14">
        <v>1</v>
      </c>
      <c r="AA394" s="1" t="str">
        <f t="shared" ca="1" si="43"/>
        <v>VENCIDO</v>
      </c>
      <c r="AB394" s="1" t="str">
        <f t="shared" si="44"/>
        <v>C-14</v>
      </c>
      <c r="AC394" s="2" t="str">
        <f t="shared" si="48"/>
        <v xml:space="preserve"> CLEITON </v>
      </c>
      <c r="AD394" s="2">
        <f t="shared" si="45"/>
        <v>15</v>
      </c>
      <c r="AE394" s="2">
        <f t="shared" ca="1" si="46"/>
        <v>-272.27667673610995</v>
      </c>
      <c r="AF394" s="15"/>
    </row>
    <row r="395" spans="1:32" hidden="1">
      <c r="A395" s="1">
        <v>8638122</v>
      </c>
      <c r="B395" s="1" t="s">
        <v>653</v>
      </c>
      <c r="C395" t="s">
        <v>3580</v>
      </c>
      <c r="E395" s="2">
        <v>3613001400030</v>
      </c>
      <c r="F395" s="1" t="s">
        <v>647</v>
      </c>
      <c r="G395" s="1" t="s">
        <v>53</v>
      </c>
      <c r="H395" s="1" t="s">
        <v>679</v>
      </c>
      <c r="I395" s="1" t="s">
        <v>680</v>
      </c>
      <c r="J395" s="1" t="s">
        <v>46</v>
      </c>
      <c r="K395" t="s">
        <v>650</v>
      </c>
      <c r="M395" s="1" t="s">
        <v>58</v>
      </c>
      <c r="N395" s="1">
        <v>0</v>
      </c>
      <c r="O395" s="1" t="s">
        <v>105</v>
      </c>
      <c r="P395" s="11" t="s">
        <v>864</v>
      </c>
      <c r="R395" s="1">
        <v>4</v>
      </c>
      <c r="T395" s="1" t="s">
        <v>646</v>
      </c>
      <c r="U395" s="11" t="s">
        <v>865</v>
      </c>
      <c r="V395" s="1" t="s">
        <v>41</v>
      </c>
      <c r="W395" s="1" t="s">
        <v>49</v>
      </c>
      <c r="X395" s="13" t="str">
        <f t="shared" si="47"/>
        <v/>
      </c>
      <c r="Y395" s="2">
        <f t="shared" ca="1" si="42"/>
        <v>196</v>
      </c>
      <c r="Z395" s="14">
        <v>1</v>
      </c>
      <c r="AA395" s="1" t="str">
        <f t="shared" ca="1" si="43"/>
        <v>VENCIDO</v>
      </c>
      <c r="AB395" s="1" t="str">
        <f t="shared" si="44"/>
        <v>C-14</v>
      </c>
      <c r="AC395" s="2" t="str">
        <f t="shared" si="48"/>
        <v xml:space="preserve"> CLEITON </v>
      </c>
      <c r="AD395" s="2">
        <f t="shared" si="45"/>
        <v>15</v>
      </c>
      <c r="AE395" s="2">
        <f t="shared" ca="1" si="46"/>
        <v>-272.27678090277914</v>
      </c>
      <c r="AF395" s="15"/>
    </row>
    <row r="396" spans="1:32" hidden="1">
      <c r="A396" s="1">
        <v>8638121</v>
      </c>
      <c r="B396" s="1" t="s">
        <v>653</v>
      </c>
      <c r="C396" t="s">
        <v>3580</v>
      </c>
      <c r="E396" s="2">
        <v>3612001400030</v>
      </c>
      <c r="F396" s="1" t="s">
        <v>647</v>
      </c>
      <c r="G396" s="1" t="s">
        <v>53</v>
      </c>
      <c r="H396" s="1" t="s">
        <v>683</v>
      </c>
      <c r="I396" s="1" t="s">
        <v>684</v>
      </c>
      <c r="J396" s="1" t="s">
        <v>46</v>
      </c>
      <c r="K396" t="s">
        <v>650</v>
      </c>
      <c r="M396" s="1" t="s">
        <v>58</v>
      </c>
      <c r="N396" s="1">
        <v>0</v>
      </c>
      <c r="O396" s="1" t="s">
        <v>105</v>
      </c>
      <c r="P396" s="11" t="s">
        <v>864</v>
      </c>
      <c r="R396" s="1">
        <v>4</v>
      </c>
      <c r="T396" s="1" t="s">
        <v>646</v>
      </c>
      <c r="U396" s="11" t="s">
        <v>865</v>
      </c>
      <c r="V396" s="1" t="s">
        <v>41</v>
      </c>
      <c r="W396" s="1" t="s">
        <v>49</v>
      </c>
      <c r="X396" s="13" t="str">
        <f t="shared" si="47"/>
        <v/>
      </c>
      <c r="Y396" s="2">
        <f t="shared" ca="1" si="42"/>
        <v>196</v>
      </c>
      <c r="Z396" s="14">
        <v>1</v>
      </c>
      <c r="AA396" s="1" t="str">
        <f t="shared" ca="1" si="43"/>
        <v>VENCIDO</v>
      </c>
      <c r="AB396" s="1" t="str">
        <f t="shared" si="44"/>
        <v>C-14</v>
      </c>
      <c r="AC396" s="2" t="str">
        <f t="shared" si="48"/>
        <v xml:space="preserve"> CLEITON </v>
      </c>
      <c r="AD396" s="2">
        <f t="shared" si="45"/>
        <v>15</v>
      </c>
      <c r="AE396" s="2">
        <f t="shared" ca="1" si="46"/>
        <v>-272.27678090277914</v>
      </c>
      <c r="AF396" s="15"/>
    </row>
    <row r="397" spans="1:32" hidden="1">
      <c r="A397" s="1">
        <v>8638058</v>
      </c>
      <c r="B397" s="1" t="s">
        <v>653</v>
      </c>
      <c r="C397" t="s">
        <v>3580</v>
      </c>
      <c r="E397" s="2">
        <v>3504001400030</v>
      </c>
      <c r="F397" s="1" t="s">
        <v>647</v>
      </c>
      <c r="G397" s="1" t="s">
        <v>53</v>
      </c>
      <c r="H397" s="1" t="s">
        <v>585</v>
      </c>
      <c r="I397" s="1" t="s">
        <v>586</v>
      </c>
      <c r="J397" s="1" t="s">
        <v>46</v>
      </c>
      <c r="K397" t="s">
        <v>650</v>
      </c>
      <c r="M397" s="1" t="s">
        <v>58</v>
      </c>
      <c r="N397" s="1">
        <v>0</v>
      </c>
      <c r="O397" s="1" t="s">
        <v>105</v>
      </c>
      <c r="P397" s="11" t="s">
        <v>866</v>
      </c>
      <c r="R397" s="1">
        <v>4</v>
      </c>
      <c r="T397" s="1" t="s">
        <v>646</v>
      </c>
      <c r="U397" s="11" t="s">
        <v>867</v>
      </c>
      <c r="V397" s="1" t="s">
        <v>41</v>
      </c>
      <c r="W397" s="1" t="s">
        <v>49</v>
      </c>
      <c r="X397" s="13" t="str">
        <f t="shared" si="47"/>
        <v/>
      </c>
      <c r="Y397" s="2">
        <f t="shared" ca="1" si="42"/>
        <v>196</v>
      </c>
      <c r="Z397" s="14">
        <v>1</v>
      </c>
      <c r="AA397" s="1" t="str">
        <f t="shared" ca="1" si="43"/>
        <v>VENCIDO</v>
      </c>
      <c r="AB397" s="1" t="str">
        <f t="shared" si="44"/>
        <v>C-14</v>
      </c>
      <c r="AC397" s="2" t="str">
        <f t="shared" si="48"/>
        <v xml:space="preserve"> CLEITON </v>
      </c>
      <c r="AD397" s="2">
        <f t="shared" si="45"/>
        <v>15</v>
      </c>
      <c r="AE397" s="2">
        <f t="shared" ca="1" si="46"/>
        <v>-272.27698923611024</v>
      </c>
      <c r="AF397" s="15"/>
    </row>
    <row r="398" spans="1:32" hidden="1">
      <c r="A398" s="1">
        <v>8638057</v>
      </c>
      <c r="B398" s="1" t="s">
        <v>653</v>
      </c>
      <c r="C398" t="s">
        <v>3580</v>
      </c>
      <c r="E398" s="2">
        <v>3503001400030</v>
      </c>
      <c r="F398" s="1" t="s">
        <v>647</v>
      </c>
      <c r="G398" s="1" t="s">
        <v>53</v>
      </c>
      <c r="H398" s="1" t="s">
        <v>398</v>
      </c>
      <c r="I398" s="1" t="s">
        <v>399</v>
      </c>
      <c r="J398" s="1" t="s">
        <v>46</v>
      </c>
      <c r="K398" t="s">
        <v>650</v>
      </c>
      <c r="M398" s="1" t="s">
        <v>58</v>
      </c>
      <c r="N398" s="1">
        <v>0</v>
      </c>
      <c r="O398" s="1" t="s">
        <v>105</v>
      </c>
      <c r="P398" s="11" t="s">
        <v>866</v>
      </c>
      <c r="R398" s="1">
        <v>4</v>
      </c>
      <c r="T398" s="1" t="s">
        <v>646</v>
      </c>
      <c r="U398" s="11" t="s">
        <v>867</v>
      </c>
      <c r="V398" s="1" t="s">
        <v>41</v>
      </c>
      <c r="W398" s="1" t="s">
        <v>49</v>
      </c>
      <c r="X398" s="13" t="str">
        <f t="shared" si="47"/>
        <v/>
      </c>
      <c r="Y398" s="2">
        <f t="shared" ca="1" si="42"/>
        <v>196</v>
      </c>
      <c r="Z398" s="14">
        <v>1</v>
      </c>
      <c r="AA398" s="1" t="str">
        <f t="shared" ca="1" si="43"/>
        <v>VENCIDO</v>
      </c>
      <c r="AB398" s="1" t="str">
        <f t="shared" si="44"/>
        <v>C-14</v>
      </c>
      <c r="AC398" s="2" t="str">
        <f t="shared" si="48"/>
        <v xml:space="preserve"> CLEITON </v>
      </c>
      <c r="AD398" s="2">
        <f t="shared" si="45"/>
        <v>15</v>
      </c>
      <c r="AE398" s="2">
        <f t="shared" ca="1" si="46"/>
        <v>-272.27698923611024</v>
      </c>
      <c r="AF398" s="15"/>
    </row>
    <row r="399" spans="1:32" hidden="1">
      <c r="A399" s="1">
        <v>8637889</v>
      </c>
      <c r="B399" s="1" t="s">
        <v>653</v>
      </c>
      <c r="C399" t="s">
        <v>3580</v>
      </c>
      <c r="E399" s="2">
        <v>3258001400030</v>
      </c>
      <c r="F399" s="1" t="s">
        <v>647</v>
      </c>
      <c r="G399" s="1" t="s">
        <v>53</v>
      </c>
      <c r="H399" s="1" t="s">
        <v>321</v>
      </c>
      <c r="I399" s="1" t="s">
        <v>322</v>
      </c>
      <c r="J399" s="1" t="s">
        <v>46</v>
      </c>
      <c r="K399" t="s">
        <v>650</v>
      </c>
      <c r="M399" s="1" t="s">
        <v>58</v>
      </c>
      <c r="N399" s="1">
        <v>0</v>
      </c>
      <c r="O399" s="1" t="s">
        <v>105</v>
      </c>
      <c r="P399" s="11" t="s">
        <v>868</v>
      </c>
      <c r="R399" s="1">
        <v>4</v>
      </c>
      <c r="T399" s="1" t="s">
        <v>646</v>
      </c>
      <c r="U399" s="11" t="s">
        <v>869</v>
      </c>
      <c r="V399" s="1" t="s">
        <v>41</v>
      </c>
      <c r="W399" s="1" t="s">
        <v>49</v>
      </c>
      <c r="X399" s="13" t="str">
        <f t="shared" si="47"/>
        <v/>
      </c>
      <c r="Y399" s="2">
        <f t="shared" ca="1" si="42"/>
        <v>196</v>
      </c>
      <c r="Z399" s="14">
        <v>1</v>
      </c>
      <c r="AA399" s="1" t="str">
        <f t="shared" ca="1" si="43"/>
        <v>VENCIDO</v>
      </c>
      <c r="AB399" s="1" t="str">
        <f t="shared" si="44"/>
        <v>C-14</v>
      </c>
      <c r="AC399" s="2" t="str">
        <f t="shared" si="48"/>
        <v xml:space="preserve"> CLEITON </v>
      </c>
      <c r="AD399" s="2">
        <f t="shared" si="45"/>
        <v>15</v>
      </c>
      <c r="AE399" s="2">
        <f t="shared" ca="1" si="46"/>
        <v>-272.27741747684922</v>
      </c>
      <c r="AF399" s="15"/>
    </row>
    <row r="400" spans="1:32" hidden="1">
      <c r="A400" s="1">
        <v>8637878</v>
      </c>
      <c r="B400" s="1" t="s">
        <v>653</v>
      </c>
      <c r="C400" t="s">
        <v>3580</v>
      </c>
      <c r="E400" s="2">
        <v>3243001400030</v>
      </c>
      <c r="F400" s="1" t="s">
        <v>647</v>
      </c>
      <c r="G400" s="1" t="s">
        <v>53</v>
      </c>
      <c r="H400" s="1" t="s">
        <v>282</v>
      </c>
      <c r="I400" s="1" t="s">
        <v>283</v>
      </c>
      <c r="J400" s="1" t="s">
        <v>46</v>
      </c>
      <c r="K400" t="s">
        <v>650</v>
      </c>
      <c r="M400" s="1" t="s">
        <v>58</v>
      </c>
      <c r="N400" s="1">
        <v>0</v>
      </c>
      <c r="O400" s="1" t="s">
        <v>105</v>
      </c>
      <c r="P400" s="11" t="s">
        <v>870</v>
      </c>
      <c r="R400" s="1">
        <v>4</v>
      </c>
      <c r="T400" s="1" t="s">
        <v>646</v>
      </c>
      <c r="U400" s="11" t="s">
        <v>871</v>
      </c>
      <c r="V400" s="1" t="s">
        <v>41</v>
      </c>
      <c r="W400" s="1" t="s">
        <v>49</v>
      </c>
      <c r="X400" s="13" t="str">
        <f t="shared" si="47"/>
        <v/>
      </c>
      <c r="Y400" s="2">
        <f t="shared" ca="1" si="42"/>
        <v>196</v>
      </c>
      <c r="Z400" s="14">
        <v>1</v>
      </c>
      <c r="AA400" s="1" t="str">
        <f t="shared" ca="1" si="43"/>
        <v>VENCIDO</v>
      </c>
      <c r="AB400" s="1" t="str">
        <f t="shared" si="44"/>
        <v>C-14</v>
      </c>
      <c r="AC400" s="2" t="str">
        <f t="shared" si="48"/>
        <v xml:space="preserve"> CLEITON </v>
      </c>
      <c r="AD400" s="2">
        <f t="shared" si="45"/>
        <v>15</v>
      </c>
      <c r="AE400" s="2">
        <f t="shared" ca="1" si="46"/>
        <v>-272.277429050926</v>
      </c>
      <c r="AF400" s="15"/>
    </row>
    <row r="401" spans="1:32" hidden="1">
      <c r="A401" s="1">
        <v>8637875</v>
      </c>
      <c r="B401" s="1" t="s">
        <v>653</v>
      </c>
      <c r="C401" t="s">
        <v>3580</v>
      </c>
      <c r="E401" s="2">
        <v>3237001400030</v>
      </c>
      <c r="F401" s="1" t="s">
        <v>647</v>
      </c>
      <c r="G401" s="1" t="s">
        <v>53</v>
      </c>
      <c r="H401" s="1" t="s">
        <v>287</v>
      </c>
      <c r="I401" s="1" t="s">
        <v>288</v>
      </c>
      <c r="J401" s="1" t="s">
        <v>46</v>
      </c>
      <c r="K401" t="s">
        <v>650</v>
      </c>
      <c r="M401" s="1" t="s">
        <v>58</v>
      </c>
      <c r="N401" s="1">
        <v>0</v>
      </c>
      <c r="O401" s="1" t="s">
        <v>105</v>
      </c>
      <c r="P401" s="11" t="s">
        <v>872</v>
      </c>
      <c r="R401" s="1">
        <v>4</v>
      </c>
      <c r="T401" s="1" t="s">
        <v>646</v>
      </c>
      <c r="U401" s="11" t="s">
        <v>873</v>
      </c>
      <c r="V401" s="1" t="s">
        <v>41</v>
      </c>
      <c r="W401" s="1" t="s">
        <v>49</v>
      </c>
      <c r="X401" s="13" t="str">
        <f t="shared" si="47"/>
        <v/>
      </c>
      <c r="Y401" s="2">
        <f t="shared" ca="1" si="42"/>
        <v>196</v>
      </c>
      <c r="Z401" s="14">
        <v>1</v>
      </c>
      <c r="AA401" s="1" t="str">
        <f t="shared" ca="1" si="43"/>
        <v>VENCIDO</v>
      </c>
      <c r="AB401" s="1" t="str">
        <f t="shared" si="44"/>
        <v>C-14</v>
      </c>
      <c r="AC401" s="2" t="str">
        <f t="shared" si="48"/>
        <v xml:space="preserve"> CLEITON </v>
      </c>
      <c r="AD401" s="2">
        <f t="shared" si="45"/>
        <v>15</v>
      </c>
      <c r="AE401" s="2">
        <f t="shared" ca="1" si="46"/>
        <v>-272.27744062500278</v>
      </c>
      <c r="AF401" s="15"/>
    </row>
    <row r="402" spans="1:32" hidden="1">
      <c r="A402" s="1">
        <v>8637700</v>
      </c>
      <c r="B402" s="1" t="s">
        <v>653</v>
      </c>
      <c r="C402" t="s">
        <v>3580</v>
      </c>
      <c r="E402" s="2">
        <v>2988001400030</v>
      </c>
      <c r="F402" s="1" t="s">
        <v>647</v>
      </c>
      <c r="G402" s="1" t="s">
        <v>53</v>
      </c>
      <c r="H402" s="1" t="s">
        <v>536</v>
      </c>
      <c r="I402" s="1" t="s">
        <v>537</v>
      </c>
      <c r="J402" s="1" t="s">
        <v>46</v>
      </c>
      <c r="K402" t="s">
        <v>650</v>
      </c>
      <c r="M402" s="1" t="s">
        <v>58</v>
      </c>
      <c r="N402" s="1">
        <v>0</v>
      </c>
      <c r="O402" s="1" t="s">
        <v>105</v>
      </c>
      <c r="P402" s="11" t="s">
        <v>874</v>
      </c>
      <c r="R402" s="1">
        <v>4</v>
      </c>
      <c r="T402" s="1" t="s">
        <v>646</v>
      </c>
      <c r="U402" s="11" t="s">
        <v>875</v>
      </c>
      <c r="V402" s="1" t="s">
        <v>41</v>
      </c>
      <c r="W402" s="1" t="s">
        <v>49</v>
      </c>
      <c r="X402" s="13" t="str">
        <f t="shared" si="47"/>
        <v/>
      </c>
      <c r="Y402" s="2">
        <f t="shared" ca="1" si="42"/>
        <v>196</v>
      </c>
      <c r="Z402" s="14">
        <v>1</v>
      </c>
      <c r="AA402" s="1" t="str">
        <f t="shared" ca="1" si="43"/>
        <v>VENCIDO</v>
      </c>
      <c r="AB402" s="1" t="str">
        <f t="shared" si="44"/>
        <v>C-14</v>
      </c>
      <c r="AC402" s="2" t="str">
        <f t="shared" si="48"/>
        <v xml:space="preserve"> CLEITON </v>
      </c>
      <c r="AD402" s="2">
        <f t="shared" si="45"/>
        <v>15</v>
      </c>
      <c r="AE402" s="2">
        <f t="shared" ca="1" si="46"/>
        <v>-272.27791516203433</v>
      </c>
      <c r="AF402" s="15"/>
    </row>
    <row r="403" spans="1:32" hidden="1">
      <c r="A403" s="1">
        <v>8637582</v>
      </c>
      <c r="B403" s="1" t="s">
        <v>653</v>
      </c>
      <c r="C403" t="s">
        <v>3580</v>
      </c>
      <c r="E403" s="2">
        <v>2830001400030</v>
      </c>
      <c r="F403" s="1" t="s">
        <v>647</v>
      </c>
      <c r="G403" s="1" t="s">
        <v>53</v>
      </c>
      <c r="H403" s="1" t="s">
        <v>448</v>
      </c>
      <c r="I403" s="1" t="s">
        <v>449</v>
      </c>
      <c r="J403" s="1" t="s">
        <v>33</v>
      </c>
      <c r="K403" t="s">
        <v>650</v>
      </c>
      <c r="M403" s="1" t="s">
        <v>58</v>
      </c>
      <c r="N403" s="1">
        <v>0</v>
      </c>
      <c r="O403" s="1" t="s">
        <v>105</v>
      </c>
      <c r="P403" s="11" t="s">
        <v>876</v>
      </c>
      <c r="R403" s="1">
        <v>4</v>
      </c>
      <c r="T403" s="1" t="s">
        <v>646</v>
      </c>
      <c r="U403" s="11" t="s">
        <v>877</v>
      </c>
      <c r="V403" s="1" t="s">
        <v>41</v>
      </c>
      <c r="W403" s="1" t="s">
        <v>42</v>
      </c>
      <c r="X403" s="13" t="str">
        <f t="shared" si="47"/>
        <v/>
      </c>
      <c r="Y403" s="2">
        <f t="shared" ca="1" si="42"/>
        <v>196</v>
      </c>
      <c r="Z403" s="14">
        <v>1</v>
      </c>
      <c r="AA403" s="1" t="str">
        <f t="shared" ca="1" si="43"/>
        <v>VENCIDO</v>
      </c>
      <c r="AB403" s="1" t="str">
        <f t="shared" si="44"/>
        <v>C-14</v>
      </c>
      <c r="AC403" s="2" t="str">
        <f t="shared" si="48"/>
        <v xml:space="preserve"> ROSEMERE </v>
      </c>
      <c r="AD403" s="2">
        <f t="shared" si="45"/>
        <v>15</v>
      </c>
      <c r="AE403" s="2">
        <f t="shared" ca="1" si="46"/>
        <v>-272.27833182870381</v>
      </c>
      <c r="AF403" s="15"/>
    </row>
    <row r="404" spans="1:32" hidden="1">
      <c r="A404" s="1">
        <v>8637567</v>
      </c>
      <c r="B404" s="1" t="s">
        <v>653</v>
      </c>
      <c r="C404" t="s">
        <v>3580</v>
      </c>
      <c r="E404" s="2">
        <v>2811001400030</v>
      </c>
      <c r="F404" s="1" t="s">
        <v>647</v>
      </c>
      <c r="G404" s="1" t="s">
        <v>53</v>
      </c>
      <c r="H404" s="1" t="s">
        <v>44</v>
      </c>
      <c r="I404" s="1" t="s">
        <v>45</v>
      </c>
      <c r="J404" s="1" t="s">
        <v>46</v>
      </c>
      <c r="K404" t="s">
        <v>650</v>
      </c>
      <c r="M404" s="1" t="s">
        <v>58</v>
      </c>
      <c r="N404" s="1">
        <v>0</v>
      </c>
      <c r="O404" s="1" t="s">
        <v>105</v>
      </c>
      <c r="P404" s="11" t="s">
        <v>878</v>
      </c>
      <c r="R404" s="1">
        <v>4</v>
      </c>
      <c r="T404" s="1" t="s">
        <v>646</v>
      </c>
      <c r="U404" s="11" t="s">
        <v>879</v>
      </c>
      <c r="V404" s="1" t="s">
        <v>41</v>
      </c>
      <c r="W404" s="1" t="s">
        <v>49</v>
      </c>
      <c r="X404" s="13" t="str">
        <f t="shared" si="47"/>
        <v/>
      </c>
      <c r="Y404" s="2">
        <f t="shared" ca="1" si="42"/>
        <v>196</v>
      </c>
      <c r="Z404" s="14">
        <v>1</v>
      </c>
      <c r="AA404" s="1" t="str">
        <f t="shared" ca="1" si="43"/>
        <v>VENCIDO</v>
      </c>
      <c r="AB404" s="1" t="str">
        <f t="shared" si="44"/>
        <v>C-14</v>
      </c>
      <c r="AC404" s="2" t="str">
        <f t="shared" si="48"/>
        <v xml:space="preserve"> CLEITON </v>
      </c>
      <c r="AD404" s="2">
        <f t="shared" si="45"/>
        <v>15</v>
      </c>
      <c r="AE404" s="2">
        <f t="shared" ca="1" si="46"/>
        <v>-272.27834340278059</v>
      </c>
      <c r="AF404" s="15"/>
    </row>
    <row r="405" spans="1:32" hidden="1">
      <c r="A405" s="1">
        <v>8637560</v>
      </c>
      <c r="B405" s="1" t="s">
        <v>653</v>
      </c>
      <c r="C405" t="s">
        <v>3580</v>
      </c>
      <c r="E405" s="2">
        <v>2802001400030</v>
      </c>
      <c r="F405" s="1" t="s">
        <v>647</v>
      </c>
      <c r="G405" s="1" t="s">
        <v>53</v>
      </c>
      <c r="H405" s="1" t="s">
        <v>388</v>
      </c>
      <c r="I405" s="1" t="s">
        <v>389</v>
      </c>
      <c r="J405" s="1" t="s">
        <v>46</v>
      </c>
      <c r="K405" t="s">
        <v>650</v>
      </c>
      <c r="M405" s="1" t="s">
        <v>58</v>
      </c>
      <c r="N405" s="1">
        <v>0</v>
      </c>
      <c r="O405" s="1" t="s">
        <v>105</v>
      </c>
      <c r="P405" s="11" t="s">
        <v>880</v>
      </c>
      <c r="R405" s="1">
        <v>4</v>
      </c>
      <c r="T405" s="1" t="s">
        <v>646</v>
      </c>
      <c r="U405" s="11" t="s">
        <v>881</v>
      </c>
      <c r="V405" s="1" t="s">
        <v>41</v>
      </c>
      <c r="W405" s="1" t="s">
        <v>49</v>
      </c>
      <c r="X405" s="13" t="str">
        <f t="shared" si="47"/>
        <v/>
      </c>
      <c r="Y405" s="2">
        <f t="shared" ca="1" si="42"/>
        <v>196</v>
      </c>
      <c r="Z405" s="14">
        <v>1</v>
      </c>
      <c r="AA405" s="1" t="str">
        <f t="shared" ca="1" si="43"/>
        <v>VENCIDO</v>
      </c>
      <c r="AB405" s="1" t="str">
        <f t="shared" si="44"/>
        <v>C-14</v>
      </c>
      <c r="AC405" s="2" t="str">
        <f t="shared" si="48"/>
        <v xml:space="preserve"> CLEITON </v>
      </c>
      <c r="AD405" s="2">
        <f t="shared" si="45"/>
        <v>15</v>
      </c>
      <c r="AE405" s="2">
        <f t="shared" ca="1" si="46"/>
        <v>-272.2783549768501</v>
      </c>
      <c r="AF405" s="15"/>
    </row>
    <row r="406" spans="1:32" hidden="1">
      <c r="A406" s="1">
        <v>8637412</v>
      </c>
      <c r="B406" s="1" t="s">
        <v>653</v>
      </c>
      <c r="C406" t="s">
        <v>3580</v>
      </c>
      <c r="E406" s="2">
        <v>2625001400030</v>
      </c>
      <c r="F406" s="1" t="s">
        <v>647</v>
      </c>
      <c r="G406" s="1" t="s">
        <v>53</v>
      </c>
      <c r="H406" s="1" t="s">
        <v>317</v>
      </c>
      <c r="I406" s="1" t="s">
        <v>318</v>
      </c>
      <c r="J406" s="1" t="s">
        <v>164</v>
      </c>
      <c r="K406" t="s">
        <v>650</v>
      </c>
      <c r="M406" s="1" t="s">
        <v>58</v>
      </c>
      <c r="N406" s="1">
        <v>0</v>
      </c>
      <c r="O406" s="1" t="s">
        <v>105</v>
      </c>
      <c r="P406" s="11" t="s">
        <v>882</v>
      </c>
      <c r="R406" s="1">
        <v>4</v>
      </c>
      <c r="T406" s="1" t="s">
        <v>646</v>
      </c>
      <c r="U406" s="11" t="s">
        <v>883</v>
      </c>
      <c r="V406" s="1" t="s">
        <v>41</v>
      </c>
      <c r="W406" s="1" t="s">
        <v>49</v>
      </c>
      <c r="X406" s="13" t="str">
        <f t="shared" si="47"/>
        <v/>
      </c>
      <c r="Y406" s="2">
        <f t="shared" ca="1" si="42"/>
        <v>196</v>
      </c>
      <c r="Z406" s="14">
        <v>1</v>
      </c>
      <c r="AA406" s="1" t="str">
        <f t="shared" ca="1" si="43"/>
        <v>VENCIDO</v>
      </c>
      <c r="AB406" s="1" t="str">
        <f t="shared" si="44"/>
        <v>C-14</v>
      </c>
      <c r="AC406" s="2" t="str">
        <f t="shared" si="48"/>
        <v xml:space="preserve"> ROSEMERE </v>
      </c>
      <c r="AD406" s="2">
        <f t="shared" si="45"/>
        <v>15</v>
      </c>
      <c r="AE406" s="2">
        <f t="shared" ca="1" si="46"/>
        <v>-272.27869062499667</v>
      </c>
      <c r="AF406" s="15"/>
    </row>
    <row r="407" spans="1:32" hidden="1">
      <c r="A407" s="1">
        <v>8637224</v>
      </c>
      <c r="B407" s="1" t="s">
        <v>653</v>
      </c>
      <c r="C407" t="s">
        <v>3580</v>
      </c>
      <c r="E407" s="2">
        <v>2388001400030</v>
      </c>
      <c r="F407" s="1" t="s">
        <v>647</v>
      </c>
      <c r="G407" s="1" t="s">
        <v>53</v>
      </c>
      <c r="H407" s="1" t="s">
        <v>299</v>
      </c>
      <c r="I407" s="1" t="s">
        <v>300</v>
      </c>
      <c r="J407" s="1" t="s">
        <v>79</v>
      </c>
      <c r="K407" t="s">
        <v>650</v>
      </c>
      <c r="M407" s="1" t="s">
        <v>58</v>
      </c>
      <c r="N407" s="1">
        <v>0</v>
      </c>
      <c r="O407" s="1" t="s">
        <v>105</v>
      </c>
      <c r="P407" s="11" t="s">
        <v>884</v>
      </c>
      <c r="R407" s="1">
        <v>4</v>
      </c>
      <c r="T407" s="1" t="s">
        <v>646</v>
      </c>
      <c r="U407" s="11" t="s">
        <v>885</v>
      </c>
      <c r="V407" s="1" t="s">
        <v>41</v>
      </c>
      <c r="W407" s="1" t="s">
        <v>49</v>
      </c>
      <c r="X407" s="13" t="str">
        <f t="shared" si="47"/>
        <v/>
      </c>
      <c r="Y407" s="2">
        <f t="shared" ca="1" si="42"/>
        <v>196</v>
      </c>
      <c r="Z407" s="14">
        <v>1</v>
      </c>
      <c r="AA407" s="1" t="str">
        <f t="shared" ca="1" si="43"/>
        <v>VENCIDO</v>
      </c>
      <c r="AB407" s="1" t="str">
        <f t="shared" si="44"/>
        <v>C-14</v>
      </c>
      <c r="AC407" s="2" t="str">
        <f t="shared" si="48"/>
        <v xml:space="preserve"> ROSEMERE </v>
      </c>
      <c r="AD407" s="2">
        <f t="shared" si="45"/>
        <v>15</v>
      </c>
      <c r="AE407" s="2">
        <f t="shared" ca="1" si="46"/>
        <v>-272.27917673611228</v>
      </c>
      <c r="AF407" s="15"/>
    </row>
    <row r="408" spans="1:32" hidden="1">
      <c r="A408" s="1">
        <v>8637210</v>
      </c>
      <c r="B408" s="1" t="s">
        <v>653</v>
      </c>
      <c r="C408" t="s">
        <v>3580</v>
      </c>
      <c r="E408" s="2">
        <v>2369001400030</v>
      </c>
      <c r="F408" s="1" t="s">
        <v>647</v>
      </c>
      <c r="G408" s="1" t="s">
        <v>53</v>
      </c>
      <c r="H408" s="1" t="s">
        <v>701</v>
      </c>
      <c r="I408" s="1" t="s">
        <v>702</v>
      </c>
      <c r="J408" s="1" t="s">
        <v>141</v>
      </c>
      <c r="K408" t="s">
        <v>650</v>
      </c>
      <c r="M408" s="1" t="s">
        <v>58</v>
      </c>
      <c r="N408" s="1">
        <v>0</v>
      </c>
      <c r="O408" s="1" t="s">
        <v>105</v>
      </c>
      <c r="P408" s="11" t="s">
        <v>886</v>
      </c>
      <c r="R408" s="1">
        <v>4</v>
      </c>
      <c r="T408" s="1" t="s">
        <v>646</v>
      </c>
      <c r="U408" s="11" t="s">
        <v>887</v>
      </c>
      <c r="V408" s="1" t="s">
        <v>41</v>
      </c>
      <c r="W408" s="1" t="s">
        <v>49</v>
      </c>
      <c r="X408" s="13" t="str">
        <f t="shared" si="47"/>
        <v/>
      </c>
      <c r="Y408" s="2">
        <f t="shared" ca="1" si="42"/>
        <v>196</v>
      </c>
      <c r="Z408" s="14">
        <v>1</v>
      </c>
      <c r="AA408" s="1" t="str">
        <f t="shared" ca="1" si="43"/>
        <v>VENCIDO</v>
      </c>
      <c r="AB408" s="1" t="str">
        <f t="shared" si="44"/>
        <v>C-14</v>
      </c>
      <c r="AC408" s="2" t="str">
        <f t="shared" si="48"/>
        <v xml:space="preserve"> CRISTINA </v>
      </c>
      <c r="AD408" s="2">
        <f t="shared" si="45"/>
        <v>15</v>
      </c>
      <c r="AE408" s="2">
        <f t="shared" ca="1" si="46"/>
        <v>-272.27919988425856</v>
      </c>
      <c r="AF408" s="15"/>
    </row>
    <row r="409" spans="1:32" hidden="1">
      <c r="A409" s="1">
        <v>8637207</v>
      </c>
      <c r="B409" s="1" t="s">
        <v>653</v>
      </c>
      <c r="C409" t="s">
        <v>3580</v>
      </c>
      <c r="E409" s="2">
        <v>2365001400030</v>
      </c>
      <c r="F409" s="1" t="s">
        <v>647</v>
      </c>
      <c r="G409" s="1" t="s">
        <v>53</v>
      </c>
      <c r="H409" s="1" t="s">
        <v>159</v>
      </c>
      <c r="I409" s="1" t="s">
        <v>160</v>
      </c>
      <c r="J409" s="1" t="s">
        <v>46</v>
      </c>
      <c r="K409" t="s">
        <v>650</v>
      </c>
      <c r="M409" s="1" t="s">
        <v>58</v>
      </c>
      <c r="N409" s="1">
        <v>0</v>
      </c>
      <c r="O409" s="1" t="s">
        <v>105</v>
      </c>
      <c r="P409" s="11" t="s">
        <v>888</v>
      </c>
      <c r="R409" s="1">
        <v>4</v>
      </c>
      <c r="T409" s="1" t="s">
        <v>646</v>
      </c>
      <c r="U409" s="11" t="s">
        <v>887</v>
      </c>
      <c r="V409" s="1" t="s">
        <v>41</v>
      </c>
      <c r="W409" s="1" t="s">
        <v>49</v>
      </c>
      <c r="X409" s="13" t="str">
        <f t="shared" si="47"/>
        <v/>
      </c>
      <c r="Y409" s="2">
        <f t="shared" ca="1" si="42"/>
        <v>196</v>
      </c>
      <c r="Z409" s="14">
        <v>1</v>
      </c>
      <c r="AA409" s="1" t="str">
        <f t="shared" ca="1" si="43"/>
        <v>VENCIDO</v>
      </c>
      <c r="AB409" s="1" t="str">
        <f t="shared" si="44"/>
        <v>C-14</v>
      </c>
      <c r="AC409" s="2" t="str">
        <f t="shared" si="48"/>
        <v xml:space="preserve"> CLEITON </v>
      </c>
      <c r="AD409" s="2">
        <f t="shared" si="45"/>
        <v>15</v>
      </c>
      <c r="AE409" s="2">
        <f t="shared" ca="1" si="46"/>
        <v>-272.27919988425856</v>
      </c>
      <c r="AF409" s="15"/>
    </row>
    <row r="410" spans="1:32" hidden="1">
      <c r="A410" s="1">
        <v>8637176</v>
      </c>
      <c r="B410" s="1" t="s">
        <v>653</v>
      </c>
      <c r="C410" t="s">
        <v>3580</v>
      </c>
      <c r="E410" s="2">
        <v>2326001400030</v>
      </c>
      <c r="F410" s="1" t="s">
        <v>647</v>
      </c>
      <c r="G410" s="1" t="s">
        <v>53</v>
      </c>
      <c r="H410" s="1" t="s">
        <v>191</v>
      </c>
      <c r="I410" s="1" t="s">
        <v>192</v>
      </c>
      <c r="J410" s="1" t="s">
        <v>46</v>
      </c>
      <c r="K410" t="s">
        <v>650</v>
      </c>
      <c r="M410" s="1" t="s">
        <v>58</v>
      </c>
      <c r="N410" s="1">
        <v>0</v>
      </c>
      <c r="O410" s="1" t="s">
        <v>105</v>
      </c>
      <c r="P410" s="11" t="s">
        <v>889</v>
      </c>
      <c r="R410" s="1">
        <v>4</v>
      </c>
      <c r="T410" s="1" t="s">
        <v>646</v>
      </c>
      <c r="U410" s="11" t="s">
        <v>890</v>
      </c>
      <c r="V410" s="1" t="s">
        <v>41</v>
      </c>
      <c r="W410" s="1" t="s">
        <v>49</v>
      </c>
      <c r="X410" s="13" t="str">
        <f t="shared" si="47"/>
        <v/>
      </c>
      <c r="Y410" s="2">
        <f t="shared" ca="1" si="42"/>
        <v>196</v>
      </c>
      <c r="Z410" s="14">
        <v>1</v>
      </c>
      <c r="AA410" s="1" t="str">
        <f t="shared" ca="1" si="43"/>
        <v>VENCIDO</v>
      </c>
      <c r="AB410" s="1" t="str">
        <f t="shared" si="44"/>
        <v>C-14</v>
      </c>
      <c r="AC410" s="2" t="str">
        <f t="shared" si="48"/>
        <v xml:space="preserve"> CLEITON </v>
      </c>
      <c r="AD410" s="2">
        <f t="shared" si="45"/>
        <v>15</v>
      </c>
      <c r="AE410" s="2">
        <f t="shared" ca="1" si="46"/>
        <v>-272.27925775462791</v>
      </c>
      <c r="AF410" s="15"/>
    </row>
    <row r="411" spans="1:32" hidden="1">
      <c r="A411" s="1">
        <v>8637101</v>
      </c>
      <c r="B411" s="1" t="s">
        <v>653</v>
      </c>
      <c r="C411" t="s">
        <v>3580</v>
      </c>
      <c r="E411" s="2">
        <v>2238001400030</v>
      </c>
      <c r="F411" s="1" t="s">
        <v>647</v>
      </c>
      <c r="G411" s="1" t="s">
        <v>53</v>
      </c>
      <c r="H411" s="1" t="s">
        <v>707</v>
      </c>
      <c r="I411" s="1" t="s">
        <v>708</v>
      </c>
      <c r="J411" s="1" t="s">
        <v>79</v>
      </c>
      <c r="K411" t="s">
        <v>650</v>
      </c>
      <c r="M411" s="1" t="s">
        <v>58</v>
      </c>
      <c r="N411" s="1">
        <v>0</v>
      </c>
      <c r="O411" s="1" t="s">
        <v>105</v>
      </c>
      <c r="P411" s="11" t="s">
        <v>891</v>
      </c>
      <c r="R411" s="1">
        <v>4</v>
      </c>
      <c r="T411" s="1" t="s">
        <v>646</v>
      </c>
      <c r="U411" s="11" t="s">
        <v>892</v>
      </c>
      <c r="V411" s="1" t="s">
        <v>41</v>
      </c>
      <c r="W411" s="1" t="s">
        <v>49</v>
      </c>
      <c r="X411" s="13" t="str">
        <f t="shared" si="47"/>
        <v/>
      </c>
      <c r="Y411" s="2">
        <f t="shared" ca="1" si="42"/>
        <v>196</v>
      </c>
      <c r="Z411" s="14">
        <v>1</v>
      </c>
      <c r="AA411" s="1" t="str">
        <f t="shared" ca="1" si="43"/>
        <v>VENCIDO</v>
      </c>
      <c r="AB411" s="1" t="str">
        <f t="shared" si="44"/>
        <v>C-14</v>
      </c>
      <c r="AC411" s="2" t="str">
        <f t="shared" si="48"/>
        <v xml:space="preserve"> ROSEMERE </v>
      </c>
      <c r="AD411" s="2">
        <f t="shared" si="45"/>
        <v>15</v>
      </c>
      <c r="AE411" s="2">
        <f t="shared" ca="1" si="46"/>
        <v>-272.2794545138895</v>
      </c>
      <c r="AF411" s="15"/>
    </row>
    <row r="412" spans="1:32" hidden="1">
      <c r="A412" s="1">
        <v>8637084</v>
      </c>
      <c r="B412" s="1" t="s">
        <v>653</v>
      </c>
      <c r="C412" t="s">
        <v>3580</v>
      </c>
      <c r="E412" s="2">
        <v>2219001400030</v>
      </c>
      <c r="F412" s="1" t="s">
        <v>647</v>
      </c>
      <c r="G412" s="1" t="s">
        <v>53</v>
      </c>
      <c r="H412" s="1" t="s">
        <v>893</v>
      </c>
      <c r="I412" s="1" t="s">
        <v>894</v>
      </c>
      <c r="J412" s="1" t="s">
        <v>141</v>
      </c>
      <c r="K412" t="s">
        <v>650</v>
      </c>
      <c r="M412" s="1" t="s">
        <v>58</v>
      </c>
      <c r="N412" s="1">
        <v>0</v>
      </c>
      <c r="O412" s="1" t="s">
        <v>105</v>
      </c>
      <c r="P412" s="11" t="s">
        <v>895</v>
      </c>
      <c r="R412" s="1">
        <v>4</v>
      </c>
      <c r="T412" s="1" t="s">
        <v>646</v>
      </c>
      <c r="U412" s="11" t="s">
        <v>896</v>
      </c>
      <c r="V412" s="1" t="s">
        <v>41</v>
      </c>
      <c r="W412" s="1" t="s">
        <v>49</v>
      </c>
      <c r="X412" s="13" t="str">
        <f t="shared" si="47"/>
        <v/>
      </c>
      <c r="Y412" s="2">
        <f t="shared" ca="1" si="42"/>
        <v>196</v>
      </c>
      <c r="Z412" s="14">
        <v>1</v>
      </c>
      <c r="AA412" s="1" t="str">
        <f t="shared" ca="1" si="43"/>
        <v>VENCIDO</v>
      </c>
      <c r="AB412" s="1" t="str">
        <f t="shared" si="44"/>
        <v>C-14</v>
      </c>
      <c r="AC412" s="2" t="str">
        <f t="shared" si="48"/>
        <v xml:space="preserve"> CRISTINA </v>
      </c>
      <c r="AD412" s="2">
        <f t="shared" si="45"/>
        <v>15</v>
      </c>
      <c r="AE412" s="2">
        <f t="shared" ca="1" si="46"/>
        <v>-272.27947766203579</v>
      </c>
      <c r="AF412" s="15"/>
    </row>
    <row r="413" spans="1:32" hidden="1">
      <c r="A413" s="1">
        <v>8637010</v>
      </c>
      <c r="B413" s="1" t="s">
        <v>653</v>
      </c>
      <c r="C413" t="s">
        <v>3580</v>
      </c>
      <c r="E413" s="2">
        <v>2138001400030</v>
      </c>
      <c r="F413" s="1" t="s">
        <v>647</v>
      </c>
      <c r="G413" s="1" t="s">
        <v>53</v>
      </c>
      <c r="H413" s="1" t="s">
        <v>379</v>
      </c>
      <c r="I413" s="1" t="s">
        <v>380</v>
      </c>
      <c r="J413" s="1" t="s">
        <v>46</v>
      </c>
      <c r="K413" t="s">
        <v>650</v>
      </c>
      <c r="M413" s="1" t="s">
        <v>58</v>
      </c>
      <c r="N413" s="1">
        <v>0</v>
      </c>
      <c r="O413" s="1" t="s">
        <v>105</v>
      </c>
      <c r="P413" s="11" t="s">
        <v>897</v>
      </c>
      <c r="R413" s="1">
        <v>4</v>
      </c>
      <c r="T413" s="1" t="s">
        <v>646</v>
      </c>
      <c r="U413" s="11" t="s">
        <v>898</v>
      </c>
      <c r="V413" s="1" t="s">
        <v>41</v>
      </c>
      <c r="W413" s="1" t="s">
        <v>49</v>
      </c>
      <c r="X413" s="13" t="str">
        <f t="shared" si="47"/>
        <v/>
      </c>
      <c r="Y413" s="2">
        <f t="shared" ca="1" si="42"/>
        <v>196</v>
      </c>
      <c r="Z413" s="14">
        <v>1</v>
      </c>
      <c r="AA413" s="1" t="str">
        <f t="shared" ca="1" si="43"/>
        <v>VENCIDO</v>
      </c>
      <c r="AB413" s="1" t="str">
        <f t="shared" si="44"/>
        <v>C-14</v>
      </c>
      <c r="AC413" s="2" t="str">
        <f t="shared" si="48"/>
        <v xml:space="preserve"> CLEITON </v>
      </c>
      <c r="AD413" s="2">
        <f t="shared" si="45"/>
        <v>15</v>
      </c>
      <c r="AE413" s="2">
        <f t="shared" ca="1" si="46"/>
        <v>-272.27966284722061</v>
      </c>
      <c r="AF413" s="15"/>
    </row>
    <row r="414" spans="1:32" hidden="1">
      <c r="A414" s="1">
        <v>8636954</v>
      </c>
      <c r="B414" s="1" t="s">
        <v>653</v>
      </c>
      <c r="C414" t="s">
        <v>3580</v>
      </c>
      <c r="E414" s="2">
        <v>2069001400030</v>
      </c>
      <c r="F414" s="1" t="s">
        <v>647</v>
      </c>
      <c r="G414" s="1" t="s">
        <v>53</v>
      </c>
      <c r="H414" s="1" t="s">
        <v>557</v>
      </c>
      <c r="I414" s="1" t="s">
        <v>558</v>
      </c>
      <c r="J414" s="1" t="s">
        <v>90</v>
      </c>
      <c r="K414" t="s">
        <v>650</v>
      </c>
      <c r="M414" s="1" t="s">
        <v>58</v>
      </c>
      <c r="N414" s="1">
        <v>0</v>
      </c>
      <c r="O414" s="1" t="s">
        <v>105</v>
      </c>
      <c r="P414" s="11" t="s">
        <v>899</v>
      </c>
      <c r="R414" s="1">
        <v>4</v>
      </c>
      <c r="T414" s="1" t="s">
        <v>646</v>
      </c>
      <c r="U414" s="11" t="s">
        <v>900</v>
      </c>
      <c r="V414" s="1" t="s">
        <v>41</v>
      </c>
      <c r="W414" s="1" t="s">
        <v>49</v>
      </c>
      <c r="X414" s="13" t="str">
        <f t="shared" si="47"/>
        <v/>
      </c>
      <c r="Y414" s="2">
        <f t="shared" ca="1" si="42"/>
        <v>196</v>
      </c>
      <c r="Z414" s="14">
        <v>1</v>
      </c>
      <c r="AA414" s="1" t="str">
        <f t="shared" ca="1" si="43"/>
        <v>VENCIDO</v>
      </c>
      <c r="AB414" s="1" t="str">
        <f t="shared" si="44"/>
        <v>C-14</v>
      </c>
      <c r="AC414" s="2" t="str">
        <f t="shared" si="48"/>
        <v xml:space="preserve"> RINALDO </v>
      </c>
      <c r="AD414" s="2">
        <f t="shared" si="45"/>
        <v>15</v>
      </c>
      <c r="AE414" s="2">
        <f t="shared" ca="1" si="46"/>
        <v>-272.27981331018236</v>
      </c>
      <c r="AF414" s="15"/>
    </row>
    <row r="415" spans="1:32" hidden="1">
      <c r="A415" s="1">
        <v>8636914</v>
      </c>
      <c r="B415" s="1" t="s">
        <v>653</v>
      </c>
      <c r="C415" t="s">
        <v>3580</v>
      </c>
      <c r="E415" s="2">
        <v>2018001400030</v>
      </c>
      <c r="F415" s="1" t="s">
        <v>647</v>
      </c>
      <c r="G415" s="1" t="s">
        <v>53</v>
      </c>
      <c r="H415" s="1" t="s">
        <v>598</v>
      </c>
      <c r="I415" s="1" t="s">
        <v>599</v>
      </c>
      <c r="J415" s="1" t="s">
        <v>79</v>
      </c>
      <c r="K415" t="s">
        <v>650</v>
      </c>
      <c r="M415" s="1" t="s">
        <v>58</v>
      </c>
      <c r="N415" s="1">
        <v>0</v>
      </c>
      <c r="O415" s="1" t="s">
        <v>105</v>
      </c>
      <c r="P415" s="11" t="s">
        <v>901</v>
      </c>
      <c r="R415" s="1">
        <v>4</v>
      </c>
      <c r="T415" s="1" t="s">
        <v>646</v>
      </c>
      <c r="U415" s="11" t="s">
        <v>902</v>
      </c>
      <c r="V415" s="1" t="s">
        <v>41</v>
      </c>
      <c r="W415" s="1" t="s">
        <v>49</v>
      </c>
      <c r="X415" s="13" t="str">
        <f t="shared" si="47"/>
        <v/>
      </c>
      <c r="Y415" s="2">
        <f t="shared" ca="1" si="42"/>
        <v>196</v>
      </c>
      <c r="Z415" s="14">
        <v>1</v>
      </c>
      <c r="AA415" s="1" t="str">
        <f t="shared" ca="1" si="43"/>
        <v>VENCIDO</v>
      </c>
      <c r="AB415" s="1" t="str">
        <f t="shared" si="44"/>
        <v>C-14</v>
      </c>
      <c r="AC415" s="2" t="str">
        <f t="shared" si="48"/>
        <v xml:space="preserve"> ROSEMERE </v>
      </c>
      <c r="AD415" s="2">
        <f t="shared" si="45"/>
        <v>15</v>
      </c>
      <c r="AE415" s="2">
        <f t="shared" ca="1" si="46"/>
        <v>-272.27987118055898</v>
      </c>
      <c r="AF415" s="15"/>
    </row>
    <row r="416" spans="1:32" hidden="1">
      <c r="A416" s="1">
        <v>8636827</v>
      </c>
      <c r="B416" s="1" t="s">
        <v>653</v>
      </c>
      <c r="C416" t="s">
        <v>3580</v>
      </c>
      <c r="E416" s="2">
        <v>1838001400030</v>
      </c>
      <c r="F416" s="1" t="s">
        <v>647</v>
      </c>
      <c r="G416" s="1" t="s">
        <v>53</v>
      </c>
      <c r="H416" s="1" t="s">
        <v>357</v>
      </c>
      <c r="I416" s="1" t="s">
        <v>358</v>
      </c>
      <c r="J416" s="1" t="s">
        <v>46</v>
      </c>
      <c r="K416" t="s">
        <v>650</v>
      </c>
      <c r="M416" s="1" t="s">
        <v>58</v>
      </c>
      <c r="N416" s="1">
        <v>0</v>
      </c>
      <c r="O416" s="1" t="s">
        <v>105</v>
      </c>
      <c r="P416" s="11" t="s">
        <v>903</v>
      </c>
      <c r="R416" s="1">
        <v>4</v>
      </c>
      <c r="T416" s="1" t="s">
        <v>646</v>
      </c>
      <c r="U416" s="11" t="s">
        <v>904</v>
      </c>
      <c r="V416" s="1" t="s">
        <v>41</v>
      </c>
      <c r="W416" s="1" t="s">
        <v>49</v>
      </c>
      <c r="X416" s="13" t="str">
        <f t="shared" si="47"/>
        <v/>
      </c>
      <c r="Y416" s="2">
        <f t="shared" ca="1" si="42"/>
        <v>196</v>
      </c>
      <c r="Z416" s="14">
        <v>1</v>
      </c>
      <c r="AA416" s="1" t="str">
        <f t="shared" ca="1" si="43"/>
        <v>VENCIDO</v>
      </c>
      <c r="AB416" s="1" t="str">
        <f t="shared" si="44"/>
        <v>C-14</v>
      </c>
      <c r="AC416" s="2" t="str">
        <f t="shared" si="48"/>
        <v xml:space="preserve"> CLEITON </v>
      </c>
      <c r="AD416" s="2">
        <f t="shared" si="45"/>
        <v>15</v>
      </c>
      <c r="AE416" s="2">
        <f t="shared" ca="1" si="46"/>
        <v>-272.28006793981331</v>
      </c>
      <c r="AF416" s="15"/>
    </row>
    <row r="417" spans="1:32" hidden="1">
      <c r="A417" s="1">
        <v>8636825</v>
      </c>
      <c r="B417" s="1" t="s">
        <v>653</v>
      </c>
      <c r="C417" t="s">
        <v>3580</v>
      </c>
      <c r="E417" s="2">
        <v>1836001400030</v>
      </c>
      <c r="F417" s="1" t="s">
        <v>647</v>
      </c>
      <c r="G417" s="1" t="s">
        <v>53</v>
      </c>
      <c r="H417" s="1" t="s">
        <v>455</v>
      </c>
      <c r="I417" s="1" t="s">
        <v>456</v>
      </c>
      <c r="J417" s="1" t="s">
        <v>46</v>
      </c>
      <c r="K417" t="s">
        <v>650</v>
      </c>
      <c r="M417" s="1" t="s">
        <v>58</v>
      </c>
      <c r="N417" s="1">
        <v>0</v>
      </c>
      <c r="O417" s="1" t="s">
        <v>105</v>
      </c>
      <c r="P417" s="11" t="s">
        <v>903</v>
      </c>
      <c r="R417" s="1">
        <v>4</v>
      </c>
      <c r="T417" s="1" t="s">
        <v>646</v>
      </c>
      <c r="U417" s="11" t="s">
        <v>904</v>
      </c>
      <c r="V417" s="1" t="s">
        <v>41</v>
      </c>
      <c r="W417" s="1" t="s">
        <v>49</v>
      </c>
      <c r="X417" s="13" t="str">
        <f t="shared" si="47"/>
        <v/>
      </c>
      <c r="Y417" s="2">
        <f t="shared" ca="1" si="42"/>
        <v>196</v>
      </c>
      <c r="Z417" s="14">
        <v>1</v>
      </c>
      <c r="AA417" s="1" t="str">
        <f t="shared" ca="1" si="43"/>
        <v>VENCIDO</v>
      </c>
      <c r="AB417" s="1" t="str">
        <f t="shared" si="44"/>
        <v>C-14</v>
      </c>
      <c r="AC417" s="2" t="str">
        <f t="shared" si="48"/>
        <v xml:space="preserve"> CLEITON </v>
      </c>
      <c r="AD417" s="2">
        <f t="shared" si="45"/>
        <v>15</v>
      </c>
      <c r="AE417" s="2">
        <f t="shared" ca="1" si="46"/>
        <v>-272.28006793981331</v>
      </c>
      <c r="AF417" s="15"/>
    </row>
    <row r="418" spans="1:32" hidden="1">
      <c r="A418" s="1">
        <v>8636824</v>
      </c>
      <c r="B418" s="1" t="s">
        <v>653</v>
      </c>
      <c r="C418" t="s">
        <v>3580</v>
      </c>
      <c r="E418" s="2">
        <v>1835001400030</v>
      </c>
      <c r="F418" s="1" t="s">
        <v>647</v>
      </c>
      <c r="G418" s="1" t="s">
        <v>53</v>
      </c>
      <c r="H418" s="1" t="s">
        <v>305</v>
      </c>
      <c r="I418" s="1" t="s">
        <v>306</v>
      </c>
      <c r="J418" s="1" t="s">
        <v>46</v>
      </c>
      <c r="K418" t="s">
        <v>650</v>
      </c>
      <c r="M418" s="1" t="s">
        <v>58</v>
      </c>
      <c r="N418" s="1">
        <v>0</v>
      </c>
      <c r="O418" s="1" t="s">
        <v>105</v>
      </c>
      <c r="P418" s="11" t="s">
        <v>903</v>
      </c>
      <c r="R418" s="1">
        <v>4</v>
      </c>
      <c r="T418" s="1" t="s">
        <v>646</v>
      </c>
      <c r="U418" s="11" t="s">
        <v>904</v>
      </c>
      <c r="V418" s="1" t="s">
        <v>41</v>
      </c>
      <c r="W418" s="1" t="s">
        <v>49</v>
      </c>
      <c r="X418" s="13" t="str">
        <f t="shared" si="47"/>
        <v/>
      </c>
      <c r="Y418" s="2">
        <f t="shared" ca="1" si="42"/>
        <v>196</v>
      </c>
      <c r="Z418" s="14">
        <v>1</v>
      </c>
      <c r="AA418" s="1" t="str">
        <f t="shared" ca="1" si="43"/>
        <v>VENCIDO</v>
      </c>
      <c r="AB418" s="1" t="str">
        <f t="shared" si="44"/>
        <v>C-14</v>
      </c>
      <c r="AC418" s="2" t="str">
        <f t="shared" si="48"/>
        <v xml:space="preserve"> CLEITON </v>
      </c>
      <c r="AD418" s="2">
        <f t="shared" si="45"/>
        <v>15</v>
      </c>
      <c r="AE418" s="2">
        <f t="shared" ca="1" si="46"/>
        <v>-272.28006793981331</v>
      </c>
      <c r="AF418" s="15"/>
    </row>
    <row r="419" spans="1:32" hidden="1">
      <c r="A419" s="1">
        <v>8636822</v>
      </c>
      <c r="B419" s="1" t="s">
        <v>653</v>
      </c>
      <c r="C419" t="s">
        <v>3580</v>
      </c>
      <c r="E419" s="2">
        <v>1833001400030</v>
      </c>
      <c r="F419" s="1" t="s">
        <v>647</v>
      </c>
      <c r="G419" s="1" t="s">
        <v>53</v>
      </c>
      <c r="H419" s="1" t="s">
        <v>369</v>
      </c>
      <c r="I419" s="1" t="s">
        <v>370</v>
      </c>
      <c r="J419" s="1" t="s">
        <v>46</v>
      </c>
      <c r="K419" t="s">
        <v>650</v>
      </c>
      <c r="M419" s="1" t="s">
        <v>58</v>
      </c>
      <c r="N419" s="1">
        <v>0</v>
      </c>
      <c r="O419" s="1" t="s">
        <v>105</v>
      </c>
      <c r="P419" s="11" t="s">
        <v>905</v>
      </c>
      <c r="R419" s="1">
        <v>4</v>
      </c>
      <c r="T419" s="1" t="s">
        <v>646</v>
      </c>
      <c r="U419" s="11" t="s">
        <v>904</v>
      </c>
      <c r="V419" s="1" t="s">
        <v>41</v>
      </c>
      <c r="W419" s="1" t="s">
        <v>49</v>
      </c>
      <c r="X419" s="13" t="str">
        <f t="shared" si="47"/>
        <v/>
      </c>
      <c r="Y419" s="2">
        <f t="shared" ca="1" si="42"/>
        <v>196</v>
      </c>
      <c r="Z419" s="14">
        <v>1</v>
      </c>
      <c r="AA419" s="1" t="str">
        <f t="shared" ca="1" si="43"/>
        <v>VENCIDO</v>
      </c>
      <c r="AB419" s="1" t="str">
        <f t="shared" si="44"/>
        <v>C-14</v>
      </c>
      <c r="AC419" s="2" t="str">
        <f t="shared" si="48"/>
        <v xml:space="preserve"> CLEITON </v>
      </c>
      <c r="AD419" s="2">
        <f t="shared" si="45"/>
        <v>15</v>
      </c>
      <c r="AE419" s="2">
        <f t="shared" ca="1" si="46"/>
        <v>-272.28006793981331</v>
      </c>
      <c r="AF419" s="15"/>
    </row>
    <row r="420" spans="1:32" hidden="1">
      <c r="A420" s="1">
        <v>8636773</v>
      </c>
      <c r="B420" s="1" t="s">
        <v>653</v>
      </c>
      <c r="C420" t="s">
        <v>3580</v>
      </c>
      <c r="E420" s="2">
        <v>1764001400030</v>
      </c>
      <c r="F420" s="1" t="s">
        <v>647</v>
      </c>
      <c r="G420" s="1" t="s">
        <v>53</v>
      </c>
      <c r="H420" s="1" t="s">
        <v>722</v>
      </c>
      <c r="I420" s="1" t="s">
        <v>723</v>
      </c>
      <c r="J420" s="1" t="s">
        <v>90</v>
      </c>
      <c r="K420" t="s">
        <v>650</v>
      </c>
      <c r="M420" s="1" t="s">
        <v>58</v>
      </c>
      <c r="N420" s="1">
        <v>0</v>
      </c>
      <c r="O420" s="1" t="s">
        <v>36</v>
      </c>
      <c r="P420" s="11" t="s">
        <v>906</v>
      </c>
      <c r="R420" s="1">
        <v>4</v>
      </c>
      <c r="T420" s="1" t="s">
        <v>646</v>
      </c>
      <c r="U420" s="11" t="s">
        <v>907</v>
      </c>
      <c r="V420" s="1" t="s">
        <v>41</v>
      </c>
      <c r="W420" s="1" t="s">
        <v>49</v>
      </c>
      <c r="X420" s="13" t="str">
        <f t="shared" si="47"/>
        <v/>
      </c>
      <c r="Y420" s="2">
        <f t="shared" ca="1" si="42"/>
        <v>196</v>
      </c>
      <c r="Z420" s="14">
        <v>1</v>
      </c>
      <c r="AA420" s="1" t="str">
        <f t="shared" ca="1" si="43"/>
        <v>VENCIDO</v>
      </c>
      <c r="AB420" s="1" t="str">
        <f t="shared" si="44"/>
        <v>C-14</v>
      </c>
      <c r="AC420" s="2" t="str">
        <f t="shared" si="48"/>
        <v xml:space="preserve"> RINALDO </v>
      </c>
      <c r="AD420" s="2">
        <f t="shared" si="45"/>
        <v>15</v>
      </c>
      <c r="AE420" s="2">
        <f t="shared" ca="1" si="46"/>
        <v>-272.28014895833621</v>
      </c>
      <c r="AF420" s="15"/>
    </row>
    <row r="421" spans="1:32" hidden="1">
      <c r="A421" s="1">
        <v>8636745</v>
      </c>
      <c r="B421" s="1" t="s">
        <v>653</v>
      </c>
      <c r="C421" t="s">
        <v>3580</v>
      </c>
      <c r="E421" s="2">
        <v>1732001400030</v>
      </c>
      <c r="F421" s="1" t="s">
        <v>647</v>
      </c>
      <c r="G421" s="1" t="s">
        <v>53</v>
      </c>
      <c r="H421" s="1" t="s">
        <v>177</v>
      </c>
      <c r="I421" s="1" t="s">
        <v>178</v>
      </c>
      <c r="J421" s="1" t="s">
        <v>164</v>
      </c>
      <c r="K421" t="s">
        <v>650</v>
      </c>
      <c r="M421" s="1" t="s">
        <v>58</v>
      </c>
      <c r="N421" s="1">
        <v>0</v>
      </c>
      <c r="O421" s="1" t="s">
        <v>105</v>
      </c>
      <c r="P421" s="11" t="s">
        <v>908</v>
      </c>
      <c r="R421" s="1">
        <v>4</v>
      </c>
      <c r="T421" s="1" t="s">
        <v>646</v>
      </c>
      <c r="U421" s="11" t="s">
        <v>909</v>
      </c>
      <c r="V421" s="1" t="s">
        <v>41</v>
      </c>
      <c r="W421" s="1" t="s">
        <v>49</v>
      </c>
      <c r="X421" s="13" t="str">
        <f t="shared" si="47"/>
        <v/>
      </c>
      <c r="Y421" s="2">
        <f t="shared" ca="1" si="42"/>
        <v>196</v>
      </c>
      <c r="Z421" s="14">
        <v>1</v>
      </c>
      <c r="AA421" s="1" t="str">
        <f t="shared" ca="1" si="43"/>
        <v>VENCIDO</v>
      </c>
      <c r="AB421" s="1" t="str">
        <f t="shared" si="44"/>
        <v>C-14</v>
      </c>
      <c r="AC421" s="2" t="str">
        <f t="shared" si="48"/>
        <v xml:space="preserve"> ROSEMERE </v>
      </c>
      <c r="AD421" s="2">
        <f t="shared" si="45"/>
        <v>15</v>
      </c>
      <c r="AE421" s="2">
        <f t="shared" ca="1" si="46"/>
        <v>-272.28026469907491</v>
      </c>
      <c r="AF421" s="15"/>
    </row>
    <row r="422" spans="1:32" hidden="1">
      <c r="A422" s="1">
        <v>8636688</v>
      </c>
      <c r="B422" s="1" t="s">
        <v>653</v>
      </c>
      <c r="C422" t="s">
        <v>3580</v>
      </c>
      <c r="E422" s="2">
        <v>1664001400030</v>
      </c>
      <c r="F422" s="1" t="s">
        <v>647</v>
      </c>
      <c r="G422" s="1" t="s">
        <v>53</v>
      </c>
      <c r="H422" s="1" t="s">
        <v>307</v>
      </c>
      <c r="I422" s="1" t="s">
        <v>308</v>
      </c>
      <c r="J422" s="1" t="s">
        <v>164</v>
      </c>
      <c r="K422" t="s">
        <v>650</v>
      </c>
      <c r="M422" s="1" t="s">
        <v>58</v>
      </c>
      <c r="N422" s="1">
        <v>0</v>
      </c>
      <c r="O422" s="1" t="s">
        <v>105</v>
      </c>
      <c r="P422" s="11" t="s">
        <v>910</v>
      </c>
      <c r="R422" s="1">
        <v>4</v>
      </c>
      <c r="T422" s="1" t="s">
        <v>646</v>
      </c>
      <c r="U422" s="11" t="s">
        <v>911</v>
      </c>
      <c r="V422" s="1" t="s">
        <v>41</v>
      </c>
      <c r="W422" s="1" t="s">
        <v>49</v>
      </c>
      <c r="X422" s="13" t="str">
        <f t="shared" si="47"/>
        <v/>
      </c>
      <c r="Y422" s="2">
        <f t="shared" ca="1" si="42"/>
        <v>196</v>
      </c>
      <c r="Z422" s="14">
        <v>1</v>
      </c>
      <c r="AA422" s="1" t="str">
        <f t="shared" ca="1" si="43"/>
        <v>VENCIDO</v>
      </c>
      <c r="AB422" s="1" t="str">
        <f t="shared" si="44"/>
        <v>C-14</v>
      </c>
      <c r="AC422" s="2" t="str">
        <f t="shared" si="48"/>
        <v xml:space="preserve"> ROSEMERE </v>
      </c>
      <c r="AD422" s="2">
        <f t="shared" si="45"/>
        <v>15</v>
      </c>
      <c r="AE422" s="2">
        <f t="shared" ca="1" si="46"/>
        <v>-272.28035729166731</v>
      </c>
      <c r="AF422" s="15"/>
    </row>
    <row r="423" spans="1:32" hidden="1">
      <c r="A423" s="1">
        <v>8636669</v>
      </c>
      <c r="B423" s="1" t="s">
        <v>653</v>
      </c>
      <c r="C423" t="s">
        <v>3580</v>
      </c>
      <c r="E423" s="2">
        <v>1643001400030</v>
      </c>
      <c r="F423" s="1" t="s">
        <v>647</v>
      </c>
      <c r="G423" s="1" t="s">
        <v>53</v>
      </c>
      <c r="H423" s="1" t="s">
        <v>361</v>
      </c>
      <c r="I423" s="1" t="s">
        <v>362</v>
      </c>
      <c r="J423" s="1" t="s">
        <v>261</v>
      </c>
      <c r="K423" t="s">
        <v>650</v>
      </c>
      <c r="M423" s="1" t="s">
        <v>58</v>
      </c>
      <c r="N423" s="1">
        <v>0</v>
      </c>
      <c r="O423" s="1" t="s">
        <v>105</v>
      </c>
      <c r="P423" s="11" t="s">
        <v>3442</v>
      </c>
      <c r="R423" s="1">
        <v>4</v>
      </c>
      <c r="T423" s="1" t="s">
        <v>646</v>
      </c>
      <c r="U423" s="11" t="s">
        <v>3972</v>
      </c>
      <c r="V423" s="1" t="s">
        <v>41</v>
      </c>
      <c r="W423" s="1" t="s">
        <v>49</v>
      </c>
      <c r="X423" s="13" t="str">
        <f t="shared" si="47"/>
        <v/>
      </c>
      <c r="Y423" s="2">
        <f t="shared" ca="1" si="42"/>
        <v>196</v>
      </c>
      <c r="Z423" s="14">
        <v>1</v>
      </c>
      <c r="AA423" s="1" t="str">
        <f t="shared" ca="1" si="43"/>
        <v>VENCIDO</v>
      </c>
      <c r="AB423" s="1" t="str">
        <f t="shared" si="44"/>
        <v>C-14</v>
      </c>
      <c r="AC423" s="2" t="str">
        <f t="shared" si="48"/>
        <v xml:space="preserve"> CRISTINA </v>
      </c>
      <c r="AD423" s="2">
        <f t="shared" si="45"/>
        <v>15</v>
      </c>
      <c r="AE423" s="2">
        <f t="shared" ca="1" si="46"/>
        <v>-272.2803804398136</v>
      </c>
      <c r="AF423" s="15"/>
    </row>
    <row r="424" spans="1:32" hidden="1">
      <c r="A424" s="1">
        <v>8636651</v>
      </c>
      <c r="B424" s="1" t="s">
        <v>653</v>
      </c>
      <c r="C424" t="s">
        <v>3580</v>
      </c>
      <c r="E424" s="2">
        <v>1620001400030</v>
      </c>
      <c r="F424" s="1" t="s">
        <v>647</v>
      </c>
      <c r="G424" s="1" t="s">
        <v>53</v>
      </c>
      <c r="H424" s="1" t="s">
        <v>402</v>
      </c>
      <c r="I424" s="1" t="s">
        <v>403</v>
      </c>
      <c r="J424" s="1" t="s">
        <v>46</v>
      </c>
      <c r="K424" t="s">
        <v>650</v>
      </c>
      <c r="M424" s="1" t="s">
        <v>58</v>
      </c>
      <c r="N424" s="1">
        <v>0</v>
      </c>
      <c r="O424" s="1" t="s">
        <v>36</v>
      </c>
      <c r="P424" s="11" t="s">
        <v>912</v>
      </c>
      <c r="R424" s="1">
        <v>4</v>
      </c>
      <c r="T424" s="1" t="s">
        <v>646</v>
      </c>
      <c r="U424" s="11" t="s">
        <v>913</v>
      </c>
      <c r="V424" s="1" t="s">
        <v>41</v>
      </c>
      <c r="W424" s="1" t="s">
        <v>49</v>
      </c>
      <c r="X424" s="13" t="str">
        <f t="shared" si="47"/>
        <v/>
      </c>
      <c r="Y424" s="2">
        <f t="shared" ca="1" si="42"/>
        <v>196</v>
      </c>
      <c r="Z424" s="14">
        <v>1</v>
      </c>
      <c r="AA424" s="1" t="str">
        <f t="shared" ca="1" si="43"/>
        <v>VENCIDO</v>
      </c>
      <c r="AB424" s="1" t="str">
        <f t="shared" si="44"/>
        <v>C-14</v>
      </c>
      <c r="AC424" s="2" t="str">
        <f t="shared" si="48"/>
        <v xml:space="preserve"> CLEITON </v>
      </c>
      <c r="AD424" s="2">
        <f t="shared" si="45"/>
        <v>15</v>
      </c>
      <c r="AE424" s="2">
        <f t="shared" ca="1" si="46"/>
        <v>-272.28049618055229</v>
      </c>
      <c r="AF424" s="15"/>
    </row>
    <row r="425" spans="1:32" hidden="1">
      <c r="A425" s="1">
        <v>8636574</v>
      </c>
      <c r="B425" s="1" t="s">
        <v>653</v>
      </c>
      <c r="C425" t="s">
        <v>3580</v>
      </c>
      <c r="E425" s="2">
        <v>1509001400030</v>
      </c>
      <c r="F425" s="1" t="s">
        <v>647</v>
      </c>
      <c r="G425" s="1" t="s">
        <v>53</v>
      </c>
      <c r="H425" s="1" t="s">
        <v>731</v>
      </c>
      <c r="I425" s="1" t="s">
        <v>732</v>
      </c>
      <c r="J425" s="1" t="s">
        <v>46</v>
      </c>
      <c r="K425" t="s">
        <v>650</v>
      </c>
      <c r="M425" s="1" t="s">
        <v>58</v>
      </c>
      <c r="N425" s="1">
        <v>0</v>
      </c>
      <c r="O425" s="1" t="s">
        <v>105</v>
      </c>
      <c r="P425" s="11" t="s">
        <v>914</v>
      </c>
      <c r="R425" s="1">
        <v>4</v>
      </c>
      <c r="T425" s="1" t="s">
        <v>646</v>
      </c>
      <c r="U425" s="11" t="s">
        <v>915</v>
      </c>
      <c r="V425" s="1" t="s">
        <v>41</v>
      </c>
      <c r="W425" s="1" t="s">
        <v>49</v>
      </c>
      <c r="X425" s="13" t="str">
        <f t="shared" si="47"/>
        <v/>
      </c>
      <c r="Y425" s="2">
        <f t="shared" ca="1" si="42"/>
        <v>196</v>
      </c>
      <c r="Z425" s="14">
        <v>1</v>
      </c>
      <c r="AA425" s="1" t="str">
        <f t="shared" ca="1" si="43"/>
        <v>VENCIDO</v>
      </c>
      <c r="AB425" s="1" t="str">
        <f t="shared" si="44"/>
        <v>C-14</v>
      </c>
      <c r="AC425" s="2" t="str">
        <f t="shared" si="48"/>
        <v xml:space="preserve"> CLEITON </v>
      </c>
      <c r="AD425" s="2">
        <f t="shared" si="45"/>
        <v>15</v>
      </c>
      <c r="AE425" s="2">
        <f t="shared" ca="1" si="46"/>
        <v>-272.28060034722148</v>
      </c>
      <c r="AF425" s="15"/>
    </row>
    <row r="426" spans="1:32" hidden="1">
      <c r="A426" s="1">
        <v>8636441</v>
      </c>
      <c r="B426" s="1" t="s">
        <v>653</v>
      </c>
      <c r="C426" t="s">
        <v>3580</v>
      </c>
      <c r="E426" s="2">
        <v>1362001400030</v>
      </c>
      <c r="F426" s="1" t="s">
        <v>647</v>
      </c>
      <c r="G426" s="1" t="s">
        <v>53</v>
      </c>
      <c r="H426" s="1" t="s">
        <v>268</v>
      </c>
      <c r="I426" s="1" t="s">
        <v>269</v>
      </c>
      <c r="J426" s="1" t="s">
        <v>90</v>
      </c>
      <c r="K426" t="s">
        <v>650</v>
      </c>
      <c r="M426" s="1" t="s">
        <v>58</v>
      </c>
      <c r="N426" s="1">
        <v>0</v>
      </c>
      <c r="O426" s="1" t="s">
        <v>105</v>
      </c>
      <c r="P426" s="11" t="s">
        <v>916</v>
      </c>
      <c r="R426" s="1">
        <v>4</v>
      </c>
      <c r="T426" s="1" t="s">
        <v>646</v>
      </c>
      <c r="U426" s="11" t="s">
        <v>918</v>
      </c>
      <c r="V426" s="1" t="s">
        <v>41</v>
      </c>
      <c r="W426" s="1" t="s">
        <v>49</v>
      </c>
      <c r="X426" s="13" t="str">
        <f t="shared" si="47"/>
        <v/>
      </c>
      <c r="Y426" s="2">
        <f t="shared" ca="1" si="42"/>
        <v>196</v>
      </c>
      <c r="Z426" s="14">
        <v>1</v>
      </c>
      <c r="AA426" s="1" t="str">
        <f t="shared" ca="1" si="43"/>
        <v>VENCIDO</v>
      </c>
      <c r="AB426" s="1" t="str">
        <f t="shared" si="44"/>
        <v>C-14</v>
      </c>
      <c r="AC426" s="2" t="str">
        <f t="shared" si="48"/>
        <v xml:space="preserve"> RINALDO </v>
      </c>
      <c r="AD426" s="2">
        <f t="shared" si="45"/>
        <v>15</v>
      </c>
      <c r="AE426" s="2">
        <f t="shared" ca="1" si="46"/>
        <v>-272.28094756944483</v>
      </c>
      <c r="AF426" s="15"/>
    </row>
    <row r="427" spans="1:32" hidden="1">
      <c r="A427" s="1">
        <v>8636439</v>
      </c>
      <c r="B427" s="1" t="s">
        <v>653</v>
      </c>
      <c r="C427" t="s">
        <v>3580</v>
      </c>
      <c r="E427" s="2">
        <v>1360001400030</v>
      </c>
      <c r="F427" s="1" t="s">
        <v>647</v>
      </c>
      <c r="G427" s="1" t="s">
        <v>53</v>
      </c>
      <c r="H427" s="1" t="s">
        <v>303</v>
      </c>
      <c r="I427" s="1" t="s">
        <v>304</v>
      </c>
      <c r="J427" s="1" t="s">
        <v>261</v>
      </c>
      <c r="K427" t="s">
        <v>650</v>
      </c>
      <c r="M427" s="1" t="s">
        <v>58</v>
      </c>
      <c r="N427" s="1">
        <v>0</v>
      </c>
      <c r="O427" s="1" t="s">
        <v>105</v>
      </c>
      <c r="P427" s="11" t="s">
        <v>916</v>
      </c>
      <c r="R427" s="1">
        <v>4</v>
      </c>
      <c r="T427" s="1" t="s">
        <v>646</v>
      </c>
      <c r="U427" s="11" t="s">
        <v>918</v>
      </c>
      <c r="V427" s="1" t="s">
        <v>41</v>
      </c>
      <c r="W427" s="1" t="s">
        <v>49</v>
      </c>
      <c r="X427" s="13" t="str">
        <f t="shared" si="47"/>
        <v/>
      </c>
      <c r="Y427" s="2">
        <f t="shared" ca="1" si="42"/>
        <v>196</v>
      </c>
      <c r="Z427" s="14">
        <v>1</v>
      </c>
      <c r="AA427" s="1" t="str">
        <f t="shared" ca="1" si="43"/>
        <v>VENCIDO</v>
      </c>
      <c r="AB427" s="1" t="str">
        <f t="shared" si="44"/>
        <v>C-14</v>
      </c>
      <c r="AC427" s="2" t="str">
        <f t="shared" si="48"/>
        <v xml:space="preserve"> CRISTINA </v>
      </c>
      <c r="AD427" s="2">
        <f t="shared" si="45"/>
        <v>15</v>
      </c>
      <c r="AE427" s="2">
        <f t="shared" ca="1" si="46"/>
        <v>-272.28094756944483</v>
      </c>
      <c r="AF427" s="15"/>
    </row>
    <row r="428" spans="1:32" hidden="1">
      <c r="A428" s="1">
        <v>8636438</v>
      </c>
      <c r="B428" s="1" t="s">
        <v>653</v>
      </c>
      <c r="C428" t="s">
        <v>3580</v>
      </c>
      <c r="E428" s="2">
        <v>1359001400030</v>
      </c>
      <c r="F428" s="1" t="s">
        <v>647</v>
      </c>
      <c r="G428" s="1" t="s">
        <v>53</v>
      </c>
      <c r="H428" s="1" t="s">
        <v>270</v>
      </c>
      <c r="I428" s="1" t="s">
        <v>271</v>
      </c>
      <c r="J428" s="1" t="s">
        <v>141</v>
      </c>
      <c r="K428" t="s">
        <v>650</v>
      </c>
      <c r="M428" s="1" t="s">
        <v>58</v>
      </c>
      <c r="N428" s="1">
        <v>0</v>
      </c>
      <c r="O428" s="1" t="s">
        <v>105</v>
      </c>
      <c r="P428" s="11" t="s">
        <v>917</v>
      </c>
      <c r="R428" s="1">
        <v>4</v>
      </c>
      <c r="T428" s="1" t="s">
        <v>646</v>
      </c>
      <c r="U428" s="11" t="s">
        <v>918</v>
      </c>
      <c r="V428" s="1" t="s">
        <v>41</v>
      </c>
      <c r="W428" s="1" t="s">
        <v>49</v>
      </c>
      <c r="X428" s="13" t="str">
        <f t="shared" si="47"/>
        <v/>
      </c>
      <c r="Y428" s="2">
        <f t="shared" ca="1" si="42"/>
        <v>196</v>
      </c>
      <c r="Z428" s="14">
        <v>1</v>
      </c>
      <c r="AA428" s="1" t="str">
        <f t="shared" ca="1" si="43"/>
        <v>VENCIDO</v>
      </c>
      <c r="AB428" s="1" t="str">
        <f t="shared" si="44"/>
        <v>C-14</v>
      </c>
      <c r="AC428" s="2" t="str">
        <f t="shared" si="48"/>
        <v xml:space="preserve"> CRISTINA </v>
      </c>
      <c r="AD428" s="2">
        <f t="shared" si="45"/>
        <v>15</v>
      </c>
      <c r="AE428" s="2">
        <f t="shared" ca="1" si="46"/>
        <v>-272.28094756944483</v>
      </c>
      <c r="AF428" s="15"/>
    </row>
    <row r="429" spans="1:32" hidden="1">
      <c r="A429" s="1">
        <v>8636177</v>
      </c>
      <c r="B429" s="1" t="s">
        <v>653</v>
      </c>
      <c r="C429" t="s">
        <v>3580</v>
      </c>
      <c r="E429" s="2">
        <v>1059001400030</v>
      </c>
      <c r="F429" s="1" t="s">
        <v>647</v>
      </c>
      <c r="G429" s="1" t="s">
        <v>53</v>
      </c>
      <c r="H429" s="1" t="s">
        <v>88</v>
      </c>
      <c r="I429" s="1" t="s">
        <v>89</v>
      </c>
      <c r="J429" s="1" t="s">
        <v>90</v>
      </c>
      <c r="K429" t="s">
        <v>650</v>
      </c>
      <c r="M429" s="1" t="s">
        <v>58</v>
      </c>
      <c r="N429" s="1">
        <v>0</v>
      </c>
      <c r="O429" s="1" t="s">
        <v>105</v>
      </c>
      <c r="P429" s="11" t="s">
        <v>919</v>
      </c>
      <c r="R429" s="1">
        <v>4</v>
      </c>
      <c r="T429" s="1" t="s">
        <v>646</v>
      </c>
      <c r="U429" s="11" t="s">
        <v>920</v>
      </c>
      <c r="V429" s="1" t="s">
        <v>41</v>
      </c>
      <c r="W429" s="1" t="s">
        <v>49</v>
      </c>
      <c r="X429" s="13" t="str">
        <f t="shared" si="47"/>
        <v/>
      </c>
      <c r="Y429" s="2">
        <f t="shared" ca="1" si="42"/>
        <v>196</v>
      </c>
      <c r="Z429" s="14">
        <v>1</v>
      </c>
      <c r="AA429" s="1" t="str">
        <f t="shared" ca="1" si="43"/>
        <v>VENCIDO</v>
      </c>
      <c r="AB429" s="1" t="str">
        <f t="shared" si="44"/>
        <v>C-14</v>
      </c>
      <c r="AC429" s="2" t="str">
        <f t="shared" si="48"/>
        <v xml:space="preserve"> RINALDO </v>
      </c>
      <c r="AD429" s="2">
        <f t="shared" si="45"/>
        <v>15</v>
      </c>
      <c r="AE429" s="2">
        <f t="shared" ca="1" si="46"/>
        <v>-272.28149155092251</v>
      </c>
      <c r="AF429" s="15"/>
    </row>
    <row r="430" spans="1:32" hidden="1">
      <c r="A430" s="1">
        <v>8636168</v>
      </c>
      <c r="B430" s="1" t="s">
        <v>653</v>
      </c>
      <c r="C430" t="s">
        <v>3580</v>
      </c>
      <c r="E430" s="2">
        <v>1049001400030</v>
      </c>
      <c r="F430" s="1" t="s">
        <v>647</v>
      </c>
      <c r="G430" s="1" t="s">
        <v>53</v>
      </c>
      <c r="H430" s="1" t="s">
        <v>169</v>
      </c>
      <c r="I430" s="1" t="s">
        <v>170</v>
      </c>
      <c r="J430" s="1" t="s">
        <v>164</v>
      </c>
      <c r="K430" t="s">
        <v>650</v>
      </c>
      <c r="M430" s="1" t="s">
        <v>58</v>
      </c>
      <c r="N430" s="1">
        <v>0</v>
      </c>
      <c r="O430" s="1" t="s">
        <v>105</v>
      </c>
      <c r="P430" s="11" t="s">
        <v>921</v>
      </c>
      <c r="R430" s="1">
        <v>4</v>
      </c>
      <c r="T430" s="1" t="s">
        <v>646</v>
      </c>
      <c r="U430" s="11" t="s">
        <v>922</v>
      </c>
      <c r="V430" s="1" t="s">
        <v>41</v>
      </c>
      <c r="W430" s="1" t="s">
        <v>49</v>
      </c>
      <c r="X430" s="13" t="str">
        <f t="shared" si="47"/>
        <v/>
      </c>
      <c r="Y430" s="2">
        <f t="shared" ca="1" si="42"/>
        <v>196</v>
      </c>
      <c r="Z430" s="14">
        <v>1</v>
      </c>
      <c r="AA430" s="1" t="str">
        <f t="shared" ca="1" si="43"/>
        <v>VENCIDO</v>
      </c>
      <c r="AB430" s="1" t="str">
        <f t="shared" si="44"/>
        <v>C-14</v>
      </c>
      <c r="AC430" s="2" t="str">
        <f t="shared" si="48"/>
        <v xml:space="preserve"> ROSEMERE </v>
      </c>
      <c r="AD430" s="2">
        <f t="shared" si="45"/>
        <v>15</v>
      </c>
      <c r="AE430" s="2">
        <f t="shared" ca="1" si="46"/>
        <v>-272.28150312499929</v>
      </c>
      <c r="AF430" s="15"/>
    </row>
    <row r="431" spans="1:32" hidden="1">
      <c r="A431" s="1">
        <v>8636064</v>
      </c>
      <c r="B431" s="1" t="s">
        <v>653</v>
      </c>
      <c r="C431" t="s">
        <v>3580</v>
      </c>
      <c r="E431" s="2">
        <v>934001400030</v>
      </c>
      <c r="F431" s="1" t="s">
        <v>647</v>
      </c>
      <c r="G431" s="1" t="s">
        <v>53</v>
      </c>
      <c r="H431" s="1" t="s">
        <v>428</v>
      </c>
      <c r="I431" s="1" t="s">
        <v>429</v>
      </c>
      <c r="J431" s="1" t="s">
        <v>46</v>
      </c>
      <c r="K431" t="s">
        <v>650</v>
      </c>
      <c r="M431" s="1" t="s">
        <v>58</v>
      </c>
      <c r="N431" s="1">
        <v>0</v>
      </c>
      <c r="O431" s="1" t="s">
        <v>105</v>
      </c>
      <c r="P431" s="11" t="s">
        <v>923</v>
      </c>
      <c r="R431" s="1">
        <v>4</v>
      </c>
      <c r="T431" s="1" t="s">
        <v>646</v>
      </c>
      <c r="U431" s="11" t="s">
        <v>924</v>
      </c>
      <c r="V431" s="1" t="s">
        <v>41</v>
      </c>
      <c r="W431" s="1" t="s">
        <v>49</v>
      </c>
      <c r="X431" s="13" t="str">
        <f t="shared" si="47"/>
        <v/>
      </c>
      <c r="Y431" s="2">
        <f t="shared" ca="1" si="42"/>
        <v>196</v>
      </c>
      <c r="Z431" s="14">
        <v>1</v>
      </c>
      <c r="AA431" s="1" t="str">
        <f t="shared" ca="1" si="43"/>
        <v>VENCIDO</v>
      </c>
      <c r="AB431" s="1" t="str">
        <f t="shared" si="44"/>
        <v>C-14</v>
      </c>
      <c r="AC431" s="2" t="str">
        <f t="shared" si="48"/>
        <v xml:space="preserve"> CLEITON </v>
      </c>
      <c r="AD431" s="2">
        <f t="shared" si="45"/>
        <v>15</v>
      </c>
      <c r="AE431" s="2">
        <f t="shared" ca="1" si="46"/>
        <v>-272.28174618055345</v>
      </c>
      <c r="AF431" s="15"/>
    </row>
    <row r="432" spans="1:32" hidden="1">
      <c r="A432" s="1">
        <v>8635859</v>
      </c>
      <c r="B432" s="1" t="s">
        <v>653</v>
      </c>
      <c r="C432" t="s">
        <v>3580</v>
      </c>
      <c r="E432" s="2">
        <v>714001400030</v>
      </c>
      <c r="F432" s="1" t="s">
        <v>647</v>
      </c>
      <c r="G432" s="1" t="s">
        <v>53</v>
      </c>
      <c r="H432" s="1" t="s">
        <v>377</v>
      </c>
      <c r="I432" s="1" t="s">
        <v>378</v>
      </c>
      <c r="J432" s="1" t="s">
        <v>46</v>
      </c>
      <c r="K432" t="s">
        <v>650</v>
      </c>
      <c r="M432" s="1" t="s">
        <v>58</v>
      </c>
      <c r="N432" s="1">
        <v>0</v>
      </c>
      <c r="O432" s="1" t="s">
        <v>105</v>
      </c>
      <c r="P432" s="11" t="s">
        <v>925</v>
      </c>
      <c r="R432" s="1">
        <v>4</v>
      </c>
      <c r="T432" s="1" t="s">
        <v>646</v>
      </c>
      <c r="U432" s="186">
        <v>44714.394085648149</v>
      </c>
      <c r="V432" s="1" t="s">
        <v>41</v>
      </c>
      <c r="W432" s="1" t="s">
        <v>49</v>
      </c>
      <c r="X432" s="13" t="str">
        <f t="shared" si="47"/>
        <v/>
      </c>
      <c r="Y432" s="2">
        <f t="shared" ca="1" si="42"/>
        <v>196</v>
      </c>
      <c r="Z432" s="14">
        <v>1</v>
      </c>
      <c r="AA432" s="1" t="str">
        <f t="shared" ca="1" si="43"/>
        <v>VENCIDO</v>
      </c>
      <c r="AB432" s="1" t="str">
        <f t="shared" si="44"/>
        <v>C-14</v>
      </c>
      <c r="AC432" s="2" t="str">
        <f t="shared" si="48"/>
        <v xml:space="preserve"> CLEITON </v>
      </c>
      <c r="AD432" s="2">
        <f t="shared" si="45"/>
        <v>15</v>
      </c>
      <c r="AE432" s="2">
        <f t="shared" ca="1" si="46"/>
        <v>-272.28218599536922</v>
      </c>
      <c r="AF432" s="15"/>
    </row>
    <row r="433" spans="1:32" hidden="1">
      <c r="A433" s="1">
        <v>8635857</v>
      </c>
      <c r="B433" s="1" t="s">
        <v>653</v>
      </c>
      <c r="C433" t="s">
        <v>3580</v>
      </c>
      <c r="E433" s="2">
        <v>711001400030</v>
      </c>
      <c r="F433" s="1" t="s">
        <v>647</v>
      </c>
      <c r="G433" s="1" t="s">
        <v>53</v>
      </c>
      <c r="H433" s="1" t="s">
        <v>77</v>
      </c>
      <c r="I433" s="1" t="s">
        <v>78</v>
      </c>
      <c r="J433" s="1" t="s">
        <v>79</v>
      </c>
      <c r="K433" t="s">
        <v>650</v>
      </c>
      <c r="M433" s="1" t="s">
        <v>58</v>
      </c>
      <c r="N433" s="1">
        <v>0</v>
      </c>
      <c r="O433" s="1" t="s">
        <v>105</v>
      </c>
      <c r="P433" s="11" t="s">
        <v>927</v>
      </c>
      <c r="R433" s="1">
        <v>4</v>
      </c>
      <c r="T433" s="1" t="s">
        <v>646</v>
      </c>
      <c r="U433" s="186">
        <v>44714.394074074073</v>
      </c>
      <c r="V433" s="1" t="s">
        <v>41</v>
      </c>
      <c r="W433" s="1" t="s">
        <v>49</v>
      </c>
      <c r="X433" s="13" t="str">
        <f t="shared" si="47"/>
        <v/>
      </c>
      <c r="Y433" s="2">
        <f t="shared" ca="1" si="42"/>
        <v>196</v>
      </c>
      <c r="Z433" s="14">
        <v>1</v>
      </c>
      <c r="AA433" s="1" t="str">
        <f t="shared" ca="1" si="43"/>
        <v>VENCIDO</v>
      </c>
      <c r="AB433" s="1" t="str">
        <f t="shared" si="44"/>
        <v>C-14</v>
      </c>
      <c r="AC433" s="2" t="str">
        <f t="shared" si="48"/>
        <v xml:space="preserve"> ROSEMERE </v>
      </c>
      <c r="AD433" s="2">
        <f t="shared" si="45"/>
        <v>15</v>
      </c>
      <c r="AE433" s="2">
        <f t="shared" ca="1" si="46"/>
        <v>-272.282197569446</v>
      </c>
      <c r="AF433" s="15"/>
    </row>
    <row r="434" spans="1:32" hidden="1">
      <c r="A434" s="1">
        <v>8635856</v>
      </c>
      <c r="B434" s="1" t="s">
        <v>653</v>
      </c>
      <c r="C434" t="s">
        <v>3580</v>
      </c>
      <c r="E434" s="2">
        <v>710001400030</v>
      </c>
      <c r="F434" s="1" t="s">
        <v>647</v>
      </c>
      <c r="G434" s="1" t="s">
        <v>53</v>
      </c>
      <c r="H434" s="1" t="s">
        <v>390</v>
      </c>
      <c r="I434" s="1" t="s">
        <v>391</v>
      </c>
      <c r="J434" s="1" t="s">
        <v>56</v>
      </c>
      <c r="K434" t="s">
        <v>650</v>
      </c>
      <c r="M434" s="1" t="s">
        <v>58</v>
      </c>
      <c r="N434" s="1">
        <v>0</v>
      </c>
      <c r="O434" s="1" t="s">
        <v>36</v>
      </c>
      <c r="P434" s="11" t="s">
        <v>927</v>
      </c>
      <c r="R434" s="1">
        <v>4</v>
      </c>
      <c r="T434" s="1" t="s">
        <v>646</v>
      </c>
      <c r="U434" s="186">
        <v>44714.394074074073</v>
      </c>
      <c r="V434" s="1" t="s">
        <v>41</v>
      </c>
      <c r="W434" s="1" t="s">
        <v>49</v>
      </c>
      <c r="X434" s="13" t="str">
        <f t="shared" si="47"/>
        <v/>
      </c>
      <c r="Y434" s="2">
        <f t="shared" ca="1" si="42"/>
        <v>196</v>
      </c>
      <c r="Z434" s="14">
        <v>1</v>
      </c>
      <c r="AA434" s="1" t="str">
        <f t="shared" ca="1" si="43"/>
        <v>VENCIDO</v>
      </c>
      <c r="AB434" s="1" t="str">
        <f t="shared" si="44"/>
        <v>C-14</v>
      </c>
      <c r="AC434" s="2" t="str">
        <f t="shared" si="48"/>
        <v xml:space="preserve"> CRISTINA </v>
      </c>
      <c r="AD434" s="2">
        <f t="shared" si="45"/>
        <v>15</v>
      </c>
      <c r="AE434" s="2">
        <f t="shared" ca="1" si="46"/>
        <v>-272.282197569446</v>
      </c>
      <c r="AF434" s="15"/>
    </row>
    <row r="435" spans="1:32" hidden="1">
      <c r="A435" s="1">
        <v>8635705</v>
      </c>
      <c r="B435" s="1" t="s">
        <v>653</v>
      </c>
      <c r="C435" t="s">
        <v>3580</v>
      </c>
      <c r="E435" s="2">
        <v>550001400030</v>
      </c>
      <c r="F435" s="1" t="s">
        <v>647</v>
      </c>
      <c r="G435" s="1" t="s">
        <v>53</v>
      </c>
      <c r="H435" s="1" t="s">
        <v>337</v>
      </c>
      <c r="I435" s="1" t="s">
        <v>338</v>
      </c>
      <c r="J435" s="1" t="s">
        <v>164</v>
      </c>
      <c r="K435" t="s">
        <v>650</v>
      </c>
      <c r="M435" s="1" t="s">
        <v>58</v>
      </c>
      <c r="N435" s="1">
        <v>0</v>
      </c>
      <c r="O435" s="1" t="s">
        <v>105</v>
      </c>
      <c r="P435" s="11" t="s">
        <v>3443</v>
      </c>
      <c r="R435" s="1">
        <v>4</v>
      </c>
      <c r="T435" s="1" t="s">
        <v>646</v>
      </c>
      <c r="U435" s="186">
        <v>44714.39371527778</v>
      </c>
      <c r="V435" s="1" t="s">
        <v>41</v>
      </c>
      <c r="W435" s="1" t="s">
        <v>49</v>
      </c>
      <c r="X435" s="13" t="str">
        <f t="shared" si="47"/>
        <v/>
      </c>
      <c r="Y435" s="2">
        <f t="shared" ca="1" si="42"/>
        <v>196</v>
      </c>
      <c r="Z435" s="14">
        <v>1</v>
      </c>
      <c r="AA435" s="1" t="str">
        <f t="shared" ca="1" si="43"/>
        <v>VENCIDO</v>
      </c>
      <c r="AB435" s="1" t="str">
        <f t="shared" si="44"/>
        <v>C-14</v>
      </c>
      <c r="AC435" s="2" t="str">
        <f t="shared" si="48"/>
        <v xml:space="preserve"> ROSEMERE </v>
      </c>
      <c r="AD435" s="2">
        <f t="shared" si="45"/>
        <v>15</v>
      </c>
      <c r="AE435" s="2">
        <f t="shared" ca="1" si="46"/>
        <v>-272.28255636573886</v>
      </c>
      <c r="AF435" s="15"/>
    </row>
    <row r="436" spans="1:32" hidden="1">
      <c r="A436" s="1">
        <v>8635695</v>
      </c>
      <c r="B436" s="1" t="s">
        <v>653</v>
      </c>
      <c r="C436" t="s">
        <v>3580</v>
      </c>
      <c r="E436" s="2">
        <v>537001400030</v>
      </c>
      <c r="F436" s="1" t="s">
        <v>647</v>
      </c>
      <c r="G436" s="1" t="s">
        <v>53</v>
      </c>
      <c r="H436" s="1" t="s">
        <v>442</v>
      </c>
      <c r="I436" s="1" t="s">
        <v>443</v>
      </c>
      <c r="J436" s="1" t="s">
        <v>79</v>
      </c>
      <c r="K436" t="s">
        <v>650</v>
      </c>
      <c r="M436" s="1" t="s">
        <v>58</v>
      </c>
      <c r="N436" s="1">
        <v>0</v>
      </c>
      <c r="O436" s="1" t="s">
        <v>105</v>
      </c>
      <c r="P436" s="11" t="s">
        <v>929</v>
      </c>
      <c r="R436" s="1">
        <v>4</v>
      </c>
      <c r="T436" s="1" t="s">
        <v>646</v>
      </c>
      <c r="U436" s="186">
        <v>44714.393703703703</v>
      </c>
      <c r="V436" s="1" t="s">
        <v>41</v>
      </c>
      <c r="W436" s="1" t="s">
        <v>49</v>
      </c>
      <c r="X436" s="13" t="str">
        <f t="shared" si="47"/>
        <v/>
      </c>
      <c r="Y436" s="2">
        <f t="shared" ca="1" si="42"/>
        <v>196</v>
      </c>
      <c r="Z436" s="14">
        <v>1</v>
      </c>
      <c r="AA436" s="1" t="str">
        <f t="shared" ca="1" si="43"/>
        <v>VENCIDO</v>
      </c>
      <c r="AB436" s="1" t="str">
        <f t="shared" si="44"/>
        <v>C-14</v>
      </c>
      <c r="AC436" s="2" t="str">
        <f t="shared" si="48"/>
        <v xml:space="preserve"> ROSEMERE </v>
      </c>
      <c r="AD436" s="2">
        <f t="shared" si="45"/>
        <v>15</v>
      </c>
      <c r="AE436" s="2">
        <f t="shared" ca="1" si="46"/>
        <v>-272.28256793981564</v>
      </c>
      <c r="AF436" s="15"/>
    </row>
    <row r="437" spans="1:32" hidden="1">
      <c r="A437" s="1">
        <v>8635610</v>
      </c>
      <c r="B437" s="1" t="s">
        <v>653</v>
      </c>
      <c r="C437" t="s">
        <v>3580</v>
      </c>
      <c r="E437" s="2">
        <v>446001400030</v>
      </c>
      <c r="F437" s="1" t="s">
        <v>647</v>
      </c>
      <c r="G437" s="1" t="s">
        <v>53</v>
      </c>
      <c r="H437" s="1" t="s">
        <v>432</v>
      </c>
      <c r="I437" s="1" t="s">
        <v>433</v>
      </c>
      <c r="J437" s="1" t="s">
        <v>110</v>
      </c>
      <c r="K437" t="s">
        <v>650</v>
      </c>
      <c r="M437" s="1" t="s">
        <v>58</v>
      </c>
      <c r="N437" s="1">
        <v>0</v>
      </c>
      <c r="O437" s="1" t="s">
        <v>105</v>
      </c>
      <c r="P437" s="11" t="s">
        <v>931</v>
      </c>
      <c r="R437" s="1">
        <v>4</v>
      </c>
      <c r="T437" s="1" t="s">
        <v>646</v>
      </c>
      <c r="U437" s="186">
        <v>44714.393518518518</v>
      </c>
      <c r="V437" s="1" t="s">
        <v>41</v>
      </c>
      <c r="W437" s="1" t="s">
        <v>49</v>
      </c>
      <c r="X437" s="13" t="str">
        <f t="shared" si="47"/>
        <v/>
      </c>
      <c r="Y437" s="2">
        <f t="shared" ca="1" si="42"/>
        <v>196</v>
      </c>
      <c r="Z437" s="14">
        <v>1</v>
      </c>
      <c r="AA437" s="1" t="str">
        <f t="shared" ca="1" si="43"/>
        <v>VENCIDO</v>
      </c>
      <c r="AB437" s="1" t="str">
        <f t="shared" si="44"/>
        <v>C-14</v>
      </c>
      <c r="AC437" s="2" t="str">
        <f t="shared" si="48"/>
        <v xml:space="preserve"> CRISTINA </v>
      </c>
      <c r="AD437" s="2">
        <f t="shared" si="45"/>
        <v>15</v>
      </c>
      <c r="AE437" s="2">
        <f t="shared" ca="1" si="46"/>
        <v>-272.28275312500045</v>
      </c>
      <c r="AF437" s="15"/>
    </row>
    <row r="438" spans="1:32" hidden="1">
      <c r="A438" s="1">
        <v>8635412</v>
      </c>
      <c r="B438" s="1" t="s">
        <v>653</v>
      </c>
      <c r="C438" t="s">
        <v>3580</v>
      </c>
      <c r="E438" s="2">
        <v>233001400030</v>
      </c>
      <c r="F438" s="1" t="s">
        <v>647</v>
      </c>
      <c r="G438" s="1" t="s">
        <v>53</v>
      </c>
      <c r="H438" s="1" t="s">
        <v>424</v>
      </c>
      <c r="I438" s="1" t="s">
        <v>425</v>
      </c>
      <c r="J438" s="1" t="s">
        <v>261</v>
      </c>
      <c r="K438" t="s">
        <v>650</v>
      </c>
      <c r="M438" s="1" t="s">
        <v>58</v>
      </c>
      <c r="N438" s="1">
        <v>0</v>
      </c>
      <c r="O438" s="1" t="s">
        <v>105</v>
      </c>
      <c r="P438" s="11" t="s">
        <v>933</v>
      </c>
      <c r="R438" s="1">
        <v>4</v>
      </c>
      <c r="T438" s="1" t="s">
        <v>646</v>
      </c>
      <c r="U438" s="186">
        <v>44714.393101851849</v>
      </c>
      <c r="V438" s="1" t="s">
        <v>41</v>
      </c>
      <c r="W438" s="1" t="s">
        <v>49</v>
      </c>
      <c r="X438" s="13" t="str">
        <f t="shared" si="47"/>
        <v/>
      </c>
      <c r="Y438" s="2">
        <f t="shared" ca="1" si="42"/>
        <v>196</v>
      </c>
      <c r="Z438" s="14">
        <v>1</v>
      </c>
      <c r="AA438" s="1" t="str">
        <f t="shared" ca="1" si="43"/>
        <v>VENCIDO</v>
      </c>
      <c r="AB438" s="1" t="str">
        <f t="shared" si="44"/>
        <v>C-14</v>
      </c>
      <c r="AC438" s="2" t="str">
        <f t="shared" si="48"/>
        <v xml:space="preserve"> CRISTINA </v>
      </c>
      <c r="AD438" s="2">
        <f t="shared" si="45"/>
        <v>15</v>
      </c>
      <c r="AE438" s="2">
        <f t="shared" ca="1" si="46"/>
        <v>-272.28316979166993</v>
      </c>
      <c r="AF438" s="15"/>
    </row>
    <row r="439" spans="1:32" hidden="1">
      <c r="A439" s="1">
        <v>8635253</v>
      </c>
      <c r="B439" s="1" t="s">
        <v>653</v>
      </c>
      <c r="C439" t="s">
        <v>3581</v>
      </c>
      <c r="E439" s="2">
        <v>325001400010</v>
      </c>
      <c r="F439" s="1" t="s">
        <v>936</v>
      </c>
      <c r="G439" s="1" t="s">
        <v>53</v>
      </c>
      <c r="H439" s="1" t="s">
        <v>345</v>
      </c>
      <c r="I439" s="1" t="s">
        <v>346</v>
      </c>
      <c r="J439" s="1" t="s">
        <v>46</v>
      </c>
      <c r="K439" t="s">
        <v>937</v>
      </c>
      <c r="M439" s="1" t="s">
        <v>58</v>
      </c>
      <c r="N439" s="1">
        <v>0</v>
      </c>
      <c r="O439" s="1" t="s">
        <v>105</v>
      </c>
      <c r="P439" s="11" t="s">
        <v>938</v>
      </c>
      <c r="R439" s="1">
        <v>3</v>
      </c>
      <c r="T439" s="1" t="s">
        <v>646</v>
      </c>
      <c r="U439" s="186">
        <v>44714.392777777779</v>
      </c>
      <c r="V439" s="1" t="s">
        <v>41</v>
      </c>
      <c r="W439" s="1" t="s">
        <v>49</v>
      </c>
      <c r="X439" s="13" t="str">
        <f t="shared" si="47"/>
        <v/>
      </c>
      <c r="Y439" s="2">
        <f t="shared" ca="1" si="42"/>
        <v>196</v>
      </c>
      <c r="Z439" s="14">
        <v>1</v>
      </c>
      <c r="AA439" s="1" t="str">
        <f t="shared" ca="1" si="43"/>
        <v>VENCIDO</v>
      </c>
      <c r="AB439" s="1" t="str">
        <f t="shared" si="44"/>
        <v>C-14</v>
      </c>
      <c r="AC439" s="2" t="str">
        <f t="shared" si="48"/>
        <v xml:space="preserve"> CLEITON </v>
      </c>
      <c r="AD439" s="2">
        <f t="shared" si="45"/>
        <v>5</v>
      </c>
      <c r="AE439" s="2">
        <f t="shared" ca="1" si="46"/>
        <v>-272.28349386573973</v>
      </c>
      <c r="AF439" s="15"/>
    </row>
    <row r="440" spans="1:32" hidden="1">
      <c r="A440" s="1">
        <v>8635179</v>
      </c>
      <c r="B440" s="1" t="s">
        <v>653</v>
      </c>
      <c r="C440" t="s">
        <v>3581</v>
      </c>
      <c r="E440" s="2">
        <v>8973001400010</v>
      </c>
      <c r="F440" s="1" t="s">
        <v>936</v>
      </c>
      <c r="G440" s="1" t="s">
        <v>53</v>
      </c>
      <c r="H440" s="1" t="s">
        <v>661</v>
      </c>
      <c r="I440" s="1" t="s">
        <v>662</v>
      </c>
      <c r="J440" s="1" t="s">
        <v>46</v>
      </c>
      <c r="K440" t="s">
        <v>937</v>
      </c>
      <c r="M440" s="1" t="s">
        <v>58</v>
      </c>
      <c r="N440" s="1">
        <v>0</v>
      </c>
      <c r="O440" s="1" t="s">
        <v>105</v>
      </c>
      <c r="P440" s="11" t="s">
        <v>940</v>
      </c>
      <c r="R440" s="1">
        <v>3</v>
      </c>
      <c r="T440" s="1" t="s">
        <v>646</v>
      </c>
      <c r="U440" s="11" t="s">
        <v>941</v>
      </c>
      <c r="V440" s="1" t="s">
        <v>41</v>
      </c>
      <c r="W440" s="1" t="s">
        <v>49</v>
      </c>
      <c r="X440" s="13" t="str">
        <f t="shared" si="47"/>
        <v/>
      </c>
      <c r="Y440" s="2">
        <f t="shared" ca="1" si="42"/>
        <v>196</v>
      </c>
      <c r="Z440" s="14">
        <v>1</v>
      </c>
      <c r="AA440" s="1" t="str">
        <f t="shared" ca="1" si="43"/>
        <v>VENCIDO</v>
      </c>
      <c r="AB440" s="1" t="str">
        <f t="shared" si="44"/>
        <v>C-14</v>
      </c>
      <c r="AC440" s="2" t="str">
        <f t="shared" si="48"/>
        <v xml:space="preserve"> CLEITON </v>
      </c>
      <c r="AD440" s="2">
        <f t="shared" si="45"/>
        <v>5</v>
      </c>
      <c r="AE440" s="2">
        <f t="shared" ca="1" si="46"/>
        <v>-272.28369062500133</v>
      </c>
      <c r="AF440" s="15"/>
    </row>
    <row r="441" spans="1:32" hidden="1">
      <c r="A441" s="1">
        <v>8635156</v>
      </c>
      <c r="B441" s="1" t="s">
        <v>653</v>
      </c>
      <c r="C441" t="s">
        <v>3581</v>
      </c>
      <c r="E441" s="2">
        <v>8633001400010</v>
      </c>
      <c r="F441" s="1" t="s">
        <v>936</v>
      </c>
      <c r="G441" s="1" t="s">
        <v>53</v>
      </c>
      <c r="H441" s="1" t="s">
        <v>835</v>
      </c>
      <c r="I441" s="1" t="s">
        <v>836</v>
      </c>
      <c r="J441" s="1" t="s">
        <v>46</v>
      </c>
      <c r="K441" t="s">
        <v>937</v>
      </c>
      <c r="M441" s="1" t="s">
        <v>58</v>
      </c>
      <c r="N441" s="1">
        <v>0</v>
      </c>
      <c r="O441" s="1" t="s">
        <v>105</v>
      </c>
      <c r="P441" s="11" t="s">
        <v>942</v>
      </c>
      <c r="R441" s="1">
        <v>3</v>
      </c>
      <c r="T441" s="1" t="s">
        <v>646</v>
      </c>
      <c r="U441" s="186">
        <v>44714.392557870371</v>
      </c>
      <c r="V441" s="1" t="s">
        <v>41</v>
      </c>
      <c r="W441" s="1" t="s">
        <v>49</v>
      </c>
      <c r="X441" s="13" t="str">
        <f t="shared" si="47"/>
        <v/>
      </c>
      <c r="Y441" s="2">
        <f t="shared" ca="1" si="42"/>
        <v>196</v>
      </c>
      <c r="Z441" s="14">
        <v>1</v>
      </c>
      <c r="AA441" s="1" t="str">
        <f t="shared" ca="1" si="43"/>
        <v>VENCIDO</v>
      </c>
      <c r="AB441" s="1" t="str">
        <f t="shared" si="44"/>
        <v>C-14</v>
      </c>
      <c r="AC441" s="2" t="str">
        <f t="shared" si="48"/>
        <v xml:space="preserve"> CLEITON </v>
      </c>
      <c r="AD441" s="2">
        <f t="shared" si="45"/>
        <v>5</v>
      </c>
      <c r="AE441" s="2">
        <f t="shared" ca="1" si="46"/>
        <v>-272.28371377314761</v>
      </c>
      <c r="AF441" s="15"/>
    </row>
    <row r="442" spans="1:32" hidden="1">
      <c r="A442" s="1">
        <v>8634660</v>
      </c>
      <c r="B442" s="1" t="s">
        <v>653</v>
      </c>
      <c r="C442" t="s">
        <v>3581</v>
      </c>
      <c r="E442" s="2">
        <v>5898001400010</v>
      </c>
      <c r="F442" s="1" t="s">
        <v>936</v>
      </c>
      <c r="G442" s="1" t="s">
        <v>53</v>
      </c>
      <c r="H442" s="1" t="s">
        <v>365</v>
      </c>
      <c r="I442" s="1" t="s">
        <v>366</v>
      </c>
      <c r="J442" s="1" t="s">
        <v>164</v>
      </c>
      <c r="K442" t="s">
        <v>937</v>
      </c>
      <c r="M442" s="1" t="s">
        <v>58</v>
      </c>
      <c r="N442" s="1">
        <v>0</v>
      </c>
      <c r="O442" s="1" t="s">
        <v>105</v>
      </c>
      <c r="P442" s="11" t="s">
        <v>944</v>
      </c>
      <c r="R442" s="1">
        <v>3</v>
      </c>
      <c r="T442" s="1" t="s">
        <v>646</v>
      </c>
      <c r="U442" s="186">
        <v>44714.390601851854</v>
      </c>
      <c r="V442" s="1" t="s">
        <v>41</v>
      </c>
      <c r="W442" s="1" t="s">
        <v>49</v>
      </c>
      <c r="X442" s="13" t="str">
        <f t="shared" si="47"/>
        <v/>
      </c>
      <c r="Y442" s="2">
        <f t="shared" ca="1" si="42"/>
        <v>196</v>
      </c>
      <c r="Z442" s="14">
        <v>1</v>
      </c>
      <c r="AA442" s="1" t="str">
        <f t="shared" ca="1" si="43"/>
        <v>VENCIDO</v>
      </c>
      <c r="AB442" s="1" t="str">
        <f t="shared" si="44"/>
        <v>C-14</v>
      </c>
      <c r="AC442" s="2" t="str">
        <f t="shared" si="48"/>
        <v xml:space="preserve"> ROSEMERE </v>
      </c>
      <c r="AD442" s="2">
        <f t="shared" si="45"/>
        <v>5</v>
      </c>
      <c r="AE442" s="2">
        <f t="shared" ca="1" si="46"/>
        <v>-272.28566979166499</v>
      </c>
      <c r="AF442" s="15"/>
    </row>
    <row r="443" spans="1:32" hidden="1">
      <c r="A443" s="1">
        <v>8634637</v>
      </c>
      <c r="B443" s="1" t="s">
        <v>653</v>
      </c>
      <c r="C443" t="s">
        <v>3581</v>
      </c>
      <c r="E443" s="2">
        <v>5816001400010</v>
      </c>
      <c r="F443" s="1" t="s">
        <v>936</v>
      </c>
      <c r="G443" s="1" t="s">
        <v>53</v>
      </c>
      <c r="H443" s="1" t="s">
        <v>412</v>
      </c>
      <c r="I443" s="1" t="s">
        <v>413</v>
      </c>
      <c r="J443" s="1" t="s">
        <v>46</v>
      </c>
      <c r="K443" t="s">
        <v>937</v>
      </c>
      <c r="M443" s="1" t="s">
        <v>58</v>
      </c>
      <c r="N443" s="1">
        <v>0</v>
      </c>
      <c r="O443" s="1" t="s">
        <v>105</v>
      </c>
      <c r="P443" s="11" t="s">
        <v>946</v>
      </c>
      <c r="R443" s="1">
        <v>3</v>
      </c>
      <c r="T443" s="1" t="s">
        <v>646</v>
      </c>
      <c r="U443" s="186">
        <v>44714.390567129631</v>
      </c>
      <c r="V443" s="1" t="s">
        <v>41</v>
      </c>
      <c r="W443" s="1" t="s">
        <v>49</v>
      </c>
      <c r="X443" s="13" t="str">
        <f t="shared" si="47"/>
        <v/>
      </c>
      <c r="Y443" s="2">
        <f t="shared" ca="1" si="42"/>
        <v>196</v>
      </c>
      <c r="Z443" s="14">
        <v>1</v>
      </c>
      <c r="AA443" s="1" t="str">
        <f t="shared" ca="1" si="43"/>
        <v>VENCIDO</v>
      </c>
      <c r="AB443" s="1" t="str">
        <f t="shared" si="44"/>
        <v>C-14</v>
      </c>
      <c r="AC443" s="2" t="str">
        <f t="shared" si="48"/>
        <v xml:space="preserve"> CLEITON </v>
      </c>
      <c r="AD443" s="2">
        <f t="shared" si="45"/>
        <v>5</v>
      </c>
      <c r="AE443" s="2">
        <f t="shared" ca="1" si="46"/>
        <v>-272.28570451388805</v>
      </c>
      <c r="AF443" s="15"/>
    </row>
    <row r="444" spans="1:32" hidden="1">
      <c r="A444" s="1">
        <v>8634603</v>
      </c>
      <c r="B444" s="1" t="s">
        <v>653</v>
      </c>
      <c r="C444" t="s">
        <v>3581</v>
      </c>
      <c r="E444" s="2">
        <v>5755001400010</v>
      </c>
      <c r="F444" s="1" t="s">
        <v>936</v>
      </c>
      <c r="G444" s="1" t="s">
        <v>53</v>
      </c>
      <c r="H444" s="1" t="s">
        <v>841</v>
      </c>
      <c r="I444" s="1" t="s">
        <v>842</v>
      </c>
      <c r="J444" s="1" t="s">
        <v>46</v>
      </c>
      <c r="K444" t="s">
        <v>937</v>
      </c>
      <c r="M444" s="1" t="s">
        <v>58</v>
      </c>
      <c r="N444" s="1">
        <v>0</v>
      </c>
      <c r="O444" s="1" t="s">
        <v>105</v>
      </c>
      <c r="P444" s="11" t="s">
        <v>948</v>
      </c>
      <c r="R444" s="1">
        <v>3</v>
      </c>
      <c r="T444" s="1" t="s">
        <v>646</v>
      </c>
      <c r="U444" s="186">
        <v>44714.390509259261</v>
      </c>
      <c r="V444" s="1" t="s">
        <v>41</v>
      </c>
      <c r="W444" s="1" t="s">
        <v>49</v>
      </c>
      <c r="X444" s="13" t="str">
        <f t="shared" si="47"/>
        <v/>
      </c>
      <c r="Y444" s="2">
        <f t="shared" ca="1" si="42"/>
        <v>196</v>
      </c>
      <c r="Z444" s="14">
        <v>1</v>
      </c>
      <c r="AA444" s="1" t="str">
        <f t="shared" ca="1" si="43"/>
        <v>VENCIDO</v>
      </c>
      <c r="AB444" s="1" t="str">
        <f t="shared" si="44"/>
        <v>C-14</v>
      </c>
      <c r="AC444" s="2" t="str">
        <f t="shared" si="48"/>
        <v xml:space="preserve"> CLEITON </v>
      </c>
      <c r="AD444" s="2">
        <f t="shared" si="45"/>
        <v>5</v>
      </c>
      <c r="AE444" s="2">
        <f t="shared" ca="1" si="46"/>
        <v>-272.2857623842574</v>
      </c>
      <c r="AF444" s="15"/>
    </row>
    <row r="445" spans="1:32" hidden="1">
      <c r="A445" s="1">
        <v>8634599</v>
      </c>
      <c r="B445" s="1" t="s">
        <v>653</v>
      </c>
      <c r="C445" t="s">
        <v>3581</v>
      </c>
      <c r="E445" s="2">
        <v>5742001400010</v>
      </c>
      <c r="F445" s="1" t="s">
        <v>936</v>
      </c>
      <c r="G445" s="1" t="s">
        <v>53</v>
      </c>
      <c r="H445" s="1" t="s">
        <v>430</v>
      </c>
      <c r="I445" s="1" t="s">
        <v>431</v>
      </c>
      <c r="J445" s="1" t="s">
        <v>79</v>
      </c>
      <c r="K445" t="s">
        <v>937</v>
      </c>
      <c r="M445" s="1" t="s">
        <v>58</v>
      </c>
      <c r="N445" s="1">
        <v>0</v>
      </c>
      <c r="O445" s="1" t="s">
        <v>105</v>
      </c>
      <c r="P445" s="11" t="s">
        <v>948</v>
      </c>
      <c r="R445" s="1">
        <v>3</v>
      </c>
      <c r="T445" s="1" t="s">
        <v>646</v>
      </c>
      <c r="U445" s="186">
        <v>44714.390509259261</v>
      </c>
      <c r="V445" s="1" t="s">
        <v>41</v>
      </c>
      <c r="W445" s="1" t="s">
        <v>49</v>
      </c>
      <c r="X445" s="13" t="str">
        <f t="shared" si="47"/>
        <v/>
      </c>
      <c r="Y445" s="2">
        <f t="shared" ca="1" si="42"/>
        <v>196</v>
      </c>
      <c r="Z445" s="14">
        <v>1</v>
      </c>
      <c r="AA445" s="1" t="str">
        <f t="shared" ca="1" si="43"/>
        <v>VENCIDO</v>
      </c>
      <c r="AB445" s="1" t="str">
        <f t="shared" si="44"/>
        <v>C-14</v>
      </c>
      <c r="AC445" s="2" t="str">
        <f t="shared" si="48"/>
        <v xml:space="preserve"> ROSEMERE </v>
      </c>
      <c r="AD445" s="2">
        <f t="shared" si="45"/>
        <v>5</v>
      </c>
      <c r="AE445" s="2">
        <f t="shared" ca="1" si="46"/>
        <v>-272.2857623842574</v>
      </c>
      <c r="AF445" s="15"/>
    </row>
    <row r="446" spans="1:32" hidden="1">
      <c r="A446" s="1">
        <v>8634597</v>
      </c>
      <c r="B446" s="1" t="s">
        <v>653</v>
      </c>
      <c r="C446" t="s">
        <v>3581</v>
      </c>
      <c r="E446" s="2">
        <v>5740001400010</v>
      </c>
      <c r="F446" s="1" t="s">
        <v>936</v>
      </c>
      <c r="G446" s="1" t="s">
        <v>53</v>
      </c>
      <c r="H446" s="1" t="s">
        <v>626</v>
      </c>
      <c r="I446" s="1" t="s">
        <v>627</v>
      </c>
      <c r="J446" s="1" t="s">
        <v>46</v>
      </c>
      <c r="K446" t="s">
        <v>937</v>
      </c>
      <c r="M446" s="1" t="s">
        <v>58</v>
      </c>
      <c r="N446" s="1">
        <v>0</v>
      </c>
      <c r="O446" s="1" t="s">
        <v>105</v>
      </c>
      <c r="P446" s="11" t="s">
        <v>948</v>
      </c>
      <c r="R446" s="1">
        <v>3</v>
      </c>
      <c r="T446" s="1" t="s">
        <v>646</v>
      </c>
      <c r="U446" s="186">
        <v>44714.390509259261</v>
      </c>
      <c r="V446" s="1" t="s">
        <v>41</v>
      </c>
      <c r="W446" s="1" t="s">
        <v>49</v>
      </c>
      <c r="X446" s="13" t="str">
        <f t="shared" si="47"/>
        <v/>
      </c>
      <c r="Y446" s="2">
        <f t="shared" ca="1" si="42"/>
        <v>196</v>
      </c>
      <c r="Z446" s="14">
        <v>1</v>
      </c>
      <c r="AA446" s="1" t="str">
        <f t="shared" ca="1" si="43"/>
        <v>VENCIDO</v>
      </c>
      <c r="AB446" s="1" t="str">
        <f t="shared" si="44"/>
        <v>C-14</v>
      </c>
      <c r="AC446" s="2" t="str">
        <f t="shared" si="48"/>
        <v xml:space="preserve"> CLEITON </v>
      </c>
      <c r="AD446" s="2">
        <f t="shared" si="45"/>
        <v>5</v>
      </c>
      <c r="AE446" s="2">
        <f t="shared" ca="1" si="46"/>
        <v>-272.2857623842574</v>
      </c>
      <c r="AF446" s="15"/>
    </row>
    <row r="447" spans="1:32" hidden="1">
      <c r="A447" s="1">
        <v>8634419</v>
      </c>
      <c r="B447" s="1" t="s">
        <v>653</v>
      </c>
      <c r="C447" t="s">
        <v>3581</v>
      </c>
      <c r="E447" s="2">
        <v>4997001400010</v>
      </c>
      <c r="F447" s="1" t="s">
        <v>936</v>
      </c>
      <c r="G447" s="1" t="s">
        <v>53</v>
      </c>
      <c r="H447" s="1" t="s">
        <v>406</v>
      </c>
      <c r="I447" s="1" t="s">
        <v>407</v>
      </c>
      <c r="J447" s="1" t="s">
        <v>79</v>
      </c>
      <c r="K447" t="s">
        <v>937</v>
      </c>
      <c r="M447" s="1" t="s">
        <v>58</v>
      </c>
      <c r="N447" s="1">
        <v>0</v>
      </c>
      <c r="O447" s="1" t="s">
        <v>36</v>
      </c>
      <c r="P447" s="11" t="s">
        <v>950</v>
      </c>
      <c r="R447" s="1">
        <v>3</v>
      </c>
      <c r="T447" s="1" t="s">
        <v>646</v>
      </c>
      <c r="U447" s="186">
        <v>44714.390104166669</v>
      </c>
      <c r="V447" s="1" t="s">
        <v>41</v>
      </c>
      <c r="W447" s="1" t="s">
        <v>49</v>
      </c>
      <c r="X447" s="13" t="str">
        <f t="shared" si="47"/>
        <v/>
      </c>
      <c r="Y447" s="2">
        <f t="shared" ca="1" si="42"/>
        <v>196</v>
      </c>
      <c r="Z447" s="14">
        <v>1</v>
      </c>
      <c r="AA447" s="1" t="str">
        <f t="shared" ca="1" si="43"/>
        <v>VENCIDO</v>
      </c>
      <c r="AB447" s="1" t="str">
        <f t="shared" si="44"/>
        <v>C-14</v>
      </c>
      <c r="AC447" s="2" t="str">
        <f t="shared" si="48"/>
        <v xml:space="preserve"> ROSEMERE </v>
      </c>
      <c r="AD447" s="2">
        <f t="shared" si="45"/>
        <v>5</v>
      </c>
      <c r="AE447" s="2">
        <f t="shared" ca="1" si="46"/>
        <v>-272.2861674768501</v>
      </c>
      <c r="AF447" s="15"/>
    </row>
    <row r="448" spans="1:32" hidden="1">
      <c r="A448" s="1">
        <v>8634261</v>
      </c>
      <c r="B448" s="1" t="s">
        <v>653</v>
      </c>
      <c r="C448" t="s">
        <v>3581</v>
      </c>
      <c r="E448" s="2">
        <v>4637001400010</v>
      </c>
      <c r="F448" s="1" t="s">
        <v>936</v>
      </c>
      <c r="G448" s="1" t="s">
        <v>53</v>
      </c>
      <c r="H448" s="1" t="s">
        <v>848</v>
      </c>
      <c r="I448" s="1" t="s">
        <v>849</v>
      </c>
      <c r="J448" s="1" t="s">
        <v>79</v>
      </c>
      <c r="K448" t="s">
        <v>937</v>
      </c>
      <c r="M448" s="1" t="s">
        <v>58</v>
      </c>
      <c r="N448" s="1">
        <v>0</v>
      </c>
      <c r="O448" s="1" t="s">
        <v>105</v>
      </c>
      <c r="P448" s="11" t="s">
        <v>952</v>
      </c>
      <c r="R448" s="1">
        <v>3</v>
      </c>
      <c r="T448" s="1" t="s">
        <v>646</v>
      </c>
      <c r="U448" s="186">
        <v>44714.389733796299</v>
      </c>
      <c r="V448" s="1" t="s">
        <v>41</v>
      </c>
      <c r="W448" s="1" t="s">
        <v>49</v>
      </c>
      <c r="X448" s="13" t="str">
        <f t="shared" si="47"/>
        <v/>
      </c>
      <c r="Y448" s="2">
        <f t="shared" ca="1" si="42"/>
        <v>196</v>
      </c>
      <c r="Z448" s="14">
        <v>1</v>
      </c>
      <c r="AA448" s="1" t="str">
        <f t="shared" ca="1" si="43"/>
        <v>VENCIDO</v>
      </c>
      <c r="AB448" s="1" t="str">
        <f t="shared" si="44"/>
        <v>C-14</v>
      </c>
      <c r="AC448" s="2" t="str">
        <f t="shared" si="48"/>
        <v xml:space="preserve"> ROSEMERE </v>
      </c>
      <c r="AD448" s="2">
        <f t="shared" si="45"/>
        <v>5</v>
      </c>
      <c r="AE448" s="2">
        <f t="shared" ca="1" si="46"/>
        <v>-272.28653784721973</v>
      </c>
      <c r="AF448" s="15"/>
    </row>
    <row r="449" spans="1:32" hidden="1">
      <c r="A449" s="1">
        <v>8634248</v>
      </c>
      <c r="B449" s="1" t="s">
        <v>653</v>
      </c>
      <c r="C449" t="s">
        <v>3581</v>
      </c>
      <c r="E449" s="2">
        <v>4623001400010</v>
      </c>
      <c r="F449" s="1" t="s">
        <v>936</v>
      </c>
      <c r="G449" s="1" t="s">
        <v>53</v>
      </c>
      <c r="H449" s="1" t="s">
        <v>669</v>
      </c>
      <c r="I449" s="1" t="s">
        <v>670</v>
      </c>
      <c r="J449" s="1" t="s">
        <v>33</v>
      </c>
      <c r="K449" t="s">
        <v>937</v>
      </c>
      <c r="M449" s="1" t="s">
        <v>58</v>
      </c>
      <c r="N449" s="1">
        <v>0</v>
      </c>
      <c r="O449" s="1" t="s">
        <v>105</v>
      </c>
      <c r="P449" s="11" t="s">
        <v>954</v>
      </c>
      <c r="R449" s="1">
        <v>3</v>
      </c>
      <c r="T449" s="1" t="s">
        <v>646</v>
      </c>
      <c r="U449" s="11" t="s">
        <v>955</v>
      </c>
      <c r="V449" s="1" t="s">
        <v>41</v>
      </c>
      <c r="W449" s="1" t="s">
        <v>42</v>
      </c>
      <c r="X449" s="13" t="str">
        <f t="shared" si="47"/>
        <v/>
      </c>
      <c r="Y449" s="2">
        <f t="shared" ca="1" si="42"/>
        <v>196</v>
      </c>
      <c r="Z449" s="14">
        <v>1</v>
      </c>
      <c r="AA449" s="1" t="str">
        <f t="shared" ca="1" si="43"/>
        <v>VENCIDO</v>
      </c>
      <c r="AB449" s="1" t="str">
        <f t="shared" si="44"/>
        <v>C-14</v>
      </c>
      <c r="AC449" s="2" t="str">
        <f t="shared" si="48"/>
        <v xml:space="preserve"> ROSEMERE </v>
      </c>
      <c r="AD449" s="2">
        <f t="shared" si="45"/>
        <v>5</v>
      </c>
      <c r="AE449" s="2">
        <f t="shared" ca="1" si="46"/>
        <v>-272.28656099537329</v>
      </c>
      <c r="AF449" s="15"/>
    </row>
    <row r="450" spans="1:32" hidden="1">
      <c r="A450" s="1">
        <v>8634067</v>
      </c>
      <c r="B450" s="1" t="s">
        <v>653</v>
      </c>
      <c r="C450" t="s">
        <v>3581</v>
      </c>
      <c r="E450" s="2">
        <v>4357001400010</v>
      </c>
      <c r="F450" s="1" t="s">
        <v>936</v>
      </c>
      <c r="G450" s="1" t="s">
        <v>53</v>
      </c>
      <c r="H450" s="1" t="s">
        <v>633</v>
      </c>
      <c r="I450" s="1" t="s">
        <v>634</v>
      </c>
      <c r="J450" s="1" t="s">
        <v>46</v>
      </c>
      <c r="K450" t="s">
        <v>937</v>
      </c>
      <c r="M450" s="1" t="s">
        <v>58</v>
      </c>
      <c r="N450" s="1">
        <v>0</v>
      </c>
      <c r="O450" s="1" t="s">
        <v>105</v>
      </c>
      <c r="P450" s="11" t="s">
        <v>956</v>
      </c>
      <c r="R450" s="1">
        <v>3</v>
      </c>
      <c r="T450" s="1" t="s">
        <v>646</v>
      </c>
      <c r="U450" s="11" t="s">
        <v>957</v>
      </c>
      <c r="V450" s="1" t="s">
        <v>41</v>
      </c>
      <c r="W450" s="1" t="s">
        <v>49</v>
      </c>
      <c r="X450" s="13" t="str">
        <f t="shared" si="47"/>
        <v/>
      </c>
      <c r="Y450" s="2">
        <f t="shared" ref="Y450:Y513" ca="1" si="49">NETWORKDAYS(P450,$Y$1)</f>
        <v>196</v>
      </c>
      <c r="Z450" s="14">
        <v>1</v>
      </c>
      <c r="AA450" s="1" t="str">
        <f t="shared" ref="AA450:AA513" ca="1" si="50">IF(AE450=0,"HOJE",IF(AE450&gt;0,"A VENCER",IF(AE450&lt;0,"VENCIDO")))</f>
        <v>VENCIDO</v>
      </c>
      <c r="AB450" s="1" t="str">
        <f t="shared" ref="AB450:AB513" si="51">IF(F450="GRPE-000001","C-14",IF(F450="GRPE-000002","C-14",IF(F450="GRPE-000003","C-14",IF(F450="GRPE-000004","SL-On",IF(F450="GRPE-000038","C-14",IF(F450="GRPE-900022","Dosa",IF(F450="GRPE-000029","Dosa",IF(F450="ATOS-000222","Dose","TAAe+"))))))))</f>
        <v>C-14</v>
      </c>
      <c r="AC450" s="2" t="str">
        <f t="shared" si="48"/>
        <v xml:space="preserve"> CLEITON </v>
      </c>
      <c r="AD450" s="2">
        <f t="shared" ref="AD450:AD513" si="52">IF(F450="GRPE-000001",5,IF(F450="GRPE-000002",5,IF(F450="GRPE-000003",15,IF(F450="GRPE-000004",1,IF(F450="GRPE-000038",5,IF(F450="GRPE-900022",5,IF(F450="GRPE-000029",5,IF(F450="ATOS-000222",5,8))))))))</f>
        <v>5</v>
      </c>
      <c r="AE450" s="2">
        <f t="shared" ref="AE450:AE513" ca="1" si="53">IF(U450=$AE$1,"",U450-$AE$1)</f>
        <v>-272.28696608796599</v>
      </c>
      <c r="AF450" s="15"/>
    </row>
    <row r="451" spans="1:32" hidden="1">
      <c r="A451" s="1">
        <v>8633996</v>
      </c>
      <c r="B451" s="1" t="s">
        <v>653</v>
      </c>
      <c r="C451" t="s">
        <v>3581</v>
      </c>
      <c r="E451" s="2">
        <v>4235001400010</v>
      </c>
      <c r="F451" s="1" t="s">
        <v>936</v>
      </c>
      <c r="G451" s="1" t="s">
        <v>53</v>
      </c>
      <c r="H451" s="1" t="s">
        <v>291</v>
      </c>
      <c r="I451" s="1" t="s">
        <v>292</v>
      </c>
      <c r="J451" s="1" t="s">
        <v>46</v>
      </c>
      <c r="K451" t="s">
        <v>937</v>
      </c>
      <c r="M451" s="1" t="s">
        <v>58</v>
      </c>
      <c r="N451" s="1">
        <v>0</v>
      </c>
      <c r="O451" s="1" t="s">
        <v>105</v>
      </c>
      <c r="P451" s="11" t="s">
        <v>958</v>
      </c>
      <c r="R451" s="1">
        <v>3</v>
      </c>
      <c r="T451" s="1" t="s">
        <v>646</v>
      </c>
      <c r="U451" s="11" t="s">
        <v>959</v>
      </c>
      <c r="V451" s="1" t="s">
        <v>41</v>
      </c>
      <c r="W451" s="1" t="s">
        <v>49</v>
      </c>
      <c r="X451" s="13" t="str">
        <f t="shared" ref="X451:X514" si="54">IF(RIGHT(H451,2)&lt;&gt;"00",H451,"")</f>
        <v/>
      </c>
      <c r="Y451" s="2">
        <f t="shared" ca="1" si="49"/>
        <v>196</v>
      </c>
      <c r="Z451" s="14">
        <v>1</v>
      </c>
      <c r="AA451" s="1" t="str">
        <f t="shared" ca="1" si="50"/>
        <v>VENCIDO</v>
      </c>
      <c r="AB451" s="1" t="str">
        <f t="shared" si="51"/>
        <v>C-14</v>
      </c>
      <c r="AC451" s="2" t="str">
        <f t="shared" ref="AC451:AC514" si="55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 xml:space="preserve"> CLEITON </v>
      </c>
      <c r="AD451" s="2">
        <f t="shared" si="52"/>
        <v>5</v>
      </c>
      <c r="AE451" s="2">
        <f t="shared" ca="1" si="53"/>
        <v>-272.2870586805584</v>
      </c>
      <c r="AF451" s="15"/>
    </row>
    <row r="452" spans="1:32" hidden="1">
      <c r="A452" s="1">
        <v>8633745</v>
      </c>
      <c r="B452" s="1" t="s">
        <v>653</v>
      </c>
      <c r="C452" t="s">
        <v>3581</v>
      </c>
      <c r="E452" s="2">
        <v>3918001400010</v>
      </c>
      <c r="F452" s="1" t="s">
        <v>936</v>
      </c>
      <c r="G452" s="1" t="s">
        <v>53</v>
      </c>
      <c r="H452" s="1" t="s">
        <v>858</v>
      </c>
      <c r="I452" s="1" t="s">
        <v>859</v>
      </c>
      <c r="J452" s="1" t="s">
        <v>33</v>
      </c>
      <c r="K452" t="s">
        <v>937</v>
      </c>
      <c r="M452" s="1" t="s">
        <v>58</v>
      </c>
      <c r="N452" s="1">
        <v>0</v>
      </c>
      <c r="O452" s="1" t="s">
        <v>105</v>
      </c>
      <c r="P452" s="11" t="s">
        <v>962</v>
      </c>
      <c r="R452" s="1">
        <v>3</v>
      </c>
      <c r="T452" s="1" t="s">
        <v>646</v>
      </c>
      <c r="U452" s="11" t="s">
        <v>963</v>
      </c>
      <c r="V452" s="1" t="s">
        <v>41</v>
      </c>
      <c r="W452" s="1" t="s">
        <v>49</v>
      </c>
      <c r="X452" s="13" t="str">
        <f t="shared" si="54"/>
        <v/>
      </c>
      <c r="Y452" s="2">
        <f t="shared" ca="1" si="49"/>
        <v>196</v>
      </c>
      <c r="Z452" s="14">
        <v>1</v>
      </c>
      <c r="AA452" s="1" t="str">
        <f t="shared" ca="1" si="50"/>
        <v>VENCIDO</v>
      </c>
      <c r="AB452" s="1" t="str">
        <f t="shared" si="51"/>
        <v>C-14</v>
      </c>
      <c r="AC452" s="2" t="str">
        <f t="shared" si="55"/>
        <v xml:space="preserve"> ROSEMERE </v>
      </c>
      <c r="AD452" s="2">
        <f t="shared" si="52"/>
        <v>5</v>
      </c>
      <c r="AE452" s="2">
        <f t="shared" ca="1" si="53"/>
        <v>-272.28762581018236</v>
      </c>
      <c r="AF452" s="15"/>
    </row>
    <row r="453" spans="1:32" hidden="1">
      <c r="A453" s="1">
        <v>8633594</v>
      </c>
      <c r="B453" s="1" t="s">
        <v>653</v>
      </c>
      <c r="C453" t="s">
        <v>3581</v>
      </c>
      <c r="E453" s="2">
        <v>3699001400010</v>
      </c>
      <c r="F453" s="1" t="s">
        <v>936</v>
      </c>
      <c r="G453" s="1" t="s">
        <v>53</v>
      </c>
      <c r="H453" s="1" t="s">
        <v>343</v>
      </c>
      <c r="I453" s="1" t="s">
        <v>344</v>
      </c>
      <c r="J453" s="1" t="s">
        <v>46</v>
      </c>
      <c r="K453" t="s">
        <v>937</v>
      </c>
      <c r="M453" s="1" t="s">
        <v>58</v>
      </c>
      <c r="N453" s="1">
        <v>0</v>
      </c>
      <c r="O453" s="1" t="s">
        <v>105</v>
      </c>
      <c r="P453" s="11" t="s">
        <v>964</v>
      </c>
      <c r="R453" s="1">
        <v>3</v>
      </c>
      <c r="T453" s="1" t="s">
        <v>646</v>
      </c>
      <c r="U453" s="11" t="s">
        <v>965</v>
      </c>
      <c r="V453" s="1" t="s">
        <v>41</v>
      </c>
      <c r="W453" s="1" t="s">
        <v>49</v>
      </c>
      <c r="X453" s="13" t="str">
        <f t="shared" si="54"/>
        <v/>
      </c>
      <c r="Y453" s="2">
        <f t="shared" ca="1" si="49"/>
        <v>196</v>
      </c>
      <c r="Z453" s="14">
        <v>1</v>
      </c>
      <c r="AA453" s="1" t="str">
        <f t="shared" ca="1" si="50"/>
        <v>VENCIDO</v>
      </c>
      <c r="AB453" s="1" t="str">
        <f t="shared" si="51"/>
        <v>C-14</v>
      </c>
      <c r="AC453" s="2" t="str">
        <f t="shared" si="55"/>
        <v xml:space="preserve"> CLEITON </v>
      </c>
      <c r="AD453" s="2">
        <f t="shared" si="52"/>
        <v>5</v>
      </c>
      <c r="AE453" s="2">
        <f t="shared" ca="1" si="53"/>
        <v>-272.28791516203637</v>
      </c>
      <c r="AF453" s="15"/>
    </row>
    <row r="454" spans="1:32" hidden="1">
      <c r="A454" s="1">
        <v>8633518</v>
      </c>
      <c r="B454" s="1" t="s">
        <v>653</v>
      </c>
      <c r="C454" t="s">
        <v>3581</v>
      </c>
      <c r="E454" s="2">
        <v>3613001400010</v>
      </c>
      <c r="F454" s="1" t="s">
        <v>936</v>
      </c>
      <c r="G454" s="1" t="s">
        <v>53</v>
      </c>
      <c r="H454" s="1" t="s">
        <v>679</v>
      </c>
      <c r="I454" s="1" t="s">
        <v>680</v>
      </c>
      <c r="J454" s="1" t="s">
        <v>46</v>
      </c>
      <c r="K454" t="s">
        <v>937</v>
      </c>
      <c r="M454" s="1" t="s">
        <v>58</v>
      </c>
      <c r="N454" s="1">
        <v>0</v>
      </c>
      <c r="O454" s="1" t="s">
        <v>105</v>
      </c>
      <c r="P454" s="11" t="s">
        <v>966</v>
      </c>
      <c r="R454" s="1">
        <v>3</v>
      </c>
      <c r="T454" s="1" t="s">
        <v>646</v>
      </c>
      <c r="U454" s="186">
        <v>44714.388171296298</v>
      </c>
      <c r="V454" s="1" t="s">
        <v>41</v>
      </c>
      <c r="W454" s="1" t="s">
        <v>49</v>
      </c>
      <c r="X454" s="13" t="str">
        <f t="shared" si="54"/>
        <v/>
      </c>
      <c r="Y454" s="2">
        <f t="shared" ca="1" si="49"/>
        <v>196</v>
      </c>
      <c r="Z454" s="14">
        <v>1</v>
      </c>
      <c r="AA454" s="1" t="str">
        <f t="shared" ca="1" si="50"/>
        <v>VENCIDO</v>
      </c>
      <c r="AB454" s="1" t="str">
        <f t="shared" si="51"/>
        <v>C-14</v>
      </c>
      <c r="AC454" s="2" t="str">
        <f t="shared" si="55"/>
        <v xml:space="preserve"> CLEITON </v>
      </c>
      <c r="AD454" s="2">
        <f t="shared" si="52"/>
        <v>5</v>
      </c>
      <c r="AE454" s="2">
        <f t="shared" ca="1" si="53"/>
        <v>-272.28810034722119</v>
      </c>
      <c r="AF454" s="15"/>
    </row>
    <row r="455" spans="1:32" hidden="1">
      <c r="A455" s="1">
        <v>8633517</v>
      </c>
      <c r="B455" s="1" t="s">
        <v>653</v>
      </c>
      <c r="C455" t="s">
        <v>3581</v>
      </c>
      <c r="E455" s="2">
        <v>3612001400010</v>
      </c>
      <c r="F455" s="1" t="s">
        <v>936</v>
      </c>
      <c r="G455" s="1" t="s">
        <v>53</v>
      </c>
      <c r="H455" s="1" t="s">
        <v>683</v>
      </c>
      <c r="I455" s="1" t="s">
        <v>684</v>
      </c>
      <c r="J455" s="1" t="s">
        <v>46</v>
      </c>
      <c r="K455" t="s">
        <v>937</v>
      </c>
      <c r="M455" s="1" t="s">
        <v>58</v>
      </c>
      <c r="N455" s="1">
        <v>0</v>
      </c>
      <c r="O455" s="1" t="s">
        <v>105</v>
      </c>
      <c r="P455" s="11" t="s">
        <v>966</v>
      </c>
      <c r="R455" s="1">
        <v>3</v>
      </c>
      <c r="T455" s="1" t="s">
        <v>646</v>
      </c>
      <c r="U455" s="186">
        <v>44714.388171296298</v>
      </c>
      <c r="V455" s="1" t="s">
        <v>41</v>
      </c>
      <c r="W455" s="1" t="s">
        <v>49</v>
      </c>
      <c r="X455" s="13" t="str">
        <f t="shared" si="54"/>
        <v/>
      </c>
      <c r="Y455" s="2">
        <f t="shared" ca="1" si="49"/>
        <v>196</v>
      </c>
      <c r="Z455" s="14">
        <v>1</v>
      </c>
      <c r="AA455" s="1" t="str">
        <f t="shared" ca="1" si="50"/>
        <v>VENCIDO</v>
      </c>
      <c r="AB455" s="1" t="str">
        <f t="shared" si="51"/>
        <v>C-14</v>
      </c>
      <c r="AC455" s="2" t="str">
        <f t="shared" si="55"/>
        <v xml:space="preserve"> CLEITON </v>
      </c>
      <c r="AD455" s="2">
        <f t="shared" si="52"/>
        <v>5</v>
      </c>
      <c r="AE455" s="2">
        <f t="shared" ca="1" si="53"/>
        <v>-272.28810034722119</v>
      </c>
      <c r="AF455" s="15"/>
    </row>
    <row r="456" spans="1:32" hidden="1">
      <c r="A456" s="1">
        <v>8633446</v>
      </c>
      <c r="B456" s="1" t="s">
        <v>653</v>
      </c>
      <c r="C456" t="s">
        <v>3581</v>
      </c>
      <c r="E456" s="2">
        <v>3504001400010</v>
      </c>
      <c r="F456" s="1" t="s">
        <v>936</v>
      </c>
      <c r="G456" s="1" t="s">
        <v>53</v>
      </c>
      <c r="H456" s="1" t="s">
        <v>585</v>
      </c>
      <c r="I456" s="1" t="s">
        <v>586</v>
      </c>
      <c r="J456" s="1" t="s">
        <v>46</v>
      </c>
      <c r="K456" t="s">
        <v>937</v>
      </c>
      <c r="M456" s="1" t="s">
        <v>58</v>
      </c>
      <c r="N456" s="1">
        <v>0</v>
      </c>
      <c r="O456" s="1" t="s">
        <v>105</v>
      </c>
      <c r="P456" s="11" t="s">
        <v>968</v>
      </c>
      <c r="R456" s="1">
        <v>3</v>
      </c>
      <c r="T456" s="1" t="s">
        <v>646</v>
      </c>
      <c r="U456" s="186">
        <v>44714.387997685182</v>
      </c>
      <c r="V456" s="1" t="s">
        <v>41</v>
      </c>
      <c r="W456" s="1" t="s">
        <v>49</v>
      </c>
      <c r="X456" s="13" t="str">
        <f t="shared" si="54"/>
        <v/>
      </c>
      <c r="Y456" s="2">
        <f t="shared" ca="1" si="49"/>
        <v>196</v>
      </c>
      <c r="Z456" s="14">
        <v>1</v>
      </c>
      <c r="AA456" s="1" t="str">
        <f t="shared" ca="1" si="50"/>
        <v>VENCIDO</v>
      </c>
      <c r="AB456" s="1" t="str">
        <f t="shared" si="51"/>
        <v>C-14</v>
      </c>
      <c r="AC456" s="2" t="str">
        <f t="shared" si="55"/>
        <v xml:space="preserve"> CLEITON </v>
      </c>
      <c r="AD456" s="2">
        <f t="shared" si="52"/>
        <v>5</v>
      </c>
      <c r="AE456" s="2">
        <f t="shared" ca="1" si="53"/>
        <v>-272.2882739583365</v>
      </c>
      <c r="AF456" s="15"/>
    </row>
    <row r="457" spans="1:32" hidden="1">
      <c r="A457" s="1">
        <v>8633445</v>
      </c>
      <c r="B457" s="1" t="s">
        <v>653</v>
      </c>
      <c r="C457" t="s">
        <v>3581</v>
      </c>
      <c r="E457" s="2">
        <v>3503001400010</v>
      </c>
      <c r="F457" s="1" t="s">
        <v>936</v>
      </c>
      <c r="G457" s="1" t="s">
        <v>53</v>
      </c>
      <c r="H457" s="1" t="s">
        <v>398</v>
      </c>
      <c r="I457" s="1" t="s">
        <v>399</v>
      </c>
      <c r="J457" s="1" t="s">
        <v>46</v>
      </c>
      <c r="K457" t="s">
        <v>937</v>
      </c>
      <c r="M457" s="1" t="s">
        <v>58</v>
      </c>
      <c r="N457" s="1">
        <v>0</v>
      </c>
      <c r="O457" s="1" t="s">
        <v>105</v>
      </c>
      <c r="P457" s="11" t="s">
        <v>968</v>
      </c>
      <c r="R457" s="1">
        <v>3</v>
      </c>
      <c r="T457" s="1" t="s">
        <v>646</v>
      </c>
      <c r="U457" s="186">
        <v>44714.387997685182</v>
      </c>
      <c r="V457" s="1" t="s">
        <v>41</v>
      </c>
      <c r="W457" s="1" t="s">
        <v>49</v>
      </c>
      <c r="X457" s="13" t="str">
        <f t="shared" si="54"/>
        <v/>
      </c>
      <c r="Y457" s="2">
        <f t="shared" ca="1" si="49"/>
        <v>196</v>
      </c>
      <c r="Z457" s="14">
        <v>1</v>
      </c>
      <c r="AA457" s="1" t="str">
        <f t="shared" ca="1" si="50"/>
        <v>VENCIDO</v>
      </c>
      <c r="AB457" s="1" t="str">
        <f t="shared" si="51"/>
        <v>C-14</v>
      </c>
      <c r="AC457" s="2" t="str">
        <f t="shared" si="55"/>
        <v xml:space="preserve"> CLEITON </v>
      </c>
      <c r="AD457" s="2">
        <f t="shared" si="52"/>
        <v>5</v>
      </c>
      <c r="AE457" s="2">
        <f t="shared" ca="1" si="53"/>
        <v>-272.2882739583365</v>
      </c>
      <c r="AF457" s="15"/>
    </row>
    <row r="458" spans="1:32" hidden="1">
      <c r="A458" s="1">
        <v>8633297</v>
      </c>
      <c r="B458" s="1" t="s">
        <v>653</v>
      </c>
      <c r="C458" t="s">
        <v>3581</v>
      </c>
      <c r="E458" s="2">
        <v>3258001400010</v>
      </c>
      <c r="F458" s="1" t="s">
        <v>936</v>
      </c>
      <c r="G458" s="1" t="s">
        <v>53</v>
      </c>
      <c r="H458" s="1" t="s">
        <v>321</v>
      </c>
      <c r="I458" s="1" t="s">
        <v>322</v>
      </c>
      <c r="J458" s="1" t="s">
        <v>46</v>
      </c>
      <c r="K458" t="s">
        <v>937</v>
      </c>
      <c r="M458" s="1" t="s">
        <v>58</v>
      </c>
      <c r="N458" s="1">
        <v>0</v>
      </c>
      <c r="O458" s="1" t="s">
        <v>105</v>
      </c>
      <c r="P458" s="11" t="s">
        <v>970</v>
      </c>
      <c r="R458" s="1">
        <v>3</v>
      </c>
      <c r="T458" s="1" t="s">
        <v>646</v>
      </c>
      <c r="U458" s="186">
        <v>44714.387743055559</v>
      </c>
      <c r="V458" s="1" t="s">
        <v>41</v>
      </c>
      <c r="W458" s="1" t="s">
        <v>49</v>
      </c>
      <c r="X458" s="13" t="str">
        <f t="shared" si="54"/>
        <v/>
      </c>
      <c r="Y458" s="2">
        <f t="shared" ca="1" si="49"/>
        <v>196</v>
      </c>
      <c r="Z458" s="14">
        <v>1</v>
      </c>
      <c r="AA458" s="1" t="str">
        <f t="shared" ca="1" si="50"/>
        <v>VENCIDO</v>
      </c>
      <c r="AB458" s="1" t="str">
        <f t="shared" si="51"/>
        <v>C-14</v>
      </c>
      <c r="AC458" s="2" t="str">
        <f t="shared" si="55"/>
        <v xml:space="preserve"> CLEITON </v>
      </c>
      <c r="AD458" s="2">
        <f t="shared" si="52"/>
        <v>5</v>
      </c>
      <c r="AE458" s="2">
        <f t="shared" ca="1" si="53"/>
        <v>-272.28852858796017</v>
      </c>
      <c r="AF458" s="15"/>
    </row>
    <row r="459" spans="1:32" hidden="1">
      <c r="A459" s="1">
        <v>8633288</v>
      </c>
      <c r="B459" s="1" t="s">
        <v>653</v>
      </c>
      <c r="C459" t="s">
        <v>3581</v>
      </c>
      <c r="E459" s="2">
        <v>3250001400010</v>
      </c>
      <c r="F459" s="1" t="s">
        <v>936</v>
      </c>
      <c r="G459" s="1" t="s">
        <v>53</v>
      </c>
      <c r="H459" s="1" t="s">
        <v>371</v>
      </c>
      <c r="I459" s="1" t="s">
        <v>372</v>
      </c>
      <c r="J459" s="1" t="s">
        <v>46</v>
      </c>
      <c r="K459" t="s">
        <v>937</v>
      </c>
      <c r="M459" s="1" t="s">
        <v>58</v>
      </c>
      <c r="N459" s="1">
        <v>0</v>
      </c>
      <c r="O459" s="1" t="s">
        <v>105</v>
      </c>
      <c r="P459" s="11" t="s">
        <v>972</v>
      </c>
      <c r="R459" s="1">
        <v>3</v>
      </c>
      <c r="T459" s="1" t="s">
        <v>646</v>
      </c>
      <c r="U459" s="186">
        <v>44714.387731481482</v>
      </c>
      <c r="V459" s="1" t="s">
        <v>41</v>
      </c>
      <c r="W459" s="1" t="s">
        <v>49</v>
      </c>
      <c r="X459" s="13" t="str">
        <f t="shared" si="54"/>
        <v/>
      </c>
      <c r="Y459" s="2">
        <f t="shared" ca="1" si="49"/>
        <v>196</v>
      </c>
      <c r="Z459" s="14">
        <v>1</v>
      </c>
      <c r="AA459" s="1" t="str">
        <f t="shared" ca="1" si="50"/>
        <v>VENCIDO</v>
      </c>
      <c r="AB459" s="1" t="str">
        <f t="shared" si="51"/>
        <v>C-14</v>
      </c>
      <c r="AC459" s="2" t="str">
        <f t="shared" si="55"/>
        <v xml:space="preserve"> CLEITON </v>
      </c>
      <c r="AD459" s="2">
        <f t="shared" si="52"/>
        <v>5</v>
      </c>
      <c r="AE459" s="2">
        <f t="shared" ca="1" si="53"/>
        <v>-272.28854016203695</v>
      </c>
      <c r="AF459" s="15"/>
    </row>
    <row r="460" spans="1:32" hidden="1">
      <c r="A460" s="1">
        <v>8633283</v>
      </c>
      <c r="B460" s="1" t="s">
        <v>653</v>
      </c>
      <c r="C460" t="s">
        <v>3581</v>
      </c>
      <c r="E460" s="2">
        <v>3243001400010</v>
      </c>
      <c r="F460" s="1" t="s">
        <v>936</v>
      </c>
      <c r="G460" s="1" t="s">
        <v>53</v>
      </c>
      <c r="H460" s="1" t="s">
        <v>282</v>
      </c>
      <c r="I460" s="1" t="s">
        <v>283</v>
      </c>
      <c r="J460" s="1" t="s">
        <v>46</v>
      </c>
      <c r="K460" t="s">
        <v>937</v>
      </c>
      <c r="M460" s="1" t="s">
        <v>58</v>
      </c>
      <c r="N460" s="1">
        <v>0</v>
      </c>
      <c r="O460" s="1" t="s">
        <v>105</v>
      </c>
      <c r="P460" s="11" t="s">
        <v>974</v>
      </c>
      <c r="R460" s="1">
        <v>3</v>
      </c>
      <c r="T460" s="1" t="s">
        <v>646</v>
      </c>
      <c r="U460" s="186">
        <v>44714.387719907405</v>
      </c>
      <c r="V460" s="1" t="s">
        <v>41</v>
      </c>
      <c r="W460" s="1" t="s">
        <v>49</v>
      </c>
      <c r="X460" s="13" t="str">
        <f t="shared" si="54"/>
        <v/>
      </c>
      <c r="Y460" s="2">
        <f t="shared" ca="1" si="49"/>
        <v>196</v>
      </c>
      <c r="Z460" s="14">
        <v>1</v>
      </c>
      <c r="AA460" s="1" t="str">
        <f t="shared" ca="1" si="50"/>
        <v>VENCIDO</v>
      </c>
      <c r="AB460" s="1" t="str">
        <f t="shared" si="51"/>
        <v>C-14</v>
      </c>
      <c r="AC460" s="2" t="str">
        <f t="shared" si="55"/>
        <v xml:space="preserve"> CLEITON </v>
      </c>
      <c r="AD460" s="2">
        <f t="shared" si="52"/>
        <v>5</v>
      </c>
      <c r="AE460" s="2">
        <f t="shared" ca="1" si="53"/>
        <v>-272.28855173611373</v>
      </c>
      <c r="AF460" s="15"/>
    </row>
    <row r="461" spans="1:32" hidden="1">
      <c r="A461" s="1">
        <v>8633279</v>
      </c>
      <c r="B461" s="1" t="s">
        <v>653</v>
      </c>
      <c r="C461" t="s">
        <v>3581</v>
      </c>
      <c r="E461" s="2">
        <v>3234171400010</v>
      </c>
      <c r="F461" s="1" t="s">
        <v>936</v>
      </c>
      <c r="G461" s="1" t="s">
        <v>53</v>
      </c>
      <c r="H461" s="1" t="s">
        <v>799</v>
      </c>
      <c r="I461" s="1" t="s">
        <v>800</v>
      </c>
      <c r="J461" s="1" t="s">
        <v>46</v>
      </c>
      <c r="K461" t="s">
        <v>937</v>
      </c>
      <c r="M461" s="1" t="s">
        <v>58</v>
      </c>
      <c r="N461" s="1">
        <v>0</v>
      </c>
      <c r="O461" s="1" t="s">
        <v>105</v>
      </c>
      <c r="P461" s="11" t="s">
        <v>974</v>
      </c>
      <c r="R461" s="1">
        <v>3</v>
      </c>
      <c r="T461" s="1" t="s">
        <v>646</v>
      </c>
      <c r="U461" s="186">
        <v>44714.387719907405</v>
      </c>
      <c r="V461" s="1" t="s">
        <v>41</v>
      </c>
      <c r="W461" s="1" t="s">
        <v>49</v>
      </c>
      <c r="X461" s="13" t="str">
        <f t="shared" si="54"/>
        <v>3234.17</v>
      </c>
      <c r="Y461" s="2">
        <f t="shared" ca="1" si="49"/>
        <v>196</v>
      </c>
      <c r="Z461" s="14">
        <v>1</v>
      </c>
      <c r="AA461" s="1" t="str">
        <f t="shared" ca="1" si="50"/>
        <v>VENCIDO</v>
      </c>
      <c r="AB461" s="1" t="str">
        <f t="shared" si="51"/>
        <v>C-14</v>
      </c>
      <c r="AC461" s="2" t="str">
        <f t="shared" si="55"/>
        <v xml:space="preserve"> CLEITON </v>
      </c>
      <c r="AD461" s="2">
        <f t="shared" si="52"/>
        <v>5</v>
      </c>
      <c r="AE461" s="2">
        <f t="shared" ca="1" si="53"/>
        <v>-272.28855173611373</v>
      </c>
      <c r="AF461" s="15"/>
    </row>
    <row r="462" spans="1:32" hidden="1">
      <c r="A462" s="1">
        <v>8633278</v>
      </c>
      <c r="B462" s="1" t="s">
        <v>653</v>
      </c>
      <c r="C462" t="s">
        <v>3581</v>
      </c>
      <c r="E462" s="2">
        <v>3234161400010</v>
      </c>
      <c r="F462" s="1" t="s">
        <v>936</v>
      </c>
      <c r="G462" s="1" t="s">
        <v>53</v>
      </c>
      <c r="H462" s="1" t="s">
        <v>499</v>
      </c>
      <c r="I462" s="1" t="s">
        <v>500</v>
      </c>
      <c r="J462" s="1" t="s">
        <v>46</v>
      </c>
      <c r="K462" t="s">
        <v>937</v>
      </c>
      <c r="M462" s="1" t="s">
        <v>58</v>
      </c>
      <c r="N462" s="1">
        <v>0</v>
      </c>
      <c r="O462" s="1" t="s">
        <v>105</v>
      </c>
      <c r="P462" s="11" t="s">
        <v>976</v>
      </c>
      <c r="R462" s="1">
        <v>3</v>
      </c>
      <c r="T462" s="1" t="s">
        <v>646</v>
      </c>
      <c r="U462" s="186">
        <v>44714.387719907405</v>
      </c>
      <c r="V462" s="1" t="s">
        <v>41</v>
      </c>
      <c r="W462" s="1" t="s">
        <v>49</v>
      </c>
      <c r="X462" s="13" t="str">
        <f t="shared" si="54"/>
        <v>3234.16</v>
      </c>
      <c r="Y462" s="2">
        <f t="shared" ca="1" si="49"/>
        <v>196</v>
      </c>
      <c r="Z462" s="14">
        <v>1</v>
      </c>
      <c r="AA462" s="1" t="str">
        <f t="shared" ca="1" si="50"/>
        <v>VENCIDO</v>
      </c>
      <c r="AB462" s="1" t="str">
        <f t="shared" si="51"/>
        <v>C-14</v>
      </c>
      <c r="AC462" s="2" t="str">
        <f t="shared" si="55"/>
        <v xml:space="preserve"> CLEITON </v>
      </c>
      <c r="AD462" s="2">
        <f t="shared" si="52"/>
        <v>5</v>
      </c>
      <c r="AE462" s="2">
        <f t="shared" ca="1" si="53"/>
        <v>-272.28855173611373</v>
      </c>
      <c r="AF462" s="15"/>
    </row>
    <row r="463" spans="1:32" hidden="1">
      <c r="A463" s="1">
        <v>8633277</v>
      </c>
      <c r="B463" s="1" t="s">
        <v>653</v>
      </c>
      <c r="C463" t="s">
        <v>3581</v>
      </c>
      <c r="E463" s="2">
        <v>3234151400010</v>
      </c>
      <c r="F463" s="1" t="s">
        <v>936</v>
      </c>
      <c r="G463" s="1" t="s">
        <v>53</v>
      </c>
      <c r="H463" s="1" t="s">
        <v>629</v>
      </c>
      <c r="I463" s="1" t="s">
        <v>630</v>
      </c>
      <c r="J463" s="1" t="s">
        <v>46</v>
      </c>
      <c r="K463" t="s">
        <v>937</v>
      </c>
      <c r="M463" s="1" t="s">
        <v>58</v>
      </c>
      <c r="N463" s="1">
        <v>0</v>
      </c>
      <c r="O463" s="1" t="s">
        <v>105</v>
      </c>
      <c r="P463" s="11" t="s">
        <v>976</v>
      </c>
      <c r="R463" s="1">
        <v>3</v>
      </c>
      <c r="T463" s="1" t="s">
        <v>646</v>
      </c>
      <c r="U463" s="186">
        <v>44714.387708333335</v>
      </c>
      <c r="V463" s="1" t="s">
        <v>41</v>
      </c>
      <c r="W463" s="1" t="s">
        <v>49</v>
      </c>
      <c r="X463" s="13" t="str">
        <f t="shared" si="54"/>
        <v>3234.15</v>
      </c>
      <c r="Y463" s="2">
        <f t="shared" ca="1" si="49"/>
        <v>196</v>
      </c>
      <c r="Z463" s="14">
        <v>1</v>
      </c>
      <c r="AA463" s="1" t="str">
        <f t="shared" ca="1" si="50"/>
        <v>VENCIDO</v>
      </c>
      <c r="AB463" s="1" t="str">
        <f t="shared" si="51"/>
        <v>C-14</v>
      </c>
      <c r="AC463" s="2" t="str">
        <f t="shared" si="55"/>
        <v xml:space="preserve"> CLEITON </v>
      </c>
      <c r="AD463" s="2">
        <f t="shared" si="52"/>
        <v>5</v>
      </c>
      <c r="AE463" s="2">
        <f t="shared" ca="1" si="53"/>
        <v>-272.28856331018324</v>
      </c>
      <c r="AF463" s="15"/>
    </row>
    <row r="464" spans="1:32" hidden="1">
      <c r="A464" s="1">
        <v>8633187</v>
      </c>
      <c r="B464" s="1" t="s">
        <v>653</v>
      </c>
      <c r="C464" t="s">
        <v>3581</v>
      </c>
      <c r="E464" s="2">
        <v>3108011400010</v>
      </c>
      <c r="F464" s="1" t="s">
        <v>936</v>
      </c>
      <c r="G464" s="1" t="s">
        <v>53</v>
      </c>
      <c r="H464" s="1" t="s">
        <v>503</v>
      </c>
      <c r="I464" s="1" t="s">
        <v>504</v>
      </c>
      <c r="J464" s="1" t="s">
        <v>46</v>
      </c>
      <c r="K464" t="s">
        <v>937</v>
      </c>
      <c r="M464" s="1" t="s">
        <v>58</v>
      </c>
      <c r="N464" s="1">
        <v>0</v>
      </c>
      <c r="O464" s="1" t="s">
        <v>105</v>
      </c>
      <c r="P464" s="11" t="s">
        <v>978</v>
      </c>
      <c r="R464" s="1">
        <v>3</v>
      </c>
      <c r="T464" s="1" t="s">
        <v>646</v>
      </c>
      <c r="U464" s="186">
        <v>44714.387546296297</v>
      </c>
      <c r="V464" s="1" t="s">
        <v>41</v>
      </c>
      <c r="W464" s="1" t="s">
        <v>49</v>
      </c>
      <c r="X464" s="13" t="str">
        <f t="shared" si="54"/>
        <v>3108.01</v>
      </c>
      <c r="Y464" s="2">
        <f t="shared" ca="1" si="49"/>
        <v>196</v>
      </c>
      <c r="Z464" s="14">
        <v>1</v>
      </c>
      <c r="AA464" s="1" t="str">
        <f t="shared" ca="1" si="50"/>
        <v>VENCIDO</v>
      </c>
      <c r="AB464" s="1" t="str">
        <f t="shared" si="51"/>
        <v>C-14</v>
      </c>
      <c r="AC464" s="2" t="str">
        <f t="shared" si="55"/>
        <v xml:space="preserve"> CLEITON </v>
      </c>
      <c r="AD464" s="2">
        <f t="shared" si="52"/>
        <v>5</v>
      </c>
      <c r="AE464" s="2">
        <f t="shared" ca="1" si="53"/>
        <v>-272.28872534722177</v>
      </c>
      <c r="AF464" s="15"/>
    </row>
    <row r="465" spans="1:32" hidden="1">
      <c r="A465" s="1">
        <v>8633186</v>
      </c>
      <c r="B465" s="1" t="s">
        <v>653</v>
      </c>
      <c r="C465" t="s">
        <v>3581</v>
      </c>
      <c r="E465" s="2">
        <v>3108001400010</v>
      </c>
      <c r="F465" s="1" t="s">
        <v>936</v>
      </c>
      <c r="G465" s="1" t="s">
        <v>53</v>
      </c>
      <c r="H465" s="1" t="s">
        <v>325</v>
      </c>
      <c r="I465" s="1" t="s">
        <v>326</v>
      </c>
      <c r="J465" s="1" t="s">
        <v>46</v>
      </c>
      <c r="K465" t="s">
        <v>937</v>
      </c>
      <c r="M465" s="1" t="s">
        <v>58</v>
      </c>
      <c r="N465" s="1">
        <v>0</v>
      </c>
      <c r="O465" s="1" t="s">
        <v>105</v>
      </c>
      <c r="P465" s="11" t="s">
        <v>978</v>
      </c>
      <c r="R465" s="1">
        <v>3</v>
      </c>
      <c r="T465" s="1" t="s">
        <v>646</v>
      </c>
      <c r="U465" s="186">
        <v>44714.387546296297</v>
      </c>
      <c r="V465" s="1" t="s">
        <v>41</v>
      </c>
      <c r="W465" s="1" t="s">
        <v>49</v>
      </c>
      <c r="X465" s="13" t="str">
        <f t="shared" si="54"/>
        <v/>
      </c>
      <c r="Y465" s="2">
        <f t="shared" ca="1" si="49"/>
        <v>196</v>
      </c>
      <c r="Z465" s="14">
        <v>1</v>
      </c>
      <c r="AA465" s="1" t="str">
        <f t="shared" ca="1" si="50"/>
        <v>VENCIDO</v>
      </c>
      <c r="AB465" s="1" t="str">
        <f t="shared" si="51"/>
        <v>C-14</v>
      </c>
      <c r="AC465" s="2" t="str">
        <f t="shared" si="55"/>
        <v xml:space="preserve"> CLEITON </v>
      </c>
      <c r="AD465" s="2">
        <f t="shared" si="52"/>
        <v>5</v>
      </c>
      <c r="AE465" s="2">
        <f t="shared" ca="1" si="53"/>
        <v>-272.28872534722177</v>
      </c>
      <c r="AF465" s="15"/>
    </row>
    <row r="466" spans="1:32" hidden="1">
      <c r="A466" s="1">
        <v>8633096</v>
      </c>
      <c r="B466" s="1" t="s">
        <v>653</v>
      </c>
      <c r="C466" t="s">
        <v>3581</v>
      </c>
      <c r="E466" s="2">
        <v>2988001400010</v>
      </c>
      <c r="F466" s="1" t="s">
        <v>936</v>
      </c>
      <c r="G466" s="1" t="s">
        <v>53</v>
      </c>
      <c r="H466" s="1" t="s">
        <v>536</v>
      </c>
      <c r="I466" s="1" t="s">
        <v>537</v>
      </c>
      <c r="J466" s="1" t="s">
        <v>46</v>
      </c>
      <c r="K466" t="s">
        <v>937</v>
      </c>
      <c r="M466" s="1" t="s">
        <v>58</v>
      </c>
      <c r="N466" s="1">
        <v>0</v>
      </c>
      <c r="O466" s="1" t="s">
        <v>105</v>
      </c>
      <c r="P466" s="11" t="s">
        <v>980</v>
      </c>
      <c r="R466" s="1">
        <v>3</v>
      </c>
      <c r="T466" s="1" t="s">
        <v>646</v>
      </c>
      <c r="U466" s="186">
        <v>44714.387372685182</v>
      </c>
      <c r="V466" s="1" t="s">
        <v>41</v>
      </c>
      <c r="W466" s="1" t="s">
        <v>49</v>
      </c>
      <c r="X466" s="13" t="str">
        <f t="shared" si="54"/>
        <v/>
      </c>
      <c r="Y466" s="2">
        <f t="shared" ca="1" si="49"/>
        <v>196</v>
      </c>
      <c r="Z466" s="14">
        <v>1</v>
      </c>
      <c r="AA466" s="1" t="str">
        <f t="shared" ca="1" si="50"/>
        <v>VENCIDO</v>
      </c>
      <c r="AB466" s="1" t="str">
        <f t="shared" si="51"/>
        <v>C-14</v>
      </c>
      <c r="AC466" s="2" t="str">
        <f t="shared" si="55"/>
        <v xml:space="preserve"> CLEITON </v>
      </c>
      <c r="AD466" s="2">
        <f t="shared" si="52"/>
        <v>5</v>
      </c>
      <c r="AE466" s="2">
        <f t="shared" ca="1" si="53"/>
        <v>-272.28889895833709</v>
      </c>
      <c r="AF466" s="15"/>
    </row>
    <row r="467" spans="1:32" hidden="1">
      <c r="A467" s="1">
        <v>8633016</v>
      </c>
      <c r="B467" s="1" t="s">
        <v>653</v>
      </c>
      <c r="C467" t="s">
        <v>3581</v>
      </c>
      <c r="E467" s="2">
        <v>2889001400010</v>
      </c>
      <c r="F467" s="1" t="s">
        <v>936</v>
      </c>
      <c r="G467" s="1" t="s">
        <v>53</v>
      </c>
      <c r="H467" s="1" t="s">
        <v>418</v>
      </c>
      <c r="I467" s="1" t="s">
        <v>419</v>
      </c>
      <c r="J467" s="1" t="s">
        <v>46</v>
      </c>
      <c r="K467" t="s">
        <v>937</v>
      </c>
      <c r="M467" s="1" t="s">
        <v>58</v>
      </c>
      <c r="N467" s="1">
        <v>0</v>
      </c>
      <c r="O467" s="1" t="s">
        <v>105</v>
      </c>
      <c r="P467" s="11" t="s">
        <v>982</v>
      </c>
      <c r="R467" s="1">
        <v>3</v>
      </c>
      <c r="T467" s="1" t="s">
        <v>646</v>
      </c>
      <c r="U467" s="186">
        <v>44714.38721064815</v>
      </c>
      <c r="V467" s="1" t="s">
        <v>41</v>
      </c>
      <c r="W467" s="1" t="s">
        <v>49</v>
      </c>
      <c r="X467" s="13" t="str">
        <f t="shared" si="54"/>
        <v/>
      </c>
      <c r="Y467" s="2">
        <f t="shared" ca="1" si="49"/>
        <v>196</v>
      </c>
      <c r="Z467" s="14">
        <v>1</v>
      </c>
      <c r="AA467" s="1" t="str">
        <f t="shared" ca="1" si="50"/>
        <v>VENCIDO</v>
      </c>
      <c r="AB467" s="1" t="str">
        <f t="shared" si="51"/>
        <v>C-14</v>
      </c>
      <c r="AC467" s="2" t="str">
        <f t="shared" si="55"/>
        <v xml:space="preserve"> CLEITON </v>
      </c>
      <c r="AD467" s="2">
        <f t="shared" si="52"/>
        <v>5</v>
      </c>
      <c r="AE467" s="2">
        <f t="shared" ca="1" si="53"/>
        <v>-272.28906099536835</v>
      </c>
      <c r="AF467" s="15"/>
    </row>
    <row r="468" spans="1:32" hidden="1">
      <c r="A468" s="1">
        <v>8632974</v>
      </c>
      <c r="B468" s="1" t="s">
        <v>653</v>
      </c>
      <c r="C468" t="s">
        <v>3581</v>
      </c>
      <c r="E468" s="2">
        <v>2830001400010</v>
      </c>
      <c r="F468" s="1" t="s">
        <v>936</v>
      </c>
      <c r="G468" s="1" t="s">
        <v>53</v>
      </c>
      <c r="H468" s="1" t="s">
        <v>448</v>
      </c>
      <c r="I468" s="1" t="s">
        <v>449</v>
      </c>
      <c r="J468" s="1" t="s">
        <v>33</v>
      </c>
      <c r="K468" t="s">
        <v>937</v>
      </c>
      <c r="M468" s="1" t="s">
        <v>58</v>
      </c>
      <c r="N468" s="1">
        <v>0</v>
      </c>
      <c r="O468" s="1" t="s">
        <v>105</v>
      </c>
      <c r="P468" s="11" t="s">
        <v>984</v>
      </c>
      <c r="R468" s="1">
        <v>3</v>
      </c>
      <c r="T468" s="1" t="s">
        <v>646</v>
      </c>
      <c r="U468" s="186">
        <v>44714.387164351851</v>
      </c>
      <c r="V468" s="1" t="s">
        <v>41</v>
      </c>
      <c r="W468" s="1" t="s">
        <v>42</v>
      </c>
      <c r="X468" s="13" t="str">
        <f t="shared" si="54"/>
        <v/>
      </c>
      <c r="Y468" s="2">
        <f t="shared" ca="1" si="49"/>
        <v>196</v>
      </c>
      <c r="Z468" s="14">
        <v>1</v>
      </c>
      <c r="AA468" s="1" t="str">
        <f t="shared" ca="1" si="50"/>
        <v>VENCIDO</v>
      </c>
      <c r="AB468" s="1" t="str">
        <f t="shared" si="51"/>
        <v>C-14</v>
      </c>
      <c r="AC468" s="2" t="str">
        <f t="shared" si="55"/>
        <v xml:space="preserve"> ROSEMERE </v>
      </c>
      <c r="AD468" s="2">
        <f t="shared" si="52"/>
        <v>5</v>
      </c>
      <c r="AE468" s="2">
        <f t="shared" ca="1" si="53"/>
        <v>-272.28910729166819</v>
      </c>
      <c r="AF468" s="15"/>
    </row>
    <row r="469" spans="1:32" hidden="1">
      <c r="A469" s="1">
        <v>8632958</v>
      </c>
      <c r="B469" s="1" t="s">
        <v>653</v>
      </c>
      <c r="C469" t="s">
        <v>3581</v>
      </c>
      <c r="E469" s="2">
        <v>2811001400010</v>
      </c>
      <c r="F469" s="1" t="s">
        <v>936</v>
      </c>
      <c r="G469" s="1" t="s">
        <v>53</v>
      </c>
      <c r="H469" s="1" t="s">
        <v>44</v>
      </c>
      <c r="I469" s="1" t="s">
        <v>45</v>
      </c>
      <c r="J469" s="1" t="s">
        <v>46</v>
      </c>
      <c r="K469" t="s">
        <v>937</v>
      </c>
      <c r="M469" s="1" t="s">
        <v>58</v>
      </c>
      <c r="N469" s="1">
        <v>0</v>
      </c>
      <c r="O469" s="1" t="s">
        <v>105</v>
      </c>
      <c r="P469" s="11" t="s">
        <v>986</v>
      </c>
      <c r="R469" s="1">
        <v>3</v>
      </c>
      <c r="T469" s="1" t="s">
        <v>646</v>
      </c>
      <c r="U469" s="186">
        <v>44714.387141203704</v>
      </c>
      <c r="V469" s="1" t="s">
        <v>41</v>
      </c>
      <c r="W469" s="1" t="s">
        <v>49</v>
      </c>
      <c r="X469" s="13" t="str">
        <f t="shared" si="54"/>
        <v/>
      </c>
      <c r="Y469" s="2">
        <f t="shared" ca="1" si="49"/>
        <v>196</v>
      </c>
      <c r="Z469" s="14">
        <v>1</v>
      </c>
      <c r="AA469" s="1" t="str">
        <f t="shared" ca="1" si="50"/>
        <v>VENCIDO</v>
      </c>
      <c r="AB469" s="1" t="str">
        <f t="shared" si="51"/>
        <v>C-14</v>
      </c>
      <c r="AC469" s="2" t="str">
        <f t="shared" si="55"/>
        <v xml:space="preserve"> CLEITON </v>
      </c>
      <c r="AD469" s="2">
        <f t="shared" si="52"/>
        <v>5</v>
      </c>
      <c r="AE469" s="2">
        <f t="shared" ca="1" si="53"/>
        <v>-272.28913043981447</v>
      </c>
      <c r="AF469" s="15"/>
    </row>
    <row r="470" spans="1:32" hidden="1">
      <c r="A470" s="1">
        <v>8632950</v>
      </c>
      <c r="B470" s="1" t="s">
        <v>653</v>
      </c>
      <c r="C470" t="s">
        <v>3581</v>
      </c>
      <c r="E470" s="2">
        <v>2802001400010</v>
      </c>
      <c r="F470" s="1" t="s">
        <v>936</v>
      </c>
      <c r="G470" s="1" t="s">
        <v>53</v>
      </c>
      <c r="H470" s="1" t="s">
        <v>388</v>
      </c>
      <c r="I470" s="1" t="s">
        <v>389</v>
      </c>
      <c r="J470" s="1" t="s">
        <v>46</v>
      </c>
      <c r="K470" t="s">
        <v>937</v>
      </c>
      <c r="M470" s="1" t="s">
        <v>58</v>
      </c>
      <c r="N470" s="1">
        <v>0</v>
      </c>
      <c r="O470" s="1" t="s">
        <v>105</v>
      </c>
      <c r="P470" s="11" t="s">
        <v>988</v>
      </c>
      <c r="R470" s="1">
        <v>3</v>
      </c>
      <c r="T470" s="1" t="s">
        <v>646</v>
      </c>
      <c r="U470" s="186">
        <v>44714.387071759258</v>
      </c>
      <c r="V470" s="1" t="s">
        <v>41</v>
      </c>
      <c r="W470" s="1" t="s">
        <v>49</v>
      </c>
      <c r="X470" s="13" t="str">
        <f t="shared" si="54"/>
        <v/>
      </c>
      <c r="Y470" s="2">
        <f t="shared" ca="1" si="49"/>
        <v>196</v>
      </c>
      <c r="Z470" s="14">
        <v>1</v>
      </c>
      <c r="AA470" s="1" t="str">
        <f t="shared" ca="1" si="50"/>
        <v>VENCIDO</v>
      </c>
      <c r="AB470" s="1" t="str">
        <f t="shared" si="51"/>
        <v>C-14</v>
      </c>
      <c r="AC470" s="2" t="str">
        <f t="shared" si="55"/>
        <v xml:space="preserve"> CLEITON </v>
      </c>
      <c r="AD470" s="2">
        <f t="shared" si="52"/>
        <v>5</v>
      </c>
      <c r="AE470" s="2">
        <f t="shared" ca="1" si="53"/>
        <v>-272.2891998842606</v>
      </c>
      <c r="AF470" s="15"/>
    </row>
    <row r="471" spans="1:32" hidden="1">
      <c r="A471" s="1">
        <v>8632849</v>
      </c>
      <c r="B471" s="1" t="s">
        <v>653</v>
      </c>
      <c r="C471" t="s">
        <v>3581</v>
      </c>
      <c r="E471" s="2">
        <v>2683001400010</v>
      </c>
      <c r="F471" s="1" t="s">
        <v>936</v>
      </c>
      <c r="G471" s="1" t="s">
        <v>53</v>
      </c>
      <c r="H471" s="1" t="s">
        <v>276</v>
      </c>
      <c r="I471" s="1" t="s">
        <v>277</v>
      </c>
      <c r="J471" s="1" t="s">
        <v>90</v>
      </c>
      <c r="K471" t="s">
        <v>937</v>
      </c>
      <c r="M471" s="1" t="s">
        <v>58</v>
      </c>
      <c r="N471" s="1">
        <v>0</v>
      </c>
      <c r="O471" s="1" t="s">
        <v>105</v>
      </c>
      <c r="P471" s="11" t="s">
        <v>990</v>
      </c>
      <c r="R471" s="1">
        <v>3</v>
      </c>
      <c r="T471" s="1" t="s">
        <v>646</v>
      </c>
      <c r="U471" s="186">
        <v>44714.386886574073</v>
      </c>
      <c r="V471" s="1" t="s">
        <v>41</v>
      </c>
      <c r="W471" s="1" t="s">
        <v>49</v>
      </c>
      <c r="X471" s="13" t="str">
        <f t="shared" si="54"/>
        <v/>
      </c>
      <c r="Y471" s="2">
        <f t="shared" ca="1" si="49"/>
        <v>196</v>
      </c>
      <c r="Z471" s="14">
        <v>1</v>
      </c>
      <c r="AA471" s="1" t="str">
        <f t="shared" ca="1" si="50"/>
        <v>VENCIDO</v>
      </c>
      <c r="AB471" s="1" t="str">
        <f t="shared" si="51"/>
        <v>C-14</v>
      </c>
      <c r="AC471" s="2" t="str">
        <f t="shared" si="55"/>
        <v xml:space="preserve"> RINALDO </v>
      </c>
      <c r="AD471" s="2">
        <f t="shared" si="52"/>
        <v>5</v>
      </c>
      <c r="AE471" s="2">
        <f t="shared" ca="1" si="53"/>
        <v>-272.28938506944542</v>
      </c>
      <c r="AF471" s="15"/>
    </row>
    <row r="472" spans="1:32" hidden="1">
      <c r="A472" s="1">
        <v>8632846</v>
      </c>
      <c r="B472" s="1" t="s">
        <v>653</v>
      </c>
      <c r="C472" t="s">
        <v>3581</v>
      </c>
      <c r="E472" s="2">
        <v>2678001400010</v>
      </c>
      <c r="F472" s="1" t="s">
        <v>936</v>
      </c>
      <c r="G472" s="1" t="s">
        <v>53</v>
      </c>
      <c r="H472" s="1" t="s">
        <v>992</v>
      </c>
      <c r="I472" s="1" t="s">
        <v>993</v>
      </c>
      <c r="J472" s="1" t="s">
        <v>33</v>
      </c>
      <c r="K472" t="s">
        <v>937</v>
      </c>
      <c r="M472" s="1" t="s">
        <v>58</v>
      </c>
      <c r="N472" s="1">
        <v>0</v>
      </c>
      <c r="O472" s="1" t="s">
        <v>105</v>
      </c>
      <c r="P472" s="11" t="s">
        <v>990</v>
      </c>
      <c r="R472" s="1">
        <v>3</v>
      </c>
      <c r="T472" s="1" t="s">
        <v>646</v>
      </c>
      <c r="U472" s="186">
        <v>44714.386886574073</v>
      </c>
      <c r="V472" s="1" t="s">
        <v>41</v>
      </c>
      <c r="W472" s="1" t="s">
        <v>42</v>
      </c>
      <c r="X472" s="13" t="str">
        <f t="shared" si="54"/>
        <v/>
      </c>
      <c r="Y472" s="2">
        <f t="shared" ca="1" si="49"/>
        <v>196</v>
      </c>
      <c r="Z472" s="14">
        <v>1</v>
      </c>
      <c r="AA472" s="1" t="str">
        <f t="shared" ca="1" si="50"/>
        <v>VENCIDO</v>
      </c>
      <c r="AB472" s="1" t="str">
        <f t="shared" si="51"/>
        <v>C-14</v>
      </c>
      <c r="AC472" s="2" t="str">
        <f t="shared" si="55"/>
        <v xml:space="preserve"> ROSEMERE </v>
      </c>
      <c r="AD472" s="2">
        <f t="shared" si="52"/>
        <v>5</v>
      </c>
      <c r="AE472" s="2">
        <f t="shared" ca="1" si="53"/>
        <v>-272.28938506944542</v>
      </c>
      <c r="AF472" s="15"/>
    </row>
    <row r="473" spans="1:32" hidden="1">
      <c r="A473" s="1">
        <v>8632805</v>
      </c>
      <c r="B473" s="1" t="s">
        <v>653</v>
      </c>
      <c r="C473" t="s">
        <v>3581</v>
      </c>
      <c r="E473" s="2">
        <v>2625001400010</v>
      </c>
      <c r="F473" s="1" t="s">
        <v>936</v>
      </c>
      <c r="G473" s="1" t="s">
        <v>53</v>
      </c>
      <c r="H473" s="1" t="s">
        <v>317</v>
      </c>
      <c r="I473" s="1" t="s">
        <v>318</v>
      </c>
      <c r="J473" s="1" t="s">
        <v>164</v>
      </c>
      <c r="K473" t="s">
        <v>937</v>
      </c>
      <c r="M473" s="1" t="s">
        <v>58</v>
      </c>
      <c r="N473" s="1">
        <v>0</v>
      </c>
      <c r="O473" s="1" t="s">
        <v>105</v>
      </c>
      <c r="P473" s="11" t="s">
        <v>994</v>
      </c>
      <c r="R473" s="1">
        <v>3</v>
      </c>
      <c r="T473" s="1" t="s">
        <v>646</v>
      </c>
      <c r="U473" s="186">
        <v>44714.386840277781</v>
      </c>
      <c r="V473" s="1" t="s">
        <v>41</v>
      </c>
      <c r="W473" s="1" t="s">
        <v>49</v>
      </c>
      <c r="X473" s="13" t="str">
        <f t="shared" si="54"/>
        <v/>
      </c>
      <c r="Y473" s="2">
        <f t="shared" ca="1" si="49"/>
        <v>196</v>
      </c>
      <c r="Z473" s="14">
        <v>1</v>
      </c>
      <c r="AA473" s="1" t="str">
        <f t="shared" ca="1" si="50"/>
        <v>VENCIDO</v>
      </c>
      <c r="AB473" s="1" t="str">
        <f t="shared" si="51"/>
        <v>C-14</v>
      </c>
      <c r="AC473" s="2" t="str">
        <f t="shared" si="55"/>
        <v xml:space="preserve"> ROSEMERE </v>
      </c>
      <c r="AD473" s="2">
        <f t="shared" si="52"/>
        <v>5</v>
      </c>
      <c r="AE473" s="2">
        <f t="shared" ca="1" si="53"/>
        <v>-272.28943136573798</v>
      </c>
      <c r="AF473" s="15"/>
    </row>
    <row r="474" spans="1:32" hidden="1">
      <c r="A474" s="1">
        <v>8632750</v>
      </c>
      <c r="B474" s="1" t="s">
        <v>653</v>
      </c>
      <c r="C474" t="s">
        <v>3581</v>
      </c>
      <c r="E474" s="2">
        <v>2564001400010</v>
      </c>
      <c r="F474" s="1" t="s">
        <v>936</v>
      </c>
      <c r="G474" s="1" t="s">
        <v>53</v>
      </c>
      <c r="H474" s="1" t="s">
        <v>255</v>
      </c>
      <c r="I474" s="1" t="s">
        <v>256</v>
      </c>
      <c r="J474" s="1" t="s">
        <v>164</v>
      </c>
      <c r="K474" t="s">
        <v>937</v>
      </c>
      <c r="M474" s="1" t="s">
        <v>58</v>
      </c>
      <c r="N474" s="1">
        <v>0</v>
      </c>
      <c r="O474" s="1" t="s">
        <v>105</v>
      </c>
      <c r="P474" s="11" t="s">
        <v>996</v>
      </c>
      <c r="R474" s="1">
        <v>3</v>
      </c>
      <c r="T474" s="1" t="s">
        <v>646</v>
      </c>
      <c r="U474" s="186">
        <v>44714.386759259258</v>
      </c>
      <c r="V474" s="1" t="s">
        <v>41</v>
      </c>
      <c r="W474" s="1" t="s">
        <v>49</v>
      </c>
      <c r="X474" s="13" t="str">
        <f t="shared" si="54"/>
        <v/>
      </c>
      <c r="Y474" s="2">
        <f t="shared" ca="1" si="49"/>
        <v>196</v>
      </c>
      <c r="Z474" s="14">
        <v>1</v>
      </c>
      <c r="AA474" s="1" t="str">
        <f t="shared" ca="1" si="50"/>
        <v>VENCIDO</v>
      </c>
      <c r="AB474" s="1" t="str">
        <f t="shared" si="51"/>
        <v>C-14</v>
      </c>
      <c r="AC474" s="2" t="str">
        <f t="shared" si="55"/>
        <v xml:space="preserve"> ROSEMERE </v>
      </c>
      <c r="AD474" s="2">
        <f t="shared" si="52"/>
        <v>5</v>
      </c>
      <c r="AE474" s="2">
        <f t="shared" ca="1" si="53"/>
        <v>-272.28951238426089</v>
      </c>
      <c r="AF474" s="15"/>
    </row>
    <row r="475" spans="1:32" hidden="1">
      <c r="A475" s="1">
        <v>8632637</v>
      </c>
      <c r="B475" s="1" t="s">
        <v>653</v>
      </c>
      <c r="C475" t="s">
        <v>3581</v>
      </c>
      <c r="E475" s="2">
        <v>2413001400010</v>
      </c>
      <c r="F475" s="1" t="s">
        <v>936</v>
      </c>
      <c r="G475" s="1" t="s">
        <v>53</v>
      </c>
      <c r="H475" s="1" t="s">
        <v>505</v>
      </c>
      <c r="I475" s="1" t="s">
        <v>506</v>
      </c>
      <c r="J475" s="1" t="s">
        <v>141</v>
      </c>
      <c r="K475" t="s">
        <v>937</v>
      </c>
      <c r="M475" s="1" t="s">
        <v>58</v>
      </c>
      <c r="N475" s="1">
        <v>0</v>
      </c>
      <c r="O475" s="1" t="s">
        <v>105</v>
      </c>
      <c r="P475" s="11" t="s">
        <v>998</v>
      </c>
      <c r="R475" s="1">
        <v>3</v>
      </c>
      <c r="T475" s="1" t="s">
        <v>646</v>
      </c>
      <c r="U475" s="186">
        <v>44714.386631944442</v>
      </c>
      <c r="V475" s="1" t="s">
        <v>41</v>
      </c>
      <c r="W475" s="1" t="s">
        <v>49</v>
      </c>
      <c r="X475" s="13" t="str">
        <f t="shared" si="54"/>
        <v/>
      </c>
      <c r="Y475" s="2">
        <f t="shared" ca="1" si="49"/>
        <v>196</v>
      </c>
      <c r="Z475" s="14">
        <v>1</v>
      </c>
      <c r="AA475" s="1" t="str">
        <f t="shared" ca="1" si="50"/>
        <v>VENCIDO</v>
      </c>
      <c r="AB475" s="1" t="str">
        <f t="shared" si="51"/>
        <v>C-14</v>
      </c>
      <c r="AC475" s="2" t="str">
        <f t="shared" si="55"/>
        <v xml:space="preserve"> CRISTINA </v>
      </c>
      <c r="AD475" s="2">
        <f t="shared" si="52"/>
        <v>5</v>
      </c>
      <c r="AE475" s="2">
        <f t="shared" ca="1" si="53"/>
        <v>-272.28963969907636</v>
      </c>
      <c r="AF475" s="15"/>
    </row>
    <row r="476" spans="1:32" hidden="1">
      <c r="A476" s="1">
        <v>8632603</v>
      </c>
      <c r="B476" s="1" t="s">
        <v>653</v>
      </c>
      <c r="C476" t="s">
        <v>3581</v>
      </c>
      <c r="E476" s="2">
        <v>2371001400010</v>
      </c>
      <c r="F476" s="1" t="s">
        <v>936</v>
      </c>
      <c r="G476" s="1" t="s">
        <v>53</v>
      </c>
      <c r="H476" s="1" t="s">
        <v>1000</v>
      </c>
      <c r="I476" s="1" t="s">
        <v>1001</v>
      </c>
      <c r="J476" s="1" t="s">
        <v>90</v>
      </c>
      <c r="K476" t="s">
        <v>937</v>
      </c>
      <c r="M476" s="1" t="s">
        <v>58</v>
      </c>
      <c r="N476" s="1">
        <v>0</v>
      </c>
      <c r="O476" s="1" t="s">
        <v>105</v>
      </c>
      <c r="P476" s="11" t="s">
        <v>1002</v>
      </c>
      <c r="R476" s="1">
        <v>3</v>
      </c>
      <c r="T476" s="1" t="s">
        <v>646</v>
      </c>
      <c r="U476" s="186">
        <v>44714.386597222219</v>
      </c>
      <c r="V476" s="1" t="s">
        <v>41</v>
      </c>
      <c r="W476" s="1" t="s">
        <v>49</v>
      </c>
      <c r="X476" s="13" t="str">
        <f t="shared" si="54"/>
        <v/>
      </c>
      <c r="Y476" s="2">
        <f t="shared" ca="1" si="49"/>
        <v>196</v>
      </c>
      <c r="Z476" s="14">
        <v>1</v>
      </c>
      <c r="AA476" s="1" t="str">
        <f t="shared" ca="1" si="50"/>
        <v>VENCIDO</v>
      </c>
      <c r="AB476" s="1" t="str">
        <f t="shared" si="51"/>
        <v>C-14</v>
      </c>
      <c r="AC476" s="2" t="str">
        <f t="shared" si="55"/>
        <v xml:space="preserve"> RINALDO </v>
      </c>
      <c r="AD476" s="2">
        <f t="shared" si="52"/>
        <v>5</v>
      </c>
      <c r="AE476" s="2">
        <f t="shared" ca="1" si="53"/>
        <v>-272.28967442129942</v>
      </c>
      <c r="AF476" s="15"/>
    </row>
    <row r="477" spans="1:32" hidden="1">
      <c r="A477" s="1">
        <v>8632602</v>
      </c>
      <c r="B477" s="1" t="s">
        <v>653</v>
      </c>
      <c r="C477" t="s">
        <v>3581</v>
      </c>
      <c r="E477" s="2">
        <v>2369001400010</v>
      </c>
      <c r="F477" s="1" t="s">
        <v>936</v>
      </c>
      <c r="G477" s="1" t="s">
        <v>53</v>
      </c>
      <c r="H477" s="1" t="s">
        <v>701</v>
      </c>
      <c r="I477" s="1" t="s">
        <v>702</v>
      </c>
      <c r="J477" s="1" t="s">
        <v>141</v>
      </c>
      <c r="K477" t="s">
        <v>937</v>
      </c>
      <c r="M477" s="1" t="s">
        <v>58</v>
      </c>
      <c r="N477" s="1">
        <v>0</v>
      </c>
      <c r="O477" s="1" t="s">
        <v>105</v>
      </c>
      <c r="P477" s="11" t="s">
        <v>1004</v>
      </c>
      <c r="R477" s="1">
        <v>3</v>
      </c>
      <c r="T477" s="1" t="s">
        <v>646</v>
      </c>
      <c r="U477" s="186">
        <v>44714.38658564815</v>
      </c>
      <c r="V477" s="1" t="s">
        <v>41</v>
      </c>
      <c r="W477" s="1" t="s">
        <v>49</v>
      </c>
      <c r="X477" s="13" t="str">
        <f t="shared" si="54"/>
        <v/>
      </c>
      <c r="Y477" s="2">
        <f t="shared" ca="1" si="49"/>
        <v>196</v>
      </c>
      <c r="Z477" s="14">
        <v>1</v>
      </c>
      <c r="AA477" s="1" t="str">
        <f t="shared" ca="1" si="50"/>
        <v>VENCIDO</v>
      </c>
      <c r="AB477" s="1" t="str">
        <f t="shared" si="51"/>
        <v>C-14</v>
      </c>
      <c r="AC477" s="2" t="str">
        <f t="shared" si="55"/>
        <v xml:space="preserve"> CRISTINA </v>
      </c>
      <c r="AD477" s="2">
        <f t="shared" si="52"/>
        <v>5</v>
      </c>
      <c r="AE477" s="2">
        <f t="shared" ca="1" si="53"/>
        <v>-272.28968599536893</v>
      </c>
      <c r="AF477" s="15"/>
    </row>
    <row r="478" spans="1:32" hidden="1">
      <c r="A478" s="1">
        <v>8632599</v>
      </c>
      <c r="B478" s="1" t="s">
        <v>653</v>
      </c>
      <c r="C478" t="s">
        <v>3581</v>
      </c>
      <c r="E478" s="2">
        <v>2365001400010</v>
      </c>
      <c r="F478" s="1" t="s">
        <v>936</v>
      </c>
      <c r="G478" s="1" t="s">
        <v>53</v>
      </c>
      <c r="H478" s="1" t="s">
        <v>159</v>
      </c>
      <c r="I478" s="1" t="s">
        <v>160</v>
      </c>
      <c r="J478" s="1" t="s">
        <v>46</v>
      </c>
      <c r="K478" t="s">
        <v>937</v>
      </c>
      <c r="M478" s="1" t="s">
        <v>58</v>
      </c>
      <c r="N478" s="1">
        <v>0</v>
      </c>
      <c r="O478" s="1" t="s">
        <v>105</v>
      </c>
      <c r="P478" s="11" t="s">
        <v>1004</v>
      </c>
      <c r="R478" s="1">
        <v>3</v>
      </c>
      <c r="T478" s="1" t="s">
        <v>646</v>
      </c>
      <c r="U478" s="186">
        <v>44714.38658564815</v>
      </c>
      <c r="V478" s="1" t="s">
        <v>41</v>
      </c>
      <c r="W478" s="1" t="s">
        <v>49</v>
      </c>
      <c r="X478" s="13" t="str">
        <f t="shared" si="54"/>
        <v/>
      </c>
      <c r="Y478" s="2">
        <f t="shared" ca="1" si="49"/>
        <v>196</v>
      </c>
      <c r="Z478" s="14">
        <v>1</v>
      </c>
      <c r="AA478" s="1" t="str">
        <f t="shared" ca="1" si="50"/>
        <v>VENCIDO</v>
      </c>
      <c r="AB478" s="1" t="str">
        <f t="shared" si="51"/>
        <v>C-14</v>
      </c>
      <c r="AC478" s="2" t="str">
        <f t="shared" si="55"/>
        <v xml:space="preserve"> CLEITON </v>
      </c>
      <c r="AD478" s="2">
        <f t="shared" si="52"/>
        <v>5</v>
      </c>
      <c r="AE478" s="2">
        <f t="shared" ca="1" si="53"/>
        <v>-272.28968599536893</v>
      </c>
      <c r="AF478" s="15"/>
    </row>
    <row r="479" spans="1:32" hidden="1">
      <c r="A479" s="1">
        <v>8632568</v>
      </c>
      <c r="B479" s="1" t="s">
        <v>653</v>
      </c>
      <c r="C479" t="s">
        <v>3581</v>
      </c>
      <c r="E479" s="2">
        <v>2326001400010</v>
      </c>
      <c r="F479" s="1" t="s">
        <v>936</v>
      </c>
      <c r="G479" s="1" t="s">
        <v>53</v>
      </c>
      <c r="H479" s="1" t="s">
        <v>191</v>
      </c>
      <c r="I479" s="1" t="s">
        <v>192</v>
      </c>
      <c r="J479" s="1" t="s">
        <v>46</v>
      </c>
      <c r="K479" t="s">
        <v>937</v>
      </c>
      <c r="M479" s="1" t="s">
        <v>58</v>
      </c>
      <c r="N479" s="1">
        <v>0</v>
      </c>
      <c r="O479" s="1" t="s">
        <v>105</v>
      </c>
      <c r="P479" s="11" t="s">
        <v>1006</v>
      </c>
      <c r="R479" s="1">
        <v>3</v>
      </c>
      <c r="T479" s="1" t="s">
        <v>646</v>
      </c>
      <c r="U479" s="186">
        <v>44714.386550925927</v>
      </c>
      <c r="V479" s="1" t="s">
        <v>41</v>
      </c>
      <c r="W479" s="1" t="s">
        <v>49</v>
      </c>
      <c r="X479" s="13" t="str">
        <f t="shared" si="54"/>
        <v/>
      </c>
      <c r="Y479" s="2">
        <f t="shared" ca="1" si="49"/>
        <v>196</v>
      </c>
      <c r="Z479" s="14">
        <v>1</v>
      </c>
      <c r="AA479" s="1" t="str">
        <f t="shared" ca="1" si="50"/>
        <v>VENCIDO</v>
      </c>
      <c r="AB479" s="1" t="str">
        <f t="shared" si="51"/>
        <v>C-14</v>
      </c>
      <c r="AC479" s="2" t="str">
        <f t="shared" si="55"/>
        <v xml:space="preserve"> CLEITON </v>
      </c>
      <c r="AD479" s="2">
        <f t="shared" si="52"/>
        <v>5</v>
      </c>
      <c r="AE479" s="2">
        <f t="shared" ca="1" si="53"/>
        <v>-272.28972071759199</v>
      </c>
      <c r="AF479" s="15"/>
    </row>
    <row r="480" spans="1:32" hidden="1">
      <c r="A480" s="1">
        <v>8632476</v>
      </c>
      <c r="B480" s="1" t="s">
        <v>653</v>
      </c>
      <c r="C480" t="s">
        <v>3581</v>
      </c>
      <c r="E480" s="2">
        <v>2219001400010</v>
      </c>
      <c r="F480" s="1" t="s">
        <v>936</v>
      </c>
      <c r="G480" s="1" t="s">
        <v>53</v>
      </c>
      <c r="H480" s="1" t="s">
        <v>893</v>
      </c>
      <c r="I480" s="1" t="s">
        <v>894</v>
      </c>
      <c r="J480" s="1" t="s">
        <v>141</v>
      </c>
      <c r="K480" t="s">
        <v>937</v>
      </c>
      <c r="M480" s="1" t="s">
        <v>58</v>
      </c>
      <c r="N480" s="1">
        <v>0</v>
      </c>
      <c r="O480" s="1" t="s">
        <v>105</v>
      </c>
      <c r="P480" s="11" t="s">
        <v>1008</v>
      </c>
      <c r="R480" s="1">
        <v>3</v>
      </c>
      <c r="T480" s="1" t="s">
        <v>646</v>
      </c>
      <c r="U480" s="186">
        <v>44714.386423611111</v>
      </c>
      <c r="V480" s="1" t="s">
        <v>41</v>
      </c>
      <c r="W480" s="1" t="s">
        <v>49</v>
      </c>
      <c r="X480" s="13" t="str">
        <f t="shared" si="54"/>
        <v/>
      </c>
      <c r="Y480" s="2">
        <f t="shared" ca="1" si="49"/>
        <v>196</v>
      </c>
      <c r="Z480" s="14">
        <v>1</v>
      </c>
      <c r="AA480" s="1" t="str">
        <f t="shared" ca="1" si="50"/>
        <v>VENCIDO</v>
      </c>
      <c r="AB480" s="1" t="str">
        <f t="shared" si="51"/>
        <v>C-14</v>
      </c>
      <c r="AC480" s="2" t="str">
        <f t="shared" si="55"/>
        <v xml:space="preserve"> CRISTINA </v>
      </c>
      <c r="AD480" s="2">
        <f t="shared" si="52"/>
        <v>5</v>
      </c>
      <c r="AE480" s="2">
        <f t="shared" ca="1" si="53"/>
        <v>-272.28984803240746</v>
      </c>
      <c r="AF480" s="15"/>
    </row>
    <row r="481" spans="1:32" hidden="1">
      <c r="A481" s="1">
        <v>8632402</v>
      </c>
      <c r="B481" s="1" t="s">
        <v>653</v>
      </c>
      <c r="C481" t="s">
        <v>3581</v>
      </c>
      <c r="E481" s="2">
        <v>2138001400010</v>
      </c>
      <c r="F481" s="1" t="s">
        <v>936</v>
      </c>
      <c r="G481" s="1" t="s">
        <v>53</v>
      </c>
      <c r="H481" s="1" t="s">
        <v>379</v>
      </c>
      <c r="I481" s="1" t="s">
        <v>380</v>
      </c>
      <c r="J481" s="1" t="s">
        <v>46</v>
      </c>
      <c r="K481" t="s">
        <v>937</v>
      </c>
      <c r="M481" s="1" t="s">
        <v>58</v>
      </c>
      <c r="N481" s="1">
        <v>0</v>
      </c>
      <c r="O481" s="1" t="s">
        <v>105</v>
      </c>
      <c r="P481" s="11" t="s">
        <v>1010</v>
      </c>
      <c r="R481" s="1">
        <v>3</v>
      </c>
      <c r="T481" s="1" t="s">
        <v>646</v>
      </c>
      <c r="U481" s="186">
        <v>44714.386331018519</v>
      </c>
      <c r="V481" s="1" t="s">
        <v>41</v>
      </c>
      <c r="W481" s="1" t="s">
        <v>49</v>
      </c>
      <c r="X481" s="13" t="str">
        <f t="shared" si="54"/>
        <v/>
      </c>
      <c r="Y481" s="2">
        <f t="shared" ca="1" si="49"/>
        <v>196</v>
      </c>
      <c r="Z481" s="14">
        <v>1</v>
      </c>
      <c r="AA481" s="1" t="str">
        <f t="shared" ca="1" si="50"/>
        <v>VENCIDO</v>
      </c>
      <c r="AB481" s="1" t="str">
        <f t="shared" si="51"/>
        <v>C-14</v>
      </c>
      <c r="AC481" s="2" t="str">
        <f t="shared" si="55"/>
        <v xml:space="preserve"> CLEITON </v>
      </c>
      <c r="AD481" s="2">
        <f t="shared" si="52"/>
        <v>5</v>
      </c>
      <c r="AE481" s="2">
        <f t="shared" ca="1" si="53"/>
        <v>-272.28994062499987</v>
      </c>
      <c r="AF481" s="15"/>
    </row>
    <row r="482" spans="1:32" hidden="1">
      <c r="A482" s="1">
        <v>8632379</v>
      </c>
      <c r="B482" s="1" t="s">
        <v>653</v>
      </c>
      <c r="C482" t="s">
        <v>3581</v>
      </c>
      <c r="E482" s="2">
        <v>2107001400010</v>
      </c>
      <c r="F482" s="1" t="s">
        <v>936</v>
      </c>
      <c r="G482" s="1" t="s">
        <v>53</v>
      </c>
      <c r="H482" s="1" t="s">
        <v>262</v>
      </c>
      <c r="I482" s="1" t="s">
        <v>263</v>
      </c>
      <c r="J482" s="1" t="s">
        <v>164</v>
      </c>
      <c r="K482" t="s">
        <v>937</v>
      </c>
      <c r="M482" s="1" t="s">
        <v>58</v>
      </c>
      <c r="N482" s="1">
        <v>0</v>
      </c>
      <c r="O482" s="1" t="s">
        <v>105</v>
      </c>
      <c r="P482" s="11" t="s">
        <v>1012</v>
      </c>
      <c r="R482" s="1">
        <v>3</v>
      </c>
      <c r="T482" s="1" t="s">
        <v>646</v>
      </c>
      <c r="U482" s="186">
        <v>44714.386307870373</v>
      </c>
      <c r="V482" s="1" t="s">
        <v>41</v>
      </c>
      <c r="W482" s="1" t="s">
        <v>49</v>
      </c>
      <c r="X482" s="13" t="str">
        <f t="shared" si="54"/>
        <v/>
      </c>
      <c r="Y482" s="2">
        <f t="shared" ca="1" si="49"/>
        <v>196</v>
      </c>
      <c r="Z482" s="14">
        <v>1</v>
      </c>
      <c r="AA482" s="1" t="str">
        <f t="shared" ca="1" si="50"/>
        <v>VENCIDO</v>
      </c>
      <c r="AB482" s="1" t="str">
        <f t="shared" si="51"/>
        <v>C-14</v>
      </c>
      <c r="AC482" s="2" t="str">
        <f t="shared" si="55"/>
        <v xml:space="preserve"> ROSEMERE </v>
      </c>
      <c r="AD482" s="2">
        <f t="shared" si="52"/>
        <v>5</v>
      </c>
      <c r="AE482" s="2">
        <f t="shared" ca="1" si="53"/>
        <v>-272.28996377314616</v>
      </c>
      <c r="AF482" s="15"/>
    </row>
    <row r="483" spans="1:32" hidden="1">
      <c r="A483" s="1">
        <v>8632349</v>
      </c>
      <c r="B483" s="1" t="s">
        <v>653</v>
      </c>
      <c r="C483" t="s">
        <v>3581</v>
      </c>
      <c r="E483" s="2">
        <v>2069001400010</v>
      </c>
      <c r="F483" s="1" t="s">
        <v>936</v>
      </c>
      <c r="G483" s="1" t="s">
        <v>53</v>
      </c>
      <c r="H483" s="1" t="s">
        <v>557</v>
      </c>
      <c r="I483" s="1" t="s">
        <v>558</v>
      </c>
      <c r="J483" s="1" t="s">
        <v>90</v>
      </c>
      <c r="K483" t="s">
        <v>937</v>
      </c>
      <c r="M483" s="1" t="s">
        <v>58</v>
      </c>
      <c r="N483" s="1">
        <v>0</v>
      </c>
      <c r="O483" s="1" t="s">
        <v>105</v>
      </c>
      <c r="P483" s="11" t="s">
        <v>1014</v>
      </c>
      <c r="R483" s="1">
        <v>3</v>
      </c>
      <c r="T483" s="1" t="s">
        <v>646</v>
      </c>
      <c r="U483" s="186">
        <v>44714.386273148149</v>
      </c>
      <c r="V483" s="1" t="s">
        <v>41</v>
      </c>
      <c r="W483" s="1" t="s">
        <v>49</v>
      </c>
      <c r="X483" s="13" t="str">
        <f t="shared" si="54"/>
        <v/>
      </c>
      <c r="Y483" s="2">
        <f t="shared" ca="1" si="49"/>
        <v>196</v>
      </c>
      <c r="Z483" s="14">
        <v>1</v>
      </c>
      <c r="AA483" s="1" t="str">
        <f t="shared" ca="1" si="50"/>
        <v>VENCIDO</v>
      </c>
      <c r="AB483" s="1" t="str">
        <f t="shared" si="51"/>
        <v>C-14</v>
      </c>
      <c r="AC483" s="2" t="str">
        <f t="shared" si="55"/>
        <v xml:space="preserve"> RINALDO </v>
      </c>
      <c r="AD483" s="2">
        <f t="shared" si="52"/>
        <v>5</v>
      </c>
      <c r="AE483" s="2">
        <f t="shared" ca="1" si="53"/>
        <v>-272.28999849536922</v>
      </c>
      <c r="AF483" s="15"/>
    </row>
    <row r="484" spans="1:32" hidden="1">
      <c r="A484" s="1">
        <v>8632235</v>
      </c>
      <c r="B484" s="1" t="s">
        <v>653</v>
      </c>
      <c r="C484" t="s">
        <v>3581</v>
      </c>
      <c r="E484" s="2">
        <v>1838001400010</v>
      </c>
      <c r="F484" s="1" t="s">
        <v>936</v>
      </c>
      <c r="G484" s="1" t="s">
        <v>53</v>
      </c>
      <c r="H484" s="1" t="s">
        <v>357</v>
      </c>
      <c r="I484" s="1" t="s">
        <v>358</v>
      </c>
      <c r="J484" s="1" t="s">
        <v>46</v>
      </c>
      <c r="K484" t="s">
        <v>937</v>
      </c>
      <c r="M484" s="1" t="s">
        <v>58</v>
      </c>
      <c r="N484" s="1">
        <v>0</v>
      </c>
      <c r="O484" s="1" t="s">
        <v>105</v>
      </c>
      <c r="P484" s="11" t="s">
        <v>1016</v>
      </c>
      <c r="R484" s="1">
        <v>3</v>
      </c>
      <c r="T484" s="1" t="s">
        <v>646</v>
      </c>
      <c r="U484" s="186">
        <v>44714.386134259257</v>
      </c>
      <c r="V484" s="1" t="s">
        <v>41</v>
      </c>
      <c r="W484" s="1" t="s">
        <v>49</v>
      </c>
      <c r="X484" s="13" t="str">
        <f t="shared" si="54"/>
        <v/>
      </c>
      <c r="Y484" s="2">
        <f t="shared" ca="1" si="49"/>
        <v>196</v>
      </c>
      <c r="Z484" s="14">
        <v>1</v>
      </c>
      <c r="AA484" s="1" t="str">
        <f t="shared" ca="1" si="50"/>
        <v>VENCIDO</v>
      </c>
      <c r="AB484" s="1" t="str">
        <f t="shared" si="51"/>
        <v>C-14</v>
      </c>
      <c r="AC484" s="2" t="str">
        <f t="shared" si="55"/>
        <v xml:space="preserve"> CLEITON </v>
      </c>
      <c r="AD484" s="2">
        <f t="shared" si="52"/>
        <v>5</v>
      </c>
      <c r="AE484" s="2">
        <f t="shared" ca="1" si="53"/>
        <v>-272.29013738426147</v>
      </c>
      <c r="AF484" s="15"/>
    </row>
    <row r="485" spans="1:32" hidden="1">
      <c r="A485" s="1">
        <v>8632233</v>
      </c>
      <c r="B485" s="1" t="s">
        <v>653</v>
      </c>
      <c r="C485" t="s">
        <v>3581</v>
      </c>
      <c r="E485" s="2">
        <v>1836001400010</v>
      </c>
      <c r="F485" s="1" t="s">
        <v>936</v>
      </c>
      <c r="G485" s="1" t="s">
        <v>53</v>
      </c>
      <c r="H485" s="1" t="s">
        <v>455</v>
      </c>
      <c r="I485" s="1" t="s">
        <v>456</v>
      </c>
      <c r="J485" s="1" t="s">
        <v>46</v>
      </c>
      <c r="K485" t="s">
        <v>937</v>
      </c>
      <c r="M485" s="1" t="s">
        <v>58</v>
      </c>
      <c r="N485" s="1">
        <v>0</v>
      </c>
      <c r="O485" s="1" t="s">
        <v>105</v>
      </c>
      <c r="P485" s="11" t="s">
        <v>1016</v>
      </c>
      <c r="R485" s="1">
        <v>3</v>
      </c>
      <c r="T485" s="1" t="s">
        <v>646</v>
      </c>
      <c r="U485" s="186">
        <v>44714.386134259257</v>
      </c>
      <c r="V485" s="1" t="s">
        <v>41</v>
      </c>
      <c r="W485" s="1" t="s">
        <v>49</v>
      </c>
      <c r="X485" s="13" t="str">
        <f t="shared" si="54"/>
        <v/>
      </c>
      <c r="Y485" s="2">
        <f t="shared" ca="1" si="49"/>
        <v>196</v>
      </c>
      <c r="Z485" s="14">
        <v>1</v>
      </c>
      <c r="AA485" s="1" t="str">
        <f t="shared" ca="1" si="50"/>
        <v>VENCIDO</v>
      </c>
      <c r="AB485" s="1" t="str">
        <f t="shared" si="51"/>
        <v>C-14</v>
      </c>
      <c r="AC485" s="2" t="str">
        <f t="shared" si="55"/>
        <v xml:space="preserve"> CLEITON </v>
      </c>
      <c r="AD485" s="2">
        <f t="shared" si="52"/>
        <v>5</v>
      </c>
      <c r="AE485" s="2">
        <f t="shared" ca="1" si="53"/>
        <v>-272.29013738426147</v>
      </c>
      <c r="AF485" s="15"/>
    </row>
    <row r="486" spans="1:32" hidden="1">
      <c r="A486" s="1">
        <v>8632232</v>
      </c>
      <c r="B486" s="1" t="s">
        <v>653</v>
      </c>
      <c r="C486" t="s">
        <v>3581</v>
      </c>
      <c r="E486" s="2">
        <v>1835001400010</v>
      </c>
      <c r="F486" s="1" t="s">
        <v>936</v>
      </c>
      <c r="G486" s="1" t="s">
        <v>53</v>
      </c>
      <c r="H486" s="1" t="s">
        <v>305</v>
      </c>
      <c r="I486" s="1" t="s">
        <v>306</v>
      </c>
      <c r="J486" s="1" t="s">
        <v>46</v>
      </c>
      <c r="K486" t="s">
        <v>937</v>
      </c>
      <c r="M486" s="1" t="s">
        <v>58</v>
      </c>
      <c r="N486" s="1">
        <v>0</v>
      </c>
      <c r="O486" s="1" t="s">
        <v>105</v>
      </c>
      <c r="P486" s="11" t="s">
        <v>1016</v>
      </c>
      <c r="R486" s="1">
        <v>3</v>
      </c>
      <c r="T486" s="1" t="s">
        <v>646</v>
      </c>
      <c r="U486" s="186">
        <v>44714.386134259257</v>
      </c>
      <c r="V486" s="1" t="s">
        <v>41</v>
      </c>
      <c r="W486" s="1" t="s">
        <v>49</v>
      </c>
      <c r="X486" s="13" t="str">
        <f t="shared" si="54"/>
        <v/>
      </c>
      <c r="Y486" s="2">
        <f t="shared" ca="1" si="49"/>
        <v>196</v>
      </c>
      <c r="Z486" s="14">
        <v>1</v>
      </c>
      <c r="AA486" s="1" t="str">
        <f t="shared" ca="1" si="50"/>
        <v>VENCIDO</v>
      </c>
      <c r="AB486" s="1" t="str">
        <f t="shared" si="51"/>
        <v>C-14</v>
      </c>
      <c r="AC486" s="2" t="str">
        <f t="shared" si="55"/>
        <v xml:space="preserve"> CLEITON </v>
      </c>
      <c r="AD486" s="2">
        <f t="shared" si="52"/>
        <v>5</v>
      </c>
      <c r="AE486" s="2">
        <f t="shared" ca="1" si="53"/>
        <v>-272.29013738426147</v>
      </c>
      <c r="AF486" s="15"/>
    </row>
    <row r="487" spans="1:32" hidden="1">
      <c r="A487" s="1">
        <v>8632230</v>
      </c>
      <c r="B487" s="1" t="s">
        <v>653</v>
      </c>
      <c r="C487" t="s">
        <v>3581</v>
      </c>
      <c r="E487" s="2">
        <v>1833041400010</v>
      </c>
      <c r="F487" s="1" t="s">
        <v>936</v>
      </c>
      <c r="G487" s="1" t="s">
        <v>53</v>
      </c>
      <c r="H487" s="1" t="s">
        <v>811</v>
      </c>
      <c r="I487" s="1" t="s">
        <v>812</v>
      </c>
      <c r="J487" s="1" t="s">
        <v>46</v>
      </c>
      <c r="K487" t="s">
        <v>937</v>
      </c>
      <c r="M487" s="1" t="s">
        <v>58</v>
      </c>
      <c r="N487" s="1">
        <v>0</v>
      </c>
      <c r="O487" s="1" t="s">
        <v>105</v>
      </c>
      <c r="P487" s="11" t="s">
        <v>1016</v>
      </c>
      <c r="R487" s="1">
        <v>3</v>
      </c>
      <c r="T487" s="1" t="s">
        <v>646</v>
      </c>
      <c r="U487" s="186">
        <v>44714.386134259257</v>
      </c>
      <c r="V487" s="1" t="s">
        <v>41</v>
      </c>
      <c r="W487" s="1" t="s">
        <v>49</v>
      </c>
      <c r="X487" s="13" t="str">
        <f t="shared" si="54"/>
        <v>1833.04</v>
      </c>
      <c r="Y487" s="2">
        <f t="shared" ca="1" si="49"/>
        <v>196</v>
      </c>
      <c r="Z487" s="14">
        <v>1</v>
      </c>
      <c r="AA487" s="1" t="str">
        <f t="shared" ca="1" si="50"/>
        <v>VENCIDO</v>
      </c>
      <c r="AB487" s="1" t="str">
        <f t="shared" si="51"/>
        <v>C-14</v>
      </c>
      <c r="AC487" s="2" t="str">
        <f t="shared" si="55"/>
        <v xml:space="preserve"> CLEITON </v>
      </c>
      <c r="AD487" s="2">
        <f t="shared" si="52"/>
        <v>5</v>
      </c>
      <c r="AE487" s="2">
        <f t="shared" ca="1" si="53"/>
        <v>-272.29013738426147</v>
      </c>
      <c r="AF487" s="15"/>
    </row>
    <row r="488" spans="1:32" hidden="1">
      <c r="A488" s="1">
        <v>8632229</v>
      </c>
      <c r="B488" s="1" t="s">
        <v>653</v>
      </c>
      <c r="C488" t="s">
        <v>3581</v>
      </c>
      <c r="E488" s="2">
        <v>1833001400010</v>
      </c>
      <c r="F488" s="1" t="s">
        <v>936</v>
      </c>
      <c r="G488" s="1" t="s">
        <v>53</v>
      </c>
      <c r="H488" s="1" t="s">
        <v>369</v>
      </c>
      <c r="I488" s="1" t="s">
        <v>370</v>
      </c>
      <c r="J488" s="1" t="s">
        <v>46</v>
      </c>
      <c r="K488" t="s">
        <v>937</v>
      </c>
      <c r="M488" s="1" t="s">
        <v>58</v>
      </c>
      <c r="N488" s="1">
        <v>0</v>
      </c>
      <c r="O488" s="1" t="s">
        <v>105</v>
      </c>
      <c r="P488" s="11" t="s">
        <v>1016</v>
      </c>
      <c r="R488" s="1">
        <v>3</v>
      </c>
      <c r="T488" s="1" t="s">
        <v>646</v>
      </c>
      <c r="U488" s="186">
        <v>44714.386134259257</v>
      </c>
      <c r="V488" s="1" t="s">
        <v>41</v>
      </c>
      <c r="W488" s="1" t="s">
        <v>49</v>
      </c>
      <c r="X488" s="13" t="str">
        <f t="shared" si="54"/>
        <v/>
      </c>
      <c r="Y488" s="2">
        <f t="shared" ca="1" si="49"/>
        <v>196</v>
      </c>
      <c r="Z488" s="14">
        <v>1</v>
      </c>
      <c r="AA488" s="1" t="str">
        <f t="shared" ca="1" si="50"/>
        <v>VENCIDO</v>
      </c>
      <c r="AB488" s="1" t="str">
        <f t="shared" si="51"/>
        <v>C-14</v>
      </c>
      <c r="AC488" s="2" t="str">
        <f t="shared" si="55"/>
        <v xml:space="preserve"> CLEITON </v>
      </c>
      <c r="AD488" s="2">
        <f t="shared" si="52"/>
        <v>5</v>
      </c>
      <c r="AE488" s="2">
        <f t="shared" ca="1" si="53"/>
        <v>-272.29013738426147</v>
      </c>
      <c r="AF488" s="15"/>
    </row>
    <row r="489" spans="1:32" hidden="1">
      <c r="A489" s="1">
        <v>8632217</v>
      </c>
      <c r="B489" s="1" t="s">
        <v>653</v>
      </c>
      <c r="C489" t="s">
        <v>3581</v>
      </c>
      <c r="E489" s="2">
        <v>1814031400010</v>
      </c>
      <c r="F489" s="1" t="s">
        <v>936</v>
      </c>
      <c r="G489" s="1" t="s">
        <v>53</v>
      </c>
      <c r="H489" s="1" t="s">
        <v>719</v>
      </c>
      <c r="I489" s="1" t="s">
        <v>188</v>
      </c>
      <c r="J489" s="1" t="s">
        <v>46</v>
      </c>
      <c r="K489" t="s">
        <v>937</v>
      </c>
      <c r="M489" s="1" t="s">
        <v>58</v>
      </c>
      <c r="N489" s="1">
        <v>0</v>
      </c>
      <c r="O489" s="1" t="s">
        <v>105</v>
      </c>
      <c r="P489" s="11" t="s">
        <v>3444</v>
      </c>
      <c r="R489" s="1">
        <v>3</v>
      </c>
      <c r="T489" s="1" t="s">
        <v>646</v>
      </c>
      <c r="U489" s="186">
        <v>44714.386111111111</v>
      </c>
      <c r="V489" s="1" t="s">
        <v>41</v>
      </c>
      <c r="W489" s="1" t="s">
        <v>49</v>
      </c>
      <c r="X489" s="13" t="str">
        <f t="shared" si="54"/>
        <v>1814.03</v>
      </c>
      <c r="Y489" s="2">
        <f t="shared" ca="1" si="49"/>
        <v>196</v>
      </c>
      <c r="Z489" s="14">
        <v>1</v>
      </c>
      <c r="AA489" s="1" t="str">
        <f t="shared" ca="1" si="50"/>
        <v>VENCIDO</v>
      </c>
      <c r="AB489" s="1" t="str">
        <f t="shared" si="51"/>
        <v>C-14</v>
      </c>
      <c r="AC489" s="2" t="str">
        <f t="shared" si="55"/>
        <v xml:space="preserve"> CLEITON </v>
      </c>
      <c r="AD489" s="2">
        <f t="shared" si="52"/>
        <v>5</v>
      </c>
      <c r="AE489" s="2">
        <f t="shared" ca="1" si="53"/>
        <v>-272.29016053240775</v>
      </c>
      <c r="AF489" s="15"/>
    </row>
    <row r="490" spans="1:32" hidden="1">
      <c r="A490" s="1">
        <v>8632154</v>
      </c>
      <c r="B490" s="1" t="s">
        <v>653</v>
      </c>
      <c r="C490" t="s">
        <v>3581</v>
      </c>
      <c r="E490" s="2">
        <v>1739001400010</v>
      </c>
      <c r="F490" s="1" t="s">
        <v>936</v>
      </c>
      <c r="G490" s="1" t="s">
        <v>53</v>
      </c>
      <c r="H490" s="1" t="s">
        <v>162</v>
      </c>
      <c r="I490" s="1" t="s">
        <v>163</v>
      </c>
      <c r="J490" s="1" t="s">
        <v>164</v>
      </c>
      <c r="K490" t="s">
        <v>937</v>
      </c>
      <c r="M490" s="1" t="s">
        <v>58</v>
      </c>
      <c r="N490" s="1">
        <v>0</v>
      </c>
      <c r="O490" s="1" t="s">
        <v>105</v>
      </c>
      <c r="P490" s="11" t="s">
        <v>1018</v>
      </c>
      <c r="R490" s="1">
        <v>3</v>
      </c>
      <c r="T490" s="1" t="s">
        <v>646</v>
      </c>
      <c r="U490" s="186">
        <v>44714.386030092595</v>
      </c>
      <c r="V490" s="1" t="s">
        <v>41</v>
      </c>
      <c r="W490" s="1" t="s">
        <v>49</v>
      </c>
      <c r="X490" s="13" t="str">
        <f t="shared" si="54"/>
        <v/>
      </c>
      <c r="Y490" s="2">
        <f t="shared" ca="1" si="49"/>
        <v>196</v>
      </c>
      <c r="Z490" s="14">
        <v>1</v>
      </c>
      <c r="AA490" s="1" t="str">
        <f t="shared" ca="1" si="50"/>
        <v>VENCIDO</v>
      </c>
      <c r="AB490" s="1" t="str">
        <f t="shared" si="51"/>
        <v>C-14</v>
      </c>
      <c r="AC490" s="2" t="str">
        <f t="shared" si="55"/>
        <v xml:space="preserve"> ROSEMERE </v>
      </c>
      <c r="AD490" s="2">
        <f t="shared" si="52"/>
        <v>5</v>
      </c>
      <c r="AE490" s="2">
        <f t="shared" ca="1" si="53"/>
        <v>-272.29024155092338</v>
      </c>
      <c r="AF490" s="15"/>
    </row>
    <row r="491" spans="1:32" hidden="1">
      <c r="A491" s="1">
        <v>8632150</v>
      </c>
      <c r="B491" s="1" t="s">
        <v>653</v>
      </c>
      <c r="C491" t="s">
        <v>3581</v>
      </c>
      <c r="E491" s="2">
        <v>1732001400010</v>
      </c>
      <c r="F491" s="1" t="s">
        <v>936</v>
      </c>
      <c r="G491" s="1" t="s">
        <v>53</v>
      </c>
      <c r="H491" s="1" t="s">
        <v>177</v>
      </c>
      <c r="I491" s="1" t="s">
        <v>178</v>
      </c>
      <c r="J491" s="1" t="s">
        <v>164</v>
      </c>
      <c r="K491" t="s">
        <v>937</v>
      </c>
      <c r="M491" s="1" t="s">
        <v>58</v>
      </c>
      <c r="N491" s="1">
        <v>0</v>
      </c>
      <c r="O491" s="1" t="s">
        <v>105</v>
      </c>
      <c r="P491" s="11" t="s">
        <v>1018</v>
      </c>
      <c r="R491" s="1">
        <v>3</v>
      </c>
      <c r="T491" s="1" t="s">
        <v>646</v>
      </c>
      <c r="U491" s="186">
        <v>44714.386030092595</v>
      </c>
      <c r="V491" s="1" t="s">
        <v>41</v>
      </c>
      <c r="W491" s="1" t="s">
        <v>49</v>
      </c>
      <c r="X491" s="13" t="str">
        <f t="shared" si="54"/>
        <v/>
      </c>
      <c r="Y491" s="2">
        <f t="shared" ca="1" si="49"/>
        <v>196</v>
      </c>
      <c r="Z491" s="14">
        <v>1</v>
      </c>
      <c r="AA491" s="1" t="str">
        <f t="shared" ca="1" si="50"/>
        <v>VENCIDO</v>
      </c>
      <c r="AB491" s="1" t="str">
        <f t="shared" si="51"/>
        <v>C-14</v>
      </c>
      <c r="AC491" s="2" t="str">
        <f t="shared" si="55"/>
        <v xml:space="preserve"> ROSEMERE </v>
      </c>
      <c r="AD491" s="2">
        <f t="shared" si="52"/>
        <v>5</v>
      </c>
      <c r="AE491" s="2">
        <f t="shared" ca="1" si="53"/>
        <v>-272.29024155092338</v>
      </c>
      <c r="AF491" s="15"/>
    </row>
    <row r="492" spans="1:32" hidden="1">
      <c r="A492" s="1">
        <v>8632090</v>
      </c>
      <c r="B492" s="1" t="s">
        <v>653</v>
      </c>
      <c r="C492" t="s">
        <v>3581</v>
      </c>
      <c r="E492" s="2">
        <v>1664001400010</v>
      </c>
      <c r="F492" s="1" t="s">
        <v>936</v>
      </c>
      <c r="G492" s="1" t="s">
        <v>53</v>
      </c>
      <c r="H492" s="1" t="s">
        <v>307</v>
      </c>
      <c r="I492" s="1" t="s">
        <v>308</v>
      </c>
      <c r="J492" s="1" t="s">
        <v>164</v>
      </c>
      <c r="K492" t="s">
        <v>937</v>
      </c>
      <c r="M492" s="1" t="s">
        <v>58</v>
      </c>
      <c r="N492" s="1">
        <v>0</v>
      </c>
      <c r="O492" s="1" t="s">
        <v>105</v>
      </c>
      <c r="P492" s="11" t="s">
        <v>1020</v>
      </c>
      <c r="R492" s="1">
        <v>3</v>
      </c>
      <c r="T492" s="1" t="s">
        <v>646</v>
      </c>
      <c r="U492" s="186">
        <v>44714.385949074072</v>
      </c>
      <c r="V492" s="1" t="s">
        <v>41</v>
      </c>
      <c r="W492" s="1" t="s">
        <v>49</v>
      </c>
      <c r="X492" s="13" t="str">
        <f t="shared" si="54"/>
        <v/>
      </c>
      <c r="Y492" s="2">
        <f t="shared" ca="1" si="49"/>
        <v>196</v>
      </c>
      <c r="Z492" s="14">
        <v>1</v>
      </c>
      <c r="AA492" s="1" t="str">
        <f t="shared" ca="1" si="50"/>
        <v>VENCIDO</v>
      </c>
      <c r="AB492" s="1" t="str">
        <f t="shared" si="51"/>
        <v>C-14</v>
      </c>
      <c r="AC492" s="2" t="str">
        <f t="shared" si="55"/>
        <v xml:space="preserve"> ROSEMERE </v>
      </c>
      <c r="AD492" s="2">
        <f t="shared" si="52"/>
        <v>5</v>
      </c>
      <c r="AE492" s="2">
        <f t="shared" ca="1" si="53"/>
        <v>-272.29032256944629</v>
      </c>
      <c r="AF492" s="15"/>
    </row>
    <row r="493" spans="1:32" hidden="1">
      <c r="A493" s="1">
        <v>8632071</v>
      </c>
      <c r="B493" s="1" t="s">
        <v>653</v>
      </c>
      <c r="C493" t="s">
        <v>3581</v>
      </c>
      <c r="E493" s="2">
        <v>1643001400010</v>
      </c>
      <c r="F493" s="1" t="s">
        <v>936</v>
      </c>
      <c r="G493" s="1" t="s">
        <v>53</v>
      </c>
      <c r="H493" s="1" t="s">
        <v>361</v>
      </c>
      <c r="I493" s="1" t="s">
        <v>362</v>
      </c>
      <c r="J493" s="1" t="s">
        <v>261</v>
      </c>
      <c r="K493" t="s">
        <v>937</v>
      </c>
      <c r="M493" s="1" t="s">
        <v>58</v>
      </c>
      <c r="N493" s="1">
        <v>0</v>
      </c>
      <c r="O493" s="1" t="s">
        <v>105</v>
      </c>
      <c r="P493" s="11" t="s">
        <v>1022</v>
      </c>
      <c r="R493" s="1">
        <v>3</v>
      </c>
      <c r="T493" s="1" t="s">
        <v>646</v>
      </c>
      <c r="U493" s="186">
        <v>44714.385925925926</v>
      </c>
      <c r="V493" s="1" t="s">
        <v>41</v>
      </c>
      <c r="W493" s="1" t="s">
        <v>49</v>
      </c>
      <c r="X493" s="13" t="str">
        <f t="shared" si="54"/>
        <v/>
      </c>
      <c r="Y493" s="2">
        <f t="shared" ca="1" si="49"/>
        <v>196</v>
      </c>
      <c r="Z493" s="14">
        <v>1</v>
      </c>
      <c r="AA493" s="1" t="str">
        <f t="shared" ca="1" si="50"/>
        <v>VENCIDO</v>
      </c>
      <c r="AB493" s="1" t="str">
        <f t="shared" si="51"/>
        <v>C-14</v>
      </c>
      <c r="AC493" s="2" t="str">
        <f t="shared" si="55"/>
        <v xml:space="preserve"> CRISTINA </v>
      </c>
      <c r="AD493" s="2">
        <f t="shared" si="52"/>
        <v>5</v>
      </c>
      <c r="AE493" s="2">
        <f t="shared" ca="1" si="53"/>
        <v>-272.29034571759257</v>
      </c>
      <c r="AF493" s="15"/>
    </row>
    <row r="494" spans="1:32" hidden="1">
      <c r="A494" s="1">
        <v>8632049</v>
      </c>
      <c r="B494" s="1" t="s">
        <v>653</v>
      </c>
      <c r="C494" t="s">
        <v>3581</v>
      </c>
      <c r="E494" s="2">
        <v>1620001400010</v>
      </c>
      <c r="F494" s="1" t="s">
        <v>936</v>
      </c>
      <c r="G494" s="1" t="s">
        <v>53</v>
      </c>
      <c r="H494" s="1" t="s">
        <v>402</v>
      </c>
      <c r="I494" s="1" t="s">
        <v>403</v>
      </c>
      <c r="J494" s="1" t="s">
        <v>46</v>
      </c>
      <c r="K494" t="s">
        <v>937</v>
      </c>
      <c r="M494" s="1" t="s">
        <v>58</v>
      </c>
      <c r="N494" s="1">
        <v>0</v>
      </c>
      <c r="O494" s="1" t="s">
        <v>105</v>
      </c>
      <c r="P494" s="11" t="s">
        <v>1024</v>
      </c>
      <c r="R494" s="1">
        <v>3</v>
      </c>
      <c r="T494" s="1" t="s">
        <v>646</v>
      </c>
      <c r="U494" s="186">
        <v>44714.38590277778</v>
      </c>
      <c r="V494" s="1" t="s">
        <v>41</v>
      </c>
      <c r="W494" s="1" t="s">
        <v>49</v>
      </c>
      <c r="X494" s="13" t="str">
        <f t="shared" si="54"/>
        <v/>
      </c>
      <c r="Y494" s="2">
        <f t="shared" ca="1" si="49"/>
        <v>196</v>
      </c>
      <c r="Z494" s="14">
        <v>1</v>
      </c>
      <c r="AA494" s="1" t="str">
        <f t="shared" ca="1" si="50"/>
        <v>VENCIDO</v>
      </c>
      <c r="AB494" s="1" t="str">
        <f t="shared" si="51"/>
        <v>C-14</v>
      </c>
      <c r="AC494" s="2" t="str">
        <f t="shared" si="55"/>
        <v xml:space="preserve"> CLEITON </v>
      </c>
      <c r="AD494" s="2">
        <f t="shared" si="52"/>
        <v>5</v>
      </c>
      <c r="AE494" s="2">
        <f t="shared" ca="1" si="53"/>
        <v>-272.29036886573886</v>
      </c>
      <c r="AF494" s="15"/>
    </row>
    <row r="495" spans="1:32" hidden="1">
      <c r="A495" s="1">
        <v>8631960</v>
      </c>
      <c r="B495" s="1" t="s">
        <v>653</v>
      </c>
      <c r="C495" t="s">
        <v>3581</v>
      </c>
      <c r="E495" s="2">
        <v>1509001400010</v>
      </c>
      <c r="F495" s="1" t="s">
        <v>936</v>
      </c>
      <c r="G495" s="1" t="s">
        <v>53</v>
      </c>
      <c r="H495" s="1" t="s">
        <v>731</v>
      </c>
      <c r="I495" s="1" t="s">
        <v>732</v>
      </c>
      <c r="J495" s="1" t="s">
        <v>46</v>
      </c>
      <c r="K495" t="s">
        <v>937</v>
      </c>
      <c r="M495" s="1" t="s">
        <v>58</v>
      </c>
      <c r="N495" s="1">
        <v>0</v>
      </c>
      <c r="O495" s="1" t="s">
        <v>105</v>
      </c>
      <c r="P495" s="11" t="s">
        <v>1026</v>
      </c>
      <c r="R495" s="1">
        <v>3</v>
      </c>
      <c r="T495" s="1" t="s">
        <v>646</v>
      </c>
      <c r="U495" s="186">
        <v>44714.385787037034</v>
      </c>
      <c r="V495" s="1" t="s">
        <v>41</v>
      </c>
      <c r="W495" s="1" t="s">
        <v>49</v>
      </c>
      <c r="X495" s="13" t="str">
        <f t="shared" si="54"/>
        <v/>
      </c>
      <c r="Y495" s="2">
        <f t="shared" ca="1" si="49"/>
        <v>196</v>
      </c>
      <c r="Z495" s="14">
        <v>1</v>
      </c>
      <c r="AA495" s="1" t="str">
        <f t="shared" ca="1" si="50"/>
        <v>VENCIDO</v>
      </c>
      <c r="AB495" s="1" t="str">
        <f t="shared" si="51"/>
        <v>C-14</v>
      </c>
      <c r="AC495" s="2" t="str">
        <f t="shared" si="55"/>
        <v xml:space="preserve"> CLEITON </v>
      </c>
      <c r="AD495" s="2">
        <f t="shared" si="52"/>
        <v>5</v>
      </c>
      <c r="AE495" s="2">
        <f t="shared" ca="1" si="53"/>
        <v>-272.29048460648482</v>
      </c>
      <c r="AF495" s="15"/>
    </row>
    <row r="496" spans="1:32" hidden="1">
      <c r="A496" s="1">
        <v>8631881</v>
      </c>
      <c r="B496" s="1" t="s">
        <v>653</v>
      </c>
      <c r="C496" t="s">
        <v>3581</v>
      </c>
      <c r="E496" s="2">
        <v>1421001400010</v>
      </c>
      <c r="F496" s="1" t="s">
        <v>936</v>
      </c>
      <c r="G496" s="1" t="s">
        <v>53</v>
      </c>
      <c r="H496" s="1" t="s">
        <v>179</v>
      </c>
      <c r="I496" s="1" t="s">
        <v>180</v>
      </c>
      <c r="J496" s="1" t="s">
        <v>79</v>
      </c>
      <c r="K496" t="s">
        <v>937</v>
      </c>
      <c r="M496" s="1" t="s">
        <v>58</v>
      </c>
      <c r="N496" s="1">
        <v>0</v>
      </c>
      <c r="O496" s="1" t="s">
        <v>105</v>
      </c>
      <c r="P496" s="11" t="s">
        <v>1027</v>
      </c>
      <c r="R496" s="1">
        <v>3</v>
      </c>
      <c r="T496" s="1" t="s">
        <v>646</v>
      </c>
      <c r="U496" s="186">
        <v>44714.385671296295</v>
      </c>
      <c r="V496" s="1" t="s">
        <v>41</v>
      </c>
      <c r="W496" s="1" t="s">
        <v>49</v>
      </c>
      <c r="X496" s="13" t="str">
        <f t="shared" si="54"/>
        <v/>
      </c>
      <c r="Y496" s="2">
        <f t="shared" ca="1" si="49"/>
        <v>196</v>
      </c>
      <c r="Z496" s="14">
        <v>1</v>
      </c>
      <c r="AA496" s="1" t="str">
        <f t="shared" ca="1" si="50"/>
        <v>VENCIDO</v>
      </c>
      <c r="AB496" s="1" t="str">
        <f t="shared" si="51"/>
        <v>C-14</v>
      </c>
      <c r="AC496" s="2" t="str">
        <f t="shared" si="55"/>
        <v xml:space="preserve"> ROSEMERE </v>
      </c>
      <c r="AD496" s="2">
        <f t="shared" si="52"/>
        <v>5</v>
      </c>
      <c r="AE496" s="2">
        <f t="shared" ca="1" si="53"/>
        <v>-272.29060034722352</v>
      </c>
      <c r="AF496" s="15"/>
    </row>
    <row r="497" spans="1:32" hidden="1">
      <c r="A497" s="1">
        <v>8631827</v>
      </c>
      <c r="B497" s="1" t="s">
        <v>653</v>
      </c>
      <c r="C497" t="s">
        <v>3581</v>
      </c>
      <c r="E497" s="2">
        <v>1362001400010</v>
      </c>
      <c r="F497" s="1" t="s">
        <v>936</v>
      </c>
      <c r="G497" s="1" t="s">
        <v>53</v>
      </c>
      <c r="H497" s="1" t="s">
        <v>268</v>
      </c>
      <c r="I497" s="1" t="s">
        <v>269</v>
      </c>
      <c r="J497" s="1" t="s">
        <v>90</v>
      </c>
      <c r="K497" t="s">
        <v>937</v>
      </c>
      <c r="M497" s="1" t="s">
        <v>58</v>
      </c>
      <c r="N497" s="1">
        <v>0</v>
      </c>
      <c r="O497" s="1" t="s">
        <v>105</v>
      </c>
      <c r="P497" s="11" t="s">
        <v>1029</v>
      </c>
      <c r="R497" s="1">
        <v>3</v>
      </c>
      <c r="T497" s="1" t="s">
        <v>646</v>
      </c>
      <c r="U497" s="186">
        <v>44714.385601851849</v>
      </c>
      <c r="V497" s="1" t="s">
        <v>41</v>
      </c>
      <c r="W497" s="1" t="s">
        <v>49</v>
      </c>
      <c r="X497" s="13" t="str">
        <f t="shared" si="54"/>
        <v/>
      </c>
      <c r="Y497" s="2">
        <f t="shared" ca="1" si="49"/>
        <v>196</v>
      </c>
      <c r="Z497" s="14">
        <v>1</v>
      </c>
      <c r="AA497" s="1" t="str">
        <f t="shared" ca="1" si="50"/>
        <v>VENCIDO</v>
      </c>
      <c r="AB497" s="1" t="str">
        <f t="shared" si="51"/>
        <v>C-14</v>
      </c>
      <c r="AC497" s="2" t="str">
        <f t="shared" si="55"/>
        <v xml:space="preserve"> RINALDO </v>
      </c>
      <c r="AD497" s="2">
        <f t="shared" si="52"/>
        <v>5</v>
      </c>
      <c r="AE497" s="2">
        <f t="shared" ca="1" si="53"/>
        <v>-272.29066979166964</v>
      </c>
      <c r="AF497" s="15"/>
    </row>
    <row r="498" spans="1:32" hidden="1">
      <c r="A498" s="1">
        <v>8631826</v>
      </c>
      <c r="B498" s="1" t="s">
        <v>653</v>
      </c>
      <c r="C498" t="s">
        <v>3581</v>
      </c>
      <c r="E498" s="2">
        <v>1361001400010</v>
      </c>
      <c r="F498" s="1" t="s">
        <v>936</v>
      </c>
      <c r="G498" s="1" t="s">
        <v>53</v>
      </c>
      <c r="H498" s="1" t="s">
        <v>309</v>
      </c>
      <c r="I498" s="1" t="s">
        <v>310</v>
      </c>
      <c r="J498" s="1" t="s">
        <v>46</v>
      </c>
      <c r="K498" t="s">
        <v>937</v>
      </c>
      <c r="M498" s="1" t="s">
        <v>58</v>
      </c>
      <c r="N498" s="1">
        <v>0</v>
      </c>
      <c r="O498" s="1" t="s">
        <v>105</v>
      </c>
      <c r="P498" s="11" t="s">
        <v>1029</v>
      </c>
      <c r="R498" s="1">
        <v>3</v>
      </c>
      <c r="T498" s="1" t="s">
        <v>646</v>
      </c>
      <c r="U498" s="186">
        <v>44714.385601851849</v>
      </c>
      <c r="V498" s="1" t="s">
        <v>41</v>
      </c>
      <c r="W498" s="1" t="s">
        <v>49</v>
      </c>
      <c r="X498" s="13" t="str">
        <f t="shared" si="54"/>
        <v/>
      </c>
      <c r="Y498" s="2">
        <f t="shared" ca="1" si="49"/>
        <v>196</v>
      </c>
      <c r="Z498" s="14">
        <v>1</v>
      </c>
      <c r="AA498" s="1" t="str">
        <f t="shared" ca="1" si="50"/>
        <v>VENCIDO</v>
      </c>
      <c r="AB498" s="1" t="str">
        <f t="shared" si="51"/>
        <v>C-14</v>
      </c>
      <c r="AC498" s="2" t="str">
        <f t="shared" si="55"/>
        <v xml:space="preserve"> CLEITON </v>
      </c>
      <c r="AD498" s="2">
        <f t="shared" si="52"/>
        <v>5</v>
      </c>
      <c r="AE498" s="2">
        <f t="shared" ca="1" si="53"/>
        <v>-272.29066979166964</v>
      </c>
      <c r="AF498" s="15"/>
    </row>
    <row r="499" spans="1:32" hidden="1">
      <c r="A499" s="1">
        <v>8631825</v>
      </c>
      <c r="B499" s="1" t="s">
        <v>653</v>
      </c>
      <c r="C499" t="s">
        <v>3581</v>
      </c>
      <c r="E499" s="2">
        <v>1360001400010</v>
      </c>
      <c r="F499" s="1" t="s">
        <v>936</v>
      </c>
      <c r="G499" s="1" t="s">
        <v>53</v>
      </c>
      <c r="H499" s="1" t="s">
        <v>303</v>
      </c>
      <c r="I499" s="1" t="s">
        <v>304</v>
      </c>
      <c r="J499" s="1" t="s">
        <v>261</v>
      </c>
      <c r="K499" t="s">
        <v>937</v>
      </c>
      <c r="M499" s="1" t="s">
        <v>58</v>
      </c>
      <c r="N499" s="1">
        <v>0</v>
      </c>
      <c r="O499" s="1" t="s">
        <v>105</v>
      </c>
      <c r="P499" s="11" t="s">
        <v>1029</v>
      </c>
      <c r="R499" s="1">
        <v>3</v>
      </c>
      <c r="T499" s="1" t="s">
        <v>646</v>
      </c>
      <c r="U499" s="11" t="s">
        <v>1030</v>
      </c>
      <c r="V499" s="1" t="s">
        <v>41</v>
      </c>
      <c r="W499" s="1" t="s">
        <v>49</v>
      </c>
      <c r="X499" s="13" t="str">
        <f t="shared" si="54"/>
        <v/>
      </c>
      <c r="Y499" s="2">
        <f t="shared" ca="1" si="49"/>
        <v>196</v>
      </c>
      <c r="Z499" s="14">
        <v>1</v>
      </c>
      <c r="AA499" s="1" t="str">
        <f t="shared" ca="1" si="50"/>
        <v>VENCIDO</v>
      </c>
      <c r="AB499" s="1" t="str">
        <f t="shared" si="51"/>
        <v>C-14</v>
      </c>
      <c r="AC499" s="2" t="str">
        <f t="shared" si="55"/>
        <v xml:space="preserve"> CRISTINA </v>
      </c>
      <c r="AD499" s="2">
        <f t="shared" si="52"/>
        <v>5</v>
      </c>
      <c r="AE499" s="2">
        <f t="shared" ca="1" si="53"/>
        <v>-272.29066979166964</v>
      </c>
      <c r="AF499" s="15"/>
    </row>
    <row r="500" spans="1:32" hidden="1">
      <c r="A500" s="1">
        <v>8631824</v>
      </c>
      <c r="B500" s="1" t="s">
        <v>653</v>
      </c>
      <c r="C500" t="s">
        <v>3581</v>
      </c>
      <c r="E500" s="2">
        <v>1359001400010</v>
      </c>
      <c r="F500" s="1" t="s">
        <v>936</v>
      </c>
      <c r="G500" s="1" t="s">
        <v>53</v>
      </c>
      <c r="H500" s="1" t="s">
        <v>270</v>
      </c>
      <c r="I500" s="1" t="s">
        <v>271</v>
      </c>
      <c r="J500" s="1" t="s">
        <v>141</v>
      </c>
      <c r="K500" t="s">
        <v>937</v>
      </c>
      <c r="M500" s="1" t="s">
        <v>58</v>
      </c>
      <c r="N500" s="1">
        <v>0</v>
      </c>
      <c r="O500" s="1" t="s">
        <v>105</v>
      </c>
      <c r="P500" s="11" t="s">
        <v>1029</v>
      </c>
      <c r="R500" s="1">
        <v>3</v>
      </c>
      <c r="T500" s="1" t="s">
        <v>646</v>
      </c>
      <c r="U500" s="11" t="s">
        <v>1030</v>
      </c>
      <c r="V500" s="1" t="s">
        <v>41</v>
      </c>
      <c r="W500" s="1" t="s">
        <v>49</v>
      </c>
      <c r="X500" s="13" t="str">
        <f t="shared" si="54"/>
        <v/>
      </c>
      <c r="Y500" s="2">
        <f t="shared" ca="1" si="49"/>
        <v>196</v>
      </c>
      <c r="Z500" s="14">
        <v>1</v>
      </c>
      <c r="AA500" s="1" t="str">
        <f t="shared" ca="1" si="50"/>
        <v>VENCIDO</v>
      </c>
      <c r="AB500" s="1" t="str">
        <f t="shared" si="51"/>
        <v>C-14</v>
      </c>
      <c r="AC500" s="2" t="str">
        <f t="shared" si="55"/>
        <v xml:space="preserve"> CRISTINA </v>
      </c>
      <c r="AD500" s="2">
        <f t="shared" si="52"/>
        <v>5</v>
      </c>
      <c r="AE500" s="2">
        <f t="shared" ca="1" si="53"/>
        <v>-272.29066979166964</v>
      </c>
      <c r="AF500" s="15"/>
    </row>
    <row r="501" spans="1:32" hidden="1">
      <c r="A501" s="1">
        <v>8631649</v>
      </c>
      <c r="B501" s="1" t="s">
        <v>653</v>
      </c>
      <c r="C501" t="s">
        <v>3581</v>
      </c>
      <c r="E501" s="2">
        <v>1153001400010</v>
      </c>
      <c r="F501" s="1" t="s">
        <v>936</v>
      </c>
      <c r="G501" s="1" t="s">
        <v>53</v>
      </c>
      <c r="H501" s="1" t="s">
        <v>1031</v>
      </c>
      <c r="I501" s="1" t="s">
        <v>1032</v>
      </c>
      <c r="J501" s="1" t="s">
        <v>79</v>
      </c>
      <c r="K501" t="s">
        <v>937</v>
      </c>
      <c r="M501" s="1" t="s">
        <v>58</v>
      </c>
      <c r="N501" s="1">
        <v>0</v>
      </c>
      <c r="O501" s="1" t="s">
        <v>105</v>
      </c>
      <c r="P501" s="11" t="s">
        <v>3447</v>
      </c>
      <c r="R501" s="1">
        <v>3</v>
      </c>
      <c r="T501" s="1" t="s">
        <v>646</v>
      </c>
      <c r="U501" s="11" t="s">
        <v>3448</v>
      </c>
      <c r="V501" s="1" t="s">
        <v>41</v>
      </c>
      <c r="W501" s="1" t="s">
        <v>49</v>
      </c>
      <c r="X501" s="13" t="str">
        <f t="shared" si="54"/>
        <v/>
      </c>
      <c r="Y501" s="2">
        <f t="shared" ca="1" si="49"/>
        <v>196</v>
      </c>
      <c r="Z501" s="14">
        <v>1</v>
      </c>
      <c r="AA501" s="1" t="str">
        <f t="shared" ca="1" si="50"/>
        <v>VENCIDO</v>
      </c>
      <c r="AB501" s="1" t="str">
        <f t="shared" si="51"/>
        <v>C-14</v>
      </c>
      <c r="AC501" s="2" t="str">
        <f t="shared" si="55"/>
        <v xml:space="preserve"> ROSEMERE </v>
      </c>
      <c r="AD501" s="2">
        <f t="shared" si="52"/>
        <v>5</v>
      </c>
      <c r="AE501" s="2">
        <f t="shared" ca="1" si="53"/>
        <v>-272.29088969907752</v>
      </c>
      <c r="AF501" s="15"/>
    </row>
    <row r="502" spans="1:32" hidden="1">
      <c r="A502" s="1">
        <v>8631615</v>
      </c>
      <c r="B502" s="1" t="s">
        <v>653</v>
      </c>
      <c r="C502" t="s">
        <v>3581</v>
      </c>
      <c r="E502" s="2">
        <v>1120001400010</v>
      </c>
      <c r="F502" s="1" t="s">
        <v>936</v>
      </c>
      <c r="G502" s="1" t="s">
        <v>53</v>
      </c>
      <c r="H502" s="1" t="s">
        <v>181</v>
      </c>
      <c r="I502" s="1" t="s">
        <v>182</v>
      </c>
      <c r="J502" s="1" t="s">
        <v>164</v>
      </c>
      <c r="K502" t="s">
        <v>937</v>
      </c>
      <c r="M502" s="1" t="s">
        <v>58</v>
      </c>
      <c r="N502" s="1">
        <v>0</v>
      </c>
      <c r="O502" s="1" t="s">
        <v>105</v>
      </c>
      <c r="P502" s="11" t="s">
        <v>1033</v>
      </c>
      <c r="R502" s="1">
        <v>3</v>
      </c>
      <c r="T502" s="1" t="s">
        <v>646</v>
      </c>
      <c r="U502" s="11" t="s">
        <v>1034</v>
      </c>
      <c r="V502" s="1" t="s">
        <v>41</v>
      </c>
      <c r="W502" s="1" t="s">
        <v>49</v>
      </c>
      <c r="X502" s="13" t="str">
        <f t="shared" si="54"/>
        <v/>
      </c>
      <c r="Y502" s="2">
        <f t="shared" ca="1" si="49"/>
        <v>196</v>
      </c>
      <c r="Z502" s="14">
        <v>1</v>
      </c>
      <c r="AA502" s="1" t="str">
        <f t="shared" ca="1" si="50"/>
        <v>VENCIDO</v>
      </c>
      <c r="AB502" s="1" t="str">
        <f t="shared" si="51"/>
        <v>C-14</v>
      </c>
      <c r="AC502" s="2" t="str">
        <f t="shared" si="55"/>
        <v xml:space="preserve"> ROSEMERE </v>
      </c>
      <c r="AD502" s="2">
        <f t="shared" si="52"/>
        <v>5</v>
      </c>
      <c r="AE502" s="2">
        <f t="shared" ca="1" si="53"/>
        <v>-272.29093599537009</v>
      </c>
      <c r="AF502" s="15"/>
    </row>
    <row r="503" spans="1:32" hidden="1">
      <c r="A503" s="1">
        <v>8631560</v>
      </c>
      <c r="B503" s="1" t="s">
        <v>653</v>
      </c>
      <c r="C503" t="s">
        <v>3581</v>
      </c>
      <c r="E503" s="2">
        <v>1059001400010</v>
      </c>
      <c r="F503" s="1" t="s">
        <v>936</v>
      </c>
      <c r="G503" s="1" t="s">
        <v>53</v>
      </c>
      <c r="H503" s="1" t="s">
        <v>88</v>
      </c>
      <c r="I503" s="1" t="s">
        <v>89</v>
      </c>
      <c r="J503" s="1" t="s">
        <v>90</v>
      </c>
      <c r="K503" t="s">
        <v>937</v>
      </c>
      <c r="M503" s="1" t="s">
        <v>58</v>
      </c>
      <c r="N503" s="1">
        <v>0</v>
      </c>
      <c r="O503" s="1" t="s">
        <v>105</v>
      </c>
      <c r="P503" s="11" t="s">
        <v>1038</v>
      </c>
      <c r="R503" s="1">
        <v>3</v>
      </c>
      <c r="T503" s="1" t="s">
        <v>646</v>
      </c>
      <c r="U503" s="186">
        <v>44714.385277777779</v>
      </c>
      <c r="V503" s="1" t="s">
        <v>41</v>
      </c>
      <c r="W503" s="1" t="s">
        <v>49</v>
      </c>
      <c r="X503" s="13" t="str">
        <f t="shared" si="54"/>
        <v/>
      </c>
      <c r="Y503" s="2">
        <f t="shared" ca="1" si="49"/>
        <v>196</v>
      </c>
      <c r="Z503" s="14">
        <v>1</v>
      </c>
      <c r="AA503" s="1" t="str">
        <f t="shared" ca="1" si="50"/>
        <v>VENCIDO</v>
      </c>
      <c r="AB503" s="1" t="str">
        <f t="shared" si="51"/>
        <v>C-14</v>
      </c>
      <c r="AC503" s="2" t="str">
        <f t="shared" si="55"/>
        <v xml:space="preserve"> RINALDO </v>
      </c>
      <c r="AD503" s="2">
        <f t="shared" si="52"/>
        <v>5</v>
      </c>
      <c r="AE503" s="2">
        <f t="shared" ca="1" si="53"/>
        <v>-272.29099386573944</v>
      </c>
      <c r="AF503" s="15"/>
    </row>
    <row r="504" spans="1:32" hidden="1">
      <c r="A504" s="1">
        <v>8631548</v>
      </c>
      <c r="B504" s="1" t="s">
        <v>653</v>
      </c>
      <c r="C504" t="s">
        <v>3581</v>
      </c>
      <c r="E504" s="2">
        <v>1049001400010</v>
      </c>
      <c r="F504" s="1" t="s">
        <v>936</v>
      </c>
      <c r="G504" s="1" t="s">
        <v>53</v>
      </c>
      <c r="H504" s="1" t="s">
        <v>169</v>
      </c>
      <c r="I504" s="1" t="s">
        <v>170</v>
      </c>
      <c r="J504" s="1" t="s">
        <v>164</v>
      </c>
      <c r="K504" t="s">
        <v>937</v>
      </c>
      <c r="M504" s="1" t="s">
        <v>58</v>
      </c>
      <c r="N504" s="1">
        <v>0</v>
      </c>
      <c r="O504" s="1" t="s">
        <v>105</v>
      </c>
      <c r="P504" s="11" t="s">
        <v>1040</v>
      </c>
      <c r="R504" s="1">
        <v>3</v>
      </c>
      <c r="T504" s="1" t="s">
        <v>646</v>
      </c>
      <c r="U504" s="186">
        <v>44714.385254629633</v>
      </c>
      <c r="V504" s="1" t="s">
        <v>41</v>
      </c>
      <c r="W504" s="1" t="s">
        <v>49</v>
      </c>
      <c r="X504" s="13" t="str">
        <f t="shared" si="54"/>
        <v/>
      </c>
      <c r="Y504" s="2">
        <f t="shared" ca="1" si="49"/>
        <v>196</v>
      </c>
      <c r="Z504" s="14">
        <v>1</v>
      </c>
      <c r="AA504" s="1" t="str">
        <f t="shared" ca="1" si="50"/>
        <v>VENCIDO</v>
      </c>
      <c r="AB504" s="1" t="str">
        <f t="shared" si="51"/>
        <v>C-14</v>
      </c>
      <c r="AC504" s="2" t="str">
        <f t="shared" si="55"/>
        <v xml:space="preserve"> ROSEMERE </v>
      </c>
      <c r="AD504" s="2">
        <f t="shared" si="52"/>
        <v>5</v>
      </c>
      <c r="AE504" s="2">
        <f t="shared" ca="1" si="53"/>
        <v>-272.29101701388572</v>
      </c>
      <c r="AF504" s="15"/>
    </row>
    <row r="505" spans="1:32" hidden="1">
      <c r="A505" s="1">
        <v>8631442</v>
      </c>
      <c r="B505" s="1" t="s">
        <v>653</v>
      </c>
      <c r="C505" t="s">
        <v>3581</v>
      </c>
      <c r="E505" s="2">
        <v>934001400010</v>
      </c>
      <c r="F505" s="1" t="s">
        <v>936</v>
      </c>
      <c r="G505" s="1" t="s">
        <v>53</v>
      </c>
      <c r="H505" s="1" t="s">
        <v>428</v>
      </c>
      <c r="I505" s="1" t="s">
        <v>429</v>
      </c>
      <c r="J505" s="1" t="s">
        <v>46</v>
      </c>
      <c r="K505" t="s">
        <v>937</v>
      </c>
      <c r="M505" s="1" t="s">
        <v>58</v>
      </c>
      <c r="N505" s="1">
        <v>0</v>
      </c>
      <c r="O505" s="1" t="s">
        <v>105</v>
      </c>
      <c r="P505" s="11" t="s">
        <v>1042</v>
      </c>
      <c r="R505" s="1">
        <v>3</v>
      </c>
      <c r="T505" s="1" t="s">
        <v>646</v>
      </c>
      <c r="U505" s="186">
        <v>44714.385150462964</v>
      </c>
      <c r="V505" s="1" t="s">
        <v>41</v>
      </c>
      <c r="W505" s="1" t="s">
        <v>49</v>
      </c>
      <c r="X505" s="13" t="str">
        <f t="shared" si="54"/>
        <v/>
      </c>
      <c r="Y505" s="2">
        <f t="shared" ca="1" si="49"/>
        <v>196</v>
      </c>
      <c r="Z505" s="14">
        <v>1</v>
      </c>
      <c r="AA505" s="1" t="str">
        <f t="shared" ca="1" si="50"/>
        <v>VENCIDO</v>
      </c>
      <c r="AB505" s="1" t="str">
        <f t="shared" si="51"/>
        <v>C-14</v>
      </c>
      <c r="AC505" s="2" t="str">
        <f t="shared" si="55"/>
        <v xml:space="preserve"> CLEITON </v>
      </c>
      <c r="AD505" s="2">
        <f t="shared" si="52"/>
        <v>5</v>
      </c>
      <c r="AE505" s="2">
        <f t="shared" ca="1" si="53"/>
        <v>-272.29112118055491</v>
      </c>
      <c r="AF505" s="15"/>
    </row>
    <row r="506" spans="1:32" hidden="1">
      <c r="A506" s="1">
        <v>8631407</v>
      </c>
      <c r="B506" s="1" t="s">
        <v>653</v>
      </c>
      <c r="C506" t="s">
        <v>3581</v>
      </c>
      <c r="E506" s="2">
        <v>899001400010</v>
      </c>
      <c r="F506" s="1" t="s">
        <v>936</v>
      </c>
      <c r="G506" s="1" t="s">
        <v>53</v>
      </c>
      <c r="H506" s="1" t="s">
        <v>175</v>
      </c>
      <c r="I506" s="1" t="s">
        <v>176</v>
      </c>
      <c r="J506" s="1" t="s">
        <v>90</v>
      </c>
      <c r="K506" t="s">
        <v>937</v>
      </c>
      <c r="M506" s="1" t="s">
        <v>58</v>
      </c>
      <c r="N506" s="1">
        <v>0</v>
      </c>
      <c r="O506" s="1" t="s">
        <v>105</v>
      </c>
      <c r="P506" s="11" t="s">
        <v>1044</v>
      </c>
      <c r="R506" s="1">
        <v>3</v>
      </c>
      <c r="T506" s="1" t="s">
        <v>646</v>
      </c>
      <c r="U506" s="186">
        <v>44714.385104166664</v>
      </c>
      <c r="V506" s="1" t="s">
        <v>41</v>
      </c>
      <c r="W506" s="1" t="s">
        <v>49</v>
      </c>
      <c r="X506" s="13" t="str">
        <f t="shared" si="54"/>
        <v/>
      </c>
      <c r="Y506" s="2">
        <f t="shared" ca="1" si="49"/>
        <v>196</v>
      </c>
      <c r="Z506" s="14">
        <v>1</v>
      </c>
      <c r="AA506" s="1" t="str">
        <f t="shared" ca="1" si="50"/>
        <v>VENCIDO</v>
      </c>
      <c r="AB506" s="1" t="str">
        <f t="shared" si="51"/>
        <v>C-14</v>
      </c>
      <c r="AC506" s="2" t="str">
        <f t="shared" si="55"/>
        <v xml:space="preserve"> RINALDO </v>
      </c>
      <c r="AD506" s="2">
        <f t="shared" si="52"/>
        <v>5</v>
      </c>
      <c r="AE506" s="2">
        <f t="shared" ca="1" si="53"/>
        <v>-272.29116747685475</v>
      </c>
      <c r="AF506" s="15"/>
    </row>
    <row r="507" spans="1:32" hidden="1">
      <c r="A507" s="1">
        <v>8631233</v>
      </c>
      <c r="B507" s="1" t="s">
        <v>653</v>
      </c>
      <c r="C507" t="s">
        <v>3581</v>
      </c>
      <c r="E507" s="2">
        <v>721001400010</v>
      </c>
      <c r="F507" s="1" t="s">
        <v>936</v>
      </c>
      <c r="G507" s="1" t="s">
        <v>53</v>
      </c>
      <c r="H507" s="1" t="s">
        <v>422</v>
      </c>
      <c r="I507" s="1" t="s">
        <v>423</v>
      </c>
      <c r="J507" s="1" t="s">
        <v>79</v>
      </c>
      <c r="K507" t="s">
        <v>937</v>
      </c>
      <c r="M507" s="1" t="s">
        <v>58</v>
      </c>
      <c r="N507" s="1">
        <v>0</v>
      </c>
      <c r="O507" s="1" t="s">
        <v>105</v>
      </c>
      <c r="P507" s="11" t="s">
        <v>1046</v>
      </c>
      <c r="R507" s="1">
        <v>3</v>
      </c>
      <c r="T507" s="1" t="s">
        <v>646</v>
      </c>
      <c r="U507" s="186">
        <v>44714.384895833333</v>
      </c>
      <c r="V507" s="1" t="s">
        <v>41</v>
      </c>
      <c r="W507" s="1" t="s">
        <v>49</v>
      </c>
      <c r="X507" s="13" t="str">
        <f t="shared" si="54"/>
        <v/>
      </c>
      <c r="Y507" s="2">
        <f t="shared" ca="1" si="49"/>
        <v>196</v>
      </c>
      <c r="Z507" s="14">
        <v>1</v>
      </c>
      <c r="AA507" s="1" t="str">
        <f t="shared" ca="1" si="50"/>
        <v>VENCIDO</v>
      </c>
      <c r="AB507" s="1" t="str">
        <f t="shared" si="51"/>
        <v>C-14</v>
      </c>
      <c r="AC507" s="2" t="str">
        <f t="shared" si="55"/>
        <v xml:space="preserve"> ROSEMERE </v>
      </c>
      <c r="AD507" s="2">
        <f t="shared" si="52"/>
        <v>5</v>
      </c>
      <c r="AE507" s="2">
        <f t="shared" ca="1" si="53"/>
        <v>-272.29137581018585</v>
      </c>
      <c r="AF507" s="15"/>
    </row>
    <row r="508" spans="1:32" hidden="1">
      <c r="A508" s="1">
        <v>8631225</v>
      </c>
      <c r="B508" s="1" t="s">
        <v>653</v>
      </c>
      <c r="C508" t="s">
        <v>3581</v>
      </c>
      <c r="E508" s="2">
        <v>714001400010</v>
      </c>
      <c r="F508" s="1" t="s">
        <v>936</v>
      </c>
      <c r="G508" s="1" t="s">
        <v>53</v>
      </c>
      <c r="H508" s="1" t="s">
        <v>377</v>
      </c>
      <c r="I508" s="1" t="s">
        <v>378</v>
      </c>
      <c r="J508" s="1" t="s">
        <v>46</v>
      </c>
      <c r="K508" t="s">
        <v>937</v>
      </c>
      <c r="M508" s="1" t="s">
        <v>58</v>
      </c>
      <c r="N508" s="1">
        <v>0</v>
      </c>
      <c r="O508" s="1" t="s">
        <v>105</v>
      </c>
      <c r="P508" s="11" t="s">
        <v>1046</v>
      </c>
      <c r="R508" s="1">
        <v>3</v>
      </c>
      <c r="T508" s="1" t="s">
        <v>646</v>
      </c>
      <c r="U508" s="11" t="s">
        <v>1047</v>
      </c>
      <c r="V508" s="1" t="s">
        <v>41</v>
      </c>
      <c r="W508" s="1" t="s">
        <v>49</v>
      </c>
      <c r="X508" s="13" t="str">
        <f t="shared" si="54"/>
        <v/>
      </c>
      <c r="Y508" s="2">
        <f t="shared" ca="1" si="49"/>
        <v>196</v>
      </c>
      <c r="Z508" s="14">
        <v>1</v>
      </c>
      <c r="AA508" s="1" t="str">
        <f t="shared" ca="1" si="50"/>
        <v>VENCIDO</v>
      </c>
      <c r="AB508" s="1" t="str">
        <f t="shared" si="51"/>
        <v>C-14</v>
      </c>
      <c r="AC508" s="2" t="str">
        <f t="shared" si="55"/>
        <v xml:space="preserve"> CLEITON </v>
      </c>
      <c r="AD508" s="2">
        <f t="shared" si="52"/>
        <v>5</v>
      </c>
      <c r="AE508" s="2">
        <f t="shared" ca="1" si="53"/>
        <v>-272.29137581018585</v>
      </c>
      <c r="AF508" s="15"/>
    </row>
    <row r="509" spans="1:32" hidden="1">
      <c r="A509" s="1">
        <v>8631223</v>
      </c>
      <c r="B509" s="1" t="s">
        <v>653</v>
      </c>
      <c r="C509" t="s">
        <v>3581</v>
      </c>
      <c r="E509" s="2">
        <v>711001400010</v>
      </c>
      <c r="F509" s="1" t="s">
        <v>936</v>
      </c>
      <c r="G509" s="1" t="s">
        <v>53</v>
      </c>
      <c r="H509" s="1" t="s">
        <v>77</v>
      </c>
      <c r="I509" s="1" t="s">
        <v>78</v>
      </c>
      <c r="J509" s="1" t="s">
        <v>79</v>
      </c>
      <c r="K509" t="s">
        <v>937</v>
      </c>
      <c r="M509" s="1" t="s">
        <v>58</v>
      </c>
      <c r="N509" s="1">
        <v>0</v>
      </c>
      <c r="O509" s="1" t="s">
        <v>105</v>
      </c>
      <c r="P509" s="11" t="s">
        <v>1048</v>
      </c>
      <c r="R509" s="1">
        <v>3</v>
      </c>
      <c r="T509" s="1" t="s">
        <v>646</v>
      </c>
      <c r="U509" s="11" t="s">
        <v>1047</v>
      </c>
      <c r="V509" s="1" t="s">
        <v>41</v>
      </c>
      <c r="W509" s="1" t="s">
        <v>49</v>
      </c>
      <c r="X509" s="13" t="str">
        <f t="shared" si="54"/>
        <v/>
      </c>
      <c r="Y509" s="2">
        <f t="shared" ca="1" si="49"/>
        <v>196</v>
      </c>
      <c r="Z509" s="14">
        <v>1</v>
      </c>
      <c r="AA509" s="1" t="str">
        <f t="shared" ca="1" si="50"/>
        <v>VENCIDO</v>
      </c>
      <c r="AB509" s="1" t="str">
        <f t="shared" si="51"/>
        <v>C-14</v>
      </c>
      <c r="AC509" s="2" t="str">
        <f t="shared" si="55"/>
        <v xml:space="preserve"> ROSEMERE </v>
      </c>
      <c r="AD509" s="2">
        <f t="shared" si="52"/>
        <v>5</v>
      </c>
      <c r="AE509" s="2">
        <f t="shared" ca="1" si="53"/>
        <v>-272.29137581018585</v>
      </c>
      <c r="AF509" s="15"/>
    </row>
    <row r="510" spans="1:32" hidden="1">
      <c r="A510" s="1">
        <v>8631222</v>
      </c>
      <c r="B510" s="1" t="s">
        <v>653</v>
      </c>
      <c r="C510" t="s">
        <v>3581</v>
      </c>
      <c r="E510" s="2">
        <v>710001400010</v>
      </c>
      <c r="F510" s="1" t="s">
        <v>936</v>
      </c>
      <c r="G510" s="1" t="s">
        <v>53</v>
      </c>
      <c r="H510" s="1" t="s">
        <v>390</v>
      </c>
      <c r="I510" s="1" t="s">
        <v>391</v>
      </c>
      <c r="J510" s="1" t="s">
        <v>56</v>
      </c>
      <c r="K510" t="s">
        <v>937</v>
      </c>
      <c r="M510" s="1" t="s">
        <v>58</v>
      </c>
      <c r="N510" s="1">
        <v>0</v>
      </c>
      <c r="O510" s="1" t="s">
        <v>105</v>
      </c>
      <c r="P510" s="11" t="s">
        <v>1048</v>
      </c>
      <c r="R510" s="1">
        <v>3</v>
      </c>
      <c r="T510" s="1" t="s">
        <v>646</v>
      </c>
      <c r="U510" s="11" t="s">
        <v>1049</v>
      </c>
      <c r="V510" s="1" t="s">
        <v>41</v>
      </c>
      <c r="W510" s="1" t="s">
        <v>49</v>
      </c>
      <c r="X510" s="13" t="str">
        <f t="shared" si="54"/>
        <v/>
      </c>
      <c r="Y510" s="2">
        <f t="shared" ca="1" si="49"/>
        <v>196</v>
      </c>
      <c r="Z510" s="14">
        <v>1</v>
      </c>
      <c r="AA510" s="1" t="str">
        <f t="shared" ca="1" si="50"/>
        <v>VENCIDO</v>
      </c>
      <c r="AB510" s="1" t="str">
        <f t="shared" si="51"/>
        <v>C-14</v>
      </c>
      <c r="AC510" s="2" t="str">
        <f t="shared" si="55"/>
        <v xml:space="preserve"> CRISTINA </v>
      </c>
      <c r="AD510" s="2">
        <f t="shared" si="52"/>
        <v>5</v>
      </c>
      <c r="AE510" s="2">
        <f t="shared" ca="1" si="53"/>
        <v>-272.29138738426263</v>
      </c>
      <c r="AF510" s="15"/>
    </row>
    <row r="511" spans="1:32" hidden="1">
      <c r="A511" s="1">
        <v>8631065</v>
      </c>
      <c r="B511" s="1" t="s">
        <v>653</v>
      </c>
      <c r="C511" t="s">
        <v>3581</v>
      </c>
      <c r="E511" s="2">
        <v>550001400010</v>
      </c>
      <c r="F511" s="1" t="s">
        <v>936</v>
      </c>
      <c r="G511" s="1" t="s">
        <v>53</v>
      </c>
      <c r="H511" s="1" t="s">
        <v>337</v>
      </c>
      <c r="I511" s="1" t="s">
        <v>338</v>
      </c>
      <c r="J511" s="1" t="s">
        <v>164</v>
      </c>
      <c r="K511" t="s">
        <v>937</v>
      </c>
      <c r="M511" s="1" t="s">
        <v>58</v>
      </c>
      <c r="N511" s="1">
        <v>0</v>
      </c>
      <c r="O511" s="1" t="s">
        <v>105</v>
      </c>
      <c r="P511" s="11" t="s">
        <v>1050</v>
      </c>
      <c r="R511" s="1">
        <v>3</v>
      </c>
      <c r="T511" s="1" t="s">
        <v>646</v>
      </c>
      <c r="U511" s="11" t="s">
        <v>1051</v>
      </c>
      <c r="V511" s="1" t="s">
        <v>41</v>
      </c>
      <c r="W511" s="1" t="s">
        <v>49</v>
      </c>
      <c r="X511" s="13" t="str">
        <f t="shared" si="54"/>
        <v/>
      </c>
      <c r="Y511" s="2">
        <f t="shared" ca="1" si="49"/>
        <v>196</v>
      </c>
      <c r="Z511" s="14">
        <v>1</v>
      </c>
      <c r="AA511" s="1" t="str">
        <f t="shared" ca="1" si="50"/>
        <v>VENCIDO</v>
      </c>
      <c r="AB511" s="1" t="str">
        <f t="shared" si="51"/>
        <v>C-14</v>
      </c>
      <c r="AC511" s="2" t="str">
        <f t="shared" si="55"/>
        <v xml:space="preserve"> ROSEMERE </v>
      </c>
      <c r="AD511" s="2">
        <f t="shared" si="52"/>
        <v>5</v>
      </c>
      <c r="AE511" s="2">
        <f t="shared" ca="1" si="53"/>
        <v>-272.29154942129389</v>
      </c>
      <c r="AF511" s="15"/>
    </row>
    <row r="512" spans="1:32" hidden="1">
      <c r="A512" s="1">
        <v>8631054</v>
      </c>
      <c r="B512" s="1" t="s">
        <v>653</v>
      </c>
      <c r="C512" t="s">
        <v>3581</v>
      </c>
      <c r="E512" s="2">
        <v>537001400010</v>
      </c>
      <c r="F512" s="1" t="s">
        <v>936</v>
      </c>
      <c r="G512" s="1" t="s">
        <v>53</v>
      </c>
      <c r="H512" s="1" t="s">
        <v>442</v>
      </c>
      <c r="I512" s="1" t="s">
        <v>443</v>
      </c>
      <c r="J512" s="1" t="s">
        <v>79</v>
      </c>
      <c r="K512" t="s">
        <v>937</v>
      </c>
      <c r="M512" s="1" t="s">
        <v>58</v>
      </c>
      <c r="N512" s="1">
        <v>0</v>
      </c>
      <c r="O512" s="1" t="s">
        <v>105</v>
      </c>
      <c r="P512" s="11" t="s">
        <v>1052</v>
      </c>
      <c r="R512" s="1">
        <v>3</v>
      </c>
      <c r="T512" s="1" t="s">
        <v>646</v>
      </c>
      <c r="U512" s="11" t="s">
        <v>1053</v>
      </c>
      <c r="V512" s="1" t="s">
        <v>41</v>
      </c>
      <c r="W512" s="1" t="s">
        <v>49</v>
      </c>
      <c r="X512" s="13" t="str">
        <f t="shared" si="54"/>
        <v/>
      </c>
      <c r="Y512" s="2">
        <f t="shared" ca="1" si="49"/>
        <v>196</v>
      </c>
      <c r="Z512" s="14">
        <v>1</v>
      </c>
      <c r="AA512" s="1" t="str">
        <f t="shared" ca="1" si="50"/>
        <v>VENCIDO</v>
      </c>
      <c r="AB512" s="1" t="str">
        <f t="shared" si="51"/>
        <v>C-14</v>
      </c>
      <c r="AC512" s="2" t="str">
        <f t="shared" si="55"/>
        <v xml:space="preserve"> ROSEMERE </v>
      </c>
      <c r="AD512" s="2">
        <f t="shared" si="52"/>
        <v>5</v>
      </c>
      <c r="AE512" s="2">
        <f t="shared" ca="1" si="53"/>
        <v>-272.29157256944745</v>
      </c>
      <c r="AF512" s="15"/>
    </row>
    <row r="513" spans="1:32" hidden="1">
      <c r="A513" s="1">
        <v>8630966</v>
      </c>
      <c r="B513" s="1" t="s">
        <v>653</v>
      </c>
      <c r="C513" t="s">
        <v>3581</v>
      </c>
      <c r="E513" s="2">
        <v>446001400010</v>
      </c>
      <c r="F513" s="1" t="s">
        <v>936</v>
      </c>
      <c r="G513" s="1" t="s">
        <v>53</v>
      </c>
      <c r="H513" s="1" t="s">
        <v>432</v>
      </c>
      <c r="I513" s="1" t="s">
        <v>433</v>
      </c>
      <c r="J513" s="1" t="s">
        <v>110</v>
      </c>
      <c r="K513" t="s">
        <v>937</v>
      </c>
      <c r="M513" s="1" t="s">
        <v>58</v>
      </c>
      <c r="N513" s="1">
        <v>0</v>
      </c>
      <c r="O513" s="1" t="s">
        <v>105</v>
      </c>
      <c r="P513" s="11" t="s">
        <v>1054</v>
      </c>
      <c r="R513" s="1">
        <v>3</v>
      </c>
      <c r="T513" s="1" t="s">
        <v>646</v>
      </c>
      <c r="U513" s="11" t="s">
        <v>1055</v>
      </c>
      <c r="V513" s="1" t="s">
        <v>41</v>
      </c>
      <c r="W513" s="1" t="s">
        <v>49</v>
      </c>
      <c r="X513" s="13" t="str">
        <f t="shared" si="54"/>
        <v/>
      </c>
      <c r="Y513" s="2">
        <f t="shared" ca="1" si="49"/>
        <v>196</v>
      </c>
      <c r="Z513" s="14">
        <v>1</v>
      </c>
      <c r="AA513" s="1" t="str">
        <f t="shared" ca="1" si="50"/>
        <v>VENCIDO</v>
      </c>
      <c r="AB513" s="1" t="str">
        <f t="shared" si="51"/>
        <v>C-14</v>
      </c>
      <c r="AC513" s="2" t="str">
        <f t="shared" si="55"/>
        <v xml:space="preserve"> CRISTINA </v>
      </c>
      <c r="AD513" s="2">
        <f t="shared" si="52"/>
        <v>5</v>
      </c>
      <c r="AE513" s="2">
        <f t="shared" ca="1" si="53"/>
        <v>-272.29167673610937</v>
      </c>
      <c r="AF513" s="15"/>
    </row>
    <row r="514" spans="1:32" hidden="1">
      <c r="A514" s="1">
        <v>8630840</v>
      </c>
      <c r="B514" s="1" t="s">
        <v>653</v>
      </c>
      <c r="C514" t="s">
        <v>3581</v>
      </c>
      <c r="E514" s="2">
        <v>325091400010</v>
      </c>
      <c r="F514" s="1" t="s">
        <v>936</v>
      </c>
      <c r="G514" s="1" t="s">
        <v>53</v>
      </c>
      <c r="H514" s="1" t="s">
        <v>821</v>
      </c>
      <c r="I514" s="1" t="s">
        <v>822</v>
      </c>
      <c r="J514" s="1" t="s">
        <v>46</v>
      </c>
      <c r="K514" t="s">
        <v>937</v>
      </c>
      <c r="M514" s="1" t="s">
        <v>58</v>
      </c>
      <c r="N514" s="1">
        <v>0</v>
      </c>
      <c r="O514" s="1" t="s">
        <v>105</v>
      </c>
      <c r="P514" s="11" t="s">
        <v>1056</v>
      </c>
      <c r="R514" s="1">
        <v>3</v>
      </c>
      <c r="T514" s="1" t="s">
        <v>646</v>
      </c>
      <c r="U514" s="11" t="s">
        <v>1057</v>
      </c>
      <c r="V514" s="1" t="s">
        <v>41</v>
      </c>
      <c r="W514" s="1" t="s">
        <v>49</v>
      </c>
      <c r="X514" s="13" t="str">
        <f t="shared" si="54"/>
        <v>0325.09</v>
      </c>
      <c r="Y514" s="2">
        <f t="shared" ref="Y514:Y577" ca="1" si="56">NETWORKDAYS(P514,$Y$1)</f>
        <v>196</v>
      </c>
      <c r="Z514" s="14">
        <v>1</v>
      </c>
      <c r="AA514" s="1" t="str">
        <f t="shared" ref="AA514:AA577" ca="1" si="57">IF(AE514=0,"HOJE",IF(AE514&gt;0,"A VENCER",IF(AE514&lt;0,"VENCIDO")))</f>
        <v>VENCIDO</v>
      </c>
      <c r="AB514" s="1" t="str">
        <f t="shared" ref="AB514:AB577" si="58">IF(F514="GRPE-000001","C-14",IF(F514="GRPE-000002","C-14",IF(F514="GRPE-000003","C-14",IF(F514="GRPE-000004","SL-On",IF(F514="GRPE-000038","C-14",IF(F514="GRPE-900022","Dosa",IF(F514="GRPE-000029","Dosa",IF(F514="ATOS-000222","Dose","TAAe+"))))))))</f>
        <v>C-14</v>
      </c>
      <c r="AC514" s="2" t="str">
        <f t="shared" si="55"/>
        <v xml:space="preserve"> CLEITON </v>
      </c>
      <c r="AD514" s="2">
        <f t="shared" ref="AD514:AD577" si="59">IF(F514="GRPE-000001",5,IF(F514="GRPE-000002",5,IF(F514="GRPE-000003",15,IF(F514="GRPE-000004",1,IF(F514="GRPE-000038",5,IF(F514="GRPE-900022",5,IF(F514="GRPE-000029",5,IF(F514="ATOS-000222",5,8))))))))</f>
        <v>5</v>
      </c>
      <c r="AE514" s="2">
        <f t="shared" ref="AE514:AE577" ca="1" si="60">IF(U514=$AE$1,"",U514-$AE$1)</f>
        <v>-272.29181562500162</v>
      </c>
      <c r="AF514" s="15"/>
    </row>
    <row r="515" spans="1:32" hidden="1">
      <c r="A515" s="1">
        <v>8630740</v>
      </c>
      <c r="B515" s="1" t="s">
        <v>653</v>
      </c>
      <c r="C515" t="s">
        <v>3581</v>
      </c>
      <c r="E515" s="2">
        <v>233001400010</v>
      </c>
      <c r="F515" s="1" t="s">
        <v>936</v>
      </c>
      <c r="G515" s="1" t="s">
        <v>53</v>
      </c>
      <c r="H515" s="1" t="s">
        <v>424</v>
      </c>
      <c r="I515" s="1" t="s">
        <v>425</v>
      </c>
      <c r="J515" s="1" t="s">
        <v>261</v>
      </c>
      <c r="K515" t="s">
        <v>937</v>
      </c>
      <c r="M515" s="1" t="s">
        <v>58</v>
      </c>
      <c r="N515" s="1">
        <v>0</v>
      </c>
      <c r="O515" s="1" t="s">
        <v>105</v>
      </c>
      <c r="P515" s="11" t="s">
        <v>1058</v>
      </c>
      <c r="R515" s="1">
        <v>3</v>
      </c>
      <c r="T515" s="1" t="s">
        <v>646</v>
      </c>
      <c r="U515" s="11" t="s">
        <v>1059</v>
      </c>
      <c r="V515" s="1" t="s">
        <v>41</v>
      </c>
      <c r="W515" s="1" t="s">
        <v>49</v>
      </c>
      <c r="X515" s="13" t="str">
        <f t="shared" ref="X515:X578" si="61">IF(RIGHT(H515,2)&lt;&gt;"00",H515,"")</f>
        <v/>
      </c>
      <c r="Y515" s="2">
        <f t="shared" ca="1" si="56"/>
        <v>196</v>
      </c>
      <c r="Z515" s="14">
        <v>1</v>
      </c>
      <c r="AA515" s="1" t="str">
        <f t="shared" ca="1" si="57"/>
        <v>VENCIDO</v>
      </c>
      <c r="AB515" s="1" t="str">
        <f t="shared" si="58"/>
        <v>C-14</v>
      </c>
      <c r="AC515" s="2" t="str">
        <f t="shared" ref="AC515:AC578" si="62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 xml:space="preserve"> CRISTINA </v>
      </c>
      <c r="AD515" s="2">
        <f t="shared" si="59"/>
        <v>5</v>
      </c>
      <c r="AE515" s="2">
        <f t="shared" ca="1" si="60"/>
        <v>-272.29193136574031</v>
      </c>
      <c r="AF515" s="15"/>
    </row>
    <row r="516" spans="1:32" hidden="1">
      <c r="A516" s="1">
        <v>8630705</v>
      </c>
      <c r="B516" s="1" t="s">
        <v>653</v>
      </c>
      <c r="C516" t="s">
        <v>3581</v>
      </c>
      <c r="E516" s="2">
        <v>196001400010</v>
      </c>
      <c r="F516" s="1" t="s">
        <v>936</v>
      </c>
      <c r="G516" s="1" t="s">
        <v>53</v>
      </c>
      <c r="H516" s="1" t="s">
        <v>1060</v>
      </c>
      <c r="I516" s="1" t="s">
        <v>1061</v>
      </c>
      <c r="J516" s="1" t="s">
        <v>79</v>
      </c>
      <c r="K516" t="s">
        <v>937</v>
      </c>
      <c r="M516" s="1" t="s">
        <v>58</v>
      </c>
      <c r="N516" s="1">
        <v>0</v>
      </c>
      <c r="O516" s="1" t="s">
        <v>105</v>
      </c>
      <c r="P516" s="11" t="s">
        <v>1062</v>
      </c>
      <c r="R516" s="1">
        <v>3</v>
      </c>
      <c r="T516" s="1" t="s">
        <v>646</v>
      </c>
      <c r="U516" s="186">
        <v>44714.384305555555</v>
      </c>
      <c r="V516" s="1" t="s">
        <v>41</v>
      </c>
      <c r="W516" s="1" t="s">
        <v>49</v>
      </c>
      <c r="X516" s="13" t="str">
        <f t="shared" si="61"/>
        <v/>
      </c>
      <c r="Y516" s="2">
        <f t="shared" ca="1" si="56"/>
        <v>196</v>
      </c>
      <c r="Z516" s="14">
        <v>1</v>
      </c>
      <c r="AA516" s="1" t="str">
        <f t="shared" ca="1" si="57"/>
        <v>VENCIDO</v>
      </c>
      <c r="AB516" s="1" t="str">
        <f t="shared" si="58"/>
        <v>C-14</v>
      </c>
      <c r="AC516" s="2" t="str">
        <f t="shared" si="62"/>
        <v xml:space="preserve"> ROSEMERE </v>
      </c>
      <c r="AD516" s="2">
        <f t="shared" si="59"/>
        <v>5</v>
      </c>
      <c r="AE516" s="2">
        <f t="shared" ca="1" si="60"/>
        <v>-272.29196608796337</v>
      </c>
      <c r="AF516" s="15"/>
    </row>
    <row r="517" spans="1:32" hidden="1">
      <c r="A517" s="1">
        <v>8630554</v>
      </c>
      <c r="B517" s="1" t="s">
        <v>653</v>
      </c>
      <c r="C517" t="s">
        <v>3581</v>
      </c>
      <c r="E517" s="2">
        <v>7651400010</v>
      </c>
      <c r="F517" s="1" t="s">
        <v>936</v>
      </c>
      <c r="G517" s="1" t="s">
        <v>53</v>
      </c>
      <c r="H517" s="1" t="s">
        <v>827</v>
      </c>
      <c r="I517" s="1" t="s">
        <v>828</v>
      </c>
      <c r="J517" s="1" t="s">
        <v>46</v>
      </c>
      <c r="K517" t="s">
        <v>937</v>
      </c>
      <c r="M517" s="1" t="s">
        <v>58</v>
      </c>
      <c r="N517" s="1">
        <v>0</v>
      </c>
      <c r="O517" s="1" t="s">
        <v>105</v>
      </c>
      <c r="P517" s="11" t="s">
        <v>1064</v>
      </c>
      <c r="R517" s="1">
        <v>3</v>
      </c>
      <c r="T517" s="1" t="s">
        <v>646</v>
      </c>
      <c r="U517" s="11" t="s">
        <v>1065</v>
      </c>
      <c r="V517" s="1" t="s">
        <v>41</v>
      </c>
      <c r="W517" s="1" t="s">
        <v>49</v>
      </c>
      <c r="X517" s="13" t="str">
        <f t="shared" si="61"/>
        <v>0007.65</v>
      </c>
      <c r="Y517" s="2">
        <f t="shared" ca="1" si="56"/>
        <v>196</v>
      </c>
      <c r="Z517" s="14">
        <v>1</v>
      </c>
      <c r="AA517" s="1" t="str">
        <f t="shared" ca="1" si="57"/>
        <v>VENCIDO</v>
      </c>
      <c r="AB517" s="1" t="str">
        <f t="shared" si="58"/>
        <v>C-14</v>
      </c>
      <c r="AC517" s="2" t="str">
        <f t="shared" si="62"/>
        <v xml:space="preserve"> CLEITON </v>
      </c>
      <c r="AD517" s="2">
        <f t="shared" si="59"/>
        <v>5</v>
      </c>
      <c r="AE517" s="2">
        <f t="shared" ca="1" si="60"/>
        <v>-272.29215127314819</v>
      </c>
      <c r="AF517" s="15"/>
    </row>
    <row r="518" spans="1:32" hidden="1">
      <c r="A518" s="1">
        <v>8630381</v>
      </c>
      <c r="B518" s="1" t="s">
        <v>101</v>
      </c>
      <c r="C518" t="s">
        <v>643</v>
      </c>
      <c r="D518" s="2">
        <v>220094909</v>
      </c>
      <c r="E518" s="2">
        <v>1362001400030</v>
      </c>
      <c r="F518" s="1" t="s">
        <v>647</v>
      </c>
      <c r="G518" s="1" t="s">
        <v>53</v>
      </c>
      <c r="H518" s="1" t="s">
        <v>268</v>
      </c>
      <c r="I518" s="1" t="s">
        <v>269</v>
      </c>
      <c r="J518" s="1" t="s">
        <v>90</v>
      </c>
      <c r="K518" t="s">
        <v>650</v>
      </c>
      <c r="M518" s="1" t="s">
        <v>58</v>
      </c>
      <c r="N518" s="1">
        <v>0</v>
      </c>
      <c r="O518" s="1" t="s">
        <v>105</v>
      </c>
      <c r="P518" s="11" t="s">
        <v>1066</v>
      </c>
      <c r="R518" s="1">
        <v>4</v>
      </c>
      <c r="T518" s="1" t="s">
        <v>646</v>
      </c>
      <c r="U518" s="11" t="s">
        <v>1067</v>
      </c>
      <c r="V518" s="1" t="s">
        <v>41</v>
      </c>
      <c r="W518" s="1" t="s">
        <v>49</v>
      </c>
      <c r="X518" s="13" t="str">
        <f t="shared" si="61"/>
        <v/>
      </c>
      <c r="Y518" s="2">
        <f t="shared" ca="1" si="56"/>
        <v>196</v>
      </c>
      <c r="Z518" s="14">
        <v>1</v>
      </c>
      <c r="AA518" s="1" t="str">
        <f t="shared" ca="1" si="57"/>
        <v>VENCIDO</v>
      </c>
      <c r="AB518" s="1" t="str">
        <f t="shared" si="58"/>
        <v>C-14</v>
      </c>
      <c r="AC518" s="2" t="str">
        <f t="shared" si="62"/>
        <v xml:space="preserve"> RINALDO </v>
      </c>
      <c r="AD518" s="2">
        <f t="shared" si="59"/>
        <v>15</v>
      </c>
      <c r="AE518" s="2">
        <f t="shared" ca="1" si="60"/>
        <v>-272.29856331018527</v>
      </c>
      <c r="AF518" s="15"/>
    </row>
    <row r="519" spans="1:32" hidden="1">
      <c r="A519" s="1">
        <v>8630306</v>
      </c>
      <c r="B519" s="1" t="s">
        <v>101</v>
      </c>
      <c r="C519" t="s">
        <v>643</v>
      </c>
      <c r="D519" s="2">
        <v>220094756</v>
      </c>
      <c r="E519" s="2">
        <v>1049001400030</v>
      </c>
      <c r="F519" s="1" t="s">
        <v>647</v>
      </c>
      <c r="G519" s="1" t="s">
        <v>53</v>
      </c>
      <c r="H519" s="1" t="s">
        <v>169</v>
      </c>
      <c r="I519" s="1" t="s">
        <v>170</v>
      </c>
      <c r="J519" s="1" t="s">
        <v>164</v>
      </c>
      <c r="K519" t="s">
        <v>650</v>
      </c>
      <c r="M519" s="1" t="s">
        <v>58</v>
      </c>
      <c r="N519" s="1">
        <v>0</v>
      </c>
      <c r="O519" s="1" t="s">
        <v>105</v>
      </c>
      <c r="P519" s="11" t="s">
        <v>1068</v>
      </c>
      <c r="R519" s="1">
        <v>4</v>
      </c>
      <c r="T519" s="1" t="s">
        <v>646</v>
      </c>
      <c r="U519" s="11" t="s">
        <v>1069</v>
      </c>
      <c r="V519" s="1" t="s">
        <v>41</v>
      </c>
      <c r="W519" s="1" t="s">
        <v>49</v>
      </c>
      <c r="X519" s="13" t="str">
        <f t="shared" si="61"/>
        <v/>
      </c>
      <c r="Y519" s="2">
        <f t="shared" ca="1" si="56"/>
        <v>196</v>
      </c>
      <c r="Z519" s="14">
        <v>1</v>
      </c>
      <c r="AA519" s="1" t="str">
        <f t="shared" ca="1" si="57"/>
        <v>VENCIDO</v>
      </c>
      <c r="AB519" s="1" t="str">
        <f t="shared" si="58"/>
        <v>C-14</v>
      </c>
      <c r="AC519" s="2" t="str">
        <f t="shared" si="62"/>
        <v xml:space="preserve"> ROSEMERE </v>
      </c>
      <c r="AD519" s="2">
        <f t="shared" si="59"/>
        <v>15</v>
      </c>
      <c r="AE519" s="2">
        <f t="shared" ca="1" si="60"/>
        <v>-272.30261423611228</v>
      </c>
      <c r="AF519" s="15"/>
    </row>
    <row r="520" spans="1:32" hidden="1">
      <c r="A520" s="1">
        <v>8629148</v>
      </c>
      <c r="B520" s="1" t="s">
        <v>101</v>
      </c>
      <c r="C520" t="s">
        <v>643</v>
      </c>
      <c r="D520" s="2">
        <v>220092695</v>
      </c>
      <c r="E520" s="2">
        <v>1362001400010</v>
      </c>
      <c r="F520" s="1" t="s">
        <v>936</v>
      </c>
      <c r="G520" s="1" t="s">
        <v>53</v>
      </c>
      <c r="H520" s="1" t="s">
        <v>268</v>
      </c>
      <c r="I520" s="1" t="s">
        <v>269</v>
      </c>
      <c r="J520" s="1" t="s">
        <v>90</v>
      </c>
      <c r="K520" t="s">
        <v>937</v>
      </c>
      <c r="M520" s="1" t="s">
        <v>58</v>
      </c>
      <c r="N520" s="1">
        <v>0</v>
      </c>
      <c r="O520" s="1" t="s">
        <v>105</v>
      </c>
      <c r="P520" s="11" t="s">
        <v>1070</v>
      </c>
      <c r="R520" s="1">
        <v>3</v>
      </c>
      <c r="T520" s="1" t="s">
        <v>646</v>
      </c>
      <c r="U520" s="11" t="s">
        <v>1071</v>
      </c>
      <c r="V520" s="1" t="s">
        <v>41</v>
      </c>
      <c r="W520" s="1" t="s">
        <v>49</v>
      </c>
      <c r="X520" s="13" t="str">
        <f t="shared" si="61"/>
        <v/>
      </c>
      <c r="Y520" s="2">
        <f t="shared" ca="1" si="56"/>
        <v>196</v>
      </c>
      <c r="Z520" s="14">
        <v>1</v>
      </c>
      <c r="AA520" s="1" t="str">
        <f t="shared" ca="1" si="57"/>
        <v>VENCIDO</v>
      </c>
      <c r="AB520" s="1" t="str">
        <f t="shared" si="58"/>
        <v>C-14</v>
      </c>
      <c r="AC520" s="2" t="str">
        <f t="shared" si="62"/>
        <v xml:space="preserve"> RINALDO </v>
      </c>
      <c r="AD520" s="2">
        <f t="shared" si="59"/>
        <v>5</v>
      </c>
      <c r="AE520" s="2">
        <f t="shared" ca="1" si="60"/>
        <v>-272.36128321759315</v>
      </c>
      <c r="AF520" s="15"/>
    </row>
    <row r="521" spans="1:32" hidden="1">
      <c r="A521" s="1">
        <v>8629041</v>
      </c>
      <c r="B521" s="1" t="s">
        <v>101</v>
      </c>
      <c r="C521" t="s">
        <v>643</v>
      </c>
      <c r="D521" s="2">
        <v>220092544</v>
      </c>
      <c r="E521" s="2">
        <v>1049001400010</v>
      </c>
      <c r="F521" s="1" t="s">
        <v>936</v>
      </c>
      <c r="G521" s="1" t="s">
        <v>53</v>
      </c>
      <c r="H521" s="1" t="s">
        <v>169</v>
      </c>
      <c r="I521" s="1" t="s">
        <v>170</v>
      </c>
      <c r="J521" s="1" t="s">
        <v>164</v>
      </c>
      <c r="K521" t="s">
        <v>937</v>
      </c>
      <c r="M521" s="1" t="s">
        <v>58</v>
      </c>
      <c r="N521" s="1">
        <v>0</v>
      </c>
      <c r="O521" s="1" t="s">
        <v>105</v>
      </c>
      <c r="P521" s="11" t="s">
        <v>1072</v>
      </c>
      <c r="R521" s="1">
        <v>3</v>
      </c>
      <c r="T521" s="1" t="s">
        <v>646</v>
      </c>
      <c r="U521" s="11" t="s">
        <v>1073</v>
      </c>
      <c r="V521" s="1" t="s">
        <v>41</v>
      </c>
      <c r="W521" s="1" t="s">
        <v>49</v>
      </c>
      <c r="X521" s="13" t="str">
        <f t="shared" si="61"/>
        <v/>
      </c>
      <c r="Y521" s="2">
        <f t="shared" ca="1" si="56"/>
        <v>196</v>
      </c>
      <c r="Z521" s="14">
        <v>1</v>
      </c>
      <c r="AA521" s="1" t="str">
        <f t="shared" ca="1" si="57"/>
        <v>VENCIDO</v>
      </c>
      <c r="AB521" s="1" t="str">
        <f t="shared" si="58"/>
        <v>C-14</v>
      </c>
      <c r="AC521" s="2" t="str">
        <f t="shared" si="62"/>
        <v xml:space="preserve"> ROSEMERE </v>
      </c>
      <c r="AD521" s="2">
        <f t="shared" si="59"/>
        <v>5</v>
      </c>
      <c r="AE521" s="2">
        <f t="shared" ca="1" si="60"/>
        <v>-272.36729016203753</v>
      </c>
      <c r="AF521" s="15"/>
    </row>
    <row r="522" spans="1:32" hidden="1">
      <c r="A522" s="1">
        <v>8672365</v>
      </c>
      <c r="B522" s="1" t="s">
        <v>62</v>
      </c>
      <c r="C522" t="s">
        <v>1074</v>
      </c>
      <c r="E522" s="2">
        <v>2156000203000</v>
      </c>
      <c r="F522" s="1" t="s">
        <v>454</v>
      </c>
      <c r="G522" s="1" t="s">
        <v>53</v>
      </c>
      <c r="H522" s="1" t="s">
        <v>278</v>
      </c>
      <c r="I522" s="1" t="s">
        <v>279</v>
      </c>
      <c r="J522" s="1" t="s">
        <v>211</v>
      </c>
      <c r="K522" t="s">
        <v>457</v>
      </c>
      <c r="M522" s="1" t="s">
        <v>58</v>
      </c>
      <c r="N522" s="1">
        <v>0</v>
      </c>
      <c r="O522" s="1" t="s">
        <v>105</v>
      </c>
      <c r="P522" s="186">
        <v>44722.462719907409</v>
      </c>
      <c r="R522" s="1">
        <v>1</v>
      </c>
      <c r="T522" s="1" t="s">
        <v>157</v>
      </c>
      <c r="U522" s="186">
        <v>44757.75</v>
      </c>
      <c r="V522" s="1" t="s">
        <v>41</v>
      </c>
      <c r="W522" s="1" t="s">
        <v>49</v>
      </c>
      <c r="X522" s="13" t="str">
        <f t="shared" si="61"/>
        <v/>
      </c>
      <c r="Y522" s="2">
        <f t="shared" ca="1" si="56"/>
        <v>189</v>
      </c>
      <c r="Z522" s="14">
        <v>1</v>
      </c>
      <c r="AA522" s="1" t="str">
        <f t="shared" ca="1" si="57"/>
        <v>VENCIDO</v>
      </c>
      <c r="AB522" s="1" t="str">
        <f t="shared" si="58"/>
        <v>C-14</v>
      </c>
      <c r="AC522" s="2" t="str">
        <f t="shared" si="62"/>
        <v xml:space="preserve"> RINALDO </v>
      </c>
      <c r="AD522" s="2">
        <f t="shared" si="59"/>
        <v>5</v>
      </c>
      <c r="AE522" s="2">
        <f t="shared" ca="1" si="60"/>
        <v>-228.9262716435187</v>
      </c>
      <c r="AF522" s="15"/>
    </row>
    <row r="523" spans="1:32" hidden="1">
      <c r="A523" s="1">
        <v>8711475</v>
      </c>
      <c r="B523" s="1" t="s">
        <v>62</v>
      </c>
      <c r="C523" t="s">
        <v>1075</v>
      </c>
      <c r="E523" s="2">
        <v>7420000203000</v>
      </c>
      <c r="F523" s="1" t="s">
        <v>454</v>
      </c>
      <c r="G523" s="1" t="s">
        <v>30</v>
      </c>
      <c r="H523" s="1" t="s">
        <v>1076</v>
      </c>
      <c r="I523" s="1" t="s">
        <v>1077</v>
      </c>
      <c r="J523" s="1" t="s">
        <v>46</v>
      </c>
      <c r="K523" t="s">
        <v>457</v>
      </c>
      <c r="M523" s="1" t="s">
        <v>58</v>
      </c>
      <c r="N523" s="1">
        <v>0</v>
      </c>
      <c r="O523" s="1" t="s">
        <v>36</v>
      </c>
      <c r="P523" s="186">
        <v>44740.585196759261</v>
      </c>
      <c r="R523" s="1" t="s">
        <v>38</v>
      </c>
      <c r="T523" s="1" t="s">
        <v>157</v>
      </c>
      <c r="U523" s="186">
        <v>44810.75</v>
      </c>
      <c r="V523" s="1" t="s">
        <v>41</v>
      </c>
      <c r="W523" s="1" t="s">
        <v>49</v>
      </c>
      <c r="X523" s="13" t="str">
        <f t="shared" si="61"/>
        <v/>
      </c>
      <c r="Y523" s="2">
        <f t="shared" ca="1" si="56"/>
        <v>177</v>
      </c>
      <c r="Z523" s="14">
        <v>1</v>
      </c>
      <c r="AA523" s="1" t="str">
        <f t="shared" ca="1" si="57"/>
        <v>VENCIDO</v>
      </c>
      <c r="AB523" s="1" t="str">
        <f t="shared" si="58"/>
        <v>C-14</v>
      </c>
      <c r="AC523" s="2" t="str">
        <f t="shared" si="62"/>
        <v xml:space="preserve"> CLEITON </v>
      </c>
      <c r="AD523" s="2">
        <f t="shared" si="59"/>
        <v>5</v>
      </c>
      <c r="AE523" s="2">
        <f t="shared" ca="1" si="60"/>
        <v>-175.9262716435187</v>
      </c>
      <c r="AF523" s="15"/>
    </row>
    <row r="524" spans="1:32" hidden="1">
      <c r="A524" s="1">
        <v>8733876</v>
      </c>
      <c r="B524" s="1" t="s">
        <v>62</v>
      </c>
      <c r="C524" t="s">
        <v>1078</v>
      </c>
      <c r="E524" s="2">
        <v>1028000203000</v>
      </c>
      <c r="F524" s="1" t="s">
        <v>454</v>
      </c>
      <c r="G524" s="1" t="s">
        <v>53</v>
      </c>
      <c r="H524" s="1" t="s">
        <v>1079</v>
      </c>
      <c r="I524" s="1" t="s">
        <v>1080</v>
      </c>
      <c r="J524" s="1" t="s">
        <v>85</v>
      </c>
      <c r="K524" t="s">
        <v>457</v>
      </c>
      <c r="M524" s="1" t="s">
        <v>58</v>
      </c>
      <c r="N524" s="1">
        <v>0</v>
      </c>
      <c r="O524" s="1" t="s">
        <v>36</v>
      </c>
      <c r="P524" s="186">
        <v>44749.648923611108</v>
      </c>
      <c r="R524" s="1">
        <v>1</v>
      </c>
      <c r="T524" s="1" t="s">
        <v>157</v>
      </c>
      <c r="U524" s="186">
        <v>44783.75</v>
      </c>
      <c r="V524" s="1" t="s">
        <v>41</v>
      </c>
      <c r="W524" s="1" t="s">
        <v>49</v>
      </c>
      <c r="X524" s="13" t="str">
        <f t="shared" si="61"/>
        <v/>
      </c>
      <c r="Y524" s="2">
        <f t="shared" ca="1" si="56"/>
        <v>170</v>
      </c>
      <c r="Z524" s="14">
        <v>1</v>
      </c>
      <c r="AA524" s="1" t="str">
        <f t="shared" ca="1" si="57"/>
        <v>VENCIDO</v>
      </c>
      <c r="AB524" s="1" t="str">
        <f t="shared" si="58"/>
        <v>C-14</v>
      </c>
      <c r="AC524" s="2" t="str">
        <f t="shared" si="62"/>
        <v xml:space="preserve"> RINALDO </v>
      </c>
      <c r="AD524" s="2">
        <f t="shared" si="59"/>
        <v>5</v>
      </c>
      <c r="AE524" s="2">
        <f t="shared" ca="1" si="60"/>
        <v>-202.9262716435187</v>
      </c>
      <c r="AF524" s="15"/>
    </row>
    <row r="525" spans="1:32" hidden="1">
      <c r="A525" s="1">
        <v>8736689</v>
      </c>
      <c r="B525" s="1" t="s">
        <v>62</v>
      </c>
      <c r="C525" t="s">
        <v>1083</v>
      </c>
      <c r="E525" s="2">
        <v>600000203000</v>
      </c>
      <c r="F525" s="1" t="s">
        <v>454</v>
      </c>
      <c r="G525" s="1" t="s">
        <v>53</v>
      </c>
      <c r="H525" s="1" t="s">
        <v>1084</v>
      </c>
      <c r="I525" s="1" t="s">
        <v>1085</v>
      </c>
      <c r="J525" s="1" t="s">
        <v>90</v>
      </c>
      <c r="K525" t="s">
        <v>457</v>
      </c>
      <c r="M525" s="1" t="s">
        <v>58</v>
      </c>
      <c r="N525" s="1">
        <v>0</v>
      </c>
      <c r="O525" s="1" t="s">
        <v>36</v>
      </c>
      <c r="P525" s="186">
        <v>44750.694236111114</v>
      </c>
      <c r="R525" s="1">
        <v>1</v>
      </c>
      <c r="T525" s="1" t="s">
        <v>157</v>
      </c>
      <c r="U525" s="186">
        <v>44784.75</v>
      </c>
      <c r="V525" s="1" t="s">
        <v>41</v>
      </c>
      <c r="W525" s="1" t="s">
        <v>49</v>
      </c>
      <c r="X525" s="13" t="str">
        <f t="shared" si="61"/>
        <v/>
      </c>
      <c r="Y525" s="2">
        <f t="shared" ca="1" si="56"/>
        <v>169</v>
      </c>
      <c r="Z525" s="14">
        <v>1</v>
      </c>
      <c r="AA525" s="1" t="str">
        <f t="shared" ca="1" si="57"/>
        <v>VENCIDO</v>
      </c>
      <c r="AB525" s="1" t="str">
        <f t="shared" si="58"/>
        <v>C-14</v>
      </c>
      <c r="AC525" s="2" t="str">
        <f t="shared" si="62"/>
        <v xml:space="preserve"> RINALDO </v>
      </c>
      <c r="AD525" s="2">
        <f t="shared" si="59"/>
        <v>5</v>
      </c>
      <c r="AE525" s="2">
        <f t="shared" ca="1" si="60"/>
        <v>-201.9262716435187</v>
      </c>
      <c r="AF525" s="15"/>
    </row>
    <row r="526" spans="1:32" hidden="1">
      <c r="A526" s="1">
        <v>8741273</v>
      </c>
      <c r="B526" s="1" t="s">
        <v>62</v>
      </c>
      <c r="C526" t="s">
        <v>1086</v>
      </c>
      <c r="E526" s="2">
        <v>3924000202021</v>
      </c>
      <c r="F526" s="1" t="s">
        <v>103</v>
      </c>
      <c r="G526" s="1" t="s">
        <v>53</v>
      </c>
      <c r="H526" s="1" t="s">
        <v>153</v>
      </c>
      <c r="I526" s="1" t="s">
        <v>154</v>
      </c>
      <c r="J526" s="1" t="s">
        <v>56</v>
      </c>
      <c r="K526" t="s">
        <v>104</v>
      </c>
      <c r="M526" s="1" t="s">
        <v>58</v>
      </c>
      <c r="N526" s="1">
        <v>0</v>
      </c>
      <c r="O526" s="1" t="s">
        <v>36</v>
      </c>
      <c r="P526" s="186">
        <v>44753.486932870372</v>
      </c>
      <c r="R526" s="1" t="s">
        <v>38</v>
      </c>
      <c r="T526" s="1" t="s">
        <v>74</v>
      </c>
      <c r="U526" s="186">
        <v>44792.75</v>
      </c>
      <c r="V526" s="1" t="s">
        <v>41</v>
      </c>
      <c r="W526" s="1" t="s">
        <v>49</v>
      </c>
      <c r="X526" s="13" t="str">
        <f t="shared" si="61"/>
        <v/>
      </c>
      <c r="Y526" s="2">
        <f t="shared" ca="1" si="56"/>
        <v>168</v>
      </c>
      <c r="Z526" s="14">
        <v>1</v>
      </c>
      <c r="AA526" s="1" t="str">
        <f t="shared" ca="1" si="57"/>
        <v>VENCIDO</v>
      </c>
      <c r="AB526" s="1" t="str">
        <f t="shared" si="58"/>
        <v>Dosa</v>
      </c>
      <c r="AC526" s="2" t="str">
        <f t="shared" si="62"/>
        <v xml:space="preserve"> CRISTINA </v>
      </c>
      <c r="AD526" s="2">
        <f t="shared" si="59"/>
        <v>5</v>
      </c>
      <c r="AE526" s="2">
        <f t="shared" ca="1" si="60"/>
        <v>-193.9262716435187</v>
      </c>
      <c r="AF526" s="15"/>
    </row>
    <row r="527" spans="1:32" hidden="1">
      <c r="A527" s="1">
        <v>8741199</v>
      </c>
      <c r="B527" s="1" t="s">
        <v>1087</v>
      </c>
      <c r="C527" t="s">
        <v>1088</v>
      </c>
      <c r="E527" s="2">
        <v>244000206021</v>
      </c>
      <c r="F527" s="1" t="s">
        <v>103</v>
      </c>
      <c r="G527" s="1" t="s">
        <v>53</v>
      </c>
      <c r="H527" s="1" t="s">
        <v>313</v>
      </c>
      <c r="I527" s="1" t="s">
        <v>314</v>
      </c>
      <c r="J527" s="1" t="s">
        <v>56</v>
      </c>
      <c r="K527" t="s">
        <v>104</v>
      </c>
      <c r="M527" s="1" t="s">
        <v>58</v>
      </c>
      <c r="N527" s="1">
        <v>0</v>
      </c>
      <c r="O527" s="1" t="s">
        <v>105</v>
      </c>
      <c r="P527" s="186">
        <v>44753.480740740742</v>
      </c>
      <c r="R527" s="1" t="s">
        <v>38</v>
      </c>
      <c r="T527" s="1" t="s">
        <v>74</v>
      </c>
      <c r="U527" s="186">
        <v>44792.75</v>
      </c>
      <c r="V527" s="1" t="s">
        <v>41</v>
      </c>
      <c r="W527" s="1" t="s">
        <v>49</v>
      </c>
      <c r="X527" s="13" t="str">
        <f t="shared" si="61"/>
        <v/>
      </c>
      <c r="Y527" s="2">
        <f t="shared" ca="1" si="56"/>
        <v>168</v>
      </c>
      <c r="Z527" s="14">
        <v>1</v>
      </c>
      <c r="AA527" s="1" t="str">
        <f t="shared" ca="1" si="57"/>
        <v>VENCIDO</v>
      </c>
      <c r="AB527" s="1" t="str">
        <f t="shared" si="58"/>
        <v>Dosa</v>
      </c>
      <c r="AC527" s="2" t="str">
        <f t="shared" si="62"/>
        <v xml:space="preserve"> CRISTINA </v>
      </c>
      <c r="AD527" s="2">
        <f t="shared" si="59"/>
        <v>5</v>
      </c>
      <c r="AE527" s="2">
        <f t="shared" ca="1" si="60"/>
        <v>-193.9262716435187</v>
      </c>
      <c r="AF527" s="15"/>
    </row>
    <row r="528" spans="1:32" hidden="1">
      <c r="A528" s="1">
        <v>8756684</v>
      </c>
      <c r="B528" s="1" t="s">
        <v>62</v>
      </c>
      <c r="C528" t="s">
        <v>1089</v>
      </c>
      <c r="E528" s="2">
        <v>3258000203000</v>
      </c>
      <c r="F528" s="1" t="s">
        <v>454</v>
      </c>
      <c r="G528" s="1" t="s">
        <v>53</v>
      </c>
      <c r="H528" s="1" t="s">
        <v>321</v>
      </c>
      <c r="I528" s="1" t="s">
        <v>322</v>
      </c>
      <c r="J528" s="1" t="s">
        <v>46</v>
      </c>
      <c r="K528" t="s">
        <v>457</v>
      </c>
      <c r="M528" s="1" t="s">
        <v>58</v>
      </c>
      <c r="N528" s="1">
        <v>0</v>
      </c>
      <c r="O528" s="1" t="s">
        <v>36</v>
      </c>
      <c r="P528" s="186">
        <v>44760.389502314814</v>
      </c>
      <c r="R528" s="1">
        <v>1</v>
      </c>
      <c r="T528" s="1" t="s">
        <v>157</v>
      </c>
      <c r="U528" s="186">
        <v>44833.75</v>
      </c>
      <c r="V528" s="1" t="s">
        <v>41</v>
      </c>
      <c r="W528" s="1" t="s">
        <v>49</v>
      </c>
      <c r="X528" s="13" t="str">
        <f t="shared" si="61"/>
        <v/>
      </c>
      <c r="Y528" s="2">
        <f t="shared" ca="1" si="56"/>
        <v>163</v>
      </c>
      <c r="Z528" s="14">
        <v>1</v>
      </c>
      <c r="AA528" s="1" t="str">
        <f t="shared" ca="1" si="57"/>
        <v>VENCIDO</v>
      </c>
      <c r="AB528" s="1" t="str">
        <f t="shared" si="58"/>
        <v>C-14</v>
      </c>
      <c r="AC528" s="2" t="str">
        <f t="shared" si="62"/>
        <v xml:space="preserve"> CLEITON </v>
      </c>
      <c r="AD528" s="2">
        <f t="shared" si="59"/>
        <v>5</v>
      </c>
      <c r="AE528" s="2">
        <f t="shared" ca="1" si="60"/>
        <v>-152.9262716435187</v>
      </c>
      <c r="AF528" s="15"/>
    </row>
    <row r="529" spans="1:32" hidden="1">
      <c r="A529" s="1">
        <v>8773434</v>
      </c>
      <c r="B529" s="1" t="s">
        <v>62</v>
      </c>
      <c r="C529" t="s">
        <v>1092</v>
      </c>
      <c r="E529" s="2">
        <v>1049000203010</v>
      </c>
      <c r="F529" s="1" t="s">
        <v>152</v>
      </c>
      <c r="G529" s="1" t="s">
        <v>53</v>
      </c>
      <c r="H529" s="1" t="s">
        <v>169</v>
      </c>
      <c r="I529" s="1" t="s">
        <v>170</v>
      </c>
      <c r="J529" s="1" t="s">
        <v>164</v>
      </c>
      <c r="K529" t="s">
        <v>155</v>
      </c>
      <c r="M529" s="1" t="s">
        <v>35</v>
      </c>
      <c r="N529" s="1">
        <v>42318949</v>
      </c>
      <c r="O529" s="1" t="s">
        <v>36</v>
      </c>
      <c r="P529" s="186">
        <v>44767.715925925928</v>
      </c>
      <c r="R529" s="1">
        <v>1</v>
      </c>
      <c r="T529" s="1" t="s">
        <v>157</v>
      </c>
      <c r="U529" s="186">
        <v>44799.75</v>
      </c>
      <c r="V529" s="1" t="s">
        <v>41</v>
      </c>
      <c r="W529" s="1" t="s">
        <v>49</v>
      </c>
      <c r="X529" s="13" t="str">
        <f t="shared" si="61"/>
        <v/>
      </c>
      <c r="Y529" s="2">
        <f t="shared" ca="1" si="56"/>
        <v>158</v>
      </c>
      <c r="Z529" s="14">
        <v>1</v>
      </c>
      <c r="AA529" s="1" t="str">
        <f t="shared" ca="1" si="57"/>
        <v>VENCIDO</v>
      </c>
      <c r="AB529" s="1" t="str">
        <f t="shared" si="58"/>
        <v>TAAe+</v>
      </c>
      <c r="AC529" s="2" t="str">
        <f t="shared" si="62"/>
        <v xml:space="preserve"> ROSEMERE </v>
      </c>
      <c r="AD529" s="2">
        <f t="shared" si="59"/>
        <v>8</v>
      </c>
      <c r="AE529" s="2">
        <f t="shared" ca="1" si="60"/>
        <v>-186.9262716435187</v>
      </c>
      <c r="AF529" s="15"/>
    </row>
    <row r="530" spans="1:32" hidden="1">
      <c r="A530" s="1">
        <v>8792760</v>
      </c>
      <c r="B530" s="1" t="s">
        <v>62</v>
      </c>
      <c r="C530" t="s">
        <v>1095</v>
      </c>
      <c r="E530" s="2">
        <v>605000203000</v>
      </c>
      <c r="F530" s="1" t="s">
        <v>454</v>
      </c>
      <c r="G530" s="1" t="s">
        <v>53</v>
      </c>
      <c r="H530" s="1" t="s">
        <v>420</v>
      </c>
      <c r="I530" s="1" t="s">
        <v>421</v>
      </c>
      <c r="J530" s="1" t="s">
        <v>90</v>
      </c>
      <c r="K530" t="s">
        <v>457</v>
      </c>
      <c r="M530" s="1" t="s">
        <v>58</v>
      </c>
      <c r="N530" s="1">
        <v>0</v>
      </c>
      <c r="O530" s="1" t="s">
        <v>105</v>
      </c>
      <c r="P530" s="186">
        <v>44774.393900462965</v>
      </c>
      <c r="R530" s="1">
        <v>1</v>
      </c>
      <c r="T530" s="1" t="s">
        <v>157</v>
      </c>
      <c r="U530" s="186">
        <v>44806.75</v>
      </c>
      <c r="V530" s="1" t="s">
        <v>41</v>
      </c>
      <c r="W530" s="1" t="s">
        <v>49</v>
      </c>
      <c r="X530" s="13" t="str">
        <f t="shared" si="61"/>
        <v/>
      </c>
      <c r="Y530" s="2">
        <f t="shared" ca="1" si="56"/>
        <v>153</v>
      </c>
      <c r="Z530" s="14">
        <v>1</v>
      </c>
      <c r="AA530" s="1" t="str">
        <f t="shared" ca="1" si="57"/>
        <v>VENCIDO</v>
      </c>
      <c r="AB530" s="1" t="str">
        <f t="shared" si="58"/>
        <v>C-14</v>
      </c>
      <c r="AC530" s="2" t="str">
        <f t="shared" si="62"/>
        <v xml:space="preserve"> RINALDO </v>
      </c>
      <c r="AD530" s="2">
        <f t="shared" si="59"/>
        <v>5</v>
      </c>
      <c r="AE530" s="2">
        <f t="shared" ca="1" si="60"/>
        <v>-179.9262716435187</v>
      </c>
      <c r="AF530" s="15"/>
    </row>
    <row r="531" spans="1:32" hidden="1">
      <c r="A531" s="1">
        <v>8791670</v>
      </c>
      <c r="B531" s="1" t="s">
        <v>101</v>
      </c>
      <c r="C531" t="s">
        <v>643</v>
      </c>
      <c r="D531" s="2">
        <v>220127985</v>
      </c>
      <c r="E531" s="2">
        <v>2069001400030</v>
      </c>
      <c r="F531" s="1" t="s">
        <v>647</v>
      </c>
      <c r="G531" s="1" t="s">
        <v>53</v>
      </c>
      <c r="H531" s="1" t="s">
        <v>557</v>
      </c>
      <c r="I531" s="1" t="s">
        <v>558</v>
      </c>
      <c r="J531" s="1" t="s">
        <v>90</v>
      </c>
      <c r="K531" t="s">
        <v>650</v>
      </c>
      <c r="M531" s="1" t="s">
        <v>58</v>
      </c>
      <c r="N531" s="1">
        <v>0</v>
      </c>
      <c r="O531" s="1" t="s">
        <v>105</v>
      </c>
      <c r="P531" s="186">
        <v>44774.303842592592</v>
      </c>
      <c r="R531" s="1">
        <v>4</v>
      </c>
      <c r="T531" s="1" t="s">
        <v>646</v>
      </c>
      <c r="U531" s="186">
        <v>44775.303842592592</v>
      </c>
      <c r="V531" s="1" t="s">
        <v>41</v>
      </c>
      <c r="W531" s="1" t="s">
        <v>49</v>
      </c>
      <c r="X531" s="13" t="str">
        <f t="shared" si="61"/>
        <v/>
      </c>
      <c r="Y531" s="2">
        <f t="shared" ca="1" si="56"/>
        <v>153</v>
      </c>
      <c r="Z531" s="14">
        <v>1</v>
      </c>
      <c r="AA531" s="1" t="str">
        <f t="shared" ca="1" si="57"/>
        <v>VENCIDO</v>
      </c>
      <c r="AB531" s="1" t="str">
        <f t="shared" si="58"/>
        <v>C-14</v>
      </c>
      <c r="AC531" s="2" t="str">
        <f t="shared" si="62"/>
        <v xml:space="preserve"> RINALDO </v>
      </c>
      <c r="AD531" s="2">
        <f t="shared" si="59"/>
        <v>15</v>
      </c>
      <c r="AE531" s="2">
        <f t="shared" ca="1" si="60"/>
        <v>-211.37242905092717</v>
      </c>
      <c r="AF531" s="15"/>
    </row>
    <row r="532" spans="1:32" hidden="1">
      <c r="A532" s="1">
        <v>8790817</v>
      </c>
      <c r="B532" s="1" t="s">
        <v>101</v>
      </c>
      <c r="C532" t="s">
        <v>643</v>
      </c>
      <c r="D532" s="2">
        <v>220129376</v>
      </c>
      <c r="E532" s="2">
        <v>1059001400040</v>
      </c>
      <c r="F532" s="1" t="s">
        <v>644</v>
      </c>
      <c r="G532" s="1" t="s">
        <v>53</v>
      </c>
      <c r="H532" s="1" t="s">
        <v>88</v>
      </c>
      <c r="I532" s="1" t="s">
        <v>89</v>
      </c>
      <c r="J532" s="1" t="s">
        <v>90</v>
      </c>
      <c r="K532" t="s">
        <v>645</v>
      </c>
      <c r="M532" s="1" t="s">
        <v>58</v>
      </c>
      <c r="N532" s="1">
        <v>0</v>
      </c>
      <c r="O532" s="1" t="s">
        <v>105</v>
      </c>
      <c r="P532" s="186">
        <v>44774.250196759262</v>
      </c>
      <c r="R532" s="1">
        <v>2</v>
      </c>
      <c r="T532" s="1" t="s">
        <v>646</v>
      </c>
      <c r="U532" s="186">
        <v>44775.250208333331</v>
      </c>
      <c r="V532" s="1" t="s">
        <v>41</v>
      </c>
      <c r="W532" s="1" t="s">
        <v>49</v>
      </c>
      <c r="X532" s="13" t="str">
        <f t="shared" si="61"/>
        <v/>
      </c>
      <c r="Y532" s="2">
        <f t="shared" ca="1" si="56"/>
        <v>153</v>
      </c>
      <c r="Z532" s="14">
        <v>1</v>
      </c>
      <c r="AA532" s="1" t="str">
        <f t="shared" ca="1" si="57"/>
        <v>VENCIDO</v>
      </c>
      <c r="AB532" s="1" t="str">
        <f t="shared" si="58"/>
        <v>SL-On</v>
      </c>
      <c r="AC532" s="2" t="str">
        <f t="shared" si="62"/>
        <v xml:space="preserve"> RINALDO </v>
      </c>
      <c r="AD532" s="2">
        <f t="shared" si="59"/>
        <v>1</v>
      </c>
      <c r="AE532" s="2">
        <f t="shared" ca="1" si="60"/>
        <v>-211.4260633101876</v>
      </c>
      <c r="AF532" s="15"/>
    </row>
    <row r="533" spans="1:32" hidden="1">
      <c r="A533" s="1">
        <v>8790458</v>
      </c>
      <c r="B533" s="1" t="s">
        <v>101</v>
      </c>
      <c r="C533" t="s">
        <v>643</v>
      </c>
      <c r="D533" s="2">
        <v>220127616</v>
      </c>
      <c r="E533" s="2">
        <v>1059001400030</v>
      </c>
      <c r="F533" s="1" t="s">
        <v>647</v>
      </c>
      <c r="G533" s="1" t="s">
        <v>53</v>
      </c>
      <c r="H533" s="1" t="s">
        <v>88</v>
      </c>
      <c r="I533" s="1" t="s">
        <v>89</v>
      </c>
      <c r="J533" s="1" t="s">
        <v>90</v>
      </c>
      <c r="K533" t="s">
        <v>650</v>
      </c>
      <c r="M533" s="1" t="s">
        <v>58</v>
      </c>
      <c r="N533" s="1">
        <v>0</v>
      </c>
      <c r="O533" s="1" t="s">
        <v>105</v>
      </c>
      <c r="P533" s="186">
        <v>44774.226747685185</v>
      </c>
      <c r="R533" s="1">
        <v>4</v>
      </c>
      <c r="T533" s="1" t="s">
        <v>646</v>
      </c>
      <c r="U533" s="186">
        <v>44775.226747685185</v>
      </c>
      <c r="V533" s="1" t="s">
        <v>41</v>
      </c>
      <c r="W533" s="1" t="s">
        <v>49</v>
      </c>
      <c r="X533" s="13" t="str">
        <f t="shared" si="61"/>
        <v/>
      </c>
      <c r="Y533" s="2">
        <f t="shared" ca="1" si="56"/>
        <v>153</v>
      </c>
      <c r="Z533" s="14">
        <v>1</v>
      </c>
      <c r="AA533" s="1" t="str">
        <f t="shared" ca="1" si="57"/>
        <v>VENCIDO</v>
      </c>
      <c r="AB533" s="1" t="str">
        <f t="shared" si="58"/>
        <v>C-14</v>
      </c>
      <c r="AC533" s="2" t="str">
        <f t="shared" si="62"/>
        <v xml:space="preserve"> RINALDO </v>
      </c>
      <c r="AD533" s="2">
        <f t="shared" si="59"/>
        <v>15</v>
      </c>
      <c r="AE533" s="2">
        <f t="shared" ca="1" si="60"/>
        <v>-211.44952395833388</v>
      </c>
      <c r="AF533" s="15"/>
    </row>
    <row r="534" spans="1:32" hidden="1">
      <c r="A534" s="1">
        <v>8789842</v>
      </c>
      <c r="B534" s="1" t="s">
        <v>101</v>
      </c>
      <c r="C534" t="s">
        <v>643</v>
      </c>
      <c r="D534" s="2">
        <v>220125834</v>
      </c>
      <c r="E534" s="2">
        <v>2069001400010</v>
      </c>
      <c r="F534" s="1" t="s">
        <v>936</v>
      </c>
      <c r="G534" s="1" t="s">
        <v>53</v>
      </c>
      <c r="H534" s="1" t="s">
        <v>557</v>
      </c>
      <c r="I534" s="1" t="s">
        <v>558</v>
      </c>
      <c r="J534" s="1" t="s">
        <v>90</v>
      </c>
      <c r="K534" t="s">
        <v>937</v>
      </c>
      <c r="M534" s="1" t="s">
        <v>58</v>
      </c>
      <c r="N534" s="1">
        <v>0</v>
      </c>
      <c r="O534" s="1" t="s">
        <v>105</v>
      </c>
      <c r="P534" s="186">
        <v>44774.195625</v>
      </c>
      <c r="R534" s="1">
        <v>3</v>
      </c>
      <c r="T534" s="1" t="s">
        <v>646</v>
      </c>
      <c r="U534" s="186">
        <v>44775.195625</v>
      </c>
      <c r="V534" s="1" t="s">
        <v>41</v>
      </c>
      <c r="W534" s="1" t="s">
        <v>49</v>
      </c>
      <c r="X534" s="13" t="str">
        <f t="shared" si="61"/>
        <v/>
      </c>
      <c r="Y534" s="2">
        <f t="shared" ca="1" si="56"/>
        <v>153</v>
      </c>
      <c r="Z534" s="14">
        <v>1</v>
      </c>
      <c r="AA534" s="1" t="str">
        <f t="shared" ca="1" si="57"/>
        <v>VENCIDO</v>
      </c>
      <c r="AB534" s="1" t="str">
        <f t="shared" si="58"/>
        <v>C-14</v>
      </c>
      <c r="AC534" s="2" t="str">
        <f t="shared" si="62"/>
        <v xml:space="preserve"> RINALDO </v>
      </c>
      <c r="AD534" s="2">
        <f t="shared" si="59"/>
        <v>5</v>
      </c>
      <c r="AE534" s="2">
        <f t="shared" ca="1" si="60"/>
        <v>-211.48064664351841</v>
      </c>
      <c r="AF534" s="15"/>
    </row>
    <row r="535" spans="1:32" hidden="1">
      <c r="A535" s="1">
        <v>8789783</v>
      </c>
      <c r="B535" s="1" t="s">
        <v>101</v>
      </c>
      <c r="C535" t="s">
        <v>643</v>
      </c>
      <c r="D535" s="2">
        <v>220125480</v>
      </c>
      <c r="E535" s="2">
        <v>1059001400010</v>
      </c>
      <c r="F535" s="1" t="s">
        <v>936</v>
      </c>
      <c r="G535" s="1" t="s">
        <v>53</v>
      </c>
      <c r="H535" s="1" t="s">
        <v>88</v>
      </c>
      <c r="I535" s="1" t="s">
        <v>89</v>
      </c>
      <c r="J535" s="1" t="s">
        <v>90</v>
      </c>
      <c r="K535" t="s">
        <v>937</v>
      </c>
      <c r="M535" s="1" t="s">
        <v>58</v>
      </c>
      <c r="N535" s="1">
        <v>0</v>
      </c>
      <c r="O535" s="1" t="s">
        <v>105</v>
      </c>
      <c r="P535" s="186">
        <v>44774.190578703703</v>
      </c>
      <c r="R535" s="1">
        <v>3</v>
      </c>
      <c r="T535" s="1" t="s">
        <v>646</v>
      </c>
      <c r="U535" s="186">
        <v>44775.190578703703</v>
      </c>
      <c r="V535" s="1" t="s">
        <v>41</v>
      </c>
      <c r="W535" s="1" t="s">
        <v>49</v>
      </c>
      <c r="X535" s="13" t="str">
        <f t="shared" si="61"/>
        <v/>
      </c>
      <c r="Y535" s="2">
        <f t="shared" ca="1" si="56"/>
        <v>153</v>
      </c>
      <c r="Z535" s="14">
        <v>1</v>
      </c>
      <c r="AA535" s="1" t="str">
        <f t="shared" ca="1" si="57"/>
        <v>VENCIDO</v>
      </c>
      <c r="AB535" s="1" t="str">
        <f t="shared" si="58"/>
        <v>C-14</v>
      </c>
      <c r="AC535" s="2" t="str">
        <f t="shared" si="62"/>
        <v xml:space="preserve"> RINALDO </v>
      </c>
      <c r="AD535" s="2">
        <f t="shared" si="59"/>
        <v>5</v>
      </c>
      <c r="AE535" s="2">
        <f t="shared" ca="1" si="60"/>
        <v>-211.48569293981564</v>
      </c>
      <c r="AF535" s="15"/>
    </row>
    <row r="536" spans="1:32" hidden="1">
      <c r="A536" s="1">
        <v>8789228</v>
      </c>
      <c r="B536" s="1" t="s">
        <v>101</v>
      </c>
      <c r="C536" t="s">
        <v>643</v>
      </c>
      <c r="D536" s="2">
        <v>220129740</v>
      </c>
      <c r="E536" s="2">
        <v>2107001400040</v>
      </c>
      <c r="F536" s="1" t="s">
        <v>644</v>
      </c>
      <c r="G536" s="1" t="s">
        <v>53</v>
      </c>
      <c r="H536" s="1" t="s">
        <v>262</v>
      </c>
      <c r="I536" s="1" t="s">
        <v>263</v>
      </c>
      <c r="J536" s="1" t="s">
        <v>164</v>
      </c>
      <c r="K536" t="s">
        <v>645</v>
      </c>
      <c r="M536" s="1" t="s">
        <v>58</v>
      </c>
      <c r="N536" s="1">
        <v>0</v>
      </c>
      <c r="O536" s="1" t="s">
        <v>36</v>
      </c>
      <c r="P536" s="186">
        <v>44774.150763888887</v>
      </c>
      <c r="R536" s="1">
        <v>3</v>
      </c>
      <c r="T536" s="1" t="s">
        <v>646</v>
      </c>
      <c r="U536" s="186">
        <v>44775.150775462964</v>
      </c>
      <c r="V536" s="1" t="s">
        <v>41</v>
      </c>
      <c r="W536" s="1" t="s">
        <v>49</v>
      </c>
      <c r="X536" s="13" t="str">
        <f t="shared" si="61"/>
        <v/>
      </c>
      <c r="Y536" s="2">
        <f t="shared" ca="1" si="56"/>
        <v>153</v>
      </c>
      <c r="Z536" s="14">
        <v>1</v>
      </c>
      <c r="AA536" s="1" t="str">
        <f t="shared" ca="1" si="57"/>
        <v>VENCIDO</v>
      </c>
      <c r="AB536" s="1" t="str">
        <f t="shared" si="58"/>
        <v>SL-On</v>
      </c>
      <c r="AC536" s="2" t="str">
        <f t="shared" si="62"/>
        <v xml:space="preserve"> ROSEMERE </v>
      </c>
      <c r="AD536" s="2">
        <f t="shared" si="59"/>
        <v>1</v>
      </c>
      <c r="AE536" s="2">
        <f t="shared" ca="1" si="60"/>
        <v>-211.52549618055491</v>
      </c>
      <c r="AF536" s="15"/>
    </row>
    <row r="537" spans="1:32" hidden="1">
      <c r="A537" s="1">
        <v>8789210</v>
      </c>
      <c r="B537" s="1" t="s">
        <v>101</v>
      </c>
      <c r="C537" t="s">
        <v>643</v>
      </c>
      <c r="D537" s="2">
        <v>220129727</v>
      </c>
      <c r="E537" s="2">
        <v>2069001400040</v>
      </c>
      <c r="F537" s="1" t="s">
        <v>644</v>
      </c>
      <c r="G537" s="1" t="s">
        <v>53</v>
      </c>
      <c r="H537" s="1" t="s">
        <v>557</v>
      </c>
      <c r="I537" s="1" t="s">
        <v>558</v>
      </c>
      <c r="J537" s="1" t="s">
        <v>90</v>
      </c>
      <c r="K537" t="s">
        <v>645</v>
      </c>
      <c r="M537" s="1" t="s">
        <v>58</v>
      </c>
      <c r="N537" s="1">
        <v>0</v>
      </c>
      <c r="O537" s="1" t="s">
        <v>105</v>
      </c>
      <c r="P537" s="186">
        <v>44774.150150462963</v>
      </c>
      <c r="R537" s="1">
        <v>2</v>
      </c>
      <c r="T537" s="1" t="s">
        <v>646</v>
      </c>
      <c r="U537" s="186">
        <v>44775.150150462963</v>
      </c>
      <c r="V537" s="1" t="s">
        <v>41</v>
      </c>
      <c r="W537" s="1" t="s">
        <v>49</v>
      </c>
      <c r="X537" s="13" t="str">
        <f t="shared" si="61"/>
        <v/>
      </c>
      <c r="Y537" s="2">
        <f t="shared" ca="1" si="56"/>
        <v>153</v>
      </c>
      <c r="Z537" s="14">
        <v>1</v>
      </c>
      <c r="AA537" s="1" t="str">
        <f t="shared" ca="1" si="57"/>
        <v>VENCIDO</v>
      </c>
      <c r="AB537" s="1" t="str">
        <f t="shared" si="58"/>
        <v>SL-On</v>
      </c>
      <c r="AC537" s="2" t="str">
        <f t="shared" si="62"/>
        <v xml:space="preserve"> RINALDO </v>
      </c>
      <c r="AD537" s="2">
        <f t="shared" si="59"/>
        <v>1</v>
      </c>
      <c r="AE537" s="2">
        <f t="shared" ca="1" si="60"/>
        <v>-211.52612118055549</v>
      </c>
      <c r="AF537" s="15"/>
    </row>
    <row r="538" spans="1:32" hidden="1">
      <c r="A538" s="1">
        <v>8788278</v>
      </c>
      <c r="B538" s="1" t="s">
        <v>101</v>
      </c>
      <c r="C538" t="s">
        <v>643</v>
      </c>
      <c r="D538" s="2">
        <v>220127916</v>
      </c>
      <c r="E538" s="2">
        <v>1764001400030</v>
      </c>
      <c r="F538" s="1" t="s">
        <v>647</v>
      </c>
      <c r="G538" s="1" t="s">
        <v>53</v>
      </c>
      <c r="H538" s="1" t="s">
        <v>722</v>
      </c>
      <c r="I538" s="1" t="s">
        <v>723</v>
      </c>
      <c r="J538" s="1" t="s">
        <v>90</v>
      </c>
      <c r="K538" t="s">
        <v>650</v>
      </c>
      <c r="M538" s="1" t="s">
        <v>58</v>
      </c>
      <c r="N538" s="1">
        <v>0</v>
      </c>
      <c r="O538" s="1" t="s">
        <v>105</v>
      </c>
      <c r="P538" s="186">
        <v>44774.09547453704</v>
      </c>
      <c r="R538" s="1">
        <v>4</v>
      </c>
      <c r="T538" s="1" t="s">
        <v>646</v>
      </c>
      <c r="U538" s="186">
        <v>44775.09547453704</v>
      </c>
      <c r="V538" s="1" t="s">
        <v>41</v>
      </c>
      <c r="W538" s="1" t="s">
        <v>49</v>
      </c>
      <c r="X538" s="13" t="str">
        <f t="shared" si="61"/>
        <v/>
      </c>
      <c r="Y538" s="2">
        <f t="shared" ca="1" si="56"/>
        <v>153</v>
      </c>
      <c r="Z538" s="14">
        <v>1</v>
      </c>
      <c r="AA538" s="1" t="str">
        <f t="shared" ca="1" si="57"/>
        <v>VENCIDO</v>
      </c>
      <c r="AB538" s="1" t="str">
        <f t="shared" si="58"/>
        <v>C-14</v>
      </c>
      <c r="AC538" s="2" t="str">
        <f t="shared" si="62"/>
        <v xml:space="preserve"> RINALDO </v>
      </c>
      <c r="AD538" s="2">
        <f t="shared" si="59"/>
        <v>15</v>
      </c>
      <c r="AE538" s="2">
        <f t="shared" ca="1" si="60"/>
        <v>-211.58079710647871</v>
      </c>
      <c r="AF538" s="15"/>
    </row>
    <row r="539" spans="1:32" hidden="1">
      <c r="A539" s="1">
        <v>8802595</v>
      </c>
      <c r="B539" s="1" t="s">
        <v>62</v>
      </c>
      <c r="C539" t="s">
        <v>1114</v>
      </c>
      <c r="E539" s="2">
        <v>3918000206001</v>
      </c>
      <c r="F539" s="1" t="s">
        <v>29</v>
      </c>
      <c r="G539" s="1" t="s">
        <v>53</v>
      </c>
      <c r="H539" s="1" t="s">
        <v>858</v>
      </c>
      <c r="I539" s="1" t="s">
        <v>859</v>
      </c>
      <c r="J539" s="1" t="s">
        <v>33</v>
      </c>
      <c r="K539" t="s">
        <v>34</v>
      </c>
      <c r="M539" s="1" t="s">
        <v>35</v>
      </c>
      <c r="N539" s="1">
        <v>42318949</v>
      </c>
      <c r="O539" s="1" t="s">
        <v>36</v>
      </c>
      <c r="P539" s="186">
        <v>44777.52611111111</v>
      </c>
      <c r="R539" s="1" t="s">
        <v>38</v>
      </c>
      <c r="T539" s="1" t="s">
        <v>74</v>
      </c>
      <c r="U539" s="186">
        <v>44819.75</v>
      </c>
      <c r="V539" s="1" t="s">
        <v>41</v>
      </c>
      <c r="W539" s="1" t="s">
        <v>49</v>
      </c>
      <c r="X539" s="13" t="str">
        <f t="shared" si="61"/>
        <v/>
      </c>
      <c r="Y539" s="2">
        <f t="shared" ca="1" si="56"/>
        <v>150</v>
      </c>
      <c r="Z539" s="14">
        <v>1</v>
      </c>
      <c r="AA539" s="1" t="str">
        <f t="shared" ca="1" si="57"/>
        <v>VENCIDO</v>
      </c>
      <c r="AB539" s="1" t="str">
        <f t="shared" si="58"/>
        <v>Dosa</v>
      </c>
      <c r="AC539" s="2" t="str">
        <f t="shared" si="62"/>
        <v xml:space="preserve"> ROSEMERE </v>
      </c>
      <c r="AD539" s="2">
        <f t="shared" si="59"/>
        <v>5</v>
      </c>
      <c r="AE539" s="2">
        <f t="shared" ca="1" si="60"/>
        <v>-166.9262716435187</v>
      </c>
      <c r="AF539" s="15"/>
    </row>
    <row r="540" spans="1:32" hidden="1">
      <c r="A540" s="1">
        <v>8802516</v>
      </c>
      <c r="B540" s="1" t="s">
        <v>62</v>
      </c>
      <c r="C540" t="s">
        <v>1114</v>
      </c>
      <c r="E540" s="2">
        <v>2737000206001</v>
      </c>
      <c r="F540" s="1" t="s">
        <v>29</v>
      </c>
      <c r="G540" s="1" t="s">
        <v>53</v>
      </c>
      <c r="H540" s="1" t="s">
        <v>311</v>
      </c>
      <c r="I540" s="1" t="s">
        <v>312</v>
      </c>
      <c r="J540" s="1" t="s">
        <v>90</v>
      </c>
      <c r="K540" t="s">
        <v>34</v>
      </c>
      <c r="M540" s="1" t="s">
        <v>35</v>
      </c>
      <c r="N540" s="1">
        <v>42318949</v>
      </c>
      <c r="O540" s="1" t="s">
        <v>105</v>
      </c>
      <c r="P540" s="186">
        <v>44777.526006944441</v>
      </c>
      <c r="R540" s="1" t="s">
        <v>38</v>
      </c>
      <c r="T540" s="1" t="s">
        <v>74</v>
      </c>
      <c r="U540" s="186">
        <v>44819.75</v>
      </c>
      <c r="V540" s="1" t="s">
        <v>41</v>
      </c>
      <c r="W540" s="1" t="s">
        <v>49</v>
      </c>
      <c r="X540" s="13" t="str">
        <f t="shared" si="61"/>
        <v/>
      </c>
      <c r="Y540" s="2">
        <f t="shared" ca="1" si="56"/>
        <v>150</v>
      </c>
      <c r="Z540" s="14">
        <v>1</v>
      </c>
      <c r="AA540" s="1" t="str">
        <f t="shared" ca="1" si="57"/>
        <v>VENCIDO</v>
      </c>
      <c r="AB540" s="1" t="str">
        <f t="shared" si="58"/>
        <v>Dosa</v>
      </c>
      <c r="AC540" s="2" t="str">
        <f t="shared" si="62"/>
        <v xml:space="preserve"> RINALDO </v>
      </c>
      <c r="AD540" s="2">
        <f t="shared" si="59"/>
        <v>5</v>
      </c>
      <c r="AE540" s="2">
        <f t="shared" ca="1" si="60"/>
        <v>-166.9262716435187</v>
      </c>
      <c r="AF540" s="15"/>
    </row>
    <row r="541" spans="1:32" hidden="1">
      <c r="A541" s="1">
        <v>8802513</v>
      </c>
      <c r="B541" s="1" t="s">
        <v>62</v>
      </c>
      <c r="C541" t="s">
        <v>1114</v>
      </c>
      <c r="E541" s="2">
        <v>2693000206001</v>
      </c>
      <c r="F541" s="1" t="s">
        <v>29</v>
      </c>
      <c r="G541" s="1" t="s">
        <v>53</v>
      </c>
      <c r="H541" s="1" t="s">
        <v>253</v>
      </c>
      <c r="I541" s="1" t="s">
        <v>254</v>
      </c>
      <c r="J541" s="1" t="s">
        <v>56</v>
      </c>
      <c r="K541" t="s">
        <v>34</v>
      </c>
      <c r="M541" s="1" t="s">
        <v>35</v>
      </c>
      <c r="N541" s="1">
        <v>42318949</v>
      </c>
      <c r="O541" s="1" t="s">
        <v>105</v>
      </c>
      <c r="P541" s="186">
        <v>44777.526006944441</v>
      </c>
      <c r="R541" s="1" t="s">
        <v>38</v>
      </c>
      <c r="T541" s="1" t="s">
        <v>74</v>
      </c>
      <c r="U541" s="186">
        <v>44819.75</v>
      </c>
      <c r="V541" s="1" t="s">
        <v>41</v>
      </c>
      <c r="W541" s="1" t="s">
        <v>49</v>
      </c>
      <c r="X541" s="13" t="str">
        <f t="shared" si="61"/>
        <v/>
      </c>
      <c r="Y541" s="2">
        <f t="shared" ca="1" si="56"/>
        <v>150</v>
      </c>
      <c r="Z541" s="14">
        <v>1</v>
      </c>
      <c r="AA541" s="1" t="str">
        <f t="shared" ca="1" si="57"/>
        <v>VENCIDO</v>
      </c>
      <c r="AB541" s="1" t="str">
        <f t="shared" si="58"/>
        <v>Dosa</v>
      </c>
      <c r="AC541" s="2" t="str">
        <f t="shared" si="62"/>
        <v xml:space="preserve"> CRISTINA </v>
      </c>
      <c r="AD541" s="2">
        <f t="shared" si="59"/>
        <v>5</v>
      </c>
      <c r="AE541" s="2">
        <f t="shared" ca="1" si="60"/>
        <v>-166.9262716435187</v>
      </c>
      <c r="AF541" s="15"/>
    </row>
    <row r="542" spans="1:32" hidden="1">
      <c r="A542" s="1">
        <v>8802505</v>
      </c>
      <c r="B542" s="1" t="s">
        <v>62</v>
      </c>
      <c r="C542" t="s">
        <v>1114</v>
      </c>
      <c r="E542" s="2">
        <v>2590000206001</v>
      </c>
      <c r="F542" s="1" t="s">
        <v>29</v>
      </c>
      <c r="G542" s="1" t="s">
        <v>53</v>
      </c>
      <c r="H542" s="1" t="s">
        <v>394</v>
      </c>
      <c r="I542" s="1" t="s">
        <v>395</v>
      </c>
      <c r="J542" s="1" t="s">
        <v>148</v>
      </c>
      <c r="K542" t="s">
        <v>34</v>
      </c>
      <c r="M542" s="1" t="s">
        <v>35</v>
      </c>
      <c r="N542" s="1">
        <v>42318949</v>
      </c>
      <c r="O542" s="1" t="s">
        <v>105</v>
      </c>
      <c r="P542" s="186">
        <v>44777.525995370372</v>
      </c>
      <c r="R542" s="1" t="s">
        <v>38</v>
      </c>
      <c r="T542" s="1" t="s">
        <v>74</v>
      </c>
      <c r="U542" s="186">
        <v>44819.75</v>
      </c>
      <c r="V542" s="1" t="s">
        <v>41</v>
      </c>
      <c r="W542" s="1" t="s">
        <v>49</v>
      </c>
      <c r="X542" s="13" t="str">
        <f t="shared" si="61"/>
        <v/>
      </c>
      <c r="Y542" s="2">
        <f t="shared" ca="1" si="56"/>
        <v>150</v>
      </c>
      <c r="Z542" s="14">
        <v>1</v>
      </c>
      <c r="AA542" s="1" t="str">
        <f t="shared" ca="1" si="57"/>
        <v>VENCIDO</v>
      </c>
      <c r="AB542" s="1" t="str">
        <f t="shared" si="58"/>
        <v>Dosa</v>
      </c>
      <c r="AC542" s="2" t="str">
        <f t="shared" si="62"/>
        <v xml:space="preserve"> RINALDO </v>
      </c>
      <c r="AD542" s="2">
        <f t="shared" si="59"/>
        <v>5</v>
      </c>
      <c r="AE542" s="2">
        <f t="shared" ca="1" si="60"/>
        <v>-166.9262716435187</v>
      </c>
      <c r="AF542" s="15"/>
    </row>
    <row r="543" spans="1:32" hidden="1">
      <c r="A543" s="1">
        <v>8802477</v>
      </c>
      <c r="B543" s="1" t="s">
        <v>62</v>
      </c>
      <c r="C543" t="s">
        <v>1114</v>
      </c>
      <c r="E543" s="2">
        <v>2229000206001</v>
      </c>
      <c r="F543" s="1" t="s">
        <v>29</v>
      </c>
      <c r="G543" s="1" t="s">
        <v>53</v>
      </c>
      <c r="H543" s="1" t="s">
        <v>339</v>
      </c>
      <c r="I543" s="1" t="s">
        <v>340</v>
      </c>
      <c r="J543" s="1" t="s">
        <v>211</v>
      </c>
      <c r="K543" t="s">
        <v>34</v>
      </c>
      <c r="M543" s="1" t="s">
        <v>35</v>
      </c>
      <c r="N543" s="1">
        <v>42318949</v>
      </c>
      <c r="O543" s="1" t="s">
        <v>105</v>
      </c>
      <c r="P543" s="186">
        <v>44777.525960648149</v>
      </c>
      <c r="R543" s="1" t="s">
        <v>38</v>
      </c>
      <c r="T543" s="1" t="s">
        <v>74</v>
      </c>
      <c r="U543" s="186">
        <v>44819.75</v>
      </c>
      <c r="V543" s="1" t="s">
        <v>41</v>
      </c>
      <c r="W543" s="1" t="s">
        <v>49</v>
      </c>
      <c r="X543" s="13" t="str">
        <f t="shared" si="61"/>
        <v/>
      </c>
      <c r="Y543" s="2">
        <f t="shared" ca="1" si="56"/>
        <v>150</v>
      </c>
      <c r="Z543" s="14">
        <v>1</v>
      </c>
      <c r="AA543" s="1" t="str">
        <f t="shared" ca="1" si="57"/>
        <v>VENCIDO</v>
      </c>
      <c r="AB543" s="1" t="str">
        <f t="shared" si="58"/>
        <v>Dosa</v>
      </c>
      <c r="AC543" s="2" t="str">
        <f t="shared" si="62"/>
        <v xml:space="preserve"> RINALDO </v>
      </c>
      <c r="AD543" s="2">
        <f t="shared" si="59"/>
        <v>5</v>
      </c>
      <c r="AE543" s="2">
        <f t="shared" ca="1" si="60"/>
        <v>-166.9262716435187</v>
      </c>
      <c r="AF543" s="15"/>
    </row>
    <row r="544" spans="1:32" hidden="1">
      <c r="A544" s="1">
        <v>8802445</v>
      </c>
      <c r="B544" s="1" t="s">
        <v>62</v>
      </c>
      <c r="C544" t="s">
        <v>1114</v>
      </c>
      <c r="E544" s="2">
        <v>1761000206001</v>
      </c>
      <c r="F544" s="1" t="s">
        <v>29</v>
      </c>
      <c r="G544" s="1" t="s">
        <v>53</v>
      </c>
      <c r="H544" s="1" t="s">
        <v>375</v>
      </c>
      <c r="I544" s="1" t="s">
        <v>376</v>
      </c>
      <c r="J544" s="1" t="s">
        <v>56</v>
      </c>
      <c r="K544" t="s">
        <v>34</v>
      </c>
      <c r="M544" s="1" t="s">
        <v>35</v>
      </c>
      <c r="N544" s="1">
        <v>42318949</v>
      </c>
      <c r="O544" s="1" t="s">
        <v>105</v>
      </c>
      <c r="P544" s="186">
        <v>44777.525914351849</v>
      </c>
      <c r="R544" s="1" t="s">
        <v>38</v>
      </c>
      <c r="T544" s="1" t="s">
        <v>74</v>
      </c>
      <c r="U544" s="186">
        <v>44819.75</v>
      </c>
      <c r="V544" s="1" t="s">
        <v>41</v>
      </c>
      <c r="W544" s="1" t="s">
        <v>49</v>
      </c>
      <c r="X544" s="13" t="str">
        <f t="shared" si="61"/>
        <v/>
      </c>
      <c r="Y544" s="2">
        <f t="shared" ca="1" si="56"/>
        <v>150</v>
      </c>
      <c r="Z544" s="14">
        <v>1</v>
      </c>
      <c r="AA544" s="1" t="str">
        <f t="shared" ca="1" si="57"/>
        <v>VENCIDO</v>
      </c>
      <c r="AB544" s="1" t="str">
        <f t="shared" si="58"/>
        <v>Dosa</v>
      </c>
      <c r="AC544" s="2" t="str">
        <f t="shared" si="62"/>
        <v xml:space="preserve"> CRISTINA </v>
      </c>
      <c r="AD544" s="2">
        <f t="shared" si="59"/>
        <v>5</v>
      </c>
      <c r="AE544" s="2">
        <f t="shared" ca="1" si="60"/>
        <v>-166.9262716435187</v>
      </c>
      <c r="AF544" s="15"/>
    </row>
    <row r="545" spans="1:32" hidden="1">
      <c r="A545" s="1">
        <v>8802382</v>
      </c>
      <c r="B545" s="1" t="s">
        <v>62</v>
      </c>
      <c r="C545" t="s">
        <v>1114</v>
      </c>
      <c r="E545" s="2">
        <v>1028000206001</v>
      </c>
      <c r="F545" s="1" t="s">
        <v>29</v>
      </c>
      <c r="G545" s="1" t="s">
        <v>53</v>
      </c>
      <c r="H545" s="1" t="s">
        <v>1079</v>
      </c>
      <c r="I545" s="1" t="s">
        <v>1080</v>
      </c>
      <c r="J545" s="1" t="s">
        <v>85</v>
      </c>
      <c r="K545" t="s">
        <v>34</v>
      </c>
      <c r="M545" s="1" t="s">
        <v>35</v>
      </c>
      <c r="N545" s="1">
        <v>42318949</v>
      </c>
      <c r="O545" s="1" t="s">
        <v>105</v>
      </c>
      <c r="P545" s="186">
        <v>44777.525810185187</v>
      </c>
      <c r="R545" s="1" t="s">
        <v>38</v>
      </c>
      <c r="T545" s="1" t="s">
        <v>74</v>
      </c>
      <c r="U545" s="186">
        <v>44819.75</v>
      </c>
      <c r="V545" s="1" t="s">
        <v>41</v>
      </c>
      <c r="W545" s="1" t="s">
        <v>49</v>
      </c>
      <c r="X545" s="13" t="str">
        <f t="shared" si="61"/>
        <v/>
      </c>
      <c r="Y545" s="2">
        <f t="shared" ca="1" si="56"/>
        <v>150</v>
      </c>
      <c r="Z545" s="14">
        <v>1</v>
      </c>
      <c r="AA545" s="1" t="str">
        <f t="shared" ca="1" si="57"/>
        <v>VENCIDO</v>
      </c>
      <c r="AB545" s="1" t="str">
        <f t="shared" si="58"/>
        <v>Dosa</v>
      </c>
      <c r="AC545" s="2" t="str">
        <f t="shared" si="62"/>
        <v xml:space="preserve"> RINALDO </v>
      </c>
      <c r="AD545" s="2">
        <f t="shared" si="59"/>
        <v>5</v>
      </c>
      <c r="AE545" s="2">
        <f t="shared" ca="1" si="60"/>
        <v>-166.9262716435187</v>
      </c>
      <c r="AF545" s="15"/>
    </row>
    <row r="546" spans="1:32" hidden="1">
      <c r="A546" s="1">
        <v>8802376</v>
      </c>
      <c r="B546" s="1" t="s">
        <v>62</v>
      </c>
      <c r="C546" t="s">
        <v>1114</v>
      </c>
      <c r="E546" s="2">
        <v>981000206001</v>
      </c>
      <c r="F546" s="1" t="s">
        <v>29</v>
      </c>
      <c r="G546" s="1" t="s">
        <v>53</v>
      </c>
      <c r="H546" s="1" t="s">
        <v>410</v>
      </c>
      <c r="I546" s="1" t="s">
        <v>411</v>
      </c>
      <c r="J546" s="1" t="s">
        <v>85</v>
      </c>
      <c r="K546" t="s">
        <v>34</v>
      </c>
      <c r="M546" s="1" t="s">
        <v>35</v>
      </c>
      <c r="N546" s="1">
        <v>42318949</v>
      </c>
      <c r="O546" s="1" t="s">
        <v>36</v>
      </c>
      <c r="P546" s="186">
        <v>44777.525810185187</v>
      </c>
      <c r="R546" s="1" t="s">
        <v>38</v>
      </c>
      <c r="T546" s="1" t="s">
        <v>74</v>
      </c>
      <c r="U546" s="186">
        <v>44819.75</v>
      </c>
      <c r="V546" s="1" t="s">
        <v>41</v>
      </c>
      <c r="W546" s="1" t="s">
        <v>49</v>
      </c>
      <c r="X546" s="13" t="str">
        <f t="shared" si="61"/>
        <v/>
      </c>
      <c r="Y546" s="2">
        <f t="shared" ca="1" si="56"/>
        <v>150</v>
      </c>
      <c r="Z546" s="14">
        <v>1</v>
      </c>
      <c r="AA546" s="1" t="str">
        <f t="shared" ca="1" si="57"/>
        <v>VENCIDO</v>
      </c>
      <c r="AB546" s="1" t="str">
        <f t="shared" si="58"/>
        <v>Dosa</v>
      </c>
      <c r="AC546" s="2" t="str">
        <f t="shared" si="62"/>
        <v xml:space="preserve"> RINALDO </v>
      </c>
      <c r="AD546" s="2">
        <f t="shared" si="59"/>
        <v>5</v>
      </c>
      <c r="AE546" s="2">
        <f t="shared" ca="1" si="60"/>
        <v>-166.9262716435187</v>
      </c>
      <c r="AF546" s="15"/>
    </row>
    <row r="547" spans="1:32" hidden="1">
      <c r="A547" s="1">
        <v>8802339</v>
      </c>
      <c r="B547" s="1" t="s">
        <v>62</v>
      </c>
      <c r="C547" t="s">
        <v>1114</v>
      </c>
      <c r="E547" s="2">
        <v>608000206001</v>
      </c>
      <c r="F547" s="1" t="s">
        <v>29</v>
      </c>
      <c r="G547" s="1" t="s">
        <v>53</v>
      </c>
      <c r="H547" s="1" t="s">
        <v>438</v>
      </c>
      <c r="I547" s="1" t="s">
        <v>439</v>
      </c>
      <c r="J547" s="1" t="s">
        <v>148</v>
      </c>
      <c r="K547" t="s">
        <v>34</v>
      </c>
      <c r="M547" s="1" t="s">
        <v>35</v>
      </c>
      <c r="N547" s="1">
        <v>42318949</v>
      </c>
      <c r="O547" s="1" t="s">
        <v>105</v>
      </c>
      <c r="P547" s="186">
        <v>44777.525763888887</v>
      </c>
      <c r="R547" s="1" t="s">
        <v>38</v>
      </c>
      <c r="T547" s="1" t="s">
        <v>74</v>
      </c>
      <c r="U547" s="186">
        <v>44819.75</v>
      </c>
      <c r="V547" s="1" t="s">
        <v>41</v>
      </c>
      <c r="W547" s="1" t="s">
        <v>49</v>
      </c>
      <c r="X547" s="13" t="str">
        <f t="shared" si="61"/>
        <v/>
      </c>
      <c r="Y547" s="2">
        <f t="shared" ca="1" si="56"/>
        <v>150</v>
      </c>
      <c r="Z547" s="14">
        <v>1</v>
      </c>
      <c r="AA547" s="1" t="str">
        <f t="shared" ca="1" si="57"/>
        <v>VENCIDO</v>
      </c>
      <c r="AB547" s="1" t="str">
        <f t="shared" si="58"/>
        <v>Dosa</v>
      </c>
      <c r="AC547" s="2" t="str">
        <f t="shared" si="62"/>
        <v xml:space="preserve"> RINALDO </v>
      </c>
      <c r="AD547" s="2">
        <f t="shared" si="59"/>
        <v>5</v>
      </c>
      <c r="AE547" s="2">
        <f t="shared" ca="1" si="60"/>
        <v>-166.9262716435187</v>
      </c>
      <c r="AF547" s="15"/>
    </row>
    <row r="548" spans="1:32" hidden="1">
      <c r="A548" s="1">
        <v>8802198</v>
      </c>
      <c r="B548" s="1" t="s">
        <v>62</v>
      </c>
      <c r="C548" t="s">
        <v>1114</v>
      </c>
      <c r="E548" s="2">
        <v>721000206001</v>
      </c>
      <c r="F548" s="1" t="s">
        <v>29</v>
      </c>
      <c r="G548" s="1" t="s">
        <v>53</v>
      </c>
      <c r="H548" s="1" t="s">
        <v>422</v>
      </c>
      <c r="I548" s="1" t="s">
        <v>423</v>
      </c>
      <c r="J548" s="1" t="s">
        <v>79</v>
      </c>
      <c r="K548" t="s">
        <v>34</v>
      </c>
      <c r="M548" s="1" t="s">
        <v>35</v>
      </c>
      <c r="N548" s="1">
        <v>42318949</v>
      </c>
      <c r="O548" s="1" t="s">
        <v>36</v>
      </c>
      <c r="P548" s="186">
        <v>44777.525543981479</v>
      </c>
      <c r="R548" s="1" t="s">
        <v>38</v>
      </c>
      <c r="T548" s="1" t="s">
        <v>74</v>
      </c>
      <c r="U548" s="186">
        <v>44819.75</v>
      </c>
      <c r="V548" s="1" t="s">
        <v>41</v>
      </c>
      <c r="W548" s="1" t="s">
        <v>49</v>
      </c>
      <c r="X548" s="13" t="str">
        <f t="shared" si="61"/>
        <v/>
      </c>
      <c r="Y548" s="2">
        <f t="shared" ca="1" si="56"/>
        <v>150</v>
      </c>
      <c r="Z548" s="14">
        <v>1</v>
      </c>
      <c r="AA548" s="1" t="str">
        <f t="shared" ca="1" si="57"/>
        <v>VENCIDO</v>
      </c>
      <c r="AB548" s="1" t="str">
        <f t="shared" si="58"/>
        <v>Dosa</v>
      </c>
      <c r="AC548" s="2" t="str">
        <f t="shared" si="62"/>
        <v xml:space="preserve"> ROSEMERE </v>
      </c>
      <c r="AD548" s="2">
        <f t="shared" si="59"/>
        <v>5</v>
      </c>
      <c r="AE548" s="2">
        <f t="shared" ca="1" si="60"/>
        <v>-166.9262716435187</v>
      </c>
      <c r="AF548" s="15"/>
    </row>
    <row r="549" spans="1:32" hidden="1">
      <c r="A549" s="1">
        <v>8802177</v>
      </c>
      <c r="B549" s="1" t="s">
        <v>62</v>
      </c>
      <c r="C549" t="s">
        <v>1114</v>
      </c>
      <c r="E549" s="2">
        <v>1754000206001</v>
      </c>
      <c r="F549" s="1" t="s">
        <v>29</v>
      </c>
      <c r="G549" s="1" t="s">
        <v>53</v>
      </c>
      <c r="H549" s="1" t="s">
        <v>146</v>
      </c>
      <c r="I549" s="1" t="s">
        <v>147</v>
      </c>
      <c r="J549" s="1" t="s">
        <v>148</v>
      </c>
      <c r="K549" t="s">
        <v>34</v>
      </c>
      <c r="M549" s="1" t="s">
        <v>35</v>
      </c>
      <c r="N549" s="1">
        <v>42318949</v>
      </c>
      <c r="O549" s="1" t="s">
        <v>105</v>
      </c>
      <c r="P549" s="186">
        <v>44777.525509259256</v>
      </c>
      <c r="R549" s="1" t="s">
        <v>38</v>
      </c>
      <c r="T549" s="1" t="s">
        <v>74</v>
      </c>
      <c r="U549" s="186">
        <v>44819.75</v>
      </c>
      <c r="V549" s="1" t="s">
        <v>41</v>
      </c>
      <c r="W549" s="1" t="s">
        <v>49</v>
      </c>
      <c r="X549" s="13" t="str">
        <f t="shared" si="61"/>
        <v/>
      </c>
      <c r="Y549" s="2">
        <f t="shared" ca="1" si="56"/>
        <v>150</v>
      </c>
      <c r="Z549" s="14">
        <v>1</v>
      </c>
      <c r="AA549" s="1" t="str">
        <f t="shared" ca="1" si="57"/>
        <v>VENCIDO</v>
      </c>
      <c r="AB549" s="1" t="str">
        <f t="shared" si="58"/>
        <v>Dosa</v>
      </c>
      <c r="AC549" s="2" t="str">
        <f t="shared" si="62"/>
        <v xml:space="preserve"> RINALDO </v>
      </c>
      <c r="AD549" s="2">
        <f t="shared" si="59"/>
        <v>5</v>
      </c>
      <c r="AE549" s="2">
        <f t="shared" ca="1" si="60"/>
        <v>-166.9262716435187</v>
      </c>
      <c r="AF549" s="15"/>
    </row>
    <row r="550" spans="1:32" hidden="1">
      <c r="A550" s="1">
        <v>8818302</v>
      </c>
      <c r="B550" s="1" t="s">
        <v>101</v>
      </c>
      <c r="C550" t="s">
        <v>1125</v>
      </c>
      <c r="E550" s="2">
        <v>4637000206001</v>
      </c>
      <c r="F550" s="1" t="s">
        <v>29</v>
      </c>
      <c r="G550" s="1" t="s">
        <v>53</v>
      </c>
      <c r="H550" s="1" t="s">
        <v>848</v>
      </c>
      <c r="I550" s="1" t="s">
        <v>849</v>
      </c>
      <c r="J550" s="1" t="s">
        <v>79</v>
      </c>
      <c r="K550" t="s">
        <v>34</v>
      </c>
      <c r="M550" s="1" t="s">
        <v>35</v>
      </c>
      <c r="N550" s="1">
        <v>42318949</v>
      </c>
      <c r="O550" s="1" t="s">
        <v>105</v>
      </c>
      <c r="P550" s="11" t="s">
        <v>1126</v>
      </c>
      <c r="R550" s="1" t="s">
        <v>38</v>
      </c>
      <c r="T550" s="1" t="s">
        <v>74</v>
      </c>
      <c r="U550" s="186">
        <v>44782.75</v>
      </c>
      <c r="V550" s="1" t="s">
        <v>41</v>
      </c>
      <c r="W550" s="1" t="s">
        <v>49</v>
      </c>
      <c r="X550" s="13" t="str">
        <f t="shared" si="61"/>
        <v/>
      </c>
      <c r="Y550" s="2">
        <f t="shared" ca="1" si="56"/>
        <v>148</v>
      </c>
      <c r="Z550" s="14">
        <v>1</v>
      </c>
      <c r="AA550" s="1" t="str">
        <f t="shared" ca="1" si="57"/>
        <v>VENCIDO</v>
      </c>
      <c r="AB550" s="1" t="str">
        <f t="shared" si="58"/>
        <v>Dosa</v>
      </c>
      <c r="AC550" s="2" t="str">
        <f t="shared" si="62"/>
        <v xml:space="preserve"> ROSEMERE </v>
      </c>
      <c r="AD550" s="2">
        <f t="shared" si="59"/>
        <v>5</v>
      </c>
      <c r="AE550" s="2">
        <f t="shared" ca="1" si="60"/>
        <v>-203.9262716435187</v>
      </c>
      <c r="AF550" s="15"/>
    </row>
    <row r="551" spans="1:32" hidden="1">
      <c r="A551" s="1">
        <v>8816066</v>
      </c>
      <c r="B551" s="1" t="s">
        <v>101</v>
      </c>
      <c r="C551" t="s">
        <v>1125</v>
      </c>
      <c r="E551" s="2">
        <v>1732000206001</v>
      </c>
      <c r="F551" s="1" t="s">
        <v>29</v>
      </c>
      <c r="G551" s="1" t="s">
        <v>53</v>
      </c>
      <c r="H551" s="1" t="s">
        <v>177</v>
      </c>
      <c r="I551" s="1" t="s">
        <v>178</v>
      </c>
      <c r="J551" s="1" t="s">
        <v>164</v>
      </c>
      <c r="K551" t="s">
        <v>34</v>
      </c>
      <c r="M551" s="1" t="s">
        <v>35</v>
      </c>
      <c r="N551" s="1">
        <v>42318949</v>
      </c>
      <c r="O551" s="1" t="s">
        <v>105</v>
      </c>
      <c r="P551" s="11" t="s">
        <v>1128</v>
      </c>
      <c r="R551" s="1" t="s">
        <v>38</v>
      </c>
      <c r="T551" s="1" t="s">
        <v>74</v>
      </c>
      <c r="U551" s="186">
        <v>44782.75</v>
      </c>
      <c r="V551" s="1" t="s">
        <v>41</v>
      </c>
      <c r="W551" s="1" t="s">
        <v>49</v>
      </c>
      <c r="X551" s="13" t="str">
        <f t="shared" si="61"/>
        <v/>
      </c>
      <c r="Y551" s="2">
        <f t="shared" ca="1" si="56"/>
        <v>148</v>
      </c>
      <c r="Z551" s="14">
        <v>1</v>
      </c>
      <c r="AA551" s="1" t="str">
        <f t="shared" ca="1" si="57"/>
        <v>VENCIDO</v>
      </c>
      <c r="AB551" s="1" t="str">
        <f t="shared" si="58"/>
        <v>Dosa</v>
      </c>
      <c r="AC551" s="2" t="str">
        <f t="shared" si="62"/>
        <v xml:space="preserve"> ROSEMERE </v>
      </c>
      <c r="AD551" s="2">
        <f t="shared" si="59"/>
        <v>5</v>
      </c>
      <c r="AE551" s="2">
        <f t="shared" ca="1" si="60"/>
        <v>-203.9262716435187</v>
      </c>
      <c r="AF551" s="15"/>
    </row>
    <row r="552" spans="1:32" hidden="1">
      <c r="A552" s="1">
        <v>8815493</v>
      </c>
      <c r="B552" s="1" t="s">
        <v>101</v>
      </c>
      <c r="C552" t="s">
        <v>1125</v>
      </c>
      <c r="E552" s="2">
        <v>1120000206001</v>
      </c>
      <c r="F552" s="1" t="s">
        <v>29</v>
      </c>
      <c r="G552" s="1" t="s">
        <v>53</v>
      </c>
      <c r="H552" s="1" t="s">
        <v>181</v>
      </c>
      <c r="I552" s="1" t="s">
        <v>182</v>
      </c>
      <c r="J552" s="1" t="s">
        <v>164</v>
      </c>
      <c r="K552" t="s">
        <v>34</v>
      </c>
      <c r="M552" s="1" t="s">
        <v>35</v>
      </c>
      <c r="N552" s="1">
        <v>42318949</v>
      </c>
      <c r="O552" s="1" t="s">
        <v>36</v>
      </c>
      <c r="P552" s="11" t="s">
        <v>1129</v>
      </c>
      <c r="R552" s="1" t="s">
        <v>38</v>
      </c>
      <c r="T552" s="1" t="s">
        <v>74</v>
      </c>
      <c r="U552" s="11" t="s">
        <v>1127</v>
      </c>
      <c r="V552" s="1" t="s">
        <v>41</v>
      </c>
      <c r="W552" s="1" t="s">
        <v>49</v>
      </c>
      <c r="X552" s="13" t="str">
        <f t="shared" si="61"/>
        <v/>
      </c>
      <c r="Y552" s="2">
        <f t="shared" ca="1" si="56"/>
        <v>148</v>
      </c>
      <c r="Z552" s="14">
        <v>1</v>
      </c>
      <c r="AA552" s="1" t="str">
        <f t="shared" ca="1" si="57"/>
        <v>VENCIDO</v>
      </c>
      <c r="AB552" s="1" t="str">
        <f t="shared" si="58"/>
        <v>Dosa</v>
      </c>
      <c r="AC552" s="2" t="str">
        <f t="shared" si="62"/>
        <v xml:space="preserve"> ROSEMERE </v>
      </c>
      <c r="AD552" s="2">
        <f t="shared" si="59"/>
        <v>5</v>
      </c>
      <c r="AE552" s="2">
        <f t="shared" ca="1" si="60"/>
        <v>-203.9262716435187</v>
      </c>
      <c r="AF552" s="15"/>
    </row>
    <row r="553" spans="1:32" hidden="1">
      <c r="A553" s="1">
        <v>8815426</v>
      </c>
      <c r="B553" s="1" t="s">
        <v>101</v>
      </c>
      <c r="C553" t="s">
        <v>1125</v>
      </c>
      <c r="E553" s="2">
        <v>1049000206001</v>
      </c>
      <c r="F553" s="1" t="s">
        <v>29</v>
      </c>
      <c r="G553" s="1" t="s">
        <v>53</v>
      </c>
      <c r="H553" s="1" t="s">
        <v>169</v>
      </c>
      <c r="I553" s="1" t="s">
        <v>170</v>
      </c>
      <c r="J553" s="1" t="s">
        <v>164</v>
      </c>
      <c r="K553" t="s">
        <v>34</v>
      </c>
      <c r="M553" s="1" t="s">
        <v>35</v>
      </c>
      <c r="N553" s="1">
        <v>42318949</v>
      </c>
      <c r="O553" s="1" t="s">
        <v>105</v>
      </c>
      <c r="P553" s="11" t="s">
        <v>3973</v>
      </c>
      <c r="R553" s="1" t="s">
        <v>38</v>
      </c>
      <c r="T553" s="1" t="s">
        <v>74</v>
      </c>
      <c r="U553" s="11" t="s">
        <v>1127</v>
      </c>
      <c r="V553" s="1" t="s">
        <v>41</v>
      </c>
      <c r="W553" s="1" t="s">
        <v>49</v>
      </c>
      <c r="X553" s="13" t="str">
        <f t="shared" si="61"/>
        <v/>
      </c>
      <c r="Y553" s="2">
        <f t="shared" ca="1" si="56"/>
        <v>148</v>
      </c>
      <c r="Z553" s="14">
        <v>1</v>
      </c>
      <c r="AA553" s="1" t="str">
        <f t="shared" ca="1" si="57"/>
        <v>VENCIDO</v>
      </c>
      <c r="AB553" s="1" t="str">
        <f t="shared" si="58"/>
        <v>Dosa</v>
      </c>
      <c r="AC553" s="2" t="str">
        <f t="shared" si="62"/>
        <v xml:space="preserve"> ROSEMERE </v>
      </c>
      <c r="AD553" s="2">
        <f t="shared" si="59"/>
        <v>5</v>
      </c>
      <c r="AE553" s="2">
        <f t="shared" ca="1" si="60"/>
        <v>-203.9262716435187</v>
      </c>
      <c r="AF553" s="15"/>
    </row>
    <row r="554" spans="1:32" hidden="1">
      <c r="A554" s="1">
        <v>8815270</v>
      </c>
      <c r="B554" s="1" t="s">
        <v>101</v>
      </c>
      <c r="C554" t="s">
        <v>1125</v>
      </c>
      <c r="E554" s="2">
        <v>899000206001</v>
      </c>
      <c r="F554" s="1" t="s">
        <v>29</v>
      </c>
      <c r="G554" s="1" t="s">
        <v>53</v>
      </c>
      <c r="H554" s="1" t="s">
        <v>175</v>
      </c>
      <c r="I554" s="1" t="s">
        <v>176</v>
      </c>
      <c r="J554" s="1" t="s">
        <v>90</v>
      </c>
      <c r="K554" t="s">
        <v>34</v>
      </c>
      <c r="M554" s="1" t="s">
        <v>35</v>
      </c>
      <c r="N554" s="1">
        <v>42318949</v>
      </c>
      <c r="O554" s="1" t="s">
        <v>36</v>
      </c>
      <c r="P554" s="11" t="s">
        <v>1130</v>
      </c>
      <c r="R554" s="1" t="s">
        <v>38</v>
      </c>
      <c r="T554" s="1" t="s">
        <v>74</v>
      </c>
      <c r="U554" s="186">
        <v>44782.75</v>
      </c>
      <c r="V554" s="1" t="s">
        <v>41</v>
      </c>
      <c r="W554" s="1" t="s">
        <v>49</v>
      </c>
      <c r="X554" s="13" t="str">
        <f t="shared" si="61"/>
        <v/>
      </c>
      <c r="Y554" s="2">
        <f t="shared" ca="1" si="56"/>
        <v>148</v>
      </c>
      <c r="Z554" s="14">
        <v>1</v>
      </c>
      <c r="AA554" s="1" t="str">
        <f t="shared" ca="1" si="57"/>
        <v>VENCIDO</v>
      </c>
      <c r="AB554" s="1" t="str">
        <f t="shared" si="58"/>
        <v>Dosa</v>
      </c>
      <c r="AC554" s="2" t="str">
        <f t="shared" si="62"/>
        <v xml:space="preserve"> RINALDO </v>
      </c>
      <c r="AD554" s="2">
        <f t="shared" si="59"/>
        <v>5</v>
      </c>
      <c r="AE554" s="2">
        <f t="shared" ca="1" si="60"/>
        <v>-203.9262716435187</v>
      </c>
      <c r="AF554" s="15"/>
    </row>
    <row r="555" spans="1:32" hidden="1">
      <c r="A555" s="1">
        <v>8814941</v>
      </c>
      <c r="B555" s="1" t="s">
        <v>101</v>
      </c>
      <c r="C555" t="s">
        <v>1125</v>
      </c>
      <c r="E555" s="2">
        <v>594000206001</v>
      </c>
      <c r="F555" s="1" t="s">
        <v>29</v>
      </c>
      <c r="G555" s="1" t="s">
        <v>53</v>
      </c>
      <c r="H555" s="1" t="s">
        <v>444</v>
      </c>
      <c r="I555" s="1" t="s">
        <v>445</v>
      </c>
      <c r="J555" s="1" t="s">
        <v>33</v>
      </c>
      <c r="K555" t="s">
        <v>34</v>
      </c>
      <c r="M555" s="1" t="s">
        <v>35</v>
      </c>
      <c r="N555" s="1">
        <v>42318949</v>
      </c>
      <c r="O555" s="1" t="s">
        <v>36</v>
      </c>
      <c r="P555" s="11" t="s">
        <v>1131</v>
      </c>
      <c r="R555" s="1" t="s">
        <v>38</v>
      </c>
      <c r="T555" s="1" t="s">
        <v>74</v>
      </c>
      <c r="U555" s="186">
        <v>44782.75</v>
      </c>
      <c r="V555" s="1" t="s">
        <v>41</v>
      </c>
      <c r="W555" s="1" t="s">
        <v>42</v>
      </c>
      <c r="X555" s="13" t="str">
        <f t="shared" si="61"/>
        <v/>
      </c>
      <c r="Y555" s="2">
        <f t="shared" ca="1" si="56"/>
        <v>148</v>
      </c>
      <c r="Z555" s="14">
        <v>1</v>
      </c>
      <c r="AA555" s="1" t="str">
        <f t="shared" ca="1" si="57"/>
        <v>VENCIDO</v>
      </c>
      <c r="AB555" s="1" t="str">
        <f t="shared" si="58"/>
        <v>Dosa</v>
      </c>
      <c r="AC555" s="2" t="str">
        <f t="shared" si="62"/>
        <v xml:space="preserve"> ROSEMERE </v>
      </c>
      <c r="AD555" s="2">
        <f t="shared" si="59"/>
        <v>5</v>
      </c>
      <c r="AE555" s="2">
        <f t="shared" ca="1" si="60"/>
        <v>-203.9262716435187</v>
      </c>
      <c r="AF555" s="15"/>
    </row>
    <row r="556" spans="1:32" hidden="1">
      <c r="A556" s="1">
        <v>8814916</v>
      </c>
      <c r="B556" s="1" t="s">
        <v>101</v>
      </c>
      <c r="C556" t="s">
        <v>1125</v>
      </c>
      <c r="E556" s="2">
        <v>570000206001</v>
      </c>
      <c r="F556" s="1" t="s">
        <v>29</v>
      </c>
      <c r="G556" s="1" t="s">
        <v>53</v>
      </c>
      <c r="H556" s="1" t="s">
        <v>434</v>
      </c>
      <c r="I556" s="1" t="s">
        <v>435</v>
      </c>
      <c r="J556" s="1" t="s">
        <v>148</v>
      </c>
      <c r="K556" t="s">
        <v>34</v>
      </c>
      <c r="M556" s="1" t="s">
        <v>35</v>
      </c>
      <c r="N556" s="1">
        <v>42318949</v>
      </c>
      <c r="O556" s="1" t="s">
        <v>36</v>
      </c>
      <c r="P556" s="11" t="s">
        <v>1132</v>
      </c>
      <c r="R556" s="1" t="s">
        <v>38</v>
      </c>
      <c r="T556" s="1" t="s">
        <v>74</v>
      </c>
      <c r="U556" s="186">
        <v>44782.75</v>
      </c>
      <c r="V556" s="1" t="s">
        <v>41</v>
      </c>
      <c r="W556" s="1" t="s">
        <v>49</v>
      </c>
      <c r="X556" s="13" t="str">
        <f t="shared" si="61"/>
        <v/>
      </c>
      <c r="Y556" s="2">
        <f t="shared" ca="1" si="56"/>
        <v>148</v>
      </c>
      <c r="Z556" s="14">
        <v>1</v>
      </c>
      <c r="AA556" s="1" t="str">
        <f t="shared" ca="1" si="57"/>
        <v>VENCIDO</v>
      </c>
      <c r="AB556" s="1" t="str">
        <f t="shared" si="58"/>
        <v>Dosa</v>
      </c>
      <c r="AC556" s="2" t="str">
        <f t="shared" si="62"/>
        <v xml:space="preserve"> RINALDO </v>
      </c>
      <c r="AD556" s="2">
        <f t="shared" si="59"/>
        <v>5</v>
      </c>
      <c r="AE556" s="2">
        <f t="shared" ca="1" si="60"/>
        <v>-203.9262716435187</v>
      </c>
      <c r="AF556" s="15"/>
    </row>
    <row r="557" spans="1:32" hidden="1">
      <c r="A557" s="1">
        <v>8814895</v>
      </c>
      <c r="B557" s="1" t="s">
        <v>101</v>
      </c>
      <c r="C557" t="s">
        <v>1125</v>
      </c>
      <c r="E557" s="2">
        <v>550000206001</v>
      </c>
      <c r="F557" s="1" t="s">
        <v>29</v>
      </c>
      <c r="G557" s="1" t="s">
        <v>53</v>
      </c>
      <c r="H557" s="1" t="s">
        <v>337</v>
      </c>
      <c r="I557" s="1" t="s">
        <v>338</v>
      </c>
      <c r="J557" s="1" t="s">
        <v>164</v>
      </c>
      <c r="K557" t="s">
        <v>34</v>
      </c>
      <c r="M557" s="1" t="s">
        <v>35</v>
      </c>
      <c r="N557" s="1">
        <v>42318949</v>
      </c>
      <c r="O557" s="1" t="s">
        <v>105</v>
      </c>
      <c r="P557" s="11" t="s">
        <v>1133</v>
      </c>
      <c r="R557" s="1" t="s">
        <v>38</v>
      </c>
      <c r="T557" s="1" t="s">
        <v>74</v>
      </c>
      <c r="U557" s="186">
        <v>44782.75</v>
      </c>
      <c r="V557" s="1" t="s">
        <v>41</v>
      </c>
      <c r="W557" s="1" t="s">
        <v>49</v>
      </c>
      <c r="X557" s="13" t="str">
        <f t="shared" si="61"/>
        <v/>
      </c>
      <c r="Y557" s="2">
        <f t="shared" ca="1" si="56"/>
        <v>148</v>
      </c>
      <c r="Z557" s="14">
        <v>1</v>
      </c>
      <c r="AA557" s="1" t="str">
        <f t="shared" ca="1" si="57"/>
        <v>VENCIDO</v>
      </c>
      <c r="AB557" s="1" t="str">
        <f t="shared" si="58"/>
        <v>Dosa</v>
      </c>
      <c r="AC557" s="2" t="str">
        <f t="shared" si="62"/>
        <v xml:space="preserve"> ROSEMERE </v>
      </c>
      <c r="AD557" s="2">
        <f t="shared" si="59"/>
        <v>5</v>
      </c>
      <c r="AE557" s="2">
        <f t="shared" ca="1" si="60"/>
        <v>-203.9262716435187</v>
      </c>
      <c r="AF557" s="15"/>
    </row>
    <row r="558" spans="1:32" hidden="1">
      <c r="A558" s="1">
        <v>8812542</v>
      </c>
      <c r="B558" s="1" t="s">
        <v>101</v>
      </c>
      <c r="C558" t="s">
        <v>1134</v>
      </c>
      <c r="E558" s="2">
        <v>9704000206001</v>
      </c>
      <c r="F558" s="1" t="s">
        <v>29</v>
      </c>
      <c r="G558" s="1" t="s">
        <v>53</v>
      </c>
      <c r="H558" s="1" t="s">
        <v>488</v>
      </c>
      <c r="I558" s="1" t="s">
        <v>489</v>
      </c>
      <c r="J558" s="1" t="s">
        <v>164</v>
      </c>
      <c r="K558" t="s">
        <v>34</v>
      </c>
      <c r="M558" s="1" t="s">
        <v>35</v>
      </c>
      <c r="N558" s="1">
        <v>42318949</v>
      </c>
      <c r="O558" s="1" t="s">
        <v>105</v>
      </c>
      <c r="P558" s="11" t="s">
        <v>1135</v>
      </c>
      <c r="R558" s="1" t="s">
        <v>38</v>
      </c>
      <c r="T558" s="1" t="s">
        <v>74</v>
      </c>
      <c r="U558" s="186">
        <v>44781.75</v>
      </c>
      <c r="V558" s="1" t="s">
        <v>41</v>
      </c>
      <c r="W558" s="1" t="s">
        <v>49</v>
      </c>
      <c r="X558" s="13" t="str">
        <f t="shared" si="61"/>
        <v/>
      </c>
      <c r="Y558" s="2">
        <f t="shared" ca="1" si="56"/>
        <v>148</v>
      </c>
      <c r="Z558" s="14">
        <v>1</v>
      </c>
      <c r="AA558" s="1" t="str">
        <f t="shared" ca="1" si="57"/>
        <v>VENCIDO</v>
      </c>
      <c r="AB558" s="1" t="str">
        <f t="shared" si="58"/>
        <v>Dosa</v>
      </c>
      <c r="AC558" s="2" t="str">
        <f t="shared" si="62"/>
        <v xml:space="preserve"> ROSEMERE </v>
      </c>
      <c r="AD558" s="2">
        <f t="shared" si="59"/>
        <v>5</v>
      </c>
      <c r="AE558" s="2">
        <f t="shared" ca="1" si="60"/>
        <v>-204.9262716435187</v>
      </c>
      <c r="AF558" s="15"/>
    </row>
    <row r="559" spans="1:32" hidden="1">
      <c r="A559" s="1">
        <v>8812541</v>
      </c>
      <c r="B559" s="1" t="s">
        <v>101</v>
      </c>
      <c r="C559" t="s">
        <v>1134</v>
      </c>
      <c r="E559" s="2">
        <v>9704000206001</v>
      </c>
      <c r="F559" s="1" t="s">
        <v>29</v>
      </c>
      <c r="G559" s="1" t="s">
        <v>53</v>
      </c>
      <c r="H559" s="1" t="s">
        <v>488</v>
      </c>
      <c r="I559" s="1" t="s">
        <v>489</v>
      </c>
      <c r="J559" s="1" t="s">
        <v>164</v>
      </c>
      <c r="K559" t="s">
        <v>34</v>
      </c>
      <c r="M559" s="1" t="s">
        <v>35</v>
      </c>
      <c r="N559" s="1">
        <v>42318949</v>
      </c>
      <c r="O559" s="1" t="s">
        <v>105</v>
      </c>
      <c r="P559" s="11" t="s">
        <v>1135</v>
      </c>
      <c r="R559" s="1" t="s">
        <v>38</v>
      </c>
      <c r="T559" s="1" t="s">
        <v>74</v>
      </c>
      <c r="U559" s="186">
        <v>44781.75</v>
      </c>
      <c r="V559" s="1" t="s">
        <v>41</v>
      </c>
      <c r="W559" s="1" t="s">
        <v>49</v>
      </c>
      <c r="X559" s="13" t="str">
        <f t="shared" si="61"/>
        <v/>
      </c>
      <c r="Y559" s="2">
        <f t="shared" ca="1" si="56"/>
        <v>148</v>
      </c>
      <c r="Z559" s="14">
        <v>1</v>
      </c>
      <c r="AA559" s="1" t="str">
        <f t="shared" ca="1" si="57"/>
        <v>VENCIDO</v>
      </c>
      <c r="AB559" s="1" t="str">
        <f t="shared" si="58"/>
        <v>Dosa</v>
      </c>
      <c r="AC559" s="2" t="str">
        <f t="shared" si="62"/>
        <v xml:space="preserve"> ROSEMERE </v>
      </c>
      <c r="AD559" s="2">
        <f t="shared" si="59"/>
        <v>5</v>
      </c>
      <c r="AE559" s="2">
        <f t="shared" ca="1" si="60"/>
        <v>-204.9262716435187</v>
      </c>
      <c r="AF559" s="15"/>
    </row>
    <row r="560" spans="1:32" hidden="1">
      <c r="A560" s="1">
        <v>8812540</v>
      </c>
      <c r="B560" s="1" t="s">
        <v>101</v>
      </c>
      <c r="C560" t="s">
        <v>1134</v>
      </c>
      <c r="E560" s="2">
        <v>9704000206001</v>
      </c>
      <c r="F560" s="1" t="s">
        <v>29</v>
      </c>
      <c r="G560" s="1" t="s">
        <v>53</v>
      </c>
      <c r="H560" s="1" t="s">
        <v>488</v>
      </c>
      <c r="I560" s="1" t="s">
        <v>489</v>
      </c>
      <c r="J560" s="1" t="s">
        <v>164</v>
      </c>
      <c r="K560" t="s">
        <v>34</v>
      </c>
      <c r="M560" s="1" t="s">
        <v>35</v>
      </c>
      <c r="N560" s="1">
        <v>42318949</v>
      </c>
      <c r="O560" s="1" t="s">
        <v>105</v>
      </c>
      <c r="P560" s="11" t="s">
        <v>1135</v>
      </c>
      <c r="R560" s="1" t="s">
        <v>38</v>
      </c>
      <c r="T560" s="1" t="s">
        <v>74</v>
      </c>
      <c r="U560" s="186">
        <v>44781.75</v>
      </c>
      <c r="V560" s="1" t="s">
        <v>41</v>
      </c>
      <c r="W560" s="1" t="s">
        <v>49</v>
      </c>
      <c r="X560" s="13" t="str">
        <f t="shared" si="61"/>
        <v/>
      </c>
      <c r="Y560" s="2">
        <f t="shared" ca="1" si="56"/>
        <v>148</v>
      </c>
      <c r="Z560" s="14">
        <v>1</v>
      </c>
      <c r="AA560" s="1" t="str">
        <f t="shared" ca="1" si="57"/>
        <v>VENCIDO</v>
      </c>
      <c r="AB560" s="1" t="str">
        <f t="shared" si="58"/>
        <v>Dosa</v>
      </c>
      <c r="AC560" s="2" t="str">
        <f t="shared" si="62"/>
        <v xml:space="preserve"> ROSEMERE </v>
      </c>
      <c r="AD560" s="2">
        <f t="shared" si="59"/>
        <v>5</v>
      </c>
      <c r="AE560" s="2">
        <f t="shared" ca="1" si="60"/>
        <v>-204.9262716435187</v>
      </c>
      <c r="AF560" s="15"/>
    </row>
    <row r="561" spans="1:32" hidden="1">
      <c r="A561" s="1">
        <v>8812539</v>
      </c>
      <c r="B561" s="1" t="s">
        <v>101</v>
      </c>
      <c r="C561" t="s">
        <v>1134</v>
      </c>
      <c r="E561" s="2">
        <v>9704000206001</v>
      </c>
      <c r="F561" s="1" t="s">
        <v>29</v>
      </c>
      <c r="G561" s="1" t="s">
        <v>53</v>
      </c>
      <c r="H561" s="1" t="s">
        <v>488</v>
      </c>
      <c r="I561" s="1" t="s">
        <v>489</v>
      </c>
      <c r="J561" s="1" t="s">
        <v>164</v>
      </c>
      <c r="K561" t="s">
        <v>34</v>
      </c>
      <c r="M561" s="1" t="s">
        <v>35</v>
      </c>
      <c r="N561" s="1">
        <v>42318949</v>
      </c>
      <c r="O561" s="1" t="s">
        <v>105</v>
      </c>
      <c r="P561" s="11" t="s">
        <v>1135</v>
      </c>
      <c r="R561" s="1" t="s">
        <v>38</v>
      </c>
      <c r="T561" s="1" t="s">
        <v>74</v>
      </c>
      <c r="U561" s="11" t="s">
        <v>1136</v>
      </c>
      <c r="V561" s="1" t="s">
        <v>41</v>
      </c>
      <c r="W561" s="1" t="s">
        <v>49</v>
      </c>
      <c r="X561" s="13" t="str">
        <f t="shared" si="61"/>
        <v/>
      </c>
      <c r="Y561" s="2">
        <f t="shared" ca="1" si="56"/>
        <v>148</v>
      </c>
      <c r="Z561" s="14">
        <v>1</v>
      </c>
      <c r="AA561" s="1" t="str">
        <f t="shared" ca="1" si="57"/>
        <v>VENCIDO</v>
      </c>
      <c r="AB561" s="1" t="str">
        <f t="shared" si="58"/>
        <v>Dosa</v>
      </c>
      <c r="AC561" s="2" t="str">
        <f t="shared" si="62"/>
        <v xml:space="preserve"> ROSEMERE </v>
      </c>
      <c r="AD561" s="2">
        <f t="shared" si="59"/>
        <v>5</v>
      </c>
      <c r="AE561" s="2">
        <f t="shared" ca="1" si="60"/>
        <v>-204.9262716435187</v>
      </c>
      <c r="AF561" s="15"/>
    </row>
    <row r="562" spans="1:32" hidden="1">
      <c r="A562" s="1">
        <v>8812535</v>
      </c>
      <c r="B562" s="1" t="s">
        <v>101</v>
      </c>
      <c r="C562" t="s">
        <v>1134</v>
      </c>
      <c r="E562" s="2">
        <v>9700000206001</v>
      </c>
      <c r="F562" s="1" t="s">
        <v>29</v>
      </c>
      <c r="G562" s="1" t="s">
        <v>53</v>
      </c>
      <c r="H562" s="1" t="s">
        <v>209</v>
      </c>
      <c r="I562" s="1" t="s">
        <v>210</v>
      </c>
      <c r="J562" s="1" t="s">
        <v>211</v>
      </c>
      <c r="K562" t="s">
        <v>34</v>
      </c>
      <c r="M562" s="1" t="s">
        <v>35</v>
      </c>
      <c r="N562" s="1">
        <v>42318949</v>
      </c>
      <c r="O562" s="1" t="s">
        <v>105</v>
      </c>
      <c r="P562" s="11" t="s">
        <v>1137</v>
      </c>
      <c r="R562" s="1" t="s">
        <v>38</v>
      </c>
      <c r="T562" s="1" t="s">
        <v>74</v>
      </c>
      <c r="U562" s="11" t="s">
        <v>1136</v>
      </c>
      <c r="V562" s="1" t="s">
        <v>41</v>
      </c>
      <c r="W562" s="1" t="s">
        <v>49</v>
      </c>
      <c r="X562" s="13" t="str">
        <f t="shared" si="61"/>
        <v/>
      </c>
      <c r="Y562" s="2">
        <f t="shared" ca="1" si="56"/>
        <v>148</v>
      </c>
      <c r="Z562" s="14">
        <v>1</v>
      </c>
      <c r="AA562" s="1" t="str">
        <f t="shared" ca="1" si="57"/>
        <v>VENCIDO</v>
      </c>
      <c r="AB562" s="1" t="str">
        <f t="shared" si="58"/>
        <v>Dosa</v>
      </c>
      <c r="AC562" s="2" t="str">
        <f t="shared" si="62"/>
        <v xml:space="preserve"> RINALDO </v>
      </c>
      <c r="AD562" s="2">
        <f t="shared" si="59"/>
        <v>5</v>
      </c>
      <c r="AE562" s="2">
        <f t="shared" ca="1" si="60"/>
        <v>-204.9262716435187</v>
      </c>
      <c r="AF562" s="15"/>
    </row>
    <row r="563" spans="1:32" hidden="1">
      <c r="A563" s="1">
        <v>8812533</v>
      </c>
      <c r="B563" s="1" t="s">
        <v>101</v>
      </c>
      <c r="C563" t="s">
        <v>1134</v>
      </c>
      <c r="E563" s="2">
        <v>9700000206001</v>
      </c>
      <c r="F563" s="1" t="s">
        <v>29</v>
      </c>
      <c r="G563" s="1" t="s">
        <v>53</v>
      </c>
      <c r="H563" s="1" t="s">
        <v>209</v>
      </c>
      <c r="I563" s="1" t="s">
        <v>210</v>
      </c>
      <c r="J563" s="1" t="s">
        <v>211</v>
      </c>
      <c r="K563" t="s">
        <v>34</v>
      </c>
      <c r="M563" s="1" t="s">
        <v>35</v>
      </c>
      <c r="N563" s="1">
        <v>42318949</v>
      </c>
      <c r="O563" s="1" t="s">
        <v>105</v>
      </c>
      <c r="P563" s="11" t="s">
        <v>1137</v>
      </c>
      <c r="R563" s="1" t="s">
        <v>38</v>
      </c>
      <c r="T563" s="1" t="s">
        <v>74</v>
      </c>
      <c r="U563" s="11" t="s">
        <v>1136</v>
      </c>
      <c r="V563" s="1" t="s">
        <v>41</v>
      </c>
      <c r="W563" s="1" t="s">
        <v>49</v>
      </c>
      <c r="X563" s="13" t="str">
        <f t="shared" si="61"/>
        <v/>
      </c>
      <c r="Y563" s="2">
        <f t="shared" ca="1" si="56"/>
        <v>148</v>
      </c>
      <c r="Z563" s="14">
        <v>1</v>
      </c>
      <c r="AA563" s="1" t="str">
        <f t="shared" ca="1" si="57"/>
        <v>VENCIDO</v>
      </c>
      <c r="AB563" s="1" t="str">
        <f t="shared" si="58"/>
        <v>Dosa</v>
      </c>
      <c r="AC563" s="2" t="str">
        <f t="shared" si="62"/>
        <v xml:space="preserve"> RINALDO </v>
      </c>
      <c r="AD563" s="2">
        <f t="shared" si="59"/>
        <v>5</v>
      </c>
      <c r="AE563" s="2">
        <f t="shared" ca="1" si="60"/>
        <v>-204.9262716435187</v>
      </c>
      <c r="AF563" s="15"/>
    </row>
    <row r="564" spans="1:32" hidden="1">
      <c r="A564" s="1">
        <v>8812532</v>
      </c>
      <c r="B564" s="1" t="s">
        <v>101</v>
      </c>
      <c r="C564" t="s">
        <v>1134</v>
      </c>
      <c r="E564" s="2">
        <v>9700000206001</v>
      </c>
      <c r="F564" s="1" t="s">
        <v>29</v>
      </c>
      <c r="G564" s="1" t="s">
        <v>53</v>
      </c>
      <c r="H564" s="1" t="s">
        <v>209</v>
      </c>
      <c r="I564" s="1" t="s">
        <v>210</v>
      </c>
      <c r="J564" s="1" t="s">
        <v>211</v>
      </c>
      <c r="K564" t="s">
        <v>34</v>
      </c>
      <c r="M564" s="1" t="s">
        <v>35</v>
      </c>
      <c r="N564" s="1">
        <v>42318949</v>
      </c>
      <c r="O564" s="1" t="s">
        <v>105</v>
      </c>
      <c r="P564" s="11" t="s">
        <v>1137</v>
      </c>
      <c r="R564" s="1" t="s">
        <v>38</v>
      </c>
      <c r="T564" s="1" t="s">
        <v>74</v>
      </c>
      <c r="U564" s="11" t="s">
        <v>1136</v>
      </c>
      <c r="V564" s="1" t="s">
        <v>41</v>
      </c>
      <c r="W564" s="1" t="s">
        <v>49</v>
      </c>
      <c r="X564" s="13" t="str">
        <f t="shared" si="61"/>
        <v/>
      </c>
      <c r="Y564" s="2">
        <f t="shared" ca="1" si="56"/>
        <v>148</v>
      </c>
      <c r="Z564" s="14">
        <v>1</v>
      </c>
      <c r="AA564" s="1" t="str">
        <f t="shared" ca="1" si="57"/>
        <v>VENCIDO</v>
      </c>
      <c r="AB564" s="1" t="str">
        <f t="shared" si="58"/>
        <v>Dosa</v>
      </c>
      <c r="AC564" s="2" t="str">
        <f t="shared" si="62"/>
        <v xml:space="preserve"> RINALDO </v>
      </c>
      <c r="AD564" s="2">
        <f t="shared" si="59"/>
        <v>5</v>
      </c>
      <c r="AE564" s="2">
        <f t="shared" ca="1" si="60"/>
        <v>-204.9262716435187</v>
      </c>
      <c r="AF564" s="15"/>
    </row>
    <row r="565" spans="1:32" hidden="1">
      <c r="A565" s="1">
        <v>8811822</v>
      </c>
      <c r="B565" s="1" t="s">
        <v>101</v>
      </c>
      <c r="C565" t="s">
        <v>1134</v>
      </c>
      <c r="E565" s="2">
        <v>4637000206001</v>
      </c>
      <c r="F565" s="1" t="s">
        <v>29</v>
      </c>
      <c r="G565" s="1" t="s">
        <v>53</v>
      </c>
      <c r="H565" s="1" t="s">
        <v>848</v>
      </c>
      <c r="I565" s="1" t="s">
        <v>849</v>
      </c>
      <c r="J565" s="1" t="s">
        <v>79</v>
      </c>
      <c r="K565" t="s">
        <v>34</v>
      </c>
      <c r="M565" s="1" t="s">
        <v>35</v>
      </c>
      <c r="N565" s="1">
        <v>42318949</v>
      </c>
      <c r="O565" s="1" t="s">
        <v>105</v>
      </c>
      <c r="P565" s="48">
        <v>44781.505231481482</v>
      </c>
      <c r="R565" s="1" t="s">
        <v>38</v>
      </c>
      <c r="T565" s="1" t="s">
        <v>74</v>
      </c>
      <c r="U565" s="186">
        <v>44781.75</v>
      </c>
      <c r="V565" s="1" t="s">
        <v>41</v>
      </c>
      <c r="W565" s="1" t="s">
        <v>49</v>
      </c>
      <c r="X565" s="13" t="str">
        <f t="shared" si="61"/>
        <v/>
      </c>
      <c r="Y565" s="2">
        <f t="shared" ca="1" si="56"/>
        <v>148</v>
      </c>
      <c r="Z565" s="14">
        <v>1</v>
      </c>
      <c r="AA565" s="1" t="str">
        <f t="shared" ca="1" si="57"/>
        <v>VENCIDO</v>
      </c>
      <c r="AB565" s="1" t="str">
        <f t="shared" si="58"/>
        <v>Dosa</v>
      </c>
      <c r="AC565" s="2" t="str">
        <f t="shared" si="62"/>
        <v xml:space="preserve"> ROSEMERE </v>
      </c>
      <c r="AD565" s="2">
        <f t="shared" si="59"/>
        <v>5</v>
      </c>
      <c r="AE565" s="2">
        <f t="shared" ca="1" si="60"/>
        <v>-204.9262716435187</v>
      </c>
      <c r="AF565" s="15"/>
    </row>
    <row r="566" spans="1:32" hidden="1">
      <c r="A566" s="1">
        <v>8811127</v>
      </c>
      <c r="B566" s="1" t="s">
        <v>101</v>
      </c>
      <c r="C566" t="s">
        <v>1134</v>
      </c>
      <c r="E566" s="2">
        <v>2437000206001</v>
      </c>
      <c r="F566" s="1" t="s">
        <v>29</v>
      </c>
      <c r="G566" s="1" t="s">
        <v>53</v>
      </c>
      <c r="H566" s="1" t="s">
        <v>416</v>
      </c>
      <c r="I566" s="1" t="s">
        <v>417</v>
      </c>
      <c r="J566" s="1" t="s">
        <v>211</v>
      </c>
      <c r="K566" t="s">
        <v>34</v>
      </c>
      <c r="M566" s="1" t="s">
        <v>35</v>
      </c>
      <c r="N566" s="1">
        <v>42318949</v>
      </c>
      <c r="O566" s="1" t="s">
        <v>105</v>
      </c>
      <c r="P566" s="48">
        <v>44781.504340277781</v>
      </c>
      <c r="R566" s="1" t="s">
        <v>38</v>
      </c>
      <c r="T566" s="1" t="s">
        <v>74</v>
      </c>
      <c r="U566" s="11" t="s">
        <v>1136</v>
      </c>
      <c r="V566" s="1" t="s">
        <v>41</v>
      </c>
      <c r="W566" s="1" t="s">
        <v>49</v>
      </c>
      <c r="X566" s="13" t="str">
        <f t="shared" si="61"/>
        <v/>
      </c>
      <c r="Y566" s="2">
        <f t="shared" ca="1" si="56"/>
        <v>148</v>
      </c>
      <c r="Z566" s="14">
        <v>1</v>
      </c>
      <c r="AA566" s="1" t="str">
        <f t="shared" ca="1" si="57"/>
        <v>VENCIDO</v>
      </c>
      <c r="AB566" s="1" t="str">
        <f t="shared" si="58"/>
        <v>Dosa</v>
      </c>
      <c r="AC566" s="2" t="str">
        <f t="shared" si="62"/>
        <v xml:space="preserve"> RINALDO </v>
      </c>
      <c r="AD566" s="2">
        <f t="shared" si="59"/>
        <v>5</v>
      </c>
      <c r="AE566" s="2">
        <f t="shared" ca="1" si="60"/>
        <v>-204.9262716435187</v>
      </c>
      <c r="AF566" s="15"/>
    </row>
    <row r="567" spans="1:32" hidden="1">
      <c r="A567" s="1">
        <v>8811126</v>
      </c>
      <c r="B567" s="1" t="s">
        <v>101</v>
      </c>
      <c r="C567" t="s">
        <v>1134</v>
      </c>
      <c r="E567" s="2">
        <v>2437000206001</v>
      </c>
      <c r="F567" s="1" t="s">
        <v>29</v>
      </c>
      <c r="G567" s="1" t="s">
        <v>53</v>
      </c>
      <c r="H567" s="1" t="s">
        <v>416</v>
      </c>
      <c r="I567" s="1" t="s">
        <v>417</v>
      </c>
      <c r="J567" s="1" t="s">
        <v>211</v>
      </c>
      <c r="K567" t="s">
        <v>34</v>
      </c>
      <c r="M567" s="1" t="s">
        <v>35</v>
      </c>
      <c r="N567" s="1">
        <v>42318949</v>
      </c>
      <c r="O567" s="1" t="s">
        <v>105</v>
      </c>
      <c r="P567" s="48">
        <v>44781.504340277781</v>
      </c>
      <c r="R567" s="1" t="s">
        <v>38</v>
      </c>
      <c r="T567" s="1" t="s">
        <v>74</v>
      </c>
      <c r="U567" s="11" t="s">
        <v>1136</v>
      </c>
      <c r="V567" s="1" t="s">
        <v>41</v>
      </c>
      <c r="W567" s="1" t="s">
        <v>49</v>
      </c>
      <c r="X567" s="13" t="str">
        <f t="shared" si="61"/>
        <v/>
      </c>
      <c r="Y567" s="2">
        <f t="shared" ca="1" si="56"/>
        <v>148</v>
      </c>
      <c r="Z567" s="14">
        <v>1</v>
      </c>
      <c r="AA567" s="1" t="str">
        <f t="shared" ca="1" si="57"/>
        <v>VENCIDO</v>
      </c>
      <c r="AB567" s="1" t="str">
        <f t="shared" si="58"/>
        <v>Dosa</v>
      </c>
      <c r="AC567" s="2" t="str">
        <f t="shared" si="62"/>
        <v xml:space="preserve"> RINALDO </v>
      </c>
      <c r="AD567" s="2">
        <f t="shared" si="59"/>
        <v>5</v>
      </c>
      <c r="AE567" s="2">
        <f t="shared" ca="1" si="60"/>
        <v>-204.9262716435187</v>
      </c>
      <c r="AF567" s="15"/>
    </row>
    <row r="568" spans="1:32" hidden="1">
      <c r="A568" s="1">
        <v>8811125</v>
      </c>
      <c r="B568" s="1" t="s">
        <v>101</v>
      </c>
      <c r="C568" t="s">
        <v>1134</v>
      </c>
      <c r="E568" s="2">
        <v>2437000206001</v>
      </c>
      <c r="F568" s="1" t="s">
        <v>29</v>
      </c>
      <c r="G568" s="1" t="s">
        <v>53</v>
      </c>
      <c r="H568" s="1" t="s">
        <v>416</v>
      </c>
      <c r="I568" s="1" t="s">
        <v>417</v>
      </c>
      <c r="J568" s="1" t="s">
        <v>211</v>
      </c>
      <c r="K568" t="s">
        <v>34</v>
      </c>
      <c r="M568" s="1" t="s">
        <v>35</v>
      </c>
      <c r="N568" s="1">
        <v>42318949</v>
      </c>
      <c r="O568" s="1" t="s">
        <v>105</v>
      </c>
      <c r="P568" s="48">
        <v>44781.504340277781</v>
      </c>
      <c r="R568" s="1" t="s">
        <v>38</v>
      </c>
      <c r="T568" s="1" t="s">
        <v>74</v>
      </c>
      <c r="U568" s="11" t="s">
        <v>1136</v>
      </c>
      <c r="V568" s="1" t="s">
        <v>41</v>
      </c>
      <c r="W568" s="1" t="s">
        <v>49</v>
      </c>
      <c r="X568" s="13" t="str">
        <f t="shared" si="61"/>
        <v/>
      </c>
      <c r="Y568" s="2">
        <f t="shared" ca="1" si="56"/>
        <v>148</v>
      </c>
      <c r="Z568" s="14">
        <v>1</v>
      </c>
      <c r="AA568" s="1" t="str">
        <f t="shared" ca="1" si="57"/>
        <v>VENCIDO</v>
      </c>
      <c r="AB568" s="1" t="str">
        <f t="shared" si="58"/>
        <v>Dosa</v>
      </c>
      <c r="AC568" s="2" t="str">
        <f t="shared" si="62"/>
        <v xml:space="preserve"> RINALDO </v>
      </c>
      <c r="AD568" s="2">
        <f t="shared" si="59"/>
        <v>5</v>
      </c>
      <c r="AE568" s="2">
        <f t="shared" ca="1" si="60"/>
        <v>-204.9262716435187</v>
      </c>
      <c r="AF568" s="15"/>
    </row>
    <row r="569" spans="1:32" hidden="1">
      <c r="A569" s="1">
        <v>8810874</v>
      </c>
      <c r="B569" s="1" t="s">
        <v>101</v>
      </c>
      <c r="C569" t="s">
        <v>1134</v>
      </c>
      <c r="E569" s="2">
        <v>1739000206001</v>
      </c>
      <c r="F569" s="1" t="s">
        <v>29</v>
      </c>
      <c r="G569" s="1" t="s">
        <v>53</v>
      </c>
      <c r="H569" s="1" t="s">
        <v>162</v>
      </c>
      <c r="I569" s="1" t="s">
        <v>163</v>
      </c>
      <c r="J569" s="1" t="s">
        <v>164</v>
      </c>
      <c r="K569" t="s">
        <v>34</v>
      </c>
      <c r="M569" s="1" t="s">
        <v>35</v>
      </c>
      <c r="N569" s="1">
        <v>42318949</v>
      </c>
      <c r="O569" s="1" t="s">
        <v>105</v>
      </c>
      <c r="P569" s="48">
        <v>44781.503969907404</v>
      </c>
      <c r="R569" s="1" t="s">
        <v>38</v>
      </c>
      <c r="T569" s="1" t="s">
        <v>74</v>
      </c>
      <c r="U569" s="186">
        <v>44781.75</v>
      </c>
      <c r="V569" s="1" t="s">
        <v>41</v>
      </c>
      <c r="W569" s="1" t="s">
        <v>49</v>
      </c>
      <c r="X569" s="13" t="str">
        <f t="shared" si="61"/>
        <v/>
      </c>
      <c r="Y569" s="2">
        <f t="shared" ca="1" si="56"/>
        <v>148</v>
      </c>
      <c r="Z569" s="14">
        <v>1</v>
      </c>
      <c r="AA569" s="1" t="str">
        <f t="shared" ca="1" si="57"/>
        <v>VENCIDO</v>
      </c>
      <c r="AB569" s="1" t="str">
        <f t="shared" si="58"/>
        <v>Dosa</v>
      </c>
      <c r="AC569" s="2" t="str">
        <f t="shared" si="62"/>
        <v xml:space="preserve"> ROSEMERE </v>
      </c>
      <c r="AD569" s="2">
        <f t="shared" si="59"/>
        <v>5</v>
      </c>
      <c r="AE569" s="2">
        <f t="shared" ca="1" si="60"/>
        <v>-204.9262716435187</v>
      </c>
      <c r="AF569" s="15"/>
    </row>
    <row r="570" spans="1:32" hidden="1">
      <c r="A570" s="1">
        <v>8810866</v>
      </c>
      <c r="B570" s="1" t="s">
        <v>101</v>
      </c>
      <c r="C570" t="s">
        <v>1134</v>
      </c>
      <c r="E570" s="2">
        <v>1732000206001</v>
      </c>
      <c r="F570" s="1" t="s">
        <v>29</v>
      </c>
      <c r="G570" s="1" t="s">
        <v>53</v>
      </c>
      <c r="H570" s="1" t="s">
        <v>177</v>
      </c>
      <c r="I570" s="1" t="s">
        <v>178</v>
      </c>
      <c r="J570" s="1" t="s">
        <v>164</v>
      </c>
      <c r="K570" t="s">
        <v>34</v>
      </c>
      <c r="M570" s="1" t="s">
        <v>35</v>
      </c>
      <c r="N570" s="1">
        <v>42318949</v>
      </c>
      <c r="O570" s="1" t="s">
        <v>105</v>
      </c>
      <c r="P570" s="48">
        <v>44781.503958333335</v>
      </c>
      <c r="R570" s="1" t="s">
        <v>38</v>
      </c>
      <c r="T570" s="1" t="s">
        <v>74</v>
      </c>
      <c r="U570" s="11" t="s">
        <v>1136</v>
      </c>
      <c r="V570" s="1" t="s">
        <v>41</v>
      </c>
      <c r="W570" s="1" t="s">
        <v>49</v>
      </c>
      <c r="X570" s="13" t="str">
        <f t="shared" si="61"/>
        <v/>
      </c>
      <c r="Y570" s="2">
        <f t="shared" ca="1" si="56"/>
        <v>148</v>
      </c>
      <c r="Z570" s="14">
        <v>1</v>
      </c>
      <c r="AA570" s="1" t="str">
        <f t="shared" ca="1" si="57"/>
        <v>VENCIDO</v>
      </c>
      <c r="AB570" s="1" t="str">
        <f t="shared" si="58"/>
        <v>Dosa</v>
      </c>
      <c r="AC570" s="2" t="str">
        <f t="shared" si="62"/>
        <v xml:space="preserve"> ROSEMERE </v>
      </c>
      <c r="AD570" s="2">
        <f t="shared" si="59"/>
        <v>5</v>
      </c>
      <c r="AE570" s="2">
        <f t="shared" ca="1" si="60"/>
        <v>-204.9262716435187</v>
      </c>
      <c r="AF570" s="15"/>
    </row>
    <row r="571" spans="1:32" hidden="1">
      <c r="A571" s="1">
        <v>8810674</v>
      </c>
      <c r="B571" s="1" t="s">
        <v>101</v>
      </c>
      <c r="C571" t="s">
        <v>1134</v>
      </c>
      <c r="E571" s="2">
        <v>1363000206001</v>
      </c>
      <c r="F571" s="1" t="s">
        <v>29</v>
      </c>
      <c r="G571" s="1" t="s">
        <v>53</v>
      </c>
      <c r="H571" s="1" t="s">
        <v>108</v>
      </c>
      <c r="I571" s="1" t="s">
        <v>109</v>
      </c>
      <c r="J571" s="1" t="s">
        <v>110</v>
      </c>
      <c r="K571" t="s">
        <v>34</v>
      </c>
      <c r="M571" s="1" t="s">
        <v>35</v>
      </c>
      <c r="N571" s="1">
        <v>42318949</v>
      </c>
      <c r="O571" s="1" t="s">
        <v>36</v>
      </c>
      <c r="P571" s="48">
        <v>44781.503622685188</v>
      </c>
      <c r="R571" s="1" t="s">
        <v>38</v>
      </c>
      <c r="T571" s="1" t="s">
        <v>74</v>
      </c>
      <c r="U571" s="11" t="s">
        <v>1136</v>
      </c>
      <c r="V571" s="1" t="s">
        <v>41</v>
      </c>
      <c r="W571" s="1" t="s">
        <v>49</v>
      </c>
      <c r="X571" s="13" t="str">
        <f t="shared" si="61"/>
        <v/>
      </c>
      <c r="Y571" s="2">
        <f t="shared" ca="1" si="56"/>
        <v>148</v>
      </c>
      <c r="Z571" s="14">
        <v>1</v>
      </c>
      <c r="AA571" s="1" t="str">
        <f t="shared" ca="1" si="57"/>
        <v>VENCIDO</v>
      </c>
      <c r="AB571" s="1" t="str">
        <f t="shared" si="58"/>
        <v>Dosa</v>
      </c>
      <c r="AC571" s="2" t="str">
        <f t="shared" si="62"/>
        <v xml:space="preserve"> CRISTINA </v>
      </c>
      <c r="AD571" s="2">
        <f t="shared" si="59"/>
        <v>5</v>
      </c>
      <c r="AE571" s="2">
        <f t="shared" ca="1" si="60"/>
        <v>-204.9262716435187</v>
      </c>
      <c r="AF571" s="15"/>
    </row>
    <row r="572" spans="1:32" hidden="1">
      <c r="A572" s="1">
        <v>8810582</v>
      </c>
      <c r="B572" s="1" t="s">
        <v>101</v>
      </c>
      <c r="C572" t="s">
        <v>1134</v>
      </c>
      <c r="E572" s="2">
        <v>1153000206001</v>
      </c>
      <c r="F572" s="1" t="s">
        <v>29</v>
      </c>
      <c r="G572" s="1" t="s">
        <v>53</v>
      </c>
      <c r="H572" s="1" t="s">
        <v>1031</v>
      </c>
      <c r="I572" s="1" t="s">
        <v>1032</v>
      </c>
      <c r="J572" s="1" t="s">
        <v>79</v>
      </c>
      <c r="K572" t="s">
        <v>34</v>
      </c>
      <c r="M572" s="1" t="s">
        <v>35</v>
      </c>
      <c r="N572" s="1">
        <v>42318949</v>
      </c>
      <c r="O572" s="1" t="s">
        <v>36</v>
      </c>
      <c r="P572" s="48">
        <v>44781.503506944442</v>
      </c>
      <c r="R572" s="1" t="s">
        <v>38</v>
      </c>
      <c r="T572" s="1" t="s">
        <v>74</v>
      </c>
      <c r="U572" s="11" t="s">
        <v>1136</v>
      </c>
      <c r="V572" s="1" t="s">
        <v>41</v>
      </c>
      <c r="W572" s="1" t="s">
        <v>49</v>
      </c>
      <c r="X572" s="13" t="str">
        <f t="shared" si="61"/>
        <v/>
      </c>
      <c r="Y572" s="2">
        <f t="shared" ca="1" si="56"/>
        <v>148</v>
      </c>
      <c r="Z572" s="14">
        <v>1</v>
      </c>
      <c r="AA572" s="1" t="str">
        <f t="shared" ca="1" si="57"/>
        <v>VENCIDO</v>
      </c>
      <c r="AB572" s="1" t="str">
        <f t="shared" si="58"/>
        <v>Dosa</v>
      </c>
      <c r="AC572" s="2" t="str">
        <f t="shared" si="62"/>
        <v xml:space="preserve"> ROSEMERE </v>
      </c>
      <c r="AD572" s="2">
        <f t="shared" si="59"/>
        <v>5</v>
      </c>
      <c r="AE572" s="2">
        <f t="shared" ca="1" si="60"/>
        <v>-204.9262716435187</v>
      </c>
      <c r="AF572" s="15"/>
    </row>
    <row r="573" spans="1:32" hidden="1">
      <c r="A573" s="1">
        <v>8810573</v>
      </c>
      <c r="B573" s="1" t="s">
        <v>101</v>
      </c>
      <c r="C573" t="s">
        <v>1134</v>
      </c>
      <c r="E573" s="2">
        <v>1120000206001</v>
      </c>
      <c r="F573" s="1" t="s">
        <v>29</v>
      </c>
      <c r="G573" s="1" t="s">
        <v>53</v>
      </c>
      <c r="H573" s="1" t="s">
        <v>181</v>
      </c>
      <c r="I573" s="1" t="s">
        <v>182</v>
      </c>
      <c r="J573" s="1" t="s">
        <v>164</v>
      </c>
      <c r="K573" t="s">
        <v>34</v>
      </c>
      <c r="M573" s="1" t="s">
        <v>35</v>
      </c>
      <c r="N573" s="1">
        <v>42318949</v>
      </c>
      <c r="O573" s="1" t="s">
        <v>36</v>
      </c>
      <c r="P573" s="48">
        <v>44781.503495370373</v>
      </c>
      <c r="R573" s="1" t="s">
        <v>38</v>
      </c>
      <c r="T573" s="1" t="s">
        <v>74</v>
      </c>
      <c r="U573" s="11" t="s">
        <v>1136</v>
      </c>
      <c r="V573" s="1" t="s">
        <v>41</v>
      </c>
      <c r="W573" s="1" t="s">
        <v>49</v>
      </c>
      <c r="X573" s="13" t="str">
        <f t="shared" si="61"/>
        <v/>
      </c>
      <c r="Y573" s="2">
        <f t="shared" ca="1" si="56"/>
        <v>148</v>
      </c>
      <c r="Z573" s="14">
        <v>1</v>
      </c>
      <c r="AA573" s="1" t="str">
        <f t="shared" ca="1" si="57"/>
        <v>VENCIDO</v>
      </c>
      <c r="AB573" s="1" t="str">
        <f t="shared" si="58"/>
        <v>Dosa</v>
      </c>
      <c r="AC573" s="2" t="str">
        <f t="shared" si="62"/>
        <v xml:space="preserve"> ROSEMERE </v>
      </c>
      <c r="AD573" s="2">
        <f t="shared" si="59"/>
        <v>5</v>
      </c>
      <c r="AE573" s="2">
        <f t="shared" ca="1" si="60"/>
        <v>-204.9262716435187</v>
      </c>
      <c r="AF573" s="15"/>
    </row>
    <row r="574" spans="1:32" hidden="1">
      <c r="A574" s="1">
        <v>8810572</v>
      </c>
      <c r="B574" s="1" t="s">
        <v>101</v>
      </c>
      <c r="C574" t="s">
        <v>1134</v>
      </c>
      <c r="E574" s="2">
        <v>1120000206001</v>
      </c>
      <c r="F574" s="1" t="s">
        <v>29</v>
      </c>
      <c r="G574" s="1" t="s">
        <v>53</v>
      </c>
      <c r="H574" s="1" t="s">
        <v>181</v>
      </c>
      <c r="I574" s="1" t="s">
        <v>182</v>
      </c>
      <c r="J574" s="1" t="s">
        <v>164</v>
      </c>
      <c r="K574" t="s">
        <v>34</v>
      </c>
      <c r="M574" s="1" t="s">
        <v>35</v>
      </c>
      <c r="N574" s="1">
        <v>42318949</v>
      </c>
      <c r="O574" s="1" t="s">
        <v>105</v>
      </c>
      <c r="P574" s="48">
        <v>44781.503483796296</v>
      </c>
      <c r="R574" s="1" t="s">
        <v>38</v>
      </c>
      <c r="T574" s="1" t="s">
        <v>74</v>
      </c>
      <c r="U574" s="11" t="s">
        <v>1136</v>
      </c>
      <c r="V574" s="1" t="s">
        <v>41</v>
      </c>
      <c r="W574" s="1" t="s">
        <v>49</v>
      </c>
      <c r="X574" s="13" t="str">
        <f t="shared" si="61"/>
        <v/>
      </c>
      <c r="Y574" s="2">
        <f t="shared" ca="1" si="56"/>
        <v>148</v>
      </c>
      <c r="Z574" s="14">
        <v>1</v>
      </c>
      <c r="AA574" s="1" t="str">
        <f t="shared" ca="1" si="57"/>
        <v>VENCIDO</v>
      </c>
      <c r="AB574" s="1" t="str">
        <f t="shared" si="58"/>
        <v>Dosa</v>
      </c>
      <c r="AC574" s="2" t="str">
        <f t="shared" si="62"/>
        <v xml:space="preserve"> ROSEMERE </v>
      </c>
      <c r="AD574" s="2">
        <f t="shared" si="59"/>
        <v>5</v>
      </c>
      <c r="AE574" s="2">
        <f t="shared" ca="1" si="60"/>
        <v>-204.9262716435187</v>
      </c>
      <c r="AF574" s="15"/>
    </row>
    <row r="575" spans="1:32" hidden="1">
      <c r="A575" s="1">
        <v>8810531</v>
      </c>
      <c r="B575" s="1" t="s">
        <v>101</v>
      </c>
      <c r="C575" t="s">
        <v>1134</v>
      </c>
      <c r="E575" s="2">
        <v>1060000206001</v>
      </c>
      <c r="F575" s="1" t="s">
        <v>29</v>
      </c>
      <c r="G575" s="1" t="s">
        <v>53</v>
      </c>
      <c r="H575" s="1" t="s">
        <v>284</v>
      </c>
      <c r="I575" s="1" t="s">
        <v>285</v>
      </c>
      <c r="J575" s="1" t="s">
        <v>148</v>
      </c>
      <c r="K575" t="s">
        <v>34</v>
      </c>
      <c r="M575" s="1" t="s">
        <v>35</v>
      </c>
      <c r="N575" s="1">
        <v>42318949</v>
      </c>
      <c r="O575" s="1" t="s">
        <v>105</v>
      </c>
      <c r="P575" s="186">
        <v>44781.503437500003</v>
      </c>
      <c r="R575" s="1" t="s">
        <v>38</v>
      </c>
      <c r="T575" s="1" t="s">
        <v>74</v>
      </c>
      <c r="U575" s="186">
        <v>44781.75</v>
      </c>
      <c r="V575" s="1" t="s">
        <v>41</v>
      </c>
      <c r="W575" s="1" t="s">
        <v>49</v>
      </c>
      <c r="X575" s="13" t="str">
        <f t="shared" si="61"/>
        <v/>
      </c>
      <c r="Y575" s="2">
        <f t="shared" ca="1" si="56"/>
        <v>148</v>
      </c>
      <c r="Z575" s="14">
        <v>1</v>
      </c>
      <c r="AA575" s="1" t="str">
        <f t="shared" ca="1" si="57"/>
        <v>VENCIDO</v>
      </c>
      <c r="AB575" s="1" t="str">
        <f t="shared" si="58"/>
        <v>Dosa</v>
      </c>
      <c r="AC575" s="2" t="str">
        <f t="shared" si="62"/>
        <v xml:space="preserve"> RINALDO </v>
      </c>
      <c r="AD575" s="2">
        <f t="shared" si="59"/>
        <v>5</v>
      </c>
      <c r="AE575" s="2">
        <f t="shared" ca="1" si="60"/>
        <v>-204.9262716435187</v>
      </c>
      <c r="AF575" s="15"/>
    </row>
    <row r="576" spans="1:32" hidden="1">
      <c r="A576" s="1">
        <v>8810530</v>
      </c>
      <c r="B576" s="1" t="s">
        <v>101</v>
      </c>
      <c r="C576" t="s">
        <v>1134</v>
      </c>
      <c r="E576" s="2">
        <v>1059000206001</v>
      </c>
      <c r="F576" s="1" t="s">
        <v>29</v>
      </c>
      <c r="G576" s="1" t="s">
        <v>53</v>
      </c>
      <c r="H576" s="1" t="s">
        <v>88</v>
      </c>
      <c r="I576" s="1" t="s">
        <v>89</v>
      </c>
      <c r="J576" s="1" t="s">
        <v>90</v>
      </c>
      <c r="K576" t="s">
        <v>34</v>
      </c>
      <c r="M576" s="1" t="s">
        <v>35</v>
      </c>
      <c r="N576" s="1">
        <v>42318949</v>
      </c>
      <c r="O576" s="1" t="s">
        <v>105</v>
      </c>
      <c r="P576" s="186">
        <v>44781.503437500003</v>
      </c>
      <c r="R576" s="1" t="s">
        <v>38</v>
      </c>
      <c r="T576" s="1" t="s">
        <v>74</v>
      </c>
      <c r="U576" s="186">
        <v>44781.75</v>
      </c>
      <c r="V576" s="1" t="s">
        <v>41</v>
      </c>
      <c r="W576" s="1" t="s">
        <v>49</v>
      </c>
      <c r="X576" s="13" t="str">
        <f t="shared" si="61"/>
        <v/>
      </c>
      <c r="Y576" s="2">
        <f t="shared" ca="1" si="56"/>
        <v>148</v>
      </c>
      <c r="Z576" s="14">
        <v>1</v>
      </c>
      <c r="AA576" s="1" t="str">
        <f t="shared" ca="1" si="57"/>
        <v>VENCIDO</v>
      </c>
      <c r="AB576" s="1" t="str">
        <f t="shared" si="58"/>
        <v>Dosa</v>
      </c>
      <c r="AC576" s="2" t="str">
        <f t="shared" si="62"/>
        <v xml:space="preserve"> RINALDO </v>
      </c>
      <c r="AD576" s="2">
        <f t="shared" si="59"/>
        <v>5</v>
      </c>
      <c r="AE576" s="2">
        <f t="shared" ca="1" si="60"/>
        <v>-204.9262716435187</v>
      </c>
      <c r="AF576" s="15"/>
    </row>
    <row r="577" spans="1:32" hidden="1">
      <c r="A577" s="1">
        <v>8810529</v>
      </c>
      <c r="B577" s="1" t="s">
        <v>101</v>
      </c>
      <c r="C577" t="s">
        <v>1134</v>
      </c>
      <c r="E577" s="2">
        <v>1058000206001</v>
      </c>
      <c r="F577" s="1" t="s">
        <v>29</v>
      </c>
      <c r="G577" s="1" t="s">
        <v>53</v>
      </c>
      <c r="H577" s="1" t="s">
        <v>289</v>
      </c>
      <c r="I577" s="1" t="s">
        <v>290</v>
      </c>
      <c r="J577" s="1" t="s">
        <v>56</v>
      </c>
      <c r="K577" t="s">
        <v>34</v>
      </c>
      <c r="M577" s="1" t="s">
        <v>35</v>
      </c>
      <c r="N577" s="1">
        <v>42318949</v>
      </c>
      <c r="O577" s="1" t="s">
        <v>105</v>
      </c>
      <c r="P577" s="186">
        <v>44781.503437500003</v>
      </c>
      <c r="R577" s="1" t="s">
        <v>38</v>
      </c>
      <c r="T577" s="1" t="s">
        <v>74</v>
      </c>
      <c r="U577" s="186">
        <v>44781.75</v>
      </c>
      <c r="V577" s="1" t="s">
        <v>41</v>
      </c>
      <c r="W577" s="1" t="s">
        <v>49</v>
      </c>
      <c r="X577" s="13" t="str">
        <f t="shared" si="61"/>
        <v/>
      </c>
      <c r="Y577" s="2">
        <f t="shared" ca="1" si="56"/>
        <v>148</v>
      </c>
      <c r="Z577" s="14">
        <v>1</v>
      </c>
      <c r="AA577" s="1" t="str">
        <f t="shared" ca="1" si="57"/>
        <v>VENCIDO</v>
      </c>
      <c r="AB577" s="1" t="str">
        <f t="shared" si="58"/>
        <v>Dosa</v>
      </c>
      <c r="AC577" s="2" t="str">
        <f t="shared" si="62"/>
        <v xml:space="preserve"> CRISTINA </v>
      </c>
      <c r="AD577" s="2">
        <f t="shared" si="59"/>
        <v>5</v>
      </c>
      <c r="AE577" s="2">
        <f t="shared" ca="1" si="60"/>
        <v>-204.9262716435187</v>
      </c>
      <c r="AF577" s="15"/>
    </row>
    <row r="578" spans="1:32" hidden="1">
      <c r="A578" s="1">
        <v>8810528</v>
      </c>
      <c r="B578" s="1" t="s">
        <v>101</v>
      </c>
      <c r="C578" t="s">
        <v>1134</v>
      </c>
      <c r="E578" s="2">
        <v>1058000206001</v>
      </c>
      <c r="F578" s="1" t="s">
        <v>29</v>
      </c>
      <c r="G578" s="1" t="s">
        <v>53</v>
      </c>
      <c r="H578" s="1" t="s">
        <v>289</v>
      </c>
      <c r="I578" s="1" t="s">
        <v>290</v>
      </c>
      <c r="J578" s="1" t="s">
        <v>56</v>
      </c>
      <c r="K578" t="s">
        <v>34</v>
      </c>
      <c r="M578" s="1" t="s">
        <v>35</v>
      </c>
      <c r="N578" s="1">
        <v>42318949</v>
      </c>
      <c r="O578" s="1" t="s">
        <v>105</v>
      </c>
      <c r="P578" s="186">
        <v>44781.503437500003</v>
      </c>
      <c r="R578" s="1" t="s">
        <v>38</v>
      </c>
      <c r="T578" s="1" t="s">
        <v>74</v>
      </c>
      <c r="U578" s="186">
        <v>44781.75</v>
      </c>
      <c r="V578" s="1" t="s">
        <v>41</v>
      </c>
      <c r="W578" s="1" t="s">
        <v>49</v>
      </c>
      <c r="X578" s="13" t="str">
        <f t="shared" si="61"/>
        <v/>
      </c>
      <c r="Y578" s="2">
        <f t="shared" ref="Y578:Y641" ca="1" si="63">NETWORKDAYS(P578,$Y$1)</f>
        <v>148</v>
      </c>
      <c r="Z578" s="14">
        <v>1</v>
      </c>
      <c r="AA578" s="1" t="str">
        <f t="shared" ref="AA578:AA641" ca="1" si="64">IF(AE578=0,"HOJE",IF(AE578&gt;0,"A VENCER",IF(AE578&lt;0,"VENCIDO")))</f>
        <v>VENCIDO</v>
      </c>
      <c r="AB578" s="1" t="str">
        <f t="shared" ref="AB578:AB641" si="65">IF(F578="GRPE-000001","C-14",IF(F578="GRPE-000002","C-14",IF(F578="GRPE-000003","C-14",IF(F578="GRPE-000004","SL-On",IF(F578="GRPE-000038","C-14",IF(F578="GRPE-900022","Dosa",IF(F578="GRPE-000029","Dosa",IF(F578="ATOS-000222","Dose","TAAe+"))))))))</f>
        <v>Dosa</v>
      </c>
      <c r="AC578" s="2" t="str">
        <f t="shared" si="62"/>
        <v xml:space="preserve"> CRISTINA </v>
      </c>
      <c r="AD578" s="2">
        <f t="shared" ref="AD578:AD641" si="66">IF(F578="GRPE-000001",5,IF(F578="GRPE-000002",5,IF(F578="GRPE-000003",15,IF(F578="GRPE-000004",1,IF(F578="GRPE-000038",5,IF(F578="GRPE-900022",5,IF(F578="GRPE-000029",5,IF(F578="ATOS-000222",5,8))))))))</f>
        <v>5</v>
      </c>
      <c r="AE578" s="2">
        <f t="shared" ref="AE578:AE641" ca="1" si="67">IF(U578=$AE$1,"",U578-$AE$1)</f>
        <v>-204.9262716435187</v>
      </c>
      <c r="AF578" s="15"/>
    </row>
    <row r="579" spans="1:32" hidden="1">
      <c r="A579" s="1">
        <v>8810527</v>
      </c>
      <c r="B579" s="1" t="s">
        <v>101</v>
      </c>
      <c r="C579" t="s">
        <v>1134</v>
      </c>
      <c r="E579" s="2">
        <v>1058000206001</v>
      </c>
      <c r="F579" s="1" t="s">
        <v>29</v>
      </c>
      <c r="G579" s="1" t="s">
        <v>53</v>
      </c>
      <c r="H579" s="1" t="s">
        <v>289</v>
      </c>
      <c r="I579" s="1" t="s">
        <v>290</v>
      </c>
      <c r="J579" s="1" t="s">
        <v>56</v>
      </c>
      <c r="K579" t="s">
        <v>34</v>
      </c>
      <c r="M579" s="1" t="s">
        <v>35</v>
      </c>
      <c r="N579" s="1">
        <v>42318949</v>
      </c>
      <c r="O579" s="1" t="s">
        <v>105</v>
      </c>
      <c r="P579" s="186">
        <v>44781.503437500003</v>
      </c>
      <c r="R579" s="1" t="s">
        <v>38</v>
      </c>
      <c r="T579" s="1" t="s">
        <v>74</v>
      </c>
      <c r="U579" s="186">
        <v>44781.75</v>
      </c>
      <c r="V579" s="1" t="s">
        <v>41</v>
      </c>
      <c r="W579" s="1" t="s">
        <v>49</v>
      </c>
      <c r="X579" s="13" t="str">
        <f t="shared" ref="X579:X642" si="68">IF(RIGHT(H579,2)&lt;&gt;"00",H579,"")</f>
        <v/>
      </c>
      <c r="Y579" s="2">
        <f t="shared" ca="1" si="63"/>
        <v>148</v>
      </c>
      <c r="Z579" s="14">
        <v>1</v>
      </c>
      <c r="AA579" s="1" t="str">
        <f t="shared" ca="1" si="64"/>
        <v>VENCIDO</v>
      </c>
      <c r="AB579" s="1" t="str">
        <f t="shared" si="65"/>
        <v>Dosa</v>
      </c>
      <c r="AC579" s="2" t="str">
        <f t="shared" ref="AC579:AC642" si="6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 xml:space="preserve"> CRISTINA </v>
      </c>
      <c r="AD579" s="2">
        <f t="shared" si="66"/>
        <v>5</v>
      </c>
      <c r="AE579" s="2">
        <f t="shared" ca="1" si="67"/>
        <v>-204.9262716435187</v>
      </c>
      <c r="AF579" s="15"/>
    </row>
    <row r="580" spans="1:32" hidden="1">
      <c r="A580" s="1">
        <v>8810526</v>
      </c>
      <c r="B580" s="1" t="s">
        <v>101</v>
      </c>
      <c r="C580" t="s">
        <v>1134</v>
      </c>
      <c r="E580" s="2">
        <v>1058000206001</v>
      </c>
      <c r="F580" s="1" t="s">
        <v>29</v>
      </c>
      <c r="G580" s="1" t="s">
        <v>53</v>
      </c>
      <c r="H580" s="1" t="s">
        <v>289</v>
      </c>
      <c r="I580" s="1" t="s">
        <v>290</v>
      </c>
      <c r="J580" s="1" t="s">
        <v>56</v>
      </c>
      <c r="K580" t="s">
        <v>34</v>
      </c>
      <c r="M580" s="1" t="s">
        <v>35</v>
      </c>
      <c r="N580" s="1">
        <v>42318949</v>
      </c>
      <c r="O580" s="1" t="s">
        <v>105</v>
      </c>
      <c r="P580" s="186">
        <v>44781.503437500003</v>
      </c>
      <c r="R580" s="1" t="s">
        <v>38</v>
      </c>
      <c r="T580" s="1" t="s">
        <v>74</v>
      </c>
      <c r="U580" s="186">
        <v>44781.75</v>
      </c>
      <c r="V580" s="1" t="s">
        <v>41</v>
      </c>
      <c r="W580" s="1" t="s">
        <v>49</v>
      </c>
      <c r="X580" s="13" t="str">
        <f t="shared" si="68"/>
        <v/>
      </c>
      <c r="Y580" s="2">
        <f t="shared" ca="1" si="63"/>
        <v>148</v>
      </c>
      <c r="Z580" s="14">
        <v>1</v>
      </c>
      <c r="AA580" s="1" t="str">
        <f t="shared" ca="1" si="64"/>
        <v>VENCIDO</v>
      </c>
      <c r="AB580" s="1" t="str">
        <f t="shared" si="65"/>
        <v>Dosa</v>
      </c>
      <c r="AC580" s="2" t="str">
        <f t="shared" si="69"/>
        <v xml:space="preserve"> CRISTINA </v>
      </c>
      <c r="AD580" s="2">
        <f t="shared" si="66"/>
        <v>5</v>
      </c>
      <c r="AE580" s="2">
        <f t="shared" ca="1" si="67"/>
        <v>-204.9262716435187</v>
      </c>
      <c r="AF580" s="15"/>
    </row>
    <row r="581" spans="1:32" hidden="1">
      <c r="A581" s="1">
        <v>8810525</v>
      </c>
      <c r="B581" s="1" t="s">
        <v>101</v>
      </c>
      <c r="C581" t="s">
        <v>1134</v>
      </c>
      <c r="E581" s="2">
        <v>1058000206001</v>
      </c>
      <c r="F581" s="1" t="s">
        <v>29</v>
      </c>
      <c r="G581" s="1" t="s">
        <v>53</v>
      </c>
      <c r="H581" s="1" t="s">
        <v>289</v>
      </c>
      <c r="I581" s="1" t="s">
        <v>290</v>
      </c>
      <c r="J581" s="1" t="s">
        <v>56</v>
      </c>
      <c r="K581" t="s">
        <v>34</v>
      </c>
      <c r="M581" s="1" t="s">
        <v>35</v>
      </c>
      <c r="N581" s="1">
        <v>42318949</v>
      </c>
      <c r="O581" s="1" t="s">
        <v>105</v>
      </c>
      <c r="P581" s="186">
        <v>44781.503437500003</v>
      </c>
      <c r="R581" s="1" t="s">
        <v>38</v>
      </c>
      <c r="T581" s="1" t="s">
        <v>74</v>
      </c>
      <c r="U581" s="186">
        <v>44781.75</v>
      </c>
      <c r="V581" s="1" t="s">
        <v>41</v>
      </c>
      <c r="W581" s="1" t="s">
        <v>49</v>
      </c>
      <c r="X581" s="13" t="str">
        <f t="shared" si="68"/>
        <v/>
      </c>
      <c r="Y581" s="2">
        <f t="shared" ca="1" si="63"/>
        <v>148</v>
      </c>
      <c r="Z581" s="14">
        <v>1</v>
      </c>
      <c r="AA581" s="1" t="str">
        <f t="shared" ca="1" si="64"/>
        <v>VENCIDO</v>
      </c>
      <c r="AB581" s="1" t="str">
        <f t="shared" si="65"/>
        <v>Dosa</v>
      </c>
      <c r="AC581" s="2" t="str">
        <f t="shared" si="69"/>
        <v xml:space="preserve"> CRISTINA </v>
      </c>
      <c r="AD581" s="2">
        <f t="shared" si="66"/>
        <v>5</v>
      </c>
      <c r="AE581" s="2">
        <f t="shared" ca="1" si="67"/>
        <v>-204.9262716435187</v>
      </c>
      <c r="AF581" s="15"/>
    </row>
    <row r="582" spans="1:32" hidden="1">
      <c r="A582" s="1">
        <v>8810524</v>
      </c>
      <c r="B582" s="1" t="s">
        <v>101</v>
      </c>
      <c r="C582" t="s">
        <v>1134</v>
      </c>
      <c r="E582" s="2">
        <v>1058000206001</v>
      </c>
      <c r="F582" s="1" t="s">
        <v>29</v>
      </c>
      <c r="G582" s="1" t="s">
        <v>53</v>
      </c>
      <c r="H582" s="1" t="s">
        <v>289</v>
      </c>
      <c r="I582" s="1" t="s">
        <v>290</v>
      </c>
      <c r="J582" s="1" t="s">
        <v>56</v>
      </c>
      <c r="K582" t="s">
        <v>34</v>
      </c>
      <c r="M582" s="1" t="s">
        <v>35</v>
      </c>
      <c r="N582" s="1">
        <v>42318949</v>
      </c>
      <c r="O582" s="1" t="s">
        <v>105</v>
      </c>
      <c r="P582" s="186">
        <v>44781.503437500003</v>
      </c>
      <c r="R582" s="1" t="s">
        <v>38</v>
      </c>
      <c r="T582" s="1" t="s">
        <v>74</v>
      </c>
      <c r="U582" s="186">
        <v>44781.75</v>
      </c>
      <c r="V582" s="1" t="s">
        <v>41</v>
      </c>
      <c r="W582" s="1" t="s">
        <v>49</v>
      </c>
      <c r="X582" s="13" t="str">
        <f t="shared" si="68"/>
        <v/>
      </c>
      <c r="Y582" s="2">
        <f t="shared" ca="1" si="63"/>
        <v>148</v>
      </c>
      <c r="Z582" s="14">
        <v>1</v>
      </c>
      <c r="AA582" s="1" t="str">
        <f t="shared" ca="1" si="64"/>
        <v>VENCIDO</v>
      </c>
      <c r="AB582" s="1" t="str">
        <f t="shared" si="65"/>
        <v>Dosa</v>
      </c>
      <c r="AC582" s="2" t="str">
        <f t="shared" si="69"/>
        <v xml:space="preserve"> CRISTINA </v>
      </c>
      <c r="AD582" s="2">
        <f t="shared" si="66"/>
        <v>5</v>
      </c>
      <c r="AE582" s="2">
        <f t="shared" ca="1" si="67"/>
        <v>-204.9262716435187</v>
      </c>
      <c r="AF582" s="15"/>
    </row>
    <row r="583" spans="1:32" hidden="1">
      <c r="A583" s="1">
        <v>8810520</v>
      </c>
      <c r="B583" s="1" t="s">
        <v>101</v>
      </c>
      <c r="C583" t="s">
        <v>1134</v>
      </c>
      <c r="E583" s="2">
        <v>1052000206001</v>
      </c>
      <c r="F583" s="1" t="s">
        <v>29</v>
      </c>
      <c r="G583" s="1" t="s">
        <v>53</v>
      </c>
      <c r="H583" s="1" t="s">
        <v>329</v>
      </c>
      <c r="I583" s="1" t="s">
        <v>330</v>
      </c>
      <c r="J583" s="1" t="s">
        <v>79</v>
      </c>
      <c r="K583" t="s">
        <v>34</v>
      </c>
      <c r="M583" s="1" t="s">
        <v>35</v>
      </c>
      <c r="N583" s="1">
        <v>42318949</v>
      </c>
      <c r="O583" s="1" t="s">
        <v>105</v>
      </c>
      <c r="P583" s="186">
        <v>44781.503425925926</v>
      </c>
      <c r="R583" s="1" t="s">
        <v>38</v>
      </c>
      <c r="T583" s="1" t="s">
        <v>74</v>
      </c>
      <c r="U583" s="186">
        <v>44781.75</v>
      </c>
      <c r="V583" s="1" t="s">
        <v>41</v>
      </c>
      <c r="W583" s="1" t="s">
        <v>49</v>
      </c>
      <c r="X583" s="13" t="str">
        <f t="shared" si="68"/>
        <v/>
      </c>
      <c r="Y583" s="2">
        <f t="shared" ca="1" si="63"/>
        <v>148</v>
      </c>
      <c r="Z583" s="14">
        <v>1</v>
      </c>
      <c r="AA583" s="1" t="str">
        <f t="shared" ca="1" si="64"/>
        <v>VENCIDO</v>
      </c>
      <c r="AB583" s="1" t="str">
        <f t="shared" si="65"/>
        <v>Dosa</v>
      </c>
      <c r="AC583" s="2" t="str">
        <f t="shared" si="69"/>
        <v xml:space="preserve"> ROSEMERE </v>
      </c>
      <c r="AD583" s="2">
        <f t="shared" si="66"/>
        <v>5</v>
      </c>
      <c r="AE583" s="2">
        <f t="shared" ca="1" si="67"/>
        <v>-204.9262716435187</v>
      </c>
      <c r="AF583" s="15"/>
    </row>
    <row r="584" spans="1:32" hidden="1">
      <c r="A584" s="1">
        <v>8810519</v>
      </c>
      <c r="B584" s="1" t="s">
        <v>101</v>
      </c>
      <c r="C584" t="s">
        <v>1134</v>
      </c>
      <c r="E584" s="2">
        <v>1052000206001</v>
      </c>
      <c r="F584" s="1" t="s">
        <v>29</v>
      </c>
      <c r="G584" s="1" t="s">
        <v>53</v>
      </c>
      <c r="H584" s="1" t="s">
        <v>329</v>
      </c>
      <c r="I584" s="1" t="s">
        <v>330</v>
      </c>
      <c r="J584" s="1" t="s">
        <v>79</v>
      </c>
      <c r="K584" t="s">
        <v>34</v>
      </c>
      <c r="M584" s="1" t="s">
        <v>35</v>
      </c>
      <c r="N584" s="1">
        <v>42318949</v>
      </c>
      <c r="O584" s="1" t="s">
        <v>105</v>
      </c>
      <c r="P584" s="186">
        <v>44781.503425925926</v>
      </c>
      <c r="R584" s="1" t="s">
        <v>38</v>
      </c>
      <c r="T584" s="1" t="s">
        <v>74</v>
      </c>
      <c r="U584" s="186">
        <v>44781.75</v>
      </c>
      <c r="V584" s="1" t="s">
        <v>41</v>
      </c>
      <c r="W584" s="1" t="s">
        <v>49</v>
      </c>
      <c r="X584" s="13" t="str">
        <f t="shared" si="68"/>
        <v/>
      </c>
      <c r="Y584" s="2">
        <f t="shared" ca="1" si="63"/>
        <v>148</v>
      </c>
      <c r="Z584" s="14">
        <v>1</v>
      </c>
      <c r="AA584" s="1" t="str">
        <f t="shared" ca="1" si="64"/>
        <v>VENCIDO</v>
      </c>
      <c r="AB584" s="1" t="str">
        <f t="shared" si="65"/>
        <v>Dosa</v>
      </c>
      <c r="AC584" s="2" t="str">
        <f t="shared" si="69"/>
        <v xml:space="preserve"> ROSEMERE </v>
      </c>
      <c r="AD584" s="2">
        <f t="shared" si="66"/>
        <v>5</v>
      </c>
      <c r="AE584" s="2">
        <f t="shared" ca="1" si="67"/>
        <v>-204.9262716435187</v>
      </c>
      <c r="AF584" s="15"/>
    </row>
    <row r="585" spans="1:32" hidden="1">
      <c r="A585" s="1">
        <v>8810243</v>
      </c>
      <c r="B585" s="1" t="s">
        <v>101</v>
      </c>
      <c r="C585" t="s">
        <v>1134</v>
      </c>
      <c r="E585" s="2">
        <v>550000206001</v>
      </c>
      <c r="F585" s="1" t="s">
        <v>29</v>
      </c>
      <c r="G585" s="1" t="s">
        <v>53</v>
      </c>
      <c r="H585" s="1" t="s">
        <v>337</v>
      </c>
      <c r="I585" s="1" t="s">
        <v>338</v>
      </c>
      <c r="J585" s="1" t="s">
        <v>164</v>
      </c>
      <c r="K585" t="s">
        <v>34</v>
      </c>
      <c r="M585" s="1" t="s">
        <v>35</v>
      </c>
      <c r="N585" s="1">
        <v>42318949</v>
      </c>
      <c r="O585" s="1" t="s">
        <v>105</v>
      </c>
      <c r="P585" s="186">
        <v>44781.50309027778</v>
      </c>
      <c r="R585" s="1" t="s">
        <v>38</v>
      </c>
      <c r="T585" s="1" t="s">
        <v>74</v>
      </c>
      <c r="U585" s="186">
        <v>44781.75</v>
      </c>
      <c r="V585" s="1" t="s">
        <v>41</v>
      </c>
      <c r="W585" s="1" t="s">
        <v>49</v>
      </c>
      <c r="X585" s="13" t="str">
        <f t="shared" si="68"/>
        <v/>
      </c>
      <c r="Y585" s="2">
        <f t="shared" ca="1" si="63"/>
        <v>148</v>
      </c>
      <c r="Z585" s="14">
        <v>1</v>
      </c>
      <c r="AA585" s="1" t="str">
        <f t="shared" ca="1" si="64"/>
        <v>VENCIDO</v>
      </c>
      <c r="AB585" s="1" t="str">
        <f t="shared" si="65"/>
        <v>Dosa</v>
      </c>
      <c r="AC585" s="2" t="str">
        <f t="shared" si="69"/>
        <v xml:space="preserve"> ROSEMERE </v>
      </c>
      <c r="AD585" s="2">
        <f t="shared" si="66"/>
        <v>5</v>
      </c>
      <c r="AE585" s="2">
        <f t="shared" ca="1" si="67"/>
        <v>-204.9262716435187</v>
      </c>
      <c r="AF585" s="15"/>
    </row>
    <row r="586" spans="1:32" hidden="1">
      <c r="A586" s="1">
        <v>8810238</v>
      </c>
      <c r="B586" s="1" t="s">
        <v>101</v>
      </c>
      <c r="C586" t="s">
        <v>1134</v>
      </c>
      <c r="E586" s="2">
        <v>537000206001</v>
      </c>
      <c r="F586" s="1" t="s">
        <v>29</v>
      </c>
      <c r="G586" s="1" t="s">
        <v>53</v>
      </c>
      <c r="H586" s="1" t="s">
        <v>442</v>
      </c>
      <c r="I586" s="1" t="s">
        <v>443</v>
      </c>
      <c r="J586" s="1" t="s">
        <v>79</v>
      </c>
      <c r="K586" t="s">
        <v>34</v>
      </c>
      <c r="M586" s="1" t="s">
        <v>35</v>
      </c>
      <c r="N586" s="1">
        <v>42318949</v>
      </c>
      <c r="O586" s="1" t="s">
        <v>36</v>
      </c>
      <c r="P586" s="186">
        <v>44781.503078703703</v>
      </c>
      <c r="R586" s="1" t="s">
        <v>38</v>
      </c>
      <c r="T586" s="1" t="s">
        <v>74</v>
      </c>
      <c r="U586" s="186">
        <v>44781.75</v>
      </c>
      <c r="V586" s="1" t="s">
        <v>41</v>
      </c>
      <c r="W586" s="1" t="s">
        <v>49</v>
      </c>
      <c r="X586" s="13" t="str">
        <f t="shared" si="68"/>
        <v/>
      </c>
      <c r="Y586" s="2">
        <f t="shared" ca="1" si="63"/>
        <v>148</v>
      </c>
      <c r="Z586" s="14">
        <v>1</v>
      </c>
      <c r="AA586" s="1" t="str">
        <f t="shared" ca="1" si="64"/>
        <v>VENCIDO</v>
      </c>
      <c r="AB586" s="1" t="str">
        <f t="shared" si="65"/>
        <v>Dosa</v>
      </c>
      <c r="AC586" s="2" t="str">
        <f t="shared" si="69"/>
        <v xml:space="preserve"> ROSEMERE </v>
      </c>
      <c r="AD586" s="2">
        <f t="shared" si="66"/>
        <v>5</v>
      </c>
      <c r="AE586" s="2">
        <f t="shared" ca="1" si="67"/>
        <v>-204.9262716435187</v>
      </c>
      <c r="AF586" s="15"/>
    </row>
    <row r="587" spans="1:32" hidden="1">
      <c r="A587" s="1">
        <v>8824380</v>
      </c>
      <c r="B587" s="1" t="s">
        <v>62</v>
      </c>
      <c r="C587" t="s">
        <v>1148</v>
      </c>
      <c r="E587" s="2">
        <v>2229000203000</v>
      </c>
      <c r="F587" s="1" t="s">
        <v>454</v>
      </c>
      <c r="G587" s="1" t="s">
        <v>53</v>
      </c>
      <c r="H587" s="1" t="s">
        <v>339</v>
      </c>
      <c r="I587" s="1" t="s">
        <v>340</v>
      </c>
      <c r="J587" s="1" t="s">
        <v>211</v>
      </c>
      <c r="K587" t="s">
        <v>457</v>
      </c>
      <c r="M587" s="1" t="s">
        <v>58</v>
      </c>
      <c r="N587" s="1">
        <v>0</v>
      </c>
      <c r="O587" s="1" t="s">
        <v>36</v>
      </c>
      <c r="P587" s="11" t="s">
        <v>1149</v>
      </c>
      <c r="R587" s="1">
        <v>1</v>
      </c>
      <c r="T587" s="1" t="s">
        <v>157</v>
      </c>
      <c r="U587" s="186">
        <v>44818.75</v>
      </c>
      <c r="V587" s="1" t="s">
        <v>41</v>
      </c>
      <c r="W587" s="1" t="s">
        <v>49</v>
      </c>
      <c r="X587" s="13" t="str">
        <f t="shared" si="68"/>
        <v/>
      </c>
      <c r="Y587" s="2">
        <f t="shared" ca="1" si="63"/>
        <v>146</v>
      </c>
      <c r="Z587" s="14">
        <v>1</v>
      </c>
      <c r="AA587" s="1" t="str">
        <f t="shared" ca="1" si="64"/>
        <v>VENCIDO</v>
      </c>
      <c r="AB587" s="1" t="str">
        <f t="shared" si="65"/>
        <v>C-14</v>
      </c>
      <c r="AC587" s="2" t="str">
        <f t="shared" si="69"/>
        <v xml:space="preserve"> RINALDO </v>
      </c>
      <c r="AD587" s="2">
        <f t="shared" si="66"/>
        <v>5</v>
      </c>
      <c r="AE587" s="2">
        <f t="shared" ca="1" si="67"/>
        <v>-167.9262716435187</v>
      </c>
      <c r="AF587" s="15"/>
    </row>
    <row r="588" spans="1:32" hidden="1">
      <c r="A588" s="1">
        <v>8823141</v>
      </c>
      <c r="B588" s="1" t="s">
        <v>62</v>
      </c>
      <c r="C588" t="s">
        <v>1151</v>
      </c>
      <c r="E588" s="2">
        <v>2156000203000</v>
      </c>
      <c r="F588" s="1" t="s">
        <v>454</v>
      </c>
      <c r="G588" s="1" t="s">
        <v>53</v>
      </c>
      <c r="H588" s="1" t="s">
        <v>278</v>
      </c>
      <c r="I588" s="1" t="s">
        <v>279</v>
      </c>
      <c r="J588" s="1" t="s">
        <v>211</v>
      </c>
      <c r="K588" t="s">
        <v>457</v>
      </c>
      <c r="M588" s="1" t="s">
        <v>58</v>
      </c>
      <c r="N588" s="1">
        <v>0</v>
      </c>
      <c r="O588" s="1" t="s">
        <v>36</v>
      </c>
      <c r="P588" s="11" t="s">
        <v>1152</v>
      </c>
      <c r="R588" s="1">
        <v>1</v>
      </c>
      <c r="T588" s="1" t="s">
        <v>157</v>
      </c>
      <c r="U588" s="186">
        <v>44818.75</v>
      </c>
      <c r="V588" s="1" t="s">
        <v>41</v>
      </c>
      <c r="W588" s="1" t="s">
        <v>49</v>
      </c>
      <c r="X588" s="13" t="str">
        <f t="shared" si="68"/>
        <v/>
      </c>
      <c r="Y588" s="2">
        <f t="shared" ca="1" si="63"/>
        <v>146</v>
      </c>
      <c r="Z588" s="14">
        <v>1</v>
      </c>
      <c r="AA588" s="1" t="str">
        <f t="shared" ca="1" si="64"/>
        <v>VENCIDO</v>
      </c>
      <c r="AB588" s="1" t="str">
        <f t="shared" si="65"/>
        <v>C-14</v>
      </c>
      <c r="AC588" s="2" t="str">
        <f t="shared" si="69"/>
        <v xml:space="preserve"> RINALDO </v>
      </c>
      <c r="AD588" s="2">
        <f t="shared" si="66"/>
        <v>5</v>
      </c>
      <c r="AE588" s="2">
        <f t="shared" ca="1" si="67"/>
        <v>-167.9262716435187</v>
      </c>
      <c r="AF588" s="15"/>
    </row>
    <row r="589" spans="1:32" hidden="1">
      <c r="A589" s="1">
        <v>8827051</v>
      </c>
      <c r="B589" s="1" t="s">
        <v>1153</v>
      </c>
      <c r="C589" t="s">
        <v>1154</v>
      </c>
      <c r="D589" s="2">
        <v>20228489000013</v>
      </c>
      <c r="E589" s="2">
        <v>7417172315843</v>
      </c>
      <c r="F589" s="1" t="s">
        <v>1155</v>
      </c>
      <c r="G589" s="1" t="s">
        <v>53</v>
      </c>
      <c r="H589" s="1" t="s">
        <v>1156</v>
      </c>
      <c r="I589" s="1" t="s">
        <v>1157</v>
      </c>
      <c r="J589" s="1" t="s">
        <v>46</v>
      </c>
      <c r="K589" t="s">
        <v>1158</v>
      </c>
      <c r="M589" s="1" t="s">
        <v>58</v>
      </c>
      <c r="N589" s="1">
        <v>0</v>
      </c>
      <c r="O589" s="1" t="s">
        <v>36</v>
      </c>
      <c r="P589" s="11" t="s">
        <v>1159</v>
      </c>
      <c r="R589" s="1">
        <v>22</v>
      </c>
      <c r="T589" s="1" t="s">
        <v>1160</v>
      </c>
      <c r="U589" s="186">
        <v>44789.436655092592</v>
      </c>
      <c r="V589" s="1" t="s">
        <v>41</v>
      </c>
      <c r="W589" s="1" t="s">
        <v>49</v>
      </c>
      <c r="X589" s="13" t="str">
        <f t="shared" si="68"/>
        <v/>
      </c>
      <c r="Y589" s="2">
        <f t="shared" ca="1" si="63"/>
        <v>145</v>
      </c>
      <c r="Z589" s="14">
        <v>1</v>
      </c>
      <c r="AA589" s="1" t="str">
        <f t="shared" ca="1" si="64"/>
        <v>VENCIDO</v>
      </c>
      <c r="AB589" s="1" t="str">
        <f t="shared" si="65"/>
        <v>TAAe+</v>
      </c>
      <c r="AC589" s="2" t="str">
        <f t="shared" si="69"/>
        <v xml:space="preserve"> CLEITON </v>
      </c>
      <c r="AD589" s="2">
        <f t="shared" si="66"/>
        <v>8</v>
      </c>
      <c r="AE589" s="2">
        <f t="shared" ca="1" si="67"/>
        <v>-197.23961655092717</v>
      </c>
      <c r="AF589" s="15"/>
    </row>
    <row r="590" spans="1:32" hidden="1">
      <c r="A590" s="1">
        <v>8833673</v>
      </c>
      <c r="B590" s="1" t="s">
        <v>62</v>
      </c>
      <c r="C590" t="s">
        <v>1162</v>
      </c>
      <c r="E590" s="2">
        <v>3108000206001</v>
      </c>
      <c r="F590" s="1" t="s">
        <v>29</v>
      </c>
      <c r="G590" s="1" t="s">
        <v>53</v>
      </c>
      <c r="H590" s="1" t="s">
        <v>325</v>
      </c>
      <c r="I590" s="1" t="s">
        <v>326</v>
      </c>
      <c r="J590" s="1" t="s">
        <v>46</v>
      </c>
      <c r="K590" t="s">
        <v>34</v>
      </c>
      <c r="M590" s="1" t="s">
        <v>35</v>
      </c>
      <c r="N590" s="1">
        <v>42318949</v>
      </c>
      <c r="O590" s="1" t="s">
        <v>36</v>
      </c>
      <c r="P590" s="11" t="s">
        <v>1163</v>
      </c>
      <c r="R590" s="1" t="s">
        <v>38</v>
      </c>
      <c r="T590" s="1" t="s">
        <v>74</v>
      </c>
      <c r="U590" s="186">
        <v>44830.75</v>
      </c>
      <c r="V590" s="1" t="s">
        <v>41</v>
      </c>
      <c r="W590" s="1" t="s">
        <v>49</v>
      </c>
      <c r="X590" s="13" t="str">
        <f t="shared" si="68"/>
        <v/>
      </c>
      <c r="Y590" s="2">
        <f t="shared" ca="1" si="63"/>
        <v>143</v>
      </c>
      <c r="Z590" s="14">
        <v>1</v>
      </c>
      <c r="AA590" s="1" t="str">
        <f t="shared" ca="1" si="64"/>
        <v>VENCIDO</v>
      </c>
      <c r="AB590" s="1" t="str">
        <f t="shared" si="65"/>
        <v>Dosa</v>
      </c>
      <c r="AC590" s="2" t="str">
        <f t="shared" si="69"/>
        <v xml:space="preserve"> CLEITON </v>
      </c>
      <c r="AD590" s="2">
        <f t="shared" si="66"/>
        <v>5</v>
      </c>
      <c r="AE590" s="2">
        <f t="shared" ca="1" si="67"/>
        <v>-155.9262716435187</v>
      </c>
      <c r="AF590" s="15"/>
    </row>
    <row r="591" spans="1:32" hidden="1">
      <c r="A591" s="1">
        <v>8839442</v>
      </c>
      <c r="B591" s="1" t="s">
        <v>62</v>
      </c>
      <c r="C591" t="s">
        <v>1165</v>
      </c>
      <c r="E591" s="2">
        <v>7420380203000</v>
      </c>
      <c r="F591" s="1" t="s">
        <v>454</v>
      </c>
      <c r="G591" s="1" t="s">
        <v>30</v>
      </c>
      <c r="H591" s="1" t="s">
        <v>1166</v>
      </c>
      <c r="I591" s="1" t="s">
        <v>1167</v>
      </c>
      <c r="J591" s="1" t="s">
        <v>46</v>
      </c>
      <c r="K591" t="s">
        <v>457</v>
      </c>
      <c r="M591" s="1" t="s">
        <v>58</v>
      </c>
      <c r="N591" s="1">
        <v>0</v>
      </c>
      <c r="O591" s="1" t="s">
        <v>105</v>
      </c>
      <c r="P591" s="11" t="s">
        <v>1168</v>
      </c>
      <c r="R591" s="1" t="s">
        <v>38</v>
      </c>
      <c r="T591" s="1" t="s">
        <v>157</v>
      </c>
      <c r="U591" s="186">
        <v>44825.75</v>
      </c>
      <c r="V591" s="1" t="s">
        <v>41</v>
      </c>
      <c r="W591" s="1" t="s">
        <v>49</v>
      </c>
      <c r="X591" s="13" t="str">
        <f t="shared" si="68"/>
        <v>7420.38</v>
      </c>
      <c r="Y591" s="2">
        <f t="shared" ca="1" si="63"/>
        <v>141</v>
      </c>
      <c r="Z591" s="14">
        <v>1</v>
      </c>
      <c r="AA591" s="1" t="str">
        <f t="shared" ca="1" si="64"/>
        <v>VENCIDO</v>
      </c>
      <c r="AB591" s="1" t="str">
        <f t="shared" si="65"/>
        <v>C-14</v>
      </c>
      <c r="AC591" s="2" t="str">
        <f t="shared" si="69"/>
        <v xml:space="preserve"> CLEITON </v>
      </c>
      <c r="AD591" s="2">
        <f t="shared" si="66"/>
        <v>5</v>
      </c>
      <c r="AE591" s="2">
        <f t="shared" ca="1" si="67"/>
        <v>-160.9262716435187</v>
      </c>
      <c r="AF591" s="15"/>
    </row>
    <row r="592" spans="1:32" hidden="1">
      <c r="A592" s="1">
        <v>8844322</v>
      </c>
      <c r="B592" s="1" t="s">
        <v>62</v>
      </c>
      <c r="C592" t="s">
        <v>1170</v>
      </c>
      <c r="E592" s="2">
        <v>714000203000</v>
      </c>
      <c r="F592" s="1" t="s">
        <v>454</v>
      </c>
      <c r="G592" s="1" t="s">
        <v>53</v>
      </c>
      <c r="H592" s="1" t="s">
        <v>377</v>
      </c>
      <c r="I592" s="1" t="s">
        <v>378</v>
      </c>
      <c r="J592" s="1" t="s">
        <v>46</v>
      </c>
      <c r="K592" t="s">
        <v>457</v>
      </c>
      <c r="M592" s="1" t="s">
        <v>58</v>
      </c>
      <c r="N592" s="1">
        <v>0</v>
      </c>
      <c r="O592" s="1" t="s">
        <v>36</v>
      </c>
      <c r="P592" s="11" t="s">
        <v>1171</v>
      </c>
      <c r="R592" s="1">
        <v>1</v>
      </c>
      <c r="T592" s="1" t="s">
        <v>157</v>
      </c>
      <c r="U592" s="186">
        <v>44827.75</v>
      </c>
      <c r="V592" s="1" t="s">
        <v>41</v>
      </c>
      <c r="W592" s="1" t="s">
        <v>49</v>
      </c>
      <c r="X592" s="13" t="str">
        <f t="shared" si="68"/>
        <v/>
      </c>
      <c r="Y592" s="2">
        <f t="shared" ca="1" si="63"/>
        <v>139</v>
      </c>
      <c r="Z592" s="14">
        <v>1</v>
      </c>
      <c r="AA592" s="1" t="str">
        <f t="shared" ca="1" si="64"/>
        <v>VENCIDO</v>
      </c>
      <c r="AB592" s="1" t="str">
        <f t="shared" si="65"/>
        <v>C-14</v>
      </c>
      <c r="AC592" s="2" t="str">
        <f t="shared" si="69"/>
        <v xml:space="preserve"> CLEITON </v>
      </c>
      <c r="AD592" s="2">
        <f t="shared" si="66"/>
        <v>5</v>
      </c>
      <c r="AE592" s="2">
        <f t="shared" ca="1" si="67"/>
        <v>-158.9262716435187</v>
      </c>
      <c r="AF592" s="15"/>
    </row>
    <row r="593" spans="1:32" hidden="1">
      <c r="A593" s="1">
        <v>8844316</v>
      </c>
      <c r="B593" s="1" t="s">
        <v>62</v>
      </c>
      <c r="C593" t="s">
        <v>1173</v>
      </c>
      <c r="E593" s="2">
        <v>714000206001</v>
      </c>
      <c r="F593" s="1" t="s">
        <v>29</v>
      </c>
      <c r="G593" s="1" t="s">
        <v>53</v>
      </c>
      <c r="H593" s="1" t="s">
        <v>377</v>
      </c>
      <c r="I593" s="1" t="s">
        <v>378</v>
      </c>
      <c r="J593" s="1" t="s">
        <v>46</v>
      </c>
      <c r="K593" t="s">
        <v>34</v>
      </c>
      <c r="M593" s="1" t="s">
        <v>35</v>
      </c>
      <c r="N593" s="1">
        <v>42318949</v>
      </c>
      <c r="O593" s="1" t="s">
        <v>36</v>
      </c>
      <c r="P593" s="11" t="s">
        <v>1174</v>
      </c>
      <c r="R593" s="1" t="s">
        <v>38</v>
      </c>
      <c r="T593" s="1" t="s">
        <v>74</v>
      </c>
      <c r="U593" s="11" t="s">
        <v>1175</v>
      </c>
      <c r="V593" s="1" t="s">
        <v>41</v>
      </c>
      <c r="W593" s="1" t="s">
        <v>49</v>
      </c>
      <c r="X593" s="13" t="str">
        <f t="shared" si="68"/>
        <v/>
      </c>
      <c r="Y593" s="2">
        <f t="shared" ca="1" si="63"/>
        <v>139</v>
      </c>
      <c r="Z593" s="14">
        <v>1</v>
      </c>
      <c r="AA593" s="1" t="str">
        <f t="shared" ca="1" si="64"/>
        <v>VENCIDO</v>
      </c>
      <c r="AB593" s="1" t="str">
        <f t="shared" si="65"/>
        <v>Dosa</v>
      </c>
      <c r="AC593" s="2" t="str">
        <f t="shared" si="69"/>
        <v xml:space="preserve"> CLEITON </v>
      </c>
      <c r="AD593" s="2">
        <f t="shared" si="66"/>
        <v>5</v>
      </c>
      <c r="AE593" s="2">
        <f t="shared" ca="1" si="67"/>
        <v>-151.9262716435187</v>
      </c>
      <c r="AF593" s="15"/>
    </row>
    <row r="594" spans="1:32" hidden="1">
      <c r="A594" s="1">
        <v>8851831</v>
      </c>
      <c r="B594" s="1" t="s">
        <v>101</v>
      </c>
      <c r="C594" t="s">
        <v>1176</v>
      </c>
      <c r="E594" s="2">
        <v>9704000206121</v>
      </c>
      <c r="F594" s="1" t="s">
        <v>113</v>
      </c>
      <c r="G594" s="1" t="s">
        <v>53</v>
      </c>
      <c r="H594" s="1" t="s">
        <v>488</v>
      </c>
      <c r="I594" s="1" t="s">
        <v>489</v>
      </c>
      <c r="J594" s="1" t="s">
        <v>90</v>
      </c>
      <c r="K594" t="s">
        <v>116</v>
      </c>
      <c r="M594" s="1" t="s">
        <v>35</v>
      </c>
      <c r="N594" s="1">
        <v>42318949</v>
      </c>
      <c r="O594" s="1" t="s">
        <v>105</v>
      </c>
      <c r="P594" s="11" t="s">
        <v>1177</v>
      </c>
      <c r="R594" s="1" t="s">
        <v>38</v>
      </c>
      <c r="T594" s="1" t="s">
        <v>74</v>
      </c>
      <c r="U594" s="11" t="s">
        <v>1178</v>
      </c>
      <c r="V594" s="1" t="s">
        <v>41</v>
      </c>
      <c r="W594" s="1" t="s">
        <v>49</v>
      </c>
      <c r="X594" s="13" t="str">
        <f t="shared" si="68"/>
        <v/>
      </c>
      <c r="Y594" s="2">
        <f t="shared" ca="1" si="63"/>
        <v>138</v>
      </c>
      <c r="Z594" s="14">
        <v>1</v>
      </c>
      <c r="AA594" s="1" t="str">
        <f t="shared" ca="1" si="64"/>
        <v>VENCIDO</v>
      </c>
      <c r="AB594" s="1" t="str">
        <f t="shared" si="65"/>
        <v>TAAe+</v>
      </c>
      <c r="AC594" s="2" t="str">
        <f t="shared" si="69"/>
        <v xml:space="preserve"> RINALDO </v>
      </c>
      <c r="AD594" s="2">
        <f t="shared" si="66"/>
        <v>8</v>
      </c>
      <c r="AE594" s="2">
        <f t="shared" ca="1" si="67"/>
        <v>-189.9262716435187</v>
      </c>
      <c r="AF594" s="15"/>
    </row>
    <row r="595" spans="1:32" hidden="1">
      <c r="A595" s="1">
        <v>8851830</v>
      </c>
      <c r="B595" s="1" t="s">
        <v>101</v>
      </c>
      <c r="C595" t="s">
        <v>1176</v>
      </c>
      <c r="E595" s="2">
        <v>9704000206121</v>
      </c>
      <c r="F595" s="1" t="s">
        <v>113</v>
      </c>
      <c r="G595" s="1" t="s">
        <v>53</v>
      </c>
      <c r="H595" s="1" t="s">
        <v>488</v>
      </c>
      <c r="I595" s="1" t="s">
        <v>489</v>
      </c>
      <c r="J595" s="1" t="s">
        <v>90</v>
      </c>
      <c r="K595" t="s">
        <v>116</v>
      </c>
      <c r="M595" s="1" t="s">
        <v>35</v>
      </c>
      <c r="N595" s="1">
        <v>42318949</v>
      </c>
      <c r="O595" s="1" t="s">
        <v>105</v>
      </c>
      <c r="P595" s="11" t="s">
        <v>1177</v>
      </c>
      <c r="R595" s="1" t="s">
        <v>38</v>
      </c>
      <c r="T595" s="1" t="s">
        <v>74</v>
      </c>
      <c r="U595" s="11" t="s">
        <v>1178</v>
      </c>
      <c r="V595" s="1" t="s">
        <v>41</v>
      </c>
      <c r="W595" s="1" t="s">
        <v>49</v>
      </c>
      <c r="X595" s="13" t="str">
        <f t="shared" si="68"/>
        <v/>
      </c>
      <c r="Y595" s="2">
        <f t="shared" ca="1" si="63"/>
        <v>138</v>
      </c>
      <c r="Z595" s="14">
        <v>1</v>
      </c>
      <c r="AA595" s="1" t="str">
        <f t="shared" ca="1" si="64"/>
        <v>VENCIDO</v>
      </c>
      <c r="AB595" s="1" t="str">
        <f t="shared" si="65"/>
        <v>TAAe+</v>
      </c>
      <c r="AC595" s="2" t="str">
        <f t="shared" si="69"/>
        <v xml:space="preserve"> RINALDO </v>
      </c>
      <c r="AD595" s="2">
        <f t="shared" si="66"/>
        <v>8</v>
      </c>
      <c r="AE595" s="2">
        <f t="shared" ca="1" si="67"/>
        <v>-189.9262716435187</v>
      </c>
      <c r="AF595" s="15"/>
    </row>
    <row r="596" spans="1:32" hidden="1">
      <c r="A596" s="1">
        <v>8851829</v>
      </c>
      <c r="B596" s="1" t="s">
        <v>101</v>
      </c>
      <c r="C596" t="s">
        <v>1176</v>
      </c>
      <c r="E596" s="2">
        <v>9704000206121</v>
      </c>
      <c r="F596" s="1" t="s">
        <v>113</v>
      </c>
      <c r="G596" s="1" t="s">
        <v>53</v>
      </c>
      <c r="H596" s="1" t="s">
        <v>488</v>
      </c>
      <c r="I596" s="1" t="s">
        <v>489</v>
      </c>
      <c r="J596" s="1" t="s">
        <v>90</v>
      </c>
      <c r="K596" t="s">
        <v>116</v>
      </c>
      <c r="M596" s="1" t="s">
        <v>35</v>
      </c>
      <c r="N596" s="1">
        <v>42318949</v>
      </c>
      <c r="O596" s="1" t="s">
        <v>105</v>
      </c>
      <c r="P596" s="11" t="s">
        <v>1177</v>
      </c>
      <c r="R596" s="1" t="s">
        <v>38</v>
      </c>
      <c r="T596" s="1" t="s">
        <v>74</v>
      </c>
      <c r="U596" s="11" t="s">
        <v>1178</v>
      </c>
      <c r="V596" s="1" t="s">
        <v>41</v>
      </c>
      <c r="W596" s="1" t="s">
        <v>49</v>
      </c>
      <c r="X596" s="13" t="str">
        <f t="shared" si="68"/>
        <v/>
      </c>
      <c r="Y596" s="2">
        <f t="shared" ca="1" si="63"/>
        <v>138</v>
      </c>
      <c r="Z596" s="14">
        <v>1</v>
      </c>
      <c r="AA596" s="1" t="str">
        <f t="shared" ca="1" si="64"/>
        <v>VENCIDO</v>
      </c>
      <c r="AB596" s="1" t="str">
        <f t="shared" si="65"/>
        <v>TAAe+</v>
      </c>
      <c r="AC596" s="2" t="str">
        <f t="shared" si="69"/>
        <v xml:space="preserve"> RINALDO </v>
      </c>
      <c r="AD596" s="2">
        <f t="shared" si="66"/>
        <v>8</v>
      </c>
      <c r="AE596" s="2">
        <f t="shared" ca="1" si="67"/>
        <v>-189.9262716435187</v>
      </c>
      <c r="AF596" s="15"/>
    </row>
    <row r="597" spans="1:32" hidden="1">
      <c r="A597" s="1">
        <v>8851826</v>
      </c>
      <c r="B597" s="1" t="s">
        <v>101</v>
      </c>
      <c r="C597" t="s">
        <v>1176</v>
      </c>
      <c r="E597" s="2">
        <v>9700000206121</v>
      </c>
      <c r="F597" s="1" t="s">
        <v>113</v>
      </c>
      <c r="G597" s="1" t="s">
        <v>53</v>
      </c>
      <c r="H597" s="1" t="s">
        <v>209</v>
      </c>
      <c r="I597" s="1" t="s">
        <v>210</v>
      </c>
      <c r="J597" s="1" t="s">
        <v>211</v>
      </c>
      <c r="K597" t="s">
        <v>116</v>
      </c>
      <c r="M597" s="1" t="s">
        <v>35</v>
      </c>
      <c r="N597" s="1">
        <v>42318949</v>
      </c>
      <c r="O597" s="1" t="s">
        <v>105</v>
      </c>
      <c r="P597" s="11" t="s">
        <v>1177</v>
      </c>
      <c r="R597" s="1" t="s">
        <v>38</v>
      </c>
      <c r="T597" s="1" t="s">
        <v>74</v>
      </c>
      <c r="U597" s="11" t="s">
        <v>1178</v>
      </c>
      <c r="V597" s="1" t="s">
        <v>41</v>
      </c>
      <c r="W597" s="1" t="s">
        <v>49</v>
      </c>
      <c r="X597" s="13" t="str">
        <f t="shared" si="68"/>
        <v/>
      </c>
      <c r="Y597" s="2">
        <f t="shared" ca="1" si="63"/>
        <v>138</v>
      </c>
      <c r="Z597" s="14">
        <v>1</v>
      </c>
      <c r="AA597" s="1" t="str">
        <f t="shared" ca="1" si="64"/>
        <v>VENCIDO</v>
      </c>
      <c r="AB597" s="1" t="str">
        <f t="shared" si="65"/>
        <v>TAAe+</v>
      </c>
      <c r="AC597" s="2" t="str">
        <f t="shared" si="69"/>
        <v xml:space="preserve"> RINALDO </v>
      </c>
      <c r="AD597" s="2">
        <f t="shared" si="66"/>
        <v>8</v>
      </c>
      <c r="AE597" s="2">
        <f t="shared" ca="1" si="67"/>
        <v>-189.9262716435187</v>
      </c>
      <c r="AF597" s="15"/>
    </row>
    <row r="598" spans="1:32" hidden="1">
      <c r="A598" s="1">
        <v>8851825</v>
      </c>
      <c r="B598" s="1" t="s">
        <v>101</v>
      </c>
      <c r="C598" t="s">
        <v>1176</v>
      </c>
      <c r="E598" s="2">
        <v>9700000206121</v>
      </c>
      <c r="F598" s="1" t="s">
        <v>113</v>
      </c>
      <c r="G598" s="1" t="s">
        <v>53</v>
      </c>
      <c r="H598" s="1" t="s">
        <v>209</v>
      </c>
      <c r="I598" s="1" t="s">
        <v>210</v>
      </c>
      <c r="J598" s="1" t="s">
        <v>211</v>
      </c>
      <c r="K598" t="s">
        <v>116</v>
      </c>
      <c r="M598" s="1" t="s">
        <v>35</v>
      </c>
      <c r="N598" s="1">
        <v>42318949</v>
      </c>
      <c r="O598" s="1" t="s">
        <v>105</v>
      </c>
      <c r="P598" s="11" t="s">
        <v>1177</v>
      </c>
      <c r="R598" s="1" t="s">
        <v>38</v>
      </c>
      <c r="T598" s="1" t="s">
        <v>74</v>
      </c>
      <c r="U598" s="11" t="s">
        <v>1178</v>
      </c>
      <c r="V598" s="1" t="s">
        <v>41</v>
      </c>
      <c r="W598" s="1" t="s">
        <v>49</v>
      </c>
      <c r="X598" s="13" t="str">
        <f t="shared" si="68"/>
        <v/>
      </c>
      <c r="Y598" s="2">
        <f t="shared" ca="1" si="63"/>
        <v>138</v>
      </c>
      <c r="Z598" s="14">
        <v>1</v>
      </c>
      <c r="AA598" s="1" t="str">
        <f t="shared" ca="1" si="64"/>
        <v>VENCIDO</v>
      </c>
      <c r="AB598" s="1" t="str">
        <f t="shared" si="65"/>
        <v>TAAe+</v>
      </c>
      <c r="AC598" s="2" t="str">
        <f t="shared" si="69"/>
        <v xml:space="preserve"> RINALDO </v>
      </c>
      <c r="AD598" s="2">
        <f t="shared" si="66"/>
        <v>8</v>
      </c>
      <c r="AE598" s="2">
        <f t="shared" ca="1" si="67"/>
        <v>-189.9262716435187</v>
      </c>
      <c r="AF598" s="15"/>
    </row>
    <row r="599" spans="1:32" hidden="1">
      <c r="A599" s="1">
        <v>8851534</v>
      </c>
      <c r="B599" s="1" t="s">
        <v>101</v>
      </c>
      <c r="C599" t="s">
        <v>1176</v>
      </c>
      <c r="E599" s="2">
        <v>9406000206121</v>
      </c>
      <c r="F599" s="1" t="s">
        <v>113</v>
      </c>
      <c r="G599" s="1" t="s">
        <v>53</v>
      </c>
      <c r="H599" s="1" t="s">
        <v>114</v>
      </c>
      <c r="I599" s="1" t="s">
        <v>115</v>
      </c>
      <c r="J599" s="1" t="s">
        <v>46</v>
      </c>
      <c r="K599" t="s">
        <v>116</v>
      </c>
      <c r="M599" s="1" t="s">
        <v>35</v>
      </c>
      <c r="N599" s="1">
        <v>42318949</v>
      </c>
      <c r="O599" s="1" t="s">
        <v>105</v>
      </c>
      <c r="P599" s="11" t="s">
        <v>1179</v>
      </c>
      <c r="R599" s="1" t="s">
        <v>38</v>
      </c>
      <c r="T599" s="1" t="s">
        <v>74</v>
      </c>
      <c r="U599" s="11" t="s">
        <v>1178</v>
      </c>
      <c r="V599" s="1" t="s">
        <v>41</v>
      </c>
      <c r="W599" s="1" t="s">
        <v>49</v>
      </c>
      <c r="X599" s="13" t="str">
        <f t="shared" si="68"/>
        <v/>
      </c>
      <c r="Y599" s="2">
        <f t="shared" ca="1" si="63"/>
        <v>138</v>
      </c>
      <c r="Z599" s="14">
        <v>1</v>
      </c>
      <c r="AA599" s="1" t="str">
        <f t="shared" ca="1" si="64"/>
        <v>VENCIDO</v>
      </c>
      <c r="AB599" s="1" t="str">
        <f t="shared" si="65"/>
        <v>TAAe+</v>
      </c>
      <c r="AC599" s="2" t="str">
        <f t="shared" si="69"/>
        <v xml:space="preserve"> CLEITON </v>
      </c>
      <c r="AD599" s="2">
        <f t="shared" si="66"/>
        <v>8</v>
      </c>
      <c r="AE599" s="2">
        <f t="shared" ca="1" si="67"/>
        <v>-189.9262716435187</v>
      </c>
      <c r="AF599" s="15"/>
    </row>
    <row r="600" spans="1:32" hidden="1">
      <c r="A600" s="1">
        <v>8851533</v>
      </c>
      <c r="B600" s="1" t="s">
        <v>101</v>
      </c>
      <c r="C600" t="s">
        <v>1176</v>
      </c>
      <c r="E600" s="2">
        <v>9406000206121</v>
      </c>
      <c r="F600" s="1" t="s">
        <v>113</v>
      </c>
      <c r="G600" s="1" t="s">
        <v>53</v>
      </c>
      <c r="H600" s="1" t="s">
        <v>114</v>
      </c>
      <c r="I600" s="1" t="s">
        <v>115</v>
      </c>
      <c r="J600" s="1" t="s">
        <v>46</v>
      </c>
      <c r="K600" t="s">
        <v>116</v>
      </c>
      <c r="M600" s="1" t="s">
        <v>35</v>
      </c>
      <c r="N600" s="1">
        <v>42318949</v>
      </c>
      <c r="O600" s="1" t="s">
        <v>105</v>
      </c>
      <c r="P600" s="11" t="s">
        <v>1179</v>
      </c>
      <c r="R600" s="1" t="s">
        <v>38</v>
      </c>
      <c r="T600" s="1" t="s">
        <v>74</v>
      </c>
      <c r="U600" s="11" t="s">
        <v>1178</v>
      </c>
      <c r="V600" s="1" t="s">
        <v>41</v>
      </c>
      <c r="W600" s="1" t="s">
        <v>49</v>
      </c>
      <c r="X600" s="13" t="str">
        <f t="shared" si="68"/>
        <v/>
      </c>
      <c r="Y600" s="2">
        <f t="shared" ca="1" si="63"/>
        <v>138</v>
      </c>
      <c r="Z600" s="14">
        <v>1</v>
      </c>
      <c r="AA600" s="1" t="str">
        <f t="shared" ca="1" si="64"/>
        <v>VENCIDO</v>
      </c>
      <c r="AB600" s="1" t="str">
        <f t="shared" si="65"/>
        <v>TAAe+</v>
      </c>
      <c r="AC600" s="2" t="str">
        <f t="shared" si="69"/>
        <v xml:space="preserve"> CLEITON </v>
      </c>
      <c r="AD600" s="2">
        <f t="shared" si="66"/>
        <v>8</v>
      </c>
      <c r="AE600" s="2">
        <f t="shared" ca="1" si="67"/>
        <v>-189.9262716435187</v>
      </c>
      <c r="AF600" s="15"/>
    </row>
    <row r="601" spans="1:32" hidden="1">
      <c r="A601" s="1">
        <v>8851532</v>
      </c>
      <c r="B601" s="1" t="s">
        <v>101</v>
      </c>
      <c r="C601" t="s">
        <v>1176</v>
      </c>
      <c r="E601" s="2">
        <v>9406000206121</v>
      </c>
      <c r="F601" s="1" t="s">
        <v>113</v>
      </c>
      <c r="G601" s="1" t="s">
        <v>53</v>
      </c>
      <c r="H601" s="1" t="s">
        <v>114</v>
      </c>
      <c r="I601" s="1" t="s">
        <v>115</v>
      </c>
      <c r="J601" s="1" t="s">
        <v>46</v>
      </c>
      <c r="K601" t="s">
        <v>116</v>
      </c>
      <c r="M601" s="1" t="s">
        <v>35</v>
      </c>
      <c r="N601" s="1">
        <v>42318949</v>
      </c>
      <c r="O601" s="1" t="s">
        <v>105</v>
      </c>
      <c r="P601" s="11" t="s">
        <v>1179</v>
      </c>
      <c r="R601" s="1" t="s">
        <v>38</v>
      </c>
      <c r="T601" s="1" t="s">
        <v>74</v>
      </c>
      <c r="U601" s="11" t="s">
        <v>1178</v>
      </c>
      <c r="V601" s="1" t="s">
        <v>41</v>
      </c>
      <c r="W601" s="1" t="s">
        <v>49</v>
      </c>
      <c r="X601" s="13" t="str">
        <f t="shared" si="68"/>
        <v/>
      </c>
      <c r="Y601" s="2">
        <f t="shared" ca="1" si="63"/>
        <v>138</v>
      </c>
      <c r="Z601" s="14">
        <v>1</v>
      </c>
      <c r="AA601" s="1" t="str">
        <f t="shared" ca="1" si="64"/>
        <v>VENCIDO</v>
      </c>
      <c r="AB601" s="1" t="str">
        <f t="shared" si="65"/>
        <v>TAAe+</v>
      </c>
      <c r="AC601" s="2" t="str">
        <f t="shared" si="69"/>
        <v xml:space="preserve"> CLEITON </v>
      </c>
      <c r="AD601" s="2">
        <f t="shared" si="66"/>
        <v>8</v>
      </c>
      <c r="AE601" s="2">
        <f t="shared" ca="1" si="67"/>
        <v>-189.9262716435187</v>
      </c>
      <c r="AF601" s="15"/>
    </row>
    <row r="602" spans="1:32" hidden="1">
      <c r="A602" s="1">
        <v>8851531</v>
      </c>
      <c r="B602" s="1" t="s">
        <v>101</v>
      </c>
      <c r="C602" t="s">
        <v>1176</v>
      </c>
      <c r="E602" s="2">
        <v>9406000206121</v>
      </c>
      <c r="F602" s="1" t="s">
        <v>113</v>
      </c>
      <c r="G602" s="1" t="s">
        <v>53</v>
      </c>
      <c r="H602" s="1" t="s">
        <v>114</v>
      </c>
      <c r="I602" s="1" t="s">
        <v>115</v>
      </c>
      <c r="J602" s="1" t="s">
        <v>46</v>
      </c>
      <c r="K602" t="s">
        <v>116</v>
      </c>
      <c r="M602" s="1" t="s">
        <v>35</v>
      </c>
      <c r="N602" s="1">
        <v>42318949</v>
      </c>
      <c r="O602" s="1" t="s">
        <v>105</v>
      </c>
      <c r="P602" s="11" t="s">
        <v>1179</v>
      </c>
      <c r="R602" s="1" t="s">
        <v>38</v>
      </c>
      <c r="T602" s="1" t="s">
        <v>74</v>
      </c>
      <c r="U602" s="11" t="s">
        <v>1178</v>
      </c>
      <c r="V602" s="1" t="s">
        <v>41</v>
      </c>
      <c r="W602" s="1" t="s">
        <v>49</v>
      </c>
      <c r="X602" s="13" t="str">
        <f t="shared" si="68"/>
        <v/>
      </c>
      <c r="Y602" s="2">
        <f t="shared" ca="1" si="63"/>
        <v>138</v>
      </c>
      <c r="Z602" s="14">
        <v>1</v>
      </c>
      <c r="AA602" s="1" t="str">
        <f t="shared" ca="1" si="64"/>
        <v>VENCIDO</v>
      </c>
      <c r="AB602" s="1" t="str">
        <f t="shared" si="65"/>
        <v>TAAe+</v>
      </c>
      <c r="AC602" s="2" t="str">
        <f t="shared" si="69"/>
        <v xml:space="preserve"> CLEITON </v>
      </c>
      <c r="AD602" s="2">
        <f t="shared" si="66"/>
        <v>8</v>
      </c>
      <c r="AE602" s="2">
        <f t="shared" ca="1" si="67"/>
        <v>-189.9262716435187</v>
      </c>
      <c r="AF602" s="15"/>
    </row>
    <row r="603" spans="1:32" hidden="1">
      <c r="A603" s="1">
        <v>8851530</v>
      </c>
      <c r="B603" s="1" t="s">
        <v>101</v>
      </c>
      <c r="C603" t="s">
        <v>1176</v>
      </c>
      <c r="E603" s="2">
        <v>9406000206121</v>
      </c>
      <c r="F603" s="1" t="s">
        <v>113</v>
      </c>
      <c r="G603" s="1" t="s">
        <v>53</v>
      </c>
      <c r="H603" s="1" t="s">
        <v>114</v>
      </c>
      <c r="I603" s="1" t="s">
        <v>115</v>
      </c>
      <c r="J603" s="1" t="s">
        <v>46</v>
      </c>
      <c r="K603" t="s">
        <v>116</v>
      </c>
      <c r="M603" s="1" t="s">
        <v>35</v>
      </c>
      <c r="N603" s="1">
        <v>42318949</v>
      </c>
      <c r="O603" s="1" t="s">
        <v>105</v>
      </c>
      <c r="P603" s="11" t="s">
        <v>1180</v>
      </c>
      <c r="R603" s="1" t="s">
        <v>38</v>
      </c>
      <c r="T603" s="1" t="s">
        <v>74</v>
      </c>
      <c r="U603" s="186">
        <v>44796.75</v>
      </c>
      <c r="V603" s="1" t="s">
        <v>41</v>
      </c>
      <c r="W603" s="1" t="s">
        <v>49</v>
      </c>
      <c r="X603" s="13" t="str">
        <f t="shared" si="68"/>
        <v/>
      </c>
      <c r="Y603" s="2">
        <f t="shared" ca="1" si="63"/>
        <v>138</v>
      </c>
      <c r="Z603" s="14">
        <v>1</v>
      </c>
      <c r="AA603" s="1" t="str">
        <f t="shared" ca="1" si="64"/>
        <v>VENCIDO</v>
      </c>
      <c r="AB603" s="1" t="str">
        <f t="shared" si="65"/>
        <v>TAAe+</v>
      </c>
      <c r="AC603" s="2" t="str">
        <f t="shared" si="69"/>
        <v xml:space="preserve"> CLEITON </v>
      </c>
      <c r="AD603" s="2">
        <f t="shared" si="66"/>
        <v>8</v>
      </c>
      <c r="AE603" s="2">
        <f t="shared" ca="1" si="67"/>
        <v>-189.9262716435187</v>
      </c>
      <c r="AF603" s="15"/>
    </row>
    <row r="604" spans="1:32" hidden="1">
      <c r="A604" s="1">
        <v>8851529</v>
      </c>
      <c r="B604" s="1" t="s">
        <v>101</v>
      </c>
      <c r="C604" t="s">
        <v>1176</v>
      </c>
      <c r="E604" s="2">
        <v>9406000206121</v>
      </c>
      <c r="F604" s="1" t="s">
        <v>113</v>
      </c>
      <c r="G604" s="1" t="s">
        <v>53</v>
      </c>
      <c r="H604" s="1" t="s">
        <v>114</v>
      </c>
      <c r="I604" s="1" t="s">
        <v>115</v>
      </c>
      <c r="J604" s="1" t="s">
        <v>46</v>
      </c>
      <c r="K604" t="s">
        <v>116</v>
      </c>
      <c r="M604" s="1" t="s">
        <v>35</v>
      </c>
      <c r="N604" s="1">
        <v>42318949</v>
      </c>
      <c r="O604" s="1" t="s">
        <v>105</v>
      </c>
      <c r="P604" s="11" t="s">
        <v>1180</v>
      </c>
      <c r="R604" s="1" t="s">
        <v>38</v>
      </c>
      <c r="T604" s="1" t="s">
        <v>74</v>
      </c>
      <c r="U604" s="186">
        <v>44796.75</v>
      </c>
      <c r="V604" s="1" t="s">
        <v>41</v>
      </c>
      <c r="W604" s="1" t="s">
        <v>49</v>
      </c>
      <c r="X604" s="13" t="str">
        <f t="shared" si="68"/>
        <v/>
      </c>
      <c r="Y604" s="2">
        <f t="shared" ca="1" si="63"/>
        <v>138</v>
      </c>
      <c r="Z604" s="14">
        <v>1</v>
      </c>
      <c r="AA604" s="1" t="str">
        <f t="shared" ca="1" si="64"/>
        <v>VENCIDO</v>
      </c>
      <c r="AB604" s="1" t="str">
        <f t="shared" si="65"/>
        <v>TAAe+</v>
      </c>
      <c r="AC604" s="2" t="str">
        <f t="shared" si="69"/>
        <v xml:space="preserve"> CLEITON </v>
      </c>
      <c r="AD604" s="2">
        <f t="shared" si="66"/>
        <v>8</v>
      </c>
      <c r="AE604" s="2">
        <f t="shared" ca="1" si="67"/>
        <v>-189.9262716435187</v>
      </c>
      <c r="AF604" s="15"/>
    </row>
    <row r="605" spans="1:32" hidden="1">
      <c r="A605" s="1">
        <v>8851528</v>
      </c>
      <c r="B605" s="1" t="s">
        <v>101</v>
      </c>
      <c r="C605" t="s">
        <v>1176</v>
      </c>
      <c r="E605" s="2">
        <v>9406000206121</v>
      </c>
      <c r="F605" s="1" t="s">
        <v>113</v>
      </c>
      <c r="G605" s="1" t="s">
        <v>53</v>
      </c>
      <c r="H605" s="1" t="s">
        <v>114</v>
      </c>
      <c r="I605" s="1" t="s">
        <v>115</v>
      </c>
      <c r="J605" s="1" t="s">
        <v>46</v>
      </c>
      <c r="K605" t="s">
        <v>116</v>
      </c>
      <c r="M605" s="1" t="s">
        <v>35</v>
      </c>
      <c r="N605" s="1">
        <v>42318949</v>
      </c>
      <c r="O605" s="1" t="s">
        <v>105</v>
      </c>
      <c r="P605" s="11" t="s">
        <v>1180</v>
      </c>
      <c r="R605" s="1" t="s">
        <v>38</v>
      </c>
      <c r="T605" s="1" t="s">
        <v>74</v>
      </c>
      <c r="U605" s="186">
        <v>44796.75</v>
      </c>
      <c r="V605" s="1" t="s">
        <v>41</v>
      </c>
      <c r="W605" s="1" t="s">
        <v>49</v>
      </c>
      <c r="X605" s="13" t="str">
        <f t="shared" si="68"/>
        <v/>
      </c>
      <c r="Y605" s="2">
        <f t="shared" ca="1" si="63"/>
        <v>138</v>
      </c>
      <c r="Z605" s="14">
        <v>1</v>
      </c>
      <c r="AA605" s="1" t="str">
        <f t="shared" ca="1" si="64"/>
        <v>VENCIDO</v>
      </c>
      <c r="AB605" s="1" t="str">
        <f t="shared" si="65"/>
        <v>TAAe+</v>
      </c>
      <c r="AC605" s="2" t="str">
        <f t="shared" si="69"/>
        <v xml:space="preserve"> CLEITON </v>
      </c>
      <c r="AD605" s="2">
        <f t="shared" si="66"/>
        <v>8</v>
      </c>
      <c r="AE605" s="2">
        <f t="shared" ca="1" si="67"/>
        <v>-189.9262716435187</v>
      </c>
      <c r="AF605" s="15"/>
    </row>
    <row r="606" spans="1:32" hidden="1">
      <c r="A606" s="1">
        <v>8854131</v>
      </c>
      <c r="B606" s="1" t="s">
        <v>62</v>
      </c>
      <c r="C606" t="s">
        <v>1181</v>
      </c>
      <c r="E606" s="2">
        <v>600000203000</v>
      </c>
      <c r="F606" s="1" t="s">
        <v>454</v>
      </c>
      <c r="G606" s="1" t="s">
        <v>53</v>
      </c>
      <c r="H606" s="1" t="s">
        <v>1084</v>
      </c>
      <c r="I606" s="1" t="s">
        <v>1085</v>
      </c>
      <c r="J606" s="1" t="s">
        <v>90</v>
      </c>
      <c r="K606" t="s">
        <v>457</v>
      </c>
      <c r="M606" s="1" t="s">
        <v>58</v>
      </c>
      <c r="N606" s="1">
        <v>0</v>
      </c>
      <c r="O606" s="1" t="s">
        <v>36</v>
      </c>
      <c r="P606" s="11" t="s">
        <v>3974</v>
      </c>
      <c r="R606" s="1">
        <v>1</v>
      </c>
      <c r="T606" s="1" t="s">
        <v>157</v>
      </c>
      <c r="U606" s="11" t="s">
        <v>3975</v>
      </c>
      <c r="V606" s="1" t="s">
        <v>41</v>
      </c>
      <c r="W606" s="1" t="s">
        <v>49</v>
      </c>
      <c r="X606" s="13" t="str">
        <f t="shared" si="68"/>
        <v/>
      </c>
      <c r="Y606" s="2">
        <f t="shared" ca="1" si="63"/>
        <v>137</v>
      </c>
      <c r="Z606" s="14">
        <v>1</v>
      </c>
      <c r="AA606" s="1" t="str">
        <f t="shared" ca="1" si="64"/>
        <v>VENCIDO</v>
      </c>
      <c r="AB606" s="1" t="str">
        <f t="shared" si="65"/>
        <v>C-14</v>
      </c>
      <c r="AC606" s="2" t="str">
        <f t="shared" si="69"/>
        <v xml:space="preserve"> RINALDO </v>
      </c>
      <c r="AD606" s="2">
        <f t="shared" si="66"/>
        <v>5</v>
      </c>
      <c r="AE606" s="2">
        <f t="shared" ca="1" si="67"/>
        <v>-154.9262716435187</v>
      </c>
      <c r="AF606" s="15"/>
    </row>
    <row r="607" spans="1:32" hidden="1">
      <c r="A607" s="1">
        <v>8861317</v>
      </c>
      <c r="B607" s="1" t="s">
        <v>62</v>
      </c>
      <c r="C607" t="s">
        <v>3027</v>
      </c>
      <c r="E607" s="2">
        <v>2170000206001</v>
      </c>
      <c r="F607" s="1" t="s">
        <v>29</v>
      </c>
      <c r="G607" s="1" t="s">
        <v>53</v>
      </c>
      <c r="H607" s="1" t="s">
        <v>477</v>
      </c>
      <c r="I607" s="1" t="s">
        <v>478</v>
      </c>
      <c r="J607" s="1" t="s">
        <v>148</v>
      </c>
      <c r="K607" t="s">
        <v>34</v>
      </c>
      <c r="M607" s="1" t="s">
        <v>35</v>
      </c>
      <c r="N607" s="1">
        <v>42318949</v>
      </c>
      <c r="O607" s="1" t="s">
        <v>36</v>
      </c>
      <c r="P607" s="48">
        <v>44799.364745370367</v>
      </c>
      <c r="R607" s="1" t="s">
        <v>38</v>
      </c>
      <c r="T607" s="1" t="s">
        <v>74</v>
      </c>
      <c r="U607" s="11" t="s">
        <v>1197</v>
      </c>
      <c r="V607" s="1" t="s">
        <v>41</v>
      </c>
      <c r="W607" s="1" t="s">
        <v>49</v>
      </c>
      <c r="X607" s="13" t="str">
        <f t="shared" si="68"/>
        <v/>
      </c>
      <c r="Y607" s="2">
        <f t="shared" ca="1" si="63"/>
        <v>134</v>
      </c>
      <c r="Z607" s="14">
        <v>1</v>
      </c>
      <c r="AA607" s="1" t="str">
        <f t="shared" ca="1" si="64"/>
        <v>VENCIDO</v>
      </c>
      <c r="AB607" s="1" t="str">
        <f t="shared" si="65"/>
        <v>Dosa</v>
      </c>
      <c r="AC607" s="2" t="str">
        <f t="shared" si="69"/>
        <v xml:space="preserve"> RINALDO </v>
      </c>
      <c r="AD607" s="2">
        <f t="shared" si="66"/>
        <v>5</v>
      </c>
      <c r="AE607" s="2">
        <f t="shared" ca="1" si="67"/>
        <v>-144.9262716435187</v>
      </c>
      <c r="AF607" s="15"/>
    </row>
    <row r="608" spans="1:32" hidden="1">
      <c r="A608" s="1">
        <v>8870241</v>
      </c>
      <c r="B608" s="1" t="s">
        <v>62</v>
      </c>
      <c r="C608" t="s">
        <v>3028</v>
      </c>
      <c r="E608" s="2">
        <v>2830000203000</v>
      </c>
      <c r="F608" s="1" t="s">
        <v>454</v>
      </c>
      <c r="G608" s="1" t="s">
        <v>53</v>
      </c>
      <c r="H608" s="1" t="s">
        <v>448</v>
      </c>
      <c r="I608" s="1" t="s">
        <v>449</v>
      </c>
      <c r="J608" s="1" t="s">
        <v>33</v>
      </c>
      <c r="K608" t="s">
        <v>457</v>
      </c>
      <c r="M608" s="1" t="s">
        <v>58</v>
      </c>
      <c r="N608" s="1">
        <v>0</v>
      </c>
      <c r="O608" s="1" t="s">
        <v>36</v>
      </c>
      <c r="P608" s="48">
        <v>44803.491261574076</v>
      </c>
      <c r="R608" s="1">
        <v>1</v>
      </c>
      <c r="T608" s="1" t="s">
        <v>157</v>
      </c>
      <c r="U608" s="11" t="s">
        <v>1185</v>
      </c>
      <c r="V608" s="1" t="s">
        <v>41</v>
      </c>
      <c r="W608" s="1" t="s">
        <v>42</v>
      </c>
      <c r="X608" s="13" t="str">
        <f t="shared" si="68"/>
        <v/>
      </c>
      <c r="Y608" s="2">
        <f t="shared" ca="1" si="63"/>
        <v>132</v>
      </c>
      <c r="Z608" s="14">
        <v>1</v>
      </c>
      <c r="AA608" s="1" t="str">
        <f t="shared" ca="1" si="64"/>
        <v>VENCIDO</v>
      </c>
      <c r="AB608" s="1" t="str">
        <f t="shared" si="65"/>
        <v>C-14</v>
      </c>
      <c r="AC608" s="2" t="str">
        <f t="shared" si="69"/>
        <v xml:space="preserve"> ROSEMERE </v>
      </c>
      <c r="AD608" s="2">
        <f t="shared" si="66"/>
        <v>5</v>
      </c>
      <c r="AE608" s="2">
        <f t="shared" ca="1" si="67"/>
        <v>-147.9262716435187</v>
      </c>
      <c r="AF608" s="15"/>
    </row>
    <row r="609" spans="1:32" hidden="1">
      <c r="A609" s="1">
        <v>8873349</v>
      </c>
      <c r="B609" s="1" t="s">
        <v>62</v>
      </c>
      <c r="C609" t="s">
        <v>3585</v>
      </c>
      <c r="E609" s="2">
        <v>1902016236500</v>
      </c>
      <c r="F609" s="1" t="s">
        <v>64</v>
      </c>
      <c r="G609" s="1" t="s">
        <v>53</v>
      </c>
      <c r="H609" s="1" t="s">
        <v>159</v>
      </c>
      <c r="I609" s="1" t="s">
        <v>160</v>
      </c>
      <c r="J609" s="1" t="s">
        <v>46</v>
      </c>
      <c r="K609" t="s">
        <v>67</v>
      </c>
      <c r="M609" s="1" t="s">
        <v>35</v>
      </c>
      <c r="N609" s="1">
        <v>42318949</v>
      </c>
      <c r="O609" s="1" t="s">
        <v>36</v>
      </c>
      <c r="P609" s="48">
        <v>44804.567094907405</v>
      </c>
      <c r="R609" s="1">
        <v>1</v>
      </c>
      <c r="T609" s="1" t="s">
        <v>69</v>
      </c>
      <c r="U609" s="11" t="s">
        <v>1188</v>
      </c>
      <c r="V609" s="1" t="s">
        <v>41</v>
      </c>
      <c r="W609" s="1" t="s">
        <v>49</v>
      </c>
      <c r="X609" s="13" t="str">
        <f t="shared" si="68"/>
        <v/>
      </c>
      <c r="Y609" s="2">
        <f t="shared" ca="1" si="63"/>
        <v>131</v>
      </c>
      <c r="Z609" s="14">
        <v>1</v>
      </c>
      <c r="AA609" s="1" t="str">
        <f t="shared" ca="1" si="64"/>
        <v>VENCIDO</v>
      </c>
      <c r="AB609" s="1" t="str">
        <f t="shared" si="65"/>
        <v>TAAe+</v>
      </c>
      <c r="AC609" s="2" t="str">
        <f t="shared" si="69"/>
        <v xml:space="preserve"> CLEITON </v>
      </c>
      <c r="AD609" s="2">
        <f t="shared" si="66"/>
        <v>8</v>
      </c>
      <c r="AE609" s="2">
        <f t="shared" ca="1" si="67"/>
        <v>-181.10917673611402</v>
      </c>
      <c r="AF609" s="15"/>
    </row>
    <row r="610" spans="1:32" hidden="1">
      <c r="A610" s="1">
        <v>8873348</v>
      </c>
      <c r="B610" s="1" t="s">
        <v>62</v>
      </c>
      <c r="C610" t="s">
        <v>3585</v>
      </c>
      <c r="E610" s="2">
        <v>1902016232600</v>
      </c>
      <c r="F610" s="1" t="s">
        <v>64</v>
      </c>
      <c r="G610" s="1" t="s">
        <v>53</v>
      </c>
      <c r="H610" s="1" t="s">
        <v>191</v>
      </c>
      <c r="I610" s="1" t="s">
        <v>192</v>
      </c>
      <c r="J610" s="1" t="s">
        <v>46</v>
      </c>
      <c r="K610" t="s">
        <v>67</v>
      </c>
      <c r="M610" s="1" t="s">
        <v>35</v>
      </c>
      <c r="N610" s="1">
        <v>42318949</v>
      </c>
      <c r="O610" s="1" t="s">
        <v>36</v>
      </c>
      <c r="P610" s="48">
        <v>44804.567094907405</v>
      </c>
      <c r="R610" s="1">
        <v>1</v>
      </c>
      <c r="T610" s="1" t="s">
        <v>69</v>
      </c>
      <c r="U610" s="11" t="s">
        <v>1188</v>
      </c>
      <c r="V610" s="1" t="s">
        <v>41</v>
      </c>
      <c r="W610" s="1" t="s">
        <v>49</v>
      </c>
      <c r="X610" s="13" t="str">
        <f t="shared" si="68"/>
        <v/>
      </c>
      <c r="Y610" s="2">
        <f t="shared" ca="1" si="63"/>
        <v>131</v>
      </c>
      <c r="Z610" s="14">
        <v>1</v>
      </c>
      <c r="AA610" s="1" t="str">
        <f t="shared" ca="1" si="64"/>
        <v>VENCIDO</v>
      </c>
      <c r="AB610" s="1" t="str">
        <f t="shared" si="65"/>
        <v>TAAe+</v>
      </c>
      <c r="AC610" s="2" t="str">
        <f t="shared" si="69"/>
        <v xml:space="preserve"> CLEITON </v>
      </c>
      <c r="AD610" s="2">
        <f t="shared" si="66"/>
        <v>8</v>
      </c>
      <c r="AE610" s="2">
        <f t="shared" ca="1" si="67"/>
        <v>-181.10917673611402</v>
      </c>
      <c r="AF610" s="15"/>
    </row>
    <row r="611" spans="1:32" hidden="1">
      <c r="A611" s="1">
        <v>8873343</v>
      </c>
      <c r="B611" s="1" t="s">
        <v>62</v>
      </c>
      <c r="C611" t="s">
        <v>3585</v>
      </c>
      <c r="E611" s="2">
        <v>1902016136200</v>
      </c>
      <c r="F611" s="1" t="s">
        <v>64</v>
      </c>
      <c r="G611" s="1" t="s">
        <v>53</v>
      </c>
      <c r="H611" s="1" t="s">
        <v>268</v>
      </c>
      <c r="I611" s="1" t="s">
        <v>269</v>
      </c>
      <c r="J611" s="1" t="s">
        <v>90</v>
      </c>
      <c r="K611" t="s">
        <v>67</v>
      </c>
      <c r="M611" s="1" t="s">
        <v>35</v>
      </c>
      <c r="N611" s="1">
        <v>42318949</v>
      </c>
      <c r="O611" s="1" t="s">
        <v>36</v>
      </c>
      <c r="P611" s="48">
        <v>44804.567083333335</v>
      </c>
      <c r="R611" s="1">
        <v>1</v>
      </c>
      <c r="T611" s="1" t="s">
        <v>69</v>
      </c>
      <c r="U611" s="11" t="s">
        <v>1190</v>
      </c>
      <c r="V611" s="1" t="s">
        <v>41</v>
      </c>
      <c r="W611" s="1" t="s">
        <v>49</v>
      </c>
      <c r="X611" s="13" t="str">
        <f t="shared" si="68"/>
        <v/>
      </c>
      <c r="Y611" s="2">
        <f t="shared" ca="1" si="63"/>
        <v>131</v>
      </c>
      <c r="Z611" s="14">
        <v>1</v>
      </c>
      <c r="AA611" s="1" t="str">
        <f t="shared" ca="1" si="64"/>
        <v>VENCIDO</v>
      </c>
      <c r="AB611" s="1" t="str">
        <f t="shared" si="65"/>
        <v>TAAe+</v>
      </c>
      <c r="AC611" s="2" t="str">
        <f t="shared" si="69"/>
        <v xml:space="preserve"> RINALDO </v>
      </c>
      <c r="AD611" s="2">
        <f t="shared" si="66"/>
        <v>8</v>
      </c>
      <c r="AE611" s="2">
        <f t="shared" ca="1" si="67"/>
        <v>-181.10918831018353</v>
      </c>
      <c r="AF611" s="15"/>
    </row>
    <row r="612" spans="1:32" hidden="1">
      <c r="A612" s="1">
        <v>8873342</v>
      </c>
      <c r="B612" s="1" t="s">
        <v>62</v>
      </c>
      <c r="C612" t="s">
        <v>3585</v>
      </c>
      <c r="E612" s="2">
        <v>1902016112800</v>
      </c>
      <c r="F612" s="1" t="s">
        <v>64</v>
      </c>
      <c r="G612" s="1" t="s">
        <v>53</v>
      </c>
      <c r="H612" s="1" t="s">
        <v>1191</v>
      </c>
      <c r="I612" s="1" t="s">
        <v>1192</v>
      </c>
      <c r="J612" s="1" t="s">
        <v>33</v>
      </c>
      <c r="K612" t="s">
        <v>67</v>
      </c>
      <c r="M612" s="1" t="s">
        <v>35</v>
      </c>
      <c r="N612" s="1">
        <v>42318949</v>
      </c>
      <c r="O612" s="1" t="s">
        <v>36</v>
      </c>
      <c r="P612" s="48">
        <v>44804.567083333335</v>
      </c>
      <c r="R612" s="1">
        <v>1</v>
      </c>
      <c r="T612" s="1" t="s">
        <v>69</v>
      </c>
      <c r="U612" s="11" t="s">
        <v>1190</v>
      </c>
      <c r="V612" s="1" t="s">
        <v>41</v>
      </c>
      <c r="W612" s="1" t="s">
        <v>49</v>
      </c>
      <c r="X612" s="13" t="str">
        <f t="shared" si="68"/>
        <v/>
      </c>
      <c r="Y612" s="2">
        <f t="shared" ca="1" si="63"/>
        <v>131</v>
      </c>
      <c r="Z612" s="14">
        <v>1</v>
      </c>
      <c r="AA612" s="1" t="str">
        <f t="shared" ca="1" si="64"/>
        <v>VENCIDO</v>
      </c>
      <c r="AB612" s="1" t="str">
        <f t="shared" si="65"/>
        <v>TAAe+</v>
      </c>
      <c r="AC612" s="2" t="str">
        <f t="shared" si="69"/>
        <v xml:space="preserve"> ROSEMERE </v>
      </c>
      <c r="AD612" s="2">
        <f t="shared" si="66"/>
        <v>8</v>
      </c>
      <c r="AE612" s="2">
        <f t="shared" ca="1" si="67"/>
        <v>-181.10918831018353</v>
      </c>
      <c r="AF612" s="15"/>
    </row>
    <row r="613" spans="1:32" hidden="1">
      <c r="A613" s="1">
        <v>8873335</v>
      </c>
      <c r="B613" s="1" t="s">
        <v>62</v>
      </c>
      <c r="C613" t="s">
        <v>3585</v>
      </c>
      <c r="E613" s="2">
        <v>1902016024600</v>
      </c>
      <c r="F613" s="1" t="s">
        <v>64</v>
      </c>
      <c r="G613" s="1" t="s">
        <v>53</v>
      </c>
      <c r="H613" s="1" t="s">
        <v>1193</v>
      </c>
      <c r="I613" s="1" t="s">
        <v>1194</v>
      </c>
      <c r="J613" s="1" t="s">
        <v>85</v>
      </c>
      <c r="K613" t="s">
        <v>67</v>
      </c>
      <c r="M613" s="1" t="s">
        <v>35</v>
      </c>
      <c r="N613" s="1">
        <v>42318949</v>
      </c>
      <c r="O613" s="1" t="s">
        <v>36</v>
      </c>
      <c r="P613" s="48">
        <v>44804.567071759258</v>
      </c>
      <c r="R613" s="1">
        <v>1</v>
      </c>
      <c r="T613" s="1" t="s">
        <v>69</v>
      </c>
      <c r="U613" s="11" t="s">
        <v>3976</v>
      </c>
      <c r="V613" s="1" t="s">
        <v>41</v>
      </c>
      <c r="W613" s="1" t="s">
        <v>49</v>
      </c>
      <c r="X613" s="13" t="str">
        <f t="shared" si="68"/>
        <v/>
      </c>
      <c r="Y613" s="2">
        <f t="shared" ca="1" si="63"/>
        <v>131</v>
      </c>
      <c r="Z613" s="14">
        <v>1</v>
      </c>
      <c r="AA613" s="1" t="str">
        <f t="shared" ca="1" si="64"/>
        <v>VENCIDO</v>
      </c>
      <c r="AB613" s="1" t="str">
        <f t="shared" si="65"/>
        <v>TAAe+</v>
      </c>
      <c r="AC613" s="2" t="str">
        <f t="shared" si="69"/>
        <v xml:space="preserve"> RINALDO </v>
      </c>
      <c r="AD613" s="2">
        <f t="shared" si="66"/>
        <v>8</v>
      </c>
      <c r="AE613" s="2">
        <f t="shared" ca="1" si="67"/>
        <v>-181.10919988426031</v>
      </c>
      <c r="AF613" s="15"/>
    </row>
    <row r="614" spans="1:32" hidden="1">
      <c r="A614" s="1">
        <v>8879008</v>
      </c>
      <c r="B614" s="1" t="s">
        <v>62</v>
      </c>
      <c r="C614" t="s">
        <v>1195</v>
      </c>
      <c r="E614" s="2">
        <v>2365000203000</v>
      </c>
      <c r="F614" s="1" t="s">
        <v>454</v>
      </c>
      <c r="G614" s="1" t="s">
        <v>53</v>
      </c>
      <c r="H614" s="1" t="s">
        <v>159</v>
      </c>
      <c r="I614" s="1" t="s">
        <v>160</v>
      </c>
      <c r="J614" s="1" t="s">
        <v>46</v>
      </c>
      <c r="K614" t="s">
        <v>457</v>
      </c>
      <c r="M614" s="1" t="s">
        <v>58</v>
      </c>
      <c r="N614" s="1">
        <v>0</v>
      </c>
      <c r="O614" s="1" t="s">
        <v>36</v>
      </c>
      <c r="P614" s="48">
        <v>44806.652106481481</v>
      </c>
      <c r="R614" s="1">
        <v>1</v>
      </c>
      <c r="T614" s="1" t="s">
        <v>157</v>
      </c>
      <c r="U614" s="11" t="s">
        <v>1197</v>
      </c>
      <c r="V614" s="1" t="s">
        <v>41</v>
      </c>
      <c r="W614" s="1" t="s">
        <v>49</v>
      </c>
      <c r="X614" s="13" t="str">
        <f t="shared" si="68"/>
        <v/>
      </c>
      <c r="Y614" s="2">
        <f t="shared" ca="1" si="63"/>
        <v>129</v>
      </c>
      <c r="Z614" s="14">
        <v>1</v>
      </c>
      <c r="AA614" s="1" t="str">
        <f t="shared" ca="1" si="64"/>
        <v>VENCIDO</v>
      </c>
      <c r="AB614" s="1" t="str">
        <f t="shared" si="65"/>
        <v>C-14</v>
      </c>
      <c r="AC614" s="2" t="str">
        <f t="shared" si="69"/>
        <v xml:space="preserve"> CLEITON </v>
      </c>
      <c r="AD614" s="2">
        <f t="shared" si="66"/>
        <v>5</v>
      </c>
      <c r="AE614" s="2">
        <f t="shared" ca="1" si="67"/>
        <v>-144.9262716435187</v>
      </c>
      <c r="AF614" s="15"/>
    </row>
    <row r="615" spans="1:32" hidden="1">
      <c r="A615" s="1">
        <v>8878112</v>
      </c>
      <c r="B615" s="1" t="s">
        <v>62</v>
      </c>
      <c r="C615" t="s">
        <v>1198</v>
      </c>
      <c r="E615" s="2">
        <v>3108000203000</v>
      </c>
      <c r="F615" s="1" t="s">
        <v>454</v>
      </c>
      <c r="G615" s="1" t="s">
        <v>53</v>
      </c>
      <c r="H615" s="1" t="s">
        <v>325</v>
      </c>
      <c r="I615" s="1" t="s">
        <v>326</v>
      </c>
      <c r="J615" s="1" t="s">
        <v>46</v>
      </c>
      <c r="K615" t="s">
        <v>457</v>
      </c>
      <c r="M615" s="1" t="s">
        <v>58</v>
      </c>
      <c r="N615" s="1">
        <v>0</v>
      </c>
      <c r="O615" s="1" t="s">
        <v>36</v>
      </c>
      <c r="P615" s="48">
        <v>44806.460034722222</v>
      </c>
      <c r="R615" s="1">
        <v>1</v>
      </c>
      <c r="T615" s="1" t="s">
        <v>157</v>
      </c>
      <c r="U615" s="11" t="s">
        <v>1197</v>
      </c>
      <c r="V615" s="1" t="s">
        <v>41</v>
      </c>
      <c r="W615" s="1" t="s">
        <v>49</v>
      </c>
      <c r="X615" s="13" t="str">
        <f t="shared" si="68"/>
        <v/>
      </c>
      <c r="Y615" s="2">
        <f t="shared" ca="1" si="63"/>
        <v>129</v>
      </c>
      <c r="Z615" s="14">
        <v>1</v>
      </c>
      <c r="AA615" s="1" t="str">
        <f t="shared" ca="1" si="64"/>
        <v>VENCIDO</v>
      </c>
      <c r="AB615" s="1" t="str">
        <f t="shared" si="65"/>
        <v>C-14</v>
      </c>
      <c r="AC615" s="2" t="str">
        <f t="shared" si="69"/>
        <v xml:space="preserve"> CLEITON </v>
      </c>
      <c r="AD615" s="2">
        <f t="shared" si="66"/>
        <v>5</v>
      </c>
      <c r="AE615" s="2">
        <f t="shared" ca="1" si="67"/>
        <v>-144.9262716435187</v>
      </c>
      <c r="AF615" s="15"/>
    </row>
    <row r="616" spans="1:32" hidden="1">
      <c r="A616" s="1">
        <v>8894073</v>
      </c>
      <c r="B616" s="1" t="s">
        <v>62</v>
      </c>
      <c r="C616" t="s">
        <v>1200</v>
      </c>
      <c r="E616" s="2">
        <v>870000206001</v>
      </c>
      <c r="F616" s="1" t="s">
        <v>29</v>
      </c>
      <c r="G616" s="1" t="s">
        <v>53</v>
      </c>
      <c r="H616" s="1" t="s">
        <v>183</v>
      </c>
      <c r="I616" s="1" t="s">
        <v>184</v>
      </c>
      <c r="J616" s="1" t="s">
        <v>90</v>
      </c>
      <c r="K616" t="s">
        <v>34</v>
      </c>
      <c r="M616" s="1" t="s">
        <v>35</v>
      </c>
      <c r="N616" s="1">
        <v>42318949</v>
      </c>
      <c r="O616" s="1" t="s">
        <v>36</v>
      </c>
      <c r="P616" s="11" t="s">
        <v>1201</v>
      </c>
      <c r="R616" s="1" t="s">
        <v>38</v>
      </c>
      <c r="T616" s="1" t="s">
        <v>74</v>
      </c>
      <c r="U616" s="11" t="s">
        <v>1202</v>
      </c>
      <c r="V616" s="1" t="s">
        <v>41</v>
      </c>
      <c r="W616" s="1" t="s">
        <v>49</v>
      </c>
      <c r="X616" s="13" t="str">
        <f t="shared" si="68"/>
        <v/>
      </c>
      <c r="Y616" s="2">
        <f t="shared" ca="1" si="63"/>
        <v>124</v>
      </c>
      <c r="Z616" s="14">
        <v>1</v>
      </c>
      <c r="AA616" s="1" t="str">
        <f t="shared" ca="1" si="64"/>
        <v>VENCIDO</v>
      </c>
      <c r="AB616" s="1" t="str">
        <f t="shared" si="65"/>
        <v>Dosa</v>
      </c>
      <c r="AC616" s="2" t="str">
        <f t="shared" si="69"/>
        <v xml:space="preserve"> RINALDO </v>
      </c>
      <c r="AD616" s="2">
        <f t="shared" si="66"/>
        <v>5</v>
      </c>
      <c r="AE616" s="2">
        <f t="shared" ca="1" si="67"/>
        <v>-130.9262716435187</v>
      </c>
      <c r="AF616" s="15"/>
    </row>
    <row r="617" spans="1:32" hidden="1">
      <c r="A617" s="1">
        <v>8894047</v>
      </c>
      <c r="B617" s="1" t="s">
        <v>62</v>
      </c>
      <c r="C617" t="s">
        <v>1203</v>
      </c>
      <c r="E617" s="2">
        <v>1011000206001</v>
      </c>
      <c r="F617" s="1" t="s">
        <v>29</v>
      </c>
      <c r="G617" s="1" t="s">
        <v>53</v>
      </c>
      <c r="H617" s="1" t="s">
        <v>272</v>
      </c>
      <c r="I617" s="1" t="s">
        <v>273</v>
      </c>
      <c r="J617" s="1" t="s">
        <v>33</v>
      </c>
      <c r="K617" t="s">
        <v>34</v>
      </c>
      <c r="M617" s="1" t="s">
        <v>35</v>
      </c>
      <c r="N617" s="1">
        <v>42318949</v>
      </c>
      <c r="O617" s="1" t="s">
        <v>36</v>
      </c>
      <c r="P617" s="11" t="s">
        <v>1204</v>
      </c>
      <c r="R617" s="1" t="s">
        <v>38</v>
      </c>
      <c r="T617" s="1" t="s">
        <v>74</v>
      </c>
      <c r="U617" s="11" t="s">
        <v>1202</v>
      </c>
      <c r="V617" s="1" t="s">
        <v>41</v>
      </c>
      <c r="W617" s="1" t="s">
        <v>49</v>
      </c>
      <c r="X617" s="13" t="str">
        <f t="shared" si="68"/>
        <v/>
      </c>
      <c r="Y617" s="2">
        <f t="shared" ca="1" si="63"/>
        <v>124</v>
      </c>
      <c r="Z617" s="14">
        <v>1</v>
      </c>
      <c r="AA617" s="1" t="str">
        <f t="shared" ca="1" si="64"/>
        <v>VENCIDO</v>
      </c>
      <c r="AB617" s="1" t="str">
        <f t="shared" si="65"/>
        <v>Dosa</v>
      </c>
      <c r="AC617" s="2" t="str">
        <f t="shared" si="69"/>
        <v xml:space="preserve"> ROSEMERE </v>
      </c>
      <c r="AD617" s="2">
        <f t="shared" si="66"/>
        <v>5</v>
      </c>
      <c r="AE617" s="2">
        <f t="shared" ca="1" si="67"/>
        <v>-130.9262716435187</v>
      </c>
      <c r="AF617" s="15"/>
    </row>
    <row r="618" spans="1:32" hidden="1">
      <c r="A618" s="1">
        <v>8898899</v>
      </c>
      <c r="B618" s="1" t="s">
        <v>226</v>
      </c>
      <c r="C618" t="s">
        <v>1205</v>
      </c>
      <c r="E618" s="2">
        <v>69000206001</v>
      </c>
      <c r="F618" s="1" t="s">
        <v>29</v>
      </c>
      <c r="G618" s="1" t="s">
        <v>53</v>
      </c>
      <c r="H618" s="1" t="s">
        <v>1206</v>
      </c>
      <c r="I618" s="1" t="s">
        <v>1207</v>
      </c>
      <c r="J618" s="1" t="s">
        <v>33</v>
      </c>
      <c r="K618" t="s">
        <v>34</v>
      </c>
      <c r="M618" s="1" t="s">
        <v>35</v>
      </c>
      <c r="N618" s="1">
        <v>42318949</v>
      </c>
      <c r="O618" s="1" t="s">
        <v>105</v>
      </c>
      <c r="P618" s="11" t="s">
        <v>1208</v>
      </c>
      <c r="R618" s="1" t="s">
        <v>38</v>
      </c>
      <c r="T618" s="1" t="s">
        <v>74</v>
      </c>
      <c r="U618" s="11" t="s">
        <v>1209</v>
      </c>
      <c r="V618" s="1" t="s">
        <v>41</v>
      </c>
      <c r="W618" s="1" t="s">
        <v>42</v>
      </c>
      <c r="X618" s="13" t="str">
        <f t="shared" si="68"/>
        <v/>
      </c>
      <c r="Y618" s="2">
        <f t="shared" ca="1" si="63"/>
        <v>123</v>
      </c>
      <c r="Z618" s="14">
        <v>1</v>
      </c>
      <c r="AA618" s="1" t="str">
        <f t="shared" ca="1" si="64"/>
        <v>VENCIDO</v>
      </c>
      <c r="AB618" s="1" t="str">
        <f t="shared" si="65"/>
        <v>Dosa</v>
      </c>
      <c r="AC618" s="2" t="str">
        <f t="shared" si="69"/>
        <v xml:space="preserve"> ROSEMERE </v>
      </c>
      <c r="AD618" s="2">
        <f t="shared" si="66"/>
        <v>5</v>
      </c>
      <c r="AE618" s="2">
        <f t="shared" ca="1" si="67"/>
        <v>-127.9262716435187</v>
      </c>
      <c r="AF618" s="15"/>
    </row>
    <row r="619" spans="1:32" hidden="1">
      <c r="A619" s="1">
        <v>8903976</v>
      </c>
      <c r="B619" s="1" t="s">
        <v>81</v>
      </c>
      <c r="C619" t="s">
        <v>1210</v>
      </c>
      <c r="E619" s="2">
        <v>7419141891975</v>
      </c>
      <c r="F619" s="1" t="s">
        <v>128</v>
      </c>
      <c r="G619" s="1" t="s">
        <v>53</v>
      </c>
      <c r="H619" s="1" t="s">
        <v>519</v>
      </c>
      <c r="I619" s="1" t="s">
        <v>520</v>
      </c>
      <c r="J619" s="1" t="s">
        <v>90</v>
      </c>
      <c r="K619" t="s">
        <v>129</v>
      </c>
      <c r="M619" s="1" t="s">
        <v>58</v>
      </c>
      <c r="N619" s="1">
        <v>0</v>
      </c>
      <c r="O619" s="1" t="s">
        <v>105</v>
      </c>
      <c r="P619" s="11" t="s">
        <v>1211</v>
      </c>
      <c r="R619" s="1">
        <v>14</v>
      </c>
      <c r="T619" s="1" t="s">
        <v>238</v>
      </c>
      <c r="U619" s="11" t="s">
        <v>1212</v>
      </c>
      <c r="V619" s="1" t="s">
        <v>41</v>
      </c>
      <c r="W619" s="1" t="s">
        <v>49</v>
      </c>
      <c r="X619" s="13" t="str">
        <f t="shared" si="68"/>
        <v>0870.91</v>
      </c>
      <c r="Y619" s="2">
        <f t="shared" ca="1" si="63"/>
        <v>122</v>
      </c>
      <c r="Z619" s="14">
        <v>1</v>
      </c>
      <c r="AA619" s="1" t="str">
        <f t="shared" ca="1" si="64"/>
        <v>VENCIDO</v>
      </c>
      <c r="AB619" s="1" t="str">
        <f t="shared" si="65"/>
        <v>TAAe+</v>
      </c>
      <c r="AC619" s="2" t="str">
        <f t="shared" si="69"/>
        <v xml:space="preserve"> RINALDO </v>
      </c>
      <c r="AD619" s="2">
        <f t="shared" si="66"/>
        <v>8</v>
      </c>
      <c r="AE619" s="2">
        <f t="shared" ca="1" si="67"/>
        <v>-167.94571608796105</v>
      </c>
      <c r="AF619" s="15"/>
    </row>
    <row r="620" spans="1:32" hidden="1">
      <c r="A620" s="1">
        <v>8903971</v>
      </c>
      <c r="B620" s="1" t="s">
        <v>81</v>
      </c>
      <c r="C620" t="s">
        <v>1210</v>
      </c>
      <c r="E620" s="2">
        <v>7417202020515</v>
      </c>
      <c r="F620" s="1" t="s">
        <v>1213</v>
      </c>
      <c r="G620" s="1" t="s">
        <v>53</v>
      </c>
      <c r="H620" s="1" t="s">
        <v>519</v>
      </c>
      <c r="I620" s="1" t="s">
        <v>520</v>
      </c>
      <c r="J620" s="1" t="s">
        <v>90</v>
      </c>
      <c r="K620" t="s">
        <v>1214</v>
      </c>
      <c r="M620" s="1" t="s">
        <v>58</v>
      </c>
      <c r="N620" s="1">
        <v>0</v>
      </c>
      <c r="O620" s="1" t="s">
        <v>105</v>
      </c>
      <c r="P620" s="11" t="s">
        <v>1215</v>
      </c>
      <c r="R620" s="1">
        <v>14</v>
      </c>
      <c r="T620" s="1" t="s">
        <v>238</v>
      </c>
      <c r="U620" s="11" t="s">
        <v>1216</v>
      </c>
      <c r="V620" s="1" t="s">
        <v>41</v>
      </c>
      <c r="W620" s="1" t="s">
        <v>49</v>
      </c>
      <c r="X620" s="13" t="str">
        <f t="shared" si="68"/>
        <v>0870.91</v>
      </c>
      <c r="Y620" s="2">
        <f t="shared" ca="1" si="63"/>
        <v>122</v>
      </c>
      <c r="Z620" s="14">
        <v>1</v>
      </c>
      <c r="AA620" s="1" t="str">
        <f t="shared" ca="1" si="64"/>
        <v>VENCIDO</v>
      </c>
      <c r="AB620" s="1" t="str">
        <f t="shared" si="65"/>
        <v>TAAe+</v>
      </c>
      <c r="AC620" s="2" t="str">
        <f t="shared" si="69"/>
        <v xml:space="preserve"> RINALDO </v>
      </c>
      <c r="AD620" s="2">
        <f t="shared" si="66"/>
        <v>8</v>
      </c>
      <c r="AE620" s="2">
        <f t="shared" ca="1" si="67"/>
        <v>-167.94891053241008</v>
      </c>
      <c r="AF620" s="15"/>
    </row>
    <row r="621" spans="1:32" hidden="1">
      <c r="A621" s="1">
        <v>8903953</v>
      </c>
      <c r="B621" s="1" t="s">
        <v>81</v>
      </c>
      <c r="C621" t="s">
        <v>1210</v>
      </c>
      <c r="E621" s="2">
        <v>7417161483328</v>
      </c>
      <c r="F621" s="1" t="s">
        <v>1217</v>
      </c>
      <c r="G621" s="1" t="s">
        <v>53</v>
      </c>
      <c r="H621" s="1" t="s">
        <v>519</v>
      </c>
      <c r="I621" s="1" t="s">
        <v>520</v>
      </c>
      <c r="J621" s="1" t="s">
        <v>90</v>
      </c>
      <c r="K621" t="s">
        <v>1218</v>
      </c>
      <c r="M621" s="1" t="s">
        <v>58</v>
      </c>
      <c r="N621" s="1">
        <v>0</v>
      </c>
      <c r="O621" s="1" t="s">
        <v>105</v>
      </c>
      <c r="P621" s="11" t="s">
        <v>1219</v>
      </c>
      <c r="R621" s="1">
        <v>14</v>
      </c>
      <c r="T621" s="1" t="s">
        <v>238</v>
      </c>
      <c r="U621" s="11" t="s">
        <v>1220</v>
      </c>
      <c r="V621" s="1" t="s">
        <v>41</v>
      </c>
      <c r="W621" s="1" t="s">
        <v>49</v>
      </c>
      <c r="X621" s="13" t="str">
        <f t="shared" si="68"/>
        <v>0870.91</v>
      </c>
      <c r="Y621" s="2">
        <f t="shared" ca="1" si="63"/>
        <v>122</v>
      </c>
      <c r="Z621" s="14">
        <v>1</v>
      </c>
      <c r="AA621" s="1" t="str">
        <f t="shared" ca="1" si="64"/>
        <v>VENCIDO</v>
      </c>
      <c r="AB621" s="1" t="str">
        <f t="shared" si="65"/>
        <v>TAAe+</v>
      </c>
      <c r="AC621" s="2" t="str">
        <f t="shared" si="69"/>
        <v xml:space="preserve"> RINALDO </v>
      </c>
      <c r="AD621" s="2">
        <f t="shared" si="66"/>
        <v>8</v>
      </c>
      <c r="AE621" s="2">
        <f t="shared" ca="1" si="67"/>
        <v>-167.95311192129884</v>
      </c>
      <c r="AF621" s="15"/>
    </row>
    <row r="622" spans="1:32" hidden="1">
      <c r="A622" s="1">
        <v>8903941</v>
      </c>
      <c r="B622" s="1" t="s">
        <v>81</v>
      </c>
      <c r="C622" t="s">
        <v>1221</v>
      </c>
      <c r="E622" s="2">
        <v>7419143323230</v>
      </c>
      <c r="F622" s="1" t="s">
        <v>1222</v>
      </c>
      <c r="G622" s="1" t="s">
        <v>53</v>
      </c>
      <c r="H622" s="1" t="s">
        <v>519</v>
      </c>
      <c r="I622" s="1" t="s">
        <v>520</v>
      </c>
      <c r="J622" s="1" t="s">
        <v>90</v>
      </c>
      <c r="K622" t="s">
        <v>1223</v>
      </c>
      <c r="M622" s="1" t="s">
        <v>58</v>
      </c>
      <c r="N622" s="1">
        <v>0</v>
      </c>
      <c r="O622" s="1" t="s">
        <v>105</v>
      </c>
      <c r="P622" s="11" t="s">
        <v>1224</v>
      </c>
      <c r="R622" s="1">
        <v>14</v>
      </c>
      <c r="T622" s="1" t="s">
        <v>238</v>
      </c>
      <c r="U622" s="11" t="s">
        <v>1225</v>
      </c>
      <c r="V622" s="1" t="s">
        <v>41</v>
      </c>
      <c r="W622" s="1" t="s">
        <v>49</v>
      </c>
      <c r="X622" s="13" t="str">
        <f t="shared" si="68"/>
        <v>0870.91</v>
      </c>
      <c r="Y622" s="2">
        <f t="shared" ca="1" si="63"/>
        <v>122</v>
      </c>
      <c r="Z622" s="14">
        <v>1</v>
      </c>
      <c r="AA622" s="1" t="str">
        <f t="shared" ca="1" si="64"/>
        <v>VENCIDO</v>
      </c>
      <c r="AB622" s="1" t="str">
        <f t="shared" si="65"/>
        <v>TAAe+</v>
      </c>
      <c r="AC622" s="2" t="str">
        <f t="shared" si="69"/>
        <v xml:space="preserve"> RINALDO </v>
      </c>
      <c r="AD622" s="2">
        <f t="shared" si="66"/>
        <v>8</v>
      </c>
      <c r="AE622" s="2">
        <f t="shared" ca="1" si="67"/>
        <v>-167.95814664351929</v>
      </c>
      <c r="AF622" s="15"/>
    </row>
    <row r="623" spans="1:32" hidden="1">
      <c r="A623" s="1">
        <v>8907264</v>
      </c>
      <c r="B623" s="1" t="s">
        <v>62</v>
      </c>
      <c r="C623" t="s">
        <v>1226</v>
      </c>
      <c r="E623" s="2">
        <v>870000203000</v>
      </c>
      <c r="F623" s="1" t="s">
        <v>454</v>
      </c>
      <c r="G623" s="1" t="s">
        <v>53</v>
      </c>
      <c r="H623" s="1" t="s">
        <v>183</v>
      </c>
      <c r="I623" s="1" t="s">
        <v>184</v>
      </c>
      <c r="J623" s="1" t="s">
        <v>90</v>
      </c>
      <c r="K623" t="s">
        <v>457</v>
      </c>
      <c r="M623" s="1" t="s">
        <v>58</v>
      </c>
      <c r="N623" s="1">
        <v>0</v>
      </c>
      <c r="O623" s="1" t="s">
        <v>36</v>
      </c>
      <c r="P623" s="11" t="s">
        <v>1227</v>
      </c>
      <c r="R623" s="1">
        <v>1</v>
      </c>
      <c r="T623" s="1" t="s">
        <v>157</v>
      </c>
      <c r="U623" s="11" t="s">
        <v>1228</v>
      </c>
      <c r="V623" s="1" t="s">
        <v>41</v>
      </c>
      <c r="W623" s="1" t="s">
        <v>49</v>
      </c>
      <c r="X623" s="13" t="str">
        <f t="shared" si="68"/>
        <v/>
      </c>
      <c r="Y623" s="2">
        <f t="shared" ca="1" si="63"/>
        <v>120</v>
      </c>
      <c r="Z623" s="14">
        <v>1</v>
      </c>
      <c r="AA623" s="1" t="str">
        <f t="shared" ca="1" si="64"/>
        <v>VENCIDO</v>
      </c>
      <c r="AB623" s="1" t="str">
        <f t="shared" si="65"/>
        <v>C-14</v>
      </c>
      <c r="AC623" s="2" t="str">
        <f t="shared" si="69"/>
        <v xml:space="preserve"> RINALDO </v>
      </c>
      <c r="AD623" s="2">
        <f t="shared" si="66"/>
        <v>5</v>
      </c>
      <c r="AE623" s="2">
        <f t="shared" ca="1" si="67"/>
        <v>-131.9262716435187</v>
      </c>
      <c r="AF623" s="15"/>
    </row>
    <row r="624" spans="1:32" hidden="1">
      <c r="A624" s="1">
        <v>8914733</v>
      </c>
      <c r="B624" s="1" t="s">
        <v>62</v>
      </c>
      <c r="C624" t="s">
        <v>1203</v>
      </c>
      <c r="E624" s="2">
        <v>1924000206001</v>
      </c>
      <c r="F624" s="1" t="s">
        <v>29</v>
      </c>
      <c r="G624" s="1" t="s">
        <v>53</v>
      </c>
      <c r="H624" s="1" t="s">
        <v>568</v>
      </c>
      <c r="I624" s="1" t="s">
        <v>569</v>
      </c>
      <c r="J624" s="1" t="s">
        <v>33</v>
      </c>
      <c r="K624" t="s">
        <v>34</v>
      </c>
      <c r="M624" s="1" t="s">
        <v>35</v>
      </c>
      <c r="N624" s="1">
        <v>42318949</v>
      </c>
      <c r="O624" s="1" t="s">
        <v>36</v>
      </c>
      <c r="P624" s="11" t="s">
        <v>1229</v>
      </c>
      <c r="R624" s="1" t="s">
        <v>38</v>
      </c>
      <c r="T624" s="1" t="s">
        <v>74</v>
      </c>
      <c r="U624" s="11" t="s">
        <v>1230</v>
      </c>
      <c r="V624" s="1" t="s">
        <v>41</v>
      </c>
      <c r="W624" s="1" t="s">
        <v>49</v>
      </c>
      <c r="X624" s="13" t="str">
        <f t="shared" si="68"/>
        <v/>
      </c>
      <c r="Y624" s="2">
        <f t="shared" ca="1" si="63"/>
        <v>118</v>
      </c>
      <c r="Z624" s="14">
        <v>1</v>
      </c>
      <c r="AA624" s="1" t="str">
        <f t="shared" ca="1" si="64"/>
        <v>VENCIDO</v>
      </c>
      <c r="AB624" s="1" t="str">
        <f t="shared" si="65"/>
        <v>Dosa</v>
      </c>
      <c r="AC624" s="2" t="str">
        <f t="shared" si="69"/>
        <v xml:space="preserve"> ROSEMERE </v>
      </c>
      <c r="AD624" s="2">
        <f t="shared" si="66"/>
        <v>5</v>
      </c>
      <c r="AE624" s="2">
        <f t="shared" ca="1" si="67"/>
        <v>-120.9262716435187</v>
      </c>
      <c r="AF624" s="15"/>
    </row>
    <row r="625" spans="1:32" hidden="1">
      <c r="A625" s="1">
        <v>8937635</v>
      </c>
      <c r="B625" s="1" t="s">
        <v>62</v>
      </c>
      <c r="C625" t="s">
        <v>1231</v>
      </c>
      <c r="E625" s="2">
        <v>1764000203000</v>
      </c>
      <c r="F625" s="1" t="s">
        <v>454</v>
      </c>
      <c r="G625" s="1" t="s">
        <v>53</v>
      </c>
      <c r="H625" s="1" t="s">
        <v>722</v>
      </c>
      <c r="I625" s="1" t="s">
        <v>723</v>
      </c>
      <c r="J625" s="1" t="s">
        <v>90</v>
      </c>
      <c r="K625" t="s">
        <v>457</v>
      </c>
      <c r="M625" s="1" t="s">
        <v>58</v>
      </c>
      <c r="N625" s="1">
        <v>0</v>
      </c>
      <c r="O625" s="1" t="s">
        <v>105</v>
      </c>
      <c r="P625" s="11" t="s">
        <v>1232</v>
      </c>
      <c r="R625" s="1">
        <v>1</v>
      </c>
      <c r="T625" s="1" t="s">
        <v>157</v>
      </c>
      <c r="U625" s="11" t="s">
        <v>1233</v>
      </c>
      <c r="V625" s="1" t="s">
        <v>41</v>
      </c>
      <c r="W625" s="1" t="s">
        <v>49</v>
      </c>
      <c r="X625" s="13" t="str">
        <f t="shared" si="68"/>
        <v/>
      </c>
      <c r="Y625" s="2">
        <f t="shared" ca="1" si="63"/>
        <v>110</v>
      </c>
      <c r="Z625" s="14">
        <v>1</v>
      </c>
      <c r="AA625" s="1" t="str">
        <f t="shared" ca="1" si="64"/>
        <v>VENCIDO</v>
      </c>
      <c r="AB625" s="1" t="str">
        <f t="shared" si="65"/>
        <v>C-14</v>
      </c>
      <c r="AC625" s="2" t="str">
        <f t="shared" si="69"/>
        <v xml:space="preserve"> RINALDO </v>
      </c>
      <c r="AD625" s="2">
        <f t="shared" si="66"/>
        <v>5</v>
      </c>
      <c r="AE625" s="2">
        <f t="shared" ca="1" si="67"/>
        <v>-116.9262716435187</v>
      </c>
      <c r="AF625" s="15"/>
    </row>
    <row r="626" spans="1:32" hidden="1">
      <c r="A626" s="1">
        <v>8948448</v>
      </c>
      <c r="B626" s="1" t="s">
        <v>101</v>
      </c>
      <c r="C626" t="s">
        <v>643</v>
      </c>
      <c r="D626" s="2">
        <v>220161643</v>
      </c>
      <c r="E626" s="2">
        <v>4076001400030</v>
      </c>
      <c r="F626" s="1" t="s">
        <v>647</v>
      </c>
      <c r="G626" s="1" t="s">
        <v>53</v>
      </c>
      <c r="H626" s="1" t="s">
        <v>426</v>
      </c>
      <c r="I626" s="1" t="s">
        <v>427</v>
      </c>
      <c r="J626" s="1" t="s">
        <v>79</v>
      </c>
      <c r="K626" t="s">
        <v>650</v>
      </c>
      <c r="M626" s="1" t="s">
        <v>58</v>
      </c>
      <c r="N626" s="1">
        <v>0</v>
      </c>
      <c r="O626" s="1" t="s">
        <v>105</v>
      </c>
      <c r="P626" s="11" t="s">
        <v>1234</v>
      </c>
      <c r="R626" s="1">
        <v>4</v>
      </c>
      <c r="T626" s="1" t="s">
        <v>646</v>
      </c>
      <c r="U626" s="11" t="s">
        <v>1235</v>
      </c>
      <c r="V626" s="1" t="s">
        <v>41</v>
      </c>
      <c r="W626" s="1" t="s">
        <v>49</v>
      </c>
      <c r="X626" s="13" t="str">
        <f t="shared" si="68"/>
        <v/>
      </c>
      <c r="Y626" s="2">
        <f t="shared" ca="1" si="63"/>
        <v>108</v>
      </c>
      <c r="Z626" s="14">
        <v>1</v>
      </c>
      <c r="AA626" s="1" t="str">
        <f t="shared" ca="1" si="64"/>
        <v>VENCIDO</v>
      </c>
      <c r="AB626" s="1" t="str">
        <f t="shared" si="65"/>
        <v>C-14</v>
      </c>
      <c r="AC626" s="2" t="str">
        <f t="shared" si="69"/>
        <v xml:space="preserve"> ROSEMERE </v>
      </c>
      <c r="AD626" s="2">
        <f t="shared" si="66"/>
        <v>15</v>
      </c>
      <c r="AE626" s="2">
        <f t="shared" ca="1" si="67"/>
        <v>-148.41495219907665</v>
      </c>
      <c r="AF626" s="15"/>
    </row>
    <row r="627" spans="1:32" hidden="1">
      <c r="A627" s="1">
        <v>8947938</v>
      </c>
      <c r="B627" s="1" t="s">
        <v>101</v>
      </c>
      <c r="C627" t="s">
        <v>643</v>
      </c>
      <c r="D627" s="2">
        <v>220160524</v>
      </c>
      <c r="E627" s="2">
        <v>4076001400010</v>
      </c>
      <c r="F627" s="1" t="s">
        <v>936</v>
      </c>
      <c r="G627" s="1" t="s">
        <v>53</v>
      </c>
      <c r="H627" s="1" t="s">
        <v>426</v>
      </c>
      <c r="I627" s="1" t="s">
        <v>427</v>
      </c>
      <c r="J627" s="1" t="s">
        <v>79</v>
      </c>
      <c r="K627" t="s">
        <v>937</v>
      </c>
      <c r="M627" s="1" t="s">
        <v>58</v>
      </c>
      <c r="N627" s="1">
        <v>0</v>
      </c>
      <c r="O627" s="1" t="s">
        <v>105</v>
      </c>
      <c r="P627" s="11" t="s">
        <v>1236</v>
      </c>
      <c r="R627" s="1">
        <v>3</v>
      </c>
      <c r="T627" s="1" t="s">
        <v>646</v>
      </c>
      <c r="U627" s="11" t="s">
        <v>1237</v>
      </c>
      <c r="V627" s="1" t="s">
        <v>41</v>
      </c>
      <c r="W627" s="1" t="s">
        <v>49</v>
      </c>
      <c r="X627" s="13" t="str">
        <f t="shared" si="68"/>
        <v/>
      </c>
      <c r="Y627" s="2">
        <f t="shared" ca="1" si="63"/>
        <v>108</v>
      </c>
      <c r="Z627" s="14">
        <v>1</v>
      </c>
      <c r="AA627" s="1" t="str">
        <f t="shared" ca="1" si="64"/>
        <v>VENCIDO</v>
      </c>
      <c r="AB627" s="1" t="str">
        <f t="shared" si="65"/>
        <v>C-14</v>
      </c>
      <c r="AC627" s="2" t="str">
        <f t="shared" si="69"/>
        <v xml:space="preserve"> ROSEMERE </v>
      </c>
      <c r="AD627" s="2">
        <f t="shared" si="66"/>
        <v>5</v>
      </c>
      <c r="AE627" s="2">
        <f t="shared" ca="1" si="67"/>
        <v>-148.46266053240834</v>
      </c>
      <c r="AF627" s="15"/>
    </row>
    <row r="628" spans="1:32" hidden="1">
      <c r="A628" s="1">
        <v>8946342</v>
      </c>
      <c r="B628" s="1" t="s">
        <v>101</v>
      </c>
      <c r="C628" t="s">
        <v>643</v>
      </c>
      <c r="D628" s="2">
        <v>220163016</v>
      </c>
      <c r="E628" s="2">
        <v>4076001400040</v>
      </c>
      <c r="F628" s="1" t="s">
        <v>644</v>
      </c>
      <c r="G628" s="1" t="s">
        <v>53</v>
      </c>
      <c r="H628" s="1" t="s">
        <v>426</v>
      </c>
      <c r="I628" s="1" t="s">
        <v>427</v>
      </c>
      <c r="J628" s="1" t="s">
        <v>79</v>
      </c>
      <c r="K628" t="s">
        <v>645</v>
      </c>
      <c r="M628" s="1" t="s">
        <v>58</v>
      </c>
      <c r="N628" s="1">
        <v>0</v>
      </c>
      <c r="O628" s="1" t="s">
        <v>105</v>
      </c>
      <c r="P628" s="11" t="s">
        <v>1238</v>
      </c>
      <c r="R628" s="1">
        <v>3</v>
      </c>
      <c r="T628" s="1" t="s">
        <v>646</v>
      </c>
      <c r="U628" s="11" t="s">
        <v>1239</v>
      </c>
      <c r="V628" s="1" t="s">
        <v>41</v>
      </c>
      <c r="W628" s="1" t="s">
        <v>49</v>
      </c>
      <c r="X628" s="13" t="str">
        <f t="shared" si="68"/>
        <v/>
      </c>
      <c r="Y628" s="2">
        <f t="shared" ca="1" si="63"/>
        <v>108</v>
      </c>
      <c r="Z628" s="14">
        <v>1</v>
      </c>
      <c r="AA628" s="1" t="str">
        <f t="shared" ca="1" si="64"/>
        <v>VENCIDO</v>
      </c>
      <c r="AB628" s="1" t="str">
        <f t="shared" si="65"/>
        <v>SL-On</v>
      </c>
      <c r="AC628" s="2" t="str">
        <f t="shared" si="69"/>
        <v xml:space="preserve"> ROSEMERE </v>
      </c>
      <c r="AD628" s="2">
        <f t="shared" si="66"/>
        <v>1</v>
      </c>
      <c r="AE628" s="2">
        <f t="shared" ca="1" si="67"/>
        <v>-148.57333182870207</v>
      </c>
      <c r="AF628" s="15"/>
    </row>
    <row r="629" spans="1:32" hidden="1">
      <c r="A629" s="1">
        <v>8961211</v>
      </c>
      <c r="B629" s="1" t="s">
        <v>81</v>
      </c>
      <c r="C629" t="s">
        <v>3586</v>
      </c>
      <c r="E629" s="2">
        <v>1128000206022</v>
      </c>
      <c r="F629" s="1" t="s">
        <v>103</v>
      </c>
      <c r="G629" s="1" t="s">
        <v>53</v>
      </c>
      <c r="H629" s="1" t="s">
        <v>1191</v>
      </c>
      <c r="I629" s="1" t="s">
        <v>1192</v>
      </c>
      <c r="J629" s="1" t="s">
        <v>33</v>
      </c>
      <c r="K629" t="s">
        <v>104</v>
      </c>
      <c r="M629" s="1" t="s">
        <v>58</v>
      </c>
      <c r="N629" s="1">
        <v>0</v>
      </c>
      <c r="O629" s="1" t="s">
        <v>105</v>
      </c>
      <c r="P629" s="11" t="s">
        <v>1241</v>
      </c>
      <c r="R629" s="1" t="s">
        <v>38</v>
      </c>
      <c r="T629" s="1" t="s">
        <v>74</v>
      </c>
      <c r="U629" s="11" t="s">
        <v>1242</v>
      </c>
      <c r="V629" s="1" t="s">
        <v>41</v>
      </c>
      <c r="W629" s="1" t="s">
        <v>49</v>
      </c>
      <c r="X629" s="13" t="str">
        <f t="shared" si="68"/>
        <v/>
      </c>
      <c r="Y629" s="2">
        <f t="shared" ca="1" si="63"/>
        <v>105</v>
      </c>
      <c r="Z629" s="14">
        <v>1</v>
      </c>
      <c r="AA629" s="1" t="str">
        <f t="shared" ca="1" si="64"/>
        <v>VENCIDO</v>
      </c>
      <c r="AB629" s="1" t="str">
        <f t="shared" si="65"/>
        <v>Dosa</v>
      </c>
      <c r="AC629" s="2" t="str">
        <f t="shared" si="69"/>
        <v xml:space="preserve"> ROSEMERE </v>
      </c>
      <c r="AD629" s="2">
        <f t="shared" si="66"/>
        <v>5</v>
      </c>
      <c r="AE629" s="2">
        <f t="shared" ca="1" si="67"/>
        <v>-145.02055405092688</v>
      </c>
      <c r="AF629" s="15"/>
    </row>
    <row r="630" spans="1:32" hidden="1">
      <c r="A630" s="1">
        <v>8963507</v>
      </c>
      <c r="B630" s="1" t="s">
        <v>1153</v>
      </c>
      <c r="C630" t="s">
        <v>1243</v>
      </c>
      <c r="D630" s="2">
        <v>20228362000085</v>
      </c>
      <c r="E630" s="2">
        <v>7417172316147</v>
      </c>
      <c r="F630" s="1" t="s">
        <v>1155</v>
      </c>
      <c r="G630" s="1" t="s">
        <v>53</v>
      </c>
      <c r="H630" s="1" t="s">
        <v>1244</v>
      </c>
      <c r="I630" s="1" t="s">
        <v>1245</v>
      </c>
      <c r="J630" s="1" t="s">
        <v>46</v>
      </c>
      <c r="K630" t="s">
        <v>1158</v>
      </c>
      <c r="M630" s="1" t="s">
        <v>58</v>
      </c>
      <c r="N630" s="1">
        <v>0</v>
      </c>
      <c r="O630" s="1" t="s">
        <v>36</v>
      </c>
      <c r="P630" s="11" t="s">
        <v>1246</v>
      </c>
      <c r="R630" s="1">
        <v>22</v>
      </c>
      <c r="T630" s="1" t="s">
        <v>1160</v>
      </c>
      <c r="U630" s="11" t="s">
        <v>1247</v>
      </c>
      <c r="V630" s="1" t="s">
        <v>41</v>
      </c>
      <c r="W630" s="1" t="s">
        <v>49</v>
      </c>
      <c r="X630" s="13" t="str">
        <f t="shared" si="68"/>
        <v/>
      </c>
      <c r="Y630" s="2">
        <f t="shared" ca="1" si="63"/>
        <v>104</v>
      </c>
      <c r="Z630" s="14">
        <v>1</v>
      </c>
      <c r="AA630" s="1" t="str">
        <f t="shared" ca="1" si="64"/>
        <v>VENCIDO</v>
      </c>
      <c r="AB630" s="1" t="str">
        <f t="shared" si="65"/>
        <v>TAAe+</v>
      </c>
      <c r="AC630" s="2" t="str">
        <f t="shared" si="69"/>
        <v xml:space="preserve"> CLEITON </v>
      </c>
      <c r="AD630" s="2">
        <f t="shared" si="66"/>
        <v>8</v>
      </c>
      <c r="AE630" s="2">
        <f t="shared" ca="1" si="67"/>
        <v>-141.0694429398136</v>
      </c>
      <c r="AF630" s="15"/>
    </row>
    <row r="631" spans="1:32" hidden="1">
      <c r="A631" s="1">
        <v>8974248</v>
      </c>
      <c r="B631" s="1" t="s">
        <v>1153</v>
      </c>
      <c r="C631" t="s">
        <v>1248</v>
      </c>
      <c r="D631" s="2">
        <v>20228362000086</v>
      </c>
      <c r="E631" s="2">
        <v>7417172315342</v>
      </c>
      <c r="F631" s="1" t="s">
        <v>1155</v>
      </c>
      <c r="G631" s="1" t="s">
        <v>53</v>
      </c>
      <c r="H631" s="1" t="s">
        <v>1244</v>
      </c>
      <c r="I631" s="1" t="s">
        <v>1245</v>
      </c>
      <c r="J631" s="1" t="s">
        <v>46</v>
      </c>
      <c r="K631" t="s">
        <v>1158</v>
      </c>
      <c r="M631" s="1" t="s">
        <v>58</v>
      </c>
      <c r="N631" s="1">
        <v>0</v>
      </c>
      <c r="O631" s="1" t="s">
        <v>36</v>
      </c>
      <c r="P631" s="11" t="s">
        <v>1249</v>
      </c>
      <c r="R631" s="1">
        <v>22</v>
      </c>
      <c r="T631" s="1" t="s">
        <v>1160</v>
      </c>
      <c r="U631" s="11" t="s">
        <v>1250</v>
      </c>
      <c r="V631" s="1" t="s">
        <v>41</v>
      </c>
      <c r="W631" s="1" t="s">
        <v>49</v>
      </c>
      <c r="X631" s="13" t="str">
        <f t="shared" si="68"/>
        <v/>
      </c>
      <c r="Y631" s="2">
        <f t="shared" ca="1" si="63"/>
        <v>103</v>
      </c>
      <c r="Z631" s="14">
        <v>1</v>
      </c>
      <c r="AA631" s="1" t="str">
        <f t="shared" ca="1" si="64"/>
        <v>VENCIDO</v>
      </c>
      <c r="AB631" s="1" t="str">
        <f t="shared" si="65"/>
        <v>TAAe+</v>
      </c>
      <c r="AC631" s="2" t="str">
        <f t="shared" si="69"/>
        <v xml:space="preserve"> CLEITON </v>
      </c>
      <c r="AD631" s="2">
        <f t="shared" si="66"/>
        <v>8</v>
      </c>
      <c r="AE631" s="2">
        <f t="shared" ca="1" si="67"/>
        <v>-138.17937349536805</v>
      </c>
      <c r="AF631" s="15"/>
    </row>
    <row r="632" spans="1:32" hidden="1">
      <c r="A632" s="1">
        <v>8987410</v>
      </c>
      <c r="B632" s="1" t="s">
        <v>81</v>
      </c>
      <c r="C632" t="s">
        <v>1251</v>
      </c>
      <c r="E632" s="2">
        <v>2196000206001</v>
      </c>
      <c r="F632" s="1" t="s">
        <v>29</v>
      </c>
      <c r="G632" s="1" t="s">
        <v>53</v>
      </c>
      <c r="H632" s="1" t="s">
        <v>1252</v>
      </c>
      <c r="I632" s="1" t="s">
        <v>1253</v>
      </c>
      <c r="J632" s="1" t="s">
        <v>33</v>
      </c>
      <c r="K632" t="s">
        <v>34</v>
      </c>
      <c r="M632" s="1" t="s">
        <v>35</v>
      </c>
      <c r="N632" s="1">
        <v>42318949</v>
      </c>
      <c r="O632" s="1" t="s">
        <v>105</v>
      </c>
      <c r="P632" s="11" t="s">
        <v>1254</v>
      </c>
      <c r="R632" s="1" t="s">
        <v>38</v>
      </c>
      <c r="T632" s="1" t="s">
        <v>74</v>
      </c>
      <c r="U632" s="11" t="s">
        <v>1255</v>
      </c>
      <c r="V632" s="1" t="s">
        <v>41</v>
      </c>
      <c r="W632" s="1" t="s">
        <v>42</v>
      </c>
      <c r="X632" s="13" t="str">
        <f t="shared" si="68"/>
        <v/>
      </c>
      <c r="Y632" s="2">
        <f t="shared" ca="1" si="63"/>
        <v>99</v>
      </c>
      <c r="Z632" s="14">
        <v>1</v>
      </c>
      <c r="AA632" s="1" t="str">
        <f t="shared" ca="1" si="64"/>
        <v>VENCIDO</v>
      </c>
      <c r="AB632" s="1" t="str">
        <f t="shared" si="65"/>
        <v>Dosa</v>
      </c>
      <c r="AC632" s="2" t="str">
        <f t="shared" si="69"/>
        <v xml:space="preserve"> ROSEMERE </v>
      </c>
      <c r="AD632" s="2">
        <f t="shared" si="66"/>
        <v>5</v>
      </c>
      <c r="AE632" s="2">
        <f t="shared" ca="1" si="67"/>
        <v>-137.03283414351608</v>
      </c>
      <c r="AF632" s="15"/>
    </row>
    <row r="633" spans="1:32" hidden="1">
      <c r="A633" s="1">
        <v>9003116</v>
      </c>
      <c r="B633" s="1" t="s">
        <v>62</v>
      </c>
      <c r="C633" t="s">
        <v>3587</v>
      </c>
      <c r="E633" s="2">
        <v>8074000203010</v>
      </c>
      <c r="F633" s="1" t="s">
        <v>152</v>
      </c>
      <c r="G633" s="1" t="s">
        <v>53</v>
      </c>
      <c r="H633" s="1" t="s">
        <v>1257</v>
      </c>
      <c r="I633" s="1" t="s">
        <v>1258</v>
      </c>
      <c r="J633" s="1" t="s">
        <v>33</v>
      </c>
      <c r="K633" t="s">
        <v>155</v>
      </c>
      <c r="M633" s="1" t="s">
        <v>35</v>
      </c>
      <c r="N633" s="1">
        <v>42318949</v>
      </c>
      <c r="O633" s="1" t="s">
        <v>36</v>
      </c>
      <c r="P633" s="11" t="s">
        <v>1259</v>
      </c>
      <c r="R633" s="1">
        <v>1</v>
      </c>
      <c r="T633" s="1" t="s">
        <v>157</v>
      </c>
      <c r="U633" s="11" t="s">
        <v>1260</v>
      </c>
      <c r="V633" s="1" t="s">
        <v>41</v>
      </c>
      <c r="W633" s="1" t="s">
        <v>49</v>
      </c>
      <c r="X633" s="13" t="str">
        <f t="shared" si="68"/>
        <v/>
      </c>
      <c r="Y633" s="2">
        <f t="shared" ca="1" si="63"/>
        <v>96</v>
      </c>
      <c r="Z633" s="14">
        <v>1</v>
      </c>
      <c r="AA633" s="1" t="str">
        <f t="shared" ca="1" si="64"/>
        <v>VENCIDO</v>
      </c>
      <c r="AB633" s="1" t="str">
        <f t="shared" si="65"/>
        <v>TAAe+</v>
      </c>
      <c r="AC633" s="2" t="str">
        <f t="shared" si="69"/>
        <v xml:space="preserve"> ROSEMERE </v>
      </c>
      <c r="AD633" s="2">
        <f t="shared" si="66"/>
        <v>8</v>
      </c>
      <c r="AE633" s="2">
        <f t="shared" ca="1" si="67"/>
        <v>-96.926271643518703</v>
      </c>
      <c r="AF633" s="15"/>
    </row>
    <row r="634" spans="1:32" hidden="1">
      <c r="A634" s="1">
        <v>9002878</v>
      </c>
      <c r="B634" s="1" t="s">
        <v>62</v>
      </c>
      <c r="C634" t="s">
        <v>3588</v>
      </c>
      <c r="E634" s="2">
        <v>1732000203010</v>
      </c>
      <c r="F634" s="1" t="s">
        <v>152</v>
      </c>
      <c r="G634" s="1" t="s">
        <v>53</v>
      </c>
      <c r="H634" s="1" t="s">
        <v>177</v>
      </c>
      <c r="I634" s="1" t="s">
        <v>178</v>
      </c>
      <c r="J634" s="1" t="s">
        <v>164</v>
      </c>
      <c r="K634" t="s">
        <v>155</v>
      </c>
      <c r="M634" s="1" t="s">
        <v>35</v>
      </c>
      <c r="N634" s="1">
        <v>42318949</v>
      </c>
      <c r="O634" s="1" t="s">
        <v>36</v>
      </c>
      <c r="P634" s="11" t="s">
        <v>1262</v>
      </c>
      <c r="R634" s="1">
        <v>1</v>
      </c>
      <c r="T634" s="1" t="s">
        <v>157</v>
      </c>
      <c r="U634" s="11" t="s">
        <v>1260</v>
      </c>
      <c r="V634" s="1" t="s">
        <v>41</v>
      </c>
      <c r="W634" s="1" t="s">
        <v>49</v>
      </c>
      <c r="X634" s="13" t="str">
        <f t="shared" si="68"/>
        <v/>
      </c>
      <c r="Y634" s="2">
        <f t="shared" ca="1" si="63"/>
        <v>96</v>
      </c>
      <c r="Z634" s="14">
        <v>1</v>
      </c>
      <c r="AA634" s="1" t="str">
        <f t="shared" ca="1" si="64"/>
        <v>VENCIDO</v>
      </c>
      <c r="AB634" s="1" t="str">
        <f t="shared" si="65"/>
        <v>TAAe+</v>
      </c>
      <c r="AC634" s="2" t="str">
        <f t="shared" si="69"/>
        <v xml:space="preserve"> ROSEMERE </v>
      </c>
      <c r="AD634" s="2">
        <f t="shared" si="66"/>
        <v>8</v>
      </c>
      <c r="AE634" s="2">
        <f t="shared" ca="1" si="67"/>
        <v>-96.926271643518703</v>
      </c>
      <c r="AF634" s="15"/>
    </row>
    <row r="635" spans="1:32" hidden="1">
      <c r="A635" s="1">
        <v>9011010</v>
      </c>
      <c r="B635" s="1" t="s">
        <v>62</v>
      </c>
      <c r="C635" t="s">
        <v>1263</v>
      </c>
      <c r="E635" s="2">
        <v>2156000206021</v>
      </c>
      <c r="F635" s="1" t="s">
        <v>103</v>
      </c>
      <c r="G635" s="1" t="s">
        <v>53</v>
      </c>
      <c r="H635" s="1" t="s">
        <v>278</v>
      </c>
      <c r="I635" s="1" t="s">
        <v>279</v>
      </c>
      <c r="J635" s="1" t="s">
        <v>211</v>
      </c>
      <c r="K635" t="s">
        <v>104</v>
      </c>
      <c r="M635" s="1" t="s">
        <v>58</v>
      </c>
      <c r="N635" s="1">
        <v>0</v>
      </c>
      <c r="O635" s="1" t="s">
        <v>36</v>
      </c>
      <c r="P635" s="11" t="s">
        <v>1264</v>
      </c>
      <c r="R635" s="1" t="s">
        <v>38</v>
      </c>
      <c r="T635" s="1" t="s">
        <v>74</v>
      </c>
      <c r="U635" s="11" t="s">
        <v>1265</v>
      </c>
      <c r="V635" s="1" t="s">
        <v>41</v>
      </c>
      <c r="W635" s="1" t="s">
        <v>49</v>
      </c>
      <c r="X635" s="13" t="str">
        <f t="shared" si="68"/>
        <v/>
      </c>
      <c r="Y635" s="2">
        <f t="shared" ca="1" si="63"/>
        <v>94</v>
      </c>
      <c r="Z635" s="14">
        <v>1</v>
      </c>
      <c r="AA635" s="1" t="str">
        <f t="shared" ca="1" si="64"/>
        <v>VENCIDO</v>
      </c>
      <c r="AB635" s="1" t="str">
        <f t="shared" si="65"/>
        <v>Dosa</v>
      </c>
      <c r="AC635" s="2" t="str">
        <f t="shared" si="69"/>
        <v xml:space="preserve"> RINALDO </v>
      </c>
      <c r="AD635" s="2">
        <f t="shared" si="66"/>
        <v>5</v>
      </c>
      <c r="AE635" s="2">
        <f t="shared" ca="1" si="67"/>
        <v>-84.926271643518703</v>
      </c>
      <c r="AF635" s="15"/>
    </row>
    <row r="636" spans="1:32" hidden="1">
      <c r="A636" s="1">
        <v>9011009</v>
      </c>
      <c r="B636" s="1" t="s">
        <v>62</v>
      </c>
      <c r="C636" t="s">
        <v>1266</v>
      </c>
      <c r="E636" s="2">
        <v>2156000206021</v>
      </c>
      <c r="F636" s="1" t="s">
        <v>103</v>
      </c>
      <c r="G636" s="1" t="s">
        <v>53</v>
      </c>
      <c r="H636" s="1" t="s">
        <v>278</v>
      </c>
      <c r="I636" s="1" t="s">
        <v>279</v>
      </c>
      <c r="J636" s="1" t="s">
        <v>211</v>
      </c>
      <c r="K636" t="s">
        <v>104</v>
      </c>
      <c r="M636" s="1" t="s">
        <v>58</v>
      </c>
      <c r="N636" s="1">
        <v>0</v>
      </c>
      <c r="O636" s="1" t="s">
        <v>36</v>
      </c>
      <c r="P636" s="11" t="s">
        <v>1267</v>
      </c>
      <c r="R636" s="1" t="s">
        <v>38</v>
      </c>
      <c r="T636" s="1" t="s">
        <v>74</v>
      </c>
      <c r="U636" s="11" t="s">
        <v>1265</v>
      </c>
      <c r="V636" s="1" t="s">
        <v>41</v>
      </c>
      <c r="W636" s="1" t="s">
        <v>49</v>
      </c>
      <c r="X636" s="13" t="str">
        <f t="shared" si="68"/>
        <v/>
      </c>
      <c r="Y636" s="2">
        <f t="shared" ca="1" si="63"/>
        <v>94</v>
      </c>
      <c r="Z636" s="14">
        <v>1</v>
      </c>
      <c r="AA636" s="1" t="str">
        <f t="shared" ca="1" si="64"/>
        <v>VENCIDO</v>
      </c>
      <c r="AB636" s="1" t="str">
        <f t="shared" si="65"/>
        <v>Dosa</v>
      </c>
      <c r="AC636" s="2" t="str">
        <f t="shared" si="69"/>
        <v xml:space="preserve"> RINALDO </v>
      </c>
      <c r="AD636" s="2">
        <f t="shared" si="66"/>
        <v>5</v>
      </c>
      <c r="AE636" s="2">
        <f t="shared" ca="1" si="67"/>
        <v>-84.926271643518703</v>
      </c>
      <c r="AF636" s="15"/>
    </row>
    <row r="637" spans="1:32" hidden="1">
      <c r="A637" s="1">
        <v>9011008</v>
      </c>
      <c r="B637" s="1" t="s">
        <v>62</v>
      </c>
      <c r="C637" t="s">
        <v>1266</v>
      </c>
      <c r="E637" s="2">
        <v>2156000206021</v>
      </c>
      <c r="F637" s="1" t="s">
        <v>103</v>
      </c>
      <c r="G637" s="1" t="s">
        <v>53</v>
      </c>
      <c r="H637" s="1" t="s">
        <v>278</v>
      </c>
      <c r="I637" s="1" t="s">
        <v>279</v>
      </c>
      <c r="J637" s="1" t="s">
        <v>211</v>
      </c>
      <c r="K637" t="s">
        <v>104</v>
      </c>
      <c r="M637" s="1" t="s">
        <v>58</v>
      </c>
      <c r="N637" s="1">
        <v>0</v>
      </c>
      <c r="O637" s="1" t="s">
        <v>36</v>
      </c>
      <c r="P637" s="11" t="s">
        <v>1268</v>
      </c>
      <c r="R637" s="1" t="s">
        <v>38</v>
      </c>
      <c r="T637" s="1" t="s">
        <v>74</v>
      </c>
      <c r="U637" s="11" t="s">
        <v>1265</v>
      </c>
      <c r="V637" s="1" t="s">
        <v>41</v>
      </c>
      <c r="W637" s="1" t="s">
        <v>49</v>
      </c>
      <c r="X637" s="13" t="str">
        <f t="shared" si="68"/>
        <v/>
      </c>
      <c r="Y637" s="2">
        <f t="shared" ca="1" si="63"/>
        <v>94</v>
      </c>
      <c r="Z637" s="14">
        <v>1</v>
      </c>
      <c r="AA637" s="1" t="str">
        <f t="shared" ca="1" si="64"/>
        <v>VENCIDO</v>
      </c>
      <c r="AB637" s="1" t="str">
        <f t="shared" si="65"/>
        <v>Dosa</v>
      </c>
      <c r="AC637" s="2" t="str">
        <f t="shared" si="69"/>
        <v xml:space="preserve"> RINALDO </v>
      </c>
      <c r="AD637" s="2">
        <f t="shared" si="66"/>
        <v>5</v>
      </c>
      <c r="AE637" s="2">
        <f t="shared" ca="1" si="67"/>
        <v>-84.926271643518703</v>
      </c>
      <c r="AF637" s="15"/>
    </row>
    <row r="638" spans="1:32" hidden="1">
      <c r="A638" s="1">
        <v>9011007</v>
      </c>
      <c r="B638" s="1" t="s">
        <v>62</v>
      </c>
      <c r="C638" t="s">
        <v>1266</v>
      </c>
      <c r="E638" s="2">
        <v>2156000206021</v>
      </c>
      <c r="F638" s="1" t="s">
        <v>103</v>
      </c>
      <c r="G638" s="1" t="s">
        <v>53</v>
      </c>
      <c r="H638" s="1" t="s">
        <v>278</v>
      </c>
      <c r="I638" s="1" t="s">
        <v>279</v>
      </c>
      <c r="J638" s="1" t="s">
        <v>211</v>
      </c>
      <c r="K638" t="s">
        <v>104</v>
      </c>
      <c r="M638" s="1" t="s">
        <v>58</v>
      </c>
      <c r="N638" s="1">
        <v>0</v>
      </c>
      <c r="O638" s="1" t="s">
        <v>36</v>
      </c>
      <c r="P638" s="11" t="s">
        <v>1269</v>
      </c>
      <c r="R638" s="1" t="s">
        <v>38</v>
      </c>
      <c r="T638" s="1" t="s">
        <v>74</v>
      </c>
      <c r="U638" s="11" t="s">
        <v>1265</v>
      </c>
      <c r="V638" s="1" t="s">
        <v>41</v>
      </c>
      <c r="W638" s="1" t="s">
        <v>49</v>
      </c>
      <c r="X638" s="13" t="str">
        <f t="shared" si="68"/>
        <v/>
      </c>
      <c r="Y638" s="2">
        <f t="shared" ca="1" si="63"/>
        <v>94</v>
      </c>
      <c r="Z638" s="14">
        <v>1</v>
      </c>
      <c r="AA638" s="1" t="str">
        <f t="shared" ca="1" si="64"/>
        <v>VENCIDO</v>
      </c>
      <c r="AB638" s="1" t="str">
        <f t="shared" si="65"/>
        <v>Dosa</v>
      </c>
      <c r="AC638" s="2" t="str">
        <f t="shared" si="69"/>
        <v xml:space="preserve"> RINALDO </v>
      </c>
      <c r="AD638" s="2">
        <f t="shared" si="66"/>
        <v>5</v>
      </c>
      <c r="AE638" s="2">
        <f t="shared" ca="1" si="67"/>
        <v>-84.926271643518703</v>
      </c>
      <c r="AF638" s="15"/>
    </row>
    <row r="639" spans="1:32" hidden="1">
      <c r="A639" s="173">
        <v>9017924</v>
      </c>
      <c r="B639" s="173" t="s">
        <v>1153</v>
      </c>
      <c r="C639" s="178" t="s">
        <v>3450</v>
      </c>
      <c r="D639" s="174">
        <v>220174476</v>
      </c>
      <c r="E639" s="174">
        <v>4119001400030</v>
      </c>
      <c r="F639" s="173" t="s">
        <v>647</v>
      </c>
      <c r="G639" s="173" t="s">
        <v>53</v>
      </c>
      <c r="H639" s="173" t="s">
        <v>297</v>
      </c>
      <c r="I639" s="173" t="s">
        <v>298</v>
      </c>
      <c r="J639" s="173" t="s">
        <v>211</v>
      </c>
      <c r="K639" t="s">
        <v>650</v>
      </c>
      <c r="M639" s="1" t="s">
        <v>58</v>
      </c>
      <c r="N639" s="1">
        <v>0</v>
      </c>
      <c r="O639" s="1" t="s">
        <v>36</v>
      </c>
      <c r="P639" s="11" t="s">
        <v>1271</v>
      </c>
      <c r="R639" s="1">
        <v>4</v>
      </c>
      <c r="T639" s="1" t="s">
        <v>646</v>
      </c>
      <c r="U639" s="11" t="s">
        <v>1272</v>
      </c>
      <c r="V639" s="1" t="s">
        <v>41</v>
      </c>
      <c r="W639" s="1" t="s">
        <v>49</v>
      </c>
      <c r="X639" s="13" t="str">
        <f t="shared" si="68"/>
        <v/>
      </c>
      <c r="Y639" s="2">
        <f t="shared" ca="1" si="63"/>
        <v>92</v>
      </c>
      <c r="Z639" s="14">
        <v>1</v>
      </c>
      <c r="AA639" s="1" t="str">
        <f t="shared" ca="1" si="64"/>
        <v>VENCIDO</v>
      </c>
      <c r="AB639" s="1" t="str">
        <f t="shared" si="65"/>
        <v>C-14</v>
      </c>
      <c r="AC639" s="2" t="str">
        <f t="shared" si="69"/>
        <v xml:space="preserve"> RINALDO </v>
      </c>
      <c r="AD639" s="2">
        <f t="shared" si="66"/>
        <v>15</v>
      </c>
      <c r="AE639" s="2">
        <f t="shared" ca="1" si="67"/>
        <v>-126.13900312499754</v>
      </c>
      <c r="AF639" s="15"/>
    </row>
    <row r="640" spans="1:32" hidden="1">
      <c r="A640" s="1">
        <v>9020963</v>
      </c>
      <c r="B640" s="1" t="s">
        <v>1153</v>
      </c>
      <c r="C640" t="s">
        <v>1273</v>
      </c>
      <c r="D640" s="2">
        <v>20228489000019</v>
      </c>
      <c r="E640" s="2">
        <v>7417172315969</v>
      </c>
      <c r="F640" s="1" t="s">
        <v>1155</v>
      </c>
      <c r="G640" s="1" t="s">
        <v>53</v>
      </c>
      <c r="H640" s="1" t="s">
        <v>1156</v>
      </c>
      <c r="I640" s="1" t="s">
        <v>1157</v>
      </c>
      <c r="J640" s="1" t="s">
        <v>46</v>
      </c>
      <c r="K640" t="s">
        <v>1158</v>
      </c>
      <c r="M640" s="1" t="s">
        <v>58</v>
      </c>
      <c r="N640" s="1">
        <v>0</v>
      </c>
      <c r="O640" s="1" t="s">
        <v>36</v>
      </c>
      <c r="P640" s="11" t="s">
        <v>1274</v>
      </c>
      <c r="R640" s="1">
        <v>22</v>
      </c>
      <c r="T640" s="1" t="s">
        <v>1160</v>
      </c>
      <c r="U640" s="11" t="s">
        <v>1275</v>
      </c>
      <c r="V640" s="1" t="s">
        <v>41</v>
      </c>
      <c r="W640" s="1" t="s">
        <v>49</v>
      </c>
      <c r="X640" s="13" t="str">
        <f t="shared" si="68"/>
        <v/>
      </c>
      <c r="Y640" s="2">
        <f t="shared" ca="1" si="63"/>
        <v>91</v>
      </c>
      <c r="Z640" s="14">
        <v>1</v>
      </c>
      <c r="AA640" s="1" t="str">
        <f t="shared" ca="1" si="64"/>
        <v>VENCIDO</v>
      </c>
      <c r="AB640" s="1" t="str">
        <f t="shared" si="65"/>
        <v>TAAe+</v>
      </c>
      <c r="AC640" s="2" t="str">
        <f t="shared" si="69"/>
        <v xml:space="preserve"> CLEITON </v>
      </c>
      <c r="AD640" s="2">
        <f t="shared" si="66"/>
        <v>8</v>
      </c>
      <c r="AE640" s="2">
        <f t="shared" ca="1" si="67"/>
        <v>-121.19857488425623</v>
      </c>
      <c r="AF640" s="15"/>
    </row>
    <row r="641" spans="1:32" hidden="1">
      <c r="A641" s="1">
        <v>9022234</v>
      </c>
      <c r="B641" s="1" t="s">
        <v>1153</v>
      </c>
      <c r="C641" t="s">
        <v>1276</v>
      </c>
      <c r="D641" s="2">
        <v>20228489000020</v>
      </c>
      <c r="E641" s="2">
        <v>7417172314989</v>
      </c>
      <c r="F641" s="1" t="s">
        <v>1155</v>
      </c>
      <c r="G641" s="1" t="s">
        <v>53</v>
      </c>
      <c r="H641" s="1" t="s">
        <v>1156</v>
      </c>
      <c r="I641" s="1" t="s">
        <v>1157</v>
      </c>
      <c r="J641" s="1" t="s">
        <v>46</v>
      </c>
      <c r="K641" t="s">
        <v>1158</v>
      </c>
      <c r="M641" s="1" t="s">
        <v>58</v>
      </c>
      <c r="N641" s="1">
        <v>0</v>
      </c>
      <c r="O641" s="1" t="s">
        <v>36</v>
      </c>
      <c r="P641" s="11" t="s">
        <v>3977</v>
      </c>
      <c r="R641" s="1">
        <v>22</v>
      </c>
      <c r="T641" s="1" t="s">
        <v>1160</v>
      </c>
      <c r="U641" s="11" t="s">
        <v>3978</v>
      </c>
      <c r="V641" s="1" t="s">
        <v>41</v>
      </c>
      <c r="W641" s="1" t="s">
        <v>49</v>
      </c>
      <c r="X641" s="13" t="str">
        <f t="shared" si="68"/>
        <v/>
      </c>
      <c r="Y641" s="2">
        <f t="shared" ca="1" si="63"/>
        <v>90</v>
      </c>
      <c r="Z641" s="14">
        <v>1</v>
      </c>
      <c r="AA641" s="1" t="str">
        <f t="shared" ca="1" si="64"/>
        <v>VENCIDO</v>
      </c>
      <c r="AB641" s="1" t="str">
        <f t="shared" si="65"/>
        <v>TAAe+</v>
      </c>
      <c r="AC641" s="2" t="str">
        <f t="shared" si="69"/>
        <v xml:space="preserve"> CLEITON </v>
      </c>
      <c r="AD641" s="2">
        <f t="shared" si="66"/>
        <v>8</v>
      </c>
      <c r="AE641" s="2">
        <f t="shared" ca="1" si="67"/>
        <v>-121.07512581018818</v>
      </c>
      <c r="AF641" s="15"/>
    </row>
    <row r="642" spans="1:32" hidden="1">
      <c r="A642" s="1">
        <v>9025533</v>
      </c>
      <c r="B642" s="1" t="s">
        <v>62</v>
      </c>
      <c r="C642" t="s">
        <v>1277</v>
      </c>
      <c r="E642" s="2">
        <v>7420000203000</v>
      </c>
      <c r="F642" s="1" t="s">
        <v>454</v>
      </c>
      <c r="G642" s="1" t="s">
        <v>30</v>
      </c>
      <c r="H642" s="1" t="s">
        <v>1076</v>
      </c>
      <c r="I642" s="1" t="s">
        <v>1077</v>
      </c>
      <c r="J642" s="1" t="s">
        <v>46</v>
      </c>
      <c r="K642" t="s">
        <v>457</v>
      </c>
      <c r="M642" s="1" t="s">
        <v>58</v>
      </c>
      <c r="N642" s="1">
        <v>0</v>
      </c>
      <c r="O642" s="1" t="s">
        <v>105</v>
      </c>
      <c r="P642" s="11" t="s">
        <v>1278</v>
      </c>
      <c r="R642" s="1" t="s">
        <v>38</v>
      </c>
      <c r="T642" s="1" t="s">
        <v>157</v>
      </c>
      <c r="U642" s="11" t="s">
        <v>1279</v>
      </c>
      <c r="V642" s="1" t="s">
        <v>41</v>
      </c>
      <c r="W642" s="1" t="s">
        <v>49</v>
      </c>
      <c r="X642" s="13" t="str">
        <f t="shared" si="68"/>
        <v/>
      </c>
      <c r="Y642" s="2">
        <f t="shared" ref="Y642:Y699" ca="1" si="70">NETWORKDAYS(P642,$Y$1)</f>
        <v>89</v>
      </c>
      <c r="Z642" s="14">
        <v>1</v>
      </c>
      <c r="AA642" s="1" t="str">
        <f t="shared" ref="AA642:AA699" ca="1" si="71">IF(AE642=0,"HOJE",IF(AE642&gt;0,"A VENCER",IF(AE642&lt;0,"VENCIDO")))</f>
        <v>VENCIDO</v>
      </c>
      <c r="AB642" s="1" t="str">
        <f t="shared" ref="AB642:AB699" si="72">IF(F642="GRPE-000001","C-14",IF(F642="GRPE-000002","C-14",IF(F642="GRPE-000003","C-14",IF(F642="GRPE-000004","SL-On",IF(F642="GRPE-000038","C-14",IF(F642="GRPE-900022","Dosa",IF(F642="GRPE-000029","Dosa",IF(F642="ATOS-000222","Dose","TAAe+"))))))))</f>
        <v>C-14</v>
      </c>
      <c r="AC642" s="2" t="str">
        <f t="shared" si="69"/>
        <v xml:space="preserve"> CLEITON </v>
      </c>
      <c r="AD642" s="2">
        <f t="shared" ref="AD642:AD699" si="73">IF(F642="GRPE-000001",5,IF(F642="GRPE-000002",5,IF(F642="GRPE-000003",15,IF(F642="GRPE-000004",1,IF(F642="GRPE-000038",5,IF(F642="GRPE-900022",5,IF(F642="GRPE-000029",5,IF(F642="ATOS-000222",5,8))))))))</f>
        <v>5</v>
      </c>
      <c r="AE642" s="2">
        <f t="shared" ref="AE642:AE699" ca="1" si="74">IF(U642=$AE$1,"",U642-$AE$1)</f>
        <v>-85.926271643518703</v>
      </c>
      <c r="AF642" s="15"/>
    </row>
    <row r="643" spans="1:32" hidden="1">
      <c r="A643" s="1">
        <v>9024940</v>
      </c>
      <c r="B643" s="1" t="s">
        <v>1153</v>
      </c>
      <c r="C643" t="s">
        <v>1280</v>
      </c>
      <c r="D643" s="2">
        <v>220176632</v>
      </c>
      <c r="E643" s="2">
        <v>1761001400030</v>
      </c>
      <c r="F643" s="1" t="s">
        <v>647</v>
      </c>
      <c r="G643" s="1" t="s">
        <v>53</v>
      </c>
      <c r="H643" s="1" t="s">
        <v>375</v>
      </c>
      <c r="I643" s="1" t="s">
        <v>376</v>
      </c>
      <c r="J643" s="1" t="s">
        <v>56</v>
      </c>
      <c r="K643" t="s">
        <v>650</v>
      </c>
      <c r="M643" s="1" t="s">
        <v>58</v>
      </c>
      <c r="N643" s="1">
        <v>0</v>
      </c>
      <c r="O643" s="1" t="s">
        <v>36</v>
      </c>
      <c r="P643" s="11" t="s">
        <v>1281</v>
      </c>
      <c r="R643" s="1">
        <v>4</v>
      </c>
      <c r="T643" s="1" t="s">
        <v>646</v>
      </c>
      <c r="U643" s="11" t="s">
        <v>1282</v>
      </c>
      <c r="V643" s="1" t="s">
        <v>41</v>
      </c>
      <c r="W643" s="1" t="s">
        <v>49</v>
      </c>
      <c r="X643" s="13" t="str">
        <f t="shared" ref="X643:X700" si="75">IF(RIGHT(H643,2)&lt;&gt;"00",H643,"")</f>
        <v/>
      </c>
      <c r="Y643" s="2">
        <f t="shared" ca="1" si="70"/>
        <v>89</v>
      </c>
      <c r="Z643" s="14">
        <v>1</v>
      </c>
      <c r="AA643" s="1" t="str">
        <f t="shared" ca="1" si="71"/>
        <v>VENCIDO</v>
      </c>
      <c r="AB643" s="1" t="str">
        <f t="shared" si="72"/>
        <v>C-14</v>
      </c>
      <c r="AC643" s="2" t="str">
        <f t="shared" ref="AC643:AC699" si="76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 xml:space="preserve"> CRISTINA </v>
      </c>
      <c r="AD643" s="2">
        <f t="shared" si="73"/>
        <v>15</v>
      </c>
      <c r="AE643" s="2">
        <f t="shared" ca="1" si="74"/>
        <v>-113.04779942129971</v>
      </c>
      <c r="AF643" s="15"/>
    </row>
    <row r="644" spans="1:32">
      <c r="A644" s="173">
        <v>9030748</v>
      </c>
      <c r="B644" s="173" t="s">
        <v>1153</v>
      </c>
      <c r="C644" s="178" t="s">
        <v>3451</v>
      </c>
      <c r="D644" s="174">
        <v>220177570</v>
      </c>
      <c r="E644" s="174">
        <v>1028001400030</v>
      </c>
      <c r="F644" s="173" t="s">
        <v>647</v>
      </c>
      <c r="G644" s="173" t="s">
        <v>53</v>
      </c>
      <c r="H644" s="173" t="s">
        <v>1079</v>
      </c>
      <c r="I644" s="173" t="s">
        <v>1080</v>
      </c>
      <c r="J644" s="173" t="s">
        <v>85</v>
      </c>
      <c r="K644" t="s">
        <v>650</v>
      </c>
      <c r="M644" s="1" t="s">
        <v>58</v>
      </c>
      <c r="N644" s="1">
        <v>0</v>
      </c>
      <c r="O644" s="1" t="s">
        <v>36</v>
      </c>
      <c r="P644" s="11" t="s">
        <v>1284</v>
      </c>
      <c r="R644" s="1">
        <v>4</v>
      </c>
      <c r="T644" s="1" t="s">
        <v>646</v>
      </c>
      <c r="U644" s="11" t="s">
        <v>1285</v>
      </c>
      <c r="V644" s="1" t="s">
        <v>41</v>
      </c>
      <c r="W644" s="1" t="s">
        <v>49</v>
      </c>
      <c r="X644" s="13" t="str">
        <f t="shared" si="75"/>
        <v/>
      </c>
      <c r="Y644" s="2">
        <f t="shared" ca="1" si="70"/>
        <v>88</v>
      </c>
      <c r="Z644" s="14">
        <v>1</v>
      </c>
      <c r="AA644" s="1" t="str">
        <f t="shared" ca="1" si="71"/>
        <v>VENCIDO</v>
      </c>
      <c r="AB644" s="1" t="str">
        <f t="shared" si="72"/>
        <v>C-14</v>
      </c>
      <c r="AC644" s="2" t="str">
        <f t="shared" si="76"/>
        <v xml:space="preserve"> RINALDO </v>
      </c>
      <c r="AD644" s="2">
        <f t="shared" si="73"/>
        <v>15</v>
      </c>
      <c r="AE644" s="2">
        <f t="shared" ca="1" si="74"/>
        <v>-120.09072766203462</v>
      </c>
      <c r="AF644" s="15"/>
    </row>
    <row r="645" spans="1:32">
      <c r="A645" s="173">
        <v>9030747</v>
      </c>
      <c r="B645" s="173" t="s">
        <v>1153</v>
      </c>
      <c r="C645" s="178" t="s">
        <v>3452</v>
      </c>
      <c r="D645" s="174">
        <v>220177573</v>
      </c>
      <c r="E645" s="174">
        <v>1028001400030</v>
      </c>
      <c r="F645" s="173" t="s">
        <v>647</v>
      </c>
      <c r="G645" s="173" t="s">
        <v>53</v>
      </c>
      <c r="H645" s="173" t="s">
        <v>1079</v>
      </c>
      <c r="I645" s="173" t="s">
        <v>1080</v>
      </c>
      <c r="J645" s="173" t="s">
        <v>85</v>
      </c>
      <c r="K645" t="s">
        <v>650</v>
      </c>
      <c r="M645" s="1" t="s">
        <v>58</v>
      </c>
      <c r="N645" s="1">
        <v>0</v>
      </c>
      <c r="O645" s="1" t="s">
        <v>36</v>
      </c>
      <c r="P645" s="11" t="s">
        <v>1287</v>
      </c>
      <c r="R645" s="1">
        <v>4</v>
      </c>
      <c r="T645" s="1" t="s">
        <v>646</v>
      </c>
      <c r="U645" s="11" t="s">
        <v>1288</v>
      </c>
      <c r="V645" s="1" t="s">
        <v>41</v>
      </c>
      <c r="W645" s="1" t="s">
        <v>49</v>
      </c>
      <c r="X645" s="13" t="str">
        <f t="shared" si="75"/>
        <v/>
      </c>
      <c r="Y645" s="2">
        <f t="shared" ca="1" si="70"/>
        <v>88</v>
      </c>
      <c r="Z645" s="14">
        <v>1</v>
      </c>
      <c r="AA645" s="1" t="str">
        <f t="shared" ca="1" si="71"/>
        <v>VENCIDO</v>
      </c>
      <c r="AB645" s="1" t="str">
        <f t="shared" si="72"/>
        <v>C-14</v>
      </c>
      <c r="AC645" s="2" t="str">
        <f t="shared" si="76"/>
        <v xml:space="preserve"> RINALDO </v>
      </c>
      <c r="AD645" s="2">
        <f t="shared" si="73"/>
        <v>15</v>
      </c>
      <c r="AE645" s="2">
        <f t="shared" ca="1" si="74"/>
        <v>-120.09078553240397</v>
      </c>
      <c r="AF645" s="15"/>
    </row>
    <row r="646" spans="1:32">
      <c r="A646" s="173">
        <v>9030746</v>
      </c>
      <c r="B646" s="173" t="s">
        <v>1153</v>
      </c>
      <c r="C646" s="178" t="s">
        <v>3453</v>
      </c>
      <c r="D646" s="174">
        <v>220177571</v>
      </c>
      <c r="E646" s="174">
        <v>1028001400030</v>
      </c>
      <c r="F646" s="173" t="s">
        <v>647</v>
      </c>
      <c r="G646" s="173" t="s">
        <v>53</v>
      </c>
      <c r="H646" s="173" t="s">
        <v>1079</v>
      </c>
      <c r="I646" s="173" t="s">
        <v>1080</v>
      </c>
      <c r="J646" s="173" t="s">
        <v>85</v>
      </c>
      <c r="K646" t="s">
        <v>650</v>
      </c>
      <c r="M646" s="1" t="s">
        <v>58</v>
      </c>
      <c r="N646" s="1">
        <v>0</v>
      </c>
      <c r="O646" s="1" t="s">
        <v>36</v>
      </c>
      <c r="P646" s="11" t="s">
        <v>3979</v>
      </c>
      <c r="R646" s="1">
        <v>4</v>
      </c>
      <c r="T646" s="1" t="s">
        <v>646</v>
      </c>
      <c r="U646" s="11" t="s">
        <v>3980</v>
      </c>
      <c r="V646" s="1" t="s">
        <v>41</v>
      </c>
      <c r="W646" s="1" t="s">
        <v>49</v>
      </c>
      <c r="X646" s="13" t="str">
        <f t="shared" si="75"/>
        <v/>
      </c>
      <c r="Y646" s="2">
        <f t="shared" ca="1" si="70"/>
        <v>88</v>
      </c>
      <c r="Z646" s="14">
        <v>1</v>
      </c>
      <c r="AA646" s="1" t="str">
        <f t="shared" ca="1" si="71"/>
        <v>VENCIDO</v>
      </c>
      <c r="AB646" s="1" t="str">
        <f t="shared" si="72"/>
        <v>C-14</v>
      </c>
      <c r="AC646" s="2" t="str">
        <f t="shared" si="76"/>
        <v xml:space="preserve"> RINALDO </v>
      </c>
      <c r="AD646" s="2">
        <f t="shared" si="73"/>
        <v>15</v>
      </c>
      <c r="AE646" s="2">
        <f t="shared" ca="1" si="74"/>
        <v>-120.0908549768501</v>
      </c>
      <c r="AF646" s="15"/>
    </row>
    <row r="647" spans="1:32">
      <c r="A647" s="173">
        <v>9030743</v>
      </c>
      <c r="B647" s="173" t="s">
        <v>1153</v>
      </c>
      <c r="C647" s="178" t="s">
        <v>3454</v>
      </c>
      <c r="D647" s="174">
        <v>220177524</v>
      </c>
      <c r="E647" s="174">
        <v>1028001400030</v>
      </c>
      <c r="F647" s="173" t="s">
        <v>647</v>
      </c>
      <c r="G647" s="173" t="s">
        <v>53</v>
      </c>
      <c r="H647" s="173" t="s">
        <v>1079</v>
      </c>
      <c r="I647" s="173" t="s">
        <v>1080</v>
      </c>
      <c r="J647" s="173" t="s">
        <v>85</v>
      </c>
      <c r="K647" t="s">
        <v>650</v>
      </c>
      <c r="M647" s="1" t="s">
        <v>58</v>
      </c>
      <c r="N647" s="1">
        <v>0</v>
      </c>
      <c r="O647" s="1" t="s">
        <v>36</v>
      </c>
      <c r="P647" s="11" t="s">
        <v>1291</v>
      </c>
      <c r="R647" s="1">
        <v>4</v>
      </c>
      <c r="T647" s="1" t="s">
        <v>646</v>
      </c>
      <c r="U647" s="11" t="s">
        <v>1292</v>
      </c>
      <c r="V647" s="1" t="s">
        <v>41</v>
      </c>
      <c r="W647" s="1" t="s">
        <v>49</v>
      </c>
      <c r="X647" s="13" t="str">
        <f t="shared" si="75"/>
        <v/>
      </c>
      <c r="Y647" s="2">
        <f t="shared" ca="1" si="70"/>
        <v>88</v>
      </c>
      <c r="Z647" s="14">
        <v>1</v>
      </c>
      <c r="AA647" s="1" t="str">
        <f t="shared" ca="1" si="71"/>
        <v>VENCIDO</v>
      </c>
      <c r="AB647" s="1" t="str">
        <f t="shared" si="72"/>
        <v>C-14</v>
      </c>
      <c r="AC647" s="2" t="str">
        <f t="shared" si="76"/>
        <v xml:space="preserve"> RINALDO </v>
      </c>
      <c r="AD647" s="2">
        <f t="shared" si="73"/>
        <v>15</v>
      </c>
      <c r="AE647" s="2">
        <f t="shared" ca="1" si="74"/>
        <v>-120.09105173611169</v>
      </c>
      <c r="AF647" s="15"/>
    </row>
    <row r="648" spans="1:32">
      <c r="A648" s="173">
        <v>9030733</v>
      </c>
      <c r="B648" s="173" t="s">
        <v>1153</v>
      </c>
      <c r="C648" s="178" t="s">
        <v>3455</v>
      </c>
      <c r="D648" s="174">
        <v>220177525</v>
      </c>
      <c r="E648" s="174">
        <v>1028001400030</v>
      </c>
      <c r="F648" s="173" t="s">
        <v>647</v>
      </c>
      <c r="G648" s="173" t="s">
        <v>53</v>
      </c>
      <c r="H648" s="173" t="s">
        <v>1079</v>
      </c>
      <c r="I648" s="173" t="s">
        <v>1080</v>
      </c>
      <c r="J648" s="173" t="s">
        <v>85</v>
      </c>
      <c r="K648" t="s">
        <v>650</v>
      </c>
      <c r="M648" s="1" t="s">
        <v>58</v>
      </c>
      <c r="N648" s="1">
        <v>0</v>
      </c>
      <c r="O648" s="1" t="s">
        <v>36</v>
      </c>
      <c r="P648" s="11" t="s">
        <v>1294</v>
      </c>
      <c r="R648" s="1">
        <v>4</v>
      </c>
      <c r="T648" s="1" t="s">
        <v>646</v>
      </c>
      <c r="U648" s="11" t="s">
        <v>1295</v>
      </c>
      <c r="V648" s="1" t="s">
        <v>41</v>
      </c>
      <c r="W648" s="1" t="s">
        <v>49</v>
      </c>
      <c r="X648" s="13" t="str">
        <f t="shared" si="75"/>
        <v/>
      </c>
      <c r="Y648" s="2">
        <f t="shared" ca="1" si="70"/>
        <v>88</v>
      </c>
      <c r="Z648" s="14">
        <v>1</v>
      </c>
      <c r="AA648" s="1" t="str">
        <f t="shared" ca="1" si="71"/>
        <v>VENCIDO</v>
      </c>
      <c r="AB648" s="1" t="str">
        <f t="shared" si="72"/>
        <v>C-14</v>
      </c>
      <c r="AC648" s="2" t="str">
        <f t="shared" si="76"/>
        <v xml:space="preserve"> RINALDO </v>
      </c>
      <c r="AD648" s="2">
        <f t="shared" si="73"/>
        <v>15</v>
      </c>
      <c r="AE648" s="2">
        <f t="shared" ca="1" si="74"/>
        <v>-120.09724386574089</v>
      </c>
      <c r="AF648" s="15"/>
    </row>
    <row r="649" spans="1:32" hidden="1">
      <c r="A649" s="1">
        <v>9037912</v>
      </c>
      <c r="B649" s="1" t="s">
        <v>62</v>
      </c>
      <c r="C649" t="s">
        <v>1296</v>
      </c>
      <c r="E649" s="2">
        <v>1069000203000</v>
      </c>
      <c r="F649" s="1" t="s">
        <v>454</v>
      </c>
      <c r="G649" s="1" t="s">
        <v>53</v>
      </c>
      <c r="H649" s="1" t="s">
        <v>353</v>
      </c>
      <c r="I649" s="1" t="s">
        <v>354</v>
      </c>
      <c r="J649" s="1" t="s">
        <v>211</v>
      </c>
      <c r="K649" t="s">
        <v>457</v>
      </c>
      <c r="M649" s="1" t="s">
        <v>58</v>
      </c>
      <c r="N649" s="1">
        <v>0</v>
      </c>
      <c r="O649" s="1" t="s">
        <v>36</v>
      </c>
      <c r="P649" s="11" t="s">
        <v>1297</v>
      </c>
      <c r="R649" s="1">
        <v>1</v>
      </c>
      <c r="T649" s="1" t="s">
        <v>157</v>
      </c>
      <c r="U649" s="11" t="s">
        <v>1298</v>
      </c>
      <c r="V649" s="1" t="s">
        <v>41</v>
      </c>
      <c r="W649" s="1" t="s">
        <v>49</v>
      </c>
      <c r="X649" s="13" t="str">
        <f t="shared" si="75"/>
        <v/>
      </c>
      <c r="Y649" s="2">
        <f t="shared" ca="1" si="70"/>
        <v>85</v>
      </c>
      <c r="Z649" s="14">
        <v>1</v>
      </c>
      <c r="AA649" s="1" t="str">
        <f t="shared" ca="1" si="71"/>
        <v>VENCIDO</v>
      </c>
      <c r="AB649" s="1" t="str">
        <f t="shared" si="72"/>
        <v>C-14</v>
      </c>
      <c r="AC649" s="2" t="str">
        <f t="shared" si="76"/>
        <v xml:space="preserve"> RINALDO </v>
      </c>
      <c r="AD649" s="2">
        <f t="shared" si="73"/>
        <v>5</v>
      </c>
      <c r="AE649" s="2">
        <f t="shared" ca="1" si="74"/>
        <v>-82.926271643518703</v>
      </c>
      <c r="AF649" s="15"/>
    </row>
    <row r="650" spans="1:32" hidden="1">
      <c r="A650" s="1">
        <v>9036877</v>
      </c>
      <c r="B650" s="1" t="s">
        <v>62</v>
      </c>
      <c r="C650" t="s">
        <v>1299</v>
      </c>
      <c r="E650" s="2">
        <v>5898000203000</v>
      </c>
      <c r="F650" s="1" t="s">
        <v>454</v>
      </c>
      <c r="G650" s="1" t="s">
        <v>53</v>
      </c>
      <c r="H650" s="1" t="s">
        <v>365</v>
      </c>
      <c r="I650" s="1" t="s">
        <v>366</v>
      </c>
      <c r="J650" s="1" t="s">
        <v>164</v>
      </c>
      <c r="K650" t="s">
        <v>457</v>
      </c>
      <c r="M650" s="1" t="s">
        <v>58</v>
      </c>
      <c r="N650" s="1">
        <v>0</v>
      </c>
      <c r="O650" s="1" t="s">
        <v>105</v>
      </c>
      <c r="P650" s="11" t="s">
        <v>1300</v>
      </c>
      <c r="R650" s="1">
        <v>1</v>
      </c>
      <c r="T650" s="1" t="s">
        <v>157</v>
      </c>
      <c r="U650" s="11" t="s">
        <v>1298</v>
      </c>
      <c r="V650" s="1" t="s">
        <v>41</v>
      </c>
      <c r="W650" s="1" t="s">
        <v>49</v>
      </c>
      <c r="X650" s="13" t="str">
        <f t="shared" si="75"/>
        <v/>
      </c>
      <c r="Y650" s="2">
        <f t="shared" ca="1" si="70"/>
        <v>85</v>
      </c>
      <c r="Z650" s="14">
        <v>1</v>
      </c>
      <c r="AA650" s="1" t="str">
        <f t="shared" ca="1" si="71"/>
        <v>VENCIDO</v>
      </c>
      <c r="AB650" s="1" t="str">
        <f t="shared" si="72"/>
        <v>C-14</v>
      </c>
      <c r="AC650" s="2" t="str">
        <f t="shared" si="76"/>
        <v xml:space="preserve"> ROSEMERE </v>
      </c>
      <c r="AD650" s="2">
        <f t="shared" si="73"/>
        <v>5</v>
      </c>
      <c r="AE650" s="2">
        <f t="shared" ca="1" si="74"/>
        <v>-82.926271643518703</v>
      </c>
      <c r="AF650" s="15"/>
    </row>
    <row r="651" spans="1:32" hidden="1">
      <c r="A651" s="1">
        <v>9044943</v>
      </c>
      <c r="B651" s="1" t="s">
        <v>62</v>
      </c>
      <c r="C651" t="s">
        <v>3589</v>
      </c>
      <c r="E651" s="2">
        <v>1902016089900</v>
      </c>
      <c r="F651" s="1" t="s">
        <v>64</v>
      </c>
      <c r="G651" s="1" t="s">
        <v>53</v>
      </c>
      <c r="H651" s="1" t="s">
        <v>175</v>
      </c>
      <c r="I651" s="1" t="s">
        <v>176</v>
      </c>
      <c r="J651" s="1" t="s">
        <v>90</v>
      </c>
      <c r="K651" t="s">
        <v>67</v>
      </c>
      <c r="M651" s="1" t="s">
        <v>35</v>
      </c>
      <c r="N651" s="1">
        <v>42318949</v>
      </c>
      <c r="O651" s="1" t="s">
        <v>36</v>
      </c>
      <c r="P651" s="11" t="s">
        <v>1302</v>
      </c>
      <c r="R651" s="1" t="s">
        <v>571</v>
      </c>
      <c r="T651" s="1" t="s">
        <v>69</v>
      </c>
      <c r="U651" s="11" t="s">
        <v>1303</v>
      </c>
      <c r="V651" s="1" t="s">
        <v>41</v>
      </c>
      <c r="W651" s="1" t="s">
        <v>49</v>
      </c>
      <c r="X651" s="13" t="str">
        <f t="shared" si="75"/>
        <v/>
      </c>
      <c r="Y651" s="2">
        <f t="shared" ca="1" si="70"/>
        <v>83</v>
      </c>
      <c r="Z651" s="14">
        <v>1</v>
      </c>
      <c r="AA651" s="1" t="str">
        <f t="shared" ca="1" si="71"/>
        <v>VENCIDO</v>
      </c>
      <c r="AB651" s="1" t="str">
        <f t="shared" si="72"/>
        <v>TAAe+</v>
      </c>
      <c r="AC651" s="2" t="str">
        <f t="shared" si="76"/>
        <v xml:space="preserve"> RINALDO </v>
      </c>
      <c r="AD651" s="2">
        <f t="shared" si="73"/>
        <v>8</v>
      </c>
      <c r="AE651" s="2">
        <f t="shared" ca="1" si="74"/>
        <v>-105.17176932870643</v>
      </c>
      <c r="AF651" s="15"/>
    </row>
    <row r="652" spans="1:32" hidden="1">
      <c r="A652" s="1">
        <v>9044117</v>
      </c>
      <c r="B652" s="1" t="s">
        <v>62</v>
      </c>
      <c r="C652" t="s">
        <v>1304</v>
      </c>
      <c r="E652" s="2">
        <v>9703000203000</v>
      </c>
      <c r="F652" s="1" t="s">
        <v>454</v>
      </c>
      <c r="G652" s="1" t="s">
        <v>53</v>
      </c>
      <c r="H652" s="1" t="s">
        <v>494</v>
      </c>
      <c r="I652" s="1" t="s">
        <v>495</v>
      </c>
      <c r="J652" s="1" t="s">
        <v>79</v>
      </c>
      <c r="K652" t="s">
        <v>457</v>
      </c>
      <c r="M652" s="1" t="s">
        <v>58</v>
      </c>
      <c r="N652" s="1">
        <v>0</v>
      </c>
      <c r="O652" s="1" t="s">
        <v>36</v>
      </c>
      <c r="P652" s="11" t="s">
        <v>1305</v>
      </c>
      <c r="R652" s="1">
        <v>1</v>
      </c>
      <c r="T652" s="1" t="s">
        <v>157</v>
      </c>
      <c r="U652" s="11" t="s">
        <v>1306</v>
      </c>
      <c r="V652" s="1" t="s">
        <v>41</v>
      </c>
      <c r="W652" s="1" t="s">
        <v>49</v>
      </c>
      <c r="X652" s="13" t="str">
        <f t="shared" si="75"/>
        <v/>
      </c>
      <c r="Y652" s="2">
        <f t="shared" ca="1" si="70"/>
        <v>83</v>
      </c>
      <c r="Z652" s="14">
        <v>1</v>
      </c>
      <c r="AA652" s="1" t="str">
        <f t="shared" ca="1" si="71"/>
        <v>VENCIDO</v>
      </c>
      <c r="AB652" s="1" t="str">
        <f t="shared" si="72"/>
        <v>C-14</v>
      </c>
      <c r="AC652" s="2" t="str">
        <f t="shared" si="76"/>
        <v xml:space="preserve"> ROSEMERE </v>
      </c>
      <c r="AD652" s="2">
        <f t="shared" si="73"/>
        <v>5</v>
      </c>
      <c r="AE652" s="2">
        <f t="shared" ca="1" si="74"/>
        <v>-78.926271643518703</v>
      </c>
      <c r="AF652" s="15"/>
    </row>
    <row r="653" spans="1:32" hidden="1">
      <c r="A653" s="1">
        <v>9047108</v>
      </c>
      <c r="B653" s="1" t="s">
        <v>62</v>
      </c>
      <c r="C653" t="s">
        <v>1307</v>
      </c>
      <c r="E653" s="2">
        <v>9703000206024</v>
      </c>
      <c r="F653" s="1" t="s">
        <v>103</v>
      </c>
      <c r="G653" s="1" t="s">
        <v>53</v>
      </c>
      <c r="H653" s="1" t="s">
        <v>494</v>
      </c>
      <c r="I653" s="1" t="s">
        <v>495</v>
      </c>
      <c r="J653" s="1" t="s">
        <v>79</v>
      </c>
      <c r="K653" t="s">
        <v>104</v>
      </c>
      <c r="M653" s="1" t="s">
        <v>35</v>
      </c>
      <c r="N653" s="1">
        <v>42318949</v>
      </c>
      <c r="O653" s="1" t="s">
        <v>36</v>
      </c>
      <c r="P653" s="11" t="s">
        <v>1308</v>
      </c>
      <c r="R653" s="1" t="s">
        <v>38</v>
      </c>
      <c r="T653" s="1" t="s">
        <v>74</v>
      </c>
      <c r="U653" s="11" t="s">
        <v>1309</v>
      </c>
      <c r="V653" s="1" t="s">
        <v>41</v>
      </c>
      <c r="W653" s="1" t="s">
        <v>49</v>
      </c>
      <c r="X653" s="13" t="str">
        <f t="shared" si="75"/>
        <v/>
      </c>
      <c r="Y653" s="2">
        <f t="shared" ca="1" si="70"/>
        <v>82</v>
      </c>
      <c r="Z653" s="14">
        <v>1</v>
      </c>
      <c r="AA653" s="1" t="str">
        <f t="shared" ca="1" si="71"/>
        <v>VENCIDO</v>
      </c>
      <c r="AB653" s="1" t="str">
        <f t="shared" si="72"/>
        <v>Dosa</v>
      </c>
      <c r="AC653" s="2" t="str">
        <f t="shared" si="76"/>
        <v xml:space="preserve"> ROSEMERE </v>
      </c>
      <c r="AD653" s="2">
        <f t="shared" si="73"/>
        <v>5</v>
      </c>
      <c r="AE653" s="2">
        <f t="shared" ca="1" si="74"/>
        <v>-70.926271643518703</v>
      </c>
      <c r="AF653" s="15"/>
    </row>
    <row r="654" spans="1:32" hidden="1">
      <c r="A654" s="1">
        <v>9047065</v>
      </c>
      <c r="B654" s="1" t="s">
        <v>62</v>
      </c>
      <c r="C654" t="s">
        <v>1310</v>
      </c>
      <c r="E654" s="2">
        <v>9703000206001</v>
      </c>
      <c r="F654" s="1" t="s">
        <v>29</v>
      </c>
      <c r="G654" s="1" t="s">
        <v>53</v>
      </c>
      <c r="H654" s="1" t="s">
        <v>494</v>
      </c>
      <c r="I654" s="1" t="s">
        <v>495</v>
      </c>
      <c r="J654" s="1" t="s">
        <v>79</v>
      </c>
      <c r="K654" t="s">
        <v>34</v>
      </c>
      <c r="M654" s="1" t="s">
        <v>35</v>
      </c>
      <c r="N654" s="1">
        <v>42318949</v>
      </c>
      <c r="O654" s="1" t="s">
        <v>36</v>
      </c>
      <c r="P654" s="11" t="s">
        <v>1311</v>
      </c>
      <c r="R654" s="1" t="s">
        <v>38</v>
      </c>
      <c r="T654" s="1" t="s">
        <v>74</v>
      </c>
      <c r="U654" s="11" t="s">
        <v>1309</v>
      </c>
      <c r="V654" s="1" t="s">
        <v>41</v>
      </c>
      <c r="W654" s="1" t="s">
        <v>49</v>
      </c>
      <c r="X654" s="13" t="str">
        <f t="shared" si="75"/>
        <v/>
      </c>
      <c r="Y654" s="2">
        <f t="shared" ca="1" si="70"/>
        <v>82</v>
      </c>
      <c r="Z654" s="14">
        <v>1</v>
      </c>
      <c r="AA654" s="1" t="str">
        <f t="shared" ca="1" si="71"/>
        <v>VENCIDO</v>
      </c>
      <c r="AB654" s="1" t="str">
        <f t="shared" si="72"/>
        <v>Dosa</v>
      </c>
      <c r="AC654" s="2" t="str">
        <f t="shared" si="76"/>
        <v xml:space="preserve"> ROSEMERE </v>
      </c>
      <c r="AD654" s="2">
        <f t="shared" si="73"/>
        <v>5</v>
      </c>
      <c r="AE654" s="2">
        <f t="shared" ca="1" si="74"/>
        <v>-70.926271643518703</v>
      </c>
      <c r="AF654" s="15"/>
    </row>
    <row r="655" spans="1:32" hidden="1">
      <c r="A655" s="1">
        <v>9051455</v>
      </c>
      <c r="B655" s="1" t="s">
        <v>27</v>
      </c>
      <c r="C655" t="s">
        <v>1312</v>
      </c>
      <c r="E655" s="2">
        <v>1792000206001</v>
      </c>
      <c r="F655" s="1" t="s">
        <v>29</v>
      </c>
      <c r="G655" s="1" t="s">
        <v>53</v>
      </c>
      <c r="H655" s="1" t="s">
        <v>467</v>
      </c>
      <c r="I655" s="1" t="s">
        <v>468</v>
      </c>
      <c r="J655" s="1" t="s">
        <v>110</v>
      </c>
      <c r="K655" t="s">
        <v>34</v>
      </c>
      <c r="M655" s="1" t="s">
        <v>35</v>
      </c>
      <c r="N655" s="1">
        <v>42318949</v>
      </c>
      <c r="O655" s="1" t="s">
        <v>36</v>
      </c>
      <c r="P655" s="11" t="s">
        <v>3456</v>
      </c>
      <c r="R655" s="1" t="s">
        <v>38</v>
      </c>
      <c r="T655" s="1" t="s">
        <v>74</v>
      </c>
      <c r="U655" s="11" t="s">
        <v>3457</v>
      </c>
      <c r="V655" s="1" t="s">
        <v>41</v>
      </c>
      <c r="W655" s="1" t="s">
        <v>49</v>
      </c>
      <c r="X655" s="13" t="str">
        <f t="shared" si="75"/>
        <v/>
      </c>
      <c r="Y655" s="2">
        <f t="shared" ca="1" si="70"/>
        <v>81</v>
      </c>
      <c r="Z655" s="14">
        <v>1</v>
      </c>
      <c r="AA655" s="1" t="str">
        <f t="shared" ca="1" si="71"/>
        <v>VENCIDO</v>
      </c>
      <c r="AB655" s="1" t="str">
        <f t="shared" si="72"/>
        <v>Dosa</v>
      </c>
      <c r="AC655" s="2" t="str">
        <f t="shared" si="76"/>
        <v xml:space="preserve"> CRISTINA </v>
      </c>
      <c r="AD655" s="2">
        <f t="shared" si="73"/>
        <v>5</v>
      </c>
      <c r="AE655" s="2">
        <f t="shared" ca="1" si="74"/>
        <v>-110.9262716435187</v>
      </c>
      <c r="AF655" s="15"/>
    </row>
    <row r="656" spans="1:32" hidden="1">
      <c r="A656" s="1">
        <v>9050458</v>
      </c>
      <c r="B656" s="1" t="s">
        <v>81</v>
      </c>
      <c r="C656" t="s">
        <v>1210</v>
      </c>
      <c r="E656" s="2">
        <v>7417183024674</v>
      </c>
      <c r="F656" s="1" t="s">
        <v>1313</v>
      </c>
      <c r="G656" s="1" t="s">
        <v>53</v>
      </c>
      <c r="H656" s="1" t="s">
        <v>1314</v>
      </c>
      <c r="I656" s="1" t="s">
        <v>1315</v>
      </c>
      <c r="J656" s="1" t="s">
        <v>164</v>
      </c>
      <c r="K656" t="s">
        <v>1316</v>
      </c>
      <c r="M656" s="1" t="s">
        <v>58</v>
      </c>
      <c r="N656" s="1">
        <v>0</v>
      </c>
      <c r="O656" s="1" t="s">
        <v>105</v>
      </c>
      <c r="P656" s="11" t="s">
        <v>1317</v>
      </c>
      <c r="R656" s="1">
        <v>15</v>
      </c>
      <c r="T656" s="1" t="s">
        <v>238</v>
      </c>
      <c r="U656" s="11" t="s">
        <v>1318</v>
      </c>
      <c r="V656" s="1" t="s">
        <v>41</v>
      </c>
      <c r="W656" s="1" t="s">
        <v>49</v>
      </c>
      <c r="X656" s="13" t="str">
        <f t="shared" si="75"/>
        <v>1049.91</v>
      </c>
      <c r="Y656" s="2">
        <f t="shared" ca="1" si="70"/>
        <v>81</v>
      </c>
      <c r="Z656" s="14">
        <v>1</v>
      </c>
      <c r="AA656" s="1" t="str">
        <f t="shared" ca="1" si="71"/>
        <v>VENCIDO</v>
      </c>
      <c r="AB656" s="1" t="str">
        <f t="shared" si="72"/>
        <v>TAAe+</v>
      </c>
      <c r="AC656" s="2" t="str">
        <f t="shared" si="76"/>
        <v xml:space="preserve"> ROSEMERE </v>
      </c>
      <c r="AD656" s="2">
        <f t="shared" si="73"/>
        <v>8</v>
      </c>
      <c r="AE656" s="2">
        <f t="shared" ca="1" si="74"/>
        <v>-111.18638738425943</v>
      </c>
      <c r="AF656" s="15"/>
    </row>
    <row r="657" spans="1:32" hidden="1">
      <c r="A657" s="1">
        <v>9056147</v>
      </c>
      <c r="B657" s="1" t="s">
        <v>62</v>
      </c>
      <c r="C657" t="s">
        <v>1319</v>
      </c>
      <c r="E657" s="2">
        <v>159000206001</v>
      </c>
      <c r="F657" s="1" t="s">
        <v>29</v>
      </c>
      <c r="G657" s="1" t="s">
        <v>53</v>
      </c>
      <c r="H657" s="1" t="s">
        <v>331</v>
      </c>
      <c r="I657" s="1" t="s">
        <v>332</v>
      </c>
      <c r="J657" s="1" t="s">
        <v>79</v>
      </c>
      <c r="K657" t="s">
        <v>34</v>
      </c>
      <c r="M657" s="1" t="s">
        <v>35</v>
      </c>
      <c r="N657" s="1">
        <v>42318949</v>
      </c>
      <c r="O657" s="1" t="s">
        <v>105</v>
      </c>
      <c r="P657" s="11" t="s">
        <v>1320</v>
      </c>
      <c r="R657" s="1" t="s">
        <v>38</v>
      </c>
      <c r="T657" s="1" t="s">
        <v>74</v>
      </c>
      <c r="U657" s="11" t="s">
        <v>1321</v>
      </c>
      <c r="V657" s="1" t="s">
        <v>41</v>
      </c>
      <c r="W657" s="1" t="s">
        <v>49</v>
      </c>
      <c r="X657" s="13" t="str">
        <f t="shared" si="75"/>
        <v/>
      </c>
      <c r="Y657" s="2">
        <f t="shared" ca="1" si="70"/>
        <v>79</v>
      </c>
      <c r="Z657" s="14">
        <v>1</v>
      </c>
      <c r="AA657" s="1" t="str">
        <f t="shared" ca="1" si="71"/>
        <v>VENCIDO</v>
      </c>
      <c r="AB657" s="1" t="str">
        <f t="shared" si="72"/>
        <v>Dosa</v>
      </c>
      <c r="AC657" s="2" t="str">
        <f t="shared" si="76"/>
        <v xml:space="preserve"> ROSEMERE </v>
      </c>
      <c r="AD657" s="2">
        <f t="shared" si="73"/>
        <v>5</v>
      </c>
      <c r="AE657" s="2">
        <f t="shared" ca="1" si="74"/>
        <v>-67.926271643518703</v>
      </c>
      <c r="AF657" s="15"/>
    </row>
    <row r="658" spans="1:32" hidden="1">
      <c r="A658" s="1">
        <v>9065338</v>
      </c>
      <c r="B658" s="1" t="s">
        <v>1153</v>
      </c>
      <c r="C658" t="s">
        <v>1322</v>
      </c>
      <c r="D658" s="2">
        <v>220184615</v>
      </c>
      <c r="E658" s="2">
        <v>2138001400030</v>
      </c>
      <c r="F658" s="1" t="s">
        <v>647</v>
      </c>
      <c r="G658" s="1" t="s">
        <v>53</v>
      </c>
      <c r="H658" s="1" t="s">
        <v>379</v>
      </c>
      <c r="I658" s="1" t="s">
        <v>380</v>
      </c>
      <c r="J658" s="1" t="s">
        <v>46</v>
      </c>
      <c r="K658" t="s">
        <v>650</v>
      </c>
      <c r="M658" s="1" t="s">
        <v>58</v>
      </c>
      <c r="N658" s="1">
        <v>0</v>
      </c>
      <c r="O658" s="1" t="s">
        <v>36</v>
      </c>
      <c r="P658" s="11" t="s">
        <v>1323</v>
      </c>
      <c r="R658" s="1">
        <v>4</v>
      </c>
      <c r="T658" s="1" t="s">
        <v>646</v>
      </c>
      <c r="U658" s="186">
        <v>44887.479166666664</v>
      </c>
      <c r="V658" s="1" t="s">
        <v>41</v>
      </c>
      <c r="W658" s="1" t="s">
        <v>49</v>
      </c>
      <c r="X658" s="13" t="str">
        <f t="shared" si="75"/>
        <v/>
      </c>
      <c r="Y658" s="2">
        <f t="shared" ca="1" si="70"/>
        <v>78</v>
      </c>
      <c r="Z658" s="14">
        <v>1</v>
      </c>
      <c r="AA658" s="1" t="str">
        <f t="shared" ca="1" si="71"/>
        <v>VENCIDO</v>
      </c>
      <c r="AB658" s="1" t="str">
        <f t="shared" si="72"/>
        <v>C-14</v>
      </c>
      <c r="AC658" s="2" t="str">
        <f t="shared" si="76"/>
        <v xml:space="preserve"> CLEITON </v>
      </c>
      <c r="AD658" s="2">
        <f t="shared" si="73"/>
        <v>15</v>
      </c>
      <c r="AE658" s="2">
        <f t="shared" ca="1" si="74"/>
        <v>-99.197104976854462</v>
      </c>
      <c r="AF658" s="15"/>
    </row>
    <row r="659" spans="1:32" hidden="1">
      <c r="A659" s="1">
        <v>9095498</v>
      </c>
      <c r="B659" s="1" t="s">
        <v>1153</v>
      </c>
      <c r="C659" t="s">
        <v>1324</v>
      </c>
      <c r="D659" s="2">
        <v>220188160</v>
      </c>
      <c r="E659" s="2">
        <v>1049001400030</v>
      </c>
      <c r="F659" s="1" t="s">
        <v>647</v>
      </c>
      <c r="G659" s="1" t="s">
        <v>53</v>
      </c>
      <c r="H659" s="1" t="s">
        <v>169</v>
      </c>
      <c r="I659" s="1" t="s">
        <v>170</v>
      </c>
      <c r="J659" s="1" t="s">
        <v>164</v>
      </c>
      <c r="K659" t="s">
        <v>650</v>
      </c>
      <c r="M659" s="1" t="s">
        <v>58</v>
      </c>
      <c r="N659" s="1">
        <v>0</v>
      </c>
      <c r="O659" s="1" t="s">
        <v>36</v>
      </c>
      <c r="P659" s="11" t="s">
        <v>1325</v>
      </c>
      <c r="R659" s="1">
        <v>4</v>
      </c>
      <c r="T659" s="1" t="s">
        <v>646</v>
      </c>
      <c r="U659" s="11" t="s">
        <v>1326</v>
      </c>
      <c r="V659" s="1" t="s">
        <v>41</v>
      </c>
      <c r="W659" s="1" t="s">
        <v>49</v>
      </c>
      <c r="X659" s="13" t="str">
        <f t="shared" si="75"/>
        <v/>
      </c>
      <c r="Y659" s="2">
        <f t="shared" ca="1" si="70"/>
        <v>71</v>
      </c>
      <c r="Z659" s="14">
        <v>1</v>
      </c>
      <c r="AA659" s="1" t="str">
        <f t="shared" ca="1" si="71"/>
        <v>VENCIDO</v>
      </c>
      <c r="AB659" s="1" t="str">
        <f t="shared" si="72"/>
        <v>C-14</v>
      </c>
      <c r="AC659" s="2" t="str">
        <f t="shared" si="76"/>
        <v xml:space="preserve"> ROSEMERE </v>
      </c>
      <c r="AD659" s="2">
        <f t="shared" si="73"/>
        <v>15</v>
      </c>
      <c r="AE659" s="2">
        <f t="shared" ca="1" si="74"/>
        <v>-91.186676736113441</v>
      </c>
      <c r="AF659" s="15"/>
    </row>
    <row r="660" spans="1:32" hidden="1">
      <c r="A660" s="1">
        <v>9095341</v>
      </c>
      <c r="B660" s="1" t="s">
        <v>62</v>
      </c>
      <c r="C660" t="s">
        <v>1327</v>
      </c>
      <c r="E660" s="2">
        <v>2335000203000</v>
      </c>
      <c r="F660" s="1" t="s">
        <v>454</v>
      </c>
      <c r="G660" s="1" t="s">
        <v>53</v>
      </c>
      <c r="H660" s="1" t="s">
        <v>194</v>
      </c>
      <c r="I660" s="1" t="s">
        <v>195</v>
      </c>
      <c r="J660" s="1" t="s">
        <v>110</v>
      </c>
      <c r="K660" t="s">
        <v>457</v>
      </c>
      <c r="M660" s="1" t="s">
        <v>58</v>
      </c>
      <c r="N660" s="1">
        <v>0</v>
      </c>
      <c r="O660" s="1" t="s">
        <v>36</v>
      </c>
      <c r="P660" s="11" t="s">
        <v>1328</v>
      </c>
      <c r="R660" s="1">
        <v>1</v>
      </c>
      <c r="T660" s="1" t="s">
        <v>157</v>
      </c>
      <c r="U660" s="186">
        <v>44928.75</v>
      </c>
      <c r="V660" s="1" t="s">
        <v>41</v>
      </c>
      <c r="W660" s="1" t="s">
        <v>49</v>
      </c>
      <c r="X660" s="13" t="str">
        <f t="shared" si="75"/>
        <v/>
      </c>
      <c r="Y660" s="2">
        <f t="shared" ca="1" si="70"/>
        <v>71</v>
      </c>
      <c r="Z660" s="14">
        <v>1</v>
      </c>
      <c r="AA660" s="1" t="str">
        <f t="shared" ca="1" si="71"/>
        <v>VENCIDO</v>
      </c>
      <c r="AB660" s="1" t="str">
        <f t="shared" si="72"/>
        <v>C-14</v>
      </c>
      <c r="AC660" s="2" t="str">
        <f t="shared" si="76"/>
        <v xml:space="preserve"> CRISTINA </v>
      </c>
      <c r="AD660" s="2">
        <f t="shared" si="73"/>
        <v>5</v>
      </c>
      <c r="AE660" s="2">
        <f t="shared" ca="1" si="74"/>
        <v>-57.926271643518703</v>
      </c>
      <c r="AF660" s="15"/>
    </row>
    <row r="661" spans="1:32" hidden="1">
      <c r="A661" s="1">
        <v>9093400</v>
      </c>
      <c r="B661" s="1" t="s">
        <v>101</v>
      </c>
      <c r="C661" t="s">
        <v>643</v>
      </c>
      <c r="D661" s="2">
        <v>220160091</v>
      </c>
      <c r="E661" s="2">
        <v>68001400010</v>
      </c>
      <c r="F661" s="1" t="s">
        <v>936</v>
      </c>
      <c r="G661" s="1" t="s">
        <v>53</v>
      </c>
      <c r="H661" s="1" t="s">
        <v>1330</v>
      </c>
      <c r="I661" s="1" t="s">
        <v>1331</v>
      </c>
      <c r="J661" s="1" t="s">
        <v>211</v>
      </c>
      <c r="K661" t="s">
        <v>937</v>
      </c>
      <c r="M661" s="1" t="s">
        <v>58</v>
      </c>
      <c r="N661" s="1">
        <v>0</v>
      </c>
      <c r="O661" s="1" t="s">
        <v>105</v>
      </c>
      <c r="P661" s="11" t="s">
        <v>1332</v>
      </c>
      <c r="R661" s="1">
        <v>3</v>
      </c>
      <c r="T661" s="1" t="s">
        <v>646</v>
      </c>
      <c r="U661" s="186">
        <v>44889.350393518522</v>
      </c>
      <c r="V661" s="1" t="s">
        <v>41</v>
      </c>
      <c r="W661" s="1" t="s">
        <v>49</v>
      </c>
      <c r="X661" s="13" t="str">
        <f t="shared" si="75"/>
        <v/>
      </c>
      <c r="Y661" s="2">
        <f t="shared" ca="1" si="70"/>
        <v>71</v>
      </c>
      <c r="Z661" s="14">
        <v>1</v>
      </c>
      <c r="AA661" s="1" t="str">
        <f t="shared" ca="1" si="71"/>
        <v>VENCIDO</v>
      </c>
      <c r="AB661" s="1" t="str">
        <f t="shared" si="72"/>
        <v>C-14</v>
      </c>
      <c r="AC661" s="2" t="str">
        <f t="shared" si="76"/>
        <v xml:space="preserve"> RINALDO </v>
      </c>
      <c r="AD661" s="2">
        <f t="shared" si="73"/>
        <v>5</v>
      </c>
      <c r="AE661" s="2">
        <f t="shared" ca="1" si="74"/>
        <v>-97.325878124996962</v>
      </c>
      <c r="AF661" s="15"/>
    </row>
    <row r="662" spans="1:32" hidden="1">
      <c r="A662" s="1">
        <v>9093399</v>
      </c>
      <c r="B662" s="1" t="s">
        <v>101</v>
      </c>
      <c r="C662" t="s">
        <v>643</v>
      </c>
      <c r="D662" s="2">
        <v>220160090</v>
      </c>
      <c r="E662" s="2">
        <v>67001400010</v>
      </c>
      <c r="F662" s="1" t="s">
        <v>936</v>
      </c>
      <c r="G662" s="1" t="s">
        <v>53</v>
      </c>
      <c r="H662" s="1" t="s">
        <v>404</v>
      </c>
      <c r="I662" s="1" t="s">
        <v>405</v>
      </c>
      <c r="J662" s="1" t="s">
        <v>164</v>
      </c>
      <c r="K662" t="s">
        <v>937</v>
      </c>
      <c r="M662" s="1" t="s">
        <v>58</v>
      </c>
      <c r="N662" s="1">
        <v>0</v>
      </c>
      <c r="O662" s="1" t="s">
        <v>105</v>
      </c>
      <c r="P662" s="11" t="s">
        <v>1334</v>
      </c>
      <c r="R662" s="1">
        <v>3</v>
      </c>
      <c r="T662" s="1" t="s">
        <v>646</v>
      </c>
      <c r="U662" s="186">
        <v>44889.350335648145</v>
      </c>
      <c r="V662" s="1" t="s">
        <v>41</v>
      </c>
      <c r="W662" s="1" t="s">
        <v>49</v>
      </c>
      <c r="X662" s="13" t="str">
        <f t="shared" si="75"/>
        <v/>
      </c>
      <c r="Y662" s="2">
        <f t="shared" ca="1" si="70"/>
        <v>71</v>
      </c>
      <c r="Z662" s="14">
        <v>1</v>
      </c>
      <c r="AA662" s="1" t="str">
        <f t="shared" ca="1" si="71"/>
        <v>VENCIDO</v>
      </c>
      <c r="AB662" s="1" t="str">
        <f t="shared" si="72"/>
        <v>C-14</v>
      </c>
      <c r="AC662" s="2" t="str">
        <f t="shared" si="76"/>
        <v xml:space="preserve"> ROSEMERE </v>
      </c>
      <c r="AD662" s="2">
        <f t="shared" si="73"/>
        <v>5</v>
      </c>
      <c r="AE662" s="2">
        <f t="shared" ca="1" si="74"/>
        <v>-97.325935995373584</v>
      </c>
      <c r="AF662" s="15"/>
    </row>
    <row r="663" spans="1:32" hidden="1">
      <c r="A663" s="1">
        <v>9110613</v>
      </c>
      <c r="B663" s="1" t="s">
        <v>62</v>
      </c>
      <c r="C663" t="s">
        <v>1336</v>
      </c>
      <c r="E663" s="2">
        <v>2830000203010</v>
      </c>
      <c r="F663" s="1" t="s">
        <v>152</v>
      </c>
      <c r="G663" s="1" t="s">
        <v>53</v>
      </c>
      <c r="H663" s="1" t="s">
        <v>448</v>
      </c>
      <c r="I663" s="1" t="s">
        <v>449</v>
      </c>
      <c r="J663" s="1" t="s">
        <v>33</v>
      </c>
      <c r="K663" t="s">
        <v>155</v>
      </c>
      <c r="M663" s="1" t="s">
        <v>35</v>
      </c>
      <c r="N663" s="1">
        <v>42318949</v>
      </c>
      <c r="O663" s="1" t="s">
        <v>105</v>
      </c>
      <c r="P663" s="11" t="s">
        <v>1337</v>
      </c>
      <c r="R663" s="1">
        <v>1</v>
      </c>
      <c r="T663" s="1" t="s">
        <v>157</v>
      </c>
      <c r="U663" s="11" t="s">
        <v>1338</v>
      </c>
      <c r="V663" s="1" t="s">
        <v>41</v>
      </c>
      <c r="W663" s="1" t="s">
        <v>42</v>
      </c>
      <c r="X663" s="13" t="str">
        <f t="shared" si="75"/>
        <v/>
      </c>
      <c r="Y663" s="2">
        <f t="shared" ca="1" si="70"/>
        <v>68</v>
      </c>
      <c r="Z663" s="14">
        <v>1</v>
      </c>
      <c r="AA663" s="1" t="str">
        <f t="shared" ca="1" si="71"/>
        <v>VENCIDO</v>
      </c>
      <c r="AB663" s="1" t="str">
        <f t="shared" si="72"/>
        <v>TAAe+</v>
      </c>
      <c r="AC663" s="2" t="str">
        <f t="shared" si="76"/>
        <v xml:space="preserve"> ROSEMERE </v>
      </c>
      <c r="AD663" s="2">
        <f t="shared" si="73"/>
        <v>8</v>
      </c>
      <c r="AE663" s="2">
        <f t="shared" ca="1" si="74"/>
        <v>-60.926271643518703</v>
      </c>
      <c r="AF663" s="15"/>
    </row>
    <row r="664" spans="1:32" hidden="1">
      <c r="A664" s="1">
        <v>9110065</v>
      </c>
      <c r="B664" s="1" t="s">
        <v>62</v>
      </c>
      <c r="C664" t="s">
        <v>1339</v>
      </c>
      <c r="E664" s="2">
        <v>9703000206021</v>
      </c>
      <c r="F664" s="1" t="s">
        <v>103</v>
      </c>
      <c r="G664" s="1" t="s">
        <v>53</v>
      </c>
      <c r="H664" s="1" t="s">
        <v>494</v>
      </c>
      <c r="I664" s="1" t="s">
        <v>495</v>
      </c>
      <c r="J664" s="1" t="s">
        <v>79</v>
      </c>
      <c r="K664" t="s">
        <v>104</v>
      </c>
      <c r="M664" s="1" t="s">
        <v>58</v>
      </c>
      <c r="N664" s="1">
        <v>0</v>
      </c>
      <c r="O664" s="1" t="s">
        <v>105</v>
      </c>
      <c r="P664" s="11" t="s">
        <v>1340</v>
      </c>
      <c r="R664" s="1" t="s">
        <v>38</v>
      </c>
      <c r="T664" s="1" t="s">
        <v>74</v>
      </c>
      <c r="U664" s="11" t="s">
        <v>1341</v>
      </c>
      <c r="V664" s="1" t="s">
        <v>41</v>
      </c>
      <c r="W664" s="1" t="s">
        <v>49</v>
      </c>
      <c r="X664" s="13" t="str">
        <f t="shared" si="75"/>
        <v/>
      </c>
      <c r="Y664" s="2">
        <f t="shared" ca="1" si="70"/>
        <v>68</v>
      </c>
      <c r="Z664" s="14">
        <v>1</v>
      </c>
      <c r="AA664" s="1" t="str">
        <f t="shared" ca="1" si="71"/>
        <v>VENCIDO</v>
      </c>
      <c r="AB664" s="1" t="str">
        <f t="shared" si="72"/>
        <v>Dosa</v>
      </c>
      <c r="AC664" s="2" t="str">
        <f t="shared" si="76"/>
        <v xml:space="preserve"> ROSEMERE </v>
      </c>
      <c r="AD664" s="2">
        <f t="shared" si="73"/>
        <v>5</v>
      </c>
      <c r="AE664" s="2">
        <f t="shared" ca="1" si="74"/>
        <v>-53.926271643518703</v>
      </c>
      <c r="AF664" s="15"/>
    </row>
    <row r="665" spans="1:32" hidden="1">
      <c r="A665" s="1">
        <v>9110056</v>
      </c>
      <c r="B665" s="1" t="s">
        <v>62</v>
      </c>
      <c r="C665" t="s">
        <v>1342</v>
      </c>
      <c r="E665" s="2">
        <v>9703000206021</v>
      </c>
      <c r="F665" s="1" t="s">
        <v>103</v>
      </c>
      <c r="G665" s="1" t="s">
        <v>53</v>
      </c>
      <c r="H665" s="1" t="s">
        <v>494</v>
      </c>
      <c r="I665" s="1" t="s">
        <v>495</v>
      </c>
      <c r="J665" s="1" t="s">
        <v>79</v>
      </c>
      <c r="K665" t="s">
        <v>104</v>
      </c>
      <c r="M665" s="1" t="s">
        <v>58</v>
      </c>
      <c r="N665" s="1">
        <v>0</v>
      </c>
      <c r="O665" s="1" t="s">
        <v>105</v>
      </c>
      <c r="P665" s="11" t="s">
        <v>1343</v>
      </c>
      <c r="R665" s="1" t="s">
        <v>38</v>
      </c>
      <c r="T665" s="1" t="s">
        <v>74</v>
      </c>
      <c r="U665" s="11" t="s">
        <v>1341</v>
      </c>
      <c r="V665" s="1" t="s">
        <v>41</v>
      </c>
      <c r="W665" s="1" t="s">
        <v>49</v>
      </c>
      <c r="X665" s="13" t="str">
        <f t="shared" si="75"/>
        <v/>
      </c>
      <c r="Y665" s="2">
        <f t="shared" ca="1" si="70"/>
        <v>68</v>
      </c>
      <c r="Z665" s="14">
        <v>1</v>
      </c>
      <c r="AA665" s="1" t="str">
        <f t="shared" ca="1" si="71"/>
        <v>VENCIDO</v>
      </c>
      <c r="AB665" s="1" t="str">
        <f t="shared" si="72"/>
        <v>Dosa</v>
      </c>
      <c r="AC665" s="2" t="str">
        <f t="shared" si="76"/>
        <v xml:space="preserve"> ROSEMERE </v>
      </c>
      <c r="AD665" s="2">
        <f t="shared" si="73"/>
        <v>5</v>
      </c>
      <c r="AE665" s="2">
        <f t="shared" ca="1" si="74"/>
        <v>-53.926271643518703</v>
      </c>
      <c r="AF665" s="15"/>
    </row>
    <row r="666" spans="1:32" hidden="1">
      <c r="A666" s="1">
        <v>9110055</v>
      </c>
      <c r="B666" s="1" t="s">
        <v>62</v>
      </c>
      <c r="C666" t="s">
        <v>1342</v>
      </c>
      <c r="E666" s="2">
        <v>9703000206021</v>
      </c>
      <c r="F666" s="1" t="s">
        <v>103</v>
      </c>
      <c r="G666" s="1" t="s">
        <v>53</v>
      </c>
      <c r="H666" s="1" t="s">
        <v>494</v>
      </c>
      <c r="I666" s="1" t="s">
        <v>495</v>
      </c>
      <c r="J666" s="1" t="s">
        <v>79</v>
      </c>
      <c r="K666" t="s">
        <v>104</v>
      </c>
      <c r="M666" s="1" t="s">
        <v>58</v>
      </c>
      <c r="N666" s="1">
        <v>0</v>
      </c>
      <c r="O666" s="1" t="s">
        <v>105</v>
      </c>
      <c r="P666" s="11" t="s">
        <v>1344</v>
      </c>
      <c r="R666" s="1" t="s">
        <v>38</v>
      </c>
      <c r="T666" s="1" t="s">
        <v>74</v>
      </c>
      <c r="U666" s="11" t="s">
        <v>1341</v>
      </c>
      <c r="V666" s="1" t="s">
        <v>41</v>
      </c>
      <c r="W666" s="1" t="s">
        <v>49</v>
      </c>
      <c r="X666" s="13" t="str">
        <f t="shared" si="75"/>
        <v/>
      </c>
      <c r="Y666" s="2">
        <f t="shared" ca="1" si="70"/>
        <v>68</v>
      </c>
      <c r="Z666" s="14">
        <v>1</v>
      </c>
      <c r="AA666" s="1" t="str">
        <f t="shared" ca="1" si="71"/>
        <v>VENCIDO</v>
      </c>
      <c r="AB666" s="1" t="str">
        <f t="shared" si="72"/>
        <v>Dosa</v>
      </c>
      <c r="AC666" s="2" t="str">
        <f t="shared" si="76"/>
        <v xml:space="preserve"> ROSEMERE </v>
      </c>
      <c r="AD666" s="2">
        <f t="shared" si="73"/>
        <v>5</v>
      </c>
      <c r="AE666" s="2">
        <f t="shared" ca="1" si="74"/>
        <v>-53.926271643518703</v>
      </c>
      <c r="AF666" s="15"/>
    </row>
    <row r="667" spans="1:32" hidden="1">
      <c r="A667" s="1">
        <v>9110054</v>
      </c>
      <c r="B667" s="1" t="s">
        <v>27</v>
      </c>
      <c r="C667" t="s">
        <v>1342</v>
      </c>
      <c r="E667" s="2">
        <v>9703000206021</v>
      </c>
      <c r="F667" s="1" t="s">
        <v>103</v>
      </c>
      <c r="G667" s="1" t="s">
        <v>53</v>
      </c>
      <c r="H667" s="1" t="s">
        <v>494</v>
      </c>
      <c r="I667" s="1" t="s">
        <v>495</v>
      </c>
      <c r="J667" s="1" t="s">
        <v>79</v>
      </c>
      <c r="K667" t="s">
        <v>104</v>
      </c>
      <c r="M667" s="1" t="s">
        <v>58</v>
      </c>
      <c r="N667" s="1">
        <v>0</v>
      </c>
      <c r="O667" s="1" t="s">
        <v>105</v>
      </c>
      <c r="P667" s="11" t="s">
        <v>1345</v>
      </c>
      <c r="R667" s="1" t="s">
        <v>38</v>
      </c>
      <c r="T667" s="1" t="s">
        <v>74</v>
      </c>
      <c r="U667" s="11" t="s">
        <v>1341</v>
      </c>
      <c r="V667" s="1" t="s">
        <v>41</v>
      </c>
      <c r="W667" s="1" t="s">
        <v>49</v>
      </c>
      <c r="X667" s="13" t="str">
        <f t="shared" si="75"/>
        <v/>
      </c>
      <c r="Y667" s="2">
        <f t="shared" ca="1" si="70"/>
        <v>68</v>
      </c>
      <c r="Z667" s="14">
        <v>1</v>
      </c>
      <c r="AA667" s="1" t="str">
        <f t="shared" ca="1" si="71"/>
        <v>VENCIDO</v>
      </c>
      <c r="AB667" s="1" t="str">
        <f t="shared" si="72"/>
        <v>Dosa</v>
      </c>
      <c r="AC667" s="2" t="str">
        <f t="shared" si="76"/>
        <v xml:space="preserve"> ROSEMERE </v>
      </c>
      <c r="AD667" s="2">
        <f t="shared" si="73"/>
        <v>5</v>
      </c>
      <c r="AE667" s="2">
        <f t="shared" ca="1" si="74"/>
        <v>-53.926271643518703</v>
      </c>
      <c r="AF667" s="15"/>
    </row>
    <row r="668" spans="1:32" hidden="1">
      <c r="A668" s="1">
        <v>9110053</v>
      </c>
      <c r="B668" s="1" t="s">
        <v>62</v>
      </c>
      <c r="C668" t="s">
        <v>1346</v>
      </c>
      <c r="E668" s="2">
        <v>9703000206021</v>
      </c>
      <c r="F668" s="1" t="s">
        <v>103</v>
      </c>
      <c r="G668" s="1" t="s">
        <v>53</v>
      </c>
      <c r="H668" s="1" t="s">
        <v>494</v>
      </c>
      <c r="I668" s="1" t="s">
        <v>495</v>
      </c>
      <c r="J668" s="1" t="s">
        <v>79</v>
      </c>
      <c r="K668" t="s">
        <v>104</v>
      </c>
      <c r="M668" s="1" t="s">
        <v>58</v>
      </c>
      <c r="N668" s="1">
        <v>0</v>
      </c>
      <c r="O668" s="1" t="s">
        <v>105</v>
      </c>
      <c r="P668" s="11" t="s">
        <v>1347</v>
      </c>
      <c r="R668" s="1" t="s">
        <v>38</v>
      </c>
      <c r="T668" s="1" t="s">
        <v>74</v>
      </c>
      <c r="U668" s="11" t="s">
        <v>1341</v>
      </c>
      <c r="V668" s="1" t="s">
        <v>41</v>
      </c>
      <c r="W668" s="1" t="s">
        <v>49</v>
      </c>
      <c r="X668" s="13" t="str">
        <f t="shared" si="75"/>
        <v/>
      </c>
      <c r="Y668" s="2">
        <f t="shared" ca="1" si="70"/>
        <v>68</v>
      </c>
      <c r="Z668" s="14">
        <v>1</v>
      </c>
      <c r="AA668" s="1" t="str">
        <f t="shared" ca="1" si="71"/>
        <v>VENCIDO</v>
      </c>
      <c r="AB668" s="1" t="str">
        <f t="shared" si="72"/>
        <v>Dosa</v>
      </c>
      <c r="AC668" s="2" t="str">
        <f t="shared" si="76"/>
        <v xml:space="preserve"> ROSEMERE </v>
      </c>
      <c r="AD668" s="2">
        <f t="shared" si="73"/>
        <v>5</v>
      </c>
      <c r="AE668" s="2">
        <f t="shared" ca="1" si="74"/>
        <v>-53.926271643518703</v>
      </c>
      <c r="AF668" s="15"/>
    </row>
    <row r="669" spans="1:32" hidden="1">
      <c r="A669" s="173">
        <v>9119774</v>
      </c>
      <c r="B669" s="173" t="s">
        <v>1153</v>
      </c>
      <c r="C669" s="178" t="s">
        <v>3459</v>
      </c>
      <c r="D669" s="174">
        <v>220190443</v>
      </c>
      <c r="E669" s="174">
        <v>1146001400030</v>
      </c>
      <c r="F669" s="173" t="s">
        <v>647</v>
      </c>
      <c r="G669" s="173" t="s">
        <v>53</v>
      </c>
      <c r="H669" s="173" t="s">
        <v>315</v>
      </c>
      <c r="I669" s="173" t="s">
        <v>316</v>
      </c>
      <c r="J669" s="173" t="s">
        <v>148</v>
      </c>
      <c r="K669" t="s">
        <v>650</v>
      </c>
      <c r="M669" s="1" t="s">
        <v>58</v>
      </c>
      <c r="N669" s="1">
        <v>0</v>
      </c>
      <c r="O669" s="1" t="s">
        <v>36</v>
      </c>
      <c r="P669" s="11" t="s">
        <v>1349</v>
      </c>
      <c r="R669" s="1">
        <v>4</v>
      </c>
      <c r="T669" s="1" t="s">
        <v>646</v>
      </c>
      <c r="U669" s="186">
        <v>44896.572858796295</v>
      </c>
      <c r="V669" s="1" t="s">
        <v>41</v>
      </c>
      <c r="W669" s="1" t="s">
        <v>49</v>
      </c>
      <c r="X669" s="13" t="str">
        <f t="shared" si="75"/>
        <v/>
      </c>
      <c r="Y669" s="2">
        <f t="shared" ca="1" si="70"/>
        <v>66</v>
      </c>
      <c r="Z669" s="14">
        <v>1</v>
      </c>
      <c r="AA669" s="1" t="str">
        <f t="shared" ca="1" si="71"/>
        <v>VENCIDO</v>
      </c>
      <c r="AB669" s="1" t="str">
        <f t="shared" si="72"/>
        <v>C-14</v>
      </c>
      <c r="AC669" s="2" t="str">
        <f t="shared" si="76"/>
        <v xml:space="preserve"> RINALDO </v>
      </c>
      <c r="AD669" s="2">
        <f t="shared" si="73"/>
        <v>15</v>
      </c>
      <c r="AE669" s="2">
        <f t="shared" ca="1" si="74"/>
        <v>-90.103412847223808</v>
      </c>
      <c r="AF669" s="15"/>
    </row>
    <row r="670" spans="1:32" hidden="1">
      <c r="A670" s="1">
        <v>9131493</v>
      </c>
      <c r="B670" s="1" t="s">
        <v>101</v>
      </c>
      <c r="C670" t="s">
        <v>643</v>
      </c>
      <c r="D670" s="2">
        <v>220197038</v>
      </c>
      <c r="E670" s="2">
        <v>834001400040</v>
      </c>
      <c r="F670" s="1" t="s">
        <v>644</v>
      </c>
      <c r="G670" s="1" t="s">
        <v>53</v>
      </c>
      <c r="H670" s="1" t="s">
        <v>367</v>
      </c>
      <c r="I670" s="1" t="s">
        <v>368</v>
      </c>
      <c r="J670" s="1" t="s">
        <v>261</v>
      </c>
      <c r="K670" t="s">
        <v>645</v>
      </c>
      <c r="M670" s="1" t="s">
        <v>58</v>
      </c>
      <c r="N670" s="1">
        <v>0</v>
      </c>
      <c r="O670" s="1" t="s">
        <v>105</v>
      </c>
      <c r="P670" s="186">
        <v>44896.698067129626</v>
      </c>
      <c r="R670" s="1">
        <v>2</v>
      </c>
      <c r="T670" s="1" t="s">
        <v>646</v>
      </c>
      <c r="U670" s="186">
        <v>44897.698067129626</v>
      </c>
      <c r="V670" s="1" t="s">
        <v>41</v>
      </c>
      <c r="W670" s="1" t="s">
        <v>49</v>
      </c>
      <c r="X670" s="13" t="str">
        <f t="shared" si="75"/>
        <v/>
      </c>
      <c r="Y670" s="2">
        <f t="shared" ca="1" si="70"/>
        <v>65</v>
      </c>
      <c r="Z670" s="14">
        <v>1</v>
      </c>
      <c r="AA670" s="1" t="str">
        <f t="shared" ca="1" si="71"/>
        <v>VENCIDO</v>
      </c>
      <c r="AB670" s="1" t="str">
        <f t="shared" si="72"/>
        <v>SL-On</v>
      </c>
      <c r="AC670" s="2" t="str">
        <f t="shared" si="76"/>
        <v xml:space="preserve"> CRISTINA </v>
      </c>
      <c r="AD670" s="2">
        <f t="shared" si="73"/>
        <v>1</v>
      </c>
      <c r="AE670" s="2">
        <f t="shared" ca="1" si="74"/>
        <v>-88.978204513892706</v>
      </c>
      <c r="AF670" s="15"/>
    </row>
    <row r="671" spans="1:32" hidden="1">
      <c r="A671" s="1">
        <v>9131454</v>
      </c>
      <c r="B671" s="1" t="s">
        <v>101</v>
      </c>
      <c r="C671" t="s">
        <v>643</v>
      </c>
      <c r="D671" s="2">
        <v>220197033</v>
      </c>
      <c r="E671" s="2">
        <v>821001400040</v>
      </c>
      <c r="F671" s="1" t="s">
        <v>644</v>
      </c>
      <c r="G671" s="1" t="s">
        <v>53</v>
      </c>
      <c r="H671" s="1" t="s">
        <v>1351</v>
      </c>
      <c r="I671" s="1" t="s">
        <v>1352</v>
      </c>
      <c r="J671" s="1" t="s">
        <v>46</v>
      </c>
      <c r="K671" t="s">
        <v>645</v>
      </c>
      <c r="M671" s="1" t="s">
        <v>58</v>
      </c>
      <c r="N671" s="1">
        <v>0</v>
      </c>
      <c r="O671" s="1" t="s">
        <v>105</v>
      </c>
      <c r="P671" s="186">
        <v>44896.696782407409</v>
      </c>
      <c r="R671" s="1">
        <v>2</v>
      </c>
      <c r="T671" s="1" t="s">
        <v>646</v>
      </c>
      <c r="U671" s="186">
        <v>44897.696782407409</v>
      </c>
      <c r="V671" s="1" t="s">
        <v>41</v>
      </c>
      <c r="W671" s="1" t="s">
        <v>49</v>
      </c>
      <c r="X671" s="13" t="str">
        <f t="shared" si="75"/>
        <v/>
      </c>
      <c r="Y671" s="2">
        <f t="shared" ca="1" si="70"/>
        <v>65</v>
      </c>
      <c r="Z671" s="14">
        <v>1</v>
      </c>
      <c r="AA671" s="1" t="str">
        <f t="shared" ca="1" si="71"/>
        <v>VENCIDO</v>
      </c>
      <c r="AB671" s="1" t="str">
        <f t="shared" si="72"/>
        <v>SL-On</v>
      </c>
      <c r="AC671" s="2" t="str">
        <f t="shared" si="76"/>
        <v xml:space="preserve"> CLEITON </v>
      </c>
      <c r="AD671" s="2">
        <f t="shared" si="73"/>
        <v>1</v>
      </c>
      <c r="AE671" s="2">
        <f t="shared" ca="1" si="74"/>
        <v>-88.979489236109657</v>
      </c>
      <c r="AF671" s="15"/>
    </row>
    <row r="672" spans="1:32" hidden="1">
      <c r="A672" s="1">
        <v>9131400</v>
      </c>
      <c r="B672" s="1" t="s">
        <v>101</v>
      </c>
      <c r="C672" t="s">
        <v>643</v>
      </c>
      <c r="D672" s="2">
        <v>220195352</v>
      </c>
      <c r="E672" s="2">
        <v>1732001400030</v>
      </c>
      <c r="F672" s="1" t="s">
        <v>647</v>
      </c>
      <c r="G672" s="1" t="s">
        <v>53</v>
      </c>
      <c r="H672" s="1" t="s">
        <v>177</v>
      </c>
      <c r="I672" s="1" t="s">
        <v>178</v>
      </c>
      <c r="J672" s="1" t="s">
        <v>164</v>
      </c>
      <c r="K672" t="s">
        <v>650</v>
      </c>
      <c r="M672" s="1" t="s">
        <v>58</v>
      </c>
      <c r="N672" s="1">
        <v>0</v>
      </c>
      <c r="O672" s="1" t="s">
        <v>105</v>
      </c>
      <c r="P672" s="186">
        <v>44896.694756944446</v>
      </c>
      <c r="R672" s="1">
        <v>4</v>
      </c>
      <c r="T672" s="1" t="s">
        <v>646</v>
      </c>
      <c r="U672" s="186">
        <v>44897.694756944446</v>
      </c>
      <c r="V672" s="1" t="s">
        <v>41</v>
      </c>
      <c r="W672" s="1" t="s">
        <v>49</v>
      </c>
      <c r="X672" s="13" t="str">
        <f t="shared" si="75"/>
        <v/>
      </c>
      <c r="Y672" s="2">
        <f t="shared" ca="1" si="70"/>
        <v>65</v>
      </c>
      <c r="Z672" s="14">
        <v>1</v>
      </c>
      <c r="AA672" s="1" t="str">
        <f t="shared" ca="1" si="71"/>
        <v>VENCIDO</v>
      </c>
      <c r="AB672" s="1" t="str">
        <f t="shared" si="72"/>
        <v>C-14</v>
      </c>
      <c r="AC672" s="2" t="str">
        <f t="shared" si="76"/>
        <v xml:space="preserve"> ROSEMERE </v>
      </c>
      <c r="AD672" s="2">
        <f t="shared" si="73"/>
        <v>15</v>
      </c>
      <c r="AE672" s="2">
        <f t="shared" ca="1" si="74"/>
        <v>-88.981514699073159</v>
      </c>
      <c r="AF672" s="15"/>
    </row>
    <row r="673" spans="1:32" hidden="1">
      <c r="A673" s="1">
        <v>9131376</v>
      </c>
      <c r="B673" s="1" t="s">
        <v>101</v>
      </c>
      <c r="C673" t="s">
        <v>643</v>
      </c>
      <c r="D673" s="2">
        <v>220195375</v>
      </c>
      <c r="E673" s="2">
        <v>1792001400030</v>
      </c>
      <c r="F673" s="1" t="s">
        <v>647</v>
      </c>
      <c r="G673" s="1" t="s">
        <v>53</v>
      </c>
      <c r="H673" s="1" t="s">
        <v>467</v>
      </c>
      <c r="I673" s="1" t="s">
        <v>468</v>
      </c>
      <c r="J673" s="1" t="s">
        <v>110</v>
      </c>
      <c r="K673" t="s">
        <v>650</v>
      </c>
      <c r="M673" s="1" t="s">
        <v>58</v>
      </c>
      <c r="N673" s="1">
        <v>0</v>
      </c>
      <c r="O673" s="1" t="s">
        <v>105</v>
      </c>
      <c r="P673" s="186">
        <v>44896.693680555552</v>
      </c>
      <c r="R673" s="1">
        <v>4</v>
      </c>
      <c r="T673" s="1" t="s">
        <v>646</v>
      </c>
      <c r="U673" s="186">
        <v>44897.693692129629</v>
      </c>
      <c r="V673" s="1" t="s">
        <v>41</v>
      </c>
      <c r="W673" s="1" t="s">
        <v>49</v>
      </c>
      <c r="X673" s="13" t="str">
        <f t="shared" si="75"/>
        <v/>
      </c>
      <c r="Y673" s="2">
        <f t="shared" ca="1" si="70"/>
        <v>65</v>
      </c>
      <c r="Z673" s="14">
        <v>1</v>
      </c>
      <c r="AA673" s="1" t="str">
        <f t="shared" ca="1" si="71"/>
        <v>VENCIDO</v>
      </c>
      <c r="AB673" s="1" t="str">
        <f t="shared" si="72"/>
        <v>C-14</v>
      </c>
      <c r="AC673" s="2" t="str">
        <f t="shared" si="76"/>
        <v xml:space="preserve"> CRISTINA </v>
      </c>
      <c r="AD673" s="2">
        <f t="shared" si="73"/>
        <v>15</v>
      </c>
      <c r="AE673" s="2">
        <f t="shared" ca="1" si="74"/>
        <v>-88.982579513889505</v>
      </c>
      <c r="AF673" s="15"/>
    </row>
    <row r="674" spans="1:32" hidden="1">
      <c r="A674" s="1">
        <v>9131244</v>
      </c>
      <c r="B674" s="1" t="s">
        <v>101</v>
      </c>
      <c r="C674" t="s">
        <v>643</v>
      </c>
      <c r="D674" s="2">
        <v>220197571</v>
      </c>
      <c r="E674" s="2">
        <v>2326001400040</v>
      </c>
      <c r="F674" s="1" t="s">
        <v>644</v>
      </c>
      <c r="G674" s="1" t="s">
        <v>53</v>
      </c>
      <c r="H674" s="1" t="s">
        <v>191</v>
      </c>
      <c r="I674" s="1" t="s">
        <v>192</v>
      </c>
      <c r="J674" s="1" t="s">
        <v>46</v>
      </c>
      <c r="K674" t="s">
        <v>645</v>
      </c>
      <c r="M674" s="1" t="s">
        <v>58</v>
      </c>
      <c r="N674" s="1">
        <v>0</v>
      </c>
      <c r="O674" s="1" t="s">
        <v>105</v>
      </c>
      <c r="P674" s="186">
        <v>44896.684918981482</v>
      </c>
      <c r="R674" s="1">
        <v>2</v>
      </c>
      <c r="T674" s="1" t="s">
        <v>646</v>
      </c>
      <c r="U674" s="186">
        <v>44897.684930555559</v>
      </c>
      <c r="V674" s="1" t="s">
        <v>41</v>
      </c>
      <c r="W674" s="1" t="s">
        <v>49</v>
      </c>
      <c r="X674" s="13" t="str">
        <f t="shared" si="75"/>
        <v/>
      </c>
      <c r="Y674" s="2">
        <f t="shared" ca="1" si="70"/>
        <v>65</v>
      </c>
      <c r="Z674" s="14">
        <v>1</v>
      </c>
      <c r="AA674" s="1" t="str">
        <f t="shared" ca="1" si="71"/>
        <v>VENCIDO</v>
      </c>
      <c r="AB674" s="1" t="str">
        <f t="shared" si="72"/>
        <v>SL-On</v>
      </c>
      <c r="AC674" s="2" t="str">
        <f t="shared" si="76"/>
        <v xml:space="preserve"> CLEITON </v>
      </c>
      <c r="AD674" s="2">
        <f t="shared" si="73"/>
        <v>1</v>
      </c>
      <c r="AE674" s="2">
        <f t="shared" ca="1" si="74"/>
        <v>-88.991341087959881</v>
      </c>
      <c r="AF674" s="15"/>
    </row>
    <row r="675" spans="1:32" hidden="1">
      <c r="A675" s="1">
        <v>9131189</v>
      </c>
      <c r="B675" s="1" t="s">
        <v>101</v>
      </c>
      <c r="C675" t="s">
        <v>643</v>
      </c>
      <c r="D675" s="2">
        <v>220197881</v>
      </c>
      <c r="E675" s="2">
        <v>3504001400040</v>
      </c>
      <c r="F675" s="1" t="s">
        <v>644</v>
      </c>
      <c r="G675" s="1" t="s">
        <v>53</v>
      </c>
      <c r="H675" s="1" t="s">
        <v>585</v>
      </c>
      <c r="I675" s="1" t="s">
        <v>586</v>
      </c>
      <c r="J675" s="1" t="s">
        <v>46</v>
      </c>
      <c r="K675" t="s">
        <v>645</v>
      </c>
      <c r="M675" s="1" t="s">
        <v>58</v>
      </c>
      <c r="N675" s="1">
        <v>0</v>
      </c>
      <c r="O675" s="1" t="s">
        <v>105</v>
      </c>
      <c r="P675" s="186">
        <v>44896.682210648149</v>
      </c>
      <c r="R675" s="1">
        <v>3</v>
      </c>
      <c r="T675" s="1" t="s">
        <v>646</v>
      </c>
      <c r="U675" s="186">
        <v>44897.682210648149</v>
      </c>
      <c r="V675" s="1" t="s">
        <v>41</v>
      </c>
      <c r="W675" s="1" t="s">
        <v>49</v>
      </c>
      <c r="X675" s="13" t="str">
        <f t="shared" si="75"/>
        <v/>
      </c>
      <c r="Y675" s="2">
        <f t="shared" ca="1" si="70"/>
        <v>65</v>
      </c>
      <c r="Z675" s="14">
        <v>1</v>
      </c>
      <c r="AA675" s="1" t="str">
        <f t="shared" ca="1" si="71"/>
        <v>VENCIDO</v>
      </c>
      <c r="AB675" s="1" t="str">
        <f t="shared" si="72"/>
        <v>SL-On</v>
      </c>
      <c r="AC675" s="2" t="str">
        <f t="shared" si="76"/>
        <v xml:space="preserve"> CLEITON </v>
      </c>
      <c r="AD675" s="2">
        <f t="shared" si="73"/>
        <v>1</v>
      </c>
      <c r="AE675" s="2">
        <f t="shared" ca="1" si="74"/>
        <v>-88.994060995370091</v>
      </c>
      <c r="AF675" s="15"/>
    </row>
    <row r="676" spans="1:32" hidden="1">
      <c r="A676" s="1">
        <v>9131113</v>
      </c>
      <c r="B676" s="1" t="s">
        <v>101</v>
      </c>
      <c r="C676" t="s">
        <v>643</v>
      </c>
      <c r="D676" s="2">
        <v>220196664</v>
      </c>
      <c r="E676" s="2">
        <v>233001400040</v>
      </c>
      <c r="F676" s="1" t="s">
        <v>644</v>
      </c>
      <c r="G676" s="1" t="s">
        <v>53</v>
      </c>
      <c r="H676" s="1" t="s">
        <v>424</v>
      </c>
      <c r="I676" s="1" t="s">
        <v>425</v>
      </c>
      <c r="J676" s="1" t="s">
        <v>261</v>
      </c>
      <c r="K676" t="s">
        <v>645</v>
      </c>
      <c r="M676" s="1" t="s">
        <v>58</v>
      </c>
      <c r="N676" s="1">
        <v>0</v>
      </c>
      <c r="O676" s="1" t="s">
        <v>105</v>
      </c>
      <c r="P676" s="186">
        <v>44896.678414351853</v>
      </c>
      <c r="R676" s="1">
        <v>2</v>
      </c>
      <c r="T676" s="1" t="s">
        <v>646</v>
      </c>
      <c r="U676" s="186">
        <v>44897.678425925929</v>
      </c>
      <c r="V676" s="1" t="s">
        <v>41</v>
      </c>
      <c r="W676" s="1" t="s">
        <v>49</v>
      </c>
      <c r="X676" s="13" t="str">
        <f t="shared" si="75"/>
        <v/>
      </c>
      <c r="Y676" s="2">
        <f t="shared" ca="1" si="70"/>
        <v>65</v>
      </c>
      <c r="Z676" s="14">
        <v>1</v>
      </c>
      <c r="AA676" s="1" t="str">
        <f t="shared" ca="1" si="71"/>
        <v>VENCIDO</v>
      </c>
      <c r="AB676" s="1" t="str">
        <f t="shared" si="72"/>
        <v>SL-On</v>
      </c>
      <c r="AC676" s="2" t="str">
        <f t="shared" si="76"/>
        <v xml:space="preserve"> CRISTINA </v>
      </c>
      <c r="AD676" s="2">
        <f t="shared" si="73"/>
        <v>1</v>
      </c>
      <c r="AE676" s="2">
        <f t="shared" ca="1" si="74"/>
        <v>-88.997845717589371</v>
      </c>
      <c r="AF676" s="15"/>
    </row>
    <row r="677" spans="1:32" hidden="1">
      <c r="A677" s="1">
        <v>9131076</v>
      </c>
      <c r="B677" s="1" t="s">
        <v>101</v>
      </c>
      <c r="C677" t="s">
        <v>643</v>
      </c>
      <c r="D677" s="2">
        <v>220196663</v>
      </c>
      <c r="E677" s="2">
        <v>232001400040</v>
      </c>
      <c r="F677" s="1" t="s">
        <v>644</v>
      </c>
      <c r="G677" s="1" t="s">
        <v>53</v>
      </c>
      <c r="H677" s="1" t="s">
        <v>1363</v>
      </c>
      <c r="I677" s="1" t="s">
        <v>1364</v>
      </c>
      <c r="J677" s="1" t="s">
        <v>141</v>
      </c>
      <c r="K677" t="s">
        <v>645</v>
      </c>
      <c r="M677" s="1" t="s">
        <v>58</v>
      </c>
      <c r="N677" s="1">
        <v>0</v>
      </c>
      <c r="O677" s="1" t="s">
        <v>105</v>
      </c>
      <c r="P677" s="186">
        <v>44896.676157407404</v>
      </c>
      <c r="R677" s="1">
        <v>3</v>
      </c>
      <c r="T677" s="1" t="s">
        <v>646</v>
      </c>
      <c r="U677" s="186">
        <v>44897.676168981481</v>
      </c>
      <c r="V677" s="1" t="s">
        <v>41</v>
      </c>
      <c r="W677" s="1" t="s">
        <v>49</v>
      </c>
      <c r="X677" s="13" t="str">
        <f t="shared" si="75"/>
        <v/>
      </c>
      <c r="Y677" s="2">
        <f t="shared" ca="1" si="70"/>
        <v>65</v>
      </c>
      <c r="Z677" s="14">
        <v>1</v>
      </c>
      <c r="AA677" s="1" t="str">
        <f t="shared" ca="1" si="71"/>
        <v>VENCIDO</v>
      </c>
      <c r="AB677" s="1" t="str">
        <f t="shared" si="72"/>
        <v>SL-On</v>
      </c>
      <c r="AC677" s="2" t="str">
        <f t="shared" si="76"/>
        <v xml:space="preserve"> CRISTINA </v>
      </c>
      <c r="AD677" s="2">
        <f t="shared" si="73"/>
        <v>1</v>
      </c>
      <c r="AE677" s="2">
        <f t="shared" ca="1" si="74"/>
        <v>-89.000102662037534</v>
      </c>
      <c r="AF677" s="15"/>
    </row>
    <row r="678" spans="1:32" hidden="1">
      <c r="A678" s="1">
        <v>9131028</v>
      </c>
      <c r="B678" s="1" t="s">
        <v>101</v>
      </c>
      <c r="C678" t="s">
        <v>643</v>
      </c>
      <c r="D678" s="2">
        <v>220196655</v>
      </c>
      <c r="E678" s="2">
        <v>220001400040</v>
      </c>
      <c r="F678" s="1" t="s">
        <v>644</v>
      </c>
      <c r="G678" s="1" t="s">
        <v>53</v>
      </c>
      <c r="H678" s="1" t="s">
        <v>588</v>
      </c>
      <c r="I678" s="1" t="s">
        <v>589</v>
      </c>
      <c r="J678" s="1" t="s">
        <v>110</v>
      </c>
      <c r="K678" t="s">
        <v>645</v>
      </c>
      <c r="M678" s="1" t="s">
        <v>58</v>
      </c>
      <c r="N678" s="1">
        <v>0</v>
      </c>
      <c r="O678" s="1" t="s">
        <v>105</v>
      </c>
      <c r="P678" s="186">
        <v>44896.673981481479</v>
      </c>
      <c r="R678" s="1">
        <v>2</v>
      </c>
      <c r="T678" s="1" t="s">
        <v>646</v>
      </c>
      <c r="U678" s="186">
        <v>44897.673981481479</v>
      </c>
      <c r="V678" s="1" t="s">
        <v>41</v>
      </c>
      <c r="W678" s="1" t="s">
        <v>49</v>
      </c>
      <c r="X678" s="13" t="str">
        <f t="shared" si="75"/>
        <v/>
      </c>
      <c r="Y678" s="2">
        <f t="shared" ca="1" si="70"/>
        <v>65</v>
      </c>
      <c r="Z678" s="14">
        <v>1</v>
      </c>
      <c r="AA678" s="1" t="str">
        <f t="shared" ca="1" si="71"/>
        <v>VENCIDO</v>
      </c>
      <c r="AB678" s="1" t="str">
        <f t="shared" si="72"/>
        <v>SL-On</v>
      </c>
      <c r="AC678" s="2" t="str">
        <f t="shared" si="76"/>
        <v xml:space="preserve"> CRISTINA </v>
      </c>
      <c r="AD678" s="2">
        <f t="shared" si="73"/>
        <v>1</v>
      </c>
      <c r="AE678" s="2">
        <f t="shared" ca="1" si="74"/>
        <v>-89.002290162039571</v>
      </c>
      <c r="AF678" s="15"/>
    </row>
    <row r="679" spans="1:32" hidden="1">
      <c r="A679" s="1">
        <v>9131012</v>
      </c>
      <c r="B679" s="1" t="s">
        <v>101</v>
      </c>
      <c r="C679" t="s">
        <v>643</v>
      </c>
      <c r="D679" s="2">
        <v>220194569</v>
      </c>
      <c r="E679" s="2">
        <v>233001400030</v>
      </c>
      <c r="F679" s="1" t="s">
        <v>647</v>
      </c>
      <c r="G679" s="1" t="s">
        <v>53</v>
      </c>
      <c r="H679" s="1" t="s">
        <v>424</v>
      </c>
      <c r="I679" s="1" t="s">
        <v>425</v>
      </c>
      <c r="J679" s="1" t="s">
        <v>261</v>
      </c>
      <c r="K679" t="s">
        <v>650</v>
      </c>
      <c r="M679" s="1" t="s">
        <v>58</v>
      </c>
      <c r="N679" s="1">
        <v>0</v>
      </c>
      <c r="O679" s="1" t="s">
        <v>105</v>
      </c>
      <c r="P679" s="186">
        <v>44896.672835648147</v>
      </c>
      <c r="R679" s="1">
        <v>4</v>
      </c>
      <c r="T679" s="1" t="s">
        <v>646</v>
      </c>
      <c r="U679" s="186">
        <v>44897.672835648147</v>
      </c>
      <c r="V679" s="1" t="s">
        <v>41</v>
      </c>
      <c r="W679" s="1" t="s">
        <v>49</v>
      </c>
      <c r="X679" s="13" t="str">
        <f t="shared" si="75"/>
        <v/>
      </c>
      <c r="Y679" s="2">
        <f t="shared" ca="1" si="70"/>
        <v>65</v>
      </c>
      <c r="Z679" s="14">
        <v>1</v>
      </c>
      <c r="AA679" s="1" t="str">
        <f t="shared" ca="1" si="71"/>
        <v>VENCIDO</v>
      </c>
      <c r="AB679" s="1" t="str">
        <f t="shared" si="72"/>
        <v>C-14</v>
      </c>
      <c r="AC679" s="2" t="str">
        <f t="shared" si="76"/>
        <v xml:space="preserve"> CRISTINA </v>
      </c>
      <c r="AD679" s="2">
        <f t="shared" si="73"/>
        <v>15</v>
      </c>
      <c r="AE679" s="2">
        <f t="shared" ca="1" si="74"/>
        <v>-89.003435995371547</v>
      </c>
      <c r="AF679" s="15"/>
    </row>
    <row r="680" spans="1:32" hidden="1">
      <c r="A680" s="1">
        <v>9131002</v>
      </c>
      <c r="B680" s="1" t="s">
        <v>101</v>
      </c>
      <c r="C680" t="s">
        <v>643</v>
      </c>
      <c r="D680" s="2">
        <v>220194560</v>
      </c>
      <c r="E680" s="2">
        <v>220001400030</v>
      </c>
      <c r="F680" s="1" t="s">
        <v>647</v>
      </c>
      <c r="G680" s="1" t="s">
        <v>53</v>
      </c>
      <c r="H680" s="1" t="s">
        <v>588</v>
      </c>
      <c r="I680" s="1" t="s">
        <v>589</v>
      </c>
      <c r="J680" s="1" t="s">
        <v>110</v>
      </c>
      <c r="K680" t="s">
        <v>650</v>
      </c>
      <c r="M680" s="1" t="s">
        <v>58</v>
      </c>
      <c r="N680" s="1">
        <v>0</v>
      </c>
      <c r="O680" s="1" t="s">
        <v>105</v>
      </c>
      <c r="P680" s="186">
        <v>44896.672418981485</v>
      </c>
      <c r="R680" s="1">
        <v>4</v>
      </c>
      <c r="T680" s="1" t="s">
        <v>646</v>
      </c>
      <c r="U680" s="186">
        <v>44897.672418981485</v>
      </c>
      <c r="V680" s="1" t="s">
        <v>41</v>
      </c>
      <c r="W680" s="1" t="s">
        <v>49</v>
      </c>
      <c r="X680" s="13" t="str">
        <f t="shared" si="75"/>
        <v/>
      </c>
      <c r="Y680" s="2">
        <f t="shared" ca="1" si="70"/>
        <v>65</v>
      </c>
      <c r="Z680" s="14">
        <v>1</v>
      </c>
      <c r="AA680" s="1" t="str">
        <f t="shared" ca="1" si="71"/>
        <v>VENCIDO</v>
      </c>
      <c r="AB680" s="1" t="str">
        <f t="shared" si="72"/>
        <v>C-14</v>
      </c>
      <c r="AC680" s="2" t="str">
        <f t="shared" si="76"/>
        <v xml:space="preserve"> CRISTINA </v>
      </c>
      <c r="AD680" s="2">
        <f t="shared" si="73"/>
        <v>15</v>
      </c>
      <c r="AE680" s="2">
        <f t="shared" ca="1" si="74"/>
        <v>-89.003852662033751</v>
      </c>
      <c r="AF680" s="15"/>
    </row>
    <row r="681" spans="1:32" hidden="1">
      <c r="A681" s="1">
        <v>9130951</v>
      </c>
      <c r="B681" s="1" t="s">
        <v>101</v>
      </c>
      <c r="C681" t="s">
        <v>643</v>
      </c>
      <c r="D681" s="2">
        <v>220194568</v>
      </c>
      <c r="E681" s="2">
        <v>232001400030</v>
      </c>
      <c r="F681" s="1" t="s">
        <v>647</v>
      </c>
      <c r="G681" s="1" t="s">
        <v>53</v>
      </c>
      <c r="H681" s="1" t="s">
        <v>1363</v>
      </c>
      <c r="I681" s="1" t="s">
        <v>1364</v>
      </c>
      <c r="J681" s="1" t="s">
        <v>141</v>
      </c>
      <c r="K681" t="s">
        <v>650</v>
      </c>
      <c r="M681" s="1" t="s">
        <v>58</v>
      </c>
      <c r="N681" s="1">
        <v>0</v>
      </c>
      <c r="O681" s="1" t="s">
        <v>105</v>
      </c>
      <c r="P681" s="186">
        <v>44896.670624999999</v>
      </c>
      <c r="R681" s="1">
        <v>4</v>
      </c>
      <c r="T681" s="1" t="s">
        <v>646</v>
      </c>
      <c r="U681" s="186">
        <v>44897.670624999999</v>
      </c>
      <c r="V681" s="1" t="s">
        <v>41</v>
      </c>
      <c r="W681" s="1" t="s">
        <v>49</v>
      </c>
      <c r="X681" s="13" t="str">
        <f t="shared" si="75"/>
        <v/>
      </c>
      <c r="Y681" s="2">
        <f t="shared" ca="1" si="70"/>
        <v>65</v>
      </c>
      <c r="Z681" s="14">
        <v>1</v>
      </c>
      <c r="AA681" s="1" t="str">
        <f t="shared" ca="1" si="71"/>
        <v>VENCIDO</v>
      </c>
      <c r="AB681" s="1" t="str">
        <f t="shared" si="72"/>
        <v>C-14</v>
      </c>
      <c r="AC681" s="2" t="str">
        <f t="shared" si="76"/>
        <v xml:space="preserve"> CRISTINA </v>
      </c>
      <c r="AD681" s="2">
        <f t="shared" si="73"/>
        <v>15</v>
      </c>
      <c r="AE681" s="2">
        <f t="shared" ca="1" si="74"/>
        <v>-89.005646643519867</v>
      </c>
      <c r="AF681" s="15"/>
    </row>
    <row r="682" spans="1:32" hidden="1">
      <c r="A682" s="1">
        <v>9130904</v>
      </c>
      <c r="B682" s="1" t="s">
        <v>101</v>
      </c>
      <c r="C682" t="s">
        <v>643</v>
      </c>
      <c r="D682" s="2">
        <v>220195003</v>
      </c>
      <c r="E682" s="2">
        <v>922001400030</v>
      </c>
      <c r="F682" s="1" t="s">
        <v>647</v>
      </c>
      <c r="G682" s="1" t="s">
        <v>53</v>
      </c>
      <c r="H682" s="1" t="s">
        <v>1375</v>
      </c>
      <c r="I682" s="1" t="s">
        <v>1376</v>
      </c>
      <c r="J682" s="1" t="s">
        <v>261</v>
      </c>
      <c r="K682" t="s">
        <v>650</v>
      </c>
      <c r="M682" s="1" t="s">
        <v>58</v>
      </c>
      <c r="N682" s="1">
        <v>0</v>
      </c>
      <c r="O682" s="1" t="s">
        <v>105</v>
      </c>
      <c r="P682" s="186">
        <v>44896.668622685182</v>
      </c>
      <c r="R682" s="1">
        <v>4</v>
      </c>
      <c r="T682" s="1" t="s">
        <v>646</v>
      </c>
      <c r="U682" s="186">
        <v>44897.668622685182</v>
      </c>
      <c r="V682" s="1" t="s">
        <v>41</v>
      </c>
      <c r="W682" s="1" t="s">
        <v>49</v>
      </c>
      <c r="X682" s="13" t="str">
        <f t="shared" si="75"/>
        <v/>
      </c>
      <c r="Y682" s="2">
        <f t="shared" ca="1" si="70"/>
        <v>65</v>
      </c>
      <c r="Z682" s="14">
        <v>1</v>
      </c>
      <c r="AA682" s="1" t="str">
        <f t="shared" ca="1" si="71"/>
        <v>VENCIDO</v>
      </c>
      <c r="AB682" s="1" t="str">
        <f t="shared" si="72"/>
        <v>C-14</v>
      </c>
      <c r="AC682" s="2" t="str">
        <f t="shared" si="76"/>
        <v xml:space="preserve"> CRISTINA </v>
      </c>
      <c r="AD682" s="2">
        <f t="shared" si="73"/>
        <v>15</v>
      </c>
      <c r="AE682" s="2">
        <f t="shared" ca="1" si="74"/>
        <v>-89.007648958337086</v>
      </c>
      <c r="AF682" s="15"/>
    </row>
    <row r="683" spans="1:32" hidden="1">
      <c r="A683" s="1">
        <v>9130901</v>
      </c>
      <c r="B683" s="1" t="s">
        <v>101</v>
      </c>
      <c r="C683" t="s">
        <v>643</v>
      </c>
      <c r="D683" s="2">
        <v>220195001</v>
      </c>
      <c r="E683" s="2">
        <v>917001400030</v>
      </c>
      <c r="F683" s="1" t="s">
        <v>647</v>
      </c>
      <c r="G683" s="1" t="s">
        <v>53</v>
      </c>
      <c r="H683" s="1" t="s">
        <v>83</v>
      </c>
      <c r="I683" s="1" t="s">
        <v>84</v>
      </c>
      <c r="J683" s="1" t="s">
        <v>85</v>
      </c>
      <c r="K683" t="s">
        <v>650</v>
      </c>
      <c r="M683" s="1" t="s">
        <v>58</v>
      </c>
      <c r="N683" s="1">
        <v>0</v>
      </c>
      <c r="O683" s="1" t="s">
        <v>105</v>
      </c>
      <c r="P683" s="186">
        <v>44896.668437499997</v>
      </c>
      <c r="R683" s="1">
        <v>4</v>
      </c>
      <c r="T683" s="1" t="s">
        <v>646</v>
      </c>
      <c r="U683" s="186">
        <v>44897.668449074074</v>
      </c>
      <c r="V683" s="1" t="s">
        <v>41</v>
      </c>
      <c r="W683" s="1" t="s">
        <v>49</v>
      </c>
      <c r="X683" s="13" t="str">
        <f t="shared" si="75"/>
        <v/>
      </c>
      <c r="Y683" s="2">
        <f t="shared" ca="1" si="70"/>
        <v>65</v>
      </c>
      <c r="Z683" s="14">
        <v>1</v>
      </c>
      <c r="AA683" s="1" t="str">
        <f t="shared" ca="1" si="71"/>
        <v>VENCIDO</v>
      </c>
      <c r="AB683" s="1" t="str">
        <f t="shared" si="72"/>
        <v>C-14</v>
      </c>
      <c r="AC683" s="2" t="str">
        <f t="shared" si="76"/>
        <v xml:space="preserve"> RINALDO </v>
      </c>
      <c r="AD683" s="2">
        <f t="shared" si="73"/>
        <v>15</v>
      </c>
      <c r="AE683" s="2">
        <f t="shared" ca="1" si="74"/>
        <v>-89.007822569445125</v>
      </c>
      <c r="AF683" s="15"/>
    </row>
    <row r="684" spans="1:32" hidden="1">
      <c r="A684" s="1">
        <v>9130897</v>
      </c>
      <c r="B684" s="1" t="s">
        <v>101</v>
      </c>
      <c r="C684" t="s">
        <v>643</v>
      </c>
      <c r="D684" s="2">
        <v>220195329</v>
      </c>
      <c r="E684" s="2">
        <v>1664001400030</v>
      </c>
      <c r="F684" s="1" t="s">
        <v>647</v>
      </c>
      <c r="G684" s="1" t="s">
        <v>53</v>
      </c>
      <c r="H684" s="1" t="s">
        <v>307</v>
      </c>
      <c r="I684" s="1" t="s">
        <v>308</v>
      </c>
      <c r="J684" s="1" t="s">
        <v>164</v>
      </c>
      <c r="K684" t="s">
        <v>650</v>
      </c>
      <c r="M684" s="1" t="s">
        <v>58</v>
      </c>
      <c r="N684" s="1">
        <v>0</v>
      </c>
      <c r="O684" s="1" t="s">
        <v>105</v>
      </c>
      <c r="P684" s="186">
        <v>44896.668263888889</v>
      </c>
      <c r="R684" s="1">
        <v>4</v>
      </c>
      <c r="T684" s="1" t="s">
        <v>646</v>
      </c>
      <c r="U684" s="186">
        <v>44897.668263888889</v>
      </c>
      <c r="V684" s="1" t="s">
        <v>41</v>
      </c>
      <c r="W684" s="1" t="s">
        <v>49</v>
      </c>
      <c r="X684" s="13" t="str">
        <f t="shared" si="75"/>
        <v/>
      </c>
      <c r="Y684" s="2">
        <f t="shared" ca="1" si="70"/>
        <v>65</v>
      </c>
      <c r="Z684" s="14">
        <v>1</v>
      </c>
      <c r="AA684" s="1" t="str">
        <f t="shared" ca="1" si="71"/>
        <v>VENCIDO</v>
      </c>
      <c r="AB684" s="1" t="str">
        <f t="shared" si="72"/>
        <v>C-14</v>
      </c>
      <c r="AC684" s="2" t="str">
        <f t="shared" si="76"/>
        <v xml:space="preserve"> ROSEMERE </v>
      </c>
      <c r="AD684" s="2">
        <f t="shared" si="73"/>
        <v>15</v>
      </c>
      <c r="AE684" s="2">
        <f t="shared" ca="1" si="74"/>
        <v>-89.008007754629944</v>
      </c>
      <c r="AF684" s="15"/>
    </row>
    <row r="685" spans="1:32" hidden="1">
      <c r="A685" s="1">
        <v>9130892</v>
      </c>
      <c r="B685" s="1" t="s">
        <v>101</v>
      </c>
      <c r="C685" t="s">
        <v>643</v>
      </c>
      <c r="D685" s="2">
        <v>220194993</v>
      </c>
      <c r="E685" s="2">
        <v>899001400030</v>
      </c>
      <c r="F685" s="1" t="s">
        <v>647</v>
      </c>
      <c r="G685" s="1" t="s">
        <v>53</v>
      </c>
      <c r="H685" s="1" t="s">
        <v>175</v>
      </c>
      <c r="I685" s="1" t="s">
        <v>176</v>
      </c>
      <c r="J685" s="1" t="s">
        <v>90</v>
      </c>
      <c r="K685" t="s">
        <v>650</v>
      </c>
      <c r="M685" s="1" t="s">
        <v>58</v>
      </c>
      <c r="N685" s="1">
        <v>0</v>
      </c>
      <c r="O685" s="1" t="s">
        <v>36</v>
      </c>
      <c r="P685" s="186">
        <v>44896.667962962965</v>
      </c>
      <c r="R685" s="1">
        <v>4</v>
      </c>
      <c r="T685" s="1" t="s">
        <v>646</v>
      </c>
      <c r="U685" s="186">
        <v>44897.667962962965</v>
      </c>
      <c r="V685" s="1" t="s">
        <v>41</v>
      </c>
      <c r="W685" s="1" t="s">
        <v>49</v>
      </c>
      <c r="X685" s="13" t="str">
        <f t="shared" si="75"/>
        <v/>
      </c>
      <c r="Y685" s="2">
        <f t="shared" ca="1" si="70"/>
        <v>65</v>
      </c>
      <c r="Z685" s="14">
        <v>1</v>
      </c>
      <c r="AA685" s="1" t="str">
        <f t="shared" ca="1" si="71"/>
        <v>VENCIDO</v>
      </c>
      <c r="AB685" s="1" t="str">
        <f t="shared" si="72"/>
        <v>C-14</v>
      </c>
      <c r="AC685" s="2" t="str">
        <f t="shared" si="76"/>
        <v xml:space="preserve"> RINALDO </v>
      </c>
      <c r="AD685" s="2">
        <f t="shared" si="73"/>
        <v>15</v>
      </c>
      <c r="AE685" s="2">
        <f t="shared" ca="1" si="74"/>
        <v>-89.008308680553455</v>
      </c>
      <c r="AF685" s="15"/>
    </row>
    <row r="686" spans="1:32" hidden="1">
      <c r="A686" s="1">
        <v>9130879</v>
      </c>
      <c r="B686" s="1" t="s">
        <v>101</v>
      </c>
      <c r="C686" t="s">
        <v>643</v>
      </c>
      <c r="D686" s="2">
        <v>220195319</v>
      </c>
      <c r="E686" s="2">
        <v>1643001400030</v>
      </c>
      <c r="F686" s="1" t="s">
        <v>647</v>
      </c>
      <c r="G686" s="1" t="s">
        <v>53</v>
      </c>
      <c r="H686" s="1" t="s">
        <v>361</v>
      </c>
      <c r="I686" s="1" t="s">
        <v>362</v>
      </c>
      <c r="J686" s="1" t="s">
        <v>261</v>
      </c>
      <c r="K686" t="s">
        <v>650</v>
      </c>
      <c r="M686" s="1" t="s">
        <v>58</v>
      </c>
      <c r="N686" s="1">
        <v>0</v>
      </c>
      <c r="O686" s="1" t="s">
        <v>105</v>
      </c>
      <c r="P686" s="186">
        <v>44896.667164351849</v>
      </c>
      <c r="R686" s="1">
        <v>4</v>
      </c>
      <c r="T686" s="1" t="s">
        <v>646</v>
      </c>
      <c r="U686" s="186">
        <v>44897.667175925926</v>
      </c>
      <c r="V686" s="1" t="s">
        <v>41</v>
      </c>
      <c r="W686" s="1" t="s">
        <v>49</v>
      </c>
      <c r="X686" s="13" t="str">
        <f t="shared" si="75"/>
        <v/>
      </c>
      <c r="Y686" s="2">
        <f t="shared" ca="1" si="70"/>
        <v>65</v>
      </c>
      <c r="Z686" s="14">
        <v>1</v>
      </c>
      <c r="AA686" s="1" t="str">
        <f t="shared" ca="1" si="71"/>
        <v>VENCIDO</v>
      </c>
      <c r="AB686" s="1" t="str">
        <f t="shared" si="72"/>
        <v>C-14</v>
      </c>
      <c r="AC686" s="2" t="str">
        <f t="shared" si="76"/>
        <v xml:space="preserve"> CRISTINA </v>
      </c>
      <c r="AD686" s="2">
        <f t="shared" si="73"/>
        <v>15</v>
      </c>
      <c r="AE686" s="2">
        <f t="shared" ca="1" si="74"/>
        <v>-89.009095717592572</v>
      </c>
      <c r="AF686" s="15"/>
    </row>
    <row r="687" spans="1:32" hidden="1">
      <c r="A687" s="1">
        <v>9130800</v>
      </c>
      <c r="B687" s="1" t="s">
        <v>101</v>
      </c>
      <c r="C687" t="s">
        <v>643</v>
      </c>
      <c r="D687" s="2">
        <v>220194313</v>
      </c>
      <c r="E687" s="2">
        <v>5898001400010</v>
      </c>
      <c r="F687" s="1" t="s">
        <v>936</v>
      </c>
      <c r="G687" s="1" t="s">
        <v>53</v>
      </c>
      <c r="H687" s="1" t="s">
        <v>365</v>
      </c>
      <c r="I687" s="1" t="s">
        <v>366</v>
      </c>
      <c r="J687" s="1" t="s">
        <v>164</v>
      </c>
      <c r="K687" t="s">
        <v>937</v>
      </c>
      <c r="M687" s="1" t="s">
        <v>58</v>
      </c>
      <c r="N687" s="1">
        <v>0</v>
      </c>
      <c r="O687" s="1" t="s">
        <v>105</v>
      </c>
      <c r="P687" s="186">
        <v>44896.663101851853</v>
      </c>
      <c r="R687" s="1">
        <v>3</v>
      </c>
      <c r="T687" s="1" t="s">
        <v>646</v>
      </c>
      <c r="U687" s="186">
        <v>44897.663113425922</v>
      </c>
      <c r="V687" s="1" t="s">
        <v>41</v>
      </c>
      <c r="W687" s="1" t="s">
        <v>49</v>
      </c>
      <c r="X687" s="13" t="str">
        <f t="shared" si="75"/>
        <v/>
      </c>
      <c r="Y687" s="2">
        <f t="shared" ca="1" si="70"/>
        <v>65</v>
      </c>
      <c r="Z687" s="14">
        <v>1</v>
      </c>
      <c r="AA687" s="1" t="str">
        <f t="shared" ca="1" si="71"/>
        <v>VENCIDO</v>
      </c>
      <c r="AB687" s="1" t="str">
        <f t="shared" si="72"/>
        <v>C-14</v>
      </c>
      <c r="AC687" s="2" t="str">
        <f t="shared" si="76"/>
        <v xml:space="preserve"> ROSEMERE </v>
      </c>
      <c r="AD687" s="2">
        <f t="shared" si="73"/>
        <v>5</v>
      </c>
      <c r="AE687" s="2">
        <f t="shared" ca="1" si="74"/>
        <v>-89.013158217596356</v>
      </c>
      <c r="AF687" s="15"/>
    </row>
    <row r="688" spans="1:32" hidden="1">
      <c r="A688" s="1">
        <v>9130797</v>
      </c>
      <c r="B688" s="1" t="s">
        <v>101</v>
      </c>
      <c r="C688" t="s">
        <v>643</v>
      </c>
      <c r="D688" s="2">
        <v>220193787</v>
      </c>
      <c r="E688" s="2">
        <v>3108001400010</v>
      </c>
      <c r="F688" s="1" t="s">
        <v>936</v>
      </c>
      <c r="G688" s="1" t="s">
        <v>53</v>
      </c>
      <c r="H688" s="1" t="s">
        <v>325</v>
      </c>
      <c r="I688" s="1" t="s">
        <v>326</v>
      </c>
      <c r="J688" s="1" t="s">
        <v>46</v>
      </c>
      <c r="K688" t="s">
        <v>937</v>
      </c>
      <c r="M688" s="1" t="s">
        <v>58</v>
      </c>
      <c r="N688" s="1">
        <v>0</v>
      </c>
      <c r="O688" s="1" t="s">
        <v>105</v>
      </c>
      <c r="P688" s="186">
        <v>44896.662974537037</v>
      </c>
      <c r="R688" s="1">
        <v>3</v>
      </c>
      <c r="T688" s="1" t="s">
        <v>646</v>
      </c>
      <c r="U688" s="186">
        <v>44897.662974537037</v>
      </c>
      <c r="V688" s="1" t="s">
        <v>41</v>
      </c>
      <c r="W688" s="1" t="s">
        <v>49</v>
      </c>
      <c r="X688" s="13" t="str">
        <f t="shared" si="75"/>
        <v/>
      </c>
      <c r="Y688" s="2">
        <f t="shared" ca="1" si="70"/>
        <v>65</v>
      </c>
      <c r="Z688" s="14">
        <v>1</v>
      </c>
      <c r="AA688" s="1" t="str">
        <f t="shared" ca="1" si="71"/>
        <v>VENCIDO</v>
      </c>
      <c r="AB688" s="1" t="str">
        <f t="shared" si="72"/>
        <v>C-14</v>
      </c>
      <c r="AC688" s="2" t="str">
        <f t="shared" si="76"/>
        <v xml:space="preserve"> CLEITON </v>
      </c>
      <c r="AD688" s="2">
        <f t="shared" si="73"/>
        <v>5</v>
      </c>
      <c r="AE688" s="2">
        <f t="shared" ca="1" si="74"/>
        <v>-89.013297106481332</v>
      </c>
      <c r="AF688" s="15"/>
    </row>
    <row r="689" spans="1:32" hidden="1">
      <c r="A689" s="1">
        <v>9130702</v>
      </c>
      <c r="B689" s="1" t="s">
        <v>101</v>
      </c>
      <c r="C689" t="s">
        <v>643</v>
      </c>
      <c r="D689" s="2">
        <v>220197503</v>
      </c>
      <c r="E689" s="2">
        <v>2081001400040</v>
      </c>
      <c r="F689" s="1" t="s">
        <v>644</v>
      </c>
      <c r="G689" s="1" t="s">
        <v>53</v>
      </c>
      <c r="H689" s="1" t="s">
        <v>590</v>
      </c>
      <c r="I689" s="1" t="s">
        <v>591</v>
      </c>
      <c r="J689" s="1" t="s">
        <v>261</v>
      </c>
      <c r="K689" t="s">
        <v>645</v>
      </c>
      <c r="M689" s="1" t="s">
        <v>58</v>
      </c>
      <c r="N689" s="1">
        <v>0</v>
      </c>
      <c r="O689" s="1" t="s">
        <v>105</v>
      </c>
      <c r="P689" s="186">
        <v>44896.658819444441</v>
      </c>
      <c r="R689" s="1">
        <v>2</v>
      </c>
      <c r="T689" s="1" t="s">
        <v>646</v>
      </c>
      <c r="U689" s="186">
        <v>44897.658819444441</v>
      </c>
      <c r="V689" s="1" t="s">
        <v>41</v>
      </c>
      <c r="W689" s="1" t="s">
        <v>49</v>
      </c>
      <c r="X689" s="13" t="str">
        <f t="shared" si="75"/>
        <v/>
      </c>
      <c r="Y689" s="2">
        <f t="shared" ca="1" si="70"/>
        <v>65</v>
      </c>
      <c r="Z689" s="14">
        <v>1</v>
      </c>
      <c r="AA689" s="1" t="str">
        <f t="shared" ca="1" si="71"/>
        <v>VENCIDO</v>
      </c>
      <c r="AB689" s="1" t="str">
        <f t="shared" si="72"/>
        <v>SL-On</v>
      </c>
      <c r="AC689" s="2" t="str">
        <f t="shared" si="76"/>
        <v xml:space="preserve"> CRISTINA </v>
      </c>
      <c r="AD689" s="2">
        <f t="shared" si="73"/>
        <v>1</v>
      </c>
      <c r="AE689" s="2">
        <f t="shared" ca="1" si="74"/>
        <v>-89.017452199077525</v>
      </c>
      <c r="AF689" s="15"/>
    </row>
    <row r="690" spans="1:32" hidden="1">
      <c r="A690" s="1">
        <v>9130686</v>
      </c>
      <c r="B690" s="1" t="s">
        <v>101</v>
      </c>
      <c r="C690" t="s">
        <v>643</v>
      </c>
      <c r="D690" s="2">
        <v>220197392</v>
      </c>
      <c r="E690" s="2">
        <v>1643001400040</v>
      </c>
      <c r="F690" s="1" t="s">
        <v>644</v>
      </c>
      <c r="G690" s="1" t="s">
        <v>53</v>
      </c>
      <c r="H690" s="1" t="s">
        <v>361</v>
      </c>
      <c r="I690" s="1" t="s">
        <v>362</v>
      </c>
      <c r="J690" s="1" t="s">
        <v>261</v>
      </c>
      <c r="K690" t="s">
        <v>645</v>
      </c>
      <c r="M690" s="1" t="s">
        <v>58</v>
      </c>
      <c r="N690" s="1">
        <v>0</v>
      </c>
      <c r="O690" s="1" t="s">
        <v>105</v>
      </c>
      <c r="P690" s="186">
        <v>44896.657835648148</v>
      </c>
      <c r="R690" s="1">
        <v>2</v>
      </c>
      <c r="T690" s="1" t="s">
        <v>646</v>
      </c>
      <c r="U690" s="186">
        <v>44897.657835648148</v>
      </c>
      <c r="V690" s="1" t="s">
        <v>41</v>
      </c>
      <c r="W690" s="1" t="s">
        <v>49</v>
      </c>
      <c r="X690" s="13" t="str">
        <f t="shared" si="75"/>
        <v/>
      </c>
      <c r="Y690" s="2">
        <f t="shared" ca="1" si="70"/>
        <v>65</v>
      </c>
      <c r="Z690" s="14">
        <v>1</v>
      </c>
      <c r="AA690" s="1" t="str">
        <f t="shared" ca="1" si="71"/>
        <v>VENCIDO</v>
      </c>
      <c r="AB690" s="1" t="str">
        <f t="shared" si="72"/>
        <v>SL-On</v>
      </c>
      <c r="AC690" s="2" t="str">
        <f t="shared" si="76"/>
        <v xml:space="preserve"> CRISTINA </v>
      </c>
      <c r="AD690" s="2">
        <f t="shared" si="73"/>
        <v>1</v>
      </c>
      <c r="AE690" s="2">
        <f t="shared" ca="1" si="74"/>
        <v>-89.018435995370965</v>
      </c>
      <c r="AF690" s="15"/>
    </row>
    <row r="691" spans="1:32" hidden="1">
      <c r="A691" s="1">
        <v>9130671</v>
      </c>
      <c r="B691" s="1" t="s">
        <v>101</v>
      </c>
      <c r="C691" t="s">
        <v>643</v>
      </c>
      <c r="D691" s="2">
        <v>220197182</v>
      </c>
      <c r="E691" s="2">
        <v>1120001400040</v>
      </c>
      <c r="F691" s="1" t="s">
        <v>644</v>
      </c>
      <c r="G691" s="1" t="s">
        <v>53</v>
      </c>
      <c r="H691" s="1" t="s">
        <v>181</v>
      </c>
      <c r="I691" s="1" t="s">
        <v>182</v>
      </c>
      <c r="J691" s="1" t="s">
        <v>164</v>
      </c>
      <c r="K691" t="s">
        <v>645</v>
      </c>
      <c r="M691" s="1" t="s">
        <v>58</v>
      </c>
      <c r="N691" s="1">
        <v>0</v>
      </c>
      <c r="O691" s="1" t="s">
        <v>105</v>
      </c>
      <c r="P691" s="186">
        <v>44896.657141203701</v>
      </c>
      <c r="R691" s="1">
        <v>2</v>
      </c>
      <c r="T691" s="1" t="s">
        <v>646</v>
      </c>
      <c r="U691" s="186">
        <v>44897.657152777778</v>
      </c>
      <c r="V691" s="1" t="s">
        <v>41</v>
      </c>
      <c r="W691" s="1" t="s">
        <v>49</v>
      </c>
      <c r="X691" s="13" t="str">
        <f t="shared" si="75"/>
        <v/>
      </c>
      <c r="Y691" s="2">
        <f t="shared" ca="1" si="70"/>
        <v>65</v>
      </c>
      <c r="Z691" s="14">
        <v>1</v>
      </c>
      <c r="AA691" s="1" t="str">
        <f t="shared" ca="1" si="71"/>
        <v>VENCIDO</v>
      </c>
      <c r="AB691" s="1" t="str">
        <f t="shared" si="72"/>
        <v>SL-On</v>
      </c>
      <c r="AC691" s="2" t="str">
        <f t="shared" si="76"/>
        <v xml:space="preserve"> ROSEMERE </v>
      </c>
      <c r="AD691" s="2">
        <f t="shared" si="73"/>
        <v>1</v>
      </c>
      <c r="AE691" s="2">
        <f t="shared" ca="1" si="74"/>
        <v>-89.019118865740893</v>
      </c>
      <c r="AF691" s="15"/>
    </row>
    <row r="692" spans="1:32" hidden="1">
      <c r="A692" s="1">
        <v>9130635</v>
      </c>
      <c r="B692" s="1" t="s">
        <v>101</v>
      </c>
      <c r="C692" t="s">
        <v>643</v>
      </c>
      <c r="D692" s="2">
        <v>220197154</v>
      </c>
      <c r="E692" s="2">
        <v>1069001400040</v>
      </c>
      <c r="F692" s="1" t="s">
        <v>644</v>
      </c>
      <c r="G692" s="1" t="s">
        <v>53</v>
      </c>
      <c r="H692" s="1" t="s">
        <v>353</v>
      </c>
      <c r="I692" s="1" t="s">
        <v>354</v>
      </c>
      <c r="J692" s="1" t="s">
        <v>211</v>
      </c>
      <c r="K692" t="s">
        <v>645</v>
      </c>
      <c r="M692" s="1" t="s">
        <v>58</v>
      </c>
      <c r="N692" s="1">
        <v>0</v>
      </c>
      <c r="O692" s="1" t="s">
        <v>105</v>
      </c>
      <c r="P692" s="186">
        <v>44896.655428240738</v>
      </c>
      <c r="R692" s="1">
        <v>3</v>
      </c>
      <c r="T692" s="1" t="s">
        <v>646</v>
      </c>
      <c r="U692" s="186">
        <v>44897.655428240738</v>
      </c>
      <c r="V692" s="1" t="s">
        <v>41</v>
      </c>
      <c r="W692" s="1" t="s">
        <v>49</v>
      </c>
      <c r="X692" s="13" t="str">
        <f t="shared" si="75"/>
        <v/>
      </c>
      <c r="Y692" s="2">
        <f t="shared" ca="1" si="70"/>
        <v>65</v>
      </c>
      <c r="Z692" s="14">
        <v>1</v>
      </c>
      <c r="AA692" s="1" t="str">
        <f t="shared" ca="1" si="71"/>
        <v>VENCIDO</v>
      </c>
      <c r="AB692" s="1" t="str">
        <f t="shared" si="72"/>
        <v>SL-On</v>
      </c>
      <c r="AC692" s="2" t="str">
        <f t="shared" si="76"/>
        <v xml:space="preserve"> RINALDO </v>
      </c>
      <c r="AD692" s="2">
        <f t="shared" si="73"/>
        <v>1</v>
      </c>
      <c r="AE692" s="2">
        <f t="shared" ca="1" si="74"/>
        <v>-89.020843402780883</v>
      </c>
      <c r="AF692" s="15"/>
    </row>
    <row r="693" spans="1:32" hidden="1">
      <c r="A693" s="1">
        <v>9130628</v>
      </c>
      <c r="B693" s="1" t="s">
        <v>101</v>
      </c>
      <c r="C693" t="s">
        <v>643</v>
      </c>
      <c r="D693" s="2">
        <v>220197147</v>
      </c>
      <c r="E693" s="2">
        <v>1049001400040</v>
      </c>
      <c r="F693" s="1" t="s">
        <v>644</v>
      </c>
      <c r="G693" s="1" t="s">
        <v>53</v>
      </c>
      <c r="H693" s="1" t="s">
        <v>169</v>
      </c>
      <c r="I693" s="1" t="s">
        <v>170</v>
      </c>
      <c r="J693" s="1" t="s">
        <v>164</v>
      </c>
      <c r="K693" t="s">
        <v>645</v>
      </c>
      <c r="M693" s="1" t="s">
        <v>58</v>
      </c>
      <c r="N693" s="1">
        <v>0</v>
      </c>
      <c r="O693" s="1" t="s">
        <v>105</v>
      </c>
      <c r="P693" s="186">
        <v>44896.655034722222</v>
      </c>
      <c r="R693" s="1">
        <v>2</v>
      </c>
      <c r="T693" s="1" t="s">
        <v>646</v>
      </c>
      <c r="U693" s="186">
        <v>44897.655046296299</v>
      </c>
      <c r="V693" s="1" t="s">
        <v>41</v>
      </c>
      <c r="W693" s="1" t="s">
        <v>49</v>
      </c>
      <c r="X693" s="13" t="str">
        <f t="shared" si="75"/>
        <v/>
      </c>
      <c r="Y693" s="2">
        <f t="shared" ca="1" si="70"/>
        <v>65</v>
      </c>
      <c r="Z693" s="14">
        <v>1</v>
      </c>
      <c r="AA693" s="1" t="str">
        <f t="shared" ca="1" si="71"/>
        <v>VENCIDO</v>
      </c>
      <c r="AB693" s="1" t="str">
        <f t="shared" si="72"/>
        <v>SL-On</v>
      </c>
      <c r="AC693" s="2" t="str">
        <f t="shared" si="76"/>
        <v xml:space="preserve"> ROSEMERE </v>
      </c>
      <c r="AD693" s="2">
        <f t="shared" si="73"/>
        <v>1</v>
      </c>
      <c r="AE693" s="2">
        <f t="shared" ca="1" si="74"/>
        <v>-89.021225347220025</v>
      </c>
      <c r="AF693" s="15"/>
    </row>
    <row r="694" spans="1:32" hidden="1">
      <c r="A694" s="1">
        <v>9130446</v>
      </c>
      <c r="B694" s="1" t="s">
        <v>101</v>
      </c>
      <c r="C694" t="s">
        <v>643</v>
      </c>
      <c r="D694" s="2">
        <v>220197516</v>
      </c>
      <c r="E694" s="2">
        <v>2125001400040</v>
      </c>
      <c r="F694" s="1" t="s">
        <v>644</v>
      </c>
      <c r="G694" s="1" t="s">
        <v>53</v>
      </c>
      <c r="H694" s="1" t="s">
        <v>1399</v>
      </c>
      <c r="I694" s="1" t="s">
        <v>1400</v>
      </c>
      <c r="J694" s="1" t="s">
        <v>211</v>
      </c>
      <c r="K694" t="s">
        <v>645</v>
      </c>
      <c r="M694" s="1" t="s">
        <v>58</v>
      </c>
      <c r="N694" s="1">
        <v>0</v>
      </c>
      <c r="O694" s="1" t="s">
        <v>105</v>
      </c>
      <c r="P694" s="186">
        <v>44896.646354166667</v>
      </c>
      <c r="R694" s="1">
        <v>3</v>
      </c>
      <c r="T694" s="1" t="s">
        <v>646</v>
      </c>
      <c r="U694" s="186">
        <v>44897.646354166667</v>
      </c>
      <c r="V694" s="1" t="s">
        <v>41</v>
      </c>
      <c r="W694" s="1" t="s">
        <v>49</v>
      </c>
      <c r="X694" s="13" t="str">
        <f t="shared" si="75"/>
        <v/>
      </c>
      <c r="Y694" s="2">
        <f t="shared" ca="1" si="70"/>
        <v>65</v>
      </c>
      <c r="Z694" s="14">
        <v>1</v>
      </c>
      <c r="AA694" s="1" t="str">
        <f t="shared" ca="1" si="71"/>
        <v>VENCIDO</v>
      </c>
      <c r="AB694" s="1" t="str">
        <f t="shared" si="72"/>
        <v>SL-On</v>
      </c>
      <c r="AC694" s="2" t="str">
        <f t="shared" si="76"/>
        <v xml:space="preserve"> RINALDO </v>
      </c>
      <c r="AD694" s="2">
        <f t="shared" si="73"/>
        <v>1</v>
      </c>
      <c r="AE694" s="2">
        <f t="shared" ca="1" si="74"/>
        <v>-89.029917476851551</v>
      </c>
      <c r="AF694" s="15"/>
    </row>
    <row r="695" spans="1:32" hidden="1">
      <c r="A695" s="1">
        <v>9130242</v>
      </c>
      <c r="B695" s="1" t="s">
        <v>101</v>
      </c>
      <c r="C695" t="s">
        <v>643</v>
      </c>
      <c r="D695" s="2">
        <v>220195741</v>
      </c>
      <c r="E695" s="2">
        <v>3243001400030</v>
      </c>
      <c r="F695" s="1" t="s">
        <v>647</v>
      </c>
      <c r="G695" s="1" t="s">
        <v>53</v>
      </c>
      <c r="H695" s="1" t="s">
        <v>282</v>
      </c>
      <c r="I695" s="1" t="s">
        <v>283</v>
      </c>
      <c r="J695" s="1" t="s">
        <v>46</v>
      </c>
      <c r="K695" t="s">
        <v>650</v>
      </c>
      <c r="M695" s="1" t="s">
        <v>58</v>
      </c>
      <c r="N695" s="1">
        <v>0</v>
      </c>
      <c r="O695" s="1" t="s">
        <v>105</v>
      </c>
      <c r="P695" s="186">
        <v>44896.636863425927</v>
      </c>
      <c r="R695" s="1">
        <v>4</v>
      </c>
      <c r="T695" s="1" t="s">
        <v>646</v>
      </c>
      <c r="U695" s="186">
        <v>44897.636863425927</v>
      </c>
      <c r="V695" s="1" t="s">
        <v>41</v>
      </c>
      <c r="W695" s="1" t="s">
        <v>49</v>
      </c>
      <c r="X695" s="13" t="str">
        <f t="shared" si="75"/>
        <v/>
      </c>
      <c r="Y695" s="2">
        <f t="shared" ca="1" si="70"/>
        <v>65</v>
      </c>
      <c r="Z695" s="14">
        <v>1</v>
      </c>
      <c r="AA695" s="1" t="str">
        <f t="shared" ca="1" si="71"/>
        <v>VENCIDO</v>
      </c>
      <c r="AB695" s="1" t="str">
        <f t="shared" si="72"/>
        <v>C-14</v>
      </c>
      <c r="AC695" s="2" t="str">
        <f t="shared" si="76"/>
        <v xml:space="preserve"> CLEITON </v>
      </c>
      <c r="AD695" s="2">
        <f t="shared" si="73"/>
        <v>15</v>
      </c>
      <c r="AE695" s="2">
        <f t="shared" ca="1" si="74"/>
        <v>-89.039408217591699</v>
      </c>
      <c r="AF695" s="15"/>
    </row>
    <row r="696" spans="1:32" hidden="1">
      <c r="A696" s="1">
        <v>9130123</v>
      </c>
      <c r="B696" s="1" t="s">
        <v>101</v>
      </c>
      <c r="C696" t="s">
        <v>643</v>
      </c>
      <c r="D696" s="2">
        <v>220194957</v>
      </c>
      <c r="E696" s="2">
        <v>834001400030</v>
      </c>
      <c r="F696" s="1" t="s">
        <v>647</v>
      </c>
      <c r="G696" s="1" t="s">
        <v>53</v>
      </c>
      <c r="H696" s="1" t="s">
        <v>367</v>
      </c>
      <c r="I696" s="1" t="s">
        <v>368</v>
      </c>
      <c r="J696" s="1" t="s">
        <v>261</v>
      </c>
      <c r="K696" t="s">
        <v>650</v>
      </c>
      <c r="M696" s="1" t="s">
        <v>58</v>
      </c>
      <c r="N696" s="1">
        <v>0</v>
      </c>
      <c r="O696" s="1" t="s">
        <v>105</v>
      </c>
      <c r="P696" s="186">
        <v>44896.630219907405</v>
      </c>
      <c r="R696" s="1">
        <v>4</v>
      </c>
      <c r="T696" s="1" t="s">
        <v>646</v>
      </c>
      <c r="U696" s="186">
        <v>44897.630219907405</v>
      </c>
      <c r="V696" s="1" t="s">
        <v>41</v>
      </c>
      <c r="W696" s="1" t="s">
        <v>49</v>
      </c>
      <c r="X696" s="13" t="str">
        <f t="shared" si="75"/>
        <v/>
      </c>
      <c r="Y696" s="2">
        <f t="shared" ca="1" si="70"/>
        <v>65</v>
      </c>
      <c r="Z696" s="14">
        <v>1</v>
      </c>
      <c r="AA696" s="1" t="str">
        <f t="shared" ca="1" si="71"/>
        <v>VENCIDO</v>
      </c>
      <c r="AB696" s="1" t="str">
        <f t="shared" si="72"/>
        <v>C-14</v>
      </c>
      <c r="AC696" s="2" t="str">
        <f t="shared" si="76"/>
        <v xml:space="preserve"> CRISTINA </v>
      </c>
      <c r="AD696" s="2">
        <f t="shared" si="73"/>
        <v>15</v>
      </c>
      <c r="AE696" s="2">
        <f t="shared" ca="1" si="74"/>
        <v>-89.046051736113441</v>
      </c>
      <c r="AF696" s="15"/>
    </row>
    <row r="697" spans="1:32" hidden="1">
      <c r="A697" s="1">
        <v>9130118</v>
      </c>
      <c r="B697" s="1" t="s">
        <v>101</v>
      </c>
      <c r="C697" t="s">
        <v>643</v>
      </c>
      <c r="D697" s="2">
        <v>220194952</v>
      </c>
      <c r="E697" s="2">
        <v>821001400030</v>
      </c>
      <c r="F697" s="1" t="s">
        <v>647</v>
      </c>
      <c r="G697" s="1" t="s">
        <v>53</v>
      </c>
      <c r="H697" s="1" t="s">
        <v>1351</v>
      </c>
      <c r="I697" s="1" t="s">
        <v>1352</v>
      </c>
      <c r="J697" s="1" t="s">
        <v>46</v>
      </c>
      <c r="K697" t="s">
        <v>650</v>
      </c>
      <c r="M697" s="1" t="s">
        <v>58</v>
      </c>
      <c r="N697" s="1">
        <v>0</v>
      </c>
      <c r="O697" s="1" t="s">
        <v>105</v>
      </c>
      <c r="P697" s="186">
        <v>44896.629907407405</v>
      </c>
      <c r="R697" s="1">
        <v>4</v>
      </c>
      <c r="T697" s="1" t="s">
        <v>646</v>
      </c>
      <c r="U697" s="186">
        <v>44897.629907407405</v>
      </c>
      <c r="V697" s="1" t="s">
        <v>41</v>
      </c>
      <c r="W697" s="1" t="s">
        <v>49</v>
      </c>
      <c r="X697" s="13" t="str">
        <f t="shared" si="75"/>
        <v/>
      </c>
      <c r="Y697" s="2">
        <f t="shared" ca="1" si="70"/>
        <v>65</v>
      </c>
      <c r="Z697" s="14">
        <v>1</v>
      </c>
      <c r="AA697" s="1" t="str">
        <f t="shared" ca="1" si="71"/>
        <v>VENCIDO</v>
      </c>
      <c r="AB697" s="1" t="str">
        <f t="shared" si="72"/>
        <v>C-14</v>
      </c>
      <c r="AC697" s="2" t="str">
        <f t="shared" si="76"/>
        <v xml:space="preserve"> CLEITON </v>
      </c>
      <c r="AD697" s="2">
        <f t="shared" si="73"/>
        <v>15</v>
      </c>
      <c r="AE697" s="2">
        <f t="shared" ca="1" si="74"/>
        <v>-89.046364236113732</v>
      </c>
      <c r="AF697" s="15"/>
    </row>
    <row r="698" spans="1:32" hidden="1">
      <c r="A698" s="1">
        <v>9130071</v>
      </c>
      <c r="B698" s="1" t="s">
        <v>101</v>
      </c>
      <c r="C698" t="s">
        <v>643</v>
      </c>
      <c r="D698" s="2">
        <v>220194820</v>
      </c>
      <c r="E698" s="2">
        <v>608001400030</v>
      </c>
      <c r="F698" s="1" t="s">
        <v>647</v>
      </c>
      <c r="G698" s="1" t="s">
        <v>53</v>
      </c>
      <c r="H698" s="1" t="s">
        <v>438</v>
      </c>
      <c r="I698" s="1" t="s">
        <v>439</v>
      </c>
      <c r="J698" s="1" t="s">
        <v>148</v>
      </c>
      <c r="K698" t="s">
        <v>650</v>
      </c>
      <c r="M698" s="1" t="s">
        <v>58</v>
      </c>
      <c r="N698" s="1">
        <v>0</v>
      </c>
      <c r="O698" s="1" t="s">
        <v>105</v>
      </c>
      <c r="P698" s="186">
        <v>44896.627546296295</v>
      </c>
      <c r="R698" s="1">
        <v>4</v>
      </c>
      <c r="T698" s="1" t="s">
        <v>646</v>
      </c>
      <c r="U698" s="186">
        <v>44897.627557870372</v>
      </c>
      <c r="V698" s="1" t="s">
        <v>41</v>
      </c>
      <c r="W698" s="1" t="s">
        <v>49</v>
      </c>
      <c r="X698" s="13" t="str">
        <f t="shared" si="75"/>
        <v/>
      </c>
      <c r="Y698" s="2">
        <f t="shared" ca="1" si="70"/>
        <v>65</v>
      </c>
      <c r="Z698" s="14">
        <v>1</v>
      </c>
      <c r="AA698" s="1" t="str">
        <f t="shared" ca="1" si="71"/>
        <v>VENCIDO</v>
      </c>
      <c r="AB698" s="1" t="str">
        <f t="shared" si="72"/>
        <v>C-14</v>
      </c>
      <c r="AC698" s="2" t="str">
        <f t="shared" si="76"/>
        <v xml:space="preserve"> RINALDO </v>
      </c>
      <c r="AD698" s="2">
        <f t="shared" si="73"/>
        <v>15</v>
      </c>
      <c r="AE698" s="2">
        <f t="shared" ca="1" si="74"/>
        <v>-89.048713773147028</v>
      </c>
      <c r="AF698" s="15"/>
    </row>
    <row r="699" spans="1:32" hidden="1">
      <c r="A699" s="1">
        <v>9129981</v>
      </c>
      <c r="B699" s="1" t="s">
        <v>101</v>
      </c>
      <c r="C699" t="s">
        <v>643</v>
      </c>
      <c r="D699" s="2">
        <v>220194118</v>
      </c>
      <c r="E699" s="2">
        <v>4637001400010</v>
      </c>
      <c r="F699" s="1" t="s">
        <v>936</v>
      </c>
      <c r="G699" s="1" t="s">
        <v>53</v>
      </c>
      <c r="H699" s="1" t="s">
        <v>848</v>
      </c>
      <c r="I699" s="1" t="s">
        <v>849</v>
      </c>
      <c r="J699" s="1" t="s">
        <v>79</v>
      </c>
      <c r="K699" t="s">
        <v>937</v>
      </c>
      <c r="M699" s="1" t="s">
        <v>58</v>
      </c>
      <c r="N699" s="1">
        <v>0</v>
      </c>
      <c r="O699" s="1" t="s">
        <v>105</v>
      </c>
      <c r="P699" s="186">
        <v>44896.623657407406</v>
      </c>
      <c r="R699" s="1">
        <v>3</v>
      </c>
      <c r="T699" s="1" t="s">
        <v>646</v>
      </c>
      <c r="U699" s="186">
        <v>44897.623657407406</v>
      </c>
      <c r="V699" s="1" t="s">
        <v>41</v>
      </c>
      <c r="W699" s="1" t="s">
        <v>49</v>
      </c>
      <c r="X699" s="13" t="str">
        <f t="shared" si="75"/>
        <v/>
      </c>
      <c r="Y699" s="2">
        <f t="shared" ca="1" si="70"/>
        <v>65</v>
      </c>
      <c r="Z699" s="14">
        <v>1</v>
      </c>
      <c r="AA699" s="1" t="str">
        <f t="shared" ca="1" si="71"/>
        <v>VENCIDO</v>
      </c>
      <c r="AB699" s="1" t="str">
        <f t="shared" si="72"/>
        <v>C-14</v>
      </c>
      <c r="AC699" s="2" t="str">
        <f t="shared" si="76"/>
        <v xml:space="preserve"> ROSEMERE </v>
      </c>
      <c r="AD699" s="2">
        <f t="shared" si="73"/>
        <v>5</v>
      </c>
      <c r="AE699" s="2">
        <f t="shared" ca="1" si="74"/>
        <v>-89.052614236112277</v>
      </c>
      <c r="AF699" s="15"/>
    </row>
    <row r="700" spans="1:32" hidden="1">
      <c r="A700" s="1">
        <v>9129978</v>
      </c>
      <c r="B700" s="1" t="s">
        <v>101</v>
      </c>
      <c r="C700" t="s">
        <v>643</v>
      </c>
      <c r="D700" s="2">
        <v>220194116</v>
      </c>
      <c r="E700" s="2">
        <v>4623001400010</v>
      </c>
      <c r="F700" s="1" t="s">
        <v>936</v>
      </c>
      <c r="G700" s="1" t="s">
        <v>53</v>
      </c>
      <c r="H700" s="1" t="s">
        <v>669</v>
      </c>
      <c r="I700" s="1" t="s">
        <v>670</v>
      </c>
      <c r="J700" s="1" t="s">
        <v>33</v>
      </c>
      <c r="K700" t="s">
        <v>937</v>
      </c>
      <c r="M700" s="1" t="s">
        <v>58</v>
      </c>
      <c r="N700" s="1">
        <v>0</v>
      </c>
      <c r="O700" s="1" t="s">
        <v>105</v>
      </c>
      <c r="P700" s="186">
        <v>44896.623541666668</v>
      </c>
      <c r="R700" s="1">
        <v>3</v>
      </c>
      <c r="T700" s="1" t="s">
        <v>646</v>
      </c>
      <c r="U700" s="186">
        <v>44897.623541666668</v>
      </c>
      <c r="V700" s="1" t="s">
        <v>41</v>
      </c>
      <c r="W700" s="1" t="s">
        <v>42</v>
      </c>
      <c r="Z700" s="14"/>
      <c r="AC700" s="2"/>
      <c r="AE700" s="20"/>
    </row>
    <row r="701" spans="1:32" hidden="1">
      <c r="A701" s="1">
        <v>9129941</v>
      </c>
      <c r="B701" s="1" t="s">
        <v>101</v>
      </c>
      <c r="C701" t="s">
        <v>643</v>
      </c>
      <c r="D701" s="2">
        <v>220194187</v>
      </c>
      <c r="E701" s="2">
        <v>4997001400010</v>
      </c>
      <c r="F701" s="1" t="s">
        <v>936</v>
      </c>
      <c r="G701" s="1" t="s">
        <v>53</v>
      </c>
      <c r="H701" s="1" t="s">
        <v>406</v>
      </c>
      <c r="I701" s="1" t="s">
        <v>407</v>
      </c>
      <c r="J701" s="1" t="s">
        <v>79</v>
      </c>
      <c r="K701" t="s">
        <v>937</v>
      </c>
      <c r="M701" s="1" t="s">
        <v>58</v>
      </c>
      <c r="N701" s="1">
        <v>0</v>
      </c>
      <c r="O701" s="1" t="s">
        <v>105</v>
      </c>
      <c r="P701" s="186">
        <v>44896.621840277781</v>
      </c>
      <c r="R701" s="1">
        <v>3</v>
      </c>
      <c r="T701" s="1" t="s">
        <v>646</v>
      </c>
      <c r="U701" s="186">
        <v>44897.621840277781</v>
      </c>
      <c r="V701" s="1" t="s">
        <v>41</v>
      </c>
      <c r="W701" s="1" t="s">
        <v>49</v>
      </c>
      <c r="Z701" s="14"/>
      <c r="AC701" s="2"/>
      <c r="AE701" s="20"/>
    </row>
    <row r="702" spans="1:32" hidden="1">
      <c r="A702" s="1">
        <v>9129868</v>
      </c>
      <c r="B702" s="1" t="s">
        <v>101</v>
      </c>
      <c r="C702" t="s">
        <v>643</v>
      </c>
      <c r="D702" s="2">
        <v>220193412</v>
      </c>
      <c r="E702" s="2">
        <v>1643001400010</v>
      </c>
      <c r="F702" s="1" t="s">
        <v>936</v>
      </c>
      <c r="G702" s="1" t="s">
        <v>53</v>
      </c>
      <c r="H702" s="1" t="s">
        <v>361</v>
      </c>
      <c r="I702" s="1" t="s">
        <v>362</v>
      </c>
      <c r="J702" s="1" t="s">
        <v>261</v>
      </c>
      <c r="K702" t="s">
        <v>937</v>
      </c>
      <c r="M702" s="1" t="s">
        <v>58</v>
      </c>
      <c r="N702" s="1">
        <v>0</v>
      </c>
      <c r="O702" s="1" t="s">
        <v>105</v>
      </c>
      <c r="P702" s="186">
        <v>44896.618703703702</v>
      </c>
      <c r="R702" s="1">
        <v>3</v>
      </c>
      <c r="T702" s="1" t="s">
        <v>646</v>
      </c>
      <c r="U702" s="186">
        <v>44897.618703703702</v>
      </c>
      <c r="V702" s="1" t="s">
        <v>41</v>
      </c>
      <c r="W702" s="1" t="s">
        <v>49</v>
      </c>
      <c r="Z702" s="14"/>
      <c r="AC702" s="2"/>
      <c r="AE702" s="20"/>
    </row>
    <row r="703" spans="1:32" hidden="1">
      <c r="A703" s="1">
        <v>9129798</v>
      </c>
      <c r="B703" s="1" t="s">
        <v>101</v>
      </c>
      <c r="C703" t="s">
        <v>643</v>
      </c>
      <c r="D703" s="2">
        <v>220193269</v>
      </c>
      <c r="E703" s="2">
        <v>1264001400010</v>
      </c>
      <c r="F703" s="1" t="s">
        <v>936</v>
      </c>
      <c r="G703" s="1" t="s">
        <v>53</v>
      </c>
      <c r="H703" s="1" t="s">
        <v>351</v>
      </c>
      <c r="I703" s="1" t="s">
        <v>352</v>
      </c>
      <c r="J703" s="1" t="s">
        <v>110</v>
      </c>
      <c r="K703" t="s">
        <v>937</v>
      </c>
      <c r="M703" s="1" t="s">
        <v>58</v>
      </c>
      <c r="N703" s="1">
        <v>0</v>
      </c>
      <c r="O703" s="1" t="s">
        <v>105</v>
      </c>
      <c r="P703" s="186">
        <v>44896.615624999999</v>
      </c>
      <c r="R703" s="1">
        <v>3</v>
      </c>
      <c r="T703" s="1" t="s">
        <v>646</v>
      </c>
      <c r="U703" s="186">
        <v>44897.615624999999</v>
      </c>
      <c r="V703" s="1" t="s">
        <v>41</v>
      </c>
      <c r="W703" s="1" t="s">
        <v>49</v>
      </c>
      <c r="Z703" s="14"/>
      <c r="AC703" s="2"/>
      <c r="AE703" s="20"/>
    </row>
    <row r="704" spans="1:32" hidden="1">
      <c r="A704" s="1">
        <v>9129788</v>
      </c>
      <c r="B704" s="1" t="s">
        <v>101</v>
      </c>
      <c r="C704" t="s">
        <v>643</v>
      </c>
      <c r="D704" s="2">
        <v>220193262</v>
      </c>
      <c r="E704" s="2">
        <v>1245001400010</v>
      </c>
      <c r="F704" s="1" t="s">
        <v>936</v>
      </c>
      <c r="G704" s="1" t="s">
        <v>53</v>
      </c>
      <c r="H704" s="1" t="s">
        <v>408</v>
      </c>
      <c r="I704" s="1" t="s">
        <v>409</v>
      </c>
      <c r="J704" s="1" t="s">
        <v>46</v>
      </c>
      <c r="K704" t="s">
        <v>937</v>
      </c>
      <c r="M704" s="1" t="s">
        <v>58</v>
      </c>
      <c r="N704" s="1">
        <v>0</v>
      </c>
      <c r="O704" s="1" t="s">
        <v>105</v>
      </c>
      <c r="P704" s="186">
        <v>44896.61519675926</v>
      </c>
      <c r="R704" s="1">
        <v>3</v>
      </c>
      <c r="T704" s="1" t="s">
        <v>646</v>
      </c>
      <c r="U704" s="186">
        <v>44897.61519675926</v>
      </c>
      <c r="V704" s="1" t="s">
        <v>41</v>
      </c>
      <c r="W704" s="1" t="s">
        <v>49</v>
      </c>
      <c r="Z704" s="14"/>
      <c r="AC704" s="2"/>
      <c r="AE704" s="20"/>
    </row>
    <row r="705" spans="1:31" hidden="1">
      <c r="A705" s="1">
        <v>9129743</v>
      </c>
      <c r="B705" s="1" t="s">
        <v>101</v>
      </c>
      <c r="C705" t="s">
        <v>643</v>
      </c>
      <c r="D705" s="2">
        <v>220193731</v>
      </c>
      <c r="E705" s="2">
        <v>2855001400010</v>
      </c>
      <c r="F705" s="1" t="s">
        <v>936</v>
      </c>
      <c r="G705" s="1" t="s">
        <v>53</v>
      </c>
      <c r="H705" s="1" t="s">
        <v>249</v>
      </c>
      <c r="I705" s="1" t="s">
        <v>250</v>
      </c>
      <c r="J705" s="1" t="s">
        <v>56</v>
      </c>
      <c r="K705" t="s">
        <v>937</v>
      </c>
      <c r="M705" s="1" t="s">
        <v>58</v>
      </c>
      <c r="N705" s="1">
        <v>0</v>
      </c>
      <c r="O705" s="1" t="s">
        <v>105</v>
      </c>
      <c r="P705" s="186">
        <v>44896.61341435185</v>
      </c>
      <c r="R705" s="1">
        <v>3</v>
      </c>
      <c r="T705" s="1" t="s">
        <v>646</v>
      </c>
      <c r="U705" s="186">
        <v>44897.61341435185</v>
      </c>
      <c r="V705" s="1" t="s">
        <v>41</v>
      </c>
      <c r="W705" s="1" t="s">
        <v>49</v>
      </c>
      <c r="Z705" s="14"/>
      <c r="AC705" s="2"/>
      <c r="AE705" s="20"/>
    </row>
    <row r="706" spans="1:31" hidden="1">
      <c r="A706" s="1">
        <v>9129736</v>
      </c>
      <c r="B706" s="1" t="s">
        <v>101</v>
      </c>
      <c r="C706" t="s">
        <v>643</v>
      </c>
      <c r="D706" s="2">
        <v>220193724</v>
      </c>
      <c r="E706" s="2">
        <v>2830001400010</v>
      </c>
      <c r="F706" s="1" t="s">
        <v>936</v>
      </c>
      <c r="G706" s="1" t="s">
        <v>53</v>
      </c>
      <c r="H706" s="1" t="s">
        <v>448</v>
      </c>
      <c r="I706" s="1" t="s">
        <v>449</v>
      </c>
      <c r="J706" s="1" t="s">
        <v>33</v>
      </c>
      <c r="K706" t="s">
        <v>937</v>
      </c>
      <c r="M706" s="1" t="s">
        <v>58</v>
      </c>
      <c r="N706" s="1">
        <v>0</v>
      </c>
      <c r="O706" s="1" t="s">
        <v>105</v>
      </c>
      <c r="P706" s="186">
        <v>44896.613055555557</v>
      </c>
      <c r="R706" s="1">
        <v>3</v>
      </c>
      <c r="T706" s="1" t="s">
        <v>646</v>
      </c>
      <c r="U706" s="186">
        <v>44897.613055555557</v>
      </c>
      <c r="V706" s="1" t="s">
        <v>41</v>
      </c>
      <c r="W706" s="1" t="s">
        <v>42</v>
      </c>
      <c r="Z706" s="14"/>
      <c r="AC706" s="20"/>
      <c r="AE706" s="20"/>
    </row>
    <row r="707" spans="1:31" hidden="1">
      <c r="A707" s="1">
        <v>9129707</v>
      </c>
      <c r="B707" s="1" t="s">
        <v>101</v>
      </c>
      <c r="C707" t="s">
        <v>643</v>
      </c>
      <c r="D707" s="2">
        <v>220193132</v>
      </c>
      <c r="E707" s="2">
        <v>981001400010</v>
      </c>
      <c r="F707" s="1" t="s">
        <v>936</v>
      </c>
      <c r="G707" s="1" t="s">
        <v>53</v>
      </c>
      <c r="H707" s="1" t="s">
        <v>410</v>
      </c>
      <c r="I707" s="1" t="s">
        <v>411</v>
      </c>
      <c r="J707" s="1" t="s">
        <v>85</v>
      </c>
      <c r="K707" t="s">
        <v>937</v>
      </c>
      <c r="M707" s="1" t="s">
        <v>58</v>
      </c>
      <c r="N707" s="1">
        <v>0</v>
      </c>
      <c r="O707" s="1" t="s">
        <v>105</v>
      </c>
      <c r="P707" s="186">
        <v>44896.611238425925</v>
      </c>
      <c r="R707" s="1">
        <v>3</v>
      </c>
      <c r="T707" s="1" t="s">
        <v>646</v>
      </c>
      <c r="U707" s="186">
        <v>44897.611238425925</v>
      </c>
      <c r="V707" s="1" t="s">
        <v>41</v>
      </c>
      <c r="W707" s="1" t="s">
        <v>49</v>
      </c>
      <c r="Z707" s="14"/>
      <c r="AC707" s="20"/>
      <c r="AE707" s="20"/>
    </row>
    <row r="708" spans="1:31" hidden="1">
      <c r="A708" s="1">
        <v>9129576</v>
      </c>
      <c r="B708" s="1" t="s">
        <v>101</v>
      </c>
      <c r="C708" t="s">
        <v>643</v>
      </c>
      <c r="D708" s="2">
        <v>220198413</v>
      </c>
      <c r="E708" s="2">
        <v>1943001400040</v>
      </c>
      <c r="F708" s="1" t="s">
        <v>644</v>
      </c>
      <c r="G708" s="1" t="s">
        <v>53</v>
      </c>
      <c r="H708" s="1" t="s">
        <v>264</v>
      </c>
      <c r="I708" s="1" t="s">
        <v>265</v>
      </c>
      <c r="J708" s="1" t="s">
        <v>56</v>
      </c>
      <c r="K708" t="s">
        <v>645</v>
      </c>
      <c r="M708" s="1" t="s">
        <v>58</v>
      </c>
      <c r="N708" s="1">
        <v>0</v>
      </c>
      <c r="O708" s="1" t="s">
        <v>105</v>
      </c>
      <c r="P708" s="186">
        <v>44896.605173611111</v>
      </c>
      <c r="R708" s="1">
        <v>2</v>
      </c>
      <c r="T708" s="1" t="s">
        <v>646</v>
      </c>
      <c r="U708" s="186">
        <v>44897.605185185188</v>
      </c>
      <c r="V708" s="1" t="s">
        <v>41</v>
      </c>
      <c r="W708" s="1" t="s">
        <v>49</v>
      </c>
      <c r="Z708" s="14"/>
      <c r="AC708" s="20"/>
      <c r="AE708" s="20"/>
    </row>
    <row r="709" spans="1:31" hidden="1">
      <c r="A709" s="1">
        <v>9129532</v>
      </c>
      <c r="B709" s="1" t="s">
        <v>101</v>
      </c>
      <c r="C709" t="s">
        <v>643</v>
      </c>
      <c r="D709" s="2">
        <v>220198370</v>
      </c>
      <c r="E709" s="2">
        <v>5898001400040</v>
      </c>
      <c r="F709" s="1" t="s">
        <v>644</v>
      </c>
      <c r="G709" s="1" t="s">
        <v>53</v>
      </c>
      <c r="H709" s="1" t="s">
        <v>365</v>
      </c>
      <c r="I709" s="1" t="s">
        <v>366</v>
      </c>
      <c r="J709" s="1" t="s">
        <v>164</v>
      </c>
      <c r="K709" t="s">
        <v>645</v>
      </c>
      <c r="M709" s="1" t="s">
        <v>58</v>
      </c>
      <c r="N709" s="1">
        <v>0</v>
      </c>
      <c r="O709" s="1" t="s">
        <v>105</v>
      </c>
      <c r="P709" s="186">
        <v>44896.602442129632</v>
      </c>
      <c r="R709" s="1">
        <v>2</v>
      </c>
      <c r="T709" s="1" t="s">
        <v>646</v>
      </c>
      <c r="U709" s="186">
        <v>44897.602453703701</v>
      </c>
      <c r="V709" s="1" t="s">
        <v>41</v>
      </c>
      <c r="W709" s="1" t="s">
        <v>49</v>
      </c>
      <c r="Z709" s="14"/>
      <c r="AC709" s="20"/>
      <c r="AE709" s="20"/>
    </row>
    <row r="710" spans="1:31" hidden="1">
      <c r="A710" s="1">
        <v>9129469</v>
      </c>
      <c r="B710" s="1" t="s">
        <v>101</v>
      </c>
      <c r="C710" t="s">
        <v>643</v>
      </c>
      <c r="D710" s="2">
        <v>220198152</v>
      </c>
      <c r="E710" s="2">
        <v>4637001400040</v>
      </c>
      <c r="F710" s="1" t="s">
        <v>644</v>
      </c>
      <c r="G710" s="1" t="s">
        <v>53</v>
      </c>
      <c r="H710" s="1" t="s">
        <v>848</v>
      </c>
      <c r="I710" s="1" t="s">
        <v>849</v>
      </c>
      <c r="J710" s="1" t="s">
        <v>79</v>
      </c>
      <c r="K710" t="s">
        <v>645</v>
      </c>
      <c r="M710" s="1" t="s">
        <v>58</v>
      </c>
      <c r="N710" s="1">
        <v>0</v>
      </c>
      <c r="O710" s="1" t="s">
        <v>105</v>
      </c>
      <c r="P710" s="186">
        <v>44896.599282407406</v>
      </c>
      <c r="R710" s="1">
        <v>3</v>
      </c>
      <c r="T710" s="1" t="s">
        <v>646</v>
      </c>
      <c r="U710" s="186">
        <v>44897.599282407406</v>
      </c>
      <c r="V710" s="1" t="s">
        <v>41</v>
      </c>
      <c r="W710" s="1" t="s">
        <v>49</v>
      </c>
      <c r="Z710" s="14"/>
      <c r="AC710" s="20"/>
      <c r="AE710" s="20"/>
    </row>
    <row r="711" spans="1:31" hidden="1">
      <c r="A711" s="1">
        <v>9129466</v>
      </c>
      <c r="B711" s="1" t="s">
        <v>101</v>
      </c>
      <c r="C711" t="s">
        <v>643</v>
      </c>
      <c r="D711" s="2">
        <v>220198149</v>
      </c>
      <c r="E711" s="2">
        <v>4623001400040</v>
      </c>
      <c r="F711" s="1" t="s">
        <v>644</v>
      </c>
      <c r="G711" s="1" t="s">
        <v>53</v>
      </c>
      <c r="H711" s="1" t="s">
        <v>669</v>
      </c>
      <c r="I711" s="1" t="s">
        <v>670</v>
      </c>
      <c r="J711" s="1" t="s">
        <v>33</v>
      </c>
      <c r="K711" t="s">
        <v>645</v>
      </c>
      <c r="M711" s="1" t="s">
        <v>58</v>
      </c>
      <c r="N711" s="1">
        <v>0</v>
      </c>
      <c r="O711" s="1" t="s">
        <v>105</v>
      </c>
      <c r="P711" s="186">
        <v>44896.599108796298</v>
      </c>
      <c r="R711" s="1">
        <v>2</v>
      </c>
      <c r="T711" s="1" t="s">
        <v>646</v>
      </c>
      <c r="U711" s="186">
        <v>44897.599120370367</v>
      </c>
      <c r="V711" s="1" t="s">
        <v>41</v>
      </c>
      <c r="W711" s="1" t="s">
        <v>42</v>
      </c>
      <c r="Z711" s="14"/>
      <c r="AC711" s="20"/>
      <c r="AE711" s="20"/>
    </row>
    <row r="712" spans="1:31" hidden="1">
      <c r="A712" s="1">
        <v>9129293</v>
      </c>
      <c r="B712" s="1" t="s">
        <v>101</v>
      </c>
      <c r="C712" t="s">
        <v>643</v>
      </c>
      <c r="D712" s="2">
        <v>220197353</v>
      </c>
      <c r="E712" s="2">
        <v>1509001400040</v>
      </c>
      <c r="F712" s="1" t="s">
        <v>644</v>
      </c>
      <c r="G712" s="1" t="s">
        <v>53</v>
      </c>
      <c r="H712" s="1" t="s">
        <v>731</v>
      </c>
      <c r="I712" s="1" t="s">
        <v>732</v>
      </c>
      <c r="J712" s="1" t="s">
        <v>46</v>
      </c>
      <c r="K712" t="s">
        <v>645</v>
      </c>
      <c r="M712" s="1" t="s">
        <v>58</v>
      </c>
      <c r="N712" s="1">
        <v>0</v>
      </c>
      <c r="O712" s="1" t="s">
        <v>105</v>
      </c>
      <c r="P712" s="186">
        <v>44896.590925925928</v>
      </c>
      <c r="R712" s="1">
        <v>3</v>
      </c>
      <c r="T712" s="1" t="s">
        <v>646</v>
      </c>
      <c r="U712" s="186">
        <v>44897.590925925928</v>
      </c>
      <c r="V712" s="1" t="s">
        <v>41</v>
      </c>
      <c r="W712" s="1" t="s">
        <v>49</v>
      </c>
      <c r="Z712" s="14"/>
      <c r="AC712" s="20"/>
      <c r="AE712" s="20"/>
    </row>
    <row r="713" spans="1:31" hidden="1">
      <c r="A713" s="1">
        <v>9129253</v>
      </c>
      <c r="B713" s="1" t="s">
        <v>101</v>
      </c>
      <c r="C713" t="s">
        <v>643</v>
      </c>
      <c r="D713" s="2">
        <v>220197205</v>
      </c>
      <c r="E713" s="2">
        <v>1162001400040</v>
      </c>
      <c r="F713" s="1" t="s">
        <v>644</v>
      </c>
      <c r="G713" s="1" t="s">
        <v>53</v>
      </c>
      <c r="H713" s="1" t="s">
        <v>280</v>
      </c>
      <c r="I713" s="1" t="s">
        <v>281</v>
      </c>
      <c r="J713" s="1" t="s">
        <v>211</v>
      </c>
      <c r="K713" t="s">
        <v>645</v>
      </c>
      <c r="M713" s="1" t="s">
        <v>58</v>
      </c>
      <c r="N713" s="1">
        <v>0</v>
      </c>
      <c r="O713" s="1" t="s">
        <v>105</v>
      </c>
      <c r="P713" s="186">
        <v>44896.588958333334</v>
      </c>
      <c r="R713" s="1">
        <v>3</v>
      </c>
      <c r="T713" s="1" t="s">
        <v>646</v>
      </c>
      <c r="U713" s="186">
        <v>44897.588958333334</v>
      </c>
      <c r="V713" s="1" t="s">
        <v>41</v>
      </c>
      <c r="W713" s="1" t="s">
        <v>49</v>
      </c>
      <c r="Z713" s="14"/>
      <c r="AC713" s="20"/>
      <c r="AE713" s="20"/>
    </row>
    <row r="714" spans="1:31" hidden="1">
      <c r="A714" s="1">
        <v>9129235</v>
      </c>
      <c r="B714" s="1" t="s">
        <v>101</v>
      </c>
      <c r="C714" t="s">
        <v>643</v>
      </c>
      <c r="D714" s="2">
        <v>220197191</v>
      </c>
      <c r="E714" s="2">
        <v>1138001400040</v>
      </c>
      <c r="F714" s="1" t="s">
        <v>644</v>
      </c>
      <c r="G714" s="1" t="s">
        <v>53</v>
      </c>
      <c r="H714" s="1" t="s">
        <v>548</v>
      </c>
      <c r="I714" s="1" t="s">
        <v>549</v>
      </c>
      <c r="J714" s="1" t="s">
        <v>46</v>
      </c>
      <c r="K714" t="s">
        <v>645</v>
      </c>
      <c r="M714" s="1" t="s">
        <v>58</v>
      </c>
      <c r="N714" s="1">
        <v>0</v>
      </c>
      <c r="O714" s="1" t="s">
        <v>105</v>
      </c>
      <c r="P714" s="186">
        <v>44896.588101851848</v>
      </c>
      <c r="R714" s="1">
        <v>2</v>
      </c>
      <c r="T714" s="1" t="s">
        <v>646</v>
      </c>
      <c r="U714" s="186">
        <v>44897.588113425925</v>
      </c>
      <c r="V714" s="1" t="s">
        <v>41</v>
      </c>
      <c r="W714" s="1" t="s">
        <v>49</v>
      </c>
      <c r="Z714" s="14"/>
      <c r="AA714" s="14"/>
      <c r="AC714" s="1"/>
      <c r="AE714" s="1"/>
    </row>
    <row r="715" spans="1:31" hidden="1">
      <c r="A715" s="1">
        <v>9129192</v>
      </c>
      <c r="B715" s="1" t="s">
        <v>101</v>
      </c>
      <c r="C715" t="s">
        <v>643</v>
      </c>
      <c r="D715" s="2">
        <v>220197715</v>
      </c>
      <c r="E715" s="2">
        <v>2830001400040</v>
      </c>
      <c r="F715" s="1" t="s">
        <v>644</v>
      </c>
      <c r="G715" s="1" t="s">
        <v>53</v>
      </c>
      <c r="H715" s="1" t="s">
        <v>448</v>
      </c>
      <c r="I715" s="1" t="s">
        <v>449</v>
      </c>
      <c r="J715" s="1" t="s">
        <v>33</v>
      </c>
      <c r="K715" t="s">
        <v>645</v>
      </c>
      <c r="M715" s="1" t="s">
        <v>58</v>
      </c>
      <c r="N715" s="1">
        <v>0</v>
      </c>
      <c r="O715" s="1" t="s">
        <v>105</v>
      </c>
      <c r="P715" s="186">
        <v>44896.585763888892</v>
      </c>
      <c r="R715" s="1">
        <v>2</v>
      </c>
      <c r="T715" s="1" t="s">
        <v>646</v>
      </c>
      <c r="U715" s="186">
        <v>44897.585775462961</v>
      </c>
      <c r="V715" s="1" t="s">
        <v>41</v>
      </c>
      <c r="W715" s="1" t="s">
        <v>42</v>
      </c>
      <c r="Z715" s="14"/>
      <c r="AA715" s="14"/>
      <c r="AC715" s="1"/>
      <c r="AE715" s="1"/>
    </row>
    <row r="716" spans="1:31" hidden="1">
      <c r="A716" s="1">
        <v>9129186</v>
      </c>
      <c r="B716" s="1" t="s">
        <v>101</v>
      </c>
      <c r="C716" t="s">
        <v>643</v>
      </c>
      <c r="D716" s="2">
        <v>220197710</v>
      </c>
      <c r="E716" s="2">
        <v>2802001400040</v>
      </c>
      <c r="F716" s="1" t="s">
        <v>644</v>
      </c>
      <c r="G716" s="1" t="s">
        <v>53</v>
      </c>
      <c r="H716" s="1" t="s">
        <v>388</v>
      </c>
      <c r="I716" s="1" t="s">
        <v>389</v>
      </c>
      <c r="J716" s="1" t="s">
        <v>46</v>
      </c>
      <c r="K716" t="s">
        <v>645</v>
      </c>
      <c r="M716" s="1" t="s">
        <v>58</v>
      </c>
      <c r="N716" s="1">
        <v>0</v>
      </c>
      <c r="O716" s="1" t="s">
        <v>105</v>
      </c>
      <c r="P716" s="186">
        <v>44896.585370370369</v>
      </c>
      <c r="R716" s="1">
        <v>3</v>
      </c>
      <c r="T716" s="1" t="s">
        <v>646</v>
      </c>
      <c r="U716" s="186">
        <v>44897.585370370369</v>
      </c>
      <c r="V716" s="1" t="s">
        <v>41</v>
      </c>
      <c r="W716" s="1" t="s">
        <v>49</v>
      </c>
      <c r="Z716" s="14"/>
      <c r="AA716" s="14"/>
      <c r="AC716" s="1"/>
      <c r="AE716" s="1"/>
    </row>
    <row r="717" spans="1:31" hidden="1">
      <c r="A717" s="1">
        <v>9129147</v>
      </c>
      <c r="B717" s="1" t="s">
        <v>101</v>
      </c>
      <c r="C717" t="s">
        <v>643</v>
      </c>
      <c r="D717" s="2">
        <v>220197682</v>
      </c>
      <c r="E717" s="2">
        <v>2693001400040</v>
      </c>
      <c r="F717" s="1" t="s">
        <v>644</v>
      </c>
      <c r="G717" s="1" t="s">
        <v>53</v>
      </c>
      <c r="H717" s="1" t="s">
        <v>253</v>
      </c>
      <c r="I717" s="1" t="s">
        <v>254</v>
      </c>
      <c r="J717" s="1" t="s">
        <v>56</v>
      </c>
      <c r="K717" t="s">
        <v>645</v>
      </c>
      <c r="M717" s="1" t="s">
        <v>58</v>
      </c>
      <c r="N717" s="1">
        <v>0</v>
      </c>
      <c r="O717" s="1" t="s">
        <v>105</v>
      </c>
      <c r="P717" s="186">
        <v>44896.583495370367</v>
      </c>
      <c r="R717" s="1">
        <v>2</v>
      </c>
      <c r="T717" s="1" t="s">
        <v>646</v>
      </c>
      <c r="U717" s="186">
        <v>44897.583506944444</v>
      </c>
      <c r="V717" s="1" t="s">
        <v>41</v>
      </c>
      <c r="W717" s="1" t="s">
        <v>49</v>
      </c>
      <c r="Z717" s="14"/>
      <c r="AA717" s="14"/>
      <c r="AC717" s="1"/>
      <c r="AE717" s="1"/>
    </row>
    <row r="718" spans="1:31" hidden="1">
      <c r="A718" s="1">
        <v>9129072</v>
      </c>
      <c r="B718" s="1" t="s">
        <v>101</v>
      </c>
      <c r="C718" t="s">
        <v>643</v>
      </c>
      <c r="D718" s="2">
        <v>220197722</v>
      </c>
      <c r="E718" s="2">
        <v>2855001400040</v>
      </c>
      <c r="F718" s="1" t="s">
        <v>644</v>
      </c>
      <c r="G718" s="1" t="s">
        <v>53</v>
      </c>
      <c r="H718" s="1" t="s">
        <v>249</v>
      </c>
      <c r="I718" s="1" t="s">
        <v>250</v>
      </c>
      <c r="J718" s="1" t="s">
        <v>56</v>
      </c>
      <c r="K718" t="s">
        <v>645</v>
      </c>
      <c r="M718" s="1" t="s">
        <v>58</v>
      </c>
      <c r="N718" s="1">
        <v>0</v>
      </c>
      <c r="O718" s="1" t="s">
        <v>105</v>
      </c>
      <c r="P718" s="186">
        <v>44896.580439814818</v>
      </c>
      <c r="R718" s="1">
        <v>2</v>
      </c>
      <c r="T718" s="1" t="s">
        <v>646</v>
      </c>
      <c r="U718" s="186">
        <v>44897.580451388887</v>
      </c>
      <c r="V718" s="1" t="s">
        <v>41</v>
      </c>
      <c r="W718" s="1" t="s">
        <v>49</v>
      </c>
      <c r="Z718" s="14"/>
      <c r="AA718" s="14"/>
      <c r="AC718" s="1"/>
      <c r="AE718" s="1"/>
    </row>
    <row r="719" spans="1:31" hidden="1">
      <c r="A719" s="1">
        <v>9129043</v>
      </c>
      <c r="B719" s="1" t="s">
        <v>101</v>
      </c>
      <c r="C719" t="s">
        <v>643</v>
      </c>
      <c r="D719" s="2">
        <v>220196970</v>
      </c>
      <c r="E719" s="2">
        <v>710001400040</v>
      </c>
      <c r="F719" s="1" t="s">
        <v>644</v>
      </c>
      <c r="G719" s="1" t="s">
        <v>53</v>
      </c>
      <c r="H719" s="1" t="s">
        <v>390</v>
      </c>
      <c r="I719" s="1" t="s">
        <v>391</v>
      </c>
      <c r="J719" s="1" t="s">
        <v>56</v>
      </c>
      <c r="K719" t="s">
        <v>645</v>
      </c>
      <c r="M719" s="1" t="s">
        <v>58</v>
      </c>
      <c r="N719" s="1">
        <v>0</v>
      </c>
      <c r="O719" s="1" t="s">
        <v>105</v>
      </c>
      <c r="P719" s="186">
        <v>44896.579571759263</v>
      </c>
      <c r="R719" s="1">
        <v>2</v>
      </c>
      <c r="T719" s="1" t="s">
        <v>646</v>
      </c>
      <c r="U719" s="186">
        <v>44897.579583333332</v>
      </c>
      <c r="V719" s="1" t="s">
        <v>41</v>
      </c>
      <c r="W719" s="1" t="s">
        <v>49</v>
      </c>
      <c r="Z719" s="14"/>
      <c r="AA719" s="14"/>
      <c r="AC719" s="1"/>
      <c r="AE719" s="1"/>
    </row>
    <row r="720" spans="1:31" hidden="1">
      <c r="A720" s="1">
        <v>9128854</v>
      </c>
      <c r="B720" s="1" t="s">
        <v>101</v>
      </c>
      <c r="C720" t="s">
        <v>643</v>
      </c>
      <c r="D720" s="2">
        <v>220196470</v>
      </c>
      <c r="E720" s="2">
        <v>8259001400030</v>
      </c>
      <c r="F720" s="1" t="s">
        <v>647</v>
      </c>
      <c r="G720" s="1" t="s">
        <v>53</v>
      </c>
      <c r="H720" s="1" t="s">
        <v>245</v>
      </c>
      <c r="I720" s="1" t="s">
        <v>246</v>
      </c>
      <c r="J720" s="1" t="s">
        <v>56</v>
      </c>
      <c r="K720" t="s">
        <v>650</v>
      </c>
      <c r="M720" s="1" t="s">
        <v>58</v>
      </c>
      <c r="N720" s="1">
        <v>0</v>
      </c>
      <c r="O720" s="1" t="s">
        <v>105</v>
      </c>
      <c r="P720" s="186">
        <v>44896.569606481484</v>
      </c>
      <c r="R720" s="1">
        <v>4</v>
      </c>
      <c r="T720" s="1" t="s">
        <v>646</v>
      </c>
      <c r="U720" s="186">
        <v>44897.569606481484</v>
      </c>
      <c r="V720" s="1" t="s">
        <v>41</v>
      </c>
      <c r="W720" s="1" t="s">
        <v>49</v>
      </c>
      <c r="Z720" s="14"/>
      <c r="AA720" s="14"/>
      <c r="AC720" s="1"/>
      <c r="AE720" s="1"/>
    </row>
    <row r="721" spans="1:31" hidden="1">
      <c r="A721" s="1">
        <v>9128754</v>
      </c>
      <c r="B721" s="1" t="s">
        <v>101</v>
      </c>
      <c r="C721" t="s">
        <v>643</v>
      </c>
      <c r="D721" s="2">
        <v>220196094</v>
      </c>
      <c r="E721" s="2">
        <v>4623001400030</v>
      </c>
      <c r="F721" s="1" t="s">
        <v>647</v>
      </c>
      <c r="G721" s="1" t="s">
        <v>53</v>
      </c>
      <c r="H721" s="1" t="s">
        <v>669</v>
      </c>
      <c r="I721" s="1" t="s">
        <v>670</v>
      </c>
      <c r="J721" s="1" t="s">
        <v>33</v>
      </c>
      <c r="K721" t="s">
        <v>650</v>
      </c>
      <c r="M721" s="1" t="s">
        <v>58</v>
      </c>
      <c r="N721" s="1">
        <v>0</v>
      </c>
      <c r="O721" s="1" t="s">
        <v>105</v>
      </c>
      <c r="P721" s="186">
        <v>44896.566134259258</v>
      </c>
      <c r="R721" s="1">
        <v>4</v>
      </c>
      <c r="T721" s="1" t="s">
        <v>646</v>
      </c>
      <c r="U721" s="186">
        <v>44897.566145833334</v>
      </c>
      <c r="V721" s="1" t="s">
        <v>41</v>
      </c>
      <c r="W721" s="1" t="s">
        <v>42</v>
      </c>
      <c r="Z721" s="14"/>
      <c r="AA721" s="14"/>
      <c r="AC721" s="1"/>
      <c r="AE721" s="1"/>
    </row>
    <row r="722" spans="1:31" hidden="1">
      <c r="A722" s="1">
        <v>9128723</v>
      </c>
      <c r="B722" s="1" t="s">
        <v>101</v>
      </c>
      <c r="C722" t="s">
        <v>643</v>
      </c>
      <c r="D722" s="2">
        <v>220196098</v>
      </c>
      <c r="E722" s="2">
        <v>4637001400030</v>
      </c>
      <c r="F722" s="1" t="s">
        <v>647</v>
      </c>
      <c r="G722" s="1" t="s">
        <v>53</v>
      </c>
      <c r="H722" s="1" t="s">
        <v>848</v>
      </c>
      <c r="I722" s="1" t="s">
        <v>849</v>
      </c>
      <c r="J722" s="1" t="s">
        <v>79</v>
      </c>
      <c r="K722" t="s">
        <v>650</v>
      </c>
      <c r="M722" s="1" t="s">
        <v>58</v>
      </c>
      <c r="N722" s="1">
        <v>0</v>
      </c>
      <c r="O722" s="1" t="s">
        <v>105</v>
      </c>
      <c r="P722" s="186">
        <v>44896.564293981479</v>
      </c>
      <c r="R722" s="1">
        <v>4</v>
      </c>
      <c r="T722" s="1" t="s">
        <v>646</v>
      </c>
      <c r="U722" s="186">
        <v>44897.564305555556</v>
      </c>
      <c r="V722" s="1" t="s">
        <v>41</v>
      </c>
      <c r="W722" s="1" t="s">
        <v>49</v>
      </c>
      <c r="Z722" s="14"/>
      <c r="AA722" s="14"/>
      <c r="AC722" s="1"/>
      <c r="AE722" s="1"/>
    </row>
    <row r="723" spans="1:31" hidden="1">
      <c r="A723" s="1">
        <v>9128704</v>
      </c>
      <c r="B723" s="1" t="s">
        <v>101</v>
      </c>
      <c r="C723" t="s">
        <v>643</v>
      </c>
      <c r="D723" s="2">
        <v>220195914</v>
      </c>
      <c r="E723" s="2">
        <v>4012001400030</v>
      </c>
      <c r="F723" s="1" t="s">
        <v>647</v>
      </c>
      <c r="G723" s="1" t="s">
        <v>53</v>
      </c>
      <c r="H723" s="1" t="s">
        <v>349</v>
      </c>
      <c r="I723" s="1" t="s">
        <v>350</v>
      </c>
      <c r="J723" s="1" t="s">
        <v>261</v>
      </c>
      <c r="K723" t="s">
        <v>650</v>
      </c>
      <c r="M723" s="1" t="s">
        <v>58</v>
      </c>
      <c r="N723" s="1">
        <v>0</v>
      </c>
      <c r="O723" s="1" t="s">
        <v>105</v>
      </c>
      <c r="P723" s="186">
        <v>44896.563391203701</v>
      </c>
      <c r="R723" s="1">
        <v>4</v>
      </c>
      <c r="T723" s="1" t="s">
        <v>646</v>
      </c>
      <c r="U723" s="186">
        <v>44897.563391203701</v>
      </c>
      <c r="V723" s="1" t="s">
        <v>41</v>
      </c>
      <c r="W723" s="1" t="s">
        <v>49</v>
      </c>
      <c r="Z723" s="14"/>
      <c r="AA723" s="14"/>
      <c r="AC723" s="21"/>
      <c r="AE723" s="21"/>
    </row>
    <row r="724" spans="1:31" hidden="1">
      <c r="A724" s="1">
        <v>9128584</v>
      </c>
      <c r="B724" s="1" t="s">
        <v>101</v>
      </c>
      <c r="C724" t="s">
        <v>643</v>
      </c>
      <c r="D724" s="2">
        <v>220195562</v>
      </c>
      <c r="E724" s="2">
        <v>2529001400030</v>
      </c>
      <c r="F724" s="1" t="s">
        <v>647</v>
      </c>
      <c r="G724" s="1" t="s">
        <v>53</v>
      </c>
      <c r="H724" s="1" t="s">
        <v>355</v>
      </c>
      <c r="I724" s="1" t="s">
        <v>356</v>
      </c>
      <c r="J724" s="1" t="s">
        <v>56</v>
      </c>
      <c r="K724" t="s">
        <v>650</v>
      </c>
      <c r="M724" s="1" t="s">
        <v>58</v>
      </c>
      <c r="N724" s="1">
        <v>0</v>
      </c>
      <c r="O724" s="1" t="s">
        <v>105</v>
      </c>
      <c r="P724" s="186">
        <v>44896.558148148149</v>
      </c>
      <c r="R724" s="1">
        <v>4</v>
      </c>
      <c r="T724" s="1" t="s">
        <v>646</v>
      </c>
      <c r="U724" s="186">
        <v>44897.558148148149</v>
      </c>
      <c r="V724" s="1" t="s">
        <v>41</v>
      </c>
      <c r="W724" s="1" t="s">
        <v>49</v>
      </c>
      <c r="Z724" s="14"/>
      <c r="AA724" s="14"/>
      <c r="AC724" s="21"/>
      <c r="AE724" s="21"/>
    </row>
    <row r="725" spans="1:31" hidden="1">
      <c r="A725" s="1">
        <v>9128556</v>
      </c>
      <c r="B725" s="1" t="s">
        <v>101</v>
      </c>
      <c r="C725" t="s">
        <v>643</v>
      </c>
      <c r="D725" s="2">
        <v>220195542</v>
      </c>
      <c r="E725" s="2">
        <v>2473001400030</v>
      </c>
      <c r="F725" s="1" t="s">
        <v>647</v>
      </c>
      <c r="G725" s="1" t="s">
        <v>53</v>
      </c>
      <c r="H725" s="1" t="s">
        <v>1459</v>
      </c>
      <c r="I725" s="1" t="s">
        <v>1460</v>
      </c>
      <c r="J725" s="1" t="s">
        <v>261</v>
      </c>
      <c r="K725" t="s">
        <v>650</v>
      </c>
      <c r="M725" s="1" t="s">
        <v>58</v>
      </c>
      <c r="N725" s="1">
        <v>0</v>
      </c>
      <c r="O725" s="1" t="s">
        <v>105</v>
      </c>
      <c r="P725" s="186">
        <v>44896.556932870371</v>
      </c>
      <c r="R725" s="1">
        <v>4</v>
      </c>
      <c r="T725" s="1" t="s">
        <v>646</v>
      </c>
      <c r="U725" s="186">
        <v>44897.556932870371</v>
      </c>
      <c r="V725" s="1" t="s">
        <v>41</v>
      </c>
      <c r="W725" s="1" t="s">
        <v>49</v>
      </c>
      <c r="Z725" s="14"/>
      <c r="AA725" s="14"/>
      <c r="AC725" s="22"/>
      <c r="AE725" s="22"/>
    </row>
    <row r="726" spans="1:31" hidden="1">
      <c r="A726" s="1">
        <v>9128525</v>
      </c>
      <c r="B726" s="1" t="s">
        <v>101</v>
      </c>
      <c r="C726" t="s">
        <v>643</v>
      </c>
      <c r="D726" s="2">
        <v>220195522</v>
      </c>
      <c r="E726" s="2">
        <v>2413001400030</v>
      </c>
      <c r="F726" s="1" t="s">
        <v>647</v>
      </c>
      <c r="G726" s="1" t="s">
        <v>53</v>
      </c>
      <c r="H726" s="1" t="s">
        <v>505</v>
      </c>
      <c r="I726" s="1" t="s">
        <v>506</v>
      </c>
      <c r="J726" s="1" t="s">
        <v>141</v>
      </c>
      <c r="K726" t="s">
        <v>650</v>
      </c>
      <c r="M726" s="1" t="s">
        <v>58</v>
      </c>
      <c r="N726" s="1">
        <v>0</v>
      </c>
      <c r="O726" s="1" t="s">
        <v>105</v>
      </c>
      <c r="P726" s="186">
        <v>44896.555879629632</v>
      </c>
      <c r="R726" s="1">
        <v>4</v>
      </c>
      <c r="T726" s="1" t="s">
        <v>646</v>
      </c>
      <c r="U726" s="186">
        <v>44897.555891203701</v>
      </c>
      <c r="V726" s="1" t="s">
        <v>41</v>
      </c>
      <c r="W726" s="1" t="s">
        <v>49</v>
      </c>
      <c r="Z726" s="14"/>
      <c r="AA726" s="14"/>
      <c r="AC726" s="21"/>
      <c r="AE726" s="21"/>
    </row>
    <row r="727" spans="1:31" hidden="1">
      <c r="A727" s="1">
        <v>9128505</v>
      </c>
      <c r="B727" s="1" t="s">
        <v>101</v>
      </c>
      <c r="C727" t="s">
        <v>643</v>
      </c>
      <c r="D727" s="2">
        <v>220195710</v>
      </c>
      <c r="E727" s="2">
        <v>3108001400030</v>
      </c>
      <c r="F727" s="1" t="s">
        <v>647</v>
      </c>
      <c r="G727" s="1" t="s">
        <v>53</v>
      </c>
      <c r="H727" s="1" t="s">
        <v>325</v>
      </c>
      <c r="I727" s="1" t="s">
        <v>326</v>
      </c>
      <c r="J727" s="1" t="s">
        <v>46</v>
      </c>
      <c r="K727" t="s">
        <v>650</v>
      </c>
      <c r="M727" s="1" t="s">
        <v>58</v>
      </c>
      <c r="N727" s="1">
        <v>0</v>
      </c>
      <c r="O727" s="1" t="s">
        <v>105</v>
      </c>
      <c r="P727" s="186">
        <v>44896.555162037039</v>
      </c>
      <c r="R727" s="1">
        <v>4</v>
      </c>
      <c r="T727" s="1" t="s">
        <v>646</v>
      </c>
      <c r="U727" s="186">
        <v>44897.555162037039</v>
      </c>
      <c r="V727" s="1" t="s">
        <v>41</v>
      </c>
      <c r="W727" s="1" t="s">
        <v>49</v>
      </c>
      <c r="Z727" s="14"/>
      <c r="AA727" s="14"/>
      <c r="AC727" s="21"/>
      <c r="AE727" s="21"/>
    </row>
    <row r="728" spans="1:31" hidden="1">
      <c r="A728" s="1">
        <v>9128485</v>
      </c>
      <c r="B728" s="1" t="s">
        <v>101</v>
      </c>
      <c r="C728" t="s">
        <v>643</v>
      </c>
      <c r="D728" s="2">
        <v>220195128</v>
      </c>
      <c r="E728" s="2">
        <v>1162001400030</v>
      </c>
      <c r="F728" s="1" t="s">
        <v>647</v>
      </c>
      <c r="G728" s="1" t="s">
        <v>53</v>
      </c>
      <c r="H728" s="1" t="s">
        <v>280</v>
      </c>
      <c r="I728" s="1" t="s">
        <v>281</v>
      </c>
      <c r="J728" s="1" t="s">
        <v>211</v>
      </c>
      <c r="K728" t="s">
        <v>650</v>
      </c>
      <c r="M728" s="1" t="s">
        <v>58</v>
      </c>
      <c r="N728" s="1">
        <v>0</v>
      </c>
      <c r="O728" s="1" t="s">
        <v>105</v>
      </c>
      <c r="P728" s="186">
        <v>44896.553865740738</v>
      </c>
      <c r="R728" s="1">
        <v>4</v>
      </c>
      <c r="T728" s="1" t="s">
        <v>646</v>
      </c>
      <c r="U728" s="186">
        <v>44897.553877314815</v>
      </c>
      <c r="V728" s="1" t="s">
        <v>41</v>
      </c>
      <c r="W728" s="1" t="s">
        <v>49</v>
      </c>
      <c r="Z728" s="14"/>
      <c r="AA728" s="14"/>
      <c r="AC728" s="21"/>
      <c r="AE728" s="21"/>
    </row>
    <row r="729" spans="1:31" hidden="1">
      <c r="A729" s="1">
        <v>9128470</v>
      </c>
      <c r="B729" s="1" t="s">
        <v>101</v>
      </c>
      <c r="C729" t="s">
        <v>643</v>
      </c>
      <c r="D729" s="2">
        <v>220195114</v>
      </c>
      <c r="E729" s="2">
        <v>1138001400030</v>
      </c>
      <c r="F729" s="1" t="s">
        <v>647</v>
      </c>
      <c r="G729" s="1" t="s">
        <v>53</v>
      </c>
      <c r="H729" s="1" t="s">
        <v>548</v>
      </c>
      <c r="I729" s="1" t="s">
        <v>549</v>
      </c>
      <c r="J729" s="1" t="s">
        <v>46</v>
      </c>
      <c r="K729" t="s">
        <v>650</v>
      </c>
      <c r="M729" s="1" t="s">
        <v>58</v>
      </c>
      <c r="N729" s="1">
        <v>0</v>
      </c>
      <c r="O729" s="1" t="s">
        <v>105</v>
      </c>
      <c r="P729" s="186">
        <v>44896.553067129629</v>
      </c>
      <c r="R729" s="1">
        <v>4</v>
      </c>
      <c r="T729" s="1" t="s">
        <v>646</v>
      </c>
      <c r="U729" s="186">
        <v>44897.553067129629</v>
      </c>
      <c r="V729" s="1" t="s">
        <v>41</v>
      </c>
      <c r="W729" s="1" t="s">
        <v>49</v>
      </c>
      <c r="Z729" s="14"/>
      <c r="AA729" s="14"/>
      <c r="AC729" s="21"/>
      <c r="AE729" s="21"/>
    </row>
    <row r="730" spans="1:31" hidden="1">
      <c r="A730" s="1">
        <v>9128428</v>
      </c>
      <c r="B730" s="1" t="s">
        <v>101</v>
      </c>
      <c r="C730" t="s">
        <v>643</v>
      </c>
      <c r="D730" s="2">
        <v>220195184</v>
      </c>
      <c r="E730" s="2">
        <v>1291001400030</v>
      </c>
      <c r="F730" s="1" t="s">
        <v>647</v>
      </c>
      <c r="G730" s="1" t="s">
        <v>53</v>
      </c>
      <c r="H730" s="1" t="s">
        <v>136</v>
      </c>
      <c r="I730" s="1" t="s">
        <v>137</v>
      </c>
      <c r="J730" s="1" t="s">
        <v>33</v>
      </c>
      <c r="K730" t="s">
        <v>650</v>
      </c>
      <c r="M730" s="1" t="s">
        <v>58</v>
      </c>
      <c r="N730" s="1">
        <v>0</v>
      </c>
      <c r="O730" s="1" t="s">
        <v>105</v>
      </c>
      <c r="P730" s="186">
        <v>44896.551354166666</v>
      </c>
      <c r="R730" s="1">
        <v>4</v>
      </c>
      <c r="T730" s="1" t="s">
        <v>646</v>
      </c>
      <c r="U730" s="186">
        <v>44897.551354166666</v>
      </c>
      <c r="V730" s="1" t="s">
        <v>41</v>
      </c>
      <c r="W730" s="1" t="s">
        <v>42</v>
      </c>
      <c r="Z730" s="14"/>
      <c r="AA730" s="14"/>
      <c r="AC730" s="21"/>
      <c r="AE730" s="21"/>
    </row>
    <row r="731" spans="1:31" hidden="1">
      <c r="A731" s="1">
        <v>9128421</v>
      </c>
      <c r="B731" s="1" t="s">
        <v>101</v>
      </c>
      <c r="C731" t="s">
        <v>643</v>
      </c>
      <c r="D731" s="2">
        <v>220195177</v>
      </c>
      <c r="E731" s="2">
        <v>1264001400030</v>
      </c>
      <c r="F731" s="1" t="s">
        <v>647</v>
      </c>
      <c r="G731" s="1" t="s">
        <v>53</v>
      </c>
      <c r="H731" s="1" t="s">
        <v>351</v>
      </c>
      <c r="I731" s="1" t="s">
        <v>352</v>
      </c>
      <c r="J731" s="1" t="s">
        <v>110</v>
      </c>
      <c r="K731" t="s">
        <v>650</v>
      </c>
      <c r="M731" s="1" t="s">
        <v>58</v>
      </c>
      <c r="N731" s="1">
        <v>0</v>
      </c>
      <c r="O731" s="1" t="s">
        <v>105</v>
      </c>
      <c r="P731" s="186">
        <v>44896.550949074073</v>
      </c>
      <c r="R731" s="1">
        <v>4</v>
      </c>
      <c r="T731" s="1" t="s">
        <v>646</v>
      </c>
      <c r="U731" s="186">
        <v>44897.550949074073</v>
      </c>
      <c r="V731" s="1" t="s">
        <v>41</v>
      </c>
      <c r="W731" s="1" t="s">
        <v>49</v>
      </c>
      <c r="Z731" s="14"/>
      <c r="AA731" s="14"/>
      <c r="AC731" s="21"/>
      <c r="AE731" s="21"/>
    </row>
    <row r="732" spans="1:31" hidden="1">
      <c r="A732" s="1">
        <v>9128414</v>
      </c>
      <c r="B732" s="1" t="s">
        <v>101</v>
      </c>
      <c r="C732" t="s">
        <v>643</v>
      </c>
      <c r="D732" s="2">
        <v>220195170</v>
      </c>
      <c r="E732" s="2">
        <v>1245001400030</v>
      </c>
      <c r="F732" s="1" t="s">
        <v>647</v>
      </c>
      <c r="G732" s="1" t="s">
        <v>53</v>
      </c>
      <c r="H732" s="1" t="s">
        <v>408</v>
      </c>
      <c r="I732" s="1" t="s">
        <v>409</v>
      </c>
      <c r="J732" s="1" t="s">
        <v>46</v>
      </c>
      <c r="K732" t="s">
        <v>650</v>
      </c>
      <c r="M732" s="1" t="s">
        <v>58</v>
      </c>
      <c r="N732" s="1">
        <v>0</v>
      </c>
      <c r="O732" s="1" t="s">
        <v>105</v>
      </c>
      <c r="P732" s="186">
        <v>44896.550543981481</v>
      </c>
      <c r="R732" s="1">
        <v>4</v>
      </c>
      <c r="T732" s="1" t="s">
        <v>646</v>
      </c>
      <c r="U732" s="186">
        <v>44897.550555555557</v>
      </c>
      <c r="V732" s="1" t="s">
        <v>41</v>
      </c>
      <c r="W732" s="1" t="s">
        <v>49</v>
      </c>
      <c r="Z732" s="14"/>
      <c r="AA732" s="14"/>
      <c r="AC732" s="21"/>
      <c r="AE732" s="21"/>
    </row>
    <row r="733" spans="1:31" hidden="1">
      <c r="A733" s="1">
        <v>9128339</v>
      </c>
      <c r="B733" s="1" t="s">
        <v>101</v>
      </c>
      <c r="C733" t="s">
        <v>643</v>
      </c>
      <c r="D733" s="2">
        <v>220194788</v>
      </c>
      <c r="E733" s="2">
        <v>550001400030</v>
      </c>
      <c r="F733" s="1" t="s">
        <v>647</v>
      </c>
      <c r="G733" s="1" t="s">
        <v>53</v>
      </c>
      <c r="H733" s="1" t="s">
        <v>337</v>
      </c>
      <c r="I733" s="1" t="s">
        <v>338</v>
      </c>
      <c r="J733" s="1" t="s">
        <v>164</v>
      </c>
      <c r="K733" t="s">
        <v>650</v>
      </c>
      <c r="M733" s="1" t="s">
        <v>58</v>
      </c>
      <c r="N733" s="1">
        <v>0</v>
      </c>
      <c r="O733" s="1" t="s">
        <v>105</v>
      </c>
      <c r="P733" s="186">
        <v>44896.547627314816</v>
      </c>
      <c r="R733" s="1">
        <v>4</v>
      </c>
      <c r="T733" s="1" t="s">
        <v>646</v>
      </c>
      <c r="U733" s="186">
        <v>44897.547638888886</v>
      </c>
      <c r="V733" s="1" t="s">
        <v>41</v>
      </c>
      <c r="W733" s="1" t="s">
        <v>49</v>
      </c>
      <c r="Z733" s="14"/>
      <c r="AA733" s="14"/>
      <c r="AC733" s="21"/>
      <c r="AE733" s="21"/>
    </row>
    <row r="734" spans="1:31" hidden="1">
      <c r="A734" s="1">
        <v>9128332</v>
      </c>
      <c r="B734" s="1" t="s">
        <v>101</v>
      </c>
      <c r="C734" t="s">
        <v>643</v>
      </c>
      <c r="D734" s="2">
        <v>220194783</v>
      </c>
      <c r="E734" s="2">
        <v>537001400030</v>
      </c>
      <c r="F734" s="1" t="s">
        <v>647</v>
      </c>
      <c r="G734" s="1" t="s">
        <v>53</v>
      </c>
      <c r="H734" s="1" t="s">
        <v>442</v>
      </c>
      <c r="I734" s="1" t="s">
        <v>443</v>
      </c>
      <c r="J734" s="1" t="s">
        <v>79</v>
      </c>
      <c r="K734" t="s">
        <v>650</v>
      </c>
      <c r="M734" s="1" t="s">
        <v>58</v>
      </c>
      <c r="N734" s="1">
        <v>0</v>
      </c>
      <c r="O734" s="1" t="s">
        <v>105</v>
      </c>
      <c r="P734" s="186">
        <v>44896.547268518516</v>
      </c>
      <c r="R734" s="1">
        <v>4</v>
      </c>
      <c r="T734" s="1" t="s">
        <v>646</v>
      </c>
      <c r="U734" s="186">
        <v>44897.547268518516</v>
      </c>
      <c r="V734" s="1" t="s">
        <v>41</v>
      </c>
      <c r="W734" s="1" t="s">
        <v>49</v>
      </c>
      <c r="Z734" s="14"/>
      <c r="AA734" s="14"/>
      <c r="AC734" s="21"/>
      <c r="AE734" s="21"/>
    </row>
    <row r="735" spans="1:31" hidden="1">
      <c r="A735" s="1">
        <v>9128237</v>
      </c>
      <c r="B735" s="1" t="s">
        <v>101</v>
      </c>
      <c r="C735" t="s">
        <v>643</v>
      </c>
      <c r="D735" s="2">
        <v>220194807</v>
      </c>
      <c r="E735" s="2">
        <v>582001400030</v>
      </c>
      <c r="F735" s="1" t="s">
        <v>647</v>
      </c>
      <c r="G735" s="1" t="s">
        <v>53</v>
      </c>
      <c r="H735" s="1" t="s">
        <v>139</v>
      </c>
      <c r="I735" s="1" t="s">
        <v>140</v>
      </c>
      <c r="J735" s="1" t="s">
        <v>141</v>
      </c>
      <c r="K735" t="s">
        <v>650</v>
      </c>
      <c r="M735" s="1" t="s">
        <v>58</v>
      </c>
      <c r="N735" s="1">
        <v>0</v>
      </c>
      <c r="O735" s="1" t="s">
        <v>105</v>
      </c>
      <c r="P735" s="186">
        <v>44896.542384259257</v>
      </c>
      <c r="R735" s="1">
        <v>4</v>
      </c>
      <c r="T735" s="1" t="s">
        <v>646</v>
      </c>
      <c r="U735" s="186">
        <v>44897.542384259257</v>
      </c>
      <c r="V735" s="1" t="s">
        <v>41</v>
      </c>
      <c r="W735" s="1" t="s">
        <v>49</v>
      </c>
      <c r="Z735" s="14"/>
      <c r="AA735" s="14"/>
      <c r="AC735" s="21"/>
      <c r="AE735" s="21"/>
    </row>
    <row r="736" spans="1:31" hidden="1">
      <c r="A736" s="1">
        <v>9128165</v>
      </c>
      <c r="B736" s="1" t="s">
        <v>101</v>
      </c>
      <c r="C736" t="s">
        <v>643</v>
      </c>
      <c r="D736" s="2">
        <v>220194363</v>
      </c>
      <c r="E736" s="2">
        <v>5755001400010</v>
      </c>
      <c r="F736" s="1" t="s">
        <v>936</v>
      </c>
      <c r="G736" s="1" t="s">
        <v>53</v>
      </c>
      <c r="H736" s="1" t="s">
        <v>841</v>
      </c>
      <c r="I736" s="1" t="s">
        <v>842</v>
      </c>
      <c r="J736" s="1" t="s">
        <v>46</v>
      </c>
      <c r="K736" t="s">
        <v>937</v>
      </c>
      <c r="M736" s="1" t="s">
        <v>58</v>
      </c>
      <c r="N736" s="1">
        <v>0</v>
      </c>
      <c r="O736" s="1" t="s">
        <v>105</v>
      </c>
      <c r="P736" s="186">
        <v>44896.5387962963</v>
      </c>
      <c r="R736" s="1">
        <v>3</v>
      </c>
      <c r="T736" s="1" t="s">
        <v>646</v>
      </c>
      <c r="U736" s="186">
        <v>44897.5387962963</v>
      </c>
      <c r="V736" s="1" t="s">
        <v>41</v>
      </c>
      <c r="W736" s="1" t="s">
        <v>49</v>
      </c>
      <c r="Z736" s="14"/>
      <c r="AA736" s="14"/>
      <c r="AC736" s="21"/>
      <c r="AE736" s="21"/>
    </row>
    <row r="737" spans="1:31" hidden="1">
      <c r="A737" s="1">
        <v>9128005</v>
      </c>
      <c r="B737" s="1" t="s">
        <v>101</v>
      </c>
      <c r="C737" t="s">
        <v>643</v>
      </c>
      <c r="D737" s="2">
        <v>220193965</v>
      </c>
      <c r="E737" s="2">
        <v>4012001400010</v>
      </c>
      <c r="F737" s="1" t="s">
        <v>936</v>
      </c>
      <c r="G737" s="1" t="s">
        <v>53</v>
      </c>
      <c r="H737" s="1" t="s">
        <v>349</v>
      </c>
      <c r="I737" s="1" t="s">
        <v>350</v>
      </c>
      <c r="J737" s="1" t="s">
        <v>261</v>
      </c>
      <c r="K737" t="s">
        <v>937</v>
      </c>
      <c r="M737" s="1" t="s">
        <v>58</v>
      </c>
      <c r="N737" s="1">
        <v>0</v>
      </c>
      <c r="O737" s="1" t="s">
        <v>105</v>
      </c>
      <c r="P737" s="186">
        <v>44896.531909722224</v>
      </c>
      <c r="R737" s="1">
        <v>3</v>
      </c>
      <c r="T737" s="1" t="s">
        <v>646</v>
      </c>
      <c r="U737" s="186">
        <v>44897.531921296293</v>
      </c>
      <c r="V737" s="1" t="s">
        <v>41</v>
      </c>
      <c r="W737" s="1" t="s">
        <v>49</v>
      </c>
      <c r="Z737" s="14"/>
      <c r="AA737" s="14"/>
      <c r="AC737" s="21"/>
      <c r="AE737" s="21"/>
    </row>
    <row r="738" spans="1:31" hidden="1">
      <c r="A738" s="1">
        <v>9127889</v>
      </c>
      <c r="B738" s="1" t="s">
        <v>101</v>
      </c>
      <c r="C738" t="s">
        <v>643</v>
      </c>
      <c r="D738" s="2">
        <v>220193587</v>
      </c>
      <c r="E738" s="2">
        <v>2326001400010</v>
      </c>
      <c r="F738" s="1" t="s">
        <v>936</v>
      </c>
      <c r="G738" s="1" t="s">
        <v>53</v>
      </c>
      <c r="H738" s="1" t="s">
        <v>191</v>
      </c>
      <c r="I738" s="1" t="s">
        <v>192</v>
      </c>
      <c r="J738" s="1" t="s">
        <v>46</v>
      </c>
      <c r="K738" t="s">
        <v>937</v>
      </c>
      <c r="M738" s="1" t="s">
        <v>58</v>
      </c>
      <c r="N738" s="1">
        <v>0</v>
      </c>
      <c r="O738" s="1" t="s">
        <v>105</v>
      </c>
      <c r="P738" s="186">
        <v>44896.527627314812</v>
      </c>
      <c r="R738" s="1">
        <v>3</v>
      </c>
      <c r="T738" s="1" t="s">
        <v>646</v>
      </c>
      <c r="U738" s="186">
        <v>44897.527627314812</v>
      </c>
      <c r="V738" s="1" t="s">
        <v>41</v>
      </c>
      <c r="W738" s="1" t="s">
        <v>49</v>
      </c>
      <c r="Z738" s="14"/>
      <c r="AA738" s="14"/>
      <c r="AC738" s="21"/>
      <c r="AE738" s="21"/>
    </row>
    <row r="739" spans="1:31" hidden="1">
      <c r="A739" s="1">
        <v>9127850</v>
      </c>
      <c r="B739" s="1" t="s">
        <v>101</v>
      </c>
      <c r="C739" t="s">
        <v>643</v>
      </c>
      <c r="D739" s="2">
        <v>220193445</v>
      </c>
      <c r="E739" s="2">
        <v>1732001400010</v>
      </c>
      <c r="F739" s="1" t="s">
        <v>936</v>
      </c>
      <c r="G739" s="1" t="s">
        <v>53</v>
      </c>
      <c r="H739" s="1" t="s">
        <v>177</v>
      </c>
      <c r="I739" s="1" t="s">
        <v>178</v>
      </c>
      <c r="J739" s="1" t="s">
        <v>164</v>
      </c>
      <c r="K739" t="s">
        <v>937</v>
      </c>
      <c r="M739" s="1" t="s">
        <v>58</v>
      </c>
      <c r="N739" s="1">
        <v>0</v>
      </c>
      <c r="O739" s="1" t="s">
        <v>105</v>
      </c>
      <c r="P739" s="186">
        <v>44896.526493055557</v>
      </c>
      <c r="R739" s="1">
        <v>3</v>
      </c>
      <c r="T739" s="1" t="s">
        <v>646</v>
      </c>
      <c r="U739" s="186">
        <v>44897.526493055557</v>
      </c>
      <c r="V739" s="1" t="s">
        <v>41</v>
      </c>
      <c r="W739" s="1" t="s">
        <v>49</v>
      </c>
      <c r="Z739" s="14"/>
      <c r="AA739" s="14"/>
      <c r="AC739" s="21"/>
      <c r="AE739" s="21"/>
    </row>
    <row r="740" spans="1:31" hidden="1">
      <c r="A740" s="1">
        <v>9127804</v>
      </c>
      <c r="B740" s="1" t="s">
        <v>101</v>
      </c>
      <c r="C740" t="s">
        <v>643</v>
      </c>
      <c r="D740" s="2">
        <v>220193422</v>
      </c>
      <c r="E740" s="2">
        <v>1664001400010</v>
      </c>
      <c r="F740" s="1" t="s">
        <v>936</v>
      </c>
      <c r="G740" s="1" t="s">
        <v>53</v>
      </c>
      <c r="H740" s="1" t="s">
        <v>307</v>
      </c>
      <c r="I740" s="1" t="s">
        <v>308</v>
      </c>
      <c r="J740" s="1" t="s">
        <v>164</v>
      </c>
      <c r="K740" t="s">
        <v>937</v>
      </c>
      <c r="M740" s="1" t="s">
        <v>58</v>
      </c>
      <c r="N740" s="1">
        <v>0</v>
      </c>
      <c r="O740" s="1" t="s">
        <v>105</v>
      </c>
      <c r="P740" s="186">
        <v>44896.523692129631</v>
      </c>
      <c r="R740" s="1">
        <v>3</v>
      </c>
      <c r="T740" s="1" t="s">
        <v>646</v>
      </c>
      <c r="U740" s="186">
        <v>44897.523692129631</v>
      </c>
      <c r="V740" s="1" t="s">
        <v>41</v>
      </c>
      <c r="W740" s="1" t="s">
        <v>49</v>
      </c>
      <c r="Z740" s="14"/>
      <c r="AA740" s="14"/>
      <c r="AC740" s="21"/>
      <c r="AE740" s="21"/>
    </row>
    <row r="741" spans="1:31" hidden="1">
      <c r="A741" s="1">
        <v>9127801</v>
      </c>
      <c r="B741" s="1" t="s">
        <v>101</v>
      </c>
      <c r="C741" t="s">
        <v>643</v>
      </c>
      <c r="D741" s="2">
        <v>220193719</v>
      </c>
      <c r="E741" s="2">
        <v>2802001400010</v>
      </c>
      <c r="F741" s="1" t="s">
        <v>936</v>
      </c>
      <c r="G741" s="1" t="s">
        <v>53</v>
      </c>
      <c r="H741" s="1" t="s">
        <v>388</v>
      </c>
      <c r="I741" s="1" t="s">
        <v>389</v>
      </c>
      <c r="J741" s="1" t="s">
        <v>46</v>
      </c>
      <c r="K741" t="s">
        <v>937</v>
      </c>
      <c r="M741" s="1" t="s">
        <v>58</v>
      </c>
      <c r="N741" s="1">
        <v>0</v>
      </c>
      <c r="O741" s="1" t="s">
        <v>105</v>
      </c>
      <c r="P741" s="186">
        <v>44896.5234837963</v>
      </c>
      <c r="R741" s="1">
        <v>3</v>
      </c>
      <c r="T741" s="1" t="s">
        <v>646</v>
      </c>
      <c r="U741" s="186">
        <v>44897.5234837963</v>
      </c>
      <c r="V741" s="1" t="s">
        <v>41</v>
      </c>
      <c r="W741" s="1" t="s">
        <v>49</v>
      </c>
      <c r="Z741" s="14"/>
      <c r="AA741" s="14"/>
      <c r="AC741" s="21"/>
      <c r="AE741" s="21"/>
    </row>
    <row r="742" spans="1:31" hidden="1">
      <c r="A742" s="1">
        <v>9127762</v>
      </c>
      <c r="B742" s="1" t="s">
        <v>101</v>
      </c>
      <c r="C742" t="s">
        <v>643</v>
      </c>
      <c r="D742" s="2">
        <v>220193223</v>
      </c>
      <c r="E742" s="2">
        <v>1162001400010</v>
      </c>
      <c r="F742" s="1" t="s">
        <v>936</v>
      </c>
      <c r="G742" s="1" t="s">
        <v>53</v>
      </c>
      <c r="H742" s="1" t="s">
        <v>280</v>
      </c>
      <c r="I742" s="1" t="s">
        <v>281</v>
      </c>
      <c r="J742" s="1" t="s">
        <v>211</v>
      </c>
      <c r="K742" t="s">
        <v>937</v>
      </c>
      <c r="M742" s="1" t="s">
        <v>58</v>
      </c>
      <c r="N742" s="1">
        <v>0</v>
      </c>
      <c r="O742" s="1" t="s">
        <v>105</v>
      </c>
      <c r="P742" s="186">
        <v>44896.521273148152</v>
      </c>
      <c r="R742" s="1">
        <v>3</v>
      </c>
      <c r="T742" s="1" t="s">
        <v>646</v>
      </c>
      <c r="U742" s="186">
        <v>44897.521273148152</v>
      </c>
      <c r="V742" s="1" t="s">
        <v>41</v>
      </c>
      <c r="W742" s="1" t="s">
        <v>49</v>
      </c>
      <c r="Z742" s="14"/>
      <c r="AA742" s="14"/>
      <c r="AC742" s="21"/>
      <c r="AE742" s="21"/>
    </row>
    <row r="743" spans="1:31" hidden="1">
      <c r="A743" s="1">
        <v>9127748</v>
      </c>
      <c r="B743" s="1" t="s">
        <v>101</v>
      </c>
      <c r="C743" t="s">
        <v>643</v>
      </c>
      <c r="D743" s="2">
        <v>220193209</v>
      </c>
      <c r="E743" s="2">
        <v>1138001400010</v>
      </c>
      <c r="F743" s="1" t="s">
        <v>936</v>
      </c>
      <c r="G743" s="1" t="s">
        <v>53</v>
      </c>
      <c r="H743" s="1" t="s">
        <v>548</v>
      </c>
      <c r="I743" s="1" t="s">
        <v>549</v>
      </c>
      <c r="J743" s="1" t="s">
        <v>46</v>
      </c>
      <c r="K743" t="s">
        <v>937</v>
      </c>
      <c r="M743" s="1" t="s">
        <v>58</v>
      </c>
      <c r="N743" s="1">
        <v>0</v>
      </c>
      <c r="O743" s="1" t="s">
        <v>105</v>
      </c>
      <c r="P743" s="186">
        <v>44896.520439814813</v>
      </c>
      <c r="R743" s="1">
        <v>3</v>
      </c>
      <c r="T743" s="1" t="s">
        <v>646</v>
      </c>
      <c r="U743" s="186">
        <v>44897.520439814813</v>
      </c>
      <c r="V743" s="1" t="s">
        <v>41</v>
      </c>
      <c r="W743" s="1" t="s">
        <v>49</v>
      </c>
      <c r="Z743" s="14"/>
      <c r="AA743" s="14"/>
      <c r="AC743" s="21"/>
      <c r="AE743" s="21"/>
    </row>
    <row r="744" spans="1:31" hidden="1">
      <c r="A744" s="1">
        <v>9127732</v>
      </c>
      <c r="B744" s="1" t="s">
        <v>101</v>
      </c>
      <c r="C744" t="s">
        <v>643</v>
      </c>
      <c r="D744" s="2">
        <v>220193201</v>
      </c>
      <c r="E744" s="2">
        <v>1120001400010</v>
      </c>
      <c r="F744" s="1" t="s">
        <v>936</v>
      </c>
      <c r="G744" s="1" t="s">
        <v>53</v>
      </c>
      <c r="H744" s="1" t="s">
        <v>181</v>
      </c>
      <c r="I744" s="1" t="s">
        <v>182</v>
      </c>
      <c r="J744" s="1" t="s">
        <v>164</v>
      </c>
      <c r="K744" t="s">
        <v>937</v>
      </c>
      <c r="M744" s="1" t="s">
        <v>58</v>
      </c>
      <c r="N744" s="1">
        <v>0</v>
      </c>
      <c r="O744" s="1" t="s">
        <v>105</v>
      </c>
      <c r="P744" s="186">
        <v>44896.519768518519</v>
      </c>
      <c r="R744" s="1">
        <v>3</v>
      </c>
      <c r="T744" s="1" t="s">
        <v>646</v>
      </c>
      <c r="U744" s="186">
        <v>44897.519780092596</v>
      </c>
      <c r="V744" s="1" t="s">
        <v>41</v>
      </c>
      <c r="W744" s="1" t="s">
        <v>49</v>
      </c>
      <c r="Z744" s="14"/>
      <c r="AA744" s="14"/>
      <c r="AC744" s="21"/>
      <c r="AE744" s="21"/>
    </row>
    <row r="745" spans="1:31" hidden="1">
      <c r="A745" s="1">
        <v>9127696</v>
      </c>
      <c r="B745" s="1" t="s">
        <v>101</v>
      </c>
      <c r="C745" t="s">
        <v>643</v>
      </c>
      <c r="D745" s="2">
        <v>220193173</v>
      </c>
      <c r="E745" s="2">
        <v>1069001400010</v>
      </c>
      <c r="F745" s="1" t="s">
        <v>936</v>
      </c>
      <c r="G745" s="1" t="s">
        <v>53</v>
      </c>
      <c r="H745" s="1" t="s">
        <v>353</v>
      </c>
      <c r="I745" s="1" t="s">
        <v>354</v>
      </c>
      <c r="J745" s="1" t="s">
        <v>211</v>
      </c>
      <c r="K745" t="s">
        <v>937</v>
      </c>
      <c r="M745" s="1" t="s">
        <v>58</v>
      </c>
      <c r="N745" s="1">
        <v>0</v>
      </c>
      <c r="O745" s="1" t="s">
        <v>105</v>
      </c>
      <c r="P745" s="186">
        <v>44896.518217592595</v>
      </c>
      <c r="R745" s="1">
        <v>3</v>
      </c>
      <c r="T745" s="1" t="s">
        <v>646</v>
      </c>
      <c r="U745" s="186">
        <v>44897.518217592595</v>
      </c>
      <c r="V745" s="1" t="s">
        <v>41</v>
      </c>
      <c r="W745" s="1" t="s">
        <v>49</v>
      </c>
      <c r="Z745" s="14"/>
      <c r="AA745" s="14"/>
      <c r="AC745" s="21"/>
      <c r="AE745" s="21"/>
    </row>
    <row r="746" spans="1:31" hidden="1">
      <c r="A746" s="1">
        <v>9127689</v>
      </c>
      <c r="B746" s="1" t="s">
        <v>101</v>
      </c>
      <c r="C746" t="s">
        <v>643</v>
      </c>
      <c r="D746" s="2">
        <v>220193166</v>
      </c>
      <c r="E746" s="2">
        <v>1049001400010</v>
      </c>
      <c r="F746" s="1" t="s">
        <v>936</v>
      </c>
      <c r="G746" s="1" t="s">
        <v>53</v>
      </c>
      <c r="H746" s="1" t="s">
        <v>169</v>
      </c>
      <c r="I746" s="1" t="s">
        <v>170</v>
      </c>
      <c r="J746" s="1" t="s">
        <v>164</v>
      </c>
      <c r="K746" t="s">
        <v>937</v>
      </c>
      <c r="M746" s="1" t="s">
        <v>58</v>
      </c>
      <c r="N746" s="1">
        <v>0</v>
      </c>
      <c r="O746" s="1" t="s">
        <v>105</v>
      </c>
      <c r="P746" s="186">
        <v>44896.517824074072</v>
      </c>
      <c r="R746" s="1">
        <v>3</v>
      </c>
      <c r="T746" s="1" t="s">
        <v>646</v>
      </c>
      <c r="U746" s="186">
        <v>44897.517835648148</v>
      </c>
      <c r="V746" s="1" t="s">
        <v>41</v>
      </c>
      <c r="W746" s="1" t="s">
        <v>49</v>
      </c>
      <c r="Z746" s="14"/>
      <c r="AA746" s="14"/>
      <c r="AC746" s="21"/>
      <c r="AE746" s="21"/>
    </row>
    <row r="747" spans="1:31" hidden="1">
      <c r="A747" s="1">
        <v>9127671</v>
      </c>
      <c r="B747" s="1" t="s">
        <v>101</v>
      </c>
      <c r="C747" t="s">
        <v>643</v>
      </c>
      <c r="D747" s="2">
        <v>220193148</v>
      </c>
      <c r="E747" s="2">
        <v>1012001400010</v>
      </c>
      <c r="F747" s="1" t="s">
        <v>936</v>
      </c>
      <c r="G747" s="1" t="s">
        <v>53</v>
      </c>
      <c r="H747" s="1" t="s">
        <v>172</v>
      </c>
      <c r="I747" s="1" t="s">
        <v>173</v>
      </c>
      <c r="J747" s="1" t="s">
        <v>164</v>
      </c>
      <c r="K747" t="s">
        <v>937</v>
      </c>
      <c r="M747" s="1" t="s">
        <v>58</v>
      </c>
      <c r="N747" s="1">
        <v>0</v>
      </c>
      <c r="O747" s="1" t="s">
        <v>105</v>
      </c>
      <c r="P747" s="186">
        <v>44896.516817129632</v>
      </c>
      <c r="R747" s="1">
        <v>3</v>
      </c>
      <c r="T747" s="1" t="s">
        <v>646</v>
      </c>
      <c r="U747" s="186">
        <v>44897.516828703701</v>
      </c>
      <c r="V747" s="1" t="s">
        <v>41</v>
      </c>
      <c r="W747" s="1" t="s">
        <v>49</v>
      </c>
      <c r="Z747" s="14"/>
      <c r="AA747" s="14"/>
      <c r="AC747" s="21"/>
      <c r="AE747" s="21"/>
    </row>
    <row r="748" spans="1:31" hidden="1">
      <c r="A748" s="1">
        <v>9127658</v>
      </c>
      <c r="B748" s="1" t="s">
        <v>101</v>
      </c>
      <c r="C748" t="s">
        <v>643</v>
      </c>
      <c r="D748" s="2">
        <v>220192961</v>
      </c>
      <c r="E748" s="2">
        <v>673001400010</v>
      </c>
      <c r="F748" s="1" t="s">
        <v>936</v>
      </c>
      <c r="G748" s="1" t="s">
        <v>53</v>
      </c>
      <c r="H748" s="1" t="s">
        <v>581</v>
      </c>
      <c r="I748" s="1" t="s">
        <v>582</v>
      </c>
      <c r="J748" s="1" t="s">
        <v>110</v>
      </c>
      <c r="K748" t="s">
        <v>937</v>
      </c>
      <c r="M748" s="1" t="s">
        <v>58</v>
      </c>
      <c r="N748" s="1">
        <v>0</v>
      </c>
      <c r="O748" s="1" t="s">
        <v>105</v>
      </c>
      <c r="P748" s="186">
        <v>44896.516053240739</v>
      </c>
      <c r="R748" s="1">
        <v>3</v>
      </c>
      <c r="T748" s="1" t="s">
        <v>646</v>
      </c>
      <c r="U748" s="186">
        <v>44897.516053240739</v>
      </c>
      <c r="V748" s="1" t="s">
        <v>41</v>
      </c>
      <c r="W748" s="1" t="s">
        <v>49</v>
      </c>
      <c r="Z748" s="14"/>
      <c r="AA748" s="14"/>
      <c r="AC748" s="21"/>
      <c r="AE748" s="21"/>
    </row>
    <row r="749" spans="1:31" hidden="1">
      <c r="A749" s="1">
        <v>9127594</v>
      </c>
      <c r="B749" s="1" t="s">
        <v>101</v>
      </c>
      <c r="C749" t="s">
        <v>643</v>
      </c>
      <c r="D749" s="2">
        <v>220192987</v>
      </c>
      <c r="E749" s="2">
        <v>714001400010</v>
      </c>
      <c r="F749" s="1" t="s">
        <v>936</v>
      </c>
      <c r="G749" s="1" t="s">
        <v>53</v>
      </c>
      <c r="H749" s="1" t="s">
        <v>377</v>
      </c>
      <c r="I749" s="1" t="s">
        <v>378</v>
      </c>
      <c r="J749" s="1" t="s">
        <v>46</v>
      </c>
      <c r="K749" t="s">
        <v>937</v>
      </c>
      <c r="M749" s="1" t="s">
        <v>58</v>
      </c>
      <c r="N749" s="1">
        <v>0</v>
      </c>
      <c r="O749" s="1" t="s">
        <v>105</v>
      </c>
      <c r="P749" s="186">
        <v>44896.513252314813</v>
      </c>
      <c r="R749" s="1">
        <v>3</v>
      </c>
      <c r="T749" s="1" t="s">
        <v>646</v>
      </c>
      <c r="U749" s="186">
        <v>44897.513252314813</v>
      </c>
      <c r="V749" s="1" t="s">
        <v>41</v>
      </c>
      <c r="W749" s="1" t="s">
        <v>49</v>
      </c>
      <c r="Z749" s="14"/>
      <c r="AA749" s="14"/>
      <c r="AC749" s="21"/>
      <c r="AE749" s="21"/>
    </row>
    <row r="750" spans="1:31" hidden="1">
      <c r="A750" s="1">
        <v>9127562</v>
      </c>
      <c r="B750" s="1" t="s">
        <v>101</v>
      </c>
      <c r="C750" t="s">
        <v>643</v>
      </c>
      <c r="D750" s="2">
        <v>220192986</v>
      </c>
      <c r="E750" s="2">
        <v>710001400010</v>
      </c>
      <c r="F750" s="1" t="s">
        <v>936</v>
      </c>
      <c r="G750" s="1" t="s">
        <v>53</v>
      </c>
      <c r="H750" s="1" t="s">
        <v>390</v>
      </c>
      <c r="I750" s="1" t="s">
        <v>391</v>
      </c>
      <c r="J750" s="1" t="s">
        <v>56</v>
      </c>
      <c r="K750" t="s">
        <v>937</v>
      </c>
      <c r="M750" s="1" t="s">
        <v>58</v>
      </c>
      <c r="N750" s="1">
        <v>0</v>
      </c>
      <c r="O750" s="1" t="s">
        <v>105</v>
      </c>
      <c r="P750" s="186">
        <v>44896.511631944442</v>
      </c>
      <c r="R750" s="1">
        <v>3</v>
      </c>
      <c r="T750" s="1" t="s">
        <v>646</v>
      </c>
      <c r="U750" s="186">
        <v>44897.511631944442</v>
      </c>
      <c r="V750" s="1" t="s">
        <v>41</v>
      </c>
      <c r="W750" s="1" t="s">
        <v>49</v>
      </c>
      <c r="Z750" s="14"/>
      <c r="AA750" s="14"/>
      <c r="AC750" s="21"/>
      <c r="AE750" s="21"/>
    </row>
    <row r="751" spans="1:31" hidden="1">
      <c r="A751" s="1">
        <v>9127512</v>
      </c>
      <c r="B751" s="1" t="s">
        <v>101</v>
      </c>
      <c r="C751" t="s">
        <v>643</v>
      </c>
      <c r="D751" s="2">
        <v>220192919</v>
      </c>
      <c r="E751" s="2">
        <v>608001400010</v>
      </c>
      <c r="F751" s="1" t="s">
        <v>936</v>
      </c>
      <c r="G751" s="1" t="s">
        <v>53</v>
      </c>
      <c r="H751" s="1" t="s">
        <v>438</v>
      </c>
      <c r="I751" s="1" t="s">
        <v>439</v>
      </c>
      <c r="J751" s="1" t="s">
        <v>148</v>
      </c>
      <c r="K751" t="s">
        <v>937</v>
      </c>
      <c r="M751" s="1" t="s">
        <v>58</v>
      </c>
      <c r="N751" s="1">
        <v>0</v>
      </c>
      <c r="O751" s="1" t="s">
        <v>105</v>
      </c>
      <c r="P751" s="186">
        <v>44896.50886574074</v>
      </c>
      <c r="R751" s="1">
        <v>3</v>
      </c>
      <c r="T751" s="1" t="s">
        <v>646</v>
      </c>
      <c r="U751" s="186">
        <v>44897.50886574074</v>
      </c>
      <c r="V751" s="1" t="s">
        <v>41</v>
      </c>
      <c r="W751" s="1" t="s">
        <v>49</v>
      </c>
      <c r="Z751" s="14"/>
      <c r="AA751" s="14"/>
      <c r="AC751" s="21"/>
      <c r="AE751" s="21"/>
    </row>
    <row r="752" spans="1:31" hidden="1">
      <c r="A752" s="1">
        <v>9127225</v>
      </c>
      <c r="B752" s="1" t="s">
        <v>101</v>
      </c>
      <c r="C752" t="s">
        <v>643</v>
      </c>
      <c r="D752" s="2">
        <v>220198224</v>
      </c>
      <c r="E752" s="2">
        <v>4997001400040</v>
      </c>
      <c r="F752" s="1" t="s">
        <v>644</v>
      </c>
      <c r="G752" s="1" t="s">
        <v>53</v>
      </c>
      <c r="H752" s="1" t="s">
        <v>406</v>
      </c>
      <c r="I752" s="1" t="s">
        <v>407</v>
      </c>
      <c r="J752" s="1" t="s">
        <v>79</v>
      </c>
      <c r="K752" t="s">
        <v>645</v>
      </c>
      <c r="M752" s="1" t="s">
        <v>58</v>
      </c>
      <c r="N752" s="1">
        <v>0</v>
      </c>
      <c r="O752" s="1" t="s">
        <v>105</v>
      </c>
      <c r="P752" s="186">
        <v>44896.493680555555</v>
      </c>
      <c r="R752" s="1">
        <v>3</v>
      </c>
      <c r="T752" s="1" t="s">
        <v>646</v>
      </c>
      <c r="U752" s="186">
        <v>44897.493680555555</v>
      </c>
      <c r="V752" s="1" t="s">
        <v>41</v>
      </c>
      <c r="W752" s="1" t="s">
        <v>49</v>
      </c>
      <c r="Z752" s="14"/>
      <c r="AA752" s="14"/>
      <c r="AC752" s="21"/>
      <c r="AE752" s="21"/>
    </row>
    <row r="753" spans="1:31" hidden="1">
      <c r="A753" s="1">
        <v>9127174</v>
      </c>
      <c r="B753" s="1" t="s">
        <v>101</v>
      </c>
      <c r="C753" t="s">
        <v>643</v>
      </c>
      <c r="D753" s="2">
        <v>220198258</v>
      </c>
      <c r="E753" s="2">
        <v>5742001400040</v>
      </c>
      <c r="F753" s="1" t="s">
        <v>644</v>
      </c>
      <c r="G753" s="1" t="s">
        <v>53</v>
      </c>
      <c r="H753" s="1" t="s">
        <v>430</v>
      </c>
      <c r="I753" s="1" t="s">
        <v>431</v>
      </c>
      <c r="J753" s="1" t="s">
        <v>79</v>
      </c>
      <c r="K753" t="s">
        <v>645</v>
      </c>
      <c r="M753" s="1" t="s">
        <v>58</v>
      </c>
      <c r="N753" s="1">
        <v>0</v>
      </c>
      <c r="O753" s="1" t="s">
        <v>105</v>
      </c>
      <c r="P753" s="186">
        <v>44896.49145833333</v>
      </c>
      <c r="R753" s="1">
        <v>2</v>
      </c>
      <c r="T753" s="1" t="s">
        <v>646</v>
      </c>
      <c r="U753" s="186">
        <v>44897.49145833333</v>
      </c>
      <c r="V753" s="1" t="s">
        <v>41</v>
      </c>
      <c r="W753" s="1" t="s">
        <v>49</v>
      </c>
      <c r="Z753" s="14"/>
      <c r="AA753" s="14"/>
      <c r="AC753" s="21"/>
      <c r="AE753" s="21"/>
    </row>
    <row r="754" spans="1:31" hidden="1">
      <c r="A754" s="1">
        <v>9126916</v>
      </c>
      <c r="B754" s="1" t="s">
        <v>101</v>
      </c>
      <c r="C754" t="s">
        <v>643</v>
      </c>
      <c r="D754" s="2">
        <v>220197812</v>
      </c>
      <c r="E754" s="2">
        <v>3243001400040</v>
      </c>
      <c r="F754" s="1" t="s">
        <v>644</v>
      </c>
      <c r="G754" s="1" t="s">
        <v>53</v>
      </c>
      <c r="H754" s="1" t="s">
        <v>282</v>
      </c>
      <c r="I754" s="1" t="s">
        <v>283</v>
      </c>
      <c r="J754" s="1" t="s">
        <v>46</v>
      </c>
      <c r="K754" t="s">
        <v>645</v>
      </c>
      <c r="M754" s="1" t="s">
        <v>58</v>
      </c>
      <c r="N754" s="1">
        <v>0</v>
      </c>
      <c r="O754" s="1" t="s">
        <v>105</v>
      </c>
      <c r="P754" s="186">
        <v>44896.480451388888</v>
      </c>
      <c r="R754" s="1">
        <v>3</v>
      </c>
      <c r="T754" s="1" t="s">
        <v>646</v>
      </c>
      <c r="U754" s="186">
        <v>44897.480451388888</v>
      </c>
      <c r="V754" s="1" t="s">
        <v>41</v>
      </c>
      <c r="W754" s="1" t="s">
        <v>49</v>
      </c>
      <c r="Z754" s="14"/>
      <c r="AA754" s="14"/>
      <c r="AC754" s="21"/>
      <c r="AE754" s="21"/>
    </row>
    <row r="755" spans="1:31" hidden="1">
      <c r="A755" s="1">
        <v>9126874</v>
      </c>
      <c r="B755" s="1" t="s">
        <v>101</v>
      </c>
      <c r="C755" t="s">
        <v>643</v>
      </c>
      <c r="D755" s="2">
        <v>220197782</v>
      </c>
      <c r="E755" s="2">
        <v>3108001400040</v>
      </c>
      <c r="F755" s="1" t="s">
        <v>644</v>
      </c>
      <c r="G755" s="1" t="s">
        <v>53</v>
      </c>
      <c r="H755" s="1" t="s">
        <v>325</v>
      </c>
      <c r="I755" s="1" t="s">
        <v>326</v>
      </c>
      <c r="J755" s="1" t="s">
        <v>46</v>
      </c>
      <c r="K755" t="s">
        <v>645</v>
      </c>
      <c r="M755" s="1" t="s">
        <v>58</v>
      </c>
      <c r="N755" s="1">
        <v>0</v>
      </c>
      <c r="O755" s="1" t="s">
        <v>105</v>
      </c>
      <c r="P755" s="186">
        <v>44896.478715277779</v>
      </c>
      <c r="R755" s="1">
        <v>3</v>
      </c>
      <c r="T755" s="1" t="s">
        <v>646</v>
      </c>
      <c r="U755" s="186">
        <v>44897.478715277779</v>
      </c>
      <c r="V755" s="1" t="s">
        <v>41</v>
      </c>
      <c r="W755" s="1" t="s">
        <v>49</v>
      </c>
      <c r="Z755" s="14"/>
      <c r="AA755" s="14"/>
      <c r="AC755" s="21"/>
      <c r="AE755" s="21"/>
    </row>
    <row r="756" spans="1:31" hidden="1">
      <c r="A756" s="1">
        <v>9126750</v>
      </c>
      <c r="B756" s="1" t="s">
        <v>101</v>
      </c>
      <c r="C756" t="s">
        <v>643</v>
      </c>
      <c r="D756" s="2">
        <v>220197982</v>
      </c>
      <c r="E756" s="2">
        <v>4012001400040</v>
      </c>
      <c r="F756" s="1" t="s">
        <v>644</v>
      </c>
      <c r="G756" s="1" t="s">
        <v>53</v>
      </c>
      <c r="H756" s="1" t="s">
        <v>349</v>
      </c>
      <c r="I756" s="1" t="s">
        <v>350</v>
      </c>
      <c r="J756" s="1" t="s">
        <v>261</v>
      </c>
      <c r="K756" t="s">
        <v>645</v>
      </c>
      <c r="M756" s="1" t="s">
        <v>58</v>
      </c>
      <c r="N756" s="1">
        <v>0</v>
      </c>
      <c r="O756" s="1" t="s">
        <v>105</v>
      </c>
      <c r="P756" s="186">
        <v>44896.474027777775</v>
      </c>
      <c r="R756" s="1">
        <v>3</v>
      </c>
      <c r="T756" s="1" t="s">
        <v>646</v>
      </c>
      <c r="U756" s="186">
        <v>44897.474027777775</v>
      </c>
      <c r="V756" s="1" t="s">
        <v>41</v>
      </c>
      <c r="W756" s="1" t="s">
        <v>49</v>
      </c>
      <c r="Z756" s="14"/>
      <c r="AA756" s="14"/>
      <c r="AC756" s="21"/>
      <c r="AE756" s="21"/>
    </row>
    <row r="757" spans="1:31" hidden="1">
      <c r="A757" s="1">
        <v>9126716</v>
      </c>
      <c r="B757" s="1" t="s">
        <v>101</v>
      </c>
      <c r="C757" t="s">
        <v>643</v>
      </c>
      <c r="D757" s="2">
        <v>220197478</v>
      </c>
      <c r="E757" s="2">
        <v>2018001400040</v>
      </c>
      <c r="F757" s="1" t="s">
        <v>644</v>
      </c>
      <c r="G757" s="1" t="s">
        <v>53</v>
      </c>
      <c r="H757" s="1" t="s">
        <v>598</v>
      </c>
      <c r="I757" s="1" t="s">
        <v>599</v>
      </c>
      <c r="J757" s="1" t="s">
        <v>79</v>
      </c>
      <c r="K757" t="s">
        <v>645</v>
      </c>
      <c r="M757" s="1" t="s">
        <v>58</v>
      </c>
      <c r="N757" s="1">
        <v>0</v>
      </c>
      <c r="O757" s="1" t="s">
        <v>105</v>
      </c>
      <c r="P757" s="186">
        <v>44896.471365740741</v>
      </c>
      <c r="R757" s="1">
        <v>2</v>
      </c>
      <c r="T757" s="1" t="s">
        <v>646</v>
      </c>
      <c r="U757" s="186">
        <v>44897.471377314818</v>
      </c>
      <c r="V757" s="1" t="s">
        <v>41</v>
      </c>
      <c r="W757" s="1" t="s">
        <v>49</v>
      </c>
      <c r="Z757" s="14"/>
      <c r="AA757" s="14"/>
      <c r="AC757" s="21"/>
      <c r="AE757" s="21"/>
    </row>
    <row r="758" spans="1:31" hidden="1">
      <c r="A758" s="1">
        <v>9126674</v>
      </c>
      <c r="B758" s="1" t="s">
        <v>101</v>
      </c>
      <c r="C758" t="s">
        <v>643</v>
      </c>
      <c r="D758" s="2">
        <v>220197259</v>
      </c>
      <c r="E758" s="2">
        <v>1291001400040</v>
      </c>
      <c r="F758" s="1" t="s">
        <v>644</v>
      </c>
      <c r="G758" s="1" t="s">
        <v>53</v>
      </c>
      <c r="H758" s="1" t="s">
        <v>136</v>
      </c>
      <c r="I758" s="1" t="s">
        <v>137</v>
      </c>
      <c r="J758" s="1" t="s">
        <v>33</v>
      </c>
      <c r="K758" t="s">
        <v>645</v>
      </c>
      <c r="M758" s="1" t="s">
        <v>58</v>
      </c>
      <c r="N758" s="1">
        <v>0</v>
      </c>
      <c r="O758" s="1" t="s">
        <v>105</v>
      </c>
      <c r="P758" s="186">
        <v>44896.469618055555</v>
      </c>
      <c r="R758" s="1">
        <v>3</v>
      </c>
      <c r="T758" s="1" t="s">
        <v>646</v>
      </c>
      <c r="U758" s="186">
        <v>44897.469629629632</v>
      </c>
      <c r="V758" s="1" t="s">
        <v>41</v>
      </c>
      <c r="W758" s="1" t="s">
        <v>42</v>
      </c>
      <c r="Z758" s="14"/>
      <c r="AA758" s="14"/>
      <c r="AC758" s="21"/>
      <c r="AE758" s="21"/>
    </row>
    <row r="759" spans="1:31" hidden="1">
      <c r="A759" s="1">
        <v>9126667</v>
      </c>
      <c r="B759" s="1" t="s">
        <v>101</v>
      </c>
      <c r="C759" t="s">
        <v>643</v>
      </c>
      <c r="D759" s="2">
        <v>220197252</v>
      </c>
      <c r="E759" s="2">
        <v>1264001400040</v>
      </c>
      <c r="F759" s="1" t="s">
        <v>644</v>
      </c>
      <c r="G759" s="1" t="s">
        <v>53</v>
      </c>
      <c r="H759" s="1" t="s">
        <v>351</v>
      </c>
      <c r="I759" s="1" t="s">
        <v>352</v>
      </c>
      <c r="J759" s="1" t="s">
        <v>110</v>
      </c>
      <c r="K759" t="s">
        <v>645</v>
      </c>
      <c r="M759" s="1" t="s">
        <v>58</v>
      </c>
      <c r="N759" s="1">
        <v>0</v>
      </c>
      <c r="O759" s="1" t="s">
        <v>105</v>
      </c>
      <c r="P759" s="186">
        <v>44896.469212962962</v>
      </c>
      <c r="R759" s="1">
        <v>2</v>
      </c>
      <c r="T759" s="1" t="s">
        <v>646</v>
      </c>
      <c r="U759" s="186">
        <v>44897.469212962962</v>
      </c>
      <c r="V759" s="1" t="s">
        <v>41</v>
      </c>
      <c r="W759" s="1" t="s">
        <v>49</v>
      </c>
      <c r="Z759" s="14"/>
      <c r="AA759" s="14"/>
      <c r="AC759" s="21"/>
      <c r="AE759" s="21"/>
    </row>
    <row r="760" spans="1:31" hidden="1">
      <c r="A760" s="1">
        <v>9126655</v>
      </c>
      <c r="B760" s="1" t="s">
        <v>101</v>
      </c>
      <c r="C760" t="s">
        <v>643</v>
      </c>
      <c r="D760" s="2">
        <v>220197635</v>
      </c>
      <c r="E760" s="2">
        <v>2529001400040</v>
      </c>
      <c r="F760" s="1" t="s">
        <v>644</v>
      </c>
      <c r="G760" s="1" t="s">
        <v>53</v>
      </c>
      <c r="H760" s="1" t="s">
        <v>355</v>
      </c>
      <c r="I760" s="1" t="s">
        <v>356</v>
      </c>
      <c r="J760" s="1" t="s">
        <v>56</v>
      </c>
      <c r="K760" t="s">
        <v>645</v>
      </c>
      <c r="M760" s="1" t="s">
        <v>58</v>
      </c>
      <c r="N760" s="1">
        <v>0</v>
      </c>
      <c r="O760" s="1" t="s">
        <v>105</v>
      </c>
      <c r="P760" s="186">
        <v>44896.468472222223</v>
      </c>
      <c r="R760" s="1">
        <v>2</v>
      </c>
      <c r="T760" s="1" t="s">
        <v>646</v>
      </c>
      <c r="U760" s="186">
        <v>44897.468472222223</v>
      </c>
      <c r="V760" s="1" t="s">
        <v>41</v>
      </c>
      <c r="W760" s="1" t="s">
        <v>49</v>
      </c>
      <c r="Z760" s="14"/>
      <c r="AA760" s="14"/>
      <c r="AC760" s="21"/>
      <c r="AE760" s="21"/>
    </row>
    <row r="761" spans="1:31" hidden="1">
      <c r="A761" s="1">
        <v>9126627</v>
      </c>
      <c r="B761" s="1" t="s">
        <v>101</v>
      </c>
      <c r="C761" t="s">
        <v>643</v>
      </c>
      <c r="D761" s="2">
        <v>220197615</v>
      </c>
      <c r="E761" s="2">
        <v>2473001400040</v>
      </c>
      <c r="F761" s="1" t="s">
        <v>644</v>
      </c>
      <c r="G761" s="1" t="s">
        <v>53</v>
      </c>
      <c r="H761" s="1" t="s">
        <v>1459</v>
      </c>
      <c r="I761" s="1" t="s">
        <v>1460</v>
      </c>
      <c r="J761" s="1" t="s">
        <v>261</v>
      </c>
      <c r="K761" t="s">
        <v>645</v>
      </c>
      <c r="M761" s="1" t="s">
        <v>58</v>
      </c>
      <c r="N761" s="1">
        <v>0</v>
      </c>
      <c r="O761" s="1" t="s">
        <v>105</v>
      </c>
      <c r="P761" s="186">
        <v>44896.467326388891</v>
      </c>
      <c r="R761" s="1">
        <v>2</v>
      </c>
      <c r="T761" s="1" t="s">
        <v>646</v>
      </c>
      <c r="U761" s="186">
        <v>44897.467326388891</v>
      </c>
      <c r="V761" s="1" t="s">
        <v>41</v>
      </c>
      <c r="W761" s="1" t="s">
        <v>49</v>
      </c>
      <c r="Z761" s="14"/>
      <c r="AA761" s="14"/>
      <c r="AC761" s="21"/>
      <c r="AE761" s="21"/>
    </row>
    <row r="762" spans="1:31" hidden="1">
      <c r="A762" s="1">
        <v>9126604</v>
      </c>
      <c r="B762" s="1" t="s">
        <v>101</v>
      </c>
      <c r="C762" t="s">
        <v>643</v>
      </c>
      <c r="D762" s="2">
        <v>220197647</v>
      </c>
      <c r="E762" s="2">
        <v>2564001400040</v>
      </c>
      <c r="F762" s="1" t="s">
        <v>644</v>
      </c>
      <c r="G762" s="1" t="s">
        <v>53</v>
      </c>
      <c r="H762" s="1" t="s">
        <v>255</v>
      </c>
      <c r="I762" s="1" t="s">
        <v>256</v>
      </c>
      <c r="J762" s="1" t="s">
        <v>164</v>
      </c>
      <c r="K762" t="s">
        <v>645</v>
      </c>
      <c r="M762" s="1" t="s">
        <v>58</v>
      </c>
      <c r="N762" s="1">
        <v>0</v>
      </c>
      <c r="O762" s="1" t="s">
        <v>105</v>
      </c>
      <c r="P762" s="186">
        <v>44896.466203703705</v>
      </c>
      <c r="R762" s="1">
        <v>3</v>
      </c>
      <c r="T762" s="1" t="s">
        <v>646</v>
      </c>
      <c r="U762" s="186">
        <v>44897.466215277775</v>
      </c>
      <c r="V762" s="1" t="s">
        <v>41</v>
      </c>
      <c r="W762" s="1" t="s">
        <v>49</v>
      </c>
      <c r="Z762" s="14"/>
      <c r="AA762" s="14"/>
      <c r="AC762" s="21"/>
      <c r="AE762" s="21"/>
    </row>
    <row r="763" spans="1:31" hidden="1">
      <c r="A763" s="1">
        <v>9126586</v>
      </c>
      <c r="B763" s="1" t="s">
        <v>101</v>
      </c>
      <c r="C763" t="s">
        <v>643</v>
      </c>
      <c r="D763" s="2">
        <v>220197595</v>
      </c>
      <c r="E763" s="2">
        <v>2413001400040</v>
      </c>
      <c r="F763" s="1" t="s">
        <v>644</v>
      </c>
      <c r="G763" s="1" t="s">
        <v>53</v>
      </c>
      <c r="H763" s="1" t="s">
        <v>505</v>
      </c>
      <c r="I763" s="1" t="s">
        <v>506</v>
      </c>
      <c r="J763" s="1" t="s">
        <v>141</v>
      </c>
      <c r="K763" t="s">
        <v>645</v>
      </c>
      <c r="M763" s="1" t="s">
        <v>58</v>
      </c>
      <c r="N763" s="1">
        <v>0</v>
      </c>
      <c r="O763" s="1" t="s">
        <v>105</v>
      </c>
      <c r="P763" s="186">
        <v>44896.465173611112</v>
      </c>
      <c r="R763" s="1">
        <v>2</v>
      </c>
      <c r="T763" s="1" t="s">
        <v>646</v>
      </c>
      <c r="U763" s="186">
        <v>44897.465185185189</v>
      </c>
      <c r="V763" s="1" t="s">
        <v>41</v>
      </c>
      <c r="W763" s="1" t="s">
        <v>49</v>
      </c>
      <c r="Z763" s="14"/>
      <c r="AA763" s="14"/>
      <c r="AC763" s="21"/>
      <c r="AE763" s="21"/>
    </row>
    <row r="764" spans="1:31" hidden="1">
      <c r="A764" s="1">
        <v>9126537</v>
      </c>
      <c r="B764" s="1" t="s">
        <v>101</v>
      </c>
      <c r="C764" t="s">
        <v>643</v>
      </c>
      <c r="D764" s="2">
        <v>220197299</v>
      </c>
      <c r="E764" s="2">
        <v>1363001400040</v>
      </c>
      <c r="F764" s="1" t="s">
        <v>644</v>
      </c>
      <c r="G764" s="1" t="s">
        <v>53</v>
      </c>
      <c r="H764" s="1" t="s">
        <v>108</v>
      </c>
      <c r="I764" s="1" t="s">
        <v>109</v>
      </c>
      <c r="J764" s="1" t="s">
        <v>110</v>
      </c>
      <c r="K764" t="s">
        <v>645</v>
      </c>
      <c r="M764" s="1" t="s">
        <v>58</v>
      </c>
      <c r="N764" s="1">
        <v>0</v>
      </c>
      <c r="O764" s="1" t="s">
        <v>105</v>
      </c>
      <c r="P764" s="186">
        <v>44896.462777777779</v>
      </c>
      <c r="R764" s="1">
        <v>3</v>
      </c>
      <c r="T764" s="1" t="s">
        <v>646</v>
      </c>
      <c r="U764" s="186">
        <v>44897.462789351855</v>
      </c>
      <c r="V764" s="1" t="s">
        <v>41</v>
      </c>
      <c r="W764" s="1" t="s">
        <v>49</v>
      </c>
      <c r="Z764" s="14"/>
      <c r="AA764" s="14"/>
      <c r="AC764" s="21"/>
      <c r="AE764" s="21"/>
    </row>
    <row r="765" spans="1:31" hidden="1">
      <c r="A765" s="1">
        <v>9126536</v>
      </c>
      <c r="B765" s="1" t="s">
        <v>101</v>
      </c>
      <c r="C765" t="s">
        <v>643</v>
      </c>
      <c r="D765" s="2">
        <v>220197298</v>
      </c>
      <c r="E765" s="2">
        <v>1362001400040</v>
      </c>
      <c r="F765" s="1" t="s">
        <v>644</v>
      </c>
      <c r="G765" s="1" t="s">
        <v>53</v>
      </c>
      <c r="H765" s="1" t="s">
        <v>268</v>
      </c>
      <c r="I765" s="1" t="s">
        <v>269</v>
      </c>
      <c r="J765" s="1" t="s">
        <v>90</v>
      </c>
      <c r="K765" t="s">
        <v>645</v>
      </c>
      <c r="M765" s="1" t="s">
        <v>58</v>
      </c>
      <c r="N765" s="1">
        <v>0</v>
      </c>
      <c r="O765" s="1" t="s">
        <v>105</v>
      </c>
      <c r="P765" s="186">
        <v>44896.462708333333</v>
      </c>
      <c r="R765" s="1">
        <v>3</v>
      </c>
      <c r="T765" s="1" t="s">
        <v>646</v>
      </c>
      <c r="U765" s="186">
        <v>44897.462708333333</v>
      </c>
      <c r="V765" s="1" t="s">
        <v>41</v>
      </c>
      <c r="W765" s="1" t="s">
        <v>49</v>
      </c>
      <c r="Z765" s="14"/>
      <c r="AA765" s="14"/>
      <c r="AC765" s="21"/>
      <c r="AE765" s="21"/>
    </row>
    <row r="766" spans="1:31" hidden="1">
      <c r="A766" s="1">
        <v>9126535</v>
      </c>
      <c r="B766" s="1" t="s">
        <v>101</v>
      </c>
      <c r="C766" t="s">
        <v>643</v>
      </c>
      <c r="D766" s="2">
        <v>220197297</v>
      </c>
      <c r="E766" s="2">
        <v>1360001400040</v>
      </c>
      <c r="F766" s="1" t="s">
        <v>644</v>
      </c>
      <c r="G766" s="1" t="s">
        <v>53</v>
      </c>
      <c r="H766" s="1" t="s">
        <v>303</v>
      </c>
      <c r="I766" s="1" t="s">
        <v>304</v>
      </c>
      <c r="J766" s="1" t="s">
        <v>261</v>
      </c>
      <c r="K766" t="s">
        <v>645</v>
      </c>
      <c r="M766" s="1" t="s">
        <v>58</v>
      </c>
      <c r="N766" s="1">
        <v>0</v>
      </c>
      <c r="O766" s="1" t="s">
        <v>105</v>
      </c>
      <c r="P766" s="186">
        <v>44896.462638888886</v>
      </c>
      <c r="R766" s="1">
        <v>3</v>
      </c>
      <c r="T766" s="1" t="s">
        <v>646</v>
      </c>
      <c r="U766" s="186">
        <v>44897.462650462963</v>
      </c>
      <c r="V766" s="1" t="s">
        <v>41</v>
      </c>
      <c r="W766" s="1" t="s">
        <v>49</v>
      </c>
      <c r="Z766" s="14"/>
      <c r="AA766" s="14"/>
      <c r="AC766" s="21"/>
      <c r="AE766" s="21"/>
    </row>
    <row r="767" spans="1:31" hidden="1">
      <c r="A767" s="1">
        <v>9126534</v>
      </c>
      <c r="B767" s="1" t="s">
        <v>101</v>
      </c>
      <c r="C767" t="s">
        <v>643</v>
      </c>
      <c r="D767" s="2">
        <v>220197296</v>
      </c>
      <c r="E767" s="2">
        <v>1359001400040</v>
      </c>
      <c r="F767" s="1" t="s">
        <v>644</v>
      </c>
      <c r="G767" s="1" t="s">
        <v>53</v>
      </c>
      <c r="H767" s="1" t="s">
        <v>270</v>
      </c>
      <c r="I767" s="1" t="s">
        <v>271</v>
      </c>
      <c r="J767" s="1" t="s">
        <v>141</v>
      </c>
      <c r="K767" t="s">
        <v>645</v>
      </c>
      <c r="M767" s="1" t="s">
        <v>58</v>
      </c>
      <c r="N767" s="1">
        <v>0</v>
      </c>
      <c r="O767" s="1" t="s">
        <v>105</v>
      </c>
      <c r="P767" s="186">
        <v>44896.462569444448</v>
      </c>
      <c r="R767" s="1">
        <v>2</v>
      </c>
      <c r="T767" s="1" t="s">
        <v>646</v>
      </c>
      <c r="U767" s="186">
        <v>44897.462569444448</v>
      </c>
      <c r="V767" s="1" t="s">
        <v>41</v>
      </c>
      <c r="W767" s="1" t="s">
        <v>49</v>
      </c>
      <c r="Z767" s="14"/>
      <c r="AA767" s="14"/>
      <c r="AC767" s="21"/>
      <c r="AE767" s="21"/>
    </row>
    <row r="768" spans="1:31" hidden="1">
      <c r="A768" s="1">
        <v>9126515</v>
      </c>
      <c r="B768" s="1" t="s">
        <v>101</v>
      </c>
      <c r="C768" t="s">
        <v>643</v>
      </c>
      <c r="D768" s="2">
        <v>220197245</v>
      </c>
      <c r="E768" s="2">
        <v>1245001400040</v>
      </c>
      <c r="F768" s="1" t="s">
        <v>644</v>
      </c>
      <c r="G768" s="1" t="s">
        <v>53</v>
      </c>
      <c r="H768" s="1" t="s">
        <v>408</v>
      </c>
      <c r="I768" s="1" t="s">
        <v>409</v>
      </c>
      <c r="J768" s="1" t="s">
        <v>46</v>
      </c>
      <c r="K768" t="s">
        <v>645</v>
      </c>
      <c r="M768" s="1" t="s">
        <v>58</v>
      </c>
      <c r="N768" s="1">
        <v>0</v>
      </c>
      <c r="O768" s="1" t="s">
        <v>105</v>
      </c>
      <c r="P768" s="186">
        <v>44896.461180555554</v>
      </c>
      <c r="R768" s="1">
        <v>2</v>
      </c>
      <c r="T768" s="1" t="s">
        <v>646</v>
      </c>
      <c r="U768" s="186">
        <v>44897.461192129631</v>
      </c>
      <c r="V768" s="1" t="s">
        <v>41</v>
      </c>
      <c r="W768" s="1" t="s">
        <v>49</v>
      </c>
      <c r="Z768" s="14"/>
      <c r="AA768" s="14"/>
      <c r="AC768" s="21"/>
      <c r="AE768" s="21"/>
    </row>
    <row r="769" spans="1:31" hidden="1">
      <c r="A769" s="1">
        <v>9126424</v>
      </c>
      <c r="B769" s="1" t="s">
        <v>101</v>
      </c>
      <c r="C769" t="s">
        <v>643</v>
      </c>
      <c r="D769" s="2">
        <v>220197448</v>
      </c>
      <c r="E769" s="2">
        <v>1792001400040</v>
      </c>
      <c r="F769" s="1" t="s">
        <v>644</v>
      </c>
      <c r="G769" s="1" t="s">
        <v>53</v>
      </c>
      <c r="H769" s="1" t="s">
        <v>467</v>
      </c>
      <c r="I769" s="1" t="s">
        <v>468</v>
      </c>
      <c r="J769" s="1" t="s">
        <v>110</v>
      </c>
      <c r="K769" t="s">
        <v>645</v>
      </c>
      <c r="M769" s="1" t="s">
        <v>58</v>
      </c>
      <c r="N769" s="1">
        <v>0</v>
      </c>
      <c r="O769" s="1" t="s">
        <v>105</v>
      </c>
      <c r="P769" s="186">
        <v>44896.457650462966</v>
      </c>
      <c r="R769" s="1">
        <v>2</v>
      </c>
      <c r="T769" s="1" t="s">
        <v>646</v>
      </c>
      <c r="U769" s="186">
        <v>44897.457662037035</v>
      </c>
      <c r="V769" s="1" t="s">
        <v>41</v>
      </c>
      <c r="W769" s="1" t="s">
        <v>49</v>
      </c>
      <c r="Z769" s="14"/>
      <c r="AA769" s="14"/>
      <c r="AC769" s="21"/>
      <c r="AE769" s="21"/>
    </row>
    <row r="770" spans="1:31" hidden="1">
      <c r="A770" s="1">
        <v>9126382</v>
      </c>
      <c r="B770" s="1" t="s">
        <v>101</v>
      </c>
      <c r="C770" t="s">
        <v>643</v>
      </c>
      <c r="D770" s="2">
        <v>220197425</v>
      </c>
      <c r="E770" s="2">
        <v>1732001400040</v>
      </c>
      <c r="F770" s="1" t="s">
        <v>644</v>
      </c>
      <c r="G770" s="1" t="s">
        <v>53</v>
      </c>
      <c r="H770" s="1" t="s">
        <v>177</v>
      </c>
      <c r="I770" s="1" t="s">
        <v>178</v>
      </c>
      <c r="J770" s="1" t="s">
        <v>164</v>
      </c>
      <c r="K770" t="s">
        <v>645</v>
      </c>
      <c r="M770" s="1" t="s">
        <v>58</v>
      </c>
      <c r="N770" s="1">
        <v>0</v>
      </c>
      <c r="O770" s="1" t="s">
        <v>105</v>
      </c>
      <c r="P770" s="186">
        <v>44896.456192129626</v>
      </c>
      <c r="R770" s="1">
        <v>3</v>
      </c>
      <c r="T770" s="1" t="s">
        <v>646</v>
      </c>
      <c r="U770" s="186">
        <v>44897.456192129626</v>
      </c>
      <c r="V770" s="1" t="s">
        <v>41</v>
      </c>
      <c r="W770" s="1" t="s">
        <v>49</v>
      </c>
      <c r="Z770" s="14"/>
      <c r="AA770" s="14"/>
      <c r="AC770" s="21"/>
      <c r="AE770" s="21"/>
    </row>
    <row r="771" spans="1:31" hidden="1">
      <c r="A771" s="1">
        <v>9126343</v>
      </c>
      <c r="B771" s="1" t="s">
        <v>101</v>
      </c>
      <c r="C771" t="s">
        <v>643</v>
      </c>
      <c r="D771" s="2">
        <v>220197402</v>
      </c>
      <c r="E771" s="2">
        <v>1664001400040</v>
      </c>
      <c r="F771" s="1" t="s">
        <v>644</v>
      </c>
      <c r="G771" s="1" t="s">
        <v>53</v>
      </c>
      <c r="H771" s="1" t="s">
        <v>307</v>
      </c>
      <c r="I771" s="1" t="s">
        <v>308</v>
      </c>
      <c r="J771" s="1" t="s">
        <v>164</v>
      </c>
      <c r="K771" t="s">
        <v>645</v>
      </c>
      <c r="M771" s="1" t="s">
        <v>58</v>
      </c>
      <c r="N771" s="1">
        <v>0</v>
      </c>
      <c r="O771" s="1" t="s">
        <v>105</v>
      </c>
      <c r="P771" s="11" t="s">
        <v>1536</v>
      </c>
      <c r="R771" s="1">
        <v>2</v>
      </c>
      <c r="T771" s="1" t="s">
        <v>646</v>
      </c>
      <c r="U771" s="186">
        <v>44897.454652777778</v>
      </c>
      <c r="V771" s="1" t="s">
        <v>41</v>
      </c>
      <c r="W771" s="1" t="s">
        <v>49</v>
      </c>
      <c r="Z771" s="14"/>
      <c r="AA771" s="14"/>
      <c r="AC771" s="21"/>
      <c r="AE771" s="21"/>
    </row>
    <row r="772" spans="1:31" hidden="1">
      <c r="A772" s="1">
        <v>9126340</v>
      </c>
      <c r="B772" s="1" t="s">
        <v>101</v>
      </c>
      <c r="C772" t="s">
        <v>643</v>
      </c>
      <c r="D772" s="2">
        <v>220197678</v>
      </c>
      <c r="E772" s="2">
        <v>2678001400040</v>
      </c>
      <c r="F772" s="1" t="s">
        <v>644</v>
      </c>
      <c r="G772" s="1" t="s">
        <v>53</v>
      </c>
      <c r="H772" s="1" t="s">
        <v>992</v>
      </c>
      <c r="I772" s="1" t="s">
        <v>993</v>
      </c>
      <c r="J772" s="1" t="s">
        <v>33</v>
      </c>
      <c r="K772" t="s">
        <v>645</v>
      </c>
      <c r="M772" s="1" t="s">
        <v>58</v>
      </c>
      <c r="N772" s="1">
        <v>0</v>
      </c>
      <c r="O772" s="1" t="s">
        <v>105</v>
      </c>
      <c r="P772" s="11" t="s">
        <v>1538</v>
      </c>
      <c r="R772" s="1">
        <v>2</v>
      </c>
      <c r="T772" s="1" t="s">
        <v>646</v>
      </c>
      <c r="U772" s="186">
        <v>44897.454456018517</v>
      </c>
      <c r="V772" s="1" t="s">
        <v>41</v>
      </c>
      <c r="W772" s="1" t="s">
        <v>42</v>
      </c>
      <c r="Z772" s="14"/>
      <c r="AA772" s="14"/>
      <c r="AC772" s="21"/>
      <c r="AE772" s="21"/>
    </row>
    <row r="773" spans="1:31" hidden="1">
      <c r="A773" s="1">
        <v>9126315</v>
      </c>
      <c r="B773" s="1" t="s">
        <v>101</v>
      </c>
      <c r="C773" t="s">
        <v>643</v>
      </c>
      <c r="D773" s="2">
        <v>220196945</v>
      </c>
      <c r="E773" s="2">
        <v>673001400040</v>
      </c>
      <c r="F773" s="1" t="s">
        <v>644</v>
      </c>
      <c r="G773" s="1" t="s">
        <v>53</v>
      </c>
      <c r="H773" s="1" t="s">
        <v>581</v>
      </c>
      <c r="I773" s="1" t="s">
        <v>582</v>
      </c>
      <c r="J773" s="1" t="s">
        <v>110</v>
      </c>
      <c r="K773" t="s">
        <v>645</v>
      </c>
      <c r="M773" s="1" t="s">
        <v>58</v>
      </c>
      <c r="N773" s="1">
        <v>0</v>
      </c>
      <c r="O773" s="1" t="s">
        <v>105</v>
      </c>
      <c r="P773" s="11" t="s">
        <v>1540</v>
      </c>
      <c r="R773" s="1">
        <v>2</v>
      </c>
      <c r="T773" s="1" t="s">
        <v>646</v>
      </c>
      <c r="U773" s="186">
        <v>44897.452557870369</v>
      </c>
      <c r="V773" s="1" t="s">
        <v>41</v>
      </c>
      <c r="W773" s="1" t="s">
        <v>49</v>
      </c>
      <c r="Z773" s="14"/>
      <c r="AA773" s="14"/>
      <c r="AC773" s="21"/>
      <c r="AE773" s="21"/>
    </row>
    <row r="774" spans="1:31" hidden="1">
      <c r="A774" s="1">
        <v>9126276</v>
      </c>
      <c r="B774" s="1" t="s">
        <v>101</v>
      </c>
      <c r="C774" t="s">
        <v>643</v>
      </c>
      <c r="D774" s="2">
        <v>220197114</v>
      </c>
      <c r="E774" s="2">
        <v>981001400040</v>
      </c>
      <c r="F774" s="1" t="s">
        <v>644</v>
      </c>
      <c r="G774" s="1" t="s">
        <v>53</v>
      </c>
      <c r="H774" s="1" t="s">
        <v>410</v>
      </c>
      <c r="I774" s="1" t="s">
        <v>411</v>
      </c>
      <c r="J774" s="1" t="s">
        <v>85</v>
      </c>
      <c r="K774" t="s">
        <v>645</v>
      </c>
      <c r="M774" s="1" t="s">
        <v>58</v>
      </c>
      <c r="N774" s="1">
        <v>0</v>
      </c>
      <c r="O774" s="1" t="s">
        <v>105</v>
      </c>
      <c r="P774" s="11" t="s">
        <v>1542</v>
      </c>
      <c r="R774" s="1">
        <v>3</v>
      </c>
      <c r="T774" s="1" t="s">
        <v>646</v>
      </c>
      <c r="U774" s="186">
        <v>44897.450682870367</v>
      </c>
      <c r="V774" s="1" t="s">
        <v>41</v>
      </c>
      <c r="W774" s="1" t="s">
        <v>49</v>
      </c>
      <c r="Z774" s="14"/>
      <c r="AA774" s="14"/>
      <c r="AC774" s="21"/>
      <c r="AE774" s="21"/>
    </row>
    <row r="775" spans="1:31" hidden="1">
      <c r="A775" s="1">
        <v>9126219</v>
      </c>
      <c r="B775" s="1" t="s">
        <v>101</v>
      </c>
      <c r="C775" t="s">
        <v>643</v>
      </c>
      <c r="D775" s="2">
        <v>220196904</v>
      </c>
      <c r="E775" s="2">
        <v>608001400040</v>
      </c>
      <c r="F775" s="1" t="s">
        <v>644</v>
      </c>
      <c r="G775" s="1" t="s">
        <v>53</v>
      </c>
      <c r="H775" s="1" t="s">
        <v>438</v>
      </c>
      <c r="I775" s="1" t="s">
        <v>439</v>
      </c>
      <c r="J775" s="1" t="s">
        <v>148</v>
      </c>
      <c r="K775" t="s">
        <v>645</v>
      </c>
      <c r="M775" s="1" t="s">
        <v>58</v>
      </c>
      <c r="N775" s="1">
        <v>0</v>
      </c>
      <c r="O775" s="1" t="s">
        <v>105</v>
      </c>
      <c r="P775" s="11" t="s">
        <v>1544</v>
      </c>
      <c r="R775" s="1">
        <v>3</v>
      </c>
      <c r="T775" s="1" t="s">
        <v>646</v>
      </c>
      <c r="U775" s="186">
        <v>44897.447650462964</v>
      </c>
      <c r="V775" s="1" t="s">
        <v>41</v>
      </c>
      <c r="W775" s="1" t="s">
        <v>49</v>
      </c>
      <c r="Z775" s="14"/>
      <c r="AA775" s="14"/>
      <c r="AC775" s="21"/>
      <c r="AE775" s="21"/>
    </row>
    <row r="776" spans="1:31" hidden="1">
      <c r="A776" s="1">
        <v>9126206</v>
      </c>
      <c r="B776" s="1" t="s">
        <v>101</v>
      </c>
      <c r="C776" t="s">
        <v>643</v>
      </c>
      <c r="D776" s="2">
        <v>220196891</v>
      </c>
      <c r="E776" s="2">
        <v>582001400040</v>
      </c>
      <c r="F776" s="1" t="s">
        <v>644</v>
      </c>
      <c r="G776" s="1" t="s">
        <v>53</v>
      </c>
      <c r="H776" s="1" t="s">
        <v>139</v>
      </c>
      <c r="I776" s="1" t="s">
        <v>140</v>
      </c>
      <c r="J776" s="1" t="s">
        <v>141</v>
      </c>
      <c r="K776" t="s">
        <v>645</v>
      </c>
      <c r="M776" s="1" t="s">
        <v>58</v>
      </c>
      <c r="N776" s="1">
        <v>0</v>
      </c>
      <c r="O776" s="1" t="s">
        <v>105</v>
      </c>
      <c r="P776" s="11" t="s">
        <v>1546</v>
      </c>
      <c r="R776" s="1">
        <v>3</v>
      </c>
      <c r="T776" s="1" t="s">
        <v>646</v>
      </c>
      <c r="U776" s="186">
        <v>44897.446828703702</v>
      </c>
      <c r="V776" s="1" t="s">
        <v>41</v>
      </c>
      <c r="W776" s="1" t="s">
        <v>49</v>
      </c>
      <c r="Z776" s="14"/>
      <c r="AA776" s="14"/>
      <c r="AC776" s="21"/>
      <c r="AE776" s="21"/>
    </row>
    <row r="777" spans="1:31" hidden="1">
      <c r="A777" s="1">
        <v>9126187</v>
      </c>
      <c r="B777" s="1" t="s">
        <v>101</v>
      </c>
      <c r="C777" t="s">
        <v>643</v>
      </c>
      <c r="D777" s="2">
        <v>220196872</v>
      </c>
      <c r="E777" s="2">
        <v>550001400040</v>
      </c>
      <c r="F777" s="1" t="s">
        <v>644</v>
      </c>
      <c r="G777" s="1" t="s">
        <v>53</v>
      </c>
      <c r="H777" s="1" t="s">
        <v>337</v>
      </c>
      <c r="I777" s="1" t="s">
        <v>338</v>
      </c>
      <c r="J777" s="1" t="s">
        <v>164</v>
      </c>
      <c r="K777" t="s">
        <v>645</v>
      </c>
      <c r="M777" s="1" t="s">
        <v>58</v>
      </c>
      <c r="N777" s="1">
        <v>0</v>
      </c>
      <c r="O777" s="1" t="s">
        <v>105</v>
      </c>
      <c r="P777" s="11" t="s">
        <v>1548</v>
      </c>
      <c r="R777" s="1">
        <v>3</v>
      </c>
      <c r="T777" s="1" t="s">
        <v>646</v>
      </c>
      <c r="U777" s="186">
        <v>44897.445636574077</v>
      </c>
      <c r="V777" s="1" t="s">
        <v>41</v>
      </c>
      <c r="W777" s="1" t="s">
        <v>49</v>
      </c>
      <c r="Z777" s="14"/>
      <c r="AA777" s="14"/>
      <c r="AC777" s="21"/>
      <c r="AE777" s="21"/>
    </row>
    <row r="778" spans="1:31" hidden="1">
      <c r="A778" s="1">
        <v>9126178</v>
      </c>
      <c r="B778" s="1" t="s">
        <v>101</v>
      </c>
      <c r="C778" t="s">
        <v>643</v>
      </c>
      <c r="D778" s="2">
        <v>220196867</v>
      </c>
      <c r="E778" s="2">
        <v>537001400040</v>
      </c>
      <c r="F778" s="1" t="s">
        <v>644</v>
      </c>
      <c r="G778" s="1" t="s">
        <v>53</v>
      </c>
      <c r="H778" s="1" t="s">
        <v>442</v>
      </c>
      <c r="I778" s="1" t="s">
        <v>443</v>
      </c>
      <c r="J778" s="1" t="s">
        <v>79</v>
      </c>
      <c r="K778" t="s">
        <v>645</v>
      </c>
      <c r="M778" s="1" t="s">
        <v>58</v>
      </c>
      <c r="N778" s="1">
        <v>0</v>
      </c>
      <c r="O778" s="1" t="s">
        <v>105</v>
      </c>
      <c r="P778" s="11" t="s">
        <v>1550</v>
      </c>
      <c r="R778" s="1">
        <v>2</v>
      </c>
      <c r="T778" s="1" t="s">
        <v>646</v>
      </c>
      <c r="U778" s="186">
        <v>44897.445023148146</v>
      </c>
      <c r="V778" s="1" t="s">
        <v>41</v>
      </c>
      <c r="W778" s="1" t="s">
        <v>49</v>
      </c>
      <c r="Z778" s="14"/>
      <c r="AA778" s="14"/>
      <c r="AC778" s="21"/>
      <c r="AE778" s="21"/>
    </row>
    <row r="779" spans="1:31" hidden="1">
      <c r="A779" s="1">
        <v>9126149</v>
      </c>
      <c r="B779" s="1" t="s">
        <v>101</v>
      </c>
      <c r="C779" t="s">
        <v>643</v>
      </c>
      <c r="D779" s="2">
        <v>220197129</v>
      </c>
      <c r="E779" s="2">
        <v>1012001400040</v>
      </c>
      <c r="F779" s="1" t="s">
        <v>644</v>
      </c>
      <c r="G779" s="1" t="s">
        <v>53</v>
      </c>
      <c r="H779" s="1" t="s">
        <v>172</v>
      </c>
      <c r="I779" s="1" t="s">
        <v>173</v>
      </c>
      <c r="J779" s="1" t="s">
        <v>164</v>
      </c>
      <c r="K779" t="s">
        <v>645</v>
      </c>
      <c r="M779" s="1" t="s">
        <v>58</v>
      </c>
      <c r="N779" s="1">
        <v>0</v>
      </c>
      <c r="O779" s="1" t="s">
        <v>105</v>
      </c>
      <c r="P779" s="11" t="s">
        <v>1551</v>
      </c>
      <c r="R779" s="1">
        <v>2</v>
      </c>
      <c r="T779" s="1" t="s">
        <v>646</v>
      </c>
      <c r="U779" s="186">
        <v>44897.443888888891</v>
      </c>
      <c r="V779" s="1" t="s">
        <v>41</v>
      </c>
      <c r="W779" s="1" t="s">
        <v>49</v>
      </c>
      <c r="Z779" s="14"/>
      <c r="AA779" s="14"/>
      <c r="AC779" s="21"/>
      <c r="AE779" s="21"/>
    </row>
    <row r="780" spans="1:31" hidden="1">
      <c r="A780" s="1">
        <v>9126105</v>
      </c>
      <c r="B780" s="1" t="s">
        <v>101</v>
      </c>
      <c r="C780" t="s">
        <v>643</v>
      </c>
      <c r="D780" s="2">
        <v>220197072</v>
      </c>
      <c r="E780" s="2">
        <v>899001400040</v>
      </c>
      <c r="F780" s="1" t="s">
        <v>644</v>
      </c>
      <c r="G780" s="1" t="s">
        <v>53</v>
      </c>
      <c r="H780" s="1" t="s">
        <v>175</v>
      </c>
      <c r="I780" s="1" t="s">
        <v>176</v>
      </c>
      <c r="J780" s="1" t="s">
        <v>90</v>
      </c>
      <c r="K780" t="s">
        <v>645</v>
      </c>
      <c r="M780" s="1" t="s">
        <v>58</v>
      </c>
      <c r="N780" s="1">
        <v>0</v>
      </c>
      <c r="O780" s="1" t="s">
        <v>36</v>
      </c>
      <c r="P780" s="11" t="s">
        <v>1553</v>
      </c>
      <c r="R780" s="1">
        <v>2</v>
      </c>
      <c r="T780" s="1" t="s">
        <v>646</v>
      </c>
      <c r="U780" s="186">
        <v>44897.441180555557</v>
      </c>
      <c r="V780" s="1" t="s">
        <v>41</v>
      </c>
      <c r="W780" s="1" t="s">
        <v>49</v>
      </c>
      <c r="Z780" s="14"/>
      <c r="AA780" s="14"/>
      <c r="AC780" s="21"/>
      <c r="AE780" s="21"/>
    </row>
    <row r="781" spans="1:31" hidden="1">
      <c r="A781" s="1">
        <v>9125943</v>
      </c>
      <c r="B781" s="1" t="s">
        <v>101</v>
      </c>
      <c r="C781" t="s">
        <v>643</v>
      </c>
      <c r="D781" s="2">
        <v>220197093</v>
      </c>
      <c r="E781" s="2">
        <v>934001400040</v>
      </c>
      <c r="F781" s="1" t="s">
        <v>644</v>
      </c>
      <c r="G781" s="1" t="s">
        <v>53</v>
      </c>
      <c r="H781" s="1" t="s">
        <v>428</v>
      </c>
      <c r="I781" s="1" t="s">
        <v>429</v>
      </c>
      <c r="J781" s="1" t="s">
        <v>46</v>
      </c>
      <c r="K781" t="s">
        <v>645</v>
      </c>
      <c r="M781" s="1" t="s">
        <v>58</v>
      </c>
      <c r="N781" s="1">
        <v>0</v>
      </c>
      <c r="O781" s="1" t="s">
        <v>105</v>
      </c>
      <c r="P781" s="11" t="s">
        <v>1555</v>
      </c>
      <c r="R781" s="1">
        <v>2</v>
      </c>
      <c r="T781" s="1" t="s">
        <v>646</v>
      </c>
      <c r="U781" s="186">
        <v>44897.434560185182</v>
      </c>
      <c r="V781" s="1" t="s">
        <v>41</v>
      </c>
      <c r="W781" s="1" t="s">
        <v>49</v>
      </c>
      <c r="Z781" s="14"/>
      <c r="AA781" s="14"/>
      <c r="AC781" s="21"/>
      <c r="AE781" s="21"/>
    </row>
    <row r="782" spans="1:31" hidden="1">
      <c r="A782" s="1">
        <v>9125924</v>
      </c>
      <c r="B782" s="1" t="s">
        <v>101</v>
      </c>
      <c r="C782" t="s">
        <v>643</v>
      </c>
      <c r="D782" s="2">
        <v>220197082</v>
      </c>
      <c r="E782" s="2">
        <v>922001400040</v>
      </c>
      <c r="F782" s="1" t="s">
        <v>644</v>
      </c>
      <c r="G782" s="1" t="s">
        <v>53</v>
      </c>
      <c r="H782" s="1" t="s">
        <v>1375</v>
      </c>
      <c r="I782" s="1" t="s">
        <v>1376</v>
      </c>
      <c r="J782" s="1" t="s">
        <v>261</v>
      </c>
      <c r="K782" t="s">
        <v>645</v>
      </c>
      <c r="M782" s="1" t="s">
        <v>58</v>
      </c>
      <c r="N782" s="1">
        <v>0</v>
      </c>
      <c r="O782" s="1" t="s">
        <v>105</v>
      </c>
      <c r="P782" s="11" t="s">
        <v>1557</v>
      </c>
      <c r="R782" s="1">
        <v>3</v>
      </c>
      <c r="T782" s="1" t="s">
        <v>646</v>
      </c>
      <c r="U782" s="186">
        <v>44897.433796296296</v>
      </c>
      <c r="V782" s="1" t="s">
        <v>41</v>
      </c>
      <c r="W782" s="1" t="s">
        <v>49</v>
      </c>
      <c r="Z782" s="14"/>
      <c r="AA782" s="14"/>
      <c r="AC782" s="21"/>
      <c r="AE782" s="21"/>
    </row>
    <row r="783" spans="1:31" hidden="1">
      <c r="A783" s="1">
        <v>9125919</v>
      </c>
      <c r="B783" s="1" t="s">
        <v>101</v>
      </c>
      <c r="C783" t="s">
        <v>643</v>
      </c>
      <c r="D783" s="2">
        <v>220197080</v>
      </c>
      <c r="E783" s="2">
        <v>917001400040</v>
      </c>
      <c r="F783" s="1" t="s">
        <v>644</v>
      </c>
      <c r="G783" s="1" t="s">
        <v>53</v>
      </c>
      <c r="H783" s="1" t="s">
        <v>83</v>
      </c>
      <c r="I783" s="1" t="s">
        <v>84</v>
      </c>
      <c r="J783" s="1" t="s">
        <v>85</v>
      </c>
      <c r="K783" t="s">
        <v>645</v>
      </c>
      <c r="M783" s="1" t="s">
        <v>58</v>
      </c>
      <c r="N783" s="1">
        <v>0</v>
      </c>
      <c r="O783" s="1" t="s">
        <v>105</v>
      </c>
      <c r="P783" s="11" t="s">
        <v>1559</v>
      </c>
      <c r="R783" s="1">
        <v>3</v>
      </c>
      <c r="T783" s="1" t="s">
        <v>646</v>
      </c>
      <c r="U783" s="186">
        <v>44897.433657407404</v>
      </c>
      <c r="V783" s="1" t="s">
        <v>41</v>
      </c>
      <c r="W783" s="1" t="s">
        <v>49</v>
      </c>
      <c r="Z783" s="14"/>
      <c r="AA783" s="14"/>
      <c r="AC783" s="21"/>
      <c r="AE783" s="21"/>
    </row>
    <row r="784" spans="1:31" hidden="1">
      <c r="A784" s="1">
        <v>9125717</v>
      </c>
      <c r="B784" s="1" t="s">
        <v>101</v>
      </c>
      <c r="C784" t="s">
        <v>643</v>
      </c>
      <c r="D784" s="2">
        <v>220196408</v>
      </c>
      <c r="E784" s="2">
        <v>5755001400030</v>
      </c>
      <c r="F784" s="1" t="s">
        <v>647</v>
      </c>
      <c r="G784" s="1" t="s">
        <v>53</v>
      </c>
      <c r="H784" s="1" t="s">
        <v>841</v>
      </c>
      <c r="I784" s="1" t="s">
        <v>842</v>
      </c>
      <c r="J784" s="1" t="s">
        <v>46</v>
      </c>
      <c r="K784" t="s">
        <v>650</v>
      </c>
      <c r="M784" s="1" t="s">
        <v>58</v>
      </c>
      <c r="N784" s="1">
        <v>0</v>
      </c>
      <c r="O784" s="1" t="s">
        <v>105</v>
      </c>
      <c r="P784" s="11" t="s">
        <v>3479</v>
      </c>
      <c r="R784" s="1">
        <v>4</v>
      </c>
      <c r="T784" s="1" t="s">
        <v>646</v>
      </c>
      <c r="U784" s="186">
        <v>44897.422476851854</v>
      </c>
      <c r="V784" s="1" t="s">
        <v>41</v>
      </c>
      <c r="W784" s="1" t="s">
        <v>49</v>
      </c>
      <c r="Z784" s="14"/>
      <c r="AA784" s="14"/>
      <c r="AC784" s="21"/>
      <c r="AE784" s="21"/>
    </row>
    <row r="785" spans="1:31" hidden="1">
      <c r="A785" s="1">
        <v>9125693</v>
      </c>
      <c r="B785" s="1" t="s">
        <v>101</v>
      </c>
      <c r="C785" t="s">
        <v>643</v>
      </c>
      <c r="D785" s="2">
        <v>220196378</v>
      </c>
      <c r="E785" s="2">
        <v>1943001400030</v>
      </c>
      <c r="F785" s="1" t="s">
        <v>647</v>
      </c>
      <c r="G785" s="1" t="s">
        <v>53</v>
      </c>
      <c r="H785" s="1" t="s">
        <v>264</v>
      </c>
      <c r="I785" s="1" t="s">
        <v>265</v>
      </c>
      <c r="J785" s="1" t="s">
        <v>56</v>
      </c>
      <c r="K785" t="s">
        <v>650</v>
      </c>
      <c r="M785" s="1" t="s">
        <v>58</v>
      </c>
      <c r="N785" s="1">
        <v>0</v>
      </c>
      <c r="O785" s="1" t="s">
        <v>105</v>
      </c>
      <c r="P785" s="11" t="s">
        <v>1561</v>
      </c>
      <c r="R785" s="1">
        <v>4</v>
      </c>
      <c r="T785" s="1" t="s">
        <v>646</v>
      </c>
      <c r="U785" s="186">
        <v>44897.421620370369</v>
      </c>
      <c r="V785" s="1" t="s">
        <v>41</v>
      </c>
      <c r="W785" s="1" t="s">
        <v>49</v>
      </c>
      <c r="Z785" s="14"/>
      <c r="AA785" s="14"/>
      <c r="AC785" s="21"/>
      <c r="AE785" s="21"/>
    </row>
    <row r="786" spans="1:31" hidden="1">
      <c r="A786" s="1">
        <v>9125609</v>
      </c>
      <c r="B786" s="1" t="s">
        <v>101</v>
      </c>
      <c r="C786" t="s">
        <v>643</v>
      </c>
      <c r="D786" s="2">
        <v>220196332</v>
      </c>
      <c r="E786" s="2">
        <v>5898001400030</v>
      </c>
      <c r="F786" s="1" t="s">
        <v>647</v>
      </c>
      <c r="G786" s="1" t="s">
        <v>53</v>
      </c>
      <c r="H786" s="1" t="s">
        <v>365</v>
      </c>
      <c r="I786" s="1" t="s">
        <v>366</v>
      </c>
      <c r="J786" s="1" t="s">
        <v>164</v>
      </c>
      <c r="K786" t="s">
        <v>650</v>
      </c>
      <c r="M786" s="1" t="s">
        <v>58</v>
      </c>
      <c r="N786" s="1">
        <v>0</v>
      </c>
      <c r="O786" s="1" t="s">
        <v>105</v>
      </c>
      <c r="P786" s="11" t="s">
        <v>1565</v>
      </c>
      <c r="R786" s="1">
        <v>4</v>
      </c>
      <c r="T786" s="1" t="s">
        <v>646</v>
      </c>
      <c r="U786" s="186">
        <v>44897.417812500003</v>
      </c>
      <c r="V786" s="1" t="s">
        <v>41</v>
      </c>
      <c r="W786" s="1" t="s">
        <v>49</v>
      </c>
      <c r="Z786" s="14"/>
      <c r="AA786" s="14"/>
      <c r="AC786" s="21"/>
      <c r="AE786" s="21"/>
    </row>
    <row r="787" spans="1:31" hidden="1">
      <c r="A787" s="1">
        <v>9125460</v>
      </c>
      <c r="B787" s="1" t="s">
        <v>101</v>
      </c>
      <c r="C787" t="s">
        <v>643</v>
      </c>
      <c r="D787" s="2">
        <v>220196217</v>
      </c>
      <c r="E787" s="2">
        <v>5742001400030</v>
      </c>
      <c r="F787" s="1" t="s">
        <v>647</v>
      </c>
      <c r="G787" s="1" t="s">
        <v>53</v>
      </c>
      <c r="H787" s="1" t="s">
        <v>430</v>
      </c>
      <c r="I787" s="1" t="s">
        <v>431</v>
      </c>
      <c r="J787" s="1" t="s">
        <v>79</v>
      </c>
      <c r="K787" t="s">
        <v>650</v>
      </c>
      <c r="M787" s="1" t="s">
        <v>58</v>
      </c>
      <c r="N787" s="1">
        <v>0</v>
      </c>
      <c r="O787" s="1" t="s">
        <v>105</v>
      </c>
      <c r="P787" s="11" t="s">
        <v>1567</v>
      </c>
      <c r="R787" s="1">
        <v>4</v>
      </c>
      <c r="T787" s="1" t="s">
        <v>646</v>
      </c>
      <c r="U787" s="186">
        <v>44897.409247685187</v>
      </c>
      <c r="V787" s="1" t="s">
        <v>41</v>
      </c>
      <c r="W787" s="1" t="s">
        <v>49</v>
      </c>
      <c r="Z787" s="14"/>
      <c r="AA787" s="14"/>
      <c r="AC787" s="21"/>
      <c r="AE787" s="21"/>
    </row>
    <row r="788" spans="1:31" hidden="1">
      <c r="A788" s="1">
        <v>9125444</v>
      </c>
      <c r="B788" s="1" t="s">
        <v>101</v>
      </c>
      <c r="C788" t="s">
        <v>643</v>
      </c>
      <c r="D788" s="2">
        <v>220196207</v>
      </c>
      <c r="E788" s="2">
        <v>7651400030</v>
      </c>
      <c r="F788" s="1" t="s">
        <v>647</v>
      </c>
      <c r="G788" s="1" t="s">
        <v>53</v>
      </c>
      <c r="H788" s="1" t="s">
        <v>827</v>
      </c>
      <c r="I788" s="1" t="s">
        <v>828</v>
      </c>
      <c r="J788" s="1" t="s">
        <v>46</v>
      </c>
      <c r="K788" t="s">
        <v>650</v>
      </c>
      <c r="M788" s="1" t="s">
        <v>58</v>
      </c>
      <c r="N788" s="1">
        <v>0</v>
      </c>
      <c r="O788" s="1" t="s">
        <v>105</v>
      </c>
      <c r="P788" s="11" t="s">
        <v>1569</v>
      </c>
      <c r="R788" s="1">
        <v>4</v>
      </c>
      <c r="T788" s="1" t="s">
        <v>646</v>
      </c>
      <c r="U788" s="186">
        <v>44897.408101851855</v>
      </c>
      <c r="V788" s="1" t="s">
        <v>41</v>
      </c>
      <c r="W788" s="1" t="s">
        <v>49</v>
      </c>
      <c r="Z788" s="14"/>
      <c r="AA788" s="14"/>
      <c r="AC788" s="21"/>
      <c r="AE788" s="21"/>
    </row>
    <row r="789" spans="1:31" hidden="1">
      <c r="A789" s="1">
        <v>9125404</v>
      </c>
      <c r="B789" s="1" t="s">
        <v>101</v>
      </c>
      <c r="C789" t="s">
        <v>643</v>
      </c>
      <c r="D789" s="2">
        <v>220196178</v>
      </c>
      <c r="E789" s="2">
        <v>4997001400030</v>
      </c>
      <c r="F789" s="1" t="s">
        <v>647</v>
      </c>
      <c r="G789" s="1" t="s">
        <v>53</v>
      </c>
      <c r="H789" s="1" t="s">
        <v>406</v>
      </c>
      <c r="I789" s="1" t="s">
        <v>407</v>
      </c>
      <c r="J789" s="1" t="s">
        <v>79</v>
      </c>
      <c r="K789" t="s">
        <v>650</v>
      </c>
      <c r="M789" s="1" t="s">
        <v>58</v>
      </c>
      <c r="N789" s="1">
        <v>0</v>
      </c>
      <c r="O789" s="1" t="s">
        <v>105</v>
      </c>
      <c r="P789" s="11" t="s">
        <v>1571</v>
      </c>
      <c r="R789" s="1">
        <v>4</v>
      </c>
      <c r="T789" s="1" t="s">
        <v>646</v>
      </c>
      <c r="U789" s="186">
        <v>44897.4062037037</v>
      </c>
      <c r="V789" s="1" t="s">
        <v>41</v>
      </c>
      <c r="W789" s="1" t="s">
        <v>49</v>
      </c>
      <c r="Z789" s="14"/>
      <c r="AA789" s="14"/>
      <c r="AC789" s="21"/>
      <c r="AE789" s="21"/>
    </row>
    <row r="790" spans="1:31" hidden="1">
      <c r="A790" s="1">
        <v>9125383</v>
      </c>
      <c r="B790" s="1" t="s">
        <v>101</v>
      </c>
      <c r="C790" t="s">
        <v>643</v>
      </c>
      <c r="D790" s="2">
        <v>220196166</v>
      </c>
      <c r="E790" s="2">
        <v>1120011400030</v>
      </c>
      <c r="F790" s="1" t="s">
        <v>647</v>
      </c>
      <c r="G790" s="1" t="s">
        <v>53</v>
      </c>
      <c r="H790" s="1" t="s">
        <v>648</v>
      </c>
      <c r="I790" s="1" t="s">
        <v>649</v>
      </c>
      <c r="J790" s="1" t="s">
        <v>164</v>
      </c>
      <c r="K790" t="s">
        <v>650</v>
      </c>
      <c r="M790" s="1" t="s">
        <v>58</v>
      </c>
      <c r="N790" s="1">
        <v>0</v>
      </c>
      <c r="O790" s="1" t="s">
        <v>105</v>
      </c>
      <c r="P790" s="11" t="s">
        <v>1573</v>
      </c>
      <c r="R790" s="1">
        <v>4</v>
      </c>
      <c r="T790" s="1" t="s">
        <v>646</v>
      </c>
      <c r="U790" s="186">
        <v>44897.405462962961</v>
      </c>
      <c r="V790" s="1" t="s">
        <v>41</v>
      </c>
      <c r="W790" s="1" t="s">
        <v>49</v>
      </c>
      <c r="Z790" s="14"/>
      <c r="AA790" s="14"/>
      <c r="AC790" s="21"/>
      <c r="AE790" s="21"/>
    </row>
    <row r="791" spans="1:31" hidden="1">
      <c r="A791" s="1">
        <v>9125336</v>
      </c>
      <c r="B791" s="1" t="s">
        <v>101</v>
      </c>
      <c r="C791" t="s">
        <v>643</v>
      </c>
      <c r="D791" s="2">
        <v>220195971</v>
      </c>
      <c r="E791" s="2">
        <v>68051400030</v>
      </c>
      <c r="F791" s="1" t="s">
        <v>647</v>
      </c>
      <c r="G791" s="1" t="s">
        <v>53</v>
      </c>
      <c r="H791" s="1" t="s">
        <v>1575</v>
      </c>
      <c r="I791" s="1" t="s">
        <v>1576</v>
      </c>
      <c r="J791" s="1" t="s">
        <v>211</v>
      </c>
      <c r="K791" t="s">
        <v>650</v>
      </c>
      <c r="M791" s="1" t="s">
        <v>58</v>
      </c>
      <c r="N791" s="1">
        <v>0</v>
      </c>
      <c r="O791" s="1" t="s">
        <v>105</v>
      </c>
      <c r="P791" s="11" t="s">
        <v>1577</v>
      </c>
      <c r="R791" s="1">
        <v>4</v>
      </c>
      <c r="T791" s="1" t="s">
        <v>646</v>
      </c>
      <c r="U791" s="186">
        <v>44897.403761574074</v>
      </c>
      <c r="V791" s="1" t="s">
        <v>41</v>
      </c>
      <c r="W791" s="1" t="s">
        <v>49</v>
      </c>
      <c r="Z791" s="14"/>
      <c r="AA791" s="14"/>
      <c r="AC791" s="21"/>
      <c r="AE791" s="21"/>
    </row>
    <row r="792" spans="1:31" hidden="1">
      <c r="A792" s="1">
        <v>9125234</v>
      </c>
      <c r="B792" s="1" t="s">
        <v>101</v>
      </c>
      <c r="C792" t="s">
        <v>643</v>
      </c>
      <c r="D792" s="2">
        <v>220195649</v>
      </c>
      <c r="E792" s="2">
        <v>2855001400030</v>
      </c>
      <c r="F792" s="1" t="s">
        <v>647</v>
      </c>
      <c r="G792" s="1" t="s">
        <v>53</v>
      </c>
      <c r="H792" s="1" t="s">
        <v>249</v>
      </c>
      <c r="I792" s="1" t="s">
        <v>250</v>
      </c>
      <c r="J792" s="1" t="s">
        <v>56</v>
      </c>
      <c r="K792" t="s">
        <v>650</v>
      </c>
      <c r="M792" s="1" t="s">
        <v>58</v>
      </c>
      <c r="N792" s="1">
        <v>0</v>
      </c>
      <c r="O792" s="1" t="s">
        <v>105</v>
      </c>
      <c r="P792" s="11" t="s">
        <v>1579</v>
      </c>
      <c r="R792" s="1">
        <v>4</v>
      </c>
      <c r="T792" s="1" t="s">
        <v>646</v>
      </c>
      <c r="U792" s="186">
        <v>44897.397905092592</v>
      </c>
      <c r="V792" s="1" t="s">
        <v>41</v>
      </c>
      <c r="W792" s="1" t="s">
        <v>49</v>
      </c>
      <c r="Z792" s="14"/>
      <c r="AA792" s="14"/>
      <c r="AC792" s="21"/>
      <c r="AE792" s="21"/>
    </row>
    <row r="793" spans="1:31" hidden="1">
      <c r="A793" s="1">
        <v>9125221</v>
      </c>
      <c r="B793" s="1" t="s">
        <v>101</v>
      </c>
      <c r="C793" t="s">
        <v>643</v>
      </c>
      <c r="D793" s="2">
        <v>220195642</v>
      </c>
      <c r="E793" s="2">
        <v>2830001400030</v>
      </c>
      <c r="F793" s="1" t="s">
        <v>647</v>
      </c>
      <c r="G793" s="1" t="s">
        <v>53</v>
      </c>
      <c r="H793" s="1" t="s">
        <v>448</v>
      </c>
      <c r="I793" s="1" t="s">
        <v>449</v>
      </c>
      <c r="J793" s="1" t="s">
        <v>33</v>
      </c>
      <c r="K793" t="s">
        <v>650</v>
      </c>
      <c r="M793" s="1" t="s">
        <v>58</v>
      </c>
      <c r="N793" s="1">
        <v>0</v>
      </c>
      <c r="O793" s="1" t="s">
        <v>105</v>
      </c>
      <c r="P793" s="11" t="s">
        <v>1581</v>
      </c>
      <c r="R793" s="1">
        <v>4</v>
      </c>
      <c r="T793" s="1" t="s">
        <v>646</v>
      </c>
      <c r="U793" s="11" t="s">
        <v>1582</v>
      </c>
      <c r="V793" s="1" t="s">
        <v>41</v>
      </c>
      <c r="W793" s="1" t="s">
        <v>42</v>
      </c>
      <c r="Z793" s="14"/>
      <c r="AA793" s="14"/>
      <c r="AC793" s="21"/>
      <c r="AE793" s="21"/>
    </row>
    <row r="794" spans="1:31" hidden="1">
      <c r="A794" s="1">
        <v>9125216</v>
      </c>
      <c r="B794" s="1" t="s">
        <v>101</v>
      </c>
      <c r="C794" t="s">
        <v>643</v>
      </c>
      <c r="D794" s="2">
        <v>220195637</v>
      </c>
      <c r="E794" s="2">
        <v>2802001400030</v>
      </c>
      <c r="F794" s="1" t="s">
        <v>647</v>
      </c>
      <c r="G794" s="1" t="s">
        <v>53</v>
      </c>
      <c r="H794" s="1" t="s">
        <v>388</v>
      </c>
      <c r="I794" s="1" t="s">
        <v>389</v>
      </c>
      <c r="J794" s="1" t="s">
        <v>46</v>
      </c>
      <c r="K794" t="s">
        <v>650</v>
      </c>
      <c r="M794" s="1" t="s">
        <v>58</v>
      </c>
      <c r="N794" s="1">
        <v>0</v>
      </c>
      <c r="O794" s="1" t="s">
        <v>105</v>
      </c>
      <c r="P794" s="11" t="s">
        <v>1583</v>
      </c>
      <c r="R794" s="1">
        <v>4</v>
      </c>
      <c r="T794" s="1" t="s">
        <v>646</v>
      </c>
      <c r="U794" s="11" t="s">
        <v>1584</v>
      </c>
      <c r="V794" s="1" t="s">
        <v>41</v>
      </c>
      <c r="W794" s="1" t="s">
        <v>49</v>
      </c>
      <c r="Z794" s="14"/>
      <c r="AA794" s="14"/>
      <c r="AC794" s="21"/>
      <c r="AE794" s="21"/>
    </row>
    <row r="795" spans="1:31" hidden="1">
      <c r="A795" s="1">
        <v>9125183</v>
      </c>
      <c r="B795" s="1" t="s">
        <v>101</v>
      </c>
      <c r="C795" t="s">
        <v>643</v>
      </c>
      <c r="D795" s="2">
        <v>220195609</v>
      </c>
      <c r="E795" s="2">
        <v>2693001400030</v>
      </c>
      <c r="F795" s="1" t="s">
        <v>647</v>
      </c>
      <c r="G795" s="1" t="s">
        <v>53</v>
      </c>
      <c r="H795" s="1" t="s">
        <v>253</v>
      </c>
      <c r="I795" s="1" t="s">
        <v>254</v>
      </c>
      <c r="J795" s="1" t="s">
        <v>56</v>
      </c>
      <c r="K795" t="s">
        <v>650</v>
      </c>
      <c r="M795" s="1" t="s">
        <v>58</v>
      </c>
      <c r="N795" s="1">
        <v>0</v>
      </c>
      <c r="O795" s="1" t="s">
        <v>105</v>
      </c>
      <c r="P795" s="11" t="s">
        <v>1585</v>
      </c>
      <c r="R795" s="1">
        <v>4</v>
      </c>
      <c r="T795" s="1" t="s">
        <v>646</v>
      </c>
      <c r="U795" s="11" t="s">
        <v>1586</v>
      </c>
      <c r="V795" s="1" t="s">
        <v>41</v>
      </c>
      <c r="W795" s="1" t="s">
        <v>49</v>
      </c>
      <c r="Z795" s="14"/>
      <c r="AA795" s="14"/>
      <c r="AC795" s="21"/>
      <c r="AE795" s="21"/>
    </row>
    <row r="796" spans="1:31" hidden="1">
      <c r="A796" s="1">
        <v>9125136</v>
      </c>
      <c r="B796" s="1" t="s">
        <v>101</v>
      </c>
      <c r="C796" t="s">
        <v>643</v>
      </c>
      <c r="D796" s="2">
        <v>220195574</v>
      </c>
      <c r="E796" s="2">
        <v>2564001400030</v>
      </c>
      <c r="F796" s="1" t="s">
        <v>647</v>
      </c>
      <c r="G796" s="1" t="s">
        <v>53</v>
      </c>
      <c r="H796" s="1" t="s">
        <v>255</v>
      </c>
      <c r="I796" s="1" t="s">
        <v>256</v>
      </c>
      <c r="J796" s="1" t="s">
        <v>164</v>
      </c>
      <c r="K796" t="s">
        <v>650</v>
      </c>
      <c r="M796" s="1" t="s">
        <v>58</v>
      </c>
      <c r="N796" s="1">
        <v>0</v>
      </c>
      <c r="O796" s="1" t="s">
        <v>105</v>
      </c>
      <c r="P796" s="11" t="s">
        <v>1587</v>
      </c>
      <c r="R796" s="1">
        <v>4</v>
      </c>
      <c r="T796" s="1" t="s">
        <v>646</v>
      </c>
      <c r="U796" s="11" t="s">
        <v>1588</v>
      </c>
      <c r="V796" s="1" t="s">
        <v>41</v>
      </c>
      <c r="W796" s="1" t="s">
        <v>49</v>
      </c>
      <c r="Z796" s="14"/>
      <c r="AA796" s="14"/>
      <c r="AC796" s="21"/>
      <c r="AE796" s="21"/>
    </row>
    <row r="797" spans="1:31" hidden="1">
      <c r="A797" s="1">
        <v>9125100</v>
      </c>
      <c r="B797" s="1" t="s">
        <v>101</v>
      </c>
      <c r="C797" t="s">
        <v>643</v>
      </c>
      <c r="D797" s="2">
        <v>220195812</v>
      </c>
      <c r="E797" s="2">
        <v>3504001400030</v>
      </c>
      <c r="F797" s="1" t="s">
        <v>647</v>
      </c>
      <c r="G797" s="1" t="s">
        <v>53</v>
      </c>
      <c r="H797" s="1" t="s">
        <v>585</v>
      </c>
      <c r="I797" s="1" t="s">
        <v>586</v>
      </c>
      <c r="J797" s="1" t="s">
        <v>46</v>
      </c>
      <c r="K797" t="s">
        <v>650</v>
      </c>
      <c r="M797" s="1" t="s">
        <v>58</v>
      </c>
      <c r="N797" s="1">
        <v>0</v>
      </c>
      <c r="O797" s="1" t="s">
        <v>105</v>
      </c>
      <c r="P797" s="11" t="s">
        <v>1589</v>
      </c>
      <c r="R797" s="1">
        <v>4</v>
      </c>
      <c r="T797" s="1" t="s">
        <v>646</v>
      </c>
      <c r="U797" s="11" t="s">
        <v>1590</v>
      </c>
      <c r="V797" s="1" t="s">
        <v>41</v>
      </c>
      <c r="W797" s="1" t="s">
        <v>49</v>
      </c>
      <c r="Z797" s="14"/>
      <c r="AA797" s="14"/>
      <c r="AC797" s="21"/>
      <c r="AE797" s="21"/>
    </row>
    <row r="798" spans="1:31" hidden="1">
      <c r="A798" s="1">
        <v>9125015</v>
      </c>
      <c r="B798" s="1" t="s">
        <v>101</v>
      </c>
      <c r="C798" t="s">
        <v>643</v>
      </c>
      <c r="D798" s="2">
        <v>220195498</v>
      </c>
      <c r="E798" s="2">
        <v>2326001400030</v>
      </c>
      <c r="F798" s="1" t="s">
        <v>647</v>
      </c>
      <c r="G798" s="1" t="s">
        <v>53</v>
      </c>
      <c r="H798" s="1" t="s">
        <v>191</v>
      </c>
      <c r="I798" s="1" t="s">
        <v>192</v>
      </c>
      <c r="J798" s="1" t="s">
        <v>46</v>
      </c>
      <c r="K798" t="s">
        <v>650</v>
      </c>
      <c r="M798" s="1" t="s">
        <v>58</v>
      </c>
      <c r="N798" s="1">
        <v>0</v>
      </c>
      <c r="O798" s="1" t="s">
        <v>105</v>
      </c>
      <c r="P798" s="11" t="s">
        <v>1591</v>
      </c>
      <c r="R798" s="1">
        <v>4</v>
      </c>
      <c r="T798" s="1" t="s">
        <v>646</v>
      </c>
      <c r="U798" s="11" t="s">
        <v>1592</v>
      </c>
      <c r="V798" s="1" t="s">
        <v>41</v>
      </c>
      <c r="W798" s="1" t="s">
        <v>49</v>
      </c>
      <c r="Z798" s="14"/>
      <c r="AA798" s="14"/>
      <c r="AC798" s="21"/>
      <c r="AE798" s="21"/>
    </row>
    <row r="799" spans="1:31" hidden="1">
      <c r="A799" s="1">
        <v>9124937</v>
      </c>
      <c r="B799" s="1" t="s">
        <v>101</v>
      </c>
      <c r="C799" t="s">
        <v>643</v>
      </c>
      <c r="D799" s="2">
        <v>220195443</v>
      </c>
      <c r="E799" s="2">
        <v>2125001400030</v>
      </c>
      <c r="F799" s="1" t="s">
        <v>647</v>
      </c>
      <c r="G799" s="1" t="s">
        <v>53</v>
      </c>
      <c r="H799" s="1" t="s">
        <v>1399</v>
      </c>
      <c r="I799" s="1" t="s">
        <v>1400</v>
      </c>
      <c r="J799" s="1" t="s">
        <v>211</v>
      </c>
      <c r="K799" t="s">
        <v>650</v>
      </c>
      <c r="M799" s="1" t="s">
        <v>58</v>
      </c>
      <c r="N799" s="1">
        <v>0</v>
      </c>
      <c r="O799" s="1" t="s">
        <v>105</v>
      </c>
      <c r="P799" s="11" t="s">
        <v>1593</v>
      </c>
      <c r="R799" s="1">
        <v>4</v>
      </c>
      <c r="T799" s="1" t="s">
        <v>646</v>
      </c>
      <c r="U799" s="11" t="s">
        <v>1594</v>
      </c>
      <c r="V799" s="1" t="s">
        <v>41</v>
      </c>
      <c r="W799" s="1" t="s">
        <v>49</v>
      </c>
      <c r="Z799" s="14"/>
      <c r="AA799" s="14"/>
      <c r="AC799" s="21"/>
      <c r="AE799" s="21"/>
    </row>
    <row r="800" spans="1:31" hidden="1">
      <c r="A800" s="1">
        <v>9124924</v>
      </c>
      <c r="B800" s="1" t="s">
        <v>101</v>
      </c>
      <c r="C800" t="s">
        <v>643</v>
      </c>
      <c r="D800" s="2">
        <v>220195430</v>
      </c>
      <c r="E800" s="2">
        <v>2081001400030</v>
      </c>
      <c r="F800" s="1" t="s">
        <v>647</v>
      </c>
      <c r="G800" s="1" t="s">
        <v>53</v>
      </c>
      <c r="H800" s="1" t="s">
        <v>590</v>
      </c>
      <c r="I800" s="1" t="s">
        <v>591</v>
      </c>
      <c r="J800" s="1" t="s">
        <v>261</v>
      </c>
      <c r="K800" t="s">
        <v>650</v>
      </c>
      <c r="M800" s="1" t="s">
        <v>58</v>
      </c>
      <c r="N800" s="1">
        <v>0</v>
      </c>
      <c r="O800" s="1" t="s">
        <v>105</v>
      </c>
      <c r="P800" s="11" t="s">
        <v>1595</v>
      </c>
      <c r="R800" s="1">
        <v>4</v>
      </c>
      <c r="T800" s="1" t="s">
        <v>646</v>
      </c>
      <c r="U800" s="11" t="s">
        <v>1596</v>
      </c>
      <c r="V800" s="1" t="s">
        <v>41</v>
      </c>
      <c r="W800" s="1" t="s">
        <v>49</v>
      </c>
      <c r="Z800" s="14"/>
      <c r="AA800" s="14"/>
      <c r="AC800" s="21"/>
      <c r="AE800" s="21"/>
    </row>
    <row r="801" spans="1:31" hidden="1">
      <c r="A801" s="1">
        <v>9124894</v>
      </c>
      <c r="B801" s="1" t="s">
        <v>101</v>
      </c>
      <c r="C801" t="s">
        <v>643</v>
      </c>
      <c r="D801" s="2">
        <v>220195405</v>
      </c>
      <c r="E801" s="2">
        <v>2018001400030</v>
      </c>
      <c r="F801" s="1" t="s">
        <v>647</v>
      </c>
      <c r="G801" s="1" t="s">
        <v>53</v>
      </c>
      <c r="H801" s="1" t="s">
        <v>598</v>
      </c>
      <c r="I801" s="1" t="s">
        <v>599</v>
      </c>
      <c r="J801" s="1" t="s">
        <v>79</v>
      </c>
      <c r="K801" t="s">
        <v>650</v>
      </c>
      <c r="M801" s="1" t="s">
        <v>58</v>
      </c>
      <c r="N801" s="1">
        <v>0</v>
      </c>
      <c r="O801" s="1" t="s">
        <v>105</v>
      </c>
      <c r="P801" s="11" t="s">
        <v>1597</v>
      </c>
      <c r="R801" s="1">
        <v>4</v>
      </c>
      <c r="T801" s="1" t="s">
        <v>646</v>
      </c>
      <c r="U801" s="11" t="s">
        <v>1598</v>
      </c>
      <c r="V801" s="1" t="s">
        <v>41</v>
      </c>
      <c r="W801" s="1" t="s">
        <v>49</v>
      </c>
      <c r="Z801" s="14"/>
      <c r="AA801" s="14"/>
      <c r="AC801" s="21"/>
      <c r="AE801" s="21"/>
    </row>
    <row r="802" spans="1:31" hidden="1">
      <c r="A802" s="1">
        <v>9124865</v>
      </c>
      <c r="B802" s="1" t="s">
        <v>101</v>
      </c>
      <c r="C802" t="s">
        <v>643</v>
      </c>
      <c r="D802" s="2">
        <v>220195224</v>
      </c>
      <c r="E802" s="2">
        <v>1363001400030</v>
      </c>
      <c r="F802" s="1" t="s">
        <v>647</v>
      </c>
      <c r="G802" s="1" t="s">
        <v>53</v>
      </c>
      <c r="H802" s="1" t="s">
        <v>108</v>
      </c>
      <c r="I802" s="1" t="s">
        <v>109</v>
      </c>
      <c r="J802" s="1" t="s">
        <v>110</v>
      </c>
      <c r="K802" t="s">
        <v>650</v>
      </c>
      <c r="M802" s="1" t="s">
        <v>58</v>
      </c>
      <c r="N802" s="1">
        <v>0</v>
      </c>
      <c r="O802" s="1" t="s">
        <v>105</v>
      </c>
      <c r="P802" s="11" t="s">
        <v>1599</v>
      </c>
      <c r="R802" s="1">
        <v>4</v>
      </c>
      <c r="T802" s="1" t="s">
        <v>646</v>
      </c>
      <c r="U802" s="11" t="s">
        <v>1600</v>
      </c>
      <c r="V802" s="1" t="s">
        <v>41</v>
      </c>
      <c r="W802" s="1" t="s">
        <v>49</v>
      </c>
      <c r="Z802" s="14"/>
      <c r="AA802" s="14"/>
      <c r="AC802" s="21"/>
      <c r="AE802" s="21"/>
    </row>
    <row r="803" spans="1:31" hidden="1">
      <c r="A803" s="1">
        <v>9124835</v>
      </c>
      <c r="B803" s="1" t="s">
        <v>101</v>
      </c>
      <c r="C803" t="s">
        <v>643</v>
      </c>
      <c r="D803" s="2">
        <v>220195278</v>
      </c>
      <c r="E803" s="2">
        <v>1509001400030</v>
      </c>
      <c r="F803" s="1" t="s">
        <v>647</v>
      </c>
      <c r="G803" s="1" t="s">
        <v>53</v>
      </c>
      <c r="H803" s="1" t="s">
        <v>731</v>
      </c>
      <c r="I803" s="1" t="s">
        <v>732</v>
      </c>
      <c r="J803" s="1" t="s">
        <v>46</v>
      </c>
      <c r="K803" t="s">
        <v>650</v>
      </c>
      <c r="M803" s="1" t="s">
        <v>58</v>
      </c>
      <c r="N803" s="1">
        <v>0</v>
      </c>
      <c r="O803" s="1" t="s">
        <v>105</v>
      </c>
      <c r="P803" s="11" t="s">
        <v>1601</v>
      </c>
      <c r="R803" s="1">
        <v>4</v>
      </c>
      <c r="T803" s="1" t="s">
        <v>646</v>
      </c>
      <c r="U803" s="11" t="s">
        <v>1602</v>
      </c>
      <c r="V803" s="1" t="s">
        <v>41</v>
      </c>
      <c r="W803" s="1" t="s">
        <v>49</v>
      </c>
      <c r="Z803" s="14"/>
      <c r="AA803" s="14"/>
      <c r="AC803" s="21"/>
      <c r="AE803" s="21"/>
    </row>
    <row r="804" spans="1:31" hidden="1">
      <c r="A804" s="1">
        <v>9124788</v>
      </c>
      <c r="B804" s="1" t="s">
        <v>101</v>
      </c>
      <c r="C804" t="s">
        <v>643</v>
      </c>
      <c r="D804" s="2">
        <v>220195222</v>
      </c>
      <c r="E804" s="2">
        <v>1360001400030</v>
      </c>
      <c r="F804" s="1" t="s">
        <v>647</v>
      </c>
      <c r="G804" s="1" t="s">
        <v>53</v>
      </c>
      <c r="H804" s="1" t="s">
        <v>303</v>
      </c>
      <c r="I804" s="1" t="s">
        <v>304</v>
      </c>
      <c r="J804" s="1" t="s">
        <v>261</v>
      </c>
      <c r="K804" t="s">
        <v>650</v>
      </c>
      <c r="M804" s="1" t="s">
        <v>58</v>
      </c>
      <c r="N804" s="1">
        <v>0</v>
      </c>
      <c r="O804" s="1" t="s">
        <v>105</v>
      </c>
      <c r="P804" s="11" t="s">
        <v>1603</v>
      </c>
      <c r="R804" s="1">
        <v>4</v>
      </c>
      <c r="T804" s="1" t="s">
        <v>646</v>
      </c>
      <c r="U804" s="11" t="s">
        <v>1604</v>
      </c>
      <c r="V804" s="1" t="s">
        <v>41</v>
      </c>
      <c r="W804" s="1" t="s">
        <v>49</v>
      </c>
      <c r="Z804" s="14"/>
      <c r="AA804" s="14"/>
      <c r="AC804" s="21"/>
      <c r="AE804" s="21"/>
    </row>
    <row r="805" spans="1:31" hidden="1">
      <c r="A805" s="1">
        <v>9124763</v>
      </c>
      <c r="B805" s="1" t="s">
        <v>101</v>
      </c>
      <c r="C805" t="s">
        <v>643</v>
      </c>
      <c r="D805" s="2">
        <v>220195221</v>
      </c>
      <c r="E805" s="2">
        <v>1359001400030</v>
      </c>
      <c r="F805" s="1" t="s">
        <v>647</v>
      </c>
      <c r="G805" s="1" t="s">
        <v>53</v>
      </c>
      <c r="H805" s="1" t="s">
        <v>270</v>
      </c>
      <c r="I805" s="1" t="s">
        <v>271</v>
      </c>
      <c r="J805" s="1" t="s">
        <v>141</v>
      </c>
      <c r="K805" t="s">
        <v>650</v>
      </c>
      <c r="M805" s="1" t="s">
        <v>58</v>
      </c>
      <c r="N805" s="1">
        <v>0</v>
      </c>
      <c r="O805" s="1" t="s">
        <v>105</v>
      </c>
      <c r="P805" s="11" t="s">
        <v>1605</v>
      </c>
      <c r="R805" s="1">
        <v>4</v>
      </c>
      <c r="T805" s="1" t="s">
        <v>646</v>
      </c>
      <c r="U805" s="11" t="s">
        <v>1606</v>
      </c>
      <c r="V805" s="1" t="s">
        <v>41</v>
      </c>
      <c r="W805" s="1" t="s">
        <v>49</v>
      </c>
      <c r="Z805" s="14"/>
      <c r="AA805" s="14"/>
      <c r="AC805" s="21"/>
      <c r="AE805" s="21"/>
    </row>
    <row r="806" spans="1:31" hidden="1">
      <c r="A806" s="1">
        <v>9124743</v>
      </c>
      <c r="B806" s="1" t="s">
        <v>101</v>
      </c>
      <c r="C806" t="s">
        <v>643</v>
      </c>
      <c r="D806" s="2">
        <v>220195223</v>
      </c>
      <c r="E806" s="2">
        <v>1362001400030</v>
      </c>
      <c r="F806" s="1" t="s">
        <v>647</v>
      </c>
      <c r="G806" s="1" t="s">
        <v>53</v>
      </c>
      <c r="H806" s="1" t="s">
        <v>268</v>
      </c>
      <c r="I806" s="1" t="s">
        <v>269</v>
      </c>
      <c r="J806" s="1" t="s">
        <v>90</v>
      </c>
      <c r="K806" t="s">
        <v>650</v>
      </c>
      <c r="M806" s="1" t="s">
        <v>58</v>
      </c>
      <c r="N806" s="1">
        <v>0</v>
      </c>
      <c r="O806" s="1" t="s">
        <v>105</v>
      </c>
      <c r="P806" s="11" t="s">
        <v>1607</v>
      </c>
      <c r="R806" s="1">
        <v>4</v>
      </c>
      <c r="T806" s="1" t="s">
        <v>646</v>
      </c>
      <c r="U806" s="11" t="s">
        <v>1608</v>
      </c>
      <c r="V806" s="1" t="s">
        <v>41</v>
      </c>
      <c r="W806" s="1" t="s">
        <v>49</v>
      </c>
      <c r="Z806" s="14"/>
      <c r="AA806" s="14"/>
      <c r="AC806" s="21"/>
      <c r="AE806" s="21"/>
    </row>
    <row r="807" spans="1:31" hidden="1">
      <c r="A807" s="1">
        <v>9124708</v>
      </c>
      <c r="B807" s="1" t="s">
        <v>101</v>
      </c>
      <c r="C807" t="s">
        <v>643</v>
      </c>
      <c r="D807" s="2">
        <v>220195015</v>
      </c>
      <c r="E807" s="2">
        <v>934001400030</v>
      </c>
      <c r="F807" s="1" t="s">
        <v>647</v>
      </c>
      <c r="G807" s="1" t="s">
        <v>53</v>
      </c>
      <c r="H807" s="1" t="s">
        <v>428</v>
      </c>
      <c r="I807" s="1" t="s">
        <v>429</v>
      </c>
      <c r="J807" s="1" t="s">
        <v>46</v>
      </c>
      <c r="K807" t="s">
        <v>650</v>
      </c>
      <c r="M807" s="1" t="s">
        <v>58</v>
      </c>
      <c r="N807" s="1">
        <v>0</v>
      </c>
      <c r="O807" s="1" t="s">
        <v>105</v>
      </c>
      <c r="P807" s="11" t="s">
        <v>1609</v>
      </c>
      <c r="R807" s="1">
        <v>4</v>
      </c>
      <c r="T807" s="1" t="s">
        <v>646</v>
      </c>
      <c r="U807" s="11" t="s">
        <v>1610</v>
      </c>
      <c r="V807" s="1" t="s">
        <v>41</v>
      </c>
      <c r="W807" s="1" t="s">
        <v>49</v>
      </c>
      <c r="Z807" s="14"/>
      <c r="AA807" s="14"/>
      <c r="AC807" s="21"/>
      <c r="AE807" s="21"/>
    </row>
    <row r="808" spans="1:31" hidden="1">
      <c r="A808" s="1">
        <v>9124706</v>
      </c>
      <c r="B808" s="1" t="s">
        <v>101</v>
      </c>
      <c r="C808" t="s">
        <v>643</v>
      </c>
      <c r="D808" s="2">
        <v>220195077</v>
      </c>
      <c r="E808" s="2">
        <v>1069001400030</v>
      </c>
      <c r="F808" s="1" t="s">
        <v>647</v>
      </c>
      <c r="G808" s="1" t="s">
        <v>53</v>
      </c>
      <c r="H808" s="1" t="s">
        <v>353</v>
      </c>
      <c r="I808" s="1" t="s">
        <v>354</v>
      </c>
      <c r="J808" s="1" t="s">
        <v>211</v>
      </c>
      <c r="K808" t="s">
        <v>650</v>
      </c>
      <c r="M808" s="1" t="s">
        <v>58</v>
      </c>
      <c r="N808" s="1">
        <v>0</v>
      </c>
      <c r="O808" s="1" t="s">
        <v>105</v>
      </c>
      <c r="P808" s="11" t="s">
        <v>1611</v>
      </c>
      <c r="R808" s="1">
        <v>4</v>
      </c>
      <c r="T808" s="1" t="s">
        <v>646</v>
      </c>
      <c r="U808" s="11" t="s">
        <v>1612</v>
      </c>
      <c r="V808" s="1" t="s">
        <v>41</v>
      </c>
      <c r="W808" s="1" t="s">
        <v>49</v>
      </c>
      <c r="Z808" s="14"/>
      <c r="AA808" s="14"/>
      <c r="AC808" s="21"/>
      <c r="AE808" s="21"/>
    </row>
    <row r="809" spans="1:31" hidden="1">
      <c r="A809" s="1">
        <v>9124678</v>
      </c>
      <c r="B809" s="1" t="s">
        <v>101</v>
      </c>
      <c r="C809" t="s">
        <v>643</v>
      </c>
      <c r="D809" s="2">
        <v>220195052</v>
      </c>
      <c r="E809" s="2">
        <v>1012001400030</v>
      </c>
      <c r="F809" s="1" t="s">
        <v>647</v>
      </c>
      <c r="G809" s="1" t="s">
        <v>53</v>
      </c>
      <c r="H809" s="1" t="s">
        <v>172</v>
      </c>
      <c r="I809" s="1" t="s">
        <v>173</v>
      </c>
      <c r="J809" s="1" t="s">
        <v>164</v>
      </c>
      <c r="K809" t="s">
        <v>650</v>
      </c>
      <c r="M809" s="1" t="s">
        <v>58</v>
      </c>
      <c r="N809" s="1">
        <v>0</v>
      </c>
      <c r="O809" s="1" t="s">
        <v>105</v>
      </c>
      <c r="P809" s="11" t="s">
        <v>1613</v>
      </c>
      <c r="R809" s="1">
        <v>4</v>
      </c>
      <c r="T809" s="1" t="s">
        <v>646</v>
      </c>
      <c r="U809" s="11" t="s">
        <v>1614</v>
      </c>
      <c r="V809" s="1" t="s">
        <v>41</v>
      </c>
      <c r="W809" s="1" t="s">
        <v>49</v>
      </c>
      <c r="Z809" s="14"/>
      <c r="AA809" s="14"/>
      <c r="AC809" s="21"/>
      <c r="AE809" s="21"/>
    </row>
    <row r="810" spans="1:31" hidden="1">
      <c r="A810" s="1">
        <v>9124643</v>
      </c>
      <c r="B810" s="1" t="s">
        <v>101</v>
      </c>
      <c r="C810" t="s">
        <v>643</v>
      </c>
      <c r="D810" s="2">
        <v>220195037</v>
      </c>
      <c r="E810" s="2">
        <v>981001400030</v>
      </c>
      <c r="F810" s="1" t="s">
        <v>647</v>
      </c>
      <c r="G810" s="1" t="s">
        <v>53</v>
      </c>
      <c r="H810" s="1" t="s">
        <v>410</v>
      </c>
      <c r="I810" s="1" t="s">
        <v>411</v>
      </c>
      <c r="J810" s="1" t="s">
        <v>85</v>
      </c>
      <c r="K810" t="s">
        <v>650</v>
      </c>
      <c r="M810" s="1" t="s">
        <v>58</v>
      </c>
      <c r="N810" s="1">
        <v>0</v>
      </c>
      <c r="O810" s="1" t="s">
        <v>105</v>
      </c>
      <c r="P810" s="11" t="s">
        <v>1615</v>
      </c>
      <c r="R810" s="1">
        <v>4</v>
      </c>
      <c r="T810" s="1" t="s">
        <v>646</v>
      </c>
      <c r="U810" s="11" t="s">
        <v>1616</v>
      </c>
      <c r="V810" s="1" t="s">
        <v>41</v>
      </c>
      <c r="W810" s="1" t="s">
        <v>49</v>
      </c>
      <c r="Z810" s="14"/>
      <c r="AA810" s="14"/>
      <c r="AC810" s="21"/>
      <c r="AE810" s="21"/>
    </row>
    <row r="811" spans="1:31" hidden="1">
      <c r="A811" s="1">
        <v>9124615</v>
      </c>
      <c r="B811" s="1" t="s">
        <v>101</v>
      </c>
      <c r="C811" t="s">
        <v>643</v>
      </c>
      <c r="D811" s="2">
        <v>220195070</v>
      </c>
      <c r="E811" s="2">
        <v>1049001400030</v>
      </c>
      <c r="F811" s="1" t="s">
        <v>647</v>
      </c>
      <c r="G811" s="1" t="s">
        <v>53</v>
      </c>
      <c r="H811" s="1" t="s">
        <v>169</v>
      </c>
      <c r="I811" s="1" t="s">
        <v>170</v>
      </c>
      <c r="J811" s="1" t="s">
        <v>164</v>
      </c>
      <c r="K811" t="s">
        <v>650</v>
      </c>
      <c r="M811" s="1" t="s">
        <v>58</v>
      </c>
      <c r="N811" s="1">
        <v>0</v>
      </c>
      <c r="O811" s="1" t="s">
        <v>105</v>
      </c>
      <c r="P811" s="11" t="s">
        <v>1617</v>
      </c>
      <c r="R811" s="1">
        <v>4</v>
      </c>
      <c r="T811" s="1" t="s">
        <v>646</v>
      </c>
      <c r="U811" s="11" t="s">
        <v>1618</v>
      </c>
      <c r="V811" s="1" t="s">
        <v>41</v>
      </c>
      <c r="W811" s="1" t="s">
        <v>49</v>
      </c>
      <c r="Z811" s="14"/>
      <c r="AA811" s="14"/>
      <c r="AC811" s="21"/>
      <c r="AE811" s="21"/>
    </row>
    <row r="812" spans="1:31" hidden="1">
      <c r="A812" s="1">
        <v>9124603</v>
      </c>
      <c r="B812" s="1" t="s">
        <v>101</v>
      </c>
      <c r="C812" t="s">
        <v>643</v>
      </c>
      <c r="D812" s="2">
        <v>220195105</v>
      </c>
      <c r="E812" s="2">
        <v>1120001400030</v>
      </c>
      <c r="F812" s="1" t="s">
        <v>647</v>
      </c>
      <c r="G812" s="1" t="s">
        <v>53</v>
      </c>
      <c r="H812" s="1" t="s">
        <v>181</v>
      </c>
      <c r="I812" s="1" t="s">
        <v>182</v>
      </c>
      <c r="J812" s="1" t="s">
        <v>164</v>
      </c>
      <c r="K812" t="s">
        <v>650</v>
      </c>
      <c r="M812" s="1" t="s">
        <v>58</v>
      </c>
      <c r="N812" s="1">
        <v>0</v>
      </c>
      <c r="O812" s="1" t="s">
        <v>105</v>
      </c>
      <c r="P812" s="11" t="s">
        <v>1619</v>
      </c>
      <c r="R812" s="1">
        <v>4</v>
      </c>
      <c r="T812" s="1" t="s">
        <v>646</v>
      </c>
      <c r="U812" s="11" t="s">
        <v>1620</v>
      </c>
      <c r="V812" s="1" t="s">
        <v>41</v>
      </c>
      <c r="W812" s="1" t="s">
        <v>49</v>
      </c>
      <c r="Z812" s="14"/>
      <c r="AA812" s="14"/>
      <c r="AC812" s="21"/>
      <c r="AE812" s="21"/>
    </row>
    <row r="813" spans="1:31" hidden="1">
      <c r="A813" s="1">
        <v>9124567</v>
      </c>
      <c r="B813" s="1" t="s">
        <v>101</v>
      </c>
      <c r="C813" t="s">
        <v>643</v>
      </c>
      <c r="D813" s="2">
        <v>220194886</v>
      </c>
      <c r="E813" s="2">
        <v>710001400030</v>
      </c>
      <c r="F813" s="1" t="s">
        <v>647</v>
      </c>
      <c r="G813" s="1" t="s">
        <v>53</v>
      </c>
      <c r="H813" s="1" t="s">
        <v>390</v>
      </c>
      <c r="I813" s="1" t="s">
        <v>391</v>
      </c>
      <c r="J813" s="1" t="s">
        <v>56</v>
      </c>
      <c r="K813" t="s">
        <v>650</v>
      </c>
      <c r="M813" s="1" t="s">
        <v>58</v>
      </c>
      <c r="N813" s="1">
        <v>0</v>
      </c>
      <c r="O813" s="1" t="s">
        <v>105</v>
      </c>
      <c r="P813" s="11" t="s">
        <v>1621</v>
      </c>
      <c r="R813" s="1">
        <v>4</v>
      </c>
      <c r="T813" s="1" t="s">
        <v>646</v>
      </c>
      <c r="U813" s="11" t="s">
        <v>1622</v>
      </c>
      <c r="V813" s="1" t="s">
        <v>41</v>
      </c>
      <c r="W813" s="1" t="s">
        <v>49</v>
      </c>
      <c r="Z813" s="14"/>
      <c r="AA813" s="14"/>
      <c r="AC813" s="21"/>
      <c r="AE813" s="21"/>
    </row>
    <row r="814" spans="1:31" hidden="1">
      <c r="A814" s="1">
        <v>9124538</v>
      </c>
      <c r="B814" s="1" t="s">
        <v>101</v>
      </c>
      <c r="C814" t="s">
        <v>643</v>
      </c>
      <c r="D814" s="2">
        <v>220194887</v>
      </c>
      <c r="E814" s="2">
        <v>714001400030</v>
      </c>
      <c r="F814" s="1" t="s">
        <v>647</v>
      </c>
      <c r="G814" s="1" t="s">
        <v>53</v>
      </c>
      <c r="H814" s="1" t="s">
        <v>377</v>
      </c>
      <c r="I814" s="1" t="s">
        <v>378</v>
      </c>
      <c r="J814" s="1" t="s">
        <v>46</v>
      </c>
      <c r="K814" t="s">
        <v>650</v>
      </c>
      <c r="M814" s="1" t="s">
        <v>58</v>
      </c>
      <c r="N814" s="1">
        <v>0</v>
      </c>
      <c r="O814" s="1" t="s">
        <v>105</v>
      </c>
      <c r="P814" s="11" t="s">
        <v>1623</v>
      </c>
      <c r="R814" s="1">
        <v>4</v>
      </c>
      <c r="T814" s="1" t="s">
        <v>646</v>
      </c>
      <c r="U814" s="11" t="s">
        <v>1624</v>
      </c>
      <c r="V814" s="1" t="s">
        <v>41</v>
      </c>
      <c r="W814" s="1" t="s">
        <v>49</v>
      </c>
      <c r="Z814" s="14"/>
      <c r="AA814" s="14"/>
      <c r="AC814" s="21"/>
      <c r="AE814" s="21"/>
    </row>
    <row r="815" spans="1:31" hidden="1">
      <c r="A815" s="1">
        <v>9124463</v>
      </c>
      <c r="B815" s="1" t="s">
        <v>101</v>
      </c>
      <c r="C815" t="s">
        <v>643</v>
      </c>
      <c r="D815" s="2">
        <v>220194861</v>
      </c>
      <c r="E815" s="2">
        <v>673001400030</v>
      </c>
      <c r="F815" s="1" t="s">
        <v>647</v>
      </c>
      <c r="G815" s="1" t="s">
        <v>53</v>
      </c>
      <c r="H815" s="1" t="s">
        <v>581</v>
      </c>
      <c r="I815" s="1" t="s">
        <v>582</v>
      </c>
      <c r="J815" s="1" t="s">
        <v>110</v>
      </c>
      <c r="K815" t="s">
        <v>650</v>
      </c>
      <c r="M815" s="1" t="s">
        <v>58</v>
      </c>
      <c r="N815" s="1">
        <v>0</v>
      </c>
      <c r="O815" s="1" t="s">
        <v>105</v>
      </c>
      <c r="P815" s="11" t="s">
        <v>1625</v>
      </c>
      <c r="R815" s="1">
        <v>4</v>
      </c>
      <c r="T815" s="1" t="s">
        <v>646</v>
      </c>
      <c r="U815" s="11" t="s">
        <v>1626</v>
      </c>
      <c r="V815" s="1" t="s">
        <v>41</v>
      </c>
      <c r="W815" s="1" t="s">
        <v>49</v>
      </c>
      <c r="Z815" s="14"/>
      <c r="AA815" s="14"/>
      <c r="AC815" s="21"/>
      <c r="AE815" s="21"/>
    </row>
    <row r="816" spans="1:31" hidden="1">
      <c r="A816" s="1">
        <v>9124142</v>
      </c>
      <c r="B816" s="1" t="s">
        <v>101</v>
      </c>
      <c r="C816" t="s">
        <v>643</v>
      </c>
      <c r="D816" s="2">
        <v>220194221</v>
      </c>
      <c r="E816" s="2">
        <v>5742001400010</v>
      </c>
      <c r="F816" s="1" t="s">
        <v>936</v>
      </c>
      <c r="G816" s="1" t="s">
        <v>53</v>
      </c>
      <c r="H816" s="1" t="s">
        <v>430</v>
      </c>
      <c r="I816" s="1" t="s">
        <v>431</v>
      </c>
      <c r="J816" s="1" t="s">
        <v>79</v>
      </c>
      <c r="K816" t="s">
        <v>937</v>
      </c>
      <c r="M816" s="1" t="s">
        <v>58</v>
      </c>
      <c r="N816" s="1">
        <v>0</v>
      </c>
      <c r="O816" s="1" t="s">
        <v>105</v>
      </c>
      <c r="P816" s="11" t="s">
        <v>1627</v>
      </c>
      <c r="R816" s="1">
        <v>3</v>
      </c>
      <c r="T816" s="1" t="s">
        <v>646</v>
      </c>
      <c r="U816" s="11" t="s">
        <v>1628</v>
      </c>
      <c r="V816" s="1" t="s">
        <v>41</v>
      </c>
      <c r="W816" s="1" t="s">
        <v>49</v>
      </c>
      <c r="Z816" s="14"/>
      <c r="AA816" s="14"/>
      <c r="AC816" s="21"/>
      <c r="AE816" s="21"/>
    </row>
    <row r="817" spans="1:31" hidden="1">
      <c r="A817" s="1">
        <v>9124126</v>
      </c>
      <c r="B817" s="1" t="s">
        <v>101</v>
      </c>
      <c r="C817" t="s">
        <v>643</v>
      </c>
      <c r="D817" s="2">
        <v>220194213</v>
      </c>
      <c r="E817" s="2">
        <v>7651400010</v>
      </c>
      <c r="F817" s="1" t="s">
        <v>936</v>
      </c>
      <c r="G817" s="1" t="s">
        <v>53</v>
      </c>
      <c r="H817" s="1" t="s">
        <v>827</v>
      </c>
      <c r="I817" s="1" t="s">
        <v>828</v>
      </c>
      <c r="J817" s="1" t="s">
        <v>46</v>
      </c>
      <c r="K817" t="s">
        <v>937</v>
      </c>
      <c r="M817" s="1" t="s">
        <v>58</v>
      </c>
      <c r="N817" s="1">
        <v>0</v>
      </c>
      <c r="O817" s="1" t="s">
        <v>105</v>
      </c>
      <c r="P817" s="11" t="s">
        <v>1629</v>
      </c>
      <c r="R817" s="1">
        <v>3</v>
      </c>
      <c r="T817" s="1" t="s">
        <v>646</v>
      </c>
      <c r="U817" s="11" t="s">
        <v>1630</v>
      </c>
      <c r="V817" s="1" t="s">
        <v>41</v>
      </c>
      <c r="W817" s="1" t="s">
        <v>49</v>
      </c>
      <c r="Z817" s="14"/>
      <c r="AA817" s="14"/>
      <c r="AC817" s="21"/>
      <c r="AE817" s="21"/>
    </row>
    <row r="818" spans="1:31" hidden="1">
      <c r="A818" s="1">
        <v>9123907</v>
      </c>
      <c r="B818" s="1" t="s">
        <v>101</v>
      </c>
      <c r="C818" t="s">
        <v>643</v>
      </c>
      <c r="D818" s="2">
        <v>220193815</v>
      </c>
      <c r="E818" s="2">
        <v>3243001400010</v>
      </c>
      <c r="F818" s="1" t="s">
        <v>936</v>
      </c>
      <c r="G818" s="1" t="s">
        <v>53</v>
      </c>
      <c r="H818" s="1" t="s">
        <v>282</v>
      </c>
      <c r="I818" s="1" t="s">
        <v>283</v>
      </c>
      <c r="J818" s="1" t="s">
        <v>46</v>
      </c>
      <c r="K818" t="s">
        <v>937</v>
      </c>
      <c r="M818" s="1" t="s">
        <v>58</v>
      </c>
      <c r="N818" s="1">
        <v>0</v>
      </c>
      <c r="O818" s="1" t="s">
        <v>105</v>
      </c>
      <c r="P818" s="11" t="s">
        <v>1631</v>
      </c>
      <c r="R818" s="1">
        <v>3</v>
      </c>
      <c r="T818" s="1" t="s">
        <v>646</v>
      </c>
      <c r="U818" s="11" t="s">
        <v>1632</v>
      </c>
      <c r="V818" s="1" t="s">
        <v>41</v>
      </c>
      <c r="W818" s="1" t="s">
        <v>49</v>
      </c>
      <c r="Z818" s="14"/>
      <c r="AA818" s="14"/>
      <c r="AC818" s="21"/>
      <c r="AE818" s="21"/>
    </row>
    <row r="819" spans="1:31" hidden="1">
      <c r="A819" s="1">
        <v>9123817</v>
      </c>
      <c r="B819" s="1" t="s">
        <v>101</v>
      </c>
      <c r="C819" t="s">
        <v>643</v>
      </c>
      <c r="D819" s="2">
        <v>220193863</v>
      </c>
      <c r="E819" s="2">
        <v>3504001400010</v>
      </c>
      <c r="F819" s="1" t="s">
        <v>936</v>
      </c>
      <c r="G819" s="1" t="s">
        <v>53</v>
      </c>
      <c r="H819" s="1" t="s">
        <v>585</v>
      </c>
      <c r="I819" s="1" t="s">
        <v>586</v>
      </c>
      <c r="J819" s="1" t="s">
        <v>46</v>
      </c>
      <c r="K819" t="s">
        <v>937</v>
      </c>
      <c r="M819" s="1" t="s">
        <v>58</v>
      </c>
      <c r="N819" s="1">
        <v>0</v>
      </c>
      <c r="O819" s="1" t="s">
        <v>105</v>
      </c>
      <c r="P819" s="11" t="s">
        <v>1633</v>
      </c>
      <c r="R819" s="1">
        <v>3</v>
      </c>
      <c r="T819" s="1" t="s">
        <v>646</v>
      </c>
      <c r="U819" s="11" t="s">
        <v>1634</v>
      </c>
      <c r="V819" s="1" t="s">
        <v>41</v>
      </c>
      <c r="W819" s="1" t="s">
        <v>49</v>
      </c>
      <c r="Z819" s="14"/>
      <c r="AA819" s="14"/>
      <c r="AC819" s="21"/>
      <c r="AE819" s="21"/>
    </row>
    <row r="820" spans="1:31" hidden="1">
      <c r="A820" s="1">
        <v>9123799</v>
      </c>
      <c r="B820" s="1" t="s">
        <v>101</v>
      </c>
      <c r="C820" t="s">
        <v>643</v>
      </c>
      <c r="D820" s="2">
        <v>220193693</v>
      </c>
      <c r="E820" s="2">
        <v>2693001400010</v>
      </c>
      <c r="F820" s="1" t="s">
        <v>936</v>
      </c>
      <c r="G820" s="1" t="s">
        <v>53</v>
      </c>
      <c r="H820" s="1" t="s">
        <v>253</v>
      </c>
      <c r="I820" s="1" t="s">
        <v>254</v>
      </c>
      <c r="J820" s="1" t="s">
        <v>56</v>
      </c>
      <c r="K820" t="s">
        <v>937</v>
      </c>
      <c r="M820" s="1" t="s">
        <v>58</v>
      </c>
      <c r="N820" s="1">
        <v>0</v>
      </c>
      <c r="O820" s="1" t="s">
        <v>105</v>
      </c>
      <c r="P820" s="11" t="s">
        <v>1635</v>
      </c>
      <c r="R820" s="1">
        <v>3</v>
      </c>
      <c r="T820" s="1" t="s">
        <v>646</v>
      </c>
      <c r="U820" s="11" t="s">
        <v>1636</v>
      </c>
      <c r="V820" s="1" t="s">
        <v>41</v>
      </c>
      <c r="W820" s="1" t="s">
        <v>49</v>
      </c>
      <c r="Z820" s="14"/>
      <c r="AA820" s="14"/>
      <c r="AC820" s="21"/>
      <c r="AE820" s="21"/>
    </row>
    <row r="821" spans="1:31" hidden="1">
      <c r="A821" s="1">
        <v>9123759</v>
      </c>
      <c r="B821" s="1" t="s">
        <v>101</v>
      </c>
      <c r="C821" t="s">
        <v>643</v>
      </c>
      <c r="D821" s="2">
        <v>220193661</v>
      </c>
      <c r="E821" s="2">
        <v>2564001400010</v>
      </c>
      <c r="F821" s="1" t="s">
        <v>936</v>
      </c>
      <c r="G821" s="1" t="s">
        <v>53</v>
      </c>
      <c r="H821" s="1" t="s">
        <v>255</v>
      </c>
      <c r="I821" s="1" t="s">
        <v>256</v>
      </c>
      <c r="J821" s="1" t="s">
        <v>164</v>
      </c>
      <c r="K821" t="s">
        <v>937</v>
      </c>
      <c r="M821" s="1" t="s">
        <v>58</v>
      </c>
      <c r="N821" s="1">
        <v>0</v>
      </c>
      <c r="O821" s="1" t="s">
        <v>105</v>
      </c>
      <c r="P821" s="11" t="s">
        <v>1637</v>
      </c>
      <c r="R821" s="1">
        <v>3</v>
      </c>
      <c r="T821" s="1" t="s">
        <v>646</v>
      </c>
      <c r="U821" s="11" t="s">
        <v>1638</v>
      </c>
      <c r="V821" s="1" t="s">
        <v>41</v>
      </c>
      <c r="W821" s="1" t="s">
        <v>49</v>
      </c>
      <c r="Z821" s="14"/>
      <c r="AA821" s="14"/>
      <c r="AC821" s="21"/>
      <c r="AE821" s="21"/>
    </row>
    <row r="822" spans="1:31" hidden="1">
      <c r="A822" s="1">
        <v>9123743</v>
      </c>
      <c r="B822" s="1" t="s">
        <v>101</v>
      </c>
      <c r="C822" t="s">
        <v>643</v>
      </c>
      <c r="D822" s="2">
        <v>220193649</v>
      </c>
      <c r="E822" s="2">
        <v>2529001400010</v>
      </c>
      <c r="F822" s="1" t="s">
        <v>936</v>
      </c>
      <c r="G822" s="1" t="s">
        <v>53</v>
      </c>
      <c r="H822" s="1" t="s">
        <v>355</v>
      </c>
      <c r="I822" s="1" t="s">
        <v>356</v>
      </c>
      <c r="J822" s="1" t="s">
        <v>56</v>
      </c>
      <c r="K822" t="s">
        <v>937</v>
      </c>
      <c r="M822" s="1" t="s">
        <v>58</v>
      </c>
      <c r="N822" s="1">
        <v>0</v>
      </c>
      <c r="O822" s="1" t="s">
        <v>105</v>
      </c>
      <c r="P822" s="11" t="s">
        <v>1639</v>
      </c>
      <c r="R822" s="1">
        <v>3</v>
      </c>
      <c r="T822" s="1" t="s">
        <v>646</v>
      </c>
      <c r="U822" s="11" t="s">
        <v>1640</v>
      </c>
      <c r="V822" s="1" t="s">
        <v>41</v>
      </c>
      <c r="W822" s="1" t="s">
        <v>49</v>
      </c>
      <c r="Z822" s="14"/>
      <c r="AA822" s="14"/>
      <c r="AC822" s="21"/>
      <c r="AE822" s="21"/>
    </row>
    <row r="823" spans="1:31" hidden="1">
      <c r="A823" s="1">
        <v>9123722</v>
      </c>
      <c r="B823" s="1" t="s">
        <v>101</v>
      </c>
      <c r="C823" t="s">
        <v>643</v>
      </c>
      <c r="D823" s="2">
        <v>220193628</v>
      </c>
      <c r="E823" s="2">
        <v>2473001400010</v>
      </c>
      <c r="F823" s="1" t="s">
        <v>936</v>
      </c>
      <c r="G823" s="1" t="s">
        <v>53</v>
      </c>
      <c r="H823" s="1" t="s">
        <v>1459</v>
      </c>
      <c r="I823" s="1" t="s">
        <v>1460</v>
      </c>
      <c r="J823" s="1" t="s">
        <v>261</v>
      </c>
      <c r="K823" t="s">
        <v>937</v>
      </c>
      <c r="M823" s="1" t="s">
        <v>58</v>
      </c>
      <c r="N823" s="1">
        <v>0</v>
      </c>
      <c r="O823" s="1" t="s">
        <v>105</v>
      </c>
      <c r="P823" s="11" t="s">
        <v>1641</v>
      </c>
      <c r="R823" s="1">
        <v>3</v>
      </c>
      <c r="T823" s="1" t="s">
        <v>646</v>
      </c>
      <c r="U823" s="11" t="s">
        <v>1642</v>
      </c>
      <c r="V823" s="1" t="s">
        <v>41</v>
      </c>
      <c r="W823" s="1" t="s">
        <v>49</v>
      </c>
      <c r="Z823" s="14"/>
      <c r="AA823" s="14"/>
      <c r="AC823" s="21"/>
      <c r="AE823" s="21"/>
    </row>
    <row r="824" spans="1:31" hidden="1">
      <c r="A824" s="1">
        <v>9123696</v>
      </c>
      <c r="B824" s="1" t="s">
        <v>101</v>
      </c>
      <c r="C824" t="s">
        <v>643</v>
      </c>
      <c r="D824" s="2">
        <v>220193610</v>
      </c>
      <c r="E824" s="2">
        <v>2413001400010</v>
      </c>
      <c r="F824" s="1" t="s">
        <v>936</v>
      </c>
      <c r="G824" s="1" t="s">
        <v>53</v>
      </c>
      <c r="H824" s="1" t="s">
        <v>505</v>
      </c>
      <c r="I824" s="1" t="s">
        <v>506</v>
      </c>
      <c r="J824" s="1" t="s">
        <v>141</v>
      </c>
      <c r="K824" t="s">
        <v>937</v>
      </c>
      <c r="M824" s="1" t="s">
        <v>58</v>
      </c>
      <c r="N824" s="1">
        <v>0</v>
      </c>
      <c r="O824" s="1" t="s">
        <v>105</v>
      </c>
      <c r="P824" s="11" t="s">
        <v>1643</v>
      </c>
      <c r="R824" s="1">
        <v>3</v>
      </c>
      <c r="T824" s="1" t="s">
        <v>646</v>
      </c>
      <c r="U824" s="11" t="s">
        <v>1644</v>
      </c>
      <c r="V824" s="1" t="s">
        <v>41</v>
      </c>
      <c r="W824" s="1" t="s">
        <v>49</v>
      </c>
      <c r="Z824" s="14"/>
      <c r="AA824" s="14"/>
      <c r="AC824" s="21"/>
      <c r="AE824" s="21"/>
    </row>
    <row r="825" spans="1:31" hidden="1">
      <c r="A825" s="1">
        <v>9123651</v>
      </c>
      <c r="B825" s="1" t="s">
        <v>101</v>
      </c>
      <c r="C825" t="s">
        <v>643</v>
      </c>
      <c r="D825" s="2">
        <v>220193532</v>
      </c>
      <c r="E825" s="2">
        <v>2125001400010</v>
      </c>
      <c r="F825" s="1" t="s">
        <v>936</v>
      </c>
      <c r="G825" s="1" t="s">
        <v>53</v>
      </c>
      <c r="H825" s="1" t="s">
        <v>1399</v>
      </c>
      <c r="I825" s="1" t="s">
        <v>1400</v>
      </c>
      <c r="J825" s="1" t="s">
        <v>211</v>
      </c>
      <c r="K825" t="s">
        <v>937</v>
      </c>
      <c r="M825" s="1" t="s">
        <v>58</v>
      </c>
      <c r="N825" s="1">
        <v>0</v>
      </c>
      <c r="O825" s="1" t="s">
        <v>105</v>
      </c>
      <c r="P825" s="11" t="s">
        <v>1645</v>
      </c>
      <c r="R825" s="1">
        <v>3</v>
      </c>
      <c r="T825" s="1" t="s">
        <v>646</v>
      </c>
      <c r="U825" s="11" t="s">
        <v>1646</v>
      </c>
      <c r="V825" s="1" t="s">
        <v>41</v>
      </c>
      <c r="W825" s="1" t="s">
        <v>49</v>
      </c>
      <c r="Z825" s="14"/>
      <c r="AA825" s="14"/>
      <c r="AC825" s="21"/>
      <c r="AE825" s="21"/>
    </row>
    <row r="826" spans="1:31" hidden="1">
      <c r="A826" s="1">
        <v>9123585</v>
      </c>
      <c r="B826" s="1" t="s">
        <v>101</v>
      </c>
      <c r="C826" t="s">
        <v>643</v>
      </c>
      <c r="D826" s="2">
        <v>220193497</v>
      </c>
      <c r="E826" s="2">
        <v>2018001400010</v>
      </c>
      <c r="F826" s="1" t="s">
        <v>936</v>
      </c>
      <c r="G826" s="1" t="s">
        <v>53</v>
      </c>
      <c r="H826" s="1" t="s">
        <v>598</v>
      </c>
      <c r="I826" s="1" t="s">
        <v>599</v>
      </c>
      <c r="J826" s="1" t="s">
        <v>79</v>
      </c>
      <c r="K826" t="s">
        <v>937</v>
      </c>
      <c r="M826" s="1" t="s">
        <v>58</v>
      </c>
      <c r="N826" s="1">
        <v>0</v>
      </c>
      <c r="O826" s="1" t="s">
        <v>105</v>
      </c>
      <c r="P826" s="11" t="s">
        <v>1647</v>
      </c>
      <c r="R826" s="1">
        <v>3</v>
      </c>
      <c r="T826" s="1" t="s">
        <v>646</v>
      </c>
      <c r="U826" s="11" t="s">
        <v>1648</v>
      </c>
      <c r="V826" s="1" t="s">
        <v>41</v>
      </c>
      <c r="W826" s="1" t="s">
        <v>49</v>
      </c>
      <c r="Z826" s="14"/>
      <c r="AA826" s="14"/>
      <c r="AC826" s="21"/>
      <c r="AE826" s="21"/>
    </row>
    <row r="827" spans="1:31" hidden="1">
      <c r="A827" s="1">
        <v>9123569</v>
      </c>
      <c r="B827" s="1" t="s">
        <v>101</v>
      </c>
      <c r="C827" t="s">
        <v>643</v>
      </c>
      <c r="D827" s="2">
        <v>220193370</v>
      </c>
      <c r="E827" s="2">
        <v>1509001400010</v>
      </c>
      <c r="F827" s="1" t="s">
        <v>936</v>
      </c>
      <c r="G827" s="1" t="s">
        <v>53</v>
      </c>
      <c r="H827" s="1" t="s">
        <v>731</v>
      </c>
      <c r="I827" s="1" t="s">
        <v>732</v>
      </c>
      <c r="J827" s="1" t="s">
        <v>46</v>
      </c>
      <c r="K827" t="s">
        <v>937</v>
      </c>
      <c r="M827" s="1" t="s">
        <v>58</v>
      </c>
      <c r="N827" s="1">
        <v>0</v>
      </c>
      <c r="O827" s="1" t="s">
        <v>105</v>
      </c>
      <c r="P827" s="11" t="s">
        <v>1649</v>
      </c>
      <c r="R827" s="1">
        <v>3</v>
      </c>
      <c r="T827" s="1" t="s">
        <v>646</v>
      </c>
      <c r="U827" s="11" t="s">
        <v>1650</v>
      </c>
      <c r="V827" s="1" t="s">
        <v>41</v>
      </c>
      <c r="W827" s="1" t="s">
        <v>49</v>
      </c>
      <c r="Z827" s="14"/>
      <c r="AA827" s="14"/>
      <c r="AC827" s="21"/>
      <c r="AE827" s="21"/>
    </row>
    <row r="828" spans="1:31" hidden="1">
      <c r="A828" s="1">
        <v>9123507</v>
      </c>
      <c r="B828" s="1" t="s">
        <v>101</v>
      </c>
      <c r="C828" t="s">
        <v>643</v>
      </c>
      <c r="D828" s="2">
        <v>220193316</v>
      </c>
      <c r="E828" s="2">
        <v>1363001400010</v>
      </c>
      <c r="F828" s="1" t="s">
        <v>936</v>
      </c>
      <c r="G828" s="1" t="s">
        <v>53</v>
      </c>
      <c r="H828" s="1" t="s">
        <v>108</v>
      </c>
      <c r="I828" s="1" t="s">
        <v>109</v>
      </c>
      <c r="J828" s="1" t="s">
        <v>110</v>
      </c>
      <c r="K828" t="s">
        <v>937</v>
      </c>
      <c r="M828" s="1" t="s">
        <v>58</v>
      </c>
      <c r="N828" s="1">
        <v>0</v>
      </c>
      <c r="O828" s="1" t="s">
        <v>105</v>
      </c>
      <c r="P828" s="11" t="s">
        <v>1651</v>
      </c>
      <c r="R828" s="1">
        <v>3</v>
      </c>
      <c r="T828" s="1" t="s">
        <v>646</v>
      </c>
      <c r="U828" s="11" t="s">
        <v>1652</v>
      </c>
      <c r="V828" s="1" t="s">
        <v>41</v>
      </c>
      <c r="W828" s="1" t="s">
        <v>49</v>
      </c>
      <c r="Z828" s="14"/>
      <c r="AA828" s="14"/>
      <c r="AC828" s="21"/>
      <c r="AE828" s="21"/>
    </row>
    <row r="829" spans="1:31" hidden="1">
      <c r="A829" s="1">
        <v>9123506</v>
      </c>
      <c r="B829" s="1" t="s">
        <v>101</v>
      </c>
      <c r="C829" t="s">
        <v>643</v>
      </c>
      <c r="D829" s="2">
        <v>220193315</v>
      </c>
      <c r="E829" s="2">
        <v>1362001400010</v>
      </c>
      <c r="F829" s="1" t="s">
        <v>936</v>
      </c>
      <c r="G829" s="1" t="s">
        <v>53</v>
      </c>
      <c r="H829" s="1" t="s">
        <v>268</v>
      </c>
      <c r="I829" s="1" t="s">
        <v>269</v>
      </c>
      <c r="J829" s="1" t="s">
        <v>90</v>
      </c>
      <c r="K829" t="s">
        <v>937</v>
      </c>
      <c r="M829" s="1" t="s">
        <v>58</v>
      </c>
      <c r="N829" s="1">
        <v>0</v>
      </c>
      <c r="O829" s="1" t="s">
        <v>105</v>
      </c>
      <c r="P829" s="11" t="s">
        <v>1653</v>
      </c>
      <c r="R829" s="1">
        <v>3</v>
      </c>
      <c r="T829" s="1" t="s">
        <v>646</v>
      </c>
      <c r="U829" s="11" t="s">
        <v>1654</v>
      </c>
      <c r="V829" s="1" t="s">
        <v>41</v>
      </c>
      <c r="W829" s="1" t="s">
        <v>49</v>
      </c>
      <c r="Z829" s="14"/>
      <c r="AA829" s="14"/>
      <c r="AC829" s="21"/>
      <c r="AE829" s="21"/>
    </row>
    <row r="830" spans="1:31" hidden="1">
      <c r="A830" s="1">
        <v>9123505</v>
      </c>
      <c r="B830" s="1" t="s">
        <v>101</v>
      </c>
      <c r="C830" t="s">
        <v>643</v>
      </c>
      <c r="D830" s="2">
        <v>220193314</v>
      </c>
      <c r="E830" s="2">
        <v>1360001400010</v>
      </c>
      <c r="F830" s="1" t="s">
        <v>936</v>
      </c>
      <c r="G830" s="1" t="s">
        <v>53</v>
      </c>
      <c r="H830" s="1" t="s">
        <v>303</v>
      </c>
      <c r="I830" s="1" t="s">
        <v>304</v>
      </c>
      <c r="J830" s="1" t="s">
        <v>261</v>
      </c>
      <c r="K830" t="s">
        <v>937</v>
      </c>
      <c r="M830" s="1" t="s">
        <v>58</v>
      </c>
      <c r="N830" s="1">
        <v>0</v>
      </c>
      <c r="O830" s="1" t="s">
        <v>105</v>
      </c>
      <c r="P830" s="11" t="s">
        <v>1655</v>
      </c>
      <c r="R830" s="1">
        <v>3</v>
      </c>
      <c r="T830" s="1" t="s">
        <v>646</v>
      </c>
      <c r="U830" s="11" t="s">
        <v>1656</v>
      </c>
      <c r="V830" s="1" t="s">
        <v>41</v>
      </c>
      <c r="W830" s="1" t="s">
        <v>49</v>
      </c>
      <c r="Z830" s="14"/>
      <c r="AA830" s="14"/>
      <c r="AC830" s="21"/>
      <c r="AE830" s="21"/>
    </row>
    <row r="831" spans="1:31" hidden="1">
      <c r="A831" s="1">
        <v>9123504</v>
      </c>
      <c r="B831" s="1" t="s">
        <v>101</v>
      </c>
      <c r="C831" t="s">
        <v>643</v>
      </c>
      <c r="D831" s="2">
        <v>220193313</v>
      </c>
      <c r="E831" s="2">
        <v>1359001400010</v>
      </c>
      <c r="F831" s="1" t="s">
        <v>936</v>
      </c>
      <c r="G831" s="1" t="s">
        <v>53</v>
      </c>
      <c r="H831" s="1" t="s">
        <v>270</v>
      </c>
      <c r="I831" s="1" t="s">
        <v>271</v>
      </c>
      <c r="J831" s="1" t="s">
        <v>141</v>
      </c>
      <c r="K831" t="s">
        <v>937</v>
      </c>
      <c r="M831" s="1" t="s">
        <v>58</v>
      </c>
      <c r="N831" s="1">
        <v>0</v>
      </c>
      <c r="O831" s="1" t="s">
        <v>105</v>
      </c>
      <c r="P831" s="11" t="s">
        <v>1657</v>
      </c>
      <c r="R831" s="1">
        <v>3</v>
      </c>
      <c r="T831" s="1" t="s">
        <v>646</v>
      </c>
      <c r="U831" s="11" t="s">
        <v>1658</v>
      </c>
      <c r="V831" s="1" t="s">
        <v>41</v>
      </c>
      <c r="W831" s="1" t="s">
        <v>49</v>
      </c>
      <c r="Z831" s="14"/>
      <c r="AA831" s="14"/>
      <c r="AC831" s="21"/>
      <c r="AE831" s="21"/>
    </row>
    <row r="832" spans="1:31" hidden="1">
      <c r="A832" s="1">
        <v>9123455</v>
      </c>
      <c r="B832" s="1" t="s">
        <v>101</v>
      </c>
      <c r="C832" t="s">
        <v>643</v>
      </c>
      <c r="D832" s="2">
        <v>220193276</v>
      </c>
      <c r="E832" s="2">
        <v>1291001400010</v>
      </c>
      <c r="F832" s="1" t="s">
        <v>936</v>
      </c>
      <c r="G832" s="1" t="s">
        <v>53</v>
      </c>
      <c r="H832" s="1" t="s">
        <v>136</v>
      </c>
      <c r="I832" s="1" t="s">
        <v>137</v>
      </c>
      <c r="J832" s="1" t="s">
        <v>33</v>
      </c>
      <c r="K832" t="s">
        <v>937</v>
      </c>
      <c r="M832" s="1" t="s">
        <v>58</v>
      </c>
      <c r="N832" s="1">
        <v>0</v>
      </c>
      <c r="O832" s="1" t="s">
        <v>105</v>
      </c>
      <c r="P832" s="11" t="s">
        <v>1659</v>
      </c>
      <c r="R832" s="1">
        <v>3</v>
      </c>
      <c r="T832" s="1" t="s">
        <v>646</v>
      </c>
      <c r="U832" s="186">
        <v>44897.308368055557</v>
      </c>
      <c r="V832" s="1" t="s">
        <v>41</v>
      </c>
      <c r="W832" s="1" t="s">
        <v>42</v>
      </c>
      <c r="Z832" s="14"/>
      <c r="AA832" s="14"/>
      <c r="AC832" s="21"/>
      <c r="AE832" s="21"/>
    </row>
    <row r="833" spans="1:31" hidden="1">
      <c r="A833" s="1">
        <v>9123430</v>
      </c>
      <c r="B833" s="1" t="s">
        <v>101</v>
      </c>
      <c r="C833" t="s">
        <v>643</v>
      </c>
      <c r="D833" s="2">
        <v>220193099</v>
      </c>
      <c r="E833" s="2">
        <v>922001400010</v>
      </c>
      <c r="F833" s="1" t="s">
        <v>936</v>
      </c>
      <c r="G833" s="1" t="s">
        <v>53</v>
      </c>
      <c r="H833" s="1" t="s">
        <v>1375</v>
      </c>
      <c r="I833" s="1" t="s">
        <v>1376</v>
      </c>
      <c r="J833" s="1" t="s">
        <v>261</v>
      </c>
      <c r="K833" t="s">
        <v>937</v>
      </c>
      <c r="M833" s="1" t="s">
        <v>58</v>
      </c>
      <c r="N833" s="1">
        <v>0</v>
      </c>
      <c r="O833" s="1" t="s">
        <v>105</v>
      </c>
      <c r="P833" s="11" t="s">
        <v>1661</v>
      </c>
      <c r="R833" s="1">
        <v>3</v>
      </c>
      <c r="T833" s="1" t="s">
        <v>646</v>
      </c>
      <c r="U833" s="11" t="s">
        <v>1662</v>
      </c>
      <c r="V833" s="1" t="s">
        <v>41</v>
      </c>
      <c r="W833" s="1" t="s">
        <v>49</v>
      </c>
      <c r="Z833" s="14"/>
      <c r="AA833" s="14"/>
      <c r="AC833" s="21"/>
      <c r="AE833" s="21"/>
    </row>
    <row r="834" spans="1:31" hidden="1">
      <c r="A834" s="1">
        <v>9123424</v>
      </c>
      <c r="B834" s="1" t="s">
        <v>101</v>
      </c>
      <c r="C834" t="s">
        <v>643</v>
      </c>
      <c r="D834" s="2">
        <v>220193097</v>
      </c>
      <c r="E834" s="2">
        <v>917001400010</v>
      </c>
      <c r="F834" s="1" t="s">
        <v>936</v>
      </c>
      <c r="G834" s="1" t="s">
        <v>53</v>
      </c>
      <c r="H834" s="1" t="s">
        <v>83</v>
      </c>
      <c r="I834" s="1" t="s">
        <v>84</v>
      </c>
      <c r="J834" s="1" t="s">
        <v>85</v>
      </c>
      <c r="K834" t="s">
        <v>937</v>
      </c>
      <c r="M834" s="1" t="s">
        <v>58</v>
      </c>
      <c r="N834" s="1">
        <v>0</v>
      </c>
      <c r="O834" s="1" t="s">
        <v>105</v>
      </c>
      <c r="P834" s="11" t="s">
        <v>1663</v>
      </c>
      <c r="R834" s="1">
        <v>3</v>
      </c>
      <c r="T834" s="1" t="s">
        <v>646</v>
      </c>
      <c r="U834" s="11" t="s">
        <v>1664</v>
      </c>
      <c r="V834" s="1" t="s">
        <v>41</v>
      </c>
      <c r="W834" s="1" t="s">
        <v>49</v>
      </c>
      <c r="Z834" s="14"/>
      <c r="AA834" s="14"/>
      <c r="AC834" s="21"/>
      <c r="AE834" s="21"/>
    </row>
    <row r="835" spans="1:31" hidden="1">
      <c r="A835" s="1">
        <v>9123416</v>
      </c>
      <c r="B835" s="1" t="s">
        <v>101</v>
      </c>
      <c r="C835" t="s">
        <v>643</v>
      </c>
      <c r="D835" s="2">
        <v>220193110</v>
      </c>
      <c r="E835" s="2">
        <v>934001400010</v>
      </c>
      <c r="F835" s="1" t="s">
        <v>936</v>
      </c>
      <c r="G835" s="1" t="s">
        <v>53</v>
      </c>
      <c r="H835" s="1" t="s">
        <v>428</v>
      </c>
      <c r="I835" s="1" t="s">
        <v>429</v>
      </c>
      <c r="J835" s="1" t="s">
        <v>46</v>
      </c>
      <c r="K835" t="s">
        <v>937</v>
      </c>
      <c r="M835" s="1" t="s">
        <v>58</v>
      </c>
      <c r="N835" s="1">
        <v>0</v>
      </c>
      <c r="O835" s="1" t="s">
        <v>105</v>
      </c>
      <c r="P835" s="11" t="s">
        <v>1665</v>
      </c>
      <c r="R835" s="1">
        <v>3</v>
      </c>
      <c r="T835" s="1" t="s">
        <v>646</v>
      </c>
      <c r="U835" s="11" t="s">
        <v>1666</v>
      </c>
      <c r="V835" s="1" t="s">
        <v>41</v>
      </c>
      <c r="W835" s="1" t="s">
        <v>49</v>
      </c>
      <c r="Z835" s="14"/>
      <c r="AA835" s="14"/>
      <c r="AC835" s="21"/>
      <c r="AE835" s="21"/>
    </row>
    <row r="836" spans="1:31" hidden="1">
      <c r="A836" s="1">
        <v>9123392</v>
      </c>
      <c r="B836" s="1" t="s">
        <v>101</v>
      </c>
      <c r="C836" t="s">
        <v>643</v>
      </c>
      <c r="D836" s="2">
        <v>220193089</v>
      </c>
      <c r="E836" s="2">
        <v>899001400010</v>
      </c>
      <c r="F836" s="1" t="s">
        <v>936</v>
      </c>
      <c r="G836" s="1" t="s">
        <v>53</v>
      </c>
      <c r="H836" s="1" t="s">
        <v>175</v>
      </c>
      <c r="I836" s="1" t="s">
        <v>176</v>
      </c>
      <c r="J836" s="1" t="s">
        <v>90</v>
      </c>
      <c r="K836" t="s">
        <v>937</v>
      </c>
      <c r="M836" s="1" t="s">
        <v>58</v>
      </c>
      <c r="N836" s="1">
        <v>0</v>
      </c>
      <c r="O836" s="1" t="s">
        <v>36</v>
      </c>
      <c r="P836" s="11" t="s">
        <v>1667</v>
      </c>
      <c r="R836" s="1">
        <v>3</v>
      </c>
      <c r="T836" s="1" t="s">
        <v>646</v>
      </c>
      <c r="U836" s="11" t="s">
        <v>1668</v>
      </c>
      <c r="V836" s="1" t="s">
        <v>41</v>
      </c>
      <c r="W836" s="1" t="s">
        <v>49</v>
      </c>
      <c r="Z836" s="14"/>
      <c r="AA836" s="14"/>
      <c r="AC836" s="21"/>
      <c r="AE836" s="21"/>
    </row>
    <row r="837" spans="1:31" hidden="1">
      <c r="A837" s="1">
        <v>9123373</v>
      </c>
      <c r="B837" s="1" t="s">
        <v>101</v>
      </c>
      <c r="C837" t="s">
        <v>643</v>
      </c>
      <c r="D837" s="2">
        <v>220193054</v>
      </c>
      <c r="E837" s="2">
        <v>834001400010</v>
      </c>
      <c r="F837" s="1" t="s">
        <v>936</v>
      </c>
      <c r="G837" s="1" t="s">
        <v>53</v>
      </c>
      <c r="H837" s="1" t="s">
        <v>367</v>
      </c>
      <c r="I837" s="1" t="s">
        <v>368</v>
      </c>
      <c r="J837" s="1" t="s">
        <v>261</v>
      </c>
      <c r="K837" t="s">
        <v>937</v>
      </c>
      <c r="M837" s="1" t="s">
        <v>58</v>
      </c>
      <c r="N837" s="1">
        <v>0</v>
      </c>
      <c r="O837" s="1" t="s">
        <v>105</v>
      </c>
      <c r="P837" s="11" t="s">
        <v>1669</v>
      </c>
      <c r="R837" s="1">
        <v>3</v>
      </c>
      <c r="T837" s="1" t="s">
        <v>646</v>
      </c>
      <c r="U837" s="186">
        <v>44897.300381944442</v>
      </c>
      <c r="V837" s="1" t="s">
        <v>41</v>
      </c>
      <c r="W837" s="1" t="s">
        <v>49</v>
      </c>
      <c r="Z837" s="14"/>
      <c r="AA837" s="14"/>
      <c r="AC837" s="21"/>
      <c r="AE837" s="21"/>
    </row>
    <row r="838" spans="1:31" hidden="1">
      <c r="A838" s="1">
        <v>9123368</v>
      </c>
      <c r="B838" s="1" t="s">
        <v>101</v>
      </c>
      <c r="C838" t="s">
        <v>643</v>
      </c>
      <c r="D838" s="2">
        <v>220193049</v>
      </c>
      <c r="E838" s="2">
        <v>821001400010</v>
      </c>
      <c r="F838" s="1" t="s">
        <v>936</v>
      </c>
      <c r="G838" s="1" t="s">
        <v>53</v>
      </c>
      <c r="H838" s="1" t="s">
        <v>1351</v>
      </c>
      <c r="I838" s="1" t="s">
        <v>1352</v>
      </c>
      <c r="J838" s="1" t="s">
        <v>46</v>
      </c>
      <c r="K838" t="s">
        <v>937</v>
      </c>
      <c r="M838" s="1" t="s">
        <v>58</v>
      </c>
      <c r="N838" s="1">
        <v>0</v>
      </c>
      <c r="O838" s="1" t="s">
        <v>105</v>
      </c>
      <c r="P838" s="11" t="s">
        <v>1671</v>
      </c>
      <c r="R838" s="1">
        <v>3</v>
      </c>
      <c r="T838" s="1" t="s">
        <v>646</v>
      </c>
      <c r="U838" s="186">
        <v>44897.300057870372</v>
      </c>
      <c r="V838" s="1" t="s">
        <v>41</v>
      </c>
      <c r="W838" s="1" t="s">
        <v>49</v>
      </c>
      <c r="Z838" s="14"/>
      <c r="AA838" s="14"/>
      <c r="AC838" s="21"/>
      <c r="AE838" s="21"/>
    </row>
    <row r="839" spans="1:31" hidden="1">
      <c r="A839" s="1">
        <v>9123299</v>
      </c>
      <c r="B839" s="1" t="s">
        <v>101</v>
      </c>
      <c r="C839" t="s">
        <v>643</v>
      </c>
      <c r="D839" s="2">
        <v>220192827</v>
      </c>
      <c r="E839" s="2">
        <v>446001400010</v>
      </c>
      <c r="F839" s="1" t="s">
        <v>936</v>
      </c>
      <c r="G839" s="1" t="s">
        <v>53</v>
      </c>
      <c r="H839" s="1" t="s">
        <v>432</v>
      </c>
      <c r="I839" s="1" t="s">
        <v>433</v>
      </c>
      <c r="J839" s="1" t="s">
        <v>110</v>
      </c>
      <c r="K839" t="s">
        <v>937</v>
      </c>
      <c r="M839" s="1" t="s">
        <v>58</v>
      </c>
      <c r="N839" s="1">
        <v>0</v>
      </c>
      <c r="O839" s="1" t="s">
        <v>36</v>
      </c>
      <c r="P839" s="11" t="s">
        <v>1673</v>
      </c>
      <c r="R839" s="1">
        <v>3</v>
      </c>
      <c r="T839" s="1" t="s">
        <v>646</v>
      </c>
      <c r="U839" s="186">
        <v>44897.296458333331</v>
      </c>
      <c r="V839" s="1" t="s">
        <v>41</v>
      </c>
      <c r="W839" s="1" t="s">
        <v>49</v>
      </c>
      <c r="Z839" s="14"/>
      <c r="AA839" s="14"/>
      <c r="AC839" s="21"/>
      <c r="AE839" s="21"/>
    </row>
    <row r="840" spans="1:31" hidden="1">
      <c r="A840" s="1">
        <v>9123248</v>
      </c>
      <c r="B840" s="1" t="s">
        <v>101</v>
      </c>
      <c r="C840" t="s">
        <v>643</v>
      </c>
      <c r="D840" s="2">
        <v>220192887</v>
      </c>
      <c r="E840" s="2">
        <v>550001400010</v>
      </c>
      <c r="F840" s="1" t="s">
        <v>936</v>
      </c>
      <c r="G840" s="1" t="s">
        <v>53</v>
      </c>
      <c r="H840" s="1" t="s">
        <v>337</v>
      </c>
      <c r="I840" s="1" t="s">
        <v>338</v>
      </c>
      <c r="J840" s="1" t="s">
        <v>164</v>
      </c>
      <c r="K840" t="s">
        <v>937</v>
      </c>
      <c r="M840" s="1" t="s">
        <v>58</v>
      </c>
      <c r="N840" s="1">
        <v>0</v>
      </c>
      <c r="O840" s="1" t="s">
        <v>105</v>
      </c>
      <c r="P840" s="11" t="s">
        <v>1675</v>
      </c>
      <c r="R840" s="1">
        <v>3</v>
      </c>
      <c r="T840" s="1" t="s">
        <v>646</v>
      </c>
      <c r="U840" s="186">
        <v>44897.294189814813</v>
      </c>
      <c r="V840" s="1" t="s">
        <v>41</v>
      </c>
      <c r="W840" s="1" t="s">
        <v>49</v>
      </c>
      <c r="Z840" s="14"/>
      <c r="AA840" s="14"/>
      <c r="AC840" s="21"/>
      <c r="AE840" s="21"/>
    </row>
    <row r="841" spans="1:31" hidden="1">
      <c r="A841" s="1">
        <v>9123242</v>
      </c>
      <c r="B841" s="1" t="s">
        <v>101</v>
      </c>
      <c r="C841" t="s">
        <v>643</v>
      </c>
      <c r="D841" s="2">
        <v>220192881</v>
      </c>
      <c r="E841" s="2">
        <v>537001400010</v>
      </c>
      <c r="F841" s="1" t="s">
        <v>936</v>
      </c>
      <c r="G841" s="1" t="s">
        <v>53</v>
      </c>
      <c r="H841" s="1" t="s">
        <v>442</v>
      </c>
      <c r="I841" s="1" t="s">
        <v>443</v>
      </c>
      <c r="J841" s="1" t="s">
        <v>79</v>
      </c>
      <c r="K841" t="s">
        <v>937</v>
      </c>
      <c r="M841" s="1" t="s">
        <v>58</v>
      </c>
      <c r="N841" s="1">
        <v>0</v>
      </c>
      <c r="O841" s="1" t="s">
        <v>105</v>
      </c>
      <c r="P841" s="11" t="s">
        <v>1677</v>
      </c>
      <c r="R841" s="1">
        <v>3</v>
      </c>
      <c r="T841" s="1" t="s">
        <v>646</v>
      </c>
      <c r="U841" s="186">
        <v>44897.293796296297</v>
      </c>
      <c r="V841" s="1" t="s">
        <v>41</v>
      </c>
      <c r="W841" s="1" t="s">
        <v>49</v>
      </c>
      <c r="Z841" s="14"/>
      <c r="AA841" s="14"/>
      <c r="AC841" s="21"/>
      <c r="AE841" s="21"/>
    </row>
    <row r="842" spans="1:31" hidden="1">
      <c r="A842" s="1">
        <v>9123204</v>
      </c>
      <c r="B842" s="1" t="s">
        <v>101</v>
      </c>
      <c r="C842" t="s">
        <v>643</v>
      </c>
      <c r="D842" s="2">
        <v>220192907</v>
      </c>
      <c r="E842" s="2">
        <v>582001400010</v>
      </c>
      <c r="F842" s="1" t="s">
        <v>936</v>
      </c>
      <c r="G842" s="1" t="s">
        <v>53</v>
      </c>
      <c r="H842" s="1" t="s">
        <v>139</v>
      </c>
      <c r="I842" s="1" t="s">
        <v>140</v>
      </c>
      <c r="J842" s="1" t="s">
        <v>141</v>
      </c>
      <c r="K842" t="s">
        <v>937</v>
      </c>
      <c r="M842" s="1" t="s">
        <v>58</v>
      </c>
      <c r="N842" s="1">
        <v>0</v>
      </c>
      <c r="O842" s="1" t="s">
        <v>105</v>
      </c>
      <c r="P842" s="11" t="s">
        <v>1678</v>
      </c>
      <c r="R842" s="1">
        <v>3</v>
      </c>
      <c r="T842" s="1" t="s">
        <v>646</v>
      </c>
      <c r="U842" s="186">
        <v>44897.292037037034</v>
      </c>
      <c r="V842" s="1" t="s">
        <v>41</v>
      </c>
      <c r="W842" s="1" t="s">
        <v>49</v>
      </c>
      <c r="Z842" s="14"/>
      <c r="AA842" s="14"/>
      <c r="AC842" s="21"/>
      <c r="AE842" s="21"/>
    </row>
    <row r="843" spans="1:31" hidden="1">
      <c r="A843" s="1">
        <v>9123102</v>
      </c>
      <c r="B843" s="1" t="s">
        <v>101</v>
      </c>
      <c r="C843" t="s">
        <v>643</v>
      </c>
      <c r="D843" s="2">
        <v>220192673</v>
      </c>
      <c r="E843" s="2">
        <v>233001400010</v>
      </c>
      <c r="F843" s="1" t="s">
        <v>936</v>
      </c>
      <c r="G843" s="1" t="s">
        <v>53</v>
      </c>
      <c r="H843" s="1" t="s">
        <v>424</v>
      </c>
      <c r="I843" s="1" t="s">
        <v>425</v>
      </c>
      <c r="J843" s="1" t="s">
        <v>261</v>
      </c>
      <c r="K843" t="s">
        <v>937</v>
      </c>
      <c r="M843" s="1" t="s">
        <v>58</v>
      </c>
      <c r="N843" s="1">
        <v>0</v>
      </c>
      <c r="O843" s="1" t="s">
        <v>105</v>
      </c>
      <c r="P843" s="11" t="s">
        <v>1682</v>
      </c>
      <c r="R843" s="1">
        <v>3</v>
      </c>
      <c r="T843" s="1" t="s">
        <v>646</v>
      </c>
      <c r="U843" s="186">
        <v>44897.286516203705</v>
      </c>
      <c r="V843" s="1" t="s">
        <v>41</v>
      </c>
      <c r="W843" s="1" t="s">
        <v>49</v>
      </c>
      <c r="Z843" s="14"/>
      <c r="AA843" s="14"/>
      <c r="AC843" s="21"/>
      <c r="AE843" s="21"/>
    </row>
    <row r="844" spans="1:31" hidden="1">
      <c r="A844" s="1">
        <v>9123093</v>
      </c>
      <c r="B844" s="1" t="s">
        <v>101</v>
      </c>
      <c r="C844" t="s">
        <v>643</v>
      </c>
      <c r="D844" s="2">
        <v>220192664</v>
      </c>
      <c r="E844" s="2">
        <v>220001400010</v>
      </c>
      <c r="F844" s="1" t="s">
        <v>936</v>
      </c>
      <c r="G844" s="1" t="s">
        <v>53</v>
      </c>
      <c r="H844" s="1" t="s">
        <v>588</v>
      </c>
      <c r="I844" s="1" t="s">
        <v>589</v>
      </c>
      <c r="J844" s="1" t="s">
        <v>110</v>
      </c>
      <c r="K844" t="s">
        <v>937</v>
      </c>
      <c r="M844" s="1" t="s">
        <v>58</v>
      </c>
      <c r="N844" s="1">
        <v>0</v>
      </c>
      <c r="O844" s="1" t="s">
        <v>105</v>
      </c>
      <c r="P844" s="11" t="s">
        <v>1684</v>
      </c>
      <c r="R844" s="1">
        <v>3</v>
      </c>
      <c r="T844" s="1" t="s">
        <v>646</v>
      </c>
      <c r="U844" s="186">
        <v>44897.286006944443</v>
      </c>
      <c r="V844" s="1" t="s">
        <v>41</v>
      </c>
      <c r="W844" s="1" t="s">
        <v>49</v>
      </c>
      <c r="Z844" s="14"/>
      <c r="AA844" s="14"/>
      <c r="AC844" s="21"/>
      <c r="AE844" s="21"/>
    </row>
    <row r="845" spans="1:31" hidden="1">
      <c r="A845" s="1">
        <v>9135166</v>
      </c>
      <c r="B845" s="1" t="s">
        <v>62</v>
      </c>
      <c r="C845" t="s">
        <v>1686</v>
      </c>
      <c r="E845" s="2">
        <v>9703000206053</v>
      </c>
      <c r="F845" s="1" t="s">
        <v>113</v>
      </c>
      <c r="G845" s="1" t="s">
        <v>53</v>
      </c>
      <c r="H845" s="1" t="s">
        <v>494</v>
      </c>
      <c r="I845" s="1" t="s">
        <v>495</v>
      </c>
      <c r="J845" s="1" t="s">
        <v>79</v>
      </c>
      <c r="K845" t="s">
        <v>116</v>
      </c>
      <c r="M845" s="1" t="s">
        <v>35</v>
      </c>
      <c r="N845" s="1">
        <v>42318949</v>
      </c>
      <c r="O845" s="1" t="s">
        <v>105</v>
      </c>
      <c r="P845" s="186">
        <v>44897.528333333335</v>
      </c>
      <c r="R845" s="1" t="s">
        <v>38</v>
      </c>
      <c r="T845" s="1" t="s">
        <v>74</v>
      </c>
      <c r="U845" s="186">
        <v>44938.75</v>
      </c>
      <c r="V845" s="1" t="s">
        <v>41</v>
      </c>
      <c r="W845" s="1" t="s">
        <v>49</v>
      </c>
      <c r="Z845" s="14"/>
      <c r="AA845" s="14"/>
      <c r="AC845" s="21"/>
      <c r="AE845" s="21"/>
    </row>
    <row r="846" spans="1:31" hidden="1">
      <c r="A846" s="1">
        <v>9134233</v>
      </c>
      <c r="B846" s="1" t="s">
        <v>62</v>
      </c>
      <c r="C846" t="s">
        <v>1689</v>
      </c>
      <c r="E846" s="2">
        <v>1108000203010</v>
      </c>
      <c r="F846" s="1" t="s">
        <v>152</v>
      </c>
      <c r="G846" s="1" t="s">
        <v>53</v>
      </c>
      <c r="H846" s="1" t="s">
        <v>295</v>
      </c>
      <c r="I846" s="1" t="s">
        <v>296</v>
      </c>
      <c r="J846" s="1" t="s">
        <v>90</v>
      </c>
      <c r="K846" t="s">
        <v>155</v>
      </c>
      <c r="M846" s="1" t="s">
        <v>35</v>
      </c>
      <c r="N846" s="1">
        <v>42318949</v>
      </c>
      <c r="O846" s="1" t="s">
        <v>105</v>
      </c>
      <c r="P846" s="186">
        <v>44897.387280092589</v>
      </c>
      <c r="R846" s="1">
        <v>1</v>
      </c>
      <c r="T846" s="1" t="s">
        <v>157</v>
      </c>
      <c r="U846" s="186">
        <v>44931.75</v>
      </c>
      <c r="V846" s="1" t="s">
        <v>41</v>
      </c>
      <c r="W846" s="1" t="s">
        <v>49</v>
      </c>
      <c r="Z846" s="14"/>
      <c r="AA846" s="14"/>
      <c r="AC846" s="21"/>
      <c r="AE846" s="21"/>
    </row>
    <row r="847" spans="1:31" hidden="1">
      <c r="A847" s="1">
        <v>9152756</v>
      </c>
      <c r="B847" s="1" t="s">
        <v>62</v>
      </c>
      <c r="C847" t="s">
        <v>1692</v>
      </c>
      <c r="E847" s="2">
        <v>2138000206001</v>
      </c>
      <c r="F847" s="1" t="s">
        <v>29</v>
      </c>
      <c r="G847" s="1" t="s">
        <v>53</v>
      </c>
      <c r="H847" s="1" t="s">
        <v>379</v>
      </c>
      <c r="I847" s="1" t="s">
        <v>380</v>
      </c>
      <c r="J847" s="1" t="s">
        <v>46</v>
      </c>
      <c r="K847" t="s">
        <v>34</v>
      </c>
      <c r="M847" s="1" t="s">
        <v>35</v>
      </c>
      <c r="N847" s="1">
        <v>42318949</v>
      </c>
      <c r="O847" s="1" t="s">
        <v>36</v>
      </c>
      <c r="P847" s="186">
        <v>44901.595775462964</v>
      </c>
      <c r="R847" s="1" t="s">
        <v>38</v>
      </c>
      <c r="T847" s="1" t="s">
        <v>74</v>
      </c>
      <c r="U847" s="186">
        <v>44942.75</v>
      </c>
      <c r="V847" s="1" t="s">
        <v>41</v>
      </c>
      <c r="W847" s="1" t="s">
        <v>49</v>
      </c>
      <c r="Z847" s="14"/>
      <c r="AA847" s="14"/>
      <c r="AC847" s="21"/>
      <c r="AE847" s="21"/>
    </row>
    <row r="848" spans="1:31" hidden="1">
      <c r="A848" s="1">
        <v>9151711</v>
      </c>
      <c r="B848" s="1" t="s">
        <v>62</v>
      </c>
      <c r="C848" t="s">
        <v>3590</v>
      </c>
      <c r="E848" s="2">
        <v>1902016208100</v>
      </c>
      <c r="F848" s="1" t="s">
        <v>64</v>
      </c>
      <c r="G848" s="1" t="s">
        <v>53</v>
      </c>
      <c r="H848" s="1" t="s">
        <v>590</v>
      </c>
      <c r="I848" s="1" t="s">
        <v>591</v>
      </c>
      <c r="J848" s="1" t="s">
        <v>261</v>
      </c>
      <c r="K848" t="s">
        <v>67</v>
      </c>
      <c r="M848" s="1" t="s">
        <v>35</v>
      </c>
      <c r="N848" s="1">
        <v>42318949</v>
      </c>
      <c r="O848" s="1" t="s">
        <v>36</v>
      </c>
      <c r="P848" s="186">
        <v>44901.465289351851</v>
      </c>
      <c r="R848" s="1" t="s">
        <v>571</v>
      </c>
      <c r="T848" s="1" t="s">
        <v>69</v>
      </c>
      <c r="U848" s="186">
        <v>44910.465289351851</v>
      </c>
      <c r="V848" s="1" t="s">
        <v>41</v>
      </c>
      <c r="W848" s="1" t="s">
        <v>49</v>
      </c>
      <c r="Z848" s="14"/>
      <c r="AA848" s="14"/>
      <c r="AC848" s="21"/>
      <c r="AE848" s="21"/>
    </row>
    <row r="849" spans="1:31" hidden="1">
      <c r="A849" s="1">
        <v>9158610</v>
      </c>
      <c r="B849" s="1" t="s">
        <v>62</v>
      </c>
      <c r="C849" t="s">
        <v>1698</v>
      </c>
      <c r="E849" s="2">
        <v>4119000203000</v>
      </c>
      <c r="F849" s="1" t="s">
        <v>454</v>
      </c>
      <c r="G849" s="1" t="s">
        <v>53</v>
      </c>
      <c r="H849" s="1" t="s">
        <v>297</v>
      </c>
      <c r="I849" s="1" t="s">
        <v>298</v>
      </c>
      <c r="J849" s="1" t="s">
        <v>211</v>
      </c>
      <c r="K849" t="s">
        <v>457</v>
      </c>
      <c r="M849" s="1" t="s">
        <v>58</v>
      </c>
      <c r="N849" s="1">
        <v>0</v>
      </c>
      <c r="O849" s="1" t="s">
        <v>36</v>
      </c>
      <c r="P849" s="186">
        <v>44902.665810185186</v>
      </c>
      <c r="R849" s="1">
        <v>1</v>
      </c>
      <c r="T849" s="1" t="s">
        <v>157</v>
      </c>
      <c r="U849" s="186">
        <v>44936.75</v>
      </c>
      <c r="V849" s="1" t="s">
        <v>41</v>
      </c>
      <c r="W849" s="1" t="s">
        <v>49</v>
      </c>
      <c r="Z849" s="14"/>
      <c r="AA849" s="14"/>
      <c r="AC849" s="21"/>
      <c r="AE849" s="21"/>
    </row>
    <row r="850" spans="1:31" hidden="1">
      <c r="A850" s="1">
        <v>9158041</v>
      </c>
      <c r="B850" s="1" t="s">
        <v>62</v>
      </c>
      <c r="C850" t="s">
        <v>3591</v>
      </c>
      <c r="E850" s="2">
        <v>963000203010</v>
      </c>
      <c r="F850" s="1" t="s">
        <v>152</v>
      </c>
      <c r="G850" s="1" t="s">
        <v>53</v>
      </c>
      <c r="H850" s="1" t="s">
        <v>531</v>
      </c>
      <c r="I850" s="1" t="s">
        <v>532</v>
      </c>
      <c r="J850" s="1" t="s">
        <v>33</v>
      </c>
      <c r="K850" t="s">
        <v>155</v>
      </c>
      <c r="M850" s="1" t="s">
        <v>35</v>
      </c>
      <c r="N850" s="1">
        <v>42318949</v>
      </c>
      <c r="O850" s="1" t="s">
        <v>36</v>
      </c>
      <c r="P850" s="186">
        <v>44902.592615740738</v>
      </c>
      <c r="R850" s="1">
        <v>1</v>
      </c>
      <c r="T850" s="1" t="s">
        <v>157</v>
      </c>
      <c r="U850" s="186">
        <v>44936.75</v>
      </c>
      <c r="V850" s="1" t="s">
        <v>41</v>
      </c>
      <c r="W850" s="1" t="s">
        <v>49</v>
      </c>
      <c r="Z850" s="14"/>
      <c r="AA850" s="14"/>
      <c r="AC850" s="21"/>
      <c r="AE850" s="21"/>
    </row>
    <row r="851" spans="1:31" hidden="1">
      <c r="A851" s="1">
        <v>9158023</v>
      </c>
      <c r="B851" s="1" t="s">
        <v>62</v>
      </c>
      <c r="C851" t="s">
        <v>3591</v>
      </c>
      <c r="E851" s="2">
        <v>3918000203010</v>
      </c>
      <c r="F851" s="1" t="s">
        <v>152</v>
      </c>
      <c r="G851" s="1" t="s">
        <v>53</v>
      </c>
      <c r="H851" s="1" t="s">
        <v>858</v>
      </c>
      <c r="I851" s="1" t="s">
        <v>859</v>
      </c>
      <c r="J851" s="1" t="s">
        <v>33</v>
      </c>
      <c r="K851" t="s">
        <v>155</v>
      </c>
      <c r="M851" s="1" t="s">
        <v>35</v>
      </c>
      <c r="N851" s="1">
        <v>42318949</v>
      </c>
      <c r="O851" s="1" t="s">
        <v>36</v>
      </c>
      <c r="P851" s="186">
        <v>44902.592581018522</v>
      </c>
      <c r="R851" s="1">
        <v>1</v>
      </c>
      <c r="T851" s="1" t="s">
        <v>157</v>
      </c>
      <c r="U851" s="186">
        <v>44936.75</v>
      </c>
      <c r="V851" s="1" t="s">
        <v>41</v>
      </c>
      <c r="W851" s="1" t="s">
        <v>49</v>
      </c>
      <c r="Z851" s="14"/>
      <c r="AA851" s="14"/>
      <c r="AC851" s="21"/>
      <c r="AE851" s="21"/>
    </row>
    <row r="852" spans="1:31" hidden="1">
      <c r="A852" s="1">
        <v>9157070</v>
      </c>
      <c r="B852" s="1" t="s">
        <v>62</v>
      </c>
      <c r="C852" t="s">
        <v>3591</v>
      </c>
      <c r="E852" s="2">
        <v>2830000203010</v>
      </c>
      <c r="F852" s="1" t="s">
        <v>152</v>
      </c>
      <c r="G852" s="1" t="s">
        <v>53</v>
      </c>
      <c r="H852" s="1" t="s">
        <v>448</v>
      </c>
      <c r="I852" s="1" t="s">
        <v>449</v>
      </c>
      <c r="J852" s="1" t="s">
        <v>33</v>
      </c>
      <c r="K852" t="s">
        <v>155</v>
      </c>
      <c r="M852" s="1" t="s">
        <v>35</v>
      </c>
      <c r="N852" s="1">
        <v>42318949</v>
      </c>
      <c r="O852" s="1" t="s">
        <v>36</v>
      </c>
      <c r="P852" s="186">
        <v>44902.480925925927</v>
      </c>
      <c r="R852" s="1">
        <v>1</v>
      </c>
      <c r="T852" s="1" t="s">
        <v>157</v>
      </c>
      <c r="U852" s="186">
        <v>44936.75</v>
      </c>
      <c r="V852" s="1" t="s">
        <v>41</v>
      </c>
      <c r="W852" s="1" t="s">
        <v>42</v>
      </c>
      <c r="Z852" s="14"/>
      <c r="AA852" s="14"/>
      <c r="AC852" s="21"/>
      <c r="AE852" s="21"/>
    </row>
    <row r="853" spans="1:31" hidden="1">
      <c r="A853" s="1">
        <v>9157063</v>
      </c>
      <c r="B853" s="1" t="s">
        <v>62</v>
      </c>
      <c r="C853" t="s">
        <v>3591</v>
      </c>
      <c r="E853" s="2">
        <v>1833000203010</v>
      </c>
      <c r="F853" s="1" t="s">
        <v>152</v>
      </c>
      <c r="G853" s="1" t="s">
        <v>53</v>
      </c>
      <c r="H853" s="1" t="s">
        <v>369</v>
      </c>
      <c r="I853" s="1" t="s">
        <v>370</v>
      </c>
      <c r="J853" s="1" t="s">
        <v>46</v>
      </c>
      <c r="K853" t="s">
        <v>155</v>
      </c>
      <c r="M853" s="1" t="s">
        <v>35</v>
      </c>
      <c r="N853" s="1">
        <v>42318949</v>
      </c>
      <c r="O853" s="1" t="s">
        <v>36</v>
      </c>
      <c r="P853" s="186">
        <v>44902.480914351851</v>
      </c>
      <c r="R853" s="1">
        <v>1</v>
      </c>
      <c r="T853" s="1" t="s">
        <v>157</v>
      </c>
      <c r="U853" s="186">
        <v>44936.75</v>
      </c>
      <c r="V853" s="1" t="s">
        <v>41</v>
      </c>
      <c r="W853" s="1" t="s">
        <v>49</v>
      </c>
      <c r="Z853" s="14"/>
      <c r="AA853" s="14"/>
      <c r="AC853" s="21"/>
      <c r="AE853" s="21"/>
    </row>
    <row r="854" spans="1:31" hidden="1">
      <c r="A854" s="1">
        <v>9157035</v>
      </c>
      <c r="B854" s="1" t="s">
        <v>62</v>
      </c>
      <c r="C854" t="s">
        <v>3591</v>
      </c>
      <c r="E854" s="2">
        <v>3924000203010</v>
      </c>
      <c r="F854" s="1" t="s">
        <v>152</v>
      </c>
      <c r="G854" s="1" t="s">
        <v>53</v>
      </c>
      <c r="H854" s="1" t="s">
        <v>153</v>
      </c>
      <c r="I854" s="1" t="s">
        <v>154</v>
      </c>
      <c r="J854" s="1" t="s">
        <v>56</v>
      </c>
      <c r="K854" t="s">
        <v>155</v>
      </c>
      <c r="M854" s="1" t="s">
        <v>35</v>
      </c>
      <c r="N854" s="1">
        <v>42318949</v>
      </c>
      <c r="O854" s="1" t="s">
        <v>36</v>
      </c>
      <c r="P854" s="186">
        <v>44902.480879629627</v>
      </c>
      <c r="R854" s="1">
        <v>1</v>
      </c>
      <c r="T854" s="1" t="s">
        <v>157</v>
      </c>
      <c r="U854" s="186">
        <v>44942.75</v>
      </c>
      <c r="V854" s="1" t="s">
        <v>41</v>
      </c>
      <c r="W854" s="1" t="s">
        <v>49</v>
      </c>
      <c r="Z854" s="14"/>
      <c r="AA854" s="14"/>
      <c r="AC854" s="21"/>
      <c r="AE854" s="21"/>
    </row>
    <row r="855" spans="1:31" hidden="1">
      <c r="A855" s="1">
        <v>9157015</v>
      </c>
      <c r="B855" s="1" t="s">
        <v>62</v>
      </c>
      <c r="C855" t="s">
        <v>3591</v>
      </c>
      <c r="E855" s="2">
        <v>1059000203010</v>
      </c>
      <c r="F855" s="1" t="s">
        <v>152</v>
      </c>
      <c r="G855" s="1" t="s">
        <v>53</v>
      </c>
      <c r="H855" s="1" t="s">
        <v>88</v>
      </c>
      <c r="I855" s="1" t="s">
        <v>89</v>
      </c>
      <c r="J855" s="1" t="s">
        <v>90</v>
      </c>
      <c r="K855" t="s">
        <v>155</v>
      </c>
      <c r="M855" s="1" t="s">
        <v>35</v>
      </c>
      <c r="N855" s="1">
        <v>42318949</v>
      </c>
      <c r="O855" s="1" t="s">
        <v>36</v>
      </c>
      <c r="P855" s="186">
        <v>44902.480844907404</v>
      </c>
      <c r="R855" s="1">
        <v>1</v>
      </c>
      <c r="T855" s="1" t="s">
        <v>157</v>
      </c>
      <c r="U855" s="186">
        <v>44936.75</v>
      </c>
      <c r="V855" s="1" t="s">
        <v>41</v>
      </c>
      <c r="W855" s="1" t="s">
        <v>49</v>
      </c>
      <c r="Z855" s="14"/>
      <c r="AA855" s="14"/>
      <c r="AC855" s="21"/>
      <c r="AE855" s="21"/>
    </row>
    <row r="856" spans="1:31" hidden="1">
      <c r="A856" s="1">
        <v>9156995</v>
      </c>
      <c r="B856" s="1" t="s">
        <v>62</v>
      </c>
      <c r="C856" t="s">
        <v>3591</v>
      </c>
      <c r="E856" s="2">
        <v>2069000203010</v>
      </c>
      <c r="F856" s="1" t="s">
        <v>152</v>
      </c>
      <c r="G856" s="1" t="s">
        <v>53</v>
      </c>
      <c r="H856" s="1" t="s">
        <v>557</v>
      </c>
      <c r="I856" s="1" t="s">
        <v>558</v>
      </c>
      <c r="J856" s="1" t="s">
        <v>90</v>
      </c>
      <c r="K856" t="s">
        <v>155</v>
      </c>
      <c r="M856" s="1" t="s">
        <v>35</v>
      </c>
      <c r="N856" s="1">
        <v>42318949</v>
      </c>
      <c r="O856" s="1" t="s">
        <v>36</v>
      </c>
      <c r="P856" s="186">
        <v>44902.480810185189</v>
      </c>
      <c r="R856" s="1">
        <v>1</v>
      </c>
      <c r="T856" s="1" t="s">
        <v>157</v>
      </c>
      <c r="U856" s="186">
        <v>44936.75</v>
      </c>
      <c r="V856" s="1" t="s">
        <v>41</v>
      </c>
      <c r="W856" s="1" t="s">
        <v>49</v>
      </c>
      <c r="Z856" s="14"/>
      <c r="AA856" s="14"/>
      <c r="AC856" s="21"/>
      <c r="AE856" s="21"/>
    </row>
    <row r="857" spans="1:31" hidden="1">
      <c r="A857" s="1">
        <v>9162440</v>
      </c>
      <c r="B857" s="1" t="s">
        <v>62</v>
      </c>
      <c r="C857" t="s">
        <v>1705</v>
      </c>
      <c r="E857" s="2">
        <v>68000203010</v>
      </c>
      <c r="F857" s="1" t="s">
        <v>152</v>
      </c>
      <c r="G857" s="1" t="s">
        <v>53</v>
      </c>
      <c r="H857" s="1" t="s">
        <v>1330</v>
      </c>
      <c r="I857" s="1" t="s">
        <v>1331</v>
      </c>
      <c r="J857" s="1" t="s">
        <v>211</v>
      </c>
      <c r="K857" t="s">
        <v>155</v>
      </c>
      <c r="M857" s="1" t="s">
        <v>35</v>
      </c>
      <c r="N857" s="1">
        <v>42318949</v>
      </c>
      <c r="O857" s="1" t="s">
        <v>36</v>
      </c>
      <c r="P857" s="186">
        <v>44903.531909722224</v>
      </c>
      <c r="R857" s="1">
        <v>1</v>
      </c>
      <c r="T857" s="1" t="s">
        <v>157</v>
      </c>
      <c r="U857" s="186">
        <v>44937.75</v>
      </c>
      <c r="V857" s="1" t="s">
        <v>41</v>
      </c>
      <c r="W857" s="1" t="s">
        <v>49</v>
      </c>
      <c r="Z857" s="14"/>
      <c r="AA857" s="14"/>
      <c r="AC857" s="21"/>
      <c r="AE857" s="21"/>
    </row>
    <row r="858" spans="1:31" hidden="1">
      <c r="A858" s="1">
        <v>9168008</v>
      </c>
      <c r="B858" s="1" t="s">
        <v>62</v>
      </c>
      <c r="C858" t="s">
        <v>1706</v>
      </c>
      <c r="E858" s="2">
        <v>2069000203000</v>
      </c>
      <c r="F858" s="1" t="s">
        <v>454</v>
      </c>
      <c r="G858" s="1" t="s">
        <v>53</v>
      </c>
      <c r="H858" s="1" t="s">
        <v>557</v>
      </c>
      <c r="I858" s="1" t="s">
        <v>558</v>
      </c>
      <c r="J858" s="1" t="s">
        <v>90</v>
      </c>
      <c r="K858" t="s">
        <v>457</v>
      </c>
      <c r="M858" s="1" t="s">
        <v>58</v>
      </c>
      <c r="N858" s="1">
        <v>0</v>
      </c>
      <c r="O858" s="1" t="s">
        <v>36</v>
      </c>
      <c r="P858" s="186">
        <v>44904.703738425924</v>
      </c>
      <c r="R858" s="1">
        <v>1</v>
      </c>
      <c r="T858" s="1" t="s">
        <v>157</v>
      </c>
      <c r="U858" s="186">
        <v>44938.75</v>
      </c>
      <c r="V858" s="1" t="s">
        <v>41</v>
      </c>
      <c r="W858" s="1" t="s">
        <v>49</v>
      </c>
      <c r="Z858" s="14"/>
      <c r="AA858" s="14"/>
      <c r="AC858" s="21"/>
      <c r="AE858" s="21"/>
    </row>
    <row r="859" spans="1:31" hidden="1">
      <c r="A859" s="1">
        <v>9180276</v>
      </c>
      <c r="B859" s="1" t="s">
        <v>62</v>
      </c>
      <c r="C859" t="s">
        <v>3592</v>
      </c>
      <c r="E859" s="2">
        <v>1902016006800</v>
      </c>
      <c r="F859" s="1" t="s">
        <v>64</v>
      </c>
      <c r="G859" s="1" t="s">
        <v>53</v>
      </c>
      <c r="H859" s="1" t="s">
        <v>1330</v>
      </c>
      <c r="I859" s="1" t="s">
        <v>1331</v>
      </c>
      <c r="J859" s="1" t="s">
        <v>211</v>
      </c>
      <c r="K859" t="s">
        <v>67</v>
      </c>
      <c r="M859" s="1" t="s">
        <v>35</v>
      </c>
      <c r="N859" s="1">
        <v>42318949</v>
      </c>
      <c r="O859" s="1" t="s">
        <v>36</v>
      </c>
      <c r="P859" s="186">
        <v>44907.687534722223</v>
      </c>
      <c r="R859" s="1" t="s">
        <v>571</v>
      </c>
      <c r="T859" s="1" t="s">
        <v>69</v>
      </c>
      <c r="U859" s="186">
        <v>44916.687534722223</v>
      </c>
      <c r="V859" s="1" t="s">
        <v>41</v>
      </c>
      <c r="W859" s="1" t="s">
        <v>49</v>
      </c>
      <c r="Z859" s="14"/>
      <c r="AA859" s="14"/>
      <c r="AC859" s="21"/>
      <c r="AE859" s="21"/>
    </row>
    <row r="860" spans="1:31" hidden="1">
      <c r="A860" s="1">
        <v>9177930</v>
      </c>
      <c r="B860" s="1" t="s">
        <v>226</v>
      </c>
      <c r="C860" t="s">
        <v>1708</v>
      </c>
      <c r="E860" s="2">
        <v>1902016179200</v>
      </c>
      <c r="F860" s="1" t="s">
        <v>64</v>
      </c>
      <c r="G860" s="1" t="s">
        <v>53</v>
      </c>
      <c r="H860" s="1" t="s">
        <v>467</v>
      </c>
      <c r="I860" s="1" t="s">
        <v>468</v>
      </c>
      <c r="J860" s="1" t="s">
        <v>110</v>
      </c>
      <c r="K860" t="s">
        <v>67</v>
      </c>
      <c r="M860" s="1" t="s">
        <v>35</v>
      </c>
      <c r="N860" s="1">
        <v>42318949</v>
      </c>
      <c r="O860" s="1" t="s">
        <v>105</v>
      </c>
      <c r="P860" s="186">
        <v>44907.415682870371</v>
      </c>
      <c r="R860" s="1" t="s">
        <v>571</v>
      </c>
      <c r="T860" s="1" t="s">
        <v>69</v>
      </c>
      <c r="U860" s="186">
        <v>44909.415682870371</v>
      </c>
      <c r="V860" s="1" t="s">
        <v>41</v>
      </c>
      <c r="W860" s="1" t="s">
        <v>49</v>
      </c>
      <c r="Z860" s="14"/>
      <c r="AA860" s="14"/>
      <c r="AC860" s="21"/>
      <c r="AE860" s="21"/>
    </row>
    <row r="861" spans="1:31" hidden="1">
      <c r="A861" s="1">
        <v>9188220</v>
      </c>
      <c r="B861" s="1" t="s">
        <v>62</v>
      </c>
      <c r="C861" t="s">
        <v>3593</v>
      </c>
      <c r="E861" s="2">
        <v>1902016298800</v>
      </c>
      <c r="F861" s="1" t="s">
        <v>64</v>
      </c>
      <c r="G861" s="1" t="s">
        <v>53</v>
      </c>
      <c r="H861" s="1" t="s">
        <v>536</v>
      </c>
      <c r="I861" s="1" t="s">
        <v>537</v>
      </c>
      <c r="J861" s="1" t="s">
        <v>46</v>
      </c>
      <c r="K861" t="s">
        <v>67</v>
      </c>
      <c r="M861" s="1" t="s">
        <v>35</v>
      </c>
      <c r="N861" s="1">
        <v>42318949</v>
      </c>
      <c r="O861" s="1" t="s">
        <v>36</v>
      </c>
      <c r="P861" s="186">
        <v>44909.40121527778</v>
      </c>
      <c r="R861" s="1" t="s">
        <v>571</v>
      </c>
      <c r="T861" s="1" t="s">
        <v>69</v>
      </c>
      <c r="U861" s="186">
        <v>44918.40121527778</v>
      </c>
      <c r="V861" s="1" t="s">
        <v>41</v>
      </c>
      <c r="W861" s="1" t="s">
        <v>49</v>
      </c>
      <c r="Z861" s="14"/>
      <c r="AA861" s="14"/>
      <c r="AC861" s="21"/>
      <c r="AE861" s="21"/>
    </row>
    <row r="862" spans="1:31" hidden="1">
      <c r="A862" s="1">
        <v>9188182</v>
      </c>
      <c r="B862" s="1" t="s">
        <v>62</v>
      </c>
      <c r="C862" t="s">
        <v>3594</v>
      </c>
      <c r="E862" s="2">
        <v>1902016087000</v>
      </c>
      <c r="F862" s="1" t="s">
        <v>64</v>
      </c>
      <c r="G862" s="1" t="s">
        <v>53</v>
      </c>
      <c r="H862" s="1" t="s">
        <v>183</v>
      </c>
      <c r="I862" s="1" t="s">
        <v>184</v>
      </c>
      <c r="J862" s="1" t="s">
        <v>90</v>
      </c>
      <c r="K862" t="s">
        <v>67</v>
      </c>
      <c r="M862" s="1" t="s">
        <v>35</v>
      </c>
      <c r="N862" s="1">
        <v>42318949</v>
      </c>
      <c r="O862" s="1" t="s">
        <v>36</v>
      </c>
      <c r="P862" s="186">
        <v>44909.398680555554</v>
      </c>
      <c r="R862" s="1" t="s">
        <v>571</v>
      </c>
      <c r="T862" s="1" t="s">
        <v>69</v>
      </c>
      <c r="U862" s="186">
        <v>44918.398680555554</v>
      </c>
      <c r="V862" s="1" t="s">
        <v>41</v>
      </c>
      <c r="W862" s="1" t="s">
        <v>49</v>
      </c>
      <c r="Z862" s="14"/>
      <c r="AA862" s="14"/>
      <c r="AC862" s="21"/>
      <c r="AE862" s="21"/>
    </row>
    <row r="863" spans="1:31" hidden="1">
      <c r="A863" s="1">
        <v>9188168</v>
      </c>
      <c r="B863" s="1" t="s">
        <v>62</v>
      </c>
      <c r="C863" t="s">
        <v>3595</v>
      </c>
      <c r="E863" s="2">
        <v>1902016006700</v>
      </c>
      <c r="F863" s="1" t="s">
        <v>64</v>
      </c>
      <c r="G863" s="1" t="s">
        <v>53</v>
      </c>
      <c r="H863" s="1" t="s">
        <v>404</v>
      </c>
      <c r="I863" s="1" t="s">
        <v>405</v>
      </c>
      <c r="J863" s="1" t="s">
        <v>164</v>
      </c>
      <c r="K863" t="s">
        <v>67</v>
      </c>
      <c r="M863" s="1" t="s">
        <v>35</v>
      </c>
      <c r="N863" s="1">
        <v>42318949</v>
      </c>
      <c r="O863" s="1" t="s">
        <v>36</v>
      </c>
      <c r="P863" s="186">
        <v>44909.395740740743</v>
      </c>
      <c r="R863" s="1" t="s">
        <v>571</v>
      </c>
      <c r="T863" s="1" t="s">
        <v>69</v>
      </c>
      <c r="U863" s="186">
        <v>44918.395740740743</v>
      </c>
      <c r="V863" s="1" t="s">
        <v>41</v>
      </c>
      <c r="W863" s="1" t="s">
        <v>49</v>
      </c>
      <c r="Z863" s="14"/>
      <c r="AA863" s="14"/>
      <c r="AC863" s="21"/>
      <c r="AE863" s="21"/>
    </row>
    <row r="864" spans="1:31" hidden="1">
      <c r="A864" s="1">
        <v>9257159</v>
      </c>
      <c r="B864" s="1" t="s">
        <v>1717</v>
      </c>
      <c r="C864" t="s">
        <v>1723</v>
      </c>
      <c r="D864" s="2">
        <v>20228573000031</v>
      </c>
      <c r="E864" s="2">
        <v>7417193051272</v>
      </c>
      <c r="F864" s="1" t="s">
        <v>1719</v>
      </c>
      <c r="G864" s="1" t="s">
        <v>53</v>
      </c>
      <c r="H864" s="1" t="s">
        <v>657</v>
      </c>
      <c r="I864" s="1" t="s">
        <v>658</v>
      </c>
      <c r="J864" s="1" t="s">
        <v>33</v>
      </c>
      <c r="K864" t="s">
        <v>1720</v>
      </c>
      <c r="M864" s="1" t="s">
        <v>58</v>
      </c>
      <c r="N864" s="1">
        <v>0</v>
      </c>
      <c r="O864" s="1" t="s">
        <v>36</v>
      </c>
      <c r="P864" s="186">
        <v>44924.464942129627</v>
      </c>
      <c r="R864" s="1">
        <v>22</v>
      </c>
      <c r="T864" s="1" t="s">
        <v>1160</v>
      </c>
      <c r="U864" s="186">
        <v>44925.47146990741</v>
      </c>
      <c r="V864" s="1" t="s">
        <v>41</v>
      </c>
      <c r="W864" s="1" t="s">
        <v>49</v>
      </c>
      <c r="Z864" s="14"/>
      <c r="AA864" s="14"/>
      <c r="AC864" s="21"/>
      <c r="AE864" s="21"/>
    </row>
    <row r="865" spans="1:31" hidden="1">
      <c r="A865" s="1">
        <v>9271243</v>
      </c>
      <c r="B865" s="1" t="s">
        <v>101</v>
      </c>
      <c r="C865" t="s">
        <v>643</v>
      </c>
      <c r="D865" s="2">
        <v>230001652</v>
      </c>
      <c r="E865" s="2">
        <v>1358001400040</v>
      </c>
      <c r="F865" s="1" t="s">
        <v>644</v>
      </c>
      <c r="G865" s="1" t="s">
        <v>53</v>
      </c>
      <c r="H865" s="1" t="s">
        <v>593</v>
      </c>
      <c r="I865" s="1" t="s">
        <v>594</v>
      </c>
      <c r="J865" s="1" t="s">
        <v>261</v>
      </c>
      <c r="K865" t="s">
        <v>645</v>
      </c>
      <c r="M865" s="1" t="s">
        <v>58</v>
      </c>
      <c r="N865" s="1">
        <v>0</v>
      </c>
      <c r="O865" s="1" t="s">
        <v>105</v>
      </c>
      <c r="P865" s="186">
        <v>44928.004988425928</v>
      </c>
      <c r="R865" s="1">
        <v>3</v>
      </c>
      <c r="T865" s="1" t="s">
        <v>646</v>
      </c>
      <c r="U865" s="186">
        <v>44929.004999999997</v>
      </c>
      <c r="V865" s="1" t="s">
        <v>41</v>
      </c>
      <c r="W865" s="1" t="s">
        <v>49</v>
      </c>
      <c r="Z865" s="14"/>
      <c r="AA865" s="14"/>
      <c r="AC865" s="21"/>
      <c r="AE865" s="21"/>
    </row>
    <row r="866" spans="1:31" hidden="1">
      <c r="A866" s="1">
        <v>9271230</v>
      </c>
      <c r="B866" s="1" t="s">
        <v>101</v>
      </c>
      <c r="C866" t="s">
        <v>643</v>
      </c>
      <c r="D866" s="2">
        <v>230001642</v>
      </c>
      <c r="E866" s="2">
        <v>1792001400030</v>
      </c>
      <c r="F866" s="1" t="s">
        <v>647</v>
      </c>
      <c r="G866" s="1" t="s">
        <v>53</v>
      </c>
      <c r="H866" s="1" t="s">
        <v>467</v>
      </c>
      <c r="I866" s="1" t="s">
        <v>468</v>
      </c>
      <c r="J866" s="1" t="s">
        <v>110</v>
      </c>
      <c r="K866" t="s">
        <v>650</v>
      </c>
      <c r="M866" s="1" t="s">
        <v>58</v>
      </c>
      <c r="N866" s="1">
        <v>0</v>
      </c>
      <c r="O866" s="1" t="s">
        <v>105</v>
      </c>
      <c r="P866" s="186">
        <v>44928.004513888889</v>
      </c>
      <c r="R866" s="1">
        <v>4</v>
      </c>
      <c r="T866" s="1" t="s">
        <v>646</v>
      </c>
      <c r="U866" s="186">
        <v>44929.004513888889</v>
      </c>
      <c r="V866" s="1" t="s">
        <v>41</v>
      </c>
      <c r="W866" s="1" t="s">
        <v>49</v>
      </c>
      <c r="Z866" s="14"/>
      <c r="AA866" s="14"/>
      <c r="AC866" s="21"/>
      <c r="AE866" s="21"/>
    </row>
    <row r="867" spans="1:31" hidden="1">
      <c r="A867" s="1">
        <v>9271227</v>
      </c>
      <c r="B867" s="1" t="s">
        <v>101</v>
      </c>
      <c r="C867" t="s">
        <v>643</v>
      </c>
      <c r="D867" s="2">
        <v>230001658</v>
      </c>
      <c r="E867" s="2">
        <v>5740001400040</v>
      </c>
      <c r="F867" s="1" t="s">
        <v>644</v>
      </c>
      <c r="G867" s="1" t="s">
        <v>53</v>
      </c>
      <c r="H867" s="1" t="s">
        <v>626</v>
      </c>
      <c r="I867" s="1" t="s">
        <v>627</v>
      </c>
      <c r="J867" s="1" t="s">
        <v>46</v>
      </c>
      <c r="K867" t="s">
        <v>645</v>
      </c>
      <c r="M867" s="1" t="s">
        <v>58</v>
      </c>
      <c r="N867" s="1">
        <v>0</v>
      </c>
      <c r="O867" s="1" t="s">
        <v>105</v>
      </c>
      <c r="P867" s="186">
        <v>44928.004340277781</v>
      </c>
      <c r="R867" s="1">
        <v>3</v>
      </c>
      <c r="T867" s="1" t="s">
        <v>646</v>
      </c>
      <c r="U867" s="186">
        <v>44929.004340277781</v>
      </c>
      <c r="V867" s="1" t="s">
        <v>41</v>
      </c>
      <c r="W867" s="1" t="s">
        <v>49</v>
      </c>
      <c r="Z867" s="14"/>
      <c r="AA867" s="14"/>
      <c r="AC867" s="21"/>
      <c r="AE867" s="21"/>
    </row>
    <row r="868" spans="1:31" hidden="1">
      <c r="A868" s="1">
        <v>9280165</v>
      </c>
      <c r="B868" s="1" t="s">
        <v>1153</v>
      </c>
      <c r="C868" t="s">
        <v>1737</v>
      </c>
      <c r="D868" s="2">
        <v>230002991</v>
      </c>
      <c r="E868" s="2">
        <v>3613001400030</v>
      </c>
      <c r="F868" s="1" t="s">
        <v>647</v>
      </c>
      <c r="G868" s="1" t="s">
        <v>53</v>
      </c>
      <c r="H868" s="1" t="s">
        <v>679</v>
      </c>
      <c r="I868" s="1" t="s">
        <v>680</v>
      </c>
      <c r="J868" s="1" t="s">
        <v>46</v>
      </c>
      <c r="K868" t="s">
        <v>650</v>
      </c>
      <c r="M868" s="1" t="s">
        <v>58</v>
      </c>
      <c r="N868" s="1">
        <v>0</v>
      </c>
      <c r="O868" s="1" t="s">
        <v>36</v>
      </c>
      <c r="P868" s="186">
        <v>44929.666481481479</v>
      </c>
      <c r="R868" s="1">
        <v>4</v>
      </c>
      <c r="T868" s="1" t="s">
        <v>646</v>
      </c>
      <c r="U868" s="186">
        <v>44937.729166666664</v>
      </c>
      <c r="V868" s="1" t="s">
        <v>41</v>
      </c>
      <c r="W868" s="1" t="s">
        <v>49</v>
      </c>
      <c r="Z868" s="14"/>
      <c r="AA868" s="14"/>
      <c r="AC868" s="21"/>
      <c r="AE868" s="21"/>
    </row>
    <row r="869" spans="1:31" hidden="1">
      <c r="A869" s="1">
        <v>9285222</v>
      </c>
      <c r="B869" s="1" t="s">
        <v>101</v>
      </c>
      <c r="C869" t="s">
        <v>1740</v>
      </c>
      <c r="E869" s="2">
        <v>7417163050348</v>
      </c>
      <c r="F869" s="1" t="s">
        <v>1741</v>
      </c>
      <c r="G869" s="1" t="s">
        <v>53</v>
      </c>
      <c r="H869" s="1" t="s">
        <v>1742</v>
      </c>
      <c r="I869" s="1" t="s">
        <v>1743</v>
      </c>
      <c r="J869" s="1" t="s">
        <v>141</v>
      </c>
      <c r="K869" t="s">
        <v>1744</v>
      </c>
      <c r="M869" s="1" t="s">
        <v>58</v>
      </c>
      <c r="N869" s="1">
        <v>0</v>
      </c>
      <c r="O869" s="1" t="s">
        <v>105</v>
      </c>
      <c r="P869" s="186">
        <v>44930.678425925929</v>
      </c>
      <c r="R869" s="1">
        <v>14</v>
      </c>
      <c r="T869" s="1" t="s">
        <v>238</v>
      </c>
      <c r="U869" s="186">
        <v>44930.678425925929</v>
      </c>
      <c r="V869" s="1" t="s">
        <v>41</v>
      </c>
      <c r="W869" s="1" t="s">
        <v>49</v>
      </c>
      <c r="Z869" s="14"/>
      <c r="AA869" s="14"/>
      <c r="AC869" s="21"/>
      <c r="AE869" s="21"/>
    </row>
    <row r="870" spans="1:31" hidden="1">
      <c r="A870" s="1">
        <v>9283021</v>
      </c>
      <c r="B870" s="1" t="s">
        <v>1153</v>
      </c>
      <c r="C870" t="s">
        <v>1746</v>
      </c>
      <c r="D870" s="2">
        <v>230003174</v>
      </c>
      <c r="E870" s="2">
        <v>1264001400030</v>
      </c>
      <c r="F870" s="1" t="s">
        <v>647</v>
      </c>
      <c r="G870" s="1" t="s">
        <v>53</v>
      </c>
      <c r="H870" s="1" t="s">
        <v>351</v>
      </c>
      <c r="I870" s="1" t="s">
        <v>352</v>
      </c>
      <c r="J870" s="1" t="s">
        <v>110</v>
      </c>
      <c r="K870" t="s">
        <v>650</v>
      </c>
      <c r="M870" s="1" t="s">
        <v>58</v>
      </c>
      <c r="N870" s="1">
        <v>0</v>
      </c>
      <c r="O870" s="1" t="s">
        <v>36</v>
      </c>
      <c r="P870" s="186">
        <v>44930.391539351855</v>
      </c>
      <c r="R870" s="1">
        <v>4</v>
      </c>
      <c r="T870" s="1" t="s">
        <v>646</v>
      </c>
      <c r="U870" s="186">
        <v>44935.645833333336</v>
      </c>
      <c r="V870" s="1" t="s">
        <v>41</v>
      </c>
      <c r="W870" s="1" t="s">
        <v>49</v>
      </c>
      <c r="Z870" s="14"/>
      <c r="AA870" s="14"/>
      <c r="AC870" s="21"/>
      <c r="AE870" s="21"/>
    </row>
    <row r="871" spans="1:31" hidden="1">
      <c r="A871" s="1">
        <v>9289476</v>
      </c>
      <c r="B871" s="1" t="s">
        <v>1153</v>
      </c>
      <c r="C871" t="s">
        <v>1747</v>
      </c>
      <c r="D871" s="2">
        <v>20234924000013</v>
      </c>
      <c r="E871" s="2">
        <v>7417163281264</v>
      </c>
      <c r="F871" s="1" t="s">
        <v>131</v>
      </c>
      <c r="G871" s="1" t="s">
        <v>53</v>
      </c>
      <c r="H871" s="1" t="s">
        <v>1748</v>
      </c>
      <c r="I871" s="1" t="s">
        <v>1749</v>
      </c>
      <c r="J871" s="1" t="s">
        <v>79</v>
      </c>
      <c r="K871" t="s">
        <v>132</v>
      </c>
      <c r="M871" s="1" t="s">
        <v>58</v>
      </c>
      <c r="N871" s="1">
        <v>0</v>
      </c>
      <c r="O871" s="1" t="s">
        <v>36</v>
      </c>
      <c r="P871" s="186">
        <v>44931.581041666665</v>
      </c>
      <c r="R871" s="1">
        <v>14</v>
      </c>
      <c r="T871" s="1" t="s">
        <v>238</v>
      </c>
      <c r="U871" s="186">
        <v>44931.581041666665</v>
      </c>
      <c r="V871" s="1" t="s">
        <v>41</v>
      </c>
      <c r="W871" s="1" t="s">
        <v>49</v>
      </c>
      <c r="Z871" s="14"/>
      <c r="AA871" s="14"/>
      <c r="AC871" s="21"/>
      <c r="AE871" s="21"/>
    </row>
    <row r="872" spans="1:31" hidden="1">
      <c r="A872" s="1">
        <v>9303921</v>
      </c>
      <c r="B872" s="1" t="s">
        <v>101</v>
      </c>
      <c r="C872" t="s">
        <v>1751</v>
      </c>
      <c r="E872" s="2">
        <v>9705000206201</v>
      </c>
      <c r="F872" s="1" t="s">
        <v>208</v>
      </c>
      <c r="G872" s="1" t="s">
        <v>53</v>
      </c>
      <c r="H872" s="1" t="s">
        <v>204</v>
      </c>
      <c r="I872" s="1" t="s">
        <v>205</v>
      </c>
      <c r="J872" s="1" t="s">
        <v>90</v>
      </c>
      <c r="K872" t="s">
        <v>212</v>
      </c>
      <c r="M872" s="1" t="s">
        <v>35</v>
      </c>
      <c r="N872" s="1">
        <v>42318949</v>
      </c>
      <c r="O872" s="1" t="s">
        <v>105</v>
      </c>
      <c r="P872" s="186">
        <v>44932.681018518517</v>
      </c>
      <c r="R872" s="1" t="s">
        <v>38</v>
      </c>
      <c r="T872" s="1" t="s">
        <v>74</v>
      </c>
      <c r="U872" s="186">
        <v>44932.75</v>
      </c>
      <c r="V872" s="1" t="s">
        <v>41</v>
      </c>
      <c r="W872" s="1" t="s">
        <v>49</v>
      </c>
      <c r="Z872" s="14"/>
      <c r="AA872" s="14"/>
      <c r="AC872" s="21"/>
      <c r="AE872" s="21"/>
    </row>
    <row r="873" spans="1:31" hidden="1">
      <c r="A873" s="1">
        <v>9303920</v>
      </c>
      <c r="B873" s="1" t="s">
        <v>101</v>
      </c>
      <c r="C873" t="s">
        <v>1751</v>
      </c>
      <c r="E873" s="2">
        <v>9704000206201</v>
      </c>
      <c r="F873" s="1" t="s">
        <v>208</v>
      </c>
      <c r="G873" s="1" t="s">
        <v>53</v>
      </c>
      <c r="H873" s="1" t="s">
        <v>488</v>
      </c>
      <c r="I873" s="1" t="s">
        <v>489</v>
      </c>
      <c r="J873" s="1" t="s">
        <v>164</v>
      </c>
      <c r="K873" t="s">
        <v>212</v>
      </c>
      <c r="M873" s="1" t="s">
        <v>35</v>
      </c>
      <c r="N873" s="1">
        <v>42318949</v>
      </c>
      <c r="O873" s="1" t="s">
        <v>105</v>
      </c>
      <c r="P873" s="186">
        <v>44932.681018518517</v>
      </c>
      <c r="R873" s="1" t="s">
        <v>38</v>
      </c>
      <c r="T873" s="1" t="s">
        <v>74</v>
      </c>
      <c r="U873" s="186">
        <v>44932.75</v>
      </c>
      <c r="V873" s="1" t="s">
        <v>41</v>
      </c>
      <c r="W873" s="1" t="s">
        <v>49</v>
      </c>
      <c r="Z873" s="14"/>
      <c r="AA873" s="14"/>
      <c r="AC873" s="21"/>
      <c r="AE873" s="21"/>
    </row>
    <row r="874" spans="1:31" hidden="1">
      <c r="A874" s="1">
        <v>9303919</v>
      </c>
      <c r="B874" s="1" t="s">
        <v>101</v>
      </c>
      <c r="C874" t="s">
        <v>1751</v>
      </c>
      <c r="E874" s="2">
        <v>9703000206201</v>
      </c>
      <c r="F874" s="1" t="s">
        <v>208</v>
      </c>
      <c r="G874" s="1" t="s">
        <v>53</v>
      </c>
      <c r="H874" s="1" t="s">
        <v>494</v>
      </c>
      <c r="I874" s="1" t="s">
        <v>495</v>
      </c>
      <c r="J874" s="1" t="s">
        <v>79</v>
      </c>
      <c r="K874" t="s">
        <v>212</v>
      </c>
      <c r="M874" s="1" t="s">
        <v>35</v>
      </c>
      <c r="N874" s="1">
        <v>42318949</v>
      </c>
      <c r="O874" s="1" t="s">
        <v>105</v>
      </c>
      <c r="P874" s="186">
        <v>44932.681018518517</v>
      </c>
      <c r="R874" s="1" t="s">
        <v>38</v>
      </c>
      <c r="T874" s="1" t="s">
        <v>74</v>
      </c>
      <c r="U874" s="186">
        <v>44932.75</v>
      </c>
      <c r="V874" s="1" t="s">
        <v>41</v>
      </c>
      <c r="W874" s="1" t="s">
        <v>49</v>
      </c>
      <c r="Z874" s="14"/>
      <c r="AA874" s="14"/>
      <c r="AC874" s="21"/>
      <c r="AE874" s="21"/>
    </row>
    <row r="875" spans="1:31" hidden="1">
      <c r="A875" s="1">
        <v>9303918</v>
      </c>
      <c r="B875" s="1" t="s">
        <v>101</v>
      </c>
      <c r="C875" t="s">
        <v>1751</v>
      </c>
      <c r="E875" s="2">
        <v>9700000206201</v>
      </c>
      <c r="F875" s="1" t="s">
        <v>208</v>
      </c>
      <c r="G875" s="1" t="s">
        <v>53</v>
      </c>
      <c r="H875" s="1" t="s">
        <v>209</v>
      </c>
      <c r="I875" s="1" t="s">
        <v>210</v>
      </c>
      <c r="J875" s="1" t="s">
        <v>211</v>
      </c>
      <c r="K875" t="s">
        <v>212</v>
      </c>
      <c r="M875" s="1" t="s">
        <v>35</v>
      </c>
      <c r="N875" s="1">
        <v>42318949</v>
      </c>
      <c r="O875" s="1" t="s">
        <v>105</v>
      </c>
      <c r="P875" s="186">
        <v>44932.681006944447</v>
      </c>
      <c r="R875" s="1" t="s">
        <v>38</v>
      </c>
      <c r="T875" s="1" t="s">
        <v>74</v>
      </c>
      <c r="U875" s="186">
        <v>44932.75</v>
      </c>
      <c r="V875" s="1" t="s">
        <v>41</v>
      </c>
      <c r="W875" s="1" t="s">
        <v>49</v>
      </c>
      <c r="Z875" s="14"/>
      <c r="AA875" s="14"/>
      <c r="AC875" s="21"/>
      <c r="AE875" s="21"/>
    </row>
    <row r="876" spans="1:31" hidden="1">
      <c r="A876" s="1">
        <v>9303886</v>
      </c>
      <c r="B876" s="1" t="s">
        <v>101</v>
      </c>
      <c r="C876" t="s">
        <v>1751</v>
      </c>
      <c r="E876" s="2">
        <v>9661000206201</v>
      </c>
      <c r="F876" s="1" t="s">
        <v>208</v>
      </c>
      <c r="G876" s="1" t="s">
        <v>53</v>
      </c>
      <c r="H876" s="1" t="s">
        <v>31</v>
      </c>
      <c r="I876" s="1" t="s">
        <v>32</v>
      </c>
      <c r="J876" s="1" t="s">
        <v>33</v>
      </c>
      <c r="K876" t="s">
        <v>212</v>
      </c>
      <c r="M876" s="1" t="s">
        <v>35</v>
      </c>
      <c r="N876" s="1">
        <v>42318949</v>
      </c>
      <c r="O876" s="1" t="s">
        <v>105</v>
      </c>
      <c r="P876" s="186">
        <v>44932.680960648147</v>
      </c>
      <c r="R876" s="1" t="s">
        <v>38</v>
      </c>
      <c r="T876" s="1" t="s">
        <v>74</v>
      </c>
      <c r="U876" s="186">
        <v>44932.75</v>
      </c>
      <c r="V876" s="1" t="s">
        <v>41</v>
      </c>
      <c r="W876" s="1" t="s">
        <v>42</v>
      </c>
      <c r="Z876" s="14"/>
      <c r="AA876" s="14"/>
      <c r="AC876" s="21"/>
      <c r="AE876" s="21"/>
    </row>
    <row r="877" spans="1:31" hidden="1">
      <c r="A877" s="1">
        <v>9303849</v>
      </c>
      <c r="B877" s="1" t="s">
        <v>101</v>
      </c>
      <c r="C877" t="s">
        <v>1751</v>
      </c>
      <c r="E877" s="2">
        <v>9406000206201</v>
      </c>
      <c r="F877" s="1" t="s">
        <v>208</v>
      </c>
      <c r="G877" s="1" t="s">
        <v>53</v>
      </c>
      <c r="H877" s="1" t="s">
        <v>114</v>
      </c>
      <c r="I877" s="1" t="s">
        <v>115</v>
      </c>
      <c r="J877" s="1" t="s">
        <v>46</v>
      </c>
      <c r="K877" t="s">
        <v>212</v>
      </c>
      <c r="M877" s="1" t="s">
        <v>35</v>
      </c>
      <c r="N877" s="1">
        <v>42318949</v>
      </c>
      <c r="O877" s="1" t="s">
        <v>105</v>
      </c>
      <c r="P877" s="186">
        <v>44932.680902777778</v>
      </c>
      <c r="R877" s="1" t="s">
        <v>38</v>
      </c>
      <c r="T877" s="1" t="s">
        <v>74</v>
      </c>
      <c r="U877" s="186">
        <v>44932.75</v>
      </c>
      <c r="V877" s="1" t="s">
        <v>41</v>
      </c>
      <c r="W877" s="1" t="s">
        <v>49</v>
      </c>
      <c r="Z877" s="14"/>
      <c r="AA877" s="14"/>
      <c r="AC877" s="21"/>
      <c r="AE877" s="21"/>
    </row>
    <row r="878" spans="1:31" hidden="1">
      <c r="A878" s="1">
        <v>9303357</v>
      </c>
      <c r="B878" s="1" t="s">
        <v>101</v>
      </c>
      <c r="C878" t="s">
        <v>1756</v>
      </c>
      <c r="E878" s="2">
        <v>9704000206001</v>
      </c>
      <c r="F878" s="1" t="s">
        <v>29</v>
      </c>
      <c r="G878" s="1" t="s">
        <v>53</v>
      </c>
      <c r="H878" s="1" t="s">
        <v>488</v>
      </c>
      <c r="I878" s="1" t="s">
        <v>489</v>
      </c>
      <c r="J878" s="1" t="s">
        <v>164</v>
      </c>
      <c r="K878" t="s">
        <v>34</v>
      </c>
      <c r="M878" s="1" t="s">
        <v>35</v>
      </c>
      <c r="N878" s="1">
        <v>42318949</v>
      </c>
      <c r="O878" s="1" t="s">
        <v>105</v>
      </c>
      <c r="P878" s="186">
        <v>44932.623599537037</v>
      </c>
      <c r="R878" s="1" t="s">
        <v>38</v>
      </c>
      <c r="T878" s="1" t="s">
        <v>74</v>
      </c>
      <c r="U878" s="186">
        <v>44932.75</v>
      </c>
      <c r="V878" s="1" t="s">
        <v>41</v>
      </c>
      <c r="W878" s="1" t="s">
        <v>49</v>
      </c>
      <c r="Z878" s="14"/>
      <c r="AA878" s="14"/>
      <c r="AC878" s="21"/>
      <c r="AE878" s="21"/>
    </row>
    <row r="879" spans="1:31" hidden="1">
      <c r="A879" s="1">
        <v>9303355</v>
      </c>
      <c r="B879" s="1" t="s">
        <v>101</v>
      </c>
      <c r="C879" t="s">
        <v>1756</v>
      </c>
      <c r="E879" s="2">
        <v>9704000206001</v>
      </c>
      <c r="F879" s="1" t="s">
        <v>29</v>
      </c>
      <c r="G879" s="1" t="s">
        <v>53</v>
      </c>
      <c r="H879" s="1" t="s">
        <v>488</v>
      </c>
      <c r="I879" s="1" t="s">
        <v>489</v>
      </c>
      <c r="J879" s="1" t="s">
        <v>164</v>
      </c>
      <c r="K879" t="s">
        <v>34</v>
      </c>
      <c r="M879" s="1" t="s">
        <v>35</v>
      </c>
      <c r="N879" s="1">
        <v>42318949</v>
      </c>
      <c r="O879" s="1" t="s">
        <v>105</v>
      </c>
      <c r="P879" s="186">
        <v>44932.623599537037</v>
      </c>
      <c r="R879" s="1" t="s">
        <v>38</v>
      </c>
      <c r="T879" s="1" t="s">
        <v>74</v>
      </c>
      <c r="U879" s="186">
        <v>44932.75</v>
      </c>
      <c r="V879" s="1" t="s">
        <v>41</v>
      </c>
      <c r="W879" s="1" t="s">
        <v>49</v>
      </c>
      <c r="Z879" s="14"/>
      <c r="AA879" s="14"/>
      <c r="AC879" s="21"/>
      <c r="AE879" s="21"/>
    </row>
    <row r="880" spans="1:31" hidden="1">
      <c r="A880" s="1">
        <v>9303354</v>
      </c>
      <c r="B880" s="1" t="s">
        <v>101</v>
      </c>
      <c r="C880" t="s">
        <v>1756</v>
      </c>
      <c r="E880" s="2">
        <v>9703000206001</v>
      </c>
      <c r="F880" s="1" t="s">
        <v>29</v>
      </c>
      <c r="G880" s="1" t="s">
        <v>53</v>
      </c>
      <c r="H880" s="1" t="s">
        <v>494</v>
      </c>
      <c r="I880" s="1" t="s">
        <v>495</v>
      </c>
      <c r="J880" s="1" t="s">
        <v>79</v>
      </c>
      <c r="K880" t="s">
        <v>34</v>
      </c>
      <c r="M880" s="1" t="s">
        <v>35</v>
      </c>
      <c r="N880" s="1">
        <v>42318949</v>
      </c>
      <c r="O880" s="1" t="s">
        <v>105</v>
      </c>
      <c r="P880" s="186">
        <v>44932.623599537037</v>
      </c>
      <c r="R880" s="1" t="s">
        <v>38</v>
      </c>
      <c r="T880" s="1" t="s">
        <v>74</v>
      </c>
      <c r="U880" s="186">
        <v>44932.75</v>
      </c>
      <c r="V880" s="1" t="s">
        <v>41</v>
      </c>
      <c r="W880" s="1" t="s">
        <v>49</v>
      </c>
      <c r="Z880" s="14"/>
      <c r="AA880" s="14"/>
      <c r="AC880" s="21"/>
      <c r="AE880" s="21"/>
    </row>
    <row r="881" spans="1:31" hidden="1">
      <c r="A881" s="1">
        <v>9303353</v>
      </c>
      <c r="B881" s="1" t="s">
        <v>101</v>
      </c>
      <c r="C881" t="s">
        <v>1756</v>
      </c>
      <c r="E881" s="2">
        <v>9703000206001</v>
      </c>
      <c r="F881" s="1" t="s">
        <v>29</v>
      </c>
      <c r="G881" s="1" t="s">
        <v>53</v>
      </c>
      <c r="H881" s="1" t="s">
        <v>494</v>
      </c>
      <c r="I881" s="1" t="s">
        <v>495</v>
      </c>
      <c r="J881" s="1" t="s">
        <v>79</v>
      </c>
      <c r="K881" t="s">
        <v>34</v>
      </c>
      <c r="M881" s="1" t="s">
        <v>35</v>
      </c>
      <c r="N881" s="1">
        <v>42318949</v>
      </c>
      <c r="O881" s="1" t="s">
        <v>105</v>
      </c>
      <c r="P881" s="186">
        <v>44932.623599537037</v>
      </c>
      <c r="R881" s="1" t="s">
        <v>38</v>
      </c>
      <c r="T881" s="1" t="s">
        <v>74</v>
      </c>
      <c r="U881" s="186">
        <v>44932.75</v>
      </c>
      <c r="V881" s="1" t="s">
        <v>41</v>
      </c>
      <c r="W881" s="1" t="s">
        <v>49</v>
      </c>
      <c r="Z881" s="14"/>
      <c r="AA881" s="14"/>
      <c r="AC881" s="21"/>
      <c r="AE881" s="21"/>
    </row>
    <row r="882" spans="1:31" hidden="1">
      <c r="A882" s="1">
        <v>9303352</v>
      </c>
      <c r="B882" s="1" t="s">
        <v>101</v>
      </c>
      <c r="C882" t="s">
        <v>1756</v>
      </c>
      <c r="E882" s="2">
        <v>9700000206001</v>
      </c>
      <c r="F882" s="1" t="s">
        <v>29</v>
      </c>
      <c r="G882" s="1" t="s">
        <v>53</v>
      </c>
      <c r="H882" s="1" t="s">
        <v>209</v>
      </c>
      <c r="I882" s="1" t="s">
        <v>210</v>
      </c>
      <c r="J882" s="1" t="s">
        <v>211</v>
      </c>
      <c r="K882" t="s">
        <v>34</v>
      </c>
      <c r="M882" s="1" t="s">
        <v>35</v>
      </c>
      <c r="N882" s="1">
        <v>42318949</v>
      </c>
      <c r="O882" s="1" t="s">
        <v>105</v>
      </c>
      <c r="P882" s="186">
        <v>44932.62358796296</v>
      </c>
      <c r="R882" s="1" t="s">
        <v>38</v>
      </c>
      <c r="T882" s="1" t="s">
        <v>74</v>
      </c>
      <c r="U882" s="186">
        <v>44932.75</v>
      </c>
      <c r="V882" s="1" t="s">
        <v>41</v>
      </c>
      <c r="W882" s="1" t="s">
        <v>49</v>
      </c>
      <c r="Z882" s="14"/>
      <c r="AA882" s="14"/>
      <c r="AC882" s="21"/>
      <c r="AE882" s="21"/>
    </row>
    <row r="883" spans="1:31" hidden="1">
      <c r="A883" s="1">
        <v>9303351</v>
      </c>
      <c r="B883" s="1" t="s">
        <v>101</v>
      </c>
      <c r="C883" t="s">
        <v>1756</v>
      </c>
      <c r="E883" s="2">
        <v>9700000206001</v>
      </c>
      <c r="F883" s="1" t="s">
        <v>29</v>
      </c>
      <c r="G883" s="1" t="s">
        <v>53</v>
      </c>
      <c r="H883" s="1" t="s">
        <v>209</v>
      </c>
      <c r="I883" s="1" t="s">
        <v>210</v>
      </c>
      <c r="J883" s="1" t="s">
        <v>211</v>
      </c>
      <c r="K883" t="s">
        <v>34</v>
      </c>
      <c r="M883" s="1" t="s">
        <v>35</v>
      </c>
      <c r="N883" s="1">
        <v>42318949</v>
      </c>
      <c r="O883" s="1" t="s">
        <v>105</v>
      </c>
      <c r="P883" s="186">
        <v>44932.62358796296</v>
      </c>
      <c r="R883" s="1" t="s">
        <v>38</v>
      </c>
      <c r="T883" s="1" t="s">
        <v>74</v>
      </c>
      <c r="U883" s="186">
        <v>44932.75</v>
      </c>
      <c r="V883" s="1" t="s">
        <v>41</v>
      </c>
      <c r="W883" s="1" t="s">
        <v>49</v>
      </c>
      <c r="Z883" s="14"/>
      <c r="AA883" s="14"/>
      <c r="AC883" s="21"/>
      <c r="AE883" s="21"/>
    </row>
    <row r="884" spans="1:31" hidden="1">
      <c r="A884" s="1">
        <v>9303071</v>
      </c>
      <c r="B884" s="1" t="s">
        <v>101</v>
      </c>
      <c r="C884" t="s">
        <v>1756</v>
      </c>
      <c r="E884" s="2">
        <v>9406000206001</v>
      </c>
      <c r="F884" s="1" t="s">
        <v>29</v>
      </c>
      <c r="G884" s="1" t="s">
        <v>53</v>
      </c>
      <c r="H884" s="1" t="s">
        <v>114</v>
      </c>
      <c r="I884" s="1" t="s">
        <v>115</v>
      </c>
      <c r="J884" s="1" t="s">
        <v>46</v>
      </c>
      <c r="K884" t="s">
        <v>34</v>
      </c>
      <c r="M884" s="1" t="s">
        <v>35</v>
      </c>
      <c r="N884" s="1">
        <v>42318949</v>
      </c>
      <c r="O884" s="1" t="s">
        <v>105</v>
      </c>
      <c r="P884" s="186">
        <v>44932.623229166667</v>
      </c>
      <c r="R884" s="1" t="s">
        <v>38</v>
      </c>
      <c r="T884" s="1" t="s">
        <v>74</v>
      </c>
      <c r="U884" s="186">
        <v>44932.75</v>
      </c>
      <c r="V884" s="1" t="s">
        <v>41</v>
      </c>
      <c r="W884" s="1" t="s">
        <v>49</v>
      </c>
      <c r="Z884" s="14"/>
      <c r="AA884" s="14"/>
      <c r="AC884" s="21"/>
      <c r="AE884" s="21"/>
    </row>
    <row r="885" spans="1:31" hidden="1">
      <c r="A885" s="1">
        <v>9303070</v>
      </c>
      <c r="B885" s="1" t="s">
        <v>101</v>
      </c>
      <c r="C885" t="s">
        <v>1756</v>
      </c>
      <c r="E885" s="2">
        <v>9406000206001</v>
      </c>
      <c r="F885" s="1" t="s">
        <v>29</v>
      </c>
      <c r="G885" s="1" t="s">
        <v>53</v>
      </c>
      <c r="H885" s="1" t="s">
        <v>114</v>
      </c>
      <c r="I885" s="1" t="s">
        <v>115</v>
      </c>
      <c r="J885" s="1" t="s">
        <v>46</v>
      </c>
      <c r="K885" t="s">
        <v>34</v>
      </c>
      <c r="M885" s="1" t="s">
        <v>35</v>
      </c>
      <c r="N885" s="1">
        <v>42318949</v>
      </c>
      <c r="O885" s="1" t="s">
        <v>105</v>
      </c>
      <c r="P885" s="186">
        <v>44932.623217592591</v>
      </c>
      <c r="R885" s="1" t="s">
        <v>38</v>
      </c>
      <c r="T885" s="1" t="s">
        <v>74</v>
      </c>
      <c r="U885" s="186">
        <v>44932.75</v>
      </c>
      <c r="V885" s="1" t="s">
        <v>41</v>
      </c>
      <c r="W885" s="1" t="s">
        <v>49</v>
      </c>
      <c r="Z885" s="14"/>
      <c r="AA885" s="14"/>
      <c r="AC885" s="21"/>
      <c r="AE885" s="21"/>
    </row>
    <row r="886" spans="1:31" hidden="1">
      <c r="A886" s="1">
        <v>9303069</v>
      </c>
      <c r="B886" s="1" t="s">
        <v>101</v>
      </c>
      <c r="C886" t="s">
        <v>1756</v>
      </c>
      <c r="E886" s="2">
        <v>9406000206001</v>
      </c>
      <c r="F886" s="1" t="s">
        <v>29</v>
      </c>
      <c r="G886" s="1" t="s">
        <v>53</v>
      </c>
      <c r="H886" s="1" t="s">
        <v>114</v>
      </c>
      <c r="I886" s="1" t="s">
        <v>115</v>
      </c>
      <c r="J886" s="1" t="s">
        <v>46</v>
      </c>
      <c r="K886" t="s">
        <v>34</v>
      </c>
      <c r="M886" s="1" t="s">
        <v>35</v>
      </c>
      <c r="N886" s="1">
        <v>42318949</v>
      </c>
      <c r="O886" s="1" t="s">
        <v>105</v>
      </c>
      <c r="P886" s="186">
        <v>44932.623217592591</v>
      </c>
      <c r="R886" s="1" t="s">
        <v>38</v>
      </c>
      <c r="T886" s="1" t="s">
        <v>74</v>
      </c>
      <c r="U886" s="186">
        <v>44932.75</v>
      </c>
      <c r="V886" s="1" t="s">
        <v>41</v>
      </c>
      <c r="W886" s="1" t="s">
        <v>49</v>
      </c>
      <c r="Z886" s="14"/>
      <c r="AA886" s="14"/>
      <c r="AC886" s="21"/>
      <c r="AE886" s="21"/>
    </row>
    <row r="887" spans="1:31" hidden="1">
      <c r="A887" s="1">
        <v>9303068</v>
      </c>
      <c r="B887" s="1" t="s">
        <v>101</v>
      </c>
      <c r="C887" t="s">
        <v>1756</v>
      </c>
      <c r="E887" s="2">
        <v>9406000206001</v>
      </c>
      <c r="F887" s="1" t="s">
        <v>29</v>
      </c>
      <c r="G887" s="1" t="s">
        <v>53</v>
      </c>
      <c r="H887" s="1" t="s">
        <v>114</v>
      </c>
      <c r="I887" s="1" t="s">
        <v>115</v>
      </c>
      <c r="J887" s="1" t="s">
        <v>46</v>
      </c>
      <c r="K887" t="s">
        <v>34</v>
      </c>
      <c r="M887" s="1" t="s">
        <v>35</v>
      </c>
      <c r="N887" s="1">
        <v>42318949</v>
      </c>
      <c r="O887" s="1" t="s">
        <v>105</v>
      </c>
      <c r="P887" s="186">
        <v>44932.623217592591</v>
      </c>
      <c r="R887" s="1" t="s">
        <v>38</v>
      </c>
      <c r="T887" s="1" t="s">
        <v>74</v>
      </c>
      <c r="U887" s="186">
        <v>44932.75</v>
      </c>
      <c r="V887" s="1" t="s">
        <v>41</v>
      </c>
      <c r="W887" s="1" t="s">
        <v>49</v>
      </c>
      <c r="Z887" s="14"/>
      <c r="AA887" s="14"/>
      <c r="AC887" s="21"/>
      <c r="AE887" s="21"/>
    </row>
    <row r="888" spans="1:31" hidden="1">
      <c r="A888" s="1">
        <v>9303067</v>
      </c>
      <c r="B888" s="1" t="s">
        <v>101</v>
      </c>
      <c r="C888" t="s">
        <v>1756</v>
      </c>
      <c r="E888" s="2">
        <v>9406000206001</v>
      </c>
      <c r="F888" s="1" t="s">
        <v>29</v>
      </c>
      <c r="G888" s="1" t="s">
        <v>53</v>
      </c>
      <c r="H888" s="1" t="s">
        <v>114</v>
      </c>
      <c r="I888" s="1" t="s">
        <v>115</v>
      </c>
      <c r="J888" s="1" t="s">
        <v>46</v>
      </c>
      <c r="K888" t="s">
        <v>34</v>
      </c>
      <c r="M888" s="1" t="s">
        <v>35</v>
      </c>
      <c r="N888" s="1">
        <v>42318949</v>
      </c>
      <c r="O888" s="1" t="s">
        <v>105</v>
      </c>
      <c r="P888" s="186">
        <v>44932.623217592591</v>
      </c>
      <c r="R888" s="1" t="s">
        <v>38</v>
      </c>
      <c r="T888" s="1" t="s">
        <v>74</v>
      </c>
      <c r="U888" s="186">
        <v>44932.75</v>
      </c>
      <c r="V888" s="1" t="s">
        <v>41</v>
      </c>
      <c r="W888" s="1" t="s">
        <v>49</v>
      </c>
      <c r="Z888" s="14"/>
      <c r="AA888" s="14"/>
      <c r="AC888" s="21"/>
      <c r="AE888" s="21"/>
    </row>
    <row r="889" spans="1:31" hidden="1">
      <c r="A889" s="1">
        <v>9303066</v>
      </c>
      <c r="B889" s="1" t="s">
        <v>101</v>
      </c>
      <c r="C889" t="s">
        <v>1756</v>
      </c>
      <c r="E889" s="2">
        <v>9406000206001</v>
      </c>
      <c r="F889" s="1" t="s">
        <v>29</v>
      </c>
      <c r="G889" s="1" t="s">
        <v>53</v>
      </c>
      <c r="H889" s="1" t="s">
        <v>114</v>
      </c>
      <c r="I889" s="1" t="s">
        <v>115</v>
      </c>
      <c r="J889" s="1" t="s">
        <v>46</v>
      </c>
      <c r="K889" t="s">
        <v>34</v>
      </c>
      <c r="M889" s="1" t="s">
        <v>35</v>
      </c>
      <c r="N889" s="1">
        <v>42318949</v>
      </c>
      <c r="O889" s="1" t="s">
        <v>105</v>
      </c>
      <c r="P889" s="186">
        <v>44932.623217592591</v>
      </c>
      <c r="R889" s="1" t="s">
        <v>38</v>
      </c>
      <c r="T889" s="1" t="s">
        <v>74</v>
      </c>
      <c r="U889" s="186">
        <v>44932.75</v>
      </c>
      <c r="V889" s="1" t="s">
        <v>41</v>
      </c>
      <c r="W889" s="1" t="s">
        <v>49</v>
      </c>
      <c r="Z889" s="14"/>
      <c r="AA889" s="14"/>
      <c r="AC889" s="21"/>
      <c r="AE889" s="21"/>
    </row>
    <row r="890" spans="1:31" hidden="1">
      <c r="A890" s="1">
        <v>9303065</v>
      </c>
      <c r="B890" s="1" t="s">
        <v>101</v>
      </c>
      <c r="C890" t="s">
        <v>1756</v>
      </c>
      <c r="E890" s="2">
        <v>9406000206001</v>
      </c>
      <c r="F890" s="1" t="s">
        <v>29</v>
      </c>
      <c r="G890" s="1" t="s">
        <v>53</v>
      </c>
      <c r="H890" s="1" t="s">
        <v>114</v>
      </c>
      <c r="I890" s="1" t="s">
        <v>115</v>
      </c>
      <c r="J890" s="1" t="s">
        <v>46</v>
      </c>
      <c r="K890" t="s">
        <v>34</v>
      </c>
      <c r="M890" s="1" t="s">
        <v>35</v>
      </c>
      <c r="N890" s="1">
        <v>42318949</v>
      </c>
      <c r="O890" s="1" t="s">
        <v>105</v>
      </c>
      <c r="P890" s="186">
        <v>44932.623217592591</v>
      </c>
      <c r="R890" s="1" t="s">
        <v>38</v>
      </c>
      <c r="T890" s="1" t="s">
        <v>74</v>
      </c>
      <c r="U890" s="186">
        <v>44932.75</v>
      </c>
      <c r="V890" s="1" t="s">
        <v>41</v>
      </c>
      <c r="W890" s="1" t="s">
        <v>49</v>
      </c>
      <c r="Z890" s="14"/>
      <c r="AA890" s="14"/>
      <c r="AC890" s="21"/>
      <c r="AE890" s="21"/>
    </row>
    <row r="891" spans="1:31" hidden="1">
      <c r="A891" s="1">
        <v>9301760</v>
      </c>
      <c r="B891" s="1" t="s">
        <v>101</v>
      </c>
      <c r="C891" t="s">
        <v>1761</v>
      </c>
      <c r="E891" s="2">
        <v>9704000206001</v>
      </c>
      <c r="F891" s="1" t="s">
        <v>29</v>
      </c>
      <c r="G891" s="1" t="s">
        <v>53</v>
      </c>
      <c r="H891" s="1" t="s">
        <v>488</v>
      </c>
      <c r="I891" s="1" t="s">
        <v>489</v>
      </c>
      <c r="J891" s="1" t="s">
        <v>164</v>
      </c>
      <c r="K891" t="s">
        <v>34</v>
      </c>
      <c r="M891" s="1" t="s">
        <v>35</v>
      </c>
      <c r="N891" s="1">
        <v>42318949</v>
      </c>
      <c r="O891" s="1" t="s">
        <v>105</v>
      </c>
      <c r="P891" s="186">
        <v>44932.480995370373</v>
      </c>
      <c r="R891" s="1" t="s">
        <v>38</v>
      </c>
      <c r="T891" s="1" t="s">
        <v>74</v>
      </c>
      <c r="U891" s="186">
        <v>44932.75</v>
      </c>
      <c r="V891" s="1" t="s">
        <v>41</v>
      </c>
      <c r="W891" s="1" t="s">
        <v>49</v>
      </c>
      <c r="Z891" s="14"/>
      <c r="AA891" s="14"/>
      <c r="AC891" s="21"/>
      <c r="AE891" s="21"/>
    </row>
    <row r="892" spans="1:31" hidden="1">
      <c r="A892" s="1">
        <v>9301759</v>
      </c>
      <c r="B892" s="1" t="s">
        <v>101</v>
      </c>
      <c r="C892" t="s">
        <v>1761</v>
      </c>
      <c r="E892" s="2">
        <v>9704000206001</v>
      </c>
      <c r="F892" s="1" t="s">
        <v>29</v>
      </c>
      <c r="G892" s="1" t="s">
        <v>53</v>
      </c>
      <c r="H892" s="1" t="s">
        <v>488</v>
      </c>
      <c r="I892" s="1" t="s">
        <v>489</v>
      </c>
      <c r="J892" s="1" t="s">
        <v>164</v>
      </c>
      <c r="K892" t="s">
        <v>34</v>
      </c>
      <c r="M892" s="1" t="s">
        <v>35</v>
      </c>
      <c r="N892" s="1">
        <v>42318949</v>
      </c>
      <c r="O892" s="1" t="s">
        <v>105</v>
      </c>
      <c r="P892" s="186">
        <v>44932.480995370373</v>
      </c>
      <c r="R892" s="1" t="s">
        <v>38</v>
      </c>
      <c r="T892" s="1" t="s">
        <v>74</v>
      </c>
      <c r="U892" s="186">
        <v>44932.75</v>
      </c>
      <c r="V892" s="1" t="s">
        <v>41</v>
      </c>
      <c r="W892" s="1" t="s">
        <v>49</v>
      </c>
      <c r="Z892" s="14"/>
      <c r="AA892" s="14"/>
      <c r="AC892" s="21"/>
      <c r="AE892" s="21"/>
    </row>
    <row r="893" spans="1:31" hidden="1">
      <c r="A893" s="1">
        <v>9301758</v>
      </c>
      <c r="B893" s="1" t="s">
        <v>101</v>
      </c>
      <c r="C893" t="s">
        <v>1761</v>
      </c>
      <c r="E893" s="2">
        <v>9704000206001</v>
      </c>
      <c r="F893" s="1" t="s">
        <v>29</v>
      </c>
      <c r="G893" s="1" t="s">
        <v>53</v>
      </c>
      <c r="H893" s="1" t="s">
        <v>488</v>
      </c>
      <c r="I893" s="1" t="s">
        <v>489</v>
      </c>
      <c r="J893" s="1" t="s">
        <v>164</v>
      </c>
      <c r="K893" t="s">
        <v>34</v>
      </c>
      <c r="M893" s="1" t="s">
        <v>35</v>
      </c>
      <c r="N893" s="1">
        <v>42318949</v>
      </c>
      <c r="O893" s="1" t="s">
        <v>105</v>
      </c>
      <c r="P893" s="186">
        <v>44932.480995370373</v>
      </c>
      <c r="R893" s="1" t="s">
        <v>38</v>
      </c>
      <c r="T893" s="1" t="s">
        <v>74</v>
      </c>
      <c r="U893" s="186">
        <v>44932.75</v>
      </c>
      <c r="V893" s="1" t="s">
        <v>41</v>
      </c>
      <c r="W893" s="1" t="s">
        <v>49</v>
      </c>
      <c r="Z893" s="14"/>
      <c r="AA893" s="14"/>
      <c r="AC893" s="21"/>
      <c r="AE893" s="21"/>
    </row>
    <row r="894" spans="1:31" hidden="1">
      <c r="A894" s="1">
        <v>9301757</v>
      </c>
      <c r="B894" s="1" t="s">
        <v>101</v>
      </c>
      <c r="C894" t="s">
        <v>1761</v>
      </c>
      <c r="E894" s="2">
        <v>9704000206001</v>
      </c>
      <c r="F894" s="1" t="s">
        <v>29</v>
      </c>
      <c r="G894" s="1" t="s">
        <v>53</v>
      </c>
      <c r="H894" s="1" t="s">
        <v>488</v>
      </c>
      <c r="I894" s="1" t="s">
        <v>489</v>
      </c>
      <c r="J894" s="1" t="s">
        <v>164</v>
      </c>
      <c r="K894" t="s">
        <v>34</v>
      </c>
      <c r="M894" s="1" t="s">
        <v>35</v>
      </c>
      <c r="N894" s="1">
        <v>42318949</v>
      </c>
      <c r="O894" s="1" t="s">
        <v>105</v>
      </c>
      <c r="P894" s="186">
        <v>44932.480995370373</v>
      </c>
      <c r="R894" s="1" t="s">
        <v>38</v>
      </c>
      <c r="T894" s="1" t="s">
        <v>74</v>
      </c>
      <c r="U894" s="186">
        <v>44932.75</v>
      </c>
      <c r="V894" s="1" t="s">
        <v>41</v>
      </c>
      <c r="W894" s="1" t="s">
        <v>49</v>
      </c>
      <c r="Z894" s="14"/>
      <c r="AA894" s="14"/>
      <c r="AC894" s="21"/>
      <c r="AE894" s="21"/>
    </row>
    <row r="895" spans="1:31" hidden="1">
      <c r="A895" s="1">
        <v>9301756</v>
      </c>
      <c r="B895" s="1" t="s">
        <v>101</v>
      </c>
      <c r="C895" t="s">
        <v>1761</v>
      </c>
      <c r="E895" s="2">
        <v>9703000206001</v>
      </c>
      <c r="F895" s="1" t="s">
        <v>29</v>
      </c>
      <c r="G895" s="1" t="s">
        <v>53</v>
      </c>
      <c r="H895" s="1" t="s">
        <v>494</v>
      </c>
      <c r="I895" s="1" t="s">
        <v>495</v>
      </c>
      <c r="J895" s="1" t="s">
        <v>79</v>
      </c>
      <c r="K895" t="s">
        <v>34</v>
      </c>
      <c r="M895" s="1" t="s">
        <v>35</v>
      </c>
      <c r="N895" s="1">
        <v>42318949</v>
      </c>
      <c r="O895" s="1" t="s">
        <v>105</v>
      </c>
      <c r="P895" s="186">
        <v>44932.480983796297</v>
      </c>
      <c r="R895" s="1" t="s">
        <v>38</v>
      </c>
      <c r="T895" s="1" t="s">
        <v>74</v>
      </c>
      <c r="U895" s="186">
        <v>44932.75</v>
      </c>
      <c r="V895" s="1" t="s">
        <v>41</v>
      </c>
      <c r="W895" s="1" t="s">
        <v>49</v>
      </c>
      <c r="Z895" s="14"/>
      <c r="AA895" s="14"/>
    </row>
    <row r="896" spans="1:31" hidden="1">
      <c r="A896" s="1">
        <v>9301755</v>
      </c>
      <c r="B896" s="1" t="s">
        <v>101</v>
      </c>
      <c r="C896" t="s">
        <v>1761</v>
      </c>
      <c r="E896" s="2">
        <v>9703000206001</v>
      </c>
      <c r="F896" s="1" t="s">
        <v>29</v>
      </c>
      <c r="G896" s="1" t="s">
        <v>53</v>
      </c>
      <c r="H896" s="1" t="s">
        <v>494</v>
      </c>
      <c r="I896" s="1" t="s">
        <v>495</v>
      </c>
      <c r="J896" s="1" t="s">
        <v>79</v>
      </c>
      <c r="K896" t="s">
        <v>34</v>
      </c>
      <c r="M896" s="1" t="s">
        <v>35</v>
      </c>
      <c r="N896" s="1">
        <v>42318949</v>
      </c>
      <c r="O896" s="1" t="s">
        <v>105</v>
      </c>
      <c r="P896" s="186">
        <v>44932.480983796297</v>
      </c>
      <c r="R896" s="1" t="s">
        <v>38</v>
      </c>
      <c r="T896" s="1" t="s">
        <v>74</v>
      </c>
      <c r="U896" s="186">
        <v>44932.75</v>
      </c>
      <c r="V896" s="1" t="s">
        <v>41</v>
      </c>
      <c r="W896" s="1" t="s">
        <v>49</v>
      </c>
      <c r="Z896" s="14"/>
      <c r="AA896" s="14"/>
    </row>
    <row r="897" spans="1:27" hidden="1">
      <c r="A897" s="1">
        <v>9301754</v>
      </c>
      <c r="B897" s="1" t="s">
        <v>101</v>
      </c>
      <c r="C897" t="s">
        <v>1761</v>
      </c>
      <c r="E897" s="2">
        <v>9703000206001</v>
      </c>
      <c r="F897" s="1" t="s">
        <v>29</v>
      </c>
      <c r="G897" s="1" t="s">
        <v>53</v>
      </c>
      <c r="H897" s="1" t="s">
        <v>494</v>
      </c>
      <c r="I897" s="1" t="s">
        <v>495</v>
      </c>
      <c r="J897" s="1" t="s">
        <v>79</v>
      </c>
      <c r="K897" t="s">
        <v>34</v>
      </c>
      <c r="M897" s="1" t="s">
        <v>35</v>
      </c>
      <c r="N897" s="1">
        <v>42318949</v>
      </c>
      <c r="O897" s="1" t="s">
        <v>105</v>
      </c>
      <c r="P897" s="186">
        <v>44932.480983796297</v>
      </c>
      <c r="R897" s="1" t="s">
        <v>38</v>
      </c>
      <c r="T897" s="1" t="s">
        <v>74</v>
      </c>
      <c r="U897" s="186">
        <v>44932.75</v>
      </c>
      <c r="V897" s="1" t="s">
        <v>41</v>
      </c>
      <c r="W897" s="1" t="s">
        <v>49</v>
      </c>
      <c r="Z897" s="14"/>
      <c r="AA897" s="14"/>
    </row>
    <row r="898" spans="1:27" hidden="1">
      <c r="A898" s="1">
        <v>9301753</v>
      </c>
      <c r="B898" s="1" t="s">
        <v>101</v>
      </c>
      <c r="C898" t="s">
        <v>1761</v>
      </c>
      <c r="E898" s="2">
        <v>9700000206001</v>
      </c>
      <c r="F898" s="1" t="s">
        <v>29</v>
      </c>
      <c r="G898" s="1" t="s">
        <v>53</v>
      </c>
      <c r="H898" s="1" t="s">
        <v>209</v>
      </c>
      <c r="I898" s="1" t="s">
        <v>210</v>
      </c>
      <c r="J898" s="1" t="s">
        <v>211</v>
      </c>
      <c r="K898" t="s">
        <v>34</v>
      </c>
      <c r="M898" s="1" t="s">
        <v>35</v>
      </c>
      <c r="N898" s="1">
        <v>42318949</v>
      </c>
      <c r="O898" s="1" t="s">
        <v>105</v>
      </c>
      <c r="P898" s="186">
        <v>44932.480983796297</v>
      </c>
      <c r="R898" s="1" t="s">
        <v>38</v>
      </c>
      <c r="T898" s="1" t="s">
        <v>74</v>
      </c>
      <c r="U898" s="186">
        <v>44932.75</v>
      </c>
      <c r="V898" s="1" t="s">
        <v>41</v>
      </c>
      <c r="W898" s="1" t="s">
        <v>49</v>
      </c>
      <c r="Z898" s="14"/>
      <c r="AA898" s="14"/>
    </row>
    <row r="899" spans="1:27" hidden="1">
      <c r="A899" s="1">
        <v>9301752</v>
      </c>
      <c r="B899" s="1" t="s">
        <v>101</v>
      </c>
      <c r="C899" t="s">
        <v>1761</v>
      </c>
      <c r="E899" s="2">
        <v>9700000206001</v>
      </c>
      <c r="F899" s="1" t="s">
        <v>29</v>
      </c>
      <c r="G899" s="1" t="s">
        <v>53</v>
      </c>
      <c r="H899" s="1" t="s">
        <v>209</v>
      </c>
      <c r="I899" s="1" t="s">
        <v>210</v>
      </c>
      <c r="J899" s="1" t="s">
        <v>211</v>
      </c>
      <c r="K899" t="s">
        <v>34</v>
      </c>
      <c r="M899" s="1" t="s">
        <v>35</v>
      </c>
      <c r="N899" s="1">
        <v>42318949</v>
      </c>
      <c r="O899" s="1" t="s">
        <v>105</v>
      </c>
      <c r="P899" s="186">
        <v>44932.480983796297</v>
      </c>
      <c r="R899" s="1" t="s">
        <v>38</v>
      </c>
      <c r="T899" s="1" t="s">
        <v>74</v>
      </c>
      <c r="U899" s="186">
        <v>44932.75</v>
      </c>
      <c r="V899" s="1" t="s">
        <v>41</v>
      </c>
      <c r="W899" s="1" t="s">
        <v>49</v>
      </c>
      <c r="Z899" s="14"/>
      <c r="AA899" s="14"/>
    </row>
    <row r="900" spans="1:27" hidden="1">
      <c r="A900" s="1">
        <v>9301751</v>
      </c>
      <c r="B900" s="1" t="s">
        <v>101</v>
      </c>
      <c r="C900" t="s">
        <v>1761</v>
      </c>
      <c r="E900" s="2">
        <v>9700000206001</v>
      </c>
      <c r="F900" s="1" t="s">
        <v>29</v>
      </c>
      <c r="G900" s="1" t="s">
        <v>53</v>
      </c>
      <c r="H900" s="1" t="s">
        <v>209</v>
      </c>
      <c r="I900" s="1" t="s">
        <v>210</v>
      </c>
      <c r="J900" s="1" t="s">
        <v>211</v>
      </c>
      <c r="K900" t="s">
        <v>34</v>
      </c>
      <c r="M900" s="1" t="s">
        <v>35</v>
      </c>
      <c r="N900" s="1">
        <v>42318949</v>
      </c>
      <c r="O900" s="1" t="s">
        <v>105</v>
      </c>
      <c r="P900" s="186">
        <v>44932.480983796297</v>
      </c>
      <c r="R900" s="1" t="s">
        <v>38</v>
      </c>
      <c r="T900" s="1" t="s">
        <v>74</v>
      </c>
      <c r="U900" s="186">
        <v>44932.75</v>
      </c>
      <c r="V900" s="1" t="s">
        <v>41</v>
      </c>
      <c r="W900" s="1" t="s">
        <v>49</v>
      </c>
      <c r="Z900" s="14"/>
      <c r="AA900" s="14"/>
    </row>
    <row r="901" spans="1:27" hidden="1">
      <c r="A901" s="1">
        <v>9301660</v>
      </c>
      <c r="B901" s="1" t="s">
        <v>101</v>
      </c>
      <c r="C901" t="s">
        <v>1761</v>
      </c>
      <c r="E901" s="2">
        <v>9661000206001</v>
      </c>
      <c r="F901" s="1" t="s">
        <v>29</v>
      </c>
      <c r="G901" s="1" t="s">
        <v>53</v>
      </c>
      <c r="H901" s="1" t="s">
        <v>31</v>
      </c>
      <c r="I901" s="1" t="s">
        <v>32</v>
      </c>
      <c r="J901" s="1" t="s">
        <v>33</v>
      </c>
      <c r="K901" t="s">
        <v>34</v>
      </c>
      <c r="M901" s="1" t="s">
        <v>35</v>
      </c>
      <c r="N901" s="1">
        <v>42318949</v>
      </c>
      <c r="O901" s="1" t="s">
        <v>105</v>
      </c>
      <c r="P901" s="186">
        <v>44932.480844907404</v>
      </c>
      <c r="R901" s="1" t="s">
        <v>38</v>
      </c>
      <c r="T901" s="1" t="s">
        <v>74</v>
      </c>
      <c r="U901" s="186">
        <v>44932.75</v>
      </c>
      <c r="V901" s="1" t="s">
        <v>41</v>
      </c>
      <c r="W901" s="1" t="s">
        <v>42</v>
      </c>
      <c r="Z901" s="14"/>
      <c r="AA901" s="14"/>
    </row>
    <row r="902" spans="1:27" hidden="1">
      <c r="A902" s="1">
        <v>9301659</v>
      </c>
      <c r="B902" s="1" t="s">
        <v>101</v>
      </c>
      <c r="C902" t="s">
        <v>1761</v>
      </c>
      <c r="E902" s="2">
        <v>9661000206001</v>
      </c>
      <c r="F902" s="1" t="s">
        <v>29</v>
      </c>
      <c r="G902" s="1" t="s">
        <v>53</v>
      </c>
      <c r="H902" s="1" t="s">
        <v>31</v>
      </c>
      <c r="I902" s="1" t="s">
        <v>32</v>
      </c>
      <c r="J902" s="1" t="s">
        <v>33</v>
      </c>
      <c r="K902" t="s">
        <v>34</v>
      </c>
      <c r="M902" s="1" t="s">
        <v>35</v>
      </c>
      <c r="N902" s="1">
        <v>42318949</v>
      </c>
      <c r="O902" s="1" t="s">
        <v>105</v>
      </c>
      <c r="P902" s="186">
        <v>44932.480844907404</v>
      </c>
      <c r="R902" s="1" t="s">
        <v>38</v>
      </c>
      <c r="T902" s="1" t="s">
        <v>74</v>
      </c>
      <c r="U902" s="186">
        <v>44932.75</v>
      </c>
      <c r="V902" s="1" t="s">
        <v>41</v>
      </c>
      <c r="W902" s="1" t="s">
        <v>42</v>
      </c>
      <c r="Z902" s="14"/>
      <c r="AA902" s="14"/>
    </row>
    <row r="903" spans="1:27" hidden="1">
      <c r="A903" s="1">
        <v>9301480</v>
      </c>
      <c r="B903" s="1" t="s">
        <v>101</v>
      </c>
      <c r="C903" t="s">
        <v>1761</v>
      </c>
      <c r="E903" s="2">
        <v>9406000206001</v>
      </c>
      <c r="F903" s="1" t="s">
        <v>29</v>
      </c>
      <c r="G903" s="1" t="s">
        <v>53</v>
      </c>
      <c r="H903" s="1" t="s">
        <v>114</v>
      </c>
      <c r="I903" s="1" t="s">
        <v>115</v>
      </c>
      <c r="J903" s="1" t="s">
        <v>46</v>
      </c>
      <c r="K903" t="s">
        <v>34</v>
      </c>
      <c r="M903" s="1" t="s">
        <v>35</v>
      </c>
      <c r="N903" s="1">
        <v>42318949</v>
      </c>
      <c r="O903" s="1" t="s">
        <v>105</v>
      </c>
      <c r="P903" s="186">
        <v>44932.48060185185</v>
      </c>
      <c r="R903" s="1" t="s">
        <v>38</v>
      </c>
      <c r="T903" s="1" t="s">
        <v>74</v>
      </c>
      <c r="U903" s="186">
        <v>44932.75</v>
      </c>
      <c r="V903" s="1" t="s">
        <v>41</v>
      </c>
      <c r="W903" s="1" t="s">
        <v>49</v>
      </c>
      <c r="Z903" s="14"/>
      <c r="AA903" s="14"/>
    </row>
    <row r="904" spans="1:27" hidden="1">
      <c r="A904" s="1">
        <v>9301479</v>
      </c>
      <c r="B904" s="1" t="s">
        <v>101</v>
      </c>
      <c r="C904" t="s">
        <v>1761</v>
      </c>
      <c r="E904" s="2">
        <v>9406000206001</v>
      </c>
      <c r="F904" s="1" t="s">
        <v>29</v>
      </c>
      <c r="G904" s="1" t="s">
        <v>53</v>
      </c>
      <c r="H904" s="1" t="s">
        <v>114</v>
      </c>
      <c r="I904" s="1" t="s">
        <v>115</v>
      </c>
      <c r="J904" s="1" t="s">
        <v>46</v>
      </c>
      <c r="K904" t="s">
        <v>34</v>
      </c>
      <c r="M904" s="1" t="s">
        <v>35</v>
      </c>
      <c r="N904" s="1">
        <v>42318949</v>
      </c>
      <c r="O904" s="1" t="s">
        <v>105</v>
      </c>
      <c r="P904" s="186">
        <v>44932.48060185185</v>
      </c>
      <c r="R904" s="1" t="s">
        <v>38</v>
      </c>
      <c r="T904" s="1" t="s">
        <v>74</v>
      </c>
      <c r="U904" s="186">
        <v>44932.75</v>
      </c>
      <c r="V904" s="1" t="s">
        <v>41</v>
      </c>
      <c r="W904" s="1" t="s">
        <v>49</v>
      </c>
      <c r="Z904" s="14"/>
      <c r="AA904" s="14"/>
    </row>
    <row r="905" spans="1:27" hidden="1">
      <c r="A905" s="1">
        <v>9301478</v>
      </c>
      <c r="B905" s="1" t="s">
        <v>101</v>
      </c>
      <c r="C905" t="s">
        <v>1761</v>
      </c>
      <c r="E905" s="2">
        <v>9406000206001</v>
      </c>
      <c r="F905" s="1" t="s">
        <v>29</v>
      </c>
      <c r="G905" s="1" t="s">
        <v>53</v>
      </c>
      <c r="H905" s="1" t="s">
        <v>114</v>
      </c>
      <c r="I905" s="1" t="s">
        <v>115</v>
      </c>
      <c r="J905" s="1" t="s">
        <v>46</v>
      </c>
      <c r="K905" t="s">
        <v>34</v>
      </c>
      <c r="M905" s="1" t="s">
        <v>35</v>
      </c>
      <c r="N905" s="1">
        <v>42318949</v>
      </c>
      <c r="O905" s="1" t="s">
        <v>105</v>
      </c>
      <c r="P905" s="186">
        <v>44932.48060185185</v>
      </c>
      <c r="R905" s="1" t="s">
        <v>38</v>
      </c>
      <c r="T905" s="1" t="s">
        <v>74</v>
      </c>
      <c r="U905" s="186">
        <v>44932.75</v>
      </c>
      <c r="V905" s="1" t="s">
        <v>41</v>
      </c>
      <c r="W905" s="1" t="s">
        <v>49</v>
      </c>
      <c r="Z905" s="14"/>
      <c r="AA905" s="14"/>
    </row>
    <row r="906" spans="1:27" hidden="1">
      <c r="A906" s="1">
        <v>9301477</v>
      </c>
      <c r="B906" s="1" t="s">
        <v>101</v>
      </c>
      <c r="C906" t="s">
        <v>1761</v>
      </c>
      <c r="E906" s="2">
        <v>9406000206001</v>
      </c>
      <c r="F906" s="1" t="s">
        <v>29</v>
      </c>
      <c r="G906" s="1" t="s">
        <v>53</v>
      </c>
      <c r="H906" s="1" t="s">
        <v>114</v>
      </c>
      <c r="I906" s="1" t="s">
        <v>115</v>
      </c>
      <c r="J906" s="1" t="s">
        <v>46</v>
      </c>
      <c r="K906" t="s">
        <v>34</v>
      </c>
      <c r="M906" s="1" t="s">
        <v>35</v>
      </c>
      <c r="N906" s="1">
        <v>42318949</v>
      </c>
      <c r="O906" s="1" t="s">
        <v>105</v>
      </c>
      <c r="P906" s="186">
        <v>44932.48060185185</v>
      </c>
      <c r="R906" s="1" t="s">
        <v>38</v>
      </c>
      <c r="T906" s="1" t="s">
        <v>74</v>
      </c>
      <c r="U906" s="186">
        <v>44932.75</v>
      </c>
      <c r="V906" s="1" t="s">
        <v>41</v>
      </c>
      <c r="W906" s="1" t="s">
        <v>49</v>
      </c>
      <c r="Z906" s="14"/>
      <c r="AA906" s="14"/>
    </row>
    <row r="907" spans="1:27" hidden="1">
      <c r="A907" s="1">
        <v>9301476</v>
      </c>
      <c r="B907" s="1" t="s">
        <v>101</v>
      </c>
      <c r="C907" t="s">
        <v>1761</v>
      </c>
      <c r="E907" s="2">
        <v>9406000206001</v>
      </c>
      <c r="F907" s="1" t="s">
        <v>29</v>
      </c>
      <c r="G907" s="1" t="s">
        <v>53</v>
      </c>
      <c r="H907" s="1" t="s">
        <v>114</v>
      </c>
      <c r="I907" s="1" t="s">
        <v>115</v>
      </c>
      <c r="J907" s="1" t="s">
        <v>46</v>
      </c>
      <c r="K907" t="s">
        <v>34</v>
      </c>
      <c r="M907" s="1" t="s">
        <v>35</v>
      </c>
      <c r="N907" s="1">
        <v>42318949</v>
      </c>
      <c r="O907" s="1" t="s">
        <v>105</v>
      </c>
      <c r="P907" s="186">
        <v>44932.48060185185</v>
      </c>
      <c r="R907" s="1" t="s">
        <v>38</v>
      </c>
      <c r="T907" s="1" t="s">
        <v>74</v>
      </c>
      <c r="U907" s="186">
        <v>44932.75</v>
      </c>
      <c r="V907" s="1" t="s">
        <v>41</v>
      </c>
      <c r="W907" s="1" t="s">
        <v>49</v>
      </c>
      <c r="Z907" s="14"/>
      <c r="AA907" s="14"/>
    </row>
    <row r="908" spans="1:27" hidden="1">
      <c r="A908" s="1">
        <v>9301475</v>
      </c>
      <c r="B908" s="1" t="s">
        <v>101</v>
      </c>
      <c r="C908" t="s">
        <v>1761</v>
      </c>
      <c r="E908" s="2">
        <v>9406000206001</v>
      </c>
      <c r="F908" s="1" t="s">
        <v>29</v>
      </c>
      <c r="G908" s="1" t="s">
        <v>53</v>
      </c>
      <c r="H908" s="1" t="s">
        <v>114</v>
      </c>
      <c r="I908" s="1" t="s">
        <v>115</v>
      </c>
      <c r="J908" s="1" t="s">
        <v>46</v>
      </c>
      <c r="K908" t="s">
        <v>34</v>
      </c>
      <c r="M908" s="1" t="s">
        <v>35</v>
      </c>
      <c r="N908" s="1">
        <v>42318949</v>
      </c>
      <c r="O908" s="1" t="s">
        <v>105</v>
      </c>
      <c r="P908" s="186">
        <v>44932.480590277781</v>
      </c>
      <c r="R908" s="1" t="s">
        <v>38</v>
      </c>
      <c r="T908" s="1" t="s">
        <v>74</v>
      </c>
      <c r="U908" s="186">
        <v>44932.75</v>
      </c>
      <c r="V908" s="1" t="s">
        <v>41</v>
      </c>
      <c r="W908" s="1" t="s">
        <v>49</v>
      </c>
      <c r="Z908" s="14"/>
      <c r="AA908" s="14"/>
    </row>
    <row r="909" spans="1:27" hidden="1">
      <c r="A909" s="1">
        <v>9301474</v>
      </c>
      <c r="B909" s="1" t="s">
        <v>101</v>
      </c>
      <c r="C909" t="s">
        <v>1761</v>
      </c>
      <c r="E909" s="2">
        <v>9406000206001</v>
      </c>
      <c r="F909" s="1" t="s">
        <v>29</v>
      </c>
      <c r="G909" s="1" t="s">
        <v>53</v>
      </c>
      <c r="H909" s="1" t="s">
        <v>114</v>
      </c>
      <c r="I909" s="1" t="s">
        <v>115</v>
      </c>
      <c r="J909" s="1" t="s">
        <v>46</v>
      </c>
      <c r="K909" t="s">
        <v>34</v>
      </c>
      <c r="M909" s="1" t="s">
        <v>35</v>
      </c>
      <c r="N909" s="1">
        <v>42318949</v>
      </c>
      <c r="O909" s="1" t="s">
        <v>105</v>
      </c>
      <c r="P909" s="186">
        <v>44932.480590277781</v>
      </c>
      <c r="R909" s="1" t="s">
        <v>38</v>
      </c>
      <c r="T909" s="1" t="s">
        <v>74</v>
      </c>
      <c r="U909" s="186">
        <v>44932.75</v>
      </c>
      <c r="V909" s="1" t="s">
        <v>41</v>
      </c>
      <c r="W909" s="1" t="s">
        <v>49</v>
      </c>
      <c r="Z909" s="14"/>
      <c r="AA909" s="14"/>
    </row>
    <row r="910" spans="1:27" hidden="1">
      <c r="A910" s="1">
        <v>9301473</v>
      </c>
      <c r="B910" s="1" t="s">
        <v>101</v>
      </c>
      <c r="C910" t="s">
        <v>1761</v>
      </c>
      <c r="E910" s="2">
        <v>9406000206001</v>
      </c>
      <c r="F910" s="1" t="s">
        <v>29</v>
      </c>
      <c r="G910" s="1" t="s">
        <v>53</v>
      </c>
      <c r="H910" s="1" t="s">
        <v>114</v>
      </c>
      <c r="I910" s="1" t="s">
        <v>115</v>
      </c>
      <c r="J910" s="1" t="s">
        <v>46</v>
      </c>
      <c r="K910" t="s">
        <v>34</v>
      </c>
      <c r="M910" s="1" t="s">
        <v>35</v>
      </c>
      <c r="N910" s="1">
        <v>42318949</v>
      </c>
      <c r="O910" s="1" t="s">
        <v>105</v>
      </c>
      <c r="P910" s="186">
        <v>44932.480590277781</v>
      </c>
      <c r="R910" s="1" t="s">
        <v>38</v>
      </c>
      <c r="T910" s="1" t="s">
        <v>74</v>
      </c>
      <c r="U910" s="186">
        <v>44932.75</v>
      </c>
      <c r="V910" s="1" t="s">
        <v>41</v>
      </c>
      <c r="W910" s="1" t="s">
        <v>49</v>
      </c>
      <c r="Z910" s="14"/>
      <c r="AA910" s="14"/>
    </row>
    <row r="911" spans="1:27" hidden="1">
      <c r="A911" s="1">
        <v>9301472</v>
      </c>
      <c r="B911" s="1" t="s">
        <v>101</v>
      </c>
      <c r="C911" t="s">
        <v>1761</v>
      </c>
      <c r="E911" s="2">
        <v>9406000206001</v>
      </c>
      <c r="F911" s="1" t="s">
        <v>29</v>
      </c>
      <c r="G911" s="1" t="s">
        <v>53</v>
      </c>
      <c r="H911" s="1" t="s">
        <v>114</v>
      </c>
      <c r="I911" s="1" t="s">
        <v>115</v>
      </c>
      <c r="J911" s="1" t="s">
        <v>46</v>
      </c>
      <c r="K911" t="s">
        <v>34</v>
      </c>
      <c r="M911" s="1" t="s">
        <v>35</v>
      </c>
      <c r="N911" s="1">
        <v>42318949</v>
      </c>
      <c r="O911" s="1" t="s">
        <v>105</v>
      </c>
      <c r="P911" s="186">
        <v>44932.480590277781</v>
      </c>
      <c r="R911" s="1" t="s">
        <v>38</v>
      </c>
      <c r="T911" s="1" t="s">
        <v>74</v>
      </c>
      <c r="U911" s="186">
        <v>44932.75</v>
      </c>
      <c r="V911" s="1" t="s">
        <v>41</v>
      </c>
      <c r="W911" s="1" t="s">
        <v>49</v>
      </c>
      <c r="Z911" s="14"/>
      <c r="AA911" s="14"/>
    </row>
    <row r="912" spans="1:27" hidden="1">
      <c r="A912" s="1">
        <v>9301471</v>
      </c>
      <c r="B912" s="1" t="s">
        <v>101</v>
      </c>
      <c r="C912" t="s">
        <v>1761</v>
      </c>
      <c r="E912" s="2">
        <v>9406000206001</v>
      </c>
      <c r="F912" s="1" t="s">
        <v>29</v>
      </c>
      <c r="G912" s="1" t="s">
        <v>53</v>
      </c>
      <c r="H912" s="1" t="s">
        <v>114</v>
      </c>
      <c r="I912" s="1" t="s">
        <v>115</v>
      </c>
      <c r="J912" s="1" t="s">
        <v>46</v>
      </c>
      <c r="K912" t="s">
        <v>34</v>
      </c>
      <c r="M912" s="1" t="s">
        <v>35</v>
      </c>
      <c r="N912" s="1">
        <v>42318949</v>
      </c>
      <c r="O912" s="1" t="s">
        <v>105</v>
      </c>
      <c r="P912" s="186">
        <v>44932.480590277781</v>
      </c>
      <c r="R912" s="1" t="s">
        <v>38</v>
      </c>
      <c r="T912" s="1" t="s">
        <v>74</v>
      </c>
      <c r="U912" s="186">
        <v>44932.75</v>
      </c>
      <c r="V912" s="1" t="s">
        <v>41</v>
      </c>
      <c r="W912" s="1" t="s">
        <v>49</v>
      </c>
      <c r="Z912" s="14"/>
      <c r="AA912" s="14"/>
    </row>
    <row r="913" spans="1:27" hidden="1">
      <c r="A913" s="1">
        <v>9301080</v>
      </c>
      <c r="B913" s="1" t="s">
        <v>101</v>
      </c>
      <c r="C913" t="s">
        <v>1761</v>
      </c>
      <c r="E913" s="2">
        <v>4997000206001</v>
      </c>
      <c r="F913" s="1" t="s">
        <v>29</v>
      </c>
      <c r="G913" s="1" t="s">
        <v>53</v>
      </c>
      <c r="H913" s="1" t="s">
        <v>406</v>
      </c>
      <c r="I913" s="1" t="s">
        <v>407</v>
      </c>
      <c r="J913" s="1" t="s">
        <v>79</v>
      </c>
      <c r="K913" t="s">
        <v>34</v>
      </c>
      <c r="M913" s="1" t="s">
        <v>35</v>
      </c>
      <c r="N913" s="1">
        <v>42318949</v>
      </c>
      <c r="O913" s="1" t="s">
        <v>105</v>
      </c>
      <c r="P913" s="186">
        <v>44932.480011574073</v>
      </c>
      <c r="R913" s="1" t="s">
        <v>38</v>
      </c>
      <c r="T913" s="1" t="s">
        <v>74</v>
      </c>
      <c r="U913" s="186">
        <v>44932.75</v>
      </c>
      <c r="V913" s="1" t="s">
        <v>41</v>
      </c>
      <c r="W913" s="1" t="s">
        <v>49</v>
      </c>
      <c r="Z913" s="14"/>
      <c r="AA913" s="14"/>
    </row>
    <row r="914" spans="1:27" hidden="1">
      <c r="A914" s="1">
        <v>9301028</v>
      </c>
      <c r="B914" s="1" t="s">
        <v>101</v>
      </c>
      <c r="C914" t="s">
        <v>1761</v>
      </c>
      <c r="E914" s="2">
        <v>4637000206001</v>
      </c>
      <c r="F914" s="1" t="s">
        <v>29</v>
      </c>
      <c r="G914" s="1" t="s">
        <v>53</v>
      </c>
      <c r="H914" s="1" t="s">
        <v>848</v>
      </c>
      <c r="I914" s="1" t="s">
        <v>849</v>
      </c>
      <c r="J914" s="1" t="s">
        <v>79</v>
      </c>
      <c r="K914" t="s">
        <v>34</v>
      </c>
      <c r="M914" s="1" t="s">
        <v>35</v>
      </c>
      <c r="N914" s="1">
        <v>42318949</v>
      </c>
      <c r="O914" s="1" t="s">
        <v>105</v>
      </c>
      <c r="P914" s="186">
        <v>44932.479930555557</v>
      </c>
      <c r="R914" s="1" t="s">
        <v>38</v>
      </c>
      <c r="T914" s="1" t="s">
        <v>74</v>
      </c>
      <c r="U914" s="186">
        <v>44932.75</v>
      </c>
      <c r="V914" s="1" t="s">
        <v>41</v>
      </c>
      <c r="W914" s="1" t="s">
        <v>49</v>
      </c>
      <c r="Z914" s="14"/>
      <c r="AA914" s="14"/>
    </row>
    <row r="915" spans="1:27" hidden="1">
      <c r="A915" s="1">
        <v>9301024</v>
      </c>
      <c r="B915" s="1" t="s">
        <v>101</v>
      </c>
      <c r="C915" t="s">
        <v>1761</v>
      </c>
      <c r="E915" s="2">
        <v>4623000206001</v>
      </c>
      <c r="F915" s="1" t="s">
        <v>29</v>
      </c>
      <c r="G915" s="1" t="s">
        <v>53</v>
      </c>
      <c r="H915" s="1" t="s">
        <v>669</v>
      </c>
      <c r="I915" s="1" t="s">
        <v>670</v>
      </c>
      <c r="J915" s="1" t="s">
        <v>33</v>
      </c>
      <c r="K915" t="s">
        <v>34</v>
      </c>
      <c r="M915" s="1" t="s">
        <v>35</v>
      </c>
      <c r="N915" s="1">
        <v>42318949</v>
      </c>
      <c r="O915" s="1" t="s">
        <v>105</v>
      </c>
      <c r="P915" s="186">
        <v>44932.47991898148</v>
      </c>
      <c r="R915" s="1" t="s">
        <v>38</v>
      </c>
      <c r="T915" s="1" t="s">
        <v>74</v>
      </c>
      <c r="U915" s="186">
        <v>44932.75</v>
      </c>
      <c r="V915" s="1" t="s">
        <v>41</v>
      </c>
      <c r="W915" s="1" t="s">
        <v>42</v>
      </c>
      <c r="Z915" s="14"/>
      <c r="AA915" s="14"/>
    </row>
    <row r="916" spans="1:27" hidden="1">
      <c r="A916" s="1">
        <v>9301023</v>
      </c>
      <c r="B916" s="1" t="s">
        <v>101</v>
      </c>
      <c r="C916" t="s">
        <v>1761</v>
      </c>
      <c r="E916" s="2">
        <v>4623000206001</v>
      </c>
      <c r="F916" s="1" t="s">
        <v>29</v>
      </c>
      <c r="G916" s="1" t="s">
        <v>53</v>
      </c>
      <c r="H916" s="1" t="s">
        <v>669</v>
      </c>
      <c r="I916" s="1" t="s">
        <v>670</v>
      </c>
      <c r="J916" s="1" t="s">
        <v>33</v>
      </c>
      <c r="K916" t="s">
        <v>34</v>
      </c>
      <c r="M916" s="1" t="s">
        <v>35</v>
      </c>
      <c r="N916" s="1">
        <v>42318949</v>
      </c>
      <c r="O916" s="1" t="s">
        <v>105</v>
      </c>
      <c r="P916" s="186">
        <v>44932.47991898148</v>
      </c>
      <c r="R916" s="1" t="s">
        <v>38</v>
      </c>
      <c r="T916" s="1" t="s">
        <v>74</v>
      </c>
      <c r="U916" s="186">
        <v>44932.75</v>
      </c>
      <c r="V916" s="1" t="s">
        <v>41</v>
      </c>
      <c r="W916" s="1" t="s">
        <v>42</v>
      </c>
      <c r="Z916" s="14"/>
      <c r="AA916" s="14"/>
    </row>
    <row r="917" spans="1:27" hidden="1">
      <c r="A917" s="1">
        <v>9301022</v>
      </c>
      <c r="B917" s="1" t="s">
        <v>101</v>
      </c>
      <c r="C917" t="s">
        <v>1761</v>
      </c>
      <c r="E917" s="2">
        <v>4623000206001</v>
      </c>
      <c r="F917" s="1" t="s">
        <v>29</v>
      </c>
      <c r="G917" s="1" t="s">
        <v>53</v>
      </c>
      <c r="H917" s="1" t="s">
        <v>669</v>
      </c>
      <c r="I917" s="1" t="s">
        <v>670</v>
      </c>
      <c r="J917" s="1" t="s">
        <v>33</v>
      </c>
      <c r="K917" t="s">
        <v>34</v>
      </c>
      <c r="M917" s="1" t="s">
        <v>35</v>
      </c>
      <c r="N917" s="1">
        <v>42318949</v>
      </c>
      <c r="O917" s="1" t="s">
        <v>105</v>
      </c>
      <c r="P917" s="186">
        <v>44932.47991898148</v>
      </c>
      <c r="R917" s="1" t="s">
        <v>38</v>
      </c>
      <c r="T917" s="1" t="s">
        <v>74</v>
      </c>
      <c r="U917" s="186">
        <v>44932.75</v>
      </c>
      <c r="V917" s="1" t="s">
        <v>41</v>
      </c>
      <c r="W917" s="1" t="s">
        <v>42</v>
      </c>
      <c r="Z917" s="14"/>
      <c r="AA917" s="14"/>
    </row>
    <row r="918" spans="1:27" hidden="1">
      <c r="A918" s="1">
        <v>9300867</v>
      </c>
      <c r="B918" s="1" t="s">
        <v>101</v>
      </c>
      <c r="C918" t="s">
        <v>1761</v>
      </c>
      <c r="E918" s="2">
        <v>4012000206001</v>
      </c>
      <c r="F918" s="1" t="s">
        <v>29</v>
      </c>
      <c r="G918" s="1" t="s">
        <v>53</v>
      </c>
      <c r="H918" s="1" t="s">
        <v>349</v>
      </c>
      <c r="I918" s="1" t="s">
        <v>350</v>
      </c>
      <c r="J918" s="1" t="s">
        <v>261</v>
      </c>
      <c r="K918" t="s">
        <v>34</v>
      </c>
      <c r="M918" s="1" t="s">
        <v>35</v>
      </c>
      <c r="N918" s="1">
        <v>42318949</v>
      </c>
      <c r="O918" s="1" t="s">
        <v>105</v>
      </c>
      <c r="P918" s="186">
        <v>44932.479664351849</v>
      </c>
      <c r="R918" s="1" t="s">
        <v>38</v>
      </c>
      <c r="T918" s="1" t="s">
        <v>74</v>
      </c>
      <c r="U918" s="186">
        <v>44932.75</v>
      </c>
      <c r="V918" s="1" t="s">
        <v>41</v>
      </c>
      <c r="W918" s="1" t="s">
        <v>49</v>
      </c>
      <c r="Z918" s="14"/>
      <c r="AA918" s="14"/>
    </row>
    <row r="919" spans="1:27" hidden="1">
      <c r="A919" s="1">
        <v>9300825</v>
      </c>
      <c r="B919" s="1" t="s">
        <v>101</v>
      </c>
      <c r="C919" t="s">
        <v>1761</v>
      </c>
      <c r="E919" s="2">
        <v>3924000206001</v>
      </c>
      <c r="F919" s="1" t="s">
        <v>29</v>
      </c>
      <c r="G919" s="1" t="s">
        <v>53</v>
      </c>
      <c r="H919" s="1" t="s">
        <v>153</v>
      </c>
      <c r="I919" s="1" t="s">
        <v>154</v>
      </c>
      <c r="J919" s="1" t="s">
        <v>56</v>
      </c>
      <c r="K919" t="s">
        <v>34</v>
      </c>
      <c r="M919" s="1" t="s">
        <v>35</v>
      </c>
      <c r="N919" s="1">
        <v>42318949</v>
      </c>
      <c r="O919" s="1" t="s">
        <v>105</v>
      </c>
      <c r="P919" s="186">
        <v>44932.479594907411</v>
      </c>
      <c r="R919" s="1" t="s">
        <v>38</v>
      </c>
      <c r="T919" s="1" t="s">
        <v>74</v>
      </c>
      <c r="U919" s="186">
        <v>44932.75</v>
      </c>
      <c r="V919" s="1" t="s">
        <v>41</v>
      </c>
      <c r="W919" s="1" t="s">
        <v>49</v>
      </c>
      <c r="Z919" s="14"/>
      <c r="AA919" s="14"/>
    </row>
    <row r="920" spans="1:27" hidden="1">
      <c r="A920" s="1">
        <v>9300610</v>
      </c>
      <c r="B920" s="1" t="s">
        <v>101</v>
      </c>
      <c r="C920" t="s">
        <v>1761</v>
      </c>
      <c r="E920" s="2">
        <v>3258000206001</v>
      </c>
      <c r="F920" s="1" t="s">
        <v>29</v>
      </c>
      <c r="G920" s="1" t="s">
        <v>53</v>
      </c>
      <c r="H920" s="1" t="s">
        <v>321</v>
      </c>
      <c r="I920" s="1" t="s">
        <v>322</v>
      </c>
      <c r="J920" s="1" t="s">
        <v>46</v>
      </c>
      <c r="K920" t="s">
        <v>34</v>
      </c>
      <c r="M920" s="1" t="s">
        <v>35</v>
      </c>
      <c r="N920" s="1">
        <v>42318949</v>
      </c>
      <c r="O920" s="1" t="s">
        <v>105</v>
      </c>
      <c r="P920" s="186">
        <v>44932.479178240741</v>
      </c>
      <c r="R920" s="1" t="s">
        <v>38</v>
      </c>
      <c r="T920" s="1" t="s">
        <v>74</v>
      </c>
      <c r="U920" s="186">
        <v>44932.75</v>
      </c>
      <c r="V920" s="1" t="s">
        <v>41</v>
      </c>
      <c r="W920" s="1" t="s">
        <v>49</v>
      </c>
      <c r="Z920" s="14"/>
      <c r="AA920" s="14"/>
    </row>
    <row r="921" spans="1:27" hidden="1">
      <c r="A921" s="1">
        <v>9300609</v>
      </c>
      <c r="B921" s="1" t="s">
        <v>101</v>
      </c>
      <c r="C921" t="s">
        <v>1761</v>
      </c>
      <c r="E921" s="2">
        <v>3258000206001</v>
      </c>
      <c r="F921" s="1" t="s">
        <v>29</v>
      </c>
      <c r="G921" s="1" t="s">
        <v>53</v>
      </c>
      <c r="H921" s="1" t="s">
        <v>321</v>
      </c>
      <c r="I921" s="1" t="s">
        <v>322</v>
      </c>
      <c r="J921" s="1" t="s">
        <v>46</v>
      </c>
      <c r="K921" t="s">
        <v>34</v>
      </c>
      <c r="M921" s="1" t="s">
        <v>35</v>
      </c>
      <c r="N921" s="1">
        <v>42318949</v>
      </c>
      <c r="O921" s="1" t="s">
        <v>105</v>
      </c>
      <c r="P921" s="186">
        <v>44932.479178240741</v>
      </c>
      <c r="R921" s="1" t="s">
        <v>38</v>
      </c>
      <c r="T921" s="1" t="s">
        <v>74</v>
      </c>
      <c r="U921" s="186">
        <v>44932.75</v>
      </c>
      <c r="V921" s="1" t="s">
        <v>41</v>
      </c>
      <c r="W921" s="1" t="s">
        <v>49</v>
      </c>
      <c r="Z921" s="14"/>
      <c r="AA921" s="14"/>
    </row>
    <row r="922" spans="1:27" hidden="1">
      <c r="A922" s="1">
        <v>9300380</v>
      </c>
      <c r="B922" s="1" t="s">
        <v>101</v>
      </c>
      <c r="C922" t="s">
        <v>1761</v>
      </c>
      <c r="E922" s="2">
        <v>2739000206001</v>
      </c>
      <c r="F922" s="1" t="s">
        <v>29</v>
      </c>
      <c r="G922" s="1" t="s">
        <v>53</v>
      </c>
      <c r="H922" s="1" t="s">
        <v>359</v>
      </c>
      <c r="I922" s="1" t="s">
        <v>360</v>
      </c>
      <c r="J922" s="1" t="s">
        <v>85</v>
      </c>
      <c r="K922" t="s">
        <v>34</v>
      </c>
      <c r="M922" s="1" t="s">
        <v>35</v>
      </c>
      <c r="N922" s="1">
        <v>42318949</v>
      </c>
      <c r="O922" s="1" t="s">
        <v>36</v>
      </c>
      <c r="P922" s="186">
        <v>44932.478831018518</v>
      </c>
      <c r="R922" s="1" t="s">
        <v>38</v>
      </c>
      <c r="T922" s="1" t="s">
        <v>74</v>
      </c>
      <c r="U922" s="186">
        <v>44932.75</v>
      </c>
      <c r="V922" s="1" t="s">
        <v>41</v>
      </c>
      <c r="W922" s="1" t="s">
        <v>49</v>
      </c>
      <c r="Z922" s="14"/>
      <c r="AA922" s="14"/>
    </row>
    <row r="923" spans="1:27" hidden="1">
      <c r="A923" s="1">
        <v>9300311</v>
      </c>
      <c r="B923" s="1" t="s">
        <v>101</v>
      </c>
      <c r="C923" t="s">
        <v>1761</v>
      </c>
      <c r="E923" s="2">
        <v>2625000206001</v>
      </c>
      <c r="F923" s="1" t="s">
        <v>29</v>
      </c>
      <c r="G923" s="1" t="s">
        <v>53</v>
      </c>
      <c r="H923" s="1" t="s">
        <v>317</v>
      </c>
      <c r="I923" s="1" t="s">
        <v>318</v>
      </c>
      <c r="J923" s="1" t="s">
        <v>164</v>
      </c>
      <c r="K923" t="s">
        <v>34</v>
      </c>
      <c r="M923" s="1" t="s">
        <v>35</v>
      </c>
      <c r="N923" s="1">
        <v>42318949</v>
      </c>
      <c r="O923" s="1" t="s">
        <v>105</v>
      </c>
      <c r="P923" s="186">
        <v>44932.478738425925</v>
      </c>
      <c r="R923" s="1" t="s">
        <v>38</v>
      </c>
      <c r="T923" s="1" t="s">
        <v>74</v>
      </c>
      <c r="U923" s="186">
        <v>44932.75</v>
      </c>
      <c r="V923" s="1" t="s">
        <v>41</v>
      </c>
      <c r="W923" s="1" t="s">
        <v>49</v>
      </c>
      <c r="Z923" s="14"/>
      <c r="AA923" s="14"/>
    </row>
    <row r="924" spans="1:27" hidden="1">
      <c r="A924" s="1">
        <v>9300300</v>
      </c>
      <c r="B924" s="1" t="s">
        <v>101</v>
      </c>
      <c r="C924" t="s">
        <v>1761</v>
      </c>
      <c r="E924" s="2">
        <v>2590000206001</v>
      </c>
      <c r="F924" s="1" t="s">
        <v>29</v>
      </c>
      <c r="G924" s="1" t="s">
        <v>53</v>
      </c>
      <c r="H924" s="1" t="s">
        <v>394</v>
      </c>
      <c r="I924" s="1" t="s">
        <v>395</v>
      </c>
      <c r="J924" s="1" t="s">
        <v>148</v>
      </c>
      <c r="K924" t="s">
        <v>34</v>
      </c>
      <c r="M924" s="1" t="s">
        <v>35</v>
      </c>
      <c r="N924" s="1">
        <v>42318949</v>
      </c>
      <c r="O924" s="1" t="s">
        <v>105</v>
      </c>
      <c r="P924" s="186">
        <v>44932.478726851848</v>
      </c>
      <c r="R924" s="1" t="s">
        <v>38</v>
      </c>
      <c r="T924" s="1" t="s">
        <v>74</v>
      </c>
      <c r="U924" s="186">
        <v>44932.75</v>
      </c>
      <c r="V924" s="1" t="s">
        <v>41</v>
      </c>
      <c r="W924" s="1" t="s">
        <v>49</v>
      </c>
      <c r="Z924" s="14"/>
      <c r="AA924" s="14"/>
    </row>
    <row r="925" spans="1:27" hidden="1">
      <c r="A925" s="1">
        <v>9300280</v>
      </c>
      <c r="B925" s="1" t="s">
        <v>101</v>
      </c>
      <c r="C925" t="s">
        <v>1761</v>
      </c>
      <c r="E925" s="2">
        <v>2529000206001</v>
      </c>
      <c r="F925" s="1" t="s">
        <v>29</v>
      </c>
      <c r="G925" s="1" t="s">
        <v>53</v>
      </c>
      <c r="H925" s="1" t="s">
        <v>355</v>
      </c>
      <c r="I925" s="1" t="s">
        <v>356</v>
      </c>
      <c r="J925" s="1" t="s">
        <v>56</v>
      </c>
      <c r="K925" t="s">
        <v>34</v>
      </c>
      <c r="M925" s="1" t="s">
        <v>35</v>
      </c>
      <c r="N925" s="1">
        <v>42318949</v>
      </c>
      <c r="O925" s="1" t="s">
        <v>105</v>
      </c>
      <c r="P925" s="186">
        <v>44932.478703703702</v>
      </c>
      <c r="R925" s="1" t="s">
        <v>38</v>
      </c>
      <c r="T925" s="1" t="s">
        <v>74</v>
      </c>
      <c r="U925" s="186">
        <v>44932.75</v>
      </c>
      <c r="V925" s="1" t="s">
        <v>41</v>
      </c>
      <c r="W925" s="1" t="s">
        <v>49</v>
      </c>
      <c r="Z925" s="14"/>
      <c r="AA925" s="14"/>
    </row>
    <row r="926" spans="1:27" hidden="1">
      <c r="A926" s="1">
        <v>9300272</v>
      </c>
      <c r="B926" s="1" t="s">
        <v>101</v>
      </c>
      <c r="C926" t="s">
        <v>1761</v>
      </c>
      <c r="E926" s="2">
        <v>2473000206001</v>
      </c>
      <c r="F926" s="1" t="s">
        <v>29</v>
      </c>
      <c r="G926" s="1" t="s">
        <v>53</v>
      </c>
      <c r="H926" s="1" t="s">
        <v>1459</v>
      </c>
      <c r="I926" s="1" t="s">
        <v>1460</v>
      </c>
      <c r="J926" s="1" t="s">
        <v>261</v>
      </c>
      <c r="K926" t="s">
        <v>34</v>
      </c>
      <c r="M926" s="1" t="s">
        <v>35</v>
      </c>
      <c r="N926" s="1">
        <v>42318949</v>
      </c>
      <c r="O926" s="1" t="s">
        <v>105</v>
      </c>
      <c r="P926" s="186">
        <v>44932.478692129633</v>
      </c>
      <c r="R926" s="1" t="s">
        <v>38</v>
      </c>
      <c r="T926" s="1" t="s">
        <v>74</v>
      </c>
      <c r="U926" s="186">
        <v>44932.75</v>
      </c>
      <c r="V926" s="1" t="s">
        <v>41</v>
      </c>
      <c r="W926" s="1" t="s">
        <v>49</v>
      </c>
      <c r="Z926" s="14"/>
      <c r="AA926" s="14"/>
    </row>
    <row r="927" spans="1:27" hidden="1">
      <c r="A927" s="1">
        <v>9300254</v>
      </c>
      <c r="B927" s="1" t="s">
        <v>101</v>
      </c>
      <c r="C927" t="s">
        <v>1761</v>
      </c>
      <c r="E927" s="2">
        <v>2437000206001</v>
      </c>
      <c r="F927" s="1" t="s">
        <v>29</v>
      </c>
      <c r="G927" s="1" t="s">
        <v>53</v>
      </c>
      <c r="H927" s="1" t="s">
        <v>416</v>
      </c>
      <c r="I927" s="1" t="s">
        <v>417</v>
      </c>
      <c r="J927" s="1" t="s">
        <v>211</v>
      </c>
      <c r="K927" t="s">
        <v>34</v>
      </c>
      <c r="M927" s="1" t="s">
        <v>35</v>
      </c>
      <c r="N927" s="1">
        <v>42318949</v>
      </c>
      <c r="O927" s="1" t="s">
        <v>105</v>
      </c>
      <c r="P927" s="186">
        <v>44932.478668981479</v>
      </c>
      <c r="R927" s="1" t="s">
        <v>38</v>
      </c>
      <c r="T927" s="1" t="s">
        <v>74</v>
      </c>
      <c r="U927" s="186">
        <v>44932.75</v>
      </c>
      <c r="V927" s="1" t="s">
        <v>41</v>
      </c>
      <c r="W927" s="1" t="s">
        <v>49</v>
      </c>
      <c r="Z927" s="14"/>
      <c r="AA927" s="14"/>
    </row>
    <row r="928" spans="1:27" hidden="1">
      <c r="A928" s="1">
        <v>9300253</v>
      </c>
      <c r="B928" s="1" t="s">
        <v>101</v>
      </c>
      <c r="C928" t="s">
        <v>1761</v>
      </c>
      <c r="E928" s="2">
        <v>2437000206001</v>
      </c>
      <c r="F928" s="1" t="s">
        <v>29</v>
      </c>
      <c r="G928" s="1" t="s">
        <v>53</v>
      </c>
      <c r="H928" s="1" t="s">
        <v>416</v>
      </c>
      <c r="I928" s="1" t="s">
        <v>417</v>
      </c>
      <c r="J928" s="1" t="s">
        <v>211</v>
      </c>
      <c r="K928" t="s">
        <v>34</v>
      </c>
      <c r="M928" s="1" t="s">
        <v>35</v>
      </c>
      <c r="N928" s="1">
        <v>42318949</v>
      </c>
      <c r="O928" s="1" t="s">
        <v>105</v>
      </c>
      <c r="P928" s="186">
        <v>44932.478668981479</v>
      </c>
      <c r="R928" s="1" t="s">
        <v>38</v>
      </c>
      <c r="T928" s="1" t="s">
        <v>74</v>
      </c>
      <c r="U928" s="186">
        <v>44932.75</v>
      </c>
      <c r="V928" s="1" t="s">
        <v>41</v>
      </c>
      <c r="W928" s="1" t="s">
        <v>49</v>
      </c>
      <c r="Z928" s="14"/>
      <c r="AA928" s="14"/>
    </row>
    <row r="929" spans="1:27" hidden="1">
      <c r="A929" s="1">
        <v>9300252</v>
      </c>
      <c r="B929" s="1" t="s">
        <v>101</v>
      </c>
      <c r="C929" t="s">
        <v>1761</v>
      </c>
      <c r="E929" s="2">
        <v>2437000206001</v>
      </c>
      <c r="F929" s="1" t="s">
        <v>29</v>
      </c>
      <c r="G929" s="1" t="s">
        <v>53</v>
      </c>
      <c r="H929" s="1" t="s">
        <v>416</v>
      </c>
      <c r="I929" s="1" t="s">
        <v>417</v>
      </c>
      <c r="J929" s="1" t="s">
        <v>211</v>
      </c>
      <c r="K929" t="s">
        <v>34</v>
      </c>
      <c r="M929" s="1" t="s">
        <v>35</v>
      </c>
      <c r="N929" s="1">
        <v>42318949</v>
      </c>
      <c r="O929" s="1" t="s">
        <v>105</v>
      </c>
      <c r="P929" s="186">
        <v>44932.478668981479</v>
      </c>
      <c r="R929" s="1" t="s">
        <v>38</v>
      </c>
      <c r="T929" s="1" t="s">
        <v>74</v>
      </c>
      <c r="U929" s="186">
        <v>44932.75</v>
      </c>
      <c r="V929" s="1" t="s">
        <v>41</v>
      </c>
      <c r="W929" s="1" t="s">
        <v>49</v>
      </c>
      <c r="Z929" s="14"/>
      <c r="AA929" s="14"/>
    </row>
    <row r="930" spans="1:27" hidden="1">
      <c r="A930" s="1">
        <v>9300229</v>
      </c>
      <c r="B930" s="1" t="s">
        <v>101</v>
      </c>
      <c r="C930" t="s">
        <v>1761</v>
      </c>
      <c r="E930" s="2">
        <v>2388000206001</v>
      </c>
      <c r="F930" s="1" t="s">
        <v>29</v>
      </c>
      <c r="G930" s="1" t="s">
        <v>53</v>
      </c>
      <c r="H930" s="1" t="s">
        <v>299</v>
      </c>
      <c r="I930" s="1" t="s">
        <v>300</v>
      </c>
      <c r="J930" s="1" t="s">
        <v>79</v>
      </c>
      <c r="K930" t="s">
        <v>34</v>
      </c>
      <c r="M930" s="1" t="s">
        <v>35</v>
      </c>
      <c r="N930" s="1">
        <v>42318949</v>
      </c>
      <c r="O930" s="1" t="s">
        <v>105</v>
      </c>
      <c r="P930" s="186">
        <v>44932.478634259256</v>
      </c>
      <c r="R930" s="1" t="s">
        <v>38</v>
      </c>
      <c r="T930" s="1" t="s">
        <v>74</v>
      </c>
      <c r="U930" s="186">
        <v>44932.75</v>
      </c>
      <c r="V930" s="1" t="s">
        <v>41</v>
      </c>
      <c r="W930" s="1" t="s">
        <v>49</v>
      </c>
      <c r="Z930" s="14"/>
      <c r="AA930" s="14"/>
    </row>
    <row r="931" spans="1:27" hidden="1">
      <c r="A931" s="1">
        <v>9300228</v>
      </c>
      <c r="B931" s="1" t="s">
        <v>101</v>
      </c>
      <c r="C931" t="s">
        <v>1761</v>
      </c>
      <c r="E931" s="2">
        <v>2388000206001</v>
      </c>
      <c r="F931" s="1" t="s">
        <v>29</v>
      </c>
      <c r="G931" s="1" t="s">
        <v>53</v>
      </c>
      <c r="H931" s="1" t="s">
        <v>299</v>
      </c>
      <c r="I931" s="1" t="s">
        <v>300</v>
      </c>
      <c r="J931" s="1" t="s">
        <v>79</v>
      </c>
      <c r="K931" t="s">
        <v>34</v>
      </c>
      <c r="M931" s="1" t="s">
        <v>35</v>
      </c>
      <c r="N931" s="1">
        <v>42318949</v>
      </c>
      <c r="O931" s="1" t="s">
        <v>105</v>
      </c>
      <c r="P931" s="186">
        <v>44932.478634259256</v>
      </c>
      <c r="R931" s="1" t="s">
        <v>38</v>
      </c>
      <c r="T931" s="1" t="s">
        <v>74</v>
      </c>
      <c r="U931" s="186">
        <v>44932.75</v>
      </c>
      <c r="V931" s="1" t="s">
        <v>41</v>
      </c>
      <c r="W931" s="1" t="s">
        <v>49</v>
      </c>
      <c r="Z931" s="14"/>
      <c r="AA931" s="14"/>
    </row>
    <row r="932" spans="1:27" hidden="1">
      <c r="A932" s="1">
        <v>9300194</v>
      </c>
      <c r="B932" s="1" t="s">
        <v>101</v>
      </c>
      <c r="C932" t="s">
        <v>1761</v>
      </c>
      <c r="E932" s="2">
        <v>2326000206001</v>
      </c>
      <c r="F932" s="1" t="s">
        <v>29</v>
      </c>
      <c r="G932" s="1" t="s">
        <v>53</v>
      </c>
      <c r="H932" s="1" t="s">
        <v>191</v>
      </c>
      <c r="I932" s="1" t="s">
        <v>192</v>
      </c>
      <c r="J932" s="1" t="s">
        <v>46</v>
      </c>
      <c r="K932" t="s">
        <v>34</v>
      </c>
      <c r="M932" s="1" t="s">
        <v>35</v>
      </c>
      <c r="N932" s="1">
        <v>42318949</v>
      </c>
      <c r="O932" s="1" t="s">
        <v>105</v>
      </c>
      <c r="P932" s="186">
        <v>44932.478587962964</v>
      </c>
      <c r="R932" s="1" t="s">
        <v>38</v>
      </c>
      <c r="T932" s="1" t="s">
        <v>74</v>
      </c>
      <c r="U932" s="186">
        <v>44932.75</v>
      </c>
      <c r="V932" s="1" t="s">
        <v>41</v>
      </c>
      <c r="W932" s="1" t="s">
        <v>49</v>
      </c>
      <c r="Z932" s="14"/>
      <c r="AA932" s="14"/>
    </row>
    <row r="933" spans="1:27" hidden="1">
      <c r="A933" s="1">
        <v>9300193</v>
      </c>
      <c r="B933" s="1" t="s">
        <v>101</v>
      </c>
      <c r="C933" t="s">
        <v>1761</v>
      </c>
      <c r="E933" s="2">
        <v>2326000206001</v>
      </c>
      <c r="F933" s="1" t="s">
        <v>29</v>
      </c>
      <c r="G933" s="1" t="s">
        <v>53</v>
      </c>
      <c r="H933" s="1" t="s">
        <v>191</v>
      </c>
      <c r="I933" s="1" t="s">
        <v>192</v>
      </c>
      <c r="J933" s="1" t="s">
        <v>46</v>
      </c>
      <c r="K933" t="s">
        <v>34</v>
      </c>
      <c r="M933" s="1" t="s">
        <v>35</v>
      </c>
      <c r="N933" s="1">
        <v>42318949</v>
      </c>
      <c r="O933" s="1" t="s">
        <v>105</v>
      </c>
      <c r="P933" s="186">
        <v>44932.478587962964</v>
      </c>
      <c r="R933" s="1" t="s">
        <v>38</v>
      </c>
      <c r="T933" s="1" t="s">
        <v>74</v>
      </c>
      <c r="U933" s="186">
        <v>44932.75</v>
      </c>
      <c r="V933" s="1" t="s">
        <v>41</v>
      </c>
      <c r="W933" s="1" t="s">
        <v>49</v>
      </c>
      <c r="Z933" s="14"/>
      <c r="AA933" s="14"/>
    </row>
    <row r="934" spans="1:27" hidden="1">
      <c r="A934" s="1">
        <v>9300192</v>
      </c>
      <c r="B934" s="1" t="s">
        <v>101</v>
      </c>
      <c r="C934" t="s">
        <v>1761</v>
      </c>
      <c r="E934" s="2">
        <v>2326000206001</v>
      </c>
      <c r="F934" s="1" t="s">
        <v>29</v>
      </c>
      <c r="G934" s="1" t="s">
        <v>53</v>
      </c>
      <c r="H934" s="1" t="s">
        <v>191</v>
      </c>
      <c r="I934" s="1" t="s">
        <v>192</v>
      </c>
      <c r="J934" s="1" t="s">
        <v>46</v>
      </c>
      <c r="K934" t="s">
        <v>34</v>
      </c>
      <c r="M934" s="1" t="s">
        <v>35</v>
      </c>
      <c r="N934" s="1">
        <v>42318949</v>
      </c>
      <c r="O934" s="1" t="s">
        <v>105</v>
      </c>
      <c r="P934" s="186">
        <v>44932.478587962964</v>
      </c>
      <c r="R934" s="1" t="s">
        <v>38</v>
      </c>
      <c r="T934" s="1" t="s">
        <v>74</v>
      </c>
      <c r="U934" s="186">
        <v>44932.75</v>
      </c>
      <c r="V934" s="1" t="s">
        <v>41</v>
      </c>
      <c r="W934" s="1" t="s">
        <v>49</v>
      </c>
      <c r="Z934" s="14"/>
      <c r="AA934" s="14"/>
    </row>
    <row r="935" spans="1:27" hidden="1">
      <c r="A935" s="1">
        <v>9300118</v>
      </c>
      <c r="B935" s="1" t="s">
        <v>101</v>
      </c>
      <c r="C935" t="s">
        <v>1761</v>
      </c>
      <c r="E935" s="2">
        <v>2219000206001</v>
      </c>
      <c r="F935" s="1" t="s">
        <v>29</v>
      </c>
      <c r="G935" s="1" t="s">
        <v>53</v>
      </c>
      <c r="H935" s="1" t="s">
        <v>893</v>
      </c>
      <c r="I935" s="1" t="s">
        <v>894</v>
      </c>
      <c r="J935" s="1" t="s">
        <v>141</v>
      </c>
      <c r="K935" t="s">
        <v>34</v>
      </c>
      <c r="M935" s="1" t="s">
        <v>35</v>
      </c>
      <c r="N935" s="1">
        <v>42318949</v>
      </c>
      <c r="O935" s="1" t="s">
        <v>105</v>
      </c>
      <c r="P935" s="186">
        <v>44932.478495370371</v>
      </c>
      <c r="R935" s="1" t="s">
        <v>38</v>
      </c>
      <c r="T935" s="1" t="s">
        <v>74</v>
      </c>
      <c r="U935" s="186">
        <v>44932.75</v>
      </c>
      <c r="V935" s="1" t="s">
        <v>41</v>
      </c>
      <c r="W935" s="1" t="s">
        <v>49</v>
      </c>
      <c r="Z935" s="14"/>
      <c r="AA935" s="14"/>
    </row>
    <row r="936" spans="1:27" hidden="1">
      <c r="A936" s="1">
        <v>9300088</v>
      </c>
      <c r="B936" s="1" t="s">
        <v>101</v>
      </c>
      <c r="C936" t="s">
        <v>1761</v>
      </c>
      <c r="E936" s="2">
        <v>2170000206001</v>
      </c>
      <c r="F936" s="1" t="s">
        <v>29</v>
      </c>
      <c r="G936" s="1" t="s">
        <v>53</v>
      </c>
      <c r="H936" s="1" t="s">
        <v>477</v>
      </c>
      <c r="I936" s="1" t="s">
        <v>478</v>
      </c>
      <c r="J936" s="1" t="s">
        <v>148</v>
      </c>
      <c r="K936" t="s">
        <v>34</v>
      </c>
      <c r="M936" s="1" t="s">
        <v>35</v>
      </c>
      <c r="N936" s="1">
        <v>42318949</v>
      </c>
      <c r="O936" s="1" t="s">
        <v>105</v>
      </c>
      <c r="P936" s="186">
        <v>44932.478449074071</v>
      </c>
      <c r="R936" s="1" t="s">
        <v>38</v>
      </c>
      <c r="T936" s="1" t="s">
        <v>74</v>
      </c>
      <c r="U936" s="186">
        <v>44932.75</v>
      </c>
      <c r="V936" s="1" t="s">
        <v>41</v>
      </c>
      <c r="W936" s="1" t="s">
        <v>49</v>
      </c>
      <c r="Z936" s="14"/>
      <c r="AA936" s="14"/>
    </row>
    <row r="937" spans="1:27" hidden="1">
      <c r="A937" s="1">
        <v>9300087</v>
      </c>
      <c r="B937" s="1" t="s">
        <v>101</v>
      </c>
      <c r="C937" t="s">
        <v>1761</v>
      </c>
      <c r="E937" s="2">
        <v>2170000206001</v>
      </c>
      <c r="F937" s="1" t="s">
        <v>29</v>
      </c>
      <c r="G937" s="1" t="s">
        <v>53</v>
      </c>
      <c r="H937" s="1" t="s">
        <v>477</v>
      </c>
      <c r="I937" s="1" t="s">
        <v>478</v>
      </c>
      <c r="J937" s="1" t="s">
        <v>148</v>
      </c>
      <c r="K937" t="s">
        <v>34</v>
      </c>
      <c r="M937" s="1" t="s">
        <v>35</v>
      </c>
      <c r="N937" s="1">
        <v>42318949</v>
      </c>
      <c r="O937" s="1" t="s">
        <v>105</v>
      </c>
      <c r="P937" s="186">
        <v>44932.478449074071</v>
      </c>
      <c r="R937" s="1" t="s">
        <v>38</v>
      </c>
      <c r="T937" s="1" t="s">
        <v>74</v>
      </c>
      <c r="U937" s="186">
        <v>44932.75</v>
      </c>
      <c r="V937" s="1" t="s">
        <v>41</v>
      </c>
      <c r="W937" s="1" t="s">
        <v>49</v>
      </c>
      <c r="Z937" s="14"/>
      <c r="AA937" s="14"/>
    </row>
    <row r="938" spans="1:27" hidden="1">
      <c r="A938" s="1">
        <v>9299999</v>
      </c>
      <c r="B938" s="1" t="s">
        <v>101</v>
      </c>
      <c r="C938" t="s">
        <v>1761</v>
      </c>
      <c r="E938" s="2">
        <v>1837000206001</v>
      </c>
      <c r="F938" s="1" t="s">
        <v>29</v>
      </c>
      <c r="G938" s="1" t="s">
        <v>53</v>
      </c>
      <c r="H938" s="1" t="s">
        <v>1785</v>
      </c>
      <c r="I938" s="1" t="s">
        <v>1786</v>
      </c>
      <c r="J938" s="1" t="s">
        <v>46</v>
      </c>
      <c r="K938" t="s">
        <v>34</v>
      </c>
      <c r="M938" s="1" t="s">
        <v>35</v>
      </c>
      <c r="N938" s="1">
        <v>42318949</v>
      </c>
      <c r="O938" s="1" t="s">
        <v>105</v>
      </c>
      <c r="P938" s="186">
        <v>44932.478333333333</v>
      </c>
      <c r="R938" s="1" t="s">
        <v>38</v>
      </c>
      <c r="T938" s="1" t="s">
        <v>74</v>
      </c>
      <c r="U938" s="186">
        <v>44932.75</v>
      </c>
      <c r="V938" s="1" t="s">
        <v>41</v>
      </c>
      <c r="W938" s="1" t="s">
        <v>49</v>
      </c>
      <c r="Z938" s="14"/>
      <c r="AA938" s="14"/>
    </row>
    <row r="939" spans="1:27" hidden="1">
      <c r="A939" s="1">
        <v>9299998</v>
      </c>
      <c r="B939" s="1" t="s">
        <v>101</v>
      </c>
      <c r="C939" t="s">
        <v>1761</v>
      </c>
      <c r="E939" s="2">
        <v>1837000206001</v>
      </c>
      <c r="F939" s="1" t="s">
        <v>29</v>
      </c>
      <c r="G939" s="1" t="s">
        <v>53</v>
      </c>
      <c r="H939" s="1" t="s">
        <v>1785</v>
      </c>
      <c r="I939" s="1" t="s">
        <v>1786</v>
      </c>
      <c r="J939" s="1" t="s">
        <v>46</v>
      </c>
      <c r="K939" t="s">
        <v>34</v>
      </c>
      <c r="M939" s="1" t="s">
        <v>35</v>
      </c>
      <c r="N939" s="1">
        <v>42318949</v>
      </c>
      <c r="O939" s="1" t="s">
        <v>105</v>
      </c>
      <c r="P939" s="186">
        <v>44932.478333333333</v>
      </c>
      <c r="R939" s="1" t="s">
        <v>38</v>
      </c>
      <c r="T939" s="1" t="s">
        <v>74</v>
      </c>
      <c r="U939" s="186">
        <v>44932.75</v>
      </c>
      <c r="V939" s="1" t="s">
        <v>41</v>
      </c>
      <c r="W939" s="1" t="s">
        <v>49</v>
      </c>
      <c r="Z939" s="14"/>
      <c r="AA939" s="14"/>
    </row>
    <row r="940" spans="1:27" hidden="1">
      <c r="A940" s="1">
        <v>9299997</v>
      </c>
      <c r="B940" s="1" t="s">
        <v>101</v>
      </c>
      <c r="C940" t="s">
        <v>1761</v>
      </c>
      <c r="E940" s="2">
        <v>1837000206001</v>
      </c>
      <c r="F940" s="1" t="s">
        <v>29</v>
      </c>
      <c r="G940" s="1" t="s">
        <v>53</v>
      </c>
      <c r="H940" s="1" t="s">
        <v>1785</v>
      </c>
      <c r="I940" s="1" t="s">
        <v>1786</v>
      </c>
      <c r="J940" s="1" t="s">
        <v>46</v>
      </c>
      <c r="K940" t="s">
        <v>34</v>
      </c>
      <c r="M940" s="1" t="s">
        <v>35</v>
      </c>
      <c r="N940" s="1">
        <v>42318949</v>
      </c>
      <c r="O940" s="1" t="s">
        <v>105</v>
      </c>
      <c r="P940" s="186">
        <v>44932.478321759256</v>
      </c>
      <c r="R940" s="1" t="s">
        <v>38</v>
      </c>
      <c r="T940" s="1" t="s">
        <v>74</v>
      </c>
      <c r="U940" s="186">
        <v>44932.75</v>
      </c>
      <c r="V940" s="1" t="s">
        <v>41</v>
      </c>
      <c r="W940" s="1" t="s">
        <v>49</v>
      </c>
      <c r="Z940" s="14"/>
      <c r="AA940" s="14"/>
    </row>
    <row r="941" spans="1:27" hidden="1">
      <c r="A941" s="1">
        <v>9299964</v>
      </c>
      <c r="B941" s="1" t="s">
        <v>101</v>
      </c>
      <c r="C941" t="s">
        <v>1761</v>
      </c>
      <c r="E941" s="2">
        <v>1739000206001</v>
      </c>
      <c r="F941" s="1" t="s">
        <v>29</v>
      </c>
      <c r="G941" s="1" t="s">
        <v>53</v>
      </c>
      <c r="H941" s="1" t="s">
        <v>162</v>
      </c>
      <c r="I941" s="1" t="s">
        <v>163</v>
      </c>
      <c r="J941" s="1" t="s">
        <v>164</v>
      </c>
      <c r="K941" t="s">
        <v>34</v>
      </c>
      <c r="M941" s="1" t="s">
        <v>35</v>
      </c>
      <c r="N941" s="1">
        <v>42318949</v>
      </c>
      <c r="O941" s="1" t="s">
        <v>105</v>
      </c>
      <c r="P941" s="186">
        <v>44932.47828703704</v>
      </c>
      <c r="R941" s="1" t="s">
        <v>38</v>
      </c>
      <c r="T941" s="1" t="s">
        <v>74</v>
      </c>
      <c r="U941" s="186">
        <v>44932.75</v>
      </c>
      <c r="V941" s="1" t="s">
        <v>41</v>
      </c>
      <c r="W941" s="1" t="s">
        <v>49</v>
      </c>
      <c r="Z941" s="14"/>
      <c r="AA941" s="14"/>
    </row>
    <row r="942" spans="1:27" hidden="1">
      <c r="A942" s="1">
        <v>9299963</v>
      </c>
      <c r="B942" s="1" t="s">
        <v>101</v>
      </c>
      <c r="C942" t="s">
        <v>1761</v>
      </c>
      <c r="E942" s="2">
        <v>1739000206001</v>
      </c>
      <c r="F942" s="1" t="s">
        <v>29</v>
      </c>
      <c r="G942" s="1" t="s">
        <v>53</v>
      </c>
      <c r="H942" s="1" t="s">
        <v>162</v>
      </c>
      <c r="I942" s="1" t="s">
        <v>163</v>
      </c>
      <c r="J942" s="1" t="s">
        <v>164</v>
      </c>
      <c r="K942" t="s">
        <v>34</v>
      </c>
      <c r="M942" s="1" t="s">
        <v>35</v>
      </c>
      <c r="N942" s="1">
        <v>42318949</v>
      </c>
      <c r="O942" s="1" t="s">
        <v>105</v>
      </c>
      <c r="P942" s="186">
        <v>44932.478275462963</v>
      </c>
      <c r="R942" s="1" t="s">
        <v>38</v>
      </c>
      <c r="T942" s="1" t="s">
        <v>74</v>
      </c>
      <c r="U942" s="186">
        <v>44932.75</v>
      </c>
      <c r="V942" s="1" t="s">
        <v>41</v>
      </c>
      <c r="W942" s="1" t="s">
        <v>49</v>
      </c>
      <c r="Z942" s="14"/>
      <c r="AA942" s="14"/>
    </row>
    <row r="943" spans="1:27" hidden="1">
      <c r="A943" s="1">
        <v>9299962</v>
      </c>
      <c r="B943" s="1" t="s">
        <v>101</v>
      </c>
      <c r="C943" t="s">
        <v>1761</v>
      </c>
      <c r="E943" s="2">
        <v>1739000206001</v>
      </c>
      <c r="F943" s="1" t="s">
        <v>29</v>
      </c>
      <c r="G943" s="1" t="s">
        <v>53</v>
      </c>
      <c r="H943" s="1" t="s">
        <v>162</v>
      </c>
      <c r="I943" s="1" t="s">
        <v>163</v>
      </c>
      <c r="J943" s="1" t="s">
        <v>164</v>
      </c>
      <c r="K943" t="s">
        <v>34</v>
      </c>
      <c r="M943" s="1" t="s">
        <v>35</v>
      </c>
      <c r="N943" s="1">
        <v>42318949</v>
      </c>
      <c r="O943" s="1" t="s">
        <v>105</v>
      </c>
      <c r="P943" s="186">
        <v>44932.478275462963</v>
      </c>
      <c r="R943" s="1" t="s">
        <v>38</v>
      </c>
      <c r="T943" s="1" t="s">
        <v>74</v>
      </c>
      <c r="U943" s="186">
        <v>44932.75</v>
      </c>
      <c r="V943" s="1" t="s">
        <v>41</v>
      </c>
      <c r="W943" s="1" t="s">
        <v>49</v>
      </c>
      <c r="Z943" s="14"/>
      <c r="AA943" s="14"/>
    </row>
    <row r="944" spans="1:27" hidden="1">
      <c r="A944" s="1">
        <v>9299956</v>
      </c>
      <c r="B944" s="1" t="s">
        <v>101</v>
      </c>
      <c r="C944" t="s">
        <v>1761</v>
      </c>
      <c r="E944" s="2">
        <v>1732000206001</v>
      </c>
      <c r="F944" s="1" t="s">
        <v>29</v>
      </c>
      <c r="G944" s="1" t="s">
        <v>53</v>
      </c>
      <c r="H944" s="1" t="s">
        <v>177</v>
      </c>
      <c r="I944" s="1" t="s">
        <v>178</v>
      </c>
      <c r="J944" s="1" t="s">
        <v>164</v>
      </c>
      <c r="K944" t="s">
        <v>34</v>
      </c>
      <c r="M944" s="1" t="s">
        <v>35</v>
      </c>
      <c r="N944" s="1">
        <v>42318949</v>
      </c>
      <c r="O944" s="1" t="s">
        <v>105</v>
      </c>
      <c r="P944" s="186">
        <v>44932.478275462963</v>
      </c>
      <c r="R944" s="1" t="s">
        <v>38</v>
      </c>
      <c r="T944" s="1" t="s">
        <v>74</v>
      </c>
      <c r="U944" s="186">
        <v>44932.75</v>
      </c>
      <c r="V944" s="1" t="s">
        <v>41</v>
      </c>
      <c r="W944" s="1" t="s">
        <v>49</v>
      </c>
      <c r="Z944" s="14"/>
      <c r="AA944" s="14"/>
    </row>
    <row r="945" spans="1:27" hidden="1">
      <c r="A945" s="1">
        <v>9299911</v>
      </c>
      <c r="B945" s="1" t="s">
        <v>101</v>
      </c>
      <c r="C945" t="s">
        <v>1761</v>
      </c>
      <c r="E945" s="2">
        <v>1650000206001</v>
      </c>
      <c r="F945" s="1" t="s">
        <v>29</v>
      </c>
      <c r="G945" s="1" t="s">
        <v>53</v>
      </c>
      <c r="H945" s="1" t="s">
        <v>620</v>
      </c>
      <c r="I945" s="1" t="s">
        <v>621</v>
      </c>
      <c r="J945" s="1" t="s">
        <v>141</v>
      </c>
      <c r="K945" t="s">
        <v>34</v>
      </c>
      <c r="M945" s="1" t="s">
        <v>35</v>
      </c>
      <c r="N945" s="1">
        <v>42318949</v>
      </c>
      <c r="O945" s="1" t="s">
        <v>105</v>
      </c>
      <c r="P945" s="186">
        <v>44932.478206018517</v>
      </c>
      <c r="R945" s="1" t="s">
        <v>38</v>
      </c>
      <c r="T945" s="1" t="s">
        <v>74</v>
      </c>
      <c r="U945" s="186">
        <v>44932.75</v>
      </c>
      <c r="V945" s="1" t="s">
        <v>41</v>
      </c>
      <c r="W945" s="1" t="s">
        <v>49</v>
      </c>
      <c r="Z945" s="14"/>
      <c r="AA945" s="14"/>
    </row>
    <row r="946" spans="1:27" hidden="1">
      <c r="A946" s="1">
        <v>9299910</v>
      </c>
      <c r="B946" s="1" t="s">
        <v>101</v>
      </c>
      <c r="C946" t="s">
        <v>1761</v>
      </c>
      <c r="E946" s="2">
        <v>1650000206001</v>
      </c>
      <c r="F946" s="1" t="s">
        <v>29</v>
      </c>
      <c r="G946" s="1" t="s">
        <v>53</v>
      </c>
      <c r="H946" s="1" t="s">
        <v>620</v>
      </c>
      <c r="I946" s="1" t="s">
        <v>621</v>
      </c>
      <c r="J946" s="1" t="s">
        <v>141</v>
      </c>
      <c r="K946" t="s">
        <v>34</v>
      </c>
      <c r="M946" s="1" t="s">
        <v>35</v>
      </c>
      <c r="N946" s="1">
        <v>42318949</v>
      </c>
      <c r="O946" s="1" t="s">
        <v>105</v>
      </c>
      <c r="P946" s="186">
        <v>44932.478206018517</v>
      </c>
      <c r="R946" s="1" t="s">
        <v>38</v>
      </c>
      <c r="T946" s="1" t="s">
        <v>74</v>
      </c>
      <c r="U946" s="186">
        <v>44932.75</v>
      </c>
      <c r="V946" s="1" t="s">
        <v>41</v>
      </c>
      <c r="W946" s="1" t="s">
        <v>49</v>
      </c>
      <c r="Z946" s="14"/>
      <c r="AA946" s="14"/>
    </row>
    <row r="947" spans="1:27" hidden="1">
      <c r="A947" s="1">
        <v>9299909</v>
      </c>
      <c r="B947" s="1" t="s">
        <v>101</v>
      </c>
      <c r="C947" t="s">
        <v>1761</v>
      </c>
      <c r="E947" s="2">
        <v>1650000206001</v>
      </c>
      <c r="F947" s="1" t="s">
        <v>29</v>
      </c>
      <c r="G947" s="1" t="s">
        <v>53</v>
      </c>
      <c r="H947" s="1" t="s">
        <v>620</v>
      </c>
      <c r="I947" s="1" t="s">
        <v>621</v>
      </c>
      <c r="J947" s="1" t="s">
        <v>141</v>
      </c>
      <c r="K947" t="s">
        <v>34</v>
      </c>
      <c r="M947" s="1" t="s">
        <v>35</v>
      </c>
      <c r="N947" s="1">
        <v>42318949</v>
      </c>
      <c r="O947" s="1" t="s">
        <v>105</v>
      </c>
      <c r="P947" s="186">
        <v>44932.478206018517</v>
      </c>
      <c r="R947" s="1" t="s">
        <v>38</v>
      </c>
      <c r="T947" s="1" t="s">
        <v>74</v>
      </c>
      <c r="U947" s="186">
        <v>44932.75</v>
      </c>
      <c r="V947" s="1" t="s">
        <v>41</v>
      </c>
      <c r="W947" s="1" t="s">
        <v>49</v>
      </c>
      <c r="Z947" s="14"/>
      <c r="AA947" s="14"/>
    </row>
    <row r="948" spans="1:27" hidden="1">
      <c r="A948" s="1">
        <v>9299908</v>
      </c>
      <c r="B948" s="1" t="s">
        <v>101</v>
      </c>
      <c r="C948" t="s">
        <v>1761</v>
      </c>
      <c r="E948" s="2">
        <v>1643000206001</v>
      </c>
      <c r="F948" s="1" t="s">
        <v>29</v>
      </c>
      <c r="G948" s="1" t="s">
        <v>53</v>
      </c>
      <c r="H948" s="1" t="s">
        <v>361</v>
      </c>
      <c r="I948" s="1" t="s">
        <v>362</v>
      </c>
      <c r="J948" s="1" t="s">
        <v>261</v>
      </c>
      <c r="K948" t="s">
        <v>34</v>
      </c>
      <c r="M948" s="1" t="s">
        <v>35</v>
      </c>
      <c r="N948" s="1">
        <v>42318949</v>
      </c>
      <c r="O948" s="1" t="s">
        <v>105</v>
      </c>
      <c r="P948" s="186">
        <v>44932.478206018517</v>
      </c>
      <c r="R948" s="1" t="s">
        <v>38</v>
      </c>
      <c r="T948" s="1" t="s">
        <v>74</v>
      </c>
      <c r="U948" s="186">
        <v>44932.75</v>
      </c>
      <c r="V948" s="1" t="s">
        <v>41</v>
      </c>
      <c r="W948" s="1" t="s">
        <v>49</v>
      </c>
      <c r="Z948" s="14"/>
      <c r="AA948" s="14"/>
    </row>
    <row r="949" spans="1:27" hidden="1">
      <c r="A949" s="1">
        <v>9299907</v>
      </c>
      <c r="B949" s="1" t="s">
        <v>101</v>
      </c>
      <c r="C949" t="s">
        <v>1761</v>
      </c>
      <c r="E949" s="2">
        <v>1643000206001</v>
      </c>
      <c r="F949" s="1" t="s">
        <v>29</v>
      </c>
      <c r="G949" s="1" t="s">
        <v>53</v>
      </c>
      <c r="H949" s="1" t="s">
        <v>361</v>
      </c>
      <c r="I949" s="1" t="s">
        <v>362</v>
      </c>
      <c r="J949" s="1" t="s">
        <v>261</v>
      </c>
      <c r="K949" t="s">
        <v>34</v>
      </c>
      <c r="M949" s="1" t="s">
        <v>35</v>
      </c>
      <c r="N949" s="1">
        <v>42318949</v>
      </c>
      <c r="O949" s="1" t="s">
        <v>105</v>
      </c>
      <c r="P949" s="186">
        <v>44932.478206018517</v>
      </c>
      <c r="R949" s="1" t="s">
        <v>38</v>
      </c>
      <c r="T949" s="1" t="s">
        <v>74</v>
      </c>
      <c r="U949" s="186">
        <v>44932.75</v>
      </c>
      <c r="V949" s="1" t="s">
        <v>41</v>
      </c>
      <c r="W949" s="1" t="s">
        <v>49</v>
      </c>
      <c r="Z949" s="14"/>
      <c r="AA949" s="14"/>
    </row>
    <row r="950" spans="1:27" hidden="1">
      <c r="A950" s="1">
        <v>9299906</v>
      </c>
      <c r="B950" s="1" t="s">
        <v>101</v>
      </c>
      <c r="C950" t="s">
        <v>1761</v>
      </c>
      <c r="E950" s="2">
        <v>1643000206001</v>
      </c>
      <c r="F950" s="1" t="s">
        <v>29</v>
      </c>
      <c r="G950" s="1" t="s">
        <v>53</v>
      </c>
      <c r="H950" s="1" t="s">
        <v>361</v>
      </c>
      <c r="I950" s="1" t="s">
        <v>362</v>
      </c>
      <c r="J950" s="1" t="s">
        <v>261</v>
      </c>
      <c r="K950" t="s">
        <v>34</v>
      </c>
      <c r="M950" s="1" t="s">
        <v>35</v>
      </c>
      <c r="N950" s="1">
        <v>42318949</v>
      </c>
      <c r="O950" s="1" t="s">
        <v>105</v>
      </c>
      <c r="P950" s="186">
        <v>44932.478206018517</v>
      </c>
      <c r="R950" s="1" t="s">
        <v>38</v>
      </c>
      <c r="T950" s="1" t="s">
        <v>74</v>
      </c>
      <c r="U950" s="186">
        <v>44932.75</v>
      </c>
      <c r="V950" s="1" t="s">
        <v>41</v>
      </c>
      <c r="W950" s="1" t="s">
        <v>49</v>
      </c>
      <c r="Z950" s="14"/>
      <c r="AA950" s="14"/>
    </row>
    <row r="951" spans="1:27" hidden="1">
      <c r="A951" s="1">
        <v>9299748</v>
      </c>
      <c r="B951" s="1" t="s">
        <v>101</v>
      </c>
      <c r="C951" t="s">
        <v>1761</v>
      </c>
      <c r="E951" s="2">
        <v>1363000206001</v>
      </c>
      <c r="F951" s="1" t="s">
        <v>29</v>
      </c>
      <c r="G951" s="1" t="s">
        <v>53</v>
      </c>
      <c r="H951" s="1" t="s">
        <v>108</v>
      </c>
      <c r="I951" s="1" t="s">
        <v>109</v>
      </c>
      <c r="J951" s="1" t="s">
        <v>110</v>
      </c>
      <c r="K951" t="s">
        <v>34</v>
      </c>
      <c r="M951" s="1" t="s">
        <v>35</v>
      </c>
      <c r="N951" s="1">
        <v>42318949</v>
      </c>
      <c r="O951" s="1" t="s">
        <v>105</v>
      </c>
      <c r="P951" s="186">
        <v>44932.47797453704</v>
      </c>
      <c r="R951" s="1" t="s">
        <v>38</v>
      </c>
      <c r="T951" s="1" t="s">
        <v>74</v>
      </c>
      <c r="U951" s="186">
        <v>44932.75</v>
      </c>
      <c r="V951" s="1" t="s">
        <v>41</v>
      </c>
      <c r="W951" s="1" t="s">
        <v>49</v>
      </c>
      <c r="Z951" s="14"/>
      <c r="AA951" s="14"/>
    </row>
    <row r="952" spans="1:27" hidden="1">
      <c r="A952" s="1">
        <v>9299747</v>
      </c>
      <c r="B952" s="1" t="s">
        <v>101</v>
      </c>
      <c r="C952" t="s">
        <v>1761</v>
      </c>
      <c r="E952" s="2">
        <v>1363000206001</v>
      </c>
      <c r="F952" s="1" t="s">
        <v>29</v>
      </c>
      <c r="G952" s="1" t="s">
        <v>53</v>
      </c>
      <c r="H952" s="1" t="s">
        <v>108</v>
      </c>
      <c r="I952" s="1" t="s">
        <v>109</v>
      </c>
      <c r="J952" s="1" t="s">
        <v>110</v>
      </c>
      <c r="K952" t="s">
        <v>34</v>
      </c>
      <c r="M952" s="1" t="s">
        <v>35</v>
      </c>
      <c r="N952" s="1">
        <v>42318949</v>
      </c>
      <c r="O952" s="1" t="s">
        <v>105</v>
      </c>
      <c r="P952" s="186">
        <v>44932.47797453704</v>
      </c>
      <c r="R952" s="1" t="s">
        <v>38</v>
      </c>
      <c r="T952" s="1" t="s">
        <v>74</v>
      </c>
      <c r="U952" s="186">
        <v>44932.75</v>
      </c>
      <c r="V952" s="1" t="s">
        <v>41</v>
      </c>
      <c r="W952" s="1" t="s">
        <v>49</v>
      </c>
      <c r="Z952" s="14"/>
      <c r="AA952" s="14"/>
    </row>
    <row r="953" spans="1:27" hidden="1">
      <c r="A953" s="1">
        <v>9299712</v>
      </c>
      <c r="B953" s="1" t="s">
        <v>101</v>
      </c>
      <c r="C953" t="s">
        <v>1761</v>
      </c>
      <c r="E953" s="2">
        <v>1291000206001</v>
      </c>
      <c r="F953" s="1" t="s">
        <v>29</v>
      </c>
      <c r="G953" s="1" t="s">
        <v>53</v>
      </c>
      <c r="H953" s="1" t="s">
        <v>136</v>
      </c>
      <c r="I953" s="1" t="s">
        <v>137</v>
      </c>
      <c r="J953" s="1" t="s">
        <v>33</v>
      </c>
      <c r="K953" t="s">
        <v>34</v>
      </c>
      <c r="M953" s="1" t="s">
        <v>35</v>
      </c>
      <c r="N953" s="1">
        <v>42318949</v>
      </c>
      <c r="O953" s="1" t="s">
        <v>105</v>
      </c>
      <c r="P953" s="186">
        <v>44932.47792824074</v>
      </c>
      <c r="R953" s="1" t="s">
        <v>38</v>
      </c>
      <c r="T953" s="1" t="s">
        <v>74</v>
      </c>
      <c r="U953" s="186">
        <v>44932.75</v>
      </c>
      <c r="V953" s="1" t="s">
        <v>41</v>
      </c>
      <c r="W953" s="1" t="s">
        <v>42</v>
      </c>
      <c r="Z953" s="14"/>
      <c r="AA953" s="14"/>
    </row>
    <row r="954" spans="1:27" hidden="1">
      <c r="A954" s="1">
        <v>9299701</v>
      </c>
      <c r="B954" s="1" t="s">
        <v>101</v>
      </c>
      <c r="C954" t="s">
        <v>1761</v>
      </c>
      <c r="E954" s="2">
        <v>1264000206001</v>
      </c>
      <c r="F954" s="1" t="s">
        <v>29</v>
      </c>
      <c r="G954" s="1" t="s">
        <v>53</v>
      </c>
      <c r="H954" s="1" t="s">
        <v>351</v>
      </c>
      <c r="I954" s="1" t="s">
        <v>352</v>
      </c>
      <c r="J954" s="1" t="s">
        <v>110</v>
      </c>
      <c r="K954" t="s">
        <v>34</v>
      </c>
      <c r="M954" s="1" t="s">
        <v>35</v>
      </c>
      <c r="N954" s="1">
        <v>42318949</v>
      </c>
      <c r="O954" s="1" t="s">
        <v>105</v>
      </c>
      <c r="P954" s="186">
        <v>44932.477905092594</v>
      </c>
      <c r="R954" s="1" t="s">
        <v>38</v>
      </c>
      <c r="T954" s="1" t="s">
        <v>74</v>
      </c>
      <c r="U954" s="186">
        <v>44932.75</v>
      </c>
      <c r="V954" s="1" t="s">
        <v>41</v>
      </c>
      <c r="W954" s="1" t="s">
        <v>49</v>
      </c>
      <c r="Z954" s="14"/>
      <c r="AA954" s="14"/>
    </row>
    <row r="955" spans="1:27" hidden="1">
      <c r="A955" s="1">
        <v>9299700</v>
      </c>
      <c r="B955" s="1" t="s">
        <v>101</v>
      </c>
      <c r="C955" t="s">
        <v>1761</v>
      </c>
      <c r="E955" s="2">
        <v>1264000206001</v>
      </c>
      <c r="F955" s="1" t="s">
        <v>29</v>
      </c>
      <c r="G955" s="1" t="s">
        <v>53</v>
      </c>
      <c r="H955" s="1" t="s">
        <v>351</v>
      </c>
      <c r="I955" s="1" t="s">
        <v>352</v>
      </c>
      <c r="J955" s="1" t="s">
        <v>110</v>
      </c>
      <c r="K955" t="s">
        <v>34</v>
      </c>
      <c r="M955" s="1" t="s">
        <v>35</v>
      </c>
      <c r="N955" s="1">
        <v>42318949</v>
      </c>
      <c r="O955" s="1" t="s">
        <v>105</v>
      </c>
      <c r="P955" s="186">
        <v>44932.477905092594</v>
      </c>
      <c r="R955" s="1" t="s">
        <v>38</v>
      </c>
      <c r="T955" s="1" t="s">
        <v>74</v>
      </c>
      <c r="U955" s="186">
        <v>44932.75</v>
      </c>
      <c r="V955" s="1" t="s">
        <v>41</v>
      </c>
      <c r="W955" s="1" t="s">
        <v>49</v>
      </c>
      <c r="Z955" s="14"/>
      <c r="AA955" s="14"/>
    </row>
    <row r="956" spans="1:27" hidden="1">
      <c r="A956" s="1">
        <v>9299699</v>
      </c>
      <c r="B956" s="1" t="s">
        <v>101</v>
      </c>
      <c r="C956" t="s">
        <v>1761</v>
      </c>
      <c r="E956" s="2">
        <v>1264000206001</v>
      </c>
      <c r="F956" s="1" t="s">
        <v>29</v>
      </c>
      <c r="G956" s="1" t="s">
        <v>53</v>
      </c>
      <c r="H956" s="1" t="s">
        <v>351</v>
      </c>
      <c r="I956" s="1" t="s">
        <v>352</v>
      </c>
      <c r="J956" s="1" t="s">
        <v>110</v>
      </c>
      <c r="K956" t="s">
        <v>34</v>
      </c>
      <c r="M956" s="1" t="s">
        <v>35</v>
      </c>
      <c r="N956" s="1">
        <v>42318949</v>
      </c>
      <c r="O956" s="1" t="s">
        <v>105</v>
      </c>
      <c r="P956" s="186">
        <v>44932.477905092594</v>
      </c>
      <c r="R956" s="1" t="s">
        <v>38</v>
      </c>
      <c r="T956" s="1" t="s">
        <v>74</v>
      </c>
      <c r="U956" s="186">
        <v>44932.75</v>
      </c>
      <c r="V956" s="1" t="s">
        <v>41</v>
      </c>
      <c r="W956" s="1" t="s">
        <v>49</v>
      </c>
      <c r="Z956" s="14"/>
      <c r="AA956" s="14"/>
    </row>
    <row r="957" spans="1:27" hidden="1">
      <c r="A957" s="1">
        <v>9299638</v>
      </c>
      <c r="B957" s="1" t="s">
        <v>101</v>
      </c>
      <c r="C957" t="s">
        <v>1761</v>
      </c>
      <c r="E957" s="2">
        <v>1153000206001</v>
      </c>
      <c r="F957" s="1" t="s">
        <v>29</v>
      </c>
      <c r="G957" s="1" t="s">
        <v>53</v>
      </c>
      <c r="H957" s="1" t="s">
        <v>1031</v>
      </c>
      <c r="I957" s="1" t="s">
        <v>1032</v>
      </c>
      <c r="J957" s="1" t="s">
        <v>79</v>
      </c>
      <c r="K957" t="s">
        <v>34</v>
      </c>
      <c r="M957" s="1" t="s">
        <v>35</v>
      </c>
      <c r="N957" s="1">
        <v>42318949</v>
      </c>
      <c r="O957" s="1" t="s">
        <v>105</v>
      </c>
      <c r="P957" s="186">
        <v>44932.477824074071</v>
      </c>
      <c r="R957" s="1" t="s">
        <v>38</v>
      </c>
      <c r="T957" s="1" t="s">
        <v>74</v>
      </c>
      <c r="U957" s="186">
        <v>44932.75</v>
      </c>
      <c r="V957" s="1" t="s">
        <v>41</v>
      </c>
      <c r="W957" s="1" t="s">
        <v>49</v>
      </c>
      <c r="Z957" s="14"/>
      <c r="AA957" s="14"/>
    </row>
    <row r="958" spans="1:27" hidden="1">
      <c r="A958" s="1">
        <v>9299629</v>
      </c>
      <c r="B958" s="1" t="s">
        <v>101</v>
      </c>
      <c r="C958" t="s">
        <v>1761</v>
      </c>
      <c r="E958" s="2">
        <v>1120000206001</v>
      </c>
      <c r="F958" s="1" t="s">
        <v>29</v>
      </c>
      <c r="G958" s="1" t="s">
        <v>53</v>
      </c>
      <c r="H958" s="1" t="s">
        <v>181</v>
      </c>
      <c r="I958" s="1" t="s">
        <v>182</v>
      </c>
      <c r="J958" s="1" t="s">
        <v>164</v>
      </c>
      <c r="K958" t="s">
        <v>34</v>
      </c>
      <c r="M958" s="1" t="s">
        <v>35</v>
      </c>
      <c r="N958" s="1">
        <v>42318949</v>
      </c>
      <c r="O958" s="1" t="s">
        <v>105</v>
      </c>
      <c r="P958" s="186">
        <v>44932.477812500001</v>
      </c>
      <c r="R958" s="1" t="s">
        <v>38</v>
      </c>
      <c r="T958" s="1" t="s">
        <v>74</v>
      </c>
      <c r="U958" s="186">
        <v>44932.75</v>
      </c>
      <c r="V958" s="1" t="s">
        <v>41</v>
      </c>
      <c r="W958" s="1" t="s">
        <v>49</v>
      </c>
      <c r="Z958" s="14"/>
      <c r="AA958" s="14"/>
    </row>
    <row r="959" spans="1:27" hidden="1">
      <c r="A959" s="1">
        <v>9299628</v>
      </c>
      <c r="B959" s="1" t="s">
        <v>101</v>
      </c>
      <c r="C959" t="s">
        <v>1761</v>
      </c>
      <c r="E959" s="2">
        <v>1120000206001</v>
      </c>
      <c r="F959" s="1" t="s">
        <v>29</v>
      </c>
      <c r="G959" s="1" t="s">
        <v>53</v>
      </c>
      <c r="H959" s="1" t="s">
        <v>181</v>
      </c>
      <c r="I959" s="1" t="s">
        <v>182</v>
      </c>
      <c r="J959" s="1" t="s">
        <v>164</v>
      </c>
      <c r="K959" t="s">
        <v>34</v>
      </c>
      <c r="M959" s="1" t="s">
        <v>35</v>
      </c>
      <c r="N959" s="1">
        <v>42318949</v>
      </c>
      <c r="O959" s="1" t="s">
        <v>105</v>
      </c>
      <c r="P959" s="186">
        <v>44932.477800925924</v>
      </c>
      <c r="R959" s="1" t="s">
        <v>38</v>
      </c>
      <c r="T959" s="1" t="s">
        <v>74</v>
      </c>
      <c r="U959" s="186">
        <v>44932.75</v>
      </c>
      <c r="V959" s="1" t="s">
        <v>41</v>
      </c>
      <c r="W959" s="1" t="s">
        <v>49</v>
      </c>
      <c r="Z959" s="14"/>
      <c r="AA959" s="14"/>
    </row>
    <row r="960" spans="1:27" hidden="1">
      <c r="A960" s="1">
        <v>9299585</v>
      </c>
      <c r="B960" s="1" t="s">
        <v>101</v>
      </c>
      <c r="C960" t="s">
        <v>1761</v>
      </c>
      <c r="E960" s="2">
        <v>1060000206001</v>
      </c>
      <c r="F960" s="1" t="s">
        <v>29</v>
      </c>
      <c r="G960" s="1" t="s">
        <v>53</v>
      </c>
      <c r="H960" s="1" t="s">
        <v>284</v>
      </c>
      <c r="I960" s="1" t="s">
        <v>285</v>
      </c>
      <c r="J960" s="1" t="s">
        <v>148</v>
      </c>
      <c r="K960" t="s">
        <v>34</v>
      </c>
      <c r="M960" s="1" t="s">
        <v>35</v>
      </c>
      <c r="N960" s="1">
        <v>42318949</v>
      </c>
      <c r="O960" s="1" t="s">
        <v>105</v>
      </c>
      <c r="P960" s="186">
        <v>44932.477743055555</v>
      </c>
      <c r="R960" s="1" t="s">
        <v>38</v>
      </c>
      <c r="T960" s="1" t="s">
        <v>74</v>
      </c>
      <c r="U960" s="186">
        <v>44932.75</v>
      </c>
      <c r="V960" s="1" t="s">
        <v>41</v>
      </c>
      <c r="W960" s="1" t="s">
        <v>49</v>
      </c>
      <c r="Z960" s="14"/>
      <c r="AA960" s="14"/>
    </row>
    <row r="961" spans="1:27" hidden="1">
      <c r="A961" s="1">
        <v>9299584</v>
      </c>
      <c r="B961" s="1" t="s">
        <v>101</v>
      </c>
      <c r="C961" t="s">
        <v>1761</v>
      </c>
      <c r="E961" s="2">
        <v>1060000206001</v>
      </c>
      <c r="F961" s="1" t="s">
        <v>29</v>
      </c>
      <c r="G961" s="1" t="s">
        <v>53</v>
      </c>
      <c r="H961" s="1" t="s">
        <v>284</v>
      </c>
      <c r="I961" s="1" t="s">
        <v>285</v>
      </c>
      <c r="J961" s="1" t="s">
        <v>148</v>
      </c>
      <c r="K961" t="s">
        <v>34</v>
      </c>
      <c r="M961" s="1" t="s">
        <v>35</v>
      </c>
      <c r="N961" s="1">
        <v>42318949</v>
      </c>
      <c r="O961" s="1" t="s">
        <v>105</v>
      </c>
      <c r="P961" s="186">
        <v>44932.477743055555</v>
      </c>
      <c r="R961" s="1" t="s">
        <v>38</v>
      </c>
      <c r="T961" s="1" t="s">
        <v>74</v>
      </c>
      <c r="U961" s="186">
        <v>44932.75</v>
      </c>
      <c r="V961" s="1" t="s">
        <v>41</v>
      </c>
      <c r="W961" s="1" t="s">
        <v>49</v>
      </c>
      <c r="Z961" s="14"/>
      <c r="AA961" s="14"/>
    </row>
    <row r="962" spans="1:27" hidden="1">
      <c r="A962" s="1">
        <v>9299582</v>
      </c>
      <c r="B962" s="1" t="s">
        <v>101</v>
      </c>
      <c r="C962" t="s">
        <v>1761</v>
      </c>
      <c r="E962" s="2">
        <v>1059000206001</v>
      </c>
      <c r="F962" s="1" t="s">
        <v>29</v>
      </c>
      <c r="G962" s="1" t="s">
        <v>53</v>
      </c>
      <c r="H962" s="1" t="s">
        <v>88</v>
      </c>
      <c r="I962" s="1" t="s">
        <v>89</v>
      </c>
      <c r="J962" s="1" t="s">
        <v>90</v>
      </c>
      <c r="K962" t="s">
        <v>34</v>
      </c>
      <c r="M962" s="1" t="s">
        <v>35</v>
      </c>
      <c r="N962" s="1">
        <v>42318949</v>
      </c>
      <c r="O962" s="1" t="s">
        <v>105</v>
      </c>
      <c r="P962" s="186">
        <v>44932.477743055555</v>
      </c>
      <c r="R962" s="1" t="s">
        <v>38</v>
      </c>
      <c r="T962" s="1" t="s">
        <v>74</v>
      </c>
      <c r="U962" s="186">
        <v>44932.75</v>
      </c>
      <c r="V962" s="1" t="s">
        <v>41</v>
      </c>
      <c r="W962" s="1" t="s">
        <v>49</v>
      </c>
      <c r="Z962" s="14"/>
      <c r="AA962" s="14"/>
    </row>
    <row r="963" spans="1:27" hidden="1">
      <c r="A963" s="1">
        <v>9299581</v>
      </c>
      <c r="B963" s="1" t="s">
        <v>101</v>
      </c>
      <c r="C963" t="s">
        <v>1761</v>
      </c>
      <c r="E963" s="2">
        <v>1058000206001</v>
      </c>
      <c r="F963" s="1" t="s">
        <v>29</v>
      </c>
      <c r="G963" s="1" t="s">
        <v>53</v>
      </c>
      <c r="H963" s="1" t="s">
        <v>289</v>
      </c>
      <c r="I963" s="1" t="s">
        <v>290</v>
      </c>
      <c r="J963" s="1" t="s">
        <v>56</v>
      </c>
      <c r="K963" t="s">
        <v>34</v>
      </c>
      <c r="M963" s="1" t="s">
        <v>35</v>
      </c>
      <c r="N963" s="1">
        <v>42318949</v>
      </c>
      <c r="O963" s="1" t="s">
        <v>105</v>
      </c>
      <c r="P963" s="186">
        <v>44932.477743055555</v>
      </c>
      <c r="R963" s="1" t="s">
        <v>38</v>
      </c>
      <c r="T963" s="1" t="s">
        <v>74</v>
      </c>
      <c r="U963" s="186">
        <v>44932.75</v>
      </c>
      <c r="V963" s="1" t="s">
        <v>41</v>
      </c>
      <c r="W963" s="1" t="s">
        <v>49</v>
      </c>
      <c r="Z963" s="14"/>
      <c r="AA963" s="14"/>
    </row>
    <row r="964" spans="1:27" hidden="1">
      <c r="A964" s="1">
        <v>9299580</v>
      </c>
      <c r="B964" s="1" t="s">
        <v>101</v>
      </c>
      <c r="C964" t="s">
        <v>1761</v>
      </c>
      <c r="E964" s="2">
        <v>1058000206001</v>
      </c>
      <c r="F964" s="1" t="s">
        <v>29</v>
      </c>
      <c r="G964" s="1" t="s">
        <v>53</v>
      </c>
      <c r="H964" s="1" t="s">
        <v>289</v>
      </c>
      <c r="I964" s="1" t="s">
        <v>290</v>
      </c>
      <c r="J964" s="1" t="s">
        <v>56</v>
      </c>
      <c r="K964" t="s">
        <v>34</v>
      </c>
      <c r="M964" s="1" t="s">
        <v>35</v>
      </c>
      <c r="N964" s="1">
        <v>42318949</v>
      </c>
      <c r="O964" s="1" t="s">
        <v>105</v>
      </c>
      <c r="P964" s="186">
        <v>44932.477743055555</v>
      </c>
      <c r="R964" s="1" t="s">
        <v>38</v>
      </c>
      <c r="T964" s="1" t="s">
        <v>74</v>
      </c>
      <c r="U964" s="186">
        <v>44932.75</v>
      </c>
      <c r="V964" s="1" t="s">
        <v>41</v>
      </c>
      <c r="W964" s="1" t="s">
        <v>49</v>
      </c>
      <c r="Z964" s="14"/>
      <c r="AA964" s="14"/>
    </row>
    <row r="965" spans="1:27" hidden="1">
      <c r="A965" s="1">
        <v>9299579</v>
      </c>
      <c r="B965" s="1" t="s">
        <v>101</v>
      </c>
      <c r="C965" t="s">
        <v>1761</v>
      </c>
      <c r="E965" s="2">
        <v>1058000206001</v>
      </c>
      <c r="F965" s="1" t="s">
        <v>29</v>
      </c>
      <c r="G965" s="1" t="s">
        <v>53</v>
      </c>
      <c r="H965" s="1" t="s">
        <v>289</v>
      </c>
      <c r="I965" s="1" t="s">
        <v>290</v>
      </c>
      <c r="J965" s="1" t="s">
        <v>56</v>
      </c>
      <c r="K965" t="s">
        <v>34</v>
      </c>
      <c r="M965" s="1" t="s">
        <v>35</v>
      </c>
      <c r="N965" s="1">
        <v>42318949</v>
      </c>
      <c r="O965" s="1" t="s">
        <v>105</v>
      </c>
      <c r="P965" s="186">
        <v>44932.477743055555</v>
      </c>
      <c r="R965" s="1" t="s">
        <v>38</v>
      </c>
      <c r="T965" s="1" t="s">
        <v>74</v>
      </c>
      <c r="U965" s="186">
        <v>44932.75</v>
      </c>
      <c r="V965" s="1" t="s">
        <v>41</v>
      </c>
      <c r="W965" s="1" t="s">
        <v>49</v>
      </c>
      <c r="Z965" s="14"/>
      <c r="AA965" s="14"/>
    </row>
    <row r="966" spans="1:27" hidden="1">
      <c r="A966" s="1">
        <v>9299578</v>
      </c>
      <c r="B966" s="1" t="s">
        <v>101</v>
      </c>
      <c r="C966" t="s">
        <v>1761</v>
      </c>
      <c r="E966" s="2">
        <v>1058000206001</v>
      </c>
      <c r="F966" s="1" t="s">
        <v>29</v>
      </c>
      <c r="G966" s="1" t="s">
        <v>53</v>
      </c>
      <c r="H966" s="1" t="s">
        <v>289</v>
      </c>
      <c r="I966" s="1" t="s">
        <v>290</v>
      </c>
      <c r="J966" s="1" t="s">
        <v>56</v>
      </c>
      <c r="K966" t="s">
        <v>34</v>
      </c>
      <c r="M966" s="1" t="s">
        <v>35</v>
      </c>
      <c r="N966" s="1">
        <v>42318949</v>
      </c>
      <c r="O966" s="1" t="s">
        <v>105</v>
      </c>
      <c r="P966" s="186">
        <v>44932.477743055555</v>
      </c>
      <c r="R966" s="1" t="s">
        <v>38</v>
      </c>
      <c r="T966" s="1" t="s">
        <v>74</v>
      </c>
      <c r="U966" s="186">
        <v>44932.75</v>
      </c>
      <c r="V966" s="1" t="s">
        <v>41</v>
      </c>
      <c r="W966" s="1" t="s">
        <v>49</v>
      </c>
      <c r="Z966" s="14"/>
      <c r="AA966" s="14"/>
    </row>
    <row r="967" spans="1:27" hidden="1">
      <c r="A967" s="1">
        <v>9299577</v>
      </c>
      <c r="B967" s="1" t="s">
        <v>101</v>
      </c>
      <c r="C967" t="s">
        <v>1761</v>
      </c>
      <c r="E967" s="2">
        <v>1058000206001</v>
      </c>
      <c r="F967" s="1" t="s">
        <v>29</v>
      </c>
      <c r="G967" s="1" t="s">
        <v>53</v>
      </c>
      <c r="H967" s="1" t="s">
        <v>289</v>
      </c>
      <c r="I967" s="1" t="s">
        <v>290</v>
      </c>
      <c r="J967" s="1" t="s">
        <v>56</v>
      </c>
      <c r="K967" t="s">
        <v>34</v>
      </c>
      <c r="M967" s="1" t="s">
        <v>35</v>
      </c>
      <c r="N967" s="1">
        <v>42318949</v>
      </c>
      <c r="O967" s="1" t="s">
        <v>105</v>
      </c>
      <c r="P967" s="186">
        <v>44932.477743055555</v>
      </c>
      <c r="R967" s="1" t="s">
        <v>38</v>
      </c>
      <c r="T967" s="1" t="s">
        <v>74</v>
      </c>
      <c r="U967" s="186">
        <v>44932.75</v>
      </c>
      <c r="V967" s="1" t="s">
        <v>41</v>
      </c>
      <c r="W967" s="1" t="s">
        <v>49</v>
      </c>
      <c r="Z967" s="14"/>
      <c r="AA967" s="14"/>
    </row>
    <row r="968" spans="1:27" hidden="1">
      <c r="A968" s="1">
        <v>9299576</v>
      </c>
      <c r="B968" s="1" t="s">
        <v>101</v>
      </c>
      <c r="C968" t="s">
        <v>1761</v>
      </c>
      <c r="E968" s="2">
        <v>1058000206001</v>
      </c>
      <c r="F968" s="1" t="s">
        <v>29</v>
      </c>
      <c r="G968" s="1" t="s">
        <v>53</v>
      </c>
      <c r="H968" s="1" t="s">
        <v>289</v>
      </c>
      <c r="I968" s="1" t="s">
        <v>290</v>
      </c>
      <c r="J968" s="1" t="s">
        <v>56</v>
      </c>
      <c r="K968" t="s">
        <v>34</v>
      </c>
      <c r="M968" s="1" t="s">
        <v>35</v>
      </c>
      <c r="N968" s="1">
        <v>42318949</v>
      </c>
      <c r="O968" s="1" t="s">
        <v>105</v>
      </c>
      <c r="P968" s="186">
        <v>44932.477731481478</v>
      </c>
      <c r="R968" s="1" t="s">
        <v>38</v>
      </c>
      <c r="T968" s="1" t="s">
        <v>74</v>
      </c>
      <c r="U968" s="186">
        <v>44932.75</v>
      </c>
      <c r="V968" s="1" t="s">
        <v>41</v>
      </c>
      <c r="W968" s="1" t="s">
        <v>49</v>
      </c>
      <c r="Z968" s="14"/>
      <c r="AA968" s="14"/>
    </row>
    <row r="969" spans="1:27" hidden="1">
      <c r="A969" s="1">
        <v>9299572</v>
      </c>
      <c r="B969" s="1" t="s">
        <v>101</v>
      </c>
      <c r="C969" t="s">
        <v>1761</v>
      </c>
      <c r="E969" s="2">
        <v>1052000206001</v>
      </c>
      <c r="F969" s="1" t="s">
        <v>29</v>
      </c>
      <c r="G969" s="1" t="s">
        <v>53</v>
      </c>
      <c r="H969" s="1" t="s">
        <v>329</v>
      </c>
      <c r="I969" s="1" t="s">
        <v>330</v>
      </c>
      <c r="J969" s="1" t="s">
        <v>79</v>
      </c>
      <c r="K969" t="s">
        <v>34</v>
      </c>
      <c r="M969" s="1" t="s">
        <v>35</v>
      </c>
      <c r="N969" s="1">
        <v>42318949</v>
      </c>
      <c r="O969" s="1" t="s">
        <v>105</v>
      </c>
      <c r="P969" s="186">
        <v>44932.477731481478</v>
      </c>
      <c r="R969" s="1" t="s">
        <v>38</v>
      </c>
      <c r="T969" s="1" t="s">
        <v>74</v>
      </c>
      <c r="U969" s="186">
        <v>44932.75</v>
      </c>
      <c r="V969" s="1" t="s">
        <v>41</v>
      </c>
      <c r="W969" s="1" t="s">
        <v>49</v>
      </c>
      <c r="Z969" s="14"/>
      <c r="AA969" s="14"/>
    </row>
    <row r="970" spans="1:27" hidden="1">
      <c r="A970" s="1">
        <v>9299571</v>
      </c>
      <c r="B970" s="1" t="s">
        <v>101</v>
      </c>
      <c r="C970" t="s">
        <v>1761</v>
      </c>
      <c r="E970" s="2">
        <v>1052000206001</v>
      </c>
      <c r="F970" s="1" t="s">
        <v>29</v>
      </c>
      <c r="G970" s="1" t="s">
        <v>53</v>
      </c>
      <c r="H970" s="1" t="s">
        <v>329</v>
      </c>
      <c r="I970" s="1" t="s">
        <v>330</v>
      </c>
      <c r="J970" s="1" t="s">
        <v>79</v>
      </c>
      <c r="K970" t="s">
        <v>34</v>
      </c>
      <c r="M970" s="1" t="s">
        <v>35</v>
      </c>
      <c r="N970" s="1">
        <v>42318949</v>
      </c>
      <c r="O970" s="1" t="s">
        <v>105</v>
      </c>
      <c r="P970" s="186">
        <v>44932.477731481478</v>
      </c>
      <c r="R970" s="1" t="s">
        <v>38</v>
      </c>
      <c r="T970" s="1" t="s">
        <v>74</v>
      </c>
      <c r="U970" s="186">
        <v>44932.75</v>
      </c>
      <c r="V970" s="1" t="s">
        <v>41</v>
      </c>
      <c r="W970" s="1" t="s">
        <v>49</v>
      </c>
      <c r="Z970" s="14"/>
      <c r="AA970" s="14"/>
    </row>
    <row r="971" spans="1:27" hidden="1">
      <c r="A971" s="1">
        <v>9299552</v>
      </c>
      <c r="B971" s="1" t="s">
        <v>101</v>
      </c>
      <c r="C971" t="s">
        <v>1761</v>
      </c>
      <c r="E971" s="2">
        <v>1011000206001</v>
      </c>
      <c r="F971" s="1" t="s">
        <v>29</v>
      </c>
      <c r="G971" s="1" t="s">
        <v>53</v>
      </c>
      <c r="H971" s="1" t="s">
        <v>272</v>
      </c>
      <c r="I971" s="1" t="s">
        <v>273</v>
      </c>
      <c r="J971" s="1" t="s">
        <v>33</v>
      </c>
      <c r="K971" t="s">
        <v>34</v>
      </c>
      <c r="M971" s="1" t="s">
        <v>35</v>
      </c>
      <c r="N971" s="1">
        <v>42318949</v>
      </c>
      <c r="O971" s="1" t="s">
        <v>105</v>
      </c>
      <c r="P971" s="186">
        <v>44932.477708333332</v>
      </c>
      <c r="R971" s="1" t="s">
        <v>38</v>
      </c>
      <c r="T971" s="1" t="s">
        <v>74</v>
      </c>
      <c r="U971" s="186">
        <v>44932.75</v>
      </c>
      <c r="V971" s="1" t="s">
        <v>41</v>
      </c>
      <c r="W971" s="1" t="s">
        <v>49</v>
      </c>
      <c r="Z971" s="14"/>
      <c r="AA971" s="14"/>
    </row>
    <row r="972" spans="1:27" hidden="1">
      <c r="A972" s="1">
        <v>9299516</v>
      </c>
      <c r="B972" s="1" t="s">
        <v>101</v>
      </c>
      <c r="C972" t="s">
        <v>1761</v>
      </c>
      <c r="E972" s="2">
        <v>981000206001</v>
      </c>
      <c r="F972" s="1" t="s">
        <v>29</v>
      </c>
      <c r="G972" s="1" t="s">
        <v>53</v>
      </c>
      <c r="H972" s="1" t="s">
        <v>410</v>
      </c>
      <c r="I972" s="1" t="s">
        <v>411</v>
      </c>
      <c r="J972" s="1" t="s">
        <v>85</v>
      </c>
      <c r="K972" t="s">
        <v>34</v>
      </c>
      <c r="M972" s="1" t="s">
        <v>35</v>
      </c>
      <c r="N972" s="1">
        <v>42318949</v>
      </c>
      <c r="O972" s="1" t="s">
        <v>105</v>
      </c>
      <c r="P972" s="186">
        <v>44932.477662037039</v>
      </c>
      <c r="R972" s="1" t="s">
        <v>38</v>
      </c>
      <c r="T972" s="1" t="s">
        <v>74</v>
      </c>
      <c r="U972" s="186">
        <v>44932.75</v>
      </c>
      <c r="V972" s="1" t="s">
        <v>41</v>
      </c>
      <c r="W972" s="1" t="s">
        <v>49</v>
      </c>
      <c r="Z972" s="14"/>
      <c r="AA972" s="14"/>
    </row>
    <row r="973" spans="1:27" hidden="1">
      <c r="A973" s="1">
        <v>9299457</v>
      </c>
      <c r="B973" s="1" t="s">
        <v>101</v>
      </c>
      <c r="C973" t="s">
        <v>1761</v>
      </c>
      <c r="E973" s="2">
        <v>917000206001</v>
      </c>
      <c r="F973" s="1" t="s">
        <v>29</v>
      </c>
      <c r="G973" s="1" t="s">
        <v>53</v>
      </c>
      <c r="H973" s="1" t="s">
        <v>83</v>
      </c>
      <c r="I973" s="1" t="s">
        <v>84</v>
      </c>
      <c r="J973" s="1" t="s">
        <v>85</v>
      </c>
      <c r="K973" t="s">
        <v>34</v>
      </c>
      <c r="M973" s="1" t="s">
        <v>35</v>
      </c>
      <c r="N973" s="1">
        <v>42318949</v>
      </c>
      <c r="O973" s="1" t="s">
        <v>105</v>
      </c>
      <c r="P973" s="186">
        <v>44932.477581018517</v>
      </c>
      <c r="R973" s="1" t="s">
        <v>38</v>
      </c>
      <c r="T973" s="1" t="s">
        <v>74</v>
      </c>
      <c r="U973" s="186">
        <v>44932.75</v>
      </c>
      <c r="V973" s="1" t="s">
        <v>41</v>
      </c>
      <c r="W973" s="1" t="s">
        <v>49</v>
      </c>
      <c r="Z973" s="14"/>
      <c r="AA973" s="14"/>
    </row>
    <row r="974" spans="1:27" hidden="1">
      <c r="A974" s="1">
        <v>9299432</v>
      </c>
      <c r="B974" s="1" t="s">
        <v>101</v>
      </c>
      <c r="C974" t="s">
        <v>1761</v>
      </c>
      <c r="E974" s="2">
        <v>834000206001</v>
      </c>
      <c r="F974" s="1" t="s">
        <v>29</v>
      </c>
      <c r="G974" s="1" t="s">
        <v>53</v>
      </c>
      <c r="H974" s="1" t="s">
        <v>367</v>
      </c>
      <c r="I974" s="1" t="s">
        <v>368</v>
      </c>
      <c r="J974" s="1" t="s">
        <v>261</v>
      </c>
      <c r="K974" t="s">
        <v>34</v>
      </c>
      <c r="M974" s="1" t="s">
        <v>35</v>
      </c>
      <c r="N974" s="1">
        <v>42318949</v>
      </c>
      <c r="O974" s="1" t="s">
        <v>105</v>
      </c>
      <c r="P974" s="186">
        <v>44932.477546296293</v>
      </c>
      <c r="R974" s="1" t="s">
        <v>38</v>
      </c>
      <c r="T974" s="1" t="s">
        <v>74</v>
      </c>
      <c r="U974" s="186">
        <v>44932.75</v>
      </c>
      <c r="V974" s="1" t="s">
        <v>41</v>
      </c>
      <c r="W974" s="1" t="s">
        <v>49</v>
      </c>
      <c r="Z974" s="14"/>
      <c r="AA974" s="14"/>
    </row>
    <row r="975" spans="1:27" hidden="1">
      <c r="A975" s="1">
        <v>9299374</v>
      </c>
      <c r="B975" s="1" t="s">
        <v>101</v>
      </c>
      <c r="C975" t="s">
        <v>1761</v>
      </c>
      <c r="E975" s="2">
        <v>711000206001</v>
      </c>
      <c r="F975" s="1" t="s">
        <v>29</v>
      </c>
      <c r="G975" s="1" t="s">
        <v>53</v>
      </c>
      <c r="H975" s="1" t="s">
        <v>77</v>
      </c>
      <c r="I975" s="1" t="s">
        <v>78</v>
      </c>
      <c r="J975" s="1" t="s">
        <v>79</v>
      </c>
      <c r="K975" t="s">
        <v>34</v>
      </c>
      <c r="M975" s="1" t="s">
        <v>35</v>
      </c>
      <c r="N975" s="1">
        <v>42318949</v>
      </c>
      <c r="O975" s="1" t="s">
        <v>105</v>
      </c>
      <c r="P975" s="186">
        <v>44932.477465277778</v>
      </c>
      <c r="R975" s="1" t="s">
        <v>38</v>
      </c>
      <c r="T975" s="1" t="s">
        <v>74</v>
      </c>
      <c r="U975" s="186">
        <v>44932.75</v>
      </c>
      <c r="V975" s="1" t="s">
        <v>41</v>
      </c>
      <c r="W975" s="1" t="s">
        <v>49</v>
      </c>
      <c r="Z975" s="14"/>
      <c r="AA975" s="14"/>
    </row>
    <row r="976" spans="1:27" hidden="1">
      <c r="A976" s="1">
        <v>9299373</v>
      </c>
      <c r="B976" s="1" t="s">
        <v>101</v>
      </c>
      <c r="C976" t="s">
        <v>1761</v>
      </c>
      <c r="E976" s="2">
        <v>711000206001</v>
      </c>
      <c r="F976" s="1" t="s">
        <v>29</v>
      </c>
      <c r="G976" s="1" t="s">
        <v>53</v>
      </c>
      <c r="H976" s="1" t="s">
        <v>77</v>
      </c>
      <c r="I976" s="1" t="s">
        <v>78</v>
      </c>
      <c r="J976" s="1" t="s">
        <v>79</v>
      </c>
      <c r="K976" t="s">
        <v>34</v>
      </c>
      <c r="M976" s="1" t="s">
        <v>35</v>
      </c>
      <c r="N976" s="1">
        <v>42318949</v>
      </c>
      <c r="O976" s="1" t="s">
        <v>105</v>
      </c>
      <c r="P976" s="186">
        <v>44932.477465277778</v>
      </c>
      <c r="R976" s="1" t="s">
        <v>38</v>
      </c>
      <c r="T976" s="1" t="s">
        <v>74</v>
      </c>
      <c r="U976" s="186">
        <v>44932.75</v>
      </c>
      <c r="V976" s="1" t="s">
        <v>41</v>
      </c>
      <c r="W976" s="1" t="s">
        <v>49</v>
      </c>
      <c r="Z976" s="14"/>
      <c r="AA976" s="14"/>
    </row>
    <row r="977" spans="1:27" hidden="1">
      <c r="A977" s="1">
        <v>9299372</v>
      </c>
      <c r="B977" s="1" t="s">
        <v>101</v>
      </c>
      <c r="C977" t="s">
        <v>1761</v>
      </c>
      <c r="E977" s="2">
        <v>711000206001</v>
      </c>
      <c r="F977" s="1" t="s">
        <v>29</v>
      </c>
      <c r="G977" s="1" t="s">
        <v>53</v>
      </c>
      <c r="H977" s="1" t="s">
        <v>77</v>
      </c>
      <c r="I977" s="1" t="s">
        <v>78</v>
      </c>
      <c r="J977" s="1" t="s">
        <v>79</v>
      </c>
      <c r="K977" t="s">
        <v>34</v>
      </c>
      <c r="M977" s="1" t="s">
        <v>35</v>
      </c>
      <c r="N977" s="1">
        <v>42318949</v>
      </c>
      <c r="O977" s="1" t="s">
        <v>105</v>
      </c>
      <c r="P977" s="186">
        <v>44932.477465277778</v>
      </c>
      <c r="R977" s="1" t="s">
        <v>38</v>
      </c>
      <c r="T977" s="1" t="s">
        <v>74</v>
      </c>
      <c r="U977" s="186">
        <v>44932.75</v>
      </c>
      <c r="V977" s="1" t="s">
        <v>41</v>
      </c>
      <c r="W977" s="1" t="s">
        <v>49</v>
      </c>
      <c r="Z977" s="14"/>
      <c r="AA977" s="14"/>
    </row>
    <row r="978" spans="1:27" hidden="1">
      <c r="A978" s="1">
        <v>9299371</v>
      </c>
      <c r="B978" s="1" t="s">
        <v>101</v>
      </c>
      <c r="C978" t="s">
        <v>1761</v>
      </c>
      <c r="E978" s="2">
        <v>711000206001</v>
      </c>
      <c r="F978" s="1" t="s">
        <v>29</v>
      </c>
      <c r="G978" s="1" t="s">
        <v>53</v>
      </c>
      <c r="H978" s="1" t="s">
        <v>77</v>
      </c>
      <c r="I978" s="1" t="s">
        <v>78</v>
      </c>
      <c r="J978" s="1" t="s">
        <v>79</v>
      </c>
      <c r="K978" t="s">
        <v>34</v>
      </c>
      <c r="M978" s="1" t="s">
        <v>35</v>
      </c>
      <c r="N978" s="1">
        <v>42318949</v>
      </c>
      <c r="O978" s="1" t="s">
        <v>105</v>
      </c>
      <c r="P978" s="186">
        <v>44932.477465277778</v>
      </c>
      <c r="R978" s="1" t="s">
        <v>38</v>
      </c>
      <c r="T978" s="1" t="s">
        <v>74</v>
      </c>
      <c r="U978" s="186">
        <v>44932.75</v>
      </c>
      <c r="V978" s="1" t="s">
        <v>41</v>
      </c>
      <c r="W978" s="1" t="s">
        <v>49</v>
      </c>
      <c r="Z978" s="14"/>
      <c r="AA978" s="14"/>
    </row>
    <row r="979" spans="1:27" hidden="1">
      <c r="A979" s="1">
        <v>9299370</v>
      </c>
      <c r="B979" s="1" t="s">
        <v>101</v>
      </c>
      <c r="C979" t="s">
        <v>1761</v>
      </c>
      <c r="E979" s="2">
        <v>711000206001</v>
      </c>
      <c r="F979" s="1" t="s">
        <v>29</v>
      </c>
      <c r="G979" s="1" t="s">
        <v>53</v>
      </c>
      <c r="H979" s="1" t="s">
        <v>77</v>
      </c>
      <c r="I979" s="1" t="s">
        <v>78</v>
      </c>
      <c r="J979" s="1" t="s">
        <v>79</v>
      </c>
      <c r="K979" t="s">
        <v>34</v>
      </c>
      <c r="M979" s="1" t="s">
        <v>35</v>
      </c>
      <c r="N979" s="1">
        <v>42318949</v>
      </c>
      <c r="O979" s="1" t="s">
        <v>105</v>
      </c>
      <c r="P979" s="186">
        <v>44932.477465277778</v>
      </c>
      <c r="R979" s="1" t="s">
        <v>38</v>
      </c>
      <c r="T979" s="1" t="s">
        <v>74</v>
      </c>
      <c r="U979" s="186">
        <v>44932.75</v>
      </c>
      <c r="V979" s="1" t="s">
        <v>41</v>
      </c>
      <c r="W979" s="1" t="s">
        <v>49</v>
      </c>
      <c r="Z979" s="14"/>
      <c r="AA979" s="14"/>
    </row>
    <row r="980" spans="1:27" hidden="1">
      <c r="A980" s="1">
        <v>9299369</v>
      </c>
      <c r="B980" s="1" t="s">
        <v>101</v>
      </c>
      <c r="C980" t="s">
        <v>1761</v>
      </c>
      <c r="E980" s="2">
        <v>710000206001</v>
      </c>
      <c r="F980" s="1" t="s">
        <v>29</v>
      </c>
      <c r="G980" s="1" t="s">
        <v>53</v>
      </c>
      <c r="H980" s="1" t="s">
        <v>390</v>
      </c>
      <c r="I980" s="1" t="s">
        <v>391</v>
      </c>
      <c r="J980" s="1" t="s">
        <v>56</v>
      </c>
      <c r="K980" t="s">
        <v>34</v>
      </c>
      <c r="M980" s="1" t="s">
        <v>35</v>
      </c>
      <c r="N980" s="1">
        <v>42318949</v>
      </c>
      <c r="O980" s="1" t="s">
        <v>105</v>
      </c>
      <c r="P980" s="186">
        <v>44932.477465277778</v>
      </c>
      <c r="R980" s="1" t="s">
        <v>38</v>
      </c>
      <c r="T980" s="1" t="s">
        <v>74</v>
      </c>
      <c r="U980" s="186">
        <v>44932.75</v>
      </c>
      <c r="V980" s="1" t="s">
        <v>41</v>
      </c>
      <c r="W980" s="1" t="s">
        <v>49</v>
      </c>
      <c r="Z980" s="14"/>
      <c r="AA980" s="14"/>
    </row>
    <row r="981" spans="1:27" hidden="1">
      <c r="A981" s="1">
        <v>9299368</v>
      </c>
      <c r="B981" s="1" t="s">
        <v>101</v>
      </c>
      <c r="C981" t="s">
        <v>1761</v>
      </c>
      <c r="E981" s="2">
        <v>710000206001</v>
      </c>
      <c r="F981" s="1" t="s">
        <v>29</v>
      </c>
      <c r="G981" s="1" t="s">
        <v>53</v>
      </c>
      <c r="H981" s="1" t="s">
        <v>390</v>
      </c>
      <c r="I981" s="1" t="s">
        <v>391</v>
      </c>
      <c r="J981" s="1" t="s">
        <v>56</v>
      </c>
      <c r="K981" t="s">
        <v>34</v>
      </c>
      <c r="M981" s="1" t="s">
        <v>35</v>
      </c>
      <c r="N981" s="1">
        <v>42318949</v>
      </c>
      <c r="O981" s="1" t="s">
        <v>105</v>
      </c>
      <c r="P981" s="186">
        <v>44932.477465277778</v>
      </c>
      <c r="R981" s="1" t="s">
        <v>38</v>
      </c>
      <c r="T981" s="1" t="s">
        <v>74</v>
      </c>
      <c r="U981" s="186">
        <v>44932.75</v>
      </c>
      <c r="V981" s="1" t="s">
        <v>41</v>
      </c>
      <c r="W981" s="1" t="s">
        <v>49</v>
      </c>
      <c r="Z981" s="14"/>
      <c r="AA981" s="14"/>
    </row>
    <row r="982" spans="1:27" hidden="1">
      <c r="A982" s="1">
        <v>9299367</v>
      </c>
      <c r="B982" s="1" t="s">
        <v>101</v>
      </c>
      <c r="C982" t="s">
        <v>1761</v>
      </c>
      <c r="E982" s="2">
        <v>710000206001</v>
      </c>
      <c r="F982" s="1" t="s">
        <v>29</v>
      </c>
      <c r="G982" s="1" t="s">
        <v>53</v>
      </c>
      <c r="H982" s="1" t="s">
        <v>390</v>
      </c>
      <c r="I982" s="1" t="s">
        <v>391</v>
      </c>
      <c r="J982" s="1" t="s">
        <v>56</v>
      </c>
      <c r="K982" t="s">
        <v>34</v>
      </c>
      <c r="M982" s="1" t="s">
        <v>35</v>
      </c>
      <c r="N982" s="1">
        <v>42318949</v>
      </c>
      <c r="O982" s="1" t="s">
        <v>105</v>
      </c>
      <c r="P982" s="186">
        <v>44932.477465277778</v>
      </c>
      <c r="R982" s="1" t="s">
        <v>38</v>
      </c>
      <c r="T982" s="1" t="s">
        <v>74</v>
      </c>
      <c r="U982" s="186">
        <v>44932.75</v>
      </c>
      <c r="V982" s="1" t="s">
        <v>41</v>
      </c>
      <c r="W982" s="1" t="s">
        <v>49</v>
      </c>
      <c r="Z982" s="14"/>
      <c r="AA982" s="14"/>
    </row>
    <row r="983" spans="1:27" hidden="1">
      <c r="A983" s="1">
        <v>9299366</v>
      </c>
      <c r="B983" s="1" t="s">
        <v>101</v>
      </c>
      <c r="C983" t="s">
        <v>1761</v>
      </c>
      <c r="E983" s="2">
        <v>710000206001</v>
      </c>
      <c r="F983" s="1" t="s">
        <v>29</v>
      </c>
      <c r="G983" s="1" t="s">
        <v>53</v>
      </c>
      <c r="H983" s="1" t="s">
        <v>390</v>
      </c>
      <c r="I983" s="1" t="s">
        <v>391</v>
      </c>
      <c r="J983" s="1" t="s">
        <v>56</v>
      </c>
      <c r="K983" t="s">
        <v>34</v>
      </c>
      <c r="M983" s="1" t="s">
        <v>35</v>
      </c>
      <c r="N983" s="1">
        <v>42318949</v>
      </c>
      <c r="O983" s="1" t="s">
        <v>36</v>
      </c>
      <c r="P983" s="186">
        <v>44932.477465277778</v>
      </c>
      <c r="R983" s="1" t="s">
        <v>38</v>
      </c>
      <c r="T983" s="1" t="s">
        <v>74</v>
      </c>
      <c r="U983" s="186">
        <v>44932.75</v>
      </c>
      <c r="V983" s="1" t="s">
        <v>41</v>
      </c>
      <c r="W983" s="1" t="s">
        <v>49</v>
      </c>
      <c r="Z983" s="14"/>
      <c r="AA983" s="14"/>
    </row>
    <row r="984" spans="1:27" hidden="1">
      <c r="A984" s="1">
        <v>9299314</v>
      </c>
      <c r="B984" s="1" t="s">
        <v>101</v>
      </c>
      <c r="C984" t="s">
        <v>1761</v>
      </c>
      <c r="E984" s="2">
        <v>608000206001</v>
      </c>
      <c r="F984" s="1" t="s">
        <v>29</v>
      </c>
      <c r="G984" s="1" t="s">
        <v>53</v>
      </c>
      <c r="H984" s="1" t="s">
        <v>438</v>
      </c>
      <c r="I984" s="1" t="s">
        <v>439</v>
      </c>
      <c r="J984" s="1" t="s">
        <v>148</v>
      </c>
      <c r="K984" t="s">
        <v>34</v>
      </c>
      <c r="M984" s="1" t="s">
        <v>35</v>
      </c>
      <c r="N984" s="1">
        <v>42318949</v>
      </c>
      <c r="O984" s="1" t="s">
        <v>105</v>
      </c>
      <c r="P984" s="186">
        <v>44932.477384259262</v>
      </c>
      <c r="R984" s="1" t="s">
        <v>38</v>
      </c>
      <c r="T984" s="1" t="s">
        <v>74</v>
      </c>
      <c r="U984" s="186">
        <v>44932.75</v>
      </c>
      <c r="V984" s="1" t="s">
        <v>41</v>
      </c>
      <c r="W984" s="1" t="s">
        <v>49</v>
      </c>
      <c r="Z984" s="14"/>
      <c r="AA984" s="14"/>
    </row>
    <row r="985" spans="1:27" hidden="1">
      <c r="A985" s="1">
        <v>9299313</v>
      </c>
      <c r="B985" s="1" t="s">
        <v>101</v>
      </c>
      <c r="C985" t="s">
        <v>1761</v>
      </c>
      <c r="E985" s="2">
        <v>608000206001</v>
      </c>
      <c r="F985" s="1" t="s">
        <v>29</v>
      </c>
      <c r="G985" s="1" t="s">
        <v>53</v>
      </c>
      <c r="H985" s="1" t="s">
        <v>438</v>
      </c>
      <c r="I985" s="1" t="s">
        <v>439</v>
      </c>
      <c r="J985" s="1" t="s">
        <v>148</v>
      </c>
      <c r="K985" t="s">
        <v>34</v>
      </c>
      <c r="M985" s="1" t="s">
        <v>35</v>
      </c>
      <c r="N985" s="1">
        <v>42318949</v>
      </c>
      <c r="O985" s="1" t="s">
        <v>105</v>
      </c>
      <c r="P985" s="186">
        <v>44932.477384259262</v>
      </c>
      <c r="R985" s="1" t="s">
        <v>38</v>
      </c>
      <c r="T985" s="1" t="s">
        <v>74</v>
      </c>
      <c r="U985" s="186">
        <v>44932.75</v>
      </c>
      <c r="V985" s="1" t="s">
        <v>41</v>
      </c>
      <c r="W985" s="1" t="s">
        <v>49</v>
      </c>
      <c r="Z985" s="14"/>
      <c r="AA985" s="14"/>
    </row>
    <row r="986" spans="1:27" hidden="1">
      <c r="A986" s="1">
        <v>9299309</v>
      </c>
      <c r="B986" s="1" t="s">
        <v>101</v>
      </c>
      <c r="C986" t="s">
        <v>1761</v>
      </c>
      <c r="E986" s="2">
        <v>605000206001</v>
      </c>
      <c r="F986" s="1" t="s">
        <v>29</v>
      </c>
      <c r="G986" s="1" t="s">
        <v>53</v>
      </c>
      <c r="H986" s="1" t="s">
        <v>420</v>
      </c>
      <c r="I986" s="1" t="s">
        <v>421</v>
      </c>
      <c r="J986" s="1" t="s">
        <v>90</v>
      </c>
      <c r="K986" t="s">
        <v>34</v>
      </c>
      <c r="M986" s="1" t="s">
        <v>35</v>
      </c>
      <c r="N986" s="1">
        <v>42318949</v>
      </c>
      <c r="O986" s="1" t="s">
        <v>105</v>
      </c>
      <c r="P986" s="186">
        <v>44932.477372685185</v>
      </c>
      <c r="R986" s="1" t="s">
        <v>38</v>
      </c>
      <c r="T986" s="1" t="s">
        <v>74</v>
      </c>
      <c r="U986" s="186">
        <v>44932.75</v>
      </c>
      <c r="V986" s="1" t="s">
        <v>41</v>
      </c>
      <c r="W986" s="1" t="s">
        <v>49</v>
      </c>
      <c r="Z986" s="14"/>
      <c r="AA986" s="14"/>
    </row>
    <row r="987" spans="1:27" hidden="1">
      <c r="A987" s="1">
        <v>9299279</v>
      </c>
      <c r="B987" s="1" t="s">
        <v>101</v>
      </c>
      <c r="C987" t="s">
        <v>1761</v>
      </c>
      <c r="E987" s="2">
        <v>550000206001</v>
      </c>
      <c r="F987" s="1" t="s">
        <v>29</v>
      </c>
      <c r="G987" s="1" t="s">
        <v>53</v>
      </c>
      <c r="H987" s="1" t="s">
        <v>337</v>
      </c>
      <c r="I987" s="1" t="s">
        <v>338</v>
      </c>
      <c r="J987" s="1" t="s">
        <v>164</v>
      </c>
      <c r="K987" t="s">
        <v>34</v>
      </c>
      <c r="M987" s="1" t="s">
        <v>35</v>
      </c>
      <c r="N987" s="1">
        <v>42318949</v>
      </c>
      <c r="O987" s="1" t="s">
        <v>105</v>
      </c>
      <c r="P987" s="186">
        <v>44932.477337962962</v>
      </c>
      <c r="R987" s="1" t="s">
        <v>38</v>
      </c>
      <c r="T987" s="1" t="s">
        <v>74</v>
      </c>
      <c r="U987" s="186">
        <v>44932.75</v>
      </c>
      <c r="V987" s="1" t="s">
        <v>41</v>
      </c>
      <c r="W987" s="1" t="s">
        <v>49</v>
      </c>
      <c r="Z987" s="14"/>
      <c r="AA987" s="14"/>
    </row>
    <row r="988" spans="1:27" hidden="1">
      <c r="A988" s="1">
        <v>9299275</v>
      </c>
      <c r="B988" s="1" t="s">
        <v>101</v>
      </c>
      <c r="C988" t="s">
        <v>1761</v>
      </c>
      <c r="E988" s="2">
        <v>537000206001</v>
      </c>
      <c r="F988" s="1" t="s">
        <v>29</v>
      </c>
      <c r="G988" s="1" t="s">
        <v>53</v>
      </c>
      <c r="H988" s="1" t="s">
        <v>442</v>
      </c>
      <c r="I988" s="1" t="s">
        <v>443</v>
      </c>
      <c r="J988" s="1" t="s">
        <v>79</v>
      </c>
      <c r="K988" t="s">
        <v>34</v>
      </c>
      <c r="M988" s="1" t="s">
        <v>35</v>
      </c>
      <c r="N988" s="1">
        <v>42318949</v>
      </c>
      <c r="O988" s="1" t="s">
        <v>105</v>
      </c>
      <c r="P988" s="186">
        <v>44932.477326388886</v>
      </c>
      <c r="R988" s="1" t="s">
        <v>38</v>
      </c>
      <c r="T988" s="1" t="s">
        <v>74</v>
      </c>
      <c r="U988" s="186">
        <v>44932.75</v>
      </c>
      <c r="V988" s="1" t="s">
        <v>41</v>
      </c>
      <c r="W988" s="1" t="s">
        <v>49</v>
      </c>
      <c r="Z988" s="14"/>
      <c r="AA988" s="14"/>
    </row>
    <row r="989" spans="1:27" hidden="1">
      <c r="A989" s="1">
        <v>9299274</v>
      </c>
      <c r="B989" s="1" t="s">
        <v>101</v>
      </c>
      <c r="C989" t="s">
        <v>1761</v>
      </c>
      <c r="E989" s="2">
        <v>537000206001</v>
      </c>
      <c r="F989" s="1" t="s">
        <v>29</v>
      </c>
      <c r="G989" s="1" t="s">
        <v>53</v>
      </c>
      <c r="H989" s="1" t="s">
        <v>442</v>
      </c>
      <c r="I989" s="1" t="s">
        <v>443</v>
      </c>
      <c r="J989" s="1" t="s">
        <v>79</v>
      </c>
      <c r="K989" t="s">
        <v>34</v>
      </c>
      <c r="M989" s="1" t="s">
        <v>35</v>
      </c>
      <c r="N989" s="1">
        <v>42318949</v>
      </c>
      <c r="O989" s="1" t="s">
        <v>105</v>
      </c>
      <c r="P989" s="186">
        <v>44932.477326388886</v>
      </c>
      <c r="R989" s="1" t="s">
        <v>38</v>
      </c>
      <c r="T989" s="1" t="s">
        <v>74</v>
      </c>
      <c r="U989" s="186">
        <v>44932.75</v>
      </c>
      <c r="V989" s="1" t="s">
        <v>41</v>
      </c>
      <c r="W989" s="1" t="s">
        <v>49</v>
      </c>
      <c r="Z989" s="14"/>
      <c r="AA989" s="14"/>
    </row>
    <row r="990" spans="1:27" hidden="1">
      <c r="A990" s="1">
        <v>9299223</v>
      </c>
      <c r="B990" s="1" t="s">
        <v>101</v>
      </c>
      <c r="C990" t="s">
        <v>1761</v>
      </c>
      <c r="E990" s="2">
        <v>446000206001</v>
      </c>
      <c r="F990" s="1" t="s">
        <v>29</v>
      </c>
      <c r="G990" s="1" t="s">
        <v>53</v>
      </c>
      <c r="H990" s="1" t="s">
        <v>432</v>
      </c>
      <c r="I990" s="1" t="s">
        <v>433</v>
      </c>
      <c r="J990" s="1" t="s">
        <v>110</v>
      </c>
      <c r="K990" t="s">
        <v>34</v>
      </c>
      <c r="M990" s="1" t="s">
        <v>35</v>
      </c>
      <c r="N990" s="1">
        <v>42318949</v>
      </c>
      <c r="O990" s="1" t="s">
        <v>105</v>
      </c>
      <c r="P990" s="186">
        <v>44932.477256944447</v>
      </c>
      <c r="R990" s="1" t="s">
        <v>38</v>
      </c>
      <c r="T990" s="1" t="s">
        <v>74</v>
      </c>
      <c r="U990" s="186">
        <v>44932.75</v>
      </c>
      <c r="V990" s="1" t="s">
        <v>41</v>
      </c>
      <c r="W990" s="1" t="s">
        <v>49</v>
      </c>
      <c r="Z990" s="14"/>
      <c r="AA990" s="14"/>
    </row>
    <row r="991" spans="1:27" hidden="1">
      <c r="A991" s="1">
        <v>9299222</v>
      </c>
      <c r="B991" s="1" t="s">
        <v>101</v>
      </c>
      <c r="C991" t="s">
        <v>1761</v>
      </c>
      <c r="E991" s="2">
        <v>446000206001</v>
      </c>
      <c r="F991" s="1" t="s">
        <v>29</v>
      </c>
      <c r="G991" s="1" t="s">
        <v>53</v>
      </c>
      <c r="H991" s="1" t="s">
        <v>432</v>
      </c>
      <c r="I991" s="1" t="s">
        <v>433</v>
      </c>
      <c r="J991" s="1" t="s">
        <v>110</v>
      </c>
      <c r="K991" t="s">
        <v>34</v>
      </c>
      <c r="M991" s="1" t="s">
        <v>35</v>
      </c>
      <c r="N991" s="1">
        <v>42318949</v>
      </c>
      <c r="O991" s="1" t="s">
        <v>105</v>
      </c>
      <c r="P991" s="186">
        <v>44932.477256944447</v>
      </c>
      <c r="R991" s="1" t="s">
        <v>38</v>
      </c>
      <c r="T991" s="1" t="s">
        <v>74</v>
      </c>
      <c r="U991" s="186">
        <v>44932.75</v>
      </c>
      <c r="V991" s="1" t="s">
        <v>41</v>
      </c>
      <c r="W991" s="1" t="s">
        <v>49</v>
      </c>
      <c r="Z991" s="14"/>
      <c r="AA991" s="14"/>
    </row>
    <row r="992" spans="1:27" hidden="1">
      <c r="A992" s="1">
        <v>9299221</v>
      </c>
      <c r="B992" s="1" t="s">
        <v>101</v>
      </c>
      <c r="C992" t="s">
        <v>1761</v>
      </c>
      <c r="E992" s="2">
        <v>446000206001</v>
      </c>
      <c r="F992" s="1" t="s">
        <v>29</v>
      </c>
      <c r="G992" s="1" t="s">
        <v>53</v>
      </c>
      <c r="H992" s="1" t="s">
        <v>432</v>
      </c>
      <c r="I992" s="1" t="s">
        <v>433</v>
      </c>
      <c r="J992" s="1" t="s">
        <v>110</v>
      </c>
      <c r="K992" t="s">
        <v>34</v>
      </c>
      <c r="M992" s="1" t="s">
        <v>35</v>
      </c>
      <c r="N992" s="1">
        <v>42318949</v>
      </c>
      <c r="O992" s="1" t="s">
        <v>105</v>
      </c>
      <c r="P992" s="186">
        <v>44932.477256944447</v>
      </c>
      <c r="R992" s="1" t="s">
        <v>38</v>
      </c>
      <c r="T992" s="1" t="s">
        <v>74</v>
      </c>
      <c r="U992" s="186">
        <v>44932.75</v>
      </c>
      <c r="V992" s="1" t="s">
        <v>41</v>
      </c>
      <c r="W992" s="1" t="s">
        <v>49</v>
      </c>
      <c r="Z992" s="14"/>
      <c r="AA992" s="14"/>
    </row>
    <row r="993" spans="1:27" hidden="1">
      <c r="A993" s="1">
        <v>9299220</v>
      </c>
      <c r="B993" s="1" t="s">
        <v>101</v>
      </c>
      <c r="C993" t="s">
        <v>1761</v>
      </c>
      <c r="E993" s="2">
        <v>446000206001</v>
      </c>
      <c r="F993" s="1" t="s">
        <v>29</v>
      </c>
      <c r="G993" s="1" t="s">
        <v>53</v>
      </c>
      <c r="H993" s="1" t="s">
        <v>432</v>
      </c>
      <c r="I993" s="1" t="s">
        <v>433</v>
      </c>
      <c r="J993" s="1" t="s">
        <v>110</v>
      </c>
      <c r="K993" t="s">
        <v>34</v>
      </c>
      <c r="M993" s="1" t="s">
        <v>35</v>
      </c>
      <c r="N993" s="1">
        <v>42318949</v>
      </c>
      <c r="O993" s="1" t="s">
        <v>105</v>
      </c>
      <c r="P993" s="186">
        <v>44932.477256944447</v>
      </c>
      <c r="R993" s="1" t="s">
        <v>38</v>
      </c>
      <c r="T993" s="1" t="s">
        <v>74</v>
      </c>
      <c r="U993" s="186">
        <v>44932.75</v>
      </c>
      <c r="V993" s="1" t="s">
        <v>41</v>
      </c>
      <c r="W993" s="1" t="s">
        <v>49</v>
      </c>
      <c r="Z993" s="14"/>
      <c r="AA993" s="14"/>
    </row>
    <row r="994" spans="1:27" hidden="1">
      <c r="A994" s="1">
        <v>9299075</v>
      </c>
      <c r="B994" s="1" t="s">
        <v>101</v>
      </c>
      <c r="C994" t="s">
        <v>1761</v>
      </c>
      <c r="E994" s="2">
        <v>246000206001</v>
      </c>
      <c r="F994" s="1" t="s">
        <v>29</v>
      </c>
      <c r="G994" s="1" t="s">
        <v>53</v>
      </c>
      <c r="H994" s="1" t="s">
        <v>1193</v>
      </c>
      <c r="I994" s="1" t="s">
        <v>1194</v>
      </c>
      <c r="J994" s="1" t="s">
        <v>85</v>
      </c>
      <c r="K994" t="s">
        <v>34</v>
      </c>
      <c r="M994" s="1" t="s">
        <v>35</v>
      </c>
      <c r="N994" s="1">
        <v>42318949</v>
      </c>
      <c r="O994" s="1" t="s">
        <v>105</v>
      </c>
      <c r="P994" s="186">
        <v>44932.477048611108</v>
      </c>
      <c r="R994" s="1" t="s">
        <v>38</v>
      </c>
      <c r="T994" s="1" t="s">
        <v>74</v>
      </c>
      <c r="U994" s="186">
        <v>44932.75</v>
      </c>
      <c r="V994" s="1" t="s">
        <v>41</v>
      </c>
      <c r="W994" s="1" t="s">
        <v>49</v>
      </c>
      <c r="Z994" s="14"/>
      <c r="AA994" s="14"/>
    </row>
    <row r="995" spans="1:27" hidden="1">
      <c r="A995" s="1">
        <v>9299074</v>
      </c>
      <c r="B995" s="1" t="s">
        <v>101</v>
      </c>
      <c r="C995" t="s">
        <v>1761</v>
      </c>
      <c r="E995" s="2">
        <v>246000206001</v>
      </c>
      <c r="F995" s="1" t="s">
        <v>29</v>
      </c>
      <c r="G995" s="1" t="s">
        <v>53</v>
      </c>
      <c r="H995" s="1" t="s">
        <v>1193</v>
      </c>
      <c r="I995" s="1" t="s">
        <v>1194</v>
      </c>
      <c r="J995" s="1" t="s">
        <v>85</v>
      </c>
      <c r="K995" t="s">
        <v>34</v>
      </c>
      <c r="M995" s="1" t="s">
        <v>35</v>
      </c>
      <c r="N995" s="1">
        <v>42318949</v>
      </c>
      <c r="O995" s="1" t="s">
        <v>105</v>
      </c>
      <c r="P995" s="186">
        <v>44932.477048611108</v>
      </c>
      <c r="R995" s="1" t="s">
        <v>38</v>
      </c>
      <c r="T995" s="1" t="s">
        <v>74</v>
      </c>
      <c r="U995" s="186">
        <v>44932.75</v>
      </c>
      <c r="V995" s="1" t="s">
        <v>41</v>
      </c>
      <c r="W995" s="1" t="s">
        <v>49</v>
      </c>
      <c r="Z995" s="14"/>
      <c r="AA995" s="14"/>
    </row>
    <row r="996" spans="1:27" hidden="1">
      <c r="A996" s="1">
        <v>9299073</v>
      </c>
      <c r="B996" s="1" t="s">
        <v>101</v>
      </c>
      <c r="C996" t="s">
        <v>1761</v>
      </c>
      <c r="E996" s="2">
        <v>246000206001</v>
      </c>
      <c r="F996" s="1" t="s">
        <v>29</v>
      </c>
      <c r="G996" s="1" t="s">
        <v>53</v>
      </c>
      <c r="H996" s="1" t="s">
        <v>1193</v>
      </c>
      <c r="I996" s="1" t="s">
        <v>1194</v>
      </c>
      <c r="J996" s="1" t="s">
        <v>85</v>
      </c>
      <c r="K996" t="s">
        <v>34</v>
      </c>
      <c r="M996" s="1" t="s">
        <v>35</v>
      </c>
      <c r="N996" s="1">
        <v>42318949</v>
      </c>
      <c r="O996" s="1" t="s">
        <v>105</v>
      </c>
      <c r="P996" s="186">
        <v>44932.477048611108</v>
      </c>
      <c r="R996" s="1" t="s">
        <v>38</v>
      </c>
      <c r="T996" s="1" t="s">
        <v>74</v>
      </c>
      <c r="U996" s="186">
        <v>44932.75</v>
      </c>
      <c r="V996" s="1" t="s">
        <v>41</v>
      </c>
      <c r="W996" s="1" t="s">
        <v>49</v>
      </c>
      <c r="Z996" s="14"/>
      <c r="AA996" s="14"/>
    </row>
    <row r="997" spans="1:27" hidden="1">
      <c r="A997" s="1">
        <v>9299072</v>
      </c>
      <c r="B997" s="1" t="s">
        <v>101</v>
      </c>
      <c r="C997" t="s">
        <v>1761</v>
      </c>
      <c r="E997" s="2">
        <v>246000206001</v>
      </c>
      <c r="F997" s="1" t="s">
        <v>29</v>
      </c>
      <c r="G997" s="1" t="s">
        <v>53</v>
      </c>
      <c r="H997" s="1" t="s">
        <v>1193</v>
      </c>
      <c r="I997" s="1" t="s">
        <v>1194</v>
      </c>
      <c r="J997" s="1" t="s">
        <v>85</v>
      </c>
      <c r="K997" t="s">
        <v>34</v>
      </c>
      <c r="M997" s="1" t="s">
        <v>35</v>
      </c>
      <c r="N997" s="1">
        <v>42318949</v>
      </c>
      <c r="O997" s="1" t="s">
        <v>105</v>
      </c>
      <c r="P997" s="186">
        <v>44932.477048611108</v>
      </c>
      <c r="R997" s="1" t="s">
        <v>38</v>
      </c>
      <c r="T997" s="1" t="s">
        <v>74</v>
      </c>
      <c r="U997" s="186">
        <v>44932.75</v>
      </c>
      <c r="V997" s="1" t="s">
        <v>41</v>
      </c>
      <c r="W997" s="1" t="s">
        <v>49</v>
      </c>
      <c r="Z997" s="14"/>
      <c r="AA997" s="14"/>
    </row>
    <row r="998" spans="1:27" hidden="1">
      <c r="A998" s="1">
        <v>9299071</v>
      </c>
      <c r="B998" s="1" t="s">
        <v>101</v>
      </c>
      <c r="C998" t="s">
        <v>1761</v>
      </c>
      <c r="E998" s="2">
        <v>244000206001</v>
      </c>
      <c r="F998" s="1" t="s">
        <v>29</v>
      </c>
      <c r="G998" s="1" t="s">
        <v>53</v>
      </c>
      <c r="H998" s="1" t="s">
        <v>313</v>
      </c>
      <c r="I998" s="1" t="s">
        <v>314</v>
      </c>
      <c r="J998" s="1" t="s">
        <v>56</v>
      </c>
      <c r="K998" t="s">
        <v>34</v>
      </c>
      <c r="M998" s="1" t="s">
        <v>35</v>
      </c>
      <c r="N998" s="1">
        <v>42318949</v>
      </c>
      <c r="O998" s="1" t="s">
        <v>105</v>
      </c>
      <c r="P998" s="186">
        <v>44932.477037037039</v>
      </c>
      <c r="R998" s="1" t="s">
        <v>38</v>
      </c>
      <c r="T998" s="1" t="s">
        <v>74</v>
      </c>
      <c r="U998" s="186">
        <v>44932.75</v>
      </c>
      <c r="V998" s="1" t="s">
        <v>41</v>
      </c>
      <c r="W998" s="1" t="s">
        <v>49</v>
      </c>
      <c r="Z998" s="14"/>
      <c r="AA998" s="14"/>
    </row>
    <row r="999" spans="1:27" hidden="1">
      <c r="A999" s="1">
        <v>9299059</v>
      </c>
      <c r="B999" s="1" t="s">
        <v>101</v>
      </c>
      <c r="C999" t="s">
        <v>1761</v>
      </c>
      <c r="E999" s="2">
        <v>220000206001</v>
      </c>
      <c r="F999" s="1" t="s">
        <v>29</v>
      </c>
      <c r="G999" s="1" t="s">
        <v>53</v>
      </c>
      <c r="H999" s="1" t="s">
        <v>588</v>
      </c>
      <c r="I999" s="1" t="s">
        <v>589</v>
      </c>
      <c r="J999" s="1" t="s">
        <v>110</v>
      </c>
      <c r="K999" t="s">
        <v>34</v>
      </c>
      <c r="M999" s="1" t="s">
        <v>35</v>
      </c>
      <c r="N999" s="1">
        <v>42318949</v>
      </c>
      <c r="O999" s="1" t="s">
        <v>105</v>
      </c>
      <c r="P999" s="186">
        <v>44932.477025462962</v>
      </c>
      <c r="R999" s="1" t="s">
        <v>38</v>
      </c>
      <c r="T999" s="1" t="s">
        <v>74</v>
      </c>
      <c r="U999" s="186">
        <v>44932.75</v>
      </c>
      <c r="V999" s="1" t="s">
        <v>41</v>
      </c>
      <c r="W999" s="1" t="s">
        <v>49</v>
      </c>
      <c r="Z999" s="14"/>
      <c r="AA999" s="14"/>
    </row>
    <row r="1000" spans="1:27" hidden="1">
      <c r="A1000" s="1">
        <v>9299058</v>
      </c>
      <c r="B1000" s="1" t="s">
        <v>101</v>
      </c>
      <c r="C1000" t="s">
        <v>1761</v>
      </c>
      <c r="E1000" s="2">
        <v>220000206001</v>
      </c>
      <c r="F1000" s="1" t="s">
        <v>29</v>
      </c>
      <c r="G1000" s="1" t="s">
        <v>53</v>
      </c>
      <c r="H1000" s="1" t="s">
        <v>588</v>
      </c>
      <c r="I1000" s="1" t="s">
        <v>589</v>
      </c>
      <c r="J1000" s="1" t="s">
        <v>110</v>
      </c>
      <c r="K1000" t="s">
        <v>34</v>
      </c>
      <c r="M1000" s="1" t="s">
        <v>35</v>
      </c>
      <c r="N1000" s="1">
        <v>42318949</v>
      </c>
      <c r="O1000" s="1" t="s">
        <v>105</v>
      </c>
      <c r="P1000" s="186">
        <v>44932.477025462962</v>
      </c>
      <c r="R1000" s="1" t="s">
        <v>38</v>
      </c>
      <c r="T1000" s="1" t="s">
        <v>74</v>
      </c>
      <c r="U1000" s="186">
        <v>44932.75</v>
      </c>
      <c r="V1000" s="1" t="s">
        <v>41</v>
      </c>
      <c r="W1000" s="1" t="s">
        <v>49</v>
      </c>
      <c r="Z1000" s="14"/>
      <c r="AA1000" s="14"/>
    </row>
    <row r="1001" spans="1:27" hidden="1">
      <c r="A1001" s="1">
        <v>9299057</v>
      </c>
      <c r="B1001" s="1" t="s">
        <v>101</v>
      </c>
      <c r="C1001" t="s">
        <v>1761</v>
      </c>
      <c r="E1001" s="2">
        <v>220000206001</v>
      </c>
      <c r="F1001" s="1" t="s">
        <v>29</v>
      </c>
      <c r="G1001" s="1" t="s">
        <v>53</v>
      </c>
      <c r="H1001" s="1" t="s">
        <v>588</v>
      </c>
      <c r="I1001" s="1" t="s">
        <v>589</v>
      </c>
      <c r="J1001" s="1" t="s">
        <v>110</v>
      </c>
      <c r="K1001" t="s">
        <v>34</v>
      </c>
      <c r="M1001" s="1" t="s">
        <v>35</v>
      </c>
      <c r="N1001" s="1">
        <v>42318949</v>
      </c>
      <c r="O1001" s="1" t="s">
        <v>105</v>
      </c>
      <c r="P1001" s="186">
        <v>44932.477025462962</v>
      </c>
      <c r="R1001" s="1" t="s">
        <v>38</v>
      </c>
      <c r="T1001" s="1" t="s">
        <v>74</v>
      </c>
      <c r="U1001" s="186">
        <v>44932.75</v>
      </c>
      <c r="V1001" s="1" t="s">
        <v>41</v>
      </c>
      <c r="W1001" s="1" t="s">
        <v>49</v>
      </c>
      <c r="Z1001" s="14"/>
      <c r="AA1001" s="14"/>
    </row>
    <row r="1002" spans="1:27" hidden="1">
      <c r="A1002" s="1">
        <v>9299056</v>
      </c>
      <c r="B1002" s="1" t="s">
        <v>101</v>
      </c>
      <c r="C1002" t="s">
        <v>1761</v>
      </c>
      <c r="E1002" s="2">
        <v>220000206001</v>
      </c>
      <c r="F1002" s="1" t="s">
        <v>29</v>
      </c>
      <c r="G1002" s="1" t="s">
        <v>53</v>
      </c>
      <c r="H1002" s="1" t="s">
        <v>588</v>
      </c>
      <c r="I1002" s="1" t="s">
        <v>589</v>
      </c>
      <c r="J1002" s="1" t="s">
        <v>110</v>
      </c>
      <c r="K1002" t="s">
        <v>34</v>
      </c>
      <c r="M1002" s="1" t="s">
        <v>35</v>
      </c>
      <c r="N1002" s="1">
        <v>42318949</v>
      </c>
      <c r="O1002" s="1" t="s">
        <v>105</v>
      </c>
      <c r="P1002" s="186">
        <v>44932.477025462962</v>
      </c>
      <c r="R1002" s="1" t="s">
        <v>38</v>
      </c>
      <c r="T1002" s="1" t="s">
        <v>74</v>
      </c>
      <c r="U1002" s="186">
        <v>44932.75</v>
      </c>
      <c r="V1002" s="1" t="s">
        <v>41</v>
      </c>
      <c r="W1002" s="1" t="s">
        <v>49</v>
      </c>
      <c r="Z1002" s="14"/>
      <c r="AA1002" s="14"/>
    </row>
    <row r="1003" spans="1:27" hidden="1">
      <c r="A1003" s="1">
        <v>9299055</v>
      </c>
      <c r="B1003" s="1" t="s">
        <v>101</v>
      </c>
      <c r="C1003" t="s">
        <v>1761</v>
      </c>
      <c r="E1003" s="2">
        <v>220000206001</v>
      </c>
      <c r="F1003" s="1" t="s">
        <v>29</v>
      </c>
      <c r="G1003" s="1" t="s">
        <v>53</v>
      </c>
      <c r="H1003" s="1" t="s">
        <v>588</v>
      </c>
      <c r="I1003" s="1" t="s">
        <v>589</v>
      </c>
      <c r="J1003" s="1" t="s">
        <v>110</v>
      </c>
      <c r="K1003" t="s">
        <v>34</v>
      </c>
      <c r="M1003" s="1" t="s">
        <v>35</v>
      </c>
      <c r="N1003" s="1">
        <v>42318949</v>
      </c>
      <c r="O1003" s="1" t="s">
        <v>105</v>
      </c>
      <c r="P1003" s="186">
        <v>44932.477013888885</v>
      </c>
      <c r="R1003" s="1" t="s">
        <v>38</v>
      </c>
      <c r="T1003" s="1" t="s">
        <v>74</v>
      </c>
      <c r="U1003" s="186">
        <v>44932.75</v>
      </c>
      <c r="V1003" s="1" t="s">
        <v>41</v>
      </c>
      <c r="W1003" s="1" t="s">
        <v>49</v>
      </c>
      <c r="Z1003" s="14"/>
      <c r="AA1003" s="14"/>
    </row>
    <row r="1004" spans="1:27" hidden="1">
      <c r="A1004" s="1">
        <v>9298528</v>
      </c>
      <c r="B1004" s="1" t="s">
        <v>101</v>
      </c>
      <c r="C1004" t="s">
        <v>1810</v>
      </c>
      <c r="E1004" s="2">
        <v>9704000206001</v>
      </c>
      <c r="F1004" s="1" t="s">
        <v>29</v>
      </c>
      <c r="G1004" s="1" t="s">
        <v>53</v>
      </c>
      <c r="H1004" s="1" t="s">
        <v>488</v>
      </c>
      <c r="I1004" s="1" t="s">
        <v>489</v>
      </c>
      <c r="J1004" s="1" t="s">
        <v>164</v>
      </c>
      <c r="K1004" t="s">
        <v>34</v>
      </c>
      <c r="M1004" s="1" t="s">
        <v>35</v>
      </c>
      <c r="N1004" s="1">
        <v>42318949</v>
      </c>
      <c r="O1004" s="1" t="s">
        <v>105</v>
      </c>
      <c r="P1004" s="186">
        <v>44932.437754629631</v>
      </c>
      <c r="R1004" s="1" t="s">
        <v>38</v>
      </c>
      <c r="T1004" s="1" t="s">
        <v>74</v>
      </c>
      <c r="U1004" s="186">
        <v>44932.75</v>
      </c>
      <c r="V1004" s="1" t="s">
        <v>41</v>
      </c>
      <c r="W1004" s="1" t="s">
        <v>49</v>
      </c>
      <c r="Z1004" s="14"/>
      <c r="AA1004" s="14"/>
    </row>
    <row r="1005" spans="1:27" hidden="1">
      <c r="A1005" s="1">
        <v>9298527</v>
      </c>
      <c r="B1005" s="1" t="s">
        <v>101</v>
      </c>
      <c r="C1005" t="s">
        <v>1810</v>
      </c>
      <c r="E1005" s="2">
        <v>9700000206001</v>
      </c>
      <c r="F1005" s="1" t="s">
        <v>29</v>
      </c>
      <c r="G1005" s="1" t="s">
        <v>53</v>
      </c>
      <c r="H1005" s="1" t="s">
        <v>209</v>
      </c>
      <c r="I1005" s="1" t="s">
        <v>210</v>
      </c>
      <c r="J1005" s="1" t="s">
        <v>211</v>
      </c>
      <c r="K1005" t="s">
        <v>34</v>
      </c>
      <c r="M1005" s="1" t="s">
        <v>35</v>
      </c>
      <c r="N1005" s="1">
        <v>42318949</v>
      </c>
      <c r="O1005" s="1" t="s">
        <v>105</v>
      </c>
      <c r="P1005" s="186">
        <v>44932.437754629631</v>
      </c>
      <c r="R1005" s="1" t="s">
        <v>38</v>
      </c>
      <c r="T1005" s="1" t="s">
        <v>74</v>
      </c>
      <c r="U1005" s="186">
        <v>44932.75</v>
      </c>
      <c r="V1005" s="1" t="s">
        <v>41</v>
      </c>
      <c r="W1005" s="1" t="s">
        <v>49</v>
      </c>
      <c r="Z1005" s="14"/>
      <c r="AA1005" s="14"/>
    </row>
    <row r="1006" spans="1:27" hidden="1">
      <c r="A1006" s="1">
        <v>9298495</v>
      </c>
      <c r="B1006" s="1" t="s">
        <v>101</v>
      </c>
      <c r="C1006" t="s">
        <v>1810</v>
      </c>
      <c r="E1006" s="2">
        <v>9661000206001</v>
      </c>
      <c r="F1006" s="1" t="s">
        <v>29</v>
      </c>
      <c r="G1006" s="1" t="s">
        <v>53</v>
      </c>
      <c r="H1006" s="1" t="s">
        <v>31</v>
      </c>
      <c r="I1006" s="1" t="s">
        <v>32</v>
      </c>
      <c r="J1006" s="1" t="s">
        <v>33</v>
      </c>
      <c r="K1006" t="s">
        <v>34</v>
      </c>
      <c r="M1006" s="1" t="s">
        <v>35</v>
      </c>
      <c r="N1006" s="1">
        <v>42318949</v>
      </c>
      <c r="O1006" s="1" t="s">
        <v>105</v>
      </c>
      <c r="P1006" s="186">
        <v>44932.437696759262</v>
      </c>
      <c r="R1006" s="1" t="s">
        <v>38</v>
      </c>
      <c r="T1006" s="1" t="s">
        <v>74</v>
      </c>
      <c r="U1006" s="186">
        <v>44932.75</v>
      </c>
      <c r="V1006" s="1" t="s">
        <v>41</v>
      </c>
      <c r="W1006" s="1" t="s">
        <v>42</v>
      </c>
      <c r="Z1006" s="14"/>
      <c r="AA1006" s="14"/>
    </row>
    <row r="1007" spans="1:27" hidden="1">
      <c r="A1007" s="1">
        <v>9298454</v>
      </c>
      <c r="B1007" s="1" t="s">
        <v>101</v>
      </c>
      <c r="C1007" t="s">
        <v>1810</v>
      </c>
      <c r="E1007" s="2">
        <v>9406000206001</v>
      </c>
      <c r="F1007" s="1" t="s">
        <v>29</v>
      </c>
      <c r="G1007" s="1" t="s">
        <v>53</v>
      </c>
      <c r="H1007" s="1" t="s">
        <v>114</v>
      </c>
      <c r="I1007" s="1" t="s">
        <v>115</v>
      </c>
      <c r="J1007" s="1" t="s">
        <v>46</v>
      </c>
      <c r="K1007" t="s">
        <v>34</v>
      </c>
      <c r="M1007" s="1" t="s">
        <v>35</v>
      </c>
      <c r="N1007" s="1">
        <v>42318949</v>
      </c>
      <c r="O1007" s="1" t="s">
        <v>105</v>
      </c>
      <c r="P1007" s="186">
        <v>44932.437627314815</v>
      </c>
      <c r="R1007" s="1" t="s">
        <v>38</v>
      </c>
      <c r="T1007" s="1" t="s">
        <v>74</v>
      </c>
      <c r="U1007" s="186">
        <v>44932.75</v>
      </c>
      <c r="V1007" s="1" t="s">
        <v>41</v>
      </c>
      <c r="W1007" s="1" t="s">
        <v>49</v>
      </c>
      <c r="Z1007" s="14"/>
      <c r="AA1007" s="14"/>
    </row>
    <row r="1008" spans="1:27" hidden="1">
      <c r="A1008" s="1">
        <v>9298409</v>
      </c>
      <c r="B1008" s="1" t="s">
        <v>101</v>
      </c>
      <c r="C1008" t="s">
        <v>1810</v>
      </c>
      <c r="E1008" s="2">
        <v>8634000206001</v>
      </c>
      <c r="F1008" s="1" t="s">
        <v>29</v>
      </c>
      <c r="G1008" s="1" t="s">
        <v>53</v>
      </c>
      <c r="H1008" s="1" t="s">
        <v>293</v>
      </c>
      <c r="I1008" s="1" t="s">
        <v>294</v>
      </c>
      <c r="J1008" s="1" t="s">
        <v>46</v>
      </c>
      <c r="K1008" t="s">
        <v>34</v>
      </c>
      <c r="M1008" s="1" t="s">
        <v>35</v>
      </c>
      <c r="N1008" s="1">
        <v>42318949</v>
      </c>
      <c r="O1008" s="1" t="s">
        <v>105</v>
      </c>
      <c r="P1008" s="186">
        <v>44932.437557870369</v>
      </c>
      <c r="R1008" s="1" t="s">
        <v>38</v>
      </c>
      <c r="T1008" s="1" t="s">
        <v>74</v>
      </c>
      <c r="U1008" s="186">
        <v>44932.75</v>
      </c>
      <c r="V1008" s="1" t="s">
        <v>41</v>
      </c>
      <c r="W1008" s="1" t="s">
        <v>49</v>
      </c>
      <c r="Z1008" s="14"/>
      <c r="AA1008" s="14"/>
    </row>
    <row r="1009" spans="1:27" hidden="1">
      <c r="A1009" s="1">
        <v>9298408</v>
      </c>
      <c r="B1009" s="1" t="s">
        <v>101</v>
      </c>
      <c r="C1009" t="s">
        <v>1810</v>
      </c>
      <c r="E1009" s="2">
        <v>8633000206001</v>
      </c>
      <c r="F1009" s="1" t="s">
        <v>29</v>
      </c>
      <c r="G1009" s="1" t="s">
        <v>53</v>
      </c>
      <c r="H1009" s="1" t="s">
        <v>835</v>
      </c>
      <c r="I1009" s="1" t="s">
        <v>836</v>
      </c>
      <c r="J1009" s="1" t="s">
        <v>46</v>
      </c>
      <c r="K1009" t="s">
        <v>34</v>
      </c>
      <c r="M1009" s="1" t="s">
        <v>35</v>
      </c>
      <c r="N1009" s="1">
        <v>42318949</v>
      </c>
      <c r="O1009" s="1" t="s">
        <v>105</v>
      </c>
      <c r="P1009" s="186">
        <v>44932.4375462963</v>
      </c>
      <c r="R1009" s="1" t="s">
        <v>38</v>
      </c>
      <c r="T1009" s="1" t="s">
        <v>74</v>
      </c>
      <c r="U1009" s="186">
        <v>44932.75</v>
      </c>
      <c r="V1009" s="1" t="s">
        <v>41</v>
      </c>
      <c r="W1009" s="1" t="s">
        <v>49</v>
      </c>
      <c r="Z1009" s="14"/>
      <c r="AA1009" s="14"/>
    </row>
    <row r="1010" spans="1:27" hidden="1">
      <c r="A1010" s="1">
        <v>9298263</v>
      </c>
      <c r="B1010" s="1" t="s">
        <v>101</v>
      </c>
      <c r="C1010" t="s">
        <v>1810</v>
      </c>
      <c r="E1010" s="2">
        <v>8074000206001</v>
      </c>
      <c r="F1010" s="1" t="s">
        <v>29</v>
      </c>
      <c r="G1010" s="1" t="s">
        <v>53</v>
      </c>
      <c r="H1010" s="1" t="s">
        <v>1257</v>
      </c>
      <c r="I1010" s="1" t="s">
        <v>1258</v>
      </c>
      <c r="J1010" s="1" t="s">
        <v>33</v>
      </c>
      <c r="K1010" t="s">
        <v>34</v>
      </c>
      <c r="M1010" s="1" t="s">
        <v>35</v>
      </c>
      <c r="N1010" s="1">
        <v>42318949</v>
      </c>
      <c r="O1010" s="1" t="s">
        <v>105</v>
      </c>
      <c r="P1010" s="186">
        <v>44932.437280092592</v>
      </c>
      <c r="R1010" s="1" t="s">
        <v>38</v>
      </c>
      <c r="T1010" s="1" t="s">
        <v>74</v>
      </c>
      <c r="U1010" s="186">
        <v>44932.75</v>
      </c>
      <c r="V1010" s="1" t="s">
        <v>41</v>
      </c>
      <c r="W1010" s="1" t="s">
        <v>49</v>
      </c>
      <c r="Z1010" s="14"/>
      <c r="AA1010" s="14"/>
    </row>
    <row r="1011" spans="1:27" hidden="1">
      <c r="A1011" s="1">
        <v>9298238</v>
      </c>
      <c r="B1011" s="1" t="s">
        <v>101</v>
      </c>
      <c r="C1011" t="s">
        <v>1810</v>
      </c>
      <c r="E1011" s="2">
        <v>7420000206001</v>
      </c>
      <c r="F1011" s="1" t="s">
        <v>29</v>
      </c>
      <c r="G1011" s="1" t="s">
        <v>53</v>
      </c>
      <c r="H1011" s="1" t="s">
        <v>1076</v>
      </c>
      <c r="I1011" s="1" t="s">
        <v>1077</v>
      </c>
      <c r="J1011" s="1" t="s">
        <v>46</v>
      </c>
      <c r="K1011" t="s">
        <v>34</v>
      </c>
      <c r="M1011" s="1" t="s">
        <v>35</v>
      </c>
      <c r="N1011" s="1">
        <v>42318949</v>
      </c>
      <c r="O1011" s="1" t="s">
        <v>105</v>
      </c>
      <c r="P1011" s="186">
        <v>44932.4372337963</v>
      </c>
      <c r="R1011" s="1" t="s">
        <v>38</v>
      </c>
      <c r="T1011" s="1" t="s">
        <v>74</v>
      </c>
      <c r="U1011" s="186">
        <v>44932.75</v>
      </c>
      <c r="V1011" s="1" t="s">
        <v>41</v>
      </c>
      <c r="W1011" s="1" t="s">
        <v>49</v>
      </c>
      <c r="Z1011" s="14"/>
      <c r="AA1011" s="14"/>
    </row>
    <row r="1012" spans="1:27" hidden="1">
      <c r="A1012" s="1">
        <v>9297776</v>
      </c>
      <c r="B1012" s="1" t="s">
        <v>101</v>
      </c>
      <c r="C1012" t="s">
        <v>1810</v>
      </c>
      <c r="E1012" s="2">
        <v>5898000206001</v>
      </c>
      <c r="F1012" s="1" t="s">
        <v>29</v>
      </c>
      <c r="G1012" s="1" t="s">
        <v>53</v>
      </c>
      <c r="H1012" s="1" t="s">
        <v>365</v>
      </c>
      <c r="I1012" s="1" t="s">
        <v>366</v>
      </c>
      <c r="J1012" s="1" t="s">
        <v>164</v>
      </c>
      <c r="K1012" t="s">
        <v>34</v>
      </c>
      <c r="M1012" s="1" t="s">
        <v>35</v>
      </c>
      <c r="N1012" s="1">
        <v>42318949</v>
      </c>
      <c r="O1012" s="1" t="s">
        <v>105</v>
      </c>
      <c r="P1012" s="186">
        <v>44932.436226851853</v>
      </c>
      <c r="R1012" s="1" t="s">
        <v>38</v>
      </c>
      <c r="T1012" s="1" t="s">
        <v>74</v>
      </c>
      <c r="U1012" s="186">
        <v>44932.75</v>
      </c>
      <c r="V1012" s="1" t="s">
        <v>41</v>
      </c>
      <c r="W1012" s="1" t="s">
        <v>49</v>
      </c>
      <c r="Z1012" s="14"/>
      <c r="AA1012" s="14"/>
    </row>
    <row r="1013" spans="1:27" hidden="1">
      <c r="A1013" s="1">
        <v>9297748</v>
      </c>
      <c r="B1013" s="1" t="s">
        <v>101</v>
      </c>
      <c r="C1013" t="s">
        <v>1810</v>
      </c>
      <c r="E1013" s="2">
        <v>5816000206001</v>
      </c>
      <c r="F1013" s="1" t="s">
        <v>29</v>
      </c>
      <c r="G1013" s="1" t="s">
        <v>53</v>
      </c>
      <c r="H1013" s="1" t="s">
        <v>412</v>
      </c>
      <c r="I1013" s="1" t="s">
        <v>413</v>
      </c>
      <c r="J1013" s="1" t="s">
        <v>46</v>
      </c>
      <c r="K1013" t="s">
        <v>34</v>
      </c>
      <c r="M1013" s="1" t="s">
        <v>35</v>
      </c>
      <c r="N1013" s="1">
        <v>42318949</v>
      </c>
      <c r="O1013" s="1" t="s">
        <v>105</v>
      </c>
      <c r="P1013" s="186">
        <v>44932.436122685183</v>
      </c>
      <c r="R1013" s="1" t="s">
        <v>38</v>
      </c>
      <c r="T1013" s="1" t="s">
        <v>74</v>
      </c>
      <c r="U1013" s="186">
        <v>44932.75</v>
      </c>
      <c r="V1013" s="1" t="s">
        <v>41</v>
      </c>
      <c r="W1013" s="1" t="s">
        <v>49</v>
      </c>
      <c r="Z1013" s="14"/>
      <c r="AA1013" s="14"/>
    </row>
    <row r="1014" spans="1:27" hidden="1">
      <c r="A1014" s="1">
        <v>9297710</v>
      </c>
      <c r="B1014" s="1" t="s">
        <v>101</v>
      </c>
      <c r="C1014" t="s">
        <v>1810</v>
      </c>
      <c r="E1014" s="2">
        <v>5755000206001</v>
      </c>
      <c r="F1014" s="1" t="s">
        <v>29</v>
      </c>
      <c r="G1014" s="1" t="s">
        <v>53</v>
      </c>
      <c r="H1014" s="1" t="s">
        <v>841</v>
      </c>
      <c r="I1014" s="1" t="s">
        <v>842</v>
      </c>
      <c r="J1014" s="1" t="s">
        <v>46</v>
      </c>
      <c r="K1014" t="s">
        <v>34</v>
      </c>
      <c r="M1014" s="1" t="s">
        <v>35</v>
      </c>
      <c r="N1014" s="1">
        <v>42318949</v>
      </c>
      <c r="O1014" s="1" t="s">
        <v>105</v>
      </c>
      <c r="P1014" s="186">
        <v>44932.436064814814</v>
      </c>
      <c r="R1014" s="1" t="s">
        <v>38</v>
      </c>
      <c r="T1014" s="1" t="s">
        <v>74</v>
      </c>
      <c r="U1014" s="186">
        <v>44932.75</v>
      </c>
      <c r="V1014" s="1" t="s">
        <v>41</v>
      </c>
      <c r="W1014" s="1" t="s">
        <v>49</v>
      </c>
      <c r="Z1014" s="14"/>
      <c r="AA1014" s="14"/>
    </row>
    <row r="1015" spans="1:27" hidden="1">
      <c r="A1015" s="1">
        <v>9297706</v>
      </c>
      <c r="B1015" s="1" t="s">
        <v>101</v>
      </c>
      <c r="C1015" t="s">
        <v>1810</v>
      </c>
      <c r="E1015" s="2">
        <v>5749000206001</v>
      </c>
      <c r="F1015" s="1" t="s">
        <v>29</v>
      </c>
      <c r="G1015" s="1" t="s">
        <v>53</v>
      </c>
      <c r="H1015" s="1" t="s">
        <v>1811</v>
      </c>
      <c r="I1015" s="1" t="s">
        <v>1812</v>
      </c>
      <c r="J1015" s="1" t="s">
        <v>33</v>
      </c>
      <c r="K1015" t="s">
        <v>34</v>
      </c>
      <c r="M1015" s="1" t="s">
        <v>35</v>
      </c>
      <c r="N1015" s="1">
        <v>42318949</v>
      </c>
      <c r="O1015" s="1" t="s">
        <v>105</v>
      </c>
      <c r="P1015" s="186">
        <v>44932.436053240737</v>
      </c>
      <c r="R1015" s="1" t="s">
        <v>38</v>
      </c>
      <c r="T1015" s="1" t="s">
        <v>74</v>
      </c>
      <c r="U1015" s="186">
        <v>44932.75</v>
      </c>
      <c r="V1015" s="1" t="s">
        <v>41</v>
      </c>
      <c r="W1015" s="1" t="s">
        <v>42</v>
      </c>
      <c r="Z1015" s="14"/>
      <c r="AA1015" s="14"/>
    </row>
    <row r="1016" spans="1:27" hidden="1">
      <c r="A1016" s="1">
        <v>9297704</v>
      </c>
      <c r="B1016" s="1" t="s">
        <v>101</v>
      </c>
      <c r="C1016" t="s">
        <v>1810</v>
      </c>
      <c r="E1016" s="2">
        <v>5742000206001</v>
      </c>
      <c r="F1016" s="1" t="s">
        <v>29</v>
      </c>
      <c r="G1016" s="1" t="s">
        <v>53</v>
      </c>
      <c r="H1016" s="1" t="s">
        <v>430</v>
      </c>
      <c r="I1016" s="1" t="s">
        <v>431</v>
      </c>
      <c r="J1016" s="1" t="s">
        <v>79</v>
      </c>
      <c r="K1016" t="s">
        <v>34</v>
      </c>
      <c r="M1016" s="1" t="s">
        <v>35</v>
      </c>
      <c r="N1016" s="1">
        <v>42318949</v>
      </c>
      <c r="O1016" s="1" t="s">
        <v>105</v>
      </c>
      <c r="P1016" s="186">
        <v>44932.436053240737</v>
      </c>
      <c r="R1016" s="1" t="s">
        <v>38</v>
      </c>
      <c r="T1016" s="1" t="s">
        <v>74</v>
      </c>
      <c r="U1016" s="186">
        <v>44932.75</v>
      </c>
      <c r="V1016" s="1" t="s">
        <v>41</v>
      </c>
      <c r="W1016" s="1" t="s">
        <v>49</v>
      </c>
      <c r="Z1016" s="14"/>
      <c r="AA1016" s="14"/>
    </row>
    <row r="1017" spans="1:27" hidden="1">
      <c r="A1017" s="1">
        <v>9297703</v>
      </c>
      <c r="B1017" s="1" t="s">
        <v>101</v>
      </c>
      <c r="C1017" t="s">
        <v>1810</v>
      </c>
      <c r="E1017" s="2">
        <v>5740000206001</v>
      </c>
      <c r="F1017" s="1" t="s">
        <v>29</v>
      </c>
      <c r="G1017" s="1" t="s">
        <v>53</v>
      </c>
      <c r="H1017" s="1" t="s">
        <v>626</v>
      </c>
      <c r="I1017" s="1" t="s">
        <v>627</v>
      </c>
      <c r="J1017" s="1" t="s">
        <v>46</v>
      </c>
      <c r="K1017" t="s">
        <v>34</v>
      </c>
      <c r="M1017" s="1" t="s">
        <v>35</v>
      </c>
      <c r="N1017" s="1">
        <v>42318949</v>
      </c>
      <c r="O1017" s="1" t="s">
        <v>105</v>
      </c>
      <c r="P1017" s="186">
        <v>44932.436053240737</v>
      </c>
      <c r="R1017" s="1" t="s">
        <v>38</v>
      </c>
      <c r="T1017" s="1" t="s">
        <v>74</v>
      </c>
      <c r="U1017" s="186">
        <v>44932.75</v>
      </c>
      <c r="V1017" s="1" t="s">
        <v>41</v>
      </c>
      <c r="W1017" s="1" t="s">
        <v>49</v>
      </c>
      <c r="Z1017" s="14"/>
      <c r="AA1017" s="14"/>
    </row>
    <row r="1018" spans="1:27" hidden="1">
      <c r="A1018" s="1">
        <v>9297518</v>
      </c>
      <c r="B1018" s="1" t="s">
        <v>101</v>
      </c>
      <c r="C1018" t="s">
        <v>1810</v>
      </c>
      <c r="E1018" s="2">
        <v>4997000206001</v>
      </c>
      <c r="F1018" s="1" t="s">
        <v>29</v>
      </c>
      <c r="G1018" s="1" t="s">
        <v>53</v>
      </c>
      <c r="H1018" s="1" t="s">
        <v>406</v>
      </c>
      <c r="I1018" s="1" t="s">
        <v>407</v>
      </c>
      <c r="J1018" s="1" t="s">
        <v>79</v>
      </c>
      <c r="K1018" t="s">
        <v>34</v>
      </c>
      <c r="M1018" s="1" t="s">
        <v>35</v>
      </c>
      <c r="N1018" s="1">
        <v>42318949</v>
      </c>
      <c r="O1018" s="1" t="s">
        <v>105</v>
      </c>
      <c r="P1018" s="186">
        <v>44932.435624999998</v>
      </c>
      <c r="R1018" s="1" t="s">
        <v>38</v>
      </c>
      <c r="T1018" s="1" t="s">
        <v>74</v>
      </c>
      <c r="U1018" s="186">
        <v>44932.75</v>
      </c>
      <c r="V1018" s="1" t="s">
        <v>41</v>
      </c>
      <c r="W1018" s="1" t="s">
        <v>49</v>
      </c>
      <c r="Z1018" s="14"/>
      <c r="AA1018" s="14"/>
    </row>
    <row r="1019" spans="1:27" hidden="1">
      <c r="A1019" s="1">
        <v>9297506</v>
      </c>
      <c r="B1019" s="1" t="s">
        <v>101</v>
      </c>
      <c r="C1019" t="s">
        <v>1810</v>
      </c>
      <c r="E1019" s="2">
        <v>4930000206001</v>
      </c>
      <c r="F1019" s="1" t="s">
        <v>29</v>
      </c>
      <c r="G1019" s="1" t="s">
        <v>53</v>
      </c>
      <c r="H1019" s="1" t="s">
        <v>1813</v>
      </c>
      <c r="I1019" s="1" t="s">
        <v>1814</v>
      </c>
      <c r="J1019" s="1" t="s">
        <v>46</v>
      </c>
      <c r="K1019" t="s">
        <v>34</v>
      </c>
      <c r="M1019" s="1" t="s">
        <v>35</v>
      </c>
      <c r="N1019" s="1">
        <v>42318949</v>
      </c>
      <c r="O1019" s="1" t="s">
        <v>105</v>
      </c>
      <c r="P1019" s="186">
        <v>44932.435613425929</v>
      </c>
      <c r="R1019" s="1" t="s">
        <v>38</v>
      </c>
      <c r="T1019" s="1" t="s">
        <v>74</v>
      </c>
      <c r="U1019" s="186">
        <v>44932.75</v>
      </c>
      <c r="V1019" s="1" t="s">
        <v>41</v>
      </c>
      <c r="W1019" s="1" t="s">
        <v>49</v>
      </c>
      <c r="Z1019" s="14"/>
      <c r="AA1019" s="14"/>
    </row>
    <row r="1020" spans="1:27" hidden="1">
      <c r="A1020" s="1">
        <v>9297463</v>
      </c>
      <c r="B1020" s="1" t="s">
        <v>101</v>
      </c>
      <c r="C1020" t="s">
        <v>1810</v>
      </c>
      <c r="E1020" s="2">
        <v>4844920206001</v>
      </c>
      <c r="F1020" s="1" t="s">
        <v>29</v>
      </c>
      <c r="G1020" s="1" t="s">
        <v>53</v>
      </c>
      <c r="H1020" s="1" t="s">
        <v>1815</v>
      </c>
      <c r="I1020" s="1" t="s">
        <v>1816</v>
      </c>
      <c r="J1020" s="1" t="s">
        <v>211</v>
      </c>
      <c r="K1020" t="s">
        <v>34</v>
      </c>
      <c r="M1020" s="1" t="s">
        <v>35</v>
      </c>
      <c r="N1020" s="1">
        <v>42318949</v>
      </c>
      <c r="O1020" s="1" t="s">
        <v>105</v>
      </c>
      <c r="P1020" s="186">
        <v>44932.435555555552</v>
      </c>
      <c r="R1020" s="1" t="s">
        <v>38</v>
      </c>
      <c r="T1020" s="1" t="s">
        <v>74</v>
      </c>
      <c r="U1020" s="186">
        <v>44932.75</v>
      </c>
      <c r="V1020" s="1" t="s">
        <v>41</v>
      </c>
      <c r="W1020" s="1" t="s">
        <v>49</v>
      </c>
      <c r="Z1020" s="14"/>
      <c r="AA1020" s="14"/>
    </row>
    <row r="1021" spans="1:27" hidden="1">
      <c r="A1021" s="1">
        <v>9297342</v>
      </c>
      <c r="B1021" s="1" t="s">
        <v>101</v>
      </c>
      <c r="C1021" t="s">
        <v>1810</v>
      </c>
      <c r="E1021" s="2">
        <v>4637000206001</v>
      </c>
      <c r="F1021" s="1" t="s">
        <v>29</v>
      </c>
      <c r="G1021" s="1" t="s">
        <v>53</v>
      </c>
      <c r="H1021" s="1" t="s">
        <v>848</v>
      </c>
      <c r="I1021" s="1" t="s">
        <v>849</v>
      </c>
      <c r="J1021" s="1" t="s">
        <v>79</v>
      </c>
      <c r="K1021" t="s">
        <v>34</v>
      </c>
      <c r="M1021" s="1" t="s">
        <v>35</v>
      </c>
      <c r="N1021" s="1">
        <v>42318949</v>
      </c>
      <c r="O1021" s="1" t="s">
        <v>105</v>
      </c>
      <c r="P1021" s="186">
        <v>44932.435243055559</v>
      </c>
      <c r="R1021" s="1" t="s">
        <v>38</v>
      </c>
      <c r="T1021" s="1" t="s">
        <v>74</v>
      </c>
      <c r="U1021" s="186">
        <v>44932.75</v>
      </c>
      <c r="V1021" s="1" t="s">
        <v>41</v>
      </c>
      <c r="W1021" s="1" t="s">
        <v>49</v>
      </c>
      <c r="Z1021" s="14"/>
      <c r="AA1021" s="14"/>
    </row>
    <row r="1022" spans="1:27" hidden="1">
      <c r="A1022" s="1">
        <v>9297329</v>
      </c>
      <c r="B1022" s="1" t="s">
        <v>101</v>
      </c>
      <c r="C1022" t="s">
        <v>1810</v>
      </c>
      <c r="E1022" s="2">
        <v>4623000206001</v>
      </c>
      <c r="F1022" s="1" t="s">
        <v>29</v>
      </c>
      <c r="G1022" s="1" t="s">
        <v>53</v>
      </c>
      <c r="H1022" s="1" t="s">
        <v>669</v>
      </c>
      <c r="I1022" s="1" t="s">
        <v>670</v>
      </c>
      <c r="J1022" s="1" t="s">
        <v>33</v>
      </c>
      <c r="K1022" t="s">
        <v>34</v>
      </c>
      <c r="M1022" s="1" t="s">
        <v>35</v>
      </c>
      <c r="N1022" s="1">
        <v>42318949</v>
      </c>
      <c r="O1022" s="1" t="s">
        <v>105</v>
      </c>
      <c r="P1022" s="186">
        <v>44932.435219907406</v>
      </c>
      <c r="R1022" s="1" t="s">
        <v>38</v>
      </c>
      <c r="T1022" s="1" t="s">
        <v>74</v>
      </c>
      <c r="U1022" s="186">
        <v>44932.75</v>
      </c>
      <c r="V1022" s="1" t="s">
        <v>41</v>
      </c>
      <c r="W1022" s="1" t="s">
        <v>42</v>
      </c>
      <c r="Z1022" s="14"/>
      <c r="AA1022" s="14"/>
    </row>
    <row r="1023" spans="1:27" hidden="1">
      <c r="A1023" s="1">
        <v>9297061</v>
      </c>
      <c r="B1023" s="1" t="s">
        <v>101</v>
      </c>
      <c r="C1023" t="s">
        <v>1810</v>
      </c>
      <c r="E1023" s="2">
        <v>4235000206001</v>
      </c>
      <c r="F1023" s="1" t="s">
        <v>29</v>
      </c>
      <c r="G1023" s="1" t="s">
        <v>53</v>
      </c>
      <c r="H1023" s="1" t="s">
        <v>291</v>
      </c>
      <c r="I1023" s="1" t="s">
        <v>292</v>
      </c>
      <c r="J1023" s="1" t="s">
        <v>46</v>
      </c>
      <c r="K1023" t="s">
        <v>34</v>
      </c>
      <c r="M1023" s="1" t="s">
        <v>35</v>
      </c>
      <c r="N1023" s="1">
        <v>42318949</v>
      </c>
      <c r="O1023" s="1" t="s">
        <v>105</v>
      </c>
      <c r="P1023" s="186">
        <v>44932.434629629628</v>
      </c>
      <c r="R1023" s="1" t="s">
        <v>38</v>
      </c>
      <c r="T1023" s="1" t="s">
        <v>74</v>
      </c>
      <c r="U1023" s="186">
        <v>44932.75</v>
      </c>
      <c r="V1023" s="1" t="s">
        <v>41</v>
      </c>
      <c r="W1023" s="1" t="s">
        <v>49</v>
      </c>
      <c r="Z1023" s="14"/>
      <c r="AA1023" s="14"/>
    </row>
    <row r="1024" spans="1:27" hidden="1">
      <c r="A1024" s="1">
        <v>9296970</v>
      </c>
      <c r="B1024" s="1" t="s">
        <v>101</v>
      </c>
      <c r="C1024" t="s">
        <v>1810</v>
      </c>
      <c r="E1024" s="2">
        <v>4118000206001</v>
      </c>
      <c r="F1024" s="1" t="s">
        <v>29</v>
      </c>
      <c r="G1024" s="1" t="s">
        <v>53</v>
      </c>
      <c r="H1024" s="1" t="s">
        <v>71</v>
      </c>
      <c r="I1024" s="1" t="s">
        <v>72</v>
      </c>
      <c r="J1024" s="1" t="s">
        <v>46</v>
      </c>
      <c r="K1024" t="s">
        <v>34</v>
      </c>
      <c r="M1024" s="1" t="s">
        <v>35</v>
      </c>
      <c r="N1024" s="1">
        <v>42318949</v>
      </c>
      <c r="O1024" s="1" t="s">
        <v>105</v>
      </c>
      <c r="P1024" s="186">
        <v>44932.434421296297</v>
      </c>
      <c r="R1024" s="1" t="s">
        <v>38</v>
      </c>
      <c r="T1024" s="1" t="s">
        <v>74</v>
      </c>
      <c r="U1024" s="186">
        <v>44932.75</v>
      </c>
      <c r="V1024" s="1" t="s">
        <v>41</v>
      </c>
      <c r="W1024" s="1" t="s">
        <v>49</v>
      </c>
      <c r="Z1024" s="14"/>
      <c r="AA1024" s="14"/>
    </row>
    <row r="1025" spans="1:27" hidden="1">
      <c r="A1025" s="1">
        <v>9296940</v>
      </c>
      <c r="B1025" s="1" t="s">
        <v>101</v>
      </c>
      <c r="C1025" t="s">
        <v>1810</v>
      </c>
      <c r="E1025" s="2">
        <v>4076000206001</v>
      </c>
      <c r="F1025" s="1" t="s">
        <v>29</v>
      </c>
      <c r="G1025" s="1" t="s">
        <v>53</v>
      </c>
      <c r="H1025" s="1" t="s">
        <v>426</v>
      </c>
      <c r="I1025" s="1" t="s">
        <v>427</v>
      </c>
      <c r="J1025" s="1" t="s">
        <v>79</v>
      </c>
      <c r="K1025" t="s">
        <v>34</v>
      </c>
      <c r="M1025" s="1" t="s">
        <v>35</v>
      </c>
      <c r="N1025" s="1">
        <v>42318949</v>
      </c>
      <c r="O1025" s="1" t="s">
        <v>105</v>
      </c>
      <c r="P1025" s="186">
        <v>44932.434317129628</v>
      </c>
      <c r="R1025" s="1" t="s">
        <v>38</v>
      </c>
      <c r="T1025" s="1" t="s">
        <v>74</v>
      </c>
      <c r="U1025" s="186">
        <v>44932.75</v>
      </c>
      <c r="V1025" s="1" t="s">
        <v>41</v>
      </c>
      <c r="W1025" s="1" t="s">
        <v>49</v>
      </c>
      <c r="Z1025" s="14"/>
      <c r="AA1025" s="14"/>
    </row>
    <row r="1026" spans="1:27" hidden="1">
      <c r="A1026" s="1">
        <v>9296891</v>
      </c>
      <c r="B1026" s="1" t="s">
        <v>101</v>
      </c>
      <c r="C1026" t="s">
        <v>1810</v>
      </c>
      <c r="E1026" s="2">
        <v>4012000206001</v>
      </c>
      <c r="F1026" s="1" t="s">
        <v>29</v>
      </c>
      <c r="G1026" s="1" t="s">
        <v>53</v>
      </c>
      <c r="H1026" s="1" t="s">
        <v>349</v>
      </c>
      <c r="I1026" s="1" t="s">
        <v>350</v>
      </c>
      <c r="J1026" s="1" t="s">
        <v>261</v>
      </c>
      <c r="K1026" t="s">
        <v>34</v>
      </c>
      <c r="M1026" s="1" t="s">
        <v>35</v>
      </c>
      <c r="N1026" s="1">
        <v>42318949</v>
      </c>
      <c r="O1026" s="1" t="s">
        <v>105</v>
      </c>
      <c r="P1026" s="186">
        <v>44932.434236111112</v>
      </c>
      <c r="R1026" s="1" t="s">
        <v>38</v>
      </c>
      <c r="T1026" s="1" t="s">
        <v>74</v>
      </c>
      <c r="U1026" s="186">
        <v>44932.75</v>
      </c>
      <c r="V1026" s="1" t="s">
        <v>41</v>
      </c>
      <c r="W1026" s="1" t="s">
        <v>49</v>
      </c>
      <c r="Z1026" s="14"/>
      <c r="AA1026" s="14"/>
    </row>
    <row r="1027" spans="1:27" hidden="1">
      <c r="A1027" s="1">
        <v>9296815</v>
      </c>
      <c r="B1027" s="1" t="s">
        <v>101</v>
      </c>
      <c r="C1027" t="s">
        <v>1810</v>
      </c>
      <c r="E1027" s="2">
        <v>3924000206001</v>
      </c>
      <c r="F1027" s="1" t="s">
        <v>29</v>
      </c>
      <c r="G1027" s="1" t="s">
        <v>53</v>
      </c>
      <c r="H1027" s="1" t="s">
        <v>153</v>
      </c>
      <c r="I1027" s="1" t="s">
        <v>154</v>
      </c>
      <c r="J1027" s="1" t="s">
        <v>56</v>
      </c>
      <c r="K1027" t="s">
        <v>34</v>
      </c>
      <c r="M1027" s="1" t="s">
        <v>35</v>
      </c>
      <c r="N1027" s="1">
        <v>42318949</v>
      </c>
      <c r="O1027" s="1" t="s">
        <v>105</v>
      </c>
      <c r="P1027" s="186">
        <v>44932.434120370373</v>
      </c>
      <c r="R1027" s="1" t="s">
        <v>38</v>
      </c>
      <c r="T1027" s="1" t="s">
        <v>74</v>
      </c>
      <c r="U1027" s="186">
        <v>44932.75</v>
      </c>
      <c r="V1027" s="1" t="s">
        <v>41</v>
      </c>
      <c r="W1027" s="1" t="s">
        <v>49</v>
      </c>
      <c r="Z1027" s="14"/>
      <c r="AA1027" s="14"/>
    </row>
    <row r="1028" spans="1:27" hidden="1">
      <c r="A1028" s="1">
        <v>9296722</v>
      </c>
      <c r="B1028" s="1" t="s">
        <v>101</v>
      </c>
      <c r="C1028" t="s">
        <v>1810</v>
      </c>
      <c r="E1028" s="2">
        <v>3802000206001</v>
      </c>
      <c r="F1028" s="1" t="s">
        <v>29</v>
      </c>
      <c r="G1028" s="1" t="s">
        <v>53</v>
      </c>
      <c r="H1028" s="1" t="s">
        <v>319</v>
      </c>
      <c r="I1028" s="1" t="s">
        <v>320</v>
      </c>
      <c r="J1028" s="1" t="s">
        <v>148</v>
      </c>
      <c r="K1028" t="s">
        <v>34</v>
      </c>
      <c r="M1028" s="1" t="s">
        <v>35</v>
      </c>
      <c r="N1028" s="1">
        <v>42318949</v>
      </c>
      <c r="O1028" s="1" t="s">
        <v>105</v>
      </c>
      <c r="P1028" s="186">
        <v>44932.433958333335</v>
      </c>
      <c r="R1028" s="1" t="s">
        <v>38</v>
      </c>
      <c r="T1028" s="1" t="s">
        <v>74</v>
      </c>
      <c r="U1028" s="186">
        <v>44932.75</v>
      </c>
      <c r="V1028" s="1" t="s">
        <v>41</v>
      </c>
      <c r="W1028" s="1" t="s">
        <v>49</v>
      </c>
      <c r="Z1028" s="14"/>
      <c r="AA1028" s="14"/>
    </row>
    <row r="1029" spans="1:27" hidden="1">
      <c r="A1029" s="1">
        <v>9296577</v>
      </c>
      <c r="B1029" s="1" t="s">
        <v>101</v>
      </c>
      <c r="C1029" t="s">
        <v>1810</v>
      </c>
      <c r="E1029" s="2">
        <v>3613200206001</v>
      </c>
      <c r="F1029" s="1" t="s">
        <v>29</v>
      </c>
      <c r="G1029" s="1" t="s">
        <v>53</v>
      </c>
      <c r="H1029" s="1" t="s">
        <v>496</v>
      </c>
      <c r="I1029" s="1" t="s">
        <v>198</v>
      </c>
      <c r="J1029" s="1" t="s">
        <v>46</v>
      </c>
      <c r="K1029" t="s">
        <v>34</v>
      </c>
      <c r="M1029" s="1" t="s">
        <v>35</v>
      </c>
      <c r="N1029" s="1">
        <v>42318949</v>
      </c>
      <c r="O1029" s="1" t="s">
        <v>105</v>
      </c>
      <c r="P1029" s="186">
        <v>44932.433738425927</v>
      </c>
      <c r="R1029" s="1" t="s">
        <v>38</v>
      </c>
      <c r="T1029" s="1" t="s">
        <v>74</v>
      </c>
      <c r="U1029" s="186">
        <v>44932.75</v>
      </c>
      <c r="V1029" s="1" t="s">
        <v>41</v>
      </c>
      <c r="W1029" s="1" t="s">
        <v>49</v>
      </c>
      <c r="Z1029" s="14"/>
      <c r="AA1029" s="14"/>
    </row>
    <row r="1030" spans="1:27" hidden="1">
      <c r="A1030" s="1">
        <v>9296500</v>
      </c>
      <c r="B1030" s="1" t="s">
        <v>101</v>
      </c>
      <c r="C1030" t="s">
        <v>1810</v>
      </c>
      <c r="E1030" s="2">
        <v>3504000206001</v>
      </c>
      <c r="F1030" s="1" t="s">
        <v>29</v>
      </c>
      <c r="G1030" s="1" t="s">
        <v>53</v>
      </c>
      <c r="H1030" s="1" t="s">
        <v>585</v>
      </c>
      <c r="I1030" s="1" t="s">
        <v>586</v>
      </c>
      <c r="J1030" s="1" t="s">
        <v>46</v>
      </c>
      <c r="K1030" t="s">
        <v>34</v>
      </c>
      <c r="M1030" s="1" t="s">
        <v>35</v>
      </c>
      <c r="N1030" s="1">
        <v>42318949</v>
      </c>
      <c r="O1030" s="1" t="s">
        <v>105</v>
      </c>
      <c r="P1030" s="186">
        <v>44932.433541666665</v>
      </c>
      <c r="R1030" s="1" t="s">
        <v>38</v>
      </c>
      <c r="T1030" s="1" t="s">
        <v>74</v>
      </c>
      <c r="U1030" s="186">
        <v>44932.75</v>
      </c>
      <c r="V1030" s="1" t="s">
        <v>41</v>
      </c>
      <c r="W1030" s="1" t="s">
        <v>49</v>
      </c>
      <c r="Z1030" s="14"/>
      <c r="AA1030" s="14"/>
    </row>
    <row r="1031" spans="1:27" hidden="1">
      <c r="A1031" s="1">
        <v>9296499</v>
      </c>
      <c r="B1031" s="1" t="s">
        <v>101</v>
      </c>
      <c r="C1031" t="s">
        <v>1810</v>
      </c>
      <c r="E1031" s="2">
        <v>3503000206001</v>
      </c>
      <c r="F1031" s="1" t="s">
        <v>29</v>
      </c>
      <c r="G1031" s="1" t="s">
        <v>53</v>
      </c>
      <c r="H1031" s="1" t="s">
        <v>398</v>
      </c>
      <c r="I1031" s="1" t="s">
        <v>399</v>
      </c>
      <c r="J1031" s="1" t="s">
        <v>46</v>
      </c>
      <c r="K1031" t="s">
        <v>34</v>
      </c>
      <c r="M1031" s="1" t="s">
        <v>35</v>
      </c>
      <c r="N1031" s="1">
        <v>42318949</v>
      </c>
      <c r="O1031" s="1" t="s">
        <v>105</v>
      </c>
      <c r="P1031" s="186">
        <v>44932.433541666665</v>
      </c>
      <c r="R1031" s="1" t="s">
        <v>38</v>
      </c>
      <c r="T1031" s="1" t="s">
        <v>74</v>
      </c>
      <c r="U1031" s="186">
        <v>44932.75</v>
      </c>
      <c r="V1031" s="1" t="s">
        <v>41</v>
      </c>
      <c r="W1031" s="1" t="s">
        <v>49</v>
      </c>
      <c r="Z1031" s="14"/>
      <c r="AA1031" s="14"/>
    </row>
    <row r="1032" spans="1:27" hidden="1">
      <c r="A1032" s="1">
        <v>9296455</v>
      </c>
      <c r="B1032" s="1" t="s">
        <v>101</v>
      </c>
      <c r="C1032" t="s">
        <v>1810</v>
      </c>
      <c r="E1032" s="2">
        <v>3434000206001</v>
      </c>
      <c r="F1032" s="1" t="s">
        <v>29</v>
      </c>
      <c r="G1032" s="1" t="s">
        <v>53</v>
      </c>
      <c r="H1032" s="1" t="s">
        <v>1825</v>
      </c>
      <c r="I1032" s="1" t="s">
        <v>1826</v>
      </c>
      <c r="J1032" s="1" t="s">
        <v>46</v>
      </c>
      <c r="K1032" t="s">
        <v>34</v>
      </c>
      <c r="M1032" s="1" t="s">
        <v>35</v>
      </c>
      <c r="N1032" s="1">
        <v>42318949</v>
      </c>
      <c r="O1032" s="1" t="s">
        <v>105</v>
      </c>
      <c r="P1032" s="186">
        <v>44932.433472222219</v>
      </c>
      <c r="R1032" s="1" t="s">
        <v>38</v>
      </c>
      <c r="T1032" s="1" t="s">
        <v>74</v>
      </c>
      <c r="U1032" s="186">
        <v>44932.75</v>
      </c>
      <c r="V1032" s="1" t="s">
        <v>41</v>
      </c>
      <c r="W1032" s="1" t="s">
        <v>49</v>
      </c>
      <c r="Z1032" s="14"/>
      <c r="AA1032" s="14"/>
    </row>
    <row r="1033" spans="1:27" hidden="1">
      <c r="A1033" s="1">
        <v>9296322</v>
      </c>
      <c r="B1033" s="1" t="s">
        <v>101</v>
      </c>
      <c r="C1033" t="s">
        <v>1810</v>
      </c>
      <c r="E1033" s="2">
        <v>3258000206001</v>
      </c>
      <c r="F1033" s="1" t="s">
        <v>29</v>
      </c>
      <c r="G1033" s="1" t="s">
        <v>53</v>
      </c>
      <c r="H1033" s="1" t="s">
        <v>321</v>
      </c>
      <c r="I1033" s="1" t="s">
        <v>322</v>
      </c>
      <c r="J1033" s="1" t="s">
        <v>46</v>
      </c>
      <c r="K1033" t="s">
        <v>34</v>
      </c>
      <c r="M1033" s="1" t="s">
        <v>35</v>
      </c>
      <c r="N1033" s="1">
        <v>42318949</v>
      </c>
      <c r="O1033" s="1" t="s">
        <v>105</v>
      </c>
      <c r="P1033" s="186">
        <v>44932.433171296296</v>
      </c>
      <c r="R1033" s="1" t="s">
        <v>38</v>
      </c>
      <c r="T1033" s="1" t="s">
        <v>74</v>
      </c>
      <c r="U1033" s="186">
        <v>44932.75</v>
      </c>
      <c r="V1033" s="1" t="s">
        <v>41</v>
      </c>
      <c r="W1033" s="1" t="s">
        <v>49</v>
      </c>
      <c r="Z1033" s="14"/>
      <c r="AA1033" s="14"/>
    </row>
    <row r="1034" spans="1:27" hidden="1">
      <c r="A1034" s="1">
        <v>9296314</v>
      </c>
      <c r="B1034" s="1" t="s">
        <v>101</v>
      </c>
      <c r="C1034" t="s">
        <v>1810</v>
      </c>
      <c r="E1034" s="2">
        <v>3250000206001</v>
      </c>
      <c r="F1034" s="1" t="s">
        <v>29</v>
      </c>
      <c r="G1034" s="1" t="s">
        <v>53</v>
      </c>
      <c r="H1034" s="1" t="s">
        <v>371</v>
      </c>
      <c r="I1034" s="1" t="s">
        <v>372</v>
      </c>
      <c r="J1034" s="1" t="s">
        <v>46</v>
      </c>
      <c r="K1034" t="s">
        <v>34</v>
      </c>
      <c r="M1034" s="1" t="s">
        <v>35</v>
      </c>
      <c r="N1034" s="1">
        <v>42318949</v>
      </c>
      <c r="O1034" s="1" t="s">
        <v>105</v>
      </c>
      <c r="P1034" s="186">
        <v>44932.433159722219</v>
      </c>
      <c r="R1034" s="1" t="s">
        <v>38</v>
      </c>
      <c r="T1034" s="1" t="s">
        <v>74</v>
      </c>
      <c r="U1034" s="186">
        <v>44932.75</v>
      </c>
      <c r="V1034" s="1" t="s">
        <v>41</v>
      </c>
      <c r="W1034" s="1" t="s">
        <v>49</v>
      </c>
      <c r="Z1034" s="14"/>
      <c r="AA1034" s="14"/>
    </row>
    <row r="1035" spans="1:27" hidden="1">
      <c r="A1035" s="1">
        <v>9296309</v>
      </c>
      <c r="B1035" s="1" t="s">
        <v>101</v>
      </c>
      <c r="C1035" t="s">
        <v>1810</v>
      </c>
      <c r="E1035" s="2">
        <v>3243000206001</v>
      </c>
      <c r="F1035" s="1" t="s">
        <v>29</v>
      </c>
      <c r="G1035" s="1" t="s">
        <v>53</v>
      </c>
      <c r="H1035" s="1" t="s">
        <v>282</v>
      </c>
      <c r="I1035" s="1" t="s">
        <v>283</v>
      </c>
      <c r="J1035" s="1" t="s">
        <v>46</v>
      </c>
      <c r="K1035" t="s">
        <v>34</v>
      </c>
      <c r="M1035" s="1" t="s">
        <v>35</v>
      </c>
      <c r="N1035" s="1">
        <v>42318949</v>
      </c>
      <c r="O1035" s="1" t="s">
        <v>105</v>
      </c>
      <c r="P1035" s="186">
        <v>44932.433159722219</v>
      </c>
      <c r="R1035" s="1" t="s">
        <v>38</v>
      </c>
      <c r="T1035" s="1" t="s">
        <v>74</v>
      </c>
      <c r="U1035" s="186">
        <v>44932.75</v>
      </c>
      <c r="V1035" s="1" t="s">
        <v>41</v>
      </c>
      <c r="W1035" s="1" t="s">
        <v>49</v>
      </c>
      <c r="Z1035" s="14"/>
      <c r="AA1035" s="14"/>
    </row>
    <row r="1036" spans="1:27" hidden="1">
      <c r="A1036" s="1">
        <v>9296308</v>
      </c>
      <c r="B1036" s="1" t="s">
        <v>101</v>
      </c>
      <c r="C1036" t="s">
        <v>1810</v>
      </c>
      <c r="E1036" s="2">
        <v>3242000206001</v>
      </c>
      <c r="F1036" s="1" t="s">
        <v>29</v>
      </c>
      <c r="G1036" s="1" t="s">
        <v>53</v>
      </c>
      <c r="H1036" s="1" t="s">
        <v>461</v>
      </c>
      <c r="I1036" s="1" t="s">
        <v>462</v>
      </c>
      <c r="J1036" s="1" t="s">
        <v>46</v>
      </c>
      <c r="K1036" t="s">
        <v>34</v>
      </c>
      <c r="M1036" s="1" t="s">
        <v>35</v>
      </c>
      <c r="N1036" s="1">
        <v>42318949</v>
      </c>
      <c r="O1036" s="1" t="s">
        <v>105</v>
      </c>
      <c r="P1036" s="186">
        <v>44932.433148148149</v>
      </c>
      <c r="R1036" s="1" t="s">
        <v>38</v>
      </c>
      <c r="T1036" s="1" t="s">
        <v>74</v>
      </c>
      <c r="U1036" s="186">
        <v>44932.75</v>
      </c>
      <c r="V1036" s="1" t="s">
        <v>41</v>
      </c>
      <c r="W1036" s="1" t="s">
        <v>49</v>
      </c>
      <c r="Z1036" s="14"/>
      <c r="AA1036" s="14"/>
    </row>
    <row r="1037" spans="1:27" hidden="1">
      <c r="A1037" s="1">
        <v>9296305</v>
      </c>
      <c r="B1037" s="1" t="s">
        <v>101</v>
      </c>
      <c r="C1037" t="s">
        <v>1810</v>
      </c>
      <c r="E1037" s="2">
        <v>3237000206001</v>
      </c>
      <c r="F1037" s="1" t="s">
        <v>29</v>
      </c>
      <c r="G1037" s="1" t="s">
        <v>53</v>
      </c>
      <c r="H1037" s="1" t="s">
        <v>287</v>
      </c>
      <c r="I1037" s="1" t="s">
        <v>288</v>
      </c>
      <c r="J1037" s="1" t="s">
        <v>46</v>
      </c>
      <c r="K1037" t="s">
        <v>34</v>
      </c>
      <c r="M1037" s="1" t="s">
        <v>35</v>
      </c>
      <c r="N1037" s="1">
        <v>42318949</v>
      </c>
      <c r="O1037" s="1" t="s">
        <v>105</v>
      </c>
      <c r="P1037" s="186">
        <v>44932.433148148149</v>
      </c>
      <c r="R1037" s="1" t="s">
        <v>38</v>
      </c>
      <c r="T1037" s="1" t="s">
        <v>74</v>
      </c>
      <c r="U1037" s="186">
        <v>44932.75</v>
      </c>
      <c r="V1037" s="1" t="s">
        <v>41</v>
      </c>
      <c r="W1037" s="1" t="s">
        <v>49</v>
      </c>
      <c r="Z1037" s="14"/>
      <c r="AA1037" s="14"/>
    </row>
    <row r="1038" spans="1:27" hidden="1">
      <c r="A1038" s="1">
        <v>9296304</v>
      </c>
      <c r="B1038" s="1" t="s">
        <v>101</v>
      </c>
      <c r="C1038" t="s">
        <v>1810</v>
      </c>
      <c r="E1038" s="2">
        <v>3234000206001</v>
      </c>
      <c r="F1038" s="1" t="s">
        <v>29</v>
      </c>
      <c r="G1038" s="1" t="s">
        <v>53</v>
      </c>
      <c r="H1038" s="1" t="s">
        <v>1830</v>
      </c>
      <c r="I1038" s="1" t="s">
        <v>1831</v>
      </c>
      <c r="J1038" s="1" t="s">
        <v>46</v>
      </c>
      <c r="K1038" t="s">
        <v>34</v>
      </c>
      <c r="M1038" s="1" t="s">
        <v>35</v>
      </c>
      <c r="N1038" s="1">
        <v>42318949</v>
      </c>
      <c r="O1038" s="1" t="s">
        <v>105</v>
      </c>
      <c r="P1038" s="186">
        <v>44932.433148148149</v>
      </c>
      <c r="R1038" s="1" t="s">
        <v>38</v>
      </c>
      <c r="T1038" s="1" t="s">
        <v>74</v>
      </c>
      <c r="U1038" s="186">
        <v>44932.75</v>
      </c>
      <c r="V1038" s="1" t="s">
        <v>41</v>
      </c>
      <c r="W1038" s="1" t="s">
        <v>49</v>
      </c>
      <c r="Z1038" s="14"/>
      <c r="AA1038" s="14"/>
    </row>
    <row r="1039" spans="1:27" hidden="1">
      <c r="A1039" s="1">
        <v>9296208</v>
      </c>
      <c r="B1039" s="1" t="s">
        <v>101</v>
      </c>
      <c r="C1039" t="s">
        <v>1810</v>
      </c>
      <c r="E1039" s="2">
        <v>3108010206001</v>
      </c>
      <c r="F1039" s="1" t="s">
        <v>29</v>
      </c>
      <c r="G1039" s="1" t="s">
        <v>53</v>
      </c>
      <c r="H1039" s="1" t="s">
        <v>503</v>
      </c>
      <c r="I1039" s="1" t="s">
        <v>504</v>
      </c>
      <c r="J1039" s="1" t="s">
        <v>46</v>
      </c>
      <c r="K1039" t="s">
        <v>34</v>
      </c>
      <c r="M1039" s="1" t="s">
        <v>35</v>
      </c>
      <c r="N1039" s="1">
        <v>42318949</v>
      </c>
      <c r="O1039" s="1" t="s">
        <v>105</v>
      </c>
      <c r="P1039" s="186">
        <v>44932.432997685188</v>
      </c>
      <c r="R1039" s="1" t="s">
        <v>38</v>
      </c>
      <c r="T1039" s="1" t="s">
        <v>74</v>
      </c>
      <c r="U1039" s="186">
        <v>44932.75</v>
      </c>
      <c r="V1039" s="1" t="s">
        <v>41</v>
      </c>
      <c r="W1039" s="1" t="s">
        <v>49</v>
      </c>
      <c r="Z1039" s="14"/>
      <c r="AA1039" s="14"/>
    </row>
    <row r="1040" spans="1:27" hidden="1">
      <c r="A1040" s="1">
        <v>9296118</v>
      </c>
      <c r="B1040" s="1" t="s">
        <v>101</v>
      </c>
      <c r="C1040" t="s">
        <v>1810</v>
      </c>
      <c r="E1040" s="2">
        <v>2988000206001</v>
      </c>
      <c r="F1040" s="1" t="s">
        <v>29</v>
      </c>
      <c r="G1040" s="1" t="s">
        <v>53</v>
      </c>
      <c r="H1040" s="1" t="s">
        <v>536</v>
      </c>
      <c r="I1040" s="1" t="s">
        <v>537</v>
      </c>
      <c r="J1040" s="1" t="s">
        <v>46</v>
      </c>
      <c r="K1040" t="s">
        <v>34</v>
      </c>
      <c r="M1040" s="1" t="s">
        <v>35</v>
      </c>
      <c r="N1040" s="1">
        <v>42318949</v>
      </c>
      <c r="O1040" s="1" t="s">
        <v>105</v>
      </c>
      <c r="P1040" s="186">
        <v>44932.432847222219</v>
      </c>
      <c r="R1040" s="1" t="s">
        <v>38</v>
      </c>
      <c r="T1040" s="1" t="s">
        <v>74</v>
      </c>
      <c r="U1040" s="186">
        <v>44932.75</v>
      </c>
      <c r="V1040" s="1" t="s">
        <v>41</v>
      </c>
      <c r="W1040" s="1" t="s">
        <v>49</v>
      </c>
      <c r="Z1040" s="14"/>
      <c r="AA1040" s="14"/>
    </row>
    <row r="1041" spans="1:27" hidden="1">
      <c r="A1041" s="1">
        <v>9296006</v>
      </c>
      <c r="B1041" s="1" t="s">
        <v>101</v>
      </c>
      <c r="C1041" t="s">
        <v>1810</v>
      </c>
      <c r="E1041" s="2">
        <v>2855000206001</v>
      </c>
      <c r="F1041" s="1" t="s">
        <v>29</v>
      </c>
      <c r="G1041" s="1" t="s">
        <v>53</v>
      </c>
      <c r="H1041" s="1" t="s">
        <v>249</v>
      </c>
      <c r="I1041" s="1" t="s">
        <v>250</v>
      </c>
      <c r="J1041" s="1" t="s">
        <v>56</v>
      </c>
      <c r="K1041" t="s">
        <v>34</v>
      </c>
      <c r="M1041" s="1" t="s">
        <v>35</v>
      </c>
      <c r="N1041" s="1">
        <v>42318949</v>
      </c>
      <c r="O1041" s="1" t="s">
        <v>105</v>
      </c>
      <c r="P1041" s="186">
        <v>44932.432662037034</v>
      </c>
      <c r="R1041" s="1" t="s">
        <v>38</v>
      </c>
      <c r="T1041" s="1" t="s">
        <v>74</v>
      </c>
      <c r="U1041" s="186">
        <v>44932.75</v>
      </c>
      <c r="V1041" s="1" t="s">
        <v>41</v>
      </c>
      <c r="W1041" s="1" t="s">
        <v>49</v>
      </c>
      <c r="Z1041" s="14"/>
      <c r="AA1041" s="14"/>
    </row>
    <row r="1042" spans="1:27" hidden="1">
      <c r="A1042" s="1">
        <v>9295960</v>
      </c>
      <c r="B1042" s="1" t="s">
        <v>101</v>
      </c>
      <c r="C1042" t="s">
        <v>1810</v>
      </c>
      <c r="E1042" s="2">
        <v>2802080206001</v>
      </c>
      <c r="F1042" s="1" t="s">
        <v>29</v>
      </c>
      <c r="G1042" s="1" t="s">
        <v>53</v>
      </c>
      <c r="H1042" s="1" t="s">
        <v>1834</v>
      </c>
      <c r="I1042" s="1" t="s">
        <v>500</v>
      </c>
      <c r="J1042" s="1" t="s">
        <v>46</v>
      </c>
      <c r="K1042" t="s">
        <v>34</v>
      </c>
      <c r="M1042" s="1" t="s">
        <v>35</v>
      </c>
      <c r="N1042" s="1">
        <v>42318949</v>
      </c>
      <c r="O1042" s="1" t="s">
        <v>105</v>
      </c>
      <c r="P1042" s="186">
        <v>44932.432604166665</v>
      </c>
      <c r="R1042" s="1" t="s">
        <v>38</v>
      </c>
      <c r="T1042" s="1" t="s">
        <v>74</v>
      </c>
      <c r="U1042" s="186">
        <v>44932.75</v>
      </c>
      <c r="V1042" s="1" t="s">
        <v>41</v>
      </c>
      <c r="W1042" s="1" t="s">
        <v>49</v>
      </c>
      <c r="Z1042" s="14"/>
      <c r="AA1042" s="14"/>
    </row>
    <row r="1043" spans="1:27" hidden="1">
      <c r="A1043" s="1">
        <v>9295959</v>
      </c>
      <c r="B1043" s="1" t="s">
        <v>101</v>
      </c>
      <c r="C1043" t="s">
        <v>1810</v>
      </c>
      <c r="E1043" s="2">
        <v>2802000206001</v>
      </c>
      <c r="F1043" s="1" t="s">
        <v>29</v>
      </c>
      <c r="G1043" s="1" t="s">
        <v>53</v>
      </c>
      <c r="H1043" s="1" t="s">
        <v>388</v>
      </c>
      <c r="I1043" s="1" t="s">
        <v>389</v>
      </c>
      <c r="J1043" s="1" t="s">
        <v>46</v>
      </c>
      <c r="K1043" t="s">
        <v>34</v>
      </c>
      <c r="M1043" s="1" t="s">
        <v>35</v>
      </c>
      <c r="N1043" s="1">
        <v>42318949</v>
      </c>
      <c r="O1043" s="1" t="s">
        <v>105</v>
      </c>
      <c r="P1043" s="186">
        <v>44932.432592592595</v>
      </c>
      <c r="R1043" s="1" t="s">
        <v>38</v>
      </c>
      <c r="T1043" s="1" t="s">
        <v>74</v>
      </c>
      <c r="U1043" s="186">
        <v>44932.75</v>
      </c>
      <c r="V1043" s="1" t="s">
        <v>41</v>
      </c>
      <c r="W1043" s="1" t="s">
        <v>49</v>
      </c>
      <c r="Z1043" s="14"/>
      <c r="AA1043" s="14"/>
    </row>
    <row r="1044" spans="1:27" hidden="1">
      <c r="A1044" s="1">
        <v>9295897</v>
      </c>
      <c r="B1044" s="1" t="s">
        <v>101</v>
      </c>
      <c r="C1044" t="s">
        <v>1810</v>
      </c>
      <c r="E1044" s="2">
        <v>2737000206001</v>
      </c>
      <c r="F1044" s="1" t="s">
        <v>29</v>
      </c>
      <c r="G1044" s="1" t="s">
        <v>53</v>
      </c>
      <c r="H1044" s="1" t="s">
        <v>311</v>
      </c>
      <c r="I1044" s="1" t="s">
        <v>312</v>
      </c>
      <c r="J1044" s="1" t="s">
        <v>90</v>
      </c>
      <c r="K1044" t="s">
        <v>34</v>
      </c>
      <c r="M1044" s="1" t="s">
        <v>35</v>
      </c>
      <c r="N1044" s="1">
        <v>42318949</v>
      </c>
      <c r="O1044" s="1" t="s">
        <v>105</v>
      </c>
      <c r="P1044" s="186">
        <v>44932.432511574072</v>
      </c>
      <c r="R1044" s="1" t="s">
        <v>38</v>
      </c>
      <c r="T1044" s="1" t="s">
        <v>74</v>
      </c>
      <c r="U1044" s="186">
        <v>44932.75</v>
      </c>
      <c r="V1044" s="1" t="s">
        <v>41</v>
      </c>
      <c r="W1044" s="1" t="s">
        <v>49</v>
      </c>
      <c r="Z1044" s="14"/>
      <c r="AA1044" s="14"/>
    </row>
    <row r="1045" spans="1:27" hidden="1">
      <c r="A1045" s="1">
        <v>9295858</v>
      </c>
      <c r="B1045" s="1" t="s">
        <v>101</v>
      </c>
      <c r="C1045" t="s">
        <v>1810</v>
      </c>
      <c r="E1045" s="2">
        <v>2693000206001</v>
      </c>
      <c r="F1045" s="1" t="s">
        <v>29</v>
      </c>
      <c r="G1045" s="1" t="s">
        <v>53</v>
      </c>
      <c r="H1045" s="1" t="s">
        <v>253</v>
      </c>
      <c r="I1045" s="1" t="s">
        <v>254</v>
      </c>
      <c r="J1045" s="1" t="s">
        <v>56</v>
      </c>
      <c r="K1045" t="s">
        <v>34</v>
      </c>
      <c r="M1045" s="1" t="s">
        <v>35</v>
      </c>
      <c r="N1045" s="1">
        <v>42318949</v>
      </c>
      <c r="O1045" s="1" t="s">
        <v>105</v>
      </c>
      <c r="P1045" s="186">
        <v>44932.432453703703</v>
      </c>
      <c r="R1045" s="1" t="s">
        <v>38</v>
      </c>
      <c r="T1045" s="1" t="s">
        <v>74</v>
      </c>
      <c r="U1045" s="186">
        <v>44932.75</v>
      </c>
      <c r="V1045" s="1" t="s">
        <v>41</v>
      </c>
      <c r="W1045" s="1" t="s">
        <v>49</v>
      </c>
      <c r="Z1045" s="14"/>
      <c r="AA1045" s="14"/>
    </row>
    <row r="1046" spans="1:27" hidden="1">
      <c r="A1046" s="1">
        <v>9295849</v>
      </c>
      <c r="B1046" s="1" t="s">
        <v>101</v>
      </c>
      <c r="C1046" t="s">
        <v>1810</v>
      </c>
      <c r="E1046" s="2">
        <v>2683000206001</v>
      </c>
      <c r="F1046" s="1" t="s">
        <v>29</v>
      </c>
      <c r="G1046" s="1" t="s">
        <v>53</v>
      </c>
      <c r="H1046" s="1" t="s">
        <v>276</v>
      </c>
      <c r="I1046" s="1" t="s">
        <v>277</v>
      </c>
      <c r="J1046" s="1" t="s">
        <v>90</v>
      </c>
      <c r="K1046" t="s">
        <v>34</v>
      </c>
      <c r="M1046" s="1" t="s">
        <v>35</v>
      </c>
      <c r="N1046" s="1">
        <v>42318949</v>
      </c>
      <c r="O1046" s="1" t="s">
        <v>105</v>
      </c>
      <c r="P1046" s="186">
        <v>44932.432442129626</v>
      </c>
      <c r="R1046" s="1" t="s">
        <v>38</v>
      </c>
      <c r="T1046" s="1" t="s">
        <v>74</v>
      </c>
      <c r="U1046" s="186">
        <v>44932.75</v>
      </c>
      <c r="V1046" s="1" t="s">
        <v>41</v>
      </c>
      <c r="W1046" s="1" t="s">
        <v>49</v>
      </c>
      <c r="Z1046" s="14"/>
      <c r="AA1046" s="14"/>
    </row>
    <row r="1047" spans="1:27" hidden="1">
      <c r="A1047" s="1">
        <v>9295845</v>
      </c>
      <c r="B1047" s="1" t="s">
        <v>101</v>
      </c>
      <c r="C1047" t="s">
        <v>1810</v>
      </c>
      <c r="E1047" s="2">
        <v>2678000206001</v>
      </c>
      <c r="F1047" s="1" t="s">
        <v>29</v>
      </c>
      <c r="G1047" s="1" t="s">
        <v>53</v>
      </c>
      <c r="H1047" s="1" t="s">
        <v>992</v>
      </c>
      <c r="I1047" s="1" t="s">
        <v>993</v>
      </c>
      <c r="J1047" s="1" t="s">
        <v>33</v>
      </c>
      <c r="K1047" t="s">
        <v>34</v>
      </c>
      <c r="M1047" s="1" t="s">
        <v>35</v>
      </c>
      <c r="N1047" s="1">
        <v>42318949</v>
      </c>
      <c r="O1047" s="1" t="s">
        <v>105</v>
      </c>
      <c r="P1047" s="186">
        <v>44932.432442129626</v>
      </c>
      <c r="R1047" s="1" t="s">
        <v>38</v>
      </c>
      <c r="T1047" s="1" t="s">
        <v>74</v>
      </c>
      <c r="U1047" s="186">
        <v>44932.75</v>
      </c>
      <c r="V1047" s="1" t="s">
        <v>41</v>
      </c>
      <c r="W1047" s="1" t="s">
        <v>42</v>
      </c>
      <c r="Z1047" s="14"/>
      <c r="AA1047" s="14"/>
    </row>
    <row r="1048" spans="1:27" hidden="1">
      <c r="A1048" s="1">
        <v>9295840</v>
      </c>
      <c r="B1048" s="1" t="s">
        <v>101</v>
      </c>
      <c r="C1048" t="s">
        <v>1810</v>
      </c>
      <c r="E1048" s="2">
        <v>2669000206001</v>
      </c>
      <c r="F1048" s="1" t="s">
        <v>29</v>
      </c>
      <c r="G1048" s="1" t="s">
        <v>53</v>
      </c>
      <c r="H1048" s="1" t="s">
        <v>561</v>
      </c>
      <c r="I1048" s="1" t="s">
        <v>562</v>
      </c>
      <c r="J1048" s="1" t="s">
        <v>110</v>
      </c>
      <c r="K1048" t="s">
        <v>34</v>
      </c>
      <c r="M1048" s="1" t="s">
        <v>35</v>
      </c>
      <c r="N1048" s="1">
        <v>42318949</v>
      </c>
      <c r="O1048" s="1" t="s">
        <v>36</v>
      </c>
      <c r="P1048" s="186">
        <v>44932.432430555556</v>
      </c>
      <c r="R1048" s="1" t="s">
        <v>38</v>
      </c>
      <c r="T1048" s="1" t="s">
        <v>74</v>
      </c>
      <c r="U1048" s="186">
        <v>44932.75</v>
      </c>
      <c r="V1048" s="1" t="s">
        <v>41</v>
      </c>
      <c r="W1048" s="1" t="s">
        <v>49</v>
      </c>
      <c r="Z1048" s="14"/>
      <c r="AA1048" s="14"/>
    </row>
    <row r="1049" spans="1:27" hidden="1">
      <c r="A1049" s="1">
        <v>9295800</v>
      </c>
      <c r="B1049" s="1" t="s">
        <v>101</v>
      </c>
      <c r="C1049" t="s">
        <v>1810</v>
      </c>
      <c r="E1049" s="2">
        <v>2625000206001</v>
      </c>
      <c r="F1049" s="1" t="s">
        <v>29</v>
      </c>
      <c r="G1049" s="1" t="s">
        <v>53</v>
      </c>
      <c r="H1049" s="1" t="s">
        <v>317</v>
      </c>
      <c r="I1049" s="1" t="s">
        <v>318</v>
      </c>
      <c r="J1049" s="1" t="s">
        <v>164</v>
      </c>
      <c r="K1049" t="s">
        <v>34</v>
      </c>
      <c r="M1049" s="1" t="s">
        <v>35</v>
      </c>
      <c r="N1049" s="1">
        <v>42318949</v>
      </c>
      <c r="O1049" s="1" t="s">
        <v>105</v>
      </c>
      <c r="P1049" s="186">
        <v>44932.432384259257</v>
      </c>
      <c r="R1049" s="1" t="s">
        <v>38</v>
      </c>
      <c r="T1049" s="1" t="s">
        <v>74</v>
      </c>
      <c r="U1049" s="186">
        <v>44932.75</v>
      </c>
      <c r="V1049" s="1" t="s">
        <v>41</v>
      </c>
      <c r="W1049" s="1" t="s">
        <v>49</v>
      </c>
      <c r="Z1049" s="14"/>
      <c r="AA1049" s="14"/>
    </row>
    <row r="1050" spans="1:27" hidden="1">
      <c r="A1050" s="1">
        <v>9295771</v>
      </c>
      <c r="B1050" s="1" t="s">
        <v>101</v>
      </c>
      <c r="C1050" t="s">
        <v>1810</v>
      </c>
      <c r="E1050" s="2">
        <v>2590000206001</v>
      </c>
      <c r="F1050" s="1" t="s">
        <v>29</v>
      </c>
      <c r="G1050" s="1" t="s">
        <v>53</v>
      </c>
      <c r="H1050" s="1" t="s">
        <v>394</v>
      </c>
      <c r="I1050" s="1" t="s">
        <v>395</v>
      </c>
      <c r="J1050" s="1" t="s">
        <v>148</v>
      </c>
      <c r="K1050" t="s">
        <v>34</v>
      </c>
      <c r="M1050" s="1" t="s">
        <v>35</v>
      </c>
      <c r="N1050" s="1">
        <v>42318949</v>
      </c>
      <c r="O1050" s="1" t="s">
        <v>105</v>
      </c>
      <c r="P1050" s="186">
        <v>44932.432337962964</v>
      </c>
      <c r="R1050" s="1" t="s">
        <v>38</v>
      </c>
      <c r="T1050" s="1" t="s">
        <v>74</v>
      </c>
      <c r="U1050" s="186">
        <v>44932.75</v>
      </c>
      <c r="V1050" s="1" t="s">
        <v>41</v>
      </c>
      <c r="W1050" s="1" t="s">
        <v>49</v>
      </c>
      <c r="Z1050" s="14"/>
      <c r="AA1050" s="14"/>
    </row>
    <row r="1051" spans="1:27" hidden="1">
      <c r="A1051" s="1">
        <v>9295742</v>
      </c>
      <c r="B1051" s="1" t="s">
        <v>101</v>
      </c>
      <c r="C1051" t="s">
        <v>1810</v>
      </c>
      <c r="E1051" s="2">
        <v>2564000206001</v>
      </c>
      <c r="F1051" s="1" t="s">
        <v>29</v>
      </c>
      <c r="G1051" s="1" t="s">
        <v>53</v>
      </c>
      <c r="H1051" s="1" t="s">
        <v>255</v>
      </c>
      <c r="I1051" s="1" t="s">
        <v>256</v>
      </c>
      <c r="J1051" s="1" t="s">
        <v>164</v>
      </c>
      <c r="K1051" t="s">
        <v>34</v>
      </c>
      <c r="M1051" s="1" t="s">
        <v>35</v>
      </c>
      <c r="N1051" s="1">
        <v>42318949</v>
      </c>
      <c r="O1051" s="1" t="s">
        <v>105</v>
      </c>
      <c r="P1051" s="186">
        <v>44932.432303240741</v>
      </c>
      <c r="R1051" s="1" t="s">
        <v>38</v>
      </c>
      <c r="T1051" s="1" t="s">
        <v>74</v>
      </c>
      <c r="U1051" s="186">
        <v>44932.75</v>
      </c>
      <c r="V1051" s="1" t="s">
        <v>41</v>
      </c>
      <c r="W1051" s="1" t="s">
        <v>49</v>
      </c>
      <c r="Z1051" s="14"/>
      <c r="AA1051" s="14"/>
    </row>
    <row r="1052" spans="1:27" hidden="1">
      <c r="A1052" s="1">
        <v>9295739</v>
      </c>
      <c r="B1052" s="1" t="s">
        <v>101</v>
      </c>
      <c r="C1052" t="s">
        <v>1810</v>
      </c>
      <c r="E1052" s="2">
        <v>2559000206001</v>
      </c>
      <c r="F1052" s="1" t="s">
        <v>29</v>
      </c>
      <c r="G1052" s="1" t="s">
        <v>53</v>
      </c>
      <c r="H1052" s="1" t="s">
        <v>259</v>
      </c>
      <c r="I1052" s="1" t="s">
        <v>260</v>
      </c>
      <c r="J1052" s="1" t="s">
        <v>261</v>
      </c>
      <c r="K1052" t="s">
        <v>34</v>
      </c>
      <c r="M1052" s="1" t="s">
        <v>35</v>
      </c>
      <c r="N1052" s="1">
        <v>42318949</v>
      </c>
      <c r="O1052" s="1" t="s">
        <v>105</v>
      </c>
      <c r="P1052" s="186">
        <v>44932.432291666664</v>
      </c>
      <c r="R1052" s="1" t="s">
        <v>38</v>
      </c>
      <c r="T1052" s="1" t="s">
        <v>74</v>
      </c>
      <c r="U1052" s="186">
        <v>44932.75</v>
      </c>
      <c r="V1052" s="1" t="s">
        <v>41</v>
      </c>
      <c r="W1052" s="1" t="s">
        <v>49</v>
      </c>
      <c r="Z1052" s="14"/>
      <c r="AA1052" s="14"/>
    </row>
    <row r="1053" spans="1:27" hidden="1">
      <c r="A1053" s="1">
        <v>9295672</v>
      </c>
      <c r="B1053" s="1" t="s">
        <v>101</v>
      </c>
      <c r="C1053" t="s">
        <v>1810</v>
      </c>
      <c r="E1053" s="2">
        <v>2473000206001</v>
      </c>
      <c r="F1053" s="1" t="s">
        <v>29</v>
      </c>
      <c r="G1053" s="1" t="s">
        <v>53</v>
      </c>
      <c r="H1053" s="1" t="s">
        <v>1459</v>
      </c>
      <c r="I1053" s="1" t="s">
        <v>1460</v>
      </c>
      <c r="J1053" s="1" t="s">
        <v>261</v>
      </c>
      <c r="K1053" t="s">
        <v>34</v>
      </c>
      <c r="M1053" s="1" t="s">
        <v>35</v>
      </c>
      <c r="N1053" s="1">
        <v>42318949</v>
      </c>
      <c r="O1053" s="1" t="s">
        <v>105</v>
      </c>
      <c r="P1053" s="186">
        <v>44932.432199074072</v>
      </c>
      <c r="R1053" s="1" t="s">
        <v>38</v>
      </c>
      <c r="T1053" s="1" t="s">
        <v>74</v>
      </c>
      <c r="U1053" s="186">
        <v>44932.75</v>
      </c>
      <c r="V1053" s="1" t="s">
        <v>41</v>
      </c>
      <c r="W1053" s="1" t="s">
        <v>49</v>
      </c>
      <c r="Z1053" s="14"/>
      <c r="AA1053" s="14"/>
    </row>
    <row r="1054" spans="1:27" hidden="1">
      <c r="A1054" s="1">
        <v>9295637</v>
      </c>
      <c r="B1054" s="1" t="s">
        <v>101</v>
      </c>
      <c r="C1054" t="s">
        <v>1810</v>
      </c>
      <c r="E1054" s="2">
        <v>2437000206001</v>
      </c>
      <c r="F1054" s="1" t="s">
        <v>29</v>
      </c>
      <c r="G1054" s="1" t="s">
        <v>53</v>
      </c>
      <c r="H1054" s="1" t="s">
        <v>416</v>
      </c>
      <c r="I1054" s="1" t="s">
        <v>417</v>
      </c>
      <c r="J1054" s="1" t="s">
        <v>211</v>
      </c>
      <c r="K1054" t="s">
        <v>34</v>
      </c>
      <c r="M1054" s="1" t="s">
        <v>35</v>
      </c>
      <c r="N1054" s="1">
        <v>42318949</v>
      </c>
      <c r="O1054" s="1" t="s">
        <v>105</v>
      </c>
      <c r="P1054" s="186">
        <v>44932.432141203702</v>
      </c>
      <c r="R1054" s="1" t="s">
        <v>38</v>
      </c>
      <c r="T1054" s="1" t="s">
        <v>74</v>
      </c>
      <c r="U1054" s="186">
        <v>44932.75</v>
      </c>
      <c r="V1054" s="1" t="s">
        <v>41</v>
      </c>
      <c r="W1054" s="1" t="s">
        <v>49</v>
      </c>
      <c r="Z1054" s="14"/>
      <c r="AA1054" s="14"/>
    </row>
    <row r="1055" spans="1:27" hidden="1">
      <c r="A1055" s="1">
        <v>9295622</v>
      </c>
      <c r="B1055" s="1" t="s">
        <v>101</v>
      </c>
      <c r="C1055" t="s">
        <v>1810</v>
      </c>
      <c r="E1055" s="2">
        <v>2422000206001</v>
      </c>
      <c r="F1055" s="1" t="s">
        <v>29</v>
      </c>
      <c r="G1055" s="1" t="s">
        <v>53</v>
      </c>
      <c r="H1055" s="1" t="s">
        <v>1844</v>
      </c>
      <c r="I1055" s="1" t="s">
        <v>1845</v>
      </c>
      <c r="J1055" s="1" t="s">
        <v>211</v>
      </c>
      <c r="K1055" t="s">
        <v>34</v>
      </c>
      <c r="M1055" s="1" t="s">
        <v>35</v>
      </c>
      <c r="N1055" s="1">
        <v>42318949</v>
      </c>
      <c r="O1055" s="1" t="s">
        <v>105</v>
      </c>
      <c r="P1055" s="186">
        <v>44932.432118055556</v>
      </c>
      <c r="R1055" s="1" t="s">
        <v>38</v>
      </c>
      <c r="T1055" s="1" t="s">
        <v>74</v>
      </c>
      <c r="U1055" s="186">
        <v>44932.75</v>
      </c>
      <c r="V1055" s="1" t="s">
        <v>41</v>
      </c>
      <c r="W1055" s="1" t="s">
        <v>49</v>
      </c>
      <c r="Z1055" s="14"/>
      <c r="AA1055" s="14"/>
    </row>
    <row r="1056" spans="1:27" hidden="1">
      <c r="A1056" s="1">
        <v>9295613</v>
      </c>
      <c r="B1056" s="1" t="s">
        <v>101</v>
      </c>
      <c r="C1056" t="s">
        <v>1810</v>
      </c>
      <c r="E1056" s="2">
        <v>2413000206001</v>
      </c>
      <c r="F1056" s="1" t="s">
        <v>29</v>
      </c>
      <c r="G1056" s="1" t="s">
        <v>53</v>
      </c>
      <c r="H1056" s="1" t="s">
        <v>505</v>
      </c>
      <c r="I1056" s="1" t="s">
        <v>506</v>
      </c>
      <c r="J1056" s="1" t="s">
        <v>141</v>
      </c>
      <c r="K1056" t="s">
        <v>34</v>
      </c>
      <c r="M1056" s="1" t="s">
        <v>35</v>
      </c>
      <c r="N1056" s="1">
        <v>42318949</v>
      </c>
      <c r="O1056" s="1" t="s">
        <v>105</v>
      </c>
      <c r="P1056" s="186">
        <v>44932.432106481479</v>
      </c>
      <c r="R1056" s="1" t="s">
        <v>38</v>
      </c>
      <c r="T1056" s="1" t="s">
        <v>74</v>
      </c>
      <c r="U1056" s="186">
        <v>44932.75</v>
      </c>
      <c r="V1056" s="1" t="s">
        <v>41</v>
      </c>
      <c r="W1056" s="1" t="s">
        <v>49</v>
      </c>
      <c r="Z1056" s="14"/>
      <c r="AA1056" s="14"/>
    </row>
    <row r="1057" spans="1:27" hidden="1">
      <c r="A1057" s="1">
        <v>9295593</v>
      </c>
      <c r="B1057" s="1" t="s">
        <v>101</v>
      </c>
      <c r="C1057" t="s">
        <v>1810</v>
      </c>
      <c r="E1057" s="2">
        <v>2388000206001</v>
      </c>
      <c r="F1057" s="1" t="s">
        <v>29</v>
      </c>
      <c r="G1057" s="1" t="s">
        <v>53</v>
      </c>
      <c r="H1057" s="1" t="s">
        <v>299</v>
      </c>
      <c r="I1057" s="1" t="s">
        <v>300</v>
      </c>
      <c r="J1057" s="1" t="s">
        <v>79</v>
      </c>
      <c r="K1057" t="s">
        <v>34</v>
      </c>
      <c r="M1057" s="1" t="s">
        <v>35</v>
      </c>
      <c r="N1057" s="1">
        <v>42318949</v>
      </c>
      <c r="O1057" s="1" t="s">
        <v>105</v>
      </c>
      <c r="P1057" s="186">
        <v>44932.432083333333</v>
      </c>
      <c r="R1057" s="1" t="s">
        <v>38</v>
      </c>
      <c r="T1057" s="1" t="s">
        <v>74</v>
      </c>
      <c r="U1057" s="186">
        <v>44932.75</v>
      </c>
      <c r="V1057" s="1" t="s">
        <v>41</v>
      </c>
      <c r="W1057" s="1" t="s">
        <v>49</v>
      </c>
      <c r="Z1057" s="14"/>
      <c r="AA1057" s="14"/>
    </row>
    <row r="1058" spans="1:27" hidden="1">
      <c r="A1058" s="1">
        <v>9295576</v>
      </c>
      <c r="B1058" s="1" t="s">
        <v>101</v>
      </c>
      <c r="C1058" t="s">
        <v>1810</v>
      </c>
      <c r="E1058" s="2">
        <v>2371000206001</v>
      </c>
      <c r="F1058" s="1" t="s">
        <v>29</v>
      </c>
      <c r="G1058" s="1" t="s">
        <v>53</v>
      </c>
      <c r="H1058" s="1" t="s">
        <v>1000</v>
      </c>
      <c r="I1058" s="1" t="s">
        <v>1001</v>
      </c>
      <c r="J1058" s="1" t="s">
        <v>90</v>
      </c>
      <c r="K1058" t="s">
        <v>34</v>
      </c>
      <c r="M1058" s="1" t="s">
        <v>35</v>
      </c>
      <c r="N1058" s="1">
        <v>42318949</v>
      </c>
      <c r="O1058" s="1" t="s">
        <v>36</v>
      </c>
      <c r="P1058" s="186">
        <v>44932.432060185187</v>
      </c>
      <c r="R1058" s="1" t="s">
        <v>38</v>
      </c>
      <c r="T1058" s="1" t="s">
        <v>74</v>
      </c>
      <c r="U1058" s="186">
        <v>44932.75</v>
      </c>
      <c r="V1058" s="1" t="s">
        <v>41</v>
      </c>
      <c r="W1058" s="1" t="s">
        <v>49</v>
      </c>
      <c r="Z1058" s="14"/>
      <c r="AA1058" s="14"/>
    </row>
    <row r="1059" spans="1:27" hidden="1">
      <c r="A1059" s="1">
        <v>9295575</v>
      </c>
      <c r="B1059" s="1" t="s">
        <v>101</v>
      </c>
      <c r="C1059" t="s">
        <v>1810</v>
      </c>
      <c r="E1059" s="2">
        <v>2369000206001</v>
      </c>
      <c r="F1059" s="1" t="s">
        <v>29</v>
      </c>
      <c r="G1059" s="1" t="s">
        <v>53</v>
      </c>
      <c r="H1059" s="1" t="s">
        <v>701</v>
      </c>
      <c r="I1059" s="1" t="s">
        <v>702</v>
      </c>
      <c r="J1059" s="1" t="s">
        <v>141</v>
      </c>
      <c r="K1059" t="s">
        <v>34</v>
      </c>
      <c r="M1059" s="1" t="s">
        <v>35</v>
      </c>
      <c r="N1059" s="1">
        <v>42318949</v>
      </c>
      <c r="O1059" s="1" t="s">
        <v>105</v>
      </c>
      <c r="P1059" s="186">
        <v>44932.432060185187</v>
      </c>
      <c r="R1059" s="1" t="s">
        <v>38</v>
      </c>
      <c r="T1059" s="1" t="s">
        <v>74</v>
      </c>
      <c r="U1059" s="186">
        <v>44932.75</v>
      </c>
      <c r="V1059" s="1" t="s">
        <v>41</v>
      </c>
      <c r="W1059" s="1" t="s">
        <v>49</v>
      </c>
      <c r="Z1059" s="14"/>
      <c r="AA1059" s="14"/>
    </row>
    <row r="1060" spans="1:27" hidden="1">
      <c r="A1060" s="1">
        <v>9295544</v>
      </c>
      <c r="B1060" s="1" t="s">
        <v>101</v>
      </c>
      <c r="C1060" t="s">
        <v>1810</v>
      </c>
      <c r="E1060" s="2">
        <v>2335000206001</v>
      </c>
      <c r="F1060" s="1" t="s">
        <v>29</v>
      </c>
      <c r="G1060" s="1" t="s">
        <v>53</v>
      </c>
      <c r="H1060" s="1" t="s">
        <v>194</v>
      </c>
      <c r="I1060" s="1" t="s">
        <v>195</v>
      </c>
      <c r="J1060" s="1" t="s">
        <v>110</v>
      </c>
      <c r="K1060" t="s">
        <v>34</v>
      </c>
      <c r="M1060" s="1" t="s">
        <v>35</v>
      </c>
      <c r="N1060" s="1">
        <v>42318949</v>
      </c>
      <c r="O1060" s="1" t="s">
        <v>105</v>
      </c>
      <c r="P1060" s="186">
        <v>44932.432013888887</v>
      </c>
      <c r="R1060" s="1" t="s">
        <v>38</v>
      </c>
      <c r="T1060" s="1" t="s">
        <v>74</v>
      </c>
      <c r="U1060" s="186">
        <v>44932.75</v>
      </c>
      <c r="V1060" s="1" t="s">
        <v>41</v>
      </c>
      <c r="W1060" s="1" t="s">
        <v>49</v>
      </c>
      <c r="Z1060" s="14"/>
      <c r="AA1060" s="14"/>
    </row>
    <row r="1061" spans="1:27" hidden="1">
      <c r="A1061" s="1">
        <v>9295538</v>
      </c>
      <c r="B1061" s="1" t="s">
        <v>101</v>
      </c>
      <c r="C1061" t="s">
        <v>1810</v>
      </c>
      <c r="E1061" s="2">
        <v>2326000206001</v>
      </c>
      <c r="F1061" s="1" t="s">
        <v>29</v>
      </c>
      <c r="G1061" s="1" t="s">
        <v>53</v>
      </c>
      <c r="H1061" s="1" t="s">
        <v>191</v>
      </c>
      <c r="I1061" s="1" t="s">
        <v>192</v>
      </c>
      <c r="J1061" s="1" t="s">
        <v>46</v>
      </c>
      <c r="K1061" t="s">
        <v>34</v>
      </c>
      <c r="M1061" s="1" t="s">
        <v>35</v>
      </c>
      <c r="N1061" s="1">
        <v>42318949</v>
      </c>
      <c r="O1061" s="1" t="s">
        <v>105</v>
      </c>
      <c r="P1061" s="186">
        <v>44932.432002314818</v>
      </c>
      <c r="R1061" s="1" t="s">
        <v>38</v>
      </c>
      <c r="T1061" s="1" t="s">
        <v>74</v>
      </c>
      <c r="U1061" s="186">
        <v>44932.75</v>
      </c>
      <c r="V1061" s="1" t="s">
        <v>41</v>
      </c>
      <c r="W1061" s="1" t="s">
        <v>49</v>
      </c>
      <c r="Z1061" s="14"/>
      <c r="AA1061" s="14"/>
    </row>
    <row r="1062" spans="1:27" hidden="1">
      <c r="A1062" s="1">
        <v>9295476</v>
      </c>
      <c r="B1062" s="1" t="s">
        <v>101</v>
      </c>
      <c r="C1062" t="s">
        <v>1810</v>
      </c>
      <c r="E1062" s="2">
        <v>2257000206001</v>
      </c>
      <c r="F1062" s="1" t="s">
        <v>29</v>
      </c>
      <c r="G1062" s="1" t="s">
        <v>53</v>
      </c>
      <c r="H1062" s="1" t="s">
        <v>381</v>
      </c>
      <c r="I1062" s="1" t="s">
        <v>382</v>
      </c>
      <c r="J1062" s="1" t="s">
        <v>110</v>
      </c>
      <c r="K1062" t="s">
        <v>34</v>
      </c>
      <c r="M1062" s="1" t="s">
        <v>35</v>
      </c>
      <c r="N1062" s="1">
        <v>42318949</v>
      </c>
      <c r="O1062" s="1" t="s">
        <v>105</v>
      </c>
      <c r="P1062" s="186">
        <v>44932.431921296295</v>
      </c>
      <c r="R1062" s="1" t="s">
        <v>38</v>
      </c>
      <c r="T1062" s="1" t="s">
        <v>74</v>
      </c>
      <c r="U1062" s="186">
        <v>44932.75</v>
      </c>
      <c r="V1062" s="1" t="s">
        <v>41</v>
      </c>
      <c r="W1062" s="1" t="s">
        <v>49</v>
      </c>
      <c r="Z1062" s="14"/>
      <c r="AA1062" s="14"/>
    </row>
    <row r="1063" spans="1:27" hidden="1">
      <c r="A1063" s="1">
        <v>9295463</v>
      </c>
      <c r="B1063" s="1" t="s">
        <v>101</v>
      </c>
      <c r="C1063" t="s">
        <v>1810</v>
      </c>
      <c r="E1063" s="2">
        <v>2244000206001</v>
      </c>
      <c r="F1063" s="1" t="s">
        <v>29</v>
      </c>
      <c r="G1063" s="1" t="s">
        <v>53</v>
      </c>
      <c r="H1063" s="1" t="s">
        <v>1853</v>
      </c>
      <c r="I1063" s="1" t="s">
        <v>1854</v>
      </c>
      <c r="J1063" s="1" t="s">
        <v>79</v>
      </c>
      <c r="K1063" t="s">
        <v>34</v>
      </c>
      <c r="M1063" s="1" t="s">
        <v>35</v>
      </c>
      <c r="N1063" s="1">
        <v>42318949</v>
      </c>
      <c r="O1063" s="1" t="s">
        <v>105</v>
      </c>
      <c r="P1063" s="186">
        <v>44932.431909722225</v>
      </c>
      <c r="R1063" s="1" t="s">
        <v>38</v>
      </c>
      <c r="T1063" s="1" t="s">
        <v>74</v>
      </c>
      <c r="U1063" s="186">
        <v>44932.75</v>
      </c>
      <c r="V1063" s="1" t="s">
        <v>41</v>
      </c>
      <c r="W1063" s="1" t="s">
        <v>49</v>
      </c>
      <c r="Z1063" s="14"/>
      <c r="AA1063" s="14"/>
    </row>
    <row r="1064" spans="1:27" hidden="1">
      <c r="A1064" s="1">
        <v>9295457</v>
      </c>
      <c r="B1064" s="1" t="s">
        <v>101</v>
      </c>
      <c r="C1064" t="s">
        <v>1810</v>
      </c>
      <c r="E1064" s="2">
        <v>2238000206001</v>
      </c>
      <c r="F1064" s="1" t="s">
        <v>29</v>
      </c>
      <c r="G1064" s="1" t="s">
        <v>53</v>
      </c>
      <c r="H1064" s="1" t="s">
        <v>707</v>
      </c>
      <c r="I1064" s="1" t="s">
        <v>708</v>
      </c>
      <c r="J1064" s="1" t="s">
        <v>79</v>
      </c>
      <c r="K1064" t="s">
        <v>34</v>
      </c>
      <c r="M1064" s="1" t="s">
        <v>35</v>
      </c>
      <c r="N1064" s="1">
        <v>42318949</v>
      </c>
      <c r="O1064" s="1" t="s">
        <v>105</v>
      </c>
      <c r="P1064" s="186">
        <v>44932.431898148148</v>
      </c>
      <c r="R1064" s="1" t="s">
        <v>38</v>
      </c>
      <c r="T1064" s="1" t="s">
        <v>74</v>
      </c>
      <c r="U1064" s="186">
        <v>44932.75</v>
      </c>
      <c r="V1064" s="1" t="s">
        <v>41</v>
      </c>
      <c r="W1064" s="1" t="s">
        <v>49</v>
      </c>
      <c r="Z1064" s="14"/>
      <c r="AA1064" s="14"/>
    </row>
    <row r="1065" spans="1:27" hidden="1">
      <c r="A1065" s="1">
        <v>9295448</v>
      </c>
      <c r="B1065" s="1" t="s">
        <v>101</v>
      </c>
      <c r="C1065" t="s">
        <v>1810</v>
      </c>
      <c r="E1065" s="2">
        <v>2229000206001</v>
      </c>
      <c r="F1065" s="1" t="s">
        <v>29</v>
      </c>
      <c r="G1065" s="1" t="s">
        <v>53</v>
      </c>
      <c r="H1065" s="1" t="s">
        <v>339</v>
      </c>
      <c r="I1065" s="1" t="s">
        <v>340</v>
      </c>
      <c r="J1065" s="1" t="s">
        <v>211</v>
      </c>
      <c r="K1065" t="s">
        <v>34</v>
      </c>
      <c r="M1065" s="1" t="s">
        <v>35</v>
      </c>
      <c r="N1065" s="1">
        <v>42318949</v>
      </c>
      <c r="O1065" s="1" t="s">
        <v>105</v>
      </c>
      <c r="P1065" s="186">
        <v>44932.431886574072</v>
      </c>
      <c r="R1065" s="1" t="s">
        <v>38</v>
      </c>
      <c r="T1065" s="1" t="s">
        <v>74</v>
      </c>
      <c r="U1065" s="186">
        <v>44932.75</v>
      </c>
      <c r="V1065" s="1" t="s">
        <v>41</v>
      </c>
      <c r="W1065" s="1" t="s">
        <v>49</v>
      </c>
      <c r="Z1065" s="14"/>
      <c r="AA1065" s="14"/>
    </row>
    <row r="1066" spans="1:27" hidden="1">
      <c r="A1066" s="1">
        <v>9295438</v>
      </c>
      <c r="B1066" s="1" t="s">
        <v>101</v>
      </c>
      <c r="C1066" t="s">
        <v>1810</v>
      </c>
      <c r="E1066" s="2">
        <v>2219000206001</v>
      </c>
      <c r="F1066" s="1" t="s">
        <v>29</v>
      </c>
      <c r="G1066" s="1" t="s">
        <v>53</v>
      </c>
      <c r="H1066" s="1" t="s">
        <v>893</v>
      </c>
      <c r="I1066" s="1" t="s">
        <v>894</v>
      </c>
      <c r="J1066" s="1" t="s">
        <v>141</v>
      </c>
      <c r="K1066" t="s">
        <v>34</v>
      </c>
      <c r="M1066" s="1" t="s">
        <v>35</v>
      </c>
      <c r="N1066" s="1">
        <v>42318949</v>
      </c>
      <c r="O1066" s="1" t="s">
        <v>105</v>
      </c>
      <c r="P1066" s="186">
        <v>44932.431875000002</v>
      </c>
      <c r="R1066" s="1" t="s">
        <v>38</v>
      </c>
      <c r="T1066" s="1" t="s">
        <v>74</v>
      </c>
      <c r="U1066" s="186">
        <v>44932.75</v>
      </c>
      <c r="V1066" s="1" t="s">
        <v>41</v>
      </c>
      <c r="W1066" s="1" t="s">
        <v>49</v>
      </c>
      <c r="Z1066" s="14"/>
      <c r="AA1066" s="14"/>
    </row>
    <row r="1067" spans="1:27" hidden="1">
      <c r="A1067" s="1">
        <v>9295414</v>
      </c>
      <c r="B1067" s="1" t="s">
        <v>101</v>
      </c>
      <c r="C1067" t="s">
        <v>1810</v>
      </c>
      <c r="E1067" s="2">
        <v>2196000206001</v>
      </c>
      <c r="F1067" s="1" t="s">
        <v>29</v>
      </c>
      <c r="G1067" s="1" t="s">
        <v>53</v>
      </c>
      <c r="H1067" s="1" t="s">
        <v>1252</v>
      </c>
      <c r="I1067" s="1" t="s">
        <v>1253</v>
      </c>
      <c r="J1067" s="1" t="s">
        <v>33</v>
      </c>
      <c r="K1067" t="s">
        <v>34</v>
      </c>
      <c r="M1067" s="1" t="s">
        <v>35</v>
      </c>
      <c r="N1067" s="1">
        <v>42318949</v>
      </c>
      <c r="O1067" s="1" t="s">
        <v>36</v>
      </c>
      <c r="P1067" s="186">
        <v>44932.431840277779</v>
      </c>
      <c r="R1067" s="1" t="s">
        <v>38</v>
      </c>
      <c r="T1067" s="1" t="s">
        <v>74</v>
      </c>
      <c r="U1067" s="186">
        <v>44932.75</v>
      </c>
      <c r="V1067" s="1" t="s">
        <v>41</v>
      </c>
      <c r="W1067" s="1" t="s">
        <v>42</v>
      </c>
      <c r="Z1067" s="14"/>
      <c r="AA1067" s="14"/>
    </row>
    <row r="1068" spans="1:27" hidden="1">
      <c r="A1068" s="1">
        <v>9295358</v>
      </c>
      <c r="B1068" s="1" t="s">
        <v>101</v>
      </c>
      <c r="C1068" t="s">
        <v>1810</v>
      </c>
      <c r="E1068" s="2">
        <v>2138000206001</v>
      </c>
      <c r="F1068" s="1" t="s">
        <v>29</v>
      </c>
      <c r="G1068" s="1" t="s">
        <v>53</v>
      </c>
      <c r="H1068" s="1" t="s">
        <v>379</v>
      </c>
      <c r="I1068" s="1" t="s">
        <v>380</v>
      </c>
      <c r="J1068" s="1" t="s">
        <v>46</v>
      </c>
      <c r="K1068" t="s">
        <v>34</v>
      </c>
      <c r="M1068" s="1" t="s">
        <v>35</v>
      </c>
      <c r="N1068" s="1">
        <v>42318949</v>
      </c>
      <c r="O1068" s="1" t="s">
        <v>105</v>
      </c>
      <c r="P1068" s="186">
        <v>44932.431759259256</v>
      </c>
      <c r="R1068" s="1" t="s">
        <v>38</v>
      </c>
      <c r="T1068" s="1" t="s">
        <v>74</v>
      </c>
      <c r="U1068" s="186">
        <v>44932.75</v>
      </c>
      <c r="V1068" s="1" t="s">
        <v>41</v>
      </c>
      <c r="W1068" s="1" t="s">
        <v>49</v>
      </c>
      <c r="Z1068" s="14"/>
      <c r="AA1068" s="14"/>
    </row>
    <row r="1069" spans="1:27" hidden="1">
      <c r="A1069" s="1">
        <v>9295348</v>
      </c>
      <c r="B1069" s="1" t="s">
        <v>101</v>
      </c>
      <c r="C1069" t="s">
        <v>1810</v>
      </c>
      <c r="E1069" s="2">
        <v>2125000206001</v>
      </c>
      <c r="F1069" s="1" t="s">
        <v>29</v>
      </c>
      <c r="G1069" s="1" t="s">
        <v>53</v>
      </c>
      <c r="H1069" s="1" t="s">
        <v>1399</v>
      </c>
      <c r="I1069" s="1" t="s">
        <v>1400</v>
      </c>
      <c r="J1069" s="1" t="s">
        <v>211</v>
      </c>
      <c r="K1069" t="s">
        <v>34</v>
      </c>
      <c r="M1069" s="1" t="s">
        <v>35</v>
      </c>
      <c r="N1069" s="1">
        <v>42318949</v>
      </c>
      <c r="O1069" s="1" t="s">
        <v>105</v>
      </c>
      <c r="P1069" s="186">
        <v>44932.431747685187</v>
      </c>
      <c r="R1069" s="1" t="s">
        <v>38</v>
      </c>
      <c r="T1069" s="1" t="s">
        <v>74</v>
      </c>
      <c r="U1069" s="186">
        <v>44932.75</v>
      </c>
      <c r="V1069" s="1" t="s">
        <v>41</v>
      </c>
      <c r="W1069" s="1" t="s">
        <v>49</v>
      </c>
      <c r="Z1069" s="14"/>
      <c r="AA1069" s="14"/>
    </row>
    <row r="1070" spans="1:27" hidden="1">
      <c r="A1070" s="1">
        <v>9295334</v>
      </c>
      <c r="B1070" s="1" t="s">
        <v>101</v>
      </c>
      <c r="C1070" t="s">
        <v>1810</v>
      </c>
      <c r="E1070" s="2">
        <v>2107000206001</v>
      </c>
      <c r="F1070" s="1" t="s">
        <v>29</v>
      </c>
      <c r="G1070" s="1" t="s">
        <v>53</v>
      </c>
      <c r="H1070" s="1" t="s">
        <v>262</v>
      </c>
      <c r="I1070" s="1" t="s">
        <v>263</v>
      </c>
      <c r="J1070" s="1" t="s">
        <v>164</v>
      </c>
      <c r="K1070" t="s">
        <v>34</v>
      </c>
      <c r="M1070" s="1" t="s">
        <v>35</v>
      </c>
      <c r="N1070" s="1">
        <v>42318949</v>
      </c>
      <c r="O1070" s="1" t="s">
        <v>105</v>
      </c>
      <c r="P1070" s="186">
        <v>44932.43172453704</v>
      </c>
      <c r="R1070" s="1" t="s">
        <v>38</v>
      </c>
      <c r="T1070" s="1" t="s">
        <v>74</v>
      </c>
      <c r="U1070" s="186">
        <v>44932.75</v>
      </c>
      <c r="V1070" s="1" t="s">
        <v>41</v>
      </c>
      <c r="W1070" s="1" t="s">
        <v>49</v>
      </c>
      <c r="Z1070" s="14"/>
      <c r="AA1070" s="14"/>
    </row>
    <row r="1071" spans="1:27" hidden="1">
      <c r="A1071" s="1">
        <v>9295312</v>
      </c>
      <c r="B1071" s="1" t="s">
        <v>101</v>
      </c>
      <c r="C1071" t="s">
        <v>1810</v>
      </c>
      <c r="E1071" s="2">
        <v>2081000206001</v>
      </c>
      <c r="F1071" s="1" t="s">
        <v>29</v>
      </c>
      <c r="G1071" s="1" t="s">
        <v>53</v>
      </c>
      <c r="H1071" s="1" t="s">
        <v>590</v>
      </c>
      <c r="I1071" s="1" t="s">
        <v>591</v>
      </c>
      <c r="J1071" s="1" t="s">
        <v>261</v>
      </c>
      <c r="K1071" t="s">
        <v>34</v>
      </c>
      <c r="M1071" s="1" t="s">
        <v>35</v>
      </c>
      <c r="N1071" s="1">
        <v>42318949</v>
      </c>
      <c r="O1071" s="1" t="s">
        <v>105</v>
      </c>
      <c r="P1071" s="186">
        <v>44932.431689814817</v>
      </c>
      <c r="R1071" s="1" t="s">
        <v>38</v>
      </c>
      <c r="T1071" s="1" t="s">
        <v>74</v>
      </c>
      <c r="U1071" s="186">
        <v>44932.75</v>
      </c>
      <c r="V1071" s="1" t="s">
        <v>41</v>
      </c>
      <c r="W1071" s="1" t="s">
        <v>49</v>
      </c>
      <c r="Z1071" s="14"/>
      <c r="AA1071" s="14"/>
    </row>
    <row r="1072" spans="1:27" hidden="1">
      <c r="A1072" s="1">
        <v>9295301</v>
      </c>
      <c r="B1072" s="1" t="s">
        <v>101</v>
      </c>
      <c r="C1072" t="s">
        <v>1810</v>
      </c>
      <c r="E1072" s="2">
        <v>2069000206001</v>
      </c>
      <c r="F1072" s="1" t="s">
        <v>29</v>
      </c>
      <c r="G1072" s="1" t="s">
        <v>53</v>
      </c>
      <c r="H1072" s="1" t="s">
        <v>557</v>
      </c>
      <c r="I1072" s="1" t="s">
        <v>558</v>
      </c>
      <c r="J1072" s="1" t="s">
        <v>90</v>
      </c>
      <c r="K1072" t="s">
        <v>34</v>
      </c>
      <c r="M1072" s="1" t="s">
        <v>35</v>
      </c>
      <c r="N1072" s="1">
        <v>42318949</v>
      </c>
      <c r="O1072" s="1" t="s">
        <v>105</v>
      </c>
      <c r="P1072" s="186">
        <v>44932.43167824074</v>
      </c>
      <c r="R1072" s="1" t="s">
        <v>38</v>
      </c>
      <c r="T1072" s="1" t="s">
        <v>74</v>
      </c>
      <c r="U1072" s="186">
        <v>44932.75</v>
      </c>
      <c r="V1072" s="1" t="s">
        <v>41</v>
      </c>
      <c r="W1072" s="1" t="s">
        <v>49</v>
      </c>
      <c r="Z1072" s="14"/>
      <c r="AA1072" s="14"/>
    </row>
    <row r="1073" spans="1:27" hidden="1">
      <c r="A1073" s="1">
        <v>9295258</v>
      </c>
      <c r="B1073" s="1" t="s">
        <v>101</v>
      </c>
      <c r="C1073" t="s">
        <v>1810</v>
      </c>
      <c r="E1073" s="2">
        <v>2018000206001</v>
      </c>
      <c r="F1073" s="1" t="s">
        <v>29</v>
      </c>
      <c r="G1073" s="1" t="s">
        <v>53</v>
      </c>
      <c r="H1073" s="1" t="s">
        <v>598</v>
      </c>
      <c r="I1073" s="1" t="s">
        <v>599</v>
      </c>
      <c r="J1073" s="1" t="s">
        <v>79</v>
      </c>
      <c r="K1073" t="s">
        <v>34</v>
      </c>
      <c r="M1073" s="1" t="s">
        <v>35</v>
      </c>
      <c r="N1073" s="1">
        <v>42318949</v>
      </c>
      <c r="O1073" s="1" t="s">
        <v>105</v>
      </c>
      <c r="P1073" s="186">
        <v>44932.431597222225</v>
      </c>
      <c r="R1073" s="1" t="s">
        <v>38</v>
      </c>
      <c r="T1073" s="1" t="s">
        <v>74</v>
      </c>
      <c r="U1073" s="186">
        <v>44932.75</v>
      </c>
      <c r="V1073" s="1" t="s">
        <v>41</v>
      </c>
      <c r="W1073" s="1" t="s">
        <v>49</v>
      </c>
      <c r="Z1073" s="14"/>
      <c r="AA1073" s="14"/>
    </row>
    <row r="1074" spans="1:27" hidden="1">
      <c r="A1074" s="1">
        <v>9295224</v>
      </c>
      <c r="B1074" s="1" t="s">
        <v>101</v>
      </c>
      <c r="C1074" t="s">
        <v>1810</v>
      </c>
      <c r="E1074" s="2">
        <v>1943000206001</v>
      </c>
      <c r="F1074" s="1" t="s">
        <v>29</v>
      </c>
      <c r="G1074" s="1" t="s">
        <v>53</v>
      </c>
      <c r="H1074" s="1" t="s">
        <v>264</v>
      </c>
      <c r="I1074" s="1" t="s">
        <v>265</v>
      </c>
      <c r="J1074" s="1" t="s">
        <v>56</v>
      </c>
      <c r="K1074" t="s">
        <v>34</v>
      </c>
      <c r="M1074" s="1" t="s">
        <v>35</v>
      </c>
      <c r="N1074" s="1">
        <v>42318949</v>
      </c>
      <c r="O1074" s="1" t="s">
        <v>105</v>
      </c>
      <c r="P1074" s="186">
        <v>44932.431550925925</v>
      </c>
      <c r="R1074" s="1" t="s">
        <v>38</v>
      </c>
      <c r="T1074" s="1" t="s">
        <v>74</v>
      </c>
      <c r="U1074" s="186">
        <v>44932.75</v>
      </c>
      <c r="V1074" s="1" t="s">
        <v>41</v>
      </c>
      <c r="W1074" s="1" t="s">
        <v>49</v>
      </c>
      <c r="Z1074" s="14"/>
      <c r="AA1074" s="14"/>
    </row>
    <row r="1075" spans="1:27" hidden="1">
      <c r="A1075" s="1">
        <v>9295212</v>
      </c>
      <c r="B1075" s="1" t="s">
        <v>101</v>
      </c>
      <c r="C1075" t="s">
        <v>1810</v>
      </c>
      <c r="E1075" s="2">
        <v>1924000206001</v>
      </c>
      <c r="F1075" s="1" t="s">
        <v>29</v>
      </c>
      <c r="G1075" s="1" t="s">
        <v>53</v>
      </c>
      <c r="H1075" s="1" t="s">
        <v>568</v>
      </c>
      <c r="I1075" s="1" t="s">
        <v>569</v>
      </c>
      <c r="J1075" s="1" t="s">
        <v>33</v>
      </c>
      <c r="K1075" t="s">
        <v>34</v>
      </c>
      <c r="M1075" s="1" t="s">
        <v>35</v>
      </c>
      <c r="N1075" s="1">
        <v>42318949</v>
      </c>
      <c r="O1075" s="1" t="s">
        <v>105</v>
      </c>
      <c r="P1075" s="186">
        <v>44932.431539351855</v>
      </c>
      <c r="R1075" s="1" t="s">
        <v>38</v>
      </c>
      <c r="T1075" s="1" t="s">
        <v>74</v>
      </c>
      <c r="U1075" s="186">
        <v>44932.75</v>
      </c>
      <c r="V1075" s="1" t="s">
        <v>41</v>
      </c>
      <c r="W1075" s="1" t="s">
        <v>49</v>
      </c>
      <c r="Z1075" s="14"/>
      <c r="AA1075" s="14"/>
    </row>
    <row r="1076" spans="1:27" hidden="1">
      <c r="A1076" s="1">
        <v>9295207</v>
      </c>
      <c r="B1076" s="1" t="s">
        <v>101</v>
      </c>
      <c r="C1076" t="s">
        <v>1810</v>
      </c>
      <c r="E1076" s="2">
        <v>1903220206001</v>
      </c>
      <c r="F1076" s="1" t="s">
        <v>29</v>
      </c>
      <c r="G1076" s="1" t="s">
        <v>53</v>
      </c>
      <c r="H1076" s="1" t="s">
        <v>1867</v>
      </c>
      <c r="I1076" s="1" t="s">
        <v>1868</v>
      </c>
      <c r="J1076" s="1" t="s">
        <v>211</v>
      </c>
      <c r="K1076" t="s">
        <v>34</v>
      </c>
      <c r="M1076" s="1" t="s">
        <v>35</v>
      </c>
      <c r="N1076" s="1">
        <v>42318949</v>
      </c>
      <c r="O1076" s="1" t="s">
        <v>105</v>
      </c>
      <c r="P1076" s="186">
        <v>44932.431527777779</v>
      </c>
      <c r="R1076" s="1" t="s">
        <v>38</v>
      </c>
      <c r="T1076" s="1" t="s">
        <v>74</v>
      </c>
      <c r="U1076" s="186">
        <v>44932.75</v>
      </c>
      <c r="V1076" s="1" t="s">
        <v>41</v>
      </c>
      <c r="W1076" s="1" t="s">
        <v>49</v>
      </c>
      <c r="Z1076" s="14"/>
      <c r="AA1076" s="14"/>
    </row>
    <row r="1077" spans="1:27" hidden="1">
      <c r="A1077" s="1">
        <v>9295158</v>
      </c>
      <c r="B1077" s="1" t="s">
        <v>101</v>
      </c>
      <c r="C1077" t="s">
        <v>1810</v>
      </c>
      <c r="E1077" s="2">
        <v>1838000206001</v>
      </c>
      <c r="F1077" s="1" t="s">
        <v>29</v>
      </c>
      <c r="G1077" s="1" t="s">
        <v>53</v>
      </c>
      <c r="H1077" s="1" t="s">
        <v>357</v>
      </c>
      <c r="I1077" s="1" t="s">
        <v>358</v>
      </c>
      <c r="J1077" s="1" t="s">
        <v>46</v>
      </c>
      <c r="K1077" t="s">
        <v>34</v>
      </c>
      <c r="M1077" s="1" t="s">
        <v>35</v>
      </c>
      <c r="N1077" s="1">
        <v>42318949</v>
      </c>
      <c r="O1077" s="1" t="s">
        <v>105</v>
      </c>
      <c r="P1077" s="186">
        <v>44932.431458333333</v>
      </c>
      <c r="R1077" s="1" t="s">
        <v>38</v>
      </c>
      <c r="T1077" s="1" t="s">
        <v>74</v>
      </c>
      <c r="U1077" s="186">
        <v>44932.75</v>
      </c>
      <c r="V1077" s="1" t="s">
        <v>41</v>
      </c>
      <c r="W1077" s="1" t="s">
        <v>49</v>
      </c>
      <c r="Z1077" s="14"/>
      <c r="AA1077" s="14"/>
    </row>
    <row r="1078" spans="1:27" hidden="1">
      <c r="A1078" s="1">
        <v>9295157</v>
      </c>
      <c r="B1078" s="1" t="s">
        <v>101</v>
      </c>
      <c r="C1078" t="s">
        <v>1810</v>
      </c>
      <c r="E1078" s="2">
        <v>1837000206001</v>
      </c>
      <c r="F1078" s="1" t="s">
        <v>29</v>
      </c>
      <c r="G1078" s="1" t="s">
        <v>53</v>
      </c>
      <c r="H1078" s="1" t="s">
        <v>1785</v>
      </c>
      <c r="I1078" s="1" t="s">
        <v>1786</v>
      </c>
      <c r="J1078" s="1" t="s">
        <v>46</v>
      </c>
      <c r="K1078" t="s">
        <v>34</v>
      </c>
      <c r="M1078" s="1" t="s">
        <v>35</v>
      </c>
      <c r="N1078" s="1">
        <v>42318949</v>
      </c>
      <c r="O1078" s="1" t="s">
        <v>105</v>
      </c>
      <c r="P1078" s="186">
        <v>44932.431458333333</v>
      </c>
      <c r="R1078" s="1" t="s">
        <v>38</v>
      </c>
      <c r="T1078" s="1" t="s">
        <v>74</v>
      </c>
      <c r="U1078" s="186">
        <v>44932.75</v>
      </c>
      <c r="V1078" s="1" t="s">
        <v>41</v>
      </c>
      <c r="W1078" s="1" t="s">
        <v>49</v>
      </c>
      <c r="Z1078" s="14"/>
      <c r="AA1078" s="14"/>
    </row>
    <row r="1079" spans="1:27" hidden="1">
      <c r="A1079" s="1">
        <v>9295156</v>
      </c>
      <c r="B1079" s="1" t="s">
        <v>101</v>
      </c>
      <c r="C1079" t="s">
        <v>1810</v>
      </c>
      <c r="E1079" s="2">
        <v>1835000206001</v>
      </c>
      <c r="F1079" s="1" t="s">
        <v>29</v>
      </c>
      <c r="G1079" s="1" t="s">
        <v>53</v>
      </c>
      <c r="H1079" s="1" t="s">
        <v>305</v>
      </c>
      <c r="I1079" s="1" t="s">
        <v>306</v>
      </c>
      <c r="J1079" s="1" t="s">
        <v>46</v>
      </c>
      <c r="K1079" t="s">
        <v>34</v>
      </c>
      <c r="M1079" s="1" t="s">
        <v>35</v>
      </c>
      <c r="N1079" s="1">
        <v>42318949</v>
      </c>
      <c r="O1079" s="1" t="s">
        <v>105</v>
      </c>
      <c r="P1079" s="186">
        <v>44932.431458333333</v>
      </c>
      <c r="R1079" s="1" t="s">
        <v>38</v>
      </c>
      <c r="T1079" s="1" t="s">
        <v>74</v>
      </c>
      <c r="U1079" s="186">
        <v>44932.75</v>
      </c>
      <c r="V1079" s="1" t="s">
        <v>41</v>
      </c>
      <c r="W1079" s="1" t="s">
        <v>49</v>
      </c>
      <c r="Z1079" s="14"/>
      <c r="AA1079" s="14"/>
    </row>
    <row r="1080" spans="1:27" hidden="1">
      <c r="A1080" s="1">
        <v>9295154</v>
      </c>
      <c r="B1080" s="1" t="s">
        <v>101</v>
      </c>
      <c r="C1080" t="s">
        <v>1810</v>
      </c>
      <c r="E1080" s="2">
        <v>1833000206001</v>
      </c>
      <c r="F1080" s="1" t="s">
        <v>29</v>
      </c>
      <c r="G1080" s="1" t="s">
        <v>53</v>
      </c>
      <c r="H1080" s="1" t="s">
        <v>369</v>
      </c>
      <c r="I1080" s="1" t="s">
        <v>370</v>
      </c>
      <c r="J1080" s="1" t="s">
        <v>46</v>
      </c>
      <c r="K1080" t="s">
        <v>34</v>
      </c>
      <c r="M1080" s="1" t="s">
        <v>35</v>
      </c>
      <c r="N1080" s="1">
        <v>42318949</v>
      </c>
      <c r="O1080" s="1" t="s">
        <v>105</v>
      </c>
      <c r="P1080" s="186">
        <v>44932.431446759256</v>
      </c>
      <c r="R1080" s="1" t="s">
        <v>38</v>
      </c>
      <c r="T1080" s="1" t="s">
        <v>74</v>
      </c>
      <c r="U1080" s="186">
        <v>44932.75</v>
      </c>
      <c r="V1080" s="1" t="s">
        <v>41</v>
      </c>
      <c r="W1080" s="1" t="s">
        <v>49</v>
      </c>
      <c r="Z1080" s="14"/>
      <c r="AA1080" s="14"/>
    </row>
    <row r="1081" spans="1:27" hidden="1">
      <c r="A1081" s="1">
        <v>9295142</v>
      </c>
      <c r="B1081" s="1" t="s">
        <v>101</v>
      </c>
      <c r="C1081" t="s">
        <v>1810</v>
      </c>
      <c r="E1081" s="2">
        <v>1814000206001</v>
      </c>
      <c r="F1081" s="1" t="s">
        <v>29</v>
      </c>
      <c r="G1081" s="1" t="s">
        <v>53</v>
      </c>
      <c r="H1081" s="1" t="s">
        <v>396</v>
      </c>
      <c r="I1081" s="1" t="s">
        <v>397</v>
      </c>
      <c r="J1081" s="1" t="s">
        <v>46</v>
      </c>
      <c r="K1081" t="s">
        <v>34</v>
      </c>
      <c r="M1081" s="1" t="s">
        <v>35</v>
      </c>
      <c r="N1081" s="1">
        <v>42318949</v>
      </c>
      <c r="O1081" s="1" t="s">
        <v>105</v>
      </c>
      <c r="P1081" s="186">
        <v>44932.431435185186</v>
      </c>
      <c r="R1081" s="1" t="s">
        <v>38</v>
      </c>
      <c r="T1081" s="1" t="s">
        <v>74</v>
      </c>
      <c r="U1081" s="186">
        <v>44932.75</v>
      </c>
      <c r="V1081" s="1" t="s">
        <v>41</v>
      </c>
      <c r="W1081" s="1" t="s">
        <v>49</v>
      </c>
      <c r="Z1081" s="14"/>
      <c r="AA1081" s="14"/>
    </row>
    <row r="1082" spans="1:27" hidden="1">
      <c r="A1082" s="1">
        <v>9295124</v>
      </c>
      <c r="B1082" s="1" t="s">
        <v>101</v>
      </c>
      <c r="C1082" t="s">
        <v>1810</v>
      </c>
      <c r="E1082" s="2">
        <v>1792000206001</v>
      </c>
      <c r="F1082" s="1" t="s">
        <v>29</v>
      </c>
      <c r="G1082" s="1" t="s">
        <v>53</v>
      </c>
      <c r="H1082" s="1" t="s">
        <v>467</v>
      </c>
      <c r="I1082" s="1" t="s">
        <v>468</v>
      </c>
      <c r="J1082" s="1" t="s">
        <v>110</v>
      </c>
      <c r="K1082" t="s">
        <v>34</v>
      </c>
      <c r="M1082" s="1" t="s">
        <v>35</v>
      </c>
      <c r="N1082" s="1">
        <v>42318949</v>
      </c>
      <c r="O1082" s="1" t="s">
        <v>105</v>
      </c>
      <c r="P1082" s="186">
        <v>44932.431400462963</v>
      </c>
      <c r="R1082" s="1" t="s">
        <v>38</v>
      </c>
      <c r="T1082" s="1" t="s">
        <v>74</v>
      </c>
      <c r="U1082" s="186">
        <v>44932.75</v>
      </c>
      <c r="V1082" s="1" t="s">
        <v>41</v>
      </c>
      <c r="W1082" s="1" t="s">
        <v>49</v>
      </c>
      <c r="Z1082" s="14"/>
      <c r="AA1082" s="14"/>
    </row>
    <row r="1083" spans="1:27" hidden="1">
      <c r="A1083" s="1">
        <v>9295100</v>
      </c>
      <c r="B1083" s="1" t="s">
        <v>101</v>
      </c>
      <c r="C1083" t="s">
        <v>1810</v>
      </c>
      <c r="E1083" s="2">
        <v>1764000206001</v>
      </c>
      <c r="F1083" s="1" t="s">
        <v>29</v>
      </c>
      <c r="G1083" s="1" t="s">
        <v>53</v>
      </c>
      <c r="H1083" s="1" t="s">
        <v>722</v>
      </c>
      <c r="I1083" s="1" t="s">
        <v>723</v>
      </c>
      <c r="J1083" s="1" t="s">
        <v>90</v>
      </c>
      <c r="K1083" t="s">
        <v>34</v>
      </c>
      <c r="M1083" s="1" t="s">
        <v>35</v>
      </c>
      <c r="N1083" s="1">
        <v>42318949</v>
      </c>
      <c r="O1083" s="1" t="s">
        <v>105</v>
      </c>
      <c r="P1083" s="186">
        <v>44932.43136574074</v>
      </c>
      <c r="R1083" s="1" t="s">
        <v>38</v>
      </c>
      <c r="T1083" s="1" t="s">
        <v>74</v>
      </c>
      <c r="U1083" s="186">
        <v>44932.75</v>
      </c>
      <c r="V1083" s="1" t="s">
        <v>41</v>
      </c>
      <c r="W1083" s="1" t="s">
        <v>49</v>
      </c>
      <c r="Z1083" s="14"/>
      <c r="AA1083" s="14"/>
    </row>
    <row r="1084" spans="1:27" hidden="1">
      <c r="A1084" s="1">
        <v>9295076</v>
      </c>
      <c r="B1084" s="1" t="s">
        <v>101</v>
      </c>
      <c r="C1084" t="s">
        <v>1810</v>
      </c>
      <c r="E1084" s="2">
        <v>1739000206001</v>
      </c>
      <c r="F1084" s="1" t="s">
        <v>29</v>
      </c>
      <c r="G1084" s="1" t="s">
        <v>53</v>
      </c>
      <c r="H1084" s="1" t="s">
        <v>162</v>
      </c>
      <c r="I1084" s="1" t="s">
        <v>163</v>
      </c>
      <c r="J1084" s="1" t="s">
        <v>164</v>
      </c>
      <c r="K1084" t="s">
        <v>34</v>
      </c>
      <c r="M1084" s="1" t="s">
        <v>35</v>
      </c>
      <c r="N1084" s="1">
        <v>42318949</v>
      </c>
      <c r="O1084" s="1" t="s">
        <v>105</v>
      </c>
      <c r="P1084" s="186">
        <v>44932.431331018517</v>
      </c>
      <c r="R1084" s="1" t="s">
        <v>38</v>
      </c>
      <c r="T1084" s="1" t="s">
        <v>74</v>
      </c>
      <c r="U1084" s="186">
        <v>44932.75</v>
      </c>
      <c r="V1084" s="1" t="s">
        <v>41</v>
      </c>
      <c r="W1084" s="1" t="s">
        <v>49</v>
      </c>
      <c r="Z1084" s="14"/>
      <c r="AA1084" s="14"/>
    </row>
    <row r="1085" spans="1:27" hidden="1">
      <c r="A1085" s="1">
        <v>9295072</v>
      </c>
      <c r="B1085" s="1" t="s">
        <v>101</v>
      </c>
      <c r="C1085" t="s">
        <v>1810</v>
      </c>
      <c r="E1085" s="2">
        <v>1732000206001</v>
      </c>
      <c r="F1085" s="1" t="s">
        <v>29</v>
      </c>
      <c r="G1085" s="1" t="s">
        <v>53</v>
      </c>
      <c r="H1085" s="1" t="s">
        <v>177</v>
      </c>
      <c r="I1085" s="1" t="s">
        <v>178</v>
      </c>
      <c r="J1085" s="1" t="s">
        <v>164</v>
      </c>
      <c r="K1085" t="s">
        <v>34</v>
      </c>
      <c r="M1085" s="1" t="s">
        <v>35</v>
      </c>
      <c r="N1085" s="1">
        <v>42318949</v>
      </c>
      <c r="O1085" s="1" t="s">
        <v>105</v>
      </c>
      <c r="P1085" s="186">
        <v>44932.431331018517</v>
      </c>
      <c r="R1085" s="1" t="s">
        <v>38</v>
      </c>
      <c r="T1085" s="1" t="s">
        <v>74</v>
      </c>
      <c r="U1085" s="186">
        <v>44932.75</v>
      </c>
      <c r="V1085" s="1" t="s">
        <v>41</v>
      </c>
      <c r="W1085" s="1" t="s">
        <v>49</v>
      </c>
      <c r="Z1085" s="14"/>
      <c r="AA1085" s="14"/>
    </row>
    <row r="1086" spans="1:27" hidden="1">
      <c r="A1086" s="1">
        <v>9295049</v>
      </c>
      <c r="B1086" s="1" t="s">
        <v>101</v>
      </c>
      <c r="C1086" t="s">
        <v>1810</v>
      </c>
      <c r="E1086" s="2">
        <v>1710000206001</v>
      </c>
      <c r="F1086" s="1" t="s">
        <v>29</v>
      </c>
      <c r="G1086" s="1" t="s">
        <v>53</v>
      </c>
      <c r="H1086" s="1" t="s">
        <v>327</v>
      </c>
      <c r="I1086" s="1" t="s">
        <v>328</v>
      </c>
      <c r="J1086" s="1" t="s">
        <v>261</v>
      </c>
      <c r="K1086" t="s">
        <v>34</v>
      </c>
      <c r="M1086" s="1" t="s">
        <v>35</v>
      </c>
      <c r="N1086" s="1">
        <v>42318949</v>
      </c>
      <c r="O1086" s="1" t="s">
        <v>105</v>
      </c>
      <c r="P1086" s="186">
        <v>44932.431296296294</v>
      </c>
      <c r="R1086" s="1" t="s">
        <v>38</v>
      </c>
      <c r="T1086" s="1" t="s">
        <v>74</v>
      </c>
      <c r="U1086" s="186">
        <v>44932.75</v>
      </c>
      <c r="V1086" s="1" t="s">
        <v>41</v>
      </c>
      <c r="W1086" s="1" t="s">
        <v>49</v>
      </c>
      <c r="Z1086" s="14"/>
      <c r="AA1086" s="14"/>
    </row>
    <row r="1087" spans="1:27" hidden="1">
      <c r="A1087" s="1">
        <v>9295007</v>
      </c>
      <c r="B1087" s="1" t="s">
        <v>101</v>
      </c>
      <c r="C1087" t="s">
        <v>1810</v>
      </c>
      <c r="E1087" s="2">
        <v>1666000206001</v>
      </c>
      <c r="F1087" s="1" t="s">
        <v>29</v>
      </c>
      <c r="G1087" s="1" t="s">
        <v>53</v>
      </c>
      <c r="H1087" s="1" t="s">
        <v>414</v>
      </c>
      <c r="I1087" s="1" t="s">
        <v>415</v>
      </c>
      <c r="J1087" s="1" t="s">
        <v>79</v>
      </c>
      <c r="K1087" t="s">
        <v>34</v>
      </c>
      <c r="M1087" s="1" t="s">
        <v>35</v>
      </c>
      <c r="N1087" s="1">
        <v>42318949</v>
      </c>
      <c r="O1087" s="1" t="s">
        <v>36</v>
      </c>
      <c r="P1087" s="186">
        <v>44932.431215277778</v>
      </c>
      <c r="R1087" s="1" t="s">
        <v>38</v>
      </c>
      <c r="T1087" s="1" t="s">
        <v>74</v>
      </c>
      <c r="U1087" s="186">
        <v>44932.75</v>
      </c>
      <c r="V1087" s="1" t="s">
        <v>41</v>
      </c>
      <c r="W1087" s="1" t="s">
        <v>49</v>
      </c>
      <c r="Z1087" s="14"/>
      <c r="AA1087" s="14"/>
    </row>
    <row r="1088" spans="1:27" hidden="1">
      <c r="A1088" s="1">
        <v>9295003</v>
      </c>
      <c r="B1088" s="1" t="s">
        <v>101</v>
      </c>
      <c r="C1088" t="s">
        <v>1810</v>
      </c>
      <c r="E1088" s="2">
        <v>1664000206001</v>
      </c>
      <c r="F1088" s="1" t="s">
        <v>29</v>
      </c>
      <c r="G1088" s="1" t="s">
        <v>53</v>
      </c>
      <c r="H1088" s="1" t="s">
        <v>307</v>
      </c>
      <c r="I1088" s="1" t="s">
        <v>308</v>
      </c>
      <c r="J1088" s="1" t="s">
        <v>164</v>
      </c>
      <c r="K1088" t="s">
        <v>34</v>
      </c>
      <c r="M1088" s="1" t="s">
        <v>35</v>
      </c>
      <c r="N1088" s="1">
        <v>42318949</v>
      </c>
      <c r="O1088" s="1" t="s">
        <v>105</v>
      </c>
      <c r="P1088" s="186">
        <v>44932.431215277778</v>
      </c>
      <c r="R1088" s="1" t="s">
        <v>38</v>
      </c>
      <c r="T1088" s="1" t="s">
        <v>74</v>
      </c>
      <c r="U1088" s="186">
        <v>44932.75</v>
      </c>
      <c r="V1088" s="1" t="s">
        <v>41</v>
      </c>
      <c r="W1088" s="1" t="s">
        <v>49</v>
      </c>
      <c r="Z1088" s="14"/>
      <c r="AA1088" s="14"/>
    </row>
    <row r="1089" spans="1:27" hidden="1">
      <c r="A1089" s="1">
        <v>9294987</v>
      </c>
      <c r="B1089" s="1" t="s">
        <v>101</v>
      </c>
      <c r="C1089" t="s">
        <v>1810</v>
      </c>
      <c r="E1089" s="2">
        <v>1650000206001</v>
      </c>
      <c r="F1089" s="1" t="s">
        <v>29</v>
      </c>
      <c r="G1089" s="1" t="s">
        <v>53</v>
      </c>
      <c r="H1089" s="1" t="s">
        <v>620</v>
      </c>
      <c r="I1089" s="1" t="s">
        <v>621</v>
      </c>
      <c r="J1089" s="1" t="s">
        <v>141</v>
      </c>
      <c r="K1089" t="s">
        <v>34</v>
      </c>
      <c r="M1089" s="1" t="s">
        <v>35</v>
      </c>
      <c r="N1089" s="1">
        <v>42318949</v>
      </c>
      <c r="O1089" s="1" t="s">
        <v>105</v>
      </c>
      <c r="P1089" s="186">
        <v>44932.431192129632</v>
      </c>
      <c r="R1089" s="1" t="s">
        <v>38</v>
      </c>
      <c r="T1089" s="1" t="s">
        <v>74</v>
      </c>
      <c r="U1089" s="186">
        <v>44932.75</v>
      </c>
      <c r="V1089" s="1" t="s">
        <v>41</v>
      </c>
      <c r="W1089" s="1" t="s">
        <v>49</v>
      </c>
      <c r="Z1089" s="14"/>
      <c r="AA1089" s="14"/>
    </row>
    <row r="1090" spans="1:27" hidden="1">
      <c r="A1090" s="1">
        <v>9294979</v>
      </c>
      <c r="B1090" s="1" t="s">
        <v>101</v>
      </c>
      <c r="C1090" t="s">
        <v>1810</v>
      </c>
      <c r="E1090" s="2">
        <v>1643000206001</v>
      </c>
      <c r="F1090" s="1" t="s">
        <v>29</v>
      </c>
      <c r="G1090" s="1" t="s">
        <v>53</v>
      </c>
      <c r="H1090" s="1" t="s">
        <v>361</v>
      </c>
      <c r="I1090" s="1" t="s">
        <v>362</v>
      </c>
      <c r="J1090" s="1" t="s">
        <v>261</v>
      </c>
      <c r="K1090" t="s">
        <v>34</v>
      </c>
      <c r="M1090" s="1" t="s">
        <v>35</v>
      </c>
      <c r="N1090" s="1">
        <v>42318949</v>
      </c>
      <c r="O1090" s="1" t="s">
        <v>105</v>
      </c>
      <c r="P1090" s="186">
        <v>44932.431168981479</v>
      </c>
      <c r="R1090" s="1" t="s">
        <v>38</v>
      </c>
      <c r="T1090" s="1" t="s">
        <v>74</v>
      </c>
      <c r="U1090" s="186">
        <v>44932.75</v>
      </c>
      <c r="V1090" s="1" t="s">
        <v>41</v>
      </c>
      <c r="W1090" s="1" t="s">
        <v>49</v>
      </c>
      <c r="Z1090" s="14"/>
      <c r="AA1090" s="14"/>
    </row>
    <row r="1091" spans="1:27" hidden="1">
      <c r="A1091" s="1">
        <v>9294958</v>
      </c>
      <c r="B1091" s="1" t="s">
        <v>101</v>
      </c>
      <c r="C1091" t="s">
        <v>1810</v>
      </c>
      <c r="E1091" s="2">
        <v>1620000206001</v>
      </c>
      <c r="F1091" s="1" t="s">
        <v>29</v>
      </c>
      <c r="G1091" s="1" t="s">
        <v>53</v>
      </c>
      <c r="H1091" s="1" t="s">
        <v>402</v>
      </c>
      <c r="I1091" s="1" t="s">
        <v>403</v>
      </c>
      <c r="J1091" s="1" t="s">
        <v>46</v>
      </c>
      <c r="K1091" t="s">
        <v>34</v>
      </c>
      <c r="M1091" s="1" t="s">
        <v>35</v>
      </c>
      <c r="N1091" s="1">
        <v>42318949</v>
      </c>
      <c r="O1091" s="1" t="s">
        <v>105</v>
      </c>
      <c r="P1091" s="186">
        <v>44932.431145833332</v>
      </c>
      <c r="R1091" s="1" t="s">
        <v>38</v>
      </c>
      <c r="T1091" s="1" t="s">
        <v>74</v>
      </c>
      <c r="U1091" s="186">
        <v>44932.75</v>
      </c>
      <c r="V1091" s="1" t="s">
        <v>41</v>
      </c>
      <c r="W1091" s="1" t="s">
        <v>49</v>
      </c>
      <c r="Z1091" s="14"/>
      <c r="AA1091" s="14"/>
    </row>
    <row r="1092" spans="1:27" hidden="1">
      <c r="A1092" s="1">
        <v>9294857</v>
      </c>
      <c r="B1092" s="1" t="s">
        <v>101</v>
      </c>
      <c r="C1092" t="s">
        <v>1810</v>
      </c>
      <c r="E1092" s="2">
        <v>1509000206001</v>
      </c>
      <c r="F1092" s="1" t="s">
        <v>29</v>
      </c>
      <c r="G1092" s="1" t="s">
        <v>53</v>
      </c>
      <c r="H1092" s="1" t="s">
        <v>731</v>
      </c>
      <c r="I1092" s="1" t="s">
        <v>732</v>
      </c>
      <c r="J1092" s="1" t="s">
        <v>46</v>
      </c>
      <c r="K1092" t="s">
        <v>34</v>
      </c>
      <c r="M1092" s="1" t="s">
        <v>35</v>
      </c>
      <c r="N1092" s="1">
        <v>42318949</v>
      </c>
      <c r="O1092" s="1" t="s">
        <v>105</v>
      </c>
      <c r="P1092" s="186">
        <v>44932.430960648147</v>
      </c>
      <c r="R1092" s="1" t="s">
        <v>38</v>
      </c>
      <c r="T1092" s="1" t="s">
        <v>74</v>
      </c>
      <c r="U1092" s="186">
        <v>44932.75</v>
      </c>
      <c r="V1092" s="1" t="s">
        <v>41</v>
      </c>
      <c r="W1092" s="1" t="s">
        <v>49</v>
      </c>
      <c r="Z1092" s="14"/>
      <c r="AA1092" s="14"/>
    </row>
    <row r="1093" spans="1:27" hidden="1">
      <c r="A1093" s="1">
        <v>9294767</v>
      </c>
      <c r="B1093" s="1" t="s">
        <v>101</v>
      </c>
      <c r="C1093" t="s">
        <v>1810</v>
      </c>
      <c r="E1093" s="2">
        <v>1421000206001</v>
      </c>
      <c r="F1093" s="1" t="s">
        <v>29</v>
      </c>
      <c r="G1093" s="1" t="s">
        <v>53</v>
      </c>
      <c r="H1093" s="1" t="s">
        <v>179</v>
      </c>
      <c r="I1093" s="1" t="s">
        <v>180</v>
      </c>
      <c r="J1093" s="1" t="s">
        <v>79</v>
      </c>
      <c r="K1093" t="s">
        <v>34</v>
      </c>
      <c r="M1093" s="1" t="s">
        <v>35</v>
      </c>
      <c r="N1093" s="1">
        <v>42318949</v>
      </c>
      <c r="O1093" s="1" t="s">
        <v>105</v>
      </c>
      <c r="P1093" s="186">
        <v>44932.430775462963</v>
      </c>
      <c r="R1093" s="1" t="s">
        <v>38</v>
      </c>
      <c r="T1093" s="1" t="s">
        <v>74</v>
      </c>
      <c r="U1093" s="186">
        <v>44932.75</v>
      </c>
      <c r="V1093" s="1" t="s">
        <v>41</v>
      </c>
      <c r="W1093" s="1" t="s">
        <v>49</v>
      </c>
      <c r="Z1093" s="14"/>
      <c r="AA1093" s="14"/>
    </row>
    <row r="1094" spans="1:27" hidden="1">
      <c r="A1094" s="1">
        <v>9294711</v>
      </c>
      <c r="B1094" s="1" t="s">
        <v>101</v>
      </c>
      <c r="C1094" t="s">
        <v>1810</v>
      </c>
      <c r="E1094" s="2">
        <v>1363000206001</v>
      </c>
      <c r="F1094" s="1" t="s">
        <v>29</v>
      </c>
      <c r="G1094" s="1" t="s">
        <v>53</v>
      </c>
      <c r="H1094" s="1" t="s">
        <v>108</v>
      </c>
      <c r="I1094" s="1" t="s">
        <v>109</v>
      </c>
      <c r="J1094" s="1" t="s">
        <v>110</v>
      </c>
      <c r="K1094" t="s">
        <v>34</v>
      </c>
      <c r="M1094" s="1" t="s">
        <v>35</v>
      </c>
      <c r="N1094" s="1">
        <v>42318949</v>
      </c>
      <c r="O1094" s="1" t="s">
        <v>105</v>
      </c>
      <c r="P1094" s="186">
        <v>44932.430659722224</v>
      </c>
      <c r="R1094" s="1" t="s">
        <v>38</v>
      </c>
      <c r="T1094" s="1" t="s">
        <v>74</v>
      </c>
      <c r="U1094" s="186">
        <v>44932.75</v>
      </c>
      <c r="V1094" s="1" t="s">
        <v>41</v>
      </c>
      <c r="W1094" s="1" t="s">
        <v>49</v>
      </c>
      <c r="Z1094" s="14"/>
      <c r="AA1094" s="14"/>
    </row>
    <row r="1095" spans="1:27" hidden="1">
      <c r="A1095" s="1">
        <v>9294710</v>
      </c>
      <c r="B1095" s="1" t="s">
        <v>101</v>
      </c>
      <c r="C1095" t="s">
        <v>1810</v>
      </c>
      <c r="E1095" s="2">
        <v>1362000206001</v>
      </c>
      <c r="F1095" s="1" t="s">
        <v>29</v>
      </c>
      <c r="G1095" s="1" t="s">
        <v>53</v>
      </c>
      <c r="H1095" s="1" t="s">
        <v>268</v>
      </c>
      <c r="I1095" s="1" t="s">
        <v>269</v>
      </c>
      <c r="J1095" s="1" t="s">
        <v>90</v>
      </c>
      <c r="K1095" t="s">
        <v>34</v>
      </c>
      <c r="M1095" s="1" t="s">
        <v>35</v>
      </c>
      <c r="N1095" s="1">
        <v>42318949</v>
      </c>
      <c r="O1095" s="1" t="s">
        <v>105</v>
      </c>
      <c r="P1095" s="186">
        <v>44932.430659722224</v>
      </c>
      <c r="R1095" s="1" t="s">
        <v>38</v>
      </c>
      <c r="T1095" s="1" t="s">
        <v>74</v>
      </c>
      <c r="U1095" s="186">
        <v>44932.75</v>
      </c>
      <c r="V1095" s="1" t="s">
        <v>41</v>
      </c>
      <c r="W1095" s="1" t="s">
        <v>49</v>
      </c>
      <c r="Z1095" s="14"/>
      <c r="AA1095" s="14"/>
    </row>
    <row r="1096" spans="1:27" hidden="1">
      <c r="A1096" s="1">
        <v>9294709</v>
      </c>
      <c r="B1096" s="1" t="s">
        <v>101</v>
      </c>
      <c r="C1096" t="s">
        <v>1810</v>
      </c>
      <c r="E1096" s="2">
        <v>1361000206001</v>
      </c>
      <c r="F1096" s="1" t="s">
        <v>29</v>
      </c>
      <c r="G1096" s="1" t="s">
        <v>53</v>
      </c>
      <c r="H1096" s="1" t="s">
        <v>309</v>
      </c>
      <c r="I1096" s="1" t="s">
        <v>310</v>
      </c>
      <c r="J1096" s="1" t="s">
        <v>46</v>
      </c>
      <c r="K1096" t="s">
        <v>34</v>
      </c>
      <c r="M1096" s="1" t="s">
        <v>35</v>
      </c>
      <c r="N1096" s="1">
        <v>42318949</v>
      </c>
      <c r="O1096" s="1" t="s">
        <v>105</v>
      </c>
      <c r="P1096" s="186">
        <v>44932.430659722224</v>
      </c>
      <c r="R1096" s="1" t="s">
        <v>38</v>
      </c>
      <c r="T1096" s="1" t="s">
        <v>74</v>
      </c>
      <c r="U1096" s="186">
        <v>44932.75</v>
      </c>
      <c r="V1096" s="1" t="s">
        <v>41</v>
      </c>
      <c r="W1096" s="1" t="s">
        <v>49</v>
      </c>
      <c r="Z1096" s="14"/>
      <c r="AA1096" s="14"/>
    </row>
    <row r="1097" spans="1:27" hidden="1">
      <c r="A1097" s="1">
        <v>9294708</v>
      </c>
      <c r="B1097" s="1" t="s">
        <v>101</v>
      </c>
      <c r="C1097" t="s">
        <v>1810</v>
      </c>
      <c r="E1097" s="2">
        <v>1360000206001</v>
      </c>
      <c r="F1097" s="1" t="s">
        <v>29</v>
      </c>
      <c r="G1097" s="1" t="s">
        <v>53</v>
      </c>
      <c r="H1097" s="1" t="s">
        <v>303</v>
      </c>
      <c r="I1097" s="1" t="s">
        <v>304</v>
      </c>
      <c r="J1097" s="1" t="s">
        <v>261</v>
      </c>
      <c r="K1097" t="s">
        <v>34</v>
      </c>
      <c r="M1097" s="1" t="s">
        <v>35</v>
      </c>
      <c r="N1097" s="1">
        <v>42318949</v>
      </c>
      <c r="O1097" s="1" t="s">
        <v>105</v>
      </c>
      <c r="P1097" s="186">
        <v>44932.430659722224</v>
      </c>
      <c r="R1097" s="1" t="s">
        <v>38</v>
      </c>
      <c r="T1097" s="1" t="s">
        <v>74</v>
      </c>
      <c r="U1097" s="186">
        <v>44932.75</v>
      </c>
      <c r="V1097" s="1" t="s">
        <v>41</v>
      </c>
      <c r="W1097" s="1" t="s">
        <v>49</v>
      </c>
      <c r="Z1097" s="14"/>
      <c r="AA1097" s="14"/>
    </row>
    <row r="1098" spans="1:27" hidden="1">
      <c r="A1098" s="1">
        <v>9294706</v>
      </c>
      <c r="B1098" s="1" t="s">
        <v>101</v>
      </c>
      <c r="C1098" t="s">
        <v>1810</v>
      </c>
      <c r="E1098" s="2">
        <v>1358000206001</v>
      </c>
      <c r="F1098" s="1" t="s">
        <v>29</v>
      </c>
      <c r="G1098" s="1" t="s">
        <v>53</v>
      </c>
      <c r="H1098" s="1" t="s">
        <v>593</v>
      </c>
      <c r="I1098" s="1" t="s">
        <v>594</v>
      </c>
      <c r="J1098" s="1" t="s">
        <v>261</v>
      </c>
      <c r="K1098" t="s">
        <v>34</v>
      </c>
      <c r="M1098" s="1" t="s">
        <v>35</v>
      </c>
      <c r="N1098" s="1">
        <v>42318949</v>
      </c>
      <c r="O1098" s="1" t="s">
        <v>105</v>
      </c>
      <c r="P1098" s="186">
        <v>44932.430659722224</v>
      </c>
      <c r="R1098" s="1" t="s">
        <v>38</v>
      </c>
      <c r="T1098" s="1" t="s">
        <v>74</v>
      </c>
      <c r="U1098" s="186">
        <v>44932.75</v>
      </c>
      <c r="V1098" s="1" t="s">
        <v>41</v>
      </c>
      <c r="W1098" s="1" t="s">
        <v>49</v>
      </c>
      <c r="Z1098" s="14"/>
      <c r="AA1098" s="14"/>
    </row>
    <row r="1099" spans="1:27" hidden="1">
      <c r="A1099" s="1">
        <v>9294610</v>
      </c>
      <c r="B1099" s="1" t="s">
        <v>101</v>
      </c>
      <c r="C1099" t="s">
        <v>1810</v>
      </c>
      <c r="E1099" s="2">
        <v>1245000206001</v>
      </c>
      <c r="F1099" s="1" t="s">
        <v>29</v>
      </c>
      <c r="G1099" s="1" t="s">
        <v>53</v>
      </c>
      <c r="H1099" s="1" t="s">
        <v>408</v>
      </c>
      <c r="I1099" s="1" t="s">
        <v>409</v>
      </c>
      <c r="J1099" s="1" t="s">
        <v>46</v>
      </c>
      <c r="K1099" t="s">
        <v>34</v>
      </c>
      <c r="M1099" s="1" t="s">
        <v>35</v>
      </c>
      <c r="N1099" s="1">
        <v>42318949</v>
      </c>
      <c r="O1099" s="1" t="s">
        <v>105</v>
      </c>
      <c r="P1099" s="186">
        <v>44932.430462962962</v>
      </c>
      <c r="R1099" s="1" t="s">
        <v>38</v>
      </c>
      <c r="T1099" s="1" t="s">
        <v>74</v>
      </c>
      <c r="U1099" s="186">
        <v>44932.75</v>
      </c>
      <c r="V1099" s="1" t="s">
        <v>41</v>
      </c>
      <c r="W1099" s="1" t="s">
        <v>49</v>
      </c>
      <c r="Z1099" s="14"/>
      <c r="AA1099" s="14"/>
    </row>
    <row r="1100" spans="1:27" hidden="1">
      <c r="A1100" s="1">
        <v>9294550</v>
      </c>
      <c r="B1100" s="1" t="s">
        <v>101</v>
      </c>
      <c r="C1100" t="s">
        <v>1810</v>
      </c>
      <c r="E1100" s="2">
        <v>1185000206001</v>
      </c>
      <c r="F1100" s="1" t="s">
        <v>29</v>
      </c>
      <c r="G1100" s="1" t="s">
        <v>53</v>
      </c>
      <c r="H1100" s="1" t="s">
        <v>539</v>
      </c>
      <c r="I1100" s="1" t="s">
        <v>540</v>
      </c>
      <c r="J1100" s="1" t="s">
        <v>33</v>
      </c>
      <c r="K1100" t="s">
        <v>34</v>
      </c>
      <c r="M1100" s="1" t="s">
        <v>35</v>
      </c>
      <c r="N1100" s="1">
        <v>42318949</v>
      </c>
      <c r="O1100" s="1" t="s">
        <v>36</v>
      </c>
      <c r="P1100" s="186">
        <v>44932.430358796293</v>
      </c>
      <c r="R1100" s="1" t="s">
        <v>38</v>
      </c>
      <c r="T1100" s="1" t="s">
        <v>74</v>
      </c>
      <c r="U1100" s="186">
        <v>44932.75</v>
      </c>
      <c r="V1100" s="1" t="s">
        <v>41</v>
      </c>
      <c r="W1100" s="1" t="s">
        <v>42</v>
      </c>
      <c r="Z1100" s="14"/>
      <c r="AA1100" s="14"/>
    </row>
    <row r="1101" spans="1:27" hidden="1">
      <c r="A1101" s="1">
        <v>9294531</v>
      </c>
      <c r="B1101" s="1" t="s">
        <v>101</v>
      </c>
      <c r="C1101" t="s">
        <v>1810</v>
      </c>
      <c r="E1101" s="2">
        <v>1162000206001</v>
      </c>
      <c r="F1101" s="1" t="s">
        <v>29</v>
      </c>
      <c r="G1101" s="1" t="s">
        <v>53</v>
      </c>
      <c r="H1101" s="1" t="s">
        <v>280</v>
      </c>
      <c r="I1101" s="1" t="s">
        <v>281</v>
      </c>
      <c r="J1101" s="1" t="s">
        <v>211</v>
      </c>
      <c r="K1101" t="s">
        <v>34</v>
      </c>
      <c r="M1101" s="1" t="s">
        <v>35</v>
      </c>
      <c r="N1101" s="1">
        <v>42318949</v>
      </c>
      <c r="O1101" s="1" t="s">
        <v>105</v>
      </c>
      <c r="P1101" s="186">
        <v>44932.430324074077</v>
      </c>
      <c r="R1101" s="1" t="s">
        <v>38</v>
      </c>
      <c r="T1101" s="1" t="s">
        <v>74</v>
      </c>
      <c r="U1101" s="186">
        <v>44932.75</v>
      </c>
      <c r="V1101" s="1" t="s">
        <v>41</v>
      </c>
      <c r="W1101" s="1" t="s">
        <v>49</v>
      </c>
      <c r="Z1101" s="14"/>
      <c r="AA1101" s="14"/>
    </row>
    <row r="1102" spans="1:27" hidden="1">
      <c r="A1102" s="1">
        <v>9294523</v>
      </c>
      <c r="B1102" s="1" t="s">
        <v>101</v>
      </c>
      <c r="C1102" t="s">
        <v>1810</v>
      </c>
      <c r="E1102" s="2">
        <v>1153000206001</v>
      </c>
      <c r="F1102" s="1" t="s">
        <v>29</v>
      </c>
      <c r="G1102" s="1" t="s">
        <v>53</v>
      </c>
      <c r="H1102" s="1" t="s">
        <v>1031</v>
      </c>
      <c r="I1102" s="1" t="s">
        <v>1032</v>
      </c>
      <c r="J1102" s="1" t="s">
        <v>79</v>
      </c>
      <c r="K1102" t="s">
        <v>34</v>
      </c>
      <c r="M1102" s="1" t="s">
        <v>35</v>
      </c>
      <c r="N1102" s="1">
        <v>42318949</v>
      </c>
      <c r="O1102" s="1" t="s">
        <v>105</v>
      </c>
      <c r="P1102" s="186">
        <v>44932.430312500001</v>
      </c>
      <c r="R1102" s="1" t="s">
        <v>38</v>
      </c>
      <c r="T1102" s="1" t="s">
        <v>74</v>
      </c>
      <c r="U1102" s="186">
        <v>44932.75</v>
      </c>
      <c r="V1102" s="1" t="s">
        <v>41</v>
      </c>
      <c r="W1102" s="1" t="s">
        <v>49</v>
      </c>
      <c r="AA1102" s="14"/>
    </row>
    <row r="1103" spans="1:27" hidden="1">
      <c r="A1103" s="1">
        <v>9294508</v>
      </c>
      <c r="B1103" s="1" t="s">
        <v>101</v>
      </c>
      <c r="C1103" t="s">
        <v>1810</v>
      </c>
      <c r="E1103" s="2">
        <v>1138000206001</v>
      </c>
      <c r="F1103" s="1" t="s">
        <v>29</v>
      </c>
      <c r="G1103" s="1" t="s">
        <v>53</v>
      </c>
      <c r="H1103" s="1" t="s">
        <v>548</v>
      </c>
      <c r="I1103" s="1" t="s">
        <v>549</v>
      </c>
      <c r="J1103" s="1" t="s">
        <v>46</v>
      </c>
      <c r="K1103" t="s">
        <v>34</v>
      </c>
      <c r="M1103" s="1" t="s">
        <v>35</v>
      </c>
      <c r="N1103" s="1">
        <v>42318949</v>
      </c>
      <c r="O1103" s="1" t="s">
        <v>105</v>
      </c>
      <c r="P1103" s="186">
        <v>44932.430289351854</v>
      </c>
      <c r="R1103" s="1" t="s">
        <v>38</v>
      </c>
      <c r="T1103" s="1" t="s">
        <v>74</v>
      </c>
      <c r="U1103" s="186">
        <v>44932.75</v>
      </c>
      <c r="V1103" s="1" t="s">
        <v>41</v>
      </c>
      <c r="W1103" s="1" t="s">
        <v>49</v>
      </c>
      <c r="AA1103" s="14"/>
    </row>
    <row r="1104" spans="1:27" hidden="1">
      <c r="A1104" s="1">
        <v>9294499</v>
      </c>
      <c r="B1104" s="1" t="s">
        <v>101</v>
      </c>
      <c r="C1104" t="s">
        <v>1810</v>
      </c>
      <c r="E1104" s="2">
        <v>1128000206001</v>
      </c>
      <c r="F1104" s="1" t="s">
        <v>29</v>
      </c>
      <c r="G1104" s="1" t="s">
        <v>53</v>
      </c>
      <c r="H1104" s="1" t="s">
        <v>1191</v>
      </c>
      <c r="I1104" s="1" t="s">
        <v>1192</v>
      </c>
      <c r="J1104" s="1" t="s">
        <v>33</v>
      </c>
      <c r="K1104" t="s">
        <v>34</v>
      </c>
      <c r="M1104" s="1" t="s">
        <v>35</v>
      </c>
      <c r="N1104" s="1">
        <v>42318949</v>
      </c>
      <c r="O1104" s="1" t="s">
        <v>36</v>
      </c>
      <c r="P1104" s="186">
        <v>44932.430277777778</v>
      </c>
      <c r="R1104" s="1" t="s">
        <v>38</v>
      </c>
      <c r="T1104" s="1" t="s">
        <v>74</v>
      </c>
      <c r="U1104" s="186">
        <v>44932.75</v>
      </c>
      <c r="V1104" s="1" t="s">
        <v>41</v>
      </c>
      <c r="W1104" s="1" t="s">
        <v>49</v>
      </c>
      <c r="AA1104" s="14"/>
    </row>
    <row r="1105" spans="1:27" hidden="1">
      <c r="A1105" s="1">
        <v>9294491</v>
      </c>
      <c r="B1105" s="1" t="s">
        <v>101</v>
      </c>
      <c r="C1105" t="s">
        <v>1810</v>
      </c>
      <c r="E1105" s="2">
        <v>1120000206001</v>
      </c>
      <c r="F1105" s="1" t="s">
        <v>29</v>
      </c>
      <c r="G1105" s="1" t="s">
        <v>53</v>
      </c>
      <c r="H1105" s="1" t="s">
        <v>181</v>
      </c>
      <c r="I1105" s="1" t="s">
        <v>182</v>
      </c>
      <c r="J1105" s="1" t="s">
        <v>164</v>
      </c>
      <c r="K1105" t="s">
        <v>34</v>
      </c>
      <c r="M1105" s="1" t="s">
        <v>35</v>
      </c>
      <c r="N1105" s="1">
        <v>42318949</v>
      </c>
      <c r="O1105" s="1" t="s">
        <v>105</v>
      </c>
      <c r="P1105" s="186">
        <v>44932.430266203701</v>
      </c>
      <c r="R1105" s="1" t="s">
        <v>38</v>
      </c>
      <c r="T1105" s="1" t="s">
        <v>74</v>
      </c>
      <c r="U1105" s="186">
        <v>44932.75</v>
      </c>
      <c r="V1105" s="1" t="s">
        <v>41</v>
      </c>
      <c r="W1105" s="1" t="s">
        <v>49</v>
      </c>
      <c r="AA1105" s="14"/>
    </row>
    <row r="1106" spans="1:27" hidden="1">
      <c r="A1106" s="1">
        <v>9294445</v>
      </c>
      <c r="B1106" s="1" t="s">
        <v>101</v>
      </c>
      <c r="C1106" t="s">
        <v>1810</v>
      </c>
      <c r="E1106" s="2">
        <v>1069000206001</v>
      </c>
      <c r="F1106" s="1" t="s">
        <v>29</v>
      </c>
      <c r="G1106" s="1" t="s">
        <v>53</v>
      </c>
      <c r="H1106" s="1" t="s">
        <v>353</v>
      </c>
      <c r="I1106" s="1" t="s">
        <v>354</v>
      </c>
      <c r="J1106" s="1" t="s">
        <v>211</v>
      </c>
      <c r="K1106" t="s">
        <v>34</v>
      </c>
      <c r="M1106" s="1" t="s">
        <v>35</v>
      </c>
      <c r="N1106" s="1">
        <v>42318949</v>
      </c>
      <c r="O1106" s="1" t="s">
        <v>105</v>
      </c>
      <c r="P1106" s="186">
        <v>44932.430208333331</v>
      </c>
      <c r="R1106" s="1" t="s">
        <v>38</v>
      </c>
      <c r="T1106" s="1" t="s">
        <v>74</v>
      </c>
      <c r="U1106" s="186">
        <v>44932.75</v>
      </c>
      <c r="V1106" s="1" t="s">
        <v>41</v>
      </c>
      <c r="W1106" s="1" t="s">
        <v>49</v>
      </c>
      <c r="AA1106" s="14"/>
    </row>
    <row r="1107" spans="1:27" hidden="1">
      <c r="A1107" s="1">
        <v>9294436</v>
      </c>
      <c r="B1107" s="1" t="s">
        <v>101</v>
      </c>
      <c r="C1107" t="s">
        <v>1810</v>
      </c>
      <c r="E1107" s="2">
        <v>1059000206001</v>
      </c>
      <c r="F1107" s="1" t="s">
        <v>29</v>
      </c>
      <c r="G1107" s="1" t="s">
        <v>53</v>
      </c>
      <c r="H1107" s="1" t="s">
        <v>88</v>
      </c>
      <c r="I1107" s="1" t="s">
        <v>89</v>
      </c>
      <c r="J1107" s="1" t="s">
        <v>90</v>
      </c>
      <c r="K1107" t="s">
        <v>34</v>
      </c>
      <c r="M1107" s="1" t="s">
        <v>35</v>
      </c>
      <c r="N1107" s="1">
        <v>42318949</v>
      </c>
      <c r="O1107" s="1" t="s">
        <v>105</v>
      </c>
      <c r="P1107" s="186">
        <v>44932.430196759262</v>
      </c>
      <c r="R1107" s="1" t="s">
        <v>38</v>
      </c>
      <c r="T1107" s="1" t="s">
        <v>74</v>
      </c>
      <c r="U1107" s="186">
        <v>44932.75</v>
      </c>
      <c r="V1107" s="1" t="s">
        <v>41</v>
      </c>
      <c r="W1107" s="1" t="s">
        <v>49</v>
      </c>
      <c r="AA1107" s="14"/>
    </row>
    <row r="1108" spans="1:27" hidden="1">
      <c r="A1108" s="1">
        <v>9294435</v>
      </c>
      <c r="B1108" s="1" t="s">
        <v>101</v>
      </c>
      <c r="C1108" t="s">
        <v>1810</v>
      </c>
      <c r="E1108" s="2">
        <v>1058000206001</v>
      </c>
      <c r="F1108" s="1" t="s">
        <v>29</v>
      </c>
      <c r="G1108" s="1" t="s">
        <v>53</v>
      </c>
      <c r="H1108" s="1" t="s">
        <v>289</v>
      </c>
      <c r="I1108" s="1" t="s">
        <v>290</v>
      </c>
      <c r="J1108" s="1" t="s">
        <v>56</v>
      </c>
      <c r="K1108" t="s">
        <v>34</v>
      </c>
      <c r="M1108" s="1" t="s">
        <v>35</v>
      </c>
      <c r="N1108" s="1">
        <v>42318949</v>
      </c>
      <c r="O1108" s="1" t="s">
        <v>105</v>
      </c>
      <c r="P1108" s="186">
        <v>44932.430196759262</v>
      </c>
      <c r="R1108" s="1" t="s">
        <v>38</v>
      </c>
      <c r="T1108" s="1" t="s">
        <v>74</v>
      </c>
      <c r="U1108" s="186">
        <v>44932.75</v>
      </c>
      <c r="V1108" s="1" t="s">
        <v>41</v>
      </c>
      <c r="W1108" s="1" t="s">
        <v>49</v>
      </c>
      <c r="AA1108" s="14"/>
    </row>
    <row r="1109" spans="1:27" hidden="1">
      <c r="A1109" s="1">
        <v>9294424</v>
      </c>
      <c r="B1109" s="1" t="s">
        <v>101</v>
      </c>
      <c r="C1109" t="s">
        <v>1810</v>
      </c>
      <c r="E1109" s="2">
        <v>1049000206001</v>
      </c>
      <c r="F1109" s="1" t="s">
        <v>29</v>
      </c>
      <c r="G1109" s="1" t="s">
        <v>53</v>
      </c>
      <c r="H1109" s="1" t="s">
        <v>169</v>
      </c>
      <c r="I1109" s="1" t="s">
        <v>170</v>
      </c>
      <c r="J1109" s="1" t="s">
        <v>164</v>
      </c>
      <c r="K1109" t="s">
        <v>34</v>
      </c>
      <c r="M1109" s="1" t="s">
        <v>35</v>
      </c>
      <c r="N1109" s="1">
        <v>42318949</v>
      </c>
      <c r="O1109" s="1" t="s">
        <v>105</v>
      </c>
      <c r="P1109" s="186">
        <v>44932.430173611108</v>
      </c>
      <c r="R1109" s="1" t="s">
        <v>38</v>
      </c>
      <c r="T1109" s="1" t="s">
        <v>74</v>
      </c>
      <c r="U1109" s="186">
        <v>44932.75</v>
      </c>
      <c r="V1109" s="1" t="s">
        <v>41</v>
      </c>
      <c r="W1109" s="1" t="s">
        <v>49</v>
      </c>
      <c r="AA1109" s="14"/>
    </row>
    <row r="1110" spans="1:27" hidden="1">
      <c r="A1110" s="1">
        <v>9294406</v>
      </c>
      <c r="B1110" s="1" t="s">
        <v>101</v>
      </c>
      <c r="C1110" t="s">
        <v>1810</v>
      </c>
      <c r="E1110" s="2">
        <v>1028000206001</v>
      </c>
      <c r="F1110" s="1" t="s">
        <v>29</v>
      </c>
      <c r="G1110" s="1" t="s">
        <v>53</v>
      </c>
      <c r="H1110" s="1" t="s">
        <v>1079</v>
      </c>
      <c r="I1110" s="1" t="s">
        <v>1080</v>
      </c>
      <c r="J1110" s="1" t="s">
        <v>85</v>
      </c>
      <c r="K1110" t="s">
        <v>34</v>
      </c>
      <c r="M1110" s="1" t="s">
        <v>35</v>
      </c>
      <c r="N1110" s="1">
        <v>42318949</v>
      </c>
      <c r="O1110" s="1" t="s">
        <v>105</v>
      </c>
      <c r="P1110" s="186">
        <v>44932.430150462962</v>
      </c>
      <c r="R1110" s="1" t="s">
        <v>38</v>
      </c>
      <c r="T1110" s="1" t="s">
        <v>74</v>
      </c>
      <c r="U1110" s="186">
        <v>44932.75</v>
      </c>
      <c r="V1110" s="1" t="s">
        <v>41</v>
      </c>
      <c r="W1110" s="1" t="s">
        <v>49</v>
      </c>
      <c r="AA1110" s="14"/>
    </row>
    <row r="1111" spans="1:27" hidden="1">
      <c r="A1111" s="1">
        <v>9294391</v>
      </c>
      <c r="B1111" s="1" t="s">
        <v>101</v>
      </c>
      <c r="C1111" t="s">
        <v>1810</v>
      </c>
      <c r="E1111" s="2">
        <v>1012000206001</v>
      </c>
      <c r="F1111" s="1" t="s">
        <v>29</v>
      </c>
      <c r="G1111" s="1" t="s">
        <v>53</v>
      </c>
      <c r="H1111" s="1" t="s">
        <v>172</v>
      </c>
      <c r="I1111" s="1" t="s">
        <v>173</v>
      </c>
      <c r="J1111" s="1" t="s">
        <v>164</v>
      </c>
      <c r="K1111" t="s">
        <v>34</v>
      </c>
      <c r="M1111" s="1" t="s">
        <v>35</v>
      </c>
      <c r="N1111" s="1">
        <v>42318949</v>
      </c>
      <c r="O1111" s="1" t="s">
        <v>105</v>
      </c>
      <c r="P1111" s="186">
        <v>44932.430138888885</v>
      </c>
      <c r="R1111" s="1" t="s">
        <v>38</v>
      </c>
      <c r="T1111" s="1" t="s">
        <v>74</v>
      </c>
      <c r="U1111" s="186">
        <v>44932.75</v>
      </c>
      <c r="V1111" s="1" t="s">
        <v>41</v>
      </c>
      <c r="W1111" s="1" t="s">
        <v>49</v>
      </c>
      <c r="AA1111" s="14"/>
    </row>
    <row r="1112" spans="1:27" hidden="1">
      <c r="A1112" s="1">
        <v>9294359</v>
      </c>
      <c r="B1112" s="1" t="s">
        <v>101</v>
      </c>
      <c r="C1112" t="s">
        <v>1810</v>
      </c>
      <c r="E1112" s="2">
        <v>981000206001</v>
      </c>
      <c r="F1112" s="1" t="s">
        <v>29</v>
      </c>
      <c r="G1112" s="1" t="s">
        <v>53</v>
      </c>
      <c r="H1112" s="1" t="s">
        <v>410</v>
      </c>
      <c r="I1112" s="1" t="s">
        <v>411</v>
      </c>
      <c r="J1112" s="1" t="s">
        <v>85</v>
      </c>
      <c r="K1112" t="s">
        <v>34</v>
      </c>
      <c r="M1112" s="1" t="s">
        <v>35</v>
      </c>
      <c r="N1112" s="1">
        <v>42318949</v>
      </c>
      <c r="O1112" s="1" t="s">
        <v>105</v>
      </c>
      <c r="P1112" s="186">
        <v>44932.430081018516</v>
      </c>
      <c r="R1112" s="1" t="s">
        <v>38</v>
      </c>
      <c r="T1112" s="1" t="s">
        <v>74</v>
      </c>
      <c r="U1112" s="186">
        <v>44932.75</v>
      </c>
      <c r="V1112" s="1" t="s">
        <v>41</v>
      </c>
      <c r="W1112" s="1" t="s">
        <v>49</v>
      </c>
      <c r="AA1112" s="14"/>
    </row>
    <row r="1113" spans="1:27" hidden="1">
      <c r="A1113" s="1">
        <v>9294339</v>
      </c>
      <c r="B1113" s="1" t="s">
        <v>101</v>
      </c>
      <c r="C1113" t="s">
        <v>1810</v>
      </c>
      <c r="E1113" s="2">
        <v>963000206001</v>
      </c>
      <c r="F1113" s="1" t="s">
        <v>29</v>
      </c>
      <c r="G1113" s="1" t="s">
        <v>53</v>
      </c>
      <c r="H1113" s="1" t="s">
        <v>531</v>
      </c>
      <c r="I1113" s="1" t="s">
        <v>532</v>
      </c>
      <c r="J1113" s="1" t="s">
        <v>33</v>
      </c>
      <c r="K1113" t="s">
        <v>34</v>
      </c>
      <c r="M1113" s="1" t="s">
        <v>35</v>
      </c>
      <c r="N1113" s="1">
        <v>42318949</v>
      </c>
      <c r="O1113" s="1" t="s">
        <v>105</v>
      </c>
      <c r="P1113" s="186">
        <v>44932.430046296293</v>
      </c>
      <c r="R1113" s="1" t="s">
        <v>38</v>
      </c>
      <c r="T1113" s="1" t="s">
        <v>74</v>
      </c>
      <c r="U1113" s="186">
        <v>44932.75</v>
      </c>
      <c r="V1113" s="1" t="s">
        <v>41</v>
      </c>
      <c r="W1113" s="1" t="s">
        <v>49</v>
      </c>
      <c r="AA1113" s="14"/>
    </row>
    <row r="1114" spans="1:27" hidden="1">
      <c r="A1114" s="1">
        <v>9294307</v>
      </c>
      <c r="B1114" s="1" t="s">
        <v>101</v>
      </c>
      <c r="C1114" t="s">
        <v>1810</v>
      </c>
      <c r="E1114" s="2">
        <v>934000206001</v>
      </c>
      <c r="F1114" s="1" t="s">
        <v>29</v>
      </c>
      <c r="G1114" s="1" t="s">
        <v>53</v>
      </c>
      <c r="H1114" s="1" t="s">
        <v>428</v>
      </c>
      <c r="I1114" s="1" t="s">
        <v>429</v>
      </c>
      <c r="J1114" s="1" t="s">
        <v>46</v>
      </c>
      <c r="K1114" t="s">
        <v>34</v>
      </c>
      <c r="M1114" s="1" t="s">
        <v>35</v>
      </c>
      <c r="N1114" s="1">
        <v>42318949</v>
      </c>
      <c r="O1114" s="1" t="s">
        <v>105</v>
      </c>
      <c r="P1114" s="186">
        <v>44932.43</v>
      </c>
      <c r="R1114" s="1" t="s">
        <v>38</v>
      </c>
      <c r="T1114" s="1" t="s">
        <v>74</v>
      </c>
      <c r="U1114" s="186">
        <v>44932.75</v>
      </c>
      <c r="V1114" s="1" t="s">
        <v>41</v>
      </c>
      <c r="W1114" s="1" t="s">
        <v>49</v>
      </c>
      <c r="AA1114" s="14"/>
    </row>
    <row r="1115" spans="1:27" hidden="1">
      <c r="A1115" s="1">
        <v>9294293</v>
      </c>
      <c r="B1115" s="1" t="s">
        <v>101</v>
      </c>
      <c r="C1115" t="s">
        <v>1810</v>
      </c>
      <c r="E1115" s="2">
        <v>922000206001</v>
      </c>
      <c r="F1115" s="1" t="s">
        <v>29</v>
      </c>
      <c r="G1115" s="1" t="s">
        <v>53</v>
      </c>
      <c r="H1115" s="1" t="s">
        <v>1375</v>
      </c>
      <c r="I1115" s="1" t="s">
        <v>1376</v>
      </c>
      <c r="J1115" s="1" t="s">
        <v>261</v>
      </c>
      <c r="K1115" t="s">
        <v>34</v>
      </c>
      <c r="M1115" s="1" t="s">
        <v>35</v>
      </c>
      <c r="N1115" s="1">
        <v>42318949</v>
      </c>
      <c r="O1115" s="1" t="s">
        <v>105</v>
      </c>
      <c r="P1115" s="186">
        <v>44932.429988425924</v>
      </c>
      <c r="R1115" s="1" t="s">
        <v>38</v>
      </c>
      <c r="T1115" s="1" t="s">
        <v>74</v>
      </c>
      <c r="U1115" s="186">
        <v>44932.75</v>
      </c>
      <c r="V1115" s="1" t="s">
        <v>41</v>
      </c>
      <c r="W1115" s="1" t="s">
        <v>49</v>
      </c>
      <c r="AA1115" s="14"/>
    </row>
    <row r="1116" spans="1:27" hidden="1">
      <c r="A1116" s="1">
        <v>9294269</v>
      </c>
      <c r="B1116" s="1" t="s">
        <v>101</v>
      </c>
      <c r="C1116" t="s">
        <v>1810</v>
      </c>
      <c r="E1116" s="2">
        <v>899000206001</v>
      </c>
      <c r="F1116" s="1" t="s">
        <v>29</v>
      </c>
      <c r="G1116" s="1" t="s">
        <v>53</v>
      </c>
      <c r="H1116" s="1" t="s">
        <v>175</v>
      </c>
      <c r="I1116" s="1" t="s">
        <v>176</v>
      </c>
      <c r="J1116" s="1" t="s">
        <v>90</v>
      </c>
      <c r="K1116" t="s">
        <v>34</v>
      </c>
      <c r="M1116" s="1" t="s">
        <v>35</v>
      </c>
      <c r="N1116" s="1">
        <v>42318949</v>
      </c>
      <c r="O1116" s="1" t="s">
        <v>36</v>
      </c>
      <c r="P1116" s="186">
        <v>44932.429942129631</v>
      </c>
      <c r="R1116" s="1" t="s">
        <v>38</v>
      </c>
      <c r="T1116" s="1" t="s">
        <v>74</v>
      </c>
      <c r="U1116" s="186">
        <v>44932.75</v>
      </c>
      <c r="V1116" s="1" t="s">
        <v>41</v>
      </c>
      <c r="W1116" s="1" t="s">
        <v>49</v>
      </c>
      <c r="AA1116" s="14"/>
    </row>
    <row r="1117" spans="1:27" hidden="1">
      <c r="A1117" s="1">
        <v>9294239</v>
      </c>
      <c r="B1117" s="1" t="s">
        <v>101</v>
      </c>
      <c r="C1117" t="s">
        <v>1810</v>
      </c>
      <c r="E1117" s="2">
        <v>870000206001</v>
      </c>
      <c r="F1117" s="1" t="s">
        <v>29</v>
      </c>
      <c r="G1117" s="1" t="s">
        <v>53</v>
      </c>
      <c r="H1117" s="1" t="s">
        <v>183</v>
      </c>
      <c r="I1117" s="1" t="s">
        <v>184</v>
      </c>
      <c r="J1117" s="1" t="s">
        <v>90</v>
      </c>
      <c r="K1117" t="s">
        <v>34</v>
      </c>
      <c r="M1117" s="1" t="s">
        <v>35</v>
      </c>
      <c r="N1117" s="1">
        <v>42318949</v>
      </c>
      <c r="O1117" s="1" t="s">
        <v>105</v>
      </c>
      <c r="P1117" s="186">
        <v>44932.429907407408</v>
      </c>
      <c r="R1117" s="1" t="s">
        <v>38</v>
      </c>
      <c r="T1117" s="1" t="s">
        <v>74</v>
      </c>
      <c r="U1117" s="186">
        <v>44932.75</v>
      </c>
      <c r="V1117" s="1" t="s">
        <v>41</v>
      </c>
      <c r="W1117" s="1" t="s">
        <v>49</v>
      </c>
      <c r="AA1117" s="14"/>
    </row>
    <row r="1118" spans="1:27" hidden="1">
      <c r="A1118" s="1">
        <v>9294195</v>
      </c>
      <c r="B1118" s="1" t="s">
        <v>101</v>
      </c>
      <c r="C1118" t="s">
        <v>1810</v>
      </c>
      <c r="E1118" s="2">
        <v>834000206001</v>
      </c>
      <c r="F1118" s="1" t="s">
        <v>29</v>
      </c>
      <c r="G1118" s="1" t="s">
        <v>53</v>
      </c>
      <c r="H1118" s="1" t="s">
        <v>367</v>
      </c>
      <c r="I1118" s="1" t="s">
        <v>368</v>
      </c>
      <c r="J1118" s="1" t="s">
        <v>261</v>
      </c>
      <c r="K1118" t="s">
        <v>34</v>
      </c>
      <c r="M1118" s="1" t="s">
        <v>35</v>
      </c>
      <c r="N1118" s="1">
        <v>42318949</v>
      </c>
      <c r="O1118" s="1" t="s">
        <v>105</v>
      </c>
      <c r="P1118" s="186">
        <v>44932.429837962962</v>
      </c>
      <c r="R1118" s="1" t="s">
        <v>38</v>
      </c>
      <c r="T1118" s="1" t="s">
        <v>74</v>
      </c>
      <c r="U1118" s="186">
        <v>44932.75</v>
      </c>
      <c r="V1118" s="1" t="s">
        <v>41</v>
      </c>
      <c r="W1118" s="1" t="s">
        <v>49</v>
      </c>
      <c r="AA1118" s="14"/>
    </row>
    <row r="1119" spans="1:27" hidden="1">
      <c r="A1119" s="1">
        <v>9294183</v>
      </c>
      <c r="B1119" s="1" t="s">
        <v>101</v>
      </c>
      <c r="C1119" t="s">
        <v>1810</v>
      </c>
      <c r="E1119" s="2">
        <v>821000206001</v>
      </c>
      <c r="F1119" s="1" t="s">
        <v>29</v>
      </c>
      <c r="G1119" s="1" t="s">
        <v>53</v>
      </c>
      <c r="H1119" s="1" t="s">
        <v>1351</v>
      </c>
      <c r="I1119" s="1" t="s">
        <v>1352</v>
      </c>
      <c r="J1119" s="1" t="s">
        <v>46</v>
      </c>
      <c r="K1119" t="s">
        <v>34</v>
      </c>
      <c r="M1119" s="1" t="s">
        <v>35</v>
      </c>
      <c r="N1119" s="1">
        <v>42318949</v>
      </c>
      <c r="O1119" s="1" t="s">
        <v>105</v>
      </c>
      <c r="P1119" s="186">
        <v>44932.429814814815</v>
      </c>
      <c r="R1119" s="1" t="s">
        <v>38</v>
      </c>
      <c r="T1119" s="1" t="s">
        <v>74</v>
      </c>
      <c r="U1119" s="186">
        <v>44932.75</v>
      </c>
      <c r="V1119" s="1" t="s">
        <v>41</v>
      </c>
      <c r="W1119" s="1" t="s">
        <v>49</v>
      </c>
      <c r="AA1119" s="14"/>
    </row>
    <row r="1120" spans="1:27" hidden="1">
      <c r="A1120" s="1">
        <v>9294081</v>
      </c>
      <c r="B1120" s="1" t="s">
        <v>101</v>
      </c>
      <c r="C1120" t="s">
        <v>1810</v>
      </c>
      <c r="E1120" s="2">
        <v>721000206001</v>
      </c>
      <c r="F1120" s="1" t="s">
        <v>29</v>
      </c>
      <c r="G1120" s="1" t="s">
        <v>53</v>
      </c>
      <c r="H1120" s="1" t="s">
        <v>422</v>
      </c>
      <c r="I1120" s="1" t="s">
        <v>423</v>
      </c>
      <c r="J1120" s="1" t="s">
        <v>79</v>
      </c>
      <c r="K1120" t="s">
        <v>34</v>
      </c>
      <c r="M1120" s="1" t="s">
        <v>35</v>
      </c>
      <c r="N1120" s="1">
        <v>42318949</v>
      </c>
      <c r="O1120" s="1" t="s">
        <v>105</v>
      </c>
      <c r="P1120" s="186">
        <v>44932.429664351854</v>
      </c>
      <c r="R1120" s="1" t="s">
        <v>38</v>
      </c>
      <c r="T1120" s="1" t="s">
        <v>74</v>
      </c>
      <c r="U1120" s="186">
        <v>44932.75</v>
      </c>
      <c r="V1120" s="1" t="s">
        <v>41</v>
      </c>
      <c r="W1120" s="1" t="s">
        <v>49</v>
      </c>
      <c r="AA1120" s="14"/>
    </row>
    <row r="1121" spans="1:27" hidden="1">
      <c r="A1121" s="1">
        <v>9294073</v>
      </c>
      <c r="B1121" s="1" t="s">
        <v>101</v>
      </c>
      <c r="C1121" t="s">
        <v>1810</v>
      </c>
      <c r="E1121" s="2">
        <v>714000206001</v>
      </c>
      <c r="F1121" s="1" t="s">
        <v>29</v>
      </c>
      <c r="G1121" s="1" t="s">
        <v>53</v>
      </c>
      <c r="H1121" s="1" t="s">
        <v>377</v>
      </c>
      <c r="I1121" s="1" t="s">
        <v>378</v>
      </c>
      <c r="J1121" s="1" t="s">
        <v>46</v>
      </c>
      <c r="K1121" t="s">
        <v>34</v>
      </c>
      <c r="M1121" s="1" t="s">
        <v>35</v>
      </c>
      <c r="N1121" s="1">
        <v>42318949</v>
      </c>
      <c r="O1121" s="1" t="s">
        <v>105</v>
      </c>
      <c r="P1121" s="186">
        <v>44932.429652777777</v>
      </c>
      <c r="R1121" s="1" t="s">
        <v>38</v>
      </c>
      <c r="T1121" s="1" t="s">
        <v>74</v>
      </c>
      <c r="U1121" s="186">
        <v>44932.75</v>
      </c>
      <c r="V1121" s="1" t="s">
        <v>41</v>
      </c>
      <c r="W1121" s="1" t="s">
        <v>49</v>
      </c>
      <c r="AA1121" s="14"/>
    </row>
    <row r="1122" spans="1:27" hidden="1">
      <c r="A1122" s="1">
        <v>9294069</v>
      </c>
      <c r="B1122" s="1" t="s">
        <v>101</v>
      </c>
      <c r="C1122" t="s">
        <v>1810</v>
      </c>
      <c r="E1122" s="2">
        <v>711000206001</v>
      </c>
      <c r="F1122" s="1" t="s">
        <v>29</v>
      </c>
      <c r="G1122" s="1" t="s">
        <v>53</v>
      </c>
      <c r="H1122" s="1" t="s">
        <v>77</v>
      </c>
      <c r="I1122" s="1" t="s">
        <v>78</v>
      </c>
      <c r="J1122" s="1" t="s">
        <v>79</v>
      </c>
      <c r="K1122" t="s">
        <v>34</v>
      </c>
      <c r="M1122" s="1" t="s">
        <v>35</v>
      </c>
      <c r="N1122" s="1">
        <v>42318949</v>
      </c>
      <c r="O1122" s="1" t="s">
        <v>105</v>
      </c>
      <c r="P1122" s="186">
        <v>44932.4296412037</v>
      </c>
      <c r="R1122" s="1" t="s">
        <v>38</v>
      </c>
      <c r="T1122" s="1" t="s">
        <v>74</v>
      </c>
      <c r="U1122" s="186">
        <v>44932.75</v>
      </c>
      <c r="V1122" s="1" t="s">
        <v>41</v>
      </c>
      <c r="W1122" s="1" t="s">
        <v>49</v>
      </c>
      <c r="AA1122" s="14"/>
    </row>
    <row r="1123" spans="1:27" hidden="1">
      <c r="A1123" s="1">
        <v>9294068</v>
      </c>
      <c r="B1123" s="1" t="s">
        <v>101</v>
      </c>
      <c r="C1123" t="s">
        <v>1810</v>
      </c>
      <c r="E1123" s="2">
        <v>710000206001</v>
      </c>
      <c r="F1123" s="1" t="s">
        <v>29</v>
      </c>
      <c r="G1123" s="1" t="s">
        <v>53</v>
      </c>
      <c r="H1123" s="1" t="s">
        <v>390</v>
      </c>
      <c r="I1123" s="1" t="s">
        <v>391</v>
      </c>
      <c r="J1123" s="1" t="s">
        <v>56</v>
      </c>
      <c r="K1123" t="s">
        <v>34</v>
      </c>
      <c r="M1123" s="1" t="s">
        <v>35</v>
      </c>
      <c r="N1123" s="1">
        <v>42318949</v>
      </c>
      <c r="O1123" s="1" t="s">
        <v>36</v>
      </c>
      <c r="P1123" s="186">
        <v>44932.4296412037</v>
      </c>
      <c r="R1123" s="1" t="s">
        <v>38</v>
      </c>
      <c r="T1123" s="1" t="s">
        <v>74</v>
      </c>
      <c r="U1123" s="186">
        <v>44932.75</v>
      </c>
      <c r="V1123" s="1" t="s">
        <v>41</v>
      </c>
      <c r="W1123" s="1" t="s">
        <v>49</v>
      </c>
      <c r="AA1123" s="14"/>
    </row>
    <row r="1124" spans="1:27" hidden="1">
      <c r="A1124" s="1">
        <v>9294054</v>
      </c>
      <c r="B1124" s="1" t="s">
        <v>101</v>
      </c>
      <c r="C1124" t="s">
        <v>1810</v>
      </c>
      <c r="E1124" s="2">
        <v>697000206001</v>
      </c>
      <c r="F1124" s="1" t="s">
        <v>29</v>
      </c>
      <c r="G1124" s="1" t="s">
        <v>53</v>
      </c>
      <c r="H1124" s="1" t="s">
        <v>65</v>
      </c>
      <c r="I1124" s="1" t="s">
        <v>66</v>
      </c>
      <c r="J1124" s="1" t="s">
        <v>46</v>
      </c>
      <c r="K1124" t="s">
        <v>34</v>
      </c>
      <c r="M1124" s="1" t="s">
        <v>35</v>
      </c>
      <c r="N1124" s="1">
        <v>42318949</v>
      </c>
      <c r="O1124" s="1" t="s">
        <v>105</v>
      </c>
      <c r="P1124" s="186">
        <v>44932.429618055554</v>
      </c>
      <c r="R1124" s="1" t="s">
        <v>38</v>
      </c>
      <c r="T1124" s="1" t="s">
        <v>74</v>
      </c>
      <c r="U1124" s="186">
        <v>44932.75</v>
      </c>
      <c r="V1124" s="1" t="s">
        <v>41</v>
      </c>
      <c r="W1124" s="1" t="s">
        <v>49</v>
      </c>
      <c r="AA1124" s="14"/>
    </row>
    <row r="1125" spans="1:27" hidden="1">
      <c r="A1125" s="1">
        <v>9294030</v>
      </c>
      <c r="B1125" s="1" t="s">
        <v>101</v>
      </c>
      <c r="C1125" t="s">
        <v>1810</v>
      </c>
      <c r="E1125" s="2">
        <v>673000206001</v>
      </c>
      <c r="F1125" s="1" t="s">
        <v>29</v>
      </c>
      <c r="G1125" s="1" t="s">
        <v>53</v>
      </c>
      <c r="H1125" s="1" t="s">
        <v>581</v>
      </c>
      <c r="I1125" s="1" t="s">
        <v>582</v>
      </c>
      <c r="J1125" s="1" t="s">
        <v>110</v>
      </c>
      <c r="K1125" t="s">
        <v>34</v>
      </c>
      <c r="M1125" s="1" t="s">
        <v>35</v>
      </c>
      <c r="N1125" s="1">
        <v>42318949</v>
      </c>
      <c r="O1125" s="1" t="s">
        <v>105</v>
      </c>
      <c r="P1125" s="186">
        <v>44932.429583333331</v>
      </c>
      <c r="R1125" s="1" t="s">
        <v>38</v>
      </c>
      <c r="T1125" s="1" t="s">
        <v>74</v>
      </c>
      <c r="U1125" s="186">
        <v>44932.75</v>
      </c>
      <c r="V1125" s="1" t="s">
        <v>41</v>
      </c>
      <c r="W1125" s="1" t="s">
        <v>49</v>
      </c>
      <c r="AA1125" s="14"/>
    </row>
    <row r="1126" spans="1:27" hidden="1">
      <c r="A1126" s="1">
        <v>9293955</v>
      </c>
      <c r="B1126" s="1" t="s">
        <v>101</v>
      </c>
      <c r="C1126" t="s">
        <v>1810</v>
      </c>
      <c r="E1126" s="2">
        <v>608000206001</v>
      </c>
      <c r="F1126" s="1" t="s">
        <v>29</v>
      </c>
      <c r="G1126" s="1" t="s">
        <v>53</v>
      </c>
      <c r="H1126" s="1" t="s">
        <v>438</v>
      </c>
      <c r="I1126" s="1" t="s">
        <v>439</v>
      </c>
      <c r="J1126" s="1" t="s">
        <v>148</v>
      </c>
      <c r="K1126" t="s">
        <v>34</v>
      </c>
      <c r="M1126" s="1" t="s">
        <v>35</v>
      </c>
      <c r="N1126" s="1">
        <v>42318949</v>
      </c>
      <c r="O1126" s="1" t="s">
        <v>105</v>
      </c>
      <c r="P1126" s="186">
        <v>44932.429467592592</v>
      </c>
      <c r="R1126" s="1" t="s">
        <v>38</v>
      </c>
      <c r="T1126" s="1" t="s">
        <v>74</v>
      </c>
      <c r="U1126" s="186">
        <v>44932.75</v>
      </c>
      <c r="V1126" s="1" t="s">
        <v>41</v>
      </c>
      <c r="W1126" s="1" t="s">
        <v>49</v>
      </c>
      <c r="AA1126" s="14"/>
    </row>
    <row r="1127" spans="1:27" hidden="1">
      <c r="A1127" s="1">
        <v>9293952</v>
      </c>
      <c r="B1127" s="1" t="s">
        <v>101</v>
      </c>
      <c r="C1127" t="s">
        <v>1810</v>
      </c>
      <c r="E1127" s="2">
        <v>605000206001</v>
      </c>
      <c r="F1127" s="1" t="s">
        <v>29</v>
      </c>
      <c r="G1127" s="1" t="s">
        <v>53</v>
      </c>
      <c r="H1127" s="1" t="s">
        <v>420</v>
      </c>
      <c r="I1127" s="1" t="s">
        <v>421</v>
      </c>
      <c r="J1127" s="1" t="s">
        <v>90</v>
      </c>
      <c r="K1127" t="s">
        <v>34</v>
      </c>
      <c r="M1127" s="1" t="s">
        <v>35</v>
      </c>
      <c r="N1127" s="1">
        <v>42318949</v>
      </c>
      <c r="O1127" s="1" t="s">
        <v>105</v>
      </c>
      <c r="P1127" s="186">
        <v>44932.429456018515</v>
      </c>
      <c r="R1127" s="1" t="s">
        <v>38</v>
      </c>
      <c r="T1127" s="1" t="s">
        <v>74</v>
      </c>
      <c r="U1127" s="186">
        <v>44932.75</v>
      </c>
      <c r="V1127" s="1" t="s">
        <v>41</v>
      </c>
      <c r="W1127" s="1" t="s">
        <v>49</v>
      </c>
      <c r="AA1127" s="14"/>
    </row>
    <row r="1128" spans="1:27" hidden="1">
      <c r="A1128" s="1">
        <v>9293925</v>
      </c>
      <c r="B1128" s="1" t="s">
        <v>101</v>
      </c>
      <c r="C1128" t="s">
        <v>1810</v>
      </c>
      <c r="E1128" s="2">
        <v>582000206001</v>
      </c>
      <c r="F1128" s="1" t="s">
        <v>29</v>
      </c>
      <c r="G1128" s="1" t="s">
        <v>53</v>
      </c>
      <c r="H1128" s="1" t="s">
        <v>139</v>
      </c>
      <c r="I1128" s="1" t="s">
        <v>140</v>
      </c>
      <c r="J1128" s="1" t="s">
        <v>141</v>
      </c>
      <c r="K1128" t="s">
        <v>34</v>
      </c>
      <c r="M1128" s="1" t="s">
        <v>35</v>
      </c>
      <c r="N1128" s="1">
        <v>42318949</v>
      </c>
      <c r="O1128" s="1" t="s">
        <v>105</v>
      </c>
      <c r="P1128" s="186">
        <v>44932.4294212963</v>
      </c>
      <c r="R1128" s="1" t="s">
        <v>38</v>
      </c>
      <c r="T1128" s="1" t="s">
        <v>74</v>
      </c>
      <c r="U1128" s="186">
        <v>44932.75</v>
      </c>
      <c r="V1128" s="1" t="s">
        <v>41</v>
      </c>
      <c r="W1128" s="1" t="s">
        <v>49</v>
      </c>
      <c r="AA1128" s="14"/>
    </row>
    <row r="1129" spans="1:27" hidden="1">
      <c r="A1129" s="1">
        <v>9293892</v>
      </c>
      <c r="B1129" s="1" t="s">
        <v>101</v>
      </c>
      <c r="C1129" t="s">
        <v>1810</v>
      </c>
      <c r="E1129" s="2">
        <v>550000206001</v>
      </c>
      <c r="F1129" s="1" t="s">
        <v>29</v>
      </c>
      <c r="G1129" s="1" t="s">
        <v>53</v>
      </c>
      <c r="H1129" s="1" t="s">
        <v>337</v>
      </c>
      <c r="I1129" s="1" t="s">
        <v>338</v>
      </c>
      <c r="J1129" s="1" t="s">
        <v>164</v>
      </c>
      <c r="K1129" t="s">
        <v>34</v>
      </c>
      <c r="M1129" s="1" t="s">
        <v>35</v>
      </c>
      <c r="N1129" s="1">
        <v>42318949</v>
      </c>
      <c r="O1129" s="1" t="s">
        <v>105</v>
      </c>
      <c r="P1129" s="186">
        <v>44932.429363425923</v>
      </c>
      <c r="R1129" s="1" t="s">
        <v>38</v>
      </c>
      <c r="T1129" s="1" t="s">
        <v>74</v>
      </c>
      <c r="U1129" s="186">
        <v>44932.75</v>
      </c>
      <c r="V1129" s="1" t="s">
        <v>41</v>
      </c>
      <c r="W1129" s="1" t="s">
        <v>49</v>
      </c>
      <c r="AA1129" s="14"/>
    </row>
    <row r="1130" spans="1:27" hidden="1">
      <c r="A1130" s="1">
        <v>9293880</v>
      </c>
      <c r="B1130" s="1" t="s">
        <v>101</v>
      </c>
      <c r="C1130" t="s">
        <v>1810</v>
      </c>
      <c r="E1130" s="2">
        <v>537000206001</v>
      </c>
      <c r="F1130" s="1" t="s">
        <v>29</v>
      </c>
      <c r="G1130" s="1" t="s">
        <v>53</v>
      </c>
      <c r="H1130" s="1" t="s">
        <v>442</v>
      </c>
      <c r="I1130" s="1" t="s">
        <v>443</v>
      </c>
      <c r="J1130" s="1" t="s">
        <v>79</v>
      </c>
      <c r="K1130" t="s">
        <v>34</v>
      </c>
      <c r="M1130" s="1" t="s">
        <v>35</v>
      </c>
      <c r="N1130" s="1">
        <v>42318949</v>
      </c>
      <c r="O1130" s="1" t="s">
        <v>105</v>
      </c>
      <c r="P1130" s="186">
        <v>44932.429351851853</v>
      </c>
      <c r="R1130" s="1" t="s">
        <v>38</v>
      </c>
      <c r="T1130" s="1" t="s">
        <v>74</v>
      </c>
      <c r="U1130" s="186">
        <v>44932.75</v>
      </c>
      <c r="V1130" s="1" t="s">
        <v>41</v>
      </c>
      <c r="W1130" s="1" t="s">
        <v>49</v>
      </c>
      <c r="AA1130" s="14"/>
    </row>
    <row r="1131" spans="1:27" hidden="1">
      <c r="A1131" s="1">
        <v>9293775</v>
      </c>
      <c r="B1131" s="1" t="s">
        <v>101</v>
      </c>
      <c r="C1131" t="s">
        <v>1810</v>
      </c>
      <c r="E1131" s="2">
        <v>446000206001</v>
      </c>
      <c r="F1131" s="1" t="s">
        <v>29</v>
      </c>
      <c r="G1131" s="1" t="s">
        <v>53</v>
      </c>
      <c r="H1131" s="1" t="s">
        <v>432</v>
      </c>
      <c r="I1131" s="1" t="s">
        <v>433</v>
      </c>
      <c r="J1131" s="1" t="s">
        <v>110</v>
      </c>
      <c r="K1131" t="s">
        <v>34</v>
      </c>
      <c r="M1131" s="1" t="s">
        <v>35</v>
      </c>
      <c r="N1131" s="1">
        <v>42318949</v>
      </c>
      <c r="O1131" s="1" t="s">
        <v>36</v>
      </c>
      <c r="P1131" s="186">
        <v>44932.429189814815</v>
      </c>
      <c r="R1131" s="1" t="s">
        <v>38</v>
      </c>
      <c r="T1131" s="1" t="s">
        <v>74</v>
      </c>
      <c r="U1131" s="186">
        <v>44932.75</v>
      </c>
      <c r="V1131" s="1" t="s">
        <v>41</v>
      </c>
      <c r="W1131" s="1" t="s">
        <v>49</v>
      </c>
      <c r="AA1131" s="14"/>
    </row>
    <row r="1132" spans="1:27" hidden="1">
      <c r="A1132" s="1">
        <v>9293508</v>
      </c>
      <c r="B1132" s="1" t="s">
        <v>101</v>
      </c>
      <c r="C1132" t="s">
        <v>1810</v>
      </c>
      <c r="E1132" s="2">
        <v>233000206001</v>
      </c>
      <c r="F1132" s="1" t="s">
        <v>29</v>
      </c>
      <c r="G1132" s="1" t="s">
        <v>53</v>
      </c>
      <c r="H1132" s="1" t="s">
        <v>424</v>
      </c>
      <c r="I1132" s="1" t="s">
        <v>425</v>
      </c>
      <c r="J1132" s="1" t="s">
        <v>261</v>
      </c>
      <c r="K1132" t="s">
        <v>34</v>
      </c>
      <c r="M1132" s="1" t="s">
        <v>35</v>
      </c>
      <c r="N1132" s="1">
        <v>42318949</v>
      </c>
      <c r="O1132" s="1" t="s">
        <v>105</v>
      </c>
      <c r="P1132" s="186">
        <v>44932.428796296299</v>
      </c>
      <c r="R1132" s="1" t="s">
        <v>38</v>
      </c>
      <c r="T1132" s="1" t="s">
        <v>74</v>
      </c>
      <c r="U1132" s="186">
        <v>44932.75</v>
      </c>
      <c r="V1132" s="1" t="s">
        <v>41</v>
      </c>
      <c r="W1132" s="1" t="s">
        <v>49</v>
      </c>
      <c r="AA1132" s="14"/>
    </row>
    <row r="1133" spans="1:27" hidden="1">
      <c r="A1133" s="1">
        <v>9293507</v>
      </c>
      <c r="B1133" s="1" t="s">
        <v>101</v>
      </c>
      <c r="C1133" t="s">
        <v>1810</v>
      </c>
      <c r="E1133" s="2">
        <v>232000206001</v>
      </c>
      <c r="F1133" s="1" t="s">
        <v>29</v>
      </c>
      <c r="G1133" s="1" t="s">
        <v>53</v>
      </c>
      <c r="H1133" s="1" t="s">
        <v>1363</v>
      </c>
      <c r="I1133" s="1" t="s">
        <v>1364</v>
      </c>
      <c r="J1133" s="1" t="s">
        <v>141</v>
      </c>
      <c r="K1133" t="s">
        <v>34</v>
      </c>
      <c r="M1133" s="1" t="s">
        <v>35</v>
      </c>
      <c r="N1133" s="1">
        <v>42318949</v>
      </c>
      <c r="O1133" s="1" t="s">
        <v>105</v>
      </c>
      <c r="P1133" s="186">
        <v>44932.428796296299</v>
      </c>
      <c r="R1133" s="1" t="s">
        <v>38</v>
      </c>
      <c r="T1133" s="1" t="s">
        <v>74</v>
      </c>
      <c r="U1133" s="186">
        <v>44932.75</v>
      </c>
      <c r="V1133" s="1" t="s">
        <v>41</v>
      </c>
      <c r="W1133" s="1" t="s">
        <v>49</v>
      </c>
      <c r="AA1133" s="14"/>
    </row>
    <row r="1134" spans="1:27" hidden="1">
      <c r="A1134" s="1">
        <v>9293492</v>
      </c>
      <c r="B1134" s="1" t="s">
        <v>101</v>
      </c>
      <c r="C1134" t="s">
        <v>1810</v>
      </c>
      <c r="E1134" s="2">
        <v>220000206001</v>
      </c>
      <c r="F1134" s="1" t="s">
        <v>29</v>
      </c>
      <c r="G1134" s="1" t="s">
        <v>53</v>
      </c>
      <c r="H1134" s="1" t="s">
        <v>588</v>
      </c>
      <c r="I1134" s="1" t="s">
        <v>589</v>
      </c>
      <c r="J1134" s="1" t="s">
        <v>110</v>
      </c>
      <c r="K1134" t="s">
        <v>34</v>
      </c>
      <c r="M1134" s="1" t="s">
        <v>35</v>
      </c>
      <c r="N1134" s="1">
        <v>42318949</v>
      </c>
      <c r="O1134" s="1" t="s">
        <v>105</v>
      </c>
      <c r="P1134" s="186">
        <v>44932.428784722222</v>
      </c>
      <c r="R1134" s="1" t="s">
        <v>38</v>
      </c>
      <c r="T1134" s="1" t="s">
        <v>74</v>
      </c>
      <c r="U1134" s="186">
        <v>44932.75</v>
      </c>
      <c r="V1134" s="1" t="s">
        <v>41</v>
      </c>
      <c r="W1134" s="1" t="s">
        <v>49</v>
      </c>
      <c r="AA1134" s="14"/>
    </row>
    <row r="1135" spans="1:27" hidden="1">
      <c r="A1135" s="1">
        <v>9293462</v>
      </c>
      <c r="B1135" s="1" t="s">
        <v>101</v>
      </c>
      <c r="C1135" t="s">
        <v>1810</v>
      </c>
      <c r="E1135" s="2">
        <v>196000206001</v>
      </c>
      <c r="F1135" s="1" t="s">
        <v>29</v>
      </c>
      <c r="G1135" s="1" t="s">
        <v>53</v>
      </c>
      <c r="H1135" s="1" t="s">
        <v>1060</v>
      </c>
      <c r="I1135" s="1" t="s">
        <v>1061</v>
      </c>
      <c r="J1135" s="1" t="s">
        <v>79</v>
      </c>
      <c r="K1135" t="s">
        <v>34</v>
      </c>
      <c r="M1135" s="1" t="s">
        <v>35</v>
      </c>
      <c r="N1135" s="1">
        <v>42318949</v>
      </c>
      <c r="O1135" s="1" t="s">
        <v>105</v>
      </c>
      <c r="P1135" s="186">
        <v>44932.428738425922</v>
      </c>
      <c r="R1135" s="1" t="s">
        <v>38</v>
      </c>
      <c r="T1135" s="1" t="s">
        <v>74</v>
      </c>
      <c r="U1135" s="186">
        <v>44932.75</v>
      </c>
      <c r="V1135" s="1" t="s">
        <v>41</v>
      </c>
      <c r="W1135" s="1" t="s">
        <v>49</v>
      </c>
      <c r="AA1135" s="14"/>
    </row>
    <row r="1136" spans="1:27" hidden="1">
      <c r="A1136" s="1">
        <v>9293363</v>
      </c>
      <c r="B1136" s="1" t="s">
        <v>101</v>
      </c>
      <c r="C1136" t="s">
        <v>1810</v>
      </c>
      <c r="E1136" s="2">
        <v>115000206001</v>
      </c>
      <c r="F1136" s="1" t="s">
        <v>29</v>
      </c>
      <c r="G1136" s="1" t="s">
        <v>53</v>
      </c>
      <c r="H1136" s="1" t="s">
        <v>542</v>
      </c>
      <c r="I1136" s="1" t="s">
        <v>543</v>
      </c>
      <c r="J1136" s="1" t="s">
        <v>56</v>
      </c>
      <c r="K1136" t="s">
        <v>34</v>
      </c>
      <c r="M1136" s="1" t="s">
        <v>35</v>
      </c>
      <c r="N1136" s="1">
        <v>42318949</v>
      </c>
      <c r="O1136" s="1" t="s">
        <v>105</v>
      </c>
      <c r="P1136" s="186">
        <v>44932.428587962961</v>
      </c>
      <c r="R1136" s="1" t="s">
        <v>38</v>
      </c>
      <c r="T1136" s="1" t="s">
        <v>74</v>
      </c>
      <c r="U1136" s="186">
        <v>44932.75</v>
      </c>
      <c r="V1136" s="1" t="s">
        <v>41</v>
      </c>
      <c r="W1136" s="1" t="s">
        <v>49</v>
      </c>
      <c r="AA1136" s="14"/>
    </row>
    <row r="1137" spans="1:27" hidden="1">
      <c r="A1137" s="1">
        <v>9293306</v>
      </c>
      <c r="B1137" s="1" t="s">
        <v>101</v>
      </c>
      <c r="C1137" t="s">
        <v>1810</v>
      </c>
      <c r="E1137" s="2">
        <v>68000206001</v>
      </c>
      <c r="F1137" s="1" t="s">
        <v>29</v>
      </c>
      <c r="G1137" s="1" t="s">
        <v>53</v>
      </c>
      <c r="H1137" s="1" t="s">
        <v>1330</v>
      </c>
      <c r="I1137" s="1" t="s">
        <v>1331</v>
      </c>
      <c r="J1137" s="1" t="s">
        <v>211</v>
      </c>
      <c r="K1137" t="s">
        <v>34</v>
      </c>
      <c r="M1137" s="1" t="s">
        <v>35</v>
      </c>
      <c r="N1137" s="1">
        <v>42318949</v>
      </c>
      <c r="O1137" s="1" t="s">
        <v>105</v>
      </c>
      <c r="P1137" s="186">
        <v>44932.428495370368</v>
      </c>
      <c r="R1137" s="1" t="s">
        <v>38</v>
      </c>
      <c r="T1137" s="1" t="s">
        <v>74</v>
      </c>
      <c r="U1137" s="186">
        <v>44932.75</v>
      </c>
      <c r="V1137" s="1" t="s">
        <v>41</v>
      </c>
      <c r="W1137" s="1" t="s">
        <v>49</v>
      </c>
      <c r="AA1137" s="14"/>
    </row>
    <row r="1138" spans="1:27" hidden="1">
      <c r="A1138" s="1">
        <v>9293305</v>
      </c>
      <c r="B1138" s="1" t="s">
        <v>101</v>
      </c>
      <c r="C1138" t="s">
        <v>1810</v>
      </c>
      <c r="E1138" s="2">
        <v>67000206001</v>
      </c>
      <c r="F1138" s="1" t="s">
        <v>29</v>
      </c>
      <c r="G1138" s="1" t="s">
        <v>53</v>
      </c>
      <c r="H1138" s="1" t="s">
        <v>404</v>
      </c>
      <c r="I1138" s="1" t="s">
        <v>405</v>
      </c>
      <c r="J1138" s="1" t="s">
        <v>164</v>
      </c>
      <c r="K1138" t="s">
        <v>34</v>
      </c>
      <c r="M1138" s="1" t="s">
        <v>35</v>
      </c>
      <c r="N1138" s="1">
        <v>42318949</v>
      </c>
      <c r="O1138" s="1" t="s">
        <v>105</v>
      </c>
      <c r="P1138" s="186">
        <v>44932.428495370368</v>
      </c>
      <c r="R1138" s="1" t="s">
        <v>38</v>
      </c>
      <c r="T1138" s="1" t="s">
        <v>74</v>
      </c>
      <c r="U1138" s="186">
        <v>44932.75</v>
      </c>
      <c r="V1138" s="1" t="s">
        <v>41</v>
      </c>
      <c r="W1138" s="1" t="s">
        <v>49</v>
      </c>
      <c r="AA1138" s="14"/>
    </row>
    <row r="1139" spans="1:27" hidden="1">
      <c r="A1139" s="1">
        <v>9293223</v>
      </c>
      <c r="B1139" s="1" t="s">
        <v>101</v>
      </c>
      <c r="C1139" t="s">
        <v>1810</v>
      </c>
      <c r="E1139" s="2">
        <v>7740206001</v>
      </c>
      <c r="F1139" s="1" t="s">
        <v>29</v>
      </c>
      <c r="G1139" s="1" t="s">
        <v>53</v>
      </c>
      <c r="H1139" s="1" t="s">
        <v>187</v>
      </c>
      <c r="I1139" s="1" t="s">
        <v>188</v>
      </c>
      <c r="J1139" s="1" t="s">
        <v>46</v>
      </c>
      <c r="K1139" t="s">
        <v>34</v>
      </c>
      <c r="M1139" s="1" t="s">
        <v>35</v>
      </c>
      <c r="N1139" s="1">
        <v>42318949</v>
      </c>
      <c r="O1139" s="1" t="s">
        <v>105</v>
      </c>
      <c r="P1139" s="186">
        <v>44932.428379629629</v>
      </c>
      <c r="R1139" s="1" t="s">
        <v>38</v>
      </c>
      <c r="T1139" s="1" t="s">
        <v>74</v>
      </c>
      <c r="U1139" s="186">
        <v>44932.75</v>
      </c>
      <c r="V1139" s="1" t="s">
        <v>41</v>
      </c>
      <c r="W1139" s="1" t="s">
        <v>49</v>
      </c>
      <c r="AA1139" s="14"/>
    </row>
    <row r="1140" spans="1:27" hidden="1">
      <c r="A1140" s="1">
        <v>9293222</v>
      </c>
      <c r="B1140" s="1" t="s">
        <v>101</v>
      </c>
      <c r="C1140" t="s">
        <v>1810</v>
      </c>
      <c r="E1140" s="2">
        <v>7710206001</v>
      </c>
      <c r="F1140" s="1" t="s">
        <v>29</v>
      </c>
      <c r="G1140" s="1" t="s">
        <v>53</v>
      </c>
      <c r="H1140" s="1" t="s">
        <v>228</v>
      </c>
      <c r="I1140" s="1" t="s">
        <v>229</v>
      </c>
      <c r="J1140" s="1" t="s">
        <v>46</v>
      </c>
      <c r="K1140" t="s">
        <v>34</v>
      </c>
      <c r="M1140" s="1" t="s">
        <v>35</v>
      </c>
      <c r="N1140" s="1">
        <v>42318949</v>
      </c>
      <c r="O1140" s="1" t="s">
        <v>105</v>
      </c>
      <c r="P1140" s="186">
        <v>44932.428368055553</v>
      </c>
      <c r="R1140" s="1" t="s">
        <v>38</v>
      </c>
      <c r="T1140" s="1" t="s">
        <v>74</v>
      </c>
      <c r="U1140" s="186">
        <v>44932.75</v>
      </c>
      <c r="V1140" s="1" t="s">
        <v>41</v>
      </c>
      <c r="W1140" s="1" t="s">
        <v>49</v>
      </c>
      <c r="AA1140" s="14"/>
    </row>
    <row r="1141" spans="1:27" hidden="1">
      <c r="A1141" s="1">
        <v>9316562</v>
      </c>
      <c r="B1141" s="1" t="s">
        <v>1924</v>
      </c>
      <c r="C1141" t="s">
        <v>1925</v>
      </c>
      <c r="D1141" s="2">
        <v>20234623000002</v>
      </c>
      <c r="E1141" s="2">
        <v>7417202020353</v>
      </c>
      <c r="F1141" s="1" t="s">
        <v>1213</v>
      </c>
      <c r="G1141" s="1" t="s">
        <v>53</v>
      </c>
      <c r="H1141" s="1" t="s">
        <v>1926</v>
      </c>
      <c r="I1141" s="1" t="s">
        <v>1927</v>
      </c>
      <c r="J1141" s="1" t="s">
        <v>33</v>
      </c>
      <c r="K1141" t="s">
        <v>1214</v>
      </c>
      <c r="M1141" s="1" t="s">
        <v>58</v>
      </c>
      <c r="N1141" s="1">
        <v>0</v>
      </c>
      <c r="O1141" s="1" t="s">
        <v>36</v>
      </c>
      <c r="P1141" s="186">
        <v>44935.666909722226</v>
      </c>
      <c r="R1141" s="1">
        <v>14</v>
      </c>
      <c r="T1141" s="1" t="s">
        <v>238</v>
      </c>
      <c r="U1141" s="186">
        <v>44937.999305555553</v>
      </c>
      <c r="V1141" s="1" t="s">
        <v>41</v>
      </c>
      <c r="W1141" s="1" t="s">
        <v>42</v>
      </c>
      <c r="AA1141" s="14"/>
    </row>
    <row r="1142" spans="1:27" hidden="1">
      <c r="A1142" s="1">
        <v>9314411</v>
      </c>
      <c r="B1142" s="1" t="s">
        <v>1153</v>
      </c>
      <c r="C1142" t="s">
        <v>1930</v>
      </c>
      <c r="D1142" s="2">
        <v>20231850000003</v>
      </c>
      <c r="E1142" s="2">
        <v>7417193050573</v>
      </c>
      <c r="F1142" s="1" t="s">
        <v>1719</v>
      </c>
      <c r="G1142" s="1" t="s">
        <v>53</v>
      </c>
      <c r="H1142" s="1" t="s">
        <v>1931</v>
      </c>
      <c r="I1142" s="1" t="s">
        <v>1932</v>
      </c>
      <c r="J1142" s="1" t="s">
        <v>46</v>
      </c>
      <c r="K1142" t="s">
        <v>1720</v>
      </c>
      <c r="M1142" s="1" t="s">
        <v>58</v>
      </c>
      <c r="N1142" s="1">
        <v>0</v>
      </c>
      <c r="O1142" s="1" t="s">
        <v>36</v>
      </c>
      <c r="P1142" s="186">
        <v>44935.42359953704</v>
      </c>
      <c r="R1142" s="1">
        <v>22</v>
      </c>
      <c r="T1142" s="1" t="s">
        <v>1160</v>
      </c>
      <c r="U1142" s="186">
        <v>44937.631932870368</v>
      </c>
      <c r="V1142" s="1" t="s">
        <v>41</v>
      </c>
      <c r="W1142" s="1" t="s">
        <v>49</v>
      </c>
      <c r="AA1142" s="14"/>
    </row>
    <row r="1143" spans="1:27" hidden="1">
      <c r="A1143" s="1">
        <v>9326301</v>
      </c>
      <c r="B1143" s="1" t="s">
        <v>81</v>
      </c>
      <c r="C1143" t="s">
        <v>1935</v>
      </c>
      <c r="E1143" s="2">
        <v>7417211830514</v>
      </c>
      <c r="F1143" s="1" t="s">
        <v>1936</v>
      </c>
      <c r="G1143" s="1" t="s">
        <v>53</v>
      </c>
      <c r="H1143" s="1" t="s">
        <v>1937</v>
      </c>
      <c r="I1143" s="1" t="s">
        <v>1938</v>
      </c>
      <c r="J1143" s="1" t="s">
        <v>90</v>
      </c>
      <c r="K1143" t="s">
        <v>1939</v>
      </c>
      <c r="M1143" s="1" t="s">
        <v>58</v>
      </c>
      <c r="N1143" s="1">
        <v>0</v>
      </c>
      <c r="O1143" s="1" t="s">
        <v>105</v>
      </c>
      <c r="P1143" s="186">
        <v>44937.678877314815</v>
      </c>
      <c r="R1143" s="1">
        <v>14</v>
      </c>
      <c r="T1143" s="1" t="s">
        <v>238</v>
      </c>
      <c r="U1143" s="186">
        <v>44938.679988425924</v>
      </c>
      <c r="V1143" s="1" t="s">
        <v>41</v>
      </c>
      <c r="W1143" s="1" t="s">
        <v>49</v>
      </c>
      <c r="AA1143" s="14"/>
    </row>
    <row r="1144" spans="1:27" hidden="1">
      <c r="A1144" s="1">
        <v>9331062</v>
      </c>
      <c r="B1144" s="1" t="s">
        <v>62</v>
      </c>
      <c r="C1144" t="s">
        <v>1942</v>
      </c>
      <c r="E1144" s="2">
        <v>2039000203000</v>
      </c>
      <c r="F1144" s="1" t="s">
        <v>454</v>
      </c>
      <c r="G1144" s="1" t="s">
        <v>53</v>
      </c>
      <c r="H1144" s="1" t="s">
        <v>1943</v>
      </c>
      <c r="I1144" s="1" t="s">
        <v>1944</v>
      </c>
      <c r="J1144" s="1" t="s">
        <v>110</v>
      </c>
      <c r="K1144" t="s">
        <v>457</v>
      </c>
      <c r="M1144" s="1" t="s">
        <v>58</v>
      </c>
      <c r="N1144" s="1">
        <v>0</v>
      </c>
      <c r="O1144" s="1" t="s">
        <v>36</v>
      </c>
      <c r="P1144" s="186">
        <v>44938.635578703703</v>
      </c>
      <c r="R1144" s="1">
        <v>1</v>
      </c>
      <c r="T1144" s="1" t="s">
        <v>157</v>
      </c>
      <c r="U1144" s="186">
        <v>44972.75</v>
      </c>
      <c r="V1144" s="1" t="s">
        <v>41</v>
      </c>
      <c r="W1144" s="1" t="s">
        <v>49</v>
      </c>
      <c r="AA1144" s="14"/>
    </row>
    <row r="1145" spans="1:27" hidden="1">
      <c r="A1145" s="1">
        <v>9348557</v>
      </c>
      <c r="B1145" s="1" t="s">
        <v>81</v>
      </c>
      <c r="C1145" t="s">
        <v>1947</v>
      </c>
      <c r="E1145" s="2">
        <v>9600113561034</v>
      </c>
      <c r="F1145" s="1" t="s">
        <v>233</v>
      </c>
      <c r="G1145" s="1" t="s">
        <v>30</v>
      </c>
      <c r="H1145" s="1" t="s">
        <v>1948</v>
      </c>
      <c r="I1145" s="1" t="s">
        <v>1949</v>
      </c>
      <c r="J1145" s="1" t="s">
        <v>46</v>
      </c>
      <c r="K1145" t="s">
        <v>236</v>
      </c>
      <c r="M1145" s="1" t="s">
        <v>58</v>
      </c>
      <c r="N1145" s="1">
        <v>0</v>
      </c>
      <c r="O1145" s="1" t="s">
        <v>105</v>
      </c>
      <c r="P1145" s="186">
        <v>44942.725347222222</v>
      </c>
      <c r="R1145" s="1">
        <v>15</v>
      </c>
      <c r="T1145" s="1" t="s">
        <v>238</v>
      </c>
      <c r="U1145" s="186">
        <v>44943.726122685184</v>
      </c>
      <c r="V1145" s="1" t="s">
        <v>41</v>
      </c>
      <c r="W1145" s="1" t="s">
        <v>49</v>
      </c>
      <c r="AA1145" s="14"/>
    </row>
    <row r="1146" spans="1:27" hidden="1">
      <c r="A1146" s="1">
        <v>9352258</v>
      </c>
      <c r="B1146" s="1" t="s">
        <v>62</v>
      </c>
      <c r="C1146" t="s">
        <v>1952</v>
      </c>
      <c r="E1146" s="2">
        <v>1049000206001</v>
      </c>
      <c r="F1146" s="1" t="s">
        <v>29</v>
      </c>
      <c r="G1146" s="1" t="s">
        <v>53</v>
      </c>
      <c r="H1146" s="1" t="s">
        <v>169</v>
      </c>
      <c r="I1146" s="1" t="s">
        <v>170</v>
      </c>
      <c r="J1146" s="1" t="s">
        <v>164</v>
      </c>
      <c r="K1146" t="s">
        <v>34</v>
      </c>
      <c r="M1146" s="1" t="s">
        <v>35</v>
      </c>
      <c r="N1146" s="1">
        <v>42318949</v>
      </c>
      <c r="O1146" s="1" t="s">
        <v>36</v>
      </c>
      <c r="P1146" s="186">
        <v>44943.557488425926</v>
      </c>
      <c r="R1146" s="1" t="s">
        <v>38</v>
      </c>
      <c r="T1146" s="1" t="s">
        <v>74</v>
      </c>
      <c r="U1146" s="186">
        <v>44986.75</v>
      </c>
      <c r="V1146" s="1" t="s">
        <v>41</v>
      </c>
      <c r="W1146" s="1" t="s">
        <v>49</v>
      </c>
      <c r="AA1146" s="14"/>
    </row>
    <row r="1147" spans="1:27" hidden="1">
      <c r="A1147" s="1">
        <v>9351974</v>
      </c>
      <c r="B1147" s="1" t="s">
        <v>62</v>
      </c>
      <c r="C1147" t="s">
        <v>1955</v>
      </c>
      <c r="E1147" s="2">
        <v>2442000203000</v>
      </c>
      <c r="F1147" s="1" t="s">
        <v>454</v>
      </c>
      <c r="G1147" s="1" t="s">
        <v>53</v>
      </c>
      <c r="H1147" s="1" t="s">
        <v>1956</v>
      </c>
      <c r="I1147" s="1" t="s">
        <v>1957</v>
      </c>
      <c r="J1147" s="1" t="s">
        <v>33</v>
      </c>
      <c r="K1147" t="s">
        <v>457</v>
      </c>
      <c r="M1147" s="1" t="s">
        <v>58</v>
      </c>
      <c r="N1147" s="1">
        <v>0</v>
      </c>
      <c r="O1147" s="1" t="s">
        <v>36</v>
      </c>
      <c r="P1147" s="186">
        <v>44943.516550925924</v>
      </c>
      <c r="R1147" s="1">
        <v>1</v>
      </c>
      <c r="T1147" s="1" t="s">
        <v>157</v>
      </c>
      <c r="U1147" s="186">
        <v>44979.75</v>
      </c>
      <c r="V1147" s="1" t="s">
        <v>41</v>
      </c>
      <c r="W1147" s="1" t="s">
        <v>42</v>
      </c>
      <c r="AA1147" s="14"/>
    </row>
    <row r="1148" spans="1:27" hidden="1">
      <c r="A1148" s="1">
        <v>9351053</v>
      </c>
      <c r="B1148" s="1" t="s">
        <v>1153</v>
      </c>
      <c r="C1148" t="s">
        <v>1965</v>
      </c>
      <c r="D1148" s="2">
        <v>20234923000021</v>
      </c>
      <c r="E1148" s="2">
        <v>7417183020099</v>
      </c>
      <c r="F1148" s="1" t="s">
        <v>1313</v>
      </c>
      <c r="G1148" s="1" t="s">
        <v>53</v>
      </c>
      <c r="H1148" s="1" t="s">
        <v>1966</v>
      </c>
      <c r="I1148" s="1" t="s">
        <v>1967</v>
      </c>
      <c r="J1148" s="1" t="s">
        <v>46</v>
      </c>
      <c r="K1148" t="s">
        <v>1316</v>
      </c>
      <c r="M1148" s="1" t="s">
        <v>58</v>
      </c>
      <c r="N1148" s="1">
        <v>0</v>
      </c>
      <c r="O1148" s="1" t="s">
        <v>36</v>
      </c>
      <c r="P1148" s="186">
        <v>44943.385555555556</v>
      </c>
      <c r="R1148" s="1">
        <v>13</v>
      </c>
      <c r="T1148" s="1" t="s">
        <v>238</v>
      </c>
      <c r="U1148" s="186">
        <v>44943.395833333336</v>
      </c>
      <c r="V1148" s="1" t="s">
        <v>41</v>
      </c>
      <c r="W1148" s="1" t="s">
        <v>49</v>
      </c>
      <c r="AA1148" s="14"/>
    </row>
    <row r="1149" spans="1:27" hidden="1">
      <c r="A1149" s="173">
        <v>9357204</v>
      </c>
      <c r="B1149" s="173" t="s">
        <v>1153</v>
      </c>
      <c r="C1149" s="178" t="s">
        <v>3484</v>
      </c>
      <c r="D1149" s="174">
        <v>20230605000012</v>
      </c>
      <c r="E1149" s="174">
        <v>7417163280932</v>
      </c>
      <c r="F1149" s="173" t="s">
        <v>131</v>
      </c>
      <c r="G1149" s="173" t="s">
        <v>53</v>
      </c>
      <c r="H1149" s="173" t="s">
        <v>1985</v>
      </c>
      <c r="I1149" s="173" t="s">
        <v>1986</v>
      </c>
      <c r="J1149" s="173" t="s">
        <v>90</v>
      </c>
      <c r="K1149" t="s">
        <v>132</v>
      </c>
      <c r="M1149" s="1" t="s">
        <v>58</v>
      </c>
      <c r="N1149" s="1">
        <v>0</v>
      </c>
      <c r="O1149" s="1" t="s">
        <v>36</v>
      </c>
      <c r="P1149" s="186">
        <v>44944.579340277778</v>
      </c>
      <c r="R1149" s="1">
        <v>14</v>
      </c>
      <c r="T1149" s="1" t="s">
        <v>238</v>
      </c>
      <c r="U1149" s="186">
        <v>44944.579340277778</v>
      </c>
      <c r="V1149" s="1" t="s">
        <v>41</v>
      </c>
      <c r="W1149" s="1" t="s">
        <v>49</v>
      </c>
      <c r="AA1149" s="14"/>
    </row>
    <row r="1150" spans="1:27" hidden="1">
      <c r="A1150" s="1">
        <v>9356193</v>
      </c>
      <c r="B1150" s="1" t="s">
        <v>1153</v>
      </c>
      <c r="C1150" t="s">
        <v>1988</v>
      </c>
      <c r="D1150" s="2">
        <v>20238259000001</v>
      </c>
      <c r="E1150" s="2">
        <v>7417172796319</v>
      </c>
      <c r="F1150" s="1" t="s">
        <v>1989</v>
      </c>
      <c r="G1150" s="1" t="s">
        <v>53</v>
      </c>
      <c r="H1150" s="1" t="s">
        <v>245</v>
      </c>
      <c r="I1150" s="1" t="s">
        <v>246</v>
      </c>
      <c r="J1150" s="1" t="s">
        <v>56</v>
      </c>
      <c r="K1150" t="s">
        <v>1990</v>
      </c>
      <c r="M1150" s="1" t="s">
        <v>58</v>
      </c>
      <c r="N1150" s="1">
        <v>0</v>
      </c>
      <c r="O1150" s="1" t="s">
        <v>36</v>
      </c>
      <c r="P1150" s="186">
        <v>44944.44734953704</v>
      </c>
      <c r="R1150" s="1">
        <v>22</v>
      </c>
      <c r="T1150" s="1" t="s">
        <v>1160</v>
      </c>
      <c r="U1150" s="186">
        <v>44946.655682870369</v>
      </c>
      <c r="V1150" s="1" t="s">
        <v>41</v>
      </c>
      <c r="W1150" s="1" t="s">
        <v>49</v>
      </c>
      <c r="AA1150" s="14"/>
    </row>
    <row r="1151" spans="1:27" hidden="1">
      <c r="A1151" s="1">
        <v>9363015</v>
      </c>
      <c r="B1151" s="1" t="s">
        <v>62</v>
      </c>
      <c r="C1151" t="s">
        <v>1993</v>
      </c>
      <c r="E1151" s="2">
        <v>1837000203000</v>
      </c>
      <c r="F1151" s="1" t="s">
        <v>454</v>
      </c>
      <c r="G1151" s="1" t="s">
        <v>53</v>
      </c>
      <c r="H1151" s="1" t="s">
        <v>1785</v>
      </c>
      <c r="I1151" s="1" t="s">
        <v>1786</v>
      </c>
      <c r="J1151" s="1" t="s">
        <v>46</v>
      </c>
      <c r="K1151" t="s">
        <v>457</v>
      </c>
      <c r="M1151" s="1" t="s">
        <v>58</v>
      </c>
      <c r="N1151" s="1">
        <v>0</v>
      </c>
      <c r="O1151" s="1" t="s">
        <v>36</v>
      </c>
      <c r="P1151" s="186">
        <v>44945.70008101852</v>
      </c>
      <c r="R1151" s="1">
        <v>1</v>
      </c>
      <c r="T1151" s="1" t="s">
        <v>157</v>
      </c>
      <c r="U1151" s="186">
        <v>44981.75</v>
      </c>
      <c r="V1151" s="1" t="s">
        <v>41</v>
      </c>
      <c r="W1151" s="1" t="s">
        <v>49</v>
      </c>
      <c r="AA1151" s="14"/>
    </row>
    <row r="1152" spans="1:27" hidden="1">
      <c r="A1152" s="1">
        <v>9361190</v>
      </c>
      <c r="B1152" s="1" t="s">
        <v>62</v>
      </c>
      <c r="C1152" t="s">
        <v>2011</v>
      </c>
      <c r="E1152" s="2">
        <v>3918000203000</v>
      </c>
      <c r="F1152" s="1" t="s">
        <v>454</v>
      </c>
      <c r="G1152" s="1" t="s">
        <v>53</v>
      </c>
      <c r="H1152" s="1" t="s">
        <v>858</v>
      </c>
      <c r="I1152" s="1" t="s">
        <v>859</v>
      </c>
      <c r="J1152" s="1" t="s">
        <v>33</v>
      </c>
      <c r="K1152" t="s">
        <v>457</v>
      </c>
      <c r="M1152" s="1" t="s">
        <v>58</v>
      </c>
      <c r="N1152" s="1">
        <v>0</v>
      </c>
      <c r="O1152" s="1" t="s">
        <v>105</v>
      </c>
      <c r="P1152" s="186">
        <v>44945.429432870369</v>
      </c>
      <c r="R1152" s="1">
        <v>1</v>
      </c>
      <c r="T1152" s="1" t="s">
        <v>157</v>
      </c>
      <c r="U1152" s="186">
        <v>44981.75</v>
      </c>
      <c r="V1152" s="1" t="s">
        <v>41</v>
      </c>
      <c r="W1152" s="1" t="s">
        <v>49</v>
      </c>
      <c r="AA1152" s="14"/>
    </row>
    <row r="1153" spans="1:27" hidden="1">
      <c r="A1153" s="1">
        <v>9378351</v>
      </c>
      <c r="B1153" s="1" t="s">
        <v>62</v>
      </c>
      <c r="C1153" t="s">
        <v>2013</v>
      </c>
      <c r="E1153" s="2">
        <v>2238000206001</v>
      </c>
      <c r="F1153" s="1" t="s">
        <v>29</v>
      </c>
      <c r="G1153" s="1" t="s">
        <v>53</v>
      </c>
      <c r="H1153" s="1" t="s">
        <v>707</v>
      </c>
      <c r="I1153" s="1" t="s">
        <v>708</v>
      </c>
      <c r="J1153" s="1" t="s">
        <v>79</v>
      </c>
      <c r="K1153" t="s">
        <v>34</v>
      </c>
      <c r="M1153" s="1" t="s">
        <v>35</v>
      </c>
      <c r="N1153" s="1">
        <v>42318949</v>
      </c>
      <c r="O1153" s="1" t="s">
        <v>36</v>
      </c>
      <c r="P1153" s="186">
        <v>44949.719247685185</v>
      </c>
      <c r="R1153" s="1" t="s">
        <v>38</v>
      </c>
      <c r="T1153" s="1" t="s">
        <v>74</v>
      </c>
      <c r="U1153" s="186">
        <v>44993.75</v>
      </c>
      <c r="V1153" s="1" t="s">
        <v>41</v>
      </c>
      <c r="W1153" s="1" t="s">
        <v>49</v>
      </c>
      <c r="AA1153" s="14"/>
    </row>
    <row r="1154" spans="1:27" hidden="1">
      <c r="A1154" s="181">
        <v>9376105</v>
      </c>
      <c r="B1154" s="181" t="s">
        <v>1153</v>
      </c>
      <c r="C1154" s="182" t="s">
        <v>3981</v>
      </c>
      <c r="D1154" s="183">
        <v>20230870000010</v>
      </c>
      <c r="E1154" s="183">
        <v>7419141893543</v>
      </c>
      <c r="F1154" s="181" t="s">
        <v>128</v>
      </c>
      <c r="G1154" s="181" t="s">
        <v>53</v>
      </c>
      <c r="H1154" s="181" t="s">
        <v>519</v>
      </c>
      <c r="I1154" s="181" t="s">
        <v>520</v>
      </c>
      <c r="J1154" s="181" t="s">
        <v>90</v>
      </c>
      <c r="K1154" t="s">
        <v>129</v>
      </c>
      <c r="M1154" s="1" t="s">
        <v>58</v>
      </c>
      <c r="N1154" s="1">
        <v>0</v>
      </c>
      <c r="O1154" s="1" t="s">
        <v>36</v>
      </c>
      <c r="P1154" s="186">
        <v>44949.420578703706</v>
      </c>
      <c r="R1154" s="1">
        <v>14</v>
      </c>
      <c r="T1154" s="1" t="s">
        <v>238</v>
      </c>
      <c r="U1154" s="186">
        <v>44949.420578703706</v>
      </c>
      <c r="V1154" s="1" t="s">
        <v>41</v>
      </c>
      <c r="W1154" s="1" t="s">
        <v>49</v>
      </c>
      <c r="AA1154" s="14"/>
    </row>
    <row r="1155" spans="1:27" hidden="1">
      <c r="A1155" s="1">
        <v>9372193</v>
      </c>
      <c r="B1155" s="1" t="s">
        <v>1153</v>
      </c>
      <c r="C1155" t="s">
        <v>2021</v>
      </c>
      <c r="E1155" s="2">
        <v>446000206001</v>
      </c>
      <c r="F1155" s="1" t="s">
        <v>29</v>
      </c>
      <c r="G1155" s="1" t="s">
        <v>53</v>
      </c>
      <c r="H1155" s="1" t="s">
        <v>432</v>
      </c>
      <c r="I1155" s="1" t="s">
        <v>433</v>
      </c>
      <c r="J1155" s="1" t="s">
        <v>110</v>
      </c>
      <c r="K1155" t="s">
        <v>34</v>
      </c>
      <c r="M1155" s="1" t="s">
        <v>35</v>
      </c>
      <c r="N1155" s="1">
        <v>42318949</v>
      </c>
      <c r="O1155" s="1" t="s">
        <v>36</v>
      </c>
      <c r="P1155" s="186">
        <v>44948.447430555556</v>
      </c>
      <c r="R1155" s="1" t="s">
        <v>38</v>
      </c>
      <c r="T1155" s="1" t="s">
        <v>74</v>
      </c>
      <c r="U1155" s="186">
        <v>44985.708333333336</v>
      </c>
      <c r="V1155" s="1" t="s">
        <v>41</v>
      </c>
      <c r="W1155" s="1" t="s">
        <v>49</v>
      </c>
      <c r="AA1155" s="14"/>
    </row>
    <row r="1156" spans="1:27" hidden="1">
      <c r="A1156" s="1">
        <v>9382865</v>
      </c>
      <c r="B1156" s="1" t="s">
        <v>1153</v>
      </c>
      <c r="C1156" t="s">
        <v>2024</v>
      </c>
      <c r="D1156" s="2">
        <v>230012536</v>
      </c>
      <c r="E1156" s="2">
        <v>1650001400010</v>
      </c>
      <c r="F1156" s="1" t="s">
        <v>936</v>
      </c>
      <c r="G1156" s="1" t="s">
        <v>53</v>
      </c>
      <c r="H1156" s="1" t="s">
        <v>620</v>
      </c>
      <c r="I1156" s="1" t="s">
        <v>621</v>
      </c>
      <c r="J1156" s="1" t="s">
        <v>141</v>
      </c>
      <c r="K1156" t="s">
        <v>937</v>
      </c>
      <c r="M1156" s="1" t="s">
        <v>58</v>
      </c>
      <c r="N1156" s="1">
        <v>0</v>
      </c>
      <c r="O1156" s="1" t="s">
        <v>36</v>
      </c>
      <c r="P1156" s="186">
        <v>44950.660104166665</v>
      </c>
      <c r="R1156" s="1">
        <v>3</v>
      </c>
      <c r="T1156" s="1" t="s">
        <v>646</v>
      </c>
      <c r="U1156" s="186">
        <v>44991.6875</v>
      </c>
      <c r="V1156" s="1" t="s">
        <v>41</v>
      </c>
      <c r="W1156" s="1" t="s">
        <v>49</v>
      </c>
      <c r="AA1156" s="14"/>
    </row>
    <row r="1157" spans="1:27" hidden="1">
      <c r="A1157" s="1">
        <v>9381861</v>
      </c>
      <c r="B1157" s="1" t="s">
        <v>62</v>
      </c>
      <c r="C1157" t="s">
        <v>2027</v>
      </c>
      <c r="E1157" s="2">
        <v>1069000203000</v>
      </c>
      <c r="F1157" s="1" t="s">
        <v>454</v>
      </c>
      <c r="G1157" s="1" t="s">
        <v>53</v>
      </c>
      <c r="H1157" s="1" t="s">
        <v>353</v>
      </c>
      <c r="I1157" s="1" t="s">
        <v>354</v>
      </c>
      <c r="J1157" s="1" t="s">
        <v>211</v>
      </c>
      <c r="K1157" t="s">
        <v>457</v>
      </c>
      <c r="M1157" s="1" t="s">
        <v>58</v>
      </c>
      <c r="N1157" s="1">
        <v>0</v>
      </c>
      <c r="O1157" s="1" t="s">
        <v>105</v>
      </c>
      <c r="P1157" s="186">
        <v>44950.51898148148</v>
      </c>
      <c r="R1157" s="1">
        <v>1</v>
      </c>
      <c r="T1157" s="1" t="s">
        <v>157</v>
      </c>
      <c r="U1157" s="186">
        <v>44986.75</v>
      </c>
      <c r="V1157" s="1" t="s">
        <v>41</v>
      </c>
      <c r="W1157" s="1" t="s">
        <v>49</v>
      </c>
      <c r="AA1157" s="14"/>
    </row>
    <row r="1158" spans="1:27" hidden="1">
      <c r="A1158" s="173">
        <v>9386899</v>
      </c>
      <c r="B1158" s="173" t="s">
        <v>1153</v>
      </c>
      <c r="C1158" s="178" t="s">
        <v>3623</v>
      </c>
      <c r="D1158" s="174">
        <v>230012987</v>
      </c>
      <c r="E1158" s="174">
        <v>1162001400010</v>
      </c>
      <c r="F1158" s="173" t="s">
        <v>936</v>
      </c>
      <c r="G1158" s="173" t="s">
        <v>53</v>
      </c>
      <c r="H1158" s="173" t="s">
        <v>280</v>
      </c>
      <c r="I1158" s="173" t="s">
        <v>281</v>
      </c>
      <c r="J1158" s="173" t="s">
        <v>211</v>
      </c>
      <c r="K1158" t="s">
        <v>937</v>
      </c>
      <c r="M1158" s="1" t="s">
        <v>58</v>
      </c>
      <c r="N1158" s="1">
        <v>0</v>
      </c>
      <c r="O1158" s="1" t="s">
        <v>36</v>
      </c>
      <c r="P1158" s="186">
        <v>44951.551388888889</v>
      </c>
      <c r="R1158" s="1">
        <v>3</v>
      </c>
      <c r="T1158" s="1" t="s">
        <v>646</v>
      </c>
      <c r="U1158" s="186">
        <v>44984.586805555555</v>
      </c>
      <c r="V1158" s="1" t="s">
        <v>41</v>
      </c>
      <c r="W1158" s="1" t="s">
        <v>49</v>
      </c>
      <c r="AA1158" s="14"/>
    </row>
    <row r="1159" spans="1:27" hidden="1">
      <c r="A1159" s="1">
        <v>9396912</v>
      </c>
      <c r="B1159" s="1" t="s">
        <v>62</v>
      </c>
      <c r="C1159" t="s">
        <v>2045</v>
      </c>
      <c r="D1159" s="2">
        <v>230014141</v>
      </c>
      <c r="E1159" s="2">
        <v>870001400020</v>
      </c>
      <c r="F1159" s="1" t="s">
        <v>1961</v>
      </c>
      <c r="G1159" s="1" t="s">
        <v>53</v>
      </c>
      <c r="H1159" s="1" t="s">
        <v>183</v>
      </c>
      <c r="I1159" s="1" t="s">
        <v>184</v>
      </c>
      <c r="J1159" s="1" t="s">
        <v>90</v>
      </c>
      <c r="K1159" t="s">
        <v>1962</v>
      </c>
      <c r="M1159" s="1" t="s">
        <v>58</v>
      </c>
      <c r="N1159" s="1">
        <v>0</v>
      </c>
      <c r="O1159" s="1" t="s">
        <v>36</v>
      </c>
      <c r="P1159" s="186">
        <v>44953.653599537036</v>
      </c>
      <c r="R1159" s="1">
        <v>4</v>
      </c>
      <c r="T1159" s="1" t="s">
        <v>646</v>
      </c>
      <c r="U1159" s="186">
        <v>44960.674432870372</v>
      </c>
      <c r="V1159" s="1" t="s">
        <v>41</v>
      </c>
      <c r="W1159" s="1" t="s">
        <v>49</v>
      </c>
      <c r="AA1159" s="14"/>
    </row>
    <row r="1160" spans="1:27" hidden="1">
      <c r="A1160" s="181">
        <v>9396835</v>
      </c>
      <c r="B1160" s="181" t="s">
        <v>1153</v>
      </c>
      <c r="C1160" s="182" t="s">
        <v>3982</v>
      </c>
      <c r="D1160" s="183">
        <v>20231069000005</v>
      </c>
      <c r="E1160" s="183">
        <v>7417210950276</v>
      </c>
      <c r="F1160" s="181" t="s">
        <v>1213</v>
      </c>
      <c r="G1160" s="181" t="s">
        <v>53</v>
      </c>
      <c r="H1160" s="181" t="s">
        <v>2049</v>
      </c>
      <c r="I1160" s="181" t="s">
        <v>2050</v>
      </c>
      <c r="J1160" s="181" t="s">
        <v>211</v>
      </c>
      <c r="K1160" t="s">
        <v>1214</v>
      </c>
      <c r="M1160" s="1" t="s">
        <v>58</v>
      </c>
      <c r="N1160" s="1">
        <v>0</v>
      </c>
      <c r="O1160" s="1" t="s">
        <v>36</v>
      </c>
      <c r="P1160" s="186">
        <v>44953.631932870368</v>
      </c>
      <c r="R1160" s="1">
        <v>14</v>
      </c>
      <c r="T1160" s="1" t="s">
        <v>238</v>
      </c>
      <c r="U1160" s="186">
        <v>44953.631932870368</v>
      </c>
      <c r="V1160" s="1" t="s">
        <v>41</v>
      </c>
      <c r="W1160" s="1" t="s">
        <v>49</v>
      </c>
      <c r="AA1160" s="14"/>
    </row>
    <row r="1161" spans="1:27" hidden="1">
      <c r="A1161" s="175">
        <v>9395678</v>
      </c>
      <c r="B1161" s="175" t="s">
        <v>1153</v>
      </c>
      <c r="C1161" s="184" t="s">
        <v>3983</v>
      </c>
      <c r="D1161" s="177">
        <v>20234119000004</v>
      </c>
      <c r="E1161" s="177">
        <v>7417183022947</v>
      </c>
      <c r="F1161" s="175" t="s">
        <v>1313</v>
      </c>
      <c r="G1161" s="175" t="s">
        <v>53</v>
      </c>
      <c r="H1161" s="175" t="s">
        <v>2053</v>
      </c>
      <c r="I1161" s="175" t="s">
        <v>2054</v>
      </c>
      <c r="J1161" s="175" t="s">
        <v>211</v>
      </c>
      <c r="K1161" t="s">
        <v>1316</v>
      </c>
      <c r="M1161" s="1" t="s">
        <v>58</v>
      </c>
      <c r="N1161" s="1">
        <v>0</v>
      </c>
      <c r="O1161" s="1" t="s">
        <v>36</v>
      </c>
      <c r="P1161" s="186">
        <v>44953.444606481484</v>
      </c>
      <c r="R1161" s="1">
        <v>14</v>
      </c>
      <c r="T1161" s="1" t="s">
        <v>238</v>
      </c>
      <c r="U1161" s="186">
        <v>44953.444606481484</v>
      </c>
      <c r="V1161" s="1" t="s">
        <v>41</v>
      </c>
      <c r="W1161" s="1" t="s">
        <v>49</v>
      </c>
      <c r="AA1161" s="14"/>
    </row>
    <row r="1162" spans="1:27" hidden="1">
      <c r="A1162" s="1">
        <v>9395597</v>
      </c>
      <c r="B1162" s="1" t="s">
        <v>62</v>
      </c>
      <c r="C1162" t="s">
        <v>2055</v>
      </c>
      <c r="E1162" s="2">
        <v>9406000206001</v>
      </c>
      <c r="F1162" s="1" t="s">
        <v>29</v>
      </c>
      <c r="G1162" s="1" t="s">
        <v>53</v>
      </c>
      <c r="H1162" s="1" t="s">
        <v>114</v>
      </c>
      <c r="I1162" s="1" t="s">
        <v>115</v>
      </c>
      <c r="J1162" s="1" t="s">
        <v>46</v>
      </c>
      <c r="K1162" t="s">
        <v>34</v>
      </c>
      <c r="M1162" s="1" t="s">
        <v>35</v>
      </c>
      <c r="N1162" s="1">
        <v>42318949</v>
      </c>
      <c r="O1162" s="1" t="s">
        <v>105</v>
      </c>
      <c r="P1162" s="186">
        <v>44953.442708333336</v>
      </c>
      <c r="R1162" s="1" t="s">
        <v>38</v>
      </c>
      <c r="T1162" s="1" t="s">
        <v>74</v>
      </c>
      <c r="U1162" s="186">
        <v>44998.75</v>
      </c>
      <c r="V1162" s="1" t="s">
        <v>41</v>
      </c>
      <c r="W1162" s="1" t="s">
        <v>49</v>
      </c>
      <c r="AA1162" s="14"/>
    </row>
    <row r="1163" spans="1:27" hidden="1">
      <c r="A1163" s="1">
        <v>9395595</v>
      </c>
      <c r="B1163" s="1" t="s">
        <v>62</v>
      </c>
      <c r="C1163" t="s">
        <v>2055</v>
      </c>
      <c r="E1163" s="2">
        <v>9406000206001</v>
      </c>
      <c r="F1163" s="1" t="s">
        <v>29</v>
      </c>
      <c r="G1163" s="1" t="s">
        <v>53</v>
      </c>
      <c r="H1163" s="1" t="s">
        <v>114</v>
      </c>
      <c r="I1163" s="1" t="s">
        <v>115</v>
      </c>
      <c r="J1163" s="1" t="s">
        <v>46</v>
      </c>
      <c r="K1163" t="s">
        <v>34</v>
      </c>
      <c r="M1163" s="1" t="s">
        <v>35</v>
      </c>
      <c r="N1163" s="1">
        <v>42318949</v>
      </c>
      <c r="O1163" s="1" t="s">
        <v>105</v>
      </c>
      <c r="P1163" s="186">
        <v>44953.442245370374</v>
      </c>
      <c r="R1163" s="1" t="s">
        <v>38</v>
      </c>
      <c r="T1163" s="1" t="s">
        <v>74</v>
      </c>
      <c r="U1163" s="186">
        <v>44998.75</v>
      </c>
      <c r="V1163" s="1" t="s">
        <v>41</v>
      </c>
      <c r="W1163" s="1" t="s">
        <v>49</v>
      </c>
      <c r="AA1163" s="14"/>
    </row>
    <row r="1164" spans="1:27" hidden="1">
      <c r="A1164" s="1">
        <v>9395577</v>
      </c>
      <c r="B1164" s="1" t="s">
        <v>1153</v>
      </c>
      <c r="C1164" t="s">
        <v>2019</v>
      </c>
      <c r="D1164" s="2">
        <v>20234844000256</v>
      </c>
      <c r="E1164" s="2">
        <v>7419151140206</v>
      </c>
      <c r="F1164" s="1" t="s">
        <v>2058</v>
      </c>
      <c r="G1164" s="1" t="s">
        <v>53</v>
      </c>
      <c r="H1164" s="1" t="s">
        <v>2059</v>
      </c>
      <c r="I1164" s="1" t="s">
        <v>2060</v>
      </c>
      <c r="J1164" s="1" t="s">
        <v>46</v>
      </c>
      <c r="K1164" t="s">
        <v>2061</v>
      </c>
      <c r="M1164" s="1" t="s">
        <v>58</v>
      </c>
      <c r="N1164" s="1">
        <v>0</v>
      </c>
      <c r="O1164" s="1" t="s">
        <v>36</v>
      </c>
      <c r="P1164" s="186">
        <v>44953.430891203701</v>
      </c>
      <c r="R1164" s="1">
        <v>13</v>
      </c>
      <c r="T1164" s="1" t="s">
        <v>238</v>
      </c>
      <c r="U1164" s="186">
        <v>44953.430891203701</v>
      </c>
      <c r="V1164" s="1" t="s">
        <v>41</v>
      </c>
      <c r="W1164" s="1" t="s">
        <v>49</v>
      </c>
      <c r="AA1164" s="14"/>
    </row>
    <row r="1165" spans="1:27" hidden="1">
      <c r="A1165" s="1">
        <v>9395035</v>
      </c>
      <c r="B1165" s="1" t="s">
        <v>81</v>
      </c>
      <c r="C1165" t="s">
        <v>2063</v>
      </c>
      <c r="E1165" s="2">
        <v>7417163050344</v>
      </c>
      <c r="F1165" s="1" t="s">
        <v>1741</v>
      </c>
      <c r="G1165" s="1" t="s">
        <v>53</v>
      </c>
      <c r="H1165" s="1" t="s">
        <v>2064</v>
      </c>
      <c r="I1165" s="1" t="s">
        <v>2065</v>
      </c>
      <c r="J1165" s="1" t="s">
        <v>46</v>
      </c>
      <c r="K1165" t="s">
        <v>1744</v>
      </c>
      <c r="M1165" s="1" t="s">
        <v>58</v>
      </c>
      <c r="N1165" s="1">
        <v>0</v>
      </c>
      <c r="O1165" s="1" t="s">
        <v>105</v>
      </c>
      <c r="P1165" s="186">
        <v>44953.364340277774</v>
      </c>
      <c r="R1165" s="1">
        <v>14</v>
      </c>
      <c r="T1165" s="1" t="s">
        <v>238</v>
      </c>
      <c r="U1165" s="186">
        <v>44954.365763888891</v>
      </c>
      <c r="V1165" s="1" t="s">
        <v>41</v>
      </c>
      <c r="W1165" s="1" t="s">
        <v>49</v>
      </c>
      <c r="AA1165" s="14"/>
    </row>
    <row r="1166" spans="1:27" hidden="1">
      <c r="A1166" s="1">
        <v>9413399</v>
      </c>
      <c r="B1166" s="1" t="s">
        <v>1153</v>
      </c>
      <c r="C1166" t="s">
        <v>2079</v>
      </c>
      <c r="D1166" s="2">
        <v>230015482</v>
      </c>
      <c r="E1166" s="2">
        <v>232001400010</v>
      </c>
      <c r="F1166" s="1" t="s">
        <v>936</v>
      </c>
      <c r="G1166" s="1" t="s">
        <v>53</v>
      </c>
      <c r="H1166" s="1" t="s">
        <v>1363</v>
      </c>
      <c r="I1166" s="1" t="s">
        <v>1364</v>
      </c>
      <c r="J1166" s="1" t="s">
        <v>141</v>
      </c>
      <c r="K1166" t="s">
        <v>937</v>
      </c>
      <c r="M1166" s="1" t="s">
        <v>58</v>
      </c>
      <c r="N1166" s="1">
        <v>0</v>
      </c>
      <c r="O1166" s="1" t="s">
        <v>36</v>
      </c>
      <c r="P1166" s="186">
        <v>44957.563888888886</v>
      </c>
      <c r="R1166" s="1">
        <v>3</v>
      </c>
      <c r="T1166" s="1" t="s">
        <v>646</v>
      </c>
      <c r="U1166" s="186">
        <v>44984.708333333336</v>
      </c>
      <c r="V1166" s="1" t="s">
        <v>41</v>
      </c>
      <c r="W1166" s="1" t="s">
        <v>49</v>
      </c>
      <c r="AA1166" s="14"/>
    </row>
    <row r="1167" spans="1:27" hidden="1">
      <c r="A1167" s="1">
        <v>9412308</v>
      </c>
      <c r="B1167" s="1" t="s">
        <v>1153</v>
      </c>
      <c r="C1167" t="s">
        <v>2095</v>
      </c>
      <c r="D1167" s="2">
        <v>230015317</v>
      </c>
      <c r="E1167" s="2">
        <v>2365001400030</v>
      </c>
      <c r="F1167" s="1" t="s">
        <v>647</v>
      </c>
      <c r="G1167" s="1" t="s">
        <v>53</v>
      </c>
      <c r="H1167" s="1" t="s">
        <v>159</v>
      </c>
      <c r="I1167" s="1" t="s">
        <v>160</v>
      </c>
      <c r="J1167" s="1" t="s">
        <v>46</v>
      </c>
      <c r="K1167" t="s">
        <v>650</v>
      </c>
      <c r="M1167" s="1" t="s">
        <v>58</v>
      </c>
      <c r="N1167" s="1">
        <v>0</v>
      </c>
      <c r="O1167" s="1" t="s">
        <v>36</v>
      </c>
      <c r="P1167" s="186">
        <v>44957.43917824074</v>
      </c>
      <c r="R1167" s="1">
        <v>4</v>
      </c>
      <c r="T1167" s="1" t="s">
        <v>646</v>
      </c>
      <c r="U1167" s="186">
        <v>44965.645833333336</v>
      </c>
      <c r="V1167" s="1" t="s">
        <v>41</v>
      </c>
      <c r="W1167" s="1" t="s">
        <v>49</v>
      </c>
      <c r="AA1167" s="14"/>
    </row>
    <row r="1168" spans="1:27" hidden="1">
      <c r="A1168" s="1">
        <v>9423924</v>
      </c>
      <c r="B1168" s="1" t="s">
        <v>101</v>
      </c>
      <c r="C1168" t="s">
        <v>643</v>
      </c>
      <c r="D1168" s="2">
        <v>230021340</v>
      </c>
      <c r="E1168" s="2">
        <v>1764001400040</v>
      </c>
      <c r="F1168" s="1" t="s">
        <v>644</v>
      </c>
      <c r="G1168" s="1" t="s">
        <v>53</v>
      </c>
      <c r="H1168" s="1" t="s">
        <v>722</v>
      </c>
      <c r="I1168" s="1" t="s">
        <v>723</v>
      </c>
      <c r="J1168" s="1" t="s">
        <v>90</v>
      </c>
      <c r="K1168" t="s">
        <v>645</v>
      </c>
      <c r="M1168" s="1" t="s">
        <v>58</v>
      </c>
      <c r="N1168" s="1">
        <v>0</v>
      </c>
      <c r="O1168" s="1" t="s">
        <v>105</v>
      </c>
      <c r="P1168" s="186">
        <v>44958.739421296297</v>
      </c>
      <c r="R1168" s="1">
        <v>2</v>
      </c>
      <c r="T1168" s="1" t="s">
        <v>646</v>
      </c>
      <c r="U1168" s="186">
        <v>44959.739432870374</v>
      </c>
      <c r="V1168" s="1" t="s">
        <v>41</v>
      </c>
      <c r="W1168" s="1" t="s">
        <v>49</v>
      </c>
      <c r="AA1168" s="14"/>
    </row>
    <row r="1169" spans="1:27" hidden="1">
      <c r="A1169" s="1">
        <v>9423767</v>
      </c>
      <c r="B1169" s="1" t="s">
        <v>101</v>
      </c>
      <c r="C1169" t="s">
        <v>643</v>
      </c>
      <c r="D1169" s="2">
        <v>230020919</v>
      </c>
      <c r="E1169" s="2">
        <v>711001400040</v>
      </c>
      <c r="F1169" s="1" t="s">
        <v>644</v>
      </c>
      <c r="G1169" s="1" t="s">
        <v>53</v>
      </c>
      <c r="H1169" s="1" t="s">
        <v>77</v>
      </c>
      <c r="I1169" s="1" t="s">
        <v>78</v>
      </c>
      <c r="J1169" s="1" t="s">
        <v>79</v>
      </c>
      <c r="K1169" t="s">
        <v>645</v>
      </c>
      <c r="M1169" s="1" t="s">
        <v>58</v>
      </c>
      <c r="N1169" s="1">
        <v>0</v>
      </c>
      <c r="O1169" s="1" t="s">
        <v>105</v>
      </c>
      <c r="P1169" s="186">
        <v>44958.728564814817</v>
      </c>
      <c r="R1169" s="1">
        <v>2</v>
      </c>
      <c r="T1169" s="1" t="s">
        <v>646</v>
      </c>
      <c r="U1169" s="186">
        <v>44959.728564814817</v>
      </c>
      <c r="V1169" s="1" t="s">
        <v>41</v>
      </c>
      <c r="W1169" s="1" t="s">
        <v>49</v>
      </c>
      <c r="AA1169" s="14"/>
    </row>
    <row r="1170" spans="1:27" hidden="1">
      <c r="A1170" s="1">
        <v>9423601</v>
      </c>
      <c r="B1170" s="1" t="s">
        <v>101</v>
      </c>
      <c r="C1170" t="s">
        <v>643</v>
      </c>
      <c r="D1170" s="2">
        <v>230020893</v>
      </c>
      <c r="E1170" s="2">
        <v>605001400040</v>
      </c>
      <c r="F1170" s="1" t="s">
        <v>644</v>
      </c>
      <c r="G1170" s="1" t="s">
        <v>53</v>
      </c>
      <c r="H1170" s="1" t="s">
        <v>420</v>
      </c>
      <c r="I1170" s="1" t="s">
        <v>421</v>
      </c>
      <c r="J1170" s="1" t="s">
        <v>90</v>
      </c>
      <c r="K1170" t="s">
        <v>645</v>
      </c>
      <c r="M1170" s="1" t="s">
        <v>58</v>
      </c>
      <c r="N1170" s="1">
        <v>0</v>
      </c>
      <c r="O1170" s="1" t="s">
        <v>105</v>
      </c>
      <c r="P1170" s="186">
        <v>44958.722256944442</v>
      </c>
      <c r="R1170" s="1">
        <v>3</v>
      </c>
      <c r="T1170" s="1" t="s">
        <v>646</v>
      </c>
      <c r="U1170" s="186">
        <v>44959.722256944442</v>
      </c>
      <c r="V1170" s="1" t="s">
        <v>41</v>
      </c>
      <c r="W1170" s="1" t="s">
        <v>49</v>
      </c>
      <c r="AA1170" s="14"/>
    </row>
    <row r="1171" spans="1:27" hidden="1">
      <c r="A1171" s="1">
        <v>9423596</v>
      </c>
      <c r="B1171" s="1" t="s">
        <v>101</v>
      </c>
      <c r="C1171" t="s">
        <v>643</v>
      </c>
      <c r="D1171" s="2">
        <v>230020890</v>
      </c>
      <c r="E1171" s="2">
        <v>600001400040</v>
      </c>
      <c r="F1171" s="1" t="s">
        <v>644</v>
      </c>
      <c r="G1171" s="1" t="s">
        <v>53</v>
      </c>
      <c r="H1171" s="1" t="s">
        <v>1084</v>
      </c>
      <c r="I1171" s="1" t="s">
        <v>1085</v>
      </c>
      <c r="J1171" s="1" t="s">
        <v>90</v>
      </c>
      <c r="K1171" t="s">
        <v>645</v>
      </c>
      <c r="M1171" s="1" t="s">
        <v>58</v>
      </c>
      <c r="N1171" s="1">
        <v>0</v>
      </c>
      <c r="O1171" s="1" t="s">
        <v>105</v>
      </c>
      <c r="P1171" s="186">
        <v>44958.722094907411</v>
      </c>
      <c r="R1171" s="1">
        <v>2</v>
      </c>
      <c r="T1171" s="1" t="s">
        <v>646</v>
      </c>
      <c r="U1171" s="186">
        <v>44959.722094907411</v>
      </c>
      <c r="V1171" s="1" t="s">
        <v>41</v>
      </c>
      <c r="W1171" s="1" t="s">
        <v>49</v>
      </c>
      <c r="AA1171" s="14"/>
    </row>
    <row r="1172" spans="1:27" hidden="1">
      <c r="A1172" s="1">
        <v>9423511</v>
      </c>
      <c r="B1172" s="1" t="s">
        <v>1153</v>
      </c>
      <c r="C1172" t="s">
        <v>2110</v>
      </c>
      <c r="D1172" s="2">
        <v>230022801</v>
      </c>
      <c r="E1172" s="2">
        <v>3250001400030</v>
      </c>
      <c r="F1172" s="1" t="s">
        <v>647</v>
      </c>
      <c r="G1172" s="1" t="s">
        <v>53</v>
      </c>
      <c r="H1172" s="1" t="s">
        <v>371</v>
      </c>
      <c r="I1172" s="1" t="s">
        <v>372</v>
      </c>
      <c r="J1172" s="1" t="s">
        <v>46</v>
      </c>
      <c r="K1172" t="s">
        <v>650</v>
      </c>
      <c r="M1172" s="1" t="s">
        <v>58</v>
      </c>
      <c r="N1172" s="1">
        <v>0</v>
      </c>
      <c r="O1172" s="1" t="s">
        <v>36</v>
      </c>
      <c r="P1172" s="186">
        <v>44958.718576388892</v>
      </c>
      <c r="R1172" s="1">
        <v>4</v>
      </c>
      <c r="T1172" s="1" t="s">
        <v>646</v>
      </c>
      <c r="U1172" s="186">
        <v>44959.73940972222</v>
      </c>
      <c r="V1172" s="1" t="s">
        <v>41</v>
      </c>
      <c r="W1172" s="1" t="s">
        <v>49</v>
      </c>
      <c r="AA1172" s="14"/>
    </row>
    <row r="1173" spans="1:27" hidden="1">
      <c r="A1173" s="1">
        <v>9423443</v>
      </c>
      <c r="B1173" s="1" t="s">
        <v>101</v>
      </c>
      <c r="C1173" t="s">
        <v>643</v>
      </c>
      <c r="D1173" s="2">
        <v>230021326</v>
      </c>
      <c r="E1173" s="2">
        <v>1739001400040</v>
      </c>
      <c r="F1173" s="1" t="s">
        <v>644</v>
      </c>
      <c r="G1173" s="1" t="s">
        <v>53</v>
      </c>
      <c r="H1173" s="1" t="s">
        <v>162</v>
      </c>
      <c r="I1173" s="1" t="s">
        <v>163</v>
      </c>
      <c r="J1173" s="1" t="s">
        <v>164</v>
      </c>
      <c r="K1173" t="s">
        <v>645</v>
      </c>
      <c r="M1173" s="1" t="s">
        <v>58</v>
      </c>
      <c r="N1173" s="1">
        <v>0</v>
      </c>
      <c r="O1173" s="1" t="s">
        <v>105</v>
      </c>
      <c r="P1173" s="186">
        <v>44958.714675925927</v>
      </c>
      <c r="R1173" s="1">
        <v>3</v>
      </c>
      <c r="T1173" s="1" t="s">
        <v>646</v>
      </c>
      <c r="U1173" s="186">
        <v>44959.714675925927</v>
      </c>
      <c r="V1173" s="1" t="s">
        <v>41</v>
      </c>
      <c r="W1173" s="1" t="s">
        <v>49</v>
      </c>
      <c r="AA1173" s="14"/>
    </row>
    <row r="1174" spans="1:27" hidden="1">
      <c r="A1174" s="1">
        <v>9423416</v>
      </c>
      <c r="B1174" s="1" t="s">
        <v>101</v>
      </c>
      <c r="C1174" t="s">
        <v>643</v>
      </c>
      <c r="D1174" s="2">
        <v>230021315</v>
      </c>
      <c r="E1174" s="2">
        <v>1710001400040</v>
      </c>
      <c r="F1174" s="1" t="s">
        <v>644</v>
      </c>
      <c r="G1174" s="1" t="s">
        <v>53</v>
      </c>
      <c r="H1174" s="1" t="s">
        <v>327</v>
      </c>
      <c r="I1174" s="1" t="s">
        <v>328</v>
      </c>
      <c r="J1174" s="1" t="s">
        <v>261</v>
      </c>
      <c r="K1174" t="s">
        <v>645</v>
      </c>
      <c r="M1174" s="1" t="s">
        <v>58</v>
      </c>
      <c r="N1174" s="1">
        <v>0</v>
      </c>
      <c r="O1174" s="1" t="s">
        <v>105</v>
      </c>
      <c r="P1174" s="186">
        <v>44958.713321759256</v>
      </c>
      <c r="R1174" s="1">
        <v>2</v>
      </c>
      <c r="T1174" s="1" t="s">
        <v>646</v>
      </c>
      <c r="U1174" s="186">
        <v>44959.713321759256</v>
      </c>
      <c r="V1174" s="1" t="s">
        <v>41</v>
      </c>
      <c r="W1174" s="1" t="s">
        <v>49</v>
      </c>
      <c r="AA1174" s="14"/>
    </row>
    <row r="1175" spans="1:27" hidden="1">
      <c r="A1175" s="1">
        <v>9423359</v>
      </c>
      <c r="B1175" s="1" t="s">
        <v>101</v>
      </c>
      <c r="C1175" t="s">
        <v>643</v>
      </c>
      <c r="D1175" s="2">
        <v>230021290</v>
      </c>
      <c r="E1175" s="2">
        <v>1650001400040</v>
      </c>
      <c r="F1175" s="1" t="s">
        <v>644</v>
      </c>
      <c r="G1175" s="1" t="s">
        <v>53</v>
      </c>
      <c r="H1175" s="1" t="s">
        <v>620</v>
      </c>
      <c r="I1175" s="1" t="s">
        <v>621</v>
      </c>
      <c r="J1175" s="1" t="s">
        <v>141</v>
      </c>
      <c r="K1175" t="s">
        <v>645</v>
      </c>
      <c r="M1175" s="1" t="s">
        <v>58</v>
      </c>
      <c r="N1175" s="1">
        <v>0</v>
      </c>
      <c r="O1175" s="1" t="s">
        <v>105</v>
      </c>
      <c r="P1175" s="186">
        <v>44958.710069444445</v>
      </c>
      <c r="R1175" s="1">
        <v>2</v>
      </c>
      <c r="T1175" s="1" t="s">
        <v>646</v>
      </c>
      <c r="U1175" s="186">
        <v>44959.710069444445</v>
      </c>
      <c r="V1175" s="1" t="s">
        <v>41</v>
      </c>
      <c r="W1175" s="1" t="s">
        <v>49</v>
      </c>
      <c r="AA1175" s="14"/>
    </row>
    <row r="1176" spans="1:27" hidden="1">
      <c r="A1176" s="1">
        <v>9422866</v>
      </c>
      <c r="B1176" s="1" t="s">
        <v>101</v>
      </c>
      <c r="C1176" t="s">
        <v>643</v>
      </c>
      <c r="D1176" s="2">
        <v>230019683</v>
      </c>
      <c r="E1176" s="2">
        <v>2069001400030</v>
      </c>
      <c r="F1176" s="1" t="s">
        <v>647</v>
      </c>
      <c r="G1176" s="1" t="s">
        <v>53</v>
      </c>
      <c r="H1176" s="1" t="s">
        <v>557</v>
      </c>
      <c r="I1176" s="1" t="s">
        <v>558</v>
      </c>
      <c r="J1176" s="1" t="s">
        <v>90</v>
      </c>
      <c r="K1176" t="s">
        <v>650</v>
      </c>
      <c r="M1176" s="1" t="s">
        <v>58</v>
      </c>
      <c r="N1176" s="1">
        <v>0</v>
      </c>
      <c r="O1176" s="1" t="s">
        <v>105</v>
      </c>
      <c r="P1176" s="186">
        <v>44958.682638888888</v>
      </c>
      <c r="R1176" s="1">
        <v>4</v>
      </c>
      <c r="T1176" s="1" t="s">
        <v>646</v>
      </c>
      <c r="U1176" s="186">
        <v>44959.682650462964</v>
      </c>
      <c r="V1176" s="1" t="s">
        <v>41</v>
      </c>
      <c r="W1176" s="1" t="s">
        <v>49</v>
      </c>
      <c r="AA1176" s="14"/>
    </row>
    <row r="1177" spans="1:27" hidden="1">
      <c r="A1177" s="1">
        <v>9422511</v>
      </c>
      <c r="B1177" s="1" t="s">
        <v>101</v>
      </c>
      <c r="C1177" t="s">
        <v>643</v>
      </c>
      <c r="D1177" s="2">
        <v>230019646</v>
      </c>
      <c r="E1177" s="2">
        <v>1838001400030</v>
      </c>
      <c r="F1177" s="1" t="s">
        <v>647</v>
      </c>
      <c r="G1177" s="1" t="s">
        <v>53</v>
      </c>
      <c r="H1177" s="1" t="s">
        <v>357</v>
      </c>
      <c r="I1177" s="1" t="s">
        <v>358</v>
      </c>
      <c r="J1177" s="1" t="s">
        <v>46</v>
      </c>
      <c r="K1177" t="s">
        <v>650</v>
      </c>
      <c r="M1177" s="1" t="s">
        <v>58</v>
      </c>
      <c r="N1177" s="1">
        <v>0</v>
      </c>
      <c r="O1177" s="1" t="s">
        <v>105</v>
      </c>
      <c r="P1177" s="186">
        <v>44958.635497685187</v>
      </c>
      <c r="R1177" s="1">
        <v>4</v>
      </c>
      <c r="T1177" s="1" t="s">
        <v>646</v>
      </c>
      <c r="U1177" s="186">
        <v>44959.635497685187</v>
      </c>
      <c r="V1177" s="1" t="s">
        <v>41</v>
      </c>
      <c r="W1177" s="1" t="s">
        <v>49</v>
      </c>
      <c r="AA1177" s="14"/>
    </row>
    <row r="1178" spans="1:27" hidden="1">
      <c r="A1178" s="1">
        <v>9422510</v>
      </c>
      <c r="B1178" s="1" t="s">
        <v>101</v>
      </c>
      <c r="C1178" t="s">
        <v>643</v>
      </c>
      <c r="D1178" s="2">
        <v>230019645</v>
      </c>
      <c r="E1178" s="2">
        <v>1837001400030</v>
      </c>
      <c r="F1178" s="1" t="s">
        <v>647</v>
      </c>
      <c r="G1178" s="1" t="s">
        <v>53</v>
      </c>
      <c r="H1178" s="1" t="s">
        <v>1785</v>
      </c>
      <c r="I1178" s="1" t="s">
        <v>1786</v>
      </c>
      <c r="J1178" s="1" t="s">
        <v>46</v>
      </c>
      <c r="K1178" t="s">
        <v>650</v>
      </c>
      <c r="M1178" s="1" t="s">
        <v>58</v>
      </c>
      <c r="N1178" s="1">
        <v>0</v>
      </c>
      <c r="O1178" s="1" t="s">
        <v>105</v>
      </c>
      <c r="P1178" s="186">
        <v>44958.635405092595</v>
      </c>
      <c r="R1178" s="1">
        <v>4</v>
      </c>
      <c r="T1178" s="1" t="s">
        <v>646</v>
      </c>
      <c r="U1178" s="186">
        <v>44959.635405092595</v>
      </c>
      <c r="V1178" s="1" t="s">
        <v>41</v>
      </c>
      <c r="W1178" s="1" t="s">
        <v>49</v>
      </c>
      <c r="AA1178" s="14"/>
    </row>
    <row r="1179" spans="1:27" hidden="1">
      <c r="A1179" s="1">
        <v>9422508</v>
      </c>
      <c r="B1179" s="1" t="s">
        <v>101</v>
      </c>
      <c r="C1179" t="s">
        <v>643</v>
      </c>
      <c r="D1179" s="2">
        <v>230019643</v>
      </c>
      <c r="E1179" s="2">
        <v>1835001400030</v>
      </c>
      <c r="F1179" s="1" t="s">
        <v>647</v>
      </c>
      <c r="G1179" s="1" t="s">
        <v>53</v>
      </c>
      <c r="H1179" s="1" t="s">
        <v>305</v>
      </c>
      <c r="I1179" s="1" t="s">
        <v>306</v>
      </c>
      <c r="J1179" s="1" t="s">
        <v>46</v>
      </c>
      <c r="K1179" t="s">
        <v>650</v>
      </c>
      <c r="M1179" s="1" t="s">
        <v>58</v>
      </c>
      <c r="N1179" s="1">
        <v>0</v>
      </c>
      <c r="O1179" s="1" t="s">
        <v>105</v>
      </c>
      <c r="P1179" s="186">
        <v>44958.63521990741</v>
      </c>
      <c r="R1179" s="1">
        <v>4</v>
      </c>
      <c r="T1179" s="1" t="s">
        <v>646</v>
      </c>
      <c r="U1179" s="186">
        <v>44959.63521990741</v>
      </c>
      <c r="V1179" s="1" t="s">
        <v>41</v>
      </c>
      <c r="W1179" s="1" t="s">
        <v>49</v>
      </c>
      <c r="AA1179" s="14"/>
    </row>
    <row r="1180" spans="1:27" hidden="1">
      <c r="A1180" s="1">
        <v>9422506</v>
      </c>
      <c r="B1180" s="1" t="s">
        <v>101</v>
      </c>
      <c r="C1180" t="s">
        <v>643</v>
      </c>
      <c r="D1180" s="2">
        <v>230019641</v>
      </c>
      <c r="E1180" s="2">
        <v>1833001400030</v>
      </c>
      <c r="F1180" s="1" t="s">
        <v>647</v>
      </c>
      <c r="G1180" s="1" t="s">
        <v>53</v>
      </c>
      <c r="H1180" s="1" t="s">
        <v>369</v>
      </c>
      <c r="I1180" s="1" t="s">
        <v>370</v>
      </c>
      <c r="J1180" s="1" t="s">
        <v>46</v>
      </c>
      <c r="K1180" t="s">
        <v>650</v>
      </c>
      <c r="M1180" s="1" t="s">
        <v>58</v>
      </c>
      <c r="N1180" s="1">
        <v>0</v>
      </c>
      <c r="O1180" s="1" t="s">
        <v>105</v>
      </c>
      <c r="P1180" s="186">
        <v>44958.635034722225</v>
      </c>
      <c r="R1180" s="1">
        <v>4</v>
      </c>
      <c r="T1180" s="1" t="s">
        <v>646</v>
      </c>
      <c r="U1180" s="186">
        <v>44959.635034722225</v>
      </c>
      <c r="V1180" s="1" t="s">
        <v>41</v>
      </c>
      <c r="W1180" s="1" t="s">
        <v>49</v>
      </c>
      <c r="AA1180" s="14"/>
    </row>
    <row r="1181" spans="1:27" hidden="1">
      <c r="A1181" s="1">
        <v>9422497</v>
      </c>
      <c r="B1181" s="1" t="s">
        <v>101</v>
      </c>
      <c r="C1181" t="s">
        <v>643</v>
      </c>
      <c r="D1181" s="2">
        <v>230019632</v>
      </c>
      <c r="E1181" s="2">
        <v>1814001400030</v>
      </c>
      <c r="F1181" s="1" t="s">
        <v>647</v>
      </c>
      <c r="G1181" s="1" t="s">
        <v>53</v>
      </c>
      <c r="H1181" s="1" t="s">
        <v>396</v>
      </c>
      <c r="I1181" s="1" t="s">
        <v>397</v>
      </c>
      <c r="J1181" s="1" t="s">
        <v>46</v>
      </c>
      <c r="K1181" t="s">
        <v>650</v>
      </c>
      <c r="M1181" s="1" t="s">
        <v>58</v>
      </c>
      <c r="N1181" s="1">
        <v>0</v>
      </c>
      <c r="O1181" s="1" t="s">
        <v>105</v>
      </c>
      <c r="P1181" s="186">
        <v>44958.634293981479</v>
      </c>
      <c r="R1181" s="1">
        <v>4</v>
      </c>
      <c r="T1181" s="1" t="s">
        <v>646</v>
      </c>
      <c r="U1181" s="186">
        <v>44959.634293981479</v>
      </c>
      <c r="V1181" s="1" t="s">
        <v>41</v>
      </c>
      <c r="W1181" s="1" t="s">
        <v>49</v>
      </c>
      <c r="AA1181" s="14"/>
    </row>
    <row r="1182" spans="1:27" hidden="1">
      <c r="A1182" s="1">
        <v>9422255</v>
      </c>
      <c r="B1182" s="1" t="s">
        <v>101</v>
      </c>
      <c r="C1182" t="s">
        <v>643</v>
      </c>
      <c r="D1182" s="2">
        <v>230018197</v>
      </c>
      <c r="E1182" s="2">
        <v>2257001400010</v>
      </c>
      <c r="F1182" s="1" t="s">
        <v>936</v>
      </c>
      <c r="G1182" s="1" t="s">
        <v>53</v>
      </c>
      <c r="H1182" s="1" t="s">
        <v>381</v>
      </c>
      <c r="I1182" s="1" t="s">
        <v>382</v>
      </c>
      <c r="J1182" s="1" t="s">
        <v>110</v>
      </c>
      <c r="K1182" t="s">
        <v>937</v>
      </c>
      <c r="M1182" s="1" t="s">
        <v>58</v>
      </c>
      <c r="N1182" s="1">
        <v>0</v>
      </c>
      <c r="O1182" s="1" t="s">
        <v>105</v>
      </c>
      <c r="P1182" s="186">
        <v>44958.616932870369</v>
      </c>
      <c r="R1182" s="1">
        <v>3</v>
      </c>
      <c r="T1182" s="1" t="s">
        <v>646</v>
      </c>
      <c r="U1182" s="186">
        <v>44959.616932870369</v>
      </c>
      <c r="V1182" s="1" t="s">
        <v>41</v>
      </c>
      <c r="W1182" s="1" t="s">
        <v>49</v>
      </c>
      <c r="AA1182" s="14"/>
    </row>
    <row r="1183" spans="1:27" hidden="1">
      <c r="A1183" s="1">
        <v>9422243</v>
      </c>
      <c r="B1183" s="1" t="s">
        <v>101</v>
      </c>
      <c r="C1183" t="s">
        <v>643</v>
      </c>
      <c r="D1183" s="2">
        <v>230017788</v>
      </c>
      <c r="E1183" s="2">
        <v>1153001400010</v>
      </c>
      <c r="F1183" s="1" t="s">
        <v>936</v>
      </c>
      <c r="G1183" s="1" t="s">
        <v>53</v>
      </c>
      <c r="H1183" s="1" t="s">
        <v>1031</v>
      </c>
      <c r="I1183" s="1" t="s">
        <v>1032</v>
      </c>
      <c r="J1183" s="1" t="s">
        <v>79</v>
      </c>
      <c r="K1183" t="s">
        <v>937</v>
      </c>
      <c r="M1183" s="1" t="s">
        <v>58</v>
      </c>
      <c r="N1183" s="1">
        <v>0</v>
      </c>
      <c r="O1183" s="1" t="s">
        <v>105</v>
      </c>
      <c r="P1183" s="186">
        <v>44958.615856481483</v>
      </c>
      <c r="R1183" s="1">
        <v>3</v>
      </c>
      <c r="T1183" s="1" t="s">
        <v>646</v>
      </c>
      <c r="U1183" s="186">
        <v>44959.615856481483</v>
      </c>
      <c r="V1183" s="1" t="s">
        <v>41</v>
      </c>
      <c r="W1183" s="1" t="s">
        <v>49</v>
      </c>
      <c r="AA1183" s="14"/>
    </row>
    <row r="1184" spans="1:27" hidden="1">
      <c r="A1184" s="1">
        <v>9422222</v>
      </c>
      <c r="B1184" s="1" t="s">
        <v>101</v>
      </c>
      <c r="C1184" t="s">
        <v>643</v>
      </c>
      <c r="D1184" s="2">
        <v>230021493</v>
      </c>
      <c r="E1184" s="2">
        <v>2257001400040</v>
      </c>
      <c r="F1184" s="1" t="s">
        <v>644</v>
      </c>
      <c r="G1184" s="1" t="s">
        <v>53</v>
      </c>
      <c r="H1184" s="1" t="s">
        <v>381</v>
      </c>
      <c r="I1184" s="1" t="s">
        <v>382</v>
      </c>
      <c r="J1184" s="1" t="s">
        <v>110</v>
      </c>
      <c r="K1184" t="s">
        <v>645</v>
      </c>
      <c r="M1184" s="1" t="s">
        <v>58</v>
      </c>
      <c r="N1184" s="1">
        <v>0</v>
      </c>
      <c r="O1184" s="1" t="s">
        <v>105</v>
      </c>
      <c r="P1184" s="186">
        <v>44958.614039351851</v>
      </c>
      <c r="R1184" s="1">
        <v>3</v>
      </c>
      <c r="T1184" s="1" t="s">
        <v>646</v>
      </c>
      <c r="U1184" s="186">
        <v>44959.614039351851</v>
      </c>
      <c r="V1184" s="1" t="s">
        <v>41</v>
      </c>
      <c r="W1184" s="1" t="s">
        <v>49</v>
      </c>
      <c r="AA1184" s="14"/>
    </row>
    <row r="1185" spans="1:27" hidden="1">
      <c r="A1185" s="1">
        <v>9422108</v>
      </c>
      <c r="B1185" s="1" t="s">
        <v>101</v>
      </c>
      <c r="C1185" t="s">
        <v>643</v>
      </c>
      <c r="D1185" s="2">
        <v>230021478</v>
      </c>
      <c r="E1185" s="2">
        <v>2229001400040</v>
      </c>
      <c r="F1185" s="1" t="s">
        <v>644</v>
      </c>
      <c r="G1185" s="1" t="s">
        <v>53</v>
      </c>
      <c r="H1185" s="1" t="s">
        <v>339</v>
      </c>
      <c r="I1185" s="1" t="s">
        <v>340</v>
      </c>
      <c r="J1185" s="1" t="s">
        <v>211</v>
      </c>
      <c r="K1185" t="s">
        <v>645</v>
      </c>
      <c r="M1185" s="1" t="s">
        <v>58</v>
      </c>
      <c r="N1185" s="1">
        <v>0</v>
      </c>
      <c r="O1185" s="1" t="s">
        <v>105</v>
      </c>
      <c r="P1185" s="186">
        <v>44958.606736111113</v>
      </c>
      <c r="R1185" s="1">
        <v>2</v>
      </c>
      <c r="T1185" s="1" t="s">
        <v>646</v>
      </c>
      <c r="U1185" s="186">
        <v>44959.606736111113</v>
      </c>
      <c r="V1185" s="1" t="s">
        <v>41</v>
      </c>
      <c r="W1185" s="1" t="s">
        <v>49</v>
      </c>
      <c r="AA1185" s="14"/>
    </row>
    <row r="1186" spans="1:27" hidden="1">
      <c r="A1186" s="1">
        <v>9421550</v>
      </c>
      <c r="B1186" s="1" t="s">
        <v>101</v>
      </c>
      <c r="C1186" t="s">
        <v>643</v>
      </c>
      <c r="D1186" s="2">
        <v>230019696</v>
      </c>
      <c r="E1186" s="2">
        <v>2107001400030</v>
      </c>
      <c r="F1186" s="1" t="s">
        <v>647</v>
      </c>
      <c r="G1186" s="1" t="s">
        <v>53</v>
      </c>
      <c r="H1186" s="1" t="s">
        <v>262</v>
      </c>
      <c r="I1186" s="1" t="s">
        <v>263</v>
      </c>
      <c r="J1186" s="1" t="s">
        <v>164</v>
      </c>
      <c r="K1186" t="s">
        <v>650</v>
      </c>
      <c r="M1186" s="1" t="s">
        <v>58</v>
      </c>
      <c r="N1186" s="1">
        <v>0</v>
      </c>
      <c r="O1186" s="1" t="s">
        <v>105</v>
      </c>
      <c r="P1186" s="186">
        <v>44958.571956018517</v>
      </c>
      <c r="R1186" s="1">
        <v>4</v>
      </c>
      <c r="T1186" s="1" t="s">
        <v>646</v>
      </c>
      <c r="U1186" s="186">
        <v>44959.571967592594</v>
      </c>
      <c r="V1186" s="1" t="s">
        <v>41</v>
      </c>
      <c r="W1186" s="1" t="s">
        <v>49</v>
      </c>
      <c r="AA1186" s="14"/>
    </row>
    <row r="1187" spans="1:27" hidden="1">
      <c r="A1187" s="1">
        <v>9421489</v>
      </c>
      <c r="B1187" s="1" t="s">
        <v>101</v>
      </c>
      <c r="C1187" t="s">
        <v>643</v>
      </c>
      <c r="D1187" s="2">
        <v>230021042</v>
      </c>
      <c r="E1187" s="2">
        <v>1028001400040</v>
      </c>
      <c r="F1187" s="1" t="s">
        <v>644</v>
      </c>
      <c r="G1187" s="1" t="s">
        <v>53</v>
      </c>
      <c r="H1187" s="1" t="s">
        <v>1079</v>
      </c>
      <c r="I1187" s="1" t="s">
        <v>1080</v>
      </c>
      <c r="J1187" s="1" t="s">
        <v>85</v>
      </c>
      <c r="K1187" t="s">
        <v>645</v>
      </c>
      <c r="M1187" s="1" t="s">
        <v>58</v>
      </c>
      <c r="N1187" s="1">
        <v>0</v>
      </c>
      <c r="O1187" s="1" t="s">
        <v>105</v>
      </c>
      <c r="P1187" s="186">
        <v>44958.567847222221</v>
      </c>
      <c r="R1187" s="1">
        <v>3</v>
      </c>
      <c r="T1187" s="1" t="s">
        <v>646</v>
      </c>
      <c r="U1187" s="186">
        <v>44959.567847222221</v>
      </c>
      <c r="V1187" s="1" t="s">
        <v>41</v>
      </c>
      <c r="W1187" s="1" t="s">
        <v>49</v>
      </c>
      <c r="AA1187" s="14"/>
    </row>
    <row r="1188" spans="1:27" hidden="1">
      <c r="A1188" s="1">
        <v>9421441</v>
      </c>
      <c r="B1188" s="1" t="s">
        <v>101</v>
      </c>
      <c r="C1188" t="s">
        <v>643</v>
      </c>
      <c r="D1188" s="2">
        <v>230019840</v>
      </c>
      <c r="E1188" s="2">
        <v>2422001400030</v>
      </c>
      <c r="F1188" s="1" t="s">
        <v>647</v>
      </c>
      <c r="G1188" s="1" t="s">
        <v>53</v>
      </c>
      <c r="H1188" s="1" t="s">
        <v>1844</v>
      </c>
      <c r="I1188" s="1" t="s">
        <v>1845</v>
      </c>
      <c r="J1188" s="1" t="s">
        <v>211</v>
      </c>
      <c r="K1188" t="s">
        <v>650</v>
      </c>
      <c r="M1188" s="1" t="s">
        <v>58</v>
      </c>
      <c r="N1188" s="1">
        <v>0</v>
      </c>
      <c r="O1188" s="1" t="s">
        <v>105</v>
      </c>
      <c r="P1188" s="186">
        <v>44958.565127314818</v>
      </c>
      <c r="R1188" s="1">
        <v>4</v>
      </c>
      <c r="T1188" s="1" t="s">
        <v>646</v>
      </c>
      <c r="U1188" s="186">
        <v>44959.565127314818</v>
      </c>
      <c r="V1188" s="1" t="s">
        <v>41</v>
      </c>
      <c r="W1188" s="1" t="s">
        <v>49</v>
      </c>
      <c r="AA1188" s="14"/>
    </row>
    <row r="1189" spans="1:27" hidden="1">
      <c r="A1189" s="1">
        <v>9421337</v>
      </c>
      <c r="B1189" s="1" t="s">
        <v>101</v>
      </c>
      <c r="C1189" t="s">
        <v>643</v>
      </c>
      <c r="D1189" s="2">
        <v>230021014</v>
      </c>
      <c r="E1189" s="2">
        <v>963001400040</v>
      </c>
      <c r="F1189" s="1" t="s">
        <v>644</v>
      </c>
      <c r="G1189" s="1" t="s">
        <v>53</v>
      </c>
      <c r="H1189" s="1" t="s">
        <v>531</v>
      </c>
      <c r="I1189" s="1" t="s">
        <v>532</v>
      </c>
      <c r="J1189" s="1" t="s">
        <v>33</v>
      </c>
      <c r="K1189" t="s">
        <v>645</v>
      </c>
      <c r="M1189" s="1" t="s">
        <v>58</v>
      </c>
      <c r="N1189" s="1">
        <v>0</v>
      </c>
      <c r="O1189" s="1" t="s">
        <v>105</v>
      </c>
      <c r="P1189" s="186">
        <v>44958.559178240743</v>
      </c>
      <c r="R1189" s="1">
        <v>3</v>
      </c>
      <c r="T1189" s="1" t="s">
        <v>646</v>
      </c>
      <c r="U1189" s="186">
        <v>44959.559178240743</v>
      </c>
      <c r="V1189" s="1" t="s">
        <v>41</v>
      </c>
      <c r="W1189" s="1" t="s">
        <v>49</v>
      </c>
      <c r="AA1189" s="14"/>
    </row>
    <row r="1190" spans="1:27" hidden="1">
      <c r="A1190" s="1">
        <v>9421295</v>
      </c>
      <c r="B1190" s="1" t="s">
        <v>101</v>
      </c>
      <c r="C1190" t="s">
        <v>643</v>
      </c>
      <c r="D1190" s="2">
        <v>230019817</v>
      </c>
      <c r="E1190" s="2">
        <v>2365001400030</v>
      </c>
      <c r="F1190" s="1" t="s">
        <v>647</v>
      </c>
      <c r="G1190" s="1" t="s">
        <v>53</v>
      </c>
      <c r="H1190" s="1" t="s">
        <v>159</v>
      </c>
      <c r="I1190" s="1" t="s">
        <v>160</v>
      </c>
      <c r="J1190" s="1" t="s">
        <v>46</v>
      </c>
      <c r="K1190" t="s">
        <v>650</v>
      </c>
      <c r="M1190" s="1" t="s">
        <v>58</v>
      </c>
      <c r="N1190" s="1">
        <v>0</v>
      </c>
      <c r="O1190" s="1" t="s">
        <v>36</v>
      </c>
      <c r="P1190" s="186">
        <v>44958.557002314818</v>
      </c>
      <c r="R1190" s="1">
        <v>4</v>
      </c>
      <c r="T1190" s="1" t="s">
        <v>646</v>
      </c>
      <c r="U1190" s="186">
        <v>44959.557002314818</v>
      </c>
      <c r="V1190" s="1" t="s">
        <v>41</v>
      </c>
      <c r="W1190" s="1" t="s">
        <v>49</v>
      </c>
      <c r="AA1190" s="14"/>
    </row>
    <row r="1191" spans="1:27" hidden="1">
      <c r="A1191" s="1">
        <v>9421222</v>
      </c>
      <c r="B1191" s="1" t="s">
        <v>101</v>
      </c>
      <c r="C1191" t="s">
        <v>643</v>
      </c>
      <c r="D1191" s="2">
        <v>230019179</v>
      </c>
      <c r="E1191" s="2">
        <v>721001400030</v>
      </c>
      <c r="F1191" s="1" t="s">
        <v>647</v>
      </c>
      <c r="G1191" s="1" t="s">
        <v>53</v>
      </c>
      <c r="H1191" s="1" t="s">
        <v>422</v>
      </c>
      <c r="I1191" s="1" t="s">
        <v>423</v>
      </c>
      <c r="J1191" s="1" t="s">
        <v>79</v>
      </c>
      <c r="K1191" t="s">
        <v>650</v>
      </c>
      <c r="M1191" s="1" t="s">
        <v>58</v>
      </c>
      <c r="N1191" s="1">
        <v>0</v>
      </c>
      <c r="O1191" s="1" t="s">
        <v>105</v>
      </c>
      <c r="P1191" s="186">
        <v>44958.552604166667</v>
      </c>
      <c r="R1191" s="1">
        <v>4</v>
      </c>
      <c r="T1191" s="1" t="s">
        <v>646</v>
      </c>
      <c r="U1191" s="186">
        <v>44959.552615740744</v>
      </c>
      <c r="V1191" s="1" t="s">
        <v>41</v>
      </c>
      <c r="W1191" s="1" t="s">
        <v>49</v>
      </c>
      <c r="AA1191" s="14"/>
    </row>
    <row r="1192" spans="1:27" hidden="1">
      <c r="A1192" s="1">
        <v>9421220</v>
      </c>
      <c r="B1192" s="1" t="s">
        <v>101</v>
      </c>
      <c r="C1192" t="s">
        <v>643</v>
      </c>
      <c r="D1192" s="2">
        <v>230019177</v>
      </c>
      <c r="E1192" s="2">
        <v>711001400030</v>
      </c>
      <c r="F1192" s="1" t="s">
        <v>647</v>
      </c>
      <c r="G1192" s="1" t="s">
        <v>53</v>
      </c>
      <c r="H1192" s="1" t="s">
        <v>77</v>
      </c>
      <c r="I1192" s="1" t="s">
        <v>78</v>
      </c>
      <c r="J1192" s="1" t="s">
        <v>79</v>
      </c>
      <c r="K1192" t="s">
        <v>650</v>
      </c>
      <c r="M1192" s="1" t="s">
        <v>58</v>
      </c>
      <c r="N1192" s="1">
        <v>0</v>
      </c>
      <c r="O1192" s="1" t="s">
        <v>105</v>
      </c>
      <c r="P1192" s="186">
        <v>44958.552430555559</v>
      </c>
      <c r="R1192" s="1">
        <v>4</v>
      </c>
      <c r="T1192" s="1" t="s">
        <v>646</v>
      </c>
      <c r="U1192" s="186">
        <v>44959.552430555559</v>
      </c>
      <c r="V1192" s="1" t="s">
        <v>41</v>
      </c>
      <c r="W1192" s="1" t="s">
        <v>49</v>
      </c>
      <c r="AA1192" s="14"/>
    </row>
    <row r="1193" spans="1:27" hidden="1">
      <c r="A1193" s="1">
        <v>9421182</v>
      </c>
      <c r="B1193" s="1" t="s">
        <v>101</v>
      </c>
      <c r="C1193" t="s">
        <v>643</v>
      </c>
      <c r="D1193" s="2">
        <v>230019149</v>
      </c>
      <c r="E1193" s="2">
        <v>605001400030</v>
      </c>
      <c r="F1193" s="1" t="s">
        <v>647</v>
      </c>
      <c r="G1193" s="1" t="s">
        <v>53</v>
      </c>
      <c r="H1193" s="1" t="s">
        <v>420</v>
      </c>
      <c r="I1193" s="1" t="s">
        <v>421</v>
      </c>
      <c r="J1193" s="1" t="s">
        <v>90</v>
      </c>
      <c r="K1193" t="s">
        <v>650</v>
      </c>
      <c r="M1193" s="1" t="s">
        <v>58</v>
      </c>
      <c r="N1193" s="1">
        <v>0</v>
      </c>
      <c r="O1193" s="1" t="s">
        <v>105</v>
      </c>
      <c r="P1193" s="186">
        <v>44958.550011574072</v>
      </c>
      <c r="R1193" s="1">
        <v>4</v>
      </c>
      <c r="T1193" s="1" t="s">
        <v>646</v>
      </c>
      <c r="U1193" s="186">
        <v>44959.550011574072</v>
      </c>
      <c r="V1193" s="1" t="s">
        <v>41</v>
      </c>
      <c r="W1193" s="1" t="s">
        <v>49</v>
      </c>
      <c r="AA1193" s="14"/>
    </row>
    <row r="1194" spans="1:27" hidden="1">
      <c r="A1194" s="1">
        <v>9421178</v>
      </c>
      <c r="B1194" s="1" t="s">
        <v>101</v>
      </c>
      <c r="C1194" t="s">
        <v>643</v>
      </c>
      <c r="D1194" s="2">
        <v>230019146</v>
      </c>
      <c r="E1194" s="2">
        <v>600001400030</v>
      </c>
      <c r="F1194" s="1" t="s">
        <v>647</v>
      </c>
      <c r="G1194" s="1" t="s">
        <v>53</v>
      </c>
      <c r="H1194" s="1" t="s">
        <v>1084</v>
      </c>
      <c r="I1194" s="1" t="s">
        <v>1085</v>
      </c>
      <c r="J1194" s="1" t="s">
        <v>90</v>
      </c>
      <c r="K1194" t="s">
        <v>650</v>
      </c>
      <c r="M1194" s="1" t="s">
        <v>58</v>
      </c>
      <c r="N1194" s="1">
        <v>0</v>
      </c>
      <c r="O1194" s="1" t="s">
        <v>105</v>
      </c>
      <c r="P1194" s="186">
        <v>44958.549733796295</v>
      </c>
      <c r="R1194" s="1">
        <v>4</v>
      </c>
      <c r="T1194" s="1" t="s">
        <v>646</v>
      </c>
      <c r="U1194" s="186">
        <v>44959.549733796295</v>
      </c>
      <c r="V1194" s="1" t="s">
        <v>41</v>
      </c>
      <c r="W1194" s="1" t="s">
        <v>49</v>
      </c>
      <c r="AA1194" s="14"/>
    </row>
    <row r="1195" spans="1:27" hidden="1">
      <c r="A1195" s="1">
        <v>9421140</v>
      </c>
      <c r="B1195" s="1" t="s">
        <v>101</v>
      </c>
      <c r="C1195" t="s">
        <v>643</v>
      </c>
      <c r="D1195" s="2">
        <v>230019315</v>
      </c>
      <c r="E1195" s="2">
        <v>1059001400030</v>
      </c>
      <c r="F1195" s="1" t="s">
        <v>647</v>
      </c>
      <c r="G1195" s="1" t="s">
        <v>53</v>
      </c>
      <c r="H1195" s="1" t="s">
        <v>88</v>
      </c>
      <c r="I1195" s="1" t="s">
        <v>89</v>
      </c>
      <c r="J1195" s="1" t="s">
        <v>90</v>
      </c>
      <c r="K1195" t="s">
        <v>650</v>
      </c>
      <c r="M1195" s="1" t="s">
        <v>58</v>
      </c>
      <c r="N1195" s="1">
        <v>0</v>
      </c>
      <c r="O1195" s="1" t="s">
        <v>105</v>
      </c>
      <c r="P1195" s="186">
        <v>44958.547280092593</v>
      </c>
      <c r="R1195" s="1">
        <v>4</v>
      </c>
      <c r="T1195" s="1" t="s">
        <v>646</v>
      </c>
      <c r="U1195" s="186">
        <v>44959.547280092593</v>
      </c>
      <c r="V1195" s="1" t="s">
        <v>41</v>
      </c>
      <c r="W1195" s="1" t="s">
        <v>49</v>
      </c>
      <c r="AA1195" s="14"/>
    </row>
    <row r="1196" spans="1:27" hidden="1">
      <c r="A1196" s="1">
        <v>9421115</v>
      </c>
      <c r="B1196" s="1" t="s">
        <v>101</v>
      </c>
      <c r="C1196" t="s">
        <v>643</v>
      </c>
      <c r="D1196" s="2">
        <v>230019301</v>
      </c>
      <c r="E1196" s="2">
        <v>1028001400030</v>
      </c>
      <c r="F1196" s="1" t="s">
        <v>647</v>
      </c>
      <c r="G1196" s="1" t="s">
        <v>53</v>
      </c>
      <c r="H1196" s="1" t="s">
        <v>1079</v>
      </c>
      <c r="I1196" s="1" t="s">
        <v>1080</v>
      </c>
      <c r="J1196" s="1" t="s">
        <v>85</v>
      </c>
      <c r="K1196" t="s">
        <v>650</v>
      </c>
      <c r="M1196" s="1" t="s">
        <v>58</v>
      </c>
      <c r="N1196" s="1">
        <v>0</v>
      </c>
      <c r="O1196" s="1" t="s">
        <v>105</v>
      </c>
      <c r="P1196" s="186">
        <v>44958.545763888891</v>
      </c>
      <c r="R1196" s="1">
        <v>4</v>
      </c>
      <c r="T1196" s="1" t="s">
        <v>646</v>
      </c>
      <c r="U1196" s="186">
        <v>44959.545763888891</v>
      </c>
      <c r="V1196" s="1" t="s">
        <v>41</v>
      </c>
      <c r="W1196" s="1" t="s">
        <v>49</v>
      </c>
      <c r="AA1196" s="14"/>
    </row>
    <row r="1197" spans="1:27" hidden="1">
      <c r="A1197" s="1">
        <v>9421027</v>
      </c>
      <c r="B1197" s="1" t="s">
        <v>101</v>
      </c>
      <c r="C1197" t="s">
        <v>643</v>
      </c>
      <c r="D1197" s="2">
        <v>230018996</v>
      </c>
      <c r="E1197" s="2">
        <v>115001400030</v>
      </c>
      <c r="F1197" s="1" t="s">
        <v>647</v>
      </c>
      <c r="G1197" s="1" t="s">
        <v>53</v>
      </c>
      <c r="H1197" s="1" t="s">
        <v>542</v>
      </c>
      <c r="I1197" s="1" t="s">
        <v>543</v>
      </c>
      <c r="J1197" s="1" t="s">
        <v>56</v>
      </c>
      <c r="K1197" t="s">
        <v>650</v>
      </c>
      <c r="M1197" s="1" t="s">
        <v>58</v>
      </c>
      <c r="N1197" s="1">
        <v>0</v>
      </c>
      <c r="O1197" s="1" t="s">
        <v>105</v>
      </c>
      <c r="P1197" s="186">
        <v>44958.540162037039</v>
      </c>
      <c r="R1197" s="1">
        <v>4</v>
      </c>
      <c r="T1197" s="1" t="s">
        <v>646</v>
      </c>
      <c r="U1197" s="186">
        <v>44959.540162037039</v>
      </c>
      <c r="V1197" s="1" t="s">
        <v>41</v>
      </c>
      <c r="W1197" s="1" t="s">
        <v>49</v>
      </c>
      <c r="AA1197" s="14"/>
    </row>
    <row r="1198" spans="1:27" hidden="1">
      <c r="A1198" s="1">
        <v>9420968</v>
      </c>
      <c r="B1198" s="1" t="s">
        <v>101</v>
      </c>
      <c r="C1198" t="s">
        <v>643</v>
      </c>
      <c r="D1198" s="2">
        <v>230019349</v>
      </c>
      <c r="E1198" s="2">
        <v>1153001400030</v>
      </c>
      <c r="F1198" s="1" t="s">
        <v>647</v>
      </c>
      <c r="G1198" s="1" t="s">
        <v>53</v>
      </c>
      <c r="H1198" s="1" t="s">
        <v>1031</v>
      </c>
      <c r="I1198" s="1" t="s">
        <v>1032</v>
      </c>
      <c r="J1198" s="1" t="s">
        <v>79</v>
      </c>
      <c r="K1198" t="s">
        <v>650</v>
      </c>
      <c r="M1198" s="1" t="s">
        <v>58</v>
      </c>
      <c r="N1198" s="1">
        <v>0</v>
      </c>
      <c r="O1198" s="1" t="s">
        <v>105</v>
      </c>
      <c r="P1198" s="186">
        <v>44958.535949074074</v>
      </c>
      <c r="R1198" s="1">
        <v>4</v>
      </c>
      <c r="T1198" s="1" t="s">
        <v>646</v>
      </c>
      <c r="U1198" s="186">
        <v>44959.535960648151</v>
      </c>
      <c r="V1198" s="1" t="s">
        <v>41</v>
      </c>
      <c r="W1198" s="1" t="s">
        <v>49</v>
      </c>
      <c r="AA1198" s="14"/>
    </row>
    <row r="1199" spans="1:27" hidden="1">
      <c r="A1199" s="1">
        <v>9420756</v>
      </c>
      <c r="B1199" s="1" t="s">
        <v>101</v>
      </c>
      <c r="C1199" t="s">
        <v>643</v>
      </c>
      <c r="D1199" s="2">
        <v>230018030</v>
      </c>
      <c r="E1199" s="2">
        <v>1739001400010</v>
      </c>
      <c r="F1199" s="1" t="s">
        <v>936</v>
      </c>
      <c r="G1199" s="1" t="s">
        <v>53</v>
      </c>
      <c r="H1199" s="1" t="s">
        <v>162</v>
      </c>
      <c r="I1199" s="1" t="s">
        <v>163</v>
      </c>
      <c r="J1199" s="1" t="s">
        <v>164</v>
      </c>
      <c r="K1199" t="s">
        <v>937</v>
      </c>
      <c r="M1199" s="1" t="s">
        <v>58</v>
      </c>
      <c r="N1199" s="1">
        <v>0</v>
      </c>
      <c r="O1199" s="1" t="s">
        <v>105</v>
      </c>
      <c r="P1199" s="186">
        <v>44958.527395833335</v>
      </c>
      <c r="R1199" s="1">
        <v>3</v>
      </c>
      <c r="T1199" s="1" t="s">
        <v>646</v>
      </c>
      <c r="U1199" s="186">
        <v>44959.527395833335</v>
      </c>
      <c r="V1199" s="1" t="s">
        <v>41</v>
      </c>
      <c r="W1199" s="1" t="s">
        <v>49</v>
      </c>
      <c r="AA1199" s="14"/>
    </row>
    <row r="1200" spans="1:27" hidden="1">
      <c r="A1200" s="1">
        <v>9420720</v>
      </c>
      <c r="B1200" s="1" t="s">
        <v>101</v>
      </c>
      <c r="C1200" t="s">
        <v>643</v>
      </c>
      <c r="D1200" s="2">
        <v>230017994</v>
      </c>
      <c r="E1200" s="2">
        <v>1650001400010</v>
      </c>
      <c r="F1200" s="1" t="s">
        <v>936</v>
      </c>
      <c r="G1200" s="1" t="s">
        <v>53</v>
      </c>
      <c r="H1200" s="1" t="s">
        <v>620</v>
      </c>
      <c r="I1200" s="1" t="s">
        <v>621</v>
      </c>
      <c r="J1200" s="1" t="s">
        <v>141</v>
      </c>
      <c r="K1200" t="s">
        <v>937</v>
      </c>
      <c r="M1200" s="1" t="s">
        <v>58</v>
      </c>
      <c r="N1200" s="1">
        <v>0</v>
      </c>
      <c r="O1200" s="1" t="s">
        <v>105</v>
      </c>
      <c r="P1200" s="186">
        <v>44958.525625000002</v>
      </c>
      <c r="R1200" s="1">
        <v>3</v>
      </c>
      <c r="T1200" s="1" t="s">
        <v>646</v>
      </c>
      <c r="U1200" s="186">
        <v>44959.525625000002</v>
      </c>
      <c r="V1200" s="1" t="s">
        <v>41</v>
      </c>
      <c r="W1200" s="1" t="s">
        <v>49</v>
      </c>
      <c r="AA1200" s="14"/>
    </row>
    <row r="1201" spans="1:27" hidden="1">
      <c r="A1201" s="1">
        <v>9420700</v>
      </c>
      <c r="B1201" s="1" t="s">
        <v>101</v>
      </c>
      <c r="C1201" t="s">
        <v>643</v>
      </c>
      <c r="D1201" s="2">
        <v>230018183</v>
      </c>
      <c r="E1201" s="2">
        <v>2229001400010</v>
      </c>
      <c r="F1201" s="1" t="s">
        <v>936</v>
      </c>
      <c r="G1201" s="1" t="s">
        <v>53</v>
      </c>
      <c r="H1201" s="1" t="s">
        <v>339</v>
      </c>
      <c r="I1201" s="1" t="s">
        <v>340</v>
      </c>
      <c r="J1201" s="1" t="s">
        <v>211</v>
      </c>
      <c r="K1201" t="s">
        <v>937</v>
      </c>
      <c r="M1201" s="1" t="s">
        <v>58</v>
      </c>
      <c r="N1201" s="1">
        <v>0</v>
      </c>
      <c r="O1201" s="1" t="s">
        <v>105</v>
      </c>
      <c r="P1201" s="186">
        <v>44958.524594907409</v>
      </c>
      <c r="R1201" s="1">
        <v>3</v>
      </c>
      <c r="T1201" s="1" t="s">
        <v>646</v>
      </c>
      <c r="U1201" s="186">
        <v>44959.524594907409</v>
      </c>
      <c r="V1201" s="1" t="s">
        <v>41</v>
      </c>
      <c r="W1201" s="1" t="s">
        <v>49</v>
      </c>
      <c r="AA1201" s="14"/>
    </row>
    <row r="1202" spans="1:27" hidden="1">
      <c r="A1202" s="1">
        <v>9420634</v>
      </c>
      <c r="B1202" s="1" t="s">
        <v>101</v>
      </c>
      <c r="C1202" t="s">
        <v>643</v>
      </c>
      <c r="D1202" s="2">
        <v>230018019</v>
      </c>
      <c r="E1202" s="2">
        <v>1710001400010</v>
      </c>
      <c r="F1202" s="1" t="s">
        <v>936</v>
      </c>
      <c r="G1202" s="1" t="s">
        <v>53</v>
      </c>
      <c r="H1202" s="1" t="s">
        <v>327</v>
      </c>
      <c r="I1202" s="1" t="s">
        <v>328</v>
      </c>
      <c r="J1202" s="1" t="s">
        <v>261</v>
      </c>
      <c r="K1202" t="s">
        <v>937</v>
      </c>
      <c r="M1202" s="1" t="s">
        <v>58</v>
      </c>
      <c r="N1202" s="1">
        <v>0</v>
      </c>
      <c r="O1202" s="1" t="s">
        <v>105</v>
      </c>
      <c r="P1202" s="186">
        <v>44958.521053240744</v>
      </c>
      <c r="R1202" s="1">
        <v>3</v>
      </c>
      <c r="T1202" s="1" t="s">
        <v>646</v>
      </c>
      <c r="U1202" s="186">
        <v>44959.521053240744</v>
      </c>
      <c r="V1202" s="1" t="s">
        <v>41</v>
      </c>
      <c r="W1202" s="1" t="s">
        <v>49</v>
      </c>
      <c r="AA1202" s="14"/>
    </row>
    <row r="1203" spans="1:27" hidden="1">
      <c r="A1203" s="1">
        <v>9420518</v>
      </c>
      <c r="B1203" s="1" t="s">
        <v>101</v>
      </c>
      <c r="C1203" t="s">
        <v>643</v>
      </c>
      <c r="D1203" s="2">
        <v>230018414</v>
      </c>
      <c r="E1203" s="2">
        <v>2889001400010</v>
      </c>
      <c r="F1203" s="1" t="s">
        <v>936</v>
      </c>
      <c r="G1203" s="1" t="s">
        <v>53</v>
      </c>
      <c r="H1203" s="1" t="s">
        <v>418</v>
      </c>
      <c r="I1203" s="1" t="s">
        <v>419</v>
      </c>
      <c r="J1203" s="1" t="s">
        <v>46</v>
      </c>
      <c r="K1203" t="s">
        <v>937</v>
      </c>
      <c r="M1203" s="1" t="s">
        <v>58</v>
      </c>
      <c r="N1203" s="1">
        <v>0</v>
      </c>
      <c r="O1203" s="1" t="s">
        <v>36</v>
      </c>
      <c r="P1203" s="186">
        <v>44958.515150462961</v>
      </c>
      <c r="R1203" s="1">
        <v>3</v>
      </c>
      <c r="T1203" s="1" t="s">
        <v>646</v>
      </c>
      <c r="U1203" s="186">
        <v>44959.515150462961</v>
      </c>
      <c r="V1203" s="1" t="s">
        <v>41</v>
      </c>
      <c r="W1203" s="1" t="s">
        <v>49</v>
      </c>
      <c r="AA1203" s="14"/>
    </row>
    <row r="1204" spans="1:27" hidden="1">
      <c r="A1204" s="1">
        <v>9420284</v>
      </c>
      <c r="B1204" s="1" t="s">
        <v>101</v>
      </c>
      <c r="C1204" t="s">
        <v>643</v>
      </c>
      <c r="D1204" s="2">
        <v>230017858</v>
      </c>
      <c r="E1204" s="2">
        <v>1361001400010</v>
      </c>
      <c r="F1204" s="1" t="s">
        <v>936</v>
      </c>
      <c r="G1204" s="1" t="s">
        <v>53</v>
      </c>
      <c r="H1204" s="1" t="s">
        <v>309</v>
      </c>
      <c r="I1204" s="1" t="s">
        <v>310</v>
      </c>
      <c r="J1204" s="1" t="s">
        <v>46</v>
      </c>
      <c r="K1204" t="s">
        <v>937</v>
      </c>
      <c r="M1204" s="1" t="s">
        <v>58</v>
      </c>
      <c r="N1204" s="1">
        <v>0</v>
      </c>
      <c r="O1204" s="1" t="s">
        <v>105</v>
      </c>
      <c r="P1204" s="186">
        <v>44958.503217592595</v>
      </c>
      <c r="R1204" s="1">
        <v>3</v>
      </c>
      <c r="T1204" s="1" t="s">
        <v>646</v>
      </c>
      <c r="U1204" s="186">
        <v>44959.503217592595</v>
      </c>
      <c r="V1204" s="1" t="s">
        <v>41</v>
      </c>
      <c r="W1204" s="1" t="s">
        <v>49</v>
      </c>
      <c r="AA1204" s="14"/>
    </row>
    <row r="1205" spans="1:27" hidden="1">
      <c r="A1205" s="1">
        <v>9420231</v>
      </c>
      <c r="B1205" s="1" t="s">
        <v>101</v>
      </c>
      <c r="C1205" t="s">
        <v>643</v>
      </c>
      <c r="D1205" s="2">
        <v>230017980</v>
      </c>
      <c r="E1205" s="2">
        <v>1620001400010</v>
      </c>
      <c r="F1205" s="1" t="s">
        <v>936</v>
      </c>
      <c r="G1205" s="1" t="s">
        <v>53</v>
      </c>
      <c r="H1205" s="1" t="s">
        <v>402</v>
      </c>
      <c r="I1205" s="1" t="s">
        <v>403</v>
      </c>
      <c r="J1205" s="1" t="s">
        <v>46</v>
      </c>
      <c r="K1205" t="s">
        <v>937</v>
      </c>
      <c r="M1205" s="1" t="s">
        <v>58</v>
      </c>
      <c r="N1205" s="1">
        <v>0</v>
      </c>
      <c r="O1205" s="1" t="s">
        <v>105</v>
      </c>
      <c r="P1205" s="186">
        <v>44958.5000462963</v>
      </c>
      <c r="R1205" s="1">
        <v>3</v>
      </c>
      <c r="T1205" s="1" t="s">
        <v>646</v>
      </c>
      <c r="U1205" s="186">
        <v>44959.5000462963</v>
      </c>
      <c r="V1205" s="1" t="s">
        <v>41</v>
      </c>
      <c r="W1205" s="1" t="s">
        <v>49</v>
      </c>
      <c r="AA1205" s="14"/>
    </row>
    <row r="1206" spans="1:27" hidden="1">
      <c r="A1206" s="1">
        <v>9420175</v>
      </c>
      <c r="B1206" s="1" t="s">
        <v>101</v>
      </c>
      <c r="C1206" t="s">
        <v>643</v>
      </c>
      <c r="D1206" s="2">
        <v>230017622</v>
      </c>
      <c r="E1206" s="2">
        <v>721001400010</v>
      </c>
      <c r="F1206" s="1" t="s">
        <v>936</v>
      </c>
      <c r="G1206" s="1" t="s">
        <v>53</v>
      </c>
      <c r="H1206" s="1" t="s">
        <v>422</v>
      </c>
      <c r="I1206" s="1" t="s">
        <v>423</v>
      </c>
      <c r="J1206" s="1" t="s">
        <v>79</v>
      </c>
      <c r="K1206" t="s">
        <v>937</v>
      </c>
      <c r="M1206" s="1" t="s">
        <v>58</v>
      </c>
      <c r="N1206" s="1">
        <v>0</v>
      </c>
      <c r="O1206" s="1" t="s">
        <v>105</v>
      </c>
      <c r="P1206" s="186">
        <v>44958.497418981482</v>
      </c>
      <c r="R1206" s="1">
        <v>3</v>
      </c>
      <c r="T1206" s="1" t="s">
        <v>646</v>
      </c>
      <c r="U1206" s="186">
        <v>44959.497418981482</v>
      </c>
      <c r="V1206" s="1" t="s">
        <v>41</v>
      </c>
      <c r="W1206" s="1" t="s">
        <v>49</v>
      </c>
      <c r="AA1206" s="14"/>
    </row>
    <row r="1207" spans="1:27" hidden="1">
      <c r="A1207" s="1">
        <v>9419921</v>
      </c>
      <c r="B1207" s="1" t="s">
        <v>101</v>
      </c>
      <c r="C1207" t="s">
        <v>643</v>
      </c>
      <c r="D1207" s="2">
        <v>230021431</v>
      </c>
      <c r="E1207" s="2">
        <v>2138001400040</v>
      </c>
      <c r="F1207" s="1" t="s">
        <v>644</v>
      </c>
      <c r="G1207" s="1" t="s">
        <v>53</v>
      </c>
      <c r="H1207" s="1" t="s">
        <v>379</v>
      </c>
      <c r="I1207" s="1" t="s">
        <v>380</v>
      </c>
      <c r="J1207" s="1" t="s">
        <v>46</v>
      </c>
      <c r="K1207" t="s">
        <v>645</v>
      </c>
      <c r="M1207" s="1" t="s">
        <v>58</v>
      </c>
      <c r="N1207" s="1">
        <v>0</v>
      </c>
      <c r="O1207" s="1" t="s">
        <v>105</v>
      </c>
      <c r="P1207" s="186">
        <v>44958.483402777776</v>
      </c>
      <c r="R1207" s="1">
        <v>3</v>
      </c>
      <c r="T1207" s="1" t="s">
        <v>646</v>
      </c>
      <c r="U1207" s="186">
        <v>44959.483402777776</v>
      </c>
      <c r="V1207" s="1" t="s">
        <v>41</v>
      </c>
      <c r="W1207" s="1" t="s">
        <v>49</v>
      </c>
      <c r="AA1207" s="14"/>
    </row>
    <row r="1208" spans="1:27" hidden="1">
      <c r="A1208" s="1">
        <v>9419909</v>
      </c>
      <c r="B1208" s="1" t="s">
        <v>101</v>
      </c>
      <c r="C1208" t="s">
        <v>643</v>
      </c>
      <c r="D1208" s="2">
        <v>230021419</v>
      </c>
      <c r="E1208" s="2">
        <v>2107001400040</v>
      </c>
      <c r="F1208" s="1" t="s">
        <v>644</v>
      </c>
      <c r="G1208" s="1" t="s">
        <v>53</v>
      </c>
      <c r="H1208" s="1" t="s">
        <v>262</v>
      </c>
      <c r="I1208" s="1" t="s">
        <v>263</v>
      </c>
      <c r="J1208" s="1" t="s">
        <v>164</v>
      </c>
      <c r="K1208" t="s">
        <v>645</v>
      </c>
      <c r="M1208" s="1" t="s">
        <v>58</v>
      </c>
      <c r="N1208" s="1">
        <v>0</v>
      </c>
      <c r="O1208" s="1" t="s">
        <v>105</v>
      </c>
      <c r="P1208" s="186">
        <v>44958.482199074075</v>
      </c>
      <c r="R1208" s="1">
        <v>3</v>
      </c>
      <c r="T1208" s="1" t="s">
        <v>646</v>
      </c>
      <c r="U1208" s="186">
        <v>44959.482199074075</v>
      </c>
      <c r="V1208" s="1" t="s">
        <v>41</v>
      </c>
      <c r="W1208" s="1" t="s">
        <v>49</v>
      </c>
      <c r="AA1208" s="14"/>
    </row>
    <row r="1209" spans="1:27" hidden="1">
      <c r="A1209" s="1">
        <v>9419884</v>
      </c>
      <c r="B1209" s="1" t="s">
        <v>101</v>
      </c>
      <c r="C1209" t="s">
        <v>643</v>
      </c>
      <c r="D1209" s="2">
        <v>230021406</v>
      </c>
      <c r="E1209" s="2">
        <v>2069001400040</v>
      </c>
      <c r="F1209" s="1" t="s">
        <v>644</v>
      </c>
      <c r="G1209" s="1" t="s">
        <v>53</v>
      </c>
      <c r="H1209" s="1" t="s">
        <v>557</v>
      </c>
      <c r="I1209" s="1" t="s">
        <v>558</v>
      </c>
      <c r="J1209" s="1" t="s">
        <v>90</v>
      </c>
      <c r="K1209" t="s">
        <v>645</v>
      </c>
      <c r="M1209" s="1" t="s">
        <v>58</v>
      </c>
      <c r="N1209" s="1">
        <v>0</v>
      </c>
      <c r="O1209" s="1" t="s">
        <v>105</v>
      </c>
      <c r="P1209" s="186">
        <v>44958.480925925927</v>
      </c>
      <c r="R1209" s="1">
        <v>2</v>
      </c>
      <c r="T1209" s="1" t="s">
        <v>646</v>
      </c>
      <c r="U1209" s="186">
        <v>44959.480925925927</v>
      </c>
      <c r="V1209" s="1" t="s">
        <v>41</v>
      </c>
      <c r="W1209" s="1" t="s">
        <v>49</v>
      </c>
      <c r="AA1209" s="14"/>
    </row>
    <row r="1210" spans="1:27" hidden="1">
      <c r="A1210" s="1">
        <v>9419831</v>
      </c>
      <c r="B1210" s="1" t="s">
        <v>101</v>
      </c>
      <c r="C1210" t="s">
        <v>643</v>
      </c>
      <c r="D1210" s="2">
        <v>230021369</v>
      </c>
      <c r="E1210" s="2">
        <v>1838001400040</v>
      </c>
      <c r="F1210" s="1" t="s">
        <v>644</v>
      </c>
      <c r="G1210" s="1" t="s">
        <v>53</v>
      </c>
      <c r="H1210" s="1" t="s">
        <v>357</v>
      </c>
      <c r="I1210" s="1" t="s">
        <v>358</v>
      </c>
      <c r="J1210" s="1" t="s">
        <v>46</v>
      </c>
      <c r="K1210" t="s">
        <v>645</v>
      </c>
      <c r="M1210" s="1" t="s">
        <v>58</v>
      </c>
      <c r="N1210" s="1">
        <v>0</v>
      </c>
      <c r="O1210" s="1" t="s">
        <v>105</v>
      </c>
      <c r="P1210" s="186">
        <v>44958.477106481485</v>
      </c>
      <c r="R1210" s="1">
        <v>2</v>
      </c>
      <c r="T1210" s="1" t="s">
        <v>646</v>
      </c>
      <c r="U1210" s="186">
        <v>44959.477118055554</v>
      </c>
      <c r="V1210" s="1" t="s">
        <v>41</v>
      </c>
      <c r="W1210" s="1" t="s">
        <v>49</v>
      </c>
      <c r="AA1210" s="14"/>
    </row>
    <row r="1211" spans="1:27" hidden="1">
      <c r="A1211" s="1">
        <v>9419830</v>
      </c>
      <c r="B1211" s="1" t="s">
        <v>101</v>
      </c>
      <c r="C1211" t="s">
        <v>643</v>
      </c>
      <c r="D1211" s="2">
        <v>230021368</v>
      </c>
      <c r="E1211" s="2">
        <v>1837001400040</v>
      </c>
      <c r="F1211" s="1" t="s">
        <v>644</v>
      </c>
      <c r="G1211" s="1" t="s">
        <v>53</v>
      </c>
      <c r="H1211" s="1" t="s">
        <v>1785</v>
      </c>
      <c r="I1211" s="1" t="s">
        <v>1786</v>
      </c>
      <c r="J1211" s="1" t="s">
        <v>46</v>
      </c>
      <c r="K1211" t="s">
        <v>645</v>
      </c>
      <c r="M1211" s="1" t="s">
        <v>58</v>
      </c>
      <c r="N1211" s="1">
        <v>0</v>
      </c>
      <c r="O1211" s="1" t="s">
        <v>105</v>
      </c>
      <c r="P1211" s="186">
        <v>44958.477013888885</v>
      </c>
      <c r="R1211" s="1">
        <v>2</v>
      </c>
      <c r="T1211" s="1" t="s">
        <v>646</v>
      </c>
      <c r="U1211" s="186">
        <v>44959.477013888885</v>
      </c>
      <c r="V1211" s="1" t="s">
        <v>41</v>
      </c>
      <c r="W1211" s="1" t="s">
        <v>49</v>
      </c>
      <c r="AA1211" s="14"/>
    </row>
    <row r="1212" spans="1:27" hidden="1">
      <c r="A1212" s="1">
        <v>9419827</v>
      </c>
      <c r="B1212" s="1" t="s">
        <v>101</v>
      </c>
      <c r="C1212" t="s">
        <v>643</v>
      </c>
      <c r="D1212" s="2">
        <v>230021366</v>
      </c>
      <c r="E1212" s="2">
        <v>1835001400040</v>
      </c>
      <c r="F1212" s="1" t="s">
        <v>644</v>
      </c>
      <c r="G1212" s="1" t="s">
        <v>53</v>
      </c>
      <c r="H1212" s="1" t="s">
        <v>305</v>
      </c>
      <c r="I1212" s="1" t="s">
        <v>306</v>
      </c>
      <c r="J1212" s="1" t="s">
        <v>46</v>
      </c>
      <c r="K1212" t="s">
        <v>645</v>
      </c>
      <c r="M1212" s="1" t="s">
        <v>58</v>
      </c>
      <c r="N1212" s="1">
        <v>0</v>
      </c>
      <c r="O1212" s="1" t="s">
        <v>105</v>
      </c>
      <c r="P1212" s="186">
        <v>44958.476712962962</v>
      </c>
      <c r="R1212" s="1">
        <v>3</v>
      </c>
      <c r="T1212" s="1" t="s">
        <v>646</v>
      </c>
      <c r="U1212" s="186">
        <v>44959.476712962962</v>
      </c>
      <c r="V1212" s="1" t="s">
        <v>41</v>
      </c>
      <c r="W1212" s="1" t="s">
        <v>49</v>
      </c>
      <c r="AA1212" s="14"/>
    </row>
    <row r="1213" spans="1:27" hidden="1">
      <c r="A1213" s="1">
        <v>9419826</v>
      </c>
      <c r="B1213" s="1" t="s">
        <v>101</v>
      </c>
      <c r="C1213" t="s">
        <v>643</v>
      </c>
      <c r="D1213" s="2">
        <v>230021365</v>
      </c>
      <c r="E1213" s="2">
        <v>1833001400040</v>
      </c>
      <c r="F1213" s="1" t="s">
        <v>644</v>
      </c>
      <c r="G1213" s="1" t="s">
        <v>53</v>
      </c>
      <c r="H1213" s="1" t="s">
        <v>369</v>
      </c>
      <c r="I1213" s="1" t="s">
        <v>370</v>
      </c>
      <c r="J1213" s="1" t="s">
        <v>46</v>
      </c>
      <c r="K1213" t="s">
        <v>645</v>
      </c>
      <c r="M1213" s="1" t="s">
        <v>58</v>
      </c>
      <c r="N1213" s="1">
        <v>0</v>
      </c>
      <c r="O1213" s="1" t="s">
        <v>105</v>
      </c>
      <c r="P1213" s="186">
        <v>44958.4766087963</v>
      </c>
      <c r="R1213" s="1">
        <v>3</v>
      </c>
      <c r="T1213" s="1" t="s">
        <v>646</v>
      </c>
      <c r="U1213" s="186">
        <v>44959.4766087963</v>
      </c>
      <c r="V1213" s="1" t="s">
        <v>41</v>
      </c>
      <c r="W1213" s="1" t="s">
        <v>49</v>
      </c>
      <c r="AA1213" s="14"/>
    </row>
    <row r="1214" spans="1:27" hidden="1">
      <c r="A1214" s="1">
        <v>9419654</v>
      </c>
      <c r="B1214" s="1" t="s">
        <v>101</v>
      </c>
      <c r="C1214" t="s">
        <v>643</v>
      </c>
      <c r="D1214" s="2">
        <v>230021562</v>
      </c>
      <c r="E1214" s="2">
        <v>2422001400040</v>
      </c>
      <c r="F1214" s="1" t="s">
        <v>644</v>
      </c>
      <c r="G1214" s="1" t="s">
        <v>53</v>
      </c>
      <c r="H1214" s="1" t="s">
        <v>1844</v>
      </c>
      <c r="I1214" s="1" t="s">
        <v>1845</v>
      </c>
      <c r="J1214" s="1" t="s">
        <v>211</v>
      </c>
      <c r="K1214" t="s">
        <v>645</v>
      </c>
      <c r="M1214" s="1" t="s">
        <v>58</v>
      </c>
      <c r="N1214" s="1">
        <v>0</v>
      </c>
      <c r="O1214" s="1" t="s">
        <v>105</v>
      </c>
      <c r="P1214" s="186">
        <v>44958.463692129626</v>
      </c>
      <c r="R1214" s="1">
        <v>2</v>
      </c>
      <c r="T1214" s="1" t="s">
        <v>646</v>
      </c>
      <c r="U1214" s="186">
        <v>44959.463692129626</v>
      </c>
      <c r="V1214" s="1" t="s">
        <v>41</v>
      </c>
      <c r="W1214" s="1" t="s">
        <v>49</v>
      </c>
      <c r="AA1214" s="14"/>
    </row>
    <row r="1215" spans="1:27" hidden="1">
      <c r="A1215" s="1">
        <v>9419577</v>
      </c>
      <c r="B1215" s="1" t="s">
        <v>101</v>
      </c>
      <c r="C1215" t="s">
        <v>643</v>
      </c>
      <c r="D1215" s="2">
        <v>230021757</v>
      </c>
      <c r="E1215" s="2">
        <v>2988001400040</v>
      </c>
      <c r="F1215" s="1" t="s">
        <v>644</v>
      </c>
      <c r="G1215" s="1" t="s">
        <v>53</v>
      </c>
      <c r="H1215" s="1" t="s">
        <v>536</v>
      </c>
      <c r="I1215" s="1" t="s">
        <v>537</v>
      </c>
      <c r="J1215" s="1" t="s">
        <v>46</v>
      </c>
      <c r="K1215" t="s">
        <v>645</v>
      </c>
      <c r="M1215" s="1" t="s">
        <v>58</v>
      </c>
      <c r="N1215" s="1">
        <v>0</v>
      </c>
      <c r="O1215" s="1" t="s">
        <v>105</v>
      </c>
      <c r="P1215" s="186">
        <v>44958.458240740743</v>
      </c>
      <c r="R1215" s="1">
        <v>2</v>
      </c>
      <c r="T1215" s="1" t="s">
        <v>646</v>
      </c>
      <c r="U1215" s="186">
        <v>44959.458240740743</v>
      </c>
      <c r="V1215" s="1" t="s">
        <v>41</v>
      </c>
      <c r="W1215" s="1" t="s">
        <v>49</v>
      </c>
      <c r="AA1215" s="14"/>
    </row>
    <row r="1216" spans="1:27" hidden="1">
      <c r="A1216" s="1">
        <v>9419561</v>
      </c>
      <c r="B1216" s="1" t="s">
        <v>101</v>
      </c>
      <c r="C1216" t="s">
        <v>643</v>
      </c>
      <c r="D1216" s="2">
        <v>230021447</v>
      </c>
      <c r="E1216" s="2">
        <v>2170001400040</v>
      </c>
      <c r="F1216" s="1" t="s">
        <v>644</v>
      </c>
      <c r="G1216" s="1" t="s">
        <v>53</v>
      </c>
      <c r="H1216" s="1" t="s">
        <v>477</v>
      </c>
      <c r="I1216" s="1" t="s">
        <v>478</v>
      </c>
      <c r="J1216" s="1" t="s">
        <v>148</v>
      </c>
      <c r="K1216" t="s">
        <v>645</v>
      </c>
      <c r="M1216" s="1" t="s">
        <v>58</v>
      </c>
      <c r="N1216" s="1">
        <v>0</v>
      </c>
      <c r="O1216" s="1" t="s">
        <v>105</v>
      </c>
      <c r="P1216" s="186">
        <v>44958.457002314812</v>
      </c>
      <c r="R1216" s="1">
        <v>3</v>
      </c>
      <c r="T1216" s="1" t="s">
        <v>646</v>
      </c>
      <c r="U1216" s="186">
        <v>44959.457002314812</v>
      </c>
      <c r="V1216" s="1" t="s">
        <v>41</v>
      </c>
      <c r="W1216" s="1" t="s">
        <v>49</v>
      </c>
      <c r="AA1216" s="14"/>
    </row>
    <row r="1217" spans="1:27" hidden="1">
      <c r="A1217" s="1">
        <v>9419525</v>
      </c>
      <c r="B1217" s="1" t="s">
        <v>101</v>
      </c>
      <c r="C1217" t="s">
        <v>643</v>
      </c>
      <c r="D1217" s="2">
        <v>230021156</v>
      </c>
      <c r="E1217" s="2">
        <v>1361001400040</v>
      </c>
      <c r="F1217" s="1" t="s">
        <v>644</v>
      </c>
      <c r="G1217" s="1" t="s">
        <v>53</v>
      </c>
      <c r="H1217" s="1" t="s">
        <v>309</v>
      </c>
      <c r="I1217" s="1" t="s">
        <v>310</v>
      </c>
      <c r="J1217" s="1" t="s">
        <v>46</v>
      </c>
      <c r="K1217" t="s">
        <v>645</v>
      </c>
      <c r="M1217" s="1" t="s">
        <v>58</v>
      </c>
      <c r="N1217" s="1">
        <v>0</v>
      </c>
      <c r="O1217" s="1" t="s">
        <v>105</v>
      </c>
      <c r="P1217" s="186">
        <v>44958.454745370371</v>
      </c>
      <c r="R1217" s="1">
        <v>3</v>
      </c>
      <c r="T1217" s="1" t="s">
        <v>646</v>
      </c>
      <c r="U1217" s="186">
        <v>44959.454756944448</v>
      </c>
      <c r="V1217" s="1" t="s">
        <v>41</v>
      </c>
      <c r="W1217" s="1" t="s">
        <v>49</v>
      </c>
      <c r="AA1217" s="14"/>
    </row>
    <row r="1218" spans="1:27" hidden="1">
      <c r="A1218" s="1">
        <v>9419422</v>
      </c>
      <c r="B1218" s="1" t="s">
        <v>101</v>
      </c>
      <c r="C1218" t="s">
        <v>643</v>
      </c>
      <c r="D1218" s="2">
        <v>230021088</v>
      </c>
      <c r="E1218" s="2">
        <v>1153001400040</v>
      </c>
      <c r="F1218" s="1" t="s">
        <v>644</v>
      </c>
      <c r="G1218" s="1" t="s">
        <v>53</v>
      </c>
      <c r="H1218" s="1" t="s">
        <v>1031</v>
      </c>
      <c r="I1218" s="1" t="s">
        <v>1032</v>
      </c>
      <c r="J1218" s="1" t="s">
        <v>79</v>
      </c>
      <c r="K1218" t="s">
        <v>645</v>
      </c>
      <c r="M1218" s="1" t="s">
        <v>58</v>
      </c>
      <c r="N1218" s="1">
        <v>0</v>
      </c>
      <c r="O1218" s="1" t="s">
        <v>105</v>
      </c>
      <c r="P1218" s="186">
        <v>44958.448564814818</v>
      </c>
      <c r="R1218" s="1">
        <v>3</v>
      </c>
      <c r="T1218" s="1" t="s">
        <v>646</v>
      </c>
      <c r="U1218" s="186">
        <v>44959.448564814818</v>
      </c>
      <c r="V1218" s="1" t="s">
        <v>41</v>
      </c>
      <c r="W1218" s="1" t="s">
        <v>49</v>
      </c>
      <c r="AA1218" s="14"/>
    </row>
    <row r="1219" spans="1:27" hidden="1">
      <c r="A1219" s="1">
        <v>9419377</v>
      </c>
      <c r="B1219" s="1" t="s">
        <v>101</v>
      </c>
      <c r="C1219" t="s">
        <v>643</v>
      </c>
      <c r="D1219" s="2">
        <v>230021055</v>
      </c>
      <c r="E1219" s="2">
        <v>1059001400040</v>
      </c>
      <c r="F1219" s="1" t="s">
        <v>644</v>
      </c>
      <c r="G1219" s="1" t="s">
        <v>53</v>
      </c>
      <c r="H1219" s="1" t="s">
        <v>88</v>
      </c>
      <c r="I1219" s="1" t="s">
        <v>89</v>
      </c>
      <c r="J1219" s="1" t="s">
        <v>90</v>
      </c>
      <c r="K1219" t="s">
        <v>645</v>
      </c>
      <c r="M1219" s="1" t="s">
        <v>58</v>
      </c>
      <c r="N1219" s="1">
        <v>0</v>
      </c>
      <c r="O1219" s="1" t="s">
        <v>105</v>
      </c>
      <c r="P1219" s="186">
        <v>44958.445428240739</v>
      </c>
      <c r="R1219" s="1">
        <v>2</v>
      </c>
      <c r="T1219" s="1" t="s">
        <v>646</v>
      </c>
      <c r="U1219" s="186">
        <v>44959.445428240739</v>
      </c>
      <c r="V1219" s="1" t="s">
        <v>41</v>
      </c>
      <c r="W1219" s="1" t="s">
        <v>49</v>
      </c>
      <c r="AA1219" s="14"/>
    </row>
    <row r="1220" spans="1:27" hidden="1">
      <c r="A1220" s="1">
        <v>9419293</v>
      </c>
      <c r="B1220" s="1" t="s">
        <v>101</v>
      </c>
      <c r="C1220" t="s">
        <v>643</v>
      </c>
      <c r="D1220" s="2">
        <v>230021183</v>
      </c>
      <c r="E1220" s="2">
        <v>1421001400040</v>
      </c>
      <c r="F1220" s="1" t="s">
        <v>644</v>
      </c>
      <c r="G1220" s="1" t="s">
        <v>53</v>
      </c>
      <c r="H1220" s="1" t="s">
        <v>179</v>
      </c>
      <c r="I1220" s="1" t="s">
        <v>180</v>
      </c>
      <c r="J1220" s="1" t="s">
        <v>79</v>
      </c>
      <c r="K1220" t="s">
        <v>645</v>
      </c>
      <c r="M1220" s="1" t="s">
        <v>58</v>
      </c>
      <c r="N1220" s="1">
        <v>0</v>
      </c>
      <c r="O1220" s="1" t="s">
        <v>105</v>
      </c>
      <c r="P1220" s="186">
        <v>44958.440370370372</v>
      </c>
      <c r="R1220" s="1">
        <v>2</v>
      </c>
      <c r="T1220" s="1" t="s">
        <v>646</v>
      </c>
      <c r="U1220" s="186">
        <v>44959.440381944441</v>
      </c>
      <c r="V1220" s="1" t="s">
        <v>41</v>
      </c>
      <c r="W1220" s="1" t="s">
        <v>49</v>
      </c>
      <c r="AA1220" s="14"/>
    </row>
    <row r="1221" spans="1:27" hidden="1">
      <c r="A1221" s="1">
        <v>9419109</v>
      </c>
      <c r="B1221" s="1" t="s">
        <v>101</v>
      </c>
      <c r="C1221" t="s">
        <v>643</v>
      </c>
      <c r="D1221" s="2">
        <v>230020746</v>
      </c>
      <c r="E1221" s="2">
        <v>115001400040</v>
      </c>
      <c r="F1221" s="1" t="s">
        <v>644</v>
      </c>
      <c r="G1221" s="1" t="s">
        <v>53</v>
      </c>
      <c r="H1221" s="1" t="s">
        <v>542</v>
      </c>
      <c r="I1221" s="1" t="s">
        <v>543</v>
      </c>
      <c r="J1221" s="1" t="s">
        <v>56</v>
      </c>
      <c r="K1221" t="s">
        <v>645</v>
      </c>
      <c r="M1221" s="1" t="s">
        <v>58</v>
      </c>
      <c r="N1221" s="1">
        <v>0</v>
      </c>
      <c r="O1221" s="1" t="s">
        <v>105</v>
      </c>
      <c r="P1221" s="186">
        <v>44958.432175925926</v>
      </c>
      <c r="R1221" s="1">
        <v>3</v>
      </c>
      <c r="T1221" s="1" t="s">
        <v>646</v>
      </c>
      <c r="U1221" s="186">
        <v>44959.432187500002</v>
      </c>
      <c r="V1221" s="1" t="s">
        <v>41</v>
      </c>
      <c r="W1221" s="1" t="s">
        <v>49</v>
      </c>
      <c r="AA1221" s="14"/>
    </row>
    <row r="1222" spans="1:27" hidden="1">
      <c r="A1222" s="1">
        <v>9418770</v>
      </c>
      <c r="B1222" s="1" t="s">
        <v>101</v>
      </c>
      <c r="C1222" t="s">
        <v>643</v>
      </c>
      <c r="D1222" s="2">
        <v>230020783</v>
      </c>
      <c r="E1222" s="2">
        <v>246001400040</v>
      </c>
      <c r="F1222" s="1" t="s">
        <v>644</v>
      </c>
      <c r="G1222" s="1" t="s">
        <v>53</v>
      </c>
      <c r="H1222" s="1" t="s">
        <v>1193</v>
      </c>
      <c r="I1222" s="1" t="s">
        <v>1194</v>
      </c>
      <c r="J1222" s="1" t="s">
        <v>85</v>
      </c>
      <c r="K1222" t="s">
        <v>645</v>
      </c>
      <c r="M1222" s="1" t="s">
        <v>58</v>
      </c>
      <c r="N1222" s="1">
        <v>0</v>
      </c>
      <c r="O1222" s="1" t="s">
        <v>105</v>
      </c>
      <c r="P1222" s="186">
        <v>44958.413946759261</v>
      </c>
      <c r="R1222" s="1">
        <v>2</v>
      </c>
      <c r="T1222" s="1" t="s">
        <v>646</v>
      </c>
      <c r="U1222" s="186">
        <v>44959.413946759261</v>
      </c>
      <c r="V1222" s="1" t="s">
        <v>41</v>
      </c>
      <c r="W1222" s="1" t="s">
        <v>49</v>
      </c>
      <c r="AA1222" s="14"/>
    </row>
    <row r="1223" spans="1:27" hidden="1">
      <c r="A1223" s="1">
        <v>9418769</v>
      </c>
      <c r="B1223" s="1" t="s">
        <v>101</v>
      </c>
      <c r="C1223" t="s">
        <v>643</v>
      </c>
      <c r="D1223" s="2">
        <v>230020782</v>
      </c>
      <c r="E1223" s="2">
        <v>244001400040</v>
      </c>
      <c r="F1223" s="1" t="s">
        <v>644</v>
      </c>
      <c r="G1223" s="1" t="s">
        <v>53</v>
      </c>
      <c r="H1223" s="1" t="s">
        <v>313</v>
      </c>
      <c r="I1223" s="1" t="s">
        <v>314</v>
      </c>
      <c r="J1223" s="1" t="s">
        <v>56</v>
      </c>
      <c r="K1223" t="s">
        <v>645</v>
      </c>
      <c r="M1223" s="1" t="s">
        <v>58</v>
      </c>
      <c r="N1223" s="1">
        <v>0</v>
      </c>
      <c r="O1223" s="1" t="s">
        <v>105</v>
      </c>
      <c r="P1223" s="186">
        <v>44958.413888888892</v>
      </c>
      <c r="R1223" s="1">
        <v>3</v>
      </c>
      <c r="T1223" s="1" t="s">
        <v>646</v>
      </c>
      <c r="U1223" s="186">
        <v>44959.413900462961</v>
      </c>
      <c r="V1223" s="1" t="s">
        <v>41</v>
      </c>
      <c r="W1223" s="1" t="s">
        <v>49</v>
      </c>
      <c r="AA1223" s="14"/>
    </row>
    <row r="1224" spans="1:27" hidden="1">
      <c r="A1224" s="1">
        <v>9418760</v>
      </c>
      <c r="B1224" s="1" t="s">
        <v>101</v>
      </c>
      <c r="C1224" t="s">
        <v>643</v>
      </c>
      <c r="D1224" s="2">
        <v>230020773</v>
      </c>
      <c r="E1224" s="2">
        <v>196001400040</v>
      </c>
      <c r="F1224" s="1" t="s">
        <v>644</v>
      </c>
      <c r="G1224" s="1" t="s">
        <v>53</v>
      </c>
      <c r="H1224" s="1" t="s">
        <v>1060</v>
      </c>
      <c r="I1224" s="1" t="s">
        <v>1061</v>
      </c>
      <c r="J1224" s="1" t="s">
        <v>79</v>
      </c>
      <c r="K1224" t="s">
        <v>645</v>
      </c>
      <c r="M1224" s="1" t="s">
        <v>58</v>
      </c>
      <c r="N1224" s="1">
        <v>0</v>
      </c>
      <c r="O1224" s="1" t="s">
        <v>105</v>
      </c>
      <c r="P1224" s="186">
        <v>44958.413275462961</v>
      </c>
      <c r="R1224" s="1">
        <v>2</v>
      </c>
      <c r="T1224" s="1" t="s">
        <v>646</v>
      </c>
      <c r="U1224" s="186">
        <v>44959.413287037038</v>
      </c>
      <c r="V1224" s="1" t="s">
        <v>41</v>
      </c>
      <c r="W1224" s="1" t="s">
        <v>49</v>
      </c>
      <c r="AA1224" s="14"/>
    </row>
    <row r="1225" spans="1:27" hidden="1">
      <c r="A1225" s="1">
        <v>9418531</v>
      </c>
      <c r="B1225" s="1" t="s">
        <v>101</v>
      </c>
      <c r="C1225" t="s">
        <v>643</v>
      </c>
      <c r="D1225" s="2">
        <v>230019757</v>
      </c>
      <c r="E1225" s="2">
        <v>2229001400030</v>
      </c>
      <c r="F1225" s="1" t="s">
        <v>647</v>
      </c>
      <c r="G1225" s="1" t="s">
        <v>53</v>
      </c>
      <c r="H1225" s="1" t="s">
        <v>339</v>
      </c>
      <c r="I1225" s="1" t="s">
        <v>340</v>
      </c>
      <c r="J1225" s="1" t="s">
        <v>211</v>
      </c>
      <c r="K1225" t="s">
        <v>650</v>
      </c>
      <c r="M1225" s="1" t="s">
        <v>58</v>
      </c>
      <c r="N1225" s="1">
        <v>0</v>
      </c>
      <c r="O1225" s="1" t="s">
        <v>105</v>
      </c>
      <c r="P1225" s="186">
        <v>44958.399722222224</v>
      </c>
      <c r="R1225" s="1">
        <v>4</v>
      </c>
      <c r="T1225" s="1" t="s">
        <v>646</v>
      </c>
      <c r="U1225" s="186">
        <v>44959.399722222224</v>
      </c>
      <c r="V1225" s="1" t="s">
        <v>41</v>
      </c>
      <c r="W1225" s="1" t="s">
        <v>49</v>
      </c>
      <c r="AA1225" s="14"/>
    </row>
    <row r="1226" spans="1:27" hidden="1">
      <c r="A1226" s="1">
        <v>9418473</v>
      </c>
      <c r="B1226" s="1" t="s">
        <v>101</v>
      </c>
      <c r="C1226" t="s">
        <v>643</v>
      </c>
      <c r="D1226" s="2">
        <v>230019725</v>
      </c>
      <c r="E1226" s="2">
        <v>2170001400030</v>
      </c>
      <c r="F1226" s="1" t="s">
        <v>647</v>
      </c>
      <c r="G1226" s="1" t="s">
        <v>53</v>
      </c>
      <c r="H1226" s="1" t="s">
        <v>477</v>
      </c>
      <c r="I1226" s="1" t="s">
        <v>478</v>
      </c>
      <c r="J1226" s="1" t="s">
        <v>148</v>
      </c>
      <c r="K1226" t="s">
        <v>650</v>
      </c>
      <c r="M1226" s="1" t="s">
        <v>58</v>
      </c>
      <c r="N1226" s="1">
        <v>0</v>
      </c>
      <c r="O1226" s="1" t="s">
        <v>105</v>
      </c>
      <c r="P1226" s="186">
        <v>44958.396168981482</v>
      </c>
      <c r="R1226" s="1">
        <v>4</v>
      </c>
      <c r="T1226" s="1" t="s">
        <v>646</v>
      </c>
      <c r="U1226" s="186">
        <v>44959.396168981482</v>
      </c>
      <c r="V1226" s="1" t="s">
        <v>41</v>
      </c>
      <c r="W1226" s="1" t="s">
        <v>49</v>
      </c>
      <c r="AA1226" s="14"/>
    </row>
    <row r="1227" spans="1:27" hidden="1">
      <c r="A1227" s="1">
        <v>9418455</v>
      </c>
      <c r="B1227" s="1" t="s">
        <v>101</v>
      </c>
      <c r="C1227" t="s">
        <v>643</v>
      </c>
      <c r="D1227" s="2">
        <v>230019708</v>
      </c>
      <c r="E1227" s="2">
        <v>2138001400030</v>
      </c>
      <c r="F1227" s="1" t="s">
        <v>647</v>
      </c>
      <c r="G1227" s="1" t="s">
        <v>53</v>
      </c>
      <c r="H1227" s="1" t="s">
        <v>379</v>
      </c>
      <c r="I1227" s="1" t="s">
        <v>380</v>
      </c>
      <c r="J1227" s="1" t="s">
        <v>46</v>
      </c>
      <c r="K1227" t="s">
        <v>650</v>
      </c>
      <c r="M1227" s="1" t="s">
        <v>58</v>
      </c>
      <c r="N1227" s="1">
        <v>0</v>
      </c>
      <c r="O1227" s="1" t="s">
        <v>105</v>
      </c>
      <c r="P1227" s="186">
        <v>44958.394756944443</v>
      </c>
      <c r="R1227" s="1">
        <v>4</v>
      </c>
      <c r="T1227" s="1" t="s">
        <v>646</v>
      </c>
      <c r="U1227" s="186">
        <v>44959.394756944443</v>
      </c>
      <c r="V1227" s="1" t="s">
        <v>41</v>
      </c>
      <c r="W1227" s="1" t="s">
        <v>49</v>
      </c>
      <c r="AA1227" s="14"/>
    </row>
    <row r="1228" spans="1:27" hidden="1">
      <c r="A1228" s="1">
        <v>9418331</v>
      </c>
      <c r="B1228" s="1" t="s">
        <v>101</v>
      </c>
      <c r="C1228" t="s">
        <v>643</v>
      </c>
      <c r="D1228" s="2">
        <v>230019888</v>
      </c>
      <c r="E1228" s="2">
        <v>2590001400030</v>
      </c>
      <c r="F1228" s="1" t="s">
        <v>647</v>
      </c>
      <c r="G1228" s="1" t="s">
        <v>53</v>
      </c>
      <c r="H1228" s="1" t="s">
        <v>394</v>
      </c>
      <c r="I1228" s="1" t="s">
        <v>395</v>
      </c>
      <c r="J1228" s="1" t="s">
        <v>148</v>
      </c>
      <c r="K1228" t="s">
        <v>650</v>
      </c>
      <c r="M1228" s="1" t="s">
        <v>58</v>
      </c>
      <c r="N1228" s="1">
        <v>0</v>
      </c>
      <c r="O1228" s="1" t="s">
        <v>105</v>
      </c>
      <c r="P1228" s="186">
        <v>44958.387199074074</v>
      </c>
      <c r="R1228" s="1">
        <v>4</v>
      </c>
      <c r="T1228" s="1" t="s">
        <v>646</v>
      </c>
      <c r="U1228" s="186">
        <v>44959.387199074074</v>
      </c>
      <c r="V1228" s="1" t="s">
        <v>41</v>
      </c>
      <c r="W1228" s="1" t="s">
        <v>49</v>
      </c>
      <c r="AA1228" s="14"/>
    </row>
    <row r="1229" spans="1:27" hidden="1">
      <c r="A1229" s="1">
        <v>9418162</v>
      </c>
      <c r="B1229" s="1" t="s">
        <v>101</v>
      </c>
      <c r="C1229" t="s">
        <v>643</v>
      </c>
      <c r="D1229" s="2">
        <v>230020107</v>
      </c>
      <c r="E1229" s="2">
        <v>3108011400030</v>
      </c>
      <c r="F1229" s="1" t="s">
        <v>647</v>
      </c>
      <c r="G1229" s="1" t="s">
        <v>53</v>
      </c>
      <c r="H1229" s="1" t="s">
        <v>503</v>
      </c>
      <c r="I1229" s="1" t="s">
        <v>504</v>
      </c>
      <c r="J1229" s="1" t="s">
        <v>46</v>
      </c>
      <c r="K1229" t="s">
        <v>650</v>
      </c>
      <c r="M1229" s="1" t="s">
        <v>58</v>
      </c>
      <c r="N1229" s="1">
        <v>0</v>
      </c>
      <c r="O1229" s="1" t="s">
        <v>105</v>
      </c>
      <c r="P1229" s="186">
        <v>44958.376886574071</v>
      </c>
      <c r="R1229" s="1">
        <v>4</v>
      </c>
      <c r="T1229" s="1" t="s">
        <v>646</v>
      </c>
      <c r="U1229" s="186">
        <v>44959.376886574071</v>
      </c>
      <c r="V1229" s="1" t="s">
        <v>41</v>
      </c>
      <c r="W1229" s="1" t="s">
        <v>49</v>
      </c>
      <c r="AA1229" s="14"/>
    </row>
    <row r="1230" spans="1:27" hidden="1">
      <c r="A1230" s="1">
        <v>9418133</v>
      </c>
      <c r="B1230" s="1" t="s">
        <v>101</v>
      </c>
      <c r="C1230" t="s">
        <v>643</v>
      </c>
      <c r="D1230" s="2">
        <v>230020053</v>
      </c>
      <c r="E1230" s="2">
        <v>2988001400030</v>
      </c>
      <c r="F1230" s="1" t="s">
        <v>647</v>
      </c>
      <c r="G1230" s="1" t="s">
        <v>53</v>
      </c>
      <c r="H1230" s="1" t="s">
        <v>536</v>
      </c>
      <c r="I1230" s="1" t="s">
        <v>537</v>
      </c>
      <c r="J1230" s="1" t="s">
        <v>46</v>
      </c>
      <c r="K1230" t="s">
        <v>650</v>
      </c>
      <c r="M1230" s="1" t="s">
        <v>58</v>
      </c>
      <c r="N1230" s="1">
        <v>0</v>
      </c>
      <c r="O1230" s="1" t="s">
        <v>105</v>
      </c>
      <c r="P1230" s="186">
        <v>44958.374942129631</v>
      </c>
      <c r="R1230" s="1">
        <v>4</v>
      </c>
      <c r="T1230" s="1" t="s">
        <v>646</v>
      </c>
      <c r="U1230" s="186">
        <v>44959.374942129631</v>
      </c>
      <c r="V1230" s="1" t="s">
        <v>41</v>
      </c>
      <c r="W1230" s="1" t="s">
        <v>49</v>
      </c>
      <c r="AA1230" s="14"/>
    </row>
    <row r="1231" spans="1:27" hidden="1">
      <c r="A1231" s="1">
        <v>9418017</v>
      </c>
      <c r="B1231" s="1" t="s">
        <v>101</v>
      </c>
      <c r="C1231" t="s">
        <v>643</v>
      </c>
      <c r="D1231" s="2">
        <v>230019614</v>
      </c>
      <c r="E1231" s="2">
        <v>1764001400030</v>
      </c>
      <c r="F1231" s="1" t="s">
        <v>647</v>
      </c>
      <c r="G1231" s="1" t="s">
        <v>53</v>
      </c>
      <c r="H1231" s="1" t="s">
        <v>722</v>
      </c>
      <c r="I1231" s="1" t="s">
        <v>723</v>
      </c>
      <c r="J1231" s="1" t="s">
        <v>90</v>
      </c>
      <c r="K1231" t="s">
        <v>650</v>
      </c>
      <c r="M1231" s="1" t="s">
        <v>58</v>
      </c>
      <c r="N1231" s="1">
        <v>0</v>
      </c>
      <c r="O1231" s="1" t="s">
        <v>105</v>
      </c>
      <c r="P1231" s="186">
        <v>44958.367951388886</v>
      </c>
      <c r="R1231" s="1">
        <v>4</v>
      </c>
      <c r="T1231" s="1" t="s">
        <v>646</v>
      </c>
      <c r="U1231" s="186">
        <v>44959.367951388886</v>
      </c>
      <c r="V1231" s="1" t="s">
        <v>41</v>
      </c>
      <c r="W1231" s="1" t="s">
        <v>49</v>
      </c>
      <c r="AA1231" s="14"/>
    </row>
    <row r="1232" spans="1:27" hidden="1">
      <c r="A1232" s="1">
        <v>9418009</v>
      </c>
      <c r="B1232" s="1" t="s">
        <v>1153</v>
      </c>
      <c r="C1232" t="s">
        <v>2269</v>
      </c>
      <c r="E1232" s="2">
        <v>1012000206001</v>
      </c>
      <c r="F1232" s="1" t="s">
        <v>29</v>
      </c>
      <c r="G1232" s="1" t="s">
        <v>53</v>
      </c>
      <c r="H1232" s="1" t="s">
        <v>172</v>
      </c>
      <c r="I1232" s="1" t="s">
        <v>173</v>
      </c>
      <c r="J1232" s="1" t="s">
        <v>164</v>
      </c>
      <c r="K1232" t="s">
        <v>34</v>
      </c>
      <c r="M1232" s="1" t="s">
        <v>35</v>
      </c>
      <c r="N1232" s="1">
        <v>42318949</v>
      </c>
      <c r="O1232" s="1" t="s">
        <v>36</v>
      </c>
      <c r="P1232" s="186">
        <v>44958.367384259262</v>
      </c>
      <c r="R1232" s="1" t="s">
        <v>38</v>
      </c>
      <c r="T1232" s="1" t="s">
        <v>74</v>
      </c>
      <c r="U1232" s="186">
        <v>44985.625</v>
      </c>
      <c r="V1232" s="1" t="s">
        <v>41</v>
      </c>
      <c r="W1232" s="1" t="s">
        <v>49</v>
      </c>
      <c r="AA1232" s="14"/>
    </row>
    <row r="1233" spans="1:27" hidden="1">
      <c r="A1233" s="1">
        <v>9417996</v>
      </c>
      <c r="B1233" s="1" t="s">
        <v>101</v>
      </c>
      <c r="C1233" t="s">
        <v>643</v>
      </c>
      <c r="D1233" s="2">
        <v>230019599</v>
      </c>
      <c r="E1233" s="2">
        <v>1739001400030</v>
      </c>
      <c r="F1233" s="1" t="s">
        <v>647</v>
      </c>
      <c r="G1233" s="1" t="s">
        <v>53</v>
      </c>
      <c r="H1233" s="1" t="s">
        <v>162</v>
      </c>
      <c r="I1233" s="1" t="s">
        <v>163</v>
      </c>
      <c r="J1233" s="1" t="s">
        <v>164</v>
      </c>
      <c r="K1233" t="s">
        <v>650</v>
      </c>
      <c r="M1233" s="1" t="s">
        <v>58</v>
      </c>
      <c r="N1233" s="1">
        <v>0</v>
      </c>
      <c r="O1233" s="1" t="s">
        <v>105</v>
      </c>
      <c r="P1233" s="186">
        <v>44958.36650462963</v>
      </c>
      <c r="R1233" s="1">
        <v>4</v>
      </c>
      <c r="T1233" s="1" t="s">
        <v>646</v>
      </c>
      <c r="U1233" s="186">
        <v>44959.36650462963</v>
      </c>
      <c r="V1233" s="1" t="s">
        <v>41</v>
      </c>
      <c r="W1233" s="1" t="s">
        <v>49</v>
      </c>
      <c r="AA1233" s="14"/>
    </row>
    <row r="1234" spans="1:27" hidden="1">
      <c r="A1234" s="1">
        <v>9417969</v>
      </c>
      <c r="B1234" s="1" t="s">
        <v>101</v>
      </c>
      <c r="C1234" t="s">
        <v>643</v>
      </c>
      <c r="D1234" s="2">
        <v>230019588</v>
      </c>
      <c r="E1234" s="2">
        <v>1710001400030</v>
      </c>
      <c r="F1234" s="1" t="s">
        <v>647</v>
      </c>
      <c r="G1234" s="1" t="s">
        <v>53</v>
      </c>
      <c r="H1234" s="1" t="s">
        <v>327</v>
      </c>
      <c r="I1234" s="1" t="s">
        <v>328</v>
      </c>
      <c r="J1234" s="1" t="s">
        <v>261</v>
      </c>
      <c r="K1234" t="s">
        <v>650</v>
      </c>
      <c r="M1234" s="1" t="s">
        <v>58</v>
      </c>
      <c r="N1234" s="1">
        <v>0</v>
      </c>
      <c r="O1234" s="1" t="s">
        <v>105</v>
      </c>
      <c r="P1234" s="186">
        <v>44958.365451388891</v>
      </c>
      <c r="R1234" s="1">
        <v>4</v>
      </c>
      <c r="T1234" s="1" t="s">
        <v>646</v>
      </c>
      <c r="U1234" s="186">
        <v>44959.36546296296</v>
      </c>
      <c r="V1234" s="1" t="s">
        <v>41</v>
      </c>
      <c r="W1234" s="1" t="s">
        <v>49</v>
      </c>
      <c r="AA1234" s="14"/>
    </row>
    <row r="1235" spans="1:27" hidden="1">
      <c r="A1235" s="1">
        <v>9417939</v>
      </c>
      <c r="B1235" s="1" t="s">
        <v>101</v>
      </c>
      <c r="C1235" t="s">
        <v>643</v>
      </c>
      <c r="D1235" s="2">
        <v>230019562</v>
      </c>
      <c r="E1235" s="2">
        <v>1650001400030</v>
      </c>
      <c r="F1235" s="1" t="s">
        <v>647</v>
      </c>
      <c r="G1235" s="1" t="s">
        <v>53</v>
      </c>
      <c r="H1235" s="1" t="s">
        <v>620</v>
      </c>
      <c r="I1235" s="1" t="s">
        <v>621</v>
      </c>
      <c r="J1235" s="1" t="s">
        <v>141</v>
      </c>
      <c r="K1235" t="s">
        <v>650</v>
      </c>
      <c r="M1235" s="1" t="s">
        <v>58</v>
      </c>
      <c r="N1235" s="1">
        <v>0</v>
      </c>
      <c r="O1235" s="1" t="s">
        <v>105</v>
      </c>
      <c r="P1235" s="186">
        <v>44958.363310185188</v>
      </c>
      <c r="R1235" s="1">
        <v>4</v>
      </c>
      <c r="T1235" s="1" t="s">
        <v>646</v>
      </c>
      <c r="U1235" s="186">
        <v>44959.363310185188</v>
      </c>
      <c r="V1235" s="1" t="s">
        <v>41</v>
      </c>
      <c r="W1235" s="1" t="s">
        <v>49</v>
      </c>
      <c r="AA1235" s="14"/>
    </row>
    <row r="1236" spans="1:27" hidden="1">
      <c r="A1236" s="1">
        <v>9417911</v>
      </c>
      <c r="B1236" s="1" t="s">
        <v>101</v>
      </c>
      <c r="C1236" t="s">
        <v>643</v>
      </c>
      <c r="D1236" s="2">
        <v>230019546</v>
      </c>
      <c r="E1236" s="2">
        <v>1620001400030</v>
      </c>
      <c r="F1236" s="1" t="s">
        <v>647</v>
      </c>
      <c r="G1236" s="1" t="s">
        <v>53</v>
      </c>
      <c r="H1236" s="1" t="s">
        <v>402</v>
      </c>
      <c r="I1236" s="1" t="s">
        <v>403</v>
      </c>
      <c r="J1236" s="1" t="s">
        <v>46</v>
      </c>
      <c r="K1236" t="s">
        <v>650</v>
      </c>
      <c r="M1236" s="1" t="s">
        <v>58</v>
      </c>
      <c r="N1236" s="1">
        <v>0</v>
      </c>
      <c r="O1236" s="1" t="s">
        <v>105</v>
      </c>
      <c r="P1236" s="186">
        <v>44958.361921296295</v>
      </c>
      <c r="R1236" s="1">
        <v>4</v>
      </c>
      <c r="T1236" s="1" t="s">
        <v>646</v>
      </c>
      <c r="U1236" s="186">
        <v>44959.361921296295</v>
      </c>
      <c r="V1236" s="1" t="s">
        <v>41</v>
      </c>
      <c r="W1236" s="1" t="s">
        <v>49</v>
      </c>
      <c r="AA1236" s="14"/>
    </row>
    <row r="1237" spans="1:27" hidden="1">
      <c r="A1237" s="1">
        <v>9417871</v>
      </c>
      <c r="B1237" s="1" t="s">
        <v>101</v>
      </c>
      <c r="C1237" t="s">
        <v>643</v>
      </c>
      <c r="D1237" s="2">
        <v>230019450</v>
      </c>
      <c r="E1237" s="2">
        <v>1421001400030</v>
      </c>
      <c r="F1237" s="1" t="s">
        <v>647</v>
      </c>
      <c r="G1237" s="1" t="s">
        <v>53</v>
      </c>
      <c r="H1237" s="1" t="s">
        <v>179</v>
      </c>
      <c r="I1237" s="1" t="s">
        <v>180</v>
      </c>
      <c r="J1237" s="1" t="s">
        <v>79</v>
      </c>
      <c r="K1237" t="s">
        <v>650</v>
      </c>
      <c r="M1237" s="1" t="s">
        <v>58</v>
      </c>
      <c r="N1237" s="1">
        <v>0</v>
      </c>
      <c r="O1237" s="1" t="s">
        <v>105</v>
      </c>
      <c r="P1237" s="186">
        <v>44958.358854166669</v>
      </c>
      <c r="R1237" s="1">
        <v>4</v>
      </c>
      <c r="T1237" s="1" t="s">
        <v>646</v>
      </c>
      <c r="U1237" s="186">
        <v>44959.358854166669</v>
      </c>
      <c r="V1237" s="1" t="s">
        <v>41</v>
      </c>
      <c r="W1237" s="1" t="s">
        <v>49</v>
      </c>
      <c r="AA1237" s="14"/>
    </row>
    <row r="1238" spans="1:27" hidden="1">
      <c r="A1238" s="1">
        <v>9417830</v>
      </c>
      <c r="B1238" s="1" t="s">
        <v>101</v>
      </c>
      <c r="C1238" t="s">
        <v>643</v>
      </c>
      <c r="D1238" s="2">
        <v>230019421</v>
      </c>
      <c r="E1238" s="2">
        <v>1361001400030</v>
      </c>
      <c r="F1238" s="1" t="s">
        <v>647</v>
      </c>
      <c r="G1238" s="1" t="s">
        <v>53</v>
      </c>
      <c r="H1238" s="1" t="s">
        <v>309</v>
      </c>
      <c r="I1238" s="1" t="s">
        <v>310</v>
      </c>
      <c r="J1238" s="1" t="s">
        <v>46</v>
      </c>
      <c r="K1238" t="s">
        <v>650</v>
      </c>
      <c r="M1238" s="1" t="s">
        <v>58</v>
      </c>
      <c r="N1238" s="1">
        <v>0</v>
      </c>
      <c r="O1238" s="1" t="s">
        <v>105</v>
      </c>
      <c r="P1238" s="186">
        <v>44958.356481481482</v>
      </c>
      <c r="R1238" s="1">
        <v>4</v>
      </c>
      <c r="T1238" s="1" t="s">
        <v>646</v>
      </c>
      <c r="U1238" s="186">
        <v>44959.356493055559</v>
      </c>
      <c r="V1238" s="1" t="s">
        <v>41</v>
      </c>
      <c r="W1238" s="1" t="s">
        <v>49</v>
      </c>
      <c r="AA1238" s="14"/>
    </row>
    <row r="1239" spans="1:27" hidden="1">
      <c r="A1239" s="1">
        <v>9417682</v>
      </c>
      <c r="B1239" s="1" t="s">
        <v>101</v>
      </c>
      <c r="C1239" t="s">
        <v>643</v>
      </c>
      <c r="D1239" s="2">
        <v>230019273</v>
      </c>
      <c r="E1239" s="2">
        <v>963001400030</v>
      </c>
      <c r="F1239" s="1" t="s">
        <v>647</v>
      </c>
      <c r="G1239" s="1" t="s">
        <v>53</v>
      </c>
      <c r="H1239" s="1" t="s">
        <v>531</v>
      </c>
      <c r="I1239" s="1" t="s">
        <v>532</v>
      </c>
      <c r="J1239" s="1" t="s">
        <v>33</v>
      </c>
      <c r="K1239" t="s">
        <v>650</v>
      </c>
      <c r="M1239" s="1" t="s">
        <v>58</v>
      </c>
      <c r="N1239" s="1">
        <v>0</v>
      </c>
      <c r="O1239" s="1" t="s">
        <v>105</v>
      </c>
      <c r="P1239" s="186">
        <v>44958.34814814815</v>
      </c>
      <c r="R1239" s="1">
        <v>4</v>
      </c>
      <c r="T1239" s="1" t="s">
        <v>646</v>
      </c>
      <c r="U1239" s="186">
        <v>44959.34814814815</v>
      </c>
      <c r="V1239" s="1" t="s">
        <v>41</v>
      </c>
      <c r="W1239" s="1" t="s">
        <v>49</v>
      </c>
    </row>
    <row r="1240" spans="1:27" hidden="1">
      <c r="A1240" s="1">
        <v>9417663</v>
      </c>
      <c r="B1240" s="1" t="s">
        <v>101</v>
      </c>
      <c r="C1240" t="s">
        <v>643</v>
      </c>
      <c r="D1240" s="2">
        <v>230019027</v>
      </c>
      <c r="E1240" s="2">
        <v>196001400030</v>
      </c>
      <c r="F1240" s="1" t="s">
        <v>647</v>
      </c>
      <c r="G1240" s="1" t="s">
        <v>53</v>
      </c>
      <c r="H1240" s="1" t="s">
        <v>1060</v>
      </c>
      <c r="I1240" s="1" t="s">
        <v>1061</v>
      </c>
      <c r="J1240" s="1" t="s">
        <v>79</v>
      </c>
      <c r="K1240" t="s">
        <v>650</v>
      </c>
      <c r="M1240" s="1" t="s">
        <v>58</v>
      </c>
      <c r="N1240" s="1">
        <v>0</v>
      </c>
      <c r="O1240" s="1" t="s">
        <v>105</v>
      </c>
      <c r="P1240" s="186">
        <v>44958.346817129626</v>
      </c>
      <c r="R1240" s="1">
        <v>4</v>
      </c>
      <c r="T1240" s="1" t="s">
        <v>646</v>
      </c>
      <c r="U1240" s="186">
        <v>44959.346817129626</v>
      </c>
      <c r="V1240" s="1" t="s">
        <v>41</v>
      </c>
      <c r="W1240" s="1" t="s">
        <v>49</v>
      </c>
    </row>
    <row r="1241" spans="1:27" hidden="1">
      <c r="A1241" s="1">
        <v>9417399</v>
      </c>
      <c r="B1241" s="1" t="s">
        <v>101</v>
      </c>
      <c r="C1241" t="s">
        <v>643</v>
      </c>
      <c r="D1241" s="2">
        <v>230019038</v>
      </c>
      <c r="E1241" s="2">
        <v>246001400030</v>
      </c>
      <c r="F1241" s="1" t="s">
        <v>647</v>
      </c>
      <c r="G1241" s="1" t="s">
        <v>53</v>
      </c>
      <c r="H1241" s="1" t="s">
        <v>1193</v>
      </c>
      <c r="I1241" s="1" t="s">
        <v>1194</v>
      </c>
      <c r="J1241" s="1" t="s">
        <v>85</v>
      </c>
      <c r="K1241" t="s">
        <v>650</v>
      </c>
      <c r="M1241" s="1" t="s">
        <v>58</v>
      </c>
      <c r="N1241" s="1">
        <v>0</v>
      </c>
      <c r="O1241" s="1" t="s">
        <v>105</v>
      </c>
      <c r="P1241" s="186">
        <v>44958.331469907411</v>
      </c>
      <c r="R1241" s="1">
        <v>4</v>
      </c>
      <c r="T1241" s="1" t="s">
        <v>646</v>
      </c>
      <c r="U1241" s="186">
        <v>44959.33148148148</v>
      </c>
      <c r="V1241" s="1" t="s">
        <v>41</v>
      </c>
      <c r="W1241" s="1" t="s">
        <v>49</v>
      </c>
    </row>
    <row r="1242" spans="1:27" hidden="1">
      <c r="A1242" s="1">
        <v>9417398</v>
      </c>
      <c r="B1242" s="1" t="s">
        <v>101</v>
      </c>
      <c r="C1242" t="s">
        <v>643</v>
      </c>
      <c r="D1242" s="2">
        <v>230019037</v>
      </c>
      <c r="E1242" s="2">
        <v>244001400030</v>
      </c>
      <c r="F1242" s="1" t="s">
        <v>647</v>
      </c>
      <c r="G1242" s="1" t="s">
        <v>53</v>
      </c>
      <c r="H1242" s="1" t="s">
        <v>313</v>
      </c>
      <c r="I1242" s="1" t="s">
        <v>314</v>
      </c>
      <c r="J1242" s="1" t="s">
        <v>56</v>
      </c>
      <c r="K1242" t="s">
        <v>650</v>
      </c>
      <c r="M1242" s="1" t="s">
        <v>58</v>
      </c>
      <c r="N1242" s="1">
        <v>0</v>
      </c>
      <c r="O1242" s="1" t="s">
        <v>105</v>
      </c>
      <c r="P1242" s="186">
        <v>44958.331423611111</v>
      </c>
      <c r="R1242" s="1">
        <v>4</v>
      </c>
      <c r="T1242" s="1" t="s">
        <v>646</v>
      </c>
      <c r="U1242" s="186">
        <v>44959.331423611111</v>
      </c>
      <c r="V1242" s="1" t="s">
        <v>41</v>
      </c>
      <c r="W1242" s="1" t="s">
        <v>49</v>
      </c>
    </row>
    <row r="1243" spans="1:27" hidden="1">
      <c r="A1243" s="1">
        <v>9417212</v>
      </c>
      <c r="B1243" s="1" t="s">
        <v>101</v>
      </c>
      <c r="C1243" t="s">
        <v>643</v>
      </c>
      <c r="D1243" s="2">
        <v>230018456</v>
      </c>
      <c r="E1243" s="2">
        <v>2988001400010</v>
      </c>
      <c r="F1243" s="1" t="s">
        <v>936</v>
      </c>
      <c r="G1243" s="1" t="s">
        <v>53</v>
      </c>
      <c r="H1243" s="1" t="s">
        <v>536</v>
      </c>
      <c r="I1243" s="1" t="s">
        <v>537</v>
      </c>
      <c r="J1243" s="1" t="s">
        <v>46</v>
      </c>
      <c r="K1243" t="s">
        <v>937</v>
      </c>
      <c r="M1243" s="1" t="s">
        <v>58</v>
      </c>
      <c r="N1243" s="1">
        <v>0</v>
      </c>
      <c r="O1243" s="1" t="s">
        <v>105</v>
      </c>
      <c r="P1243" s="186">
        <v>44958.319374999999</v>
      </c>
      <c r="R1243" s="1">
        <v>3</v>
      </c>
      <c r="T1243" s="1" t="s">
        <v>646</v>
      </c>
      <c r="U1243" s="186">
        <v>44959.319374999999</v>
      </c>
      <c r="V1243" s="1" t="s">
        <v>41</v>
      </c>
      <c r="W1243" s="1" t="s">
        <v>49</v>
      </c>
    </row>
    <row r="1244" spans="1:27" hidden="1">
      <c r="A1244" s="1">
        <v>9417149</v>
      </c>
      <c r="B1244" s="1" t="s">
        <v>101</v>
      </c>
      <c r="C1244" t="s">
        <v>643</v>
      </c>
      <c r="D1244" s="2">
        <v>230018509</v>
      </c>
      <c r="E1244" s="2">
        <v>3108011400010</v>
      </c>
      <c r="F1244" s="1" t="s">
        <v>936</v>
      </c>
      <c r="G1244" s="1" t="s">
        <v>53</v>
      </c>
      <c r="H1244" s="1" t="s">
        <v>503</v>
      </c>
      <c r="I1244" s="1" t="s">
        <v>504</v>
      </c>
      <c r="J1244" s="1" t="s">
        <v>46</v>
      </c>
      <c r="K1244" t="s">
        <v>937</v>
      </c>
      <c r="M1244" s="1" t="s">
        <v>58</v>
      </c>
      <c r="N1244" s="1">
        <v>0</v>
      </c>
      <c r="O1244" s="1" t="s">
        <v>105</v>
      </c>
      <c r="P1244" s="186">
        <v>44958.315439814818</v>
      </c>
      <c r="R1244" s="1">
        <v>3</v>
      </c>
      <c r="T1244" s="1" t="s">
        <v>646</v>
      </c>
      <c r="U1244" s="186">
        <v>44959.315439814818</v>
      </c>
      <c r="V1244" s="1" t="s">
        <v>41</v>
      </c>
      <c r="W1244" s="1" t="s">
        <v>49</v>
      </c>
    </row>
    <row r="1245" spans="1:27" hidden="1">
      <c r="A1245" s="1">
        <v>9417113</v>
      </c>
      <c r="B1245" s="1" t="s">
        <v>101</v>
      </c>
      <c r="C1245" t="s">
        <v>643</v>
      </c>
      <c r="D1245" s="2">
        <v>230018311</v>
      </c>
      <c r="E1245" s="2">
        <v>2590001400010</v>
      </c>
      <c r="F1245" s="1" t="s">
        <v>936</v>
      </c>
      <c r="G1245" s="1" t="s">
        <v>53</v>
      </c>
      <c r="H1245" s="1" t="s">
        <v>394</v>
      </c>
      <c r="I1245" s="1" t="s">
        <v>395</v>
      </c>
      <c r="J1245" s="1" t="s">
        <v>148</v>
      </c>
      <c r="K1245" t="s">
        <v>937</v>
      </c>
      <c r="M1245" s="1" t="s">
        <v>58</v>
      </c>
      <c r="N1245" s="1">
        <v>0</v>
      </c>
      <c r="O1245" s="1" t="s">
        <v>105</v>
      </c>
      <c r="P1245" s="186">
        <v>44958.312662037039</v>
      </c>
      <c r="R1245" s="1">
        <v>3</v>
      </c>
      <c r="T1245" s="1" t="s">
        <v>646</v>
      </c>
      <c r="U1245" s="186">
        <v>44959.312662037039</v>
      </c>
      <c r="V1245" s="1" t="s">
        <v>41</v>
      </c>
      <c r="W1245" s="1" t="s">
        <v>49</v>
      </c>
    </row>
    <row r="1246" spans="1:27" hidden="1">
      <c r="A1246" s="1">
        <v>9417043</v>
      </c>
      <c r="B1246" s="1" t="s">
        <v>101</v>
      </c>
      <c r="C1246" t="s">
        <v>643</v>
      </c>
      <c r="D1246" s="2">
        <v>230018262</v>
      </c>
      <c r="E1246" s="2">
        <v>2422001400010</v>
      </c>
      <c r="F1246" s="1" t="s">
        <v>936</v>
      </c>
      <c r="G1246" s="1" t="s">
        <v>53</v>
      </c>
      <c r="H1246" s="1" t="s">
        <v>1844</v>
      </c>
      <c r="I1246" s="1" t="s">
        <v>1845</v>
      </c>
      <c r="J1246" s="1" t="s">
        <v>211</v>
      </c>
      <c r="K1246" t="s">
        <v>937</v>
      </c>
      <c r="M1246" s="1" t="s">
        <v>58</v>
      </c>
      <c r="N1246" s="1">
        <v>0</v>
      </c>
      <c r="O1246" s="1" t="s">
        <v>105</v>
      </c>
      <c r="P1246" s="186">
        <v>44958.308923611112</v>
      </c>
      <c r="R1246" s="1">
        <v>3</v>
      </c>
      <c r="T1246" s="1" t="s">
        <v>646</v>
      </c>
      <c r="U1246" s="186">
        <v>44959.308923611112</v>
      </c>
      <c r="V1246" s="1" t="s">
        <v>41</v>
      </c>
      <c r="W1246" s="1" t="s">
        <v>49</v>
      </c>
    </row>
    <row r="1247" spans="1:27" hidden="1">
      <c r="A1247" s="1">
        <v>9416985</v>
      </c>
      <c r="B1247" s="1" t="s">
        <v>101</v>
      </c>
      <c r="C1247" t="s">
        <v>643</v>
      </c>
      <c r="D1247" s="2">
        <v>230018075</v>
      </c>
      <c r="E1247" s="2">
        <v>1838001400010</v>
      </c>
      <c r="F1247" s="1" t="s">
        <v>936</v>
      </c>
      <c r="G1247" s="1" t="s">
        <v>53</v>
      </c>
      <c r="H1247" s="1" t="s">
        <v>357</v>
      </c>
      <c r="I1247" s="1" t="s">
        <v>358</v>
      </c>
      <c r="J1247" s="1" t="s">
        <v>46</v>
      </c>
      <c r="K1247" t="s">
        <v>937</v>
      </c>
      <c r="M1247" s="1" t="s">
        <v>58</v>
      </c>
      <c r="N1247" s="1">
        <v>0</v>
      </c>
      <c r="O1247" s="1" t="s">
        <v>105</v>
      </c>
      <c r="P1247" s="186">
        <v>44958.306064814817</v>
      </c>
      <c r="R1247" s="1">
        <v>3</v>
      </c>
      <c r="T1247" s="1" t="s">
        <v>646</v>
      </c>
      <c r="U1247" s="186">
        <v>44959.306064814817</v>
      </c>
      <c r="V1247" s="1" t="s">
        <v>41</v>
      </c>
      <c r="W1247" s="1" t="s">
        <v>49</v>
      </c>
    </row>
    <row r="1248" spans="1:27" hidden="1">
      <c r="A1248" s="1">
        <v>9416984</v>
      </c>
      <c r="B1248" s="1" t="s">
        <v>101</v>
      </c>
      <c r="C1248" t="s">
        <v>643</v>
      </c>
      <c r="D1248" s="2">
        <v>230018074</v>
      </c>
      <c r="E1248" s="2">
        <v>1837001400010</v>
      </c>
      <c r="F1248" s="1" t="s">
        <v>936</v>
      </c>
      <c r="G1248" s="1" t="s">
        <v>53</v>
      </c>
      <c r="H1248" s="1" t="s">
        <v>1785</v>
      </c>
      <c r="I1248" s="1" t="s">
        <v>1786</v>
      </c>
      <c r="J1248" s="1" t="s">
        <v>46</v>
      </c>
      <c r="K1248" t="s">
        <v>937</v>
      </c>
      <c r="M1248" s="1" t="s">
        <v>58</v>
      </c>
      <c r="N1248" s="1">
        <v>0</v>
      </c>
      <c r="O1248" s="1" t="s">
        <v>105</v>
      </c>
      <c r="P1248" s="186">
        <v>44958.305995370371</v>
      </c>
      <c r="R1248" s="1">
        <v>3</v>
      </c>
      <c r="T1248" s="1" t="s">
        <v>646</v>
      </c>
      <c r="U1248" s="186">
        <v>44959.305995370371</v>
      </c>
      <c r="V1248" s="1" t="s">
        <v>41</v>
      </c>
      <c r="W1248" s="1" t="s">
        <v>49</v>
      </c>
    </row>
    <row r="1249" spans="1:23" hidden="1">
      <c r="A1249" s="1">
        <v>9416982</v>
      </c>
      <c r="B1249" s="1" t="s">
        <v>101</v>
      </c>
      <c r="C1249" t="s">
        <v>643</v>
      </c>
      <c r="D1249" s="2">
        <v>230018072</v>
      </c>
      <c r="E1249" s="2">
        <v>1835001400010</v>
      </c>
      <c r="F1249" s="1" t="s">
        <v>936</v>
      </c>
      <c r="G1249" s="1" t="s">
        <v>53</v>
      </c>
      <c r="H1249" s="1" t="s">
        <v>305</v>
      </c>
      <c r="I1249" s="1" t="s">
        <v>306</v>
      </c>
      <c r="J1249" s="1" t="s">
        <v>46</v>
      </c>
      <c r="K1249" t="s">
        <v>937</v>
      </c>
      <c r="M1249" s="1" t="s">
        <v>58</v>
      </c>
      <c r="N1249" s="1">
        <v>0</v>
      </c>
      <c r="O1249" s="1" t="s">
        <v>105</v>
      </c>
      <c r="P1249" s="186">
        <v>44958.305891203701</v>
      </c>
      <c r="R1249" s="1">
        <v>3</v>
      </c>
      <c r="T1249" s="1" t="s">
        <v>646</v>
      </c>
      <c r="U1249" s="186">
        <v>44959.305891203701</v>
      </c>
      <c r="V1249" s="1" t="s">
        <v>41</v>
      </c>
      <c r="W1249" s="1" t="s">
        <v>49</v>
      </c>
    </row>
    <row r="1250" spans="1:23" hidden="1">
      <c r="A1250" s="1">
        <v>9416980</v>
      </c>
      <c r="B1250" s="1" t="s">
        <v>101</v>
      </c>
      <c r="C1250" t="s">
        <v>643</v>
      </c>
      <c r="D1250" s="2">
        <v>230018070</v>
      </c>
      <c r="E1250" s="2">
        <v>1833001400010</v>
      </c>
      <c r="F1250" s="1" t="s">
        <v>936</v>
      </c>
      <c r="G1250" s="1" t="s">
        <v>53</v>
      </c>
      <c r="H1250" s="1" t="s">
        <v>369</v>
      </c>
      <c r="I1250" s="1" t="s">
        <v>370</v>
      </c>
      <c r="J1250" s="1" t="s">
        <v>46</v>
      </c>
      <c r="K1250" t="s">
        <v>937</v>
      </c>
      <c r="M1250" s="1" t="s">
        <v>58</v>
      </c>
      <c r="N1250" s="1">
        <v>0</v>
      </c>
      <c r="O1250" s="1" t="s">
        <v>105</v>
      </c>
      <c r="P1250" s="186">
        <v>44958.305787037039</v>
      </c>
      <c r="R1250" s="1">
        <v>3</v>
      </c>
      <c r="T1250" s="1" t="s">
        <v>646</v>
      </c>
      <c r="U1250" s="186">
        <v>44959.305787037039</v>
      </c>
      <c r="V1250" s="1" t="s">
        <v>41</v>
      </c>
      <c r="W1250" s="1" t="s">
        <v>49</v>
      </c>
    </row>
    <row r="1251" spans="1:23" hidden="1">
      <c r="A1251" s="1">
        <v>9416968</v>
      </c>
      <c r="B1251" s="1" t="s">
        <v>101</v>
      </c>
      <c r="C1251" t="s">
        <v>643</v>
      </c>
      <c r="D1251" s="2">
        <v>230018062</v>
      </c>
      <c r="E1251" s="2">
        <v>1814001400010</v>
      </c>
      <c r="F1251" s="1" t="s">
        <v>936</v>
      </c>
      <c r="G1251" s="1" t="s">
        <v>53</v>
      </c>
      <c r="H1251" s="1" t="s">
        <v>396</v>
      </c>
      <c r="I1251" s="1" t="s">
        <v>397</v>
      </c>
      <c r="J1251" s="1" t="s">
        <v>46</v>
      </c>
      <c r="K1251" t="s">
        <v>937</v>
      </c>
      <c r="M1251" s="1" t="s">
        <v>58</v>
      </c>
      <c r="N1251" s="1">
        <v>0</v>
      </c>
      <c r="O1251" s="1" t="s">
        <v>105</v>
      </c>
      <c r="P1251" s="186">
        <v>44958.30537037037</v>
      </c>
      <c r="R1251" s="1">
        <v>3</v>
      </c>
      <c r="T1251" s="1" t="s">
        <v>646</v>
      </c>
      <c r="U1251" s="186">
        <v>44959.30537037037</v>
      </c>
      <c r="V1251" s="1" t="s">
        <v>41</v>
      </c>
      <c r="W1251" s="1" t="s">
        <v>49</v>
      </c>
    </row>
    <row r="1252" spans="1:23" hidden="1">
      <c r="A1252" s="1">
        <v>9416942</v>
      </c>
      <c r="B1252" s="1" t="s">
        <v>101</v>
      </c>
      <c r="C1252" t="s">
        <v>643</v>
      </c>
      <c r="D1252" s="2">
        <v>230018044</v>
      </c>
      <c r="E1252" s="2">
        <v>1764001400010</v>
      </c>
      <c r="F1252" s="1" t="s">
        <v>936</v>
      </c>
      <c r="G1252" s="1" t="s">
        <v>53</v>
      </c>
      <c r="H1252" s="1" t="s">
        <v>722</v>
      </c>
      <c r="I1252" s="1" t="s">
        <v>723</v>
      </c>
      <c r="J1252" s="1" t="s">
        <v>90</v>
      </c>
      <c r="K1252" t="s">
        <v>937</v>
      </c>
      <c r="M1252" s="1" t="s">
        <v>58</v>
      </c>
      <c r="N1252" s="1">
        <v>0</v>
      </c>
      <c r="O1252" s="1" t="s">
        <v>105</v>
      </c>
      <c r="P1252" s="186">
        <v>44958.304444444446</v>
      </c>
      <c r="R1252" s="1">
        <v>3</v>
      </c>
      <c r="T1252" s="1" t="s">
        <v>646</v>
      </c>
      <c r="U1252" s="186">
        <v>44959.304444444446</v>
      </c>
      <c r="V1252" s="1" t="s">
        <v>41</v>
      </c>
      <c r="W1252" s="1" t="s">
        <v>49</v>
      </c>
    </row>
    <row r="1253" spans="1:23" hidden="1">
      <c r="A1253" s="1">
        <v>9416933</v>
      </c>
      <c r="B1253" s="1" t="s">
        <v>101</v>
      </c>
      <c r="C1253" t="s">
        <v>643</v>
      </c>
      <c r="D1253" s="2">
        <v>230018135</v>
      </c>
      <c r="E1253" s="2">
        <v>2138001400010</v>
      </c>
      <c r="F1253" s="1" t="s">
        <v>936</v>
      </c>
      <c r="G1253" s="1" t="s">
        <v>53</v>
      </c>
      <c r="H1253" s="1" t="s">
        <v>379</v>
      </c>
      <c r="I1253" s="1" t="s">
        <v>380</v>
      </c>
      <c r="J1253" s="1" t="s">
        <v>46</v>
      </c>
      <c r="K1253" t="s">
        <v>937</v>
      </c>
      <c r="M1253" s="1" t="s">
        <v>58</v>
      </c>
      <c r="N1253" s="1">
        <v>0</v>
      </c>
      <c r="O1253" s="1" t="s">
        <v>105</v>
      </c>
      <c r="P1253" s="186">
        <v>44958.303981481484</v>
      </c>
      <c r="R1253" s="1">
        <v>3</v>
      </c>
      <c r="T1253" s="1" t="s">
        <v>646</v>
      </c>
      <c r="U1253" s="186">
        <v>44959.303981481484</v>
      </c>
      <c r="V1253" s="1" t="s">
        <v>41</v>
      </c>
      <c r="W1253" s="1" t="s">
        <v>49</v>
      </c>
    </row>
    <row r="1254" spans="1:23" hidden="1">
      <c r="A1254" s="1">
        <v>9416921</v>
      </c>
      <c r="B1254" s="1" t="s">
        <v>101</v>
      </c>
      <c r="C1254" t="s">
        <v>643</v>
      </c>
      <c r="D1254" s="2">
        <v>230018123</v>
      </c>
      <c r="E1254" s="2">
        <v>2107001400010</v>
      </c>
      <c r="F1254" s="1" t="s">
        <v>936</v>
      </c>
      <c r="G1254" s="1" t="s">
        <v>53</v>
      </c>
      <c r="H1254" s="1" t="s">
        <v>262</v>
      </c>
      <c r="I1254" s="1" t="s">
        <v>263</v>
      </c>
      <c r="J1254" s="1" t="s">
        <v>164</v>
      </c>
      <c r="K1254" t="s">
        <v>937</v>
      </c>
      <c r="M1254" s="1" t="s">
        <v>58</v>
      </c>
      <c r="N1254" s="1">
        <v>0</v>
      </c>
      <c r="O1254" s="1" t="s">
        <v>105</v>
      </c>
      <c r="P1254" s="186">
        <v>44958.303344907406</v>
      </c>
      <c r="R1254" s="1">
        <v>3</v>
      </c>
      <c r="T1254" s="1" t="s">
        <v>646</v>
      </c>
      <c r="U1254" s="186">
        <v>44959.303344907406</v>
      </c>
      <c r="V1254" s="1" t="s">
        <v>41</v>
      </c>
      <c r="W1254" s="1" t="s">
        <v>49</v>
      </c>
    </row>
    <row r="1255" spans="1:23" hidden="1">
      <c r="A1255" s="1">
        <v>9416908</v>
      </c>
      <c r="B1255" s="1" t="s">
        <v>101</v>
      </c>
      <c r="C1255" t="s">
        <v>643</v>
      </c>
      <c r="D1255" s="2">
        <v>230018110</v>
      </c>
      <c r="E1255" s="2">
        <v>2069001400010</v>
      </c>
      <c r="F1255" s="1" t="s">
        <v>936</v>
      </c>
      <c r="G1255" s="1" t="s">
        <v>53</v>
      </c>
      <c r="H1255" s="1" t="s">
        <v>557</v>
      </c>
      <c r="I1255" s="1" t="s">
        <v>558</v>
      </c>
      <c r="J1255" s="1" t="s">
        <v>90</v>
      </c>
      <c r="K1255" t="s">
        <v>937</v>
      </c>
      <c r="M1255" s="1" t="s">
        <v>58</v>
      </c>
      <c r="N1255" s="1">
        <v>0</v>
      </c>
      <c r="O1255" s="1" t="s">
        <v>105</v>
      </c>
      <c r="P1255" s="186">
        <v>44958.302662037036</v>
      </c>
      <c r="R1255" s="1">
        <v>3</v>
      </c>
      <c r="T1255" s="1" t="s">
        <v>646</v>
      </c>
      <c r="U1255" s="186">
        <v>44959.302662037036</v>
      </c>
      <c r="V1255" s="1" t="s">
        <v>41</v>
      </c>
      <c r="W1255" s="1" t="s">
        <v>49</v>
      </c>
    </row>
    <row r="1256" spans="1:23" hidden="1">
      <c r="A1256" s="1">
        <v>9416812</v>
      </c>
      <c r="B1256" s="1" t="s">
        <v>101</v>
      </c>
      <c r="C1256" t="s">
        <v>643</v>
      </c>
      <c r="D1256" s="2">
        <v>230017885</v>
      </c>
      <c r="E1256" s="2">
        <v>1421001400010</v>
      </c>
      <c r="F1256" s="1" t="s">
        <v>936</v>
      </c>
      <c r="G1256" s="1" t="s">
        <v>53</v>
      </c>
      <c r="H1256" s="1" t="s">
        <v>179</v>
      </c>
      <c r="I1256" s="1" t="s">
        <v>180</v>
      </c>
      <c r="J1256" s="1" t="s">
        <v>79</v>
      </c>
      <c r="K1256" t="s">
        <v>937</v>
      </c>
      <c r="M1256" s="1" t="s">
        <v>58</v>
      </c>
      <c r="N1256" s="1">
        <v>0</v>
      </c>
      <c r="O1256" s="1" t="s">
        <v>105</v>
      </c>
      <c r="P1256" s="186">
        <v>44958.298009259262</v>
      </c>
      <c r="R1256" s="1">
        <v>3</v>
      </c>
      <c r="T1256" s="1" t="s">
        <v>646</v>
      </c>
      <c r="U1256" s="186">
        <v>44959.298020833332</v>
      </c>
      <c r="V1256" s="1" t="s">
        <v>41</v>
      </c>
      <c r="W1256" s="1" t="s">
        <v>49</v>
      </c>
    </row>
    <row r="1257" spans="1:23" hidden="1">
      <c r="A1257" s="1">
        <v>9416765</v>
      </c>
      <c r="B1257" s="1" t="s">
        <v>101</v>
      </c>
      <c r="C1257" t="s">
        <v>643</v>
      </c>
      <c r="D1257" s="2">
        <v>230017755</v>
      </c>
      <c r="E1257" s="2">
        <v>1059001400010</v>
      </c>
      <c r="F1257" s="1" t="s">
        <v>936</v>
      </c>
      <c r="G1257" s="1" t="s">
        <v>53</v>
      </c>
      <c r="H1257" s="1" t="s">
        <v>88</v>
      </c>
      <c r="I1257" s="1" t="s">
        <v>89</v>
      </c>
      <c r="J1257" s="1" t="s">
        <v>90</v>
      </c>
      <c r="K1257" t="s">
        <v>937</v>
      </c>
      <c r="M1257" s="1" t="s">
        <v>58</v>
      </c>
      <c r="N1257" s="1">
        <v>0</v>
      </c>
      <c r="O1257" s="1" t="s">
        <v>105</v>
      </c>
      <c r="P1257" s="186">
        <v>44958.295763888891</v>
      </c>
      <c r="R1257" s="1">
        <v>3</v>
      </c>
      <c r="T1257" s="1" t="s">
        <v>646</v>
      </c>
      <c r="U1257" s="186">
        <v>44959.295763888891</v>
      </c>
      <c r="V1257" s="1" t="s">
        <v>41</v>
      </c>
      <c r="W1257" s="1" t="s">
        <v>49</v>
      </c>
    </row>
    <row r="1258" spans="1:23" hidden="1">
      <c r="A1258" s="1">
        <v>9416764</v>
      </c>
      <c r="B1258" s="1" t="s">
        <v>101</v>
      </c>
      <c r="C1258" t="s">
        <v>643</v>
      </c>
      <c r="D1258" s="2">
        <v>230017754</v>
      </c>
      <c r="E1258" s="2">
        <v>1058001400010</v>
      </c>
      <c r="F1258" s="1" t="s">
        <v>936</v>
      </c>
      <c r="G1258" s="1" t="s">
        <v>53</v>
      </c>
      <c r="H1258" s="1" t="s">
        <v>289</v>
      </c>
      <c r="I1258" s="1" t="s">
        <v>290</v>
      </c>
      <c r="J1258" s="1" t="s">
        <v>56</v>
      </c>
      <c r="K1258" t="s">
        <v>937</v>
      </c>
      <c r="M1258" s="1" t="s">
        <v>58</v>
      </c>
      <c r="N1258" s="1">
        <v>0</v>
      </c>
      <c r="O1258" s="1" t="s">
        <v>105</v>
      </c>
      <c r="P1258" s="186">
        <v>44958.295717592591</v>
      </c>
      <c r="R1258" s="1">
        <v>3</v>
      </c>
      <c r="T1258" s="1" t="s">
        <v>646</v>
      </c>
      <c r="U1258" s="186">
        <v>44959.295717592591</v>
      </c>
      <c r="V1258" s="1" t="s">
        <v>41</v>
      </c>
      <c r="W1258" s="1" t="s">
        <v>49</v>
      </c>
    </row>
    <row r="1259" spans="1:23" hidden="1">
      <c r="A1259" s="1">
        <v>9416746</v>
      </c>
      <c r="B1259" s="1" t="s">
        <v>101</v>
      </c>
      <c r="C1259" t="s">
        <v>643</v>
      </c>
      <c r="D1259" s="2">
        <v>230017740</v>
      </c>
      <c r="E1259" s="2">
        <v>1028001400010</v>
      </c>
      <c r="F1259" s="1" t="s">
        <v>936</v>
      </c>
      <c r="G1259" s="1" t="s">
        <v>53</v>
      </c>
      <c r="H1259" s="1" t="s">
        <v>1079</v>
      </c>
      <c r="I1259" s="1" t="s">
        <v>1080</v>
      </c>
      <c r="J1259" s="1" t="s">
        <v>85</v>
      </c>
      <c r="K1259" t="s">
        <v>937</v>
      </c>
      <c r="M1259" s="1" t="s">
        <v>58</v>
      </c>
      <c r="N1259" s="1">
        <v>0</v>
      </c>
      <c r="O1259" s="1" t="s">
        <v>105</v>
      </c>
      <c r="P1259" s="186">
        <v>44958.294976851852</v>
      </c>
      <c r="R1259" s="1">
        <v>3</v>
      </c>
      <c r="T1259" s="1" t="s">
        <v>646</v>
      </c>
      <c r="U1259" s="186">
        <v>44959.294976851852</v>
      </c>
      <c r="V1259" s="1" t="s">
        <v>41</v>
      </c>
      <c r="W1259" s="1" t="s">
        <v>49</v>
      </c>
    </row>
    <row r="1260" spans="1:23" hidden="1">
      <c r="A1260" s="1">
        <v>9416578</v>
      </c>
      <c r="B1260" s="1" t="s">
        <v>101</v>
      </c>
      <c r="C1260" t="s">
        <v>643</v>
      </c>
      <c r="D1260" s="2">
        <v>230017619</v>
      </c>
      <c r="E1260" s="2">
        <v>711001400010</v>
      </c>
      <c r="F1260" s="1" t="s">
        <v>936</v>
      </c>
      <c r="G1260" s="1" t="s">
        <v>53</v>
      </c>
      <c r="H1260" s="1" t="s">
        <v>77</v>
      </c>
      <c r="I1260" s="1" t="s">
        <v>78</v>
      </c>
      <c r="J1260" s="1" t="s">
        <v>79</v>
      </c>
      <c r="K1260" t="s">
        <v>937</v>
      </c>
      <c r="M1260" s="1" t="s">
        <v>58</v>
      </c>
      <c r="N1260" s="1">
        <v>0</v>
      </c>
      <c r="O1260" s="1" t="s">
        <v>105</v>
      </c>
      <c r="P1260" s="186">
        <v>44958.286782407406</v>
      </c>
      <c r="R1260" s="1">
        <v>3</v>
      </c>
      <c r="T1260" s="1" t="s">
        <v>646</v>
      </c>
      <c r="U1260" s="186">
        <v>44959.286782407406</v>
      </c>
      <c r="V1260" s="1" t="s">
        <v>41</v>
      </c>
      <c r="W1260" s="1" t="s">
        <v>49</v>
      </c>
    </row>
    <row r="1261" spans="1:23" hidden="1">
      <c r="A1261" s="1">
        <v>9416566</v>
      </c>
      <c r="B1261" s="1" t="s">
        <v>101</v>
      </c>
      <c r="C1261" t="s">
        <v>643</v>
      </c>
      <c r="D1261" s="2">
        <v>230017592</v>
      </c>
      <c r="E1261" s="2">
        <v>605001400010</v>
      </c>
      <c r="F1261" s="1" t="s">
        <v>936</v>
      </c>
      <c r="G1261" s="1" t="s">
        <v>53</v>
      </c>
      <c r="H1261" s="1" t="s">
        <v>420</v>
      </c>
      <c r="I1261" s="1" t="s">
        <v>421</v>
      </c>
      <c r="J1261" s="1" t="s">
        <v>90</v>
      </c>
      <c r="K1261" t="s">
        <v>937</v>
      </c>
      <c r="M1261" s="1" t="s">
        <v>58</v>
      </c>
      <c r="N1261" s="1">
        <v>0</v>
      </c>
      <c r="O1261" s="1" t="s">
        <v>105</v>
      </c>
      <c r="P1261" s="186">
        <v>44958.286145833335</v>
      </c>
      <c r="R1261" s="1">
        <v>3</v>
      </c>
      <c r="T1261" s="1" t="s">
        <v>646</v>
      </c>
      <c r="U1261" s="186">
        <v>44959.286145833335</v>
      </c>
      <c r="V1261" s="1" t="s">
        <v>41</v>
      </c>
      <c r="W1261" s="1" t="s">
        <v>49</v>
      </c>
    </row>
    <row r="1262" spans="1:23" hidden="1">
      <c r="A1262" s="1">
        <v>9416563</v>
      </c>
      <c r="B1262" s="1" t="s">
        <v>101</v>
      </c>
      <c r="C1262" t="s">
        <v>643</v>
      </c>
      <c r="D1262" s="2">
        <v>230017589</v>
      </c>
      <c r="E1262" s="2">
        <v>600001400010</v>
      </c>
      <c r="F1262" s="1" t="s">
        <v>936</v>
      </c>
      <c r="G1262" s="1" t="s">
        <v>53</v>
      </c>
      <c r="H1262" s="1" t="s">
        <v>1084</v>
      </c>
      <c r="I1262" s="1" t="s">
        <v>1085</v>
      </c>
      <c r="J1262" s="1" t="s">
        <v>90</v>
      </c>
      <c r="K1262" t="s">
        <v>937</v>
      </c>
      <c r="M1262" s="1" t="s">
        <v>58</v>
      </c>
      <c r="N1262" s="1">
        <v>0</v>
      </c>
      <c r="O1262" s="1" t="s">
        <v>105</v>
      </c>
      <c r="P1262" s="186">
        <v>44958.285995370374</v>
      </c>
      <c r="R1262" s="1">
        <v>3</v>
      </c>
      <c r="T1262" s="1" t="s">
        <v>646</v>
      </c>
      <c r="U1262" s="186">
        <v>44959.285995370374</v>
      </c>
      <c r="V1262" s="1" t="s">
        <v>41</v>
      </c>
      <c r="W1262" s="1" t="s">
        <v>49</v>
      </c>
    </row>
    <row r="1263" spans="1:23" hidden="1">
      <c r="A1263" s="1">
        <v>9416512</v>
      </c>
      <c r="B1263" s="1" t="s">
        <v>101</v>
      </c>
      <c r="C1263" t="s">
        <v>643</v>
      </c>
      <c r="D1263" s="2">
        <v>230017447</v>
      </c>
      <c r="E1263" s="2">
        <v>115001400010</v>
      </c>
      <c r="F1263" s="1" t="s">
        <v>936</v>
      </c>
      <c r="G1263" s="1" t="s">
        <v>53</v>
      </c>
      <c r="H1263" s="1" t="s">
        <v>542</v>
      </c>
      <c r="I1263" s="1" t="s">
        <v>543</v>
      </c>
      <c r="J1263" s="1" t="s">
        <v>56</v>
      </c>
      <c r="K1263" t="s">
        <v>937</v>
      </c>
      <c r="M1263" s="1" t="s">
        <v>58</v>
      </c>
      <c r="N1263" s="1">
        <v>0</v>
      </c>
      <c r="O1263" s="1" t="s">
        <v>105</v>
      </c>
      <c r="P1263" s="186">
        <v>44958.282407407409</v>
      </c>
      <c r="R1263" s="1">
        <v>3</v>
      </c>
      <c r="T1263" s="1" t="s">
        <v>646</v>
      </c>
      <c r="U1263" s="186">
        <v>44959.282418981478</v>
      </c>
      <c r="V1263" s="1" t="s">
        <v>41</v>
      </c>
      <c r="W1263" s="1" t="s">
        <v>49</v>
      </c>
    </row>
    <row r="1264" spans="1:23" hidden="1">
      <c r="A1264" s="1">
        <v>9416481</v>
      </c>
      <c r="B1264" s="1" t="s">
        <v>101</v>
      </c>
      <c r="C1264" t="s">
        <v>643</v>
      </c>
      <c r="D1264" s="2">
        <v>230017484</v>
      </c>
      <c r="E1264" s="2">
        <v>246001400010</v>
      </c>
      <c r="F1264" s="1" t="s">
        <v>936</v>
      </c>
      <c r="G1264" s="1" t="s">
        <v>53</v>
      </c>
      <c r="H1264" s="1" t="s">
        <v>1193</v>
      </c>
      <c r="I1264" s="1" t="s">
        <v>1194</v>
      </c>
      <c r="J1264" s="1" t="s">
        <v>85</v>
      </c>
      <c r="K1264" t="s">
        <v>937</v>
      </c>
      <c r="M1264" s="1" t="s">
        <v>58</v>
      </c>
      <c r="N1264" s="1">
        <v>0</v>
      </c>
      <c r="O1264" s="1" t="s">
        <v>105</v>
      </c>
      <c r="P1264" s="186">
        <v>44958.280856481484</v>
      </c>
      <c r="R1264" s="1">
        <v>3</v>
      </c>
      <c r="T1264" s="1" t="s">
        <v>646</v>
      </c>
      <c r="U1264" s="186">
        <v>44959.280856481484</v>
      </c>
      <c r="V1264" s="1" t="s">
        <v>41</v>
      </c>
      <c r="W1264" s="1" t="s">
        <v>49</v>
      </c>
    </row>
    <row r="1265" spans="1:23" hidden="1">
      <c r="A1265" s="1">
        <v>9416477</v>
      </c>
      <c r="B1265" s="1" t="s">
        <v>101</v>
      </c>
      <c r="C1265" t="s">
        <v>643</v>
      </c>
      <c r="D1265" s="2">
        <v>230017483</v>
      </c>
      <c r="E1265" s="2">
        <v>244001400010</v>
      </c>
      <c r="F1265" s="1" t="s">
        <v>936</v>
      </c>
      <c r="G1265" s="1" t="s">
        <v>53</v>
      </c>
      <c r="H1265" s="1" t="s">
        <v>313</v>
      </c>
      <c r="I1265" s="1" t="s">
        <v>314</v>
      </c>
      <c r="J1265" s="1" t="s">
        <v>56</v>
      </c>
      <c r="K1265" t="s">
        <v>937</v>
      </c>
      <c r="M1265" s="1" t="s">
        <v>58</v>
      </c>
      <c r="N1265" s="1">
        <v>0</v>
      </c>
      <c r="O1265" s="1" t="s">
        <v>105</v>
      </c>
      <c r="P1265" s="186">
        <v>44958.280798611115</v>
      </c>
      <c r="R1265" s="1">
        <v>3</v>
      </c>
      <c r="T1265" s="1" t="s">
        <v>646</v>
      </c>
      <c r="U1265" s="186">
        <v>44959.280810185184</v>
      </c>
      <c r="V1265" s="1" t="s">
        <v>41</v>
      </c>
      <c r="W1265" s="1" t="s">
        <v>49</v>
      </c>
    </row>
    <row r="1266" spans="1:23" hidden="1">
      <c r="A1266" s="1">
        <v>9416437</v>
      </c>
      <c r="B1266" s="1" t="s">
        <v>101</v>
      </c>
      <c r="C1266" t="s">
        <v>643</v>
      </c>
      <c r="D1266" s="2">
        <v>230017474</v>
      </c>
      <c r="E1266" s="2">
        <v>196001400010</v>
      </c>
      <c r="F1266" s="1" t="s">
        <v>936</v>
      </c>
      <c r="G1266" s="1" t="s">
        <v>53</v>
      </c>
      <c r="H1266" s="1" t="s">
        <v>1060</v>
      </c>
      <c r="I1266" s="1" t="s">
        <v>1061</v>
      </c>
      <c r="J1266" s="1" t="s">
        <v>79</v>
      </c>
      <c r="K1266" t="s">
        <v>937</v>
      </c>
      <c r="M1266" s="1" t="s">
        <v>58</v>
      </c>
      <c r="N1266" s="1">
        <v>0</v>
      </c>
      <c r="O1266" s="1" t="s">
        <v>105</v>
      </c>
      <c r="P1266" s="186">
        <v>44958.279178240744</v>
      </c>
      <c r="R1266" s="1">
        <v>3</v>
      </c>
      <c r="T1266" s="1" t="s">
        <v>646</v>
      </c>
      <c r="U1266" s="186">
        <v>44959.279178240744</v>
      </c>
      <c r="V1266" s="1" t="s">
        <v>41</v>
      </c>
      <c r="W1266" s="1" t="s">
        <v>49</v>
      </c>
    </row>
    <row r="1267" spans="1:23" hidden="1">
      <c r="A1267" s="173">
        <v>9428127</v>
      </c>
      <c r="B1267" s="173" t="s">
        <v>1153</v>
      </c>
      <c r="C1267" s="178" t="s">
        <v>3090</v>
      </c>
      <c r="D1267" s="174"/>
      <c r="E1267" s="174">
        <v>2590000206001</v>
      </c>
      <c r="F1267" s="173" t="s">
        <v>29</v>
      </c>
      <c r="G1267" s="173" t="s">
        <v>53</v>
      </c>
      <c r="H1267" s="173" t="s">
        <v>394</v>
      </c>
      <c r="I1267" s="173" t="s">
        <v>395</v>
      </c>
      <c r="J1267" s="173" t="s">
        <v>148</v>
      </c>
      <c r="K1267" t="s">
        <v>34</v>
      </c>
      <c r="M1267" s="1" t="s">
        <v>35</v>
      </c>
      <c r="N1267" s="1">
        <v>42318949</v>
      </c>
      <c r="O1267" s="1" t="s">
        <v>36</v>
      </c>
      <c r="P1267" s="186">
        <v>44959.625405092593</v>
      </c>
      <c r="R1267" s="1" t="s">
        <v>38</v>
      </c>
      <c r="T1267" s="1" t="s">
        <v>74</v>
      </c>
      <c r="U1267" s="186">
        <v>44988.649305555555</v>
      </c>
      <c r="V1267" s="1" t="s">
        <v>41</v>
      </c>
      <c r="W1267" s="1" t="s">
        <v>49</v>
      </c>
    </row>
    <row r="1268" spans="1:23" hidden="1">
      <c r="A1268" s="1">
        <v>9427703</v>
      </c>
      <c r="B1268" s="1" t="s">
        <v>1153</v>
      </c>
      <c r="C1268" t="s">
        <v>2335</v>
      </c>
      <c r="E1268" s="2">
        <v>1049000206001</v>
      </c>
      <c r="F1268" s="1" t="s">
        <v>29</v>
      </c>
      <c r="G1268" s="1" t="s">
        <v>53</v>
      </c>
      <c r="H1268" s="1" t="s">
        <v>169</v>
      </c>
      <c r="I1268" s="1" t="s">
        <v>170</v>
      </c>
      <c r="J1268" s="1" t="s">
        <v>164</v>
      </c>
      <c r="K1268" t="s">
        <v>34</v>
      </c>
      <c r="M1268" s="1" t="s">
        <v>35</v>
      </c>
      <c r="N1268" s="1">
        <v>42318949</v>
      </c>
      <c r="O1268" s="1" t="s">
        <v>36</v>
      </c>
      <c r="P1268" s="186">
        <v>44959.552835648145</v>
      </c>
      <c r="R1268" s="1" t="s">
        <v>38</v>
      </c>
      <c r="T1268" s="1" t="s">
        <v>74</v>
      </c>
      <c r="U1268" s="186">
        <v>44987.583333333336</v>
      </c>
      <c r="V1268" s="1" t="s">
        <v>41</v>
      </c>
      <c r="W1268" s="1" t="s">
        <v>49</v>
      </c>
    </row>
    <row r="1269" spans="1:23" hidden="1">
      <c r="A1269" s="175">
        <v>9426529</v>
      </c>
      <c r="B1269" s="175" t="s">
        <v>1153</v>
      </c>
      <c r="C1269" s="184" t="s">
        <v>3491</v>
      </c>
      <c r="D1269" s="177"/>
      <c r="E1269" s="177">
        <v>2125000206001</v>
      </c>
      <c r="F1269" s="175" t="s">
        <v>29</v>
      </c>
      <c r="G1269" s="175" t="s">
        <v>53</v>
      </c>
      <c r="H1269" s="175" t="s">
        <v>1399</v>
      </c>
      <c r="I1269" s="175" t="s">
        <v>1400</v>
      </c>
      <c r="J1269" s="175" t="s">
        <v>211</v>
      </c>
      <c r="K1269" t="s">
        <v>34</v>
      </c>
      <c r="M1269" s="1" t="s">
        <v>35</v>
      </c>
      <c r="N1269" s="1">
        <v>42318949</v>
      </c>
      <c r="O1269" s="1" t="s">
        <v>36</v>
      </c>
      <c r="P1269" s="186">
        <v>44959.417071759257</v>
      </c>
      <c r="R1269" s="1" t="s">
        <v>38</v>
      </c>
      <c r="T1269" s="1" t="s">
        <v>74</v>
      </c>
      <c r="U1269" s="186">
        <v>44985.625</v>
      </c>
      <c r="V1269" s="1" t="s">
        <v>41</v>
      </c>
      <c r="W1269" s="1" t="s">
        <v>49</v>
      </c>
    </row>
    <row r="1270" spans="1:23" hidden="1">
      <c r="A1270" s="1">
        <v>9426501</v>
      </c>
      <c r="B1270" s="1" t="s">
        <v>1153</v>
      </c>
      <c r="C1270" t="s">
        <v>2339</v>
      </c>
      <c r="D1270" s="2">
        <v>20235718000299</v>
      </c>
      <c r="E1270" s="2">
        <v>7417192423265</v>
      </c>
      <c r="F1270" s="1" t="s">
        <v>1727</v>
      </c>
      <c r="G1270" s="1" t="s">
        <v>53</v>
      </c>
      <c r="H1270" s="1" t="s">
        <v>1244</v>
      </c>
      <c r="I1270" s="1" t="s">
        <v>1245</v>
      </c>
      <c r="J1270" s="1" t="s">
        <v>46</v>
      </c>
      <c r="K1270" t="s">
        <v>1728</v>
      </c>
      <c r="M1270" s="1" t="s">
        <v>58</v>
      </c>
      <c r="N1270" s="1">
        <v>0</v>
      </c>
      <c r="O1270" s="1" t="s">
        <v>36</v>
      </c>
      <c r="P1270" s="186">
        <v>44959.396585648145</v>
      </c>
      <c r="R1270" s="1">
        <v>22</v>
      </c>
      <c r="T1270" s="1" t="s">
        <v>1160</v>
      </c>
      <c r="U1270" s="186">
        <v>44963.60491898148</v>
      </c>
      <c r="V1270" s="1" t="s">
        <v>41</v>
      </c>
      <c r="W1270" s="1" t="s">
        <v>49</v>
      </c>
    </row>
    <row r="1271" spans="1:23" hidden="1">
      <c r="A1271" s="1">
        <v>9433742</v>
      </c>
      <c r="B1271" s="1" t="s">
        <v>1153</v>
      </c>
      <c r="C1271" t="s">
        <v>2347</v>
      </c>
      <c r="D1271" s="2">
        <v>20234844000356</v>
      </c>
      <c r="E1271" s="2">
        <v>7419141894942</v>
      </c>
      <c r="F1271" s="1" t="s">
        <v>128</v>
      </c>
      <c r="G1271" s="1" t="s">
        <v>53</v>
      </c>
      <c r="H1271" s="1" t="s">
        <v>2348</v>
      </c>
      <c r="I1271" s="1" t="s">
        <v>2349</v>
      </c>
      <c r="J1271" s="1" t="s">
        <v>46</v>
      </c>
      <c r="K1271" t="s">
        <v>129</v>
      </c>
      <c r="M1271" s="1" t="s">
        <v>58</v>
      </c>
      <c r="N1271" s="1">
        <v>0</v>
      </c>
      <c r="O1271" s="1" t="s">
        <v>36</v>
      </c>
      <c r="P1271" s="186">
        <v>44960.745034722226</v>
      </c>
      <c r="R1271" s="1">
        <v>13</v>
      </c>
      <c r="T1271" s="1" t="s">
        <v>238</v>
      </c>
      <c r="U1271" s="186">
        <v>44963.395833333336</v>
      </c>
      <c r="V1271" s="1" t="s">
        <v>41</v>
      </c>
      <c r="W1271" s="1" t="s">
        <v>49</v>
      </c>
    </row>
    <row r="1272" spans="1:23" hidden="1">
      <c r="A1272" s="1">
        <v>9432437</v>
      </c>
      <c r="B1272" s="1" t="s">
        <v>62</v>
      </c>
      <c r="C1272" t="s">
        <v>2372</v>
      </c>
      <c r="E1272" s="2">
        <v>1833000206001</v>
      </c>
      <c r="F1272" s="1" t="s">
        <v>29</v>
      </c>
      <c r="G1272" s="1" t="s">
        <v>53</v>
      </c>
      <c r="H1272" s="1" t="s">
        <v>369</v>
      </c>
      <c r="I1272" s="1" t="s">
        <v>370</v>
      </c>
      <c r="J1272" s="1" t="s">
        <v>46</v>
      </c>
      <c r="K1272" t="s">
        <v>34</v>
      </c>
      <c r="M1272" s="1" t="s">
        <v>35</v>
      </c>
      <c r="N1272" s="1">
        <v>42318949</v>
      </c>
      <c r="O1272" s="1" t="s">
        <v>36</v>
      </c>
      <c r="P1272" s="186">
        <v>44960.545138888891</v>
      </c>
      <c r="R1272" s="1" t="s">
        <v>38</v>
      </c>
      <c r="T1272" s="1" t="s">
        <v>74</v>
      </c>
      <c r="U1272" s="186">
        <v>45005.75</v>
      </c>
      <c r="V1272" s="1" t="s">
        <v>41</v>
      </c>
      <c r="W1272" s="1" t="s">
        <v>49</v>
      </c>
    </row>
    <row r="1273" spans="1:23" hidden="1">
      <c r="A1273" s="1">
        <v>9432115</v>
      </c>
      <c r="B1273" s="1" t="s">
        <v>1153</v>
      </c>
      <c r="C1273" t="s">
        <v>2373</v>
      </c>
      <c r="D1273" s="2">
        <v>20232257000015</v>
      </c>
      <c r="E1273" s="2">
        <v>7417183022203</v>
      </c>
      <c r="F1273" s="1" t="s">
        <v>1313</v>
      </c>
      <c r="G1273" s="1" t="s">
        <v>53</v>
      </c>
      <c r="H1273" s="1" t="s">
        <v>2326</v>
      </c>
      <c r="I1273" s="1" t="s">
        <v>2327</v>
      </c>
      <c r="J1273" s="1" t="s">
        <v>110</v>
      </c>
      <c r="K1273" t="s">
        <v>1316</v>
      </c>
      <c r="M1273" s="1" t="s">
        <v>58</v>
      </c>
      <c r="N1273" s="1">
        <v>0</v>
      </c>
      <c r="O1273" s="1" t="s">
        <v>36</v>
      </c>
      <c r="P1273" s="186">
        <v>44960.487442129626</v>
      </c>
      <c r="R1273" s="1">
        <v>14</v>
      </c>
      <c r="T1273" s="1" t="s">
        <v>238</v>
      </c>
      <c r="U1273" s="186">
        <v>44960.487442129626</v>
      </c>
      <c r="V1273" s="1" t="s">
        <v>41</v>
      </c>
      <c r="W1273" s="1" t="s">
        <v>49</v>
      </c>
    </row>
    <row r="1274" spans="1:23" hidden="1">
      <c r="A1274" s="1">
        <v>9431494</v>
      </c>
      <c r="B1274" s="1" t="s">
        <v>1153</v>
      </c>
      <c r="C1274" t="s">
        <v>2378</v>
      </c>
      <c r="D1274" s="2">
        <v>20237712000002</v>
      </c>
      <c r="E1274" s="2">
        <v>7417193051914</v>
      </c>
      <c r="F1274" s="1" t="s">
        <v>1719</v>
      </c>
      <c r="G1274" s="1" t="s">
        <v>53</v>
      </c>
      <c r="H1274" s="1" t="s">
        <v>2379</v>
      </c>
      <c r="I1274" s="1" t="s">
        <v>2380</v>
      </c>
      <c r="J1274" s="1" t="s">
        <v>46</v>
      </c>
      <c r="K1274" t="s">
        <v>1720</v>
      </c>
      <c r="M1274" s="1" t="s">
        <v>58</v>
      </c>
      <c r="N1274" s="1">
        <v>0</v>
      </c>
      <c r="O1274" s="1" t="s">
        <v>36</v>
      </c>
      <c r="P1274" s="186">
        <v>44960.413449074076</v>
      </c>
      <c r="R1274" s="1">
        <v>22</v>
      </c>
      <c r="T1274" s="1" t="s">
        <v>1160</v>
      </c>
      <c r="U1274" s="186">
        <v>44964.621782407405</v>
      </c>
      <c r="V1274" s="1" t="s">
        <v>41</v>
      </c>
      <c r="W1274" s="1" t="s">
        <v>49</v>
      </c>
    </row>
    <row r="1275" spans="1:23" hidden="1">
      <c r="A1275" s="1">
        <v>9431491</v>
      </c>
      <c r="B1275" s="1" t="s">
        <v>1153</v>
      </c>
      <c r="C1275" t="s">
        <v>2383</v>
      </c>
      <c r="D1275" s="2">
        <v>20237712000001</v>
      </c>
      <c r="E1275" s="2">
        <v>7417193051942</v>
      </c>
      <c r="F1275" s="1" t="s">
        <v>1719</v>
      </c>
      <c r="G1275" s="1" t="s">
        <v>53</v>
      </c>
      <c r="H1275" s="1" t="s">
        <v>2379</v>
      </c>
      <c r="I1275" s="1" t="s">
        <v>2380</v>
      </c>
      <c r="J1275" s="1" t="s">
        <v>46</v>
      </c>
      <c r="K1275" t="s">
        <v>1720</v>
      </c>
      <c r="M1275" s="1" t="s">
        <v>58</v>
      </c>
      <c r="N1275" s="1">
        <v>0</v>
      </c>
      <c r="O1275" s="1" t="s">
        <v>36</v>
      </c>
      <c r="P1275" s="186">
        <v>44960.405636574076</v>
      </c>
      <c r="R1275" s="1">
        <v>22</v>
      </c>
      <c r="T1275" s="1" t="s">
        <v>1160</v>
      </c>
      <c r="U1275" s="186">
        <v>44964.613969907405</v>
      </c>
      <c r="V1275" s="1" t="s">
        <v>41</v>
      </c>
      <c r="W1275" s="1" t="s">
        <v>49</v>
      </c>
    </row>
    <row r="1276" spans="1:23" hidden="1">
      <c r="A1276" s="1">
        <v>9430989</v>
      </c>
      <c r="B1276" s="1" t="s">
        <v>62</v>
      </c>
      <c r="C1276" t="s">
        <v>2390</v>
      </c>
      <c r="E1276" s="2">
        <v>3258000206001</v>
      </c>
      <c r="F1276" s="1" t="s">
        <v>29</v>
      </c>
      <c r="G1276" s="1" t="s">
        <v>53</v>
      </c>
      <c r="H1276" s="1" t="s">
        <v>321</v>
      </c>
      <c r="I1276" s="1" t="s">
        <v>322</v>
      </c>
      <c r="J1276" s="1" t="s">
        <v>46</v>
      </c>
      <c r="K1276" t="s">
        <v>34</v>
      </c>
      <c r="M1276" s="1" t="s">
        <v>35</v>
      </c>
      <c r="N1276" s="1">
        <v>42318949</v>
      </c>
      <c r="O1276" s="1" t="s">
        <v>105</v>
      </c>
      <c r="P1276" s="186">
        <v>44960.342314814814</v>
      </c>
      <c r="R1276" s="1" t="s">
        <v>38</v>
      </c>
      <c r="T1276" s="1" t="s">
        <v>74</v>
      </c>
      <c r="U1276" s="186">
        <v>45005.75</v>
      </c>
      <c r="V1276" s="1" t="s">
        <v>41</v>
      </c>
      <c r="W1276" s="1" t="s">
        <v>49</v>
      </c>
    </row>
    <row r="1277" spans="1:23" hidden="1">
      <c r="A1277" s="1">
        <v>9445712</v>
      </c>
      <c r="B1277" s="1" t="s">
        <v>1153</v>
      </c>
      <c r="C1277" t="s">
        <v>2391</v>
      </c>
      <c r="D1277" s="2">
        <v>230024766</v>
      </c>
      <c r="E1277" s="2">
        <v>3924001400030</v>
      </c>
      <c r="F1277" s="1" t="s">
        <v>647</v>
      </c>
      <c r="G1277" s="1" t="s">
        <v>53</v>
      </c>
      <c r="H1277" s="1" t="s">
        <v>153</v>
      </c>
      <c r="I1277" s="1" t="s">
        <v>154</v>
      </c>
      <c r="J1277" s="1" t="s">
        <v>56</v>
      </c>
      <c r="K1277" t="s">
        <v>650</v>
      </c>
      <c r="M1277" s="1" t="s">
        <v>58</v>
      </c>
      <c r="N1277" s="1">
        <v>0</v>
      </c>
      <c r="O1277" s="1" t="s">
        <v>36</v>
      </c>
      <c r="P1277" s="186">
        <v>44963.712118055555</v>
      </c>
      <c r="R1277" s="1">
        <v>4</v>
      </c>
      <c r="T1277" s="1" t="s">
        <v>646</v>
      </c>
      <c r="U1277" s="186">
        <v>44970.729166666664</v>
      </c>
      <c r="V1277" s="1" t="s">
        <v>41</v>
      </c>
      <c r="W1277" s="1" t="s">
        <v>49</v>
      </c>
    </row>
    <row r="1278" spans="1:23" hidden="1">
      <c r="A1278" s="1">
        <v>9445662</v>
      </c>
      <c r="B1278" s="1" t="s">
        <v>1153</v>
      </c>
      <c r="C1278" t="s">
        <v>2398</v>
      </c>
      <c r="D1278" s="2">
        <v>20231153000011</v>
      </c>
      <c r="E1278" s="2">
        <v>7417163284286</v>
      </c>
      <c r="F1278" s="1" t="s">
        <v>131</v>
      </c>
      <c r="G1278" s="1" t="s">
        <v>53</v>
      </c>
      <c r="H1278" s="1" t="s">
        <v>2399</v>
      </c>
      <c r="I1278" s="1" t="s">
        <v>2400</v>
      </c>
      <c r="J1278" s="1" t="s">
        <v>79</v>
      </c>
      <c r="K1278" t="s">
        <v>132</v>
      </c>
      <c r="M1278" s="1" t="s">
        <v>58</v>
      </c>
      <c r="N1278" s="1">
        <v>0</v>
      </c>
      <c r="O1278" s="1" t="s">
        <v>36</v>
      </c>
      <c r="P1278" s="186">
        <v>44963.698900462965</v>
      </c>
      <c r="R1278" s="1">
        <v>14</v>
      </c>
      <c r="T1278" s="1" t="s">
        <v>238</v>
      </c>
      <c r="U1278" s="186">
        <v>44963.698900462965</v>
      </c>
      <c r="V1278" s="1" t="s">
        <v>41</v>
      </c>
      <c r="W1278" s="1" t="s">
        <v>49</v>
      </c>
    </row>
    <row r="1279" spans="1:23" hidden="1">
      <c r="A1279" s="1">
        <v>9444909</v>
      </c>
      <c r="B1279" s="1" t="s">
        <v>62</v>
      </c>
      <c r="C1279" t="s">
        <v>3627</v>
      </c>
      <c r="E1279" s="2">
        <v>2156000203000</v>
      </c>
      <c r="F1279" s="1" t="s">
        <v>454</v>
      </c>
      <c r="G1279" s="1" t="s">
        <v>53</v>
      </c>
      <c r="H1279" s="1" t="s">
        <v>278</v>
      </c>
      <c r="I1279" s="1" t="s">
        <v>279</v>
      </c>
      <c r="J1279" s="1" t="s">
        <v>211</v>
      </c>
      <c r="K1279" t="s">
        <v>457</v>
      </c>
      <c r="M1279" s="1" t="s">
        <v>58</v>
      </c>
      <c r="N1279" s="1">
        <v>0</v>
      </c>
      <c r="O1279" s="1" t="s">
        <v>105</v>
      </c>
      <c r="P1279" s="186">
        <v>44963.602916666663</v>
      </c>
      <c r="R1279" s="1">
        <v>1</v>
      </c>
      <c r="T1279" s="1" t="s">
        <v>157</v>
      </c>
      <c r="U1279" s="186">
        <v>44999.75</v>
      </c>
      <c r="V1279" s="1" t="s">
        <v>41</v>
      </c>
      <c r="W1279" s="1" t="s">
        <v>49</v>
      </c>
    </row>
    <row r="1280" spans="1:23" hidden="1">
      <c r="A1280" s="181">
        <v>9444862</v>
      </c>
      <c r="B1280" s="181" t="s">
        <v>1153</v>
      </c>
      <c r="C1280" s="182" t="s">
        <v>2417</v>
      </c>
      <c r="D1280" s="183">
        <v>20232437000020</v>
      </c>
      <c r="E1280" s="183">
        <v>7419141893534</v>
      </c>
      <c r="F1280" s="181" t="s">
        <v>128</v>
      </c>
      <c r="G1280" s="181" t="s">
        <v>53</v>
      </c>
      <c r="H1280" s="181" t="s">
        <v>2418</v>
      </c>
      <c r="I1280" s="181" t="s">
        <v>2419</v>
      </c>
      <c r="J1280" s="181" t="s">
        <v>211</v>
      </c>
      <c r="K1280" t="s">
        <v>129</v>
      </c>
      <c r="M1280" s="1" t="s">
        <v>58</v>
      </c>
      <c r="N1280" s="1">
        <v>0</v>
      </c>
      <c r="O1280" s="1" t="s">
        <v>36</v>
      </c>
      <c r="P1280" s="186">
        <v>44963.587824074071</v>
      </c>
      <c r="R1280" s="1">
        <v>14</v>
      </c>
      <c r="T1280" s="1" t="s">
        <v>238</v>
      </c>
      <c r="U1280" s="186">
        <v>44963.587824074071</v>
      </c>
      <c r="V1280" s="1" t="s">
        <v>41</v>
      </c>
      <c r="W1280" s="1" t="s">
        <v>49</v>
      </c>
    </row>
    <row r="1281" spans="1:23" hidden="1">
      <c r="A1281" s="1">
        <v>9443716</v>
      </c>
      <c r="B1281" s="1" t="s">
        <v>1153</v>
      </c>
      <c r="C1281" t="s">
        <v>2443</v>
      </c>
      <c r="D1281" s="2">
        <v>20234844000359</v>
      </c>
      <c r="E1281" s="2">
        <v>7417163283005</v>
      </c>
      <c r="F1281" s="1" t="s">
        <v>131</v>
      </c>
      <c r="G1281" s="1" t="s">
        <v>53</v>
      </c>
      <c r="H1281" s="1" t="s">
        <v>2444</v>
      </c>
      <c r="I1281" s="1" t="s">
        <v>2445</v>
      </c>
      <c r="J1281" s="1" t="s">
        <v>46</v>
      </c>
      <c r="K1281" t="s">
        <v>132</v>
      </c>
      <c r="M1281" s="1" t="s">
        <v>58</v>
      </c>
      <c r="N1281" s="1">
        <v>0</v>
      </c>
      <c r="O1281" s="1" t="s">
        <v>36</v>
      </c>
      <c r="P1281" s="186">
        <v>44963.445497685185</v>
      </c>
      <c r="R1281" s="1">
        <v>13</v>
      </c>
      <c r="T1281" s="1" t="s">
        <v>238</v>
      </c>
      <c r="U1281" s="186">
        <v>44963.445497685185</v>
      </c>
      <c r="V1281" s="1" t="s">
        <v>41</v>
      </c>
      <c r="W1281" s="1" t="s">
        <v>49</v>
      </c>
    </row>
    <row r="1282" spans="1:23" hidden="1">
      <c r="A1282" s="1">
        <v>9443139</v>
      </c>
      <c r="B1282" s="1" t="s">
        <v>27</v>
      </c>
      <c r="C1282" t="s">
        <v>2450</v>
      </c>
      <c r="E1282" s="2">
        <v>594000206001</v>
      </c>
      <c r="F1282" s="1" t="s">
        <v>29</v>
      </c>
      <c r="G1282" s="1" t="s">
        <v>53</v>
      </c>
      <c r="H1282" s="1" t="s">
        <v>444</v>
      </c>
      <c r="I1282" s="1" t="s">
        <v>445</v>
      </c>
      <c r="J1282" s="1" t="s">
        <v>33</v>
      </c>
      <c r="K1282" t="s">
        <v>34</v>
      </c>
      <c r="M1282" s="1" t="s">
        <v>35</v>
      </c>
      <c r="N1282" s="1">
        <v>42318949</v>
      </c>
      <c r="O1282" s="1" t="s">
        <v>36</v>
      </c>
      <c r="P1282" s="186">
        <v>44963.395509259259</v>
      </c>
      <c r="R1282" s="1" t="s">
        <v>38</v>
      </c>
      <c r="T1282" s="1" t="s">
        <v>74</v>
      </c>
      <c r="U1282" s="186">
        <v>44963.75</v>
      </c>
      <c r="V1282" s="1" t="s">
        <v>41</v>
      </c>
      <c r="W1282" s="1" t="s">
        <v>42</v>
      </c>
    </row>
    <row r="1283" spans="1:23" hidden="1">
      <c r="A1283" s="1">
        <v>9439699</v>
      </c>
      <c r="B1283" s="1" t="s">
        <v>1153</v>
      </c>
      <c r="C1283" t="s">
        <v>2465</v>
      </c>
      <c r="E1283" s="2">
        <v>1792000206001</v>
      </c>
      <c r="F1283" s="1" t="s">
        <v>29</v>
      </c>
      <c r="G1283" s="1" t="s">
        <v>53</v>
      </c>
      <c r="H1283" s="1" t="s">
        <v>467</v>
      </c>
      <c r="I1283" s="1" t="s">
        <v>468</v>
      </c>
      <c r="J1283" s="1" t="s">
        <v>110</v>
      </c>
      <c r="K1283" t="s">
        <v>34</v>
      </c>
      <c r="M1283" s="1" t="s">
        <v>35</v>
      </c>
      <c r="N1283" s="1">
        <v>42318949</v>
      </c>
      <c r="O1283" s="1" t="s">
        <v>36</v>
      </c>
      <c r="P1283" s="186">
        <v>44962.480300925927</v>
      </c>
      <c r="R1283" s="1" t="s">
        <v>38</v>
      </c>
      <c r="T1283" s="1" t="s">
        <v>74</v>
      </c>
      <c r="U1283" s="186">
        <v>44985.708333333336</v>
      </c>
      <c r="V1283" s="1" t="s">
        <v>41</v>
      </c>
      <c r="W1283" s="1" t="s">
        <v>49</v>
      </c>
    </row>
    <row r="1284" spans="1:23" hidden="1">
      <c r="A1284" s="1">
        <v>9439691</v>
      </c>
      <c r="B1284" s="1" t="s">
        <v>1153</v>
      </c>
      <c r="C1284" t="s">
        <v>2467</v>
      </c>
      <c r="E1284" s="2">
        <v>5898000206001</v>
      </c>
      <c r="F1284" s="1" t="s">
        <v>29</v>
      </c>
      <c r="G1284" s="1" t="s">
        <v>53</v>
      </c>
      <c r="H1284" s="1" t="s">
        <v>365</v>
      </c>
      <c r="I1284" s="1" t="s">
        <v>366</v>
      </c>
      <c r="J1284" s="1" t="s">
        <v>164</v>
      </c>
      <c r="K1284" t="s">
        <v>34</v>
      </c>
      <c r="M1284" s="1" t="s">
        <v>35</v>
      </c>
      <c r="N1284" s="1">
        <v>42318949</v>
      </c>
      <c r="O1284" s="1" t="s">
        <v>36</v>
      </c>
      <c r="P1284" s="186">
        <v>44962.479745370372</v>
      </c>
      <c r="R1284" s="1" t="s">
        <v>38</v>
      </c>
      <c r="T1284" s="1" t="s">
        <v>74</v>
      </c>
      <c r="U1284" s="186">
        <v>44984.625</v>
      </c>
      <c r="V1284" s="1" t="s">
        <v>41</v>
      </c>
      <c r="W1284" s="1" t="s">
        <v>49</v>
      </c>
    </row>
    <row r="1285" spans="1:23" hidden="1">
      <c r="A1285" s="1">
        <v>9439434</v>
      </c>
      <c r="B1285" s="1" t="s">
        <v>1153</v>
      </c>
      <c r="C1285" t="s">
        <v>2472</v>
      </c>
      <c r="E1285" s="2">
        <v>2564000203000</v>
      </c>
      <c r="F1285" s="1" t="s">
        <v>454</v>
      </c>
      <c r="G1285" s="1" t="s">
        <v>53</v>
      </c>
      <c r="H1285" s="1" t="s">
        <v>255</v>
      </c>
      <c r="I1285" s="1" t="s">
        <v>256</v>
      </c>
      <c r="J1285" s="1" t="s">
        <v>164</v>
      </c>
      <c r="K1285" t="s">
        <v>457</v>
      </c>
      <c r="M1285" s="1" t="s">
        <v>58</v>
      </c>
      <c r="N1285" s="1">
        <v>0</v>
      </c>
      <c r="O1285" s="1" t="s">
        <v>36</v>
      </c>
      <c r="P1285" s="186">
        <v>44962.427673611113</v>
      </c>
      <c r="R1285" s="1">
        <v>1</v>
      </c>
      <c r="T1285" s="1" t="s">
        <v>157</v>
      </c>
      <c r="U1285" s="186">
        <v>44963.427685185183</v>
      </c>
      <c r="V1285" s="1" t="s">
        <v>41</v>
      </c>
      <c r="W1285" s="1" t="s">
        <v>49</v>
      </c>
    </row>
    <row r="1286" spans="1:23" hidden="1">
      <c r="A1286" s="1">
        <v>9450561</v>
      </c>
      <c r="B1286" s="1" t="s">
        <v>1153</v>
      </c>
      <c r="C1286" t="s">
        <v>2492</v>
      </c>
      <c r="D1286" s="2">
        <v>20234844000396</v>
      </c>
      <c r="E1286" s="2">
        <v>7419141893520</v>
      </c>
      <c r="F1286" s="1" t="s">
        <v>128</v>
      </c>
      <c r="G1286" s="1" t="s">
        <v>53</v>
      </c>
      <c r="H1286" s="1" t="s">
        <v>2493</v>
      </c>
      <c r="I1286" s="1" t="s">
        <v>2494</v>
      </c>
      <c r="J1286" s="1" t="s">
        <v>46</v>
      </c>
      <c r="K1286" t="s">
        <v>129</v>
      </c>
      <c r="M1286" s="1" t="s">
        <v>58</v>
      </c>
      <c r="N1286" s="1">
        <v>0</v>
      </c>
      <c r="O1286" s="1" t="s">
        <v>36</v>
      </c>
      <c r="P1286" s="186">
        <v>44964.67046296296</v>
      </c>
      <c r="R1286" s="1">
        <v>13</v>
      </c>
      <c r="T1286" s="1" t="s">
        <v>238</v>
      </c>
      <c r="U1286" s="186">
        <v>44964.67046296296</v>
      </c>
      <c r="V1286" s="1" t="s">
        <v>41</v>
      </c>
      <c r="W1286" s="1" t="s">
        <v>49</v>
      </c>
    </row>
    <row r="1287" spans="1:23" hidden="1">
      <c r="A1287" s="1">
        <v>9450304</v>
      </c>
      <c r="B1287" s="1" t="s">
        <v>2497</v>
      </c>
      <c r="C1287" t="s">
        <v>2498</v>
      </c>
      <c r="E1287" s="2">
        <v>9406000206021</v>
      </c>
      <c r="F1287" s="1" t="s">
        <v>103</v>
      </c>
      <c r="G1287" s="1" t="s">
        <v>53</v>
      </c>
      <c r="H1287" s="1" t="s">
        <v>114</v>
      </c>
      <c r="I1287" s="1" t="s">
        <v>115</v>
      </c>
      <c r="J1287" s="1" t="s">
        <v>46</v>
      </c>
      <c r="K1287" t="s">
        <v>104</v>
      </c>
      <c r="M1287" s="1" t="s">
        <v>35</v>
      </c>
      <c r="N1287" s="1">
        <v>42318949</v>
      </c>
      <c r="O1287" s="1" t="s">
        <v>105</v>
      </c>
      <c r="P1287" s="186">
        <v>44964.660752314812</v>
      </c>
      <c r="R1287" s="1" t="s">
        <v>38</v>
      </c>
      <c r="T1287" s="1" t="s">
        <v>74</v>
      </c>
      <c r="U1287" s="186">
        <v>45007.75</v>
      </c>
      <c r="V1287" s="1" t="s">
        <v>41</v>
      </c>
      <c r="W1287" s="1" t="s">
        <v>49</v>
      </c>
    </row>
    <row r="1288" spans="1:23" hidden="1">
      <c r="A1288" s="1">
        <v>9449961</v>
      </c>
      <c r="B1288" s="1" t="s">
        <v>1153</v>
      </c>
      <c r="C1288" t="s">
        <v>2506</v>
      </c>
      <c r="D1288" s="2">
        <v>20230537000006</v>
      </c>
      <c r="E1288" s="2">
        <v>7417202021163</v>
      </c>
      <c r="F1288" s="1" t="s">
        <v>1213</v>
      </c>
      <c r="G1288" s="1" t="s">
        <v>53</v>
      </c>
      <c r="H1288" s="1" t="s">
        <v>2507</v>
      </c>
      <c r="I1288" s="1" t="s">
        <v>2508</v>
      </c>
      <c r="J1288" s="1" t="s">
        <v>79</v>
      </c>
      <c r="K1288" t="s">
        <v>1214</v>
      </c>
      <c r="M1288" s="1" t="s">
        <v>58</v>
      </c>
      <c r="N1288" s="1">
        <v>0</v>
      </c>
      <c r="O1288" s="1" t="s">
        <v>36</v>
      </c>
      <c r="P1288" s="186">
        <v>44964.585902777777</v>
      </c>
      <c r="R1288" s="1">
        <v>14</v>
      </c>
      <c r="T1288" s="1" t="s">
        <v>238</v>
      </c>
      <c r="U1288" s="186">
        <v>44964.585902777777</v>
      </c>
      <c r="V1288" s="1" t="s">
        <v>41</v>
      </c>
      <c r="W1288" s="1" t="s">
        <v>49</v>
      </c>
    </row>
    <row r="1289" spans="1:23" hidden="1">
      <c r="A1289" s="1">
        <v>9449888</v>
      </c>
      <c r="B1289" s="1" t="s">
        <v>1153</v>
      </c>
      <c r="C1289" t="s">
        <v>2510</v>
      </c>
      <c r="D1289" s="2">
        <v>20230582000007</v>
      </c>
      <c r="E1289" s="2">
        <v>7417183023862</v>
      </c>
      <c r="F1289" s="1" t="s">
        <v>1313</v>
      </c>
      <c r="G1289" s="1" t="s">
        <v>53</v>
      </c>
      <c r="H1289" s="1" t="s">
        <v>2511</v>
      </c>
      <c r="I1289" s="1" t="s">
        <v>2512</v>
      </c>
      <c r="J1289" s="1" t="s">
        <v>141</v>
      </c>
      <c r="K1289" t="s">
        <v>1316</v>
      </c>
      <c r="M1289" s="1" t="s">
        <v>58</v>
      </c>
      <c r="N1289" s="1">
        <v>0</v>
      </c>
      <c r="O1289" s="1" t="s">
        <v>36</v>
      </c>
      <c r="P1289" s="186">
        <v>44964.570497685185</v>
      </c>
      <c r="R1289" s="1">
        <v>14</v>
      </c>
      <c r="T1289" s="1" t="s">
        <v>238</v>
      </c>
      <c r="U1289" s="186">
        <v>44964.570497685185</v>
      </c>
      <c r="V1289" s="1" t="s">
        <v>41</v>
      </c>
      <c r="W1289" s="1" t="s">
        <v>49</v>
      </c>
    </row>
    <row r="1290" spans="1:23" hidden="1">
      <c r="A1290" s="1">
        <v>9449460</v>
      </c>
      <c r="B1290" s="1" t="s">
        <v>1153</v>
      </c>
      <c r="C1290" t="s">
        <v>2517</v>
      </c>
      <c r="D1290" s="2">
        <v>20234844000391</v>
      </c>
      <c r="E1290" s="2">
        <v>7417183020643</v>
      </c>
      <c r="F1290" s="1" t="s">
        <v>1313</v>
      </c>
      <c r="G1290" s="1" t="s">
        <v>53</v>
      </c>
      <c r="H1290" s="1" t="s">
        <v>2444</v>
      </c>
      <c r="I1290" s="1" t="s">
        <v>2445</v>
      </c>
      <c r="J1290" s="1" t="s">
        <v>46</v>
      </c>
      <c r="K1290" t="s">
        <v>1316</v>
      </c>
      <c r="M1290" s="1" t="s">
        <v>58</v>
      </c>
      <c r="N1290" s="1">
        <v>0</v>
      </c>
      <c r="O1290" s="1" t="s">
        <v>36</v>
      </c>
      <c r="P1290" s="186">
        <v>44964.514328703706</v>
      </c>
      <c r="R1290" s="1">
        <v>13</v>
      </c>
      <c r="T1290" s="1" t="s">
        <v>238</v>
      </c>
      <c r="U1290" s="186">
        <v>44964.514328703706</v>
      </c>
      <c r="V1290" s="1" t="s">
        <v>41</v>
      </c>
      <c r="W1290" s="1" t="s">
        <v>49</v>
      </c>
    </row>
    <row r="1291" spans="1:23" hidden="1">
      <c r="A1291" s="1">
        <v>9449450</v>
      </c>
      <c r="B1291" s="1" t="s">
        <v>1153</v>
      </c>
      <c r="C1291" t="s">
        <v>2519</v>
      </c>
      <c r="D1291" s="2">
        <v>20233433000006</v>
      </c>
      <c r="E1291" s="2">
        <v>7417191614659</v>
      </c>
      <c r="F1291" s="1" t="s">
        <v>1719</v>
      </c>
      <c r="G1291" s="1" t="s">
        <v>53</v>
      </c>
      <c r="H1291" s="1" t="s">
        <v>2520</v>
      </c>
      <c r="I1291" s="1" t="s">
        <v>2521</v>
      </c>
      <c r="J1291" s="1" t="s">
        <v>46</v>
      </c>
      <c r="K1291" t="s">
        <v>1720</v>
      </c>
      <c r="M1291" s="1" t="s">
        <v>58</v>
      </c>
      <c r="N1291" s="1">
        <v>0</v>
      </c>
      <c r="O1291" s="1" t="s">
        <v>36</v>
      </c>
      <c r="P1291" s="186">
        <v>44964.515879629631</v>
      </c>
      <c r="R1291" s="1">
        <v>22</v>
      </c>
      <c r="T1291" s="1" t="s">
        <v>1160</v>
      </c>
      <c r="U1291" s="186">
        <v>44966.724212962959</v>
      </c>
      <c r="V1291" s="1" t="s">
        <v>41</v>
      </c>
      <c r="W1291" s="1" t="s">
        <v>49</v>
      </c>
    </row>
    <row r="1292" spans="1:23" hidden="1">
      <c r="A1292" s="1">
        <v>9449339</v>
      </c>
      <c r="B1292" s="1" t="s">
        <v>1153</v>
      </c>
      <c r="C1292" t="s">
        <v>2527</v>
      </c>
      <c r="D1292" s="2">
        <v>20231120000005</v>
      </c>
      <c r="E1292" s="2">
        <v>7417163280559</v>
      </c>
      <c r="F1292" s="1" t="s">
        <v>131</v>
      </c>
      <c r="G1292" s="1" t="s">
        <v>53</v>
      </c>
      <c r="H1292" s="1" t="s">
        <v>2528</v>
      </c>
      <c r="I1292" s="1" t="s">
        <v>2529</v>
      </c>
      <c r="J1292" s="1" t="s">
        <v>164</v>
      </c>
      <c r="K1292" t="s">
        <v>132</v>
      </c>
      <c r="M1292" s="1" t="s">
        <v>58</v>
      </c>
      <c r="N1292" s="1">
        <v>0</v>
      </c>
      <c r="O1292" s="1" t="s">
        <v>36</v>
      </c>
      <c r="P1292" s="186">
        <v>44964.504212962966</v>
      </c>
      <c r="R1292" s="1">
        <v>14</v>
      </c>
      <c r="T1292" s="1" t="s">
        <v>238</v>
      </c>
      <c r="U1292" s="186">
        <v>44964.504212962966</v>
      </c>
      <c r="V1292" s="1" t="s">
        <v>41</v>
      </c>
      <c r="W1292" s="1" t="s">
        <v>49</v>
      </c>
    </row>
    <row r="1293" spans="1:23" hidden="1">
      <c r="A1293" s="1">
        <v>9449008</v>
      </c>
      <c r="B1293" s="1" t="s">
        <v>1153</v>
      </c>
      <c r="C1293" t="s">
        <v>2440</v>
      </c>
      <c r="D1293" s="2">
        <v>20234981000001</v>
      </c>
      <c r="E1293" s="2">
        <v>7419152405218</v>
      </c>
      <c r="F1293" s="1" t="s">
        <v>2533</v>
      </c>
      <c r="G1293" s="1" t="s">
        <v>53</v>
      </c>
      <c r="H1293" s="1" t="s">
        <v>2534</v>
      </c>
      <c r="I1293" s="1" t="s">
        <v>2535</v>
      </c>
      <c r="J1293" s="1" t="s">
        <v>46</v>
      </c>
      <c r="K1293" t="s">
        <v>2536</v>
      </c>
      <c r="M1293" s="1" t="s">
        <v>58</v>
      </c>
      <c r="N1293" s="1">
        <v>0</v>
      </c>
      <c r="O1293" s="1" t="s">
        <v>36</v>
      </c>
      <c r="P1293" s="186">
        <v>44964.451562499999</v>
      </c>
      <c r="R1293" s="1">
        <v>22</v>
      </c>
      <c r="T1293" s="1" t="s">
        <v>1160</v>
      </c>
      <c r="U1293" s="186">
        <v>44966.659895833334</v>
      </c>
      <c r="V1293" s="1" t="s">
        <v>41</v>
      </c>
      <c r="W1293" s="1" t="s">
        <v>49</v>
      </c>
    </row>
    <row r="1294" spans="1:23" hidden="1">
      <c r="A1294" s="175">
        <v>9448803</v>
      </c>
      <c r="B1294" s="175" t="s">
        <v>1153</v>
      </c>
      <c r="C1294" s="207" t="s">
        <v>3632</v>
      </c>
      <c r="D1294" s="177">
        <v>20232737000010</v>
      </c>
      <c r="E1294" s="177">
        <v>7417163284489</v>
      </c>
      <c r="F1294" s="175" t="s">
        <v>131</v>
      </c>
      <c r="G1294" s="175" t="s">
        <v>53</v>
      </c>
      <c r="H1294" s="175" t="s">
        <v>2544</v>
      </c>
      <c r="I1294" s="175" t="s">
        <v>2545</v>
      </c>
      <c r="J1294" s="175" t="s">
        <v>90</v>
      </c>
      <c r="K1294" t="s">
        <v>132</v>
      </c>
      <c r="M1294" s="1" t="s">
        <v>58</v>
      </c>
      <c r="N1294" s="1">
        <v>0</v>
      </c>
      <c r="O1294" s="1" t="s">
        <v>36</v>
      </c>
      <c r="P1294" s="186">
        <v>44964.431805555556</v>
      </c>
      <c r="R1294" s="1">
        <v>14</v>
      </c>
      <c r="T1294" s="1" t="s">
        <v>238</v>
      </c>
      <c r="U1294" s="186">
        <v>44964.431805555556</v>
      </c>
      <c r="V1294" s="1" t="s">
        <v>41</v>
      </c>
      <c r="W1294" s="1" t="s">
        <v>49</v>
      </c>
    </row>
    <row r="1295" spans="1:23" hidden="1">
      <c r="A1295" s="1">
        <v>9448626</v>
      </c>
      <c r="B1295" s="1" t="s">
        <v>1153</v>
      </c>
      <c r="C1295" t="s">
        <v>2555</v>
      </c>
      <c r="D1295" s="2">
        <v>20230710000007</v>
      </c>
      <c r="E1295" s="2">
        <v>7419141894913</v>
      </c>
      <c r="F1295" s="1" t="s">
        <v>128</v>
      </c>
      <c r="G1295" s="1" t="s">
        <v>53</v>
      </c>
      <c r="H1295" s="1" t="s">
        <v>2556</v>
      </c>
      <c r="I1295" s="1" t="s">
        <v>2557</v>
      </c>
      <c r="J1295" s="1" t="s">
        <v>56</v>
      </c>
      <c r="K1295" t="s">
        <v>129</v>
      </c>
      <c r="M1295" s="1" t="s">
        <v>58</v>
      </c>
      <c r="N1295" s="1">
        <v>0</v>
      </c>
      <c r="O1295" s="1" t="s">
        <v>36</v>
      </c>
      <c r="P1295" s="186">
        <v>44964.411261574074</v>
      </c>
      <c r="R1295" s="1">
        <v>14</v>
      </c>
      <c r="T1295" s="1" t="s">
        <v>238</v>
      </c>
      <c r="U1295" s="186">
        <v>44964.411261574074</v>
      </c>
      <c r="V1295" s="1" t="s">
        <v>41</v>
      </c>
      <c r="W1295" s="1" t="s">
        <v>49</v>
      </c>
    </row>
    <row r="1296" spans="1:23" hidden="1">
      <c r="A1296" s="1">
        <v>9455659</v>
      </c>
      <c r="B1296" s="1" t="s">
        <v>62</v>
      </c>
      <c r="C1296" t="s">
        <v>2582</v>
      </c>
      <c r="E1296" s="2">
        <v>3258000206001</v>
      </c>
      <c r="F1296" s="1" t="s">
        <v>29</v>
      </c>
      <c r="G1296" s="1" t="s">
        <v>53</v>
      </c>
      <c r="H1296" s="1" t="s">
        <v>321</v>
      </c>
      <c r="I1296" s="1" t="s">
        <v>322</v>
      </c>
      <c r="J1296" s="1" t="s">
        <v>46</v>
      </c>
      <c r="K1296" t="s">
        <v>34</v>
      </c>
      <c r="M1296" s="1" t="s">
        <v>35</v>
      </c>
      <c r="N1296" s="1">
        <v>42318949</v>
      </c>
      <c r="O1296" s="1" t="s">
        <v>105</v>
      </c>
      <c r="P1296" s="186">
        <v>44965.70653935185</v>
      </c>
      <c r="R1296" s="1" t="s">
        <v>38</v>
      </c>
      <c r="T1296" s="1" t="s">
        <v>74</v>
      </c>
      <c r="U1296" s="186">
        <v>45008.75</v>
      </c>
      <c r="V1296" s="1" t="s">
        <v>41</v>
      </c>
      <c r="W1296" s="1" t="s">
        <v>49</v>
      </c>
    </row>
    <row r="1297" spans="1:23" hidden="1">
      <c r="A1297" s="1">
        <v>9454830</v>
      </c>
      <c r="B1297" s="1" t="s">
        <v>1153</v>
      </c>
      <c r="C1297" t="s">
        <v>2594</v>
      </c>
      <c r="D1297" s="2">
        <v>20230582000008</v>
      </c>
      <c r="E1297" s="2">
        <v>7417183023985</v>
      </c>
      <c r="F1297" s="1" t="s">
        <v>1313</v>
      </c>
      <c r="G1297" s="1" t="s">
        <v>53</v>
      </c>
      <c r="H1297" s="1" t="s">
        <v>2511</v>
      </c>
      <c r="I1297" s="1" t="s">
        <v>2512</v>
      </c>
      <c r="J1297" s="1" t="s">
        <v>141</v>
      </c>
      <c r="K1297" t="s">
        <v>1316</v>
      </c>
      <c r="M1297" s="1" t="s">
        <v>58</v>
      </c>
      <c r="N1297" s="1">
        <v>0</v>
      </c>
      <c r="O1297" s="1" t="s">
        <v>36</v>
      </c>
      <c r="P1297" s="186">
        <v>44965.574340277781</v>
      </c>
      <c r="R1297" s="1">
        <v>14</v>
      </c>
      <c r="T1297" s="1" t="s">
        <v>238</v>
      </c>
      <c r="U1297" s="186">
        <v>44965.574340277781</v>
      </c>
      <c r="V1297" s="1" t="s">
        <v>41</v>
      </c>
      <c r="W1297" s="1" t="s">
        <v>49</v>
      </c>
    </row>
    <row r="1298" spans="1:23">
      <c r="A1298" s="181">
        <v>9454801</v>
      </c>
      <c r="B1298" s="181" t="s">
        <v>1153</v>
      </c>
      <c r="C1298" s="182" t="s">
        <v>3634</v>
      </c>
      <c r="D1298" s="183"/>
      <c r="E1298" s="183">
        <v>246000206021</v>
      </c>
      <c r="F1298" s="181" t="s">
        <v>103</v>
      </c>
      <c r="G1298" s="181" t="s">
        <v>53</v>
      </c>
      <c r="H1298" s="181" t="s">
        <v>1193</v>
      </c>
      <c r="I1298" s="181" t="s">
        <v>1194</v>
      </c>
      <c r="J1298" s="181" t="s">
        <v>85</v>
      </c>
      <c r="K1298" t="s">
        <v>104</v>
      </c>
      <c r="M1298" s="1" t="s">
        <v>58</v>
      </c>
      <c r="N1298" s="1">
        <v>0</v>
      </c>
      <c r="O1298" s="1" t="s">
        <v>36</v>
      </c>
      <c r="P1298" s="186">
        <v>44965.576979166668</v>
      </c>
      <c r="R1298" s="1" t="s">
        <v>38</v>
      </c>
      <c r="T1298" s="1" t="s">
        <v>74</v>
      </c>
      <c r="U1298" s="186">
        <v>44985.6875</v>
      </c>
      <c r="V1298" s="1" t="s">
        <v>41</v>
      </c>
      <c r="W1298" s="1" t="s">
        <v>49</v>
      </c>
    </row>
    <row r="1299" spans="1:23" hidden="1">
      <c r="A1299" s="1">
        <v>9453994</v>
      </c>
      <c r="B1299" s="1" t="s">
        <v>1153</v>
      </c>
      <c r="C1299" t="s">
        <v>2600</v>
      </c>
      <c r="E1299" s="2">
        <v>159000206001</v>
      </c>
      <c r="F1299" s="1" t="s">
        <v>29</v>
      </c>
      <c r="G1299" s="1" t="s">
        <v>53</v>
      </c>
      <c r="H1299" s="1" t="s">
        <v>331</v>
      </c>
      <c r="I1299" s="1" t="s">
        <v>332</v>
      </c>
      <c r="J1299" s="1" t="s">
        <v>79</v>
      </c>
      <c r="K1299" t="s">
        <v>34</v>
      </c>
      <c r="M1299" s="1" t="s">
        <v>35</v>
      </c>
      <c r="N1299" s="1">
        <v>42318949</v>
      </c>
      <c r="O1299" s="1" t="s">
        <v>36</v>
      </c>
      <c r="P1299" s="186">
        <v>44965.458784722221</v>
      </c>
      <c r="R1299" s="1" t="s">
        <v>38</v>
      </c>
      <c r="T1299" s="1" t="s">
        <v>74</v>
      </c>
      <c r="U1299" s="186">
        <v>44984.583333333336</v>
      </c>
      <c r="V1299" s="1" t="s">
        <v>41</v>
      </c>
      <c r="W1299" s="1" t="s">
        <v>49</v>
      </c>
    </row>
    <row r="1300" spans="1:23" hidden="1">
      <c r="A1300" s="181">
        <v>9453394</v>
      </c>
      <c r="B1300" s="181" t="s">
        <v>1153</v>
      </c>
      <c r="C1300" s="182" t="s">
        <v>3984</v>
      </c>
      <c r="D1300" s="183"/>
      <c r="E1300" s="183">
        <v>2125000206001</v>
      </c>
      <c r="F1300" s="181" t="s">
        <v>29</v>
      </c>
      <c r="G1300" s="181" t="s">
        <v>53</v>
      </c>
      <c r="H1300" s="181" t="s">
        <v>1399</v>
      </c>
      <c r="I1300" s="181" t="s">
        <v>1400</v>
      </c>
      <c r="J1300" s="181" t="s">
        <v>211</v>
      </c>
      <c r="K1300" t="s">
        <v>34</v>
      </c>
      <c r="M1300" s="1" t="s">
        <v>35</v>
      </c>
      <c r="N1300" s="1">
        <v>42318949</v>
      </c>
      <c r="O1300" s="1" t="s">
        <v>36</v>
      </c>
      <c r="P1300" s="186">
        <v>44965.39634259259</v>
      </c>
      <c r="R1300" s="1" t="s">
        <v>38</v>
      </c>
      <c r="T1300" s="1" t="s">
        <v>74</v>
      </c>
      <c r="U1300" s="186">
        <v>44984.583333333336</v>
      </c>
      <c r="V1300" s="1" t="s">
        <v>41</v>
      </c>
      <c r="W1300" s="1" t="s">
        <v>49</v>
      </c>
    </row>
    <row r="1301" spans="1:23" hidden="1">
      <c r="A1301" s="1">
        <v>9453118</v>
      </c>
      <c r="B1301" s="1" t="s">
        <v>1153</v>
      </c>
      <c r="C1301" t="s">
        <v>2619</v>
      </c>
      <c r="E1301" s="2">
        <v>1689000206001</v>
      </c>
      <c r="F1301" s="1" t="s">
        <v>29</v>
      </c>
      <c r="G1301" s="1" t="s">
        <v>53</v>
      </c>
      <c r="H1301" s="1" t="s">
        <v>2117</v>
      </c>
      <c r="I1301" s="1" t="s">
        <v>2118</v>
      </c>
      <c r="J1301" s="1" t="s">
        <v>79</v>
      </c>
      <c r="K1301" t="s">
        <v>34</v>
      </c>
      <c r="M1301" s="1" t="s">
        <v>35</v>
      </c>
      <c r="N1301" s="1">
        <v>42318949</v>
      </c>
      <c r="O1301" s="1" t="s">
        <v>36</v>
      </c>
      <c r="P1301" s="186">
        <v>44965.344780092593</v>
      </c>
      <c r="R1301" s="1" t="s">
        <v>38</v>
      </c>
      <c r="T1301" s="1" t="s">
        <v>74</v>
      </c>
      <c r="U1301" s="186">
        <v>44985.645833333336</v>
      </c>
      <c r="V1301" s="1" t="s">
        <v>41</v>
      </c>
      <c r="W1301" s="1" t="s">
        <v>49</v>
      </c>
    </row>
    <row r="1302" spans="1:23" hidden="1">
      <c r="A1302" s="1">
        <v>9453117</v>
      </c>
      <c r="B1302" s="1" t="s">
        <v>1153</v>
      </c>
      <c r="C1302" t="s">
        <v>2620</v>
      </c>
      <c r="E1302" s="2">
        <v>3924000206001</v>
      </c>
      <c r="F1302" s="1" t="s">
        <v>29</v>
      </c>
      <c r="G1302" s="1" t="s">
        <v>53</v>
      </c>
      <c r="H1302" s="1" t="s">
        <v>153</v>
      </c>
      <c r="I1302" s="1" t="s">
        <v>154</v>
      </c>
      <c r="J1302" s="1" t="s">
        <v>56</v>
      </c>
      <c r="K1302" t="s">
        <v>34</v>
      </c>
      <c r="M1302" s="1" t="s">
        <v>35</v>
      </c>
      <c r="N1302" s="1">
        <v>42318949</v>
      </c>
      <c r="O1302" s="1" t="s">
        <v>36</v>
      </c>
      <c r="P1302" s="186">
        <v>44965.344710648147</v>
      </c>
      <c r="R1302" s="1" t="s">
        <v>38</v>
      </c>
      <c r="T1302" s="1" t="s">
        <v>74</v>
      </c>
      <c r="U1302" s="186">
        <v>44979.708333333336</v>
      </c>
      <c r="V1302" s="1" t="s">
        <v>41</v>
      </c>
      <c r="W1302" s="1" t="s">
        <v>49</v>
      </c>
    </row>
    <row r="1303" spans="1:23" hidden="1">
      <c r="A1303" s="175">
        <v>9460910</v>
      </c>
      <c r="B1303" s="175" t="s">
        <v>1153</v>
      </c>
      <c r="C1303" s="184" t="s">
        <v>2622</v>
      </c>
      <c r="D1303" s="177">
        <v>20230068000017</v>
      </c>
      <c r="E1303" s="177">
        <v>7419141893515</v>
      </c>
      <c r="F1303" s="175" t="s">
        <v>128</v>
      </c>
      <c r="G1303" s="175" t="s">
        <v>53</v>
      </c>
      <c r="H1303" s="175" t="s">
        <v>2623</v>
      </c>
      <c r="I1303" s="175" t="s">
        <v>2624</v>
      </c>
      <c r="J1303" s="175" t="s">
        <v>211</v>
      </c>
      <c r="K1303" t="s">
        <v>129</v>
      </c>
      <c r="M1303" s="1" t="s">
        <v>58</v>
      </c>
      <c r="N1303" s="1">
        <v>0</v>
      </c>
      <c r="O1303" s="1" t="s">
        <v>36</v>
      </c>
      <c r="P1303" s="186">
        <v>44966.774004629631</v>
      </c>
      <c r="R1303" s="1">
        <v>14</v>
      </c>
      <c r="T1303" s="1" t="s">
        <v>238</v>
      </c>
      <c r="U1303" s="186">
        <v>44967.395833333336</v>
      </c>
      <c r="V1303" s="1" t="s">
        <v>41</v>
      </c>
      <c r="W1303" s="1" t="s">
        <v>49</v>
      </c>
    </row>
    <row r="1304" spans="1:23" hidden="1">
      <c r="A1304" s="1">
        <v>9460685</v>
      </c>
      <c r="B1304" s="1" t="s">
        <v>1153</v>
      </c>
      <c r="C1304" t="s">
        <v>2635</v>
      </c>
      <c r="D1304" s="2">
        <v>20234844000424</v>
      </c>
      <c r="E1304" s="2">
        <v>7417163285131</v>
      </c>
      <c r="F1304" s="1" t="s">
        <v>131</v>
      </c>
      <c r="G1304" s="1" t="s">
        <v>53</v>
      </c>
      <c r="H1304" s="1" t="s">
        <v>2632</v>
      </c>
      <c r="I1304" s="1" t="s">
        <v>2633</v>
      </c>
      <c r="J1304" s="1" t="s">
        <v>46</v>
      </c>
      <c r="K1304" t="s">
        <v>132</v>
      </c>
      <c r="M1304" s="1" t="s">
        <v>58</v>
      </c>
      <c r="N1304" s="1">
        <v>0</v>
      </c>
      <c r="O1304" s="1" t="s">
        <v>36</v>
      </c>
      <c r="P1304" s="186">
        <v>44966.719918981478</v>
      </c>
      <c r="R1304" s="1">
        <v>13</v>
      </c>
      <c r="T1304" s="1" t="s">
        <v>238</v>
      </c>
      <c r="U1304" s="186">
        <v>44967.395833333336</v>
      </c>
      <c r="V1304" s="1" t="s">
        <v>41</v>
      </c>
      <c r="W1304" s="1" t="s">
        <v>49</v>
      </c>
    </row>
    <row r="1305" spans="1:23">
      <c r="A1305" s="181">
        <v>9460624</v>
      </c>
      <c r="B1305" s="181" t="s">
        <v>1153</v>
      </c>
      <c r="C1305" s="182" t="s">
        <v>3637</v>
      </c>
      <c r="D1305" s="183"/>
      <c r="E1305" s="183">
        <v>246000206021</v>
      </c>
      <c r="F1305" s="181" t="s">
        <v>103</v>
      </c>
      <c r="G1305" s="181" t="s">
        <v>53</v>
      </c>
      <c r="H1305" s="181" t="s">
        <v>1193</v>
      </c>
      <c r="I1305" s="181" t="s">
        <v>1194</v>
      </c>
      <c r="J1305" s="181" t="s">
        <v>85</v>
      </c>
      <c r="K1305" t="s">
        <v>104</v>
      </c>
      <c r="M1305" s="1" t="s">
        <v>58</v>
      </c>
      <c r="N1305" s="1">
        <v>0</v>
      </c>
      <c r="O1305" s="1" t="s">
        <v>36</v>
      </c>
      <c r="P1305" s="186">
        <v>44966.72855324074</v>
      </c>
      <c r="R1305" s="1" t="s">
        <v>38</v>
      </c>
      <c r="T1305" s="1" t="s">
        <v>74</v>
      </c>
      <c r="U1305" s="186">
        <v>44984.649305555555</v>
      </c>
      <c r="V1305" s="1" t="s">
        <v>41</v>
      </c>
      <c r="W1305" s="1" t="s">
        <v>49</v>
      </c>
    </row>
    <row r="1306" spans="1:23" hidden="1">
      <c r="A1306" s="1">
        <v>9460265</v>
      </c>
      <c r="B1306" s="1" t="s">
        <v>1153</v>
      </c>
      <c r="C1306" t="s">
        <v>2649</v>
      </c>
      <c r="E1306" s="2">
        <v>1666000206001</v>
      </c>
      <c r="F1306" s="1" t="s">
        <v>29</v>
      </c>
      <c r="G1306" s="1" t="s">
        <v>53</v>
      </c>
      <c r="H1306" s="1" t="s">
        <v>414</v>
      </c>
      <c r="I1306" s="1" t="s">
        <v>415</v>
      </c>
      <c r="J1306" s="1" t="s">
        <v>79</v>
      </c>
      <c r="K1306" t="s">
        <v>34</v>
      </c>
      <c r="M1306" s="1" t="s">
        <v>35</v>
      </c>
      <c r="N1306" s="1">
        <v>42318949</v>
      </c>
      <c r="O1306" s="1" t="s">
        <v>36</v>
      </c>
      <c r="P1306" s="186">
        <v>44966.677407407406</v>
      </c>
      <c r="R1306" s="1" t="s">
        <v>38</v>
      </c>
      <c r="T1306" s="1" t="s">
        <v>74</v>
      </c>
      <c r="U1306" s="186">
        <v>44985.458333333336</v>
      </c>
      <c r="V1306" s="1" t="s">
        <v>41</v>
      </c>
      <c r="W1306" s="1" t="s">
        <v>49</v>
      </c>
    </row>
    <row r="1307" spans="1:23" hidden="1">
      <c r="A1307" s="1">
        <v>9460151</v>
      </c>
      <c r="B1307" s="1" t="s">
        <v>1153</v>
      </c>
      <c r="C1307" t="s">
        <v>2654</v>
      </c>
      <c r="D1307" s="2">
        <v>20234844000423</v>
      </c>
      <c r="E1307" s="2">
        <v>7417163284187</v>
      </c>
      <c r="F1307" s="1" t="s">
        <v>131</v>
      </c>
      <c r="G1307" s="1" t="s">
        <v>53</v>
      </c>
      <c r="H1307" s="1" t="s">
        <v>2655</v>
      </c>
      <c r="I1307" s="1" t="s">
        <v>2656</v>
      </c>
      <c r="J1307" s="1" t="s">
        <v>46</v>
      </c>
      <c r="K1307" t="s">
        <v>132</v>
      </c>
      <c r="M1307" s="1" t="s">
        <v>58</v>
      </c>
      <c r="N1307" s="1">
        <v>0</v>
      </c>
      <c r="O1307" s="1" t="s">
        <v>36</v>
      </c>
      <c r="P1307" s="186">
        <v>44966.647581018522</v>
      </c>
      <c r="R1307" s="1">
        <v>13</v>
      </c>
      <c r="T1307" s="1" t="s">
        <v>238</v>
      </c>
      <c r="U1307" s="186">
        <v>44966.647581018522</v>
      </c>
      <c r="V1307" s="1" t="s">
        <v>41</v>
      </c>
      <c r="W1307" s="1" t="s">
        <v>49</v>
      </c>
    </row>
    <row r="1308" spans="1:23" hidden="1">
      <c r="A1308" s="1">
        <v>9460038</v>
      </c>
      <c r="B1308" s="1" t="s">
        <v>62</v>
      </c>
      <c r="C1308" t="s">
        <v>2658</v>
      </c>
      <c r="E1308" s="2">
        <v>5749000203000</v>
      </c>
      <c r="F1308" s="1" t="s">
        <v>454</v>
      </c>
      <c r="G1308" s="1" t="s">
        <v>53</v>
      </c>
      <c r="H1308" s="1" t="s">
        <v>1811</v>
      </c>
      <c r="I1308" s="1" t="s">
        <v>1812</v>
      </c>
      <c r="J1308" s="1" t="s">
        <v>33</v>
      </c>
      <c r="K1308" t="s">
        <v>457</v>
      </c>
      <c r="M1308" s="1" t="s">
        <v>58</v>
      </c>
      <c r="N1308" s="1">
        <v>0</v>
      </c>
      <c r="O1308" s="1" t="s">
        <v>36</v>
      </c>
      <c r="P1308" s="186">
        <v>44966.644861111112</v>
      </c>
      <c r="R1308" s="1">
        <v>1</v>
      </c>
      <c r="T1308" s="1" t="s">
        <v>157</v>
      </c>
      <c r="U1308" s="186">
        <v>45002.75</v>
      </c>
      <c r="V1308" s="1" t="s">
        <v>41</v>
      </c>
      <c r="W1308" s="1" t="s">
        <v>42</v>
      </c>
    </row>
    <row r="1309" spans="1:23" hidden="1">
      <c r="A1309" s="1">
        <v>9459206</v>
      </c>
      <c r="B1309" s="1" t="s">
        <v>1153</v>
      </c>
      <c r="C1309" t="s">
        <v>2672</v>
      </c>
      <c r="E1309" s="2">
        <v>1185000206001</v>
      </c>
      <c r="F1309" s="1" t="s">
        <v>29</v>
      </c>
      <c r="G1309" s="1" t="s">
        <v>53</v>
      </c>
      <c r="H1309" s="1" t="s">
        <v>539</v>
      </c>
      <c r="I1309" s="1" t="s">
        <v>540</v>
      </c>
      <c r="J1309" s="1" t="s">
        <v>33</v>
      </c>
      <c r="K1309" t="s">
        <v>34</v>
      </c>
      <c r="M1309" s="1" t="s">
        <v>35</v>
      </c>
      <c r="N1309" s="1">
        <v>42318949</v>
      </c>
      <c r="O1309" s="1" t="s">
        <v>36</v>
      </c>
      <c r="P1309" s="186">
        <v>44966.510740740741</v>
      </c>
      <c r="R1309" s="1" t="s">
        <v>38</v>
      </c>
      <c r="T1309" s="1" t="s">
        <v>74</v>
      </c>
      <c r="U1309" s="186">
        <v>44985.458333333336</v>
      </c>
      <c r="V1309" s="1" t="s">
        <v>41</v>
      </c>
      <c r="W1309" s="1" t="s">
        <v>42</v>
      </c>
    </row>
    <row r="1310" spans="1:23" hidden="1">
      <c r="A1310" s="181">
        <v>9459066</v>
      </c>
      <c r="B1310" s="181" t="s">
        <v>1153</v>
      </c>
      <c r="C1310" s="185" t="s">
        <v>2675</v>
      </c>
      <c r="D1310" s="183"/>
      <c r="E1310" s="183">
        <v>2437000206001</v>
      </c>
      <c r="F1310" s="181" t="s">
        <v>29</v>
      </c>
      <c r="G1310" s="181" t="s">
        <v>53</v>
      </c>
      <c r="H1310" s="181" t="s">
        <v>416</v>
      </c>
      <c r="I1310" s="181" t="s">
        <v>417</v>
      </c>
      <c r="J1310" s="181" t="s">
        <v>211</v>
      </c>
      <c r="K1310" t="s">
        <v>34</v>
      </c>
      <c r="M1310" s="1" t="s">
        <v>35</v>
      </c>
      <c r="N1310" s="1">
        <v>42318949</v>
      </c>
      <c r="O1310" s="1" t="s">
        <v>36</v>
      </c>
      <c r="P1310" s="186">
        <v>44966.490358796298</v>
      </c>
      <c r="R1310" s="1" t="s">
        <v>38</v>
      </c>
      <c r="T1310" s="1" t="s">
        <v>74</v>
      </c>
      <c r="U1310" s="186">
        <v>44988.607638888891</v>
      </c>
      <c r="V1310" s="1" t="s">
        <v>41</v>
      </c>
      <c r="W1310" s="1" t="s">
        <v>49</v>
      </c>
    </row>
    <row r="1311" spans="1:23" hidden="1">
      <c r="A1311" s="1">
        <v>9458689</v>
      </c>
      <c r="B1311" s="1" t="s">
        <v>1153</v>
      </c>
      <c r="C1311" t="s">
        <v>2684</v>
      </c>
      <c r="D1311" s="2">
        <v>20234923000059</v>
      </c>
      <c r="E1311" s="2">
        <v>7417183022494</v>
      </c>
      <c r="F1311" s="1" t="s">
        <v>1313</v>
      </c>
      <c r="G1311" s="1" t="s">
        <v>53</v>
      </c>
      <c r="H1311" s="1" t="s">
        <v>2685</v>
      </c>
      <c r="I1311" s="1" t="s">
        <v>2686</v>
      </c>
      <c r="J1311" s="1" t="s">
        <v>46</v>
      </c>
      <c r="K1311" t="s">
        <v>1316</v>
      </c>
      <c r="M1311" s="1" t="s">
        <v>58</v>
      </c>
      <c r="N1311" s="1">
        <v>0</v>
      </c>
      <c r="O1311" s="1" t="s">
        <v>36</v>
      </c>
      <c r="P1311" s="186">
        <v>44966.432372685187</v>
      </c>
      <c r="R1311" s="1">
        <v>14</v>
      </c>
      <c r="T1311" s="1" t="s">
        <v>238</v>
      </c>
      <c r="U1311" s="186">
        <v>44966.432372685187</v>
      </c>
      <c r="V1311" s="1" t="s">
        <v>41</v>
      </c>
      <c r="W1311" s="1" t="s">
        <v>49</v>
      </c>
    </row>
    <row r="1312" spans="1:23" hidden="1">
      <c r="A1312" s="1">
        <v>9458399</v>
      </c>
      <c r="B1312" s="1" t="s">
        <v>1153</v>
      </c>
      <c r="C1312" t="s">
        <v>2693</v>
      </c>
      <c r="D1312" s="2">
        <v>20232388000002</v>
      </c>
      <c r="E1312" s="2">
        <v>7417172782988</v>
      </c>
      <c r="F1312" s="1" t="s">
        <v>1989</v>
      </c>
      <c r="G1312" s="1" t="s">
        <v>53</v>
      </c>
      <c r="H1312" s="1" t="s">
        <v>299</v>
      </c>
      <c r="I1312" s="1" t="s">
        <v>300</v>
      </c>
      <c r="J1312" s="1" t="s">
        <v>79</v>
      </c>
      <c r="K1312" t="s">
        <v>1990</v>
      </c>
      <c r="M1312" s="1" t="s">
        <v>58</v>
      </c>
      <c r="N1312" s="1">
        <v>0</v>
      </c>
      <c r="O1312" s="1" t="s">
        <v>36</v>
      </c>
      <c r="P1312" s="186">
        <v>44966.396319444444</v>
      </c>
      <c r="R1312" s="1">
        <v>22</v>
      </c>
      <c r="T1312" s="1" t="s">
        <v>1160</v>
      </c>
      <c r="U1312" s="186">
        <v>44970.60465277778</v>
      </c>
      <c r="V1312" s="1" t="s">
        <v>41</v>
      </c>
      <c r="W1312" s="1" t="s">
        <v>49</v>
      </c>
    </row>
    <row r="1313" spans="1:23" hidden="1">
      <c r="A1313" s="1">
        <v>9458312</v>
      </c>
      <c r="B1313" s="1" t="s">
        <v>1153</v>
      </c>
      <c r="C1313" t="s">
        <v>2694</v>
      </c>
      <c r="D1313" s="2">
        <v>20232442000020</v>
      </c>
      <c r="E1313" s="2">
        <v>7417163283361</v>
      </c>
      <c r="F1313" s="1" t="s">
        <v>131</v>
      </c>
      <c r="G1313" s="1" t="s">
        <v>53</v>
      </c>
      <c r="H1313" s="1" t="s">
        <v>2489</v>
      </c>
      <c r="I1313" s="1" t="s">
        <v>2490</v>
      </c>
      <c r="J1313" s="1" t="s">
        <v>33</v>
      </c>
      <c r="K1313" t="s">
        <v>132</v>
      </c>
      <c r="M1313" s="1" t="s">
        <v>58</v>
      </c>
      <c r="N1313" s="1">
        <v>0</v>
      </c>
      <c r="O1313" s="1" t="s">
        <v>36</v>
      </c>
      <c r="P1313" s="186">
        <v>44966.383148148147</v>
      </c>
      <c r="R1313" s="1">
        <v>15</v>
      </c>
      <c r="T1313" s="1" t="s">
        <v>238</v>
      </c>
      <c r="U1313" s="186">
        <v>44966.416666666664</v>
      </c>
      <c r="V1313" s="1" t="s">
        <v>41</v>
      </c>
      <c r="W1313" s="1" t="s">
        <v>42</v>
      </c>
    </row>
    <row r="1314" spans="1:23" hidden="1">
      <c r="A1314" s="1">
        <v>9458173</v>
      </c>
      <c r="B1314" s="1" t="s">
        <v>1153</v>
      </c>
      <c r="C1314" t="s">
        <v>2697</v>
      </c>
      <c r="D1314" s="2">
        <v>20234804001469</v>
      </c>
      <c r="E1314" s="2">
        <v>7417193471170</v>
      </c>
      <c r="F1314" s="1" t="s">
        <v>2698</v>
      </c>
      <c r="G1314" s="1" t="s">
        <v>53</v>
      </c>
      <c r="H1314" s="1" t="s">
        <v>2699</v>
      </c>
      <c r="I1314" s="1" t="s">
        <v>2700</v>
      </c>
      <c r="J1314" s="1" t="s">
        <v>46</v>
      </c>
      <c r="K1314" t="s">
        <v>2701</v>
      </c>
      <c r="M1314" s="1" t="s">
        <v>58</v>
      </c>
      <c r="N1314" s="1">
        <v>0</v>
      </c>
      <c r="O1314" s="1" t="s">
        <v>36</v>
      </c>
      <c r="P1314" s="186">
        <v>44966.365173611113</v>
      </c>
      <c r="R1314" s="1">
        <v>13</v>
      </c>
      <c r="S1314" s="1">
        <v>4804</v>
      </c>
      <c r="T1314" s="1" t="s">
        <v>238</v>
      </c>
      <c r="U1314" s="186">
        <v>44966.395833333336</v>
      </c>
      <c r="V1314" s="1" t="s">
        <v>41</v>
      </c>
      <c r="W1314" s="1" t="s">
        <v>49</v>
      </c>
    </row>
    <row r="1315" spans="1:23" hidden="1">
      <c r="A1315" s="173">
        <v>9465880</v>
      </c>
      <c r="B1315" s="173" t="s">
        <v>1153</v>
      </c>
      <c r="C1315" s="178" t="s">
        <v>3495</v>
      </c>
      <c r="D1315" s="174">
        <v>230027811</v>
      </c>
      <c r="E1315" s="174">
        <v>68001400030</v>
      </c>
      <c r="F1315" s="173" t="s">
        <v>647</v>
      </c>
      <c r="G1315" s="173" t="s">
        <v>53</v>
      </c>
      <c r="H1315" s="173" t="s">
        <v>1330</v>
      </c>
      <c r="I1315" s="173" t="s">
        <v>1331</v>
      </c>
      <c r="J1315" s="173" t="s">
        <v>211</v>
      </c>
      <c r="K1315" t="s">
        <v>650</v>
      </c>
      <c r="M1315" s="1" t="s">
        <v>58</v>
      </c>
      <c r="N1315" s="1">
        <v>0</v>
      </c>
      <c r="O1315" s="1" t="s">
        <v>36</v>
      </c>
      <c r="P1315" s="186">
        <v>44967.801388888889</v>
      </c>
      <c r="R1315" s="1">
        <v>4</v>
      </c>
      <c r="T1315" s="1" t="s">
        <v>646</v>
      </c>
      <c r="U1315" s="186">
        <v>44981.708333333336</v>
      </c>
      <c r="V1315" s="1" t="s">
        <v>41</v>
      </c>
      <c r="W1315" s="1" t="s">
        <v>49</v>
      </c>
    </row>
    <row r="1316" spans="1:23" hidden="1">
      <c r="A1316" s="173">
        <v>9465855</v>
      </c>
      <c r="B1316" s="173" t="s">
        <v>1153</v>
      </c>
      <c r="C1316" s="178" t="s">
        <v>3496</v>
      </c>
      <c r="D1316" s="174">
        <v>230027810</v>
      </c>
      <c r="E1316" s="174">
        <v>68001400030</v>
      </c>
      <c r="F1316" s="173" t="s">
        <v>647</v>
      </c>
      <c r="G1316" s="173" t="s">
        <v>53</v>
      </c>
      <c r="H1316" s="173" t="s">
        <v>1330</v>
      </c>
      <c r="I1316" s="173" t="s">
        <v>1331</v>
      </c>
      <c r="J1316" s="173" t="s">
        <v>211</v>
      </c>
      <c r="K1316" t="s">
        <v>650</v>
      </c>
      <c r="M1316" s="1" t="s">
        <v>58</v>
      </c>
      <c r="N1316" s="1">
        <v>0</v>
      </c>
      <c r="O1316" s="1" t="s">
        <v>36</v>
      </c>
      <c r="P1316" s="186">
        <v>44967.795138888891</v>
      </c>
      <c r="R1316" s="1">
        <v>4</v>
      </c>
      <c r="T1316" s="1" t="s">
        <v>646</v>
      </c>
      <c r="U1316" s="186">
        <v>44981.708333333336</v>
      </c>
      <c r="V1316" s="1" t="s">
        <v>41</v>
      </c>
      <c r="W1316" s="1" t="s">
        <v>49</v>
      </c>
    </row>
    <row r="1317" spans="1:23" hidden="1">
      <c r="A1317" s="1">
        <v>9465602</v>
      </c>
      <c r="B1317" s="1" t="s">
        <v>1153</v>
      </c>
      <c r="C1317" t="s">
        <v>2708</v>
      </c>
      <c r="D1317" s="2">
        <v>230027784</v>
      </c>
      <c r="E1317" s="2">
        <v>2335001400030</v>
      </c>
      <c r="F1317" s="1" t="s">
        <v>647</v>
      </c>
      <c r="G1317" s="1" t="s">
        <v>53</v>
      </c>
      <c r="H1317" s="1" t="s">
        <v>194</v>
      </c>
      <c r="I1317" s="1" t="s">
        <v>195</v>
      </c>
      <c r="J1317" s="1" t="s">
        <v>261</v>
      </c>
      <c r="K1317" t="s">
        <v>650</v>
      </c>
      <c r="M1317" s="1" t="s">
        <v>58</v>
      </c>
      <c r="N1317" s="1">
        <v>0</v>
      </c>
      <c r="O1317" s="1" t="s">
        <v>36</v>
      </c>
      <c r="P1317" s="186">
        <v>44967.730555555558</v>
      </c>
      <c r="R1317" s="1">
        <v>4</v>
      </c>
      <c r="T1317" s="1" t="s">
        <v>646</v>
      </c>
      <c r="U1317" s="186">
        <v>44973.729166666664</v>
      </c>
      <c r="V1317" s="1" t="s">
        <v>41</v>
      </c>
      <c r="W1317" s="1" t="s">
        <v>49</v>
      </c>
    </row>
    <row r="1318" spans="1:23" hidden="1">
      <c r="A1318" s="1">
        <v>9465182</v>
      </c>
      <c r="B1318" s="1" t="s">
        <v>1153</v>
      </c>
      <c r="C1318" t="s">
        <v>2721</v>
      </c>
      <c r="D1318" s="2">
        <v>230027724</v>
      </c>
      <c r="E1318" s="2">
        <v>1049001400010</v>
      </c>
      <c r="F1318" s="1" t="s">
        <v>936</v>
      </c>
      <c r="G1318" s="1" t="s">
        <v>53</v>
      </c>
      <c r="H1318" s="1" t="s">
        <v>169</v>
      </c>
      <c r="I1318" s="1" t="s">
        <v>170</v>
      </c>
      <c r="J1318" s="1" t="s">
        <v>164</v>
      </c>
      <c r="K1318" t="s">
        <v>937</v>
      </c>
      <c r="M1318" s="1" t="s">
        <v>58</v>
      </c>
      <c r="N1318" s="1">
        <v>0</v>
      </c>
      <c r="O1318" s="1" t="s">
        <v>36</v>
      </c>
      <c r="P1318" s="186">
        <v>44967.676388888889</v>
      </c>
      <c r="R1318" s="1">
        <v>3</v>
      </c>
      <c r="T1318" s="1" t="s">
        <v>646</v>
      </c>
      <c r="U1318" s="186">
        <v>44987.604166666664</v>
      </c>
      <c r="V1318" s="1" t="s">
        <v>41</v>
      </c>
      <c r="W1318" s="1" t="s">
        <v>49</v>
      </c>
    </row>
    <row r="1319" spans="1:23" hidden="1">
      <c r="A1319" s="1">
        <v>9464931</v>
      </c>
      <c r="B1319" s="1" t="s">
        <v>1153</v>
      </c>
      <c r="C1319" t="s">
        <v>2726</v>
      </c>
      <c r="D1319" s="2">
        <v>230027675</v>
      </c>
      <c r="E1319" s="2">
        <v>2257001400010</v>
      </c>
      <c r="F1319" s="1" t="s">
        <v>936</v>
      </c>
      <c r="G1319" s="1" t="s">
        <v>53</v>
      </c>
      <c r="H1319" s="1" t="s">
        <v>381</v>
      </c>
      <c r="I1319" s="1" t="s">
        <v>382</v>
      </c>
      <c r="J1319" s="1" t="s">
        <v>110</v>
      </c>
      <c r="K1319" t="s">
        <v>937</v>
      </c>
      <c r="M1319" s="1" t="s">
        <v>58</v>
      </c>
      <c r="N1319" s="1">
        <v>0</v>
      </c>
      <c r="O1319" s="1" t="s">
        <v>36</v>
      </c>
      <c r="P1319" s="186">
        <v>44967.634722222225</v>
      </c>
      <c r="R1319" s="1">
        <v>3</v>
      </c>
      <c r="T1319" s="1" t="s">
        <v>646</v>
      </c>
      <c r="U1319" s="186">
        <v>44985.6875</v>
      </c>
      <c r="V1319" s="1" t="s">
        <v>41</v>
      </c>
      <c r="W1319" s="1" t="s">
        <v>49</v>
      </c>
    </row>
    <row r="1320" spans="1:23" hidden="1">
      <c r="A1320" s="1">
        <v>9464595</v>
      </c>
      <c r="B1320" s="1" t="s">
        <v>81</v>
      </c>
      <c r="C1320" t="s">
        <v>2733</v>
      </c>
      <c r="E1320" s="2">
        <v>2564000206001</v>
      </c>
      <c r="F1320" s="1" t="s">
        <v>29</v>
      </c>
      <c r="G1320" s="1" t="s">
        <v>53</v>
      </c>
      <c r="H1320" s="1" t="s">
        <v>255</v>
      </c>
      <c r="I1320" s="1" t="s">
        <v>256</v>
      </c>
      <c r="J1320" s="1" t="s">
        <v>164</v>
      </c>
      <c r="K1320" t="s">
        <v>34</v>
      </c>
      <c r="M1320" s="1" t="s">
        <v>35</v>
      </c>
      <c r="N1320" s="1">
        <v>42318949</v>
      </c>
      <c r="O1320" s="1" t="s">
        <v>105</v>
      </c>
      <c r="P1320" s="186">
        <v>44967.590173611112</v>
      </c>
      <c r="R1320" s="1" t="s">
        <v>38</v>
      </c>
      <c r="T1320" s="1" t="s">
        <v>74</v>
      </c>
      <c r="U1320" s="186">
        <v>44968.590173611112</v>
      </c>
      <c r="V1320" s="1" t="s">
        <v>41</v>
      </c>
      <c r="W1320" s="1" t="s">
        <v>49</v>
      </c>
    </row>
    <row r="1321" spans="1:23" hidden="1">
      <c r="A1321" s="1">
        <v>9464594</v>
      </c>
      <c r="B1321" s="1" t="s">
        <v>81</v>
      </c>
      <c r="C1321" t="s">
        <v>2733</v>
      </c>
      <c r="E1321" s="2">
        <v>2559000206001</v>
      </c>
      <c r="F1321" s="1" t="s">
        <v>29</v>
      </c>
      <c r="G1321" s="1" t="s">
        <v>53</v>
      </c>
      <c r="H1321" s="1" t="s">
        <v>259</v>
      </c>
      <c r="I1321" s="1" t="s">
        <v>260</v>
      </c>
      <c r="J1321" s="1" t="s">
        <v>261</v>
      </c>
      <c r="K1321" t="s">
        <v>34</v>
      </c>
      <c r="M1321" s="1" t="s">
        <v>35</v>
      </c>
      <c r="N1321" s="1">
        <v>42318949</v>
      </c>
      <c r="O1321" s="1" t="s">
        <v>105</v>
      </c>
      <c r="P1321" s="186">
        <v>44967.590173611112</v>
      </c>
      <c r="R1321" s="1" t="s">
        <v>38</v>
      </c>
      <c r="T1321" s="1" t="s">
        <v>74</v>
      </c>
      <c r="U1321" s="186">
        <v>44968.590173611112</v>
      </c>
      <c r="V1321" s="1" t="s">
        <v>41</v>
      </c>
      <c r="W1321" s="1" t="s">
        <v>49</v>
      </c>
    </row>
    <row r="1322" spans="1:23" hidden="1">
      <c r="A1322" s="1">
        <v>9464591</v>
      </c>
      <c r="B1322" s="1" t="s">
        <v>81</v>
      </c>
      <c r="C1322" t="s">
        <v>2733</v>
      </c>
      <c r="E1322" s="2">
        <v>2257000206001</v>
      </c>
      <c r="F1322" s="1" t="s">
        <v>29</v>
      </c>
      <c r="G1322" s="1" t="s">
        <v>53</v>
      </c>
      <c r="H1322" s="1" t="s">
        <v>381</v>
      </c>
      <c r="I1322" s="1" t="s">
        <v>382</v>
      </c>
      <c r="J1322" s="1" t="s">
        <v>110</v>
      </c>
      <c r="K1322" t="s">
        <v>34</v>
      </c>
      <c r="M1322" s="1" t="s">
        <v>35</v>
      </c>
      <c r="N1322" s="1">
        <v>42318949</v>
      </c>
      <c r="O1322" s="1" t="s">
        <v>105</v>
      </c>
      <c r="P1322" s="186">
        <v>44967.590162037035</v>
      </c>
      <c r="R1322" s="1" t="s">
        <v>38</v>
      </c>
      <c r="T1322" s="1" t="s">
        <v>74</v>
      </c>
      <c r="U1322" s="186">
        <v>44968.590162037035</v>
      </c>
      <c r="V1322" s="1" t="s">
        <v>41</v>
      </c>
      <c r="W1322" s="1" t="s">
        <v>49</v>
      </c>
    </row>
    <row r="1323" spans="1:23" hidden="1">
      <c r="A1323" s="1">
        <v>9464589</v>
      </c>
      <c r="B1323" s="1" t="s">
        <v>81</v>
      </c>
      <c r="C1323" t="s">
        <v>2733</v>
      </c>
      <c r="E1323" s="2">
        <v>2156000206001</v>
      </c>
      <c r="F1323" s="1" t="s">
        <v>29</v>
      </c>
      <c r="G1323" s="1" t="s">
        <v>53</v>
      </c>
      <c r="H1323" s="1" t="s">
        <v>278</v>
      </c>
      <c r="I1323" s="1" t="s">
        <v>279</v>
      </c>
      <c r="J1323" s="1" t="s">
        <v>211</v>
      </c>
      <c r="K1323" t="s">
        <v>34</v>
      </c>
      <c r="M1323" s="1" t="s">
        <v>35</v>
      </c>
      <c r="N1323" s="1">
        <v>42318949</v>
      </c>
      <c r="O1323" s="1" t="s">
        <v>36</v>
      </c>
      <c r="P1323" s="186">
        <v>44967.590162037035</v>
      </c>
      <c r="R1323" s="1" t="s">
        <v>38</v>
      </c>
      <c r="T1323" s="1" t="s">
        <v>74</v>
      </c>
      <c r="U1323" s="186">
        <v>44968.590162037035</v>
      </c>
      <c r="V1323" s="1" t="s">
        <v>41</v>
      </c>
      <c r="W1323" s="1" t="s">
        <v>49</v>
      </c>
    </row>
    <row r="1324" spans="1:23" hidden="1">
      <c r="A1324" s="1">
        <v>9464504</v>
      </c>
      <c r="B1324" s="1" t="s">
        <v>81</v>
      </c>
      <c r="C1324" t="s">
        <v>2733</v>
      </c>
      <c r="E1324" s="2">
        <v>2802000206001</v>
      </c>
      <c r="F1324" s="1" t="s">
        <v>29</v>
      </c>
      <c r="G1324" s="1" t="s">
        <v>53</v>
      </c>
      <c r="H1324" s="1" t="s">
        <v>388</v>
      </c>
      <c r="I1324" s="1" t="s">
        <v>389</v>
      </c>
      <c r="J1324" s="1" t="s">
        <v>46</v>
      </c>
      <c r="K1324" t="s">
        <v>34</v>
      </c>
      <c r="M1324" s="1" t="s">
        <v>35</v>
      </c>
      <c r="N1324" s="1">
        <v>42318949</v>
      </c>
      <c r="O1324" s="1" t="s">
        <v>105</v>
      </c>
      <c r="P1324" s="186">
        <v>44967.590011574073</v>
      </c>
      <c r="R1324" s="1" t="s">
        <v>38</v>
      </c>
      <c r="T1324" s="1" t="s">
        <v>74</v>
      </c>
      <c r="U1324" s="186">
        <v>44968.59002314815</v>
      </c>
      <c r="V1324" s="1" t="s">
        <v>41</v>
      </c>
      <c r="W1324" s="1" t="s">
        <v>49</v>
      </c>
    </row>
    <row r="1325" spans="1:23" hidden="1">
      <c r="A1325" s="1">
        <v>9464461</v>
      </c>
      <c r="B1325" s="1" t="s">
        <v>81</v>
      </c>
      <c r="C1325" t="s">
        <v>2733</v>
      </c>
      <c r="E1325" s="2">
        <v>1245000206001</v>
      </c>
      <c r="F1325" s="1" t="s">
        <v>29</v>
      </c>
      <c r="G1325" s="1" t="s">
        <v>53</v>
      </c>
      <c r="H1325" s="1" t="s">
        <v>408</v>
      </c>
      <c r="I1325" s="1" t="s">
        <v>409</v>
      </c>
      <c r="J1325" s="1" t="s">
        <v>46</v>
      </c>
      <c r="K1325" t="s">
        <v>34</v>
      </c>
      <c r="M1325" s="1" t="s">
        <v>35</v>
      </c>
      <c r="N1325" s="1">
        <v>42318949</v>
      </c>
      <c r="O1325" s="1" t="s">
        <v>105</v>
      </c>
      <c r="P1325" s="186">
        <v>44967.589930555558</v>
      </c>
      <c r="R1325" s="1" t="s">
        <v>38</v>
      </c>
      <c r="T1325" s="1" t="s">
        <v>74</v>
      </c>
      <c r="U1325" s="186">
        <v>44968.589930555558</v>
      </c>
      <c r="V1325" s="1" t="s">
        <v>41</v>
      </c>
      <c r="W1325" s="1" t="s">
        <v>49</v>
      </c>
    </row>
    <row r="1326" spans="1:23" hidden="1">
      <c r="A1326" s="1">
        <v>9464457</v>
      </c>
      <c r="B1326" s="1" t="s">
        <v>81</v>
      </c>
      <c r="C1326" t="s">
        <v>2733</v>
      </c>
      <c r="E1326" s="2">
        <v>1128000206001</v>
      </c>
      <c r="F1326" s="1" t="s">
        <v>29</v>
      </c>
      <c r="G1326" s="1" t="s">
        <v>53</v>
      </c>
      <c r="H1326" s="1" t="s">
        <v>1191</v>
      </c>
      <c r="I1326" s="1" t="s">
        <v>1192</v>
      </c>
      <c r="J1326" s="1" t="s">
        <v>33</v>
      </c>
      <c r="K1326" t="s">
        <v>34</v>
      </c>
      <c r="M1326" s="1" t="s">
        <v>35</v>
      </c>
      <c r="N1326" s="1">
        <v>42318949</v>
      </c>
      <c r="O1326" s="1" t="s">
        <v>105</v>
      </c>
      <c r="P1326" s="186">
        <v>44967.589918981481</v>
      </c>
      <c r="R1326" s="1" t="s">
        <v>38</v>
      </c>
      <c r="T1326" s="1" t="s">
        <v>74</v>
      </c>
      <c r="U1326" s="186">
        <v>44968.589930555558</v>
      </c>
      <c r="V1326" s="1" t="s">
        <v>41</v>
      </c>
      <c r="W1326" s="1" t="s">
        <v>49</v>
      </c>
    </row>
    <row r="1327" spans="1:23" hidden="1">
      <c r="A1327" s="1">
        <v>9464451</v>
      </c>
      <c r="B1327" s="1" t="s">
        <v>81</v>
      </c>
      <c r="C1327" t="s">
        <v>2733</v>
      </c>
      <c r="E1327" s="2">
        <v>963000206001</v>
      </c>
      <c r="F1327" s="1" t="s">
        <v>29</v>
      </c>
      <c r="G1327" s="1" t="s">
        <v>53</v>
      </c>
      <c r="H1327" s="1" t="s">
        <v>531</v>
      </c>
      <c r="I1327" s="1" t="s">
        <v>532</v>
      </c>
      <c r="J1327" s="1" t="s">
        <v>33</v>
      </c>
      <c r="K1327" t="s">
        <v>34</v>
      </c>
      <c r="M1327" s="1" t="s">
        <v>35</v>
      </c>
      <c r="N1327" s="1">
        <v>42318949</v>
      </c>
      <c r="O1327" s="1" t="s">
        <v>105</v>
      </c>
      <c r="P1327" s="186">
        <v>44967.589918981481</v>
      </c>
      <c r="R1327" s="1" t="s">
        <v>38</v>
      </c>
      <c r="T1327" s="1" t="s">
        <v>74</v>
      </c>
      <c r="U1327" s="186">
        <v>44968.589918981481</v>
      </c>
      <c r="V1327" s="1" t="s">
        <v>41</v>
      </c>
      <c r="W1327" s="1" t="s">
        <v>49</v>
      </c>
    </row>
    <row r="1328" spans="1:23" hidden="1">
      <c r="A1328" s="1">
        <v>9464394</v>
      </c>
      <c r="B1328" s="1" t="s">
        <v>81</v>
      </c>
      <c r="C1328" t="s">
        <v>2733</v>
      </c>
      <c r="E1328" s="2">
        <v>67000206001</v>
      </c>
      <c r="F1328" s="1" t="s">
        <v>29</v>
      </c>
      <c r="G1328" s="1" t="s">
        <v>53</v>
      </c>
      <c r="H1328" s="1" t="s">
        <v>404</v>
      </c>
      <c r="I1328" s="1" t="s">
        <v>405</v>
      </c>
      <c r="J1328" s="1" t="s">
        <v>164</v>
      </c>
      <c r="K1328" t="s">
        <v>34</v>
      </c>
      <c r="M1328" s="1" t="s">
        <v>35</v>
      </c>
      <c r="N1328" s="1">
        <v>42318949</v>
      </c>
      <c r="O1328" s="1" t="s">
        <v>105</v>
      </c>
      <c r="P1328" s="186">
        <v>44967.589814814812</v>
      </c>
      <c r="R1328" s="1" t="s">
        <v>38</v>
      </c>
      <c r="T1328" s="1" t="s">
        <v>74</v>
      </c>
      <c r="U1328" s="186">
        <v>44968.589814814812</v>
      </c>
      <c r="V1328" s="1" t="s">
        <v>41</v>
      </c>
      <c r="W1328" s="1" t="s">
        <v>49</v>
      </c>
    </row>
    <row r="1329" spans="1:23" hidden="1">
      <c r="A1329" s="1">
        <v>9463997</v>
      </c>
      <c r="B1329" s="1" t="s">
        <v>1153</v>
      </c>
      <c r="C1329" t="s">
        <v>2759</v>
      </c>
      <c r="D1329" s="2">
        <v>20234844000431</v>
      </c>
      <c r="E1329" s="2">
        <v>7417193390971</v>
      </c>
      <c r="F1329" s="1" t="s">
        <v>2760</v>
      </c>
      <c r="G1329" s="1" t="s">
        <v>53</v>
      </c>
      <c r="H1329" s="1" t="s">
        <v>626</v>
      </c>
      <c r="I1329" s="1" t="s">
        <v>627</v>
      </c>
      <c r="J1329" s="1" t="s">
        <v>46</v>
      </c>
      <c r="K1329" t="s">
        <v>2761</v>
      </c>
      <c r="M1329" s="1" t="s">
        <v>58</v>
      </c>
      <c r="N1329" s="1">
        <v>0</v>
      </c>
      <c r="O1329" s="1" t="s">
        <v>36</v>
      </c>
      <c r="P1329" s="186">
        <v>44967.509872685187</v>
      </c>
      <c r="R1329" s="1">
        <v>22</v>
      </c>
      <c r="T1329" s="1" t="s">
        <v>1160</v>
      </c>
      <c r="U1329" s="186">
        <v>44971.718206018515</v>
      </c>
      <c r="V1329" s="1" t="s">
        <v>41</v>
      </c>
      <c r="W1329" s="1" t="s">
        <v>49</v>
      </c>
    </row>
    <row r="1330" spans="1:23" hidden="1">
      <c r="A1330" s="181">
        <v>9463988</v>
      </c>
      <c r="B1330" s="181" t="s">
        <v>1153</v>
      </c>
      <c r="C1330" s="182" t="s">
        <v>3985</v>
      </c>
      <c r="D1330" s="183">
        <v>20234119000009</v>
      </c>
      <c r="E1330" s="183">
        <v>7419152172053</v>
      </c>
      <c r="F1330" s="181" t="s">
        <v>52</v>
      </c>
      <c r="G1330" s="181" t="s">
        <v>53</v>
      </c>
      <c r="H1330" s="181" t="s">
        <v>297</v>
      </c>
      <c r="I1330" s="181" t="s">
        <v>298</v>
      </c>
      <c r="J1330" s="181" t="s">
        <v>211</v>
      </c>
      <c r="K1330" t="s">
        <v>57</v>
      </c>
      <c r="M1330" s="1" t="s">
        <v>58</v>
      </c>
      <c r="N1330" s="1">
        <v>0</v>
      </c>
      <c r="O1330" s="1" t="s">
        <v>36</v>
      </c>
      <c r="P1330" s="186">
        <v>44967.510011574072</v>
      </c>
      <c r="R1330" s="1">
        <v>8</v>
      </c>
      <c r="T1330" s="1" t="s">
        <v>238</v>
      </c>
      <c r="U1330" s="186">
        <v>44968.518483796295</v>
      </c>
      <c r="V1330" s="1" t="s">
        <v>41</v>
      </c>
      <c r="W1330" s="1" t="s">
        <v>49</v>
      </c>
    </row>
    <row r="1331" spans="1:23" hidden="1">
      <c r="A1331" s="1">
        <v>9463914</v>
      </c>
      <c r="B1331" s="1" t="s">
        <v>1153</v>
      </c>
      <c r="C1331" t="s">
        <v>2774</v>
      </c>
      <c r="D1331" s="2">
        <v>20232107000001</v>
      </c>
      <c r="E1331" s="2">
        <v>7417183023328</v>
      </c>
      <c r="F1331" s="1" t="s">
        <v>1313</v>
      </c>
      <c r="G1331" s="1" t="s">
        <v>53</v>
      </c>
      <c r="H1331" s="1" t="s">
        <v>2775</v>
      </c>
      <c r="I1331" s="1" t="s">
        <v>2776</v>
      </c>
      <c r="J1331" s="1" t="s">
        <v>164</v>
      </c>
      <c r="K1331" t="s">
        <v>1316</v>
      </c>
      <c r="M1331" s="1" t="s">
        <v>58</v>
      </c>
      <c r="N1331" s="1">
        <v>0</v>
      </c>
      <c r="O1331" s="1" t="s">
        <v>36</v>
      </c>
      <c r="P1331" s="186">
        <v>44967.499363425923</v>
      </c>
      <c r="R1331" s="1">
        <v>14</v>
      </c>
      <c r="T1331" s="1" t="s">
        <v>238</v>
      </c>
      <c r="U1331" s="186">
        <v>44967.499363425923</v>
      </c>
      <c r="V1331" s="1" t="s">
        <v>41</v>
      </c>
      <c r="W1331" s="1" t="s">
        <v>49</v>
      </c>
    </row>
    <row r="1332" spans="1:23" hidden="1">
      <c r="A1332" s="1">
        <v>9463783</v>
      </c>
      <c r="B1332" s="1" t="s">
        <v>1153</v>
      </c>
      <c r="C1332" t="s">
        <v>2781</v>
      </c>
      <c r="D1332" s="2">
        <v>20231363000015</v>
      </c>
      <c r="E1332" s="2">
        <v>7417172790231</v>
      </c>
      <c r="F1332" s="1" t="s">
        <v>1989</v>
      </c>
      <c r="G1332" s="1" t="s">
        <v>53</v>
      </c>
      <c r="H1332" s="1" t="s">
        <v>108</v>
      </c>
      <c r="I1332" s="1" t="s">
        <v>109</v>
      </c>
      <c r="J1332" s="1" t="s">
        <v>110</v>
      </c>
      <c r="K1332" t="s">
        <v>1990</v>
      </c>
      <c r="M1332" s="1" t="s">
        <v>58</v>
      </c>
      <c r="N1332" s="1">
        <v>0</v>
      </c>
      <c r="O1332" s="1" t="s">
        <v>105</v>
      </c>
      <c r="P1332" s="186">
        <v>44967.475787037038</v>
      </c>
      <c r="R1332" s="1">
        <v>22</v>
      </c>
      <c r="T1332" s="1" t="s">
        <v>1160</v>
      </c>
      <c r="U1332" s="186">
        <v>44971.684120370373</v>
      </c>
      <c r="V1332" s="1" t="s">
        <v>41</v>
      </c>
      <c r="W1332" s="1" t="s">
        <v>49</v>
      </c>
    </row>
    <row r="1333" spans="1:23" hidden="1">
      <c r="A1333" s="1">
        <v>9463157</v>
      </c>
      <c r="B1333" s="1" t="s">
        <v>1153</v>
      </c>
      <c r="C1333" t="s">
        <v>2803</v>
      </c>
      <c r="D1333" s="2">
        <v>230027366</v>
      </c>
      <c r="E1333" s="2">
        <v>4637001400010</v>
      </c>
      <c r="F1333" s="1" t="s">
        <v>936</v>
      </c>
      <c r="G1333" s="1" t="s">
        <v>53</v>
      </c>
      <c r="H1333" s="1" t="s">
        <v>848</v>
      </c>
      <c r="I1333" s="1" t="s">
        <v>849</v>
      </c>
      <c r="J1333" s="1" t="s">
        <v>79</v>
      </c>
      <c r="K1333" t="s">
        <v>937</v>
      </c>
      <c r="M1333" s="1" t="s">
        <v>58</v>
      </c>
      <c r="N1333" s="1">
        <v>0</v>
      </c>
      <c r="O1333" s="1" t="s">
        <v>36</v>
      </c>
      <c r="P1333" s="186">
        <v>44967.40347222222</v>
      </c>
      <c r="R1333" s="1">
        <v>3</v>
      </c>
      <c r="T1333" s="1" t="s">
        <v>646</v>
      </c>
      <c r="U1333" s="186">
        <v>44984.4375</v>
      </c>
      <c r="V1333" s="1" t="s">
        <v>41</v>
      </c>
      <c r="W1333" s="1" t="s">
        <v>49</v>
      </c>
    </row>
    <row r="1334" spans="1:23" hidden="1">
      <c r="A1334" s="1">
        <v>9478527</v>
      </c>
      <c r="B1334" s="1" t="s">
        <v>101</v>
      </c>
      <c r="C1334" t="s">
        <v>1978</v>
      </c>
      <c r="D1334" s="2">
        <v>20232437000021</v>
      </c>
      <c r="E1334" s="2">
        <v>7419141893524</v>
      </c>
      <c r="F1334" s="1" t="s">
        <v>128</v>
      </c>
      <c r="G1334" s="1" t="s">
        <v>53</v>
      </c>
      <c r="H1334" s="1" t="s">
        <v>2418</v>
      </c>
      <c r="I1334" s="1" t="s">
        <v>2419</v>
      </c>
      <c r="J1334" s="1" t="s">
        <v>211</v>
      </c>
      <c r="K1334" t="s">
        <v>129</v>
      </c>
      <c r="M1334" s="1" t="s">
        <v>58</v>
      </c>
      <c r="N1334" s="1">
        <v>0</v>
      </c>
      <c r="O1334" s="1" t="s">
        <v>105</v>
      </c>
      <c r="P1334" s="186">
        <v>44970.765868055554</v>
      </c>
      <c r="R1334" s="1">
        <v>14</v>
      </c>
      <c r="T1334" s="1" t="s">
        <v>238</v>
      </c>
      <c r="U1334" s="186">
        <v>44970.765868055554</v>
      </c>
      <c r="V1334" s="1" t="s">
        <v>41</v>
      </c>
      <c r="W1334" s="1" t="s">
        <v>49</v>
      </c>
    </row>
    <row r="1335" spans="1:23" hidden="1">
      <c r="A1335" s="1">
        <v>9478476</v>
      </c>
      <c r="B1335" s="1" t="s">
        <v>101</v>
      </c>
      <c r="C1335" t="s">
        <v>1978</v>
      </c>
      <c r="D1335" s="2">
        <v>20232678000014</v>
      </c>
      <c r="E1335" s="2">
        <v>7417163281860</v>
      </c>
      <c r="F1335" s="1" t="s">
        <v>131</v>
      </c>
      <c r="G1335" s="1" t="s">
        <v>53</v>
      </c>
      <c r="H1335" s="1" t="s">
        <v>2814</v>
      </c>
      <c r="I1335" s="1" t="s">
        <v>2815</v>
      </c>
      <c r="J1335" s="1" t="s">
        <v>33</v>
      </c>
      <c r="K1335" t="s">
        <v>132</v>
      </c>
      <c r="M1335" s="1" t="s">
        <v>58</v>
      </c>
      <c r="N1335" s="1">
        <v>0</v>
      </c>
      <c r="O1335" s="1" t="s">
        <v>36</v>
      </c>
      <c r="P1335" s="186">
        <v>44970.760370370372</v>
      </c>
      <c r="R1335" s="1">
        <v>15</v>
      </c>
      <c r="T1335" s="1" t="s">
        <v>238</v>
      </c>
      <c r="U1335" s="186">
        <v>44970.760370370372</v>
      </c>
      <c r="V1335" s="1" t="s">
        <v>41</v>
      </c>
      <c r="W1335" s="1" t="s">
        <v>42</v>
      </c>
    </row>
    <row r="1336" spans="1:23" hidden="1">
      <c r="A1336" s="1">
        <v>9478382</v>
      </c>
      <c r="B1336" s="1" t="s">
        <v>101</v>
      </c>
      <c r="C1336" t="s">
        <v>1978</v>
      </c>
      <c r="D1336" s="2">
        <v>20234923000067</v>
      </c>
      <c r="E1336" s="2">
        <v>7419141892150</v>
      </c>
      <c r="F1336" s="1" t="s">
        <v>128</v>
      </c>
      <c r="G1336" s="1" t="s">
        <v>53</v>
      </c>
      <c r="H1336" s="1" t="s">
        <v>1966</v>
      </c>
      <c r="I1336" s="1" t="s">
        <v>1967</v>
      </c>
      <c r="J1336" s="1" t="s">
        <v>46</v>
      </c>
      <c r="K1336" t="s">
        <v>129</v>
      </c>
      <c r="M1336" s="1" t="s">
        <v>58</v>
      </c>
      <c r="N1336" s="1">
        <v>0</v>
      </c>
      <c r="O1336" s="1" t="s">
        <v>36</v>
      </c>
      <c r="P1336" s="186">
        <v>44970.75644675926</v>
      </c>
      <c r="R1336" s="1">
        <v>13</v>
      </c>
      <c r="T1336" s="1" t="s">
        <v>238</v>
      </c>
      <c r="U1336" s="186">
        <v>44970.75644675926</v>
      </c>
      <c r="V1336" s="1" t="s">
        <v>41</v>
      </c>
      <c r="W1336" s="1" t="s">
        <v>49</v>
      </c>
    </row>
    <row r="1337" spans="1:23" hidden="1">
      <c r="A1337" s="1">
        <v>9478325</v>
      </c>
      <c r="B1337" s="1" t="s">
        <v>101</v>
      </c>
      <c r="C1337" t="s">
        <v>1978</v>
      </c>
      <c r="D1337" s="2">
        <v>20234844000453</v>
      </c>
      <c r="E1337" s="2">
        <v>7417163282352</v>
      </c>
      <c r="F1337" s="1" t="s">
        <v>131</v>
      </c>
      <c r="G1337" s="1" t="s">
        <v>53</v>
      </c>
      <c r="H1337" s="1" t="s">
        <v>2816</v>
      </c>
      <c r="I1337" s="1" t="s">
        <v>2817</v>
      </c>
      <c r="J1337" s="1" t="s">
        <v>46</v>
      </c>
      <c r="K1337" t="s">
        <v>132</v>
      </c>
      <c r="M1337" s="1" t="s">
        <v>58</v>
      </c>
      <c r="N1337" s="1">
        <v>0</v>
      </c>
      <c r="O1337" s="1" t="s">
        <v>105</v>
      </c>
      <c r="P1337" s="186">
        <v>44970.750717592593</v>
      </c>
      <c r="R1337" s="1">
        <v>13</v>
      </c>
      <c r="T1337" s="1" t="s">
        <v>238</v>
      </c>
      <c r="U1337" s="186">
        <v>44970.750717592593</v>
      </c>
      <c r="V1337" s="1" t="s">
        <v>41</v>
      </c>
      <c r="W1337" s="1" t="s">
        <v>49</v>
      </c>
    </row>
    <row r="1338" spans="1:23" hidden="1">
      <c r="A1338" s="1">
        <v>9478324</v>
      </c>
      <c r="B1338" s="1" t="s">
        <v>101</v>
      </c>
      <c r="C1338" t="s">
        <v>1978</v>
      </c>
      <c r="D1338" s="2">
        <v>20234637000008</v>
      </c>
      <c r="E1338" s="2">
        <v>7417163284105</v>
      </c>
      <c r="F1338" s="1" t="s">
        <v>131</v>
      </c>
      <c r="G1338" s="1" t="s">
        <v>53</v>
      </c>
      <c r="H1338" s="1" t="s">
        <v>2004</v>
      </c>
      <c r="I1338" s="1" t="s">
        <v>2005</v>
      </c>
      <c r="J1338" s="1" t="s">
        <v>79</v>
      </c>
      <c r="K1338" t="s">
        <v>132</v>
      </c>
      <c r="M1338" s="1" t="s">
        <v>58</v>
      </c>
      <c r="N1338" s="1">
        <v>0</v>
      </c>
      <c r="O1338" s="1" t="s">
        <v>36</v>
      </c>
      <c r="P1338" s="186">
        <v>44970.750706018516</v>
      </c>
      <c r="R1338" s="1">
        <v>14</v>
      </c>
      <c r="T1338" s="1" t="s">
        <v>238</v>
      </c>
      <c r="U1338" s="186">
        <v>44970.750706018516</v>
      </c>
      <c r="V1338" s="1" t="s">
        <v>41</v>
      </c>
      <c r="W1338" s="1" t="s">
        <v>49</v>
      </c>
    </row>
    <row r="1339" spans="1:23" hidden="1">
      <c r="A1339" s="1">
        <v>9478256</v>
      </c>
      <c r="B1339" s="1" t="s">
        <v>101</v>
      </c>
      <c r="C1339" t="s">
        <v>1978</v>
      </c>
      <c r="D1339" s="2">
        <v>20234844000452</v>
      </c>
      <c r="E1339" s="2">
        <v>7417183020637</v>
      </c>
      <c r="F1339" s="1" t="s">
        <v>1313</v>
      </c>
      <c r="G1339" s="1" t="s">
        <v>53</v>
      </c>
      <c r="H1339" s="1" t="s">
        <v>2816</v>
      </c>
      <c r="I1339" s="1" t="s">
        <v>2817</v>
      </c>
      <c r="J1339" s="1" t="s">
        <v>46</v>
      </c>
      <c r="K1339" t="s">
        <v>1316</v>
      </c>
      <c r="M1339" s="1" t="s">
        <v>58</v>
      </c>
      <c r="N1339" s="1">
        <v>0</v>
      </c>
      <c r="O1339" s="1" t="s">
        <v>105</v>
      </c>
      <c r="P1339" s="186">
        <v>44970.748796296299</v>
      </c>
      <c r="R1339" s="1">
        <v>13</v>
      </c>
      <c r="T1339" s="1" t="s">
        <v>238</v>
      </c>
      <c r="U1339" s="186">
        <v>44970.748796296299</v>
      </c>
      <c r="V1339" s="1" t="s">
        <v>41</v>
      </c>
      <c r="W1339" s="1" t="s">
        <v>49</v>
      </c>
    </row>
    <row r="1340" spans="1:23" hidden="1">
      <c r="A1340" s="1">
        <v>9478195</v>
      </c>
      <c r="B1340" s="1" t="s">
        <v>101</v>
      </c>
      <c r="C1340" t="s">
        <v>1978</v>
      </c>
      <c r="D1340" s="2">
        <v>20234844000451</v>
      </c>
      <c r="E1340" s="2">
        <v>7417163282362</v>
      </c>
      <c r="F1340" s="1" t="s">
        <v>131</v>
      </c>
      <c r="G1340" s="1" t="s">
        <v>53</v>
      </c>
      <c r="H1340" s="1" t="s">
        <v>2821</v>
      </c>
      <c r="I1340" s="1" t="s">
        <v>2822</v>
      </c>
      <c r="J1340" s="1" t="s">
        <v>46</v>
      </c>
      <c r="K1340" t="s">
        <v>132</v>
      </c>
      <c r="M1340" s="1" t="s">
        <v>58</v>
      </c>
      <c r="N1340" s="1">
        <v>0</v>
      </c>
      <c r="O1340" s="1" t="s">
        <v>105</v>
      </c>
      <c r="P1340" s="186">
        <v>44970.741828703707</v>
      </c>
      <c r="R1340" s="1">
        <v>13</v>
      </c>
      <c r="T1340" s="1" t="s">
        <v>238</v>
      </c>
      <c r="U1340" s="186">
        <v>44970.741828703707</v>
      </c>
      <c r="V1340" s="1" t="s">
        <v>41</v>
      </c>
      <c r="W1340" s="1" t="s">
        <v>49</v>
      </c>
    </row>
    <row r="1341" spans="1:23" hidden="1">
      <c r="A1341" s="1">
        <v>9478110</v>
      </c>
      <c r="B1341" s="1" t="s">
        <v>1970</v>
      </c>
      <c r="C1341" t="s">
        <v>1971</v>
      </c>
      <c r="D1341" s="2">
        <v>20231059000017</v>
      </c>
      <c r="E1341" s="2">
        <v>7419141894708</v>
      </c>
      <c r="F1341" s="1" t="s">
        <v>128</v>
      </c>
      <c r="G1341" s="1" t="s">
        <v>53</v>
      </c>
      <c r="H1341" s="1" t="s">
        <v>1972</v>
      </c>
      <c r="I1341" s="1" t="s">
        <v>1973</v>
      </c>
      <c r="J1341" s="1" t="s">
        <v>90</v>
      </c>
      <c r="K1341" t="s">
        <v>129</v>
      </c>
      <c r="M1341" s="1" t="s">
        <v>58</v>
      </c>
      <c r="N1341" s="1">
        <v>0</v>
      </c>
      <c r="O1341" s="1" t="s">
        <v>36</v>
      </c>
      <c r="P1341" s="186">
        <v>44970.736817129633</v>
      </c>
      <c r="R1341" s="1">
        <v>14</v>
      </c>
      <c r="T1341" s="1" t="s">
        <v>238</v>
      </c>
      <c r="U1341" s="186">
        <v>44971.746249999997</v>
      </c>
      <c r="V1341" s="1" t="s">
        <v>41</v>
      </c>
      <c r="W1341" s="1" t="s">
        <v>49</v>
      </c>
    </row>
    <row r="1342" spans="1:23" hidden="1">
      <c r="A1342" s="1">
        <v>9478043</v>
      </c>
      <c r="B1342" s="1" t="s">
        <v>1970</v>
      </c>
      <c r="C1342" t="s">
        <v>1971</v>
      </c>
      <c r="D1342" s="2">
        <v>20234844000450</v>
      </c>
      <c r="E1342" s="2">
        <v>7417163285199</v>
      </c>
      <c r="F1342" s="1" t="s">
        <v>131</v>
      </c>
      <c r="G1342" s="1" t="s">
        <v>53</v>
      </c>
      <c r="H1342" s="1" t="s">
        <v>2348</v>
      </c>
      <c r="I1342" s="1" t="s">
        <v>2349</v>
      </c>
      <c r="J1342" s="1" t="s">
        <v>46</v>
      </c>
      <c r="K1342" t="s">
        <v>132</v>
      </c>
      <c r="M1342" s="1" t="s">
        <v>58</v>
      </c>
      <c r="N1342" s="1">
        <v>0</v>
      </c>
      <c r="O1342" s="1" t="s">
        <v>105</v>
      </c>
      <c r="P1342" s="186">
        <v>44970.729328703703</v>
      </c>
      <c r="R1342" s="1">
        <v>13</v>
      </c>
      <c r="T1342" s="1" t="s">
        <v>238</v>
      </c>
      <c r="U1342" s="186">
        <v>44971.746122685188</v>
      </c>
      <c r="V1342" s="1" t="s">
        <v>41</v>
      </c>
      <c r="W1342" s="1" t="s">
        <v>49</v>
      </c>
    </row>
    <row r="1343" spans="1:23" hidden="1">
      <c r="A1343" s="1">
        <v>9478042</v>
      </c>
      <c r="B1343" s="1" t="s">
        <v>1970</v>
      </c>
      <c r="C1343" t="s">
        <v>1971</v>
      </c>
      <c r="D1343" s="2">
        <v>20231052000013</v>
      </c>
      <c r="E1343" s="2">
        <v>7417163285093</v>
      </c>
      <c r="F1343" s="1" t="s">
        <v>131</v>
      </c>
      <c r="G1343" s="1" t="s">
        <v>53</v>
      </c>
      <c r="H1343" s="1" t="s">
        <v>2560</v>
      </c>
      <c r="I1343" s="1" t="s">
        <v>2561</v>
      </c>
      <c r="J1343" s="1" t="s">
        <v>79</v>
      </c>
      <c r="K1343" t="s">
        <v>132</v>
      </c>
      <c r="M1343" s="1" t="s">
        <v>58</v>
      </c>
      <c r="N1343" s="1">
        <v>0</v>
      </c>
      <c r="O1343" s="1" t="s">
        <v>36</v>
      </c>
      <c r="P1343" s="186">
        <v>44970.729305555556</v>
      </c>
      <c r="R1343" s="1">
        <v>14</v>
      </c>
      <c r="T1343" s="1" t="s">
        <v>238</v>
      </c>
      <c r="U1343" s="186">
        <v>44971.746122685188</v>
      </c>
      <c r="V1343" s="1" t="s">
        <v>41</v>
      </c>
      <c r="W1343" s="1" t="s">
        <v>49</v>
      </c>
    </row>
    <row r="1344" spans="1:23" hidden="1">
      <c r="A1344" s="1">
        <v>9477977</v>
      </c>
      <c r="B1344" s="1" t="s">
        <v>1970</v>
      </c>
      <c r="C1344" t="s">
        <v>1971</v>
      </c>
      <c r="D1344" s="2">
        <v>20230870000025</v>
      </c>
      <c r="E1344" s="2">
        <v>7417163283610</v>
      </c>
      <c r="F1344" s="1" t="s">
        <v>131</v>
      </c>
      <c r="G1344" s="1" t="s">
        <v>53</v>
      </c>
      <c r="H1344" s="1" t="s">
        <v>519</v>
      </c>
      <c r="I1344" s="1" t="s">
        <v>520</v>
      </c>
      <c r="J1344" s="1" t="s">
        <v>90</v>
      </c>
      <c r="K1344" t="s">
        <v>132</v>
      </c>
      <c r="M1344" s="1" t="s">
        <v>58</v>
      </c>
      <c r="N1344" s="1">
        <v>0</v>
      </c>
      <c r="O1344" s="1" t="s">
        <v>105</v>
      </c>
      <c r="P1344" s="186">
        <v>44970.727511574078</v>
      </c>
      <c r="R1344" s="1">
        <v>14</v>
      </c>
      <c r="T1344" s="1" t="s">
        <v>238</v>
      </c>
      <c r="U1344" s="186">
        <v>44971.735266203701</v>
      </c>
      <c r="V1344" s="1" t="s">
        <v>41</v>
      </c>
      <c r="W1344" s="1" t="s">
        <v>49</v>
      </c>
    </row>
    <row r="1345" spans="1:23" hidden="1">
      <c r="A1345" s="1">
        <v>9477885</v>
      </c>
      <c r="B1345" s="1" t="s">
        <v>1970</v>
      </c>
      <c r="C1345" t="s">
        <v>1971</v>
      </c>
      <c r="D1345" s="2">
        <v>20231059000016</v>
      </c>
      <c r="E1345" s="2">
        <v>7417161482599</v>
      </c>
      <c r="F1345" s="1" t="s">
        <v>1217</v>
      </c>
      <c r="G1345" s="1" t="s">
        <v>53</v>
      </c>
      <c r="H1345" s="1" t="s">
        <v>1972</v>
      </c>
      <c r="I1345" s="1" t="s">
        <v>1973</v>
      </c>
      <c r="J1345" s="1" t="s">
        <v>90</v>
      </c>
      <c r="K1345" t="s">
        <v>1218</v>
      </c>
      <c r="M1345" s="1" t="s">
        <v>58</v>
      </c>
      <c r="N1345" s="1">
        <v>0</v>
      </c>
      <c r="O1345" s="1" t="s">
        <v>36</v>
      </c>
      <c r="P1345" s="186">
        <v>44970.718148148146</v>
      </c>
      <c r="R1345" s="1">
        <v>14</v>
      </c>
      <c r="T1345" s="1" t="s">
        <v>238</v>
      </c>
      <c r="U1345" s="186">
        <v>44971.731851851851</v>
      </c>
      <c r="V1345" s="1" t="s">
        <v>41</v>
      </c>
      <c r="W1345" s="1" t="s">
        <v>49</v>
      </c>
    </row>
    <row r="1346" spans="1:23" hidden="1">
      <c r="A1346" s="1">
        <v>9477533</v>
      </c>
      <c r="B1346" s="1" t="s">
        <v>62</v>
      </c>
      <c r="C1346" t="s">
        <v>2845</v>
      </c>
      <c r="E1346" s="2">
        <v>7417183022889</v>
      </c>
      <c r="F1346" s="1" t="s">
        <v>1313</v>
      </c>
      <c r="G1346" s="1" t="s">
        <v>53</v>
      </c>
      <c r="H1346" s="1" t="s">
        <v>2846</v>
      </c>
      <c r="I1346" s="1" t="s">
        <v>2847</v>
      </c>
      <c r="J1346" s="1" t="s">
        <v>110</v>
      </c>
      <c r="K1346" t="s">
        <v>1316</v>
      </c>
      <c r="M1346" s="1" t="s">
        <v>58</v>
      </c>
      <c r="N1346" s="1">
        <v>0</v>
      </c>
      <c r="O1346" s="1" t="s">
        <v>105</v>
      </c>
      <c r="P1346" s="186">
        <v>44970.685370370367</v>
      </c>
      <c r="R1346" s="1">
        <v>14</v>
      </c>
      <c r="T1346" s="1" t="s">
        <v>238</v>
      </c>
      <c r="U1346" s="186">
        <v>44974.999305555553</v>
      </c>
      <c r="V1346" s="1" t="s">
        <v>41</v>
      </c>
      <c r="W1346" s="1" t="s">
        <v>49</v>
      </c>
    </row>
    <row r="1347" spans="1:23">
      <c r="A1347" s="173">
        <v>9477367</v>
      </c>
      <c r="B1347" s="173" t="s">
        <v>1153</v>
      </c>
      <c r="C1347" s="178" t="s">
        <v>3501</v>
      </c>
      <c r="D1347" s="174"/>
      <c r="E1347" s="174">
        <v>246000206021</v>
      </c>
      <c r="F1347" s="173" t="s">
        <v>103</v>
      </c>
      <c r="G1347" s="173" t="s">
        <v>53</v>
      </c>
      <c r="H1347" s="173" t="s">
        <v>1193</v>
      </c>
      <c r="I1347" s="173" t="s">
        <v>1194</v>
      </c>
      <c r="J1347" s="173" t="s">
        <v>85</v>
      </c>
      <c r="K1347" t="s">
        <v>104</v>
      </c>
      <c r="M1347" s="1" t="s">
        <v>58</v>
      </c>
      <c r="N1347" s="1">
        <v>0</v>
      </c>
      <c r="O1347" s="1" t="s">
        <v>36</v>
      </c>
      <c r="P1347" s="186">
        <v>44970.662222222221</v>
      </c>
      <c r="R1347" s="1" t="s">
        <v>38</v>
      </c>
      <c r="T1347" s="1" t="s">
        <v>74</v>
      </c>
      <c r="U1347" s="186">
        <v>44986.625</v>
      </c>
      <c r="V1347" s="1" t="s">
        <v>41</v>
      </c>
      <c r="W1347" s="1" t="s">
        <v>49</v>
      </c>
    </row>
    <row r="1348" spans="1:23" hidden="1">
      <c r="A1348" s="1">
        <v>9477241</v>
      </c>
      <c r="B1348" s="1" t="s">
        <v>1153</v>
      </c>
      <c r="C1348" t="s">
        <v>2853</v>
      </c>
      <c r="D1348" s="2">
        <v>20231421000012</v>
      </c>
      <c r="E1348" s="2">
        <v>7417202021229</v>
      </c>
      <c r="F1348" s="1" t="s">
        <v>1213</v>
      </c>
      <c r="G1348" s="1" t="s">
        <v>53</v>
      </c>
      <c r="H1348" s="1" t="s">
        <v>2854</v>
      </c>
      <c r="I1348" s="1" t="s">
        <v>2855</v>
      </c>
      <c r="J1348" s="1" t="s">
        <v>79</v>
      </c>
      <c r="K1348" t="s">
        <v>1214</v>
      </c>
      <c r="M1348" s="1" t="s">
        <v>58</v>
      </c>
      <c r="N1348" s="1">
        <v>0</v>
      </c>
      <c r="O1348" s="1" t="s">
        <v>36</v>
      </c>
      <c r="P1348" s="186">
        <v>44970.63689814815</v>
      </c>
      <c r="R1348" s="1">
        <v>14</v>
      </c>
      <c r="T1348" s="1" t="s">
        <v>238</v>
      </c>
      <c r="U1348" s="186">
        <v>44970.63689814815</v>
      </c>
      <c r="V1348" s="1" t="s">
        <v>41</v>
      </c>
      <c r="W1348" s="1" t="s">
        <v>49</v>
      </c>
    </row>
    <row r="1349" spans="1:23" hidden="1">
      <c r="A1349" s="1">
        <v>9476939</v>
      </c>
      <c r="B1349" s="1" t="s">
        <v>1153</v>
      </c>
      <c r="C1349" t="s">
        <v>2862</v>
      </c>
      <c r="D1349" s="2">
        <v>230028336</v>
      </c>
      <c r="E1349" s="2">
        <v>1128001400020</v>
      </c>
      <c r="F1349" s="1" t="s">
        <v>1961</v>
      </c>
      <c r="G1349" s="1" t="s">
        <v>53</v>
      </c>
      <c r="H1349" s="1" t="s">
        <v>1191</v>
      </c>
      <c r="I1349" s="1" t="s">
        <v>1192</v>
      </c>
      <c r="J1349" s="1" t="s">
        <v>33</v>
      </c>
      <c r="K1349" t="s">
        <v>1962</v>
      </c>
      <c r="M1349" s="1" t="s">
        <v>58</v>
      </c>
      <c r="N1349" s="1">
        <v>0</v>
      </c>
      <c r="O1349" s="1" t="s">
        <v>36</v>
      </c>
      <c r="P1349" s="186">
        <v>44970.599305555559</v>
      </c>
      <c r="R1349" s="1">
        <v>4</v>
      </c>
      <c r="T1349" s="1" t="s">
        <v>646</v>
      </c>
      <c r="U1349" s="186">
        <v>44979.520833333336</v>
      </c>
      <c r="V1349" s="1" t="s">
        <v>41</v>
      </c>
      <c r="W1349" s="1" t="s">
        <v>49</v>
      </c>
    </row>
    <row r="1350" spans="1:23" hidden="1">
      <c r="A1350" s="1">
        <v>9476686</v>
      </c>
      <c r="B1350" s="1" t="s">
        <v>1153</v>
      </c>
      <c r="C1350" t="s">
        <v>2865</v>
      </c>
      <c r="D1350" s="2">
        <v>20238074000005</v>
      </c>
      <c r="E1350" s="2">
        <v>7417210950046</v>
      </c>
      <c r="F1350" s="1" t="s">
        <v>1213</v>
      </c>
      <c r="G1350" s="1" t="s">
        <v>53</v>
      </c>
      <c r="H1350" s="1" t="s">
        <v>2866</v>
      </c>
      <c r="I1350" s="1" t="s">
        <v>2867</v>
      </c>
      <c r="J1350" s="1" t="s">
        <v>33</v>
      </c>
      <c r="K1350" t="s">
        <v>1214</v>
      </c>
      <c r="M1350" s="1" t="s">
        <v>58</v>
      </c>
      <c r="N1350" s="1">
        <v>0</v>
      </c>
      <c r="O1350" s="1" t="s">
        <v>36</v>
      </c>
      <c r="P1350" s="186">
        <v>44970.548368055555</v>
      </c>
      <c r="R1350" s="1">
        <v>14</v>
      </c>
      <c r="T1350" s="1" t="s">
        <v>238</v>
      </c>
      <c r="U1350" s="186">
        <v>44970.548368055555</v>
      </c>
      <c r="V1350" s="1" t="s">
        <v>41</v>
      </c>
      <c r="W1350" s="1" t="s">
        <v>49</v>
      </c>
    </row>
    <row r="1351" spans="1:23" hidden="1">
      <c r="A1351" s="1">
        <v>9476598</v>
      </c>
      <c r="B1351" s="1" t="s">
        <v>1153</v>
      </c>
      <c r="C1351" t="s">
        <v>2872</v>
      </c>
      <c r="D1351" s="2">
        <v>20234844000445</v>
      </c>
      <c r="E1351" s="2">
        <v>7417172789396</v>
      </c>
      <c r="F1351" s="1" t="s">
        <v>1989</v>
      </c>
      <c r="G1351" s="1" t="s">
        <v>53</v>
      </c>
      <c r="H1351" s="1" t="s">
        <v>2873</v>
      </c>
      <c r="I1351" s="1" t="s">
        <v>2874</v>
      </c>
      <c r="J1351" s="1" t="s">
        <v>46</v>
      </c>
      <c r="K1351" t="s">
        <v>1990</v>
      </c>
      <c r="M1351" s="1" t="s">
        <v>58</v>
      </c>
      <c r="N1351" s="1">
        <v>0</v>
      </c>
      <c r="O1351" s="1" t="s">
        <v>36</v>
      </c>
      <c r="P1351" s="186">
        <v>44970.5393287037</v>
      </c>
      <c r="R1351" s="1">
        <v>22</v>
      </c>
      <c r="T1351" s="1" t="s">
        <v>1160</v>
      </c>
      <c r="U1351" s="186">
        <v>44972.747662037036</v>
      </c>
      <c r="V1351" s="1" t="s">
        <v>41</v>
      </c>
      <c r="W1351" s="1" t="s">
        <v>49</v>
      </c>
    </row>
    <row r="1352" spans="1:23" hidden="1">
      <c r="A1352" s="1">
        <v>9476515</v>
      </c>
      <c r="B1352" s="1" t="s">
        <v>1153</v>
      </c>
      <c r="C1352" t="e" cm="1">
        <f t="array" aca="1" ref="C1352" ca="1">-SKIMMING DETECTADON</f>
        <v>#NAME?</v>
      </c>
      <c r="D1352" s="2">
        <v>20231421000011</v>
      </c>
      <c r="E1352" s="2">
        <v>7417202021230</v>
      </c>
      <c r="F1352" s="1" t="s">
        <v>1213</v>
      </c>
      <c r="G1352" s="1" t="s">
        <v>53</v>
      </c>
      <c r="H1352" s="1" t="s">
        <v>2854</v>
      </c>
      <c r="I1352" s="1" t="s">
        <v>2855</v>
      </c>
      <c r="J1352" s="1" t="s">
        <v>79</v>
      </c>
      <c r="K1352" t="s">
        <v>1214</v>
      </c>
      <c r="M1352" s="1" t="s">
        <v>58</v>
      </c>
      <c r="N1352" s="1">
        <v>0</v>
      </c>
      <c r="O1352" s="1" t="s">
        <v>36</v>
      </c>
      <c r="P1352" s="186">
        <v>44970.523252314815</v>
      </c>
      <c r="R1352" s="1">
        <v>14</v>
      </c>
      <c r="T1352" s="1" t="s">
        <v>238</v>
      </c>
      <c r="U1352" s="186">
        <v>44970.523252314815</v>
      </c>
      <c r="V1352" s="1" t="s">
        <v>41</v>
      </c>
      <c r="W1352" s="1" t="s">
        <v>49</v>
      </c>
    </row>
    <row r="1353" spans="1:23" hidden="1">
      <c r="A1353" s="1">
        <v>9476194</v>
      </c>
      <c r="B1353" s="1" t="s">
        <v>1153</v>
      </c>
      <c r="C1353" t="s">
        <v>2890</v>
      </c>
      <c r="D1353" s="2">
        <v>20231739000003</v>
      </c>
      <c r="E1353" s="2">
        <v>7417210950311</v>
      </c>
      <c r="F1353" s="1" t="s">
        <v>1213</v>
      </c>
      <c r="G1353" s="1" t="s">
        <v>53</v>
      </c>
      <c r="H1353" s="1" t="s">
        <v>2891</v>
      </c>
      <c r="I1353" s="1" t="s">
        <v>2892</v>
      </c>
      <c r="J1353" s="1" t="s">
        <v>164</v>
      </c>
      <c r="K1353" t="s">
        <v>1214</v>
      </c>
      <c r="M1353" s="1" t="s">
        <v>58</v>
      </c>
      <c r="N1353" s="1">
        <v>0</v>
      </c>
      <c r="O1353" s="1" t="s">
        <v>36</v>
      </c>
      <c r="P1353" s="186">
        <v>44970.482349537036</v>
      </c>
      <c r="R1353" s="1">
        <v>14</v>
      </c>
      <c r="T1353" s="1" t="s">
        <v>238</v>
      </c>
      <c r="U1353" s="186">
        <v>44970.482349537036</v>
      </c>
      <c r="V1353" s="1" t="s">
        <v>41</v>
      </c>
      <c r="W1353" s="1" t="s">
        <v>49</v>
      </c>
    </row>
    <row r="1354" spans="1:23" hidden="1">
      <c r="A1354" s="181">
        <v>9475757</v>
      </c>
      <c r="B1354" s="181" t="s">
        <v>1153</v>
      </c>
      <c r="C1354" s="185" t="s">
        <v>2903</v>
      </c>
      <c r="D1354" s="183">
        <v>230028057</v>
      </c>
      <c r="E1354" s="183">
        <v>2437001400010</v>
      </c>
      <c r="F1354" s="181" t="s">
        <v>936</v>
      </c>
      <c r="G1354" s="181" t="s">
        <v>53</v>
      </c>
      <c r="H1354" s="181" t="s">
        <v>416</v>
      </c>
      <c r="I1354" s="181" t="s">
        <v>417</v>
      </c>
      <c r="J1354" s="181" t="s">
        <v>211</v>
      </c>
      <c r="K1354" t="s">
        <v>937</v>
      </c>
      <c r="M1354" s="1" t="s">
        <v>58</v>
      </c>
      <c r="N1354" s="1">
        <v>0</v>
      </c>
      <c r="O1354" s="1" t="s">
        <v>36</v>
      </c>
      <c r="P1354" s="186">
        <v>44970.445625</v>
      </c>
      <c r="R1354" s="1">
        <v>3</v>
      </c>
      <c r="T1354" s="1" t="s">
        <v>646</v>
      </c>
      <c r="U1354" s="186">
        <v>44984.586805555555</v>
      </c>
      <c r="V1354" s="1" t="s">
        <v>41</v>
      </c>
      <c r="W1354" s="1" t="s">
        <v>49</v>
      </c>
    </row>
    <row r="1355" spans="1:23" hidden="1">
      <c r="A1355" s="1">
        <v>9475584</v>
      </c>
      <c r="B1355" s="1" t="s">
        <v>101</v>
      </c>
      <c r="C1355" t="s">
        <v>1740</v>
      </c>
      <c r="E1355" s="2">
        <v>7419151140262</v>
      </c>
      <c r="F1355" s="1" t="s">
        <v>2058</v>
      </c>
      <c r="G1355" s="1" t="s">
        <v>53</v>
      </c>
      <c r="H1355" s="1" t="s">
        <v>2910</v>
      </c>
      <c r="I1355" s="1" t="s">
        <v>2911</v>
      </c>
      <c r="J1355" s="1" t="s">
        <v>90</v>
      </c>
      <c r="K1355" t="s">
        <v>2061</v>
      </c>
      <c r="M1355" s="1" t="s">
        <v>58</v>
      </c>
      <c r="N1355" s="1">
        <v>0</v>
      </c>
      <c r="O1355" s="1" t="s">
        <v>36</v>
      </c>
      <c r="P1355" s="186">
        <v>44970.429606481484</v>
      </c>
      <c r="R1355" s="1">
        <v>14</v>
      </c>
      <c r="T1355" s="1" t="s">
        <v>238</v>
      </c>
      <c r="U1355" s="186">
        <v>44970.429606481484</v>
      </c>
      <c r="V1355" s="1" t="s">
        <v>41</v>
      </c>
      <c r="W1355" s="1" t="s">
        <v>49</v>
      </c>
    </row>
    <row r="1356" spans="1:23" hidden="1">
      <c r="A1356" s="1">
        <v>9475564</v>
      </c>
      <c r="B1356" s="1" t="s">
        <v>1153</v>
      </c>
      <c r="C1356" t="s">
        <v>2921</v>
      </c>
      <c r="D1356" s="2">
        <v>20231363000016</v>
      </c>
      <c r="E1356" s="2">
        <v>7419152461296</v>
      </c>
      <c r="F1356" s="1" t="s">
        <v>2744</v>
      </c>
      <c r="G1356" s="1" t="s">
        <v>53</v>
      </c>
      <c r="H1356" s="1" t="s">
        <v>108</v>
      </c>
      <c r="I1356" s="1" t="s">
        <v>109</v>
      </c>
      <c r="J1356" s="1" t="s">
        <v>110</v>
      </c>
      <c r="K1356" t="s">
        <v>2745</v>
      </c>
      <c r="M1356" s="1" t="s">
        <v>58</v>
      </c>
      <c r="N1356" s="1">
        <v>0</v>
      </c>
      <c r="O1356" s="1" t="s">
        <v>36</v>
      </c>
      <c r="P1356" s="186">
        <v>44970.422500000001</v>
      </c>
      <c r="R1356" s="1">
        <v>22</v>
      </c>
      <c r="T1356" s="1" t="s">
        <v>1160</v>
      </c>
      <c r="U1356" s="186">
        <v>44972.630833333336</v>
      </c>
      <c r="V1356" s="1" t="s">
        <v>41</v>
      </c>
      <c r="W1356" s="1" t="s">
        <v>49</v>
      </c>
    </row>
    <row r="1357" spans="1:23" hidden="1">
      <c r="A1357" s="1">
        <v>9475382</v>
      </c>
      <c r="B1357" s="1" t="s">
        <v>1153</v>
      </c>
      <c r="C1357" t="s">
        <v>2924</v>
      </c>
      <c r="D1357" s="2">
        <v>20232388000005</v>
      </c>
      <c r="E1357" s="2">
        <v>7417183024351</v>
      </c>
      <c r="F1357" s="1" t="s">
        <v>1313</v>
      </c>
      <c r="G1357" s="1" t="s">
        <v>53</v>
      </c>
      <c r="H1357" s="1" t="s">
        <v>2925</v>
      </c>
      <c r="I1357" s="1" t="s">
        <v>2926</v>
      </c>
      <c r="J1357" s="1" t="s">
        <v>79</v>
      </c>
      <c r="K1357" t="s">
        <v>1316</v>
      </c>
      <c r="M1357" s="1" t="s">
        <v>58</v>
      </c>
      <c r="N1357" s="1">
        <v>0</v>
      </c>
      <c r="O1357" s="1" t="s">
        <v>105</v>
      </c>
      <c r="P1357" s="186">
        <v>44970.411215277774</v>
      </c>
      <c r="R1357" s="1">
        <v>14</v>
      </c>
      <c r="T1357" s="1" t="s">
        <v>238</v>
      </c>
      <c r="U1357" s="186">
        <v>44970.411215277774</v>
      </c>
      <c r="V1357" s="1" t="s">
        <v>41</v>
      </c>
      <c r="W1357" s="1" t="s">
        <v>49</v>
      </c>
    </row>
    <row r="1358" spans="1:23" hidden="1">
      <c r="A1358" s="173">
        <v>9475024</v>
      </c>
      <c r="B1358" s="173" t="s">
        <v>1153</v>
      </c>
      <c r="C1358" s="178" t="s">
        <v>3503</v>
      </c>
      <c r="D1358" s="174">
        <v>230027889</v>
      </c>
      <c r="E1358" s="174">
        <v>1108001400030</v>
      </c>
      <c r="F1358" s="173" t="s">
        <v>647</v>
      </c>
      <c r="G1358" s="173" t="s">
        <v>53</v>
      </c>
      <c r="H1358" s="173" t="s">
        <v>295</v>
      </c>
      <c r="I1358" s="173" t="s">
        <v>296</v>
      </c>
      <c r="J1358" s="173" t="s">
        <v>90</v>
      </c>
      <c r="K1358" t="s">
        <v>650</v>
      </c>
      <c r="M1358" s="1" t="s">
        <v>58</v>
      </c>
      <c r="N1358" s="1">
        <v>0</v>
      </c>
      <c r="O1358" s="1" t="s">
        <v>36</v>
      </c>
      <c r="P1358" s="186">
        <v>44970.384965277779</v>
      </c>
      <c r="R1358" s="1">
        <v>4</v>
      </c>
      <c r="T1358" s="1" t="s">
        <v>646</v>
      </c>
      <c r="U1358" s="186">
        <v>44979.75</v>
      </c>
      <c r="V1358" s="1" t="s">
        <v>41</v>
      </c>
      <c r="W1358" s="1" t="s">
        <v>49</v>
      </c>
    </row>
    <row r="1359" spans="1:23" hidden="1">
      <c r="A1359" s="1">
        <v>9474736</v>
      </c>
      <c r="B1359" s="1" t="s">
        <v>1153</v>
      </c>
      <c r="C1359" t="s">
        <v>2935</v>
      </c>
      <c r="E1359" s="2">
        <v>1902016281100</v>
      </c>
      <c r="F1359" s="1" t="s">
        <v>64</v>
      </c>
      <c r="G1359" s="1" t="s">
        <v>53</v>
      </c>
      <c r="H1359" s="1" t="s">
        <v>44</v>
      </c>
      <c r="I1359" s="1" t="s">
        <v>45</v>
      </c>
      <c r="J1359" s="1" t="s">
        <v>46</v>
      </c>
      <c r="K1359" t="s">
        <v>67</v>
      </c>
      <c r="M1359" s="1" t="s">
        <v>35</v>
      </c>
      <c r="N1359" s="1">
        <v>42318949</v>
      </c>
      <c r="O1359" s="1" t="s">
        <v>36</v>
      </c>
      <c r="P1359" s="186">
        <v>44970.344606481478</v>
      </c>
      <c r="R1359" s="1" t="s">
        <v>2937</v>
      </c>
      <c r="T1359" s="1" t="s">
        <v>69</v>
      </c>
      <c r="U1359" s="186">
        <v>44970.708333333336</v>
      </c>
      <c r="V1359" s="1" t="s">
        <v>41</v>
      </c>
      <c r="W1359" s="1" t="s">
        <v>49</v>
      </c>
    </row>
    <row r="1360" spans="1:23" hidden="1">
      <c r="A1360" s="1">
        <v>9471628</v>
      </c>
      <c r="B1360" s="1" t="s">
        <v>1153</v>
      </c>
      <c r="C1360" t="s">
        <v>2960</v>
      </c>
      <c r="E1360" s="2">
        <v>5742000206001</v>
      </c>
      <c r="F1360" s="1" t="s">
        <v>29</v>
      </c>
      <c r="G1360" s="1" t="s">
        <v>53</v>
      </c>
      <c r="H1360" s="1" t="s">
        <v>430</v>
      </c>
      <c r="I1360" s="1" t="s">
        <v>431</v>
      </c>
      <c r="J1360" s="1" t="s">
        <v>79</v>
      </c>
      <c r="K1360" t="s">
        <v>34</v>
      </c>
      <c r="M1360" s="1" t="s">
        <v>35</v>
      </c>
      <c r="N1360" s="1">
        <v>42318949</v>
      </c>
      <c r="O1360" s="1" t="s">
        <v>36</v>
      </c>
      <c r="P1360" s="186">
        <v>44969.469618055555</v>
      </c>
      <c r="R1360" s="1" t="s">
        <v>38</v>
      </c>
      <c r="T1360" s="1" t="s">
        <v>74</v>
      </c>
      <c r="U1360" s="186">
        <v>44984.458333333336</v>
      </c>
      <c r="V1360" s="1" t="s">
        <v>41</v>
      </c>
      <c r="W1360" s="1" t="s">
        <v>49</v>
      </c>
    </row>
    <row r="1361" spans="1:23" hidden="1">
      <c r="A1361" s="181">
        <v>9471530</v>
      </c>
      <c r="B1361" s="181" t="s">
        <v>1153</v>
      </c>
      <c r="C1361" s="182" t="s">
        <v>3648</v>
      </c>
      <c r="D1361" s="183"/>
      <c r="E1361" s="183">
        <v>2683000206001</v>
      </c>
      <c r="F1361" s="181" t="s">
        <v>29</v>
      </c>
      <c r="G1361" s="181" t="s">
        <v>53</v>
      </c>
      <c r="H1361" s="181" t="s">
        <v>276</v>
      </c>
      <c r="I1361" s="181" t="s">
        <v>277</v>
      </c>
      <c r="J1361" s="181" t="s">
        <v>90</v>
      </c>
      <c r="K1361" t="s">
        <v>34</v>
      </c>
      <c r="M1361" s="1" t="s">
        <v>35</v>
      </c>
      <c r="N1361" s="1">
        <v>42318949</v>
      </c>
      <c r="O1361" s="1" t="s">
        <v>36</v>
      </c>
      <c r="P1361" s="186">
        <v>44969.449016203704</v>
      </c>
      <c r="R1361" s="1" t="s">
        <v>38</v>
      </c>
      <c r="T1361" s="1" t="s">
        <v>74</v>
      </c>
      <c r="U1361" s="186">
        <v>44985.607638888891</v>
      </c>
      <c r="V1361" s="1" t="s">
        <v>41</v>
      </c>
      <c r="W1361" s="1" t="s">
        <v>49</v>
      </c>
    </row>
    <row r="1362" spans="1:23" hidden="1">
      <c r="A1362" s="175">
        <v>9471374</v>
      </c>
      <c r="B1362" s="175" t="s">
        <v>1153</v>
      </c>
      <c r="C1362" s="184" t="s">
        <v>3986</v>
      </c>
      <c r="D1362" s="177"/>
      <c r="E1362" s="177">
        <v>1069000203000</v>
      </c>
      <c r="F1362" s="175" t="s">
        <v>454</v>
      </c>
      <c r="G1362" s="175" t="s">
        <v>53</v>
      </c>
      <c r="H1362" s="175" t="s">
        <v>353</v>
      </c>
      <c r="I1362" s="175" t="s">
        <v>354</v>
      </c>
      <c r="J1362" s="175" t="s">
        <v>211</v>
      </c>
      <c r="K1362" t="s">
        <v>457</v>
      </c>
      <c r="M1362" s="1" t="s">
        <v>58</v>
      </c>
      <c r="N1362" s="1">
        <v>0</v>
      </c>
      <c r="O1362" s="1" t="s">
        <v>36</v>
      </c>
      <c r="P1362" s="186">
        <v>44969.417592592596</v>
      </c>
      <c r="R1362" s="1">
        <v>1</v>
      </c>
      <c r="T1362" s="1" t="s">
        <v>157</v>
      </c>
      <c r="U1362" s="186">
        <v>44970.417604166665</v>
      </c>
      <c r="V1362" s="1" t="s">
        <v>41</v>
      </c>
      <c r="W1362" s="1" t="s">
        <v>49</v>
      </c>
    </row>
    <row r="1363" spans="1:23" hidden="1">
      <c r="A1363" s="1">
        <v>9471370</v>
      </c>
      <c r="B1363" s="1" t="s">
        <v>1153</v>
      </c>
      <c r="C1363" t="s">
        <v>2966</v>
      </c>
      <c r="E1363" s="2">
        <v>1049000203000</v>
      </c>
      <c r="F1363" s="1" t="s">
        <v>454</v>
      </c>
      <c r="G1363" s="1" t="s">
        <v>53</v>
      </c>
      <c r="H1363" s="1" t="s">
        <v>169</v>
      </c>
      <c r="I1363" s="1" t="s">
        <v>170</v>
      </c>
      <c r="J1363" s="1" t="s">
        <v>164</v>
      </c>
      <c r="K1363" t="s">
        <v>457</v>
      </c>
      <c r="M1363" s="1" t="s">
        <v>58</v>
      </c>
      <c r="N1363" s="1">
        <v>0</v>
      </c>
      <c r="O1363" s="1" t="s">
        <v>36</v>
      </c>
      <c r="P1363" s="186">
        <v>44969.417337962965</v>
      </c>
      <c r="R1363" s="1">
        <v>1</v>
      </c>
      <c r="T1363" s="1" t="s">
        <v>157</v>
      </c>
      <c r="U1363" s="186">
        <v>44970.417337962965</v>
      </c>
      <c r="V1363" s="1" t="s">
        <v>41</v>
      </c>
      <c r="W1363" s="1" t="s">
        <v>49</v>
      </c>
    </row>
    <row r="1364" spans="1:23" hidden="1">
      <c r="A1364" s="1">
        <v>9471368</v>
      </c>
      <c r="B1364" s="1" t="s">
        <v>1153</v>
      </c>
      <c r="C1364" t="s">
        <v>2966</v>
      </c>
      <c r="E1364" s="2">
        <v>1011000203000</v>
      </c>
      <c r="F1364" s="1" t="s">
        <v>454</v>
      </c>
      <c r="G1364" s="1" t="s">
        <v>53</v>
      </c>
      <c r="H1364" s="1" t="s">
        <v>272</v>
      </c>
      <c r="I1364" s="1" t="s">
        <v>273</v>
      </c>
      <c r="J1364" s="1" t="s">
        <v>33</v>
      </c>
      <c r="K1364" t="s">
        <v>457</v>
      </c>
      <c r="M1364" s="1" t="s">
        <v>58</v>
      </c>
      <c r="N1364" s="1">
        <v>0</v>
      </c>
      <c r="O1364" s="1" t="s">
        <v>36</v>
      </c>
      <c r="P1364" s="186">
        <v>44969.417222222219</v>
      </c>
      <c r="R1364" s="1">
        <v>1</v>
      </c>
      <c r="T1364" s="1" t="s">
        <v>157</v>
      </c>
      <c r="U1364" s="186">
        <v>44970.417222222219</v>
      </c>
      <c r="V1364" s="1" t="s">
        <v>41</v>
      </c>
      <c r="W1364" s="1" t="s">
        <v>49</v>
      </c>
    </row>
    <row r="1365" spans="1:23" hidden="1">
      <c r="A1365" s="181">
        <v>9471333</v>
      </c>
      <c r="B1365" s="181" t="s">
        <v>1153</v>
      </c>
      <c r="C1365" s="182" t="s">
        <v>3509</v>
      </c>
      <c r="D1365" s="183"/>
      <c r="E1365" s="183">
        <v>68000203000</v>
      </c>
      <c r="F1365" s="181" t="s">
        <v>454</v>
      </c>
      <c r="G1365" s="181" t="s">
        <v>53</v>
      </c>
      <c r="H1365" s="181" t="s">
        <v>1330</v>
      </c>
      <c r="I1365" s="181" t="s">
        <v>1331</v>
      </c>
      <c r="J1365" s="181" t="s">
        <v>211</v>
      </c>
      <c r="K1365" t="s">
        <v>457</v>
      </c>
      <c r="M1365" s="1" t="s">
        <v>58</v>
      </c>
      <c r="N1365" s="1">
        <v>0</v>
      </c>
      <c r="O1365" s="1" t="s">
        <v>36</v>
      </c>
      <c r="P1365" s="186">
        <v>44969.407256944447</v>
      </c>
      <c r="R1365" s="1">
        <v>1</v>
      </c>
      <c r="T1365" s="1" t="s">
        <v>157</v>
      </c>
      <c r="U1365" s="186">
        <v>44970.407256944447</v>
      </c>
      <c r="V1365" s="1" t="s">
        <v>41</v>
      </c>
      <c r="W1365" s="1" t="s">
        <v>49</v>
      </c>
    </row>
    <row r="1366" spans="1:23" hidden="1">
      <c r="A1366" s="1">
        <v>9483056</v>
      </c>
      <c r="B1366" s="1" t="s">
        <v>62</v>
      </c>
      <c r="C1366" t="s">
        <v>3211</v>
      </c>
      <c r="E1366" s="2">
        <v>68000203000</v>
      </c>
      <c r="F1366" s="1" t="s">
        <v>454</v>
      </c>
      <c r="G1366" s="1" t="s">
        <v>53</v>
      </c>
      <c r="H1366" s="1" t="s">
        <v>1330</v>
      </c>
      <c r="I1366" s="1" t="s">
        <v>1331</v>
      </c>
      <c r="J1366" s="1" t="s">
        <v>211</v>
      </c>
      <c r="K1366" t="s">
        <v>457</v>
      </c>
      <c r="M1366" s="1" t="s">
        <v>58</v>
      </c>
      <c r="N1366" s="1">
        <v>0</v>
      </c>
      <c r="O1366" s="1" t="s">
        <v>105</v>
      </c>
      <c r="P1366" s="186">
        <v>44971.733067129629</v>
      </c>
      <c r="R1366" s="1">
        <v>1</v>
      </c>
      <c r="T1366" s="1" t="s">
        <v>157</v>
      </c>
      <c r="U1366" s="186">
        <v>45007.75</v>
      </c>
      <c r="V1366" s="1" t="s">
        <v>41</v>
      </c>
      <c r="W1366" s="1" t="s">
        <v>49</v>
      </c>
    </row>
    <row r="1367" spans="1:23">
      <c r="A1367" s="1">
        <v>9483038</v>
      </c>
      <c r="B1367" s="1" t="s">
        <v>1153</v>
      </c>
      <c r="C1367" t="s">
        <v>3213</v>
      </c>
      <c r="E1367" s="2">
        <v>1061000203000</v>
      </c>
      <c r="F1367" s="1" t="s">
        <v>454</v>
      </c>
      <c r="G1367" s="1" t="s">
        <v>53</v>
      </c>
      <c r="H1367" s="1" t="s">
        <v>166</v>
      </c>
      <c r="I1367" s="1" t="s">
        <v>167</v>
      </c>
      <c r="J1367" s="1" t="s">
        <v>85</v>
      </c>
      <c r="K1367" t="s">
        <v>457</v>
      </c>
      <c r="M1367" s="1" t="s">
        <v>58</v>
      </c>
      <c r="N1367" s="1">
        <v>0</v>
      </c>
      <c r="O1367" s="1" t="s">
        <v>36</v>
      </c>
      <c r="P1367" s="186">
        <v>44971.729756944442</v>
      </c>
      <c r="R1367" s="1">
        <v>1</v>
      </c>
      <c r="T1367" s="1" t="s">
        <v>157</v>
      </c>
      <c r="U1367" s="186">
        <v>44972.729756944442</v>
      </c>
      <c r="V1367" s="1" t="s">
        <v>41</v>
      </c>
      <c r="W1367" s="1" t="s">
        <v>49</v>
      </c>
    </row>
    <row r="1368" spans="1:23" hidden="1">
      <c r="A1368" s="1">
        <v>9482851</v>
      </c>
      <c r="B1368" s="1" t="s">
        <v>1153</v>
      </c>
      <c r="C1368" t="s">
        <v>3219</v>
      </c>
      <c r="D1368" s="2">
        <v>20234844000465</v>
      </c>
      <c r="E1368" s="2">
        <v>7419141893532</v>
      </c>
      <c r="F1368" s="1" t="s">
        <v>128</v>
      </c>
      <c r="G1368" s="1" t="s">
        <v>53</v>
      </c>
      <c r="H1368" s="1" t="s">
        <v>2395</v>
      </c>
      <c r="I1368" s="1" t="s">
        <v>2396</v>
      </c>
      <c r="J1368" s="1" t="s">
        <v>46</v>
      </c>
      <c r="K1368" t="s">
        <v>129</v>
      </c>
      <c r="M1368" s="1" t="s">
        <v>58</v>
      </c>
      <c r="N1368" s="1">
        <v>0</v>
      </c>
      <c r="O1368" s="1" t="s">
        <v>36</v>
      </c>
      <c r="P1368" s="186">
        <v>44971.687256944446</v>
      </c>
      <c r="R1368" s="1">
        <v>13</v>
      </c>
      <c r="T1368" s="1" t="s">
        <v>238</v>
      </c>
      <c r="U1368" s="186">
        <v>44971.687256944446</v>
      </c>
      <c r="V1368" s="1" t="s">
        <v>41</v>
      </c>
      <c r="W1368" s="1" t="s">
        <v>49</v>
      </c>
    </row>
    <row r="1369" spans="1:23" hidden="1">
      <c r="A1369" s="1">
        <v>9482660</v>
      </c>
      <c r="B1369" s="1" t="s">
        <v>1153</v>
      </c>
      <c r="C1369" t="s">
        <v>3225</v>
      </c>
      <c r="D1369" s="2">
        <v>20232219000013</v>
      </c>
      <c r="E1369" s="2">
        <v>7417202020217</v>
      </c>
      <c r="F1369" s="1" t="s">
        <v>1213</v>
      </c>
      <c r="G1369" s="1" t="s">
        <v>53</v>
      </c>
      <c r="H1369" s="1" t="s">
        <v>1980</v>
      </c>
      <c r="I1369" s="1" t="s">
        <v>1981</v>
      </c>
      <c r="J1369" s="1" t="s">
        <v>141</v>
      </c>
      <c r="K1369" t="s">
        <v>1214</v>
      </c>
      <c r="M1369" s="1" t="s">
        <v>58</v>
      </c>
      <c r="N1369" s="1">
        <v>0</v>
      </c>
      <c r="O1369" s="1" t="s">
        <v>36</v>
      </c>
      <c r="P1369" s="186">
        <v>44971.656493055554</v>
      </c>
      <c r="R1369" s="1">
        <v>14</v>
      </c>
      <c r="T1369" s="1" t="s">
        <v>238</v>
      </c>
      <c r="U1369" s="186">
        <v>44971.656493055554</v>
      </c>
      <c r="V1369" s="1" t="s">
        <v>41</v>
      </c>
      <c r="W1369" s="1" t="s">
        <v>49</v>
      </c>
    </row>
    <row r="1370" spans="1:23" hidden="1">
      <c r="A1370" s="1">
        <v>9482649</v>
      </c>
      <c r="B1370" s="1" t="s">
        <v>1153</v>
      </c>
      <c r="C1370" t="s">
        <v>3227</v>
      </c>
      <c r="D1370" s="2">
        <v>20231012000005</v>
      </c>
      <c r="E1370" s="2">
        <v>7417202020693</v>
      </c>
      <c r="F1370" s="1" t="s">
        <v>1213</v>
      </c>
      <c r="G1370" s="1" t="s">
        <v>53</v>
      </c>
      <c r="H1370" s="1" t="s">
        <v>2481</v>
      </c>
      <c r="I1370" s="1" t="s">
        <v>2482</v>
      </c>
      <c r="J1370" s="1" t="s">
        <v>164</v>
      </c>
      <c r="K1370" t="s">
        <v>1214</v>
      </c>
      <c r="M1370" s="1" t="s">
        <v>58</v>
      </c>
      <c r="N1370" s="1">
        <v>0</v>
      </c>
      <c r="O1370" s="1" t="s">
        <v>105</v>
      </c>
      <c r="P1370" s="186">
        <v>44971.662743055553</v>
      </c>
      <c r="R1370" s="1">
        <v>15</v>
      </c>
      <c r="T1370" s="1" t="s">
        <v>238</v>
      </c>
      <c r="U1370" s="186">
        <v>44971.662743055553</v>
      </c>
      <c r="V1370" s="1" t="s">
        <v>41</v>
      </c>
      <c r="W1370" s="1" t="s">
        <v>49</v>
      </c>
    </row>
    <row r="1371" spans="1:23" hidden="1">
      <c r="A1371" s="1">
        <v>9482633</v>
      </c>
      <c r="B1371" s="1" t="s">
        <v>1153</v>
      </c>
      <c r="C1371" t="s">
        <v>3233</v>
      </c>
      <c r="D1371" s="2">
        <v>20231850000009</v>
      </c>
      <c r="E1371" s="2">
        <v>7417193050600</v>
      </c>
      <c r="F1371" s="1" t="s">
        <v>1719</v>
      </c>
      <c r="G1371" s="1" t="s">
        <v>53</v>
      </c>
      <c r="H1371" s="1" t="s">
        <v>1931</v>
      </c>
      <c r="I1371" s="1" t="s">
        <v>1932</v>
      </c>
      <c r="J1371" s="1" t="s">
        <v>46</v>
      </c>
      <c r="K1371" t="s">
        <v>1720</v>
      </c>
      <c r="M1371" s="1" t="s">
        <v>58</v>
      </c>
      <c r="N1371" s="1">
        <v>0</v>
      </c>
      <c r="O1371" s="1" t="s">
        <v>36</v>
      </c>
      <c r="P1371" s="186">
        <v>44971.659548611111</v>
      </c>
      <c r="R1371" s="1">
        <v>22</v>
      </c>
      <c r="T1371" s="1" t="s">
        <v>1160</v>
      </c>
      <c r="U1371" s="186">
        <v>44974.492881944447</v>
      </c>
      <c r="V1371" s="1" t="s">
        <v>41</v>
      </c>
      <c r="W1371" s="1" t="s">
        <v>49</v>
      </c>
    </row>
    <row r="1372" spans="1:23" hidden="1">
      <c r="A1372" s="1">
        <v>9482481</v>
      </c>
      <c r="B1372" s="1" t="s">
        <v>1153</v>
      </c>
      <c r="C1372" t="s">
        <v>3243</v>
      </c>
      <c r="E1372" s="2">
        <v>9704000206200</v>
      </c>
      <c r="F1372" s="1" t="s">
        <v>208</v>
      </c>
      <c r="G1372" s="1" t="s">
        <v>53</v>
      </c>
      <c r="H1372" s="1" t="s">
        <v>488</v>
      </c>
      <c r="I1372" s="1" t="s">
        <v>489</v>
      </c>
      <c r="J1372" s="1" t="s">
        <v>164</v>
      </c>
      <c r="K1372" t="s">
        <v>212</v>
      </c>
      <c r="M1372" s="1" t="s">
        <v>35</v>
      </c>
      <c r="N1372" s="1">
        <v>42318949</v>
      </c>
      <c r="O1372" s="1" t="s">
        <v>36</v>
      </c>
      <c r="P1372" s="186">
        <v>44971.646354166667</v>
      </c>
      <c r="R1372" s="1" t="s">
        <v>38</v>
      </c>
      <c r="T1372" s="1" t="s">
        <v>74</v>
      </c>
      <c r="U1372" s="186">
        <v>44984.458333333336</v>
      </c>
      <c r="V1372" s="1" t="s">
        <v>41</v>
      </c>
      <c r="W1372" s="1" t="s">
        <v>49</v>
      </c>
    </row>
    <row r="1373" spans="1:23" hidden="1">
      <c r="A1373" s="1">
        <v>9482426</v>
      </c>
      <c r="B1373" s="1" t="s">
        <v>1153</v>
      </c>
      <c r="C1373" t="s">
        <v>3245</v>
      </c>
      <c r="D1373" s="2">
        <v>20231012000004</v>
      </c>
      <c r="E1373" s="2">
        <v>7417183020615</v>
      </c>
      <c r="F1373" s="1" t="s">
        <v>1313</v>
      </c>
      <c r="G1373" s="1" t="s">
        <v>53</v>
      </c>
      <c r="H1373" s="1" t="s">
        <v>2481</v>
      </c>
      <c r="I1373" s="1" t="s">
        <v>2482</v>
      </c>
      <c r="J1373" s="1" t="s">
        <v>164</v>
      </c>
      <c r="K1373" t="s">
        <v>1316</v>
      </c>
      <c r="M1373" s="1" t="s">
        <v>58</v>
      </c>
      <c r="N1373" s="1">
        <v>0</v>
      </c>
      <c r="O1373" s="1" t="s">
        <v>36</v>
      </c>
      <c r="P1373" s="186">
        <v>44971.625428240739</v>
      </c>
      <c r="R1373" s="1">
        <v>15</v>
      </c>
      <c r="T1373" s="1" t="s">
        <v>238</v>
      </c>
      <c r="U1373" s="186">
        <v>44971.625428240739</v>
      </c>
      <c r="V1373" s="1" t="s">
        <v>41</v>
      </c>
      <c r="W1373" s="1" t="s">
        <v>49</v>
      </c>
    </row>
    <row r="1374" spans="1:23" hidden="1">
      <c r="A1374" s="1">
        <v>9482130</v>
      </c>
      <c r="B1374" s="1" t="s">
        <v>1153</v>
      </c>
      <c r="C1374" t="s">
        <v>3256</v>
      </c>
      <c r="E1374" s="2">
        <v>2855000206001</v>
      </c>
      <c r="F1374" s="1" t="s">
        <v>29</v>
      </c>
      <c r="G1374" s="1" t="s">
        <v>53</v>
      </c>
      <c r="H1374" s="1" t="s">
        <v>249</v>
      </c>
      <c r="I1374" s="1" t="s">
        <v>250</v>
      </c>
      <c r="J1374" s="1" t="s">
        <v>56</v>
      </c>
      <c r="K1374" t="s">
        <v>34</v>
      </c>
      <c r="M1374" s="1" t="s">
        <v>35</v>
      </c>
      <c r="N1374" s="1">
        <v>42318949</v>
      </c>
      <c r="O1374" s="1" t="s">
        <v>36</v>
      </c>
      <c r="P1374" s="186">
        <v>44971.594247685185</v>
      </c>
      <c r="R1374" s="1" t="s">
        <v>38</v>
      </c>
      <c r="T1374" s="1" t="s">
        <v>74</v>
      </c>
      <c r="U1374" s="186">
        <v>44984.708333333336</v>
      </c>
      <c r="V1374" s="1" t="s">
        <v>41</v>
      </c>
      <c r="W1374" s="1" t="s">
        <v>49</v>
      </c>
    </row>
    <row r="1375" spans="1:23" hidden="1">
      <c r="A1375" s="1">
        <v>9481995</v>
      </c>
      <c r="B1375" s="1" t="s">
        <v>1153</v>
      </c>
      <c r="C1375" t="s">
        <v>3258</v>
      </c>
      <c r="D1375" s="2">
        <v>20230115000012</v>
      </c>
      <c r="E1375" s="2">
        <v>7417183022877</v>
      </c>
      <c r="F1375" s="1" t="s">
        <v>1313</v>
      </c>
      <c r="G1375" s="1" t="s">
        <v>53</v>
      </c>
      <c r="H1375" s="1" t="s">
        <v>2591</v>
      </c>
      <c r="I1375" s="1" t="s">
        <v>2592</v>
      </c>
      <c r="J1375" s="1" t="s">
        <v>56</v>
      </c>
      <c r="K1375" t="s">
        <v>1316</v>
      </c>
      <c r="M1375" s="1" t="s">
        <v>58</v>
      </c>
      <c r="N1375" s="1">
        <v>0</v>
      </c>
      <c r="O1375" s="1" t="s">
        <v>36</v>
      </c>
      <c r="P1375" s="186">
        <v>44971.553935185184</v>
      </c>
      <c r="R1375" s="1">
        <v>14</v>
      </c>
      <c r="T1375" s="1" t="s">
        <v>238</v>
      </c>
      <c r="U1375" s="186">
        <v>44971.553935185184</v>
      </c>
      <c r="V1375" s="1" t="s">
        <v>41</v>
      </c>
      <c r="W1375" s="1" t="s">
        <v>49</v>
      </c>
    </row>
    <row r="1376" spans="1:23" hidden="1">
      <c r="A1376" s="1">
        <v>9481874</v>
      </c>
      <c r="B1376" s="1" t="s">
        <v>1153</v>
      </c>
      <c r="C1376" t="s">
        <v>2994</v>
      </c>
      <c r="D1376" s="2">
        <v>20231650000004</v>
      </c>
      <c r="E1376" s="2">
        <v>8558100222966</v>
      </c>
      <c r="F1376" s="1" t="s">
        <v>2995</v>
      </c>
      <c r="G1376" s="1" t="s">
        <v>53</v>
      </c>
      <c r="H1376" s="1" t="s">
        <v>620</v>
      </c>
      <c r="I1376" s="1" t="s">
        <v>621</v>
      </c>
      <c r="J1376" s="1" t="s">
        <v>141</v>
      </c>
      <c r="K1376" t="s">
        <v>2996</v>
      </c>
      <c r="M1376" s="1" t="s">
        <v>58</v>
      </c>
      <c r="N1376" s="1">
        <v>0</v>
      </c>
      <c r="O1376" s="1" t="s">
        <v>36</v>
      </c>
      <c r="P1376" s="186">
        <v>44971.532152777778</v>
      </c>
      <c r="R1376" s="1">
        <v>21</v>
      </c>
      <c r="T1376" s="1" t="s">
        <v>1160</v>
      </c>
      <c r="U1376" s="186">
        <v>44973.615486111114</v>
      </c>
      <c r="V1376" s="1" t="s">
        <v>41</v>
      </c>
      <c r="W1376" s="1" t="s">
        <v>49</v>
      </c>
    </row>
    <row r="1377" spans="1:23" hidden="1">
      <c r="A1377" s="1">
        <v>9481854</v>
      </c>
      <c r="B1377" s="1" t="s">
        <v>1153</v>
      </c>
      <c r="C1377" t="s">
        <v>2997</v>
      </c>
      <c r="D1377" s="2">
        <v>230028931</v>
      </c>
      <c r="E1377" s="2">
        <v>67001400010</v>
      </c>
      <c r="F1377" s="1" t="s">
        <v>936</v>
      </c>
      <c r="G1377" s="1" t="s">
        <v>53</v>
      </c>
      <c r="H1377" s="1" t="s">
        <v>404</v>
      </c>
      <c r="I1377" s="1" t="s">
        <v>405</v>
      </c>
      <c r="J1377" s="1" t="s">
        <v>164</v>
      </c>
      <c r="K1377" t="s">
        <v>937</v>
      </c>
      <c r="M1377" s="1" t="s">
        <v>58</v>
      </c>
      <c r="N1377" s="1">
        <v>0</v>
      </c>
      <c r="O1377" s="1" t="s">
        <v>36</v>
      </c>
      <c r="P1377" s="186">
        <v>44971.545138888891</v>
      </c>
      <c r="R1377" s="1">
        <v>3</v>
      </c>
      <c r="T1377" s="1" t="s">
        <v>646</v>
      </c>
      <c r="U1377" s="186">
        <v>44992.395833333336</v>
      </c>
      <c r="V1377" s="1" t="s">
        <v>41</v>
      </c>
      <c r="W1377" s="1" t="s">
        <v>49</v>
      </c>
    </row>
    <row r="1378" spans="1:23" hidden="1">
      <c r="A1378" s="1">
        <v>9481771</v>
      </c>
      <c r="B1378" s="1" t="s">
        <v>62</v>
      </c>
      <c r="C1378" t="s">
        <v>2999</v>
      </c>
      <c r="E1378" s="2">
        <v>3108010206001</v>
      </c>
      <c r="F1378" s="1" t="s">
        <v>29</v>
      </c>
      <c r="G1378" s="1" t="s">
        <v>53</v>
      </c>
      <c r="H1378" s="1" t="s">
        <v>503</v>
      </c>
      <c r="I1378" s="1" t="s">
        <v>504</v>
      </c>
      <c r="J1378" s="1" t="s">
        <v>46</v>
      </c>
      <c r="K1378" t="s">
        <v>34</v>
      </c>
      <c r="M1378" s="1" t="s">
        <v>35</v>
      </c>
      <c r="N1378" s="1">
        <v>42318949</v>
      </c>
      <c r="O1378" s="1" t="s">
        <v>105</v>
      </c>
      <c r="P1378" s="186">
        <v>44971.531631944446</v>
      </c>
      <c r="R1378" s="1" t="s">
        <v>38</v>
      </c>
      <c r="T1378" s="1" t="s">
        <v>74</v>
      </c>
      <c r="U1378" s="186">
        <v>45014.75</v>
      </c>
      <c r="V1378" s="1" t="s">
        <v>41</v>
      </c>
      <c r="W1378" s="1" t="s">
        <v>49</v>
      </c>
    </row>
    <row r="1379" spans="1:23" hidden="1">
      <c r="A1379" s="181">
        <v>9481708</v>
      </c>
      <c r="B1379" s="181" t="s">
        <v>1153</v>
      </c>
      <c r="C1379" s="185" t="s">
        <v>3000</v>
      </c>
      <c r="D1379" s="183"/>
      <c r="E1379" s="183">
        <v>2437000206001</v>
      </c>
      <c r="F1379" s="181" t="s">
        <v>29</v>
      </c>
      <c r="G1379" s="181" t="s">
        <v>53</v>
      </c>
      <c r="H1379" s="181" t="s">
        <v>416</v>
      </c>
      <c r="I1379" s="181" t="s">
        <v>417</v>
      </c>
      <c r="J1379" s="181" t="s">
        <v>211</v>
      </c>
      <c r="K1379" t="s">
        <v>34</v>
      </c>
      <c r="M1379" s="1" t="s">
        <v>35</v>
      </c>
      <c r="N1379" s="1">
        <v>42318949</v>
      </c>
      <c r="O1379" s="1" t="s">
        <v>36</v>
      </c>
      <c r="P1379" s="186">
        <v>44971.521608796298</v>
      </c>
      <c r="R1379" s="1" t="s">
        <v>38</v>
      </c>
      <c r="T1379" s="1" t="s">
        <v>74</v>
      </c>
      <c r="U1379" s="186">
        <v>44985.604166666664</v>
      </c>
      <c r="V1379" s="1" t="s">
        <v>41</v>
      </c>
      <c r="W1379" s="1" t="s">
        <v>49</v>
      </c>
    </row>
    <row r="1380" spans="1:23" hidden="1">
      <c r="A1380" s="1">
        <v>9481422</v>
      </c>
      <c r="B1380" s="1" t="s">
        <v>1153</v>
      </c>
      <c r="C1380" t="s">
        <v>3004</v>
      </c>
      <c r="D1380" s="2">
        <v>230028843</v>
      </c>
      <c r="E1380" s="2">
        <v>3699001400030</v>
      </c>
      <c r="F1380" s="1" t="s">
        <v>647</v>
      </c>
      <c r="G1380" s="1" t="s">
        <v>53</v>
      </c>
      <c r="H1380" s="1" t="s">
        <v>343</v>
      </c>
      <c r="I1380" s="1" t="s">
        <v>344</v>
      </c>
      <c r="J1380" s="1" t="s">
        <v>46</v>
      </c>
      <c r="K1380" t="s">
        <v>650</v>
      </c>
      <c r="M1380" s="1" t="s">
        <v>58</v>
      </c>
      <c r="N1380" s="1">
        <v>0</v>
      </c>
      <c r="O1380" s="1" t="s">
        <v>36</v>
      </c>
      <c r="P1380" s="186">
        <v>44971.480613425927</v>
      </c>
      <c r="R1380" s="1">
        <v>4</v>
      </c>
      <c r="T1380" s="1" t="s">
        <v>646</v>
      </c>
      <c r="U1380" s="186">
        <v>44980.625</v>
      </c>
      <c r="V1380" s="1" t="s">
        <v>41</v>
      </c>
      <c r="W1380" s="1" t="s">
        <v>49</v>
      </c>
    </row>
    <row r="1381" spans="1:23" hidden="1">
      <c r="A1381" s="1">
        <v>9481389</v>
      </c>
      <c r="B1381" s="1" t="s">
        <v>1153</v>
      </c>
      <c r="C1381" t="s">
        <v>3006</v>
      </c>
      <c r="D1381" s="2">
        <v>20232369000007</v>
      </c>
      <c r="E1381" s="2">
        <v>7417161480604</v>
      </c>
      <c r="F1381" s="1" t="s">
        <v>1979</v>
      </c>
      <c r="G1381" s="1" t="s">
        <v>53</v>
      </c>
      <c r="H1381" s="1" t="s">
        <v>2809</v>
      </c>
      <c r="I1381" s="1" t="s">
        <v>2810</v>
      </c>
      <c r="J1381" s="1" t="s">
        <v>141</v>
      </c>
      <c r="K1381" t="s">
        <v>1982</v>
      </c>
      <c r="M1381" s="1" t="s">
        <v>58</v>
      </c>
      <c r="N1381" s="1">
        <v>0</v>
      </c>
      <c r="O1381" s="1" t="s">
        <v>36</v>
      </c>
      <c r="P1381" s="186">
        <v>44971.46603009259</v>
      </c>
      <c r="R1381" s="1">
        <v>14</v>
      </c>
      <c r="T1381" s="1" t="s">
        <v>238</v>
      </c>
      <c r="U1381" s="186">
        <v>44971.46603009259</v>
      </c>
      <c r="V1381" s="1" t="s">
        <v>41</v>
      </c>
      <c r="W1381" s="1" t="s">
        <v>49</v>
      </c>
    </row>
    <row r="1382" spans="1:23" hidden="1">
      <c r="A1382" s="1">
        <v>9481183</v>
      </c>
      <c r="B1382" s="1" t="s">
        <v>1153</v>
      </c>
      <c r="C1382" t="s">
        <v>3009</v>
      </c>
      <c r="D1382" s="2">
        <v>20231739000004</v>
      </c>
      <c r="E1382" s="2">
        <v>7417161480638</v>
      </c>
      <c r="F1382" s="1" t="s">
        <v>1979</v>
      </c>
      <c r="G1382" s="1" t="s">
        <v>53</v>
      </c>
      <c r="H1382" s="1" t="s">
        <v>2891</v>
      </c>
      <c r="I1382" s="1" t="s">
        <v>2892</v>
      </c>
      <c r="J1382" s="1" t="s">
        <v>164</v>
      </c>
      <c r="K1382" t="s">
        <v>1982</v>
      </c>
      <c r="M1382" s="1" t="s">
        <v>58</v>
      </c>
      <c r="N1382" s="1">
        <v>0</v>
      </c>
      <c r="O1382" s="1" t="s">
        <v>36</v>
      </c>
      <c r="P1382" s="186">
        <v>44971.44327546296</v>
      </c>
      <c r="R1382" s="1">
        <v>14</v>
      </c>
      <c r="T1382" s="1" t="s">
        <v>238</v>
      </c>
      <c r="U1382" s="186">
        <v>44971.44327546296</v>
      </c>
      <c r="V1382" s="1" t="s">
        <v>41</v>
      </c>
      <c r="W1382" s="1" t="s">
        <v>49</v>
      </c>
    </row>
    <row r="1383" spans="1:23" hidden="1">
      <c r="A1383" s="1">
        <v>9481147</v>
      </c>
      <c r="B1383" s="1" t="s">
        <v>1153</v>
      </c>
      <c r="C1383" t="s">
        <v>3010</v>
      </c>
      <c r="D1383" s="2">
        <v>20232678000016</v>
      </c>
      <c r="E1383" s="2">
        <v>7417163281860</v>
      </c>
      <c r="F1383" s="1" t="s">
        <v>131</v>
      </c>
      <c r="G1383" s="1" t="s">
        <v>53</v>
      </c>
      <c r="H1383" s="1" t="s">
        <v>2814</v>
      </c>
      <c r="I1383" s="1" t="s">
        <v>2815</v>
      </c>
      <c r="J1383" s="1" t="s">
        <v>33</v>
      </c>
      <c r="K1383" t="s">
        <v>132</v>
      </c>
      <c r="M1383" s="1" t="s">
        <v>58</v>
      </c>
      <c r="N1383" s="1">
        <v>0</v>
      </c>
      <c r="O1383" s="1" t="s">
        <v>36</v>
      </c>
      <c r="P1383" s="186">
        <v>44971.435636574075</v>
      </c>
      <c r="R1383" s="1">
        <v>15</v>
      </c>
      <c r="T1383" s="1" t="s">
        <v>238</v>
      </c>
      <c r="U1383" s="186">
        <v>44971.435636574075</v>
      </c>
      <c r="V1383" s="1" t="s">
        <v>41</v>
      </c>
      <c r="W1383" s="1" t="s">
        <v>42</v>
      </c>
    </row>
    <row r="1384" spans="1:23" hidden="1">
      <c r="A1384" s="1">
        <v>9481146</v>
      </c>
      <c r="B1384" s="1" t="s">
        <v>1153</v>
      </c>
      <c r="C1384" t="s">
        <v>3011</v>
      </c>
      <c r="D1384" s="2">
        <v>20232678000015</v>
      </c>
      <c r="E1384" s="2">
        <v>7417163282981</v>
      </c>
      <c r="F1384" s="1" t="s">
        <v>131</v>
      </c>
      <c r="G1384" s="1" t="s">
        <v>53</v>
      </c>
      <c r="H1384" s="1" t="s">
        <v>2814</v>
      </c>
      <c r="I1384" s="1" t="s">
        <v>2815</v>
      </c>
      <c r="J1384" s="1" t="s">
        <v>33</v>
      </c>
      <c r="K1384" t="s">
        <v>132</v>
      </c>
      <c r="M1384" s="1" t="s">
        <v>58</v>
      </c>
      <c r="N1384" s="1">
        <v>0</v>
      </c>
      <c r="O1384" s="1" t="s">
        <v>36</v>
      </c>
      <c r="P1384" s="186">
        <v>44971.435590277775</v>
      </c>
      <c r="R1384" s="1">
        <v>15</v>
      </c>
      <c r="T1384" s="1" t="s">
        <v>238</v>
      </c>
      <c r="U1384" s="186">
        <v>44971.435590277775</v>
      </c>
      <c r="V1384" s="1" t="s">
        <v>41</v>
      </c>
      <c r="W1384" s="1" t="s">
        <v>42</v>
      </c>
    </row>
    <row r="1385" spans="1:23" hidden="1">
      <c r="A1385" s="1">
        <v>9480751</v>
      </c>
      <c r="B1385" s="1" t="s">
        <v>1153</v>
      </c>
      <c r="C1385" t="s">
        <v>3016</v>
      </c>
      <c r="D1385" s="2">
        <v>20238074000007</v>
      </c>
      <c r="E1385" s="2">
        <v>7419141891762</v>
      </c>
      <c r="F1385" s="1" t="s">
        <v>128</v>
      </c>
      <c r="G1385" s="1" t="s">
        <v>53</v>
      </c>
      <c r="H1385" s="1" t="s">
        <v>2866</v>
      </c>
      <c r="I1385" s="1" t="s">
        <v>2867</v>
      </c>
      <c r="J1385" s="1" t="s">
        <v>33</v>
      </c>
      <c r="K1385" t="s">
        <v>129</v>
      </c>
      <c r="M1385" s="1" t="s">
        <v>58</v>
      </c>
      <c r="N1385" s="1">
        <v>0</v>
      </c>
      <c r="O1385" s="1" t="s">
        <v>36</v>
      </c>
      <c r="P1385" s="186">
        <v>44971.371527777781</v>
      </c>
      <c r="R1385" s="1">
        <v>14</v>
      </c>
      <c r="T1385" s="1" t="s">
        <v>238</v>
      </c>
      <c r="U1385" s="186">
        <v>44971.395833333336</v>
      </c>
      <c r="V1385" s="1" t="s">
        <v>41</v>
      </c>
      <c r="W1385" s="1" t="s">
        <v>49</v>
      </c>
    </row>
    <row r="1386" spans="1:23" hidden="1">
      <c r="A1386" s="1">
        <v>9480717</v>
      </c>
      <c r="B1386" s="1" t="s">
        <v>1153</v>
      </c>
      <c r="C1386" t="s">
        <v>3017</v>
      </c>
      <c r="E1386" s="2">
        <v>2625000206001</v>
      </c>
      <c r="F1386" s="1" t="s">
        <v>29</v>
      </c>
      <c r="G1386" s="1" t="s">
        <v>53</v>
      </c>
      <c r="H1386" s="1" t="s">
        <v>317</v>
      </c>
      <c r="I1386" s="1" t="s">
        <v>318</v>
      </c>
      <c r="J1386" s="1" t="s">
        <v>164</v>
      </c>
      <c r="K1386" t="s">
        <v>34</v>
      </c>
      <c r="M1386" s="1" t="s">
        <v>35</v>
      </c>
      <c r="N1386" s="1">
        <v>42318949</v>
      </c>
      <c r="O1386" s="1" t="s">
        <v>36</v>
      </c>
      <c r="P1386" s="186">
        <v>44971.385763888888</v>
      </c>
      <c r="R1386" s="1" t="s">
        <v>38</v>
      </c>
      <c r="T1386" s="1" t="s">
        <v>74</v>
      </c>
      <c r="U1386" s="186">
        <v>44985.625</v>
      </c>
      <c r="V1386" s="1" t="s">
        <v>41</v>
      </c>
      <c r="W1386" s="1" t="s">
        <v>49</v>
      </c>
    </row>
    <row r="1387" spans="1:23" hidden="1">
      <c r="A1387" s="181">
        <v>9480428</v>
      </c>
      <c r="B1387" s="181" t="s">
        <v>1153</v>
      </c>
      <c r="C1387" s="182" t="s">
        <v>3987</v>
      </c>
      <c r="D1387" s="183"/>
      <c r="E1387" s="183">
        <v>870000206001</v>
      </c>
      <c r="F1387" s="181" t="s">
        <v>29</v>
      </c>
      <c r="G1387" s="181" t="s">
        <v>53</v>
      </c>
      <c r="H1387" s="181" t="s">
        <v>183</v>
      </c>
      <c r="I1387" s="181" t="s">
        <v>184</v>
      </c>
      <c r="J1387" s="181" t="s">
        <v>90</v>
      </c>
      <c r="K1387" t="s">
        <v>34</v>
      </c>
      <c r="M1387" s="1" t="s">
        <v>35</v>
      </c>
      <c r="N1387" s="1">
        <v>42318949</v>
      </c>
      <c r="O1387" s="1" t="s">
        <v>36</v>
      </c>
      <c r="P1387" s="186">
        <v>44971.334351851852</v>
      </c>
      <c r="R1387" s="1" t="s">
        <v>38</v>
      </c>
      <c r="T1387" s="1" t="s">
        <v>74</v>
      </c>
      <c r="U1387" s="186">
        <v>44984.583333333336</v>
      </c>
      <c r="V1387" s="1" t="s">
        <v>41</v>
      </c>
      <c r="W1387" s="1" t="s">
        <v>49</v>
      </c>
    </row>
    <row r="1388" spans="1:23" hidden="1">
      <c r="A1388" s="1">
        <v>9480413</v>
      </c>
      <c r="B1388" s="1" t="s">
        <v>1153</v>
      </c>
      <c r="C1388" t="s">
        <v>3026</v>
      </c>
      <c r="E1388" s="2">
        <v>2988000206001</v>
      </c>
      <c r="F1388" s="1" t="s">
        <v>29</v>
      </c>
      <c r="G1388" s="1" t="s">
        <v>53</v>
      </c>
      <c r="H1388" s="1" t="s">
        <v>536</v>
      </c>
      <c r="I1388" s="1" t="s">
        <v>537</v>
      </c>
      <c r="J1388" s="1" t="s">
        <v>46</v>
      </c>
      <c r="K1388" t="s">
        <v>34</v>
      </c>
      <c r="M1388" s="1" t="s">
        <v>35</v>
      </c>
      <c r="N1388" s="1">
        <v>42318949</v>
      </c>
      <c r="O1388" s="1" t="s">
        <v>36</v>
      </c>
      <c r="P1388" s="186">
        <v>44971.333738425928</v>
      </c>
      <c r="R1388" s="1" t="s">
        <v>38</v>
      </c>
      <c r="T1388" s="1" t="s">
        <v>74</v>
      </c>
      <c r="U1388" s="186">
        <v>44985.604166666664</v>
      </c>
      <c r="V1388" s="1" t="s">
        <v>41</v>
      </c>
      <c r="W1388" s="1" t="s">
        <v>49</v>
      </c>
    </row>
    <row r="1389" spans="1:23" hidden="1">
      <c r="A1389" s="1">
        <v>9488077</v>
      </c>
      <c r="B1389" s="1" t="s">
        <v>1153</v>
      </c>
      <c r="C1389" t="s">
        <v>3513</v>
      </c>
      <c r="D1389" s="2">
        <v>20234844000484</v>
      </c>
      <c r="E1389" s="2">
        <v>7417183020090</v>
      </c>
      <c r="F1389" s="1" t="s">
        <v>1313</v>
      </c>
      <c r="G1389" s="1" t="s">
        <v>53</v>
      </c>
      <c r="H1389" s="1" t="s">
        <v>2606</v>
      </c>
      <c r="I1389" s="1" t="s">
        <v>2607</v>
      </c>
      <c r="J1389" s="1" t="s">
        <v>46</v>
      </c>
      <c r="K1389" t="s">
        <v>1316</v>
      </c>
      <c r="M1389" s="1" t="s">
        <v>58</v>
      </c>
      <c r="N1389" s="1">
        <v>0</v>
      </c>
      <c r="O1389" s="1" t="s">
        <v>36</v>
      </c>
      <c r="P1389" s="186">
        <v>44972.79446759259</v>
      </c>
      <c r="R1389" s="1">
        <v>13</v>
      </c>
      <c r="T1389" s="1" t="s">
        <v>238</v>
      </c>
      <c r="U1389" s="186">
        <v>44973.395833333336</v>
      </c>
      <c r="V1389" s="1" t="s">
        <v>41</v>
      </c>
      <c r="W1389" s="1" t="s">
        <v>49</v>
      </c>
    </row>
    <row r="1390" spans="1:23" hidden="1">
      <c r="A1390" s="1">
        <v>9487960</v>
      </c>
      <c r="B1390" s="1" t="s">
        <v>1153</v>
      </c>
      <c r="C1390" t="s">
        <v>3515</v>
      </c>
      <c r="D1390" s="2">
        <v>20234844000482</v>
      </c>
      <c r="E1390" s="2">
        <v>7419141894858</v>
      </c>
      <c r="F1390" s="1" t="s">
        <v>128</v>
      </c>
      <c r="G1390" s="1" t="s">
        <v>53</v>
      </c>
      <c r="H1390" s="1" t="s">
        <v>2655</v>
      </c>
      <c r="I1390" s="1" t="s">
        <v>2656</v>
      </c>
      <c r="J1390" s="1" t="s">
        <v>46</v>
      </c>
      <c r="K1390" t="s">
        <v>129</v>
      </c>
      <c r="M1390" s="1" t="s">
        <v>58</v>
      </c>
      <c r="N1390" s="1">
        <v>0</v>
      </c>
      <c r="O1390" s="1" t="s">
        <v>36</v>
      </c>
      <c r="P1390" s="186">
        <v>44972.755243055559</v>
      </c>
      <c r="R1390" s="1">
        <v>13</v>
      </c>
      <c r="T1390" s="1" t="s">
        <v>238</v>
      </c>
      <c r="U1390" s="186">
        <v>44973.395833333336</v>
      </c>
      <c r="V1390" s="1" t="s">
        <v>41</v>
      </c>
      <c r="W1390" s="1" t="s">
        <v>49</v>
      </c>
    </row>
    <row r="1391" spans="1:23" hidden="1">
      <c r="A1391" s="1">
        <v>9487810</v>
      </c>
      <c r="B1391" s="1" t="s">
        <v>1153</v>
      </c>
      <c r="C1391" t="s">
        <v>3521</v>
      </c>
      <c r="E1391" s="2">
        <v>2473000203000</v>
      </c>
      <c r="F1391" s="1" t="s">
        <v>454</v>
      </c>
      <c r="G1391" s="1" t="s">
        <v>53</v>
      </c>
      <c r="H1391" s="1" t="s">
        <v>1459</v>
      </c>
      <c r="I1391" s="1" t="s">
        <v>1460</v>
      </c>
      <c r="J1391" s="1" t="s">
        <v>261</v>
      </c>
      <c r="K1391" t="s">
        <v>457</v>
      </c>
      <c r="M1391" s="1" t="s">
        <v>58</v>
      </c>
      <c r="N1391" s="1">
        <v>0</v>
      </c>
      <c r="O1391" s="1" t="s">
        <v>36</v>
      </c>
      <c r="P1391" s="186">
        <v>44972.74</v>
      </c>
      <c r="R1391" s="1">
        <v>1</v>
      </c>
      <c r="T1391" s="1" t="s">
        <v>157</v>
      </c>
      <c r="U1391" s="186">
        <v>44973.740011574075</v>
      </c>
      <c r="V1391" s="1" t="s">
        <v>41</v>
      </c>
      <c r="W1391" s="1" t="s">
        <v>49</v>
      </c>
    </row>
    <row r="1392" spans="1:23" hidden="1">
      <c r="A1392" s="1">
        <v>9487760</v>
      </c>
      <c r="B1392" s="1" t="s">
        <v>1153</v>
      </c>
      <c r="C1392" t="s">
        <v>3522</v>
      </c>
      <c r="E1392" s="2">
        <v>2564000203000</v>
      </c>
      <c r="F1392" s="1" t="s">
        <v>454</v>
      </c>
      <c r="G1392" s="1" t="s">
        <v>53</v>
      </c>
      <c r="H1392" s="1" t="s">
        <v>255</v>
      </c>
      <c r="I1392" s="1" t="s">
        <v>256</v>
      </c>
      <c r="J1392" s="1" t="s">
        <v>164</v>
      </c>
      <c r="K1392" t="s">
        <v>457</v>
      </c>
      <c r="M1392" s="1" t="s">
        <v>58</v>
      </c>
      <c r="N1392" s="1">
        <v>0</v>
      </c>
      <c r="O1392" s="1" t="s">
        <v>36</v>
      </c>
      <c r="P1392" s="186">
        <v>44972.73</v>
      </c>
      <c r="R1392" s="1">
        <v>1</v>
      </c>
      <c r="T1392" s="1" t="s">
        <v>157</v>
      </c>
      <c r="U1392" s="186">
        <v>44973.73</v>
      </c>
      <c r="V1392" s="1" t="s">
        <v>41</v>
      </c>
      <c r="W1392" s="1" t="s">
        <v>49</v>
      </c>
    </row>
    <row r="1393" spans="1:23" hidden="1">
      <c r="A1393" s="1">
        <v>9487733</v>
      </c>
      <c r="B1393" s="1" t="s">
        <v>1153</v>
      </c>
      <c r="C1393" t="s">
        <v>3524</v>
      </c>
      <c r="D1393" s="2">
        <v>20232678000017</v>
      </c>
      <c r="E1393" s="2">
        <v>7417193470505</v>
      </c>
      <c r="F1393" s="1" t="s">
        <v>2698</v>
      </c>
      <c r="G1393" s="1" t="s">
        <v>53</v>
      </c>
      <c r="H1393" s="1" t="s">
        <v>3525</v>
      </c>
      <c r="I1393" s="1" t="s">
        <v>3526</v>
      </c>
      <c r="J1393" s="1" t="s">
        <v>33</v>
      </c>
      <c r="K1393" t="s">
        <v>2701</v>
      </c>
      <c r="M1393" s="1" t="s">
        <v>58</v>
      </c>
      <c r="N1393" s="1">
        <v>0</v>
      </c>
      <c r="O1393" s="1" t="s">
        <v>36</v>
      </c>
      <c r="P1393" s="186">
        <v>44972.716168981482</v>
      </c>
      <c r="R1393" s="1">
        <v>15</v>
      </c>
      <c r="T1393" s="1" t="s">
        <v>238</v>
      </c>
      <c r="U1393" s="186">
        <v>44973.416666666664</v>
      </c>
      <c r="V1393" s="1" t="s">
        <v>41</v>
      </c>
      <c r="W1393" s="1" t="s">
        <v>42</v>
      </c>
    </row>
    <row r="1394" spans="1:23" hidden="1">
      <c r="A1394" s="1">
        <v>9487728</v>
      </c>
      <c r="B1394" s="1" t="s">
        <v>1153</v>
      </c>
      <c r="C1394" t="s">
        <v>3527</v>
      </c>
      <c r="D1394" s="2">
        <v>20234012000005</v>
      </c>
      <c r="E1394" s="2">
        <v>7417183023647</v>
      </c>
      <c r="F1394" s="1" t="s">
        <v>1313</v>
      </c>
      <c r="G1394" s="1" t="s">
        <v>53</v>
      </c>
      <c r="H1394" s="1" t="s">
        <v>3528</v>
      </c>
      <c r="I1394" s="1" t="s">
        <v>3529</v>
      </c>
      <c r="J1394" s="1" t="s">
        <v>261</v>
      </c>
      <c r="K1394" t="s">
        <v>1316</v>
      </c>
      <c r="M1394" s="1" t="s">
        <v>58</v>
      </c>
      <c r="N1394" s="1">
        <v>0</v>
      </c>
      <c r="O1394" s="1" t="s">
        <v>105</v>
      </c>
      <c r="P1394" s="186">
        <v>44972.711921296293</v>
      </c>
      <c r="R1394" s="1">
        <v>14</v>
      </c>
      <c r="T1394" s="1" t="s">
        <v>238</v>
      </c>
      <c r="U1394" s="186">
        <v>44973.395833333336</v>
      </c>
      <c r="V1394" s="1" t="s">
        <v>41</v>
      </c>
      <c r="W1394" s="1" t="s">
        <v>49</v>
      </c>
    </row>
    <row r="1395" spans="1:23" hidden="1">
      <c r="A1395" s="1">
        <v>9487555</v>
      </c>
      <c r="B1395" s="1" t="s">
        <v>3541</v>
      </c>
      <c r="C1395" t="s">
        <v>3542</v>
      </c>
      <c r="E1395" s="2">
        <v>7417162430877</v>
      </c>
      <c r="F1395" s="1" t="s">
        <v>3543</v>
      </c>
      <c r="G1395" s="1" t="s">
        <v>30</v>
      </c>
      <c r="H1395" s="1" t="s">
        <v>159</v>
      </c>
      <c r="I1395" s="1" t="s">
        <v>160</v>
      </c>
      <c r="J1395" s="1" t="s">
        <v>46</v>
      </c>
      <c r="K1395" t="s">
        <v>3544</v>
      </c>
      <c r="M1395" s="1" t="s">
        <v>58</v>
      </c>
      <c r="N1395" s="1">
        <v>0</v>
      </c>
      <c r="O1395" s="1" t="s">
        <v>36</v>
      </c>
      <c r="P1395" s="186">
        <v>44972.700277777774</v>
      </c>
      <c r="R1395" s="1">
        <v>22</v>
      </c>
      <c r="T1395" s="1" t="s">
        <v>1160</v>
      </c>
      <c r="U1395" s="186">
        <v>44973.999305555553</v>
      </c>
      <c r="V1395" s="1" t="s">
        <v>41</v>
      </c>
      <c r="W1395" s="1" t="s">
        <v>49</v>
      </c>
    </row>
    <row r="1396" spans="1:23" hidden="1">
      <c r="A1396" s="1">
        <v>9487119</v>
      </c>
      <c r="B1396" s="1" t="s">
        <v>1153</v>
      </c>
      <c r="C1396" t="s">
        <v>3296</v>
      </c>
      <c r="D1396" s="2">
        <v>20234923000068</v>
      </c>
      <c r="E1396" s="2">
        <v>7417183020181</v>
      </c>
      <c r="F1396" s="1" t="s">
        <v>1313</v>
      </c>
      <c r="G1396" s="1" t="s">
        <v>53</v>
      </c>
      <c r="H1396" s="1" t="s">
        <v>2870</v>
      </c>
      <c r="I1396" s="1" t="s">
        <v>2871</v>
      </c>
      <c r="J1396" s="1" t="s">
        <v>46</v>
      </c>
      <c r="K1396" t="s">
        <v>1316</v>
      </c>
      <c r="M1396" s="1" t="s">
        <v>58</v>
      </c>
      <c r="N1396" s="1">
        <v>0</v>
      </c>
      <c r="O1396" s="1" t="s">
        <v>36</v>
      </c>
      <c r="P1396" s="186">
        <v>44972.616956018515</v>
      </c>
      <c r="R1396" s="1">
        <v>13</v>
      </c>
      <c r="T1396" s="1" t="s">
        <v>238</v>
      </c>
      <c r="U1396" s="186">
        <v>44972.616956018515</v>
      </c>
      <c r="V1396" s="1" t="s">
        <v>41</v>
      </c>
      <c r="W1396" s="1" t="s">
        <v>49</v>
      </c>
    </row>
    <row r="1397" spans="1:23" hidden="1">
      <c r="A1397" s="1">
        <v>9487087</v>
      </c>
      <c r="B1397" s="1" t="s">
        <v>3298</v>
      </c>
      <c r="C1397" t="s">
        <v>3299</v>
      </c>
      <c r="D1397" s="2">
        <v>20233433000007</v>
      </c>
      <c r="E1397" s="2">
        <v>7417203360125</v>
      </c>
      <c r="F1397" s="1" t="s">
        <v>3300</v>
      </c>
      <c r="G1397" s="1" t="s">
        <v>53</v>
      </c>
      <c r="H1397" s="1" t="s">
        <v>2520</v>
      </c>
      <c r="I1397" s="1" t="s">
        <v>2521</v>
      </c>
      <c r="J1397" s="1" t="s">
        <v>46</v>
      </c>
      <c r="K1397" t="s">
        <v>3301</v>
      </c>
      <c r="M1397" s="1" t="s">
        <v>58</v>
      </c>
      <c r="N1397" s="1">
        <v>0</v>
      </c>
      <c r="O1397" s="1" t="s">
        <v>36</v>
      </c>
      <c r="P1397" s="186">
        <v>44972.622233796297</v>
      </c>
      <c r="R1397" s="1">
        <v>22</v>
      </c>
      <c r="T1397" s="1" t="s">
        <v>1160</v>
      </c>
      <c r="U1397" s="186">
        <v>44973.627870370372</v>
      </c>
      <c r="V1397" s="1" t="s">
        <v>41</v>
      </c>
      <c r="W1397" s="1" t="s">
        <v>49</v>
      </c>
    </row>
    <row r="1398" spans="1:23" hidden="1">
      <c r="A1398" s="1">
        <v>9487032</v>
      </c>
      <c r="B1398" s="1" t="s">
        <v>1153</v>
      </c>
      <c r="C1398" t="s">
        <v>3306</v>
      </c>
      <c r="D1398" s="2">
        <v>20230233000018</v>
      </c>
      <c r="E1398" s="2">
        <v>7417183020061</v>
      </c>
      <c r="F1398" s="1" t="s">
        <v>1313</v>
      </c>
      <c r="G1398" s="1" t="s">
        <v>53</v>
      </c>
      <c r="H1398" s="1" t="s">
        <v>2716</v>
      </c>
      <c r="I1398" s="1" t="s">
        <v>2717</v>
      </c>
      <c r="J1398" s="1" t="s">
        <v>261</v>
      </c>
      <c r="K1398" t="s">
        <v>1316</v>
      </c>
      <c r="M1398" s="1" t="s">
        <v>58</v>
      </c>
      <c r="N1398" s="1">
        <v>0</v>
      </c>
      <c r="O1398" s="1" t="s">
        <v>36</v>
      </c>
      <c r="P1398" s="186">
        <v>44972.60465277778</v>
      </c>
      <c r="R1398" s="1">
        <v>14</v>
      </c>
      <c r="T1398" s="1" t="s">
        <v>238</v>
      </c>
      <c r="U1398" s="186">
        <v>44972.60465277778</v>
      </c>
      <c r="V1398" s="1" t="s">
        <v>41</v>
      </c>
      <c r="W1398" s="1" t="s">
        <v>49</v>
      </c>
    </row>
    <row r="1399" spans="1:23" hidden="1">
      <c r="A1399" s="1">
        <v>9486990</v>
      </c>
      <c r="B1399" s="1" t="s">
        <v>62</v>
      </c>
      <c r="C1399" t="s">
        <v>3308</v>
      </c>
      <c r="E1399" s="2">
        <v>1924000203000</v>
      </c>
      <c r="F1399" s="1" t="s">
        <v>454</v>
      </c>
      <c r="G1399" s="1" t="s">
        <v>53</v>
      </c>
      <c r="H1399" s="1" t="s">
        <v>568</v>
      </c>
      <c r="I1399" s="1" t="s">
        <v>569</v>
      </c>
      <c r="J1399" s="1" t="s">
        <v>33</v>
      </c>
      <c r="K1399" t="s">
        <v>457</v>
      </c>
      <c r="M1399" s="1" t="s">
        <v>58</v>
      </c>
      <c r="N1399" s="1">
        <v>0</v>
      </c>
      <c r="O1399" s="1" t="s">
        <v>36</v>
      </c>
      <c r="P1399" s="186">
        <v>44972.612916666665</v>
      </c>
      <c r="R1399" s="1" t="s">
        <v>38</v>
      </c>
      <c r="T1399" s="1" t="s">
        <v>157</v>
      </c>
      <c r="U1399" s="186">
        <v>45008.75</v>
      </c>
      <c r="V1399" s="1" t="s">
        <v>41</v>
      </c>
      <c r="W1399" s="1" t="s">
        <v>49</v>
      </c>
    </row>
    <row r="1400" spans="1:23" hidden="1">
      <c r="A1400" s="1">
        <v>9486956</v>
      </c>
      <c r="B1400" s="1" t="s">
        <v>1153</v>
      </c>
      <c r="C1400" t="s">
        <v>3309</v>
      </c>
      <c r="D1400" s="2">
        <v>20231761000013</v>
      </c>
      <c r="E1400" s="2">
        <v>7419141893216</v>
      </c>
      <c r="F1400" s="1" t="s">
        <v>128</v>
      </c>
      <c r="G1400" s="1" t="s">
        <v>53</v>
      </c>
      <c r="H1400" s="1" t="s">
        <v>54</v>
      </c>
      <c r="I1400" s="1" t="s">
        <v>55</v>
      </c>
      <c r="J1400" s="1" t="s">
        <v>56</v>
      </c>
      <c r="K1400" t="s">
        <v>129</v>
      </c>
      <c r="M1400" s="1" t="s">
        <v>58</v>
      </c>
      <c r="N1400" s="1">
        <v>0</v>
      </c>
      <c r="O1400" s="1" t="s">
        <v>36</v>
      </c>
      <c r="P1400" s="186">
        <v>44972.590462962966</v>
      </c>
      <c r="R1400" s="1">
        <v>14</v>
      </c>
      <c r="T1400" s="1" t="s">
        <v>238</v>
      </c>
      <c r="U1400" s="186">
        <v>44972.590462962966</v>
      </c>
      <c r="V1400" s="1" t="s">
        <v>41</v>
      </c>
      <c r="W1400" s="1" t="s">
        <v>49</v>
      </c>
    </row>
    <row r="1401" spans="1:23" hidden="1">
      <c r="A1401" s="1">
        <v>9486952</v>
      </c>
      <c r="B1401" s="1" t="s">
        <v>1153</v>
      </c>
      <c r="C1401" t="s">
        <v>3311</v>
      </c>
      <c r="D1401" s="2">
        <v>20231153000015</v>
      </c>
      <c r="E1401" s="2">
        <v>7417163281297</v>
      </c>
      <c r="F1401" s="1" t="s">
        <v>131</v>
      </c>
      <c r="G1401" s="1" t="s">
        <v>53</v>
      </c>
      <c r="H1401" s="1" t="s">
        <v>2399</v>
      </c>
      <c r="I1401" s="1" t="s">
        <v>2400</v>
      </c>
      <c r="J1401" s="1" t="s">
        <v>79</v>
      </c>
      <c r="K1401" t="s">
        <v>132</v>
      </c>
      <c r="M1401" s="1" t="s">
        <v>58</v>
      </c>
      <c r="N1401" s="1">
        <v>0</v>
      </c>
      <c r="O1401" s="1" t="s">
        <v>36</v>
      </c>
      <c r="P1401" s="186">
        <v>44972.587812500002</v>
      </c>
      <c r="R1401" s="1">
        <v>14</v>
      </c>
      <c r="T1401" s="1" t="s">
        <v>238</v>
      </c>
      <c r="U1401" s="186">
        <v>44972.587812500002</v>
      </c>
      <c r="V1401" s="1" t="s">
        <v>41</v>
      </c>
      <c r="W1401" s="1" t="s">
        <v>49</v>
      </c>
    </row>
    <row r="1402" spans="1:23" hidden="1">
      <c r="A1402" s="1">
        <v>9486864</v>
      </c>
      <c r="B1402" s="1" t="s">
        <v>1153</v>
      </c>
      <c r="C1402" t="s">
        <v>3315</v>
      </c>
      <c r="D1402" s="2">
        <v>20234637000009</v>
      </c>
      <c r="E1402" s="2">
        <v>7417163284105</v>
      </c>
      <c r="F1402" s="1" t="s">
        <v>131</v>
      </c>
      <c r="G1402" s="1" t="s">
        <v>53</v>
      </c>
      <c r="H1402" s="1" t="s">
        <v>2004</v>
      </c>
      <c r="I1402" s="1" t="s">
        <v>2005</v>
      </c>
      <c r="J1402" s="1" t="s">
        <v>79</v>
      </c>
      <c r="K1402" t="s">
        <v>132</v>
      </c>
      <c r="M1402" s="1" t="s">
        <v>58</v>
      </c>
      <c r="N1402" s="1">
        <v>0</v>
      </c>
      <c r="O1402" s="1" t="s">
        <v>36</v>
      </c>
      <c r="P1402" s="186">
        <v>44972.581979166665</v>
      </c>
      <c r="R1402" s="1">
        <v>14</v>
      </c>
      <c r="T1402" s="1" t="s">
        <v>238</v>
      </c>
      <c r="U1402" s="186">
        <v>44972.581979166665</v>
      </c>
      <c r="V1402" s="1" t="s">
        <v>41</v>
      </c>
      <c r="W1402" s="1" t="s">
        <v>49</v>
      </c>
    </row>
    <row r="1403" spans="1:23" hidden="1">
      <c r="A1403" s="1">
        <v>9486673</v>
      </c>
      <c r="B1403" s="1" t="s">
        <v>1153</v>
      </c>
      <c r="C1403" t="s">
        <v>3323</v>
      </c>
      <c r="D1403" s="2">
        <v>20230446000013</v>
      </c>
      <c r="E1403" s="2">
        <v>7417163284281</v>
      </c>
      <c r="F1403" s="1" t="s">
        <v>131</v>
      </c>
      <c r="G1403" s="1" t="s">
        <v>53</v>
      </c>
      <c r="H1403" s="1" t="s">
        <v>3324</v>
      </c>
      <c r="I1403" s="1" t="s">
        <v>3325</v>
      </c>
      <c r="J1403" s="1" t="s">
        <v>110</v>
      </c>
      <c r="K1403" t="s">
        <v>132</v>
      </c>
      <c r="M1403" s="1" t="s">
        <v>58</v>
      </c>
      <c r="N1403" s="1">
        <v>0</v>
      </c>
      <c r="O1403" s="1" t="s">
        <v>36</v>
      </c>
      <c r="P1403" s="186">
        <v>44972.550717592596</v>
      </c>
      <c r="R1403" s="1">
        <v>14</v>
      </c>
      <c r="T1403" s="1" t="s">
        <v>238</v>
      </c>
      <c r="U1403" s="186">
        <v>44972.550717592596</v>
      </c>
      <c r="V1403" s="1" t="s">
        <v>41</v>
      </c>
      <c r="W1403" s="1" t="s">
        <v>49</v>
      </c>
    </row>
    <row r="1404" spans="1:23" hidden="1">
      <c r="A1404" s="1">
        <v>9486549</v>
      </c>
      <c r="B1404" s="1" t="s">
        <v>1153</v>
      </c>
      <c r="C1404" t="s">
        <v>3327</v>
      </c>
      <c r="D1404" s="2">
        <v>20234924000057</v>
      </c>
      <c r="E1404" s="2">
        <v>7417161483343</v>
      </c>
      <c r="F1404" s="1" t="s">
        <v>1217</v>
      </c>
      <c r="G1404" s="1" t="s">
        <v>53</v>
      </c>
      <c r="H1404" s="1" t="s">
        <v>3328</v>
      </c>
      <c r="I1404" s="1" t="s">
        <v>3329</v>
      </c>
      <c r="J1404" s="1" t="s">
        <v>79</v>
      </c>
      <c r="K1404" t="s">
        <v>1218</v>
      </c>
      <c r="M1404" s="1" t="s">
        <v>58</v>
      </c>
      <c r="N1404" s="1">
        <v>0</v>
      </c>
      <c r="O1404" s="1" t="s">
        <v>36</v>
      </c>
      <c r="P1404" s="186">
        <v>44972.532650462963</v>
      </c>
      <c r="R1404" s="1">
        <v>14</v>
      </c>
      <c r="T1404" s="1" t="s">
        <v>238</v>
      </c>
      <c r="U1404" s="186">
        <v>44972.532650462963</v>
      </c>
      <c r="V1404" s="1" t="s">
        <v>41</v>
      </c>
      <c r="W1404" s="1" t="s">
        <v>49</v>
      </c>
    </row>
    <row r="1405" spans="1:23" hidden="1">
      <c r="A1405" s="1">
        <v>9486434</v>
      </c>
      <c r="B1405" s="1" t="s">
        <v>1153</v>
      </c>
      <c r="C1405" t="s">
        <v>3335</v>
      </c>
      <c r="E1405" s="2">
        <v>9704000206001</v>
      </c>
      <c r="F1405" s="1" t="s">
        <v>29</v>
      </c>
      <c r="G1405" s="1" t="s">
        <v>53</v>
      </c>
      <c r="H1405" s="1" t="s">
        <v>488</v>
      </c>
      <c r="I1405" s="1" t="s">
        <v>489</v>
      </c>
      <c r="J1405" s="1" t="s">
        <v>164</v>
      </c>
      <c r="K1405" t="s">
        <v>34</v>
      </c>
      <c r="M1405" s="1" t="s">
        <v>35</v>
      </c>
      <c r="N1405" s="1">
        <v>42318949</v>
      </c>
      <c r="O1405" s="1" t="s">
        <v>36</v>
      </c>
      <c r="P1405" s="186">
        <v>44972.521770833337</v>
      </c>
      <c r="R1405" s="1" t="s">
        <v>38</v>
      </c>
      <c r="T1405" s="1" t="s">
        <v>74</v>
      </c>
      <c r="U1405" s="186">
        <v>44984.458333333336</v>
      </c>
      <c r="V1405" s="1" t="s">
        <v>41</v>
      </c>
      <c r="W1405" s="1" t="s">
        <v>49</v>
      </c>
    </row>
    <row r="1406" spans="1:23" hidden="1">
      <c r="A1406" s="1">
        <v>9486166</v>
      </c>
      <c r="B1406" s="1" t="s">
        <v>1153</v>
      </c>
      <c r="C1406" t="s">
        <v>3341</v>
      </c>
      <c r="D1406" s="2">
        <v>20234844000473</v>
      </c>
      <c r="E1406" s="2">
        <v>7419143322502</v>
      </c>
      <c r="F1406" s="1" t="s">
        <v>1222</v>
      </c>
      <c r="G1406" s="1" t="s">
        <v>53</v>
      </c>
      <c r="H1406" s="1" t="s">
        <v>2395</v>
      </c>
      <c r="I1406" s="1" t="s">
        <v>2396</v>
      </c>
      <c r="J1406" s="1" t="s">
        <v>46</v>
      </c>
      <c r="K1406" t="s">
        <v>1223</v>
      </c>
      <c r="M1406" s="1" t="s">
        <v>58</v>
      </c>
      <c r="N1406" s="1">
        <v>0</v>
      </c>
      <c r="O1406" s="1" t="s">
        <v>36</v>
      </c>
      <c r="P1406" s="186">
        <v>44972.46837962963</v>
      </c>
      <c r="R1406" s="1">
        <v>13</v>
      </c>
      <c r="T1406" s="1" t="s">
        <v>238</v>
      </c>
      <c r="U1406" s="186">
        <v>44972.46837962963</v>
      </c>
      <c r="V1406" s="1" t="s">
        <v>41</v>
      </c>
      <c r="W1406" s="1" t="s">
        <v>49</v>
      </c>
    </row>
    <row r="1407" spans="1:23" hidden="1">
      <c r="A1407" s="1">
        <v>9485948</v>
      </c>
      <c r="B1407" s="1" t="s">
        <v>1153</v>
      </c>
      <c r="C1407" t="s">
        <v>3353</v>
      </c>
      <c r="D1407" s="2">
        <v>230029375</v>
      </c>
      <c r="E1407" s="2">
        <v>2669001400020</v>
      </c>
      <c r="F1407" s="1" t="s">
        <v>1961</v>
      </c>
      <c r="G1407" s="1" t="s">
        <v>53</v>
      </c>
      <c r="H1407" s="1" t="s">
        <v>561</v>
      </c>
      <c r="I1407" s="1" t="s">
        <v>562</v>
      </c>
      <c r="J1407" s="1" t="s">
        <v>110</v>
      </c>
      <c r="K1407" t="s">
        <v>1962</v>
      </c>
      <c r="M1407" s="1" t="s">
        <v>58</v>
      </c>
      <c r="N1407" s="1">
        <v>0</v>
      </c>
      <c r="O1407" s="1" t="s">
        <v>36</v>
      </c>
      <c r="P1407" s="186">
        <v>44972.457766203705</v>
      </c>
      <c r="R1407" s="1">
        <v>4</v>
      </c>
      <c r="T1407" s="1" t="s">
        <v>646</v>
      </c>
      <c r="U1407" s="186">
        <v>44985.729166666664</v>
      </c>
      <c r="V1407" s="1" t="s">
        <v>41</v>
      </c>
      <c r="W1407" s="1" t="s">
        <v>49</v>
      </c>
    </row>
    <row r="1408" spans="1:23" hidden="1">
      <c r="A1408" s="1">
        <v>9485898</v>
      </c>
      <c r="B1408" s="1" t="s">
        <v>1153</v>
      </c>
      <c r="C1408" t="s">
        <v>3356</v>
      </c>
      <c r="D1408" s="2">
        <v>20230067000019</v>
      </c>
      <c r="E1408" s="2">
        <v>7417183020616</v>
      </c>
      <c r="F1408" s="1" t="s">
        <v>1313</v>
      </c>
      <c r="G1408" s="1" t="s">
        <v>53</v>
      </c>
      <c r="H1408" s="1" t="s">
        <v>2091</v>
      </c>
      <c r="I1408" s="1" t="s">
        <v>2092</v>
      </c>
      <c r="J1408" s="1" t="s">
        <v>164</v>
      </c>
      <c r="K1408" t="s">
        <v>1316</v>
      </c>
      <c r="M1408" s="1" t="s">
        <v>58</v>
      </c>
      <c r="N1408" s="1">
        <v>0</v>
      </c>
      <c r="O1408" s="1" t="s">
        <v>36</v>
      </c>
      <c r="P1408" s="186">
        <v>44972.437141203707</v>
      </c>
      <c r="R1408" s="1">
        <v>14</v>
      </c>
      <c r="T1408" s="1" t="s">
        <v>238</v>
      </c>
      <c r="U1408" s="186">
        <v>44972.437141203707</v>
      </c>
      <c r="V1408" s="1" t="s">
        <v>41</v>
      </c>
      <c r="W1408" s="1" t="s">
        <v>49</v>
      </c>
    </row>
    <row r="1409" spans="1:23" hidden="1">
      <c r="A1409" s="1">
        <v>9485890</v>
      </c>
      <c r="B1409" s="1" t="s">
        <v>1153</v>
      </c>
      <c r="C1409" t="s">
        <v>3358</v>
      </c>
      <c r="D1409" s="2">
        <v>230029350</v>
      </c>
      <c r="E1409" s="2">
        <v>2138001400030</v>
      </c>
      <c r="F1409" s="1" t="s">
        <v>647</v>
      </c>
      <c r="G1409" s="1" t="s">
        <v>53</v>
      </c>
      <c r="H1409" s="1" t="s">
        <v>379</v>
      </c>
      <c r="I1409" s="1" t="s">
        <v>380</v>
      </c>
      <c r="J1409" s="1" t="s">
        <v>46</v>
      </c>
      <c r="K1409" t="s">
        <v>650</v>
      </c>
      <c r="M1409" s="1" t="s">
        <v>58</v>
      </c>
      <c r="N1409" s="1">
        <v>0</v>
      </c>
      <c r="O1409" s="1" t="s">
        <v>36</v>
      </c>
      <c r="P1409" s="186">
        <v>44972.451388888891</v>
      </c>
      <c r="R1409" s="1">
        <v>4</v>
      </c>
      <c r="T1409" s="1" t="s">
        <v>646</v>
      </c>
      <c r="U1409" s="186">
        <v>44979.645833333336</v>
      </c>
      <c r="V1409" s="1" t="s">
        <v>41</v>
      </c>
      <c r="W1409" s="1" t="s">
        <v>49</v>
      </c>
    </row>
    <row r="1410" spans="1:23" hidden="1">
      <c r="A1410" s="1">
        <v>9485824</v>
      </c>
      <c r="B1410" s="1" t="s">
        <v>1153</v>
      </c>
      <c r="C1410" t="s">
        <v>3361</v>
      </c>
      <c r="D1410" s="2">
        <v>20234844000471</v>
      </c>
      <c r="E1410" s="2">
        <v>7417193471242</v>
      </c>
      <c r="F1410" s="1" t="s">
        <v>2698</v>
      </c>
      <c r="G1410" s="1" t="s">
        <v>53</v>
      </c>
      <c r="H1410" s="1" t="s">
        <v>827</v>
      </c>
      <c r="I1410" s="1" t="s">
        <v>828</v>
      </c>
      <c r="J1410" s="1" t="s">
        <v>46</v>
      </c>
      <c r="K1410" t="s">
        <v>2701</v>
      </c>
      <c r="M1410" s="1" t="s">
        <v>58</v>
      </c>
      <c r="N1410" s="1">
        <v>0</v>
      </c>
      <c r="O1410" s="1" t="s">
        <v>36</v>
      </c>
      <c r="P1410" s="186">
        <v>44972.429236111115</v>
      </c>
      <c r="R1410" s="1">
        <v>13</v>
      </c>
      <c r="S1410" s="1">
        <v>4804</v>
      </c>
      <c r="T1410" s="1" t="s">
        <v>238</v>
      </c>
      <c r="U1410" s="186">
        <v>44972.429236111115</v>
      </c>
      <c r="V1410" s="1" t="s">
        <v>41</v>
      </c>
      <c r="W1410" s="1" t="s">
        <v>49</v>
      </c>
    </row>
    <row r="1411" spans="1:23" hidden="1">
      <c r="A1411" s="181">
        <v>9485767</v>
      </c>
      <c r="B1411" s="181" t="s">
        <v>1153</v>
      </c>
      <c r="C1411" s="182" t="s">
        <v>3988</v>
      </c>
      <c r="D1411" s="183"/>
      <c r="E1411" s="183">
        <v>9705000206205</v>
      </c>
      <c r="F1411" s="181" t="s">
        <v>208</v>
      </c>
      <c r="G1411" s="181" t="s">
        <v>53</v>
      </c>
      <c r="H1411" s="181" t="s">
        <v>204</v>
      </c>
      <c r="I1411" s="181" t="s">
        <v>205</v>
      </c>
      <c r="J1411" s="181" t="s">
        <v>90</v>
      </c>
      <c r="K1411" t="s">
        <v>212</v>
      </c>
      <c r="M1411" s="1" t="s">
        <v>35</v>
      </c>
      <c r="N1411" s="1">
        <v>42318949</v>
      </c>
      <c r="O1411" s="1" t="s">
        <v>36</v>
      </c>
      <c r="P1411" s="186">
        <v>44972.438321759262</v>
      </c>
      <c r="R1411" s="1" t="s">
        <v>38</v>
      </c>
      <c r="T1411" s="1" t="s">
        <v>74</v>
      </c>
      <c r="U1411" s="186">
        <v>44988.607638888891</v>
      </c>
      <c r="V1411" s="1" t="s">
        <v>41</v>
      </c>
      <c r="W1411" s="1" t="s">
        <v>49</v>
      </c>
    </row>
    <row r="1412" spans="1:23" hidden="1">
      <c r="A1412" s="1">
        <v>9485709</v>
      </c>
      <c r="B1412" s="1" t="s">
        <v>1153</v>
      </c>
      <c r="C1412" t="s">
        <v>3372</v>
      </c>
      <c r="D1412" s="2">
        <v>20230922000026</v>
      </c>
      <c r="E1412" s="2">
        <v>7417183020103</v>
      </c>
      <c r="F1412" s="1" t="s">
        <v>1313</v>
      </c>
      <c r="G1412" s="1" t="s">
        <v>53</v>
      </c>
      <c r="H1412" s="1" t="s">
        <v>2410</v>
      </c>
      <c r="I1412" s="1" t="s">
        <v>2411</v>
      </c>
      <c r="J1412" s="1" t="s">
        <v>261</v>
      </c>
      <c r="K1412" t="s">
        <v>1316</v>
      </c>
      <c r="M1412" s="1" t="s">
        <v>58</v>
      </c>
      <c r="N1412" s="1">
        <v>0</v>
      </c>
      <c r="O1412" s="1" t="s">
        <v>36</v>
      </c>
      <c r="P1412" s="186">
        <v>44972.421550925923</v>
      </c>
      <c r="R1412" s="1">
        <v>14</v>
      </c>
      <c r="T1412" s="1" t="s">
        <v>238</v>
      </c>
      <c r="U1412" s="186">
        <v>44972.421550925923</v>
      </c>
      <c r="V1412" s="1" t="s">
        <v>41</v>
      </c>
      <c r="W1412" s="1" t="s">
        <v>49</v>
      </c>
    </row>
    <row r="1413" spans="1:23" hidden="1">
      <c r="A1413" s="1">
        <v>9485644</v>
      </c>
      <c r="B1413" s="1" t="s">
        <v>1153</v>
      </c>
      <c r="C1413" t="s">
        <v>3374</v>
      </c>
      <c r="D1413" s="2">
        <v>20234844000470</v>
      </c>
      <c r="E1413" s="2">
        <v>7417183020646</v>
      </c>
      <c r="F1413" s="1" t="s">
        <v>1313</v>
      </c>
      <c r="G1413" s="1" t="s">
        <v>53</v>
      </c>
      <c r="H1413" s="1" t="s">
        <v>2883</v>
      </c>
      <c r="I1413" s="1" t="s">
        <v>2884</v>
      </c>
      <c r="J1413" s="1" t="s">
        <v>46</v>
      </c>
      <c r="K1413" t="s">
        <v>1316</v>
      </c>
      <c r="M1413" s="1" t="s">
        <v>58</v>
      </c>
      <c r="N1413" s="1">
        <v>0</v>
      </c>
      <c r="O1413" s="1" t="s">
        <v>36</v>
      </c>
      <c r="P1413" s="186">
        <v>44972.40697916667</v>
      </c>
      <c r="R1413" s="1">
        <v>13</v>
      </c>
      <c r="T1413" s="1" t="s">
        <v>238</v>
      </c>
      <c r="U1413" s="186">
        <v>44972.40697916667</v>
      </c>
      <c r="V1413" s="1" t="s">
        <v>41</v>
      </c>
      <c r="W1413" s="1" t="s">
        <v>49</v>
      </c>
    </row>
    <row r="1414" spans="1:23" hidden="1">
      <c r="A1414" s="1">
        <v>9485633</v>
      </c>
      <c r="B1414" s="1" t="s">
        <v>1153</v>
      </c>
      <c r="C1414" t="s">
        <v>3376</v>
      </c>
      <c r="D1414" s="2">
        <v>20230220000019</v>
      </c>
      <c r="E1414" s="2">
        <v>7419141892914</v>
      </c>
      <c r="F1414" s="1" t="s">
        <v>128</v>
      </c>
      <c r="G1414" s="1" t="s">
        <v>53</v>
      </c>
      <c r="H1414" s="1" t="s">
        <v>2030</v>
      </c>
      <c r="I1414" s="1" t="s">
        <v>2031</v>
      </c>
      <c r="J1414" s="1" t="s">
        <v>110</v>
      </c>
      <c r="K1414" t="s">
        <v>129</v>
      </c>
      <c r="M1414" s="1" t="s">
        <v>58</v>
      </c>
      <c r="N1414" s="1">
        <v>0</v>
      </c>
      <c r="O1414" s="1" t="s">
        <v>36</v>
      </c>
      <c r="P1414" s="186">
        <v>44972.407731481479</v>
      </c>
      <c r="R1414" s="1">
        <v>14</v>
      </c>
      <c r="T1414" s="1" t="s">
        <v>238</v>
      </c>
      <c r="U1414" s="186">
        <v>44972.407731481479</v>
      </c>
      <c r="V1414" s="1" t="s">
        <v>41</v>
      </c>
      <c r="W1414" s="1" t="s">
        <v>49</v>
      </c>
    </row>
    <row r="1415" spans="1:23" hidden="1">
      <c r="A1415" s="175">
        <v>9485253</v>
      </c>
      <c r="B1415" s="175" t="s">
        <v>1153</v>
      </c>
      <c r="C1415" s="184" t="s">
        <v>3549</v>
      </c>
      <c r="D1415" s="177">
        <v>20232699000016</v>
      </c>
      <c r="E1415" s="177">
        <v>7419141894741</v>
      </c>
      <c r="F1415" s="175" t="s">
        <v>128</v>
      </c>
      <c r="G1415" s="175" t="s">
        <v>53</v>
      </c>
      <c r="H1415" s="175" t="s">
        <v>2070</v>
      </c>
      <c r="I1415" s="175" t="s">
        <v>2071</v>
      </c>
      <c r="J1415" s="175" t="s">
        <v>148</v>
      </c>
      <c r="K1415" t="s">
        <v>129</v>
      </c>
      <c r="M1415" s="1" t="s">
        <v>58</v>
      </c>
      <c r="N1415" s="1">
        <v>0</v>
      </c>
      <c r="O1415" s="1" t="s">
        <v>36</v>
      </c>
      <c r="P1415" s="186">
        <v>44972.354537037034</v>
      </c>
      <c r="R1415" s="1">
        <v>14</v>
      </c>
      <c r="T1415" s="1" t="s">
        <v>238</v>
      </c>
      <c r="U1415" s="186">
        <v>44972.395833333336</v>
      </c>
      <c r="V1415" s="1" t="s">
        <v>41</v>
      </c>
      <c r="W1415" s="1" t="s">
        <v>49</v>
      </c>
    </row>
    <row r="1416" spans="1:23" hidden="1">
      <c r="A1416" s="173">
        <v>9491727</v>
      </c>
      <c r="B1416" s="173" t="s">
        <v>1153</v>
      </c>
      <c r="C1416" s="178" t="s">
        <v>3989</v>
      </c>
      <c r="D1416" s="174">
        <v>20230600000010</v>
      </c>
      <c r="E1416" s="174">
        <v>7417172780612</v>
      </c>
      <c r="F1416" s="173" t="s">
        <v>1989</v>
      </c>
      <c r="G1416" s="173" t="s">
        <v>53</v>
      </c>
      <c r="H1416" s="173" t="s">
        <v>1084</v>
      </c>
      <c r="I1416" s="173" t="s">
        <v>1085</v>
      </c>
      <c r="J1416" s="173" t="s">
        <v>90</v>
      </c>
      <c r="K1416" t="s">
        <v>1990</v>
      </c>
      <c r="M1416" s="1" t="s">
        <v>58</v>
      </c>
      <c r="N1416" s="1">
        <v>0</v>
      </c>
      <c r="O1416" s="1" t="s">
        <v>36</v>
      </c>
      <c r="P1416" s="186">
        <v>44973.708252314813</v>
      </c>
      <c r="R1416" s="1">
        <v>22</v>
      </c>
      <c r="T1416" s="1" t="s">
        <v>1160</v>
      </c>
      <c r="U1416" s="186">
        <v>44980.541585648149</v>
      </c>
      <c r="V1416" s="1" t="s">
        <v>41</v>
      </c>
      <c r="W1416" s="1" t="s">
        <v>49</v>
      </c>
    </row>
    <row r="1417" spans="1:23" hidden="1">
      <c r="A1417" s="173">
        <v>9491726</v>
      </c>
      <c r="B1417" s="173" t="s">
        <v>1153</v>
      </c>
      <c r="C1417" s="178" t="s">
        <v>3990</v>
      </c>
      <c r="D1417" s="174">
        <v>20230600000009</v>
      </c>
      <c r="E1417" s="174">
        <v>7417172780624</v>
      </c>
      <c r="F1417" s="173" t="s">
        <v>1989</v>
      </c>
      <c r="G1417" s="173" t="s">
        <v>53</v>
      </c>
      <c r="H1417" s="173" t="s">
        <v>1084</v>
      </c>
      <c r="I1417" s="173" t="s">
        <v>1085</v>
      </c>
      <c r="J1417" s="173" t="s">
        <v>90</v>
      </c>
      <c r="K1417" t="s">
        <v>1990</v>
      </c>
      <c r="M1417" s="1" t="s">
        <v>58</v>
      </c>
      <c r="N1417" s="1">
        <v>0</v>
      </c>
      <c r="O1417" s="1" t="s">
        <v>36</v>
      </c>
      <c r="P1417" s="186">
        <v>44973.70784722222</v>
      </c>
      <c r="R1417" s="1">
        <v>22</v>
      </c>
      <c r="T1417" s="1" t="s">
        <v>1160</v>
      </c>
      <c r="U1417" s="186">
        <v>44980.541180555556</v>
      </c>
      <c r="V1417" s="1" t="s">
        <v>41</v>
      </c>
      <c r="W1417" s="1" t="s">
        <v>49</v>
      </c>
    </row>
    <row r="1418" spans="1:23" hidden="1">
      <c r="A1418" s="1">
        <v>9491702</v>
      </c>
      <c r="B1418" s="1" t="s">
        <v>1153</v>
      </c>
      <c r="C1418" t="s">
        <v>3663</v>
      </c>
      <c r="E1418" s="2">
        <v>2081000203000</v>
      </c>
      <c r="F1418" s="1" t="s">
        <v>454</v>
      </c>
      <c r="G1418" s="1" t="s">
        <v>53</v>
      </c>
      <c r="H1418" s="1" t="s">
        <v>590</v>
      </c>
      <c r="I1418" s="1" t="s">
        <v>591</v>
      </c>
      <c r="J1418" s="1" t="s">
        <v>261</v>
      </c>
      <c r="K1418" t="s">
        <v>457</v>
      </c>
      <c r="M1418" s="1" t="s">
        <v>58</v>
      </c>
      <c r="N1418" s="1">
        <v>0</v>
      </c>
      <c r="O1418" s="1" t="s">
        <v>36</v>
      </c>
      <c r="P1418" s="186">
        <v>44973.708761574075</v>
      </c>
      <c r="R1418" s="1">
        <v>1</v>
      </c>
      <c r="T1418" s="1" t="s">
        <v>157</v>
      </c>
      <c r="U1418" s="186">
        <v>44974.708761574075</v>
      </c>
      <c r="V1418" s="1" t="s">
        <v>41</v>
      </c>
      <c r="W1418" s="1" t="s">
        <v>49</v>
      </c>
    </row>
    <row r="1419" spans="1:23" hidden="1">
      <c r="A1419" s="1">
        <v>9491463</v>
      </c>
      <c r="B1419" s="1" t="s">
        <v>1153</v>
      </c>
      <c r="C1419" t="s">
        <v>2703</v>
      </c>
      <c r="E1419" s="2">
        <v>1264000206001</v>
      </c>
      <c r="F1419" s="1" t="s">
        <v>29</v>
      </c>
      <c r="G1419" s="1" t="s">
        <v>53</v>
      </c>
      <c r="H1419" s="1" t="s">
        <v>351</v>
      </c>
      <c r="I1419" s="1" t="s">
        <v>352</v>
      </c>
      <c r="J1419" s="1" t="s">
        <v>110</v>
      </c>
      <c r="K1419" t="s">
        <v>34</v>
      </c>
      <c r="M1419" s="1" t="s">
        <v>35</v>
      </c>
      <c r="N1419" s="1">
        <v>42318949</v>
      </c>
      <c r="O1419" s="1" t="s">
        <v>36</v>
      </c>
      <c r="P1419" s="186">
        <v>44973.656759259262</v>
      </c>
      <c r="R1419" s="1" t="s">
        <v>38</v>
      </c>
      <c r="T1419" s="1" t="s">
        <v>74</v>
      </c>
      <c r="U1419" s="186">
        <v>44991.708333333336</v>
      </c>
      <c r="V1419" s="1" t="s">
        <v>41</v>
      </c>
      <c r="W1419" s="1" t="s">
        <v>49</v>
      </c>
    </row>
    <row r="1420" spans="1:23" hidden="1">
      <c r="A1420" s="1">
        <v>9491434</v>
      </c>
      <c r="B1420" s="1" t="s">
        <v>1153</v>
      </c>
      <c r="C1420" t="s">
        <v>3666</v>
      </c>
      <c r="D1420" s="2">
        <v>20231291000008</v>
      </c>
      <c r="E1420" s="2">
        <v>7417163283751</v>
      </c>
      <c r="F1420" s="1" t="s">
        <v>131</v>
      </c>
      <c r="G1420" s="1" t="s">
        <v>53</v>
      </c>
      <c r="H1420" s="1" t="s">
        <v>3667</v>
      </c>
      <c r="I1420" s="1" t="s">
        <v>3668</v>
      </c>
      <c r="J1420" s="1" t="s">
        <v>33</v>
      </c>
      <c r="K1420" t="s">
        <v>132</v>
      </c>
      <c r="M1420" s="1" t="s">
        <v>58</v>
      </c>
      <c r="N1420" s="1">
        <v>0</v>
      </c>
      <c r="O1420" s="1" t="s">
        <v>36</v>
      </c>
      <c r="P1420" s="186">
        <v>44973.639502314814</v>
      </c>
      <c r="R1420" s="1">
        <v>14</v>
      </c>
      <c r="T1420" s="1" t="s">
        <v>238</v>
      </c>
      <c r="U1420" s="186">
        <v>44973.639502314814</v>
      </c>
      <c r="V1420" s="1" t="s">
        <v>41</v>
      </c>
      <c r="W1420" s="1" t="s">
        <v>42</v>
      </c>
    </row>
    <row r="1421" spans="1:23" hidden="1">
      <c r="A1421" s="1">
        <v>9491359</v>
      </c>
      <c r="B1421" s="1" t="s">
        <v>1153</v>
      </c>
      <c r="C1421" t="s">
        <v>3669</v>
      </c>
      <c r="D1421" s="2">
        <v>20230594000014</v>
      </c>
      <c r="E1421" s="2">
        <v>7417163280924</v>
      </c>
      <c r="F1421" s="1" t="s">
        <v>131</v>
      </c>
      <c r="G1421" s="1" t="s">
        <v>53</v>
      </c>
      <c r="H1421" s="1" t="s">
        <v>3670</v>
      </c>
      <c r="I1421" s="1" t="s">
        <v>3671</v>
      </c>
      <c r="J1421" s="1" t="s">
        <v>33</v>
      </c>
      <c r="K1421" t="s">
        <v>132</v>
      </c>
      <c r="M1421" s="1" t="s">
        <v>58</v>
      </c>
      <c r="N1421" s="1">
        <v>0</v>
      </c>
      <c r="O1421" s="1" t="s">
        <v>105</v>
      </c>
      <c r="P1421" s="186">
        <v>44973.620891203704</v>
      </c>
      <c r="R1421" s="1">
        <v>15</v>
      </c>
      <c r="T1421" s="1" t="s">
        <v>238</v>
      </c>
      <c r="U1421" s="186">
        <v>44973.620891203704</v>
      </c>
      <c r="V1421" s="1" t="s">
        <v>41</v>
      </c>
      <c r="W1421" s="1" t="s">
        <v>42</v>
      </c>
    </row>
    <row r="1422" spans="1:23">
      <c r="A1422" s="181">
        <v>9491259</v>
      </c>
      <c r="B1422" s="181" t="s">
        <v>1153</v>
      </c>
      <c r="C1422" s="182" t="s">
        <v>3991</v>
      </c>
      <c r="D1422" s="183">
        <v>20231061000013</v>
      </c>
      <c r="E1422" s="183">
        <v>7419141892055</v>
      </c>
      <c r="F1422" s="181" t="s">
        <v>128</v>
      </c>
      <c r="G1422" s="181" t="s">
        <v>53</v>
      </c>
      <c r="H1422" s="181" t="s">
        <v>3674</v>
      </c>
      <c r="I1422" s="181" t="s">
        <v>3675</v>
      </c>
      <c r="J1422" s="181" t="s">
        <v>85</v>
      </c>
      <c r="K1422" t="s">
        <v>129</v>
      </c>
      <c r="M1422" s="1" t="s">
        <v>58</v>
      </c>
      <c r="N1422" s="1">
        <v>0</v>
      </c>
      <c r="O1422" s="1" t="s">
        <v>36</v>
      </c>
      <c r="P1422" s="186">
        <v>44973.598460648151</v>
      </c>
      <c r="R1422" s="1">
        <v>14</v>
      </c>
      <c r="T1422" s="1" t="s">
        <v>238</v>
      </c>
      <c r="U1422" s="186">
        <v>44973.598460648151</v>
      </c>
      <c r="V1422" s="1" t="s">
        <v>41</v>
      </c>
      <c r="W1422" s="1" t="s">
        <v>49</v>
      </c>
    </row>
    <row r="1423" spans="1:23" hidden="1">
      <c r="A1423" s="1">
        <v>9491033</v>
      </c>
      <c r="B1423" s="1" t="s">
        <v>1153</v>
      </c>
      <c r="C1423" t="s">
        <v>3676</v>
      </c>
      <c r="D1423" s="2">
        <v>20230067000021</v>
      </c>
      <c r="E1423" s="2">
        <v>7417163283166</v>
      </c>
      <c r="F1423" s="1" t="s">
        <v>131</v>
      </c>
      <c r="G1423" s="1" t="s">
        <v>53</v>
      </c>
      <c r="H1423" s="1" t="s">
        <v>2091</v>
      </c>
      <c r="I1423" s="1" t="s">
        <v>2092</v>
      </c>
      <c r="J1423" s="1" t="s">
        <v>164</v>
      </c>
      <c r="K1423" t="s">
        <v>132</v>
      </c>
      <c r="M1423" s="1" t="s">
        <v>58</v>
      </c>
      <c r="N1423" s="1">
        <v>0</v>
      </c>
      <c r="O1423" s="1" t="s">
        <v>36</v>
      </c>
      <c r="P1423" s="186">
        <v>44973.536689814813</v>
      </c>
      <c r="R1423" s="1">
        <v>14</v>
      </c>
      <c r="T1423" s="1" t="s">
        <v>238</v>
      </c>
      <c r="U1423" s="186">
        <v>44973.536689814813</v>
      </c>
      <c r="V1423" s="1" t="s">
        <v>41</v>
      </c>
      <c r="W1423" s="1" t="s">
        <v>49</v>
      </c>
    </row>
    <row r="1424" spans="1:23" hidden="1">
      <c r="A1424" s="1">
        <v>9491021</v>
      </c>
      <c r="B1424" s="1" t="s">
        <v>1153</v>
      </c>
      <c r="C1424" t="s">
        <v>3679</v>
      </c>
      <c r="E1424" s="2">
        <v>1643000206001</v>
      </c>
      <c r="F1424" s="1" t="s">
        <v>29</v>
      </c>
      <c r="G1424" s="1" t="s">
        <v>53</v>
      </c>
      <c r="H1424" s="1" t="s">
        <v>361</v>
      </c>
      <c r="I1424" s="1" t="s">
        <v>362</v>
      </c>
      <c r="J1424" s="1" t="s">
        <v>261</v>
      </c>
      <c r="K1424" t="s">
        <v>34</v>
      </c>
      <c r="M1424" s="1" t="s">
        <v>35</v>
      </c>
      <c r="N1424" s="1">
        <v>42318949</v>
      </c>
      <c r="O1424" s="1" t="s">
        <v>36</v>
      </c>
      <c r="P1424" s="186">
        <v>44973.546944444446</v>
      </c>
      <c r="R1424" s="1" t="s">
        <v>38</v>
      </c>
      <c r="T1424" s="1" t="s">
        <v>74</v>
      </c>
      <c r="U1424" s="186">
        <v>44985.708333333336</v>
      </c>
      <c r="V1424" s="1" t="s">
        <v>41</v>
      </c>
      <c r="W1424" s="1" t="s">
        <v>49</v>
      </c>
    </row>
    <row r="1425" spans="1:23" hidden="1">
      <c r="A1425" s="1">
        <v>9490757</v>
      </c>
      <c r="B1425" s="1" t="s">
        <v>1153</v>
      </c>
      <c r="C1425" t="s">
        <v>3680</v>
      </c>
      <c r="D1425" s="2">
        <v>20234844000490</v>
      </c>
      <c r="E1425" s="2">
        <v>7417183020653</v>
      </c>
      <c r="F1425" s="1" t="s">
        <v>1313</v>
      </c>
      <c r="G1425" s="1" t="s">
        <v>53</v>
      </c>
      <c r="H1425" s="1" t="s">
        <v>2357</v>
      </c>
      <c r="I1425" s="1" t="s">
        <v>2358</v>
      </c>
      <c r="J1425" s="1" t="s">
        <v>46</v>
      </c>
      <c r="K1425" t="s">
        <v>1316</v>
      </c>
      <c r="M1425" s="1" t="s">
        <v>58</v>
      </c>
      <c r="N1425" s="1">
        <v>0</v>
      </c>
      <c r="O1425" s="1" t="s">
        <v>36</v>
      </c>
      <c r="P1425" s="186">
        <v>44973.468148148146</v>
      </c>
      <c r="R1425" s="1">
        <v>13</v>
      </c>
      <c r="T1425" s="1" t="s">
        <v>238</v>
      </c>
      <c r="U1425" s="186">
        <v>44973.468148148146</v>
      </c>
      <c r="V1425" s="1" t="s">
        <v>41</v>
      </c>
      <c r="W1425" s="1" t="s">
        <v>49</v>
      </c>
    </row>
    <row r="1426" spans="1:23" hidden="1">
      <c r="A1426" s="181">
        <v>9490716</v>
      </c>
      <c r="B1426" s="181" t="s">
        <v>1153</v>
      </c>
      <c r="C1426" s="185" t="s">
        <v>3681</v>
      </c>
      <c r="D1426" s="183">
        <v>20232437000024</v>
      </c>
      <c r="E1426" s="183">
        <v>7417210550033</v>
      </c>
      <c r="F1426" s="181" t="s">
        <v>1936</v>
      </c>
      <c r="G1426" s="181" t="s">
        <v>53</v>
      </c>
      <c r="H1426" s="181" t="s">
        <v>2418</v>
      </c>
      <c r="I1426" s="181" t="s">
        <v>2419</v>
      </c>
      <c r="J1426" s="181" t="s">
        <v>211</v>
      </c>
      <c r="K1426" t="s">
        <v>1939</v>
      </c>
      <c r="M1426" s="1" t="s">
        <v>58</v>
      </c>
      <c r="N1426" s="1">
        <v>0</v>
      </c>
      <c r="O1426" s="1" t="s">
        <v>36</v>
      </c>
      <c r="P1426" s="186">
        <v>44973.469571759262</v>
      </c>
      <c r="R1426" s="1">
        <v>14</v>
      </c>
      <c r="T1426" s="1" t="s">
        <v>238</v>
      </c>
      <c r="U1426" s="186">
        <v>44973.469571759262</v>
      </c>
      <c r="V1426" s="1" t="s">
        <v>41</v>
      </c>
      <c r="W1426" s="1" t="s">
        <v>49</v>
      </c>
    </row>
    <row r="1427" spans="1:23" hidden="1">
      <c r="A1427" s="1">
        <v>9490707</v>
      </c>
      <c r="B1427" s="1" t="s">
        <v>1153</v>
      </c>
      <c r="C1427" t="s">
        <v>3682</v>
      </c>
      <c r="D1427" s="2">
        <v>20235898000008</v>
      </c>
      <c r="E1427" s="2">
        <v>7417202020387</v>
      </c>
      <c r="F1427" s="1" t="s">
        <v>1213</v>
      </c>
      <c r="G1427" s="1" t="s">
        <v>53</v>
      </c>
      <c r="H1427" s="1" t="s">
        <v>3683</v>
      </c>
      <c r="I1427" s="1" t="s">
        <v>3684</v>
      </c>
      <c r="J1427" s="1" t="s">
        <v>164</v>
      </c>
      <c r="K1427" t="s">
        <v>1214</v>
      </c>
      <c r="M1427" s="1" t="s">
        <v>58</v>
      </c>
      <c r="N1427" s="1">
        <v>0</v>
      </c>
      <c r="O1427" s="1" t="s">
        <v>36</v>
      </c>
      <c r="P1427" s="186">
        <v>44973.467847222222</v>
      </c>
      <c r="R1427" s="1">
        <v>14</v>
      </c>
      <c r="T1427" s="1" t="s">
        <v>238</v>
      </c>
      <c r="U1427" s="186">
        <v>44973.467847222222</v>
      </c>
      <c r="V1427" s="1" t="s">
        <v>41</v>
      </c>
      <c r="W1427" s="1" t="s">
        <v>49</v>
      </c>
    </row>
    <row r="1428" spans="1:23" hidden="1">
      <c r="A1428" s="1">
        <v>9490620</v>
      </c>
      <c r="B1428" s="1" t="s">
        <v>1153</v>
      </c>
      <c r="C1428" t="s">
        <v>3685</v>
      </c>
      <c r="D1428" s="2">
        <v>20234844000489</v>
      </c>
      <c r="E1428" s="2">
        <v>7417163282354</v>
      </c>
      <c r="F1428" s="1" t="s">
        <v>131</v>
      </c>
      <c r="G1428" s="1" t="s">
        <v>53</v>
      </c>
      <c r="H1428" s="1" t="s">
        <v>2059</v>
      </c>
      <c r="I1428" s="1" t="s">
        <v>2060</v>
      </c>
      <c r="J1428" s="1" t="s">
        <v>46</v>
      </c>
      <c r="K1428" t="s">
        <v>132</v>
      </c>
      <c r="M1428" s="1" t="s">
        <v>58</v>
      </c>
      <c r="N1428" s="1">
        <v>0</v>
      </c>
      <c r="O1428" s="1" t="s">
        <v>36</v>
      </c>
      <c r="P1428" s="186">
        <v>44973.439270833333</v>
      </c>
      <c r="R1428" s="1">
        <v>13</v>
      </c>
      <c r="T1428" s="1" t="s">
        <v>238</v>
      </c>
      <c r="U1428" s="186">
        <v>44973.439270833333</v>
      </c>
      <c r="V1428" s="1" t="s">
        <v>41</v>
      </c>
      <c r="W1428" s="1" t="s">
        <v>49</v>
      </c>
    </row>
    <row r="1429" spans="1:23" hidden="1">
      <c r="A1429" s="1">
        <v>9490520</v>
      </c>
      <c r="B1429" s="1" t="s">
        <v>1153</v>
      </c>
      <c r="C1429" t="s">
        <v>3555</v>
      </c>
      <c r="D1429" s="2">
        <v>20234804001722</v>
      </c>
      <c r="E1429" s="2">
        <v>7417183020662</v>
      </c>
      <c r="F1429" s="1" t="s">
        <v>1313</v>
      </c>
      <c r="G1429" s="1" t="s">
        <v>53</v>
      </c>
      <c r="H1429" s="1" t="s">
        <v>3556</v>
      </c>
      <c r="I1429" s="1" t="s">
        <v>3557</v>
      </c>
      <c r="J1429" s="1" t="s">
        <v>110</v>
      </c>
      <c r="K1429" t="s">
        <v>1316</v>
      </c>
      <c r="M1429" s="1" t="s">
        <v>58</v>
      </c>
      <c r="N1429" s="1">
        <v>0</v>
      </c>
      <c r="O1429" s="1" t="s">
        <v>36</v>
      </c>
      <c r="P1429" s="186">
        <v>44973.417060185187</v>
      </c>
      <c r="R1429" s="1">
        <v>13</v>
      </c>
      <c r="S1429" s="1">
        <v>4804</v>
      </c>
      <c r="T1429" s="1" t="s">
        <v>238</v>
      </c>
      <c r="U1429" s="186">
        <v>44973.417060185187</v>
      </c>
      <c r="V1429" s="1" t="s">
        <v>41</v>
      </c>
      <c r="W1429" s="1" t="s">
        <v>49</v>
      </c>
    </row>
    <row r="1430" spans="1:23" hidden="1">
      <c r="A1430" s="1">
        <v>9490501</v>
      </c>
      <c r="B1430" s="1" t="s">
        <v>1153</v>
      </c>
      <c r="C1430" t="s">
        <v>3558</v>
      </c>
      <c r="D1430" s="2">
        <v>20230067000020</v>
      </c>
      <c r="E1430" s="2">
        <v>7417161482831</v>
      </c>
      <c r="F1430" s="1" t="s">
        <v>1217</v>
      </c>
      <c r="G1430" s="1" t="s">
        <v>53</v>
      </c>
      <c r="H1430" s="1" t="s">
        <v>2091</v>
      </c>
      <c r="I1430" s="1" t="s">
        <v>2092</v>
      </c>
      <c r="J1430" s="1" t="s">
        <v>164</v>
      </c>
      <c r="K1430" t="s">
        <v>1218</v>
      </c>
      <c r="M1430" s="1" t="s">
        <v>58</v>
      </c>
      <c r="N1430" s="1">
        <v>0</v>
      </c>
      <c r="O1430" s="1" t="s">
        <v>36</v>
      </c>
      <c r="P1430" s="186">
        <v>44973.424004629633</v>
      </c>
      <c r="R1430" s="1">
        <v>14</v>
      </c>
      <c r="T1430" s="1" t="s">
        <v>238</v>
      </c>
      <c r="U1430" s="186">
        <v>44973.424004629633</v>
      </c>
      <c r="V1430" s="1" t="s">
        <v>41</v>
      </c>
      <c r="W1430" s="1" t="s">
        <v>49</v>
      </c>
    </row>
    <row r="1431" spans="1:23" hidden="1">
      <c r="A1431" s="1">
        <v>9490369</v>
      </c>
      <c r="B1431" s="1" t="s">
        <v>1153</v>
      </c>
      <c r="C1431" t="s">
        <v>3561</v>
      </c>
      <c r="D1431" s="2">
        <v>20231049000002</v>
      </c>
      <c r="E1431" s="2">
        <v>7417193391053</v>
      </c>
      <c r="F1431" s="1" t="s">
        <v>2760</v>
      </c>
      <c r="G1431" s="1" t="s">
        <v>53</v>
      </c>
      <c r="H1431" s="1" t="s">
        <v>169</v>
      </c>
      <c r="I1431" s="1" t="s">
        <v>170</v>
      </c>
      <c r="J1431" s="1" t="s">
        <v>164</v>
      </c>
      <c r="K1431" t="s">
        <v>2761</v>
      </c>
      <c r="M1431" s="1" t="s">
        <v>58</v>
      </c>
      <c r="N1431" s="1">
        <v>0</v>
      </c>
      <c r="O1431" s="1" t="s">
        <v>105</v>
      </c>
      <c r="P1431" s="186">
        <v>44973.403344907405</v>
      </c>
      <c r="R1431" s="1">
        <v>22</v>
      </c>
      <c r="T1431" s="1" t="s">
        <v>1160</v>
      </c>
      <c r="U1431" s="186">
        <v>44979.611678240741</v>
      </c>
      <c r="V1431" s="1" t="s">
        <v>41</v>
      </c>
      <c r="W1431" s="1" t="s">
        <v>49</v>
      </c>
    </row>
    <row r="1432" spans="1:23" hidden="1">
      <c r="A1432" s="181">
        <v>9490178</v>
      </c>
      <c r="B1432" s="181" t="s">
        <v>1153</v>
      </c>
      <c r="C1432" s="185" t="s">
        <v>3563</v>
      </c>
      <c r="D1432" s="183">
        <v>20230068000022</v>
      </c>
      <c r="E1432" s="183">
        <v>7417193050628</v>
      </c>
      <c r="F1432" s="181" t="s">
        <v>1719</v>
      </c>
      <c r="G1432" s="181" t="s">
        <v>53</v>
      </c>
      <c r="H1432" s="181" t="s">
        <v>1330</v>
      </c>
      <c r="I1432" s="181" t="s">
        <v>1331</v>
      </c>
      <c r="J1432" s="181" t="s">
        <v>211</v>
      </c>
      <c r="K1432" t="s">
        <v>1720</v>
      </c>
      <c r="M1432" s="1" t="s">
        <v>58</v>
      </c>
      <c r="N1432" s="1">
        <v>0</v>
      </c>
      <c r="O1432" s="1" t="s">
        <v>105</v>
      </c>
      <c r="P1432" s="186">
        <v>44973.382974537039</v>
      </c>
      <c r="R1432" s="1">
        <v>22</v>
      </c>
      <c r="T1432" s="1" t="s">
        <v>1160</v>
      </c>
      <c r="U1432" s="186">
        <v>44979.591307870367</v>
      </c>
      <c r="V1432" s="1" t="s">
        <v>41</v>
      </c>
      <c r="W1432" s="1" t="s">
        <v>49</v>
      </c>
    </row>
    <row r="1433" spans="1:23" hidden="1">
      <c r="A1433" s="175">
        <v>9490075</v>
      </c>
      <c r="B1433" s="175" t="s">
        <v>1153</v>
      </c>
      <c r="C1433" s="176" t="s">
        <v>3992</v>
      </c>
      <c r="D1433" s="177"/>
      <c r="E1433" s="177">
        <v>1059000206001</v>
      </c>
      <c r="F1433" s="175" t="s">
        <v>29</v>
      </c>
      <c r="G1433" s="175" t="s">
        <v>53</v>
      </c>
      <c r="H1433" s="175" t="s">
        <v>88</v>
      </c>
      <c r="I1433" s="175" t="s">
        <v>89</v>
      </c>
      <c r="J1433" s="175" t="s">
        <v>90</v>
      </c>
      <c r="K1433" t="s">
        <v>34</v>
      </c>
      <c r="M1433" s="1" t="s">
        <v>35</v>
      </c>
      <c r="N1433" s="1">
        <v>42318949</v>
      </c>
      <c r="O1433" s="1" t="s">
        <v>36</v>
      </c>
      <c r="P1433" s="186">
        <v>44973.375358796293</v>
      </c>
      <c r="R1433" s="1" t="s">
        <v>38</v>
      </c>
      <c r="T1433" s="1" t="s">
        <v>74</v>
      </c>
      <c r="U1433" s="186">
        <v>44988.666666666664</v>
      </c>
      <c r="V1433" s="1" t="s">
        <v>41</v>
      </c>
      <c r="W1433" s="1" t="s">
        <v>49</v>
      </c>
    </row>
    <row r="1434" spans="1:23" hidden="1">
      <c r="A1434" s="1">
        <v>9489999</v>
      </c>
      <c r="B1434" s="1" t="s">
        <v>1153</v>
      </c>
      <c r="C1434" t="s">
        <v>3568</v>
      </c>
      <c r="E1434" s="2">
        <v>2081000206001</v>
      </c>
      <c r="F1434" s="1" t="s">
        <v>29</v>
      </c>
      <c r="G1434" s="1" t="s">
        <v>53</v>
      </c>
      <c r="H1434" s="1" t="s">
        <v>590</v>
      </c>
      <c r="I1434" s="1" t="s">
        <v>591</v>
      </c>
      <c r="J1434" s="1" t="s">
        <v>261</v>
      </c>
      <c r="K1434" t="s">
        <v>34</v>
      </c>
      <c r="M1434" s="1" t="s">
        <v>35</v>
      </c>
      <c r="N1434" s="1">
        <v>42318949</v>
      </c>
      <c r="O1434" s="1" t="s">
        <v>36</v>
      </c>
      <c r="P1434" s="186">
        <v>44973.364872685182</v>
      </c>
      <c r="R1434" s="1" t="s">
        <v>38</v>
      </c>
      <c r="T1434" s="1" t="s">
        <v>74</v>
      </c>
      <c r="U1434" s="186">
        <v>44984.708333333336</v>
      </c>
      <c r="V1434" s="1" t="s">
        <v>41</v>
      </c>
      <c r="W1434" s="1" t="s">
        <v>49</v>
      </c>
    </row>
    <row r="1435" spans="1:23" hidden="1">
      <c r="A1435" s="181">
        <v>9489928</v>
      </c>
      <c r="B1435" s="181" t="s">
        <v>1153</v>
      </c>
      <c r="C1435" s="185" t="s">
        <v>3569</v>
      </c>
      <c r="D1435" s="183"/>
      <c r="E1435" s="183">
        <v>1902016242200</v>
      </c>
      <c r="F1435" s="181" t="s">
        <v>64</v>
      </c>
      <c r="G1435" s="181" t="s">
        <v>53</v>
      </c>
      <c r="H1435" s="181" t="s">
        <v>1844</v>
      </c>
      <c r="I1435" s="181" t="s">
        <v>1845</v>
      </c>
      <c r="J1435" s="181" t="s">
        <v>211</v>
      </c>
      <c r="K1435" t="s">
        <v>67</v>
      </c>
      <c r="M1435" s="1" t="s">
        <v>35</v>
      </c>
      <c r="N1435" s="1">
        <v>42318949</v>
      </c>
      <c r="O1435" s="1" t="s">
        <v>36</v>
      </c>
      <c r="P1435" s="186">
        <v>44973.352488425924</v>
      </c>
      <c r="R1435" s="1" t="s">
        <v>571</v>
      </c>
      <c r="T1435" s="1" t="s">
        <v>69</v>
      </c>
      <c r="U1435" s="186">
        <v>44985.607638888891</v>
      </c>
      <c r="V1435" s="1" t="s">
        <v>41</v>
      </c>
      <c r="W1435" s="1" t="s">
        <v>49</v>
      </c>
    </row>
    <row r="1436" spans="1:23" hidden="1">
      <c r="A1436" s="181">
        <v>9494552</v>
      </c>
      <c r="B1436" s="181" t="s">
        <v>1153</v>
      </c>
      <c r="C1436" s="182" t="s">
        <v>3993</v>
      </c>
      <c r="D1436" s="183">
        <v>230031041</v>
      </c>
      <c r="E1436" s="183">
        <v>2156001400020</v>
      </c>
      <c r="F1436" s="181" t="s">
        <v>1961</v>
      </c>
      <c r="G1436" s="181" t="s">
        <v>53</v>
      </c>
      <c r="H1436" s="181" t="s">
        <v>278</v>
      </c>
      <c r="I1436" s="181" t="s">
        <v>279</v>
      </c>
      <c r="J1436" s="181" t="s">
        <v>211</v>
      </c>
      <c r="K1436" t="s">
        <v>1962</v>
      </c>
      <c r="M1436" s="1" t="s">
        <v>58</v>
      </c>
      <c r="N1436" s="1">
        <v>0</v>
      </c>
      <c r="O1436" s="1" t="s">
        <v>36</v>
      </c>
      <c r="P1436" s="186">
        <v>44974.980555555558</v>
      </c>
      <c r="R1436" s="1">
        <v>4</v>
      </c>
      <c r="T1436" s="1" t="s">
        <v>646</v>
      </c>
      <c r="U1436" s="186">
        <v>44986.604166666664</v>
      </c>
      <c r="V1436" s="1" t="s">
        <v>41</v>
      </c>
      <c r="W1436" s="1" t="s">
        <v>49</v>
      </c>
    </row>
    <row r="1437" spans="1:23" hidden="1">
      <c r="A1437" s="175">
        <v>9494300</v>
      </c>
      <c r="B1437" s="175" t="s">
        <v>1153</v>
      </c>
      <c r="C1437" s="184" t="s">
        <v>3994</v>
      </c>
      <c r="D1437" s="177">
        <v>20232125000005</v>
      </c>
      <c r="E1437" s="177">
        <v>7417161481559</v>
      </c>
      <c r="F1437" s="175" t="s">
        <v>1979</v>
      </c>
      <c r="G1437" s="175" t="s">
        <v>53</v>
      </c>
      <c r="H1437" s="175" t="s">
        <v>3691</v>
      </c>
      <c r="I1437" s="175" t="s">
        <v>3692</v>
      </c>
      <c r="J1437" s="175" t="s">
        <v>211</v>
      </c>
      <c r="K1437" t="s">
        <v>1982</v>
      </c>
      <c r="M1437" s="1" t="s">
        <v>58</v>
      </c>
      <c r="N1437" s="1">
        <v>0</v>
      </c>
      <c r="O1437" s="1" t="s">
        <v>36</v>
      </c>
      <c r="P1437" s="186">
        <v>44974.752488425926</v>
      </c>
      <c r="R1437" s="1">
        <v>14</v>
      </c>
      <c r="T1437" s="1" t="s">
        <v>238</v>
      </c>
      <c r="U1437" s="186">
        <v>44979.395833333336</v>
      </c>
      <c r="V1437" s="1" t="s">
        <v>41</v>
      </c>
      <c r="W1437" s="1" t="s">
        <v>49</v>
      </c>
    </row>
    <row r="1438" spans="1:23" hidden="1">
      <c r="A1438" s="175">
        <v>9494299</v>
      </c>
      <c r="B1438" s="175" t="s">
        <v>1153</v>
      </c>
      <c r="C1438" s="184" t="s">
        <v>3995</v>
      </c>
      <c r="D1438" s="177">
        <v>20232125000004</v>
      </c>
      <c r="E1438" s="177">
        <v>7417163285129</v>
      </c>
      <c r="F1438" s="175" t="s">
        <v>131</v>
      </c>
      <c r="G1438" s="175" t="s">
        <v>53</v>
      </c>
      <c r="H1438" s="175" t="s">
        <v>3691</v>
      </c>
      <c r="I1438" s="175" t="s">
        <v>3692</v>
      </c>
      <c r="J1438" s="175" t="s">
        <v>211</v>
      </c>
      <c r="K1438" t="s">
        <v>132</v>
      </c>
      <c r="M1438" s="1" t="s">
        <v>58</v>
      </c>
      <c r="N1438" s="1">
        <v>0</v>
      </c>
      <c r="O1438" s="1" t="s">
        <v>36</v>
      </c>
      <c r="P1438" s="186">
        <v>44974.75104166667</v>
      </c>
      <c r="R1438" s="1">
        <v>14</v>
      </c>
      <c r="T1438" s="1" t="s">
        <v>238</v>
      </c>
      <c r="U1438" s="186">
        <v>44979.395833333336</v>
      </c>
      <c r="V1438" s="1" t="s">
        <v>41</v>
      </c>
      <c r="W1438" s="1" t="s">
        <v>49</v>
      </c>
    </row>
    <row r="1439" spans="1:23" hidden="1">
      <c r="A1439" s="1">
        <v>9494265</v>
      </c>
      <c r="B1439" s="1" t="s">
        <v>1153</v>
      </c>
      <c r="C1439" t="s">
        <v>3697</v>
      </c>
      <c r="D1439" s="2">
        <v>20230115000014</v>
      </c>
      <c r="E1439" s="2">
        <v>7417202020304</v>
      </c>
      <c r="F1439" s="1" t="s">
        <v>1213</v>
      </c>
      <c r="G1439" s="1" t="s">
        <v>53</v>
      </c>
      <c r="H1439" s="1" t="s">
        <v>2591</v>
      </c>
      <c r="I1439" s="1" t="s">
        <v>2592</v>
      </c>
      <c r="J1439" s="1" t="s">
        <v>56</v>
      </c>
      <c r="K1439" t="s">
        <v>1214</v>
      </c>
      <c r="M1439" s="1" t="s">
        <v>58</v>
      </c>
      <c r="N1439" s="1">
        <v>0</v>
      </c>
      <c r="O1439" s="1" t="s">
        <v>36</v>
      </c>
      <c r="P1439" s="186">
        <v>44974.739571759259</v>
      </c>
      <c r="R1439" s="1">
        <v>14</v>
      </c>
      <c r="T1439" s="1" t="s">
        <v>238</v>
      </c>
      <c r="U1439" s="186">
        <v>44979.395833333336</v>
      </c>
      <c r="V1439" s="1" t="s">
        <v>41</v>
      </c>
      <c r="W1439" s="1" t="s">
        <v>49</v>
      </c>
    </row>
    <row r="1440" spans="1:23" hidden="1">
      <c r="A1440" s="1">
        <v>9494234</v>
      </c>
      <c r="B1440" s="1" t="s">
        <v>1153</v>
      </c>
      <c r="C1440" t="s">
        <v>3699</v>
      </c>
      <c r="D1440" s="2">
        <v>20238889000065</v>
      </c>
      <c r="E1440" s="2">
        <v>7417163282971</v>
      </c>
      <c r="F1440" s="1" t="s">
        <v>131</v>
      </c>
      <c r="G1440" s="1" t="s">
        <v>53</v>
      </c>
      <c r="H1440" s="1" t="s">
        <v>2917</v>
      </c>
      <c r="I1440" s="1" t="s">
        <v>2918</v>
      </c>
      <c r="J1440" s="1" t="s">
        <v>33</v>
      </c>
      <c r="K1440" t="s">
        <v>132</v>
      </c>
      <c r="M1440" s="1" t="s">
        <v>58</v>
      </c>
      <c r="N1440" s="1">
        <v>0</v>
      </c>
      <c r="O1440" s="1" t="s">
        <v>36</v>
      </c>
      <c r="P1440" s="186">
        <v>44974.725775462961</v>
      </c>
      <c r="R1440" s="1">
        <v>14</v>
      </c>
      <c r="T1440" s="1" t="s">
        <v>238</v>
      </c>
      <c r="U1440" s="186">
        <v>44979.395833333336</v>
      </c>
      <c r="V1440" s="1" t="s">
        <v>41</v>
      </c>
      <c r="W1440" s="1" t="s">
        <v>49</v>
      </c>
    </row>
    <row r="1441" spans="1:23" hidden="1">
      <c r="A1441" s="1">
        <v>9494172</v>
      </c>
      <c r="B1441" s="1" t="s">
        <v>1153</v>
      </c>
      <c r="C1441" t="s">
        <v>3701</v>
      </c>
      <c r="E1441" s="2">
        <v>4274000203000</v>
      </c>
      <c r="F1441" s="1" t="s">
        <v>454</v>
      </c>
      <c r="G1441" s="1" t="s">
        <v>53</v>
      </c>
      <c r="H1441" s="1" t="s">
        <v>386</v>
      </c>
      <c r="I1441" s="1" t="s">
        <v>387</v>
      </c>
      <c r="J1441" s="1" t="s">
        <v>46</v>
      </c>
      <c r="K1441" t="s">
        <v>457</v>
      </c>
      <c r="M1441" s="1" t="s">
        <v>58</v>
      </c>
      <c r="N1441" s="1">
        <v>0</v>
      </c>
      <c r="O1441" s="1" t="s">
        <v>36</v>
      </c>
      <c r="P1441" s="186">
        <v>44974.729490740741</v>
      </c>
      <c r="R1441" s="1">
        <v>1</v>
      </c>
      <c r="T1441" s="1" t="s">
        <v>157</v>
      </c>
      <c r="U1441" s="186">
        <v>44975.729490740741</v>
      </c>
      <c r="V1441" s="1" t="s">
        <v>41</v>
      </c>
      <c r="W1441" s="1" t="s">
        <v>49</v>
      </c>
    </row>
    <row r="1442" spans="1:23" hidden="1">
      <c r="A1442" s="1">
        <v>9494138</v>
      </c>
      <c r="B1442" s="1" t="s">
        <v>1153</v>
      </c>
      <c r="C1442" t="s">
        <v>3704</v>
      </c>
      <c r="D1442" s="2">
        <v>20234844000511</v>
      </c>
      <c r="E1442" s="2">
        <v>7419141891764</v>
      </c>
      <c r="F1442" s="1" t="s">
        <v>128</v>
      </c>
      <c r="G1442" s="1" t="s">
        <v>53</v>
      </c>
      <c r="H1442" s="1" t="s">
        <v>2606</v>
      </c>
      <c r="I1442" s="1" t="s">
        <v>2607</v>
      </c>
      <c r="J1442" s="1" t="s">
        <v>46</v>
      </c>
      <c r="K1442" t="s">
        <v>129</v>
      </c>
      <c r="M1442" s="1" t="s">
        <v>58</v>
      </c>
      <c r="N1442" s="1">
        <v>0</v>
      </c>
      <c r="O1442" s="1" t="s">
        <v>36</v>
      </c>
      <c r="P1442" s="186">
        <v>44974.709687499999</v>
      </c>
      <c r="R1442" s="1">
        <v>13</v>
      </c>
      <c r="T1442" s="1" t="s">
        <v>238</v>
      </c>
      <c r="U1442" s="186">
        <v>44979.395833333336</v>
      </c>
      <c r="V1442" s="1" t="s">
        <v>41</v>
      </c>
      <c r="W1442" s="1" t="s">
        <v>49</v>
      </c>
    </row>
    <row r="1443" spans="1:23" hidden="1">
      <c r="A1443" s="1">
        <v>9494121</v>
      </c>
      <c r="B1443" s="1" t="s">
        <v>1153</v>
      </c>
      <c r="C1443" t="s">
        <v>3706</v>
      </c>
      <c r="E1443" s="2">
        <v>821000203000</v>
      </c>
      <c r="F1443" s="1" t="s">
        <v>454</v>
      </c>
      <c r="G1443" s="1" t="s">
        <v>53</v>
      </c>
      <c r="H1443" s="1" t="s">
        <v>1351</v>
      </c>
      <c r="I1443" s="1" t="s">
        <v>1352</v>
      </c>
      <c r="J1443" s="1" t="s">
        <v>46</v>
      </c>
      <c r="K1443" t="s">
        <v>457</v>
      </c>
      <c r="M1443" s="1" t="s">
        <v>58</v>
      </c>
      <c r="N1443" s="1">
        <v>0</v>
      </c>
      <c r="O1443" s="1" t="s">
        <v>36</v>
      </c>
      <c r="P1443" s="186">
        <v>44974.719224537039</v>
      </c>
      <c r="R1443" s="1">
        <v>1</v>
      </c>
      <c r="T1443" s="1" t="s">
        <v>157</v>
      </c>
      <c r="U1443" s="186">
        <v>44975.719224537039</v>
      </c>
      <c r="V1443" s="1" t="s">
        <v>41</v>
      </c>
      <c r="W1443" s="1" t="s">
        <v>49</v>
      </c>
    </row>
    <row r="1444" spans="1:23" hidden="1">
      <c r="A1444" s="1">
        <v>9494120</v>
      </c>
      <c r="B1444" s="1" t="s">
        <v>1153</v>
      </c>
      <c r="C1444" t="s">
        <v>3709</v>
      </c>
      <c r="E1444" s="2">
        <v>2365000203000</v>
      </c>
      <c r="F1444" s="1" t="s">
        <v>454</v>
      </c>
      <c r="G1444" s="1" t="s">
        <v>53</v>
      </c>
      <c r="H1444" s="1" t="s">
        <v>159</v>
      </c>
      <c r="I1444" s="1" t="s">
        <v>160</v>
      </c>
      <c r="J1444" s="1" t="s">
        <v>46</v>
      </c>
      <c r="K1444" t="s">
        <v>457</v>
      </c>
      <c r="M1444" s="1" t="s">
        <v>58</v>
      </c>
      <c r="N1444" s="1">
        <v>0</v>
      </c>
      <c r="O1444" s="1" t="s">
        <v>36</v>
      </c>
      <c r="P1444" s="186">
        <v>44974.719143518516</v>
      </c>
      <c r="R1444" s="1">
        <v>1</v>
      </c>
      <c r="T1444" s="1" t="s">
        <v>157</v>
      </c>
      <c r="U1444" s="186">
        <v>44975.719143518516</v>
      </c>
      <c r="V1444" s="1" t="s">
        <v>41</v>
      </c>
      <c r="W1444" s="1" t="s">
        <v>49</v>
      </c>
    </row>
    <row r="1445" spans="1:23" hidden="1">
      <c r="A1445" s="1">
        <v>9494034</v>
      </c>
      <c r="B1445" s="1" t="s">
        <v>1153</v>
      </c>
      <c r="C1445" t="s">
        <v>3715</v>
      </c>
      <c r="E1445" s="2">
        <v>934000203000</v>
      </c>
      <c r="F1445" s="1" t="s">
        <v>454</v>
      </c>
      <c r="G1445" s="1" t="s">
        <v>53</v>
      </c>
      <c r="H1445" s="1" t="s">
        <v>428</v>
      </c>
      <c r="I1445" s="1" t="s">
        <v>429</v>
      </c>
      <c r="J1445" s="1" t="s">
        <v>46</v>
      </c>
      <c r="K1445" t="s">
        <v>457</v>
      </c>
      <c r="M1445" s="1" t="s">
        <v>58</v>
      </c>
      <c r="N1445" s="1">
        <v>0</v>
      </c>
      <c r="O1445" s="1" t="s">
        <v>36</v>
      </c>
      <c r="P1445" s="186">
        <v>44974.698240740741</v>
      </c>
      <c r="R1445" s="1">
        <v>1</v>
      </c>
      <c r="T1445" s="1" t="s">
        <v>157</v>
      </c>
      <c r="U1445" s="186">
        <v>44975.698240740741</v>
      </c>
      <c r="V1445" s="1" t="s">
        <v>41</v>
      </c>
      <c r="W1445" s="1" t="s">
        <v>49</v>
      </c>
    </row>
    <row r="1446" spans="1:23" hidden="1">
      <c r="A1446" s="1">
        <v>9493965</v>
      </c>
      <c r="B1446" s="1" t="s">
        <v>1153</v>
      </c>
      <c r="C1446" t="s">
        <v>3717</v>
      </c>
      <c r="D1446" s="2">
        <v>20234844000508</v>
      </c>
      <c r="E1446" s="2">
        <v>7417183020670</v>
      </c>
      <c r="F1446" s="1" t="s">
        <v>1313</v>
      </c>
      <c r="G1446" s="1" t="s">
        <v>53</v>
      </c>
      <c r="H1446" s="1" t="s">
        <v>2550</v>
      </c>
      <c r="I1446" s="1" t="s">
        <v>2551</v>
      </c>
      <c r="J1446" s="1" t="s">
        <v>46</v>
      </c>
      <c r="K1446" t="s">
        <v>1316</v>
      </c>
      <c r="M1446" s="1" t="s">
        <v>58</v>
      </c>
      <c r="N1446" s="1">
        <v>0</v>
      </c>
      <c r="O1446" s="1" t="s">
        <v>36</v>
      </c>
      <c r="P1446" s="186">
        <v>44974.665833333333</v>
      </c>
      <c r="R1446" s="1">
        <v>13</v>
      </c>
      <c r="T1446" s="1" t="s">
        <v>238</v>
      </c>
      <c r="U1446" s="186">
        <v>44974.665833333333</v>
      </c>
      <c r="V1446" s="1" t="s">
        <v>41</v>
      </c>
      <c r="W1446" s="1" t="s">
        <v>49</v>
      </c>
    </row>
    <row r="1447" spans="1:23" hidden="1">
      <c r="A1447" s="1">
        <v>9493919</v>
      </c>
      <c r="B1447" s="1" t="s">
        <v>1153</v>
      </c>
      <c r="C1447" t="s">
        <v>3719</v>
      </c>
      <c r="D1447" s="2">
        <v>20234844000507</v>
      </c>
      <c r="E1447" s="2">
        <v>7417183020621</v>
      </c>
      <c r="F1447" s="1" t="s">
        <v>1313</v>
      </c>
      <c r="G1447" s="1" t="s">
        <v>53</v>
      </c>
      <c r="H1447" s="1" t="s">
        <v>2690</v>
      </c>
      <c r="I1447" s="1" t="s">
        <v>2691</v>
      </c>
      <c r="J1447" s="1" t="s">
        <v>46</v>
      </c>
      <c r="K1447" t="s">
        <v>1316</v>
      </c>
      <c r="M1447" s="1" t="s">
        <v>58</v>
      </c>
      <c r="N1447" s="1">
        <v>0</v>
      </c>
      <c r="O1447" s="1" t="s">
        <v>36</v>
      </c>
      <c r="P1447" s="186">
        <v>44974.657847222225</v>
      </c>
      <c r="R1447" s="1">
        <v>13</v>
      </c>
      <c r="T1447" s="1" t="s">
        <v>238</v>
      </c>
      <c r="U1447" s="186">
        <v>44974.657847222225</v>
      </c>
      <c r="V1447" s="1" t="s">
        <v>41</v>
      </c>
      <c r="W1447" s="1" t="s">
        <v>49</v>
      </c>
    </row>
    <row r="1448" spans="1:23" hidden="1">
      <c r="A1448" s="1">
        <v>9493855</v>
      </c>
      <c r="B1448" s="1" t="s">
        <v>1153</v>
      </c>
      <c r="C1448" t="s">
        <v>3720</v>
      </c>
      <c r="D1448" s="2">
        <v>20234844000502</v>
      </c>
      <c r="E1448" s="2">
        <v>7419143322034</v>
      </c>
      <c r="F1448" s="1" t="s">
        <v>1222</v>
      </c>
      <c r="G1448" s="1" t="s">
        <v>53</v>
      </c>
      <c r="H1448" s="1" t="s">
        <v>2796</v>
      </c>
      <c r="I1448" s="1" t="s">
        <v>2797</v>
      </c>
      <c r="J1448" s="1" t="s">
        <v>46</v>
      </c>
      <c r="K1448" t="s">
        <v>1223</v>
      </c>
      <c r="M1448" s="1" t="s">
        <v>58</v>
      </c>
      <c r="N1448" s="1">
        <v>0</v>
      </c>
      <c r="O1448" s="1" t="s">
        <v>36</v>
      </c>
      <c r="P1448" s="186">
        <v>44974.645868055559</v>
      </c>
      <c r="R1448" s="1">
        <v>13</v>
      </c>
      <c r="T1448" s="1" t="s">
        <v>238</v>
      </c>
      <c r="U1448" s="186">
        <v>44974.645868055559</v>
      </c>
      <c r="V1448" s="1" t="s">
        <v>41</v>
      </c>
      <c r="W1448" s="1" t="s">
        <v>49</v>
      </c>
    </row>
    <row r="1449" spans="1:23" hidden="1">
      <c r="A1449" s="181">
        <v>9493727</v>
      </c>
      <c r="B1449" s="181" t="s">
        <v>1153</v>
      </c>
      <c r="C1449" s="182" t="s">
        <v>3996</v>
      </c>
      <c r="D1449" s="183">
        <v>20230605000016</v>
      </c>
      <c r="E1449" s="183">
        <v>7417162430096</v>
      </c>
      <c r="F1449" s="181" t="s">
        <v>3543</v>
      </c>
      <c r="G1449" s="181" t="s">
        <v>53</v>
      </c>
      <c r="H1449" s="181" t="s">
        <v>420</v>
      </c>
      <c r="I1449" s="181" t="s">
        <v>421</v>
      </c>
      <c r="J1449" s="181" t="s">
        <v>90</v>
      </c>
      <c r="K1449" t="s">
        <v>3544</v>
      </c>
      <c r="M1449" s="1" t="s">
        <v>58</v>
      </c>
      <c r="N1449" s="1">
        <v>0</v>
      </c>
      <c r="O1449" s="1" t="s">
        <v>36</v>
      </c>
      <c r="P1449" s="186">
        <v>44974.605937499997</v>
      </c>
      <c r="R1449" s="1">
        <v>22</v>
      </c>
      <c r="T1449" s="1" t="s">
        <v>1160</v>
      </c>
      <c r="U1449" s="186">
        <v>44981.439270833333</v>
      </c>
      <c r="V1449" s="1" t="s">
        <v>41</v>
      </c>
      <c r="W1449" s="1" t="s">
        <v>49</v>
      </c>
    </row>
    <row r="1450" spans="1:23" hidden="1">
      <c r="A1450" s="1">
        <v>9493705</v>
      </c>
      <c r="B1450" s="1" t="s">
        <v>1153</v>
      </c>
      <c r="C1450" t="s">
        <v>3723</v>
      </c>
      <c r="E1450" s="2">
        <v>2889000206001</v>
      </c>
      <c r="F1450" s="1" t="s">
        <v>29</v>
      </c>
      <c r="G1450" s="1" t="s">
        <v>53</v>
      </c>
      <c r="H1450" s="1" t="s">
        <v>418</v>
      </c>
      <c r="I1450" s="1" t="s">
        <v>419</v>
      </c>
      <c r="J1450" s="1" t="s">
        <v>46</v>
      </c>
      <c r="K1450" t="s">
        <v>34</v>
      </c>
      <c r="M1450" s="1" t="s">
        <v>35</v>
      </c>
      <c r="N1450" s="1">
        <v>42318949</v>
      </c>
      <c r="O1450" s="1" t="s">
        <v>36</v>
      </c>
      <c r="P1450" s="186">
        <v>44974.614907407406</v>
      </c>
      <c r="R1450" s="1" t="s">
        <v>38</v>
      </c>
      <c r="T1450" s="1" t="s">
        <v>74</v>
      </c>
      <c r="U1450" s="186">
        <v>44985.604166666664</v>
      </c>
      <c r="V1450" s="1" t="s">
        <v>41</v>
      </c>
      <c r="W1450" s="1" t="s">
        <v>49</v>
      </c>
    </row>
    <row r="1451" spans="1:23" hidden="1">
      <c r="A1451" s="1">
        <v>9493696</v>
      </c>
      <c r="B1451" s="1" t="s">
        <v>1153</v>
      </c>
      <c r="C1451" t="s">
        <v>3724</v>
      </c>
      <c r="D1451" s="2">
        <v>20234844000501</v>
      </c>
      <c r="E1451" s="2">
        <v>7419141892252</v>
      </c>
      <c r="F1451" s="1" t="s">
        <v>128</v>
      </c>
      <c r="G1451" s="1" t="s">
        <v>53</v>
      </c>
      <c r="H1451" s="1" t="s">
        <v>2493</v>
      </c>
      <c r="I1451" s="1" t="s">
        <v>2494</v>
      </c>
      <c r="J1451" s="1" t="s">
        <v>46</v>
      </c>
      <c r="K1451" t="s">
        <v>129</v>
      </c>
      <c r="M1451" s="1" t="s">
        <v>58</v>
      </c>
      <c r="N1451" s="1">
        <v>0</v>
      </c>
      <c r="O1451" s="1" t="s">
        <v>105</v>
      </c>
      <c r="P1451" s="186">
        <v>44974.603900462964</v>
      </c>
      <c r="R1451" s="1">
        <v>13</v>
      </c>
      <c r="T1451" s="1" t="s">
        <v>238</v>
      </c>
      <c r="U1451" s="186">
        <v>44974.603900462964</v>
      </c>
      <c r="V1451" s="1" t="s">
        <v>41</v>
      </c>
      <c r="W1451" s="1" t="s">
        <v>49</v>
      </c>
    </row>
    <row r="1452" spans="1:23" hidden="1">
      <c r="A1452" s="1">
        <v>9493576</v>
      </c>
      <c r="B1452" s="1" t="s">
        <v>1153</v>
      </c>
      <c r="C1452" t="s">
        <v>3725</v>
      </c>
      <c r="D1452" s="2">
        <v>20230446000014</v>
      </c>
      <c r="E1452" s="2">
        <v>7419151141153</v>
      </c>
      <c r="F1452" s="1" t="s">
        <v>123</v>
      </c>
      <c r="G1452" s="1" t="s">
        <v>53</v>
      </c>
      <c r="H1452" s="1" t="s">
        <v>3324</v>
      </c>
      <c r="I1452" s="1" t="s">
        <v>3325</v>
      </c>
      <c r="J1452" s="1" t="s">
        <v>110</v>
      </c>
      <c r="K1452" t="s">
        <v>126</v>
      </c>
      <c r="M1452" s="1" t="s">
        <v>58</v>
      </c>
      <c r="N1452" s="1">
        <v>0</v>
      </c>
      <c r="O1452" s="1" t="s">
        <v>36</v>
      </c>
      <c r="P1452" s="186">
        <v>44974.571203703701</v>
      </c>
      <c r="R1452" s="1">
        <v>14</v>
      </c>
      <c r="T1452" s="1" t="s">
        <v>238</v>
      </c>
      <c r="U1452" s="186">
        <v>44974.571203703701</v>
      </c>
      <c r="V1452" s="1" t="s">
        <v>41</v>
      </c>
      <c r="W1452" s="1" t="s">
        <v>49</v>
      </c>
    </row>
    <row r="1453" spans="1:23" hidden="1">
      <c r="A1453" s="1">
        <v>9493511</v>
      </c>
      <c r="B1453" s="1" t="s">
        <v>1153</v>
      </c>
      <c r="C1453" t="s">
        <v>3726</v>
      </c>
      <c r="D1453" s="2">
        <v>20232196000010</v>
      </c>
      <c r="E1453" s="2">
        <v>7417163284130</v>
      </c>
      <c r="F1453" s="1" t="s">
        <v>131</v>
      </c>
      <c r="G1453" s="1" t="s">
        <v>53</v>
      </c>
      <c r="H1453" s="1" t="s">
        <v>3727</v>
      </c>
      <c r="I1453" s="1" t="s">
        <v>3728</v>
      </c>
      <c r="J1453" s="1" t="s">
        <v>33</v>
      </c>
      <c r="K1453" t="s">
        <v>132</v>
      </c>
      <c r="M1453" s="1" t="s">
        <v>58</v>
      </c>
      <c r="N1453" s="1">
        <v>0</v>
      </c>
      <c r="O1453" s="1" t="s">
        <v>36</v>
      </c>
      <c r="P1453" s="186">
        <v>44974.549618055556</v>
      </c>
      <c r="R1453" s="1">
        <v>13</v>
      </c>
      <c r="T1453" s="1" t="s">
        <v>238</v>
      </c>
      <c r="U1453" s="186">
        <v>44974.549618055556</v>
      </c>
      <c r="V1453" s="1" t="s">
        <v>41</v>
      </c>
      <c r="W1453" s="1" t="s">
        <v>42</v>
      </c>
    </row>
    <row r="1454" spans="1:23" hidden="1">
      <c r="A1454" s="1">
        <v>9493351</v>
      </c>
      <c r="B1454" s="1" t="s">
        <v>1153</v>
      </c>
      <c r="C1454" t="s">
        <v>3730</v>
      </c>
      <c r="D1454" s="2">
        <v>20232257000017</v>
      </c>
      <c r="E1454" s="2">
        <v>7417161480608</v>
      </c>
      <c r="F1454" s="1" t="s">
        <v>1979</v>
      </c>
      <c r="G1454" s="1" t="s">
        <v>53</v>
      </c>
      <c r="H1454" s="1" t="s">
        <v>2326</v>
      </c>
      <c r="I1454" s="1" t="s">
        <v>2327</v>
      </c>
      <c r="J1454" s="1" t="s">
        <v>110</v>
      </c>
      <c r="K1454" t="s">
        <v>1982</v>
      </c>
      <c r="M1454" s="1" t="s">
        <v>58</v>
      </c>
      <c r="N1454" s="1">
        <v>0</v>
      </c>
      <c r="O1454" s="1" t="s">
        <v>105</v>
      </c>
      <c r="P1454" s="186">
        <v>44974.501898148148</v>
      </c>
      <c r="R1454" s="1">
        <v>14</v>
      </c>
      <c r="T1454" s="1" t="s">
        <v>238</v>
      </c>
      <c r="U1454" s="186">
        <v>44974.501898148148</v>
      </c>
      <c r="V1454" s="1" t="s">
        <v>41</v>
      </c>
      <c r="W1454" s="1" t="s">
        <v>49</v>
      </c>
    </row>
    <row r="1455" spans="1:23" hidden="1">
      <c r="A1455" s="175">
        <v>9493276</v>
      </c>
      <c r="B1455" s="175" t="s">
        <v>1153</v>
      </c>
      <c r="C1455" s="184" t="s">
        <v>3731</v>
      </c>
      <c r="D1455" s="177">
        <v>20230570000009</v>
      </c>
      <c r="E1455" s="177">
        <v>7419152464533</v>
      </c>
      <c r="F1455" s="175" t="s">
        <v>2744</v>
      </c>
      <c r="G1455" s="175" t="s">
        <v>53</v>
      </c>
      <c r="H1455" s="175" t="s">
        <v>434</v>
      </c>
      <c r="I1455" s="175" t="s">
        <v>435</v>
      </c>
      <c r="J1455" s="175" t="s">
        <v>148</v>
      </c>
      <c r="K1455" t="s">
        <v>2745</v>
      </c>
      <c r="M1455" s="1" t="s">
        <v>58</v>
      </c>
      <c r="N1455" s="1">
        <v>0</v>
      </c>
      <c r="O1455" s="1" t="s">
        <v>105</v>
      </c>
      <c r="P1455" s="186">
        <v>44974.481712962966</v>
      </c>
      <c r="R1455" s="1">
        <v>22</v>
      </c>
      <c r="T1455" s="1" t="s">
        <v>1160</v>
      </c>
      <c r="U1455" s="186">
        <v>44980.690046296295</v>
      </c>
      <c r="V1455" s="1" t="s">
        <v>41</v>
      </c>
      <c r="W1455" s="1" t="s">
        <v>49</v>
      </c>
    </row>
    <row r="1456" spans="1:23" hidden="1">
      <c r="A1456" s="1">
        <v>9493154</v>
      </c>
      <c r="B1456" s="1" t="s">
        <v>1153</v>
      </c>
      <c r="C1456" t="s">
        <v>3733</v>
      </c>
      <c r="D1456" s="2">
        <v>20231732000011</v>
      </c>
      <c r="E1456" s="2">
        <v>7417160931799</v>
      </c>
      <c r="F1456" s="1" t="s">
        <v>2770</v>
      </c>
      <c r="G1456" s="1" t="s">
        <v>53</v>
      </c>
      <c r="H1456" s="1" t="s">
        <v>177</v>
      </c>
      <c r="I1456" s="1" t="s">
        <v>178</v>
      </c>
      <c r="J1456" s="1" t="s">
        <v>164</v>
      </c>
      <c r="K1456" t="s">
        <v>2771</v>
      </c>
      <c r="M1456" s="1" t="s">
        <v>58</v>
      </c>
      <c r="N1456" s="1">
        <v>0</v>
      </c>
      <c r="O1456" s="1" t="s">
        <v>105</v>
      </c>
      <c r="P1456" s="186">
        <v>44974.458518518521</v>
      </c>
      <c r="R1456" s="1">
        <v>23</v>
      </c>
      <c r="T1456" s="1" t="s">
        <v>1160</v>
      </c>
      <c r="U1456" s="186">
        <v>44984.458518518521</v>
      </c>
      <c r="V1456" s="1" t="s">
        <v>41</v>
      </c>
      <c r="W1456" s="1" t="s">
        <v>49</v>
      </c>
    </row>
    <row r="1457" spans="1:23" hidden="1">
      <c r="A1457" s="1">
        <v>9493113</v>
      </c>
      <c r="B1457" s="1" t="s">
        <v>1153</v>
      </c>
      <c r="C1457" t="s">
        <v>3734</v>
      </c>
      <c r="D1457" s="2">
        <v>20234804001749</v>
      </c>
      <c r="E1457" s="2">
        <v>7417183020640</v>
      </c>
      <c r="F1457" s="1" t="s">
        <v>1313</v>
      </c>
      <c r="G1457" s="1" t="s">
        <v>53</v>
      </c>
      <c r="H1457" s="1" t="s">
        <v>3571</v>
      </c>
      <c r="I1457" s="1" t="s">
        <v>3572</v>
      </c>
      <c r="J1457" s="1" t="s">
        <v>46</v>
      </c>
      <c r="K1457" t="s">
        <v>1316</v>
      </c>
      <c r="M1457" s="1" t="s">
        <v>58</v>
      </c>
      <c r="N1457" s="1">
        <v>0</v>
      </c>
      <c r="O1457" s="1" t="s">
        <v>36</v>
      </c>
      <c r="P1457" s="186">
        <v>44974.447395833333</v>
      </c>
      <c r="R1457" s="1">
        <v>13</v>
      </c>
      <c r="S1457" s="1">
        <v>4804</v>
      </c>
      <c r="T1457" s="1" t="s">
        <v>238</v>
      </c>
      <c r="U1457" s="186">
        <v>44974.447395833333</v>
      </c>
      <c r="V1457" s="1" t="s">
        <v>41</v>
      </c>
      <c r="W1457" s="1" t="s">
        <v>49</v>
      </c>
    </row>
    <row r="1458" spans="1:23" hidden="1">
      <c r="A1458" s="1">
        <v>9493001</v>
      </c>
      <c r="B1458" s="1" t="s">
        <v>1153</v>
      </c>
      <c r="C1458" t="s">
        <v>3735</v>
      </c>
      <c r="D1458" s="2">
        <v>20231359000004</v>
      </c>
      <c r="E1458" s="2">
        <v>7417202021027</v>
      </c>
      <c r="F1458" s="1" t="s">
        <v>1213</v>
      </c>
      <c r="G1458" s="1" t="s">
        <v>53</v>
      </c>
      <c r="H1458" s="1" t="s">
        <v>3736</v>
      </c>
      <c r="I1458" s="1" t="s">
        <v>3737</v>
      </c>
      <c r="J1458" s="1" t="s">
        <v>141</v>
      </c>
      <c r="K1458" t="s">
        <v>1214</v>
      </c>
      <c r="M1458" s="1" t="s">
        <v>58</v>
      </c>
      <c r="N1458" s="1">
        <v>0</v>
      </c>
      <c r="O1458" s="1" t="s">
        <v>105</v>
      </c>
      <c r="P1458" s="186">
        <v>44974.451828703706</v>
      </c>
      <c r="R1458" s="1">
        <v>14</v>
      </c>
      <c r="T1458" s="1" t="s">
        <v>238</v>
      </c>
      <c r="U1458" s="186">
        <v>44974.451828703706</v>
      </c>
      <c r="V1458" s="1" t="s">
        <v>41</v>
      </c>
      <c r="W1458" s="1" t="s">
        <v>49</v>
      </c>
    </row>
    <row r="1459" spans="1:23">
      <c r="A1459" s="173">
        <v>9492969</v>
      </c>
      <c r="B1459" s="173" t="s">
        <v>1153</v>
      </c>
      <c r="C1459" s="178" t="s">
        <v>3997</v>
      </c>
      <c r="D1459" s="174">
        <v>20230246000011</v>
      </c>
      <c r="E1459" s="174">
        <v>7419141894924</v>
      </c>
      <c r="F1459" s="173" t="s">
        <v>128</v>
      </c>
      <c r="G1459" s="173" t="s">
        <v>53</v>
      </c>
      <c r="H1459" s="173" t="s">
        <v>2321</v>
      </c>
      <c r="I1459" s="173" t="s">
        <v>2322</v>
      </c>
      <c r="J1459" s="173" t="s">
        <v>85</v>
      </c>
      <c r="K1459" t="s">
        <v>129</v>
      </c>
      <c r="M1459" s="1" t="s">
        <v>58</v>
      </c>
      <c r="N1459" s="1">
        <v>0</v>
      </c>
      <c r="O1459" s="1" t="s">
        <v>36</v>
      </c>
      <c r="P1459" s="186">
        <v>44974.451736111114</v>
      </c>
      <c r="R1459" s="1">
        <v>14</v>
      </c>
      <c r="T1459" s="1" t="s">
        <v>238</v>
      </c>
      <c r="U1459" s="186">
        <v>44974.451736111114</v>
      </c>
      <c r="V1459" s="1" t="s">
        <v>41</v>
      </c>
      <c r="W1459" s="1" t="s">
        <v>49</v>
      </c>
    </row>
    <row r="1460" spans="1:23" hidden="1">
      <c r="A1460" s="1">
        <v>9492956</v>
      </c>
      <c r="B1460" s="1" t="s">
        <v>1153</v>
      </c>
      <c r="C1460" t="s">
        <v>3739</v>
      </c>
      <c r="D1460" s="2">
        <v>20231012000006</v>
      </c>
      <c r="E1460" s="2">
        <v>7417202020564</v>
      </c>
      <c r="F1460" s="1" t="s">
        <v>1213</v>
      </c>
      <c r="G1460" s="1" t="s">
        <v>53</v>
      </c>
      <c r="H1460" s="1" t="s">
        <v>2481</v>
      </c>
      <c r="I1460" s="1" t="s">
        <v>2482</v>
      </c>
      <c r="J1460" s="1" t="s">
        <v>164</v>
      </c>
      <c r="K1460" t="s">
        <v>1214</v>
      </c>
      <c r="M1460" s="1" t="s">
        <v>58</v>
      </c>
      <c r="N1460" s="1">
        <v>0</v>
      </c>
      <c r="O1460" s="1" t="s">
        <v>105</v>
      </c>
      <c r="P1460" s="186">
        <v>44974.449236111112</v>
      </c>
      <c r="R1460" s="1">
        <v>15</v>
      </c>
      <c r="T1460" s="1" t="s">
        <v>238</v>
      </c>
      <c r="U1460" s="186">
        <v>44974.449236111112</v>
      </c>
      <c r="V1460" s="1" t="s">
        <v>41</v>
      </c>
      <c r="W1460" s="1" t="s">
        <v>49</v>
      </c>
    </row>
    <row r="1461" spans="1:23" hidden="1">
      <c r="A1461" s="1">
        <v>9492941</v>
      </c>
      <c r="B1461" s="1" t="s">
        <v>1153</v>
      </c>
      <c r="C1461" t="s">
        <v>3740</v>
      </c>
      <c r="D1461" s="2">
        <v>20230220000021</v>
      </c>
      <c r="E1461" s="2">
        <v>7417163284480</v>
      </c>
      <c r="F1461" s="1" t="s">
        <v>131</v>
      </c>
      <c r="G1461" s="1" t="s">
        <v>53</v>
      </c>
      <c r="H1461" s="1" t="s">
        <v>2030</v>
      </c>
      <c r="I1461" s="1" t="s">
        <v>2031</v>
      </c>
      <c r="J1461" s="1" t="s">
        <v>110</v>
      </c>
      <c r="K1461" t="s">
        <v>132</v>
      </c>
      <c r="M1461" s="1" t="s">
        <v>58</v>
      </c>
      <c r="N1461" s="1">
        <v>0</v>
      </c>
      <c r="O1461" s="1" t="s">
        <v>36</v>
      </c>
      <c r="P1461" s="186">
        <v>44974.449131944442</v>
      </c>
      <c r="R1461" s="1">
        <v>14</v>
      </c>
      <c r="T1461" s="1" t="s">
        <v>238</v>
      </c>
      <c r="U1461" s="186">
        <v>44974.449131944442</v>
      </c>
      <c r="V1461" s="1" t="s">
        <v>41</v>
      </c>
      <c r="W1461" s="1" t="s">
        <v>49</v>
      </c>
    </row>
    <row r="1462" spans="1:23" hidden="1">
      <c r="A1462" s="1">
        <v>9492873</v>
      </c>
      <c r="B1462" s="1" t="s">
        <v>1153</v>
      </c>
      <c r="C1462" t="s">
        <v>2963</v>
      </c>
      <c r="E1462" s="2">
        <v>1943000206001</v>
      </c>
      <c r="F1462" s="1" t="s">
        <v>29</v>
      </c>
      <c r="G1462" s="1" t="s">
        <v>53</v>
      </c>
      <c r="H1462" s="1" t="s">
        <v>264</v>
      </c>
      <c r="I1462" s="1" t="s">
        <v>265</v>
      </c>
      <c r="J1462" s="1" t="s">
        <v>56</v>
      </c>
      <c r="K1462" t="s">
        <v>34</v>
      </c>
      <c r="M1462" s="1" t="s">
        <v>35</v>
      </c>
      <c r="N1462" s="1">
        <v>42318949</v>
      </c>
      <c r="O1462" s="1" t="s">
        <v>36</v>
      </c>
      <c r="P1462" s="186">
        <v>44974.448252314818</v>
      </c>
      <c r="R1462" s="1" t="s">
        <v>38</v>
      </c>
      <c r="T1462" s="1" t="s">
        <v>74</v>
      </c>
      <c r="U1462" s="186">
        <v>44984.604166666664</v>
      </c>
      <c r="V1462" s="1" t="s">
        <v>41</v>
      </c>
      <c r="W1462" s="1" t="s">
        <v>49</v>
      </c>
    </row>
    <row r="1463" spans="1:23" hidden="1">
      <c r="A1463" s="1">
        <v>9492616</v>
      </c>
      <c r="B1463" s="1" t="s">
        <v>1153</v>
      </c>
      <c r="C1463" t="s">
        <v>3742</v>
      </c>
      <c r="E1463" s="2">
        <v>2018000203000</v>
      </c>
      <c r="F1463" s="1" t="s">
        <v>454</v>
      </c>
      <c r="G1463" s="1" t="s">
        <v>53</v>
      </c>
      <c r="H1463" s="1" t="s">
        <v>598</v>
      </c>
      <c r="I1463" s="1" t="s">
        <v>599</v>
      </c>
      <c r="J1463" s="1" t="s">
        <v>79</v>
      </c>
      <c r="K1463" t="s">
        <v>457</v>
      </c>
      <c r="M1463" s="1" t="s">
        <v>58</v>
      </c>
      <c r="N1463" s="1">
        <v>0</v>
      </c>
      <c r="O1463" s="1" t="s">
        <v>36</v>
      </c>
      <c r="P1463" s="186">
        <v>44974.365532407406</v>
      </c>
      <c r="R1463" s="1">
        <v>1</v>
      </c>
      <c r="T1463" s="1" t="s">
        <v>157</v>
      </c>
      <c r="U1463" s="186">
        <v>44975.365543981483</v>
      </c>
      <c r="V1463" s="1" t="s">
        <v>41</v>
      </c>
      <c r="W1463" s="1" t="s">
        <v>49</v>
      </c>
    </row>
    <row r="1464" spans="1:23" hidden="1">
      <c r="A1464" s="181">
        <v>9498027</v>
      </c>
      <c r="B1464" s="181" t="s">
        <v>1153</v>
      </c>
      <c r="C1464" s="185" t="s">
        <v>3744</v>
      </c>
      <c r="D1464" s="183"/>
      <c r="E1464" s="183">
        <v>1362000206001</v>
      </c>
      <c r="F1464" s="181" t="s">
        <v>29</v>
      </c>
      <c r="G1464" s="181" t="s">
        <v>53</v>
      </c>
      <c r="H1464" s="181" t="s">
        <v>268</v>
      </c>
      <c r="I1464" s="181" t="s">
        <v>269</v>
      </c>
      <c r="J1464" s="181" t="s">
        <v>90</v>
      </c>
      <c r="K1464" t="s">
        <v>34</v>
      </c>
      <c r="M1464" s="1" t="s">
        <v>35</v>
      </c>
      <c r="N1464" s="1">
        <v>42318949</v>
      </c>
      <c r="O1464" s="1" t="s">
        <v>36</v>
      </c>
      <c r="P1464" s="186">
        <v>44977.72247685185</v>
      </c>
      <c r="R1464" s="1" t="s">
        <v>38</v>
      </c>
      <c r="T1464" s="1" t="s">
        <v>74</v>
      </c>
      <c r="U1464" s="186">
        <v>44986.645833333336</v>
      </c>
      <c r="V1464" s="1" t="s">
        <v>41</v>
      </c>
      <c r="W1464" s="1" t="s">
        <v>49</v>
      </c>
    </row>
    <row r="1465" spans="1:23" hidden="1">
      <c r="A1465" s="1">
        <v>9497784</v>
      </c>
      <c r="B1465" s="1" t="s">
        <v>1153</v>
      </c>
      <c r="C1465" t="s">
        <v>3746</v>
      </c>
      <c r="E1465" s="2">
        <v>2244000206001</v>
      </c>
      <c r="F1465" s="1" t="s">
        <v>29</v>
      </c>
      <c r="G1465" s="1" t="s">
        <v>53</v>
      </c>
      <c r="H1465" s="1" t="s">
        <v>1853</v>
      </c>
      <c r="I1465" s="1" t="s">
        <v>1854</v>
      </c>
      <c r="J1465" s="1" t="s">
        <v>79</v>
      </c>
      <c r="K1465" t="s">
        <v>34</v>
      </c>
      <c r="M1465" s="1" t="s">
        <v>35</v>
      </c>
      <c r="N1465" s="1">
        <v>42318949</v>
      </c>
      <c r="O1465" s="1" t="s">
        <v>36</v>
      </c>
      <c r="P1465" s="186">
        <v>44977.545300925929</v>
      </c>
      <c r="R1465" s="1" t="s">
        <v>38</v>
      </c>
      <c r="T1465" s="1" t="s">
        <v>74</v>
      </c>
      <c r="U1465" s="186">
        <v>44986.583333333336</v>
      </c>
      <c r="V1465" s="1" t="s">
        <v>41</v>
      </c>
      <c r="W1465" s="1" t="s">
        <v>49</v>
      </c>
    </row>
    <row r="1466" spans="1:23" hidden="1">
      <c r="A1466" s="1">
        <v>9497643</v>
      </c>
      <c r="B1466" s="1" t="s">
        <v>1153</v>
      </c>
      <c r="C1466" t="s">
        <v>3748</v>
      </c>
      <c r="E1466" s="2">
        <v>1138000206001</v>
      </c>
      <c r="F1466" s="1" t="s">
        <v>29</v>
      </c>
      <c r="G1466" s="1" t="s">
        <v>53</v>
      </c>
      <c r="H1466" s="1" t="s">
        <v>548</v>
      </c>
      <c r="I1466" s="1" t="s">
        <v>549</v>
      </c>
      <c r="J1466" s="1" t="s">
        <v>46</v>
      </c>
      <c r="K1466" t="s">
        <v>34</v>
      </c>
      <c r="M1466" s="1" t="s">
        <v>35</v>
      </c>
      <c r="N1466" s="1">
        <v>42318949</v>
      </c>
      <c r="O1466" s="1" t="s">
        <v>36</v>
      </c>
      <c r="P1466" s="186">
        <v>44977.430659722224</v>
      </c>
      <c r="R1466" s="1" t="s">
        <v>38</v>
      </c>
      <c r="T1466" s="1" t="s">
        <v>74</v>
      </c>
      <c r="U1466" s="186">
        <v>44979.708333333336</v>
      </c>
      <c r="V1466" s="1" t="s">
        <v>41</v>
      </c>
      <c r="W1466" s="1" t="s">
        <v>49</v>
      </c>
    </row>
    <row r="1467" spans="1:23" hidden="1">
      <c r="A1467" s="1">
        <v>9497603</v>
      </c>
      <c r="B1467" s="1" t="s">
        <v>1153</v>
      </c>
      <c r="C1467" t="s">
        <v>3750</v>
      </c>
      <c r="E1467" s="2">
        <v>1264000206001</v>
      </c>
      <c r="F1467" s="1" t="s">
        <v>29</v>
      </c>
      <c r="G1467" s="1" t="s">
        <v>53</v>
      </c>
      <c r="H1467" s="1" t="s">
        <v>351</v>
      </c>
      <c r="I1467" s="1" t="s">
        <v>352</v>
      </c>
      <c r="J1467" s="1" t="s">
        <v>110</v>
      </c>
      <c r="K1467" t="s">
        <v>34</v>
      </c>
      <c r="M1467" s="1" t="s">
        <v>35</v>
      </c>
      <c r="N1467" s="1">
        <v>42318949</v>
      </c>
      <c r="O1467" s="1" t="s">
        <v>36</v>
      </c>
      <c r="P1467" s="186">
        <v>44977.399398148147</v>
      </c>
      <c r="R1467" s="1" t="s">
        <v>38</v>
      </c>
      <c r="T1467" s="1" t="s">
        <v>74</v>
      </c>
      <c r="U1467" s="186">
        <v>44986.604166666664</v>
      </c>
      <c r="V1467" s="1" t="s">
        <v>41</v>
      </c>
      <c r="W1467" s="1" t="s">
        <v>49</v>
      </c>
    </row>
    <row r="1468" spans="1:23" hidden="1">
      <c r="A1468" s="1">
        <v>9497593</v>
      </c>
      <c r="B1468" s="1" t="s">
        <v>1153</v>
      </c>
      <c r="C1468" t="s">
        <v>3752</v>
      </c>
      <c r="E1468" s="2">
        <v>2811000206001</v>
      </c>
      <c r="F1468" s="1" t="s">
        <v>29</v>
      </c>
      <c r="G1468" s="1" t="s">
        <v>53</v>
      </c>
      <c r="H1468" s="1" t="s">
        <v>44</v>
      </c>
      <c r="I1468" s="1" t="s">
        <v>45</v>
      </c>
      <c r="J1468" s="1" t="s">
        <v>46</v>
      </c>
      <c r="K1468" t="s">
        <v>34</v>
      </c>
      <c r="M1468" s="1" t="s">
        <v>35</v>
      </c>
      <c r="N1468" s="1">
        <v>42318949</v>
      </c>
      <c r="O1468" s="1" t="s">
        <v>36</v>
      </c>
      <c r="P1468" s="186">
        <v>44977.389189814814</v>
      </c>
      <c r="R1468" s="1" t="s">
        <v>38</v>
      </c>
      <c r="T1468" s="1" t="s">
        <v>74</v>
      </c>
      <c r="U1468" s="186">
        <v>44979.708333333336</v>
      </c>
      <c r="V1468" s="1" t="s">
        <v>41</v>
      </c>
      <c r="W1468" s="1" t="s">
        <v>49</v>
      </c>
    </row>
    <row r="1469" spans="1:23" hidden="1">
      <c r="A1469" s="1">
        <v>9497586</v>
      </c>
      <c r="B1469" s="1" t="s">
        <v>1153</v>
      </c>
      <c r="C1469" t="s">
        <v>3754</v>
      </c>
      <c r="E1469" s="2">
        <v>2811000206001</v>
      </c>
      <c r="F1469" s="1" t="s">
        <v>29</v>
      </c>
      <c r="G1469" s="1" t="s">
        <v>53</v>
      </c>
      <c r="H1469" s="1" t="s">
        <v>44</v>
      </c>
      <c r="I1469" s="1" t="s">
        <v>45</v>
      </c>
      <c r="J1469" s="1" t="s">
        <v>46</v>
      </c>
      <c r="K1469" t="s">
        <v>34</v>
      </c>
      <c r="M1469" s="1" t="s">
        <v>35</v>
      </c>
      <c r="N1469" s="1">
        <v>42318949</v>
      </c>
      <c r="O1469" s="1" t="s">
        <v>36</v>
      </c>
      <c r="P1469" s="186">
        <v>44977.389039351852</v>
      </c>
      <c r="R1469" s="1" t="s">
        <v>38</v>
      </c>
      <c r="T1469" s="1" t="s">
        <v>74</v>
      </c>
      <c r="U1469" s="186">
        <v>44979.708333333336</v>
      </c>
      <c r="V1469" s="1" t="s">
        <v>41</v>
      </c>
      <c r="W1469" s="1" t="s">
        <v>49</v>
      </c>
    </row>
    <row r="1470" spans="1:23" hidden="1">
      <c r="A1470" s="1">
        <v>9497574</v>
      </c>
      <c r="B1470" s="1" t="s">
        <v>1153</v>
      </c>
      <c r="C1470" t="s">
        <v>3756</v>
      </c>
      <c r="E1470" s="2">
        <v>1245000206001</v>
      </c>
      <c r="F1470" s="1" t="s">
        <v>29</v>
      </c>
      <c r="G1470" s="1" t="s">
        <v>53</v>
      </c>
      <c r="H1470" s="1" t="s">
        <v>408</v>
      </c>
      <c r="I1470" s="1" t="s">
        <v>409</v>
      </c>
      <c r="J1470" s="1" t="s">
        <v>46</v>
      </c>
      <c r="K1470" t="s">
        <v>34</v>
      </c>
      <c r="M1470" s="1" t="s">
        <v>35</v>
      </c>
      <c r="N1470" s="1">
        <v>42318949</v>
      </c>
      <c r="O1470" s="1" t="s">
        <v>36</v>
      </c>
      <c r="P1470" s="186">
        <v>44977.379282407404</v>
      </c>
      <c r="R1470" s="1" t="s">
        <v>38</v>
      </c>
      <c r="T1470" s="1" t="s">
        <v>74</v>
      </c>
      <c r="U1470" s="186">
        <v>44985.645833333336</v>
      </c>
      <c r="V1470" s="1" t="s">
        <v>41</v>
      </c>
      <c r="W1470" s="1" t="s">
        <v>49</v>
      </c>
    </row>
    <row r="1471" spans="1:23" hidden="1">
      <c r="A1471" s="181">
        <v>9497561</v>
      </c>
      <c r="B1471" s="181" t="s">
        <v>1153</v>
      </c>
      <c r="C1471" s="182" t="s">
        <v>3998</v>
      </c>
      <c r="D1471" s="183"/>
      <c r="E1471" s="183">
        <v>1362000206001</v>
      </c>
      <c r="F1471" s="181" t="s">
        <v>29</v>
      </c>
      <c r="G1471" s="181" t="s">
        <v>53</v>
      </c>
      <c r="H1471" s="181" t="s">
        <v>268</v>
      </c>
      <c r="I1471" s="181" t="s">
        <v>269</v>
      </c>
      <c r="J1471" s="181" t="s">
        <v>90</v>
      </c>
      <c r="K1471" t="s">
        <v>34</v>
      </c>
      <c r="M1471" s="1" t="s">
        <v>35</v>
      </c>
      <c r="N1471" s="1">
        <v>42318949</v>
      </c>
      <c r="O1471" s="1" t="s">
        <v>36</v>
      </c>
      <c r="P1471" s="186">
        <v>44977.378553240742</v>
      </c>
      <c r="R1471" s="1" t="s">
        <v>38</v>
      </c>
      <c r="T1471" s="1" t="s">
        <v>74</v>
      </c>
      <c r="U1471" s="186">
        <v>44985.645833333336</v>
      </c>
      <c r="V1471" s="1" t="s">
        <v>41</v>
      </c>
      <c r="W1471" s="1" t="s">
        <v>49</v>
      </c>
    </row>
    <row r="1472" spans="1:23" hidden="1">
      <c r="A1472" s="1">
        <v>9497508</v>
      </c>
      <c r="B1472" s="1" t="s">
        <v>1153</v>
      </c>
      <c r="C1472" t="s">
        <v>3762</v>
      </c>
      <c r="E1472" s="2">
        <v>3504000203000</v>
      </c>
      <c r="F1472" s="1" t="s">
        <v>454</v>
      </c>
      <c r="G1472" s="1" t="s">
        <v>53</v>
      </c>
      <c r="H1472" s="1" t="s">
        <v>585</v>
      </c>
      <c r="I1472" s="1" t="s">
        <v>586</v>
      </c>
      <c r="J1472" s="1" t="s">
        <v>46</v>
      </c>
      <c r="K1472" t="s">
        <v>457</v>
      </c>
      <c r="M1472" s="1" t="s">
        <v>58</v>
      </c>
      <c r="N1472" s="1">
        <v>0</v>
      </c>
      <c r="O1472" s="1" t="s">
        <v>36</v>
      </c>
      <c r="P1472" s="186">
        <v>44977.357708333337</v>
      </c>
      <c r="R1472" s="1">
        <v>1</v>
      </c>
      <c r="T1472" s="1" t="s">
        <v>157</v>
      </c>
      <c r="U1472" s="186">
        <v>44978.357719907406</v>
      </c>
      <c r="V1472" s="1" t="s">
        <v>41</v>
      </c>
      <c r="W1472" s="1" t="s">
        <v>49</v>
      </c>
    </row>
    <row r="1473" spans="1:23" hidden="1">
      <c r="A1473" s="1">
        <v>9496486</v>
      </c>
      <c r="B1473" s="1" t="s">
        <v>1153</v>
      </c>
      <c r="C1473" t="s">
        <v>3770</v>
      </c>
      <c r="E1473" s="2">
        <v>1291000203000</v>
      </c>
      <c r="F1473" s="1" t="s">
        <v>454</v>
      </c>
      <c r="G1473" s="1" t="s">
        <v>53</v>
      </c>
      <c r="H1473" s="1" t="s">
        <v>136</v>
      </c>
      <c r="I1473" s="1" t="s">
        <v>137</v>
      </c>
      <c r="J1473" s="1" t="s">
        <v>33</v>
      </c>
      <c r="K1473" t="s">
        <v>457</v>
      </c>
      <c r="M1473" s="1" t="s">
        <v>58</v>
      </c>
      <c r="N1473" s="1">
        <v>0</v>
      </c>
      <c r="O1473" s="1" t="s">
        <v>36</v>
      </c>
      <c r="P1473" s="186">
        <v>44976.539907407408</v>
      </c>
      <c r="R1473" s="1">
        <v>1</v>
      </c>
      <c r="T1473" s="1" t="s">
        <v>157</v>
      </c>
      <c r="U1473" s="186">
        <v>44977.539907407408</v>
      </c>
      <c r="V1473" s="1" t="s">
        <v>41</v>
      </c>
      <c r="W1473" s="1" t="s">
        <v>42</v>
      </c>
    </row>
    <row r="1474" spans="1:23" hidden="1">
      <c r="A1474" s="1">
        <v>9496417</v>
      </c>
      <c r="B1474" s="1" t="s">
        <v>1153</v>
      </c>
      <c r="C1474" t="s">
        <v>3773</v>
      </c>
      <c r="E1474" s="2">
        <v>2564000203000</v>
      </c>
      <c r="F1474" s="1" t="s">
        <v>454</v>
      </c>
      <c r="G1474" s="1" t="s">
        <v>53</v>
      </c>
      <c r="H1474" s="1" t="s">
        <v>255</v>
      </c>
      <c r="I1474" s="1" t="s">
        <v>256</v>
      </c>
      <c r="J1474" s="1" t="s">
        <v>164</v>
      </c>
      <c r="K1474" t="s">
        <v>457</v>
      </c>
      <c r="M1474" s="1" t="s">
        <v>58</v>
      </c>
      <c r="N1474" s="1">
        <v>0</v>
      </c>
      <c r="O1474" s="1" t="s">
        <v>36</v>
      </c>
      <c r="P1474" s="186">
        <v>44976.509027777778</v>
      </c>
      <c r="R1474" s="1">
        <v>1</v>
      </c>
      <c r="T1474" s="1" t="s">
        <v>157</v>
      </c>
      <c r="U1474" s="186">
        <v>44977.509027777778</v>
      </c>
      <c r="V1474" s="1" t="s">
        <v>41</v>
      </c>
      <c r="W1474" s="1" t="s">
        <v>49</v>
      </c>
    </row>
    <row r="1475" spans="1:23" hidden="1">
      <c r="A1475" s="1">
        <v>9496416</v>
      </c>
      <c r="B1475" s="1" t="s">
        <v>1153</v>
      </c>
      <c r="C1475" t="s">
        <v>3776</v>
      </c>
      <c r="E1475" s="2">
        <v>2473000203000</v>
      </c>
      <c r="F1475" s="1" t="s">
        <v>454</v>
      </c>
      <c r="G1475" s="1" t="s">
        <v>53</v>
      </c>
      <c r="H1475" s="1" t="s">
        <v>1459</v>
      </c>
      <c r="I1475" s="1" t="s">
        <v>1460</v>
      </c>
      <c r="J1475" s="1" t="s">
        <v>261</v>
      </c>
      <c r="K1475" t="s">
        <v>457</v>
      </c>
      <c r="M1475" s="1" t="s">
        <v>58</v>
      </c>
      <c r="N1475" s="1">
        <v>0</v>
      </c>
      <c r="O1475" s="1" t="s">
        <v>36</v>
      </c>
      <c r="P1475" s="186">
        <v>44976.508958333332</v>
      </c>
      <c r="R1475" s="1">
        <v>1</v>
      </c>
      <c r="T1475" s="1" t="s">
        <v>157</v>
      </c>
      <c r="U1475" s="186">
        <v>44977.508958333332</v>
      </c>
      <c r="V1475" s="1" t="s">
        <v>41</v>
      </c>
      <c r="W1475" s="1" t="s">
        <v>49</v>
      </c>
    </row>
    <row r="1476" spans="1:23" hidden="1">
      <c r="A1476" s="181">
        <v>9496406</v>
      </c>
      <c r="B1476" s="181" t="s">
        <v>1153</v>
      </c>
      <c r="C1476" s="182" t="s">
        <v>3999</v>
      </c>
      <c r="D1476" s="183"/>
      <c r="E1476" s="183">
        <v>2590000206001</v>
      </c>
      <c r="F1476" s="181" t="s">
        <v>29</v>
      </c>
      <c r="G1476" s="181" t="s">
        <v>53</v>
      </c>
      <c r="H1476" s="181" t="s">
        <v>394</v>
      </c>
      <c r="I1476" s="181" t="s">
        <v>395</v>
      </c>
      <c r="J1476" s="181" t="s">
        <v>148</v>
      </c>
      <c r="K1476" t="s">
        <v>34</v>
      </c>
      <c r="M1476" s="1" t="s">
        <v>35</v>
      </c>
      <c r="N1476" s="1">
        <v>42318949</v>
      </c>
      <c r="O1476" s="1" t="s">
        <v>36</v>
      </c>
      <c r="P1476" s="186">
        <v>44976.508229166669</v>
      </c>
      <c r="R1476" s="1" t="s">
        <v>38</v>
      </c>
      <c r="T1476" s="1" t="s">
        <v>74</v>
      </c>
      <c r="U1476" s="186">
        <v>44986.645833333336</v>
      </c>
      <c r="V1476" s="1" t="s">
        <v>41</v>
      </c>
      <c r="W1476" s="1" t="s">
        <v>49</v>
      </c>
    </row>
    <row r="1477" spans="1:23" hidden="1">
      <c r="A1477" s="1">
        <v>9496337</v>
      </c>
      <c r="B1477" s="1" t="s">
        <v>1153</v>
      </c>
      <c r="C1477" t="s">
        <v>3783</v>
      </c>
      <c r="E1477" s="2">
        <v>1837000206001</v>
      </c>
      <c r="F1477" s="1" t="s">
        <v>29</v>
      </c>
      <c r="G1477" s="1" t="s">
        <v>53</v>
      </c>
      <c r="H1477" s="1" t="s">
        <v>1785</v>
      </c>
      <c r="I1477" s="1" t="s">
        <v>1786</v>
      </c>
      <c r="J1477" s="1" t="s">
        <v>46</v>
      </c>
      <c r="K1477" t="s">
        <v>34</v>
      </c>
      <c r="M1477" s="1" t="s">
        <v>35</v>
      </c>
      <c r="N1477" s="1">
        <v>42318949</v>
      </c>
      <c r="O1477" s="1" t="s">
        <v>36</v>
      </c>
      <c r="P1477" s="186">
        <v>44976.477581018517</v>
      </c>
      <c r="R1477" s="1" t="s">
        <v>38</v>
      </c>
      <c r="T1477" s="1" t="s">
        <v>74</v>
      </c>
      <c r="U1477" s="186">
        <v>44985.604166666664</v>
      </c>
      <c r="V1477" s="1" t="s">
        <v>41</v>
      </c>
      <c r="W1477" s="1" t="s">
        <v>49</v>
      </c>
    </row>
    <row r="1478" spans="1:23" hidden="1">
      <c r="A1478" s="1">
        <v>9496332</v>
      </c>
      <c r="B1478" s="1" t="s">
        <v>1153</v>
      </c>
      <c r="C1478" t="s">
        <v>3786</v>
      </c>
      <c r="E1478" s="2">
        <v>1664000206001</v>
      </c>
      <c r="F1478" s="1" t="s">
        <v>29</v>
      </c>
      <c r="G1478" s="1" t="s">
        <v>53</v>
      </c>
      <c r="H1478" s="1" t="s">
        <v>307</v>
      </c>
      <c r="I1478" s="1" t="s">
        <v>308</v>
      </c>
      <c r="J1478" s="1" t="s">
        <v>164</v>
      </c>
      <c r="K1478" t="s">
        <v>34</v>
      </c>
      <c r="M1478" s="1" t="s">
        <v>35</v>
      </c>
      <c r="N1478" s="1">
        <v>42318949</v>
      </c>
      <c r="O1478" s="1" t="s">
        <v>36</v>
      </c>
      <c r="P1478" s="186">
        <v>44976.477256944447</v>
      </c>
      <c r="R1478" s="1" t="s">
        <v>38</v>
      </c>
      <c r="T1478" s="1" t="s">
        <v>74</v>
      </c>
      <c r="U1478" s="186">
        <v>44986.625</v>
      </c>
      <c r="V1478" s="1" t="s">
        <v>41</v>
      </c>
      <c r="W1478" s="1" t="s">
        <v>49</v>
      </c>
    </row>
    <row r="1479" spans="1:23" hidden="1">
      <c r="A1479" s="1">
        <v>9496312</v>
      </c>
      <c r="B1479" s="1" t="s">
        <v>1153</v>
      </c>
      <c r="C1479" t="s">
        <v>3788</v>
      </c>
      <c r="E1479" s="2">
        <v>2138000206001</v>
      </c>
      <c r="F1479" s="1" t="s">
        <v>29</v>
      </c>
      <c r="G1479" s="1" t="s">
        <v>53</v>
      </c>
      <c r="H1479" s="1" t="s">
        <v>379</v>
      </c>
      <c r="I1479" s="1" t="s">
        <v>380</v>
      </c>
      <c r="J1479" s="1" t="s">
        <v>46</v>
      </c>
      <c r="K1479" t="s">
        <v>34</v>
      </c>
      <c r="M1479" s="1" t="s">
        <v>35</v>
      </c>
      <c r="N1479" s="1">
        <v>42318949</v>
      </c>
      <c r="O1479" s="1" t="s">
        <v>36</v>
      </c>
      <c r="P1479" s="186">
        <v>44976.467349537037</v>
      </c>
      <c r="R1479" s="1" t="s">
        <v>38</v>
      </c>
      <c r="T1479" s="1" t="s">
        <v>74</v>
      </c>
      <c r="U1479" s="186">
        <v>44985.604166666664</v>
      </c>
      <c r="V1479" s="1" t="s">
        <v>41</v>
      </c>
      <c r="W1479" s="1" t="s">
        <v>49</v>
      </c>
    </row>
    <row r="1480" spans="1:23">
      <c r="A1480" s="181">
        <v>9496178</v>
      </c>
      <c r="B1480" s="181" t="s">
        <v>1153</v>
      </c>
      <c r="C1480" s="182" t="s">
        <v>4000</v>
      </c>
      <c r="D1480" s="183"/>
      <c r="E1480" s="183">
        <v>2304000206001</v>
      </c>
      <c r="F1480" s="181" t="s">
        <v>29</v>
      </c>
      <c r="G1480" s="181" t="s">
        <v>53</v>
      </c>
      <c r="H1480" s="181" t="s">
        <v>2711</v>
      </c>
      <c r="I1480" s="181" t="s">
        <v>2712</v>
      </c>
      <c r="J1480" s="181" t="s">
        <v>85</v>
      </c>
      <c r="K1480" t="s">
        <v>34</v>
      </c>
      <c r="M1480" s="1" t="s">
        <v>35</v>
      </c>
      <c r="N1480" s="1">
        <v>42318949</v>
      </c>
      <c r="O1480" s="1" t="s">
        <v>36</v>
      </c>
      <c r="P1480" s="186">
        <v>44976.404166666667</v>
      </c>
      <c r="R1480" s="1" t="s">
        <v>38</v>
      </c>
      <c r="T1480" s="1" t="s">
        <v>74</v>
      </c>
      <c r="U1480" s="186">
        <v>44984.625</v>
      </c>
      <c r="V1480" s="1" t="s">
        <v>41</v>
      </c>
      <c r="W1480" s="1" t="s">
        <v>49</v>
      </c>
    </row>
    <row r="1481" spans="1:23" hidden="1">
      <c r="A1481" s="1">
        <v>9496130</v>
      </c>
      <c r="B1481" s="1" t="s">
        <v>1153</v>
      </c>
      <c r="C1481" t="s">
        <v>3802</v>
      </c>
      <c r="E1481" s="2">
        <v>3258000203000</v>
      </c>
      <c r="F1481" s="1" t="s">
        <v>454</v>
      </c>
      <c r="G1481" s="1" t="s">
        <v>53</v>
      </c>
      <c r="H1481" s="1" t="s">
        <v>321</v>
      </c>
      <c r="I1481" s="1" t="s">
        <v>322</v>
      </c>
      <c r="J1481" s="1" t="s">
        <v>46</v>
      </c>
      <c r="K1481" t="s">
        <v>457</v>
      </c>
      <c r="M1481" s="1" t="s">
        <v>58</v>
      </c>
      <c r="N1481" s="1">
        <v>0</v>
      </c>
      <c r="O1481" s="1" t="s">
        <v>36</v>
      </c>
      <c r="P1481" s="186">
        <v>44976.383125</v>
      </c>
      <c r="R1481" s="1">
        <v>1</v>
      </c>
      <c r="T1481" s="1" t="s">
        <v>157</v>
      </c>
      <c r="U1481" s="186">
        <v>44977.383125</v>
      </c>
      <c r="V1481" s="1" t="s">
        <v>41</v>
      </c>
      <c r="W1481" s="1" t="s">
        <v>49</v>
      </c>
    </row>
    <row r="1482" spans="1:23" hidden="1">
      <c r="A1482" s="1">
        <v>9496114</v>
      </c>
      <c r="B1482" s="1" t="s">
        <v>1153</v>
      </c>
      <c r="C1482" t="s">
        <v>3805</v>
      </c>
      <c r="E1482" s="2">
        <v>1838000203000</v>
      </c>
      <c r="F1482" s="1" t="s">
        <v>454</v>
      </c>
      <c r="G1482" s="1" t="s">
        <v>53</v>
      </c>
      <c r="H1482" s="1" t="s">
        <v>357</v>
      </c>
      <c r="I1482" s="1" t="s">
        <v>358</v>
      </c>
      <c r="J1482" s="1" t="s">
        <v>46</v>
      </c>
      <c r="K1482" t="s">
        <v>457</v>
      </c>
      <c r="M1482" s="1" t="s">
        <v>58</v>
      </c>
      <c r="N1482" s="1">
        <v>0</v>
      </c>
      <c r="O1482" s="1" t="s">
        <v>36</v>
      </c>
      <c r="P1482" s="186">
        <v>44976.372627314813</v>
      </c>
      <c r="R1482" s="1">
        <v>1</v>
      </c>
      <c r="T1482" s="1" t="s">
        <v>157</v>
      </c>
      <c r="U1482" s="186">
        <v>44977.37263888889</v>
      </c>
      <c r="V1482" s="1" t="s">
        <v>41</v>
      </c>
      <c r="W1482" s="1" t="s">
        <v>49</v>
      </c>
    </row>
    <row r="1483" spans="1:23" hidden="1">
      <c r="A1483" s="1">
        <v>9499146</v>
      </c>
      <c r="B1483" s="1" t="s">
        <v>1153</v>
      </c>
      <c r="C1483" t="s">
        <v>3808</v>
      </c>
      <c r="E1483" s="2">
        <v>3108010206001</v>
      </c>
      <c r="F1483" s="1" t="s">
        <v>29</v>
      </c>
      <c r="G1483" s="1" t="s">
        <v>53</v>
      </c>
      <c r="H1483" s="1" t="s">
        <v>503</v>
      </c>
      <c r="I1483" s="1" t="s">
        <v>504</v>
      </c>
      <c r="J1483" s="1" t="s">
        <v>46</v>
      </c>
      <c r="K1483" t="s">
        <v>34</v>
      </c>
      <c r="M1483" s="1" t="s">
        <v>35</v>
      </c>
      <c r="N1483" s="1">
        <v>42318949</v>
      </c>
      <c r="O1483" s="1" t="s">
        <v>36</v>
      </c>
      <c r="P1483" s="186">
        <v>44978.647986111115</v>
      </c>
      <c r="R1483" s="1" t="s">
        <v>38</v>
      </c>
      <c r="T1483" s="1" t="s">
        <v>74</v>
      </c>
      <c r="U1483" s="186">
        <v>44979.708333333336</v>
      </c>
      <c r="V1483" s="1" t="s">
        <v>41</v>
      </c>
      <c r="W1483" s="1" t="s">
        <v>49</v>
      </c>
    </row>
    <row r="1484" spans="1:23" hidden="1">
      <c r="A1484" s="1">
        <v>9498887</v>
      </c>
      <c r="B1484" s="1" t="s">
        <v>1153</v>
      </c>
      <c r="C1484" t="s">
        <v>3810</v>
      </c>
      <c r="E1484" s="2">
        <v>2196000206001</v>
      </c>
      <c r="F1484" s="1" t="s">
        <v>29</v>
      </c>
      <c r="G1484" s="1" t="s">
        <v>53</v>
      </c>
      <c r="H1484" s="1" t="s">
        <v>1252</v>
      </c>
      <c r="I1484" s="1" t="s">
        <v>1253</v>
      </c>
      <c r="J1484" s="1" t="s">
        <v>33</v>
      </c>
      <c r="K1484" t="s">
        <v>34</v>
      </c>
      <c r="M1484" s="1" t="s">
        <v>35</v>
      </c>
      <c r="N1484" s="1">
        <v>42318949</v>
      </c>
      <c r="O1484" s="1" t="s">
        <v>36</v>
      </c>
      <c r="P1484" s="186">
        <v>44978.43949074074</v>
      </c>
      <c r="R1484" s="1" t="s">
        <v>38</v>
      </c>
      <c r="T1484" s="1" t="s">
        <v>74</v>
      </c>
      <c r="U1484" s="186">
        <v>44985.625</v>
      </c>
      <c r="V1484" s="1" t="s">
        <v>41</v>
      </c>
      <c r="W1484" s="1" t="s">
        <v>42</v>
      </c>
    </row>
    <row r="1485" spans="1:23" hidden="1">
      <c r="A1485" s="1">
        <v>9498760</v>
      </c>
      <c r="B1485" s="1" t="s">
        <v>1153</v>
      </c>
      <c r="C1485" t="s">
        <v>3812</v>
      </c>
      <c r="E1485" s="2">
        <v>594000206001</v>
      </c>
      <c r="F1485" s="1" t="s">
        <v>29</v>
      </c>
      <c r="G1485" s="1" t="s">
        <v>53</v>
      </c>
      <c r="H1485" s="1" t="s">
        <v>444</v>
      </c>
      <c r="I1485" s="1" t="s">
        <v>445</v>
      </c>
      <c r="J1485" s="1" t="s">
        <v>33</v>
      </c>
      <c r="K1485" t="s">
        <v>34</v>
      </c>
      <c r="M1485" s="1" t="s">
        <v>35</v>
      </c>
      <c r="N1485" s="1">
        <v>42318949</v>
      </c>
      <c r="O1485" s="1" t="s">
        <v>36</v>
      </c>
      <c r="P1485" s="186">
        <v>44978.356782407405</v>
      </c>
      <c r="R1485" s="1" t="s">
        <v>38</v>
      </c>
      <c r="T1485" s="1" t="s">
        <v>74</v>
      </c>
      <c r="U1485" s="186">
        <v>44985.541666666664</v>
      </c>
      <c r="V1485" s="1" t="s">
        <v>41</v>
      </c>
      <c r="W1485" s="1" t="s">
        <v>42</v>
      </c>
    </row>
    <row r="1486" spans="1:23" hidden="1">
      <c r="A1486" s="1">
        <v>9504463</v>
      </c>
      <c r="B1486" s="1" t="s">
        <v>1153</v>
      </c>
      <c r="C1486" t="s">
        <v>4001</v>
      </c>
      <c r="D1486" s="2">
        <v>20232365000007</v>
      </c>
      <c r="E1486" s="2">
        <v>7417191554121</v>
      </c>
      <c r="F1486" s="1" t="s">
        <v>2819</v>
      </c>
      <c r="G1486" s="1" t="s">
        <v>53</v>
      </c>
      <c r="H1486" s="1" t="s">
        <v>159</v>
      </c>
      <c r="I1486" s="1" t="s">
        <v>160</v>
      </c>
      <c r="J1486" s="1" t="s">
        <v>46</v>
      </c>
      <c r="K1486" t="s">
        <v>2820</v>
      </c>
      <c r="M1486" s="1" t="s">
        <v>58</v>
      </c>
      <c r="N1486" s="1">
        <v>0</v>
      </c>
      <c r="O1486" s="1" t="s">
        <v>105</v>
      </c>
      <c r="P1486" s="186">
        <v>44979.523923611108</v>
      </c>
      <c r="R1486" s="1">
        <v>22</v>
      </c>
      <c r="T1486" s="1" t="s">
        <v>1160</v>
      </c>
      <c r="U1486" s="186">
        <v>44981.732256944444</v>
      </c>
      <c r="V1486" s="1" t="s">
        <v>41</v>
      </c>
      <c r="W1486" s="1" t="s">
        <v>49</v>
      </c>
    </row>
    <row r="1487" spans="1:23" hidden="1">
      <c r="A1487" s="181">
        <v>9502134</v>
      </c>
      <c r="B1487" s="181" t="s">
        <v>1153</v>
      </c>
      <c r="C1487" s="185" t="s">
        <v>3817</v>
      </c>
      <c r="D1487" s="183">
        <v>20231362000008</v>
      </c>
      <c r="E1487" s="183">
        <v>7419151140262</v>
      </c>
      <c r="F1487" s="181" t="s">
        <v>2058</v>
      </c>
      <c r="G1487" s="181" t="s">
        <v>53</v>
      </c>
      <c r="H1487" s="181" t="s">
        <v>2910</v>
      </c>
      <c r="I1487" s="181" t="s">
        <v>2911</v>
      </c>
      <c r="J1487" s="181" t="s">
        <v>90</v>
      </c>
      <c r="K1487" t="s">
        <v>2061</v>
      </c>
      <c r="M1487" s="1" t="s">
        <v>58</v>
      </c>
      <c r="N1487" s="1">
        <v>0</v>
      </c>
      <c r="O1487" s="1" t="s">
        <v>105</v>
      </c>
      <c r="P1487" s="186">
        <v>44979.776504629626</v>
      </c>
      <c r="R1487" s="1">
        <v>14</v>
      </c>
      <c r="T1487" s="1" t="s">
        <v>238</v>
      </c>
      <c r="U1487" s="186">
        <v>44980.395833333336</v>
      </c>
      <c r="V1487" s="1" t="s">
        <v>41</v>
      </c>
      <c r="W1487" s="1" t="s">
        <v>49</v>
      </c>
    </row>
    <row r="1488" spans="1:23" hidden="1">
      <c r="A1488" s="175">
        <v>9502057</v>
      </c>
      <c r="B1488" s="175" t="s">
        <v>1153</v>
      </c>
      <c r="C1488" s="176" t="s">
        <v>3820</v>
      </c>
      <c r="D1488" s="177">
        <v>20231059000018</v>
      </c>
      <c r="E1488" s="177">
        <v>7419141893204</v>
      </c>
      <c r="F1488" s="175" t="s">
        <v>128</v>
      </c>
      <c r="G1488" s="175" t="s">
        <v>53</v>
      </c>
      <c r="H1488" s="175" t="s">
        <v>1972</v>
      </c>
      <c r="I1488" s="175" t="s">
        <v>1973</v>
      </c>
      <c r="J1488" s="175" t="s">
        <v>90</v>
      </c>
      <c r="K1488" t="s">
        <v>129</v>
      </c>
      <c r="M1488" s="1" t="s">
        <v>58</v>
      </c>
      <c r="N1488" s="1">
        <v>0</v>
      </c>
      <c r="O1488" s="1" t="s">
        <v>105</v>
      </c>
      <c r="P1488" s="186">
        <v>44979.740532407406</v>
      </c>
      <c r="R1488" s="1">
        <v>14</v>
      </c>
      <c r="T1488" s="1" t="s">
        <v>238</v>
      </c>
      <c r="U1488" s="186">
        <v>44980.395833333336</v>
      </c>
      <c r="V1488" s="1" t="s">
        <v>41</v>
      </c>
      <c r="W1488" s="1" t="s">
        <v>49</v>
      </c>
    </row>
    <row r="1489" spans="1:23" hidden="1">
      <c r="A1489" s="1">
        <v>9502037</v>
      </c>
      <c r="B1489" s="1" t="s">
        <v>1153</v>
      </c>
      <c r="C1489" t="s">
        <v>3822</v>
      </c>
      <c r="D1489" s="2">
        <v>20231666000016</v>
      </c>
      <c r="E1489" s="2">
        <v>7417163285374</v>
      </c>
      <c r="F1489" s="1" t="s">
        <v>131</v>
      </c>
      <c r="G1489" s="1" t="s">
        <v>53</v>
      </c>
      <c r="H1489" s="1" t="s">
        <v>2679</v>
      </c>
      <c r="I1489" s="1" t="s">
        <v>2680</v>
      </c>
      <c r="J1489" s="1" t="s">
        <v>79</v>
      </c>
      <c r="K1489" t="s">
        <v>132</v>
      </c>
      <c r="M1489" s="1" t="s">
        <v>58</v>
      </c>
      <c r="N1489" s="1">
        <v>0</v>
      </c>
      <c r="O1489" s="1" t="s">
        <v>36</v>
      </c>
      <c r="P1489" s="186">
        <v>44979.722569444442</v>
      </c>
      <c r="R1489" s="1">
        <v>14</v>
      </c>
      <c r="T1489" s="1" t="s">
        <v>238</v>
      </c>
      <c r="U1489" s="186">
        <v>44980.395833333336</v>
      </c>
      <c r="V1489" s="1" t="s">
        <v>41</v>
      </c>
      <c r="W1489" s="1" t="s">
        <v>49</v>
      </c>
    </row>
    <row r="1490" spans="1:23" hidden="1">
      <c r="A1490" s="1">
        <v>9502002</v>
      </c>
      <c r="B1490" s="1" t="s">
        <v>1153</v>
      </c>
      <c r="C1490" t="s">
        <v>3826</v>
      </c>
      <c r="D1490" s="2">
        <v>230031686</v>
      </c>
      <c r="E1490" s="2">
        <v>115001400020</v>
      </c>
      <c r="F1490" s="1" t="s">
        <v>1961</v>
      </c>
      <c r="G1490" s="1" t="s">
        <v>53</v>
      </c>
      <c r="H1490" s="1" t="s">
        <v>542</v>
      </c>
      <c r="I1490" s="1" t="s">
        <v>543</v>
      </c>
      <c r="J1490" s="1" t="s">
        <v>56</v>
      </c>
      <c r="K1490" t="s">
        <v>1962</v>
      </c>
      <c r="M1490" s="1" t="s">
        <v>58</v>
      </c>
      <c r="N1490" s="1">
        <v>0</v>
      </c>
      <c r="O1490" s="1" t="s">
        <v>36</v>
      </c>
      <c r="P1490" s="186">
        <v>44979.743113425924</v>
      </c>
      <c r="R1490" s="1">
        <v>4</v>
      </c>
      <c r="T1490" s="1" t="s">
        <v>646</v>
      </c>
      <c r="U1490" s="186">
        <v>44986.729166666664</v>
      </c>
      <c r="V1490" s="1" t="s">
        <v>41</v>
      </c>
      <c r="W1490" s="1" t="s">
        <v>49</v>
      </c>
    </row>
    <row r="1491" spans="1:23" hidden="1">
      <c r="A1491" s="1">
        <v>9501860</v>
      </c>
      <c r="B1491" s="1" t="s">
        <v>1153</v>
      </c>
      <c r="C1491" t="s">
        <v>3835</v>
      </c>
      <c r="D1491" s="2">
        <v>20230115000015</v>
      </c>
      <c r="E1491" s="2">
        <v>7419151141121</v>
      </c>
      <c r="F1491" s="1" t="s">
        <v>123</v>
      </c>
      <c r="G1491" s="1" t="s">
        <v>53</v>
      </c>
      <c r="H1491" s="1" t="s">
        <v>2591</v>
      </c>
      <c r="I1491" s="1" t="s">
        <v>2592</v>
      </c>
      <c r="J1491" s="1" t="s">
        <v>56</v>
      </c>
      <c r="K1491" t="s">
        <v>126</v>
      </c>
      <c r="M1491" s="1" t="s">
        <v>58</v>
      </c>
      <c r="N1491" s="1">
        <v>0</v>
      </c>
      <c r="O1491" s="1" t="s">
        <v>36</v>
      </c>
      <c r="P1491" s="186">
        <v>44979.692824074074</v>
      </c>
      <c r="R1491" s="1">
        <v>14</v>
      </c>
      <c r="T1491" s="1" t="s">
        <v>238</v>
      </c>
      <c r="U1491" s="186">
        <v>44979.692824074074</v>
      </c>
      <c r="V1491" s="1" t="s">
        <v>41</v>
      </c>
      <c r="W1491" s="1" t="s">
        <v>49</v>
      </c>
    </row>
    <row r="1492" spans="1:23" hidden="1">
      <c r="A1492" s="1">
        <v>9501854</v>
      </c>
      <c r="B1492" s="1" t="s">
        <v>1153</v>
      </c>
      <c r="C1492" t="s">
        <v>3837</v>
      </c>
      <c r="D1492" s="2">
        <v>20234924000068</v>
      </c>
      <c r="E1492" s="2">
        <v>7419141893227</v>
      </c>
      <c r="F1492" s="1" t="s">
        <v>128</v>
      </c>
      <c r="G1492" s="1" t="s">
        <v>53</v>
      </c>
      <c r="H1492" s="1" t="s">
        <v>3328</v>
      </c>
      <c r="I1492" s="1" t="s">
        <v>3329</v>
      </c>
      <c r="J1492" s="1" t="s">
        <v>79</v>
      </c>
      <c r="K1492" t="s">
        <v>129</v>
      </c>
      <c r="M1492" s="1" t="s">
        <v>58</v>
      </c>
      <c r="N1492" s="1">
        <v>0</v>
      </c>
      <c r="O1492" s="1" t="s">
        <v>105</v>
      </c>
      <c r="P1492" s="186">
        <v>44979.687465277777</v>
      </c>
      <c r="R1492" s="1">
        <v>14</v>
      </c>
      <c r="T1492" s="1" t="s">
        <v>238</v>
      </c>
      <c r="U1492" s="186">
        <v>44979.687465277777</v>
      </c>
      <c r="V1492" s="1" t="s">
        <v>41</v>
      </c>
      <c r="W1492" s="1" t="s">
        <v>49</v>
      </c>
    </row>
    <row r="1493" spans="1:23" hidden="1">
      <c r="A1493" s="1">
        <v>9501845</v>
      </c>
      <c r="B1493" s="1" t="s">
        <v>1153</v>
      </c>
      <c r="C1493" t="s">
        <v>3839</v>
      </c>
      <c r="D1493" s="2">
        <v>20232559000003</v>
      </c>
      <c r="E1493" s="2">
        <v>7417210950115</v>
      </c>
      <c r="F1493" s="1" t="s">
        <v>1213</v>
      </c>
      <c r="G1493" s="1" t="s">
        <v>53</v>
      </c>
      <c r="H1493" s="1" t="s">
        <v>2387</v>
      </c>
      <c r="I1493" s="1" t="s">
        <v>2388</v>
      </c>
      <c r="J1493" s="1" t="s">
        <v>261</v>
      </c>
      <c r="K1493" t="s">
        <v>1214</v>
      </c>
      <c r="M1493" s="1" t="s">
        <v>58</v>
      </c>
      <c r="N1493" s="1">
        <v>0</v>
      </c>
      <c r="O1493" s="1" t="s">
        <v>105</v>
      </c>
      <c r="P1493" s="186">
        <v>44979.686874999999</v>
      </c>
      <c r="R1493" s="1">
        <v>14</v>
      </c>
      <c r="T1493" s="1" t="s">
        <v>238</v>
      </c>
      <c r="U1493" s="186">
        <v>44979.686874999999</v>
      </c>
      <c r="V1493" s="1" t="s">
        <v>41</v>
      </c>
      <c r="W1493" s="1" t="s">
        <v>49</v>
      </c>
    </row>
    <row r="1494" spans="1:23" hidden="1">
      <c r="A1494" s="1">
        <v>9501790</v>
      </c>
      <c r="B1494" s="1" t="s">
        <v>1153</v>
      </c>
      <c r="C1494" t="s">
        <v>3844</v>
      </c>
      <c r="D1494" s="2">
        <v>20234923000074</v>
      </c>
      <c r="E1494" s="2">
        <v>7419141893152</v>
      </c>
      <c r="F1494" s="1" t="s">
        <v>128</v>
      </c>
      <c r="G1494" s="1" t="s">
        <v>53</v>
      </c>
      <c r="H1494" s="1" t="s">
        <v>2870</v>
      </c>
      <c r="I1494" s="1" t="s">
        <v>2871</v>
      </c>
      <c r="J1494" s="1" t="s">
        <v>46</v>
      </c>
      <c r="K1494" t="s">
        <v>129</v>
      </c>
      <c r="M1494" s="1" t="s">
        <v>58</v>
      </c>
      <c r="N1494" s="1">
        <v>0</v>
      </c>
      <c r="O1494" s="1" t="s">
        <v>105</v>
      </c>
      <c r="P1494" s="186">
        <v>44979.657905092594</v>
      </c>
      <c r="R1494" s="1">
        <v>13</v>
      </c>
      <c r="T1494" s="1" t="s">
        <v>238</v>
      </c>
      <c r="U1494" s="186">
        <v>44979.657905092594</v>
      </c>
      <c r="V1494" s="1" t="s">
        <v>41</v>
      </c>
      <c r="W1494" s="1" t="s">
        <v>49</v>
      </c>
    </row>
    <row r="1495" spans="1:23" hidden="1">
      <c r="A1495" s="1">
        <v>9501765</v>
      </c>
      <c r="B1495" s="1" t="s">
        <v>1153</v>
      </c>
      <c r="C1495" t="s">
        <v>4002</v>
      </c>
      <c r="D1495" s="2">
        <v>20238896000029</v>
      </c>
      <c r="E1495" s="2">
        <v>7417172315875</v>
      </c>
      <c r="F1495" s="1" t="s">
        <v>1155</v>
      </c>
      <c r="G1495" s="1" t="s">
        <v>53</v>
      </c>
      <c r="H1495" s="1" t="s">
        <v>4003</v>
      </c>
      <c r="I1495" s="1" t="s">
        <v>4004</v>
      </c>
      <c r="J1495" s="1" t="s">
        <v>46</v>
      </c>
      <c r="K1495" t="s">
        <v>1158</v>
      </c>
      <c r="M1495" s="1" t="s">
        <v>58</v>
      </c>
      <c r="N1495" s="1">
        <v>0</v>
      </c>
      <c r="O1495" s="1" t="s">
        <v>36</v>
      </c>
      <c r="P1495" s="186">
        <v>44979.660428240742</v>
      </c>
      <c r="R1495" s="1">
        <v>22</v>
      </c>
      <c r="T1495" s="1" t="s">
        <v>1160</v>
      </c>
      <c r="U1495" s="186">
        <v>44984.493761574071</v>
      </c>
      <c r="V1495" s="1" t="s">
        <v>41</v>
      </c>
      <c r="W1495" s="1" t="s">
        <v>4005</v>
      </c>
    </row>
    <row r="1496" spans="1:23" hidden="1">
      <c r="A1496" s="1">
        <v>9501763</v>
      </c>
      <c r="B1496" s="1" t="s">
        <v>1153</v>
      </c>
      <c r="C1496" t="s">
        <v>3848</v>
      </c>
      <c r="D1496" s="2">
        <v>20232442000022</v>
      </c>
      <c r="E1496" s="2">
        <v>7417210550030</v>
      </c>
      <c r="F1496" s="1" t="s">
        <v>1936</v>
      </c>
      <c r="G1496" s="1" t="s">
        <v>53</v>
      </c>
      <c r="H1496" s="1" t="s">
        <v>2489</v>
      </c>
      <c r="I1496" s="1" t="s">
        <v>2490</v>
      </c>
      <c r="J1496" s="1" t="s">
        <v>33</v>
      </c>
      <c r="K1496" t="s">
        <v>1939</v>
      </c>
      <c r="M1496" s="1" t="s">
        <v>58</v>
      </c>
      <c r="N1496" s="1">
        <v>0</v>
      </c>
      <c r="O1496" s="1" t="s">
        <v>105</v>
      </c>
      <c r="P1496" s="186">
        <v>44979.657268518517</v>
      </c>
      <c r="R1496" s="1">
        <v>15</v>
      </c>
      <c r="T1496" s="1" t="s">
        <v>238</v>
      </c>
      <c r="U1496" s="186">
        <v>44979.657268518517</v>
      </c>
      <c r="V1496" s="1" t="s">
        <v>41</v>
      </c>
      <c r="W1496" s="1" t="s">
        <v>42</v>
      </c>
    </row>
    <row r="1497" spans="1:23">
      <c r="A1497" s="1">
        <v>9501693</v>
      </c>
      <c r="B1497" s="1" t="s">
        <v>1153</v>
      </c>
      <c r="C1497" t="s">
        <v>3861</v>
      </c>
      <c r="E1497" s="2">
        <v>2304000206001</v>
      </c>
      <c r="F1497" s="1" t="s">
        <v>29</v>
      </c>
      <c r="G1497" s="1" t="s">
        <v>53</v>
      </c>
      <c r="H1497" s="1" t="s">
        <v>2711</v>
      </c>
      <c r="I1497" s="1" t="s">
        <v>2712</v>
      </c>
      <c r="J1497" s="1" t="s">
        <v>85</v>
      </c>
      <c r="K1497" t="s">
        <v>34</v>
      </c>
      <c r="M1497" s="1" t="s">
        <v>35</v>
      </c>
      <c r="N1497" s="1">
        <v>42318949</v>
      </c>
      <c r="O1497" s="1" t="s">
        <v>36</v>
      </c>
      <c r="P1497" s="186">
        <v>44979.718460648146</v>
      </c>
      <c r="R1497" s="1" t="s">
        <v>38</v>
      </c>
      <c r="T1497" s="1" t="s">
        <v>74</v>
      </c>
      <c r="U1497" s="186">
        <v>45009.607638888891</v>
      </c>
      <c r="V1497" s="1" t="s">
        <v>41</v>
      </c>
      <c r="W1497" s="1" t="s">
        <v>49</v>
      </c>
    </row>
    <row r="1498" spans="1:23" hidden="1">
      <c r="A1498" s="1">
        <v>9501669</v>
      </c>
      <c r="B1498" s="1" t="s">
        <v>1153</v>
      </c>
      <c r="C1498" t="s">
        <v>3866</v>
      </c>
      <c r="D1498" s="2">
        <v>20230244000009</v>
      </c>
      <c r="E1498" s="2">
        <v>7419151141159</v>
      </c>
      <c r="F1498" s="1" t="s">
        <v>123</v>
      </c>
      <c r="G1498" s="1" t="s">
        <v>53</v>
      </c>
      <c r="H1498" s="1" t="s">
        <v>2579</v>
      </c>
      <c r="I1498" s="1" t="s">
        <v>2580</v>
      </c>
      <c r="J1498" s="1" t="s">
        <v>56</v>
      </c>
      <c r="K1498" t="s">
        <v>126</v>
      </c>
      <c r="M1498" s="1" t="s">
        <v>58</v>
      </c>
      <c r="N1498" s="1">
        <v>0</v>
      </c>
      <c r="O1498" s="1" t="s">
        <v>105</v>
      </c>
      <c r="P1498" s="186">
        <v>44979.635277777779</v>
      </c>
      <c r="R1498" s="1">
        <v>14</v>
      </c>
      <c r="T1498" s="1" t="s">
        <v>238</v>
      </c>
      <c r="U1498" s="186">
        <v>44979.635277777779</v>
      </c>
      <c r="V1498" s="1" t="s">
        <v>41</v>
      </c>
      <c r="W1498" s="1" t="s">
        <v>49</v>
      </c>
    </row>
    <row r="1499" spans="1:23" hidden="1">
      <c r="A1499" s="1">
        <v>9501617</v>
      </c>
      <c r="B1499" s="1" t="s">
        <v>1153</v>
      </c>
      <c r="C1499" t="s">
        <v>3868</v>
      </c>
      <c r="D1499" s="2">
        <v>20230244000008</v>
      </c>
      <c r="E1499" s="2">
        <v>7417211830098</v>
      </c>
      <c r="F1499" s="1" t="s">
        <v>1936</v>
      </c>
      <c r="G1499" s="1" t="s">
        <v>53</v>
      </c>
      <c r="H1499" s="1" t="s">
        <v>2579</v>
      </c>
      <c r="I1499" s="1" t="s">
        <v>2580</v>
      </c>
      <c r="J1499" s="1" t="s">
        <v>56</v>
      </c>
      <c r="K1499" t="s">
        <v>1939</v>
      </c>
      <c r="M1499" s="1" t="s">
        <v>58</v>
      </c>
      <c r="N1499" s="1">
        <v>0</v>
      </c>
      <c r="O1499" s="1" t="s">
        <v>105</v>
      </c>
      <c r="P1499" s="186">
        <v>44979.633125</v>
      </c>
      <c r="R1499" s="1">
        <v>14</v>
      </c>
      <c r="T1499" s="1" t="s">
        <v>238</v>
      </c>
      <c r="U1499" s="186">
        <v>44979.633125</v>
      </c>
      <c r="V1499" s="1" t="s">
        <v>41</v>
      </c>
      <c r="W1499" s="1" t="s">
        <v>49</v>
      </c>
    </row>
    <row r="1500" spans="1:23" hidden="1">
      <c r="A1500" s="1">
        <v>9501569</v>
      </c>
      <c r="B1500" s="1" t="s">
        <v>1153</v>
      </c>
      <c r="C1500" t="s">
        <v>3870</v>
      </c>
      <c r="D1500" s="2">
        <v>20231689000010</v>
      </c>
      <c r="E1500" s="2">
        <v>7419141892184</v>
      </c>
      <c r="F1500" s="1" t="s">
        <v>128</v>
      </c>
      <c r="G1500" s="1" t="s">
        <v>53</v>
      </c>
      <c r="H1500" s="1" t="s">
        <v>2131</v>
      </c>
      <c r="I1500" s="1" t="s">
        <v>2132</v>
      </c>
      <c r="J1500" s="1" t="s">
        <v>79</v>
      </c>
      <c r="K1500" t="s">
        <v>129</v>
      </c>
      <c r="M1500" s="1" t="s">
        <v>58</v>
      </c>
      <c r="N1500" s="1">
        <v>0</v>
      </c>
      <c r="O1500" s="1" t="s">
        <v>36</v>
      </c>
      <c r="P1500" s="186">
        <v>44979.619814814818</v>
      </c>
      <c r="R1500" s="1">
        <v>13</v>
      </c>
      <c r="T1500" s="1" t="s">
        <v>238</v>
      </c>
      <c r="U1500" s="186">
        <v>44979.619814814818</v>
      </c>
      <c r="V1500" s="1" t="s">
        <v>41</v>
      </c>
      <c r="W1500" s="1" t="s">
        <v>49</v>
      </c>
    </row>
    <row r="1501" spans="1:23" hidden="1">
      <c r="A1501" s="1">
        <v>9501468</v>
      </c>
      <c r="B1501" s="1" t="s">
        <v>1153</v>
      </c>
      <c r="C1501" t="s">
        <v>3873</v>
      </c>
      <c r="D1501" s="2">
        <v>20234844000529</v>
      </c>
      <c r="E1501" s="2">
        <v>7417183020649</v>
      </c>
      <c r="F1501" s="1" t="s">
        <v>1313</v>
      </c>
      <c r="G1501" s="1" t="s">
        <v>53</v>
      </c>
      <c r="H1501" s="1" t="s">
        <v>2821</v>
      </c>
      <c r="I1501" s="1" t="s">
        <v>2822</v>
      </c>
      <c r="J1501" s="1" t="s">
        <v>46</v>
      </c>
      <c r="K1501" t="s">
        <v>1316</v>
      </c>
      <c r="M1501" s="1" t="s">
        <v>58</v>
      </c>
      <c r="N1501" s="1">
        <v>0</v>
      </c>
      <c r="O1501" s="1" t="s">
        <v>36</v>
      </c>
      <c r="P1501" s="186">
        <v>44979.597060185188</v>
      </c>
      <c r="R1501" s="1">
        <v>13</v>
      </c>
      <c r="T1501" s="1" t="s">
        <v>238</v>
      </c>
      <c r="U1501" s="186">
        <v>44979.597060185188</v>
      </c>
      <c r="V1501" s="1" t="s">
        <v>41</v>
      </c>
      <c r="W1501" s="1" t="s">
        <v>49</v>
      </c>
    </row>
    <row r="1502" spans="1:23" hidden="1">
      <c r="A1502" s="1">
        <v>9501466</v>
      </c>
      <c r="B1502" s="1" t="s">
        <v>1153</v>
      </c>
      <c r="C1502" t="s">
        <v>3875</v>
      </c>
      <c r="D1502" s="2">
        <v>20234844000528</v>
      </c>
      <c r="E1502" s="2">
        <v>7419141892255</v>
      </c>
      <c r="F1502" s="1" t="s">
        <v>128</v>
      </c>
      <c r="G1502" s="1" t="s">
        <v>53</v>
      </c>
      <c r="H1502" s="1" t="s">
        <v>2059</v>
      </c>
      <c r="I1502" s="1" t="s">
        <v>2060</v>
      </c>
      <c r="J1502" s="1" t="s">
        <v>46</v>
      </c>
      <c r="K1502" t="s">
        <v>129</v>
      </c>
      <c r="M1502" s="1" t="s">
        <v>58</v>
      </c>
      <c r="N1502" s="1">
        <v>0</v>
      </c>
      <c r="O1502" s="1" t="s">
        <v>36</v>
      </c>
      <c r="P1502" s="186">
        <v>44979.591550925928</v>
      </c>
      <c r="R1502" s="1">
        <v>13</v>
      </c>
      <c r="T1502" s="1" t="s">
        <v>238</v>
      </c>
      <c r="U1502" s="186">
        <v>44979.591550925928</v>
      </c>
      <c r="V1502" s="1" t="s">
        <v>41</v>
      </c>
      <c r="W1502" s="1" t="s">
        <v>49</v>
      </c>
    </row>
    <row r="1503" spans="1:23" hidden="1">
      <c r="A1503" s="1">
        <v>9501453</v>
      </c>
      <c r="B1503" s="1" t="s">
        <v>62</v>
      </c>
      <c r="C1503" t="s">
        <v>3877</v>
      </c>
      <c r="E1503" s="2">
        <v>3699000203000</v>
      </c>
      <c r="F1503" s="1" t="s">
        <v>454</v>
      </c>
      <c r="G1503" s="1" t="s">
        <v>53</v>
      </c>
      <c r="H1503" s="1" t="s">
        <v>343</v>
      </c>
      <c r="I1503" s="1" t="s">
        <v>344</v>
      </c>
      <c r="J1503" s="1" t="s">
        <v>46</v>
      </c>
      <c r="K1503" t="s">
        <v>457</v>
      </c>
      <c r="M1503" s="1" t="s">
        <v>58</v>
      </c>
      <c r="N1503" s="1">
        <v>0</v>
      </c>
      <c r="O1503" s="1" t="s">
        <v>105</v>
      </c>
      <c r="P1503" s="186">
        <v>44979.70239583333</v>
      </c>
      <c r="R1503" s="1">
        <v>1</v>
      </c>
      <c r="T1503" s="1" t="s">
        <v>157</v>
      </c>
      <c r="U1503" s="186">
        <v>45013.75</v>
      </c>
      <c r="V1503" s="1" t="s">
        <v>41</v>
      </c>
      <c r="W1503" s="1" t="s">
        <v>49</v>
      </c>
    </row>
    <row r="1504" spans="1:23" hidden="1">
      <c r="A1504" s="1">
        <v>9501339</v>
      </c>
      <c r="B1504" s="1" t="s">
        <v>1153</v>
      </c>
      <c r="C1504" t="s">
        <v>3883</v>
      </c>
      <c r="D1504" s="2">
        <v>230031285</v>
      </c>
      <c r="E1504" s="2">
        <v>3504001400020</v>
      </c>
      <c r="F1504" s="1" t="s">
        <v>1961</v>
      </c>
      <c r="G1504" s="1" t="s">
        <v>53</v>
      </c>
      <c r="H1504" s="1" t="s">
        <v>585</v>
      </c>
      <c r="I1504" s="1" t="s">
        <v>586</v>
      </c>
      <c r="J1504" s="1" t="s">
        <v>46</v>
      </c>
      <c r="K1504" t="s">
        <v>1962</v>
      </c>
      <c r="M1504" s="1" t="s">
        <v>58</v>
      </c>
      <c r="N1504" s="1">
        <v>0</v>
      </c>
      <c r="O1504" s="1" t="s">
        <v>36</v>
      </c>
      <c r="P1504" s="186">
        <v>44979.668773148151</v>
      </c>
      <c r="R1504" s="1">
        <v>4</v>
      </c>
      <c r="T1504" s="1" t="s">
        <v>646</v>
      </c>
      <c r="U1504" s="186">
        <v>44986.645833333336</v>
      </c>
      <c r="V1504" s="1" t="s">
        <v>41</v>
      </c>
      <c r="W1504" s="1" t="s">
        <v>49</v>
      </c>
    </row>
    <row r="1505" spans="1:23" hidden="1">
      <c r="A1505" s="1">
        <v>9501254</v>
      </c>
      <c r="B1505" s="1" t="s">
        <v>1153</v>
      </c>
      <c r="C1505" t="s">
        <v>3892</v>
      </c>
      <c r="D1505" s="2">
        <v>230031056</v>
      </c>
      <c r="E1505" s="2">
        <v>2081001400020</v>
      </c>
      <c r="F1505" s="1" t="s">
        <v>1961</v>
      </c>
      <c r="G1505" s="1" t="s">
        <v>53</v>
      </c>
      <c r="H1505" s="1" t="s">
        <v>590</v>
      </c>
      <c r="I1505" s="1" t="s">
        <v>591</v>
      </c>
      <c r="J1505" s="1" t="s">
        <v>261</v>
      </c>
      <c r="K1505" t="s">
        <v>1962</v>
      </c>
      <c r="M1505" s="1" t="s">
        <v>58</v>
      </c>
      <c r="N1505" s="1">
        <v>0</v>
      </c>
      <c r="O1505" s="1" t="s">
        <v>36</v>
      </c>
      <c r="P1505" s="186">
        <v>44979.653634259259</v>
      </c>
      <c r="R1505" s="1">
        <v>4</v>
      </c>
      <c r="T1505" s="1" t="s">
        <v>646</v>
      </c>
      <c r="U1505" s="186">
        <v>44985.729166666664</v>
      </c>
      <c r="V1505" s="1" t="s">
        <v>41</v>
      </c>
      <c r="W1505" s="1" t="s">
        <v>49</v>
      </c>
    </row>
    <row r="1506" spans="1:23" hidden="1">
      <c r="A1506" s="1">
        <v>9501237</v>
      </c>
      <c r="B1506" s="1" t="s">
        <v>1153</v>
      </c>
      <c r="C1506" t="s">
        <v>3895</v>
      </c>
      <c r="D1506" s="2">
        <v>230031107</v>
      </c>
      <c r="E1506" s="2">
        <v>233001400020</v>
      </c>
      <c r="F1506" s="1" t="s">
        <v>1961</v>
      </c>
      <c r="G1506" s="1" t="s">
        <v>53</v>
      </c>
      <c r="H1506" s="1" t="s">
        <v>424</v>
      </c>
      <c r="I1506" s="1" t="s">
        <v>425</v>
      </c>
      <c r="J1506" s="1" t="s">
        <v>261</v>
      </c>
      <c r="K1506" t="s">
        <v>1962</v>
      </c>
      <c r="M1506" s="1" t="s">
        <v>58</v>
      </c>
      <c r="N1506" s="1">
        <v>0</v>
      </c>
      <c r="O1506" s="1" t="s">
        <v>36</v>
      </c>
      <c r="P1506" s="186">
        <v>44979.651574074072</v>
      </c>
      <c r="R1506" s="1">
        <v>4</v>
      </c>
      <c r="T1506" s="1" t="s">
        <v>646</v>
      </c>
      <c r="U1506" s="186">
        <v>44985.729166666664</v>
      </c>
      <c r="V1506" s="1" t="s">
        <v>41</v>
      </c>
      <c r="W1506" s="1" t="s">
        <v>49</v>
      </c>
    </row>
    <row r="1507" spans="1:23" hidden="1">
      <c r="A1507" s="1">
        <v>9500750</v>
      </c>
      <c r="B1507" s="1" t="s">
        <v>1153</v>
      </c>
      <c r="C1507" t="s">
        <v>3907</v>
      </c>
      <c r="D1507" s="2">
        <v>20234844000522</v>
      </c>
      <c r="E1507" s="2">
        <v>7419141892253</v>
      </c>
      <c r="F1507" s="1" t="s">
        <v>128</v>
      </c>
      <c r="G1507" s="1" t="s">
        <v>53</v>
      </c>
      <c r="H1507" s="1" t="s">
        <v>2059</v>
      </c>
      <c r="I1507" s="1" t="s">
        <v>2060</v>
      </c>
      <c r="J1507" s="1" t="s">
        <v>46</v>
      </c>
      <c r="K1507" t="s">
        <v>129</v>
      </c>
      <c r="M1507" s="1" t="s">
        <v>58</v>
      </c>
      <c r="N1507" s="1">
        <v>0</v>
      </c>
      <c r="O1507" s="1" t="s">
        <v>36</v>
      </c>
      <c r="P1507" s="186">
        <v>44979.512488425928</v>
      </c>
      <c r="R1507" s="1">
        <v>13</v>
      </c>
      <c r="T1507" s="1" t="s">
        <v>238</v>
      </c>
      <c r="U1507" s="186">
        <v>44979.512488425928</v>
      </c>
      <c r="V1507" s="1" t="s">
        <v>41</v>
      </c>
      <c r="W1507" s="1" t="s">
        <v>49</v>
      </c>
    </row>
    <row r="1508" spans="1:23" hidden="1">
      <c r="A1508" s="1">
        <v>9500616</v>
      </c>
      <c r="B1508" s="1" t="s">
        <v>1153</v>
      </c>
      <c r="C1508" t="s">
        <v>3909</v>
      </c>
      <c r="D1508" s="2">
        <v>20234844000521</v>
      </c>
      <c r="E1508" s="2">
        <v>7419143322539</v>
      </c>
      <c r="F1508" s="1" t="s">
        <v>1222</v>
      </c>
      <c r="G1508" s="1" t="s">
        <v>53</v>
      </c>
      <c r="H1508" s="1" t="s">
        <v>2357</v>
      </c>
      <c r="I1508" s="1" t="s">
        <v>2358</v>
      </c>
      <c r="J1508" s="1" t="s">
        <v>46</v>
      </c>
      <c r="K1508" t="s">
        <v>1223</v>
      </c>
      <c r="M1508" s="1" t="s">
        <v>58</v>
      </c>
      <c r="N1508" s="1">
        <v>0</v>
      </c>
      <c r="O1508" s="1" t="s">
        <v>105</v>
      </c>
      <c r="P1508" s="186">
        <v>44979.500567129631</v>
      </c>
      <c r="R1508" s="1">
        <v>13</v>
      </c>
      <c r="T1508" s="1" t="s">
        <v>238</v>
      </c>
      <c r="U1508" s="186">
        <v>44979.500567129631</v>
      </c>
      <c r="V1508" s="1" t="s">
        <v>41</v>
      </c>
      <c r="W1508" s="1" t="s">
        <v>49</v>
      </c>
    </row>
    <row r="1509" spans="1:23" hidden="1">
      <c r="A1509" s="1">
        <v>9500615</v>
      </c>
      <c r="B1509" s="1" t="s">
        <v>1153</v>
      </c>
      <c r="C1509" t="s">
        <v>3911</v>
      </c>
      <c r="D1509" s="2">
        <v>20234844000520</v>
      </c>
      <c r="E1509" s="2">
        <v>7417183020656</v>
      </c>
      <c r="F1509" s="1" t="s">
        <v>1313</v>
      </c>
      <c r="G1509" s="1" t="s">
        <v>53</v>
      </c>
      <c r="H1509" s="1" t="s">
        <v>2357</v>
      </c>
      <c r="I1509" s="1" t="s">
        <v>2358</v>
      </c>
      <c r="J1509" s="1" t="s">
        <v>46</v>
      </c>
      <c r="K1509" t="s">
        <v>1316</v>
      </c>
      <c r="M1509" s="1" t="s">
        <v>58</v>
      </c>
      <c r="N1509" s="1">
        <v>0</v>
      </c>
      <c r="O1509" s="1" t="s">
        <v>105</v>
      </c>
      <c r="P1509" s="186">
        <v>44979.497581018521</v>
      </c>
      <c r="R1509" s="1">
        <v>13</v>
      </c>
      <c r="T1509" s="1" t="s">
        <v>238</v>
      </c>
      <c r="U1509" s="186">
        <v>44979.497581018521</v>
      </c>
      <c r="V1509" s="1" t="s">
        <v>41</v>
      </c>
      <c r="W1509" s="1" t="s">
        <v>49</v>
      </c>
    </row>
    <row r="1510" spans="1:23" hidden="1">
      <c r="A1510" s="1">
        <v>9500595</v>
      </c>
      <c r="B1510" s="1" t="s">
        <v>1153</v>
      </c>
      <c r="C1510" t="s">
        <v>3915</v>
      </c>
      <c r="D1510" s="2">
        <v>20231153000016</v>
      </c>
      <c r="E1510" s="2">
        <v>7417181200183</v>
      </c>
      <c r="F1510" s="1" t="s">
        <v>3916</v>
      </c>
      <c r="G1510" s="1" t="s">
        <v>53</v>
      </c>
      <c r="H1510" s="1" t="s">
        <v>1031</v>
      </c>
      <c r="I1510" s="1" t="s">
        <v>1032</v>
      </c>
      <c r="J1510" s="1" t="s">
        <v>79</v>
      </c>
      <c r="K1510" t="s">
        <v>3917</v>
      </c>
      <c r="M1510" s="1" t="s">
        <v>58</v>
      </c>
      <c r="N1510" s="1">
        <v>0</v>
      </c>
      <c r="O1510" s="1" t="s">
        <v>105</v>
      </c>
      <c r="P1510" s="186">
        <v>44979.499861111108</v>
      </c>
      <c r="R1510" s="1">
        <v>22</v>
      </c>
      <c r="T1510" s="1" t="s">
        <v>1160</v>
      </c>
      <c r="U1510" s="186">
        <v>44981.708194444444</v>
      </c>
      <c r="V1510" s="1" t="s">
        <v>41</v>
      </c>
      <c r="W1510" s="1" t="s">
        <v>49</v>
      </c>
    </row>
    <row r="1511" spans="1:23" hidden="1">
      <c r="A1511" s="1">
        <v>9500500</v>
      </c>
      <c r="B1511" s="1" t="s">
        <v>1153</v>
      </c>
      <c r="C1511" t="s">
        <v>3927</v>
      </c>
      <c r="D1511" s="2">
        <v>20234844000518</v>
      </c>
      <c r="E1511" s="2">
        <v>7417163281988</v>
      </c>
      <c r="F1511" s="1" t="s">
        <v>131</v>
      </c>
      <c r="G1511" s="1" t="s">
        <v>53</v>
      </c>
      <c r="H1511" s="1" t="s">
        <v>2444</v>
      </c>
      <c r="I1511" s="1" t="s">
        <v>2445</v>
      </c>
      <c r="J1511" s="1" t="s">
        <v>46</v>
      </c>
      <c r="K1511" t="s">
        <v>132</v>
      </c>
      <c r="M1511" s="1" t="s">
        <v>58</v>
      </c>
      <c r="N1511" s="1">
        <v>0</v>
      </c>
      <c r="O1511" s="1" t="s">
        <v>36</v>
      </c>
      <c r="P1511" s="186">
        <v>44979.483472222222</v>
      </c>
      <c r="R1511" s="1">
        <v>13</v>
      </c>
      <c r="T1511" s="1" t="s">
        <v>238</v>
      </c>
      <c r="U1511" s="186">
        <v>44979.483472222222</v>
      </c>
      <c r="V1511" s="1" t="s">
        <v>41</v>
      </c>
      <c r="W1511" s="1" t="s">
        <v>49</v>
      </c>
    </row>
    <row r="1512" spans="1:23" hidden="1">
      <c r="A1512" s="1">
        <v>9500180</v>
      </c>
      <c r="B1512" s="1" t="s">
        <v>1153</v>
      </c>
      <c r="C1512" t="s">
        <v>3934</v>
      </c>
      <c r="D1512" s="2">
        <v>20234844000512</v>
      </c>
      <c r="E1512" s="2">
        <v>7417183020666</v>
      </c>
      <c r="F1512" s="1" t="s">
        <v>1313</v>
      </c>
      <c r="G1512" s="1" t="s">
        <v>53</v>
      </c>
      <c r="H1512" s="1" t="s">
        <v>2333</v>
      </c>
      <c r="I1512" s="1" t="s">
        <v>2334</v>
      </c>
      <c r="J1512" s="1" t="s">
        <v>46</v>
      </c>
      <c r="K1512" t="s">
        <v>1316</v>
      </c>
      <c r="M1512" s="1" t="s">
        <v>58</v>
      </c>
      <c r="N1512" s="1">
        <v>0</v>
      </c>
      <c r="O1512" s="1" t="s">
        <v>105</v>
      </c>
      <c r="P1512" s="186">
        <v>44979.429166666669</v>
      </c>
      <c r="R1512" s="1">
        <v>13</v>
      </c>
      <c r="T1512" s="1" t="s">
        <v>238</v>
      </c>
      <c r="U1512" s="186">
        <v>44979.429166666669</v>
      </c>
      <c r="V1512" s="1" t="s">
        <v>41</v>
      </c>
      <c r="W1512" s="1" t="s">
        <v>49</v>
      </c>
    </row>
    <row r="1513" spans="1:23" hidden="1">
      <c r="A1513" s="1">
        <v>9499983</v>
      </c>
      <c r="B1513" s="1" t="s">
        <v>1153</v>
      </c>
      <c r="C1513" t="s">
        <v>3936</v>
      </c>
      <c r="E1513" s="2">
        <v>1012000206001</v>
      </c>
      <c r="F1513" s="1" t="s">
        <v>29</v>
      </c>
      <c r="G1513" s="1" t="s">
        <v>53</v>
      </c>
      <c r="H1513" s="1" t="s">
        <v>172</v>
      </c>
      <c r="I1513" s="1" t="s">
        <v>173</v>
      </c>
      <c r="J1513" s="1" t="s">
        <v>164</v>
      </c>
      <c r="K1513" t="s">
        <v>34</v>
      </c>
      <c r="M1513" s="1" t="s">
        <v>35</v>
      </c>
      <c r="N1513" s="1">
        <v>42318949</v>
      </c>
      <c r="O1513" s="1" t="s">
        <v>36</v>
      </c>
      <c r="P1513" s="186">
        <v>44979.364606481482</v>
      </c>
      <c r="R1513" s="1" t="s">
        <v>38</v>
      </c>
      <c r="T1513" s="1" t="s">
        <v>74</v>
      </c>
      <c r="U1513" s="186">
        <v>44986.625</v>
      </c>
      <c r="V1513" s="1" t="s">
        <v>41</v>
      </c>
      <c r="W1513" s="1" t="s">
        <v>49</v>
      </c>
    </row>
    <row r="1514" spans="1:23" hidden="1">
      <c r="A1514" s="1">
        <v>9504738</v>
      </c>
      <c r="B1514" s="1" t="s">
        <v>1153</v>
      </c>
      <c r="C1514" t="s">
        <v>4006</v>
      </c>
      <c r="E1514" s="2">
        <v>3699000203000</v>
      </c>
      <c r="F1514" s="1" t="s">
        <v>454</v>
      </c>
      <c r="G1514" s="1" t="s">
        <v>53</v>
      </c>
      <c r="H1514" s="1" t="s">
        <v>343</v>
      </c>
      <c r="I1514" s="1" t="s">
        <v>344</v>
      </c>
      <c r="J1514" s="1" t="s">
        <v>46</v>
      </c>
      <c r="K1514" t="s">
        <v>457</v>
      </c>
      <c r="M1514" s="1" t="s">
        <v>58</v>
      </c>
      <c r="N1514" s="1">
        <v>0</v>
      </c>
      <c r="O1514" s="1" t="s">
        <v>105</v>
      </c>
      <c r="P1514" s="186">
        <v>44980.747060185182</v>
      </c>
      <c r="R1514" s="1">
        <v>1</v>
      </c>
      <c r="T1514" s="1" t="s">
        <v>157</v>
      </c>
      <c r="U1514" s="186">
        <v>44981.747071759259</v>
      </c>
      <c r="V1514" s="1" t="s">
        <v>41</v>
      </c>
      <c r="W1514" s="1" t="s">
        <v>49</v>
      </c>
    </row>
    <row r="1515" spans="1:23" hidden="1">
      <c r="A1515" s="175">
        <v>9504712</v>
      </c>
      <c r="B1515" s="175" t="s">
        <v>1153</v>
      </c>
      <c r="C1515" s="176" t="s">
        <v>4007</v>
      </c>
      <c r="D1515" s="177">
        <v>20232737000013</v>
      </c>
      <c r="E1515" s="177">
        <v>7417211830607</v>
      </c>
      <c r="F1515" s="175" t="s">
        <v>1936</v>
      </c>
      <c r="G1515" s="175" t="s">
        <v>53</v>
      </c>
      <c r="H1515" s="175" t="s">
        <v>2544</v>
      </c>
      <c r="I1515" s="175" t="s">
        <v>2545</v>
      </c>
      <c r="J1515" s="175" t="s">
        <v>90</v>
      </c>
      <c r="K1515" t="s">
        <v>1939</v>
      </c>
      <c r="M1515" s="1" t="s">
        <v>58</v>
      </c>
      <c r="N1515" s="1">
        <v>0</v>
      </c>
      <c r="O1515" s="1" t="s">
        <v>105</v>
      </c>
      <c r="P1515" s="186">
        <v>44980.729675925926</v>
      </c>
      <c r="R1515" s="1">
        <v>14</v>
      </c>
      <c r="T1515" s="1" t="s">
        <v>238</v>
      </c>
      <c r="U1515" s="186">
        <v>44981.395833333336</v>
      </c>
      <c r="V1515" s="1" t="s">
        <v>41</v>
      </c>
      <c r="W1515" s="1" t="s">
        <v>49</v>
      </c>
    </row>
    <row r="1516" spans="1:23" hidden="1">
      <c r="A1516" s="1">
        <v>9504628</v>
      </c>
      <c r="B1516" s="1" t="s">
        <v>1153</v>
      </c>
      <c r="C1516" t="s">
        <v>4008</v>
      </c>
      <c r="D1516" s="2">
        <v>20234844000554</v>
      </c>
      <c r="E1516" s="2">
        <v>7417161480607</v>
      </c>
      <c r="F1516" s="1" t="s">
        <v>1979</v>
      </c>
      <c r="G1516" s="1" t="s">
        <v>53</v>
      </c>
      <c r="H1516" s="1" t="s">
        <v>2333</v>
      </c>
      <c r="I1516" s="1" t="s">
        <v>2334</v>
      </c>
      <c r="J1516" s="1" t="s">
        <v>46</v>
      </c>
      <c r="K1516" t="s">
        <v>1982</v>
      </c>
      <c r="M1516" s="1" t="s">
        <v>58</v>
      </c>
      <c r="N1516" s="1">
        <v>0</v>
      </c>
      <c r="O1516" s="1" t="s">
        <v>105</v>
      </c>
      <c r="P1516" s="186">
        <v>44980.679212962961</v>
      </c>
      <c r="R1516" s="1">
        <v>13</v>
      </c>
      <c r="T1516" s="1" t="s">
        <v>238</v>
      </c>
      <c r="U1516" s="186">
        <v>44980.679212962961</v>
      </c>
      <c r="V1516" s="1" t="s">
        <v>41</v>
      </c>
      <c r="W1516" s="1" t="s">
        <v>49</v>
      </c>
    </row>
    <row r="1517" spans="1:23" hidden="1">
      <c r="A1517" s="181">
        <v>9504341</v>
      </c>
      <c r="B1517" s="181" t="s">
        <v>1153</v>
      </c>
      <c r="C1517" s="185" t="s">
        <v>4009</v>
      </c>
      <c r="D1517" s="183">
        <v>20231764000001</v>
      </c>
      <c r="E1517" s="183">
        <v>7417183025968</v>
      </c>
      <c r="F1517" s="181" t="s">
        <v>1313</v>
      </c>
      <c r="G1517" s="181" t="s">
        <v>53</v>
      </c>
      <c r="H1517" s="181" t="s">
        <v>4010</v>
      </c>
      <c r="I1517" s="181" t="s">
        <v>4011</v>
      </c>
      <c r="J1517" s="181" t="s">
        <v>90</v>
      </c>
      <c r="K1517" t="s">
        <v>1316</v>
      </c>
      <c r="M1517" s="1" t="s">
        <v>58</v>
      </c>
      <c r="N1517" s="1">
        <v>0</v>
      </c>
      <c r="O1517" s="1" t="s">
        <v>105</v>
      </c>
      <c r="P1517" s="186">
        <v>44980.662928240738</v>
      </c>
      <c r="R1517" s="1">
        <v>14</v>
      </c>
      <c r="T1517" s="1" t="s">
        <v>238</v>
      </c>
      <c r="U1517" s="186">
        <v>44980.662928240738</v>
      </c>
      <c r="V1517" s="1" t="s">
        <v>41</v>
      </c>
      <c r="W1517" s="1" t="s">
        <v>49</v>
      </c>
    </row>
    <row r="1518" spans="1:23" hidden="1">
      <c r="A1518" s="1">
        <v>9504340</v>
      </c>
      <c r="B1518" s="1" t="s">
        <v>1153</v>
      </c>
      <c r="C1518" t="s">
        <v>4012</v>
      </c>
      <c r="D1518" s="2">
        <v>20238889000072</v>
      </c>
      <c r="E1518" s="2">
        <v>7417163280453</v>
      </c>
      <c r="F1518" s="1" t="s">
        <v>131</v>
      </c>
      <c r="G1518" s="1" t="s">
        <v>53</v>
      </c>
      <c r="H1518" s="1" t="s">
        <v>4013</v>
      </c>
      <c r="I1518" s="1" t="s">
        <v>4014</v>
      </c>
      <c r="J1518" s="1" t="s">
        <v>33</v>
      </c>
      <c r="K1518" t="s">
        <v>132</v>
      </c>
      <c r="M1518" s="1" t="s">
        <v>58</v>
      </c>
      <c r="N1518" s="1">
        <v>0</v>
      </c>
      <c r="O1518" s="1" t="s">
        <v>105</v>
      </c>
      <c r="P1518" s="186">
        <v>44980.662638888891</v>
      </c>
      <c r="R1518" s="1">
        <v>14</v>
      </c>
      <c r="T1518" s="1" t="s">
        <v>238</v>
      </c>
      <c r="U1518" s="186">
        <v>44980.662638888891</v>
      </c>
      <c r="V1518" s="1" t="s">
        <v>41</v>
      </c>
      <c r="W1518" s="1" t="s">
        <v>42</v>
      </c>
    </row>
    <row r="1519" spans="1:23" hidden="1">
      <c r="A1519" s="173">
        <v>9504291</v>
      </c>
      <c r="B1519" s="173" t="s">
        <v>1153</v>
      </c>
      <c r="C1519" s="178" t="s">
        <v>4015</v>
      </c>
      <c r="D1519" s="174"/>
      <c r="E1519" s="174">
        <v>9700000206001</v>
      </c>
      <c r="F1519" s="173" t="s">
        <v>29</v>
      </c>
      <c r="G1519" s="173" t="s">
        <v>53</v>
      </c>
      <c r="H1519" s="173" t="s">
        <v>209</v>
      </c>
      <c r="I1519" s="173" t="s">
        <v>210</v>
      </c>
      <c r="J1519" s="173" t="s">
        <v>211</v>
      </c>
      <c r="K1519" t="s">
        <v>34</v>
      </c>
      <c r="M1519" s="1" t="s">
        <v>35</v>
      </c>
      <c r="N1519" s="1">
        <v>42318949</v>
      </c>
      <c r="O1519" s="1" t="s">
        <v>36</v>
      </c>
      <c r="P1519" s="186">
        <v>44980.66369212963</v>
      </c>
      <c r="R1519" s="1" t="s">
        <v>38</v>
      </c>
      <c r="T1519" s="1" t="s">
        <v>74</v>
      </c>
      <c r="U1519" s="186">
        <v>44991.708333333336</v>
      </c>
      <c r="V1519" s="1" t="s">
        <v>41</v>
      </c>
      <c r="W1519" s="1" t="s">
        <v>49</v>
      </c>
    </row>
    <row r="1520" spans="1:23" hidden="1">
      <c r="A1520" s="1">
        <v>9504190</v>
      </c>
      <c r="B1520" s="1" t="s">
        <v>1153</v>
      </c>
      <c r="C1520" t="s">
        <v>4016</v>
      </c>
      <c r="D1520" s="2">
        <v>20231836000002</v>
      </c>
      <c r="E1520" s="2">
        <v>7417193051193</v>
      </c>
      <c r="F1520" s="1" t="s">
        <v>1719</v>
      </c>
      <c r="G1520" s="1" t="s">
        <v>53</v>
      </c>
      <c r="H1520" s="1" t="s">
        <v>455</v>
      </c>
      <c r="I1520" s="1" t="s">
        <v>456</v>
      </c>
      <c r="J1520" s="1" t="s">
        <v>46</v>
      </c>
      <c r="K1520" t="s">
        <v>1720</v>
      </c>
      <c r="M1520" s="1" t="s">
        <v>58</v>
      </c>
      <c r="N1520" s="1">
        <v>0</v>
      </c>
      <c r="O1520" s="1" t="s">
        <v>105</v>
      </c>
      <c r="P1520" s="186">
        <v>44980.623333333337</v>
      </c>
      <c r="R1520" s="1">
        <v>22</v>
      </c>
      <c r="T1520" s="1" t="s">
        <v>1160</v>
      </c>
      <c r="U1520" s="186">
        <v>44985.456666666665</v>
      </c>
      <c r="V1520" s="1" t="s">
        <v>41</v>
      </c>
      <c r="W1520" s="1" t="s">
        <v>49</v>
      </c>
    </row>
    <row r="1521" spans="1:23" hidden="1">
      <c r="A1521" s="1">
        <v>9504095</v>
      </c>
      <c r="B1521" s="1" t="s">
        <v>1153</v>
      </c>
      <c r="C1521" t="s">
        <v>3907</v>
      </c>
      <c r="D1521" s="2">
        <v>20231421000013</v>
      </c>
      <c r="E1521" s="2">
        <v>7419141894544</v>
      </c>
      <c r="F1521" s="1" t="s">
        <v>128</v>
      </c>
      <c r="G1521" s="1" t="s">
        <v>53</v>
      </c>
      <c r="H1521" s="1" t="s">
        <v>2854</v>
      </c>
      <c r="I1521" s="1" t="s">
        <v>2855</v>
      </c>
      <c r="J1521" s="1" t="s">
        <v>79</v>
      </c>
      <c r="K1521" t="s">
        <v>129</v>
      </c>
      <c r="M1521" s="1" t="s">
        <v>58</v>
      </c>
      <c r="N1521" s="1">
        <v>0</v>
      </c>
      <c r="O1521" s="1" t="s">
        <v>105</v>
      </c>
      <c r="P1521" s="186">
        <v>44980.607743055552</v>
      </c>
      <c r="R1521" s="1">
        <v>14</v>
      </c>
      <c r="T1521" s="1" t="s">
        <v>238</v>
      </c>
      <c r="U1521" s="186">
        <v>44980.607743055552</v>
      </c>
      <c r="V1521" s="1" t="s">
        <v>41</v>
      </c>
      <c r="W1521" s="1" t="s">
        <v>49</v>
      </c>
    </row>
    <row r="1522" spans="1:23" hidden="1">
      <c r="A1522" s="1">
        <v>9504053</v>
      </c>
      <c r="B1522" s="1" t="s">
        <v>1153</v>
      </c>
      <c r="C1522" t="s">
        <v>4017</v>
      </c>
      <c r="D1522" s="2">
        <v>20234844000551</v>
      </c>
      <c r="E1522" s="2">
        <v>7417183020645</v>
      </c>
      <c r="F1522" s="1" t="s">
        <v>1313</v>
      </c>
      <c r="G1522" s="1" t="s">
        <v>53</v>
      </c>
      <c r="H1522" s="1" t="s">
        <v>2883</v>
      </c>
      <c r="I1522" s="1" t="s">
        <v>2884</v>
      </c>
      <c r="J1522" s="1" t="s">
        <v>46</v>
      </c>
      <c r="K1522" t="s">
        <v>1316</v>
      </c>
      <c r="M1522" s="1" t="s">
        <v>58</v>
      </c>
      <c r="N1522" s="1">
        <v>0</v>
      </c>
      <c r="O1522" s="1" t="s">
        <v>105</v>
      </c>
      <c r="P1522" s="186">
        <v>44980.59952546296</v>
      </c>
      <c r="R1522" s="1">
        <v>13</v>
      </c>
      <c r="T1522" s="1" t="s">
        <v>238</v>
      </c>
      <c r="U1522" s="186">
        <v>44980.59952546296</v>
      </c>
      <c r="V1522" s="1" t="s">
        <v>41</v>
      </c>
      <c r="W1522" s="1" t="s">
        <v>49</v>
      </c>
    </row>
    <row r="1523" spans="1:23" hidden="1">
      <c r="A1523" s="1">
        <v>9504030</v>
      </c>
      <c r="B1523" s="1" t="s">
        <v>1153</v>
      </c>
      <c r="C1523" t="s">
        <v>4018</v>
      </c>
      <c r="D1523" s="2">
        <v>230032130</v>
      </c>
      <c r="E1523" s="2">
        <v>1814001400020</v>
      </c>
      <c r="F1523" s="1" t="s">
        <v>1961</v>
      </c>
      <c r="G1523" s="1" t="s">
        <v>53</v>
      </c>
      <c r="H1523" s="1" t="s">
        <v>396</v>
      </c>
      <c r="I1523" s="1" t="s">
        <v>397</v>
      </c>
      <c r="J1523" s="1" t="s">
        <v>46</v>
      </c>
      <c r="K1523" t="s">
        <v>1962</v>
      </c>
      <c r="M1523" s="1" t="s">
        <v>58</v>
      </c>
      <c r="N1523" s="1">
        <v>0</v>
      </c>
      <c r="O1523" s="1" t="s">
        <v>36</v>
      </c>
      <c r="P1523" s="186">
        <v>44980.605555555558</v>
      </c>
      <c r="R1523" s="1">
        <v>4</v>
      </c>
      <c r="T1523" s="1" t="s">
        <v>646</v>
      </c>
      <c r="U1523" s="186">
        <v>44986.604166666664</v>
      </c>
      <c r="V1523" s="1" t="s">
        <v>41</v>
      </c>
      <c r="W1523" s="1" t="s">
        <v>49</v>
      </c>
    </row>
    <row r="1524" spans="1:23" hidden="1">
      <c r="A1524" s="1">
        <v>9504010</v>
      </c>
      <c r="B1524" s="1" t="s">
        <v>1153</v>
      </c>
      <c r="C1524" t="s">
        <v>4019</v>
      </c>
      <c r="D1524" s="2">
        <v>20234844000550</v>
      </c>
      <c r="E1524" s="2">
        <v>7419152458464</v>
      </c>
      <c r="F1524" s="1" t="s">
        <v>2744</v>
      </c>
      <c r="G1524" s="1" t="s">
        <v>53</v>
      </c>
      <c r="H1524" s="1" t="s">
        <v>2444</v>
      </c>
      <c r="I1524" s="1" t="s">
        <v>2445</v>
      </c>
      <c r="J1524" s="1" t="s">
        <v>46</v>
      </c>
      <c r="K1524" t="s">
        <v>2745</v>
      </c>
      <c r="M1524" s="1" t="s">
        <v>58</v>
      </c>
      <c r="N1524" s="1">
        <v>0</v>
      </c>
      <c r="O1524" s="1" t="s">
        <v>36</v>
      </c>
      <c r="P1524" s="186">
        <v>44980.583703703705</v>
      </c>
      <c r="R1524" s="1">
        <v>22</v>
      </c>
      <c r="T1524" s="1" t="s">
        <v>1160</v>
      </c>
      <c r="U1524" s="186">
        <v>44985.417037037034</v>
      </c>
      <c r="V1524" s="1" t="s">
        <v>41</v>
      </c>
      <c r="W1524" s="1" t="s">
        <v>49</v>
      </c>
    </row>
    <row r="1525" spans="1:23" hidden="1">
      <c r="A1525" s="1">
        <v>9503979</v>
      </c>
      <c r="B1525" s="1" t="s">
        <v>1153</v>
      </c>
      <c r="C1525" t="s">
        <v>2366</v>
      </c>
      <c r="D1525" s="2">
        <v>20238935000001</v>
      </c>
      <c r="E1525" s="2">
        <v>7417202239393</v>
      </c>
      <c r="F1525" s="1" t="s">
        <v>2819</v>
      </c>
      <c r="G1525" s="1" t="s">
        <v>53</v>
      </c>
      <c r="H1525" s="1" t="s">
        <v>4020</v>
      </c>
      <c r="I1525" s="1" t="s">
        <v>4021</v>
      </c>
      <c r="J1525" s="1" t="s">
        <v>46</v>
      </c>
      <c r="K1525" t="s">
        <v>2820</v>
      </c>
      <c r="M1525" s="1" t="s">
        <v>58</v>
      </c>
      <c r="N1525" s="1">
        <v>0</v>
      </c>
      <c r="O1525" s="1" t="s">
        <v>36</v>
      </c>
      <c r="P1525" s="186">
        <v>44980.57471064815</v>
      </c>
      <c r="R1525" s="1">
        <v>22</v>
      </c>
      <c r="T1525" s="1" t="s">
        <v>1160</v>
      </c>
      <c r="U1525" s="186">
        <v>44985.408043981479</v>
      </c>
      <c r="V1525" s="1" t="s">
        <v>41</v>
      </c>
      <c r="W1525" s="1" t="s">
        <v>49</v>
      </c>
    </row>
    <row r="1526" spans="1:23" hidden="1">
      <c r="A1526" s="1">
        <v>9503968</v>
      </c>
      <c r="B1526" s="1" t="s">
        <v>1153</v>
      </c>
      <c r="C1526" t="s">
        <v>4022</v>
      </c>
      <c r="D1526" s="2">
        <v>20232244000013</v>
      </c>
      <c r="E1526" s="2">
        <v>7417202021003</v>
      </c>
      <c r="F1526" s="1" t="s">
        <v>1213</v>
      </c>
      <c r="G1526" s="1" t="s">
        <v>53</v>
      </c>
      <c r="H1526" s="1" t="s">
        <v>2824</v>
      </c>
      <c r="I1526" s="1" t="s">
        <v>2825</v>
      </c>
      <c r="J1526" s="1" t="s">
        <v>79</v>
      </c>
      <c r="K1526" t="s">
        <v>1214</v>
      </c>
      <c r="M1526" s="1" t="s">
        <v>58</v>
      </c>
      <c r="N1526" s="1">
        <v>0</v>
      </c>
      <c r="O1526" s="1" t="s">
        <v>105</v>
      </c>
      <c r="P1526" s="186">
        <v>44980.580520833333</v>
      </c>
      <c r="R1526" s="1">
        <v>14</v>
      </c>
      <c r="T1526" s="1" t="s">
        <v>238</v>
      </c>
      <c r="U1526" s="186">
        <v>44980.580520833333</v>
      </c>
      <c r="V1526" s="1" t="s">
        <v>41</v>
      </c>
      <c r="W1526" s="1" t="s">
        <v>49</v>
      </c>
    </row>
    <row r="1527" spans="1:23" hidden="1">
      <c r="A1527" s="1">
        <v>9503913</v>
      </c>
      <c r="B1527" s="1" t="s">
        <v>1153</v>
      </c>
      <c r="C1527" t="s">
        <v>4023</v>
      </c>
      <c r="D1527" s="2">
        <v>20232257000018</v>
      </c>
      <c r="E1527" s="2">
        <v>9600123330120</v>
      </c>
      <c r="F1527" s="1" t="s">
        <v>1997</v>
      </c>
      <c r="G1527" s="1" t="s">
        <v>53</v>
      </c>
      <c r="H1527" s="1" t="s">
        <v>381</v>
      </c>
      <c r="I1527" s="1" t="s">
        <v>382</v>
      </c>
      <c r="J1527" s="1" t="s">
        <v>110</v>
      </c>
      <c r="K1527" t="s">
        <v>2000</v>
      </c>
      <c r="M1527" s="1" t="s">
        <v>58</v>
      </c>
      <c r="N1527" s="1">
        <v>0</v>
      </c>
      <c r="O1527" s="1" t="s">
        <v>105</v>
      </c>
      <c r="P1527" s="186">
        <v>44980.559236111112</v>
      </c>
      <c r="R1527" s="1">
        <v>21</v>
      </c>
      <c r="T1527" s="1" t="s">
        <v>1160</v>
      </c>
      <c r="U1527" s="186">
        <v>44984.642569444448</v>
      </c>
      <c r="V1527" s="1" t="s">
        <v>41</v>
      </c>
      <c r="W1527" s="1" t="s">
        <v>49</v>
      </c>
    </row>
    <row r="1528" spans="1:23" hidden="1">
      <c r="A1528" s="1">
        <v>9503828</v>
      </c>
      <c r="B1528" s="1" t="s">
        <v>1153</v>
      </c>
      <c r="C1528" t="s">
        <v>4024</v>
      </c>
      <c r="D1528" s="2">
        <v>20234923000077</v>
      </c>
      <c r="E1528" s="2">
        <v>7417161480617</v>
      </c>
      <c r="F1528" s="1" t="s">
        <v>1979</v>
      </c>
      <c r="G1528" s="1" t="s">
        <v>53</v>
      </c>
      <c r="H1528" s="1" t="s">
        <v>2870</v>
      </c>
      <c r="I1528" s="1" t="s">
        <v>2871</v>
      </c>
      <c r="J1528" s="1" t="s">
        <v>46</v>
      </c>
      <c r="K1528" t="s">
        <v>1982</v>
      </c>
      <c r="M1528" s="1" t="s">
        <v>58</v>
      </c>
      <c r="N1528" s="1">
        <v>0</v>
      </c>
      <c r="O1528" s="1" t="s">
        <v>105</v>
      </c>
      <c r="P1528" s="186">
        <v>44980.537245370368</v>
      </c>
      <c r="R1528" s="1">
        <v>13</v>
      </c>
      <c r="T1528" s="1" t="s">
        <v>238</v>
      </c>
      <c r="U1528" s="186">
        <v>44980.537245370368</v>
      </c>
      <c r="V1528" s="1" t="s">
        <v>41</v>
      </c>
      <c r="W1528" s="1" t="s">
        <v>49</v>
      </c>
    </row>
    <row r="1529" spans="1:23" hidden="1">
      <c r="A1529" s="1">
        <v>9503682</v>
      </c>
      <c r="B1529" s="1" t="s">
        <v>1153</v>
      </c>
      <c r="C1529" t="s">
        <v>4025</v>
      </c>
      <c r="D1529" s="2">
        <v>20234923000076</v>
      </c>
      <c r="E1529" s="2">
        <v>7419143323427</v>
      </c>
      <c r="F1529" s="1" t="s">
        <v>1222</v>
      </c>
      <c r="G1529" s="1" t="s">
        <v>53</v>
      </c>
      <c r="H1529" s="1" t="s">
        <v>2682</v>
      </c>
      <c r="I1529" s="1" t="s">
        <v>2683</v>
      </c>
      <c r="J1529" s="1" t="s">
        <v>46</v>
      </c>
      <c r="K1529" t="s">
        <v>1223</v>
      </c>
      <c r="M1529" s="1" t="s">
        <v>58</v>
      </c>
      <c r="N1529" s="1">
        <v>0</v>
      </c>
      <c r="O1529" s="1" t="s">
        <v>105</v>
      </c>
      <c r="P1529" s="186">
        <v>44980.509918981479</v>
      </c>
      <c r="R1529" s="1">
        <v>13</v>
      </c>
      <c r="T1529" s="1" t="s">
        <v>238</v>
      </c>
      <c r="U1529" s="186">
        <v>44980.509918981479</v>
      </c>
      <c r="V1529" s="1" t="s">
        <v>41</v>
      </c>
      <c r="W1529" s="1" t="s">
        <v>49</v>
      </c>
    </row>
    <row r="1530" spans="1:23" hidden="1">
      <c r="A1530" s="1">
        <v>9503637</v>
      </c>
      <c r="B1530" s="1" t="s">
        <v>1153</v>
      </c>
      <c r="C1530" t="s">
        <v>4026</v>
      </c>
      <c r="D1530" s="2">
        <v>20234923000075</v>
      </c>
      <c r="E1530" s="2">
        <v>7417163283700</v>
      </c>
      <c r="F1530" s="1" t="s">
        <v>131</v>
      </c>
      <c r="G1530" s="1" t="s">
        <v>53</v>
      </c>
      <c r="H1530" s="1" t="s">
        <v>2685</v>
      </c>
      <c r="I1530" s="1" t="s">
        <v>2686</v>
      </c>
      <c r="J1530" s="1" t="s">
        <v>46</v>
      </c>
      <c r="K1530" t="s">
        <v>132</v>
      </c>
      <c r="M1530" s="1" t="s">
        <v>58</v>
      </c>
      <c r="N1530" s="1">
        <v>0</v>
      </c>
      <c r="O1530" s="1" t="s">
        <v>105</v>
      </c>
      <c r="P1530" s="186">
        <v>44980.500590277778</v>
      </c>
      <c r="R1530" s="1">
        <v>14</v>
      </c>
      <c r="T1530" s="1" t="s">
        <v>238</v>
      </c>
      <c r="U1530" s="186">
        <v>44980.500590277778</v>
      </c>
      <c r="V1530" s="1" t="s">
        <v>41</v>
      </c>
      <c r="W1530" s="1" t="s">
        <v>49</v>
      </c>
    </row>
    <row r="1531" spans="1:23" hidden="1">
      <c r="A1531" s="175">
        <v>9503479</v>
      </c>
      <c r="B1531" s="175" t="s">
        <v>1153</v>
      </c>
      <c r="C1531" s="176" t="s">
        <v>4027</v>
      </c>
      <c r="D1531" s="177"/>
      <c r="E1531" s="177">
        <v>2737000206001</v>
      </c>
      <c r="F1531" s="175" t="s">
        <v>29</v>
      </c>
      <c r="G1531" s="175" t="s">
        <v>53</v>
      </c>
      <c r="H1531" s="175" t="s">
        <v>311</v>
      </c>
      <c r="I1531" s="175" t="s">
        <v>312</v>
      </c>
      <c r="J1531" s="175" t="s">
        <v>90</v>
      </c>
      <c r="K1531" t="s">
        <v>34</v>
      </c>
      <c r="M1531" s="1" t="s">
        <v>35</v>
      </c>
      <c r="N1531" s="1">
        <v>42318949</v>
      </c>
      <c r="O1531" s="1" t="s">
        <v>36</v>
      </c>
      <c r="P1531" s="186">
        <v>44980.487847222219</v>
      </c>
      <c r="R1531" s="1" t="s">
        <v>38</v>
      </c>
      <c r="T1531" s="1" t="s">
        <v>74</v>
      </c>
      <c r="U1531" s="186">
        <v>44988.649305555555</v>
      </c>
      <c r="V1531" s="1" t="s">
        <v>41</v>
      </c>
      <c r="W1531" s="1" t="s">
        <v>49</v>
      </c>
    </row>
    <row r="1532" spans="1:23" hidden="1">
      <c r="A1532" s="1">
        <v>9503422</v>
      </c>
      <c r="B1532" s="1" t="s">
        <v>1153</v>
      </c>
      <c r="C1532" t="s">
        <v>4028</v>
      </c>
      <c r="E1532" s="2">
        <v>2335000203000</v>
      </c>
      <c r="F1532" s="1" t="s">
        <v>454</v>
      </c>
      <c r="G1532" s="1" t="s">
        <v>53</v>
      </c>
      <c r="H1532" s="1" t="s">
        <v>194</v>
      </c>
      <c r="I1532" s="1" t="s">
        <v>195</v>
      </c>
      <c r="J1532" s="1" t="s">
        <v>110</v>
      </c>
      <c r="K1532" t="s">
        <v>457</v>
      </c>
      <c r="M1532" s="1" t="s">
        <v>58</v>
      </c>
      <c r="N1532" s="1">
        <v>0</v>
      </c>
      <c r="O1532" s="1" t="s">
        <v>36</v>
      </c>
      <c r="P1532" s="186">
        <v>44980.476446759261</v>
      </c>
      <c r="R1532" s="1">
        <v>1</v>
      </c>
      <c r="T1532" s="1" t="s">
        <v>157</v>
      </c>
      <c r="U1532" s="186">
        <v>44981.476446759261</v>
      </c>
      <c r="V1532" s="1" t="s">
        <v>41</v>
      </c>
      <c r="W1532" s="1" t="s">
        <v>49</v>
      </c>
    </row>
    <row r="1533" spans="1:23" hidden="1">
      <c r="A1533" s="1">
        <v>9503403</v>
      </c>
      <c r="B1533" s="1" t="s">
        <v>1153</v>
      </c>
      <c r="C1533" t="s">
        <v>4029</v>
      </c>
      <c r="D1533" s="2">
        <v>20234804001872</v>
      </c>
      <c r="E1533" s="2">
        <v>7417193471540</v>
      </c>
      <c r="F1533" s="1" t="s">
        <v>2698</v>
      </c>
      <c r="G1533" s="1" t="s">
        <v>53</v>
      </c>
      <c r="H1533" s="1" t="s">
        <v>771</v>
      </c>
      <c r="I1533" s="1" t="s">
        <v>772</v>
      </c>
      <c r="J1533" s="1" t="s">
        <v>46</v>
      </c>
      <c r="K1533" t="s">
        <v>2701</v>
      </c>
      <c r="M1533" s="1" t="s">
        <v>58</v>
      </c>
      <c r="N1533" s="1">
        <v>0</v>
      </c>
      <c r="O1533" s="1" t="s">
        <v>36</v>
      </c>
      <c r="P1533" s="186">
        <v>44980.4528587963</v>
      </c>
      <c r="R1533" s="1">
        <v>13</v>
      </c>
      <c r="S1533" s="1">
        <v>4804</v>
      </c>
      <c r="T1533" s="1" t="s">
        <v>238</v>
      </c>
      <c r="U1533" s="186">
        <v>44980.4528587963</v>
      </c>
      <c r="V1533" s="1" t="s">
        <v>41</v>
      </c>
      <c r="W1533" s="1" t="s">
        <v>49</v>
      </c>
    </row>
    <row r="1534" spans="1:23" hidden="1">
      <c r="A1534" s="1">
        <v>9503387</v>
      </c>
      <c r="B1534" s="1" t="s">
        <v>1153</v>
      </c>
      <c r="C1534" t="s">
        <v>4030</v>
      </c>
      <c r="D1534" s="2">
        <v>20234844000546</v>
      </c>
      <c r="E1534" s="2">
        <v>7417183020657</v>
      </c>
      <c r="F1534" s="1" t="s">
        <v>1313</v>
      </c>
      <c r="G1534" s="1" t="s">
        <v>53</v>
      </c>
      <c r="H1534" s="1" t="s">
        <v>2357</v>
      </c>
      <c r="I1534" s="1" t="s">
        <v>2358</v>
      </c>
      <c r="J1534" s="1" t="s">
        <v>46</v>
      </c>
      <c r="K1534" t="s">
        <v>1316</v>
      </c>
      <c r="M1534" s="1" t="s">
        <v>58</v>
      </c>
      <c r="N1534" s="1">
        <v>0</v>
      </c>
      <c r="O1534" s="1" t="s">
        <v>105</v>
      </c>
      <c r="P1534" s="186">
        <v>44980.456979166665</v>
      </c>
      <c r="R1534" s="1">
        <v>13</v>
      </c>
      <c r="T1534" s="1" t="s">
        <v>238</v>
      </c>
      <c r="U1534" s="186">
        <v>44980.456979166665</v>
      </c>
      <c r="V1534" s="1" t="s">
        <v>41</v>
      </c>
      <c r="W1534" s="1" t="s">
        <v>49</v>
      </c>
    </row>
    <row r="1535" spans="1:23" hidden="1">
      <c r="A1535" s="1">
        <v>9503385</v>
      </c>
      <c r="B1535" s="1" t="s">
        <v>1153</v>
      </c>
      <c r="C1535" t="s">
        <v>4031</v>
      </c>
      <c r="D1535" s="2">
        <v>20234844000545</v>
      </c>
      <c r="E1535" s="2">
        <v>7417183022062</v>
      </c>
      <c r="F1535" s="1" t="s">
        <v>1313</v>
      </c>
      <c r="G1535" s="1" t="s">
        <v>53</v>
      </c>
      <c r="H1535" s="1" t="s">
        <v>2357</v>
      </c>
      <c r="I1535" s="1" t="s">
        <v>2358</v>
      </c>
      <c r="J1535" s="1" t="s">
        <v>46</v>
      </c>
      <c r="K1535" t="s">
        <v>1316</v>
      </c>
      <c r="M1535" s="1" t="s">
        <v>58</v>
      </c>
      <c r="N1535" s="1">
        <v>0</v>
      </c>
      <c r="O1535" s="1" t="s">
        <v>105</v>
      </c>
      <c r="P1535" s="186">
        <v>44980.456273148149</v>
      </c>
      <c r="R1535" s="1">
        <v>13</v>
      </c>
      <c r="T1535" s="1" t="s">
        <v>238</v>
      </c>
      <c r="U1535" s="186">
        <v>44980.456273148149</v>
      </c>
      <c r="V1535" s="1" t="s">
        <v>41</v>
      </c>
      <c r="W1535" s="1" t="s">
        <v>49</v>
      </c>
    </row>
    <row r="1536" spans="1:23" hidden="1">
      <c r="A1536" s="1">
        <v>9503384</v>
      </c>
      <c r="B1536" s="1" t="s">
        <v>1153</v>
      </c>
      <c r="C1536" t="s">
        <v>4032</v>
      </c>
      <c r="D1536" s="2">
        <v>20234844000544</v>
      </c>
      <c r="E1536" s="2">
        <v>7419143322060</v>
      </c>
      <c r="F1536" s="1" t="s">
        <v>1222</v>
      </c>
      <c r="G1536" s="1" t="s">
        <v>53</v>
      </c>
      <c r="H1536" s="1" t="s">
        <v>2478</v>
      </c>
      <c r="I1536" s="1" t="s">
        <v>2479</v>
      </c>
      <c r="J1536" s="1" t="s">
        <v>46</v>
      </c>
      <c r="K1536" t="s">
        <v>1223</v>
      </c>
      <c r="M1536" s="1" t="s">
        <v>58</v>
      </c>
      <c r="N1536" s="1">
        <v>0</v>
      </c>
      <c r="O1536" s="1" t="s">
        <v>105</v>
      </c>
      <c r="P1536" s="186">
        <v>44980.450370370374</v>
      </c>
      <c r="R1536" s="1">
        <v>13</v>
      </c>
      <c r="T1536" s="1" t="s">
        <v>238</v>
      </c>
      <c r="U1536" s="186">
        <v>44980.450370370374</v>
      </c>
      <c r="V1536" s="1" t="s">
        <v>41</v>
      </c>
      <c r="W1536" s="1" t="s">
        <v>49</v>
      </c>
    </row>
    <row r="1537" spans="1:23" hidden="1">
      <c r="A1537" s="1">
        <v>9503382</v>
      </c>
      <c r="B1537" s="1" t="s">
        <v>1153</v>
      </c>
      <c r="C1537" t="s">
        <v>4033</v>
      </c>
      <c r="D1537" s="2">
        <v>20234844000543</v>
      </c>
      <c r="E1537" s="2">
        <v>7417161480625</v>
      </c>
      <c r="F1537" s="1" t="s">
        <v>1979</v>
      </c>
      <c r="G1537" s="1" t="s">
        <v>53</v>
      </c>
      <c r="H1537" s="1" t="s">
        <v>2087</v>
      </c>
      <c r="I1537" s="1" t="s">
        <v>2088</v>
      </c>
      <c r="J1537" s="1" t="s">
        <v>46</v>
      </c>
      <c r="K1537" t="s">
        <v>1982</v>
      </c>
      <c r="M1537" s="1" t="s">
        <v>58</v>
      </c>
      <c r="N1537" s="1">
        <v>0</v>
      </c>
      <c r="O1537" s="1" t="s">
        <v>105</v>
      </c>
      <c r="P1537" s="186">
        <v>44980.450208333335</v>
      </c>
      <c r="R1537" s="1">
        <v>13</v>
      </c>
      <c r="T1537" s="1" t="s">
        <v>238</v>
      </c>
      <c r="U1537" s="186">
        <v>44980.450208333335</v>
      </c>
      <c r="V1537" s="1" t="s">
        <v>41</v>
      </c>
      <c r="W1537" s="1" t="s">
        <v>49</v>
      </c>
    </row>
    <row r="1538" spans="1:23" hidden="1">
      <c r="A1538" s="1">
        <v>9503381</v>
      </c>
      <c r="B1538" s="1" t="s">
        <v>1153</v>
      </c>
      <c r="C1538" t="s">
        <v>4034</v>
      </c>
      <c r="D1538" s="2">
        <v>20234844000542</v>
      </c>
      <c r="E1538" s="2">
        <v>7417163282357</v>
      </c>
      <c r="F1538" s="1" t="s">
        <v>131</v>
      </c>
      <c r="G1538" s="1" t="s">
        <v>53</v>
      </c>
      <c r="H1538" s="1" t="s">
        <v>2478</v>
      </c>
      <c r="I1538" s="1" t="s">
        <v>2479</v>
      </c>
      <c r="J1538" s="1" t="s">
        <v>46</v>
      </c>
      <c r="K1538" t="s">
        <v>132</v>
      </c>
      <c r="M1538" s="1" t="s">
        <v>58</v>
      </c>
      <c r="N1538" s="1">
        <v>0</v>
      </c>
      <c r="O1538" s="1" t="s">
        <v>105</v>
      </c>
      <c r="P1538" s="186">
        <v>44980.449548611112</v>
      </c>
      <c r="R1538" s="1">
        <v>13</v>
      </c>
      <c r="T1538" s="1" t="s">
        <v>238</v>
      </c>
      <c r="U1538" s="186">
        <v>44980.449548611112</v>
      </c>
      <c r="V1538" s="1" t="s">
        <v>41</v>
      </c>
      <c r="W1538" s="1" t="s">
        <v>49</v>
      </c>
    </row>
    <row r="1539" spans="1:23" hidden="1">
      <c r="A1539" s="1">
        <v>9503293</v>
      </c>
      <c r="B1539" s="1" t="s">
        <v>1153</v>
      </c>
      <c r="C1539" t="s">
        <v>4035</v>
      </c>
      <c r="D1539" s="2">
        <v>20234844000541</v>
      </c>
      <c r="E1539" s="2">
        <v>7417193471633</v>
      </c>
      <c r="F1539" s="1" t="s">
        <v>2698</v>
      </c>
      <c r="G1539" s="1" t="s">
        <v>53</v>
      </c>
      <c r="H1539" s="1" t="s">
        <v>4036</v>
      </c>
      <c r="I1539" s="1" t="s">
        <v>4037</v>
      </c>
      <c r="J1539" s="1" t="s">
        <v>46</v>
      </c>
      <c r="K1539" t="s">
        <v>2701</v>
      </c>
      <c r="M1539" s="1" t="s">
        <v>58</v>
      </c>
      <c r="N1539" s="1">
        <v>0</v>
      </c>
      <c r="O1539" s="1" t="s">
        <v>105</v>
      </c>
      <c r="P1539" s="186">
        <v>44980.441944444443</v>
      </c>
      <c r="R1539" s="1">
        <v>13</v>
      </c>
      <c r="T1539" s="1" t="s">
        <v>238</v>
      </c>
      <c r="U1539" s="186">
        <v>44980.441944444443</v>
      </c>
      <c r="V1539" s="1" t="s">
        <v>41</v>
      </c>
      <c r="W1539" s="1" t="s">
        <v>49</v>
      </c>
    </row>
    <row r="1540" spans="1:23" hidden="1">
      <c r="A1540" s="1">
        <v>9503280</v>
      </c>
      <c r="B1540" s="1" t="s">
        <v>1153</v>
      </c>
      <c r="C1540" t="s">
        <v>4038</v>
      </c>
      <c r="D1540" s="2">
        <v>20230232000014</v>
      </c>
      <c r="E1540" s="2">
        <v>7417183020058</v>
      </c>
      <c r="F1540" s="1" t="s">
        <v>1313</v>
      </c>
      <c r="G1540" s="1" t="s">
        <v>53</v>
      </c>
      <c r="H1540" s="1" t="s">
        <v>2730</v>
      </c>
      <c r="I1540" s="1" t="s">
        <v>2731</v>
      </c>
      <c r="J1540" s="1" t="s">
        <v>141</v>
      </c>
      <c r="K1540" t="s">
        <v>1316</v>
      </c>
      <c r="M1540" s="1" t="s">
        <v>58</v>
      </c>
      <c r="N1540" s="1">
        <v>0</v>
      </c>
      <c r="O1540" s="1" t="s">
        <v>105</v>
      </c>
      <c r="P1540" s="186">
        <v>44980.438333333332</v>
      </c>
      <c r="R1540" s="1">
        <v>14</v>
      </c>
      <c r="T1540" s="1" t="s">
        <v>238</v>
      </c>
      <c r="U1540" s="186">
        <v>44980.438333333332</v>
      </c>
      <c r="V1540" s="1" t="s">
        <v>41</v>
      </c>
      <c r="W1540" s="1" t="s">
        <v>49</v>
      </c>
    </row>
    <row r="1541" spans="1:23" hidden="1">
      <c r="A1541" s="181">
        <v>9503278</v>
      </c>
      <c r="B1541" s="181" t="s">
        <v>1153</v>
      </c>
      <c r="C1541" s="182" t="s">
        <v>4039</v>
      </c>
      <c r="D1541" s="183"/>
      <c r="E1541" s="183">
        <v>9705000206021</v>
      </c>
      <c r="F1541" s="181" t="s">
        <v>103</v>
      </c>
      <c r="G1541" s="181" t="s">
        <v>53</v>
      </c>
      <c r="H1541" s="181" t="s">
        <v>204</v>
      </c>
      <c r="I1541" s="181" t="s">
        <v>205</v>
      </c>
      <c r="J1541" s="181" t="s">
        <v>90</v>
      </c>
      <c r="K1541" t="s">
        <v>104</v>
      </c>
      <c r="M1541" s="1" t="s">
        <v>58</v>
      </c>
      <c r="N1541" s="1">
        <v>0</v>
      </c>
      <c r="O1541" s="1" t="s">
        <v>36</v>
      </c>
      <c r="P1541" s="186">
        <v>44980.456018518518</v>
      </c>
      <c r="R1541" s="1" t="s">
        <v>38</v>
      </c>
      <c r="T1541" s="1" t="s">
        <v>74</v>
      </c>
      <c r="U1541" s="186">
        <v>44991.458333333336</v>
      </c>
      <c r="V1541" s="1" t="s">
        <v>41</v>
      </c>
      <c r="W1541" s="1" t="s">
        <v>49</v>
      </c>
    </row>
    <row r="1542" spans="1:23" hidden="1">
      <c r="A1542" s="1">
        <v>9503267</v>
      </c>
      <c r="B1542" s="1" t="s">
        <v>1153</v>
      </c>
      <c r="C1542" t="s">
        <v>4040</v>
      </c>
      <c r="D1542" s="2">
        <v>20230196000013</v>
      </c>
      <c r="E1542" s="2">
        <v>7419152432339</v>
      </c>
      <c r="F1542" s="1" t="s">
        <v>2744</v>
      </c>
      <c r="G1542" s="1" t="s">
        <v>53</v>
      </c>
      <c r="H1542" s="1" t="s">
        <v>1060</v>
      </c>
      <c r="I1542" s="1" t="s">
        <v>1061</v>
      </c>
      <c r="J1542" s="1" t="s">
        <v>79</v>
      </c>
      <c r="K1542" t="s">
        <v>2745</v>
      </c>
      <c r="M1542" s="1" t="s">
        <v>58</v>
      </c>
      <c r="N1542" s="1">
        <v>0</v>
      </c>
      <c r="O1542" s="1" t="s">
        <v>105</v>
      </c>
      <c r="P1542" s="186">
        <v>44980.447581018518</v>
      </c>
      <c r="R1542" s="1">
        <v>22</v>
      </c>
      <c r="T1542" s="1" t="s">
        <v>1160</v>
      </c>
      <c r="U1542" s="186">
        <v>44984.655914351853</v>
      </c>
      <c r="V1542" s="1" t="s">
        <v>41</v>
      </c>
      <c r="W1542" s="1" t="s">
        <v>49</v>
      </c>
    </row>
    <row r="1543" spans="1:23" hidden="1">
      <c r="A1543" s="1">
        <v>9503266</v>
      </c>
      <c r="B1543" s="1" t="s">
        <v>1153</v>
      </c>
      <c r="C1543" t="s">
        <v>4041</v>
      </c>
      <c r="D1543" s="2">
        <v>20231011000005</v>
      </c>
      <c r="E1543" s="2">
        <v>7417192425878</v>
      </c>
      <c r="F1543" s="1" t="s">
        <v>1727</v>
      </c>
      <c r="G1543" s="1" t="s">
        <v>53</v>
      </c>
      <c r="H1543" s="1" t="s">
        <v>272</v>
      </c>
      <c r="I1543" s="1" t="s">
        <v>273</v>
      </c>
      <c r="J1543" s="1" t="s">
        <v>33</v>
      </c>
      <c r="K1543" t="s">
        <v>1728</v>
      </c>
      <c r="M1543" s="1" t="s">
        <v>58</v>
      </c>
      <c r="N1543" s="1">
        <v>0</v>
      </c>
      <c r="O1543" s="1" t="s">
        <v>105</v>
      </c>
      <c r="P1543" s="186">
        <v>44980.440057870372</v>
      </c>
      <c r="R1543" s="1">
        <v>22</v>
      </c>
      <c r="T1543" s="1" t="s">
        <v>1160</v>
      </c>
      <c r="U1543" s="186">
        <v>44984.6483912037</v>
      </c>
      <c r="V1543" s="1" t="s">
        <v>41</v>
      </c>
      <c r="W1543" s="1" t="s">
        <v>49</v>
      </c>
    </row>
    <row r="1544" spans="1:23" hidden="1">
      <c r="A1544" s="1">
        <v>9503264</v>
      </c>
      <c r="B1544" s="1" t="s">
        <v>1153</v>
      </c>
      <c r="C1544" t="s">
        <v>4042</v>
      </c>
      <c r="D1544" s="2">
        <v>20231359000005</v>
      </c>
      <c r="E1544" s="2">
        <v>7417172787853</v>
      </c>
      <c r="F1544" s="1" t="s">
        <v>1989</v>
      </c>
      <c r="G1544" s="1" t="s">
        <v>53</v>
      </c>
      <c r="H1544" s="1" t="s">
        <v>270</v>
      </c>
      <c r="I1544" s="1" t="s">
        <v>271</v>
      </c>
      <c r="J1544" s="1" t="s">
        <v>141</v>
      </c>
      <c r="K1544" t="s">
        <v>1990</v>
      </c>
      <c r="M1544" s="1" t="s">
        <v>58</v>
      </c>
      <c r="N1544" s="1">
        <v>0</v>
      </c>
      <c r="O1544" s="1" t="s">
        <v>105</v>
      </c>
      <c r="P1544" s="186">
        <v>44980.445856481485</v>
      </c>
      <c r="R1544" s="1">
        <v>22</v>
      </c>
      <c r="T1544" s="1" t="s">
        <v>1160</v>
      </c>
      <c r="U1544" s="186">
        <v>44984.654189814813</v>
      </c>
      <c r="V1544" s="1" t="s">
        <v>41</v>
      </c>
      <c r="W1544" s="1" t="s">
        <v>49</v>
      </c>
    </row>
    <row r="1545" spans="1:23" hidden="1">
      <c r="A1545" s="1">
        <v>9503225</v>
      </c>
      <c r="B1545" s="1" t="s">
        <v>1153</v>
      </c>
      <c r="C1545" t="s">
        <v>4043</v>
      </c>
      <c r="D1545" s="2">
        <v>230031738</v>
      </c>
      <c r="E1545" s="2">
        <v>1620001400030</v>
      </c>
      <c r="F1545" s="1" t="s">
        <v>647</v>
      </c>
      <c r="G1545" s="1" t="s">
        <v>53</v>
      </c>
      <c r="H1545" s="1" t="s">
        <v>402</v>
      </c>
      <c r="I1545" s="1" t="s">
        <v>403</v>
      </c>
      <c r="J1545" s="1" t="s">
        <v>46</v>
      </c>
      <c r="K1545" t="s">
        <v>650</v>
      </c>
      <c r="M1545" s="1" t="s">
        <v>58</v>
      </c>
      <c r="N1545" s="1">
        <v>0</v>
      </c>
      <c r="O1545" s="1" t="s">
        <v>105</v>
      </c>
      <c r="P1545" s="186">
        <v>44980.445694444446</v>
      </c>
      <c r="R1545" s="1">
        <v>4</v>
      </c>
      <c r="T1545" s="1" t="s">
        <v>646</v>
      </c>
      <c r="U1545" s="186">
        <v>44981.466527777775</v>
      </c>
      <c r="V1545" s="1" t="s">
        <v>41</v>
      </c>
      <c r="W1545" s="1" t="s">
        <v>49</v>
      </c>
    </row>
    <row r="1546" spans="1:23" hidden="1">
      <c r="A1546" s="1">
        <v>9503214</v>
      </c>
      <c r="B1546" s="1" t="s">
        <v>1153</v>
      </c>
      <c r="C1546" t="s">
        <v>4043</v>
      </c>
      <c r="D1546" s="2">
        <v>230031745</v>
      </c>
      <c r="E1546" s="2">
        <v>2039001400030</v>
      </c>
      <c r="F1546" s="1" t="s">
        <v>647</v>
      </c>
      <c r="G1546" s="1" t="s">
        <v>53</v>
      </c>
      <c r="H1546" s="1" t="s">
        <v>1943</v>
      </c>
      <c r="I1546" s="1" t="s">
        <v>1944</v>
      </c>
      <c r="J1546" s="1" t="s">
        <v>110</v>
      </c>
      <c r="K1546" t="s">
        <v>650</v>
      </c>
      <c r="M1546" s="1" t="s">
        <v>58</v>
      </c>
      <c r="N1546" s="1">
        <v>0</v>
      </c>
      <c r="O1546" s="1" t="s">
        <v>36</v>
      </c>
      <c r="P1546" s="186">
        <v>44980.445138888892</v>
      </c>
      <c r="R1546" s="1">
        <v>4</v>
      </c>
      <c r="T1546" s="1" t="s">
        <v>646</v>
      </c>
      <c r="U1546" s="186">
        <v>44981.46597222222</v>
      </c>
      <c r="V1546" s="1" t="s">
        <v>41</v>
      </c>
      <c r="W1546" s="1" t="s">
        <v>49</v>
      </c>
    </row>
    <row r="1547" spans="1:23" hidden="1">
      <c r="A1547" s="1">
        <v>9503207</v>
      </c>
      <c r="B1547" s="1" t="s">
        <v>1153</v>
      </c>
      <c r="C1547" t="s">
        <v>4044</v>
      </c>
      <c r="D1547" s="2">
        <v>20234844000540</v>
      </c>
      <c r="E1547" s="2">
        <v>7417161481978</v>
      </c>
      <c r="F1547" s="1" t="s">
        <v>1979</v>
      </c>
      <c r="G1547" s="1" t="s">
        <v>53</v>
      </c>
      <c r="H1547" s="1" t="s">
        <v>2083</v>
      </c>
      <c r="I1547" s="1" t="s">
        <v>2084</v>
      </c>
      <c r="J1547" s="1" t="s">
        <v>46</v>
      </c>
      <c r="K1547" t="s">
        <v>1982</v>
      </c>
      <c r="M1547" s="1" t="s">
        <v>58</v>
      </c>
      <c r="N1547" s="1">
        <v>0</v>
      </c>
      <c r="O1547" s="1" t="s">
        <v>105</v>
      </c>
      <c r="P1547" s="186">
        <v>44980.427766203706</v>
      </c>
      <c r="R1547" s="1">
        <v>13</v>
      </c>
      <c r="T1547" s="1" t="s">
        <v>238</v>
      </c>
      <c r="U1547" s="186">
        <v>44980.427766203706</v>
      </c>
      <c r="V1547" s="1" t="s">
        <v>41</v>
      </c>
      <c r="W1547" s="1" t="s">
        <v>49</v>
      </c>
    </row>
    <row r="1548" spans="1:23" hidden="1">
      <c r="A1548" s="1">
        <v>9503104</v>
      </c>
      <c r="B1548" s="1" t="s">
        <v>1153</v>
      </c>
      <c r="C1548" t="s">
        <v>4045</v>
      </c>
      <c r="D1548" s="2">
        <v>20231291000011</v>
      </c>
      <c r="E1548" s="2">
        <v>7417202020749</v>
      </c>
      <c r="F1548" s="1" t="s">
        <v>1213</v>
      </c>
      <c r="G1548" s="1" t="s">
        <v>53</v>
      </c>
      <c r="H1548" s="1" t="s">
        <v>3667</v>
      </c>
      <c r="I1548" s="1" t="s">
        <v>3668</v>
      </c>
      <c r="J1548" s="1" t="s">
        <v>33</v>
      </c>
      <c r="K1548" t="s">
        <v>1214</v>
      </c>
      <c r="M1548" s="1" t="s">
        <v>58</v>
      </c>
      <c r="N1548" s="1">
        <v>0</v>
      </c>
      <c r="O1548" s="1" t="s">
        <v>105</v>
      </c>
      <c r="P1548" s="186">
        <v>44980.422314814816</v>
      </c>
      <c r="R1548" s="1">
        <v>14</v>
      </c>
      <c r="T1548" s="1" t="s">
        <v>238</v>
      </c>
      <c r="U1548" s="186">
        <v>44980.422314814816</v>
      </c>
      <c r="V1548" s="1" t="s">
        <v>41</v>
      </c>
      <c r="W1548" s="1" t="s">
        <v>42</v>
      </c>
    </row>
    <row r="1549" spans="1:23" hidden="1">
      <c r="A1549" s="1">
        <v>9502971</v>
      </c>
      <c r="B1549" s="1" t="s">
        <v>1153</v>
      </c>
      <c r="C1549" t="s">
        <v>4046</v>
      </c>
      <c r="E1549" s="2">
        <v>115000203000</v>
      </c>
      <c r="F1549" s="1" t="s">
        <v>454</v>
      </c>
      <c r="G1549" s="1" t="s">
        <v>53</v>
      </c>
      <c r="H1549" s="1" t="s">
        <v>542</v>
      </c>
      <c r="I1549" s="1" t="s">
        <v>543</v>
      </c>
      <c r="J1549" s="1" t="s">
        <v>56</v>
      </c>
      <c r="K1549" t="s">
        <v>457</v>
      </c>
      <c r="M1549" s="1" t="s">
        <v>58</v>
      </c>
      <c r="N1549" s="1">
        <v>0</v>
      </c>
      <c r="O1549" s="1" t="s">
        <v>36</v>
      </c>
      <c r="P1549" s="186">
        <v>44980.413935185185</v>
      </c>
      <c r="R1549" s="1">
        <v>1</v>
      </c>
      <c r="T1549" s="1" t="s">
        <v>157</v>
      </c>
      <c r="U1549" s="186">
        <v>44981.413935185185</v>
      </c>
      <c r="V1549" s="1" t="s">
        <v>41</v>
      </c>
      <c r="W1549" s="1" t="s">
        <v>49</v>
      </c>
    </row>
    <row r="1550" spans="1:23" hidden="1">
      <c r="A1550" s="181">
        <v>9502833</v>
      </c>
      <c r="B1550" s="181" t="s">
        <v>1153</v>
      </c>
      <c r="C1550" s="182" t="s">
        <v>4047</v>
      </c>
      <c r="D1550" s="183">
        <v>20231146000004</v>
      </c>
      <c r="E1550" s="183">
        <v>7419141893047</v>
      </c>
      <c r="F1550" s="181" t="s">
        <v>128</v>
      </c>
      <c r="G1550" s="181" t="s">
        <v>53</v>
      </c>
      <c r="H1550" s="181" t="s">
        <v>3533</v>
      </c>
      <c r="I1550" s="181" t="s">
        <v>3534</v>
      </c>
      <c r="J1550" s="181" t="s">
        <v>148</v>
      </c>
      <c r="K1550" t="s">
        <v>129</v>
      </c>
      <c r="M1550" s="1" t="s">
        <v>58</v>
      </c>
      <c r="N1550" s="1">
        <v>0</v>
      </c>
      <c r="O1550" s="1" t="s">
        <v>105</v>
      </c>
      <c r="P1550" s="186">
        <v>44980.376006944447</v>
      </c>
      <c r="R1550" s="1">
        <v>15</v>
      </c>
      <c r="T1550" s="1" t="s">
        <v>238</v>
      </c>
      <c r="U1550" s="186">
        <v>44980.416666666664</v>
      </c>
      <c r="V1550" s="1" t="s">
        <v>41</v>
      </c>
      <c r="W1550" s="1" t="s">
        <v>49</v>
      </c>
    </row>
    <row r="1551" spans="1:23" hidden="1">
      <c r="A1551" s="181">
        <v>9502832</v>
      </c>
      <c r="B1551" s="181" t="s">
        <v>1153</v>
      </c>
      <c r="C1551" s="182" t="s">
        <v>4048</v>
      </c>
      <c r="D1551" s="183">
        <v>20231146000003</v>
      </c>
      <c r="E1551" s="183">
        <v>7417210950284</v>
      </c>
      <c r="F1551" s="181" t="s">
        <v>1213</v>
      </c>
      <c r="G1551" s="181" t="s">
        <v>53</v>
      </c>
      <c r="H1551" s="181" t="s">
        <v>3533</v>
      </c>
      <c r="I1551" s="181" t="s">
        <v>3534</v>
      </c>
      <c r="J1551" s="181" t="s">
        <v>148</v>
      </c>
      <c r="K1551" t="s">
        <v>1214</v>
      </c>
      <c r="M1551" s="1" t="s">
        <v>58</v>
      </c>
      <c r="N1551" s="1">
        <v>0</v>
      </c>
      <c r="O1551" s="1" t="s">
        <v>105</v>
      </c>
      <c r="P1551" s="186">
        <v>44980.373784722222</v>
      </c>
      <c r="R1551" s="1">
        <v>15</v>
      </c>
      <c r="T1551" s="1" t="s">
        <v>238</v>
      </c>
      <c r="U1551" s="186">
        <v>44980.416666666664</v>
      </c>
      <c r="V1551" s="1" t="s">
        <v>41</v>
      </c>
      <c r="W1551" s="1" t="s">
        <v>49</v>
      </c>
    </row>
    <row r="1552" spans="1:23" hidden="1">
      <c r="A1552" s="1">
        <v>9502654</v>
      </c>
      <c r="B1552" s="1" t="s">
        <v>1153</v>
      </c>
      <c r="C1552" t="s">
        <v>3955</v>
      </c>
      <c r="D1552" s="2">
        <v>20234804001850</v>
      </c>
      <c r="E1552" s="2">
        <v>7419141893217</v>
      </c>
      <c r="F1552" s="1" t="s">
        <v>128</v>
      </c>
      <c r="G1552" s="1" t="s">
        <v>53</v>
      </c>
      <c r="H1552" s="1" t="s">
        <v>3956</v>
      </c>
      <c r="I1552" s="1" t="s">
        <v>3957</v>
      </c>
      <c r="J1552" s="1" t="s">
        <v>46</v>
      </c>
      <c r="K1552" t="s">
        <v>129</v>
      </c>
      <c r="M1552" s="1" t="s">
        <v>58</v>
      </c>
      <c r="N1552" s="1">
        <v>0</v>
      </c>
      <c r="O1552" s="1" t="s">
        <v>105</v>
      </c>
      <c r="P1552" s="186">
        <v>44980.331469907411</v>
      </c>
      <c r="R1552" s="1">
        <v>12</v>
      </c>
      <c r="S1552" s="1">
        <v>4804</v>
      </c>
      <c r="T1552" s="1" t="s">
        <v>238</v>
      </c>
      <c r="U1552" s="186">
        <v>44980.333333333336</v>
      </c>
      <c r="V1552" s="1" t="s">
        <v>41</v>
      </c>
      <c r="W1552" s="1" t="s">
        <v>49</v>
      </c>
    </row>
    <row r="1553" spans="1:23" hidden="1">
      <c r="A1553" s="1">
        <v>9508174</v>
      </c>
      <c r="B1553" s="1" t="s">
        <v>1153</v>
      </c>
      <c r="C1553" t="s">
        <v>4049</v>
      </c>
      <c r="D1553" s="2">
        <v>20231836000003</v>
      </c>
      <c r="E1553" s="2">
        <v>7417193052226</v>
      </c>
      <c r="F1553" s="1" t="s">
        <v>1719</v>
      </c>
      <c r="G1553" s="1" t="s">
        <v>53</v>
      </c>
      <c r="H1553" s="1" t="s">
        <v>455</v>
      </c>
      <c r="I1553" s="1" t="s">
        <v>456</v>
      </c>
      <c r="J1553" s="1" t="s">
        <v>46</v>
      </c>
      <c r="K1553" t="s">
        <v>1720</v>
      </c>
      <c r="M1553" s="1" t="s">
        <v>58</v>
      </c>
      <c r="N1553" s="1">
        <v>0</v>
      </c>
      <c r="O1553" s="1" t="s">
        <v>105</v>
      </c>
      <c r="P1553" s="186">
        <v>44981.736342592594</v>
      </c>
      <c r="R1553" s="1">
        <v>22</v>
      </c>
      <c r="T1553" s="1" t="s">
        <v>1160</v>
      </c>
      <c r="U1553" s="186">
        <v>44986.569675925923</v>
      </c>
      <c r="V1553" s="1" t="s">
        <v>41</v>
      </c>
      <c r="W1553" s="1" t="s">
        <v>49</v>
      </c>
    </row>
    <row r="1554" spans="1:23" hidden="1">
      <c r="A1554" s="1">
        <v>9508060</v>
      </c>
      <c r="B1554" s="1" t="s">
        <v>1153</v>
      </c>
      <c r="C1554" t="s">
        <v>4050</v>
      </c>
      <c r="E1554" s="2">
        <v>1902016219600</v>
      </c>
      <c r="F1554" s="1" t="s">
        <v>64</v>
      </c>
      <c r="G1554" s="1" t="s">
        <v>53</v>
      </c>
      <c r="H1554" s="1" t="s">
        <v>1252</v>
      </c>
      <c r="I1554" s="1" t="s">
        <v>1253</v>
      </c>
      <c r="J1554" s="1" t="s">
        <v>33</v>
      </c>
      <c r="K1554" t="s">
        <v>67</v>
      </c>
      <c r="M1554" s="1" t="s">
        <v>35</v>
      </c>
      <c r="N1554" s="1">
        <v>42318949</v>
      </c>
      <c r="O1554" s="1" t="s">
        <v>105</v>
      </c>
      <c r="P1554" s="186">
        <v>44981.721400462964</v>
      </c>
      <c r="R1554" s="1" t="s">
        <v>571</v>
      </c>
      <c r="T1554" s="1" t="s">
        <v>69</v>
      </c>
      <c r="U1554" s="186">
        <v>44986.388067129628</v>
      </c>
      <c r="V1554" s="1" t="s">
        <v>41</v>
      </c>
      <c r="W1554" s="1" t="s">
        <v>42</v>
      </c>
    </row>
    <row r="1555" spans="1:23" hidden="1">
      <c r="A1555" s="173">
        <v>9507962</v>
      </c>
      <c r="B1555" s="173" t="s">
        <v>1153</v>
      </c>
      <c r="C1555" s="178" t="s">
        <v>4051</v>
      </c>
      <c r="D1555" s="174">
        <v>20234119000011</v>
      </c>
      <c r="E1555" s="174">
        <v>7419151141024</v>
      </c>
      <c r="F1555" s="173" t="s">
        <v>123</v>
      </c>
      <c r="G1555" s="173" t="s">
        <v>53</v>
      </c>
      <c r="H1555" s="173" t="s">
        <v>2053</v>
      </c>
      <c r="I1555" s="173" t="s">
        <v>2054</v>
      </c>
      <c r="J1555" s="173" t="s">
        <v>211</v>
      </c>
      <c r="K1555" t="s">
        <v>126</v>
      </c>
      <c r="M1555" s="1" t="s">
        <v>58</v>
      </c>
      <c r="N1555" s="1">
        <v>0</v>
      </c>
      <c r="O1555" s="1" t="s">
        <v>36</v>
      </c>
      <c r="P1555" s="186">
        <v>44981.691076388888</v>
      </c>
      <c r="R1555" s="1">
        <v>14</v>
      </c>
      <c r="T1555" s="1" t="s">
        <v>238</v>
      </c>
      <c r="U1555" s="186">
        <v>44981.691076388888</v>
      </c>
      <c r="V1555" s="1" t="s">
        <v>41</v>
      </c>
      <c r="W1555" s="1" t="s">
        <v>49</v>
      </c>
    </row>
    <row r="1556" spans="1:23" hidden="1">
      <c r="A1556" s="1">
        <v>9507848</v>
      </c>
      <c r="B1556" s="1" t="s">
        <v>1153</v>
      </c>
      <c r="C1556" t="s">
        <v>4052</v>
      </c>
      <c r="D1556" s="2">
        <v>20234844000569</v>
      </c>
      <c r="E1556" s="2">
        <v>7417161480619</v>
      </c>
      <c r="F1556" s="1" t="s">
        <v>1979</v>
      </c>
      <c r="G1556" s="1" t="s">
        <v>53</v>
      </c>
      <c r="H1556" s="1" t="s">
        <v>2883</v>
      </c>
      <c r="I1556" s="1" t="s">
        <v>2884</v>
      </c>
      <c r="J1556" s="1" t="s">
        <v>46</v>
      </c>
      <c r="K1556" t="s">
        <v>1982</v>
      </c>
      <c r="M1556" s="1" t="s">
        <v>58</v>
      </c>
      <c r="N1556" s="1">
        <v>0</v>
      </c>
      <c r="O1556" s="1" t="s">
        <v>105</v>
      </c>
      <c r="P1556" s="186">
        <v>44981.673506944448</v>
      </c>
      <c r="R1556" s="1">
        <v>13</v>
      </c>
      <c r="T1556" s="1" t="s">
        <v>238</v>
      </c>
      <c r="U1556" s="186">
        <v>44981.673506944448</v>
      </c>
      <c r="V1556" s="1" t="s">
        <v>41</v>
      </c>
      <c r="W1556" s="1" t="s">
        <v>49</v>
      </c>
    </row>
    <row r="1557" spans="1:23" hidden="1">
      <c r="A1557" s="1">
        <v>9507802</v>
      </c>
      <c r="B1557" s="1" t="s">
        <v>1153</v>
      </c>
      <c r="C1557" t="s">
        <v>3659</v>
      </c>
      <c r="D1557" s="2">
        <v>20234844000568</v>
      </c>
      <c r="E1557" s="2">
        <v>7417163284242</v>
      </c>
      <c r="F1557" s="1" t="s">
        <v>131</v>
      </c>
      <c r="G1557" s="1" t="s">
        <v>53</v>
      </c>
      <c r="H1557" s="1" t="s">
        <v>2992</v>
      </c>
      <c r="I1557" s="1" t="s">
        <v>2993</v>
      </c>
      <c r="J1557" s="1" t="s">
        <v>46</v>
      </c>
      <c r="K1557" t="s">
        <v>132</v>
      </c>
      <c r="M1557" s="1" t="s">
        <v>58</v>
      </c>
      <c r="N1557" s="1">
        <v>0</v>
      </c>
      <c r="O1557" s="1" t="s">
        <v>105</v>
      </c>
      <c r="P1557" s="186">
        <v>44981.657037037039</v>
      </c>
      <c r="R1557" s="1">
        <v>13</v>
      </c>
      <c r="T1557" s="1" t="s">
        <v>238</v>
      </c>
      <c r="U1557" s="186">
        <v>44981.657037037039</v>
      </c>
      <c r="V1557" s="1" t="s">
        <v>41</v>
      </c>
      <c r="W1557" s="1" t="s">
        <v>49</v>
      </c>
    </row>
    <row r="1558" spans="1:23" hidden="1">
      <c r="A1558" s="1">
        <v>9507753</v>
      </c>
      <c r="B1558" s="1" t="s">
        <v>1153</v>
      </c>
      <c r="C1558" t="s">
        <v>4053</v>
      </c>
      <c r="D1558" s="2">
        <v>20231120000007</v>
      </c>
      <c r="E1558" s="2">
        <v>7417183020600</v>
      </c>
      <c r="F1558" s="1" t="s">
        <v>1313</v>
      </c>
      <c r="G1558" s="1" t="s">
        <v>53</v>
      </c>
      <c r="H1558" s="1" t="s">
        <v>2528</v>
      </c>
      <c r="I1558" s="1" t="s">
        <v>2529</v>
      </c>
      <c r="J1558" s="1" t="s">
        <v>164</v>
      </c>
      <c r="K1558" t="s">
        <v>1316</v>
      </c>
      <c r="M1558" s="1" t="s">
        <v>58</v>
      </c>
      <c r="N1558" s="1">
        <v>0</v>
      </c>
      <c r="O1558" s="1" t="s">
        <v>105</v>
      </c>
      <c r="P1558" s="186">
        <v>44981.647662037038</v>
      </c>
      <c r="R1558" s="1">
        <v>14</v>
      </c>
      <c r="T1558" s="1" t="s">
        <v>238</v>
      </c>
      <c r="U1558" s="186">
        <v>44981.647662037038</v>
      </c>
      <c r="V1558" s="1" t="s">
        <v>41</v>
      </c>
      <c r="W1558" s="1" t="s">
        <v>49</v>
      </c>
    </row>
    <row r="1559" spans="1:23" hidden="1">
      <c r="A1559" s="1">
        <v>9507743</v>
      </c>
      <c r="B1559" s="1" t="s">
        <v>1153</v>
      </c>
      <c r="C1559" t="s">
        <v>4054</v>
      </c>
      <c r="D1559" s="2">
        <v>20234844000567</v>
      </c>
      <c r="E1559" s="2">
        <v>7417183020614</v>
      </c>
      <c r="F1559" s="1" t="s">
        <v>1313</v>
      </c>
      <c r="G1559" s="1" t="s">
        <v>53</v>
      </c>
      <c r="H1559" s="1" t="s">
        <v>2395</v>
      </c>
      <c r="I1559" s="1" t="s">
        <v>2396</v>
      </c>
      <c r="J1559" s="1" t="s">
        <v>46</v>
      </c>
      <c r="K1559" t="s">
        <v>1316</v>
      </c>
      <c r="M1559" s="1" t="s">
        <v>58</v>
      </c>
      <c r="N1559" s="1">
        <v>0</v>
      </c>
      <c r="O1559" s="1" t="s">
        <v>105</v>
      </c>
      <c r="P1559" s="186">
        <v>44981.644016203703</v>
      </c>
      <c r="R1559" s="1">
        <v>13</v>
      </c>
      <c r="T1559" s="1" t="s">
        <v>238</v>
      </c>
      <c r="U1559" s="186">
        <v>44981.644016203703</v>
      </c>
      <c r="V1559" s="1" t="s">
        <v>41</v>
      </c>
      <c r="W1559" s="1" t="s">
        <v>49</v>
      </c>
    </row>
    <row r="1560" spans="1:23" hidden="1">
      <c r="A1560" s="1">
        <v>9507670</v>
      </c>
      <c r="B1560" s="1" t="s">
        <v>62</v>
      </c>
      <c r="C1560" t="s">
        <v>4055</v>
      </c>
      <c r="E1560" s="2">
        <v>963000206001</v>
      </c>
      <c r="F1560" s="1" t="s">
        <v>29</v>
      </c>
      <c r="G1560" s="1" t="s">
        <v>53</v>
      </c>
      <c r="H1560" s="1" t="s">
        <v>531</v>
      </c>
      <c r="I1560" s="1" t="s">
        <v>532</v>
      </c>
      <c r="J1560" s="1" t="s">
        <v>33</v>
      </c>
      <c r="K1560" t="s">
        <v>34</v>
      </c>
      <c r="M1560" s="1" t="s">
        <v>35</v>
      </c>
      <c r="N1560" s="1">
        <v>42318949</v>
      </c>
      <c r="O1560" s="1" t="s">
        <v>105</v>
      </c>
      <c r="P1560" s="186">
        <v>44981.64638888889</v>
      </c>
      <c r="R1560" s="1" t="s">
        <v>38</v>
      </c>
      <c r="T1560" s="1" t="s">
        <v>74</v>
      </c>
      <c r="U1560" s="186">
        <v>45022.75</v>
      </c>
      <c r="V1560" s="1" t="s">
        <v>41</v>
      </c>
      <c r="W1560" s="1" t="s">
        <v>49</v>
      </c>
    </row>
    <row r="1561" spans="1:23" hidden="1">
      <c r="A1561" s="1">
        <v>9507669</v>
      </c>
      <c r="B1561" s="1" t="s">
        <v>1153</v>
      </c>
      <c r="C1561" t="s">
        <v>4056</v>
      </c>
      <c r="E1561" s="2">
        <v>963000206001</v>
      </c>
      <c r="F1561" s="1" t="s">
        <v>29</v>
      </c>
      <c r="G1561" s="1" t="s">
        <v>53</v>
      </c>
      <c r="H1561" s="1" t="s">
        <v>531</v>
      </c>
      <c r="I1561" s="1" t="s">
        <v>532</v>
      </c>
      <c r="J1561" s="1" t="s">
        <v>33</v>
      </c>
      <c r="K1561" t="s">
        <v>34</v>
      </c>
      <c r="M1561" s="1" t="s">
        <v>35</v>
      </c>
      <c r="N1561" s="1">
        <v>42318949</v>
      </c>
      <c r="O1561" s="1" t="s">
        <v>36</v>
      </c>
      <c r="P1561" s="186">
        <v>44981.643923611111</v>
      </c>
      <c r="R1561" s="1" t="s">
        <v>38</v>
      </c>
      <c r="T1561" s="1" t="s">
        <v>74</v>
      </c>
      <c r="U1561" s="186">
        <v>44984.643923611111</v>
      </c>
      <c r="V1561" s="1" t="s">
        <v>41</v>
      </c>
      <c r="W1561" s="1" t="s">
        <v>49</v>
      </c>
    </row>
    <row r="1562" spans="1:23" hidden="1">
      <c r="A1562" s="173">
        <v>9507655</v>
      </c>
      <c r="B1562" s="173" t="s">
        <v>1153</v>
      </c>
      <c r="C1562" s="178" t="s">
        <v>4057</v>
      </c>
      <c r="D1562" s="174">
        <v>20231059000019</v>
      </c>
      <c r="E1562" s="174">
        <v>7417161482599</v>
      </c>
      <c r="F1562" s="173" t="s">
        <v>1217</v>
      </c>
      <c r="G1562" s="173" t="s">
        <v>53</v>
      </c>
      <c r="H1562" s="173" t="s">
        <v>1972</v>
      </c>
      <c r="I1562" s="173" t="s">
        <v>1973</v>
      </c>
      <c r="J1562" s="173" t="s">
        <v>90</v>
      </c>
      <c r="K1562" t="s">
        <v>1218</v>
      </c>
      <c r="M1562" s="1" t="s">
        <v>58</v>
      </c>
      <c r="N1562" s="1">
        <v>0</v>
      </c>
      <c r="O1562" s="1" t="s">
        <v>105</v>
      </c>
      <c r="P1562" s="186">
        <v>44981.627314814818</v>
      </c>
      <c r="R1562" s="1">
        <v>14</v>
      </c>
      <c r="T1562" s="1" t="s">
        <v>238</v>
      </c>
      <c r="U1562" s="186">
        <v>44981.627314814818</v>
      </c>
      <c r="V1562" s="1" t="s">
        <v>41</v>
      </c>
      <c r="W1562" s="1" t="s">
        <v>49</v>
      </c>
    </row>
    <row r="1563" spans="1:23" hidden="1">
      <c r="A1563" s="181">
        <v>9507650</v>
      </c>
      <c r="B1563" s="181" t="s">
        <v>1153</v>
      </c>
      <c r="C1563" s="185" t="s">
        <v>4058</v>
      </c>
      <c r="D1563" s="183">
        <v>20231059000020</v>
      </c>
      <c r="E1563" s="183">
        <v>7419152172708</v>
      </c>
      <c r="F1563" s="181" t="s">
        <v>52</v>
      </c>
      <c r="G1563" s="181" t="s">
        <v>53</v>
      </c>
      <c r="H1563" s="181" t="s">
        <v>1972</v>
      </c>
      <c r="I1563" s="181" t="s">
        <v>1973</v>
      </c>
      <c r="J1563" s="181" t="s">
        <v>90</v>
      </c>
      <c r="K1563" t="s">
        <v>57</v>
      </c>
      <c r="M1563" s="1" t="s">
        <v>58</v>
      </c>
      <c r="N1563" s="1">
        <v>0</v>
      </c>
      <c r="O1563" s="1" t="s">
        <v>105</v>
      </c>
      <c r="P1563" s="186">
        <v>44981.629074074073</v>
      </c>
      <c r="R1563" s="1">
        <v>8</v>
      </c>
      <c r="T1563" s="1" t="s">
        <v>238</v>
      </c>
      <c r="U1563" s="186">
        <v>44982.639641203707</v>
      </c>
      <c r="V1563" s="1" t="s">
        <v>41</v>
      </c>
      <c r="W1563" s="1" t="s">
        <v>49</v>
      </c>
    </row>
    <row r="1564" spans="1:23" hidden="1">
      <c r="A1564" s="1">
        <v>9507602</v>
      </c>
      <c r="B1564" s="1" t="s">
        <v>1153</v>
      </c>
      <c r="C1564" t="s">
        <v>4059</v>
      </c>
      <c r="D1564" s="2">
        <v>20238935000003</v>
      </c>
      <c r="E1564" s="2">
        <v>7417191553969</v>
      </c>
      <c r="F1564" s="1" t="s">
        <v>2819</v>
      </c>
      <c r="G1564" s="1" t="s">
        <v>53</v>
      </c>
      <c r="H1564" s="1" t="s">
        <v>4020</v>
      </c>
      <c r="I1564" s="1" t="s">
        <v>4021</v>
      </c>
      <c r="J1564" s="1" t="s">
        <v>46</v>
      </c>
      <c r="K1564" t="s">
        <v>2820</v>
      </c>
      <c r="M1564" s="1" t="s">
        <v>58</v>
      </c>
      <c r="N1564" s="1">
        <v>0</v>
      </c>
      <c r="O1564" s="1" t="s">
        <v>105</v>
      </c>
      <c r="P1564" s="186">
        <v>44981.616261574076</v>
      </c>
      <c r="R1564" s="1">
        <v>22</v>
      </c>
      <c r="T1564" s="1" t="s">
        <v>1160</v>
      </c>
      <c r="U1564" s="186">
        <v>44986.449594907404</v>
      </c>
      <c r="V1564" s="1" t="s">
        <v>41</v>
      </c>
      <c r="W1564" s="1" t="s">
        <v>49</v>
      </c>
    </row>
    <row r="1565" spans="1:23" hidden="1">
      <c r="A1565" s="1">
        <v>9507584</v>
      </c>
      <c r="B1565" s="1" t="s">
        <v>1153</v>
      </c>
      <c r="C1565" t="s">
        <v>4060</v>
      </c>
      <c r="E1565" s="2">
        <v>5749000203010</v>
      </c>
      <c r="F1565" s="1" t="s">
        <v>152</v>
      </c>
      <c r="G1565" s="1" t="s">
        <v>53</v>
      </c>
      <c r="H1565" s="1" t="s">
        <v>1811</v>
      </c>
      <c r="I1565" s="1" t="s">
        <v>1812</v>
      </c>
      <c r="J1565" s="1" t="s">
        <v>33</v>
      </c>
      <c r="K1565" t="s">
        <v>155</v>
      </c>
      <c r="M1565" s="1" t="s">
        <v>35</v>
      </c>
      <c r="N1565" s="1">
        <v>42318949</v>
      </c>
      <c r="O1565" s="1" t="s">
        <v>105</v>
      </c>
      <c r="P1565" s="186">
        <v>44981.632233796299</v>
      </c>
      <c r="R1565" s="1">
        <v>1</v>
      </c>
      <c r="T1565" s="1" t="s">
        <v>157</v>
      </c>
      <c r="U1565" s="186">
        <v>44982.632233796299</v>
      </c>
      <c r="V1565" s="1" t="s">
        <v>41</v>
      </c>
      <c r="W1565" s="1" t="s">
        <v>42</v>
      </c>
    </row>
    <row r="1566" spans="1:23" hidden="1">
      <c r="A1566" s="1">
        <v>9507578</v>
      </c>
      <c r="B1566" s="1" t="s">
        <v>81</v>
      </c>
      <c r="C1566" t="s">
        <v>1210</v>
      </c>
      <c r="E1566" s="2">
        <v>7417172142605</v>
      </c>
      <c r="F1566" s="1" t="s">
        <v>4061</v>
      </c>
      <c r="G1566" s="1" t="s">
        <v>53</v>
      </c>
      <c r="H1566" s="1" t="s">
        <v>4062</v>
      </c>
      <c r="I1566" s="1" t="s">
        <v>4063</v>
      </c>
      <c r="J1566" s="1" t="s">
        <v>46</v>
      </c>
      <c r="K1566" t="s">
        <v>4064</v>
      </c>
      <c r="M1566" s="1" t="s">
        <v>58</v>
      </c>
      <c r="N1566" s="1">
        <v>0</v>
      </c>
      <c r="O1566" s="1" t="s">
        <v>105</v>
      </c>
      <c r="P1566" s="186">
        <v>44981.628344907411</v>
      </c>
      <c r="R1566" s="1">
        <v>11</v>
      </c>
      <c r="T1566" s="1" t="s">
        <v>238</v>
      </c>
      <c r="U1566" s="186">
        <v>44982.62976851852</v>
      </c>
      <c r="V1566" s="1" t="s">
        <v>41</v>
      </c>
      <c r="W1566" s="1" t="s">
        <v>49</v>
      </c>
    </row>
    <row r="1567" spans="1:23" hidden="1">
      <c r="A1567" s="1">
        <v>9507408</v>
      </c>
      <c r="B1567" s="1" t="s">
        <v>1153</v>
      </c>
      <c r="C1567" t="s">
        <v>4065</v>
      </c>
      <c r="D1567" s="2">
        <v>20232326000011</v>
      </c>
      <c r="E1567" s="2">
        <v>7417183020154</v>
      </c>
      <c r="F1567" s="1" t="s">
        <v>1313</v>
      </c>
      <c r="G1567" s="1" t="s">
        <v>53</v>
      </c>
      <c r="H1567" s="1" t="s">
        <v>3236</v>
      </c>
      <c r="I1567" s="1" t="s">
        <v>3237</v>
      </c>
      <c r="J1567" s="1" t="s">
        <v>46</v>
      </c>
      <c r="K1567" t="s">
        <v>1316</v>
      </c>
      <c r="M1567" s="1" t="s">
        <v>58</v>
      </c>
      <c r="N1567" s="1">
        <v>0</v>
      </c>
      <c r="O1567" s="1" t="s">
        <v>105</v>
      </c>
      <c r="P1567" s="186">
        <v>44981.583611111113</v>
      </c>
      <c r="R1567" s="1">
        <v>13</v>
      </c>
      <c r="T1567" s="1" t="s">
        <v>238</v>
      </c>
      <c r="U1567" s="186">
        <v>44981.583611111113</v>
      </c>
      <c r="V1567" s="1" t="s">
        <v>41</v>
      </c>
      <c r="W1567" s="1" t="s">
        <v>49</v>
      </c>
    </row>
    <row r="1568" spans="1:23" hidden="1">
      <c r="A1568" s="1">
        <v>9507332</v>
      </c>
      <c r="B1568" s="1" t="s">
        <v>1153</v>
      </c>
      <c r="C1568" t="s">
        <v>4059</v>
      </c>
      <c r="D1568" s="2">
        <v>20238935000002</v>
      </c>
      <c r="E1568" s="2">
        <v>7419152401379</v>
      </c>
      <c r="F1568" s="1" t="s">
        <v>2533</v>
      </c>
      <c r="G1568" s="1" t="s">
        <v>53</v>
      </c>
      <c r="H1568" s="1" t="s">
        <v>4020</v>
      </c>
      <c r="I1568" s="1" t="s">
        <v>4021</v>
      </c>
      <c r="J1568" s="1" t="s">
        <v>46</v>
      </c>
      <c r="K1568" t="s">
        <v>2536</v>
      </c>
      <c r="M1568" s="1" t="s">
        <v>58</v>
      </c>
      <c r="N1568" s="1">
        <v>0</v>
      </c>
      <c r="O1568" s="1" t="s">
        <v>105</v>
      </c>
      <c r="P1568" s="186">
        <v>44981.564606481479</v>
      </c>
      <c r="R1568" s="1">
        <v>22</v>
      </c>
      <c r="T1568" s="1" t="s">
        <v>1160</v>
      </c>
      <c r="U1568" s="186">
        <v>44986.397939814815</v>
      </c>
      <c r="V1568" s="1" t="s">
        <v>41</v>
      </c>
      <c r="W1568" s="1" t="s">
        <v>49</v>
      </c>
    </row>
    <row r="1569" spans="1:23" hidden="1">
      <c r="A1569" s="1">
        <v>9507327</v>
      </c>
      <c r="B1569" s="1" t="s">
        <v>1153</v>
      </c>
      <c r="C1569" t="s">
        <v>4066</v>
      </c>
      <c r="D1569" s="2">
        <v>20234844000566</v>
      </c>
      <c r="E1569" s="2">
        <v>7417211830683</v>
      </c>
      <c r="F1569" s="1" t="s">
        <v>1936</v>
      </c>
      <c r="G1569" s="1" t="s">
        <v>53</v>
      </c>
      <c r="H1569" s="1" t="s">
        <v>3946</v>
      </c>
      <c r="I1569" s="1" t="s">
        <v>3947</v>
      </c>
      <c r="J1569" s="1" t="s">
        <v>46</v>
      </c>
      <c r="K1569" t="s">
        <v>1939</v>
      </c>
      <c r="M1569" s="1" t="s">
        <v>58</v>
      </c>
      <c r="N1569" s="1">
        <v>0</v>
      </c>
      <c r="O1569" s="1" t="s">
        <v>105</v>
      </c>
      <c r="P1569" s="186">
        <v>44981.555787037039</v>
      </c>
      <c r="R1569" s="1">
        <v>13</v>
      </c>
      <c r="T1569" s="1" t="s">
        <v>238</v>
      </c>
      <c r="U1569" s="186">
        <v>44981.555787037039</v>
      </c>
      <c r="V1569" s="1" t="s">
        <v>41</v>
      </c>
      <c r="W1569" s="1" t="s">
        <v>49</v>
      </c>
    </row>
    <row r="1570" spans="1:23" hidden="1">
      <c r="A1570" s="1">
        <v>9507326</v>
      </c>
      <c r="B1570" s="1" t="s">
        <v>1153</v>
      </c>
      <c r="C1570" t="s">
        <v>4067</v>
      </c>
      <c r="D1570" s="2">
        <v>20234844000565</v>
      </c>
      <c r="E1570" s="2">
        <v>7417183022041</v>
      </c>
      <c r="F1570" s="1" t="s">
        <v>1313</v>
      </c>
      <c r="G1570" s="1" t="s">
        <v>53</v>
      </c>
      <c r="H1570" s="1" t="s">
        <v>3946</v>
      </c>
      <c r="I1570" s="1" t="s">
        <v>3947</v>
      </c>
      <c r="J1570" s="1" t="s">
        <v>46</v>
      </c>
      <c r="K1570" t="s">
        <v>1316</v>
      </c>
      <c r="M1570" s="1" t="s">
        <v>58</v>
      </c>
      <c r="N1570" s="1">
        <v>0</v>
      </c>
      <c r="O1570" s="1" t="s">
        <v>105</v>
      </c>
      <c r="P1570" s="186">
        <v>44981.554988425924</v>
      </c>
      <c r="R1570" s="1">
        <v>13</v>
      </c>
      <c r="T1570" s="1" t="s">
        <v>238</v>
      </c>
      <c r="U1570" s="186">
        <v>44981.554988425924</v>
      </c>
      <c r="V1570" s="1" t="s">
        <v>41</v>
      </c>
      <c r="W1570" s="1" t="s">
        <v>49</v>
      </c>
    </row>
    <row r="1571" spans="1:23" hidden="1">
      <c r="A1571" s="1">
        <v>9507287</v>
      </c>
      <c r="B1571" s="1" t="s">
        <v>1153</v>
      </c>
      <c r="C1571" t="s">
        <v>4068</v>
      </c>
      <c r="D1571" s="2">
        <v>20234924000071</v>
      </c>
      <c r="E1571" s="2">
        <v>7417161483342</v>
      </c>
      <c r="F1571" s="1" t="s">
        <v>1217</v>
      </c>
      <c r="G1571" s="1" t="s">
        <v>53</v>
      </c>
      <c r="H1571" s="1" t="s">
        <v>3328</v>
      </c>
      <c r="I1571" s="1" t="s">
        <v>3329</v>
      </c>
      <c r="J1571" s="1" t="s">
        <v>79</v>
      </c>
      <c r="K1571" t="s">
        <v>1218</v>
      </c>
      <c r="M1571" s="1" t="s">
        <v>58</v>
      </c>
      <c r="N1571" s="1">
        <v>0</v>
      </c>
      <c r="O1571" s="1" t="s">
        <v>105</v>
      </c>
      <c r="P1571" s="186">
        <v>44981.544525462959</v>
      </c>
      <c r="R1571" s="1">
        <v>14</v>
      </c>
      <c r="T1571" s="1" t="s">
        <v>238</v>
      </c>
      <c r="U1571" s="186">
        <v>44981.544525462959</v>
      </c>
      <c r="V1571" s="1" t="s">
        <v>41</v>
      </c>
      <c r="W1571" s="1" t="s">
        <v>49</v>
      </c>
    </row>
    <row r="1572" spans="1:23" hidden="1">
      <c r="A1572" s="1">
        <v>9507217</v>
      </c>
      <c r="B1572" s="1" t="s">
        <v>1153</v>
      </c>
      <c r="C1572" t="s">
        <v>4069</v>
      </c>
      <c r="D1572" s="2">
        <v>20231710000012</v>
      </c>
      <c r="E1572" s="2">
        <v>7417163285218</v>
      </c>
      <c r="F1572" s="1" t="s">
        <v>131</v>
      </c>
      <c r="G1572" s="1" t="s">
        <v>53</v>
      </c>
      <c r="H1572" s="1" t="s">
        <v>2343</v>
      </c>
      <c r="I1572" s="1" t="s">
        <v>2344</v>
      </c>
      <c r="J1572" s="1" t="s">
        <v>261</v>
      </c>
      <c r="K1572" t="s">
        <v>132</v>
      </c>
      <c r="M1572" s="1" t="s">
        <v>58</v>
      </c>
      <c r="N1572" s="1">
        <v>0</v>
      </c>
      <c r="O1572" s="1" t="s">
        <v>105</v>
      </c>
      <c r="P1572" s="186">
        <v>44981.539606481485</v>
      </c>
      <c r="R1572" s="1">
        <v>14</v>
      </c>
      <c r="T1572" s="1" t="s">
        <v>238</v>
      </c>
      <c r="U1572" s="186">
        <v>44981.539606481485</v>
      </c>
      <c r="V1572" s="1" t="s">
        <v>41</v>
      </c>
      <c r="W1572" s="1" t="s">
        <v>49</v>
      </c>
    </row>
    <row r="1573" spans="1:23" hidden="1">
      <c r="A1573" s="1">
        <v>9507208</v>
      </c>
      <c r="B1573" s="1" t="s">
        <v>1153</v>
      </c>
      <c r="C1573" t="s">
        <v>4070</v>
      </c>
      <c r="D1573" s="2">
        <v>20234844000564</v>
      </c>
      <c r="E1573" s="2">
        <v>7419143322419</v>
      </c>
      <c r="F1573" s="1" t="s">
        <v>1222</v>
      </c>
      <c r="G1573" s="1" t="s">
        <v>53</v>
      </c>
      <c r="H1573" s="1" t="s">
        <v>2632</v>
      </c>
      <c r="I1573" s="1" t="s">
        <v>2633</v>
      </c>
      <c r="J1573" s="1" t="s">
        <v>46</v>
      </c>
      <c r="K1573" t="s">
        <v>1223</v>
      </c>
      <c r="M1573" s="1" t="s">
        <v>58</v>
      </c>
      <c r="N1573" s="1">
        <v>0</v>
      </c>
      <c r="O1573" s="1" t="s">
        <v>105</v>
      </c>
      <c r="P1573" s="186">
        <v>44981.539710648147</v>
      </c>
      <c r="R1573" s="1">
        <v>13</v>
      </c>
      <c r="T1573" s="1" t="s">
        <v>238</v>
      </c>
      <c r="U1573" s="186">
        <v>44981.539710648147</v>
      </c>
      <c r="V1573" s="1" t="s">
        <v>41</v>
      </c>
      <c r="W1573" s="1" t="s">
        <v>49</v>
      </c>
    </row>
    <row r="1574" spans="1:23" hidden="1">
      <c r="A1574" s="1">
        <v>9507107</v>
      </c>
      <c r="B1574" s="1" t="s">
        <v>1153</v>
      </c>
      <c r="C1574" t="s">
        <v>4071</v>
      </c>
      <c r="D1574" s="2">
        <v>20234844000563</v>
      </c>
      <c r="E1574" s="2">
        <v>7417161481403</v>
      </c>
      <c r="F1574" s="1" t="s">
        <v>1979</v>
      </c>
      <c r="G1574" s="1" t="s">
        <v>53</v>
      </c>
      <c r="H1574" s="1" t="s">
        <v>4072</v>
      </c>
      <c r="I1574" s="1" t="s">
        <v>4073</v>
      </c>
      <c r="J1574" s="1" t="s">
        <v>46</v>
      </c>
      <c r="K1574" t="s">
        <v>1982</v>
      </c>
      <c r="M1574" s="1" t="s">
        <v>58</v>
      </c>
      <c r="N1574" s="1">
        <v>0</v>
      </c>
      <c r="O1574" s="1" t="s">
        <v>105</v>
      </c>
      <c r="P1574" s="186">
        <v>44981.520543981482</v>
      </c>
      <c r="R1574" s="1">
        <v>13</v>
      </c>
      <c r="T1574" s="1" t="s">
        <v>238</v>
      </c>
      <c r="U1574" s="186">
        <v>44981.520543981482</v>
      </c>
      <c r="V1574" s="1" t="s">
        <v>41</v>
      </c>
      <c r="W1574" s="1" t="s">
        <v>49</v>
      </c>
    </row>
    <row r="1575" spans="1:23" hidden="1">
      <c r="A1575" s="1">
        <v>9506993</v>
      </c>
      <c r="B1575" s="1" t="s">
        <v>1153</v>
      </c>
      <c r="C1575" t="s">
        <v>4074</v>
      </c>
      <c r="D1575" s="2">
        <v>20234844000562</v>
      </c>
      <c r="E1575" s="2">
        <v>7421162080268</v>
      </c>
      <c r="F1575" s="1" t="s">
        <v>2792</v>
      </c>
      <c r="G1575" s="1" t="s">
        <v>53</v>
      </c>
      <c r="H1575" s="1" t="s">
        <v>731</v>
      </c>
      <c r="I1575" s="1" t="s">
        <v>732</v>
      </c>
      <c r="J1575" s="1" t="s">
        <v>46</v>
      </c>
      <c r="K1575" t="s">
        <v>2793</v>
      </c>
      <c r="M1575" s="1" t="s">
        <v>58</v>
      </c>
      <c r="N1575" s="1">
        <v>0</v>
      </c>
      <c r="O1575" s="1" t="s">
        <v>105</v>
      </c>
      <c r="P1575" s="186">
        <v>44981.497314814813</v>
      </c>
      <c r="R1575" s="1">
        <v>22</v>
      </c>
      <c r="T1575" s="1" t="s">
        <v>1160</v>
      </c>
      <c r="U1575" s="186">
        <v>44985.705648148149</v>
      </c>
      <c r="V1575" s="1" t="s">
        <v>41</v>
      </c>
      <c r="W1575" s="1" t="s">
        <v>49</v>
      </c>
    </row>
    <row r="1576" spans="1:23" hidden="1">
      <c r="A1576" s="1">
        <v>9506898</v>
      </c>
      <c r="B1576" s="1" t="s">
        <v>1153</v>
      </c>
      <c r="C1576" t="s">
        <v>4075</v>
      </c>
      <c r="D1576" s="2">
        <v>20234924000070</v>
      </c>
      <c r="E1576" s="2">
        <v>7417183024946</v>
      </c>
      <c r="F1576" s="1" t="s">
        <v>1313</v>
      </c>
      <c r="G1576" s="1" t="s">
        <v>53</v>
      </c>
      <c r="H1576" s="1" t="s">
        <v>1748</v>
      </c>
      <c r="I1576" s="1" t="s">
        <v>1749</v>
      </c>
      <c r="J1576" s="1" t="s">
        <v>79</v>
      </c>
      <c r="K1576" t="s">
        <v>1316</v>
      </c>
      <c r="M1576" s="1" t="s">
        <v>58</v>
      </c>
      <c r="N1576" s="1">
        <v>0</v>
      </c>
      <c r="O1576" s="1" t="s">
        <v>105</v>
      </c>
      <c r="P1576" s="186">
        <v>44981.467037037037</v>
      </c>
      <c r="R1576" s="1">
        <v>14</v>
      </c>
      <c r="T1576" s="1" t="s">
        <v>238</v>
      </c>
      <c r="U1576" s="186">
        <v>44981.467037037037</v>
      </c>
      <c r="V1576" s="1" t="s">
        <v>41</v>
      </c>
      <c r="W1576" s="1" t="s">
        <v>49</v>
      </c>
    </row>
    <row r="1577" spans="1:23" hidden="1">
      <c r="A1577" s="1">
        <v>9506863</v>
      </c>
      <c r="B1577" s="1" t="s">
        <v>1153</v>
      </c>
      <c r="C1577" t="s">
        <v>4076</v>
      </c>
      <c r="D1577" s="2">
        <v>20230067000025</v>
      </c>
      <c r="E1577" s="2">
        <v>7419141892111</v>
      </c>
      <c r="F1577" s="1" t="s">
        <v>128</v>
      </c>
      <c r="G1577" s="1" t="s">
        <v>53</v>
      </c>
      <c r="H1577" s="1" t="s">
        <v>2091</v>
      </c>
      <c r="I1577" s="1" t="s">
        <v>2092</v>
      </c>
      <c r="J1577" s="1" t="s">
        <v>164</v>
      </c>
      <c r="K1577" t="s">
        <v>129</v>
      </c>
      <c r="M1577" s="1" t="s">
        <v>58</v>
      </c>
      <c r="N1577" s="1">
        <v>0</v>
      </c>
      <c r="O1577" s="1" t="s">
        <v>105</v>
      </c>
      <c r="P1577" s="186">
        <v>44981.469467592593</v>
      </c>
      <c r="R1577" s="1">
        <v>14</v>
      </c>
      <c r="T1577" s="1" t="s">
        <v>238</v>
      </c>
      <c r="U1577" s="186">
        <v>44981.469467592593</v>
      </c>
      <c r="V1577" s="1" t="s">
        <v>41</v>
      </c>
      <c r="W1577" s="1" t="s">
        <v>49</v>
      </c>
    </row>
    <row r="1578" spans="1:23" hidden="1">
      <c r="A1578" s="1">
        <v>9506810</v>
      </c>
      <c r="B1578" s="1" t="s">
        <v>1153</v>
      </c>
      <c r="C1578" t="s">
        <v>4077</v>
      </c>
      <c r="E1578" s="2">
        <v>233000206001</v>
      </c>
      <c r="F1578" s="1" t="s">
        <v>29</v>
      </c>
      <c r="G1578" s="1" t="s">
        <v>53</v>
      </c>
      <c r="H1578" s="1" t="s">
        <v>424</v>
      </c>
      <c r="I1578" s="1" t="s">
        <v>425</v>
      </c>
      <c r="J1578" s="1" t="s">
        <v>261</v>
      </c>
      <c r="K1578" t="s">
        <v>34</v>
      </c>
      <c r="M1578" s="1" t="s">
        <v>35</v>
      </c>
      <c r="N1578" s="1">
        <v>42318949</v>
      </c>
      <c r="O1578" s="1" t="s">
        <v>36</v>
      </c>
      <c r="P1578" s="186">
        <v>44981.470914351848</v>
      </c>
      <c r="R1578" s="1" t="s">
        <v>38</v>
      </c>
      <c r="T1578" s="1" t="s">
        <v>74</v>
      </c>
      <c r="U1578" s="186">
        <v>44984.470914351848</v>
      </c>
      <c r="V1578" s="1" t="s">
        <v>41</v>
      </c>
      <c r="W1578" s="1" t="s">
        <v>49</v>
      </c>
    </row>
    <row r="1579" spans="1:23" hidden="1">
      <c r="A1579" s="1">
        <v>9506776</v>
      </c>
      <c r="B1579" s="1" t="s">
        <v>1153</v>
      </c>
      <c r="C1579" t="s">
        <v>4078</v>
      </c>
      <c r="E1579" s="2">
        <v>9406000206001</v>
      </c>
      <c r="F1579" s="1" t="s">
        <v>29</v>
      </c>
      <c r="G1579" s="1" t="s">
        <v>53</v>
      </c>
      <c r="H1579" s="1" t="s">
        <v>114</v>
      </c>
      <c r="I1579" s="1" t="s">
        <v>115</v>
      </c>
      <c r="J1579" s="1" t="s">
        <v>46</v>
      </c>
      <c r="K1579" t="s">
        <v>34</v>
      </c>
      <c r="M1579" s="1" t="s">
        <v>35</v>
      </c>
      <c r="N1579" s="1">
        <v>42318949</v>
      </c>
      <c r="O1579" s="1" t="s">
        <v>36</v>
      </c>
      <c r="P1579" s="186">
        <v>44981.464872685188</v>
      </c>
      <c r="R1579" s="1" t="s">
        <v>38</v>
      </c>
      <c r="T1579" s="1" t="s">
        <v>74</v>
      </c>
      <c r="U1579" s="186">
        <v>44984.464872685188</v>
      </c>
      <c r="V1579" s="1" t="s">
        <v>41</v>
      </c>
      <c r="W1579" s="1" t="s">
        <v>49</v>
      </c>
    </row>
    <row r="1580" spans="1:23" hidden="1">
      <c r="A1580" s="1">
        <v>9506643</v>
      </c>
      <c r="B1580" s="1" t="s">
        <v>1153</v>
      </c>
      <c r="C1580" t="s">
        <v>4079</v>
      </c>
      <c r="D1580" s="2">
        <v>20234844000558</v>
      </c>
      <c r="E1580" s="2">
        <v>7417172779293</v>
      </c>
      <c r="F1580" s="1" t="s">
        <v>1989</v>
      </c>
      <c r="G1580" s="1" t="s">
        <v>53</v>
      </c>
      <c r="H1580" s="1" t="s">
        <v>65</v>
      </c>
      <c r="I1580" s="1" t="s">
        <v>66</v>
      </c>
      <c r="J1580" s="1" t="s">
        <v>46</v>
      </c>
      <c r="K1580" t="s">
        <v>1990</v>
      </c>
      <c r="M1580" s="1" t="s">
        <v>58</v>
      </c>
      <c r="N1580" s="1">
        <v>0</v>
      </c>
      <c r="O1580" s="1" t="s">
        <v>105</v>
      </c>
      <c r="P1580" s="186">
        <v>44981.426458333335</v>
      </c>
      <c r="R1580" s="1">
        <v>22</v>
      </c>
      <c r="T1580" s="1" t="s">
        <v>1160</v>
      </c>
      <c r="U1580" s="186">
        <v>44985.634791666664</v>
      </c>
      <c r="V1580" s="1" t="s">
        <v>41</v>
      </c>
      <c r="W1580" s="1" t="s">
        <v>49</v>
      </c>
    </row>
    <row r="1581" spans="1:23" hidden="1">
      <c r="A1581" s="1">
        <v>9506497</v>
      </c>
      <c r="B1581" s="1" t="s">
        <v>1153</v>
      </c>
      <c r="C1581" t="s">
        <v>4080</v>
      </c>
      <c r="D1581" s="2">
        <v>20231838000006</v>
      </c>
      <c r="E1581" s="2">
        <v>7417172790809</v>
      </c>
      <c r="F1581" s="1" t="s">
        <v>1989</v>
      </c>
      <c r="G1581" s="1" t="s">
        <v>53</v>
      </c>
      <c r="H1581" s="1" t="s">
        <v>357</v>
      </c>
      <c r="I1581" s="1" t="s">
        <v>358</v>
      </c>
      <c r="J1581" s="1" t="s">
        <v>46</v>
      </c>
      <c r="K1581" t="s">
        <v>1990</v>
      </c>
      <c r="M1581" s="1" t="s">
        <v>58</v>
      </c>
      <c r="N1581" s="1">
        <v>0</v>
      </c>
      <c r="O1581" s="1" t="s">
        <v>105</v>
      </c>
      <c r="P1581" s="186">
        <v>44981.41097222222</v>
      </c>
      <c r="R1581" s="1">
        <v>22</v>
      </c>
      <c r="T1581" s="1" t="s">
        <v>1160</v>
      </c>
      <c r="U1581" s="186">
        <v>44985.619305555556</v>
      </c>
      <c r="V1581" s="1" t="s">
        <v>41</v>
      </c>
      <c r="W1581" s="1" t="s">
        <v>49</v>
      </c>
    </row>
    <row r="1582" spans="1:23" hidden="1">
      <c r="A1582" s="1">
        <v>9506488</v>
      </c>
      <c r="B1582" s="1" t="s">
        <v>1153</v>
      </c>
      <c r="C1582" t="s">
        <v>4081</v>
      </c>
      <c r="D1582" s="2">
        <v>20231792000010</v>
      </c>
      <c r="E1582" s="2">
        <v>7417183020630</v>
      </c>
      <c r="F1582" s="1" t="s">
        <v>1313</v>
      </c>
      <c r="G1582" s="1" t="s">
        <v>53</v>
      </c>
      <c r="H1582" s="1" t="s">
        <v>2478</v>
      </c>
      <c r="I1582" s="1" t="s">
        <v>2479</v>
      </c>
      <c r="J1582" s="1" t="s">
        <v>46</v>
      </c>
      <c r="K1582" t="s">
        <v>1316</v>
      </c>
      <c r="M1582" s="1" t="s">
        <v>58</v>
      </c>
      <c r="N1582" s="1">
        <v>0</v>
      </c>
      <c r="O1582" s="1" t="s">
        <v>105</v>
      </c>
      <c r="P1582" s="186">
        <v>44981.4062962963</v>
      </c>
      <c r="R1582" s="1">
        <v>15</v>
      </c>
      <c r="T1582" s="1" t="s">
        <v>238</v>
      </c>
      <c r="U1582" s="186">
        <v>44981.416666666664</v>
      </c>
      <c r="V1582" s="1" t="s">
        <v>41</v>
      </c>
      <c r="W1582" s="1" t="s">
        <v>49</v>
      </c>
    </row>
    <row r="1583" spans="1:23" hidden="1">
      <c r="A1583" s="1">
        <v>9506464</v>
      </c>
      <c r="B1583" s="1" t="s">
        <v>1153</v>
      </c>
      <c r="C1583" t="s">
        <v>4082</v>
      </c>
      <c r="D1583" s="2">
        <v>20234923000079</v>
      </c>
      <c r="E1583" s="2">
        <v>7417183020100</v>
      </c>
      <c r="F1583" s="1" t="s">
        <v>1313</v>
      </c>
      <c r="G1583" s="1" t="s">
        <v>53</v>
      </c>
      <c r="H1583" s="1" t="s">
        <v>1966</v>
      </c>
      <c r="I1583" s="1" t="s">
        <v>1967</v>
      </c>
      <c r="J1583" s="1" t="s">
        <v>46</v>
      </c>
      <c r="K1583" t="s">
        <v>1316</v>
      </c>
      <c r="M1583" s="1" t="s">
        <v>58</v>
      </c>
      <c r="N1583" s="1">
        <v>0</v>
      </c>
      <c r="O1583" s="1" t="s">
        <v>105</v>
      </c>
      <c r="P1583" s="186">
        <v>44981.399826388886</v>
      </c>
      <c r="R1583" s="1">
        <v>13</v>
      </c>
      <c r="T1583" s="1" t="s">
        <v>238</v>
      </c>
      <c r="U1583" s="186">
        <v>44981.399826388886</v>
      </c>
      <c r="V1583" s="1" t="s">
        <v>41</v>
      </c>
      <c r="W1583" s="1" t="s">
        <v>49</v>
      </c>
    </row>
    <row r="1584" spans="1:23" hidden="1">
      <c r="A1584" s="1">
        <v>9506463</v>
      </c>
      <c r="B1584" s="1" t="s">
        <v>1153</v>
      </c>
      <c r="C1584" t="s">
        <v>4083</v>
      </c>
      <c r="D1584" s="2">
        <v>20234923000078</v>
      </c>
      <c r="E1584" s="2">
        <v>7417183020098</v>
      </c>
      <c r="F1584" s="1" t="s">
        <v>1313</v>
      </c>
      <c r="G1584" s="1" t="s">
        <v>53</v>
      </c>
      <c r="H1584" s="1" t="s">
        <v>1966</v>
      </c>
      <c r="I1584" s="1" t="s">
        <v>1967</v>
      </c>
      <c r="J1584" s="1" t="s">
        <v>46</v>
      </c>
      <c r="K1584" t="s">
        <v>1316</v>
      </c>
      <c r="M1584" s="1" t="s">
        <v>58</v>
      </c>
      <c r="N1584" s="1">
        <v>0</v>
      </c>
      <c r="O1584" s="1" t="s">
        <v>105</v>
      </c>
      <c r="P1584" s="186">
        <v>44981.398726851854</v>
      </c>
      <c r="R1584" s="1">
        <v>13</v>
      </c>
      <c r="T1584" s="1" t="s">
        <v>238</v>
      </c>
      <c r="U1584" s="186">
        <v>44981.398726851854</v>
      </c>
      <c r="V1584" s="1" t="s">
        <v>41</v>
      </c>
      <c r="W1584" s="1" t="s">
        <v>49</v>
      </c>
    </row>
    <row r="1585" spans="1:23" hidden="1">
      <c r="A1585" s="1">
        <v>9506461</v>
      </c>
      <c r="B1585" s="1" t="s">
        <v>1153</v>
      </c>
      <c r="C1585" t="s">
        <v>4084</v>
      </c>
      <c r="E1585" s="2">
        <v>673000206001</v>
      </c>
      <c r="F1585" s="1" t="s">
        <v>29</v>
      </c>
      <c r="G1585" s="1" t="s">
        <v>53</v>
      </c>
      <c r="H1585" s="1" t="s">
        <v>581</v>
      </c>
      <c r="I1585" s="1" t="s">
        <v>582</v>
      </c>
      <c r="J1585" s="1" t="s">
        <v>110</v>
      </c>
      <c r="K1585" t="s">
        <v>34</v>
      </c>
      <c r="M1585" s="1" t="s">
        <v>35</v>
      </c>
      <c r="N1585" s="1">
        <v>42318949</v>
      </c>
      <c r="O1585" s="1" t="s">
        <v>36</v>
      </c>
      <c r="P1585" s="186">
        <v>44981.413356481484</v>
      </c>
      <c r="R1585" s="1" t="s">
        <v>38</v>
      </c>
      <c r="T1585" s="1" t="s">
        <v>74</v>
      </c>
      <c r="U1585" s="186">
        <v>44984.413356481484</v>
      </c>
      <c r="V1585" s="1" t="s">
        <v>41</v>
      </c>
      <c r="W1585" s="1" t="s">
        <v>49</v>
      </c>
    </row>
    <row r="1586" spans="1:23" hidden="1">
      <c r="A1586" s="1">
        <v>9506454</v>
      </c>
      <c r="B1586" s="1" t="s">
        <v>1153</v>
      </c>
      <c r="C1586" t="s">
        <v>4085</v>
      </c>
      <c r="E1586" s="2">
        <v>3108000206001</v>
      </c>
      <c r="F1586" s="1" t="s">
        <v>29</v>
      </c>
      <c r="G1586" s="1" t="s">
        <v>53</v>
      </c>
      <c r="H1586" s="1" t="s">
        <v>325</v>
      </c>
      <c r="I1586" s="1" t="s">
        <v>326</v>
      </c>
      <c r="J1586" s="1" t="s">
        <v>46</v>
      </c>
      <c r="K1586" t="s">
        <v>34</v>
      </c>
      <c r="M1586" s="1" t="s">
        <v>35</v>
      </c>
      <c r="N1586" s="1">
        <v>42318949</v>
      </c>
      <c r="O1586" s="1" t="s">
        <v>36</v>
      </c>
      <c r="P1586" s="186">
        <v>44981.413206018522</v>
      </c>
      <c r="R1586" s="1" t="s">
        <v>38</v>
      </c>
      <c r="T1586" s="1" t="s">
        <v>74</v>
      </c>
      <c r="U1586" s="186">
        <v>44984.413206018522</v>
      </c>
      <c r="V1586" s="1" t="s">
        <v>41</v>
      </c>
      <c r="W1586" s="1" t="s">
        <v>49</v>
      </c>
    </row>
    <row r="1587" spans="1:23" hidden="1">
      <c r="A1587" s="1">
        <v>9506401</v>
      </c>
      <c r="B1587" s="1" t="s">
        <v>1153</v>
      </c>
      <c r="C1587" t="s">
        <v>4086</v>
      </c>
      <c r="E1587" s="2">
        <v>159000206001</v>
      </c>
      <c r="F1587" s="1" t="s">
        <v>29</v>
      </c>
      <c r="G1587" s="1" t="s">
        <v>53</v>
      </c>
      <c r="H1587" s="1" t="s">
        <v>331</v>
      </c>
      <c r="I1587" s="1" t="s">
        <v>332</v>
      </c>
      <c r="J1587" s="1" t="s">
        <v>79</v>
      </c>
      <c r="K1587" t="s">
        <v>34</v>
      </c>
      <c r="M1587" s="1" t="s">
        <v>35</v>
      </c>
      <c r="N1587" s="1">
        <v>42318949</v>
      </c>
      <c r="O1587" s="1" t="s">
        <v>36</v>
      </c>
      <c r="P1587" s="186">
        <v>44981.403101851851</v>
      </c>
      <c r="R1587" s="1" t="s">
        <v>38</v>
      </c>
      <c r="T1587" s="1" t="s">
        <v>74</v>
      </c>
      <c r="U1587" s="186">
        <v>44984.403101851851</v>
      </c>
      <c r="V1587" s="1" t="s">
        <v>41</v>
      </c>
      <c r="W1587" s="1" t="s">
        <v>49</v>
      </c>
    </row>
    <row r="1588" spans="1:23" hidden="1">
      <c r="A1588" s="1">
        <v>9506360</v>
      </c>
      <c r="B1588" s="1" t="s">
        <v>1153</v>
      </c>
      <c r="C1588" t="s">
        <v>4087</v>
      </c>
      <c r="D1588" s="2">
        <v>20234844000557</v>
      </c>
      <c r="E1588" s="2">
        <v>7417202734264</v>
      </c>
      <c r="F1588" s="1" t="s">
        <v>1727</v>
      </c>
      <c r="G1588" s="1" t="s">
        <v>53</v>
      </c>
      <c r="H1588" s="1" t="s">
        <v>626</v>
      </c>
      <c r="I1588" s="1" t="s">
        <v>627</v>
      </c>
      <c r="J1588" s="1" t="s">
        <v>46</v>
      </c>
      <c r="K1588" t="s">
        <v>1728</v>
      </c>
      <c r="M1588" s="1" t="s">
        <v>58</v>
      </c>
      <c r="N1588" s="1">
        <v>0</v>
      </c>
      <c r="O1588" s="1" t="s">
        <v>105</v>
      </c>
      <c r="P1588" s="186">
        <v>44981.383402777778</v>
      </c>
      <c r="R1588" s="1">
        <v>22</v>
      </c>
      <c r="T1588" s="1" t="s">
        <v>1160</v>
      </c>
      <c r="U1588" s="186">
        <v>44985.591736111113</v>
      </c>
      <c r="V1588" s="1" t="s">
        <v>41</v>
      </c>
      <c r="W1588" s="1" t="s">
        <v>49</v>
      </c>
    </row>
    <row r="1589" spans="1:23" hidden="1">
      <c r="A1589" s="1">
        <v>9506359</v>
      </c>
      <c r="B1589" s="1" t="s">
        <v>1153</v>
      </c>
      <c r="C1589" t="s">
        <v>2806</v>
      </c>
      <c r="D1589" s="2">
        <v>20234844000556</v>
      </c>
      <c r="E1589" s="2">
        <v>7417183020641</v>
      </c>
      <c r="F1589" s="1" t="s">
        <v>1313</v>
      </c>
      <c r="G1589" s="1" t="s">
        <v>53</v>
      </c>
      <c r="H1589" s="1" t="s">
        <v>2444</v>
      </c>
      <c r="I1589" s="1" t="s">
        <v>2445</v>
      </c>
      <c r="J1589" s="1" t="s">
        <v>46</v>
      </c>
      <c r="K1589" t="s">
        <v>1316</v>
      </c>
      <c r="M1589" s="1" t="s">
        <v>58</v>
      </c>
      <c r="N1589" s="1">
        <v>0</v>
      </c>
      <c r="O1589" s="1" t="s">
        <v>36</v>
      </c>
      <c r="P1589" s="186">
        <v>44981.381643518522</v>
      </c>
      <c r="R1589" s="1">
        <v>13</v>
      </c>
      <c r="T1589" s="1" t="s">
        <v>238</v>
      </c>
      <c r="U1589" s="186">
        <v>44981.395833333336</v>
      </c>
      <c r="V1589" s="1" t="s">
        <v>41</v>
      </c>
      <c r="W1589" s="1" t="s">
        <v>49</v>
      </c>
    </row>
    <row r="1590" spans="1:23" hidden="1">
      <c r="A1590" s="1">
        <v>9506334</v>
      </c>
      <c r="B1590" s="1" t="s">
        <v>1153</v>
      </c>
      <c r="C1590" t="s">
        <v>4088</v>
      </c>
      <c r="D1590" s="2">
        <v>20230834000008</v>
      </c>
      <c r="E1590" s="2">
        <v>7417202020458</v>
      </c>
      <c r="F1590" s="1" t="s">
        <v>1213</v>
      </c>
      <c r="G1590" s="1" t="s">
        <v>53</v>
      </c>
      <c r="H1590" s="1" t="s">
        <v>4089</v>
      </c>
      <c r="I1590" s="1" t="s">
        <v>4090</v>
      </c>
      <c r="J1590" s="1" t="s">
        <v>261</v>
      </c>
      <c r="K1590" t="s">
        <v>1214</v>
      </c>
      <c r="M1590" s="1" t="s">
        <v>58</v>
      </c>
      <c r="N1590" s="1">
        <v>0</v>
      </c>
      <c r="O1590" s="1" t="s">
        <v>105</v>
      </c>
      <c r="P1590" s="186">
        <v>44981.379155092596</v>
      </c>
      <c r="R1590" s="1">
        <v>14</v>
      </c>
      <c r="T1590" s="1" t="s">
        <v>238</v>
      </c>
      <c r="U1590" s="186">
        <v>44981.395833333336</v>
      </c>
      <c r="V1590" s="1" t="s">
        <v>41</v>
      </c>
      <c r="W1590" s="1" t="s">
        <v>49</v>
      </c>
    </row>
    <row r="1591" spans="1:23" hidden="1">
      <c r="A1591" s="1">
        <v>9506279</v>
      </c>
      <c r="B1591" s="1" t="s">
        <v>1153</v>
      </c>
      <c r="C1591" t="s">
        <v>4091</v>
      </c>
      <c r="D1591" s="2">
        <v>20231120000006</v>
      </c>
      <c r="E1591" s="2">
        <v>7419143150434</v>
      </c>
      <c r="F1591" s="1" t="s">
        <v>1222</v>
      </c>
      <c r="G1591" s="1" t="s">
        <v>53</v>
      </c>
      <c r="H1591" s="1" t="s">
        <v>648</v>
      </c>
      <c r="I1591" s="1" t="s">
        <v>649</v>
      </c>
      <c r="J1591" s="1" t="s">
        <v>164</v>
      </c>
      <c r="K1591" t="s">
        <v>1223</v>
      </c>
      <c r="M1591" s="1" t="s">
        <v>58</v>
      </c>
      <c r="N1591" s="1">
        <v>0</v>
      </c>
      <c r="O1591" s="1" t="s">
        <v>105</v>
      </c>
      <c r="P1591" s="186">
        <v>44981.378541666665</v>
      </c>
      <c r="R1591" s="1">
        <v>14</v>
      </c>
      <c r="T1591" s="1" t="s">
        <v>238</v>
      </c>
      <c r="U1591" s="186">
        <v>44981.395833333336</v>
      </c>
      <c r="V1591" s="1" t="s">
        <v>41</v>
      </c>
      <c r="W1591" s="1" t="s">
        <v>49</v>
      </c>
    </row>
    <row r="1592" spans="1:23" hidden="1">
      <c r="A1592" s="1">
        <v>9506277</v>
      </c>
      <c r="B1592" s="1" t="s">
        <v>1153</v>
      </c>
      <c r="C1592" t="s">
        <v>4092</v>
      </c>
      <c r="D1592" s="2">
        <v>20230834000007</v>
      </c>
      <c r="E1592" s="2">
        <v>7417202020388</v>
      </c>
      <c r="F1592" s="1" t="s">
        <v>1213</v>
      </c>
      <c r="G1592" s="1" t="s">
        <v>53</v>
      </c>
      <c r="H1592" s="1" t="s">
        <v>4089</v>
      </c>
      <c r="I1592" s="1" t="s">
        <v>4090</v>
      </c>
      <c r="J1592" s="1" t="s">
        <v>261</v>
      </c>
      <c r="K1592" t="s">
        <v>1214</v>
      </c>
      <c r="M1592" s="1" t="s">
        <v>58</v>
      </c>
      <c r="N1592" s="1">
        <v>0</v>
      </c>
      <c r="O1592" s="1" t="s">
        <v>105</v>
      </c>
      <c r="P1592" s="186">
        <v>44981.377986111111</v>
      </c>
      <c r="R1592" s="1">
        <v>14</v>
      </c>
      <c r="T1592" s="1" t="s">
        <v>238</v>
      </c>
      <c r="U1592" s="186">
        <v>44981.395833333336</v>
      </c>
      <c r="V1592" s="1" t="s">
        <v>41</v>
      </c>
      <c r="W1592" s="1" t="s">
        <v>49</v>
      </c>
    </row>
    <row r="1593" spans="1:23" hidden="1">
      <c r="A1593" s="1">
        <v>9506252</v>
      </c>
      <c r="B1593" s="1" t="s">
        <v>1153</v>
      </c>
      <c r="C1593" t="s">
        <v>4093</v>
      </c>
      <c r="E1593" s="2">
        <v>2138000206001</v>
      </c>
      <c r="F1593" s="1" t="s">
        <v>29</v>
      </c>
      <c r="G1593" s="1" t="s">
        <v>53</v>
      </c>
      <c r="H1593" s="1" t="s">
        <v>379</v>
      </c>
      <c r="I1593" s="1" t="s">
        <v>380</v>
      </c>
      <c r="J1593" s="1" t="s">
        <v>46</v>
      </c>
      <c r="K1593" t="s">
        <v>34</v>
      </c>
      <c r="M1593" s="1" t="s">
        <v>35</v>
      </c>
      <c r="N1593" s="1">
        <v>42318949</v>
      </c>
      <c r="O1593" s="1" t="s">
        <v>36</v>
      </c>
      <c r="P1593" s="186">
        <v>44981.381863425922</v>
      </c>
      <c r="R1593" s="1" t="s">
        <v>38</v>
      </c>
      <c r="T1593" s="1" t="s">
        <v>74</v>
      </c>
      <c r="U1593" s="186">
        <v>44984.381863425922</v>
      </c>
      <c r="V1593" s="1" t="s">
        <v>41</v>
      </c>
      <c r="W1593" s="1" t="s">
        <v>49</v>
      </c>
    </row>
    <row r="1594" spans="1:23">
      <c r="A1594" s="1">
        <v>9506201</v>
      </c>
      <c r="B1594" s="1" t="s">
        <v>1153</v>
      </c>
      <c r="C1594" t="s">
        <v>4094</v>
      </c>
      <c r="E1594" s="2">
        <v>246000206001</v>
      </c>
      <c r="F1594" s="1" t="s">
        <v>29</v>
      </c>
      <c r="G1594" s="1" t="s">
        <v>53</v>
      </c>
      <c r="H1594" s="1" t="s">
        <v>1193</v>
      </c>
      <c r="I1594" s="1" t="s">
        <v>1194</v>
      </c>
      <c r="J1594" s="1" t="s">
        <v>85</v>
      </c>
      <c r="K1594" t="s">
        <v>34</v>
      </c>
      <c r="M1594" s="1" t="s">
        <v>35</v>
      </c>
      <c r="N1594" s="1">
        <v>42318949</v>
      </c>
      <c r="O1594" s="1" t="s">
        <v>36</v>
      </c>
      <c r="P1594" s="186">
        <v>44981.371655092589</v>
      </c>
      <c r="R1594" s="1" t="s">
        <v>38</v>
      </c>
      <c r="T1594" s="1" t="s">
        <v>74</v>
      </c>
      <c r="U1594" s="186">
        <v>44991.5</v>
      </c>
      <c r="V1594" s="1" t="s">
        <v>41</v>
      </c>
      <c r="W1594" s="1" t="s">
        <v>49</v>
      </c>
    </row>
    <row r="1595" spans="1:23" hidden="1">
      <c r="A1595" s="1">
        <v>9506191</v>
      </c>
      <c r="B1595" s="1" t="s">
        <v>1153</v>
      </c>
      <c r="C1595" t="s">
        <v>4095</v>
      </c>
      <c r="E1595" s="2">
        <v>1739000203000</v>
      </c>
      <c r="F1595" s="1" t="s">
        <v>454</v>
      </c>
      <c r="G1595" s="1" t="s">
        <v>53</v>
      </c>
      <c r="H1595" s="1" t="s">
        <v>162</v>
      </c>
      <c r="I1595" s="1" t="s">
        <v>163</v>
      </c>
      <c r="J1595" s="1" t="s">
        <v>164</v>
      </c>
      <c r="K1595" t="s">
        <v>457</v>
      </c>
      <c r="M1595" s="1" t="s">
        <v>58</v>
      </c>
      <c r="N1595" s="1">
        <v>0</v>
      </c>
      <c r="O1595" s="1" t="s">
        <v>36</v>
      </c>
      <c r="P1595" s="186">
        <v>44981.371134259258</v>
      </c>
      <c r="R1595" s="1">
        <v>1</v>
      </c>
      <c r="T1595" s="1" t="s">
        <v>157</v>
      </c>
      <c r="U1595" s="186">
        <v>44982.371134259258</v>
      </c>
      <c r="V1595" s="1" t="s">
        <v>41</v>
      </c>
      <c r="W1595" s="1" t="s">
        <v>49</v>
      </c>
    </row>
    <row r="1596" spans="1:23">
      <c r="A1596" s="1">
        <v>9506139</v>
      </c>
      <c r="B1596" s="1" t="s">
        <v>1153</v>
      </c>
      <c r="C1596" t="s">
        <v>4096</v>
      </c>
      <c r="E1596" s="2">
        <v>981000206001</v>
      </c>
      <c r="F1596" s="1" t="s">
        <v>29</v>
      </c>
      <c r="G1596" s="1" t="s">
        <v>53</v>
      </c>
      <c r="H1596" s="1" t="s">
        <v>410</v>
      </c>
      <c r="I1596" s="1" t="s">
        <v>411</v>
      </c>
      <c r="J1596" s="1" t="s">
        <v>85</v>
      </c>
      <c r="K1596" t="s">
        <v>34</v>
      </c>
      <c r="M1596" s="1" t="s">
        <v>35</v>
      </c>
      <c r="N1596" s="1">
        <v>42318949</v>
      </c>
      <c r="O1596" s="1" t="s">
        <v>36</v>
      </c>
      <c r="P1596" s="186">
        <v>44981.360891203702</v>
      </c>
      <c r="R1596" s="1" t="s">
        <v>38</v>
      </c>
      <c r="T1596" s="1" t="s">
        <v>74</v>
      </c>
      <c r="U1596" s="186">
        <v>44991.458333333336</v>
      </c>
      <c r="V1596" s="1" t="s">
        <v>41</v>
      </c>
      <c r="W1596" s="1" t="s">
        <v>49</v>
      </c>
    </row>
    <row r="1597" spans="1:23" hidden="1">
      <c r="A1597" s="1">
        <v>9506102</v>
      </c>
      <c r="B1597" s="1" t="s">
        <v>1153</v>
      </c>
      <c r="C1597" t="s">
        <v>4097</v>
      </c>
      <c r="E1597" s="2">
        <v>2081000206001</v>
      </c>
      <c r="F1597" s="1" t="s">
        <v>29</v>
      </c>
      <c r="G1597" s="1" t="s">
        <v>53</v>
      </c>
      <c r="H1597" s="1" t="s">
        <v>590</v>
      </c>
      <c r="I1597" s="1" t="s">
        <v>591</v>
      </c>
      <c r="J1597" s="1" t="s">
        <v>261</v>
      </c>
      <c r="K1597" t="s">
        <v>34</v>
      </c>
      <c r="M1597" s="1" t="s">
        <v>35</v>
      </c>
      <c r="N1597" s="1">
        <v>42318949</v>
      </c>
      <c r="O1597" s="1" t="s">
        <v>36</v>
      </c>
      <c r="P1597" s="186">
        <v>44981.350416666668</v>
      </c>
      <c r="R1597" s="1" t="s">
        <v>38</v>
      </c>
      <c r="T1597" s="1" t="s">
        <v>74</v>
      </c>
      <c r="U1597" s="186">
        <v>44991.708333333336</v>
      </c>
      <c r="V1597" s="1" t="s">
        <v>41</v>
      </c>
      <c r="W1597" s="1" t="s">
        <v>49</v>
      </c>
    </row>
    <row r="1598" spans="1:23" hidden="1">
      <c r="A1598" s="181">
        <v>9506073</v>
      </c>
      <c r="B1598" s="181" t="s">
        <v>1153</v>
      </c>
      <c r="C1598" s="182" t="s">
        <v>4098</v>
      </c>
      <c r="D1598" s="183"/>
      <c r="E1598" s="183">
        <v>9705000206001</v>
      </c>
      <c r="F1598" s="181" t="s">
        <v>29</v>
      </c>
      <c r="G1598" s="181" t="s">
        <v>53</v>
      </c>
      <c r="H1598" s="181" t="s">
        <v>204</v>
      </c>
      <c r="I1598" s="181" t="s">
        <v>205</v>
      </c>
      <c r="J1598" s="181" t="s">
        <v>90</v>
      </c>
      <c r="K1598" t="s">
        <v>34</v>
      </c>
      <c r="M1598" s="1" t="s">
        <v>35</v>
      </c>
      <c r="N1598" s="1">
        <v>42318949</v>
      </c>
      <c r="O1598" s="1" t="s">
        <v>36</v>
      </c>
      <c r="P1598" s="186">
        <v>44981.34039351852</v>
      </c>
      <c r="R1598" s="1" t="s">
        <v>38</v>
      </c>
      <c r="T1598" s="1" t="s">
        <v>74</v>
      </c>
      <c r="U1598" s="186">
        <v>44991.458333333336</v>
      </c>
      <c r="V1598" s="1" t="s">
        <v>41</v>
      </c>
      <c r="W1598" s="1" t="s">
        <v>49</v>
      </c>
    </row>
    <row r="1599" spans="1:23" hidden="1">
      <c r="A1599" s="1">
        <v>9506067</v>
      </c>
      <c r="B1599" s="1" t="s">
        <v>1153</v>
      </c>
      <c r="C1599" t="s">
        <v>4099</v>
      </c>
      <c r="E1599" s="2">
        <v>2529000206001</v>
      </c>
      <c r="F1599" s="1" t="s">
        <v>29</v>
      </c>
      <c r="G1599" s="1" t="s">
        <v>53</v>
      </c>
      <c r="H1599" s="1" t="s">
        <v>355</v>
      </c>
      <c r="I1599" s="1" t="s">
        <v>356</v>
      </c>
      <c r="J1599" s="1" t="s">
        <v>56</v>
      </c>
      <c r="K1599" t="s">
        <v>34</v>
      </c>
      <c r="M1599" s="1" t="s">
        <v>35</v>
      </c>
      <c r="N1599" s="1">
        <v>42318949</v>
      </c>
      <c r="O1599" s="1" t="s">
        <v>36</v>
      </c>
      <c r="P1599" s="186">
        <v>44981.34003472222</v>
      </c>
      <c r="R1599" s="1" t="s">
        <v>38</v>
      </c>
      <c r="T1599" s="1" t="s">
        <v>74</v>
      </c>
      <c r="U1599" s="186">
        <v>44991.708333333336</v>
      </c>
      <c r="V1599" s="1" t="s">
        <v>41</v>
      </c>
      <c r="W1599" s="1" t="s">
        <v>49</v>
      </c>
    </row>
    <row r="1600" spans="1:23" hidden="1">
      <c r="A1600" s="1">
        <v>9512739</v>
      </c>
      <c r="B1600" s="1" t="s">
        <v>1153</v>
      </c>
      <c r="C1600" t="s">
        <v>4100</v>
      </c>
      <c r="E1600" s="2">
        <v>3250000206001</v>
      </c>
      <c r="F1600" s="1" t="s">
        <v>29</v>
      </c>
      <c r="G1600" s="1" t="s">
        <v>53</v>
      </c>
      <c r="H1600" s="1" t="s">
        <v>371</v>
      </c>
      <c r="I1600" s="1" t="s">
        <v>372</v>
      </c>
      <c r="J1600" s="1" t="s">
        <v>46</v>
      </c>
      <c r="K1600" t="s">
        <v>34</v>
      </c>
      <c r="M1600" s="1" t="s">
        <v>35</v>
      </c>
      <c r="N1600" s="1">
        <v>42318949</v>
      </c>
      <c r="O1600" s="1" t="s">
        <v>105</v>
      </c>
      <c r="P1600" s="186">
        <v>44984.387291666666</v>
      </c>
      <c r="R1600" s="1" t="s">
        <v>38</v>
      </c>
      <c r="T1600" s="1" t="s">
        <v>74</v>
      </c>
      <c r="U1600" s="186">
        <v>44985.387291666666</v>
      </c>
      <c r="V1600" s="1" t="s">
        <v>41</v>
      </c>
      <c r="W1600" s="1" t="s">
        <v>49</v>
      </c>
    </row>
    <row r="1601" spans="1:23" hidden="1">
      <c r="A1601" s="1">
        <v>9512618</v>
      </c>
      <c r="B1601" s="1" t="s">
        <v>1153</v>
      </c>
      <c r="C1601" t="s">
        <v>4101</v>
      </c>
      <c r="D1601" s="2">
        <v>20234804001944</v>
      </c>
      <c r="E1601" s="2">
        <v>7417193471487</v>
      </c>
      <c r="F1601" s="1" t="s">
        <v>2698</v>
      </c>
      <c r="G1601" s="1" t="s">
        <v>53</v>
      </c>
      <c r="H1601" s="1" t="s">
        <v>4102</v>
      </c>
      <c r="I1601" s="1" t="s">
        <v>4103</v>
      </c>
      <c r="J1601" s="1" t="s">
        <v>46</v>
      </c>
      <c r="K1601" t="s">
        <v>2701</v>
      </c>
      <c r="M1601" s="1" t="s">
        <v>58</v>
      </c>
      <c r="N1601" s="1">
        <v>0</v>
      </c>
      <c r="O1601" s="1" t="s">
        <v>105</v>
      </c>
      <c r="P1601" s="186">
        <v>44984.340358796297</v>
      </c>
      <c r="R1601" s="1">
        <v>13</v>
      </c>
      <c r="S1601" s="1">
        <v>4804</v>
      </c>
      <c r="T1601" s="1" t="s">
        <v>238</v>
      </c>
      <c r="U1601" s="186">
        <v>44984.395833333336</v>
      </c>
      <c r="V1601" s="1" t="s">
        <v>41</v>
      </c>
      <c r="W1601" s="1" t="s">
        <v>49</v>
      </c>
    </row>
    <row r="1602" spans="1:23" hidden="1">
      <c r="A1602" s="1">
        <v>9512586</v>
      </c>
      <c r="B1602" s="1" t="s">
        <v>1153</v>
      </c>
      <c r="C1602" t="s">
        <v>4104</v>
      </c>
      <c r="E1602" s="2">
        <v>3613200206001</v>
      </c>
      <c r="F1602" s="1" t="s">
        <v>29</v>
      </c>
      <c r="G1602" s="1" t="s">
        <v>53</v>
      </c>
      <c r="H1602" s="1" t="s">
        <v>496</v>
      </c>
      <c r="I1602" s="1" t="s">
        <v>198</v>
      </c>
      <c r="J1602" s="1" t="s">
        <v>46</v>
      </c>
      <c r="K1602" t="s">
        <v>34</v>
      </c>
      <c r="M1602" s="1" t="s">
        <v>35</v>
      </c>
      <c r="N1602" s="1">
        <v>42318949</v>
      </c>
      <c r="O1602" s="1" t="s">
        <v>105</v>
      </c>
      <c r="P1602" s="186">
        <v>44984.371469907404</v>
      </c>
      <c r="R1602" s="1" t="s">
        <v>38</v>
      </c>
      <c r="T1602" s="1" t="s">
        <v>74</v>
      </c>
      <c r="U1602" s="186">
        <v>44984.746469907404</v>
      </c>
      <c r="V1602" s="1" t="s">
        <v>41</v>
      </c>
      <c r="W1602" s="1" t="s">
        <v>49</v>
      </c>
    </row>
    <row r="1603" spans="1:23" hidden="1">
      <c r="A1603" s="1">
        <v>9512585</v>
      </c>
      <c r="B1603" s="1" t="s">
        <v>1153</v>
      </c>
      <c r="C1603" t="s">
        <v>4105</v>
      </c>
      <c r="E1603" s="2">
        <v>220000206001</v>
      </c>
      <c r="F1603" s="1" t="s">
        <v>29</v>
      </c>
      <c r="G1603" s="1" t="s">
        <v>53</v>
      </c>
      <c r="H1603" s="1" t="s">
        <v>588</v>
      </c>
      <c r="I1603" s="1" t="s">
        <v>589</v>
      </c>
      <c r="J1603" s="1" t="s">
        <v>110</v>
      </c>
      <c r="K1603" t="s">
        <v>34</v>
      </c>
      <c r="M1603" s="1" t="s">
        <v>35</v>
      </c>
      <c r="N1603" s="1">
        <v>42318949</v>
      </c>
      <c r="O1603" s="1" t="s">
        <v>105</v>
      </c>
      <c r="P1603" s="186">
        <v>44984.371412037035</v>
      </c>
      <c r="R1603" s="1" t="s">
        <v>38</v>
      </c>
      <c r="T1603" s="1" t="s">
        <v>74</v>
      </c>
      <c r="U1603" s="186">
        <v>44984.746412037035</v>
      </c>
      <c r="V1603" s="1" t="s">
        <v>41</v>
      </c>
      <c r="W1603" s="1" t="s">
        <v>49</v>
      </c>
    </row>
    <row r="1604" spans="1:23" hidden="1">
      <c r="A1604" s="1">
        <v>9512576</v>
      </c>
      <c r="B1604" s="1" t="s">
        <v>1153</v>
      </c>
      <c r="C1604" t="s">
        <v>4106</v>
      </c>
      <c r="E1604" s="2">
        <v>3918000203000</v>
      </c>
      <c r="F1604" s="1" t="s">
        <v>454</v>
      </c>
      <c r="G1604" s="1" t="s">
        <v>53</v>
      </c>
      <c r="H1604" s="1" t="s">
        <v>858</v>
      </c>
      <c r="I1604" s="1" t="s">
        <v>859</v>
      </c>
      <c r="J1604" s="1" t="s">
        <v>33</v>
      </c>
      <c r="K1604" t="s">
        <v>457</v>
      </c>
      <c r="M1604" s="1" t="s">
        <v>58</v>
      </c>
      <c r="N1604" s="1">
        <v>0</v>
      </c>
      <c r="O1604" s="1" t="s">
        <v>105</v>
      </c>
      <c r="P1604" s="186">
        <v>44984.360972222225</v>
      </c>
      <c r="R1604" s="1">
        <v>1</v>
      </c>
      <c r="T1604" s="1" t="s">
        <v>157</v>
      </c>
      <c r="U1604" s="186">
        <v>44985.360972222225</v>
      </c>
      <c r="V1604" s="1" t="s">
        <v>41</v>
      </c>
      <c r="W1604" s="1" t="s">
        <v>49</v>
      </c>
    </row>
    <row r="1605" spans="1:23" hidden="1">
      <c r="A1605" s="1">
        <v>9512572</v>
      </c>
      <c r="B1605" s="1" t="s">
        <v>1153</v>
      </c>
      <c r="C1605" t="s">
        <v>4107</v>
      </c>
      <c r="E1605" s="2">
        <v>1049000203000</v>
      </c>
      <c r="F1605" s="1" t="s">
        <v>454</v>
      </c>
      <c r="G1605" s="1" t="s">
        <v>53</v>
      </c>
      <c r="H1605" s="1" t="s">
        <v>169</v>
      </c>
      <c r="I1605" s="1" t="s">
        <v>170</v>
      </c>
      <c r="J1605" s="1" t="s">
        <v>164</v>
      </c>
      <c r="K1605" t="s">
        <v>457</v>
      </c>
      <c r="M1605" s="1" t="s">
        <v>58</v>
      </c>
      <c r="N1605" s="1">
        <v>0</v>
      </c>
      <c r="O1605" s="1" t="s">
        <v>105</v>
      </c>
      <c r="P1605" s="186">
        <v>44984.360763888886</v>
      </c>
      <c r="R1605" s="1">
        <v>1</v>
      </c>
      <c r="T1605" s="1" t="s">
        <v>157</v>
      </c>
      <c r="U1605" s="186">
        <v>44985.360763888886</v>
      </c>
      <c r="V1605" s="1" t="s">
        <v>41</v>
      </c>
      <c r="W1605" s="1" t="s">
        <v>49</v>
      </c>
    </row>
    <row r="1606" spans="1:23" hidden="1">
      <c r="A1606" s="181">
        <v>9512570</v>
      </c>
      <c r="B1606" s="181" t="s">
        <v>1153</v>
      </c>
      <c r="C1606" s="185" t="s">
        <v>4108</v>
      </c>
      <c r="D1606" s="183"/>
      <c r="E1606" s="183">
        <v>2156000203000</v>
      </c>
      <c r="F1606" s="181" t="s">
        <v>454</v>
      </c>
      <c r="G1606" s="181" t="s">
        <v>53</v>
      </c>
      <c r="H1606" s="181" t="s">
        <v>278</v>
      </c>
      <c r="I1606" s="181" t="s">
        <v>279</v>
      </c>
      <c r="J1606" s="181" t="s">
        <v>211</v>
      </c>
      <c r="K1606" t="s">
        <v>457</v>
      </c>
      <c r="M1606" s="1" t="s">
        <v>58</v>
      </c>
      <c r="N1606" s="1">
        <v>0</v>
      </c>
      <c r="O1606" s="1" t="s">
        <v>105</v>
      </c>
      <c r="P1606" s="186">
        <v>44984.360648148147</v>
      </c>
      <c r="R1606" s="1">
        <v>1</v>
      </c>
      <c r="T1606" s="1" t="s">
        <v>157</v>
      </c>
      <c r="U1606" s="186">
        <v>44985.360648148147</v>
      </c>
      <c r="V1606" s="1" t="s">
        <v>41</v>
      </c>
      <c r="W1606" s="1" t="s">
        <v>49</v>
      </c>
    </row>
    <row r="1607" spans="1:23" hidden="1">
      <c r="A1607" s="1">
        <v>9512561</v>
      </c>
      <c r="B1607" s="1" t="s">
        <v>1153</v>
      </c>
      <c r="C1607" t="s">
        <v>4109</v>
      </c>
      <c r="E1607" s="2">
        <v>673000206001</v>
      </c>
      <c r="F1607" s="1" t="s">
        <v>29</v>
      </c>
      <c r="G1607" s="1" t="s">
        <v>53</v>
      </c>
      <c r="H1607" s="1" t="s">
        <v>581</v>
      </c>
      <c r="I1607" s="1" t="s">
        <v>582</v>
      </c>
      <c r="J1607" s="1" t="s">
        <v>110</v>
      </c>
      <c r="K1607" t="s">
        <v>34</v>
      </c>
      <c r="M1607" s="1" t="s">
        <v>35</v>
      </c>
      <c r="N1607" s="1">
        <v>42318949</v>
      </c>
      <c r="O1607" s="1" t="s">
        <v>105</v>
      </c>
      <c r="P1607" s="186">
        <v>44984.350324074076</v>
      </c>
      <c r="R1607" s="1" t="s">
        <v>38</v>
      </c>
      <c r="T1607" s="1" t="s">
        <v>74</v>
      </c>
      <c r="U1607" s="186">
        <v>44984.725324074076</v>
      </c>
      <c r="V1607" s="1" t="s">
        <v>41</v>
      </c>
      <c r="W1607" s="1" t="s">
        <v>49</v>
      </c>
    </row>
    <row r="1608" spans="1:23" hidden="1">
      <c r="A1608" s="1">
        <v>9512560</v>
      </c>
      <c r="B1608" s="1" t="s">
        <v>1153</v>
      </c>
      <c r="C1608" t="s">
        <v>4110</v>
      </c>
      <c r="E1608" s="2">
        <v>1245000206001</v>
      </c>
      <c r="F1608" s="1" t="s">
        <v>29</v>
      </c>
      <c r="G1608" s="1" t="s">
        <v>53</v>
      </c>
      <c r="H1608" s="1" t="s">
        <v>408</v>
      </c>
      <c r="I1608" s="1" t="s">
        <v>409</v>
      </c>
      <c r="J1608" s="1" t="s">
        <v>46</v>
      </c>
      <c r="K1608" t="s">
        <v>34</v>
      </c>
      <c r="M1608" s="1" t="s">
        <v>35</v>
      </c>
      <c r="N1608" s="1">
        <v>42318949</v>
      </c>
      <c r="O1608" s="1" t="s">
        <v>105</v>
      </c>
      <c r="P1608" s="186">
        <v>44984.350277777776</v>
      </c>
      <c r="R1608" s="1" t="s">
        <v>38</v>
      </c>
      <c r="T1608" s="1" t="s">
        <v>74</v>
      </c>
      <c r="U1608" s="186">
        <v>44984.725277777776</v>
      </c>
      <c r="V1608" s="1" t="s">
        <v>41</v>
      </c>
      <c r="W1608" s="1" t="s">
        <v>49</v>
      </c>
    </row>
    <row r="1609" spans="1:23" hidden="1">
      <c r="A1609" s="1">
        <v>9512556</v>
      </c>
      <c r="B1609" s="1" t="s">
        <v>1153</v>
      </c>
      <c r="C1609" t="s">
        <v>4111</v>
      </c>
      <c r="E1609" s="2">
        <v>1943000206001</v>
      </c>
      <c r="F1609" s="1" t="s">
        <v>29</v>
      </c>
      <c r="G1609" s="1" t="s">
        <v>53</v>
      </c>
      <c r="H1609" s="1" t="s">
        <v>264</v>
      </c>
      <c r="I1609" s="1" t="s">
        <v>265</v>
      </c>
      <c r="J1609" s="1" t="s">
        <v>56</v>
      </c>
      <c r="K1609" t="s">
        <v>34</v>
      </c>
      <c r="M1609" s="1" t="s">
        <v>35</v>
      </c>
      <c r="N1609" s="1">
        <v>42318949</v>
      </c>
      <c r="O1609" s="1" t="s">
        <v>105</v>
      </c>
      <c r="P1609" s="186">
        <v>44984.340127314812</v>
      </c>
      <c r="R1609" s="1" t="s">
        <v>38</v>
      </c>
      <c r="T1609" s="1" t="s">
        <v>74</v>
      </c>
      <c r="U1609" s="186">
        <v>44984.715127314812</v>
      </c>
      <c r="V1609" s="1" t="s">
        <v>41</v>
      </c>
      <c r="W1609" s="1" t="s">
        <v>49</v>
      </c>
    </row>
    <row r="1610" spans="1:23">
      <c r="A1610" s="191">
        <v>9512547</v>
      </c>
      <c r="B1610" s="191" t="s">
        <v>1153</v>
      </c>
      <c r="C1610" s="202" t="s">
        <v>4112</v>
      </c>
      <c r="D1610" s="192"/>
      <c r="E1610" s="192">
        <v>2304000206001</v>
      </c>
      <c r="F1610" s="191" t="s">
        <v>29</v>
      </c>
      <c r="G1610" s="191" t="s">
        <v>53</v>
      </c>
      <c r="H1610" s="191" t="s">
        <v>2711</v>
      </c>
      <c r="I1610" s="191" t="s">
        <v>2712</v>
      </c>
      <c r="J1610" s="206" t="s">
        <v>85</v>
      </c>
      <c r="K1610" t="s">
        <v>34</v>
      </c>
      <c r="M1610" s="1" t="s">
        <v>35</v>
      </c>
      <c r="N1610" s="1">
        <v>42318949</v>
      </c>
      <c r="O1610" s="1" t="s">
        <v>105</v>
      </c>
      <c r="P1610" s="186">
        <v>44983.736284722225</v>
      </c>
      <c r="R1610" s="1" t="s">
        <v>38</v>
      </c>
      <c r="T1610" s="1" t="s">
        <v>74</v>
      </c>
      <c r="U1610" s="186">
        <v>44984.708333333336</v>
      </c>
      <c r="V1610" s="1" t="s">
        <v>41</v>
      </c>
      <c r="W1610" s="1" t="s">
        <v>49</v>
      </c>
    </row>
    <row r="1611" spans="1:23" hidden="1">
      <c r="A1611" s="1">
        <v>9512544</v>
      </c>
      <c r="B1611" s="1" t="s">
        <v>1153</v>
      </c>
      <c r="C1611" t="s">
        <v>4113</v>
      </c>
      <c r="E1611" s="2">
        <v>2988000206001</v>
      </c>
      <c r="F1611" s="1" t="s">
        <v>29</v>
      </c>
      <c r="G1611" s="1" t="s">
        <v>53</v>
      </c>
      <c r="H1611" s="1" t="s">
        <v>536</v>
      </c>
      <c r="I1611" s="1" t="s">
        <v>537</v>
      </c>
      <c r="J1611" s="1" t="s">
        <v>46</v>
      </c>
      <c r="K1611" t="s">
        <v>34</v>
      </c>
      <c r="M1611" s="1" t="s">
        <v>35</v>
      </c>
      <c r="N1611" s="1">
        <v>42318949</v>
      </c>
      <c r="O1611" s="1" t="s">
        <v>105</v>
      </c>
      <c r="P1611" s="186">
        <v>44983.715497685182</v>
      </c>
      <c r="R1611" s="1" t="s">
        <v>38</v>
      </c>
      <c r="T1611" s="1" t="s">
        <v>74</v>
      </c>
      <c r="U1611" s="186">
        <v>44984.708333333336</v>
      </c>
      <c r="V1611" s="1" t="s">
        <v>41</v>
      </c>
      <c r="W1611" s="1" t="s">
        <v>49</v>
      </c>
    </row>
    <row r="1612" spans="1:23">
      <c r="A1612" s="191">
        <v>9512539</v>
      </c>
      <c r="B1612" s="191" t="s">
        <v>1153</v>
      </c>
      <c r="C1612" s="202" t="s">
        <v>4114</v>
      </c>
      <c r="D1612" s="192"/>
      <c r="E1612" s="192">
        <v>981000206001</v>
      </c>
      <c r="F1612" s="191" t="s">
        <v>29</v>
      </c>
      <c r="G1612" s="191" t="s">
        <v>53</v>
      </c>
      <c r="H1612" s="191" t="s">
        <v>410</v>
      </c>
      <c r="I1612" s="191" t="s">
        <v>411</v>
      </c>
      <c r="J1612" s="191" t="s">
        <v>85</v>
      </c>
      <c r="K1612" t="s">
        <v>34</v>
      </c>
      <c r="M1612" s="1" t="s">
        <v>35</v>
      </c>
      <c r="N1612" s="1">
        <v>42318949</v>
      </c>
      <c r="O1612" s="1" t="s">
        <v>105</v>
      </c>
      <c r="P1612" s="186">
        <v>44983.642500000002</v>
      </c>
      <c r="R1612" s="1" t="s">
        <v>38</v>
      </c>
      <c r="T1612" s="1" t="s">
        <v>74</v>
      </c>
      <c r="U1612" s="186">
        <v>44984.708333333336</v>
      </c>
      <c r="V1612" s="1" t="s">
        <v>41</v>
      </c>
      <c r="W1612" s="1" t="s">
        <v>49</v>
      </c>
    </row>
    <row r="1613" spans="1:23" hidden="1">
      <c r="A1613" s="175">
        <v>9512518</v>
      </c>
      <c r="B1613" s="175" t="s">
        <v>1153</v>
      </c>
      <c r="C1613" s="184" t="s">
        <v>4115</v>
      </c>
      <c r="D1613" s="177"/>
      <c r="E1613" s="177">
        <v>1069000203000</v>
      </c>
      <c r="F1613" s="175" t="s">
        <v>454</v>
      </c>
      <c r="G1613" s="175" t="s">
        <v>53</v>
      </c>
      <c r="H1613" s="175" t="s">
        <v>353</v>
      </c>
      <c r="I1613" s="175" t="s">
        <v>354</v>
      </c>
      <c r="J1613" s="175" t="s">
        <v>211</v>
      </c>
      <c r="K1613" t="s">
        <v>457</v>
      </c>
      <c r="M1613" s="1" t="s">
        <v>58</v>
      </c>
      <c r="N1613" s="1">
        <v>0</v>
      </c>
      <c r="O1613" s="1" t="s">
        <v>105</v>
      </c>
      <c r="P1613" s="186">
        <v>44983.5390625</v>
      </c>
      <c r="R1613" s="1">
        <v>1</v>
      </c>
      <c r="T1613" s="1" t="s">
        <v>157</v>
      </c>
      <c r="U1613" s="186">
        <v>44984.5390625</v>
      </c>
      <c r="V1613" s="1" t="s">
        <v>41</v>
      </c>
      <c r="W1613" s="1" t="s">
        <v>49</v>
      </c>
    </row>
    <row r="1614" spans="1:23" hidden="1">
      <c r="A1614" s="1">
        <v>9512471</v>
      </c>
      <c r="B1614" s="1" t="s">
        <v>1153</v>
      </c>
      <c r="C1614" t="s">
        <v>4116</v>
      </c>
      <c r="E1614" s="2">
        <v>244000206001</v>
      </c>
      <c r="F1614" s="1" t="s">
        <v>29</v>
      </c>
      <c r="G1614" s="1" t="s">
        <v>53</v>
      </c>
      <c r="H1614" s="1" t="s">
        <v>313</v>
      </c>
      <c r="I1614" s="1" t="s">
        <v>314</v>
      </c>
      <c r="J1614" s="1" t="s">
        <v>56</v>
      </c>
      <c r="K1614" t="s">
        <v>34</v>
      </c>
      <c r="M1614" s="1" t="s">
        <v>35</v>
      </c>
      <c r="N1614" s="1">
        <v>42318949</v>
      </c>
      <c r="O1614" s="1" t="s">
        <v>105</v>
      </c>
      <c r="P1614" s="186">
        <v>44983.517824074072</v>
      </c>
      <c r="R1614" s="1" t="s">
        <v>38</v>
      </c>
      <c r="T1614" s="1" t="s">
        <v>74</v>
      </c>
      <c r="U1614" s="186">
        <v>44984.708333333336</v>
      </c>
      <c r="V1614" s="1" t="s">
        <v>41</v>
      </c>
      <c r="W1614" s="1" t="s">
        <v>49</v>
      </c>
    </row>
    <row r="1615" spans="1:23" hidden="1">
      <c r="A1615" s="1">
        <v>9512400</v>
      </c>
      <c r="B1615" s="1" t="s">
        <v>1153</v>
      </c>
      <c r="C1615" t="s">
        <v>4117</v>
      </c>
      <c r="E1615" s="2">
        <v>1792000206001</v>
      </c>
      <c r="F1615" s="1" t="s">
        <v>29</v>
      </c>
      <c r="G1615" s="1" t="s">
        <v>53</v>
      </c>
      <c r="H1615" s="1" t="s">
        <v>467</v>
      </c>
      <c r="I1615" s="1" t="s">
        <v>468</v>
      </c>
      <c r="J1615" s="1" t="s">
        <v>110</v>
      </c>
      <c r="K1615" t="s">
        <v>34</v>
      </c>
      <c r="M1615" s="1" t="s">
        <v>35</v>
      </c>
      <c r="N1615" s="1">
        <v>42318949</v>
      </c>
      <c r="O1615" s="1" t="s">
        <v>105</v>
      </c>
      <c r="P1615" s="186">
        <v>44983.497152777774</v>
      </c>
      <c r="R1615" s="1" t="s">
        <v>38</v>
      </c>
      <c r="T1615" s="1" t="s">
        <v>74</v>
      </c>
      <c r="U1615" s="186">
        <v>44984.708333333336</v>
      </c>
      <c r="V1615" s="1" t="s">
        <v>41</v>
      </c>
      <c r="W1615" s="1" t="s">
        <v>49</v>
      </c>
    </row>
    <row r="1616" spans="1:23">
      <c r="A1616" s="1">
        <v>9512325</v>
      </c>
      <c r="B1616" s="1" t="s">
        <v>1153</v>
      </c>
      <c r="C1616" t="s">
        <v>4118</v>
      </c>
      <c r="E1616" s="2">
        <v>981000206001</v>
      </c>
      <c r="F1616" s="1" t="s">
        <v>29</v>
      </c>
      <c r="G1616" s="1" t="s">
        <v>53</v>
      </c>
      <c r="H1616" s="1" t="s">
        <v>410</v>
      </c>
      <c r="I1616" s="1" t="s">
        <v>411</v>
      </c>
      <c r="J1616" s="1" t="s">
        <v>85</v>
      </c>
      <c r="K1616" t="s">
        <v>34</v>
      </c>
      <c r="M1616" s="1" t="s">
        <v>35</v>
      </c>
      <c r="N1616" s="1">
        <v>42318949</v>
      </c>
      <c r="O1616" s="1" t="s">
        <v>105</v>
      </c>
      <c r="P1616" s="186">
        <v>44983.476504629631</v>
      </c>
      <c r="R1616" s="1" t="s">
        <v>38</v>
      </c>
      <c r="T1616" s="1" t="s">
        <v>74</v>
      </c>
      <c r="U1616" s="186">
        <v>44984.708333333336</v>
      </c>
      <c r="V1616" s="1" t="s">
        <v>41</v>
      </c>
      <c r="W1616" s="1" t="s">
        <v>49</v>
      </c>
    </row>
    <row r="1617" spans="1:23" hidden="1">
      <c r="A1617" s="1">
        <v>9512284</v>
      </c>
      <c r="B1617" s="1" t="s">
        <v>1153</v>
      </c>
      <c r="C1617" t="s">
        <v>4119</v>
      </c>
      <c r="E1617" s="2">
        <v>1710000206001</v>
      </c>
      <c r="F1617" s="1" t="s">
        <v>29</v>
      </c>
      <c r="G1617" s="1" t="s">
        <v>53</v>
      </c>
      <c r="H1617" s="1" t="s">
        <v>327</v>
      </c>
      <c r="I1617" s="1" t="s">
        <v>328</v>
      </c>
      <c r="J1617" s="1" t="s">
        <v>261</v>
      </c>
      <c r="K1617" t="s">
        <v>34</v>
      </c>
      <c r="M1617" s="1" t="s">
        <v>35</v>
      </c>
      <c r="N1617" s="1">
        <v>42318949</v>
      </c>
      <c r="O1617" s="1" t="s">
        <v>105</v>
      </c>
      <c r="P1617" s="186">
        <v>44983.465925925928</v>
      </c>
      <c r="R1617" s="1" t="s">
        <v>38</v>
      </c>
      <c r="T1617" s="1" t="s">
        <v>74</v>
      </c>
      <c r="U1617" s="186">
        <v>44984.708333333336</v>
      </c>
      <c r="V1617" s="1" t="s">
        <v>41</v>
      </c>
      <c r="W1617" s="1" t="s">
        <v>49</v>
      </c>
    </row>
    <row r="1618" spans="1:23" hidden="1">
      <c r="A1618" s="1">
        <v>9512236</v>
      </c>
      <c r="B1618" s="1" t="s">
        <v>1153</v>
      </c>
      <c r="C1618" t="s">
        <v>4120</v>
      </c>
      <c r="E1618" s="2">
        <v>4076000206001</v>
      </c>
      <c r="F1618" s="1" t="s">
        <v>29</v>
      </c>
      <c r="G1618" s="1" t="s">
        <v>53</v>
      </c>
      <c r="H1618" s="1" t="s">
        <v>426</v>
      </c>
      <c r="I1618" s="1" t="s">
        <v>427</v>
      </c>
      <c r="J1618" s="1" t="s">
        <v>79</v>
      </c>
      <c r="K1618" t="s">
        <v>34</v>
      </c>
      <c r="M1618" s="1" t="s">
        <v>35</v>
      </c>
      <c r="N1618" s="1">
        <v>42318949</v>
      </c>
      <c r="O1618" s="1" t="s">
        <v>36</v>
      </c>
      <c r="P1618" s="186">
        <v>44983.455104166664</v>
      </c>
      <c r="R1618" s="1" t="s">
        <v>38</v>
      </c>
      <c r="T1618" s="1" t="s">
        <v>74</v>
      </c>
      <c r="U1618" s="186">
        <v>44984.708333333336</v>
      </c>
      <c r="V1618" s="1" t="s">
        <v>41</v>
      </c>
      <c r="W1618" s="1" t="s">
        <v>49</v>
      </c>
    </row>
    <row r="1619" spans="1:23" hidden="1">
      <c r="A1619" s="181">
        <v>9512203</v>
      </c>
      <c r="B1619" s="181" t="s">
        <v>1153</v>
      </c>
      <c r="C1619" s="185" t="s">
        <v>4121</v>
      </c>
      <c r="D1619" s="183"/>
      <c r="E1619" s="183">
        <v>570000203000</v>
      </c>
      <c r="F1619" s="181" t="s">
        <v>454</v>
      </c>
      <c r="G1619" s="181" t="s">
        <v>53</v>
      </c>
      <c r="H1619" s="181" t="s">
        <v>434</v>
      </c>
      <c r="I1619" s="181" t="s">
        <v>435</v>
      </c>
      <c r="J1619" s="181" t="s">
        <v>148</v>
      </c>
      <c r="K1619" t="s">
        <v>457</v>
      </c>
      <c r="M1619" s="1" t="s">
        <v>58</v>
      </c>
      <c r="N1619" s="1">
        <v>0</v>
      </c>
      <c r="O1619" s="1" t="s">
        <v>105</v>
      </c>
      <c r="P1619" s="186">
        <v>44983.445034722223</v>
      </c>
      <c r="R1619" s="1">
        <v>1</v>
      </c>
      <c r="T1619" s="1" t="s">
        <v>157</v>
      </c>
      <c r="U1619" s="186">
        <v>44984.4450462963</v>
      </c>
      <c r="V1619" s="1" t="s">
        <v>41</v>
      </c>
      <c r="W1619" s="1" t="s">
        <v>49</v>
      </c>
    </row>
    <row r="1620" spans="1:23" hidden="1">
      <c r="A1620" s="1">
        <v>9512167</v>
      </c>
      <c r="B1620" s="1" t="s">
        <v>1153</v>
      </c>
      <c r="C1620" t="s">
        <v>4122</v>
      </c>
      <c r="E1620" s="2">
        <v>2238000206001</v>
      </c>
      <c r="F1620" s="1" t="s">
        <v>29</v>
      </c>
      <c r="G1620" s="1" t="s">
        <v>53</v>
      </c>
      <c r="H1620" s="1" t="s">
        <v>707</v>
      </c>
      <c r="I1620" s="1" t="s">
        <v>708</v>
      </c>
      <c r="J1620" s="1" t="s">
        <v>79</v>
      </c>
      <c r="K1620" t="s">
        <v>34</v>
      </c>
      <c r="M1620" s="1" t="s">
        <v>35</v>
      </c>
      <c r="N1620" s="1">
        <v>42318949</v>
      </c>
      <c r="O1620" s="1" t="s">
        <v>36</v>
      </c>
      <c r="P1620" s="186">
        <v>44983.434837962966</v>
      </c>
      <c r="R1620" s="1" t="s">
        <v>38</v>
      </c>
      <c r="T1620" s="1" t="s">
        <v>74</v>
      </c>
      <c r="U1620" s="186">
        <v>44984.708333333336</v>
      </c>
      <c r="V1620" s="1" t="s">
        <v>41</v>
      </c>
      <c r="W1620" s="1" t="s">
        <v>49</v>
      </c>
    </row>
    <row r="1621" spans="1:23" hidden="1">
      <c r="A1621" s="1">
        <v>9512076</v>
      </c>
      <c r="B1621" s="1" t="s">
        <v>1153</v>
      </c>
      <c r="C1621" t="s">
        <v>4123</v>
      </c>
      <c r="E1621" s="2">
        <v>325000206001</v>
      </c>
      <c r="F1621" s="1" t="s">
        <v>29</v>
      </c>
      <c r="G1621" s="1" t="s">
        <v>53</v>
      </c>
      <c r="H1621" s="1" t="s">
        <v>345</v>
      </c>
      <c r="I1621" s="1" t="s">
        <v>346</v>
      </c>
      <c r="J1621" s="1" t="s">
        <v>46</v>
      </c>
      <c r="K1621" t="s">
        <v>34</v>
      </c>
      <c r="M1621" s="1" t="s">
        <v>35</v>
      </c>
      <c r="N1621" s="1">
        <v>42318949</v>
      </c>
      <c r="O1621" s="1" t="s">
        <v>36</v>
      </c>
      <c r="P1621" s="186">
        <v>44983.413275462961</v>
      </c>
      <c r="R1621" s="1" t="s">
        <v>38</v>
      </c>
      <c r="T1621" s="1" t="s">
        <v>74</v>
      </c>
      <c r="U1621" s="186">
        <v>44984.708333333336</v>
      </c>
      <c r="V1621" s="1" t="s">
        <v>41</v>
      </c>
      <c r="W1621" s="1" t="s">
        <v>49</v>
      </c>
    </row>
    <row r="1622" spans="1:23" hidden="1">
      <c r="A1622" s="1">
        <v>9512011</v>
      </c>
      <c r="B1622" s="1" t="s">
        <v>1153</v>
      </c>
      <c r="C1622" t="s">
        <v>4124</v>
      </c>
      <c r="E1622" s="2">
        <v>3243000206001</v>
      </c>
      <c r="F1622" s="1" t="s">
        <v>29</v>
      </c>
      <c r="G1622" s="1" t="s">
        <v>53</v>
      </c>
      <c r="H1622" s="1" t="s">
        <v>282</v>
      </c>
      <c r="I1622" s="1" t="s">
        <v>283</v>
      </c>
      <c r="J1622" s="1" t="s">
        <v>46</v>
      </c>
      <c r="K1622" t="s">
        <v>34</v>
      </c>
      <c r="M1622" s="1" t="s">
        <v>35</v>
      </c>
      <c r="N1622" s="1">
        <v>42318949</v>
      </c>
      <c r="O1622" s="1" t="s">
        <v>36</v>
      </c>
      <c r="P1622" s="186">
        <v>44983.392789351848</v>
      </c>
      <c r="R1622" s="1" t="s">
        <v>38</v>
      </c>
      <c r="T1622" s="1" t="s">
        <v>74</v>
      </c>
      <c r="U1622" s="186">
        <v>44984.708333333336</v>
      </c>
      <c r="V1622" s="1" t="s">
        <v>41</v>
      </c>
      <c r="W1622" s="1" t="s">
        <v>49</v>
      </c>
    </row>
    <row r="1623" spans="1:23" hidden="1">
      <c r="A1623" s="173">
        <v>9512006</v>
      </c>
      <c r="B1623" s="1" t="s">
        <v>1153</v>
      </c>
      <c r="C1623" t="s">
        <v>4125</v>
      </c>
      <c r="E1623" s="2">
        <v>2590000203000</v>
      </c>
      <c r="F1623" s="173" t="s">
        <v>454</v>
      </c>
      <c r="G1623" s="1" t="s">
        <v>53</v>
      </c>
      <c r="H1623" s="1" t="s">
        <v>394</v>
      </c>
      <c r="I1623" s="1" t="s">
        <v>395</v>
      </c>
      <c r="J1623" s="1" t="s">
        <v>148</v>
      </c>
      <c r="K1623" t="s">
        <v>457</v>
      </c>
      <c r="M1623" s="1" t="s">
        <v>58</v>
      </c>
      <c r="N1623" s="1">
        <v>0</v>
      </c>
      <c r="O1623" s="1" t="s">
        <v>105</v>
      </c>
      <c r="P1623" s="186">
        <v>44983.392500000002</v>
      </c>
      <c r="R1623" s="1">
        <v>1</v>
      </c>
      <c r="T1623" s="1" t="s">
        <v>157</v>
      </c>
      <c r="U1623" s="205">
        <v>44984.392500000002</v>
      </c>
      <c r="V1623" s="1" t="s">
        <v>41</v>
      </c>
      <c r="W1623" s="1" t="s">
        <v>49</v>
      </c>
    </row>
    <row r="1624" spans="1:23" hidden="1">
      <c r="A1624" s="1">
        <v>9511852</v>
      </c>
      <c r="B1624" s="1" t="s">
        <v>1153</v>
      </c>
      <c r="C1624" t="s">
        <v>4126</v>
      </c>
      <c r="E1624" s="2">
        <v>7000206001</v>
      </c>
      <c r="F1624" s="1" t="s">
        <v>29</v>
      </c>
      <c r="G1624" s="1" t="s">
        <v>53</v>
      </c>
      <c r="H1624" s="1" t="s">
        <v>383</v>
      </c>
      <c r="I1624" s="1" t="s">
        <v>384</v>
      </c>
      <c r="J1624" s="1" t="s">
        <v>46</v>
      </c>
      <c r="K1624" t="s">
        <v>34</v>
      </c>
      <c r="M1624" s="1" t="s">
        <v>35</v>
      </c>
      <c r="N1624" s="1">
        <v>42318949</v>
      </c>
      <c r="O1624" s="1" t="s">
        <v>36</v>
      </c>
      <c r="P1624" s="186">
        <v>44983.350706018522</v>
      </c>
      <c r="R1624" s="1" t="s">
        <v>38</v>
      </c>
      <c r="T1624" s="1" t="s">
        <v>74</v>
      </c>
      <c r="U1624" s="186">
        <v>44984.708333333336</v>
      </c>
      <c r="V1624" s="1" t="s">
        <v>41</v>
      </c>
      <c r="W1624" s="1" t="s">
        <v>49</v>
      </c>
    </row>
    <row r="1625" spans="1:23" hidden="1">
      <c r="A1625" s="181">
        <v>9511825</v>
      </c>
      <c r="B1625" s="181" t="s">
        <v>1153</v>
      </c>
      <c r="C1625" s="185" t="s">
        <v>4127</v>
      </c>
      <c r="D1625" s="183"/>
      <c r="E1625" s="183">
        <v>1903220206001</v>
      </c>
      <c r="F1625" s="181" t="s">
        <v>29</v>
      </c>
      <c r="G1625" s="181" t="s">
        <v>53</v>
      </c>
      <c r="H1625" s="181" t="s">
        <v>1867</v>
      </c>
      <c r="I1625" s="181" t="s">
        <v>1868</v>
      </c>
      <c r="J1625" s="181" t="s">
        <v>211</v>
      </c>
      <c r="K1625" t="s">
        <v>34</v>
      </c>
      <c r="M1625" s="1" t="s">
        <v>35</v>
      </c>
      <c r="N1625" s="1">
        <v>42318949</v>
      </c>
      <c r="O1625" s="1" t="s">
        <v>36</v>
      </c>
      <c r="P1625" s="186">
        <v>44983.340787037036</v>
      </c>
      <c r="R1625" s="1" t="s">
        <v>38</v>
      </c>
      <c r="T1625" s="1" t="s">
        <v>74</v>
      </c>
      <c r="U1625" s="186">
        <v>44984.708333333336</v>
      </c>
      <c r="V1625" s="1" t="s">
        <v>41</v>
      </c>
      <c r="W1625" s="1" t="s">
        <v>49</v>
      </c>
    </row>
  </sheetData>
  <autoFilter ref="A1:Y1625" xr:uid="{00000000-0009-0000-0000-000009000000}">
    <filterColumn colId="1">
      <filters>
        <filter val="Manutenção Corretiva"/>
      </filters>
    </filterColumn>
    <filterColumn colId="9">
      <filters>
        <filter val="TR-SERRA TALHADA"/>
      </filters>
    </filterColumn>
  </autoFilter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7CE2-08EE-427C-B20F-622688F4A0A4}">
  <sheetPr filterMode="1"/>
  <dimension ref="A1:AH1750"/>
  <sheetViews>
    <sheetView zoomScale="90" zoomScaleNormal="90" workbookViewId="0">
      <pane xSplit="10" ySplit="1" topLeftCell="K644" activePane="bottomRight" state="frozen"/>
      <selection pane="bottomRight" activeCell="C1372" sqref="C1372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5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 hidden="1">
      <c r="A2" s="25">
        <v>178166</v>
      </c>
      <c r="B2" s="25" t="s">
        <v>27</v>
      </c>
      <c r="C2" s="24" t="s">
        <v>28</v>
      </c>
      <c r="D2" s="26"/>
      <c r="E2" s="26">
        <v>9661000000000</v>
      </c>
      <c r="F2" s="25" t="s">
        <v>29</v>
      </c>
      <c r="G2" s="25" t="s">
        <v>30</v>
      </c>
      <c r="H2" s="25" t="s">
        <v>31</v>
      </c>
      <c r="I2" s="25" t="s">
        <v>32</v>
      </c>
      <c r="J2" s="25" t="s">
        <v>33</v>
      </c>
      <c r="K2" s="24" t="s">
        <v>34</v>
      </c>
      <c r="L2" s="24"/>
      <c r="M2" s="25" t="s">
        <v>35</v>
      </c>
      <c r="N2" s="25">
        <v>42318949</v>
      </c>
      <c r="O2" s="25" t="s">
        <v>36</v>
      </c>
      <c r="P2" s="200">
        <v>43502.491805555554</v>
      </c>
      <c r="Q2" s="25"/>
      <c r="R2" s="25" t="s">
        <v>38</v>
      </c>
      <c r="S2" s="25"/>
      <c r="T2" s="25" t="s">
        <v>39</v>
      </c>
      <c r="U2" s="200">
        <v>43559.75</v>
      </c>
      <c r="V2" s="25" t="s">
        <v>41</v>
      </c>
      <c r="W2" s="25" t="s">
        <v>42</v>
      </c>
      <c r="X2" s="13" t="str">
        <f>IF(RIGHT(H2,2)&lt;&gt;"00",H2,"")</f>
        <v/>
      </c>
      <c r="Y2" s="2">
        <f t="shared" ref="Y2:Y65" ca="1" si="0">NETWORKDAYS(P2,$Y$1)</f>
        <v>1061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Dosa</v>
      </c>
      <c r="AC2" s="2" t="str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 xml:space="preserve"> ROSEMERE 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5</v>
      </c>
      <c r="AE2" s="2">
        <f t="shared" ref="AE2:AE65" ca="1" si="4">IF(U2=$AE$1,"",U2-$AE$1)</f>
        <v>-1426.9262716435187</v>
      </c>
      <c r="AF2" s="15"/>
      <c r="AH2" s="16"/>
    </row>
    <row r="3" spans="1:34" hidden="1">
      <c r="A3" s="25">
        <v>524537</v>
      </c>
      <c r="B3" s="25" t="s">
        <v>27</v>
      </c>
      <c r="C3" s="24" t="s">
        <v>43</v>
      </c>
      <c r="D3" s="26"/>
      <c r="E3" s="26">
        <v>2811000000000</v>
      </c>
      <c r="F3" s="25" t="s">
        <v>29</v>
      </c>
      <c r="G3" s="25" t="s">
        <v>30</v>
      </c>
      <c r="H3" s="25" t="s">
        <v>44</v>
      </c>
      <c r="I3" s="25" t="s">
        <v>45</v>
      </c>
      <c r="J3" s="25" t="s">
        <v>46</v>
      </c>
      <c r="K3" s="24" t="s">
        <v>34</v>
      </c>
      <c r="L3" s="24"/>
      <c r="M3" s="25" t="s">
        <v>35</v>
      </c>
      <c r="N3" s="25">
        <v>42318949</v>
      </c>
      <c r="O3" s="25" t="s">
        <v>36</v>
      </c>
      <c r="P3" s="200">
        <v>43735.670127314814</v>
      </c>
      <c r="Q3" s="25"/>
      <c r="R3" s="25" t="s">
        <v>38</v>
      </c>
      <c r="S3" s="25"/>
      <c r="T3" s="25" t="s">
        <v>39</v>
      </c>
      <c r="U3" s="200">
        <v>43791.75</v>
      </c>
      <c r="V3" s="25" t="s">
        <v>41</v>
      </c>
      <c r="W3" s="25" t="s">
        <v>49</v>
      </c>
      <c r="X3" s="13" t="str">
        <f t="shared" ref="X3:X66" si="5">IF(RIGHT(H3,2)&lt;&gt;"00",H3,"")</f>
        <v/>
      </c>
      <c r="Y3" s="2">
        <f t="shared" ca="1" si="0"/>
        <v>894</v>
      </c>
      <c r="Z3" s="14">
        <v>1</v>
      </c>
      <c r="AA3" s="1" t="str">
        <f t="shared" ca="1" si="1"/>
        <v>VENCIDO</v>
      </c>
      <c r="AB3" s="1" t="str">
        <f t="shared" si="2"/>
        <v>Dosa</v>
      </c>
      <c r="AC3" s="2" t="str">
        <f t="shared" ref="AC3:AC66" si="6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 xml:space="preserve"> CLEITON </v>
      </c>
      <c r="AD3" s="2">
        <f t="shared" si="3"/>
        <v>5</v>
      </c>
      <c r="AE3" s="2">
        <f t="shared" ca="1" si="4"/>
        <v>-1194.9262716435187</v>
      </c>
      <c r="AF3" s="15"/>
      <c r="AH3" s="17"/>
    </row>
    <row r="4" spans="1:34" hidden="1">
      <c r="A4" s="25">
        <v>526434</v>
      </c>
      <c r="B4" s="25" t="s">
        <v>50</v>
      </c>
      <c r="C4" s="24" t="s">
        <v>51</v>
      </c>
      <c r="D4" s="26"/>
      <c r="E4" s="26">
        <v>7419152172059</v>
      </c>
      <c r="F4" s="25" t="s">
        <v>52</v>
      </c>
      <c r="G4" s="25" t="s">
        <v>53</v>
      </c>
      <c r="H4" s="25" t="s">
        <v>54</v>
      </c>
      <c r="I4" s="25" t="s">
        <v>55</v>
      </c>
      <c r="J4" s="25" t="s">
        <v>56</v>
      </c>
      <c r="K4" s="24" t="s">
        <v>57</v>
      </c>
      <c r="L4" s="24"/>
      <c r="M4" s="25" t="s">
        <v>58</v>
      </c>
      <c r="N4" s="25">
        <v>0</v>
      </c>
      <c r="O4" s="25" t="s">
        <v>36</v>
      </c>
      <c r="P4" s="200">
        <v>43738.513159722221</v>
      </c>
      <c r="Q4" s="25"/>
      <c r="R4" s="25">
        <v>9</v>
      </c>
      <c r="S4" s="25"/>
      <c r="T4" s="25" t="s">
        <v>60</v>
      </c>
      <c r="U4" s="200">
        <v>43747.999305555553</v>
      </c>
      <c r="V4" s="25" t="s">
        <v>41</v>
      </c>
      <c r="W4" s="25" t="s">
        <v>49</v>
      </c>
      <c r="X4" s="13" t="str">
        <f t="shared" si="5"/>
        <v>1761.91</v>
      </c>
      <c r="Y4" s="2">
        <f t="shared" ca="1" si="0"/>
        <v>893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 t="str">
        <f t="shared" si="6"/>
        <v xml:space="preserve"> CRISTINA </v>
      </c>
      <c r="AD4" s="2">
        <f t="shared" si="3"/>
        <v>8</v>
      </c>
      <c r="AE4" s="2">
        <f t="shared" ca="1" si="4"/>
        <v>-1238.6769660879654</v>
      </c>
      <c r="AF4" s="15"/>
      <c r="AH4" s="16"/>
    </row>
    <row r="5" spans="1:34" hidden="1">
      <c r="A5" s="25">
        <v>811950</v>
      </c>
      <c r="B5" s="25" t="s">
        <v>62</v>
      </c>
      <c r="C5" s="24" t="s">
        <v>63</v>
      </c>
      <c r="D5" s="26"/>
      <c r="E5" s="26">
        <v>1902016069700</v>
      </c>
      <c r="F5" s="25" t="s">
        <v>64</v>
      </c>
      <c r="G5" s="25" t="s">
        <v>53</v>
      </c>
      <c r="H5" s="25" t="s">
        <v>65</v>
      </c>
      <c r="I5" s="25" t="s">
        <v>66</v>
      </c>
      <c r="J5" s="25" t="s">
        <v>46</v>
      </c>
      <c r="K5" s="24" t="s">
        <v>67</v>
      </c>
      <c r="L5" s="24"/>
      <c r="M5" s="25" t="s">
        <v>35</v>
      </c>
      <c r="N5" s="25">
        <v>42318949</v>
      </c>
      <c r="O5" s="25" t="s">
        <v>36</v>
      </c>
      <c r="P5" s="200">
        <v>43948.700069444443</v>
      </c>
      <c r="Q5" s="25"/>
      <c r="R5" s="25">
        <v>1</v>
      </c>
      <c r="S5" s="25"/>
      <c r="T5" s="25" t="s">
        <v>69</v>
      </c>
      <c r="U5" s="25"/>
      <c r="V5" s="25" t="s">
        <v>41</v>
      </c>
      <c r="W5" s="25" t="s">
        <v>49</v>
      </c>
      <c r="X5" s="13" t="str">
        <f t="shared" si="5"/>
        <v/>
      </c>
      <c r="Y5" s="2">
        <f t="shared" ca="1" si="0"/>
        <v>743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 t="str">
        <f t="shared" si="6"/>
        <v xml:space="preserve"> CLEITON 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 hidden="1">
      <c r="A6" s="25">
        <v>937455</v>
      </c>
      <c r="B6" s="25" t="s">
        <v>27</v>
      </c>
      <c r="C6" s="24" t="s">
        <v>70</v>
      </c>
      <c r="D6" s="26"/>
      <c r="E6" s="26">
        <v>4118000206001</v>
      </c>
      <c r="F6" s="25" t="s">
        <v>29</v>
      </c>
      <c r="G6" s="25" t="s">
        <v>53</v>
      </c>
      <c r="H6" s="25" t="s">
        <v>71</v>
      </c>
      <c r="I6" s="25" t="s">
        <v>72</v>
      </c>
      <c r="J6" s="25" t="s">
        <v>46</v>
      </c>
      <c r="K6" s="24" t="s">
        <v>34</v>
      </c>
      <c r="L6" s="24"/>
      <c r="M6" s="25" t="s">
        <v>35</v>
      </c>
      <c r="N6" s="25">
        <v>42318949</v>
      </c>
      <c r="O6" s="25" t="s">
        <v>36</v>
      </c>
      <c r="P6" s="200">
        <v>44040.421030092592</v>
      </c>
      <c r="Q6" s="25"/>
      <c r="R6" s="25" t="s">
        <v>38</v>
      </c>
      <c r="S6" s="25"/>
      <c r="T6" s="25" t="s">
        <v>74</v>
      </c>
      <c r="U6" s="200">
        <v>44040.75</v>
      </c>
      <c r="V6" s="25" t="s">
        <v>41</v>
      </c>
      <c r="W6" s="25" t="s">
        <v>49</v>
      </c>
      <c r="X6" s="13" t="str">
        <f t="shared" si="5"/>
        <v/>
      </c>
      <c r="Y6" s="2">
        <f t="shared" ca="1" si="0"/>
        <v>677</v>
      </c>
      <c r="Z6" s="14">
        <v>1</v>
      </c>
      <c r="AA6" s="1" t="str">
        <f t="shared" ca="1" si="1"/>
        <v>VENCIDO</v>
      </c>
      <c r="AB6" s="1" t="str">
        <f t="shared" si="2"/>
        <v>Dosa</v>
      </c>
      <c r="AC6" s="2" t="str">
        <f t="shared" si="6"/>
        <v xml:space="preserve"> CLEITON </v>
      </c>
      <c r="AD6" s="2">
        <f t="shared" si="3"/>
        <v>5</v>
      </c>
      <c r="AE6" s="2">
        <f t="shared" ca="1" si="4"/>
        <v>-945.9262716435187</v>
      </c>
      <c r="AF6" s="15"/>
      <c r="AH6" s="16"/>
    </row>
    <row r="7" spans="1:34" hidden="1">
      <c r="A7" s="25">
        <v>937269</v>
      </c>
      <c r="B7" s="25" t="s">
        <v>27</v>
      </c>
      <c r="C7" s="24" t="s">
        <v>76</v>
      </c>
      <c r="D7" s="26"/>
      <c r="E7" s="26">
        <v>711000206001</v>
      </c>
      <c r="F7" s="25" t="s">
        <v>29</v>
      </c>
      <c r="G7" s="25" t="s">
        <v>53</v>
      </c>
      <c r="H7" s="25" t="s">
        <v>77</v>
      </c>
      <c r="I7" s="25" t="s">
        <v>78</v>
      </c>
      <c r="J7" s="25" t="s">
        <v>79</v>
      </c>
      <c r="K7" s="24" t="s">
        <v>34</v>
      </c>
      <c r="L7" s="24"/>
      <c r="M7" s="25" t="s">
        <v>35</v>
      </c>
      <c r="N7" s="25">
        <v>42318949</v>
      </c>
      <c r="O7" s="25" t="s">
        <v>36</v>
      </c>
      <c r="P7" s="200">
        <v>44040.420752314814</v>
      </c>
      <c r="Q7" s="25"/>
      <c r="R7" s="25" t="s">
        <v>38</v>
      </c>
      <c r="S7" s="25"/>
      <c r="T7" s="25" t="s">
        <v>74</v>
      </c>
      <c r="U7" s="200">
        <v>44040.75</v>
      </c>
      <c r="V7" s="25" t="s">
        <v>41</v>
      </c>
      <c r="W7" s="25" t="s">
        <v>49</v>
      </c>
      <c r="X7" s="13" t="str">
        <f t="shared" si="5"/>
        <v/>
      </c>
      <c r="Y7" s="2">
        <f t="shared" ca="1" si="0"/>
        <v>677</v>
      </c>
      <c r="Z7" s="14">
        <v>1</v>
      </c>
      <c r="AA7" s="1" t="str">
        <f t="shared" ca="1" si="1"/>
        <v>VENCIDO</v>
      </c>
      <c r="AB7" s="1" t="str">
        <f t="shared" si="2"/>
        <v>Dosa</v>
      </c>
      <c r="AC7" s="2" t="str">
        <f t="shared" si="6"/>
        <v xml:space="preserve"> ROSEMERE </v>
      </c>
      <c r="AD7" s="2">
        <f t="shared" si="3"/>
        <v>5</v>
      </c>
      <c r="AE7" s="2">
        <f t="shared" ca="1" si="4"/>
        <v>-945.9262716435187</v>
      </c>
      <c r="AF7" s="15"/>
      <c r="AH7" s="16"/>
    </row>
    <row r="8" spans="1:34" hidden="1">
      <c r="A8" s="25">
        <v>945945</v>
      </c>
      <c r="B8" s="25" t="s">
        <v>81</v>
      </c>
      <c r="C8" s="24" t="s">
        <v>82</v>
      </c>
      <c r="D8" s="26"/>
      <c r="E8" s="26">
        <v>917000206001</v>
      </c>
      <c r="F8" s="25" t="s">
        <v>29</v>
      </c>
      <c r="G8" s="25" t="s">
        <v>53</v>
      </c>
      <c r="H8" s="25" t="s">
        <v>83</v>
      </c>
      <c r="I8" s="25" t="s">
        <v>84</v>
      </c>
      <c r="J8" s="25" t="s">
        <v>85</v>
      </c>
      <c r="K8" s="24" t="s">
        <v>34</v>
      </c>
      <c r="L8" s="24"/>
      <c r="M8" s="25" t="s">
        <v>35</v>
      </c>
      <c r="N8" s="25">
        <v>42318949</v>
      </c>
      <c r="O8" s="25" t="s">
        <v>36</v>
      </c>
      <c r="P8" s="200">
        <v>44047.485810185186</v>
      </c>
      <c r="Q8" s="25"/>
      <c r="R8" s="25" t="s">
        <v>38</v>
      </c>
      <c r="S8" s="25"/>
      <c r="T8" s="25" t="s">
        <v>74</v>
      </c>
      <c r="U8" s="25"/>
      <c r="V8" s="25" t="s">
        <v>41</v>
      </c>
      <c r="W8" s="25" t="s">
        <v>49</v>
      </c>
      <c r="X8" s="13" t="str">
        <f t="shared" si="5"/>
        <v/>
      </c>
      <c r="Y8" s="2">
        <f t="shared" ca="1" si="0"/>
        <v>672</v>
      </c>
      <c r="Z8" s="14">
        <v>1</v>
      </c>
      <c r="AA8" s="1" t="str">
        <f t="shared" ca="1" si="1"/>
        <v>VENCIDO</v>
      </c>
      <c r="AB8" s="1" t="str">
        <f t="shared" si="2"/>
        <v>Dosa</v>
      </c>
      <c r="AC8" s="2" t="str">
        <f t="shared" si="6"/>
        <v xml:space="preserve"> RINALDO </v>
      </c>
      <c r="AD8" s="2">
        <f t="shared" si="3"/>
        <v>5</v>
      </c>
      <c r="AE8" s="2">
        <f t="shared" ca="1" si="4"/>
        <v>-44986.676271643519</v>
      </c>
      <c r="AF8" s="15"/>
      <c r="AH8" s="16"/>
    </row>
    <row r="9" spans="1:34" hidden="1">
      <c r="A9" s="25">
        <v>1007606</v>
      </c>
      <c r="B9" s="25" t="s">
        <v>62</v>
      </c>
      <c r="C9" s="24" t="s">
        <v>87</v>
      </c>
      <c r="D9" s="26"/>
      <c r="E9" s="26">
        <v>1059000206001</v>
      </c>
      <c r="F9" s="25" t="s">
        <v>29</v>
      </c>
      <c r="G9" s="25" t="s">
        <v>53</v>
      </c>
      <c r="H9" s="25" t="s">
        <v>88</v>
      </c>
      <c r="I9" s="25" t="s">
        <v>89</v>
      </c>
      <c r="J9" s="25" t="s">
        <v>90</v>
      </c>
      <c r="K9" s="24" t="s">
        <v>34</v>
      </c>
      <c r="L9" s="24"/>
      <c r="M9" s="25" t="s">
        <v>35</v>
      </c>
      <c r="N9" s="25">
        <v>42318949</v>
      </c>
      <c r="O9" s="25" t="s">
        <v>36</v>
      </c>
      <c r="P9" s="200">
        <v>44099.640405092592</v>
      </c>
      <c r="Q9" s="25"/>
      <c r="R9" s="25" t="s">
        <v>38</v>
      </c>
      <c r="S9" s="25"/>
      <c r="T9" s="25" t="s">
        <v>74</v>
      </c>
      <c r="U9" s="200">
        <v>44144.75</v>
      </c>
      <c r="V9" s="25" t="s">
        <v>41</v>
      </c>
      <c r="W9" s="25" t="s">
        <v>49</v>
      </c>
      <c r="X9" s="13" t="str">
        <f t="shared" si="5"/>
        <v/>
      </c>
      <c r="Y9" s="2">
        <f t="shared" ca="1" si="0"/>
        <v>634</v>
      </c>
      <c r="Z9" s="14">
        <v>1</v>
      </c>
      <c r="AA9" s="1" t="str">
        <f t="shared" ca="1" si="1"/>
        <v>VENCIDO</v>
      </c>
      <c r="AB9" s="1" t="str">
        <f t="shared" si="2"/>
        <v>Dosa</v>
      </c>
      <c r="AC9" s="2" t="str">
        <f t="shared" si="6"/>
        <v xml:space="preserve"> RINALDO </v>
      </c>
      <c r="AD9" s="2">
        <f t="shared" si="3"/>
        <v>5</v>
      </c>
      <c r="AE9" s="2">
        <f t="shared" ca="1" si="4"/>
        <v>-841.9262716435187</v>
      </c>
      <c r="AF9" s="15"/>
      <c r="AH9" s="16"/>
    </row>
    <row r="10" spans="1:34" hidden="1">
      <c r="A10" s="25">
        <v>1739574</v>
      </c>
      <c r="B10" s="25" t="s">
        <v>62</v>
      </c>
      <c r="C10" s="24" t="s">
        <v>93</v>
      </c>
      <c r="D10" s="26"/>
      <c r="E10" s="26">
        <v>9661000206001</v>
      </c>
      <c r="F10" s="25" t="s">
        <v>29</v>
      </c>
      <c r="G10" s="25" t="s">
        <v>53</v>
      </c>
      <c r="H10" s="25" t="s">
        <v>31</v>
      </c>
      <c r="I10" s="25" t="s">
        <v>32</v>
      </c>
      <c r="J10" s="25" t="s">
        <v>33</v>
      </c>
      <c r="K10" s="24" t="s">
        <v>34</v>
      </c>
      <c r="L10" s="24"/>
      <c r="M10" s="25" t="s">
        <v>35</v>
      </c>
      <c r="N10" s="25">
        <v>42318949</v>
      </c>
      <c r="O10" s="25" t="s">
        <v>36</v>
      </c>
      <c r="P10" s="200">
        <v>44160.784016203703</v>
      </c>
      <c r="Q10" s="25"/>
      <c r="R10" s="25" t="s">
        <v>38</v>
      </c>
      <c r="S10" s="25"/>
      <c r="T10" s="25" t="s">
        <v>74</v>
      </c>
      <c r="U10" s="200">
        <v>44204.75</v>
      </c>
      <c r="V10" s="25" t="s">
        <v>41</v>
      </c>
      <c r="W10" s="25" t="s">
        <v>42</v>
      </c>
      <c r="X10" s="13" t="str">
        <f t="shared" si="5"/>
        <v/>
      </c>
      <c r="Y10" s="2">
        <f t="shared" ca="1" si="0"/>
        <v>591</v>
      </c>
      <c r="Z10" s="14">
        <v>1</v>
      </c>
      <c r="AA10" s="1" t="str">
        <f t="shared" ca="1" si="1"/>
        <v>VENCIDO</v>
      </c>
      <c r="AB10" s="1" t="str">
        <f t="shared" si="2"/>
        <v>Dosa</v>
      </c>
      <c r="AC10" s="2" t="str">
        <f t="shared" si="6"/>
        <v xml:space="preserve"> ROSEMERE </v>
      </c>
      <c r="AD10" s="2">
        <f t="shared" si="3"/>
        <v>5</v>
      </c>
      <c r="AE10" s="2">
        <f t="shared" ca="1" si="4"/>
        <v>-781.9262716435187</v>
      </c>
      <c r="AF10" s="15"/>
    </row>
    <row r="11" spans="1:34" hidden="1">
      <c r="A11" s="25">
        <v>1769469</v>
      </c>
      <c r="B11" s="25" t="s">
        <v>62</v>
      </c>
      <c r="C11" s="24" t="s">
        <v>96</v>
      </c>
      <c r="D11" s="26"/>
      <c r="E11" s="26">
        <v>9661000206001</v>
      </c>
      <c r="F11" s="25" t="s">
        <v>29</v>
      </c>
      <c r="G11" s="25" t="s">
        <v>53</v>
      </c>
      <c r="H11" s="25" t="s">
        <v>31</v>
      </c>
      <c r="I11" s="25" t="s">
        <v>32</v>
      </c>
      <c r="J11" s="25" t="s">
        <v>33</v>
      </c>
      <c r="K11" s="24" t="s">
        <v>34</v>
      </c>
      <c r="L11" s="24"/>
      <c r="M11" s="25" t="s">
        <v>35</v>
      </c>
      <c r="N11" s="25">
        <v>42318949</v>
      </c>
      <c r="O11" s="25" t="s">
        <v>36</v>
      </c>
      <c r="P11" s="200">
        <v>44162.733298611114</v>
      </c>
      <c r="Q11" s="25"/>
      <c r="R11" s="25" t="s">
        <v>38</v>
      </c>
      <c r="S11" s="25"/>
      <c r="T11" s="25" t="s">
        <v>74</v>
      </c>
      <c r="U11" s="200">
        <v>44208.75</v>
      </c>
      <c r="V11" s="25" t="s">
        <v>41</v>
      </c>
      <c r="W11" s="25" t="s">
        <v>42</v>
      </c>
      <c r="X11" s="13" t="str">
        <f t="shared" si="5"/>
        <v/>
      </c>
      <c r="Y11" s="2">
        <f t="shared" ca="1" si="0"/>
        <v>589</v>
      </c>
      <c r="Z11" s="14">
        <v>1</v>
      </c>
      <c r="AA11" s="1" t="str">
        <f t="shared" ca="1" si="1"/>
        <v>VENCIDO</v>
      </c>
      <c r="AB11" s="1" t="str">
        <f t="shared" si="2"/>
        <v>Dosa</v>
      </c>
      <c r="AC11" s="2" t="str">
        <f t="shared" si="6"/>
        <v xml:space="preserve"> ROSEMERE </v>
      </c>
      <c r="AD11" s="2">
        <f t="shared" si="3"/>
        <v>5</v>
      </c>
      <c r="AE11" s="2">
        <f t="shared" ca="1" si="4"/>
        <v>-777.9262716435187</v>
      </c>
      <c r="AF11" s="15"/>
    </row>
    <row r="12" spans="1:34" hidden="1">
      <c r="A12" s="25">
        <v>1769442</v>
      </c>
      <c r="B12" s="25" t="s">
        <v>62</v>
      </c>
      <c r="C12" s="24" t="s">
        <v>96</v>
      </c>
      <c r="D12" s="26"/>
      <c r="E12" s="26">
        <v>9661000206001</v>
      </c>
      <c r="F12" s="25" t="s">
        <v>29</v>
      </c>
      <c r="G12" s="25" t="s">
        <v>53</v>
      </c>
      <c r="H12" s="25" t="s">
        <v>31</v>
      </c>
      <c r="I12" s="25" t="s">
        <v>32</v>
      </c>
      <c r="J12" s="25" t="s">
        <v>33</v>
      </c>
      <c r="K12" s="24" t="s">
        <v>34</v>
      </c>
      <c r="L12" s="24"/>
      <c r="M12" s="25" t="s">
        <v>35</v>
      </c>
      <c r="N12" s="25">
        <v>42318949</v>
      </c>
      <c r="O12" s="25" t="s">
        <v>36</v>
      </c>
      <c r="P12" s="200">
        <v>44162.733263888891</v>
      </c>
      <c r="Q12" s="25"/>
      <c r="R12" s="25" t="s">
        <v>38</v>
      </c>
      <c r="S12" s="25"/>
      <c r="T12" s="25" t="s">
        <v>74</v>
      </c>
      <c r="U12" s="200">
        <v>44208.75</v>
      </c>
      <c r="V12" s="25" t="s">
        <v>41</v>
      </c>
      <c r="W12" s="25" t="s">
        <v>42</v>
      </c>
      <c r="X12" s="13" t="str">
        <f t="shared" si="5"/>
        <v/>
      </c>
      <c r="Y12" s="2">
        <f t="shared" ca="1" si="0"/>
        <v>589</v>
      </c>
      <c r="Z12" s="14">
        <v>1</v>
      </c>
      <c r="AA12" s="1" t="str">
        <f t="shared" ca="1" si="1"/>
        <v>VENCIDO</v>
      </c>
      <c r="AB12" s="1" t="str">
        <f t="shared" si="2"/>
        <v>Dosa</v>
      </c>
      <c r="AC12" s="2" t="str">
        <f t="shared" si="6"/>
        <v xml:space="preserve"> ROSEMERE </v>
      </c>
      <c r="AD12" s="2">
        <f t="shared" si="3"/>
        <v>5</v>
      </c>
      <c r="AE12" s="2">
        <f t="shared" ca="1" si="4"/>
        <v>-777.9262716435187</v>
      </c>
      <c r="AF12" s="15"/>
    </row>
    <row r="13" spans="1:34" hidden="1">
      <c r="A13" s="25">
        <v>1769406</v>
      </c>
      <c r="B13" s="25" t="s">
        <v>62</v>
      </c>
      <c r="C13" s="24" t="s">
        <v>96</v>
      </c>
      <c r="D13" s="26"/>
      <c r="E13" s="26">
        <v>9661000206001</v>
      </c>
      <c r="F13" s="25" t="s">
        <v>29</v>
      </c>
      <c r="G13" s="25" t="s">
        <v>53</v>
      </c>
      <c r="H13" s="25" t="s">
        <v>31</v>
      </c>
      <c r="I13" s="25" t="s">
        <v>32</v>
      </c>
      <c r="J13" s="25" t="s">
        <v>33</v>
      </c>
      <c r="K13" s="24" t="s">
        <v>34</v>
      </c>
      <c r="L13" s="24"/>
      <c r="M13" s="25" t="s">
        <v>35</v>
      </c>
      <c r="N13" s="25">
        <v>42318949</v>
      </c>
      <c r="O13" s="25" t="s">
        <v>36</v>
      </c>
      <c r="P13" s="200">
        <v>44162.733194444445</v>
      </c>
      <c r="Q13" s="25"/>
      <c r="R13" s="25" t="s">
        <v>38</v>
      </c>
      <c r="S13" s="25"/>
      <c r="T13" s="25" t="s">
        <v>74</v>
      </c>
      <c r="U13" s="200">
        <v>44208.75</v>
      </c>
      <c r="V13" s="25" t="s">
        <v>41</v>
      </c>
      <c r="W13" s="25" t="s">
        <v>42</v>
      </c>
      <c r="X13" s="13" t="str">
        <f t="shared" si="5"/>
        <v/>
      </c>
      <c r="Y13" s="2">
        <f t="shared" ca="1" si="0"/>
        <v>589</v>
      </c>
      <c r="Z13" s="14">
        <v>1</v>
      </c>
      <c r="AA13" s="1" t="str">
        <f t="shared" ca="1" si="1"/>
        <v>VENCIDO</v>
      </c>
      <c r="AB13" s="1" t="str">
        <f t="shared" si="2"/>
        <v>Dosa</v>
      </c>
      <c r="AC13" s="2" t="str">
        <f t="shared" si="6"/>
        <v xml:space="preserve"> ROSEMERE </v>
      </c>
      <c r="AD13" s="2">
        <f t="shared" si="3"/>
        <v>5</v>
      </c>
      <c r="AE13" s="2">
        <f t="shared" ca="1" si="4"/>
        <v>-777.9262716435187</v>
      </c>
      <c r="AF13" s="15"/>
    </row>
    <row r="14" spans="1:34" hidden="1">
      <c r="A14" s="25">
        <v>2852304</v>
      </c>
      <c r="B14" s="25" t="s">
        <v>101</v>
      </c>
      <c r="C14" s="24" t="s">
        <v>102</v>
      </c>
      <c r="D14" s="26"/>
      <c r="E14" s="26">
        <v>1059000202021</v>
      </c>
      <c r="F14" s="25" t="s">
        <v>103</v>
      </c>
      <c r="G14" s="25" t="s">
        <v>53</v>
      </c>
      <c r="H14" s="25" t="s">
        <v>88</v>
      </c>
      <c r="I14" s="25" t="s">
        <v>89</v>
      </c>
      <c r="J14" s="25" t="s">
        <v>90</v>
      </c>
      <c r="K14" s="24" t="s">
        <v>104</v>
      </c>
      <c r="L14" s="24"/>
      <c r="M14" s="25" t="s">
        <v>58</v>
      </c>
      <c r="N14" s="25">
        <v>0</v>
      </c>
      <c r="O14" s="25" t="s">
        <v>105</v>
      </c>
      <c r="P14" s="200">
        <v>44225.726701388892</v>
      </c>
      <c r="Q14" s="25"/>
      <c r="R14" s="25" t="s">
        <v>38</v>
      </c>
      <c r="S14" s="25"/>
      <c r="T14" s="25" t="s">
        <v>74</v>
      </c>
      <c r="U14" s="200">
        <v>44228.75</v>
      </c>
      <c r="V14" s="25" t="s">
        <v>41</v>
      </c>
      <c r="W14" s="25" t="s">
        <v>49</v>
      </c>
      <c r="X14" s="13" t="str">
        <f t="shared" si="5"/>
        <v/>
      </c>
      <c r="Y14" s="2">
        <f t="shared" ca="1" si="0"/>
        <v>544</v>
      </c>
      <c r="Z14" s="14">
        <v>1</v>
      </c>
      <c r="AA14" s="1" t="str">
        <f t="shared" ca="1" si="1"/>
        <v>VENCIDO</v>
      </c>
      <c r="AB14" s="1" t="str">
        <f t="shared" si="2"/>
        <v>Dosa</v>
      </c>
      <c r="AC14" s="2" t="str">
        <f t="shared" si="6"/>
        <v xml:space="preserve"> RINALDO </v>
      </c>
      <c r="AD14" s="2">
        <f t="shared" si="3"/>
        <v>5</v>
      </c>
      <c r="AE14" s="2">
        <f t="shared" ca="1" si="4"/>
        <v>-757.9262716435187</v>
      </c>
      <c r="AF14" s="15"/>
    </row>
    <row r="15" spans="1:34" hidden="1">
      <c r="A15" s="25">
        <v>2852303</v>
      </c>
      <c r="B15" s="25" t="s">
        <v>101</v>
      </c>
      <c r="C15" s="24" t="s">
        <v>102</v>
      </c>
      <c r="D15" s="26"/>
      <c r="E15" s="26">
        <v>1363000202022</v>
      </c>
      <c r="F15" s="25" t="s">
        <v>103</v>
      </c>
      <c r="G15" s="25" t="s">
        <v>53</v>
      </c>
      <c r="H15" s="25" t="s">
        <v>108</v>
      </c>
      <c r="I15" s="25" t="s">
        <v>109</v>
      </c>
      <c r="J15" s="25" t="s">
        <v>110</v>
      </c>
      <c r="K15" s="24" t="s">
        <v>104</v>
      </c>
      <c r="L15" s="24"/>
      <c r="M15" s="25" t="s">
        <v>58</v>
      </c>
      <c r="N15" s="25">
        <v>0</v>
      </c>
      <c r="O15" s="25" t="s">
        <v>36</v>
      </c>
      <c r="P15" s="200">
        <v>44225.726689814815</v>
      </c>
      <c r="Q15" s="25"/>
      <c r="R15" s="25" t="s">
        <v>38</v>
      </c>
      <c r="S15" s="25"/>
      <c r="T15" s="25" t="s">
        <v>74</v>
      </c>
      <c r="U15" s="200">
        <v>44228.75</v>
      </c>
      <c r="V15" s="25" t="s">
        <v>41</v>
      </c>
      <c r="W15" s="25" t="s">
        <v>49</v>
      </c>
      <c r="X15" s="13" t="str">
        <f t="shared" si="5"/>
        <v/>
      </c>
      <c r="Y15" s="2">
        <f t="shared" ca="1" si="0"/>
        <v>544</v>
      </c>
      <c r="Z15" s="14">
        <v>1</v>
      </c>
      <c r="AA15" s="1" t="str">
        <f t="shared" ca="1" si="1"/>
        <v>VENCIDO</v>
      </c>
      <c r="AB15" s="1" t="str">
        <f t="shared" si="2"/>
        <v>Dosa</v>
      </c>
      <c r="AC15" s="2" t="str">
        <f t="shared" si="6"/>
        <v xml:space="preserve"> CRISTINA </v>
      </c>
      <c r="AD15" s="2">
        <f t="shared" si="3"/>
        <v>5</v>
      </c>
      <c r="AE15" s="2">
        <f t="shared" ca="1" si="4"/>
        <v>-757.9262716435187</v>
      </c>
      <c r="AF15" s="15"/>
    </row>
    <row r="16" spans="1:34" hidden="1">
      <c r="A16" s="25">
        <v>2852205</v>
      </c>
      <c r="B16" s="25" t="s">
        <v>101</v>
      </c>
      <c r="C16" s="24" t="s">
        <v>102</v>
      </c>
      <c r="D16" s="26"/>
      <c r="E16" s="26">
        <v>711002060022</v>
      </c>
      <c r="F16" s="25" t="s">
        <v>103</v>
      </c>
      <c r="G16" s="25" t="s">
        <v>53</v>
      </c>
      <c r="H16" s="25" t="s">
        <v>77</v>
      </c>
      <c r="I16" s="25" t="s">
        <v>78</v>
      </c>
      <c r="J16" s="25" t="s">
        <v>79</v>
      </c>
      <c r="K16" s="24" t="s">
        <v>104</v>
      </c>
      <c r="L16" s="24"/>
      <c r="M16" s="25" t="s">
        <v>58</v>
      </c>
      <c r="N16" s="25">
        <v>0</v>
      </c>
      <c r="O16" s="25" t="s">
        <v>105</v>
      </c>
      <c r="P16" s="200">
        <v>44225.726527777777</v>
      </c>
      <c r="Q16" s="25"/>
      <c r="R16" s="25" t="s">
        <v>38</v>
      </c>
      <c r="S16" s="25"/>
      <c r="T16" s="25" t="s">
        <v>74</v>
      </c>
      <c r="U16" s="200">
        <v>44228.75</v>
      </c>
      <c r="V16" s="25" t="s">
        <v>41</v>
      </c>
      <c r="W16" s="25" t="s">
        <v>49</v>
      </c>
      <c r="X16" s="13" t="str">
        <f t="shared" si="5"/>
        <v/>
      </c>
      <c r="Y16" s="2">
        <f t="shared" ca="1" si="0"/>
        <v>544</v>
      </c>
      <c r="Z16" s="14">
        <v>1</v>
      </c>
      <c r="AA16" s="1" t="str">
        <f t="shared" ca="1" si="1"/>
        <v>VENCIDO</v>
      </c>
      <c r="AB16" s="1" t="str">
        <f t="shared" si="2"/>
        <v>Dosa</v>
      </c>
      <c r="AC16" s="2" t="str">
        <f t="shared" si="6"/>
        <v xml:space="preserve"> ROSEMERE </v>
      </c>
      <c r="AD16" s="2">
        <f t="shared" si="3"/>
        <v>5</v>
      </c>
      <c r="AE16" s="2">
        <f t="shared" ca="1" si="4"/>
        <v>-757.9262716435187</v>
      </c>
      <c r="AF16" s="15"/>
    </row>
    <row r="17" spans="1:32" hidden="1">
      <c r="A17" s="25">
        <v>2851942</v>
      </c>
      <c r="B17" s="25" t="s">
        <v>101</v>
      </c>
      <c r="C17" s="24" t="s">
        <v>102</v>
      </c>
      <c r="D17" s="26"/>
      <c r="E17" s="26">
        <v>9406000206054</v>
      </c>
      <c r="F17" s="25" t="s">
        <v>113</v>
      </c>
      <c r="G17" s="25" t="s">
        <v>53</v>
      </c>
      <c r="H17" s="25" t="s">
        <v>114</v>
      </c>
      <c r="I17" s="25" t="s">
        <v>115</v>
      </c>
      <c r="J17" s="25" t="s">
        <v>46</v>
      </c>
      <c r="K17" s="24" t="s">
        <v>116</v>
      </c>
      <c r="L17" s="24"/>
      <c r="M17" s="25" t="s">
        <v>35</v>
      </c>
      <c r="N17" s="25">
        <v>42318949</v>
      </c>
      <c r="O17" s="25" t="s">
        <v>36</v>
      </c>
      <c r="P17" s="200">
        <v>44225.726145833331</v>
      </c>
      <c r="Q17" s="25"/>
      <c r="R17" s="25" t="s">
        <v>38</v>
      </c>
      <c r="S17" s="25"/>
      <c r="T17" s="25" t="s">
        <v>74</v>
      </c>
      <c r="U17" s="200">
        <v>44228.75</v>
      </c>
      <c r="V17" s="25" t="s">
        <v>41</v>
      </c>
      <c r="W17" s="25" t="s">
        <v>49</v>
      </c>
      <c r="X17" s="13" t="str">
        <f t="shared" si="5"/>
        <v/>
      </c>
      <c r="Y17" s="2">
        <f t="shared" ca="1" si="0"/>
        <v>544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 t="str">
        <f t="shared" si="6"/>
        <v xml:space="preserve"> CLEITON </v>
      </c>
      <c r="AD17" s="2">
        <f t="shared" si="3"/>
        <v>8</v>
      </c>
      <c r="AE17" s="2">
        <f t="shared" ca="1" si="4"/>
        <v>-757.9262716435187</v>
      </c>
      <c r="AF17" s="15"/>
    </row>
    <row r="18" spans="1:32" hidden="1">
      <c r="A18" s="25">
        <v>4298266</v>
      </c>
      <c r="B18" s="25" t="s">
        <v>81</v>
      </c>
      <c r="C18" s="24" t="s">
        <v>118</v>
      </c>
      <c r="D18" s="26"/>
      <c r="E18" s="26">
        <v>9600102981128</v>
      </c>
      <c r="F18" s="25" t="s">
        <v>119</v>
      </c>
      <c r="G18" s="25" t="s">
        <v>30</v>
      </c>
      <c r="H18" s="25" t="s">
        <v>120</v>
      </c>
      <c r="I18" s="25" t="s">
        <v>121</v>
      </c>
      <c r="J18" s="25" t="s">
        <v>33</v>
      </c>
      <c r="K18" s="24" t="s">
        <v>122</v>
      </c>
      <c r="L18" s="24"/>
      <c r="M18" s="25" t="s">
        <v>58</v>
      </c>
      <c r="N18" s="25">
        <v>0</v>
      </c>
      <c r="O18" s="25" t="s">
        <v>105</v>
      </c>
      <c r="P18" s="200">
        <v>44295.426574074074</v>
      </c>
      <c r="Q18" s="25"/>
      <c r="R18" s="25">
        <v>14</v>
      </c>
      <c r="S18" s="25"/>
      <c r="T18" s="25" t="s">
        <v>60</v>
      </c>
      <c r="U18" s="25"/>
      <c r="V18" s="25" t="s">
        <v>41</v>
      </c>
      <c r="W18" s="25" t="s">
        <v>42</v>
      </c>
      <c r="X18" s="13" t="str">
        <f t="shared" si="5"/>
        <v>8889.03</v>
      </c>
      <c r="Y18" s="2">
        <f t="shared" ca="1" si="0"/>
        <v>494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 t="str">
        <f t="shared" si="6"/>
        <v xml:space="preserve"> ROSEMERE </v>
      </c>
      <c r="AD18" s="2">
        <f t="shared" si="3"/>
        <v>8</v>
      </c>
      <c r="AE18" s="2">
        <f t="shared" ca="1" si="4"/>
        <v>-44986.676271643519</v>
      </c>
      <c r="AF18" s="15"/>
    </row>
    <row r="19" spans="1:32" hidden="1">
      <c r="A19" s="25">
        <v>4298261</v>
      </c>
      <c r="B19" s="25" t="s">
        <v>81</v>
      </c>
      <c r="C19" s="24" t="s">
        <v>118</v>
      </c>
      <c r="D19" s="26"/>
      <c r="E19" s="26">
        <v>9600102980984</v>
      </c>
      <c r="F19" s="25" t="s">
        <v>119</v>
      </c>
      <c r="G19" s="25" t="s">
        <v>30</v>
      </c>
      <c r="H19" s="25" t="s">
        <v>120</v>
      </c>
      <c r="I19" s="25" t="s">
        <v>121</v>
      </c>
      <c r="J19" s="25" t="s">
        <v>33</v>
      </c>
      <c r="K19" s="24" t="s">
        <v>122</v>
      </c>
      <c r="L19" s="24"/>
      <c r="M19" s="25" t="s">
        <v>58</v>
      </c>
      <c r="N19" s="25">
        <v>0</v>
      </c>
      <c r="O19" s="25" t="s">
        <v>105</v>
      </c>
      <c r="P19" s="200">
        <v>44295.426562499997</v>
      </c>
      <c r="Q19" s="25"/>
      <c r="R19" s="25">
        <v>14</v>
      </c>
      <c r="S19" s="25"/>
      <c r="T19" s="25" t="s">
        <v>60</v>
      </c>
      <c r="U19" s="25"/>
      <c r="V19" s="25" t="s">
        <v>41</v>
      </c>
      <c r="W19" s="25" t="s">
        <v>42</v>
      </c>
      <c r="X19" s="13" t="str">
        <f t="shared" si="5"/>
        <v>8889.03</v>
      </c>
      <c r="Y19" s="2">
        <f t="shared" ca="1" si="0"/>
        <v>494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 t="str">
        <f t="shared" si="6"/>
        <v xml:space="preserve"> ROSEMERE </v>
      </c>
      <c r="AD19" s="2">
        <f t="shared" si="3"/>
        <v>8</v>
      </c>
      <c r="AE19" s="2">
        <f t="shared" ca="1" si="4"/>
        <v>-44986.676271643519</v>
      </c>
      <c r="AF19" s="15"/>
    </row>
    <row r="20" spans="1:32" hidden="1">
      <c r="A20" s="25">
        <v>4298189</v>
      </c>
      <c r="B20" s="25" t="s">
        <v>81</v>
      </c>
      <c r="C20" s="24" t="s">
        <v>118</v>
      </c>
      <c r="D20" s="26"/>
      <c r="E20" s="26">
        <v>7419151141007</v>
      </c>
      <c r="F20" s="25" t="s">
        <v>123</v>
      </c>
      <c r="G20" s="25" t="s">
        <v>53</v>
      </c>
      <c r="H20" s="25" t="s">
        <v>124</v>
      </c>
      <c r="I20" s="25" t="s">
        <v>125</v>
      </c>
      <c r="J20" s="25" t="s">
        <v>33</v>
      </c>
      <c r="K20" s="24" t="s">
        <v>126</v>
      </c>
      <c r="L20" s="24"/>
      <c r="M20" s="25" t="s">
        <v>58</v>
      </c>
      <c r="N20" s="25">
        <v>0</v>
      </c>
      <c r="O20" s="25" t="s">
        <v>105</v>
      </c>
      <c r="P20" s="200">
        <v>44295.426400462966</v>
      </c>
      <c r="Q20" s="25"/>
      <c r="R20" s="25">
        <v>14</v>
      </c>
      <c r="S20" s="25"/>
      <c r="T20" s="25" t="s">
        <v>60</v>
      </c>
      <c r="U20" s="25"/>
      <c r="V20" s="25" t="s">
        <v>41</v>
      </c>
      <c r="W20" s="25" t="s">
        <v>42</v>
      </c>
      <c r="X20" s="13" t="str">
        <f t="shared" si="5"/>
        <v>4561.91</v>
      </c>
      <c r="Y20" s="2">
        <f t="shared" ca="1" si="0"/>
        <v>494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 t="str">
        <f t="shared" si="6"/>
        <v xml:space="preserve"> ROSEMERE </v>
      </c>
      <c r="AD20" s="2">
        <f t="shared" si="3"/>
        <v>8</v>
      </c>
      <c r="AE20" s="2">
        <f t="shared" ca="1" si="4"/>
        <v>-44986.676271643519</v>
      </c>
      <c r="AF20" s="15"/>
    </row>
    <row r="21" spans="1:32" hidden="1">
      <c r="A21" s="25">
        <v>4298074</v>
      </c>
      <c r="B21" s="25" t="s">
        <v>81</v>
      </c>
      <c r="C21" s="24" t="s">
        <v>118</v>
      </c>
      <c r="D21" s="26"/>
      <c r="E21" s="26">
        <v>7419141892457</v>
      </c>
      <c r="F21" s="25" t="s">
        <v>128</v>
      </c>
      <c r="G21" s="25" t="s">
        <v>53</v>
      </c>
      <c r="H21" s="25" t="s">
        <v>124</v>
      </c>
      <c r="I21" s="25" t="s">
        <v>125</v>
      </c>
      <c r="J21" s="25" t="s">
        <v>33</v>
      </c>
      <c r="K21" s="24" t="s">
        <v>129</v>
      </c>
      <c r="L21" s="24"/>
      <c r="M21" s="25" t="s">
        <v>58</v>
      </c>
      <c r="N21" s="25">
        <v>0</v>
      </c>
      <c r="O21" s="25" t="s">
        <v>105</v>
      </c>
      <c r="P21" s="200">
        <v>44295.426087962966</v>
      </c>
      <c r="Q21" s="25"/>
      <c r="R21" s="25">
        <v>14</v>
      </c>
      <c r="S21" s="25"/>
      <c r="T21" s="25" t="s">
        <v>60</v>
      </c>
      <c r="U21" s="25"/>
      <c r="V21" s="25" t="s">
        <v>41</v>
      </c>
      <c r="W21" s="25" t="s">
        <v>42</v>
      </c>
      <c r="X21" s="13" t="str">
        <f t="shared" si="5"/>
        <v>4561.91</v>
      </c>
      <c r="Y21" s="2">
        <f t="shared" ca="1" si="0"/>
        <v>494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 t="str">
        <f t="shared" si="6"/>
        <v xml:space="preserve"> ROSEMERE </v>
      </c>
      <c r="AD21" s="2">
        <f t="shared" si="3"/>
        <v>8</v>
      </c>
      <c r="AE21" s="2">
        <f t="shared" ca="1" si="4"/>
        <v>-44986.676271643519</v>
      </c>
      <c r="AF21" s="15"/>
    </row>
    <row r="22" spans="1:32" hidden="1">
      <c r="A22" s="25">
        <v>4298073</v>
      </c>
      <c r="B22" s="25" t="s">
        <v>81</v>
      </c>
      <c r="C22" s="24" t="s">
        <v>118</v>
      </c>
      <c r="D22" s="26"/>
      <c r="E22" s="26">
        <v>7419141892456</v>
      </c>
      <c r="F22" s="25" t="s">
        <v>128</v>
      </c>
      <c r="G22" s="25" t="s">
        <v>53</v>
      </c>
      <c r="H22" s="25" t="s">
        <v>124</v>
      </c>
      <c r="I22" s="25" t="s">
        <v>125</v>
      </c>
      <c r="J22" s="25" t="s">
        <v>33</v>
      </c>
      <c r="K22" s="24" t="s">
        <v>129</v>
      </c>
      <c r="L22" s="24"/>
      <c r="M22" s="25" t="s">
        <v>58</v>
      </c>
      <c r="N22" s="25">
        <v>0</v>
      </c>
      <c r="O22" s="25" t="s">
        <v>105</v>
      </c>
      <c r="P22" s="200">
        <v>44295.426087962966</v>
      </c>
      <c r="Q22" s="25"/>
      <c r="R22" s="25">
        <v>14</v>
      </c>
      <c r="S22" s="25"/>
      <c r="T22" s="25" t="s">
        <v>60</v>
      </c>
      <c r="U22" s="25"/>
      <c r="V22" s="25" t="s">
        <v>41</v>
      </c>
      <c r="W22" s="25" t="s">
        <v>42</v>
      </c>
      <c r="X22" s="13" t="str">
        <f t="shared" si="5"/>
        <v>4561.91</v>
      </c>
      <c r="Y22" s="2">
        <f t="shared" ca="1" si="0"/>
        <v>494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 t="str">
        <f t="shared" si="6"/>
        <v xml:space="preserve"> ROSEMERE </v>
      </c>
      <c r="AD22" s="2">
        <f t="shared" si="3"/>
        <v>8</v>
      </c>
      <c r="AE22" s="2">
        <f t="shared" ca="1" si="4"/>
        <v>-44986.676271643519</v>
      </c>
      <c r="AF22" s="15"/>
    </row>
    <row r="23" spans="1:32" hidden="1">
      <c r="A23" s="25">
        <v>4297923</v>
      </c>
      <c r="B23" s="25" t="s">
        <v>81</v>
      </c>
      <c r="C23" s="24" t="s">
        <v>118</v>
      </c>
      <c r="D23" s="26"/>
      <c r="E23" s="26">
        <v>7417172142561</v>
      </c>
      <c r="F23" s="25" t="s">
        <v>52</v>
      </c>
      <c r="G23" s="25" t="s">
        <v>53</v>
      </c>
      <c r="H23" s="25" t="s">
        <v>120</v>
      </c>
      <c r="I23" s="25" t="s">
        <v>121</v>
      </c>
      <c r="J23" s="25" t="s">
        <v>33</v>
      </c>
      <c r="K23" s="24" t="s">
        <v>57</v>
      </c>
      <c r="L23" s="24"/>
      <c r="M23" s="25" t="s">
        <v>58</v>
      </c>
      <c r="N23" s="25">
        <v>0</v>
      </c>
      <c r="O23" s="25" t="s">
        <v>105</v>
      </c>
      <c r="P23" s="200">
        <v>44295.425706018519</v>
      </c>
      <c r="Q23" s="25"/>
      <c r="R23" s="25">
        <v>9</v>
      </c>
      <c r="S23" s="25"/>
      <c r="T23" s="25" t="s">
        <v>60</v>
      </c>
      <c r="U23" s="25"/>
      <c r="V23" s="25" t="s">
        <v>41</v>
      </c>
      <c r="W23" s="25" t="s">
        <v>42</v>
      </c>
      <c r="X23" s="13" t="str">
        <f t="shared" si="5"/>
        <v>8889.03</v>
      </c>
      <c r="Y23" s="2">
        <f t="shared" ca="1" si="0"/>
        <v>494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 t="str">
        <f t="shared" si="6"/>
        <v xml:space="preserve"> ROSEMERE </v>
      </c>
      <c r="AD23" s="2">
        <f t="shared" si="3"/>
        <v>8</v>
      </c>
      <c r="AE23" s="2">
        <f t="shared" ca="1" si="4"/>
        <v>-44986.676271643519</v>
      </c>
      <c r="AF23" s="15"/>
    </row>
    <row r="24" spans="1:32" hidden="1">
      <c r="A24" s="25">
        <v>4297890</v>
      </c>
      <c r="B24" s="25" t="s">
        <v>81</v>
      </c>
      <c r="C24" s="24" t="s">
        <v>118</v>
      </c>
      <c r="D24" s="26"/>
      <c r="E24" s="26">
        <v>7417163285126</v>
      </c>
      <c r="F24" s="25" t="s">
        <v>131</v>
      </c>
      <c r="G24" s="25" t="s">
        <v>53</v>
      </c>
      <c r="H24" s="25" t="s">
        <v>120</v>
      </c>
      <c r="I24" s="25" t="s">
        <v>121</v>
      </c>
      <c r="J24" s="25" t="s">
        <v>33</v>
      </c>
      <c r="K24" s="24" t="s">
        <v>132</v>
      </c>
      <c r="L24" s="24"/>
      <c r="M24" s="25" t="s">
        <v>58</v>
      </c>
      <c r="N24" s="25">
        <v>0</v>
      </c>
      <c r="O24" s="25" t="s">
        <v>105</v>
      </c>
      <c r="P24" s="200">
        <v>44295.425567129627</v>
      </c>
      <c r="Q24" s="25"/>
      <c r="R24" s="25">
        <v>14</v>
      </c>
      <c r="S24" s="25"/>
      <c r="T24" s="25" t="s">
        <v>60</v>
      </c>
      <c r="U24" s="25"/>
      <c r="V24" s="25" t="s">
        <v>41</v>
      </c>
      <c r="W24" s="25" t="s">
        <v>42</v>
      </c>
      <c r="X24" s="13" t="str">
        <f t="shared" si="5"/>
        <v>8889.03</v>
      </c>
      <c r="Y24" s="2">
        <f t="shared" ca="1" si="0"/>
        <v>494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 t="str">
        <f t="shared" si="6"/>
        <v xml:space="preserve"> ROSEMERE </v>
      </c>
      <c r="AD24" s="2">
        <f t="shared" si="3"/>
        <v>8</v>
      </c>
      <c r="AE24" s="2">
        <f t="shared" ca="1" si="4"/>
        <v>-44986.676271643519</v>
      </c>
      <c r="AF24" s="15"/>
    </row>
    <row r="25" spans="1:32" hidden="1">
      <c r="A25" s="25">
        <v>4544244</v>
      </c>
      <c r="B25" s="25" t="s">
        <v>27</v>
      </c>
      <c r="C25" s="24" t="s">
        <v>134</v>
      </c>
      <c r="D25" s="26"/>
      <c r="E25" s="26">
        <v>9661000206001</v>
      </c>
      <c r="F25" s="25" t="s">
        <v>29</v>
      </c>
      <c r="G25" s="25" t="s">
        <v>53</v>
      </c>
      <c r="H25" s="25" t="s">
        <v>31</v>
      </c>
      <c r="I25" s="25" t="s">
        <v>32</v>
      </c>
      <c r="J25" s="25" t="s">
        <v>33</v>
      </c>
      <c r="K25" s="24" t="s">
        <v>34</v>
      </c>
      <c r="L25" s="24"/>
      <c r="M25" s="25" t="s">
        <v>35</v>
      </c>
      <c r="N25" s="25">
        <v>42318949</v>
      </c>
      <c r="O25" s="25" t="s">
        <v>105</v>
      </c>
      <c r="P25" s="200">
        <v>44308.595775462964</v>
      </c>
      <c r="Q25" s="25"/>
      <c r="R25" s="25" t="s">
        <v>38</v>
      </c>
      <c r="S25" s="25"/>
      <c r="T25" s="25" t="s">
        <v>74</v>
      </c>
      <c r="U25" s="200">
        <v>44308.75</v>
      </c>
      <c r="V25" s="25" t="s">
        <v>41</v>
      </c>
      <c r="W25" s="25" t="s">
        <v>42</v>
      </c>
      <c r="X25" s="13" t="str">
        <f t="shared" si="5"/>
        <v/>
      </c>
      <c r="Y25" s="2">
        <f t="shared" ca="1" si="0"/>
        <v>485</v>
      </c>
      <c r="Z25" s="14">
        <v>1</v>
      </c>
      <c r="AA25" s="1" t="str">
        <f t="shared" ca="1" si="1"/>
        <v>VENCIDO</v>
      </c>
      <c r="AB25" s="1" t="str">
        <f t="shared" si="2"/>
        <v>Dosa</v>
      </c>
      <c r="AC25" s="2" t="str">
        <f t="shared" si="6"/>
        <v xml:space="preserve"> ROSEMERE </v>
      </c>
      <c r="AD25" s="2">
        <f t="shared" si="3"/>
        <v>5</v>
      </c>
      <c r="AE25" s="2">
        <f t="shared" ca="1" si="4"/>
        <v>-677.9262716435187</v>
      </c>
      <c r="AF25" s="15"/>
    </row>
    <row r="26" spans="1:32" hidden="1">
      <c r="A26" s="25">
        <v>4796975</v>
      </c>
      <c r="B26" s="25" t="s">
        <v>62</v>
      </c>
      <c r="C26" s="24" t="s">
        <v>135</v>
      </c>
      <c r="D26" s="26"/>
      <c r="E26" s="26">
        <v>1291000206001</v>
      </c>
      <c r="F26" s="25" t="s">
        <v>29</v>
      </c>
      <c r="G26" s="25" t="s">
        <v>53</v>
      </c>
      <c r="H26" s="25" t="s">
        <v>136</v>
      </c>
      <c r="I26" s="25" t="s">
        <v>137</v>
      </c>
      <c r="J26" s="25" t="s">
        <v>33</v>
      </c>
      <c r="K26" s="24" t="s">
        <v>34</v>
      </c>
      <c r="L26" s="24"/>
      <c r="M26" s="25" t="s">
        <v>35</v>
      </c>
      <c r="N26" s="25">
        <v>42318949</v>
      </c>
      <c r="O26" s="25" t="s">
        <v>36</v>
      </c>
      <c r="P26" s="200">
        <v>44321.783020833333</v>
      </c>
      <c r="Q26" s="25"/>
      <c r="R26" s="25" t="s">
        <v>38</v>
      </c>
      <c r="S26" s="25"/>
      <c r="T26" s="25" t="s">
        <v>74</v>
      </c>
      <c r="U26" s="200">
        <v>44364.75</v>
      </c>
      <c r="V26" s="25" t="s">
        <v>41</v>
      </c>
      <c r="W26" s="25" t="s">
        <v>42</v>
      </c>
      <c r="X26" s="13" t="str">
        <f t="shared" si="5"/>
        <v/>
      </c>
      <c r="Y26" s="2">
        <f t="shared" ca="1" si="0"/>
        <v>476</v>
      </c>
      <c r="Z26" s="14">
        <v>1</v>
      </c>
      <c r="AA26" s="1" t="str">
        <f t="shared" ca="1" si="1"/>
        <v>VENCIDO</v>
      </c>
      <c r="AB26" s="1" t="str">
        <f t="shared" si="2"/>
        <v>Dosa</v>
      </c>
      <c r="AC26" s="2" t="str">
        <f t="shared" si="6"/>
        <v xml:space="preserve"> ROSEMERE </v>
      </c>
      <c r="AD26" s="2">
        <f t="shared" si="3"/>
        <v>5</v>
      </c>
      <c r="AE26" s="2">
        <f t="shared" ca="1" si="4"/>
        <v>-621.9262716435187</v>
      </c>
      <c r="AF26" s="15"/>
    </row>
    <row r="27" spans="1:32" hidden="1">
      <c r="A27" s="25">
        <v>4968022</v>
      </c>
      <c r="B27" s="25" t="s">
        <v>62</v>
      </c>
      <c r="C27" s="24" t="s">
        <v>138</v>
      </c>
      <c r="D27" s="26"/>
      <c r="E27" s="26">
        <v>582000206001</v>
      </c>
      <c r="F27" s="25" t="s">
        <v>29</v>
      </c>
      <c r="G27" s="25" t="s">
        <v>53</v>
      </c>
      <c r="H27" s="25" t="s">
        <v>139</v>
      </c>
      <c r="I27" s="25" t="s">
        <v>140</v>
      </c>
      <c r="J27" s="25" t="s">
        <v>141</v>
      </c>
      <c r="K27" s="24" t="s">
        <v>34</v>
      </c>
      <c r="L27" s="24"/>
      <c r="M27" s="25" t="s">
        <v>35</v>
      </c>
      <c r="N27" s="25">
        <v>42318949</v>
      </c>
      <c r="O27" s="25" t="s">
        <v>36</v>
      </c>
      <c r="P27" s="200">
        <v>44329.986261574071</v>
      </c>
      <c r="Q27" s="25"/>
      <c r="R27" s="25" t="s">
        <v>38</v>
      </c>
      <c r="S27" s="25"/>
      <c r="T27" s="25" t="s">
        <v>74</v>
      </c>
      <c r="U27" s="200">
        <v>44372.75</v>
      </c>
      <c r="V27" s="25" t="s">
        <v>41</v>
      </c>
      <c r="W27" s="25" t="s">
        <v>49</v>
      </c>
      <c r="X27" s="13" t="str">
        <f t="shared" si="5"/>
        <v/>
      </c>
      <c r="Y27" s="2">
        <f t="shared" ca="1" si="0"/>
        <v>470</v>
      </c>
      <c r="Z27" s="14">
        <v>1</v>
      </c>
      <c r="AA27" s="1" t="str">
        <f t="shared" ca="1" si="1"/>
        <v>VENCIDO</v>
      </c>
      <c r="AB27" s="1" t="str">
        <f t="shared" si="2"/>
        <v>Dosa</v>
      </c>
      <c r="AC27" s="2" t="str">
        <f t="shared" si="6"/>
        <v xml:space="preserve"> CRISTINA </v>
      </c>
      <c r="AD27" s="2">
        <f t="shared" si="3"/>
        <v>5</v>
      </c>
      <c r="AE27" s="2">
        <f t="shared" ca="1" si="4"/>
        <v>-613.9262716435187</v>
      </c>
      <c r="AF27" s="15"/>
    </row>
    <row r="28" spans="1:32" hidden="1">
      <c r="A28" s="25">
        <v>4968021</v>
      </c>
      <c r="B28" s="25" t="s">
        <v>62</v>
      </c>
      <c r="C28" s="24" t="s">
        <v>144</v>
      </c>
      <c r="D28" s="26"/>
      <c r="E28" s="26">
        <v>582000206001</v>
      </c>
      <c r="F28" s="25" t="s">
        <v>29</v>
      </c>
      <c r="G28" s="25" t="s">
        <v>53</v>
      </c>
      <c r="H28" s="25" t="s">
        <v>139</v>
      </c>
      <c r="I28" s="25" t="s">
        <v>140</v>
      </c>
      <c r="J28" s="25" t="s">
        <v>141</v>
      </c>
      <c r="K28" s="24" t="s">
        <v>34</v>
      </c>
      <c r="L28" s="24"/>
      <c r="M28" s="25" t="s">
        <v>35</v>
      </c>
      <c r="N28" s="25">
        <v>42318949</v>
      </c>
      <c r="O28" s="25" t="s">
        <v>36</v>
      </c>
      <c r="P28" s="200">
        <v>44329.985972222225</v>
      </c>
      <c r="Q28" s="25"/>
      <c r="R28" s="25" t="s">
        <v>38</v>
      </c>
      <c r="S28" s="25"/>
      <c r="T28" s="25" t="s">
        <v>74</v>
      </c>
      <c r="U28" s="200">
        <v>44372.75</v>
      </c>
      <c r="V28" s="25" t="s">
        <v>41</v>
      </c>
      <c r="W28" s="25" t="s">
        <v>49</v>
      </c>
      <c r="X28" s="13" t="str">
        <f t="shared" si="5"/>
        <v/>
      </c>
      <c r="Y28" s="2">
        <f t="shared" ca="1" si="0"/>
        <v>470</v>
      </c>
      <c r="Z28" s="14">
        <v>1</v>
      </c>
      <c r="AA28" s="1" t="str">
        <f t="shared" ca="1" si="1"/>
        <v>VENCIDO</v>
      </c>
      <c r="AB28" s="1" t="str">
        <f t="shared" si="2"/>
        <v>Dosa</v>
      </c>
      <c r="AC28" s="2" t="str">
        <f t="shared" si="6"/>
        <v xml:space="preserve"> CRISTINA </v>
      </c>
      <c r="AD28" s="2">
        <f t="shared" si="3"/>
        <v>5</v>
      </c>
      <c r="AE28" s="2">
        <f t="shared" ca="1" si="4"/>
        <v>-613.9262716435187</v>
      </c>
      <c r="AF28" s="15"/>
    </row>
    <row r="29" spans="1:32" hidden="1">
      <c r="A29" s="25">
        <v>4967954</v>
      </c>
      <c r="B29" s="25" t="s">
        <v>62</v>
      </c>
      <c r="C29" s="24" t="s">
        <v>144</v>
      </c>
      <c r="D29" s="26"/>
      <c r="E29" s="26">
        <v>582000206001</v>
      </c>
      <c r="F29" s="25" t="s">
        <v>29</v>
      </c>
      <c r="G29" s="25" t="s">
        <v>53</v>
      </c>
      <c r="H29" s="25" t="s">
        <v>139</v>
      </c>
      <c r="I29" s="25" t="s">
        <v>140</v>
      </c>
      <c r="J29" s="25" t="s">
        <v>141</v>
      </c>
      <c r="K29" s="24" t="s">
        <v>34</v>
      </c>
      <c r="L29" s="24"/>
      <c r="M29" s="25" t="s">
        <v>35</v>
      </c>
      <c r="N29" s="25">
        <v>42318949</v>
      </c>
      <c r="O29" s="25" t="s">
        <v>36</v>
      </c>
      <c r="P29" s="200">
        <v>44329.985694444447</v>
      </c>
      <c r="Q29" s="25"/>
      <c r="R29" s="25" t="s">
        <v>38</v>
      </c>
      <c r="S29" s="25"/>
      <c r="T29" s="25" t="s">
        <v>74</v>
      </c>
      <c r="U29" s="200">
        <v>44372.75</v>
      </c>
      <c r="V29" s="25" t="s">
        <v>41</v>
      </c>
      <c r="W29" s="25" t="s">
        <v>49</v>
      </c>
      <c r="X29" s="13" t="str">
        <f t="shared" si="5"/>
        <v/>
      </c>
      <c r="Y29" s="2">
        <f t="shared" ca="1" si="0"/>
        <v>470</v>
      </c>
      <c r="Z29" s="14">
        <v>1</v>
      </c>
      <c r="AA29" s="1" t="str">
        <f t="shared" ca="1" si="1"/>
        <v>VENCIDO</v>
      </c>
      <c r="AB29" s="1" t="str">
        <f t="shared" si="2"/>
        <v>Dosa</v>
      </c>
      <c r="AC29" s="2" t="str">
        <f t="shared" si="6"/>
        <v xml:space="preserve"> CRISTINA </v>
      </c>
      <c r="AD29" s="2">
        <f t="shared" si="3"/>
        <v>5</v>
      </c>
      <c r="AE29" s="2">
        <f t="shared" ca="1" si="4"/>
        <v>-613.9262716435187</v>
      </c>
      <c r="AF29" s="15"/>
    </row>
    <row r="30" spans="1:32" hidden="1">
      <c r="A30" s="25">
        <v>6477850</v>
      </c>
      <c r="B30" s="25" t="s">
        <v>62</v>
      </c>
      <c r="C30" s="24" t="s">
        <v>145</v>
      </c>
      <c r="D30" s="26"/>
      <c r="E30" s="26">
        <v>1754000206001</v>
      </c>
      <c r="F30" s="25" t="s">
        <v>29</v>
      </c>
      <c r="G30" s="25" t="s">
        <v>53</v>
      </c>
      <c r="H30" s="25" t="s">
        <v>146</v>
      </c>
      <c r="I30" s="25" t="s">
        <v>147</v>
      </c>
      <c r="J30" s="25" t="s">
        <v>148</v>
      </c>
      <c r="K30" s="24" t="s">
        <v>34</v>
      </c>
      <c r="L30" s="24"/>
      <c r="M30" s="25" t="s">
        <v>35</v>
      </c>
      <c r="N30" s="25">
        <v>42318949</v>
      </c>
      <c r="O30" s="25" t="s">
        <v>105</v>
      </c>
      <c r="P30" s="200">
        <v>44404.79105324074</v>
      </c>
      <c r="Q30" s="25"/>
      <c r="R30" s="25" t="s">
        <v>38</v>
      </c>
      <c r="S30" s="25"/>
      <c r="T30" s="25" t="s">
        <v>74</v>
      </c>
      <c r="U30" s="200">
        <v>44447.75</v>
      </c>
      <c r="V30" s="25" t="s">
        <v>41</v>
      </c>
      <c r="W30" s="25" t="s">
        <v>49</v>
      </c>
      <c r="X30" s="13" t="str">
        <f t="shared" si="5"/>
        <v/>
      </c>
      <c r="Y30" s="2">
        <f t="shared" ca="1" si="0"/>
        <v>417</v>
      </c>
      <c r="Z30" s="14">
        <v>1</v>
      </c>
      <c r="AA30" s="1" t="str">
        <f t="shared" ca="1" si="1"/>
        <v>VENCIDO</v>
      </c>
      <c r="AB30" s="1" t="str">
        <f t="shared" si="2"/>
        <v>Dosa</v>
      </c>
      <c r="AC30" s="2" t="str">
        <f t="shared" si="6"/>
        <v xml:space="preserve"> RINALDO </v>
      </c>
      <c r="AD30" s="2">
        <f t="shared" si="3"/>
        <v>5</v>
      </c>
      <c r="AE30" s="2">
        <f t="shared" ca="1" si="4"/>
        <v>-538.9262716435187</v>
      </c>
      <c r="AF30" s="15"/>
    </row>
    <row r="31" spans="1:32" hidden="1">
      <c r="A31" s="25">
        <v>6829400</v>
      </c>
      <c r="B31" s="25" t="s">
        <v>62</v>
      </c>
      <c r="C31" s="24" t="s">
        <v>151</v>
      </c>
      <c r="D31" s="26"/>
      <c r="E31" s="26">
        <v>3924000203010</v>
      </c>
      <c r="F31" s="25" t="s">
        <v>152</v>
      </c>
      <c r="G31" s="25" t="s">
        <v>53</v>
      </c>
      <c r="H31" s="25" t="s">
        <v>153</v>
      </c>
      <c r="I31" s="25" t="s">
        <v>154</v>
      </c>
      <c r="J31" s="25" t="s">
        <v>56</v>
      </c>
      <c r="K31" s="24" t="s">
        <v>155</v>
      </c>
      <c r="L31" s="24"/>
      <c r="M31" s="25" t="s">
        <v>35</v>
      </c>
      <c r="N31" s="25">
        <v>42318949</v>
      </c>
      <c r="O31" s="25" t="s">
        <v>36</v>
      </c>
      <c r="P31" s="200">
        <v>44420.812268518515</v>
      </c>
      <c r="Q31" s="25"/>
      <c r="R31" s="25" t="s">
        <v>38</v>
      </c>
      <c r="S31" s="25"/>
      <c r="T31" s="25" t="s">
        <v>157</v>
      </c>
      <c r="U31" s="200">
        <v>44456.75</v>
      </c>
      <c r="V31" s="25" t="s">
        <v>41</v>
      </c>
      <c r="W31" s="25" t="s">
        <v>49</v>
      </c>
      <c r="X31" s="13" t="str">
        <f t="shared" si="5"/>
        <v/>
      </c>
      <c r="Y31" s="2">
        <f t="shared" ca="1" si="0"/>
        <v>405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 t="str">
        <f t="shared" si="6"/>
        <v xml:space="preserve"> CRISTINA </v>
      </c>
      <c r="AD31" s="2">
        <f t="shared" si="3"/>
        <v>8</v>
      </c>
      <c r="AE31" s="2">
        <f t="shared" ca="1" si="4"/>
        <v>-529.9262716435187</v>
      </c>
      <c r="AF31" s="15"/>
    </row>
    <row r="32" spans="1:32" hidden="1">
      <c r="A32" s="25">
        <v>6829307</v>
      </c>
      <c r="B32" s="25" t="s">
        <v>62</v>
      </c>
      <c r="C32" s="24" t="s">
        <v>151</v>
      </c>
      <c r="D32" s="26"/>
      <c r="E32" s="26">
        <v>2365000203010</v>
      </c>
      <c r="F32" s="25" t="s">
        <v>152</v>
      </c>
      <c r="G32" s="25" t="s">
        <v>53</v>
      </c>
      <c r="H32" s="25" t="s">
        <v>159</v>
      </c>
      <c r="I32" s="25" t="s">
        <v>160</v>
      </c>
      <c r="J32" s="25" t="s">
        <v>46</v>
      </c>
      <c r="K32" s="24" t="s">
        <v>155</v>
      </c>
      <c r="L32" s="24"/>
      <c r="M32" s="25" t="s">
        <v>35</v>
      </c>
      <c r="N32" s="25">
        <v>42318949</v>
      </c>
      <c r="O32" s="25" t="s">
        <v>36</v>
      </c>
      <c r="P32" s="200">
        <v>44420.812141203707</v>
      </c>
      <c r="Q32" s="25"/>
      <c r="R32" s="25" t="s">
        <v>38</v>
      </c>
      <c r="S32" s="25"/>
      <c r="T32" s="25" t="s">
        <v>157</v>
      </c>
      <c r="U32" s="200">
        <v>44456.75</v>
      </c>
      <c r="V32" s="25" t="s">
        <v>41</v>
      </c>
      <c r="W32" s="25" t="s">
        <v>49</v>
      </c>
      <c r="X32" s="13" t="str">
        <f t="shared" si="5"/>
        <v/>
      </c>
      <c r="Y32" s="2">
        <f t="shared" ca="1" si="0"/>
        <v>405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 t="str">
        <f t="shared" si="6"/>
        <v xml:space="preserve"> CLEITON </v>
      </c>
      <c r="AD32" s="2">
        <f t="shared" si="3"/>
        <v>8</v>
      </c>
      <c r="AE32" s="2">
        <f t="shared" ca="1" si="4"/>
        <v>-529.9262716435187</v>
      </c>
      <c r="AF32" s="15"/>
    </row>
    <row r="33" spans="1:32" hidden="1">
      <c r="A33" s="25">
        <v>6829259</v>
      </c>
      <c r="B33" s="25" t="s">
        <v>62</v>
      </c>
      <c r="C33" s="24" t="s">
        <v>151</v>
      </c>
      <c r="D33" s="26"/>
      <c r="E33" s="26">
        <v>1739000203010</v>
      </c>
      <c r="F33" s="25" t="s">
        <v>152</v>
      </c>
      <c r="G33" s="25" t="s">
        <v>53</v>
      </c>
      <c r="H33" s="25" t="s">
        <v>162</v>
      </c>
      <c r="I33" s="25" t="s">
        <v>163</v>
      </c>
      <c r="J33" s="25" t="s">
        <v>164</v>
      </c>
      <c r="K33" s="24" t="s">
        <v>155</v>
      </c>
      <c r="L33" s="24"/>
      <c r="M33" s="25" t="s">
        <v>35</v>
      </c>
      <c r="N33" s="25">
        <v>42318949</v>
      </c>
      <c r="O33" s="25" t="s">
        <v>36</v>
      </c>
      <c r="P33" s="200">
        <v>44420.812048611115</v>
      </c>
      <c r="Q33" s="25"/>
      <c r="R33" s="25" t="s">
        <v>38</v>
      </c>
      <c r="S33" s="25"/>
      <c r="T33" s="25" t="s">
        <v>157</v>
      </c>
      <c r="U33" s="200">
        <v>44456.75</v>
      </c>
      <c r="V33" s="25" t="s">
        <v>41</v>
      </c>
      <c r="W33" s="25" t="s">
        <v>49</v>
      </c>
      <c r="X33" s="13" t="str">
        <f t="shared" si="5"/>
        <v/>
      </c>
      <c r="Y33" s="2">
        <f t="shared" ca="1" si="0"/>
        <v>405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 t="str">
        <f t="shared" si="6"/>
        <v xml:space="preserve"> ROSEMERE </v>
      </c>
      <c r="AD33" s="2">
        <f t="shared" si="3"/>
        <v>8</v>
      </c>
      <c r="AE33" s="2">
        <f t="shared" ca="1" si="4"/>
        <v>-529.9262716435187</v>
      </c>
      <c r="AF33" s="15"/>
    </row>
    <row r="34" spans="1:32" hidden="1">
      <c r="A34" s="25">
        <v>6829206</v>
      </c>
      <c r="B34" s="25" t="s">
        <v>62</v>
      </c>
      <c r="C34" s="24" t="s">
        <v>151</v>
      </c>
      <c r="D34" s="26"/>
      <c r="E34" s="26">
        <v>1061000203010</v>
      </c>
      <c r="F34" s="25" t="s">
        <v>152</v>
      </c>
      <c r="G34" s="25" t="s">
        <v>53</v>
      </c>
      <c r="H34" s="25" t="s">
        <v>166</v>
      </c>
      <c r="I34" s="25" t="s">
        <v>167</v>
      </c>
      <c r="J34" s="25" t="s">
        <v>85</v>
      </c>
      <c r="K34" s="24" t="s">
        <v>155</v>
      </c>
      <c r="L34" s="24"/>
      <c r="M34" s="25" t="s">
        <v>35</v>
      </c>
      <c r="N34" s="25">
        <v>42318949</v>
      </c>
      <c r="O34" s="25" t="s">
        <v>36</v>
      </c>
      <c r="P34" s="200">
        <v>44420.811956018515</v>
      </c>
      <c r="Q34" s="25"/>
      <c r="R34" s="25" t="s">
        <v>38</v>
      </c>
      <c r="S34" s="25"/>
      <c r="T34" s="25" t="s">
        <v>157</v>
      </c>
      <c r="U34" s="200">
        <v>44456.75</v>
      </c>
      <c r="V34" s="25" t="s">
        <v>41</v>
      </c>
      <c r="W34" s="25" t="s">
        <v>49</v>
      </c>
      <c r="X34" s="13" t="str">
        <f t="shared" si="5"/>
        <v/>
      </c>
      <c r="Y34" s="2">
        <f t="shared" ca="1" si="0"/>
        <v>405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 t="str">
        <f t="shared" si="6"/>
        <v xml:space="preserve"> RINALDO </v>
      </c>
      <c r="AD34" s="2">
        <f t="shared" si="3"/>
        <v>8</v>
      </c>
      <c r="AE34" s="2">
        <f t="shared" ca="1" si="4"/>
        <v>-529.9262716435187</v>
      </c>
      <c r="AF34" s="15"/>
    </row>
    <row r="35" spans="1:32" hidden="1">
      <c r="A35" s="25">
        <v>6829203</v>
      </c>
      <c r="B35" s="25" t="s">
        <v>62</v>
      </c>
      <c r="C35" s="24" t="s">
        <v>151</v>
      </c>
      <c r="D35" s="26"/>
      <c r="E35" s="26">
        <v>1049000203010</v>
      </c>
      <c r="F35" s="25" t="s">
        <v>152</v>
      </c>
      <c r="G35" s="25" t="s">
        <v>53</v>
      </c>
      <c r="H35" s="25" t="s">
        <v>169</v>
      </c>
      <c r="I35" s="25" t="s">
        <v>170</v>
      </c>
      <c r="J35" s="25" t="s">
        <v>164</v>
      </c>
      <c r="K35" s="24" t="s">
        <v>155</v>
      </c>
      <c r="L35" s="24"/>
      <c r="M35" s="25" t="s">
        <v>35</v>
      </c>
      <c r="N35" s="25">
        <v>42318949</v>
      </c>
      <c r="O35" s="25" t="s">
        <v>36</v>
      </c>
      <c r="P35" s="200">
        <v>44420.811944444446</v>
      </c>
      <c r="Q35" s="25"/>
      <c r="R35" s="25" t="s">
        <v>38</v>
      </c>
      <c r="S35" s="25"/>
      <c r="T35" s="25" t="s">
        <v>157</v>
      </c>
      <c r="U35" s="200">
        <v>44456.75</v>
      </c>
      <c r="V35" s="25" t="s">
        <v>41</v>
      </c>
      <c r="W35" s="25" t="s">
        <v>49</v>
      </c>
      <c r="X35" s="13" t="str">
        <f t="shared" si="5"/>
        <v/>
      </c>
      <c r="Y35" s="2">
        <f t="shared" ca="1" si="0"/>
        <v>405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 t="str">
        <f t="shared" si="6"/>
        <v xml:space="preserve"> ROSEMERE </v>
      </c>
      <c r="AD35" s="2">
        <f t="shared" si="3"/>
        <v>8</v>
      </c>
      <c r="AE35" s="2">
        <f t="shared" ca="1" si="4"/>
        <v>-529.9262716435187</v>
      </c>
      <c r="AF35" s="15"/>
    </row>
    <row r="36" spans="1:32" hidden="1">
      <c r="A36" s="25">
        <v>6829198</v>
      </c>
      <c r="B36" s="25" t="s">
        <v>62</v>
      </c>
      <c r="C36" s="24" t="s">
        <v>151</v>
      </c>
      <c r="D36" s="26"/>
      <c r="E36" s="26">
        <v>1012000203010</v>
      </c>
      <c r="F36" s="25" t="s">
        <v>152</v>
      </c>
      <c r="G36" s="25" t="s">
        <v>53</v>
      </c>
      <c r="H36" s="25" t="s">
        <v>172</v>
      </c>
      <c r="I36" s="25" t="s">
        <v>173</v>
      </c>
      <c r="J36" s="25" t="s">
        <v>164</v>
      </c>
      <c r="K36" s="24" t="s">
        <v>155</v>
      </c>
      <c r="L36" s="24"/>
      <c r="M36" s="25" t="s">
        <v>35</v>
      </c>
      <c r="N36" s="25">
        <v>42318949</v>
      </c>
      <c r="O36" s="25" t="s">
        <v>36</v>
      </c>
      <c r="P36" s="200">
        <v>44420.811932870369</v>
      </c>
      <c r="Q36" s="25"/>
      <c r="R36" s="25" t="s">
        <v>38</v>
      </c>
      <c r="S36" s="25"/>
      <c r="T36" s="25" t="s">
        <v>157</v>
      </c>
      <c r="U36" s="200">
        <v>44456.75</v>
      </c>
      <c r="V36" s="25" t="s">
        <v>41</v>
      </c>
      <c r="W36" s="25" t="s">
        <v>49</v>
      </c>
      <c r="X36" s="13" t="str">
        <f t="shared" si="5"/>
        <v/>
      </c>
      <c r="Y36" s="2">
        <f t="shared" ca="1" si="0"/>
        <v>405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 t="str">
        <f t="shared" si="6"/>
        <v xml:space="preserve"> ROSEMERE </v>
      </c>
      <c r="AD36" s="2">
        <f t="shared" si="3"/>
        <v>8</v>
      </c>
      <c r="AE36" s="2">
        <f t="shared" ca="1" si="4"/>
        <v>-529.9262716435187</v>
      </c>
      <c r="AF36" s="15"/>
    </row>
    <row r="37" spans="1:32" hidden="1">
      <c r="A37" s="25">
        <v>6829184</v>
      </c>
      <c r="B37" s="25" t="s">
        <v>62</v>
      </c>
      <c r="C37" s="24" t="s">
        <v>151</v>
      </c>
      <c r="D37" s="26"/>
      <c r="E37" s="26">
        <v>899000203010</v>
      </c>
      <c r="F37" s="25" t="s">
        <v>152</v>
      </c>
      <c r="G37" s="25" t="s">
        <v>53</v>
      </c>
      <c r="H37" s="25" t="s">
        <v>175</v>
      </c>
      <c r="I37" s="25" t="s">
        <v>176</v>
      </c>
      <c r="J37" s="25" t="s">
        <v>90</v>
      </c>
      <c r="K37" s="24" t="s">
        <v>155</v>
      </c>
      <c r="L37" s="24"/>
      <c r="M37" s="25" t="s">
        <v>35</v>
      </c>
      <c r="N37" s="25">
        <v>42318949</v>
      </c>
      <c r="O37" s="25" t="s">
        <v>36</v>
      </c>
      <c r="P37" s="200">
        <v>44420.811898148146</v>
      </c>
      <c r="Q37" s="25"/>
      <c r="R37" s="25" t="s">
        <v>38</v>
      </c>
      <c r="S37" s="25"/>
      <c r="T37" s="25" t="s">
        <v>157</v>
      </c>
      <c r="U37" s="200">
        <v>44456.75</v>
      </c>
      <c r="V37" s="25" t="s">
        <v>41</v>
      </c>
      <c r="W37" s="25" t="s">
        <v>49</v>
      </c>
      <c r="X37" s="13" t="str">
        <f t="shared" si="5"/>
        <v/>
      </c>
      <c r="Y37" s="2">
        <f t="shared" ca="1" si="0"/>
        <v>405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 t="str">
        <f t="shared" si="6"/>
        <v xml:space="preserve"> RINALDO </v>
      </c>
      <c r="AD37" s="2">
        <f t="shared" si="3"/>
        <v>8</v>
      </c>
      <c r="AE37" s="2">
        <f t="shared" ca="1" si="4"/>
        <v>-529.9262716435187</v>
      </c>
      <c r="AF37" s="15"/>
    </row>
    <row r="38" spans="1:32" hidden="1">
      <c r="A38" s="25">
        <v>6842502</v>
      </c>
      <c r="B38" s="25" t="s">
        <v>62</v>
      </c>
      <c r="C38" s="24" t="s">
        <v>151</v>
      </c>
      <c r="D38" s="26"/>
      <c r="E38" s="26">
        <v>1732000203010</v>
      </c>
      <c r="F38" s="25" t="s">
        <v>152</v>
      </c>
      <c r="G38" s="25" t="s">
        <v>53</v>
      </c>
      <c r="H38" s="25" t="s">
        <v>177</v>
      </c>
      <c r="I38" s="25" t="s">
        <v>178</v>
      </c>
      <c r="J38" s="25" t="s">
        <v>164</v>
      </c>
      <c r="K38" s="24" t="s">
        <v>155</v>
      </c>
      <c r="L38" s="24"/>
      <c r="M38" s="25" t="s">
        <v>35</v>
      </c>
      <c r="N38" s="25">
        <v>42318949</v>
      </c>
      <c r="O38" s="25" t="s">
        <v>36</v>
      </c>
      <c r="P38" s="200">
        <v>44421.394976851851</v>
      </c>
      <c r="Q38" s="25"/>
      <c r="R38" s="25" t="s">
        <v>38</v>
      </c>
      <c r="S38" s="25"/>
      <c r="T38" s="25" t="s">
        <v>157</v>
      </c>
      <c r="U38" s="200">
        <v>44456.75</v>
      </c>
      <c r="V38" s="25" t="s">
        <v>41</v>
      </c>
      <c r="W38" s="25" t="s">
        <v>49</v>
      </c>
      <c r="X38" s="13" t="str">
        <f t="shared" si="5"/>
        <v/>
      </c>
      <c r="Y38" s="2">
        <f t="shared" ca="1" si="0"/>
        <v>404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 t="str">
        <f t="shared" si="6"/>
        <v xml:space="preserve"> ROSEMERE </v>
      </c>
      <c r="AD38" s="2">
        <f t="shared" si="3"/>
        <v>8</v>
      </c>
      <c r="AE38" s="2">
        <f t="shared" ca="1" si="4"/>
        <v>-529.9262716435187</v>
      </c>
      <c r="AF38" s="15"/>
    </row>
    <row r="39" spans="1:32" hidden="1">
      <c r="A39" s="25">
        <v>6842406</v>
      </c>
      <c r="B39" s="25" t="s">
        <v>62</v>
      </c>
      <c r="C39" s="24" t="s">
        <v>151</v>
      </c>
      <c r="D39" s="26"/>
      <c r="E39" s="26">
        <v>1421000203010</v>
      </c>
      <c r="F39" s="25" t="s">
        <v>152</v>
      </c>
      <c r="G39" s="25" t="s">
        <v>53</v>
      </c>
      <c r="H39" s="25" t="s">
        <v>179</v>
      </c>
      <c r="I39" s="25" t="s">
        <v>180</v>
      </c>
      <c r="J39" s="25" t="s">
        <v>79</v>
      </c>
      <c r="K39" s="24" t="s">
        <v>155</v>
      </c>
      <c r="L39" s="24"/>
      <c r="M39" s="25" t="s">
        <v>35</v>
      </c>
      <c r="N39" s="25">
        <v>42318949</v>
      </c>
      <c r="O39" s="25" t="s">
        <v>36</v>
      </c>
      <c r="P39" s="200">
        <v>44421.394791666666</v>
      </c>
      <c r="Q39" s="25"/>
      <c r="R39" s="25" t="s">
        <v>38</v>
      </c>
      <c r="S39" s="25"/>
      <c r="T39" s="25" t="s">
        <v>157</v>
      </c>
      <c r="U39" s="200">
        <v>44456.75</v>
      </c>
      <c r="V39" s="25" t="s">
        <v>41</v>
      </c>
      <c r="W39" s="25" t="s">
        <v>49</v>
      </c>
      <c r="X39" s="13" t="str">
        <f t="shared" si="5"/>
        <v/>
      </c>
      <c r="Y39" s="2">
        <f t="shared" ca="1" si="0"/>
        <v>404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 t="str">
        <f t="shared" si="6"/>
        <v xml:space="preserve"> ROSEMERE </v>
      </c>
      <c r="AD39" s="2">
        <f t="shared" si="3"/>
        <v>8</v>
      </c>
      <c r="AE39" s="2">
        <f t="shared" ca="1" si="4"/>
        <v>-529.9262716435187</v>
      </c>
      <c r="AF39" s="15"/>
    </row>
    <row r="40" spans="1:32" hidden="1">
      <c r="A40" s="25">
        <v>6842400</v>
      </c>
      <c r="B40" s="25" t="s">
        <v>62</v>
      </c>
      <c r="C40" s="24" t="s">
        <v>151</v>
      </c>
      <c r="D40" s="26"/>
      <c r="E40" s="26">
        <v>1120000203010</v>
      </c>
      <c r="F40" s="25" t="s">
        <v>152</v>
      </c>
      <c r="G40" s="25" t="s">
        <v>53</v>
      </c>
      <c r="H40" s="25" t="s">
        <v>181</v>
      </c>
      <c r="I40" s="25" t="s">
        <v>182</v>
      </c>
      <c r="J40" s="25" t="s">
        <v>164</v>
      </c>
      <c r="K40" s="24" t="s">
        <v>155</v>
      </c>
      <c r="L40" s="24"/>
      <c r="M40" s="25" t="s">
        <v>35</v>
      </c>
      <c r="N40" s="25">
        <v>42318949</v>
      </c>
      <c r="O40" s="25" t="s">
        <v>36</v>
      </c>
      <c r="P40" s="200">
        <v>44421.394780092596</v>
      </c>
      <c r="Q40" s="25"/>
      <c r="R40" s="25" t="s">
        <v>38</v>
      </c>
      <c r="S40" s="25"/>
      <c r="T40" s="25" t="s">
        <v>157</v>
      </c>
      <c r="U40" s="200">
        <v>44456.75</v>
      </c>
      <c r="V40" s="25" t="s">
        <v>41</v>
      </c>
      <c r="W40" s="25" t="s">
        <v>49</v>
      </c>
      <c r="X40" s="13" t="str">
        <f t="shared" si="5"/>
        <v/>
      </c>
      <c r="Y40" s="2">
        <f t="shared" ca="1" si="0"/>
        <v>404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 t="str">
        <f t="shared" si="6"/>
        <v xml:space="preserve"> ROSEMERE </v>
      </c>
      <c r="AD40" s="2">
        <f t="shared" si="3"/>
        <v>8</v>
      </c>
      <c r="AE40" s="2">
        <f t="shared" ca="1" si="4"/>
        <v>-529.9262716435187</v>
      </c>
      <c r="AF40" s="15"/>
    </row>
    <row r="41" spans="1:32" hidden="1">
      <c r="A41" s="25">
        <v>6842393</v>
      </c>
      <c r="B41" s="25" t="s">
        <v>62</v>
      </c>
      <c r="C41" s="24" t="s">
        <v>151</v>
      </c>
      <c r="D41" s="26"/>
      <c r="E41" s="26">
        <v>870000203010</v>
      </c>
      <c r="F41" s="25" t="s">
        <v>152</v>
      </c>
      <c r="G41" s="25" t="s">
        <v>53</v>
      </c>
      <c r="H41" s="25" t="s">
        <v>183</v>
      </c>
      <c r="I41" s="25" t="s">
        <v>184</v>
      </c>
      <c r="J41" s="25" t="s">
        <v>90</v>
      </c>
      <c r="K41" s="24" t="s">
        <v>155</v>
      </c>
      <c r="L41" s="24"/>
      <c r="M41" s="25" t="s">
        <v>35</v>
      </c>
      <c r="N41" s="25">
        <v>42318949</v>
      </c>
      <c r="O41" s="25" t="s">
        <v>36</v>
      </c>
      <c r="P41" s="200">
        <v>44421.394768518519</v>
      </c>
      <c r="Q41" s="25"/>
      <c r="R41" s="25" t="s">
        <v>38</v>
      </c>
      <c r="S41" s="25"/>
      <c r="T41" s="25" t="s">
        <v>157</v>
      </c>
      <c r="U41" s="200">
        <v>44456.75</v>
      </c>
      <c r="V41" s="25" t="s">
        <v>41</v>
      </c>
      <c r="W41" s="25" t="s">
        <v>49</v>
      </c>
      <c r="X41" s="13" t="str">
        <f t="shared" si="5"/>
        <v/>
      </c>
      <c r="Y41" s="2">
        <f t="shared" ca="1" si="0"/>
        <v>404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 t="str">
        <f t="shared" si="6"/>
        <v xml:space="preserve"> RINALDO </v>
      </c>
      <c r="AD41" s="2">
        <f t="shared" si="3"/>
        <v>8</v>
      </c>
      <c r="AE41" s="2">
        <f t="shared" ca="1" si="4"/>
        <v>-529.9262716435187</v>
      </c>
      <c r="AF41" s="15"/>
    </row>
    <row r="42" spans="1:32" hidden="1">
      <c r="A42" s="25">
        <v>6966972</v>
      </c>
      <c r="B42" s="25" t="s">
        <v>27</v>
      </c>
      <c r="C42" s="24" t="s">
        <v>186</v>
      </c>
      <c r="D42" s="26"/>
      <c r="E42" s="26">
        <v>7740206001</v>
      </c>
      <c r="F42" s="25" t="s">
        <v>29</v>
      </c>
      <c r="G42" s="25" t="s">
        <v>53</v>
      </c>
      <c r="H42" s="25" t="s">
        <v>187</v>
      </c>
      <c r="I42" s="25" t="s">
        <v>188</v>
      </c>
      <c r="J42" s="25" t="s">
        <v>46</v>
      </c>
      <c r="K42" s="24" t="s">
        <v>34</v>
      </c>
      <c r="L42" s="24"/>
      <c r="M42" s="25" t="s">
        <v>35</v>
      </c>
      <c r="N42" s="25">
        <v>42318949</v>
      </c>
      <c r="O42" s="25" t="s">
        <v>36</v>
      </c>
      <c r="P42" s="200">
        <v>44426.85628472222</v>
      </c>
      <c r="Q42" s="25"/>
      <c r="R42" s="25" t="s">
        <v>38</v>
      </c>
      <c r="S42" s="25"/>
      <c r="T42" s="25" t="s">
        <v>74</v>
      </c>
      <c r="U42" s="200">
        <v>44427.75</v>
      </c>
      <c r="V42" s="25" t="s">
        <v>41</v>
      </c>
      <c r="W42" s="25" t="s">
        <v>49</v>
      </c>
      <c r="X42" s="13" t="str">
        <f t="shared" si="5"/>
        <v>0007.74</v>
      </c>
      <c r="Y42" s="2">
        <f t="shared" ca="1" si="0"/>
        <v>401</v>
      </c>
      <c r="Z42" s="14">
        <v>1</v>
      </c>
      <c r="AA42" s="1" t="str">
        <f t="shared" ca="1" si="1"/>
        <v>VENCIDO</v>
      </c>
      <c r="AB42" s="1" t="str">
        <f t="shared" si="2"/>
        <v>Dosa</v>
      </c>
      <c r="AC42" s="2" t="str">
        <f t="shared" si="6"/>
        <v xml:space="preserve"> CLEITON </v>
      </c>
      <c r="AD42" s="2">
        <f t="shared" si="3"/>
        <v>5</v>
      </c>
      <c r="AE42" s="2">
        <f t="shared" ca="1" si="4"/>
        <v>-558.9262716435187</v>
      </c>
      <c r="AF42" s="15"/>
    </row>
    <row r="43" spans="1:32" hidden="1">
      <c r="A43" s="25">
        <v>6986331</v>
      </c>
      <c r="B43" s="25" t="s">
        <v>27</v>
      </c>
      <c r="C43" s="24" t="s">
        <v>186</v>
      </c>
      <c r="D43" s="26"/>
      <c r="E43" s="26">
        <v>2326000206001</v>
      </c>
      <c r="F43" s="25" t="s">
        <v>29</v>
      </c>
      <c r="G43" s="25" t="s">
        <v>53</v>
      </c>
      <c r="H43" s="25" t="s">
        <v>191</v>
      </c>
      <c r="I43" s="25" t="s">
        <v>192</v>
      </c>
      <c r="J43" s="25" t="s">
        <v>46</v>
      </c>
      <c r="K43" s="24" t="s">
        <v>34</v>
      </c>
      <c r="L43" s="24"/>
      <c r="M43" s="25" t="s">
        <v>35</v>
      </c>
      <c r="N43" s="25">
        <v>42318949</v>
      </c>
      <c r="O43" s="25" t="s">
        <v>105</v>
      </c>
      <c r="P43" s="200">
        <v>44427.683576388888</v>
      </c>
      <c r="Q43" s="25"/>
      <c r="R43" s="25" t="s">
        <v>38</v>
      </c>
      <c r="S43" s="25"/>
      <c r="T43" s="25" t="s">
        <v>74</v>
      </c>
      <c r="U43" s="200">
        <v>44427.75</v>
      </c>
      <c r="V43" s="25" t="s">
        <v>41</v>
      </c>
      <c r="W43" s="25" t="s">
        <v>49</v>
      </c>
      <c r="X43" s="13" t="str">
        <f t="shared" si="5"/>
        <v/>
      </c>
      <c r="Y43" s="2">
        <f t="shared" ca="1" si="0"/>
        <v>400</v>
      </c>
      <c r="Z43" s="14">
        <v>1</v>
      </c>
      <c r="AA43" s="1" t="str">
        <f t="shared" ca="1" si="1"/>
        <v>VENCIDO</v>
      </c>
      <c r="AB43" s="1" t="str">
        <f t="shared" si="2"/>
        <v>Dosa</v>
      </c>
      <c r="AC43" s="2" t="str">
        <f t="shared" si="6"/>
        <v xml:space="preserve"> CLEITON </v>
      </c>
      <c r="AD43" s="2">
        <f t="shared" si="3"/>
        <v>5</v>
      </c>
      <c r="AE43" s="2">
        <f t="shared" ca="1" si="4"/>
        <v>-558.9262716435187</v>
      </c>
      <c r="AF43" s="15"/>
    </row>
    <row r="44" spans="1:32" hidden="1">
      <c r="A44" s="25">
        <v>6986330</v>
      </c>
      <c r="B44" s="25" t="s">
        <v>27</v>
      </c>
      <c r="C44" s="24" t="s">
        <v>186</v>
      </c>
      <c r="D44" s="26"/>
      <c r="E44" s="26">
        <v>2335000206001</v>
      </c>
      <c r="F44" s="25" t="s">
        <v>29</v>
      </c>
      <c r="G44" s="25" t="s">
        <v>53</v>
      </c>
      <c r="H44" s="25" t="s">
        <v>194</v>
      </c>
      <c r="I44" s="25" t="s">
        <v>195</v>
      </c>
      <c r="J44" s="25" t="s">
        <v>110</v>
      </c>
      <c r="K44" s="24" t="s">
        <v>34</v>
      </c>
      <c r="L44" s="24"/>
      <c r="M44" s="25" t="s">
        <v>35</v>
      </c>
      <c r="N44" s="25">
        <v>42318949</v>
      </c>
      <c r="O44" s="25" t="s">
        <v>36</v>
      </c>
      <c r="P44" s="200">
        <v>44427.683136574073</v>
      </c>
      <c r="Q44" s="25"/>
      <c r="R44" s="25" t="s">
        <v>38</v>
      </c>
      <c r="S44" s="25"/>
      <c r="T44" s="25" t="s">
        <v>74</v>
      </c>
      <c r="U44" s="200">
        <v>44427.75</v>
      </c>
      <c r="V44" s="25" t="s">
        <v>41</v>
      </c>
      <c r="W44" s="25" t="s">
        <v>49</v>
      </c>
      <c r="X44" s="13" t="str">
        <f t="shared" si="5"/>
        <v/>
      </c>
      <c r="Y44" s="2">
        <f t="shared" ca="1" si="0"/>
        <v>400</v>
      </c>
      <c r="Z44" s="14">
        <v>1</v>
      </c>
      <c r="AA44" s="1" t="str">
        <f t="shared" ca="1" si="1"/>
        <v>VENCIDO</v>
      </c>
      <c r="AB44" s="1" t="str">
        <f t="shared" si="2"/>
        <v>Dosa</v>
      </c>
      <c r="AC44" s="2" t="str">
        <f t="shared" si="6"/>
        <v xml:space="preserve"> CRISTINA </v>
      </c>
      <c r="AD44" s="2">
        <f t="shared" si="3"/>
        <v>5</v>
      </c>
      <c r="AE44" s="2">
        <f t="shared" ca="1" si="4"/>
        <v>-558.9262716435187</v>
      </c>
      <c r="AF44" s="15"/>
    </row>
    <row r="45" spans="1:32" hidden="1">
      <c r="A45" s="25">
        <v>6981314</v>
      </c>
      <c r="B45" s="25" t="s">
        <v>27</v>
      </c>
      <c r="C45" s="24" t="s">
        <v>186</v>
      </c>
      <c r="D45" s="26"/>
      <c r="E45" s="26">
        <v>4357010206001</v>
      </c>
      <c r="F45" s="25" t="s">
        <v>29</v>
      </c>
      <c r="G45" s="25" t="s">
        <v>53</v>
      </c>
      <c r="H45" s="25" t="s">
        <v>197</v>
      </c>
      <c r="I45" s="25" t="s">
        <v>198</v>
      </c>
      <c r="J45" s="25" t="s">
        <v>46</v>
      </c>
      <c r="K45" s="24" t="s">
        <v>34</v>
      </c>
      <c r="L45" s="24"/>
      <c r="M45" s="25" t="s">
        <v>35</v>
      </c>
      <c r="N45" s="25">
        <v>42318949</v>
      </c>
      <c r="O45" s="25" t="s">
        <v>36</v>
      </c>
      <c r="P45" s="200">
        <v>44427.488483796296</v>
      </c>
      <c r="Q45" s="25"/>
      <c r="R45" s="25" t="s">
        <v>38</v>
      </c>
      <c r="S45" s="25"/>
      <c r="T45" s="25" t="s">
        <v>74</v>
      </c>
      <c r="U45" s="200">
        <v>44427.75</v>
      </c>
      <c r="V45" s="25" t="s">
        <v>41</v>
      </c>
      <c r="W45" s="25" t="s">
        <v>49</v>
      </c>
      <c r="X45" s="13" t="str">
        <f t="shared" si="5"/>
        <v>4357.01</v>
      </c>
      <c r="Y45" s="2">
        <f t="shared" ca="1" si="0"/>
        <v>400</v>
      </c>
      <c r="Z45" s="14">
        <v>1</v>
      </c>
      <c r="AA45" s="1" t="str">
        <f t="shared" ca="1" si="1"/>
        <v>VENCIDO</v>
      </c>
      <c r="AB45" s="1" t="str">
        <f t="shared" si="2"/>
        <v>Dosa</v>
      </c>
      <c r="AC45" s="2" t="str">
        <f t="shared" si="6"/>
        <v xml:space="preserve"> CLEITON </v>
      </c>
      <c r="AD45" s="2">
        <f t="shared" si="3"/>
        <v>5</v>
      </c>
      <c r="AE45" s="2">
        <f t="shared" ca="1" si="4"/>
        <v>-558.9262716435187</v>
      </c>
      <c r="AF45" s="15"/>
    </row>
    <row r="46" spans="1:32" hidden="1">
      <c r="A46" s="1">
        <v>7150745</v>
      </c>
      <c r="B46" s="1" t="s">
        <v>101</v>
      </c>
      <c r="C46" t="s">
        <v>199</v>
      </c>
      <c r="E46" s="2">
        <v>1059002060021</v>
      </c>
      <c r="F46" s="1" t="s">
        <v>103</v>
      </c>
      <c r="G46" s="1" t="s">
        <v>53</v>
      </c>
      <c r="H46" s="1" t="s">
        <v>88</v>
      </c>
      <c r="I46" s="1" t="s">
        <v>89</v>
      </c>
      <c r="J46" s="1" t="s">
        <v>90</v>
      </c>
      <c r="K46" t="s">
        <v>104</v>
      </c>
      <c r="M46" s="1" t="s">
        <v>58</v>
      </c>
      <c r="N46" s="1">
        <v>0</v>
      </c>
      <c r="O46" s="1" t="s">
        <v>36</v>
      </c>
      <c r="P46" s="186">
        <v>44434.404027777775</v>
      </c>
      <c r="R46" s="1" t="s">
        <v>38</v>
      </c>
      <c r="T46" s="1" t="s">
        <v>74</v>
      </c>
      <c r="U46" s="186">
        <v>44434.75</v>
      </c>
      <c r="V46" s="1" t="s">
        <v>41</v>
      </c>
      <c r="W46" s="1" t="s">
        <v>49</v>
      </c>
      <c r="X46" s="13" t="str">
        <f t="shared" si="5"/>
        <v/>
      </c>
      <c r="Y46" s="2">
        <f t="shared" ca="1" si="0"/>
        <v>395</v>
      </c>
      <c r="Z46" s="14">
        <v>1</v>
      </c>
      <c r="AA46" s="1" t="str">
        <f t="shared" ca="1" si="1"/>
        <v>VENCIDO</v>
      </c>
      <c r="AB46" s="1" t="str">
        <f t="shared" si="2"/>
        <v>Dosa</v>
      </c>
      <c r="AC46" s="2" t="str">
        <f t="shared" si="6"/>
        <v xml:space="preserve"> RINALDO </v>
      </c>
      <c r="AD46" s="2">
        <f t="shared" si="3"/>
        <v>5</v>
      </c>
      <c r="AE46" s="2">
        <f t="shared" ca="1" si="4"/>
        <v>-551.9262716435187</v>
      </c>
      <c r="AF46" s="15"/>
    </row>
    <row r="47" spans="1:32" hidden="1">
      <c r="A47" s="1">
        <v>7150715</v>
      </c>
      <c r="B47" s="1" t="s">
        <v>101</v>
      </c>
      <c r="C47" t="s">
        <v>199</v>
      </c>
      <c r="E47" s="2">
        <v>711002060021</v>
      </c>
      <c r="F47" s="1" t="s">
        <v>103</v>
      </c>
      <c r="G47" s="1" t="s">
        <v>53</v>
      </c>
      <c r="H47" s="1" t="s">
        <v>77</v>
      </c>
      <c r="I47" s="1" t="s">
        <v>78</v>
      </c>
      <c r="J47" s="1" t="s">
        <v>79</v>
      </c>
      <c r="K47" t="s">
        <v>104</v>
      </c>
      <c r="M47" s="1" t="s">
        <v>58</v>
      </c>
      <c r="N47" s="1">
        <v>0</v>
      </c>
      <c r="O47" s="1" t="s">
        <v>105</v>
      </c>
      <c r="P47" s="186">
        <v>44434.403935185182</v>
      </c>
      <c r="R47" s="1" t="s">
        <v>38</v>
      </c>
      <c r="T47" s="1" t="s">
        <v>74</v>
      </c>
      <c r="U47" s="186">
        <v>44434.75</v>
      </c>
      <c r="V47" s="1" t="s">
        <v>41</v>
      </c>
      <c r="W47" s="1" t="s">
        <v>49</v>
      </c>
      <c r="X47" s="13" t="str">
        <f t="shared" si="5"/>
        <v/>
      </c>
      <c r="Y47" s="2">
        <f t="shared" ca="1" si="0"/>
        <v>395</v>
      </c>
      <c r="Z47" s="14">
        <v>1</v>
      </c>
      <c r="AA47" s="1" t="str">
        <f t="shared" ca="1" si="1"/>
        <v>VENCIDO</v>
      </c>
      <c r="AB47" s="1" t="str">
        <f t="shared" si="2"/>
        <v>Dosa</v>
      </c>
      <c r="AC47" s="2" t="str">
        <f t="shared" si="6"/>
        <v xml:space="preserve"> ROSEMERE </v>
      </c>
      <c r="AD47" s="2">
        <f t="shared" si="3"/>
        <v>5</v>
      </c>
      <c r="AE47" s="2">
        <f t="shared" ca="1" si="4"/>
        <v>-551.9262716435187</v>
      </c>
      <c r="AF47" s="15"/>
    </row>
    <row r="48" spans="1:32" hidden="1">
      <c r="A48" s="1">
        <v>7149319</v>
      </c>
      <c r="B48" s="1" t="s">
        <v>101</v>
      </c>
      <c r="C48" t="s">
        <v>207</v>
      </c>
      <c r="E48" s="2">
        <v>9700000206215</v>
      </c>
      <c r="F48" s="1" t="s">
        <v>208</v>
      </c>
      <c r="G48" s="1" t="s">
        <v>53</v>
      </c>
      <c r="H48" s="1" t="s">
        <v>209</v>
      </c>
      <c r="I48" s="1" t="s">
        <v>210</v>
      </c>
      <c r="J48" s="1" t="s">
        <v>211</v>
      </c>
      <c r="K48" t="s">
        <v>212</v>
      </c>
      <c r="M48" s="1" t="s">
        <v>35</v>
      </c>
      <c r="N48" s="1">
        <v>42318949</v>
      </c>
      <c r="O48" s="1" t="s">
        <v>105</v>
      </c>
      <c r="P48" s="186">
        <v>44434.401979166665</v>
      </c>
      <c r="R48" s="1" t="s">
        <v>38</v>
      </c>
      <c r="T48" s="1" t="s">
        <v>74</v>
      </c>
      <c r="U48" s="186">
        <v>44434.75</v>
      </c>
      <c r="V48" s="1" t="s">
        <v>41</v>
      </c>
      <c r="W48" s="1" t="s">
        <v>49</v>
      </c>
      <c r="X48" s="13" t="str">
        <f t="shared" si="5"/>
        <v/>
      </c>
      <c r="Y48" s="2">
        <f t="shared" ca="1" si="0"/>
        <v>395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 t="str">
        <f t="shared" si="6"/>
        <v xml:space="preserve"> RINALDO </v>
      </c>
      <c r="AD48" s="2">
        <f t="shared" si="3"/>
        <v>8</v>
      </c>
      <c r="AE48" s="2">
        <f t="shared" ca="1" si="4"/>
        <v>-551.9262716435187</v>
      </c>
      <c r="AF48" s="15"/>
    </row>
    <row r="49" spans="1:32" hidden="1">
      <c r="A49" s="1">
        <v>7148873</v>
      </c>
      <c r="B49" s="1" t="s">
        <v>101</v>
      </c>
      <c r="C49" t="s">
        <v>207</v>
      </c>
      <c r="E49" s="2">
        <v>9700000206206</v>
      </c>
      <c r="F49" s="1" t="s">
        <v>208</v>
      </c>
      <c r="G49" s="1" t="s">
        <v>53</v>
      </c>
      <c r="H49" s="1" t="s">
        <v>209</v>
      </c>
      <c r="I49" s="1" t="s">
        <v>210</v>
      </c>
      <c r="J49" s="1" t="s">
        <v>211</v>
      </c>
      <c r="K49" t="s">
        <v>212</v>
      </c>
      <c r="M49" s="1" t="s">
        <v>35</v>
      </c>
      <c r="N49" s="1">
        <v>42318949</v>
      </c>
      <c r="O49" s="1" t="s">
        <v>105</v>
      </c>
      <c r="P49" s="186">
        <v>44434.401319444441</v>
      </c>
      <c r="R49" s="1" t="s">
        <v>38</v>
      </c>
      <c r="T49" s="1" t="s">
        <v>74</v>
      </c>
      <c r="U49" s="186">
        <v>44434.75</v>
      </c>
      <c r="V49" s="1" t="s">
        <v>41</v>
      </c>
      <c r="W49" s="1" t="s">
        <v>49</v>
      </c>
      <c r="X49" s="13" t="str">
        <f t="shared" si="5"/>
        <v/>
      </c>
      <c r="Y49" s="2">
        <f t="shared" ca="1" si="0"/>
        <v>395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 t="str">
        <f t="shared" si="6"/>
        <v xml:space="preserve"> RINALDO </v>
      </c>
      <c r="AD49" s="2">
        <f t="shared" si="3"/>
        <v>8</v>
      </c>
      <c r="AE49" s="2">
        <f t="shared" ca="1" si="4"/>
        <v>-551.9262716435187</v>
      </c>
      <c r="AF49" s="15"/>
    </row>
    <row r="50" spans="1:32" hidden="1">
      <c r="A50" s="1">
        <v>7148559</v>
      </c>
      <c r="B50" s="1" t="s">
        <v>101</v>
      </c>
      <c r="C50" t="s">
        <v>207</v>
      </c>
      <c r="E50" s="2">
        <v>9700000206208</v>
      </c>
      <c r="F50" s="1" t="s">
        <v>208</v>
      </c>
      <c r="G50" s="1" t="s">
        <v>53</v>
      </c>
      <c r="H50" s="1" t="s">
        <v>209</v>
      </c>
      <c r="I50" s="1" t="s">
        <v>210</v>
      </c>
      <c r="J50" s="1" t="s">
        <v>211</v>
      </c>
      <c r="K50" t="s">
        <v>212</v>
      </c>
      <c r="M50" s="1" t="s">
        <v>35</v>
      </c>
      <c r="N50" s="1">
        <v>42318949</v>
      </c>
      <c r="O50" s="1" t="s">
        <v>105</v>
      </c>
      <c r="P50" s="186">
        <v>44434.400891203702</v>
      </c>
      <c r="R50" s="1" t="s">
        <v>38</v>
      </c>
      <c r="T50" s="1" t="s">
        <v>74</v>
      </c>
      <c r="U50" s="186">
        <v>44434.75</v>
      </c>
      <c r="V50" s="1" t="s">
        <v>41</v>
      </c>
      <c r="W50" s="1" t="s">
        <v>49</v>
      </c>
      <c r="X50" s="13" t="str">
        <f t="shared" si="5"/>
        <v/>
      </c>
      <c r="Y50" s="2">
        <f t="shared" ca="1" si="0"/>
        <v>395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 t="str">
        <f t="shared" si="6"/>
        <v xml:space="preserve"> RINALDO </v>
      </c>
      <c r="AD50" s="2">
        <f t="shared" si="3"/>
        <v>8</v>
      </c>
      <c r="AE50" s="2">
        <f t="shared" ca="1" si="4"/>
        <v>-551.9262716435187</v>
      </c>
      <c r="AF50" s="15"/>
    </row>
    <row r="51" spans="1:32" hidden="1">
      <c r="A51" s="1">
        <v>7148259</v>
      </c>
      <c r="B51" s="1" t="s">
        <v>101</v>
      </c>
      <c r="C51" t="s">
        <v>207</v>
      </c>
      <c r="E51" s="2">
        <v>9700000206202</v>
      </c>
      <c r="F51" s="1" t="s">
        <v>208</v>
      </c>
      <c r="G51" s="1" t="s">
        <v>53</v>
      </c>
      <c r="H51" s="1" t="s">
        <v>209</v>
      </c>
      <c r="I51" s="1" t="s">
        <v>210</v>
      </c>
      <c r="J51" s="1" t="s">
        <v>211</v>
      </c>
      <c r="K51" t="s">
        <v>212</v>
      </c>
      <c r="M51" s="1" t="s">
        <v>35</v>
      </c>
      <c r="N51" s="1">
        <v>42318949</v>
      </c>
      <c r="O51" s="1" t="s">
        <v>105</v>
      </c>
      <c r="P51" s="186">
        <v>44434.400416666664</v>
      </c>
      <c r="R51" s="1" t="s">
        <v>38</v>
      </c>
      <c r="T51" s="1" t="s">
        <v>74</v>
      </c>
      <c r="U51" s="186">
        <v>44434.75</v>
      </c>
      <c r="V51" s="1" t="s">
        <v>41</v>
      </c>
      <c r="W51" s="1" t="s">
        <v>49</v>
      </c>
      <c r="X51" s="13" t="str">
        <f t="shared" si="5"/>
        <v/>
      </c>
      <c r="Y51" s="2">
        <f t="shared" ca="1" si="0"/>
        <v>395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 t="str">
        <f t="shared" si="6"/>
        <v xml:space="preserve"> RINALDO </v>
      </c>
      <c r="AD51" s="2">
        <f t="shared" si="3"/>
        <v>8</v>
      </c>
      <c r="AE51" s="2">
        <f t="shared" ca="1" si="4"/>
        <v>-551.9262716435187</v>
      </c>
      <c r="AF51" s="15"/>
    </row>
    <row r="52" spans="1:32" hidden="1">
      <c r="A52" s="1">
        <v>7148258</v>
      </c>
      <c r="B52" s="1" t="s">
        <v>101</v>
      </c>
      <c r="C52" t="s">
        <v>207</v>
      </c>
      <c r="E52" s="2">
        <v>9700000206200</v>
      </c>
      <c r="F52" s="1" t="s">
        <v>208</v>
      </c>
      <c r="G52" s="1" t="s">
        <v>53</v>
      </c>
      <c r="H52" s="1" t="s">
        <v>209</v>
      </c>
      <c r="I52" s="1" t="s">
        <v>210</v>
      </c>
      <c r="J52" s="1" t="s">
        <v>211</v>
      </c>
      <c r="K52" t="s">
        <v>212</v>
      </c>
      <c r="M52" s="1" t="s">
        <v>35</v>
      </c>
      <c r="N52" s="1">
        <v>42318949</v>
      </c>
      <c r="O52" s="1" t="s">
        <v>105</v>
      </c>
      <c r="P52" s="11" t="s">
        <v>215</v>
      </c>
      <c r="R52" s="1" t="s">
        <v>38</v>
      </c>
      <c r="T52" s="1" t="s">
        <v>74</v>
      </c>
      <c r="U52" s="11" t="s">
        <v>201</v>
      </c>
      <c r="V52" s="1" t="s">
        <v>41</v>
      </c>
      <c r="W52" s="1" t="s">
        <v>49</v>
      </c>
      <c r="X52" s="13" t="str">
        <f t="shared" si="5"/>
        <v/>
      </c>
      <c r="Y52" s="2">
        <f t="shared" ca="1" si="0"/>
        <v>395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 t="str">
        <f t="shared" si="6"/>
        <v xml:space="preserve"> RINALDO </v>
      </c>
      <c r="AD52" s="2">
        <f t="shared" si="3"/>
        <v>8</v>
      </c>
      <c r="AE52" s="2">
        <f t="shared" ca="1" si="4"/>
        <v>-551.9262716435187</v>
      </c>
      <c r="AF52" s="15"/>
    </row>
    <row r="53" spans="1:32" hidden="1">
      <c r="A53" s="1">
        <v>7148018</v>
      </c>
      <c r="B53" s="1" t="s">
        <v>101</v>
      </c>
      <c r="C53" t="s">
        <v>207</v>
      </c>
      <c r="E53" s="2">
        <v>9700000206214</v>
      </c>
      <c r="F53" s="1" t="s">
        <v>208</v>
      </c>
      <c r="G53" s="1" t="s">
        <v>53</v>
      </c>
      <c r="H53" s="1" t="s">
        <v>209</v>
      </c>
      <c r="I53" s="1" t="s">
        <v>210</v>
      </c>
      <c r="J53" s="1" t="s">
        <v>211</v>
      </c>
      <c r="K53" t="s">
        <v>212</v>
      </c>
      <c r="M53" s="1" t="s">
        <v>35</v>
      </c>
      <c r="N53" s="1">
        <v>42318949</v>
      </c>
      <c r="O53" s="1" t="s">
        <v>105</v>
      </c>
      <c r="P53" s="11" t="s">
        <v>216</v>
      </c>
      <c r="R53" s="1" t="s">
        <v>38</v>
      </c>
      <c r="T53" s="1" t="s">
        <v>74</v>
      </c>
      <c r="U53" s="11" t="s">
        <v>201</v>
      </c>
      <c r="V53" s="1" t="s">
        <v>41</v>
      </c>
      <c r="W53" s="1" t="s">
        <v>49</v>
      </c>
      <c r="X53" s="13" t="str">
        <f t="shared" si="5"/>
        <v/>
      </c>
      <c r="Y53" s="2">
        <f t="shared" ca="1" si="0"/>
        <v>395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 t="str">
        <f t="shared" si="6"/>
        <v xml:space="preserve"> RINALDO </v>
      </c>
      <c r="AD53" s="2">
        <f t="shared" si="3"/>
        <v>8</v>
      </c>
      <c r="AE53" s="2">
        <f t="shared" ca="1" si="4"/>
        <v>-551.9262716435187</v>
      </c>
      <c r="AF53" s="15"/>
    </row>
    <row r="54" spans="1:32" hidden="1">
      <c r="A54" s="1">
        <v>7147788</v>
      </c>
      <c r="B54" s="1" t="s">
        <v>101</v>
      </c>
      <c r="C54" t="s">
        <v>207</v>
      </c>
      <c r="E54" s="2">
        <v>9700000206219</v>
      </c>
      <c r="F54" s="1" t="s">
        <v>208</v>
      </c>
      <c r="G54" s="1" t="s">
        <v>53</v>
      </c>
      <c r="H54" s="1" t="s">
        <v>209</v>
      </c>
      <c r="I54" s="1" t="s">
        <v>210</v>
      </c>
      <c r="J54" s="1" t="s">
        <v>211</v>
      </c>
      <c r="K54" t="s">
        <v>212</v>
      </c>
      <c r="M54" s="1" t="s">
        <v>35</v>
      </c>
      <c r="N54" s="1">
        <v>42318949</v>
      </c>
      <c r="O54" s="1" t="s">
        <v>105</v>
      </c>
      <c r="P54" s="11" t="s">
        <v>217</v>
      </c>
      <c r="R54" s="1" t="s">
        <v>38</v>
      </c>
      <c r="T54" s="1" t="s">
        <v>74</v>
      </c>
      <c r="U54" s="11" t="s">
        <v>201</v>
      </c>
      <c r="V54" s="1" t="s">
        <v>41</v>
      </c>
      <c r="W54" s="1" t="s">
        <v>49</v>
      </c>
      <c r="X54" s="13" t="str">
        <f t="shared" si="5"/>
        <v/>
      </c>
      <c r="Y54" s="2">
        <f t="shared" ca="1" si="0"/>
        <v>395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 t="str">
        <f t="shared" si="6"/>
        <v xml:space="preserve"> RINALDO </v>
      </c>
      <c r="AD54" s="2">
        <f t="shared" si="3"/>
        <v>8</v>
      </c>
      <c r="AE54" s="2">
        <f t="shared" ca="1" si="4"/>
        <v>-551.9262716435187</v>
      </c>
      <c r="AF54" s="15"/>
    </row>
    <row r="55" spans="1:32" hidden="1">
      <c r="A55" s="1">
        <v>7147787</v>
      </c>
      <c r="B55" s="1" t="s">
        <v>101</v>
      </c>
      <c r="C55" t="s">
        <v>207</v>
      </c>
      <c r="E55" s="2">
        <v>9700000206210</v>
      </c>
      <c r="F55" s="1" t="s">
        <v>208</v>
      </c>
      <c r="G55" s="1" t="s">
        <v>53</v>
      </c>
      <c r="H55" s="1" t="s">
        <v>209</v>
      </c>
      <c r="I55" s="1" t="s">
        <v>210</v>
      </c>
      <c r="J55" s="1" t="s">
        <v>211</v>
      </c>
      <c r="K55" t="s">
        <v>212</v>
      </c>
      <c r="M55" s="1" t="s">
        <v>35</v>
      </c>
      <c r="N55" s="1">
        <v>42318949</v>
      </c>
      <c r="O55" s="1" t="s">
        <v>105</v>
      </c>
      <c r="P55" s="12">
        <v>44434.39947916667</v>
      </c>
      <c r="R55" s="1" t="s">
        <v>38</v>
      </c>
      <c r="T55" s="1" t="s">
        <v>74</v>
      </c>
      <c r="U55" s="12">
        <v>44434.75</v>
      </c>
      <c r="V55" s="1" t="s">
        <v>41</v>
      </c>
      <c r="W55" s="1" t="s">
        <v>49</v>
      </c>
      <c r="X55" s="13" t="str">
        <f t="shared" si="5"/>
        <v/>
      </c>
      <c r="Y55" s="2">
        <f t="shared" ca="1" si="0"/>
        <v>395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 t="str">
        <f t="shared" si="6"/>
        <v xml:space="preserve"> RINALDO </v>
      </c>
      <c r="AD55" s="2">
        <f t="shared" si="3"/>
        <v>8</v>
      </c>
      <c r="AE55" s="2">
        <f t="shared" ca="1" si="4"/>
        <v>-551.9262716435187</v>
      </c>
      <c r="AF55" s="15"/>
    </row>
    <row r="56" spans="1:32" hidden="1">
      <c r="A56" s="1">
        <v>7146947</v>
      </c>
      <c r="B56" s="1" t="s">
        <v>101</v>
      </c>
      <c r="C56" t="s">
        <v>207</v>
      </c>
      <c r="E56" s="2">
        <v>9700000206218</v>
      </c>
      <c r="F56" s="1" t="s">
        <v>208</v>
      </c>
      <c r="G56" s="1" t="s">
        <v>53</v>
      </c>
      <c r="H56" s="1" t="s">
        <v>209</v>
      </c>
      <c r="I56" s="1" t="s">
        <v>210</v>
      </c>
      <c r="J56" s="1" t="s">
        <v>211</v>
      </c>
      <c r="K56" t="s">
        <v>212</v>
      </c>
      <c r="M56" s="1" t="s">
        <v>35</v>
      </c>
      <c r="N56" s="1">
        <v>42318949</v>
      </c>
      <c r="O56" s="1" t="s">
        <v>105</v>
      </c>
      <c r="P56" s="186">
        <v>44434.398113425923</v>
      </c>
      <c r="R56" s="1" t="s">
        <v>38</v>
      </c>
      <c r="T56" s="1" t="s">
        <v>74</v>
      </c>
      <c r="U56" s="186">
        <v>44434.75</v>
      </c>
      <c r="V56" s="1" t="s">
        <v>41</v>
      </c>
      <c r="W56" s="1" t="s">
        <v>49</v>
      </c>
      <c r="X56" s="13" t="str">
        <f t="shared" si="5"/>
        <v/>
      </c>
      <c r="Y56" s="2">
        <f t="shared" ca="1" si="0"/>
        <v>395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 t="str">
        <f t="shared" si="6"/>
        <v xml:space="preserve"> RINALDO </v>
      </c>
      <c r="AD56" s="2">
        <f t="shared" si="3"/>
        <v>8</v>
      </c>
      <c r="AE56" s="2">
        <f t="shared" ca="1" si="4"/>
        <v>-551.9262716435187</v>
      </c>
      <c r="AF56" s="15"/>
    </row>
    <row r="57" spans="1:32" hidden="1">
      <c r="A57" s="1">
        <v>7146818</v>
      </c>
      <c r="B57" s="1" t="s">
        <v>101</v>
      </c>
      <c r="C57" t="s">
        <v>207</v>
      </c>
      <c r="E57" s="2">
        <v>9700000206203</v>
      </c>
      <c r="F57" s="1" t="s">
        <v>208</v>
      </c>
      <c r="G57" s="1" t="s">
        <v>53</v>
      </c>
      <c r="H57" s="1" t="s">
        <v>209</v>
      </c>
      <c r="I57" s="1" t="s">
        <v>210</v>
      </c>
      <c r="J57" s="1" t="s">
        <v>211</v>
      </c>
      <c r="K57" t="s">
        <v>212</v>
      </c>
      <c r="M57" s="1" t="s">
        <v>35</v>
      </c>
      <c r="N57" s="1">
        <v>42318949</v>
      </c>
      <c r="O57" s="1" t="s">
        <v>105</v>
      </c>
      <c r="P57" s="186">
        <v>44434.397800925923</v>
      </c>
      <c r="R57" s="1" t="s">
        <v>38</v>
      </c>
      <c r="T57" s="1" t="s">
        <v>74</v>
      </c>
      <c r="U57" s="186">
        <v>44434.75</v>
      </c>
      <c r="V57" s="1" t="s">
        <v>41</v>
      </c>
      <c r="W57" s="1" t="s">
        <v>49</v>
      </c>
      <c r="X57" s="13" t="str">
        <f t="shared" si="5"/>
        <v/>
      </c>
      <c r="Y57" s="2">
        <f t="shared" ca="1" si="0"/>
        <v>395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 t="str">
        <f t="shared" si="6"/>
        <v xml:space="preserve"> RINALDO </v>
      </c>
      <c r="AD57" s="2">
        <f t="shared" si="3"/>
        <v>8</v>
      </c>
      <c r="AE57" s="2">
        <f t="shared" ca="1" si="4"/>
        <v>-551.9262716435187</v>
      </c>
      <c r="AF57" s="15"/>
    </row>
    <row r="58" spans="1:32" hidden="1">
      <c r="A58" s="1">
        <v>7146758</v>
      </c>
      <c r="B58" s="1" t="s">
        <v>101</v>
      </c>
      <c r="C58" t="s">
        <v>207</v>
      </c>
      <c r="E58" s="2">
        <v>9700000206201</v>
      </c>
      <c r="F58" s="1" t="s">
        <v>208</v>
      </c>
      <c r="G58" s="1" t="s">
        <v>53</v>
      </c>
      <c r="H58" s="1" t="s">
        <v>209</v>
      </c>
      <c r="I58" s="1" t="s">
        <v>210</v>
      </c>
      <c r="J58" s="1" t="s">
        <v>211</v>
      </c>
      <c r="K58" t="s">
        <v>212</v>
      </c>
      <c r="M58" s="1" t="s">
        <v>35</v>
      </c>
      <c r="N58" s="1">
        <v>42318949</v>
      </c>
      <c r="O58" s="1" t="s">
        <v>105</v>
      </c>
      <c r="P58" s="11" t="s">
        <v>220</v>
      </c>
      <c r="R58" s="1" t="s">
        <v>38</v>
      </c>
      <c r="T58" s="1" t="s">
        <v>74</v>
      </c>
      <c r="U58" s="11" t="s">
        <v>201</v>
      </c>
      <c r="V58" s="1" t="s">
        <v>41</v>
      </c>
      <c r="W58" s="1" t="s">
        <v>49</v>
      </c>
      <c r="X58" s="13" t="str">
        <f t="shared" si="5"/>
        <v/>
      </c>
      <c r="Y58" s="2">
        <f t="shared" ca="1" si="0"/>
        <v>395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 t="str">
        <f t="shared" si="6"/>
        <v xml:space="preserve"> RINALDO </v>
      </c>
      <c r="AD58" s="2">
        <f t="shared" si="3"/>
        <v>8</v>
      </c>
      <c r="AE58" s="2">
        <f t="shared" ca="1" si="4"/>
        <v>-551.9262716435187</v>
      </c>
      <c r="AF58" s="15"/>
    </row>
    <row r="59" spans="1:32" hidden="1">
      <c r="A59" s="1">
        <v>7146156</v>
      </c>
      <c r="B59" s="1" t="s">
        <v>101</v>
      </c>
      <c r="C59" t="s">
        <v>207</v>
      </c>
      <c r="E59" s="2">
        <v>9700000206205</v>
      </c>
      <c r="F59" s="1" t="s">
        <v>208</v>
      </c>
      <c r="G59" s="1" t="s">
        <v>53</v>
      </c>
      <c r="H59" s="1" t="s">
        <v>209</v>
      </c>
      <c r="I59" s="1" t="s">
        <v>210</v>
      </c>
      <c r="J59" s="1" t="s">
        <v>211</v>
      </c>
      <c r="K59" t="s">
        <v>212</v>
      </c>
      <c r="M59" s="1" t="s">
        <v>35</v>
      </c>
      <c r="N59" s="1">
        <v>42318949</v>
      </c>
      <c r="O59" s="1" t="s">
        <v>105</v>
      </c>
      <c r="P59" s="12">
        <v>44434.396678240744</v>
      </c>
      <c r="R59" s="1" t="s">
        <v>38</v>
      </c>
      <c r="T59" s="1" t="s">
        <v>74</v>
      </c>
      <c r="U59" s="12">
        <v>44434.75</v>
      </c>
      <c r="V59" s="1" t="s">
        <v>41</v>
      </c>
      <c r="W59" s="1" t="s">
        <v>49</v>
      </c>
      <c r="X59" s="13" t="str">
        <f t="shared" si="5"/>
        <v/>
      </c>
      <c r="Y59" s="2">
        <f t="shared" ca="1" si="0"/>
        <v>395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 t="str">
        <f t="shared" si="6"/>
        <v xml:space="preserve"> RINALDO </v>
      </c>
      <c r="AD59" s="2">
        <f t="shared" si="3"/>
        <v>8</v>
      </c>
      <c r="AE59" s="2">
        <f t="shared" ca="1" si="4"/>
        <v>-551.9262716435187</v>
      </c>
      <c r="AF59" s="15"/>
    </row>
    <row r="60" spans="1:32" hidden="1">
      <c r="A60" s="1">
        <v>7145602</v>
      </c>
      <c r="B60" s="1" t="s">
        <v>101</v>
      </c>
      <c r="C60" t="s">
        <v>207</v>
      </c>
      <c r="E60" s="2">
        <v>9700000206207</v>
      </c>
      <c r="F60" s="1" t="s">
        <v>208</v>
      </c>
      <c r="G60" s="1" t="s">
        <v>53</v>
      </c>
      <c r="H60" s="1" t="s">
        <v>209</v>
      </c>
      <c r="I60" s="1" t="s">
        <v>210</v>
      </c>
      <c r="J60" s="1" t="s">
        <v>211</v>
      </c>
      <c r="K60" t="s">
        <v>212</v>
      </c>
      <c r="M60" s="1" t="s">
        <v>35</v>
      </c>
      <c r="N60" s="1">
        <v>42318949</v>
      </c>
      <c r="O60" s="1" t="s">
        <v>105</v>
      </c>
      <c r="P60" s="186">
        <v>44434.395624999997</v>
      </c>
      <c r="R60" s="1" t="s">
        <v>38</v>
      </c>
      <c r="T60" s="1" t="s">
        <v>74</v>
      </c>
      <c r="U60" s="186">
        <v>44434.75</v>
      </c>
      <c r="V60" s="1" t="s">
        <v>41</v>
      </c>
      <c r="W60" s="1" t="s">
        <v>49</v>
      </c>
      <c r="X60" s="13" t="str">
        <f t="shared" si="5"/>
        <v/>
      </c>
      <c r="Y60" s="2">
        <f t="shared" ca="1" si="0"/>
        <v>395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 t="str">
        <f t="shared" si="6"/>
        <v xml:space="preserve"> RINALDO </v>
      </c>
      <c r="AD60" s="2">
        <f t="shared" si="3"/>
        <v>8</v>
      </c>
      <c r="AE60" s="2">
        <f t="shared" ca="1" si="4"/>
        <v>-551.9262716435187</v>
      </c>
      <c r="AF60" s="15"/>
    </row>
    <row r="61" spans="1:32" hidden="1">
      <c r="A61" s="1">
        <v>7145601</v>
      </c>
      <c r="B61" s="1" t="s">
        <v>101</v>
      </c>
      <c r="C61" t="s">
        <v>207</v>
      </c>
      <c r="E61" s="2">
        <v>9700000206204</v>
      </c>
      <c r="F61" s="1" t="s">
        <v>208</v>
      </c>
      <c r="G61" s="1" t="s">
        <v>53</v>
      </c>
      <c r="H61" s="1" t="s">
        <v>209</v>
      </c>
      <c r="I61" s="1" t="s">
        <v>210</v>
      </c>
      <c r="J61" s="1" t="s">
        <v>211</v>
      </c>
      <c r="K61" t="s">
        <v>212</v>
      </c>
      <c r="M61" s="1" t="s">
        <v>35</v>
      </c>
      <c r="N61" s="1">
        <v>42318949</v>
      </c>
      <c r="O61" s="1" t="s">
        <v>105</v>
      </c>
      <c r="P61" s="11" t="s">
        <v>222</v>
      </c>
      <c r="R61" s="1" t="s">
        <v>38</v>
      </c>
      <c r="T61" s="1" t="s">
        <v>74</v>
      </c>
      <c r="U61" s="12">
        <v>44434.75</v>
      </c>
      <c r="V61" s="1" t="s">
        <v>41</v>
      </c>
      <c r="W61" s="1" t="s">
        <v>49</v>
      </c>
      <c r="X61" s="13" t="str">
        <f t="shared" si="5"/>
        <v/>
      </c>
      <c r="Y61" s="2">
        <f t="shared" ca="1" si="0"/>
        <v>395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 t="str">
        <f t="shared" si="6"/>
        <v xml:space="preserve"> RINALDO </v>
      </c>
      <c r="AD61" s="2">
        <f t="shared" si="3"/>
        <v>8</v>
      </c>
      <c r="AE61" s="2">
        <f t="shared" ca="1" si="4"/>
        <v>-551.9262716435187</v>
      </c>
      <c r="AF61" s="15"/>
    </row>
    <row r="62" spans="1:32" hidden="1">
      <c r="A62" s="1">
        <v>7145296</v>
      </c>
      <c r="B62" s="1" t="s">
        <v>101</v>
      </c>
      <c r="C62" t="s">
        <v>207</v>
      </c>
      <c r="E62" s="2">
        <v>9700000206213</v>
      </c>
      <c r="F62" s="1" t="s">
        <v>208</v>
      </c>
      <c r="G62" s="1" t="s">
        <v>53</v>
      </c>
      <c r="H62" s="1" t="s">
        <v>209</v>
      </c>
      <c r="I62" s="1" t="s">
        <v>210</v>
      </c>
      <c r="J62" s="1" t="s">
        <v>211</v>
      </c>
      <c r="K62" t="s">
        <v>212</v>
      </c>
      <c r="M62" s="1" t="s">
        <v>35</v>
      </c>
      <c r="N62" s="1">
        <v>42318949</v>
      </c>
      <c r="O62" s="1" t="s">
        <v>105</v>
      </c>
      <c r="P62" s="11" t="s">
        <v>223</v>
      </c>
      <c r="R62" s="1" t="s">
        <v>38</v>
      </c>
      <c r="T62" s="1" t="s">
        <v>74</v>
      </c>
      <c r="U62" s="11" t="s">
        <v>201</v>
      </c>
      <c r="V62" s="1" t="s">
        <v>41</v>
      </c>
      <c r="W62" s="1" t="s">
        <v>49</v>
      </c>
      <c r="X62" s="13" t="str">
        <f t="shared" si="5"/>
        <v/>
      </c>
      <c r="Y62" s="2">
        <f t="shared" ca="1" si="0"/>
        <v>395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 t="str">
        <f t="shared" si="6"/>
        <v xml:space="preserve"> RINALDO </v>
      </c>
      <c r="AD62" s="2">
        <f t="shared" si="3"/>
        <v>8</v>
      </c>
      <c r="AE62" s="2">
        <f t="shared" ca="1" si="4"/>
        <v>-551.9262716435187</v>
      </c>
      <c r="AF62" s="15"/>
    </row>
    <row r="63" spans="1:32" hidden="1">
      <c r="A63" s="25">
        <v>7144762</v>
      </c>
      <c r="B63" s="25" t="s">
        <v>101</v>
      </c>
      <c r="C63" s="24" t="s">
        <v>207</v>
      </c>
      <c r="D63" s="26"/>
      <c r="E63" s="26">
        <v>9700000206212</v>
      </c>
      <c r="F63" s="25" t="s">
        <v>208</v>
      </c>
      <c r="G63" s="25" t="s">
        <v>53</v>
      </c>
      <c r="H63" s="25" t="s">
        <v>209</v>
      </c>
      <c r="I63" s="25" t="s">
        <v>210</v>
      </c>
      <c r="J63" s="25" t="s">
        <v>211</v>
      </c>
      <c r="K63" s="24" t="s">
        <v>212</v>
      </c>
      <c r="L63" s="24"/>
      <c r="M63" s="25" t="s">
        <v>35</v>
      </c>
      <c r="N63" s="25">
        <v>42318949</v>
      </c>
      <c r="O63" s="25" t="s">
        <v>105</v>
      </c>
      <c r="P63" s="200">
        <v>44434.39434027778</v>
      </c>
      <c r="Q63" s="25"/>
      <c r="R63" s="25" t="s">
        <v>38</v>
      </c>
      <c r="S63" s="25"/>
      <c r="T63" s="25" t="s">
        <v>74</v>
      </c>
      <c r="U63" s="200">
        <v>44434.75</v>
      </c>
      <c r="V63" s="25" t="s">
        <v>41</v>
      </c>
      <c r="W63" s="25" t="s">
        <v>49</v>
      </c>
      <c r="X63" s="13" t="str">
        <f t="shared" si="5"/>
        <v/>
      </c>
      <c r="Y63" s="2">
        <f t="shared" ca="1" si="0"/>
        <v>395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 t="str">
        <f t="shared" si="6"/>
        <v xml:space="preserve"> RINALDO </v>
      </c>
      <c r="AD63" s="2">
        <f t="shared" si="3"/>
        <v>8</v>
      </c>
      <c r="AE63" s="2">
        <f t="shared" ca="1" si="4"/>
        <v>-551.9262716435187</v>
      </c>
      <c r="AF63" s="15"/>
    </row>
    <row r="64" spans="1:32" hidden="1">
      <c r="A64" s="25">
        <v>7144761</v>
      </c>
      <c r="B64" s="25" t="s">
        <v>101</v>
      </c>
      <c r="C64" s="24" t="s">
        <v>207</v>
      </c>
      <c r="D64" s="26"/>
      <c r="E64" s="26">
        <v>9700000206209</v>
      </c>
      <c r="F64" s="25" t="s">
        <v>208</v>
      </c>
      <c r="G64" s="25" t="s">
        <v>53</v>
      </c>
      <c r="H64" s="25" t="s">
        <v>209</v>
      </c>
      <c r="I64" s="25" t="s">
        <v>210</v>
      </c>
      <c r="J64" s="25" t="s">
        <v>211</v>
      </c>
      <c r="K64" s="24" t="s">
        <v>212</v>
      </c>
      <c r="L64" s="24"/>
      <c r="M64" s="25" t="s">
        <v>35</v>
      </c>
      <c r="N64" s="25">
        <v>42318949</v>
      </c>
      <c r="O64" s="25" t="s">
        <v>105</v>
      </c>
      <c r="P64" s="200">
        <v>44434.39434027778</v>
      </c>
      <c r="Q64" s="25"/>
      <c r="R64" s="25" t="s">
        <v>38</v>
      </c>
      <c r="S64" s="25"/>
      <c r="T64" s="25" t="s">
        <v>74</v>
      </c>
      <c r="U64" s="200">
        <v>44434.75</v>
      </c>
      <c r="V64" s="25" t="s">
        <v>41</v>
      </c>
      <c r="W64" s="25" t="s">
        <v>49</v>
      </c>
      <c r="X64" s="13" t="str">
        <f t="shared" si="5"/>
        <v/>
      </c>
      <c r="Y64" s="2">
        <f t="shared" ca="1" si="0"/>
        <v>395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 t="str">
        <f t="shared" si="6"/>
        <v xml:space="preserve"> RINALDO </v>
      </c>
      <c r="AD64" s="2">
        <f t="shared" si="3"/>
        <v>8</v>
      </c>
      <c r="AE64" s="2">
        <f t="shared" ca="1" si="4"/>
        <v>-551.9262716435187</v>
      </c>
      <c r="AF64" s="15"/>
    </row>
    <row r="65" spans="1:32" hidden="1">
      <c r="A65" s="25">
        <v>7144466</v>
      </c>
      <c r="B65" s="25" t="s">
        <v>101</v>
      </c>
      <c r="C65" s="24" t="s">
        <v>207</v>
      </c>
      <c r="D65" s="26"/>
      <c r="E65" s="26">
        <v>9700000206217</v>
      </c>
      <c r="F65" s="25" t="s">
        <v>208</v>
      </c>
      <c r="G65" s="25" t="s">
        <v>53</v>
      </c>
      <c r="H65" s="25" t="s">
        <v>209</v>
      </c>
      <c r="I65" s="25" t="s">
        <v>210</v>
      </c>
      <c r="J65" s="25" t="s">
        <v>211</v>
      </c>
      <c r="K65" s="24" t="s">
        <v>212</v>
      </c>
      <c r="L65" s="24"/>
      <c r="M65" s="25" t="s">
        <v>35</v>
      </c>
      <c r="N65" s="25">
        <v>42318949</v>
      </c>
      <c r="O65" s="25" t="s">
        <v>105</v>
      </c>
      <c r="P65" s="200">
        <v>44434.393923611111</v>
      </c>
      <c r="Q65" s="25"/>
      <c r="R65" s="25" t="s">
        <v>38</v>
      </c>
      <c r="S65" s="25"/>
      <c r="T65" s="25" t="s">
        <v>74</v>
      </c>
      <c r="U65" s="200">
        <v>44434.75</v>
      </c>
      <c r="V65" s="25" t="s">
        <v>41</v>
      </c>
      <c r="W65" s="25" t="s">
        <v>49</v>
      </c>
      <c r="X65" s="13" t="str">
        <f t="shared" si="5"/>
        <v/>
      </c>
      <c r="Y65" s="2">
        <f t="shared" ca="1" si="0"/>
        <v>395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 t="str">
        <f t="shared" si="6"/>
        <v xml:space="preserve"> RINALDO </v>
      </c>
      <c r="AD65" s="2">
        <f t="shared" si="3"/>
        <v>8</v>
      </c>
      <c r="AE65" s="2">
        <f t="shared" ca="1" si="4"/>
        <v>-551.9262716435187</v>
      </c>
      <c r="AF65" s="15"/>
    </row>
    <row r="66" spans="1:32" hidden="1">
      <c r="A66" s="25">
        <v>7144465</v>
      </c>
      <c r="B66" s="25" t="s">
        <v>101</v>
      </c>
      <c r="C66" s="24" t="s">
        <v>207</v>
      </c>
      <c r="D66" s="26"/>
      <c r="E66" s="26">
        <v>9700000206216</v>
      </c>
      <c r="F66" s="25" t="s">
        <v>208</v>
      </c>
      <c r="G66" s="25" t="s">
        <v>53</v>
      </c>
      <c r="H66" s="25" t="s">
        <v>209</v>
      </c>
      <c r="I66" s="25" t="s">
        <v>210</v>
      </c>
      <c r="J66" s="25" t="s">
        <v>211</v>
      </c>
      <c r="K66" s="24" t="s">
        <v>212</v>
      </c>
      <c r="L66" s="24"/>
      <c r="M66" s="25" t="s">
        <v>35</v>
      </c>
      <c r="N66" s="25">
        <v>42318949</v>
      </c>
      <c r="O66" s="25" t="s">
        <v>105</v>
      </c>
      <c r="P66" s="200">
        <v>44434.393923611111</v>
      </c>
      <c r="Q66" s="25"/>
      <c r="R66" s="25" t="s">
        <v>38</v>
      </c>
      <c r="S66" s="25"/>
      <c r="T66" s="25" t="s">
        <v>74</v>
      </c>
      <c r="U66" s="200">
        <v>44434.75</v>
      </c>
      <c r="V66" s="25" t="s">
        <v>41</v>
      </c>
      <c r="W66" s="25" t="s">
        <v>49</v>
      </c>
      <c r="X66" s="13" t="str">
        <f t="shared" si="5"/>
        <v/>
      </c>
      <c r="Y66" s="2">
        <f t="shared" ref="Y66:Y129" ca="1" si="7">NETWORKDAYS(P66,$Y$1)</f>
        <v>395</v>
      </c>
      <c r="Z66" s="14">
        <v>1</v>
      </c>
      <c r="AA66" s="1" t="str">
        <f t="shared" ref="AA66:AA129" ca="1" si="8">IF(AE66=0,"HOJE",IF(AE66&gt;0,"A VENCER",IF(AE66&lt;0,"VENCIDO")))</f>
        <v>VENCIDO</v>
      </c>
      <c r="AB66" s="1" t="str">
        <f t="shared" ref="AB66:AB129" si="9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 t="str">
        <f t="shared" si="6"/>
        <v xml:space="preserve"> RINALDO </v>
      </c>
      <c r="AD66" s="2">
        <f t="shared" ref="AD66:AD129" si="10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1">IF(U66=$AE$1,"",U66-$AE$1)</f>
        <v>-551.9262716435187</v>
      </c>
      <c r="AF66" s="15"/>
    </row>
    <row r="67" spans="1:32" hidden="1">
      <c r="A67" s="25">
        <v>7144464</v>
      </c>
      <c r="B67" s="25" t="s">
        <v>101</v>
      </c>
      <c r="C67" s="24" t="s">
        <v>207</v>
      </c>
      <c r="D67" s="26"/>
      <c r="E67" s="26">
        <v>9700000206211</v>
      </c>
      <c r="F67" s="25" t="s">
        <v>208</v>
      </c>
      <c r="G67" s="25" t="s">
        <v>53</v>
      </c>
      <c r="H67" s="25" t="s">
        <v>209</v>
      </c>
      <c r="I67" s="25" t="s">
        <v>210</v>
      </c>
      <c r="J67" s="25" t="s">
        <v>211</v>
      </c>
      <c r="K67" s="24" t="s">
        <v>212</v>
      </c>
      <c r="L67" s="24"/>
      <c r="M67" s="25" t="s">
        <v>35</v>
      </c>
      <c r="N67" s="25">
        <v>42318949</v>
      </c>
      <c r="O67" s="25" t="s">
        <v>105</v>
      </c>
      <c r="P67" s="200">
        <v>44434.393923611111</v>
      </c>
      <c r="Q67" s="25"/>
      <c r="R67" s="25" t="s">
        <v>38</v>
      </c>
      <c r="S67" s="25"/>
      <c r="T67" s="25" t="s">
        <v>74</v>
      </c>
      <c r="U67" s="200">
        <v>44434.75</v>
      </c>
      <c r="V67" s="25" t="s">
        <v>41</v>
      </c>
      <c r="W67" s="25" t="s">
        <v>49</v>
      </c>
      <c r="X67" s="13" t="str">
        <f t="shared" ref="X67:X130" si="12">IF(RIGHT(H67,2)&lt;&gt;"00",H67,"")</f>
        <v/>
      </c>
      <c r="Y67" s="2">
        <f t="shared" ca="1" si="7"/>
        <v>395</v>
      </c>
      <c r="Z67" s="14">
        <v>1</v>
      </c>
      <c r="AA67" s="1" t="str">
        <f t="shared" ca="1" si="8"/>
        <v>VENCIDO</v>
      </c>
      <c r="AB67" s="1" t="str">
        <f t="shared" si="9"/>
        <v>TAAe+</v>
      </c>
      <c r="AC67" s="2" t="str">
        <f t="shared" ref="AC67:AC130" si="13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 xml:space="preserve"> RINALDO </v>
      </c>
      <c r="AD67" s="2">
        <f t="shared" si="10"/>
        <v>8</v>
      </c>
      <c r="AE67" s="2">
        <f t="shared" ca="1" si="11"/>
        <v>-551.9262716435187</v>
      </c>
      <c r="AF67" s="15"/>
    </row>
    <row r="68" spans="1:32" hidden="1">
      <c r="A68" s="1">
        <v>7280202</v>
      </c>
      <c r="B68" s="1" t="s">
        <v>226</v>
      </c>
      <c r="C68" t="s">
        <v>227</v>
      </c>
      <c r="E68" s="2">
        <v>7710206001</v>
      </c>
      <c r="F68" s="1" t="s">
        <v>29</v>
      </c>
      <c r="G68" s="1" t="s">
        <v>53</v>
      </c>
      <c r="H68" s="1" t="s">
        <v>228</v>
      </c>
      <c r="I68" s="1" t="s">
        <v>229</v>
      </c>
      <c r="J68" s="1" t="s">
        <v>46</v>
      </c>
      <c r="K68" t="s">
        <v>34</v>
      </c>
      <c r="M68" s="1" t="s">
        <v>35</v>
      </c>
      <c r="N68" s="1">
        <v>42318949</v>
      </c>
      <c r="O68" s="1" t="s">
        <v>105</v>
      </c>
      <c r="P68" s="186">
        <v>44440.410682870373</v>
      </c>
      <c r="R68" s="1" t="s">
        <v>38</v>
      </c>
      <c r="T68" s="1" t="s">
        <v>74</v>
      </c>
      <c r="U68" s="186">
        <v>44483.75</v>
      </c>
      <c r="V68" s="1" t="s">
        <v>41</v>
      </c>
      <c r="W68" s="1" t="s">
        <v>49</v>
      </c>
      <c r="X68" s="13" t="str">
        <f t="shared" si="12"/>
        <v>0007.71</v>
      </c>
      <c r="Y68" s="2">
        <f t="shared" ca="1" si="7"/>
        <v>391</v>
      </c>
      <c r="Z68" s="14">
        <v>1</v>
      </c>
      <c r="AA68" s="1" t="str">
        <f t="shared" ca="1" si="8"/>
        <v>VENCIDO</v>
      </c>
      <c r="AB68" s="1" t="str">
        <f t="shared" si="9"/>
        <v>Dosa</v>
      </c>
      <c r="AC68" s="2" t="str">
        <f t="shared" si="13"/>
        <v xml:space="preserve"> CLEITON </v>
      </c>
      <c r="AD68" s="2">
        <f t="shared" si="10"/>
        <v>5</v>
      </c>
      <c r="AE68" s="2">
        <f t="shared" ca="1" si="11"/>
        <v>-502.9262716435187</v>
      </c>
      <c r="AF68" s="15"/>
    </row>
    <row r="69" spans="1:32" hidden="1">
      <c r="A69" s="1">
        <v>7633015</v>
      </c>
      <c r="B69" s="1" t="s">
        <v>81</v>
      </c>
      <c r="C69" t="s">
        <v>232</v>
      </c>
      <c r="E69" s="2">
        <v>9600113560766</v>
      </c>
      <c r="F69" s="1" t="s">
        <v>233</v>
      </c>
      <c r="G69" s="1" t="s">
        <v>30</v>
      </c>
      <c r="H69" s="1" t="s">
        <v>234</v>
      </c>
      <c r="I69" s="1" t="s">
        <v>235</v>
      </c>
      <c r="J69" s="1" t="s">
        <v>33</v>
      </c>
      <c r="K69" t="s">
        <v>236</v>
      </c>
      <c r="M69" s="1" t="s">
        <v>58</v>
      </c>
      <c r="N69" s="1">
        <v>0</v>
      </c>
      <c r="O69" s="1" t="s">
        <v>105</v>
      </c>
      <c r="P69" s="186">
        <v>44455.588738425926</v>
      </c>
      <c r="R69" s="1">
        <v>12</v>
      </c>
      <c r="S69" s="1">
        <v>4804</v>
      </c>
      <c r="T69" s="1" t="s">
        <v>238</v>
      </c>
      <c r="U69" s="186">
        <v>44456.588738425926</v>
      </c>
      <c r="V69" s="1" t="s">
        <v>41</v>
      </c>
      <c r="W69" s="1" t="s">
        <v>42</v>
      </c>
      <c r="X69" s="13" t="str">
        <f t="shared" si="12"/>
        <v>0069.16</v>
      </c>
      <c r="Y69" s="2">
        <f t="shared" ca="1" si="7"/>
        <v>380</v>
      </c>
      <c r="Z69" s="14">
        <v>1</v>
      </c>
      <c r="AA69" s="1" t="str">
        <f t="shared" ca="1" si="8"/>
        <v>VENCIDO</v>
      </c>
      <c r="AB69" s="1" t="str">
        <f t="shared" si="9"/>
        <v>TAAe+</v>
      </c>
      <c r="AC69" s="2" t="str">
        <f t="shared" si="13"/>
        <v xml:space="preserve"> ROSEMERE </v>
      </c>
      <c r="AD69" s="2">
        <f t="shared" si="10"/>
        <v>8</v>
      </c>
      <c r="AE69" s="2">
        <f t="shared" ca="1" si="11"/>
        <v>-530.08753321759286</v>
      </c>
      <c r="AF69" s="15"/>
    </row>
    <row r="70" spans="1:32" hidden="1">
      <c r="A70" s="1">
        <v>7727803</v>
      </c>
      <c r="B70" s="1" t="s">
        <v>81</v>
      </c>
      <c r="C70" t="s">
        <v>240</v>
      </c>
      <c r="E70" s="2">
        <v>3478000206001</v>
      </c>
      <c r="F70" s="1" t="s">
        <v>29</v>
      </c>
      <c r="G70" s="1" t="s">
        <v>53</v>
      </c>
      <c r="H70" s="1" t="s">
        <v>241</v>
      </c>
      <c r="I70" s="1" t="s">
        <v>242</v>
      </c>
      <c r="J70" s="1" t="s">
        <v>46</v>
      </c>
      <c r="K70" t="s">
        <v>34</v>
      </c>
      <c r="M70" s="1" t="s">
        <v>35</v>
      </c>
      <c r="N70" s="1">
        <v>42318949</v>
      </c>
      <c r="O70" s="1" t="s">
        <v>36</v>
      </c>
      <c r="P70" s="186">
        <v>44459.551018518519</v>
      </c>
      <c r="R70" s="1" t="s">
        <v>38</v>
      </c>
      <c r="T70" s="1" t="s">
        <v>74</v>
      </c>
      <c r="U70" s="186">
        <v>44460.551018518519</v>
      </c>
      <c r="V70" s="1" t="s">
        <v>41</v>
      </c>
      <c r="W70" s="1" t="s">
        <v>49</v>
      </c>
      <c r="X70" s="13" t="str">
        <f t="shared" si="12"/>
        <v>2988.91</v>
      </c>
      <c r="Y70" s="2">
        <f t="shared" ca="1" si="7"/>
        <v>378</v>
      </c>
      <c r="Z70" s="14">
        <v>1</v>
      </c>
      <c r="AA70" s="1" t="str">
        <f t="shared" ca="1" si="8"/>
        <v>VENCIDO</v>
      </c>
      <c r="AB70" s="1" t="str">
        <f t="shared" si="9"/>
        <v>Dosa</v>
      </c>
      <c r="AC70" s="2" t="str">
        <f t="shared" si="13"/>
        <v xml:space="preserve"> CLEITON </v>
      </c>
      <c r="AD70" s="2">
        <f t="shared" si="10"/>
        <v>5</v>
      </c>
      <c r="AE70" s="2">
        <f t="shared" ca="1" si="11"/>
        <v>-526.12525312499929</v>
      </c>
      <c r="AF70" s="15"/>
    </row>
    <row r="71" spans="1:32" hidden="1">
      <c r="A71" s="1">
        <v>7726669</v>
      </c>
      <c r="B71" s="1" t="s">
        <v>81</v>
      </c>
      <c r="C71" t="s">
        <v>240</v>
      </c>
      <c r="E71" s="2">
        <v>8259000206001</v>
      </c>
      <c r="F71" s="1" t="s">
        <v>29</v>
      </c>
      <c r="G71" s="1" t="s">
        <v>53</v>
      </c>
      <c r="H71" s="1" t="s">
        <v>245</v>
      </c>
      <c r="I71" s="1" t="s">
        <v>246</v>
      </c>
      <c r="J71" s="1" t="s">
        <v>141</v>
      </c>
      <c r="K71" t="s">
        <v>34</v>
      </c>
      <c r="M71" s="1" t="s">
        <v>35</v>
      </c>
      <c r="N71" s="1">
        <v>42318949</v>
      </c>
      <c r="O71" s="1" t="s">
        <v>36</v>
      </c>
      <c r="P71" s="186">
        <v>44459.549027777779</v>
      </c>
      <c r="R71" s="1" t="s">
        <v>38</v>
      </c>
      <c r="T71" s="1" t="s">
        <v>74</v>
      </c>
      <c r="U71" s="186">
        <v>44460.549027777779</v>
      </c>
      <c r="V71" s="1" t="s">
        <v>41</v>
      </c>
      <c r="W71" s="1" t="s">
        <v>49</v>
      </c>
      <c r="X71" s="13" t="str">
        <f t="shared" si="12"/>
        <v/>
      </c>
      <c r="Y71" s="2">
        <f t="shared" ca="1" si="7"/>
        <v>378</v>
      </c>
      <c r="Z71" s="14">
        <v>1</v>
      </c>
      <c r="AA71" s="1" t="str">
        <f t="shared" ca="1" si="8"/>
        <v>VENCIDO</v>
      </c>
      <c r="AB71" s="1" t="str">
        <f t="shared" si="9"/>
        <v>Dosa</v>
      </c>
      <c r="AC71" s="2" t="str">
        <f t="shared" si="13"/>
        <v xml:space="preserve"> CRISTINA </v>
      </c>
      <c r="AD71" s="2">
        <f t="shared" si="10"/>
        <v>5</v>
      </c>
      <c r="AE71" s="2">
        <f t="shared" ca="1" si="11"/>
        <v>-526.12724386573973</v>
      </c>
      <c r="AF71" s="15"/>
    </row>
    <row r="72" spans="1:32" hidden="1">
      <c r="A72" s="1">
        <v>7726664</v>
      </c>
      <c r="B72" s="1" t="s">
        <v>81</v>
      </c>
      <c r="C72" t="s">
        <v>240</v>
      </c>
      <c r="E72" s="2">
        <v>2855000206001</v>
      </c>
      <c r="F72" s="1" t="s">
        <v>29</v>
      </c>
      <c r="G72" s="1" t="s">
        <v>53</v>
      </c>
      <c r="H72" s="1" t="s">
        <v>249</v>
      </c>
      <c r="I72" s="1" t="s">
        <v>250</v>
      </c>
      <c r="J72" s="1" t="s">
        <v>56</v>
      </c>
      <c r="K72" t="s">
        <v>34</v>
      </c>
      <c r="M72" s="1" t="s">
        <v>35</v>
      </c>
      <c r="N72" s="1">
        <v>42318949</v>
      </c>
      <c r="O72" s="1" t="s">
        <v>36</v>
      </c>
      <c r="P72" s="186">
        <v>44459.549016203702</v>
      </c>
      <c r="R72" s="1" t="s">
        <v>38</v>
      </c>
      <c r="T72" s="1" t="s">
        <v>74</v>
      </c>
      <c r="U72" s="186">
        <v>44460.549016203702</v>
      </c>
      <c r="V72" s="1" t="s">
        <v>41</v>
      </c>
      <c r="W72" s="1" t="s">
        <v>49</v>
      </c>
      <c r="X72" s="13" t="str">
        <f t="shared" si="12"/>
        <v/>
      </c>
      <c r="Y72" s="2">
        <f t="shared" ca="1" si="7"/>
        <v>378</v>
      </c>
      <c r="Z72" s="14">
        <v>1</v>
      </c>
      <c r="AA72" s="1" t="str">
        <f t="shared" ca="1" si="8"/>
        <v>VENCIDO</v>
      </c>
      <c r="AB72" s="1" t="str">
        <f t="shared" si="9"/>
        <v>Dosa</v>
      </c>
      <c r="AC72" s="2" t="str">
        <f t="shared" si="13"/>
        <v xml:space="preserve"> CRISTINA </v>
      </c>
      <c r="AD72" s="2">
        <f t="shared" si="10"/>
        <v>5</v>
      </c>
      <c r="AE72" s="2">
        <f t="shared" ca="1" si="11"/>
        <v>-526.12725543981651</v>
      </c>
      <c r="AF72" s="15"/>
    </row>
    <row r="73" spans="1:32" hidden="1">
      <c r="A73" s="1">
        <v>7726663</v>
      </c>
      <c r="B73" s="1" t="s">
        <v>81</v>
      </c>
      <c r="C73" t="s">
        <v>240</v>
      </c>
      <c r="E73" s="2">
        <v>2693000206001</v>
      </c>
      <c r="F73" s="1" t="s">
        <v>29</v>
      </c>
      <c r="G73" s="1" t="s">
        <v>53</v>
      </c>
      <c r="H73" s="1" t="s">
        <v>253</v>
      </c>
      <c r="I73" s="1" t="s">
        <v>254</v>
      </c>
      <c r="J73" s="1" t="s">
        <v>56</v>
      </c>
      <c r="K73" t="s">
        <v>34</v>
      </c>
      <c r="M73" s="1" t="s">
        <v>35</v>
      </c>
      <c r="N73" s="1">
        <v>42318949</v>
      </c>
      <c r="O73" s="1" t="s">
        <v>36</v>
      </c>
      <c r="P73" s="186">
        <v>44459.549016203702</v>
      </c>
      <c r="R73" s="1" t="s">
        <v>38</v>
      </c>
      <c r="T73" s="1" t="s">
        <v>74</v>
      </c>
      <c r="U73" s="186">
        <v>44460.549016203702</v>
      </c>
      <c r="V73" s="1" t="s">
        <v>41</v>
      </c>
      <c r="W73" s="1" t="s">
        <v>49</v>
      </c>
      <c r="X73" s="13" t="str">
        <f t="shared" si="12"/>
        <v/>
      </c>
      <c r="Y73" s="2">
        <f t="shared" ca="1" si="7"/>
        <v>378</v>
      </c>
      <c r="Z73" s="14">
        <v>1</v>
      </c>
      <c r="AA73" s="1" t="str">
        <f t="shared" ca="1" si="8"/>
        <v>VENCIDO</v>
      </c>
      <c r="AB73" s="1" t="str">
        <f t="shared" si="9"/>
        <v>Dosa</v>
      </c>
      <c r="AC73" s="2" t="str">
        <f t="shared" si="13"/>
        <v xml:space="preserve"> CRISTINA </v>
      </c>
      <c r="AD73" s="2">
        <f t="shared" si="10"/>
        <v>5</v>
      </c>
      <c r="AE73" s="2">
        <f t="shared" ca="1" si="11"/>
        <v>-526.12725543981651</v>
      </c>
      <c r="AF73" s="15"/>
    </row>
    <row r="74" spans="1:32" hidden="1">
      <c r="A74" s="1">
        <v>7726661</v>
      </c>
      <c r="B74" s="1" t="s">
        <v>81</v>
      </c>
      <c r="C74" t="s">
        <v>240</v>
      </c>
      <c r="E74" s="2">
        <v>2564000206001</v>
      </c>
      <c r="F74" s="1" t="s">
        <v>29</v>
      </c>
      <c r="G74" s="1" t="s">
        <v>53</v>
      </c>
      <c r="H74" s="1" t="s">
        <v>255</v>
      </c>
      <c r="I74" s="1" t="s">
        <v>256</v>
      </c>
      <c r="J74" s="1" t="s">
        <v>164</v>
      </c>
      <c r="K74" t="s">
        <v>34</v>
      </c>
      <c r="M74" s="1" t="s">
        <v>35</v>
      </c>
      <c r="N74" s="1">
        <v>42318949</v>
      </c>
      <c r="O74" s="1" t="s">
        <v>36</v>
      </c>
      <c r="P74" s="186">
        <v>44459.549004629633</v>
      </c>
      <c r="R74" s="1" t="s">
        <v>38</v>
      </c>
      <c r="T74" s="1" t="s">
        <v>74</v>
      </c>
      <c r="U74" s="186">
        <v>44460.549004629633</v>
      </c>
      <c r="V74" s="1" t="s">
        <v>41</v>
      </c>
      <c r="W74" s="1" t="s">
        <v>49</v>
      </c>
      <c r="X74" s="13" t="str">
        <f t="shared" si="12"/>
        <v/>
      </c>
      <c r="Y74" s="2">
        <f t="shared" ca="1" si="7"/>
        <v>378</v>
      </c>
      <c r="Z74" s="14">
        <v>1</v>
      </c>
      <c r="AA74" s="1" t="str">
        <f t="shared" ca="1" si="8"/>
        <v>VENCIDO</v>
      </c>
      <c r="AB74" s="1" t="str">
        <f t="shared" si="9"/>
        <v>Dosa</v>
      </c>
      <c r="AC74" s="2" t="str">
        <f t="shared" si="13"/>
        <v xml:space="preserve"> ROSEMERE </v>
      </c>
      <c r="AD74" s="2">
        <f t="shared" si="10"/>
        <v>5</v>
      </c>
      <c r="AE74" s="2">
        <f t="shared" ca="1" si="11"/>
        <v>-526.12726701388601</v>
      </c>
      <c r="AF74" s="15"/>
    </row>
    <row r="75" spans="1:32" hidden="1">
      <c r="A75" s="1">
        <v>7726660</v>
      </c>
      <c r="B75" s="1" t="s">
        <v>81</v>
      </c>
      <c r="C75" t="s">
        <v>240</v>
      </c>
      <c r="E75" s="2">
        <v>2559000206001</v>
      </c>
      <c r="F75" s="1" t="s">
        <v>29</v>
      </c>
      <c r="G75" s="1" t="s">
        <v>53</v>
      </c>
      <c r="H75" s="1" t="s">
        <v>259</v>
      </c>
      <c r="I75" s="1" t="s">
        <v>260</v>
      </c>
      <c r="J75" s="1" t="s">
        <v>261</v>
      </c>
      <c r="K75" t="s">
        <v>34</v>
      </c>
      <c r="M75" s="1" t="s">
        <v>35</v>
      </c>
      <c r="N75" s="1">
        <v>42318949</v>
      </c>
      <c r="O75" s="1" t="s">
        <v>36</v>
      </c>
      <c r="P75" s="186">
        <v>44459.549004629633</v>
      </c>
      <c r="R75" s="1" t="s">
        <v>38</v>
      </c>
      <c r="T75" s="1" t="s">
        <v>74</v>
      </c>
      <c r="U75" s="186">
        <v>44460.549004629633</v>
      </c>
      <c r="V75" s="1" t="s">
        <v>41</v>
      </c>
      <c r="W75" s="1" t="s">
        <v>49</v>
      </c>
      <c r="X75" s="13" t="str">
        <f t="shared" si="12"/>
        <v/>
      </c>
      <c r="Y75" s="2">
        <f t="shared" ca="1" si="7"/>
        <v>378</v>
      </c>
      <c r="Z75" s="14">
        <v>1</v>
      </c>
      <c r="AA75" s="1" t="str">
        <f t="shared" ca="1" si="8"/>
        <v>VENCIDO</v>
      </c>
      <c r="AB75" s="1" t="str">
        <f t="shared" si="9"/>
        <v>Dosa</v>
      </c>
      <c r="AC75" s="2" t="str">
        <f t="shared" si="13"/>
        <v xml:space="preserve"> CRISTINA </v>
      </c>
      <c r="AD75" s="2">
        <f t="shared" si="10"/>
        <v>5</v>
      </c>
      <c r="AE75" s="2">
        <f t="shared" ca="1" si="11"/>
        <v>-526.12726701388601</v>
      </c>
      <c r="AF75" s="15"/>
    </row>
    <row r="76" spans="1:32" hidden="1">
      <c r="A76" s="1">
        <v>7726658</v>
      </c>
      <c r="B76" s="1" t="s">
        <v>81</v>
      </c>
      <c r="C76" t="s">
        <v>240</v>
      </c>
      <c r="E76" s="2">
        <v>2107000206001</v>
      </c>
      <c r="F76" s="1" t="s">
        <v>29</v>
      </c>
      <c r="G76" s="1" t="s">
        <v>53</v>
      </c>
      <c r="H76" s="1" t="s">
        <v>262</v>
      </c>
      <c r="I76" s="1" t="s">
        <v>263</v>
      </c>
      <c r="J76" s="1" t="s">
        <v>164</v>
      </c>
      <c r="K76" t="s">
        <v>34</v>
      </c>
      <c r="M76" s="1" t="s">
        <v>35</v>
      </c>
      <c r="N76" s="1">
        <v>42318949</v>
      </c>
      <c r="O76" s="1" t="s">
        <v>36</v>
      </c>
      <c r="P76" s="186">
        <v>44459.549004629633</v>
      </c>
      <c r="R76" s="1" t="s">
        <v>38</v>
      </c>
      <c r="T76" s="1" t="s">
        <v>74</v>
      </c>
      <c r="U76" s="186">
        <v>44460.549004629633</v>
      </c>
      <c r="V76" s="1" t="s">
        <v>41</v>
      </c>
      <c r="W76" s="1" t="s">
        <v>49</v>
      </c>
      <c r="X76" s="13" t="str">
        <f t="shared" si="12"/>
        <v/>
      </c>
      <c r="Y76" s="2">
        <f t="shared" ca="1" si="7"/>
        <v>378</v>
      </c>
      <c r="Z76" s="14">
        <v>1</v>
      </c>
      <c r="AA76" s="1" t="str">
        <f t="shared" ca="1" si="8"/>
        <v>VENCIDO</v>
      </c>
      <c r="AB76" s="1" t="str">
        <f t="shared" si="9"/>
        <v>Dosa</v>
      </c>
      <c r="AC76" s="2" t="str">
        <f t="shared" si="13"/>
        <v xml:space="preserve"> ROSEMERE </v>
      </c>
      <c r="AD76" s="2">
        <f t="shared" si="10"/>
        <v>5</v>
      </c>
      <c r="AE76" s="2">
        <f t="shared" ca="1" si="11"/>
        <v>-526.12726701388601</v>
      </c>
      <c r="AF76" s="15"/>
    </row>
    <row r="77" spans="1:32" hidden="1">
      <c r="A77" s="1">
        <v>7726655</v>
      </c>
      <c r="B77" s="1" t="s">
        <v>81</v>
      </c>
      <c r="C77" t="s">
        <v>240</v>
      </c>
      <c r="E77" s="2">
        <v>1943000206001</v>
      </c>
      <c r="F77" s="1" t="s">
        <v>29</v>
      </c>
      <c r="G77" s="1" t="s">
        <v>53</v>
      </c>
      <c r="H77" s="1" t="s">
        <v>264</v>
      </c>
      <c r="I77" s="1" t="s">
        <v>265</v>
      </c>
      <c r="J77" s="1" t="s">
        <v>56</v>
      </c>
      <c r="K77" t="s">
        <v>34</v>
      </c>
      <c r="M77" s="1" t="s">
        <v>35</v>
      </c>
      <c r="N77" s="1">
        <v>42318949</v>
      </c>
      <c r="O77" s="1" t="s">
        <v>36</v>
      </c>
      <c r="P77" s="186">
        <v>44459.548993055556</v>
      </c>
      <c r="R77" s="1" t="s">
        <v>38</v>
      </c>
      <c r="T77" s="1" t="s">
        <v>74</v>
      </c>
      <c r="U77" s="186">
        <v>44460.548993055556</v>
      </c>
      <c r="V77" s="1" t="s">
        <v>41</v>
      </c>
      <c r="W77" s="1" t="s">
        <v>49</v>
      </c>
      <c r="X77" s="13" t="str">
        <f t="shared" si="12"/>
        <v/>
      </c>
      <c r="Y77" s="2">
        <f t="shared" ca="1" si="7"/>
        <v>378</v>
      </c>
      <c r="Z77" s="14">
        <v>1</v>
      </c>
      <c r="AA77" s="1" t="str">
        <f t="shared" ca="1" si="8"/>
        <v>VENCIDO</v>
      </c>
      <c r="AB77" s="1" t="str">
        <f t="shared" si="9"/>
        <v>Dosa</v>
      </c>
      <c r="AC77" s="2" t="str">
        <f t="shared" si="13"/>
        <v xml:space="preserve"> CRISTINA </v>
      </c>
      <c r="AD77" s="2">
        <f t="shared" si="10"/>
        <v>5</v>
      </c>
      <c r="AE77" s="2">
        <f t="shared" ca="1" si="11"/>
        <v>-526.12727858796279</v>
      </c>
      <c r="AF77" s="15"/>
    </row>
    <row r="78" spans="1:32" hidden="1">
      <c r="A78" s="1">
        <v>7726652</v>
      </c>
      <c r="B78" s="1" t="s">
        <v>81</v>
      </c>
      <c r="C78" t="s">
        <v>240</v>
      </c>
      <c r="E78" s="2">
        <v>1754000206001</v>
      </c>
      <c r="F78" s="1" t="s">
        <v>29</v>
      </c>
      <c r="G78" s="1" t="s">
        <v>53</v>
      </c>
      <c r="H78" s="1" t="s">
        <v>146</v>
      </c>
      <c r="I78" s="1" t="s">
        <v>147</v>
      </c>
      <c r="J78" s="1" t="s">
        <v>148</v>
      </c>
      <c r="K78" t="s">
        <v>34</v>
      </c>
      <c r="M78" s="1" t="s">
        <v>35</v>
      </c>
      <c r="N78" s="1">
        <v>42318949</v>
      </c>
      <c r="O78" s="1" t="s">
        <v>36</v>
      </c>
      <c r="P78" s="186">
        <v>44459.548993055556</v>
      </c>
      <c r="R78" s="1" t="s">
        <v>38</v>
      </c>
      <c r="T78" s="1" t="s">
        <v>74</v>
      </c>
      <c r="U78" s="186">
        <v>44460.548993055556</v>
      </c>
      <c r="V78" s="1" t="s">
        <v>41</v>
      </c>
      <c r="W78" s="1" t="s">
        <v>49</v>
      </c>
      <c r="X78" s="13" t="str">
        <f t="shared" si="12"/>
        <v/>
      </c>
      <c r="Y78" s="2">
        <f t="shared" ca="1" si="7"/>
        <v>378</v>
      </c>
      <c r="Z78" s="14">
        <v>1</v>
      </c>
      <c r="AA78" s="1" t="str">
        <f t="shared" ca="1" si="8"/>
        <v>VENCIDO</v>
      </c>
      <c r="AB78" s="1" t="str">
        <f t="shared" si="9"/>
        <v>Dosa</v>
      </c>
      <c r="AC78" s="2" t="str">
        <f t="shared" si="13"/>
        <v xml:space="preserve"> RINALDO </v>
      </c>
      <c r="AD78" s="2">
        <f t="shared" si="10"/>
        <v>5</v>
      </c>
      <c r="AE78" s="2">
        <f t="shared" ca="1" si="11"/>
        <v>-526.12727858796279</v>
      </c>
      <c r="AF78" s="15"/>
    </row>
    <row r="79" spans="1:32" hidden="1">
      <c r="A79" s="1">
        <v>7726651</v>
      </c>
      <c r="B79" s="1" t="s">
        <v>81</v>
      </c>
      <c r="C79" t="s">
        <v>240</v>
      </c>
      <c r="E79" s="2">
        <v>1362000206001</v>
      </c>
      <c r="F79" s="1" t="s">
        <v>29</v>
      </c>
      <c r="G79" s="1" t="s">
        <v>53</v>
      </c>
      <c r="H79" s="1" t="s">
        <v>268</v>
      </c>
      <c r="I79" s="1" t="s">
        <v>269</v>
      </c>
      <c r="J79" s="1" t="s">
        <v>90</v>
      </c>
      <c r="K79" t="s">
        <v>34</v>
      </c>
      <c r="M79" s="1" t="s">
        <v>35</v>
      </c>
      <c r="N79" s="1">
        <v>42318949</v>
      </c>
      <c r="O79" s="1" t="s">
        <v>36</v>
      </c>
      <c r="P79" s="186">
        <v>44459.548993055556</v>
      </c>
      <c r="R79" s="1" t="s">
        <v>38</v>
      </c>
      <c r="T79" s="1" t="s">
        <v>74</v>
      </c>
      <c r="U79" s="186">
        <v>44460.548993055556</v>
      </c>
      <c r="V79" s="1" t="s">
        <v>41</v>
      </c>
      <c r="W79" s="1" t="s">
        <v>49</v>
      </c>
      <c r="X79" s="13" t="str">
        <f t="shared" si="12"/>
        <v/>
      </c>
      <c r="Y79" s="2">
        <f t="shared" ca="1" si="7"/>
        <v>378</v>
      </c>
      <c r="Z79" s="14">
        <v>1</v>
      </c>
      <c r="AA79" s="1" t="str">
        <f t="shared" ca="1" si="8"/>
        <v>VENCIDO</v>
      </c>
      <c r="AB79" s="1" t="str">
        <f t="shared" si="9"/>
        <v>Dosa</v>
      </c>
      <c r="AC79" s="2" t="str">
        <f t="shared" si="13"/>
        <v xml:space="preserve"> RINALDO </v>
      </c>
      <c r="AD79" s="2">
        <f t="shared" si="10"/>
        <v>5</v>
      </c>
      <c r="AE79" s="2">
        <f t="shared" ca="1" si="11"/>
        <v>-526.12727858796279</v>
      </c>
      <c r="AF79" s="15"/>
    </row>
    <row r="80" spans="1:32" hidden="1">
      <c r="A80" s="1">
        <v>7726650</v>
      </c>
      <c r="B80" s="1" t="s">
        <v>81</v>
      </c>
      <c r="C80" t="s">
        <v>240</v>
      </c>
      <c r="E80" s="2">
        <v>1359000206001</v>
      </c>
      <c r="F80" s="1" t="s">
        <v>29</v>
      </c>
      <c r="G80" s="1" t="s">
        <v>53</v>
      </c>
      <c r="H80" s="1" t="s">
        <v>270</v>
      </c>
      <c r="I80" s="1" t="s">
        <v>271</v>
      </c>
      <c r="J80" s="1" t="s">
        <v>141</v>
      </c>
      <c r="K80" t="s">
        <v>34</v>
      </c>
      <c r="M80" s="1" t="s">
        <v>35</v>
      </c>
      <c r="N80" s="1">
        <v>42318949</v>
      </c>
      <c r="O80" s="1" t="s">
        <v>36</v>
      </c>
      <c r="P80" s="186">
        <v>44459.548993055556</v>
      </c>
      <c r="R80" s="1" t="s">
        <v>38</v>
      </c>
      <c r="T80" s="1" t="s">
        <v>74</v>
      </c>
      <c r="U80" s="186">
        <v>44460.548993055556</v>
      </c>
      <c r="V80" s="1" t="s">
        <v>41</v>
      </c>
      <c r="W80" s="1" t="s">
        <v>49</v>
      </c>
      <c r="X80" s="13" t="str">
        <f t="shared" si="12"/>
        <v/>
      </c>
      <c r="Y80" s="2">
        <f t="shared" ca="1" si="7"/>
        <v>378</v>
      </c>
      <c r="Z80" s="14">
        <v>1</v>
      </c>
      <c r="AA80" s="1" t="str">
        <f t="shared" ca="1" si="8"/>
        <v>VENCIDO</v>
      </c>
      <c r="AB80" s="1" t="str">
        <f t="shared" si="9"/>
        <v>Dosa</v>
      </c>
      <c r="AC80" s="2" t="str">
        <f t="shared" si="13"/>
        <v xml:space="preserve"> CRISTINA </v>
      </c>
      <c r="AD80" s="2">
        <f t="shared" si="10"/>
        <v>5</v>
      </c>
      <c r="AE80" s="2">
        <f t="shared" ca="1" si="11"/>
        <v>-526.12727858796279</v>
      </c>
      <c r="AF80" s="15"/>
    </row>
    <row r="81" spans="1:32" hidden="1">
      <c r="A81" s="1">
        <v>7726648</v>
      </c>
      <c r="B81" s="1" t="s">
        <v>81</v>
      </c>
      <c r="C81" t="s">
        <v>240</v>
      </c>
      <c r="E81" s="2">
        <v>1011000206001</v>
      </c>
      <c r="F81" s="1" t="s">
        <v>29</v>
      </c>
      <c r="G81" s="1" t="s">
        <v>53</v>
      </c>
      <c r="H81" s="1" t="s">
        <v>272</v>
      </c>
      <c r="I81" s="1" t="s">
        <v>273</v>
      </c>
      <c r="J81" s="1" t="s">
        <v>33</v>
      </c>
      <c r="K81" t="s">
        <v>34</v>
      </c>
      <c r="M81" s="1" t="s">
        <v>35</v>
      </c>
      <c r="N81" s="1">
        <v>42318949</v>
      </c>
      <c r="O81" s="1" t="s">
        <v>36</v>
      </c>
      <c r="P81" s="186">
        <v>44459.548981481479</v>
      </c>
      <c r="R81" s="1" t="s">
        <v>38</v>
      </c>
      <c r="T81" s="1" t="s">
        <v>74</v>
      </c>
      <c r="U81" s="186">
        <v>44460.548981481479</v>
      </c>
      <c r="V81" s="1" t="s">
        <v>41</v>
      </c>
      <c r="W81" s="1" t="s">
        <v>49</v>
      </c>
      <c r="X81" s="13" t="str">
        <f t="shared" si="12"/>
        <v/>
      </c>
      <c r="Y81" s="2">
        <f t="shared" ca="1" si="7"/>
        <v>378</v>
      </c>
      <c r="Z81" s="14">
        <v>1</v>
      </c>
      <c r="AA81" s="1" t="str">
        <f t="shared" ca="1" si="8"/>
        <v>VENCIDO</v>
      </c>
      <c r="AB81" s="1" t="str">
        <f t="shared" si="9"/>
        <v>Dosa</v>
      </c>
      <c r="AC81" s="2" t="str">
        <f t="shared" si="13"/>
        <v xml:space="preserve"> ROSEMERE </v>
      </c>
      <c r="AD81" s="2">
        <f t="shared" si="10"/>
        <v>5</v>
      </c>
      <c r="AE81" s="2">
        <f t="shared" ca="1" si="11"/>
        <v>-526.12729016203957</v>
      </c>
      <c r="AF81" s="15"/>
    </row>
    <row r="82" spans="1:32" hidden="1">
      <c r="A82" s="1">
        <v>7726647</v>
      </c>
      <c r="B82" s="1" t="s">
        <v>81</v>
      </c>
      <c r="C82" t="s">
        <v>240</v>
      </c>
      <c r="E82" s="2">
        <v>1049000206001</v>
      </c>
      <c r="F82" s="1" t="s">
        <v>29</v>
      </c>
      <c r="G82" s="1" t="s">
        <v>53</v>
      </c>
      <c r="H82" s="1" t="s">
        <v>169</v>
      </c>
      <c r="I82" s="1" t="s">
        <v>170</v>
      </c>
      <c r="J82" s="1" t="s">
        <v>164</v>
      </c>
      <c r="K82" t="s">
        <v>34</v>
      </c>
      <c r="M82" s="1" t="s">
        <v>35</v>
      </c>
      <c r="N82" s="1">
        <v>42318949</v>
      </c>
      <c r="O82" s="1" t="s">
        <v>36</v>
      </c>
      <c r="P82" s="186">
        <v>44459.548981481479</v>
      </c>
      <c r="R82" s="1" t="s">
        <v>38</v>
      </c>
      <c r="T82" s="1" t="s">
        <v>74</v>
      </c>
      <c r="U82" s="186">
        <v>44460.548981481479</v>
      </c>
      <c r="V82" s="1" t="s">
        <v>41</v>
      </c>
      <c r="W82" s="1" t="s">
        <v>49</v>
      </c>
      <c r="X82" s="13" t="str">
        <f t="shared" si="12"/>
        <v/>
      </c>
      <c r="Y82" s="2">
        <f t="shared" ca="1" si="7"/>
        <v>378</v>
      </c>
      <c r="Z82" s="14">
        <v>1</v>
      </c>
      <c r="AA82" s="1" t="str">
        <f t="shared" ca="1" si="8"/>
        <v>VENCIDO</v>
      </c>
      <c r="AB82" s="1" t="str">
        <f t="shared" si="9"/>
        <v>Dosa</v>
      </c>
      <c r="AC82" s="2" t="str">
        <f t="shared" si="13"/>
        <v xml:space="preserve"> ROSEMERE </v>
      </c>
      <c r="AD82" s="2">
        <f t="shared" si="10"/>
        <v>5</v>
      </c>
      <c r="AE82" s="2">
        <f t="shared" ca="1" si="11"/>
        <v>-526.12729016203957</v>
      </c>
      <c r="AF82" s="15"/>
    </row>
    <row r="83" spans="1:32" hidden="1">
      <c r="A83" s="1">
        <v>7726645</v>
      </c>
      <c r="B83" s="1" t="s">
        <v>81</v>
      </c>
      <c r="C83" t="s">
        <v>240</v>
      </c>
      <c r="E83" s="2">
        <v>2683000206001</v>
      </c>
      <c r="F83" s="1" t="s">
        <v>29</v>
      </c>
      <c r="G83" s="1" t="s">
        <v>53</v>
      </c>
      <c r="H83" s="1" t="s">
        <v>276</v>
      </c>
      <c r="I83" s="1" t="s">
        <v>277</v>
      </c>
      <c r="J83" s="1" t="s">
        <v>90</v>
      </c>
      <c r="K83" t="s">
        <v>34</v>
      </c>
      <c r="M83" s="1" t="s">
        <v>35</v>
      </c>
      <c r="N83" s="1">
        <v>42318949</v>
      </c>
      <c r="O83" s="1" t="s">
        <v>36</v>
      </c>
      <c r="P83" s="186">
        <v>44459.548981481479</v>
      </c>
      <c r="R83" s="1" t="s">
        <v>38</v>
      </c>
      <c r="T83" s="1" t="s">
        <v>74</v>
      </c>
      <c r="U83" s="186">
        <v>44460.548981481479</v>
      </c>
      <c r="V83" s="1" t="s">
        <v>41</v>
      </c>
      <c r="W83" s="1" t="s">
        <v>49</v>
      </c>
      <c r="X83" s="13" t="str">
        <f t="shared" si="12"/>
        <v/>
      </c>
      <c r="Y83" s="2">
        <f t="shared" ca="1" si="7"/>
        <v>378</v>
      </c>
      <c r="Z83" s="14">
        <v>1</v>
      </c>
      <c r="AA83" s="1" t="str">
        <f t="shared" ca="1" si="8"/>
        <v>VENCIDO</v>
      </c>
      <c r="AB83" s="1" t="str">
        <f t="shared" si="9"/>
        <v>Dosa</v>
      </c>
      <c r="AC83" s="2" t="str">
        <f t="shared" si="13"/>
        <v xml:space="preserve"> RINALDO </v>
      </c>
      <c r="AD83" s="2">
        <f t="shared" si="10"/>
        <v>5</v>
      </c>
      <c r="AE83" s="2">
        <f t="shared" ca="1" si="11"/>
        <v>-526.12729016203957</v>
      </c>
      <c r="AF83" s="15"/>
    </row>
    <row r="84" spans="1:32" hidden="1">
      <c r="A84" s="1">
        <v>7726643</v>
      </c>
      <c r="B84" s="1" t="s">
        <v>81</v>
      </c>
      <c r="C84" t="s">
        <v>240</v>
      </c>
      <c r="E84" s="2">
        <v>2156000206001</v>
      </c>
      <c r="F84" s="1" t="s">
        <v>29</v>
      </c>
      <c r="G84" s="1" t="s">
        <v>53</v>
      </c>
      <c r="H84" s="1" t="s">
        <v>278</v>
      </c>
      <c r="I84" s="1" t="s">
        <v>279</v>
      </c>
      <c r="J84" s="1" t="s">
        <v>211</v>
      </c>
      <c r="K84" t="s">
        <v>34</v>
      </c>
      <c r="M84" s="1" t="s">
        <v>35</v>
      </c>
      <c r="N84" s="1">
        <v>42318949</v>
      </c>
      <c r="O84" s="1" t="s">
        <v>36</v>
      </c>
      <c r="P84" s="186">
        <v>44459.548981481479</v>
      </c>
      <c r="R84" s="1" t="s">
        <v>38</v>
      </c>
      <c r="T84" s="1" t="s">
        <v>74</v>
      </c>
      <c r="U84" s="186">
        <v>44460.548981481479</v>
      </c>
      <c r="V84" s="1" t="s">
        <v>41</v>
      </c>
      <c r="W84" s="1" t="s">
        <v>49</v>
      </c>
      <c r="X84" s="13" t="str">
        <f t="shared" si="12"/>
        <v/>
      </c>
      <c r="Y84" s="2">
        <f t="shared" ca="1" si="7"/>
        <v>378</v>
      </c>
      <c r="Z84" s="14">
        <v>1</v>
      </c>
      <c r="AA84" s="1" t="str">
        <f t="shared" ca="1" si="8"/>
        <v>VENCIDO</v>
      </c>
      <c r="AB84" s="1" t="str">
        <f t="shared" si="9"/>
        <v>Dosa</v>
      </c>
      <c r="AC84" s="2" t="str">
        <f t="shared" si="13"/>
        <v xml:space="preserve"> RINALDO </v>
      </c>
      <c r="AD84" s="2">
        <f t="shared" si="10"/>
        <v>5</v>
      </c>
      <c r="AE84" s="2">
        <f t="shared" ca="1" si="11"/>
        <v>-526.12729016203957</v>
      </c>
      <c r="AF84" s="15"/>
    </row>
    <row r="85" spans="1:32" hidden="1">
      <c r="A85" s="1">
        <v>7726642</v>
      </c>
      <c r="B85" s="1" t="s">
        <v>81</v>
      </c>
      <c r="C85" t="s">
        <v>240</v>
      </c>
      <c r="E85" s="2">
        <v>1162000206001</v>
      </c>
      <c r="F85" s="1" t="s">
        <v>29</v>
      </c>
      <c r="G85" s="1" t="s">
        <v>53</v>
      </c>
      <c r="H85" s="1" t="s">
        <v>280</v>
      </c>
      <c r="I85" s="1" t="s">
        <v>281</v>
      </c>
      <c r="J85" s="1" t="s">
        <v>211</v>
      </c>
      <c r="K85" t="s">
        <v>34</v>
      </c>
      <c r="M85" s="1" t="s">
        <v>35</v>
      </c>
      <c r="N85" s="1">
        <v>42318949</v>
      </c>
      <c r="O85" s="1" t="s">
        <v>36</v>
      </c>
      <c r="P85" s="186">
        <v>44459.548981481479</v>
      </c>
      <c r="R85" s="1" t="s">
        <v>38</v>
      </c>
      <c r="T85" s="1" t="s">
        <v>74</v>
      </c>
      <c r="U85" s="186">
        <v>44460.548981481479</v>
      </c>
      <c r="V85" s="1" t="s">
        <v>41</v>
      </c>
      <c r="W85" s="1" t="s">
        <v>49</v>
      </c>
      <c r="X85" s="13" t="str">
        <f t="shared" si="12"/>
        <v/>
      </c>
      <c r="Y85" s="2">
        <f t="shared" ca="1" si="7"/>
        <v>378</v>
      </c>
      <c r="Z85" s="14">
        <v>1</v>
      </c>
      <c r="AA85" s="1" t="str">
        <f t="shared" ca="1" si="8"/>
        <v>VENCIDO</v>
      </c>
      <c r="AB85" s="1" t="str">
        <f t="shared" si="9"/>
        <v>Dosa</v>
      </c>
      <c r="AC85" s="2" t="str">
        <f t="shared" si="13"/>
        <v xml:space="preserve"> RINALDO </v>
      </c>
      <c r="AD85" s="2">
        <f t="shared" si="10"/>
        <v>5</v>
      </c>
      <c r="AE85" s="2">
        <f t="shared" ca="1" si="11"/>
        <v>-526.12729016203957</v>
      </c>
      <c r="AF85" s="15"/>
    </row>
    <row r="86" spans="1:32" hidden="1">
      <c r="A86" s="1">
        <v>7726640</v>
      </c>
      <c r="B86" s="1" t="s">
        <v>81</v>
      </c>
      <c r="C86" t="s">
        <v>240</v>
      </c>
      <c r="E86" s="2">
        <v>3243000206001</v>
      </c>
      <c r="F86" s="1" t="s">
        <v>29</v>
      </c>
      <c r="G86" s="1" t="s">
        <v>53</v>
      </c>
      <c r="H86" s="1" t="s">
        <v>282</v>
      </c>
      <c r="I86" s="1" t="s">
        <v>283</v>
      </c>
      <c r="J86" s="1" t="s">
        <v>46</v>
      </c>
      <c r="K86" t="s">
        <v>34</v>
      </c>
      <c r="M86" s="1" t="s">
        <v>35</v>
      </c>
      <c r="N86" s="1">
        <v>42318949</v>
      </c>
      <c r="O86" s="1" t="s">
        <v>36</v>
      </c>
      <c r="P86" s="186">
        <v>44459.54896990741</v>
      </c>
      <c r="R86" s="1" t="s">
        <v>38</v>
      </c>
      <c r="T86" s="1" t="s">
        <v>74</v>
      </c>
      <c r="U86" s="186">
        <v>44460.54896990741</v>
      </c>
      <c r="V86" s="1" t="s">
        <v>41</v>
      </c>
      <c r="W86" s="1" t="s">
        <v>49</v>
      </c>
      <c r="X86" s="13" t="str">
        <f t="shared" si="12"/>
        <v/>
      </c>
      <c r="Y86" s="2">
        <f t="shared" ca="1" si="7"/>
        <v>378</v>
      </c>
      <c r="Z86" s="14">
        <v>1</v>
      </c>
      <c r="AA86" s="1" t="str">
        <f t="shared" ca="1" si="8"/>
        <v>VENCIDO</v>
      </c>
      <c r="AB86" s="1" t="str">
        <f t="shared" si="9"/>
        <v>Dosa</v>
      </c>
      <c r="AC86" s="2" t="str">
        <f t="shared" si="13"/>
        <v xml:space="preserve"> CLEITON </v>
      </c>
      <c r="AD86" s="2">
        <f t="shared" si="10"/>
        <v>5</v>
      </c>
      <c r="AE86" s="2">
        <f t="shared" ca="1" si="11"/>
        <v>-526.12730173610908</v>
      </c>
      <c r="AF86" s="15"/>
    </row>
    <row r="87" spans="1:32" hidden="1">
      <c r="A87" s="1">
        <v>7726639</v>
      </c>
      <c r="B87" s="1" t="s">
        <v>81</v>
      </c>
      <c r="C87" t="s">
        <v>240</v>
      </c>
      <c r="E87" s="2">
        <v>1060000206001</v>
      </c>
      <c r="F87" s="1" t="s">
        <v>29</v>
      </c>
      <c r="G87" s="1" t="s">
        <v>53</v>
      </c>
      <c r="H87" s="1" t="s">
        <v>284</v>
      </c>
      <c r="I87" s="1" t="s">
        <v>285</v>
      </c>
      <c r="J87" s="1" t="s">
        <v>148</v>
      </c>
      <c r="K87" t="s">
        <v>34</v>
      </c>
      <c r="M87" s="1" t="s">
        <v>35</v>
      </c>
      <c r="N87" s="1">
        <v>42318949</v>
      </c>
      <c r="O87" s="1" t="s">
        <v>36</v>
      </c>
      <c r="P87" s="186">
        <v>44459.54896990741</v>
      </c>
      <c r="R87" s="1" t="s">
        <v>38</v>
      </c>
      <c r="T87" s="1" t="s">
        <v>74</v>
      </c>
      <c r="U87" s="186">
        <v>44460.54896990741</v>
      </c>
      <c r="V87" s="1" t="s">
        <v>41</v>
      </c>
      <c r="W87" s="1" t="s">
        <v>49</v>
      </c>
      <c r="X87" s="13" t="str">
        <f t="shared" si="12"/>
        <v/>
      </c>
      <c r="Y87" s="2">
        <f t="shared" ca="1" si="7"/>
        <v>378</v>
      </c>
      <c r="Z87" s="14">
        <v>1</v>
      </c>
      <c r="AA87" s="1" t="str">
        <f t="shared" ca="1" si="8"/>
        <v>VENCIDO</v>
      </c>
      <c r="AB87" s="1" t="str">
        <f t="shared" si="9"/>
        <v>Dosa</v>
      </c>
      <c r="AC87" s="2" t="str">
        <f t="shared" si="13"/>
        <v xml:space="preserve"> RINALDO </v>
      </c>
      <c r="AD87" s="2">
        <f t="shared" si="10"/>
        <v>5</v>
      </c>
      <c r="AE87" s="2">
        <f t="shared" ca="1" si="11"/>
        <v>-526.12730173610908</v>
      </c>
      <c r="AF87" s="15"/>
    </row>
    <row r="88" spans="1:32" hidden="1">
      <c r="A88" s="1">
        <v>7726637</v>
      </c>
      <c r="B88" s="1" t="s">
        <v>81</v>
      </c>
      <c r="C88" t="s">
        <v>240</v>
      </c>
      <c r="E88" s="2">
        <v>3237000206001</v>
      </c>
      <c r="F88" s="1" t="s">
        <v>29</v>
      </c>
      <c r="G88" s="1" t="s">
        <v>53</v>
      </c>
      <c r="H88" s="1" t="s">
        <v>287</v>
      </c>
      <c r="I88" s="1" t="s">
        <v>288</v>
      </c>
      <c r="J88" s="1" t="s">
        <v>46</v>
      </c>
      <c r="K88" t="s">
        <v>34</v>
      </c>
      <c r="M88" s="1" t="s">
        <v>35</v>
      </c>
      <c r="N88" s="1">
        <v>42318949</v>
      </c>
      <c r="O88" s="1" t="s">
        <v>36</v>
      </c>
      <c r="P88" s="186">
        <v>44459.54896990741</v>
      </c>
      <c r="R88" s="1" t="s">
        <v>38</v>
      </c>
      <c r="T88" s="1" t="s">
        <v>74</v>
      </c>
      <c r="U88" s="186">
        <v>44460.54896990741</v>
      </c>
      <c r="V88" s="1" t="s">
        <v>41</v>
      </c>
      <c r="W88" s="1" t="s">
        <v>49</v>
      </c>
      <c r="X88" s="13" t="str">
        <f t="shared" si="12"/>
        <v/>
      </c>
      <c r="Y88" s="2">
        <f t="shared" ca="1" si="7"/>
        <v>378</v>
      </c>
      <c r="Z88" s="14">
        <v>1</v>
      </c>
      <c r="AA88" s="1" t="str">
        <f t="shared" ca="1" si="8"/>
        <v>VENCIDO</v>
      </c>
      <c r="AB88" s="1" t="str">
        <f t="shared" si="9"/>
        <v>Dosa</v>
      </c>
      <c r="AC88" s="2" t="str">
        <f t="shared" si="13"/>
        <v xml:space="preserve"> CLEITON </v>
      </c>
      <c r="AD88" s="2">
        <f t="shared" si="10"/>
        <v>5</v>
      </c>
      <c r="AE88" s="2">
        <f t="shared" ca="1" si="11"/>
        <v>-526.12730173610908</v>
      </c>
      <c r="AF88" s="15"/>
    </row>
    <row r="89" spans="1:32" hidden="1">
      <c r="A89" s="1">
        <v>7726636</v>
      </c>
      <c r="B89" s="1" t="s">
        <v>81</v>
      </c>
      <c r="C89" t="s">
        <v>240</v>
      </c>
      <c r="E89" s="2">
        <v>1058000206001</v>
      </c>
      <c r="F89" s="1" t="s">
        <v>29</v>
      </c>
      <c r="G89" s="1" t="s">
        <v>53</v>
      </c>
      <c r="H89" s="1" t="s">
        <v>289</v>
      </c>
      <c r="I89" s="1" t="s">
        <v>290</v>
      </c>
      <c r="J89" s="1" t="s">
        <v>56</v>
      </c>
      <c r="K89" t="s">
        <v>34</v>
      </c>
      <c r="M89" s="1" t="s">
        <v>35</v>
      </c>
      <c r="N89" s="1">
        <v>42318949</v>
      </c>
      <c r="O89" s="1" t="s">
        <v>36</v>
      </c>
      <c r="P89" s="186">
        <v>44459.54896990741</v>
      </c>
      <c r="R89" s="1" t="s">
        <v>38</v>
      </c>
      <c r="T89" s="1" t="s">
        <v>74</v>
      </c>
      <c r="U89" s="186">
        <v>44460.54896990741</v>
      </c>
      <c r="V89" s="1" t="s">
        <v>41</v>
      </c>
      <c r="W89" s="1" t="s">
        <v>49</v>
      </c>
      <c r="X89" s="13" t="str">
        <f t="shared" si="12"/>
        <v/>
      </c>
      <c r="Y89" s="2">
        <f t="shared" ca="1" si="7"/>
        <v>378</v>
      </c>
      <c r="Z89" s="14">
        <v>1</v>
      </c>
      <c r="AA89" s="1" t="str">
        <f t="shared" ca="1" si="8"/>
        <v>VENCIDO</v>
      </c>
      <c r="AB89" s="1" t="str">
        <f t="shared" si="9"/>
        <v>Dosa</v>
      </c>
      <c r="AC89" s="2" t="str">
        <f t="shared" si="13"/>
        <v xml:space="preserve"> CRISTINA </v>
      </c>
      <c r="AD89" s="2">
        <f t="shared" si="10"/>
        <v>5</v>
      </c>
      <c r="AE89" s="2">
        <f t="shared" ca="1" si="11"/>
        <v>-526.12730173610908</v>
      </c>
      <c r="AF89" s="15"/>
    </row>
    <row r="90" spans="1:32" hidden="1">
      <c r="A90" s="1">
        <v>7726635</v>
      </c>
      <c r="B90" s="1" t="s">
        <v>81</v>
      </c>
      <c r="C90" t="s">
        <v>240</v>
      </c>
      <c r="E90" s="2">
        <v>4235000206001</v>
      </c>
      <c r="F90" s="1" t="s">
        <v>29</v>
      </c>
      <c r="G90" s="1" t="s">
        <v>53</v>
      </c>
      <c r="H90" s="1" t="s">
        <v>291</v>
      </c>
      <c r="I90" s="1" t="s">
        <v>292</v>
      </c>
      <c r="J90" s="1" t="s">
        <v>46</v>
      </c>
      <c r="K90" t="s">
        <v>34</v>
      </c>
      <c r="M90" s="1" t="s">
        <v>35</v>
      </c>
      <c r="N90" s="1">
        <v>42318949</v>
      </c>
      <c r="O90" s="1" t="s">
        <v>36</v>
      </c>
      <c r="P90" s="186">
        <v>44459.54896990741</v>
      </c>
      <c r="R90" s="1" t="s">
        <v>38</v>
      </c>
      <c r="T90" s="1" t="s">
        <v>74</v>
      </c>
      <c r="U90" s="186">
        <v>44460.54896990741</v>
      </c>
      <c r="V90" s="1" t="s">
        <v>41</v>
      </c>
      <c r="W90" s="1" t="s">
        <v>49</v>
      </c>
      <c r="X90" s="13" t="str">
        <f t="shared" si="12"/>
        <v/>
      </c>
      <c r="Y90" s="2">
        <f t="shared" ca="1" si="7"/>
        <v>378</v>
      </c>
      <c r="Z90" s="14">
        <v>1</v>
      </c>
      <c r="AA90" s="1" t="str">
        <f t="shared" ca="1" si="8"/>
        <v>VENCIDO</v>
      </c>
      <c r="AB90" s="1" t="str">
        <f t="shared" si="9"/>
        <v>Dosa</v>
      </c>
      <c r="AC90" s="2" t="str">
        <f t="shared" si="13"/>
        <v xml:space="preserve"> CLEITON </v>
      </c>
      <c r="AD90" s="2">
        <f t="shared" si="10"/>
        <v>5</v>
      </c>
      <c r="AE90" s="2">
        <f t="shared" ca="1" si="11"/>
        <v>-526.12730173610908</v>
      </c>
      <c r="AF90" s="15"/>
    </row>
    <row r="91" spans="1:32" hidden="1">
      <c r="A91" s="1">
        <v>7726633</v>
      </c>
      <c r="B91" s="1" t="s">
        <v>81</v>
      </c>
      <c r="C91" t="s">
        <v>240</v>
      </c>
      <c r="E91" s="2">
        <v>8634000206001</v>
      </c>
      <c r="F91" s="1" t="s">
        <v>29</v>
      </c>
      <c r="G91" s="1" t="s">
        <v>53</v>
      </c>
      <c r="H91" s="1" t="s">
        <v>293</v>
      </c>
      <c r="I91" s="1" t="s">
        <v>294</v>
      </c>
      <c r="J91" s="1" t="s">
        <v>46</v>
      </c>
      <c r="K91" t="s">
        <v>34</v>
      </c>
      <c r="M91" s="1" t="s">
        <v>35</v>
      </c>
      <c r="N91" s="1">
        <v>42318949</v>
      </c>
      <c r="O91" s="1" t="s">
        <v>36</v>
      </c>
      <c r="P91" s="186">
        <v>44459.54896990741</v>
      </c>
      <c r="R91" s="1" t="s">
        <v>38</v>
      </c>
      <c r="T91" s="1" t="s">
        <v>74</v>
      </c>
      <c r="U91" s="186">
        <v>44460.54896990741</v>
      </c>
      <c r="V91" s="1" t="s">
        <v>41</v>
      </c>
      <c r="W91" s="1" t="s">
        <v>49</v>
      </c>
      <c r="X91" s="13" t="str">
        <f t="shared" si="12"/>
        <v/>
      </c>
      <c r="Y91" s="2">
        <f t="shared" ca="1" si="7"/>
        <v>378</v>
      </c>
      <c r="Z91" s="14">
        <v>1</v>
      </c>
      <c r="AA91" s="1" t="str">
        <f t="shared" ca="1" si="8"/>
        <v>VENCIDO</v>
      </c>
      <c r="AB91" s="1" t="str">
        <f t="shared" si="9"/>
        <v>Dosa</v>
      </c>
      <c r="AC91" s="2" t="str">
        <f t="shared" si="13"/>
        <v xml:space="preserve"> CLEITON </v>
      </c>
      <c r="AD91" s="2">
        <f t="shared" si="10"/>
        <v>5</v>
      </c>
      <c r="AE91" s="2">
        <f t="shared" ca="1" si="11"/>
        <v>-526.12730173610908</v>
      </c>
      <c r="AF91" s="15"/>
    </row>
    <row r="92" spans="1:32" hidden="1">
      <c r="A92" s="1">
        <v>7726632</v>
      </c>
      <c r="B92" s="1" t="s">
        <v>81</v>
      </c>
      <c r="C92" t="s">
        <v>240</v>
      </c>
      <c r="E92" s="2">
        <v>1108000206001</v>
      </c>
      <c r="F92" s="1" t="s">
        <v>29</v>
      </c>
      <c r="G92" s="1" t="s">
        <v>53</v>
      </c>
      <c r="H92" s="1" t="s">
        <v>295</v>
      </c>
      <c r="I92" s="1" t="s">
        <v>296</v>
      </c>
      <c r="J92" s="1" t="s">
        <v>90</v>
      </c>
      <c r="K92" t="s">
        <v>34</v>
      </c>
      <c r="M92" s="1" t="s">
        <v>35</v>
      </c>
      <c r="N92" s="1">
        <v>42318949</v>
      </c>
      <c r="O92" s="1" t="s">
        <v>36</v>
      </c>
      <c r="P92" s="186">
        <v>44459.54896990741</v>
      </c>
      <c r="R92" s="1" t="s">
        <v>38</v>
      </c>
      <c r="T92" s="1" t="s">
        <v>74</v>
      </c>
      <c r="U92" s="186">
        <v>44460.54896990741</v>
      </c>
      <c r="V92" s="1" t="s">
        <v>41</v>
      </c>
      <c r="W92" s="1" t="s">
        <v>49</v>
      </c>
      <c r="X92" s="13" t="str">
        <f t="shared" si="12"/>
        <v/>
      </c>
      <c r="Y92" s="2">
        <f t="shared" ca="1" si="7"/>
        <v>378</v>
      </c>
      <c r="Z92" s="14">
        <v>1</v>
      </c>
      <c r="AA92" s="1" t="str">
        <f t="shared" ca="1" si="8"/>
        <v>VENCIDO</v>
      </c>
      <c r="AB92" s="1" t="str">
        <f t="shared" si="9"/>
        <v>Dosa</v>
      </c>
      <c r="AC92" s="2" t="str">
        <f t="shared" si="13"/>
        <v xml:space="preserve"> RINALDO </v>
      </c>
      <c r="AD92" s="2">
        <f t="shared" si="10"/>
        <v>5</v>
      </c>
      <c r="AE92" s="2">
        <f t="shared" ca="1" si="11"/>
        <v>-526.12730173610908</v>
      </c>
      <c r="AF92" s="15"/>
    </row>
    <row r="93" spans="1:32" hidden="1">
      <c r="A93" s="1">
        <v>7726631</v>
      </c>
      <c r="B93" s="1" t="s">
        <v>81</v>
      </c>
      <c r="C93" t="s">
        <v>240</v>
      </c>
      <c r="E93" s="2">
        <v>4119000206001</v>
      </c>
      <c r="F93" s="1" t="s">
        <v>29</v>
      </c>
      <c r="G93" s="1" t="s">
        <v>53</v>
      </c>
      <c r="H93" s="1" t="s">
        <v>297</v>
      </c>
      <c r="I93" s="1" t="s">
        <v>298</v>
      </c>
      <c r="J93" s="1" t="s">
        <v>211</v>
      </c>
      <c r="K93" t="s">
        <v>34</v>
      </c>
      <c r="M93" s="1" t="s">
        <v>35</v>
      </c>
      <c r="N93" s="1">
        <v>42318949</v>
      </c>
      <c r="O93" s="1" t="s">
        <v>36</v>
      </c>
      <c r="P93" s="186">
        <v>44459.548958333333</v>
      </c>
      <c r="R93" s="1" t="s">
        <v>38</v>
      </c>
      <c r="T93" s="1" t="s">
        <v>74</v>
      </c>
      <c r="U93" s="186">
        <v>44460.548958333333</v>
      </c>
      <c r="V93" s="1" t="s">
        <v>41</v>
      </c>
      <c r="W93" s="1" t="s">
        <v>49</v>
      </c>
      <c r="X93" s="13" t="str">
        <f t="shared" si="12"/>
        <v/>
      </c>
      <c r="Y93" s="2">
        <f t="shared" ca="1" si="7"/>
        <v>378</v>
      </c>
      <c r="Z93" s="14">
        <v>1</v>
      </c>
      <c r="AA93" s="1" t="str">
        <f t="shared" ca="1" si="8"/>
        <v>VENCIDO</v>
      </c>
      <c r="AB93" s="1" t="str">
        <f t="shared" si="9"/>
        <v>Dosa</v>
      </c>
      <c r="AC93" s="2" t="str">
        <f t="shared" si="13"/>
        <v xml:space="preserve"> RINALDO </v>
      </c>
      <c r="AD93" s="2">
        <f t="shared" si="10"/>
        <v>5</v>
      </c>
      <c r="AE93" s="2">
        <f t="shared" ca="1" si="11"/>
        <v>-526.12731331018585</v>
      </c>
      <c r="AF93" s="15"/>
    </row>
    <row r="94" spans="1:32" hidden="1">
      <c r="A94" s="1">
        <v>7726630</v>
      </c>
      <c r="B94" s="1" t="s">
        <v>81</v>
      </c>
      <c r="C94" t="s">
        <v>240</v>
      </c>
      <c r="E94" s="2">
        <v>2388000206001</v>
      </c>
      <c r="F94" s="1" t="s">
        <v>29</v>
      </c>
      <c r="G94" s="1" t="s">
        <v>53</v>
      </c>
      <c r="H94" s="1" t="s">
        <v>299</v>
      </c>
      <c r="I94" s="1" t="s">
        <v>300</v>
      </c>
      <c r="J94" s="1" t="s">
        <v>79</v>
      </c>
      <c r="K94" t="s">
        <v>34</v>
      </c>
      <c r="M94" s="1" t="s">
        <v>35</v>
      </c>
      <c r="N94" s="1">
        <v>42318949</v>
      </c>
      <c r="O94" s="1" t="s">
        <v>36</v>
      </c>
      <c r="P94" s="186">
        <v>44459.548958333333</v>
      </c>
      <c r="R94" s="1" t="s">
        <v>38</v>
      </c>
      <c r="T94" s="1" t="s">
        <v>74</v>
      </c>
      <c r="U94" s="186">
        <v>44460.548958333333</v>
      </c>
      <c r="V94" s="1" t="s">
        <v>41</v>
      </c>
      <c r="W94" s="1" t="s">
        <v>49</v>
      </c>
      <c r="X94" s="13" t="str">
        <f t="shared" si="12"/>
        <v/>
      </c>
      <c r="Y94" s="2">
        <f t="shared" ca="1" si="7"/>
        <v>378</v>
      </c>
      <c r="Z94" s="14">
        <v>1</v>
      </c>
      <c r="AA94" s="1" t="str">
        <f t="shared" ca="1" si="8"/>
        <v>VENCIDO</v>
      </c>
      <c r="AB94" s="1" t="str">
        <f t="shared" si="9"/>
        <v>Dosa</v>
      </c>
      <c r="AC94" s="2" t="str">
        <f t="shared" si="13"/>
        <v xml:space="preserve"> ROSEMERE </v>
      </c>
      <c r="AD94" s="2">
        <f t="shared" si="10"/>
        <v>5</v>
      </c>
      <c r="AE94" s="2">
        <f t="shared" ca="1" si="11"/>
        <v>-526.12731331018585</v>
      </c>
      <c r="AF94" s="15"/>
    </row>
    <row r="95" spans="1:32" hidden="1">
      <c r="A95" s="1">
        <v>7726629</v>
      </c>
      <c r="B95" s="1" t="s">
        <v>81</v>
      </c>
      <c r="C95" t="s">
        <v>240</v>
      </c>
      <c r="E95" s="2">
        <v>2326000206001</v>
      </c>
      <c r="F95" s="1" t="s">
        <v>29</v>
      </c>
      <c r="G95" s="1" t="s">
        <v>53</v>
      </c>
      <c r="H95" s="1" t="s">
        <v>191</v>
      </c>
      <c r="I95" s="1" t="s">
        <v>192</v>
      </c>
      <c r="J95" s="1" t="s">
        <v>46</v>
      </c>
      <c r="K95" t="s">
        <v>34</v>
      </c>
      <c r="M95" s="1" t="s">
        <v>35</v>
      </c>
      <c r="N95" s="1">
        <v>42318949</v>
      </c>
      <c r="O95" s="1" t="s">
        <v>36</v>
      </c>
      <c r="P95" s="186">
        <v>44459.548958333333</v>
      </c>
      <c r="R95" s="1" t="s">
        <v>38</v>
      </c>
      <c r="T95" s="1" t="s">
        <v>74</v>
      </c>
      <c r="U95" s="186">
        <v>44460.548958333333</v>
      </c>
      <c r="V95" s="1" t="s">
        <v>41</v>
      </c>
      <c r="W95" s="1" t="s">
        <v>49</v>
      </c>
      <c r="X95" s="13" t="str">
        <f t="shared" si="12"/>
        <v/>
      </c>
      <c r="Y95" s="2">
        <f t="shared" ca="1" si="7"/>
        <v>378</v>
      </c>
      <c r="Z95" s="14">
        <v>1</v>
      </c>
      <c r="AA95" s="1" t="str">
        <f t="shared" ca="1" si="8"/>
        <v>VENCIDO</v>
      </c>
      <c r="AB95" s="1" t="str">
        <f t="shared" si="9"/>
        <v>Dosa</v>
      </c>
      <c r="AC95" s="2" t="str">
        <f t="shared" si="13"/>
        <v xml:space="preserve"> CLEITON </v>
      </c>
      <c r="AD95" s="2">
        <f t="shared" si="10"/>
        <v>5</v>
      </c>
      <c r="AE95" s="2">
        <f t="shared" ca="1" si="11"/>
        <v>-526.12731331018585</v>
      </c>
      <c r="AF95" s="15"/>
    </row>
    <row r="96" spans="1:32" hidden="1">
      <c r="A96" s="1">
        <v>7726628</v>
      </c>
      <c r="B96" s="1" t="s">
        <v>81</v>
      </c>
      <c r="C96" t="s">
        <v>240</v>
      </c>
      <c r="E96" s="2">
        <v>1360000206001</v>
      </c>
      <c r="F96" s="1" t="s">
        <v>29</v>
      </c>
      <c r="G96" s="1" t="s">
        <v>53</v>
      </c>
      <c r="H96" s="1" t="s">
        <v>303</v>
      </c>
      <c r="I96" s="1" t="s">
        <v>304</v>
      </c>
      <c r="J96" s="1" t="s">
        <v>261</v>
      </c>
      <c r="K96" t="s">
        <v>34</v>
      </c>
      <c r="M96" s="1" t="s">
        <v>35</v>
      </c>
      <c r="N96" s="1">
        <v>42318949</v>
      </c>
      <c r="O96" s="1" t="s">
        <v>36</v>
      </c>
      <c r="P96" s="186">
        <v>44459.548958333333</v>
      </c>
      <c r="R96" s="1" t="s">
        <v>38</v>
      </c>
      <c r="T96" s="1" t="s">
        <v>74</v>
      </c>
      <c r="U96" s="186">
        <v>44460.548958333333</v>
      </c>
      <c r="V96" s="1" t="s">
        <v>41</v>
      </c>
      <c r="W96" s="1" t="s">
        <v>49</v>
      </c>
      <c r="X96" s="13" t="str">
        <f t="shared" si="12"/>
        <v/>
      </c>
      <c r="Y96" s="2">
        <f t="shared" ca="1" si="7"/>
        <v>378</v>
      </c>
      <c r="Z96" s="14">
        <v>1</v>
      </c>
      <c r="AA96" s="1" t="str">
        <f t="shared" ca="1" si="8"/>
        <v>VENCIDO</v>
      </c>
      <c r="AB96" s="1" t="str">
        <f t="shared" si="9"/>
        <v>Dosa</v>
      </c>
      <c r="AC96" s="2" t="str">
        <f t="shared" si="13"/>
        <v xml:space="preserve"> CRISTINA </v>
      </c>
      <c r="AD96" s="2">
        <f t="shared" si="10"/>
        <v>5</v>
      </c>
      <c r="AE96" s="2">
        <f t="shared" ca="1" si="11"/>
        <v>-526.12731331018585</v>
      </c>
      <c r="AF96" s="15"/>
    </row>
    <row r="97" spans="1:32" hidden="1">
      <c r="A97" s="1">
        <v>7726627</v>
      </c>
      <c r="B97" s="1" t="s">
        <v>81</v>
      </c>
      <c r="C97" t="s">
        <v>240</v>
      </c>
      <c r="E97" s="2">
        <v>1835000206001</v>
      </c>
      <c r="F97" s="1" t="s">
        <v>29</v>
      </c>
      <c r="G97" s="1" t="s">
        <v>53</v>
      </c>
      <c r="H97" s="1" t="s">
        <v>305</v>
      </c>
      <c r="I97" s="1" t="s">
        <v>306</v>
      </c>
      <c r="J97" t="s">
        <v>46</v>
      </c>
      <c r="K97" t="s">
        <v>34</v>
      </c>
      <c r="M97" s="1" t="s">
        <v>35</v>
      </c>
      <c r="N97" s="1">
        <v>42318949</v>
      </c>
      <c r="O97" s="1" t="s">
        <v>36</v>
      </c>
      <c r="P97" s="186">
        <v>44459.548958333333</v>
      </c>
      <c r="R97" s="1" t="s">
        <v>38</v>
      </c>
      <c r="T97" s="1" t="s">
        <v>74</v>
      </c>
      <c r="U97" s="186">
        <v>44460.548958333333</v>
      </c>
      <c r="V97" s="1" t="s">
        <v>41</v>
      </c>
      <c r="W97" s="1" t="s">
        <v>49</v>
      </c>
      <c r="X97" s="13" t="str">
        <f t="shared" si="12"/>
        <v/>
      </c>
      <c r="Y97" s="2">
        <f t="shared" ca="1" si="7"/>
        <v>378</v>
      </c>
      <c r="Z97" s="14">
        <v>1</v>
      </c>
      <c r="AA97" s="1" t="str">
        <f t="shared" ca="1" si="8"/>
        <v>VENCIDO</v>
      </c>
      <c r="AB97" s="1" t="str">
        <f t="shared" si="9"/>
        <v>Dosa</v>
      </c>
      <c r="AC97" s="2" t="str">
        <f t="shared" si="13"/>
        <v xml:space="preserve"> CLEITON </v>
      </c>
      <c r="AD97" s="2">
        <f t="shared" si="10"/>
        <v>5</v>
      </c>
      <c r="AE97" s="2">
        <f t="shared" ca="1" si="11"/>
        <v>-526.12731331018585</v>
      </c>
      <c r="AF97" s="15"/>
    </row>
    <row r="98" spans="1:32" hidden="1">
      <c r="A98" s="1">
        <v>7726626</v>
      </c>
      <c r="B98" s="1" t="s">
        <v>81</v>
      </c>
      <c r="C98" t="s">
        <v>240</v>
      </c>
      <c r="E98" s="2">
        <v>1664000206001</v>
      </c>
      <c r="F98" s="1" t="s">
        <v>29</v>
      </c>
      <c r="G98" s="1" t="s">
        <v>53</v>
      </c>
      <c r="H98" s="1" t="s">
        <v>307</v>
      </c>
      <c r="I98" s="1" t="s">
        <v>308</v>
      </c>
      <c r="J98" s="1" t="s">
        <v>164</v>
      </c>
      <c r="K98" t="s">
        <v>34</v>
      </c>
      <c r="M98" s="1" t="s">
        <v>35</v>
      </c>
      <c r="N98" s="1">
        <v>42318949</v>
      </c>
      <c r="O98" s="1" t="s">
        <v>36</v>
      </c>
      <c r="P98" s="186">
        <v>44459.548958333333</v>
      </c>
      <c r="R98" s="1" t="s">
        <v>38</v>
      </c>
      <c r="T98" s="1" t="s">
        <v>74</v>
      </c>
      <c r="U98" s="186">
        <v>44460.548958333333</v>
      </c>
      <c r="V98" s="1" t="s">
        <v>41</v>
      </c>
      <c r="W98" s="1" t="s">
        <v>49</v>
      </c>
      <c r="X98" s="13" t="str">
        <f t="shared" si="12"/>
        <v/>
      </c>
      <c r="Y98" s="2">
        <f t="shared" ca="1" si="7"/>
        <v>378</v>
      </c>
      <c r="Z98" s="14">
        <v>1</v>
      </c>
      <c r="AA98" s="1" t="str">
        <f t="shared" ca="1" si="8"/>
        <v>VENCIDO</v>
      </c>
      <c r="AB98" s="1" t="str">
        <f t="shared" si="9"/>
        <v>Dosa</v>
      </c>
      <c r="AC98" s="2" t="str">
        <f t="shared" si="13"/>
        <v xml:space="preserve"> ROSEMERE </v>
      </c>
      <c r="AD98" s="2">
        <f t="shared" si="10"/>
        <v>5</v>
      </c>
      <c r="AE98" s="2">
        <f t="shared" ca="1" si="11"/>
        <v>-526.12731331018585</v>
      </c>
      <c r="AF98" s="15"/>
    </row>
    <row r="99" spans="1:32" hidden="1">
      <c r="A99" s="1">
        <v>7726624</v>
      </c>
      <c r="B99" s="1" t="s">
        <v>81</v>
      </c>
      <c r="C99" t="s">
        <v>240</v>
      </c>
      <c r="E99" s="2">
        <v>1732000206001</v>
      </c>
      <c r="F99" s="1" t="s">
        <v>29</v>
      </c>
      <c r="G99" s="1" t="s">
        <v>53</v>
      </c>
      <c r="H99" s="1" t="s">
        <v>177</v>
      </c>
      <c r="I99" s="1" t="s">
        <v>178</v>
      </c>
      <c r="J99" s="1" t="s">
        <v>164</v>
      </c>
      <c r="K99" t="s">
        <v>34</v>
      </c>
      <c r="M99" s="1" t="s">
        <v>35</v>
      </c>
      <c r="N99" s="1">
        <v>42318949</v>
      </c>
      <c r="O99" s="1" t="s">
        <v>36</v>
      </c>
      <c r="P99" s="186">
        <v>44459.548958333333</v>
      </c>
      <c r="R99" s="1" t="s">
        <v>38</v>
      </c>
      <c r="T99" s="1" t="s">
        <v>74</v>
      </c>
      <c r="U99" s="186">
        <v>44460.548958333333</v>
      </c>
      <c r="V99" s="1" t="s">
        <v>41</v>
      </c>
      <c r="W99" s="1" t="s">
        <v>49</v>
      </c>
      <c r="X99" s="13" t="str">
        <f t="shared" si="12"/>
        <v/>
      </c>
      <c r="Y99" s="2">
        <f t="shared" ca="1" si="7"/>
        <v>378</v>
      </c>
      <c r="Z99" s="14">
        <v>1</v>
      </c>
      <c r="AA99" s="1" t="str">
        <f t="shared" ca="1" si="8"/>
        <v>VENCIDO</v>
      </c>
      <c r="AB99" s="1" t="str">
        <f t="shared" si="9"/>
        <v>Dosa</v>
      </c>
      <c r="AC99" s="2" t="str">
        <f t="shared" si="13"/>
        <v xml:space="preserve"> ROSEMERE </v>
      </c>
      <c r="AD99" s="2">
        <f t="shared" si="10"/>
        <v>5</v>
      </c>
      <c r="AE99" s="2">
        <f t="shared" ca="1" si="11"/>
        <v>-526.12731331018585</v>
      </c>
      <c r="AF99" s="15"/>
    </row>
    <row r="100" spans="1:32" hidden="1">
      <c r="A100" s="1">
        <v>7726620</v>
      </c>
      <c r="B100" s="1" t="s">
        <v>81</v>
      </c>
      <c r="C100" t="s">
        <v>240</v>
      </c>
      <c r="E100" s="2">
        <v>3924000206001</v>
      </c>
      <c r="F100" s="1" t="s">
        <v>29</v>
      </c>
      <c r="G100" s="1" t="s">
        <v>53</v>
      </c>
      <c r="H100" s="1" t="s">
        <v>153</v>
      </c>
      <c r="I100" s="1" t="s">
        <v>154</v>
      </c>
      <c r="J100" s="1" t="s">
        <v>56</v>
      </c>
      <c r="K100" t="s">
        <v>34</v>
      </c>
      <c r="M100" s="1" t="s">
        <v>35</v>
      </c>
      <c r="N100" s="1">
        <v>42318949</v>
      </c>
      <c r="O100" s="1" t="s">
        <v>36</v>
      </c>
      <c r="P100" s="186">
        <v>44459.548946759256</v>
      </c>
      <c r="R100" s="1" t="s">
        <v>38</v>
      </c>
      <c r="T100" s="1" t="s">
        <v>74</v>
      </c>
      <c r="U100" s="186">
        <v>44460.548946759256</v>
      </c>
      <c r="V100" s="1" t="s">
        <v>41</v>
      </c>
      <c r="W100" s="1" t="s">
        <v>49</v>
      </c>
      <c r="X100" s="13" t="str">
        <f t="shared" si="12"/>
        <v/>
      </c>
      <c r="Y100" s="2">
        <f t="shared" ca="1" si="7"/>
        <v>378</v>
      </c>
      <c r="Z100" s="14">
        <v>1</v>
      </c>
      <c r="AA100" s="1" t="str">
        <f t="shared" ca="1" si="8"/>
        <v>VENCIDO</v>
      </c>
      <c r="AB100" s="1" t="str">
        <f t="shared" si="9"/>
        <v>Dosa</v>
      </c>
      <c r="AC100" s="2" t="str">
        <f t="shared" si="13"/>
        <v xml:space="preserve"> CRISTINA </v>
      </c>
      <c r="AD100" s="2">
        <f t="shared" si="10"/>
        <v>5</v>
      </c>
      <c r="AE100" s="2">
        <f t="shared" ca="1" si="11"/>
        <v>-526.12732488426263</v>
      </c>
      <c r="AF100" s="15"/>
    </row>
    <row r="101" spans="1:32" hidden="1">
      <c r="A101" s="1">
        <v>7726617</v>
      </c>
      <c r="B101" s="1" t="s">
        <v>81</v>
      </c>
      <c r="C101" t="s">
        <v>240</v>
      </c>
      <c r="E101" s="2">
        <v>1361000206001</v>
      </c>
      <c r="F101" s="1" t="s">
        <v>29</v>
      </c>
      <c r="G101" s="1" t="s">
        <v>53</v>
      </c>
      <c r="H101" s="1" t="s">
        <v>309</v>
      </c>
      <c r="I101" s="1" t="s">
        <v>310</v>
      </c>
      <c r="J101" s="1" t="s">
        <v>46</v>
      </c>
      <c r="K101" t="s">
        <v>34</v>
      </c>
      <c r="M101" s="1" t="s">
        <v>35</v>
      </c>
      <c r="N101" s="1">
        <v>42318949</v>
      </c>
      <c r="O101" s="1" t="s">
        <v>36</v>
      </c>
      <c r="P101" s="186">
        <v>44459.548946759256</v>
      </c>
      <c r="R101" s="1" t="s">
        <v>38</v>
      </c>
      <c r="T101" s="1" t="s">
        <v>74</v>
      </c>
      <c r="U101" s="186">
        <v>44460.548946759256</v>
      </c>
      <c r="V101" s="1" t="s">
        <v>41</v>
      </c>
      <c r="W101" s="1" t="s">
        <v>49</v>
      </c>
      <c r="X101" s="13" t="str">
        <f t="shared" si="12"/>
        <v/>
      </c>
      <c r="Y101" s="2">
        <f t="shared" ca="1" si="7"/>
        <v>378</v>
      </c>
      <c r="Z101" s="14">
        <v>1</v>
      </c>
      <c r="AA101" s="1" t="str">
        <f t="shared" ca="1" si="8"/>
        <v>VENCIDO</v>
      </c>
      <c r="AB101" s="1" t="str">
        <f t="shared" si="9"/>
        <v>Dosa</v>
      </c>
      <c r="AC101" s="2" t="str">
        <f t="shared" si="13"/>
        <v xml:space="preserve"> CLEITON </v>
      </c>
      <c r="AD101" s="2">
        <f t="shared" si="10"/>
        <v>5</v>
      </c>
      <c r="AE101" s="2">
        <f t="shared" ca="1" si="11"/>
        <v>-526.12732488426263</v>
      </c>
      <c r="AF101" s="15"/>
    </row>
    <row r="102" spans="1:32" hidden="1">
      <c r="A102" s="1">
        <v>7726616</v>
      </c>
      <c r="B102" s="1" t="s">
        <v>81</v>
      </c>
      <c r="C102" t="s">
        <v>240</v>
      </c>
      <c r="E102" s="2">
        <v>2737000206001</v>
      </c>
      <c r="F102" s="1" t="s">
        <v>29</v>
      </c>
      <c r="G102" s="1" t="s">
        <v>53</v>
      </c>
      <c r="H102" s="1" t="s">
        <v>311</v>
      </c>
      <c r="I102" s="1" t="s">
        <v>312</v>
      </c>
      <c r="J102" s="1" t="s">
        <v>90</v>
      </c>
      <c r="K102" t="s">
        <v>34</v>
      </c>
      <c r="M102" s="1" t="s">
        <v>35</v>
      </c>
      <c r="N102" s="1">
        <v>42318949</v>
      </c>
      <c r="O102" s="1" t="s">
        <v>36</v>
      </c>
      <c r="P102" s="186">
        <v>44459.548935185187</v>
      </c>
      <c r="R102" s="1" t="s">
        <v>38</v>
      </c>
      <c r="T102" s="1" t="s">
        <v>74</v>
      </c>
      <c r="U102" s="186">
        <v>44460.548935185187</v>
      </c>
      <c r="V102" s="1" t="s">
        <v>41</v>
      </c>
      <c r="W102" s="1" t="s">
        <v>49</v>
      </c>
      <c r="X102" s="13" t="str">
        <f t="shared" si="12"/>
        <v/>
      </c>
      <c r="Y102" s="2">
        <f t="shared" ca="1" si="7"/>
        <v>378</v>
      </c>
      <c r="Z102" s="14">
        <v>1</v>
      </c>
      <c r="AA102" s="1" t="str">
        <f t="shared" ca="1" si="8"/>
        <v>VENCIDO</v>
      </c>
      <c r="AB102" s="1" t="str">
        <f t="shared" si="9"/>
        <v>Dosa</v>
      </c>
      <c r="AC102" s="2" t="str">
        <f t="shared" si="13"/>
        <v xml:space="preserve"> RINALDO </v>
      </c>
      <c r="AD102" s="2">
        <f t="shared" si="10"/>
        <v>5</v>
      </c>
      <c r="AE102" s="2">
        <f t="shared" ca="1" si="11"/>
        <v>-526.12733645833214</v>
      </c>
      <c r="AF102" s="15"/>
    </row>
    <row r="103" spans="1:32" hidden="1">
      <c r="A103" s="1">
        <v>7726614</v>
      </c>
      <c r="B103" s="1" t="s">
        <v>81</v>
      </c>
      <c r="C103" t="s">
        <v>240</v>
      </c>
      <c r="E103" s="2">
        <v>244000206001</v>
      </c>
      <c r="F103" s="1" t="s">
        <v>29</v>
      </c>
      <c r="G103" s="1" t="s">
        <v>53</v>
      </c>
      <c r="H103" s="1" t="s">
        <v>313</v>
      </c>
      <c r="I103" s="1" t="s">
        <v>314</v>
      </c>
      <c r="J103" s="1" t="s">
        <v>56</v>
      </c>
      <c r="K103" t="s">
        <v>34</v>
      </c>
      <c r="M103" s="1" t="s">
        <v>35</v>
      </c>
      <c r="N103" s="1">
        <v>42318949</v>
      </c>
      <c r="O103" s="1" t="s">
        <v>36</v>
      </c>
      <c r="P103" s="186">
        <v>44459.548935185187</v>
      </c>
      <c r="R103" s="1" t="s">
        <v>38</v>
      </c>
      <c r="T103" s="1" t="s">
        <v>74</v>
      </c>
      <c r="U103" s="186">
        <v>44460.548935185187</v>
      </c>
      <c r="V103" s="1" t="s">
        <v>41</v>
      </c>
      <c r="W103" s="1" t="s">
        <v>49</v>
      </c>
      <c r="X103" s="13" t="str">
        <f t="shared" si="12"/>
        <v/>
      </c>
      <c r="Y103" s="2">
        <f t="shared" ca="1" si="7"/>
        <v>378</v>
      </c>
      <c r="Z103" s="14">
        <v>1</v>
      </c>
      <c r="AA103" s="1" t="str">
        <f t="shared" ca="1" si="8"/>
        <v>VENCIDO</v>
      </c>
      <c r="AB103" s="1" t="str">
        <f t="shared" si="9"/>
        <v>Dosa</v>
      </c>
      <c r="AC103" s="2" t="str">
        <f t="shared" si="13"/>
        <v xml:space="preserve"> CRISTINA </v>
      </c>
      <c r="AD103" s="2">
        <f t="shared" si="10"/>
        <v>5</v>
      </c>
      <c r="AE103" s="2">
        <f t="shared" ca="1" si="11"/>
        <v>-526.12733645833214</v>
      </c>
      <c r="AF103" s="15"/>
    </row>
    <row r="104" spans="1:32" hidden="1">
      <c r="A104" s="1">
        <v>7726613</v>
      </c>
      <c r="B104" s="1" t="s">
        <v>81</v>
      </c>
      <c r="C104" t="s">
        <v>240</v>
      </c>
      <c r="E104" s="2">
        <v>1146000206001</v>
      </c>
      <c r="F104" s="1" t="s">
        <v>29</v>
      </c>
      <c r="G104" s="1" t="s">
        <v>53</v>
      </c>
      <c r="H104" s="1" t="s">
        <v>315</v>
      </c>
      <c r="I104" s="1" t="s">
        <v>316</v>
      </c>
      <c r="J104" s="1" t="s">
        <v>148</v>
      </c>
      <c r="K104" t="s">
        <v>34</v>
      </c>
      <c r="M104" s="1" t="s">
        <v>35</v>
      </c>
      <c r="N104" s="1">
        <v>42318949</v>
      </c>
      <c r="O104" s="1" t="s">
        <v>36</v>
      </c>
      <c r="P104" s="186">
        <v>44459.548935185187</v>
      </c>
      <c r="R104" s="1" t="s">
        <v>38</v>
      </c>
      <c r="T104" s="1" t="s">
        <v>74</v>
      </c>
      <c r="U104" s="186">
        <v>44460.548935185187</v>
      </c>
      <c r="V104" s="1" t="s">
        <v>41</v>
      </c>
      <c r="W104" s="1" t="s">
        <v>49</v>
      </c>
      <c r="X104" s="13" t="str">
        <f t="shared" si="12"/>
        <v/>
      </c>
      <c r="Y104" s="2">
        <f t="shared" ca="1" si="7"/>
        <v>378</v>
      </c>
      <c r="Z104" s="14">
        <v>1</v>
      </c>
      <c r="AA104" s="1" t="str">
        <f t="shared" ca="1" si="8"/>
        <v>VENCIDO</v>
      </c>
      <c r="AB104" s="1" t="str">
        <f t="shared" si="9"/>
        <v>Dosa</v>
      </c>
      <c r="AC104" s="2" t="str">
        <f t="shared" si="13"/>
        <v xml:space="preserve"> RINALDO </v>
      </c>
      <c r="AD104" s="2">
        <f t="shared" si="10"/>
        <v>5</v>
      </c>
      <c r="AE104" s="2">
        <f t="shared" ca="1" si="11"/>
        <v>-526.12733645833214</v>
      </c>
      <c r="AF104" s="15"/>
    </row>
    <row r="105" spans="1:32" hidden="1">
      <c r="A105" s="1">
        <v>7726612</v>
      </c>
      <c r="B105" s="1" t="s">
        <v>81</v>
      </c>
      <c r="C105" t="s">
        <v>240</v>
      </c>
      <c r="E105" s="2">
        <v>1012000206001</v>
      </c>
      <c r="F105" s="1" t="s">
        <v>29</v>
      </c>
      <c r="G105" s="1" t="s">
        <v>53</v>
      </c>
      <c r="H105" s="1" t="s">
        <v>172</v>
      </c>
      <c r="I105" s="1" t="s">
        <v>173</v>
      </c>
      <c r="J105" s="1" t="s">
        <v>164</v>
      </c>
      <c r="K105" t="s">
        <v>34</v>
      </c>
      <c r="M105" s="1" t="s">
        <v>35</v>
      </c>
      <c r="N105" s="1">
        <v>42318949</v>
      </c>
      <c r="O105" s="1" t="s">
        <v>36</v>
      </c>
      <c r="P105" s="186">
        <v>44459.548935185187</v>
      </c>
      <c r="R105" s="1" t="s">
        <v>38</v>
      </c>
      <c r="T105" s="1" t="s">
        <v>74</v>
      </c>
      <c r="U105" s="186">
        <v>44460.548935185187</v>
      </c>
      <c r="V105" s="1" t="s">
        <v>41</v>
      </c>
      <c r="W105" s="1" t="s">
        <v>49</v>
      </c>
      <c r="X105" s="13" t="str">
        <f t="shared" si="12"/>
        <v/>
      </c>
      <c r="Y105" s="2">
        <f t="shared" ca="1" si="7"/>
        <v>378</v>
      </c>
      <c r="Z105" s="14">
        <v>1</v>
      </c>
      <c r="AA105" s="1" t="str">
        <f t="shared" ca="1" si="8"/>
        <v>VENCIDO</v>
      </c>
      <c r="AB105" s="1" t="str">
        <f t="shared" si="9"/>
        <v>Dosa</v>
      </c>
      <c r="AC105" s="2" t="str">
        <f t="shared" si="13"/>
        <v xml:space="preserve"> ROSEMERE </v>
      </c>
      <c r="AD105" s="2">
        <f t="shared" si="10"/>
        <v>5</v>
      </c>
      <c r="AE105" s="2">
        <f t="shared" ca="1" si="11"/>
        <v>-526.12733645833214</v>
      </c>
      <c r="AF105" s="15"/>
    </row>
    <row r="106" spans="1:32" hidden="1">
      <c r="A106" s="1">
        <v>7726611</v>
      </c>
      <c r="B106" s="1" t="s">
        <v>81</v>
      </c>
      <c r="C106" t="s">
        <v>240</v>
      </c>
      <c r="E106" s="2">
        <v>2625000206001</v>
      </c>
      <c r="F106" s="1" t="s">
        <v>29</v>
      </c>
      <c r="G106" s="1" t="s">
        <v>53</v>
      </c>
      <c r="H106" s="1" t="s">
        <v>317</v>
      </c>
      <c r="I106" s="1" t="s">
        <v>318</v>
      </c>
      <c r="J106" s="1" t="s">
        <v>164</v>
      </c>
      <c r="K106" t="s">
        <v>34</v>
      </c>
      <c r="M106" s="1" t="s">
        <v>35</v>
      </c>
      <c r="N106" s="1">
        <v>42318949</v>
      </c>
      <c r="O106" s="1" t="s">
        <v>36</v>
      </c>
      <c r="P106" s="186">
        <v>44459.548935185187</v>
      </c>
      <c r="R106" s="1" t="s">
        <v>38</v>
      </c>
      <c r="T106" s="1" t="s">
        <v>74</v>
      </c>
      <c r="U106" s="186">
        <v>44460.548935185187</v>
      </c>
      <c r="V106" s="1" t="s">
        <v>41</v>
      </c>
      <c r="W106" s="1" t="s">
        <v>49</v>
      </c>
      <c r="X106" s="13" t="str">
        <f t="shared" si="12"/>
        <v/>
      </c>
      <c r="Y106" s="2">
        <f t="shared" ca="1" si="7"/>
        <v>378</v>
      </c>
      <c r="Z106" s="14">
        <v>1</v>
      </c>
      <c r="AA106" s="1" t="str">
        <f t="shared" ca="1" si="8"/>
        <v>VENCIDO</v>
      </c>
      <c r="AB106" s="1" t="str">
        <f t="shared" si="9"/>
        <v>Dosa</v>
      </c>
      <c r="AC106" s="2" t="str">
        <f t="shared" si="13"/>
        <v xml:space="preserve"> ROSEMERE </v>
      </c>
      <c r="AD106" s="2">
        <f t="shared" si="10"/>
        <v>5</v>
      </c>
      <c r="AE106" s="2">
        <f t="shared" ca="1" si="11"/>
        <v>-526.12733645833214</v>
      </c>
      <c r="AF106" s="15"/>
    </row>
    <row r="107" spans="1:32" hidden="1">
      <c r="A107" s="1">
        <v>7726608</v>
      </c>
      <c r="B107" s="1" t="s">
        <v>81</v>
      </c>
      <c r="C107" t="s">
        <v>240</v>
      </c>
      <c r="E107" s="2">
        <v>3802000206001</v>
      </c>
      <c r="F107" s="1" t="s">
        <v>29</v>
      </c>
      <c r="G107" s="1" t="s">
        <v>53</v>
      </c>
      <c r="H107" s="1" t="s">
        <v>319</v>
      </c>
      <c r="I107" s="1" t="s">
        <v>320</v>
      </c>
      <c r="J107" s="1" t="s">
        <v>148</v>
      </c>
      <c r="K107" t="s">
        <v>34</v>
      </c>
      <c r="M107" s="1" t="s">
        <v>35</v>
      </c>
      <c r="N107" s="1">
        <v>42318949</v>
      </c>
      <c r="O107" s="1" t="s">
        <v>36</v>
      </c>
      <c r="P107" s="186">
        <v>44459.54892361111</v>
      </c>
      <c r="R107" s="1" t="s">
        <v>38</v>
      </c>
      <c r="T107" s="1" t="s">
        <v>74</v>
      </c>
      <c r="U107" s="186">
        <v>44460.54892361111</v>
      </c>
      <c r="V107" s="1" t="s">
        <v>41</v>
      </c>
      <c r="W107" s="1" t="s">
        <v>49</v>
      </c>
      <c r="X107" s="13" t="str">
        <f t="shared" si="12"/>
        <v/>
      </c>
      <c r="Y107" s="2">
        <f t="shared" ca="1" si="7"/>
        <v>378</v>
      </c>
      <c r="Z107" s="14">
        <v>1</v>
      </c>
      <c r="AA107" s="1" t="str">
        <f t="shared" ca="1" si="8"/>
        <v>VENCIDO</v>
      </c>
      <c r="AB107" s="1" t="str">
        <f t="shared" si="9"/>
        <v>Dosa</v>
      </c>
      <c r="AC107" s="2" t="str">
        <f t="shared" si="13"/>
        <v xml:space="preserve"> RINALDO </v>
      </c>
      <c r="AD107" s="2">
        <f t="shared" si="10"/>
        <v>5</v>
      </c>
      <c r="AE107" s="2">
        <f t="shared" ca="1" si="11"/>
        <v>-526.12734803240892</v>
      </c>
      <c r="AF107" s="15"/>
    </row>
    <row r="108" spans="1:32" hidden="1">
      <c r="A108" s="1">
        <v>7726607</v>
      </c>
      <c r="B108" s="1" t="s">
        <v>81</v>
      </c>
      <c r="C108" t="s">
        <v>240</v>
      </c>
      <c r="E108" s="2">
        <v>3258000206001</v>
      </c>
      <c r="F108" s="1" t="s">
        <v>29</v>
      </c>
      <c r="G108" s="1" t="s">
        <v>53</v>
      </c>
      <c r="H108" s="1" t="s">
        <v>321</v>
      </c>
      <c r="I108" s="1" t="s">
        <v>322</v>
      </c>
      <c r="J108" s="1" t="s">
        <v>46</v>
      </c>
      <c r="K108" t="s">
        <v>34</v>
      </c>
      <c r="M108" s="1" t="s">
        <v>35</v>
      </c>
      <c r="N108" s="1">
        <v>42318949</v>
      </c>
      <c r="O108" s="1" t="s">
        <v>36</v>
      </c>
      <c r="P108" s="186">
        <v>44459.54892361111</v>
      </c>
      <c r="R108" s="1" t="s">
        <v>38</v>
      </c>
      <c r="T108" s="1" t="s">
        <v>74</v>
      </c>
      <c r="U108" s="186">
        <v>44460.54892361111</v>
      </c>
      <c r="V108" s="1" t="s">
        <v>41</v>
      </c>
      <c r="W108" s="1" t="s">
        <v>49</v>
      </c>
      <c r="X108" s="13" t="str">
        <f t="shared" si="12"/>
        <v/>
      </c>
      <c r="Y108" s="2">
        <f t="shared" ca="1" si="7"/>
        <v>378</v>
      </c>
      <c r="Z108" s="14">
        <v>1</v>
      </c>
      <c r="AA108" s="1" t="str">
        <f t="shared" ca="1" si="8"/>
        <v>VENCIDO</v>
      </c>
      <c r="AB108" s="1" t="str">
        <f t="shared" si="9"/>
        <v>Dosa</v>
      </c>
      <c r="AC108" s="2" t="str">
        <f t="shared" si="13"/>
        <v xml:space="preserve"> CLEITON </v>
      </c>
      <c r="AD108" s="2">
        <f t="shared" si="10"/>
        <v>5</v>
      </c>
      <c r="AE108" s="2">
        <f t="shared" ca="1" si="11"/>
        <v>-526.12734803240892</v>
      </c>
      <c r="AF108" s="15"/>
    </row>
    <row r="109" spans="1:32" hidden="1">
      <c r="A109" s="1">
        <v>7726606</v>
      </c>
      <c r="B109" s="1" t="s">
        <v>81</v>
      </c>
      <c r="C109" t="s">
        <v>240</v>
      </c>
      <c r="E109" s="2">
        <v>1120000206001</v>
      </c>
      <c r="F109" s="1" t="s">
        <v>29</v>
      </c>
      <c r="G109" s="1" t="s">
        <v>53</v>
      </c>
      <c r="H109" s="1" t="s">
        <v>181</v>
      </c>
      <c r="I109" s="1" t="s">
        <v>182</v>
      </c>
      <c r="J109" s="1" t="s">
        <v>164</v>
      </c>
      <c r="K109" t="s">
        <v>34</v>
      </c>
      <c r="M109" s="1" t="s">
        <v>35</v>
      </c>
      <c r="N109" s="1">
        <v>42318949</v>
      </c>
      <c r="O109" s="1" t="s">
        <v>36</v>
      </c>
      <c r="P109" s="186">
        <v>44459.54892361111</v>
      </c>
      <c r="R109" s="1" t="s">
        <v>38</v>
      </c>
      <c r="T109" s="1" t="s">
        <v>74</v>
      </c>
      <c r="U109" s="186">
        <v>44460.54892361111</v>
      </c>
      <c r="V109" s="1" t="s">
        <v>41</v>
      </c>
      <c r="W109" s="1" t="s">
        <v>49</v>
      </c>
      <c r="X109" s="13" t="str">
        <f t="shared" si="12"/>
        <v/>
      </c>
      <c r="Y109" s="2">
        <f t="shared" ca="1" si="7"/>
        <v>378</v>
      </c>
      <c r="Z109" s="14">
        <v>1</v>
      </c>
      <c r="AA109" s="1" t="str">
        <f t="shared" ca="1" si="8"/>
        <v>VENCIDO</v>
      </c>
      <c r="AB109" s="1" t="str">
        <f t="shared" si="9"/>
        <v>Dosa</v>
      </c>
      <c r="AC109" s="2" t="str">
        <f t="shared" si="13"/>
        <v xml:space="preserve"> ROSEMERE </v>
      </c>
      <c r="AD109" s="2">
        <f t="shared" si="10"/>
        <v>5</v>
      </c>
      <c r="AE109" s="2">
        <f t="shared" ca="1" si="11"/>
        <v>-526.12734803240892</v>
      </c>
      <c r="AF109" s="15"/>
    </row>
    <row r="110" spans="1:32" hidden="1">
      <c r="A110" s="1">
        <v>7726605</v>
      </c>
      <c r="B110" s="1" t="s">
        <v>81</v>
      </c>
      <c r="C110" t="s">
        <v>240</v>
      </c>
      <c r="E110" s="2">
        <v>3108000206001</v>
      </c>
      <c r="F110" s="1" t="s">
        <v>29</v>
      </c>
      <c r="G110" s="1" t="s">
        <v>53</v>
      </c>
      <c r="H110" s="1" t="s">
        <v>325</v>
      </c>
      <c r="I110" s="1" t="s">
        <v>326</v>
      </c>
      <c r="J110" s="1" t="s">
        <v>46</v>
      </c>
      <c r="K110" t="s">
        <v>34</v>
      </c>
      <c r="M110" s="1" t="s">
        <v>35</v>
      </c>
      <c r="N110" s="1">
        <v>42318949</v>
      </c>
      <c r="O110" s="1" t="s">
        <v>36</v>
      </c>
      <c r="P110" s="186">
        <v>44459.54892361111</v>
      </c>
      <c r="R110" s="1" t="s">
        <v>38</v>
      </c>
      <c r="T110" s="1" t="s">
        <v>74</v>
      </c>
      <c r="U110" s="186">
        <v>44460.54892361111</v>
      </c>
      <c r="V110" s="1" t="s">
        <v>41</v>
      </c>
      <c r="W110" s="1" t="s">
        <v>49</v>
      </c>
      <c r="X110" s="13" t="str">
        <f t="shared" si="12"/>
        <v/>
      </c>
      <c r="Y110" s="2">
        <f t="shared" ca="1" si="7"/>
        <v>378</v>
      </c>
      <c r="Z110" s="14">
        <v>1</v>
      </c>
      <c r="AA110" s="1" t="str">
        <f t="shared" ca="1" si="8"/>
        <v>VENCIDO</v>
      </c>
      <c r="AB110" s="1" t="str">
        <f t="shared" si="9"/>
        <v>Dosa</v>
      </c>
      <c r="AC110" s="2" t="str">
        <f t="shared" si="13"/>
        <v xml:space="preserve"> CLEITON </v>
      </c>
      <c r="AD110" s="2">
        <f t="shared" si="10"/>
        <v>5</v>
      </c>
      <c r="AE110" s="2">
        <f t="shared" ca="1" si="11"/>
        <v>-526.12734803240892</v>
      </c>
      <c r="AF110" s="15"/>
    </row>
    <row r="111" spans="1:32" hidden="1">
      <c r="A111" s="1">
        <v>7726604</v>
      </c>
      <c r="B111" s="1" t="s">
        <v>81</v>
      </c>
      <c r="C111" t="s">
        <v>240</v>
      </c>
      <c r="E111" s="2">
        <v>1710000206001</v>
      </c>
      <c r="F111" s="1" t="s">
        <v>29</v>
      </c>
      <c r="G111" s="1" t="s">
        <v>53</v>
      </c>
      <c r="H111" s="1" t="s">
        <v>327</v>
      </c>
      <c r="I111" s="1" t="s">
        <v>328</v>
      </c>
      <c r="J111" s="1" t="s">
        <v>261</v>
      </c>
      <c r="K111" t="s">
        <v>34</v>
      </c>
      <c r="M111" s="1" t="s">
        <v>35</v>
      </c>
      <c r="N111" s="1">
        <v>42318949</v>
      </c>
      <c r="O111" s="1" t="s">
        <v>36</v>
      </c>
      <c r="P111" s="186">
        <v>44459.54892361111</v>
      </c>
      <c r="R111" s="1" t="s">
        <v>38</v>
      </c>
      <c r="T111" s="1" t="s">
        <v>74</v>
      </c>
      <c r="U111" s="186">
        <v>44460.54892361111</v>
      </c>
      <c r="V111" s="1" t="s">
        <v>41</v>
      </c>
      <c r="W111" s="1" t="s">
        <v>49</v>
      </c>
      <c r="X111" s="13" t="str">
        <f t="shared" si="12"/>
        <v/>
      </c>
      <c r="Y111" s="2">
        <f t="shared" ca="1" si="7"/>
        <v>378</v>
      </c>
      <c r="Z111" s="14">
        <v>1</v>
      </c>
      <c r="AA111" s="1" t="str">
        <f t="shared" ca="1" si="8"/>
        <v>VENCIDO</v>
      </c>
      <c r="AB111" s="1" t="str">
        <f t="shared" si="9"/>
        <v>Dosa</v>
      </c>
      <c r="AC111" s="2" t="str">
        <f t="shared" si="13"/>
        <v xml:space="preserve"> CRISTINA </v>
      </c>
      <c r="AD111" s="2">
        <f t="shared" si="10"/>
        <v>5</v>
      </c>
      <c r="AE111" s="2">
        <f t="shared" ca="1" si="11"/>
        <v>-526.12734803240892</v>
      </c>
      <c r="AF111" s="15"/>
    </row>
    <row r="112" spans="1:32" hidden="1">
      <c r="A112" s="1">
        <v>7726603</v>
      </c>
      <c r="B112" s="1" t="s">
        <v>81</v>
      </c>
      <c r="C112" t="s">
        <v>240</v>
      </c>
      <c r="E112" s="2">
        <v>1052000206001</v>
      </c>
      <c r="F112" s="1" t="s">
        <v>29</v>
      </c>
      <c r="G112" s="1" t="s">
        <v>53</v>
      </c>
      <c r="H112" s="1" t="s">
        <v>329</v>
      </c>
      <c r="I112" s="1" t="s">
        <v>330</v>
      </c>
      <c r="J112" s="1" t="s">
        <v>79</v>
      </c>
      <c r="K112" t="s">
        <v>34</v>
      </c>
      <c r="M112" s="1" t="s">
        <v>35</v>
      </c>
      <c r="N112" s="1">
        <v>42318949</v>
      </c>
      <c r="O112" s="1" t="s">
        <v>36</v>
      </c>
      <c r="P112" s="186">
        <v>44459.54891203704</v>
      </c>
      <c r="R112" s="1" t="s">
        <v>38</v>
      </c>
      <c r="T112" s="1" t="s">
        <v>74</v>
      </c>
      <c r="U112" s="186">
        <v>44460.54891203704</v>
      </c>
      <c r="V112" s="1" t="s">
        <v>41</v>
      </c>
      <c r="W112" s="1" t="s">
        <v>49</v>
      </c>
      <c r="X112" s="13" t="str">
        <f t="shared" si="12"/>
        <v/>
      </c>
      <c r="Y112" s="2">
        <f t="shared" ca="1" si="7"/>
        <v>378</v>
      </c>
      <c r="Z112" s="14">
        <v>1</v>
      </c>
      <c r="AA112" s="1" t="str">
        <f t="shared" ca="1" si="8"/>
        <v>VENCIDO</v>
      </c>
      <c r="AB112" s="1" t="str">
        <f t="shared" si="9"/>
        <v>Dosa</v>
      </c>
      <c r="AC112" s="2" t="str">
        <f t="shared" si="13"/>
        <v xml:space="preserve"> ROSEMERE </v>
      </c>
      <c r="AD112" s="2">
        <f t="shared" si="10"/>
        <v>5</v>
      </c>
      <c r="AE112" s="2">
        <f t="shared" ca="1" si="11"/>
        <v>-526.12735960647842</v>
      </c>
      <c r="AF112" s="15"/>
    </row>
    <row r="113" spans="1:32" hidden="1">
      <c r="A113" s="1">
        <v>7726602</v>
      </c>
      <c r="B113" s="1" t="s">
        <v>81</v>
      </c>
      <c r="C113" t="s">
        <v>240</v>
      </c>
      <c r="E113" s="2">
        <v>899000206001</v>
      </c>
      <c r="F113" s="1" t="s">
        <v>29</v>
      </c>
      <c r="G113" s="1" t="s">
        <v>53</v>
      </c>
      <c r="H113" s="1" t="s">
        <v>175</v>
      </c>
      <c r="I113" s="1" t="s">
        <v>176</v>
      </c>
      <c r="J113" s="1" t="s">
        <v>90</v>
      </c>
      <c r="K113" t="s">
        <v>34</v>
      </c>
      <c r="M113" s="1" t="s">
        <v>35</v>
      </c>
      <c r="N113" s="1">
        <v>42318949</v>
      </c>
      <c r="O113" s="1" t="s">
        <v>36</v>
      </c>
      <c r="P113" s="11" t="s">
        <v>335</v>
      </c>
      <c r="R113" s="1" t="s">
        <v>38</v>
      </c>
      <c r="T113" s="1" t="s">
        <v>74</v>
      </c>
      <c r="U113" s="11" t="s">
        <v>336</v>
      </c>
      <c r="V113" s="1" t="s">
        <v>41</v>
      </c>
      <c r="W113" s="1" t="s">
        <v>49</v>
      </c>
      <c r="X113" s="13" t="str">
        <f t="shared" si="12"/>
        <v/>
      </c>
      <c r="Y113" s="2">
        <f t="shared" ca="1" si="7"/>
        <v>378</v>
      </c>
      <c r="Z113" s="14">
        <v>1</v>
      </c>
      <c r="AA113" s="1" t="str">
        <f t="shared" ca="1" si="8"/>
        <v>VENCIDO</v>
      </c>
      <c r="AB113" s="1" t="str">
        <f t="shared" si="9"/>
        <v>Dosa</v>
      </c>
      <c r="AC113" s="2" t="str">
        <f t="shared" si="13"/>
        <v xml:space="preserve"> RINALDO </v>
      </c>
      <c r="AD113" s="2">
        <f t="shared" si="10"/>
        <v>5</v>
      </c>
      <c r="AE113" s="2">
        <f t="shared" ca="1" si="11"/>
        <v>-526.12735960647842</v>
      </c>
      <c r="AF113" s="15"/>
    </row>
    <row r="114" spans="1:32" hidden="1">
      <c r="A114" s="1">
        <v>7726601</v>
      </c>
      <c r="B114" s="1" t="s">
        <v>81</v>
      </c>
      <c r="C114" t="s">
        <v>240</v>
      </c>
      <c r="E114" s="2">
        <v>159000206001</v>
      </c>
      <c r="F114" s="1" t="s">
        <v>29</v>
      </c>
      <c r="G114" s="1" t="s">
        <v>53</v>
      </c>
      <c r="H114" s="1" t="s">
        <v>331</v>
      </c>
      <c r="I114" s="1" t="s">
        <v>332</v>
      </c>
      <c r="J114" s="1" t="s">
        <v>79</v>
      </c>
      <c r="K114" t="s">
        <v>34</v>
      </c>
      <c r="M114" s="1" t="s">
        <v>35</v>
      </c>
      <c r="N114" s="1">
        <v>42318949</v>
      </c>
      <c r="O114" s="1" t="s">
        <v>36</v>
      </c>
      <c r="P114" s="11" t="s">
        <v>335</v>
      </c>
      <c r="R114" s="1" t="s">
        <v>38</v>
      </c>
      <c r="T114" s="1" t="s">
        <v>74</v>
      </c>
      <c r="U114" s="11" t="s">
        <v>336</v>
      </c>
      <c r="V114" s="1" t="s">
        <v>41</v>
      </c>
      <c r="W114" s="1" t="s">
        <v>49</v>
      </c>
      <c r="X114" s="13" t="str">
        <f t="shared" si="12"/>
        <v/>
      </c>
      <c r="Y114" s="2">
        <f t="shared" ca="1" si="7"/>
        <v>378</v>
      </c>
      <c r="Z114" s="14">
        <v>1</v>
      </c>
      <c r="AA114" s="1" t="str">
        <f t="shared" ca="1" si="8"/>
        <v>VENCIDO</v>
      </c>
      <c r="AB114" s="1" t="str">
        <f t="shared" si="9"/>
        <v>Dosa</v>
      </c>
      <c r="AC114" s="2" t="str">
        <f t="shared" si="13"/>
        <v xml:space="preserve"> ROSEMERE </v>
      </c>
      <c r="AD114" s="2">
        <f t="shared" si="10"/>
        <v>5</v>
      </c>
      <c r="AE114" s="2">
        <f t="shared" ca="1" si="11"/>
        <v>-526.12735960647842</v>
      </c>
      <c r="AF114" s="15"/>
    </row>
    <row r="115" spans="1:32" hidden="1">
      <c r="A115" s="1">
        <v>7726600</v>
      </c>
      <c r="B115" s="1" t="s">
        <v>81</v>
      </c>
      <c r="C115" t="s">
        <v>240</v>
      </c>
      <c r="E115" s="2">
        <v>2239000206001</v>
      </c>
      <c r="F115" s="1" t="s">
        <v>29</v>
      </c>
      <c r="G115" s="1" t="s">
        <v>53</v>
      </c>
      <c r="H115" s="1" t="s">
        <v>333</v>
      </c>
      <c r="I115" s="1" t="s">
        <v>334</v>
      </c>
      <c r="J115" s="1" t="s">
        <v>261</v>
      </c>
      <c r="K115" t="s">
        <v>34</v>
      </c>
      <c r="M115" s="1" t="s">
        <v>35</v>
      </c>
      <c r="N115" s="1">
        <v>42318949</v>
      </c>
      <c r="O115" s="1" t="s">
        <v>36</v>
      </c>
      <c r="P115" s="11" t="s">
        <v>335</v>
      </c>
      <c r="R115" s="1" t="s">
        <v>38</v>
      </c>
      <c r="T115" s="1" t="s">
        <v>74</v>
      </c>
      <c r="U115" s="11" t="s">
        <v>336</v>
      </c>
      <c r="V115" s="1" t="s">
        <v>41</v>
      </c>
      <c r="W115" s="1" t="s">
        <v>49</v>
      </c>
      <c r="X115" s="13" t="str">
        <f t="shared" si="12"/>
        <v/>
      </c>
      <c r="Y115" s="2">
        <f t="shared" ca="1" si="7"/>
        <v>378</v>
      </c>
      <c r="Z115" s="14">
        <v>1</v>
      </c>
      <c r="AA115" s="1" t="str">
        <f t="shared" ca="1" si="8"/>
        <v>VENCIDO</v>
      </c>
      <c r="AB115" s="1" t="str">
        <f t="shared" si="9"/>
        <v>Dosa</v>
      </c>
      <c r="AC115" s="2" t="str">
        <f t="shared" si="13"/>
        <v xml:space="preserve"> CRISTINA </v>
      </c>
      <c r="AD115" s="2">
        <f t="shared" si="10"/>
        <v>5</v>
      </c>
      <c r="AE115" s="2">
        <f t="shared" ca="1" si="11"/>
        <v>-526.12735960647842</v>
      </c>
      <c r="AF115" s="15"/>
    </row>
    <row r="116" spans="1:32" hidden="1">
      <c r="A116" s="1">
        <v>7726599</v>
      </c>
      <c r="B116" s="1" t="s">
        <v>81</v>
      </c>
      <c r="C116" t="s">
        <v>240</v>
      </c>
      <c r="E116" s="2">
        <v>550000206001</v>
      </c>
      <c r="F116" s="1" t="s">
        <v>29</v>
      </c>
      <c r="G116" s="1" t="s">
        <v>53</v>
      </c>
      <c r="H116" s="1" t="s">
        <v>337</v>
      </c>
      <c r="I116" s="1" t="s">
        <v>338</v>
      </c>
      <c r="J116" s="1" t="s">
        <v>164</v>
      </c>
      <c r="K116" t="s">
        <v>34</v>
      </c>
      <c r="M116" s="1" t="s">
        <v>35</v>
      </c>
      <c r="N116" s="1">
        <v>42318949</v>
      </c>
      <c r="O116" s="1" t="s">
        <v>36</v>
      </c>
      <c r="P116" s="11" t="s">
        <v>335</v>
      </c>
      <c r="R116" s="1" t="s">
        <v>38</v>
      </c>
      <c r="T116" s="1" t="s">
        <v>74</v>
      </c>
      <c r="U116" s="11" t="s">
        <v>336</v>
      </c>
      <c r="V116" s="1" t="s">
        <v>41</v>
      </c>
      <c r="W116" s="1" t="s">
        <v>49</v>
      </c>
      <c r="X116" s="13" t="str">
        <f t="shared" si="12"/>
        <v/>
      </c>
      <c r="Y116" s="2">
        <f t="shared" ca="1" si="7"/>
        <v>378</v>
      </c>
      <c r="Z116" s="14">
        <v>1</v>
      </c>
      <c r="AA116" s="1" t="str">
        <f t="shared" ca="1" si="8"/>
        <v>VENCIDO</v>
      </c>
      <c r="AB116" s="1" t="str">
        <f t="shared" si="9"/>
        <v>Dosa</v>
      </c>
      <c r="AC116" s="2" t="str">
        <f t="shared" si="13"/>
        <v xml:space="preserve"> ROSEMERE </v>
      </c>
      <c r="AD116" s="2">
        <f t="shared" si="10"/>
        <v>5</v>
      </c>
      <c r="AE116" s="2">
        <f t="shared" ca="1" si="11"/>
        <v>-526.12735960647842</v>
      </c>
      <c r="AF116" s="15"/>
    </row>
    <row r="117" spans="1:32" hidden="1">
      <c r="A117" s="1">
        <v>7726598</v>
      </c>
      <c r="B117" s="1" t="s">
        <v>81</v>
      </c>
      <c r="C117" t="s">
        <v>240</v>
      </c>
      <c r="E117" s="2">
        <v>2811000206001</v>
      </c>
      <c r="F117" s="1" t="s">
        <v>29</v>
      </c>
      <c r="G117" s="1" t="s">
        <v>53</v>
      </c>
      <c r="H117" s="1" t="s">
        <v>44</v>
      </c>
      <c r="I117" s="1" t="s">
        <v>45</v>
      </c>
      <c r="J117" s="1" t="s">
        <v>46</v>
      </c>
      <c r="K117" t="s">
        <v>34</v>
      </c>
      <c r="M117" s="1" t="s">
        <v>35</v>
      </c>
      <c r="N117" s="1">
        <v>42318949</v>
      </c>
      <c r="O117" s="1" t="s">
        <v>36</v>
      </c>
      <c r="P117" s="11" t="s">
        <v>341</v>
      </c>
      <c r="R117" s="1" t="s">
        <v>38</v>
      </c>
      <c r="T117" s="1" t="s">
        <v>74</v>
      </c>
      <c r="U117" s="11" t="s">
        <v>342</v>
      </c>
      <c r="V117" s="1" t="s">
        <v>41</v>
      </c>
      <c r="W117" s="1" t="s">
        <v>49</v>
      </c>
      <c r="X117" s="13" t="str">
        <f t="shared" si="12"/>
        <v/>
      </c>
      <c r="Y117" s="2">
        <f t="shared" ca="1" si="7"/>
        <v>378</v>
      </c>
      <c r="Z117" s="14">
        <v>1</v>
      </c>
      <c r="AA117" s="1" t="str">
        <f t="shared" ca="1" si="8"/>
        <v>VENCIDO</v>
      </c>
      <c r="AB117" s="1" t="str">
        <f t="shared" si="9"/>
        <v>Dosa</v>
      </c>
      <c r="AC117" s="2" t="str">
        <f t="shared" si="13"/>
        <v xml:space="preserve"> CLEITON </v>
      </c>
      <c r="AD117" s="2">
        <f t="shared" si="10"/>
        <v>5</v>
      </c>
      <c r="AE117" s="2">
        <f t="shared" ca="1" si="11"/>
        <v>-526.1273711805552</v>
      </c>
      <c r="AF117" s="15"/>
    </row>
    <row r="118" spans="1:32" hidden="1">
      <c r="A118" s="1">
        <v>7726597</v>
      </c>
      <c r="B118" s="1" t="s">
        <v>81</v>
      </c>
      <c r="C118" t="s">
        <v>240</v>
      </c>
      <c r="E118" s="2">
        <v>2229000206001</v>
      </c>
      <c r="F118" s="1" t="s">
        <v>29</v>
      </c>
      <c r="G118" s="1" t="s">
        <v>53</v>
      </c>
      <c r="H118" s="1" t="s">
        <v>339</v>
      </c>
      <c r="I118" s="1" t="s">
        <v>340</v>
      </c>
      <c r="J118" s="1" t="s">
        <v>211</v>
      </c>
      <c r="K118" t="s">
        <v>34</v>
      </c>
      <c r="M118" s="1" t="s">
        <v>35</v>
      </c>
      <c r="N118" s="1">
        <v>42318949</v>
      </c>
      <c r="O118" s="1" t="s">
        <v>36</v>
      </c>
      <c r="P118" s="11" t="s">
        <v>341</v>
      </c>
      <c r="R118" s="1" t="s">
        <v>38</v>
      </c>
      <c r="T118" s="1" t="s">
        <v>74</v>
      </c>
      <c r="U118" s="11" t="s">
        <v>342</v>
      </c>
      <c r="V118" s="1" t="s">
        <v>41</v>
      </c>
      <c r="W118" s="1" t="s">
        <v>49</v>
      </c>
      <c r="X118" s="13" t="str">
        <f t="shared" si="12"/>
        <v/>
      </c>
      <c r="Y118" s="2">
        <f t="shared" ca="1" si="7"/>
        <v>378</v>
      </c>
      <c r="Z118" s="14">
        <v>1</v>
      </c>
      <c r="AA118" s="1" t="str">
        <f t="shared" ca="1" si="8"/>
        <v>VENCIDO</v>
      </c>
      <c r="AB118" s="1" t="str">
        <f t="shared" si="9"/>
        <v>Dosa</v>
      </c>
      <c r="AC118" s="2" t="str">
        <f t="shared" si="13"/>
        <v xml:space="preserve"> RINALDO </v>
      </c>
      <c r="AD118" s="2">
        <f t="shared" si="10"/>
        <v>5</v>
      </c>
      <c r="AE118" s="2">
        <f t="shared" ca="1" si="11"/>
        <v>-526.1273711805552</v>
      </c>
      <c r="AF118" s="15"/>
    </row>
    <row r="119" spans="1:32" hidden="1">
      <c r="A119" s="1">
        <v>7726596</v>
      </c>
      <c r="B119" s="1" t="s">
        <v>81</v>
      </c>
      <c r="C119" t="s">
        <v>240</v>
      </c>
      <c r="E119" s="2">
        <v>3699000206001</v>
      </c>
      <c r="F119" s="1" t="s">
        <v>29</v>
      </c>
      <c r="G119" s="1" t="s">
        <v>53</v>
      </c>
      <c r="H119" s="1" t="s">
        <v>343</v>
      </c>
      <c r="I119" s="1" t="s">
        <v>344</v>
      </c>
      <c r="J119" s="1" t="s">
        <v>46</v>
      </c>
      <c r="K119" t="s">
        <v>34</v>
      </c>
      <c r="M119" s="1" t="s">
        <v>35</v>
      </c>
      <c r="N119" s="1">
        <v>42318949</v>
      </c>
      <c r="O119" s="1" t="s">
        <v>36</v>
      </c>
      <c r="P119" s="11" t="s">
        <v>341</v>
      </c>
      <c r="R119" s="1" t="s">
        <v>38</v>
      </c>
      <c r="T119" s="1" t="s">
        <v>74</v>
      </c>
      <c r="U119" s="11" t="s">
        <v>342</v>
      </c>
      <c r="V119" s="1" t="s">
        <v>41</v>
      </c>
      <c r="W119" s="1" t="s">
        <v>49</v>
      </c>
      <c r="X119" s="13" t="str">
        <f t="shared" si="12"/>
        <v/>
      </c>
      <c r="Y119" s="2">
        <f t="shared" ca="1" si="7"/>
        <v>378</v>
      </c>
      <c r="Z119" s="14">
        <v>1</v>
      </c>
      <c r="AA119" s="1" t="str">
        <f t="shared" ca="1" si="8"/>
        <v>VENCIDO</v>
      </c>
      <c r="AB119" s="1" t="str">
        <f t="shared" si="9"/>
        <v>Dosa</v>
      </c>
      <c r="AC119" s="2" t="str">
        <f t="shared" si="13"/>
        <v xml:space="preserve"> CLEITON </v>
      </c>
      <c r="AD119" s="2">
        <f t="shared" si="10"/>
        <v>5</v>
      </c>
      <c r="AE119" s="2">
        <f t="shared" ca="1" si="11"/>
        <v>-526.1273711805552</v>
      </c>
      <c r="AF119" s="15"/>
    </row>
    <row r="120" spans="1:32" hidden="1">
      <c r="A120" s="1">
        <v>7726594</v>
      </c>
      <c r="B120" s="1" t="s">
        <v>81</v>
      </c>
      <c r="C120" t="s">
        <v>240</v>
      </c>
      <c r="E120" s="2">
        <v>325000206001</v>
      </c>
      <c r="F120" s="1" t="s">
        <v>29</v>
      </c>
      <c r="G120" s="1" t="s">
        <v>53</v>
      </c>
      <c r="H120" s="1" t="s">
        <v>345</v>
      </c>
      <c r="I120" s="1" t="s">
        <v>346</v>
      </c>
      <c r="J120" s="1" t="s">
        <v>46</v>
      </c>
      <c r="K120" t="s">
        <v>34</v>
      </c>
      <c r="M120" s="1" t="s">
        <v>35</v>
      </c>
      <c r="N120" s="1">
        <v>42318949</v>
      </c>
      <c r="O120" s="1" t="s">
        <v>36</v>
      </c>
      <c r="P120" s="11" t="s">
        <v>341</v>
      </c>
      <c r="R120" s="1" t="s">
        <v>38</v>
      </c>
      <c r="T120" s="1" t="s">
        <v>74</v>
      </c>
      <c r="U120" s="11" t="s">
        <v>342</v>
      </c>
      <c r="V120" s="1" t="s">
        <v>41</v>
      </c>
      <c r="W120" s="1" t="s">
        <v>49</v>
      </c>
      <c r="X120" s="13" t="str">
        <f t="shared" si="12"/>
        <v/>
      </c>
      <c r="Y120" s="2">
        <f t="shared" ca="1" si="7"/>
        <v>378</v>
      </c>
      <c r="Z120" s="14">
        <v>1</v>
      </c>
      <c r="AA120" s="1" t="str">
        <f t="shared" ca="1" si="8"/>
        <v>VENCIDO</v>
      </c>
      <c r="AB120" s="1" t="str">
        <f t="shared" si="9"/>
        <v>Dosa</v>
      </c>
      <c r="AC120" s="2" t="str">
        <f t="shared" si="13"/>
        <v xml:space="preserve"> CLEITON </v>
      </c>
      <c r="AD120" s="2">
        <f t="shared" si="10"/>
        <v>5</v>
      </c>
      <c r="AE120" s="2">
        <f t="shared" ca="1" si="11"/>
        <v>-526.1273711805552</v>
      </c>
      <c r="AF120" s="15"/>
    </row>
    <row r="121" spans="1:32" hidden="1">
      <c r="A121" s="1">
        <v>7726593</v>
      </c>
      <c r="B121" s="1" t="s">
        <v>81</v>
      </c>
      <c r="C121" t="s">
        <v>240</v>
      </c>
      <c r="E121" s="2">
        <v>2699000206001</v>
      </c>
      <c r="F121" s="1" t="s">
        <v>29</v>
      </c>
      <c r="G121" s="1" t="s">
        <v>53</v>
      </c>
      <c r="H121" s="1" t="s">
        <v>347</v>
      </c>
      <c r="I121" s="1" t="s">
        <v>348</v>
      </c>
      <c r="J121" s="1" t="s">
        <v>148</v>
      </c>
      <c r="K121" t="s">
        <v>34</v>
      </c>
      <c r="M121" s="1" t="s">
        <v>35</v>
      </c>
      <c r="N121" s="1">
        <v>42318949</v>
      </c>
      <c r="O121" s="1" t="s">
        <v>36</v>
      </c>
      <c r="P121" s="11" t="s">
        <v>341</v>
      </c>
      <c r="R121" s="1" t="s">
        <v>38</v>
      </c>
      <c r="T121" s="1" t="s">
        <v>74</v>
      </c>
      <c r="U121" s="11" t="s">
        <v>342</v>
      </c>
      <c r="V121" s="1" t="s">
        <v>41</v>
      </c>
      <c r="W121" s="1" t="s">
        <v>49</v>
      </c>
      <c r="X121" s="13" t="str">
        <f t="shared" si="12"/>
        <v/>
      </c>
      <c r="Y121" s="2">
        <f t="shared" ca="1" si="7"/>
        <v>378</v>
      </c>
      <c r="Z121" s="14">
        <v>1</v>
      </c>
      <c r="AA121" s="1" t="str">
        <f t="shared" ca="1" si="8"/>
        <v>VENCIDO</v>
      </c>
      <c r="AB121" s="1" t="str">
        <f t="shared" si="9"/>
        <v>Dosa</v>
      </c>
      <c r="AC121" s="2" t="str">
        <f t="shared" si="13"/>
        <v xml:space="preserve"> RINALDO </v>
      </c>
      <c r="AD121" s="2">
        <f t="shared" si="10"/>
        <v>5</v>
      </c>
      <c r="AE121" s="2">
        <f t="shared" ca="1" si="11"/>
        <v>-526.1273711805552</v>
      </c>
      <c r="AF121" s="15"/>
    </row>
    <row r="122" spans="1:32" hidden="1">
      <c r="A122" s="1">
        <v>7726592</v>
      </c>
      <c r="B122" s="1" t="s">
        <v>81</v>
      </c>
      <c r="C122" t="s">
        <v>240</v>
      </c>
      <c r="E122" s="2">
        <v>4012000206001</v>
      </c>
      <c r="F122" s="1" t="s">
        <v>29</v>
      </c>
      <c r="G122" s="1" t="s">
        <v>53</v>
      </c>
      <c r="H122" s="1" t="s">
        <v>349</v>
      </c>
      <c r="I122" s="1" t="s">
        <v>350</v>
      </c>
      <c r="J122" s="1" t="s">
        <v>261</v>
      </c>
      <c r="K122" t="s">
        <v>34</v>
      </c>
      <c r="M122" s="1" t="s">
        <v>35</v>
      </c>
      <c r="N122" s="1">
        <v>42318949</v>
      </c>
      <c r="O122" s="1" t="s">
        <v>36</v>
      </c>
      <c r="P122" s="11" t="s">
        <v>3404</v>
      </c>
      <c r="R122" s="1" t="s">
        <v>38</v>
      </c>
      <c r="T122" s="1" t="s">
        <v>74</v>
      </c>
      <c r="U122" s="11" t="s">
        <v>3968</v>
      </c>
      <c r="V122" s="1" t="s">
        <v>41</v>
      </c>
      <c r="W122" s="1" t="s">
        <v>49</v>
      </c>
      <c r="X122" s="13" t="str">
        <f t="shared" si="12"/>
        <v/>
      </c>
      <c r="Y122" s="2">
        <f t="shared" ca="1" si="7"/>
        <v>378</v>
      </c>
      <c r="Z122" s="14">
        <v>1</v>
      </c>
      <c r="AA122" s="1" t="str">
        <f t="shared" ca="1" si="8"/>
        <v>VENCIDO</v>
      </c>
      <c r="AB122" s="1" t="str">
        <f t="shared" si="9"/>
        <v>Dosa</v>
      </c>
      <c r="AC122" s="2" t="str">
        <f t="shared" si="13"/>
        <v xml:space="preserve"> CRISTINA </v>
      </c>
      <c r="AD122" s="2">
        <f t="shared" si="10"/>
        <v>5</v>
      </c>
      <c r="AE122" s="2">
        <f t="shared" ca="1" si="11"/>
        <v>-526.12738275463198</v>
      </c>
      <c r="AF122" s="15"/>
    </row>
    <row r="123" spans="1:32" hidden="1">
      <c r="A123" s="1">
        <v>7726589</v>
      </c>
      <c r="B123" s="1" t="s">
        <v>81</v>
      </c>
      <c r="C123" t="s">
        <v>240</v>
      </c>
      <c r="E123" s="2">
        <v>2365000206001</v>
      </c>
      <c r="F123" s="1" t="s">
        <v>29</v>
      </c>
      <c r="G123" s="1" t="s">
        <v>53</v>
      </c>
      <c r="H123" s="1" t="s">
        <v>159</v>
      </c>
      <c r="I123" s="1" t="s">
        <v>160</v>
      </c>
      <c r="J123" s="1" t="s">
        <v>46</v>
      </c>
      <c r="K123" t="s">
        <v>34</v>
      </c>
      <c r="M123" s="1" t="s">
        <v>35</v>
      </c>
      <c r="N123" s="1">
        <v>42318949</v>
      </c>
      <c r="O123" s="1" t="s">
        <v>36</v>
      </c>
      <c r="P123" s="11" t="s">
        <v>3404</v>
      </c>
      <c r="R123" s="1" t="s">
        <v>38</v>
      </c>
      <c r="T123" s="1" t="s">
        <v>74</v>
      </c>
      <c r="U123" s="11" t="s">
        <v>3968</v>
      </c>
      <c r="V123" s="1" t="s">
        <v>41</v>
      </c>
      <c r="W123" s="1" t="s">
        <v>49</v>
      </c>
      <c r="X123" s="13" t="str">
        <f t="shared" si="12"/>
        <v/>
      </c>
      <c r="Y123" s="2">
        <f t="shared" ca="1" si="7"/>
        <v>378</v>
      </c>
      <c r="Z123" s="14">
        <v>1</v>
      </c>
      <c r="AA123" s="1" t="str">
        <f t="shared" ca="1" si="8"/>
        <v>VENCIDO</v>
      </c>
      <c r="AB123" s="1" t="str">
        <f t="shared" si="9"/>
        <v>Dosa</v>
      </c>
      <c r="AC123" s="2" t="str">
        <f t="shared" si="13"/>
        <v xml:space="preserve"> CLEITON </v>
      </c>
      <c r="AD123" s="2">
        <f t="shared" si="10"/>
        <v>5</v>
      </c>
      <c r="AE123" s="2">
        <f t="shared" ca="1" si="11"/>
        <v>-526.12738275463198</v>
      </c>
      <c r="AF123" s="15"/>
    </row>
    <row r="124" spans="1:32" hidden="1">
      <c r="A124" s="1">
        <v>7726588</v>
      </c>
      <c r="B124" s="1" t="s">
        <v>81</v>
      </c>
      <c r="C124" t="s">
        <v>240</v>
      </c>
      <c r="E124" s="2">
        <v>1264000206001</v>
      </c>
      <c r="F124" s="1" t="s">
        <v>29</v>
      </c>
      <c r="G124" s="1" t="s">
        <v>53</v>
      </c>
      <c r="H124" s="1" t="s">
        <v>351</v>
      </c>
      <c r="I124" s="1" t="s">
        <v>352</v>
      </c>
      <c r="J124" t="s">
        <v>110</v>
      </c>
      <c r="K124" t="s">
        <v>34</v>
      </c>
      <c r="M124" s="1" t="s">
        <v>35</v>
      </c>
      <c r="N124" s="1">
        <v>42318949</v>
      </c>
      <c r="O124" s="1" t="s">
        <v>36</v>
      </c>
      <c r="P124" s="11" t="s">
        <v>3404</v>
      </c>
      <c r="R124" s="1" t="s">
        <v>38</v>
      </c>
      <c r="T124" s="1" t="s">
        <v>74</v>
      </c>
      <c r="U124" s="11" t="s">
        <v>3968</v>
      </c>
      <c r="V124" s="1" t="s">
        <v>41</v>
      </c>
      <c r="W124" s="1" t="s">
        <v>49</v>
      </c>
      <c r="X124" s="13" t="str">
        <f t="shared" si="12"/>
        <v/>
      </c>
      <c r="Y124" s="2">
        <f t="shared" ca="1" si="7"/>
        <v>378</v>
      </c>
      <c r="Z124" s="14">
        <v>1</v>
      </c>
      <c r="AA124" s="1" t="str">
        <f t="shared" ca="1" si="8"/>
        <v>VENCIDO</v>
      </c>
      <c r="AB124" s="1" t="str">
        <f t="shared" si="9"/>
        <v>Dosa</v>
      </c>
      <c r="AC124" s="2" t="str">
        <f t="shared" si="13"/>
        <v xml:space="preserve"> CRISTINA </v>
      </c>
      <c r="AD124" s="2">
        <f t="shared" si="10"/>
        <v>5</v>
      </c>
      <c r="AE124" s="2">
        <f t="shared" ca="1" si="11"/>
        <v>-526.12738275463198</v>
      </c>
      <c r="AF124" s="15"/>
    </row>
    <row r="125" spans="1:32" hidden="1">
      <c r="A125" s="1">
        <v>7726587</v>
      </c>
      <c r="B125" s="1" t="s">
        <v>81</v>
      </c>
      <c r="C125" t="s">
        <v>240</v>
      </c>
      <c r="E125" s="2">
        <v>1069000206001</v>
      </c>
      <c r="F125" s="1" t="s">
        <v>29</v>
      </c>
      <c r="G125" s="1" t="s">
        <v>53</v>
      </c>
      <c r="H125" s="1" t="s">
        <v>353</v>
      </c>
      <c r="I125" s="1" t="s">
        <v>354</v>
      </c>
      <c r="J125" s="1" t="s">
        <v>211</v>
      </c>
      <c r="K125" t="s">
        <v>34</v>
      </c>
      <c r="M125" s="1" t="s">
        <v>35</v>
      </c>
      <c r="N125" s="1">
        <v>42318949</v>
      </c>
      <c r="O125" s="1" t="s">
        <v>36</v>
      </c>
      <c r="P125" s="11" t="s">
        <v>3404</v>
      </c>
      <c r="R125" s="1" t="s">
        <v>38</v>
      </c>
      <c r="T125" s="1" t="s">
        <v>74</v>
      </c>
      <c r="U125" s="11" t="s">
        <v>3968</v>
      </c>
      <c r="V125" s="1" t="s">
        <v>41</v>
      </c>
      <c r="W125" s="1" t="s">
        <v>49</v>
      </c>
      <c r="X125" s="13" t="str">
        <f t="shared" si="12"/>
        <v/>
      </c>
      <c r="Y125" s="2">
        <f t="shared" ca="1" si="7"/>
        <v>378</v>
      </c>
      <c r="Z125" s="14">
        <v>1</v>
      </c>
      <c r="AA125" s="1" t="str">
        <f t="shared" ca="1" si="8"/>
        <v>VENCIDO</v>
      </c>
      <c r="AB125" s="1" t="str">
        <f t="shared" si="9"/>
        <v>Dosa</v>
      </c>
      <c r="AC125" s="2" t="str">
        <f t="shared" si="13"/>
        <v xml:space="preserve"> RINALDO </v>
      </c>
      <c r="AD125" s="2">
        <f t="shared" si="10"/>
        <v>5</v>
      </c>
      <c r="AE125" s="2">
        <f t="shared" ca="1" si="11"/>
        <v>-526.12738275463198</v>
      </c>
      <c r="AF125" s="15"/>
    </row>
    <row r="126" spans="1:32" hidden="1">
      <c r="A126" s="1">
        <v>7726586</v>
      </c>
      <c r="B126" s="1" t="s">
        <v>81</v>
      </c>
      <c r="C126" t="s">
        <v>240</v>
      </c>
      <c r="E126" s="2">
        <v>2529000206001</v>
      </c>
      <c r="F126" s="1" t="s">
        <v>29</v>
      </c>
      <c r="G126" s="1" t="s">
        <v>53</v>
      </c>
      <c r="H126" s="1" t="s">
        <v>355</v>
      </c>
      <c r="I126" s="1" t="s">
        <v>356</v>
      </c>
      <c r="J126" s="1" t="s">
        <v>56</v>
      </c>
      <c r="K126" t="s">
        <v>34</v>
      </c>
      <c r="M126" s="1" t="s">
        <v>35</v>
      </c>
      <c r="N126" s="1">
        <v>42318949</v>
      </c>
      <c r="O126" s="1" t="s">
        <v>36</v>
      </c>
      <c r="P126" s="11" t="s">
        <v>3404</v>
      </c>
      <c r="R126" s="1" t="s">
        <v>38</v>
      </c>
      <c r="T126" s="1" t="s">
        <v>74</v>
      </c>
      <c r="U126" s="11" t="s">
        <v>3968</v>
      </c>
      <c r="V126" s="1" t="s">
        <v>41</v>
      </c>
      <c r="W126" s="1" t="s">
        <v>49</v>
      </c>
      <c r="X126" s="13" t="str">
        <f t="shared" si="12"/>
        <v/>
      </c>
      <c r="Y126" s="2">
        <f t="shared" ca="1" si="7"/>
        <v>378</v>
      </c>
      <c r="Z126" s="14">
        <v>1</v>
      </c>
      <c r="AA126" s="1" t="str">
        <f t="shared" ca="1" si="8"/>
        <v>VENCIDO</v>
      </c>
      <c r="AB126" s="1" t="str">
        <f t="shared" si="9"/>
        <v>Dosa</v>
      </c>
      <c r="AC126" s="2" t="str">
        <f t="shared" si="13"/>
        <v xml:space="preserve"> CRISTINA </v>
      </c>
      <c r="AD126" s="2">
        <f t="shared" si="10"/>
        <v>5</v>
      </c>
      <c r="AE126" s="2">
        <f t="shared" ca="1" si="11"/>
        <v>-526.12738275463198</v>
      </c>
      <c r="AF126" s="15"/>
    </row>
    <row r="127" spans="1:32" hidden="1">
      <c r="A127" s="1">
        <v>7726584</v>
      </c>
      <c r="B127" s="1" t="s">
        <v>81</v>
      </c>
      <c r="C127" t="s">
        <v>240</v>
      </c>
      <c r="E127" s="2">
        <v>1838000206001</v>
      </c>
      <c r="F127" s="1" t="s">
        <v>29</v>
      </c>
      <c r="G127" s="1" t="s">
        <v>53</v>
      </c>
      <c r="H127" s="1" t="s">
        <v>357</v>
      </c>
      <c r="I127" s="1" t="s">
        <v>358</v>
      </c>
      <c r="J127" s="1" t="s">
        <v>46</v>
      </c>
      <c r="K127" t="s">
        <v>34</v>
      </c>
      <c r="M127" s="1" t="s">
        <v>35</v>
      </c>
      <c r="N127" s="1">
        <v>42318949</v>
      </c>
      <c r="O127" s="1" t="s">
        <v>36</v>
      </c>
      <c r="P127" s="11" t="s">
        <v>363</v>
      </c>
      <c r="R127" s="1" t="s">
        <v>38</v>
      </c>
      <c r="T127" s="1" t="s">
        <v>74</v>
      </c>
      <c r="U127" s="11" t="s">
        <v>364</v>
      </c>
      <c r="V127" s="1" t="s">
        <v>41</v>
      </c>
      <c r="W127" s="1" t="s">
        <v>49</v>
      </c>
      <c r="X127" s="13" t="str">
        <f t="shared" si="12"/>
        <v/>
      </c>
      <c r="Y127" s="2">
        <f t="shared" ca="1" si="7"/>
        <v>378</v>
      </c>
      <c r="Z127" s="14">
        <v>1</v>
      </c>
      <c r="AA127" s="1" t="str">
        <f t="shared" ca="1" si="8"/>
        <v>VENCIDO</v>
      </c>
      <c r="AB127" s="1" t="str">
        <f t="shared" si="9"/>
        <v>Dosa</v>
      </c>
      <c r="AC127" s="2" t="str">
        <f t="shared" si="13"/>
        <v xml:space="preserve"> CLEITON </v>
      </c>
      <c r="AD127" s="2">
        <f t="shared" si="10"/>
        <v>5</v>
      </c>
      <c r="AE127" s="2">
        <f t="shared" ca="1" si="11"/>
        <v>-526.12739432870148</v>
      </c>
      <c r="AF127" s="15"/>
    </row>
    <row r="128" spans="1:32" hidden="1">
      <c r="A128" s="1">
        <v>7726583</v>
      </c>
      <c r="B128" s="1" t="s">
        <v>81</v>
      </c>
      <c r="C128" t="s">
        <v>240</v>
      </c>
      <c r="E128" s="2">
        <v>2739000206001</v>
      </c>
      <c r="F128" s="1" t="s">
        <v>29</v>
      </c>
      <c r="G128" s="1" t="s">
        <v>53</v>
      </c>
      <c r="H128" s="1" t="s">
        <v>359</v>
      </c>
      <c r="I128" s="1" t="s">
        <v>360</v>
      </c>
      <c r="J128" s="1" t="s">
        <v>85</v>
      </c>
      <c r="K128" t="s">
        <v>34</v>
      </c>
      <c r="M128" s="1" t="s">
        <v>35</v>
      </c>
      <c r="N128" s="1">
        <v>42318949</v>
      </c>
      <c r="O128" s="1" t="s">
        <v>36</v>
      </c>
      <c r="P128" s="11" t="s">
        <v>363</v>
      </c>
      <c r="R128" s="1" t="s">
        <v>38</v>
      </c>
      <c r="T128" s="1" t="s">
        <v>74</v>
      </c>
      <c r="U128" s="11" t="s">
        <v>364</v>
      </c>
      <c r="V128" s="1" t="s">
        <v>41</v>
      </c>
      <c r="W128" s="1" t="s">
        <v>49</v>
      </c>
      <c r="X128" s="13" t="str">
        <f t="shared" si="12"/>
        <v/>
      </c>
      <c r="Y128" s="2">
        <f t="shared" ca="1" si="7"/>
        <v>378</v>
      </c>
      <c r="Z128" s="14">
        <v>1</v>
      </c>
      <c r="AA128" s="1" t="str">
        <f t="shared" ca="1" si="8"/>
        <v>VENCIDO</v>
      </c>
      <c r="AB128" s="1" t="str">
        <f t="shared" si="9"/>
        <v>Dosa</v>
      </c>
      <c r="AC128" s="2" t="str">
        <f t="shared" si="13"/>
        <v xml:space="preserve"> RINALDO </v>
      </c>
      <c r="AD128" s="2">
        <f t="shared" si="10"/>
        <v>5</v>
      </c>
      <c r="AE128" s="2">
        <f t="shared" ca="1" si="11"/>
        <v>-526.12739432870148</v>
      </c>
      <c r="AF128" s="15"/>
    </row>
    <row r="129" spans="1:32" hidden="1">
      <c r="A129" s="1">
        <v>7726582</v>
      </c>
      <c r="B129" s="1" t="s">
        <v>81</v>
      </c>
      <c r="C129" t="s">
        <v>240</v>
      </c>
      <c r="E129" s="2">
        <v>1643000206001</v>
      </c>
      <c r="F129" s="1" t="s">
        <v>29</v>
      </c>
      <c r="G129" s="1" t="s">
        <v>53</v>
      </c>
      <c r="H129" s="1" t="s">
        <v>361</v>
      </c>
      <c r="I129" s="1" t="s">
        <v>362</v>
      </c>
      <c r="J129" s="1" t="s">
        <v>261</v>
      </c>
      <c r="K129" t="s">
        <v>34</v>
      </c>
      <c r="M129" s="1" t="s">
        <v>35</v>
      </c>
      <c r="N129" s="1">
        <v>42318949</v>
      </c>
      <c r="O129" s="1" t="s">
        <v>36</v>
      </c>
      <c r="P129" s="11" t="s">
        <v>363</v>
      </c>
      <c r="R129" s="1" t="s">
        <v>38</v>
      </c>
      <c r="T129" s="1" t="s">
        <v>74</v>
      </c>
      <c r="U129" s="11" t="s">
        <v>364</v>
      </c>
      <c r="V129" s="1" t="s">
        <v>41</v>
      </c>
      <c r="W129" s="1" t="s">
        <v>49</v>
      </c>
      <c r="X129" s="13" t="str">
        <f t="shared" si="12"/>
        <v/>
      </c>
      <c r="Y129" s="2">
        <f t="shared" ca="1" si="7"/>
        <v>378</v>
      </c>
      <c r="Z129" s="14">
        <v>1</v>
      </c>
      <c r="AA129" s="1" t="str">
        <f t="shared" ca="1" si="8"/>
        <v>VENCIDO</v>
      </c>
      <c r="AB129" s="1" t="str">
        <f t="shared" si="9"/>
        <v>Dosa</v>
      </c>
      <c r="AC129" s="2" t="str">
        <f t="shared" si="13"/>
        <v xml:space="preserve"> CRISTINA </v>
      </c>
      <c r="AD129" s="2">
        <f t="shared" si="10"/>
        <v>5</v>
      </c>
      <c r="AE129" s="2">
        <f t="shared" ca="1" si="11"/>
        <v>-526.12739432870148</v>
      </c>
      <c r="AF129" s="15"/>
    </row>
    <row r="130" spans="1:32" hidden="1">
      <c r="A130" s="1">
        <v>7726581</v>
      </c>
      <c r="B130" s="1" t="s">
        <v>81</v>
      </c>
      <c r="C130" t="s">
        <v>240</v>
      </c>
      <c r="E130" s="2">
        <v>5898000206001</v>
      </c>
      <c r="F130" s="1" t="s">
        <v>29</v>
      </c>
      <c r="G130" s="1" t="s">
        <v>53</v>
      </c>
      <c r="H130" s="1" t="s">
        <v>365</v>
      </c>
      <c r="I130" s="1" t="s">
        <v>366</v>
      </c>
      <c r="J130" s="1" t="s">
        <v>164</v>
      </c>
      <c r="K130" t="s">
        <v>34</v>
      </c>
      <c r="M130" s="1" t="s">
        <v>35</v>
      </c>
      <c r="N130" s="1">
        <v>42318949</v>
      </c>
      <c r="O130" s="1" t="s">
        <v>36</v>
      </c>
      <c r="P130" s="11" t="s">
        <v>363</v>
      </c>
      <c r="R130" s="1" t="s">
        <v>38</v>
      </c>
      <c r="T130" s="1" t="s">
        <v>74</v>
      </c>
      <c r="U130" s="11" t="s">
        <v>364</v>
      </c>
      <c r="V130" s="1" t="s">
        <v>41</v>
      </c>
      <c r="W130" s="1" t="s">
        <v>49</v>
      </c>
      <c r="X130" s="13" t="str">
        <f t="shared" si="12"/>
        <v/>
      </c>
      <c r="Y130" s="2">
        <f t="shared" ref="Y130:Y193" ca="1" si="14">NETWORKDAYS(P130,$Y$1)</f>
        <v>378</v>
      </c>
      <c r="Z130" s="14">
        <v>1</v>
      </c>
      <c r="AA130" s="1" t="str">
        <f t="shared" ref="AA130:AA193" ca="1" si="15">IF(AE130=0,"HOJE",IF(AE130&gt;0,"A VENCER",IF(AE130&lt;0,"VENCIDO")))</f>
        <v>VENCIDO</v>
      </c>
      <c r="AB130" s="1" t="str">
        <f t="shared" ref="AB130:AB193" si="16">IF(F130="GRPE-000001","C-14",IF(F130="GRPE-000002","C-14",IF(F130="GRPE-000003","C-14",IF(F130="GRPE-000004","SL-On",IF(F130="GRPE-000038","C-14",IF(F130="GRPE-900022","Dosa",IF(F130="GRPE-000029","Dosa",IF(F130="ATOS-000222","Dose","TAAe+"))))))))</f>
        <v>Dosa</v>
      </c>
      <c r="AC130" s="2" t="str">
        <f t="shared" si="13"/>
        <v xml:space="preserve"> ROSEMERE </v>
      </c>
      <c r="AD130" s="2">
        <f t="shared" ref="AD130:AD193" si="17">IF(F130="GRPE-000001",5,IF(F130="GRPE-000002",5,IF(F130="GRPE-000003",15,IF(F130="GRPE-000004",1,IF(F130="GRPE-000038",5,IF(F130="GRPE-900022",5,IF(F130="GRPE-000029",5,IF(F130="ATOS-000222",5,8))))))))</f>
        <v>5</v>
      </c>
      <c r="AE130" s="2">
        <f t="shared" ref="AE130:AE193" ca="1" si="18">IF(U130=$AE$1,"",U130-$AE$1)</f>
        <v>-526.12739432870148</v>
      </c>
      <c r="AF130" s="15"/>
    </row>
    <row r="131" spans="1:32" hidden="1">
      <c r="A131" s="1">
        <v>7726580</v>
      </c>
      <c r="B131" s="1" t="s">
        <v>81</v>
      </c>
      <c r="C131" t="s">
        <v>240</v>
      </c>
      <c r="E131" s="2">
        <v>834000206001</v>
      </c>
      <c r="F131" s="1" t="s">
        <v>29</v>
      </c>
      <c r="G131" s="1" t="s">
        <v>53</v>
      </c>
      <c r="H131" s="1" t="s">
        <v>367</v>
      </c>
      <c r="I131" s="1" t="s">
        <v>368</v>
      </c>
      <c r="J131" s="1" t="s">
        <v>261</v>
      </c>
      <c r="K131" t="s">
        <v>34</v>
      </c>
      <c r="M131" s="1" t="s">
        <v>35</v>
      </c>
      <c r="N131" s="1">
        <v>42318949</v>
      </c>
      <c r="O131" s="1" t="s">
        <v>36</v>
      </c>
      <c r="P131" s="11" t="s">
        <v>363</v>
      </c>
      <c r="R131" s="1" t="s">
        <v>38</v>
      </c>
      <c r="T131" s="1" t="s">
        <v>74</v>
      </c>
      <c r="U131" s="11" t="s">
        <v>364</v>
      </c>
      <c r="V131" s="1" t="s">
        <v>41</v>
      </c>
      <c r="W131" s="1" t="s">
        <v>49</v>
      </c>
      <c r="X131" s="13" t="str">
        <f t="shared" ref="X131:X194" si="19">IF(RIGHT(H131,2)&lt;&gt;"00",H131,"")</f>
        <v/>
      </c>
      <c r="Y131" s="2">
        <f t="shared" ca="1" si="14"/>
        <v>378</v>
      </c>
      <c r="Z131" s="14">
        <v>1</v>
      </c>
      <c r="AA131" s="1" t="str">
        <f t="shared" ca="1" si="15"/>
        <v>VENCIDO</v>
      </c>
      <c r="AB131" s="1" t="str">
        <f t="shared" si="16"/>
        <v>Dosa</v>
      </c>
      <c r="AC131" s="2" t="str">
        <f t="shared" ref="AC131:AC194" si="20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 xml:space="preserve"> CRISTINA </v>
      </c>
      <c r="AD131" s="2">
        <f t="shared" si="17"/>
        <v>5</v>
      </c>
      <c r="AE131" s="2">
        <f t="shared" ca="1" si="18"/>
        <v>-526.12739432870148</v>
      </c>
      <c r="AF131" s="15"/>
    </row>
    <row r="132" spans="1:32" hidden="1">
      <c r="A132" s="1">
        <v>7726579</v>
      </c>
      <c r="B132" s="1" t="s">
        <v>81</v>
      </c>
      <c r="C132" t="s">
        <v>240</v>
      </c>
      <c r="E132" s="2">
        <v>1833000206001</v>
      </c>
      <c r="F132" s="1" t="s">
        <v>29</v>
      </c>
      <c r="G132" s="1" t="s">
        <v>53</v>
      </c>
      <c r="H132" s="1" t="s">
        <v>369</v>
      </c>
      <c r="I132" s="1" t="s">
        <v>370</v>
      </c>
      <c r="J132" s="1" t="s">
        <v>46</v>
      </c>
      <c r="K132" t="s">
        <v>34</v>
      </c>
      <c r="M132" s="1" t="s">
        <v>35</v>
      </c>
      <c r="N132" s="1">
        <v>42318949</v>
      </c>
      <c r="O132" s="1" t="s">
        <v>36</v>
      </c>
      <c r="P132" s="11" t="s">
        <v>373</v>
      </c>
      <c r="R132" s="1" t="s">
        <v>38</v>
      </c>
      <c r="T132" s="1" t="s">
        <v>74</v>
      </c>
      <c r="U132" s="11" t="s">
        <v>374</v>
      </c>
      <c r="V132" s="1" t="s">
        <v>41</v>
      </c>
      <c r="W132" s="1" t="s">
        <v>49</v>
      </c>
      <c r="X132" s="13" t="str">
        <f t="shared" si="19"/>
        <v/>
      </c>
      <c r="Y132" s="2">
        <f t="shared" ca="1" si="14"/>
        <v>378</v>
      </c>
      <c r="Z132" s="14">
        <v>1</v>
      </c>
      <c r="AA132" s="1" t="str">
        <f t="shared" ca="1" si="15"/>
        <v>VENCIDO</v>
      </c>
      <c r="AB132" s="1" t="str">
        <f t="shared" si="16"/>
        <v>Dosa</v>
      </c>
      <c r="AC132" s="2" t="str">
        <f t="shared" si="20"/>
        <v xml:space="preserve"> CLEITON </v>
      </c>
      <c r="AD132" s="2">
        <f t="shared" si="17"/>
        <v>5</v>
      </c>
      <c r="AE132" s="2">
        <f t="shared" ca="1" si="18"/>
        <v>-526.12740590277826</v>
      </c>
      <c r="AF132" s="15"/>
    </row>
    <row r="133" spans="1:32" hidden="1">
      <c r="A133" s="1">
        <v>7726578</v>
      </c>
      <c r="B133" s="1" t="s">
        <v>81</v>
      </c>
      <c r="C133" t="s">
        <v>240</v>
      </c>
      <c r="E133" s="2">
        <v>3250000206001</v>
      </c>
      <c r="F133" s="1" t="s">
        <v>29</v>
      </c>
      <c r="G133" s="1" t="s">
        <v>53</v>
      </c>
      <c r="H133" s="1" t="s">
        <v>371</v>
      </c>
      <c r="I133" s="1" t="s">
        <v>372</v>
      </c>
      <c r="J133" s="1" t="s">
        <v>46</v>
      </c>
      <c r="K133" t="s">
        <v>34</v>
      </c>
      <c r="M133" s="1" t="s">
        <v>35</v>
      </c>
      <c r="N133" s="1">
        <v>42318949</v>
      </c>
      <c r="O133" s="1" t="s">
        <v>36</v>
      </c>
      <c r="P133" s="11" t="s">
        <v>373</v>
      </c>
      <c r="R133" s="1" t="s">
        <v>38</v>
      </c>
      <c r="T133" s="1" t="s">
        <v>74</v>
      </c>
      <c r="U133" s="11" t="s">
        <v>374</v>
      </c>
      <c r="V133" s="1" t="s">
        <v>41</v>
      </c>
      <c r="W133" s="1" t="s">
        <v>49</v>
      </c>
      <c r="X133" s="13" t="str">
        <f t="shared" si="19"/>
        <v/>
      </c>
      <c r="Y133" s="2">
        <f t="shared" ca="1" si="14"/>
        <v>378</v>
      </c>
      <c r="Z133" s="14">
        <v>1</v>
      </c>
      <c r="AA133" s="1" t="str">
        <f t="shared" ca="1" si="15"/>
        <v>VENCIDO</v>
      </c>
      <c r="AB133" s="1" t="str">
        <f t="shared" si="16"/>
        <v>Dosa</v>
      </c>
      <c r="AC133" s="2" t="str">
        <f t="shared" si="20"/>
        <v xml:space="preserve"> CLEITON </v>
      </c>
      <c r="AD133" s="2">
        <f t="shared" si="17"/>
        <v>5</v>
      </c>
      <c r="AE133" s="2">
        <f t="shared" ca="1" si="18"/>
        <v>-526.12740590277826</v>
      </c>
      <c r="AF133" s="15"/>
    </row>
    <row r="134" spans="1:32" hidden="1">
      <c r="A134" s="1">
        <v>7726576</v>
      </c>
      <c r="B134" s="1" t="s">
        <v>81</v>
      </c>
      <c r="C134" t="s">
        <v>240</v>
      </c>
      <c r="E134" s="2">
        <v>1059000206001</v>
      </c>
      <c r="F134" s="1" t="s">
        <v>29</v>
      </c>
      <c r="G134" s="1" t="s">
        <v>53</v>
      </c>
      <c r="H134" s="1" t="s">
        <v>88</v>
      </c>
      <c r="I134" s="1" t="s">
        <v>89</v>
      </c>
      <c r="J134" s="1" t="s">
        <v>90</v>
      </c>
      <c r="K134" t="s">
        <v>34</v>
      </c>
      <c r="M134" s="1" t="s">
        <v>35</v>
      </c>
      <c r="N134" s="1">
        <v>42318949</v>
      </c>
      <c r="O134" s="1" t="s">
        <v>36</v>
      </c>
      <c r="P134" s="11" t="s">
        <v>373</v>
      </c>
      <c r="R134" s="1" t="s">
        <v>38</v>
      </c>
      <c r="T134" s="1" t="s">
        <v>74</v>
      </c>
      <c r="U134" s="11" t="s">
        <v>374</v>
      </c>
      <c r="V134" s="1" t="s">
        <v>41</v>
      </c>
      <c r="W134" s="1" t="s">
        <v>49</v>
      </c>
      <c r="X134" s="13" t="str">
        <f t="shared" si="19"/>
        <v/>
      </c>
      <c r="Y134" s="2">
        <f t="shared" ca="1" si="14"/>
        <v>378</v>
      </c>
      <c r="Z134" s="14">
        <v>1</v>
      </c>
      <c r="AA134" s="1" t="str">
        <f t="shared" ca="1" si="15"/>
        <v>VENCIDO</v>
      </c>
      <c r="AB134" s="1" t="str">
        <f t="shared" si="16"/>
        <v>Dosa</v>
      </c>
      <c r="AC134" s="2" t="str">
        <f t="shared" si="20"/>
        <v xml:space="preserve"> RINALDO </v>
      </c>
      <c r="AD134" s="2">
        <f t="shared" si="17"/>
        <v>5</v>
      </c>
      <c r="AE134" s="2">
        <f t="shared" ca="1" si="18"/>
        <v>-526.12740590277826</v>
      </c>
      <c r="AF134" s="15"/>
    </row>
    <row r="135" spans="1:32" hidden="1">
      <c r="A135" s="1">
        <v>7726575</v>
      </c>
      <c r="B135" s="1" t="s">
        <v>81</v>
      </c>
      <c r="C135" t="s">
        <v>240</v>
      </c>
      <c r="E135" s="2">
        <v>1761000206001</v>
      </c>
      <c r="F135" s="1" t="s">
        <v>29</v>
      </c>
      <c r="G135" s="1" t="s">
        <v>53</v>
      </c>
      <c r="H135" s="1" t="s">
        <v>375</v>
      </c>
      <c r="I135" s="1" t="s">
        <v>376</v>
      </c>
      <c r="J135" s="1" t="s">
        <v>56</v>
      </c>
      <c r="K135" t="s">
        <v>34</v>
      </c>
      <c r="M135" s="1" t="s">
        <v>35</v>
      </c>
      <c r="N135" s="1">
        <v>42318949</v>
      </c>
      <c r="O135" s="1" t="s">
        <v>36</v>
      </c>
      <c r="P135" s="11" t="s">
        <v>373</v>
      </c>
      <c r="R135" s="1" t="s">
        <v>38</v>
      </c>
      <c r="T135" s="1" t="s">
        <v>74</v>
      </c>
      <c r="U135" s="11" t="s">
        <v>374</v>
      </c>
      <c r="V135" s="1" t="s">
        <v>41</v>
      </c>
      <c r="W135" s="1" t="s">
        <v>49</v>
      </c>
      <c r="X135" s="13" t="str">
        <f t="shared" si="19"/>
        <v/>
      </c>
      <c r="Y135" s="2">
        <f t="shared" ca="1" si="14"/>
        <v>378</v>
      </c>
      <c r="Z135" s="14">
        <v>1</v>
      </c>
      <c r="AA135" s="1" t="str">
        <f t="shared" ca="1" si="15"/>
        <v>VENCIDO</v>
      </c>
      <c r="AB135" s="1" t="str">
        <f t="shared" si="16"/>
        <v>Dosa</v>
      </c>
      <c r="AC135" s="2" t="str">
        <f t="shared" si="20"/>
        <v xml:space="preserve"> CRISTINA </v>
      </c>
      <c r="AD135" s="2">
        <f t="shared" si="17"/>
        <v>5</v>
      </c>
      <c r="AE135" s="2">
        <f t="shared" ca="1" si="18"/>
        <v>-526.12740590277826</v>
      </c>
      <c r="AF135" s="15"/>
    </row>
    <row r="136" spans="1:32" hidden="1">
      <c r="A136" s="1">
        <v>7726574</v>
      </c>
      <c r="B136" s="1" t="s">
        <v>81</v>
      </c>
      <c r="C136" t="s">
        <v>240</v>
      </c>
      <c r="E136" s="2">
        <v>714000206001</v>
      </c>
      <c r="F136" s="1" t="s">
        <v>29</v>
      </c>
      <c r="G136" s="1" t="s">
        <v>53</v>
      </c>
      <c r="H136" s="1" t="s">
        <v>377</v>
      </c>
      <c r="I136" s="1" t="s">
        <v>378</v>
      </c>
      <c r="J136" s="1" t="s">
        <v>46</v>
      </c>
      <c r="K136" t="s">
        <v>34</v>
      </c>
      <c r="M136" s="1" t="s">
        <v>35</v>
      </c>
      <c r="N136" s="1">
        <v>42318949</v>
      </c>
      <c r="O136" s="1" t="s">
        <v>36</v>
      </c>
      <c r="P136" s="11" t="s">
        <v>373</v>
      </c>
      <c r="R136" s="1" t="s">
        <v>38</v>
      </c>
      <c r="T136" s="1" t="s">
        <v>74</v>
      </c>
      <c r="U136" s="11" t="s">
        <v>374</v>
      </c>
      <c r="V136" s="1" t="s">
        <v>41</v>
      </c>
      <c r="W136" s="1" t="s">
        <v>49</v>
      </c>
      <c r="X136" s="13" t="str">
        <f t="shared" si="19"/>
        <v/>
      </c>
      <c r="Y136" s="2">
        <f t="shared" ca="1" si="14"/>
        <v>378</v>
      </c>
      <c r="Z136" s="14">
        <v>1</v>
      </c>
      <c r="AA136" s="1" t="str">
        <f t="shared" ca="1" si="15"/>
        <v>VENCIDO</v>
      </c>
      <c r="AB136" s="1" t="str">
        <f t="shared" si="16"/>
        <v>Dosa</v>
      </c>
      <c r="AC136" s="2" t="str">
        <f t="shared" si="20"/>
        <v xml:space="preserve"> CLEITON </v>
      </c>
      <c r="AD136" s="2">
        <f t="shared" si="17"/>
        <v>5</v>
      </c>
      <c r="AE136" s="2">
        <f t="shared" ca="1" si="18"/>
        <v>-526.12740590277826</v>
      </c>
      <c r="AF136" s="15"/>
    </row>
    <row r="137" spans="1:32" hidden="1">
      <c r="A137" s="1">
        <v>7726573</v>
      </c>
      <c r="B137" s="1" t="s">
        <v>81</v>
      </c>
      <c r="C137" t="s">
        <v>240</v>
      </c>
      <c r="E137" s="2">
        <v>2138000206001</v>
      </c>
      <c r="F137" s="1" t="s">
        <v>29</v>
      </c>
      <c r="G137" s="1" t="s">
        <v>53</v>
      </c>
      <c r="H137" s="1" t="s">
        <v>379</v>
      </c>
      <c r="I137" s="1" t="s">
        <v>380</v>
      </c>
      <c r="J137" s="1" t="s">
        <v>46</v>
      </c>
      <c r="K137" t="s">
        <v>34</v>
      </c>
      <c r="M137" s="1" t="s">
        <v>35</v>
      </c>
      <c r="N137" s="1">
        <v>42318949</v>
      </c>
      <c r="O137" s="1" t="s">
        <v>36</v>
      </c>
      <c r="P137" s="11" t="s">
        <v>373</v>
      </c>
      <c r="R137" s="1" t="s">
        <v>38</v>
      </c>
      <c r="T137" s="1" t="s">
        <v>74</v>
      </c>
      <c r="U137" s="11" t="s">
        <v>374</v>
      </c>
      <c r="V137" s="1" t="s">
        <v>41</v>
      </c>
      <c r="W137" s="1" t="s">
        <v>49</v>
      </c>
      <c r="X137" s="13" t="str">
        <f t="shared" si="19"/>
        <v/>
      </c>
      <c r="Y137" s="2">
        <f t="shared" ca="1" si="14"/>
        <v>378</v>
      </c>
      <c r="Z137" s="14">
        <v>1</v>
      </c>
      <c r="AA137" s="1" t="str">
        <f t="shared" ca="1" si="15"/>
        <v>VENCIDO</v>
      </c>
      <c r="AB137" s="1" t="str">
        <f t="shared" si="16"/>
        <v>Dosa</v>
      </c>
      <c r="AC137" s="2" t="str">
        <f t="shared" si="20"/>
        <v xml:space="preserve"> CLEITON </v>
      </c>
      <c r="AD137" s="2">
        <f t="shared" si="17"/>
        <v>5</v>
      </c>
      <c r="AE137" s="2">
        <f t="shared" ca="1" si="18"/>
        <v>-526.12740590277826</v>
      </c>
      <c r="AF137" s="15"/>
    </row>
    <row r="138" spans="1:32" hidden="1">
      <c r="A138" s="1">
        <v>7726572</v>
      </c>
      <c r="B138" s="1" t="s">
        <v>81</v>
      </c>
      <c r="C138" t="s">
        <v>240</v>
      </c>
      <c r="E138" s="2">
        <v>2257000206001</v>
      </c>
      <c r="F138" s="1" t="s">
        <v>29</v>
      </c>
      <c r="G138" s="1" t="s">
        <v>53</v>
      </c>
      <c r="H138" s="1" t="s">
        <v>381</v>
      </c>
      <c r="I138" s="1" t="s">
        <v>382</v>
      </c>
      <c r="J138" s="1" t="s">
        <v>110</v>
      </c>
      <c r="K138" t="s">
        <v>34</v>
      </c>
      <c r="M138" s="1" t="s">
        <v>35</v>
      </c>
      <c r="N138" s="1">
        <v>42318949</v>
      </c>
      <c r="O138" s="1" t="s">
        <v>36</v>
      </c>
      <c r="P138" s="11" t="s">
        <v>373</v>
      </c>
      <c r="R138" s="1" t="s">
        <v>38</v>
      </c>
      <c r="T138" s="1" t="s">
        <v>74</v>
      </c>
      <c r="U138" s="11" t="s">
        <v>374</v>
      </c>
      <c r="V138" s="1" t="s">
        <v>41</v>
      </c>
      <c r="W138" s="1" t="s">
        <v>49</v>
      </c>
      <c r="X138" s="13" t="str">
        <f t="shared" si="19"/>
        <v/>
      </c>
      <c r="Y138" s="2">
        <f t="shared" ca="1" si="14"/>
        <v>378</v>
      </c>
      <c r="Z138" s="14">
        <v>1</v>
      </c>
      <c r="AA138" s="1" t="str">
        <f t="shared" ca="1" si="15"/>
        <v>VENCIDO</v>
      </c>
      <c r="AB138" s="1" t="str">
        <f t="shared" si="16"/>
        <v>Dosa</v>
      </c>
      <c r="AC138" s="2" t="str">
        <f t="shared" si="20"/>
        <v xml:space="preserve"> CRISTINA </v>
      </c>
      <c r="AD138" s="2">
        <f t="shared" si="17"/>
        <v>5</v>
      </c>
      <c r="AE138" s="2">
        <f t="shared" ca="1" si="18"/>
        <v>-526.12740590277826</v>
      </c>
      <c r="AF138" s="15"/>
    </row>
    <row r="139" spans="1:32" hidden="1">
      <c r="A139" s="1">
        <v>7726571</v>
      </c>
      <c r="B139" s="1" t="s">
        <v>81</v>
      </c>
      <c r="C139" t="s">
        <v>240</v>
      </c>
      <c r="E139" s="2">
        <v>7000206001</v>
      </c>
      <c r="F139" s="1" t="s">
        <v>29</v>
      </c>
      <c r="G139" s="1" t="s">
        <v>53</v>
      </c>
      <c r="H139" s="1" t="s">
        <v>383</v>
      </c>
      <c r="I139" s="1" t="s">
        <v>384</v>
      </c>
      <c r="J139" s="1" t="s">
        <v>46</v>
      </c>
      <c r="K139" t="s">
        <v>34</v>
      </c>
      <c r="M139" s="1" t="s">
        <v>35</v>
      </c>
      <c r="N139" s="1">
        <v>42318949</v>
      </c>
      <c r="O139" s="1" t="s">
        <v>36</v>
      </c>
      <c r="P139" s="11" t="s">
        <v>385</v>
      </c>
      <c r="R139" s="1" t="s">
        <v>38</v>
      </c>
      <c r="T139" s="1" t="s">
        <v>74</v>
      </c>
      <c r="U139" s="11" t="s">
        <v>3405</v>
      </c>
      <c r="V139" s="1" t="s">
        <v>41</v>
      </c>
      <c r="W139" s="1" t="s">
        <v>49</v>
      </c>
      <c r="X139" s="13" t="str">
        <f t="shared" si="19"/>
        <v/>
      </c>
      <c r="Y139" s="2">
        <f t="shared" ca="1" si="14"/>
        <v>378</v>
      </c>
      <c r="Z139" s="14">
        <v>1</v>
      </c>
      <c r="AA139" s="1" t="str">
        <f t="shared" ca="1" si="15"/>
        <v>VENCIDO</v>
      </c>
      <c r="AB139" s="1" t="str">
        <f t="shared" si="16"/>
        <v>Dosa</v>
      </c>
      <c r="AC139" s="2" t="str">
        <f t="shared" si="20"/>
        <v xml:space="preserve"> CLEITON </v>
      </c>
      <c r="AD139" s="2">
        <f t="shared" si="17"/>
        <v>5</v>
      </c>
      <c r="AE139" s="2">
        <f t="shared" ca="1" si="18"/>
        <v>-526.12741747685504</v>
      </c>
      <c r="AF139" s="15"/>
    </row>
    <row r="140" spans="1:32" hidden="1">
      <c r="A140" s="1">
        <v>7726569</v>
      </c>
      <c r="B140" s="1" t="s">
        <v>81</v>
      </c>
      <c r="C140" t="s">
        <v>240</v>
      </c>
      <c r="E140" s="2">
        <v>4274000206001</v>
      </c>
      <c r="F140" s="1" t="s">
        <v>29</v>
      </c>
      <c r="G140" s="1" t="s">
        <v>53</v>
      </c>
      <c r="H140" s="1" t="s">
        <v>386</v>
      </c>
      <c r="I140" s="1" t="s">
        <v>387</v>
      </c>
      <c r="J140" s="1" t="s">
        <v>46</v>
      </c>
      <c r="K140" t="s">
        <v>34</v>
      </c>
      <c r="M140" s="1" t="s">
        <v>35</v>
      </c>
      <c r="N140" s="1">
        <v>42318949</v>
      </c>
      <c r="O140" s="1" t="s">
        <v>36</v>
      </c>
      <c r="P140" s="11" t="s">
        <v>385</v>
      </c>
      <c r="R140" s="1" t="s">
        <v>38</v>
      </c>
      <c r="T140" s="1" t="s">
        <v>74</v>
      </c>
      <c r="U140" s="11" t="s">
        <v>3405</v>
      </c>
      <c r="V140" s="1" t="s">
        <v>41</v>
      </c>
      <c r="W140" s="1" t="s">
        <v>49</v>
      </c>
      <c r="X140" s="13" t="str">
        <f t="shared" si="19"/>
        <v/>
      </c>
      <c r="Y140" s="2">
        <f t="shared" ca="1" si="14"/>
        <v>378</v>
      </c>
      <c r="Z140" s="14">
        <v>1</v>
      </c>
      <c r="AA140" s="1" t="str">
        <f t="shared" ca="1" si="15"/>
        <v>VENCIDO</v>
      </c>
      <c r="AB140" s="1" t="str">
        <f t="shared" si="16"/>
        <v>Dosa</v>
      </c>
      <c r="AC140" s="2" t="str">
        <f t="shared" si="20"/>
        <v xml:space="preserve"> CLEITON </v>
      </c>
      <c r="AD140" s="2">
        <f t="shared" si="17"/>
        <v>5</v>
      </c>
      <c r="AE140" s="2">
        <f t="shared" ca="1" si="18"/>
        <v>-526.12741747685504</v>
      </c>
      <c r="AF140" s="15"/>
    </row>
    <row r="141" spans="1:32" hidden="1">
      <c r="A141" s="1">
        <v>7726567</v>
      </c>
      <c r="B141" s="1" t="s">
        <v>81</v>
      </c>
      <c r="C141" t="s">
        <v>240</v>
      </c>
      <c r="E141" s="2">
        <v>2802000206001</v>
      </c>
      <c r="F141" s="1" t="s">
        <v>29</v>
      </c>
      <c r="G141" s="1" t="s">
        <v>53</v>
      </c>
      <c r="H141" s="1" t="s">
        <v>388</v>
      </c>
      <c r="I141" s="1" t="s">
        <v>389</v>
      </c>
      <c r="J141" s="1" t="s">
        <v>46</v>
      </c>
      <c r="K141" t="s">
        <v>34</v>
      </c>
      <c r="M141" s="1" t="s">
        <v>35</v>
      </c>
      <c r="N141" s="1">
        <v>42318949</v>
      </c>
      <c r="O141" s="1" t="s">
        <v>36</v>
      </c>
      <c r="P141" s="11" t="s">
        <v>385</v>
      </c>
      <c r="R141" s="1" t="s">
        <v>38</v>
      </c>
      <c r="T141" s="1" t="s">
        <v>74</v>
      </c>
      <c r="U141" s="11" t="s">
        <v>3405</v>
      </c>
      <c r="V141" s="1" t="s">
        <v>41</v>
      </c>
      <c r="W141" s="1" t="s">
        <v>49</v>
      </c>
      <c r="X141" s="13" t="str">
        <f t="shared" si="19"/>
        <v/>
      </c>
      <c r="Y141" s="2">
        <f t="shared" ca="1" si="14"/>
        <v>378</v>
      </c>
      <c r="Z141" s="14">
        <v>1</v>
      </c>
      <c r="AA141" s="1" t="str">
        <f t="shared" ca="1" si="15"/>
        <v>VENCIDO</v>
      </c>
      <c r="AB141" s="1" t="str">
        <f t="shared" si="16"/>
        <v>Dosa</v>
      </c>
      <c r="AC141" s="2" t="str">
        <f t="shared" si="20"/>
        <v xml:space="preserve"> CLEITON </v>
      </c>
      <c r="AD141" s="2">
        <f t="shared" si="17"/>
        <v>5</v>
      </c>
      <c r="AE141" s="2">
        <f t="shared" ca="1" si="18"/>
        <v>-526.12741747685504</v>
      </c>
      <c r="AF141" s="15"/>
    </row>
    <row r="142" spans="1:32" hidden="1">
      <c r="A142" s="1">
        <v>7726563</v>
      </c>
      <c r="B142" s="1" t="s">
        <v>81</v>
      </c>
      <c r="C142" t="s">
        <v>240</v>
      </c>
      <c r="E142" s="2">
        <v>710000206001</v>
      </c>
      <c r="F142" s="1" t="s">
        <v>29</v>
      </c>
      <c r="G142" s="1" t="s">
        <v>53</v>
      </c>
      <c r="H142" s="1" t="s">
        <v>390</v>
      </c>
      <c r="I142" s="1" t="s">
        <v>391</v>
      </c>
      <c r="J142" s="1" t="s">
        <v>56</v>
      </c>
      <c r="K142" t="s">
        <v>34</v>
      </c>
      <c r="M142" s="1" t="s">
        <v>35</v>
      </c>
      <c r="N142" s="1">
        <v>42318949</v>
      </c>
      <c r="O142" s="1" t="s">
        <v>36</v>
      </c>
      <c r="P142" s="11" t="s">
        <v>392</v>
      </c>
      <c r="R142" s="1" t="s">
        <v>38</v>
      </c>
      <c r="T142" s="1" t="s">
        <v>74</v>
      </c>
      <c r="U142" s="11" t="s">
        <v>393</v>
      </c>
      <c r="V142" s="1" t="s">
        <v>41</v>
      </c>
      <c r="W142" s="1" t="s">
        <v>49</v>
      </c>
      <c r="X142" s="13" t="str">
        <f t="shared" si="19"/>
        <v/>
      </c>
      <c r="Y142" s="2">
        <f t="shared" ca="1" si="14"/>
        <v>378</v>
      </c>
      <c r="Z142" s="14">
        <v>1</v>
      </c>
      <c r="AA142" s="1" t="str">
        <f t="shared" ca="1" si="15"/>
        <v>VENCIDO</v>
      </c>
      <c r="AB142" s="1" t="str">
        <f t="shared" si="16"/>
        <v>Dosa</v>
      </c>
      <c r="AC142" s="2" t="str">
        <f t="shared" si="20"/>
        <v xml:space="preserve"> CRISTINA </v>
      </c>
      <c r="AD142" s="2">
        <f t="shared" si="17"/>
        <v>5</v>
      </c>
      <c r="AE142" s="2">
        <f t="shared" ca="1" si="18"/>
        <v>-526.12742905092455</v>
      </c>
      <c r="AF142" s="15"/>
    </row>
    <row r="143" spans="1:32" hidden="1">
      <c r="A143" s="1">
        <v>7726562</v>
      </c>
      <c r="B143" s="1" t="s">
        <v>81</v>
      </c>
      <c r="C143" t="s">
        <v>240</v>
      </c>
      <c r="E143" s="2">
        <v>2590000206001</v>
      </c>
      <c r="F143" s="1" t="s">
        <v>29</v>
      </c>
      <c r="G143" s="1" t="s">
        <v>53</v>
      </c>
      <c r="H143" s="1" t="s">
        <v>394</v>
      </c>
      <c r="I143" s="1" t="s">
        <v>395</v>
      </c>
      <c r="J143" s="1" t="s">
        <v>148</v>
      </c>
      <c r="K143" t="s">
        <v>34</v>
      </c>
      <c r="M143" s="1" t="s">
        <v>35</v>
      </c>
      <c r="N143" s="1">
        <v>42318949</v>
      </c>
      <c r="O143" s="1" t="s">
        <v>36</v>
      </c>
      <c r="P143" s="11" t="s">
        <v>392</v>
      </c>
      <c r="R143" s="1" t="s">
        <v>38</v>
      </c>
      <c r="T143" s="1" t="s">
        <v>74</v>
      </c>
      <c r="U143" s="11" t="s">
        <v>393</v>
      </c>
      <c r="V143" s="1" t="s">
        <v>41</v>
      </c>
      <c r="W143" s="1" t="s">
        <v>49</v>
      </c>
      <c r="X143" s="13" t="str">
        <f t="shared" si="19"/>
        <v/>
      </c>
      <c r="Y143" s="2">
        <f t="shared" ca="1" si="14"/>
        <v>378</v>
      </c>
      <c r="Z143" s="14">
        <v>1</v>
      </c>
      <c r="AA143" s="1" t="str">
        <f t="shared" ca="1" si="15"/>
        <v>VENCIDO</v>
      </c>
      <c r="AB143" s="1" t="str">
        <f t="shared" si="16"/>
        <v>Dosa</v>
      </c>
      <c r="AC143" s="2" t="str">
        <f t="shared" si="20"/>
        <v xml:space="preserve"> RINALDO </v>
      </c>
      <c r="AD143" s="2">
        <f t="shared" si="17"/>
        <v>5</v>
      </c>
      <c r="AE143" s="2">
        <f t="shared" ca="1" si="18"/>
        <v>-526.12742905092455</v>
      </c>
      <c r="AF143" s="15"/>
    </row>
    <row r="144" spans="1:32" hidden="1">
      <c r="A144" s="1">
        <v>7726561</v>
      </c>
      <c r="B144" s="1" t="s">
        <v>81</v>
      </c>
      <c r="C144" t="s">
        <v>240</v>
      </c>
      <c r="E144" s="2">
        <v>1814000206001</v>
      </c>
      <c r="F144" s="1" t="s">
        <v>29</v>
      </c>
      <c r="G144" s="1" t="s">
        <v>53</v>
      </c>
      <c r="H144" s="1" t="s">
        <v>396</v>
      </c>
      <c r="I144" s="1" t="s">
        <v>397</v>
      </c>
      <c r="J144" s="1" t="s">
        <v>46</v>
      </c>
      <c r="K144" t="s">
        <v>34</v>
      </c>
      <c r="M144" s="1" t="s">
        <v>35</v>
      </c>
      <c r="N144" s="1">
        <v>42318949</v>
      </c>
      <c r="O144" s="1" t="s">
        <v>36</v>
      </c>
      <c r="P144" s="11" t="s">
        <v>392</v>
      </c>
      <c r="R144" s="1" t="s">
        <v>38</v>
      </c>
      <c r="T144" s="1" t="s">
        <v>74</v>
      </c>
      <c r="U144" s="11" t="s">
        <v>393</v>
      </c>
      <c r="V144" s="1" t="s">
        <v>41</v>
      </c>
      <c r="W144" s="1" t="s">
        <v>49</v>
      </c>
      <c r="X144" s="13" t="str">
        <f t="shared" si="19"/>
        <v/>
      </c>
      <c r="Y144" s="2">
        <f t="shared" ca="1" si="14"/>
        <v>378</v>
      </c>
      <c r="Z144" s="14">
        <v>1</v>
      </c>
      <c r="AA144" s="1" t="str">
        <f t="shared" ca="1" si="15"/>
        <v>VENCIDO</v>
      </c>
      <c r="AB144" s="1" t="str">
        <f t="shared" si="16"/>
        <v>Dosa</v>
      </c>
      <c r="AC144" s="2" t="str">
        <f t="shared" si="20"/>
        <v xml:space="preserve"> CLEITON </v>
      </c>
      <c r="AD144" s="2">
        <f t="shared" si="17"/>
        <v>5</v>
      </c>
      <c r="AE144" s="2">
        <f t="shared" ca="1" si="18"/>
        <v>-526.12742905092455</v>
      </c>
      <c r="AF144" s="15"/>
    </row>
    <row r="145" spans="1:32" hidden="1">
      <c r="A145" s="1">
        <v>7726556</v>
      </c>
      <c r="B145" s="1" t="s">
        <v>81</v>
      </c>
      <c r="C145" t="s">
        <v>240</v>
      </c>
      <c r="E145" s="2">
        <v>3503000206001</v>
      </c>
      <c r="F145" s="1" t="s">
        <v>29</v>
      </c>
      <c r="G145" s="1" t="s">
        <v>53</v>
      </c>
      <c r="H145" s="1" t="s">
        <v>398</v>
      </c>
      <c r="I145" s="1" t="s">
        <v>399</v>
      </c>
      <c r="J145" s="1" t="s">
        <v>46</v>
      </c>
      <c r="K145" t="s">
        <v>34</v>
      </c>
      <c r="M145" s="1" t="s">
        <v>35</v>
      </c>
      <c r="N145" s="1">
        <v>42318949</v>
      </c>
      <c r="O145" s="1" t="s">
        <v>36</v>
      </c>
      <c r="P145" s="11" t="s">
        <v>400</v>
      </c>
      <c r="R145" s="1" t="s">
        <v>38</v>
      </c>
      <c r="T145" s="1" t="s">
        <v>74</v>
      </c>
      <c r="U145" s="11" t="s">
        <v>401</v>
      </c>
      <c r="V145" s="1" t="s">
        <v>41</v>
      </c>
      <c r="W145" s="1" t="s">
        <v>49</v>
      </c>
      <c r="X145" s="13" t="str">
        <f t="shared" si="19"/>
        <v/>
      </c>
      <c r="Y145" s="2">
        <f t="shared" ca="1" si="14"/>
        <v>378</v>
      </c>
      <c r="Z145" s="14">
        <v>1</v>
      </c>
      <c r="AA145" s="1" t="str">
        <f t="shared" ca="1" si="15"/>
        <v>VENCIDO</v>
      </c>
      <c r="AB145" s="1" t="str">
        <f t="shared" si="16"/>
        <v>Dosa</v>
      </c>
      <c r="AC145" s="2" t="str">
        <f t="shared" si="20"/>
        <v xml:space="preserve"> CLEITON </v>
      </c>
      <c r="AD145" s="2">
        <f t="shared" si="17"/>
        <v>5</v>
      </c>
      <c r="AE145" s="2">
        <f t="shared" ca="1" si="18"/>
        <v>-526.12744062500133</v>
      </c>
      <c r="AF145" s="15"/>
    </row>
    <row r="146" spans="1:32" hidden="1">
      <c r="A146" s="1">
        <v>7726555</v>
      </c>
      <c r="B146" s="1" t="s">
        <v>81</v>
      </c>
      <c r="C146" t="s">
        <v>240</v>
      </c>
      <c r="E146" s="2">
        <v>1620000206001</v>
      </c>
      <c r="F146" s="1" t="s">
        <v>29</v>
      </c>
      <c r="G146" s="1" t="s">
        <v>53</v>
      </c>
      <c r="H146" s="1" t="s">
        <v>402</v>
      </c>
      <c r="I146" s="1" t="s">
        <v>403</v>
      </c>
      <c r="J146" s="1" t="s">
        <v>46</v>
      </c>
      <c r="K146" t="s">
        <v>34</v>
      </c>
      <c r="M146" s="1" t="s">
        <v>35</v>
      </c>
      <c r="N146" s="1">
        <v>42318949</v>
      </c>
      <c r="O146" s="1" t="s">
        <v>36</v>
      </c>
      <c r="P146" s="11" t="s">
        <v>400</v>
      </c>
      <c r="R146" s="1" t="s">
        <v>38</v>
      </c>
      <c r="T146" s="1" t="s">
        <v>74</v>
      </c>
      <c r="U146" s="11" t="s">
        <v>401</v>
      </c>
      <c r="V146" s="1" t="s">
        <v>41</v>
      </c>
      <c r="W146" s="1" t="s">
        <v>49</v>
      </c>
      <c r="X146" s="13" t="str">
        <f t="shared" si="19"/>
        <v/>
      </c>
      <c r="Y146" s="2">
        <f t="shared" ca="1" si="14"/>
        <v>378</v>
      </c>
      <c r="Z146" s="14">
        <v>1</v>
      </c>
      <c r="AA146" s="1" t="str">
        <f t="shared" ca="1" si="15"/>
        <v>VENCIDO</v>
      </c>
      <c r="AB146" s="1" t="str">
        <f t="shared" si="16"/>
        <v>Dosa</v>
      </c>
      <c r="AC146" s="2" t="str">
        <f t="shared" si="20"/>
        <v xml:space="preserve"> CLEITON </v>
      </c>
      <c r="AD146" s="2">
        <f t="shared" si="17"/>
        <v>5</v>
      </c>
      <c r="AE146" s="2">
        <f t="shared" ca="1" si="18"/>
        <v>-526.12744062500133</v>
      </c>
      <c r="AF146" s="15"/>
    </row>
    <row r="147" spans="1:32" hidden="1">
      <c r="A147" s="1">
        <v>7726553</v>
      </c>
      <c r="B147" s="1" t="s">
        <v>81</v>
      </c>
      <c r="C147" t="s">
        <v>240</v>
      </c>
      <c r="E147" s="2">
        <v>67000206001</v>
      </c>
      <c r="F147" s="1" t="s">
        <v>29</v>
      </c>
      <c r="G147" s="1" t="s">
        <v>53</v>
      </c>
      <c r="H147" s="1" t="s">
        <v>404</v>
      </c>
      <c r="I147" s="1" t="s">
        <v>405</v>
      </c>
      <c r="J147" s="1" t="s">
        <v>164</v>
      </c>
      <c r="K147" t="s">
        <v>34</v>
      </c>
      <c r="M147" s="1" t="s">
        <v>35</v>
      </c>
      <c r="N147" s="1">
        <v>42318949</v>
      </c>
      <c r="O147" s="1" t="s">
        <v>36</v>
      </c>
      <c r="P147" s="11" t="s">
        <v>400</v>
      </c>
      <c r="R147" s="1" t="s">
        <v>38</v>
      </c>
      <c r="T147" s="1" t="s">
        <v>74</v>
      </c>
      <c r="U147" s="11" t="s">
        <v>401</v>
      </c>
      <c r="V147" s="1" t="s">
        <v>41</v>
      </c>
      <c r="W147" s="1" t="s">
        <v>49</v>
      </c>
      <c r="X147" s="13" t="str">
        <f t="shared" si="19"/>
        <v/>
      </c>
      <c r="Y147" s="2">
        <f t="shared" ca="1" si="14"/>
        <v>378</v>
      </c>
      <c r="Z147" s="14">
        <v>1</v>
      </c>
      <c r="AA147" s="1" t="str">
        <f t="shared" ca="1" si="15"/>
        <v>VENCIDO</v>
      </c>
      <c r="AB147" s="1" t="str">
        <f t="shared" si="16"/>
        <v>Dosa</v>
      </c>
      <c r="AC147" s="2" t="str">
        <f t="shared" si="20"/>
        <v xml:space="preserve"> ROSEMERE </v>
      </c>
      <c r="AD147" s="2">
        <f t="shared" si="17"/>
        <v>5</v>
      </c>
      <c r="AE147" s="2">
        <f t="shared" ca="1" si="18"/>
        <v>-526.12744062500133</v>
      </c>
      <c r="AF147" s="15"/>
    </row>
    <row r="148" spans="1:32" hidden="1">
      <c r="A148" s="1">
        <v>7726552</v>
      </c>
      <c r="B148" s="1" t="s">
        <v>81</v>
      </c>
      <c r="C148" t="s">
        <v>240</v>
      </c>
      <c r="E148" s="2">
        <v>4997000206001</v>
      </c>
      <c r="F148" s="1" t="s">
        <v>29</v>
      </c>
      <c r="G148" s="1" t="s">
        <v>53</v>
      </c>
      <c r="H148" s="1" t="s">
        <v>406</v>
      </c>
      <c r="I148" s="1" t="s">
        <v>407</v>
      </c>
      <c r="J148" s="1" t="s">
        <v>79</v>
      </c>
      <c r="K148" t="s">
        <v>34</v>
      </c>
      <c r="M148" s="1" t="s">
        <v>35</v>
      </c>
      <c r="N148" s="1">
        <v>42318949</v>
      </c>
      <c r="O148" s="1" t="s">
        <v>36</v>
      </c>
      <c r="P148" s="11" t="s">
        <v>400</v>
      </c>
      <c r="R148" s="1" t="s">
        <v>38</v>
      </c>
      <c r="T148" s="1" t="s">
        <v>74</v>
      </c>
      <c r="U148" s="11" t="s">
        <v>401</v>
      </c>
      <c r="V148" s="1" t="s">
        <v>41</v>
      </c>
      <c r="W148" s="1" t="s">
        <v>49</v>
      </c>
      <c r="X148" s="13" t="str">
        <f t="shared" si="19"/>
        <v/>
      </c>
      <c r="Y148" s="2">
        <f t="shared" ca="1" si="14"/>
        <v>378</v>
      </c>
      <c r="Z148" s="14">
        <v>1</v>
      </c>
      <c r="AA148" s="1" t="str">
        <f t="shared" ca="1" si="15"/>
        <v>VENCIDO</v>
      </c>
      <c r="AB148" s="1" t="str">
        <f t="shared" si="16"/>
        <v>Dosa</v>
      </c>
      <c r="AC148" s="2" t="str">
        <f t="shared" si="20"/>
        <v xml:space="preserve"> ROSEMERE </v>
      </c>
      <c r="AD148" s="2">
        <f t="shared" si="17"/>
        <v>5</v>
      </c>
      <c r="AE148" s="2">
        <f t="shared" ca="1" si="18"/>
        <v>-526.12744062500133</v>
      </c>
      <c r="AF148" s="15"/>
    </row>
    <row r="149" spans="1:32" hidden="1">
      <c r="A149" s="1">
        <v>7726550</v>
      </c>
      <c r="B149" s="1" t="s">
        <v>81</v>
      </c>
      <c r="C149" t="s">
        <v>240</v>
      </c>
      <c r="E149" s="2">
        <v>4118000206001</v>
      </c>
      <c r="F149" s="1" t="s">
        <v>29</v>
      </c>
      <c r="G149" s="1" t="s">
        <v>53</v>
      </c>
      <c r="H149" s="1" t="s">
        <v>71</v>
      </c>
      <c r="I149" s="1" t="s">
        <v>72</v>
      </c>
      <c r="J149" s="1" t="s">
        <v>46</v>
      </c>
      <c r="K149" t="s">
        <v>34</v>
      </c>
      <c r="M149" s="1" t="s">
        <v>35</v>
      </c>
      <c r="N149" s="1">
        <v>42318949</v>
      </c>
      <c r="O149" s="1" t="s">
        <v>36</v>
      </c>
      <c r="P149" s="11" t="s">
        <v>400</v>
      </c>
      <c r="R149" s="1" t="s">
        <v>38</v>
      </c>
      <c r="T149" s="1" t="s">
        <v>74</v>
      </c>
      <c r="U149" s="11" t="s">
        <v>401</v>
      </c>
      <c r="V149" s="1" t="s">
        <v>41</v>
      </c>
      <c r="W149" s="1" t="s">
        <v>49</v>
      </c>
      <c r="X149" s="13" t="str">
        <f t="shared" si="19"/>
        <v/>
      </c>
      <c r="Y149" s="2">
        <f t="shared" ca="1" si="14"/>
        <v>378</v>
      </c>
      <c r="Z149" s="14">
        <v>1</v>
      </c>
      <c r="AA149" s="1" t="str">
        <f t="shared" ca="1" si="15"/>
        <v>VENCIDO</v>
      </c>
      <c r="AB149" s="1" t="str">
        <f t="shared" si="16"/>
        <v>Dosa</v>
      </c>
      <c r="AC149" s="2" t="str">
        <f t="shared" si="20"/>
        <v xml:space="preserve"> CLEITON </v>
      </c>
      <c r="AD149" s="2">
        <f t="shared" si="17"/>
        <v>5</v>
      </c>
      <c r="AE149" s="2">
        <f t="shared" ca="1" si="18"/>
        <v>-526.12744062500133</v>
      </c>
      <c r="AF149" s="15"/>
    </row>
    <row r="150" spans="1:32" hidden="1">
      <c r="A150" s="1">
        <v>7726549</v>
      </c>
      <c r="B150" s="1" t="s">
        <v>81</v>
      </c>
      <c r="C150" t="s">
        <v>240</v>
      </c>
      <c r="E150" s="2">
        <v>1245000206001</v>
      </c>
      <c r="F150" s="1" t="s">
        <v>29</v>
      </c>
      <c r="G150" s="1" t="s">
        <v>53</v>
      </c>
      <c r="H150" s="1" t="s">
        <v>408</v>
      </c>
      <c r="I150" s="1" t="s">
        <v>409</v>
      </c>
      <c r="J150" s="1" t="s">
        <v>46</v>
      </c>
      <c r="K150" t="s">
        <v>34</v>
      </c>
      <c r="M150" s="1" t="s">
        <v>35</v>
      </c>
      <c r="N150" s="1">
        <v>42318949</v>
      </c>
      <c r="O150" s="1" t="s">
        <v>36</v>
      </c>
      <c r="P150" s="11" t="s">
        <v>3406</v>
      </c>
      <c r="R150" s="1" t="s">
        <v>38</v>
      </c>
      <c r="T150" s="1" t="s">
        <v>74</v>
      </c>
      <c r="U150" s="11" t="s">
        <v>3407</v>
      </c>
      <c r="V150" s="1" t="s">
        <v>41</v>
      </c>
      <c r="W150" s="1" t="s">
        <v>49</v>
      </c>
      <c r="X150" s="13" t="str">
        <f t="shared" si="19"/>
        <v/>
      </c>
      <c r="Y150" s="2">
        <f t="shared" ca="1" si="14"/>
        <v>378</v>
      </c>
      <c r="Z150" s="14">
        <v>1</v>
      </c>
      <c r="AA150" s="1" t="str">
        <f t="shared" ca="1" si="15"/>
        <v>VENCIDO</v>
      </c>
      <c r="AB150" s="1" t="str">
        <f t="shared" si="16"/>
        <v>Dosa</v>
      </c>
      <c r="AC150" s="2" t="str">
        <f t="shared" si="20"/>
        <v xml:space="preserve"> CLEITON </v>
      </c>
      <c r="AD150" s="2">
        <f t="shared" si="17"/>
        <v>5</v>
      </c>
      <c r="AE150" s="2">
        <f t="shared" ca="1" si="18"/>
        <v>-526.12745219907083</v>
      </c>
      <c r="AF150" s="15"/>
    </row>
    <row r="151" spans="1:32" hidden="1">
      <c r="A151" s="1">
        <v>7726548</v>
      </c>
      <c r="B151" s="1" t="s">
        <v>81</v>
      </c>
      <c r="C151" t="s">
        <v>240</v>
      </c>
      <c r="E151" s="2">
        <v>981000206001</v>
      </c>
      <c r="F151" s="1" t="s">
        <v>29</v>
      </c>
      <c r="G151" s="1" t="s">
        <v>53</v>
      </c>
      <c r="H151" s="1" t="s">
        <v>410</v>
      </c>
      <c r="I151" s="1" t="s">
        <v>411</v>
      </c>
      <c r="J151" s="1" t="s">
        <v>85</v>
      </c>
      <c r="K151" t="s">
        <v>34</v>
      </c>
      <c r="M151" s="1" t="s">
        <v>35</v>
      </c>
      <c r="N151" s="1">
        <v>42318949</v>
      </c>
      <c r="O151" s="1" t="s">
        <v>36</v>
      </c>
      <c r="P151" s="11" t="s">
        <v>3406</v>
      </c>
      <c r="R151" s="1" t="s">
        <v>38</v>
      </c>
      <c r="T151" s="1" t="s">
        <v>74</v>
      </c>
      <c r="U151" s="11" t="s">
        <v>3407</v>
      </c>
      <c r="V151" s="1" t="s">
        <v>41</v>
      </c>
      <c r="W151" s="1" t="s">
        <v>49</v>
      </c>
      <c r="X151" s="13" t="str">
        <f t="shared" si="19"/>
        <v/>
      </c>
      <c r="Y151" s="2">
        <f t="shared" ca="1" si="14"/>
        <v>378</v>
      </c>
      <c r="Z151" s="14">
        <v>1</v>
      </c>
      <c r="AA151" s="1" t="str">
        <f t="shared" ca="1" si="15"/>
        <v>VENCIDO</v>
      </c>
      <c r="AB151" s="1" t="str">
        <f t="shared" si="16"/>
        <v>Dosa</v>
      </c>
      <c r="AC151" s="2" t="str">
        <f t="shared" si="20"/>
        <v xml:space="preserve"> RINALDO </v>
      </c>
      <c r="AD151" s="2">
        <f t="shared" si="17"/>
        <v>5</v>
      </c>
      <c r="AE151" s="2">
        <f t="shared" ca="1" si="18"/>
        <v>-526.12745219907083</v>
      </c>
      <c r="AF151" s="15"/>
    </row>
    <row r="152" spans="1:32" hidden="1">
      <c r="A152" s="1">
        <v>7726545</v>
      </c>
      <c r="B152" s="1" t="s">
        <v>81</v>
      </c>
      <c r="C152" t="s">
        <v>240</v>
      </c>
      <c r="E152" s="2">
        <v>5816000206001</v>
      </c>
      <c r="F152" s="1" t="s">
        <v>29</v>
      </c>
      <c r="G152" s="1" t="s">
        <v>53</v>
      </c>
      <c r="H152" s="1" t="s">
        <v>412</v>
      </c>
      <c r="I152" s="1" t="s">
        <v>413</v>
      </c>
      <c r="J152" s="1" t="s">
        <v>46</v>
      </c>
      <c r="K152" t="s">
        <v>34</v>
      </c>
      <c r="M152" s="1" t="s">
        <v>35</v>
      </c>
      <c r="N152" s="1">
        <v>42318949</v>
      </c>
      <c r="O152" s="1" t="s">
        <v>36</v>
      </c>
      <c r="P152" s="11" t="s">
        <v>3406</v>
      </c>
      <c r="R152" s="1" t="s">
        <v>38</v>
      </c>
      <c r="T152" s="1" t="s">
        <v>74</v>
      </c>
      <c r="U152" s="11" t="s">
        <v>3407</v>
      </c>
      <c r="V152" s="1" t="s">
        <v>41</v>
      </c>
      <c r="W152" s="1" t="s">
        <v>49</v>
      </c>
      <c r="X152" s="13" t="str">
        <f t="shared" si="19"/>
        <v/>
      </c>
      <c r="Y152" s="2">
        <f t="shared" ca="1" si="14"/>
        <v>378</v>
      </c>
      <c r="Z152" s="14">
        <v>1</v>
      </c>
      <c r="AA152" s="1" t="str">
        <f t="shared" ca="1" si="15"/>
        <v>VENCIDO</v>
      </c>
      <c r="AB152" s="1" t="str">
        <f t="shared" si="16"/>
        <v>Dosa</v>
      </c>
      <c r="AC152" s="2" t="str">
        <f t="shared" si="20"/>
        <v xml:space="preserve"> CLEITON </v>
      </c>
      <c r="AD152" s="2">
        <f t="shared" si="17"/>
        <v>5</v>
      </c>
      <c r="AE152" s="2">
        <f t="shared" ca="1" si="18"/>
        <v>-526.12745219907083</v>
      </c>
      <c r="AF152" s="15"/>
    </row>
    <row r="153" spans="1:32" hidden="1">
      <c r="A153" s="1">
        <v>7726543</v>
      </c>
      <c r="B153" s="1" t="s">
        <v>81</v>
      </c>
      <c r="C153" t="s">
        <v>240</v>
      </c>
      <c r="E153" s="2">
        <v>1666000206001</v>
      </c>
      <c r="F153" s="1" t="s">
        <v>29</v>
      </c>
      <c r="G153" s="1" t="s">
        <v>53</v>
      </c>
      <c r="H153" s="1" t="s">
        <v>414</v>
      </c>
      <c r="I153" s="1" t="s">
        <v>415</v>
      </c>
      <c r="J153" s="1" t="s">
        <v>79</v>
      </c>
      <c r="K153" t="s">
        <v>34</v>
      </c>
      <c r="M153" s="1" t="s">
        <v>35</v>
      </c>
      <c r="N153" s="1">
        <v>42318949</v>
      </c>
      <c r="O153" s="1" t="s">
        <v>36</v>
      </c>
      <c r="P153" s="11" t="s">
        <v>3406</v>
      </c>
      <c r="R153" s="1" t="s">
        <v>38</v>
      </c>
      <c r="T153" s="1" t="s">
        <v>74</v>
      </c>
      <c r="U153" s="11" t="s">
        <v>3407</v>
      </c>
      <c r="V153" s="1" t="s">
        <v>41</v>
      </c>
      <c r="W153" s="1" t="s">
        <v>49</v>
      </c>
      <c r="X153" s="13" t="str">
        <f t="shared" si="19"/>
        <v/>
      </c>
      <c r="Y153" s="2">
        <f t="shared" ca="1" si="14"/>
        <v>378</v>
      </c>
      <c r="Z153" s="14">
        <v>1</v>
      </c>
      <c r="AA153" s="1" t="str">
        <f t="shared" ca="1" si="15"/>
        <v>VENCIDO</v>
      </c>
      <c r="AB153" s="1" t="str">
        <f t="shared" si="16"/>
        <v>Dosa</v>
      </c>
      <c r="AC153" s="2" t="str">
        <f t="shared" si="20"/>
        <v xml:space="preserve"> ROSEMERE </v>
      </c>
      <c r="AD153" s="2">
        <f t="shared" si="17"/>
        <v>5</v>
      </c>
      <c r="AE153" s="2">
        <f t="shared" ca="1" si="18"/>
        <v>-526.12745219907083</v>
      </c>
      <c r="AF153" s="15"/>
    </row>
    <row r="154" spans="1:32" hidden="1">
      <c r="A154" s="1">
        <v>7726541</v>
      </c>
      <c r="B154" s="1" t="s">
        <v>81</v>
      </c>
      <c r="C154" t="s">
        <v>240</v>
      </c>
      <c r="E154" s="2">
        <v>1739000206001</v>
      </c>
      <c r="F154" s="1" t="s">
        <v>29</v>
      </c>
      <c r="G154" s="1" t="s">
        <v>53</v>
      </c>
      <c r="H154" s="1" t="s">
        <v>162</v>
      </c>
      <c r="I154" s="1" t="s">
        <v>163</v>
      </c>
      <c r="J154" s="1" t="s">
        <v>164</v>
      </c>
      <c r="K154" t="s">
        <v>34</v>
      </c>
      <c r="M154" s="1" t="s">
        <v>35</v>
      </c>
      <c r="N154" s="1">
        <v>42318949</v>
      </c>
      <c r="O154" s="1" t="s">
        <v>36</v>
      </c>
      <c r="P154" s="11" t="s">
        <v>3408</v>
      </c>
      <c r="R154" s="1" t="s">
        <v>38</v>
      </c>
      <c r="T154" s="1" t="s">
        <v>74</v>
      </c>
      <c r="U154" s="11" t="s">
        <v>3409</v>
      </c>
      <c r="V154" s="1" t="s">
        <v>41</v>
      </c>
      <c r="W154" s="1" t="s">
        <v>49</v>
      </c>
      <c r="X154" s="13" t="str">
        <f t="shared" si="19"/>
        <v/>
      </c>
      <c r="Y154" s="2">
        <f t="shared" ca="1" si="14"/>
        <v>378</v>
      </c>
      <c r="Z154" s="14">
        <v>1</v>
      </c>
      <c r="AA154" s="1" t="str">
        <f t="shared" ca="1" si="15"/>
        <v>VENCIDO</v>
      </c>
      <c r="AB154" s="1" t="str">
        <f t="shared" si="16"/>
        <v>Dosa</v>
      </c>
      <c r="AC154" s="2" t="str">
        <f t="shared" si="20"/>
        <v xml:space="preserve"> ROSEMERE </v>
      </c>
      <c r="AD154" s="2">
        <f t="shared" si="17"/>
        <v>5</v>
      </c>
      <c r="AE154" s="2">
        <f t="shared" ca="1" si="18"/>
        <v>-526.12746377314761</v>
      </c>
      <c r="AF154" s="15"/>
    </row>
    <row r="155" spans="1:32" hidden="1">
      <c r="A155" s="1">
        <v>7726540</v>
      </c>
      <c r="B155" s="1" t="s">
        <v>81</v>
      </c>
      <c r="C155" t="s">
        <v>240</v>
      </c>
      <c r="E155" s="2">
        <v>2437000206001</v>
      </c>
      <c r="F155" s="1" t="s">
        <v>29</v>
      </c>
      <c r="G155" s="1" t="s">
        <v>53</v>
      </c>
      <c r="H155" s="1" t="s">
        <v>416</v>
      </c>
      <c r="I155" s="1" t="s">
        <v>417</v>
      </c>
      <c r="J155" s="1" t="s">
        <v>211</v>
      </c>
      <c r="K155" t="s">
        <v>34</v>
      </c>
      <c r="M155" s="1" t="s">
        <v>35</v>
      </c>
      <c r="N155" s="1">
        <v>42318949</v>
      </c>
      <c r="O155" s="1" t="s">
        <v>36</v>
      </c>
      <c r="P155" s="11" t="s">
        <v>3408</v>
      </c>
      <c r="R155" s="1" t="s">
        <v>38</v>
      </c>
      <c r="T155" s="1" t="s">
        <v>74</v>
      </c>
      <c r="U155" s="11" t="s">
        <v>3409</v>
      </c>
      <c r="V155" s="1" t="s">
        <v>41</v>
      </c>
      <c r="W155" s="1" t="s">
        <v>49</v>
      </c>
      <c r="X155" s="13" t="str">
        <f t="shared" si="19"/>
        <v/>
      </c>
      <c r="Y155" s="2">
        <f t="shared" ca="1" si="14"/>
        <v>378</v>
      </c>
      <c r="Z155" s="14">
        <v>1</v>
      </c>
      <c r="AA155" s="1" t="str">
        <f t="shared" ca="1" si="15"/>
        <v>VENCIDO</v>
      </c>
      <c r="AB155" s="1" t="str">
        <f t="shared" si="16"/>
        <v>Dosa</v>
      </c>
      <c r="AC155" s="2" t="str">
        <f t="shared" si="20"/>
        <v xml:space="preserve"> RINALDO </v>
      </c>
      <c r="AD155" s="2">
        <f t="shared" si="17"/>
        <v>5</v>
      </c>
      <c r="AE155" s="2">
        <f t="shared" ca="1" si="18"/>
        <v>-526.12746377314761</v>
      </c>
      <c r="AF155" s="15"/>
    </row>
    <row r="156" spans="1:32" hidden="1">
      <c r="A156" s="1">
        <v>7726539</v>
      </c>
      <c r="B156" s="1" t="s">
        <v>81</v>
      </c>
      <c r="C156" t="s">
        <v>240</v>
      </c>
      <c r="E156" s="2">
        <v>2889000206001</v>
      </c>
      <c r="F156" s="1" t="s">
        <v>29</v>
      </c>
      <c r="G156" s="1" t="s">
        <v>53</v>
      </c>
      <c r="H156" s="1" t="s">
        <v>418</v>
      </c>
      <c r="I156" s="1" t="s">
        <v>419</v>
      </c>
      <c r="J156" s="1" t="s">
        <v>46</v>
      </c>
      <c r="K156" t="s">
        <v>34</v>
      </c>
      <c r="M156" s="1" t="s">
        <v>35</v>
      </c>
      <c r="N156" s="1">
        <v>42318949</v>
      </c>
      <c r="O156" s="1" t="s">
        <v>36</v>
      </c>
      <c r="P156" s="11" t="s">
        <v>3408</v>
      </c>
      <c r="R156" s="1" t="s">
        <v>38</v>
      </c>
      <c r="T156" s="1" t="s">
        <v>74</v>
      </c>
      <c r="U156" s="11" t="s">
        <v>3409</v>
      </c>
      <c r="V156" s="1" t="s">
        <v>41</v>
      </c>
      <c r="W156" s="1" t="s">
        <v>49</v>
      </c>
      <c r="X156" s="13" t="str">
        <f t="shared" si="19"/>
        <v/>
      </c>
      <c r="Y156" s="2">
        <f t="shared" ca="1" si="14"/>
        <v>378</v>
      </c>
      <c r="Z156" s="14">
        <v>1</v>
      </c>
      <c r="AA156" s="1" t="str">
        <f t="shared" ca="1" si="15"/>
        <v>VENCIDO</v>
      </c>
      <c r="AB156" s="1" t="str">
        <f t="shared" si="16"/>
        <v>Dosa</v>
      </c>
      <c r="AC156" s="2" t="str">
        <f t="shared" si="20"/>
        <v xml:space="preserve"> CLEITON </v>
      </c>
      <c r="AD156" s="2">
        <f t="shared" si="17"/>
        <v>5</v>
      </c>
      <c r="AE156" s="2">
        <f t="shared" ca="1" si="18"/>
        <v>-526.12746377314761</v>
      </c>
      <c r="AF156" s="15"/>
    </row>
    <row r="157" spans="1:32" hidden="1">
      <c r="A157" s="1">
        <v>7726538</v>
      </c>
      <c r="B157" s="1" t="s">
        <v>81</v>
      </c>
      <c r="C157" t="s">
        <v>240</v>
      </c>
      <c r="E157" s="2">
        <v>605000206001</v>
      </c>
      <c r="F157" s="1" t="s">
        <v>29</v>
      </c>
      <c r="G157" s="1" t="s">
        <v>53</v>
      </c>
      <c r="H157" s="1" t="s">
        <v>420</v>
      </c>
      <c r="I157" s="1" t="s">
        <v>421</v>
      </c>
      <c r="J157" s="1" t="s">
        <v>90</v>
      </c>
      <c r="K157" t="s">
        <v>34</v>
      </c>
      <c r="M157" s="1" t="s">
        <v>35</v>
      </c>
      <c r="N157" s="1">
        <v>42318949</v>
      </c>
      <c r="O157" s="1" t="s">
        <v>36</v>
      </c>
      <c r="P157" s="11" t="s">
        <v>3408</v>
      </c>
      <c r="R157" s="1" t="s">
        <v>38</v>
      </c>
      <c r="T157" s="1" t="s">
        <v>74</v>
      </c>
      <c r="U157" s="11" t="s">
        <v>3409</v>
      </c>
      <c r="V157" s="1" t="s">
        <v>41</v>
      </c>
      <c r="W157" s="1" t="s">
        <v>49</v>
      </c>
      <c r="X157" s="13" t="str">
        <f t="shared" si="19"/>
        <v/>
      </c>
      <c r="Y157" s="2">
        <f t="shared" ca="1" si="14"/>
        <v>378</v>
      </c>
      <c r="Z157" s="14">
        <v>1</v>
      </c>
      <c r="AA157" s="1" t="str">
        <f t="shared" ca="1" si="15"/>
        <v>VENCIDO</v>
      </c>
      <c r="AB157" s="1" t="str">
        <f t="shared" si="16"/>
        <v>Dosa</v>
      </c>
      <c r="AC157" s="2" t="str">
        <f t="shared" si="20"/>
        <v xml:space="preserve"> RINALDO </v>
      </c>
      <c r="AD157" s="2">
        <f t="shared" si="17"/>
        <v>5</v>
      </c>
      <c r="AE157" s="2">
        <f t="shared" ca="1" si="18"/>
        <v>-526.12746377314761</v>
      </c>
      <c r="AF157" s="15"/>
    </row>
    <row r="158" spans="1:32" hidden="1">
      <c r="A158" s="1">
        <v>7726534</v>
      </c>
      <c r="B158" s="1" t="s">
        <v>81</v>
      </c>
      <c r="C158" t="s">
        <v>240</v>
      </c>
      <c r="E158" s="2">
        <v>721000206001</v>
      </c>
      <c r="F158" s="1" t="s">
        <v>29</v>
      </c>
      <c r="G158" s="1" t="s">
        <v>53</v>
      </c>
      <c r="H158" s="1" t="s">
        <v>422</v>
      </c>
      <c r="I158" s="1" t="s">
        <v>423</v>
      </c>
      <c r="J158" s="1" t="s">
        <v>79</v>
      </c>
      <c r="K158" t="s">
        <v>34</v>
      </c>
      <c r="M158" s="1" t="s">
        <v>35</v>
      </c>
      <c r="N158" s="1">
        <v>42318949</v>
      </c>
      <c r="O158" s="1" t="s">
        <v>36</v>
      </c>
      <c r="P158" s="11" t="s">
        <v>3410</v>
      </c>
      <c r="R158" s="1" t="s">
        <v>38</v>
      </c>
      <c r="T158" s="1" t="s">
        <v>74</v>
      </c>
      <c r="U158" s="11" t="s">
        <v>3411</v>
      </c>
      <c r="V158" s="1" t="s">
        <v>41</v>
      </c>
      <c r="W158" s="1" t="s">
        <v>49</v>
      </c>
      <c r="X158" s="13" t="str">
        <f t="shared" si="19"/>
        <v/>
      </c>
      <c r="Y158" s="2">
        <f t="shared" ca="1" si="14"/>
        <v>378</v>
      </c>
      <c r="Z158" s="14">
        <v>1</v>
      </c>
      <c r="AA158" s="1" t="str">
        <f t="shared" ca="1" si="15"/>
        <v>VENCIDO</v>
      </c>
      <c r="AB158" s="1" t="str">
        <f t="shared" si="16"/>
        <v>Dosa</v>
      </c>
      <c r="AC158" s="2" t="str">
        <f t="shared" si="20"/>
        <v xml:space="preserve"> ROSEMERE </v>
      </c>
      <c r="AD158" s="2">
        <f t="shared" si="17"/>
        <v>5</v>
      </c>
      <c r="AE158" s="2">
        <f t="shared" ca="1" si="18"/>
        <v>-526.12747534722439</v>
      </c>
      <c r="AF158" s="15"/>
    </row>
    <row r="159" spans="1:32" hidden="1">
      <c r="A159" s="1">
        <v>7726532</v>
      </c>
      <c r="B159" s="1" t="s">
        <v>81</v>
      </c>
      <c r="C159" t="s">
        <v>240</v>
      </c>
      <c r="E159" s="2">
        <v>233000206001</v>
      </c>
      <c r="F159" s="1" t="s">
        <v>29</v>
      </c>
      <c r="G159" s="1" t="s">
        <v>53</v>
      </c>
      <c r="H159" s="1" t="s">
        <v>424</v>
      </c>
      <c r="I159" s="1" t="s">
        <v>425</v>
      </c>
      <c r="J159" s="1" t="s">
        <v>261</v>
      </c>
      <c r="K159" t="s">
        <v>34</v>
      </c>
      <c r="M159" s="1" t="s">
        <v>35</v>
      </c>
      <c r="N159" s="1">
        <v>42318949</v>
      </c>
      <c r="O159" s="1" t="s">
        <v>36</v>
      </c>
      <c r="P159" s="11" t="s">
        <v>3410</v>
      </c>
      <c r="R159" s="1" t="s">
        <v>38</v>
      </c>
      <c r="T159" s="1" t="s">
        <v>74</v>
      </c>
      <c r="U159" s="11" t="s">
        <v>3411</v>
      </c>
      <c r="V159" s="1" t="s">
        <v>41</v>
      </c>
      <c r="W159" s="1" t="s">
        <v>49</v>
      </c>
      <c r="X159" s="13" t="str">
        <f t="shared" si="19"/>
        <v/>
      </c>
      <c r="Y159" s="2">
        <f t="shared" ca="1" si="14"/>
        <v>378</v>
      </c>
      <c r="Z159" s="14">
        <v>1</v>
      </c>
      <c r="AA159" s="1" t="str">
        <f t="shared" ca="1" si="15"/>
        <v>VENCIDO</v>
      </c>
      <c r="AB159" s="1" t="str">
        <f t="shared" si="16"/>
        <v>Dosa</v>
      </c>
      <c r="AC159" s="2" t="str">
        <f t="shared" si="20"/>
        <v xml:space="preserve"> CRISTINA </v>
      </c>
      <c r="AD159" s="2">
        <f t="shared" si="17"/>
        <v>5</v>
      </c>
      <c r="AE159" s="2">
        <f t="shared" ca="1" si="18"/>
        <v>-526.12747534722439</v>
      </c>
      <c r="AF159" s="15"/>
    </row>
    <row r="160" spans="1:32" hidden="1">
      <c r="A160" s="1">
        <v>7726531</v>
      </c>
      <c r="B160" s="1" t="s">
        <v>81</v>
      </c>
      <c r="C160" t="s">
        <v>240</v>
      </c>
      <c r="E160" s="2">
        <v>4076000206001</v>
      </c>
      <c r="F160" s="1" t="s">
        <v>29</v>
      </c>
      <c r="G160" s="1" t="s">
        <v>53</v>
      </c>
      <c r="H160" s="1" t="s">
        <v>426</v>
      </c>
      <c r="I160" s="1" t="s">
        <v>427</v>
      </c>
      <c r="J160" s="1" t="s">
        <v>79</v>
      </c>
      <c r="K160" t="s">
        <v>34</v>
      </c>
      <c r="M160" s="1" t="s">
        <v>35</v>
      </c>
      <c r="N160" s="1">
        <v>42318949</v>
      </c>
      <c r="O160" s="1" t="s">
        <v>36</v>
      </c>
      <c r="P160" s="11" t="s">
        <v>3410</v>
      </c>
      <c r="R160" s="1" t="s">
        <v>38</v>
      </c>
      <c r="T160" s="1" t="s">
        <v>74</v>
      </c>
      <c r="U160" s="11" t="s">
        <v>3411</v>
      </c>
      <c r="V160" s="1" t="s">
        <v>41</v>
      </c>
      <c r="W160" s="1" t="s">
        <v>49</v>
      </c>
      <c r="X160" s="13" t="str">
        <f t="shared" si="19"/>
        <v/>
      </c>
      <c r="Y160" s="2">
        <f t="shared" ca="1" si="14"/>
        <v>378</v>
      </c>
      <c r="Z160" s="14">
        <v>1</v>
      </c>
      <c r="AA160" s="1" t="str">
        <f t="shared" ca="1" si="15"/>
        <v>VENCIDO</v>
      </c>
      <c r="AB160" s="1" t="str">
        <f t="shared" si="16"/>
        <v>Dosa</v>
      </c>
      <c r="AC160" s="2" t="str">
        <f t="shared" si="20"/>
        <v xml:space="preserve"> ROSEMERE </v>
      </c>
      <c r="AD160" s="2">
        <f t="shared" si="17"/>
        <v>5</v>
      </c>
      <c r="AE160" s="2">
        <f t="shared" ca="1" si="18"/>
        <v>-526.12747534722439</v>
      </c>
      <c r="AF160" s="15"/>
    </row>
    <row r="161" spans="1:32" hidden="1">
      <c r="A161" s="1">
        <v>7726528</v>
      </c>
      <c r="B161" s="1" t="s">
        <v>81</v>
      </c>
      <c r="C161" t="s">
        <v>240</v>
      </c>
      <c r="E161" s="2">
        <v>934000206001</v>
      </c>
      <c r="F161" s="1" t="s">
        <v>29</v>
      </c>
      <c r="G161" s="1" t="s">
        <v>53</v>
      </c>
      <c r="H161" s="1" t="s">
        <v>428</v>
      </c>
      <c r="I161" s="1" t="s">
        <v>429</v>
      </c>
      <c r="J161" s="1" t="s">
        <v>46</v>
      </c>
      <c r="K161" t="s">
        <v>34</v>
      </c>
      <c r="M161" s="1" t="s">
        <v>35</v>
      </c>
      <c r="N161" s="1">
        <v>42318949</v>
      </c>
      <c r="O161" s="1" t="s">
        <v>36</v>
      </c>
      <c r="P161" s="11" t="s">
        <v>436</v>
      </c>
      <c r="R161" s="1" t="s">
        <v>38</v>
      </c>
      <c r="T161" s="1" t="s">
        <v>74</v>
      </c>
      <c r="U161" s="11" t="s">
        <v>437</v>
      </c>
      <c r="V161" s="1" t="s">
        <v>41</v>
      </c>
      <c r="W161" s="1" t="s">
        <v>49</v>
      </c>
      <c r="X161" s="13" t="str">
        <f t="shared" si="19"/>
        <v/>
      </c>
      <c r="Y161" s="2">
        <f t="shared" ca="1" si="14"/>
        <v>378</v>
      </c>
      <c r="Z161" s="14">
        <v>1</v>
      </c>
      <c r="AA161" s="1" t="str">
        <f t="shared" ca="1" si="15"/>
        <v>VENCIDO</v>
      </c>
      <c r="AB161" s="1" t="str">
        <f t="shared" si="16"/>
        <v>Dosa</v>
      </c>
      <c r="AC161" s="2" t="str">
        <f t="shared" si="20"/>
        <v xml:space="preserve"> CLEITON </v>
      </c>
      <c r="AD161" s="2">
        <f t="shared" si="17"/>
        <v>5</v>
      </c>
      <c r="AE161" s="2">
        <f t="shared" ca="1" si="18"/>
        <v>-526.12748692129389</v>
      </c>
      <c r="AF161" s="15"/>
    </row>
    <row r="162" spans="1:32" hidden="1">
      <c r="A162" s="1">
        <v>7726527</v>
      </c>
      <c r="B162" s="1" t="s">
        <v>81</v>
      </c>
      <c r="C162" t="s">
        <v>240</v>
      </c>
      <c r="E162" s="2">
        <v>5742000206001</v>
      </c>
      <c r="F162" s="1" t="s">
        <v>29</v>
      </c>
      <c r="G162" s="1" t="s">
        <v>53</v>
      </c>
      <c r="H162" s="1" t="s">
        <v>430</v>
      </c>
      <c r="I162" s="1" t="s">
        <v>431</v>
      </c>
      <c r="J162" s="1" t="s">
        <v>79</v>
      </c>
      <c r="K162" t="s">
        <v>34</v>
      </c>
      <c r="M162" s="1" t="s">
        <v>35</v>
      </c>
      <c r="N162" s="1">
        <v>42318949</v>
      </c>
      <c r="O162" s="1" t="s">
        <v>36</v>
      </c>
      <c r="P162" s="11" t="s">
        <v>436</v>
      </c>
      <c r="R162" s="1" t="s">
        <v>38</v>
      </c>
      <c r="T162" s="1" t="s">
        <v>74</v>
      </c>
      <c r="U162" s="11" t="s">
        <v>437</v>
      </c>
      <c r="V162" s="1" t="s">
        <v>41</v>
      </c>
      <c r="W162" s="1" t="s">
        <v>49</v>
      </c>
      <c r="X162" s="13" t="str">
        <f t="shared" si="19"/>
        <v/>
      </c>
      <c r="Y162" s="2">
        <f t="shared" ca="1" si="14"/>
        <v>378</v>
      </c>
      <c r="Z162" s="14">
        <v>1</v>
      </c>
      <c r="AA162" s="1" t="str">
        <f t="shared" ca="1" si="15"/>
        <v>VENCIDO</v>
      </c>
      <c r="AB162" s="1" t="str">
        <f t="shared" si="16"/>
        <v>Dosa</v>
      </c>
      <c r="AC162" s="2" t="str">
        <f t="shared" si="20"/>
        <v xml:space="preserve"> ROSEMERE </v>
      </c>
      <c r="AD162" s="2">
        <f t="shared" si="17"/>
        <v>5</v>
      </c>
      <c r="AE162" s="2">
        <f t="shared" ca="1" si="18"/>
        <v>-526.12748692129389</v>
      </c>
      <c r="AF162" s="15"/>
    </row>
    <row r="163" spans="1:32" hidden="1">
      <c r="A163" s="1">
        <v>7726525</v>
      </c>
      <c r="B163" s="1" t="s">
        <v>81</v>
      </c>
      <c r="C163" t="s">
        <v>240</v>
      </c>
      <c r="E163" s="2">
        <v>446000206001</v>
      </c>
      <c r="F163" s="1" t="s">
        <v>29</v>
      </c>
      <c r="G163" s="1" t="s">
        <v>53</v>
      </c>
      <c r="H163" s="1" t="s">
        <v>432</v>
      </c>
      <c r="I163" s="1" t="s">
        <v>433</v>
      </c>
      <c r="J163" s="1" t="s">
        <v>110</v>
      </c>
      <c r="K163" t="s">
        <v>34</v>
      </c>
      <c r="M163" s="1" t="s">
        <v>35</v>
      </c>
      <c r="N163" s="1">
        <v>42318949</v>
      </c>
      <c r="O163" s="1" t="s">
        <v>36</v>
      </c>
      <c r="P163" s="11" t="s">
        <v>436</v>
      </c>
      <c r="R163" s="1" t="s">
        <v>38</v>
      </c>
      <c r="T163" s="1" t="s">
        <v>74</v>
      </c>
      <c r="U163" s="11" t="s">
        <v>437</v>
      </c>
      <c r="V163" s="1" t="s">
        <v>41</v>
      </c>
      <c r="W163" s="1" t="s">
        <v>49</v>
      </c>
      <c r="X163" s="13" t="str">
        <f t="shared" si="19"/>
        <v/>
      </c>
      <c r="Y163" s="2">
        <f t="shared" ca="1" si="14"/>
        <v>378</v>
      </c>
      <c r="Z163" s="14">
        <v>1</v>
      </c>
      <c r="AA163" s="1" t="str">
        <f t="shared" ca="1" si="15"/>
        <v>VENCIDO</v>
      </c>
      <c r="AB163" s="1" t="str">
        <f t="shared" si="16"/>
        <v>Dosa</v>
      </c>
      <c r="AC163" s="2" t="str">
        <f t="shared" si="20"/>
        <v xml:space="preserve"> CRISTINA </v>
      </c>
      <c r="AD163" s="2">
        <f t="shared" si="17"/>
        <v>5</v>
      </c>
      <c r="AE163" s="2">
        <f t="shared" ca="1" si="18"/>
        <v>-526.12748692129389</v>
      </c>
      <c r="AF163" s="15"/>
    </row>
    <row r="164" spans="1:32" hidden="1">
      <c r="A164" s="1">
        <v>7726524</v>
      </c>
      <c r="B164" s="1" t="s">
        <v>81</v>
      </c>
      <c r="C164" t="s">
        <v>240</v>
      </c>
      <c r="E164" s="2">
        <v>570000206001</v>
      </c>
      <c r="F164" s="1" t="s">
        <v>29</v>
      </c>
      <c r="G164" s="1" t="s">
        <v>53</v>
      </c>
      <c r="H164" s="1" t="s">
        <v>434</v>
      </c>
      <c r="I164" s="1" t="s">
        <v>435</v>
      </c>
      <c r="J164" s="1" t="s">
        <v>148</v>
      </c>
      <c r="K164" t="s">
        <v>34</v>
      </c>
      <c r="M164" s="1" t="s">
        <v>35</v>
      </c>
      <c r="N164" s="1">
        <v>42318949</v>
      </c>
      <c r="O164" s="1" t="s">
        <v>36</v>
      </c>
      <c r="P164" s="11" t="s">
        <v>436</v>
      </c>
      <c r="R164" s="1" t="s">
        <v>38</v>
      </c>
      <c r="T164" s="1" t="s">
        <v>74</v>
      </c>
      <c r="U164" s="11" t="s">
        <v>437</v>
      </c>
      <c r="V164" s="1" t="s">
        <v>41</v>
      </c>
      <c r="W164" s="1" t="s">
        <v>49</v>
      </c>
      <c r="X164" s="13" t="str">
        <f t="shared" si="19"/>
        <v/>
      </c>
      <c r="Y164" s="2">
        <f t="shared" ca="1" si="14"/>
        <v>378</v>
      </c>
      <c r="Z164" s="14">
        <v>1</v>
      </c>
      <c r="AA164" s="1" t="str">
        <f t="shared" ca="1" si="15"/>
        <v>VENCIDO</v>
      </c>
      <c r="AB164" s="1" t="str">
        <f t="shared" si="16"/>
        <v>Dosa</v>
      </c>
      <c r="AC164" s="2" t="str">
        <f t="shared" si="20"/>
        <v xml:space="preserve"> RINALDO </v>
      </c>
      <c r="AD164" s="2">
        <f t="shared" si="17"/>
        <v>5</v>
      </c>
      <c r="AE164" s="2">
        <f t="shared" ca="1" si="18"/>
        <v>-526.12748692129389</v>
      </c>
      <c r="AF164" s="15"/>
    </row>
    <row r="165" spans="1:32" hidden="1">
      <c r="A165" s="1">
        <v>7726522</v>
      </c>
      <c r="B165" s="1" t="s">
        <v>81</v>
      </c>
      <c r="C165" t="s">
        <v>240</v>
      </c>
      <c r="E165" s="2">
        <v>917000206001</v>
      </c>
      <c r="F165" s="1" t="s">
        <v>29</v>
      </c>
      <c r="G165" s="1" t="s">
        <v>53</v>
      </c>
      <c r="H165" s="1" t="s">
        <v>83</v>
      </c>
      <c r="I165" s="1" t="s">
        <v>84</v>
      </c>
      <c r="J165" s="1" t="s">
        <v>85</v>
      </c>
      <c r="K165" t="s">
        <v>34</v>
      </c>
      <c r="M165" s="1" t="s">
        <v>35</v>
      </c>
      <c r="N165" s="1">
        <v>42318949</v>
      </c>
      <c r="O165" s="1" t="s">
        <v>36</v>
      </c>
      <c r="P165" s="186">
        <v>44459.548784722225</v>
      </c>
      <c r="R165" s="1" t="s">
        <v>38</v>
      </c>
      <c r="T165" s="1" t="s">
        <v>74</v>
      </c>
      <c r="U165" s="186">
        <v>44460.548784722225</v>
      </c>
      <c r="V165" s="1" t="s">
        <v>41</v>
      </c>
      <c r="W165" s="1" t="s">
        <v>49</v>
      </c>
      <c r="X165" s="13" t="str">
        <f t="shared" si="19"/>
        <v/>
      </c>
      <c r="Y165" s="2">
        <f t="shared" ca="1" si="14"/>
        <v>378</v>
      </c>
      <c r="Z165" s="14">
        <v>1</v>
      </c>
      <c r="AA165" s="1" t="str">
        <f t="shared" ca="1" si="15"/>
        <v>VENCIDO</v>
      </c>
      <c r="AB165" s="1" t="str">
        <f t="shared" si="16"/>
        <v>Dosa</v>
      </c>
      <c r="AC165" s="2" t="str">
        <f t="shared" si="20"/>
        <v xml:space="preserve"> RINALDO </v>
      </c>
      <c r="AD165" s="2">
        <f t="shared" si="17"/>
        <v>5</v>
      </c>
      <c r="AE165" s="2">
        <f t="shared" ca="1" si="18"/>
        <v>-526.12748692129389</v>
      </c>
      <c r="AF165" s="15"/>
    </row>
    <row r="166" spans="1:32" hidden="1">
      <c r="A166" s="1">
        <v>7726519</v>
      </c>
      <c r="B166" s="1" t="s">
        <v>81</v>
      </c>
      <c r="C166" t="s">
        <v>240</v>
      </c>
      <c r="E166" s="2">
        <v>608000206001</v>
      </c>
      <c r="F166" s="1" t="s">
        <v>29</v>
      </c>
      <c r="G166" s="1" t="s">
        <v>53</v>
      </c>
      <c r="H166" s="1" t="s">
        <v>438</v>
      </c>
      <c r="I166" s="1" t="s">
        <v>439</v>
      </c>
      <c r="J166" s="1" t="s">
        <v>148</v>
      </c>
      <c r="K166" t="s">
        <v>34</v>
      </c>
      <c r="M166" s="1" t="s">
        <v>35</v>
      </c>
      <c r="N166" s="1">
        <v>42318949</v>
      </c>
      <c r="O166" s="1" t="s">
        <v>36</v>
      </c>
      <c r="P166" s="186">
        <v>44459.548773148148</v>
      </c>
      <c r="R166" s="1" t="s">
        <v>38</v>
      </c>
      <c r="T166" s="1" t="s">
        <v>74</v>
      </c>
      <c r="U166" s="186">
        <v>44460.548773148148</v>
      </c>
      <c r="V166" s="1" t="s">
        <v>41</v>
      </c>
      <c r="W166" s="1" t="s">
        <v>49</v>
      </c>
      <c r="X166" s="13" t="str">
        <f t="shared" si="19"/>
        <v/>
      </c>
      <c r="Y166" s="2">
        <f t="shared" ca="1" si="14"/>
        <v>378</v>
      </c>
      <c r="Z166" s="14">
        <v>1</v>
      </c>
      <c r="AA166" s="1" t="str">
        <f t="shared" ca="1" si="15"/>
        <v>VENCIDO</v>
      </c>
      <c r="AB166" s="1" t="str">
        <f t="shared" si="16"/>
        <v>Dosa</v>
      </c>
      <c r="AC166" s="2" t="str">
        <f t="shared" si="20"/>
        <v xml:space="preserve"> RINALDO </v>
      </c>
      <c r="AD166" s="2">
        <f t="shared" si="17"/>
        <v>5</v>
      </c>
      <c r="AE166" s="2">
        <f t="shared" ca="1" si="18"/>
        <v>-526.12749849537067</v>
      </c>
      <c r="AF166" s="15"/>
    </row>
    <row r="167" spans="1:32" hidden="1">
      <c r="A167" s="1">
        <v>7726518</v>
      </c>
      <c r="B167" s="1" t="s">
        <v>81</v>
      </c>
      <c r="C167" t="s">
        <v>240</v>
      </c>
      <c r="E167" s="2">
        <v>537000206001</v>
      </c>
      <c r="F167" s="1" t="s">
        <v>29</v>
      </c>
      <c r="G167" s="1" t="s">
        <v>53</v>
      </c>
      <c r="H167" s="1" t="s">
        <v>442</v>
      </c>
      <c r="I167" s="1" t="s">
        <v>443</v>
      </c>
      <c r="J167" s="1" t="s">
        <v>79</v>
      </c>
      <c r="K167" t="s">
        <v>34</v>
      </c>
      <c r="M167" s="1" t="s">
        <v>35</v>
      </c>
      <c r="N167" s="1">
        <v>42318949</v>
      </c>
      <c r="O167" s="1" t="s">
        <v>36</v>
      </c>
      <c r="P167" s="186">
        <v>44459.548773148148</v>
      </c>
      <c r="R167" s="1" t="s">
        <v>38</v>
      </c>
      <c r="T167" s="1" t="s">
        <v>74</v>
      </c>
      <c r="U167" s="186">
        <v>44460.548773148148</v>
      </c>
      <c r="V167" s="1" t="s">
        <v>41</v>
      </c>
      <c r="W167" s="1" t="s">
        <v>49</v>
      </c>
      <c r="X167" s="13" t="str">
        <f t="shared" si="19"/>
        <v/>
      </c>
      <c r="Y167" s="2">
        <f t="shared" ca="1" si="14"/>
        <v>378</v>
      </c>
      <c r="Z167" s="14">
        <v>1</v>
      </c>
      <c r="AA167" s="1" t="str">
        <f t="shared" ca="1" si="15"/>
        <v>VENCIDO</v>
      </c>
      <c r="AB167" s="1" t="str">
        <f t="shared" si="16"/>
        <v>Dosa</v>
      </c>
      <c r="AC167" s="2" t="str">
        <f t="shared" si="20"/>
        <v xml:space="preserve"> ROSEMERE </v>
      </c>
      <c r="AD167" s="2">
        <f t="shared" si="17"/>
        <v>5</v>
      </c>
      <c r="AE167" s="2">
        <f t="shared" ca="1" si="18"/>
        <v>-526.12749849537067</v>
      </c>
      <c r="AF167" s="15"/>
    </row>
    <row r="168" spans="1:32" hidden="1">
      <c r="A168" s="1">
        <v>7726511</v>
      </c>
      <c r="B168" s="1" t="s">
        <v>81</v>
      </c>
      <c r="C168" t="s">
        <v>240</v>
      </c>
      <c r="E168" s="2">
        <v>594000206001</v>
      </c>
      <c r="F168" s="1" t="s">
        <v>29</v>
      </c>
      <c r="G168" s="1" t="s">
        <v>53</v>
      </c>
      <c r="H168" s="1" t="s">
        <v>444</v>
      </c>
      <c r="I168" s="1" t="s">
        <v>445</v>
      </c>
      <c r="J168" s="1" t="s">
        <v>33</v>
      </c>
      <c r="K168" t="s">
        <v>34</v>
      </c>
      <c r="M168" s="1" t="s">
        <v>35</v>
      </c>
      <c r="N168" s="1">
        <v>42318949</v>
      </c>
      <c r="O168" s="1" t="s">
        <v>36</v>
      </c>
      <c r="P168" s="186">
        <v>44459.548761574071</v>
      </c>
      <c r="R168" s="1" t="s">
        <v>38</v>
      </c>
      <c r="T168" s="1" t="s">
        <v>74</v>
      </c>
      <c r="U168" s="186">
        <v>44460.548761574071</v>
      </c>
      <c r="V168" s="1" t="s">
        <v>41</v>
      </c>
      <c r="W168" s="1" t="s">
        <v>42</v>
      </c>
      <c r="X168" s="13" t="str">
        <f t="shared" si="19"/>
        <v/>
      </c>
      <c r="Y168" s="2">
        <f t="shared" ca="1" si="14"/>
        <v>378</v>
      </c>
      <c r="Z168" s="14">
        <v>1</v>
      </c>
      <c r="AA168" s="1" t="str">
        <f t="shared" ca="1" si="15"/>
        <v>VENCIDO</v>
      </c>
      <c r="AB168" s="1" t="str">
        <f t="shared" si="16"/>
        <v>Dosa</v>
      </c>
      <c r="AC168" s="2" t="str">
        <f t="shared" si="20"/>
        <v xml:space="preserve"> ROSEMERE </v>
      </c>
      <c r="AD168" s="2">
        <f t="shared" si="17"/>
        <v>5</v>
      </c>
      <c r="AE168" s="2">
        <f t="shared" ca="1" si="18"/>
        <v>-526.12751006944745</v>
      </c>
      <c r="AF168" s="15"/>
    </row>
    <row r="169" spans="1:32" hidden="1">
      <c r="A169" s="1">
        <v>7726505</v>
      </c>
      <c r="B169" s="1" t="s">
        <v>81</v>
      </c>
      <c r="C169" t="s">
        <v>240</v>
      </c>
      <c r="E169" s="2">
        <v>2830000206001</v>
      </c>
      <c r="F169" s="1" t="s">
        <v>29</v>
      </c>
      <c r="G169" s="1" t="s">
        <v>53</v>
      </c>
      <c r="H169" s="1" t="s">
        <v>448</v>
      </c>
      <c r="I169" s="1" t="s">
        <v>449</v>
      </c>
      <c r="J169" s="1" t="s">
        <v>33</v>
      </c>
      <c r="K169" t="s">
        <v>34</v>
      </c>
      <c r="M169" s="1" t="s">
        <v>35</v>
      </c>
      <c r="N169" s="1">
        <v>42318949</v>
      </c>
      <c r="O169" s="1" t="s">
        <v>36</v>
      </c>
      <c r="P169" s="186">
        <v>44459.548761574071</v>
      </c>
      <c r="R169" s="1" t="s">
        <v>38</v>
      </c>
      <c r="T169" s="1" t="s">
        <v>74</v>
      </c>
      <c r="U169" s="186">
        <v>44460.548761574071</v>
      </c>
      <c r="V169" s="1" t="s">
        <v>41</v>
      </c>
      <c r="W169" s="1" t="s">
        <v>42</v>
      </c>
      <c r="X169" s="13" t="str">
        <f t="shared" si="19"/>
        <v/>
      </c>
      <c r="Y169" s="2">
        <f t="shared" ca="1" si="14"/>
        <v>378</v>
      </c>
      <c r="Z169" s="14">
        <v>1</v>
      </c>
      <c r="AA169" s="1" t="str">
        <f t="shared" ca="1" si="15"/>
        <v>VENCIDO</v>
      </c>
      <c r="AB169" s="1" t="str">
        <f t="shared" si="16"/>
        <v>Dosa</v>
      </c>
      <c r="AC169" s="2" t="str">
        <f t="shared" si="20"/>
        <v xml:space="preserve"> ROSEMERE </v>
      </c>
      <c r="AD169" s="2">
        <f t="shared" si="17"/>
        <v>5</v>
      </c>
      <c r="AE169" s="2">
        <f t="shared" ca="1" si="18"/>
        <v>-526.12751006944745</v>
      </c>
      <c r="AF169" s="15"/>
    </row>
    <row r="170" spans="1:32" hidden="1">
      <c r="A170" s="1">
        <v>7898328</v>
      </c>
      <c r="B170" s="1" t="s">
        <v>81</v>
      </c>
      <c r="C170" t="s">
        <v>450</v>
      </c>
      <c r="E170" s="2">
        <v>1664000206001</v>
      </c>
      <c r="F170" s="1" t="s">
        <v>29</v>
      </c>
      <c r="G170" s="1" t="s">
        <v>53</v>
      </c>
      <c r="H170" s="1" t="s">
        <v>307</v>
      </c>
      <c r="I170" s="1" t="s">
        <v>308</v>
      </c>
      <c r="J170" s="1" t="s">
        <v>164</v>
      </c>
      <c r="K170" t="s">
        <v>34</v>
      </c>
      <c r="M170" s="1" t="s">
        <v>35</v>
      </c>
      <c r="N170" s="1">
        <v>42318949</v>
      </c>
      <c r="O170" s="1" t="s">
        <v>36</v>
      </c>
      <c r="P170" s="186">
        <v>44466.810416666667</v>
      </c>
      <c r="R170" s="1" t="s">
        <v>38</v>
      </c>
      <c r="T170" s="1" t="s">
        <v>74</v>
      </c>
      <c r="U170" s="186">
        <v>44467.810416666667</v>
      </c>
      <c r="V170" s="1" t="s">
        <v>41</v>
      </c>
      <c r="W170" s="1" t="s">
        <v>49</v>
      </c>
      <c r="X170" s="13" t="str">
        <f t="shared" si="19"/>
        <v/>
      </c>
      <c r="Y170" s="2">
        <f t="shared" ca="1" si="14"/>
        <v>373</v>
      </c>
      <c r="Z170" s="14">
        <v>1</v>
      </c>
      <c r="AA170" s="1" t="str">
        <f t="shared" ca="1" si="15"/>
        <v>VENCIDO</v>
      </c>
      <c r="AB170" s="1" t="str">
        <f t="shared" si="16"/>
        <v>Dosa</v>
      </c>
      <c r="AC170" s="2" t="str">
        <f t="shared" si="20"/>
        <v xml:space="preserve"> ROSEMERE </v>
      </c>
      <c r="AD170" s="2">
        <f t="shared" si="17"/>
        <v>5</v>
      </c>
      <c r="AE170" s="2">
        <f t="shared" ca="1" si="18"/>
        <v>-518.86585497685155</v>
      </c>
      <c r="AF170" s="15"/>
    </row>
    <row r="171" spans="1:32" hidden="1">
      <c r="A171" s="1">
        <v>7898195</v>
      </c>
      <c r="B171" s="1" t="s">
        <v>81</v>
      </c>
      <c r="C171" t="s">
        <v>450</v>
      </c>
      <c r="E171" s="2">
        <v>2107000206001</v>
      </c>
      <c r="F171" s="1" t="s">
        <v>29</v>
      </c>
      <c r="G171" s="1" t="s">
        <v>53</v>
      </c>
      <c r="H171" s="1" t="s">
        <v>262</v>
      </c>
      <c r="I171" s="1" t="s">
        <v>263</v>
      </c>
      <c r="J171" s="1" t="s">
        <v>164</v>
      </c>
      <c r="K171" t="s">
        <v>34</v>
      </c>
      <c r="M171" s="1" t="s">
        <v>35</v>
      </c>
      <c r="N171" s="1">
        <v>42318949</v>
      </c>
      <c r="O171" s="1" t="s">
        <v>36</v>
      </c>
      <c r="P171" s="186">
        <v>44466.803553240738</v>
      </c>
      <c r="R171" s="1" t="s">
        <v>38</v>
      </c>
      <c r="T171" s="1" t="s">
        <v>74</v>
      </c>
      <c r="U171" s="186">
        <v>44467.803553240738</v>
      </c>
      <c r="V171" s="1" t="s">
        <v>41</v>
      </c>
      <c r="W171" s="1" t="s">
        <v>49</v>
      </c>
      <c r="X171" s="13" t="str">
        <f t="shared" si="19"/>
        <v/>
      </c>
      <c r="Y171" s="2">
        <f t="shared" ca="1" si="14"/>
        <v>373</v>
      </c>
      <c r="Z171" s="14">
        <v>1</v>
      </c>
      <c r="AA171" s="1" t="str">
        <f t="shared" ca="1" si="15"/>
        <v>VENCIDO</v>
      </c>
      <c r="AB171" s="1" t="str">
        <f t="shared" si="16"/>
        <v>Dosa</v>
      </c>
      <c r="AC171" s="2" t="str">
        <f t="shared" si="20"/>
        <v xml:space="preserve"> ROSEMERE </v>
      </c>
      <c r="AD171" s="2">
        <f t="shared" si="17"/>
        <v>5</v>
      </c>
      <c r="AE171" s="2">
        <f t="shared" ca="1" si="18"/>
        <v>-518.87271840278117</v>
      </c>
      <c r="AF171" s="15"/>
    </row>
    <row r="172" spans="1:32" hidden="1">
      <c r="A172" s="1">
        <v>7898176</v>
      </c>
      <c r="B172" s="1" t="s">
        <v>81</v>
      </c>
      <c r="C172" t="s">
        <v>450</v>
      </c>
      <c r="E172" s="2">
        <v>2559000206001</v>
      </c>
      <c r="F172" s="1" t="s">
        <v>29</v>
      </c>
      <c r="G172" s="1" t="s">
        <v>53</v>
      </c>
      <c r="H172" s="1" t="s">
        <v>259</v>
      </c>
      <c r="I172" s="1" t="s">
        <v>260</v>
      </c>
      <c r="J172" s="1" t="s">
        <v>261</v>
      </c>
      <c r="K172" t="s">
        <v>34</v>
      </c>
      <c r="M172" s="1" t="s">
        <v>35</v>
      </c>
      <c r="N172" s="1">
        <v>42318949</v>
      </c>
      <c r="O172" s="1" t="s">
        <v>36</v>
      </c>
      <c r="P172" s="186">
        <v>44466.803252314814</v>
      </c>
      <c r="R172" s="1" t="s">
        <v>38</v>
      </c>
      <c r="T172" s="1" t="s">
        <v>74</v>
      </c>
      <c r="U172" s="186">
        <v>44467.803252314814</v>
      </c>
      <c r="V172" s="1" t="s">
        <v>41</v>
      </c>
      <c r="W172" s="1" t="s">
        <v>49</v>
      </c>
      <c r="X172" s="13" t="str">
        <f t="shared" si="19"/>
        <v/>
      </c>
      <c r="Y172" s="2">
        <f t="shared" ca="1" si="14"/>
        <v>373</v>
      </c>
      <c r="Z172" s="14">
        <v>1</v>
      </c>
      <c r="AA172" s="1" t="str">
        <f t="shared" ca="1" si="15"/>
        <v>VENCIDO</v>
      </c>
      <c r="AB172" s="1" t="str">
        <f t="shared" si="16"/>
        <v>Dosa</v>
      </c>
      <c r="AC172" s="2" t="str">
        <f t="shared" si="20"/>
        <v xml:space="preserve"> CRISTINA </v>
      </c>
      <c r="AD172" s="2">
        <f t="shared" si="17"/>
        <v>5</v>
      </c>
      <c r="AE172" s="2">
        <f t="shared" ca="1" si="18"/>
        <v>-518.87301932870469</v>
      </c>
      <c r="AF172" s="15"/>
    </row>
    <row r="173" spans="1:32" hidden="1">
      <c r="A173" s="1">
        <v>7897993</v>
      </c>
      <c r="B173" s="1" t="s">
        <v>81</v>
      </c>
      <c r="C173" t="s">
        <v>450</v>
      </c>
      <c r="E173" s="2">
        <v>2564000206001</v>
      </c>
      <c r="F173" s="1" t="s">
        <v>29</v>
      </c>
      <c r="G173" s="1" t="s">
        <v>53</v>
      </c>
      <c r="H173" s="1" t="s">
        <v>255</v>
      </c>
      <c r="I173" s="1" t="s">
        <v>256</v>
      </c>
      <c r="J173" s="1" t="s">
        <v>164</v>
      </c>
      <c r="K173" t="s">
        <v>34</v>
      </c>
      <c r="M173" s="1" t="s">
        <v>35</v>
      </c>
      <c r="N173" s="1">
        <v>42318949</v>
      </c>
      <c r="O173" s="1" t="s">
        <v>36</v>
      </c>
      <c r="P173" s="186">
        <v>44466.802881944444</v>
      </c>
      <c r="R173" s="1" t="s">
        <v>38</v>
      </c>
      <c r="T173" s="1" t="s">
        <v>74</v>
      </c>
      <c r="U173" s="186">
        <v>44467.802881944444</v>
      </c>
      <c r="V173" s="1" t="s">
        <v>41</v>
      </c>
      <c r="W173" s="1" t="s">
        <v>49</v>
      </c>
      <c r="X173" s="13" t="str">
        <f t="shared" si="19"/>
        <v/>
      </c>
      <c r="Y173" s="2">
        <f t="shared" ca="1" si="14"/>
        <v>373</v>
      </c>
      <c r="Z173" s="14">
        <v>1</v>
      </c>
      <c r="AA173" s="1" t="str">
        <f t="shared" ca="1" si="15"/>
        <v>VENCIDO</v>
      </c>
      <c r="AB173" s="1" t="str">
        <f t="shared" si="16"/>
        <v>Dosa</v>
      </c>
      <c r="AC173" s="2" t="str">
        <f t="shared" si="20"/>
        <v xml:space="preserve"> ROSEMERE </v>
      </c>
      <c r="AD173" s="2">
        <f t="shared" si="17"/>
        <v>5</v>
      </c>
      <c r="AE173" s="2">
        <f t="shared" ca="1" si="18"/>
        <v>-518.87338969907432</v>
      </c>
      <c r="AF173" s="15"/>
    </row>
    <row r="174" spans="1:32" hidden="1">
      <c r="A174" s="1">
        <v>7973155</v>
      </c>
      <c r="B174" s="1" t="s">
        <v>62</v>
      </c>
      <c r="C174" t="s">
        <v>3574</v>
      </c>
      <c r="E174" s="2">
        <v>1836000203000</v>
      </c>
      <c r="F174" s="1" t="s">
        <v>454</v>
      </c>
      <c r="G174" s="1" t="s">
        <v>53</v>
      </c>
      <c r="H174" s="1" t="s">
        <v>455</v>
      </c>
      <c r="I174" s="1" t="s">
        <v>456</v>
      </c>
      <c r="J174" s="1" t="s">
        <v>46</v>
      </c>
      <c r="K174" t="s">
        <v>457</v>
      </c>
      <c r="M174" s="1" t="s">
        <v>58</v>
      </c>
      <c r="N174" s="1">
        <v>0</v>
      </c>
      <c r="O174" s="1" t="s">
        <v>105</v>
      </c>
      <c r="P174" s="186">
        <v>44469.974490740744</v>
      </c>
      <c r="R174" s="1" t="s">
        <v>38</v>
      </c>
      <c r="T174" s="1" t="s">
        <v>157</v>
      </c>
      <c r="U174" s="186">
        <v>44508.75</v>
      </c>
      <c r="V174" s="1" t="s">
        <v>41</v>
      </c>
      <c r="W174" s="1" t="s">
        <v>49</v>
      </c>
      <c r="X174" s="13" t="str">
        <f t="shared" si="19"/>
        <v/>
      </c>
      <c r="Y174" s="2">
        <f t="shared" ca="1" si="14"/>
        <v>370</v>
      </c>
      <c r="Z174" s="14">
        <v>1</v>
      </c>
      <c r="AA174" s="1" t="str">
        <f t="shared" ca="1" si="15"/>
        <v>VENCIDO</v>
      </c>
      <c r="AB174" s="1" t="str">
        <f t="shared" si="16"/>
        <v>C-14</v>
      </c>
      <c r="AC174" s="2" t="str">
        <f t="shared" si="20"/>
        <v xml:space="preserve"> CLEITON </v>
      </c>
      <c r="AD174" s="2">
        <f t="shared" si="17"/>
        <v>5</v>
      </c>
      <c r="AE174" s="2">
        <f t="shared" ca="1" si="18"/>
        <v>-477.9262716435187</v>
      </c>
      <c r="AF174" s="15"/>
    </row>
    <row r="175" spans="1:32" hidden="1">
      <c r="A175" s="1">
        <v>7973154</v>
      </c>
      <c r="B175" s="1" t="s">
        <v>62</v>
      </c>
      <c r="C175" t="s">
        <v>3574</v>
      </c>
      <c r="E175" s="2">
        <v>1836000203000</v>
      </c>
      <c r="F175" s="1" t="s">
        <v>454</v>
      </c>
      <c r="G175" s="1" t="s">
        <v>53</v>
      </c>
      <c r="H175" s="1" t="s">
        <v>455</v>
      </c>
      <c r="I175" s="1" t="s">
        <v>456</v>
      </c>
      <c r="J175" s="1" t="s">
        <v>46</v>
      </c>
      <c r="K175" t="s">
        <v>457</v>
      </c>
      <c r="M175" s="1" t="s">
        <v>58</v>
      </c>
      <c r="N175" s="1">
        <v>0</v>
      </c>
      <c r="O175" s="1" t="s">
        <v>105</v>
      </c>
      <c r="P175" s="186">
        <v>44469.974490740744</v>
      </c>
      <c r="R175" s="1" t="s">
        <v>38</v>
      </c>
      <c r="T175" s="1" t="s">
        <v>157</v>
      </c>
      <c r="U175" s="186">
        <v>44508.75</v>
      </c>
      <c r="V175" s="1" t="s">
        <v>41</v>
      </c>
      <c r="W175" s="1" t="s">
        <v>49</v>
      </c>
      <c r="X175" s="13" t="str">
        <f t="shared" si="19"/>
        <v/>
      </c>
      <c r="Y175" s="2">
        <f t="shared" ca="1" si="14"/>
        <v>370</v>
      </c>
      <c r="Z175" s="14">
        <v>1</v>
      </c>
      <c r="AA175" s="1" t="str">
        <f t="shared" ca="1" si="15"/>
        <v>VENCIDO</v>
      </c>
      <c r="AB175" s="1" t="str">
        <f t="shared" si="16"/>
        <v>C-14</v>
      </c>
      <c r="AC175" s="2" t="str">
        <f t="shared" si="20"/>
        <v xml:space="preserve"> CLEITON </v>
      </c>
      <c r="AD175" s="2">
        <f t="shared" si="17"/>
        <v>5</v>
      </c>
      <c r="AE175" s="2">
        <f t="shared" ca="1" si="18"/>
        <v>-477.9262716435187</v>
      </c>
      <c r="AF175" s="15"/>
    </row>
    <row r="176" spans="1:32" hidden="1">
      <c r="A176" s="1">
        <v>7973153</v>
      </c>
      <c r="B176" s="1" t="s">
        <v>62</v>
      </c>
      <c r="C176" t="s">
        <v>3574</v>
      </c>
      <c r="E176" s="2">
        <v>1836000203000</v>
      </c>
      <c r="F176" s="1" t="s">
        <v>454</v>
      </c>
      <c r="G176" s="1" t="s">
        <v>53</v>
      </c>
      <c r="H176" s="1" t="s">
        <v>455</v>
      </c>
      <c r="I176" s="1" t="s">
        <v>456</v>
      </c>
      <c r="J176" s="1" t="s">
        <v>46</v>
      </c>
      <c r="K176" t="s">
        <v>457</v>
      </c>
      <c r="M176" s="1" t="s">
        <v>58</v>
      </c>
      <c r="N176" s="1">
        <v>0</v>
      </c>
      <c r="O176" s="1" t="s">
        <v>105</v>
      </c>
      <c r="P176" s="186">
        <v>44469.974490740744</v>
      </c>
      <c r="R176" s="1" t="s">
        <v>38</v>
      </c>
      <c r="T176" s="1" t="s">
        <v>157</v>
      </c>
      <c r="U176" s="186">
        <v>44508.75</v>
      </c>
      <c r="V176" s="1" t="s">
        <v>41</v>
      </c>
      <c r="W176" s="1" t="s">
        <v>49</v>
      </c>
      <c r="X176" s="13" t="str">
        <f t="shared" si="19"/>
        <v/>
      </c>
      <c r="Y176" s="2">
        <f t="shared" ca="1" si="14"/>
        <v>370</v>
      </c>
      <c r="Z176" s="14">
        <v>1</v>
      </c>
      <c r="AA176" s="1" t="str">
        <f t="shared" ca="1" si="15"/>
        <v>VENCIDO</v>
      </c>
      <c r="AB176" s="1" t="str">
        <f t="shared" si="16"/>
        <v>C-14</v>
      </c>
      <c r="AC176" s="2" t="str">
        <f t="shared" si="20"/>
        <v xml:space="preserve"> CLEITON </v>
      </c>
      <c r="AD176" s="2">
        <f t="shared" si="17"/>
        <v>5</v>
      </c>
      <c r="AE176" s="2">
        <f t="shared" ca="1" si="18"/>
        <v>-477.9262716435187</v>
      </c>
      <c r="AF176" s="15"/>
    </row>
    <row r="177" spans="1:32" hidden="1">
      <c r="A177" s="1">
        <v>7973152</v>
      </c>
      <c r="B177" s="1" t="s">
        <v>62</v>
      </c>
      <c r="C177" t="s">
        <v>3574</v>
      </c>
      <c r="E177" s="2">
        <v>1836000203000</v>
      </c>
      <c r="F177" s="1" t="s">
        <v>454</v>
      </c>
      <c r="G177" s="1" t="s">
        <v>53</v>
      </c>
      <c r="H177" s="1" t="s">
        <v>455</v>
      </c>
      <c r="I177" s="1" t="s">
        <v>456</v>
      </c>
      <c r="J177" s="1" t="s">
        <v>46</v>
      </c>
      <c r="K177" t="s">
        <v>457</v>
      </c>
      <c r="M177" s="1" t="s">
        <v>58</v>
      </c>
      <c r="N177" s="1">
        <v>0</v>
      </c>
      <c r="O177" s="1" t="s">
        <v>105</v>
      </c>
      <c r="P177" s="186">
        <v>44469.974490740744</v>
      </c>
      <c r="R177" s="1" t="s">
        <v>38</v>
      </c>
      <c r="T177" s="1" t="s">
        <v>157</v>
      </c>
      <c r="U177" s="186">
        <v>44508.75</v>
      </c>
      <c r="V177" s="1" t="s">
        <v>41</v>
      </c>
      <c r="W177" s="1" t="s">
        <v>49</v>
      </c>
      <c r="X177" s="13" t="str">
        <f t="shared" si="19"/>
        <v/>
      </c>
      <c r="Y177" s="2">
        <f t="shared" ca="1" si="14"/>
        <v>370</v>
      </c>
      <c r="Z177" s="14">
        <v>1</v>
      </c>
      <c r="AA177" s="1" t="str">
        <f t="shared" ca="1" si="15"/>
        <v>VENCIDO</v>
      </c>
      <c r="AB177" s="1" t="str">
        <f t="shared" si="16"/>
        <v>C-14</v>
      </c>
      <c r="AC177" s="2" t="str">
        <f t="shared" si="20"/>
        <v xml:space="preserve"> CLEITON </v>
      </c>
      <c r="AD177" s="2">
        <f t="shared" si="17"/>
        <v>5</v>
      </c>
      <c r="AE177" s="2">
        <f t="shared" ca="1" si="18"/>
        <v>-477.9262716435187</v>
      </c>
      <c r="AF177" s="15"/>
    </row>
    <row r="178" spans="1:32" hidden="1">
      <c r="A178" s="1">
        <v>7973151</v>
      </c>
      <c r="B178" s="1" t="s">
        <v>62</v>
      </c>
      <c r="C178" t="s">
        <v>3574</v>
      </c>
      <c r="E178" s="2">
        <v>1836000203000</v>
      </c>
      <c r="F178" s="1" t="s">
        <v>454</v>
      </c>
      <c r="G178" s="1" t="s">
        <v>53</v>
      </c>
      <c r="H178" s="1" t="s">
        <v>455</v>
      </c>
      <c r="I178" s="1" t="s">
        <v>456</v>
      </c>
      <c r="J178" s="1" t="s">
        <v>46</v>
      </c>
      <c r="K178" t="s">
        <v>457</v>
      </c>
      <c r="M178" s="1" t="s">
        <v>58</v>
      </c>
      <c r="N178" s="1">
        <v>0</v>
      </c>
      <c r="O178" s="1" t="s">
        <v>105</v>
      </c>
      <c r="P178" s="186">
        <v>44469.974490740744</v>
      </c>
      <c r="R178" s="1" t="s">
        <v>38</v>
      </c>
      <c r="T178" s="1" t="s">
        <v>157</v>
      </c>
      <c r="U178" s="186">
        <v>44508.75</v>
      </c>
      <c r="V178" s="1" t="s">
        <v>41</v>
      </c>
      <c r="W178" s="1" t="s">
        <v>49</v>
      </c>
      <c r="X178" s="13" t="str">
        <f t="shared" si="19"/>
        <v/>
      </c>
      <c r="Y178" s="2">
        <f t="shared" ca="1" si="14"/>
        <v>370</v>
      </c>
      <c r="Z178" s="14">
        <v>1</v>
      </c>
      <c r="AA178" s="1" t="str">
        <f t="shared" ca="1" si="15"/>
        <v>VENCIDO</v>
      </c>
      <c r="AB178" s="1" t="str">
        <f t="shared" si="16"/>
        <v>C-14</v>
      </c>
      <c r="AC178" s="2" t="str">
        <f t="shared" si="20"/>
        <v xml:space="preserve"> CLEITON </v>
      </c>
      <c r="AD178" s="2">
        <f t="shared" si="17"/>
        <v>5</v>
      </c>
      <c r="AE178" s="2">
        <f t="shared" ca="1" si="18"/>
        <v>-477.9262716435187</v>
      </c>
      <c r="AF178" s="15"/>
    </row>
    <row r="179" spans="1:32" hidden="1">
      <c r="A179" s="1">
        <v>7973150</v>
      </c>
      <c r="B179" s="1" t="s">
        <v>62</v>
      </c>
      <c r="C179" t="s">
        <v>3574</v>
      </c>
      <c r="E179" s="2">
        <v>1836000203000</v>
      </c>
      <c r="F179" s="1" t="s">
        <v>454</v>
      </c>
      <c r="G179" s="1" t="s">
        <v>53</v>
      </c>
      <c r="H179" s="1" t="s">
        <v>455</v>
      </c>
      <c r="I179" s="1" t="s">
        <v>456</v>
      </c>
      <c r="J179" s="1" t="s">
        <v>46</v>
      </c>
      <c r="K179" t="s">
        <v>457</v>
      </c>
      <c r="M179" s="1" t="s">
        <v>58</v>
      </c>
      <c r="N179" s="1">
        <v>0</v>
      </c>
      <c r="O179" s="1" t="s">
        <v>105</v>
      </c>
      <c r="P179" s="186">
        <v>44469.974479166667</v>
      </c>
      <c r="R179" s="1" t="s">
        <v>38</v>
      </c>
      <c r="T179" s="1" t="s">
        <v>157</v>
      </c>
      <c r="U179" s="186">
        <v>44508.75</v>
      </c>
      <c r="V179" s="1" t="s">
        <v>41</v>
      </c>
      <c r="W179" s="1" t="s">
        <v>49</v>
      </c>
      <c r="X179" s="13" t="str">
        <f t="shared" si="19"/>
        <v/>
      </c>
      <c r="Y179" s="2">
        <f t="shared" ca="1" si="14"/>
        <v>370</v>
      </c>
      <c r="Z179" s="14">
        <v>1</v>
      </c>
      <c r="AA179" s="1" t="str">
        <f t="shared" ca="1" si="15"/>
        <v>VENCIDO</v>
      </c>
      <c r="AB179" s="1" t="str">
        <f t="shared" si="16"/>
        <v>C-14</v>
      </c>
      <c r="AC179" s="2" t="str">
        <f t="shared" si="20"/>
        <v xml:space="preserve"> CLEITON </v>
      </c>
      <c r="AD179" s="2">
        <f t="shared" si="17"/>
        <v>5</v>
      </c>
      <c r="AE179" s="2">
        <f t="shared" ca="1" si="18"/>
        <v>-477.9262716435187</v>
      </c>
      <c r="AF179" s="15"/>
    </row>
    <row r="180" spans="1:32" hidden="1">
      <c r="A180" s="1">
        <v>7973149</v>
      </c>
      <c r="B180" s="1" t="s">
        <v>62</v>
      </c>
      <c r="C180" t="s">
        <v>3574</v>
      </c>
      <c r="E180" s="2">
        <v>1836000203000</v>
      </c>
      <c r="F180" s="1" t="s">
        <v>454</v>
      </c>
      <c r="G180" s="1" t="s">
        <v>53</v>
      </c>
      <c r="H180" s="1" t="s">
        <v>455</v>
      </c>
      <c r="I180" s="1" t="s">
        <v>456</v>
      </c>
      <c r="J180" s="1" t="s">
        <v>46</v>
      </c>
      <c r="K180" t="s">
        <v>457</v>
      </c>
      <c r="M180" s="1" t="s">
        <v>58</v>
      </c>
      <c r="N180" s="1">
        <v>0</v>
      </c>
      <c r="O180" s="1" t="s">
        <v>105</v>
      </c>
      <c r="P180" s="186">
        <v>44469.974479166667</v>
      </c>
      <c r="R180" s="1" t="s">
        <v>38</v>
      </c>
      <c r="T180" s="1" t="s">
        <v>157</v>
      </c>
      <c r="U180" s="186">
        <v>44508.75</v>
      </c>
      <c r="V180" s="1" t="s">
        <v>41</v>
      </c>
      <c r="W180" s="1" t="s">
        <v>49</v>
      </c>
      <c r="X180" s="13" t="str">
        <f t="shared" si="19"/>
        <v/>
      </c>
      <c r="Y180" s="2">
        <f t="shared" ca="1" si="14"/>
        <v>370</v>
      </c>
      <c r="Z180" s="14">
        <v>1</v>
      </c>
      <c r="AA180" s="1" t="str">
        <f t="shared" ca="1" si="15"/>
        <v>VENCIDO</v>
      </c>
      <c r="AB180" s="1" t="str">
        <f t="shared" si="16"/>
        <v>C-14</v>
      </c>
      <c r="AC180" s="2" t="str">
        <f t="shared" si="20"/>
        <v xml:space="preserve"> CLEITON </v>
      </c>
      <c r="AD180" s="2">
        <f t="shared" si="17"/>
        <v>5</v>
      </c>
      <c r="AE180" s="2">
        <f t="shared" ca="1" si="18"/>
        <v>-477.9262716435187</v>
      </c>
      <c r="AF180" s="15"/>
    </row>
    <row r="181" spans="1:32" hidden="1">
      <c r="A181" s="1">
        <v>7973089</v>
      </c>
      <c r="B181" s="1" t="s">
        <v>62</v>
      </c>
      <c r="C181" t="s">
        <v>3574</v>
      </c>
      <c r="E181" s="2">
        <v>3242000203000</v>
      </c>
      <c r="F181" s="1" t="s">
        <v>454</v>
      </c>
      <c r="G181" s="1" t="s">
        <v>53</v>
      </c>
      <c r="H181" s="1" t="s">
        <v>461</v>
      </c>
      <c r="I181" s="1" t="s">
        <v>462</v>
      </c>
      <c r="J181" s="1" t="s">
        <v>46</v>
      </c>
      <c r="K181" t="s">
        <v>457</v>
      </c>
      <c r="M181" s="1" t="s">
        <v>58</v>
      </c>
      <c r="N181" s="1">
        <v>0</v>
      </c>
      <c r="O181" s="1" t="s">
        <v>105</v>
      </c>
      <c r="P181" s="186">
        <v>44469.974386574075</v>
      </c>
      <c r="R181" s="1" t="s">
        <v>38</v>
      </c>
      <c r="T181" s="1" t="s">
        <v>157</v>
      </c>
      <c r="U181" s="186">
        <v>44508.75</v>
      </c>
      <c r="V181" s="1" t="s">
        <v>41</v>
      </c>
      <c r="W181" s="1" t="s">
        <v>49</v>
      </c>
      <c r="X181" s="13" t="str">
        <f t="shared" si="19"/>
        <v/>
      </c>
      <c r="Y181" s="2">
        <f t="shared" ca="1" si="14"/>
        <v>370</v>
      </c>
      <c r="Z181" s="14">
        <v>1</v>
      </c>
      <c r="AA181" s="1" t="str">
        <f t="shared" ca="1" si="15"/>
        <v>VENCIDO</v>
      </c>
      <c r="AB181" s="1" t="str">
        <f t="shared" si="16"/>
        <v>C-14</v>
      </c>
      <c r="AC181" s="2" t="str">
        <f t="shared" si="20"/>
        <v xml:space="preserve"> CLEITON </v>
      </c>
      <c r="AD181" s="2">
        <f t="shared" si="17"/>
        <v>5</v>
      </c>
      <c r="AE181" s="2">
        <f t="shared" ca="1" si="18"/>
        <v>-477.9262716435187</v>
      </c>
      <c r="AF181" s="15"/>
    </row>
    <row r="182" spans="1:32" hidden="1">
      <c r="A182" s="1">
        <v>7973088</v>
      </c>
      <c r="B182" s="1" t="s">
        <v>62</v>
      </c>
      <c r="C182" t="s">
        <v>3574</v>
      </c>
      <c r="E182" s="2">
        <v>3242000203000</v>
      </c>
      <c r="F182" s="1" t="s">
        <v>454</v>
      </c>
      <c r="G182" s="1" t="s">
        <v>53</v>
      </c>
      <c r="H182" s="1" t="s">
        <v>461</v>
      </c>
      <c r="I182" s="1" t="s">
        <v>462</v>
      </c>
      <c r="J182" s="1" t="s">
        <v>46</v>
      </c>
      <c r="K182" t="s">
        <v>457</v>
      </c>
      <c r="M182" s="1" t="s">
        <v>58</v>
      </c>
      <c r="N182" s="1">
        <v>0</v>
      </c>
      <c r="O182" s="1" t="s">
        <v>105</v>
      </c>
      <c r="P182" s="186">
        <v>44469.974386574075</v>
      </c>
      <c r="R182" s="1" t="s">
        <v>38</v>
      </c>
      <c r="T182" s="1" t="s">
        <v>157</v>
      </c>
      <c r="U182" s="186">
        <v>44508.75</v>
      </c>
      <c r="V182" s="1" t="s">
        <v>41</v>
      </c>
      <c r="W182" s="1" t="s">
        <v>49</v>
      </c>
      <c r="X182" s="13" t="str">
        <f t="shared" si="19"/>
        <v/>
      </c>
      <c r="Y182" s="2">
        <f t="shared" ca="1" si="14"/>
        <v>370</v>
      </c>
      <c r="Z182" s="14">
        <v>1</v>
      </c>
      <c r="AA182" s="1" t="str">
        <f t="shared" ca="1" si="15"/>
        <v>VENCIDO</v>
      </c>
      <c r="AB182" s="1" t="str">
        <f t="shared" si="16"/>
        <v>C-14</v>
      </c>
      <c r="AC182" s="2" t="str">
        <f t="shared" si="20"/>
        <v xml:space="preserve"> CLEITON </v>
      </c>
      <c r="AD182" s="2">
        <f t="shared" si="17"/>
        <v>5</v>
      </c>
      <c r="AE182" s="2">
        <f t="shared" ca="1" si="18"/>
        <v>-477.9262716435187</v>
      </c>
      <c r="AF182" s="15"/>
    </row>
    <row r="183" spans="1:32" hidden="1">
      <c r="A183" s="1">
        <v>7973087</v>
      </c>
      <c r="B183" s="1" t="s">
        <v>62</v>
      </c>
      <c r="C183" t="s">
        <v>3574</v>
      </c>
      <c r="E183" s="2">
        <v>3242000203000</v>
      </c>
      <c r="F183" s="1" t="s">
        <v>454</v>
      </c>
      <c r="G183" s="1" t="s">
        <v>53</v>
      </c>
      <c r="H183" s="1" t="s">
        <v>461</v>
      </c>
      <c r="I183" s="1" t="s">
        <v>462</v>
      </c>
      <c r="J183" s="1" t="s">
        <v>46</v>
      </c>
      <c r="K183" t="s">
        <v>457</v>
      </c>
      <c r="M183" s="1" t="s">
        <v>58</v>
      </c>
      <c r="N183" s="1">
        <v>0</v>
      </c>
      <c r="O183" s="1" t="s">
        <v>105</v>
      </c>
      <c r="P183" s="186">
        <v>44469.974374999998</v>
      </c>
      <c r="R183" s="1" t="s">
        <v>38</v>
      </c>
      <c r="T183" s="1" t="s">
        <v>157</v>
      </c>
      <c r="U183" s="186">
        <v>44508.75</v>
      </c>
      <c r="V183" s="1" t="s">
        <v>41</v>
      </c>
      <c r="W183" s="1" t="s">
        <v>49</v>
      </c>
      <c r="X183" s="13" t="str">
        <f t="shared" si="19"/>
        <v/>
      </c>
      <c r="Y183" s="2">
        <f t="shared" ca="1" si="14"/>
        <v>370</v>
      </c>
      <c r="Z183" s="14">
        <v>1</v>
      </c>
      <c r="AA183" s="1" t="str">
        <f t="shared" ca="1" si="15"/>
        <v>VENCIDO</v>
      </c>
      <c r="AB183" s="1" t="str">
        <f t="shared" si="16"/>
        <v>C-14</v>
      </c>
      <c r="AC183" s="2" t="str">
        <f t="shared" si="20"/>
        <v xml:space="preserve"> CLEITON </v>
      </c>
      <c r="AD183" s="2">
        <f t="shared" si="17"/>
        <v>5</v>
      </c>
      <c r="AE183" s="2">
        <f t="shared" ca="1" si="18"/>
        <v>-477.9262716435187</v>
      </c>
      <c r="AF183" s="15"/>
    </row>
    <row r="184" spans="1:32" hidden="1">
      <c r="A184" s="1">
        <v>7973086</v>
      </c>
      <c r="B184" s="1" t="s">
        <v>62</v>
      </c>
      <c r="C184" t="s">
        <v>3574</v>
      </c>
      <c r="E184" s="2">
        <v>3242000203000</v>
      </c>
      <c r="F184" s="1" t="s">
        <v>454</v>
      </c>
      <c r="G184" s="1" t="s">
        <v>53</v>
      </c>
      <c r="H184" s="1" t="s">
        <v>461</v>
      </c>
      <c r="I184" s="1" t="s">
        <v>462</v>
      </c>
      <c r="J184" s="1" t="s">
        <v>46</v>
      </c>
      <c r="K184" t="s">
        <v>457</v>
      </c>
      <c r="M184" s="1" t="s">
        <v>58</v>
      </c>
      <c r="N184" s="1">
        <v>0</v>
      </c>
      <c r="O184" s="1" t="s">
        <v>105</v>
      </c>
      <c r="P184" s="186">
        <v>44469.974374999998</v>
      </c>
      <c r="R184" s="1" t="s">
        <v>38</v>
      </c>
      <c r="T184" s="1" t="s">
        <v>157</v>
      </c>
      <c r="U184" s="186">
        <v>44508.75</v>
      </c>
      <c r="V184" s="1" t="s">
        <v>41</v>
      </c>
      <c r="W184" s="1" t="s">
        <v>49</v>
      </c>
      <c r="X184" s="13" t="str">
        <f t="shared" si="19"/>
        <v/>
      </c>
      <c r="Y184" s="2">
        <f t="shared" ca="1" si="14"/>
        <v>370</v>
      </c>
      <c r="Z184" s="14">
        <v>1</v>
      </c>
      <c r="AA184" s="1" t="str">
        <f t="shared" ca="1" si="15"/>
        <v>VENCIDO</v>
      </c>
      <c r="AB184" s="1" t="str">
        <f t="shared" si="16"/>
        <v>C-14</v>
      </c>
      <c r="AC184" s="2" t="str">
        <f t="shared" si="20"/>
        <v xml:space="preserve"> CLEITON </v>
      </c>
      <c r="AD184" s="2">
        <f t="shared" si="17"/>
        <v>5</v>
      </c>
      <c r="AE184" s="2">
        <f t="shared" ca="1" si="18"/>
        <v>-477.9262716435187</v>
      </c>
      <c r="AF184" s="15"/>
    </row>
    <row r="185" spans="1:32" hidden="1">
      <c r="A185" s="1">
        <v>7973085</v>
      </c>
      <c r="B185" s="1" t="s">
        <v>62</v>
      </c>
      <c r="C185" t="s">
        <v>3574</v>
      </c>
      <c r="E185" s="2">
        <v>3242000203000</v>
      </c>
      <c r="F185" s="1" t="s">
        <v>454</v>
      </c>
      <c r="G185" s="1" t="s">
        <v>53</v>
      </c>
      <c r="H185" s="1" t="s">
        <v>461</v>
      </c>
      <c r="I185" s="1" t="s">
        <v>462</v>
      </c>
      <c r="J185" s="1" t="s">
        <v>46</v>
      </c>
      <c r="K185" t="s">
        <v>457</v>
      </c>
      <c r="M185" s="1" t="s">
        <v>58</v>
      </c>
      <c r="N185" s="1">
        <v>0</v>
      </c>
      <c r="O185" s="1" t="s">
        <v>105</v>
      </c>
      <c r="P185" s="186">
        <v>44469.974374999998</v>
      </c>
      <c r="R185" s="1" t="s">
        <v>38</v>
      </c>
      <c r="T185" s="1" t="s">
        <v>157</v>
      </c>
      <c r="U185" s="186">
        <v>44508.75</v>
      </c>
      <c r="V185" s="1" t="s">
        <v>41</v>
      </c>
      <c r="W185" s="1" t="s">
        <v>49</v>
      </c>
      <c r="X185" s="13" t="str">
        <f t="shared" si="19"/>
        <v/>
      </c>
      <c r="Y185" s="2">
        <f t="shared" ca="1" si="14"/>
        <v>370</v>
      </c>
      <c r="Z185" s="14">
        <v>1</v>
      </c>
      <c r="AA185" s="1" t="str">
        <f t="shared" ca="1" si="15"/>
        <v>VENCIDO</v>
      </c>
      <c r="AB185" s="1" t="str">
        <f t="shared" si="16"/>
        <v>C-14</v>
      </c>
      <c r="AC185" s="2" t="str">
        <f t="shared" si="20"/>
        <v xml:space="preserve"> CLEITON </v>
      </c>
      <c r="AD185" s="2">
        <f t="shared" si="17"/>
        <v>5</v>
      </c>
      <c r="AE185" s="2">
        <f t="shared" ca="1" si="18"/>
        <v>-477.9262716435187</v>
      </c>
      <c r="AF185" s="15"/>
    </row>
    <row r="186" spans="1:32" hidden="1">
      <c r="A186" s="1">
        <v>7970313</v>
      </c>
      <c r="B186" s="1" t="s">
        <v>62</v>
      </c>
      <c r="C186" t="s">
        <v>3574</v>
      </c>
      <c r="E186" s="2">
        <v>1833000203000</v>
      </c>
      <c r="F186" s="1" t="s">
        <v>454</v>
      </c>
      <c r="G186" s="1" t="s">
        <v>53</v>
      </c>
      <c r="H186" s="1" t="s">
        <v>369</v>
      </c>
      <c r="I186" s="1" t="s">
        <v>370</v>
      </c>
      <c r="J186" s="1" t="s">
        <v>46</v>
      </c>
      <c r="K186" t="s">
        <v>457</v>
      </c>
      <c r="M186" s="1" t="s">
        <v>58</v>
      </c>
      <c r="N186" s="1">
        <v>0</v>
      </c>
      <c r="O186" s="1" t="s">
        <v>105</v>
      </c>
      <c r="P186" s="186">
        <v>44469.857291666667</v>
      </c>
      <c r="R186" s="1" t="s">
        <v>38</v>
      </c>
      <c r="T186" s="1" t="s">
        <v>157</v>
      </c>
      <c r="U186" s="186">
        <v>44508.75</v>
      </c>
      <c r="V186" s="1" t="s">
        <v>41</v>
      </c>
      <c r="W186" s="1" t="s">
        <v>49</v>
      </c>
      <c r="X186" s="13" t="str">
        <f t="shared" si="19"/>
        <v/>
      </c>
      <c r="Y186" s="2">
        <f t="shared" ca="1" si="14"/>
        <v>370</v>
      </c>
      <c r="Z186" s="14">
        <v>1</v>
      </c>
      <c r="AA186" s="1" t="str">
        <f t="shared" ca="1" si="15"/>
        <v>VENCIDO</v>
      </c>
      <c r="AB186" s="1" t="str">
        <f t="shared" si="16"/>
        <v>C-14</v>
      </c>
      <c r="AC186" s="2" t="str">
        <f t="shared" si="20"/>
        <v xml:space="preserve"> CLEITON </v>
      </c>
      <c r="AD186" s="2">
        <f t="shared" si="17"/>
        <v>5</v>
      </c>
      <c r="AE186" s="2">
        <f t="shared" ca="1" si="18"/>
        <v>-477.9262716435187</v>
      </c>
      <c r="AF186" s="15"/>
    </row>
    <row r="187" spans="1:32" hidden="1">
      <c r="A187" s="1">
        <v>7970312</v>
      </c>
      <c r="B187" s="1" t="s">
        <v>62</v>
      </c>
      <c r="C187" t="s">
        <v>3574</v>
      </c>
      <c r="E187" s="2">
        <v>1833000203000</v>
      </c>
      <c r="F187" s="1" t="s">
        <v>454</v>
      </c>
      <c r="G187" s="1" t="s">
        <v>53</v>
      </c>
      <c r="H187" s="1" t="s">
        <v>369</v>
      </c>
      <c r="I187" s="1" t="s">
        <v>370</v>
      </c>
      <c r="J187" s="1" t="s">
        <v>46</v>
      </c>
      <c r="K187" t="s">
        <v>457</v>
      </c>
      <c r="M187" s="1" t="s">
        <v>58</v>
      </c>
      <c r="N187" s="1">
        <v>0</v>
      </c>
      <c r="O187" s="1" t="s">
        <v>105</v>
      </c>
      <c r="P187" s="186">
        <v>44469.857291666667</v>
      </c>
      <c r="R187" s="1" t="s">
        <v>38</v>
      </c>
      <c r="T187" s="1" t="s">
        <v>157</v>
      </c>
      <c r="U187" s="186">
        <v>44508.75</v>
      </c>
      <c r="V187" s="1" t="s">
        <v>41</v>
      </c>
      <c r="W187" s="1" t="s">
        <v>49</v>
      </c>
      <c r="X187" s="13" t="str">
        <f t="shared" si="19"/>
        <v/>
      </c>
      <c r="Y187" s="2">
        <f t="shared" ca="1" si="14"/>
        <v>370</v>
      </c>
      <c r="Z187" s="14">
        <v>1</v>
      </c>
      <c r="AA187" s="1" t="str">
        <f t="shared" ca="1" si="15"/>
        <v>VENCIDO</v>
      </c>
      <c r="AB187" s="1" t="str">
        <f t="shared" si="16"/>
        <v>C-14</v>
      </c>
      <c r="AC187" s="2" t="str">
        <f t="shared" si="20"/>
        <v xml:space="preserve"> CLEITON </v>
      </c>
      <c r="AD187" s="2">
        <f t="shared" si="17"/>
        <v>5</v>
      </c>
      <c r="AE187" s="2">
        <f t="shared" ca="1" si="18"/>
        <v>-477.9262716435187</v>
      </c>
      <c r="AF187" s="15"/>
    </row>
    <row r="188" spans="1:32" hidden="1">
      <c r="A188" s="1">
        <v>7970311</v>
      </c>
      <c r="B188" s="1" t="s">
        <v>62</v>
      </c>
      <c r="C188" t="s">
        <v>3574</v>
      </c>
      <c r="E188" s="2">
        <v>1833000203000</v>
      </c>
      <c r="F188" s="1" t="s">
        <v>454</v>
      </c>
      <c r="G188" s="1" t="s">
        <v>53</v>
      </c>
      <c r="H188" s="1" t="s">
        <v>369</v>
      </c>
      <c r="I188" s="1" t="s">
        <v>370</v>
      </c>
      <c r="J188" s="1" t="s">
        <v>46</v>
      </c>
      <c r="K188" t="s">
        <v>457</v>
      </c>
      <c r="M188" s="1" t="s">
        <v>58</v>
      </c>
      <c r="N188" s="1">
        <v>0</v>
      </c>
      <c r="O188" s="1" t="s">
        <v>105</v>
      </c>
      <c r="P188" s="186">
        <v>44469.857291666667</v>
      </c>
      <c r="R188" s="1" t="s">
        <v>38</v>
      </c>
      <c r="T188" s="1" t="s">
        <v>157</v>
      </c>
      <c r="U188" s="186">
        <v>44508.75</v>
      </c>
      <c r="V188" s="1" t="s">
        <v>41</v>
      </c>
      <c r="W188" s="1" t="s">
        <v>49</v>
      </c>
      <c r="X188" s="13" t="str">
        <f t="shared" si="19"/>
        <v/>
      </c>
      <c r="Y188" s="2">
        <f t="shared" ca="1" si="14"/>
        <v>370</v>
      </c>
      <c r="Z188" s="14">
        <v>1</v>
      </c>
      <c r="AA188" s="1" t="str">
        <f t="shared" ca="1" si="15"/>
        <v>VENCIDO</v>
      </c>
      <c r="AB188" s="1" t="str">
        <f t="shared" si="16"/>
        <v>C-14</v>
      </c>
      <c r="AC188" s="2" t="str">
        <f t="shared" si="20"/>
        <v xml:space="preserve"> CLEITON </v>
      </c>
      <c r="AD188" s="2">
        <f t="shared" si="17"/>
        <v>5</v>
      </c>
      <c r="AE188" s="2">
        <f t="shared" ca="1" si="18"/>
        <v>-477.9262716435187</v>
      </c>
      <c r="AF188" s="15"/>
    </row>
    <row r="189" spans="1:32" hidden="1">
      <c r="A189" s="1">
        <v>7970310</v>
      </c>
      <c r="B189" s="1" t="s">
        <v>62</v>
      </c>
      <c r="C189" t="s">
        <v>3574</v>
      </c>
      <c r="E189" s="2">
        <v>1833000203000</v>
      </c>
      <c r="F189" s="1" t="s">
        <v>454</v>
      </c>
      <c r="G189" s="1" t="s">
        <v>53</v>
      </c>
      <c r="H189" s="1" t="s">
        <v>369</v>
      </c>
      <c r="I189" s="1" t="s">
        <v>370</v>
      </c>
      <c r="J189" s="1" t="s">
        <v>46</v>
      </c>
      <c r="K189" t="s">
        <v>457</v>
      </c>
      <c r="M189" s="1" t="s">
        <v>58</v>
      </c>
      <c r="N189" s="1">
        <v>0</v>
      </c>
      <c r="O189" s="1" t="s">
        <v>105</v>
      </c>
      <c r="P189" s="186">
        <v>44469.857291666667</v>
      </c>
      <c r="R189" s="1" t="s">
        <v>38</v>
      </c>
      <c r="T189" s="1" t="s">
        <v>157</v>
      </c>
      <c r="U189" s="186">
        <v>44508.75</v>
      </c>
      <c r="V189" s="1" t="s">
        <v>41</v>
      </c>
      <c r="W189" s="1" t="s">
        <v>49</v>
      </c>
      <c r="X189" s="13" t="str">
        <f t="shared" si="19"/>
        <v/>
      </c>
      <c r="Y189" s="2">
        <f t="shared" ca="1" si="14"/>
        <v>370</v>
      </c>
      <c r="Z189" s="14">
        <v>1</v>
      </c>
      <c r="AA189" s="1" t="str">
        <f t="shared" ca="1" si="15"/>
        <v>VENCIDO</v>
      </c>
      <c r="AB189" s="1" t="str">
        <f t="shared" si="16"/>
        <v>C-14</v>
      </c>
      <c r="AC189" s="2" t="str">
        <f t="shared" si="20"/>
        <v xml:space="preserve"> CLEITON </v>
      </c>
      <c r="AD189" s="2">
        <f t="shared" si="17"/>
        <v>5</v>
      </c>
      <c r="AE189" s="2">
        <f t="shared" ca="1" si="18"/>
        <v>-477.9262716435187</v>
      </c>
      <c r="AF189" s="15"/>
    </row>
    <row r="190" spans="1:32" hidden="1">
      <c r="A190" s="1">
        <v>7970309</v>
      </c>
      <c r="B190" s="1" t="s">
        <v>62</v>
      </c>
      <c r="C190" t="s">
        <v>3574</v>
      </c>
      <c r="E190" s="2">
        <v>1833000203000</v>
      </c>
      <c r="F190" s="1" t="s">
        <v>454</v>
      </c>
      <c r="G190" s="1" t="s">
        <v>53</v>
      </c>
      <c r="H190" s="1" t="s">
        <v>369</v>
      </c>
      <c r="I190" s="1" t="s">
        <v>370</v>
      </c>
      <c r="J190" s="1" t="s">
        <v>46</v>
      </c>
      <c r="K190" t="s">
        <v>457</v>
      </c>
      <c r="M190" s="1" t="s">
        <v>58</v>
      </c>
      <c r="N190" s="1">
        <v>0</v>
      </c>
      <c r="O190" s="1" t="s">
        <v>105</v>
      </c>
      <c r="P190" s="186">
        <v>44469.85728009259</v>
      </c>
      <c r="R190" s="1" t="s">
        <v>38</v>
      </c>
      <c r="T190" s="1" t="s">
        <v>157</v>
      </c>
      <c r="U190" s="186">
        <v>44508.75</v>
      </c>
      <c r="V190" s="1" t="s">
        <v>41</v>
      </c>
      <c r="W190" s="1" t="s">
        <v>49</v>
      </c>
      <c r="X190" s="13" t="str">
        <f t="shared" si="19"/>
        <v/>
      </c>
      <c r="Y190" s="2">
        <f t="shared" ca="1" si="14"/>
        <v>370</v>
      </c>
      <c r="Z190" s="14">
        <v>1</v>
      </c>
      <c r="AA190" s="1" t="str">
        <f t="shared" ca="1" si="15"/>
        <v>VENCIDO</v>
      </c>
      <c r="AB190" s="1" t="str">
        <f t="shared" si="16"/>
        <v>C-14</v>
      </c>
      <c r="AC190" s="2" t="str">
        <f t="shared" si="20"/>
        <v xml:space="preserve"> CLEITON </v>
      </c>
      <c r="AD190" s="2">
        <f t="shared" si="17"/>
        <v>5</v>
      </c>
      <c r="AE190" s="2">
        <f t="shared" ca="1" si="18"/>
        <v>-477.9262716435187</v>
      </c>
      <c r="AF190" s="15"/>
    </row>
    <row r="191" spans="1:32" hidden="1">
      <c r="A191" s="1">
        <v>7970308</v>
      </c>
      <c r="B191" s="1" t="s">
        <v>62</v>
      </c>
      <c r="C191" t="s">
        <v>3574</v>
      </c>
      <c r="E191" s="2">
        <v>1833000203000</v>
      </c>
      <c r="F191" s="1" t="s">
        <v>454</v>
      </c>
      <c r="G191" s="1" t="s">
        <v>53</v>
      </c>
      <c r="H191" s="1" t="s">
        <v>369</v>
      </c>
      <c r="I191" s="1" t="s">
        <v>370</v>
      </c>
      <c r="J191" s="1" t="s">
        <v>46</v>
      </c>
      <c r="K191" t="s">
        <v>457</v>
      </c>
      <c r="M191" s="1" t="s">
        <v>58</v>
      </c>
      <c r="N191" s="1">
        <v>0</v>
      </c>
      <c r="O191" s="1" t="s">
        <v>105</v>
      </c>
      <c r="P191" s="186">
        <v>44469.85728009259</v>
      </c>
      <c r="R191" s="1" t="s">
        <v>38</v>
      </c>
      <c r="T191" s="1" t="s">
        <v>157</v>
      </c>
      <c r="U191" s="186">
        <v>44508.75</v>
      </c>
      <c r="V191" s="1" t="s">
        <v>41</v>
      </c>
      <c r="W191" s="1" t="s">
        <v>49</v>
      </c>
      <c r="X191" s="13" t="str">
        <f t="shared" si="19"/>
        <v/>
      </c>
      <c r="Y191" s="2">
        <f t="shared" ca="1" si="14"/>
        <v>370</v>
      </c>
      <c r="Z191" s="14">
        <v>1</v>
      </c>
      <c r="AA191" s="1" t="str">
        <f t="shared" ca="1" si="15"/>
        <v>VENCIDO</v>
      </c>
      <c r="AB191" s="1" t="str">
        <f t="shared" si="16"/>
        <v>C-14</v>
      </c>
      <c r="AC191" s="2" t="str">
        <f t="shared" si="20"/>
        <v xml:space="preserve"> CLEITON </v>
      </c>
      <c r="AD191" s="2">
        <f t="shared" si="17"/>
        <v>5</v>
      </c>
      <c r="AE191" s="2">
        <f t="shared" ca="1" si="18"/>
        <v>-477.9262716435187</v>
      </c>
      <c r="AF191" s="15"/>
    </row>
    <row r="192" spans="1:32" hidden="1">
      <c r="A192" s="1">
        <v>7970307</v>
      </c>
      <c r="B192" s="1" t="s">
        <v>62</v>
      </c>
      <c r="C192" t="s">
        <v>3574</v>
      </c>
      <c r="E192" s="2">
        <v>1833000203000</v>
      </c>
      <c r="F192" s="1" t="s">
        <v>454</v>
      </c>
      <c r="G192" s="1" t="s">
        <v>53</v>
      </c>
      <c r="H192" s="1" t="s">
        <v>369</v>
      </c>
      <c r="I192" s="1" t="s">
        <v>370</v>
      </c>
      <c r="J192" s="1" t="s">
        <v>46</v>
      </c>
      <c r="K192" t="s">
        <v>457</v>
      </c>
      <c r="M192" s="1" t="s">
        <v>58</v>
      </c>
      <c r="N192" s="1">
        <v>0</v>
      </c>
      <c r="O192" s="1" t="s">
        <v>105</v>
      </c>
      <c r="P192" s="186">
        <v>44469.85728009259</v>
      </c>
      <c r="R192" s="1" t="s">
        <v>38</v>
      </c>
      <c r="T192" s="1" t="s">
        <v>157</v>
      </c>
      <c r="U192" s="186">
        <v>44508.75</v>
      </c>
      <c r="V192" s="1" t="s">
        <v>41</v>
      </c>
      <c r="W192" s="1" t="s">
        <v>49</v>
      </c>
      <c r="X192" s="13" t="str">
        <f t="shared" si="19"/>
        <v/>
      </c>
      <c r="Y192" s="2">
        <f t="shared" ca="1" si="14"/>
        <v>370</v>
      </c>
      <c r="Z192" s="14">
        <v>1</v>
      </c>
      <c r="AA192" s="1" t="str">
        <f t="shared" ca="1" si="15"/>
        <v>VENCIDO</v>
      </c>
      <c r="AB192" s="1" t="str">
        <f t="shared" si="16"/>
        <v>C-14</v>
      </c>
      <c r="AC192" s="2" t="str">
        <f t="shared" si="20"/>
        <v xml:space="preserve"> CLEITON </v>
      </c>
      <c r="AD192" s="2">
        <f t="shared" si="17"/>
        <v>5</v>
      </c>
      <c r="AE192" s="2">
        <f t="shared" ca="1" si="18"/>
        <v>-477.9262716435187</v>
      </c>
      <c r="AF192" s="15"/>
    </row>
    <row r="193" spans="1:32" hidden="1">
      <c r="A193" s="1">
        <v>7970306</v>
      </c>
      <c r="B193" s="1" t="s">
        <v>62</v>
      </c>
      <c r="C193" t="s">
        <v>3574</v>
      </c>
      <c r="E193" s="2">
        <v>1833000203000</v>
      </c>
      <c r="F193" s="1" t="s">
        <v>454</v>
      </c>
      <c r="G193" s="1" t="s">
        <v>53</v>
      </c>
      <c r="H193" s="1" t="s">
        <v>369</v>
      </c>
      <c r="I193" s="1" t="s">
        <v>370</v>
      </c>
      <c r="J193" s="1" t="s">
        <v>46</v>
      </c>
      <c r="K193" t="s">
        <v>457</v>
      </c>
      <c r="M193" s="1" t="s">
        <v>58</v>
      </c>
      <c r="N193" s="1">
        <v>0</v>
      </c>
      <c r="O193" s="1" t="s">
        <v>105</v>
      </c>
      <c r="P193" s="186">
        <v>44469.85728009259</v>
      </c>
      <c r="R193" s="1" t="s">
        <v>38</v>
      </c>
      <c r="T193" s="1" t="s">
        <v>157</v>
      </c>
      <c r="U193" s="186">
        <v>44508.75</v>
      </c>
      <c r="V193" s="1" t="s">
        <v>41</v>
      </c>
      <c r="W193" s="1" t="s">
        <v>49</v>
      </c>
      <c r="X193" s="13" t="str">
        <f t="shared" si="19"/>
        <v/>
      </c>
      <c r="Y193" s="2">
        <f t="shared" ca="1" si="14"/>
        <v>370</v>
      </c>
      <c r="Z193" s="14">
        <v>1</v>
      </c>
      <c r="AA193" s="1" t="str">
        <f t="shared" ca="1" si="15"/>
        <v>VENCIDO</v>
      </c>
      <c r="AB193" s="1" t="str">
        <f t="shared" si="16"/>
        <v>C-14</v>
      </c>
      <c r="AC193" s="2" t="str">
        <f t="shared" si="20"/>
        <v xml:space="preserve"> CLEITON </v>
      </c>
      <c r="AD193" s="2">
        <f t="shared" si="17"/>
        <v>5</v>
      </c>
      <c r="AE193" s="2">
        <f t="shared" ca="1" si="18"/>
        <v>-477.9262716435187</v>
      </c>
      <c r="AF193" s="15"/>
    </row>
    <row r="194" spans="1:32" hidden="1">
      <c r="A194" s="1">
        <v>7970305</v>
      </c>
      <c r="B194" s="1" t="s">
        <v>62</v>
      </c>
      <c r="C194" t="s">
        <v>3574</v>
      </c>
      <c r="E194" s="2">
        <v>1833000203000</v>
      </c>
      <c r="F194" s="1" t="s">
        <v>454</v>
      </c>
      <c r="G194" s="1" t="s">
        <v>53</v>
      </c>
      <c r="H194" s="1" t="s">
        <v>369</v>
      </c>
      <c r="I194" s="1" t="s">
        <v>370</v>
      </c>
      <c r="J194" s="1" t="s">
        <v>46</v>
      </c>
      <c r="K194" t="s">
        <v>457</v>
      </c>
      <c r="M194" s="1" t="s">
        <v>58</v>
      </c>
      <c r="N194" s="1">
        <v>0</v>
      </c>
      <c r="O194" s="1" t="s">
        <v>105</v>
      </c>
      <c r="P194" s="186">
        <v>44469.85728009259</v>
      </c>
      <c r="R194" s="1" t="s">
        <v>38</v>
      </c>
      <c r="T194" s="1" t="s">
        <v>157</v>
      </c>
      <c r="U194" s="186">
        <v>44508.75</v>
      </c>
      <c r="V194" s="1" t="s">
        <v>41</v>
      </c>
      <c r="W194" s="1" t="s">
        <v>49</v>
      </c>
      <c r="X194" s="13" t="str">
        <f t="shared" si="19"/>
        <v/>
      </c>
      <c r="Y194" s="2">
        <f t="shared" ref="Y194:Y257" ca="1" si="21">NETWORKDAYS(P194,$Y$1)</f>
        <v>370</v>
      </c>
      <c r="Z194" s="14">
        <v>1</v>
      </c>
      <c r="AA194" s="1" t="str">
        <f t="shared" ref="AA194:AA257" ca="1" si="22">IF(AE194=0,"HOJE",IF(AE194&gt;0,"A VENCER",IF(AE194&lt;0,"VENCIDO")))</f>
        <v>VENCIDO</v>
      </c>
      <c r="AB194" s="1" t="str">
        <f t="shared" ref="AB194:AB257" si="23">IF(F194="GRPE-000001","C-14",IF(F194="GRPE-000002","C-14",IF(F194="GRPE-000003","C-14",IF(F194="GRPE-000004","SL-On",IF(F194="GRPE-000038","C-14",IF(F194="GRPE-900022","Dosa",IF(F194="GRPE-000029","Dosa",IF(F194="ATOS-000222","Dose","TAAe+"))))))))</f>
        <v>C-14</v>
      </c>
      <c r="AC194" s="2" t="str">
        <f t="shared" si="20"/>
        <v xml:space="preserve"> CLEITON </v>
      </c>
      <c r="AD194" s="2">
        <f t="shared" ref="AD194:AD257" si="24">IF(F194="GRPE-000001",5,IF(F194="GRPE-000002",5,IF(F194="GRPE-000003",15,IF(F194="GRPE-000004",1,IF(F194="GRPE-000038",5,IF(F194="GRPE-900022",5,IF(F194="GRPE-000029",5,IF(F194="ATOS-000222",5,8))))))))</f>
        <v>5</v>
      </c>
      <c r="AE194" s="2">
        <f t="shared" ref="AE194:AE257" ca="1" si="25">IF(U194=$AE$1,"",U194-$AE$1)</f>
        <v>-477.9262716435187</v>
      </c>
      <c r="AF194" s="15"/>
    </row>
    <row r="195" spans="1:32" hidden="1">
      <c r="A195" s="1">
        <v>7970304</v>
      </c>
      <c r="B195" s="1" t="s">
        <v>62</v>
      </c>
      <c r="C195" t="s">
        <v>3574</v>
      </c>
      <c r="E195" s="2">
        <v>1833000203000</v>
      </c>
      <c r="F195" s="1" t="s">
        <v>454</v>
      </c>
      <c r="G195" s="1" t="s">
        <v>53</v>
      </c>
      <c r="H195" s="1" t="s">
        <v>369</v>
      </c>
      <c r="I195" s="1" t="s">
        <v>370</v>
      </c>
      <c r="J195" s="1" t="s">
        <v>46</v>
      </c>
      <c r="K195" t="s">
        <v>457</v>
      </c>
      <c r="M195" s="1" t="s">
        <v>58</v>
      </c>
      <c r="N195" s="1">
        <v>0</v>
      </c>
      <c r="O195" s="1" t="s">
        <v>105</v>
      </c>
      <c r="P195" s="186">
        <v>44469.85728009259</v>
      </c>
      <c r="R195" s="1" t="s">
        <v>38</v>
      </c>
      <c r="T195" s="1" t="s">
        <v>157</v>
      </c>
      <c r="U195" s="186">
        <v>44508.75</v>
      </c>
      <c r="V195" s="1" t="s">
        <v>41</v>
      </c>
      <c r="W195" s="1" t="s">
        <v>49</v>
      </c>
      <c r="X195" s="13" t="str">
        <f t="shared" ref="X195:X258" si="26">IF(RIGHT(H195,2)&lt;&gt;"00",H195,"")</f>
        <v/>
      </c>
      <c r="Y195" s="2">
        <f t="shared" ca="1" si="21"/>
        <v>370</v>
      </c>
      <c r="Z195" s="14">
        <v>1</v>
      </c>
      <c r="AA195" s="1" t="str">
        <f t="shared" ca="1" si="22"/>
        <v>VENCIDO</v>
      </c>
      <c r="AB195" s="1" t="str">
        <f t="shared" si="23"/>
        <v>C-14</v>
      </c>
      <c r="AC195" s="2" t="str">
        <f t="shared" ref="AC195:AC258" si="27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 xml:space="preserve"> CLEITON </v>
      </c>
      <c r="AD195" s="2">
        <f t="shared" si="24"/>
        <v>5</v>
      </c>
      <c r="AE195" s="2">
        <f t="shared" ca="1" si="25"/>
        <v>-477.9262716435187</v>
      </c>
      <c r="AF195" s="15"/>
    </row>
    <row r="196" spans="1:32" hidden="1">
      <c r="A196" s="1">
        <v>7970303</v>
      </c>
      <c r="B196" s="1" t="s">
        <v>62</v>
      </c>
      <c r="C196" t="s">
        <v>3574</v>
      </c>
      <c r="E196" s="2">
        <v>1833000203000</v>
      </c>
      <c r="F196" s="1" t="s">
        <v>454</v>
      </c>
      <c r="G196" s="1" t="s">
        <v>53</v>
      </c>
      <c r="H196" s="1" t="s">
        <v>369</v>
      </c>
      <c r="I196" s="1" t="s">
        <v>370</v>
      </c>
      <c r="J196" s="1" t="s">
        <v>46</v>
      </c>
      <c r="K196" t="s">
        <v>457</v>
      </c>
      <c r="M196" s="1" t="s">
        <v>58</v>
      </c>
      <c r="N196" s="1">
        <v>0</v>
      </c>
      <c r="O196" s="1" t="s">
        <v>105</v>
      </c>
      <c r="P196" s="186">
        <v>44469.85728009259</v>
      </c>
      <c r="R196" s="1" t="s">
        <v>38</v>
      </c>
      <c r="T196" s="1" t="s">
        <v>157</v>
      </c>
      <c r="U196" s="186">
        <v>44508.75</v>
      </c>
      <c r="V196" s="1" t="s">
        <v>41</v>
      </c>
      <c r="W196" s="1" t="s">
        <v>49</v>
      </c>
      <c r="X196" s="13" t="str">
        <f t="shared" si="26"/>
        <v/>
      </c>
      <c r="Y196" s="2">
        <f t="shared" ca="1" si="21"/>
        <v>370</v>
      </c>
      <c r="Z196" s="14">
        <v>1</v>
      </c>
      <c r="AA196" s="1" t="str">
        <f t="shared" ca="1" si="22"/>
        <v>VENCIDO</v>
      </c>
      <c r="AB196" s="1" t="str">
        <f t="shared" si="23"/>
        <v>C-14</v>
      </c>
      <c r="AC196" s="2" t="str">
        <f t="shared" si="27"/>
        <v xml:space="preserve"> CLEITON </v>
      </c>
      <c r="AD196" s="2">
        <f t="shared" si="24"/>
        <v>5</v>
      </c>
      <c r="AE196" s="2">
        <f t="shared" ca="1" si="25"/>
        <v>-477.9262716435187</v>
      </c>
      <c r="AF196" s="15"/>
    </row>
    <row r="197" spans="1:32" hidden="1">
      <c r="A197" s="1">
        <v>7970302</v>
      </c>
      <c r="B197" s="1" t="s">
        <v>62</v>
      </c>
      <c r="C197" t="s">
        <v>3574</v>
      </c>
      <c r="E197" s="2">
        <v>1833000203000</v>
      </c>
      <c r="F197" s="1" t="s">
        <v>454</v>
      </c>
      <c r="G197" s="1" t="s">
        <v>53</v>
      </c>
      <c r="H197" s="1" t="s">
        <v>369</v>
      </c>
      <c r="I197" s="1" t="s">
        <v>370</v>
      </c>
      <c r="J197" s="1" t="s">
        <v>46</v>
      </c>
      <c r="K197" t="s">
        <v>457</v>
      </c>
      <c r="M197" s="1" t="s">
        <v>58</v>
      </c>
      <c r="N197" s="1">
        <v>0</v>
      </c>
      <c r="O197" s="1" t="s">
        <v>105</v>
      </c>
      <c r="P197" s="186">
        <v>44469.85728009259</v>
      </c>
      <c r="R197" s="1" t="s">
        <v>38</v>
      </c>
      <c r="T197" s="1" t="s">
        <v>157</v>
      </c>
      <c r="U197" s="186">
        <v>44508.75</v>
      </c>
      <c r="V197" s="1" t="s">
        <v>41</v>
      </c>
      <c r="W197" s="1" t="s">
        <v>49</v>
      </c>
      <c r="X197" s="13" t="str">
        <f t="shared" si="26"/>
        <v/>
      </c>
      <c r="Y197" s="2">
        <f t="shared" ca="1" si="21"/>
        <v>370</v>
      </c>
      <c r="Z197" s="14">
        <v>1</v>
      </c>
      <c r="AA197" s="1" t="str">
        <f t="shared" ca="1" si="22"/>
        <v>VENCIDO</v>
      </c>
      <c r="AB197" s="1" t="str">
        <f t="shared" si="23"/>
        <v>C-14</v>
      </c>
      <c r="AC197" s="2" t="str">
        <f t="shared" si="27"/>
        <v xml:space="preserve"> CLEITON </v>
      </c>
      <c r="AD197" s="2">
        <f t="shared" si="24"/>
        <v>5</v>
      </c>
      <c r="AE197" s="2">
        <f t="shared" ca="1" si="25"/>
        <v>-477.9262716435187</v>
      </c>
      <c r="AF197" s="15"/>
    </row>
    <row r="198" spans="1:32" hidden="1">
      <c r="A198" s="1">
        <v>7970301</v>
      </c>
      <c r="B198" s="1" t="s">
        <v>62</v>
      </c>
      <c r="C198" t="s">
        <v>3574</v>
      </c>
      <c r="E198" s="2">
        <v>1833000203000</v>
      </c>
      <c r="F198" s="1" t="s">
        <v>454</v>
      </c>
      <c r="G198" s="1" t="s">
        <v>53</v>
      </c>
      <c r="H198" s="1" t="s">
        <v>369</v>
      </c>
      <c r="I198" s="1" t="s">
        <v>370</v>
      </c>
      <c r="J198" s="1" t="s">
        <v>46</v>
      </c>
      <c r="K198" t="s">
        <v>457</v>
      </c>
      <c r="M198" s="1" t="s">
        <v>58</v>
      </c>
      <c r="N198" s="1">
        <v>0</v>
      </c>
      <c r="O198" s="1" t="s">
        <v>105</v>
      </c>
      <c r="P198" s="186">
        <v>44469.857268518521</v>
      </c>
      <c r="R198" s="1" t="s">
        <v>38</v>
      </c>
      <c r="T198" s="1" t="s">
        <v>157</v>
      </c>
      <c r="U198" s="186">
        <v>44508.75</v>
      </c>
      <c r="V198" s="1" t="s">
        <v>41</v>
      </c>
      <c r="W198" s="1" t="s">
        <v>49</v>
      </c>
      <c r="X198" s="13" t="str">
        <f t="shared" si="26"/>
        <v/>
      </c>
      <c r="Y198" s="2">
        <f t="shared" ca="1" si="21"/>
        <v>370</v>
      </c>
      <c r="Z198" s="14">
        <v>1</v>
      </c>
      <c r="AA198" s="1" t="str">
        <f t="shared" ca="1" si="22"/>
        <v>VENCIDO</v>
      </c>
      <c r="AB198" s="1" t="str">
        <f t="shared" si="23"/>
        <v>C-14</v>
      </c>
      <c r="AC198" s="2" t="str">
        <f t="shared" si="27"/>
        <v xml:space="preserve"> CLEITON </v>
      </c>
      <c r="AD198" s="2">
        <f t="shared" si="24"/>
        <v>5</v>
      </c>
      <c r="AE198" s="2">
        <f t="shared" ca="1" si="25"/>
        <v>-477.9262716435187</v>
      </c>
      <c r="AF198" s="15"/>
    </row>
    <row r="199" spans="1:32" hidden="1">
      <c r="A199" s="1">
        <v>7970300</v>
      </c>
      <c r="B199" s="1" t="s">
        <v>62</v>
      </c>
      <c r="C199" t="s">
        <v>3574</v>
      </c>
      <c r="E199" s="2">
        <v>1833000203000</v>
      </c>
      <c r="F199" s="1" t="s">
        <v>454</v>
      </c>
      <c r="G199" s="1" t="s">
        <v>53</v>
      </c>
      <c r="H199" s="1" t="s">
        <v>369</v>
      </c>
      <c r="I199" s="1" t="s">
        <v>370</v>
      </c>
      <c r="J199" s="1" t="s">
        <v>46</v>
      </c>
      <c r="K199" t="s">
        <v>457</v>
      </c>
      <c r="M199" s="1" t="s">
        <v>58</v>
      </c>
      <c r="N199" s="1">
        <v>0</v>
      </c>
      <c r="O199" s="1" t="s">
        <v>105</v>
      </c>
      <c r="P199" s="186">
        <v>44469.857268518521</v>
      </c>
      <c r="R199" s="1" t="s">
        <v>38</v>
      </c>
      <c r="T199" s="1" t="s">
        <v>157</v>
      </c>
      <c r="U199" s="186">
        <v>44508.75</v>
      </c>
      <c r="V199" s="1" t="s">
        <v>41</v>
      </c>
      <c r="W199" s="1" t="s">
        <v>49</v>
      </c>
      <c r="X199" s="13" t="str">
        <f t="shared" si="26"/>
        <v/>
      </c>
      <c r="Y199" s="2">
        <f t="shared" ca="1" si="21"/>
        <v>370</v>
      </c>
      <c r="Z199" s="14">
        <v>1</v>
      </c>
      <c r="AA199" s="1" t="str">
        <f t="shared" ca="1" si="22"/>
        <v>VENCIDO</v>
      </c>
      <c r="AB199" s="1" t="str">
        <f t="shared" si="23"/>
        <v>C-14</v>
      </c>
      <c r="AC199" s="2" t="str">
        <f t="shared" si="27"/>
        <v xml:space="preserve"> CLEITON </v>
      </c>
      <c r="AD199" s="2">
        <f t="shared" si="24"/>
        <v>5</v>
      </c>
      <c r="AE199" s="2">
        <f t="shared" ca="1" si="25"/>
        <v>-477.9262716435187</v>
      </c>
      <c r="AF199" s="15"/>
    </row>
    <row r="200" spans="1:32" hidden="1">
      <c r="A200" s="1">
        <v>7970299</v>
      </c>
      <c r="B200" s="1" t="s">
        <v>62</v>
      </c>
      <c r="C200" t="s">
        <v>3574</v>
      </c>
      <c r="E200" s="2">
        <v>1833000203000</v>
      </c>
      <c r="F200" s="1" t="s">
        <v>454</v>
      </c>
      <c r="G200" s="1" t="s">
        <v>53</v>
      </c>
      <c r="H200" s="1" t="s">
        <v>369</v>
      </c>
      <c r="I200" s="1" t="s">
        <v>370</v>
      </c>
      <c r="J200" s="1" t="s">
        <v>46</v>
      </c>
      <c r="K200" t="s">
        <v>457</v>
      </c>
      <c r="M200" s="1" t="s">
        <v>58</v>
      </c>
      <c r="N200" s="1">
        <v>0</v>
      </c>
      <c r="O200" s="1" t="s">
        <v>105</v>
      </c>
      <c r="P200" s="186">
        <v>44469.857268518521</v>
      </c>
      <c r="R200" s="1" t="s">
        <v>38</v>
      </c>
      <c r="T200" s="1" t="s">
        <v>157</v>
      </c>
      <c r="U200" s="186">
        <v>44508.75</v>
      </c>
      <c r="V200" s="1" t="s">
        <v>41</v>
      </c>
      <c r="W200" s="1" t="s">
        <v>49</v>
      </c>
      <c r="X200" s="13" t="str">
        <f t="shared" si="26"/>
        <v/>
      </c>
      <c r="Y200" s="2">
        <f t="shared" ca="1" si="21"/>
        <v>370</v>
      </c>
      <c r="Z200" s="14">
        <v>1</v>
      </c>
      <c r="AA200" s="1" t="str">
        <f t="shared" ca="1" si="22"/>
        <v>VENCIDO</v>
      </c>
      <c r="AB200" s="1" t="str">
        <f t="shared" si="23"/>
        <v>C-14</v>
      </c>
      <c r="AC200" s="2" t="str">
        <f t="shared" si="27"/>
        <v xml:space="preserve"> CLEITON </v>
      </c>
      <c r="AD200" s="2">
        <f t="shared" si="24"/>
        <v>5</v>
      </c>
      <c r="AE200" s="2">
        <f t="shared" ca="1" si="25"/>
        <v>-477.9262716435187</v>
      </c>
      <c r="AF200" s="15"/>
    </row>
    <row r="201" spans="1:32" hidden="1">
      <c r="A201" s="1">
        <v>7970298</v>
      </c>
      <c r="B201" s="1" t="s">
        <v>62</v>
      </c>
      <c r="C201" t="s">
        <v>3574</v>
      </c>
      <c r="E201" s="2">
        <v>1833000203000</v>
      </c>
      <c r="F201" s="1" t="s">
        <v>454</v>
      </c>
      <c r="G201" s="1" t="s">
        <v>53</v>
      </c>
      <c r="H201" s="1" t="s">
        <v>369</v>
      </c>
      <c r="I201" s="1" t="s">
        <v>370</v>
      </c>
      <c r="J201" s="1" t="s">
        <v>46</v>
      </c>
      <c r="K201" t="s">
        <v>457</v>
      </c>
      <c r="M201" s="1" t="s">
        <v>58</v>
      </c>
      <c r="N201" s="1">
        <v>0</v>
      </c>
      <c r="O201" s="1" t="s">
        <v>105</v>
      </c>
      <c r="P201" s="186">
        <v>44469.857268518521</v>
      </c>
      <c r="R201" s="1" t="s">
        <v>38</v>
      </c>
      <c r="T201" s="1" t="s">
        <v>157</v>
      </c>
      <c r="U201" s="186">
        <v>44508.75</v>
      </c>
      <c r="V201" s="1" t="s">
        <v>41</v>
      </c>
      <c r="W201" s="1" t="s">
        <v>49</v>
      </c>
      <c r="X201" s="13" t="str">
        <f t="shared" si="26"/>
        <v/>
      </c>
      <c r="Y201" s="2">
        <f t="shared" ca="1" si="21"/>
        <v>370</v>
      </c>
      <c r="Z201" s="14">
        <v>1</v>
      </c>
      <c r="AA201" s="1" t="str">
        <f t="shared" ca="1" si="22"/>
        <v>VENCIDO</v>
      </c>
      <c r="AB201" s="1" t="str">
        <f t="shared" si="23"/>
        <v>C-14</v>
      </c>
      <c r="AC201" s="2" t="str">
        <f t="shared" si="27"/>
        <v xml:space="preserve"> CLEITON </v>
      </c>
      <c r="AD201" s="2">
        <f t="shared" si="24"/>
        <v>5</v>
      </c>
      <c r="AE201" s="2">
        <f t="shared" ca="1" si="25"/>
        <v>-477.9262716435187</v>
      </c>
      <c r="AF201" s="15"/>
    </row>
    <row r="202" spans="1:32" hidden="1">
      <c r="A202" s="1">
        <v>7970297</v>
      </c>
      <c r="B202" s="1" t="s">
        <v>62</v>
      </c>
      <c r="C202" t="s">
        <v>3574</v>
      </c>
      <c r="E202" s="2">
        <v>1833000203000</v>
      </c>
      <c r="F202" s="1" t="s">
        <v>454</v>
      </c>
      <c r="G202" s="1" t="s">
        <v>53</v>
      </c>
      <c r="H202" s="1" t="s">
        <v>369</v>
      </c>
      <c r="I202" s="1" t="s">
        <v>370</v>
      </c>
      <c r="J202" s="1" t="s">
        <v>46</v>
      </c>
      <c r="K202" t="s">
        <v>457</v>
      </c>
      <c r="M202" s="1" t="s">
        <v>58</v>
      </c>
      <c r="N202" s="1">
        <v>0</v>
      </c>
      <c r="O202" s="1" t="s">
        <v>105</v>
      </c>
      <c r="P202" s="186">
        <v>44469.857268518521</v>
      </c>
      <c r="R202" s="1" t="s">
        <v>38</v>
      </c>
      <c r="T202" s="1" t="s">
        <v>157</v>
      </c>
      <c r="U202" s="186">
        <v>44508.75</v>
      </c>
      <c r="V202" s="1" t="s">
        <v>41</v>
      </c>
      <c r="W202" s="1" t="s">
        <v>49</v>
      </c>
      <c r="X202" s="13" t="str">
        <f t="shared" si="26"/>
        <v/>
      </c>
      <c r="Y202" s="2">
        <f t="shared" ca="1" si="21"/>
        <v>370</v>
      </c>
      <c r="Z202" s="14">
        <v>1</v>
      </c>
      <c r="AA202" s="1" t="str">
        <f t="shared" ca="1" si="22"/>
        <v>VENCIDO</v>
      </c>
      <c r="AB202" s="1" t="str">
        <f t="shared" si="23"/>
        <v>C-14</v>
      </c>
      <c r="AC202" s="2" t="str">
        <f t="shared" si="27"/>
        <v xml:space="preserve"> CLEITON </v>
      </c>
      <c r="AD202" s="2">
        <f t="shared" si="24"/>
        <v>5</v>
      </c>
      <c r="AE202" s="2">
        <f t="shared" ca="1" si="25"/>
        <v>-477.9262716435187</v>
      </c>
      <c r="AF202" s="15"/>
    </row>
    <row r="203" spans="1:32" hidden="1">
      <c r="A203" s="1">
        <v>7970296</v>
      </c>
      <c r="B203" s="1" t="s">
        <v>62</v>
      </c>
      <c r="C203" t="s">
        <v>3574</v>
      </c>
      <c r="E203" s="2">
        <v>1833000203000</v>
      </c>
      <c r="F203" s="1" t="s">
        <v>454</v>
      </c>
      <c r="G203" s="1" t="s">
        <v>53</v>
      </c>
      <c r="H203" s="1" t="s">
        <v>369</v>
      </c>
      <c r="I203" s="1" t="s">
        <v>370</v>
      </c>
      <c r="J203" s="1" t="s">
        <v>46</v>
      </c>
      <c r="K203" t="s">
        <v>457</v>
      </c>
      <c r="M203" s="1" t="s">
        <v>58</v>
      </c>
      <c r="N203" s="1">
        <v>0</v>
      </c>
      <c r="O203" s="1" t="s">
        <v>105</v>
      </c>
      <c r="P203" s="186">
        <v>44469.857268518521</v>
      </c>
      <c r="R203" s="1" t="s">
        <v>38</v>
      </c>
      <c r="T203" s="1" t="s">
        <v>157</v>
      </c>
      <c r="U203" s="186">
        <v>44508.75</v>
      </c>
      <c r="V203" s="1" t="s">
        <v>41</v>
      </c>
      <c r="W203" s="1" t="s">
        <v>49</v>
      </c>
      <c r="X203" s="13" t="str">
        <f t="shared" si="26"/>
        <v/>
      </c>
      <c r="Y203" s="2">
        <f t="shared" ca="1" si="21"/>
        <v>370</v>
      </c>
      <c r="Z203" s="14">
        <v>1</v>
      </c>
      <c r="AA203" s="1" t="str">
        <f t="shared" ca="1" si="22"/>
        <v>VENCIDO</v>
      </c>
      <c r="AB203" s="1" t="str">
        <f t="shared" si="23"/>
        <v>C-14</v>
      </c>
      <c r="AC203" s="2" t="str">
        <f t="shared" si="27"/>
        <v xml:space="preserve"> CLEITON </v>
      </c>
      <c r="AD203" s="2">
        <f t="shared" si="24"/>
        <v>5</v>
      </c>
      <c r="AE203" s="2">
        <f t="shared" ca="1" si="25"/>
        <v>-477.9262716435187</v>
      </c>
      <c r="AF203" s="15"/>
    </row>
    <row r="204" spans="1:32" hidden="1">
      <c r="A204" s="1">
        <v>7970241</v>
      </c>
      <c r="B204" s="1" t="s">
        <v>62</v>
      </c>
      <c r="C204" t="s">
        <v>3574</v>
      </c>
      <c r="E204" s="2">
        <v>1792000203000</v>
      </c>
      <c r="F204" s="1" t="s">
        <v>454</v>
      </c>
      <c r="G204" s="1" t="s">
        <v>53</v>
      </c>
      <c r="H204" s="1" t="s">
        <v>467</v>
      </c>
      <c r="I204" s="1" t="s">
        <v>468</v>
      </c>
      <c r="J204" s="1" t="s">
        <v>110</v>
      </c>
      <c r="K204" t="s">
        <v>457</v>
      </c>
      <c r="M204" s="1" t="s">
        <v>58</v>
      </c>
      <c r="N204" s="1">
        <v>0</v>
      </c>
      <c r="O204" s="1" t="s">
        <v>105</v>
      </c>
      <c r="P204" s="186">
        <v>44469.857175925928</v>
      </c>
      <c r="R204" s="1" t="s">
        <v>38</v>
      </c>
      <c r="T204" s="1" t="s">
        <v>157</v>
      </c>
      <c r="U204" s="186">
        <v>44508.75</v>
      </c>
      <c r="V204" s="1" t="s">
        <v>41</v>
      </c>
      <c r="W204" s="1" t="s">
        <v>49</v>
      </c>
      <c r="X204" s="13" t="str">
        <f t="shared" si="26"/>
        <v/>
      </c>
      <c r="Y204" s="2">
        <f t="shared" ca="1" si="21"/>
        <v>370</v>
      </c>
      <c r="Z204" s="14">
        <v>1</v>
      </c>
      <c r="AA204" s="1" t="str">
        <f t="shared" ca="1" si="22"/>
        <v>VENCIDO</v>
      </c>
      <c r="AB204" s="1" t="str">
        <f t="shared" si="23"/>
        <v>C-14</v>
      </c>
      <c r="AC204" s="2" t="str">
        <f t="shared" si="27"/>
        <v xml:space="preserve"> CRISTINA </v>
      </c>
      <c r="AD204" s="2">
        <f t="shared" si="24"/>
        <v>5</v>
      </c>
      <c r="AE204" s="2">
        <f t="shared" ca="1" si="25"/>
        <v>-477.9262716435187</v>
      </c>
      <c r="AF204" s="15"/>
    </row>
    <row r="205" spans="1:32" hidden="1">
      <c r="A205" s="1">
        <v>7970240</v>
      </c>
      <c r="B205" s="1" t="s">
        <v>62</v>
      </c>
      <c r="C205" t="s">
        <v>3574</v>
      </c>
      <c r="E205" s="2">
        <v>1792000203000</v>
      </c>
      <c r="F205" s="1" t="s">
        <v>454</v>
      </c>
      <c r="G205" s="1" t="s">
        <v>53</v>
      </c>
      <c r="H205" s="1" t="s">
        <v>467</v>
      </c>
      <c r="I205" s="1" t="s">
        <v>468</v>
      </c>
      <c r="J205" s="1" t="s">
        <v>110</v>
      </c>
      <c r="K205" t="s">
        <v>457</v>
      </c>
      <c r="M205" s="1" t="s">
        <v>58</v>
      </c>
      <c r="N205" s="1">
        <v>0</v>
      </c>
      <c r="O205" s="1" t="s">
        <v>105</v>
      </c>
      <c r="P205" s="186">
        <v>44469.857164351852</v>
      </c>
      <c r="R205" s="1" t="s">
        <v>38</v>
      </c>
      <c r="T205" s="1" t="s">
        <v>157</v>
      </c>
      <c r="U205" s="186">
        <v>44508.75</v>
      </c>
      <c r="V205" s="1" t="s">
        <v>41</v>
      </c>
      <c r="W205" s="1" t="s">
        <v>49</v>
      </c>
      <c r="X205" s="13" t="str">
        <f t="shared" si="26"/>
        <v/>
      </c>
      <c r="Y205" s="2">
        <f t="shared" ca="1" si="21"/>
        <v>370</v>
      </c>
      <c r="Z205" s="14">
        <v>1</v>
      </c>
      <c r="AA205" s="1" t="str">
        <f t="shared" ca="1" si="22"/>
        <v>VENCIDO</v>
      </c>
      <c r="AB205" s="1" t="str">
        <f t="shared" si="23"/>
        <v>C-14</v>
      </c>
      <c r="AC205" s="2" t="str">
        <f t="shared" si="27"/>
        <v xml:space="preserve"> CRISTINA </v>
      </c>
      <c r="AD205" s="2">
        <f t="shared" si="24"/>
        <v>5</v>
      </c>
      <c r="AE205" s="2">
        <f t="shared" ca="1" si="25"/>
        <v>-477.9262716435187</v>
      </c>
      <c r="AF205" s="15"/>
    </row>
    <row r="206" spans="1:32" hidden="1">
      <c r="A206" s="1">
        <v>7970239</v>
      </c>
      <c r="B206" s="1" t="s">
        <v>62</v>
      </c>
      <c r="C206" t="s">
        <v>3574</v>
      </c>
      <c r="E206" s="2">
        <v>1792000203000</v>
      </c>
      <c r="F206" s="1" t="s">
        <v>454</v>
      </c>
      <c r="G206" s="1" t="s">
        <v>53</v>
      </c>
      <c r="H206" s="1" t="s">
        <v>467</v>
      </c>
      <c r="I206" s="1" t="s">
        <v>468</v>
      </c>
      <c r="J206" s="1" t="s">
        <v>110</v>
      </c>
      <c r="K206" t="s">
        <v>457</v>
      </c>
      <c r="M206" s="1" t="s">
        <v>58</v>
      </c>
      <c r="N206" s="1">
        <v>0</v>
      </c>
      <c r="O206" s="1" t="s">
        <v>105</v>
      </c>
      <c r="P206" s="186">
        <v>44469.857164351852</v>
      </c>
      <c r="R206" s="1" t="s">
        <v>38</v>
      </c>
      <c r="T206" s="1" t="s">
        <v>157</v>
      </c>
      <c r="U206" s="186">
        <v>44508.75</v>
      </c>
      <c r="V206" s="1" t="s">
        <v>41</v>
      </c>
      <c r="W206" s="1" t="s">
        <v>49</v>
      </c>
      <c r="X206" s="13" t="str">
        <f t="shared" si="26"/>
        <v/>
      </c>
      <c r="Y206" s="2">
        <f t="shared" ca="1" si="21"/>
        <v>370</v>
      </c>
      <c r="Z206" s="14">
        <v>1</v>
      </c>
      <c r="AA206" s="1" t="str">
        <f t="shared" ca="1" si="22"/>
        <v>VENCIDO</v>
      </c>
      <c r="AB206" s="1" t="str">
        <f t="shared" si="23"/>
        <v>C-14</v>
      </c>
      <c r="AC206" s="2" t="str">
        <f t="shared" si="27"/>
        <v xml:space="preserve"> CRISTINA </v>
      </c>
      <c r="AD206" s="2">
        <f t="shared" si="24"/>
        <v>5</v>
      </c>
      <c r="AE206" s="2">
        <f t="shared" ca="1" si="25"/>
        <v>-477.9262716435187</v>
      </c>
      <c r="AF206" s="15"/>
    </row>
    <row r="207" spans="1:32" hidden="1">
      <c r="A207" s="1">
        <v>7970238</v>
      </c>
      <c r="B207" s="1" t="s">
        <v>62</v>
      </c>
      <c r="C207" t="s">
        <v>3574</v>
      </c>
      <c r="E207" s="2">
        <v>1792000203000</v>
      </c>
      <c r="F207" s="1" t="s">
        <v>454</v>
      </c>
      <c r="G207" s="1" t="s">
        <v>53</v>
      </c>
      <c r="H207" s="1" t="s">
        <v>467</v>
      </c>
      <c r="I207" s="1" t="s">
        <v>468</v>
      </c>
      <c r="J207" s="1" t="s">
        <v>110</v>
      </c>
      <c r="K207" t="s">
        <v>457</v>
      </c>
      <c r="M207" s="1" t="s">
        <v>58</v>
      </c>
      <c r="N207" s="1">
        <v>0</v>
      </c>
      <c r="O207" s="1" t="s">
        <v>105</v>
      </c>
      <c r="P207" s="186">
        <v>44469.857164351852</v>
      </c>
      <c r="R207" s="1" t="s">
        <v>38</v>
      </c>
      <c r="T207" s="1" t="s">
        <v>157</v>
      </c>
      <c r="U207" s="186">
        <v>44508.75</v>
      </c>
      <c r="V207" s="1" t="s">
        <v>41</v>
      </c>
      <c r="W207" s="1" t="s">
        <v>49</v>
      </c>
      <c r="X207" s="13" t="str">
        <f t="shared" si="26"/>
        <v/>
      </c>
      <c r="Y207" s="2">
        <f t="shared" ca="1" si="21"/>
        <v>370</v>
      </c>
      <c r="Z207" s="14">
        <v>1</v>
      </c>
      <c r="AA207" s="1" t="str">
        <f t="shared" ca="1" si="22"/>
        <v>VENCIDO</v>
      </c>
      <c r="AB207" s="1" t="str">
        <f t="shared" si="23"/>
        <v>C-14</v>
      </c>
      <c r="AC207" s="2" t="str">
        <f t="shared" si="27"/>
        <v xml:space="preserve"> CRISTINA </v>
      </c>
      <c r="AD207" s="2">
        <f t="shared" si="24"/>
        <v>5</v>
      </c>
      <c r="AE207" s="2">
        <f t="shared" ca="1" si="25"/>
        <v>-477.9262716435187</v>
      </c>
      <c r="AF207" s="15"/>
    </row>
    <row r="208" spans="1:32" hidden="1">
      <c r="A208" s="1">
        <v>7970237</v>
      </c>
      <c r="B208" s="1" t="s">
        <v>62</v>
      </c>
      <c r="C208" t="s">
        <v>3574</v>
      </c>
      <c r="E208" s="2">
        <v>1792000203000</v>
      </c>
      <c r="F208" s="1" t="s">
        <v>454</v>
      </c>
      <c r="G208" s="1" t="s">
        <v>53</v>
      </c>
      <c r="H208" s="1" t="s">
        <v>467</v>
      </c>
      <c r="I208" s="1" t="s">
        <v>468</v>
      </c>
      <c r="J208" s="1" t="s">
        <v>110</v>
      </c>
      <c r="K208" t="s">
        <v>457</v>
      </c>
      <c r="M208" s="1" t="s">
        <v>58</v>
      </c>
      <c r="N208" s="1">
        <v>0</v>
      </c>
      <c r="O208" s="1" t="s">
        <v>105</v>
      </c>
      <c r="P208" s="186">
        <v>44469.857164351852</v>
      </c>
      <c r="R208" s="1" t="s">
        <v>38</v>
      </c>
      <c r="T208" s="1" t="s">
        <v>157</v>
      </c>
      <c r="U208" s="186">
        <v>44508.75</v>
      </c>
      <c r="V208" s="1" t="s">
        <v>41</v>
      </c>
      <c r="W208" s="1" t="s">
        <v>49</v>
      </c>
      <c r="X208" s="13" t="str">
        <f t="shared" si="26"/>
        <v/>
      </c>
      <c r="Y208" s="2">
        <f t="shared" ca="1" si="21"/>
        <v>370</v>
      </c>
      <c r="Z208" s="14">
        <v>1</v>
      </c>
      <c r="AA208" s="1" t="str">
        <f t="shared" ca="1" si="22"/>
        <v>VENCIDO</v>
      </c>
      <c r="AB208" s="1" t="str">
        <f t="shared" si="23"/>
        <v>C-14</v>
      </c>
      <c r="AC208" s="2" t="str">
        <f t="shared" si="27"/>
        <v xml:space="preserve"> CRISTINA </v>
      </c>
      <c r="AD208" s="2">
        <f t="shared" si="24"/>
        <v>5</v>
      </c>
      <c r="AE208" s="2">
        <f t="shared" ca="1" si="25"/>
        <v>-477.9262716435187</v>
      </c>
      <c r="AF208" s="15"/>
    </row>
    <row r="209" spans="1:32" hidden="1">
      <c r="A209" s="1">
        <v>7970218</v>
      </c>
      <c r="B209" s="1" t="s">
        <v>62</v>
      </c>
      <c r="C209" t="s">
        <v>3574</v>
      </c>
      <c r="E209" s="2">
        <v>1363000203000</v>
      </c>
      <c r="F209" s="1" t="s">
        <v>454</v>
      </c>
      <c r="G209" s="1" t="s">
        <v>53</v>
      </c>
      <c r="H209" s="1" t="s">
        <v>108</v>
      </c>
      <c r="I209" s="1" t="s">
        <v>109</v>
      </c>
      <c r="J209" s="1" t="s">
        <v>110</v>
      </c>
      <c r="K209" t="s">
        <v>457</v>
      </c>
      <c r="M209" s="1" t="s">
        <v>58</v>
      </c>
      <c r="N209" s="1">
        <v>0</v>
      </c>
      <c r="O209" s="1" t="s">
        <v>36</v>
      </c>
      <c r="P209" s="186">
        <v>44469.857141203705</v>
      </c>
      <c r="R209" s="1" t="s">
        <v>38</v>
      </c>
      <c r="T209" s="1" t="s">
        <v>157</v>
      </c>
      <c r="U209" s="186">
        <v>44508.75</v>
      </c>
      <c r="V209" s="1" t="s">
        <v>41</v>
      </c>
      <c r="W209" s="1" t="s">
        <v>49</v>
      </c>
      <c r="X209" s="13" t="str">
        <f t="shared" si="26"/>
        <v/>
      </c>
      <c r="Y209" s="2">
        <f t="shared" ca="1" si="21"/>
        <v>370</v>
      </c>
      <c r="Z209" s="14">
        <v>1</v>
      </c>
      <c r="AA209" s="1" t="str">
        <f t="shared" ca="1" si="22"/>
        <v>VENCIDO</v>
      </c>
      <c r="AB209" s="1" t="str">
        <f t="shared" si="23"/>
        <v>C-14</v>
      </c>
      <c r="AC209" s="2" t="str">
        <f t="shared" si="27"/>
        <v xml:space="preserve"> CRISTINA </v>
      </c>
      <c r="AD209" s="2">
        <f t="shared" si="24"/>
        <v>5</v>
      </c>
      <c r="AE209" s="2">
        <f t="shared" ca="1" si="25"/>
        <v>-477.9262716435187</v>
      </c>
      <c r="AF209" s="15"/>
    </row>
    <row r="210" spans="1:32" hidden="1">
      <c r="A210" s="1">
        <v>7998831</v>
      </c>
      <c r="B210" s="1" t="s">
        <v>27</v>
      </c>
      <c r="C210" t="s">
        <v>470</v>
      </c>
      <c r="E210" s="2">
        <v>2229000206001</v>
      </c>
      <c r="F210" s="1" t="s">
        <v>29</v>
      </c>
      <c r="G210" s="1" t="s">
        <v>53</v>
      </c>
      <c r="H210" s="1" t="s">
        <v>339</v>
      </c>
      <c r="I210" s="1" t="s">
        <v>340</v>
      </c>
      <c r="J210" s="1" t="s">
        <v>211</v>
      </c>
      <c r="K210" t="s">
        <v>34</v>
      </c>
      <c r="M210" s="1" t="s">
        <v>35</v>
      </c>
      <c r="N210" s="1">
        <v>42318949</v>
      </c>
      <c r="O210" s="1" t="s">
        <v>105</v>
      </c>
      <c r="P210" s="186">
        <v>44474.679016203707</v>
      </c>
      <c r="R210" s="1" t="s">
        <v>38</v>
      </c>
      <c r="T210" s="1" t="s">
        <v>74</v>
      </c>
      <c r="U210" s="186">
        <v>44474.75</v>
      </c>
      <c r="V210" s="1" t="s">
        <v>41</v>
      </c>
      <c r="W210" s="1" t="s">
        <v>49</v>
      </c>
      <c r="X210" s="13" t="str">
        <f t="shared" si="26"/>
        <v/>
      </c>
      <c r="Y210" s="2">
        <f t="shared" ca="1" si="21"/>
        <v>367</v>
      </c>
      <c r="Z210" s="14">
        <v>1</v>
      </c>
      <c r="AA210" s="1" t="str">
        <f t="shared" ca="1" si="22"/>
        <v>VENCIDO</v>
      </c>
      <c r="AB210" s="1" t="str">
        <f t="shared" si="23"/>
        <v>Dosa</v>
      </c>
      <c r="AC210" s="2" t="str">
        <f t="shared" si="27"/>
        <v xml:space="preserve"> RINALDO </v>
      </c>
      <c r="AD210" s="2">
        <f t="shared" si="24"/>
        <v>5</v>
      </c>
      <c r="AE210" s="2">
        <f t="shared" ca="1" si="25"/>
        <v>-511.9262716435187</v>
      </c>
      <c r="AF210" s="15"/>
    </row>
    <row r="211" spans="1:32" hidden="1">
      <c r="A211" s="1">
        <v>8014132</v>
      </c>
      <c r="B211" s="1" t="s">
        <v>27</v>
      </c>
      <c r="C211" t="s">
        <v>470</v>
      </c>
      <c r="E211" s="2">
        <v>1069000206001</v>
      </c>
      <c r="F211" s="1" t="s">
        <v>29</v>
      </c>
      <c r="G211" s="1" t="s">
        <v>53</v>
      </c>
      <c r="H211" s="1" t="s">
        <v>353</v>
      </c>
      <c r="I211" s="1" t="s">
        <v>354</v>
      </c>
      <c r="J211" s="1" t="s">
        <v>211</v>
      </c>
      <c r="K211" t="s">
        <v>34</v>
      </c>
      <c r="M211" s="1" t="s">
        <v>35</v>
      </c>
      <c r="N211" s="1">
        <v>42318949</v>
      </c>
      <c r="O211" s="1" t="s">
        <v>105</v>
      </c>
      <c r="P211" s="186">
        <v>44480.687534722223</v>
      </c>
      <c r="R211" s="1" t="s">
        <v>38</v>
      </c>
      <c r="T211" s="1" t="s">
        <v>74</v>
      </c>
      <c r="U211" s="186">
        <v>44480.75</v>
      </c>
      <c r="V211" s="1" t="s">
        <v>41</v>
      </c>
      <c r="W211" s="1" t="s">
        <v>49</v>
      </c>
      <c r="X211" s="13" t="str">
        <f t="shared" si="26"/>
        <v/>
      </c>
      <c r="Y211" s="2">
        <f t="shared" ca="1" si="21"/>
        <v>363</v>
      </c>
      <c r="Z211" s="14">
        <v>1</v>
      </c>
      <c r="AA211" s="1" t="str">
        <f t="shared" ca="1" si="22"/>
        <v>VENCIDO</v>
      </c>
      <c r="AB211" s="1" t="str">
        <f t="shared" si="23"/>
        <v>Dosa</v>
      </c>
      <c r="AC211" s="2" t="str">
        <f t="shared" si="27"/>
        <v xml:space="preserve"> RINALDO </v>
      </c>
      <c r="AD211" s="2">
        <f t="shared" si="24"/>
        <v>5</v>
      </c>
      <c r="AE211" s="2">
        <f t="shared" ca="1" si="25"/>
        <v>-505.9262716435187</v>
      </c>
      <c r="AF211" s="15"/>
    </row>
    <row r="212" spans="1:32" hidden="1">
      <c r="A212" s="1">
        <v>8018140</v>
      </c>
      <c r="B212" s="1" t="s">
        <v>62</v>
      </c>
      <c r="C212" t="s">
        <v>475</v>
      </c>
      <c r="E212" s="2">
        <v>1664000203000</v>
      </c>
      <c r="F212" s="1" t="s">
        <v>454</v>
      </c>
      <c r="G212" s="1" t="s">
        <v>53</v>
      </c>
      <c r="H212" s="1" t="s">
        <v>307</v>
      </c>
      <c r="I212" s="1" t="s">
        <v>308</v>
      </c>
      <c r="J212" s="1" t="s">
        <v>164</v>
      </c>
      <c r="K212" t="s">
        <v>457</v>
      </c>
      <c r="M212" s="1" t="s">
        <v>58</v>
      </c>
      <c r="N212" s="1">
        <v>0</v>
      </c>
      <c r="O212" s="1" t="s">
        <v>36</v>
      </c>
      <c r="P212" s="186">
        <v>44482.53765046296</v>
      </c>
      <c r="R212" s="1" t="s">
        <v>38</v>
      </c>
      <c r="T212" s="1" t="s">
        <v>157</v>
      </c>
      <c r="U212" s="186">
        <v>44518.75</v>
      </c>
      <c r="V212" s="1" t="s">
        <v>41</v>
      </c>
      <c r="W212" s="1" t="s">
        <v>49</v>
      </c>
      <c r="X212" s="13" t="str">
        <f t="shared" si="26"/>
        <v/>
      </c>
      <c r="Y212" s="2">
        <f t="shared" ca="1" si="21"/>
        <v>361</v>
      </c>
      <c r="Z212" s="14">
        <v>1</v>
      </c>
      <c r="AA212" s="1" t="str">
        <f t="shared" ca="1" si="22"/>
        <v>VENCIDO</v>
      </c>
      <c r="AB212" s="1" t="str">
        <f t="shared" si="23"/>
        <v>C-14</v>
      </c>
      <c r="AC212" s="2" t="str">
        <f t="shared" si="27"/>
        <v xml:space="preserve"> ROSEMERE </v>
      </c>
      <c r="AD212" s="2">
        <f t="shared" si="24"/>
        <v>5</v>
      </c>
      <c r="AE212" s="2">
        <f t="shared" ca="1" si="25"/>
        <v>-467.9262716435187</v>
      </c>
      <c r="AF212" s="15"/>
    </row>
    <row r="213" spans="1:32" hidden="1">
      <c r="A213" s="1">
        <v>8017996</v>
      </c>
      <c r="B213" s="1" t="s">
        <v>27</v>
      </c>
      <c r="C213" t="s">
        <v>476</v>
      </c>
      <c r="E213" s="2">
        <v>2170000206001</v>
      </c>
      <c r="F213" s="1" t="s">
        <v>29</v>
      </c>
      <c r="G213" s="1" t="s">
        <v>53</v>
      </c>
      <c r="H213" s="1" t="s">
        <v>477</v>
      </c>
      <c r="I213" s="1" t="s">
        <v>478</v>
      </c>
      <c r="J213" s="1" t="s">
        <v>148</v>
      </c>
      <c r="K213" t="s">
        <v>34</v>
      </c>
      <c r="M213" s="1" t="s">
        <v>35</v>
      </c>
      <c r="N213" s="1">
        <v>42318949</v>
      </c>
      <c r="O213" s="1" t="s">
        <v>36</v>
      </c>
      <c r="P213" s="186">
        <v>44482.504745370374</v>
      </c>
      <c r="R213" s="1" t="s">
        <v>38</v>
      </c>
      <c r="T213" s="1" t="s">
        <v>74</v>
      </c>
      <c r="U213" s="186">
        <v>44482.75</v>
      </c>
      <c r="V213" s="1" t="s">
        <v>41</v>
      </c>
      <c r="W213" s="1" t="s">
        <v>49</v>
      </c>
      <c r="X213" s="13" t="str">
        <f t="shared" si="26"/>
        <v/>
      </c>
      <c r="Y213" s="2">
        <f t="shared" ca="1" si="21"/>
        <v>361</v>
      </c>
      <c r="Z213" s="14">
        <v>1</v>
      </c>
      <c r="AA213" s="1" t="str">
        <f t="shared" ca="1" si="22"/>
        <v>VENCIDO</v>
      </c>
      <c r="AB213" s="1" t="str">
        <f t="shared" si="23"/>
        <v>Dosa</v>
      </c>
      <c r="AC213" s="2" t="str">
        <f t="shared" si="27"/>
        <v xml:space="preserve"> RINALDO </v>
      </c>
      <c r="AD213" s="2">
        <f t="shared" si="24"/>
        <v>5</v>
      </c>
      <c r="AE213" s="2">
        <f t="shared" ca="1" si="25"/>
        <v>-503.9262716435187</v>
      </c>
      <c r="AF213" s="15"/>
    </row>
    <row r="214" spans="1:32" hidden="1">
      <c r="A214" s="1">
        <v>8021722</v>
      </c>
      <c r="B214" s="1" t="s">
        <v>62</v>
      </c>
      <c r="C214" t="s">
        <v>481</v>
      </c>
      <c r="E214" s="2">
        <v>2170000203010</v>
      </c>
      <c r="F214" s="1" t="s">
        <v>152</v>
      </c>
      <c r="G214" s="1" t="s">
        <v>53</v>
      </c>
      <c r="H214" s="1" t="s">
        <v>477</v>
      </c>
      <c r="I214" s="1" t="s">
        <v>478</v>
      </c>
      <c r="J214" s="1" t="s">
        <v>148</v>
      </c>
      <c r="K214" t="s">
        <v>155</v>
      </c>
      <c r="M214" s="1" t="s">
        <v>35</v>
      </c>
      <c r="N214" s="1">
        <v>42318949</v>
      </c>
      <c r="O214" s="1" t="s">
        <v>36</v>
      </c>
      <c r="P214" s="186">
        <v>44483.655069444445</v>
      </c>
      <c r="R214" s="1" t="s">
        <v>38</v>
      </c>
      <c r="T214" s="1" t="s">
        <v>157</v>
      </c>
      <c r="U214" s="186">
        <v>44519.75</v>
      </c>
      <c r="V214" s="1" t="s">
        <v>41</v>
      </c>
      <c r="W214" s="1" t="s">
        <v>49</v>
      </c>
      <c r="X214" s="13" t="str">
        <f t="shared" si="26"/>
        <v/>
      </c>
      <c r="Y214" s="2">
        <f t="shared" ca="1" si="21"/>
        <v>360</v>
      </c>
      <c r="Z214" s="14">
        <v>1</v>
      </c>
      <c r="AA214" s="1" t="str">
        <f t="shared" ca="1" si="22"/>
        <v>VENCIDO</v>
      </c>
      <c r="AB214" s="1" t="str">
        <f t="shared" si="23"/>
        <v>TAAe+</v>
      </c>
      <c r="AC214" s="2" t="str">
        <f t="shared" si="27"/>
        <v xml:space="preserve"> RINALDO </v>
      </c>
      <c r="AD214" s="2">
        <f t="shared" si="24"/>
        <v>8</v>
      </c>
      <c r="AE214" s="2">
        <f t="shared" ca="1" si="25"/>
        <v>-466.9262716435187</v>
      </c>
      <c r="AF214" s="15"/>
    </row>
    <row r="215" spans="1:32" hidden="1">
      <c r="A215" s="1">
        <v>8026505</v>
      </c>
      <c r="B215" s="1" t="s">
        <v>62</v>
      </c>
      <c r="C215" t="s">
        <v>484</v>
      </c>
      <c r="E215" s="2">
        <v>4119000203000</v>
      </c>
      <c r="F215" s="1" t="s">
        <v>454</v>
      </c>
      <c r="G215" s="1" t="s">
        <v>53</v>
      </c>
      <c r="H215" s="1" t="s">
        <v>297</v>
      </c>
      <c r="I215" s="1" t="s">
        <v>298</v>
      </c>
      <c r="J215" s="1" t="s">
        <v>211</v>
      </c>
      <c r="K215" t="s">
        <v>457</v>
      </c>
      <c r="M215" s="1" t="s">
        <v>58</v>
      </c>
      <c r="N215" s="1">
        <v>0</v>
      </c>
      <c r="O215" s="1" t="s">
        <v>36</v>
      </c>
      <c r="P215" s="186">
        <v>44485.650613425925</v>
      </c>
      <c r="R215" s="1" t="s">
        <v>38</v>
      </c>
      <c r="T215" s="1" t="s">
        <v>157</v>
      </c>
      <c r="U215" s="186">
        <v>44523.75</v>
      </c>
      <c r="V215" s="1" t="s">
        <v>41</v>
      </c>
      <c r="W215" s="1" t="s">
        <v>49</v>
      </c>
      <c r="X215" s="13" t="str">
        <f t="shared" si="26"/>
        <v/>
      </c>
      <c r="Y215" s="2">
        <f t="shared" ca="1" si="21"/>
        <v>358</v>
      </c>
      <c r="Z215" s="14">
        <v>1</v>
      </c>
      <c r="AA215" s="1" t="str">
        <f t="shared" ca="1" si="22"/>
        <v>VENCIDO</v>
      </c>
      <c r="AB215" s="1" t="str">
        <f t="shared" si="23"/>
        <v>C-14</v>
      </c>
      <c r="AC215" s="2" t="str">
        <f t="shared" si="27"/>
        <v xml:space="preserve"> RINALDO </v>
      </c>
      <c r="AD215" s="2">
        <f t="shared" si="24"/>
        <v>5</v>
      </c>
      <c r="AE215" s="2">
        <f t="shared" ca="1" si="25"/>
        <v>-462.9262716435187</v>
      </c>
      <c r="AF215" s="15"/>
    </row>
    <row r="216" spans="1:32" hidden="1">
      <c r="A216" s="1">
        <v>8034031</v>
      </c>
      <c r="B216" s="1" t="s">
        <v>62</v>
      </c>
      <c r="C216" t="s">
        <v>487</v>
      </c>
      <c r="E216" s="2">
        <v>9704000203000</v>
      </c>
      <c r="F216" s="1" t="s">
        <v>454</v>
      </c>
      <c r="G216" s="1" t="s">
        <v>53</v>
      </c>
      <c r="H216" s="1" t="s">
        <v>488</v>
      </c>
      <c r="I216" s="1" t="s">
        <v>489</v>
      </c>
      <c r="J216" s="1" t="s">
        <v>164</v>
      </c>
      <c r="K216" t="s">
        <v>457</v>
      </c>
      <c r="M216" s="1" t="s">
        <v>58</v>
      </c>
      <c r="N216" s="1">
        <v>0</v>
      </c>
      <c r="O216" s="1" t="s">
        <v>36</v>
      </c>
      <c r="P216" s="186">
        <v>44488.65121527778</v>
      </c>
      <c r="R216" s="1" t="s">
        <v>38</v>
      </c>
      <c r="T216" s="1" t="s">
        <v>157</v>
      </c>
      <c r="U216" s="186">
        <v>44524.75</v>
      </c>
      <c r="V216" s="1" t="s">
        <v>41</v>
      </c>
      <c r="W216" s="1" t="s">
        <v>49</v>
      </c>
      <c r="X216" s="13" t="str">
        <f t="shared" si="26"/>
        <v/>
      </c>
      <c r="Y216" s="2">
        <f t="shared" ca="1" si="21"/>
        <v>357</v>
      </c>
      <c r="Z216" s="14">
        <v>1</v>
      </c>
      <c r="AA216" s="1" t="str">
        <f t="shared" ca="1" si="22"/>
        <v>VENCIDO</v>
      </c>
      <c r="AB216" s="1" t="str">
        <f t="shared" si="23"/>
        <v>C-14</v>
      </c>
      <c r="AC216" s="2" t="str">
        <f t="shared" si="27"/>
        <v xml:space="preserve"> ROSEMERE </v>
      </c>
      <c r="AD216" s="2">
        <f t="shared" si="24"/>
        <v>5</v>
      </c>
      <c r="AE216" s="2">
        <f t="shared" ca="1" si="25"/>
        <v>-461.9262716435187</v>
      </c>
      <c r="AF216" s="15"/>
    </row>
    <row r="217" spans="1:32" hidden="1">
      <c r="A217" s="1">
        <v>8038627</v>
      </c>
      <c r="B217" s="1" t="s">
        <v>81</v>
      </c>
      <c r="C217" t="s">
        <v>240</v>
      </c>
      <c r="E217" s="2">
        <v>9704000206001</v>
      </c>
      <c r="F217" s="1" t="s">
        <v>29</v>
      </c>
      <c r="G217" s="1" t="s">
        <v>53</v>
      </c>
      <c r="H217" s="1" t="s">
        <v>488</v>
      </c>
      <c r="I217" s="1" t="s">
        <v>489</v>
      </c>
      <c r="J217" s="1" t="s">
        <v>164</v>
      </c>
      <c r="K217" t="s">
        <v>34</v>
      </c>
      <c r="M217" s="1" t="s">
        <v>35</v>
      </c>
      <c r="N217" s="1">
        <v>42318949</v>
      </c>
      <c r="O217" s="1" t="s">
        <v>36</v>
      </c>
      <c r="P217" s="186">
        <v>44489.679629629631</v>
      </c>
      <c r="R217" s="1" t="s">
        <v>38</v>
      </c>
      <c r="T217" s="1" t="s">
        <v>74</v>
      </c>
      <c r="U217" s="186">
        <v>44490.679629629631</v>
      </c>
      <c r="V217" s="1" t="s">
        <v>41</v>
      </c>
      <c r="W217" s="1" t="s">
        <v>49</v>
      </c>
      <c r="X217" s="13" t="str">
        <f t="shared" si="26"/>
        <v/>
      </c>
      <c r="Y217" s="2">
        <f t="shared" ca="1" si="21"/>
        <v>356</v>
      </c>
      <c r="Z217" s="14">
        <v>1</v>
      </c>
      <c r="AA217" s="1" t="str">
        <f t="shared" ca="1" si="22"/>
        <v>VENCIDO</v>
      </c>
      <c r="AB217" s="1" t="str">
        <f t="shared" si="23"/>
        <v>Dosa</v>
      </c>
      <c r="AC217" s="2" t="str">
        <f t="shared" si="27"/>
        <v xml:space="preserve"> ROSEMERE </v>
      </c>
      <c r="AD217" s="2">
        <f t="shared" si="24"/>
        <v>5</v>
      </c>
      <c r="AE217" s="2">
        <f t="shared" ca="1" si="25"/>
        <v>-495.99664201388805</v>
      </c>
      <c r="AF217" s="15"/>
    </row>
    <row r="218" spans="1:32" hidden="1">
      <c r="A218" s="1">
        <v>8038626</v>
      </c>
      <c r="B218" s="1" t="s">
        <v>81</v>
      </c>
      <c r="C218" t="s">
        <v>240</v>
      </c>
      <c r="E218" s="2">
        <v>9703000206001</v>
      </c>
      <c r="F218" s="1" t="s">
        <v>29</v>
      </c>
      <c r="G218" s="1" t="s">
        <v>53</v>
      </c>
      <c r="H218" s="1" t="s">
        <v>494</v>
      </c>
      <c r="I218" s="1" t="s">
        <v>495</v>
      </c>
      <c r="J218" s="1" t="s">
        <v>79</v>
      </c>
      <c r="K218" t="s">
        <v>34</v>
      </c>
      <c r="M218" s="1" t="s">
        <v>35</v>
      </c>
      <c r="N218" s="1">
        <v>42318949</v>
      </c>
      <c r="O218" s="1" t="s">
        <v>36</v>
      </c>
      <c r="P218" s="186">
        <v>44489.679629629631</v>
      </c>
      <c r="R218" s="1" t="s">
        <v>38</v>
      </c>
      <c r="T218" s="1" t="s">
        <v>74</v>
      </c>
      <c r="U218" s="186">
        <v>44490.679629629631</v>
      </c>
      <c r="V218" s="1" t="s">
        <v>41</v>
      </c>
      <c r="W218" s="1" t="s">
        <v>49</v>
      </c>
      <c r="X218" s="13" t="str">
        <f t="shared" si="26"/>
        <v/>
      </c>
      <c r="Y218" s="2">
        <f t="shared" ca="1" si="21"/>
        <v>356</v>
      </c>
      <c r="Z218" s="14">
        <v>1</v>
      </c>
      <c r="AA218" s="1" t="str">
        <f t="shared" ca="1" si="22"/>
        <v>VENCIDO</v>
      </c>
      <c r="AB218" s="1" t="str">
        <f t="shared" si="23"/>
        <v>Dosa</v>
      </c>
      <c r="AC218" s="2" t="str">
        <f t="shared" si="27"/>
        <v xml:space="preserve"> ROSEMERE </v>
      </c>
      <c r="AD218" s="2">
        <f t="shared" si="24"/>
        <v>5</v>
      </c>
      <c r="AE218" s="2">
        <f t="shared" ca="1" si="25"/>
        <v>-495.99664201388805</v>
      </c>
      <c r="AF218" s="15"/>
    </row>
    <row r="219" spans="1:32" hidden="1">
      <c r="A219" s="1">
        <v>8038016</v>
      </c>
      <c r="B219" s="1" t="s">
        <v>81</v>
      </c>
      <c r="C219" t="s">
        <v>240</v>
      </c>
      <c r="E219" s="2">
        <v>3613200206001</v>
      </c>
      <c r="F219" s="1" t="s">
        <v>29</v>
      </c>
      <c r="G219" s="1" t="s">
        <v>53</v>
      </c>
      <c r="H219" s="1" t="s">
        <v>496</v>
      </c>
      <c r="I219" s="1" t="s">
        <v>198</v>
      </c>
      <c r="J219" s="1" t="s">
        <v>46</v>
      </c>
      <c r="K219" t="s">
        <v>34</v>
      </c>
      <c r="M219" s="1" t="s">
        <v>35</v>
      </c>
      <c r="N219" s="1">
        <v>42318949</v>
      </c>
      <c r="O219" s="1" t="s">
        <v>36</v>
      </c>
      <c r="P219" s="186">
        <v>44489.67869212963</v>
      </c>
      <c r="R219" s="1" t="s">
        <v>38</v>
      </c>
      <c r="T219" s="1" t="s">
        <v>74</v>
      </c>
      <c r="U219" s="186">
        <v>44490.67869212963</v>
      </c>
      <c r="V219" s="1" t="s">
        <v>41</v>
      </c>
      <c r="W219" s="1" t="s">
        <v>49</v>
      </c>
      <c r="X219" s="13" t="str">
        <f t="shared" si="26"/>
        <v>3613.20</v>
      </c>
      <c r="Y219" s="2">
        <f t="shared" ca="1" si="21"/>
        <v>356</v>
      </c>
      <c r="Z219" s="14">
        <v>1</v>
      </c>
      <c r="AA219" s="1" t="str">
        <f t="shared" ca="1" si="22"/>
        <v>VENCIDO</v>
      </c>
      <c r="AB219" s="1" t="str">
        <f t="shared" si="23"/>
        <v>Dosa</v>
      </c>
      <c r="AC219" s="2" t="str">
        <f t="shared" si="27"/>
        <v xml:space="preserve"> CLEITON </v>
      </c>
      <c r="AD219" s="2">
        <f t="shared" si="24"/>
        <v>5</v>
      </c>
      <c r="AE219" s="2">
        <f t="shared" ca="1" si="25"/>
        <v>-495.99757951388892</v>
      </c>
      <c r="AF219" s="15"/>
    </row>
    <row r="220" spans="1:32" hidden="1">
      <c r="A220" s="1">
        <v>8037912</v>
      </c>
      <c r="B220" s="1" t="s">
        <v>81</v>
      </c>
      <c r="C220" t="s">
        <v>240</v>
      </c>
      <c r="E220" s="2">
        <v>3234160206001</v>
      </c>
      <c r="F220" s="1" t="s">
        <v>29</v>
      </c>
      <c r="G220" s="1" t="s">
        <v>53</v>
      </c>
      <c r="H220" s="1" t="s">
        <v>499</v>
      </c>
      <c r="I220" s="1" t="s">
        <v>500</v>
      </c>
      <c r="J220" s="1" t="s">
        <v>46</v>
      </c>
      <c r="K220" t="s">
        <v>34</v>
      </c>
      <c r="M220" s="1" t="s">
        <v>35</v>
      </c>
      <c r="N220" s="1">
        <v>42318949</v>
      </c>
      <c r="O220" s="1" t="s">
        <v>36</v>
      </c>
      <c r="P220" s="186">
        <v>44489.678518518522</v>
      </c>
      <c r="R220" s="1" t="s">
        <v>38</v>
      </c>
      <c r="T220" s="1" t="s">
        <v>74</v>
      </c>
      <c r="U220" s="186">
        <v>44490.678518518522</v>
      </c>
      <c r="V220" s="1" t="s">
        <v>41</v>
      </c>
      <c r="W220" s="1" t="s">
        <v>49</v>
      </c>
      <c r="X220" s="13" t="str">
        <f t="shared" si="26"/>
        <v>3234.16</v>
      </c>
      <c r="Y220" s="2">
        <f t="shared" ca="1" si="21"/>
        <v>356</v>
      </c>
      <c r="Z220" s="14">
        <v>1</v>
      </c>
      <c r="AA220" s="1" t="str">
        <f t="shared" ca="1" si="22"/>
        <v>VENCIDO</v>
      </c>
      <c r="AB220" s="1" t="str">
        <f t="shared" si="23"/>
        <v>Dosa</v>
      </c>
      <c r="AC220" s="2" t="str">
        <f t="shared" si="27"/>
        <v xml:space="preserve"> CLEITON </v>
      </c>
      <c r="AD220" s="2">
        <f t="shared" si="24"/>
        <v>5</v>
      </c>
      <c r="AE220" s="2">
        <f t="shared" ca="1" si="25"/>
        <v>-495.99775312499696</v>
      </c>
      <c r="AF220" s="15"/>
    </row>
    <row r="221" spans="1:32" hidden="1">
      <c r="A221" s="1">
        <v>8037881</v>
      </c>
      <c r="B221" s="1" t="s">
        <v>81</v>
      </c>
      <c r="C221" t="s">
        <v>240</v>
      </c>
      <c r="E221" s="2">
        <v>3108010206001</v>
      </c>
      <c r="F221" s="1" t="s">
        <v>29</v>
      </c>
      <c r="G221" s="1" t="s">
        <v>53</v>
      </c>
      <c r="H221" s="1" t="s">
        <v>503</v>
      </c>
      <c r="I221" s="1" t="s">
        <v>504</v>
      </c>
      <c r="J221" s="1" t="s">
        <v>46</v>
      </c>
      <c r="K221" t="s">
        <v>34</v>
      </c>
      <c r="M221" s="1" t="s">
        <v>35</v>
      </c>
      <c r="N221" s="1">
        <v>42318949</v>
      </c>
      <c r="O221" s="1" t="s">
        <v>36</v>
      </c>
      <c r="P221" s="186">
        <v>44489.678483796299</v>
      </c>
      <c r="R221" s="1" t="s">
        <v>38</v>
      </c>
      <c r="T221" s="1" t="s">
        <v>74</v>
      </c>
      <c r="U221" s="186">
        <v>44490.678483796299</v>
      </c>
      <c r="V221" s="1" t="s">
        <v>41</v>
      </c>
      <c r="W221" s="1" t="s">
        <v>49</v>
      </c>
      <c r="X221" s="13" t="str">
        <f t="shared" si="26"/>
        <v>3108.01</v>
      </c>
      <c r="Y221" s="2">
        <f t="shared" ca="1" si="21"/>
        <v>356</v>
      </c>
      <c r="Z221" s="14">
        <v>1</v>
      </c>
      <c r="AA221" s="1" t="str">
        <f t="shared" ca="1" si="22"/>
        <v>VENCIDO</v>
      </c>
      <c r="AB221" s="1" t="str">
        <f t="shared" si="23"/>
        <v>Dosa</v>
      </c>
      <c r="AC221" s="2" t="str">
        <f t="shared" si="27"/>
        <v xml:space="preserve"> CLEITON </v>
      </c>
      <c r="AD221" s="2">
        <f t="shared" si="24"/>
        <v>5</v>
      </c>
      <c r="AE221" s="2">
        <f t="shared" ca="1" si="25"/>
        <v>-495.99778784722002</v>
      </c>
      <c r="AF221" s="15"/>
    </row>
    <row r="222" spans="1:32" hidden="1">
      <c r="A222" s="1">
        <v>8037734</v>
      </c>
      <c r="B222" s="1" t="s">
        <v>81</v>
      </c>
      <c r="C222" t="s">
        <v>240</v>
      </c>
      <c r="E222" s="2">
        <v>2413000206001</v>
      </c>
      <c r="F222" s="1" t="s">
        <v>29</v>
      </c>
      <c r="G222" s="1" t="s">
        <v>53</v>
      </c>
      <c r="H222" s="1" t="s">
        <v>505</v>
      </c>
      <c r="I222" s="1" t="s">
        <v>506</v>
      </c>
      <c r="J222" s="1" t="s">
        <v>141</v>
      </c>
      <c r="K222" t="s">
        <v>34</v>
      </c>
      <c r="M222" s="1" t="s">
        <v>35</v>
      </c>
      <c r="N222" s="1">
        <v>42318949</v>
      </c>
      <c r="O222" s="1" t="s">
        <v>36</v>
      </c>
      <c r="P222" s="186">
        <v>44489.678206018521</v>
      </c>
      <c r="R222" s="1" t="s">
        <v>38</v>
      </c>
      <c r="T222" s="1" t="s">
        <v>74</v>
      </c>
      <c r="U222" s="186">
        <v>44490.678206018521</v>
      </c>
      <c r="V222" s="1" t="s">
        <v>41</v>
      </c>
      <c r="W222" s="1" t="s">
        <v>49</v>
      </c>
      <c r="X222" s="13" t="str">
        <f t="shared" si="26"/>
        <v/>
      </c>
      <c r="Y222" s="2">
        <f t="shared" ca="1" si="21"/>
        <v>356</v>
      </c>
      <c r="Z222" s="14">
        <v>1</v>
      </c>
      <c r="AA222" s="1" t="str">
        <f t="shared" ca="1" si="22"/>
        <v>VENCIDO</v>
      </c>
      <c r="AB222" s="1" t="str">
        <f t="shared" si="23"/>
        <v>Dosa</v>
      </c>
      <c r="AC222" s="2" t="str">
        <f t="shared" si="27"/>
        <v xml:space="preserve"> CRISTINA </v>
      </c>
      <c r="AD222" s="2">
        <f t="shared" si="24"/>
        <v>5</v>
      </c>
      <c r="AE222" s="2">
        <f t="shared" ca="1" si="25"/>
        <v>-495.99806562499725</v>
      </c>
      <c r="AF222" s="15"/>
    </row>
    <row r="223" spans="1:32" hidden="1">
      <c r="A223" s="1">
        <v>8037079</v>
      </c>
      <c r="B223" s="1" t="s">
        <v>81</v>
      </c>
      <c r="C223" t="s">
        <v>240</v>
      </c>
      <c r="E223" s="2">
        <v>7740206001</v>
      </c>
      <c r="F223" s="1" t="s">
        <v>29</v>
      </c>
      <c r="G223" s="1" t="s">
        <v>53</v>
      </c>
      <c r="H223" s="1" t="s">
        <v>187</v>
      </c>
      <c r="I223" s="1" t="s">
        <v>188</v>
      </c>
      <c r="J223" s="1" t="s">
        <v>46</v>
      </c>
      <c r="K223" t="s">
        <v>34</v>
      </c>
      <c r="M223" s="1" t="s">
        <v>35</v>
      </c>
      <c r="N223" s="1">
        <v>42318949</v>
      </c>
      <c r="O223" s="1" t="s">
        <v>36</v>
      </c>
      <c r="P223" s="186">
        <v>44489.677141203705</v>
      </c>
      <c r="R223" s="1" t="s">
        <v>38</v>
      </c>
      <c r="T223" s="1" t="s">
        <v>74</v>
      </c>
      <c r="U223" s="186">
        <v>44490.677141203705</v>
      </c>
      <c r="V223" s="1" t="s">
        <v>41</v>
      </c>
      <c r="W223" s="1" t="s">
        <v>49</v>
      </c>
      <c r="X223" s="13" t="str">
        <f t="shared" si="26"/>
        <v>0007.74</v>
      </c>
      <c r="Y223" s="2">
        <f t="shared" ca="1" si="21"/>
        <v>356</v>
      </c>
      <c r="Z223" s="14">
        <v>1</v>
      </c>
      <c r="AA223" s="1" t="str">
        <f t="shared" ca="1" si="22"/>
        <v>VENCIDO</v>
      </c>
      <c r="AB223" s="1" t="str">
        <f t="shared" si="23"/>
        <v>Dosa</v>
      </c>
      <c r="AC223" s="2" t="str">
        <f t="shared" si="27"/>
        <v xml:space="preserve"> CLEITON </v>
      </c>
      <c r="AD223" s="2">
        <f t="shared" si="24"/>
        <v>5</v>
      </c>
      <c r="AE223" s="2">
        <f t="shared" ca="1" si="25"/>
        <v>-495.9991304398136</v>
      </c>
      <c r="AF223" s="15"/>
    </row>
    <row r="224" spans="1:32" hidden="1">
      <c r="A224" s="1">
        <v>8050725</v>
      </c>
      <c r="B224" s="1" t="s">
        <v>62</v>
      </c>
      <c r="C224" t="s">
        <v>511</v>
      </c>
      <c r="E224" s="2">
        <v>4997000206001</v>
      </c>
      <c r="F224" s="1" t="s">
        <v>29</v>
      </c>
      <c r="G224" s="1" t="s">
        <v>53</v>
      </c>
      <c r="H224" s="1" t="s">
        <v>406</v>
      </c>
      <c r="I224" s="1" t="s">
        <v>407</v>
      </c>
      <c r="J224" s="1" t="s">
        <v>79</v>
      </c>
      <c r="K224" t="s">
        <v>34</v>
      </c>
      <c r="M224" s="1" t="s">
        <v>35</v>
      </c>
      <c r="N224" s="1">
        <v>42318949</v>
      </c>
      <c r="O224" s="1" t="s">
        <v>105</v>
      </c>
      <c r="P224" s="186">
        <v>44494.689618055556</v>
      </c>
      <c r="R224" s="1" t="s">
        <v>38</v>
      </c>
      <c r="T224" s="1" t="s">
        <v>74</v>
      </c>
      <c r="U224" s="186">
        <v>44537.75</v>
      </c>
      <c r="V224" s="1" t="s">
        <v>41</v>
      </c>
      <c r="W224" s="1" t="s">
        <v>49</v>
      </c>
      <c r="X224" s="13" t="str">
        <f t="shared" si="26"/>
        <v/>
      </c>
      <c r="Y224" s="2">
        <f t="shared" ca="1" si="21"/>
        <v>353</v>
      </c>
      <c r="Z224" s="14">
        <v>1</v>
      </c>
      <c r="AA224" s="1" t="str">
        <f t="shared" ca="1" si="22"/>
        <v>VENCIDO</v>
      </c>
      <c r="AB224" s="1" t="str">
        <f t="shared" si="23"/>
        <v>Dosa</v>
      </c>
      <c r="AC224" s="2" t="str">
        <f t="shared" si="27"/>
        <v xml:space="preserve"> ROSEMERE </v>
      </c>
      <c r="AD224" s="2">
        <f t="shared" si="24"/>
        <v>5</v>
      </c>
      <c r="AE224" s="2">
        <f t="shared" ca="1" si="25"/>
        <v>-448.9262716435187</v>
      </c>
      <c r="AF224" s="15"/>
    </row>
    <row r="225" spans="1:32" hidden="1">
      <c r="A225" s="1">
        <v>8127356</v>
      </c>
      <c r="B225" s="1" t="s">
        <v>62</v>
      </c>
      <c r="C225" t="s">
        <v>514</v>
      </c>
      <c r="E225" s="2">
        <v>537000206001</v>
      </c>
      <c r="F225" s="1" t="s">
        <v>29</v>
      </c>
      <c r="G225" s="1" t="s">
        <v>53</v>
      </c>
      <c r="H225" s="1" t="s">
        <v>442</v>
      </c>
      <c r="I225" s="1" t="s">
        <v>443</v>
      </c>
      <c r="J225" s="1" t="s">
        <v>79</v>
      </c>
      <c r="K225" t="s">
        <v>34</v>
      </c>
      <c r="M225" s="1" t="s">
        <v>35</v>
      </c>
      <c r="N225" s="1">
        <v>42318949</v>
      </c>
      <c r="O225" s="1" t="s">
        <v>36</v>
      </c>
      <c r="P225" s="186">
        <v>44518.723263888889</v>
      </c>
      <c r="R225" s="1" t="s">
        <v>38</v>
      </c>
      <c r="T225" s="1" t="s">
        <v>74</v>
      </c>
      <c r="U225" s="186">
        <v>44560.75</v>
      </c>
      <c r="V225" s="1" t="s">
        <v>41</v>
      </c>
      <c r="W225" s="1" t="s">
        <v>49</v>
      </c>
      <c r="X225" s="13" t="str">
        <f t="shared" si="26"/>
        <v/>
      </c>
      <c r="Y225" s="2">
        <f t="shared" ca="1" si="21"/>
        <v>335</v>
      </c>
      <c r="Z225" s="14">
        <v>1</v>
      </c>
      <c r="AA225" s="1" t="str">
        <f t="shared" ca="1" si="22"/>
        <v>VENCIDO</v>
      </c>
      <c r="AB225" s="1" t="str">
        <f t="shared" si="23"/>
        <v>Dosa</v>
      </c>
      <c r="AC225" s="2" t="str">
        <f t="shared" si="27"/>
        <v xml:space="preserve"> ROSEMERE </v>
      </c>
      <c r="AD225" s="2">
        <f t="shared" si="24"/>
        <v>5</v>
      </c>
      <c r="AE225" s="2">
        <f t="shared" ca="1" si="25"/>
        <v>-425.9262716435187</v>
      </c>
      <c r="AF225" s="15"/>
    </row>
    <row r="226" spans="1:32" hidden="1">
      <c r="A226" s="1">
        <v>8130031</v>
      </c>
      <c r="B226" s="1" t="s">
        <v>62</v>
      </c>
      <c r="C226" t="s">
        <v>515</v>
      </c>
      <c r="E226" s="2">
        <v>5742000206001</v>
      </c>
      <c r="F226" s="1" t="s">
        <v>29</v>
      </c>
      <c r="G226" s="1" t="s">
        <v>53</v>
      </c>
      <c r="H226" s="1" t="s">
        <v>430</v>
      </c>
      <c r="I226" s="1" t="s">
        <v>431</v>
      </c>
      <c r="J226" s="1" t="s">
        <v>79</v>
      </c>
      <c r="K226" t="s">
        <v>34</v>
      </c>
      <c r="M226" s="1" t="s">
        <v>35</v>
      </c>
      <c r="N226" s="1">
        <v>42318949</v>
      </c>
      <c r="O226" s="1" t="s">
        <v>105</v>
      </c>
      <c r="P226" s="186">
        <v>44519.716967592591</v>
      </c>
      <c r="R226" s="1" t="s">
        <v>38</v>
      </c>
      <c r="T226" s="1" t="s">
        <v>74</v>
      </c>
      <c r="U226" s="186">
        <v>44561.75</v>
      </c>
      <c r="V226" s="1" t="s">
        <v>41</v>
      </c>
      <c r="W226" s="1" t="s">
        <v>49</v>
      </c>
      <c r="X226" s="13" t="str">
        <f t="shared" si="26"/>
        <v/>
      </c>
      <c r="Y226" s="2">
        <f t="shared" ca="1" si="21"/>
        <v>334</v>
      </c>
      <c r="Z226" s="14">
        <v>1</v>
      </c>
      <c r="AA226" s="1" t="str">
        <f t="shared" ca="1" si="22"/>
        <v>VENCIDO</v>
      </c>
      <c r="AB226" s="1" t="str">
        <f t="shared" si="23"/>
        <v>Dosa</v>
      </c>
      <c r="AC226" s="2" t="str">
        <f t="shared" si="27"/>
        <v xml:space="preserve"> ROSEMERE </v>
      </c>
      <c r="AD226" s="2">
        <f t="shared" si="24"/>
        <v>5</v>
      </c>
      <c r="AE226" s="2">
        <f t="shared" ca="1" si="25"/>
        <v>-424.9262716435187</v>
      </c>
      <c r="AF226" s="15"/>
    </row>
    <row r="227" spans="1:32" hidden="1">
      <c r="A227" s="1">
        <v>8139932</v>
      </c>
      <c r="B227" s="1" t="s">
        <v>81</v>
      </c>
      <c r="C227" t="s">
        <v>518</v>
      </c>
      <c r="E227" s="2">
        <v>7419141893543</v>
      </c>
      <c r="F227" s="1" t="s">
        <v>128</v>
      </c>
      <c r="G227" s="1" t="s">
        <v>53</v>
      </c>
      <c r="H227" s="1" t="s">
        <v>519</v>
      </c>
      <c r="I227" s="1" t="s">
        <v>520</v>
      </c>
      <c r="J227" s="1" t="s">
        <v>90</v>
      </c>
      <c r="K227" t="s">
        <v>129</v>
      </c>
      <c r="M227" s="1" t="s">
        <v>58</v>
      </c>
      <c r="N227" s="1">
        <v>0</v>
      </c>
      <c r="O227" s="1" t="s">
        <v>105</v>
      </c>
      <c r="P227" s="186">
        <v>44524.020509259259</v>
      </c>
      <c r="R227" s="1">
        <v>14</v>
      </c>
      <c r="T227" s="1" t="s">
        <v>238</v>
      </c>
      <c r="U227" s="186">
        <v>44525.020509259259</v>
      </c>
      <c r="V227" s="1" t="s">
        <v>41</v>
      </c>
      <c r="W227" s="1" t="s">
        <v>49</v>
      </c>
      <c r="X227" s="13" t="str">
        <f t="shared" si="26"/>
        <v>0870.91</v>
      </c>
      <c r="Y227" s="2">
        <f t="shared" ca="1" si="21"/>
        <v>331</v>
      </c>
      <c r="Z227" s="14">
        <v>1</v>
      </c>
      <c r="AA227" s="1" t="str">
        <f t="shared" ca="1" si="22"/>
        <v>VENCIDO</v>
      </c>
      <c r="AB227" s="1" t="str">
        <f t="shared" si="23"/>
        <v>TAAe+</v>
      </c>
      <c r="AC227" s="2" t="str">
        <f t="shared" si="27"/>
        <v xml:space="preserve"> RINALDO </v>
      </c>
      <c r="AD227" s="2">
        <f t="shared" si="24"/>
        <v>8</v>
      </c>
      <c r="AE227" s="2">
        <f t="shared" ca="1" si="25"/>
        <v>-461.65576238426002</v>
      </c>
      <c r="AF227" s="15"/>
    </row>
    <row r="228" spans="1:32" hidden="1">
      <c r="A228" s="1">
        <v>8139913</v>
      </c>
      <c r="B228" s="1" t="s">
        <v>81</v>
      </c>
      <c r="C228" t="s">
        <v>518</v>
      </c>
      <c r="E228" s="2">
        <v>7417163284512</v>
      </c>
      <c r="F228" s="1" t="s">
        <v>131</v>
      </c>
      <c r="G228" s="1" t="s">
        <v>53</v>
      </c>
      <c r="H228" s="1" t="s">
        <v>519</v>
      </c>
      <c r="I228" s="1" t="s">
        <v>520</v>
      </c>
      <c r="J228" s="1" t="s">
        <v>90</v>
      </c>
      <c r="K228" t="s">
        <v>132</v>
      </c>
      <c r="M228" s="1" t="s">
        <v>58</v>
      </c>
      <c r="N228" s="1">
        <v>0</v>
      </c>
      <c r="O228" s="1" t="s">
        <v>105</v>
      </c>
      <c r="P228" s="186">
        <v>44524.020486111112</v>
      </c>
      <c r="R228" s="1">
        <v>14</v>
      </c>
      <c r="T228" s="1" t="s">
        <v>238</v>
      </c>
      <c r="U228" s="186">
        <v>44525.020486111112</v>
      </c>
      <c r="V228" s="1" t="s">
        <v>41</v>
      </c>
      <c r="W228" s="1" t="s">
        <v>49</v>
      </c>
      <c r="X228" s="13" t="str">
        <f t="shared" si="26"/>
        <v>0870.91</v>
      </c>
      <c r="Y228" s="2">
        <f t="shared" ca="1" si="21"/>
        <v>331</v>
      </c>
      <c r="Z228" s="14">
        <v>1</v>
      </c>
      <c r="AA228" s="1" t="str">
        <f t="shared" ca="1" si="22"/>
        <v>VENCIDO</v>
      </c>
      <c r="AB228" s="1" t="str">
        <f t="shared" si="23"/>
        <v>TAAe+</v>
      </c>
      <c r="AC228" s="2" t="str">
        <f t="shared" si="27"/>
        <v xml:space="preserve"> RINALDO </v>
      </c>
      <c r="AD228" s="2">
        <f t="shared" si="24"/>
        <v>8</v>
      </c>
      <c r="AE228" s="2">
        <f t="shared" ca="1" si="25"/>
        <v>-461.6557855324063</v>
      </c>
      <c r="AF228" s="15"/>
    </row>
    <row r="229" spans="1:32" hidden="1">
      <c r="A229" s="1">
        <v>8253667</v>
      </c>
      <c r="B229" s="1" t="s">
        <v>62</v>
      </c>
      <c r="C229" t="s">
        <v>3575</v>
      </c>
      <c r="E229" s="2">
        <v>1902016589800</v>
      </c>
      <c r="F229" s="1" t="s">
        <v>64</v>
      </c>
      <c r="G229" s="1" t="s">
        <v>53</v>
      </c>
      <c r="H229" s="1" t="s">
        <v>365</v>
      </c>
      <c r="I229" s="1" t="s">
        <v>366</v>
      </c>
      <c r="J229" s="1" t="s">
        <v>164</v>
      </c>
      <c r="K229" t="s">
        <v>67</v>
      </c>
      <c r="M229" s="1" t="s">
        <v>35</v>
      </c>
      <c r="N229" s="1">
        <v>42318949</v>
      </c>
      <c r="O229" s="1" t="s">
        <v>36</v>
      </c>
      <c r="P229" s="186">
        <v>44565.451747685183</v>
      </c>
      <c r="R229" s="1">
        <v>1</v>
      </c>
      <c r="T229" s="1" t="s">
        <v>69</v>
      </c>
      <c r="U229" s="186">
        <v>44566.451747685183</v>
      </c>
      <c r="V229" s="1" t="s">
        <v>41</v>
      </c>
      <c r="W229" s="1" t="s">
        <v>49</v>
      </c>
      <c r="X229" s="13" t="str">
        <f t="shared" si="26"/>
        <v/>
      </c>
      <c r="Y229" s="2">
        <f t="shared" ca="1" si="21"/>
        <v>302</v>
      </c>
      <c r="Z229" s="14">
        <v>1</v>
      </c>
      <c r="AA229" s="1" t="str">
        <f t="shared" ca="1" si="22"/>
        <v>VENCIDO</v>
      </c>
      <c r="AB229" s="1" t="str">
        <f t="shared" si="23"/>
        <v>TAAe+</v>
      </c>
      <c r="AC229" s="2" t="str">
        <f t="shared" si="27"/>
        <v xml:space="preserve"> ROSEMERE </v>
      </c>
      <c r="AD229" s="2">
        <f t="shared" si="24"/>
        <v>8</v>
      </c>
      <c r="AE229" s="2">
        <f t="shared" ca="1" si="25"/>
        <v>-420.22452395833534</v>
      </c>
      <c r="AF229" s="15"/>
    </row>
    <row r="230" spans="1:32" hidden="1">
      <c r="A230" s="1">
        <v>8253660</v>
      </c>
      <c r="B230" s="1" t="s">
        <v>62</v>
      </c>
      <c r="C230" t="s">
        <v>3575</v>
      </c>
      <c r="E230" s="2">
        <v>1902016083400</v>
      </c>
      <c r="F230" s="1" t="s">
        <v>64</v>
      </c>
      <c r="G230" s="1" t="s">
        <v>53</v>
      </c>
      <c r="H230" s="1" t="s">
        <v>367</v>
      </c>
      <c r="I230" s="1" t="s">
        <v>368</v>
      </c>
      <c r="J230" s="1" t="s">
        <v>261</v>
      </c>
      <c r="K230" t="s">
        <v>67</v>
      </c>
      <c r="M230" s="1" t="s">
        <v>35</v>
      </c>
      <c r="N230" s="1">
        <v>42318949</v>
      </c>
      <c r="O230" s="1" t="s">
        <v>36</v>
      </c>
      <c r="P230" s="186">
        <v>44565.451736111114</v>
      </c>
      <c r="R230" s="1">
        <v>1</v>
      </c>
      <c r="T230" s="1" t="s">
        <v>69</v>
      </c>
      <c r="U230" s="186">
        <v>44566.451736111114</v>
      </c>
      <c r="V230" s="1" t="s">
        <v>41</v>
      </c>
      <c r="W230" s="1" t="s">
        <v>49</v>
      </c>
      <c r="X230" s="13" t="str">
        <f t="shared" si="26"/>
        <v/>
      </c>
      <c r="Y230" s="2">
        <f t="shared" ca="1" si="21"/>
        <v>302</v>
      </c>
      <c r="Z230" s="14">
        <v>1</v>
      </c>
      <c r="AA230" s="1" t="str">
        <f t="shared" ca="1" si="22"/>
        <v>VENCIDO</v>
      </c>
      <c r="AB230" s="1" t="str">
        <f t="shared" si="23"/>
        <v>TAAe+</v>
      </c>
      <c r="AC230" s="2" t="str">
        <f t="shared" si="27"/>
        <v xml:space="preserve"> CRISTINA </v>
      </c>
      <c r="AD230" s="2">
        <f t="shared" si="24"/>
        <v>8</v>
      </c>
      <c r="AE230" s="2">
        <f t="shared" ca="1" si="25"/>
        <v>-420.22453553240484</v>
      </c>
      <c r="AF230" s="15"/>
    </row>
    <row r="231" spans="1:32" hidden="1">
      <c r="A231" s="1">
        <v>8253659</v>
      </c>
      <c r="B231" s="1" t="s">
        <v>62</v>
      </c>
      <c r="C231" t="s">
        <v>3575</v>
      </c>
      <c r="E231" s="2">
        <v>1902016057000</v>
      </c>
      <c r="F231" s="1" t="s">
        <v>64</v>
      </c>
      <c r="G231" s="1" t="s">
        <v>53</v>
      </c>
      <c r="H231" s="1" t="s">
        <v>434</v>
      </c>
      <c r="I231" s="1" t="s">
        <v>435</v>
      </c>
      <c r="J231" s="1" t="s">
        <v>148</v>
      </c>
      <c r="K231" t="s">
        <v>67</v>
      </c>
      <c r="M231" s="1" t="s">
        <v>35</v>
      </c>
      <c r="N231" s="1">
        <v>42318949</v>
      </c>
      <c r="O231" s="1" t="s">
        <v>36</v>
      </c>
      <c r="P231" s="186">
        <v>44565.451736111114</v>
      </c>
      <c r="R231" s="1">
        <v>1</v>
      </c>
      <c r="T231" s="1" t="s">
        <v>69</v>
      </c>
      <c r="U231" s="186">
        <v>44566.451736111114</v>
      </c>
      <c r="V231" s="1" t="s">
        <v>41</v>
      </c>
      <c r="W231" s="1" t="s">
        <v>49</v>
      </c>
      <c r="X231" s="13" t="str">
        <f t="shared" si="26"/>
        <v/>
      </c>
      <c r="Y231" s="2">
        <f t="shared" ca="1" si="21"/>
        <v>302</v>
      </c>
      <c r="Z231" s="14">
        <v>1</v>
      </c>
      <c r="AA231" s="1" t="str">
        <f t="shared" ca="1" si="22"/>
        <v>VENCIDO</v>
      </c>
      <c r="AB231" s="1" t="str">
        <f t="shared" si="23"/>
        <v>TAAe+</v>
      </c>
      <c r="AC231" s="2" t="str">
        <f t="shared" si="27"/>
        <v xml:space="preserve"> RINALDO </v>
      </c>
      <c r="AD231" s="2">
        <f t="shared" si="24"/>
        <v>8</v>
      </c>
      <c r="AE231" s="2">
        <f t="shared" ca="1" si="25"/>
        <v>-420.22453553240484</v>
      </c>
      <c r="AF231" s="15"/>
    </row>
    <row r="232" spans="1:32" hidden="1">
      <c r="A232" s="1">
        <v>8253658</v>
      </c>
      <c r="B232" s="1" t="s">
        <v>62</v>
      </c>
      <c r="C232" t="s">
        <v>3575</v>
      </c>
      <c r="E232" s="2">
        <v>1902016044600</v>
      </c>
      <c r="F232" s="1" t="s">
        <v>64</v>
      </c>
      <c r="G232" s="1" t="s">
        <v>53</v>
      </c>
      <c r="H232" s="1" t="s">
        <v>432</v>
      </c>
      <c r="I232" s="1" t="s">
        <v>433</v>
      </c>
      <c r="J232" s="1" t="s">
        <v>141</v>
      </c>
      <c r="K232" t="s">
        <v>67</v>
      </c>
      <c r="M232" s="1" t="s">
        <v>35</v>
      </c>
      <c r="N232" s="1">
        <v>42318949</v>
      </c>
      <c r="O232" s="1" t="s">
        <v>36</v>
      </c>
      <c r="P232" s="186">
        <v>44565.451736111114</v>
      </c>
      <c r="R232" s="1">
        <v>1</v>
      </c>
      <c r="T232" s="1" t="s">
        <v>69</v>
      </c>
      <c r="U232" s="186">
        <v>44566.451736111114</v>
      </c>
      <c r="V232" s="1" t="s">
        <v>41</v>
      </c>
      <c r="W232" s="1" t="s">
        <v>49</v>
      </c>
      <c r="X232" s="13" t="str">
        <f t="shared" si="26"/>
        <v/>
      </c>
      <c r="Y232" s="2">
        <f t="shared" ca="1" si="21"/>
        <v>302</v>
      </c>
      <c r="Z232" s="14">
        <v>1</v>
      </c>
      <c r="AA232" s="1" t="str">
        <f t="shared" ca="1" si="22"/>
        <v>VENCIDO</v>
      </c>
      <c r="AB232" s="1" t="str">
        <f t="shared" si="23"/>
        <v>TAAe+</v>
      </c>
      <c r="AC232" s="2" t="str">
        <f t="shared" si="27"/>
        <v xml:space="preserve"> CRISTINA </v>
      </c>
      <c r="AD232" s="2">
        <f t="shared" si="24"/>
        <v>8</v>
      </c>
      <c r="AE232" s="2">
        <f t="shared" ca="1" si="25"/>
        <v>-420.22453553240484</v>
      </c>
      <c r="AF232" s="15"/>
    </row>
    <row r="233" spans="1:32" hidden="1">
      <c r="A233" s="1">
        <v>8253656</v>
      </c>
      <c r="B233" s="1" t="s">
        <v>62</v>
      </c>
      <c r="C233" t="s">
        <v>3575</v>
      </c>
      <c r="E233" s="2">
        <v>1902016015900</v>
      </c>
      <c r="F233" s="1" t="s">
        <v>64</v>
      </c>
      <c r="G233" s="1" t="s">
        <v>53</v>
      </c>
      <c r="H233" s="1" t="s">
        <v>331</v>
      </c>
      <c r="I233" s="1" t="s">
        <v>332</v>
      </c>
      <c r="J233" s="1" t="s">
        <v>79</v>
      </c>
      <c r="K233" t="s">
        <v>67</v>
      </c>
      <c r="M233" s="1" t="s">
        <v>35</v>
      </c>
      <c r="N233" s="1">
        <v>42318949</v>
      </c>
      <c r="O233" s="1" t="s">
        <v>36</v>
      </c>
      <c r="P233" s="186">
        <v>44565.451736111114</v>
      </c>
      <c r="R233" s="1">
        <v>1</v>
      </c>
      <c r="T233" s="1" t="s">
        <v>69</v>
      </c>
      <c r="U233" s="186">
        <v>44566.451736111114</v>
      </c>
      <c r="V233" s="1" t="s">
        <v>41</v>
      </c>
      <c r="W233" s="1" t="s">
        <v>49</v>
      </c>
      <c r="X233" s="13" t="str">
        <f t="shared" si="26"/>
        <v/>
      </c>
      <c r="Y233" s="2">
        <f t="shared" ca="1" si="21"/>
        <v>302</v>
      </c>
      <c r="Z233" s="14">
        <v>1</v>
      </c>
      <c r="AA233" s="1" t="str">
        <f t="shared" ca="1" si="22"/>
        <v>VENCIDO</v>
      </c>
      <c r="AB233" s="1" t="str">
        <f t="shared" si="23"/>
        <v>TAAe+</v>
      </c>
      <c r="AC233" s="2" t="str">
        <f t="shared" si="27"/>
        <v xml:space="preserve"> ROSEMERE </v>
      </c>
      <c r="AD233" s="2">
        <f t="shared" si="24"/>
        <v>8</v>
      </c>
      <c r="AE233" s="2">
        <f t="shared" ca="1" si="25"/>
        <v>-420.22453553240484</v>
      </c>
      <c r="AF233" s="15"/>
    </row>
    <row r="234" spans="1:32" hidden="1">
      <c r="A234" s="1">
        <v>8290700</v>
      </c>
      <c r="B234" s="1" t="s">
        <v>62</v>
      </c>
      <c r="C234" t="s">
        <v>530</v>
      </c>
      <c r="E234" s="2">
        <v>963000203010</v>
      </c>
      <c r="F234" s="1" t="s">
        <v>152</v>
      </c>
      <c r="G234" s="1" t="s">
        <v>53</v>
      </c>
      <c r="H234" s="1" t="s">
        <v>531</v>
      </c>
      <c r="I234" s="1" t="s">
        <v>532</v>
      </c>
      <c r="J234" s="1" t="s">
        <v>33</v>
      </c>
      <c r="K234" t="s">
        <v>155</v>
      </c>
      <c r="M234" s="1" t="s">
        <v>35</v>
      </c>
      <c r="N234" s="1">
        <v>42318949</v>
      </c>
      <c r="O234" s="1" t="s">
        <v>36</v>
      </c>
      <c r="P234" s="186">
        <v>44580.465891203705</v>
      </c>
      <c r="R234" s="1" t="s">
        <v>38</v>
      </c>
      <c r="T234" s="1" t="s">
        <v>157</v>
      </c>
      <c r="U234" s="186">
        <v>44614.75</v>
      </c>
      <c r="V234" s="1" t="s">
        <v>41</v>
      </c>
      <c r="W234" s="1" t="s">
        <v>49</v>
      </c>
      <c r="X234" s="13" t="str">
        <f t="shared" si="26"/>
        <v/>
      </c>
      <c r="Y234" s="2">
        <f t="shared" ca="1" si="21"/>
        <v>291</v>
      </c>
      <c r="Z234" s="14">
        <v>1</v>
      </c>
      <c r="AA234" s="1" t="str">
        <f t="shared" ca="1" si="22"/>
        <v>VENCIDO</v>
      </c>
      <c r="AB234" s="1" t="str">
        <f t="shared" si="23"/>
        <v>TAAe+</v>
      </c>
      <c r="AC234" s="2" t="str">
        <f t="shared" si="27"/>
        <v xml:space="preserve"> ROSEMERE </v>
      </c>
      <c r="AD234" s="2">
        <f t="shared" si="24"/>
        <v>8</v>
      </c>
      <c r="AE234" s="2">
        <f t="shared" ca="1" si="25"/>
        <v>-371.9262716435187</v>
      </c>
      <c r="AF234" s="15"/>
    </row>
    <row r="235" spans="1:32" hidden="1">
      <c r="A235" s="1">
        <v>8290676</v>
      </c>
      <c r="B235" s="1" t="s">
        <v>62</v>
      </c>
      <c r="C235" t="s">
        <v>530</v>
      </c>
      <c r="E235" s="2">
        <v>67000203010</v>
      </c>
      <c r="F235" s="1" t="s">
        <v>152</v>
      </c>
      <c r="G235" s="1" t="s">
        <v>53</v>
      </c>
      <c r="H235" s="1" t="s">
        <v>404</v>
      </c>
      <c r="I235" s="1" t="s">
        <v>405</v>
      </c>
      <c r="J235" s="1" t="s">
        <v>164</v>
      </c>
      <c r="K235" t="s">
        <v>155</v>
      </c>
      <c r="M235" s="1" t="s">
        <v>35</v>
      </c>
      <c r="N235" s="1">
        <v>42318949</v>
      </c>
      <c r="O235" s="1" t="s">
        <v>36</v>
      </c>
      <c r="P235" s="186">
        <v>44580.465844907405</v>
      </c>
      <c r="R235" s="1" t="s">
        <v>38</v>
      </c>
      <c r="T235" s="1" t="s">
        <v>157</v>
      </c>
      <c r="U235" s="186">
        <v>44614.75</v>
      </c>
      <c r="V235" s="1" t="s">
        <v>41</v>
      </c>
      <c r="W235" s="1" t="s">
        <v>49</v>
      </c>
      <c r="X235" s="13" t="str">
        <f t="shared" si="26"/>
        <v/>
      </c>
      <c r="Y235" s="2">
        <f t="shared" ca="1" si="21"/>
        <v>291</v>
      </c>
      <c r="Z235" s="14">
        <v>1</v>
      </c>
      <c r="AA235" s="1" t="str">
        <f t="shared" ca="1" si="22"/>
        <v>VENCIDO</v>
      </c>
      <c r="AB235" s="1" t="str">
        <f t="shared" si="23"/>
        <v>TAAe+</v>
      </c>
      <c r="AC235" s="2" t="str">
        <f t="shared" si="27"/>
        <v xml:space="preserve"> ROSEMERE </v>
      </c>
      <c r="AD235" s="2">
        <f t="shared" si="24"/>
        <v>8</v>
      </c>
      <c r="AE235" s="2">
        <f t="shared" ca="1" si="25"/>
        <v>-371.9262716435187</v>
      </c>
      <c r="AF235" s="15"/>
    </row>
    <row r="236" spans="1:32" hidden="1">
      <c r="A236" s="1">
        <v>8290634</v>
      </c>
      <c r="B236" s="1" t="s">
        <v>62</v>
      </c>
      <c r="C236" t="s">
        <v>530</v>
      </c>
      <c r="E236" s="2">
        <v>2988000203010</v>
      </c>
      <c r="F236" s="1" t="s">
        <v>152</v>
      </c>
      <c r="G236" s="1" t="s">
        <v>53</v>
      </c>
      <c r="H236" s="1" t="s">
        <v>536</v>
      </c>
      <c r="I236" s="1" t="s">
        <v>537</v>
      </c>
      <c r="J236" s="1" t="s">
        <v>46</v>
      </c>
      <c r="K236" t="s">
        <v>155</v>
      </c>
      <c r="M236" s="1" t="s">
        <v>35</v>
      </c>
      <c r="N236" s="1">
        <v>42318949</v>
      </c>
      <c r="O236" s="1" t="s">
        <v>36</v>
      </c>
      <c r="P236" s="186">
        <v>44580.465752314813</v>
      </c>
      <c r="R236" s="1" t="s">
        <v>38</v>
      </c>
      <c r="T236" s="1" t="s">
        <v>157</v>
      </c>
      <c r="U236" s="186">
        <v>44614.75</v>
      </c>
      <c r="V236" s="1" t="s">
        <v>41</v>
      </c>
      <c r="W236" s="1" t="s">
        <v>49</v>
      </c>
      <c r="X236" s="13" t="str">
        <f t="shared" si="26"/>
        <v/>
      </c>
      <c r="Y236" s="2">
        <f t="shared" ca="1" si="21"/>
        <v>291</v>
      </c>
      <c r="Z236" s="14">
        <v>1</v>
      </c>
      <c r="AA236" s="1" t="str">
        <f t="shared" ca="1" si="22"/>
        <v>VENCIDO</v>
      </c>
      <c r="AB236" s="1" t="str">
        <f t="shared" si="23"/>
        <v>TAAe+</v>
      </c>
      <c r="AC236" s="2" t="str">
        <f t="shared" si="27"/>
        <v xml:space="preserve"> CLEITON </v>
      </c>
      <c r="AD236" s="2">
        <f t="shared" si="24"/>
        <v>8</v>
      </c>
      <c r="AE236" s="2">
        <f t="shared" ca="1" si="25"/>
        <v>-371.9262716435187</v>
      </c>
      <c r="AF236" s="15"/>
    </row>
    <row r="237" spans="1:32" hidden="1">
      <c r="A237" s="1">
        <v>8290541</v>
      </c>
      <c r="B237" s="1" t="s">
        <v>62</v>
      </c>
      <c r="C237" t="s">
        <v>530</v>
      </c>
      <c r="E237" s="2">
        <v>1185000203010</v>
      </c>
      <c r="F237" s="1" t="s">
        <v>152</v>
      </c>
      <c r="G237" s="1" t="s">
        <v>53</v>
      </c>
      <c r="H237" s="1" t="s">
        <v>539</v>
      </c>
      <c r="I237" s="1" t="s">
        <v>540</v>
      </c>
      <c r="J237" s="1" t="s">
        <v>33</v>
      </c>
      <c r="K237" t="s">
        <v>155</v>
      </c>
      <c r="M237" s="1" t="s">
        <v>35</v>
      </c>
      <c r="N237" s="1">
        <v>42318949</v>
      </c>
      <c r="O237" s="1" t="s">
        <v>36</v>
      </c>
      <c r="P237" s="186">
        <v>44580.465567129628</v>
      </c>
      <c r="R237" s="1" t="s">
        <v>38</v>
      </c>
      <c r="T237" s="1" t="s">
        <v>157</v>
      </c>
      <c r="U237" s="186">
        <v>44614.75</v>
      </c>
      <c r="V237" s="1" t="s">
        <v>41</v>
      </c>
      <c r="W237" s="1" t="s">
        <v>42</v>
      </c>
      <c r="X237" s="13" t="str">
        <f t="shared" si="26"/>
        <v/>
      </c>
      <c r="Y237" s="2">
        <f t="shared" ca="1" si="21"/>
        <v>291</v>
      </c>
      <c r="Z237" s="14">
        <v>1</v>
      </c>
      <c r="AA237" s="1" t="str">
        <f t="shared" ca="1" si="22"/>
        <v>VENCIDO</v>
      </c>
      <c r="AB237" s="1" t="str">
        <f t="shared" si="23"/>
        <v>TAAe+</v>
      </c>
      <c r="AC237" s="2" t="str">
        <f t="shared" si="27"/>
        <v xml:space="preserve"> ROSEMERE </v>
      </c>
      <c r="AD237" s="2">
        <f t="shared" si="24"/>
        <v>8</v>
      </c>
      <c r="AE237" s="2">
        <f t="shared" ca="1" si="25"/>
        <v>-371.9262716435187</v>
      </c>
      <c r="AF237" s="15"/>
    </row>
    <row r="238" spans="1:32" hidden="1">
      <c r="A238" s="1">
        <v>8290533</v>
      </c>
      <c r="B238" s="1" t="s">
        <v>62</v>
      </c>
      <c r="C238" t="s">
        <v>530</v>
      </c>
      <c r="E238" s="2">
        <v>115000203010</v>
      </c>
      <c r="F238" s="1" t="s">
        <v>152</v>
      </c>
      <c r="G238" s="1" t="s">
        <v>53</v>
      </c>
      <c r="H238" s="1" t="s">
        <v>542</v>
      </c>
      <c r="I238" s="1" t="s">
        <v>543</v>
      </c>
      <c r="J238" s="1" t="s">
        <v>56</v>
      </c>
      <c r="K238" t="s">
        <v>155</v>
      </c>
      <c r="M238" s="1" t="s">
        <v>35</v>
      </c>
      <c r="N238" s="1">
        <v>42318949</v>
      </c>
      <c r="O238" s="1" t="s">
        <v>36</v>
      </c>
      <c r="P238" s="186">
        <v>44580.465555555558</v>
      </c>
      <c r="R238" s="1" t="s">
        <v>38</v>
      </c>
      <c r="T238" s="1" t="s">
        <v>157</v>
      </c>
      <c r="U238" s="186">
        <v>44614.75</v>
      </c>
      <c r="V238" s="1" t="s">
        <v>41</v>
      </c>
      <c r="W238" s="1" t="s">
        <v>49</v>
      </c>
      <c r="X238" s="13" t="str">
        <f t="shared" si="26"/>
        <v/>
      </c>
      <c r="Y238" s="2">
        <f t="shared" ca="1" si="21"/>
        <v>291</v>
      </c>
      <c r="Z238" s="14">
        <v>1</v>
      </c>
      <c r="AA238" s="1" t="str">
        <f t="shared" ca="1" si="22"/>
        <v>VENCIDO</v>
      </c>
      <c r="AB238" s="1" t="str">
        <f t="shared" si="23"/>
        <v>TAAe+</v>
      </c>
      <c r="AC238" s="2" t="str">
        <f t="shared" si="27"/>
        <v xml:space="preserve"> CRISTINA </v>
      </c>
      <c r="AD238" s="2">
        <f t="shared" si="24"/>
        <v>8</v>
      </c>
      <c r="AE238" s="2">
        <f t="shared" ca="1" si="25"/>
        <v>-371.9262716435187</v>
      </c>
      <c r="AF238" s="15"/>
    </row>
    <row r="239" spans="1:32" hidden="1">
      <c r="A239" s="1">
        <v>8290521</v>
      </c>
      <c r="B239" s="1" t="s">
        <v>62</v>
      </c>
      <c r="C239" t="s">
        <v>530</v>
      </c>
      <c r="E239" s="2">
        <v>1059000203010</v>
      </c>
      <c r="F239" s="1" t="s">
        <v>152</v>
      </c>
      <c r="G239" s="1" t="s">
        <v>53</v>
      </c>
      <c r="H239" s="1" t="s">
        <v>88</v>
      </c>
      <c r="I239" s="1" t="s">
        <v>89</v>
      </c>
      <c r="J239" s="1" t="s">
        <v>90</v>
      </c>
      <c r="K239" t="s">
        <v>155</v>
      </c>
      <c r="M239" s="1" t="s">
        <v>35</v>
      </c>
      <c r="N239" s="1">
        <v>42318949</v>
      </c>
      <c r="O239" s="1" t="s">
        <v>36</v>
      </c>
      <c r="P239" s="186">
        <v>44580.465520833335</v>
      </c>
      <c r="R239" s="1" t="s">
        <v>38</v>
      </c>
      <c r="T239" s="1" t="s">
        <v>157</v>
      </c>
      <c r="U239" s="186">
        <v>44614.75</v>
      </c>
      <c r="V239" s="1" t="s">
        <v>41</v>
      </c>
      <c r="W239" s="1" t="s">
        <v>49</v>
      </c>
      <c r="X239" s="13" t="str">
        <f t="shared" si="26"/>
        <v/>
      </c>
      <c r="Y239" s="2">
        <f t="shared" ca="1" si="21"/>
        <v>291</v>
      </c>
      <c r="Z239" s="14">
        <v>1</v>
      </c>
      <c r="AA239" s="1" t="str">
        <f t="shared" ca="1" si="22"/>
        <v>VENCIDO</v>
      </c>
      <c r="AB239" s="1" t="str">
        <f t="shared" si="23"/>
        <v>TAAe+</v>
      </c>
      <c r="AC239" s="2" t="str">
        <f t="shared" si="27"/>
        <v xml:space="preserve"> RINALDO </v>
      </c>
      <c r="AD239" s="2">
        <f t="shared" si="24"/>
        <v>8</v>
      </c>
      <c r="AE239" s="2">
        <f t="shared" ca="1" si="25"/>
        <v>-371.9262716435187</v>
      </c>
      <c r="AF239" s="15"/>
    </row>
    <row r="240" spans="1:32" hidden="1">
      <c r="A240" s="1">
        <v>8290456</v>
      </c>
      <c r="B240" s="1" t="s">
        <v>62</v>
      </c>
      <c r="C240" t="s">
        <v>530</v>
      </c>
      <c r="E240" s="2">
        <v>5816000203010</v>
      </c>
      <c r="F240" s="1" t="s">
        <v>152</v>
      </c>
      <c r="G240" s="1" t="s">
        <v>53</v>
      </c>
      <c r="H240" s="1" t="s">
        <v>412</v>
      </c>
      <c r="I240" s="1" t="s">
        <v>413</v>
      </c>
      <c r="J240" s="1" t="s">
        <v>46</v>
      </c>
      <c r="K240" t="s">
        <v>155</v>
      </c>
      <c r="M240" s="1" t="s">
        <v>35</v>
      </c>
      <c r="N240" s="1">
        <v>42318949</v>
      </c>
      <c r="O240" s="1" t="s">
        <v>36</v>
      </c>
      <c r="P240" s="186">
        <v>44580.465381944443</v>
      </c>
      <c r="R240" s="1" t="s">
        <v>38</v>
      </c>
      <c r="T240" s="1" t="s">
        <v>157</v>
      </c>
      <c r="U240" s="186">
        <v>44614.75</v>
      </c>
      <c r="V240" s="1" t="s">
        <v>41</v>
      </c>
      <c r="W240" s="1" t="s">
        <v>49</v>
      </c>
      <c r="X240" s="13" t="str">
        <f t="shared" si="26"/>
        <v/>
      </c>
      <c r="Y240" s="2">
        <f t="shared" ca="1" si="21"/>
        <v>291</v>
      </c>
      <c r="Z240" s="14">
        <v>1</v>
      </c>
      <c r="AA240" s="1" t="str">
        <f t="shared" ca="1" si="22"/>
        <v>VENCIDO</v>
      </c>
      <c r="AB240" s="1" t="str">
        <f t="shared" si="23"/>
        <v>TAAe+</v>
      </c>
      <c r="AC240" s="2" t="str">
        <f t="shared" si="27"/>
        <v xml:space="preserve"> CLEITON </v>
      </c>
      <c r="AD240" s="2">
        <f t="shared" si="24"/>
        <v>8</v>
      </c>
      <c r="AE240" s="2">
        <f t="shared" ca="1" si="25"/>
        <v>-371.9262716435187</v>
      </c>
      <c r="AF240" s="15"/>
    </row>
    <row r="241" spans="1:32" hidden="1">
      <c r="A241" s="1">
        <v>8290427</v>
      </c>
      <c r="B241" s="1" t="s">
        <v>62</v>
      </c>
      <c r="C241" t="s">
        <v>530</v>
      </c>
      <c r="E241" s="2">
        <v>2802000203010</v>
      </c>
      <c r="F241" s="1" t="s">
        <v>152</v>
      </c>
      <c r="G241" s="1" t="s">
        <v>53</v>
      </c>
      <c r="H241" s="1" t="s">
        <v>388</v>
      </c>
      <c r="I241" s="1" t="s">
        <v>389</v>
      </c>
      <c r="J241" s="1" t="s">
        <v>46</v>
      </c>
      <c r="K241" t="s">
        <v>155</v>
      </c>
      <c r="M241" s="1" t="s">
        <v>35</v>
      </c>
      <c r="N241" s="1">
        <v>42318949</v>
      </c>
      <c r="O241" s="1" t="s">
        <v>36</v>
      </c>
      <c r="P241" s="186">
        <v>44580.465312499997</v>
      </c>
      <c r="R241" s="1" t="s">
        <v>38</v>
      </c>
      <c r="T241" s="1" t="s">
        <v>157</v>
      </c>
      <c r="U241" s="186">
        <v>44614.75</v>
      </c>
      <c r="V241" s="1" t="s">
        <v>41</v>
      </c>
      <c r="W241" s="1" t="s">
        <v>49</v>
      </c>
      <c r="X241" s="13" t="str">
        <f t="shared" si="26"/>
        <v/>
      </c>
      <c r="Y241" s="2">
        <f t="shared" ca="1" si="21"/>
        <v>291</v>
      </c>
      <c r="Z241" s="14">
        <v>1</v>
      </c>
      <c r="AA241" s="1" t="str">
        <f t="shared" ca="1" si="22"/>
        <v>VENCIDO</v>
      </c>
      <c r="AB241" s="1" t="str">
        <f t="shared" si="23"/>
        <v>TAAe+</v>
      </c>
      <c r="AC241" s="2" t="str">
        <f t="shared" si="27"/>
        <v xml:space="preserve"> CLEITON </v>
      </c>
      <c r="AD241" s="2">
        <f t="shared" si="24"/>
        <v>8</v>
      </c>
      <c r="AE241" s="2">
        <f t="shared" ca="1" si="25"/>
        <v>-371.9262716435187</v>
      </c>
      <c r="AF241" s="15"/>
    </row>
    <row r="242" spans="1:32" hidden="1">
      <c r="A242" s="1">
        <v>8290375</v>
      </c>
      <c r="B242" s="1" t="s">
        <v>62</v>
      </c>
      <c r="C242" t="s">
        <v>530</v>
      </c>
      <c r="E242" s="2">
        <v>1138000203010</v>
      </c>
      <c r="F242" s="1" t="s">
        <v>152</v>
      </c>
      <c r="G242" s="1" t="s">
        <v>53</v>
      </c>
      <c r="H242" s="1" t="s">
        <v>548</v>
      </c>
      <c r="I242" s="1" t="s">
        <v>549</v>
      </c>
      <c r="J242" s="1" t="s">
        <v>46</v>
      </c>
      <c r="K242" t="s">
        <v>155</v>
      </c>
      <c r="M242" s="1" t="s">
        <v>35</v>
      </c>
      <c r="N242" s="1">
        <v>42318949</v>
      </c>
      <c r="O242" s="1" t="s">
        <v>36</v>
      </c>
      <c r="P242" s="186">
        <v>44580.465185185189</v>
      </c>
      <c r="R242" s="1" t="s">
        <v>38</v>
      </c>
      <c r="T242" s="1" t="s">
        <v>157</v>
      </c>
      <c r="U242" s="186">
        <v>44614.75</v>
      </c>
      <c r="V242" s="1" t="s">
        <v>41</v>
      </c>
      <c r="W242" s="1" t="s">
        <v>49</v>
      </c>
      <c r="X242" s="13" t="str">
        <f t="shared" si="26"/>
        <v/>
      </c>
      <c r="Y242" s="2">
        <f t="shared" ca="1" si="21"/>
        <v>291</v>
      </c>
      <c r="Z242" s="14">
        <v>1</v>
      </c>
      <c r="AA242" s="1" t="str">
        <f t="shared" ca="1" si="22"/>
        <v>VENCIDO</v>
      </c>
      <c r="AB242" s="1" t="str">
        <f t="shared" si="23"/>
        <v>TAAe+</v>
      </c>
      <c r="AC242" s="2" t="str">
        <f t="shared" si="27"/>
        <v xml:space="preserve"> CLEITON </v>
      </c>
      <c r="AD242" s="2">
        <f t="shared" si="24"/>
        <v>8</v>
      </c>
      <c r="AE242" s="2">
        <f t="shared" ca="1" si="25"/>
        <v>-371.9262716435187</v>
      </c>
      <c r="AF242" s="15"/>
    </row>
    <row r="243" spans="1:32" hidden="1">
      <c r="A243" s="1">
        <v>8338348</v>
      </c>
      <c r="B243" s="1" t="s">
        <v>62</v>
      </c>
      <c r="C243" t="s">
        <v>551</v>
      </c>
      <c r="E243" s="2">
        <v>934000203000</v>
      </c>
      <c r="F243" s="1" t="s">
        <v>454</v>
      </c>
      <c r="G243" s="1" t="s">
        <v>53</v>
      </c>
      <c r="H243" s="1" t="s">
        <v>428</v>
      </c>
      <c r="I243" s="1" t="s">
        <v>429</v>
      </c>
      <c r="J243" s="1" t="s">
        <v>46</v>
      </c>
      <c r="K243" t="s">
        <v>457</v>
      </c>
      <c r="M243" s="1" t="s">
        <v>58</v>
      </c>
      <c r="N243" s="1">
        <v>0</v>
      </c>
      <c r="O243" s="1" t="s">
        <v>36</v>
      </c>
      <c r="P243" s="186">
        <v>44595.603125000001</v>
      </c>
      <c r="R243" s="1" t="s">
        <v>38</v>
      </c>
      <c r="T243" s="1" t="s">
        <v>157</v>
      </c>
      <c r="U243" s="186">
        <v>44676.75</v>
      </c>
      <c r="V243" s="1" t="s">
        <v>41</v>
      </c>
      <c r="W243" s="1" t="s">
        <v>49</v>
      </c>
      <c r="X243" s="13" t="str">
        <f t="shared" si="26"/>
        <v/>
      </c>
      <c r="Y243" s="2">
        <f t="shared" ca="1" si="21"/>
        <v>280</v>
      </c>
      <c r="Z243" s="14">
        <v>1</v>
      </c>
      <c r="AA243" s="1" t="str">
        <f t="shared" ca="1" si="22"/>
        <v>VENCIDO</v>
      </c>
      <c r="AB243" s="1" t="str">
        <f t="shared" si="23"/>
        <v>C-14</v>
      </c>
      <c r="AC243" s="2" t="str">
        <f t="shared" si="27"/>
        <v xml:space="preserve"> CLEITON </v>
      </c>
      <c r="AD243" s="2">
        <f t="shared" si="24"/>
        <v>5</v>
      </c>
      <c r="AE243" s="2">
        <f t="shared" ca="1" si="25"/>
        <v>-309.9262716435187</v>
      </c>
      <c r="AF243" s="15"/>
    </row>
    <row r="244" spans="1:32" hidden="1">
      <c r="A244" s="1">
        <v>8362148</v>
      </c>
      <c r="B244" s="1" t="s">
        <v>62</v>
      </c>
      <c r="C244" t="s">
        <v>554</v>
      </c>
      <c r="E244" s="2">
        <v>2625000206001</v>
      </c>
      <c r="F244" s="1" t="s">
        <v>29</v>
      </c>
      <c r="G244" s="1" t="s">
        <v>53</v>
      </c>
      <c r="H244" s="1" t="s">
        <v>317</v>
      </c>
      <c r="I244" s="1" t="s">
        <v>318</v>
      </c>
      <c r="J244" s="1" t="s">
        <v>164</v>
      </c>
      <c r="K244" t="s">
        <v>34</v>
      </c>
      <c r="M244" s="1" t="s">
        <v>35</v>
      </c>
      <c r="N244" s="1">
        <v>42318949</v>
      </c>
      <c r="O244" s="1" t="s">
        <v>36</v>
      </c>
      <c r="P244" s="186">
        <v>44606.51085648148</v>
      </c>
      <c r="R244" s="1" t="s">
        <v>38</v>
      </c>
      <c r="T244" s="1" t="s">
        <v>74</v>
      </c>
      <c r="U244" s="186">
        <v>44649.75</v>
      </c>
      <c r="V244" s="1" t="s">
        <v>41</v>
      </c>
      <c r="W244" s="1" t="s">
        <v>49</v>
      </c>
      <c r="X244" s="13" t="str">
        <f t="shared" si="26"/>
        <v/>
      </c>
      <c r="Y244" s="2">
        <f t="shared" ca="1" si="21"/>
        <v>273</v>
      </c>
      <c r="Z244" s="14">
        <v>1</v>
      </c>
      <c r="AA244" s="1" t="str">
        <f t="shared" ca="1" si="22"/>
        <v>VENCIDO</v>
      </c>
      <c r="AB244" s="1" t="str">
        <f t="shared" si="23"/>
        <v>Dosa</v>
      </c>
      <c r="AC244" s="2" t="str">
        <f t="shared" si="27"/>
        <v xml:space="preserve"> ROSEMERE </v>
      </c>
      <c r="AD244" s="2">
        <f t="shared" si="24"/>
        <v>5</v>
      </c>
      <c r="AE244" s="2">
        <f t="shared" ca="1" si="25"/>
        <v>-336.9262716435187</v>
      </c>
      <c r="AF244" s="15"/>
    </row>
    <row r="245" spans="1:32" hidden="1">
      <c r="A245" s="1">
        <v>8430790</v>
      </c>
      <c r="B245" s="1" t="s">
        <v>62</v>
      </c>
      <c r="C245" t="s">
        <v>240</v>
      </c>
      <c r="E245" s="2">
        <v>2069000203000</v>
      </c>
      <c r="F245" s="1" t="s">
        <v>454</v>
      </c>
      <c r="G245" s="1" t="s">
        <v>53</v>
      </c>
      <c r="H245" s="1" t="s">
        <v>557</v>
      </c>
      <c r="I245" s="1" t="s">
        <v>558</v>
      </c>
      <c r="J245" s="1" t="s">
        <v>90</v>
      </c>
      <c r="K245" t="s">
        <v>457</v>
      </c>
      <c r="M245" s="1" t="s">
        <v>58</v>
      </c>
      <c r="N245" s="1">
        <v>0</v>
      </c>
      <c r="O245" s="1" t="s">
        <v>36</v>
      </c>
      <c r="P245" s="186">
        <v>44634.493680555555</v>
      </c>
      <c r="R245" s="1" t="s">
        <v>38</v>
      </c>
      <c r="T245" s="1" t="s">
        <v>157</v>
      </c>
      <c r="U245" s="186">
        <v>44669.75</v>
      </c>
      <c r="V245" s="1" t="s">
        <v>41</v>
      </c>
      <c r="W245" s="1" t="s">
        <v>49</v>
      </c>
      <c r="X245" s="13" t="str">
        <f t="shared" si="26"/>
        <v/>
      </c>
      <c r="Y245" s="2">
        <f t="shared" ca="1" si="21"/>
        <v>253</v>
      </c>
      <c r="Z245" s="14">
        <v>1</v>
      </c>
      <c r="AA245" s="1" t="str">
        <f t="shared" ca="1" si="22"/>
        <v>VENCIDO</v>
      </c>
      <c r="AB245" s="1" t="str">
        <f t="shared" si="23"/>
        <v>C-14</v>
      </c>
      <c r="AC245" s="2" t="str">
        <f t="shared" si="27"/>
        <v xml:space="preserve"> RINALDO </v>
      </c>
      <c r="AD245" s="2">
        <f t="shared" si="24"/>
        <v>5</v>
      </c>
      <c r="AE245" s="2">
        <f t="shared" ca="1" si="25"/>
        <v>-316.9262716435187</v>
      </c>
      <c r="AF245" s="15"/>
    </row>
    <row r="246" spans="1:32" hidden="1">
      <c r="A246" s="1">
        <v>8443380</v>
      </c>
      <c r="B246" s="1" t="s">
        <v>62</v>
      </c>
      <c r="C246" t="s">
        <v>530</v>
      </c>
      <c r="E246" s="2">
        <v>2669000203010</v>
      </c>
      <c r="F246" s="1" t="s">
        <v>152</v>
      </c>
      <c r="G246" s="1" t="s">
        <v>53</v>
      </c>
      <c r="H246" s="1" t="s">
        <v>561</v>
      </c>
      <c r="I246" s="1" t="s">
        <v>562</v>
      </c>
      <c r="J246" s="1" t="s">
        <v>261</v>
      </c>
      <c r="K246" t="s">
        <v>155</v>
      </c>
      <c r="M246" s="1" t="s">
        <v>35</v>
      </c>
      <c r="N246" s="1">
        <v>42318949</v>
      </c>
      <c r="O246" s="1" t="s">
        <v>36</v>
      </c>
      <c r="P246" s="186">
        <v>44638.41883101852</v>
      </c>
      <c r="R246" s="1" t="s">
        <v>38</v>
      </c>
      <c r="T246" s="1" t="s">
        <v>157</v>
      </c>
      <c r="U246" s="186">
        <v>44676.75</v>
      </c>
      <c r="V246" s="1" t="s">
        <v>41</v>
      </c>
      <c r="W246" s="1" t="s">
        <v>49</v>
      </c>
      <c r="X246" s="13" t="str">
        <f t="shared" si="26"/>
        <v/>
      </c>
      <c r="Y246" s="2">
        <f t="shared" ca="1" si="21"/>
        <v>249</v>
      </c>
      <c r="Z246" s="14">
        <v>1</v>
      </c>
      <c r="AA246" s="1" t="str">
        <f t="shared" ca="1" si="22"/>
        <v>VENCIDO</v>
      </c>
      <c r="AB246" s="1" t="str">
        <f t="shared" si="23"/>
        <v>TAAe+</v>
      </c>
      <c r="AC246" s="2" t="str">
        <f t="shared" si="27"/>
        <v xml:space="preserve"> CRISTINA </v>
      </c>
      <c r="AD246" s="2">
        <f t="shared" si="24"/>
        <v>8</v>
      </c>
      <c r="AE246" s="2">
        <f t="shared" ca="1" si="25"/>
        <v>-309.9262716435187</v>
      </c>
      <c r="AF246" s="15"/>
    </row>
    <row r="247" spans="1:32" hidden="1">
      <c r="A247" s="1">
        <v>8487590</v>
      </c>
      <c r="B247" s="1" t="s">
        <v>62</v>
      </c>
      <c r="C247" t="s">
        <v>3576</v>
      </c>
      <c r="E247" s="2">
        <v>1902016053700</v>
      </c>
      <c r="F247" s="1" t="s">
        <v>64</v>
      </c>
      <c r="G247" s="1" t="s">
        <v>53</v>
      </c>
      <c r="H247" s="1" t="s">
        <v>442</v>
      </c>
      <c r="I247" s="1" t="s">
        <v>443</v>
      </c>
      <c r="J247" s="1" t="s">
        <v>79</v>
      </c>
      <c r="K247" t="s">
        <v>67</v>
      </c>
      <c r="M247" s="1" t="s">
        <v>35</v>
      </c>
      <c r="N247" s="1">
        <v>42318949</v>
      </c>
      <c r="O247" s="1" t="s">
        <v>36</v>
      </c>
      <c r="P247" s="186">
        <v>44655.642384259256</v>
      </c>
      <c r="R247" s="1">
        <v>1</v>
      </c>
      <c r="T247" s="1" t="s">
        <v>69</v>
      </c>
      <c r="U247" s="186">
        <v>44656.642384259256</v>
      </c>
      <c r="V247" s="1" t="s">
        <v>41</v>
      </c>
      <c r="W247" s="1" t="s">
        <v>49</v>
      </c>
      <c r="X247" s="13" t="str">
        <f t="shared" si="26"/>
        <v/>
      </c>
      <c r="Y247" s="2">
        <f t="shared" ca="1" si="21"/>
        <v>238</v>
      </c>
      <c r="Z247" s="14">
        <v>1</v>
      </c>
      <c r="AA247" s="1" t="str">
        <f t="shared" ca="1" si="22"/>
        <v>VENCIDO</v>
      </c>
      <c r="AB247" s="1" t="str">
        <f t="shared" si="23"/>
        <v>TAAe+</v>
      </c>
      <c r="AC247" s="2" t="str">
        <f t="shared" si="27"/>
        <v xml:space="preserve"> ROSEMERE </v>
      </c>
      <c r="AD247" s="2">
        <f t="shared" si="24"/>
        <v>8</v>
      </c>
      <c r="AE247" s="2">
        <f t="shared" ca="1" si="25"/>
        <v>-330.03388738426293</v>
      </c>
      <c r="AF247" s="15"/>
    </row>
    <row r="248" spans="1:32" hidden="1">
      <c r="A248" s="1">
        <v>8488912</v>
      </c>
      <c r="B248" s="1" t="s">
        <v>62</v>
      </c>
      <c r="C248" t="s">
        <v>3577</v>
      </c>
      <c r="E248" s="2">
        <v>1902016192400</v>
      </c>
      <c r="F248" s="1" t="s">
        <v>64</v>
      </c>
      <c r="G248" s="1" t="s">
        <v>53</v>
      </c>
      <c r="H248" s="1" t="s">
        <v>568</v>
      </c>
      <c r="I248" s="1" t="s">
        <v>569</v>
      </c>
      <c r="J248" s="1" t="s">
        <v>33</v>
      </c>
      <c r="K248" t="s">
        <v>67</v>
      </c>
      <c r="M248" s="1" t="s">
        <v>35</v>
      </c>
      <c r="N248" s="1">
        <v>42318949</v>
      </c>
      <c r="O248" s="1" t="s">
        <v>36</v>
      </c>
      <c r="P248" s="186">
        <v>44656.359432870369</v>
      </c>
      <c r="R248" s="1" t="s">
        <v>571</v>
      </c>
      <c r="T248" s="1" t="s">
        <v>69</v>
      </c>
      <c r="U248" s="186">
        <v>44665.375</v>
      </c>
      <c r="V248" s="1" t="s">
        <v>41</v>
      </c>
      <c r="W248" s="1" t="s">
        <v>49</v>
      </c>
      <c r="X248" s="13" t="str">
        <f t="shared" si="26"/>
        <v/>
      </c>
      <c r="Y248" s="2">
        <f t="shared" ca="1" si="21"/>
        <v>237</v>
      </c>
      <c r="Z248" s="14">
        <v>1</v>
      </c>
      <c r="AA248" s="1" t="str">
        <f t="shared" ca="1" si="22"/>
        <v>VENCIDO</v>
      </c>
      <c r="AB248" s="1" t="str">
        <f t="shared" si="23"/>
        <v>TAAe+</v>
      </c>
      <c r="AC248" s="2" t="str">
        <f t="shared" si="27"/>
        <v xml:space="preserve"> ROSEMERE </v>
      </c>
      <c r="AD248" s="2">
        <f t="shared" si="24"/>
        <v>8</v>
      </c>
      <c r="AE248" s="2">
        <f t="shared" ca="1" si="25"/>
        <v>-321.3012716435187</v>
      </c>
      <c r="AF248" s="15"/>
    </row>
    <row r="249" spans="1:32" hidden="1">
      <c r="A249" s="1">
        <v>8555673</v>
      </c>
      <c r="B249" s="1" t="s">
        <v>101</v>
      </c>
      <c r="C249" t="s">
        <v>573</v>
      </c>
      <c r="E249" s="2">
        <v>1120000206001</v>
      </c>
      <c r="F249" s="1" t="s">
        <v>29</v>
      </c>
      <c r="G249" s="1" t="s">
        <v>53</v>
      </c>
      <c r="H249" s="1" t="s">
        <v>181</v>
      </c>
      <c r="I249" s="1" t="s">
        <v>182</v>
      </c>
      <c r="J249" s="1" t="s">
        <v>164</v>
      </c>
      <c r="K249" t="s">
        <v>34</v>
      </c>
      <c r="M249" s="1" t="s">
        <v>35</v>
      </c>
      <c r="N249" s="1">
        <v>42318949</v>
      </c>
      <c r="O249" s="1" t="s">
        <v>36</v>
      </c>
      <c r="P249" s="186">
        <v>44683.726759259262</v>
      </c>
      <c r="R249" s="1" t="s">
        <v>38</v>
      </c>
      <c r="T249" s="1" t="s">
        <v>74</v>
      </c>
      <c r="U249" s="186">
        <v>44684.75</v>
      </c>
      <c r="V249" s="1" t="s">
        <v>41</v>
      </c>
      <c r="W249" s="1" t="s">
        <v>49</v>
      </c>
      <c r="X249" s="13" t="str">
        <f t="shared" si="26"/>
        <v/>
      </c>
      <c r="Y249" s="2">
        <f t="shared" ca="1" si="21"/>
        <v>218</v>
      </c>
      <c r="Z249" s="14">
        <v>1</v>
      </c>
      <c r="AA249" s="1" t="str">
        <f t="shared" ca="1" si="22"/>
        <v>VENCIDO</v>
      </c>
      <c r="AB249" s="1" t="str">
        <f t="shared" si="23"/>
        <v>Dosa</v>
      </c>
      <c r="AC249" s="2" t="str">
        <f t="shared" si="27"/>
        <v xml:space="preserve"> ROSEMERE </v>
      </c>
      <c r="AD249" s="2">
        <f t="shared" si="24"/>
        <v>5</v>
      </c>
      <c r="AE249" s="2">
        <f t="shared" ca="1" si="25"/>
        <v>-301.9262716435187</v>
      </c>
      <c r="AF249" s="15"/>
    </row>
    <row r="250" spans="1:32" hidden="1">
      <c r="A250" s="1">
        <v>8555672</v>
      </c>
      <c r="B250" s="1" t="s">
        <v>101</v>
      </c>
      <c r="C250" t="s">
        <v>573</v>
      </c>
      <c r="E250" s="2">
        <v>1120000206001</v>
      </c>
      <c r="F250" s="1" t="s">
        <v>29</v>
      </c>
      <c r="G250" s="1" t="s">
        <v>53</v>
      </c>
      <c r="H250" s="1" t="s">
        <v>181</v>
      </c>
      <c r="I250" s="1" t="s">
        <v>182</v>
      </c>
      <c r="J250" s="1" t="s">
        <v>164</v>
      </c>
      <c r="K250" t="s">
        <v>34</v>
      </c>
      <c r="M250" s="1" t="s">
        <v>35</v>
      </c>
      <c r="N250" s="1">
        <v>42318949</v>
      </c>
      <c r="O250" s="1" t="s">
        <v>36</v>
      </c>
      <c r="P250" s="186">
        <v>44683.726759259262</v>
      </c>
      <c r="R250" s="1" t="s">
        <v>38</v>
      </c>
      <c r="T250" s="1" t="s">
        <v>74</v>
      </c>
      <c r="U250" s="186">
        <v>44684.75</v>
      </c>
      <c r="V250" s="1" t="s">
        <v>41</v>
      </c>
      <c r="W250" s="1" t="s">
        <v>49</v>
      </c>
      <c r="X250" s="13" t="str">
        <f t="shared" si="26"/>
        <v/>
      </c>
      <c r="Y250" s="2">
        <f t="shared" ca="1" si="21"/>
        <v>218</v>
      </c>
      <c r="Z250" s="14">
        <v>1</v>
      </c>
      <c r="AA250" s="1" t="str">
        <f t="shared" ca="1" si="22"/>
        <v>VENCIDO</v>
      </c>
      <c r="AB250" s="1" t="str">
        <f t="shared" si="23"/>
        <v>Dosa</v>
      </c>
      <c r="AC250" s="2" t="str">
        <f t="shared" si="27"/>
        <v xml:space="preserve"> ROSEMERE </v>
      </c>
      <c r="AD250" s="2">
        <f t="shared" si="24"/>
        <v>5</v>
      </c>
      <c r="AE250" s="2">
        <f t="shared" ca="1" si="25"/>
        <v>-301.9262716435187</v>
      </c>
      <c r="AF250" s="15"/>
    </row>
    <row r="251" spans="1:32" hidden="1">
      <c r="A251" s="1">
        <v>8555626</v>
      </c>
      <c r="B251" s="1" t="s">
        <v>101</v>
      </c>
      <c r="C251" t="s">
        <v>573</v>
      </c>
      <c r="E251" s="2">
        <v>1058000206001</v>
      </c>
      <c r="F251" s="1" t="s">
        <v>29</v>
      </c>
      <c r="G251" s="1" t="s">
        <v>53</v>
      </c>
      <c r="H251" s="1" t="s">
        <v>289</v>
      </c>
      <c r="I251" s="1" t="s">
        <v>290</v>
      </c>
      <c r="J251" s="1" t="s">
        <v>56</v>
      </c>
      <c r="K251" t="s">
        <v>34</v>
      </c>
      <c r="M251" s="1" t="s">
        <v>35</v>
      </c>
      <c r="N251" s="1">
        <v>42318949</v>
      </c>
      <c r="O251" s="1" t="s">
        <v>36</v>
      </c>
      <c r="P251" s="186">
        <v>44683.726666666669</v>
      </c>
      <c r="R251" s="1" t="s">
        <v>38</v>
      </c>
      <c r="T251" s="1" t="s">
        <v>74</v>
      </c>
      <c r="U251" s="186">
        <v>44684.75</v>
      </c>
      <c r="V251" s="1" t="s">
        <v>41</v>
      </c>
      <c r="W251" s="1" t="s">
        <v>49</v>
      </c>
      <c r="X251" s="13" t="str">
        <f t="shared" si="26"/>
        <v/>
      </c>
      <c r="Y251" s="2">
        <f t="shared" ca="1" si="21"/>
        <v>218</v>
      </c>
      <c r="Z251" s="14">
        <v>1</v>
      </c>
      <c r="AA251" s="1" t="str">
        <f t="shared" ca="1" si="22"/>
        <v>VENCIDO</v>
      </c>
      <c r="AB251" s="1" t="str">
        <f t="shared" si="23"/>
        <v>Dosa</v>
      </c>
      <c r="AC251" s="2" t="str">
        <f t="shared" si="27"/>
        <v xml:space="preserve"> CRISTINA </v>
      </c>
      <c r="AD251" s="2">
        <f t="shared" si="24"/>
        <v>5</v>
      </c>
      <c r="AE251" s="2">
        <f t="shared" ca="1" si="25"/>
        <v>-301.9262716435187</v>
      </c>
      <c r="AF251" s="15"/>
    </row>
    <row r="252" spans="1:32" hidden="1">
      <c r="A252" s="1">
        <v>8555625</v>
      </c>
      <c r="B252" s="1" t="s">
        <v>101</v>
      </c>
      <c r="C252" t="s">
        <v>573</v>
      </c>
      <c r="E252" s="2">
        <v>1058000206001</v>
      </c>
      <c r="F252" s="1" t="s">
        <v>29</v>
      </c>
      <c r="G252" s="1" t="s">
        <v>53</v>
      </c>
      <c r="H252" s="1" t="s">
        <v>289</v>
      </c>
      <c r="I252" s="1" t="s">
        <v>290</v>
      </c>
      <c r="J252" s="1" t="s">
        <v>56</v>
      </c>
      <c r="K252" t="s">
        <v>34</v>
      </c>
      <c r="M252" s="1" t="s">
        <v>35</v>
      </c>
      <c r="N252" s="1">
        <v>42318949</v>
      </c>
      <c r="O252" s="1" t="s">
        <v>36</v>
      </c>
      <c r="P252" s="186">
        <v>44683.726655092592</v>
      </c>
      <c r="R252" s="1" t="s">
        <v>38</v>
      </c>
      <c r="T252" s="1" t="s">
        <v>74</v>
      </c>
      <c r="U252" s="186">
        <v>44684.75</v>
      </c>
      <c r="V252" s="1" t="s">
        <v>41</v>
      </c>
      <c r="W252" s="1" t="s">
        <v>49</v>
      </c>
      <c r="X252" s="13" t="str">
        <f t="shared" si="26"/>
        <v/>
      </c>
      <c r="Y252" s="2">
        <f t="shared" ca="1" si="21"/>
        <v>218</v>
      </c>
      <c r="Z252" s="14">
        <v>1</v>
      </c>
      <c r="AA252" s="1" t="str">
        <f t="shared" ca="1" si="22"/>
        <v>VENCIDO</v>
      </c>
      <c r="AB252" s="1" t="str">
        <f t="shared" si="23"/>
        <v>Dosa</v>
      </c>
      <c r="AC252" s="2" t="str">
        <f t="shared" si="27"/>
        <v xml:space="preserve"> CRISTINA </v>
      </c>
      <c r="AD252" s="2">
        <f t="shared" si="24"/>
        <v>5</v>
      </c>
      <c r="AE252" s="2">
        <f t="shared" ca="1" si="25"/>
        <v>-301.9262716435187</v>
      </c>
      <c r="AF252" s="15"/>
    </row>
    <row r="253" spans="1:32" hidden="1">
      <c r="A253" s="1">
        <v>8555624</v>
      </c>
      <c r="B253" s="1" t="s">
        <v>101</v>
      </c>
      <c r="C253" t="s">
        <v>573</v>
      </c>
      <c r="E253" s="2">
        <v>1058000206001</v>
      </c>
      <c r="F253" s="1" t="s">
        <v>29</v>
      </c>
      <c r="G253" s="1" t="s">
        <v>53</v>
      </c>
      <c r="H253" s="1" t="s">
        <v>289</v>
      </c>
      <c r="I253" s="1" t="s">
        <v>290</v>
      </c>
      <c r="J253" s="1" t="s">
        <v>56</v>
      </c>
      <c r="K253" t="s">
        <v>34</v>
      </c>
      <c r="M253" s="1" t="s">
        <v>35</v>
      </c>
      <c r="N253" s="1">
        <v>42318949</v>
      </c>
      <c r="O253" s="1" t="s">
        <v>36</v>
      </c>
      <c r="P253" s="186">
        <v>44683.726655092592</v>
      </c>
      <c r="R253" s="1" t="s">
        <v>38</v>
      </c>
      <c r="T253" s="1" t="s">
        <v>74</v>
      </c>
      <c r="U253" s="186">
        <v>44684.75</v>
      </c>
      <c r="V253" s="1" t="s">
        <v>41</v>
      </c>
      <c r="W253" s="1" t="s">
        <v>49</v>
      </c>
      <c r="X253" s="13" t="str">
        <f t="shared" si="26"/>
        <v/>
      </c>
      <c r="Y253" s="2">
        <f t="shared" ca="1" si="21"/>
        <v>218</v>
      </c>
      <c r="Z253" s="14">
        <v>1</v>
      </c>
      <c r="AA253" s="1" t="str">
        <f t="shared" ca="1" si="22"/>
        <v>VENCIDO</v>
      </c>
      <c r="AB253" s="1" t="str">
        <f t="shared" si="23"/>
        <v>Dosa</v>
      </c>
      <c r="AC253" s="2" t="str">
        <f t="shared" si="27"/>
        <v xml:space="preserve"> CRISTINA </v>
      </c>
      <c r="AD253" s="2">
        <f t="shared" si="24"/>
        <v>5</v>
      </c>
      <c r="AE253" s="2">
        <f t="shared" ca="1" si="25"/>
        <v>-301.9262716435187</v>
      </c>
      <c r="AF253" s="15"/>
    </row>
    <row r="254" spans="1:32" hidden="1">
      <c r="A254" s="1">
        <v>8555329</v>
      </c>
      <c r="B254" s="1" t="s">
        <v>101</v>
      </c>
      <c r="C254" t="s">
        <v>573</v>
      </c>
      <c r="E254" s="2">
        <v>537000206001</v>
      </c>
      <c r="F254" s="1" t="s">
        <v>29</v>
      </c>
      <c r="G254" s="1" t="s">
        <v>53</v>
      </c>
      <c r="H254" s="1" t="s">
        <v>442</v>
      </c>
      <c r="I254" s="1" t="s">
        <v>443</v>
      </c>
      <c r="J254" s="1" t="s">
        <v>79</v>
      </c>
      <c r="K254" t="s">
        <v>34</v>
      </c>
      <c r="M254" s="1" t="s">
        <v>35</v>
      </c>
      <c r="N254" s="1">
        <v>42318949</v>
      </c>
      <c r="O254" s="1" t="s">
        <v>36</v>
      </c>
      <c r="P254" s="186">
        <v>44683.72587962963</v>
      </c>
      <c r="R254" s="1" t="s">
        <v>38</v>
      </c>
      <c r="T254" s="1" t="s">
        <v>74</v>
      </c>
      <c r="U254" s="186">
        <v>44684.75</v>
      </c>
      <c r="V254" s="1" t="s">
        <v>41</v>
      </c>
      <c r="W254" s="1" t="s">
        <v>49</v>
      </c>
      <c r="X254" s="13" t="str">
        <f t="shared" si="26"/>
        <v/>
      </c>
      <c r="Y254" s="2">
        <f t="shared" ca="1" si="21"/>
        <v>218</v>
      </c>
      <c r="Z254" s="14">
        <v>1</v>
      </c>
      <c r="AA254" s="1" t="str">
        <f t="shared" ca="1" si="22"/>
        <v>VENCIDO</v>
      </c>
      <c r="AB254" s="1" t="str">
        <f t="shared" si="23"/>
        <v>Dosa</v>
      </c>
      <c r="AC254" s="2" t="str">
        <f t="shared" si="27"/>
        <v xml:space="preserve"> ROSEMERE </v>
      </c>
      <c r="AD254" s="2">
        <f t="shared" si="24"/>
        <v>5</v>
      </c>
      <c r="AE254" s="2">
        <f t="shared" ca="1" si="25"/>
        <v>-301.9262716435187</v>
      </c>
      <c r="AF254" s="15"/>
    </row>
    <row r="255" spans="1:32" hidden="1">
      <c r="A255" s="1">
        <v>8591589</v>
      </c>
      <c r="B255" s="1" t="s">
        <v>27</v>
      </c>
      <c r="C255" t="s">
        <v>577</v>
      </c>
      <c r="E255" s="2">
        <v>9703000206201</v>
      </c>
      <c r="F255" s="1" t="s">
        <v>208</v>
      </c>
      <c r="G255" s="1" t="s">
        <v>53</v>
      </c>
      <c r="H255" s="1" t="s">
        <v>494</v>
      </c>
      <c r="I255" s="1" t="s">
        <v>495</v>
      </c>
      <c r="J255" s="1" t="s">
        <v>79</v>
      </c>
      <c r="K255" t="s">
        <v>212</v>
      </c>
      <c r="M255" s="1" t="s">
        <v>35</v>
      </c>
      <c r="N255" s="1">
        <v>42318949</v>
      </c>
      <c r="O255" s="1" t="s">
        <v>36</v>
      </c>
      <c r="P255" s="186">
        <v>44697.547592592593</v>
      </c>
      <c r="R255" s="1" t="s">
        <v>38</v>
      </c>
      <c r="T255" s="1" t="s">
        <v>74</v>
      </c>
      <c r="U255" s="186">
        <v>44739.75</v>
      </c>
      <c r="V255" s="1" t="s">
        <v>41</v>
      </c>
      <c r="W255" s="1" t="s">
        <v>49</v>
      </c>
      <c r="X255" s="13" t="str">
        <f t="shared" si="26"/>
        <v/>
      </c>
      <c r="Y255" s="2">
        <f t="shared" ca="1" si="21"/>
        <v>208</v>
      </c>
      <c r="Z255" s="14">
        <v>1</v>
      </c>
      <c r="AA255" s="1" t="str">
        <f t="shared" ca="1" si="22"/>
        <v>VENCIDO</v>
      </c>
      <c r="AB255" s="1" t="str">
        <f t="shared" si="23"/>
        <v>TAAe+</v>
      </c>
      <c r="AC255" s="2" t="str">
        <f t="shared" si="27"/>
        <v xml:space="preserve"> ROSEMERE </v>
      </c>
      <c r="AD255" s="2">
        <f t="shared" si="24"/>
        <v>8</v>
      </c>
      <c r="AE255" s="2">
        <f t="shared" ca="1" si="25"/>
        <v>-246.9262716435187</v>
      </c>
      <c r="AF255" s="15"/>
    </row>
    <row r="256" spans="1:32" hidden="1">
      <c r="A256" s="1">
        <v>8600371</v>
      </c>
      <c r="B256" s="1" t="s">
        <v>62</v>
      </c>
      <c r="C256" t="s">
        <v>578</v>
      </c>
      <c r="E256" s="2">
        <v>2437000203000</v>
      </c>
      <c r="F256" s="1" t="s">
        <v>454</v>
      </c>
      <c r="G256" s="1" t="s">
        <v>53</v>
      </c>
      <c r="H256" s="1" t="s">
        <v>416</v>
      </c>
      <c r="I256" s="1" t="s">
        <v>417</v>
      </c>
      <c r="J256" s="1" t="s">
        <v>211</v>
      </c>
      <c r="K256" t="s">
        <v>457</v>
      </c>
      <c r="M256" s="1" t="s">
        <v>58</v>
      </c>
      <c r="N256" s="1">
        <v>0</v>
      </c>
      <c r="O256" s="1" t="s">
        <v>36</v>
      </c>
      <c r="P256" s="186">
        <v>44700.687164351853</v>
      </c>
      <c r="R256" s="1">
        <v>1</v>
      </c>
      <c r="T256" s="1" t="s">
        <v>157</v>
      </c>
      <c r="U256" s="186">
        <v>44735.75</v>
      </c>
      <c r="V256" s="1" t="s">
        <v>41</v>
      </c>
      <c r="W256" s="1" t="s">
        <v>49</v>
      </c>
      <c r="X256" s="13" t="str">
        <f t="shared" si="26"/>
        <v/>
      </c>
      <c r="Y256" s="2">
        <f t="shared" ca="1" si="21"/>
        <v>205</v>
      </c>
      <c r="Z256" s="14">
        <v>1</v>
      </c>
      <c r="AA256" s="1" t="str">
        <f t="shared" ca="1" si="22"/>
        <v>VENCIDO</v>
      </c>
      <c r="AB256" s="1" t="str">
        <f t="shared" si="23"/>
        <v>C-14</v>
      </c>
      <c r="AC256" s="2" t="str">
        <f t="shared" si="27"/>
        <v xml:space="preserve"> RINALDO </v>
      </c>
      <c r="AD256" s="2">
        <f t="shared" si="24"/>
        <v>5</v>
      </c>
      <c r="AE256" s="2">
        <f t="shared" ca="1" si="25"/>
        <v>-250.9262716435187</v>
      </c>
      <c r="AF256" s="15"/>
    </row>
    <row r="257" spans="1:32" hidden="1">
      <c r="A257" s="1">
        <v>8624265</v>
      </c>
      <c r="B257" s="1" t="s">
        <v>27</v>
      </c>
      <c r="C257" t="s">
        <v>186</v>
      </c>
      <c r="E257" s="2">
        <v>2413000206001</v>
      </c>
      <c r="F257" s="1" t="s">
        <v>29</v>
      </c>
      <c r="G257" s="1" t="s">
        <v>53</v>
      </c>
      <c r="H257" s="1" t="s">
        <v>505</v>
      </c>
      <c r="I257" s="1" t="s">
        <v>506</v>
      </c>
      <c r="J257" s="1" t="s">
        <v>141</v>
      </c>
      <c r="K257" t="s">
        <v>34</v>
      </c>
      <c r="M257" s="1" t="s">
        <v>35</v>
      </c>
      <c r="N257" s="1">
        <v>42318949</v>
      </c>
      <c r="O257" s="1" t="s">
        <v>105</v>
      </c>
      <c r="P257" s="186">
        <v>44711.655636574076</v>
      </c>
      <c r="R257" s="1" t="s">
        <v>38</v>
      </c>
      <c r="T257" s="1" t="s">
        <v>74</v>
      </c>
      <c r="U257" s="186">
        <v>44711.75</v>
      </c>
      <c r="V257" s="1" t="s">
        <v>41</v>
      </c>
      <c r="W257" s="1" t="s">
        <v>49</v>
      </c>
      <c r="X257" s="13" t="str">
        <f t="shared" si="26"/>
        <v/>
      </c>
      <c r="Y257" s="2">
        <f t="shared" ca="1" si="21"/>
        <v>198</v>
      </c>
      <c r="Z257" s="14">
        <v>1</v>
      </c>
      <c r="AA257" s="1" t="str">
        <f t="shared" ca="1" si="22"/>
        <v>VENCIDO</v>
      </c>
      <c r="AB257" s="1" t="str">
        <f t="shared" si="23"/>
        <v>Dosa</v>
      </c>
      <c r="AC257" s="2" t="str">
        <f t="shared" si="27"/>
        <v xml:space="preserve"> CRISTINA </v>
      </c>
      <c r="AD257" s="2">
        <f t="shared" si="24"/>
        <v>5</v>
      </c>
      <c r="AE257" s="2">
        <f t="shared" ca="1" si="25"/>
        <v>-274.9262716435187</v>
      </c>
      <c r="AF257" s="15"/>
    </row>
    <row r="258" spans="1:32" hidden="1">
      <c r="A258" s="1">
        <v>8624202</v>
      </c>
      <c r="B258" s="1" t="s">
        <v>27</v>
      </c>
      <c r="C258" t="s">
        <v>186</v>
      </c>
      <c r="E258" s="2">
        <v>673000206001</v>
      </c>
      <c r="F258" s="1" t="s">
        <v>29</v>
      </c>
      <c r="G258" s="1" t="s">
        <v>53</v>
      </c>
      <c r="H258" s="1" t="s">
        <v>581</v>
      </c>
      <c r="I258" s="1" t="s">
        <v>582</v>
      </c>
      <c r="J258" s="1" t="s">
        <v>110</v>
      </c>
      <c r="K258" t="s">
        <v>34</v>
      </c>
      <c r="M258" s="1" t="s">
        <v>35</v>
      </c>
      <c r="N258" s="1">
        <v>42318949</v>
      </c>
      <c r="O258" s="1" t="s">
        <v>36</v>
      </c>
      <c r="P258" s="186">
        <v>44711.655486111114</v>
      </c>
      <c r="R258" s="1" t="s">
        <v>38</v>
      </c>
      <c r="T258" s="1" t="s">
        <v>74</v>
      </c>
      <c r="U258" s="186">
        <v>44711.75</v>
      </c>
      <c r="V258" s="1" t="s">
        <v>41</v>
      </c>
      <c r="W258" s="1" t="s">
        <v>49</v>
      </c>
      <c r="X258" s="13" t="str">
        <f t="shared" si="26"/>
        <v/>
      </c>
      <c r="Y258" s="2">
        <f t="shared" ref="Y258:Y321" ca="1" si="28">NETWORKDAYS(P258,$Y$1)</f>
        <v>198</v>
      </c>
      <c r="Z258" s="14">
        <v>1</v>
      </c>
      <c r="AA258" s="1" t="str">
        <f t="shared" ref="AA258:AA321" ca="1" si="29">IF(AE258=0,"HOJE",IF(AE258&gt;0,"A VENCER",IF(AE258&lt;0,"VENCIDO")))</f>
        <v>VENCIDO</v>
      </c>
      <c r="AB258" s="1" t="str">
        <f t="shared" ref="AB258:AB321" si="30">IF(F258="GRPE-000001","C-14",IF(F258="GRPE-000002","C-14",IF(F258="GRPE-000003","C-14",IF(F258="GRPE-000004","SL-On",IF(F258="GRPE-000038","C-14",IF(F258="GRPE-900022","Dosa",IF(F258="GRPE-000029","Dosa",IF(F258="ATOS-000222","Dose","TAAe+"))))))))</f>
        <v>Dosa</v>
      </c>
      <c r="AC258" s="2" t="str">
        <f t="shared" si="27"/>
        <v xml:space="preserve"> CRISTINA </v>
      </c>
      <c r="AD258" s="2">
        <f t="shared" ref="AD258:AD321" si="31">IF(F258="GRPE-000001",5,IF(F258="GRPE-000002",5,IF(F258="GRPE-000003",15,IF(F258="GRPE-000004",1,IF(F258="GRPE-000038",5,IF(F258="GRPE-900022",5,IF(F258="GRPE-000029",5,IF(F258="ATOS-000222",5,8))))))))</f>
        <v>5</v>
      </c>
      <c r="AE258" s="2">
        <f t="shared" ref="AE258:AE321" ca="1" si="32">IF(U258=$AE$1,"",U258-$AE$1)</f>
        <v>-274.9262716435187</v>
      </c>
      <c r="AF258" s="15"/>
    </row>
    <row r="259" spans="1:32" hidden="1">
      <c r="A259" s="1">
        <v>8624200</v>
      </c>
      <c r="B259" s="1" t="s">
        <v>27</v>
      </c>
      <c r="C259" t="s">
        <v>186</v>
      </c>
      <c r="E259" s="2">
        <v>7710206001</v>
      </c>
      <c r="F259" s="1" t="s">
        <v>29</v>
      </c>
      <c r="G259" s="1" t="s">
        <v>53</v>
      </c>
      <c r="H259" s="1" t="s">
        <v>228</v>
      </c>
      <c r="I259" s="1" t="s">
        <v>229</v>
      </c>
      <c r="J259" s="1" t="s">
        <v>46</v>
      </c>
      <c r="K259" t="s">
        <v>34</v>
      </c>
      <c r="M259" s="1" t="s">
        <v>35</v>
      </c>
      <c r="N259" s="1">
        <v>42318949</v>
      </c>
      <c r="O259" s="1" t="s">
        <v>105</v>
      </c>
      <c r="P259" s="186">
        <v>44711.655474537038</v>
      </c>
      <c r="R259" s="1" t="s">
        <v>38</v>
      </c>
      <c r="T259" s="1" t="s">
        <v>74</v>
      </c>
      <c r="U259" s="186">
        <v>44711.75</v>
      </c>
      <c r="V259" s="1" t="s">
        <v>41</v>
      </c>
      <c r="W259" s="1" t="s">
        <v>49</v>
      </c>
      <c r="X259" s="13" t="str">
        <f t="shared" ref="X259:X322" si="33">IF(RIGHT(H259,2)&lt;&gt;"00",H259,"")</f>
        <v>0007.71</v>
      </c>
      <c r="Y259" s="2">
        <f t="shared" ca="1" si="28"/>
        <v>198</v>
      </c>
      <c r="Z259" s="14">
        <v>1</v>
      </c>
      <c r="AA259" s="1" t="str">
        <f t="shared" ca="1" si="29"/>
        <v>VENCIDO</v>
      </c>
      <c r="AB259" s="1" t="str">
        <f t="shared" si="30"/>
        <v>Dosa</v>
      </c>
      <c r="AC259" s="2" t="str">
        <f t="shared" ref="AC259:AC322" si="3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 xml:space="preserve"> CLEITON </v>
      </c>
      <c r="AD259" s="2">
        <f t="shared" si="31"/>
        <v>5</v>
      </c>
      <c r="AE259" s="2">
        <f t="shared" ca="1" si="32"/>
        <v>-274.9262716435187</v>
      </c>
      <c r="AF259" s="15"/>
    </row>
    <row r="260" spans="1:32" hidden="1">
      <c r="A260" s="1">
        <v>8624105</v>
      </c>
      <c r="B260" s="1" t="s">
        <v>27</v>
      </c>
      <c r="C260" t="s">
        <v>186</v>
      </c>
      <c r="E260" s="2">
        <v>3504000206001</v>
      </c>
      <c r="F260" s="1" t="s">
        <v>29</v>
      </c>
      <c r="G260" s="1" t="s">
        <v>53</v>
      </c>
      <c r="H260" s="1" t="s">
        <v>585</v>
      </c>
      <c r="I260" s="1" t="s">
        <v>586</v>
      </c>
      <c r="J260" s="1" t="s">
        <v>46</v>
      </c>
      <c r="K260" t="s">
        <v>34</v>
      </c>
      <c r="M260" s="1" t="s">
        <v>35</v>
      </c>
      <c r="N260" s="1">
        <v>42318949</v>
      </c>
      <c r="O260" s="1" t="s">
        <v>105</v>
      </c>
      <c r="P260" s="186">
        <v>44711.655358796299</v>
      </c>
      <c r="R260" s="1" t="s">
        <v>38</v>
      </c>
      <c r="T260" s="1" t="s">
        <v>74</v>
      </c>
      <c r="U260" s="186">
        <v>44711.75</v>
      </c>
      <c r="V260" s="1" t="s">
        <v>41</v>
      </c>
      <c r="W260" s="1" t="s">
        <v>49</v>
      </c>
      <c r="X260" s="13" t="str">
        <f t="shared" si="33"/>
        <v/>
      </c>
      <c r="Y260" s="2">
        <f t="shared" ca="1" si="28"/>
        <v>198</v>
      </c>
      <c r="Z260" s="14">
        <v>1</v>
      </c>
      <c r="AA260" s="1" t="str">
        <f t="shared" ca="1" si="29"/>
        <v>VENCIDO</v>
      </c>
      <c r="AB260" s="1" t="str">
        <f t="shared" si="30"/>
        <v>Dosa</v>
      </c>
      <c r="AC260" s="2" t="str">
        <f t="shared" si="34"/>
        <v xml:space="preserve"> CLEITON </v>
      </c>
      <c r="AD260" s="2">
        <f t="shared" si="31"/>
        <v>5</v>
      </c>
      <c r="AE260" s="2">
        <f t="shared" ca="1" si="32"/>
        <v>-274.9262716435187</v>
      </c>
      <c r="AF260" s="15"/>
    </row>
    <row r="261" spans="1:32" hidden="1">
      <c r="A261" s="1">
        <v>8624102</v>
      </c>
      <c r="B261" s="1" t="s">
        <v>27</v>
      </c>
      <c r="C261" t="s">
        <v>186</v>
      </c>
      <c r="E261" s="2">
        <v>220000206001</v>
      </c>
      <c r="F261" s="1" t="s">
        <v>29</v>
      </c>
      <c r="G261" s="1" t="s">
        <v>53</v>
      </c>
      <c r="H261" s="1" t="s">
        <v>588</v>
      </c>
      <c r="I261" s="1" t="s">
        <v>589</v>
      </c>
      <c r="J261" s="1" t="s">
        <v>110</v>
      </c>
      <c r="K261" t="s">
        <v>34</v>
      </c>
      <c r="M261" s="1" t="s">
        <v>35</v>
      </c>
      <c r="N261" s="1">
        <v>42318949</v>
      </c>
      <c r="O261" s="1" t="s">
        <v>105</v>
      </c>
      <c r="P261" s="186">
        <v>44711.655358796299</v>
      </c>
      <c r="R261" s="1" t="s">
        <v>38</v>
      </c>
      <c r="T261" s="1" t="s">
        <v>74</v>
      </c>
      <c r="U261" s="186">
        <v>44711.75</v>
      </c>
      <c r="V261" s="1" t="s">
        <v>41</v>
      </c>
      <c r="W261" s="1" t="s">
        <v>49</v>
      </c>
      <c r="X261" s="13" t="str">
        <f t="shared" si="33"/>
        <v/>
      </c>
      <c r="Y261" s="2">
        <f t="shared" ca="1" si="28"/>
        <v>198</v>
      </c>
      <c r="Z261" s="14">
        <v>1</v>
      </c>
      <c r="AA261" s="1" t="str">
        <f t="shared" ca="1" si="29"/>
        <v>VENCIDO</v>
      </c>
      <c r="AB261" s="1" t="str">
        <f t="shared" si="30"/>
        <v>Dosa</v>
      </c>
      <c r="AC261" s="2" t="str">
        <f t="shared" si="34"/>
        <v xml:space="preserve"> CRISTINA </v>
      </c>
      <c r="AD261" s="2">
        <f t="shared" si="31"/>
        <v>5</v>
      </c>
      <c r="AE261" s="2">
        <f t="shared" ca="1" si="32"/>
        <v>-274.9262716435187</v>
      </c>
      <c r="AF261" s="15"/>
    </row>
    <row r="262" spans="1:32" hidden="1">
      <c r="A262" s="1">
        <v>8624013</v>
      </c>
      <c r="B262" s="1" t="s">
        <v>27</v>
      </c>
      <c r="C262" t="s">
        <v>186</v>
      </c>
      <c r="E262" s="2">
        <v>2081000206001</v>
      </c>
      <c r="F262" s="1" t="s">
        <v>29</v>
      </c>
      <c r="G262" s="1" t="s">
        <v>53</v>
      </c>
      <c r="H262" s="1" t="s">
        <v>590</v>
      </c>
      <c r="I262" s="1" t="s">
        <v>591</v>
      </c>
      <c r="J262" s="1" t="s">
        <v>261</v>
      </c>
      <c r="K262" t="s">
        <v>34</v>
      </c>
      <c r="M262" s="1" t="s">
        <v>35</v>
      </c>
      <c r="N262" s="1">
        <v>42318949</v>
      </c>
      <c r="O262" s="1" t="s">
        <v>105</v>
      </c>
      <c r="P262" s="186">
        <v>44711.65525462963</v>
      </c>
      <c r="R262" s="1" t="s">
        <v>38</v>
      </c>
      <c r="T262" s="1" t="s">
        <v>74</v>
      </c>
      <c r="U262" s="186">
        <v>44711.75</v>
      </c>
      <c r="V262" s="1" t="s">
        <v>41</v>
      </c>
      <c r="W262" s="1" t="s">
        <v>49</v>
      </c>
      <c r="X262" s="13" t="str">
        <f t="shared" si="33"/>
        <v/>
      </c>
      <c r="Y262" s="2">
        <f t="shared" ca="1" si="28"/>
        <v>198</v>
      </c>
      <c r="Z262" s="14">
        <v>1</v>
      </c>
      <c r="AA262" s="1" t="str">
        <f t="shared" ca="1" si="29"/>
        <v>VENCIDO</v>
      </c>
      <c r="AB262" s="1" t="str">
        <f t="shared" si="30"/>
        <v>Dosa</v>
      </c>
      <c r="AC262" s="2" t="str">
        <f t="shared" si="34"/>
        <v xml:space="preserve"> CRISTINA </v>
      </c>
      <c r="AD262" s="2">
        <f t="shared" si="31"/>
        <v>5</v>
      </c>
      <c r="AE262" s="2">
        <f t="shared" ca="1" si="32"/>
        <v>-274.9262716435187</v>
      </c>
      <c r="AF262" s="15"/>
    </row>
    <row r="263" spans="1:32" hidden="1">
      <c r="A263" s="1">
        <v>8623899</v>
      </c>
      <c r="B263" s="1" t="s">
        <v>27</v>
      </c>
      <c r="C263" t="s">
        <v>186</v>
      </c>
      <c r="E263" s="2">
        <v>1358000206001</v>
      </c>
      <c r="F263" s="1" t="s">
        <v>29</v>
      </c>
      <c r="G263" s="1" t="s">
        <v>53</v>
      </c>
      <c r="H263" s="1" t="s">
        <v>593</v>
      </c>
      <c r="I263" s="1" t="s">
        <v>594</v>
      </c>
      <c r="J263" s="1" t="s">
        <v>261</v>
      </c>
      <c r="K263" t="s">
        <v>34</v>
      </c>
      <c r="M263" s="1" t="s">
        <v>35</v>
      </c>
      <c r="N263" s="1">
        <v>42318949</v>
      </c>
      <c r="O263" s="1" t="s">
        <v>105</v>
      </c>
      <c r="P263" s="186">
        <v>44711.655104166668</v>
      </c>
      <c r="R263" s="1" t="s">
        <v>38</v>
      </c>
      <c r="T263" s="1" t="s">
        <v>74</v>
      </c>
      <c r="U263" s="186">
        <v>44711.75</v>
      </c>
      <c r="V263" s="1" t="s">
        <v>41</v>
      </c>
      <c r="W263" s="1" t="s">
        <v>49</v>
      </c>
      <c r="X263" s="13" t="str">
        <f t="shared" si="33"/>
        <v/>
      </c>
      <c r="Y263" s="2">
        <f t="shared" ca="1" si="28"/>
        <v>198</v>
      </c>
      <c r="Z263" s="14">
        <v>1</v>
      </c>
      <c r="AA263" s="1" t="str">
        <f t="shared" ca="1" si="29"/>
        <v>VENCIDO</v>
      </c>
      <c r="AB263" s="1" t="str">
        <f t="shared" si="30"/>
        <v>Dosa</v>
      </c>
      <c r="AC263" s="2" t="str">
        <f t="shared" si="34"/>
        <v xml:space="preserve"> CRISTINA </v>
      </c>
      <c r="AD263" s="2">
        <f t="shared" si="31"/>
        <v>5</v>
      </c>
      <c r="AE263" s="2">
        <f t="shared" ca="1" si="32"/>
        <v>-274.9262716435187</v>
      </c>
      <c r="AF263" s="15"/>
    </row>
    <row r="264" spans="1:32" hidden="1">
      <c r="A264" s="1">
        <v>8623844</v>
      </c>
      <c r="B264" s="1" t="s">
        <v>27</v>
      </c>
      <c r="C264" t="s">
        <v>186</v>
      </c>
      <c r="E264" s="2">
        <v>3503000206001</v>
      </c>
      <c r="F264" s="1" t="s">
        <v>29</v>
      </c>
      <c r="G264" s="1" t="s">
        <v>53</v>
      </c>
      <c r="H264" s="1" t="s">
        <v>398</v>
      </c>
      <c r="I264" s="1" t="s">
        <v>399</v>
      </c>
      <c r="J264" s="1" t="s">
        <v>46</v>
      </c>
      <c r="K264" t="s">
        <v>34</v>
      </c>
      <c r="M264" s="1" t="s">
        <v>35</v>
      </c>
      <c r="N264" s="1">
        <v>42318949</v>
      </c>
      <c r="O264" s="1" t="s">
        <v>105</v>
      </c>
      <c r="P264" s="186">
        <v>44711.655034722222</v>
      </c>
      <c r="R264" s="1" t="s">
        <v>38</v>
      </c>
      <c r="T264" s="1" t="s">
        <v>74</v>
      </c>
      <c r="U264" s="186">
        <v>44711.75</v>
      </c>
      <c r="V264" s="1" t="s">
        <v>41</v>
      </c>
      <c r="W264" s="1" t="s">
        <v>49</v>
      </c>
      <c r="X264" s="13" t="str">
        <f t="shared" si="33"/>
        <v/>
      </c>
      <c r="Y264" s="2">
        <f t="shared" ca="1" si="28"/>
        <v>198</v>
      </c>
      <c r="Z264" s="14">
        <v>1</v>
      </c>
      <c r="AA264" s="1" t="str">
        <f t="shared" ca="1" si="29"/>
        <v>VENCIDO</v>
      </c>
      <c r="AB264" s="1" t="str">
        <f t="shared" si="30"/>
        <v>Dosa</v>
      </c>
      <c r="AC264" s="2" t="str">
        <f t="shared" si="34"/>
        <v xml:space="preserve"> CLEITON </v>
      </c>
      <c r="AD264" s="2">
        <f t="shared" si="31"/>
        <v>5</v>
      </c>
      <c r="AE264" s="2">
        <f t="shared" ca="1" si="32"/>
        <v>-274.9262716435187</v>
      </c>
      <c r="AF264" s="15"/>
    </row>
    <row r="265" spans="1:32" hidden="1">
      <c r="A265" s="1">
        <v>8623731</v>
      </c>
      <c r="B265" s="1" t="s">
        <v>27</v>
      </c>
      <c r="C265" t="s">
        <v>186</v>
      </c>
      <c r="E265" s="2">
        <v>3234160206001</v>
      </c>
      <c r="F265" s="1" t="s">
        <v>29</v>
      </c>
      <c r="G265" s="1" t="s">
        <v>53</v>
      </c>
      <c r="H265" s="1" t="s">
        <v>499</v>
      </c>
      <c r="I265" s="1" t="s">
        <v>500</v>
      </c>
      <c r="J265" s="1" t="s">
        <v>46</v>
      </c>
      <c r="K265" t="s">
        <v>34</v>
      </c>
      <c r="M265" s="1" t="s">
        <v>35</v>
      </c>
      <c r="N265" s="1">
        <v>42318949</v>
      </c>
      <c r="O265" s="1" t="s">
        <v>105</v>
      </c>
      <c r="P265" s="186">
        <v>44711.65488425926</v>
      </c>
      <c r="R265" s="1" t="s">
        <v>38</v>
      </c>
      <c r="T265" s="1" t="s">
        <v>74</v>
      </c>
      <c r="U265" s="186">
        <v>44711.75</v>
      </c>
      <c r="V265" s="1" t="s">
        <v>41</v>
      </c>
      <c r="W265" s="1" t="s">
        <v>49</v>
      </c>
      <c r="X265" s="13" t="str">
        <f t="shared" si="33"/>
        <v>3234.16</v>
      </c>
      <c r="Y265" s="2">
        <f t="shared" ca="1" si="28"/>
        <v>198</v>
      </c>
      <c r="Z265" s="14">
        <v>1</v>
      </c>
      <c r="AA265" s="1" t="str">
        <f t="shared" ca="1" si="29"/>
        <v>VENCIDO</v>
      </c>
      <c r="AB265" s="1" t="str">
        <f t="shared" si="30"/>
        <v>Dosa</v>
      </c>
      <c r="AC265" s="2" t="str">
        <f t="shared" si="34"/>
        <v xml:space="preserve"> CLEITON </v>
      </c>
      <c r="AD265" s="2">
        <f t="shared" si="31"/>
        <v>5</v>
      </c>
      <c r="AE265" s="2">
        <f t="shared" ca="1" si="32"/>
        <v>-274.9262716435187</v>
      </c>
      <c r="AF265" s="15"/>
    </row>
    <row r="266" spans="1:32" hidden="1">
      <c r="A266" s="1">
        <v>8623708</v>
      </c>
      <c r="B266" s="1" t="s">
        <v>27</v>
      </c>
      <c r="C266" t="s">
        <v>186</v>
      </c>
      <c r="E266" s="2">
        <v>2018000206001</v>
      </c>
      <c r="F266" s="1" t="s">
        <v>29</v>
      </c>
      <c r="G266" s="1" t="s">
        <v>53</v>
      </c>
      <c r="H266" s="1" t="s">
        <v>598</v>
      </c>
      <c r="I266" s="1" t="s">
        <v>599</v>
      </c>
      <c r="J266" s="1" t="s">
        <v>79</v>
      </c>
      <c r="K266" t="s">
        <v>34</v>
      </c>
      <c r="M266" s="1" t="s">
        <v>35</v>
      </c>
      <c r="N266" s="1">
        <v>42318949</v>
      </c>
      <c r="O266" s="1" t="s">
        <v>105</v>
      </c>
      <c r="P266" s="186">
        <v>44711.654861111114</v>
      </c>
      <c r="R266" s="1" t="s">
        <v>38</v>
      </c>
      <c r="T266" s="1" t="s">
        <v>74</v>
      </c>
      <c r="U266" s="186">
        <v>44711.75</v>
      </c>
      <c r="V266" s="1" t="s">
        <v>41</v>
      </c>
      <c r="W266" s="1" t="s">
        <v>49</v>
      </c>
      <c r="X266" s="13" t="str">
        <f t="shared" si="33"/>
        <v/>
      </c>
      <c r="Y266" s="2">
        <f t="shared" ca="1" si="28"/>
        <v>198</v>
      </c>
      <c r="Z266" s="14">
        <v>1</v>
      </c>
      <c r="AA266" s="1" t="str">
        <f t="shared" ca="1" si="29"/>
        <v>VENCIDO</v>
      </c>
      <c r="AB266" s="1" t="str">
        <f t="shared" si="30"/>
        <v>Dosa</v>
      </c>
      <c r="AC266" s="2" t="str">
        <f t="shared" si="34"/>
        <v xml:space="preserve"> ROSEMERE </v>
      </c>
      <c r="AD266" s="2">
        <f t="shared" si="31"/>
        <v>5</v>
      </c>
      <c r="AE266" s="2">
        <f t="shared" ca="1" si="32"/>
        <v>-274.9262716435187</v>
      </c>
      <c r="AF266" s="15"/>
    </row>
    <row r="267" spans="1:32" hidden="1">
      <c r="A267" s="1">
        <v>8623572</v>
      </c>
      <c r="B267" s="1" t="s">
        <v>27</v>
      </c>
      <c r="C267" t="s">
        <v>186</v>
      </c>
      <c r="E267" s="2">
        <v>3108010206001</v>
      </c>
      <c r="F267" s="1" t="s">
        <v>29</v>
      </c>
      <c r="G267" s="1" t="s">
        <v>53</v>
      </c>
      <c r="H267" s="1" t="s">
        <v>503</v>
      </c>
      <c r="I267" s="1" t="s">
        <v>504</v>
      </c>
      <c r="J267" s="1" t="s">
        <v>46</v>
      </c>
      <c r="K267" t="s">
        <v>34</v>
      </c>
      <c r="M267" s="1" t="s">
        <v>35</v>
      </c>
      <c r="N267" s="1">
        <v>42318949</v>
      </c>
      <c r="O267" s="1" t="s">
        <v>105</v>
      </c>
      <c r="P267" s="186">
        <v>44711.654664351852</v>
      </c>
      <c r="R267" s="1" t="s">
        <v>38</v>
      </c>
      <c r="T267" s="1" t="s">
        <v>74</v>
      </c>
      <c r="U267" s="186">
        <v>44711.75</v>
      </c>
      <c r="V267" s="1" t="s">
        <v>41</v>
      </c>
      <c r="W267" s="1" t="s">
        <v>49</v>
      </c>
      <c r="X267" s="13" t="str">
        <f t="shared" si="33"/>
        <v>3108.01</v>
      </c>
      <c r="Y267" s="2">
        <f t="shared" ca="1" si="28"/>
        <v>198</v>
      </c>
      <c r="Z267" s="14">
        <v>1</v>
      </c>
      <c r="AA267" s="1" t="str">
        <f t="shared" ca="1" si="29"/>
        <v>VENCIDO</v>
      </c>
      <c r="AB267" s="1" t="str">
        <f t="shared" si="30"/>
        <v>Dosa</v>
      </c>
      <c r="AC267" s="2" t="str">
        <f t="shared" si="34"/>
        <v xml:space="preserve"> CLEITON </v>
      </c>
      <c r="AD267" s="2">
        <f t="shared" si="31"/>
        <v>5</v>
      </c>
      <c r="AE267" s="2">
        <f t="shared" ca="1" si="32"/>
        <v>-274.9262716435187</v>
      </c>
      <c r="AF267" s="15"/>
    </row>
    <row r="268" spans="1:32" hidden="1">
      <c r="A268" s="1">
        <v>8623522</v>
      </c>
      <c r="B268" s="1" t="s">
        <v>27</v>
      </c>
      <c r="C268" t="s">
        <v>186</v>
      </c>
      <c r="E268" s="2">
        <v>1421000206001</v>
      </c>
      <c r="F268" s="1" t="s">
        <v>29</v>
      </c>
      <c r="G268" s="1" t="s">
        <v>53</v>
      </c>
      <c r="H268" s="1" t="s">
        <v>179</v>
      </c>
      <c r="I268" s="1" t="s">
        <v>180</v>
      </c>
      <c r="J268" s="1" t="s">
        <v>79</v>
      </c>
      <c r="K268" t="s">
        <v>34</v>
      </c>
      <c r="M268" s="1" t="s">
        <v>35</v>
      </c>
      <c r="N268" s="1">
        <v>42318949</v>
      </c>
      <c r="O268" s="1" t="s">
        <v>36</v>
      </c>
      <c r="P268" s="186">
        <v>44711.654594907406</v>
      </c>
      <c r="R268" s="1" t="s">
        <v>38</v>
      </c>
      <c r="T268" s="1" t="s">
        <v>74</v>
      </c>
      <c r="U268" s="186">
        <v>44711.75</v>
      </c>
      <c r="V268" s="1" t="s">
        <v>41</v>
      </c>
      <c r="W268" s="1" t="s">
        <v>49</v>
      </c>
      <c r="X268" s="13" t="str">
        <f t="shared" si="33"/>
        <v/>
      </c>
      <c r="Y268" s="2">
        <f t="shared" ca="1" si="28"/>
        <v>198</v>
      </c>
      <c r="Z268" s="14">
        <v>1</v>
      </c>
      <c r="AA268" s="1" t="str">
        <f t="shared" ca="1" si="29"/>
        <v>VENCIDO</v>
      </c>
      <c r="AB268" s="1" t="str">
        <f t="shared" si="30"/>
        <v>Dosa</v>
      </c>
      <c r="AC268" s="2" t="str">
        <f t="shared" si="34"/>
        <v xml:space="preserve"> ROSEMERE </v>
      </c>
      <c r="AD268" s="2">
        <f t="shared" si="31"/>
        <v>5</v>
      </c>
      <c r="AE268" s="2">
        <f t="shared" ca="1" si="32"/>
        <v>-274.9262716435187</v>
      </c>
      <c r="AF268" s="15"/>
    </row>
    <row r="269" spans="1:32" hidden="1">
      <c r="A269" s="1">
        <v>8623509</v>
      </c>
      <c r="B269" s="1" t="s">
        <v>27</v>
      </c>
      <c r="C269" t="s">
        <v>186</v>
      </c>
      <c r="E269" s="2">
        <v>1643000206001</v>
      </c>
      <c r="F269" s="1" t="s">
        <v>29</v>
      </c>
      <c r="G269" s="1" t="s">
        <v>53</v>
      </c>
      <c r="H269" s="1" t="s">
        <v>361</v>
      </c>
      <c r="I269" s="1" t="s">
        <v>362</v>
      </c>
      <c r="J269" s="1" t="s">
        <v>261</v>
      </c>
      <c r="K269" t="s">
        <v>34</v>
      </c>
      <c r="M269" s="1" t="s">
        <v>35</v>
      </c>
      <c r="N269" s="1">
        <v>42318949</v>
      </c>
      <c r="O269" s="1" t="s">
        <v>105</v>
      </c>
      <c r="P269" s="186">
        <v>44711.65457175926</v>
      </c>
      <c r="R269" s="1" t="s">
        <v>38</v>
      </c>
      <c r="T269" s="1" t="s">
        <v>74</v>
      </c>
      <c r="U269" s="186">
        <v>44711.75</v>
      </c>
      <c r="V269" s="1" t="s">
        <v>41</v>
      </c>
      <c r="W269" s="1" t="s">
        <v>49</v>
      </c>
      <c r="X269" s="13" t="str">
        <f t="shared" si="33"/>
        <v/>
      </c>
      <c r="Y269" s="2">
        <f t="shared" ca="1" si="28"/>
        <v>198</v>
      </c>
      <c r="Z269" s="14">
        <v>1</v>
      </c>
      <c r="AA269" s="1" t="str">
        <f t="shared" ca="1" si="29"/>
        <v>VENCIDO</v>
      </c>
      <c r="AB269" s="1" t="str">
        <f t="shared" si="30"/>
        <v>Dosa</v>
      </c>
      <c r="AC269" s="2" t="str">
        <f t="shared" si="34"/>
        <v xml:space="preserve"> CRISTINA </v>
      </c>
      <c r="AD269" s="2">
        <f t="shared" si="31"/>
        <v>5</v>
      </c>
      <c r="AE269" s="2">
        <f t="shared" ca="1" si="32"/>
        <v>-274.9262716435187</v>
      </c>
      <c r="AF269" s="15"/>
    </row>
    <row r="270" spans="1:32" hidden="1">
      <c r="A270" s="1">
        <v>8623470</v>
      </c>
      <c r="B270" s="1" t="s">
        <v>27</v>
      </c>
      <c r="C270" t="s">
        <v>186</v>
      </c>
      <c r="E270" s="2">
        <v>5898000206001</v>
      </c>
      <c r="F270" s="1" t="s">
        <v>29</v>
      </c>
      <c r="G270" s="1" t="s">
        <v>53</v>
      </c>
      <c r="H270" s="1" t="s">
        <v>365</v>
      </c>
      <c r="I270" s="1" t="s">
        <v>366</v>
      </c>
      <c r="J270" s="1" t="s">
        <v>164</v>
      </c>
      <c r="K270" t="s">
        <v>34</v>
      </c>
      <c r="M270" s="1" t="s">
        <v>35</v>
      </c>
      <c r="N270" s="1">
        <v>42318949</v>
      </c>
      <c r="O270" s="1" t="s">
        <v>36</v>
      </c>
      <c r="P270" s="186">
        <v>44711.654513888891</v>
      </c>
      <c r="R270" s="1" t="s">
        <v>38</v>
      </c>
      <c r="T270" s="1" t="s">
        <v>74</v>
      </c>
      <c r="U270" s="186">
        <v>44711.75</v>
      </c>
      <c r="V270" s="1" t="s">
        <v>41</v>
      </c>
      <c r="W270" s="1" t="s">
        <v>49</v>
      </c>
      <c r="X270" s="13" t="str">
        <f t="shared" si="33"/>
        <v/>
      </c>
      <c r="Y270" s="2">
        <f t="shared" ca="1" si="28"/>
        <v>198</v>
      </c>
      <c r="Z270" s="14">
        <v>1</v>
      </c>
      <c r="AA270" s="1" t="str">
        <f t="shared" ca="1" si="29"/>
        <v>VENCIDO</v>
      </c>
      <c r="AB270" s="1" t="str">
        <f t="shared" si="30"/>
        <v>Dosa</v>
      </c>
      <c r="AC270" s="2" t="str">
        <f t="shared" si="34"/>
        <v xml:space="preserve"> ROSEMERE </v>
      </c>
      <c r="AD270" s="2">
        <f t="shared" si="31"/>
        <v>5</v>
      </c>
      <c r="AE270" s="2">
        <f t="shared" ca="1" si="32"/>
        <v>-274.9262716435187</v>
      </c>
      <c r="AF270" s="15"/>
    </row>
    <row r="271" spans="1:32" hidden="1">
      <c r="A271" s="1">
        <v>8623457</v>
      </c>
      <c r="B271" s="1" t="s">
        <v>27</v>
      </c>
      <c r="C271" t="s">
        <v>186</v>
      </c>
      <c r="E271" s="2">
        <v>4118000206001</v>
      </c>
      <c r="F271" s="1" t="s">
        <v>29</v>
      </c>
      <c r="G271" s="1" t="s">
        <v>53</v>
      </c>
      <c r="H271" s="1" t="s">
        <v>71</v>
      </c>
      <c r="I271" s="1" t="s">
        <v>72</v>
      </c>
      <c r="J271" s="1" t="s">
        <v>46</v>
      </c>
      <c r="K271" t="s">
        <v>34</v>
      </c>
      <c r="M271" s="1" t="s">
        <v>35</v>
      </c>
      <c r="N271" s="1">
        <v>42318949</v>
      </c>
      <c r="O271" s="1" t="s">
        <v>105</v>
      </c>
      <c r="P271" s="186">
        <v>44711.654502314814</v>
      </c>
      <c r="R271" s="1" t="s">
        <v>38</v>
      </c>
      <c r="T271" s="1" t="s">
        <v>74</v>
      </c>
      <c r="U271" s="186">
        <v>44711.75</v>
      </c>
      <c r="V271" s="1" t="s">
        <v>41</v>
      </c>
      <c r="W271" s="1" t="s">
        <v>49</v>
      </c>
      <c r="X271" s="13" t="str">
        <f t="shared" si="33"/>
        <v/>
      </c>
      <c r="Y271" s="2">
        <f t="shared" ca="1" si="28"/>
        <v>198</v>
      </c>
      <c r="Z271" s="14">
        <v>1</v>
      </c>
      <c r="AA271" s="1" t="str">
        <f t="shared" ca="1" si="29"/>
        <v>VENCIDO</v>
      </c>
      <c r="AB271" s="1" t="str">
        <f t="shared" si="30"/>
        <v>Dosa</v>
      </c>
      <c r="AC271" s="2" t="str">
        <f t="shared" si="34"/>
        <v xml:space="preserve"> CLEITON </v>
      </c>
      <c r="AD271" s="2">
        <f t="shared" si="31"/>
        <v>5</v>
      </c>
      <c r="AE271" s="2">
        <f t="shared" ca="1" si="32"/>
        <v>-274.9262716435187</v>
      </c>
      <c r="AF271" s="15"/>
    </row>
    <row r="272" spans="1:32" hidden="1">
      <c r="A272" s="1">
        <v>8623414</v>
      </c>
      <c r="B272" s="1" t="s">
        <v>27</v>
      </c>
      <c r="C272" t="s">
        <v>186</v>
      </c>
      <c r="E272" s="2">
        <v>2107000206001</v>
      </c>
      <c r="F272" s="1" t="s">
        <v>29</v>
      </c>
      <c r="G272" s="1" t="s">
        <v>53</v>
      </c>
      <c r="H272" s="1" t="s">
        <v>262</v>
      </c>
      <c r="I272" s="1" t="s">
        <v>263</v>
      </c>
      <c r="J272" s="1" t="s">
        <v>164</v>
      </c>
      <c r="K272" t="s">
        <v>34</v>
      </c>
      <c r="M272" s="1" t="s">
        <v>35</v>
      </c>
      <c r="N272" s="1">
        <v>42318949</v>
      </c>
      <c r="O272" s="1" t="s">
        <v>105</v>
      </c>
      <c r="P272" s="186">
        <v>44711.654444444444</v>
      </c>
      <c r="R272" s="1" t="s">
        <v>38</v>
      </c>
      <c r="T272" s="1" t="s">
        <v>74</v>
      </c>
      <c r="U272" s="186">
        <v>44711.75</v>
      </c>
      <c r="V272" s="1" t="s">
        <v>41</v>
      </c>
      <c r="W272" s="1" t="s">
        <v>49</v>
      </c>
      <c r="X272" s="13" t="str">
        <f t="shared" si="33"/>
        <v/>
      </c>
      <c r="Y272" s="2">
        <f t="shared" ca="1" si="28"/>
        <v>198</v>
      </c>
      <c r="Z272" s="14">
        <v>1</v>
      </c>
      <c r="AA272" s="1" t="str">
        <f t="shared" ca="1" si="29"/>
        <v>VENCIDO</v>
      </c>
      <c r="AB272" s="1" t="str">
        <f t="shared" si="30"/>
        <v>Dosa</v>
      </c>
      <c r="AC272" s="2" t="str">
        <f t="shared" si="34"/>
        <v xml:space="preserve"> ROSEMERE </v>
      </c>
      <c r="AD272" s="2">
        <f t="shared" si="31"/>
        <v>5</v>
      </c>
      <c r="AE272" s="2">
        <f t="shared" ca="1" si="32"/>
        <v>-274.9262716435187</v>
      </c>
      <c r="AF272" s="15"/>
    </row>
    <row r="273" spans="1:32" hidden="1">
      <c r="A273" s="1">
        <v>8623404</v>
      </c>
      <c r="B273" s="1" t="s">
        <v>27</v>
      </c>
      <c r="C273" t="s">
        <v>186</v>
      </c>
      <c r="E273" s="2">
        <v>2388000206001</v>
      </c>
      <c r="F273" s="1" t="s">
        <v>29</v>
      </c>
      <c r="G273" s="1" t="s">
        <v>53</v>
      </c>
      <c r="H273" s="1" t="s">
        <v>299</v>
      </c>
      <c r="I273" s="1" t="s">
        <v>300</v>
      </c>
      <c r="J273" s="1" t="s">
        <v>79</v>
      </c>
      <c r="K273" t="s">
        <v>34</v>
      </c>
      <c r="M273" s="1" t="s">
        <v>35</v>
      </c>
      <c r="N273" s="1">
        <v>42318949</v>
      </c>
      <c r="O273" s="1" t="s">
        <v>36</v>
      </c>
      <c r="P273" s="186">
        <v>44711.654432870368</v>
      </c>
      <c r="R273" s="1" t="s">
        <v>38</v>
      </c>
      <c r="T273" s="1" t="s">
        <v>74</v>
      </c>
      <c r="U273" s="186">
        <v>44711.75</v>
      </c>
      <c r="V273" s="1" t="s">
        <v>41</v>
      </c>
      <c r="W273" s="1" t="s">
        <v>49</v>
      </c>
      <c r="X273" s="13" t="str">
        <f t="shared" si="33"/>
        <v/>
      </c>
      <c r="Y273" s="2">
        <f t="shared" ca="1" si="28"/>
        <v>198</v>
      </c>
      <c r="Z273" s="14">
        <v>1</v>
      </c>
      <c r="AA273" s="1" t="str">
        <f t="shared" ca="1" si="29"/>
        <v>VENCIDO</v>
      </c>
      <c r="AB273" s="1" t="str">
        <f t="shared" si="30"/>
        <v>Dosa</v>
      </c>
      <c r="AC273" s="2" t="str">
        <f t="shared" si="34"/>
        <v xml:space="preserve"> ROSEMERE </v>
      </c>
      <c r="AD273" s="2">
        <f t="shared" si="31"/>
        <v>5</v>
      </c>
      <c r="AE273" s="2">
        <f t="shared" ca="1" si="32"/>
        <v>-274.9262716435187</v>
      </c>
      <c r="AF273" s="15"/>
    </row>
    <row r="274" spans="1:32" hidden="1">
      <c r="A274" s="1">
        <v>8623397</v>
      </c>
      <c r="B274" s="1" t="s">
        <v>27</v>
      </c>
      <c r="C274" t="s">
        <v>186</v>
      </c>
      <c r="E274" s="2">
        <v>1710000206001</v>
      </c>
      <c r="F274" s="1" t="s">
        <v>29</v>
      </c>
      <c r="G274" s="1" t="s">
        <v>53</v>
      </c>
      <c r="H274" s="1" t="s">
        <v>327</v>
      </c>
      <c r="I274" s="1" t="s">
        <v>328</v>
      </c>
      <c r="J274" s="1" t="s">
        <v>261</v>
      </c>
      <c r="K274" t="s">
        <v>34</v>
      </c>
      <c r="M274" s="1" t="s">
        <v>35</v>
      </c>
      <c r="N274" s="1">
        <v>42318949</v>
      </c>
      <c r="O274" s="1" t="s">
        <v>105</v>
      </c>
      <c r="P274" s="186">
        <v>44711.654421296298</v>
      </c>
      <c r="R274" s="1" t="s">
        <v>38</v>
      </c>
      <c r="T274" s="1" t="s">
        <v>74</v>
      </c>
      <c r="U274" s="186">
        <v>44711.75</v>
      </c>
      <c r="V274" s="1" t="s">
        <v>41</v>
      </c>
      <c r="W274" s="1" t="s">
        <v>49</v>
      </c>
      <c r="X274" s="13" t="str">
        <f t="shared" si="33"/>
        <v/>
      </c>
      <c r="Y274" s="2">
        <f t="shared" ca="1" si="28"/>
        <v>198</v>
      </c>
      <c r="Z274" s="14">
        <v>1</v>
      </c>
      <c r="AA274" s="1" t="str">
        <f t="shared" ca="1" si="29"/>
        <v>VENCIDO</v>
      </c>
      <c r="AB274" s="1" t="str">
        <f t="shared" si="30"/>
        <v>Dosa</v>
      </c>
      <c r="AC274" s="2" t="str">
        <f t="shared" si="34"/>
        <v xml:space="preserve"> CRISTINA </v>
      </c>
      <c r="AD274" s="2">
        <f t="shared" si="31"/>
        <v>5</v>
      </c>
      <c r="AE274" s="2">
        <f t="shared" ca="1" si="32"/>
        <v>-274.9262716435187</v>
      </c>
      <c r="AF274" s="15"/>
    </row>
    <row r="275" spans="1:32" hidden="1">
      <c r="A275" s="1">
        <v>8623394</v>
      </c>
      <c r="B275" s="1" t="s">
        <v>27</v>
      </c>
      <c r="C275" t="s">
        <v>186</v>
      </c>
      <c r="E275" s="2">
        <v>4274000206001</v>
      </c>
      <c r="F275" s="1" t="s">
        <v>29</v>
      </c>
      <c r="G275" s="1" t="s">
        <v>53</v>
      </c>
      <c r="H275" s="1" t="s">
        <v>386</v>
      </c>
      <c r="I275" s="1" t="s">
        <v>387</v>
      </c>
      <c r="J275" s="1" t="s">
        <v>46</v>
      </c>
      <c r="K275" t="s">
        <v>34</v>
      </c>
      <c r="M275" s="1" t="s">
        <v>35</v>
      </c>
      <c r="N275" s="1">
        <v>42318949</v>
      </c>
      <c r="O275" s="1" t="s">
        <v>36</v>
      </c>
      <c r="P275" s="186">
        <v>44711.654409722221</v>
      </c>
      <c r="R275" s="1" t="s">
        <v>38</v>
      </c>
      <c r="T275" s="1" t="s">
        <v>74</v>
      </c>
      <c r="U275" s="186">
        <v>44711.75</v>
      </c>
      <c r="V275" s="1" t="s">
        <v>41</v>
      </c>
      <c r="W275" s="1" t="s">
        <v>49</v>
      </c>
      <c r="X275" s="13" t="str">
        <f t="shared" si="33"/>
        <v/>
      </c>
      <c r="Y275" s="2">
        <f t="shared" ca="1" si="28"/>
        <v>198</v>
      </c>
      <c r="Z275" s="14">
        <v>1</v>
      </c>
      <c r="AA275" s="1" t="str">
        <f t="shared" ca="1" si="29"/>
        <v>VENCIDO</v>
      </c>
      <c r="AB275" s="1" t="str">
        <f t="shared" si="30"/>
        <v>Dosa</v>
      </c>
      <c r="AC275" s="2" t="str">
        <f t="shared" si="34"/>
        <v xml:space="preserve"> CLEITON </v>
      </c>
      <c r="AD275" s="2">
        <f t="shared" si="31"/>
        <v>5</v>
      </c>
      <c r="AE275" s="2">
        <f t="shared" ca="1" si="32"/>
        <v>-274.9262716435187</v>
      </c>
      <c r="AF275" s="15"/>
    </row>
    <row r="276" spans="1:32" hidden="1">
      <c r="A276" s="1">
        <v>8623366</v>
      </c>
      <c r="B276" s="1" t="s">
        <v>27</v>
      </c>
      <c r="C276" t="s">
        <v>186</v>
      </c>
      <c r="E276" s="2">
        <v>710000206001</v>
      </c>
      <c r="F276" s="1" t="s">
        <v>29</v>
      </c>
      <c r="G276" s="1" t="s">
        <v>53</v>
      </c>
      <c r="H276" s="1" t="s">
        <v>390</v>
      </c>
      <c r="I276" s="1" t="s">
        <v>391</v>
      </c>
      <c r="J276" s="1" t="s">
        <v>56</v>
      </c>
      <c r="K276" t="s">
        <v>34</v>
      </c>
      <c r="M276" s="1" t="s">
        <v>35</v>
      </c>
      <c r="N276" s="1">
        <v>42318949</v>
      </c>
      <c r="O276" s="1" t="s">
        <v>105</v>
      </c>
      <c r="P276" s="186">
        <v>44711.654374999998</v>
      </c>
      <c r="R276" s="1" t="s">
        <v>38</v>
      </c>
      <c r="T276" s="1" t="s">
        <v>74</v>
      </c>
      <c r="U276" s="186">
        <v>44711.75</v>
      </c>
      <c r="V276" s="1" t="s">
        <v>41</v>
      </c>
      <c r="W276" s="1" t="s">
        <v>49</v>
      </c>
      <c r="X276" s="13" t="str">
        <f t="shared" si="33"/>
        <v/>
      </c>
      <c r="Y276" s="2">
        <f t="shared" ca="1" si="28"/>
        <v>198</v>
      </c>
      <c r="Z276" s="14">
        <v>1</v>
      </c>
      <c r="AA276" s="1" t="str">
        <f t="shared" ca="1" si="29"/>
        <v>VENCIDO</v>
      </c>
      <c r="AB276" s="1" t="str">
        <f t="shared" si="30"/>
        <v>Dosa</v>
      </c>
      <c r="AC276" s="2" t="str">
        <f t="shared" si="34"/>
        <v xml:space="preserve"> CRISTINA </v>
      </c>
      <c r="AD276" s="2">
        <f t="shared" si="31"/>
        <v>5</v>
      </c>
      <c r="AE276" s="2">
        <f t="shared" ca="1" si="32"/>
        <v>-274.9262716435187</v>
      </c>
      <c r="AF276" s="15"/>
    </row>
    <row r="277" spans="1:32" hidden="1">
      <c r="A277" s="1">
        <v>8623339</v>
      </c>
      <c r="B277" s="1" t="s">
        <v>27</v>
      </c>
      <c r="C277" t="s">
        <v>186</v>
      </c>
      <c r="E277" s="2">
        <v>550000206001</v>
      </c>
      <c r="F277" s="1" t="s">
        <v>29</v>
      </c>
      <c r="G277" s="1" t="s">
        <v>53</v>
      </c>
      <c r="H277" s="1" t="s">
        <v>337</v>
      </c>
      <c r="I277" s="1" t="s">
        <v>338</v>
      </c>
      <c r="J277" s="1" t="s">
        <v>164</v>
      </c>
      <c r="K277" t="s">
        <v>34</v>
      </c>
      <c r="M277" s="1" t="s">
        <v>35</v>
      </c>
      <c r="N277" s="1">
        <v>42318949</v>
      </c>
      <c r="O277" s="1" t="s">
        <v>105</v>
      </c>
      <c r="P277" s="186">
        <v>44711.654340277775</v>
      </c>
      <c r="R277" s="1" t="s">
        <v>38</v>
      </c>
      <c r="T277" s="1" t="s">
        <v>74</v>
      </c>
      <c r="U277" s="186">
        <v>44711.75</v>
      </c>
      <c r="V277" s="1" t="s">
        <v>41</v>
      </c>
      <c r="W277" s="1" t="s">
        <v>49</v>
      </c>
      <c r="X277" s="13" t="str">
        <f t="shared" si="33"/>
        <v/>
      </c>
      <c r="Y277" s="2">
        <f t="shared" ca="1" si="28"/>
        <v>198</v>
      </c>
      <c r="Z277" s="14">
        <v>1</v>
      </c>
      <c r="AA277" s="1" t="str">
        <f t="shared" ca="1" si="29"/>
        <v>VENCIDO</v>
      </c>
      <c r="AB277" s="1" t="str">
        <f t="shared" si="30"/>
        <v>Dosa</v>
      </c>
      <c r="AC277" s="2" t="str">
        <f t="shared" si="34"/>
        <v xml:space="preserve"> ROSEMERE </v>
      </c>
      <c r="AD277" s="2">
        <f t="shared" si="31"/>
        <v>5</v>
      </c>
      <c r="AE277" s="2">
        <f t="shared" ca="1" si="32"/>
        <v>-274.9262716435187</v>
      </c>
      <c r="AF277" s="15"/>
    </row>
    <row r="278" spans="1:32" hidden="1">
      <c r="A278" s="1">
        <v>8623323</v>
      </c>
      <c r="B278" s="1" t="s">
        <v>27</v>
      </c>
      <c r="C278" t="s">
        <v>186</v>
      </c>
      <c r="E278" s="2">
        <v>1943000206001</v>
      </c>
      <c r="F278" s="1" t="s">
        <v>29</v>
      </c>
      <c r="G278" s="1" t="s">
        <v>53</v>
      </c>
      <c r="H278" s="1" t="s">
        <v>264</v>
      </c>
      <c r="I278" s="1" t="s">
        <v>265</v>
      </c>
      <c r="J278" s="1" t="s">
        <v>56</v>
      </c>
      <c r="K278" t="s">
        <v>34</v>
      </c>
      <c r="M278" s="1" t="s">
        <v>35</v>
      </c>
      <c r="N278" s="1">
        <v>42318949</v>
      </c>
      <c r="O278" s="1" t="s">
        <v>105</v>
      </c>
      <c r="P278" s="186">
        <v>44711.654328703706</v>
      </c>
      <c r="R278" s="1" t="s">
        <v>38</v>
      </c>
      <c r="T278" s="1" t="s">
        <v>74</v>
      </c>
      <c r="U278" s="186">
        <v>44711.75</v>
      </c>
      <c r="V278" s="1" t="s">
        <v>41</v>
      </c>
      <c r="W278" s="1" t="s">
        <v>49</v>
      </c>
      <c r="X278" s="13" t="str">
        <f t="shared" si="33"/>
        <v/>
      </c>
      <c r="Y278" s="2">
        <f t="shared" ca="1" si="28"/>
        <v>198</v>
      </c>
      <c r="Z278" s="14">
        <v>1</v>
      </c>
      <c r="AA278" s="1" t="str">
        <f t="shared" ca="1" si="29"/>
        <v>VENCIDO</v>
      </c>
      <c r="AB278" s="1" t="str">
        <f t="shared" si="30"/>
        <v>Dosa</v>
      </c>
      <c r="AC278" s="2" t="str">
        <f t="shared" si="34"/>
        <v xml:space="preserve"> CRISTINA </v>
      </c>
      <c r="AD278" s="2">
        <f t="shared" si="31"/>
        <v>5</v>
      </c>
      <c r="AE278" s="2">
        <f t="shared" ca="1" si="32"/>
        <v>-274.9262716435187</v>
      </c>
      <c r="AF278" s="15"/>
    </row>
    <row r="279" spans="1:32" hidden="1">
      <c r="A279" s="1">
        <v>8623269</v>
      </c>
      <c r="B279" s="1" t="s">
        <v>27</v>
      </c>
      <c r="C279" t="s">
        <v>186</v>
      </c>
      <c r="E279" s="2">
        <v>1761000206001</v>
      </c>
      <c r="F279" s="1" t="s">
        <v>29</v>
      </c>
      <c r="G279" s="1" t="s">
        <v>53</v>
      </c>
      <c r="H279" s="1" t="s">
        <v>375</v>
      </c>
      <c r="I279" s="1" t="s">
        <v>376</v>
      </c>
      <c r="J279" s="1" t="s">
        <v>56</v>
      </c>
      <c r="K279" t="s">
        <v>34</v>
      </c>
      <c r="M279" s="1" t="s">
        <v>35</v>
      </c>
      <c r="N279" s="1">
        <v>42318949</v>
      </c>
      <c r="O279" s="1" t="s">
        <v>105</v>
      </c>
      <c r="P279" s="186">
        <v>44711.65425925926</v>
      </c>
      <c r="R279" s="1" t="s">
        <v>38</v>
      </c>
      <c r="T279" s="1" t="s">
        <v>74</v>
      </c>
      <c r="U279" s="186">
        <v>44711.75</v>
      </c>
      <c r="V279" s="1" t="s">
        <v>41</v>
      </c>
      <c r="W279" s="1" t="s">
        <v>49</v>
      </c>
      <c r="X279" s="13" t="str">
        <f t="shared" si="33"/>
        <v/>
      </c>
      <c r="Y279" s="2">
        <f t="shared" ca="1" si="28"/>
        <v>198</v>
      </c>
      <c r="Z279" s="14">
        <v>1</v>
      </c>
      <c r="AA279" s="1" t="str">
        <f t="shared" ca="1" si="29"/>
        <v>VENCIDO</v>
      </c>
      <c r="AB279" s="1" t="str">
        <f t="shared" si="30"/>
        <v>Dosa</v>
      </c>
      <c r="AC279" s="2" t="str">
        <f t="shared" si="34"/>
        <v xml:space="preserve"> CRISTINA </v>
      </c>
      <c r="AD279" s="2">
        <f t="shared" si="31"/>
        <v>5</v>
      </c>
      <c r="AE279" s="2">
        <f t="shared" ca="1" si="32"/>
        <v>-274.9262716435187</v>
      </c>
      <c r="AF279" s="15"/>
    </row>
    <row r="280" spans="1:32" hidden="1">
      <c r="A280" s="1">
        <v>8623187</v>
      </c>
      <c r="B280" s="1" t="s">
        <v>27</v>
      </c>
      <c r="C280" t="s">
        <v>186</v>
      </c>
      <c r="E280" s="2">
        <v>2830000206001</v>
      </c>
      <c r="F280" s="1" t="s">
        <v>29</v>
      </c>
      <c r="G280" s="1" t="s">
        <v>53</v>
      </c>
      <c r="H280" s="1" t="s">
        <v>448</v>
      </c>
      <c r="I280" s="1" t="s">
        <v>449</v>
      </c>
      <c r="J280" s="1" t="s">
        <v>33</v>
      </c>
      <c r="K280" t="s">
        <v>34</v>
      </c>
      <c r="M280" s="1" t="s">
        <v>35</v>
      </c>
      <c r="N280" s="1">
        <v>42318949</v>
      </c>
      <c r="O280" s="1" t="s">
        <v>105</v>
      </c>
      <c r="P280" s="186">
        <v>44711.654143518521</v>
      </c>
      <c r="R280" s="1" t="s">
        <v>38</v>
      </c>
      <c r="T280" s="1" t="s">
        <v>74</v>
      </c>
      <c r="U280" s="186">
        <v>44711.75</v>
      </c>
      <c r="V280" s="1" t="s">
        <v>41</v>
      </c>
      <c r="W280" s="1" t="s">
        <v>42</v>
      </c>
      <c r="X280" s="13" t="str">
        <f t="shared" si="33"/>
        <v/>
      </c>
      <c r="Y280" s="2">
        <f t="shared" ca="1" si="28"/>
        <v>198</v>
      </c>
      <c r="Z280" s="14">
        <v>1</v>
      </c>
      <c r="AA280" s="1" t="str">
        <f t="shared" ca="1" si="29"/>
        <v>VENCIDO</v>
      </c>
      <c r="AB280" s="1" t="str">
        <f t="shared" si="30"/>
        <v>Dosa</v>
      </c>
      <c r="AC280" s="2" t="str">
        <f t="shared" si="34"/>
        <v xml:space="preserve"> ROSEMERE </v>
      </c>
      <c r="AD280" s="2">
        <f t="shared" si="31"/>
        <v>5</v>
      </c>
      <c r="AE280" s="2">
        <f t="shared" ca="1" si="32"/>
        <v>-274.9262716435187</v>
      </c>
      <c r="AF280" s="15"/>
    </row>
    <row r="281" spans="1:32" hidden="1">
      <c r="A281" s="1">
        <v>8623156</v>
      </c>
      <c r="B281" s="1" t="s">
        <v>27</v>
      </c>
      <c r="C281" t="s">
        <v>186</v>
      </c>
      <c r="E281" s="2">
        <v>1361000206001</v>
      </c>
      <c r="F281" s="1" t="s">
        <v>29</v>
      </c>
      <c r="G281" s="1" t="s">
        <v>53</v>
      </c>
      <c r="H281" s="1" t="s">
        <v>309</v>
      </c>
      <c r="I281" s="1" t="s">
        <v>310</v>
      </c>
      <c r="J281" s="1" t="s">
        <v>46</v>
      </c>
      <c r="K281" t="s">
        <v>34</v>
      </c>
      <c r="M281" s="1" t="s">
        <v>35</v>
      </c>
      <c r="N281" s="1">
        <v>42318949</v>
      </c>
      <c r="O281" s="1" t="s">
        <v>105</v>
      </c>
      <c r="P281" s="186">
        <v>44711.654108796298</v>
      </c>
      <c r="R281" s="1" t="s">
        <v>38</v>
      </c>
      <c r="T281" s="1" t="s">
        <v>74</v>
      </c>
      <c r="U281" s="186">
        <v>44711.75</v>
      </c>
      <c r="V281" s="1" t="s">
        <v>41</v>
      </c>
      <c r="W281" s="1" t="s">
        <v>49</v>
      </c>
      <c r="X281" s="13" t="str">
        <f t="shared" si="33"/>
        <v/>
      </c>
      <c r="Y281" s="2">
        <f t="shared" ca="1" si="28"/>
        <v>198</v>
      </c>
      <c r="Z281" s="14">
        <v>1</v>
      </c>
      <c r="AA281" s="1" t="str">
        <f t="shared" ca="1" si="29"/>
        <v>VENCIDO</v>
      </c>
      <c r="AB281" s="1" t="str">
        <f t="shared" si="30"/>
        <v>Dosa</v>
      </c>
      <c r="AC281" s="2" t="str">
        <f t="shared" si="34"/>
        <v xml:space="preserve"> CLEITON </v>
      </c>
      <c r="AD281" s="2">
        <f t="shared" si="31"/>
        <v>5</v>
      </c>
      <c r="AE281" s="2">
        <f t="shared" ca="1" si="32"/>
        <v>-274.9262716435187</v>
      </c>
      <c r="AF281" s="15"/>
    </row>
    <row r="282" spans="1:32" hidden="1">
      <c r="A282" s="1">
        <v>8623137</v>
      </c>
      <c r="B282" s="1" t="s">
        <v>27</v>
      </c>
      <c r="C282" t="s">
        <v>186</v>
      </c>
      <c r="E282" s="2">
        <v>1771000206001</v>
      </c>
      <c r="F282" s="1" t="s">
        <v>29</v>
      </c>
      <c r="G282" s="1" t="s">
        <v>53</v>
      </c>
      <c r="H282" s="1" t="s">
        <v>615</v>
      </c>
      <c r="I282" s="1" t="s">
        <v>616</v>
      </c>
      <c r="J282" s="1" t="s">
        <v>261</v>
      </c>
      <c r="K282" t="s">
        <v>34</v>
      </c>
      <c r="M282" s="1" t="s">
        <v>35</v>
      </c>
      <c r="N282" s="1">
        <v>42318949</v>
      </c>
      <c r="O282" s="1" t="s">
        <v>105</v>
      </c>
      <c r="P282" s="186">
        <v>44711.654085648152</v>
      </c>
      <c r="R282" s="1" t="s">
        <v>38</v>
      </c>
      <c r="T282" s="1" t="s">
        <v>74</v>
      </c>
      <c r="U282" s="186">
        <v>44711.75</v>
      </c>
      <c r="V282" s="1" t="s">
        <v>41</v>
      </c>
      <c r="W282" s="1" t="s">
        <v>49</v>
      </c>
      <c r="X282" s="13" t="str">
        <f t="shared" si="33"/>
        <v/>
      </c>
      <c r="Y282" s="2">
        <f t="shared" ca="1" si="28"/>
        <v>198</v>
      </c>
      <c r="Z282" s="14">
        <v>1</v>
      </c>
      <c r="AA282" s="1" t="str">
        <f t="shared" ca="1" si="29"/>
        <v>VENCIDO</v>
      </c>
      <c r="AB282" s="1" t="str">
        <f t="shared" si="30"/>
        <v>Dosa</v>
      </c>
      <c r="AC282" s="2" t="str">
        <f t="shared" si="34"/>
        <v xml:space="preserve"> CRISTINA </v>
      </c>
      <c r="AD282" s="2">
        <f t="shared" si="31"/>
        <v>5</v>
      </c>
      <c r="AE282" s="2">
        <f t="shared" ca="1" si="32"/>
        <v>-274.9262716435187</v>
      </c>
      <c r="AF282" s="15"/>
    </row>
    <row r="283" spans="1:32" hidden="1">
      <c r="A283" s="1">
        <v>8623124</v>
      </c>
      <c r="B283" s="1" t="s">
        <v>27</v>
      </c>
      <c r="C283" t="s">
        <v>186</v>
      </c>
      <c r="E283" s="2">
        <v>934000206001</v>
      </c>
      <c r="F283" s="1" t="s">
        <v>29</v>
      </c>
      <c r="G283" s="1" t="s">
        <v>53</v>
      </c>
      <c r="H283" s="1" t="s">
        <v>428</v>
      </c>
      <c r="I283" s="1" t="s">
        <v>429</v>
      </c>
      <c r="J283" s="1" t="s">
        <v>46</v>
      </c>
      <c r="K283" t="s">
        <v>34</v>
      </c>
      <c r="M283" s="1" t="s">
        <v>35</v>
      </c>
      <c r="N283" s="1">
        <v>42318949</v>
      </c>
      <c r="O283" s="1" t="s">
        <v>36</v>
      </c>
      <c r="P283" s="186">
        <v>44711.654062499998</v>
      </c>
      <c r="R283" s="1" t="s">
        <v>38</v>
      </c>
      <c r="T283" s="1" t="s">
        <v>74</v>
      </c>
      <c r="U283" s="186">
        <v>44711.75</v>
      </c>
      <c r="V283" s="1" t="s">
        <v>41</v>
      </c>
      <c r="W283" s="1" t="s">
        <v>49</v>
      </c>
      <c r="X283" s="13" t="str">
        <f t="shared" si="33"/>
        <v/>
      </c>
      <c r="Y283" s="2">
        <f t="shared" ca="1" si="28"/>
        <v>198</v>
      </c>
      <c r="Z283" s="14">
        <v>1</v>
      </c>
      <c r="AA283" s="1" t="str">
        <f t="shared" ca="1" si="29"/>
        <v>VENCIDO</v>
      </c>
      <c r="AB283" s="1" t="str">
        <f t="shared" si="30"/>
        <v>Dosa</v>
      </c>
      <c r="AC283" s="2" t="str">
        <f t="shared" si="34"/>
        <v xml:space="preserve"> CLEITON </v>
      </c>
      <c r="AD283" s="2">
        <f t="shared" si="31"/>
        <v>5</v>
      </c>
      <c r="AE283" s="2">
        <f t="shared" ca="1" si="32"/>
        <v>-274.9262716435187</v>
      </c>
      <c r="AF283" s="15"/>
    </row>
    <row r="284" spans="1:32" hidden="1">
      <c r="A284" s="1">
        <v>8623122</v>
      </c>
      <c r="B284" s="1" t="s">
        <v>27</v>
      </c>
      <c r="C284" t="s">
        <v>186</v>
      </c>
      <c r="E284" s="2">
        <v>1264000206001</v>
      </c>
      <c r="F284" s="1" t="s">
        <v>29</v>
      </c>
      <c r="G284" s="1" t="s">
        <v>53</v>
      </c>
      <c r="H284" s="1" t="s">
        <v>351</v>
      </c>
      <c r="I284" s="1" t="s">
        <v>352</v>
      </c>
      <c r="J284" s="1" t="s">
        <v>110</v>
      </c>
      <c r="K284" t="s">
        <v>34</v>
      </c>
      <c r="M284" s="1" t="s">
        <v>35</v>
      </c>
      <c r="N284" s="1">
        <v>42318949</v>
      </c>
      <c r="O284" s="1" t="s">
        <v>105</v>
      </c>
      <c r="P284" s="186">
        <v>44711.654062499998</v>
      </c>
      <c r="R284" s="1" t="s">
        <v>38</v>
      </c>
      <c r="T284" s="1" t="s">
        <v>74</v>
      </c>
      <c r="U284" s="186">
        <v>44711.75</v>
      </c>
      <c r="V284" s="1" t="s">
        <v>41</v>
      </c>
      <c r="W284" s="1" t="s">
        <v>49</v>
      </c>
      <c r="X284" s="13" t="str">
        <f t="shared" si="33"/>
        <v/>
      </c>
      <c r="Y284" s="2">
        <f t="shared" ca="1" si="28"/>
        <v>198</v>
      </c>
      <c r="Z284" s="14">
        <v>1</v>
      </c>
      <c r="AA284" s="1" t="str">
        <f t="shared" ca="1" si="29"/>
        <v>VENCIDO</v>
      </c>
      <c r="AB284" s="1" t="str">
        <f t="shared" si="30"/>
        <v>Dosa</v>
      </c>
      <c r="AC284" s="2" t="str">
        <f t="shared" si="34"/>
        <v xml:space="preserve"> CRISTINA </v>
      </c>
      <c r="AD284" s="2">
        <f t="shared" si="31"/>
        <v>5</v>
      </c>
      <c r="AE284" s="2">
        <f t="shared" ca="1" si="32"/>
        <v>-274.9262716435187</v>
      </c>
      <c r="AF284" s="15"/>
    </row>
    <row r="285" spans="1:32" hidden="1">
      <c r="A285" s="1">
        <v>8622823</v>
      </c>
      <c r="B285" s="1" t="s">
        <v>27</v>
      </c>
      <c r="C285" t="s">
        <v>186</v>
      </c>
      <c r="E285" s="2">
        <v>2855000206001</v>
      </c>
      <c r="F285" s="1" t="s">
        <v>29</v>
      </c>
      <c r="G285" s="1" t="s">
        <v>53</v>
      </c>
      <c r="H285" s="1" t="s">
        <v>249</v>
      </c>
      <c r="I285" s="1" t="s">
        <v>250</v>
      </c>
      <c r="J285" s="1" t="s">
        <v>56</v>
      </c>
      <c r="K285" t="s">
        <v>34</v>
      </c>
      <c r="M285" s="1" t="s">
        <v>35</v>
      </c>
      <c r="N285" s="1">
        <v>42318949</v>
      </c>
      <c r="O285" s="1" t="s">
        <v>105</v>
      </c>
      <c r="P285" s="186">
        <v>44711.653692129628</v>
      </c>
      <c r="R285" s="1" t="s">
        <v>38</v>
      </c>
      <c r="T285" s="1" t="s">
        <v>74</v>
      </c>
      <c r="U285" s="186">
        <v>44711.75</v>
      </c>
      <c r="V285" s="1" t="s">
        <v>41</v>
      </c>
      <c r="W285" s="1" t="s">
        <v>49</v>
      </c>
      <c r="X285" s="13" t="str">
        <f t="shared" si="33"/>
        <v/>
      </c>
      <c r="Y285" s="2">
        <f t="shared" ca="1" si="28"/>
        <v>198</v>
      </c>
      <c r="Z285" s="14">
        <v>1</v>
      </c>
      <c r="AA285" s="1" t="str">
        <f t="shared" ca="1" si="29"/>
        <v>VENCIDO</v>
      </c>
      <c r="AB285" s="1" t="str">
        <f t="shared" si="30"/>
        <v>Dosa</v>
      </c>
      <c r="AC285" s="2" t="str">
        <f t="shared" si="34"/>
        <v xml:space="preserve"> CRISTINA </v>
      </c>
      <c r="AD285" s="2">
        <f t="shared" si="31"/>
        <v>5</v>
      </c>
      <c r="AE285" s="2">
        <f t="shared" ca="1" si="32"/>
        <v>-274.9262716435187</v>
      </c>
      <c r="AF285" s="15"/>
    </row>
    <row r="286" spans="1:32" hidden="1">
      <c r="A286" s="1">
        <v>8622810</v>
      </c>
      <c r="B286" s="1" t="s">
        <v>27</v>
      </c>
      <c r="C286" t="s">
        <v>186</v>
      </c>
      <c r="E286" s="2">
        <v>1650000206001</v>
      </c>
      <c r="F286" s="1" t="s">
        <v>29</v>
      </c>
      <c r="G286" s="1" t="s">
        <v>53</v>
      </c>
      <c r="H286" s="1" t="s">
        <v>620</v>
      </c>
      <c r="I286" s="1" t="s">
        <v>621</v>
      </c>
      <c r="J286" s="1" t="s">
        <v>141</v>
      </c>
      <c r="K286" t="s">
        <v>34</v>
      </c>
      <c r="M286" s="1" t="s">
        <v>35</v>
      </c>
      <c r="N286" s="1">
        <v>42318949</v>
      </c>
      <c r="O286" s="1" t="s">
        <v>105</v>
      </c>
      <c r="P286" s="186">
        <v>44711.653668981482</v>
      </c>
      <c r="R286" s="1" t="s">
        <v>38</v>
      </c>
      <c r="T286" s="1" t="s">
        <v>74</v>
      </c>
      <c r="U286" s="186">
        <v>44711.75</v>
      </c>
      <c r="V286" s="1" t="s">
        <v>41</v>
      </c>
      <c r="W286" s="1" t="s">
        <v>49</v>
      </c>
      <c r="X286" s="13" t="str">
        <f t="shared" si="33"/>
        <v/>
      </c>
      <c r="Y286" s="2">
        <f t="shared" ca="1" si="28"/>
        <v>198</v>
      </c>
      <c r="Z286" s="14">
        <v>1</v>
      </c>
      <c r="AA286" s="1" t="str">
        <f t="shared" ca="1" si="29"/>
        <v>VENCIDO</v>
      </c>
      <c r="AB286" s="1" t="str">
        <f t="shared" si="30"/>
        <v>Dosa</v>
      </c>
      <c r="AC286" s="2" t="str">
        <f t="shared" si="34"/>
        <v xml:space="preserve"> CRISTINA </v>
      </c>
      <c r="AD286" s="2">
        <f t="shared" si="31"/>
        <v>5</v>
      </c>
      <c r="AE286" s="2">
        <f t="shared" ca="1" si="32"/>
        <v>-274.9262716435187</v>
      </c>
      <c r="AF286" s="15"/>
    </row>
    <row r="287" spans="1:32" hidden="1">
      <c r="A287" s="1">
        <v>8622790</v>
      </c>
      <c r="B287" s="1" t="s">
        <v>27</v>
      </c>
      <c r="C287" t="s">
        <v>186</v>
      </c>
      <c r="E287" s="2">
        <v>1664000206001</v>
      </c>
      <c r="F287" s="1" t="s">
        <v>29</v>
      </c>
      <c r="G287" s="1" t="s">
        <v>53</v>
      </c>
      <c r="H287" s="1" t="s">
        <v>307</v>
      </c>
      <c r="I287" s="1" t="s">
        <v>308</v>
      </c>
      <c r="J287" s="1" t="s">
        <v>164</v>
      </c>
      <c r="K287" t="s">
        <v>34</v>
      </c>
      <c r="M287" s="1" t="s">
        <v>35</v>
      </c>
      <c r="N287" s="1">
        <v>42318949</v>
      </c>
      <c r="O287" s="1" t="s">
        <v>105</v>
      </c>
      <c r="P287" s="186">
        <v>44711.653645833336</v>
      </c>
      <c r="R287" s="1" t="s">
        <v>38</v>
      </c>
      <c r="T287" s="1" t="s">
        <v>74</v>
      </c>
      <c r="U287" s="186">
        <v>44711.75</v>
      </c>
      <c r="V287" s="1" t="s">
        <v>41</v>
      </c>
      <c r="W287" s="1" t="s">
        <v>49</v>
      </c>
      <c r="X287" s="13" t="str">
        <f t="shared" si="33"/>
        <v/>
      </c>
      <c r="Y287" s="2">
        <f t="shared" ca="1" si="28"/>
        <v>198</v>
      </c>
      <c r="Z287" s="14">
        <v>1</v>
      </c>
      <c r="AA287" s="1" t="str">
        <f t="shared" ca="1" si="29"/>
        <v>VENCIDO</v>
      </c>
      <c r="AB287" s="1" t="str">
        <f t="shared" si="30"/>
        <v>Dosa</v>
      </c>
      <c r="AC287" s="2" t="str">
        <f t="shared" si="34"/>
        <v xml:space="preserve"> ROSEMERE </v>
      </c>
      <c r="AD287" s="2">
        <f t="shared" si="31"/>
        <v>5</v>
      </c>
      <c r="AE287" s="2">
        <f t="shared" ca="1" si="32"/>
        <v>-274.9262716435187</v>
      </c>
      <c r="AF287" s="15"/>
    </row>
    <row r="288" spans="1:32" hidden="1">
      <c r="A288" s="1">
        <v>8622781</v>
      </c>
      <c r="B288" s="1" t="s">
        <v>27</v>
      </c>
      <c r="C288" t="s">
        <v>186</v>
      </c>
      <c r="E288" s="2">
        <v>834000206001</v>
      </c>
      <c r="F288" s="1" t="s">
        <v>29</v>
      </c>
      <c r="G288" s="1" t="s">
        <v>53</v>
      </c>
      <c r="H288" s="1" t="s">
        <v>367</v>
      </c>
      <c r="I288" s="1" t="s">
        <v>368</v>
      </c>
      <c r="J288" s="1" t="s">
        <v>261</v>
      </c>
      <c r="K288" t="s">
        <v>34</v>
      </c>
      <c r="M288" s="1" t="s">
        <v>35</v>
      </c>
      <c r="N288" s="1">
        <v>42318949</v>
      </c>
      <c r="O288" s="1" t="s">
        <v>105</v>
      </c>
      <c r="P288" s="186">
        <v>44711.653634259259</v>
      </c>
      <c r="R288" s="1" t="s">
        <v>38</v>
      </c>
      <c r="T288" s="1" t="s">
        <v>74</v>
      </c>
      <c r="U288" s="186">
        <v>44711.75</v>
      </c>
      <c r="V288" s="1" t="s">
        <v>41</v>
      </c>
      <c r="W288" s="1" t="s">
        <v>49</v>
      </c>
      <c r="X288" s="13" t="str">
        <f t="shared" si="33"/>
        <v/>
      </c>
      <c r="Y288" s="2">
        <f t="shared" ca="1" si="28"/>
        <v>198</v>
      </c>
      <c r="Z288" s="14">
        <v>1</v>
      </c>
      <c r="AA288" s="1" t="str">
        <f t="shared" ca="1" si="29"/>
        <v>VENCIDO</v>
      </c>
      <c r="AB288" s="1" t="str">
        <f t="shared" si="30"/>
        <v>Dosa</v>
      </c>
      <c r="AC288" s="2" t="str">
        <f t="shared" si="34"/>
        <v xml:space="preserve"> CRISTINA </v>
      </c>
      <c r="AD288" s="2">
        <f t="shared" si="31"/>
        <v>5</v>
      </c>
      <c r="AE288" s="2">
        <f t="shared" ca="1" si="32"/>
        <v>-274.9262716435187</v>
      </c>
      <c r="AF288" s="15"/>
    </row>
    <row r="289" spans="1:32" hidden="1">
      <c r="A289" s="1">
        <v>8622757</v>
      </c>
      <c r="B289" s="1" t="s">
        <v>27</v>
      </c>
      <c r="C289" t="s">
        <v>186</v>
      </c>
      <c r="E289" s="2">
        <v>5740000206001</v>
      </c>
      <c r="F289" s="1" t="s">
        <v>29</v>
      </c>
      <c r="G289" s="1" t="s">
        <v>53</v>
      </c>
      <c r="H289" s="1" t="s">
        <v>626</v>
      </c>
      <c r="I289" s="1" t="s">
        <v>627</v>
      </c>
      <c r="J289" s="1" t="s">
        <v>46</v>
      </c>
      <c r="K289" t="s">
        <v>34</v>
      </c>
      <c r="M289" s="1" t="s">
        <v>35</v>
      </c>
      <c r="N289" s="1">
        <v>42318949</v>
      </c>
      <c r="O289" s="1" t="s">
        <v>105</v>
      </c>
      <c r="P289" s="186">
        <v>44711.653599537036</v>
      </c>
      <c r="R289" s="1" t="s">
        <v>38</v>
      </c>
      <c r="T289" s="1" t="s">
        <v>74</v>
      </c>
      <c r="U289" s="186">
        <v>44711.75</v>
      </c>
      <c r="V289" s="1" t="s">
        <v>41</v>
      </c>
      <c r="W289" s="1" t="s">
        <v>49</v>
      </c>
      <c r="X289" s="13" t="str">
        <f t="shared" si="33"/>
        <v/>
      </c>
      <c r="Y289" s="2">
        <f t="shared" ca="1" si="28"/>
        <v>198</v>
      </c>
      <c r="Z289" s="14">
        <v>1</v>
      </c>
      <c r="AA289" s="1" t="str">
        <f t="shared" ca="1" si="29"/>
        <v>VENCIDO</v>
      </c>
      <c r="AB289" s="1" t="str">
        <f t="shared" si="30"/>
        <v>Dosa</v>
      </c>
      <c r="AC289" s="2" t="str">
        <f t="shared" si="34"/>
        <v xml:space="preserve"> CLEITON </v>
      </c>
      <c r="AD289" s="2">
        <f t="shared" si="31"/>
        <v>5</v>
      </c>
      <c r="AE289" s="2">
        <f t="shared" ca="1" si="32"/>
        <v>-274.9262716435187</v>
      </c>
      <c r="AF289" s="15"/>
    </row>
    <row r="290" spans="1:32" hidden="1">
      <c r="A290" s="1">
        <v>8622462</v>
      </c>
      <c r="B290" s="1" t="s">
        <v>27</v>
      </c>
      <c r="C290" t="s">
        <v>186</v>
      </c>
      <c r="E290" s="2">
        <v>3234150206001</v>
      </c>
      <c r="F290" s="1" t="s">
        <v>29</v>
      </c>
      <c r="G290" s="1" t="s">
        <v>53</v>
      </c>
      <c r="H290" s="1" t="s">
        <v>629</v>
      </c>
      <c r="I290" s="1" t="s">
        <v>630</v>
      </c>
      <c r="J290" s="1" t="s">
        <v>46</v>
      </c>
      <c r="K290" t="s">
        <v>34</v>
      </c>
      <c r="M290" s="1" t="s">
        <v>35</v>
      </c>
      <c r="N290" s="1">
        <v>42318949</v>
      </c>
      <c r="O290" s="1" t="s">
        <v>105</v>
      </c>
      <c r="P290" s="186">
        <v>44711.653229166666</v>
      </c>
      <c r="R290" s="1" t="s">
        <v>38</v>
      </c>
      <c r="T290" s="1" t="s">
        <v>74</v>
      </c>
      <c r="U290" s="186">
        <v>44711.75</v>
      </c>
      <c r="V290" s="1" t="s">
        <v>41</v>
      </c>
      <c r="W290" s="1" t="s">
        <v>49</v>
      </c>
      <c r="X290" s="13" t="str">
        <f t="shared" si="33"/>
        <v>3234.15</v>
      </c>
      <c r="Y290" s="2">
        <f t="shared" ca="1" si="28"/>
        <v>198</v>
      </c>
      <c r="Z290" s="14">
        <v>1</v>
      </c>
      <c r="AA290" s="1" t="str">
        <f t="shared" ca="1" si="29"/>
        <v>VENCIDO</v>
      </c>
      <c r="AB290" s="1" t="str">
        <f t="shared" si="30"/>
        <v>Dosa</v>
      </c>
      <c r="AC290" s="2" t="str">
        <f t="shared" si="34"/>
        <v xml:space="preserve"> CLEITON </v>
      </c>
      <c r="AD290" s="2">
        <f t="shared" si="31"/>
        <v>5</v>
      </c>
      <c r="AE290" s="2">
        <f t="shared" ca="1" si="32"/>
        <v>-274.9262716435187</v>
      </c>
      <c r="AF290" s="15"/>
    </row>
    <row r="291" spans="1:32" hidden="1">
      <c r="A291" s="1">
        <v>8622404</v>
      </c>
      <c r="B291" s="1" t="s">
        <v>27</v>
      </c>
      <c r="C291" t="s">
        <v>186</v>
      </c>
      <c r="E291" s="2">
        <v>4235000206001</v>
      </c>
      <c r="F291" s="1" t="s">
        <v>29</v>
      </c>
      <c r="G291" s="1" t="s">
        <v>53</v>
      </c>
      <c r="H291" s="1" t="s">
        <v>291</v>
      </c>
      <c r="I291" s="1" t="s">
        <v>292</v>
      </c>
      <c r="J291" s="1" t="s">
        <v>46</v>
      </c>
      <c r="K291" t="s">
        <v>34</v>
      </c>
      <c r="M291" s="1" t="s">
        <v>35</v>
      </c>
      <c r="N291" s="1">
        <v>42318949</v>
      </c>
      <c r="O291" s="1" t="s">
        <v>105</v>
      </c>
      <c r="P291" s="186">
        <v>44711.65315972222</v>
      </c>
      <c r="R291" s="1" t="s">
        <v>38</v>
      </c>
      <c r="T291" s="1" t="s">
        <v>74</v>
      </c>
      <c r="U291" s="186">
        <v>44711.75</v>
      </c>
      <c r="V291" s="1" t="s">
        <v>41</v>
      </c>
      <c r="W291" s="1" t="s">
        <v>49</v>
      </c>
      <c r="X291" s="13" t="str">
        <f t="shared" si="33"/>
        <v/>
      </c>
      <c r="Y291" s="2">
        <f t="shared" ca="1" si="28"/>
        <v>198</v>
      </c>
      <c r="Z291" s="14">
        <v>1</v>
      </c>
      <c r="AA291" s="1" t="str">
        <f t="shared" ca="1" si="29"/>
        <v>VENCIDO</v>
      </c>
      <c r="AB291" s="1" t="str">
        <f t="shared" si="30"/>
        <v>Dosa</v>
      </c>
      <c r="AC291" s="2" t="str">
        <f t="shared" si="34"/>
        <v xml:space="preserve"> CLEITON </v>
      </c>
      <c r="AD291" s="2">
        <f t="shared" si="31"/>
        <v>5</v>
      </c>
      <c r="AE291" s="2">
        <f t="shared" ca="1" si="32"/>
        <v>-274.9262716435187</v>
      </c>
      <c r="AF291" s="15"/>
    </row>
    <row r="292" spans="1:32" hidden="1">
      <c r="A292" s="1">
        <v>8622376</v>
      </c>
      <c r="B292" s="1" t="s">
        <v>27</v>
      </c>
      <c r="C292" t="s">
        <v>186</v>
      </c>
      <c r="E292" s="2">
        <v>4357000206001</v>
      </c>
      <c r="F292" s="1" t="s">
        <v>29</v>
      </c>
      <c r="G292" s="1" t="s">
        <v>53</v>
      </c>
      <c r="H292" s="1" t="s">
        <v>633</v>
      </c>
      <c r="I292" s="1" t="s">
        <v>634</v>
      </c>
      <c r="J292" s="1" t="s">
        <v>46</v>
      </c>
      <c r="K292" t="s">
        <v>34</v>
      </c>
      <c r="M292" s="1" t="s">
        <v>35</v>
      </c>
      <c r="N292" s="1">
        <v>42318949</v>
      </c>
      <c r="O292" s="1" t="s">
        <v>36</v>
      </c>
      <c r="P292" s="186">
        <v>44711.653113425928</v>
      </c>
      <c r="R292" s="1" t="s">
        <v>38</v>
      </c>
      <c r="T292" s="1" t="s">
        <v>74</v>
      </c>
      <c r="U292" s="186">
        <v>44711.75</v>
      </c>
      <c r="V292" s="1" t="s">
        <v>41</v>
      </c>
      <c r="W292" s="1" t="s">
        <v>49</v>
      </c>
      <c r="X292" s="13" t="str">
        <f t="shared" si="33"/>
        <v/>
      </c>
      <c r="Y292" s="2">
        <f t="shared" ca="1" si="28"/>
        <v>198</v>
      </c>
      <c r="Z292" s="14">
        <v>1</v>
      </c>
      <c r="AA292" s="1" t="str">
        <f t="shared" ca="1" si="29"/>
        <v>VENCIDO</v>
      </c>
      <c r="AB292" s="1" t="str">
        <f t="shared" si="30"/>
        <v>Dosa</v>
      </c>
      <c r="AC292" s="2" t="str">
        <f t="shared" si="34"/>
        <v xml:space="preserve"> CLEITON </v>
      </c>
      <c r="AD292" s="2">
        <f t="shared" si="31"/>
        <v>5</v>
      </c>
      <c r="AE292" s="2">
        <f t="shared" ca="1" si="32"/>
        <v>-274.9262716435187</v>
      </c>
      <c r="AF292" s="15"/>
    </row>
    <row r="293" spans="1:32" hidden="1">
      <c r="A293" s="1">
        <v>8622369</v>
      </c>
      <c r="B293" s="1" t="s">
        <v>27</v>
      </c>
      <c r="C293" t="s">
        <v>186</v>
      </c>
      <c r="E293" s="2">
        <v>3243000206001</v>
      </c>
      <c r="F293" s="1" t="s">
        <v>29</v>
      </c>
      <c r="G293" s="1" t="s">
        <v>53</v>
      </c>
      <c r="H293" s="1" t="s">
        <v>282</v>
      </c>
      <c r="I293" s="1" t="s">
        <v>283</v>
      </c>
      <c r="J293" s="1" t="s">
        <v>46</v>
      </c>
      <c r="K293" t="s">
        <v>34</v>
      </c>
      <c r="M293" s="1" t="s">
        <v>35</v>
      </c>
      <c r="N293" s="1">
        <v>42318949</v>
      </c>
      <c r="O293" s="1" t="s">
        <v>105</v>
      </c>
      <c r="P293" s="186">
        <v>44711.653113425928</v>
      </c>
      <c r="R293" s="1" t="s">
        <v>38</v>
      </c>
      <c r="T293" s="1" t="s">
        <v>74</v>
      </c>
      <c r="U293" s="186">
        <v>44711.75</v>
      </c>
      <c r="V293" s="1" t="s">
        <v>41</v>
      </c>
      <c r="W293" s="1" t="s">
        <v>49</v>
      </c>
      <c r="X293" s="13" t="str">
        <f t="shared" si="33"/>
        <v/>
      </c>
      <c r="Y293" s="2">
        <f t="shared" ca="1" si="28"/>
        <v>198</v>
      </c>
      <c r="Z293" s="14">
        <v>1</v>
      </c>
      <c r="AA293" s="1" t="str">
        <f t="shared" ca="1" si="29"/>
        <v>VENCIDO</v>
      </c>
      <c r="AB293" s="1" t="str">
        <f t="shared" si="30"/>
        <v>Dosa</v>
      </c>
      <c r="AC293" s="2" t="str">
        <f t="shared" si="34"/>
        <v xml:space="preserve"> CLEITON </v>
      </c>
      <c r="AD293" s="2">
        <f t="shared" si="31"/>
        <v>5</v>
      </c>
      <c r="AE293" s="2">
        <f t="shared" ca="1" si="32"/>
        <v>-274.9262716435187</v>
      </c>
      <c r="AF293" s="15"/>
    </row>
    <row r="294" spans="1:32" hidden="1">
      <c r="A294" s="1">
        <v>8622191</v>
      </c>
      <c r="B294" s="1" t="s">
        <v>27</v>
      </c>
      <c r="C294" t="s">
        <v>186</v>
      </c>
      <c r="E294" s="2">
        <v>2988000206001</v>
      </c>
      <c r="F294" s="1" t="s">
        <v>29</v>
      </c>
      <c r="G294" s="1" t="s">
        <v>53</v>
      </c>
      <c r="H294" s="1" t="s">
        <v>536</v>
      </c>
      <c r="I294" s="1" t="s">
        <v>537</v>
      </c>
      <c r="J294" s="1" t="s">
        <v>46</v>
      </c>
      <c r="K294" t="s">
        <v>34</v>
      </c>
      <c r="M294" s="1" t="s">
        <v>35</v>
      </c>
      <c r="N294" s="1">
        <v>42318949</v>
      </c>
      <c r="O294" s="1" t="s">
        <v>36</v>
      </c>
      <c r="P294" s="186">
        <v>44711.652870370373</v>
      </c>
      <c r="R294" s="1" t="s">
        <v>38</v>
      </c>
      <c r="T294" s="1" t="s">
        <v>74</v>
      </c>
      <c r="U294" s="186">
        <v>44711.75</v>
      </c>
      <c r="V294" s="1" t="s">
        <v>41</v>
      </c>
      <c r="W294" s="1" t="s">
        <v>49</v>
      </c>
      <c r="X294" s="13" t="str">
        <f t="shared" si="33"/>
        <v/>
      </c>
      <c r="Y294" s="2">
        <f t="shared" ca="1" si="28"/>
        <v>198</v>
      </c>
      <c r="Z294" s="14">
        <v>1</v>
      </c>
      <c r="AA294" s="1" t="str">
        <f t="shared" ca="1" si="29"/>
        <v>VENCIDO</v>
      </c>
      <c r="AB294" s="1" t="str">
        <f t="shared" si="30"/>
        <v>Dosa</v>
      </c>
      <c r="AC294" s="2" t="str">
        <f t="shared" si="34"/>
        <v xml:space="preserve"> CLEITON </v>
      </c>
      <c r="AD294" s="2">
        <f t="shared" si="31"/>
        <v>5</v>
      </c>
      <c r="AE294" s="2">
        <f t="shared" ca="1" si="32"/>
        <v>-274.9262716435187</v>
      </c>
      <c r="AF294" s="15"/>
    </row>
    <row r="295" spans="1:32" hidden="1">
      <c r="A295" s="1">
        <v>8622149</v>
      </c>
      <c r="B295" s="1" t="s">
        <v>27</v>
      </c>
      <c r="C295" t="s">
        <v>186</v>
      </c>
      <c r="E295" s="2">
        <v>3699000206001</v>
      </c>
      <c r="F295" s="1" t="s">
        <v>29</v>
      </c>
      <c r="G295" s="1" t="s">
        <v>53</v>
      </c>
      <c r="H295" s="1" t="s">
        <v>343</v>
      </c>
      <c r="I295" s="1" t="s">
        <v>344</v>
      </c>
      <c r="J295" s="1" t="s">
        <v>46</v>
      </c>
      <c r="K295" t="s">
        <v>34</v>
      </c>
      <c r="M295" s="1" t="s">
        <v>35</v>
      </c>
      <c r="N295" s="1">
        <v>42318949</v>
      </c>
      <c r="O295" s="1" t="s">
        <v>105</v>
      </c>
      <c r="P295" s="186">
        <v>44711.652824074074</v>
      </c>
      <c r="R295" s="1" t="s">
        <v>38</v>
      </c>
      <c r="T295" s="1" t="s">
        <v>74</v>
      </c>
      <c r="U295" s="186">
        <v>44711.75</v>
      </c>
      <c r="V295" s="1" t="s">
        <v>41</v>
      </c>
      <c r="W295" s="1" t="s">
        <v>49</v>
      </c>
      <c r="X295" s="13" t="str">
        <f t="shared" si="33"/>
        <v/>
      </c>
      <c r="Y295" s="2">
        <f t="shared" ca="1" si="28"/>
        <v>198</v>
      </c>
      <c r="Z295" s="14">
        <v>1</v>
      </c>
      <c r="AA295" s="1" t="str">
        <f t="shared" ca="1" si="29"/>
        <v>VENCIDO</v>
      </c>
      <c r="AB295" s="1" t="str">
        <f t="shared" si="30"/>
        <v>Dosa</v>
      </c>
      <c r="AC295" s="2" t="str">
        <f t="shared" si="34"/>
        <v xml:space="preserve"> CLEITON </v>
      </c>
      <c r="AD295" s="2">
        <f t="shared" si="31"/>
        <v>5</v>
      </c>
      <c r="AE295" s="2">
        <f t="shared" ca="1" si="32"/>
        <v>-274.9262716435187</v>
      </c>
      <c r="AF295" s="15"/>
    </row>
    <row r="296" spans="1:32" hidden="1">
      <c r="A296" s="1">
        <v>8622140</v>
      </c>
      <c r="B296" s="1" t="s">
        <v>27</v>
      </c>
      <c r="C296" t="s">
        <v>186</v>
      </c>
      <c r="E296" s="2">
        <v>1833000206001</v>
      </c>
      <c r="F296" s="1" t="s">
        <v>29</v>
      </c>
      <c r="G296" s="1" t="s">
        <v>53</v>
      </c>
      <c r="H296" s="1" t="s">
        <v>369</v>
      </c>
      <c r="I296" s="1" t="s">
        <v>370</v>
      </c>
      <c r="J296" s="1" t="s">
        <v>46</v>
      </c>
      <c r="K296" t="s">
        <v>34</v>
      </c>
      <c r="M296" s="1" t="s">
        <v>35</v>
      </c>
      <c r="N296" s="1">
        <v>42318949</v>
      </c>
      <c r="O296" s="1" t="s">
        <v>105</v>
      </c>
      <c r="P296" s="186">
        <v>44711.652812499997</v>
      </c>
      <c r="R296" s="1" t="s">
        <v>38</v>
      </c>
      <c r="T296" s="1" t="s">
        <v>74</v>
      </c>
      <c r="U296" s="186">
        <v>44711.75</v>
      </c>
      <c r="V296" s="1" t="s">
        <v>41</v>
      </c>
      <c r="W296" s="1" t="s">
        <v>49</v>
      </c>
      <c r="X296" s="13" t="str">
        <f t="shared" si="33"/>
        <v/>
      </c>
      <c r="Y296" s="2">
        <f t="shared" ca="1" si="28"/>
        <v>198</v>
      </c>
      <c r="Z296" s="14">
        <v>1</v>
      </c>
      <c r="AA296" s="1" t="str">
        <f t="shared" ca="1" si="29"/>
        <v>VENCIDO</v>
      </c>
      <c r="AB296" s="1" t="str">
        <f t="shared" si="30"/>
        <v>Dosa</v>
      </c>
      <c r="AC296" s="2" t="str">
        <f t="shared" si="34"/>
        <v xml:space="preserve"> CLEITON </v>
      </c>
      <c r="AD296" s="2">
        <f t="shared" si="31"/>
        <v>5</v>
      </c>
      <c r="AE296" s="2">
        <f t="shared" ca="1" si="32"/>
        <v>-274.9262716435187</v>
      </c>
      <c r="AF296" s="15"/>
    </row>
    <row r="297" spans="1:32" hidden="1">
      <c r="A297" s="1">
        <v>8622104</v>
      </c>
      <c r="B297" s="1" t="s">
        <v>27</v>
      </c>
      <c r="C297" t="s">
        <v>186</v>
      </c>
      <c r="E297" s="2">
        <v>1838000206001</v>
      </c>
      <c r="F297" s="1" t="s">
        <v>29</v>
      </c>
      <c r="G297" s="1" t="s">
        <v>53</v>
      </c>
      <c r="H297" s="1" t="s">
        <v>357</v>
      </c>
      <c r="I297" s="1" t="s">
        <v>358</v>
      </c>
      <c r="J297" s="1" t="s">
        <v>46</v>
      </c>
      <c r="K297" t="s">
        <v>34</v>
      </c>
      <c r="M297" s="1" t="s">
        <v>35</v>
      </c>
      <c r="N297" s="1">
        <v>42318949</v>
      </c>
      <c r="O297" s="1" t="s">
        <v>36</v>
      </c>
      <c r="P297" s="186">
        <v>44711.652766203704</v>
      </c>
      <c r="R297" s="1" t="s">
        <v>38</v>
      </c>
      <c r="T297" s="1" t="s">
        <v>74</v>
      </c>
      <c r="U297" s="186">
        <v>44711.75</v>
      </c>
      <c r="V297" s="1" t="s">
        <v>41</v>
      </c>
      <c r="W297" s="1" t="s">
        <v>49</v>
      </c>
      <c r="X297" s="13" t="str">
        <f t="shared" si="33"/>
        <v/>
      </c>
      <c r="Y297" s="2">
        <f t="shared" ca="1" si="28"/>
        <v>198</v>
      </c>
      <c r="Z297" s="14">
        <v>1</v>
      </c>
      <c r="AA297" s="1" t="str">
        <f t="shared" ca="1" si="29"/>
        <v>VENCIDO</v>
      </c>
      <c r="AB297" s="1" t="str">
        <f t="shared" si="30"/>
        <v>Dosa</v>
      </c>
      <c r="AC297" s="2" t="str">
        <f t="shared" si="34"/>
        <v xml:space="preserve"> CLEITON </v>
      </c>
      <c r="AD297" s="2">
        <f t="shared" si="31"/>
        <v>5</v>
      </c>
      <c r="AE297" s="2">
        <f t="shared" ca="1" si="32"/>
        <v>-274.9262716435187</v>
      </c>
      <c r="AF297" s="15"/>
    </row>
    <row r="298" spans="1:32" hidden="1">
      <c r="A298" s="1">
        <v>8627619</v>
      </c>
      <c r="B298" s="1" t="s">
        <v>27</v>
      </c>
      <c r="C298" t="s">
        <v>637</v>
      </c>
      <c r="E298" s="2">
        <v>9406000206001</v>
      </c>
      <c r="F298" s="1" t="s">
        <v>29</v>
      </c>
      <c r="G298" s="1" t="s">
        <v>53</v>
      </c>
      <c r="H298" s="1" t="s">
        <v>114</v>
      </c>
      <c r="I298" s="1" t="s">
        <v>115</v>
      </c>
      <c r="J298" s="1" t="s">
        <v>46</v>
      </c>
      <c r="K298" t="s">
        <v>34</v>
      </c>
      <c r="M298" s="1" t="s">
        <v>35</v>
      </c>
      <c r="N298" s="1">
        <v>42318949</v>
      </c>
      <c r="O298" s="1" t="s">
        <v>36</v>
      </c>
      <c r="P298" s="186">
        <v>44712.701180555552</v>
      </c>
      <c r="R298" s="1" t="s">
        <v>38</v>
      </c>
      <c r="T298" s="1" t="s">
        <v>74</v>
      </c>
      <c r="U298" s="186">
        <v>44712.75</v>
      </c>
      <c r="V298" s="1" t="s">
        <v>41</v>
      </c>
      <c r="W298" s="1" t="s">
        <v>49</v>
      </c>
      <c r="X298" s="13" t="str">
        <f t="shared" si="33"/>
        <v/>
      </c>
      <c r="Y298" s="2">
        <f t="shared" ca="1" si="28"/>
        <v>197</v>
      </c>
      <c r="Z298" s="14">
        <v>1</v>
      </c>
      <c r="AA298" s="1" t="str">
        <f t="shared" ca="1" si="29"/>
        <v>VENCIDO</v>
      </c>
      <c r="AB298" s="1" t="str">
        <f t="shared" si="30"/>
        <v>Dosa</v>
      </c>
      <c r="AC298" s="2" t="str">
        <f t="shared" si="34"/>
        <v xml:space="preserve"> CLEITON </v>
      </c>
      <c r="AD298" s="2">
        <f t="shared" si="31"/>
        <v>5</v>
      </c>
      <c r="AE298" s="2">
        <f t="shared" ca="1" si="32"/>
        <v>-273.9262716435187</v>
      </c>
      <c r="AF298" s="15"/>
    </row>
    <row r="299" spans="1:32" hidden="1">
      <c r="A299" s="1">
        <v>8627312</v>
      </c>
      <c r="B299" s="1" t="s">
        <v>62</v>
      </c>
      <c r="C299" t="s">
        <v>3578</v>
      </c>
      <c r="E299" s="2">
        <v>1902016423500</v>
      </c>
      <c r="F299" s="1" t="s">
        <v>64</v>
      </c>
      <c r="G299" s="1" t="s">
        <v>53</v>
      </c>
      <c r="H299" s="1" t="s">
        <v>291</v>
      </c>
      <c r="I299" s="1" t="s">
        <v>292</v>
      </c>
      <c r="J299" s="1" t="s">
        <v>46</v>
      </c>
      <c r="K299" t="s">
        <v>67</v>
      </c>
      <c r="M299" s="1" t="s">
        <v>35</v>
      </c>
      <c r="N299" s="1">
        <v>42318949</v>
      </c>
      <c r="O299" s="1" t="s">
        <v>36</v>
      </c>
      <c r="P299" s="186">
        <v>44712.62332175926</v>
      </c>
      <c r="R299" s="1">
        <v>1</v>
      </c>
      <c r="T299" s="1" t="s">
        <v>69</v>
      </c>
      <c r="U299" s="186">
        <v>44713.62332175926</v>
      </c>
      <c r="V299" s="1" t="s">
        <v>41</v>
      </c>
      <c r="W299" s="1" t="s">
        <v>49</v>
      </c>
      <c r="X299" s="13" t="str">
        <f t="shared" si="33"/>
        <v/>
      </c>
      <c r="Y299" s="2">
        <f t="shared" ca="1" si="28"/>
        <v>197</v>
      </c>
      <c r="Z299" s="14">
        <v>1</v>
      </c>
      <c r="AA299" s="1" t="str">
        <f t="shared" ca="1" si="29"/>
        <v>VENCIDO</v>
      </c>
      <c r="AB299" s="1" t="str">
        <f t="shared" si="30"/>
        <v>TAAe+</v>
      </c>
      <c r="AC299" s="2" t="str">
        <f t="shared" si="34"/>
        <v xml:space="preserve"> CLEITON </v>
      </c>
      <c r="AD299" s="2">
        <f t="shared" si="31"/>
        <v>8</v>
      </c>
      <c r="AE299" s="2">
        <f t="shared" ca="1" si="32"/>
        <v>-273.05294988425885</v>
      </c>
      <c r="AF299" s="15"/>
    </row>
    <row r="300" spans="1:32" hidden="1">
      <c r="A300" s="1">
        <v>8646759</v>
      </c>
      <c r="B300" s="1" t="s">
        <v>101</v>
      </c>
      <c r="C300" t="s">
        <v>643</v>
      </c>
      <c r="D300" s="2">
        <v>220097008</v>
      </c>
      <c r="E300" s="2">
        <v>1362001400040</v>
      </c>
      <c r="F300" s="1" t="s">
        <v>644</v>
      </c>
      <c r="G300" s="1" t="s">
        <v>53</v>
      </c>
      <c r="H300" s="1" t="s">
        <v>268</v>
      </c>
      <c r="I300" s="1" t="s">
        <v>269</v>
      </c>
      <c r="J300" s="1" t="s">
        <v>90</v>
      </c>
      <c r="K300" t="s">
        <v>645</v>
      </c>
      <c r="M300" s="1" t="s">
        <v>58</v>
      </c>
      <c r="N300" s="1">
        <v>0</v>
      </c>
      <c r="O300" s="1" t="s">
        <v>105</v>
      </c>
      <c r="P300" s="186">
        <v>44713.458472222221</v>
      </c>
      <c r="R300" s="1">
        <v>3</v>
      </c>
      <c r="T300" s="1" t="s">
        <v>646</v>
      </c>
      <c r="U300" s="186">
        <v>44714.458472222221</v>
      </c>
      <c r="V300" s="1" t="s">
        <v>41</v>
      </c>
      <c r="W300" s="1" t="s">
        <v>49</v>
      </c>
      <c r="X300" s="13" t="str">
        <f t="shared" si="33"/>
        <v/>
      </c>
      <c r="Y300" s="2">
        <f t="shared" ca="1" si="28"/>
        <v>196</v>
      </c>
      <c r="Z300" s="14">
        <v>1</v>
      </c>
      <c r="AA300" s="1" t="str">
        <f t="shared" ca="1" si="29"/>
        <v>VENCIDO</v>
      </c>
      <c r="AB300" s="1" t="str">
        <f t="shared" si="30"/>
        <v>SL-On</v>
      </c>
      <c r="AC300" s="2" t="str">
        <f t="shared" si="34"/>
        <v xml:space="preserve"> RINALDO </v>
      </c>
      <c r="AD300" s="2">
        <f t="shared" si="31"/>
        <v>1</v>
      </c>
      <c r="AE300" s="2">
        <f t="shared" ca="1" si="32"/>
        <v>-272.21779942129797</v>
      </c>
      <c r="AF300" s="15"/>
    </row>
    <row r="301" spans="1:32" hidden="1">
      <c r="A301" s="1">
        <v>8645931</v>
      </c>
      <c r="B301" s="1" t="s">
        <v>101</v>
      </c>
      <c r="C301" t="s">
        <v>643</v>
      </c>
      <c r="D301" s="2">
        <v>220095864</v>
      </c>
      <c r="E301" s="2">
        <v>1120011400030</v>
      </c>
      <c r="F301" s="1" t="s">
        <v>647</v>
      </c>
      <c r="G301" s="1" t="s">
        <v>53</v>
      </c>
      <c r="H301" s="1" t="s">
        <v>648</v>
      </c>
      <c r="I301" s="1" t="s">
        <v>649</v>
      </c>
      <c r="J301" s="1" t="s">
        <v>164</v>
      </c>
      <c r="K301" t="s">
        <v>650</v>
      </c>
      <c r="M301" s="1" t="s">
        <v>58</v>
      </c>
      <c r="N301" s="1">
        <v>0</v>
      </c>
      <c r="O301" s="1" t="s">
        <v>105</v>
      </c>
      <c r="P301" s="186">
        <v>44713.426041666666</v>
      </c>
      <c r="R301" s="1">
        <v>4</v>
      </c>
      <c r="T301" s="1" t="s">
        <v>646</v>
      </c>
      <c r="U301" s="186">
        <v>44714.426053240742</v>
      </c>
      <c r="V301" s="1" t="s">
        <v>41</v>
      </c>
      <c r="W301" s="1" t="s">
        <v>49</v>
      </c>
      <c r="X301" s="13" t="str">
        <f t="shared" si="33"/>
        <v>1120.01</v>
      </c>
      <c r="Y301" s="2">
        <f t="shared" ca="1" si="28"/>
        <v>196</v>
      </c>
      <c r="Z301" s="14">
        <v>1</v>
      </c>
      <c r="AA301" s="1" t="str">
        <f t="shared" ca="1" si="29"/>
        <v>VENCIDO</v>
      </c>
      <c r="AB301" s="1" t="str">
        <f t="shared" si="30"/>
        <v>C-14</v>
      </c>
      <c r="AC301" s="2" t="str">
        <f t="shared" si="34"/>
        <v xml:space="preserve"> ROSEMERE </v>
      </c>
      <c r="AD301" s="2">
        <f t="shared" si="31"/>
        <v>15</v>
      </c>
      <c r="AE301" s="2">
        <f t="shared" ca="1" si="32"/>
        <v>-272.25021840277623</v>
      </c>
      <c r="AF301" s="15"/>
    </row>
    <row r="302" spans="1:32" hidden="1">
      <c r="A302" s="1">
        <v>8645897</v>
      </c>
      <c r="B302" s="1" t="s">
        <v>653</v>
      </c>
      <c r="C302" t="s">
        <v>3579</v>
      </c>
      <c r="E302" s="2">
        <v>325001400040</v>
      </c>
      <c r="F302" s="1" t="s">
        <v>644</v>
      </c>
      <c r="G302" s="1" t="s">
        <v>53</v>
      </c>
      <c r="H302" s="1" t="s">
        <v>345</v>
      </c>
      <c r="I302" s="1" t="s">
        <v>346</v>
      </c>
      <c r="J302" s="1" t="s">
        <v>46</v>
      </c>
      <c r="K302" t="s">
        <v>645</v>
      </c>
      <c r="M302" s="1" t="s">
        <v>58</v>
      </c>
      <c r="N302" s="1">
        <v>0</v>
      </c>
      <c r="O302" s="1" t="s">
        <v>105</v>
      </c>
      <c r="P302" s="186">
        <v>44713.425162037034</v>
      </c>
      <c r="R302" s="1">
        <v>3</v>
      </c>
      <c r="T302" s="1" t="s">
        <v>646</v>
      </c>
      <c r="U302" s="186">
        <v>44714.425162037034</v>
      </c>
      <c r="V302" s="1" t="s">
        <v>41</v>
      </c>
      <c r="W302" s="1" t="s">
        <v>49</v>
      </c>
      <c r="X302" s="13" t="str">
        <f t="shared" si="33"/>
        <v/>
      </c>
      <c r="Y302" s="2">
        <f t="shared" ca="1" si="28"/>
        <v>196</v>
      </c>
      <c r="Z302" s="14">
        <v>1</v>
      </c>
      <c r="AA302" s="1" t="str">
        <f t="shared" ca="1" si="29"/>
        <v>VENCIDO</v>
      </c>
      <c r="AB302" s="1" t="str">
        <f t="shared" si="30"/>
        <v>SL-On</v>
      </c>
      <c r="AC302" s="2" t="str">
        <f t="shared" si="34"/>
        <v xml:space="preserve"> CLEITON </v>
      </c>
      <c r="AD302" s="2">
        <f t="shared" si="31"/>
        <v>1</v>
      </c>
      <c r="AE302" s="2">
        <f t="shared" ca="1" si="32"/>
        <v>-272.25110960648453</v>
      </c>
      <c r="AF302" s="15"/>
    </row>
    <row r="303" spans="1:32" hidden="1">
      <c r="A303" s="1">
        <v>8645870</v>
      </c>
      <c r="B303" s="1" t="s">
        <v>653</v>
      </c>
      <c r="C303" t="s">
        <v>3579</v>
      </c>
      <c r="E303" s="2">
        <v>8573001400040</v>
      </c>
      <c r="F303" s="1" t="s">
        <v>644</v>
      </c>
      <c r="G303" s="1" t="s">
        <v>53</v>
      </c>
      <c r="H303" s="1" t="s">
        <v>657</v>
      </c>
      <c r="I303" s="1" t="s">
        <v>658</v>
      </c>
      <c r="J303" s="1" t="s">
        <v>33</v>
      </c>
      <c r="K303" t="s">
        <v>645</v>
      </c>
      <c r="M303" s="1" t="s">
        <v>58</v>
      </c>
      <c r="N303" s="1">
        <v>0</v>
      </c>
      <c r="O303" s="1" t="s">
        <v>105</v>
      </c>
      <c r="P303" s="186">
        <v>44713.425081018519</v>
      </c>
      <c r="R303" s="1">
        <v>3</v>
      </c>
      <c r="T303" s="1" t="s">
        <v>646</v>
      </c>
      <c r="U303" s="186">
        <v>44714.425081018519</v>
      </c>
      <c r="V303" s="1" t="s">
        <v>41</v>
      </c>
      <c r="W303" s="1" t="s">
        <v>49</v>
      </c>
      <c r="X303" s="13" t="str">
        <f t="shared" si="33"/>
        <v/>
      </c>
      <c r="Y303" s="2">
        <f t="shared" ca="1" si="28"/>
        <v>196</v>
      </c>
      <c r="Z303" s="14">
        <v>1</v>
      </c>
      <c r="AA303" s="1" t="str">
        <f t="shared" ca="1" si="29"/>
        <v>VENCIDO</v>
      </c>
      <c r="AB303" s="1" t="str">
        <f t="shared" si="30"/>
        <v>SL-On</v>
      </c>
      <c r="AC303" s="2" t="str">
        <f t="shared" si="34"/>
        <v xml:space="preserve"> ROSEMERE </v>
      </c>
      <c r="AD303" s="2">
        <f t="shared" si="31"/>
        <v>1</v>
      </c>
      <c r="AE303" s="2">
        <f t="shared" ca="1" si="32"/>
        <v>-272.25119062500016</v>
      </c>
      <c r="AF303" s="15"/>
    </row>
    <row r="304" spans="1:32" hidden="1">
      <c r="A304" s="1">
        <v>8645811</v>
      </c>
      <c r="B304" s="1" t="s">
        <v>653</v>
      </c>
      <c r="C304" t="s">
        <v>3579</v>
      </c>
      <c r="E304" s="2">
        <v>8973001400040</v>
      </c>
      <c r="F304" s="1" t="s">
        <v>644</v>
      </c>
      <c r="G304" s="1" t="s">
        <v>53</v>
      </c>
      <c r="H304" s="1" t="s">
        <v>661</v>
      </c>
      <c r="I304" s="1" t="s">
        <v>662</v>
      </c>
      <c r="J304" s="1" t="s">
        <v>46</v>
      </c>
      <c r="K304" t="s">
        <v>645</v>
      </c>
      <c r="M304" s="1" t="s">
        <v>58</v>
      </c>
      <c r="N304" s="1">
        <v>0</v>
      </c>
      <c r="O304" s="1" t="s">
        <v>105</v>
      </c>
      <c r="P304" s="186">
        <v>44713.425011574072</v>
      </c>
      <c r="R304" s="1">
        <v>3</v>
      </c>
      <c r="T304" s="1" t="s">
        <v>646</v>
      </c>
      <c r="U304" s="186">
        <v>44714.425011574072</v>
      </c>
      <c r="V304" s="1" t="s">
        <v>41</v>
      </c>
      <c r="W304" s="1" t="s">
        <v>49</v>
      </c>
      <c r="X304" s="13" t="str">
        <f t="shared" si="33"/>
        <v/>
      </c>
      <c r="Y304" s="2">
        <f t="shared" ca="1" si="28"/>
        <v>196</v>
      </c>
      <c r="Z304" s="14">
        <v>1</v>
      </c>
      <c r="AA304" s="1" t="str">
        <f t="shared" ca="1" si="29"/>
        <v>VENCIDO</v>
      </c>
      <c r="AB304" s="1" t="str">
        <f t="shared" si="30"/>
        <v>SL-On</v>
      </c>
      <c r="AC304" s="2" t="str">
        <f t="shared" si="34"/>
        <v xml:space="preserve"> CLEITON </v>
      </c>
      <c r="AD304" s="2">
        <f t="shared" si="31"/>
        <v>1</v>
      </c>
      <c r="AE304" s="2">
        <f t="shared" ca="1" si="32"/>
        <v>-272.25126006944629</v>
      </c>
      <c r="AF304" s="15"/>
    </row>
    <row r="305" spans="1:32" hidden="1">
      <c r="A305" s="1">
        <v>8645204</v>
      </c>
      <c r="B305" s="1" t="s">
        <v>653</v>
      </c>
      <c r="C305" t="s">
        <v>3579</v>
      </c>
      <c r="E305" s="2">
        <v>5898001400040</v>
      </c>
      <c r="F305" s="1" t="s">
        <v>644</v>
      </c>
      <c r="G305" s="1" t="s">
        <v>53</v>
      </c>
      <c r="H305" s="1" t="s">
        <v>365</v>
      </c>
      <c r="I305" s="1" t="s">
        <v>366</v>
      </c>
      <c r="J305" s="1" t="s">
        <v>164</v>
      </c>
      <c r="K305" t="s">
        <v>645</v>
      </c>
      <c r="M305" s="1" t="s">
        <v>58</v>
      </c>
      <c r="N305" s="1">
        <v>0</v>
      </c>
      <c r="O305" s="1" t="s">
        <v>105</v>
      </c>
      <c r="P305" s="186">
        <v>44713.423518518517</v>
      </c>
      <c r="R305" s="1">
        <v>2</v>
      </c>
      <c r="T305" s="1" t="s">
        <v>646</v>
      </c>
      <c r="U305" s="186">
        <v>44714.423518518517</v>
      </c>
      <c r="V305" s="1" t="s">
        <v>41</v>
      </c>
      <c r="W305" s="1" t="s">
        <v>49</v>
      </c>
      <c r="X305" s="13" t="str">
        <f t="shared" si="33"/>
        <v/>
      </c>
      <c r="Y305" s="2">
        <f t="shared" ca="1" si="28"/>
        <v>196</v>
      </c>
      <c r="Z305" s="14">
        <v>1</v>
      </c>
      <c r="AA305" s="1" t="str">
        <f t="shared" ca="1" si="29"/>
        <v>VENCIDO</v>
      </c>
      <c r="AB305" s="1" t="str">
        <f t="shared" si="30"/>
        <v>SL-On</v>
      </c>
      <c r="AC305" s="2" t="str">
        <f t="shared" si="34"/>
        <v xml:space="preserve"> ROSEMERE </v>
      </c>
      <c r="AD305" s="2">
        <f t="shared" si="31"/>
        <v>1</v>
      </c>
      <c r="AE305" s="2">
        <f t="shared" ca="1" si="32"/>
        <v>-272.25275312500162</v>
      </c>
      <c r="AF305" s="15"/>
    </row>
    <row r="306" spans="1:32" hidden="1">
      <c r="A306" s="1">
        <v>8645133</v>
      </c>
      <c r="B306" s="1" t="s">
        <v>653</v>
      </c>
      <c r="C306" t="s">
        <v>3579</v>
      </c>
      <c r="E306" s="2">
        <v>5742001400040</v>
      </c>
      <c r="F306" s="1" t="s">
        <v>644</v>
      </c>
      <c r="G306" s="1" t="s">
        <v>53</v>
      </c>
      <c r="H306" s="1" t="s">
        <v>430</v>
      </c>
      <c r="I306" s="1" t="s">
        <v>431</v>
      </c>
      <c r="J306" s="1" t="s">
        <v>79</v>
      </c>
      <c r="K306" t="s">
        <v>645</v>
      </c>
      <c r="M306" s="1" t="s">
        <v>58</v>
      </c>
      <c r="N306" s="1">
        <v>0</v>
      </c>
      <c r="O306" s="1" t="s">
        <v>105</v>
      </c>
      <c r="P306" s="186">
        <v>44713.423067129632</v>
      </c>
      <c r="R306" s="1">
        <v>2</v>
      </c>
      <c r="T306" s="1" t="s">
        <v>646</v>
      </c>
      <c r="U306" s="186">
        <v>44714.423067129632</v>
      </c>
      <c r="V306" s="1" t="s">
        <v>41</v>
      </c>
      <c r="W306" s="1" t="s">
        <v>49</v>
      </c>
      <c r="X306" s="13" t="str">
        <f t="shared" si="33"/>
        <v/>
      </c>
      <c r="Y306" s="2">
        <f t="shared" ca="1" si="28"/>
        <v>196</v>
      </c>
      <c r="Z306" s="14">
        <v>1</v>
      </c>
      <c r="AA306" s="1" t="str">
        <f t="shared" ca="1" si="29"/>
        <v>VENCIDO</v>
      </c>
      <c r="AB306" s="1" t="str">
        <f t="shared" si="30"/>
        <v>SL-On</v>
      </c>
      <c r="AC306" s="2" t="str">
        <f t="shared" si="34"/>
        <v xml:space="preserve"> ROSEMERE </v>
      </c>
      <c r="AD306" s="2">
        <f t="shared" si="31"/>
        <v>1</v>
      </c>
      <c r="AE306" s="2">
        <f t="shared" ca="1" si="32"/>
        <v>-272.25320451388689</v>
      </c>
      <c r="AF306" s="15"/>
    </row>
    <row r="307" spans="1:32" hidden="1">
      <c r="A307" s="1">
        <v>8644779</v>
      </c>
      <c r="B307" s="1" t="s">
        <v>653</v>
      </c>
      <c r="C307" t="s">
        <v>3579</v>
      </c>
      <c r="E307" s="2">
        <v>4623001400040</v>
      </c>
      <c r="F307" s="1" t="s">
        <v>644</v>
      </c>
      <c r="G307" s="1" t="s">
        <v>53</v>
      </c>
      <c r="H307" s="1" t="s">
        <v>669</v>
      </c>
      <c r="I307" s="1" t="s">
        <v>670</v>
      </c>
      <c r="J307" s="1" t="s">
        <v>33</v>
      </c>
      <c r="K307" t="s">
        <v>645</v>
      </c>
      <c r="M307" s="1" t="s">
        <v>58</v>
      </c>
      <c r="N307" s="1">
        <v>0</v>
      </c>
      <c r="O307" s="1" t="s">
        <v>105</v>
      </c>
      <c r="P307" s="186">
        <v>44713.421817129631</v>
      </c>
      <c r="R307" s="1">
        <v>2</v>
      </c>
      <c r="T307" s="1" t="s">
        <v>646</v>
      </c>
      <c r="U307" s="186">
        <v>44714.421817129631</v>
      </c>
      <c r="V307" s="1" t="s">
        <v>41</v>
      </c>
      <c r="W307" s="1" t="s">
        <v>42</v>
      </c>
      <c r="X307" s="13" t="str">
        <f t="shared" si="33"/>
        <v/>
      </c>
      <c r="Y307" s="2">
        <f t="shared" ca="1" si="28"/>
        <v>196</v>
      </c>
      <c r="Z307" s="14">
        <v>1</v>
      </c>
      <c r="AA307" s="1" t="str">
        <f t="shared" ca="1" si="29"/>
        <v>VENCIDO</v>
      </c>
      <c r="AB307" s="1" t="str">
        <f t="shared" si="30"/>
        <v>SL-On</v>
      </c>
      <c r="AC307" s="2" t="str">
        <f t="shared" si="34"/>
        <v xml:space="preserve"> ROSEMERE </v>
      </c>
      <c r="AD307" s="2">
        <f t="shared" si="31"/>
        <v>1</v>
      </c>
      <c r="AE307" s="2">
        <f t="shared" ca="1" si="32"/>
        <v>-272.25445451388805</v>
      </c>
      <c r="AF307" s="15"/>
    </row>
    <row r="308" spans="1:32" hidden="1">
      <c r="A308" s="1">
        <v>8644587</v>
      </c>
      <c r="B308" s="1" t="s">
        <v>653</v>
      </c>
      <c r="C308" t="s">
        <v>3579</v>
      </c>
      <c r="E308" s="2">
        <v>4357001400040</v>
      </c>
      <c r="F308" s="1" t="s">
        <v>644</v>
      </c>
      <c r="G308" s="1" t="s">
        <v>53</v>
      </c>
      <c r="H308" s="1" t="s">
        <v>633</v>
      </c>
      <c r="I308" s="1" t="s">
        <v>634</v>
      </c>
      <c r="J308" s="1" t="s">
        <v>46</v>
      </c>
      <c r="K308" t="s">
        <v>645</v>
      </c>
      <c r="M308" s="1" t="s">
        <v>58</v>
      </c>
      <c r="N308" s="1">
        <v>0</v>
      </c>
      <c r="O308" s="1" t="s">
        <v>105</v>
      </c>
      <c r="P308" s="186">
        <v>44713.421180555553</v>
      </c>
      <c r="R308" s="1">
        <v>2</v>
      </c>
      <c r="T308" s="1" t="s">
        <v>646</v>
      </c>
      <c r="U308" s="186">
        <v>44714.421180555553</v>
      </c>
      <c r="V308" s="1" t="s">
        <v>41</v>
      </c>
      <c r="W308" s="1" t="s">
        <v>49</v>
      </c>
      <c r="X308" s="13" t="str">
        <f t="shared" si="33"/>
        <v/>
      </c>
      <c r="Y308" s="2">
        <f t="shared" ca="1" si="28"/>
        <v>196</v>
      </c>
      <c r="Z308" s="14">
        <v>1</v>
      </c>
      <c r="AA308" s="1" t="str">
        <f t="shared" ca="1" si="29"/>
        <v>VENCIDO</v>
      </c>
      <c r="AB308" s="1" t="str">
        <f t="shared" si="30"/>
        <v>SL-On</v>
      </c>
      <c r="AC308" s="2" t="str">
        <f t="shared" si="34"/>
        <v xml:space="preserve"> CLEITON </v>
      </c>
      <c r="AD308" s="2">
        <f t="shared" si="31"/>
        <v>1</v>
      </c>
      <c r="AE308" s="2">
        <f t="shared" ca="1" si="32"/>
        <v>-272.25509108796541</v>
      </c>
      <c r="AF308" s="15"/>
    </row>
    <row r="309" spans="1:32" hidden="1">
      <c r="A309" s="1">
        <v>8644506</v>
      </c>
      <c r="B309" s="1" t="s">
        <v>653</v>
      </c>
      <c r="C309" t="s">
        <v>3579</v>
      </c>
      <c r="E309" s="2">
        <v>4235001400040</v>
      </c>
      <c r="F309" s="1" t="s">
        <v>644</v>
      </c>
      <c r="G309" s="1" t="s">
        <v>53</v>
      </c>
      <c r="H309" s="1" t="s">
        <v>291</v>
      </c>
      <c r="I309" s="1" t="s">
        <v>292</v>
      </c>
      <c r="J309" s="1" t="s">
        <v>46</v>
      </c>
      <c r="K309" t="s">
        <v>645</v>
      </c>
      <c r="M309" s="1" t="s">
        <v>58</v>
      </c>
      <c r="N309" s="1">
        <v>0</v>
      </c>
      <c r="O309" s="1" t="s">
        <v>105</v>
      </c>
      <c r="P309" s="186">
        <v>44713.420949074076</v>
      </c>
      <c r="R309" s="1">
        <v>2</v>
      </c>
      <c r="T309" s="1" t="s">
        <v>646</v>
      </c>
      <c r="U309" s="186">
        <v>44714.420949074076</v>
      </c>
      <c r="V309" s="1" t="s">
        <v>41</v>
      </c>
      <c r="W309" s="1" t="s">
        <v>49</v>
      </c>
      <c r="X309" s="13" t="str">
        <f t="shared" si="33"/>
        <v/>
      </c>
      <c r="Y309" s="2">
        <f t="shared" ca="1" si="28"/>
        <v>196</v>
      </c>
      <c r="Z309" s="14">
        <v>1</v>
      </c>
      <c r="AA309" s="1" t="str">
        <f t="shared" ca="1" si="29"/>
        <v>VENCIDO</v>
      </c>
      <c r="AB309" s="1" t="str">
        <f t="shared" si="30"/>
        <v>SL-On</v>
      </c>
      <c r="AC309" s="2" t="str">
        <f t="shared" si="34"/>
        <v xml:space="preserve"> CLEITON </v>
      </c>
      <c r="AD309" s="2">
        <f t="shared" si="31"/>
        <v>1</v>
      </c>
      <c r="AE309" s="2">
        <f t="shared" ca="1" si="32"/>
        <v>-272.2553225694428</v>
      </c>
      <c r="AF309" s="15"/>
    </row>
    <row r="310" spans="1:32" hidden="1">
      <c r="A310" s="1">
        <v>8644094</v>
      </c>
      <c r="B310" s="1" t="s">
        <v>653</v>
      </c>
      <c r="C310" t="s">
        <v>3579</v>
      </c>
      <c r="E310" s="2">
        <v>3699001400040</v>
      </c>
      <c r="F310" s="1" t="s">
        <v>644</v>
      </c>
      <c r="G310" s="1" t="s">
        <v>53</v>
      </c>
      <c r="H310" s="1" t="s">
        <v>343</v>
      </c>
      <c r="I310" s="1" t="s">
        <v>344</v>
      </c>
      <c r="J310" s="1" t="s">
        <v>46</v>
      </c>
      <c r="K310" t="s">
        <v>645</v>
      </c>
      <c r="M310" s="1" t="s">
        <v>58</v>
      </c>
      <c r="N310" s="1">
        <v>0</v>
      </c>
      <c r="O310" s="1" t="s">
        <v>105</v>
      </c>
      <c r="P310" s="186">
        <v>44713.419710648152</v>
      </c>
      <c r="R310" s="1">
        <v>2</v>
      </c>
      <c r="T310" s="1" t="s">
        <v>646</v>
      </c>
      <c r="U310" s="186">
        <v>44714.419710648152</v>
      </c>
      <c r="V310" s="1" t="s">
        <v>41</v>
      </c>
      <c r="W310" s="1" t="s">
        <v>49</v>
      </c>
      <c r="X310" s="13" t="str">
        <f t="shared" si="33"/>
        <v/>
      </c>
      <c r="Y310" s="2">
        <f t="shared" ca="1" si="28"/>
        <v>196</v>
      </c>
      <c r="Z310" s="14">
        <v>1</v>
      </c>
      <c r="AA310" s="1" t="str">
        <f t="shared" ca="1" si="29"/>
        <v>VENCIDO</v>
      </c>
      <c r="AB310" s="1" t="str">
        <f t="shared" si="30"/>
        <v>SL-On</v>
      </c>
      <c r="AC310" s="2" t="str">
        <f t="shared" si="34"/>
        <v xml:space="preserve"> CLEITON </v>
      </c>
      <c r="AD310" s="2">
        <f t="shared" si="31"/>
        <v>1</v>
      </c>
      <c r="AE310" s="2">
        <f t="shared" ca="1" si="32"/>
        <v>-272.25656099536718</v>
      </c>
      <c r="AF310" s="15"/>
    </row>
    <row r="311" spans="1:32" hidden="1">
      <c r="A311" s="1">
        <v>8644017</v>
      </c>
      <c r="B311" s="1" t="s">
        <v>653</v>
      </c>
      <c r="C311" t="s">
        <v>3579</v>
      </c>
      <c r="E311" s="2">
        <v>3613001400040</v>
      </c>
      <c r="F311" s="1" t="s">
        <v>644</v>
      </c>
      <c r="G311" s="1" t="s">
        <v>53</v>
      </c>
      <c r="H311" s="1" t="s">
        <v>679</v>
      </c>
      <c r="I311" s="1" t="s">
        <v>680</v>
      </c>
      <c r="J311" s="1" t="s">
        <v>46</v>
      </c>
      <c r="K311" t="s">
        <v>645</v>
      </c>
      <c r="M311" s="1" t="s">
        <v>58</v>
      </c>
      <c r="N311" s="1">
        <v>0</v>
      </c>
      <c r="O311" s="1" t="s">
        <v>105</v>
      </c>
      <c r="P311" s="186">
        <v>44713.419398148151</v>
      </c>
      <c r="R311" s="1">
        <v>3</v>
      </c>
      <c r="T311" s="1" t="s">
        <v>646</v>
      </c>
      <c r="U311" s="186">
        <v>44714.419398148151</v>
      </c>
      <c r="V311" s="1" t="s">
        <v>41</v>
      </c>
      <c r="W311" s="1" t="s">
        <v>49</v>
      </c>
      <c r="X311" s="13" t="str">
        <f t="shared" si="33"/>
        <v/>
      </c>
      <c r="Y311" s="2">
        <f t="shared" ca="1" si="28"/>
        <v>196</v>
      </c>
      <c r="Z311" s="14">
        <v>1</v>
      </c>
      <c r="AA311" s="1" t="str">
        <f t="shared" ca="1" si="29"/>
        <v>VENCIDO</v>
      </c>
      <c r="AB311" s="1" t="str">
        <f t="shared" si="30"/>
        <v>SL-On</v>
      </c>
      <c r="AC311" s="2" t="str">
        <f t="shared" si="34"/>
        <v xml:space="preserve"> CLEITON </v>
      </c>
      <c r="AD311" s="2">
        <f t="shared" si="31"/>
        <v>1</v>
      </c>
      <c r="AE311" s="2">
        <f t="shared" ca="1" si="32"/>
        <v>-272.25687349536747</v>
      </c>
      <c r="AF311" s="15"/>
    </row>
    <row r="312" spans="1:32" hidden="1">
      <c r="A312" s="1">
        <v>8644016</v>
      </c>
      <c r="B312" s="1" t="s">
        <v>653</v>
      </c>
      <c r="C312" t="s">
        <v>3579</v>
      </c>
      <c r="E312" s="2">
        <v>3612001400040</v>
      </c>
      <c r="F312" s="1" t="s">
        <v>644</v>
      </c>
      <c r="G312" s="1" t="s">
        <v>53</v>
      </c>
      <c r="H312" s="1" t="s">
        <v>683</v>
      </c>
      <c r="I312" s="1" t="s">
        <v>684</v>
      </c>
      <c r="J312" s="1" t="s">
        <v>46</v>
      </c>
      <c r="K312" t="s">
        <v>645</v>
      </c>
      <c r="M312" s="1" t="s">
        <v>58</v>
      </c>
      <c r="N312" s="1">
        <v>0</v>
      </c>
      <c r="O312" s="1" t="s">
        <v>105</v>
      </c>
      <c r="P312" s="186">
        <v>44713.419398148151</v>
      </c>
      <c r="R312" s="1">
        <v>3</v>
      </c>
      <c r="T312" s="1" t="s">
        <v>646</v>
      </c>
      <c r="U312" s="186">
        <v>44714.419398148151</v>
      </c>
      <c r="V312" s="1" t="s">
        <v>41</v>
      </c>
      <c r="W312" s="1" t="s">
        <v>49</v>
      </c>
      <c r="X312" s="13" t="str">
        <f t="shared" si="33"/>
        <v/>
      </c>
      <c r="Y312" s="2">
        <f t="shared" ca="1" si="28"/>
        <v>196</v>
      </c>
      <c r="Z312" s="14">
        <v>1</v>
      </c>
      <c r="AA312" s="1" t="str">
        <f t="shared" ca="1" si="29"/>
        <v>VENCIDO</v>
      </c>
      <c r="AB312" s="1" t="str">
        <f t="shared" si="30"/>
        <v>SL-On</v>
      </c>
      <c r="AC312" s="2" t="str">
        <f t="shared" si="34"/>
        <v xml:space="preserve"> CLEITON </v>
      </c>
      <c r="AD312" s="2">
        <f t="shared" si="31"/>
        <v>1</v>
      </c>
      <c r="AE312" s="2">
        <f t="shared" ca="1" si="32"/>
        <v>-272.25687349536747</v>
      </c>
      <c r="AF312" s="15"/>
    </row>
    <row r="313" spans="1:32" hidden="1">
      <c r="A313" s="1">
        <v>8643946</v>
      </c>
      <c r="B313" s="1" t="s">
        <v>653</v>
      </c>
      <c r="C313" t="s">
        <v>3579</v>
      </c>
      <c r="E313" s="2">
        <v>3504001400040</v>
      </c>
      <c r="F313" s="1" t="s">
        <v>644</v>
      </c>
      <c r="G313" s="1" t="s">
        <v>53</v>
      </c>
      <c r="H313" s="1" t="s">
        <v>585</v>
      </c>
      <c r="I313" s="1" t="s">
        <v>586</v>
      </c>
      <c r="J313" s="1" t="s">
        <v>46</v>
      </c>
      <c r="K313" t="s">
        <v>645</v>
      </c>
      <c r="M313" s="1" t="s">
        <v>58</v>
      </c>
      <c r="N313" s="1">
        <v>0</v>
      </c>
      <c r="O313" s="1" t="s">
        <v>105</v>
      </c>
      <c r="P313" s="186">
        <v>44713.419270833336</v>
      </c>
      <c r="R313" s="1">
        <v>3</v>
      </c>
      <c r="T313" s="1" t="s">
        <v>646</v>
      </c>
      <c r="U313" s="186">
        <v>44714.419270833336</v>
      </c>
      <c r="V313" s="1" t="s">
        <v>41</v>
      </c>
      <c r="W313" s="1" t="s">
        <v>49</v>
      </c>
      <c r="X313" s="13" t="str">
        <f t="shared" si="33"/>
        <v/>
      </c>
      <c r="Y313" s="2">
        <f t="shared" ca="1" si="28"/>
        <v>196</v>
      </c>
      <c r="Z313" s="14">
        <v>1</v>
      </c>
      <c r="AA313" s="1" t="str">
        <f t="shared" ca="1" si="29"/>
        <v>VENCIDO</v>
      </c>
      <c r="AB313" s="1" t="str">
        <f t="shared" si="30"/>
        <v>SL-On</v>
      </c>
      <c r="AC313" s="2" t="str">
        <f t="shared" si="34"/>
        <v xml:space="preserve"> CLEITON </v>
      </c>
      <c r="AD313" s="2">
        <f t="shared" si="31"/>
        <v>1</v>
      </c>
      <c r="AE313" s="2">
        <f t="shared" ca="1" si="32"/>
        <v>-272.25700081018294</v>
      </c>
      <c r="AF313" s="15"/>
    </row>
    <row r="314" spans="1:32" hidden="1">
      <c r="A314" s="1">
        <v>8643945</v>
      </c>
      <c r="B314" s="1" t="s">
        <v>653</v>
      </c>
      <c r="C314" t="s">
        <v>3579</v>
      </c>
      <c r="E314" s="2">
        <v>3503001400040</v>
      </c>
      <c r="F314" s="1" t="s">
        <v>644</v>
      </c>
      <c r="G314" s="1" t="s">
        <v>53</v>
      </c>
      <c r="H314" s="1" t="s">
        <v>398</v>
      </c>
      <c r="I314" s="1" t="s">
        <v>399</v>
      </c>
      <c r="J314" s="1" t="s">
        <v>46</v>
      </c>
      <c r="K314" t="s">
        <v>645</v>
      </c>
      <c r="M314" s="1" t="s">
        <v>58</v>
      </c>
      <c r="N314" s="1">
        <v>0</v>
      </c>
      <c r="O314" s="1" t="s">
        <v>105</v>
      </c>
      <c r="P314" s="186">
        <v>44713.419270833336</v>
      </c>
      <c r="R314" s="1">
        <v>2</v>
      </c>
      <c r="T314" s="1" t="s">
        <v>646</v>
      </c>
      <c r="U314" s="186">
        <v>44714.419270833336</v>
      </c>
      <c r="V314" s="1" t="s">
        <v>41</v>
      </c>
      <c r="W314" s="1" t="s">
        <v>49</v>
      </c>
      <c r="X314" s="13" t="str">
        <f t="shared" si="33"/>
        <v/>
      </c>
      <c r="Y314" s="2">
        <f t="shared" ca="1" si="28"/>
        <v>196</v>
      </c>
      <c r="Z314" s="14">
        <v>1</v>
      </c>
      <c r="AA314" s="1" t="str">
        <f t="shared" ca="1" si="29"/>
        <v>VENCIDO</v>
      </c>
      <c r="AB314" s="1" t="str">
        <f t="shared" si="30"/>
        <v>SL-On</v>
      </c>
      <c r="AC314" s="2" t="str">
        <f t="shared" si="34"/>
        <v xml:space="preserve"> CLEITON </v>
      </c>
      <c r="AD314" s="2">
        <f t="shared" si="31"/>
        <v>1</v>
      </c>
      <c r="AE314" s="2">
        <f t="shared" ca="1" si="32"/>
        <v>-272.25700081018294</v>
      </c>
      <c r="AF314" s="15"/>
    </row>
    <row r="315" spans="1:32" hidden="1">
      <c r="A315" s="1">
        <v>8643755</v>
      </c>
      <c r="B315" s="1" t="s">
        <v>653</v>
      </c>
      <c r="C315" t="s">
        <v>3579</v>
      </c>
      <c r="E315" s="2">
        <v>3258001400040</v>
      </c>
      <c r="F315" s="1" t="s">
        <v>644</v>
      </c>
      <c r="G315" s="1" t="s">
        <v>53</v>
      </c>
      <c r="H315" s="1" t="s">
        <v>321</v>
      </c>
      <c r="I315" s="1" t="s">
        <v>322</v>
      </c>
      <c r="J315" s="1" t="s">
        <v>46</v>
      </c>
      <c r="K315" t="s">
        <v>645</v>
      </c>
      <c r="M315" s="1" t="s">
        <v>58</v>
      </c>
      <c r="N315" s="1">
        <v>0</v>
      </c>
      <c r="O315" s="1" t="s">
        <v>105</v>
      </c>
      <c r="P315" s="186">
        <v>44713.418391203704</v>
      </c>
      <c r="R315" s="1">
        <v>2</v>
      </c>
      <c r="T315" s="1" t="s">
        <v>646</v>
      </c>
      <c r="U315" s="186">
        <v>44714.418391203704</v>
      </c>
      <c r="V315" s="1" t="s">
        <v>41</v>
      </c>
      <c r="W315" s="1" t="s">
        <v>49</v>
      </c>
      <c r="X315" s="13" t="str">
        <f t="shared" si="33"/>
        <v/>
      </c>
      <c r="Y315" s="2">
        <f t="shared" ca="1" si="28"/>
        <v>196</v>
      </c>
      <c r="Z315" s="14">
        <v>1</v>
      </c>
      <c r="AA315" s="1" t="str">
        <f t="shared" ca="1" si="29"/>
        <v>VENCIDO</v>
      </c>
      <c r="AB315" s="1" t="str">
        <f t="shared" si="30"/>
        <v>SL-On</v>
      </c>
      <c r="AC315" s="2" t="str">
        <f t="shared" si="34"/>
        <v xml:space="preserve"> CLEITON </v>
      </c>
      <c r="AD315" s="2">
        <f t="shared" si="31"/>
        <v>1</v>
      </c>
      <c r="AE315" s="2">
        <f t="shared" ca="1" si="32"/>
        <v>-272.25788043981447</v>
      </c>
      <c r="AF315" s="15"/>
    </row>
    <row r="316" spans="1:32" hidden="1">
      <c r="A316" s="1">
        <v>8643740</v>
      </c>
      <c r="B316" s="1" t="s">
        <v>653</v>
      </c>
      <c r="C316" t="s">
        <v>3579</v>
      </c>
      <c r="E316" s="2">
        <v>3243001400040</v>
      </c>
      <c r="F316" s="1" t="s">
        <v>644</v>
      </c>
      <c r="G316" s="1" t="s">
        <v>53</v>
      </c>
      <c r="H316" s="1" t="s">
        <v>282</v>
      </c>
      <c r="I316" s="1" t="s">
        <v>283</v>
      </c>
      <c r="J316" s="1" t="s">
        <v>46</v>
      </c>
      <c r="K316" t="s">
        <v>645</v>
      </c>
      <c r="M316" s="1" t="s">
        <v>58</v>
      </c>
      <c r="N316" s="1">
        <v>0</v>
      </c>
      <c r="O316" s="1" t="s">
        <v>105</v>
      </c>
      <c r="P316" s="186">
        <v>44713.418356481481</v>
      </c>
      <c r="R316" s="1">
        <v>3</v>
      </c>
      <c r="T316" s="1" t="s">
        <v>646</v>
      </c>
      <c r="U316" s="186">
        <v>44714.418356481481</v>
      </c>
      <c r="V316" s="1" t="s">
        <v>41</v>
      </c>
      <c r="W316" s="1" t="s">
        <v>49</v>
      </c>
      <c r="X316" s="13" t="str">
        <f t="shared" si="33"/>
        <v/>
      </c>
      <c r="Y316" s="2">
        <f t="shared" ca="1" si="28"/>
        <v>196</v>
      </c>
      <c r="Z316" s="14">
        <v>1</v>
      </c>
      <c r="AA316" s="1" t="str">
        <f t="shared" ca="1" si="29"/>
        <v>VENCIDO</v>
      </c>
      <c r="AB316" s="1" t="str">
        <f t="shared" si="30"/>
        <v>SL-On</v>
      </c>
      <c r="AC316" s="2" t="str">
        <f t="shared" si="34"/>
        <v xml:space="preserve"> CLEITON </v>
      </c>
      <c r="AD316" s="2">
        <f t="shared" si="31"/>
        <v>1</v>
      </c>
      <c r="AE316" s="2">
        <f t="shared" ca="1" si="32"/>
        <v>-272.25791516203753</v>
      </c>
      <c r="AF316" s="15"/>
    </row>
    <row r="317" spans="1:32" hidden="1">
      <c r="A317" s="1">
        <v>8643737</v>
      </c>
      <c r="B317" s="1" t="s">
        <v>653</v>
      </c>
      <c r="C317" t="s">
        <v>3579</v>
      </c>
      <c r="E317" s="2">
        <v>3237001400040</v>
      </c>
      <c r="F317" s="1" t="s">
        <v>644</v>
      </c>
      <c r="G317" s="1" t="s">
        <v>53</v>
      </c>
      <c r="H317" s="1" t="s">
        <v>287</v>
      </c>
      <c r="I317" s="1" t="s">
        <v>288</v>
      </c>
      <c r="J317" s="1" t="s">
        <v>46</v>
      </c>
      <c r="K317" t="s">
        <v>645</v>
      </c>
      <c r="M317" s="1" t="s">
        <v>58</v>
      </c>
      <c r="N317" s="1">
        <v>0</v>
      </c>
      <c r="O317" s="1" t="s">
        <v>105</v>
      </c>
      <c r="P317" s="186">
        <v>44713.418356481481</v>
      </c>
      <c r="R317" s="1">
        <v>2</v>
      </c>
      <c r="T317" s="1" t="s">
        <v>646</v>
      </c>
      <c r="U317" s="186">
        <v>44714.418356481481</v>
      </c>
      <c r="V317" s="1" t="s">
        <v>41</v>
      </c>
      <c r="W317" s="1" t="s">
        <v>49</v>
      </c>
      <c r="X317" s="13" t="str">
        <f t="shared" si="33"/>
        <v/>
      </c>
      <c r="Y317" s="2">
        <f t="shared" ca="1" si="28"/>
        <v>196</v>
      </c>
      <c r="Z317" s="14">
        <v>1</v>
      </c>
      <c r="AA317" s="1" t="str">
        <f t="shared" ca="1" si="29"/>
        <v>VENCIDO</v>
      </c>
      <c r="AB317" s="1" t="str">
        <f t="shared" si="30"/>
        <v>SL-On</v>
      </c>
      <c r="AC317" s="2" t="str">
        <f t="shared" si="34"/>
        <v xml:space="preserve"> CLEITON </v>
      </c>
      <c r="AD317" s="2">
        <f t="shared" si="31"/>
        <v>1</v>
      </c>
      <c r="AE317" s="2">
        <f t="shared" ca="1" si="32"/>
        <v>-272.25791516203753</v>
      </c>
      <c r="AF317" s="15"/>
    </row>
    <row r="318" spans="1:32" hidden="1">
      <c r="A318" s="1">
        <v>8643543</v>
      </c>
      <c r="B318" s="1" t="s">
        <v>653</v>
      </c>
      <c r="C318" t="s">
        <v>3579</v>
      </c>
      <c r="E318" s="2">
        <v>2988001400040</v>
      </c>
      <c r="F318" s="1" t="s">
        <v>644</v>
      </c>
      <c r="G318" s="1" t="s">
        <v>53</v>
      </c>
      <c r="H318" s="1" t="s">
        <v>536</v>
      </c>
      <c r="I318" s="1" t="s">
        <v>537</v>
      </c>
      <c r="J318" s="1" t="s">
        <v>46</v>
      </c>
      <c r="K318" t="s">
        <v>645</v>
      </c>
      <c r="M318" s="1" t="s">
        <v>58</v>
      </c>
      <c r="N318" s="1">
        <v>0</v>
      </c>
      <c r="O318" s="1" t="s">
        <v>105</v>
      </c>
      <c r="P318" s="186">
        <v>44713.417546296296</v>
      </c>
      <c r="R318" s="1">
        <v>2</v>
      </c>
      <c r="T318" s="1" t="s">
        <v>646</v>
      </c>
      <c r="U318" s="186">
        <v>44714.417546296296</v>
      </c>
      <c r="V318" s="1" t="s">
        <v>41</v>
      </c>
      <c r="W318" s="1" t="s">
        <v>49</v>
      </c>
      <c r="X318" s="13" t="str">
        <f t="shared" si="33"/>
        <v/>
      </c>
      <c r="Y318" s="2">
        <f t="shared" ca="1" si="28"/>
        <v>196</v>
      </c>
      <c r="Z318" s="14">
        <v>1</v>
      </c>
      <c r="AA318" s="1" t="str">
        <f t="shared" ca="1" si="29"/>
        <v>VENCIDO</v>
      </c>
      <c r="AB318" s="1" t="str">
        <f t="shared" si="30"/>
        <v>SL-On</v>
      </c>
      <c r="AC318" s="2" t="str">
        <f t="shared" si="34"/>
        <v xml:space="preserve"> CLEITON </v>
      </c>
      <c r="AD318" s="2">
        <f t="shared" si="31"/>
        <v>1</v>
      </c>
      <c r="AE318" s="2">
        <f t="shared" ca="1" si="32"/>
        <v>-272.25872534722293</v>
      </c>
      <c r="AF318" s="15"/>
    </row>
    <row r="319" spans="1:32" hidden="1">
      <c r="A319" s="1">
        <v>8643415</v>
      </c>
      <c r="B319" s="1" t="s">
        <v>653</v>
      </c>
      <c r="C319" t="s">
        <v>3579</v>
      </c>
      <c r="E319" s="2">
        <v>2830001400040</v>
      </c>
      <c r="F319" s="1" t="s">
        <v>644</v>
      </c>
      <c r="G319" s="1" t="s">
        <v>53</v>
      </c>
      <c r="H319" s="1" t="s">
        <v>448</v>
      </c>
      <c r="I319" s="1" t="s">
        <v>449</v>
      </c>
      <c r="J319" s="1" t="s">
        <v>33</v>
      </c>
      <c r="K319" t="s">
        <v>645</v>
      </c>
      <c r="M319" s="1" t="s">
        <v>58</v>
      </c>
      <c r="N319" s="1">
        <v>0</v>
      </c>
      <c r="O319" s="1" t="s">
        <v>105</v>
      </c>
      <c r="P319" s="186">
        <v>44713.417187500003</v>
      </c>
      <c r="R319" s="1">
        <v>2</v>
      </c>
      <c r="T319" s="1" t="s">
        <v>646</v>
      </c>
      <c r="U319" s="186">
        <v>44714.417187500003</v>
      </c>
      <c r="V319" s="1" t="s">
        <v>41</v>
      </c>
      <c r="W319" s="1" t="s">
        <v>42</v>
      </c>
      <c r="X319" s="13" t="str">
        <f t="shared" si="33"/>
        <v/>
      </c>
      <c r="Y319" s="2">
        <f t="shared" ca="1" si="28"/>
        <v>196</v>
      </c>
      <c r="Z319" s="14">
        <v>1</v>
      </c>
      <c r="AA319" s="1" t="str">
        <f t="shared" ca="1" si="29"/>
        <v>VENCIDO</v>
      </c>
      <c r="AB319" s="1" t="str">
        <f t="shared" si="30"/>
        <v>SL-On</v>
      </c>
      <c r="AC319" s="2" t="str">
        <f t="shared" si="34"/>
        <v xml:space="preserve"> ROSEMERE </v>
      </c>
      <c r="AD319" s="2">
        <f t="shared" si="31"/>
        <v>1</v>
      </c>
      <c r="AE319" s="2">
        <f t="shared" ca="1" si="32"/>
        <v>-272.25908414351579</v>
      </c>
      <c r="AF319" s="15"/>
    </row>
    <row r="320" spans="1:32" hidden="1">
      <c r="A320" s="1">
        <v>8643396</v>
      </c>
      <c r="B320" s="1" t="s">
        <v>653</v>
      </c>
      <c r="C320" t="s">
        <v>3579</v>
      </c>
      <c r="E320" s="2">
        <v>2811001400040</v>
      </c>
      <c r="F320" s="1" t="s">
        <v>644</v>
      </c>
      <c r="G320" s="1" t="s">
        <v>53</v>
      </c>
      <c r="H320" s="1" t="s">
        <v>44</v>
      </c>
      <c r="I320" s="1" t="s">
        <v>45</v>
      </c>
      <c r="J320" s="1" t="s">
        <v>46</v>
      </c>
      <c r="K320" t="s">
        <v>645</v>
      </c>
      <c r="M320" s="1" t="s">
        <v>58</v>
      </c>
      <c r="N320" s="1">
        <v>0</v>
      </c>
      <c r="O320" s="1" t="s">
        <v>105</v>
      </c>
      <c r="P320" s="186">
        <v>44713.417094907411</v>
      </c>
      <c r="R320" s="1">
        <v>3</v>
      </c>
      <c r="T320" s="1" t="s">
        <v>646</v>
      </c>
      <c r="U320" s="186">
        <v>44714.417094907411</v>
      </c>
      <c r="V320" s="1" t="s">
        <v>41</v>
      </c>
      <c r="W320" s="1" t="s">
        <v>49</v>
      </c>
      <c r="X320" s="13" t="str">
        <f t="shared" si="33"/>
        <v/>
      </c>
      <c r="Y320" s="2">
        <f t="shared" ca="1" si="28"/>
        <v>196</v>
      </c>
      <c r="Z320" s="14">
        <v>1</v>
      </c>
      <c r="AA320" s="1" t="str">
        <f t="shared" ca="1" si="29"/>
        <v>VENCIDO</v>
      </c>
      <c r="AB320" s="1" t="str">
        <f t="shared" si="30"/>
        <v>SL-On</v>
      </c>
      <c r="AC320" s="2" t="str">
        <f t="shared" si="34"/>
        <v xml:space="preserve"> CLEITON </v>
      </c>
      <c r="AD320" s="2">
        <f t="shared" si="31"/>
        <v>1</v>
      </c>
      <c r="AE320" s="2">
        <f t="shared" ca="1" si="32"/>
        <v>-272.2591767361082</v>
      </c>
      <c r="AF320" s="15"/>
    </row>
    <row r="321" spans="1:32" hidden="1">
      <c r="A321" s="1">
        <v>8643389</v>
      </c>
      <c r="B321" s="1" t="s">
        <v>653</v>
      </c>
      <c r="C321" t="s">
        <v>3579</v>
      </c>
      <c r="E321" s="2">
        <v>2802001400040</v>
      </c>
      <c r="F321" s="1" t="s">
        <v>644</v>
      </c>
      <c r="G321" s="1" t="s">
        <v>53</v>
      </c>
      <c r="H321" s="1" t="s">
        <v>388</v>
      </c>
      <c r="I321" s="1" t="s">
        <v>389</v>
      </c>
      <c r="J321" s="1" t="s">
        <v>46</v>
      </c>
      <c r="K321" t="s">
        <v>645</v>
      </c>
      <c r="M321" s="1" t="s">
        <v>58</v>
      </c>
      <c r="N321" s="1">
        <v>0</v>
      </c>
      <c r="O321" s="1" t="s">
        <v>105</v>
      </c>
      <c r="P321" s="186">
        <v>44713.417083333334</v>
      </c>
      <c r="R321" s="1">
        <v>3</v>
      </c>
      <c r="T321" s="1" t="s">
        <v>646</v>
      </c>
      <c r="U321" s="186">
        <v>44714.417083333334</v>
      </c>
      <c r="V321" s="1" t="s">
        <v>41</v>
      </c>
      <c r="W321" s="1" t="s">
        <v>49</v>
      </c>
      <c r="X321" s="13" t="str">
        <f t="shared" si="33"/>
        <v/>
      </c>
      <c r="Y321" s="2">
        <f t="shared" ca="1" si="28"/>
        <v>196</v>
      </c>
      <c r="Z321" s="14">
        <v>1</v>
      </c>
      <c r="AA321" s="1" t="str">
        <f t="shared" ca="1" si="29"/>
        <v>VENCIDO</v>
      </c>
      <c r="AB321" s="1" t="str">
        <f t="shared" si="30"/>
        <v>SL-On</v>
      </c>
      <c r="AC321" s="2" t="str">
        <f t="shared" si="34"/>
        <v xml:space="preserve"> CLEITON </v>
      </c>
      <c r="AD321" s="2">
        <f t="shared" si="31"/>
        <v>1</v>
      </c>
      <c r="AE321" s="2">
        <f t="shared" ca="1" si="32"/>
        <v>-272.25918831018498</v>
      </c>
      <c r="AF321" s="15"/>
    </row>
    <row r="322" spans="1:32" hidden="1">
      <c r="A322" s="1">
        <v>8643232</v>
      </c>
      <c r="B322" s="1" t="s">
        <v>653</v>
      </c>
      <c r="C322" t="s">
        <v>3579</v>
      </c>
      <c r="E322" s="2">
        <v>2625001400040</v>
      </c>
      <c r="F322" s="1" t="s">
        <v>644</v>
      </c>
      <c r="G322" s="1" t="s">
        <v>53</v>
      </c>
      <c r="H322" s="1" t="s">
        <v>317</v>
      </c>
      <c r="I322" s="1" t="s">
        <v>318</v>
      </c>
      <c r="J322" s="1" t="s">
        <v>164</v>
      </c>
      <c r="K322" t="s">
        <v>645</v>
      </c>
      <c r="M322" s="1" t="s">
        <v>58</v>
      </c>
      <c r="N322" s="1">
        <v>0</v>
      </c>
      <c r="O322" s="1" t="s">
        <v>105</v>
      </c>
      <c r="P322" s="186">
        <v>44713.416655092595</v>
      </c>
      <c r="R322" s="1">
        <v>3</v>
      </c>
      <c r="T322" s="1" t="s">
        <v>646</v>
      </c>
      <c r="U322" s="186">
        <v>44714.416655092595</v>
      </c>
      <c r="V322" s="1" t="s">
        <v>41</v>
      </c>
      <c r="W322" s="1" t="s">
        <v>49</v>
      </c>
      <c r="X322" s="13" t="str">
        <f t="shared" si="33"/>
        <v/>
      </c>
      <c r="Y322" s="2">
        <f t="shared" ref="Y322:Y385" ca="1" si="35">NETWORKDAYS(P322,$Y$1)</f>
        <v>196</v>
      </c>
      <c r="Z322" s="14">
        <v>1</v>
      </c>
      <c r="AA322" s="1" t="str">
        <f t="shared" ref="AA322:AA385" ca="1" si="36">IF(AE322=0,"HOJE",IF(AE322&gt;0,"A VENCER",IF(AE322&lt;0,"VENCIDO")))</f>
        <v>VENCIDO</v>
      </c>
      <c r="AB322" s="1" t="str">
        <f t="shared" ref="AB322:AB385" si="37">IF(F322="GRPE-000001","C-14",IF(F322="GRPE-000002","C-14",IF(F322="GRPE-000003","C-14",IF(F322="GRPE-000004","SL-On",IF(F322="GRPE-000038","C-14",IF(F322="GRPE-900022","Dosa",IF(F322="GRPE-000029","Dosa",IF(F322="ATOS-000222","Dose","TAAe+"))))))))</f>
        <v>SL-On</v>
      </c>
      <c r="AC322" s="2" t="str">
        <f t="shared" si="34"/>
        <v xml:space="preserve"> ROSEMERE </v>
      </c>
      <c r="AD322" s="2">
        <f t="shared" ref="AD322:AD385" si="38">IF(F322="GRPE-000001",5,IF(F322="GRPE-000002",5,IF(F322="GRPE-000003",15,IF(F322="GRPE-000004",1,IF(F322="GRPE-000038",5,IF(F322="GRPE-900022",5,IF(F322="GRPE-000029",5,IF(F322="ATOS-000222",5,8))))))))</f>
        <v>1</v>
      </c>
      <c r="AE322" s="2">
        <f t="shared" ref="AE322:AE385" ca="1" si="39">IF(U322=$AE$1,"",U322-$AE$1)</f>
        <v>-272.25961655092397</v>
      </c>
      <c r="AF322" s="15"/>
    </row>
    <row r="323" spans="1:32" hidden="1">
      <c r="A323" s="1">
        <v>8643003</v>
      </c>
      <c r="B323" s="1" t="s">
        <v>653</v>
      </c>
      <c r="C323" t="s">
        <v>3579</v>
      </c>
      <c r="E323" s="2">
        <v>2369001400040</v>
      </c>
      <c r="F323" s="1" t="s">
        <v>644</v>
      </c>
      <c r="G323" s="1" t="s">
        <v>53</v>
      </c>
      <c r="H323" s="1" t="s">
        <v>701</v>
      </c>
      <c r="I323" s="1" t="s">
        <v>702</v>
      </c>
      <c r="J323" s="1" t="s">
        <v>141</v>
      </c>
      <c r="K323" t="s">
        <v>645</v>
      </c>
      <c r="M323" s="1" t="s">
        <v>58</v>
      </c>
      <c r="N323" s="1">
        <v>0</v>
      </c>
      <c r="O323" s="1" t="s">
        <v>105</v>
      </c>
      <c r="P323" s="186">
        <v>44713.415312500001</v>
      </c>
      <c r="R323" s="1">
        <v>2</v>
      </c>
      <c r="T323" s="1" t="s">
        <v>646</v>
      </c>
      <c r="U323" s="186">
        <v>44714.415312500001</v>
      </c>
      <c r="V323" s="1" t="s">
        <v>41</v>
      </c>
      <c r="W323" s="1" t="s">
        <v>49</v>
      </c>
      <c r="X323" s="13" t="str">
        <f t="shared" ref="X323:X386" si="40">IF(RIGHT(H323,2)&lt;&gt;"00",H323,"")</f>
        <v/>
      </c>
      <c r="Y323" s="2">
        <f t="shared" ca="1" si="35"/>
        <v>196</v>
      </c>
      <c r="Z323" s="14">
        <v>1</v>
      </c>
      <c r="AA323" s="1" t="str">
        <f t="shared" ca="1" si="36"/>
        <v>VENCIDO</v>
      </c>
      <c r="AB323" s="1" t="str">
        <f t="shared" si="37"/>
        <v>SL-On</v>
      </c>
      <c r="AC323" s="2" t="str">
        <f t="shared" ref="AC323:AC386" si="41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 xml:space="preserve"> CRISTINA </v>
      </c>
      <c r="AD323" s="2">
        <f t="shared" si="38"/>
        <v>1</v>
      </c>
      <c r="AE323" s="2">
        <f t="shared" ca="1" si="39"/>
        <v>-272.26095914351754</v>
      </c>
      <c r="AF323" s="15"/>
    </row>
    <row r="324" spans="1:32" hidden="1">
      <c r="A324" s="1">
        <v>8642964</v>
      </c>
      <c r="B324" s="1" t="s">
        <v>653</v>
      </c>
      <c r="C324" t="s">
        <v>3579</v>
      </c>
      <c r="E324" s="2">
        <v>2326001400040</v>
      </c>
      <c r="F324" s="1" t="s">
        <v>644</v>
      </c>
      <c r="G324" s="1" t="s">
        <v>53</v>
      </c>
      <c r="H324" s="1" t="s">
        <v>191</v>
      </c>
      <c r="I324" s="1" t="s">
        <v>192</v>
      </c>
      <c r="J324" s="1" t="s">
        <v>46</v>
      </c>
      <c r="K324" t="s">
        <v>645</v>
      </c>
      <c r="M324" s="1" t="s">
        <v>58</v>
      </c>
      <c r="N324" s="1">
        <v>0</v>
      </c>
      <c r="O324" s="1" t="s">
        <v>105</v>
      </c>
      <c r="P324" s="186">
        <v>44713.41510416667</v>
      </c>
      <c r="R324" s="1">
        <v>2</v>
      </c>
      <c r="T324" s="1" t="s">
        <v>646</v>
      </c>
      <c r="U324" s="186">
        <v>44714.41510416667</v>
      </c>
      <c r="V324" s="1" t="s">
        <v>41</v>
      </c>
      <c r="W324" s="1" t="s">
        <v>49</v>
      </c>
      <c r="X324" s="13" t="str">
        <f t="shared" si="40"/>
        <v/>
      </c>
      <c r="Y324" s="2">
        <f t="shared" ca="1" si="35"/>
        <v>196</v>
      </c>
      <c r="Z324" s="14">
        <v>1</v>
      </c>
      <c r="AA324" s="1" t="str">
        <f t="shared" ca="1" si="36"/>
        <v>VENCIDO</v>
      </c>
      <c r="AB324" s="1" t="str">
        <f t="shared" si="37"/>
        <v>SL-On</v>
      </c>
      <c r="AC324" s="2" t="str">
        <f t="shared" si="41"/>
        <v xml:space="preserve"> CLEITON </v>
      </c>
      <c r="AD324" s="2">
        <f t="shared" si="38"/>
        <v>1</v>
      </c>
      <c r="AE324" s="2">
        <f t="shared" ca="1" si="39"/>
        <v>-272.26116747684864</v>
      </c>
      <c r="AF324" s="15"/>
    </row>
    <row r="325" spans="1:32" hidden="1">
      <c r="A325" s="1">
        <v>8642887</v>
      </c>
      <c r="B325" s="1" t="s">
        <v>653</v>
      </c>
      <c r="C325" t="s">
        <v>3579</v>
      </c>
      <c r="E325" s="2">
        <v>2238001400040</v>
      </c>
      <c r="F325" s="1" t="s">
        <v>644</v>
      </c>
      <c r="G325" s="1" t="s">
        <v>53</v>
      </c>
      <c r="H325" s="1" t="s">
        <v>707</v>
      </c>
      <c r="I325" s="1" t="s">
        <v>708</v>
      </c>
      <c r="J325" s="1" t="s">
        <v>79</v>
      </c>
      <c r="K325" t="s">
        <v>645</v>
      </c>
      <c r="M325" s="1" t="s">
        <v>58</v>
      </c>
      <c r="N325" s="1">
        <v>0</v>
      </c>
      <c r="O325" s="1" t="s">
        <v>105</v>
      </c>
      <c r="P325" s="186">
        <v>44713.414976851855</v>
      </c>
      <c r="R325" s="1">
        <v>3</v>
      </c>
      <c r="T325" s="1" t="s">
        <v>646</v>
      </c>
      <c r="U325" s="186">
        <v>44714.414976851855</v>
      </c>
      <c r="V325" s="1" t="s">
        <v>41</v>
      </c>
      <c r="W325" s="1" t="s">
        <v>49</v>
      </c>
      <c r="X325" s="13" t="str">
        <f t="shared" si="40"/>
        <v/>
      </c>
      <c r="Y325" s="2">
        <f t="shared" ca="1" si="35"/>
        <v>196</v>
      </c>
      <c r="Z325" s="14">
        <v>1</v>
      </c>
      <c r="AA325" s="1" t="str">
        <f t="shared" ca="1" si="36"/>
        <v>VENCIDO</v>
      </c>
      <c r="AB325" s="1" t="str">
        <f t="shared" si="37"/>
        <v>SL-On</v>
      </c>
      <c r="AC325" s="2" t="str">
        <f t="shared" si="41"/>
        <v xml:space="preserve"> ROSEMERE </v>
      </c>
      <c r="AD325" s="2">
        <f t="shared" si="38"/>
        <v>1</v>
      </c>
      <c r="AE325" s="2">
        <f t="shared" ca="1" si="39"/>
        <v>-272.26129479166411</v>
      </c>
      <c r="AF325" s="15"/>
    </row>
    <row r="326" spans="1:32" hidden="1">
      <c r="A326" s="1">
        <v>8642791</v>
      </c>
      <c r="B326" s="1" t="s">
        <v>653</v>
      </c>
      <c r="C326" t="s">
        <v>3579</v>
      </c>
      <c r="E326" s="2">
        <v>2138001400040</v>
      </c>
      <c r="F326" s="1" t="s">
        <v>644</v>
      </c>
      <c r="G326" s="1" t="s">
        <v>53</v>
      </c>
      <c r="H326" s="1" t="s">
        <v>379</v>
      </c>
      <c r="I326" s="1" t="s">
        <v>380</v>
      </c>
      <c r="J326" s="1" t="s">
        <v>46</v>
      </c>
      <c r="K326" t="s">
        <v>645</v>
      </c>
      <c r="M326" s="1" t="s">
        <v>58</v>
      </c>
      <c r="N326" s="1">
        <v>0</v>
      </c>
      <c r="O326" s="1" t="s">
        <v>105</v>
      </c>
      <c r="P326" s="186">
        <v>44713.41474537037</v>
      </c>
      <c r="R326" s="1">
        <v>3</v>
      </c>
      <c r="T326" s="1" t="s">
        <v>646</v>
      </c>
      <c r="U326" s="186">
        <v>44714.41474537037</v>
      </c>
      <c r="V326" s="1" t="s">
        <v>41</v>
      </c>
      <c r="W326" s="1" t="s">
        <v>49</v>
      </c>
      <c r="X326" s="13" t="str">
        <f t="shared" si="40"/>
        <v/>
      </c>
      <c r="Y326" s="2">
        <f t="shared" ca="1" si="35"/>
        <v>196</v>
      </c>
      <c r="Z326" s="14">
        <v>1</v>
      </c>
      <c r="AA326" s="1" t="str">
        <f t="shared" ca="1" si="36"/>
        <v>VENCIDO</v>
      </c>
      <c r="AB326" s="1" t="str">
        <f t="shared" si="37"/>
        <v>SL-On</v>
      </c>
      <c r="AC326" s="2" t="str">
        <f t="shared" si="41"/>
        <v xml:space="preserve"> CLEITON </v>
      </c>
      <c r="AD326" s="2">
        <f t="shared" si="38"/>
        <v>1</v>
      </c>
      <c r="AE326" s="2">
        <f t="shared" ca="1" si="39"/>
        <v>-272.26152627314877</v>
      </c>
      <c r="AF326" s="15"/>
    </row>
    <row r="327" spans="1:32" hidden="1">
      <c r="A327" s="1">
        <v>8642762</v>
      </c>
      <c r="B327" s="1" t="s">
        <v>653</v>
      </c>
      <c r="C327" t="s">
        <v>3579</v>
      </c>
      <c r="E327" s="2">
        <v>2107001400040</v>
      </c>
      <c r="F327" s="1" t="s">
        <v>644</v>
      </c>
      <c r="G327" s="1" t="s">
        <v>53</v>
      </c>
      <c r="H327" s="1" t="s">
        <v>262</v>
      </c>
      <c r="I327" s="1" t="s">
        <v>263</v>
      </c>
      <c r="J327" s="1" t="s">
        <v>164</v>
      </c>
      <c r="K327" t="s">
        <v>645</v>
      </c>
      <c r="M327" s="1" t="s">
        <v>58</v>
      </c>
      <c r="N327" s="1">
        <v>0</v>
      </c>
      <c r="O327" s="1" t="s">
        <v>105</v>
      </c>
      <c r="P327" s="186">
        <v>44713.414351851854</v>
      </c>
      <c r="R327" s="1">
        <v>3</v>
      </c>
      <c r="T327" s="1" t="s">
        <v>646</v>
      </c>
      <c r="U327" s="186">
        <v>44714.414363425924</v>
      </c>
      <c r="V327" s="1" t="s">
        <v>41</v>
      </c>
      <c r="W327" s="1" t="s">
        <v>49</v>
      </c>
      <c r="X327" s="13" t="str">
        <f t="shared" si="40"/>
        <v/>
      </c>
      <c r="Y327" s="2">
        <f t="shared" ca="1" si="35"/>
        <v>196</v>
      </c>
      <c r="Z327" s="14">
        <v>1</v>
      </c>
      <c r="AA327" s="1" t="str">
        <f t="shared" ca="1" si="36"/>
        <v>VENCIDO</v>
      </c>
      <c r="AB327" s="1" t="str">
        <f t="shared" si="37"/>
        <v>SL-On</v>
      </c>
      <c r="AC327" s="2" t="str">
        <f t="shared" si="41"/>
        <v xml:space="preserve"> ROSEMERE </v>
      </c>
      <c r="AD327" s="2">
        <f t="shared" si="38"/>
        <v>1</v>
      </c>
      <c r="AE327" s="2">
        <f t="shared" ca="1" si="39"/>
        <v>-272.26190821759519</v>
      </c>
      <c r="AF327" s="15"/>
    </row>
    <row r="328" spans="1:32" hidden="1">
      <c r="A328" s="1">
        <v>8642730</v>
      </c>
      <c r="B328" s="1" t="s">
        <v>653</v>
      </c>
      <c r="C328" t="s">
        <v>3579</v>
      </c>
      <c r="E328" s="2">
        <v>2069001400040</v>
      </c>
      <c r="F328" s="1" t="s">
        <v>644</v>
      </c>
      <c r="G328" s="1" t="s">
        <v>53</v>
      </c>
      <c r="H328" s="1" t="s">
        <v>557</v>
      </c>
      <c r="I328" s="1" t="s">
        <v>558</v>
      </c>
      <c r="J328" s="1" t="s">
        <v>90</v>
      </c>
      <c r="K328" t="s">
        <v>645</v>
      </c>
      <c r="M328" s="1" t="s">
        <v>58</v>
      </c>
      <c r="N328" s="1">
        <v>0</v>
      </c>
      <c r="O328" s="1" t="s">
        <v>105</v>
      </c>
      <c r="P328" s="186">
        <v>44713.414305555554</v>
      </c>
      <c r="R328" s="1">
        <v>2</v>
      </c>
      <c r="T328" s="1" t="s">
        <v>646</v>
      </c>
      <c r="U328" s="186">
        <v>44714.414305555554</v>
      </c>
      <c r="V328" s="1" t="s">
        <v>41</v>
      </c>
      <c r="W328" s="1" t="s">
        <v>49</v>
      </c>
      <c r="X328" s="13" t="str">
        <f t="shared" si="40"/>
        <v/>
      </c>
      <c r="Y328" s="2">
        <f t="shared" ca="1" si="35"/>
        <v>196</v>
      </c>
      <c r="Z328" s="14">
        <v>1</v>
      </c>
      <c r="AA328" s="1" t="str">
        <f t="shared" ca="1" si="36"/>
        <v>VENCIDO</v>
      </c>
      <c r="AB328" s="1" t="str">
        <f t="shared" si="37"/>
        <v>SL-On</v>
      </c>
      <c r="AC328" s="2" t="str">
        <f t="shared" si="41"/>
        <v xml:space="preserve"> RINALDO </v>
      </c>
      <c r="AD328" s="2">
        <f t="shared" si="38"/>
        <v>1</v>
      </c>
      <c r="AE328" s="2">
        <f t="shared" ca="1" si="39"/>
        <v>-272.26196608796454</v>
      </c>
      <c r="AF328" s="15"/>
    </row>
    <row r="329" spans="1:32" hidden="1">
      <c r="A329" s="1">
        <v>8642641</v>
      </c>
      <c r="B329" s="1" t="s">
        <v>653</v>
      </c>
      <c r="C329" t="s">
        <v>3579</v>
      </c>
      <c r="E329" s="2">
        <v>1924001400040</v>
      </c>
      <c r="F329" s="1" t="s">
        <v>644</v>
      </c>
      <c r="G329" s="1" t="s">
        <v>53</v>
      </c>
      <c r="H329" s="1" t="s">
        <v>568</v>
      </c>
      <c r="I329" s="1" t="s">
        <v>569</v>
      </c>
      <c r="J329" s="1" t="s">
        <v>33</v>
      </c>
      <c r="K329" t="s">
        <v>645</v>
      </c>
      <c r="M329" s="1" t="s">
        <v>58</v>
      </c>
      <c r="N329" s="1">
        <v>0</v>
      </c>
      <c r="O329" s="1" t="s">
        <v>105</v>
      </c>
      <c r="P329" s="186">
        <v>44713.414050925923</v>
      </c>
      <c r="R329" s="1">
        <v>2</v>
      </c>
      <c r="T329" s="1" t="s">
        <v>646</v>
      </c>
      <c r="U329" s="186">
        <v>44714.414050925923</v>
      </c>
      <c r="V329" s="1" t="s">
        <v>41</v>
      </c>
      <c r="W329" s="1" t="s">
        <v>49</v>
      </c>
      <c r="X329" s="13" t="str">
        <f t="shared" si="40"/>
        <v/>
      </c>
      <c r="Y329" s="2">
        <f t="shared" ca="1" si="35"/>
        <v>196</v>
      </c>
      <c r="Z329" s="14">
        <v>1</v>
      </c>
      <c r="AA329" s="1" t="str">
        <f t="shared" ca="1" si="36"/>
        <v>VENCIDO</v>
      </c>
      <c r="AB329" s="1" t="str">
        <f t="shared" si="37"/>
        <v>SL-On</v>
      </c>
      <c r="AC329" s="2" t="str">
        <f t="shared" si="41"/>
        <v xml:space="preserve"> ROSEMERE </v>
      </c>
      <c r="AD329" s="2">
        <f t="shared" si="38"/>
        <v>1</v>
      </c>
      <c r="AE329" s="2">
        <f t="shared" ca="1" si="39"/>
        <v>-272.26222071759548</v>
      </c>
      <c r="AF329" s="15"/>
    </row>
    <row r="330" spans="1:32" hidden="1">
      <c r="A330" s="1">
        <v>8642588</v>
      </c>
      <c r="B330" s="1" t="s">
        <v>653</v>
      </c>
      <c r="C330" t="s">
        <v>3579</v>
      </c>
      <c r="E330" s="2">
        <v>1838001400040</v>
      </c>
      <c r="F330" s="1" t="s">
        <v>644</v>
      </c>
      <c r="G330" s="1" t="s">
        <v>53</v>
      </c>
      <c r="H330" s="1" t="s">
        <v>357</v>
      </c>
      <c r="I330" s="1" t="s">
        <v>358</v>
      </c>
      <c r="J330" s="1" t="s">
        <v>46</v>
      </c>
      <c r="K330" t="s">
        <v>645</v>
      </c>
      <c r="M330" s="1" t="s">
        <v>58</v>
      </c>
      <c r="N330" s="1">
        <v>0</v>
      </c>
      <c r="O330" s="1" t="s">
        <v>105</v>
      </c>
      <c r="P330" s="186">
        <v>44713.413969907408</v>
      </c>
      <c r="R330" s="1">
        <v>2</v>
      </c>
      <c r="T330" s="1" t="s">
        <v>646</v>
      </c>
      <c r="U330" s="186">
        <v>44714.413969907408</v>
      </c>
      <c r="V330" s="1" t="s">
        <v>41</v>
      </c>
      <c r="W330" s="1" t="s">
        <v>49</v>
      </c>
      <c r="X330" s="13" t="str">
        <f t="shared" si="40"/>
        <v/>
      </c>
      <c r="Y330" s="2">
        <f t="shared" ca="1" si="35"/>
        <v>196</v>
      </c>
      <c r="Z330" s="14">
        <v>1</v>
      </c>
      <c r="AA330" s="1" t="str">
        <f t="shared" ca="1" si="36"/>
        <v>VENCIDO</v>
      </c>
      <c r="AB330" s="1" t="str">
        <f t="shared" si="37"/>
        <v>SL-On</v>
      </c>
      <c r="AC330" s="2" t="str">
        <f t="shared" si="41"/>
        <v xml:space="preserve"> CLEITON </v>
      </c>
      <c r="AD330" s="2">
        <f t="shared" si="38"/>
        <v>1</v>
      </c>
      <c r="AE330" s="2">
        <f t="shared" ca="1" si="39"/>
        <v>-272.26230173611111</v>
      </c>
      <c r="AF330" s="15"/>
    </row>
    <row r="331" spans="1:32" hidden="1">
      <c r="A331" s="1">
        <v>8642586</v>
      </c>
      <c r="B331" s="1" t="s">
        <v>653</v>
      </c>
      <c r="C331" t="s">
        <v>3579</v>
      </c>
      <c r="E331" s="2">
        <v>1836001400040</v>
      </c>
      <c r="F331" s="1" t="s">
        <v>644</v>
      </c>
      <c r="G331" s="1" t="s">
        <v>53</v>
      </c>
      <c r="H331" s="1" t="s">
        <v>455</v>
      </c>
      <c r="I331" s="1" t="s">
        <v>456</v>
      </c>
      <c r="J331" s="1" t="s">
        <v>46</v>
      </c>
      <c r="K331" t="s">
        <v>645</v>
      </c>
      <c r="M331" s="1" t="s">
        <v>58</v>
      </c>
      <c r="N331" s="1">
        <v>0</v>
      </c>
      <c r="O331" s="1" t="s">
        <v>105</v>
      </c>
      <c r="P331" s="186">
        <v>44713.413958333331</v>
      </c>
      <c r="R331" s="1">
        <v>3</v>
      </c>
      <c r="T331" s="1" t="s">
        <v>646</v>
      </c>
      <c r="U331" s="186">
        <v>44714.413958333331</v>
      </c>
      <c r="V331" s="1" t="s">
        <v>41</v>
      </c>
      <c r="W331" s="1" t="s">
        <v>49</v>
      </c>
      <c r="X331" s="13" t="str">
        <f t="shared" si="40"/>
        <v/>
      </c>
      <c r="Y331" s="2">
        <f t="shared" ca="1" si="35"/>
        <v>196</v>
      </c>
      <c r="Z331" s="14">
        <v>1</v>
      </c>
      <c r="AA331" s="1" t="str">
        <f t="shared" ca="1" si="36"/>
        <v>VENCIDO</v>
      </c>
      <c r="AB331" s="1" t="str">
        <f t="shared" si="37"/>
        <v>SL-On</v>
      </c>
      <c r="AC331" s="2" t="str">
        <f t="shared" si="41"/>
        <v xml:space="preserve"> CLEITON </v>
      </c>
      <c r="AD331" s="2">
        <f t="shared" si="38"/>
        <v>1</v>
      </c>
      <c r="AE331" s="2">
        <f t="shared" ca="1" si="39"/>
        <v>-272.26231331018789</v>
      </c>
      <c r="AF331" s="15"/>
    </row>
    <row r="332" spans="1:32" hidden="1">
      <c r="A332" s="1">
        <v>8642585</v>
      </c>
      <c r="B332" s="1" t="s">
        <v>653</v>
      </c>
      <c r="C332" t="s">
        <v>3579</v>
      </c>
      <c r="E332" s="2">
        <v>1835001400040</v>
      </c>
      <c r="F332" s="1" t="s">
        <v>644</v>
      </c>
      <c r="G332" s="1" t="s">
        <v>53</v>
      </c>
      <c r="H332" s="1" t="s">
        <v>305</v>
      </c>
      <c r="I332" s="1" t="s">
        <v>306</v>
      </c>
      <c r="J332" s="1" t="s">
        <v>46</v>
      </c>
      <c r="K332" t="s">
        <v>645</v>
      </c>
      <c r="M332" s="1" t="s">
        <v>58</v>
      </c>
      <c r="N332" s="1">
        <v>0</v>
      </c>
      <c r="O332" s="1" t="s">
        <v>105</v>
      </c>
      <c r="P332" s="186">
        <v>44713.413958333331</v>
      </c>
      <c r="R332" s="1">
        <v>3</v>
      </c>
      <c r="T332" s="1" t="s">
        <v>646</v>
      </c>
      <c r="U332" s="186">
        <v>44714.413958333331</v>
      </c>
      <c r="V332" s="1" t="s">
        <v>41</v>
      </c>
      <c r="W332" s="1" t="s">
        <v>49</v>
      </c>
      <c r="X332" s="13" t="str">
        <f t="shared" si="40"/>
        <v/>
      </c>
      <c r="Y332" s="2">
        <f t="shared" ca="1" si="35"/>
        <v>196</v>
      </c>
      <c r="Z332" s="14">
        <v>1</v>
      </c>
      <c r="AA332" s="1" t="str">
        <f t="shared" ca="1" si="36"/>
        <v>VENCIDO</v>
      </c>
      <c r="AB332" s="1" t="str">
        <f t="shared" si="37"/>
        <v>SL-On</v>
      </c>
      <c r="AC332" s="2" t="str">
        <f t="shared" si="41"/>
        <v xml:space="preserve"> CLEITON </v>
      </c>
      <c r="AD332" s="2">
        <f t="shared" si="38"/>
        <v>1</v>
      </c>
      <c r="AE332" s="2">
        <f t="shared" ca="1" si="39"/>
        <v>-272.26231331018789</v>
      </c>
      <c r="AF332" s="15"/>
    </row>
    <row r="333" spans="1:32" hidden="1">
      <c r="A333" s="1">
        <v>8642583</v>
      </c>
      <c r="B333" s="1" t="s">
        <v>653</v>
      </c>
      <c r="C333" t="s">
        <v>3579</v>
      </c>
      <c r="E333" s="2">
        <v>1833001400040</v>
      </c>
      <c r="F333" s="1" t="s">
        <v>644</v>
      </c>
      <c r="G333" s="1" t="s">
        <v>53</v>
      </c>
      <c r="H333" s="1" t="s">
        <v>369</v>
      </c>
      <c r="I333" s="1" t="s">
        <v>370</v>
      </c>
      <c r="J333" s="1" t="s">
        <v>46</v>
      </c>
      <c r="K333" t="s">
        <v>645</v>
      </c>
      <c r="M333" s="1" t="s">
        <v>58</v>
      </c>
      <c r="N333" s="1">
        <v>0</v>
      </c>
      <c r="O333" s="1" t="s">
        <v>105</v>
      </c>
      <c r="P333" s="186">
        <v>44713.413958333331</v>
      </c>
      <c r="R333" s="1">
        <v>3</v>
      </c>
      <c r="T333" s="1" t="s">
        <v>646</v>
      </c>
      <c r="U333" s="186">
        <v>44714.413958333331</v>
      </c>
      <c r="V333" s="1" t="s">
        <v>41</v>
      </c>
      <c r="W333" s="1" t="s">
        <v>49</v>
      </c>
      <c r="X333" s="13" t="str">
        <f t="shared" si="40"/>
        <v/>
      </c>
      <c r="Y333" s="2">
        <f t="shared" ca="1" si="35"/>
        <v>196</v>
      </c>
      <c r="Z333" s="14">
        <v>1</v>
      </c>
      <c r="AA333" s="1" t="str">
        <f t="shared" ca="1" si="36"/>
        <v>VENCIDO</v>
      </c>
      <c r="AB333" s="1" t="str">
        <f t="shared" si="37"/>
        <v>SL-On</v>
      </c>
      <c r="AC333" s="2" t="str">
        <f t="shared" si="41"/>
        <v xml:space="preserve"> CLEITON </v>
      </c>
      <c r="AD333" s="2">
        <f t="shared" si="38"/>
        <v>1</v>
      </c>
      <c r="AE333" s="2">
        <f t="shared" ca="1" si="39"/>
        <v>-272.26231331018789</v>
      </c>
      <c r="AF333" s="15"/>
    </row>
    <row r="334" spans="1:32" hidden="1">
      <c r="A334" s="1">
        <v>8642527</v>
      </c>
      <c r="B334" s="1" t="s">
        <v>653</v>
      </c>
      <c r="C334" t="s">
        <v>3579</v>
      </c>
      <c r="E334" s="2">
        <v>1764001400040</v>
      </c>
      <c r="F334" s="1" t="s">
        <v>644</v>
      </c>
      <c r="G334" s="1" t="s">
        <v>53</v>
      </c>
      <c r="H334" s="1" t="s">
        <v>722</v>
      </c>
      <c r="I334" s="1" t="s">
        <v>723</v>
      </c>
      <c r="J334" s="1" t="s">
        <v>90</v>
      </c>
      <c r="K334" t="s">
        <v>645</v>
      </c>
      <c r="M334" s="1" t="s">
        <v>58</v>
      </c>
      <c r="N334" s="1">
        <v>0</v>
      </c>
      <c r="O334" s="1" t="s">
        <v>36</v>
      </c>
      <c r="P334" s="186">
        <v>44713.413668981484</v>
      </c>
      <c r="R334" s="1">
        <v>2</v>
      </c>
      <c r="T334" s="1" t="s">
        <v>646</v>
      </c>
      <c r="U334" s="186">
        <v>44714.413668981484</v>
      </c>
      <c r="V334" s="1" t="s">
        <v>41</v>
      </c>
      <c r="W334" s="1" t="s">
        <v>49</v>
      </c>
      <c r="X334" s="13" t="str">
        <f t="shared" si="40"/>
        <v/>
      </c>
      <c r="Y334" s="2">
        <f t="shared" ca="1" si="35"/>
        <v>196</v>
      </c>
      <c r="Z334" s="14">
        <v>1</v>
      </c>
      <c r="AA334" s="1" t="str">
        <f t="shared" ca="1" si="36"/>
        <v>VENCIDO</v>
      </c>
      <c r="AB334" s="1" t="str">
        <f t="shared" si="37"/>
        <v>SL-On</v>
      </c>
      <c r="AC334" s="2" t="str">
        <f t="shared" si="41"/>
        <v xml:space="preserve"> RINALDO </v>
      </c>
      <c r="AD334" s="2">
        <f t="shared" si="38"/>
        <v>1</v>
      </c>
      <c r="AE334" s="2">
        <f t="shared" ca="1" si="39"/>
        <v>-272.26260266203462</v>
      </c>
      <c r="AF334" s="15"/>
    </row>
    <row r="335" spans="1:32" hidden="1">
      <c r="A335" s="1">
        <v>8642499</v>
      </c>
      <c r="B335" s="1" t="s">
        <v>653</v>
      </c>
      <c r="C335" t="s">
        <v>3579</v>
      </c>
      <c r="E335" s="2">
        <v>1732001400040</v>
      </c>
      <c r="F335" s="1" t="s">
        <v>644</v>
      </c>
      <c r="G335" s="1" t="s">
        <v>53</v>
      </c>
      <c r="H335" s="1" t="s">
        <v>177</v>
      </c>
      <c r="I335" s="1" t="s">
        <v>178</v>
      </c>
      <c r="J335" s="1" t="s">
        <v>164</v>
      </c>
      <c r="K335" t="s">
        <v>645</v>
      </c>
      <c r="M335" s="1" t="s">
        <v>58</v>
      </c>
      <c r="N335" s="1">
        <v>0</v>
      </c>
      <c r="O335" s="1" t="s">
        <v>105</v>
      </c>
      <c r="P335" s="186">
        <v>44713.413622685184</v>
      </c>
      <c r="R335" s="1">
        <v>3</v>
      </c>
      <c r="T335" s="1" t="s">
        <v>646</v>
      </c>
      <c r="U335" s="186">
        <v>44714.413634259261</v>
      </c>
      <c r="V335" s="1" t="s">
        <v>41</v>
      </c>
      <c r="W335" s="1" t="s">
        <v>49</v>
      </c>
      <c r="X335" s="13" t="str">
        <f t="shared" si="40"/>
        <v/>
      </c>
      <c r="Y335" s="2">
        <f t="shared" ca="1" si="35"/>
        <v>196</v>
      </c>
      <c r="Z335" s="14">
        <v>1</v>
      </c>
      <c r="AA335" s="1" t="str">
        <f t="shared" ca="1" si="36"/>
        <v>VENCIDO</v>
      </c>
      <c r="AB335" s="1" t="str">
        <f t="shared" si="37"/>
        <v>SL-On</v>
      </c>
      <c r="AC335" s="2" t="str">
        <f t="shared" si="41"/>
        <v xml:space="preserve"> ROSEMERE </v>
      </c>
      <c r="AD335" s="2">
        <f t="shared" si="38"/>
        <v>1</v>
      </c>
      <c r="AE335" s="2">
        <f t="shared" ca="1" si="39"/>
        <v>-272.26263738425769</v>
      </c>
      <c r="AF335" s="15"/>
    </row>
    <row r="336" spans="1:32" hidden="1">
      <c r="A336" s="1">
        <v>8642435</v>
      </c>
      <c r="B336" s="1" t="s">
        <v>653</v>
      </c>
      <c r="C336" t="s">
        <v>3579</v>
      </c>
      <c r="E336" s="2">
        <v>1664001400040</v>
      </c>
      <c r="F336" s="1" t="s">
        <v>644</v>
      </c>
      <c r="G336" s="1" t="s">
        <v>53</v>
      </c>
      <c r="H336" s="1" t="s">
        <v>307</v>
      </c>
      <c r="I336" s="1" t="s">
        <v>308</v>
      </c>
      <c r="J336" s="1" t="s">
        <v>164</v>
      </c>
      <c r="K336" t="s">
        <v>645</v>
      </c>
      <c r="M336" s="1" t="s">
        <v>58</v>
      </c>
      <c r="N336" s="1">
        <v>0</v>
      </c>
      <c r="O336" s="1" t="s">
        <v>105</v>
      </c>
      <c r="P336" s="186">
        <v>44713.413391203707</v>
      </c>
      <c r="R336" s="1">
        <v>2</v>
      </c>
      <c r="T336" s="1" t="s">
        <v>646</v>
      </c>
      <c r="U336" s="186">
        <v>44714.413391203707</v>
      </c>
      <c r="V336" s="1" t="s">
        <v>41</v>
      </c>
      <c r="W336" s="1" t="s">
        <v>49</v>
      </c>
      <c r="X336" s="13" t="str">
        <f t="shared" si="40"/>
        <v/>
      </c>
      <c r="Y336" s="2">
        <f t="shared" ca="1" si="35"/>
        <v>196</v>
      </c>
      <c r="Z336" s="14">
        <v>1</v>
      </c>
      <c r="AA336" s="1" t="str">
        <f t="shared" ca="1" si="36"/>
        <v>VENCIDO</v>
      </c>
      <c r="AB336" s="1" t="str">
        <f t="shared" si="37"/>
        <v>SL-On</v>
      </c>
      <c r="AC336" s="2" t="str">
        <f t="shared" si="41"/>
        <v xml:space="preserve"> ROSEMERE </v>
      </c>
      <c r="AD336" s="2">
        <f t="shared" si="38"/>
        <v>1</v>
      </c>
      <c r="AE336" s="2">
        <f t="shared" ca="1" si="39"/>
        <v>-272.26288043981185</v>
      </c>
      <c r="AF336" s="15"/>
    </row>
    <row r="337" spans="1:32" hidden="1">
      <c r="A337" s="1">
        <v>8642415</v>
      </c>
      <c r="B337" s="1" t="s">
        <v>653</v>
      </c>
      <c r="C337" t="s">
        <v>3579</v>
      </c>
      <c r="E337" s="2">
        <v>1643001400040</v>
      </c>
      <c r="F337" s="1" t="s">
        <v>644</v>
      </c>
      <c r="G337" s="1" t="s">
        <v>53</v>
      </c>
      <c r="H337" s="1" t="s">
        <v>361</v>
      </c>
      <c r="I337" s="1" t="s">
        <v>362</v>
      </c>
      <c r="J337" s="1" t="s">
        <v>261</v>
      </c>
      <c r="K337" t="s">
        <v>645</v>
      </c>
      <c r="M337" s="1" t="s">
        <v>58</v>
      </c>
      <c r="N337" s="1">
        <v>0</v>
      </c>
      <c r="O337" s="1" t="s">
        <v>105</v>
      </c>
      <c r="P337" s="186">
        <v>44713.413356481484</v>
      </c>
      <c r="R337" s="1">
        <v>2</v>
      </c>
      <c r="T337" s="1" t="s">
        <v>646</v>
      </c>
      <c r="U337" s="186">
        <v>44714.413356481484</v>
      </c>
      <c r="V337" s="1" t="s">
        <v>41</v>
      </c>
      <c r="W337" s="1" t="s">
        <v>49</v>
      </c>
      <c r="X337" s="13" t="str">
        <f t="shared" si="40"/>
        <v/>
      </c>
      <c r="Y337" s="2">
        <f t="shared" ca="1" si="35"/>
        <v>196</v>
      </c>
      <c r="Z337" s="14">
        <v>1</v>
      </c>
      <c r="AA337" s="1" t="str">
        <f t="shared" ca="1" si="36"/>
        <v>VENCIDO</v>
      </c>
      <c r="AB337" s="1" t="str">
        <f t="shared" si="37"/>
        <v>SL-On</v>
      </c>
      <c r="AC337" s="2" t="str">
        <f t="shared" si="41"/>
        <v xml:space="preserve"> CRISTINA </v>
      </c>
      <c r="AD337" s="2">
        <f t="shared" si="38"/>
        <v>1</v>
      </c>
      <c r="AE337" s="2">
        <f t="shared" ca="1" si="39"/>
        <v>-272.26291516203491</v>
      </c>
      <c r="AF337" s="15"/>
    </row>
    <row r="338" spans="1:32" hidden="1">
      <c r="A338" s="1">
        <v>8642300</v>
      </c>
      <c r="B338" s="1" t="s">
        <v>653</v>
      </c>
      <c r="C338" t="s">
        <v>3579</v>
      </c>
      <c r="E338" s="2">
        <v>1509001400040</v>
      </c>
      <c r="F338" s="1" t="s">
        <v>644</v>
      </c>
      <c r="G338" s="1" t="s">
        <v>53</v>
      </c>
      <c r="H338" s="1" t="s">
        <v>731</v>
      </c>
      <c r="I338" s="1" t="s">
        <v>732</v>
      </c>
      <c r="J338" s="1" t="s">
        <v>46</v>
      </c>
      <c r="K338" t="s">
        <v>645</v>
      </c>
      <c r="M338" s="1" t="s">
        <v>58</v>
      </c>
      <c r="N338" s="1">
        <v>0</v>
      </c>
      <c r="O338" s="1" t="s">
        <v>105</v>
      </c>
      <c r="P338" s="186">
        <v>44713.412974537037</v>
      </c>
      <c r="R338" s="1">
        <v>3</v>
      </c>
      <c r="T338" s="1" t="s">
        <v>646</v>
      </c>
      <c r="U338" s="186">
        <v>44714.412974537037</v>
      </c>
      <c r="V338" s="1" t="s">
        <v>41</v>
      </c>
      <c r="W338" s="1" t="s">
        <v>49</v>
      </c>
      <c r="X338" s="13" t="str">
        <f t="shared" si="40"/>
        <v/>
      </c>
      <c r="Y338" s="2">
        <f t="shared" ca="1" si="35"/>
        <v>196</v>
      </c>
      <c r="Z338" s="14">
        <v>1</v>
      </c>
      <c r="AA338" s="1" t="str">
        <f t="shared" ca="1" si="36"/>
        <v>VENCIDO</v>
      </c>
      <c r="AB338" s="1" t="str">
        <f t="shared" si="37"/>
        <v>SL-On</v>
      </c>
      <c r="AC338" s="2" t="str">
        <f t="shared" si="41"/>
        <v xml:space="preserve"> CLEITON </v>
      </c>
      <c r="AD338" s="2">
        <f t="shared" si="38"/>
        <v>1</v>
      </c>
      <c r="AE338" s="2">
        <f t="shared" ca="1" si="39"/>
        <v>-272.26329710648133</v>
      </c>
      <c r="AF338" s="15"/>
    </row>
    <row r="339" spans="1:32" hidden="1">
      <c r="A339" s="1">
        <v>8642161</v>
      </c>
      <c r="B339" s="1" t="s">
        <v>653</v>
      </c>
      <c r="C339" t="s">
        <v>3579</v>
      </c>
      <c r="E339" s="2">
        <v>1362001400040</v>
      </c>
      <c r="F339" s="1" t="s">
        <v>644</v>
      </c>
      <c r="G339" s="1" t="s">
        <v>53</v>
      </c>
      <c r="H339" s="1" t="s">
        <v>268</v>
      </c>
      <c r="I339" s="1" t="s">
        <v>269</v>
      </c>
      <c r="J339" s="1" t="s">
        <v>90</v>
      </c>
      <c r="K339" t="s">
        <v>645</v>
      </c>
      <c r="M339" s="1" t="s">
        <v>58</v>
      </c>
      <c r="N339" s="1">
        <v>0</v>
      </c>
      <c r="O339" s="1" t="s">
        <v>105</v>
      </c>
      <c r="P339" s="186">
        <v>44713.412453703706</v>
      </c>
      <c r="R339" s="1">
        <v>3</v>
      </c>
      <c r="T339" s="1" t="s">
        <v>646</v>
      </c>
      <c r="U339" s="186">
        <v>44714.412453703706</v>
      </c>
      <c r="V339" s="1" t="s">
        <v>41</v>
      </c>
      <c r="W339" s="1" t="s">
        <v>49</v>
      </c>
      <c r="X339" s="13" t="str">
        <f t="shared" si="40"/>
        <v/>
      </c>
      <c r="Y339" s="2">
        <f t="shared" ca="1" si="35"/>
        <v>196</v>
      </c>
      <c r="Z339" s="14">
        <v>1</v>
      </c>
      <c r="AA339" s="1" t="str">
        <f t="shared" ca="1" si="36"/>
        <v>VENCIDO</v>
      </c>
      <c r="AB339" s="1" t="str">
        <f t="shared" si="37"/>
        <v>SL-On</v>
      </c>
      <c r="AC339" s="2" t="str">
        <f t="shared" si="41"/>
        <v xml:space="preserve"> RINALDO </v>
      </c>
      <c r="AD339" s="2">
        <f t="shared" si="38"/>
        <v>1</v>
      </c>
      <c r="AE339" s="2">
        <f t="shared" ca="1" si="39"/>
        <v>-272.26381793981272</v>
      </c>
      <c r="AF339" s="15"/>
    </row>
    <row r="340" spans="1:32" hidden="1">
      <c r="A340" s="1">
        <v>8642159</v>
      </c>
      <c r="B340" s="1" t="s">
        <v>653</v>
      </c>
      <c r="C340" t="s">
        <v>3579</v>
      </c>
      <c r="E340" s="2">
        <v>1360001400040</v>
      </c>
      <c r="F340" s="1" t="s">
        <v>644</v>
      </c>
      <c r="G340" s="1" t="s">
        <v>53</v>
      </c>
      <c r="H340" s="1" t="s">
        <v>303</v>
      </c>
      <c r="I340" s="1" t="s">
        <v>304</v>
      </c>
      <c r="J340" s="1" t="s">
        <v>261</v>
      </c>
      <c r="K340" t="s">
        <v>645</v>
      </c>
      <c r="M340" s="1" t="s">
        <v>58</v>
      </c>
      <c r="N340" s="1">
        <v>0</v>
      </c>
      <c r="O340" s="1" t="s">
        <v>105</v>
      </c>
      <c r="P340" s="186">
        <v>44713.412453703706</v>
      </c>
      <c r="R340" s="1">
        <v>3</v>
      </c>
      <c r="T340" s="1" t="s">
        <v>646</v>
      </c>
      <c r="U340" s="186">
        <v>44714.412453703706</v>
      </c>
      <c r="V340" s="1" t="s">
        <v>41</v>
      </c>
      <c r="W340" s="1" t="s">
        <v>49</v>
      </c>
      <c r="X340" s="13" t="str">
        <f t="shared" si="40"/>
        <v/>
      </c>
      <c r="Y340" s="2">
        <f t="shared" ca="1" si="35"/>
        <v>196</v>
      </c>
      <c r="Z340" s="14">
        <v>1</v>
      </c>
      <c r="AA340" s="1" t="str">
        <f t="shared" ca="1" si="36"/>
        <v>VENCIDO</v>
      </c>
      <c r="AB340" s="1" t="str">
        <f t="shared" si="37"/>
        <v>SL-On</v>
      </c>
      <c r="AC340" s="2" t="str">
        <f t="shared" si="41"/>
        <v xml:space="preserve"> CRISTINA </v>
      </c>
      <c r="AD340" s="2">
        <f t="shared" si="38"/>
        <v>1</v>
      </c>
      <c r="AE340" s="2">
        <f t="shared" ca="1" si="39"/>
        <v>-272.26381793981272</v>
      </c>
      <c r="AF340" s="15"/>
    </row>
    <row r="341" spans="1:32" hidden="1">
      <c r="A341" s="1">
        <v>8642158</v>
      </c>
      <c r="B341" s="1" t="s">
        <v>653</v>
      </c>
      <c r="C341" t="s">
        <v>3579</v>
      </c>
      <c r="E341" s="2">
        <v>1359001400040</v>
      </c>
      <c r="F341" s="1" t="s">
        <v>644</v>
      </c>
      <c r="G341" s="1" t="s">
        <v>53</v>
      </c>
      <c r="H341" s="1" t="s">
        <v>270</v>
      </c>
      <c r="I341" s="1" t="s">
        <v>271</v>
      </c>
      <c r="J341" s="1" t="s">
        <v>141</v>
      </c>
      <c r="K341" t="s">
        <v>645</v>
      </c>
      <c r="M341" s="1" t="s">
        <v>58</v>
      </c>
      <c r="N341" s="1">
        <v>0</v>
      </c>
      <c r="O341" s="1" t="s">
        <v>105</v>
      </c>
      <c r="P341" s="186">
        <v>44713.412453703706</v>
      </c>
      <c r="R341" s="1">
        <v>2</v>
      </c>
      <c r="T341" s="1" t="s">
        <v>646</v>
      </c>
      <c r="U341" s="186">
        <v>44714.412453703706</v>
      </c>
      <c r="V341" s="1" t="s">
        <v>41</v>
      </c>
      <c r="W341" s="1" t="s">
        <v>49</v>
      </c>
      <c r="X341" s="13" t="str">
        <f t="shared" si="40"/>
        <v/>
      </c>
      <c r="Y341" s="2">
        <f t="shared" ca="1" si="35"/>
        <v>196</v>
      </c>
      <c r="Z341" s="14">
        <v>1</v>
      </c>
      <c r="AA341" s="1" t="str">
        <f t="shared" ca="1" si="36"/>
        <v>VENCIDO</v>
      </c>
      <c r="AB341" s="1" t="str">
        <f t="shared" si="37"/>
        <v>SL-On</v>
      </c>
      <c r="AC341" s="2" t="str">
        <f t="shared" si="41"/>
        <v xml:space="preserve"> CRISTINA </v>
      </c>
      <c r="AD341" s="2">
        <f t="shared" si="38"/>
        <v>1</v>
      </c>
      <c r="AE341" s="2">
        <f t="shared" ca="1" si="39"/>
        <v>-272.26381793981272</v>
      </c>
      <c r="AF341" s="15"/>
    </row>
    <row r="342" spans="1:32" hidden="1">
      <c r="A342" s="1">
        <v>8641875</v>
      </c>
      <c r="B342" s="1" t="s">
        <v>653</v>
      </c>
      <c r="C342" t="s">
        <v>3579</v>
      </c>
      <c r="E342" s="2">
        <v>1059001400040</v>
      </c>
      <c r="F342" s="1" t="s">
        <v>644</v>
      </c>
      <c r="G342" s="1" t="s">
        <v>53</v>
      </c>
      <c r="H342" s="1" t="s">
        <v>88</v>
      </c>
      <c r="I342" s="1" t="s">
        <v>89</v>
      </c>
      <c r="J342" s="1" t="s">
        <v>90</v>
      </c>
      <c r="K342" t="s">
        <v>645</v>
      </c>
      <c r="M342" s="1" t="s">
        <v>58</v>
      </c>
      <c r="N342" s="1">
        <v>0</v>
      </c>
      <c r="O342" s="1" t="s">
        <v>105</v>
      </c>
      <c r="P342" s="186">
        <v>44713.411435185182</v>
      </c>
      <c r="R342" s="1">
        <v>2</v>
      </c>
      <c r="T342" s="1" t="s">
        <v>646</v>
      </c>
      <c r="U342" s="186">
        <v>44714.411435185182</v>
      </c>
      <c r="V342" s="1" t="s">
        <v>41</v>
      </c>
      <c r="W342" s="1" t="s">
        <v>49</v>
      </c>
      <c r="X342" s="13" t="str">
        <f t="shared" si="40"/>
        <v/>
      </c>
      <c r="Y342" s="2">
        <f t="shared" ca="1" si="35"/>
        <v>196</v>
      </c>
      <c r="Z342" s="14">
        <v>1</v>
      </c>
      <c r="AA342" s="1" t="str">
        <f t="shared" ca="1" si="36"/>
        <v>VENCIDO</v>
      </c>
      <c r="AB342" s="1" t="str">
        <f t="shared" si="37"/>
        <v>SL-On</v>
      </c>
      <c r="AC342" s="2" t="str">
        <f t="shared" si="41"/>
        <v xml:space="preserve"> RINALDO </v>
      </c>
      <c r="AD342" s="2">
        <f t="shared" si="38"/>
        <v>1</v>
      </c>
      <c r="AE342" s="2">
        <f t="shared" ca="1" si="39"/>
        <v>-272.2648364583365</v>
      </c>
      <c r="AF342" s="15"/>
    </row>
    <row r="343" spans="1:32" hidden="1">
      <c r="A343" s="1">
        <v>8641866</v>
      </c>
      <c r="B343" s="1" t="s">
        <v>653</v>
      </c>
      <c r="C343" t="s">
        <v>3579</v>
      </c>
      <c r="E343" s="2">
        <v>1049001400040</v>
      </c>
      <c r="F343" s="1" t="s">
        <v>644</v>
      </c>
      <c r="G343" s="1" t="s">
        <v>53</v>
      </c>
      <c r="H343" s="1" t="s">
        <v>169</v>
      </c>
      <c r="I343" s="1" t="s">
        <v>170</v>
      </c>
      <c r="J343" s="1" t="s">
        <v>164</v>
      </c>
      <c r="K343" t="s">
        <v>645</v>
      </c>
      <c r="M343" s="1" t="s">
        <v>58</v>
      </c>
      <c r="N343" s="1">
        <v>0</v>
      </c>
      <c r="O343" s="1" t="s">
        <v>105</v>
      </c>
      <c r="P343" s="186">
        <v>44713.411423611113</v>
      </c>
      <c r="R343" s="1">
        <v>2</v>
      </c>
      <c r="T343" s="1" t="s">
        <v>646</v>
      </c>
      <c r="U343" s="186">
        <v>44714.411423611113</v>
      </c>
      <c r="V343" s="1" t="s">
        <v>41</v>
      </c>
      <c r="W343" s="1" t="s">
        <v>49</v>
      </c>
      <c r="X343" s="13" t="str">
        <f t="shared" si="40"/>
        <v/>
      </c>
      <c r="Y343" s="2">
        <f t="shared" ca="1" si="35"/>
        <v>196</v>
      </c>
      <c r="Z343" s="14">
        <v>1</v>
      </c>
      <c r="AA343" s="1" t="str">
        <f t="shared" ca="1" si="36"/>
        <v>VENCIDO</v>
      </c>
      <c r="AB343" s="1" t="str">
        <f t="shared" si="37"/>
        <v>SL-On</v>
      </c>
      <c r="AC343" s="2" t="str">
        <f t="shared" si="41"/>
        <v xml:space="preserve"> ROSEMERE </v>
      </c>
      <c r="AD343" s="2">
        <f t="shared" si="38"/>
        <v>1</v>
      </c>
      <c r="AE343" s="2">
        <f t="shared" ca="1" si="39"/>
        <v>-272.26484803240601</v>
      </c>
      <c r="AF343" s="15"/>
    </row>
    <row r="344" spans="1:32" hidden="1">
      <c r="A344" s="1">
        <v>8641757</v>
      </c>
      <c r="B344" s="1" t="s">
        <v>653</v>
      </c>
      <c r="C344" t="s">
        <v>3579</v>
      </c>
      <c r="E344" s="2">
        <v>934001400040</v>
      </c>
      <c r="F344" s="1" t="s">
        <v>644</v>
      </c>
      <c r="G344" s="1" t="s">
        <v>53</v>
      </c>
      <c r="H344" s="1" t="s">
        <v>428</v>
      </c>
      <c r="I344" s="1" t="s">
        <v>429</v>
      </c>
      <c r="J344" s="1" t="s">
        <v>46</v>
      </c>
      <c r="K344" t="s">
        <v>645</v>
      </c>
      <c r="M344" s="1" t="s">
        <v>58</v>
      </c>
      <c r="N344" s="1">
        <v>0</v>
      </c>
      <c r="O344" s="1" t="s">
        <v>105</v>
      </c>
      <c r="P344" s="186">
        <v>44713.411087962966</v>
      </c>
      <c r="R344" s="1">
        <v>2</v>
      </c>
      <c r="T344" s="1" t="s">
        <v>646</v>
      </c>
      <c r="U344" s="186">
        <v>44714.411087962966</v>
      </c>
      <c r="V344" s="1" t="s">
        <v>41</v>
      </c>
      <c r="W344" s="1" t="s">
        <v>49</v>
      </c>
      <c r="X344" s="13" t="str">
        <f t="shared" si="40"/>
        <v/>
      </c>
      <c r="Y344" s="2">
        <f t="shared" ca="1" si="35"/>
        <v>196</v>
      </c>
      <c r="Z344" s="14">
        <v>1</v>
      </c>
      <c r="AA344" s="1" t="str">
        <f t="shared" ca="1" si="36"/>
        <v>VENCIDO</v>
      </c>
      <c r="AB344" s="1" t="str">
        <f t="shared" si="37"/>
        <v>SL-On</v>
      </c>
      <c r="AC344" s="2" t="str">
        <f t="shared" si="41"/>
        <v xml:space="preserve"> CLEITON </v>
      </c>
      <c r="AD344" s="2">
        <f t="shared" si="38"/>
        <v>1</v>
      </c>
      <c r="AE344" s="2">
        <f t="shared" ca="1" si="39"/>
        <v>-272.26518368055258</v>
      </c>
      <c r="AF344" s="15"/>
    </row>
    <row r="345" spans="1:32" hidden="1">
      <c r="A345" s="1">
        <v>8641532</v>
      </c>
      <c r="B345" s="1" t="s">
        <v>653</v>
      </c>
      <c r="C345" t="s">
        <v>3579</v>
      </c>
      <c r="E345" s="2">
        <v>714001400040</v>
      </c>
      <c r="F345" s="1" t="s">
        <v>644</v>
      </c>
      <c r="G345" s="1" t="s">
        <v>53</v>
      </c>
      <c r="H345" s="1" t="s">
        <v>377</v>
      </c>
      <c r="I345" s="1" t="s">
        <v>378</v>
      </c>
      <c r="J345" s="1" t="s">
        <v>46</v>
      </c>
      <c r="K345" t="s">
        <v>645</v>
      </c>
      <c r="M345" s="1" t="s">
        <v>58</v>
      </c>
      <c r="N345" s="1">
        <v>0</v>
      </c>
      <c r="O345" s="1" t="s">
        <v>105</v>
      </c>
      <c r="P345" s="186">
        <v>44713.410324074073</v>
      </c>
      <c r="R345" s="1">
        <v>3</v>
      </c>
      <c r="T345" s="1" t="s">
        <v>646</v>
      </c>
      <c r="U345" s="186">
        <v>44714.410324074073</v>
      </c>
      <c r="V345" s="1" t="s">
        <v>41</v>
      </c>
      <c r="W345" s="1" t="s">
        <v>49</v>
      </c>
      <c r="X345" s="13" t="str">
        <f t="shared" si="40"/>
        <v/>
      </c>
      <c r="Y345" s="2">
        <f t="shared" ca="1" si="35"/>
        <v>196</v>
      </c>
      <c r="Z345" s="14">
        <v>1</v>
      </c>
      <c r="AA345" s="1" t="str">
        <f t="shared" ca="1" si="36"/>
        <v>VENCIDO</v>
      </c>
      <c r="AB345" s="1" t="str">
        <f t="shared" si="37"/>
        <v>SL-On</v>
      </c>
      <c r="AC345" s="2" t="str">
        <f t="shared" si="41"/>
        <v xml:space="preserve"> CLEITON </v>
      </c>
      <c r="AD345" s="2">
        <f t="shared" si="38"/>
        <v>1</v>
      </c>
      <c r="AE345" s="2">
        <f t="shared" ca="1" si="39"/>
        <v>-272.26594756944542</v>
      </c>
      <c r="AF345" s="15"/>
    </row>
    <row r="346" spans="1:32" hidden="1">
      <c r="A346" s="1">
        <v>8641530</v>
      </c>
      <c r="B346" s="1" t="s">
        <v>653</v>
      </c>
      <c r="C346" t="s">
        <v>3579</v>
      </c>
      <c r="E346" s="2">
        <v>711001400040</v>
      </c>
      <c r="F346" s="1" t="s">
        <v>644</v>
      </c>
      <c r="G346" s="1" t="s">
        <v>53</v>
      </c>
      <c r="H346" s="1" t="s">
        <v>77</v>
      </c>
      <c r="I346" s="1" t="s">
        <v>78</v>
      </c>
      <c r="J346" s="1" t="s">
        <v>79</v>
      </c>
      <c r="K346" t="s">
        <v>645</v>
      </c>
      <c r="M346" s="1" t="s">
        <v>58</v>
      </c>
      <c r="N346" s="1">
        <v>0</v>
      </c>
      <c r="O346" s="1" t="s">
        <v>105</v>
      </c>
      <c r="P346" s="186">
        <v>44713.410324074073</v>
      </c>
      <c r="R346" s="1">
        <v>2</v>
      </c>
      <c r="T346" s="1" t="s">
        <v>646</v>
      </c>
      <c r="U346" s="186">
        <v>44714.410324074073</v>
      </c>
      <c r="V346" s="1" t="s">
        <v>41</v>
      </c>
      <c r="W346" s="1" t="s">
        <v>49</v>
      </c>
      <c r="X346" s="13" t="str">
        <f t="shared" si="40"/>
        <v/>
      </c>
      <c r="Y346" s="2">
        <f t="shared" ca="1" si="35"/>
        <v>196</v>
      </c>
      <c r="Z346" s="14">
        <v>1</v>
      </c>
      <c r="AA346" s="1" t="str">
        <f t="shared" ca="1" si="36"/>
        <v>VENCIDO</v>
      </c>
      <c r="AB346" s="1" t="str">
        <f t="shared" si="37"/>
        <v>SL-On</v>
      </c>
      <c r="AC346" s="2" t="str">
        <f t="shared" si="41"/>
        <v xml:space="preserve"> ROSEMERE </v>
      </c>
      <c r="AD346" s="2">
        <f t="shared" si="38"/>
        <v>1</v>
      </c>
      <c r="AE346" s="2">
        <f t="shared" ca="1" si="39"/>
        <v>-272.26594756944542</v>
      </c>
      <c r="AF346" s="15"/>
    </row>
    <row r="347" spans="1:32" hidden="1">
      <c r="A347" s="1">
        <v>8641366</v>
      </c>
      <c r="B347" s="1" t="s">
        <v>653</v>
      </c>
      <c r="C347" t="s">
        <v>3579</v>
      </c>
      <c r="E347" s="2">
        <v>550001400040</v>
      </c>
      <c r="F347" s="1" t="s">
        <v>644</v>
      </c>
      <c r="G347" s="1" t="s">
        <v>53</v>
      </c>
      <c r="H347" s="1" t="s">
        <v>337</v>
      </c>
      <c r="I347" s="1" t="s">
        <v>338</v>
      </c>
      <c r="J347" s="1" t="s">
        <v>164</v>
      </c>
      <c r="K347" t="s">
        <v>645</v>
      </c>
      <c r="M347" s="1" t="s">
        <v>58</v>
      </c>
      <c r="N347" s="1">
        <v>0</v>
      </c>
      <c r="O347" s="1" t="s">
        <v>105</v>
      </c>
      <c r="P347" s="186">
        <v>44713.40965277778</v>
      </c>
      <c r="R347" s="1">
        <v>3</v>
      </c>
      <c r="T347" s="1" t="s">
        <v>646</v>
      </c>
      <c r="U347" s="186">
        <v>44714.40965277778</v>
      </c>
      <c r="V347" s="1" t="s">
        <v>41</v>
      </c>
      <c r="W347" s="1" t="s">
        <v>49</v>
      </c>
      <c r="X347" s="13" t="str">
        <f t="shared" si="40"/>
        <v/>
      </c>
      <c r="Y347" s="2">
        <f t="shared" ca="1" si="35"/>
        <v>196</v>
      </c>
      <c r="Z347" s="14">
        <v>1</v>
      </c>
      <c r="AA347" s="1" t="str">
        <f t="shared" ca="1" si="36"/>
        <v>VENCIDO</v>
      </c>
      <c r="AB347" s="1" t="str">
        <f t="shared" si="37"/>
        <v>SL-On</v>
      </c>
      <c r="AC347" s="2" t="str">
        <f t="shared" si="41"/>
        <v xml:space="preserve"> ROSEMERE </v>
      </c>
      <c r="AD347" s="2">
        <f t="shared" si="38"/>
        <v>1</v>
      </c>
      <c r="AE347" s="2">
        <f t="shared" ca="1" si="39"/>
        <v>-272.26661886573856</v>
      </c>
      <c r="AF347" s="15"/>
    </row>
    <row r="348" spans="1:32" hidden="1">
      <c r="A348" s="1">
        <v>8641356</v>
      </c>
      <c r="B348" s="1" t="s">
        <v>653</v>
      </c>
      <c r="C348" t="s">
        <v>3579</v>
      </c>
      <c r="E348" s="2">
        <v>537001400040</v>
      </c>
      <c r="F348" s="1" t="s">
        <v>644</v>
      </c>
      <c r="G348" s="1" t="s">
        <v>53</v>
      </c>
      <c r="H348" s="1" t="s">
        <v>442</v>
      </c>
      <c r="I348" s="1" t="s">
        <v>443</v>
      </c>
      <c r="J348" s="1" t="s">
        <v>79</v>
      </c>
      <c r="K348" t="s">
        <v>645</v>
      </c>
      <c r="M348" s="1" t="s">
        <v>58</v>
      </c>
      <c r="N348" s="1">
        <v>0</v>
      </c>
      <c r="O348" s="1" t="s">
        <v>105</v>
      </c>
      <c r="P348" s="186">
        <v>44713.409641203703</v>
      </c>
      <c r="R348" s="1">
        <v>2</v>
      </c>
      <c r="T348" s="1" t="s">
        <v>646</v>
      </c>
      <c r="U348" s="186">
        <v>44714.409641203703</v>
      </c>
      <c r="V348" s="1" t="s">
        <v>41</v>
      </c>
      <c r="W348" s="1" t="s">
        <v>49</v>
      </c>
      <c r="X348" s="13" t="str">
        <f t="shared" si="40"/>
        <v/>
      </c>
      <c r="Y348" s="2">
        <f t="shared" ca="1" si="35"/>
        <v>196</v>
      </c>
      <c r="Z348" s="14">
        <v>1</v>
      </c>
      <c r="AA348" s="1" t="str">
        <f t="shared" ca="1" si="36"/>
        <v>VENCIDO</v>
      </c>
      <c r="AB348" s="1" t="str">
        <f t="shared" si="37"/>
        <v>SL-On</v>
      </c>
      <c r="AC348" s="2" t="str">
        <f t="shared" si="41"/>
        <v xml:space="preserve"> ROSEMERE </v>
      </c>
      <c r="AD348" s="2">
        <f t="shared" si="38"/>
        <v>1</v>
      </c>
      <c r="AE348" s="2">
        <f t="shared" ca="1" si="39"/>
        <v>-272.26663043981534</v>
      </c>
      <c r="AF348" s="15"/>
    </row>
    <row r="349" spans="1:32" hidden="1">
      <c r="A349" s="1">
        <v>8641265</v>
      </c>
      <c r="B349" s="1" t="s">
        <v>653</v>
      </c>
      <c r="C349" t="s">
        <v>3579</v>
      </c>
      <c r="E349" s="2">
        <v>446001400040</v>
      </c>
      <c r="F349" s="1" t="s">
        <v>644</v>
      </c>
      <c r="G349" s="1" t="s">
        <v>53</v>
      </c>
      <c r="H349" s="1" t="s">
        <v>432</v>
      </c>
      <c r="I349" s="1" t="s">
        <v>433</v>
      </c>
      <c r="J349" s="1" t="s">
        <v>110</v>
      </c>
      <c r="K349" t="s">
        <v>645</v>
      </c>
      <c r="M349" s="1" t="s">
        <v>58</v>
      </c>
      <c r="N349" s="1">
        <v>0</v>
      </c>
      <c r="O349" s="1" t="s">
        <v>105</v>
      </c>
      <c r="P349" s="186">
        <v>44713.409317129626</v>
      </c>
      <c r="R349" s="1">
        <v>3</v>
      </c>
      <c r="T349" s="1" t="s">
        <v>646</v>
      </c>
      <c r="U349" s="186">
        <v>44714.409328703703</v>
      </c>
      <c r="V349" s="1" t="s">
        <v>41</v>
      </c>
      <c r="W349" s="1" t="s">
        <v>49</v>
      </c>
      <c r="X349" s="13" t="str">
        <f t="shared" si="40"/>
        <v/>
      </c>
      <c r="Y349" s="2">
        <f t="shared" ca="1" si="35"/>
        <v>196</v>
      </c>
      <c r="Z349" s="14">
        <v>1</v>
      </c>
      <c r="AA349" s="1" t="str">
        <f t="shared" ca="1" si="36"/>
        <v>VENCIDO</v>
      </c>
      <c r="AB349" s="1" t="str">
        <f t="shared" si="37"/>
        <v>SL-On</v>
      </c>
      <c r="AC349" s="2" t="str">
        <f t="shared" si="41"/>
        <v xml:space="preserve"> CRISTINA </v>
      </c>
      <c r="AD349" s="2">
        <f t="shared" si="38"/>
        <v>1</v>
      </c>
      <c r="AE349" s="2">
        <f t="shared" ca="1" si="39"/>
        <v>-272.26694293981564</v>
      </c>
      <c r="AF349" s="15"/>
    </row>
    <row r="350" spans="1:32" hidden="1">
      <c r="A350" s="1">
        <v>8641027</v>
      </c>
      <c r="B350" s="1" t="s">
        <v>653</v>
      </c>
      <c r="C350" t="s">
        <v>3579</v>
      </c>
      <c r="E350" s="2">
        <v>233001400040</v>
      </c>
      <c r="F350" s="1" t="s">
        <v>644</v>
      </c>
      <c r="G350" s="1" t="s">
        <v>53</v>
      </c>
      <c r="H350" s="1" t="s">
        <v>424</v>
      </c>
      <c r="I350" s="1" t="s">
        <v>425</v>
      </c>
      <c r="J350" s="1" t="s">
        <v>261</v>
      </c>
      <c r="K350" t="s">
        <v>645</v>
      </c>
      <c r="M350" s="1" t="s">
        <v>58</v>
      </c>
      <c r="N350" s="1">
        <v>0</v>
      </c>
      <c r="O350" s="1" t="s">
        <v>105</v>
      </c>
      <c r="P350" s="186">
        <v>44713.408125000002</v>
      </c>
      <c r="R350" s="1">
        <v>2</v>
      </c>
      <c r="T350" s="1" t="s">
        <v>646</v>
      </c>
      <c r="U350" s="186">
        <v>44714.408125000002</v>
      </c>
      <c r="V350" s="1" t="s">
        <v>41</v>
      </c>
      <c r="W350" s="1" t="s">
        <v>49</v>
      </c>
      <c r="X350" s="13" t="str">
        <f t="shared" si="40"/>
        <v/>
      </c>
      <c r="Y350" s="2">
        <f t="shared" ca="1" si="35"/>
        <v>196</v>
      </c>
      <c r="Z350" s="14">
        <v>1</v>
      </c>
      <c r="AA350" s="1" t="str">
        <f t="shared" ca="1" si="36"/>
        <v>VENCIDO</v>
      </c>
      <c r="AB350" s="1" t="str">
        <f t="shared" si="37"/>
        <v>SL-On</v>
      </c>
      <c r="AC350" s="2" t="str">
        <f t="shared" si="41"/>
        <v xml:space="preserve"> CRISTINA </v>
      </c>
      <c r="AD350" s="2">
        <f t="shared" si="38"/>
        <v>1</v>
      </c>
      <c r="AE350" s="2">
        <f t="shared" ca="1" si="39"/>
        <v>-272.26814664351696</v>
      </c>
      <c r="AF350" s="15"/>
    </row>
    <row r="351" spans="1:32" hidden="1">
      <c r="A351" s="1">
        <v>8640672</v>
      </c>
      <c r="B351" s="1" t="s">
        <v>653</v>
      </c>
      <c r="C351" t="s">
        <v>3580</v>
      </c>
      <c r="E351" s="2">
        <v>7802341400030</v>
      </c>
      <c r="F351" s="1" t="s">
        <v>647</v>
      </c>
      <c r="G351" s="1" t="s">
        <v>53</v>
      </c>
      <c r="H351" s="1" t="s">
        <v>753</v>
      </c>
      <c r="I351" s="1" t="s">
        <v>754</v>
      </c>
      <c r="J351" s="1" t="s">
        <v>46</v>
      </c>
      <c r="K351" t="s">
        <v>650</v>
      </c>
      <c r="M351" s="1" t="s">
        <v>58</v>
      </c>
      <c r="N351" s="1">
        <v>0</v>
      </c>
      <c r="O351" s="1" t="s">
        <v>105</v>
      </c>
      <c r="P351" s="186">
        <v>44713.406956018516</v>
      </c>
      <c r="R351" s="1">
        <v>4</v>
      </c>
      <c r="T351" s="1" t="s">
        <v>646</v>
      </c>
      <c r="U351" s="186">
        <v>44714.406956018516</v>
      </c>
      <c r="V351" s="1" t="s">
        <v>41</v>
      </c>
      <c r="W351" s="1" t="s">
        <v>49</v>
      </c>
      <c r="X351" s="13" t="str">
        <f t="shared" si="40"/>
        <v>7802.34</v>
      </c>
      <c r="Y351" s="2">
        <f t="shared" ca="1" si="35"/>
        <v>196</v>
      </c>
      <c r="Z351" s="14">
        <v>1</v>
      </c>
      <c r="AA351" s="1" t="str">
        <f t="shared" ca="1" si="36"/>
        <v>VENCIDO</v>
      </c>
      <c r="AB351" s="1" t="str">
        <f t="shared" si="37"/>
        <v>C-14</v>
      </c>
      <c r="AC351" s="2" t="str">
        <f t="shared" si="41"/>
        <v xml:space="preserve"> CLEITON </v>
      </c>
      <c r="AD351" s="2">
        <f t="shared" si="38"/>
        <v>15</v>
      </c>
      <c r="AE351" s="2">
        <f t="shared" ca="1" si="39"/>
        <v>-272.26931562500249</v>
      </c>
      <c r="AF351" s="15"/>
    </row>
    <row r="352" spans="1:32" hidden="1">
      <c r="A352" s="1">
        <v>8640671</v>
      </c>
      <c r="B352" s="1" t="s">
        <v>653</v>
      </c>
      <c r="C352" t="s">
        <v>3580</v>
      </c>
      <c r="E352" s="2">
        <v>7802281400030</v>
      </c>
      <c r="F352" s="1" t="s">
        <v>647</v>
      </c>
      <c r="G352" s="1" t="s">
        <v>53</v>
      </c>
      <c r="H352" s="1" t="s">
        <v>757</v>
      </c>
      <c r="I352" s="1" t="s">
        <v>758</v>
      </c>
      <c r="J352" s="1" t="s">
        <v>46</v>
      </c>
      <c r="K352" t="s">
        <v>650</v>
      </c>
      <c r="M352" s="1" t="s">
        <v>58</v>
      </c>
      <c r="N352" s="1">
        <v>0</v>
      </c>
      <c r="O352" s="1" t="s">
        <v>105</v>
      </c>
      <c r="P352" s="186">
        <v>44713.406956018516</v>
      </c>
      <c r="R352" s="1">
        <v>4</v>
      </c>
      <c r="T352" s="1" t="s">
        <v>646</v>
      </c>
      <c r="U352" s="186">
        <v>44714.406956018516</v>
      </c>
      <c r="V352" s="1" t="s">
        <v>41</v>
      </c>
      <c r="W352" s="1" t="s">
        <v>49</v>
      </c>
      <c r="X352" s="13" t="str">
        <f t="shared" si="40"/>
        <v>7802.28</v>
      </c>
      <c r="Y352" s="2">
        <f t="shared" ca="1" si="35"/>
        <v>196</v>
      </c>
      <c r="Z352" s="14">
        <v>1</v>
      </c>
      <c r="AA352" s="1" t="str">
        <f t="shared" ca="1" si="36"/>
        <v>VENCIDO</v>
      </c>
      <c r="AB352" s="1" t="str">
        <f t="shared" si="37"/>
        <v>C-14</v>
      </c>
      <c r="AC352" s="2" t="str">
        <f t="shared" si="41"/>
        <v xml:space="preserve"> CLEITON </v>
      </c>
      <c r="AD352" s="2">
        <f t="shared" si="38"/>
        <v>15</v>
      </c>
      <c r="AE352" s="2">
        <f t="shared" ca="1" si="39"/>
        <v>-272.26931562500249</v>
      </c>
      <c r="AF352" s="15"/>
    </row>
    <row r="353" spans="1:32" hidden="1">
      <c r="A353" s="1">
        <v>8640670</v>
      </c>
      <c r="B353" s="1" t="s">
        <v>653</v>
      </c>
      <c r="C353" t="s">
        <v>3580</v>
      </c>
      <c r="E353" s="2">
        <v>7802221400030</v>
      </c>
      <c r="F353" s="1" t="s">
        <v>647</v>
      </c>
      <c r="G353" s="1" t="s">
        <v>53</v>
      </c>
      <c r="H353" s="1" t="s">
        <v>759</v>
      </c>
      <c r="I353" s="1" t="s">
        <v>760</v>
      </c>
      <c r="J353" s="1" t="s">
        <v>46</v>
      </c>
      <c r="K353" t="s">
        <v>650</v>
      </c>
      <c r="M353" s="1" t="s">
        <v>58</v>
      </c>
      <c r="N353" s="1">
        <v>0</v>
      </c>
      <c r="O353" s="1" t="s">
        <v>105</v>
      </c>
      <c r="P353" s="186">
        <v>44713.406956018516</v>
      </c>
      <c r="R353" s="1">
        <v>4</v>
      </c>
      <c r="T353" s="1" t="s">
        <v>646</v>
      </c>
      <c r="U353" s="186">
        <v>44714.406956018516</v>
      </c>
      <c r="V353" s="1" t="s">
        <v>41</v>
      </c>
      <c r="W353" s="1" t="s">
        <v>49</v>
      </c>
      <c r="X353" s="13" t="str">
        <f t="shared" si="40"/>
        <v>7802.22</v>
      </c>
      <c r="Y353" s="2">
        <f t="shared" ca="1" si="35"/>
        <v>196</v>
      </c>
      <c r="Z353" s="14">
        <v>1</v>
      </c>
      <c r="AA353" s="1" t="str">
        <f t="shared" ca="1" si="36"/>
        <v>VENCIDO</v>
      </c>
      <c r="AB353" s="1" t="str">
        <f t="shared" si="37"/>
        <v>C-14</v>
      </c>
      <c r="AC353" s="2" t="str">
        <f t="shared" si="41"/>
        <v xml:space="preserve"> CLEITON </v>
      </c>
      <c r="AD353" s="2">
        <f t="shared" si="38"/>
        <v>15</v>
      </c>
      <c r="AE353" s="2">
        <f t="shared" ca="1" si="39"/>
        <v>-272.26931562500249</v>
      </c>
      <c r="AF353" s="15"/>
    </row>
    <row r="354" spans="1:32" hidden="1">
      <c r="A354" s="1">
        <v>8640669</v>
      </c>
      <c r="B354" s="1" t="s">
        <v>653</v>
      </c>
      <c r="C354" t="s">
        <v>3580</v>
      </c>
      <c r="E354" s="2">
        <v>7802211400030</v>
      </c>
      <c r="F354" s="1" t="s">
        <v>647</v>
      </c>
      <c r="G354" s="1" t="s">
        <v>53</v>
      </c>
      <c r="H354" s="1" t="s">
        <v>761</v>
      </c>
      <c r="I354" s="1" t="s">
        <v>762</v>
      </c>
      <c r="J354" s="1" t="s">
        <v>46</v>
      </c>
      <c r="K354" t="s">
        <v>650</v>
      </c>
      <c r="M354" s="1" t="s">
        <v>58</v>
      </c>
      <c r="N354" s="1">
        <v>0</v>
      </c>
      <c r="O354" s="1" t="s">
        <v>105</v>
      </c>
      <c r="P354" s="186">
        <v>44713.406956018516</v>
      </c>
      <c r="R354" s="1">
        <v>4</v>
      </c>
      <c r="T354" s="1" t="s">
        <v>646</v>
      </c>
      <c r="U354" s="186">
        <v>44714.406956018516</v>
      </c>
      <c r="V354" s="1" t="s">
        <v>41</v>
      </c>
      <c r="W354" s="1" t="s">
        <v>49</v>
      </c>
      <c r="X354" s="13" t="str">
        <f t="shared" si="40"/>
        <v>7802.21</v>
      </c>
      <c r="Y354" s="2">
        <f t="shared" ca="1" si="35"/>
        <v>196</v>
      </c>
      <c r="Z354" s="14">
        <v>1</v>
      </c>
      <c r="AA354" s="1" t="str">
        <f t="shared" ca="1" si="36"/>
        <v>VENCIDO</v>
      </c>
      <c r="AB354" s="1" t="str">
        <f t="shared" si="37"/>
        <v>C-14</v>
      </c>
      <c r="AC354" s="2" t="str">
        <f t="shared" si="41"/>
        <v xml:space="preserve"> CLEITON </v>
      </c>
      <c r="AD354" s="2">
        <f t="shared" si="38"/>
        <v>15</v>
      </c>
      <c r="AE354" s="2">
        <f t="shared" ca="1" si="39"/>
        <v>-272.26931562500249</v>
      </c>
      <c r="AF354" s="15"/>
    </row>
    <row r="355" spans="1:32" hidden="1">
      <c r="A355" s="1">
        <v>8640668</v>
      </c>
      <c r="B355" s="1" t="s">
        <v>653</v>
      </c>
      <c r="C355" t="s">
        <v>3580</v>
      </c>
      <c r="E355" s="2">
        <v>7802191400030</v>
      </c>
      <c r="F355" s="1" t="s">
        <v>647</v>
      </c>
      <c r="G355" s="1" t="s">
        <v>53</v>
      </c>
      <c r="H355" s="1" t="s">
        <v>763</v>
      </c>
      <c r="I355" s="1" t="s">
        <v>764</v>
      </c>
      <c r="J355" s="1" t="s">
        <v>46</v>
      </c>
      <c r="K355" t="s">
        <v>650</v>
      </c>
      <c r="M355" s="1" t="s">
        <v>58</v>
      </c>
      <c r="N355" s="1">
        <v>0</v>
      </c>
      <c r="O355" s="1" t="s">
        <v>105</v>
      </c>
      <c r="P355" s="186">
        <v>44713.406944444447</v>
      </c>
      <c r="R355" s="1">
        <v>4</v>
      </c>
      <c r="T355" s="1" t="s">
        <v>646</v>
      </c>
      <c r="U355" s="186">
        <v>44714.406956018516</v>
      </c>
      <c r="V355" s="1" t="s">
        <v>41</v>
      </c>
      <c r="W355" s="1" t="s">
        <v>49</v>
      </c>
      <c r="X355" s="13" t="str">
        <f t="shared" si="40"/>
        <v>7802.19</v>
      </c>
      <c r="Y355" s="2">
        <f t="shared" ca="1" si="35"/>
        <v>196</v>
      </c>
      <c r="Z355" s="14">
        <v>1</v>
      </c>
      <c r="AA355" s="1" t="str">
        <f t="shared" ca="1" si="36"/>
        <v>VENCIDO</v>
      </c>
      <c r="AB355" s="1" t="str">
        <f t="shared" si="37"/>
        <v>C-14</v>
      </c>
      <c r="AC355" s="2" t="str">
        <f t="shared" si="41"/>
        <v xml:space="preserve"> CLEITON </v>
      </c>
      <c r="AD355" s="2">
        <f t="shared" si="38"/>
        <v>15</v>
      </c>
      <c r="AE355" s="2">
        <f t="shared" ca="1" si="39"/>
        <v>-272.26931562500249</v>
      </c>
      <c r="AF355" s="15"/>
    </row>
    <row r="356" spans="1:32" hidden="1">
      <c r="A356" s="1">
        <v>8640667</v>
      </c>
      <c r="B356" s="1" t="s">
        <v>653</v>
      </c>
      <c r="C356" t="s">
        <v>3580</v>
      </c>
      <c r="E356" s="2">
        <v>7802181400030</v>
      </c>
      <c r="F356" s="1" t="s">
        <v>647</v>
      </c>
      <c r="G356" s="1" t="s">
        <v>53</v>
      </c>
      <c r="H356" s="1" t="s">
        <v>766</v>
      </c>
      <c r="I356" s="1" t="s">
        <v>767</v>
      </c>
      <c r="J356" s="1" t="s">
        <v>46</v>
      </c>
      <c r="K356" t="s">
        <v>650</v>
      </c>
      <c r="M356" s="1" t="s">
        <v>58</v>
      </c>
      <c r="N356" s="1">
        <v>0</v>
      </c>
      <c r="O356" s="1" t="s">
        <v>105</v>
      </c>
      <c r="P356" s="186">
        <v>44713.406944444447</v>
      </c>
      <c r="R356" s="1">
        <v>4</v>
      </c>
      <c r="T356" s="1" t="s">
        <v>646</v>
      </c>
      <c r="U356" s="186">
        <v>44714.406944444447</v>
      </c>
      <c r="V356" s="1" t="s">
        <v>41</v>
      </c>
      <c r="W356" s="1" t="s">
        <v>49</v>
      </c>
      <c r="X356" s="13" t="str">
        <f t="shared" si="40"/>
        <v>7802.18</v>
      </c>
      <c r="Y356" s="2">
        <f t="shared" ca="1" si="35"/>
        <v>196</v>
      </c>
      <c r="Z356" s="14">
        <v>1</v>
      </c>
      <c r="AA356" s="1" t="str">
        <f t="shared" ca="1" si="36"/>
        <v>VENCIDO</v>
      </c>
      <c r="AB356" s="1" t="str">
        <f t="shared" si="37"/>
        <v>C-14</v>
      </c>
      <c r="AC356" s="2" t="str">
        <f t="shared" si="41"/>
        <v xml:space="preserve"> CLEITON </v>
      </c>
      <c r="AD356" s="2">
        <f t="shared" si="38"/>
        <v>15</v>
      </c>
      <c r="AE356" s="2">
        <f t="shared" ca="1" si="39"/>
        <v>-272.26932719907199</v>
      </c>
      <c r="AF356" s="15"/>
    </row>
    <row r="357" spans="1:32" hidden="1">
      <c r="A357" s="1">
        <v>8640666</v>
      </c>
      <c r="B357" s="1" t="s">
        <v>653</v>
      </c>
      <c r="C357" t="s">
        <v>3580</v>
      </c>
      <c r="E357" s="2">
        <v>7802171400030</v>
      </c>
      <c r="F357" s="1" t="s">
        <v>647</v>
      </c>
      <c r="G357" s="1" t="s">
        <v>53</v>
      </c>
      <c r="H357" s="1" t="s">
        <v>769</v>
      </c>
      <c r="I357" s="1" t="s">
        <v>770</v>
      </c>
      <c r="J357" s="1" t="s">
        <v>46</v>
      </c>
      <c r="K357" t="s">
        <v>650</v>
      </c>
      <c r="M357" s="1" t="s">
        <v>58</v>
      </c>
      <c r="N357" s="1">
        <v>0</v>
      </c>
      <c r="O357" s="1" t="s">
        <v>105</v>
      </c>
      <c r="P357" s="186">
        <v>44713.406944444447</v>
      </c>
      <c r="R357" s="1">
        <v>4</v>
      </c>
      <c r="T357" s="1" t="s">
        <v>646</v>
      </c>
      <c r="U357" s="186">
        <v>44714.406944444447</v>
      </c>
      <c r="V357" s="1" t="s">
        <v>41</v>
      </c>
      <c r="W357" s="1" t="s">
        <v>49</v>
      </c>
      <c r="X357" s="13" t="str">
        <f t="shared" si="40"/>
        <v>7802.17</v>
      </c>
      <c r="Y357" s="2">
        <f t="shared" ca="1" si="35"/>
        <v>196</v>
      </c>
      <c r="Z357" s="14">
        <v>1</v>
      </c>
      <c r="AA357" s="1" t="str">
        <f t="shared" ca="1" si="36"/>
        <v>VENCIDO</v>
      </c>
      <c r="AB357" s="1" t="str">
        <f t="shared" si="37"/>
        <v>C-14</v>
      </c>
      <c r="AC357" s="2" t="str">
        <f t="shared" si="41"/>
        <v xml:space="preserve"> CLEITON </v>
      </c>
      <c r="AD357" s="2">
        <f t="shared" si="38"/>
        <v>15</v>
      </c>
      <c r="AE357" s="2">
        <f t="shared" ca="1" si="39"/>
        <v>-272.26932719907199</v>
      </c>
      <c r="AF357" s="15"/>
    </row>
    <row r="358" spans="1:32" hidden="1">
      <c r="A358" s="1">
        <v>8640665</v>
      </c>
      <c r="B358" s="1" t="s">
        <v>653</v>
      </c>
      <c r="C358" t="s">
        <v>3580</v>
      </c>
      <c r="E358" s="2">
        <v>7802051400030</v>
      </c>
      <c r="F358" s="1" t="s">
        <v>647</v>
      </c>
      <c r="G358" s="1" t="s">
        <v>53</v>
      </c>
      <c r="H358" s="1" t="s">
        <v>771</v>
      </c>
      <c r="I358" s="1" t="s">
        <v>772</v>
      </c>
      <c r="J358" s="1" t="s">
        <v>46</v>
      </c>
      <c r="K358" t="s">
        <v>650</v>
      </c>
      <c r="M358" s="1" t="s">
        <v>58</v>
      </c>
      <c r="N358" s="1">
        <v>0</v>
      </c>
      <c r="O358" s="1" t="s">
        <v>36</v>
      </c>
      <c r="P358" s="186">
        <v>44713.406944444447</v>
      </c>
      <c r="R358" s="1">
        <v>4</v>
      </c>
      <c r="T358" s="1" t="s">
        <v>646</v>
      </c>
      <c r="U358" s="186">
        <v>44714.406944444447</v>
      </c>
      <c r="V358" s="1" t="s">
        <v>41</v>
      </c>
      <c r="W358" s="1" t="s">
        <v>49</v>
      </c>
      <c r="X358" s="13" t="str">
        <f t="shared" si="40"/>
        <v>7802.05</v>
      </c>
      <c r="Y358" s="2">
        <f t="shared" ca="1" si="35"/>
        <v>196</v>
      </c>
      <c r="Z358" s="14">
        <v>1</v>
      </c>
      <c r="AA358" s="1" t="str">
        <f t="shared" ca="1" si="36"/>
        <v>VENCIDO</v>
      </c>
      <c r="AB358" s="1" t="str">
        <f t="shared" si="37"/>
        <v>C-14</v>
      </c>
      <c r="AC358" s="2" t="str">
        <f t="shared" si="41"/>
        <v xml:space="preserve"> CLEITON </v>
      </c>
      <c r="AD358" s="2">
        <f t="shared" si="38"/>
        <v>15</v>
      </c>
      <c r="AE358" s="2">
        <f t="shared" ca="1" si="39"/>
        <v>-272.26932719907199</v>
      </c>
      <c r="AF358" s="15"/>
    </row>
    <row r="359" spans="1:32" hidden="1">
      <c r="A359" s="1">
        <v>8640664</v>
      </c>
      <c r="B359" s="1" t="s">
        <v>653</v>
      </c>
      <c r="C359" t="s">
        <v>3580</v>
      </c>
      <c r="E359" s="2">
        <v>7802041400030</v>
      </c>
      <c r="F359" s="1" t="s">
        <v>647</v>
      </c>
      <c r="G359" s="1" t="s">
        <v>53</v>
      </c>
      <c r="H359" s="1" t="s">
        <v>773</v>
      </c>
      <c r="I359" s="1" t="s">
        <v>774</v>
      </c>
      <c r="J359" s="1" t="s">
        <v>46</v>
      </c>
      <c r="K359" t="s">
        <v>650</v>
      </c>
      <c r="M359" s="1" t="s">
        <v>58</v>
      </c>
      <c r="N359" s="1">
        <v>0</v>
      </c>
      <c r="O359" s="1" t="s">
        <v>105</v>
      </c>
      <c r="P359" s="186">
        <v>44713.406944444447</v>
      </c>
      <c r="R359" s="1">
        <v>4</v>
      </c>
      <c r="T359" s="1" t="s">
        <v>646</v>
      </c>
      <c r="U359" s="186">
        <v>44714.406944444447</v>
      </c>
      <c r="V359" s="1" t="s">
        <v>41</v>
      </c>
      <c r="W359" s="1" t="s">
        <v>49</v>
      </c>
      <c r="X359" s="13" t="str">
        <f t="shared" si="40"/>
        <v>7802.04</v>
      </c>
      <c r="Y359" s="2">
        <f t="shared" ca="1" si="35"/>
        <v>196</v>
      </c>
      <c r="Z359" s="14">
        <v>1</v>
      </c>
      <c r="AA359" s="1" t="str">
        <f t="shared" ca="1" si="36"/>
        <v>VENCIDO</v>
      </c>
      <c r="AB359" s="1" t="str">
        <f t="shared" si="37"/>
        <v>C-14</v>
      </c>
      <c r="AC359" s="2" t="str">
        <f t="shared" si="41"/>
        <v xml:space="preserve"> CLEITON </v>
      </c>
      <c r="AD359" s="2">
        <f t="shared" si="38"/>
        <v>15</v>
      </c>
      <c r="AE359" s="2">
        <f t="shared" ca="1" si="39"/>
        <v>-272.26932719907199</v>
      </c>
      <c r="AF359" s="15"/>
    </row>
    <row r="360" spans="1:32" hidden="1">
      <c r="A360" s="1">
        <v>8640663</v>
      </c>
      <c r="B360" s="1" t="s">
        <v>653</v>
      </c>
      <c r="C360" t="s">
        <v>3580</v>
      </c>
      <c r="E360" s="2">
        <v>7802021400030</v>
      </c>
      <c r="F360" s="1" t="s">
        <v>647</v>
      </c>
      <c r="G360" s="1" t="s">
        <v>53</v>
      </c>
      <c r="H360" s="1" t="s">
        <v>775</v>
      </c>
      <c r="I360" s="1" t="s">
        <v>776</v>
      </c>
      <c r="J360" s="1" t="s">
        <v>46</v>
      </c>
      <c r="K360" t="s">
        <v>650</v>
      </c>
      <c r="M360" s="1" t="s">
        <v>58</v>
      </c>
      <c r="N360" s="1">
        <v>0</v>
      </c>
      <c r="O360" s="1" t="s">
        <v>36</v>
      </c>
      <c r="P360" s="186">
        <v>44713.406944444447</v>
      </c>
      <c r="R360" s="1">
        <v>4</v>
      </c>
      <c r="T360" s="1" t="s">
        <v>646</v>
      </c>
      <c r="U360" s="186">
        <v>44714.406944444447</v>
      </c>
      <c r="V360" s="1" t="s">
        <v>41</v>
      </c>
      <c r="W360" s="1" t="s">
        <v>49</v>
      </c>
      <c r="X360" s="13" t="str">
        <f t="shared" si="40"/>
        <v>7802.02</v>
      </c>
      <c r="Y360" s="2">
        <f t="shared" ca="1" si="35"/>
        <v>196</v>
      </c>
      <c r="Z360" s="14">
        <v>1</v>
      </c>
      <c r="AA360" s="1" t="str">
        <f t="shared" ca="1" si="36"/>
        <v>VENCIDO</v>
      </c>
      <c r="AB360" s="1" t="str">
        <f t="shared" si="37"/>
        <v>C-14</v>
      </c>
      <c r="AC360" s="2" t="str">
        <f t="shared" si="41"/>
        <v xml:space="preserve"> CLEITON </v>
      </c>
      <c r="AD360" s="2">
        <f t="shared" si="38"/>
        <v>15</v>
      </c>
      <c r="AE360" s="2">
        <f t="shared" ca="1" si="39"/>
        <v>-272.26932719907199</v>
      </c>
      <c r="AF360" s="15"/>
    </row>
    <row r="361" spans="1:32" hidden="1">
      <c r="A361" s="1">
        <v>8640662</v>
      </c>
      <c r="B361" s="1" t="s">
        <v>653</v>
      </c>
      <c r="C361" t="s">
        <v>3580</v>
      </c>
      <c r="E361" s="2">
        <v>7802011400030</v>
      </c>
      <c r="F361" s="1" t="s">
        <v>647</v>
      </c>
      <c r="G361" s="1" t="s">
        <v>53</v>
      </c>
      <c r="H361" s="1" t="s">
        <v>777</v>
      </c>
      <c r="I361" s="1" t="s">
        <v>778</v>
      </c>
      <c r="J361" s="1" t="s">
        <v>46</v>
      </c>
      <c r="K361" t="s">
        <v>650</v>
      </c>
      <c r="M361" s="1" t="s">
        <v>58</v>
      </c>
      <c r="N361" s="1">
        <v>0</v>
      </c>
      <c r="O361" s="1" t="s">
        <v>36</v>
      </c>
      <c r="P361" s="186">
        <v>44713.406944444447</v>
      </c>
      <c r="R361" s="1">
        <v>4</v>
      </c>
      <c r="T361" s="1" t="s">
        <v>646</v>
      </c>
      <c r="U361" s="186">
        <v>44714.406944444447</v>
      </c>
      <c r="V361" s="1" t="s">
        <v>41</v>
      </c>
      <c r="W361" s="1" t="s">
        <v>49</v>
      </c>
      <c r="X361" s="13" t="str">
        <f t="shared" si="40"/>
        <v>7802.01</v>
      </c>
      <c r="Y361" s="2">
        <f t="shared" ca="1" si="35"/>
        <v>196</v>
      </c>
      <c r="Z361" s="14">
        <v>1</v>
      </c>
      <c r="AA361" s="1" t="str">
        <f t="shared" ca="1" si="36"/>
        <v>VENCIDO</v>
      </c>
      <c r="AB361" s="1" t="str">
        <f t="shared" si="37"/>
        <v>C-14</v>
      </c>
      <c r="AC361" s="2" t="str">
        <f t="shared" si="41"/>
        <v xml:space="preserve"> CLEITON </v>
      </c>
      <c r="AD361" s="2">
        <f t="shared" si="38"/>
        <v>15</v>
      </c>
      <c r="AE361" s="2">
        <f t="shared" ca="1" si="39"/>
        <v>-272.26932719907199</v>
      </c>
      <c r="AF361" s="15"/>
    </row>
    <row r="362" spans="1:32" hidden="1">
      <c r="A362" s="1">
        <v>8640517</v>
      </c>
      <c r="B362" s="1" t="s">
        <v>653</v>
      </c>
      <c r="C362" t="s">
        <v>3580</v>
      </c>
      <c r="E362" s="2">
        <v>4890081400030</v>
      </c>
      <c r="F362" s="1" t="s">
        <v>647</v>
      </c>
      <c r="G362" s="1" t="s">
        <v>53</v>
      </c>
      <c r="H362" s="1" t="s">
        <v>779</v>
      </c>
      <c r="I362" s="1" t="s">
        <v>780</v>
      </c>
      <c r="J362" s="1" t="s">
        <v>46</v>
      </c>
      <c r="K362" t="s">
        <v>650</v>
      </c>
      <c r="M362" s="1" t="s">
        <v>58</v>
      </c>
      <c r="N362" s="1">
        <v>0</v>
      </c>
      <c r="O362" s="1" t="s">
        <v>105</v>
      </c>
      <c r="P362" s="186">
        <v>44713.406608796293</v>
      </c>
      <c r="R362" s="1">
        <v>4</v>
      </c>
      <c r="T362" s="1" t="s">
        <v>646</v>
      </c>
      <c r="U362" s="186">
        <v>44714.406608796293</v>
      </c>
      <c r="V362" s="1" t="s">
        <v>41</v>
      </c>
      <c r="W362" s="1" t="s">
        <v>49</v>
      </c>
      <c r="X362" s="13" t="str">
        <f t="shared" si="40"/>
        <v>4890.08</v>
      </c>
      <c r="Y362" s="2">
        <f t="shared" ca="1" si="35"/>
        <v>196</v>
      </c>
      <c r="Z362" s="14">
        <v>1</v>
      </c>
      <c r="AA362" s="1" t="str">
        <f t="shared" ca="1" si="36"/>
        <v>VENCIDO</v>
      </c>
      <c r="AB362" s="1" t="str">
        <f t="shared" si="37"/>
        <v>C-14</v>
      </c>
      <c r="AC362" s="2" t="str">
        <f t="shared" si="41"/>
        <v xml:space="preserve"> CLEITON </v>
      </c>
      <c r="AD362" s="2">
        <f t="shared" si="38"/>
        <v>15</v>
      </c>
      <c r="AE362" s="2">
        <f t="shared" ca="1" si="39"/>
        <v>-272.26966284722585</v>
      </c>
      <c r="AF362" s="15"/>
    </row>
    <row r="363" spans="1:32" hidden="1">
      <c r="A363" s="1">
        <v>8640516</v>
      </c>
      <c r="B363" s="1" t="s">
        <v>653</v>
      </c>
      <c r="C363" s="15" t="s">
        <v>3580</v>
      </c>
      <c r="E363" s="2">
        <v>4890071400030</v>
      </c>
      <c r="F363" s="1" t="s">
        <v>647</v>
      </c>
      <c r="G363" s="1" t="s">
        <v>53</v>
      </c>
      <c r="H363" s="1" t="s">
        <v>783</v>
      </c>
      <c r="I363" s="1" t="s">
        <v>784</v>
      </c>
      <c r="J363" s="1" t="s">
        <v>46</v>
      </c>
      <c r="K363" t="s">
        <v>650</v>
      </c>
      <c r="M363" s="1" t="s">
        <v>58</v>
      </c>
      <c r="N363" s="1">
        <v>0</v>
      </c>
      <c r="O363" s="1" t="s">
        <v>105</v>
      </c>
      <c r="P363" s="186">
        <v>44713.406608796293</v>
      </c>
      <c r="R363" s="1">
        <v>4</v>
      </c>
      <c r="T363" s="1" t="s">
        <v>646</v>
      </c>
      <c r="U363" s="186">
        <v>44714.406608796293</v>
      </c>
      <c r="V363" s="1" t="s">
        <v>41</v>
      </c>
      <c r="W363" s="1" t="s">
        <v>49</v>
      </c>
      <c r="X363" s="13" t="str">
        <f t="shared" si="40"/>
        <v>4890.07</v>
      </c>
      <c r="Y363" s="2">
        <f t="shared" ca="1" si="35"/>
        <v>196</v>
      </c>
      <c r="Z363" s="14">
        <v>1</v>
      </c>
      <c r="AA363" s="1" t="str">
        <f t="shared" ca="1" si="36"/>
        <v>VENCIDO</v>
      </c>
      <c r="AB363" s="1" t="str">
        <f t="shared" si="37"/>
        <v>C-14</v>
      </c>
      <c r="AC363" s="2" t="str">
        <f t="shared" si="41"/>
        <v xml:space="preserve"> CLEITON </v>
      </c>
      <c r="AD363" s="2">
        <f t="shared" si="38"/>
        <v>15</v>
      </c>
      <c r="AE363" s="2">
        <f t="shared" ca="1" si="39"/>
        <v>-272.26966284722585</v>
      </c>
      <c r="AF363" s="15"/>
    </row>
    <row r="364" spans="1:32" hidden="1">
      <c r="A364" s="1">
        <v>8640515</v>
      </c>
      <c r="B364" s="1" t="s">
        <v>653</v>
      </c>
      <c r="C364" t="s">
        <v>3580</v>
      </c>
      <c r="E364" s="2">
        <v>4890061400030</v>
      </c>
      <c r="F364" s="1" t="s">
        <v>647</v>
      </c>
      <c r="G364" s="1" t="s">
        <v>53</v>
      </c>
      <c r="H364" s="1" t="s">
        <v>785</v>
      </c>
      <c r="I364" s="1" t="s">
        <v>786</v>
      </c>
      <c r="J364" s="1" t="s">
        <v>46</v>
      </c>
      <c r="K364" t="s">
        <v>650</v>
      </c>
      <c r="M364" s="1" t="s">
        <v>58</v>
      </c>
      <c r="N364" s="1">
        <v>0</v>
      </c>
      <c r="O364" s="1" t="s">
        <v>105</v>
      </c>
      <c r="P364" s="186">
        <v>44713.406608796293</v>
      </c>
      <c r="R364" s="1">
        <v>4</v>
      </c>
      <c r="T364" s="1" t="s">
        <v>646</v>
      </c>
      <c r="U364" s="186">
        <v>44714.406608796293</v>
      </c>
      <c r="V364" s="1" t="s">
        <v>41</v>
      </c>
      <c r="W364" s="1" t="s">
        <v>49</v>
      </c>
      <c r="X364" s="13" t="str">
        <f t="shared" si="40"/>
        <v>4890.06</v>
      </c>
      <c r="Y364" s="2">
        <f t="shared" ca="1" si="35"/>
        <v>196</v>
      </c>
      <c r="Z364" s="14">
        <v>1</v>
      </c>
      <c r="AA364" s="1" t="str">
        <f t="shared" ca="1" si="36"/>
        <v>VENCIDO</v>
      </c>
      <c r="AB364" s="1" t="str">
        <f t="shared" si="37"/>
        <v>C-14</v>
      </c>
      <c r="AC364" s="2" t="str">
        <f t="shared" si="41"/>
        <v xml:space="preserve"> CLEITON </v>
      </c>
      <c r="AD364" s="2">
        <f t="shared" si="38"/>
        <v>15</v>
      </c>
      <c r="AE364" s="2">
        <f t="shared" ca="1" si="39"/>
        <v>-272.26966284722585</v>
      </c>
      <c r="AF364" s="15"/>
    </row>
    <row r="365" spans="1:32" hidden="1">
      <c r="A365" s="1">
        <v>8640514</v>
      </c>
      <c r="B365" s="1" t="s">
        <v>653</v>
      </c>
      <c r="C365" t="s">
        <v>3580</v>
      </c>
      <c r="E365" s="2">
        <v>4890051400030</v>
      </c>
      <c r="F365" s="1" t="s">
        <v>647</v>
      </c>
      <c r="G365" s="1" t="s">
        <v>53</v>
      </c>
      <c r="H365" s="1" t="s">
        <v>787</v>
      </c>
      <c r="I365" s="1" t="s">
        <v>788</v>
      </c>
      <c r="J365" s="1" t="s">
        <v>46</v>
      </c>
      <c r="K365" t="s">
        <v>650</v>
      </c>
      <c r="M365" s="1" t="s">
        <v>58</v>
      </c>
      <c r="N365" s="1">
        <v>0</v>
      </c>
      <c r="O365" s="1" t="s">
        <v>105</v>
      </c>
      <c r="P365" s="186">
        <v>44713.406597222223</v>
      </c>
      <c r="R365" s="1">
        <v>4</v>
      </c>
      <c r="T365" s="1" t="s">
        <v>646</v>
      </c>
      <c r="U365" s="186">
        <v>44714.406597222223</v>
      </c>
      <c r="V365" s="1" t="s">
        <v>41</v>
      </c>
      <c r="W365" s="1" t="s">
        <v>49</v>
      </c>
      <c r="X365" s="13" t="str">
        <f t="shared" si="40"/>
        <v>4890.05</v>
      </c>
      <c r="Y365" s="2">
        <f t="shared" ca="1" si="35"/>
        <v>196</v>
      </c>
      <c r="Z365" s="14">
        <v>1</v>
      </c>
      <c r="AA365" s="1" t="str">
        <f t="shared" ca="1" si="36"/>
        <v>VENCIDO</v>
      </c>
      <c r="AB365" s="1" t="str">
        <f t="shared" si="37"/>
        <v>C-14</v>
      </c>
      <c r="AC365" s="2" t="str">
        <f t="shared" si="41"/>
        <v xml:space="preserve"> CLEITON </v>
      </c>
      <c r="AD365" s="2">
        <f t="shared" si="38"/>
        <v>15</v>
      </c>
      <c r="AE365" s="2">
        <f t="shared" ca="1" si="39"/>
        <v>-272.26967442129535</v>
      </c>
      <c r="AF365" s="15"/>
    </row>
    <row r="366" spans="1:32" hidden="1">
      <c r="A366" s="1">
        <v>8640513</v>
      </c>
      <c r="B366" s="1" t="s">
        <v>653</v>
      </c>
      <c r="C366" t="s">
        <v>3580</v>
      </c>
      <c r="E366" s="2">
        <v>4890041400030</v>
      </c>
      <c r="F366" s="1" t="s">
        <v>647</v>
      </c>
      <c r="G366" s="1" t="s">
        <v>53</v>
      </c>
      <c r="H366" s="1" t="s">
        <v>791</v>
      </c>
      <c r="I366" s="1" t="s">
        <v>792</v>
      </c>
      <c r="J366" s="1" t="s">
        <v>46</v>
      </c>
      <c r="K366" t="s">
        <v>650</v>
      </c>
      <c r="M366" s="1" t="s">
        <v>58</v>
      </c>
      <c r="N366" s="1">
        <v>0</v>
      </c>
      <c r="O366" s="1" t="s">
        <v>105</v>
      </c>
      <c r="P366" s="186">
        <v>44713.406597222223</v>
      </c>
      <c r="R366" s="1">
        <v>4</v>
      </c>
      <c r="T366" s="1" t="s">
        <v>646</v>
      </c>
      <c r="U366" s="186">
        <v>44714.406597222223</v>
      </c>
      <c r="V366" s="1" t="s">
        <v>41</v>
      </c>
      <c r="W366" s="1" t="s">
        <v>49</v>
      </c>
      <c r="X366" s="13" t="str">
        <f t="shared" si="40"/>
        <v>4890.04</v>
      </c>
      <c r="Y366" s="2">
        <f t="shared" ca="1" si="35"/>
        <v>196</v>
      </c>
      <c r="Z366" s="14">
        <v>1</v>
      </c>
      <c r="AA366" s="1" t="str">
        <f t="shared" ca="1" si="36"/>
        <v>VENCIDO</v>
      </c>
      <c r="AB366" s="1" t="str">
        <f t="shared" si="37"/>
        <v>C-14</v>
      </c>
      <c r="AC366" s="2" t="str">
        <f t="shared" si="41"/>
        <v xml:space="preserve"> CLEITON </v>
      </c>
      <c r="AD366" s="2">
        <f t="shared" si="38"/>
        <v>15</v>
      </c>
      <c r="AE366" s="2">
        <f t="shared" ca="1" si="39"/>
        <v>-272.26967442129535</v>
      </c>
      <c r="AF366" s="15"/>
    </row>
    <row r="367" spans="1:32" hidden="1">
      <c r="A367" s="1">
        <v>8640512</v>
      </c>
      <c r="B367" s="1" t="s">
        <v>653</v>
      </c>
      <c r="C367" t="s">
        <v>3580</v>
      </c>
      <c r="E367" s="2">
        <v>4890031400030</v>
      </c>
      <c r="F367" s="1" t="s">
        <v>647</v>
      </c>
      <c r="G367" s="1" t="s">
        <v>53</v>
      </c>
      <c r="H367" s="1" t="s">
        <v>793</v>
      </c>
      <c r="I367" s="1" t="s">
        <v>794</v>
      </c>
      <c r="J367" s="1" t="s">
        <v>46</v>
      </c>
      <c r="K367" t="s">
        <v>650</v>
      </c>
      <c r="M367" s="1" t="s">
        <v>58</v>
      </c>
      <c r="N367" s="1">
        <v>0</v>
      </c>
      <c r="O367" s="1" t="s">
        <v>105</v>
      </c>
      <c r="P367" s="186">
        <v>44713.406597222223</v>
      </c>
      <c r="R367" s="1">
        <v>4</v>
      </c>
      <c r="T367" s="1" t="s">
        <v>646</v>
      </c>
      <c r="U367" s="186">
        <v>44714.406597222223</v>
      </c>
      <c r="V367" s="1" t="s">
        <v>41</v>
      </c>
      <c r="W367" s="1" t="s">
        <v>49</v>
      </c>
      <c r="X367" s="13" t="str">
        <f t="shared" si="40"/>
        <v>4890.03</v>
      </c>
      <c r="Y367" s="2">
        <f t="shared" ca="1" si="35"/>
        <v>196</v>
      </c>
      <c r="Z367" s="14">
        <v>1</v>
      </c>
      <c r="AA367" s="1" t="str">
        <f t="shared" ca="1" si="36"/>
        <v>VENCIDO</v>
      </c>
      <c r="AB367" s="1" t="str">
        <f t="shared" si="37"/>
        <v>C-14</v>
      </c>
      <c r="AC367" s="2" t="str">
        <f t="shared" si="41"/>
        <v xml:space="preserve"> CLEITON </v>
      </c>
      <c r="AD367" s="2">
        <f t="shared" si="38"/>
        <v>15</v>
      </c>
      <c r="AE367" s="2">
        <f t="shared" ca="1" si="39"/>
        <v>-272.26967442129535</v>
      </c>
      <c r="AF367" s="15"/>
    </row>
    <row r="368" spans="1:32" hidden="1">
      <c r="A368" s="1">
        <v>8640367</v>
      </c>
      <c r="B368" s="1" t="s">
        <v>653</v>
      </c>
      <c r="C368" t="s">
        <v>3580</v>
      </c>
      <c r="E368" s="2">
        <v>3237011400030</v>
      </c>
      <c r="F368" s="1" t="s">
        <v>647</v>
      </c>
      <c r="G368" s="1" t="s">
        <v>53</v>
      </c>
      <c r="H368" s="1" t="s">
        <v>795</v>
      </c>
      <c r="I368" s="1" t="s">
        <v>796</v>
      </c>
      <c r="J368" s="1" t="s">
        <v>46</v>
      </c>
      <c r="K368" t="s">
        <v>650</v>
      </c>
      <c r="M368" s="1" t="s">
        <v>58</v>
      </c>
      <c r="N368" s="1">
        <v>0</v>
      </c>
      <c r="O368" s="1" t="s">
        <v>105</v>
      </c>
      <c r="P368" s="186">
        <v>44713.406099537038</v>
      </c>
      <c r="R368" s="1">
        <v>4</v>
      </c>
      <c r="T368" s="1" t="s">
        <v>646</v>
      </c>
      <c r="U368" s="186">
        <v>44714.406099537038</v>
      </c>
      <c r="V368" s="1" t="s">
        <v>41</v>
      </c>
      <c r="W368" s="1" t="s">
        <v>49</v>
      </c>
      <c r="X368" s="13" t="str">
        <f t="shared" si="40"/>
        <v>3237.01</v>
      </c>
      <c r="Y368" s="2">
        <f t="shared" ca="1" si="35"/>
        <v>196</v>
      </c>
      <c r="Z368" s="14">
        <v>1</v>
      </c>
      <c r="AA368" s="1" t="str">
        <f t="shared" ca="1" si="36"/>
        <v>VENCIDO</v>
      </c>
      <c r="AB368" s="1" t="str">
        <f t="shared" si="37"/>
        <v>C-14</v>
      </c>
      <c r="AC368" s="2" t="str">
        <f t="shared" si="41"/>
        <v xml:space="preserve"> CLEITON </v>
      </c>
      <c r="AD368" s="2">
        <f t="shared" si="38"/>
        <v>15</v>
      </c>
      <c r="AE368" s="2">
        <f t="shared" ca="1" si="39"/>
        <v>-272.27017210648046</v>
      </c>
      <c r="AF368" s="15"/>
    </row>
    <row r="369" spans="1:32" hidden="1">
      <c r="A369" s="1">
        <v>8640366</v>
      </c>
      <c r="B369" s="1" t="s">
        <v>653</v>
      </c>
      <c r="C369" t="s">
        <v>3580</v>
      </c>
      <c r="E369" s="2">
        <v>3234171400030</v>
      </c>
      <c r="F369" s="1" t="s">
        <v>647</v>
      </c>
      <c r="G369" s="1" t="s">
        <v>53</v>
      </c>
      <c r="H369" s="1" t="s">
        <v>799</v>
      </c>
      <c r="I369" s="1" t="s">
        <v>800</v>
      </c>
      <c r="J369" s="1" t="s">
        <v>46</v>
      </c>
      <c r="K369" t="s">
        <v>650</v>
      </c>
      <c r="M369" s="1" t="s">
        <v>58</v>
      </c>
      <c r="N369" s="1">
        <v>0</v>
      </c>
      <c r="O369" s="1" t="s">
        <v>105</v>
      </c>
      <c r="P369" s="186">
        <v>44713.406099537038</v>
      </c>
      <c r="R369" s="1">
        <v>4</v>
      </c>
      <c r="T369" s="1" t="s">
        <v>646</v>
      </c>
      <c r="U369" s="186">
        <v>44714.406099537038</v>
      </c>
      <c r="V369" s="1" t="s">
        <v>41</v>
      </c>
      <c r="W369" s="1" t="s">
        <v>49</v>
      </c>
      <c r="X369" s="13" t="str">
        <f t="shared" si="40"/>
        <v>3234.17</v>
      </c>
      <c r="Y369" s="2">
        <f t="shared" ca="1" si="35"/>
        <v>196</v>
      </c>
      <c r="Z369" s="14">
        <v>1</v>
      </c>
      <c r="AA369" s="1" t="str">
        <f t="shared" ca="1" si="36"/>
        <v>VENCIDO</v>
      </c>
      <c r="AB369" s="1" t="str">
        <f t="shared" si="37"/>
        <v>C-14</v>
      </c>
      <c r="AC369" s="2" t="str">
        <f t="shared" si="41"/>
        <v xml:space="preserve"> CLEITON </v>
      </c>
      <c r="AD369" s="2">
        <f t="shared" si="38"/>
        <v>15</v>
      </c>
      <c r="AE369" s="2">
        <f t="shared" ca="1" si="39"/>
        <v>-272.27017210648046</v>
      </c>
      <c r="AF369" s="15"/>
    </row>
    <row r="370" spans="1:32" hidden="1">
      <c r="A370" s="1">
        <v>8640364</v>
      </c>
      <c r="B370" s="1" t="s">
        <v>653</v>
      </c>
      <c r="C370" t="s">
        <v>3580</v>
      </c>
      <c r="E370" s="2">
        <v>3234151400030</v>
      </c>
      <c r="F370" s="1" t="s">
        <v>647</v>
      </c>
      <c r="G370" s="1" t="s">
        <v>53</v>
      </c>
      <c r="H370" s="1" t="s">
        <v>629</v>
      </c>
      <c r="I370" s="1" t="s">
        <v>630</v>
      </c>
      <c r="J370" s="1" t="s">
        <v>46</v>
      </c>
      <c r="K370" t="s">
        <v>650</v>
      </c>
      <c r="M370" s="1" t="s">
        <v>58</v>
      </c>
      <c r="N370" s="1">
        <v>0</v>
      </c>
      <c r="O370" s="1" t="s">
        <v>105</v>
      </c>
      <c r="P370" s="186">
        <v>44713.406099537038</v>
      </c>
      <c r="R370" s="1">
        <v>4</v>
      </c>
      <c r="T370" s="1" t="s">
        <v>646</v>
      </c>
      <c r="U370" s="186">
        <v>44714.406099537038</v>
      </c>
      <c r="V370" s="1" t="s">
        <v>41</v>
      </c>
      <c r="W370" s="1" t="s">
        <v>49</v>
      </c>
      <c r="X370" s="13" t="str">
        <f t="shared" si="40"/>
        <v>3234.15</v>
      </c>
      <c r="Y370" s="2">
        <f t="shared" ca="1" si="35"/>
        <v>196</v>
      </c>
      <c r="Z370" s="14">
        <v>1</v>
      </c>
      <c r="AA370" s="1" t="str">
        <f t="shared" ca="1" si="36"/>
        <v>VENCIDO</v>
      </c>
      <c r="AB370" s="1" t="str">
        <f t="shared" si="37"/>
        <v>C-14</v>
      </c>
      <c r="AC370" s="2" t="str">
        <f t="shared" si="41"/>
        <v xml:space="preserve"> CLEITON </v>
      </c>
      <c r="AD370" s="2">
        <f t="shared" si="38"/>
        <v>15</v>
      </c>
      <c r="AE370" s="2">
        <f t="shared" ca="1" si="39"/>
        <v>-272.27017210648046</v>
      </c>
      <c r="AF370" s="15"/>
    </row>
    <row r="371" spans="1:32" hidden="1">
      <c r="A371" s="1">
        <v>8640315</v>
      </c>
      <c r="B371" s="1" t="s">
        <v>653</v>
      </c>
      <c r="C371" t="s">
        <v>3580</v>
      </c>
      <c r="E371" s="2">
        <v>2889031400030</v>
      </c>
      <c r="F371" s="1" t="s">
        <v>647</v>
      </c>
      <c r="G371" s="1" t="s">
        <v>53</v>
      </c>
      <c r="H371" s="1" t="s">
        <v>801</v>
      </c>
      <c r="I371" s="1" t="s">
        <v>802</v>
      </c>
      <c r="J371" s="1" t="s">
        <v>46</v>
      </c>
      <c r="K371" t="s">
        <v>650</v>
      </c>
      <c r="M371" s="1" t="s">
        <v>58</v>
      </c>
      <c r="N371" s="1">
        <v>0</v>
      </c>
      <c r="O371" s="1" t="s">
        <v>105</v>
      </c>
      <c r="P371" s="186">
        <v>44713.406030092592</v>
      </c>
      <c r="R371" s="1">
        <v>4</v>
      </c>
      <c r="T371" s="1" t="s">
        <v>646</v>
      </c>
      <c r="U371" s="186">
        <v>44714.406041666669</v>
      </c>
      <c r="V371" s="1" t="s">
        <v>41</v>
      </c>
      <c r="W371" s="1" t="s">
        <v>49</v>
      </c>
      <c r="X371" s="13" t="str">
        <f t="shared" si="40"/>
        <v>2889.03</v>
      </c>
      <c r="Y371" s="2">
        <f t="shared" ca="1" si="35"/>
        <v>196</v>
      </c>
      <c r="Z371" s="14">
        <v>1</v>
      </c>
      <c r="AA371" s="1" t="str">
        <f t="shared" ca="1" si="36"/>
        <v>VENCIDO</v>
      </c>
      <c r="AB371" s="1" t="str">
        <f t="shared" si="37"/>
        <v>C-14</v>
      </c>
      <c r="AC371" s="2" t="str">
        <f t="shared" si="41"/>
        <v xml:space="preserve"> CLEITON </v>
      </c>
      <c r="AD371" s="2">
        <f t="shared" si="38"/>
        <v>15</v>
      </c>
      <c r="AE371" s="2">
        <f t="shared" ca="1" si="39"/>
        <v>-272.27022997684981</v>
      </c>
      <c r="AF371" s="15"/>
    </row>
    <row r="372" spans="1:32" hidden="1">
      <c r="A372" s="1">
        <v>8640314</v>
      </c>
      <c r="B372" s="1" t="s">
        <v>653</v>
      </c>
      <c r="C372" t="s">
        <v>3580</v>
      </c>
      <c r="E372" s="2">
        <v>2889011400030</v>
      </c>
      <c r="F372" s="1" t="s">
        <v>647</v>
      </c>
      <c r="G372" s="1" t="s">
        <v>53</v>
      </c>
      <c r="H372" s="1" t="s">
        <v>805</v>
      </c>
      <c r="I372" s="1" t="s">
        <v>806</v>
      </c>
      <c r="J372" s="1" t="s">
        <v>46</v>
      </c>
      <c r="K372" t="s">
        <v>650</v>
      </c>
      <c r="M372" s="1" t="s">
        <v>58</v>
      </c>
      <c r="N372" s="1">
        <v>0</v>
      </c>
      <c r="O372" s="1" t="s">
        <v>105</v>
      </c>
      <c r="P372" s="186">
        <v>44713.406030092592</v>
      </c>
      <c r="R372" s="1">
        <v>4</v>
      </c>
      <c r="T372" s="1" t="s">
        <v>646</v>
      </c>
      <c r="U372" s="186">
        <v>44714.406030092592</v>
      </c>
      <c r="V372" s="1" t="s">
        <v>41</v>
      </c>
      <c r="W372" s="1" t="s">
        <v>49</v>
      </c>
      <c r="X372" s="13" t="str">
        <f t="shared" si="40"/>
        <v>2889.01</v>
      </c>
      <c r="Y372" s="2">
        <f t="shared" ca="1" si="35"/>
        <v>196</v>
      </c>
      <c r="Z372" s="14">
        <v>1</v>
      </c>
      <c r="AA372" s="1" t="str">
        <f t="shared" ca="1" si="36"/>
        <v>VENCIDO</v>
      </c>
      <c r="AB372" s="1" t="str">
        <f t="shared" si="37"/>
        <v>C-14</v>
      </c>
      <c r="AC372" s="2" t="str">
        <f t="shared" si="41"/>
        <v xml:space="preserve"> CLEITON </v>
      </c>
      <c r="AD372" s="2">
        <f t="shared" si="38"/>
        <v>15</v>
      </c>
      <c r="AE372" s="2">
        <f t="shared" ca="1" si="39"/>
        <v>-272.27024155092658</v>
      </c>
      <c r="AF372" s="15"/>
    </row>
    <row r="373" spans="1:32" hidden="1">
      <c r="A373" s="1">
        <v>8640259</v>
      </c>
      <c r="B373" s="1" t="s">
        <v>653</v>
      </c>
      <c r="C373" t="s">
        <v>3580</v>
      </c>
      <c r="E373" s="2">
        <v>2365131400030</v>
      </c>
      <c r="F373" s="1" t="s">
        <v>647</v>
      </c>
      <c r="G373" s="1" t="s">
        <v>53</v>
      </c>
      <c r="H373" s="1" t="s">
        <v>807</v>
      </c>
      <c r="I373" s="1" t="s">
        <v>808</v>
      </c>
      <c r="J373" s="1" t="s">
        <v>46</v>
      </c>
      <c r="K373" t="s">
        <v>650</v>
      </c>
      <c r="M373" s="1" t="s">
        <v>58</v>
      </c>
      <c r="N373" s="1">
        <v>0</v>
      </c>
      <c r="O373" s="1" t="s">
        <v>105</v>
      </c>
      <c r="P373" s="186">
        <v>44713.405856481484</v>
      </c>
      <c r="R373" s="1">
        <v>4</v>
      </c>
      <c r="T373" s="1" t="s">
        <v>646</v>
      </c>
      <c r="U373" s="186">
        <v>44714.405856481484</v>
      </c>
      <c r="V373" s="1" t="s">
        <v>41</v>
      </c>
      <c r="W373" s="1" t="s">
        <v>49</v>
      </c>
      <c r="X373" s="13" t="str">
        <f t="shared" si="40"/>
        <v>2365.13</v>
      </c>
      <c r="Y373" s="2">
        <f t="shared" ca="1" si="35"/>
        <v>196</v>
      </c>
      <c r="Z373" s="14">
        <v>1</v>
      </c>
      <c r="AA373" s="1" t="str">
        <f t="shared" ca="1" si="36"/>
        <v>VENCIDO</v>
      </c>
      <c r="AB373" s="1" t="str">
        <f t="shared" si="37"/>
        <v>C-14</v>
      </c>
      <c r="AC373" s="2" t="str">
        <f t="shared" si="41"/>
        <v xml:space="preserve"> CLEITON </v>
      </c>
      <c r="AD373" s="2">
        <f t="shared" si="38"/>
        <v>15</v>
      </c>
      <c r="AE373" s="2">
        <f t="shared" ca="1" si="39"/>
        <v>-272.27041516203462</v>
      </c>
      <c r="AF373" s="15"/>
    </row>
    <row r="374" spans="1:32" hidden="1">
      <c r="A374" s="1">
        <v>8640213</v>
      </c>
      <c r="B374" s="1" t="s">
        <v>653</v>
      </c>
      <c r="C374" t="s">
        <v>3580</v>
      </c>
      <c r="E374" s="2">
        <v>1833041400030</v>
      </c>
      <c r="F374" s="1" t="s">
        <v>647</v>
      </c>
      <c r="G374" s="1" t="s">
        <v>53</v>
      </c>
      <c r="H374" s="1" t="s">
        <v>811</v>
      </c>
      <c r="I374" s="1" t="s">
        <v>812</v>
      </c>
      <c r="J374" s="1" t="s">
        <v>46</v>
      </c>
      <c r="K374" t="s">
        <v>650</v>
      </c>
      <c r="M374" s="1" t="s">
        <v>58</v>
      </c>
      <c r="N374" s="1">
        <v>0</v>
      </c>
      <c r="O374" s="1" t="s">
        <v>105</v>
      </c>
      <c r="P374" s="186">
        <v>44713.405787037038</v>
      </c>
      <c r="R374" s="1">
        <v>4</v>
      </c>
      <c r="T374" s="1" t="s">
        <v>646</v>
      </c>
      <c r="U374" s="186">
        <v>44714.405787037038</v>
      </c>
      <c r="V374" s="1" t="s">
        <v>41</v>
      </c>
      <c r="W374" s="1" t="s">
        <v>49</v>
      </c>
      <c r="X374" s="13" t="str">
        <f t="shared" si="40"/>
        <v>1833.04</v>
      </c>
      <c r="Y374" s="2">
        <f t="shared" ca="1" si="35"/>
        <v>196</v>
      </c>
      <c r="Z374" s="14">
        <v>1</v>
      </c>
      <c r="AA374" s="1" t="str">
        <f t="shared" ca="1" si="36"/>
        <v>VENCIDO</v>
      </c>
      <c r="AB374" s="1" t="str">
        <f t="shared" si="37"/>
        <v>C-14</v>
      </c>
      <c r="AC374" s="2" t="str">
        <f t="shared" si="41"/>
        <v xml:space="preserve"> CLEITON </v>
      </c>
      <c r="AD374" s="2">
        <f t="shared" si="38"/>
        <v>15</v>
      </c>
      <c r="AE374" s="2">
        <f t="shared" ca="1" si="39"/>
        <v>-272.27048460648075</v>
      </c>
      <c r="AF374" s="15"/>
    </row>
    <row r="375" spans="1:32" hidden="1">
      <c r="A375" s="1">
        <v>8640115</v>
      </c>
      <c r="B375" s="1" t="s">
        <v>653</v>
      </c>
      <c r="C375" t="s">
        <v>3580</v>
      </c>
      <c r="E375" s="2">
        <v>1120011400030</v>
      </c>
      <c r="F375" s="1" t="s">
        <v>647</v>
      </c>
      <c r="G375" s="1" t="s">
        <v>53</v>
      </c>
      <c r="H375" s="1" t="s">
        <v>648</v>
      </c>
      <c r="I375" s="1" t="s">
        <v>649</v>
      </c>
      <c r="J375" s="1" t="s">
        <v>164</v>
      </c>
      <c r="K375" t="s">
        <v>650</v>
      </c>
      <c r="M375" s="1" t="s">
        <v>58</v>
      </c>
      <c r="N375" s="1">
        <v>0</v>
      </c>
      <c r="O375" s="1" t="s">
        <v>105</v>
      </c>
      <c r="P375" s="186">
        <v>44713.405532407407</v>
      </c>
      <c r="R375" s="1">
        <v>4</v>
      </c>
      <c r="T375" s="1" t="s">
        <v>646</v>
      </c>
      <c r="U375" s="186">
        <v>44714.405532407407</v>
      </c>
      <c r="V375" s="1" t="s">
        <v>41</v>
      </c>
      <c r="W375" s="1" t="s">
        <v>49</v>
      </c>
      <c r="X375" s="13" t="str">
        <f t="shared" si="40"/>
        <v>1120.01</v>
      </c>
      <c r="Y375" s="2">
        <f t="shared" ca="1" si="35"/>
        <v>196</v>
      </c>
      <c r="Z375" s="14">
        <v>1</v>
      </c>
      <c r="AA375" s="1" t="str">
        <f t="shared" ca="1" si="36"/>
        <v>VENCIDO</v>
      </c>
      <c r="AB375" s="1" t="str">
        <f t="shared" si="37"/>
        <v>C-14</v>
      </c>
      <c r="AC375" s="2" t="str">
        <f t="shared" si="41"/>
        <v xml:space="preserve"> ROSEMERE </v>
      </c>
      <c r="AD375" s="2">
        <f t="shared" si="38"/>
        <v>15</v>
      </c>
      <c r="AE375" s="2">
        <f t="shared" ca="1" si="39"/>
        <v>-272.27073923611169</v>
      </c>
      <c r="AF375" s="15"/>
    </row>
    <row r="376" spans="1:32" hidden="1">
      <c r="A376" s="1">
        <v>8640085</v>
      </c>
      <c r="B376" s="1" t="s">
        <v>653</v>
      </c>
      <c r="C376" t="s">
        <v>3580</v>
      </c>
      <c r="E376" s="2">
        <v>821071400030</v>
      </c>
      <c r="F376" s="1" t="s">
        <v>647</v>
      </c>
      <c r="G376" s="1" t="s">
        <v>53</v>
      </c>
      <c r="H376" s="1" t="s">
        <v>817</v>
      </c>
      <c r="I376" s="1" t="s">
        <v>818</v>
      </c>
      <c r="J376" s="1" t="s">
        <v>46</v>
      </c>
      <c r="K376" t="s">
        <v>650</v>
      </c>
      <c r="M376" s="1" t="s">
        <v>58</v>
      </c>
      <c r="N376" s="1">
        <v>0</v>
      </c>
      <c r="O376" s="1" t="s">
        <v>105</v>
      </c>
      <c r="P376" s="186">
        <v>44713.405486111114</v>
      </c>
      <c r="R376" s="1">
        <v>4</v>
      </c>
      <c r="T376" s="1" t="s">
        <v>646</v>
      </c>
      <c r="U376" s="186">
        <v>44714.405486111114</v>
      </c>
      <c r="V376" s="1" t="s">
        <v>41</v>
      </c>
      <c r="W376" s="1" t="s">
        <v>49</v>
      </c>
      <c r="X376" s="13" t="str">
        <f t="shared" si="40"/>
        <v>0821.07</v>
      </c>
      <c r="Y376" s="2">
        <f t="shared" ca="1" si="35"/>
        <v>196</v>
      </c>
      <c r="Z376" s="14">
        <v>1</v>
      </c>
      <c r="AA376" s="1" t="str">
        <f t="shared" ca="1" si="36"/>
        <v>VENCIDO</v>
      </c>
      <c r="AB376" s="1" t="str">
        <f t="shared" si="37"/>
        <v>C-14</v>
      </c>
      <c r="AC376" s="2" t="str">
        <f t="shared" si="41"/>
        <v xml:space="preserve"> CLEITON </v>
      </c>
      <c r="AD376" s="2">
        <f t="shared" si="38"/>
        <v>15</v>
      </c>
      <c r="AE376" s="2">
        <f t="shared" ca="1" si="39"/>
        <v>-272.27078553240426</v>
      </c>
      <c r="AF376" s="15"/>
    </row>
    <row r="377" spans="1:32" hidden="1">
      <c r="A377" s="1">
        <v>8640000</v>
      </c>
      <c r="B377" s="1" t="s">
        <v>653</v>
      </c>
      <c r="C377" t="s">
        <v>3580</v>
      </c>
      <c r="E377" s="2">
        <v>325091400030</v>
      </c>
      <c r="F377" s="1" t="s">
        <v>647</v>
      </c>
      <c r="G377" s="1" t="s">
        <v>53</v>
      </c>
      <c r="H377" s="1" t="s">
        <v>821</v>
      </c>
      <c r="I377" s="1" t="s">
        <v>822</v>
      </c>
      <c r="J377" s="1" t="s">
        <v>46</v>
      </c>
      <c r="K377" t="s">
        <v>650</v>
      </c>
      <c r="M377" s="1" t="s">
        <v>58</v>
      </c>
      <c r="N377" s="1">
        <v>0</v>
      </c>
      <c r="O377" s="1" t="s">
        <v>105</v>
      </c>
      <c r="P377" s="186">
        <v>44713.405138888891</v>
      </c>
      <c r="R377" s="1">
        <v>4</v>
      </c>
      <c r="T377" s="1" t="s">
        <v>646</v>
      </c>
      <c r="U377" s="186">
        <v>44714.405138888891</v>
      </c>
      <c r="V377" s="1" t="s">
        <v>41</v>
      </c>
      <c r="W377" s="1" t="s">
        <v>49</v>
      </c>
      <c r="X377" s="13" t="str">
        <f t="shared" si="40"/>
        <v>0325.09</v>
      </c>
      <c r="Y377" s="2">
        <f t="shared" ca="1" si="35"/>
        <v>196</v>
      </c>
      <c r="Z377" s="14">
        <v>1</v>
      </c>
      <c r="AA377" s="1" t="str">
        <f t="shared" ca="1" si="36"/>
        <v>VENCIDO</v>
      </c>
      <c r="AB377" s="1" t="str">
        <f t="shared" si="37"/>
        <v>C-14</v>
      </c>
      <c r="AC377" s="2" t="str">
        <f t="shared" si="41"/>
        <v xml:space="preserve"> CLEITON </v>
      </c>
      <c r="AD377" s="2">
        <f t="shared" si="38"/>
        <v>15</v>
      </c>
      <c r="AE377" s="2">
        <f t="shared" ca="1" si="39"/>
        <v>-272.27113275462762</v>
      </c>
      <c r="AF377" s="15"/>
    </row>
    <row r="378" spans="1:32" hidden="1">
      <c r="A378" s="1">
        <v>8639902</v>
      </c>
      <c r="B378" s="1" t="s">
        <v>653</v>
      </c>
      <c r="C378" t="s">
        <v>3580</v>
      </c>
      <c r="E378" s="2">
        <v>69161400030</v>
      </c>
      <c r="F378" s="1" t="s">
        <v>647</v>
      </c>
      <c r="G378" s="1" t="s">
        <v>53</v>
      </c>
      <c r="H378" s="1" t="s">
        <v>234</v>
      </c>
      <c r="I378" s="1" t="s">
        <v>235</v>
      </c>
      <c r="J378" s="1" t="s">
        <v>33</v>
      </c>
      <c r="K378" t="s">
        <v>650</v>
      </c>
      <c r="M378" s="1" t="s">
        <v>58</v>
      </c>
      <c r="N378" s="1">
        <v>0</v>
      </c>
      <c r="O378" s="1" t="s">
        <v>105</v>
      </c>
      <c r="P378" s="186">
        <v>44713.404826388891</v>
      </c>
      <c r="R378" s="1">
        <v>4</v>
      </c>
      <c r="T378" s="1" t="s">
        <v>646</v>
      </c>
      <c r="U378" s="186">
        <v>44714.404826388891</v>
      </c>
      <c r="V378" s="1" t="s">
        <v>41</v>
      </c>
      <c r="W378" s="1" t="s">
        <v>42</v>
      </c>
      <c r="X378" s="13" t="str">
        <f t="shared" si="40"/>
        <v>0069.16</v>
      </c>
      <c r="Y378" s="2">
        <f t="shared" ca="1" si="35"/>
        <v>196</v>
      </c>
      <c r="Z378" s="14">
        <v>1</v>
      </c>
      <c r="AA378" s="1" t="str">
        <f t="shared" ca="1" si="36"/>
        <v>VENCIDO</v>
      </c>
      <c r="AB378" s="1" t="str">
        <f t="shared" si="37"/>
        <v>C-14</v>
      </c>
      <c r="AC378" s="2" t="str">
        <f t="shared" si="41"/>
        <v xml:space="preserve"> ROSEMERE </v>
      </c>
      <c r="AD378" s="2">
        <f t="shared" si="38"/>
        <v>15</v>
      </c>
      <c r="AE378" s="2">
        <f t="shared" ca="1" si="39"/>
        <v>-272.27144525462791</v>
      </c>
      <c r="AF378" s="15"/>
    </row>
    <row r="379" spans="1:32" hidden="1">
      <c r="A379" s="1">
        <v>8639870</v>
      </c>
      <c r="B379" s="1" t="s">
        <v>653</v>
      </c>
      <c r="C379" t="s">
        <v>3580</v>
      </c>
      <c r="E379" s="2">
        <v>7651400030</v>
      </c>
      <c r="F379" s="1" t="s">
        <v>647</v>
      </c>
      <c r="G379" s="1" t="s">
        <v>53</v>
      </c>
      <c r="H379" s="1" t="s">
        <v>827</v>
      </c>
      <c r="I379" s="1" t="s">
        <v>828</v>
      </c>
      <c r="J379" s="1" t="s">
        <v>46</v>
      </c>
      <c r="K379" t="s">
        <v>650</v>
      </c>
      <c r="M379" s="1" t="s">
        <v>58</v>
      </c>
      <c r="N379" s="1">
        <v>0</v>
      </c>
      <c r="O379" s="1" t="s">
        <v>105</v>
      </c>
      <c r="P379" s="186">
        <v>44713.404780092591</v>
      </c>
      <c r="R379" s="1">
        <v>4</v>
      </c>
      <c r="T379" s="1" t="s">
        <v>646</v>
      </c>
      <c r="U379" s="186">
        <v>44714.404780092591</v>
      </c>
      <c r="V379" s="1" t="s">
        <v>41</v>
      </c>
      <c r="W379" s="1" t="s">
        <v>49</v>
      </c>
      <c r="X379" s="13" t="str">
        <f t="shared" si="40"/>
        <v>0007.65</v>
      </c>
      <c r="Y379" s="2">
        <f t="shared" ca="1" si="35"/>
        <v>196</v>
      </c>
      <c r="Z379" s="14">
        <v>1</v>
      </c>
      <c r="AA379" s="1" t="str">
        <f t="shared" ca="1" si="36"/>
        <v>VENCIDO</v>
      </c>
      <c r="AB379" s="1" t="str">
        <f t="shared" si="37"/>
        <v>C-14</v>
      </c>
      <c r="AC379" s="2" t="str">
        <f t="shared" si="41"/>
        <v xml:space="preserve"> CLEITON </v>
      </c>
      <c r="AD379" s="2">
        <f t="shared" si="38"/>
        <v>15</v>
      </c>
      <c r="AE379" s="2">
        <f t="shared" ca="1" si="39"/>
        <v>-272.27149155092775</v>
      </c>
      <c r="AF379" s="15"/>
    </row>
    <row r="380" spans="1:32" hidden="1">
      <c r="A380" s="1">
        <v>8639844</v>
      </c>
      <c r="B380" s="1" t="s">
        <v>653</v>
      </c>
      <c r="C380" t="s">
        <v>3580</v>
      </c>
      <c r="E380" s="2">
        <v>8573001400030</v>
      </c>
      <c r="F380" s="1" t="s">
        <v>647</v>
      </c>
      <c r="G380" s="1" t="s">
        <v>53</v>
      </c>
      <c r="H380" s="1" t="s">
        <v>657</v>
      </c>
      <c r="I380" s="1" t="s">
        <v>658</v>
      </c>
      <c r="J380" s="1" t="s">
        <v>33</v>
      </c>
      <c r="K380" t="s">
        <v>650</v>
      </c>
      <c r="M380" s="1" t="s">
        <v>58</v>
      </c>
      <c r="N380" s="1">
        <v>0</v>
      </c>
      <c r="O380" s="1" t="s">
        <v>105</v>
      </c>
      <c r="P380" s="186">
        <v>44713.40457175926</v>
      </c>
      <c r="R380" s="1">
        <v>4</v>
      </c>
      <c r="T380" s="1" t="s">
        <v>646</v>
      </c>
      <c r="U380" s="186">
        <v>44714.40457175926</v>
      </c>
      <c r="V380" s="1" t="s">
        <v>41</v>
      </c>
      <c r="W380" s="1" t="s">
        <v>49</v>
      </c>
      <c r="X380" s="13" t="str">
        <f t="shared" si="40"/>
        <v/>
      </c>
      <c r="Y380" s="2">
        <f t="shared" ca="1" si="35"/>
        <v>196</v>
      </c>
      <c r="Z380" s="14">
        <v>1</v>
      </c>
      <c r="AA380" s="1" t="str">
        <f t="shared" ca="1" si="36"/>
        <v>VENCIDO</v>
      </c>
      <c r="AB380" s="1" t="str">
        <f t="shared" si="37"/>
        <v>C-14</v>
      </c>
      <c r="AC380" s="2" t="str">
        <f t="shared" si="41"/>
        <v xml:space="preserve"> ROSEMERE </v>
      </c>
      <c r="AD380" s="2">
        <f t="shared" si="38"/>
        <v>15</v>
      </c>
      <c r="AE380" s="2">
        <f t="shared" ca="1" si="39"/>
        <v>-272.27169988425885</v>
      </c>
      <c r="AF380" s="15"/>
    </row>
    <row r="381" spans="1:32" hidden="1">
      <c r="A381" s="1">
        <v>8639813</v>
      </c>
      <c r="B381" s="1" t="s">
        <v>653</v>
      </c>
      <c r="C381" t="s">
        <v>3580</v>
      </c>
      <c r="E381" s="2">
        <v>8973001400030</v>
      </c>
      <c r="F381" s="1" t="s">
        <v>647</v>
      </c>
      <c r="G381" s="1" t="s">
        <v>53</v>
      </c>
      <c r="H381" s="1" t="s">
        <v>661</v>
      </c>
      <c r="I381" s="1" t="s">
        <v>662</v>
      </c>
      <c r="J381" s="1" t="s">
        <v>46</v>
      </c>
      <c r="K381" t="s">
        <v>650</v>
      </c>
      <c r="M381" s="1" t="s">
        <v>58</v>
      </c>
      <c r="N381" s="1">
        <v>0</v>
      </c>
      <c r="O381" s="1" t="s">
        <v>105</v>
      </c>
      <c r="P381" s="186">
        <v>44713.40452546296</v>
      </c>
      <c r="R381" s="1">
        <v>4</v>
      </c>
      <c r="T381" s="1" t="s">
        <v>646</v>
      </c>
      <c r="U381" s="186">
        <v>44714.404537037037</v>
      </c>
      <c r="V381" s="1" t="s">
        <v>41</v>
      </c>
      <c r="W381" s="1" t="s">
        <v>49</v>
      </c>
      <c r="X381" s="13" t="str">
        <f t="shared" si="40"/>
        <v/>
      </c>
      <c r="Y381" s="2">
        <f t="shared" ca="1" si="35"/>
        <v>196</v>
      </c>
      <c r="Z381" s="14">
        <v>1</v>
      </c>
      <c r="AA381" s="1" t="str">
        <f t="shared" ca="1" si="36"/>
        <v>VENCIDO</v>
      </c>
      <c r="AB381" s="1" t="str">
        <f t="shared" si="37"/>
        <v>C-14</v>
      </c>
      <c r="AC381" s="2" t="str">
        <f t="shared" si="41"/>
        <v xml:space="preserve"> CLEITON </v>
      </c>
      <c r="AD381" s="2">
        <f t="shared" si="38"/>
        <v>15</v>
      </c>
      <c r="AE381" s="2">
        <f t="shared" ca="1" si="39"/>
        <v>-272.27173460648191</v>
      </c>
      <c r="AF381" s="15"/>
    </row>
    <row r="382" spans="1:32" hidden="1">
      <c r="A382" s="1">
        <v>8639796</v>
      </c>
      <c r="B382" s="1" t="s">
        <v>653</v>
      </c>
      <c r="C382" t="s">
        <v>3580</v>
      </c>
      <c r="E382" s="2">
        <v>8633001400030</v>
      </c>
      <c r="F382" s="1" t="s">
        <v>647</v>
      </c>
      <c r="G382" s="1" t="s">
        <v>53</v>
      </c>
      <c r="H382" s="1" t="s">
        <v>835</v>
      </c>
      <c r="I382" s="1" t="s">
        <v>836</v>
      </c>
      <c r="J382" s="1" t="s">
        <v>46</v>
      </c>
      <c r="K382" t="s">
        <v>650</v>
      </c>
      <c r="M382" s="1" t="s">
        <v>58</v>
      </c>
      <c r="N382" s="1">
        <v>0</v>
      </c>
      <c r="O382" s="1" t="s">
        <v>105</v>
      </c>
      <c r="P382" s="186">
        <v>44713.404502314814</v>
      </c>
      <c r="R382" s="1">
        <v>4</v>
      </c>
      <c r="T382" s="1" t="s">
        <v>646</v>
      </c>
      <c r="U382" s="186">
        <v>44714.404513888891</v>
      </c>
      <c r="V382" s="1" t="s">
        <v>41</v>
      </c>
      <c r="W382" s="1" t="s">
        <v>49</v>
      </c>
      <c r="X382" s="13" t="str">
        <f t="shared" si="40"/>
        <v/>
      </c>
      <c r="Y382" s="2">
        <f t="shared" ca="1" si="35"/>
        <v>196</v>
      </c>
      <c r="Z382" s="14">
        <v>1</v>
      </c>
      <c r="AA382" s="1" t="str">
        <f t="shared" ca="1" si="36"/>
        <v>VENCIDO</v>
      </c>
      <c r="AB382" s="1" t="str">
        <f t="shared" si="37"/>
        <v>C-14</v>
      </c>
      <c r="AC382" s="2" t="str">
        <f t="shared" si="41"/>
        <v xml:space="preserve"> CLEITON </v>
      </c>
      <c r="AD382" s="2">
        <f t="shared" si="38"/>
        <v>15</v>
      </c>
      <c r="AE382" s="2">
        <f t="shared" ca="1" si="39"/>
        <v>-272.2717577546282</v>
      </c>
      <c r="AF382" s="15"/>
    </row>
    <row r="383" spans="1:32" hidden="1">
      <c r="A383" s="1">
        <v>8639265</v>
      </c>
      <c r="B383" s="1" t="s">
        <v>653</v>
      </c>
      <c r="C383" t="s">
        <v>3580</v>
      </c>
      <c r="E383" s="2">
        <v>5898001400030</v>
      </c>
      <c r="F383" s="1" t="s">
        <v>647</v>
      </c>
      <c r="G383" s="1" t="s">
        <v>53</v>
      </c>
      <c r="H383" s="1" t="s">
        <v>365</v>
      </c>
      <c r="I383" s="1" t="s">
        <v>366</v>
      </c>
      <c r="J383" s="1" t="s">
        <v>164</v>
      </c>
      <c r="K383" t="s">
        <v>650</v>
      </c>
      <c r="M383" s="1" t="s">
        <v>58</v>
      </c>
      <c r="N383" s="1">
        <v>0</v>
      </c>
      <c r="O383" s="1" t="s">
        <v>105</v>
      </c>
      <c r="P383" s="186">
        <v>44713.403090277781</v>
      </c>
      <c r="R383" s="1">
        <v>4</v>
      </c>
      <c r="T383" s="1" t="s">
        <v>646</v>
      </c>
      <c r="U383" s="186">
        <v>44714.403090277781</v>
      </c>
      <c r="V383" s="1" t="s">
        <v>41</v>
      </c>
      <c r="W383" s="1" t="s">
        <v>49</v>
      </c>
      <c r="X383" s="13" t="str">
        <f t="shared" si="40"/>
        <v/>
      </c>
      <c r="Y383" s="2">
        <f t="shared" ca="1" si="35"/>
        <v>196</v>
      </c>
      <c r="Z383" s="14">
        <v>1</v>
      </c>
      <c r="AA383" s="1" t="str">
        <f t="shared" ca="1" si="36"/>
        <v>VENCIDO</v>
      </c>
      <c r="AB383" s="1" t="str">
        <f t="shared" si="37"/>
        <v>C-14</v>
      </c>
      <c r="AC383" s="2" t="str">
        <f t="shared" si="41"/>
        <v xml:space="preserve"> ROSEMERE </v>
      </c>
      <c r="AD383" s="2">
        <f t="shared" si="38"/>
        <v>15</v>
      </c>
      <c r="AE383" s="2">
        <f t="shared" ca="1" si="39"/>
        <v>-272.2731813657374</v>
      </c>
      <c r="AF383" s="15"/>
    </row>
    <row r="384" spans="1:32" hidden="1">
      <c r="A384" s="1">
        <v>8639240</v>
      </c>
      <c r="B384" s="1" t="s">
        <v>653</v>
      </c>
      <c r="C384" t="s">
        <v>3580</v>
      </c>
      <c r="E384" s="2">
        <v>5816001400030</v>
      </c>
      <c r="F384" s="1" t="s">
        <v>647</v>
      </c>
      <c r="G384" s="1" t="s">
        <v>53</v>
      </c>
      <c r="H384" s="1" t="s">
        <v>412</v>
      </c>
      <c r="I384" s="1" t="s">
        <v>413</v>
      </c>
      <c r="J384" s="1" t="s">
        <v>46</v>
      </c>
      <c r="K384" t="s">
        <v>650</v>
      </c>
      <c r="M384" s="1" t="s">
        <v>58</v>
      </c>
      <c r="N384" s="1">
        <v>0</v>
      </c>
      <c r="O384" s="1" t="s">
        <v>105</v>
      </c>
      <c r="P384" s="186">
        <v>44713.403055555558</v>
      </c>
      <c r="R384" s="1">
        <v>4</v>
      </c>
      <c r="T384" s="1" t="s">
        <v>646</v>
      </c>
      <c r="U384" s="186">
        <v>44714.403055555558</v>
      </c>
      <c r="V384" s="1" t="s">
        <v>41</v>
      </c>
      <c r="W384" s="1" t="s">
        <v>49</v>
      </c>
      <c r="X384" s="13" t="str">
        <f t="shared" si="40"/>
        <v/>
      </c>
      <c r="Y384" s="2">
        <f t="shared" ca="1" si="35"/>
        <v>196</v>
      </c>
      <c r="Z384" s="14">
        <v>1</v>
      </c>
      <c r="AA384" s="1" t="str">
        <f t="shared" ca="1" si="36"/>
        <v>VENCIDO</v>
      </c>
      <c r="AB384" s="1" t="str">
        <f t="shared" si="37"/>
        <v>C-14</v>
      </c>
      <c r="AC384" s="2" t="str">
        <f t="shared" si="41"/>
        <v xml:space="preserve"> CLEITON </v>
      </c>
      <c r="AD384" s="2">
        <f t="shared" si="38"/>
        <v>15</v>
      </c>
      <c r="AE384" s="2">
        <f t="shared" ca="1" si="39"/>
        <v>-272.27321608796046</v>
      </c>
      <c r="AF384" s="15"/>
    </row>
    <row r="385" spans="1:32" hidden="1">
      <c r="A385" s="1">
        <v>8639199</v>
      </c>
      <c r="B385" s="1" t="s">
        <v>653</v>
      </c>
      <c r="C385" t="s">
        <v>3580</v>
      </c>
      <c r="E385" s="2">
        <v>5755001400030</v>
      </c>
      <c r="F385" s="1" t="s">
        <v>647</v>
      </c>
      <c r="G385" s="1" t="s">
        <v>53</v>
      </c>
      <c r="H385" s="1" t="s">
        <v>841</v>
      </c>
      <c r="I385" s="1" t="s">
        <v>842</v>
      </c>
      <c r="J385" s="1" t="s">
        <v>46</v>
      </c>
      <c r="K385" t="s">
        <v>650</v>
      </c>
      <c r="M385" s="1" t="s">
        <v>58</v>
      </c>
      <c r="N385" s="1">
        <v>0</v>
      </c>
      <c r="O385" s="1" t="s">
        <v>105</v>
      </c>
      <c r="P385" s="186">
        <v>44713.402881944443</v>
      </c>
      <c r="R385" s="1">
        <v>4</v>
      </c>
      <c r="T385" s="1" t="s">
        <v>646</v>
      </c>
      <c r="U385" s="186">
        <v>44714.402881944443</v>
      </c>
      <c r="V385" s="1" t="s">
        <v>41</v>
      </c>
      <c r="W385" s="1" t="s">
        <v>49</v>
      </c>
      <c r="X385" s="13" t="str">
        <f t="shared" si="40"/>
        <v/>
      </c>
      <c r="Y385" s="2">
        <f t="shared" ca="1" si="35"/>
        <v>196</v>
      </c>
      <c r="Z385" s="14">
        <v>1</v>
      </c>
      <c r="AA385" s="1" t="str">
        <f t="shared" ca="1" si="36"/>
        <v>VENCIDO</v>
      </c>
      <c r="AB385" s="1" t="str">
        <f t="shared" si="37"/>
        <v>C-14</v>
      </c>
      <c r="AC385" s="2" t="str">
        <f t="shared" si="41"/>
        <v xml:space="preserve"> CLEITON </v>
      </c>
      <c r="AD385" s="2">
        <f t="shared" si="38"/>
        <v>15</v>
      </c>
      <c r="AE385" s="2">
        <f t="shared" ca="1" si="39"/>
        <v>-272.27338969907578</v>
      </c>
      <c r="AF385" s="15"/>
    </row>
    <row r="386" spans="1:32" hidden="1">
      <c r="A386" s="1">
        <v>8639195</v>
      </c>
      <c r="B386" s="1" t="s">
        <v>653</v>
      </c>
      <c r="C386" t="s">
        <v>3580</v>
      </c>
      <c r="E386" s="2">
        <v>5742001400030</v>
      </c>
      <c r="F386" s="1" t="s">
        <v>647</v>
      </c>
      <c r="G386" s="1" t="s">
        <v>53</v>
      </c>
      <c r="H386" s="1" t="s">
        <v>430</v>
      </c>
      <c r="I386" s="1" t="s">
        <v>431</v>
      </c>
      <c r="J386" s="1" t="s">
        <v>79</v>
      </c>
      <c r="K386" t="s">
        <v>650</v>
      </c>
      <c r="M386" s="1" t="s">
        <v>58</v>
      </c>
      <c r="N386" s="1">
        <v>0</v>
      </c>
      <c r="O386" s="1" t="s">
        <v>105</v>
      </c>
      <c r="P386" s="186">
        <v>44713.402881944443</v>
      </c>
      <c r="R386" s="1">
        <v>4</v>
      </c>
      <c r="T386" s="1" t="s">
        <v>646</v>
      </c>
      <c r="U386" s="186">
        <v>44714.402881944443</v>
      </c>
      <c r="V386" s="1" t="s">
        <v>41</v>
      </c>
      <c r="W386" s="1" t="s">
        <v>49</v>
      </c>
      <c r="X386" s="13" t="str">
        <f t="shared" si="40"/>
        <v/>
      </c>
      <c r="Y386" s="2">
        <f t="shared" ref="Y386:Y449" ca="1" si="42">NETWORKDAYS(P386,$Y$1)</f>
        <v>196</v>
      </c>
      <c r="Z386" s="14">
        <v>1</v>
      </c>
      <c r="AA386" s="1" t="str">
        <f t="shared" ref="AA386:AA449" ca="1" si="43">IF(AE386=0,"HOJE",IF(AE386&gt;0,"A VENCER",IF(AE386&lt;0,"VENCIDO")))</f>
        <v>VENCIDO</v>
      </c>
      <c r="AB386" s="1" t="str">
        <f t="shared" ref="AB386:AB449" si="44">IF(F386="GRPE-000001","C-14",IF(F386="GRPE-000002","C-14",IF(F386="GRPE-000003","C-14",IF(F386="GRPE-000004","SL-On",IF(F386="GRPE-000038","C-14",IF(F386="GRPE-900022","Dosa",IF(F386="GRPE-000029","Dosa",IF(F386="ATOS-000222","Dose","TAAe+"))))))))</f>
        <v>C-14</v>
      </c>
      <c r="AC386" s="2" t="str">
        <f t="shared" si="41"/>
        <v xml:space="preserve"> ROSEMERE </v>
      </c>
      <c r="AD386" s="2">
        <f t="shared" ref="AD386:AD449" si="45">IF(F386="GRPE-000001",5,IF(F386="GRPE-000002",5,IF(F386="GRPE-000003",15,IF(F386="GRPE-000004",1,IF(F386="GRPE-000038",5,IF(F386="GRPE-900022",5,IF(F386="GRPE-000029",5,IF(F386="ATOS-000222",5,8))))))))</f>
        <v>15</v>
      </c>
      <c r="AE386" s="2">
        <f t="shared" ref="AE386:AE449" ca="1" si="46">IF(U386=$AE$1,"",U386-$AE$1)</f>
        <v>-272.27338969907578</v>
      </c>
      <c r="AF386" s="15"/>
    </row>
    <row r="387" spans="1:32" hidden="1">
      <c r="A387" s="1">
        <v>8639194</v>
      </c>
      <c r="B387" s="1" t="s">
        <v>653</v>
      </c>
      <c r="C387" t="s">
        <v>3580</v>
      </c>
      <c r="E387" s="2">
        <v>5740001400030</v>
      </c>
      <c r="F387" s="1" t="s">
        <v>647</v>
      </c>
      <c r="G387" s="1" t="s">
        <v>53</v>
      </c>
      <c r="H387" s="1" t="s">
        <v>626</v>
      </c>
      <c r="I387" s="1" t="s">
        <v>627</v>
      </c>
      <c r="J387" s="1" t="s">
        <v>46</v>
      </c>
      <c r="K387" t="s">
        <v>650</v>
      </c>
      <c r="M387" s="1" t="s">
        <v>58</v>
      </c>
      <c r="N387" s="1">
        <v>0</v>
      </c>
      <c r="O387" s="1" t="s">
        <v>105</v>
      </c>
      <c r="P387" s="186">
        <v>44713.402870370373</v>
      </c>
      <c r="R387" s="1">
        <v>4</v>
      </c>
      <c r="T387" s="1" t="s">
        <v>646</v>
      </c>
      <c r="U387" s="186">
        <v>44714.402881944443</v>
      </c>
      <c r="V387" s="1" t="s">
        <v>41</v>
      </c>
      <c r="W387" s="1" t="s">
        <v>49</v>
      </c>
      <c r="X387" s="13" t="str">
        <f t="shared" ref="X387:X450" si="47">IF(RIGHT(H387,2)&lt;&gt;"00",H387,"")</f>
        <v/>
      </c>
      <c r="Y387" s="2">
        <f t="shared" ca="1" si="42"/>
        <v>196</v>
      </c>
      <c r="Z387" s="14">
        <v>1</v>
      </c>
      <c r="AA387" s="1" t="str">
        <f t="shared" ca="1" si="43"/>
        <v>VENCIDO</v>
      </c>
      <c r="AB387" s="1" t="str">
        <f t="shared" si="44"/>
        <v>C-14</v>
      </c>
      <c r="AC387" s="2" t="str">
        <f t="shared" ref="AC387:AC450" si="48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 xml:space="preserve"> CLEITON </v>
      </c>
      <c r="AD387" s="2">
        <f t="shared" si="45"/>
        <v>15</v>
      </c>
      <c r="AE387" s="2">
        <f t="shared" ca="1" si="46"/>
        <v>-272.27338969907578</v>
      </c>
      <c r="AF387" s="15"/>
    </row>
    <row r="388" spans="1:32" hidden="1">
      <c r="A388" s="1">
        <v>8639017</v>
      </c>
      <c r="B388" s="1" t="s">
        <v>653</v>
      </c>
      <c r="C388" t="s">
        <v>3580</v>
      </c>
      <c r="E388" s="2">
        <v>4997001400030</v>
      </c>
      <c r="F388" s="1" t="s">
        <v>647</v>
      </c>
      <c r="G388" s="1" t="s">
        <v>53</v>
      </c>
      <c r="H388" s="1" t="s">
        <v>406</v>
      </c>
      <c r="I388" s="1" t="s">
        <v>407</v>
      </c>
      <c r="J388" s="1" t="s">
        <v>79</v>
      </c>
      <c r="K388" t="s">
        <v>650</v>
      </c>
      <c r="M388" s="1" t="s">
        <v>58</v>
      </c>
      <c r="N388" s="1">
        <v>0</v>
      </c>
      <c r="O388" s="1" t="s">
        <v>36</v>
      </c>
      <c r="P388" s="186">
        <v>44713.402326388888</v>
      </c>
      <c r="R388" s="1">
        <v>4</v>
      </c>
      <c r="T388" s="1" t="s">
        <v>646</v>
      </c>
      <c r="U388" s="186">
        <v>44714.402326388888</v>
      </c>
      <c r="V388" s="1" t="s">
        <v>41</v>
      </c>
      <c r="W388" s="1" t="s">
        <v>49</v>
      </c>
      <c r="X388" s="13" t="str">
        <f t="shared" si="47"/>
        <v/>
      </c>
      <c r="Y388" s="2">
        <f t="shared" ca="1" si="42"/>
        <v>196</v>
      </c>
      <c r="Z388" s="14">
        <v>1</v>
      </c>
      <c r="AA388" s="1" t="str">
        <f t="shared" ca="1" si="43"/>
        <v>VENCIDO</v>
      </c>
      <c r="AB388" s="1" t="str">
        <f t="shared" si="44"/>
        <v>C-14</v>
      </c>
      <c r="AC388" s="2" t="str">
        <f t="shared" si="48"/>
        <v xml:space="preserve"> ROSEMERE </v>
      </c>
      <c r="AD388" s="2">
        <f t="shared" si="45"/>
        <v>15</v>
      </c>
      <c r="AE388" s="2">
        <f t="shared" ca="1" si="46"/>
        <v>-272.27394525463023</v>
      </c>
      <c r="AF388" s="15"/>
    </row>
    <row r="389" spans="1:32" hidden="1">
      <c r="A389" s="1">
        <v>8638862</v>
      </c>
      <c r="B389" s="1" t="s">
        <v>653</v>
      </c>
      <c r="C389" t="s">
        <v>3580</v>
      </c>
      <c r="E389" s="2">
        <v>4637001400030</v>
      </c>
      <c r="F389" s="1" t="s">
        <v>647</v>
      </c>
      <c r="G389" s="1" t="s">
        <v>53</v>
      </c>
      <c r="H389" s="1" t="s">
        <v>848</v>
      </c>
      <c r="I389" s="1" t="s">
        <v>849</v>
      </c>
      <c r="J389" s="1" t="s">
        <v>79</v>
      </c>
      <c r="K389" t="s">
        <v>650</v>
      </c>
      <c r="M389" s="1" t="s">
        <v>58</v>
      </c>
      <c r="N389" s="1">
        <v>0</v>
      </c>
      <c r="O389" s="1" t="s">
        <v>105</v>
      </c>
      <c r="P389" s="186">
        <v>44713.401967592596</v>
      </c>
      <c r="R389" s="1">
        <v>4</v>
      </c>
      <c r="T389" s="1" t="s">
        <v>646</v>
      </c>
      <c r="U389" s="186">
        <v>44714.401967592596</v>
      </c>
      <c r="V389" s="1" t="s">
        <v>41</v>
      </c>
      <c r="W389" s="1" t="s">
        <v>49</v>
      </c>
      <c r="X389" s="13" t="str">
        <f t="shared" si="47"/>
        <v/>
      </c>
      <c r="Y389" s="2">
        <f t="shared" ca="1" si="42"/>
        <v>196</v>
      </c>
      <c r="Z389" s="14">
        <v>1</v>
      </c>
      <c r="AA389" s="1" t="str">
        <f t="shared" ca="1" si="43"/>
        <v>VENCIDO</v>
      </c>
      <c r="AB389" s="1" t="str">
        <f t="shared" si="44"/>
        <v>C-14</v>
      </c>
      <c r="AC389" s="2" t="str">
        <f t="shared" si="48"/>
        <v xml:space="preserve"> ROSEMERE </v>
      </c>
      <c r="AD389" s="2">
        <f t="shared" si="45"/>
        <v>15</v>
      </c>
      <c r="AE389" s="2">
        <f t="shared" ca="1" si="46"/>
        <v>-272.27430405092309</v>
      </c>
      <c r="AF389" s="15"/>
    </row>
    <row r="390" spans="1:32" hidden="1">
      <c r="A390" s="1">
        <v>8638849</v>
      </c>
      <c r="B390" s="1" t="s">
        <v>653</v>
      </c>
      <c r="C390" t="s">
        <v>3580</v>
      </c>
      <c r="E390" s="2">
        <v>4623001400030</v>
      </c>
      <c r="F390" s="1" t="s">
        <v>647</v>
      </c>
      <c r="G390" s="1" t="s">
        <v>53</v>
      </c>
      <c r="H390" s="1" t="s">
        <v>669</v>
      </c>
      <c r="I390" s="1" t="s">
        <v>670</v>
      </c>
      <c r="J390" s="1" t="s">
        <v>33</v>
      </c>
      <c r="K390" t="s">
        <v>650</v>
      </c>
      <c r="M390" s="1" t="s">
        <v>58</v>
      </c>
      <c r="N390" s="1">
        <v>0</v>
      </c>
      <c r="O390" s="1" t="s">
        <v>105</v>
      </c>
      <c r="P390" s="186">
        <v>44713.401956018519</v>
      </c>
      <c r="R390" s="1">
        <v>4</v>
      </c>
      <c r="T390" s="1" t="s">
        <v>646</v>
      </c>
      <c r="U390" s="186">
        <v>44714.401956018519</v>
      </c>
      <c r="V390" s="1" t="s">
        <v>41</v>
      </c>
      <c r="W390" s="1" t="s">
        <v>42</v>
      </c>
      <c r="X390" s="13" t="str">
        <f t="shared" si="47"/>
        <v/>
      </c>
      <c r="Y390" s="2">
        <f t="shared" ca="1" si="42"/>
        <v>196</v>
      </c>
      <c r="Z390" s="14">
        <v>1</v>
      </c>
      <c r="AA390" s="1" t="str">
        <f t="shared" ca="1" si="43"/>
        <v>VENCIDO</v>
      </c>
      <c r="AB390" s="1" t="str">
        <f t="shared" si="44"/>
        <v>C-14</v>
      </c>
      <c r="AC390" s="2" t="str">
        <f t="shared" si="48"/>
        <v xml:space="preserve"> ROSEMERE </v>
      </c>
      <c r="AD390" s="2">
        <f t="shared" si="45"/>
        <v>15</v>
      </c>
      <c r="AE390" s="2">
        <f t="shared" ca="1" si="46"/>
        <v>-272.27431562499987</v>
      </c>
      <c r="AF390" s="15"/>
    </row>
    <row r="391" spans="1:32" hidden="1">
      <c r="A391" s="1">
        <v>8638655</v>
      </c>
      <c r="B391" s="1" t="s">
        <v>653</v>
      </c>
      <c r="C391" t="s">
        <v>3580</v>
      </c>
      <c r="E391" s="2">
        <v>4357001400030</v>
      </c>
      <c r="F391" s="1" t="s">
        <v>647</v>
      </c>
      <c r="G391" s="1" t="s">
        <v>53</v>
      </c>
      <c r="H391" s="1" t="s">
        <v>633</v>
      </c>
      <c r="I391" s="1" t="s">
        <v>634</v>
      </c>
      <c r="J391" s="1" t="s">
        <v>46</v>
      </c>
      <c r="K391" t="s">
        <v>650</v>
      </c>
      <c r="M391" s="1" t="s">
        <v>58</v>
      </c>
      <c r="N391" s="1">
        <v>0</v>
      </c>
      <c r="O391" s="1" t="s">
        <v>105</v>
      </c>
      <c r="P391" s="186">
        <v>44713.40111111111</v>
      </c>
      <c r="R391" s="1">
        <v>4</v>
      </c>
      <c r="T391" s="1" t="s">
        <v>646</v>
      </c>
      <c r="U391" s="186">
        <v>44714.40111111111</v>
      </c>
      <c r="V391" s="1" t="s">
        <v>41</v>
      </c>
      <c r="W391" s="1" t="s">
        <v>49</v>
      </c>
      <c r="X391" s="13" t="str">
        <f t="shared" si="47"/>
        <v/>
      </c>
      <c r="Y391" s="2">
        <f t="shared" ca="1" si="42"/>
        <v>196</v>
      </c>
      <c r="Z391" s="14">
        <v>1</v>
      </c>
      <c r="AA391" s="1" t="str">
        <f t="shared" ca="1" si="43"/>
        <v>VENCIDO</v>
      </c>
      <c r="AB391" s="1" t="str">
        <f t="shared" si="44"/>
        <v>C-14</v>
      </c>
      <c r="AC391" s="2" t="str">
        <f t="shared" si="48"/>
        <v xml:space="preserve"> CLEITON </v>
      </c>
      <c r="AD391" s="2">
        <f t="shared" si="45"/>
        <v>15</v>
      </c>
      <c r="AE391" s="2">
        <f t="shared" ca="1" si="46"/>
        <v>-272.27516053240834</v>
      </c>
      <c r="AF391" s="15"/>
    </row>
    <row r="392" spans="1:32" hidden="1">
      <c r="A392" s="1">
        <v>8638579</v>
      </c>
      <c r="B392" s="1" t="s">
        <v>653</v>
      </c>
      <c r="C392" t="s">
        <v>3580</v>
      </c>
      <c r="E392" s="2">
        <v>4235001400030</v>
      </c>
      <c r="F392" s="1" t="s">
        <v>647</v>
      </c>
      <c r="G392" s="1" t="s">
        <v>53</v>
      </c>
      <c r="H392" s="1" t="s">
        <v>291</v>
      </c>
      <c r="I392" s="1" t="s">
        <v>292</v>
      </c>
      <c r="J392" s="1" t="s">
        <v>46</v>
      </c>
      <c r="K392" t="s">
        <v>650</v>
      </c>
      <c r="M392" s="1" t="s">
        <v>58</v>
      </c>
      <c r="N392" s="1">
        <v>0</v>
      </c>
      <c r="O392" s="1" t="s">
        <v>105</v>
      </c>
      <c r="P392" s="186">
        <v>44713.400752314818</v>
      </c>
      <c r="R392" s="1">
        <v>4</v>
      </c>
      <c r="T392" s="1" t="s">
        <v>646</v>
      </c>
      <c r="U392" s="186">
        <v>44714.400752314818</v>
      </c>
      <c r="V392" s="1" t="s">
        <v>41</v>
      </c>
      <c r="W392" s="1" t="s">
        <v>49</v>
      </c>
      <c r="X392" s="13" t="str">
        <f t="shared" si="47"/>
        <v/>
      </c>
      <c r="Y392" s="2">
        <f t="shared" ca="1" si="42"/>
        <v>196</v>
      </c>
      <c r="Z392" s="14">
        <v>1</v>
      </c>
      <c r="AA392" s="1" t="str">
        <f t="shared" ca="1" si="43"/>
        <v>VENCIDO</v>
      </c>
      <c r="AB392" s="1" t="str">
        <f t="shared" si="44"/>
        <v>C-14</v>
      </c>
      <c r="AC392" s="2" t="str">
        <f t="shared" si="48"/>
        <v xml:space="preserve"> CLEITON </v>
      </c>
      <c r="AD392" s="2">
        <f t="shared" si="45"/>
        <v>15</v>
      </c>
      <c r="AE392" s="2">
        <f t="shared" ca="1" si="46"/>
        <v>-272.27551932870119</v>
      </c>
      <c r="AF392" s="15"/>
    </row>
    <row r="393" spans="1:32" hidden="1">
      <c r="A393" s="1">
        <v>8638488</v>
      </c>
      <c r="B393" s="1" t="s">
        <v>653</v>
      </c>
      <c r="C393" t="s">
        <v>3580</v>
      </c>
      <c r="E393" s="2">
        <v>4118001400030</v>
      </c>
      <c r="F393" s="1" t="s">
        <v>647</v>
      </c>
      <c r="G393" s="1" t="s">
        <v>53</v>
      </c>
      <c r="H393" s="1" t="s">
        <v>71</v>
      </c>
      <c r="I393" s="1" t="s">
        <v>72</v>
      </c>
      <c r="J393" s="1" t="s">
        <v>46</v>
      </c>
      <c r="K393" t="s">
        <v>650</v>
      </c>
      <c r="M393" s="1" t="s">
        <v>58</v>
      </c>
      <c r="N393" s="1">
        <v>0</v>
      </c>
      <c r="O393" s="1" t="s">
        <v>105</v>
      </c>
      <c r="P393" s="186">
        <v>44713.40047453704</v>
      </c>
      <c r="R393" s="1">
        <v>4</v>
      </c>
      <c r="T393" s="1" t="s">
        <v>646</v>
      </c>
      <c r="U393" s="186">
        <v>44714.40047453704</v>
      </c>
      <c r="V393" s="1" t="s">
        <v>41</v>
      </c>
      <c r="W393" s="1" t="s">
        <v>49</v>
      </c>
      <c r="X393" s="13" t="str">
        <f t="shared" si="47"/>
        <v/>
      </c>
      <c r="Y393" s="2">
        <f t="shared" ca="1" si="42"/>
        <v>196</v>
      </c>
      <c r="Z393" s="14">
        <v>1</v>
      </c>
      <c r="AA393" s="1" t="str">
        <f t="shared" ca="1" si="43"/>
        <v>VENCIDO</v>
      </c>
      <c r="AB393" s="1" t="str">
        <f t="shared" si="44"/>
        <v>C-14</v>
      </c>
      <c r="AC393" s="2" t="str">
        <f t="shared" si="48"/>
        <v xml:space="preserve"> CLEITON </v>
      </c>
      <c r="AD393" s="2">
        <f t="shared" si="45"/>
        <v>15</v>
      </c>
      <c r="AE393" s="2">
        <f t="shared" ca="1" si="46"/>
        <v>-272.27579710647842</v>
      </c>
      <c r="AF393" s="15"/>
    </row>
    <row r="394" spans="1:32" hidden="1">
      <c r="A394" s="1">
        <v>8638189</v>
      </c>
      <c r="B394" s="1" t="s">
        <v>653</v>
      </c>
      <c r="C394" t="s">
        <v>3580</v>
      </c>
      <c r="E394" s="2">
        <v>3699001400030</v>
      </c>
      <c r="F394" s="1" t="s">
        <v>647</v>
      </c>
      <c r="G394" s="1" t="s">
        <v>53</v>
      </c>
      <c r="H394" s="1" t="s">
        <v>343</v>
      </c>
      <c r="I394" s="1" t="s">
        <v>344</v>
      </c>
      <c r="J394" s="1" t="s">
        <v>46</v>
      </c>
      <c r="K394" t="s">
        <v>650</v>
      </c>
      <c r="M394" s="1" t="s">
        <v>58</v>
      </c>
      <c r="N394" s="1">
        <v>0</v>
      </c>
      <c r="O394" s="1" t="s">
        <v>105</v>
      </c>
      <c r="P394" s="186">
        <v>44713.399594907409</v>
      </c>
      <c r="R394" s="1">
        <v>4</v>
      </c>
      <c r="T394" s="1" t="s">
        <v>646</v>
      </c>
      <c r="U394" s="186">
        <v>44714.399594907409</v>
      </c>
      <c r="V394" s="1" t="s">
        <v>41</v>
      </c>
      <c r="W394" s="1" t="s">
        <v>49</v>
      </c>
      <c r="X394" s="13" t="str">
        <f t="shared" si="47"/>
        <v/>
      </c>
      <c r="Y394" s="2">
        <f t="shared" ca="1" si="42"/>
        <v>196</v>
      </c>
      <c r="Z394" s="14">
        <v>1</v>
      </c>
      <c r="AA394" s="1" t="str">
        <f t="shared" ca="1" si="43"/>
        <v>VENCIDO</v>
      </c>
      <c r="AB394" s="1" t="str">
        <f t="shared" si="44"/>
        <v>C-14</v>
      </c>
      <c r="AC394" s="2" t="str">
        <f t="shared" si="48"/>
        <v xml:space="preserve"> CLEITON </v>
      </c>
      <c r="AD394" s="2">
        <f t="shared" si="45"/>
        <v>15</v>
      </c>
      <c r="AE394" s="2">
        <f t="shared" ca="1" si="46"/>
        <v>-272.27667673610995</v>
      </c>
      <c r="AF394" s="15"/>
    </row>
    <row r="395" spans="1:32" hidden="1">
      <c r="A395" s="1">
        <v>8638122</v>
      </c>
      <c r="B395" s="1" t="s">
        <v>653</v>
      </c>
      <c r="C395" t="s">
        <v>3580</v>
      </c>
      <c r="E395" s="2">
        <v>3613001400030</v>
      </c>
      <c r="F395" s="1" t="s">
        <v>647</v>
      </c>
      <c r="G395" s="1" t="s">
        <v>53</v>
      </c>
      <c r="H395" s="1" t="s">
        <v>679</v>
      </c>
      <c r="I395" s="1" t="s">
        <v>680</v>
      </c>
      <c r="J395" s="1" t="s">
        <v>46</v>
      </c>
      <c r="K395" t="s">
        <v>650</v>
      </c>
      <c r="M395" s="1" t="s">
        <v>58</v>
      </c>
      <c r="N395" s="1">
        <v>0</v>
      </c>
      <c r="O395" s="1" t="s">
        <v>105</v>
      </c>
      <c r="P395" s="186">
        <v>44713.39949074074</v>
      </c>
      <c r="R395" s="1">
        <v>4</v>
      </c>
      <c r="T395" s="1" t="s">
        <v>646</v>
      </c>
      <c r="U395" s="186">
        <v>44714.39949074074</v>
      </c>
      <c r="V395" s="1" t="s">
        <v>41</v>
      </c>
      <c r="W395" s="1" t="s">
        <v>49</v>
      </c>
      <c r="X395" s="13" t="str">
        <f t="shared" si="47"/>
        <v/>
      </c>
      <c r="Y395" s="2">
        <f t="shared" ca="1" si="42"/>
        <v>196</v>
      </c>
      <c r="Z395" s="14">
        <v>1</v>
      </c>
      <c r="AA395" s="1" t="str">
        <f t="shared" ca="1" si="43"/>
        <v>VENCIDO</v>
      </c>
      <c r="AB395" s="1" t="str">
        <f t="shared" si="44"/>
        <v>C-14</v>
      </c>
      <c r="AC395" s="2" t="str">
        <f t="shared" si="48"/>
        <v xml:space="preserve"> CLEITON </v>
      </c>
      <c r="AD395" s="2">
        <f t="shared" si="45"/>
        <v>15</v>
      </c>
      <c r="AE395" s="2">
        <f t="shared" ca="1" si="46"/>
        <v>-272.27678090277914</v>
      </c>
      <c r="AF395" s="15"/>
    </row>
    <row r="396" spans="1:32" hidden="1">
      <c r="A396" s="1">
        <v>8638121</v>
      </c>
      <c r="B396" s="1" t="s">
        <v>653</v>
      </c>
      <c r="C396" t="s">
        <v>3580</v>
      </c>
      <c r="E396" s="2">
        <v>3612001400030</v>
      </c>
      <c r="F396" s="1" t="s">
        <v>647</v>
      </c>
      <c r="G396" s="1" t="s">
        <v>53</v>
      </c>
      <c r="H396" s="1" t="s">
        <v>683</v>
      </c>
      <c r="I396" s="1" t="s">
        <v>684</v>
      </c>
      <c r="J396" s="1" t="s">
        <v>46</v>
      </c>
      <c r="K396" t="s">
        <v>650</v>
      </c>
      <c r="M396" s="1" t="s">
        <v>58</v>
      </c>
      <c r="N396" s="1">
        <v>0</v>
      </c>
      <c r="O396" s="1" t="s">
        <v>105</v>
      </c>
      <c r="P396" s="186">
        <v>44713.39949074074</v>
      </c>
      <c r="R396" s="1">
        <v>4</v>
      </c>
      <c r="T396" s="1" t="s">
        <v>646</v>
      </c>
      <c r="U396" s="186">
        <v>44714.39949074074</v>
      </c>
      <c r="V396" s="1" t="s">
        <v>41</v>
      </c>
      <c r="W396" s="1" t="s">
        <v>49</v>
      </c>
      <c r="X396" s="13" t="str">
        <f t="shared" si="47"/>
        <v/>
      </c>
      <c r="Y396" s="2">
        <f t="shared" ca="1" si="42"/>
        <v>196</v>
      </c>
      <c r="Z396" s="14">
        <v>1</v>
      </c>
      <c r="AA396" s="1" t="str">
        <f t="shared" ca="1" si="43"/>
        <v>VENCIDO</v>
      </c>
      <c r="AB396" s="1" t="str">
        <f t="shared" si="44"/>
        <v>C-14</v>
      </c>
      <c r="AC396" s="2" t="str">
        <f t="shared" si="48"/>
        <v xml:space="preserve"> CLEITON </v>
      </c>
      <c r="AD396" s="2">
        <f t="shared" si="45"/>
        <v>15</v>
      </c>
      <c r="AE396" s="2">
        <f t="shared" ca="1" si="46"/>
        <v>-272.27678090277914</v>
      </c>
      <c r="AF396" s="15"/>
    </row>
    <row r="397" spans="1:32" hidden="1">
      <c r="A397" s="1">
        <v>8638058</v>
      </c>
      <c r="B397" s="1" t="s">
        <v>653</v>
      </c>
      <c r="C397" t="s">
        <v>3580</v>
      </c>
      <c r="E397" s="2">
        <v>3504001400030</v>
      </c>
      <c r="F397" s="1" t="s">
        <v>647</v>
      </c>
      <c r="G397" s="1" t="s">
        <v>53</v>
      </c>
      <c r="H397" s="1" t="s">
        <v>585</v>
      </c>
      <c r="I397" s="1" t="s">
        <v>586</v>
      </c>
      <c r="J397" s="1" t="s">
        <v>46</v>
      </c>
      <c r="K397" t="s">
        <v>650</v>
      </c>
      <c r="M397" s="1" t="s">
        <v>58</v>
      </c>
      <c r="N397" s="1">
        <v>0</v>
      </c>
      <c r="O397" s="1" t="s">
        <v>105</v>
      </c>
      <c r="P397" s="186">
        <v>44713.399282407408</v>
      </c>
      <c r="R397" s="1">
        <v>4</v>
      </c>
      <c r="T397" s="1" t="s">
        <v>646</v>
      </c>
      <c r="U397" s="186">
        <v>44714.399282407408</v>
      </c>
      <c r="V397" s="1" t="s">
        <v>41</v>
      </c>
      <c r="W397" s="1" t="s">
        <v>49</v>
      </c>
      <c r="X397" s="13" t="str">
        <f t="shared" si="47"/>
        <v/>
      </c>
      <c r="Y397" s="2">
        <f t="shared" ca="1" si="42"/>
        <v>196</v>
      </c>
      <c r="Z397" s="14">
        <v>1</v>
      </c>
      <c r="AA397" s="1" t="str">
        <f t="shared" ca="1" si="43"/>
        <v>VENCIDO</v>
      </c>
      <c r="AB397" s="1" t="str">
        <f t="shared" si="44"/>
        <v>C-14</v>
      </c>
      <c r="AC397" s="2" t="str">
        <f t="shared" si="48"/>
        <v xml:space="preserve"> CLEITON </v>
      </c>
      <c r="AD397" s="2">
        <f t="shared" si="45"/>
        <v>15</v>
      </c>
      <c r="AE397" s="2">
        <f t="shared" ca="1" si="46"/>
        <v>-272.27698923611024</v>
      </c>
      <c r="AF397" s="15"/>
    </row>
    <row r="398" spans="1:32" hidden="1">
      <c r="A398" s="1">
        <v>8638057</v>
      </c>
      <c r="B398" s="1" t="s">
        <v>653</v>
      </c>
      <c r="C398" t="s">
        <v>3580</v>
      </c>
      <c r="E398" s="2">
        <v>3503001400030</v>
      </c>
      <c r="F398" s="1" t="s">
        <v>647</v>
      </c>
      <c r="G398" s="1" t="s">
        <v>53</v>
      </c>
      <c r="H398" s="1" t="s">
        <v>398</v>
      </c>
      <c r="I398" s="1" t="s">
        <v>399</v>
      </c>
      <c r="J398" s="1" t="s">
        <v>46</v>
      </c>
      <c r="K398" t="s">
        <v>650</v>
      </c>
      <c r="M398" s="1" t="s">
        <v>58</v>
      </c>
      <c r="N398" s="1">
        <v>0</v>
      </c>
      <c r="O398" s="1" t="s">
        <v>105</v>
      </c>
      <c r="P398" s="186">
        <v>44713.399282407408</v>
      </c>
      <c r="R398" s="1">
        <v>4</v>
      </c>
      <c r="T398" s="1" t="s">
        <v>646</v>
      </c>
      <c r="U398" s="186">
        <v>44714.399282407408</v>
      </c>
      <c r="V398" s="1" t="s">
        <v>41</v>
      </c>
      <c r="W398" s="1" t="s">
        <v>49</v>
      </c>
      <c r="X398" s="13" t="str">
        <f t="shared" si="47"/>
        <v/>
      </c>
      <c r="Y398" s="2">
        <f t="shared" ca="1" si="42"/>
        <v>196</v>
      </c>
      <c r="Z398" s="14">
        <v>1</v>
      </c>
      <c r="AA398" s="1" t="str">
        <f t="shared" ca="1" si="43"/>
        <v>VENCIDO</v>
      </c>
      <c r="AB398" s="1" t="str">
        <f t="shared" si="44"/>
        <v>C-14</v>
      </c>
      <c r="AC398" s="2" t="str">
        <f t="shared" si="48"/>
        <v xml:space="preserve"> CLEITON </v>
      </c>
      <c r="AD398" s="2">
        <f t="shared" si="45"/>
        <v>15</v>
      </c>
      <c r="AE398" s="2">
        <f t="shared" ca="1" si="46"/>
        <v>-272.27698923611024</v>
      </c>
      <c r="AF398" s="15"/>
    </row>
    <row r="399" spans="1:32" hidden="1">
      <c r="A399" s="1">
        <v>8637889</v>
      </c>
      <c r="B399" s="1" t="s">
        <v>653</v>
      </c>
      <c r="C399" t="s">
        <v>3580</v>
      </c>
      <c r="E399" s="2">
        <v>3258001400030</v>
      </c>
      <c r="F399" s="1" t="s">
        <v>647</v>
      </c>
      <c r="G399" s="1" t="s">
        <v>53</v>
      </c>
      <c r="H399" s="1" t="s">
        <v>321</v>
      </c>
      <c r="I399" s="1" t="s">
        <v>322</v>
      </c>
      <c r="J399" s="1" t="s">
        <v>46</v>
      </c>
      <c r="K399" t="s">
        <v>650</v>
      </c>
      <c r="M399" s="1" t="s">
        <v>58</v>
      </c>
      <c r="N399" s="1">
        <v>0</v>
      </c>
      <c r="O399" s="1" t="s">
        <v>105</v>
      </c>
      <c r="P399" s="186">
        <v>44713.398854166669</v>
      </c>
      <c r="R399" s="1">
        <v>4</v>
      </c>
      <c r="T399" s="1" t="s">
        <v>646</v>
      </c>
      <c r="U399" s="186">
        <v>44714.398854166669</v>
      </c>
      <c r="V399" s="1" t="s">
        <v>41</v>
      </c>
      <c r="W399" s="1" t="s">
        <v>49</v>
      </c>
      <c r="X399" s="13" t="str">
        <f t="shared" si="47"/>
        <v/>
      </c>
      <c r="Y399" s="2">
        <f t="shared" ca="1" si="42"/>
        <v>196</v>
      </c>
      <c r="Z399" s="14">
        <v>1</v>
      </c>
      <c r="AA399" s="1" t="str">
        <f t="shared" ca="1" si="43"/>
        <v>VENCIDO</v>
      </c>
      <c r="AB399" s="1" t="str">
        <f t="shared" si="44"/>
        <v>C-14</v>
      </c>
      <c r="AC399" s="2" t="str">
        <f t="shared" si="48"/>
        <v xml:space="preserve"> CLEITON </v>
      </c>
      <c r="AD399" s="2">
        <f t="shared" si="45"/>
        <v>15</v>
      </c>
      <c r="AE399" s="2">
        <f t="shared" ca="1" si="46"/>
        <v>-272.27741747684922</v>
      </c>
      <c r="AF399" s="15"/>
    </row>
    <row r="400" spans="1:32" hidden="1">
      <c r="A400" s="1">
        <v>8637878</v>
      </c>
      <c r="B400" s="1" t="s">
        <v>653</v>
      </c>
      <c r="C400" t="s">
        <v>3580</v>
      </c>
      <c r="E400" s="2">
        <v>3243001400030</v>
      </c>
      <c r="F400" s="1" t="s">
        <v>647</v>
      </c>
      <c r="G400" s="1" t="s">
        <v>53</v>
      </c>
      <c r="H400" s="1" t="s">
        <v>282</v>
      </c>
      <c r="I400" s="1" t="s">
        <v>283</v>
      </c>
      <c r="J400" s="1" t="s">
        <v>46</v>
      </c>
      <c r="K400" t="s">
        <v>650</v>
      </c>
      <c r="M400" s="1" t="s">
        <v>58</v>
      </c>
      <c r="N400" s="1">
        <v>0</v>
      </c>
      <c r="O400" s="1" t="s">
        <v>105</v>
      </c>
      <c r="P400" s="186">
        <v>44713.398842592593</v>
      </c>
      <c r="R400" s="1">
        <v>4</v>
      </c>
      <c r="T400" s="1" t="s">
        <v>646</v>
      </c>
      <c r="U400" s="186">
        <v>44714.398842592593</v>
      </c>
      <c r="V400" s="1" t="s">
        <v>41</v>
      </c>
      <c r="W400" s="1" t="s">
        <v>49</v>
      </c>
      <c r="X400" s="13" t="str">
        <f t="shared" si="47"/>
        <v/>
      </c>
      <c r="Y400" s="2">
        <f t="shared" ca="1" si="42"/>
        <v>196</v>
      </c>
      <c r="Z400" s="14">
        <v>1</v>
      </c>
      <c r="AA400" s="1" t="str">
        <f t="shared" ca="1" si="43"/>
        <v>VENCIDO</v>
      </c>
      <c r="AB400" s="1" t="str">
        <f t="shared" si="44"/>
        <v>C-14</v>
      </c>
      <c r="AC400" s="2" t="str">
        <f t="shared" si="48"/>
        <v xml:space="preserve"> CLEITON </v>
      </c>
      <c r="AD400" s="2">
        <f t="shared" si="45"/>
        <v>15</v>
      </c>
      <c r="AE400" s="2">
        <f t="shared" ca="1" si="46"/>
        <v>-272.277429050926</v>
      </c>
      <c r="AF400" s="15"/>
    </row>
    <row r="401" spans="1:32" hidden="1">
      <c r="A401" s="1">
        <v>8637875</v>
      </c>
      <c r="B401" s="1" t="s">
        <v>653</v>
      </c>
      <c r="C401" t="s">
        <v>3580</v>
      </c>
      <c r="E401" s="2">
        <v>3237001400030</v>
      </c>
      <c r="F401" s="1" t="s">
        <v>647</v>
      </c>
      <c r="G401" s="1" t="s">
        <v>53</v>
      </c>
      <c r="H401" s="1" t="s">
        <v>287</v>
      </c>
      <c r="I401" s="1" t="s">
        <v>288</v>
      </c>
      <c r="J401" s="1" t="s">
        <v>46</v>
      </c>
      <c r="K401" t="s">
        <v>650</v>
      </c>
      <c r="M401" s="1" t="s">
        <v>58</v>
      </c>
      <c r="N401" s="1">
        <v>0</v>
      </c>
      <c r="O401" s="1" t="s">
        <v>105</v>
      </c>
      <c r="P401" s="186">
        <v>44713.398831018516</v>
      </c>
      <c r="R401" s="1">
        <v>4</v>
      </c>
      <c r="T401" s="1" t="s">
        <v>646</v>
      </c>
      <c r="U401" s="186">
        <v>44714.398831018516</v>
      </c>
      <c r="V401" s="1" t="s">
        <v>41</v>
      </c>
      <c r="W401" s="1" t="s">
        <v>49</v>
      </c>
      <c r="X401" s="13" t="str">
        <f t="shared" si="47"/>
        <v/>
      </c>
      <c r="Y401" s="2">
        <f t="shared" ca="1" si="42"/>
        <v>196</v>
      </c>
      <c r="Z401" s="14">
        <v>1</v>
      </c>
      <c r="AA401" s="1" t="str">
        <f t="shared" ca="1" si="43"/>
        <v>VENCIDO</v>
      </c>
      <c r="AB401" s="1" t="str">
        <f t="shared" si="44"/>
        <v>C-14</v>
      </c>
      <c r="AC401" s="2" t="str">
        <f t="shared" si="48"/>
        <v xml:space="preserve"> CLEITON </v>
      </c>
      <c r="AD401" s="2">
        <f t="shared" si="45"/>
        <v>15</v>
      </c>
      <c r="AE401" s="2">
        <f t="shared" ca="1" si="46"/>
        <v>-272.27744062500278</v>
      </c>
      <c r="AF401" s="15"/>
    </row>
    <row r="402" spans="1:32" hidden="1">
      <c r="A402" s="1">
        <v>8637700</v>
      </c>
      <c r="B402" s="1" t="s">
        <v>653</v>
      </c>
      <c r="C402" t="s">
        <v>3580</v>
      </c>
      <c r="E402" s="2">
        <v>2988001400030</v>
      </c>
      <c r="F402" s="1" t="s">
        <v>647</v>
      </c>
      <c r="G402" s="1" t="s">
        <v>53</v>
      </c>
      <c r="H402" s="1" t="s">
        <v>536</v>
      </c>
      <c r="I402" s="1" t="s">
        <v>537</v>
      </c>
      <c r="J402" s="1" t="s">
        <v>46</v>
      </c>
      <c r="K402" t="s">
        <v>650</v>
      </c>
      <c r="M402" s="1" t="s">
        <v>58</v>
      </c>
      <c r="N402" s="1">
        <v>0</v>
      </c>
      <c r="O402" s="1" t="s">
        <v>105</v>
      </c>
      <c r="P402" s="186">
        <v>44713.398344907408</v>
      </c>
      <c r="R402" s="1">
        <v>4</v>
      </c>
      <c r="T402" s="1" t="s">
        <v>646</v>
      </c>
      <c r="U402" s="186">
        <v>44714.398356481484</v>
      </c>
      <c r="V402" s="1" t="s">
        <v>41</v>
      </c>
      <c r="W402" s="1" t="s">
        <v>49</v>
      </c>
      <c r="X402" s="13" t="str">
        <f t="shared" si="47"/>
        <v/>
      </c>
      <c r="Y402" s="2">
        <f t="shared" ca="1" si="42"/>
        <v>196</v>
      </c>
      <c r="Z402" s="14">
        <v>1</v>
      </c>
      <c r="AA402" s="1" t="str">
        <f t="shared" ca="1" si="43"/>
        <v>VENCIDO</v>
      </c>
      <c r="AB402" s="1" t="str">
        <f t="shared" si="44"/>
        <v>C-14</v>
      </c>
      <c r="AC402" s="2" t="str">
        <f t="shared" si="48"/>
        <v xml:space="preserve"> CLEITON </v>
      </c>
      <c r="AD402" s="2">
        <f t="shared" si="45"/>
        <v>15</v>
      </c>
      <c r="AE402" s="2">
        <f t="shared" ca="1" si="46"/>
        <v>-272.27791516203433</v>
      </c>
      <c r="AF402" s="15"/>
    </row>
    <row r="403" spans="1:32" hidden="1">
      <c r="A403" s="1">
        <v>8637582</v>
      </c>
      <c r="B403" s="1" t="s">
        <v>653</v>
      </c>
      <c r="C403" t="s">
        <v>3580</v>
      </c>
      <c r="E403" s="2">
        <v>2830001400030</v>
      </c>
      <c r="F403" s="1" t="s">
        <v>647</v>
      </c>
      <c r="G403" s="1" t="s">
        <v>53</v>
      </c>
      <c r="H403" s="1" t="s">
        <v>448</v>
      </c>
      <c r="I403" s="1" t="s">
        <v>449</v>
      </c>
      <c r="J403" s="1" t="s">
        <v>33</v>
      </c>
      <c r="K403" t="s">
        <v>650</v>
      </c>
      <c r="M403" s="1" t="s">
        <v>58</v>
      </c>
      <c r="N403" s="1">
        <v>0</v>
      </c>
      <c r="O403" s="1" t="s">
        <v>105</v>
      </c>
      <c r="P403" s="186">
        <v>44713.397939814815</v>
      </c>
      <c r="R403" s="1">
        <v>4</v>
      </c>
      <c r="T403" s="1" t="s">
        <v>646</v>
      </c>
      <c r="U403" s="186">
        <v>44714.397939814815</v>
      </c>
      <c r="V403" s="1" t="s">
        <v>41</v>
      </c>
      <c r="W403" s="1" t="s">
        <v>42</v>
      </c>
      <c r="X403" s="13" t="str">
        <f t="shared" si="47"/>
        <v/>
      </c>
      <c r="Y403" s="2">
        <f t="shared" ca="1" si="42"/>
        <v>196</v>
      </c>
      <c r="Z403" s="14">
        <v>1</v>
      </c>
      <c r="AA403" s="1" t="str">
        <f t="shared" ca="1" si="43"/>
        <v>VENCIDO</v>
      </c>
      <c r="AB403" s="1" t="str">
        <f t="shared" si="44"/>
        <v>C-14</v>
      </c>
      <c r="AC403" s="2" t="str">
        <f t="shared" si="48"/>
        <v xml:space="preserve"> ROSEMERE </v>
      </c>
      <c r="AD403" s="2">
        <f t="shared" si="45"/>
        <v>15</v>
      </c>
      <c r="AE403" s="2">
        <f t="shared" ca="1" si="46"/>
        <v>-272.27833182870381</v>
      </c>
      <c r="AF403" s="15"/>
    </row>
    <row r="404" spans="1:32" hidden="1">
      <c r="A404" s="1">
        <v>8637567</v>
      </c>
      <c r="B404" s="1" t="s">
        <v>653</v>
      </c>
      <c r="C404" t="s">
        <v>3580</v>
      </c>
      <c r="E404" s="2">
        <v>2811001400030</v>
      </c>
      <c r="F404" s="1" t="s">
        <v>647</v>
      </c>
      <c r="G404" s="1" t="s">
        <v>53</v>
      </c>
      <c r="H404" s="1" t="s">
        <v>44</v>
      </c>
      <c r="I404" s="1" t="s">
        <v>45</v>
      </c>
      <c r="J404" s="1" t="s">
        <v>46</v>
      </c>
      <c r="K404" t="s">
        <v>650</v>
      </c>
      <c r="M404" s="1" t="s">
        <v>58</v>
      </c>
      <c r="N404" s="1">
        <v>0</v>
      </c>
      <c r="O404" s="1" t="s">
        <v>105</v>
      </c>
      <c r="P404" s="186">
        <v>44713.397928240738</v>
      </c>
      <c r="R404" s="1">
        <v>4</v>
      </c>
      <c r="T404" s="1" t="s">
        <v>646</v>
      </c>
      <c r="U404" s="186">
        <v>44714.397928240738</v>
      </c>
      <c r="V404" s="1" t="s">
        <v>41</v>
      </c>
      <c r="W404" s="1" t="s">
        <v>49</v>
      </c>
      <c r="X404" s="13" t="str">
        <f t="shared" si="47"/>
        <v/>
      </c>
      <c r="Y404" s="2">
        <f t="shared" ca="1" si="42"/>
        <v>196</v>
      </c>
      <c r="Z404" s="14">
        <v>1</v>
      </c>
      <c r="AA404" s="1" t="str">
        <f t="shared" ca="1" si="43"/>
        <v>VENCIDO</v>
      </c>
      <c r="AB404" s="1" t="str">
        <f t="shared" si="44"/>
        <v>C-14</v>
      </c>
      <c r="AC404" s="2" t="str">
        <f t="shared" si="48"/>
        <v xml:space="preserve"> CLEITON </v>
      </c>
      <c r="AD404" s="2">
        <f t="shared" si="45"/>
        <v>15</v>
      </c>
      <c r="AE404" s="2">
        <f t="shared" ca="1" si="46"/>
        <v>-272.27834340278059</v>
      </c>
      <c r="AF404" s="15"/>
    </row>
    <row r="405" spans="1:32" hidden="1">
      <c r="A405" s="1">
        <v>8637560</v>
      </c>
      <c r="B405" s="1" t="s">
        <v>653</v>
      </c>
      <c r="C405" t="s">
        <v>3580</v>
      </c>
      <c r="E405" s="2">
        <v>2802001400030</v>
      </c>
      <c r="F405" s="1" t="s">
        <v>647</v>
      </c>
      <c r="G405" s="1" t="s">
        <v>53</v>
      </c>
      <c r="H405" s="1" t="s">
        <v>388</v>
      </c>
      <c r="I405" s="1" t="s">
        <v>389</v>
      </c>
      <c r="J405" s="1" t="s">
        <v>46</v>
      </c>
      <c r="K405" t="s">
        <v>650</v>
      </c>
      <c r="M405" s="1" t="s">
        <v>58</v>
      </c>
      <c r="N405" s="1">
        <v>0</v>
      </c>
      <c r="O405" s="1" t="s">
        <v>105</v>
      </c>
      <c r="P405" s="186">
        <v>44713.397916666669</v>
      </c>
      <c r="R405" s="1">
        <v>4</v>
      </c>
      <c r="T405" s="1" t="s">
        <v>646</v>
      </c>
      <c r="U405" s="186">
        <v>44714.397916666669</v>
      </c>
      <c r="V405" s="1" t="s">
        <v>41</v>
      </c>
      <c r="W405" s="1" t="s">
        <v>49</v>
      </c>
      <c r="X405" s="13" t="str">
        <f t="shared" si="47"/>
        <v/>
      </c>
      <c r="Y405" s="2">
        <f t="shared" ca="1" si="42"/>
        <v>196</v>
      </c>
      <c r="Z405" s="14">
        <v>1</v>
      </c>
      <c r="AA405" s="1" t="str">
        <f t="shared" ca="1" si="43"/>
        <v>VENCIDO</v>
      </c>
      <c r="AB405" s="1" t="str">
        <f t="shared" si="44"/>
        <v>C-14</v>
      </c>
      <c r="AC405" s="2" t="str">
        <f t="shared" si="48"/>
        <v xml:space="preserve"> CLEITON </v>
      </c>
      <c r="AD405" s="2">
        <f t="shared" si="45"/>
        <v>15</v>
      </c>
      <c r="AE405" s="2">
        <f t="shared" ca="1" si="46"/>
        <v>-272.2783549768501</v>
      </c>
      <c r="AF405" s="15"/>
    </row>
    <row r="406" spans="1:32" hidden="1">
      <c r="A406" s="1">
        <v>8637412</v>
      </c>
      <c r="B406" s="1" t="s">
        <v>653</v>
      </c>
      <c r="C406" t="s">
        <v>3580</v>
      </c>
      <c r="E406" s="2">
        <v>2625001400030</v>
      </c>
      <c r="F406" s="1" t="s">
        <v>647</v>
      </c>
      <c r="G406" s="1" t="s">
        <v>53</v>
      </c>
      <c r="H406" s="1" t="s">
        <v>317</v>
      </c>
      <c r="I406" s="1" t="s">
        <v>318</v>
      </c>
      <c r="J406" s="1" t="s">
        <v>164</v>
      </c>
      <c r="K406" t="s">
        <v>650</v>
      </c>
      <c r="M406" s="1" t="s">
        <v>58</v>
      </c>
      <c r="N406" s="1">
        <v>0</v>
      </c>
      <c r="O406" s="1" t="s">
        <v>105</v>
      </c>
      <c r="P406" s="186">
        <v>44713.397581018522</v>
      </c>
      <c r="R406" s="1">
        <v>4</v>
      </c>
      <c r="T406" s="1" t="s">
        <v>646</v>
      </c>
      <c r="U406" s="186">
        <v>44714.397581018522</v>
      </c>
      <c r="V406" s="1" t="s">
        <v>41</v>
      </c>
      <c r="W406" s="1" t="s">
        <v>49</v>
      </c>
      <c r="X406" s="13" t="str">
        <f t="shared" si="47"/>
        <v/>
      </c>
      <c r="Y406" s="2">
        <f t="shared" ca="1" si="42"/>
        <v>196</v>
      </c>
      <c r="Z406" s="14">
        <v>1</v>
      </c>
      <c r="AA406" s="1" t="str">
        <f t="shared" ca="1" si="43"/>
        <v>VENCIDO</v>
      </c>
      <c r="AB406" s="1" t="str">
        <f t="shared" si="44"/>
        <v>C-14</v>
      </c>
      <c r="AC406" s="2" t="str">
        <f t="shared" si="48"/>
        <v xml:space="preserve"> ROSEMERE </v>
      </c>
      <c r="AD406" s="2">
        <f t="shared" si="45"/>
        <v>15</v>
      </c>
      <c r="AE406" s="2">
        <f t="shared" ca="1" si="46"/>
        <v>-272.27869062499667</v>
      </c>
      <c r="AF406" s="15"/>
    </row>
    <row r="407" spans="1:32" hidden="1">
      <c r="A407" s="1">
        <v>8637224</v>
      </c>
      <c r="B407" s="1" t="s">
        <v>653</v>
      </c>
      <c r="C407" t="s">
        <v>3580</v>
      </c>
      <c r="E407" s="2">
        <v>2388001400030</v>
      </c>
      <c r="F407" s="1" t="s">
        <v>647</v>
      </c>
      <c r="G407" s="1" t="s">
        <v>53</v>
      </c>
      <c r="H407" s="1" t="s">
        <v>299</v>
      </c>
      <c r="I407" s="1" t="s">
        <v>300</v>
      </c>
      <c r="J407" s="1" t="s">
        <v>79</v>
      </c>
      <c r="K407" t="s">
        <v>650</v>
      </c>
      <c r="M407" s="1" t="s">
        <v>58</v>
      </c>
      <c r="N407" s="1">
        <v>0</v>
      </c>
      <c r="O407" s="1" t="s">
        <v>105</v>
      </c>
      <c r="P407" s="186">
        <v>44713.397094907406</v>
      </c>
      <c r="R407" s="1">
        <v>4</v>
      </c>
      <c r="T407" s="1" t="s">
        <v>646</v>
      </c>
      <c r="U407" s="186">
        <v>44714.397094907406</v>
      </c>
      <c r="V407" s="1" t="s">
        <v>41</v>
      </c>
      <c r="W407" s="1" t="s">
        <v>49</v>
      </c>
      <c r="X407" s="13" t="str">
        <f t="shared" si="47"/>
        <v/>
      </c>
      <c r="Y407" s="2">
        <f t="shared" ca="1" si="42"/>
        <v>196</v>
      </c>
      <c r="Z407" s="14">
        <v>1</v>
      </c>
      <c r="AA407" s="1" t="str">
        <f t="shared" ca="1" si="43"/>
        <v>VENCIDO</v>
      </c>
      <c r="AB407" s="1" t="str">
        <f t="shared" si="44"/>
        <v>C-14</v>
      </c>
      <c r="AC407" s="2" t="str">
        <f t="shared" si="48"/>
        <v xml:space="preserve"> ROSEMERE </v>
      </c>
      <c r="AD407" s="2">
        <f t="shared" si="45"/>
        <v>15</v>
      </c>
      <c r="AE407" s="2">
        <f t="shared" ca="1" si="46"/>
        <v>-272.27917673611228</v>
      </c>
      <c r="AF407" s="15"/>
    </row>
    <row r="408" spans="1:32" hidden="1">
      <c r="A408" s="1">
        <v>8637210</v>
      </c>
      <c r="B408" s="1" t="s">
        <v>653</v>
      </c>
      <c r="C408" t="s">
        <v>3580</v>
      </c>
      <c r="E408" s="2">
        <v>2369001400030</v>
      </c>
      <c r="F408" s="1" t="s">
        <v>647</v>
      </c>
      <c r="G408" s="1" t="s">
        <v>53</v>
      </c>
      <c r="H408" s="1" t="s">
        <v>701</v>
      </c>
      <c r="I408" s="1" t="s">
        <v>702</v>
      </c>
      <c r="J408" s="1" t="s">
        <v>141</v>
      </c>
      <c r="K408" t="s">
        <v>650</v>
      </c>
      <c r="M408" s="1" t="s">
        <v>58</v>
      </c>
      <c r="N408" s="1">
        <v>0</v>
      </c>
      <c r="O408" s="1" t="s">
        <v>105</v>
      </c>
      <c r="P408" s="186">
        <v>44713.39707175926</v>
      </c>
      <c r="R408" s="1">
        <v>4</v>
      </c>
      <c r="T408" s="1" t="s">
        <v>646</v>
      </c>
      <c r="U408" s="186">
        <v>44714.39707175926</v>
      </c>
      <c r="V408" s="1" t="s">
        <v>41</v>
      </c>
      <c r="W408" s="1" t="s">
        <v>49</v>
      </c>
      <c r="X408" s="13" t="str">
        <f t="shared" si="47"/>
        <v/>
      </c>
      <c r="Y408" s="2">
        <f t="shared" ca="1" si="42"/>
        <v>196</v>
      </c>
      <c r="Z408" s="14">
        <v>1</v>
      </c>
      <c r="AA408" s="1" t="str">
        <f t="shared" ca="1" si="43"/>
        <v>VENCIDO</v>
      </c>
      <c r="AB408" s="1" t="str">
        <f t="shared" si="44"/>
        <v>C-14</v>
      </c>
      <c r="AC408" s="2" t="str">
        <f t="shared" si="48"/>
        <v xml:space="preserve"> CRISTINA </v>
      </c>
      <c r="AD408" s="2">
        <f t="shared" si="45"/>
        <v>15</v>
      </c>
      <c r="AE408" s="2">
        <f t="shared" ca="1" si="46"/>
        <v>-272.27919988425856</v>
      </c>
      <c r="AF408" s="15"/>
    </row>
    <row r="409" spans="1:32" hidden="1">
      <c r="A409" s="1">
        <v>8637207</v>
      </c>
      <c r="B409" s="1" t="s">
        <v>653</v>
      </c>
      <c r="C409" t="s">
        <v>3580</v>
      </c>
      <c r="E409" s="2">
        <v>2365001400030</v>
      </c>
      <c r="F409" s="1" t="s">
        <v>647</v>
      </c>
      <c r="G409" s="1" t="s">
        <v>53</v>
      </c>
      <c r="H409" s="1" t="s">
        <v>159</v>
      </c>
      <c r="I409" s="1" t="s">
        <v>160</v>
      </c>
      <c r="J409" s="1" t="s">
        <v>46</v>
      </c>
      <c r="K409" t="s">
        <v>650</v>
      </c>
      <c r="M409" s="1" t="s">
        <v>58</v>
      </c>
      <c r="N409" s="1">
        <v>0</v>
      </c>
      <c r="O409" s="1" t="s">
        <v>105</v>
      </c>
      <c r="P409" s="186">
        <v>44713.397060185183</v>
      </c>
      <c r="R409" s="1">
        <v>4</v>
      </c>
      <c r="T409" s="1" t="s">
        <v>646</v>
      </c>
      <c r="U409" s="186">
        <v>44714.39707175926</v>
      </c>
      <c r="V409" s="1" t="s">
        <v>41</v>
      </c>
      <c r="W409" s="1" t="s">
        <v>49</v>
      </c>
      <c r="X409" s="13" t="str">
        <f t="shared" si="47"/>
        <v/>
      </c>
      <c r="Y409" s="2">
        <f t="shared" ca="1" si="42"/>
        <v>196</v>
      </c>
      <c r="Z409" s="14">
        <v>1</v>
      </c>
      <c r="AA409" s="1" t="str">
        <f t="shared" ca="1" si="43"/>
        <v>VENCIDO</v>
      </c>
      <c r="AB409" s="1" t="str">
        <f t="shared" si="44"/>
        <v>C-14</v>
      </c>
      <c r="AC409" s="2" t="str">
        <f t="shared" si="48"/>
        <v xml:space="preserve"> CLEITON </v>
      </c>
      <c r="AD409" s="2">
        <f t="shared" si="45"/>
        <v>15</v>
      </c>
      <c r="AE409" s="2">
        <f t="shared" ca="1" si="46"/>
        <v>-272.27919988425856</v>
      </c>
      <c r="AF409" s="15"/>
    </row>
    <row r="410" spans="1:32" hidden="1">
      <c r="A410" s="1">
        <v>8637176</v>
      </c>
      <c r="B410" s="1" t="s">
        <v>653</v>
      </c>
      <c r="C410" t="s">
        <v>3580</v>
      </c>
      <c r="E410" s="2">
        <v>2326001400030</v>
      </c>
      <c r="F410" s="1" t="s">
        <v>647</v>
      </c>
      <c r="G410" s="1" t="s">
        <v>53</v>
      </c>
      <c r="H410" s="1" t="s">
        <v>191</v>
      </c>
      <c r="I410" s="1" t="s">
        <v>192</v>
      </c>
      <c r="J410" s="1" t="s">
        <v>46</v>
      </c>
      <c r="K410" t="s">
        <v>650</v>
      </c>
      <c r="M410" s="1" t="s">
        <v>58</v>
      </c>
      <c r="N410" s="1">
        <v>0</v>
      </c>
      <c r="O410" s="1" t="s">
        <v>105</v>
      </c>
      <c r="P410" s="186">
        <v>44713.397013888891</v>
      </c>
      <c r="R410" s="1">
        <v>4</v>
      </c>
      <c r="T410" s="1" t="s">
        <v>646</v>
      </c>
      <c r="U410" s="186">
        <v>44714.397013888891</v>
      </c>
      <c r="V410" s="1" t="s">
        <v>41</v>
      </c>
      <c r="W410" s="1" t="s">
        <v>49</v>
      </c>
      <c r="X410" s="13" t="str">
        <f t="shared" si="47"/>
        <v/>
      </c>
      <c r="Y410" s="2">
        <f t="shared" ca="1" si="42"/>
        <v>196</v>
      </c>
      <c r="Z410" s="14">
        <v>1</v>
      </c>
      <c r="AA410" s="1" t="str">
        <f t="shared" ca="1" si="43"/>
        <v>VENCIDO</v>
      </c>
      <c r="AB410" s="1" t="str">
        <f t="shared" si="44"/>
        <v>C-14</v>
      </c>
      <c r="AC410" s="2" t="str">
        <f t="shared" si="48"/>
        <v xml:space="preserve"> CLEITON </v>
      </c>
      <c r="AD410" s="2">
        <f t="shared" si="45"/>
        <v>15</v>
      </c>
      <c r="AE410" s="2">
        <f t="shared" ca="1" si="46"/>
        <v>-272.27925775462791</v>
      </c>
      <c r="AF410" s="15"/>
    </row>
    <row r="411" spans="1:32" hidden="1">
      <c r="A411" s="1">
        <v>8637101</v>
      </c>
      <c r="B411" s="1" t="s">
        <v>653</v>
      </c>
      <c r="C411" t="s">
        <v>3580</v>
      </c>
      <c r="E411" s="2">
        <v>2238001400030</v>
      </c>
      <c r="F411" s="1" t="s">
        <v>647</v>
      </c>
      <c r="G411" s="1" t="s">
        <v>53</v>
      </c>
      <c r="H411" s="1" t="s">
        <v>707</v>
      </c>
      <c r="I411" s="1" t="s">
        <v>708</v>
      </c>
      <c r="J411" s="1" t="s">
        <v>79</v>
      </c>
      <c r="K411" t="s">
        <v>650</v>
      </c>
      <c r="M411" s="1" t="s">
        <v>58</v>
      </c>
      <c r="N411" s="1">
        <v>0</v>
      </c>
      <c r="O411" s="1" t="s">
        <v>105</v>
      </c>
      <c r="P411" s="186">
        <v>44713.396805555552</v>
      </c>
      <c r="R411" s="1">
        <v>4</v>
      </c>
      <c r="T411" s="1" t="s">
        <v>646</v>
      </c>
      <c r="U411" s="186">
        <v>44714.396817129629</v>
      </c>
      <c r="V411" s="1" t="s">
        <v>41</v>
      </c>
      <c r="W411" s="1" t="s">
        <v>49</v>
      </c>
      <c r="X411" s="13" t="str">
        <f t="shared" si="47"/>
        <v/>
      </c>
      <c r="Y411" s="2">
        <f t="shared" ca="1" si="42"/>
        <v>196</v>
      </c>
      <c r="Z411" s="14">
        <v>1</v>
      </c>
      <c r="AA411" s="1" t="str">
        <f t="shared" ca="1" si="43"/>
        <v>VENCIDO</v>
      </c>
      <c r="AB411" s="1" t="str">
        <f t="shared" si="44"/>
        <v>C-14</v>
      </c>
      <c r="AC411" s="2" t="str">
        <f t="shared" si="48"/>
        <v xml:space="preserve"> ROSEMERE </v>
      </c>
      <c r="AD411" s="2">
        <f t="shared" si="45"/>
        <v>15</v>
      </c>
      <c r="AE411" s="2">
        <f t="shared" ca="1" si="46"/>
        <v>-272.2794545138895</v>
      </c>
      <c r="AF411" s="15"/>
    </row>
    <row r="412" spans="1:32" hidden="1">
      <c r="A412" s="1">
        <v>8637084</v>
      </c>
      <c r="B412" s="1" t="s">
        <v>653</v>
      </c>
      <c r="C412" t="s">
        <v>3580</v>
      </c>
      <c r="E412" s="2">
        <v>2219001400030</v>
      </c>
      <c r="F412" s="1" t="s">
        <v>647</v>
      </c>
      <c r="G412" s="1" t="s">
        <v>53</v>
      </c>
      <c r="H412" s="1" t="s">
        <v>893</v>
      </c>
      <c r="I412" s="1" t="s">
        <v>894</v>
      </c>
      <c r="J412" s="1" t="s">
        <v>141</v>
      </c>
      <c r="K412" t="s">
        <v>650</v>
      </c>
      <c r="M412" s="1" t="s">
        <v>58</v>
      </c>
      <c r="N412" s="1">
        <v>0</v>
      </c>
      <c r="O412" s="1" t="s">
        <v>105</v>
      </c>
      <c r="P412" s="186">
        <v>44713.396793981483</v>
      </c>
      <c r="R412" s="1">
        <v>4</v>
      </c>
      <c r="T412" s="1" t="s">
        <v>646</v>
      </c>
      <c r="U412" s="186">
        <v>44714.396793981483</v>
      </c>
      <c r="V412" s="1" t="s">
        <v>41</v>
      </c>
      <c r="W412" s="1" t="s">
        <v>49</v>
      </c>
      <c r="X412" s="13" t="str">
        <f t="shared" si="47"/>
        <v/>
      </c>
      <c r="Y412" s="2">
        <f t="shared" ca="1" si="42"/>
        <v>196</v>
      </c>
      <c r="Z412" s="14">
        <v>1</v>
      </c>
      <c r="AA412" s="1" t="str">
        <f t="shared" ca="1" si="43"/>
        <v>VENCIDO</v>
      </c>
      <c r="AB412" s="1" t="str">
        <f t="shared" si="44"/>
        <v>C-14</v>
      </c>
      <c r="AC412" s="2" t="str">
        <f t="shared" si="48"/>
        <v xml:space="preserve"> CRISTINA </v>
      </c>
      <c r="AD412" s="2">
        <f t="shared" si="45"/>
        <v>15</v>
      </c>
      <c r="AE412" s="2">
        <f t="shared" ca="1" si="46"/>
        <v>-272.27947766203579</v>
      </c>
      <c r="AF412" s="15"/>
    </row>
    <row r="413" spans="1:32" hidden="1">
      <c r="A413" s="1">
        <v>8637010</v>
      </c>
      <c r="B413" s="1" t="s">
        <v>653</v>
      </c>
      <c r="C413" t="s">
        <v>3580</v>
      </c>
      <c r="E413" s="2">
        <v>2138001400030</v>
      </c>
      <c r="F413" s="1" t="s">
        <v>647</v>
      </c>
      <c r="G413" s="1" t="s">
        <v>53</v>
      </c>
      <c r="H413" s="1" t="s">
        <v>379</v>
      </c>
      <c r="I413" s="1" t="s">
        <v>380</v>
      </c>
      <c r="J413" s="1" t="s">
        <v>46</v>
      </c>
      <c r="K413" t="s">
        <v>650</v>
      </c>
      <c r="M413" s="1" t="s">
        <v>58</v>
      </c>
      <c r="N413" s="1">
        <v>0</v>
      </c>
      <c r="O413" s="1" t="s">
        <v>105</v>
      </c>
      <c r="P413" s="186">
        <v>44713.396608796298</v>
      </c>
      <c r="R413" s="1">
        <v>4</v>
      </c>
      <c r="T413" s="1" t="s">
        <v>646</v>
      </c>
      <c r="U413" s="186">
        <v>44714.396608796298</v>
      </c>
      <c r="V413" s="1" t="s">
        <v>41</v>
      </c>
      <c r="W413" s="1" t="s">
        <v>49</v>
      </c>
      <c r="X413" s="13" t="str">
        <f t="shared" si="47"/>
        <v/>
      </c>
      <c r="Y413" s="2">
        <f t="shared" ca="1" si="42"/>
        <v>196</v>
      </c>
      <c r="Z413" s="14">
        <v>1</v>
      </c>
      <c r="AA413" s="1" t="str">
        <f t="shared" ca="1" si="43"/>
        <v>VENCIDO</v>
      </c>
      <c r="AB413" s="1" t="str">
        <f t="shared" si="44"/>
        <v>C-14</v>
      </c>
      <c r="AC413" s="2" t="str">
        <f t="shared" si="48"/>
        <v xml:space="preserve"> CLEITON </v>
      </c>
      <c r="AD413" s="2">
        <f t="shared" si="45"/>
        <v>15</v>
      </c>
      <c r="AE413" s="2">
        <f t="shared" ca="1" si="46"/>
        <v>-272.27966284722061</v>
      </c>
      <c r="AF413" s="15"/>
    </row>
    <row r="414" spans="1:32" hidden="1">
      <c r="A414" s="1">
        <v>8636954</v>
      </c>
      <c r="B414" s="1" t="s">
        <v>653</v>
      </c>
      <c r="C414" t="s">
        <v>3580</v>
      </c>
      <c r="E414" s="2">
        <v>2069001400030</v>
      </c>
      <c r="F414" s="1" t="s">
        <v>647</v>
      </c>
      <c r="G414" s="1" t="s">
        <v>53</v>
      </c>
      <c r="H414" s="1" t="s">
        <v>557</v>
      </c>
      <c r="I414" s="1" t="s">
        <v>558</v>
      </c>
      <c r="J414" s="1" t="s">
        <v>90</v>
      </c>
      <c r="K414" t="s">
        <v>650</v>
      </c>
      <c r="M414" s="1" t="s">
        <v>58</v>
      </c>
      <c r="N414" s="1">
        <v>0</v>
      </c>
      <c r="O414" s="1" t="s">
        <v>105</v>
      </c>
      <c r="P414" s="186">
        <v>44713.396458333336</v>
      </c>
      <c r="R414" s="1">
        <v>4</v>
      </c>
      <c r="T414" s="1" t="s">
        <v>646</v>
      </c>
      <c r="U414" s="186">
        <v>44714.396458333336</v>
      </c>
      <c r="V414" s="1" t="s">
        <v>41</v>
      </c>
      <c r="W414" s="1" t="s">
        <v>49</v>
      </c>
      <c r="X414" s="13" t="str">
        <f t="shared" si="47"/>
        <v/>
      </c>
      <c r="Y414" s="2">
        <f t="shared" ca="1" si="42"/>
        <v>196</v>
      </c>
      <c r="Z414" s="14">
        <v>1</v>
      </c>
      <c r="AA414" s="1" t="str">
        <f t="shared" ca="1" si="43"/>
        <v>VENCIDO</v>
      </c>
      <c r="AB414" s="1" t="str">
        <f t="shared" si="44"/>
        <v>C-14</v>
      </c>
      <c r="AC414" s="2" t="str">
        <f t="shared" si="48"/>
        <v xml:space="preserve"> RINALDO </v>
      </c>
      <c r="AD414" s="2">
        <f t="shared" si="45"/>
        <v>15</v>
      </c>
      <c r="AE414" s="2">
        <f t="shared" ca="1" si="46"/>
        <v>-272.27981331018236</v>
      </c>
      <c r="AF414" s="15"/>
    </row>
    <row r="415" spans="1:32" hidden="1">
      <c r="A415" s="1">
        <v>8636914</v>
      </c>
      <c r="B415" s="1" t="s">
        <v>653</v>
      </c>
      <c r="C415" t="s">
        <v>3580</v>
      </c>
      <c r="E415" s="2">
        <v>2018001400030</v>
      </c>
      <c r="F415" s="1" t="s">
        <v>647</v>
      </c>
      <c r="G415" s="1" t="s">
        <v>53</v>
      </c>
      <c r="H415" s="1" t="s">
        <v>598</v>
      </c>
      <c r="I415" s="1" t="s">
        <v>599</v>
      </c>
      <c r="J415" s="1" t="s">
        <v>79</v>
      </c>
      <c r="K415" t="s">
        <v>650</v>
      </c>
      <c r="M415" s="1" t="s">
        <v>58</v>
      </c>
      <c r="N415" s="1">
        <v>0</v>
      </c>
      <c r="O415" s="1" t="s">
        <v>105</v>
      </c>
      <c r="P415" s="186">
        <v>44713.39640046296</v>
      </c>
      <c r="R415" s="1">
        <v>4</v>
      </c>
      <c r="T415" s="1" t="s">
        <v>646</v>
      </c>
      <c r="U415" s="186">
        <v>44714.39640046296</v>
      </c>
      <c r="V415" s="1" t="s">
        <v>41</v>
      </c>
      <c r="W415" s="1" t="s">
        <v>49</v>
      </c>
      <c r="X415" s="13" t="str">
        <f t="shared" si="47"/>
        <v/>
      </c>
      <c r="Y415" s="2">
        <f t="shared" ca="1" si="42"/>
        <v>196</v>
      </c>
      <c r="Z415" s="14">
        <v>1</v>
      </c>
      <c r="AA415" s="1" t="str">
        <f t="shared" ca="1" si="43"/>
        <v>VENCIDO</v>
      </c>
      <c r="AB415" s="1" t="str">
        <f t="shared" si="44"/>
        <v>C-14</v>
      </c>
      <c r="AC415" s="2" t="str">
        <f t="shared" si="48"/>
        <v xml:space="preserve"> ROSEMERE </v>
      </c>
      <c r="AD415" s="2">
        <f t="shared" si="45"/>
        <v>15</v>
      </c>
      <c r="AE415" s="2">
        <f t="shared" ca="1" si="46"/>
        <v>-272.27987118055898</v>
      </c>
      <c r="AF415" s="15"/>
    </row>
    <row r="416" spans="1:32" hidden="1">
      <c r="A416" s="1">
        <v>8636827</v>
      </c>
      <c r="B416" s="1" t="s">
        <v>653</v>
      </c>
      <c r="C416" t="s">
        <v>3580</v>
      </c>
      <c r="E416" s="2">
        <v>1838001400030</v>
      </c>
      <c r="F416" s="1" t="s">
        <v>647</v>
      </c>
      <c r="G416" s="1" t="s">
        <v>53</v>
      </c>
      <c r="H416" s="1" t="s">
        <v>357</v>
      </c>
      <c r="I416" s="1" t="s">
        <v>358</v>
      </c>
      <c r="J416" s="1" t="s">
        <v>46</v>
      </c>
      <c r="K416" t="s">
        <v>650</v>
      </c>
      <c r="M416" s="1" t="s">
        <v>58</v>
      </c>
      <c r="N416" s="1">
        <v>0</v>
      </c>
      <c r="O416" s="1" t="s">
        <v>105</v>
      </c>
      <c r="P416" s="186">
        <v>44713.396203703705</v>
      </c>
      <c r="R416" s="1">
        <v>4</v>
      </c>
      <c r="T416" s="1" t="s">
        <v>646</v>
      </c>
      <c r="U416" s="186">
        <v>44714.396203703705</v>
      </c>
      <c r="V416" s="1" t="s">
        <v>41</v>
      </c>
      <c r="W416" s="1" t="s">
        <v>49</v>
      </c>
      <c r="X416" s="13" t="str">
        <f t="shared" si="47"/>
        <v/>
      </c>
      <c r="Y416" s="2">
        <f t="shared" ca="1" si="42"/>
        <v>196</v>
      </c>
      <c r="Z416" s="14">
        <v>1</v>
      </c>
      <c r="AA416" s="1" t="str">
        <f t="shared" ca="1" si="43"/>
        <v>VENCIDO</v>
      </c>
      <c r="AB416" s="1" t="str">
        <f t="shared" si="44"/>
        <v>C-14</v>
      </c>
      <c r="AC416" s="2" t="str">
        <f t="shared" si="48"/>
        <v xml:space="preserve"> CLEITON </v>
      </c>
      <c r="AD416" s="2">
        <f t="shared" si="45"/>
        <v>15</v>
      </c>
      <c r="AE416" s="2">
        <f t="shared" ca="1" si="46"/>
        <v>-272.28006793981331</v>
      </c>
      <c r="AF416" s="15"/>
    </row>
    <row r="417" spans="1:32" hidden="1">
      <c r="A417" s="1">
        <v>8636825</v>
      </c>
      <c r="B417" s="1" t="s">
        <v>653</v>
      </c>
      <c r="C417" t="s">
        <v>3580</v>
      </c>
      <c r="E417" s="2">
        <v>1836001400030</v>
      </c>
      <c r="F417" s="1" t="s">
        <v>647</v>
      </c>
      <c r="G417" s="1" t="s">
        <v>53</v>
      </c>
      <c r="H417" s="1" t="s">
        <v>455</v>
      </c>
      <c r="I417" s="1" t="s">
        <v>456</v>
      </c>
      <c r="J417" s="1" t="s">
        <v>46</v>
      </c>
      <c r="K417" t="s">
        <v>650</v>
      </c>
      <c r="M417" s="1" t="s">
        <v>58</v>
      </c>
      <c r="N417" s="1">
        <v>0</v>
      </c>
      <c r="O417" s="1" t="s">
        <v>105</v>
      </c>
      <c r="P417" s="186">
        <v>44713.396203703705</v>
      </c>
      <c r="R417" s="1">
        <v>4</v>
      </c>
      <c r="T417" s="1" t="s">
        <v>646</v>
      </c>
      <c r="U417" s="186">
        <v>44714.396203703705</v>
      </c>
      <c r="V417" s="1" t="s">
        <v>41</v>
      </c>
      <c r="W417" s="1" t="s">
        <v>49</v>
      </c>
      <c r="X417" s="13" t="str">
        <f t="shared" si="47"/>
        <v/>
      </c>
      <c r="Y417" s="2">
        <f t="shared" ca="1" si="42"/>
        <v>196</v>
      </c>
      <c r="Z417" s="14">
        <v>1</v>
      </c>
      <c r="AA417" s="1" t="str">
        <f t="shared" ca="1" si="43"/>
        <v>VENCIDO</v>
      </c>
      <c r="AB417" s="1" t="str">
        <f t="shared" si="44"/>
        <v>C-14</v>
      </c>
      <c r="AC417" s="2" t="str">
        <f t="shared" si="48"/>
        <v xml:space="preserve"> CLEITON </v>
      </c>
      <c r="AD417" s="2">
        <f t="shared" si="45"/>
        <v>15</v>
      </c>
      <c r="AE417" s="2">
        <f t="shared" ca="1" si="46"/>
        <v>-272.28006793981331</v>
      </c>
      <c r="AF417" s="15"/>
    </row>
    <row r="418" spans="1:32" hidden="1">
      <c r="A418" s="1">
        <v>8636824</v>
      </c>
      <c r="B418" s="1" t="s">
        <v>653</v>
      </c>
      <c r="C418" t="s">
        <v>3580</v>
      </c>
      <c r="E418" s="2">
        <v>1835001400030</v>
      </c>
      <c r="F418" s="1" t="s">
        <v>647</v>
      </c>
      <c r="G418" s="1" t="s">
        <v>53</v>
      </c>
      <c r="H418" s="1" t="s">
        <v>305</v>
      </c>
      <c r="I418" s="1" t="s">
        <v>306</v>
      </c>
      <c r="J418" s="1" t="s">
        <v>46</v>
      </c>
      <c r="K418" t="s">
        <v>650</v>
      </c>
      <c r="M418" s="1" t="s">
        <v>58</v>
      </c>
      <c r="N418" s="1">
        <v>0</v>
      </c>
      <c r="O418" s="1" t="s">
        <v>105</v>
      </c>
      <c r="P418" s="186">
        <v>44713.396203703705</v>
      </c>
      <c r="R418" s="1">
        <v>4</v>
      </c>
      <c r="T418" s="1" t="s">
        <v>646</v>
      </c>
      <c r="U418" s="186">
        <v>44714.396203703705</v>
      </c>
      <c r="V418" s="1" t="s">
        <v>41</v>
      </c>
      <c r="W418" s="1" t="s">
        <v>49</v>
      </c>
      <c r="X418" s="13" t="str">
        <f t="shared" si="47"/>
        <v/>
      </c>
      <c r="Y418" s="2">
        <f t="shared" ca="1" si="42"/>
        <v>196</v>
      </c>
      <c r="Z418" s="14">
        <v>1</v>
      </c>
      <c r="AA418" s="1" t="str">
        <f t="shared" ca="1" si="43"/>
        <v>VENCIDO</v>
      </c>
      <c r="AB418" s="1" t="str">
        <f t="shared" si="44"/>
        <v>C-14</v>
      </c>
      <c r="AC418" s="2" t="str">
        <f t="shared" si="48"/>
        <v xml:space="preserve"> CLEITON </v>
      </c>
      <c r="AD418" s="2">
        <f t="shared" si="45"/>
        <v>15</v>
      </c>
      <c r="AE418" s="2">
        <f t="shared" ca="1" si="46"/>
        <v>-272.28006793981331</v>
      </c>
      <c r="AF418" s="15"/>
    </row>
    <row r="419" spans="1:32" hidden="1">
      <c r="A419" s="1">
        <v>8636822</v>
      </c>
      <c r="B419" s="1" t="s">
        <v>653</v>
      </c>
      <c r="C419" t="s">
        <v>3580</v>
      </c>
      <c r="E419" s="2">
        <v>1833001400030</v>
      </c>
      <c r="F419" s="1" t="s">
        <v>647</v>
      </c>
      <c r="G419" s="1" t="s">
        <v>53</v>
      </c>
      <c r="H419" s="1" t="s">
        <v>369</v>
      </c>
      <c r="I419" s="1" t="s">
        <v>370</v>
      </c>
      <c r="J419" s="1" t="s">
        <v>46</v>
      </c>
      <c r="K419" t="s">
        <v>650</v>
      </c>
      <c r="M419" s="1" t="s">
        <v>58</v>
      </c>
      <c r="N419" s="1">
        <v>0</v>
      </c>
      <c r="O419" s="1" t="s">
        <v>105</v>
      </c>
      <c r="P419" s="186">
        <v>44713.396192129629</v>
      </c>
      <c r="R419" s="1">
        <v>4</v>
      </c>
      <c r="T419" s="1" t="s">
        <v>646</v>
      </c>
      <c r="U419" s="186">
        <v>44714.396203703705</v>
      </c>
      <c r="V419" s="1" t="s">
        <v>41</v>
      </c>
      <c r="W419" s="1" t="s">
        <v>49</v>
      </c>
      <c r="X419" s="13" t="str">
        <f t="shared" si="47"/>
        <v/>
      </c>
      <c r="Y419" s="2">
        <f t="shared" ca="1" si="42"/>
        <v>196</v>
      </c>
      <c r="Z419" s="14">
        <v>1</v>
      </c>
      <c r="AA419" s="1" t="str">
        <f t="shared" ca="1" si="43"/>
        <v>VENCIDO</v>
      </c>
      <c r="AB419" s="1" t="str">
        <f t="shared" si="44"/>
        <v>C-14</v>
      </c>
      <c r="AC419" s="2" t="str">
        <f t="shared" si="48"/>
        <v xml:space="preserve"> CLEITON </v>
      </c>
      <c r="AD419" s="2">
        <f t="shared" si="45"/>
        <v>15</v>
      </c>
      <c r="AE419" s="2">
        <f t="shared" ca="1" si="46"/>
        <v>-272.28006793981331</v>
      </c>
      <c r="AF419" s="15"/>
    </row>
    <row r="420" spans="1:32" hidden="1">
      <c r="A420" s="1">
        <v>8636773</v>
      </c>
      <c r="B420" s="1" t="s">
        <v>653</v>
      </c>
      <c r="C420" t="s">
        <v>3580</v>
      </c>
      <c r="E420" s="2">
        <v>1764001400030</v>
      </c>
      <c r="F420" s="1" t="s">
        <v>647</v>
      </c>
      <c r="G420" s="1" t="s">
        <v>53</v>
      </c>
      <c r="H420" s="1" t="s">
        <v>722</v>
      </c>
      <c r="I420" s="1" t="s">
        <v>723</v>
      </c>
      <c r="J420" s="1" t="s">
        <v>90</v>
      </c>
      <c r="K420" t="s">
        <v>650</v>
      </c>
      <c r="M420" s="1" t="s">
        <v>58</v>
      </c>
      <c r="N420" s="1">
        <v>0</v>
      </c>
      <c r="O420" s="1" t="s">
        <v>36</v>
      </c>
      <c r="P420" s="186">
        <v>44713.396122685182</v>
      </c>
      <c r="R420" s="1">
        <v>4</v>
      </c>
      <c r="T420" s="1" t="s">
        <v>646</v>
      </c>
      <c r="U420" s="186">
        <v>44714.396122685182</v>
      </c>
      <c r="V420" s="1" t="s">
        <v>41</v>
      </c>
      <c r="W420" s="1" t="s">
        <v>49</v>
      </c>
      <c r="X420" s="13" t="str">
        <f t="shared" si="47"/>
        <v/>
      </c>
      <c r="Y420" s="2">
        <f t="shared" ca="1" si="42"/>
        <v>196</v>
      </c>
      <c r="Z420" s="14">
        <v>1</v>
      </c>
      <c r="AA420" s="1" t="str">
        <f t="shared" ca="1" si="43"/>
        <v>VENCIDO</v>
      </c>
      <c r="AB420" s="1" t="str">
        <f t="shared" si="44"/>
        <v>C-14</v>
      </c>
      <c r="AC420" s="2" t="str">
        <f t="shared" si="48"/>
        <v xml:space="preserve"> RINALDO </v>
      </c>
      <c r="AD420" s="2">
        <f t="shared" si="45"/>
        <v>15</v>
      </c>
      <c r="AE420" s="2">
        <f t="shared" ca="1" si="46"/>
        <v>-272.28014895833621</v>
      </c>
      <c r="AF420" s="15"/>
    </row>
    <row r="421" spans="1:32" hidden="1">
      <c r="A421" s="1">
        <v>8636745</v>
      </c>
      <c r="B421" s="1" t="s">
        <v>653</v>
      </c>
      <c r="C421" t="s">
        <v>3580</v>
      </c>
      <c r="E421" s="2">
        <v>1732001400030</v>
      </c>
      <c r="F421" s="1" t="s">
        <v>647</v>
      </c>
      <c r="G421" s="1" t="s">
        <v>53</v>
      </c>
      <c r="H421" s="1" t="s">
        <v>177</v>
      </c>
      <c r="I421" s="1" t="s">
        <v>178</v>
      </c>
      <c r="J421" s="1" t="s">
        <v>164</v>
      </c>
      <c r="K421" t="s">
        <v>650</v>
      </c>
      <c r="M421" s="1" t="s">
        <v>58</v>
      </c>
      <c r="N421" s="1">
        <v>0</v>
      </c>
      <c r="O421" s="1" t="s">
        <v>105</v>
      </c>
      <c r="P421" s="186">
        <v>44713.395995370367</v>
      </c>
      <c r="R421" s="1">
        <v>4</v>
      </c>
      <c r="T421" s="1" t="s">
        <v>646</v>
      </c>
      <c r="U421" s="186">
        <v>44714.396006944444</v>
      </c>
      <c r="V421" s="1" t="s">
        <v>41</v>
      </c>
      <c r="W421" s="1" t="s">
        <v>49</v>
      </c>
      <c r="X421" s="13" t="str">
        <f t="shared" si="47"/>
        <v/>
      </c>
      <c r="Y421" s="2">
        <f t="shared" ca="1" si="42"/>
        <v>196</v>
      </c>
      <c r="Z421" s="14">
        <v>1</v>
      </c>
      <c r="AA421" s="1" t="str">
        <f t="shared" ca="1" si="43"/>
        <v>VENCIDO</v>
      </c>
      <c r="AB421" s="1" t="str">
        <f t="shared" si="44"/>
        <v>C-14</v>
      </c>
      <c r="AC421" s="2" t="str">
        <f t="shared" si="48"/>
        <v xml:space="preserve"> ROSEMERE </v>
      </c>
      <c r="AD421" s="2">
        <f t="shared" si="45"/>
        <v>15</v>
      </c>
      <c r="AE421" s="2">
        <f t="shared" ca="1" si="46"/>
        <v>-272.28026469907491</v>
      </c>
      <c r="AF421" s="15"/>
    </row>
    <row r="422" spans="1:32" hidden="1">
      <c r="A422" s="1">
        <v>8636688</v>
      </c>
      <c r="B422" s="1" t="s">
        <v>653</v>
      </c>
      <c r="C422" t="s">
        <v>3580</v>
      </c>
      <c r="E422" s="2">
        <v>1664001400030</v>
      </c>
      <c r="F422" s="1" t="s">
        <v>647</v>
      </c>
      <c r="G422" s="1" t="s">
        <v>53</v>
      </c>
      <c r="H422" s="1" t="s">
        <v>307</v>
      </c>
      <c r="I422" s="1" t="s">
        <v>308</v>
      </c>
      <c r="J422" s="1" t="s">
        <v>164</v>
      </c>
      <c r="K422" t="s">
        <v>650</v>
      </c>
      <c r="M422" s="1" t="s">
        <v>58</v>
      </c>
      <c r="N422" s="1">
        <v>0</v>
      </c>
      <c r="O422" s="1" t="s">
        <v>105</v>
      </c>
      <c r="P422" s="186">
        <v>44713.395914351851</v>
      </c>
      <c r="R422" s="1">
        <v>4</v>
      </c>
      <c r="T422" s="1" t="s">
        <v>646</v>
      </c>
      <c r="U422" s="186">
        <v>44714.395914351851</v>
      </c>
      <c r="V422" s="1" t="s">
        <v>41</v>
      </c>
      <c r="W422" s="1" t="s">
        <v>49</v>
      </c>
      <c r="X422" s="13" t="str">
        <f t="shared" si="47"/>
        <v/>
      </c>
      <c r="Y422" s="2">
        <f t="shared" ca="1" si="42"/>
        <v>196</v>
      </c>
      <c r="Z422" s="14">
        <v>1</v>
      </c>
      <c r="AA422" s="1" t="str">
        <f t="shared" ca="1" si="43"/>
        <v>VENCIDO</v>
      </c>
      <c r="AB422" s="1" t="str">
        <f t="shared" si="44"/>
        <v>C-14</v>
      </c>
      <c r="AC422" s="2" t="str">
        <f t="shared" si="48"/>
        <v xml:space="preserve"> ROSEMERE </v>
      </c>
      <c r="AD422" s="2">
        <f t="shared" si="45"/>
        <v>15</v>
      </c>
      <c r="AE422" s="2">
        <f t="shared" ca="1" si="46"/>
        <v>-272.28035729166731</v>
      </c>
      <c r="AF422" s="15"/>
    </row>
    <row r="423" spans="1:32" hidden="1">
      <c r="A423" s="1">
        <v>8636669</v>
      </c>
      <c r="B423" s="1" t="s">
        <v>653</v>
      </c>
      <c r="C423" t="s">
        <v>3580</v>
      </c>
      <c r="E423" s="2">
        <v>1643001400030</v>
      </c>
      <c r="F423" s="1" t="s">
        <v>647</v>
      </c>
      <c r="G423" s="1" t="s">
        <v>53</v>
      </c>
      <c r="H423" s="1" t="s">
        <v>361</v>
      </c>
      <c r="I423" s="1" t="s">
        <v>362</v>
      </c>
      <c r="J423" s="1" t="s">
        <v>261</v>
      </c>
      <c r="K423" t="s">
        <v>650</v>
      </c>
      <c r="M423" s="1" t="s">
        <v>58</v>
      </c>
      <c r="N423" s="1">
        <v>0</v>
      </c>
      <c r="O423" s="1" t="s">
        <v>105</v>
      </c>
      <c r="P423" s="186">
        <v>44713.395891203705</v>
      </c>
      <c r="R423" s="1">
        <v>4</v>
      </c>
      <c r="T423" s="1" t="s">
        <v>646</v>
      </c>
      <c r="U423" s="186">
        <v>44714.395891203705</v>
      </c>
      <c r="V423" s="1" t="s">
        <v>41</v>
      </c>
      <c r="W423" s="1" t="s">
        <v>49</v>
      </c>
      <c r="X423" s="13" t="str">
        <f t="shared" si="47"/>
        <v/>
      </c>
      <c r="Y423" s="2">
        <f t="shared" ca="1" si="42"/>
        <v>196</v>
      </c>
      <c r="Z423" s="14">
        <v>1</v>
      </c>
      <c r="AA423" s="1" t="str">
        <f t="shared" ca="1" si="43"/>
        <v>VENCIDO</v>
      </c>
      <c r="AB423" s="1" t="str">
        <f t="shared" si="44"/>
        <v>C-14</v>
      </c>
      <c r="AC423" s="2" t="str">
        <f t="shared" si="48"/>
        <v xml:space="preserve"> CRISTINA </v>
      </c>
      <c r="AD423" s="2">
        <f t="shared" si="45"/>
        <v>15</v>
      </c>
      <c r="AE423" s="2">
        <f t="shared" ca="1" si="46"/>
        <v>-272.2803804398136</v>
      </c>
      <c r="AF423" s="15"/>
    </row>
    <row r="424" spans="1:32" hidden="1">
      <c r="A424" s="1">
        <v>8636651</v>
      </c>
      <c r="B424" s="1" t="s">
        <v>653</v>
      </c>
      <c r="C424" t="s">
        <v>3580</v>
      </c>
      <c r="E424" s="2">
        <v>1620001400030</v>
      </c>
      <c r="F424" s="1" t="s">
        <v>647</v>
      </c>
      <c r="G424" s="1" t="s">
        <v>53</v>
      </c>
      <c r="H424" s="1" t="s">
        <v>402</v>
      </c>
      <c r="I424" s="1" t="s">
        <v>403</v>
      </c>
      <c r="J424" s="1" t="s">
        <v>46</v>
      </c>
      <c r="K424" t="s">
        <v>650</v>
      </c>
      <c r="M424" s="1" t="s">
        <v>58</v>
      </c>
      <c r="N424" s="1">
        <v>0</v>
      </c>
      <c r="O424" s="1" t="s">
        <v>36</v>
      </c>
      <c r="P424" s="186">
        <v>44713.395775462966</v>
      </c>
      <c r="R424" s="1">
        <v>4</v>
      </c>
      <c r="T424" s="1" t="s">
        <v>646</v>
      </c>
      <c r="U424" s="186">
        <v>44714.395775462966</v>
      </c>
      <c r="V424" s="1" t="s">
        <v>41</v>
      </c>
      <c r="W424" s="1" t="s">
        <v>49</v>
      </c>
      <c r="X424" s="13" t="str">
        <f t="shared" si="47"/>
        <v/>
      </c>
      <c r="Y424" s="2">
        <f t="shared" ca="1" si="42"/>
        <v>196</v>
      </c>
      <c r="Z424" s="14">
        <v>1</v>
      </c>
      <c r="AA424" s="1" t="str">
        <f t="shared" ca="1" si="43"/>
        <v>VENCIDO</v>
      </c>
      <c r="AB424" s="1" t="str">
        <f t="shared" si="44"/>
        <v>C-14</v>
      </c>
      <c r="AC424" s="2" t="str">
        <f t="shared" si="48"/>
        <v xml:space="preserve"> CLEITON </v>
      </c>
      <c r="AD424" s="2">
        <f t="shared" si="45"/>
        <v>15</v>
      </c>
      <c r="AE424" s="2">
        <f t="shared" ca="1" si="46"/>
        <v>-272.28049618055229</v>
      </c>
      <c r="AF424" s="15"/>
    </row>
    <row r="425" spans="1:32" hidden="1">
      <c r="A425" s="1">
        <v>8636574</v>
      </c>
      <c r="B425" s="1" t="s">
        <v>653</v>
      </c>
      <c r="C425" t="s">
        <v>3580</v>
      </c>
      <c r="E425" s="2">
        <v>1509001400030</v>
      </c>
      <c r="F425" s="1" t="s">
        <v>647</v>
      </c>
      <c r="G425" s="1" t="s">
        <v>53</v>
      </c>
      <c r="H425" s="1" t="s">
        <v>731</v>
      </c>
      <c r="I425" s="1" t="s">
        <v>732</v>
      </c>
      <c r="J425" s="1" t="s">
        <v>46</v>
      </c>
      <c r="K425" t="s">
        <v>650</v>
      </c>
      <c r="M425" s="1" t="s">
        <v>58</v>
      </c>
      <c r="N425" s="1">
        <v>0</v>
      </c>
      <c r="O425" s="1" t="s">
        <v>105</v>
      </c>
      <c r="P425" s="186">
        <v>44713.39565972222</v>
      </c>
      <c r="R425" s="1">
        <v>4</v>
      </c>
      <c r="T425" s="1" t="s">
        <v>646</v>
      </c>
      <c r="U425" s="186">
        <v>44714.395671296297</v>
      </c>
      <c r="V425" s="1" t="s">
        <v>41</v>
      </c>
      <c r="W425" s="1" t="s">
        <v>49</v>
      </c>
      <c r="X425" s="13" t="str">
        <f t="shared" si="47"/>
        <v/>
      </c>
      <c r="Y425" s="2">
        <f t="shared" ca="1" si="42"/>
        <v>196</v>
      </c>
      <c r="Z425" s="14">
        <v>1</v>
      </c>
      <c r="AA425" s="1" t="str">
        <f t="shared" ca="1" si="43"/>
        <v>VENCIDO</v>
      </c>
      <c r="AB425" s="1" t="str">
        <f t="shared" si="44"/>
        <v>C-14</v>
      </c>
      <c r="AC425" s="2" t="str">
        <f t="shared" si="48"/>
        <v xml:space="preserve"> CLEITON </v>
      </c>
      <c r="AD425" s="2">
        <f t="shared" si="45"/>
        <v>15</v>
      </c>
      <c r="AE425" s="2">
        <f t="shared" ca="1" si="46"/>
        <v>-272.28060034722148</v>
      </c>
      <c r="AF425" s="15"/>
    </row>
    <row r="426" spans="1:32" hidden="1">
      <c r="A426" s="1">
        <v>8636441</v>
      </c>
      <c r="B426" s="1" t="s">
        <v>653</v>
      </c>
      <c r="C426" t="s">
        <v>3580</v>
      </c>
      <c r="E426" s="2">
        <v>1362001400030</v>
      </c>
      <c r="F426" s="1" t="s">
        <v>647</v>
      </c>
      <c r="G426" s="1" t="s">
        <v>53</v>
      </c>
      <c r="H426" s="1" t="s">
        <v>268</v>
      </c>
      <c r="I426" s="1" t="s">
        <v>269</v>
      </c>
      <c r="J426" s="1" t="s">
        <v>90</v>
      </c>
      <c r="K426" t="s">
        <v>650</v>
      </c>
      <c r="M426" s="1" t="s">
        <v>58</v>
      </c>
      <c r="N426" s="1">
        <v>0</v>
      </c>
      <c r="O426" s="1" t="s">
        <v>105</v>
      </c>
      <c r="P426" s="186">
        <v>44713.395324074074</v>
      </c>
      <c r="R426" s="1">
        <v>4</v>
      </c>
      <c r="T426" s="1" t="s">
        <v>646</v>
      </c>
      <c r="U426" s="186">
        <v>44714.395324074074</v>
      </c>
      <c r="V426" s="1" t="s">
        <v>41</v>
      </c>
      <c r="W426" s="1" t="s">
        <v>49</v>
      </c>
      <c r="X426" s="13" t="str">
        <f t="shared" si="47"/>
        <v/>
      </c>
      <c r="Y426" s="2">
        <f t="shared" ca="1" si="42"/>
        <v>196</v>
      </c>
      <c r="Z426" s="14">
        <v>1</v>
      </c>
      <c r="AA426" s="1" t="str">
        <f t="shared" ca="1" si="43"/>
        <v>VENCIDO</v>
      </c>
      <c r="AB426" s="1" t="str">
        <f t="shared" si="44"/>
        <v>C-14</v>
      </c>
      <c r="AC426" s="2" t="str">
        <f t="shared" si="48"/>
        <v xml:space="preserve"> RINALDO </v>
      </c>
      <c r="AD426" s="2">
        <f t="shared" si="45"/>
        <v>15</v>
      </c>
      <c r="AE426" s="2">
        <f t="shared" ca="1" si="46"/>
        <v>-272.28094756944483</v>
      </c>
      <c r="AF426" s="15"/>
    </row>
    <row r="427" spans="1:32" hidden="1">
      <c r="A427" s="1">
        <v>8636439</v>
      </c>
      <c r="B427" s="1" t="s">
        <v>653</v>
      </c>
      <c r="C427" t="s">
        <v>3580</v>
      </c>
      <c r="E427" s="2">
        <v>1360001400030</v>
      </c>
      <c r="F427" s="1" t="s">
        <v>647</v>
      </c>
      <c r="G427" s="1" t="s">
        <v>53</v>
      </c>
      <c r="H427" s="1" t="s">
        <v>303</v>
      </c>
      <c r="I427" s="1" t="s">
        <v>304</v>
      </c>
      <c r="J427" s="1" t="s">
        <v>261</v>
      </c>
      <c r="K427" t="s">
        <v>650</v>
      </c>
      <c r="M427" s="1" t="s">
        <v>58</v>
      </c>
      <c r="N427" s="1">
        <v>0</v>
      </c>
      <c r="O427" s="1" t="s">
        <v>105</v>
      </c>
      <c r="P427" s="186">
        <v>44713.395324074074</v>
      </c>
      <c r="R427" s="1">
        <v>4</v>
      </c>
      <c r="T427" s="1" t="s">
        <v>646</v>
      </c>
      <c r="U427" s="186">
        <v>44714.395324074074</v>
      </c>
      <c r="V427" s="1" t="s">
        <v>41</v>
      </c>
      <c r="W427" s="1" t="s">
        <v>49</v>
      </c>
      <c r="X427" s="13" t="str">
        <f t="shared" si="47"/>
        <v/>
      </c>
      <c r="Y427" s="2">
        <f t="shared" ca="1" si="42"/>
        <v>196</v>
      </c>
      <c r="Z427" s="14">
        <v>1</v>
      </c>
      <c r="AA427" s="1" t="str">
        <f t="shared" ca="1" si="43"/>
        <v>VENCIDO</v>
      </c>
      <c r="AB427" s="1" t="str">
        <f t="shared" si="44"/>
        <v>C-14</v>
      </c>
      <c r="AC427" s="2" t="str">
        <f t="shared" si="48"/>
        <v xml:space="preserve"> CRISTINA </v>
      </c>
      <c r="AD427" s="2">
        <f t="shared" si="45"/>
        <v>15</v>
      </c>
      <c r="AE427" s="2">
        <f t="shared" ca="1" si="46"/>
        <v>-272.28094756944483</v>
      </c>
      <c r="AF427" s="15"/>
    </row>
    <row r="428" spans="1:32" hidden="1">
      <c r="A428" s="1">
        <v>8636438</v>
      </c>
      <c r="B428" s="1" t="s">
        <v>653</v>
      </c>
      <c r="C428" t="s">
        <v>3580</v>
      </c>
      <c r="E428" s="2">
        <v>1359001400030</v>
      </c>
      <c r="F428" s="1" t="s">
        <v>647</v>
      </c>
      <c r="G428" s="1" t="s">
        <v>53</v>
      </c>
      <c r="H428" s="1" t="s">
        <v>270</v>
      </c>
      <c r="I428" s="1" t="s">
        <v>271</v>
      </c>
      <c r="J428" s="1" t="s">
        <v>141</v>
      </c>
      <c r="K428" t="s">
        <v>650</v>
      </c>
      <c r="M428" s="1" t="s">
        <v>58</v>
      </c>
      <c r="N428" s="1">
        <v>0</v>
      </c>
      <c r="O428" s="1" t="s">
        <v>105</v>
      </c>
      <c r="P428" s="186">
        <v>44713.395312499997</v>
      </c>
      <c r="R428" s="1">
        <v>4</v>
      </c>
      <c r="T428" s="1" t="s">
        <v>646</v>
      </c>
      <c r="U428" s="186">
        <v>44714.395324074074</v>
      </c>
      <c r="V428" s="1" t="s">
        <v>41</v>
      </c>
      <c r="W428" s="1" t="s">
        <v>49</v>
      </c>
      <c r="X428" s="13" t="str">
        <f t="shared" si="47"/>
        <v/>
      </c>
      <c r="Y428" s="2">
        <f t="shared" ca="1" si="42"/>
        <v>196</v>
      </c>
      <c r="Z428" s="14">
        <v>1</v>
      </c>
      <c r="AA428" s="1" t="str">
        <f t="shared" ca="1" si="43"/>
        <v>VENCIDO</v>
      </c>
      <c r="AB428" s="1" t="str">
        <f t="shared" si="44"/>
        <v>C-14</v>
      </c>
      <c r="AC428" s="2" t="str">
        <f t="shared" si="48"/>
        <v xml:space="preserve"> CRISTINA </v>
      </c>
      <c r="AD428" s="2">
        <f t="shared" si="45"/>
        <v>15</v>
      </c>
      <c r="AE428" s="2">
        <f t="shared" ca="1" si="46"/>
        <v>-272.28094756944483</v>
      </c>
      <c r="AF428" s="15"/>
    </row>
    <row r="429" spans="1:32" hidden="1">
      <c r="A429" s="1">
        <v>8636177</v>
      </c>
      <c r="B429" s="1" t="s">
        <v>653</v>
      </c>
      <c r="C429" t="s">
        <v>3580</v>
      </c>
      <c r="E429" s="2">
        <v>1059001400030</v>
      </c>
      <c r="F429" s="1" t="s">
        <v>647</v>
      </c>
      <c r="G429" s="1" t="s">
        <v>53</v>
      </c>
      <c r="H429" s="1" t="s">
        <v>88</v>
      </c>
      <c r="I429" s="1" t="s">
        <v>89</v>
      </c>
      <c r="J429" s="1" t="s">
        <v>90</v>
      </c>
      <c r="K429" t="s">
        <v>650</v>
      </c>
      <c r="M429" s="1" t="s">
        <v>58</v>
      </c>
      <c r="N429" s="1">
        <v>0</v>
      </c>
      <c r="O429" s="1" t="s">
        <v>105</v>
      </c>
      <c r="P429" s="186">
        <v>44713.394780092596</v>
      </c>
      <c r="R429" s="1">
        <v>4</v>
      </c>
      <c r="T429" s="1" t="s">
        <v>646</v>
      </c>
      <c r="U429" s="186">
        <v>44714.394780092596</v>
      </c>
      <c r="V429" s="1" t="s">
        <v>41</v>
      </c>
      <c r="W429" s="1" t="s">
        <v>49</v>
      </c>
      <c r="X429" s="13" t="str">
        <f t="shared" si="47"/>
        <v/>
      </c>
      <c r="Y429" s="2">
        <f t="shared" ca="1" si="42"/>
        <v>196</v>
      </c>
      <c r="Z429" s="14">
        <v>1</v>
      </c>
      <c r="AA429" s="1" t="str">
        <f t="shared" ca="1" si="43"/>
        <v>VENCIDO</v>
      </c>
      <c r="AB429" s="1" t="str">
        <f t="shared" si="44"/>
        <v>C-14</v>
      </c>
      <c r="AC429" s="2" t="str">
        <f t="shared" si="48"/>
        <v xml:space="preserve"> RINALDO </v>
      </c>
      <c r="AD429" s="2">
        <f t="shared" si="45"/>
        <v>15</v>
      </c>
      <c r="AE429" s="2">
        <f t="shared" ca="1" si="46"/>
        <v>-272.28149155092251</v>
      </c>
      <c r="AF429" s="15"/>
    </row>
    <row r="430" spans="1:32" hidden="1">
      <c r="A430" s="1">
        <v>8636168</v>
      </c>
      <c r="B430" s="1" t="s">
        <v>653</v>
      </c>
      <c r="C430" t="s">
        <v>3580</v>
      </c>
      <c r="E430" s="2">
        <v>1049001400030</v>
      </c>
      <c r="F430" s="1" t="s">
        <v>647</v>
      </c>
      <c r="G430" s="1" t="s">
        <v>53</v>
      </c>
      <c r="H430" s="1" t="s">
        <v>169</v>
      </c>
      <c r="I430" s="1" t="s">
        <v>170</v>
      </c>
      <c r="J430" s="1" t="s">
        <v>164</v>
      </c>
      <c r="K430" t="s">
        <v>650</v>
      </c>
      <c r="M430" s="1" t="s">
        <v>58</v>
      </c>
      <c r="N430" s="1">
        <v>0</v>
      </c>
      <c r="O430" s="1" t="s">
        <v>105</v>
      </c>
      <c r="P430" s="186">
        <v>44713.394768518519</v>
      </c>
      <c r="R430" s="1">
        <v>4</v>
      </c>
      <c r="T430" s="1" t="s">
        <v>646</v>
      </c>
      <c r="U430" s="186">
        <v>44714.394768518519</v>
      </c>
      <c r="V430" s="1" t="s">
        <v>41</v>
      </c>
      <c r="W430" s="1" t="s">
        <v>49</v>
      </c>
      <c r="X430" s="13" t="str">
        <f t="shared" si="47"/>
        <v/>
      </c>
      <c r="Y430" s="2">
        <f t="shared" ca="1" si="42"/>
        <v>196</v>
      </c>
      <c r="Z430" s="14">
        <v>1</v>
      </c>
      <c r="AA430" s="1" t="str">
        <f t="shared" ca="1" si="43"/>
        <v>VENCIDO</v>
      </c>
      <c r="AB430" s="1" t="str">
        <f t="shared" si="44"/>
        <v>C-14</v>
      </c>
      <c r="AC430" s="2" t="str">
        <f t="shared" si="48"/>
        <v xml:space="preserve"> ROSEMERE </v>
      </c>
      <c r="AD430" s="2">
        <f t="shared" si="45"/>
        <v>15</v>
      </c>
      <c r="AE430" s="2">
        <f t="shared" ca="1" si="46"/>
        <v>-272.28150312499929</v>
      </c>
      <c r="AF430" s="15"/>
    </row>
    <row r="431" spans="1:32" hidden="1">
      <c r="A431" s="1">
        <v>8636064</v>
      </c>
      <c r="B431" s="1" t="s">
        <v>653</v>
      </c>
      <c r="C431" t="s">
        <v>3580</v>
      </c>
      <c r="E431" s="2">
        <v>934001400030</v>
      </c>
      <c r="F431" s="1" t="s">
        <v>647</v>
      </c>
      <c r="G431" s="1" t="s">
        <v>53</v>
      </c>
      <c r="H431" s="1" t="s">
        <v>428</v>
      </c>
      <c r="I431" s="1" t="s">
        <v>429</v>
      </c>
      <c r="J431" s="1" t="s">
        <v>46</v>
      </c>
      <c r="K431" t="s">
        <v>650</v>
      </c>
      <c r="M431" s="1" t="s">
        <v>58</v>
      </c>
      <c r="N431" s="1">
        <v>0</v>
      </c>
      <c r="O431" s="1" t="s">
        <v>105</v>
      </c>
      <c r="P431" s="186">
        <v>44713.394525462965</v>
      </c>
      <c r="R431" s="1">
        <v>4</v>
      </c>
      <c r="T431" s="1" t="s">
        <v>646</v>
      </c>
      <c r="U431" s="186">
        <v>44714.394525462965</v>
      </c>
      <c r="V431" s="1" t="s">
        <v>41</v>
      </c>
      <c r="W431" s="1" t="s">
        <v>49</v>
      </c>
      <c r="X431" s="13" t="str">
        <f t="shared" si="47"/>
        <v/>
      </c>
      <c r="Y431" s="2">
        <f t="shared" ca="1" si="42"/>
        <v>196</v>
      </c>
      <c r="Z431" s="14">
        <v>1</v>
      </c>
      <c r="AA431" s="1" t="str">
        <f t="shared" ca="1" si="43"/>
        <v>VENCIDO</v>
      </c>
      <c r="AB431" s="1" t="str">
        <f t="shared" si="44"/>
        <v>C-14</v>
      </c>
      <c r="AC431" s="2" t="str">
        <f t="shared" si="48"/>
        <v xml:space="preserve"> CLEITON </v>
      </c>
      <c r="AD431" s="2">
        <f t="shared" si="45"/>
        <v>15</v>
      </c>
      <c r="AE431" s="2">
        <f t="shared" ca="1" si="46"/>
        <v>-272.28174618055345</v>
      </c>
      <c r="AF431" s="15"/>
    </row>
    <row r="432" spans="1:32" hidden="1">
      <c r="A432" s="1">
        <v>8635859</v>
      </c>
      <c r="B432" s="1" t="s">
        <v>653</v>
      </c>
      <c r="C432" t="s">
        <v>3580</v>
      </c>
      <c r="E432" s="2">
        <v>714001400030</v>
      </c>
      <c r="F432" s="1" t="s">
        <v>647</v>
      </c>
      <c r="G432" s="1" t="s">
        <v>53</v>
      </c>
      <c r="H432" s="1" t="s">
        <v>377</v>
      </c>
      <c r="I432" s="1" t="s">
        <v>378</v>
      </c>
      <c r="J432" s="1" t="s">
        <v>46</v>
      </c>
      <c r="K432" t="s">
        <v>650</v>
      </c>
      <c r="M432" s="1" t="s">
        <v>58</v>
      </c>
      <c r="N432" s="1">
        <v>0</v>
      </c>
      <c r="O432" s="1" t="s">
        <v>105</v>
      </c>
      <c r="P432" s="186">
        <v>44713.394085648149</v>
      </c>
      <c r="R432" s="1">
        <v>4</v>
      </c>
      <c r="T432" s="1" t="s">
        <v>646</v>
      </c>
      <c r="U432" s="186">
        <v>44714.394085648149</v>
      </c>
      <c r="V432" s="1" t="s">
        <v>41</v>
      </c>
      <c r="W432" s="1" t="s">
        <v>49</v>
      </c>
      <c r="X432" s="13" t="str">
        <f t="shared" si="47"/>
        <v/>
      </c>
      <c r="Y432" s="2">
        <f t="shared" ca="1" si="42"/>
        <v>196</v>
      </c>
      <c r="Z432" s="14">
        <v>1</v>
      </c>
      <c r="AA432" s="1" t="str">
        <f t="shared" ca="1" si="43"/>
        <v>VENCIDO</v>
      </c>
      <c r="AB432" s="1" t="str">
        <f t="shared" si="44"/>
        <v>C-14</v>
      </c>
      <c r="AC432" s="2" t="str">
        <f t="shared" si="48"/>
        <v xml:space="preserve"> CLEITON </v>
      </c>
      <c r="AD432" s="2">
        <f t="shared" si="45"/>
        <v>15</v>
      </c>
      <c r="AE432" s="2">
        <f t="shared" ca="1" si="46"/>
        <v>-272.28218599536922</v>
      </c>
      <c r="AF432" s="15"/>
    </row>
    <row r="433" spans="1:32" hidden="1">
      <c r="A433" s="1">
        <v>8635857</v>
      </c>
      <c r="B433" s="1" t="s">
        <v>653</v>
      </c>
      <c r="C433" t="s">
        <v>3580</v>
      </c>
      <c r="E433" s="2">
        <v>711001400030</v>
      </c>
      <c r="F433" s="1" t="s">
        <v>647</v>
      </c>
      <c r="G433" s="1" t="s">
        <v>53</v>
      </c>
      <c r="H433" s="1" t="s">
        <v>77</v>
      </c>
      <c r="I433" s="1" t="s">
        <v>78</v>
      </c>
      <c r="J433" s="1" t="s">
        <v>79</v>
      </c>
      <c r="K433" t="s">
        <v>650</v>
      </c>
      <c r="M433" s="1" t="s">
        <v>58</v>
      </c>
      <c r="N433" s="1">
        <v>0</v>
      </c>
      <c r="O433" s="1" t="s">
        <v>105</v>
      </c>
      <c r="P433" s="186">
        <v>44713.394074074073</v>
      </c>
      <c r="R433" s="1">
        <v>4</v>
      </c>
      <c r="T433" s="1" t="s">
        <v>646</v>
      </c>
      <c r="U433" s="186">
        <v>44714.394074074073</v>
      </c>
      <c r="V433" s="1" t="s">
        <v>41</v>
      </c>
      <c r="W433" s="1" t="s">
        <v>49</v>
      </c>
      <c r="X433" s="13" t="str">
        <f t="shared" si="47"/>
        <v/>
      </c>
      <c r="Y433" s="2">
        <f t="shared" ca="1" si="42"/>
        <v>196</v>
      </c>
      <c r="Z433" s="14">
        <v>1</v>
      </c>
      <c r="AA433" s="1" t="str">
        <f t="shared" ca="1" si="43"/>
        <v>VENCIDO</v>
      </c>
      <c r="AB433" s="1" t="str">
        <f t="shared" si="44"/>
        <v>C-14</v>
      </c>
      <c r="AC433" s="2" t="str">
        <f t="shared" si="48"/>
        <v xml:space="preserve"> ROSEMERE </v>
      </c>
      <c r="AD433" s="2">
        <f t="shared" si="45"/>
        <v>15</v>
      </c>
      <c r="AE433" s="2">
        <f t="shared" ca="1" si="46"/>
        <v>-272.282197569446</v>
      </c>
      <c r="AF433" s="15"/>
    </row>
    <row r="434" spans="1:32" hidden="1">
      <c r="A434" s="1">
        <v>8635856</v>
      </c>
      <c r="B434" s="1" t="s">
        <v>653</v>
      </c>
      <c r="C434" t="s">
        <v>3580</v>
      </c>
      <c r="E434" s="2">
        <v>710001400030</v>
      </c>
      <c r="F434" s="1" t="s">
        <v>647</v>
      </c>
      <c r="G434" s="1" t="s">
        <v>53</v>
      </c>
      <c r="H434" s="1" t="s">
        <v>390</v>
      </c>
      <c r="I434" s="1" t="s">
        <v>391</v>
      </c>
      <c r="J434" s="1" t="s">
        <v>56</v>
      </c>
      <c r="K434" t="s">
        <v>650</v>
      </c>
      <c r="M434" s="1" t="s">
        <v>58</v>
      </c>
      <c r="N434" s="1">
        <v>0</v>
      </c>
      <c r="O434" s="1" t="s">
        <v>36</v>
      </c>
      <c r="P434" s="186">
        <v>44713.394074074073</v>
      </c>
      <c r="R434" s="1">
        <v>4</v>
      </c>
      <c r="T434" s="1" t="s">
        <v>646</v>
      </c>
      <c r="U434" s="186">
        <v>44714.394074074073</v>
      </c>
      <c r="V434" s="1" t="s">
        <v>41</v>
      </c>
      <c r="W434" s="1" t="s">
        <v>49</v>
      </c>
      <c r="X434" s="13" t="str">
        <f t="shared" si="47"/>
        <v/>
      </c>
      <c r="Y434" s="2">
        <f t="shared" ca="1" si="42"/>
        <v>196</v>
      </c>
      <c r="Z434" s="14">
        <v>1</v>
      </c>
      <c r="AA434" s="1" t="str">
        <f t="shared" ca="1" si="43"/>
        <v>VENCIDO</v>
      </c>
      <c r="AB434" s="1" t="str">
        <f t="shared" si="44"/>
        <v>C-14</v>
      </c>
      <c r="AC434" s="2" t="str">
        <f t="shared" si="48"/>
        <v xml:space="preserve"> CRISTINA </v>
      </c>
      <c r="AD434" s="2">
        <f t="shared" si="45"/>
        <v>15</v>
      </c>
      <c r="AE434" s="2">
        <f t="shared" ca="1" si="46"/>
        <v>-272.282197569446</v>
      </c>
      <c r="AF434" s="15"/>
    </row>
    <row r="435" spans="1:32" hidden="1">
      <c r="A435" s="1">
        <v>8635705</v>
      </c>
      <c r="B435" s="1" t="s">
        <v>653</v>
      </c>
      <c r="C435" t="s">
        <v>3580</v>
      </c>
      <c r="E435" s="2">
        <v>550001400030</v>
      </c>
      <c r="F435" s="1" t="s">
        <v>647</v>
      </c>
      <c r="G435" s="1" t="s">
        <v>53</v>
      </c>
      <c r="H435" s="1" t="s">
        <v>337</v>
      </c>
      <c r="I435" s="1" t="s">
        <v>338</v>
      </c>
      <c r="J435" s="1" t="s">
        <v>164</v>
      </c>
      <c r="K435" t="s">
        <v>650</v>
      </c>
      <c r="M435" s="1" t="s">
        <v>58</v>
      </c>
      <c r="N435" s="1">
        <v>0</v>
      </c>
      <c r="O435" s="1" t="s">
        <v>105</v>
      </c>
      <c r="P435" s="186">
        <v>44713.39371527778</v>
      </c>
      <c r="R435" s="1">
        <v>4</v>
      </c>
      <c r="T435" s="1" t="s">
        <v>646</v>
      </c>
      <c r="U435" s="186">
        <v>44714.39371527778</v>
      </c>
      <c r="V435" s="1" t="s">
        <v>41</v>
      </c>
      <c r="W435" s="1" t="s">
        <v>49</v>
      </c>
      <c r="X435" s="13" t="str">
        <f t="shared" si="47"/>
        <v/>
      </c>
      <c r="Y435" s="2">
        <f t="shared" ca="1" si="42"/>
        <v>196</v>
      </c>
      <c r="Z435" s="14">
        <v>1</v>
      </c>
      <c r="AA435" s="1" t="str">
        <f t="shared" ca="1" si="43"/>
        <v>VENCIDO</v>
      </c>
      <c r="AB435" s="1" t="str">
        <f t="shared" si="44"/>
        <v>C-14</v>
      </c>
      <c r="AC435" s="2" t="str">
        <f t="shared" si="48"/>
        <v xml:space="preserve"> ROSEMERE </v>
      </c>
      <c r="AD435" s="2">
        <f t="shared" si="45"/>
        <v>15</v>
      </c>
      <c r="AE435" s="2">
        <f t="shared" ca="1" si="46"/>
        <v>-272.28255636573886</v>
      </c>
      <c r="AF435" s="15"/>
    </row>
    <row r="436" spans="1:32" hidden="1">
      <c r="A436" s="1">
        <v>8635695</v>
      </c>
      <c r="B436" s="1" t="s">
        <v>653</v>
      </c>
      <c r="C436" t="s">
        <v>3580</v>
      </c>
      <c r="E436" s="2">
        <v>537001400030</v>
      </c>
      <c r="F436" s="1" t="s">
        <v>647</v>
      </c>
      <c r="G436" s="1" t="s">
        <v>53</v>
      </c>
      <c r="H436" s="1" t="s">
        <v>442</v>
      </c>
      <c r="I436" s="1" t="s">
        <v>443</v>
      </c>
      <c r="J436" s="1" t="s">
        <v>79</v>
      </c>
      <c r="K436" t="s">
        <v>650</v>
      </c>
      <c r="M436" s="1" t="s">
        <v>58</v>
      </c>
      <c r="N436" s="1">
        <v>0</v>
      </c>
      <c r="O436" s="1" t="s">
        <v>105</v>
      </c>
      <c r="P436" s="186">
        <v>44713.393703703703</v>
      </c>
      <c r="R436" s="1">
        <v>4</v>
      </c>
      <c r="T436" s="1" t="s">
        <v>646</v>
      </c>
      <c r="U436" s="186">
        <v>44714.393703703703</v>
      </c>
      <c r="V436" s="1" t="s">
        <v>41</v>
      </c>
      <c r="W436" s="1" t="s">
        <v>49</v>
      </c>
      <c r="X436" s="13" t="str">
        <f t="shared" si="47"/>
        <v/>
      </c>
      <c r="Y436" s="2">
        <f t="shared" ca="1" si="42"/>
        <v>196</v>
      </c>
      <c r="Z436" s="14">
        <v>1</v>
      </c>
      <c r="AA436" s="1" t="str">
        <f t="shared" ca="1" si="43"/>
        <v>VENCIDO</v>
      </c>
      <c r="AB436" s="1" t="str">
        <f t="shared" si="44"/>
        <v>C-14</v>
      </c>
      <c r="AC436" s="2" t="str">
        <f t="shared" si="48"/>
        <v xml:space="preserve"> ROSEMERE </v>
      </c>
      <c r="AD436" s="2">
        <f t="shared" si="45"/>
        <v>15</v>
      </c>
      <c r="AE436" s="2">
        <f t="shared" ca="1" si="46"/>
        <v>-272.28256793981564</v>
      </c>
      <c r="AF436" s="15"/>
    </row>
    <row r="437" spans="1:32" hidden="1">
      <c r="A437" s="1">
        <v>8635610</v>
      </c>
      <c r="B437" s="1" t="s">
        <v>653</v>
      </c>
      <c r="C437" t="s">
        <v>3580</v>
      </c>
      <c r="E437" s="2">
        <v>446001400030</v>
      </c>
      <c r="F437" s="1" t="s">
        <v>647</v>
      </c>
      <c r="G437" s="1" t="s">
        <v>53</v>
      </c>
      <c r="H437" s="1" t="s">
        <v>432</v>
      </c>
      <c r="I437" s="1" t="s">
        <v>433</v>
      </c>
      <c r="J437" s="1" t="s">
        <v>110</v>
      </c>
      <c r="K437" t="s">
        <v>650</v>
      </c>
      <c r="M437" s="1" t="s">
        <v>58</v>
      </c>
      <c r="N437" s="1">
        <v>0</v>
      </c>
      <c r="O437" s="1" t="s">
        <v>105</v>
      </c>
      <c r="P437" s="186">
        <v>44713.393518518518</v>
      </c>
      <c r="R437" s="1">
        <v>4</v>
      </c>
      <c r="T437" s="1" t="s">
        <v>646</v>
      </c>
      <c r="U437" s="186">
        <v>44714.393518518518</v>
      </c>
      <c r="V437" s="1" t="s">
        <v>41</v>
      </c>
      <c r="W437" s="1" t="s">
        <v>49</v>
      </c>
      <c r="X437" s="13" t="str">
        <f t="shared" si="47"/>
        <v/>
      </c>
      <c r="Y437" s="2">
        <f t="shared" ca="1" si="42"/>
        <v>196</v>
      </c>
      <c r="Z437" s="14">
        <v>1</v>
      </c>
      <c r="AA437" s="1" t="str">
        <f t="shared" ca="1" si="43"/>
        <v>VENCIDO</v>
      </c>
      <c r="AB437" s="1" t="str">
        <f t="shared" si="44"/>
        <v>C-14</v>
      </c>
      <c r="AC437" s="2" t="str">
        <f t="shared" si="48"/>
        <v xml:space="preserve"> CRISTINA </v>
      </c>
      <c r="AD437" s="2">
        <f t="shared" si="45"/>
        <v>15</v>
      </c>
      <c r="AE437" s="2">
        <f t="shared" ca="1" si="46"/>
        <v>-272.28275312500045</v>
      </c>
      <c r="AF437" s="15"/>
    </row>
    <row r="438" spans="1:32" hidden="1">
      <c r="A438" s="1">
        <v>8635412</v>
      </c>
      <c r="B438" s="1" t="s">
        <v>653</v>
      </c>
      <c r="C438" t="s">
        <v>3580</v>
      </c>
      <c r="E438" s="2">
        <v>233001400030</v>
      </c>
      <c r="F438" s="1" t="s">
        <v>647</v>
      </c>
      <c r="G438" s="1" t="s">
        <v>53</v>
      </c>
      <c r="H438" s="1" t="s">
        <v>424</v>
      </c>
      <c r="I438" s="1" t="s">
        <v>425</v>
      </c>
      <c r="J438" s="1" t="s">
        <v>261</v>
      </c>
      <c r="K438" t="s">
        <v>650</v>
      </c>
      <c r="M438" s="1" t="s">
        <v>58</v>
      </c>
      <c r="N438" s="1">
        <v>0</v>
      </c>
      <c r="O438" s="1" t="s">
        <v>105</v>
      </c>
      <c r="P438" s="186">
        <v>44713.393101851849</v>
      </c>
      <c r="R438" s="1">
        <v>4</v>
      </c>
      <c r="T438" s="1" t="s">
        <v>646</v>
      </c>
      <c r="U438" s="186">
        <v>44714.393101851849</v>
      </c>
      <c r="V438" s="1" t="s">
        <v>41</v>
      </c>
      <c r="W438" s="1" t="s">
        <v>49</v>
      </c>
      <c r="X438" s="13" t="str">
        <f t="shared" si="47"/>
        <v/>
      </c>
      <c r="Y438" s="2">
        <f t="shared" ca="1" si="42"/>
        <v>196</v>
      </c>
      <c r="Z438" s="14">
        <v>1</v>
      </c>
      <c r="AA438" s="1" t="str">
        <f t="shared" ca="1" si="43"/>
        <v>VENCIDO</v>
      </c>
      <c r="AB438" s="1" t="str">
        <f t="shared" si="44"/>
        <v>C-14</v>
      </c>
      <c r="AC438" s="2" t="str">
        <f t="shared" si="48"/>
        <v xml:space="preserve"> CRISTINA </v>
      </c>
      <c r="AD438" s="2">
        <f t="shared" si="45"/>
        <v>15</v>
      </c>
      <c r="AE438" s="2">
        <f t="shared" ca="1" si="46"/>
        <v>-272.28316979166993</v>
      </c>
      <c r="AF438" s="15"/>
    </row>
    <row r="439" spans="1:32" hidden="1">
      <c r="A439" s="1">
        <v>8635253</v>
      </c>
      <c r="B439" s="1" t="s">
        <v>653</v>
      </c>
      <c r="C439" t="s">
        <v>3581</v>
      </c>
      <c r="E439" s="2">
        <v>325001400010</v>
      </c>
      <c r="F439" s="1" t="s">
        <v>936</v>
      </c>
      <c r="G439" s="1" t="s">
        <v>53</v>
      </c>
      <c r="H439" s="1" t="s">
        <v>345</v>
      </c>
      <c r="I439" s="1" t="s">
        <v>346</v>
      </c>
      <c r="J439" s="1" t="s">
        <v>46</v>
      </c>
      <c r="K439" t="s">
        <v>937</v>
      </c>
      <c r="M439" s="1" t="s">
        <v>58</v>
      </c>
      <c r="N439" s="1">
        <v>0</v>
      </c>
      <c r="O439" s="1" t="s">
        <v>105</v>
      </c>
      <c r="P439" s="186">
        <v>44713.392777777779</v>
      </c>
      <c r="R439" s="1">
        <v>3</v>
      </c>
      <c r="T439" s="1" t="s">
        <v>646</v>
      </c>
      <c r="U439" s="186">
        <v>44714.392777777779</v>
      </c>
      <c r="V439" s="1" t="s">
        <v>41</v>
      </c>
      <c r="W439" s="1" t="s">
        <v>49</v>
      </c>
      <c r="X439" s="13" t="str">
        <f t="shared" si="47"/>
        <v/>
      </c>
      <c r="Y439" s="2">
        <f t="shared" ca="1" si="42"/>
        <v>196</v>
      </c>
      <c r="Z439" s="14">
        <v>1</v>
      </c>
      <c r="AA439" s="1" t="str">
        <f t="shared" ca="1" si="43"/>
        <v>VENCIDO</v>
      </c>
      <c r="AB439" s="1" t="str">
        <f t="shared" si="44"/>
        <v>C-14</v>
      </c>
      <c r="AC439" s="2" t="str">
        <f t="shared" si="48"/>
        <v xml:space="preserve"> CLEITON </v>
      </c>
      <c r="AD439" s="2">
        <f t="shared" si="45"/>
        <v>5</v>
      </c>
      <c r="AE439" s="2">
        <f t="shared" ca="1" si="46"/>
        <v>-272.28349386573973</v>
      </c>
      <c r="AF439" s="15"/>
    </row>
    <row r="440" spans="1:32" hidden="1">
      <c r="A440" s="1">
        <v>8635179</v>
      </c>
      <c r="B440" s="1" t="s">
        <v>653</v>
      </c>
      <c r="C440" t="s">
        <v>3581</v>
      </c>
      <c r="E440" s="2">
        <v>8973001400010</v>
      </c>
      <c r="F440" s="1" t="s">
        <v>936</v>
      </c>
      <c r="G440" s="1" t="s">
        <v>53</v>
      </c>
      <c r="H440" s="1" t="s">
        <v>661</v>
      </c>
      <c r="I440" s="1" t="s">
        <v>662</v>
      </c>
      <c r="J440" s="1" t="s">
        <v>46</v>
      </c>
      <c r="K440" t="s">
        <v>937</v>
      </c>
      <c r="M440" s="1" t="s">
        <v>58</v>
      </c>
      <c r="N440" s="1">
        <v>0</v>
      </c>
      <c r="O440" s="1" t="s">
        <v>105</v>
      </c>
      <c r="P440" s="186">
        <v>44713.392581018517</v>
      </c>
      <c r="R440" s="1">
        <v>3</v>
      </c>
      <c r="T440" s="1" t="s">
        <v>646</v>
      </c>
      <c r="U440" s="186">
        <v>44714.392581018517</v>
      </c>
      <c r="V440" s="1" t="s">
        <v>41</v>
      </c>
      <c r="W440" s="1" t="s">
        <v>49</v>
      </c>
      <c r="X440" s="13" t="str">
        <f t="shared" si="47"/>
        <v/>
      </c>
      <c r="Y440" s="2">
        <f t="shared" ca="1" si="42"/>
        <v>196</v>
      </c>
      <c r="Z440" s="14">
        <v>1</v>
      </c>
      <c r="AA440" s="1" t="str">
        <f t="shared" ca="1" si="43"/>
        <v>VENCIDO</v>
      </c>
      <c r="AB440" s="1" t="str">
        <f t="shared" si="44"/>
        <v>C-14</v>
      </c>
      <c r="AC440" s="2" t="str">
        <f t="shared" si="48"/>
        <v xml:space="preserve"> CLEITON </v>
      </c>
      <c r="AD440" s="2">
        <f t="shared" si="45"/>
        <v>5</v>
      </c>
      <c r="AE440" s="2">
        <f t="shared" ca="1" si="46"/>
        <v>-272.28369062500133</v>
      </c>
      <c r="AF440" s="15"/>
    </row>
    <row r="441" spans="1:32" hidden="1">
      <c r="A441" s="1">
        <v>8635156</v>
      </c>
      <c r="B441" s="1" t="s">
        <v>653</v>
      </c>
      <c r="C441" t="s">
        <v>3581</v>
      </c>
      <c r="E441" s="2">
        <v>8633001400010</v>
      </c>
      <c r="F441" s="1" t="s">
        <v>936</v>
      </c>
      <c r="G441" s="1" t="s">
        <v>53</v>
      </c>
      <c r="H441" s="1" t="s">
        <v>835</v>
      </c>
      <c r="I441" s="1" t="s">
        <v>836</v>
      </c>
      <c r="J441" s="1" t="s">
        <v>46</v>
      </c>
      <c r="K441" t="s">
        <v>937</v>
      </c>
      <c r="M441" s="1" t="s">
        <v>58</v>
      </c>
      <c r="N441" s="1">
        <v>0</v>
      </c>
      <c r="O441" s="1" t="s">
        <v>105</v>
      </c>
      <c r="P441" s="186">
        <v>44713.392557870371</v>
      </c>
      <c r="R441" s="1">
        <v>3</v>
      </c>
      <c r="T441" s="1" t="s">
        <v>646</v>
      </c>
      <c r="U441" s="186">
        <v>44714.392557870371</v>
      </c>
      <c r="V441" s="1" t="s">
        <v>41</v>
      </c>
      <c r="W441" s="1" t="s">
        <v>49</v>
      </c>
      <c r="X441" s="13" t="str">
        <f t="shared" si="47"/>
        <v/>
      </c>
      <c r="Y441" s="2">
        <f t="shared" ca="1" si="42"/>
        <v>196</v>
      </c>
      <c r="Z441" s="14">
        <v>1</v>
      </c>
      <c r="AA441" s="1" t="str">
        <f t="shared" ca="1" si="43"/>
        <v>VENCIDO</v>
      </c>
      <c r="AB441" s="1" t="str">
        <f t="shared" si="44"/>
        <v>C-14</v>
      </c>
      <c r="AC441" s="2" t="str">
        <f t="shared" si="48"/>
        <v xml:space="preserve"> CLEITON </v>
      </c>
      <c r="AD441" s="2">
        <f t="shared" si="45"/>
        <v>5</v>
      </c>
      <c r="AE441" s="2">
        <f t="shared" ca="1" si="46"/>
        <v>-272.28371377314761</v>
      </c>
      <c r="AF441" s="15"/>
    </row>
    <row r="442" spans="1:32" hidden="1">
      <c r="A442" s="1">
        <v>8634660</v>
      </c>
      <c r="B442" s="1" t="s">
        <v>653</v>
      </c>
      <c r="C442" t="s">
        <v>3581</v>
      </c>
      <c r="E442" s="2">
        <v>5898001400010</v>
      </c>
      <c r="F442" s="1" t="s">
        <v>936</v>
      </c>
      <c r="G442" s="1" t="s">
        <v>53</v>
      </c>
      <c r="H442" s="1" t="s">
        <v>365</v>
      </c>
      <c r="I442" s="1" t="s">
        <v>366</v>
      </c>
      <c r="J442" s="1" t="s">
        <v>164</v>
      </c>
      <c r="K442" t="s">
        <v>937</v>
      </c>
      <c r="M442" s="1" t="s">
        <v>58</v>
      </c>
      <c r="N442" s="1">
        <v>0</v>
      </c>
      <c r="O442" s="1" t="s">
        <v>105</v>
      </c>
      <c r="P442" s="186">
        <v>44713.390601851854</v>
      </c>
      <c r="R442" s="1">
        <v>3</v>
      </c>
      <c r="T442" s="1" t="s">
        <v>646</v>
      </c>
      <c r="U442" s="186">
        <v>44714.390601851854</v>
      </c>
      <c r="V442" s="1" t="s">
        <v>41</v>
      </c>
      <c r="W442" s="1" t="s">
        <v>49</v>
      </c>
      <c r="X442" s="13" t="str">
        <f t="shared" si="47"/>
        <v/>
      </c>
      <c r="Y442" s="2">
        <f t="shared" ca="1" si="42"/>
        <v>196</v>
      </c>
      <c r="Z442" s="14">
        <v>1</v>
      </c>
      <c r="AA442" s="1" t="str">
        <f t="shared" ca="1" si="43"/>
        <v>VENCIDO</v>
      </c>
      <c r="AB442" s="1" t="str">
        <f t="shared" si="44"/>
        <v>C-14</v>
      </c>
      <c r="AC442" s="2" t="str">
        <f t="shared" si="48"/>
        <v xml:space="preserve"> ROSEMERE </v>
      </c>
      <c r="AD442" s="2">
        <f t="shared" si="45"/>
        <v>5</v>
      </c>
      <c r="AE442" s="2">
        <f t="shared" ca="1" si="46"/>
        <v>-272.28566979166499</v>
      </c>
      <c r="AF442" s="15"/>
    </row>
    <row r="443" spans="1:32" hidden="1">
      <c r="A443" s="1">
        <v>8634637</v>
      </c>
      <c r="B443" s="1" t="s">
        <v>653</v>
      </c>
      <c r="C443" t="s">
        <v>3581</v>
      </c>
      <c r="E443" s="2">
        <v>5816001400010</v>
      </c>
      <c r="F443" s="1" t="s">
        <v>936</v>
      </c>
      <c r="G443" s="1" t="s">
        <v>53</v>
      </c>
      <c r="H443" s="1" t="s">
        <v>412</v>
      </c>
      <c r="I443" s="1" t="s">
        <v>413</v>
      </c>
      <c r="J443" s="1" t="s">
        <v>46</v>
      </c>
      <c r="K443" t="s">
        <v>937</v>
      </c>
      <c r="M443" s="1" t="s">
        <v>58</v>
      </c>
      <c r="N443" s="1">
        <v>0</v>
      </c>
      <c r="O443" s="1" t="s">
        <v>105</v>
      </c>
      <c r="P443" s="186">
        <v>44713.390567129631</v>
      </c>
      <c r="R443" s="1">
        <v>3</v>
      </c>
      <c r="T443" s="1" t="s">
        <v>646</v>
      </c>
      <c r="U443" s="186">
        <v>44714.390567129631</v>
      </c>
      <c r="V443" s="1" t="s">
        <v>41</v>
      </c>
      <c r="W443" s="1" t="s">
        <v>49</v>
      </c>
      <c r="X443" s="13" t="str">
        <f t="shared" si="47"/>
        <v/>
      </c>
      <c r="Y443" s="2">
        <f t="shared" ca="1" si="42"/>
        <v>196</v>
      </c>
      <c r="Z443" s="14">
        <v>1</v>
      </c>
      <c r="AA443" s="1" t="str">
        <f t="shared" ca="1" si="43"/>
        <v>VENCIDO</v>
      </c>
      <c r="AB443" s="1" t="str">
        <f t="shared" si="44"/>
        <v>C-14</v>
      </c>
      <c r="AC443" s="2" t="str">
        <f t="shared" si="48"/>
        <v xml:space="preserve"> CLEITON </v>
      </c>
      <c r="AD443" s="2">
        <f t="shared" si="45"/>
        <v>5</v>
      </c>
      <c r="AE443" s="2">
        <f t="shared" ca="1" si="46"/>
        <v>-272.28570451388805</v>
      </c>
      <c r="AF443" s="15"/>
    </row>
    <row r="444" spans="1:32" hidden="1">
      <c r="A444" s="1">
        <v>8634603</v>
      </c>
      <c r="B444" s="1" t="s">
        <v>653</v>
      </c>
      <c r="C444" t="s">
        <v>3581</v>
      </c>
      <c r="E444" s="2">
        <v>5755001400010</v>
      </c>
      <c r="F444" s="1" t="s">
        <v>936</v>
      </c>
      <c r="G444" s="1" t="s">
        <v>53</v>
      </c>
      <c r="H444" s="1" t="s">
        <v>841</v>
      </c>
      <c r="I444" s="1" t="s">
        <v>842</v>
      </c>
      <c r="J444" s="1" t="s">
        <v>46</v>
      </c>
      <c r="K444" t="s">
        <v>937</v>
      </c>
      <c r="M444" s="1" t="s">
        <v>58</v>
      </c>
      <c r="N444" s="1">
        <v>0</v>
      </c>
      <c r="O444" s="1" t="s">
        <v>105</v>
      </c>
      <c r="P444" s="186">
        <v>44713.390509259261</v>
      </c>
      <c r="R444" s="1">
        <v>3</v>
      </c>
      <c r="T444" s="1" t="s">
        <v>646</v>
      </c>
      <c r="U444" s="186">
        <v>44714.390509259261</v>
      </c>
      <c r="V444" s="1" t="s">
        <v>41</v>
      </c>
      <c r="W444" s="1" t="s">
        <v>49</v>
      </c>
      <c r="X444" s="13" t="str">
        <f t="shared" si="47"/>
        <v/>
      </c>
      <c r="Y444" s="2">
        <f t="shared" ca="1" si="42"/>
        <v>196</v>
      </c>
      <c r="Z444" s="14">
        <v>1</v>
      </c>
      <c r="AA444" s="1" t="str">
        <f t="shared" ca="1" si="43"/>
        <v>VENCIDO</v>
      </c>
      <c r="AB444" s="1" t="str">
        <f t="shared" si="44"/>
        <v>C-14</v>
      </c>
      <c r="AC444" s="2" t="str">
        <f t="shared" si="48"/>
        <v xml:space="preserve"> CLEITON </v>
      </c>
      <c r="AD444" s="2">
        <f t="shared" si="45"/>
        <v>5</v>
      </c>
      <c r="AE444" s="2">
        <f t="shared" ca="1" si="46"/>
        <v>-272.2857623842574</v>
      </c>
      <c r="AF444" s="15"/>
    </row>
    <row r="445" spans="1:32" hidden="1">
      <c r="A445" s="1">
        <v>8634599</v>
      </c>
      <c r="B445" s="1" t="s">
        <v>653</v>
      </c>
      <c r="C445" t="s">
        <v>3581</v>
      </c>
      <c r="E445" s="2">
        <v>5742001400010</v>
      </c>
      <c r="F445" s="1" t="s">
        <v>936</v>
      </c>
      <c r="G445" s="1" t="s">
        <v>53</v>
      </c>
      <c r="H445" s="1" t="s">
        <v>430</v>
      </c>
      <c r="I445" s="1" t="s">
        <v>431</v>
      </c>
      <c r="J445" s="1" t="s">
        <v>79</v>
      </c>
      <c r="K445" t="s">
        <v>937</v>
      </c>
      <c r="M445" s="1" t="s">
        <v>58</v>
      </c>
      <c r="N445" s="1">
        <v>0</v>
      </c>
      <c r="O445" s="1" t="s">
        <v>105</v>
      </c>
      <c r="P445" s="186">
        <v>44713.390509259261</v>
      </c>
      <c r="R445" s="1">
        <v>3</v>
      </c>
      <c r="T445" s="1" t="s">
        <v>646</v>
      </c>
      <c r="U445" s="186">
        <v>44714.390509259261</v>
      </c>
      <c r="V445" s="1" t="s">
        <v>41</v>
      </c>
      <c r="W445" s="1" t="s">
        <v>49</v>
      </c>
      <c r="X445" s="13" t="str">
        <f t="shared" si="47"/>
        <v/>
      </c>
      <c r="Y445" s="2">
        <f t="shared" ca="1" si="42"/>
        <v>196</v>
      </c>
      <c r="Z445" s="14">
        <v>1</v>
      </c>
      <c r="AA445" s="1" t="str">
        <f t="shared" ca="1" si="43"/>
        <v>VENCIDO</v>
      </c>
      <c r="AB445" s="1" t="str">
        <f t="shared" si="44"/>
        <v>C-14</v>
      </c>
      <c r="AC445" s="2" t="str">
        <f t="shared" si="48"/>
        <v xml:space="preserve"> ROSEMERE </v>
      </c>
      <c r="AD445" s="2">
        <f t="shared" si="45"/>
        <v>5</v>
      </c>
      <c r="AE445" s="2">
        <f t="shared" ca="1" si="46"/>
        <v>-272.2857623842574</v>
      </c>
      <c r="AF445" s="15"/>
    </row>
    <row r="446" spans="1:32" hidden="1">
      <c r="A446" s="1">
        <v>8634597</v>
      </c>
      <c r="B446" s="1" t="s">
        <v>653</v>
      </c>
      <c r="C446" t="s">
        <v>3581</v>
      </c>
      <c r="E446" s="2">
        <v>5740001400010</v>
      </c>
      <c r="F446" s="1" t="s">
        <v>936</v>
      </c>
      <c r="G446" s="1" t="s">
        <v>53</v>
      </c>
      <c r="H446" s="1" t="s">
        <v>626</v>
      </c>
      <c r="I446" s="1" t="s">
        <v>627</v>
      </c>
      <c r="J446" s="1" t="s">
        <v>46</v>
      </c>
      <c r="K446" t="s">
        <v>937</v>
      </c>
      <c r="M446" s="1" t="s">
        <v>58</v>
      </c>
      <c r="N446" s="1">
        <v>0</v>
      </c>
      <c r="O446" s="1" t="s">
        <v>105</v>
      </c>
      <c r="P446" s="186">
        <v>44713.390509259261</v>
      </c>
      <c r="R446" s="1">
        <v>3</v>
      </c>
      <c r="T446" s="1" t="s">
        <v>646</v>
      </c>
      <c r="U446" s="186">
        <v>44714.390509259261</v>
      </c>
      <c r="V446" s="1" t="s">
        <v>41</v>
      </c>
      <c r="W446" s="1" t="s">
        <v>49</v>
      </c>
      <c r="X446" s="13" t="str">
        <f t="shared" si="47"/>
        <v/>
      </c>
      <c r="Y446" s="2">
        <f t="shared" ca="1" si="42"/>
        <v>196</v>
      </c>
      <c r="Z446" s="14">
        <v>1</v>
      </c>
      <c r="AA446" s="1" t="str">
        <f t="shared" ca="1" si="43"/>
        <v>VENCIDO</v>
      </c>
      <c r="AB446" s="1" t="str">
        <f t="shared" si="44"/>
        <v>C-14</v>
      </c>
      <c r="AC446" s="2" t="str">
        <f t="shared" si="48"/>
        <v xml:space="preserve"> CLEITON </v>
      </c>
      <c r="AD446" s="2">
        <f t="shared" si="45"/>
        <v>5</v>
      </c>
      <c r="AE446" s="2">
        <f t="shared" ca="1" si="46"/>
        <v>-272.2857623842574</v>
      </c>
      <c r="AF446" s="15"/>
    </row>
    <row r="447" spans="1:32" hidden="1">
      <c r="A447" s="1">
        <v>8634419</v>
      </c>
      <c r="B447" s="1" t="s">
        <v>653</v>
      </c>
      <c r="C447" t="s">
        <v>3581</v>
      </c>
      <c r="E447" s="2">
        <v>4997001400010</v>
      </c>
      <c r="F447" s="1" t="s">
        <v>936</v>
      </c>
      <c r="G447" s="1" t="s">
        <v>53</v>
      </c>
      <c r="H447" s="1" t="s">
        <v>406</v>
      </c>
      <c r="I447" s="1" t="s">
        <v>407</v>
      </c>
      <c r="J447" s="1" t="s">
        <v>79</v>
      </c>
      <c r="K447" t="s">
        <v>937</v>
      </c>
      <c r="M447" s="1" t="s">
        <v>58</v>
      </c>
      <c r="N447" s="1">
        <v>0</v>
      </c>
      <c r="O447" s="1" t="s">
        <v>36</v>
      </c>
      <c r="P447" s="186">
        <v>44713.390104166669</v>
      </c>
      <c r="R447" s="1">
        <v>3</v>
      </c>
      <c r="T447" s="1" t="s">
        <v>646</v>
      </c>
      <c r="U447" s="186">
        <v>44714.390104166669</v>
      </c>
      <c r="V447" s="1" t="s">
        <v>41</v>
      </c>
      <c r="W447" s="1" t="s">
        <v>49</v>
      </c>
      <c r="X447" s="13" t="str">
        <f t="shared" si="47"/>
        <v/>
      </c>
      <c r="Y447" s="2">
        <f t="shared" ca="1" si="42"/>
        <v>196</v>
      </c>
      <c r="Z447" s="14">
        <v>1</v>
      </c>
      <c r="AA447" s="1" t="str">
        <f t="shared" ca="1" si="43"/>
        <v>VENCIDO</v>
      </c>
      <c r="AB447" s="1" t="str">
        <f t="shared" si="44"/>
        <v>C-14</v>
      </c>
      <c r="AC447" s="2" t="str">
        <f t="shared" si="48"/>
        <v xml:space="preserve"> ROSEMERE </v>
      </c>
      <c r="AD447" s="2">
        <f t="shared" si="45"/>
        <v>5</v>
      </c>
      <c r="AE447" s="2">
        <f t="shared" ca="1" si="46"/>
        <v>-272.2861674768501</v>
      </c>
      <c r="AF447" s="15"/>
    </row>
    <row r="448" spans="1:32" hidden="1">
      <c r="A448" s="1">
        <v>8634261</v>
      </c>
      <c r="B448" s="1" t="s">
        <v>653</v>
      </c>
      <c r="C448" t="s">
        <v>3581</v>
      </c>
      <c r="E448" s="2">
        <v>4637001400010</v>
      </c>
      <c r="F448" s="1" t="s">
        <v>936</v>
      </c>
      <c r="G448" s="1" t="s">
        <v>53</v>
      </c>
      <c r="H448" s="1" t="s">
        <v>848</v>
      </c>
      <c r="I448" s="1" t="s">
        <v>849</v>
      </c>
      <c r="J448" s="1" t="s">
        <v>79</v>
      </c>
      <c r="K448" t="s">
        <v>937</v>
      </c>
      <c r="M448" s="1" t="s">
        <v>58</v>
      </c>
      <c r="N448" s="1">
        <v>0</v>
      </c>
      <c r="O448" s="1" t="s">
        <v>105</v>
      </c>
      <c r="P448" s="186">
        <v>44713.389722222222</v>
      </c>
      <c r="R448" s="1">
        <v>3</v>
      </c>
      <c r="T448" s="1" t="s">
        <v>646</v>
      </c>
      <c r="U448" s="186">
        <v>44714.389733796299</v>
      </c>
      <c r="V448" s="1" t="s">
        <v>41</v>
      </c>
      <c r="W448" s="1" t="s">
        <v>49</v>
      </c>
      <c r="X448" s="13" t="str">
        <f t="shared" si="47"/>
        <v/>
      </c>
      <c r="Y448" s="2">
        <f t="shared" ca="1" si="42"/>
        <v>196</v>
      </c>
      <c r="Z448" s="14">
        <v>1</v>
      </c>
      <c r="AA448" s="1" t="str">
        <f t="shared" ca="1" si="43"/>
        <v>VENCIDO</v>
      </c>
      <c r="AB448" s="1" t="str">
        <f t="shared" si="44"/>
        <v>C-14</v>
      </c>
      <c r="AC448" s="2" t="str">
        <f t="shared" si="48"/>
        <v xml:space="preserve"> ROSEMERE </v>
      </c>
      <c r="AD448" s="2">
        <f t="shared" si="45"/>
        <v>5</v>
      </c>
      <c r="AE448" s="2">
        <f t="shared" ca="1" si="46"/>
        <v>-272.28653784721973</v>
      </c>
      <c r="AF448" s="15"/>
    </row>
    <row r="449" spans="1:32" hidden="1">
      <c r="A449" s="1">
        <v>8634248</v>
      </c>
      <c r="B449" s="1" t="s">
        <v>653</v>
      </c>
      <c r="C449" t="s">
        <v>3581</v>
      </c>
      <c r="E449" s="2">
        <v>4623001400010</v>
      </c>
      <c r="F449" s="1" t="s">
        <v>936</v>
      </c>
      <c r="G449" s="1" t="s">
        <v>53</v>
      </c>
      <c r="H449" s="1" t="s">
        <v>669</v>
      </c>
      <c r="I449" s="1" t="s">
        <v>670</v>
      </c>
      <c r="J449" s="1" t="s">
        <v>33</v>
      </c>
      <c r="K449" t="s">
        <v>937</v>
      </c>
      <c r="M449" s="1" t="s">
        <v>58</v>
      </c>
      <c r="N449" s="1">
        <v>0</v>
      </c>
      <c r="O449" s="1" t="s">
        <v>105</v>
      </c>
      <c r="P449" s="186">
        <v>44713.389710648145</v>
      </c>
      <c r="R449" s="1">
        <v>3</v>
      </c>
      <c r="T449" s="1" t="s">
        <v>646</v>
      </c>
      <c r="U449" s="186">
        <v>44714.389710648145</v>
      </c>
      <c r="V449" s="1" t="s">
        <v>41</v>
      </c>
      <c r="W449" s="1" t="s">
        <v>42</v>
      </c>
      <c r="X449" s="13" t="str">
        <f t="shared" si="47"/>
        <v/>
      </c>
      <c r="Y449" s="2">
        <f t="shared" ca="1" si="42"/>
        <v>196</v>
      </c>
      <c r="Z449" s="14">
        <v>1</v>
      </c>
      <c r="AA449" s="1" t="str">
        <f t="shared" ca="1" si="43"/>
        <v>VENCIDO</v>
      </c>
      <c r="AB449" s="1" t="str">
        <f t="shared" si="44"/>
        <v>C-14</v>
      </c>
      <c r="AC449" s="2" t="str">
        <f t="shared" si="48"/>
        <v xml:space="preserve"> ROSEMERE </v>
      </c>
      <c r="AD449" s="2">
        <f t="shared" si="45"/>
        <v>5</v>
      </c>
      <c r="AE449" s="2">
        <f t="shared" ca="1" si="46"/>
        <v>-272.28656099537329</v>
      </c>
      <c r="AF449" s="15"/>
    </row>
    <row r="450" spans="1:32" hidden="1">
      <c r="A450" s="1">
        <v>8634067</v>
      </c>
      <c r="B450" s="1" t="s">
        <v>653</v>
      </c>
      <c r="C450" t="s">
        <v>3581</v>
      </c>
      <c r="E450" s="2">
        <v>4357001400010</v>
      </c>
      <c r="F450" s="1" t="s">
        <v>936</v>
      </c>
      <c r="G450" s="1" t="s">
        <v>53</v>
      </c>
      <c r="H450" s="1" t="s">
        <v>633</v>
      </c>
      <c r="I450" s="1" t="s">
        <v>634</v>
      </c>
      <c r="J450" s="1" t="s">
        <v>46</v>
      </c>
      <c r="K450" t="s">
        <v>937</v>
      </c>
      <c r="M450" s="1" t="s">
        <v>58</v>
      </c>
      <c r="N450" s="1">
        <v>0</v>
      </c>
      <c r="O450" s="1" t="s">
        <v>105</v>
      </c>
      <c r="P450" s="186">
        <v>44713.389305555553</v>
      </c>
      <c r="R450" s="1">
        <v>3</v>
      </c>
      <c r="T450" s="1" t="s">
        <v>646</v>
      </c>
      <c r="U450" s="186">
        <v>44714.389305555553</v>
      </c>
      <c r="V450" s="1" t="s">
        <v>41</v>
      </c>
      <c r="W450" s="1" t="s">
        <v>49</v>
      </c>
      <c r="X450" s="13" t="str">
        <f t="shared" si="47"/>
        <v/>
      </c>
      <c r="Y450" s="2">
        <f t="shared" ref="Y450:Y513" ca="1" si="49">NETWORKDAYS(P450,$Y$1)</f>
        <v>196</v>
      </c>
      <c r="Z450" s="14">
        <v>1</v>
      </c>
      <c r="AA450" s="1" t="str">
        <f t="shared" ref="AA450:AA513" ca="1" si="50">IF(AE450=0,"HOJE",IF(AE450&gt;0,"A VENCER",IF(AE450&lt;0,"VENCIDO")))</f>
        <v>VENCIDO</v>
      </c>
      <c r="AB450" s="1" t="str">
        <f t="shared" ref="AB450:AB513" si="51">IF(F450="GRPE-000001","C-14",IF(F450="GRPE-000002","C-14",IF(F450="GRPE-000003","C-14",IF(F450="GRPE-000004","SL-On",IF(F450="GRPE-000038","C-14",IF(F450="GRPE-900022","Dosa",IF(F450="GRPE-000029","Dosa",IF(F450="ATOS-000222","Dose","TAAe+"))))))))</f>
        <v>C-14</v>
      </c>
      <c r="AC450" s="2" t="str">
        <f t="shared" si="48"/>
        <v xml:space="preserve"> CLEITON </v>
      </c>
      <c r="AD450" s="2">
        <f t="shared" ref="AD450:AD513" si="52">IF(F450="GRPE-000001",5,IF(F450="GRPE-000002",5,IF(F450="GRPE-000003",15,IF(F450="GRPE-000004",1,IF(F450="GRPE-000038",5,IF(F450="GRPE-900022",5,IF(F450="GRPE-000029",5,IF(F450="ATOS-000222",5,8))))))))</f>
        <v>5</v>
      </c>
      <c r="AE450" s="2">
        <f t="shared" ref="AE450:AE513" ca="1" si="53">IF(U450=$AE$1,"",U450-$AE$1)</f>
        <v>-272.28696608796599</v>
      </c>
      <c r="AF450" s="15"/>
    </row>
    <row r="451" spans="1:32" hidden="1">
      <c r="A451" s="1">
        <v>8633996</v>
      </c>
      <c r="B451" s="1" t="s">
        <v>653</v>
      </c>
      <c r="C451" t="s">
        <v>3581</v>
      </c>
      <c r="E451" s="2">
        <v>4235001400010</v>
      </c>
      <c r="F451" s="1" t="s">
        <v>936</v>
      </c>
      <c r="G451" s="1" t="s">
        <v>53</v>
      </c>
      <c r="H451" s="1" t="s">
        <v>291</v>
      </c>
      <c r="I451" s="1" t="s">
        <v>292</v>
      </c>
      <c r="J451" s="1" t="s">
        <v>46</v>
      </c>
      <c r="K451" t="s">
        <v>937</v>
      </c>
      <c r="M451" s="1" t="s">
        <v>58</v>
      </c>
      <c r="N451" s="1">
        <v>0</v>
      </c>
      <c r="O451" s="1" t="s">
        <v>105</v>
      </c>
      <c r="P451" s="186">
        <v>44713.38921296296</v>
      </c>
      <c r="R451" s="1">
        <v>3</v>
      </c>
      <c r="T451" s="1" t="s">
        <v>646</v>
      </c>
      <c r="U451" s="186">
        <v>44714.38921296296</v>
      </c>
      <c r="V451" s="1" t="s">
        <v>41</v>
      </c>
      <c r="W451" s="1" t="s">
        <v>49</v>
      </c>
      <c r="X451" s="13" t="str">
        <f t="shared" ref="X451:X514" si="54">IF(RIGHT(H451,2)&lt;&gt;"00",H451,"")</f>
        <v/>
      </c>
      <c r="Y451" s="2">
        <f t="shared" ca="1" si="49"/>
        <v>196</v>
      </c>
      <c r="Z451" s="14">
        <v>1</v>
      </c>
      <c r="AA451" s="1" t="str">
        <f t="shared" ca="1" si="50"/>
        <v>VENCIDO</v>
      </c>
      <c r="AB451" s="1" t="str">
        <f t="shared" si="51"/>
        <v>C-14</v>
      </c>
      <c r="AC451" s="2" t="str">
        <f t="shared" ref="AC451:AC514" si="55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 xml:space="preserve"> CLEITON </v>
      </c>
      <c r="AD451" s="2">
        <f t="shared" si="52"/>
        <v>5</v>
      </c>
      <c r="AE451" s="2">
        <f t="shared" ca="1" si="53"/>
        <v>-272.2870586805584</v>
      </c>
      <c r="AF451" s="15"/>
    </row>
    <row r="452" spans="1:32" hidden="1">
      <c r="A452" s="1">
        <v>8633745</v>
      </c>
      <c r="B452" s="1" t="s">
        <v>653</v>
      </c>
      <c r="C452" t="s">
        <v>3581</v>
      </c>
      <c r="E452" s="2">
        <v>3918001400010</v>
      </c>
      <c r="F452" s="1" t="s">
        <v>936</v>
      </c>
      <c r="G452" s="1" t="s">
        <v>53</v>
      </c>
      <c r="H452" s="1" t="s">
        <v>858</v>
      </c>
      <c r="I452" s="1" t="s">
        <v>859</v>
      </c>
      <c r="J452" s="1" t="s">
        <v>33</v>
      </c>
      <c r="K452" t="s">
        <v>937</v>
      </c>
      <c r="M452" s="1" t="s">
        <v>58</v>
      </c>
      <c r="N452" s="1">
        <v>0</v>
      </c>
      <c r="O452" s="1" t="s">
        <v>105</v>
      </c>
      <c r="P452" s="186">
        <v>44713.388645833336</v>
      </c>
      <c r="R452" s="1">
        <v>3</v>
      </c>
      <c r="T452" s="1" t="s">
        <v>646</v>
      </c>
      <c r="U452" s="186">
        <v>44714.388645833336</v>
      </c>
      <c r="V452" s="1" t="s">
        <v>41</v>
      </c>
      <c r="W452" s="1" t="s">
        <v>49</v>
      </c>
      <c r="X452" s="13" t="str">
        <f t="shared" si="54"/>
        <v/>
      </c>
      <c r="Y452" s="2">
        <f t="shared" ca="1" si="49"/>
        <v>196</v>
      </c>
      <c r="Z452" s="14">
        <v>1</v>
      </c>
      <c r="AA452" s="1" t="str">
        <f t="shared" ca="1" si="50"/>
        <v>VENCIDO</v>
      </c>
      <c r="AB452" s="1" t="str">
        <f t="shared" si="51"/>
        <v>C-14</v>
      </c>
      <c r="AC452" s="2" t="str">
        <f t="shared" si="55"/>
        <v xml:space="preserve"> ROSEMERE </v>
      </c>
      <c r="AD452" s="2">
        <f t="shared" si="52"/>
        <v>5</v>
      </c>
      <c r="AE452" s="2">
        <f t="shared" ca="1" si="53"/>
        <v>-272.28762581018236</v>
      </c>
      <c r="AF452" s="15"/>
    </row>
    <row r="453" spans="1:32" hidden="1">
      <c r="A453" s="1">
        <v>8633594</v>
      </c>
      <c r="B453" s="1" t="s">
        <v>653</v>
      </c>
      <c r="C453" t="s">
        <v>3581</v>
      </c>
      <c r="E453" s="2">
        <v>3699001400010</v>
      </c>
      <c r="F453" s="1" t="s">
        <v>936</v>
      </c>
      <c r="G453" s="1" t="s">
        <v>53</v>
      </c>
      <c r="H453" s="1" t="s">
        <v>343</v>
      </c>
      <c r="I453" s="1" t="s">
        <v>344</v>
      </c>
      <c r="J453" s="1" t="s">
        <v>46</v>
      </c>
      <c r="K453" t="s">
        <v>937</v>
      </c>
      <c r="M453" s="1" t="s">
        <v>58</v>
      </c>
      <c r="N453" s="1">
        <v>0</v>
      </c>
      <c r="O453" s="1" t="s">
        <v>105</v>
      </c>
      <c r="P453" s="186">
        <v>44713.388356481482</v>
      </c>
      <c r="R453" s="1">
        <v>3</v>
      </c>
      <c r="T453" s="1" t="s">
        <v>646</v>
      </c>
      <c r="U453" s="186">
        <v>44714.388356481482</v>
      </c>
      <c r="V453" s="1" t="s">
        <v>41</v>
      </c>
      <c r="W453" s="1" t="s">
        <v>49</v>
      </c>
      <c r="X453" s="13" t="str">
        <f t="shared" si="54"/>
        <v/>
      </c>
      <c r="Y453" s="2">
        <f t="shared" ca="1" si="49"/>
        <v>196</v>
      </c>
      <c r="Z453" s="14">
        <v>1</v>
      </c>
      <c r="AA453" s="1" t="str">
        <f t="shared" ca="1" si="50"/>
        <v>VENCIDO</v>
      </c>
      <c r="AB453" s="1" t="str">
        <f t="shared" si="51"/>
        <v>C-14</v>
      </c>
      <c r="AC453" s="2" t="str">
        <f t="shared" si="55"/>
        <v xml:space="preserve"> CLEITON </v>
      </c>
      <c r="AD453" s="2">
        <f t="shared" si="52"/>
        <v>5</v>
      </c>
      <c r="AE453" s="2">
        <f t="shared" ca="1" si="53"/>
        <v>-272.28791516203637</v>
      </c>
      <c r="AF453" s="15"/>
    </row>
    <row r="454" spans="1:32" hidden="1">
      <c r="A454" s="1">
        <v>8633518</v>
      </c>
      <c r="B454" s="1" t="s">
        <v>653</v>
      </c>
      <c r="C454" t="s">
        <v>3581</v>
      </c>
      <c r="E454" s="2">
        <v>3613001400010</v>
      </c>
      <c r="F454" s="1" t="s">
        <v>936</v>
      </c>
      <c r="G454" s="1" t="s">
        <v>53</v>
      </c>
      <c r="H454" s="1" t="s">
        <v>679</v>
      </c>
      <c r="I454" s="1" t="s">
        <v>680</v>
      </c>
      <c r="J454" s="1" t="s">
        <v>46</v>
      </c>
      <c r="K454" t="s">
        <v>937</v>
      </c>
      <c r="M454" s="1" t="s">
        <v>58</v>
      </c>
      <c r="N454" s="1">
        <v>0</v>
      </c>
      <c r="O454" s="1" t="s">
        <v>105</v>
      </c>
      <c r="P454" s="186">
        <v>44713.388171296298</v>
      </c>
      <c r="R454" s="1">
        <v>3</v>
      </c>
      <c r="T454" s="1" t="s">
        <v>646</v>
      </c>
      <c r="U454" s="186">
        <v>44714.388171296298</v>
      </c>
      <c r="V454" s="1" t="s">
        <v>41</v>
      </c>
      <c r="W454" s="1" t="s">
        <v>49</v>
      </c>
      <c r="X454" s="13" t="str">
        <f t="shared" si="54"/>
        <v/>
      </c>
      <c r="Y454" s="2">
        <f t="shared" ca="1" si="49"/>
        <v>196</v>
      </c>
      <c r="Z454" s="14">
        <v>1</v>
      </c>
      <c r="AA454" s="1" t="str">
        <f t="shared" ca="1" si="50"/>
        <v>VENCIDO</v>
      </c>
      <c r="AB454" s="1" t="str">
        <f t="shared" si="51"/>
        <v>C-14</v>
      </c>
      <c r="AC454" s="2" t="str">
        <f t="shared" si="55"/>
        <v xml:space="preserve"> CLEITON </v>
      </c>
      <c r="AD454" s="2">
        <f t="shared" si="52"/>
        <v>5</v>
      </c>
      <c r="AE454" s="2">
        <f t="shared" ca="1" si="53"/>
        <v>-272.28810034722119</v>
      </c>
      <c r="AF454" s="15"/>
    </row>
    <row r="455" spans="1:32" hidden="1">
      <c r="A455" s="1">
        <v>8633517</v>
      </c>
      <c r="B455" s="1" t="s">
        <v>653</v>
      </c>
      <c r="C455" t="s">
        <v>3581</v>
      </c>
      <c r="E455" s="2">
        <v>3612001400010</v>
      </c>
      <c r="F455" s="1" t="s">
        <v>936</v>
      </c>
      <c r="G455" s="1" t="s">
        <v>53</v>
      </c>
      <c r="H455" s="1" t="s">
        <v>683</v>
      </c>
      <c r="I455" s="1" t="s">
        <v>684</v>
      </c>
      <c r="J455" s="1" t="s">
        <v>46</v>
      </c>
      <c r="K455" t="s">
        <v>937</v>
      </c>
      <c r="M455" s="1" t="s">
        <v>58</v>
      </c>
      <c r="N455" s="1">
        <v>0</v>
      </c>
      <c r="O455" s="1" t="s">
        <v>105</v>
      </c>
      <c r="P455" s="186">
        <v>44713.388171296298</v>
      </c>
      <c r="R455" s="1">
        <v>3</v>
      </c>
      <c r="T455" s="1" t="s">
        <v>646</v>
      </c>
      <c r="U455" s="186">
        <v>44714.388171296298</v>
      </c>
      <c r="V455" s="1" t="s">
        <v>41</v>
      </c>
      <c r="W455" s="1" t="s">
        <v>49</v>
      </c>
      <c r="X455" s="13" t="str">
        <f t="shared" si="54"/>
        <v/>
      </c>
      <c r="Y455" s="2">
        <f t="shared" ca="1" si="49"/>
        <v>196</v>
      </c>
      <c r="Z455" s="14">
        <v>1</v>
      </c>
      <c r="AA455" s="1" t="str">
        <f t="shared" ca="1" si="50"/>
        <v>VENCIDO</v>
      </c>
      <c r="AB455" s="1" t="str">
        <f t="shared" si="51"/>
        <v>C-14</v>
      </c>
      <c r="AC455" s="2" t="str">
        <f t="shared" si="55"/>
        <v xml:space="preserve"> CLEITON </v>
      </c>
      <c r="AD455" s="2">
        <f t="shared" si="52"/>
        <v>5</v>
      </c>
      <c r="AE455" s="2">
        <f t="shared" ca="1" si="53"/>
        <v>-272.28810034722119</v>
      </c>
      <c r="AF455" s="15"/>
    </row>
    <row r="456" spans="1:32" hidden="1">
      <c r="A456" s="1">
        <v>8633446</v>
      </c>
      <c r="B456" s="1" t="s">
        <v>653</v>
      </c>
      <c r="C456" t="s">
        <v>3581</v>
      </c>
      <c r="E456" s="2">
        <v>3504001400010</v>
      </c>
      <c r="F456" s="1" t="s">
        <v>936</v>
      </c>
      <c r="G456" s="1" t="s">
        <v>53</v>
      </c>
      <c r="H456" s="1" t="s">
        <v>585</v>
      </c>
      <c r="I456" s="1" t="s">
        <v>586</v>
      </c>
      <c r="J456" s="1" t="s">
        <v>46</v>
      </c>
      <c r="K456" t="s">
        <v>937</v>
      </c>
      <c r="M456" s="1" t="s">
        <v>58</v>
      </c>
      <c r="N456" s="1">
        <v>0</v>
      </c>
      <c r="O456" s="1" t="s">
        <v>105</v>
      </c>
      <c r="P456" s="186">
        <v>44713.387997685182</v>
      </c>
      <c r="R456" s="1">
        <v>3</v>
      </c>
      <c r="T456" s="1" t="s">
        <v>646</v>
      </c>
      <c r="U456" s="186">
        <v>44714.387997685182</v>
      </c>
      <c r="V456" s="1" t="s">
        <v>41</v>
      </c>
      <c r="W456" s="1" t="s">
        <v>49</v>
      </c>
      <c r="X456" s="13" t="str">
        <f t="shared" si="54"/>
        <v/>
      </c>
      <c r="Y456" s="2">
        <f t="shared" ca="1" si="49"/>
        <v>196</v>
      </c>
      <c r="Z456" s="14">
        <v>1</v>
      </c>
      <c r="AA456" s="1" t="str">
        <f t="shared" ca="1" si="50"/>
        <v>VENCIDO</v>
      </c>
      <c r="AB456" s="1" t="str">
        <f t="shared" si="51"/>
        <v>C-14</v>
      </c>
      <c r="AC456" s="2" t="str">
        <f t="shared" si="55"/>
        <v xml:space="preserve"> CLEITON </v>
      </c>
      <c r="AD456" s="2">
        <f t="shared" si="52"/>
        <v>5</v>
      </c>
      <c r="AE456" s="2">
        <f t="shared" ca="1" si="53"/>
        <v>-272.2882739583365</v>
      </c>
      <c r="AF456" s="15"/>
    </row>
    <row r="457" spans="1:32" hidden="1">
      <c r="A457" s="1">
        <v>8633445</v>
      </c>
      <c r="B457" s="1" t="s">
        <v>653</v>
      </c>
      <c r="C457" t="s">
        <v>3581</v>
      </c>
      <c r="E457" s="2">
        <v>3503001400010</v>
      </c>
      <c r="F457" s="1" t="s">
        <v>936</v>
      </c>
      <c r="G457" s="1" t="s">
        <v>53</v>
      </c>
      <c r="H457" s="1" t="s">
        <v>398</v>
      </c>
      <c r="I457" s="1" t="s">
        <v>399</v>
      </c>
      <c r="J457" s="1" t="s">
        <v>46</v>
      </c>
      <c r="K457" t="s">
        <v>937</v>
      </c>
      <c r="M457" s="1" t="s">
        <v>58</v>
      </c>
      <c r="N457" s="1">
        <v>0</v>
      </c>
      <c r="O457" s="1" t="s">
        <v>105</v>
      </c>
      <c r="P457" s="186">
        <v>44713.387997685182</v>
      </c>
      <c r="R457" s="1">
        <v>3</v>
      </c>
      <c r="T457" s="1" t="s">
        <v>646</v>
      </c>
      <c r="U457" s="186">
        <v>44714.387997685182</v>
      </c>
      <c r="V457" s="1" t="s">
        <v>41</v>
      </c>
      <c r="W457" s="1" t="s">
        <v>49</v>
      </c>
      <c r="X457" s="13" t="str">
        <f t="shared" si="54"/>
        <v/>
      </c>
      <c r="Y457" s="2">
        <f t="shared" ca="1" si="49"/>
        <v>196</v>
      </c>
      <c r="Z457" s="14">
        <v>1</v>
      </c>
      <c r="AA457" s="1" t="str">
        <f t="shared" ca="1" si="50"/>
        <v>VENCIDO</v>
      </c>
      <c r="AB457" s="1" t="str">
        <f t="shared" si="51"/>
        <v>C-14</v>
      </c>
      <c r="AC457" s="2" t="str">
        <f t="shared" si="55"/>
        <v xml:space="preserve"> CLEITON </v>
      </c>
      <c r="AD457" s="2">
        <f t="shared" si="52"/>
        <v>5</v>
      </c>
      <c r="AE457" s="2">
        <f t="shared" ca="1" si="53"/>
        <v>-272.2882739583365</v>
      </c>
      <c r="AF457" s="15"/>
    </row>
    <row r="458" spans="1:32" hidden="1">
      <c r="A458" s="1">
        <v>8633297</v>
      </c>
      <c r="B458" s="1" t="s">
        <v>653</v>
      </c>
      <c r="C458" t="s">
        <v>3581</v>
      </c>
      <c r="E458" s="2">
        <v>3258001400010</v>
      </c>
      <c r="F458" s="1" t="s">
        <v>936</v>
      </c>
      <c r="G458" s="1" t="s">
        <v>53</v>
      </c>
      <c r="H458" s="1" t="s">
        <v>321</v>
      </c>
      <c r="I458" s="1" t="s">
        <v>322</v>
      </c>
      <c r="J458" s="1" t="s">
        <v>46</v>
      </c>
      <c r="K458" t="s">
        <v>937</v>
      </c>
      <c r="M458" s="1" t="s">
        <v>58</v>
      </c>
      <c r="N458" s="1">
        <v>0</v>
      </c>
      <c r="O458" s="1" t="s">
        <v>105</v>
      </c>
      <c r="P458" s="186">
        <v>44713.387743055559</v>
      </c>
      <c r="R458" s="1">
        <v>3</v>
      </c>
      <c r="T458" s="1" t="s">
        <v>646</v>
      </c>
      <c r="U458" s="186">
        <v>44714.387743055559</v>
      </c>
      <c r="V458" s="1" t="s">
        <v>41</v>
      </c>
      <c r="W458" s="1" t="s">
        <v>49</v>
      </c>
      <c r="X458" s="13" t="str">
        <f t="shared" si="54"/>
        <v/>
      </c>
      <c r="Y458" s="2">
        <f t="shared" ca="1" si="49"/>
        <v>196</v>
      </c>
      <c r="Z458" s="14">
        <v>1</v>
      </c>
      <c r="AA458" s="1" t="str">
        <f t="shared" ca="1" si="50"/>
        <v>VENCIDO</v>
      </c>
      <c r="AB458" s="1" t="str">
        <f t="shared" si="51"/>
        <v>C-14</v>
      </c>
      <c r="AC458" s="2" t="str">
        <f t="shared" si="55"/>
        <v xml:space="preserve"> CLEITON </v>
      </c>
      <c r="AD458" s="2">
        <f t="shared" si="52"/>
        <v>5</v>
      </c>
      <c r="AE458" s="2">
        <f t="shared" ca="1" si="53"/>
        <v>-272.28852858796017</v>
      </c>
      <c r="AF458" s="15"/>
    </row>
    <row r="459" spans="1:32" hidden="1">
      <c r="A459" s="1">
        <v>8633288</v>
      </c>
      <c r="B459" s="1" t="s">
        <v>653</v>
      </c>
      <c r="C459" t="s">
        <v>3581</v>
      </c>
      <c r="E459" s="2">
        <v>3250001400010</v>
      </c>
      <c r="F459" s="1" t="s">
        <v>936</v>
      </c>
      <c r="G459" s="1" t="s">
        <v>53</v>
      </c>
      <c r="H459" s="1" t="s">
        <v>371</v>
      </c>
      <c r="I459" s="1" t="s">
        <v>372</v>
      </c>
      <c r="J459" s="1" t="s">
        <v>46</v>
      </c>
      <c r="K459" t="s">
        <v>937</v>
      </c>
      <c r="M459" s="1" t="s">
        <v>58</v>
      </c>
      <c r="N459" s="1">
        <v>0</v>
      </c>
      <c r="O459" s="1" t="s">
        <v>105</v>
      </c>
      <c r="P459" s="186">
        <v>44713.387731481482</v>
      </c>
      <c r="R459" s="1">
        <v>3</v>
      </c>
      <c r="T459" s="1" t="s">
        <v>646</v>
      </c>
      <c r="U459" s="186">
        <v>44714.387731481482</v>
      </c>
      <c r="V459" s="1" t="s">
        <v>41</v>
      </c>
      <c r="W459" s="1" t="s">
        <v>49</v>
      </c>
      <c r="X459" s="13" t="str">
        <f t="shared" si="54"/>
        <v/>
      </c>
      <c r="Y459" s="2">
        <f t="shared" ca="1" si="49"/>
        <v>196</v>
      </c>
      <c r="Z459" s="14">
        <v>1</v>
      </c>
      <c r="AA459" s="1" t="str">
        <f t="shared" ca="1" si="50"/>
        <v>VENCIDO</v>
      </c>
      <c r="AB459" s="1" t="str">
        <f t="shared" si="51"/>
        <v>C-14</v>
      </c>
      <c r="AC459" s="2" t="str">
        <f t="shared" si="55"/>
        <v xml:space="preserve"> CLEITON </v>
      </c>
      <c r="AD459" s="2">
        <f t="shared" si="52"/>
        <v>5</v>
      </c>
      <c r="AE459" s="2">
        <f t="shared" ca="1" si="53"/>
        <v>-272.28854016203695</v>
      </c>
      <c r="AF459" s="15"/>
    </row>
    <row r="460" spans="1:32" hidden="1">
      <c r="A460" s="1">
        <v>8633283</v>
      </c>
      <c r="B460" s="1" t="s">
        <v>653</v>
      </c>
      <c r="C460" t="s">
        <v>3581</v>
      </c>
      <c r="E460" s="2">
        <v>3243001400010</v>
      </c>
      <c r="F460" s="1" t="s">
        <v>936</v>
      </c>
      <c r="G460" s="1" t="s">
        <v>53</v>
      </c>
      <c r="H460" s="1" t="s">
        <v>282</v>
      </c>
      <c r="I460" s="1" t="s">
        <v>283</v>
      </c>
      <c r="J460" s="1" t="s">
        <v>46</v>
      </c>
      <c r="K460" t="s">
        <v>937</v>
      </c>
      <c r="M460" s="1" t="s">
        <v>58</v>
      </c>
      <c r="N460" s="1">
        <v>0</v>
      </c>
      <c r="O460" s="1" t="s">
        <v>105</v>
      </c>
      <c r="P460" s="186">
        <v>44713.387719907405</v>
      </c>
      <c r="R460" s="1">
        <v>3</v>
      </c>
      <c r="T460" s="1" t="s">
        <v>646</v>
      </c>
      <c r="U460" s="186">
        <v>44714.387719907405</v>
      </c>
      <c r="V460" s="1" t="s">
        <v>41</v>
      </c>
      <c r="W460" s="1" t="s">
        <v>49</v>
      </c>
      <c r="X460" s="13" t="str">
        <f t="shared" si="54"/>
        <v/>
      </c>
      <c r="Y460" s="2">
        <f t="shared" ca="1" si="49"/>
        <v>196</v>
      </c>
      <c r="Z460" s="14">
        <v>1</v>
      </c>
      <c r="AA460" s="1" t="str">
        <f t="shared" ca="1" si="50"/>
        <v>VENCIDO</v>
      </c>
      <c r="AB460" s="1" t="str">
        <f t="shared" si="51"/>
        <v>C-14</v>
      </c>
      <c r="AC460" s="2" t="str">
        <f t="shared" si="55"/>
        <v xml:space="preserve"> CLEITON </v>
      </c>
      <c r="AD460" s="2">
        <f t="shared" si="52"/>
        <v>5</v>
      </c>
      <c r="AE460" s="2">
        <f t="shared" ca="1" si="53"/>
        <v>-272.28855173611373</v>
      </c>
      <c r="AF460" s="15"/>
    </row>
    <row r="461" spans="1:32" hidden="1">
      <c r="A461" s="1">
        <v>8633279</v>
      </c>
      <c r="B461" s="1" t="s">
        <v>653</v>
      </c>
      <c r="C461" t="s">
        <v>3581</v>
      </c>
      <c r="E461" s="2">
        <v>3234171400010</v>
      </c>
      <c r="F461" s="1" t="s">
        <v>936</v>
      </c>
      <c r="G461" s="1" t="s">
        <v>53</v>
      </c>
      <c r="H461" s="1" t="s">
        <v>799</v>
      </c>
      <c r="I461" s="1" t="s">
        <v>800</v>
      </c>
      <c r="J461" s="1" t="s">
        <v>46</v>
      </c>
      <c r="K461" t="s">
        <v>937</v>
      </c>
      <c r="M461" s="1" t="s">
        <v>58</v>
      </c>
      <c r="N461" s="1">
        <v>0</v>
      </c>
      <c r="O461" s="1" t="s">
        <v>105</v>
      </c>
      <c r="P461" s="186">
        <v>44713.387719907405</v>
      </c>
      <c r="R461" s="1">
        <v>3</v>
      </c>
      <c r="T461" s="1" t="s">
        <v>646</v>
      </c>
      <c r="U461" s="186">
        <v>44714.387719907405</v>
      </c>
      <c r="V461" s="1" t="s">
        <v>41</v>
      </c>
      <c r="W461" s="1" t="s">
        <v>49</v>
      </c>
      <c r="X461" s="13" t="str">
        <f t="shared" si="54"/>
        <v>3234.17</v>
      </c>
      <c r="Y461" s="2">
        <f t="shared" ca="1" si="49"/>
        <v>196</v>
      </c>
      <c r="Z461" s="14">
        <v>1</v>
      </c>
      <c r="AA461" s="1" t="str">
        <f t="shared" ca="1" si="50"/>
        <v>VENCIDO</v>
      </c>
      <c r="AB461" s="1" t="str">
        <f t="shared" si="51"/>
        <v>C-14</v>
      </c>
      <c r="AC461" s="2" t="str">
        <f t="shared" si="55"/>
        <v xml:space="preserve"> CLEITON </v>
      </c>
      <c r="AD461" s="2">
        <f t="shared" si="52"/>
        <v>5</v>
      </c>
      <c r="AE461" s="2">
        <f t="shared" ca="1" si="53"/>
        <v>-272.28855173611373</v>
      </c>
      <c r="AF461" s="15"/>
    </row>
    <row r="462" spans="1:32" hidden="1">
      <c r="A462" s="1">
        <v>8633278</v>
      </c>
      <c r="B462" s="1" t="s">
        <v>653</v>
      </c>
      <c r="C462" t="s">
        <v>3581</v>
      </c>
      <c r="E462" s="2">
        <v>3234161400010</v>
      </c>
      <c r="F462" s="1" t="s">
        <v>936</v>
      </c>
      <c r="G462" s="1" t="s">
        <v>53</v>
      </c>
      <c r="H462" s="1" t="s">
        <v>499</v>
      </c>
      <c r="I462" s="1" t="s">
        <v>500</v>
      </c>
      <c r="J462" s="1" t="s">
        <v>46</v>
      </c>
      <c r="K462" t="s">
        <v>937</v>
      </c>
      <c r="M462" s="1" t="s">
        <v>58</v>
      </c>
      <c r="N462" s="1">
        <v>0</v>
      </c>
      <c r="O462" s="1" t="s">
        <v>105</v>
      </c>
      <c r="P462" s="186">
        <v>44713.387708333335</v>
      </c>
      <c r="R462" s="1">
        <v>3</v>
      </c>
      <c r="T462" s="1" t="s">
        <v>646</v>
      </c>
      <c r="U462" s="186">
        <v>44714.387719907405</v>
      </c>
      <c r="V462" s="1" t="s">
        <v>41</v>
      </c>
      <c r="W462" s="1" t="s">
        <v>49</v>
      </c>
      <c r="X462" s="13" t="str">
        <f t="shared" si="54"/>
        <v>3234.16</v>
      </c>
      <c r="Y462" s="2">
        <f t="shared" ca="1" si="49"/>
        <v>196</v>
      </c>
      <c r="Z462" s="14">
        <v>1</v>
      </c>
      <c r="AA462" s="1" t="str">
        <f t="shared" ca="1" si="50"/>
        <v>VENCIDO</v>
      </c>
      <c r="AB462" s="1" t="str">
        <f t="shared" si="51"/>
        <v>C-14</v>
      </c>
      <c r="AC462" s="2" t="str">
        <f t="shared" si="55"/>
        <v xml:space="preserve"> CLEITON </v>
      </c>
      <c r="AD462" s="2">
        <f t="shared" si="52"/>
        <v>5</v>
      </c>
      <c r="AE462" s="2">
        <f t="shared" ca="1" si="53"/>
        <v>-272.28855173611373</v>
      </c>
      <c r="AF462" s="15"/>
    </row>
    <row r="463" spans="1:32" hidden="1">
      <c r="A463" s="1">
        <v>8633277</v>
      </c>
      <c r="B463" s="1" t="s">
        <v>653</v>
      </c>
      <c r="C463" t="s">
        <v>3581</v>
      </c>
      <c r="E463" s="2">
        <v>3234151400010</v>
      </c>
      <c r="F463" s="1" t="s">
        <v>936</v>
      </c>
      <c r="G463" s="1" t="s">
        <v>53</v>
      </c>
      <c r="H463" s="1" t="s">
        <v>629</v>
      </c>
      <c r="I463" s="1" t="s">
        <v>630</v>
      </c>
      <c r="J463" s="1" t="s">
        <v>46</v>
      </c>
      <c r="K463" t="s">
        <v>937</v>
      </c>
      <c r="M463" s="1" t="s">
        <v>58</v>
      </c>
      <c r="N463" s="1">
        <v>0</v>
      </c>
      <c r="O463" s="1" t="s">
        <v>105</v>
      </c>
      <c r="P463" s="186">
        <v>44713.387708333335</v>
      </c>
      <c r="R463" s="1">
        <v>3</v>
      </c>
      <c r="T463" s="1" t="s">
        <v>646</v>
      </c>
      <c r="U463" s="186">
        <v>44714.387708333335</v>
      </c>
      <c r="V463" s="1" t="s">
        <v>41</v>
      </c>
      <c r="W463" s="1" t="s">
        <v>49</v>
      </c>
      <c r="X463" s="13" t="str">
        <f t="shared" si="54"/>
        <v>3234.15</v>
      </c>
      <c r="Y463" s="2">
        <f t="shared" ca="1" si="49"/>
        <v>196</v>
      </c>
      <c r="Z463" s="14">
        <v>1</v>
      </c>
      <c r="AA463" s="1" t="str">
        <f t="shared" ca="1" si="50"/>
        <v>VENCIDO</v>
      </c>
      <c r="AB463" s="1" t="str">
        <f t="shared" si="51"/>
        <v>C-14</v>
      </c>
      <c r="AC463" s="2" t="str">
        <f t="shared" si="55"/>
        <v xml:space="preserve"> CLEITON </v>
      </c>
      <c r="AD463" s="2">
        <f t="shared" si="52"/>
        <v>5</v>
      </c>
      <c r="AE463" s="2">
        <f t="shared" ca="1" si="53"/>
        <v>-272.28856331018324</v>
      </c>
      <c r="AF463" s="15"/>
    </row>
    <row r="464" spans="1:32" hidden="1">
      <c r="A464" s="1">
        <v>8633187</v>
      </c>
      <c r="B464" s="1" t="s">
        <v>653</v>
      </c>
      <c r="C464" t="s">
        <v>3581</v>
      </c>
      <c r="E464" s="2">
        <v>3108011400010</v>
      </c>
      <c r="F464" s="1" t="s">
        <v>936</v>
      </c>
      <c r="G464" s="1" t="s">
        <v>53</v>
      </c>
      <c r="H464" s="1" t="s">
        <v>503</v>
      </c>
      <c r="I464" s="1" t="s">
        <v>504</v>
      </c>
      <c r="J464" s="1" t="s">
        <v>46</v>
      </c>
      <c r="K464" t="s">
        <v>937</v>
      </c>
      <c r="M464" s="1" t="s">
        <v>58</v>
      </c>
      <c r="N464" s="1">
        <v>0</v>
      </c>
      <c r="O464" s="1" t="s">
        <v>105</v>
      </c>
      <c r="P464" s="186">
        <v>44713.387546296297</v>
      </c>
      <c r="R464" s="1">
        <v>3</v>
      </c>
      <c r="T464" s="1" t="s">
        <v>646</v>
      </c>
      <c r="U464" s="186">
        <v>44714.387546296297</v>
      </c>
      <c r="V464" s="1" t="s">
        <v>41</v>
      </c>
      <c r="W464" s="1" t="s">
        <v>49</v>
      </c>
      <c r="X464" s="13" t="str">
        <f t="shared" si="54"/>
        <v>3108.01</v>
      </c>
      <c r="Y464" s="2">
        <f t="shared" ca="1" si="49"/>
        <v>196</v>
      </c>
      <c r="Z464" s="14">
        <v>1</v>
      </c>
      <c r="AA464" s="1" t="str">
        <f t="shared" ca="1" si="50"/>
        <v>VENCIDO</v>
      </c>
      <c r="AB464" s="1" t="str">
        <f t="shared" si="51"/>
        <v>C-14</v>
      </c>
      <c r="AC464" s="2" t="str">
        <f t="shared" si="55"/>
        <v xml:space="preserve"> CLEITON </v>
      </c>
      <c r="AD464" s="2">
        <f t="shared" si="52"/>
        <v>5</v>
      </c>
      <c r="AE464" s="2">
        <f t="shared" ca="1" si="53"/>
        <v>-272.28872534722177</v>
      </c>
      <c r="AF464" s="15"/>
    </row>
    <row r="465" spans="1:32" hidden="1">
      <c r="A465" s="1">
        <v>8633186</v>
      </c>
      <c r="B465" s="1" t="s">
        <v>653</v>
      </c>
      <c r="C465" t="s">
        <v>3581</v>
      </c>
      <c r="E465" s="2">
        <v>3108001400010</v>
      </c>
      <c r="F465" s="1" t="s">
        <v>936</v>
      </c>
      <c r="G465" s="1" t="s">
        <v>53</v>
      </c>
      <c r="H465" s="1" t="s">
        <v>325</v>
      </c>
      <c r="I465" s="1" t="s">
        <v>326</v>
      </c>
      <c r="J465" s="1" t="s">
        <v>46</v>
      </c>
      <c r="K465" t="s">
        <v>937</v>
      </c>
      <c r="M465" s="1" t="s">
        <v>58</v>
      </c>
      <c r="N465" s="1">
        <v>0</v>
      </c>
      <c r="O465" s="1" t="s">
        <v>105</v>
      </c>
      <c r="P465" s="186">
        <v>44713.387546296297</v>
      </c>
      <c r="R465" s="1">
        <v>3</v>
      </c>
      <c r="T465" s="1" t="s">
        <v>646</v>
      </c>
      <c r="U465" s="186">
        <v>44714.387546296297</v>
      </c>
      <c r="V465" s="1" t="s">
        <v>41</v>
      </c>
      <c r="W465" s="1" t="s">
        <v>49</v>
      </c>
      <c r="X465" s="13" t="str">
        <f t="shared" si="54"/>
        <v/>
      </c>
      <c r="Y465" s="2">
        <f t="shared" ca="1" si="49"/>
        <v>196</v>
      </c>
      <c r="Z465" s="14">
        <v>1</v>
      </c>
      <c r="AA465" s="1" t="str">
        <f t="shared" ca="1" si="50"/>
        <v>VENCIDO</v>
      </c>
      <c r="AB465" s="1" t="str">
        <f t="shared" si="51"/>
        <v>C-14</v>
      </c>
      <c r="AC465" s="2" t="str">
        <f t="shared" si="55"/>
        <v xml:space="preserve"> CLEITON </v>
      </c>
      <c r="AD465" s="2">
        <f t="shared" si="52"/>
        <v>5</v>
      </c>
      <c r="AE465" s="2">
        <f t="shared" ca="1" si="53"/>
        <v>-272.28872534722177</v>
      </c>
      <c r="AF465" s="15"/>
    </row>
    <row r="466" spans="1:32" hidden="1">
      <c r="A466" s="1">
        <v>8633096</v>
      </c>
      <c r="B466" s="1" t="s">
        <v>653</v>
      </c>
      <c r="C466" t="s">
        <v>3581</v>
      </c>
      <c r="E466" s="2">
        <v>2988001400010</v>
      </c>
      <c r="F466" s="1" t="s">
        <v>936</v>
      </c>
      <c r="G466" s="1" t="s">
        <v>53</v>
      </c>
      <c r="H466" s="1" t="s">
        <v>536</v>
      </c>
      <c r="I466" s="1" t="s">
        <v>537</v>
      </c>
      <c r="J466" s="1" t="s">
        <v>46</v>
      </c>
      <c r="K466" t="s">
        <v>937</v>
      </c>
      <c r="M466" s="1" t="s">
        <v>58</v>
      </c>
      <c r="N466" s="1">
        <v>0</v>
      </c>
      <c r="O466" s="1" t="s">
        <v>105</v>
      </c>
      <c r="P466" s="186">
        <v>44713.387361111112</v>
      </c>
      <c r="R466" s="1">
        <v>3</v>
      </c>
      <c r="T466" s="1" t="s">
        <v>646</v>
      </c>
      <c r="U466" s="186">
        <v>44714.387372685182</v>
      </c>
      <c r="V466" s="1" t="s">
        <v>41</v>
      </c>
      <c r="W466" s="1" t="s">
        <v>49</v>
      </c>
      <c r="X466" s="13" t="str">
        <f t="shared" si="54"/>
        <v/>
      </c>
      <c r="Y466" s="2">
        <f t="shared" ca="1" si="49"/>
        <v>196</v>
      </c>
      <c r="Z466" s="14">
        <v>1</v>
      </c>
      <c r="AA466" s="1" t="str">
        <f t="shared" ca="1" si="50"/>
        <v>VENCIDO</v>
      </c>
      <c r="AB466" s="1" t="str">
        <f t="shared" si="51"/>
        <v>C-14</v>
      </c>
      <c r="AC466" s="2" t="str">
        <f t="shared" si="55"/>
        <v xml:space="preserve"> CLEITON </v>
      </c>
      <c r="AD466" s="2">
        <f t="shared" si="52"/>
        <v>5</v>
      </c>
      <c r="AE466" s="2">
        <f t="shared" ca="1" si="53"/>
        <v>-272.28889895833709</v>
      </c>
      <c r="AF466" s="15"/>
    </row>
    <row r="467" spans="1:32" hidden="1">
      <c r="A467" s="1">
        <v>8633016</v>
      </c>
      <c r="B467" s="1" t="s">
        <v>653</v>
      </c>
      <c r="C467" t="s">
        <v>3581</v>
      </c>
      <c r="E467" s="2">
        <v>2889001400010</v>
      </c>
      <c r="F467" s="1" t="s">
        <v>936</v>
      </c>
      <c r="G467" s="1" t="s">
        <v>53</v>
      </c>
      <c r="H467" s="1" t="s">
        <v>418</v>
      </c>
      <c r="I467" s="1" t="s">
        <v>419</v>
      </c>
      <c r="J467" s="1" t="s">
        <v>46</v>
      </c>
      <c r="K467" t="s">
        <v>937</v>
      </c>
      <c r="M467" s="1" t="s">
        <v>58</v>
      </c>
      <c r="N467" s="1">
        <v>0</v>
      </c>
      <c r="O467" s="1" t="s">
        <v>105</v>
      </c>
      <c r="P467" s="186">
        <v>44713.38721064815</v>
      </c>
      <c r="R467" s="1">
        <v>3</v>
      </c>
      <c r="T467" s="1" t="s">
        <v>646</v>
      </c>
      <c r="U467" s="186">
        <v>44714.38721064815</v>
      </c>
      <c r="V467" s="1" t="s">
        <v>41</v>
      </c>
      <c r="W467" s="1" t="s">
        <v>49</v>
      </c>
      <c r="X467" s="13" t="str">
        <f t="shared" si="54"/>
        <v/>
      </c>
      <c r="Y467" s="2">
        <f t="shared" ca="1" si="49"/>
        <v>196</v>
      </c>
      <c r="Z467" s="14">
        <v>1</v>
      </c>
      <c r="AA467" s="1" t="str">
        <f t="shared" ca="1" si="50"/>
        <v>VENCIDO</v>
      </c>
      <c r="AB467" s="1" t="str">
        <f t="shared" si="51"/>
        <v>C-14</v>
      </c>
      <c r="AC467" s="2" t="str">
        <f t="shared" si="55"/>
        <v xml:space="preserve"> CLEITON </v>
      </c>
      <c r="AD467" s="2">
        <f t="shared" si="52"/>
        <v>5</v>
      </c>
      <c r="AE467" s="2">
        <f t="shared" ca="1" si="53"/>
        <v>-272.28906099536835</v>
      </c>
      <c r="AF467" s="15"/>
    </row>
    <row r="468" spans="1:32" hidden="1">
      <c r="A468" s="1">
        <v>8632974</v>
      </c>
      <c r="B468" s="1" t="s">
        <v>653</v>
      </c>
      <c r="C468" t="s">
        <v>3581</v>
      </c>
      <c r="E468" s="2">
        <v>2830001400010</v>
      </c>
      <c r="F468" s="1" t="s">
        <v>936</v>
      </c>
      <c r="G468" s="1" t="s">
        <v>53</v>
      </c>
      <c r="H468" s="1" t="s">
        <v>448</v>
      </c>
      <c r="I468" s="1" t="s">
        <v>449</v>
      </c>
      <c r="J468" s="1" t="s">
        <v>33</v>
      </c>
      <c r="K468" t="s">
        <v>937</v>
      </c>
      <c r="M468" s="1" t="s">
        <v>58</v>
      </c>
      <c r="N468" s="1">
        <v>0</v>
      </c>
      <c r="O468" s="1" t="s">
        <v>105</v>
      </c>
      <c r="P468" s="186">
        <v>44713.387164351851</v>
      </c>
      <c r="R468" s="1">
        <v>3</v>
      </c>
      <c r="T468" s="1" t="s">
        <v>646</v>
      </c>
      <c r="U468" s="186">
        <v>44714.387164351851</v>
      </c>
      <c r="V468" s="1" t="s">
        <v>41</v>
      </c>
      <c r="W468" s="1" t="s">
        <v>42</v>
      </c>
      <c r="X468" s="13" t="str">
        <f t="shared" si="54"/>
        <v/>
      </c>
      <c r="Y468" s="2">
        <f t="shared" ca="1" si="49"/>
        <v>196</v>
      </c>
      <c r="Z468" s="14">
        <v>1</v>
      </c>
      <c r="AA468" s="1" t="str">
        <f t="shared" ca="1" si="50"/>
        <v>VENCIDO</v>
      </c>
      <c r="AB468" s="1" t="str">
        <f t="shared" si="51"/>
        <v>C-14</v>
      </c>
      <c r="AC468" s="2" t="str">
        <f t="shared" si="55"/>
        <v xml:space="preserve"> ROSEMERE </v>
      </c>
      <c r="AD468" s="2">
        <f t="shared" si="52"/>
        <v>5</v>
      </c>
      <c r="AE468" s="2">
        <f t="shared" ca="1" si="53"/>
        <v>-272.28910729166819</v>
      </c>
      <c r="AF468" s="15"/>
    </row>
    <row r="469" spans="1:32" hidden="1">
      <c r="A469" s="1">
        <v>8632958</v>
      </c>
      <c r="B469" s="1" t="s">
        <v>653</v>
      </c>
      <c r="C469" t="s">
        <v>3581</v>
      </c>
      <c r="E469" s="2">
        <v>2811001400010</v>
      </c>
      <c r="F469" s="1" t="s">
        <v>936</v>
      </c>
      <c r="G469" s="1" t="s">
        <v>53</v>
      </c>
      <c r="H469" s="1" t="s">
        <v>44</v>
      </c>
      <c r="I469" s="1" t="s">
        <v>45</v>
      </c>
      <c r="J469" s="1" t="s">
        <v>46</v>
      </c>
      <c r="K469" t="s">
        <v>937</v>
      </c>
      <c r="M469" s="1" t="s">
        <v>58</v>
      </c>
      <c r="N469" s="1">
        <v>0</v>
      </c>
      <c r="O469" s="1" t="s">
        <v>105</v>
      </c>
      <c r="P469" s="186">
        <v>44713.387141203704</v>
      </c>
      <c r="R469" s="1">
        <v>3</v>
      </c>
      <c r="T469" s="1" t="s">
        <v>646</v>
      </c>
      <c r="U469" s="186">
        <v>44714.387141203704</v>
      </c>
      <c r="V469" s="1" t="s">
        <v>41</v>
      </c>
      <c r="W469" s="1" t="s">
        <v>49</v>
      </c>
      <c r="X469" s="13" t="str">
        <f t="shared" si="54"/>
        <v/>
      </c>
      <c r="Y469" s="2">
        <f t="shared" ca="1" si="49"/>
        <v>196</v>
      </c>
      <c r="Z469" s="14">
        <v>1</v>
      </c>
      <c r="AA469" s="1" t="str">
        <f t="shared" ca="1" si="50"/>
        <v>VENCIDO</v>
      </c>
      <c r="AB469" s="1" t="str">
        <f t="shared" si="51"/>
        <v>C-14</v>
      </c>
      <c r="AC469" s="2" t="str">
        <f t="shared" si="55"/>
        <v xml:space="preserve"> CLEITON </v>
      </c>
      <c r="AD469" s="2">
        <f t="shared" si="52"/>
        <v>5</v>
      </c>
      <c r="AE469" s="2">
        <f t="shared" ca="1" si="53"/>
        <v>-272.28913043981447</v>
      </c>
      <c r="AF469" s="15"/>
    </row>
    <row r="470" spans="1:32" hidden="1">
      <c r="A470" s="1">
        <v>8632950</v>
      </c>
      <c r="B470" s="1" t="s">
        <v>653</v>
      </c>
      <c r="C470" t="s">
        <v>3581</v>
      </c>
      <c r="E470" s="2">
        <v>2802001400010</v>
      </c>
      <c r="F470" s="1" t="s">
        <v>936</v>
      </c>
      <c r="G470" s="1" t="s">
        <v>53</v>
      </c>
      <c r="H470" s="1" t="s">
        <v>388</v>
      </c>
      <c r="I470" s="1" t="s">
        <v>389</v>
      </c>
      <c r="J470" s="1" t="s">
        <v>46</v>
      </c>
      <c r="K470" t="s">
        <v>937</v>
      </c>
      <c r="M470" s="1" t="s">
        <v>58</v>
      </c>
      <c r="N470" s="1">
        <v>0</v>
      </c>
      <c r="O470" s="1" t="s">
        <v>105</v>
      </c>
      <c r="P470" s="186">
        <v>44713.387071759258</v>
      </c>
      <c r="R470" s="1">
        <v>3</v>
      </c>
      <c r="T470" s="1" t="s">
        <v>646</v>
      </c>
      <c r="U470" s="186">
        <v>44714.387071759258</v>
      </c>
      <c r="V470" s="1" t="s">
        <v>41</v>
      </c>
      <c r="W470" s="1" t="s">
        <v>49</v>
      </c>
      <c r="X470" s="13" t="str">
        <f t="shared" si="54"/>
        <v/>
      </c>
      <c r="Y470" s="2">
        <f t="shared" ca="1" si="49"/>
        <v>196</v>
      </c>
      <c r="Z470" s="14">
        <v>1</v>
      </c>
      <c r="AA470" s="1" t="str">
        <f t="shared" ca="1" si="50"/>
        <v>VENCIDO</v>
      </c>
      <c r="AB470" s="1" t="str">
        <f t="shared" si="51"/>
        <v>C-14</v>
      </c>
      <c r="AC470" s="2" t="str">
        <f t="shared" si="55"/>
        <v xml:space="preserve"> CLEITON </v>
      </c>
      <c r="AD470" s="2">
        <f t="shared" si="52"/>
        <v>5</v>
      </c>
      <c r="AE470" s="2">
        <f t="shared" ca="1" si="53"/>
        <v>-272.2891998842606</v>
      </c>
      <c r="AF470" s="15"/>
    </row>
    <row r="471" spans="1:32" hidden="1">
      <c r="A471" s="1">
        <v>8632849</v>
      </c>
      <c r="B471" s="1" t="s">
        <v>653</v>
      </c>
      <c r="C471" t="s">
        <v>3581</v>
      </c>
      <c r="E471" s="2">
        <v>2683001400010</v>
      </c>
      <c r="F471" s="1" t="s">
        <v>936</v>
      </c>
      <c r="G471" s="1" t="s">
        <v>53</v>
      </c>
      <c r="H471" s="1" t="s">
        <v>276</v>
      </c>
      <c r="I471" s="1" t="s">
        <v>277</v>
      </c>
      <c r="J471" s="1" t="s">
        <v>90</v>
      </c>
      <c r="K471" t="s">
        <v>937</v>
      </c>
      <c r="M471" s="1" t="s">
        <v>58</v>
      </c>
      <c r="N471" s="1">
        <v>0</v>
      </c>
      <c r="O471" s="1" t="s">
        <v>105</v>
      </c>
      <c r="P471" s="186">
        <v>44713.386886574073</v>
      </c>
      <c r="R471" s="1">
        <v>3</v>
      </c>
      <c r="T471" s="1" t="s">
        <v>646</v>
      </c>
      <c r="U471" s="186">
        <v>44714.386886574073</v>
      </c>
      <c r="V471" s="1" t="s">
        <v>41</v>
      </c>
      <c r="W471" s="1" t="s">
        <v>49</v>
      </c>
      <c r="X471" s="13" t="str">
        <f t="shared" si="54"/>
        <v/>
      </c>
      <c r="Y471" s="2">
        <f t="shared" ca="1" si="49"/>
        <v>196</v>
      </c>
      <c r="Z471" s="14">
        <v>1</v>
      </c>
      <c r="AA471" s="1" t="str">
        <f t="shared" ca="1" si="50"/>
        <v>VENCIDO</v>
      </c>
      <c r="AB471" s="1" t="str">
        <f t="shared" si="51"/>
        <v>C-14</v>
      </c>
      <c r="AC471" s="2" t="str">
        <f t="shared" si="55"/>
        <v xml:space="preserve"> RINALDO </v>
      </c>
      <c r="AD471" s="2">
        <f t="shared" si="52"/>
        <v>5</v>
      </c>
      <c r="AE471" s="2">
        <f t="shared" ca="1" si="53"/>
        <v>-272.28938506944542</v>
      </c>
      <c r="AF471" s="15"/>
    </row>
    <row r="472" spans="1:32" hidden="1">
      <c r="A472" s="1">
        <v>8632846</v>
      </c>
      <c r="B472" s="1" t="s">
        <v>653</v>
      </c>
      <c r="C472" t="s">
        <v>3581</v>
      </c>
      <c r="E472" s="2">
        <v>2678001400010</v>
      </c>
      <c r="F472" s="1" t="s">
        <v>936</v>
      </c>
      <c r="G472" s="1" t="s">
        <v>53</v>
      </c>
      <c r="H472" s="1" t="s">
        <v>992</v>
      </c>
      <c r="I472" s="1" t="s">
        <v>993</v>
      </c>
      <c r="J472" s="1" t="s">
        <v>33</v>
      </c>
      <c r="K472" t="s">
        <v>937</v>
      </c>
      <c r="M472" s="1" t="s">
        <v>58</v>
      </c>
      <c r="N472" s="1">
        <v>0</v>
      </c>
      <c r="O472" s="1" t="s">
        <v>105</v>
      </c>
      <c r="P472" s="186">
        <v>44713.386886574073</v>
      </c>
      <c r="R472" s="1">
        <v>3</v>
      </c>
      <c r="T472" s="1" t="s">
        <v>646</v>
      </c>
      <c r="U472" s="186">
        <v>44714.386886574073</v>
      </c>
      <c r="V472" s="1" t="s">
        <v>41</v>
      </c>
      <c r="W472" s="1" t="s">
        <v>42</v>
      </c>
      <c r="X472" s="13" t="str">
        <f t="shared" si="54"/>
        <v/>
      </c>
      <c r="Y472" s="2">
        <f t="shared" ca="1" si="49"/>
        <v>196</v>
      </c>
      <c r="Z472" s="14">
        <v>1</v>
      </c>
      <c r="AA472" s="1" t="str">
        <f t="shared" ca="1" si="50"/>
        <v>VENCIDO</v>
      </c>
      <c r="AB472" s="1" t="str">
        <f t="shared" si="51"/>
        <v>C-14</v>
      </c>
      <c r="AC472" s="2" t="str">
        <f t="shared" si="55"/>
        <v xml:space="preserve"> ROSEMERE </v>
      </c>
      <c r="AD472" s="2">
        <f t="shared" si="52"/>
        <v>5</v>
      </c>
      <c r="AE472" s="2">
        <f t="shared" ca="1" si="53"/>
        <v>-272.28938506944542</v>
      </c>
      <c r="AF472" s="15"/>
    </row>
    <row r="473" spans="1:32" hidden="1">
      <c r="A473" s="1">
        <v>8632805</v>
      </c>
      <c r="B473" s="1" t="s">
        <v>653</v>
      </c>
      <c r="C473" t="s">
        <v>3581</v>
      </c>
      <c r="E473" s="2">
        <v>2625001400010</v>
      </c>
      <c r="F473" s="1" t="s">
        <v>936</v>
      </c>
      <c r="G473" s="1" t="s">
        <v>53</v>
      </c>
      <c r="H473" s="1" t="s">
        <v>317</v>
      </c>
      <c r="I473" s="1" t="s">
        <v>318</v>
      </c>
      <c r="J473" s="1" t="s">
        <v>164</v>
      </c>
      <c r="K473" t="s">
        <v>937</v>
      </c>
      <c r="M473" s="1" t="s">
        <v>58</v>
      </c>
      <c r="N473" s="1">
        <v>0</v>
      </c>
      <c r="O473" s="1" t="s">
        <v>105</v>
      </c>
      <c r="P473" s="186">
        <v>44713.386840277781</v>
      </c>
      <c r="R473" s="1">
        <v>3</v>
      </c>
      <c r="T473" s="1" t="s">
        <v>646</v>
      </c>
      <c r="U473" s="186">
        <v>44714.386840277781</v>
      </c>
      <c r="V473" s="1" t="s">
        <v>41</v>
      </c>
      <c r="W473" s="1" t="s">
        <v>49</v>
      </c>
      <c r="X473" s="13" t="str">
        <f t="shared" si="54"/>
        <v/>
      </c>
      <c r="Y473" s="2">
        <f t="shared" ca="1" si="49"/>
        <v>196</v>
      </c>
      <c r="Z473" s="14">
        <v>1</v>
      </c>
      <c r="AA473" s="1" t="str">
        <f t="shared" ca="1" si="50"/>
        <v>VENCIDO</v>
      </c>
      <c r="AB473" s="1" t="str">
        <f t="shared" si="51"/>
        <v>C-14</v>
      </c>
      <c r="AC473" s="2" t="str">
        <f t="shared" si="55"/>
        <v xml:space="preserve"> ROSEMERE </v>
      </c>
      <c r="AD473" s="2">
        <f t="shared" si="52"/>
        <v>5</v>
      </c>
      <c r="AE473" s="2">
        <f t="shared" ca="1" si="53"/>
        <v>-272.28943136573798</v>
      </c>
      <c r="AF473" s="15"/>
    </row>
    <row r="474" spans="1:32" hidden="1">
      <c r="A474" s="1">
        <v>8632750</v>
      </c>
      <c r="B474" s="1" t="s">
        <v>653</v>
      </c>
      <c r="C474" t="s">
        <v>3581</v>
      </c>
      <c r="E474" s="2">
        <v>2564001400010</v>
      </c>
      <c r="F474" s="1" t="s">
        <v>936</v>
      </c>
      <c r="G474" s="1" t="s">
        <v>53</v>
      </c>
      <c r="H474" s="1" t="s">
        <v>255</v>
      </c>
      <c r="I474" s="1" t="s">
        <v>256</v>
      </c>
      <c r="J474" s="1" t="s">
        <v>164</v>
      </c>
      <c r="K474" t="s">
        <v>937</v>
      </c>
      <c r="M474" s="1" t="s">
        <v>58</v>
      </c>
      <c r="N474" s="1">
        <v>0</v>
      </c>
      <c r="O474" s="1" t="s">
        <v>105</v>
      </c>
      <c r="P474" s="186">
        <v>44713.386759259258</v>
      </c>
      <c r="R474" s="1">
        <v>3</v>
      </c>
      <c r="T474" s="1" t="s">
        <v>646</v>
      </c>
      <c r="U474" s="186">
        <v>44714.386759259258</v>
      </c>
      <c r="V474" s="1" t="s">
        <v>41</v>
      </c>
      <c r="W474" s="1" t="s">
        <v>49</v>
      </c>
      <c r="X474" s="13" t="str">
        <f t="shared" si="54"/>
        <v/>
      </c>
      <c r="Y474" s="2">
        <f t="shared" ca="1" si="49"/>
        <v>196</v>
      </c>
      <c r="Z474" s="14">
        <v>1</v>
      </c>
      <c r="AA474" s="1" t="str">
        <f t="shared" ca="1" si="50"/>
        <v>VENCIDO</v>
      </c>
      <c r="AB474" s="1" t="str">
        <f t="shared" si="51"/>
        <v>C-14</v>
      </c>
      <c r="AC474" s="2" t="str">
        <f t="shared" si="55"/>
        <v xml:space="preserve"> ROSEMERE </v>
      </c>
      <c r="AD474" s="2">
        <f t="shared" si="52"/>
        <v>5</v>
      </c>
      <c r="AE474" s="2">
        <f t="shared" ca="1" si="53"/>
        <v>-272.28951238426089</v>
      </c>
      <c r="AF474" s="15"/>
    </row>
    <row r="475" spans="1:32" hidden="1">
      <c r="A475" s="1">
        <v>8632637</v>
      </c>
      <c r="B475" s="1" t="s">
        <v>653</v>
      </c>
      <c r="C475" t="s">
        <v>3581</v>
      </c>
      <c r="E475" s="2">
        <v>2413001400010</v>
      </c>
      <c r="F475" s="1" t="s">
        <v>936</v>
      </c>
      <c r="G475" s="1" t="s">
        <v>53</v>
      </c>
      <c r="H475" s="1" t="s">
        <v>505</v>
      </c>
      <c r="I475" s="1" t="s">
        <v>506</v>
      </c>
      <c r="J475" s="1" t="s">
        <v>141</v>
      </c>
      <c r="K475" t="s">
        <v>937</v>
      </c>
      <c r="M475" s="1" t="s">
        <v>58</v>
      </c>
      <c r="N475" s="1">
        <v>0</v>
      </c>
      <c r="O475" s="1" t="s">
        <v>105</v>
      </c>
      <c r="P475" s="186">
        <v>44713.386631944442</v>
      </c>
      <c r="R475" s="1">
        <v>3</v>
      </c>
      <c r="T475" s="1" t="s">
        <v>646</v>
      </c>
      <c r="U475" s="186">
        <v>44714.386631944442</v>
      </c>
      <c r="V475" s="1" t="s">
        <v>41</v>
      </c>
      <c r="W475" s="1" t="s">
        <v>49</v>
      </c>
      <c r="X475" s="13" t="str">
        <f t="shared" si="54"/>
        <v/>
      </c>
      <c r="Y475" s="2">
        <f t="shared" ca="1" si="49"/>
        <v>196</v>
      </c>
      <c r="Z475" s="14">
        <v>1</v>
      </c>
      <c r="AA475" s="1" t="str">
        <f t="shared" ca="1" si="50"/>
        <v>VENCIDO</v>
      </c>
      <c r="AB475" s="1" t="str">
        <f t="shared" si="51"/>
        <v>C-14</v>
      </c>
      <c r="AC475" s="2" t="str">
        <f t="shared" si="55"/>
        <v xml:space="preserve"> CRISTINA </v>
      </c>
      <c r="AD475" s="2">
        <f t="shared" si="52"/>
        <v>5</v>
      </c>
      <c r="AE475" s="2">
        <f t="shared" ca="1" si="53"/>
        <v>-272.28963969907636</v>
      </c>
      <c r="AF475" s="15"/>
    </row>
    <row r="476" spans="1:32" hidden="1">
      <c r="A476" s="1">
        <v>8632603</v>
      </c>
      <c r="B476" s="1" t="s">
        <v>653</v>
      </c>
      <c r="C476" t="s">
        <v>3581</v>
      </c>
      <c r="E476" s="2">
        <v>2371001400010</v>
      </c>
      <c r="F476" s="1" t="s">
        <v>936</v>
      </c>
      <c r="G476" s="1" t="s">
        <v>53</v>
      </c>
      <c r="H476" s="1" t="s">
        <v>1000</v>
      </c>
      <c r="I476" s="1" t="s">
        <v>1001</v>
      </c>
      <c r="J476" s="1" t="s">
        <v>90</v>
      </c>
      <c r="K476" t="s">
        <v>937</v>
      </c>
      <c r="M476" s="1" t="s">
        <v>58</v>
      </c>
      <c r="N476" s="1">
        <v>0</v>
      </c>
      <c r="O476" s="1" t="s">
        <v>105</v>
      </c>
      <c r="P476" s="186">
        <v>44713.386597222219</v>
      </c>
      <c r="R476" s="1">
        <v>3</v>
      </c>
      <c r="T476" s="1" t="s">
        <v>646</v>
      </c>
      <c r="U476" s="186">
        <v>44714.386597222219</v>
      </c>
      <c r="V476" s="1" t="s">
        <v>41</v>
      </c>
      <c r="W476" s="1" t="s">
        <v>49</v>
      </c>
      <c r="X476" s="13" t="str">
        <f t="shared" si="54"/>
        <v/>
      </c>
      <c r="Y476" s="2">
        <f t="shared" ca="1" si="49"/>
        <v>196</v>
      </c>
      <c r="Z476" s="14">
        <v>1</v>
      </c>
      <c r="AA476" s="1" t="str">
        <f t="shared" ca="1" si="50"/>
        <v>VENCIDO</v>
      </c>
      <c r="AB476" s="1" t="str">
        <f t="shared" si="51"/>
        <v>C-14</v>
      </c>
      <c r="AC476" s="2" t="str">
        <f t="shared" si="55"/>
        <v xml:space="preserve"> RINALDO </v>
      </c>
      <c r="AD476" s="2">
        <f t="shared" si="52"/>
        <v>5</v>
      </c>
      <c r="AE476" s="2">
        <f t="shared" ca="1" si="53"/>
        <v>-272.28967442129942</v>
      </c>
      <c r="AF476" s="15"/>
    </row>
    <row r="477" spans="1:32" hidden="1">
      <c r="A477" s="1">
        <v>8632602</v>
      </c>
      <c r="B477" s="1" t="s">
        <v>653</v>
      </c>
      <c r="C477" t="s">
        <v>3581</v>
      </c>
      <c r="E477" s="2">
        <v>2369001400010</v>
      </c>
      <c r="F477" s="1" t="s">
        <v>936</v>
      </c>
      <c r="G477" s="1" t="s">
        <v>53</v>
      </c>
      <c r="H477" s="1" t="s">
        <v>701</v>
      </c>
      <c r="I477" s="1" t="s">
        <v>702</v>
      </c>
      <c r="J477" s="1" t="s">
        <v>141</v>
      </c>
      <c r="K477" t="s">
        <v>937</v>
      </c>
      <c r="M477" s="1" t="s">
        <v>58</v>
      </c>
      <c r="N477" s="1">
        <v>0</v>
      </c>
      <c r="O477" s="1" t="s">
        <v>105</v>
      </c>
      <c r="P477" s="186">
        <v>44713.38658564815</v>
      </c>
      <c r="R477" s="1">
        <v>3</v>
      </c>
      <c r="T477" s="1" t="s">
        <v>646</v>
      </c>
      <c r="U477" s="186">
        <v>44714.38658564815</v>
      </c>
      <c r="V477" s="1" t="s">
        <v>41</v>
      </c>
      <c r="W477" s="1" t="s">
        <v>49</v>
      </c>
      <c r="X477" s="13" t="str">
        <f t="shared" si="54"/>
        <v/>
      </c>
      <c r="Y477" s="2">
        <f t="shared" ca="1" si="49"/>
        <v>196</v>
      </c>
      <c r="Z477" s="14">
        <v>1</v>
      </c>
      <c r="AA477" s="1" t="str">
        <f t="shared" ca="1" si="50"/>
        <v>VENCIDO</v>
      </c>
      <c r="AB477" s="1" t="str">
        <f t="shared" si="51"/>
        <v>C-14</v>
      </c>
      <c r="AC477" s="2" t="str">
        <f t="shared" si="55"/>
        <v xml:space="preserve"> CRISTINA </v>
      </c>
      <c r="AD477" s="2">
        <f t="shared" si="52"/>
        <v>5</v>
      </c>
      <c r="AE477" s="2">
        <f t="shared" ca="1" si="53"/>
        <v>-272.28968599536893</v>
      </c>
      <c r="AF477" s="15"/>
    </row>
    <row r="478" spans="1:32" hidden="1">
      <c r="A478" s="1">
        <v>8632599</v>
      </c>
      <c r="B478" s="1" t="s">
        <v>653</v>
      </c>
      <c r="C478" t="s">
        <v>3581</v>
      </c>
      <c r="E478" s="2">
        <v>2365001400010</v>
      </c>
      <c r="F478" s="1" t="s">
        <v>936</v>
      </c>
      <c r="G478" s="1" t="s">
        <v>53</v>
      </c>
      <c r="H478" s="1" t="s">
        <v>159</v>
      </c>
      <c r="I478" s="1" t="s">
        <v>160</v>
      </c>
      <c r="J478" s="1" t="s">
        <v>46</v>
      </c>
      <c r="K478" t="s">
        <v>937</v>
      </c>
      <c r="M478" s="1" t="s">
        <v>58</v>
      </c>
      <c r="N478" s="1">
        <v>0</v>
      </c>
      <c r="O478" s="1" t="s">
        <v>105</v>
      </c>
      <c r="P478" s="186">
        <v>44713.38658564815</v>
      </c>
      <c r="R478" s="1">
        <v>3</v>
      </c>
      <c r="T478" s="1" t="s">
        <v>646</v>
      </c>
      <c r="U478" s="186">
        <v>44714.38658564815</v>
      </c>
      <c r="V478" s="1" t="s">
        <v>41</v>
      </c>
      <c r="W478" s="1" t="s">
        <v>49</v>
      </c>
      <c r="X478" s="13" t="str">
        <f t="shared" si="54"/>
        <v/>
      </c>
      <c r="Y478" s="2">
        <f t="shared" ca="1" si="49"/>
        <v>196</v>
      </c>
      <c r="Z478" s="14">
        <v>1</v>
      </c>
      <c r="AA478" s="1" t="str">
        <f t="shared" ca="1" si="50"/>
        <v>VENCIDO</v>
      </c>
      <c r="AB478" s="1" t="str">
        <f t="shared" si="51"/>
        <v>C-14</v>
      </c>
      <c r="AC478" s="2" t="str">
        <f t="shared" si="55"/>
        <v xml:space="preserve"> CLEITON </v>
      </c>
      <c r="AD478" s="2">
        <f t="shared" si="52"/>
        <v>5</v>
      </c>
      <c r="AE478" s="2">
        <f t="shared" ca="1" si="53"/>
        <v>-272.28968599536893</v>
      </c>
      <c r="AF478" s="15"/>
    </row>
    <row r="479" spans="1:32" hidden="1">
      <c r="A479" s="1">
        <v>8632568</v>
      </c>
      <c r="B479" s="1" t="s">
        <v>653</v>
      </c>
      <c r="C479" t="s">
        <v>3581</v>
      </c>
      <c r="E479" s="2">
        <v>2326001400010</v>
      </c>
      <c r="F479" s="1" t="s">
        <v>936</v>
      </c>
      <c r="G479" s="1" t="s">
        <v>53</v>
      </c>
      <c r="H479" s="1" t="s">
        <v>191</v>
      </c>
      <c r="I479" s="1" t="s">
        <v>192</v>
      </c>
      <c r="J479" s="1" t="s">
        <v>46</v>
      </c>
      <c r="K479" t="s">
        <v>937</v>
      </c>
      <c r="M479" s="1" t="s">
        <v>58</v>
      </c>
      <c r="N479" s="1">
        <v>0</v>
      </c>
      <c r="O479" s="1" t="s">
        <v>105</v>
      </c>
      <c r="P479" s="186">
        <v>44713.386550925927</v>
      </c>
      <c r="R479" s="1">
        <v>3</v>
      </c>
      <c r="T479" s="1" t="s">
        <v>646</v>
      </c>
      <c r="U479" s="186">
        <v>44714.386550925927</v>
      </c>
      <c r="V479" s="1" t="s">
        <v>41</v>
      </c>
      <c r="W479" s="1" t="s">
        <v>49</v>
      </c>
      <c r="X479" s="13" t="str">
        <f t="shared" si="54"/>
        <v/>
      </c>
      <c r="Y479" s="2">
        <f t="shared" ca="1" si="49"/>
        <v>196</v>
      </c>
      <c r="Z479" s="14">
        <v>1</v>
      </c>
      <c r="AA479" s="1" t="str">
        <f t="shared" ca="1" si="50"/>
        <v>VENCIDO</v>
      </c>
      <c r="AB479" s="1" t="str">
        <f t="shared" si="51"/>
        <v>C-14</v>
      </c>
      <c r="AC479" s="2" t="str">
        <f t="shared" si="55"/>
        <v xml:space="preserve"> CLEITON </v>
      </c>
      <c r="AD479" s="2">
        <f t="shared" si="52"/>
        <v>5</v>
      </c>
      <c r="AE479" s="2">
        <f t="shared" ca="1" si="53"/>
        <v>-272.28972071759199</v>
      </c>
      <c r="AF479" s="15"/>
    </row>
    <row r="480" spans="1:32" hidden="1">
      <c r="A480" s="1">
        <v>8632476</v>
      </c>
      <c r="B480" s="1" t="s">
        <v>653</v>
      </c>
      <c r="C480" t="s">
        <v>3581</v>
      </c>
      <c r="E480" s="2">
        <v>2219001400010</v>
      </c>
      <c r="F480" s="1" t="s">
        <v>936</v>
      </c>
      <c r="G480" s="1" t="s">
        <v>53</v>
      </c>
      <c r="H480" s="1" t="s">
        <v>893</v>
      </c>
      <c r="I480" s="1" t="s">
        <v>894</v>
      </c>
      <c r="J480" s="1" t="s">
        <v>141</v>
      </c>
      <c r="K480" t="s">
        <v>937</v>
      </c>
      <c r="M480" s="1" t="s">
        <v>58</v>
      </c>
      <c r="N480" s="1">
        <v>0</v>
      </c>
      <c r="O480" s="1" t="s">
        <v>105</v>
      </c>
      <c r="P480" s="186">
        <v>44713.386423611111</v>
      </c>
      <c r="R480" s="1">
        <v>3</v>
      </c>
      <c r="T480" s="1" t="s">
        <v>646</v>
      </c>
      <c r="U480" s="186">
        <v>44714.386423611111</v>
      </c>
      <c r="V480" s="1" t="s">
        <v>41</v>
      </c>
      <c r="W480" s="1" t="s">
        <v>49</v>
      </c>
      <c r="X480" s="13" t="str">
        <f t="shared" si="54"/>
        <v/>
      </c>
      <c r="Y480" s="2">
        <f t="shared" ca="1" si="49"/>
        <v>196</v>
      </c>
      <c r="Z480" s="14">
        <v>1</v>
      </c>
      <c r="AA480" s="1" t="str">
        <f t="shared" ca="1" si="50"/>
        <v>VENCIDO</v>
      </c>
      <c r="AB480" s="1" t="str">
        <f t="shared" si="51"/>
        <v>C-14</v>
      </c>
      <c r="AC480" s="2" t="str">
        <f t="shared" si="55"/>
        <v xml:space="preserve"> CRISTINA </v>
      </c>
      <c r="AD480" s="2">
        <f t="shared" si="52"/>
        <v>5</v>
      </c>
      <c r="AE480" s="2">
        <f t="shared" ca="1" si="53"/>
        <v>-272.28984803240746</v>
      </c>
      <c r="AF480" s="15"/>
    </row>
    <row r="481" spans="1:32" hidden="1">
      <c r="A481" s="1">
        <v>8632402</v>
      </c>
      <c r="B481" s="1" t="s">
        <v>653</v>
      </c>
      <c r="C481" t="s">
        <v>3581</v>
      </c>
      <c r="E481" s="2">
        <v>2138001400010</v>
      </c>
      <c r="F481" s="1" t="s">
        <v>936</v>
      </c>
      <c r="G481" s="1" t="s">
        <v>53</v>
      </c>
      <c r="H481" s="1" t="s">
        <v>379</v>
      </c>
      <c r="I481" s="1" t="s">
        <v>380</v>
      </c>
      <c r="J481" s="1" t="s">
        <v>46</v>
      </c>
      <c r="K481" t="s">
        <v>937</v>
      </c>
      <c r="M481" s="1" t="s">
        <v>58</v>
      </c>
      <c r="N481" s="1">
        <v>0</v>
      </c>
      <c r="O481" s="1" t="s">
        <v>105</v>
      </c>
      <c r="P481" s="186">
        <v>44713.386331018519</v>
      </c>
      <c r="R481" s="1">
        <v>3</v>
      </c>
      <c r="T481" s="1" t="s">
        <v>646</v>
      </c>
      <c r="U481" s="186">
        <v>44714.386331018519</v>
      </c>
      <c r="V481" s="1" t="s">
        <v>41</v>
      </c>
      <c r="W481" s="1" t="s">
        <v>49</v>
      </c>
      <c r="X481" s="13" t="str">
        <f t="shared" si="54"/>
        <v/>
      </c>
      <c r="Y481" s="2">
        <f t="shared" ca="1" si="49"/>
        <v>196</v>
      </c>
      <c r="Z481" s="14">
        <v>1</v>
      </c>
      <c r="AA481" s="1" t="str">
        <f t="shared" ca="1" si="50"/>
        <v>VENCIDO</v>
      </c>
      <c r="AB481" s="1" t="str">
        <f t="shared" si="51"/>
        <v>C-14</v>
      </c>
      <c r="AC481" s="2" t="str">
        <f t="shared" si="55"/>
        <v xml:space="preserve"> CLEITON </v>
      </c>
      <c r="AD481" s="2">
        <f t="shared" si="52"/>
        <v>5</v>
      </c>
      <c r="AE481" s="2">
        <f t="shared" ca="1" si="53"/>
        <v>-272.28994062499987</v>
      </c>
      <c r="AF481" s="15"/>
    </row>
    <row r="482" spans="1:32" hidden="1">
      <c r="A482" s="1">
        <v>8632379</v>
      </c>
      <c r="B482" s="1" t="s">
        <v>653</v>
      </c>
      <c r="C482" t="s">
        <v>3581</v>
      </c>
      <c r="E482" s="2">
        <v>2107001400010</v>
      </c>
      <c r="F482" s="1" t="s">
        <v>936</v>
      </c>
      <c r="G482" s="1" t="s">
        <v>53</v>
      </c>
      <c r="H482" s="1" t="s">
        <v>262</v>
      </c>
      <c r="I482" s="1" t="s">
        <v>263</v>
      </c>
      <c r="J482" s="1" t="s">
        <v>164</v>
      </c>
      <c r="K482" t="s">
        <v>937</v>
      </c>
      <c r="M482" s="1" t="s">
        <v>58</v>
      </c>
      <c r="N482" s="1">
        <v>0</v>
      </c>
      <c r="O482" s="1" t="s">
        <v>105</v>
      </c>
      <c r="P482" s="186">
        <v>44713.386307870373</v>
      </c>
      <c r="R482" s="1">
        <v>3</v>
      </c>
      <c r="T482" s="1" t="s">
        <v>646</v>
      </c>
      <c r="U482" s="186">
        <v>44714.386307870373</v>
      </c>
      <c r="V482" s="1" t="s">
        <v>41</v>
      </c>
      <c r="W482" s="1" t="s">
        <v>49</v>
      </c>
      <c r="X482" s="13" t="str">
        <f t="shared" si="54"/>
        <v/>
      </c>
      <c r="Y482" s="2">
        <f t="shared" ca="1" si="49"/>
        <v>196</v>
      </c>
      <c r="Z482" s="14">
        <v>1</v>
      </c>
      <c r="AA482" s="1" t="str">
        <f t="shared" ca="1" si="50"/>
        <v>VENCIDO</v>
      </c>
      <c r="AB482" s="1" t="str">
        <f t="shared" si="51"/>
        <v>C-14</v>
      </c>
      <c r="AC482" s="2" t="str">
        <f t="shared" si="55"/>
        <v xml:space="preserve"> ROSEMERE </v>
      </c>
      <c r="AD482" s="2">
        <f t="shared" si="52"/>
        <v>5</v>
      </c>
      <c r="AE482" s="2">
        <f t="shared" ca="1" si="53"/>
        <v>-272.28996377314616</v>
      </c>
      <c r="AF482" s="15"/>
    </row>
    <row r="483" spans="1:32" hidden="1">
      <c r="A483" s="1">
        <v>8632349</v>
      </c>
      <c r="B483" s="1" t="s">
        <v>653</v>
      </c>
      <c r="C483" t="s">
        <v>3581</v>
      </c>
      <c r="E483" s="2">
        <v>2069001400010</v>
      </c>
      <c r="F483" s="1" t="s">
        <v>936</v>
      </c>
      <c r="G483" s="1" t="s">
        <v>53</v>
      </c>
      <c r="H483" s="1" t="s">
        <v>557</v>
      </c>
      <c r="I483" s="1" t="s">
        <v>558</v>
      </c>
      <c r="J483" s="1" t="s">
        <v>90</v>
      </c>
      <c r="K483" t="s">
        <v>937</v>
      </c>
      <c r="M483" s="1" t="s">
        <v>58</v>
      </c>
      <c r="N483" s="1">
        <v>0</v>
      </c>
      <c r="O483" s="1" t="s">
        <v>105</v>
      </c>
      <c r="P483" s="186">
        <v>44713.386273148149</v>
      </c>
      <c r="R483" s="1">
        <v>3</v>
      </c>
      <c r="T483" s="1" t="s">
        <v>646</v>
      </c>
      <c r="U483" s="186">
        <v>44714.386273148149</v>
      </c>
      <c r="V483" s="1" t="s">
        <v>41</v>
      </c>
      <c r="W483" s="1" t="s">
        <v>49</v>
      </c>
      <c r="X483" s="13" t="str">
        <f t="shared" si="54"/>
        <v/>
      </c>
      <c r="Y483" s="2">
        <f t="shared" ca="1" si="49"/>
        <v>196</v>
      </c>
      <c r="Z483" s="14">
        <v>1</v>
      </c>
      <c r="AA483" s="1" t="str">
        <f t="shared" ca="1" si="50"/>
        <v>VENCIDO</v>
      </c>
      <c r="AB483" s="1" t="str">
        <f t="shared" si="51"/>
        <v>C-14</v>
      </c>
      <c r="AC483" s="2" t="str">
        <f t="shared" si="55"/>
        <v xml:space="preserve"> RINALDO </v>
      </c>
      <c r="AD483" s="2">
        <f t="shared" si="52"/>
        <v>5</v>
      </c>
      <c r="AE483" s="2">
        <f t="shared" ca="1" si="53"/>
        <v>-272.28999849536922</v>
      </c>
      <c r="AF483" s="15"/>
    </row>
    <row r="484" spans="1:32" hidden="1">
      <c r="A484" s="1">
        <v>8632235</v>
      </c>
      <c r="B484" s="1" t="s">
        <v>653</v>
      </c>
      <c r="C484" t="s">
        <v>3581</v>
      </c>
      <c r="E484" s="2">
        <v>1838001400010</v>
      </c>
      <c r="F484" s="1" t="s">
        <v>936</v>
      </c>
      <c r="G484" s="1" t="s">
        <v>53</v>
      </c>
      <c r="H484" s="1" t="s">
        <v>357</v>
      </c>
      <c r="I484" s="1" t="s">
        <v>358</v>
      </c>
      <c r="J484" s="1" t="s">
        <v>46</v>
      </c>
      <c r="K484" t="s">
        <v>937</v>
      </c>
      <c r="M484" s="1" t="s">
        <v>58</v>
      </c>
      <c r="N484" s="1">
        <v>0</v>
      </c>
      <c r="O484" s="1" t="s">
        <v>105</v>
      </c>
      <c r="P484" s="186">
        <v>44713.386134259257</v>
      </c>
      <c r="R484" s="1">
        <v>3</v>
      </c>
      <c r="T484" s="1" t="s">
        <v>646</v>
      </c>
      <c r="U484" s="186">
        <v>44714.386134259257</v>
      </c>
      <c r="V484" s="1" t="s">
        <v>41</v>
      </c>
      <c r="W484" s="1" t="s">
        <v>49</v>
      </c>
      <c r="X484" s="13" t="str">
        <f t="shared" si="54"/>
        <v/>
      </c>
      <c r="Y484" s="2">
        <f t="shared" ca="1" si="49"/>
        <v>196</v>
      </c>
      <c r="Z484" s="14">
        <v>1</v>
      </c>
      <c r="AA484" s="1" t="str">
        <f t="shared" ca="1" si="50"/>
        <v>VENCIDO</v>
      </c>
      <c r="AB484" s="1" t="str">
        <f t="shared" si="51"/>
        <v>C-14</v>
      </c>
      <c r="AC484" s="2" t="str">
        <f t="shared" si="55"/>
        <v xml:space="preserve"> CLEITON </v>
      </c>
      <c r="AD484" s="2">
        <f t="shared" si="52"/>
        <v>5</v>
      </c>
      <c r="AE484" s="2">
        <f t="shared" ca="1" si="53"/>
        <v>-272.29013738426147</v>
      </c>
      <c r="AF484" s="15"/>
    </row>
    <row r="485" spans="1:32" hidden="1">
      <c r="A485" s="1">
        <v>8632233</v>
      </c>
      <c r="B485" s="1" t="s">
        <v>653</v>
      </c>
      <c r="C485" t="s">
        <v>3581</v>
      </c>
      <c r="E485" s="2">
        <v>1836001400010</v>
      </c>
      <c r="F485" s="1" t="s">
        <v>936</v>
      </c>
      <c r="G485" s="1" t="s">
        <v>53</v>
      </c>
      <c r="H485" s="1" t="s">
        <v>455</v>
      </c>
      <c r="I485" s="1" t="s">
        <v>456</v>
      </c>
      <c r="J485" s="1" t="s">
        <v>46</v>
      </c>
      <c r="K485" t="s">
        <v>937</v>
      </c>
      <c r="M485" s="1" t="s">
        <v>58</v>
      </c>
      <c r="N485" s="1">
        <v>0</v>
      </c>
      <c r="O485" s="1" t="s">
        <v>105</v>
      </c>
      <c r="P485" s="186">
        <v>44713.386134259257</v>
      </c>
      <c r="R485" s="1">
        <v>3</v>
      </c>
      <c r="T485" s="1" t="s">
        <v>646</v>
      </c>
      <c r="U485" s="186">
        <v>44714.386134259257</v>
      </c>
      <c r="V485" s="1" t="s">
        <v>41</v>
      </c>
      <c r="W485" s="1" t="s">
        <v>49</v>
      </c>
      <c r="X485" s="13" t="str">
        <f t="shared" si="54"/>
        <v/>
      </c>
      <c r="Y485" s="2">
        <f t="shared" ca="1" si="49"/>
        <v>196</v>
      </c>
      <c r="Z485" s="14">
        <v>1</v>
      </c>
      <c r="AA485" s="1" t="str">
        <f t="shared" ca="1" si="50"/>
        <v>VENCIDO</v>
      </c>
      <c r="AB485" s="1" t="str">
        <f t="shared" si="51"/>
        <v>C-14</v>
      </c>
      <c r="AC485" s="2" t="str">
        <f t="shared" si="55"/>
        <v xml:space="preserve"> CLEITON </v>
      </c>
      <c r="AD485" s="2">
        <f t="shared" si="52"/>
        <v>5</v>
      </c>
      <c r="AE485" s="2">
        <f t="shared" ca="1" si="53"/>
        <v>-272.29013738426147</v>
      </c>
      <c r="AF485" s="15"/>
    </row>
    <row r="486" spans="1:32" hidden="1">
      <c r="A486" s="1">
        <v>8632232</v>
      </c>
      <c r="B486" s="1" t="s">
        <v>653</v>
      </c>
      <c r="C486" t="s">
        <v>3581</v>
      </c>
      <c r="E486" s="2">
        <v>1835001400010</v>
      </c>
      <c r="F486" s="1" t="s">
        <v>936</v>
      </c>
      <c r="G486" s="1" t="s">
        <v>53</v>
      </c>
      <c r="H486" s="1" t="s">
        <v>305</v>
      </c>
      <c r="I486" s="1" t="s">
        <v>306</v>
      </c>
      <c r="J486" s="1" t="s">
        <v>46</v>
      </c>
      <c r="K486" t="s">
        <v>937</v>
      </c>
      <c r="M486" s="1" t="s">
        <v>58</v>
      </c>
      <c r="N486" s="1">
        <v>0</v>
      </c>
      <c r="O486" s="1" t="s">
        <v>105</v>
      </c>
      <c r="P486" s="186">
        <v>44713.386134259257</v>
      </c>
      <c r="R486" s="1">
        <v>3</v>
      </c>
      <c r="T486" s="1" t="s">
        <v>646</v>
      </c>
      <c r="U486" s="186">
        <v>44714.386134259257</v>
      </c>
      <c r="V486" s="1" t="s">
        <v>41</v>
      </c>
      <c r="W486" s="1" t="s">
        <v>49</v>
      </c>
      <c r="X486" s="13" t="str">
        <f t="shared" si="54"/>
        <v/>
      </c>
      <c r="Y486" s="2">
        <f t="shared" ca="1" si="49"/>
        <v>196</v>
      </c>
      <c r="Z486" s="14">
        <v>1</v>
      </c>
      <c r="AA486" s="1" t="str">
        <f t="shared" ca="1" si="50"/>
        <v>VENCIDO</v>
      </c>
      <c r="AB486" s="1" t="str">
        <f t="shared" si="51"/>
        <v>C-14</v>
      </c>
      <c r="AC486" s="2" t="str">
        <f t="shared" si="55"/>
        <v xml:space="preserve"> CLEITON </v>
      </c>
      <c r="AD486" s="2">
        <f t="shared" si="52"/>
        <v>5</v>
      </c>
      <c r="AE486" s="2">
        <f t="shared" ca="1" si="53"/>
        <v>-272.29013738426147</v>
      </c>
      <c r="AF486" s="15"/>
    </row>
    <row r="487" spans="1:32" hidden="1">
      <c r="A487" s="1">
        <v>8632230</v>
      </c>
      <c r="B487" s="1" t="s">
        <v>653</v>
      </c>
      <c r="C487" t="s">
        <v>3581</v>
      </c>
      <c r="E487" s="2">
        <v>1833041400010</v>
      </c>
      <c r="F487" s="1" t="s">
        <v>936</v>
      </c>
      <c r="G487" s="1" t="s">
        <v>53</v>
      </c>
      <c r="H487" s="1" t="s">
        <v>811</v>
      </c>
      <c r="I487" s="1" t="s">
        <v>812</v>
      </c>
      <c r="J487" s="1" t="s">
        <v>46</v>
      </c>
      <c r="K487" t="s">
        <v>937</v>
      </c>
      <c r="M487" s="1" t="s">
        <v>58</v>
      </c>
      <c r="N487" s="1">
        <v>0</v>
      </c>
      <c r="O487" s="1" t="s">
        <v>105</v>
      </c>
      <c r="P487" s="186">
        <v>44713.386134259257</v>
      </c>
      <c r="R487" s="1">
        <v>3</v>
      </c>
      <c r="T487" s="1" t="s">
        <v>646</v>
      </c>
      <c r="U487" s="186">
        <v>44714.386134259257</v>
      </c>
      <c r="V487" s="1" t="s">
        <v>41</v>
      </c>
      <c r="W487" s="1" t="s">
        <v>49</v>
      </c>
      <c r="X487" s="13" t="str">
        <f t="shared" si="54"/>
        <v>1833.04</v>
      </c>
      <c r="Y487" s="2">
        <f t="shared" ca="1" si="49"/>
        <v>196</v>
      </c>
      <c r="Z487" s="14">
        <v>1</v>
      </c>
      <c r="AA487" s="1" t="str">
        <f t="shared" ca="1" si="50"/>
        <v>VENCIDO</v>
      </c>
      <c r="AB487" s="1" t="str">
        <f t="shared" si="51"/>
        <v>C-14</v>
      </c>
      <c r="AC487" s="2" t="str">
        <f t="shared" si="55"/>
        <v xml:space="preserve"> CLEITON </v>
      </c>
      <c r="AD487" s="2">
        <f t="shared" si="52"/>
        <v>5</v>
      </c>
      <c r="AE487" s="2">
        <f t="shared" ca="1" si="53"/>
        <v>-272.29013738426147</v>
      </c>
      <c r="AF487" s="15"/>
    </row>
    <row r="488" spans="1:32" hidden="1">
      <c r="A488" s="1">
        <v>8632229</v>
      </c>
      <c r="B488" s="1" t="s">
        <v>653</v>
      </c>
      <c r="C488" t="s">
        <v>3581</v>
      </c>
      <c r="E488" s="2">
        <v>1833001400010</v>
      </c>
      <c r="F488" s="1" t="s">
        <v>936</v>
      </c>
      <c r="G488" s="1" t="s">
        <v>53</v>
      </c>
      <c r="H488" s="1" t="s">
        <v>369</v>
      </c>
      <c r="I488" s="1" t="s">
        <v>370</v>
      </c>
      <c r="J488" s="1" t="s">
        <v>46</v>
      </c>
      <c r="K488" t="s">
        <v>937</v>
      </c>
      <c r="M488" s="1" t="s">
        <v>58</v>
      </c>
      <c r="N488" s="1">
        <v>0</v>
      </c>
      <c r="O488" s="1" t="s">
        <v>105</v>
      </c>
      <c r="P488" s="186">
        <v>44713.386134259257</v>
      </c>
      <c r="R488" s="1">
        <v>3</v>
      </c>
      <c r="T488" s="1" t="s">
        <v>646</v>
      </c>
      <c r="U488" s="186">
        <v>44714.386134259257</v>
      </c>
      <c r="V488" s="1" t="s">
        <v>41</v>
      </c>
      <c r="W488" s="1" t="s">
        <v>49</v>
      </c>
      <c r="X488" s="13" t="str">
        <f t="shared" si="54"/>
        <v/>
      </c>
      <c r="Y488" s="2">
        <f t="shared" ca="1" si="49"/>
        <v>196</v>
      </c>
      <c r="Z488" s="14">
        <v>1</v>
      </c>
      <c r="AA488" s="1" t="str">
        <f t="shared" ca="1" si="50"/>
        <v>VENCIDO</v>
      </c>
      <c r="AB488" s="1" t="str">
        <f t="shared" si="51"/>
        <v>C-14</v>
      </c>
      <c r="AC488" s="2" t="str">
        <f t="shared" si="55"/>
        <v xml:space="preserve"> CLEITON </v>
      </c>
      <c r="AD488" s="2">
        <f t="shared" si="52"/>
        <v>5</v>
      </c>
      <c r="AE488" s="2">
        <f t="shared" ca="1" si="53"/>
        <v>-272.29013738426147</v>
      </c>
      <c r="AF488" s="15"/>
    </row>
    <row r="489" spans="1:32" hidden="1">
      <c r="A489" s="1">
        <v>8632217</v>
      </c>
      <c r="B489" s="1" t="s">
        <v>653</v>
      </c>
      <c r="C489" t="s">
        <v>3581</v>
      </c>
      <c r="E489" s="2">
        <v>1814031400010</v>
      </c>
      <c r="F489" s="1" t="s">
        <v>936</v>
      </c>
      <c r="G489" s="1" t="s">
        <v>53</v>
      </c>
      <c r="H489" s="1" t="s">
        <v>719</v>
      </c>
      <c r="I489" s="1" t="s">
        <v>188</v>
      </c>
      <c r="J489" s="1" t="s">
        <v>46</v>
      </c>
      <c r="K489" t="s">
        <v>937</v>
      </c>
      <c r="M489" s="1" t="s">
        <v>58</v>
      </c>
      <c r="N489" s="1">
        <v>0</v>
      </c>
      <c r="O489" s="1" t="s">
        <v>105</v>
      </c>
      <c r="P489" s="186">
        <v>44713.386111111111</v>
      </c>
      <c r="R489" s="1">
        <v>3</v>
      </c>
      <c r="T489" s="1" t="s">
        <v>646</v>
      </c>
      <c r="U489" s="186">
        <v>44714.386111111111</v>
      </c>
      <c r="V489" s="1" t="s">
        <v>41</v>
      </c>
      <c r="W489" s="1" t="s">
        <v>49</v>
      </c>
      <c r="X489" s="13" t="str">
        <f t="shared" si="54"/>
        <v>1814.03</v>
      </c>
      <c r="Y489" s="2">
        <f t="shared" ca="1" si="49"/>
        <v>196</v>
      </c>
      <c r="Z489" s="14">
        <v>1</v>
      </c>
      <c r="AA489" s="1" t="str">
        <f t="shared" ca="1" si="50"/>
        <v>VENCIDO</v>
      </c>
      <c r="AB489" s="1" t="str">
        <f t="shared" si="51"/>
        <v>C-14</v>
      </c>
      <c r="AC489" s="2" t="str">
        <f t="shared" si="55"/>
        <v xml:space="preserve"> CLEITON </v>
      </c>
      <c r="AD489" s="2">
        <f t="shared" si="52"/>
        <v>5</v>
      </c>
      <c r="AE489" s="2">
        <f t="shared" ca="1" si="53"/>
        <v>-272.29016053240775</v>
      </c>
      <c r="AF489" s="15"/>
    </row>
    <row r="490" spans="1:32" hidden="1">
      <c r="A490" s="1">
        <v>8632154</v>
      </c>
      <c r="B490" s="1" t="s">
        <v>653</v>
      </c>
      <c r="C490" t="s">
        <v>3581</v>
      </c>
      <c r="E490" s="2">
        <v>1739001400010</v>
      </c>
      <c r="F490" s="1" t="s">
        <v>936</v>
      </c>
      <c r="G490" s="1" t="s">
        <v>53</v>
      </c>
      <c r="H490" s="1" t="s">
        <v>162</v>
      </c>
      <c r="I490" s="1" t="s">
        <v>163</v>
      </c>
      <c r="J490" s="1" t="s">
        <v>164</v>
      </c>
      <c r="K490" t="s">
        <v>937</v>
      </c>
      <c r="M490" s="1" t="s">
        <v>58</v>
      </c>
      <c r="N490" s="1">
        <v>0</v>
      </c>
      <c r="O490" s="1" t="s">
        <v>105</v>
      </c>
      <c r="P490" s="186">
        <v>44713.386030092595</v>
      </c>
      <c r="R490" s="1">
        <v>3</v>
      </c>
      <c r="T490" s="1" t="s">
        <v>646</v>
      </c>
      <c r="U490" s="186">
        <v>44714.386030092595</v>
      </c>
      <c r="V490" s="1" t="s">
        <v>41</v>
      </c>
      <c r="W490" s="1" t="s">
        <v>49</v>
      </c>
      <c r="X490" s="13" t="str">
        <f t="shared" si="54"/>
        <v/>
      </c>
      <c r="Y490" s="2">
        <f t="shared" ca="1" si="49"/>
        <v>196</v>
      </c>
      <c r="Z490" s="14">
        <v>1</v>
      </c>
      <c r="AA490" s="1" t="str">
        <f t="shared" ca="1" si="50"/>
        <v>VENCIDO</v>
      </c>
      <c r="AB490" s="1" t="str">
        <f t="shared" si="51"/>
        <v>C-14</v>
      </c>
      <c r="AC490" s="2" t="str">
        <f t="shared" si="55"/>
        <v xml:space="preserve"> ROSEMERE </v>
      </c>
      <c r="AD490" s="2">
        <f t="shared" si="52"/>
        <v>5</v>
      </c>
      <c r="AE490" s="2">
        <f t="shared" ca="1" si="53"/>
        <v>-272.29024155092338</v>
      </c>
      <c r="AF490" s="15"/>
    </row>
    <row r="491" spans="1:32" hidden="1">
      <c r="A491" s="1">
        <v>8632150</v>
      </c>
      <c r="B491" s="1" t="s">
        <v>653</v>
      </c>
      <c r="C491" t="s">
        <v>3581</v>
      </c>
      <c r="E491" s="2">
        <v>1732001400010</v>
      </c>
      <c r="F491" s="1" t="s">
        <v>936</v>
      </c>
      <c r="G491" s="1" t="s">
        <v>53</v>
      </c>
      <c r="H491" s="1" t="s">
        <v>177</v>
      </c>
      <c r="I491" s="1" t="s">
        <v>178</v>
      </c>
      <c r="J491" s="1" t="s">
        <v>164</v>
      </c>
      <c r="K491" t="s">
        <v>937</v>
      </c>
      <c r="M491" s="1" t="s">
        <v>58</v>
      </c>
      <c r="N491" s="1">
        <v>0</v>
      </c>
      <c r="O491" s="1" t="s">
        <v>105</v>
      </c>
      <c r="P491" s="186">
        <v>44713.386030092595</v>
      </c>
      <c r="R491" s="1">
        <v>3</v>
      </c>
      <c r="T491" s="1" t="s">
        <v>646</v>
      </c>
      <c r="U491" s="186">
        <v>44714.386030092595</v>
      </c>
      <c r="V491" s="1" t="s">
        <v>41</v>
      </c>
      <c r="W491" s="1" t="s">
        <v>49</v>
      </c>
      <c r="X491" s="13" t="str">
        <f t="shared" si="54"/>
        <v/>
      </c>
      <c r="Y491" s="2">
        <f t="shared" ca="1" si="49"/>
        <v>196</v>
      </c>
      <c r="Z491" s="14">
        <v>1</v>
      </c>
      <c r="AA491" s="1" t="str">
        <f t="shared" ca="1" si="50"/>
        <v>VENCIDO</v>
      </c>
      <c r="AB491" s="1" t="str">
        <f t="shared" si="51"/>
        <v>C-14</v>
      </c>
      <c r="AC491" s="2" t="str">
        <f t="shared" si="55"/>
        <v xml:space="preserve"> ROSEMERE </v>
      </c>
      <c r="AD491" s="2">
        <f t="shared" si="52"/>
        <v>5</v>
      </c>
      <c r="AE491" s="2">
        <f t="shared" ca="1" si="53"/>
        <v>-272.29024155092338</v>
      </c>
      <c r="AF491" s="15"/>
    </row>
    <row r="492" spans="1:32" hidden="1">
      <c r="A492" s="1">
        <v>8632090</v>
      </c>
      <c r="B492" s="1" t="s">
        <v>653</v>
      </c>
      <c r="C492" t="s">
        <v>3581</v>
      </c>
      <c r="E492" s="2">
        <v>1664001400010</v>
      </c>
      <c r="F492" s="1" t="s">
        <v>936</v>
      </c>
      <c r="G492" s="1" t="s">
        <v>53</v>
      </c>
      <c r="H492" s="1" t="s">
        <v>307</v>
      </c>
      <c r="I492" s="1" t="s">
        <v>308</v>
      </c>
      <c r="J492" s="1" t="s">
        <v>164</v>
      </c>
      <c r="K492" t="s">
        <v>937</v>
      </c>
      <c r="M492" s="1" t="s">
        <v>58</v>
      </c>
      <c r="N492" s="1">
        <v>0</v>
      </c>
      <c r="O492" s="1" t="s">
        <v>105</v>
      </c>
      <c r="P492" s="186">
        <v>44713.385949074072</v>
      </c>
      <c r="R492" s="1">
        <v>3</v>
      </c>
      <c r="T492" s="1" t="s">
        <v>646</v>
      </c>
      <c r="U492" s="186">
        <v>44714.385949074072</v>
      </c>
      <c r="V492" s="1" t="s">
        <v>41</v>
      </c>
      <c r="W492" s="1" t="s">
        <v>49</v>
      </c>
      <c r="X492" s="13" t="str">
        <f t="shared" si="54"/>
        <v/>
      </c>
      <c r="Y492" s="2">
        <f t="shared" ca="1" si="49"/>
        <v>196</v>
      </c>
      <c r="Z492" s="14">
        <v>1</v>
      </c>
      <c r="AA492" s="1" t="str">
        <f t="shared" ca="1" si="50"/>
        <v>VENCIDO</v>
      </c>
      <c r="AB492" s="1" t="str">
        <f t="shared" si="51"/>
        <v>C-14</v>
      </c>
      <c r="AC492" s="2" t="str">
        <f t="shared" si="55"/>
        <v xml:space="preserve"> ROSEMERE </v>
      </c>
      <c r="AD492" s="2">
        <f t="shared" si="52"/>
        <v>5</v>
      </c>
      <c r="AE492" s="2">
        <f t="shared" ca="1" si="53"/>
        <v>-272.29032256944629</v>
      </c>
      <c r="AF492" s="15"/>
    </row>
    <row r="493" spans="1:32" hidden="1">
      <c r="A493" s="1">
        <v>8632071</v>
      </c>
      <c r="B493" s="1" t="s">
        <v>653</v>
      </c>
      <c r="C493" t="s">
        <v>3581</v>
      </c>
      <c r="E493" s="2">
        <v>1643001400010</v>
      </c>
      <c r="F493" s="1" t="s">
        <v>936</v>
      </c>
      <c r="G493" s="1" t="s">
        <v>53</v>
      </c>
      <c r="H493" s="1" t="s">
        <v>361</v>
      </c>
      <c r="I493" s="1" t="s">
        <v>362</v>
      </c>
      <c r="J493" s="1" t="s">
        <v>261</v>
      </c>
      <c r="K493" t="s">
        <v>937</v>
      </c>
      <c r="M493" s="1" t="s">
        <v>58</v>
      </c>
      <c r="N493" s="1">
        <v>0</v>
      </c>
      <c r="O493" s="1" t="s">
        <v>105</v>
      </c>
      <c r="P493" s="186">
        <v>44713.385925925926</v>
      </c>
      <c r="R493" s="1">
        <v>3</v>
      </c>
      <c r="T493" s="1" t="s">
        <v>646</v>
      </c>
      <c r="U493" s="186">
        <v>44714.385925925926</v>
      </c>
      <c r="V493" s="1" t="s">
        <v>41</v>
      </c>
      <c r="W493" s="1" t="s">
        <v>49</v>
      </c>
      <c r="X493" s="13" t="str">
        <f t="shared" si="54"/>
        <v/>
      </c>
      <c r="Y493" s="2">
        <f t="shared" ca="1" si="49"/>
        <v>196</v>
      </c>
      <c r="Z493" s="14">
        <v>1</v>
      </c>
      <c r="AA493" s="1" t="str">
        <f t="shared" ca="1" si="50"/>
        <v>VENCIDO</v>
      </c>
      <c r="AB493" s="1" t="str">
        <f t="shared" si="51"/>
        <v>C-14</v>
      </c>
      <c r="AC493" s="2" t="str">
        <f t="shared" si="55"/>
        <v xml:space="preserve"> CRISTINA </v>
      </c>
      <c r="AD493" s="2">
        <f t="shared" si="52"/>
        <v>5</v>
      </c>
      <c r="AE493" s="2">
        <f t="shared" ca="1" si="53"/>
        <v>-272.29034571759257</v>
      </c>
      <c r="AF493" s="15"/>
    </row>
    <row r="494" spans="1:32" hidden="1">
      <c r="A494" s="1">
        <v>8632049</v>
      </c>
      <c r="B494" s="1" t="s">
        <v>653</v>
      </c>
      <c r="C494" t="s">
        <v>3581</v>
      </c>
      <c r="E494" s="2">
        <v>1620001400010</v>
      </c>
      <c r="F494" s="1" t="s">
        <v>936</v>
      </c>
      <c r="G494" s="1" t="s">
        <v>53</v>
      </c>
      <c r="H494" s="1" t="s">
        <v>402</v>
      </c>
      <c r="I494" s="1" t="s">
        <v>403</v>
      </c>
      <c r="J494" s="1" t="s">
        <v>46</v>
      </c>
      <c r="K494" t="s">
        <v>937</v>
      </c>
      <c r="M494" s="1" t="s">
        <v>58</v>
      </c>
      <c r="N494" s="1">
        <v>0</v>
      </c>
      <c r="O494" s="1" t="s">
        <v>105</v>
      </c>
      <c r="P494" s="186">
        <v>44713.38590277778</v>
      </c>
      <c r="R494" s="1">
        <v>3</v>
      </c>
      <c r="T494" s="1" t="s">
        <v>646</v>
      </c>
      <c r="U494" s="186">
        <v>44714.38590277778</v>
      </c>
      <c r="V494" s="1" t="s">
        <v>41</v>
      </c>
      <c r="W494" s="1" t="s">
        <v>49</v>
      </c>
      <c r="X494" s="13" t="str">
        <f t="shared" si="54"/>
        <v/>
      </c>
      <c r="Y494" s="2">
        <f t="shared" ca="1" si="49"/>
        <v>196</v>
      </c>
      <c r="Z494" s="14">
        <v>1</v>
      </c>
      <c r="AA494" s="1" t="str">
        <f t="shared" ca="1" si="50"/>
        <v>VENCIDO</v>
      </c>
      <c r="AB494" s="1" t="str">
        <f t="shared" si="51"/>
        <v>C-14</v>
      </c>
      <c r="AC494" s="2" t="str">
        <f t="shared" si="55"/>
        <v xml:space="preserve"> CLEITON </v>
      </c>
      <c r="AD494" s="2">
        <f t="shared" si="52"/>
        <v>5</v>
      </c>
      <c r="AE494" s="2">
        <f t="shared" ca="1" si="53"/>
        <v>-272.29036886573886</v>
      </c>
      <c r="AF494" s="15"/>
    </row>
    <row r="495" spans="1:32" hidden="1">
      <c r="A495" s="1">
        <v>8631960</v>
      </c>
      <c r="B495" s="1" t="s">
        <v>653</v>
      </c>
      <c r="C495" t="s">
        <v>3581</v>
      </c>
      <c r="E495" s="2">
        <v>1509001400010</v>
      </c>
      <c r="F495" s="1" t="s">
        <v>936</v>
      </c>
      <c r="G495" s="1" t="s">
        <v>53</v>
      </c>
      <c r="H495" s="1" t="s">
        <v>731</v>
      </c>
      <c r="I495" s="1" t="s">
        <v>732</v>
      </c>
      <c r="J495" s="1" t="s">
        <v>46</v>
      </c>
      <c r="K495" t="s">
        <v>937</v>
      </c>
      <c r="M495" s="1" t="s">
        <v>58</v>
      </c>
      <c r="N495" s="1">
        <v>0</v>
      </c>
      <c r="O495" s="1" t="s">
        <v>105</v>
      </c>
      <c r="P495" s="186">
        <v>44713.385787037034</v>
      </c>
      <c r="R495" s="1">
        <v>3</v>
      </c>
      <c r="T495" s="1" t="s">
        <v>646</v>
      </c>
      <c r="U495" s="186">
        <v>44714.385787037034</v>
      </c>
      <c r="V495" s="1" t="s">
        <v>41</v>
      </c>
      <c r="W495" s="1" t="s">
        <v>49</v>
      </c>
      <c r="X495" s="13" t="str">
        <f t="shared" si="54"/>
        <v/>
      </c>
      <c r="Y495" s="2">
        <f t="shared" ca="1" si="49"/>
        <v>196</v>
      </c>
      <c r="Z495" s="14">
        <v>1</v>
      </c>
      <c r="AA495" s="1" t="str">
        <f t="shared" ca="1" si="50"/>
        <v>VENCIDO</v>
      </c>
      <c r="AB495" s="1" t="str">
        <f t="shared" si="51"/>
        <v>C-14</v>
      </c>
      <c r="AC495" s="2" t="str">
        <f t="shared" si="55"/>
        <v xml:space="preserve"> CLEITON </v>
      </c>
      <c r="AD495" s="2">
        <f t="shared" si="52"/>
        <v>5</v>
      </c>
      <c r="AE495" s="2">
        <f t="shared" ca="1" si="53"/>
        <v>-272.29048460648482</v>
      </c>
      <c r="AF495" s="15"/>
    </row>
    <row r="496" spans="1:32" hidden="1">
      <c r="A496" s="1">
        <v>8631881</v>
      </c>
      <c r="B496" s="1" t="s">
        <v>653</v>
      </c>
      <c r="C496" t="s">
        <v>3581</v>
      </c>
      <c r="E496" s="2">
        <v>1421001400010</v>
      </c>
      <c r="F496" s="1" t="s">
        <v>936</v>
      </c>
      <c r="G496" s="1" t="s">
        <v>53</v>
      </c>
      <c r="H496" s="1" t="s">
        <v>179</v>
      </c>
      <c r="I496" s="1" t="s">
        <v>180</v>
      </c>
      <c r="J496" s="1" t="s">
        <v>79</v>
      </c>
      <c r="K496" t="s">
        <v>937</v>
      </c>
      <c r="M496" s="1" t="s">
        <v>58</v>
      </c>
      <c r="N496" s="1">
        <v>0</v>
      </c>
      <c r="O496" s="1" t="s">
        <v>105</v>
      </c>
      <c r="P496" s="186">
        <v>44713.385671296295</v>
      </c>
      <c r="R496" s="1">
        <v>3</v>
      </c>
      <c r="T496" s="1" t="s">
        <v>646</v>
      </c>
      <c r="U496" s="186">
        <v>44714.385671296295</v>
      </c>
      <c r="V496" s="1" t="s">
        <v>41</v>
      </c>
      <c r="W496" s="1" t="s">
        <v>49</v>
      </c>
      <c r="X496" s="13" t="str">
        <f t="shared" si="54"/>
        <v/>
      </c>
      <c r="Y496" s="2">
        <f t="shared" ca="1" si="49"/>
        <v>196</v>
      </c>
      <c r="Z496" s="14">
        <v>1</v>
      </c>
      <c r="AA496" s="1" t="str">
        <f t="shared" ca="1" si="50"/>
        <v>VENCIDO</v>
      </c>
      <c r="AB496" s="1" t="str">
        <f t="shared" si="51"/>
        <v>C-14</v>
      </c>
      <c r="AC496" s="2" t="str">
        <f t="shared" si="55"/>
        <v xml:space="preserve"> ROSEMERE </v>
      </c>
      <c r="AD496" s="2">
        <f t="shared" si="52"/>
        <v>5</v>
      </c>
      <c r="AE496" s="2">
        <f t="shared" ca="1" si="53"/>
        <v>-272.29060034722352</v>
      </c>
      <c r="AF496" s="15"/>
    </row>
    <row r="497" spans="1:32" hidden="1">
      <c r="A497" s="1">
        <v>8631827</v>
      </c>
      <c r="B497" s="1" t="s">
        <v>653</v>
      </c>
      <c r="C497" t="s">
        <v>3581</v>
      </c>
      <c r="E497" s="2">
        <v>1362001400010</v>
      </c>
      <c r="F497" s="1" t="s">
        <v>936</v>
      </c>
      <c r="G497" s="1" t="s">
        <v>53</v>
      </c>
      <c r="H497" s="1" t="s">
        <v>268</v>
      </c>
      <c r="I497" s="1" t="s">
        <v>269</v>
      </c>
      <c r="J497" s="1" t="s">
        <v>90</v>
      </c>
      <c r="K497" t="s">
        <v>937</v>
      </c>
      <c r="M497" s="1" t="s">
        <v>58</v>
      </c>
      <c r="N497" s="1">
        <v>0</v>
      </c>
      <c r="O497" s="1" t="s">
        <v>105</v>
      </c>
      <c r="P497" s="186">
        <v>44713.385601851849</v>
      </c>
      <c r="R497" s="1">
        <v>3</v>
      </c>
      <c r="T497" s="1" t="s">
        <v>646</v>
      </c>
      <c r="U497" s="186">
        <v>44714.385601851849</v>
      </c>
      <c r="V497" s="1" t="s">
        <v>41</v>
      </c>
      <c r="W497" s="1" t="s">
        <v>49</v>
      </c>
      <c r="X497" s="13" t="str">
        <f t="shared" si="54"/>
        <v/>
      </c>
      <c r="Y497" s="2">
        <f t="shared" ca="1" si="49"/>
        <v>196</v>
      </c>
      <c r="Z497" s="14">
        <v>1</v>
      </c>
      <c r="AA497" s="1" t="str">
        <f t="shared" ca="1" si="50"/>
        <v>VENCIDO</v>
      </c>
      <c r="AB497" s="1" t="str">
        <f t="shared" si="51"/>
        <v>C-14</v>
      </c>
      <c r="AC497" s="2" t="str">
        <f t="shared" si="55"/>
        <v xml:space="preserve"> RINALDO </v>
      </c>
      <c r="AD497" s="2">
        <f t="shared" si="52"/>
        <v>5</v>
      </c>
      <c r="AE497" s="2">
        <f t="shared" ca="1" si="53"/>
        <v>-272.29066979166964</v>
      </c>
      <c r="AF497" s="15"/>
    </row>
    <row r="498" spans="1:32" hidden="1">
      <c r="A498" s="1">
        <v>8631826</v>
      </c>
      <c r="B498" s="1" t="s">
        <v>653</v>
      </c>
      <c r="C498" t="s">
        <v>3581</v>
      </c>
      <c r="E498" s="2">
        <v>1361001400010</v>
      </c>
      <c r="F498" s="1" t="s">
        <v>936</v>
      </c>
      <c r="G498" s="1" t="s">
        <v>53</v>
      </c>
      <c r="H498" s="1" t="s">
        <v>309</v>
      </c>
      <c r="I498" s="1" t="s">
        <v>310</v>
      </c>
      <c r="J498" s="1" t="s">
        <v>46</v>
      </c>
      <c r="K498" t="s">
        <v>937</v>
      </c>
      <c r="M498" s="1" t="s">
        <v>58</v>
      </c>
      <c r="N498" s="1">
        <v>0</v>
      </c>
      <c r="O498" s="1" t="s">
        <v>105</v>
      </c>
      <c r="P498" s="186">
        <v>44713.385601851849</v>
      </c>
      <c r="R498" s="1">
        <v>3</v>
      </c>
      <c r="T498" s="1" t="s">
        <v>646</v>
      </c>
      <c r="U498" s="186">
        <v>44714.385601851849</v>
      </c>
      <c r="V498" s="1" t="s">
        <v>41</v>
      </c>
      <c r="W498" s="1" t="s">
        <v>49</v>
      </c>
      <c r="X498" s="13" t="str">
        <f t="shared" si="54"/>
        <v/>
      </c>
      <c r="Y498" s="2">
        <f t="shared" ca="1" si="49"/>
        <v>196</v>
      </c>
      <c r="Z498" s="14">
        <v>1</v>
      </c>
      <c r="AA498" s="1" t="str">
        <f t="shared" ca="1" si="50"/>
        <v>VENCIDO</v>
      </c>
      <c r="AB498" s="1" t="str">
        <f t="shared" si="51"/>
        <v>C-14</v>
      </c>
      <c r="AC498" s="2" t="str">
        <f t="shared" si="55"/>
        <v xml:space="preserve"> CLEITON </v>
      </c>
      <c r="AD498" s="2">
        <f t="shared" si="52"/>
        <v>5</v>
      </c>
      <c r="AE498" s="2">
        <f t="shared" ca="1" si="53"/>
        <v>-272.29066979166964</v>
      </c>
      <c r="AF498" s="15"/>
    </row>
    <row r="499" spans="1:32" hidden="1">
      <c r="A499" s="1">
        <v>8631825</v>
      </c>
      <c r="B499" s="1" t="s">
        <v>653</v>
      </c>
      <c r="C499" t="s">
        <v>3581</v>
      </c>
      <c r="E499" s="2">
        <v>1360001400010</v>
      </c>
      <c r="F499" s="1" t="s">
        <v>936</v>
      </c>
      <c r="G499" s="1" t="s">
        <v>53</v>
      </c>
      <c r="H499" s="1" t="s">
        <v>303</v>
      </c>
      <c r="I499" s="1" t="s">
        <v>304</v>
      </c>
      <c r="J499" s="1" t="s">
        <v>261</v>
      </c>
      <c r="K499" t="s">
        <v>937</v>
      </c>
      <c r="M499" s="1" t="s">
        <v>58</v>
      </c>
      <c r="N499" s="1">
        <v>0</v>
      </c>
      <c r="O499" s="1" t="s">
        <v>105</v>
      </c>
      <c r="P499" s="186">
        <v>44713.385601851849</v>
      </c>
      <c r="R499" s="1">
        <v>3</v>
      </c>
      <c r="T499" s="1" t="s">
        <v>646</v>
      </c>
      <c r="U499" s="186">
        <v>44714.385601851849</v>
      </c>
      <c r="V499" s="1" t="s">
        <v>41</v>
      </c>
      <c r="W499" s="1" t="s">
        <v>49</v>
      </c>
      <c r="X499" s="13" t="str">
        <f t="shared" si="54"/>
        <v/>
      </c>
      <c r="Y499" s="2">
        <f t="shared" ca="1" si="49"/>
        <v>196</v>
      </c>
      <c r="Z499" s="14">
        <v>1</v>
      </c>
      <c r="AA499" s="1" t="str">
        <f t="shared" ca="1" si="50"/>
        <v>VENCIDO</v>
      </c>
      <c r="AB499" s="1" t="str">
        <f t="shared" si="51"/>
        <v>C-14</v>
      </c>
      <c r="AC499" s="2" t="str">
        <f t="shared" si="55"/>
        <v xml:space="preserve"> CRISTINA </v>
      </c>
      <c r="AD499" s="2">
        <f t="shared" si="52"/>
        <v>5</v>
      </c>
      <c r="AE499" s="2">
        <f t="shared" ca="1" si="53"/>
        <v>-272.29066979166964</v>
      </c>
      <c r="AF499" s="15"/>
    </row>
    <row r="500" spans="1:32" hidden="1">
      <c r="A500" s="1">
        <v>8631824</v>
      </c>
      <c r="B500" s="1" t="s">
        <v>653</v>
      </c>
      <c r="C500" t="s">
        <v>3581</v>
      </c>
      <c r="E500" s="2">
        <v>1359001400010</v>
      </c>
      <c r="F500" s="1" t="s">
        <v>936</v>
      </c>
      <c r="G500" s="1" t="s">
        <v>53</v>
      </c>
      <c r="H500" s="1" t="s">
        <v>270</v>
      </c>
      <c r="I500" s="1" t="s">
        <v>271</v>
      </c>
      <c r="J500" s="1" t="s">
        <v>141</v>
      </c>
      <c r="K500" t="s">
        <v>937</v>
      </c>
      <c r="M500" s="1" t="s">
        <v>58</v>
      </c>
      <c r="N500" s="1">
        <v>0</v>
      </c>
      <c r="O500" s="1" t="s">
        <v>105</v>
      </c>
      <c r="P500" s="186">
        <v>44713.385601851849</v>
      </c>
      <c r="R500" s="1">
        <v>3</v>
      </c>
      <c r="T500" s="1" t="s">
        <v>646</v>
      </c>
      <c r="U500" s="186">
        <v>44714.385601851849</v>
      </c>
      <c r="V500" s="1" t="s">
        <v>41</v>
      </c>
      <c r="W500" s="1" t="s">
        <v>49</v>
      </c>
      <c r="X500" s="13" t="str">
        <f t="shared" si="54"/>
        <v/>
      </c>
      <c r="Y500" s="2">
        <f t="shared" ca="1" si="49"/>
        <v>196</v>
      </c>
      <c r="Z500" s="14">
        <v>1</v>
      </c>
      <c r="AA500" s="1" t="str">
        <f t="shared" ca="1" si="50"/>
        <v>VENCIDO</v>
      </c>
      <c r="AB500" s="1" t="str">
        <f t="shared" si="51"/>
        <v>C-14</v>
      </c>
      <c r="AC500" s="2" t="str">
        <f t="shared" si="55"/>
        <v xml:space="preserve"> CRISTINA </v>
      </c>
      <c r="AD500" s="2">
        <f t="shared" si="52"/>
        <v>5</v>
      </c>
      <c r="AE500" s="2">
        <f t="shared" ca="1" si="53"/>
        <v>-272.29066979166964</v>
      </c>
      <c r="AF500" s="15"/>
    </row>
    <row r="501" spans="1:32" hidden="1">
      <c r="A501" s="1">
        <v>8631649</v>
      </c>
      <c r="B501" s="1" t="s">
        <v>653</v>
      </c>
      <c r="C501" t="s">
        <v>3581</v>
      </c>
      <c r="E501" s="2">
        <v>1153001400010</v>
      </c>
      <c r="F501" s="1" t="s">
        <v>936</v>
      </c>
      <c r="G501" s="1" t="s">
        <v>53</v>
      </c>
      <c r="H501" s="1" t="s">
        <v>1031</v>
      </c>
      <c r="I501" s="1" t="s">
        <v>1032</v>
      </c>
      <c r="J501" s="1" t="s">
        <v>79</v>
      </c>
      <c r="K501" t="s">
        <v>937</v>
      </c>
      <c r="M501" s="1" t="s">
        <v>58</v>
      </c>
      <c r="N501" s="1">
        <v>0</v>
      </c>
      <c r="O501" s="1" t="s">
        <v>105</v>
      </c>
      <c r="P501" s="186">
        <v>44713.385370370372</v>
      </c>
      <c r="R501" s="1">
        <v>3</v>
      </c>
      <c r="T501" s="1" t="s">
        <v>646</v>
      </c>
      <c r="U501" s="186">
        <v>44714.385381944441</v>
      </c>
      <c r="V501" s="1" t="s">
        <v>41</v>
      </c>
      <c r="W501" s="1" t="s">
        <v>49</v>
      </c>
      <c r="X501" s="13" t="str">
        <f t="shared" si="54"/>
        <v/>
      </c>
      <c r="Y501" s="2">
        <f t="shared" ca="1" si="49"/>
        <v>196</v>
      </c>
      <c r="Z501" s="14">
        <v>1</v>
      </c>
      <c r="AA501" s="1" t="str">
        <f t="shared" ca="1" si="50"/>
        <v>VENCIDO</v>
      </c>
      <c r="AB501" s="1" t="str">
        <f t="shared" si="51"/>
        <v>C-14</v>
      </c>
      <c r="AC501" s="2" t="str">
        <f t="shared" si="55"/>
        <v xml:space="preserve"> ROSEMERE </v>
      </c>
      <c r="AD501" s="2">
        <f t="shared" si="52"/>
        <v>5</v>
      </c>
      <c r="AE501" s="2">
        <f t="shared" ca="1" si="53"/>
        <v>-272.29088969907752</v>
      </c>
      <c r="AF501" s="15"/>
    </row>
    <row r="502" spans="1:32" hidden="1">
      <c r="A502" s="1">
        <v>8631615</v>
      </c>
      <c r="B502" s="1" t="s">
        <v>653</v>
      </c>
      <c r="C502" t="s">
        <v>3581</v>
      </c>
      <c r="E502" s="2">
        <v>1120001400010</v>
      </c>
      <c r="F502" s="1" t="s">
        <v>936</v>
      </c>
      <c r="G502" s="1" t="s">
        <v>53</v>
      </c>
      <c r="H502" s="1" t="s">
        <v>181</v>
      </c>
      <c r="I502" s="1" t="s">
        <v>182</v>
      </c>
      <c r="J502" s="1" t="s">
        <v>164</v>
      </c>
      <c r="K502" t="s">
        <v>937</v>
      </c>
      <c r="M502" s="1" t="s">
        <v>58</v>
      </c>
      <c r="N502" s="1">
        <v>0</v>
      </c>
      <c r="O502" s="1" t="s">
        <v>105</v>
      </c>
      <c r="P502" s="186">
        <v>44713.385335648149</v>
      </c>
      <c r="R502" s="1">
        <v>3</v>
      </c>
      <c r="T502" s="1" t="s">
        <v>646</v>
      </c>
      <c r="U502" s="186">
        <v>44714.385335648149</v>
      </c>
      <c r="V502" s="1" t="s">
        <v>41</v>
      </c>
      <c r="W502" s="1" t="s">
        <v>49</v>
      </c>
      <c r="X502" s="13" t="str">
        <f t="shared" si="54"/>
        <v/>
      </c>
      <c r="Y502" s="2">
        <f t="shared" ca="1" si="49"/>
        <v>196</v>
      </c>
      <c r="Z502" s="14">
        <v>1</v>
      </c>
      <c r="AA502" s="1" t="str">
        <f t="shared" ca="1" si="50"/>
        <v>VENCIDO</v>
      </c>
      <c r="AB502" s="1" t="str">
        <f t="shared" si="51"/>
        <v>C-14</v>
      </c>
      <c r="AC502" s="2" t="str">
        <f t="shared" si="55"/>
        <v xml:space="preserve"> ROSEMERE </v>
      </c>
      <c r="AD502" s="2">
        <f t="shared" si="52"/>
        <v>5</v>
      </c>
      <c r="AE502" s="2">
        <f t="shared" ca="1" si="53"/>
        <v>-272.29093599537009</v>
      </c>
      <c r="AF502" s="15"/>
    </row>
    <row r="503" spans="1:32" hidden="1">
      <c r="A503" s="1">
        <v>8631560</v>
      </c>
      <c r="B503" s="1" t="s">
        <v>653</v>
      </c>
      <c r="C503" t="s">
        <v>3581</v>
      </c>
      <c r="E503" s="2">
        <v>1059001400010</v>
      </c>
      <c r="F503" s="1" t="s">
        <v>936</v>
      </c>
      <c r="G503" s="1" t="s">
        <v>53</v>
      </c>
      <c r="H503" s="1" t="s">
        <v>88</v>
      </c>
      <c r="I503" s="1" t="s">
        <v>89</v>
      </c>
      <c r="J503" s="1" t="s">
        <v>90</v>
      </c>
      <c r="K503" t="s">
        <v>937</v>
      </c>
      <c r="M503" s="1" t="s">
        <v>58</v>
      </c>
      <c r="N503" s="1">
        <v>0</v>
      </c>
      <c r="O503" s="1" t="s">
        <v>105</v>
      </c>
      <c r="P503" s="186">
        <v>44713.385277777779</v>
      </c>
      <c r="R503" s="1">
        <v>3</v>
      </c>
      <c r="T503" s="1" t="s">
        <v>646</v>
      </c>
      <c r="U503" s="186">
        <v>44714.385277777779</v>
      </c>
      <c r="V503" s="1" t="s">
        <v>41</v>
      </c>
      <c r="W503" s="1" t="s">
        <v>49</v>
      </c>
      <c r="X503" s="13" t="str">
        <f t="shared" si="54"/>
        <v/>
      </c>
      <c r="Y503" s="2">
        <f t="shared" ca="1" si="49"/>
        <v>196</v>
      </c>
      <c r="Z503" s="14">
        <v>1</v>
      </c>
      <c r="AA503" s="1" t="str">
        <f t="shared" ca="1" si="50"/>
        <v>VENCIDO</v>
      </c>
      <c r="AB503" s="1" t="str">
        <f t="shared" si="51"/>
        <v>C-14</v>
      </c>
      <c r="AC503" s="2" t="str">
        <f t="shared" si="55"/>
        <v xml:space="preserve"> RINALDO </v>
      </c>
      <c r="AD503" s="2">
        <f t="shared" si="52"/>
        <v>5</v>
      </c>
      <c r="AE503" s="2">
        <f t="shared" ca="1" si="53"/>
        <v>-272.29099386573944</v>
      </c>
      <c r="AF503" s="15"/>
    </row>
    <row r="504" spans="1:32" hidden="1">
      <c r="A504" s="1">
        <v>8631548</v>
      </c>
      <c r="B504" s="1" t="s">
        <v>653</v>
      </c>
      <c r="C504" t="s">
        <v>3581</v>
      </c>
      <c r="E504" s="2">
        <v>1049001400010</v>
      </c>
      <c r="F504" s="1" t="s">
        <v>936</v>
      </c>
      <c r="G504" s="1" t="s">
        <v>53</v>
      </c>
      <c r="H504" s="1" t="s">
        <v>169</v>
      </c>
      <c r="I504" s="1" t="s">
        <v>170</v>
      </c>
      <c r="J504" s="1" t="s">
        <v>164</v>
      </c>
      <c r="K504" t="s">
        <v>937</v>
      </c>
      <c r="M504" s="1" t="s">
        <v>58</v>
      </c>
      <c r="N504" s="1">
        <v>0</v>
      </c>
      <c r="O504" s="1" t="s">
        <v>105</v>
      </c>
      <c r="P504" s="186">
        <v>44713.385254629633</v>
      </c>
      <c r="R504" s="1">
        <v>3</v>
      </c>
      <c r="T504" s="1" t="s">
        <v>646</v>
      </c>
      <c r="U504" s="186">
        <v>44714.385254629633</v>
      </c>
      <c r="V504" s="1" t="s">
        <v>41</v>
      </c>
      <c r="W504" s="1" t="s">
        <v>49</v>
      </c>
      <c r="X504" s="13" t="str">
        <f t="shared" si="54"/>
        <v/>
      </c>
      <c r="Y504" s="2">
        <f t="shared" ca="1" si="49"/>
        <v>196</v>
      </c>
      <c r="Z504" s="14">
        <v>1</v>
      </c>
      <c r="AA504" s="1" t="str">
        <f t="shared" ca="1" si="50"/>
        <v>VENCIDO</v>
      </c>
      <c r="AB504" s="1" t="str">
        <f t="shared" si="51"/>
        <v>C-14</v>
      </c>
      <c r="AC504" s="2" t="str">
        <f t="shared" si="55"/>
        <v xml:space="preserve"> ROSEMERE </v>
      </c>
      <c r="AD504" s="2">
        <f t="shared" si="52"/>
        <v>5</v>
      </c>
      <c r="AE504" s="2">
        <f t="shared" ca="1" si="53"/>
        <v>-272.29101701388572</v>
      </c>
      <c r="AF504" s="15"/>
    </row>
    <row r="505" spans="1:32" hidden="1">
      <c r="A505" s="1">
        <v>8631442</v>
      </c>
      <c r="B505" s="1" t="s">
        <v>653</v>
      </c>
      <c r="C505" t="s">
        <v>3581</v>
      </c>
      <c r="E505" s="2">
        <v>934001400010</v>
      </c>
      <c r="F505" s="1" t="s">
        <v>936</v>
      </c>
      <c r="G505" s="1" t="s">
        <v>53</v>
      </c>
      <c r="H505" s="1" t="s">
        <v>428</v>
      </c>
      <c r="I505" s="1" t="s">
        <v>429</v>
      </c>
      <c r="J505" s="1" t="s">
        <v>46</v>
      </c>
      <c r="K505" t="s">
        <v>937</v>
      </c>
      <c r="M505" s="1" t="s">
        <v>58</v>
      </c>
      <c r="N505" s="1">
        <v>0</v>
      </c>
      <c r="O505" s="1" t="s">
        <v>105</v>
      </c>
      <c r="P505" s="186">
        <v>44713.385138888887</v>
      </c>
      <c r="R505" s="1">
        <v>3</v>
      </c>
      <c r="T505" s="1" t="s">
        <v>646</v>
      </c>
      <c r="U505" s="186">
        <v>44714.385150462964</v>
      </c>
      <c r="V505" s="1" t="s">
        <v>41</v>
      </c>
      <c r="W505" s="1" t="s">
        <v>49</v>
      </c>
      <c r="X505" s="13" t="str">
        <f t="shared" si="54"/>
        <v/>
      </c>
      <c r="Y505" s="2">
        <f t="shared" ca="1" si="49"/>
        <v>196</v>
      </c>
      <c r="Z505" s="14">
        <v>1</v>
      </c>
      <c r="AA505" s="1" t="str">
        <f t="shared" ca="1" si="50"/>
        <v>VENCIDO</v>
      </c>
      <c r="AB505" s="1" t="str">
        <f t="shared" si="51"/>
        <v>C-14</v>
      </c>
      <c r="AC505" s="2" t="str">
        <f t="shared" si="55"/>
        <v xml:space="preserve"> CLEITON </v>
      </c>
      <c r="AD505" s="2">
        <f t="shared" si="52"/>
        <v>5</v>
      </c>
      <c r="AE505" s="2">
        <f t="shared" ca="1" si="53"/>
        <v>-272.29112118055491</v>
      </c>
      <c r="AF505" s="15"/>
    </row>
    <row r="506" spans="1:32" hidden="1">
      <c r="A506" s="1">
        <v>8631407</v>
      </c>
      <c r="B506" s="1" t="s">
        <v>653</v>
      </c>
      <c r="C506" t="s">
        <v>3581</v>
      </c>
      <c r="E506" s="2">
        <v>899001400010</v>
      </c>
      <c r="F506" s="1" t="s">
        <v>936</v>
      </c>
      <c r="G506" s="1" t="s">
        <v>53</v>
      </c>
      <c r="H506" s="1" t="s">
        <v>175</v>
      </c>
      <c r="I506" s="1" t="s">
        <v>176</v>
      </c>
      <c r="J506" s="1" t="s">
        <v>90</v>
      </c>
      <c r="K506" t="s">
        <v>937</v>
      </c>
      <c r="M506" s="1" t="s">
        <v>58</v>
      </c>
      <c r="N506" s="1">
        <v>0</v>
      </c>
      <c r="O506" s="1" t="s">
        <v>105</v>
      </c>
      <c r="P506" s="186">
        <v>44713.385104166664</v>
      </c>
      <c r="R506" s="1">
        <v>3</v>
      </c>
      <c r="T506" s="1" t="s">
        <v>646</v>
      </c>
      <c r="U506" s="186">
        <v>44714.385104166664</v>
      </c>
      <c r="V506" s="1" t="s">
        <v>41</v>
      </c>
      <c r="W506" s="1" t="s">
        <v>49</v>
      </c>
      <c r="X506" s="13" t="str">
        <f t="shared" si="54"/>
        <v/>
      </c>
      <c r="Y506" s="2">
        <f t="shared" ca="1" si="49"/>
        <v>196</v>
      </c>
      <c r="Z506" s="14">
        <v>1</v>
      </c>
      <c r="AA506" s="1" t="str">
        <f t="shared" ca="1" si="50"/>
        <v>VENCIDO</v>
      </c>
      <c r="AB506" s="1" t="str">
        <f t="shared" si="51"/>
        <v>C-14</v>
      </c>
      <c r="AC506" s="2" t="str">
        <f t="shared" si="55"/>
        <v xml:space="preserve"> RINALDO </v>
      </c>
      <c r="AD506" s="2">
        <f t="shared" si="52"/>
        <v>5</v>
      </c>
      <c r="AE506" s="2">
        <f t="shared" ca="1" si="53"/>
        <v>-272.29116747685475</v>
      </c>
      <c r="AF506" s="15"/>
    </row>
    <row r="507" spans="1:32" hidden="1">
      <c r="A507" s="1">
        <v>8631233</v>
      </c>
      <c r="B507" s="1" t="s">
        <v>653</v>
      </c>
      <c r="C507" t="s">
        <v>3581</v>
      </c>
      <c r="E507" s="2">
        <v>721001400010</v>
      </c>
      <c r="F507" s="1" t="s">
        <v>936</v>
      </c>
      <c r="G507" s="1" t="s">
        <v>53</v>
      </c>
      <c r="H507" s="1" t="s">
        <v>422</v>
      </c>
      <c r="I507" s="1" t="s">
        <v>423</v>
      </c>
      <c r="J507" s="1" t="s">
        <v>79</v>
      </c>
      <c r="K507" t="s">
        <v>937</v>
      </c>
      <c r="M507" s="1" t="s">
        <v>58</v>
      </c>
      <c r="N507" s="1">
        <v>0</v>
      </c>
      <c r="O507" s="1" t="s">
        <v>105</v>
      </c>
      <c r="P507" s="186">
        <v>44713.384895833333</v>
      </c>
      <c r="R507" s="1">
        <v>3</v>
      </c>
      <c r="T507" s="1" t="s">
        <v>646</v>
      </c>
      <c r="U507" s="186">
        <v>44714.384895833333</v>
      </c>
      <c r="V507" s="1" t="s">
        <v>41</v>
      </c>
      <c r="W507" s="1" t="s">
        <v>49</v>
      </c>
      <c r="X507" s="13" t="str">
        <f t="shared" si="54"/>
        <v/>
      </c>
      <c r="Y507" s="2">
        <f t="shared" ca="1" si="49"/>
        <v>196</v>
      </c>
      <c r="Z507" s="14">
        <v>1</v>
      </c>
      <c r="AA507" s="1" t="str">
        <f t="shared" ca="1" si="50"/>
        <v>VENCIDO</v>
      </c>
      <c r="AB507" s="1" t="str">
        <f t="shared" si="51"/>
        <v>C-14</v>
      </c>
      <c r="AC507" s="2" t="str">
        <f t="shared" si="55"/>
        <v xml:space="preserve"> ROSEMERE </v>
      </c>
      <c r="AD507" s="2">
        <f t="shared" si="52"/>
        <v>5</v>
      </c>
      <c r="AE507" s="2">
        <f t="shared" ca="1" si="53"/>
        <v>-272.29137581018585</v>
      </c>
      <c r="AF507" s="15"/>
    </row>
    <row r="508" spans="1:32" hidden="1">
      <c r="A508" s="1">
        <v>8631225</v>
      </c>
      <c r="B508" s="1" t="s">
        <v>653</v>
      </c>
      <c r="C508" t="s">
        <v>3581</v>
      </c>
      <c r="E508" s="2">
        <v>714001400010</v>
      </c>
      <c r="F508" s="1" t="s">
        <v>936</v>
      </c>
      <c r="G508" s="1" t="s">
        <v>53</v>
      </c>
      <c r="H508" s="1" t="s">
        <v>377</v>
      </c>
      <c r="I508" s="1" t="s">
        <v>378</v>
      </c>
      <c r="J508" s="1" t="s">
        <v>46</v>
      </c>
      <c r="K508" t="s">
        <v>937</v>
      </c>
      <c r="M508" s="1" t="s">
        <v>58</v>
      </c>
      <c r="N508" s="1">
        <v>0</v>
      </c>
      <c r="O508" s="1" t="s">
        <v>105</v>
      </c>
      <c r="P508" s="186">
        <v>44713.384895833333</v>
      </c>
      <c r="R508" s="1">
        <v>3</v>
      </c>
      <c r="T508" s="1" t="s">
        <v>646</v>
      </c>
      <c r="U508" s="186">
        <v>44714.384895833333</v>
      </c>
      <c r="V508" s="1" t="s">
        <v>41</v>
      </c>
      <c r="W508" s="1" t="s">
        <v>49</v>
      </c>
      <c r="X508" s="13" t="str">
        <f t="shared" si="54"/>
        <v/>
      </c>
      <c r="Y508" s="2">
        <f t="shared" ca="1" si="49"/>
        <v>196</v>
      </c>
      <c r="Z508" s="14">
        <v>1</v>
      </c>
      <c r="AA508" s="1" t="str">
        <f t="shared" ca="1" si="50"/>
        <v>VENCIDO</v>
      </c>
      <c r="AB508" s="1" t="str">
        <f t="shared" si="51"/>
        <v>C-14</v>
      </c>
      <c r="AC508" s="2" t="str">
        <f t="shared" si="55"/>
        <v xml:space="preserve"> CLEITON </v>
      </c>
      <c r="AD508" s="2">
        <f t="shared" si="52"/>
        <v>5</v>
      </c>
      <c r="AE508" s="2">
        <f t="shared" ca="1" si="53"/>
        <v>-272.29137581018585</v>
      </c>
      <c r="AF508" s="15"/>
    </row>
    <row r="509" spans="1:32" hidden="1">
      <c r="A509" s="1">
        <v>8631223</v>
      </c>
      <c r="B509" s="1" t="s">
        <v>653</v>
      </c>
      <c r="C509" t="s">
        <v>3581</v>
      </c>
      <c r="E509" s="2">
        <v>711001400010</v>
      </c>
      <c r="F509" s="1" t="s">
        <v>936</v>
      </c>
      <c r="G509" s="1" t="s">
        <v>53</v>
      </c>
      <c r="H509" s="1" t="s">
        <v>77</v>
      </c>
      <c r="I509" s="1" t="s">
        <v>78</v>
      </c>
      <c r="J509" s="1" t="s">
        <v>79</v>
      </c>
      <c r="K509" t="s">
        <v>937</v>
      </c>
      <c r="M509" s="1" t="s">
        <v>58</v>
      </c>
      <c r="N509" s="1">
        <v>0</v>
      </c>
      <c r="O509" s="1" t="s">
        <v>105</v>
      </c>
      <c r="P509" s="186">
        <v>44713.384884259256</v>
      </c>
      <c r="R509" s="1">
        <v>3</v>
      </c>
      <c r="T509" s="1" t="s">
        <v>646</v>
      </c>
      <c r="U509" s="186">
        <v>44714.384895833333</v>
      </c>
      <c r="V509" s="1" t="s">
        <v>41</v>
      </c>
      <c r="W509" s="1" t="s">
        <v>49</v>
      </c>
      <c r="X509" s="13" t="str">
        <f t="shared" si="54"/>
        <v/>
      </c>
      <c r="Y509" s="2">
        <f t="shared" ca="1" si="49"/>
        <v>196</v>
      </c>
      <c r="Z509" s="14">
        <v>1</v>
      </c>
      <c r="AA509" s="1" t="str">
        <f t="shared" ca="1" si="50"/>
        <v>VENCIDO</v>
      </c>
      <c r="AB509" s="1" t="str">
        <f t="shared" si="51"/>
        <v>C-14</v>
      </c>
      <c r="AC509" s="2" t="str">
        <f t="shared" si="55"/>
        <v xml:space="preserve"> ROSEMERE </v>
      </c>
      <c r="AD509" s="2">
        <f t="shared" si="52"/>
        <v>5</v>
      </c>
      <c r="AE509" s="2">
        <f t="shared" ca="1" si="53"/>
        <v>-272.29137581018585</v>
      </c>
      <c r="AF509" s="15"/>
    </row>
    <row r="510" spans="1:32" hidden="1">
      <c r="A510" s="1">
        <v>8631222</v>
      </c>
      <c r="B510" s="1" t="s">
        <v>653</v>
      </c>
      <c r="C510" t="s">
        <v>3581</v>
      </c>
      <c r="E510" s="2">
        <v>710001400010</v>
      </c>
      <c r="F510" s="1" t="s">
        <v>936</v>
      </c>
      <c r="G510" s="1" t="s">
        <v>53</v>
      </c>
      <c r="H510" s="1" t="s">
        <v>390</v>
      </c>
      <c r="I510" s="1" t="s">
        <v>391</v>
      </c>
      <c r="J510" s="1" t="s">
        <v>56</v>
      </c>
      <c r="K510" t="s">
        <v>937</v>
      </c>
      <c r="M510" s="1" t="s">
        <v>58</v>
      </c>
      <c r="N510" s="1">
        <v>0</v>
      </c>
      <c r="O510" s="1" t="s">
        <v>105</v>
      </c>
      <c r="P510" s="186">
        <v>44713.384884259256</v>
      </c>
      <c r="R510" s="1">
        <v>3</v>
      </c>
      <c r="T510" s="1" t="s">
        <v>646</v>
      </c>
      <c r="U510" s="186">
        <v>44714.384884259256</v>
      </c>
      <c r="V510" s="1" t="s">
        <v>41</v>
      </c>
      <c r="W510" s="1" t="s">
        <v>49</v>
      </c>
      <c r="X510" s="13" t="str">
        <f t="shared" si="54"/>
        <v/>
      </c>
      <c r="Y510" s="2">
        <f t="shared" ca="1" si="49"/>
        <v>196</v>
      </c>
      <c r="Z510" s="14">
        <v>1</v>
      </c>
      <c r="AA510" s="1" t="str">
        <f t="shared" ca="1" si="50"/>
        <v>VENCIDO</v>
      </c>
      <c r="AB510" s="1" t="str">
        <f t="shared" si="51"/>
        <v>C-14</v>
      </c>
      <c r="AC510" s="2" t="str">
        <f t="shared" si="55"/>
        <v xml:space="preserve"> CRISTINA </v>
      </c>
      <c r="AD510" s="2">
        <f t="shared" si="52"/>
        <v>5</v>
      </c>
      <c r="AE510" s="2">
        <f t="shared" ca="1" si="53"/>
        <v>-272.29138738426263</v>
      </c>
      <c r="AF510" s="15"/>
    </row>
    <row r="511" spans="1:32" hidden="1">
      <c r="A511" s="1">
        <v>8631065</v>
      </c>
      <c r="B511" s="1" t="s">
        <v>653</v>
      </c>
      <c r="C511" t="s">
        <v>3581</v>
      </c>
      <c r="E511" s="2">
        <v>550001400010</v>
      </c>
      <c r="F511" s="1" t="s">
        <v>936</v>
      </c>
      <c r="G511" s="1" t="s">
        <v>53</v>
      </c>
      <c r="H511" s="1" t="s">
        <v>337</v>
      </c>
      <c r="I511" s="1" t="s">
        <v>338</v>
      </c>
      <c r="J511" s="1" t="s">
        <v>164</v>
      </c>
      <c r="K511" t="s">
        <v>937</v>
      </c>
      <c r="M511" s="1" t="s">
        <v>58</v>
      </c>
      <c r="N511" s="1">
        <v>0</v>
      </c>
      <c r="O511" s="1" t="s">
        <v>105</v>
      </c>
      <c r="P511" s="186">
        <v>44713.384710648148</v>
      </c>
      <c r="R511" s="1">
        <v>3</v>
      </c>
      <c r="T511" s="1" t="s">
        <v>646</v>
      </c>
      <c r="U511" s="186">
        <v>44714.384722222225</v>
      </c>
      <c r="V511" s="1" t="s">
        <v>41</v>
      </c>
      <c r="W511" s="1" t="s">
        <v>49</v>
      </c>
      <c r="X511" s="13" t="str">
        <f t="shared" si="54"/>
        <v/>
      </c>
      <c r="Y511" s="2">
        <f t="shared" ca="1" si="49"/>
        <v>196</v>
      </c>
      <c r="Z511" s="14">
        <v>1</v>
      </c>
      <c r="AA511" s="1" t="str">
        <f t="shared" ca="1" si="50"/>
        <v>VENCIDO</v>
      </c>
      <c r="AB511" s="1" t="str">
        <f t="shared" si="51"/>
        <v>C-14</v>
      </c>
      <c r="AC511" s="2" t="str">
        <f t="shared" si="55"/>
        <v xml:space="preserve"> ROSEMERE </v>
      </c>
      <c r="AD511" s="2">
        <f t="shared" si="52"/>
        <v>5</v>
      </c>
      <c r="AE511" s="2">
        <f t="shared" ca="1" si="53"/>
        <v>-272.29154942129389</v>
      </c>
      <c r="AF511" s="15"/>
    </row>
    <row r="512" spans="1:32" hidden="1">
      <c r="A512" s="1">
        <v>8631054</v>
      </c>
      <c r="B512" s="1" t="s">
        <v>653</v>
      </c>
      <c r="C512" t="s">
        <v>3581</v>
      </c>
      <c r="E512" s="2">
        <v>537001400010</v>
      </c>
      <c r="F512" s="1" t="s">
        <v>936</v>
      </c>
      <c r="G512" s="1" t="s">
        <v>53</v>
      </c>
      <c r="H512" s="1" t="s">
        <v>442</v>
      </c>
      <c r="I512" s="1" t="s">
        <v>443</v>
      </c>
      <c r="J512" s="1" t="s">
        <v>79</v>
      </c>
      <c r="K512" t="s">
        <v>937</v>
      </c>
      <c r="M512" s="1" t="s">
        <v>58</v>
      </c>
      <c r="N512" s="1">
        <v>0</v>
      </c>
      <c r="O512" s="1" t="s">
        <v>105</v>
      </c>
      <c r="P512" s="186">
        <v>44713.384699074071</v>
      </c>
      <c r="R512" s="1">
        <v>3</v>
      </c>
      <c r="T512" s="1" t="s">
        <v>646</v>
      </c>
      <c r="U512" s="186">
        <v>44714.384699074071</v>
      </c>
      <c r="V512" s="1" t="s">
        <v>41</v>
      </c>
      <c r="W512" s="1" t="s">
        <v>49</v>
      </c>
      <c r="X512" s="13" t="str">
        <f t="shared" si="54"/>
        <v/>
      </c>
      <c r="Y512" s="2">
        <f t="shared" ca="1" si="49"/>
        <v>196</v>
      </c>
      <c r="Z512" s="14">
        <v>1</v>
      </c>
      <c r="AA512" s="1" t="str">
        <f t="shared" ca="1" si="50"/>
        <v>VENCIDO</v>
      </c>
      <c r="AB512" s="1" t="str">
        <f t="shared" si="51"/>
        <v>C-14</v>
      </c>
      <c r="AC512" s="2" t="str">
        <f t="shared" si="55"/>
        <v xml:space="preserve"> ROSEMERE </v>
      </c>
      <c r="AD512" s="2">
        <f t="shared" si="52"/>
        <v>5</v>
      </c>
      <c r="AE512" s="2">
        <f t="shared" ca="1" si="53"/>
        <v>-272.29157256944745</v>
      </c>
      <c r="AF512" s="15"/>
    </row>
    <row r="513" spans="1:32" hidden="1">
      <c r="A513" s="1">
        <v>8630966</v>
      </c>
      <c r="B513" s="1" t="s">
        <v>653</v>
      </c>
      <c r="C513" t="s">
        <v>3581</v>
      </c>
      <c r="E513" s="2">
        <v>446001400010</v>
      </c>
      <c r="F513" s="1" t="s">
        <v>936</v>
      </c>
      <c r="G513" s="1" t="s">
        <v>53</v>
      </c>
      <c r="H513" s="1" t="s">
        <v>432</v>
      </c>
      <c r="I513" s="1" t="s">
        <v>433</v>
      </c>
      <c r="J513" s="1" t="s">
        <v>110</v>
      </c>
      <c r="K513" t="s">
        <v>937</v>
      </c>
      <c r="M513" s="1" t="s">
        <v>58</v>
      </c>
      <c r="N513" s="1">
        <v>0</v>
      </c>
      <c r="O513" s="1" t="s">
        <v>105</v>
      </c>
      <c r="P513" s="186">
        <v>44713.384594907409</v>
      </c>
      <c r="R513" s="1">
        <v>3</v>
      </c>
      <c r="T513" s="1" t="s">
        <v>646</v>
      </c>
      <c r="U513" s="186">
        <v>44714.384594907409</v>
      </c>
      <c r="V513" s="1" t="s">
        <v>41</v>
      </c>
      <c r="W513" s="1" t="s">
        <v>49</v>
      </c>
      <c r="X513" s="13" t="str">
        <f t="shared" si="54"/>
        <v/>
      </c>
      <c r="Y513" s="2">
        <f t="shared" ca="1" si="49"/>
        <v>196</v>
      </c>
      <c r="Z513" s="14">
        <v>1</v>
      </c>
      <c r="AA513" s="1" t="str">
        <f t="shared" ca="1" si="50"/>
        <v>VENCIDO</v>
      </c>
      <c r="AB513" s="1" t="str">
        <f t="shared" si="51"/>
        <v>C-14</v>
      </c>
      <c r="AC513" s="2" t="str">
        <f t="shared" si="55"/>
        <v xml:space="preserve"> CRISTINA </v>
      </c>
      <c r="AD513" s="2">
        <f t="shared" si="52"/>
        <v>5</v>
      </c>
      <c r="AE513" s="2">
        <f t="shared" ca="1" si="53"/>
        <v>-272.29167673610937</v>
      </c>
      <c r="AF513" s="15"/>
    </row>
    <row r="514" spans="1:32" hidden="1">
      <c r="A514" s="1">
        <v>8630840</v>
      </c>
      <c r="B514" s="1" t="s">
        <v>653</v>
      </c>
      <c r="C514" t="s">
        <v>3581</v>
      </c>
      <c r="E514" s="2">
        <v>325091400010</v>
      </c>
      <c r="F514" s="1" t="s">
        <v>936</v>
      </c>
      <c r="G514" s="1" t="s">
        <v>53</v>
      </c>
      <c r="H514" s="1" t="s">
        <v>821</v>
      </c>
      <c r="I514" s="1" t="s">
        <v>822</v>
      </c>
      <c r="J514" s="1" t="s">
        <v>46</v>
      </c>
      <c r="K514" t="s">
        <v>937</v>
      </c>
      <c r="M514" s="1" t="s">
        <v>58</v>
      </c>
      <c r="N514" s="1">
        <v>0</v>
      </c>
      <c r="O514" s="1" t="s">
        <v>105</v>
      </c>
      <c r="P514" s="186">
        <v>44713.384456018517</v>
      </c>
      <c r="R514" s="1">
        <v>3</v>
      </c>
      <c r="T514" s="1" t="s">
        <v>646</v>
      </c>
      <c r="U514" s="186">
        <v>44714.384456018517</v>
      </c>
      <c r="V514" s="1" t="s">
        <v>41</v>
      </c>
      <c r="W514" s="1" t="s">
        <v>49</v>
      </c>
      <c r="X514" s="13" t="str">
        <f t="shared" si="54"/>
        <v>0325.09</v>
      </c>
      <c r="Y514" s="2">
        <f t="shared" ref="Y514:Y577" ca="1" si="56">NETWORKDAYS(P514,$Y$1)</f>
        <v>196</v>
      </c>
      <c r="Z514" s="14">
        <v>1</v>
      </c>
      <c r="AA514" s="1" t="str">
        <f t="shared" ref="AA514:AA577" ca="1" si="57">IF(AE514=0,"HOJE",IF(AE514&gt;0,"A VENCER",IF(AE514&lt;0,"VENCIDO")))</f>
        <v>VENCIDO</v>
      </c>
      <c r="AB514" s="1" t="str">
        <f t="shared" ref="AB514:AB577" si="58">IF(F514="GRPE-000001","C-14",IF(F514="GRPE-000002","C-14",IF(F514="GRPE-000003","C-14",IF(F514="GRPE-000004","SL-On",IF(F514="GRPE-000038","C-14",IF(F514="GRPE-900022","Dosa",IF(F514="GRPE-000029","Dosa",IF(F514="ATOS-000222","Dose","TAAe+"))))))))</f>
        <v>C-14</v>
      </c>
      <c r="AC514" s="2" t="str">
        <f t="shared" si="55"/>
        <v xml:space="preserve"> CLEITON </v>
      </c>
      <c r="AD514" s="2">
        <f t="shared" ref="AD514:AD577" si="59">IF(F514="GRPE-000001",5,IF(F514="GRPE-000002",5,IF(F514="GRPE-000003",15,IF(F514="GRPE-000004",1,IF(F514="GRPE-000038",5,IF(F514="GRPE-900022",5,IF(F514="GRPE-000029",5,IF(F514="ATOS-000222",5,8))))))))</f>
        <v>5</v>
      </c>
      <c r="AE514" s="2">
        <f t="shared" ref="AE514:AE577" ca="1" si="60">IF(U514=$AE$1,"",U514-$AE$1)</f>
        <v>-272.29181562500162</v>
      </c>
      <c r="AF514" s="15"/>
    </row>
    <row r="515" spans="1:32" hidden="1">
      <c r="A515" s="1">
        <v>8630740</v>
      </c>
      <c r="B515" s="1" t="s">
        <v>653</v>
      </c>
      <c r="C515" t="s">
        <v>3581</v>
      </c>
      <c r="E515" s="2">
        <v>233001400010</v>
      </c>
      <c r="F515" s="1" t="s">
        <v>936</v>
      </c>
      <c r="G515" s="1" t="s">
        <v>53</v>
      </c>
      <c r="H515" s="1" t="s">
        <v>424</v>
      </c>
      <c r="I515" s="1" t="s">
        <v>425</v>
      </c>
      <c r="J515" s="1" t="s">
        <v>261</v>
      </c>
      <c r="K515" t="s">
        <v>937</v>
      </c>
      <c r="M515" s="1" t="s">
        <v>58</v>
      </c>
      <c r="N515" s="1">
        <v>0</v>
      </c>
      <c r="O515" s="1" t="s">
        <v>105</v>
      </c>
      <c r="P515" s="186">
        <v>44713.384340277778</v>
      </c>
      <c r="R515" s="1">
        <v>3</v>
      </c>
      <c r="T515" s="1" t="s">
        <v>646</v>
      </c>
      <c r="U515" s="186">
        <v>44714.384340277778</v>
      </c>
      <c r="V515" s="1" t="s">
        <v>41</v>
      </c>
      <c r="W515" s="1" t="s">
        <v>49</v>
      </c>
      <c r="X515" s="13" t="str">
        <f t="shared" ref="X515:X578" si="61">IF(RIGHT(H515,2)&lt;&gt;"00",H515,"")</f>
        <v/>
      </c>
      <c r="Y515" s="2">
        <f t="shared" ca="1" si="56"/>
        <v>196</v>
      </c>
      <c r="Z515" s="14">
        <v>1</v>
      </c>
      <c r="AA515" s="1" t="str">
        <f t="shared" ca="1" si="57"/>
        <v>VENCIDO</v>
      </c>
      <c r="AB515" s="1" t="str">
        <f t="shared" si="58"/>
        <v>C-14</v>
      </c>
      <c r="AC515" s="2" t="str">
        <f t="shared" ref="AC515:AC578" si="62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 xml:space="preserve"> CRISTINA </v>
      </c>
      <c r="AD515" s="2">
        <f t="shared" si="59"/>
        <v>5</v>
      </c>
      <c r="AE515" s="2">
        <f t="shared" ca="1" si="60"/>
        <v>-272.29193136574031</v>
      </c>
      <c r="AF515" s="15"/>
    </row>
    <row r="516" spans="1:32" hidden="1">
      <c r="A516" s="1">
        <v>8630705</v>
      </c>
      <c r="B516" s="1" t="s">
        <v>653</v>
      </c>
      <c r="C516" t="s">
        <v>3581</v>
      </c>
      <c r="E516" s="2">
        <v>196001400010</v>
      </c>
      <c r="F516" s="1" t="s">
        <v>936</v>
      </c>
      <c r="G516" s="1" t="s">
        <v>53</v>
      </c>
      <c r="H516" s="1" t="s">
        <v>1060</v>
      </c>
      <c r="I516" s="1" t="s">
        <v>1061</v>
      </c>
      <c r="J516" s="1" t="s">
        <v>79</v>
      </c>
      <c r="K516" t="s">
        <v>937</v>
      </c>
      <c r="M516" s="1" t="s">
        <v>58</v>
      </c>
      <c r="N516" s="1">
        <v>0</v>
      </c>
      <c r="O516" s="1" t="s">
        <v>105</v>
      </c>
      <c r="P516" s="186">
        <v>44713.384305555555</v>
      </c>
      <c r="R516" s="1">
        <v>3</v>
      </c>
      <c r="T516" s="1" t="s">
        <v>646</v>
      </c>
      <c r="U516" s="186">
        <v>44714.384305555555</v>
      </c>
      <c r="V516" s="1" t="s">
        <v>41</v>
      </c>
      <c r="W516" s="1" t="s">
        <v>49</v>
      </c>
      <c r="X516" s="13" t="str">
        <f t="shared" si="61"/>
        <v/>
      </c>
      <c r="Y516" s="2">
        <f t="shared" ca="1" si="56"/>
        <v>196</v>
      </c>
      <c r="Z516" s="14">
        <v>1</v>
      </c>
      <c r="AA516" s="1" t="str">
        <f t="shared" ca="1" si="57"/>
        <v>VENCIDO</v>
      </c>
      <c r="AB516" s="1" t="str">
        <f t="shared" si="58"/>
        <v>C-14</v>
      </c>
      <c r="AC516" s="2" t="str">
        <f t="shared" si="62"/>
        <v xml:space="preserve"> ROSEMERE </v>
      </c>
      <c r="AD516" s="2">
        <f t="shared" si="59"/>
        <v>5</v>
      </c>
      <c r="AE516" s="2">
        <f t="shared" ca="1" si="60"/>
        <v>-272.29196608796337</v>
      </c>
      <c r="AF516" s="15"/>
    </row>
    <row r="517" spans="1:32" hidden="1">
      <c r="A517" s="1">
        <v>8630554</v>
      </c>
      <c r="B517" s="1" t="s">
        <v>653</v>
      </c>
      <c r="C517" t="s">
        <v>3581</v>
      </c>
      <c r="E517" s="2">
        <v>7651400010</v>
      </c>
      <c r="F517" s="1" t="s">
        <v>936</v>
      </c>
      <c r="G517" s="1" t="s">
        <v>53</v>
      </c>
      <c r="H517" s="1" t="s">
        <v>827</v>
      </c>
      <c r="I517" s="1" t="s">
        <v>828</v>
      </c>
      <c r="J517" s="1" t="s">
        <v>46</v>
      </c>
      <c r="K517" t="s">
        <v>937</v>
      </c>
      <c r="M517" s="1" t="s">
        <v>58</v>
      </c>
      <c r="N517" s="1">
        <v>0</v>
      </c>
      <c r="O517" s="1" t="s">
        <v>105</v>
      </c>
      <c r="P517" s="186">
        <v>44713.384120370371</v>
      </c>
      <c r="R517" s="1">
        <v>3</v>
      </c>
      <c r="T517" s="1" t="s">
        <v>646</v>
      </c>
      <c r="U517" s="186">
        <v>44714.384120370371</v>
      </c>
      <c r="V517" s="1" t="s">
        <v>41</v>
      </c>
      <c r="W517" s="1" t="s">
        <v>49</v>
      </c>
      <c r="X517" s="13" t="str">
        <f t="shared" si="61"/>
        <v>0007.65</v>
      </c>
      <c r="Y517" s="2">
        <f t="shared" ca="1" si="56"/>
        <v>196</v>
      </c>
      <c r="Z517" s="14">
        <v>1</v>
      </c>
      <c r="AA517" s="1" t="str">
        <f t="shared" ca="1" si="57"/>
        <v>VENCIDO</v>
      </c>
      <c r="AB517" s="1" t="str">
        <f t="shared" si="58"/>
        <v>C-14</v>
      </c>
      <c r="AC517" s="2" t="str">
        <f t="shared" si="62"/>
        <v xml:space="preserve"> CLEITON </v>
      </c>
      <c r="AD517" s="2">
        <f t="shared" si="59"/>
        <v>5</v>
      </c>
      <c r="AE517" s="2">
        <f t="shared" ca="1" si="60"/>
        <v>-272.29215127314819</v>
      </c>
      <c r="AF517" s="15"/>
    </row>
    <row r="518" spans="1:32" hidden="1">
      <c r="A518" s="1">
        <v>8630381</v>
      </c>
      <c r="B518" s="1" t="s">
        <v>101</v>
      </c>
      <c r="C518" t="s">
        <v>643</v>
      </c>
      <c r="D518" s="2">
        <v>220094909</v>
      </c>
      <c r="E518" s="2">
        <v>1362001400030</v>
      </c>
      <c r="F518" s="1" t="s">
        <v>647</v>
      </c>
      <c r="G518" s="1" t="s">
        <v>53</v>
      </c>
      <c r="H518" s="1" t="s">
        <v>268</v>
      </c>
      <c r="I518" s="1" t="s">
        <v>269</v>
      </c>
      <c r="J518" s="1" t="s">
        <v>90</v>
      </c>
      <c r="K518" t="s">
        <v>650</v>
      </c>
      <c r="M518" s="1" t="s">
        <v>58</v>
      </c>
      <c r="N518" s="1">
        <v>0</v>
      </c>
      <c r="O518" s="1" t="s">
        <v>105</v>
      </c>
      <c r="P518" s="186">
        <v>44713.377708333333</v>
      </c>
      <c r="R518" s="1">
        <v>4</v>
      </c>
      <c r="T518" s="1" t="s">
        <v>646</v>
      </c>
      <c r="U518" s="186">
        <v>44714.377708333333</v>
      </c>
      <c r="V518" s="1" t="s">
        <v>41</v>
      </c>
      <c r="W518" s="1" t="s">
        <v>49</v>
      </c>
      <c r="X518" s="13" t="str">
        <f t="shared" si="61"/>
        <v/>
      </c>
      <c r="Y518" s="2">
        <f t="shared" ca="1" si="56"/>
        <v>196</v>
      </c>
      <c r="Z518" s="14">
        <v>1</v>
      </c>
      <c r="AA518" s="1" t="str">
        <f t="shared" ca="1" si="57"/>
        <v>VENCIDO</v>
      </c>
      <c r="AB518" s="1" t="str">
        <f t="shared" si="58"/>
        <v>C-14</v>
      </c>
      <c r="AC518" s="2" t="str">
        <f t="shared" si="62"/>
        <v xml:space="preserve"> RINALDO </v>
      </c>
      <c r="AD518" s="2">
        <f t="shared" si="59"/>
        <v>15</v>
      </c>
      <c r="AE518" s="2">
        <f t="shared" ca="1" si="60"/>
        <v>-272.29856331018527</v>
      </c>
      <c r="AF518" s="15"/>
    </row>
    <row r="519" spans="1:32" hidden="1">
      <c r="A519" s="1">
        <v>8630306</v>
      </c>
      <c r="B519" s="1" t="s">
        <v>101</v>
      </c>
      <c r="C519" t="s">
        <v>643</v>
      </c>
      <c r="D519" s="2">
        <v>220094756</v>
      </c>
      <c r="E519" s="2">
        <v>1049001400030</v>
      </c>
      <c r="F519" s="1" t="s">
        <v>647</v>
      </c>
      <c r="G519" s="1" t="s">
        <v>53</v>
      </c>
      <c r="H519" s="1" t="s">
        <v>169</v>
      </c>
      <c r="I519" s="1" t="s">
        <v>170</v>
      </c>
      <c r="J519" s="1" t="s">
        <v>164</v>
      </c>
      <c r="K519" t="s">
        <v>650</v>
      </c>
      <c r="M519" s="1" t="s">
        <v>58</v>
      </c>
      <c r="N519" s="1">
        <v>0</v>
      </c>
      <c r="O519" s="1" t="s">
        <v>105</v>
      </c>
      <c r="P519" s="186">
        <v>44713.373645833337</v>
      </c>
      <c r="R519" s="1">
        <v>4</v>
      </c>
      <c r="T519" s="1" t="s">
        <v>646</v>
      </c>
      <c r="U519" s="186">
        <v>44714.373657407406</v>
      </c>
      <c r="V519" s="1" t="s">
        <v>41</v>
      </c>
      <c r="W519" s="1" t="s">
        <v>49</v>
      </c>
      <c r="X519" s="13" t="str">
        <f t="shared" si="61"/>
        <v/>
      </c>
      <c r="Y519" s="2">
        <f t="shared" ca="1" si="56"/>
        <v>196</v>
      </c>
      <c r="Z519" s="14">
        <v>1</v>
      </c>
      <c r="AA519" s="1" t="str">
        <f t="shared" ca="1" si="57"/>
        <v>VENCIDO</v>
      </c>
      <c r="AB519" s="1" t="str">
        <f t="shared" si="58"/>
        <v>C-14</v>
      </c>
      <c r="AC519" s="2" t="str">
        <f t="shared" si="62"/>
        <v xml:space="preserve"> ROSEMERE </v>
      </c>
      <c r="AD519" s="2">
        <f t="shared" si="59"/>
        <v>15</v>
      </c>
      <c r="AE519" s="2">
        <f t="shared" ca="1" si="60"/>
        <v>-272.30261423611228</v>
      </c>
      <c r="AF519" s="15"/>
    </row>
    <row r="520" spans="1:32" hidden="1">
      <c r="A520" s="1">
        <v>8629148</v>
      </c>
      <c r="B520" s="1" t="s">
        <v>101</v>
      </c>
      <c r="C520" t="s">
        <v>643</v>
      </c>
      <c r="D520" s="2">
        <v>220092695</v>
      </c>
      <c r="E520" s="2">
        <v>1362001400010</v>
      </c>
      <c r="F520" s="1" t="s">
        <v>936</v>
      </c>
      <c r="G520" s="1" t="s">
        <v>53</v>
      </c>
      <c r="H520" s="1" t="s">
        <v>268</v>
      </c>
      <c r="I520" s="1" t="s">
        <v>269</v>
      </c>
      <c r="J520" s="1" t="s">
        <v>90</v>
      </c>
      <c r="K520" t="s">
        <v>937</v>
      </c>
      <c r="M520" s="1" t="s">
        <v>58</v>
      </c>
      <c r="N520" s="1">
        <v>0</v>
      </c>
      <c r="O520" s="1" t="s">
        <v>105</v>
      </c>
      <c r="P520" s="186">
        <v>44713.314988425926</v>
      </c>
      <c r="R520" s="1">
        <v>3</v>
      </c>
      <c r="T520" s="1" t="s">
        <v>646</v>
      </c>
      <c r="U520" s="186">
        <v>44714.314988425926</v>
      </c>
      <c r="V520" s="1" t="s">
        <v>41</v>
      </c>
      <c r="W520" s="1" t="s">
        <v>49</v>
      </c>
      <c r="X520" s="13" t="str">
        <f t="shared" si="61"/>
        <v/>
      </c>
      <c r="Y520" s="2">
        <f t="shared" ca="1" si="56"/>
        <v>196</v>
      </c>
      <c r="Z520" s="14">
        <v>1</v>
      </c>
      <c r="AA520" s="1" t="str">
        <f t="shared" ca="1" si="57"/>
        <v>VENCIDO</v>
      </c>
      <c r="AB520" s="1" t="str">
        <f t="shared" si="58"/>
        <v>C-14</v>
      </c>
      <c r="AC520" s="2" t="str">
        <f t="shared" si="62"/>
        <v xml:space="preserve"> RINALDO </v>
      </c>
      <c r="AD520" s="2">
        <f t="shared" si="59"/>
        <v>5</v>
      </c>
      <c r="AE520" s="2">
        <f t="shared" ca="1" si="60"/>
        <v>-272.36128321759315</v>
      </c>
      <c r="AF520" s="15"/>
    </row>
    <row r="521" spans="1:32" hidden="1">
      <c r="A521" s="1">
        <v>8629041</v>
      </c>
      <c r="B521" s="1" t="s">
        <v>101</v>
      </c>
      <c r="C521" t="s">
        <v>643</v>
      </c>
      <c r="D521" s="2">
        <v>220092544</v>
      </c>
      <c r="E521" s="2">
        <v>1049001400010</v>
      </c>
      <c r="F521" s="1" t="s">
        <v>936</v>
      </c>
      <c r="G521" s="1" t="s">
        <v>53</v>
      </c>
      <c r="H521" s="1" t="s">
        <v>169</v>
      </c>
      <c r="I521" s="1" t="s">
        <v>170</v>
      </c>
      <c r="J521" s="1" t="s">
        <v>164</v>
      </c>
      <c r="K521" t="s">
        <v>937</v>
      </c>
      <c r="M521" s="1" t="s">
        <v>58</v>
      </c>
      <c r="N521" s="1">
        <v>0</v>
      </c>
      <c r="O521" s="1" t="s">
        <v>105</v>
      </c>
      <c r="P521" s="186">
        <v>44713.308981481481</v>
      </c>
      <c r="R521" s="1">
        <v>3</v>
      </c>
      <c r="T521" s="1" t="s">
        <v>646</v>
      </c>
      <c r="U521" s="186">
        <v>44714.308981481481</v>
      </c>
      <c r="V521" s="1" t="s">
        <v>41</v>
      </c>
      <c r="W521" s="1" t="s">
        <v>49</v>
      </c>
      <c r="X521" s="13" t="str">
        <f t="shared" si="61"/>
        <v/>
      </c>
      <c r="Y521" s="2">
        <f t="shared" ca="1" si="56"/>
        <v>196</v>
      </c>
      <c r="Z521" s="14">
        <v>1</v>
      </c>
      <c r="AA521" s="1" t="str">
        <f t="shared" ca="1" si="57"/>
        <v>VENCIDO</v>
      </c>
      <c r="AB521" s="1" t="str">
        <f t="shared" si="58"/>
        <v>C-14</v>
      </c>
      <c r="AC521" s="2" t="str">
        <f t="shared" si="62"/>
        <v xml:space="preserve"> ROSEMERE </v>
      </c>
      <c r="AD521" s="2">
        <f t="shared" si="59"/>
        <v>5</v>
      </c>
      <c r="AE521" s="2">
        <f t="shared" ca="1" si="60"/>
        <v>-272.36729016203753</v>
      </c>
      <c r="AF521" s="15"/>
    </row>
    <row r="522" spans="1:32" hidden="1">
      <c r="A522" s="1">
        <v>8672365</v>
      </c>
      <c r="B522" s="1" t="s">
        <v>62</v>
      </c>
      <c r="C522" t="s">
        <v>1074</v>
      </c>
      <c r="E522" s="2">
        <v>2156000203000</v>
      </c>
      <c r="F522" s="1" t="s">
        <v>454</v>
      </c>
      <c r="G522" s="1" t="s">
        <v>53</v>
      </c>
      <c r="H522" s="1" t="s">
        <v>278</v>
      </c>
      <c r="I522" s="1" t="s">
        <v>279</v>
      </c>
      <c r="J522" s="1" t="s">
        <v>211</v>
      </c>
      <c r="K522" t="s">
        <v>457</v>
      </c>
      <c r="M522" s="1" t="s">
        <v>58</v>
      </c>
      <c r="N522" s="1">
        <v>0</v>
      </c>
      <c r="O522" s="1" t="s">
        <v>105</v>
      </c>
      <c r="P522" s="186">
        <v>44722.462719907409</v>
      </c>
      <c r="R522" s="1">
        <v>1</v>
      </c>
      <c r="T522" s="1" t="s">
        <v>157</v>
      </c>
      <c r="U522" s="186">
        <v>44757.75</v>
      </c>
      <c r="V522" s="1" t="s">
        <v>41</v>
      </c>
      <c r="W522" s="1" t="s">
        <v>49</v>
      </c>
      <c r="X522" s="13" t="str">
        <f t="shared" si="61"/>
        <v/>
      </c>
      <c r="Y522" s="2">
        <f t="shared" ca="1" si="56"/>
        <v>189</v>
      </c>
      <c r="Z522" s="14">
        <v>1</v>
      </c>
      <c r="AA522" s="1" t="str">
        <f t="shared" ca="1" si="57"/>
        <v>VENCIDO</v>
      </c>
      <c r="AB522" s="1" t="str">
        <f t="shared" si="58"/>
        <v>C-14</v>
      </c>
      <c r="AC522" s="2" t="str">
        <f t="shared" si="62"/>
        <v xml:space="preserve"> RINALDO </v>
      </c>
      <c r="AD522" s="2">
        <f t="shared" si="59"/>
        <v>5</v>
      </c>
      <c r="AE522" s="2">
        <f t="shared" ca="1" si="60"/>
        <v>-228.9262716435187</v>
      </c>
      <c r="AF522" s="15"/>
    </row>
    <row r="523" spans="1:32" hidden="1">
      <c r="A523" s="1">
        <v>8711475</v>
      </c>
      <c r="B523" s="1" t="s">
        <v>62</v>
      </c>
      <c r="C523" t="s">
        <v>1075</v>
      </c>
      <c r="E523" s="2">
        <v>7420000203000</v>
      </c>
      <c r="F523" s="1" t="s">
        <v>454</v>
      </c>
      <c r="G523" s="1" t="s">
        <v>30</v>
      </c>
      <c r="H523" s="1" t="s">
        <v>1076</v>
      </c>
      <c r="I523" s="1" t="s">
        <v>1077</v>
      </c>
      <c r="J523" s="1" t="s">
        <v>46</v>
      </c>
      <c r="K523" t="s">
        <v>457</v>
      </c>
      <c r="M523" s="1" t="s">
        <v>58</v>
      </c>
      <c r="N523" s="1">
        <v>0</v>
      </c>
      <c r="O523" s="1" t="s">
        <v>36</v>
      </c>
      <c r="P523" s="186">
        <v>44740.585196759261</v>
      </c>
      <c r="R523" s="1" t="s">
        <v>38</v>
      </c>
      <c r="T523" s="1" t="s">
        <v>157</v>
      </c>
      <c r="U523" s="186">
        <v>44810.75</v>
      </c>
      <c r="V523" s="1" t="s">
        <v>41</v>
      </c>
      <c r="W523" s="1" t="s">
        <v>49</v>
      </c>
      <c r="X523" s="13" t="str">
        <f t="shared" si="61"/>
        <v/>
      </c>
      <c r="Y523" s="2">
        <f t="shared" ca="1" si="56"/>
        <v>177</v>
      </c>
      <c r="Z523" s="14">
        <v>1</v>
      </c>
      <c r="AA523" s="1" t="str">
        <f t="shared" ca="1" si="57"/>
        <v>VENCIDO</v>
      </c>
      <c r="AB523" s="1" t="str">
        <f t="shared" si="58"/>
        <v>C-14</v>
      </c>
      <c r="AC523" s="2" t="str">
        <f t="shared" si="62"/>
        <v xml:space="preserve"> CLEITON </v>
      </c>
      <c r="AD523" s="2">
        <f t="shared" si="59"/>
        <v>5</v>
      </c>
      <c r="AE523" s="2">
        <f t="shared" ca="1" si="60"/>
        <v>-175.9262716435187</v>
      </c>
      <c r="AF523" s="15"/>
    </row>
    <row r="524" spans="1:32" hidden="1">
      <c r="A524" s="1">
        <v>8733876</v>
      </c>
      <c r="B524" s="1" t="s">
        <v>62</v>
      </c>
      <c r="C524" t="s">
        <v>1078</v>
      </c>
      <c r="E524" s="2">
        <v>1028000203000</v>
      </c>
      <c r="F524" s="1" t="s">
        <v>454</v>
      </c>
      <c r="G524" s="1" t="s">
        <v>53</v>
      </c>
      <c r="H524" s="1" t="s">
        <v>1079</v>
      </c>
      <c r="I524" s="1" t="s">
        <v>1080</v>
      </c>
      <c r="J524" s="1" t="s">
        <v>85</v>
      </c>
      <c r="K524" t="s">
        <v>457</v>
      </c>
      <c r="M524" s="1" t="s">
        <v>58</v>
      </c>
      <c r="N524" s="1">
        <v>0</v>
      </c>
      <c r="O524" s="1" t="s">
        <v>36</v>
      </c>
      <c r="P524" s="186">
        <v>44749.648923611108</v>
      </c>
      <c r="R524" s="1">
        <v>1</v>
      </c>
      <c r="T524" s="1" t="s">
        <v>157</v>
      </c>
      <c r="U524" s="186">
        <v>44783.75</v>
      </c>
      <c r="V524" s="1" t="s">
        <v>41</v>
      </c>
      <c r="W524" s="1" t="s">
        <v>49</v>
      </c>
      <c r="X524" s="13" t="str">
        <f t="shared" si="61"/>
        <v/>
      </c>
      <c r="Y524" s="2">
        <f t="shared" ca="1" si="56"/>
        <v>170</v>
      </c>
      <c r="Z524" s="14">
        <v>1</v>
      </c>
      <c r="AA524" s="1" t="str">
        <f t="shared" ca="1" si="57"/>
        <v>VENCIDO</v>
      </c>
      <c r="AB524" s="1" t="str">
        <f t="shared" si="58"/>
        <v>C-14</v>
      </c>
      <c r="AC524" s="2" t="str">
        <f t="shared" si="62"/>
        <v xml:space="preserve"> RINALDO </v>
      </c>
      <c r="AD524" s="2">
        <f t="shared" si="59"/>
        <v>5</v>
      </c>
      <c r="AE524" s="2">
        <f t="shared" ca="1" si="60"/>
        <v>-202.9262716435187</v>
      </c>
      <c r="AF524" s="15"/>
    </row>
    <row r="525" spans="1:32" hidden="1">
      <c r="A525" s="1">
        <v>8736689</v>
      </c>
      <c r="B525" s="1" t="s">
        <v>62</v>
      </c>
      <c r="C525" t="s">
        <v>1083</v>
      </c>
      <c r="E525" s="2">
        <v>600000203000</v>
      </c>
      <c r="F525" s="1" t="s">
        <v>454</v>
      </c>
      <c r="G525" s="1" t="s">
        <v>53</v>
      </c>
      <c r="H525" s="1" t="s">
        <v>1084</v>
      </c>
      <c r="I525" s="1" t="s">
        <v>1085</v>
      </c>
      <c r="J525" s="1" t="s">
        <v>90</v>
      </c>
      <c r="K525" t="s">
        <v>457</v>
      </c>
      <c r="M525" s="1" t="s">
        <v>58</v>
      </c>
      <c r="N525" s="1">
        <v>0</v>
      </c>
      <c r="O525" s="1" t="s">
        <v>36</v>
      </c>
      <c r="P525" s="186">
        <v>44750.694236111114</v>
      </c>
      <c r="R525" s="1">
        <v>1</v>
      </c>
      <c r="T525" s="1" t="s">
        <v>157</v>
      </c>
      <c r="U525" s="186">
        <v>44784.75</v>
      </c>
      <c r="V525" s="1" t="s">
        <v>41</v>
      </c>
      <c r="W525" s="1" t="s">
        <v>49</v>
      </c>
      <c r="X525" s="13" t="str">
        <f t="shared" si="61"/>
        <v/>
      </c>
      <c r="Y525" s="2">
        <f t="shared" ca="1" si="56"/>
        <v>169</v>
      </c>
      <c r="Z525" s="14">
        <v>1</v>
      </c>
      <c r="AA525" s="1" t="str">
        <f t="shared" ca="1" si="57"/>
        <v>VENCIDO</v>
      </c>
      <c r="AB525" s="1" t="str">
        <f t="shared" si="58"/>
        <v>C-14</v>
      </c>
      <c r="AC525" s="2" t="str">
        <f t="shared" si="62"/>
        <v xml:space="preserve"> RINALDO </v>
      </c>
      <c r="AD525" s="2">
        <f t="shared" si="59"/>
        <v>5</v>
      </c>
      <c r="AE525" s="2">
        <f t="shared" ca="1" si="60"/>
        <v>-201.9262716435187</v>
      </c>
      <c r="AF525" s="15"/>
    </row>
    <row r="526" spans="1:32" hidden="1">
      <c r="A526" s="1">
        <v>8741273</v>
      </c>
      <c r="B526" s="1" t="s">
        <v>62</v>
      </c>
      <c r="C526" t="s">
        <v>1086</v>
      </c>
      <c r="E526" s="2">
        <v>3924000202021</v>
      </c>
      <c r="F526" s="1" t="s">
        <v>103</v>
      </c>
      <c r="G526" s="1" t="s">
        <v>53</v>
      </c>
      <c r="H526" s="1" t="s">
        <v>153</v>
      </c>
      <c r="I526" s="1" t="s">
        <v>154</v>
      </c>
      <c r="J526" s="1" t="s">
        <v>56</v>
      </c>
      <c r="K526" t="s">
        <v>104</v>
      </c>
      <c r="M526" s="1" t="s">
        <v>58</v>
      </c>
      <c r="N526" s="1">
        <v>0</v>
      </c>
      <c r="O526" s="1" t="s">
        <v>36</v>
      </c>
      <c r="P526" s="186">
        <v>44753.486932870372</v>
      </c>
      <c r="R526" s="1" t="s">
        <v>38</v>
      </c>
      <c r="T526" s="1" t="s">
        <v>74</v>
      </c>
      <c r="U526" s="186">
        <v>44792.75</v>
      </c>
      <c r="V526" s="1" t="s">
        <v>41</v>
      </c>
      <c r="W526" s="1" t="s">
        <v>49</v>
      </c>
      <c r="X526" s="13" t="str">
        <f t="shared" si="61"/>
        <v/>
      </c>
      <c r="Y526" s="2">
        <f t="shared" ca="1" si="56"/>
        <v>168</v>
      </c>
      <c r="Z526" s="14">
        <v>1</v>
      </c>
      <c r="AA526" s="1" t="str">
        <f t="shared" ca="1" si="57"/>
        <v>VENCIDO</v>
      </c>
      <c r="AB526" s="1" t="str">
        <f t="shared" si="58"/>
        <v>Dosa</v>
      </c>
      <c r="AC526" s="2" t="str">
        <f t="shared" si="62"/>
        <v xml:space="preserve"> CRISTINA </v>
      </c>
      <c r="AD526" s="2">
        <f t="shared" si="59"/>
        <v>5</v>
      </c>
      <c r="AE526" s="2">
        <f t="shared" ca="1" si="60"/>
        <v>-193.9262716435187</v>
      </c>
      <c r="AF526" s="15"/>
    </row>
    <row r="527" spans="1:32" hidden="1">
      <c r="A527" s="1">
        <v>8741199</v>
      </c>
      <c r="B527" s="1" t="s">
        <v>1087</v>
      </c>
      <c r="C527" t="s">
        <v>1088</v>
      </c>
      <c r="E527" s="2">
        <v>244000206021</v>
      </c>
      <c r="F527" s="1" t="s">
        <v>103</v>
      </c>
      <c r="G527" s="1" t="s">
        <v>53</v>
      </c>
      <c r="H527" s="1" t="s">
        <v>313</v>
      </c>
      <c r="I527" s="1" t="s">
        <v>314</v>
      </c>
      <c r="J527" s="1" t="s">
        <v>56</v>
      </c>
      <c r="K527" t="s">
        <v>104</v>
      </c>
      <c r="M527" s="1" t="s">
        <v>58</v>
      </c>
      <c r="N527" s="1">
        <v>0</v>
      </c>
      <c r="O527" s="1" t="s">
        <v>105</v>
      </c>
      <c r="P527" s="186">
        <v>44753.480740740742</v>
      </c>
      <c r="R527" s="1" t="s">
        <v>38</v>
      </c>
      <c r="T527" s="1" t="s">
        <v>74</v>
      </c>
      <c r="U527" s="186">
        <v>44792.75</v>
      </c>
      <c r="V527" s="1" t="s">
        <v>41</v>
      </c>
      <c r="W527" s="1" t="s">
        <v>49</v>
      </c>
      <c r="X527" s="13" t="str">
        <f t="shared" si="61"/>
        <v/>
      </c>
      <c r="Y527" s="2">
        <f t="shared" ca="1" si="56"/>
        <v>168</v>
      </c>
      <c r="Z527" s="14">
        <v>1</v>
      </c>
      <c r="AA527" s="1" t="str">
        <f t="shared" ca="1" si="57"/>
        <v>VENCIDO</v>
      </c>
      <c r="AB527" s="1" t="str">
        <f t="shared" si="58"/>
        <v>Dosa</v>
      </c>
      <c r="AC527" s="2" t="str">
        <f t="shared" si="62"/>
        <v xml:space="preserve"> CRISTINA </v>
      </c>
      <c r="AD527" s="2">
        <f t="shared" si="59"/>
        <v>5</v>
      </c>
      <c r="AE527" s="2">
        <f t="shared" ca="1" si="60"/>
        <v>-193.9262716435187</v>
      </c>
      <c r="AF527" s="15"/>
    </row>
    <row r="528" spans="1:32" hidden="1">
      <c r="A528" s="1">
        <v>8756684</v>
      </c>
      <c r="B528" s="1" t="s">
        <v>62</v>
      </c>
      <c r="C528" t="s">
        <v>1089</v>
      </c>
      <c r="E528" s="2">
        <v>3258000203000</v>
      </c>
      <c r="F528" s="1" t="s">
        <v>454</v>
      </c>
      <c r="G528" s="1" t="s">
        <v>53</v>
      </c>
      <c r="H528" s="1" t="s">
        <v>321</v>
      </c>
      <c r="I528" s="1" t="s">
        <v>322</v>
      </c>
      <c r="J528" s="1" t="s">
        <v>46</v>
      </c>
      <c r="K528" t="s">
        <v>457</v>
      </c>
      <c r="M528" s="1" t="s">
        <v>58</v>
      </c>
      <c r="N528" s="1">
        <v>0</v>
      </c>
      <c r="O528" s="1" t="s">
        <v>36</v>
      </c>
      <c r="P528" s="186">
        <v>44760.389502314814</v>
      </c>
      <c r="R528" s="1">
        <v>1</v>
      </c>
      <c r="T528" s="1" t="s">
        <v>157</v>
      </c>
      <c r="U528" s="186">
        <v>44833.75</v>
      </c>
      <c r="V528" s="1" t="s">
        <v>41</v>
      </c>
      <c r="W528" s="1" t="s">
        <v>49</v>
      </c>
      <c r="X528" s="13" t="str">
        <f t="shared" si="61"/>
        <v/>
      </c>
      <c r="Y528" s="2">
        <f t="shared" ca="1" si="56"/>
        <v>163</v>
      </c>
      <c r="Z528" s="14">
        <v>1</v>
      </c>
      <c r="AA528" s="1" t="str">
        <f t="shared" ca="1" si="57"/>
        <v>VENCIDO</v>
      </c>
      <c r="AB528" s="1" t="str">
        <f t="shared" si="58"/>
        <v>C-14</v>
      </c>
      <c r="AC528" s="2" t="str">
        <f t="shared" si="62"/>
        <v xml:space="preserve"> CLEITON </v>
      </c>
      <c r="AD528" s="2">
        <f t="shared" si="59"/>
        <v>5</v>
      </c>
      <c r="AE528" s="2">
        <f t="shared" ca="1" si="60"/>
        <v>-152.9262716435187</v>
      </c>
      <c r="AF528" s="15"/>
    </row>
    <row r="529" spans="1:32" hidden="1">
      <c r="A529" s="1">
        <v>8773434</v>
      </c>
      <c r="B529" s="1" t="s">
        <v>62</v>
      </c>
      <c r="C529" t="s">
        <v>1092</v>
      </c>
      <c r="E529" s="2">
        <v>1049000203010</v>
      </c>
      <c r="F529" s="1" t="s">
        <v>152</v>
      </c>
      <c r="G529" s="1" t="s">
        <v>53</v>
      </c>
      <c r="H529" s="1" t="s">
        <v>169</v>
      </c>
      <c r="I529" s="1" t="s">
        <v>170</v>
      </c>
      <c r="J529" s="1" t="s">
        <v>164</v>
      </c>
      <c r="K529" t="s">
        <v>155</v>
      </c>
      <c r="M529" s="1" t="s">
        <v>35</v>
      </c>
      <c r="N529" s="1">
        <v>42318949</v>
      </c>
      <c r="O529" s="1" t="s">
        <v>36</v>
      </c>
      <c r="P529" s="186">
        <v>44767.715925925928</v>
      </c>
      <c r="R529" s="1">
        <v>1</v>
      </c>
      <c r="T529" s="1" t="s">
        <v>157</v>
      </c>
      <c r="U529" s="186">
        <v>44799.75</v>
      </c>
      <c r="V529" s="1" t="s">
        <v>41</v>
      </c>
      <c r="W529" s="1" t="s">
        <v>49</v>
      </c>
      <c r="X529" s="13" t="str">
        <f t="shared" si="61"/>
        <v/>
      </c>
      <c r="Y529" s="2">
        <f t="shared" ca="1" si="56"/>
        <v>158</v>
      </c>
      <c r="Z529" s="14">
        <v>1</v>
      </c>
      <c r="AA529" s="1" t="str">
        <f t="shared" ca="1" si="57"/>
        <v>VENCIDO</v>
      </c>
      <c r="AB529" s="1" t="str">
        <f t="shared" si="58"/>
        <v>TAAe+</v>
      </c>
      <c r="AC529" s="2" t="str">
        <f t="shared" si="62"/>
        <v xml:space="preserve"> ROSEMERE </v>
      </c>
      <c r="AD529" s="2">
        <f t="shared" si="59"/>
        <v>8</v>
      </c>
      <c r="AE529" s="2">
        <f t="shared" ca="1" si="60"/>
        <v>-186.9262716435187</v>
      </c>
      <c r="AF529" s="15"/>
    </row>
    <row r="530" spans="1:32" hidden="1">
      <c r="A530" s="1">
        <v>8792760</v>
      </c>
      <c r="B530" s="1" t="s">
        <v>62</v>
      </c>
      <c r="C530" t="s">
        <v>1095</v>
      </c>
      <c r="E530" s="2">
        <v>605000203000</v>
      </c>
      <c r="F530" s="1" t="s">
        <v>454</v>
      </c>
      <c r="G530" s="1" t="s">
        <v>53</v>
      </c>
      <c r="H530" s="1" t="s">
        <v>420</v>
      </c>
      <c r="I530" s="1" t="s">
        <v>421</v>
      </c>
      <c r="J530" s="1" t="s">
        <v>90</v>
      </c>
      <c r="K530" t="s">
        <v>457</v>
      </c>
      <c r="M530" s="1" t="s">
        <v>58</v>
      </c>
      <c r="N530" s="1">
        <v>0</v>
      </c>
      <c r="O530" s="1" t="s">
        <v>105</v>
      </c>
      <c r="P530" s="186">
        <v>44774.393900462965</v>
      </c>
      <c r="R530" s="1">
        <v>1</v>
      </c>
      <c r="T530" s="1" t="s">
        <v>157</v>
      </c>
      <c r="U530" s="186">
        <v>44806.75</v>
      </c>
      <c r="V530" s="1" t="s">
        <v>41</v>
      </c>
      <c r="W530" s="1" t="s">
        <v>49</v>
      </c>
      <c r="X530" s="13" t="str">
        <f t="shared" si="61"/>
        <v/>
      </c>
      <c r="Y530" s="2">
        <f t="shared" ca="1" si="56"/>
        <v>153</v>
      </c>
      <c r="Z530" s="14">
        <v>1</v>
      </c>
      <c r="AA530" s="1" t="str">
        <f t="shared" ca="1" si="57"/>
        <v>VENCIDO</v>
      </c>
      <c r="AB530" s="1" t="str">
        <f t="shared" si="58"/>
        <v>C-14</v>
      </c>
      <c r="AC530" s="2" t="str">
        <f t="shared" si="62"/>
        <v xml:space="preserve"> RINALDO </v>
      </c>
      <c r="AD530" s="2">
        <f t="shared" si="59"/>
        <v>5</v>
      </c>
      <c r="AE530" s="2">
        <f t="shared" ca="1" si="60"/>
        <v>-179.9262716435187</v>
      </c>
      <c r="AF530" s="15"/>
    </row>
    <row r="531" spans="1:32" hidden="1">
      <c r="A531" s="1">
        <v>8791670</v>
      </c>
      <c r="B531" s="1" t="s">
        <v>101</v>
      </c>
      <c r="C531" t="s">
        <v>643</v>
      </c>
      <c r="D531" s="2">
        <v>220127985</v>
      </c>
      <c r="E531" s="2">
        <v>2069001400030</v>
      </c>
      <c r="F531" s="1" t="s">
        <v>647</v>
      </c>
      <c r="G531" s="1" t="s">
        <v>53</v>
      </c>
      <c r="H531" s="1" t="s">
        <v>557</v>
      </c>
      <c r="I531" s="1" t="s">
        <v>558</v>
      </c>
      <c r="J531" s="1" t="s">
        <v>90</v>
      </c>
      <c r="K531" t="s">
        <v>650</v>
      </c>
      <c r="M531" s="1" t="s">
        <v>58</v>
      </c>
      <c r="N531" s="1">
        <v>0</v>
      </c>
      <c r="O531" s="1" t="s">
        <v>105</v>
      </c>
      <c r="P531" s="186">
        <v>44774.303842592592</v>
      </c>
      <c r="R531" s="1">
        <v>4</v>
      </c>
      <c r="T531" s="1" t="s">
        <v>646</v>
      </c>
      <c r="U531" s="186">
        <v>44775.303842592592</v>
      </c>
      <c r="V531" s="1" t="s">
        <v>41</v>
      </c>
      <c r="W531" s="1" t="s">
        <v>49</v>
      </c>
      <c r="X531" s="13" t="str">
        <f t="shared" si="61"/>
        <v/>
      </c>
      <c r="Y531" s="2">
        <f t="shared" ca="1" si="56"/>
        <v>153</v>
      </c>
      <c r="Z531" s="14">
        <v>1</v>
      </c>
      <c r="AA531" s="1" t="str">
        <f t="shared" ca="1" si="57"/>
        <v>VENCIDO</v>
      </c>
      <c r="AB531" s="1" t="str">
        <f t="shared" si="58"/>
        <v>C-14</v>
      </c>
      <c r="AC531" s="2" t="str">
        <f t="shared" si="62"/>
        <v xml:space="preserve"> RINALDO </v>
      </c>
      <c r="AD531" s="2">
        <f t="shared" si="59"/>
        <v>15</v>
      </c>
      <c r="AE531" s="2">
        <f t="shared" ca="1" si="60"/>
        <v>-211.37242905092717</v>
      </c>
      <c r="AF531" s="15"/>
    </row>
    <row r="532" spans="1:32" hidden="1">
      <c r="A532" s="1">
        <v>8790817</v>
      </c>
      <c r="B532" s="1" t="s">
        <v>101</v>
      </c>
      <c r="C532" t="s">
        <v>643</v>
      </c>
      <c r="D532" s="2">
        <v>220129376</v>
      </c>
      <c r="E532" s="2">
        <v>1059001400040</v>
      </c>
      <c r="F532" s="1" t="s">
        <v>644</v>
      </c>
      <c r="G532" s="1" t="s">
        <v>53</v>
      </c>
      <c r="H532" s="1" t="s">
        <v>88</v>
      </c>
      <c r="I532" s="1" t="s">
        <v>89</v>
      </c>
      <c r="J532" s="1" t="s">
        <v>90</v>
      </c>
      <c r="K532" t="s">
        <v>645</v>
      </c>
      <c r="M532" s="1" t="s">
        <v>58</v>
      </c>
      <c r="N532" s="1">
        <v>0</v>
      </c>
      <c r="O532" s="1" t="s">
        <v>105</v>
      </c>
      <c r="P532" s="186">
        <v>44774.250196759262</v>
      </c>
      <c r="R532" s="1">
        <v>2</v>
      </c>
      <c r="T532" s="1" t="s">
        <v>646</v>
      </c>
      <c r="U532" s="186">
        <v>44775.250208333331</v>
      </c>
      <c r="V532" s="1" t="s">
        <v>41</v>
      </c>
      <c r="W532" s="1" t="s">
        <v>49</v>
      </c>
      <c r="X532" s="13" t="str">
        <f t="shared" si="61"/>
        <v/>
      </c>
      <c r="Y532" s="2">
        <f t="shared" ca="1" si="56"/>
        <v>153</v>
      </c>
      <c r="Z532" s="14">
        <v>1</v>
      </c>
      <c r="AA532" s="1" t="str">
        <f t="shared" ca="1" si="57"/>
        <v>VENCIDO</v>
      </c>
      <c r="AB532" s="1" t="str">
        <f t="shared" si="58"/>
        <v>SL-On</v>
      </c>
      <c r="AC532" s="2" t="str">
        <f t="shared" si="62"/>
        <v xml:space="preserve"> RINALDO </v>
      </c>
      <c r="AD532" s="2">
        <f t="shared" si="59"/>
        <v>1</v>
      </c>
      <c r="AE532" s="2">
        <f t="shared" ca="1" si="60"/>
        <v>-211.4260633101876</v>
      </c>
      <c r="AF532" s="15"/>
    </row>
    <row r="533" spans="1:32" hidden="1">
      <c r="A533" s="1">
        <v>8790458</v>
      </c>
      <c r="B533" s="1" t="s">
        <v>101</v>
      </c>
      <c r="C533" t="s">
        <v>643</v>
      </c>
      <c r="D533" s="2">
        <v>220127616</v>
      </c>
      <c r="E533" s="2">
        <v>1059001400030</v>
      </c>
      <c r="F533" s="1" t="s">
        <v>647</v>
      </c>
      <c r="G533" s="1" t="s">
        <v>53</v>
      </c>
      <c r="H533" s="1" t="s">
        <v>88</v>
      </c>
      <c r="I533" s="1" t="s">
        <v>89</v>
      </c>
      <c r="J533" s="1" t="s">
        <v>90</v>
      </c>
      <c r="K533" t="s">
        <v>650</v>
      </c>
      <c r="M533" s="1" t="s">
        <v>58</v>
      </c>
      <c r="N533" s="1">
        <v>0</v>
      </c>
      <c r="O533" s="1" t="s">
        <v>105</v>
      </c>
      <c r="P533" s="186">
        <v>44774.226747685185</v>
      </c>
      <c r="R533" s="1">
        <v>4</v>
      </c>
      <c r="T533" s="1" t="s">
        <v>646</v>
      </c>
      <c r="U533" s="186">
        <v>44775.226747685185</v>
      </c>
      <c r="V533" s="1" t="s">
        <v>41</v>
      </c>
      <c r="W533" s="1" t="s">
        <v>49</v>
      </c>
      <c r="X533" s="13" t="str">
        <f t="shared" si="61"/>
        <v/>
      </c>
      <c r="Y533" s="2">
        <f t="shared" ca="1" si="56"/>
        <v>153</v>
      </c>
      <c r="Z533" s="14">
        <v>1</v>
      </c>
      <c r="AA533" s="1" t="str">
        <f t="shared" ca="1" si="57"/>
        <v>VENCIDO</v>
      </c>
      <c r="AB533" s="1" t="str">
        <f t="shared" si="58"/>
        <v>C-14</v>
      </c>
      <c r="AC533" s="2" t="str">
        <f t="shared" si="62"/>
        <v xml:space="preserve"> RINALDO </v>
      </c>
      <c r="AD533" s="2">
        <f t="shared" si="59"/>
        <v>15</v>
      </c>
      <c r="AE533" s="2">
        <f t="shared" ca="1" si="60"/>
        <v>-211.44952395833388</v>
      </c>
      <c r="AF533" s="15"/>
    </row>
    <row r="534" spans="1:32" hidden="1">
      <c r="A534" s="1">
        <v>8789842</v>
      </c>
      <c r="B534" s="1" t="s">
        <v>101</v>
      </c>
      <c r="C534" t="s">
        <v>643</v>
      </c>
      <c r="D534" s="2">
        <v>220125834</v>
      </c>
      <c r="E534" s="2">
        <v>2069001400010</v>
      </c>
      <c r="F534" s="1" t="s">
        <v>936</v>
      </c>
      <c r="G534" s="1" t="s">
        <v>53</v>
      </c>
      <c r="H534" s="1" t="s">
        <v>557</v>
      </c>
      <c r="I534" s="1" t="s">
        <v>558</v>
      </c>
      <c r="J534" s="1" t="s">
        <v>90</v>
      </c>
      <c r="K534" t="s">
        <v>937</v>
      </c>
      <c r="M534" s="1" t="s">
        <v>58</v>
      </c>
      <c r="N534" s="1">
        <v>0</v>
      </c>
      <c r="O534" s="1" t="s">
        <v>105</v>
      </c>
      <c r="P534" s="186">
        <v>44774.195625</v>
      </c>
      <c r="R534" s="1">
        <v>3</v>
      </c>
      <c r="T534" s="1" t="s">
        <v>646</v>
      </c>
      <c r="U534" s="186">
        <v>44775.195625</v>
      </c>
      <c r="V534" s="1" t="s">
        <v>41</v>
      </c>
      <c r="W534" s="1" t="s">
        <v>49</v>
      </c>
      <c r="X534" s="13" t="str">
        <f t="shared" si="61"/>
        <v/>
      </c>
      <c r="Y534" s="2">
        <f t="shared" ca="1" si="56"/>
        <v>153</v>
      </c>
      <c r="Z534" s="14">
        <v>1</v>
      </c>
      <c r="AA534" s="1" t="str">
        <f t="shared" ca="1" si="57"/>
        <v>VENCIDO</v>
      </c>
      <c r="AB534" s="1" t="str">
        <f t="shared" si="58"/>
        <v>C-14</v>
      </c>
      <c r="AC534" s="2" t="str">
        <f t="shared" si="62"/>
        <v xml:space="preserve"> RINALDO </v>
      </c>
      <c r="AD534" s="2">
        <f t="shared" si="59"/>
        <v>5</v>
      </c>
      <c r="AE534" s="2">
        <f t="shared" ca="1" si="60"/>
        <v>-211.48064664351841</v>
      </c>
      <c r="AF534" s="15"/>
    </row>
    <row r="535" spans="1:32" hidden="1">
      <c r="A535" s="1">
        <v>8789783</v>
      </c>
      <c r="B535" s="1" t="s">
        <v>101</v>
      </c>
      <c r="C535" t="s">
        <v>643</v>
      </c>
      <c r="D535" s="2">
        <v>220125480</v>
      </c>
      <c r="E535" s="2">
        <v>1059001400010</v>
      </c>
      <c r="F535" s="1" t="s">
        <v>936</v>
      </c>
      <c r="G535" s="1" t="s">
        <v>53</v>
      </c>
      <c r="H535" s="1" t="s">
        <v>88</v>
      </c>
      <c r="I535" s="1" t="s">
        <v>89</v>
      </c>
      <c r="J535" s="1" t="s">
        <v>90</v>
      </c>
      <c r="K535" t="s">
        <v>937</v>
      </c>
      <c r="M535" s="1" t="s">
        <v>58</v>
      </c>
      <c r="N535" s="1">
        <v>0</v>
      </c>
      <c r="O535" s="1" t="s">
        <v>105</v>
      </c>
      <c r="P535" s="186">
        <v>44774.190578703703</v>
      </c>
      <c r="R535" s="1">
        <v>3</v>
      </c>
      <c r="T535" s="1" t="s">
        <v>646</v>
      </c>
      <c r="U535" s="186">
        <v>44775.190578703703</v>
      </c>
      <c r="V535" s="1" t="s">
        <v>41</v>
      </c>
      <c r="W535" s="1" t="s">
        <v>49</v>
      </c>
      <c r="X535" s="13" t="str">
        <f t="shared" si="61"/>
        <v/>
      </c>
      <c r="Y535" s="2">
        <f t="shared" ca="1" si="56"/>
        <v>153</v>
      </c>
      <c r="Z535" s="14">
        <v>1</v>
      </c>
      <c r="AA535" s="1" t="str">
        <f t="shared" ca="1" si="57"/>
        <v>VENCIDO</v>
      </c>
      <c r="AB535" s="1" t="str">
        <f t="shared" si="58"/>
        <v>C-14</v>
      </c>
      <c r="AC535" s="2" t="str">
        <f t="shared" si="62"/>
        <v xml:space="preserve"> RINALDO </v>
      </c>
      <c r="AD535" s="2">
        <f t="shared" si="59"/>
        <v>5</v>
      </c>
      <c r="AE535" s="2">
        <f t="shared" ca="1" si="60"/>
        <v>-211.48569293981564</v>
      </c>
      <c r="AF535" s="15"/>
    </row>
    <row r="536" spans="1:32" hidden="1">
      <c r="A536" s="1">
        <v>8789228</v>
      </c>
      <c r="B536" s="1" t="s">
        <v>101</v>
      </c>
      <c r="C536" t="s">
        <v>643</v>
      </c>
      <c r="D536" s="2">
        <v>220129740</v>
      </c>
      <c r="E536" s="2">
        <v>2107001400040</v>
      </c>
      <c r="F536" s="1" t="s">
        <v>644</v>
      </c>
      <c r="G536" s="1" t="s">
        <v>53</v>
      </c>
      <c r="H536" s="1" t="s">
        <v>262</v>
      </c>
      <c r="I536" s="1" t="s">
        <v>263</v>
      </c>
      <c r="J536" s="1" t="s">
        <v>164</v>
      </c>
      <c r="K536" t="s">
        <v>645</v>
      </c>
      <c r="M536" s="1" t="s">
        <v>58</v>
      </c>
      <c r="N536" s="1">
        <v>0</v>
      </c>
      <c r="O536" s="1" t="s">
        <v>36</v>
      </c>
      <c r="P536" s="186">
        <v>44774.150763888887</v>
      </c>
      <c r="R536" s="1">
        <v>3</v>
      </c>
      <c r="T536" s="1" t="s">
        <v>646</v>
      </c>
      <c r="U536" s="186">
        <v>44775.150775462964</v>
      </c>
      <c r="V536" s="1" t="s">
        <v>41</v>
      </c>
      <c r="W536" s="1" t="s">
        <v>49</v>
      </c>
      <c r="X536" s="13" t="str">
        <f t="shared" si="61"/>
        <v/>
      </c>
      <c r="Y536" s="2">
        <f t="shared" ca="1" si="56"/>
        <v>153</v>
      </c>
      <c r="Z536" s="14">
        <v>1</v>
      </c>
      <c r="AA536" s="1" t="str">
        <f t="shared" ca="1" si="57"/>
        <v>VENCIDO</v>
      </c>
      <c r="AB536" s="1" t="str">
        <f t="shared" si="58"/>
        <v>SL-On</v>
      </c>
      <c r="AC536" s="2" t="str">
        <f t="shared" si="62"/>
        <v xml:space="preserve"> ROSEMERE </v>
      </c>
      <c r="AD536" s="2">
        <f t="shared" si="59"/>
        <v>1</v>
      </c>
      <c r="AE536" s="2">
        <f t="shared" ca="1" si="60"/>
        <v>-211.52549618055491</v>
      </c>
      <c r="AF536" s="15"/>
    </row>
    <row r="537" spans="1:32" hidden="1">
      <c r="A537" s="1">
        <v>8789210</v>
      </c>
      <c r="B537" s="1" t="s">
        <v>101</v>
      </c>
      <c r="C537" t="s">
        <v>643</v>
      </c>
      <c r="D537" s="2">
        <v>220129727</v>
      </c>
      <c r="E537" s="2">
        <v>2069001400040</v>
      </c>
      <c r="F537" s="1" t="s">
        <v>644</v>
      </c>
      <c r="G537" s="1" t="s">
        <v>53</v>
      </c>
      <c r="H537" s="1" t="s">
        <v>557</v>
      </c>
      <c r="I537" s="1" t="s">
        <v>558</v>
      </c>
      <c r="J537" s="1" t="s">
        <v>90</v>
      </c>
      <c r="K537" t="s">
        <v>645</v>
      </c>
      <c r="M537" s="1" t="s">
        <v>58</v>
      </c>
      <c r="N537" s="1">
        <v>0</v>
      </c>
      <c r="O537" s="1" t="s">
        <v>105</v>
      </c>
      <c r="P537" s="186">
        <v>44774.150150462963</v>
      </c>
      <c r="R537" s="1">
        <v>2</v>
      </c>
      <c r="T537" s="1" t="s">
        <v>646</v>
      </c>
      <c r="U537" s="186">
        <v>44775.150150462963</v>
      </c>
      <c r="V537" s="1" t="s">
        <v>41</v>
      </c>
      <c r="W537" s="1" t="s">
        <v>49</v>
      </c>
      <c r="X537" s="13" t="str">
        <f t="shared" si="61"/>
        <v/>
      </c>
      <c r="Y537" s="2">
        <f t="shared" ca="1" si="56"/>
        <v>153</v>
      </c>
      <c r="Z537" s="14">
        <v>1</v>
      </c>
      <c r="AA537" s="1" t="str">
        <f t="shared" ca="1" si="57"/>
        <v>VENCIDO</v>
      </c>
      <c r="AB537" s="1" t="str">
        <f t="shared" si="58"/>
        <v>SL-On</v>
      </c>
      <c r="AC537" s="2" t="str">
        <f t="shared" si="62"/>
        <v xml:space="preserve"> RINALDO </v>
      </c>
      <c r="AD537" s="2">
        <f t="shared" si="59"/>
        <v>1</v>
      </c>
      <c r="AE537" s="2">
        <f t="shared" ca="1" si="60"/>
        <v>-211.52612118055549</v>
      </c>
      <c r="AF537" s="15"/>
    </row>
    <row r="538" spans="1:32" hidden="1">
      <c r="A538" s="1">
        <v>8788278</v>
      </c>
      <c r="B538" s="1" t="s">
        <v>101</v>
      </c>
      <c r="C538" t="s">
        <v>643</v>
      </c>
      <c r="D538" s="2">
        <v>220127916</v>
      </c>
      <c r="E538" s="2">
        <v>1764001400030</v>
      </c>
      <c r="F538" s="1" t="s">
        <v>647</v>
      </c>
      <c r="G538" s="1" t="s">
        <v>53</v>
      </c>
      <c r="H538" s="1" t="s">
        <v>722</v>
      </c>
      <c r="I538" s="1" t="s">
        <v>723</v>
      </c>
      <c r="J538" s="1" t="s">
        <v>90</v>
      </c>
      <c r="K538" t="s">
        <v>650</v>
      </c>
      <c r="M538" s="1" t="s">
        <v>58</v>
      </c>
      <c r="N538" s="1">
        <v>0</v>
      </c>
      <c r="O538" s="1" t="s">
        <v>105</v>
      </c>
      <c r="P538" s="186">
        <v>44774.09547453704</v>
      </c>
      <c r="R538" s="1">
        <v>4</v>
      </c>
      <c r="T538" s="1" t="s">
        <v>646</v>
      </c>
      <c r="U538" s="186">
        <v>44775.09547453704</v>
      </c>
      <c r="V538" s="1" t="s">
        <v>41</v>
      </c>
      <c r="W538" s="1" t="s">
        <v>49</v>
      </c>
      <c r="X538" s="13" t="str">
        <f t="shared" si="61"/>
        <v/>
      </c>
      <c r="Y538" s="2">
        <f t="shared" ca="1" si="56"/>
        <v>153</v>
      </c>
      <c r="Z538" s="14">
        <v>1</v>
      </c>
      <c r="AA538" s="1" t="str">
        <f t="shared" ca="1" si="57"/>
        <v>VENCIDO</v>
      </c>
      <c r="AB538" s="1" t="str">
        <f t="shared" si="58"/>
        <v>C-14</v>
      </c>
      <c r="AC538" s="2" t="str">
        <f t="shared" si="62"/>
        <v xml:space="preserve"> RINALDO </v>
      </c>
      <c r="AD538" s="2">
        <f t="shared" si="59"/>
        <v>15</v>
      </c>
      <c r="AE538" s="2">
        <f t="shared" ca="1" si="60"/>
        <v>-211.58079710647871</v>
      </c>
      <c r="AF538" s="15"/>
    </row>
    <row r="539" spans="1:32" hidden="1">
      <c r="A539" s="1">
        <v>8802595</v>
      </c>
      <c r="B539" s="1" t="s">
        <v>62</v>
      </c>
      <c r="C539" t="s">
        <v>1114</v>
      </c>
      <c r="E539" s="2">
        <v>3918000206001</v>
      </c>
      <c r="F539" s="1" t="s">
        <v>29</v>
      </c>
      <c r="G539" s="1" t="s">
        <v>53</v>
      </c>
      <c r="H539" s="1" t="s">
        <v>858</v>
      </c>
      <c r="I539" s="1" t="s">
        <v>859</v>
      </c>
      <c r="J539" s="1" t="s">
        <v>33</v>
      </c>
      <c r="K539" t="s">
        <v>34</v>
      </c>
      <c r="M539" s="1" t="s">
        <v>35</v>
      </c>
      <c r="N539" s="1">
        <v>42318949</v>
      </c>
      <c r="O539" s="1" t="s">
        <v>36</v>
      </c>
      <c r="P539" s="186">
        <v>44777.52611111111</v>
      </c>
      <c r="R539" s="1" t="s">
        <v>38</v>
      </c>
      <c r="T539" s="1" t="s">
        <v>74</v>
      </c>
      <c r="U539" s="186">
        <v>44819.75</v>
      </c>
      <c r="V539" s="1" t="s">
        <v>41</v>
      </c>
      <c r="W539" s="1" t="s">
        <v>49</v>
      </c>
      <c r="X539" s="13" t="str">
        <f t="shared" si="61"/>
        <v/>
      </c>
      <c r="Y539" s="2">
        <f t="shared" ca="1" si="56"/>
        <v>150</v>
      </c>
      <c r="Z539" s="14">
        <v>1</v>
      </c>
      <c r="AA539" s="1" t="str">
        <f t="shared" ca="1" si="57"/>
        <v>VENCIDO</v>
      </c>
      <c r="AB539" s="1" t="str">
        <f t="shared" si="58"/>
        <v>Dosa</v>
      </c>
      <c r="AC539" s="2" t="str">
        <f t="shared" si="62"/>
        <v xml:space="preserve"> ROSEMERE </v>
      </c>
      <c r="AD539" s="2">
        <f t="shared" si="59"/>
        <v>5</v>
      </c>
      <c r="AE539" s="2">
        <f t="shared" ca="1" si="60"/>
        <v>-166.9262716435187</v>
      </c>
      <c r="AF539" s="15"/>
    </row>
    <row r="540" spans="1:32" hidden="1">
      <c r="A540" s="1">
        <v>8802516</v>
      </c>
      <c r="B540" s="1" t="s">
        <v>62</v>
      </c>
      <c r="C540" t="s">
        <v>1114</v>
      </c>
      <c r="E540" s="2">
        <v>2737000206001</v>
      </c>
      <c r="F540" s="1" t="s">
        <v>29</v>
      </c>
      <c r="G540" s="1" t="s">
        <v>53</v>
      </c>
      <c r="H540" s="1" t="s">
        <v>311</v>
      </c>
      <c r="I540" s="1" t="s">
        <v>312</v>
      </c>
      <c r="J540" s="1" t="s">
        <v>90</v>
      </c>
      <c r="K540" t="s">
        <v>34</v>
      </c>
      <c r="M540" s="1" t="s">
        <v>35</v>
      </c>
      <c r="N540" s="1">
        <v>42318949</v>
      </c>
      <c r="O540" s="1" t="s">
        <v>105</v>
      </c>
      <c r="P540" s="186">
        <v>44777.526006944441</v>
      </c>
      <c r="R540" s="1" t="s">
        <v>38</v>
      </c>
      <c r="T540" s="1" t="s">
        <v>74</v>
      </c>
      <c r="U540" s="186">
        <v>44819.75</v>
      </c>
      <c r="V540" s="1" t="s">
        <v>41</v>
      </c>
      <c r="W540" s="1" t="s">
        <v>49</v>
      </c>
      <c r="X540" s="13" t="str">
        <f t="shared" si="61"/>
        <v/>
      </c>
      <c r="Y540" s="2">
        <f t="shared" ca="1" si="56"/>
        <v>150</v>
      </c>
      <c r="Z540" s="14">
        <v>1</v>
      </c>
      <c r="AA540" s="1" t="str">
        <f t="shared" ca="1" si="57"/>
        <v>VENCIDO</v>
      </c>
      <c r="AB540" s="1" t="str">
        <f t="shared" si="58"/>
        <v>Dosa</v>
      </c>
      <c r="AC540" s="2" t="str">
        <f t="shared" si="62"/>
        <v xml:space="preserve"> RINALDO </v>
      </c>
      <c r="AD540" s="2">
        <f t="shared" si="59"/>
        <v>5</v>
      </c>
      <c r="AE540" s="2">
        <f t="shared" ca="1" si="60"/>
        <v>-166.9262716435187</v>
      </c>
      <c r="AF540" s="15"/>
    </row>
    <row r="541" spans="1:32" hidden="1">
      <c r="A541" s="1">
        <v>8802513</v>
      </c>
      <c r="B541" s="1" t="s">
        <v>62</v>
      </c>
      <c r="C541" t="s">
        <v>1114</v>
      </c>
      <c r="E541" s="2">
        <v>2693000206001</v>
      </c>
      <c r="F541" s="1" t="s">
        <v>29</v>
      </c>
      <c r="G541" s="1" t="s">
        <v>53</v>
      </c>
      <c r="H541" s="1" t="s">
        <v>253</v>
      </c>
      <c r="I541" s="1" t="s">
        <v>254</v>
      </c>
      <c r="J541" s="1" t="s">
        <v>56</v>
      </c>
      <c r="K541" t="s">
        <v>34</v>
      </c>
      <c r="M541" s="1" t="s">
        <v>35</v>
      </c>
      <c r="N541" s="1">
        <v>42318949</v>
      </c>
      <c r="O541" s="1" t="s">
        <v>105</v>
      </c>
      <c r="P541" s="186">
        <v>44777.526006944441</v>
      </c>
      <c r="R541" s="1" t="s">
        <v>38</v>
      </c>
      <c r="T541" s="1" t="s">
        <v>74</v>
      </c>
      <c r="U541" s="186">
        <v>44819.75</v>
      </c>
      <c r="V541" s="1" t="s">
        <v>41</v>
      </c>
      <c r="W541" s="1" t="s">
        <v>49</v>
      </c>
      <c r="X541" s="13" t="str">
        <f t="shared" si="61"/>
        <v/>
      </c>
      <c r="Y541" s="2">
        <f t="shared" ca="1" si="56"/>
        <v>150</v>
      </c>
      <c r="Z541" s="14">
        <v>1</v>
      </c>
      <c r="AA541" s="1" t="str">
        <f t="shared" ca="1" si="57"/>
        <v>VENCIDO</v>
      </c>
      <c r="AB541" s="1" t="str">
        <f t="shared" si="58"/>
        <v>Dosa</v>
      </c>
      <c r="AC541" s="2" t="str">
        <f t="shared" si="62"/>
        <v xml:space="preserve"> CRISTINA </v>
      </c>
      <c r="AD541" s="2">
        <f t="shared" si="59"/>
        <v>5</v>
      </c>
      <c r="AE541" s="2">
        <f t="shared" ca="1" si="60"/>
        <v>-166.9262716435187</v>
      </c>
      <c r="AF541" s="15"/>
    </row>
    <row r="542" spans="1:32" hidden="1">
      <c r="A542" s="1">
        <v>8802505</v>
      </c>
      <c r="B542" s="1" t="s">
        <v>62</v>
      </c>
      <c r="C542" t="s">
        <v>1114</v>
      </c>
      <c r="E542" s="2">
        <v>2590000206001</v>
      </c>
      <c r="F542" s="1" t="s">
        <v>29</v>
      </c>
      <c r="G542" s="1" t="s">
        <v>53</v>
      </c>
      <c r="H542" s="1" t="s">
        <v>394</v>
      </c>
      <c r="I542" s="1" t="s">
        <v>395</v>
      </c>
      <c r="J542" s="1" t="s">
        <v>148</v>
      </c>
      <c r="K542" t="s">
        <v>34</v>
      </c>
      <c r="M542" s="1" t="s">
        <v>35</v>
      </c>
      <c r="N542" s="1">
        <v>42318949</v>
      </c>
      <c r="O542" s="1" t="s">
        <v>105</v>
      </c>
      <c r="P542" s="186">
        <v>44777.525995370372</v>
      </c>
      <c r="R542" s="1" t="s">
        <v>38</v>
      </c>
      <c r="T542" s="1" t="s">
        <v>74</v>
      </c>
      <c r="U542" s="186">
        <v>44819.75</v>
      </c>
      <c r="V542" s="1" t="s">
        <v>41</v>
      </c>
      <c r="W542" s="1" t="s">
        <v>49</v>
      </c>
      <c r="X542" s="13" t="str">
        <f t="shared" si="61"/>
        <v/>
      </c>
      <c r="Y542" s="2">
        <f t="shared" ca="1" si="56"/>
        <v>150</v>
      </c>
      <c r="Z542" s="14">
        <v>1</v>
      </c>
      <c r="AA542" s="1" t="str">
        <f t="shared" ca="1" si="57"/>
        <v>VENCIDO</v>
      </c>
      <c r="AB542" s="1" t="str">
        <f t="shared" si="58"/>
        <v>Dosa</v>
      </c>
      <c r="AC542" s="2" t="str">
        <f t="shared" si="62"/>
        <v xml:space="preserve"> RINALDO </v>
      </c>
      <c r="AD542" s="2">
        <f t="shared" si="59"/>
        <v>5</v>
      </c>
      <c r="AE542" s="2">
        <f t="shared" ca="1" si="60"/>
        <v>-166.9262716435187</v>
      </c>
      <c r="AF542" s="15"/>
    </row>
    <row r="543" spans="1:32" hidden="1">
      <c r="A543" s="1">
        <v>8802477</v>
      </c>
      <c r="B543" s="1" t="s">
        <v>62</v>
      </c>
      <c r="C543" t="s">
        <v>1114</v>
      </c>
      <c r="E543" s="2">
        <v>2229000206001</v>
      </c>
      <c r="F543" s="1" t="s">
        <v>29</v>
      </c>
      <c r="G543" s="1" t="s">
        <v>53</v>
      </c>
      <c r="H543" s="1" t="s">
        <v>339</v>
      </c>
      <c r="I543" s="1" t="s">
        <v>340</v>
      </c>
      <c r="J543" s="1" t="s">
        <v>211</v>
      </c>
      <c r="K543" t="s">
        <v>34</v>
      </c>
      <c r="M543" s="1" t="s">
        <v>35</v>
      </c>
      <c r="N543" s="1">
        <v>42318949</v>
      </c>
      <c r="O543" s="1" t="s">
        <v>105</v>
      </c>
      <c r="P543" s="186">
        <v>44777.525960648149</v>
      </c>
      <c r="R543" s="1" t="s">
        <v>38</v>
      </c>
      <c r="T543" s="1" t="s">
        <v>74</v>
      </c>
      <c r="U543" s="186">
        <v>44819.75</v>
      </c>
      <c r="V543" s="1" t="s">
        <v>41</v>
      </c>
      <c r="W543" s="1" t="s">
        <v>49</v>
      </c>
      <c r="X543" s="13" t="str">
        <f t="shared" si="61"/>
        <v/>
      </c>
      <c r="Y543" s="2">
        <f t="shared" ca="1" si="56"/>
        <v>150</v>
      </c>
      <c r="Z543" s="14">
        <v>1</v>
      </c>
      <c r="AA543" s="1" t="str">
        <f t="shared" ca="1" si="57"/>
        <v>VENCIDO</v>
      </c>
      <c r="AB543" s="1" t="str">
        <f t="shared" si="58"/>
        <v>Dosa</v>
      </c>
      <c r="AC543" s="2" t="str">
        <f t="shared" si="62"/>
        <v xml:space="preserve"> RINALDO </v>
      </c>
      <c r="AD543" s="2">
        <f t="shared" si="59"/>
        <v>5</v>
      </c>
      <c r="AE543" s="2">
        <f t="shared" ca="1" si="60"/>
        <v>-166.9262716435187</v>
      </c>
      <c r="AF543" s="15"/>
    </row>
    <row r="544" spans="1:32" hidden="1">
      <c r="A544" s="1">
        <v>8802445</v>
      </c>
      <c r="B544" s="1" t="s">
        <v>62</v>
      </c>
      <c r="C544" t="s">
        <v>1114</v>
      </c>
      <c r="E544" s="2">
        <v>1761000206001</v>
      </c>
      <c r="F544" s="1" t="s">
        <v>29</v>
      </c>
      <c r="G544" s="1" t="s">
        <v>53</v>
      </c>
      <c r="H544" s="1" t="s">
        <v>375</v>
      </c>
      <c r="I544" s="1" t="s">
        <v>376</v>
      </c>
      <c r="J544" s="1" t="s">
        <v>56</v>
      </c>
      <c r="K544" t="s">
        <v>34</v>
      </c>
      <c r="M544" s="1" t="s">
        <v>35</v>
      </c>
      <c r="N544" s="1">
        <v>42318949</v>
      </c>
      <c r="O544" s="1" t="s">
        <v>105</v>
      </c>
      <c r="P544" s="186">
        <v>44777.525914351849</v>
      </c>
      <c r="R544" s="1" t="s">
        <v>38</v>
      </c>
      <c r="T544" s="1" t="s">
        <v>74</v>
      </c>
      <c r="U544" s="186">
        <v>44819.75</v>
      </c>
      <c r="V544" s="1" t="s">
        <v>41</v>
      </c>
      <c r="W544" s="1" t="s">
        <v>49</v>
      </c>
      <c r="X544" s="13" t="str">
        <f t="shared" si="61"/>
        <v/>
      </c>
      <c r="Y544" s="2">
        <f t="shared" ca="1" si="56"/>
        <v>150</v>
      </c>
      <c r="Z544" s="14">
        <v>1</v>
      </c>
      <c r="AA544" s="1" t="str">
        <f t="shared" ca="1" si="57"/>
        <v>VENCIDO</v>
      </c>
      <c r="AB544" s="1" t="str">
        <f t="shared" si="58"/>
        <v>Dosa</v>
      </c>
      <c r="AC544" s="2" t="str">
        <f t="shared" si="62"/>
        <v xml:space="preserve"> CRISTINA </v>
      </c>
      <c r="AD544" s="2">
        <f t="shared" si="59"/>
        <v>5</v>
      </c>
      <c r="AE544" s="2">
        <f t="shared" ca="1" si="60"/>
        <v>-166.9262716435187</v>
      </c>
      <c r="AF544" s="15"/>
    </row>
    <row r="545" spans="1:32" hidden="1">
      <c r="A545" s="1">
        <v>8802382</v>
      </c>
      <c r="B545" s="1" t="s">
        <v>62</v>
      </c>
      <c r="C545" t="s">
        <v>1114</v>
      </c>
      <c r="E545" s="2">
        <v>1028000206001</v>
      </c>
      <c r="F545" s="1" t="s">
        <v>29</v>
      </c>
      <c r="G545" s="1" t="s">
        <v>53</v>
      </c>
      <c r="H545" s="1" t="s">
        <v>1079</v>
      </c>
      <c r="I545" s="1" t="s">
        <v>1080</v>
      </c>
      <c r="J545" s="1" t="s">
        <v>85</v>
      </c>
      <c r="K545" t="s">
        <v>34</v>
      </c>
      <c r="M545" s="1" t="s">
        <v>35</v>
      </c>
      <c r="N545" s="1">
        <v>42318949</v>
      </c>
      <c r="O545" s="1" t="s">
        <v>105</v>
      </c>
      <c r="P545" s="186">
        <v>44777.525810185187</v>
      </c>
      <c r="R545" s="1" t="s">
        <v>38</v>
      </c>
      <c r="T545" s="1" t="s">
        <v>74</v>
      </c>
      <c r="U545" s="186">
        <v>44819.75</v>
      </c>
      <c r="V545" s="1" t="s">
        <v>41</v>
      </c>
      <c r="W545" s="1" t="s">
        <v>49</v>
      </c>
      <c r="X545" s="13" t="str">
        <f t="shared" si="61"/>
        <v/>
      </c>
      <c r="Y545" s="2">
        <f t="shared" ca="1" si="56"/>
        <v>150</v>
      </c>
      <c r="Z545" s="14">
        <v>1</v>
      </c>
      <c r="AA545" s="1" t="str">
        <f t="shared" ca="1" si="57"/>
        <v>VENCIDO</v>
      </c>
      <c r="AB545" s="1" t="str">
        <f t="shared" si="58"/>
        <v>Dosa</v>
      </c>
      <c r="AC545" s="2" t="str">
        <f t="shared" si="62"/>
        <v xml:space="preserve"> RINALDO </v>
      </c>
      <c r="AD545" s="2">
        <f t="shared" si="59"/>
        <v>5</v>
      </c>
      <c r="AE545" s="2">
        <f t="shared" ca="1" si="60"/>
        <v>-166.9262716435187</v>
      </c>
      <c r="AF545" s="15"/>
    </row>
    <row r="546" spans="1:32" hidden="1">
      <c r="A546" s="1">
        <v>8802376</v>
      </c>
      <c r="B546" s="1" t="s">
        <v>62</v>
      </c>
      <c r="C546" t="s">
        <v>1114</v>
      </c>
      <c r="E546" s="2">
        <v>981000206001</v>
      </c>
      <c r="F546" s="1" t="s">
        <v>29</v>
      </c>
      <c r="G546" s="1" t="s">
        <v>53</v>
      </c>
      <c r="H546" s="1" t="s">
        <v>410</v>
      </c>
      <c r="I546" s="1" t="s">
        <v>411</v>
      </c>
      <c r="J546" s="1" t="s">
        <v>85</v>
      </c>
      <c r="K546" t="s">
        <v>34</v>
      </c>
      <c r="M546" s="1" t="s">
        <v>35</v>
      </c>
      <c r="N546" s="1">
        <v>42318949</v>
      </c>
      <c r="O546" s="1" t="s">
        <v>36</v>
      </c>
      <c r="P546" s="186">
        <v>44777.525810185187</v>
      </c>
      <c r="R546" s="1" t="s">
        <v>38</v>
      </c>
      <c r="T546" s="1" t="s">
        <v>74</v>
      </c>
      <c r="U546" s="186">
        <v>44819.75</v>
      </c>
      <c r="V546" s="1" t="s">
        <v>41</v>
      </c>
      <c r="W546" s="1" t="s">
        <v>49</v>
      </c>
      <c r="X546" s="13" t="str">
        <f t="shared" si="61"/>
        <v/>
      </c>
      <c r="Y546" s="2">
        <f t="shared" ca="1" si="56"/>
        <v>150</v>
      </c>
      <c r="Z546" s="14">
        <v>1</v>
      </c>
      <c r="AA546" s="1" t="str">
        <f t="shared" ca="1" si="57"/>
        <v>VENCIDO</v>
      </c>
      <c r="AB546" s="1" t="str">
        <f t="shared" si="58"/>
        <v>Dosa</v>
      </c>
      <c r="AC546" s="2" t="str">
        <f t="shared" si="62"/>
        <v xml:space="preserve"> RINALDO </v>
      </c>
      <c r="AD546" s="2">
        <f t="shared" si="59"/>
        <v>5</v>
      </c>
      <c r="AE546" s="2">
        <f t="shared" ca="1" si="60"/>
        <v>-166.9262716435187</v>
      </c>
      <c r="AF546" s="15"/>
    </row>
    <row r="547" spans="1:32" hidden="1">
      <c r="A547" s="1">
        <v>8802339</v>
      </c>
      <c r="B547" s="1" t="s">
        <v>62</v>
      </c>
      <c r="C547" t="s">
        <v>1114</v>
      </c>
      <c r="E547" s="2">
        <v>608000206001</v>
      </c>
      <c r="F547" s="1" t="s">
        <v>29</v>
      </c>
      <c r="G547" s="1" t="s">
        <v>53</v>
      </c>
      <c r="H547" s="1" t="s">
        <v>438</v>
      </c>
      <c r="I547" s="1" t="s">
        <v>439</v>
      </c>
      <c r="J547" s="1" t="s">
        <v>148</v>
      </c>
      <c r="K547" t="s">
        <v>34</v>
      </c>
      <c r="M547" s="1" t="s">
        <v>35</v>
      </c>
      <c r="N547" s="1">
        <v>42318949</v>
      </c>
      <c r="O547" s="1" t="s">
        <v>105</v>
      </c>
      <c r="P547" s="186">
        <v>44777.525763888887</v>
      </c>
      <c r="R547" s="1" t="s">
        <v>38</v>
      </c>
      <c r="T547" s="1" t="s">
        <v>74</v>
      </c>
      <c r="U547" s="186">
        <v>44819.75</v>
      </c>
      <c r="V547" s="1" t="s">
        <v>41</v>
      </c>
      <c r="W547" s="1" t="s">
        <v>49</v>
      </c>
      <c r="X547" s="13" t="str">
        <f t="shared" si="61"/>
        <v/>
      </c>
      <c r="Y547" s="2">
        <f t="shared" ca="1" si="56"/>
        <v>150</v>
      </c>
      <c r="Z547" s="14">
        <v>1</v>
      </c>
      <c r="AA547" s="1" t="str">
        <f t="shared" ca="1" si="57"/>
        <v>VENCIDO</v>
      </c>
      <c r="AB547" s="1" t="str">
        <f t="shared" si="58"/>
        <v>Dosa</v>
      </c>
      <c r="AC547" s="2" t="str">
        <f t="shared" si="62"/>
        <v xml:space="preserve"> RINALDO </v>
      </c>
      <c r="AD547" s="2">
        <f t="shared" si="59"/>
        <v>5</v>
      </c>
      <c r="AE547" s="2">
        <f t="shared" ca="1" si="60"/>
        <v>-166.9262716435187</v>
      </c>
      <c r="AF547" s="15"/>
    </row>
    <row r="548" spans="1:32" hidden="1">
      <c r="A548" s="1">
        <v>8802198</v>
      </c>
      <c r="B548" s="1" t="s">
        <v>62</v>
      </c>
      <c r="C548" t="s">
        <v>1114</v>
      </c>
      <c r="E548" s="2">
        <v>721000206001</v>
      </c>
      <c r="F548" s="1" t="s">
        <v>29</v>
      </c>
      <c r="G548" s="1" t="s">
        <v>53</v>
      </c>
      <c r="H548" s="1" t="s">
        <v>422</v>
      </c>
      <c r="I548" s="1" t="s">
        <v>423</v>
      </c>
      <c r="J548" s="1" t="s">
        <v>79</v>
      </c>
      <c r="K548" t="s">
        <v>34</v>
      </c>
      <c r="M548" s="1" t="s">
        <v>35</v>
      </c>
      <c r="N548" s="1">
        <v>42318949</v>
      </c>
      <c r="O548" s="1" t="s">
        <v>36</v>
      </c>
      <c r="P548" s="186">
        <v>44777.525543981479</v>
      </c>
      <c r="R548" s="1" t="s">
        <v>38</v>
      </c>
      <c r="T548" s="1" t="s">
        <v>74</v>
      </c>
      <c r="U548" s="186">
        <v>44819.75</v>
      </c>
      <c r="V548" s="1" t="s">
        <v>41</v>
      </c>
      <c r="W548" s="1" t="s">
        <v>49</v>
      </c>
      <c r="X548" s="13" t="str">
        <f t="shared" si="61"/>
        <v/>
      </c>
      <c r="Y548" s="2">
        <f t="shared" ca="1" si="56"/>
        <v>150</v>
      </c>
      <c r="Z548" s="14">
        <v>1</v>
      </c>
      <c r="AA548" s="1" t="str">
        <f t="shared" ca="1" si="57"/>
        <v>VENCIDO</v>
      </c>
      <c r="AB548" s="1" t="str">
        <f t="shared" si="58"/>
        <v>Dosa</v>
      </c>
      <c r="AC548" s="2" t="str">
        <f t="shared" si="62"/>
        <v xml:space="preserve"> ROSEMERE </v>
      </c>
      <c r="AD548" s="2">
        <f t="shared" si="59"/>
        <v>5</v>
      </c>
      <c r="AE548" s="2">
        <f t="shared" ca="1" si="60"/>
        <v>-166.9262716435187</v>
      </c>
      <c r="AF548" s="15"/>
    </row>
    <row r="549" spans="1:32" hidden="1">
      <c r="A549" s="1">
        <v>8802177</v>
      </c>
      <c r="B549" s="1" t="s">
        <v>62</v>
      </c>
      <c r="C549" t="s">
        <v>1114</v>
      </c>
      <c r="E549" s="2">
        <v>1754000206001</v>
      </c>
      <c r="F549" s="1" t="s">
        <v>29</v>
      </c>
      <c r="G549" s="1" t="s">
        <v>53</v>
      </c>
      <c r="H549" s="1" t="s">
        <v>146</v>
      </c>
      <c r="I549" s="1" t="s">
        <v>147</v>
      </c>
      <c r="J549" s="1" t="s">
        <v>148</v>
      </c>
      <c r="K549" t="s">
        <v>34</v>
      </c>
      <c r="M549" s="1" t="s">
        <v>35</v>
      </c>
      <c r="N549" s="1">
        <v>42318949</v>
      </c>
      <c r="O549" s="1" t="s">
        <v>105</v>
      </c>
      <c r="P549" s="186">
        <v>44777.525509259256</v>
      </c>
      <c r="R549" s="1" t="s">
        <v>38</v>
      </c>
      <c r="T549" s="1" t="s">
        <v>74</v>
      </c>
      <c r="U549" s="186">
        <v>44819.75</v>
      </c>
      <c r="V549" s="1" t="s">
        <v>41</v>
      </c>
      <c r="W549" s="1" t="s">
        <v>49</v>
      </c>
      <c r="X549" s="13" t="str">
        <f t="shared" si="61"/>
        <v/>
      </c>
      <c r="Y549" s="2">
        <f t="shared" ca="1" si="56"/>
        <v>150</v>
      </c>
      <c r="Z549" s="14">
        <v>1</v>
      </c>
      <c r="AA549" s="1" t="str">
        <f t="shared" ca="1" si="57"/>
        <v>VENCIDO</v>
      </c>
      <c r="AB549" s="1" t="str">
        <f t="shared" si="58"/>
        <v>Dosa</v>
      </c>
      <c r="AC549" s="2" t="str">
        <f t="shared" si="62"/>
        <v xml:space="preserve"> RINALDO </v>
      </c>
      <c r="AD549" s="2">
        <f t="shared" si="59"/>
        <v>5</v>
      </c>
      <c r="AE549" s="2">
        <f t="shared" ca="1" si="60"/>
        <v>-166.9262716435187</v>
      </c>
      <c r="AF549" s="15"/>
    </row>
    <row r="550" spans="1:32" hidden="1">
      <c r="A550" s="1">
        <v>8818302</v>
      </c>
      <c r="B550" s="1" t="s">
        <v>101</v>
      </c>
      <c r="C550" t="s">
        <v>1125</v>
      </c>
      <c r="E550" s="2">
        <v>4637000206001</v>
      </c>
      <c r="F550" s="1" t="s">
        <v>29</v>
      </c>
      <c r="G550" s="1" t="s">
        <v>53</v>
      </c>
      <c r="H550" s="1" t="s">
        <v>848</v>
      </c>
      <c r="I550" s="1" t="s">
        <v>849</v>
      </c>
      <c r="J550" s="1" t="s">
        <v>79</v>
      </c>
      <c r="K550" t="s">
        <v>34</v>
      </c>
      <c r="M550" s="1" t="s">
        <v>35</v>
      </c>
      <c r="N550" s="1">
        <v>42318949</v>
      </c>
      <c r="O550" s="1" t="s">
        <v>105</v>
      </c>
      <c r="P550" s="186">
        <v>44781.75980324074</v>
      </c>
      <c r="R550" s="1" t="s">
        <v>38</v>
      </c>
      <c r="T550" s="1" t="s">
        <v>74</v>
      </c>
      <c r="U550" s="186">
        <v>44782.75</v>
      </c>
      <c r="V550" s="1" t="s">
        <v>41</v>
      </c>
      <c r="W550" s="1" t="s">
        <v>49</v>
      </c>
      <c r="X550" s="13" t="str">
        <f t="shared" si="61"/>
        <v/>
      </c>
      <c r="Y550" s="2">
        <f t="shared" ca="1" si="56"/>
        <v>148</v>
      </c>
      <c r="Z550" s="14">
        <v>1</v>
      </c>
      <c r="AA550" s="1" t="str">
        <f t="shared" ca="1" si="57"/>
        <v>VENCIDO</v>
      </c>
      <c r="AB550" s="1" t="str">
        <f t="shared" si="58"/>
        <v>Dosa</v>
      </c>
      <c r="AC550" s="2" t="str">
        <f t="shared" si="62"/>
        <v xml:space="preserve"> ROSEMERE </v>
      </c>
      <c r="AD550" s="2">
        <f t="shared" si="59"/>
        <v>5</v>
      </c>
      <c r="AE550" s="2">
        <f t="shared" ca="1" si="60"/>
        <v>-203.9262716435187</v>
      </c>
      <c r="AF550" s="15"/>
    </row>
    <row r="551" spans="1:32" hidden="1">
      <c r="A551" s="1">
        <v>8816066</v>
      </c>
      <c r="B551" s="1" t="s">
        <v>101</v>
      </c>
      <c r="C551" t="s">
        <v>1125</v>
      </c>
      <c r="E551" s="2">
        <v>1732000206001</v>
      </c>
      <c r="F551" s="1" t="s">
        <v>29</v>
      </c>
      <c r="G551" s="1" t="s">
        <v>53</v>
      </c>
      <c r="H551" s="1" t="s">
        <v>177</v>
      </c>
      <c r="I551" s="1" t="s">
        <v>178</v>
      </c>
      <c r="J551" s="1" t="s">
        <v>164</v>
      </c>
      <c r="K551" t="s">
        <v>34</v>
      </c>
      <c r="M551" s="1" t="s">
        <v>35</v>
      </c>
      <c r="N551" s="1">
        <v>42318949</v>
      </c>
      <c r="O551" s="1" t="s">
        <v>105</v>
      </c>
      <c r="P551" s="186">
        <v>44781.756666666668</v>
      </c>
      <c r="R551" s="1" t="s">
        <v>38</v>
      </c>
      <c r="T551" s="1" t="s">
        <v>74</v>
      </c>
      <c r="U551" s="186">
        <v>44782.75</v>
      </c>
      <c r="V551" s="1" t="s">
        <v>41</v>
      </c>
      <c r="W551" s="1" t="s">
        <v>49</v>
      </c>
      <c r="X551" s="13" t="str">
        <f t="shared" si="61"/>
        <v/>
      </c>
      <c r="Y551" s="2">
        <f t="shared" ca="1" si="56"/>
        <v>148</v>
      </c>
      <c r="Z551" s="14">
        <v>1</v>
      </c>
      <c r="AA551" s="1" t="str">
        <f t="shared" ca="1" si="57"/>
        <v>VENCIDO</v>
      </c>
      <c r="AB551" s="1" t="str">
        <f t="shared" si="58"/>
        <v>Dosa</v>
      </c>
      <c r="AC551" s="2" t="str">
        <f t="shared" si="62"/>
        <v xml:space="preserve"> ROSEMERE </v>
      </c>
      <c r="AD551" s="2">
        <f t="shared" si="59"/>
        <v>5</v>
      </c>
      <c r="AE551" s="2">
        <f t="shared" ca="1" si="60"/>
        <v>-203.9262716435187</v>
      </c>
      <c r="AF551" s="15"/>
    </row>
    <row r="552" spans="1:32" hidden="1">
      <c r="A552" s="1">
        <v>8815493</v>
      </c>
      <c r="B552" s="1" t="s">
        <v>101</v>
      </c>
      <c r="C552" t="s">
        <v>1125</v>
      </c>
      <c r="E552" s="2">
        <v>1120000206001</v>
      </c>
      <c r="F552" s="1" t="s">
        <v>29</v>
      </c>
      <c r="G552" s="1" t="s">
        <v>53</v>
      </c>
      <c r="H552" s="1" t="s">
        <v>181</v>
      </c>
      <c r="I552" s="1" t="s">
        <v>182</v>
      </c>
      <c r="J552" s="1" t="s">
        <v>164</v>
      </c>
      <c r="K552" t="s">
        <v>34</v>
      </c>
      <c r="M552" s="1" t="s">
        <v>35</v>
      </c>
      <c r="N552" s="1">
        <v>42318949</v>
      </c>
      <c r="O552" s="1" t="s">
        <v>36</v>
      </c>
      <c r="P552" s="186">
        <v>44781.755798611113</v>
      </c>
      <c r="R552" s="1" t="s">
        <v>38</v>
      </c>
      <c r="T552" s="1" t="s">
        <v>74</v>
      </c>
      <c r="U552" s="186">
        <v>44782.75</v>
      </c>
      <c r="V552" s="1" t="s">
        <v>41</v>
      </c>
      <c r="W552" s="1" t="s">
        <v>49</v>
      </c>
      <c r="X552" s="13" t="str">
        <f t="shared" si="61"/>
        <v/>
      </c>
      <c r="Y552" s="2">
        <f t="shared" ca="1" si="56"/>
        <v>148</v>
      </c>
      <c r="Z552" s="14">
        <v>1</v>
      </c>
      <c r="AA552" s="1" t="str">
        <f t="shared" ca="1" si="57"/>
        <v>VENCIDO</v>
      </c>
      <c r="AB552" s="1" t="str">
        <f t="shared" si="58"/>
        <v>Dosa</v>
      </c>
      <c r="AC552" s="2" t="str">
        <f t="shared" si="62"/>
        <v xml:space="preserve"> ROSEMERE </v>
      </c>
      <c r="AD552" s="2">
        <f t="shared" si="59"/>
        <v>5</v>
      </c>
      <c r="AE552" s="2">
        <f t="shared" ca="1" si="60"/>
        <v>-203.9262716435187</v>
      </c>
      <c r="AF552" s="15"/>
    </row>
    <row r="553" spans="1:32" hidden="1">
      <c r="A553" s="1">
        <v>8815426</v>
      </c>
      <c r="B553" s="1" t="s">
        <v>101</v>
      </c>
      <c r="C553" t="s">
        <v>1125</v>
      </c>
      <c r="E553" s="2">
        <v>1049000206001</v>
      </c>
      <c r="F553" s="1" t="s">
        <v>29</v>
      </c>
      <c r="G553" s="1" t="s">
        <v>53</v>
      </c>
      <c r="H553" s="1" t="s">
        <v>169</v>
      </c>
      <c r="I553" s="1" t="s">
        <v>170</v>
      </c>
      <c r="J553" s="1" t="s">
        <v>164</v>
      </c>
      <c r="K553" t="s">
        <v>34</v>
      </c>
      <c r="M553" s="1" t="s">
        <v>35</v>
      </c>
      <c r="N553" s="1">
        <v>42318949</v>
      </c>
      <c r="O553" s="1" t="s">
        <v>105</v>
      </c>
      <c r="P553" s="186">
        <v>44781.755694444444</v>
      </c>
      <c r="R553" s="1" t="s">
        <v>38</v>
      </c>
      <c r="T553" s="1" t="s">
        <v>74</v>
      </c>
      <c r="U553" s="186">
        <v>44782.75</v>
      </c>
      <c r="V553" s="1" t="s">
        <v>41</v>
      </c>
      <c r="W553" s="1" t="s">
        <v>49</v>
      </c>
      <c r="X553" s="13" t="str">
        <f t="shared" si="61"/>
        <v/>
      </c>
      <c r="Y553" s="2">
        <f t="shared" ca="1" si="56"/>
        <v>148</v>
      </c>
      <c r="Z553" s="14">
        <v>1</v>
      </c>
      <c r="AA553" s="1" t="str">
        <f t="shared" ca="1" si="57"/>
        <v>VENCIDO</v>
      </c>
      <c r="AB553" s="1" t="str">
        <f t="shared" si="58"/>
        <v>Dosa</v>
      </c>
      <c r="AC553" s="2" t="str">
        <f t="shared" si="62"/>
        <v xml:space="preserve"> ROSEMERE </v>
      </c>
      <c r="AD553" s="2">
        <f t="shared" si="59"/>
        <v>5</v>
      </c>
      <c r="AE553" s="2">
        <f t="shared" ca="1" si="60"/>
        <v>-203.9262716435187</v>
      </c>
      <c r="AF553" s="15"/>
    </row>
    <row r="554" spans="1:32" hidden="1">
      <c r="A554" s="1">
        <v>8815270</v>
      </c>
      <c r="B554" s="1" t="s">
        <v>101</v>
      </c>
      <c r="C554" t="s">
        <v>1125</v>
      </c>
      <c r="E554" s="2">
        <v>899000206001</v>
      </c>
      <c r="F554" s="1" t="s">
        <v>29</v>
      </c>
      <c r="G554" s="1" t="s">
        <v>53</v>
      </c>
      <c r="H554" s="1" t="s">
        <v>175</v>
      </c>
      <c r="I554" s="1" t="s">
        <v>176</v>
      </c>
      <c r="J554" s="1" t="s">
        <v>90</v>
      </c>
      <c r="K554" t="s">
        <v>34</v>
      </c>
      <c r="M554" s="1" t="s">
        <v>35</v>
      </c>
      <c r="N554" s="1">
        <v>42318949</v>
      </c>
      <c r="O554" s="1" t="s">
        <v>36</v>
      </c>
      <c r="P554" s="186">
        <v>44781.75545138889</v>
      </c>
      <c r="R554" s="1" t="s">
        <v>38</v>
      </c>
      <c r="T554" s="1" t="s">
        <v>74</v>
      </c>
      <c r="U554" s="186">
        <v>44782.75</v>
      </c>
      <c r="V554" s="1" t="s">
        <v>41</v>
      </c>
      <c r="W554" s="1" t="s">
        <v>49</v>
      </c>
      <c r="X554" s="13" t="str">
        <f t="shared" si="61"/>
        <v/>
      </c>
      <c r="Y554" s="2">
        <f t="shared" ca="1" si="56"/>
        <v>148</v>
      </c>
      <c r="Z554" s="14">
        <v>1</v>
      </c>
      <c r="AA554" s="1" t="str">
        <f t="shared" ca="1" si="57"/>
        <v>VENCIDO</v>
      </c>
      <c r="AB554" s="1" t="str">
        <f t="shared" si="58"/>
        <v>Dosa</v>
      </c>
      <c r="AC554" s="2" t="str">
        <f t="shared" si="62"/>
        <v xml:space="preserve"> RINALDO </v>
      </c>
      <c r="AD554" s="2">
        <f t="shared" si="59"/>
        <v>5</v>
      </c>
      <c r="AE554" s="2">
        <f t="shared" ca="1" si="60"/>
        <v>-203.9262716435187</v>
      </c>
      <c r="AF554" s="15"/>
    </row>
    <row r="555" spans="1:32" hidden="1">
      <c r="A555" s="1">
        <v>8814941</v>
      </c>
      <c r="B555" s="1" t="s">
        <v>101</v>
      </c>
      <c r="C555" t="s">
        <v>1125</v>
      </c>
      <c r="E555" s="2">
        <v>594000206001</v>
      </c>
      <c r="F555" s="1" t="s">
        <v>29</v>
      </c>
      <c r="G555" s="1" t="s">
        <v>53</v>
      </c>
      <c r="H555" s="1" t="s">
        <v>444</v>
      </c>
      <c r="I555" s="1" t="s">
        <v>445</v>
      </c>
      <c r="J555" s="1" t="s">
        <v>33</v>
      </c>
      <c r="K555" t="s">
        <v>34</v>
      </c>
      <c r="M555" s="1" t="s">
        <v>35</v>
      </c>
      <c r="N555" s="1">
        <v>42318949</v>
      </c>
      <c r="O555" s="1" t="s">
        <v>36</v>
      </c>
      <c r="P555" s="186">
        <v>44781.754965277774</v>
      </c>
      <c r="R555" s="1" t="s">
        <v>38</v>
      </c>
      <c r="T555" s="1" t="s">
        <v>74</v>
      </c>
      <c r="U555" s="186">
        <v>44782.75</v>
      </c>
      <c r="V555" s="1" t="s">
        <v>41</v>
      </c>
      <c r="W555" s="1" t="s">
        <v>42</v>
      </c>
      <c r="X555" s="13" t="str">
        <f t="shared" si="61"/>
        <v/>
      </c>
      <c r="Y555" s="2">
        <f t="shared" ca="1" si="56"/>
        <v>148</v>
      </c>
      <c r="Z555" s="14">
        <v>1</v>
      </c>
      <c r="AA555" s="1" t="str">
        <f t="shared" ca="1" si="57"/>
        <v>VENCIDO</v>
      </c>
      <c r="AB555" s="1" t="str">
        <f t="shared" si="58"/>
        <v>Dosa</v>
      </c>
      <c r="AC555" s="2" t="str">
        <f t="shared" si="62"/>
        <v xml:space="preserve"> ROSEMERE </v>
      </c>
      <c r="AD555" s="2">
        <f t="shared" si="59"/>
        <v>5</v>
      </c>
      <c r="AE555" s="2">
        <f t="shared" ca="1" si="60"/>
        <v>-203.9262716435187</v>
      </c>
      <c r="AF555" s="15"/>
    </row>
    <row r="556" spans="1:32" hidden="1">
      <c r="A556" s="1">
        <v>8814916</v>
      </c>
      <c r="B556" s="1" t="s">
        <v>101</v>
      </c>
      <c r="C556" t="s">
        <v>1125</v>
      </c>
      <c r="E556" s="2">
        <v>570000206001</v>
      </c>
      <c r="F556" s="1" t="s">
        <v>29</v>
      </c>
      <c r="G556" s="1" t="s">
        <v>53</v>
      </c>
      <c r="H556" s="1" t="s">
        <v>434</v>
      </c>
      <c r="I556" s="1" t="s">
        <v>435</v>
      </c>
      <c r="J556" s="1" t="s">
        <v>148</v>
      </c>
      <c r="K556" t="s">
        <v>34</v>
      </c>
      <c r="M556" s="1" t="s">
        <v>35</v>
      </c>
      <c r="N556" s="1">
        <v>42318949</v>
      </c>
      <c r="O556" s="1" t="s">
        <v>36</v>
      </c>
      <c r="P556" s="186">
        <v>44781.754930555559</v>
      </c>
      <c r="R556" s="1" t="s">
        <v>38</v>
      </c>
      <c r="T556" s="1" t="s">
        <v>74</v>
      </c>
      <c r="U556" s="186">
        <v>44782.75</v>
      </c>
      <c r="V556" s="1" t="s">
        <v>41</v>
      </c>
      <c r="W556" s="1" t="s">
        <v>49</v>
      </c>
      <c r="X556" s="13" t="str">
        <f t="shared" si="61"/>
        <v/>
      </c>
      <c r="Y556" s="2">
        <f t="shared" ca="1" si="56"/>
        <v>148</v>
      </c>
      <c r="Z556" s="14">
        <v>1</v>
      </c>
      <c r="AA556" s="1" t="str">
        <f t="shared" ca="1" si="57"/>
        <v>VENCIDO</v>
      </c>
      <c r="AB556" s="1" t="str">
        <f t="shared" si="58"/>
        <v>Dosa</v>
      </c>
      <c r="AC556" s="2" t="str">
        <f t="shared" si="62"/>
        <v xml:space="preserve"> RINALDO </v>
      </c>
      <c r="AD556" s="2">
        <f t="shared" si="59"/>
        <v>5</v>
      </c>
      <c r="AE556" s="2">
        <f t="shared" ca="1" si="60"/>
        <v>-203.9262716435187</v>
      </c>
      <c r="AF556" s="15"/>
    </row>
    <row r="557" spans="1:32" hidden="1">
      <c r="A557" s="1">
        <v>8814895</v>
      </c>
      <c r="B557" s="1" t="s">
        <v>101</v>
      </c>
      <c r="C557" t="s">
        <v>1125</v>
      </c>
      <c r="E557" s="2">
        <v>550000206001</v>
      </c>
      <c r="F557" s="1" t="s">
        <v>29</v>
      </c>
      <c r="G557" s="1" t="s">
        <v>53</v>
      </c>
      <c r="H557" s="1" t="s">
        <v>337</v>
      </c>
      <c r="I557" s="1" t="s">
        <v>338</v>
      </c>
      <c r="J557" s="1" t="s">
        <v>164</v>
      </c>
      <c r="K557" t="s">
        <v>34</v>
      </c>
      <c r="M557" s="1" t="s">
        <v>35</v>
      </c>
      <c r="N557" s="1">
        <v>42318949</v>
      </c>
      <c r="O557" s="1" t="s">
        <v>105</v>
      </c>
      <c r="P557" s="186">
        <v>44781.754895833335</v>
      </c>
      <c r="R557" s="1" t="s">
        <v>38</v>
      </c>
      <c r="T557" s="1" t="s">
        <v>74</v>
      </c>
      <c r="U557" s="186">
        <v>44782.75</v>
      </c>
      <c r="V557" s="1" t="s">
        <v>41</v>
      </c>
      <c r="W557" s="1" t="s">
        <v>49</v>
      </c>
      <c r="X557" s="13" t="str">
        <f t="shared" si="61"/>
        <v/>
      </c>
      <c r="Y557" s="2">
        <f t="shared" ca="1" si="56"/>
        <v>148</v>
      </c>
      <c r="Z557" s="14">
        <v>1</v>
      </c>
      <c r="AA557" s="1" t="str">
        <f t="shared" ca="1" si="57"/>
        <v>VENCIDO</v>
      </c>
      <c r="AB557" s="1" t="str">
        <f t="shared" si="58"/>
        <v>Dosa</v>
      </c>
      <c r="AC557" s="2" t="str">
        <f t="shared" si="62"/>
        <v xml:space="preserve"> ROSEMERE </v>
      </c>
      <c r="AD557" s="2">
        <f t="shared" si="59"/>
        <v>5</v>
      </c>
      <c r="AE557" s="2">
        <f t="shared" ca="1" si="60"/>
        <v>-203.9262716435187</v>
      </c>
      <c r="AF557" s="15"/>
    </row>
    <row r="558" spans="1:32" hidden="1">
      <c r="A558" s="1">
        <v>8812542</v>
      </c>
      <c r="B558" s="1" t="s">
        <v>101</v>
      </c>
      <c r="C558" t="s">
        <v>1134</v>
      </c>
      <c r="E558" s="2">
        <v>9704000206001</v>
      </c>
      <c r="F558" s="1" t="s">
        <v>29</v>
      </c>
      <c r="G558" s="1" t="s">
        <v>53</v>
      </c>
      <c r="H558" s="1" t="s">
        <v>488</v>
      </c>
      <c r="I558" s="1" t="s">
        <v>489</v>
      </c>
      <c r="J558" s="1" t="s">
        <v>164</v>
      </c>
      <c r="K558" t="s">
        <v>34</v>
      </c>
      <c r="M558" s="1" t="s">
        <v>35</v>
      </c>
      <c r="N558" s="1">
        <v>42318949</v>
      </c>
      <c r="O558" s="1" t="s">
        <v>105</v>
      </c>
      <c r="P558" s="186">
        <v>44781.506111111114</v>
      </c>
      <c r="R558" s="1" t="s">
        <v>38</v>
      </c>
      <c r="T558" s="1" t="s">
        <v>74</v>
      </c>
      <c r="U558" s="186">
        <v>44781.75</v>
      </c>
      <c r="V558" s="1" t="s">
        <v>41</v>
      </c>
      <c r="W558" s="1" t="s">
        <v>49</v>
      </c>
      <c r="X558" s="13" t="str">
        <f t="shared" si="61"/>
        <v/>
      </c>
      <c r="Y558" s="2">
        <f t="shared" ca="1" si="56"/>
        <v>148</v>
      </c>
      <c r="Z558" s="14">
        <v>1</v>
      </c>
      <c r="AA558" s="1" t="str">
        <f t="shared" ca="1" si="57"/>
        <v>VENCIDO</v>
      </c>
      <c r="AB558" s="1" t="str">
        <f t="shared" si="58"/>
        <v>Dosa</v>
      </c>
      <c r="AC558" s="2" t="str">
        <f t="shared" si="62"/>
        <v xml:space="preserve"> ROSEMERE </v>
      </c>
      <c r="AD558" s="2">
        <f t="shared" si="59"/>
        <v>5</v>
      </c>
      <c r="AE558" s="2">
        <f t="shared" ca="1" si="60"/>
        <v>-204.9262716435187</v>
      </c>
      <c r="AF558" s="15"/>
    </row>
    <row r="559" spans="1:32" hidden="1">
      <c r="A559" s="1">
        <v>8812541</v>
      </c>
      <c r="B559" s="1" t="s">
        <v>101</v>
      </c>
      <c r="C559" t="s">
        <v>1134</v>
      </c>
      <c r="E559" s="2">
        <v>9704000206001</v>
      </c>
      <c r="F559" s="1" t="s">
        <v>29</v>
      </c>
      <c r="G559" s="1" t="s">
        <v>53</v>
      </c>
      <c r="H559" s="1" t="s">
        <v>488</v>
      </c>
      <c r="I559" s="1" t="s">
        <v>489</v>
      </c>
      <c r="J559" s="1" t="s">
        <v>164</v>
      </c>
      <c r="K559" t="s">
        <v>34</v>
      </c>
      <c r="M559" s="1" t="s">
        <v>35</v>
      </c>
      <c r="N559" s="1">
        <v>42318949</v>
      </c>
      <c r="O559" s="1" t="s">
        <v>105</v>
      </c>
      <c r="P559" s="186">
        <v>44781.506111111114</v>
      </c>
      <c r="R559" s="1" t="s">
        <v>38</v>
      </c>
      <c r="T559" s="1" t="s">
        <v>74</v>
      </c>
      <c r="U559" s="186">
        <v>44781.75</v>
      </c>
      <c r="V559" s="1" t="s">
        <v>41</v>
      </c>
      <c r="W559" s="1" t="s">
        <v>49</v>
      </c>
      <c r="X559" s="13" t="str">
        <f t="shared" si="61"/>
        <v/>
      </c>
      <c r="Y559" s="2">
        <f t="shared" ca="1" si="56"/>
        <v>148</v>
      </c>
      <c r="Z559" s="14">
        <v>1</v>
      </c>
      <c r="AA559" s="1" t="str">
        <f t="shared" ca="1" si="57"/>
        <v>VENCIDO</v>
      </c>
      <c r="AB559" s="1" t="str">
        <f t="shared" si="58"/>
        <v>Dosa</v>
      </c>
      <c r="AC559" s="2" t="str">
        <f t="shared" si="62"/>
        <v xml:space="preserve"> ROSEMERE </v>
      </c>
      <c r="AD559" s="2">
        <f t="shared" si="59"/>
        <v>5</v>
      </c>
      <c r="AE559" s="2">
        <f t="shared" ca="1" si="60"/>
        <v>-204.9262716435187</v>
      </c>
      <c r="AF559" s="15"/>
    </row>
    <row r="560" spans="1:32" hidden="1">
      <c r="A560" s="1">
        <v>8812540</v>
      </c>
      <c r="B560" s="1" t="s">
        <v>101</v>
      </c>
      <c r="C560" t="s">
        <v>1134</v>
      </c>
      <c r="E560" s="2">
        <v>9704000206001</v>
      </c>
      <c r="F560" s="1" t="s">
        <v>29</v>
      </c>
      <c r="G560" s="1" t="s">
        <v>53</v>
      </c>
      <c r="H560" s="1" t="s">
        <v>488</v>
      </c>
      <c r="I560" s="1" t="s">
        <v>489</v>
      </c>
      <c r="J560" s="1" t="s">
        <v>164</v>
      </c>
      <c r="K560" t="s">
        <v>34</v>
      </c>
      <c r="M560" s="1" t="s">
        <v>35</v>
      </c>
      <c r="N560" s="1">
        <v>42318949</v>
      </c>
      <c r="O560" s="1" t="s">
        <v>105</v>
      </c>
      <c r="P560" s="186">
        <v>44781.506111111114</v>
      </c>
      <c r="R560" s="1" t="s">
        <v>38</v>
      </c>
      <c r="T560" s="1" t="s">
        <v>74</v>
      </c>
      <c r="U560" s="186">
        <v>44781.75</v>
      </c>
      <c r="V560" s="1" t="s">
        <v>41</v>
      </c>
      <c r="W560" s="1" t="s">
        <v>49</v>
      </c>
      <c r="X560" s="13" t="str">
        <f t="shared" si="61"/>
        <v/>
      </c>
      <c r="Y560" s="2">
        <f t="shared" ca="1" si="56"/>
        <v>148</v>
      </c>
      <c r="Z560" s="14">
        <v>1</v>
      </c>
      <c r="AA560" s="1" t="str">
        <f t="shared" ca="1" si="57"/>
        <v>VENCIDO</v>
      </c>
      <c r="AB560" s="1" t="str">
        <f t="shared" si="58"/>
        <v>Dosa</v>
      </c>
      <c r="AC560" s="2" t="str">
        <f t="shared" si="62"/>
        <v xml:space="preserve"> ROSEMERE </v>
      </c>
      <c r="AD560" s="2">
        <f t="shared" si="59"/>
        <v>5</v>
      </c>
      <c r="AE560" s="2">
        <f t="shared" ca="1" si="60"/>
        <v>-204.9262716435187</v>
      </c>
      <c r="AF560" s="15"/>
    </row>
    <row r="561" spans="1:32" hidden="1">
      <c r="A561" s="1">
        <v>8812539</v>
      </c>
      <c r="B561" s="1" t="s">
        <v>101</v>
      </c>
      <c r="C561" t="s">
        <v>1134</v>
      </c>
      <c r="E561" s="2">
        <v>9704000206001</v>
      </c>
      <c r="F561" s="1" t="s">
        <v>29</v>
      </c>
      <c r="G561" s="1" t="s">
        <v>53</v>
      </c>
      <c r="H561" s="1" t="s">
        <v>488</v>
      </c>
      <c r="I561" s="1" t="s">
        <v>489</v>
      </c>
      <c r="J561" s="1" t="s">
        <v>164</v>
      </c>
      <c r="K561" t="s">
        <v>34</v>
      </c>
      <c r="M561" s="1" t="s">
        <v>35</v>
      </c>
      <c r="N561" s="1">
        <v>42318949</v>
      </c>
      <c r="O561" s="1" t="s">
        <v>105</v>
      </c>
      <c r="P561" s="186">
        <v>44781.506111111114</v>
      </c>
      <c r="R561" s="1" t="s">
        <v>38</v>
      </c>
      <c r="T561" s="1" t="s">
        <v>74</v>
      </c>
      <c r="U561" s="186">
        <v>44781.75</v>
      </c>
      <c r="V561" s="1" t="s">
        <v>41</v>
      </c>
      <c r="W561" s="1" t="s">
        <v>49</v>
      </c>
      <c r="X561" s="13" t="str">
        <f t="shared" si="61"/>
        <v/>
      </c>
      <c r="Y561" s="2">
        <f t="shared" ca="1" si="56"/>
        <v>148</v>
      </c>
      <c r="Z561" s="14">
        <v>1</v>
      </c>
      <c r="AA561" s="1" t="str">
        <f t="shared" ca="1" si="57"/>
        <v>VENCIDO</v>
      </c>
      <c r="AB561" s="1" t="str">
        <f t="shared" si="58"/>
        <v>Dosa</v>
      </c>
      <c r="AC561" s="2" t="str">
        <f t="shared" si="62"/>
        <v xml:space="preserve"> ROSEMERE </v>
      </c>
      <c r="AD561" s="2">
        <f t="shared" si="59"/>
        <v>5</v>
      </c>
      <c r="AE561" s="2">
        <f t="shared" ca="1" si="60"/>
        <v>-204.9262716435187</v>
      </c>
      <c r="AF561" s="15"/>
    </row>
    <row r="562" spans="1:32" hidden="1">
      <c r="A562" s="1">
        <v>8812535</v>
      </c>
      <c r="B562" s="1" t="s">
        <v>101</v>
      </c>
      <c r="C562" t="s">
        <v>1134</v>
      </c>
      <c r="E562" s="2">
        <v>9700000206001</v>
      </c>
      <c r="F562" s="1" t="s">
        <v>29</v>
      </c>
      <c r="G562" s="1" t="s">
        <v>53</v>
      </c>
      <c r="H562" s="1" t="s">
        <v>209</v>
      </c>
      <c r="I562" s="1" t="s">
        <v>210</v>
      </c>
      <c r="J562" s="1" t="s">
        <v>211</v>
      </c>
      <c r="K562" t="s">
        <v>34</v>
      </c>
      <c r="M562" s="1" t="s">
        <v>35</v>
      </c>
      <c r="N562" s="1">
        <v>42318949</v>
      </c>
      <c r="O562" s="1" t="s">
        <v>105</v>
      </c>
      <c r="P562" s="186">
        <v>44781.506099537037</v>
      </c>
      <c r="R562" s="1" t="s">
        <v>38</v>
      </c>
      <c r="T562" s="1" t="s">
        <v>74</v>
      </c>
      <c r="U562" s="186">
        <v>44781.75</v>
      </c>
      <c r="V562" s="1" t="s">
        <v>41</v>
      </c>
      <c r="W562" s="1" t="s">
        <v>49</v>
      </c>
      <c r="X562" s="13" t="str">
        <f t="shared" si="61"/>
        <v/>
      </c>
      <c r="Y562" s="2">
        <f t="shared" ca="1" si="56"/>
        <v>148</v>
      </c>
      <c r="Z562" s="14">
        <v>1</v>
      </c>
      <c r="AA562" s="1" t="str">
        <f t="shared" ca="1" si="57"/>
        <v>VENCIDO</v>
      </c>
      <c r="AB562" s="1" t="str">
        <f t="shared" si="58"/>
        <v>Dosa</v>
      </c>
      <c r="AC562" s="2" t="str">
        <f t="shared" si="62"/>
        <v xml:space="preserve"> RINALDO </v>
      </c>
      <c r="AD562" s="2">
        <f t="shared" si="59"/>
        <v>5</v>
      </c>
      <c r="AE562" s="2">
        <f t="shared" ca="1" si="60"/>
        <v>-204.9262716435187</v>
      </c>
      <c r="AF562" s="15"/>
    </row>
    <row r="563" spans="1:32" hidden="1">
      <c r="A563" s="1">
        <v>8812533</v>
      </c>
      <c r="B563" s="1" t="s">
        <v>101</v>
      </c>
      <c r="C563" t="s">
        <v>1134</v>
      </c>
      <c r="E563" s="2">
        <v>9700000206001</v>
      </c>
      <c r="F563" s="1" t="s">
        <v>29</v>
      </c>
      <c r="G563" s="1" t="s">
        <v>53</v>
      </c>
      <c r="H563" s="1" t="s">
        <v>209</v>
      </c>
      <c r="I563" s="1" t="s">
        <v>210</v>
      </c>
      <c r="J563" s="1" t="s">
        <v>211</v>
      </c>
      <c r="K563" t="s">
        <v>34</v>
      </c>
      <c r="M563" s="1" t="s">
        <v>35</v>
      </c>
      <c r="N563" s="1">
        <v>42318949</v>
      </c>
      <c r="O563" s="1" t="s">
        <v>105</v>
      </c>
      <c r="P563" s="186">
        <v>44781.506099537037</v>
      </c>
      <c r="R563" s="1" t="s">
        <v>38</v>
      </c>
      <c r="T563" s="1" t="s">
        <v>74</v>
      </c>
      <c r="U563" s="186">
        <v>44781.75</v>
      </c>
      <c r="V563" s="1" t="s">
        <v>41</v>
      </c>
      <c r="W563" s="1" t="s">
        <v>49</v>
      </c>
      <c r="X563" s="13" t="str">
        <f t="shared" si="61"/>
        <v/>
      </c>
      <c r="Y563" s="2">
        <f t="shared" ca="1" si="56"/>
        <v>148</v>
      </c>
      <c r="Z563" s="14">
        <v>1</v>
      </c>
      <c r="AA563" s="1" t="str">
        <f t="shared" ca="1" si="57"/>
        <v>VENCIDO</v>
      </c>
      <c r="AB563" s="1" t="str">
        <f t="shared" si="58"/>
        <v>Dosa</v>
      </c>
      <c r="AC563" s="2" t="str">
        <f t="shared" si="62"/>
        <v xml:space="preserve"> RINALDO </v>
      </c>
      <c r="AD563" s="2">
        <f t="shared" si="59"/>
        <v>5</v>
      </c>
      <c r="AE563" s="2">
        <f t="shared" ca="1" si="60"/>
        <v>-204.9262716435187</v>
      </c>
      <c r="AF563" s="15"/>
    </row>
    <row r="564" spans="1:32" hidden="1">
      <c r="A564" s="1">
        <v>8812532</v>
      </c>
      <c r="B564" s="1" t="s">
        <v>101</v>
      </c>
      <c r="C564" t="s">
        <v>1134</v>
      </c>
      <c r="E564" s="2">
        <v>9700000206001</v>
      </c>
      <c r="F564" s="1" t="s">
        <v>29</v>
      </c>
      <c r="G564" s="1" t="s">
        <v>53</v>
      </c>
      <c r="H564" s="1" t="s">
        <v>209</v>
      </c>
      <c r="I564" s="1" t="s">
        <v>210</v>
      </c>
      <c r="J564" s="1" t="s">
        <v>211</v>
      </c>
      <c r="K564" t="s">
        <v>34</v>
      </c>
      <c r="M564" s="1" t="s">
        <v>35</v>
      </c>
      <c r="N564" s="1">
        <v>42318949</v>
      </c>
      <c r="O564" s="1" t="s">
        <v>105</v>
      </c>
      <c r="P564" s="186">
        <v>44781.506099537037</v>
      </c>
      <c r="R564" s="1" t="s">
        <v>38</v>
      </c>
      <c r="T564" s="1" t="s">
        <v>74</v>
      </c>
      <c r="U564" s="186">
        <v>44781.75</v>
      </c>
      <c r="V564" s="1" t="s">
        <v>41</v>
      </c>
      <c r="W564" s="1" t="s">
        <v>49</v>
      </c>
      <c r="X564" s="13" t="str">
        <f t="shared" si="61"/>
        <v/>
      </c>
      <c r="Y564" s="2">
        <f t="shared" ca="1" si="56"/>
        <v>148</v>
      </c>
      <c r="Z564" s="14">
        <v>1</v>
      </c>
      <c r="AA564" s="1" t="str">
        <f t="shared" ca="1" si="57"/>
        <v>VENCIDO</v>
      </c>
      <c r="AB564" s="1" t="str">
        <f t="shared" si="58"/>
        <v>Dosa</v>
      </c>
      <c r="AC564" s="2" t="str">
        <f t="shared" si="62"/>
        <v xml:space="preserve"> RINALDO </v>
      </c>
      <c r="AD564" s="2">
        <f t="shared" si="59"/>
        <v>5</v>
      </c>
      <c r="AE564" s="2">
        <f t="shared" ca="1" si="60"/>
        <v>-204.9262716435187</v>
      </c>
      <c r="AF564" s="15"/>
    </row>
    <row r="565" spans="1:32" hidden="1">
      <c r="A565" s="1">
        <v>8811822</v>
      </c>
      <c r="B565" s="1" t="s">
        <v>101</v>
      </c>
      <c r="C565" t="s">
        <v>1134</v>
      </c>
      <c r="E565" s="2">
        <v>4637000206001</v>
      </c>
      <c r="F565" s="1" t="s">
        <v>29</v>
      </c>
      <c r="G565" s="1" t="s">
        <v>53</v>
      </c>
      <c r="H565" s="1" t="s">
        <v>848</v>
      </c>
      <c r="I565" s="1" t="s">
        <v>849</v>
      </c>
      <c r="J565" s="1" t="s">
        <v>79</v>
      </c>
      <c r="K565" t="s">
        <v>34</v>
      </c>
      <c r="M565" s="1" t="s">
        <v>35</v>
      </c>
      <c r="N565" s="1">
        <v>42318949</v>
      </c>
      <c r="O565" s="1" t="s">
        <v>105</v>
      </c>
      <c r="P565" s="186">
        <v>44781.505231481482</v>
      </c>
      <c r="R565" s="1" t="s">
        <v>38</v>
      </c>
      <c r="T565" s="1" t="s">
        <v>74</v>
      </c>
      <c r="U565" s="186">
        <v>44781.75</v>
      </c>
      <c r="V565" s="1" t="s">
        <v>41</v>
      </c>
      <c r="W565" s="1" t="s">
        <v>49</v>
      </c>
      <c r="X565" s="13" t="str">
        <f t="shared" si="61"/>
        <v/>
      </c>
      <c r="Y565" s="2">
        <f t="shared" ca="1" si="56"/>
        <v>148</v>
      </c>
      <c r="Z565" s="14">
        <v>1</v>
      </c>
      <c r="AA565" s="1" t="str">
        <f t="shared" ca="1" si="57"/>
        <v>VENCIDO</v>
      </c>
      <c r="AB565" s="1" t="str">
        <f t="shared" si="58"/>
        <v>Dosa</v>
      </c>
      <c r="AC565" s="2" t="str">
        <f t="shared" si="62"/>
        <v xml:space="preserve"> ROSEMERE </v>
      </c>
      <c r="AD565" s="2">
        <f t="shared" si="59"/>
        <v>5</v>
      </c>
      <c r="AE565" s="2">
        <f t="shared" ca="1" si="60"/>
        <v>-204.9262716435187</v>
      </c>
      <c r="AF565" s="15"/>
    </row>
    <row r="566" spans="1:32" hidden="1">
      <c r="A566" s="1">
        <v>8811127</v>
      </c>
      <c r="B566" s="1" t="s">
        <v>101</v>
      </c>
      <c r="C566" t="s">
        <v>1134</v>
      </c>
      <c r="E566" s="2">
        <v>2437000206001</v>
      </c>
      <c r="F566" s="1" t="s">
        <v>29</v>
      </c>
      <c r="G566" s="1" t="s">
        <v>53</v>
      </c>
      <c r="H566" s="1" t="s">
        <v>416</v>
      </c>
      <c r="I566" s="1" t="s">
        <v>417</v>
      </c>
      <c r="J566" s="1" t="s">
        <v>211</v>
      </c>
      <c r="K566" t="s">
        <v>34</v>
      </c>
      <c r="M566" s="1" t="s">
        <v>35</v>
      </c>
      <c r="N566" s="1">
        <v>42318949</v>
      </c>
      <c r="O566" s="1" t="s">
        <v>105</v>
      </c>
      <c r="P566" s="186">
        <v>44781.504340277781</v>
      </c>
      <c r="R566" s="1" t="s">
        <v>38</v>
      </c>
      <c r="T566" s="1" t="s">
        <v>74</v>
      </c>
      <c r="U566" s="186">
        <v>44781.75</v>
      </c>
      <c r="V566" s="1" t="s">
        <v>41</v>
      </c>
      <c r="W566" s="1" t="s">
        <v>49</v>
      </c>
      <c r="X566" s="13" t="str">
        <f t="shared" si="61"/>
        <v/>
      </c>
      <c r="Y566" s="2">
        <f t="shared" ca="1" si="56"/>
        <v>148</v>
      </c>
      <c r="Z566" s="14">
        <v>1</v>
      </c>
      <c r="AA566" s="1" t="str">
        <f t="shared" ca="1" si="57"/>
        <v>VENCIDO</v>
      </c>
      <c r="AB566" s="1" t="str">
        <f t="shared" si="58"/>
        <v>Dosa</v>
      </c>
      <c r="AC566" s="2" t="str">
        <f t="shared" si="62"/>
        <v xml:space="preserve"> RINALDO </v>
      </c>
      <c r="AD566" s="2">
        <f t="shared" si="59"/>
        <v>5</v>
      </c>
      <c r="AE566" s="2">
        <f t="shared" ca="1" si="60"/>
        <v>-204.9262716435187</v>
      </c>
      <c r="AF566" s="15"/>
    </row>
    <row r="567" spans="1:32" hidden="1">
      <c r="A567" s="1">
        <v>8811126</v>
      </c>
      <c r="B567" s="1" t="s">
        <v>101</v>
      </c>
      <c r="C567" t="s">
        <v>1134</v>
      </c>
      <c r="E567" s="2">
        <v>2437000206001</v>
      </c>
      <c r="F567" s="1" t="s">
        <v>29</v>
      </c>
      <c r="G567" s="1" t="s">
        <v>53</v>
      </c>
      <c r="H567" s="1" t="s">
        <v>416</v>
      </c>
      <c r="I567" s="1" t="s">
        <v>417</v>
      </c>
      <c r="J567" s="1" t="s">
        <v>211</v>
      </c>
      <c r="K567" t="s">
        <v>34</v>
      </c>
      <c r="M567" s="1" t="s">
        <v>35</v>
      </c>
      <c r="N567" s="1">
        <v>42318949</v>
      </c>
      <c r="O567" s="1" t="s">
        <v>105</v>
      </c>
      <c r="P567" s="186">
        <v>44781.504340277781</v>
      </c>
      <c r="R567" s="1" t="s">
        <v>38</v>
      </c>
      <c r="T567" s="1" t="s">
        <v>74</v>
      </c>
      <c r="U567" s="186">
        <v>44781.75</v>
      </c>
      <c r="V567" s="1" t="s">
        <v>41</v>
      </c>
      <c r="W567" s="1" t="s">
        <v>49</v>
      </c>
      <c r="X567" s="13" t="str">
        <f t="shared" si="61"/>
        <v/>
      </c>
      <c r="Y567" s="2">
        <f t="shared" ca="1" si="56"/>
        <v>148</v>
      </c>
      <c r="Z567" s="14">
        <v>1</v>
      </c>
      <c r="AA567" s="1" t="str">
        <f t="shared" ca="1" si="57"/>
        <v>VENCIDO</v>
      </c>
      <c r="AB567" s="1" t="str">
        <f t="shared" si="58"/>
        <v>Dosa</v>
      </c>
      <c r="AC567" s="2" t="str">
        <f t="shared" si="62"/>
        <v xml:space="preserve"> RINALDO </v>
      </c>
      <c r="AD567" s="2">
        <f t="shared" si="59"/>
        <v>5</v>
      </c>
      <c r="AE567" s="2">
        <f t="shared" ca="1" si="60"/>
        <v>-204.9262716435187</v>
      </c>
      <c r="AF567" s="15"/>
    </row>
    <row r="568" spans="1:32" hidden="1">
      <c r="A568" s="1">
        <v>8811125</v>
      </c>
      <c r="B568" s="1" t="s">
        <v>101</v>
      </c>
      <c r="C568" t="s">
        <v>1134</v>
      </c>
      <c r="E568" s="2">
        <v>2437000206001</v>
      </c>
      <c r="F568" s="1" t="s">
        <v>29</v>
      </c>
      <c r="G568" s="1" t="s">
        <v>53</v>
      </c>
      <c r="H568" s="1" t="s">
        <v>416</v>
      </c>
      <c r="I568" s="1" t="s">
        <v>417</v>
      </c>
      <c r="J568" s="1" t="s">
        <v>211</v>
      </c>
      <c r="K568" t="s">
        <v>34</v>
      </c>
      <c r="M568" s="1" t="s">
        <v>35</v>
      </c>
      <c r="N568" s="1">
        <v>42318949</v>
      </c>
      <c r="O568" s="1" t="s">
        <v>105</v>
      </c>
      <c r="P568" s="186">
        <v>44781.504340277781</v>
      </c>
      <c r="R568" s="1" t="s">
        <v>38</v>
      </c>
      <c r="T568" s="1" t="s">
        <v>74</v>
      </c>
      <c r="U568" s="186">
        <v>44781.75</v>
      </c>
      <c r="V568" s="1" t="s">
        <v>41</v>
      </c>
      <c r="W568" s="1" t="s">
        <v>49</v>
      </c>
      <c r="X568" s="13" t="str">
        <f t="shared" si="61"/>
        <v/>
      </c>
      <c r="Y568" s="2">
        <f t="shared" ca="1" si="56"/>
        <v>148</v>
      </c>
      <c r="Z568" s="14">
        <v>1</v>
      </c>
      <c r="AA568" s="1" t="str">
        <f t="shared" ca="1" si="57"/>
        <v>VENCIDO</v>
      </c>
      <c r="AB568" s="1" t="str">
        <f t="shared" si="58"/>
        <v>Dosa</v>
      </c>
      <c r="AC568" s="2" t="str">
        <f t="shared" si="62"/>
        <v xml:space="preserve"> RINALDO </v>
      </c>
      <c r="AD568" s="2">
        <f t="shared" si="59"/>
        <v>5</v>
      </c>
      <c r="AE568" s="2">
        <f t="shared" ca="1" si="60"/>
        <v>-204.9262716435187</v>
      </c>
      <c r="AF568" s="15"/>
    </row>
    <row r="569" spans="1:32" hidden="1">
      <c r="A569" s="1">
        <v>8810874</v>
      </c>
      <c r="B569" s="1" t="s">
        <v>101</v>
      </c>
      <c r="C569" t="s">
        <v>1134</v>
      </c>
      <c r="E569" s="2">
        <v>1739000206001</v>
      </c>
      <c r="F569" s="1" t="s">
        <v>29</v>
      </c>
      <c r="G569" s="1" t="s">
        <v>53</v>
      </c>
      <c r="H569" s="1" t="s">
        <v>162</v>
      </c>
      <c r="I569" s="1" t="s">
        <v>163</v>
      </c>
      <c r="J569" s="1" t="s">
        <v>164</v>
      </c>
      <c r="K569" t="s">
        <v>34</v>
      </c>
      <c r="M569" s="1" t="s">
        <v>35</v>
      </c>
      <c r="N569" s="1">
        <v>42318949</v>
      </c>
      <c r="O569" s="1" t="s">
        <v>105</v>
      </c>
      <c r="P569" s="186">
        <v>44781.503969907404</v>
      </c>
      <c r="R569" s="1" t="s">
        <v>38</v>
      </c>
      <c r="T569" s="1" t="s">
        <v>74</v>
      </c>
      <c r="U569" s="186">
        <v>44781.75</v>
      </c>
      <c r="V569" s="1" t="s">
        <v>41</v>
      </c>
      <c r="W569" s="1" t="s">
        <v>49</v>
      </c>
      <c r="X569" s="13" t="str">
        <f t="shared" si="61"/>
        <v/>
      </c>
      <c r="Y569" s="2">
        <f t="shared" ca="1" si="56"/>
        <v>148</v>
      </c>
      <c r="Z569" s="14">
        <v>1</v>
      </c>
      <c r="AA569" s="1" t="str">
        <f t="shared" ca="1" si="57"/>
        <v>VENCIDO</v>
      </c>
      <c r="AB569" s="1" t="str">
        <f t="shared" si="58"/>
        <v>Dosa</v>
      </c>
      <c r="AC569" s="2" t="str">
        <f t="shared" si="62"/>
        <v xml:space="preserve"> ROSEMERE </v>
      </c>
      <c r="AD569" s="2">
        <f t="shared" si="59"/>
        <v>5</v>
      </c>
      <c r="AE569" s="2">
        <f t="shared" ca="1" si="60"/>
        <v>-204.9262716435187</v>
      </c>
      <c r="AF569" s="15"/>
    </row>
    <row r="570" spans="1:32" hidden="1">
      <c r="A570" s="1">
        <v>8810866</v>
      </c>
      <c r="B570" s="1" t="s">
        <v>101</v>
      </c>
      <c r="C570" t="s">
        <v>1134</v>
      </c>
      <c r="E570" s="2">
        <v>1732000206001</v>
      </c>
      <c r="F570" s="1" t="s">
        <v>29</v>
      </c>
      <c r="G570" s="1" t="s">
        <v>53</v>
      </c>
      <c r="H570" s="1" t="s">
        <v>177</v>
      </c>
      <c r="I570" s="1" t="s">
        <v>178</v>
      </c>
      <c r="J570" s="1" t="s">
        <v>164</v>
      </c>
      <c r="K570" t="s">
        <v>34</v>
      </c>
      <c r="M570" s="1" t="s">
        <v>35</v>
      </c>
      <c r="N570" s="1">
        <v>42318949</v>
      </c>
      <c r="O570" s="1" t="s">
        <v>105</v>
      </c>
      <c r="P570" s="186">
        <v>44781.503958333335</v>
      </c>
      <c r="R570" s="1" t="s">
        <v>38</v>
      </c>
      <c r="T570" s="1" t="s">
        <v>74</v>
      </c>
      <c r="U570" s="186">
        <v>44781.75</v>
      </c>
      <c r="V570" s="1" t="s">
        <v>41</v>
      </c>
      <c r="W570" s="1" t="s">
        <v>49</v>
      </c>
      <c r="X570" s="13" t="str">
        <f t="shared" si="61"/>
        <v/>
      </c>
      <c r="Y570" s="2">
        <f t="shared" ca="1" si="56"/>
        <v>148</v>
      </c>
      <c r="Z570" s="14">
        <v>1</v>
      </c>
      <c r="AA570" s="1" t="str">
        <f t="shared" ca="1" si="57"/>
        <v>VENCIDO</v>
      </c>
      <c r="AB570" s="1" t="str">
        <f t="shared" si="58"/>
        <v>Dosa</v>
      </c>
      <c r="AC570" s="2" t="str">
        <f t="shared" si="62"/>
        <v xml:space="preserve"> ROSEMERE </v>
      </c>
      <c r="AD570" s="2">
        <f t="shared" si="59"/>
        <v>5</v>
      </c>
      <c r="AE570" s="2">
        <f t="shared" ca="1" si="60"/>
        <v>-204.9262716435187</v>
      </c>
      <c r="AF570" s="15"/>
    </row>
    <row r="571" spans="1:32" hidden="1">
      <c r="A571" s="1">
        <v>8810674</v>
      </c>
      <c r="B571" s="1" t="s">
        <v>101</v>
      </c>
      <c r="C571" t="s">
        <v>1134</v>
      </c>
      <c r="E571" s="2">
        <v>1363000206001</v>
      </c>
      <c r="F571" s="1" t="s">
        <v>29</v>
      </c>
      <c r="G571" s="1" t="s">
        <v>53</v>
      </c>
      <c r="H571" s="1" t="s">
        <v>108</v>
      </c>
      <c r="I571" s="1" t="s">
        <v>109</v>
      </c>
      <c r="J571" s="1" t="s">
        <v>110</v>
      </c>
      <c r="K571" t="s">
        <v>34</v>
      </c>
      <c r="M571" s="1" t="s">
        <v>35</v>
      </c>
      <c r="N571" s="1">
        <v>42318949</v>
      </c>
      <c r="O571" s="1" t="s">
        <v>36</v>
      </c>
      <c r="P571" s="186">
        <v>44781.503622685188</v>
      </c>
      <c r="R571" s="1" t="s">
        <v>38</v>
      </c>
      <c r="T571" s="1" t="s">
        <v>74</v>
      </c>
      <c r="U571" s="186">
        <v>44781.75</v>
      </c>
      <c r="V571" s="1" t="s">
        <v>41</v>
      </c>
      <c r="W571" s="1" t="s">
        <v>49</v>
      </c>
      <c r="X571" s="13" t="str">
        <f t="shared" si="61"/>
        <v/>
      </c>
      <c r="Y571" s="2">
        <f t="shared" ca="1" si="56"/>
        <v>148</v>
      </c>
      <c r="Z571" s="14">
        <v>1</v>
      </c>
      <c r="AA571" s="1" t="str">
        <f t="shared" ca="1" si="57"/>
        <v>VENCIDO</v>
      </c>
      <c r="AB571" s="1" t="str">
        <f t="shared" si="58"/>
        <v>Dosa</v>
      </c>
      <c r="AC571" s="2" t="str">
        <f t="shared" si="62"/>
        <v xml:space="preserve"> CRISTINA </v>
      </c>
      <c r="AD571" s="2">
        <f t="shared" si="59"/>
        <v>5</v>
      </c>
      <c r="AE571" s="2">
        <f t="shared" ca="1" si="60"/>
        <v>-204.9262716435187</v>
      </c>
      <c r="AF571" s="15"/>
    </row>
    <row r="572" spans="1:32" hidden="1">
      <c r="A572" s="1">
        <v>8810582</v>
      </c>
      <c r="B572" s="1" t="s">
        <v>101</v>
      </c>
      <c r="C572" t="s">
        <v>1134</v>
      </c>
      <c r="E572" s="2">
        <v>1153000206001</v>
      </c>
      <c r="F572" s="1" t="s">
        <v>29</v>
      </c>
      <c r="G572" s="1" t="s">
        <v>53</v>
      </c>
      <c r="H572" s="1" t="s">
        <v>1031</v>
      </c>
      <c r="I572" s="1" t="s">
        <v>1032</v>
      </c>
      <c r="J572" s="1" t="s">
        <v>79</v>
      </c>
      <c r="K572" t="s">
        <v>34</v>
      </c>
      <c r="M572" s="1" t="s">
        <v>35</v>
      </c>
      <c r="N572" s="1">
        <v>42318949</v>
      </c>
      <c r="O572" s="1" t="s">
        <v>36</v>
      </c>
      <c r="P572" s="186">
        <v>44781.503506944442</v>
      </c>
      <c r="R572" s="1" t="s">
        <v>38</v>
      </c>
      <c r="T572" s="1" t="s">
        <v>74</v>
      </c>
      <c r="U572" s="186">
        <v>44781.75</v>
      </c>
      <c r="V572" s="1" t="s">
        <v>41</v>
      </c>
      <c r="W572" s="1" t="s">
        <v>49</v>
      </c>
      <c r="X572" s="13" t="str">
        <f t="shared" si="61"/>
        <v/>
      </c>
      <c r="Y572" s="2">
        <f t="shared" ca="1" si="56"/>
        <v>148</v>
      </c>
      <c r="Z572" s="14">
        <v>1</v>
      </c>
      <c r="AA572" s="1" t="str">
        <f t="shared" ca="1" si="57"/>
        <v>VENCIDO</v>
      </c>
      <c r="AB572" s="1" t="str">
        <f t="shared" si="58"/>
        <v>Dosa</v>
      </c>
      <c r="AC572" s="2" t="str">
        <f t="shared" si="62"/>
        <v xml:space="preserve"> ROSEMERE </v>
      </c>
      <c r="AD572" s="2">
        <f t="shared" si="59"/>
        <v>5</v>
      </c>
      <c r="AE572" s="2">
        <f t="shared" ca="1" si="60"/>
        <v>-204.9262716435187</v>
      </c>
      <c r="AF572" s="15"/>
    </row>
    <row r="573" spans="1:32" hidden="1">
      <c r="A573" s="1">
        <v>8810573</v>
      </c>
      <c r="B573" s="1" t="s">
        <v>101</v>
      </c>
      <c r="C573" t="s">
        <v>1134</v>
      </c>
      <c r="E573" s="2">
        <v>1120000206001</v>
      </c>
      <c r="F573" s="1" t="s">
        <v>29</v>
      </c>
      <c r="G573" s="1" t="s">
        <v>53</v>
      </c>
      <c r="H573" s="1" t="s">
        <v>181</v>
      </c>
      <c r="I573" s="1" t="s">
        <v>182</v>
      </c>
      <c r="J573" s="1" t="s">
        <v>164</v>
      </c>
      <c r="K573" t="s">
        <v>34</v>
      </c>
      <c r="M573" s="1" t="s">
        <v>35</v>
      </c>
      <c r="N573" s="1">
        <v>42318949</v>
      </c>
      <c r="O573" s="1" t="s">
        <v>36</v>
      </c>
      <c r="P573" s="186">
        <v>44781.503495370373</v>
      </c>
      <c r="R573" s="1" t="s">
        <v>38</v>
      </c>
      <c r="T573" s="1" t="s">
        <v>74</v>
      </c>
      <c r="U573" s="186">
        <v>44781.75</v>
      </c>
      <c r="V573" s="1" t="s">
        <v>41</v>
      </c>
      <c r="W573" s="1" t="s">
        <v>49</v>
      </c>
      <c r="X573" s="13" t="str">
        <f t="shared" si="61"/>
        <v/>
      </c>
      <c r="Y573" s="2">
        <f t="shared" ca="1" si="56"/>
        <v>148</v>
      </c>
      <c r="Z573" s="14">
        <v>1</v>
      </c>
      <c r="AA573" s="1" t="str">
        <f t="shared" ca="1" si="57"/>
        <v>VENCIDO</v>
      </c>
      <c r="AB573" s="1" t="str">
        <f t="shared" si="58"/>
        <v>Dosa</v>
      </c>
      <c r="AC573" s="2" t="str">
        <f t="shared" si="62"/>
        <v xml:space="preserve"> ROSEMERE </v>
      </c>
      <c r="AD573" s="2">
        <f t="shared" si="59"/>
        <v>5</v>
      </c>
      <c r="AE573" s="2">
        <f t="shared" ca="1" si="60"/>
        <v>-204.9262716435187</v>
      </c>
      <c r="AF573" s="15"/>
    </row>
    <row r="574" spans="1:32" hidden="1">
      <c r="A574" s="1">
        <v>8810572</v>
      </c>
      <c r="B574" s="1" t="s">
        <v>101</v>
      </c>
      <c r="C574" t="s">
        <v>1134</v>
      </c>
      <c r="E574" s="2">
        <v>1120000206001</v>
      </c>
      <c r="F574" s="1" t="s">
        <v>29</v>
      </c>
      <c r="G574" s="1" t="s">
        <v>53</v>
      </c>
      <c r="H574" s="1" t="s">
        <v>181</v>
      </c>
      <c r="I574" s="1" t="s">
        <v>182</v>
      </c>
      <c r="J574" s="1" t="s">
        <v>164</v>
      </c>
      <c r="K574" t="s">
        <v>34</v>
      </c>
      <c r="M574" s="1" t="s">
        <v>35</v>
      </c>
      <c r="N574" s="1">
        <v>42318949</v>
      </c>
      <c r="O574" s="1" t="s">
        <v>105</v>
      </c>
      <c r="P574" s="186">
        <v>44781.503483796296</v>
      </c>
      <c r="R574" s="1" t="s">
        <v>38</v>
      </c>
      <c r="T574" s="1" t="s">
        <v>74</v>
      </c>
      <c r="U574" s="186">
        <v>44781.75</v>
      </c>
      <c r="V574" s="1" t="s">
        <v>41</v>
      </c>
      <c r="W574" s="1" t="s">
        <v>49</v>
      </c>
      <c r="X574" s="13" t="str">
        <f t="shared" si="61"/>
        <v/>
      </c>
      <c r="Y574" s="2">
        <f t="shared" ca="1" si="56"/>
        <v>148</v>
      </c>
      <c r="Z574" s="14">
        <v>1</v>
      </c>
      <c r="AA574" s="1" t="str">
        <f t="shared" ca="1" si="57"/>
        <v>VENCIDO</v>
      </c>
      <c r="AB574" s="1" t="str">
        <f t="shared" si="58"/>
        <v>Dosa</v>
      </c>
      <c r="AC574" s="2" t="str">
        <f t="shared" si="62"/>
        <v xml:space="preserve"> ROSEMERE </v>
      </c>
      <c r="AD574" s="2">
        <f t="shared" si="59"/>
        <v>5</v>
      </c>
      <c r="AE574" s="2">
        <f t="shared" ca="1" si="60"/>
        <v>-204.9262716435187</v>
      </c>
      <c r="AF574" s="15"/>
    </row>
    <row r="575" spans="1:32" hidden="1">
      <c r="A575" s="1">
        <v>8810531</v>
      </c>
      <c r="B575" s="1" t="s">
        <v>101</v>
      </c>
      <c r="C575" t="s">
        <v>1134</v>
      </c>
      <c r="E575" s="2">
        <v>1060000206001</v>
      </c>
      <c r="F575" s="1" t="s">
        <v>29</v>
      </c>
      <c r="G575" s="1" t="s">
        <v>53</v>
      </c>
      <c r="H575" s="1" t="s">
        <v>284</v>
      </c>
      <c r="I575" s="1" t="s">
        <v>285</v>
      </c>
      <c r="J575" s="1" t="s">
        <v>148</v>
      </c>
      <c r="K575" t="s">
        <v>34</v>
      </c>
      <c r="M575" s="1" t="s">
        <v>35</v>
      </c>
      <c r="N575" s="1">
        <v>42318949</v>
      </c>
      <c r="O575" s="1" t="s">
        <v>105</v>
      </c>
      <c r="P575" s="186">
        <v>44781.503437500003</v>
      </c>
      <c r="R575" s="1" t="s">
        <v>38</v>
      </c>
      <c r="T575" s="1" t="s">
        <v>74</v>
      </c>
      <c r="U575" s="186">
        <v>44781.75</v>
      </c>
      <c r="V575" s="1" t="s">
        <v>41</v>
      </c>
      <c r="W575" s="1" t="s">
        <v>49</v>
      </c>
      <c r="X575" s="13" t="str">
        <f t="shared" si="61"/>
        <v/>
      </c>
      <c r="Y575" s="2">
        <f t="shared" ca="1" si="56"/>
        <v>148</v>
      </c>
      <c r="Z575" s="14">
        <v>1</v>
      </c>
      <c r="AA575" s="1" t="str">
        <f t="shared" ca="1" si="57"/>
        <v>VENCIDO</v>
      </c>
      <c r="AB575" s="1" t="str">
        <f t="shared" si="58"/>
        <v>Dosa</v>
      </c>
      <c r="AC575" s="2" t="str">
        <f t="shared" si="62"/>
        <v xml:space="preserve"> RINALDO </v>
      </c>
      <c r="AD575" s="2">
        <f t="shared" si="59"/>
        <v>5</v>
      </c>
      <c r="AE575" s="2">
        <f t="shared" ca="1" si="60"/>
        <v>-204.9262716435187</v>
      </c>
      <c r="AF575" s="15"/>
    </row>
    <row r="576" spans="1:32" hidden="1">
      <c r="A576" s="1">
        <v>8810530</v>
      </c>
      <c r="B576" s="1" t="s">
        <v>101</v>
      </c>
      <c r="C576" t="s">
        <v>1134</v>
      </c>
      <c r="E576" s="2">
        <v>1059000206001</v>
      </c>
      <c r="F576" s="1" t="s">
        <v>29</v>
      </c>
      <c r="G576" s="1" t="s">
        <v>53</v>
      </c>
      <c r="H576" s="1" t="s">
        <v>88</v>
      </c>
      <c r="I576" s="1" t="s">
        <v>89</v>
      </c>
      <c r="J576" s="1" t="s">
        <v>90</v>
      </c>
      <c r="K576" t="s">
        <v>34</v>
      </c>
      <c r="M576" s="1" t="s">
        <v>35</v>
      </c>
      <c r="N576" s="1">
        <v>42318949</v>
      </c>
      <c r="O576" s="1" t="s">
        <v>105</v>
      </c>
      <c r="P576" s="186">
        <v>44781.503437500003</v>
      </c>
      <c r="R576" s="1" t="s">
        <v>38</v>
      </c>
      <c r="T576" s="1" t="s">
        <v>74</v>
      </c>
      <c r="U576" s="186">
        <v>44781.75</v>
      </c>
      <c r="V576" s="1" t="s">
        <v>41</v>
      </c>
      <c r="W576" s="1" t="s">
        <v>49</v>
      </c>
      <c r="X576" s="13" t="str">
        <f t="shared" si="61"/>
        <v/>
      </c>
      <c r="Y576" s="2">
        <f t="shared" ca="1" si="56"/>
        <v>148</v>
      </c>
      <c r="Z576" s="14">
        <v>1</v>
      </c>
      <c r="AA576" s="1" t="str">
        <f t="shared" ca="1" si="57"/>
        <v>VENCIDO</v>
      </c>
      <c r="AB576" s="1" t="str">
        <f t="shared" si="58"/>
        <v>Dosa</v>
      </c>
      <c r="AC576" s="2" t="str">
        <f t="shared" si="62"/>
        <v xml:space="preserve"> RINALDO </v>
      </c>
      <c r="AD576" s="2">
        <f t="shared" si="59"/>
        <v>5</v>
      </c>
      <c r="AE576" s="2">
        <f t="shared" ca="1" si="60"/>
        <v>-204.9262716435187</v>
      </c>
      <c r="AF576" s="15"/>
    </row>
    <row r="577" spans="1:32" hidden="1">
      <c r="A577" s="1">
        <v>8810529</v>
      </c>
      <c r="B577" s="1" t="s">
        <v>101</v>
      </c>
      <c r="C577" t="s">
        <v>1134</v>
      </c>
      <c r="E577" s="2">
        <v>1058000206001</v>
      </c>
      <c r="F577" s="1" t="s">
        <v>29</v>
      </c>
      <c r="G577" s="1" t="s">
        <v>53</v>
      </c>
      <c r="H577" s="1" t="s">
        <v>289</v>
      </c>
      <c r="I577" s="1" t="s">
        <v>290</v>
      </c>
      <c r="J577" s="1" t="s">
        <v>56</v>
      </c>
      <c r="K577" t="s">
        <v>34</v>
      </c>
      <c r="M577" s="1" t="s">
        <v>35</v>
      </c>
      <c r="N577" s="1">
        <v>42318949</v>
      </c>
      <c r="O577" s="1" t="s">
        <v>36</v>
      </c>
      <c r="P577" s="186">
        <v>44781.503437500003</v>
      </c>
      <c r="R577" s="1" t="s">
        <v>38</v>
      </c>
      <c r="T577" s="1" t="s">
        <v>74</v>
      </c>
      <c r="U577" s="186">
        <v>44781.75</v>
      </c>
      <c r="V577" s="1" t="s">
        <v>41</v>
      </c>
      <c r="W577" s="1" t="s">
        <v>49</v>
      </c>
      <c r="X577" s="13" t="str">
        <f t="shared" si="61"/>
        <v/>
      </c>
      <c r="Y577" s="2">
        <f t="shared" ca="1" si="56"/>
        <v>148</v>
      </c>
      <c r="Z577" s="14">
        <v>1</v>
      </c>
      <c r="AA577" s="1" t="str">
        <f t="shared" ca="1" si="57"/>
        <v>VENCIDO</v>
      </c>
      <c r="AB577" s="1" t="str">
        <f t="shared" si="58"/>
        <v>Dosa</v>
      </c>
      <c r="AC577" s="2" t="str">
        <f t="shared" si="62"/>
        <v xml:space="preserve"> CRISTINA </v>
      </c>
      <c r="AD577" s="2">
        <f t="shared" si="59"/>
        <v>5</v>
      </c>
      <c r="AE577" s="2">
        <f t="shared" ca="1" si="60"/>
        <v>-204.9262716435187</v>
      </c>
      <c r="AF577" s="15"/>
    </row>
    <row r="578" spans="1:32" hidden="1">
      <c r="A578" s="1">
        <v>8810528</v>
      </c>
      <c r="B578" s="1" t="s">
        <v>101</v>
      </c>
      <c r="C578" t="s">
        <v>1134</v>
      </c>
      <c r="E578" s="2">
        <v>1058000206001</v>
      </c>
      <c r="F578" s="1" t="s">
        <v>29</v>
      </c>
      <c r="G578" s="1" t="s">
        <v>53</v>
      </c>
      <c r="H578" s="1" t="s">
        <v>289</v>
      </c>
      <c r="I578" s="1" t="s">
        <v>290</v>
      </c>
      <c r="J578" s="1" t="s">
        <v>56</v>
      </c>
      <c r="K578" t="s">
        <v>34</v>
      </c>
      <c r="M578" s="1" t="s">
        <v>35</v>
      </c>
      <c r="N578" s="1">
        <v>42318949</v>
      </c>
      <c r="O578" s="1" t="s">
        <v>105</v>
      </c>
      <c r="P578" s="186">
        <v>44781.503437500003</v>
      </c>
      <c r="R578" s="1" t="s">
        <v>38</v>
      </c>
      <c r="T578" s="1" t="s">
        <v>74</v>
      </c>
      <c r="U578" s="186">
        <v>44781.75</v>
      </c>
      <c r="V578" s="1" t="s">
        <v>41</v>
      </c>
      <c r="W578" s="1" t="s">
        <v>49</v>
      </c>
      <c r="X578" s="13" t="str">
        <f t="shared" si="61"/>
        <v/>
      </c>
      <c r="Y578" s="2">
        <f t="shared" ref="Y578:Y641" ca="1" si="63">NETWORKDAYS(P578,$Y$1)</f>
        <v>148</v>
      </c>
      <c r="Z578" s="14">
        <v>1</v>
      </c>
      <c r="AA578" s="1" t="str">
        <f t="shared" ref="AA578:AA641" ca="1" si="64">IF(AE578=0,"HOJE",IF(AE578&gt;0,"A VENCER",IF(AE578&lt;0,"VENCIDO")))</f>
        <v>VENCIDO</v>
      </c>
      <c r="AB578" s="1" t="str">
        <f t="shared" ref="AB578:AB641" si="65">IF(F578="GRPE-000001","C-14",IF(F578="GRPE-000002","C-14",IF(F578="GRPE-000003","C-14",IF(F578="GRPE-000004","SL-On",IF(F578="GRPE-000038","C-14",IF(F578="GRPE-900022","Dosa",IF(F578="GRPE-000029","Dosa",IF(F578="ATOS-000222","Dose","TAAe+"))))))))</f>
        <v>Dosa</v>
      </c>
      <c r="AC578" s="2" t="str">
        <f t="shared" si="62"/>
        <v xml:space="preserve"> CRISTINA </v>
      </c>
      <c r="AD578" s="2">
        <f t="shared" ref="AD578:AD641" si="66">IF(F578="GRPE-000001",5,IF(F578="GRPE-000002",5,IF(F578="GRPE-000003",15,IF(F578="GRPE-000004",1,IF(F578="GRPE-000038",5,IF(F578="GRPE-900022",5,IF(F578="GRPE-000029",5,IF(F578="ATOS-000222",5,8))))))))</f>
        <v>5</v>
      </c>
      <c r="AE578" s="2">
        <f t="shared" ref="AE578:AE641" ca="1" si="67">IF(U578=$AE$1,"",U578-$AE$1)</f>
        <v>-204.9262716435187</v>
      </c>
      <c r="AF578" s="15"/>
    </row>
    <row r="579" spans="1:32" hidden="1">
      <c r="A579" s="1">
        <v>8810527</v>
      </c>
      <c r="B579" s="1" t="s">
        <v>101</v>
      </c>
      <c r="C579" t="s">
        <v>1134</v>
      </c>
      <c r="E579" s="2">
        <v>1058000206001</v>
      </c>
      <c r="F579" s="1" t="s">
        <v>29</v>
      </c>
      <c r="G579" s="1" t="s">
        <v>53</v>
      </c>
      <c r="H579" s="1" t="s">
        <v>289</v>
      </c>
      <c r="I579" s="1" t="s">
        <v>290</v>
      </c>
      <c r="J579" s="1" t="s">
        <v>56</v>
      </c>
      <c r="K579" t="s">
        <v>34</v>
      </c>
      <c r="M579" s="1" t="s">
        <v>35</v>
      </c>
      <c r="N579" s="1">
        <v>42318949</v>
      </c>
      <c r="O579" s="1" t="s">
        <v>105</v>
      </c>
      <c r="P579" s="186">
        <v>44781.503437500003</v>
      </c>
      <c r="R579" s="1" t="s">
        <v>38</v>
      </c>
      <c r="T579" s="1" t="s">
        <v>74</v>
      </c>
      <c r="U579" s="186">
        <v>44781.75</v>
      </c>
      <c r="V579" s="1" t="s">
        <v>41</v>
      </c>
      <c r="W579" s="1" t="s">
        <v>49</v>
      </c>
      <c r="X579" s="13" t="str">
        <f t="shared" ref="X579:X642" si="68">IF(RIGHT(H579,2)&lt;&gt;"00",H579,"")</f>
        <v/>
      </c>
      <c r="Y579" s="2">
        <f t="shared" ca="1" si="63"/>
        <v>148</v>
      </c>
      <c r="Z579" s="14">
        <v>1</v>
      </c>
      <c r="AA579" s="1" t="str">
        <f t="shared" ca="1" si="64"/>
        <v>VENCIDO</v>
      </c>
      <c r="AB579" s="1" t="str">
        <f t="shared" si="65"/>
        <v>Dosa</v>
      </c>
      <c r="AC579" s="2" t="str">
        <f t="shared" ref="AC579:AC642" si="6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 xml:space="preserve"> CRISTINA </v>
      </c>
      <c r="AD579" s="2">
        <f t="shared" si="66"/>
        <v>5</v>
      </c>
      <c r="AE579" s="2">
        <f t="shared" ca="1" si="67"/>
        <v>-204.9262716435187</v>
      </c>
      <c r="AF579" s="15"/>
    </row>
    <row r="580" spans="1:32" hidden="1">
      <c r="A580" s="1">
        <v>8810526</v>
      </c>
      <c r="B580" s="1" t="s">
        <v>101</v>
      </c>
      <c r="C580" t="s">
        <v>1134</v>
      </c>
      <c r="E580" s="2">
        <v>1058000206001</v>
      </c>
      <c r="F580" s="1" t="s">
        <v>29</v>
      </c>
      <c r="G580" s="1" t="s">
        <v>53</v>
      </c>
      <c r="H580" s="1" t="s">
        <v>289</v>
      </c>
      <c r="I580" s="1" t="s">
        <v>290</v>
      </c>
      <c r="J580" s="1" t="s">
        <v>56</v>
      </c>
      <c r="K580" t="s">
        <v>34</v>
      </c>
      <c r="M580" s="1" t="s">
        <v>35</v>
      </c>
      <c r="N580" s="1">
        <v>42318949</v>
      </c>
      <c r="O580" s="1" t="s">
        <v>105</v>
      </c>
      <c r="P580" s="186">
        <v>44781.503437500003</v>
      </c>
      <c r="R580" s="1" t="s">
        <v>38</v>
      </c>
      <c r="T580" s="1" t="s">
        <v>74</v>
      </c>
      <c r="U580" s="186">
        <v>44781.75</v>
      </c>
      <c r="V580" s="1" t="s">
        <v>41</v>
      </c>
      <c r="W580" s="1" t="s">
        <v>49</v>
      </c>
      <c r="X580" s="13" t="str">
        <f t="shared" si="68"/>
        <v/>
      </c>
      <c r="Y580" s="2">
        <f t="shared" ca="1" si="63"/>
        <v>148</v>
      </c>
      <c r="Z580" s="14">
        <v>1</v>
      </c>
      <c r="AA580" s="1" t="str">
        <f t="shared" ca="1" si="64"/>
        <v>VENCIDO</v>
      </c>
      <c r="AB580" s="1" t="str">
        <f t="shared" si="65"/>
        <v>Dosa</v>
      </c>
      <c r="AC580" s="2" t="str">
        <f t="shared" si="69"/>
        <v xml:space="preserve"> CRISTINA </v>
      </c>
      <c r="AD580" s="2">
        <f t="shared" si="66"/>
        <v>5</v>
      </c>
      <c r="AE580" s="2">
        <f t="shared" ca="1" si="67"/>
        <v>-204.9262716435187</v>
      </c>
      <c r="AF580" s="15"/>
    </row>
    <row r="581" spans="1:32" hidden="1">
      <c r="A581" s="1">
        <v>8810525</v>
      </c>
      <c r="B581" s="1" t="s">
        <v>101</v>
      </c>
      <c r="C581" t="s">
        <v>1134</v>
      </c>
      <c r="E581" s="2">
        <v>1058000206001</v>
      </c>
      <c r="F581" s="1" t="s">
        <v>29</v>
      </c>
      <c r="G581" s="1" t="s">
        <v>53</v>
      </c>
      <c r="H581" s="1" t="s">
        <v>289</v>
      </c>
      <c r="I581" s="1" t="s">
        <v>290</v>
      </c>
      <c r="J581" s="1" t="s">
        <v>56</v>
      </c>
      <c r="K581" t="s">
        <v>34</v>
      </c>
      <c r="M581" s="1" t="s">
        <v>35</v>
      </c>
      <c r="N581" s="1">
        <v>42318949</v>
      </c>
      <c r="O581" s="1" t="s">
        <v>105</v>
      </c>
      <c r="P581" s="186">
        <v>44781.503437500003</v>
      </c>
      <c r="R581" s="1" t="s">
        <v>38</v>
      </c>
      <c r="T581" s="1" t="s">
        <v>74</v>
      </c>
      <c r="U581" s="186">
        <v>44781.75</v>
      </c>
      <c r="V581" s="1" t="s">
        <v>41</v>
      </c>
      <c r="W581" s="1" t="s">
        <v>49</v>
      </c>
      <c r="X581" s="13" t="str">
        <f t="shared" si="68"/>
        <v/>
      </c>
      <c r="Y581" s="2">
        <f t="shared" ca="1" si="63"/>
        <v>148</v>
      </c>
      <c r="Z581" s="14">
        <v>1</v>
      </c>
      <c r="AA581" s="1" t="str">
        <f t="shared" ca="1" si="64"/>
        <v>VENCIDO</v>
      </c>
      <c r="AB581" s="1" t="str">
        <f t="shared" si="65"/>
        <v>Dosa</v>
      </c>
      <c r="AC581" s="2" t="str">
        <f t="shared" si="69"/>
        <v xml:space="preserve"> CRISTINA </v>
      </c>
      <c r="AD581" s="2">
        <f t="shared" si="66"/>
        <v>5</v>
      </c>
      <c r="AE581" s="2">
        <f t="shared" ca="1" si="67"/>
        <v>-204.9262716435187</v>
      </c>
      <c r="AF581" s="15"/>
    </row>
    <row r="582" spans="1:32" hidden="1">
      <c r="A582" s="1">
        <v>8810524</v>
      </c>
      <c r="B582" s="1" t="s">
        <v>101</v>
      </c>
      <c r="C582" t="s">
        <v>1134</v>
      </c>
      <c r="E582" s="2">
        <v>1058000206001</v>
      </c>
      <c r="F582" s="1" t="s">
        <v>29</v>
      </c>
      <c r="G582" s="1" t="s">
        <v>53</v>
      </c>
      <c r="H582" s="1" t="s">
        <v>289</v>
      </c>
      <c r="I582" s="1" t="s">
        <v>290</v>
      </c>
      <c r="J582" s="1" t="s">
        <v>56</v>
      </c>
      <c r="K582" t="s">
        <v>34</v>
      </c>
      <c r="M582" s="1" t="s">
        <v>35</v>
      </c>
      <c r="N582" s="1">
        <v>42318949</v>
      </c>
      <c r="O582" s="1" t="s">
        <v>105</v>
      </c>
      <c r="P582" s="186">
        <v>44781.503437500003</v>
      </c>
      <c r="R582" s="1" t="s">
        <v>38</v>
      </c>
      <c r="T582" s="1" t="s">
        <v>74</v>
      </c>
      <c r="U582" s="186">
        <v>44781.75</v>
      </c>
      <c r="V582" s="1" t="s">
        <v>41</v>
      </c>
      <c r="W582" s="1" t="s">
        <v>49</v>
      </c>
      <c r="X582" s="13" t="str">
        <f t="shared" si="68"/>
        <v/>
      </c>
      <c r="Y582" s="2">
        <f t="shared" ca="1" si="63"/>
        <v>148</v>
      </c>
      <c r="Z582" s="14">
        <v>1</v>
      </c>
      <c r="AA582" s="1" t="str">
        <f t="shared" ca="1" si="64"/>
        <v>VENCIDO</v>
      </c>
      <c r="AB582" s="1" t="str">
        <f t="shared" si="65"/>
        <v>Dosa</v>
      </c>
      <c r="AC582" s="2" t="str">
        <f t="shared" si="69"/>
        <v xml:space="preserve"> CRISTINA </v>
      </c>
      <c r="AD582" s="2">
        <f t="shared" si="66"/>
        <v>5</v>
      </c>
      <c r="AE582" s="2">
        <f t="shared" ca="1" si="67"/>
        <v>-204.9262716435187</v>
      </c>
      <c r="AF582" s="15"/>
    </row>
    <row r="583" spans="1:32" hidden="1">
      <c r="A583" s="1">
        <v>8810520</v>
      </c>
      <c r="B583" s="1" t="s">
        <v>101</v>
      </c>
      <c r="C583" t="s">
        <v>1134</v>
      </c>
      <c r="E583" s="2">
        <v>1052000206001</v>
      </c>
      <c r="F583" s="1" t="s">
        <v>29</v>
      </c>
      <c r="G583" s="1" t="s">
        <v>53</v>
      </c>
      <c r="H583" s="1" t="s">
        <v>329</v>
      </c>
      <c r="I583" s="1" t="s">
        <v>330</v>
      </c>
      <c r="J583" s="1" t="s">
        <v>79</v>
      </c>
      <c r="K583" t="s">
        <v>34</v>
      </c>
      <c r="M583" s="1" t="s">
        <v>35</v>
      </c>
      <c r="N583" s="1">
        <v>42318949</v>
      </c>
      <c r="O583" s="1" t="s">
        <v>105</v>
      </c>
      <c r="P583" s="186">
        <v>44781.503425925926</v>
      </c>
      <c r="R583" s="1" t="s">
        <v>38</v>
      </c>
      <c r="T583" s="1" t="s">
        <v>74</v>
      </c>
      <c r="U583" s="186">
        <v>44781.75</v>
      </c>
      <c r="V583" s="1" t="s">
        <v>41</v>
      </c>
      <c r="W583" s="1" t="s">
        <v>49</v>
      </c>
      <c r="X583" s="13" t="str">
        <f t="shared" si="68"/>
        <v/>
      </c>
      <c r="Y583" s="2">
        <f t="shared" ca="1" si="63"/>
        <v>148</v>
      </c>
      <c r="Z583" s="14">
        <v>1</v>
      </c>
      <c r="AA583" s="1" t="str">
        <f t="shared" ca="1" si="64"/>
        <v>VENCIDO</v>
      </c>
      <c r="AB583" s="1" t="str">
        <f t="shared" si="65"/>
        <v>Dosa</v>
      </c>
      <c r="AC583" s="2" t="str">
        <f t="shared" si="69"/>
        <v xml:space="preserve"> ROSEMERE </v>
      </c>
      <c r="AD583" s="2">
        <f t="shared" si="66"/>
        <v>5</v>
      </c>
      <c r="AE583" s="2">
        <f t="shared" ca="1" si="67"/>
        <v>-204.9262716435187</v>
      </c>
      <c r="AF583" s="15"/>
    </row>
    <row r="584" spans="1:32" hidden="1">
      <c r="A584" s="1">
        <v>8810519</v>
      </c>
      <c r="B584" s="1" t="s">
        <v>101</v>
      </c>
      <c r="C584" t="s">
        <v>1134</v>
      </c>
      <c r="E584" s="2">
        <v>1052000206001</v>
      </c>
      <c r="F584" s="1" t="s">
        <v>29</v>
      </c>
      <c r="G584" s="1" t="s">
        <v>53</v>
      </c>
      <c r="H584" s="1" t="s">
        <v>329</v>
      </c>
      <c r="I584" s="1" t="s">
        <v>330</v>
      </c>
      <c r="J584" s="1" t="s">
        <v>79</v>
      </c>
      <c r="K584" t="s">
        <v>34</v>
      </c>
      <c r="M584" s="1" t="s">
        <v>35</v>
      </c>
      <c r="N584" s="1">
        <v>42318949</v>
      </c>
      <c r="O584" s="1" t="s">
        <v>105</v>
      </c>
      <c r="P584" s="186">
        <v>44781.503425925926</v>
      </c>
      <c r="R584" s="1" t="s">
        <v>38</v>
      </c>
      <c r="T584" s="1" t="s">
        <v>74</v>
      </c>
      <c r="U584" s="186">
        <v>44781.75</v>
      </c>
      <c r="V584" s="1" t="s">
        <v>41</v>
      </c>
      <c r="W584" s="1" t="s">
        <v>49</v>
      </c>
      <c r="X584" s="13" t="str">
        <f t="shared" si="68"/>
        <v/>
      </c>
      <c r="Y584" s="2">
        <f t="shared" ca="1" si="63"/>
        <v>148</v>
      </c>
      <c r="Z584" s="14">
        <v>1</v>
      </c>
      <c r="AA584" s="1" t="str">
        <f t="shared" ca="1" si="64"/>
        <v>VENCIDO</v>
      </c>
      <c r="AB584" s="1" t="str">
        <f t="shared" si="65"/>
        <v>Dosa</v>
      </c>
      <c r="AC584" s="2" t="str">
        <f t="shared" si="69"/>
        <v xml:space="preserve"> ROSEMERE </v>
      </c>
      <c r="AD584" s="2">
        <f t="shared" si="66"/>
        <v>5</v>
      </c>
      <c r="AE584" s="2">
        <f t="shared" ca="1" si="67"/>
        <v>-204.9262716435187</v>
      </c>
      <c r="AF584" s="15"/>
    </row>
    <row r="585" spans="1:32" hidden="1">
      <c r="A585" s="1">
        <v>8810243</v>
      </c>
      <c r="B585" s="1" t="s">
        <v>101</v>
      </c>
      <c r="C585" t="s">
        <v>1134</v>
      </c>
      <c r="E585" s="2">
        <v>550000206001</v>
      </c>
      <c r="F585" s="1" t="s">
        <v>29</v>
      </c>
      <c r="G585" s="1" t="s">
        <v>53</v>
      </c>
      <c r="H585" s="1" t="s">
        <v>337</v>
      </c>
      <c r="I585" s="1" t="s">
        <v>338</v>
      </c>
      <c r="J585" s="1" t="s">
        <v>164</v>
      </c>
      <c r="K585" t="s">
        <v>34</v>
      </c>
      <c r="M585" s="1" t="s">
        <v>35</v>
      </c>
      <c r="N585" s="1">
        <v>42318949</v>
      </c>
      <c r="O585" s="1" t="s">
        <v>105</v>
      </c>
      <c r="P585" s="186">
        <v>44781.50309027778</v>
      </c>
      <c r="R585" s="1" t="s">
        <v>38</v>
      </c>
      <c r="T585" s="1" t="s">
        <v>74</v>
      </c>
      <c r="U585" s="186">
        <v>44781.75</v>
      </c>
      <c r="V585" s="1" t="s">
        <v>41</v>
      </c>
      <c r="W585" s="1" t="s">
        <v>49</v>
      </c>
      <c r="X585" s="13" t="str">
        <f t="shared" si="68"/>
        <v/>
      </c>
      <c r="Y585" s="2">
        <f t="shared" ca="1" si="63"/>
        <v>148</v>
      </c>
      <c r="Z585" s="14">
        <v>1</v>
      </c>
      <c r="AA585" s="1" t="str">
        <f t="shared" ca="1" si="64"/>
        <v>VENCIDO</v>
      </c>
      <c r="AB585" s="1" t="str">
        <f t="shared" si="65"/>
        <v>Dosa</v>
      </c>
      <c r="AC585" s="2" t="str">
        <f t="shared" si="69"/>
        <v xml:space="preserve"> ROSEMERE </v>
      </c>
      <c r="AD585" s="2">
        <f t="shared" si="66"/>
        <v>5</v>
      </c>
      <c r="AE585" s="2">
        <f t="shared" ca="1" si="67"/>
        <v>-204.9262716435187</v>
      </c>
      <c r="AF585" s="15"/>
    </row>
    <row r="586" spans="1:32" hidden="1">
      <c r="A586" s="1">
        <v>8810238</v>
      </c>
      <c r="B586" s="1" t="s">
        <v>101</v>
      </c>
      <c r="C586" t="s">
        <v>1134</v>
      </c>
      <c r="E586" s="2">
        <v>537000206001</v>
      </c>
      <c r="F586" s="1" t="s">
        <v>29</v>
      </c>
      <c r="G586" s="1" t="s">
        <v>53</v>
      </c>
      <c r="H586" s="1" t="s">
        <v>442</v>
      </c>
      <c r="I586" s="1" t="s">
        <v>443</v>
      </c>
      <c r="J586" s="1" t="s">
        <v>79</v>
      </c>
      <c r="K586" t="s">
        <v>34</v>
      </c>
      <c r="M586" s="1" t="s">
        <v>35</v>
      </c>
      <c r="N586" s="1">
        <v>42318949</v>
      </c>
      <c r="O586" s="1" t="s">
        <v>36</v>
      </c>
      <c r="P586" s="186">
        <v>44781.503078703703</v>
      </c>
      <c r="R586" s="1" t="s">
        <v>38</v>
      </c>
      <c r="T586" s="1" t="s">
        <v>74</v>
      </c>
      <c r="U586" s="186">
        <v>44781.75</v>
      </c>
      <c r="V586" s="1" t="s">
        <v>41</v>
      </c>
      <c r="W586" s="1" t="s">
        <v>49</v>
      </c>
      <c r="X586" s="13" t="str">
        <f t="shared" si="68"/>
        <v/>
      </c>
      <c r="Y586" s="2">
        <f t="shared" ca="1" si="63"/>
        <v>148</v>
      </c>
      <c r="Z586" s="14">
        <v>1</v>
      </c>
      <c r="AA586" s="1" t="str">
        <f t="shared" ca="1" si="64"/>
        <v>VENCIDO</v>
      </c>
      <c r="AB586" s="1" t="str">
        <f t="shared" si="65"/>
        <v>Dosa</v>
      </c>
      <c r="AC586" s="2" t="str">
        <f t="shared" si="69"/>
        <v xml:space="preserve"> ROSEMERE </v>
      </c>
      <c r="AD586" s="2">
        <f t="shared" si="66"/>
        <v>5</v>
      </c>
      <c r="AE586" s="2">
        <f t="shared" ca="1" si="67"/>
        <v>-204.9262716435187</v>
      </c>
      <c r="AF586" s="15"/>
    </row>
    <row r="587" spans="1:32" hidden="1">
      <c r="A587" s="1">
        <v>8824380</v>
      </c>
      <c r="B587" s="1" t="s">
        <v>62</v>
      </c>
      <c r="C587" t="s">
        <v>1148</v>
      </c>
      <c r="E587" s="2">
        <v>2229000203000</v>
      </c>
      <c r="F587" s="1" t="s">
        <v>454</v>
      </c>
      <c r="G587" s="1" t="s">
        <v>53</v>
      </c>
      <c r="H587" s="1" t="s">
        <v>339</v>
      </c>
      <c r="I587" s="1" t="s">
        <v>340</v>
      </c>
      <c r="J587" s="1" t="s">
        <v>211</v>
      </c>
      <c r="K587" t="s">
        <v>457</v>
      </c>
      <c r="M587" s="1" t="s">
        <v>58</v>
      </c>
      <c r="N587" s="1">
        <v>0</v>
      </c>
      <c r="O587" s="1" t="s">
        <v>36</v>
      </c>
      <c r="P587" s="186">
        <v>44783.627187500002</v>
      </c>
      <c r="R587" s="1">
        <v>1</v>
      </c>
      <c r="T587" s="1" t="s">
        <v>157</v>
      </c>
      <c r="U587" s="186">
        <v>44818.75</v>
      </c>
      <c r="V587" s="1" t="s">
        <v>41</v>
      </c>
      <c r="W587" s="1" t="s">
        <v>49</v>
      </c>
      <c r="X587" s="13" t="str">
        <f t="shared" si="68"/>
        <v/>
      </c>
      <c r="Y587" s="2">
        <f t="shared" ca="1" si="63"/>
        <v>146</v>
      </c>
      <c r="Z587" s="14">
        <v>1</v>
      </c>
      <c r="AA587" s="1" t="str">
        <f t="shared" ca="1" si="64"/>
        <v>VENCIDO</v>
      </c>
      <c r="AB587" s="1" t="str">
        <f t="shared" si="65"/>
        <v>C-14</v>
      </c>
      <c r="AC587" s="2" t="str">
        <f t="shared" si="69"/>
        <v xml:space="preserve"> RINALDO </v>
      </c>
      <c r="AD587" s="2">
        <f t="shared" si="66"/>
        <v>5</v>
      </c>
      <c r="AE587" s="2">
        <f t="shared" ca="1" si="67"/>
        <v>-167.9262716435187</v>
      </c>
      <c r="AF587" s="15"/>
    </row>
    <row r="588" spans="1:32" hidden="1">
      <c r="A588" s="1">
        <v>8823141</v>
      </c>
      <c r="B588" s="1" t="s">
        <v>62</v>
      </c>
      <c r="C588" t="s">
        <v>1151</v>
      </c>
      <c r="E588" s="2">
        <v>2156000203000</v>
      </c>
      <c r="F588" s="1" t="s">
        <v>454</v>
      </c>
      <c r="G588" s="1" t="s">
        <v>53</v>
      </c>
      <c r="H588" s="1" t="s">
        <v>278</v>
      </c>
      <c r="I588" s="1" t="s">
        <v>279</v>
      </c>
      <c r="J588" s="1" t="s">
        <v>211</v>
      </c>
      <c r="K588" t="s">
        <v>457</v>
      </c>
      <c r="M588" s="1" t="s">
        <v>58</v>
      </c>
      <c r="N588" s="1">
        <v>0</v>
      </c>
      <c r="O588" s="1" t="s">
        <v>36</v>
      </c>
      <c r="P588" s="186">
        <v>44783.379814814813</v>
      </c>
      <c r="R588" s="1">
        <v>1</v>
      </c>
      <c r="T588" s="1" t="s">
        <v>157</v>
      </c>
      <c r="U588" s="186">
        <v>44818.75</v>
      </c>
      <c r="V588" s="1" t="s">
        <v>41</v>
      </c>
      <c r="W588" s="1" t="s">
        <v>49</v>
      </c>
      <c r="X588" s="13" t="str">
        <f t="shared" si="68"/>
        <v/>
      </c>
      <c r="Y588" s="2">
        <f t="shared" ca="1" si="63"/>
        <v>146</v>
      </c>
      <c r="Z588" s="14">
        <v>1</v>
      </c>
      <c r="AA588" s="1" t="str">
        <f t="shared" ca="1" si="64"/>
        <v>VENCIDO</v>
      </c>
      <c r="AB588" s="1" t="str">
        <f t="shared" si="65"/>
        <v>C-14</v>
      </c>
      <c r="AC588" s="2" t="str">
        <f t="shared" si="69"/>
        <v xml:space="preserve"> RINALDO </v>
      </c>
      <c r="AD588" s="2">
        <f t="shared" si="66"/>
        <v>5</v>
      </c>
      <c r="AE588" s="2">
        <f t="shared" ca="1" si="67"/>
        <v>-167.9262716435187</v>
      </c>
      <c r="AF588" s="15"/>
    </row>
    <row r="589" spans="1:32" hidden="1">
      <c r="A589" s="1">
        <v>8827051</v>
      </c>
      <c r="B589" s="1" t="s">
        <v>1153</v>
      </c>
      <c r="C589" t="s">
        <v>1154</v>
      </c>
      <c r="D589" s="2">
        <v>20228489000013</v>
      </c>
      <c r="E589" s="2">
        <v>7417172315843</v>
      </c>
      <c r="F589" s="1" t="s">
        <v>1155</v>
      </c>
      <c r="G589" s="1" t="s">
        <v>53</v>
      </c>
      <c r="H589" s="1" t="s">
        <v>1156</v>
      </c>
      <c r="I589" s="1" t="s">
        <v>1157</v>
      </c>
      <c r="J589" s="1" t="s">
        <v>46</v>
      </c>
      <c r="K589" t="s">
        <v>1158</v>
      </c>
      <c r="M589" s="1" t="s">
        <v>58</v>
      </c>
      <c r="N589" s="1">
        <v>0</v>
      </c>
      <c r="O589" s="1" t="s">
        <v>36</v>
      </c>
      <c r="P589" s="186">
        <v>44784.603321759256</v>
      </c>
      <c r="R589" s="1">
        <v>22</v>
      </c>
      <c r="T589" s="1" t="s">
        <v>1160</v>
      </c>
      <c r="U589" s="186">
        <v>44789.436655092592</v>
      </c>
      <c r="V589" s="1" t="s">
        <v>41</v>
      </c>
      <c r="W589" s="1" t="s">
        <v>49</v>
      </c>
      <c r="X589" s="13" t="str">
        <f t="shared" si="68"/>
        <v/>
      </c>
      <c r="Y589" s="2">
        <f t="shared" ca="1" si="63"/>
        <v>145</v>
      </c>
      <c r="Z589" s="14">
        <v>1</v>
      </c>
      <c r="AA589" s="1" t="str">
        <f t="shared" ca="1" si="64"/>
        <v>VENCIDO</v>
      </c>
      <c r="AB589" s="1" t="str">
        <f t="shared" si="65"/>
        <v>TAAe+</v>
      </c>
      <c r="AC589" s="2" t="str">
        <f t="shared" si="69"/>
        <v xml:space="preserve"> CLEITON </v>
      </c>
      <c r="AD589" s="2">
        <f t="shared" si="66"/>
        <v>8</v>
      </c>
      <c r="AE589" s="2">
        <f t="shared" ca="1" si="67"/>
        <v>-197.23961655092717</v>
      </c>
      <c r="AF589" s="15"/>
    </row>
    <row r="590" spans="1:32" hidden="1">
      <c r="A590" s="1">
        <v>8833673</v>
      </c>
      <c r="B590" s="1" t="s">
        <v>62</v>
      </c>
      <c r="C590" t="s">
        <v>1162</v>
      </c>
      <c r="E590" s="2">
        <v>3108000206001</v>
      </c>
      <c r="F590" s="1" t="s">
        <v>29</v>
      </c>
      <c r="G590" s="1" t="s">
        <v>53</v>
      </c>
      <c r="H590" s="1" t="s">
        <v>325</v>
      </c>
      <c r="I590" s="1" t="s">
        <v>326</v>
      </c>
      <c r="J590" s="1" t="s">
        <v>46</v>
      </c>
      <c r="K590" t="s">
        <v>34</v>
      </c>
      <c r="M590" s="1" t="s">
        <v>35</v>
      </c>
      <c r="N590" s="1">
        <v>42318949</v>
      </c>
      <c r="O590" s="1" t="s">
        <v>36</v>
      </c>
      <c r="P590" s="186">
        <v>44788.457800925928</v>
      </c>
      <c r="R590" s="1" t="s">
        <v>38</v>
      </c>
      <c r="T590" s="1" t="s">
        <v>74</v>
      </c>
      <c r="U590" s="186">
        <v>44830.75</v>
      </c>
      <c r="V590" s="1" t="s">
        <v>41</v>
      </c>
      <c r="W590" s="1" t="s">
        <v>49</v>
      </c>
      <c r="X590" s="13" t="str">
        <f t="shared" si="68"/>
        <v/>
      </c>
      <c r="Y590" s="2">
        <f t="shared" ca="1" si="63"/>
        <v>143</v>
      </c>
      <c r="Z590" s="14">
        <v>1</v>
      </c>
      <c r="AA590" s="1" t="str">
        <f t="shared" ca="1" si="64"/>
        <v>VENCIDO</v>
      </c>
      <c r="AB590" s="1" t="str">
        <f t="shared" si="65"/>
        <v>Dosa</v>
      </c>
      <c r="AC590" s="2" t="str">
        <f t="shared" si="69"/>
        <v xml:space="preserve"> CLEITON </v>
      </c>
      <c r="AD590" s="2">
        <f t="shared" si="66"/>
        <v>5</v>
      </c>
      <c r="AE590" s="2">
        <f t="shared" ca="1" si="67"/>
        <v>-155.9262716435187</v>
      </c>
      <c r="AF590" s="15"/>
    </row>
    <row r="591" spans="1:32" hidden="1">
      <c r="A591" s="1">
        <v>8839442</v>
      </c>
      <c r="B591" s="1" t="s">
        <v>62</v>
      </c>
      <c r="C591" t="s">
        <v>1165</v>
      </c>
      <c r="E591" s="2">
        <v>7420380203000</v>
      </c>
      <c r="F591" s="1" t="s">
        <v>454</v>
      </c>
      <c r="G591" s="1" t="s">
        <v>30</v>
      </c>
      <c r="H591" s="1" t="s">
        <v>1166</v>
      </c>
      <c r="I591" s="1" t="s">
        <v>1167</v>
      </c>
      <c r="J591" s="1" t="s">
        <v>46</v>
      </c>
      <c r="K591" t="s">
        <v>457</v>
      </c>
      <c r="M591" s="1" t="s">
        <v>58</v>
      </c>
      <c r="N591" s="1">
        <v>0</v>
      </c>
      <c r="O591" s="1" t="s">
        <v>105</v>
      </c>
      <c r="P591" s="186">
        <v>44790.487199074072</v>
      </c>
      <c r="R591" s="1" t="s">
        <v>38</v>
      </c>
      <c r="T591" s="1" t="s">
        <v>157</v>
      </c>
      <c r="U591" s="186">
        <v>44825.75</v>
      </c>
      <c r="V591" s="1" t="s">
        <v>41</v>
      </c>
      <c r="W591" s="1" t="s">
        <v>49</v>
      </c>
      <c r="X591" s="13" t="str">
        <f t="shared" si="68"/>
        <v>7420.38</v>
      </c>
      <c r="Y591" s="2">
        <f t="shared" ca="1" si="63"/>
        <v>141</v>
      </c>
      <c r="Z591" s="14">
        <v>1</v>
      </c>
      <c r="AA591" s="1" t="str">
        <f t="shared" ca="1" si="64"/>
        <v>VENCIDO</v>
      </c>
      <c r="AB591" s="1" t="str">
        <f t="shared" si="65"/>
        <v>C-14</v>
      </c>
      <c r="AC591" s="2" t="str">
        <f t="shared" si="69"/>
        <v xml:space="preserve"> CLEITON </v>
      </c>
      <c r="AD591" s="2">
        <f t="shared" si="66"/>
        <v>5</v>
      </c>
      <c r="AE591" s="2">
        <f t="shared" ca="1" si="67"/>
        <v>-160.9262716435187</v>
      </c>
      <c r="AF591" s="15"/>
    </row>
    <row r="592" spans="1:32" hidden="1">
      <c r="A592" s="1">
        <v>8844322</v>
      </c>
      <c r="B592" s="1" t="s">
        <v>62</v>
      </c>
      <c r="C592" t="s">
        <v>1170</v>
      </c>
      <c r="E592" s="2">
        <v>714000203000</v>
      </c>
      <c r="F592" s="1" t="s">
        <v>454</v>
      </c>
      <c r="G592" s="1" t="s">
        <v>53</v>
      </c>
      <c r="H592" s="1" t="s">
        <v>377</v>
      </c>
      <c r="I592" s="1" t="s">
        <v>378</v>
      </c>
      <c r="J592" s="1" t="s">
        <v>46</v>
      </c>
      <c r="K592" t="s">
        <v>457</v>
      </c>
      <c r="M592" s="1" t="s">
        <v>58</v>
      </c>
      <c r="N592" s="1">
        <v>0</v>
      </c>
      <c r="O592" s="1" t="s">
        <v>36</v>
      </c>
      <c r="P592" s="186">
        <v>44792.402997685182</v>
      </c>
      <c r="R592" s="1">
        <v>1</v>
      </c>
      <c r="T592" s="1" t="s">
        <v>157</v>
      </c>
      <c r="U592" s="186">
        <v>44827.75</v>
      </c>
      <c r="V592" s="1" t="s">
        <v>41</v>
      </c>
      <c r="W592" s="1" t="s">
        <v>49</v>
      </c>
      <c r="X592" s="13" t="str">
        <f t="shared" si="68"/>
        <v/>
      </c>
      <c r="Y592" s="2">
        <f t="shared" ca="1" si="63"/>
        <v>139</v>
      </c>
      <c r="Z592" s="14">
        <v>1</v>
      </c>
      <c r="AA592" s="1" t="str">
        <f t="shared" ca="1" si="64"/>
        <v>VENCIDO</v>
      </c>
      <c r="AB592" s="1" t="str">
        <f t="shared" si="65"/>
        <v>C-14</v>
      </c>
      <c r="AC592" s="2" t="str">
        <f t="shared" si="69"/>
        <v xml:space="preserve"> CLEITON </v>
      </c>
      <c r="AD592" s="2">
        <f t="shared" si="66"/>
        <v>5</v>
      </c>
      <c r="AE592" s="2">
        <f t="shared" ca="1" si="67"/>
        <v>-158.9262716435187</v>
      </c>
      <c r="AF592" s="15"/>
    </row>
    <row r="593" spans="1:32" hidden="1">
      <c r="A593" s="1">
        <v>8844316</v>
      </c>
      <c r="B593" s="1" t="s">
        <v>62</v>
      </c>
      <c r="C593" t="s">
        <v>1173</v>
      </c>
      <c r="E593" s="2">
        <v>714000206001</v>
      </c>
      <c r="F593" s="1" t="s">
        <v>29</v>
      </c>
      <c r="G593" s="1" t="s">
        <v>53</v>
      </c>
      <c r="H593" s="1" t="s">
        <v>377</v>
      </c>
      <c r="I593" s="1" t="s">
        <v>378</v>
      </c>
      <c r="J593" s="1" t="s">
        <v>46</v>
      </c>
      <c r="K593" t="s">
        <v>34</v>
      </c>
      <c r="M593" s="1" t="s">
        <v>35</v>
      </c>
      <c r="N593" s="1">
        <v>42318949</v>
      </c>
      <c r="O593" s="1" t="s">
        <v>36</v>
      </c>
      <c r="P593" s="186">
        <v>44792.402361111112</v>
      </c>
      <c r="R593" s="1" t="s">
        <v>38</v>
      </c>
      <c r="T593" s="1" t="s">
        <v>74</v>
      </c>
      <c r="U593" s="186">
        <v>44834.75</v>
      </c>
      <c r="V593" s="1" t="s">
        <v>41</v>
      </c>
      <c r="W593" s="1" t="s">
        <v>49</v>
      </c>
      <c r="X593" s="13" t="str">
        <f t="shared" si="68"/>
        <v/>
      </c>
      <c r="Y593" s="2">
        <f t="shared" ca="1" si="63"/>
        <v>139</v>
      </c>
      <c r="Z593" s="14">
        <v>1</v>
      </c>
      <c r="AA593" s="1" t="str">
        <f t="shared" ca="1" si="64"/>
        <v>VENCIDO</v>
      </c>
      <c r="AB593" s="1" t="str">
        <f t="shared" si="65"/>
        <v>Dosa</v>
      </c>
      <c r="AC593" s="2" t="str">
        <f t="shared" si="69"/>
        <v xml:space="preserve"> CLEITON </v>
      </c>
      <c r="AD593" s="2">
        <f t="shared" si="66"/>
        <v>5</v>
      </c>
      <c r="AE593" s="2">
        <f t="shared" ca="1" si="67"/>
        <v>-151.9262716435187</v>
      </c>
      <c r="AF593" s="15"/>
    </row>
    <row r="594" spans="1:32" hidden="1">
      <c r="A594" s="1">
        <v>8851831</v>
      </c>
      <c r="B594" s="1" t="s">
        <v>101</v>
      </c>
      <c r="C594" t="s">
        <v>1176</v>
      </c>
      <c r="E594" s="2">
        <v>9704000206121</v>
      </c>
      <c r="F594" s="1" t="s">
        <v>113</v>
      </c>
      <c r="G594" s="1" t="s">
        <v>53</v>
      </c>
      <c r="H594" s="1" t="s">
        <v>488</v>
      </c>
      <c r="I594" s="1" t="s">
        <v>489</v>
      </c>
      <c r="J594" s="1" t="s">
        <v>90</v>
      </c>
      <c r="K594" t="s">
        <v>116</v>
      </c>
      <c r="M594" s="1" t="s">
        <v>35</v>
      </c>
      <c r="N594" s="1">
        <v>42318949</v>
      </c>
      <c r="O594" s="1" t="s">
        <v>105</v>
      </c>
      <c r="P594" s="186">
        <v>44795.769953703704</v>
      </c>
      <c r="R594" s="1" t="s">
        <v>38</v>
      </c>
      <c r="T594" s="1" t="s">
        <v>74</v>
      </c>
      <c r="U594" s="186">
        <v>44796.75</v>
      </c>
      <c r="V594" s="1" t="s">
        <v>41</v>
      </c>
      <c r="W594" s="1" t="s">
        <v>49</v>
      </c>
      <c r="X594" s="13" t="str">
        <f t="shared" si="68"/>
        <v/>
      </c>
      <c r="Y594" s="2">
        <f t="shared" ca="1" si="63"/>
        <v>138</v>
      </c>
      <c r="Z594" s="14">
        <v>1</v>
      </c>
      <c r="AA594" s="1" t="str">
        <f t="shared" ca="1" si="64"/>
        <v>VENCIDO</v>
      </c>
      <c r="AB594" s="1" t="str">
        <f t="shared" si="65"/>
        <v>TAAe+</v>
      </c>
      <c r="AC594" s="2" t="str">
        <f t="shared" si="69"/>
        <v xml:space="preserve"> RINALDO </v>
      </c>
      <c r="AD594" s="2">
        <f t="shared" si="66"/>
        <v>8</v>
      </c>
      <c r="AE594" s="2">
        <f t="shared" ca="1" si="67"/>
        <v>-189.9262716435187</v>
      </c>
      <c r="AF594" s="15"/>
    </row>
    <row r="595" spans="1:32" hidden="1">
      <c r="A595" s="1">
        <v>8851830</v>
      </c>
      <c r="B595" s="1" t="s">
        <v>101</v>
      </c>
      <c r="C595" t="s">
        <v>1176</v>
      </c>
      <c r="E595" s="2">
        <v>9704000206121</v>
      </c>
      <c r="F595" s="1" t="s">
        <v>113</v>
      </c>
      <c r="G595" s="1" t="s">
        <v>53</v>
      </c>
      <c r="H595" s="1" t="s">
        <v>488</v>
      </c>
      <c r="I595" s="1" t="s">
        <v>489</v>
      </c>
      <c r="J595" s="1" t="s">
        <v>90</v>
      </c>
      <c r="K595" t="s">
        <v>116</v>
      </c>
      <c r="M595" s="1" t="s">
        <v>35</v>
      </c>
      <c r="N595" s="1">
        <v>42318949</v>
      </c>
      <c r="O595" s="1" t="s">
        <v>105</v>
      </c>
      <c r="P595" s="186">
        <v>44795.769953703704</v>
      </c>
      <c r="R595" s="1" t="s">
        <v>38</v>
      </c>
      <c r="T595" s="1" t="s">
        <v>74</v>
      </c>
      <c r="U595" s="186">
        <v>44796.75</v>
      </c>
      <c r="V595" s="1" t="s">
        <v>41</v>
      </c>
      <c r="W595" s="1" t="s">
        <v>49</v>
      </c>
      <c r="X595" s="13" t="str">
        <f t="shared" si="68"/>
        <v/>
      </c>
      <c r="Y595" s="2">
        <f t="shared" ca="1" si="63"/>
        <v>138</v>
      </c>
      <c r="Z595" s="14">
        <v>1</v>
      </c>
      <c r="AA595" s="1" t="str">
        <f t="shared" ca="1" si="64"/>
        <v>VENCIDO</v>
      </c>
      <c r="AB595" s="1" t="str">
        <f t="shared" si="65"/>
        <v>TAAe+</v>
      </c>
      <c r="AC595" s="2" t="str">
        <f t="shared" si="69"/>
        <v xml:space="preserve"> RINALDO </v>
      </c>
      <c r="AD595" s="2">
        <f t="shared" si="66"/>
        <v>8</v>
      </c>
      <c r="AE595" s="2">
        <f t="shared" ca="1" si="67"/>
        <v>-189.9262716435187</v>
      </c>
      <c r="AF595" s="15"/>
    </row>
    <row r="596" spans="1:32" hidden="1">
      <c r="A596" s="1">
        <v>8851829</v>
      </c>
      <c r="B596" s="1" t="s">
        <v>101</v>
      </c>
      <c r="C596" t="s">
        <v>1176</v>
      </c>
      <c r="E596" s="2">
        <v>9704000206121</v>
      </c>
      <c r="F596" s="1" t="s">
        <v>113</v>
      </c>
      <c r="G596" s="1" t="s">
        <v>53</v>
      </c>
      <c r="H596" s="1" t="s">
        <v>488</v>
      </c>
      <c r="I596" s="1" t="s">
        <v>489</v>
      </c>
      <c r="J596" s="1" t="s">
        <v>90</v>
      </c>
      <c r="K596" t="s">
        <v>116</v>
      </c>
      <c r="M596" s="1" t="s">
        <v>35</v>
      </c>
      <c r="N596" s="1">
        <v>42318949</v>
      </c>
      <c r="O596" s="1" t="s">
        <v>105</v>
      </c>
      <c r="P596" s="186">
        <v>44795.769953703704</v>
      </c>
      <c r="R596" s="1" t="s">
        <v>38</v>
      </c>
      <c r="T596" s="1" t="s">
        <v>74</v>
      </c>
      <c r="U596" s="186">
        <v>44796.75</v>
      </c>
      <c r="V596" s="1" t="s">
        <v>41</v>
      </c>
      <c r="W596" s="1" t="s">
        <v>49</v>
      </c>
      <c r="X596" s="13" t="str">
        <f t="shared" si="68"/>
        <v/>
      </c>
      <c r="Y596" s="2">
        <f t="shared" ca="1" si="63"/>
        <v>138</v>
      </c>
      <c r="Z596" s="14">
        <v>1</v>
      </c>
      <c r="AA596" s="1" t="str">
        <f t="shared" ca="1" si="64"/>
        <v>VENCIDO</v>
      </c>
      <c r="AB596" s="1" t="str">
        <f t="shared" si="65"/>
        <v>TAAe+</v>
      </c>
      <c r="AC596" s="2" t="str">
        <f t="shared" si="69"/>
        <v xml:space="preserve"> RINALDO </v>
      </c>
      <c r="AD596" s="2">
        <f t="shared" si="66"/>
        <v>8</v>
      </c>
      <c r="AE596" s="2">
        <f t="shared" ca="1" si="67"/>
        <v>-189.9262716435187</v>
      </c>
      <c r="AF596" s="15"/>
    </row>
    <row r="597" spans="1:32" hidden="1">
      <c r="A597" s="1">
        <v>8851826</v>
      </c>
      <c r="B597" s="1" t="s">
        <v>101</v>
      </c>
      <c r="C597" t="s">
        <v>1176</v>
      </c>
      <c r="E597" s="2">
        <v>9700000206121</v>
      </c>
      <c r="F597" s="1" t="s">
        <v>113</v>
      </c>
      <c r="G597" s="1" t="s">
        <v>53</v>
      </c>
      <c r="H597" s="1" t="s">
        <v>209</v>
      </c>
      <c r="I597" s="1" t="s">
        <v>210</v>
      </c>
      <c r="J597" s="1" t="s">
        <v>211</v>
      </c>
      <c r="K597" t="s">
        <v>116</v>
      </c>
      <c r="M597" s="1" t="s">
        <v>35</v>
      </c>
      <c r="N597" s="1">
        <v>42318949</v>
      </c>
      <c r="O597" s="1" t="s">
        <v>105</v>
      </c>
      <c r="P597" s="186">
        <v>44795.769953703704</v>
      </c>
      <c r="R597" s="1" t="s">
        <v>38</v>
      </c>
      <c r="T597" s="1" t="s">
        <v>74</v>
      </c>
      <c r="U597" s="186">
        <v>44796.75</v>
      </c>
      <c r="V597" s="1" t="s">
        <v>41</v>
      </c>
      <c r="W597" s="1" t="s">
        <v>49</v>
      </c>
      <c r="X597" s="13" t="str">
        <f t="shared" si="68"/>
        <v/>
      </c>
      <c r="Y597" s="2">
        <f t="shared" ca="1" si="63"/>
        <v>138</v>
      </c>
      <c r="Z597" s="14">
        <v>1</v>
      </c>
      <c r="AA597" s="1" t="str">
        <f t="shared" ca="1" si="64"/>
        <v>VENCIDO</v>
      </c>
      <c r="AB597" s="1" t="str">
        <f t="shared" si="65"/>
        <v>TAAe+</v>
      </c>
      <c r="AC597" s="2" t="str">
        <f t="shared" si="69"/>
        <v xml:space="preserve"> RINALDO </v>
      </c>
      <c r="AD597" s="2">
        <f t="shared" si="66"/>
        <v>8</v>
      </c>
      <c r="AE597" s="2">
        <f t="shared" ca="1" si="67"/>
        <v>-189.9262716435187</v>
      </c>
      <c r="AF597" s="15"/>
    </row>
    <row r="598" spans="1:32" hidden="1">
      <c r="A598" s="1">
        <v>8851825</v>
      </c>
      <c r="B598" s="1" t="s">
        <v>101</v>
      </c>
      <c r="C598" t="s">
        <v>1176</v>
      </c>
      <c r="E598" s="2">
        <v>9700000206121</v>
      </c>
      <c r="F598" s="1" t="s">
        <v>113</v>
      </c>
      <c r="G598" s="1" t="s">
        <v>53</v>
      </c>
      <c r="H598" s="1" t="s">
        <v>209</v>
      </c>
      <c r="I598" s="1" t="s">
        <v>210</v>
      </c>
      <c r="J598" s="1" t="s">
        <v>211</v>
      </c>
      <c r="K598" t="s">
        <v>116</v>
      </c>
      <c r="M598" s="1" t="s">
        <v>35</v>
      </c>
      <c r="N598" s="1">
        <v>42318949</v>
      </c>
      <c r="O598" s="1" t="s">
        <v>105</v>
      </c>
      <c r="P598" s="186">
        <v>44795.769953703704</v>
      </c>
      <c r="R598" s="1" t="s">
        <v>38</v>
      </c>
      <c r="T598" s="1" t="s">
        <v>74</v>
      </c>
      <c r="U598" s="186">
        <v>44796.75</v>
      </c>
      <c r="V598" s="1" t="s">
        <v>41</v>
      </c>
      <c r="W598" s="1" t="s">
        <v>49</v>
      </c>
      <c r="X598" s="13" t="str">
        <f t="shared" si="68"/>
        <v/>
      </c>
      <c r="Y598" s="2">
        <f t="shared" ca="1" si="63"/>
        <v>138</v>
      </c>
      <c r="Z598" s="14">
        <v>1</v>
      </c>
      <c r="AA598" s="1" t="str">
        <f t="shared" ca="1" si="64"/>
        <v>VENCIDO</v>
      </c>
      <c r="AB598" s="1" t="str">
        <f t="shared" si="65"/>
        <v>TAAe+</v>
      </c>
      <c r="AC598" s="2" t="str">
        <f t="shared" si="69"/>
        <v xml:space="preserve"> RINALDO </v>
      </c>
      <c r="AD598" s="2">
        <f t="shared" si="66"/>
        <v>8</v>
      </c>
      <c r="AE598" s="2">
        <f t="shared" ca="1" si="67"/>
        <v>-189.9262716435187</v>
      </c>
      <c r="AF598" s="15"/>
    </row>
    <row r="599" spans="1:32" hidden="1">
      <c r="A599" s="1">
        <v>8851534</v>
      </c>
      <c r="B599" s="1" t="s">
        <v>101</v>
      </c>
      <c r="C599" t="s">
        <v>1176</v>
      </c>
      <c r="E599" s="2">
        <v>9406000206121</v>
      </c>
      <c r="F599" s="1" t="s">
        <v>113</v>
      </c>
      <c r="G599" s="1" t="s">
        <v>53</v>
      </c>
      <c r="H599" s="1" t="s">
        <v>114</v>
      </c>
      <c r="I599" s="1" t="s">
        <v>115</v>
      </c>
      <c r="J599" s="1" t="s">
        <v>46</v>
      </c>
      <c r="K599" t="s">
        <v>116</v>
      </c>
      <c r="M599" s="1" t="s">
        <v>35</v>
      </c>
      <c r="N599" s="1">
        <v>42318949</v>
      </c>
      <c r="O599" s="1" t="s">
        <v>105</v>
      </c>
      <c r="P599" s="186">
        <v>44795.769618055558</v>
      </c>
      <c r="R599" s="1" t="s">
        <v>38</v>
      </c>
      <c r="T599" s="1" t="s">
        <v>74</v>
      </c>
      <c r="U599" s="186">
        <v>44796.75</v>
      </c>
      <c r="V599" s="1" t="s">
        <v>41</v>
      </c>
      <c r="W599" s="1" t="s">
        <v>49</v>
      </c>
      <c r="X599" s="13" t="str">
        <f t="shared" si="68"/>
        <v/>
      </c>
      <c r="Y599" s="2">
        <f t="shared" ca="1" si="63"/>
        <v>138</v>
      </c>
      <c r="Z599" s="14">
        <v>1</v>
      </c>
      <c r="AA599" s="1" t="str">
        <f t="shared" ca="1" si="64"/>
        <v>VENCIDO</v>
      </c>
      <c r="AB599" s="1" t="str">
        <f t="shared" si="65"/>
        <v>TAAe+</v>
      </c>
      <c r="AC599" s="2" t="str">
        <f t="shared" si="69"/>
        <v xml:space="preserve"> CLEITON </v>
      </c>
      <c r="AD599" s="2">
        <f t="shared" si="66"/>
        <v>8</v>
      </c>
      <c r="AE599" s="2">
        <f t="shared" ca="1" si="67"/>
        <v>-189.9262716435187</v>
      </c>
      <c r="AF599" s="15"/>
    </row>
    <row r="600" spans="1:32" hidden="1">
      <c r="A600" s="1">
        <v>8851533</v>
      </c>
      <c r="B600" s="1" t="s">
        <v>101</v>
      </c>
      <c r="C600" t="s">
        <v>1176</v>
      </c>
      <c r="E600" s="2">
        <v>9406000206121</v>
      </c>
      <c r="F600" s="1" t="s">
        <v>113</v>
      </c>
      <c r="G600" s="1" t="s">
        <v>53</v>
      </c>
      <c r="H600" s="1" t="s">
        <v>114</v>
      </c>
      <c r="I600" s="1" t="s">
        <v>115</v>
      </c>
      <c r="J600" s="1" t="s">
        <v>46</v>
      </c>
      <c r="K600" t="s">
        <v>116</v>
      </c>
      <c r="M600" s="1" t="s">
        <v>35</v>
      </c>
      <c r="N600" s="1">
        <v>42318949</v>
      </c>
      <c r="O600" s="1" t="s">
        <v>105</v>
      </c>
      <c r="P600" s="186">
        <v>44795.769618055558</v>
      </c>
      <c r="R600" s="1" t="s">
        <v>38</v>
      </c>
      <c r="T600" s="1" t="s">
        <v>74</v>
      </c>
      <c r="U600" s="186">
        <v>44796.75</v>
      </c>
      <c r="V600" s="1" t="s">
        <v>41</v>
      </c>
      <c r="W600" s="1" t="s">
        <v>49</v>
      </c>
      <c r="X600" s="13" t="str">
        <f t="shared" si="68"/>
        <v/>
      </c>
      <c r="Y600" s="2">
        <f t="shared" ca="1" si="63"/>
        <v>138</v>
      </c>
      <c r="Z600" s="14">
        <v>1</v>
      </c>
      <c r="AA600" s="1" t="str">
        <f t="shared" ca="1" si="64"/>
        <v>VENCIDO</v>
      </c>
      <c r="AB600" s="1" t="str">
        <f t="shared" si="65"/>
        <v>TAAe+</v>
      </c>
      <c r="AC600" s="2" t="str">
        <f t="shared" si="69"/>
        <v xml:space="preserve"> CLEITON </v>
      </c>
      <c r="AD600" s="2">
        <f t="shared" si="66"/>
        <v>8</v>
      </c>
      <c r="AE600" s="2">
        <f t="shared" ca="1" si="67"/>
        <v>-189.9262716435187</v>
      </c>
      <c r="AF600" s="15"/>
    </row>
    <row r="601" spans="1:32" hidden="1">
      <c r="A601" s="1">
        <v>8851532</v>
      </c>
      <c r="B601" s="1" t="s">
        <v>101</v>
      </c>
      <c r="C601" t="s">
        <v>1176</v>
      </c>
      <c r="E601" s="2">
        <v>9406000206121</v>
      </c>
      <c r="F601" s="1" t="s">
        <v>113</v>
      </c>
      <c r="G601" s="1" t="s">
        <v>53</v>
      </c>
      <c r="H601" s="1" t="s">
        <v>114</v>
      </c>
      <c r="I601" s="1" t="s">
        <v>115</v>
      </c>
      <c r="J601" s="1" t="s">
        <v>46</v>
      </c>
      <c r="K601" t="s">
        <v>116</v>
      </c>
      <c r="M601" s="1" t="s">
        <v>35</v>
      </c>
      <c r="N601" s="1">
        <v>42318949</v>
      </c>
      <c r="O601" s="1" t="s">
        <v>105</v>
      </c>
      <c r="P601" s="186">
        <v>44795.769618055558</v>
      </c>
      <c r="R601" s="1" t="s">
        <v>38</v>
      </c>
      <c r="T601" s="1" t="s">
        <v>74</v>
      </c>
      <c r="U601" s="186">
        <v>44796.75</v>
      </c>
      <c r="V601" s="1" t="s">
        <v>41</v>
      </c>
      <c r="W601" s="1" t="s">
        <v>49</v>
      </c>
      <c r="X601" s="13" t="str">
        <f t="shared" si="68"/>
        <v/>
      </c>
      <c r="Y601" s="2">
        <f t="shared" ca="1" si="63"/>
        <v>138</v>
      </c>
      <c r="Z601" s="14">
        <v>1</v>
      </c>
      <c r="AA601" s="1" t="str">
        <f t="shared" ca="1" si="64"/>
        <v>VENCIDO</v>
      </c>
      <c r="AB601" s="1" t="str">
        <f t="shared" si="65"/>
        <v>TAAe+</v>
      </c>
      <c r="AC601" s="2" t="str">
        <f t="shared" si="69"/>
        <v xml:space="preserve"> CLEITON </v>
      </c>
      <c r="AD601" s="2">
        <f t="shared" si="66"/>
        <v>8</v>
      </c>
      <c r="AE601" s="2">
        <f t="shared" ca="1" si="67"/>
        <v>-189.9262716435187</v>
      </c>
      <c r="AF601" s="15"/>
    </row>
    <row r="602" spans="1:32" hidden="1">
      <c r="A602" s="1">
        <v>8851531</v>
      </c>
      <c r="B602" s="1" t="s">
        <v>101</v>
      </c>
      <c r="C602" t="s">
        <v>1176</v>
      </c>
      <c r="E602" s="2">
        <v>9406000206121</v>
      </c>
      <c r="F602" s="1" t="s">
        <v>113</v>
      </c>
      <c r="G602" s="1" t="s">
        <v>53</v>
      </c>
      <c r="H602" s="1" t="s">
        <v>114</v>
      </c>
      <c r="I602" s="1" t="s">
        <v>115</v>
      </c>
      <c r="J602" s="1" t="s">
        <v>46</v>
      </c>
      <c r="K602" t="s">
        <v>116</v>
      </c>
      <c r="M602" s="1" t="s">
        <v>35</v>
      </c>
      <c r="N602" s="1">
        <v>42318949</v>
      </c>
      <c r="O602" s="1" t="s">
        <v>105</v>
      </c>
      <c r="P602" s="186">
        <v>44795.769618055558</v>
      </c>
      <c r="R602" s="1" t="s">
        <v>38</v>
      </c>
      <c r="T602" s="1" t="s">
        <v>74</v>
      </c>
      <c r="U602" s="186">
        <v>44796.75</v>
      </c>
      <c r="V602" s="1" t="s">
        <v>41</v>
      </c>
      <c r="W602" s="1" t="s">
        <v>49</v>
      </c>
      <c r="X602" s="13" t="str">
        <f t="shared" si="68"/>
        <v/>
      </c>
      <c r="Y602" s="2">
        <f t="shared" ca="1" si="63"/>
        <v>138</v>
      </c>
      <c r="Z602" s="14">
        <v>1</v>
      </c>
      <c r="AA602" s="1" t="str">
        <f t="shared" ca="1" si="64"/>
        <v>VENCIDO</v>
      </c>
      <c r="AB602" s="1" t="str">
        <f t="shared" si="65"/>
        <v>TAAe+</v>
      </c>
      <c r="AC602" s="2" t="str">
        <f t="shared" si="69"/>
        <v xml:space="preserve"> CLEITON </v>
      </c>
      <c r="AD602" s="2">
        <f t="shared" si="66"/>
        <v>8</v>
      </c>
      <c r="AE602" s="2">
        <f t="shared" ca="1" si="67"/>
        <v>-189.9262716435187</v>
      </c>
      <c r="AF602" s="15"/>
    </row>
    <row r="603" spans="1:32" hidden="1">
      <c r="A603" s="1">
        <v>8851530</v>
      </c>
      <c r="B603" s="1" t="s">
        <v>101</v>
      </c>
      <c r="C603" t="s">
        <v>1176</v>
      </c>
      <c r="E603" s="2">
        <v>9406000206121</v>
      </c>
      <c r="F603" s="1" t="s">
        <v>113</v>
      </c>
      <c r="G603" s="1" t="s">
        <v>53</v>
      </c>
      <c r="H603" s="1" t="s">
        <v>114</v>
      </c>
      <c r="I603" s="1" t="s">
        <v>115</v>
      </c>
      <c r="J603" s="1" t="s">
        <v>46</v>
      </c>
      <c r="K603" t="s">
        <v>116</v>
      </c>
      <c r="M603" s="1" t="s">
        <v>35</v>
      </c>
      <c r="N603" s="1">
        <v>42318949</v>
      </c>
      <c r="O603" s="1" t="s">
        <v>105</v>
      </c>
      <c r="P603" s="186">
        <v>44795.769606481481</v>
      </c>
      <c r="R603" s="1" t="s">
        <v>38</v>
      </c>
      <c r="T603" s="1" t="s">
        <v>74</v>
      </c>
      <c r="U603" s="186">
        <v>44796.75</v>
      </c>
      <c r="V603" s="1" t="s">
        <v>41</v>
      </c>
      <c r="W603" s="1" t="s">
        <v>49</v>
      </c>
      <c r="X603" s="13" t="str">
        <f t="shared" si="68"/>
        <v/>
      </c>
      <c r="Y603" s="2">
        <f t="shared" ca="1" si="63"/>
        <v>138</v>
      </c>
      <c r="Z603" s="14">
        <v>1</v>
      </c>
      <c r="AA603" s="1" t="str">
        <f t="shared" ca="1" si="64"/>
        <v>VENCIDO</v>
      </c>
      <c r="AB603" s="1" t="str">
        <f t="shared" si="65"/>
        <v>TAAe+</v>
      </c>
      <c r="AC603" s="2" t="str">
        <f t="shared" si="69"/>
        <v xml:space="preserve"> CLEITON </v>
      </c>
      <c r="AD603" s="2">
        <f t="shared" si="66"/>
        <v>8</v>
      </c>
      <c r="AE603" s="2">
        <f t="shared" ca="1" si="67"/>
        <v>-189.9262716435187</v>
      </c>
      <c r="AF603" s="15"/>
    </row>
    <row r="604" spans="1:32" hidden="1">
      <c r="A604" s="1">
        <v>8851529</v>
      </c>
      <c r="B604" s="1" t="s">
        <v>101</v>
      </c>
      <c r="C604" t="s">
        <v>1176</v>
      </c>
      <c r="E604" s="2">
        <v>9406000206121</v>
      </c>
      <c r="F604" s="1" t="s">
        <v>113</v>
      </c>
      <c r="G604" s="1" t="s">
        <v>53</v>
      </c>
      <c r="H604" s="1" t="s">
        <v>114</v>
      </c>
      <c r="I604" s="1" t="s">
        <v>115</v>
      </c>
      <c r="J604" s="1" t="s">
        <v>46</v>
      </c>
      <c r="K604" t="s">
        <v>116</v>
      </c>
      <c r="M604" s="1" t="s">
        <v>35</v>
      </c>
      <c r="N604" s="1">
        <v>42318949</v>
      </c>
      <c r="O604" s="1" t="s">
        <v>105</v>
      </c>
      <c r="P604" s="186">
        <v>44795.769606481481</v>
      </c>
      <c r="R604" s="1" t="s">
        <v>38</v>
      </c>
      <c r="T604" s="1" t="s">
        <v>74</v>
      </c>
      <c r="U604" s="186">
        <v>44796.75</v>
      </c>
      <c r="V604" s="1" t="s">
        <v>41</v>
      </c>
      <c r="W604" s="1" t="s">
        <v>49</v>
      </c>
      <c r="X604" s="13" t="str">
        <f t="shared" si="68"/>
        <v/>
      </c>
      <c r="Y604" s="2">
        <f t="shared" ca="1" si="63"/>
        <v>138</v>
      </c>
      <c r="Z604" s="14">
        <v>1</v>
      </c>
      <c r="AA604" s="1" t="str">
        <f t="shared" ca="1" si="64"/>
        <v>VENCIDO</v>
      </c>
      <c r="AB604" s="1" t="str">
        <f t="shared" si="65"/>
        <v>TAAe+</v>
      </c>
      <c r="AC604" s="2" t="str">
        <f t="shared" si="69"/>
        <v xml:space="preserve"> CLEITON </v>
      </c>
      <c r="AD604" s="2">
        <f t="shared" si="66"/>
        <v>8</v>
      </c>
      <c r="AE604" s="2">
        <f t="shared" ca="1" si="67"/>
        <v>-189.9262716435187</v>
      </c>
      <c r="AF604" s="15"/>
    </row>
    <row r="605" spans="1:32" hidden="1">
      <c r="A605" s="1">
        <v>8851528</v>
      </c>
      <c r="B605" s="1" t="s">
        <v>101</v>
      </c>
      <c r="C605" t="s">
        <v>1176</v>
      </c>
      <c r="E605" s="2">
        <v>9406000206121</v>
      </c>
      <c r="F605" s="1" t="s">
        <v>113</v>
      </c>
      <c r="G605" s="1" t="s">
        <v>53</v>
      </c>
      <c r="H605" s="1" t="s">
        <v>114</v>
      </c>
      <c r="I605" s="1" t="s">
        <v>115</v>
      </c>
      <c r="J605" s="1" t="s">
        <v>46</v>
      </c>
      <c r="K605" t="s">
        <v>116</v>
      </c>
      <c r="M605" s="1" t="s">
        <v>35</v>
      </c>
      <c r="N605" s="1">
        <v>42318949</v>
      </c>
      <c r="O605" s="1" t="s">
        <v>105</v>
      </c>
      <c r="P605" s="186">
        <v>44795.769606481481</v>
      </c>
      <c r="R605" s="1" t="s">
        <v>38</v>
      </c>
      <c r="T605" s="1" t="s">
        <v>74</v>
      </c>
      <c r="U605" s="186">
        <v>44796.75</v>
      </c>
      <c r="V605" s="1" t="s">
        <v>41</v>
      </c>
      <c r="W605" s="1" t="s">
        <v>49</v>
      </c>
      <c r="X605" s="13" t="str">
        <f t="shared" si="68"/>
        <v/>
      </c>
      <c r="Y605" s="2">
        <f t="shared" ca="1" si="63"/>
        <v>138</v>
      </c>
      <c r="Z605" s="14">
        <v>1</v>
      </c>
      <c r="AA605" s="1" t="str">
        <f t="shared" ca="1" si="64"/>
        <v>VENCIDO</v>
      </c>
      <c r="AB605" s="1" t="str">
        <f t="shared" si="65"/>
        <v>TAAe+</v>
      </c>
      <c r="AC605" s="2" t="str">
        <f t="shared" si="69"/>
        <v xml:space="preserve"> CLEITON </v>
      </c>
      <c r="AD605" s="2">
        <f t="shared" si="66"/>
        <v>8</v>
      </c>
      <c r="AE605" s="2">
        <f t="shared" ca="1" si="67"/>
        <v>-189.9262716435187</v>
      </c>
      <c r="AF605" s="15"/>
    </row>
    <row r="606" spans="1:32" hidden="1">
      <c r="A606" s="1">
        <v>8854131</v>
      </c>
      <c r="B606" s="1" t="s">
        <v>62</v>
      </c>
      <c r="C606" t="s">
        <v>1181</v>
      </c>
      <c r="E606" s="2">
        <v>600000203000</v>
      </c>
      <c r="F606" s="1" t="s">
        <v>454</v>
      </c>
      <c r="G606" s="1" t="s">
        <v>53</v>
      </c>
      <c r="H606" s="1" t="s">
        <v>1084</v>
      </c>
      <c r="I606" s="1" t="s">
        <v>1085</v>
      </c>
      <c r="J606" s="1" t="s">
        <v>90</v>
      </c>
      <c r="K606" t="s">
        <v>457</v>
      </c>
      <c r="M606" s="1" t="s">
        <v>58</v>
      </c>
      <c r="N606" s="1">
        <v>0</v>
      </c>
      <c r="O606" s="1" t="s">
        <v>36</v>
      </c>
      <c r="P606" s="186">
        <v>44796.643958333334</v>
      </c>
      <c r="R606" s="1">
        <v>1</v>
      </c>
      <c r="T606" s="1" t="s">
        <v>157</v>
      </c>
      <c r="U606" s="186">
        <v>44831.75</v>
      </c>
      <c r="V606" s="1" t="s">
        <v>41</v>
      </c>
      <c r="W606" s="1" t="s">
        <v>49</v>
      </c>
      <c r="X606" s="13" t="str">
        <f t="shared" si="68"/>
        <v/>
      </c>
      <c r="Y606" s="2">
        <f t="shared" ca="1" si="63"/>
        <v>137</v>
      </c>
      <c r="Z606" s="14">
        <v>1</v>
      </c>
      <c r="AA606" s="1" t="str">
        <f t="shared" ca="1" si="64"/>
        <v>VENCIDO</v>
      </c>
      <c r="AB606" s="1" t="str">
        <f t="shared" si="65"/>
        <v>C-14</v>
      </c>
      <c r="AC606" s="2" t="str">
        <f t="shared" si="69"/>
        <v xml:space="preserve"> RINALDO </v>
      </c>
      <c r="AD606" s="2">
        <f t="shared" si="66"/>
        <v>5</v>
      </c>
      <c r="AE606" s="2">
        <f t="shared" ca="1" si="67"/>
        <v>-154.9262716435187</v>
      </c>
      <c r="AF606" s="15"/>
    </row>
    <row r="607" spans="1:32" hidden="1">
      <c r="A607" s="1">
        <v>8861317</v>
      </c>
      <c r="B607" s="1" t="s">
        <v>62</v>
      </c>
      <c r="C607" t="s">
        <v>3027</v>
      </c>
      <c r="E607" s="2">
        <v>2170000206001</v>
      </c>
      <c r="F607" s="1" t="s">
        <v>29</v>
      </c>
      <c r="G607" s="1" t="s">
        <v>53</v>
      </c>
      <c r="H607" s="1" t="s">
        <v>477</v>
      </c>
      <c r="I607" s="1" t="s">
        <v>478</v>
      </c>
      <c r="J607" s="1" t="s">
        <v>148</v>
      </c>
      <c r="K607" t="s">
        <v>34</v>
      </c>
      <c r="M607" s="1" t="s">
        <v>35</v>
      </c>
      <c r="N607" s="1">
        <v>42318949</v>
      </c>
      <c r="O607" s="1" t="s">
        <v>36</v>
      </c>
      <c r="P607" s="186">
        <v>44799.364745370367</v>
      </c>
      <c r="R607" s="1" t="s">
        <v>38</v>
      </c>
      <c r="T607" s="1" t="s">
        <v>74</v>
      </c>
      <c r="U607" s="186">
        <v>44841.75</v>
      </c>
      <c r="V607" s="1" t="s">
        <v>41</v>
      </c>
      <c r="W607" s="1" t="s">
        <v>49</v>
      </c>
      <c r="X607" s="13" t="str">
        <f t="shared" si="68"/>
        <v/>
      </c>
      <c r="Y607" s="2">
        <f t="shared" ca="1" si="63"/>
        <v>134</v>
      </c>
      <c r="Z607" s="14">
        <v>1</v>
      </c>
      <c r="AA607" s="1" t="str">
        <f t="shared" ca="1" si="64"/>
        <v>VENCIDO</v>
      </c>
      <c r="AB607" s="1" t="str">
        <f t="shared" si="65"/>
        <v>Dosa</v>
      </c>
      <c r="AC607" s="2" t="str">
        <f t="shared" si="69"/>
        <v xml:space="preserve"> RINALDO </v>
      </c>
      <c r="AD607" s="2">
        <f t="shared" si="66"/>
        <v>5</v>
      </c>
      <c r="AE607" s="2">
        <f t="shared" ca="1" si="67"/>
        <v>-144.9262716435187</v>
      </c>
      <c r="AF607" s="15"/>
    </row>
    <row r="608" spans="1:32" hidden="1">
      <c r="A608" s="1">
        <v>8870241</v>
      </c>
      <c r="B608" s="1" t="s">
        <v>62</v>
      </c>
      <c r="C608" t="s">
        <v>3028</v>
      </c>
      <c r="E608" s="2">
        <v>2830000203000</v>
      </c>
      <c r="F608" s="1" t="s">
        <v>454</v>
      </c>
      <c r="G608" s="1" t="s">
        <v>53</v>
      </c>
      <c r="H608" s="1" t="s">
        <v>448</v>
      </c>
      <c r="I608" s="1" t="s">
        <v>449</v>
      </c>
      <c r="J608" s="1" t="s">
        <v>33</v>
      </c>
      <c r="K608" t="s">
        <v>457</v>
      </c>
      <c r="M608" s="1" t="s">
        <v>58</v>
      </c>
      <c r="N608" s="1">
        <v>0</v>
      </c>
      <c r="O608" s="1" t="s">
        <v>36</v>
      </c>
      <c r="P608" s="186">
        <v>44803.491261574076</v>
      </c>
      <c r="R608" s="1">
        <v>1</v>
      </c>
      <c r="T608" s="1" t="s">
        <v>157</v>
      </c>
      <c r="U608" s="186">
        <v>44838.75</v>
      </c>
      <c r="V608" s="1" t="s">
        <v>41</v>
      </c>
      <c r="W608" s="1" t="s">
        <v>42</v>
      </c>
      <c r="X608" s="13" t="str">
        <f t="shared" si="68"/>
        <v/>
      </c>
      <c r="Y608" s="2">
        <f t="shared" ca="1" si="63"/>
        <v>132</v>
      </c>
      <c r="Z608" s="14">
        <v>1</v>
      </c>
      <c r="AA608" s="1" t="str">
        <f t="shared" ca="1" si="64"/>
        <v>VENCIDO</v>
      </c>
      <c r="AB608" s="1" t="str">
        <f t="shared" si="65"/>
        <v>C-14</v>
      </c>
      <c r="AC608" s="2" t="str">
        <f t="shared" si="69"/>
        <v xml:space="preserve"> ROSEMERE </v>
      </c>
      <c r="AD608" s="2">
        <f t="shared" si="66"/>
        <v>5</v>
      </c>
      <c r="AE608" s="2">
        <f t="shared" ca="1" si="67"/>
        <v>-147.9262716435187</v>
      </c>
      <c r="AF608" s="15"/>
    </row>
    <row r="609" spans="1:32" hidden="1">
      <c r="A609" s="1">
        <v>8873349</v>
      </c>
      <c r="B609" s="1" t="s">
        <v>62</v>
      </c>
      <c r="C609" t="s">
        <v>3585</v>
      </c>
      <c r="E609" s="2">
        <v>1902016236500</v>
      </c>
      <c r="F609" s="1" t="s">
        <v>64</v>
      </c>
      <c r="G609" s="1" t="s">
        <v>53</v>
      </c>
      <c r="H609" s="1" t="s">
        <v>159</v>
      </c>
      <c r="I609" s="1" t="s">
        <v>160</v>
      </c>
      <c r="J609" s="1" t="s">
        <v>46</v>
      </c>
      <c r="K609" t="s">
        <v>67</v>
      </c>
      <c r="M609" s="1" t="s">
        <v>35</v>
      </c>
      <c r="N609" s="1">
        <v>42318949</v>
      </c>
      <c r="O609" s="1" t="s">
        <v>36</v>
      </c>
      <c r="P609" s="186">
        <v>44804.567094907405</v>
      </c>
      <c r="R609" s="1">
        <v>1</v>
      </c>
      <c r="T609" s="1" t="s">
        <v>69</v>
      </c>
      <c r="U609" s="186">
        <v>44805.567094907405</v>
      </c>
      <c r="V609" s="1" t="s">
        <v>41</v>
      </c>
      <c r="W609" s="1" t="s">
        <v>49</v>
      </c>
      <c r="X609" s="13" t="str">
        <f t="shared" si="68"/>
        <v/>
      </c>
      <c r="Y609" s="2">
        <f t="shared" ca="1" si="63"/>
        <v>131</v>
      </c>
      <c r="Z609" s="14">
        <v>1</v>
      </c>
      <c r="AA609" s="1" t="str">
        <f t="shared" ca="1" si="64"/>
        <v>VENCIDO</v>
      </c>
      <c r="AB609" s="1" t="str">
        <f t="shared" si="65"/>
        <v>TAAe+</v>
      </c>
      <c r="AC609" s="2" t="str">
        <f t="shared" si="69"/>
        <v xml:space="preserve"> CLEITON </v>
      </c>
      <c r="AD609" s="2">
        <f t="shared" si="66"/>
        <v>8</v>
      </c>
      <c r="AE609" s="2">
        <f t="shared" ca="1" si="67"/>
        <v>-181.10917673611402</v>
      </c>
      <c r="AF609" s="15"/>
    </row>
    <row r="610" spans="1:32" hidden="1">
      <c r="A610" s="1">
        <v>8873348</v>
      </c>
      <c r="B610" s="1" t="s">
        <v>62</v>
      </c>
      <c r="C610" t="s">
        <v>3585</v>
      </c>
      <c r="E610" s="2">
        <v>1902016232600</v>
      </c>
      <c r="F610" s="1" t="s">
        <v>64</v>
      </c>
      <c r="G610" s="1" t="s">
        <v>53</v>
      </c>
      <c r="H610" s="1" t="s">
        <v>191</v>
      </c>
      <c r="I610" s="1" t="s">
        <v>192</v>
      </c>
      <c r="J610" s="1" t="s">
        <v>46</v>
      </c>
      <c r="K610" t="s">
        <v>67</v>
      </c>
      <c r="M610" s="1" t="s">
        <v>35</v>
      </c>
      <c r="N610" s="1">
        <v>42318949</v>
      </c>
      <c r="O610" s="1" t="s">
        <v>36</v>
      </c>
      <c r="P610" s="186">
        <v>44804.567094907405</v>
      </c>
      <c r="R610" s="1">
        <v>1</v>
      </c>
      <c r="T610" s="1" t="s">
        <v>69</v>
      </c>
      <c r="U610" s="186">
        <v>44805.567094907405</v>
      </c>
      <c r="V610" s="1" t="s">
        <v>41</v>
      </c>
      <c r="W610" s="1" t="s">
        <v>49</v>
      </c>
      <c r="X610" s="13" t="str">
        <f t="shared" si="68"/>
        <v/>
      </c>
      <c r="Y610" s="2">
        <f t="shared" ca="1" si="63"/>
        <v>131</v>
      </c>
      <c r="Z610" s="14">
        <v>1</v>
      </c>
      <c r="AA610" s="1" t="str">
        <f t="shared" ca="1" si="64"/>
        <v>VENCIDO</v>
      </c>
      <c r="AB610" s="1" t="str">
        <f t="shared" si="65"/>
        <v>TAAe+</v>
      </c>
      <c r="AC610" s="2" t="str">
        <f t="shared" si="69"/>
        <v xml:space="preserve"> CLEITON </v>
      </c>
      <c r="AD610" s="2">
        <f t="shared" si="66"/>
        <v>8</v>
      </c>
      <c r="AE610" s="2">
        <f t="shared" ca="1" si="67"/>
        <v>-181.10917673611402</v>
      </c>
      <c r="AF610" s="15"/>
    </row>
    <row r="611" spans="1:32" hidden="1">
      <c r="A611" s="1">
        <v>8873343</v>
      </c>
      <c r="B611" s="1" t="s">
        <v>62</v>
      </c>
      <c r="C611" t="s">
        <v>3585</v>
      </c>
      <c r="E611" s="2">
        <v>1902016136200</v>
      </c>
      <c r="F611" s="1" t="s">
        <v>64</v>
      </c>
      <c r="G611" s="1" t="s">
        <v>53</v>
      </c>
      <c r="H611" s="1" t="s">
        <v>268</v>
      </c>
      <c r="I611" s="1" t="s">
        <v>269</v>
      </c>
      <c r="J611" s="1" t="s">
        <v>90</v>
      </c>
      <c r="K611" t="s">
        <v>67</v>
      </c>
      <c r="M611" s="1" t="s">
        <v>35</v>
      </c>
      <c r="N611" s="1">
        <v>42318949</v>
      </c>
      <c r="O611" s="1" t="s">
        <v>36</v>
      </c>
      <c r="P611" s="186">
        <v>44804.567083333335</v>
      </c>
      <c r="R611" s="1">
        <v>1</v>
      </c>
      <c r="T611" s="1" t="s">
        <v>69</v>
      </c>
      <c r="U611" s="186">
        <v>44805.567083333335</v>
      </c>
      <c r="V611" s="1" t="s">
        <v>41</v>
      </c>
      <c r="W611" s="1" t="s">
        <v>49</v>
      </c>
      <c r="X611" s="13" t="str">
        <f t="shared" si="68"/>
        <v/>
      </c>
      <c r="Y611" s="2">
        <f t="shared" ca="1" si="63"/>
        <v>131</v>
      </c>
      <c r="Z611" s="14">
        <v>1</v>
      </c>
      <c r="AA611" s="1" t="str">
        <f t="shared" ca="1" si="64"/>
        <v>VENCIDO</v>
      </c>
      <c r="AB611" s="1" t="str">
        <f t="shared" si="65"/>
        <v>TAAe+</v>
      </c>
      <c r="AC611" s="2" t="str">
        <f t="shared" si="69"/>
        <v xml:space="preserve"> RINALDO </v>
      </c>
      <c r="AD611" s="2">
        <f t="shared" si="66"/>
        <v>8</v>
      </c>
      <c r="AE611" s="2">
        <f t="shared" ca="1" si="67"/>
        <v>-181.10918831018353</v>
      </c>
      <c r="AF611" s="15"/>
    </row>
    <row r="612" spans="1:32" hidden="1">
      <c r="A612" s="1">
        <v>8873342</v>
      </c>
      <c r="B612" s="1" t="s">
        <v>62</v>
      </c>
      <c r="C612" t="s">
        <v>3585</v>
      </c>
      <c r="E612" s="2">
        <v>1902016112800</v>
      </c>
      <c r="F612" s="1" t="s">
        <v>64</v>
      </c>
      <c r="G612" s="1" t="s">
        <v>53</v>
      </c>
      <c r="H612" s="1" t="s">
        <v>1191</v>
      </c>
      <c r="I612" s="1" t="s">
        <v>1192</v>
      </c>
      <c r="J612" s="1" t="s">
        <v>33</v>
      </c>
      <c r="K612" t="s">
        <v>67</v>
      </c>
      <c r="M612" s="1" t="s">
        <v>35</v>
      </c>
      <c r="N612" s="1">
        <v>42318949</v>
      </c>
      <c r="O612" s="1" t="s">
        <v>36</v>
      </c>
      <c r="P612" s="186">
        <v>44804.567083333335</v>
      </c>
      <c r="R612" s="1">
        <v>1</v>
      </c>
      <c r="T612" s="1" t="s">
        <v>69</v>
      </c>
      <c r="U612" s="186">
        <v>44805.567083333335</v>
      </c>
      <c r="V612" s="1" t="s">
        <v>41</v>
      </c>
      <c r="W612" s="1" t="s">
        <v>49</v>
      </c>
      <c r="X612" s="13" t="str">
        <f t="shared" si="68"/>
        <v/>
      </c>
      <c r="Y612" s="2">
        <f t="shared" ca="1" si="63"/>
        <v>131</v>
      </c>
      <c r="Z612" s="14">
        <v>1</v>
      </c>
      <c r="AA612" s="1" t="str">
        <f t="shared" ca="1" si="64"/>
        <v>VENCIDO</v>
      </c>
      <c r="AB612" s="1" t="str">
        <f t="shared" si="65"/>
        <v>TAAe+</v>
      </c>
      <c r="AC612" s="2" t="str">
        <f t="shared" si="69"/>
        <v xml:space="preserve"> ROSEMERE </v>
      </c>
      <c r="AD612" s="2">
        <f t="shared" si="66"/>
        <v>8</v>
      </c>
      <c r="AE612" s="2">
        <f t="shared" ca="1" si="67"/>
        <v>-181.10918831018353</v>
      </c>
      <c r="AF612" s="15"/>
    </row>
    <row r="613" spans="1:32" hidden="1">
      <c r="A613" s="1">
        <v>8873335</v>
      </c>
      <c r="B613" s="1" t="s">
        <v>62</v>
      </c>
      <c r="C613" t="s">
        <v>3585</v>
      </c>
      <c r="E613" s="2">
        <v>1902016024600</v>
      </c>
      <c r="F613" s="1" t="s">
        <v>64</v>
      </c>
      <c r="G613" s="1" t="s">
        <v>53</v>
      </c>
      <c r="H613" s="1" t="s">
        <v>1193</v>
      </c>
      <c r="I613" s="1" t="s">
        <v>1194</v>
      </c>
      <c r="J613" s="1" t="s">
        <v>85</v>
      </c>
      <c r="K613" t="s">
        <v>67</v>
      </c>
      <c r="M613" s="1" t="s">
        <v>35</v>
      </c>
      <c r="N613" s="1">
        <v>42318949</v>
      </c>
      <c r="O613" s="1" t="s">
        <v>36</v>
      </c>
      <c r="P613" s="186">
        <v>44804.567071759258</v>
      </c>
      <c r="R613" s="1">
        <v>1</v>
      </c>
      <c r="T613" s="1" t="s">
        <v>69</v>
      </c>
      <c r="U613" s="186">
        <v>44805.567071759258</v>
      </c>
      <c r="V613" s="1" t="s">
        <v>41</v>
      </c>
      <c r="W613" s="1" t="s">
        <v>49</v>
      </c>
      <c r="X613" s="13" t="str">
        <f t="shared" si="68"/>
        <v/>
      </c>
      <c r="Y613" s="2">
        <f t="shared" ca="1" si="63"/>
        <v>131</v>
      </c>
      <c r="Z613" s="14">
        <v>1</v>
      </c>
      <c r="AA613" s="1" t="str">
        <f t="shared" ca="1" si="64"/>
        <v>VENCIDO</v>
      </c>
      <c r="AB613" s="1" t="str">
        <f t="shared" si="65"/>
        <v>TAAe+</v>
      </c>
      <c r="AC613" s="2" t="str">
        <f t="shared" si="69"/>
        <v xml:space="preserve"> RINALDO </v>
      </c>
      <c r="AD613" s="2">
        <f t="shared" si="66"/>
        <v>8</v>
      </c>
      <c r="AE613" s="2">
        <f t="shared" ca="1" si="67"/>
        <v>-181.10919988426031</v>
      </c>
      <c r="AF613" s="15"/>
    </row>
    <row r="614" spans="1:32" hidden="1">
      <c r="A614" s="1">
        <v>8879008</v>
      </c>
      <c r="B614" s="1" t="s">
        <v>62</v>
      </c>
      <c r="C614" t="s">
        <v>1195</v>
      </c>
      <c r="E614" s="2">
        <v>2365000203000</v>
      </c>
      <c r="F614" s="1" t="s">
        <v>454</v>
      </c>
      <c r="G614" s="1" t="s">
        <v>53</v>
      </c>
      <c r="H614" s="1" t="s">
        <v>159</v>
      </c>
      <c r="I614" s="1" t="s">
        <v>160</v>
      </c>
      <c r="J614" s="1" t="s">
        <v>46</v>
      </c>
      <c r="K614" t="s">
        <v>457</v>
      </c>
      <c r="M614" s="1" t="s">
        <v>58</v>
      </c>
      <c r="N614" s="1">
        <v>0</v>
      </c>
      <c r="O614" s="1" t="s">
        <v>36</v>
      </c>
      <c r="P614" s="186">
        <v>44806.652106481481</v>
      </c>
      <c r="R614" s="1">
        <v>1</v>
      </c>
      <c r="T614" s="1" t="s">
        <v>157</v>
      </c>
      <c r="U614" s="186">
        <v>44841.75</v>
      </c>
      <c r="V614" s="1" t="s">
        <v>41</v>
      </c>
      <c r="W614" s="1" t="s">
        <v>49</v>
      </c>
      <c r="X614" s="13" t="str">
        <f t="shared" si="68"/>
        <v/>
      </c>
      <c r="Y614" s="2">
        <f t="shared" ca="1" si="63"/>
        <v>129</v>
      </c>
      <c r="Z614" s="14">
        <v>1</v>
      </c>
      <c r="AA614" s="1" t="str">
        <f t="shared" ca="1" si="64"/>
        <v>VENCIDO</v>
      </c>
      <c r="AB614" s="1" t="str">
        <f t="shared" si="65"/>
        <v>C-14</v>
      </c>
      <c r="AC614" s="2" t="str">
        <f t="shared" si="69"/>
        <v xml:space="preserve"> CLEITON </v>
      </c>
      <c r="AD614" s="2">
        <f t="shared" si="66"/>
        <v>5</v>
      </c>
      <c r="AE614" s="2">
        <f t="shared" ca="1" si="67"/>
        <v>-144.9262716435187</v>
      </c>
      <c r="AF614" s="15"/>
    </row>
    <row r="615" spans="1:32" hidden="1">
      <c r="A615" s="1">
        <v>8878112</v>
      </c>
      <c r="B615" s="1" t="s">
        <v>62</v>
      </c>
      <c r="C615" t="s">
        <v>1198</v>
      </c>
      <c r="E615" s="2">
        <v>3108000203000</v>
      </c>
      <c r="F615" s="1" t="s">
        <v>454</v>
      </c>
      <c r="G615" s="1" t="s">
        <v>53</v>
      </c>
      <c r="H615" s="1" t="s">
        <v>325</v>
      </c>
      <c r="I615" s="1" t="s">
        <v>326</v>
      </c>
      <c r="J615" s="1" t="s">
        <v>46</v>
      </c>
      <c r="K615" t="s">
        <v>457</v>
      </c>
      <c r="M615" s="1" t="s">
        <v>58</v>
      </c>
      <c r="N615" s="1">
        <v>0</v>
      </c>
      <c r="O615" s="1" t="s">
        <v>36</v>
      </c>
      <c r="P615" s="186">
        <v>44806.460034722222</v>
      </c>
      <c r="R615" s="1">
        <v>1</v>
      </c>
      <c r="T615" s="1" t="s">
        <v>157</v>
      </c>
      <c r="U615" s="186">
        <v>44841.75</v>
      </c>
      <c r="V615" s="1" t="s">
        <v>41</v>
      </c>
      <c r="W615" s="1" t="s">
        <v>49</v>
      </c>
      <c r="X615" s="13" t="str">
        <f t="shared" si="68"/>
        <v/>
      </c>
      <c r="Y615" s="2">
        <f t="shared" ca="1" si="63"/>
        <v>129</v>
      </c>
      <c r="Z615" s="14">
        <v>1</v>
      </c>
      <c r="AA615" s="1" t="str">
        <f t="shared" ca="1" si="64"/>
        <v>VENCIDO</v>
      </c>
      <c r="AB615" s="1" t="str">
        <f t="shared" si="65"/>
        <v>C-14</v>
      </c>
      <c r="AC615" s="2" t="str">
        <f t="shared" si="69"/>
        <v xml:space="preserve"> CLEITON </v>
      </c>
      <c r="AD615" s="2">
        <f t="shared" si="66"/>
        <v>5</v>
      </c>
      <c r="AE615" s="2">
        <f t="shared" ca="1" si="67"/>
        <v>-144.9262716435187</v>
      </c>
      <c r="AF615" s="15"/>
    </row>
    <row r="616" spans="1:32" hidden="1">
      <c r="A616" s="1">
        <v>8894073</v>
      </c>
      <c r="B616" s="1" t="s">
        <v>62</v>
      </c>
      <c r="C616" t="s">
        <v>1200</v>
      </c>
      <c r="E616" s="2">
        <v>870000206001</v>
      </c>
      <c r="F616" s="1" t="s">
        <v>29</v>
      </c>
      <c r="G616" s="1" t="s">
        <v>53</v>
      </c>
      <c r="H616" s="1" t="s">
        <v>183</v>
      </c>
      <c r="I616" s="1" t="s">
        <v>184</v>
      </c>
      <c r="J616" s="1" t="s">
        <v>90</v>
      </c>
      <c r="K616" t="s">
        <v>34</v>
      </c>
      <c r="M616" s="1" t="s">
        <v>35</v>
      </c>
      <c r="N616" s="1">
        <v>42318949</v>
      </c>
      <c r="O616" s="1" t="s">
        <v>36</v>
      </c>
      <c r="P616" s="186">
        <v>44813.574618055558</v>
      </c>
      <c r="R616" s="1" t="s">
        <v>38</v>
      </c>
      <c r="T616" s="1" t="s">
        <v>74</v>
      </c>
      <c r="U616" s="186">
        <v>44855.75</v>
      </c>
      <c r="V616" s="1" t="s">
        <v>41</v>
      </c>
      <c r="W616" s="1" t="s">
        <v>49</v>
      </c>
      <c r="X616" s="13" t="str">
        <f t="shared" si="68"/>
        <v/>
      </c>
      <c r="Y616" s="2">
        <f t="shared" ca="1" si="63"/>
        <v>124</v>
      </c>
      <c r="Z616" s="14">
        <v>1</v>
      </c>
      <c r="AA616" s="1" t="str">
        <f t="shared" ca="1" si="64"/>
        <v>VENCIDO</v>
      </c>
      <c r="AB616" s="1" t="str">
        <f t="shared" si="65"/>
        <v>Dosa</v>
      </c>
      <c r="AC616" s="2" t="str">
        <f t="shared" si="69"/>
        <v xml:space="preserve"> RINALDO </v>
      </c>
      <c r="AD616" s="2">
        <f t="shared" si="66"/>
        <v>5</v>
      </c>
      <c r="AE616" s="2">
        <f t="shared" ca="1" si="67"/>
        <v>-130.9262716435187</v>
      </c>
      <c r="AF616" s="15"/>
    </row>
    <row r="617" spans="1:32" hidden="1">
      <c r="A617" s="1">
        <v>8894047</v>
      </c>
      <c r="B617" s="1" t="s">
        <v>62</v>
      </c>
      <c r="C617" t="s">
        <v>1203</v>
      </c>
      <c r="E617" s="2">
        <v>1011000206001</v>
      </c>
      <c r="F617" s="1" t="s">
        <v>29</v>
      </c>
      <c r="G617" s="1" t="s">
        <v>53</v>
      </c>
      <c r="H617" s="1" t="s">
        <v>272</v>
      </c>
      <c r="I617" s="1" t="s">
        <v>273</v>
      </c>
      <c r="J617" s="1" t="s">
        <v>33</v>
      </c>
      <c r="K617" t="s">
        <v>34</v>
      </c>
      <c r="M617" s="1" t="s">
        <v>35</v>
      </c>
      <c r="N617" s="1">
        <v>42318949</v>
      </c>
      <c r="O617" s="1" t="s">
        <v>36</v>
      </c>
      <c r="P617" s="186">
        <v>44813.573217592595</v>
      </c>
      <c r="R617" s="1" t="s">
        <v>38</v>
      </c>
      <c r="T617" s="1" t="s">
        <v>74</v>
      </c>
      <c r="U617" s="186">
        <v>44855.75</v>
      </c>
      <c r="V617" s="1" t="s">
        <v>41</v>
      </c>
      <c r="W617" s="1" t="s">
        <v>49</v>
      </c>
      <c r="X617" s="13" t="str">
        <f t="shared" si="68"/>
        <v/>
      </c>
      <c r="Y617" s="2">
        <f t="shared" ca="1" si="63"/>
        <v>124</v>
      </c>
      <c r="Z617" s="14">
        <v>1</v>
      </c>
      <c r="AA617" s="1" t="str">
        <f t="shared" ca="1" si="64"/>
        <v>VENCIDO</v>
      </c>
      <c r="AB617" s="1" t="str">
        <f t="shared" si="65"/>
        <v>Dosa</v>
      </c>
      <c r="AC617" s="2" t="str">
        <f t="shared" si="69"/>
        <v xml:space="preserve"> ROSEMERE </v>
      </c>
      <c r="AD617" s="2">
        <f t="shared" si="66"/>
        <v>5</v>
      </c>
      <c r="AE617" s="2">
        <f t="shared" ca="1" si="67"/>
        <v>-130.9262716435187</v>
      </c>
      <c r="AF617" s="15"/>
    </row>
    <row r="618" spans="1:32" hidden="1">
      <c r="A618" s="1">
        <v>8898899</v>
      </c>
      <c r="B618" s="1" t="s">
        <v>226</v>
      </c>
      <c r="C618" t="s">
        <v>1205</v>
      </c>
      <c r="E618" s="2">
        <v>69000206001</v>
      </c>
      <c r="F618" s="1" t="s">
        <v>29</v>
      </c>
      <c r="G618" s="1" t="s">
        <v>53</v>
      </c>
      <c r="H618" s="1" t="s">
        <v>1206</v>
      </c>
      <c r="I618" s="1" t="s">
        <v>1207</v>
      </c>
      <c r="J618" s="1" t="s">
        <v>33</v>
      </c>
      <c r="K618" t="s">
        <v>34</v>
      </c>
      <c r="M618" s="1" t="s">
        <v>35</v>
      </c>
      <c r="N618" s="1">
        <v>42318949</v>
      </c>
      <c r="O618" s="1" t="s">
        <v>105</v>
      </c>
      <c r="P618" s="186">
        <v>44816.473333333335</v>
      </c>
      <c r="R618" s="1" t="s">
        <v>38</v>
      </c>
      <c r="T618" s="1" t="s">
        <v>74</v>
      </c>
      <c r="U618" s="186">
        <v>44858.75</v>
      </c>
      <c r="V618" s="1" t="s">
        <v>41</v>
      </c>
      <c r="W618" s="1" t="s">
        <v>42</v>
      </c>
      <c r="X618" s="13" t="str">
        <f t="shared" si="68"/>
        <v/>
      </c>
      <c r="Y618" s="2">
        <f t="shared" ca="1" si="63"/>
        <v>123</v>
      </c>
      <c r="Z618" s="14">
        <v>1</v>
      </c>
      <c r="AA618" s="1" t="str">
        <f t="shared" ca="1" si="64"/>
        <v>VENCIDO</v>
      </c>
      <c r="AB618" s="1" t="str">
        <f t="shared" si="65"/>
        <v>Dosa</v>
      </c>
      <c r="AC618" s="2" t="str">
        <f t="shared" si="69"/>
        <v xml:space="preserve"> ROSEMERE </v>
      </c>
      <c r="AD618" s="2">
        <f t="shared" si="66"/>
        <v>5</v>
      </c>
      <c r="AE618" s="2">
        <f t="shared" ca="1" si="67"/>
        <v>-127.9262716435187</v>
      </c>
      <c r="AF618" s="15"/>
    </row>
    <row r="619" spans="1:32" hidden="1">
      <c r="A619" s="1">
        <v>8903976</v>
      </c>
      <c r="B619" s="1" t="s">
        <v>81</v>
      </c>
      <c r="C619" t="s">
        <v>1210</v>
      </c>
      <c r="E619" s="2">
        <v>7419141891975</v>
      </c>
      <c r="F619" s="1" t="s">
        <v>128</v>
      </c>
      <c r="G619" s="1" t="s">
        <v>53</v>
      </c>
      <c r="H619" s="1" t="s">
        <v>519</v>
      </c>
      <c r="I619" s="1" t="s">
        <v>520</v>
      </c>
      <c r="J619" s="1" t="s">
        <v>90</v>
      </c>
      <c r="K619" t="s">
        <v>129</v>
      </c>
      <c r="M619" s="1" t="s">
        <v>58</v>
      </c>
      <c r="N619" s="1">
        <v>0</v>
      </c>
      <c r="O619" s="1" t="s">
        <v>105</v>
      </c>
      <c r="P619" s="186">
        <v>44817.729791666665</v>
      </c>
      <c r="R619" s="1">
        <v>14</v>
      </c>
      <c r="T619" s="1" t="s">
        <v>238</v>
      </c>
      <c r="U619" s="186">
        <v>44818.730555555558</v>
      </c>
      <c r="V619" s="1" t="s">
        <v>41</v>
      </c>
      <c r="W619" s="1" t="s">
        <v>49</v>
      </c>
      <c r="X619" s="13" t="str">
        <f t="shared" si="68"/>
        <v>0870.91</v>
      </c>
      <c r="Y619" s="2">
        <f t="shared" ca="1" si="63"/>
        <v>122</v>
      </c>
      <c r="Z619" s="14">
        <v>1</v>
      </c>
      <c r="AA619" s="1" t="str">
        <f t="shared" ca="1" si="64"/>
        <v>VENCIDO</v>
      </c>
      <c r="AB619" s="1" t="str">
        <f t="shared" si="65"/>
        <v>TAAe+</v>
      </c>
      <c r="AC619" s="2" t="str">
        <f t="shared" si="69"/>
        <v xml:space="preserve"> RINALDO </v>
      </c>
      <c r="AD619" s="2">
        <f t="shared" si="66"/>
        <v>8</v>
      </c>
      <c r="AE619" s="2">
        <f t="shared" ca="1" si="67"/>
        <v>-167.94571608796105</v>
      </c>
      <c r="AF619" s="15"/>
    </row>
    <row r="620" spans="1:32" hidden="1">
      <c r="A620" s="1">
        <v>8903971</v>
      </c>
      <c r="B620" s="1" t="s">
        <v>81</v>
      </c>
      <c r="C620" t="s">
        <v>1210</v>
      </c>
      <c r="E620" s="2">
        <v>7417202020515</v>
      </c>
      <c r="F620" s="1" t="s">
        <v>1213</v>
      </c>
      <c r="G620" s="1" t="s">
        <v>53</v>
      </c>
      <c r="H620" s="1" t="s">
        <v>519</v>
      </c>
      <c r="I620" s="1" t="s">
        <v>520</v>
      </c>
      <c r="J620" s="1" t="s">
        <v>90</v>
      </c>
      <c r="K620" t="s">
        <v>1214</v>
      </c>
      <c r="M620" s="1" t="s">
        <v>58</v>
      </c>
      <c r="N620" s="1">
        <v>0</v>
      </c>
      <c r="O620" s="1" t="s">
        <v>105</v>
      </c>
      <c r="P620" s="186">
        <v>44817.725960648146</v>
      </c>
      <c r="R620" s="1">
        <v>14</v>
      </c>
      <c r="T620" s="1" t="s">
        <v>238</v>
      </c>
      <c r="U620" s="186">
        <v>44818.727361111109</v>
      </c>
      <c r="V620" s="1" t="s">
        <v>41</v>
      </c>
      <c r="W620" s="1" t="s">
        <v>49</v>
      </c>
      <c r="X620" s="13" t="str">
        <f t="shared" si="68"/>
        <v>0870.91</v>
      </c>
      <c r="Y620" s="2">
        <f t="shared" ca="1" si="63"/>
        <v>122</v>
      </c>
      <c r="Z620" s="14">
        <v>1</v>
      </c>
      <c r="AA620" s="1" t="str">
        <f t="shared" ca="1" si="64"/>
        <v>VENCIDO</v>
      </c>
      <c r="AB620" s="1" t="str">
        <f t="shared" si="65"/>
        <v>TAAe+</v>
      </c>
      <c r="AC620" s="2" t="str">
        <f t="shared" si="69"/>
        <v xml:space="preserve"> RINALDO </v>
      </c>
      <c r="AD620" s="2">
        <f t="shared" si="66"/>
        <v>8</v>
      </c>
      <c r="AE620" s="2">
        <f t="shared" ca="1" si="67"/>
        <v>-167.94891053241008</v>
      </c>
      <c r="AF620" s="15"/>
    </row>
    <row r="621" spans="1:32" hidden="1">
      <c r="A621" s="1">
        <v>8903953</v>
      </c>
      <c r="B621" s="1" t="s">
        <v>81</v>
      </c>
      <c r="C621" t="s">
        <v>1210</v>
      </c>
      <c r="E621" s="2">
        <v>7417161483328</v>
      </c>
      <c r="F621" s="1" t="s">
        <v>1217</v>
      </c>
      <c r="G621" s="1" t="s">
        <v>53</v>
      </c>
      <c r="H621" s="1" t="s">
        <v>519</v>
      </c>
      <c r="I621" s="1" t="s">
        <v>520</v>
      </c>
      <c r="J621" s="1" t="s">
        <v>90</v>
      </c>
      <c r="K621" t="s">
        <v>1218</v>
      </c>
      <c r="M621" s="1" t="s">
        <v>58</v>
      </c>
      <c r="N621" s="1">
        <v>0</v>
      </c>
      <c r="O621" s="1" t="s">
        <v>105</v>
      </c>
      <c r="P621" s="186">
        <v>44817.722349537034</v>
      </c>
      <c r="R621" s="1">
        <v>14</v>
      </c>
      <c r="T621" s="1" t="s">
        <v>238</v>
      </c>
      <c r="U621" s="186">
        <v>44818.72315972222</v>
      </c>
      <c r="V621" s="1" t="s">
        <v>41</v>
      </c>
      <c r="W621" s="1" t="s">
        <v>49</v>
      </c>
      <c r="X621" s="13" t="str">
        <f t="shared" si="68"/>
        <v>0870.91</v>
      </c>
      <c r="Y621" s="2">
        <f t="shared" ca="1" si="63"/>
        <v>122</v>
      </c>
      <c r="Z621" s="14">
        <v>1</v>
      </c>
      <c r="AA621" s="1" t="str">
        <f t="shared" ca="1" si="64"/>
        <v>VENCIDO</v>
      </c>
      <c r="AB621" s="1" t="str">
        <f t="shared" si="65"/>
        <v>TAAe+</v>
      </c>
      <c r="AC621" s="2" t="str">
        <f t="shared" si="69"/>
        <v xml:space="preserve"> RINALDO </v>
      </c>
      <c r="AD621" s="2">
        <f t="shared" si="66"/>
        <v>8</v>
      </c>
      <c r="AE621" s="2">
        <f t="shared" ca="1" si="67"/>
        <v>-167.95311192129884</v>
      </c>
      <c r="AF621" s="15"/>
    </row>
    <row r="622" spans="1:32" hidden="1">
      <c r="A622" s="1">
        <v>8903941</v>
      </c>
      <c r="B622" s="1" t="s">
        <v>81</v>
      </c>
      <c r="C622" t="s">
        <v>1221</v>
      </c>
      <c r="E622" s="2">
        <v>7419143323230</v>
      </c>
      <c r="F622" s="1" t="s">
        <v>1222</v>
      </c>
      <c r="G622" s="1" t="s">
        <v>53</v>
      </c>
      <c r="H622" s="1" t="s">
        <v>519</v>
      </c>
      <c r="I622" s="1" t="s">
        <v>520</v>
      </c>
      <c r="J622" s="1" t="s">
        <v>90</v>
      </c>
      <c r="K622" t="s">
        <v>1223</v>
      </c>
      <c r="M622" s="1" t="s">
        <v>58</v>
      </c>
      <c r="N622" s="1">
        <v>0</v>
      </c>
      <c r="O622" s="1" t="s">
        <v>105</v>
      </c>
      <c r="P622" s="186">
        <v>44817.717372685183</v>
      </c>
      <c r="R622" s="1">
        <v>14</v>
      </c>
      <c r="T622" s="1" t="s">
        <v>238</v>
      </c>
      <c r="U622" s="186">
        <v>44818.718124999999</v>
      </c>
      <c r="V622" s="1" t="s">
        <v>41</v>
      </c>
      <c r="W622" s="1" t="s">
        <v>49</v>
      </c>
      <c r="X622" s="13" t="str">
        <f t="shared" si="68"/>
        <v>0870.91</v>
      </c>
      <c r="Y622" s="2">
        <f t="shared" ca="1" si="63"/>
        <v>122</v>
      </c>
      <c r="Z622" s="14">
        <v>1</v>
      </c>
      <c r="AA622" s="1" t="str">
        <f t="shared" ca="1" si="64"/>
        <v>VENCIDO</v>
      </c>
      <c r="AB622" s="1" t="str">
        <f t="shared" si="65"/>
        <v>TAAe+</v>
      </c>
      <c r="AC622" s="2" t="str">
        <f t="shared" si="69"/>
        <v xml:space="preserve"> RINALDO </v>
      </c>
      <c r="AD622" s="2">
        <f t="shared" si="66"/>
        <v>8</v>
      </c>
      <c r="AE622" s="2">
        <f t="shared" ca="1" si="67"/>
        <v>-167.95814664351929</v>
      </c>
      <c r="AF622" s="15"/>
    </row>
    <row r="623" spans="1:32" hidden="1">
      <c r="A623" s="1">
        <v>8907264</v>
      </c>
      <c r="B623" s="1" t="s">
        <v>62</v>
      </c>
      <c r="C623" t="s">
        <v>1226</v>
      </c>
      <c r="E623" s="2">
        <v>870000203000</v>
      </c>
      <c r="F623" s="1" t="s">
        <v>454</v>
      </c>
      <c r="G623" s="1" t="s">
        <v>53</v>
      </c>
      <c r="H623" s="1" t="s">
        <v>183</v>
      </c>
      <c r="I623" s="1" t="s">
        <v>184</v>
      </c>
      <c r="J623" s="1" t="s">
        <v>90</v>
      </c>
      <c r="K623" t="s">
        <v>457</v>
      </c>
      <c r="M623" s="1" t="s">
        <v>58</v>
      </c>
      <c r="N623" s="1">
        <v>0</v>
      </c>
      <c r="O623" s="1" t="s">
        <v>36</v>
      </c>
      <c r="P623" s="186">
        <v>44819.450868055559</v>
      </c>
      <c r="R623" s="1">
        <v>1</v>
      </c>
      <c r="T623" s="1" t="s">
        <v>157</v>
      </c>
      <c r="U623" s="186">
        <v>44854.75</v>
      </c>
      <c r="V623" s="1" t="s">
        <v>41</v>
      </c>
      <c r="W623" s="1" t="s">
        <v>49</v>
      </c>
      <c r="X623" s="13" t="str">
        <f t="shared" si="68"/>
        <v/>
      </c>
      <c r="Y623" s="2">
        <f t="shared" ca="1" si="63"/>
        <v>120</v>
      </c>
      <c r="Z623" s="14">
        <v>1</v>
      </c>
      <c r="AA623" s="1" t="str">
        <f t="shared" ca="1" si="64"/>
        <v>VENCIDO</v>
      </c>
      <c r="AB623" s="1" t="str">
        <f t="shared" si="65"/>
        <v>C-14</v>
      </c>
      <c r="AC623" s="2" t="str">
        <f t="shared" si="69"/>
        <v xml:space="preserve"> RINALDO </v>
      </c>
      <c r="AD623" s="2">
        <f t="shared" si="66"/>
        <v>5</v>
      </c>
      <c r="AE623" s="2">
        <f t="shared" ca="1" si="67"/>
        <v>-131.9262716435187</v>
      </c>
      <c r="AF623" s="15"/>
    </row>
    <row r="624" spans="1:32" hidden="1">
      <c r="A624" s="1">
        <v>8914733</v>
      </c>
      <c r="B624" s="1" t="s">
        <v>62</v>
      </c>
      <c r="C624" t="s">
        <v>1203</v>
      </c>
      <c r="E624" s="2">
        <v>1924000206001</v>
      </c>
      <c r="F624" s="1" t="s">
        <v>29</v>
      </c>
      <c r="G624" s="1" t="s">
        <v>53</v>
      </c>
      <c r="H624" s="1" t="s">
        <v>568</v>
      </c>
      <c r="I624" s="1" t="s">
        <v>569</v>
      </c>
      <c r="J624" s="1" t="s">
        <v>33</v>
      </c>
      <c r="K624" t="s">
        <v>34</v>
      </c>
      <c r="M624" s="1" t="s">
        <v>35</v>
      </c>
      <c r="N624" s="1">
        <v>42318949</v>
      </c>
      <c r="O624" s="1" t="s">
        <v>36</v>
      </c>
      <c r="P624" s="186">
        <v>44823.434999999998</v>
      </c>
      <c r="R624" s="1" t="s">
        <v>38</v>
      </c>
      <c r="T624" s="1" t="s">
        <v>74</v>
      </c>
      <c r="U624" s="186">
        <v>44865.75</v>
      </c>
      <c r="V624" s="1" t="s">
        <v>41</v>
      </c>
      <c r="W624" s="1" t="s">
        <v>49</v>
      </c>
      <c r="X624" s="13" t="str">
        <f t="shared" si="68"/>
        <v/>
      </c>
      <c r="Y624" s="2">
        <f t="shared" ca="1" si="63"/>
        <v>118</v>
      </c>
      <c r="Z624" s="14">
        <v>1</v>
      </c>
      <c r="AA624" s="1" t="str">
        <f t="shared" ca="1" si="64"/>
        <v>VENCIDO</v>
      </c>
      <c r="AB624" s="1" t="str">
        <f t="shared" si="65"/>
        <v>Dosa</v>
      </c>
      <c r="AC624" s="2" t="str">
        <f t="shared" si="69"/>
        <v xml:space="preserve"> ROSEMERE </v>
      </c>
      <c r="AD624" s="2">
        <f t="shared" si="66"/>
        <v>5</v>
      </c>
      <c r="AE624" s="2">
        <f t="shared" ca="1" si="67"/>
        <v>-120.9262716435187</v>
      </c>
      <c r="AF624" s="15"/>
    </row>
    <row r="625" spans="1:32" hidden="1">
      <c r="A625" s="1">
        <v>8937635</v>
      </c>
      <c r="B625" s="1" t="s">
        <v>62</v>
      </c>
      <c r="C625" t="s">
        <v>1231</v>
      </c>
      <c r="E625" s="2">
        <v>1764000203000</v>
      </c>
      <c r="F625" s="1" t="s">
        <v>454</v>
      </c>
      <c r="G625" s="1" t="s">
        <v>53</v>
      </c>
      <c r="H625" s="1" t="s">
        <v>722</v>
      </c>
      <c r="I625" s="1" t="s">
        <v>723</v>
      </c>
      <c r="J625" s="1" t="s">
        <v>90</v>
      </c>
      <c r="K625" t="s">
        <v>457</v>
      </c>
      <c r="M625" s="1" t="s">
        <v>58</v>
      </c>
      <c r="N625" s="1">
        <v>0</v>
      </c>
      <c r="O625" s="1" t="s">
        <v>105</v>
      </c>
      <c r="P625" s="186">
        <v>44833.385520833333</v>
      </c>
      <c r="R625" s="1">
        <v>1</v>
      </c>
      <c r="T625" s="1" t="s">
        <v>157</v>
      </c>
      <c r="U625" s="186">
        <v>44869.75</v>
      </c>
      <c r="V625" s="1" t="s">
        <v>41</v>
      </c>
      <c r="W625" s="1" t="s">
        <v>49</v>
      </c>
      <c r="X625" s="13" t="str">
        <f t="shared" si="68"/>
        <v/>
      </c>
      <c r="Y625" s="2">
        <f t="shared" ca="1" si="63"/>
        <v>110</v>
      </c>
      <c r="Z625" s="14">
        <v>1</v>
      </c>
      <c r="AA625" s="1" t="str">
        <f t="shared" ca="1" si="64"/>
        <v>VENCIDO</v>
      </c>
      <c r="AB625" s="1" t="str">
        <f t="shared" si="65"/>
        <v>C-14</v>
      </c>
      <c r="AC625" s="2" t="str">
        <f t="shared" si="69"/>
        <v xml:space="preserve"> RINALDO </v>
      </c>
      <c r="AD625" s="2">
        <f t="shared" si="66"/>
        <v>5</v>
      </c>
      <c r="AE625" s="2">
        <f t="shared" ca="1" si="67"/>
        <v>-116.9262716435187</v>
      </c>
      <c r="AF625" s="15"/>
    </row>
    <row r="626" spans="1:32" hidden="1">
      <c r="A626" s="1">
        <v>8948448</v>
      </c>
      <c r="B626" s="1" t="s">
        <v>101</v>
      </c>
      <c r="C626" t="s">
        <v>643</v>
      </c>
      <c r="D626" s="2">
        <v>220161643</v>
      </c>
      <c r="E626" s="2">
        <v>4076001400030</v>
      </c>
      <c r="F626" s="1" t="s">
        <v>647</v>
      </c>
      <c r="G626" s="1" t="s">
        <v>53</v>
      </c>
      <c r="H626" s="1" t="s">
        <v>426</v>
      </c>
      <c r="I626" s="1" t="s">
        <v>427</v>
      </c>
      <c r="J626" s="1" t="s">
        <v>79</v>
      </c>
      <c r="K626" t="s">
        <v>650</v>
      </c>
      <c r="M626" s="1" t="s">
        <v>58</v>
      </c>
      <c r="N626" s="1">
        <v>0</v>
      </c>
      <c r="O626" s="1" t="s">
        <v>105</v>
      </c>
      <c r="P626" s="186">
        <v>44837.261319444442</v>
      </c>
      <c r="R626" s="1">
        <v>4</v>
      </c>
      <c r="T626" s="1" t="s">
        <v>646</v>
      </c>
      <c r="U626" s="186">
        <v>44838.261319444442</v>
      </c>
      <c r="V626" s="1" t="s">
        <v>41</v>
      </c>
      <c r="W626" s="1" t="s">
        <v>49</v>
      </c>
      <c r="X626" s="13" t="str">
        <f t="shared" si="68"/>
        <v/>
      </c>
      <c r="Y626" s="2">
        <f t="shared" ca="1" si="63"/>
        <v>108</v>
      </c>
      <c r="Z626" s="14">
        <v>1</v>
      </c>
      <c r="AA626" s="1" t="str">
        <f t="shared" ca="1" si="64"/>
        <v>VENCIDO</v>
      </c>
      <c r="AB626" s="1" t="str">
        <f t="shared" si="65"/>
        <v>C-14</v>
      </c>
      <c r="AC626" s="2" t="str">
        <f t="shared" si="69"/>
        <v xml:space="preserve"> ROSEMERE </v>
      </c>
      <c r="AD626" s="2">
        <f t="shared" si="66"/>
        <v>15</v>
      </c>
      <c r="AE626" s="2">
        <f t="shared" ca="1" si="67"/>
        <v>-148.41495219907665</v>
      </c>
      <c r="AF626" s="15"/>
    </row>
    <row r="627" spans="1:32" hidden="1">
      <c r="A627" s="1">
        <v>8947938</v>
      </c>
      <c r="B627" s="1" t="s">
        <v>101</v>
      </c>
      <c r="C627" t="s">
        <v>643</v>
      </c>
      <c r="D627" s="2">
        <v>220160524</v>
      </c>
      <c r="E627" s="2">
        <v>4076001400010</v>
      </c>
      <c r="F627" s="1" t="s">
        <v>936</v>
      </c>
      <c r="G627" s="1" t="s">
        <v>53</v>
      </c>
      <c r="H627" s="1" t="s">
        <v>426</v>
      </c>
      <c r="I627" s="1" t="s">
        <v>427</v>
      </c>
      <c r="J627" s="1" t="s">
        <v>79</v>
      </c>
      <c r="K627" t="s">
        <v>937</v>
      </c>
      <c r="M627" s="1" t="s">
        <v>58</v>
      </c>
      <c r="N627" s="1">
        <v>0</v>
      </c>
      <c r="O627" s="1" t="s">
        <v>105</v>
      </c>
      <c r="P627" s="186">
        <v>44837.213599537034</v>
      </c>
      <c r="R627" s="1">
        <v>3</v>
      </c>
      <c r="T627" s="1" t="s">
        <v>646</v>
      </c>
      <c r="U627" s="186">
        <v>44838.21361111111</v>
      </c>
      <c r="V627" s="1" t="s">
        <v>41</v>
      </c>
      <c r="W627" s="1" t="s">
        <v>49</v>
      </c>
      <c r="X627" s="13" t="str">
        <f t="shared" si="68"/>
        <v/>
      </c>
      <c r="Y627" s="2">
        <f t="shared" ca="1" si="63"/>
        <v>108</v>
      </c>
      <c r="Z627" s="14">
        <v>1</v>
      </c>
      <c r="AA627" s="1" t="str">
        <f t="shared" ca="1" si="64"/>
        <v>VENCIDO</v>
      </c>
      <c r="AB627" s="1" t="str">
        <f t="shared" si="65"/>
        <v>C-14</v>
      </c>
      <c r="AC627" s="2" t="str">
        <f t="shared" si="69"/>
        <v xml:space="preserve"> ROSEMERE </v>
      </c>
      <c r="AD627" s="2">
        <f t="shared" si="66"/>
        <v>5</v>
      </c>
      <c r="AE627" s="2">
        <f t="shared" ca="1" si="67"/>
        <v>-148.46266053240834</v>
      </c>
      <c r="AF627" s="15"/>
    </row>
    <row r="628" spans="1:32" hidden="1">
      <c r="A628" s="1">
        <v>8946342</v>
      </c>
      <c r="B628" s="1" t="s">
        <v>101</v>
      </c>
      <c r="C628" t="s">
        <v>643</v>
      </c>
      <c r="D628" s="2">
        <v>220163016</v>
      </c>
      <c r="E628" s="2">
        <v>4076001400040</v>
      </c>
      <c r="F628" s="1" t="s">
        <v>644</v>
      </c>
      <c r="G628" s="1" t="s">
        <v>53</v>
      </c>
      <c r="H628" s="1" t="s">
        <v>426</v>
      </c>
      <c r="I628" s="1" t="s">
        <v>427</v>
      </c>
      <c r="J628" s="1" t="s">
        <v>79</v>
      </c>
      <c r="K628" t="s">
        <v>645</v>
      </c>
      <c r="M628" s="1" t="s">
        <v>58</v>
      </c>
      <c r="N628" s="1">
        <v>0</v>
      </c>
      <c r="O628" s="1" t="s">
        <v>105</v>
      </c>
      <c r="P628" s="186">
        <v>44837.102939814817</v>
      </c>
      <c r="R628" s="1">
        <v>3</v>
      </c>
      <c r="T628" s="1" t="s">
        <v>646</v>
      </c>
      <c r="U628" s="186">
        <v>44838.102939814817</v>
      </c>
      <c r="V628" s="1" t="s">
        <v>41</v>
      </c>
      <c r="W628" s="1" t="s">
        <v>49</v>
      </c>
      <c r="X628" s="13" t="str">
        <f t="shared" si="68"/>
        <v/>
      </c>
      <c r="Y628" s="2">
        <f t="shared" ca="1" si="63"/>
        <v>108</v>
      </c>
      <c r="Z628" s="14">
        <v>1</v>
      </c>
      <c r="AA628" s="1" t="str">
        <f t="shared" ca="1" si="64"/>
        <v>VENCIDO</v>
      </c>
      <c r="AB628" s="1" t="str">
        <f t="shared" si="65"/>
        <v>SL-On</v>
      </c>
      <c r="AC628" s="2" t="str">
        <f t="shared" si="69"/>
        <v xml:space="preserve"> ROSEMERE </v>
      </c>
      <c r="AD628" s="2">
        <f t="shared" si="66"/>
        <v>1</v>
      </c>
      <c r="AE628" s="2">
        <f t="shared" ca="1" si="67"/>
        <v>-148.57333182870207</v>
      </c>
      <c r="AF628" s="15"/>
    </row>
    <row r="629" spans="1:32" hidden="1">
      <c r="A629" s="1">
        <v>8961211</v>
      </c>
      <c r="B629" s="1" t="s">
        <v>81</v>
      </c>
      <c r="C629" t="s">
        <v>3586</v>
      </c>
      <c r="E629" s="2">
        <v>1128000206022</v>
      </c>
      <c r="F629" s="1" t="s">
        <v>103</v>
      </c>
      <c r="G629" s="1" t="s">
        <v>53</v>
      </c>
      <c r="H629" s="1" t="s">
        <v>1191</v>
      </c>
      <c r="I629" s="1" t="s">
        <v>1192</v>
      </c>
      <c r="J629" s="1" t="s">
        <v>33</v>
      </c>
      <c r="K629" t="s">
        <v>104</v>
      </c>
      <c r="M629" s="1" t="s">
        <v>58</v>
      </c>
      <c r="N629" s="1">
        <v>0</v>
      </c>
      <c r="O629" s="1" t="s">
        <v>105</v>
      </c>
      <c r="P629" s="186">
        <v>44840.655717592592</v>
      </c>
      <c r="R629" s="1" t="s">
        <v>38</v>
      </c>
      <c r="T629" s="1" t="s">
        <v>74</v>
      </c>
      <c r="U629" s="186">
        <v>44841.655717592592</v>
      </c>
      <c r="V629" s="1" t="s">
        <v>41</v>
      </c>
      <c r="W629" s="1" t="s">
        <v>49</v>
      </c>
      <c r="X629" s="13" t="str">
        <f t="shared" si="68"/>
        <v/>
      </c>
      <c r="Y629" s="2">
        <f t="shared" ca="1" si="63"/>
        <v>105</v>
      </c>
      <c r="Z629" s="14">
        <v>1</v>
      </c>
      <c r="AA629" s="1" t="str">
        <f t="shared" ca="1" si="64"/>
        <v>VENCIDO</v>
      </c>
      <c r="AB629" s="1" t="str">
        <f t="shared" si="65"/>
        <v>Dosa</v>
      </c>
      <c r="AC629" s="2" t="str">
        <f t="shared" si="69"/>
        <v xml:space="preserve"> ROSEMERE </v>
      </c>
      <c r="AD629" s="2">
        <f t="shared" si="66"/>
        <v>5</v>
      </c>
      <c r="AE629" s="2">
        <f t="shared" ca="1" si="67"/>
        <v>-145.02055405092688</v>
      </c>
      <c r="AF629" s="15"/>
    </row>
    <row r="630" spans="1:32" hidden="1">
      <c r="A630" s="1">
        <v>8963507</v>
      </c>
      <c r="B630" s="1" t="s">
        <v>1153</v>
      </c>
      <c r="C630" t="s">
        <v>1243</v>
      </c>
      <c r="D630" s="2">
        <v>20228362000085</v>
      </c>
      <c r="E630" s="2">
        <v>7417172316147</v>
      </c>
      <c r="F630" s="1" t="s">
        <v>1155</v>
      </c>
      <c r="G630" s="1" t="s">
        <v>53</v>
      </c>
      <c r="H630" s="1" t="s">
        <v>1244</v>
      </c>
      <c r="I630" s="1" t="s">
        <v>1245</v>
      </c>
      <c r="J630" s="1" t="s">
        <v>46</v>
      </c>
      <c r="K630" t="s">
        <v>1158</v>
      </c>
      <c r="M630" s="1" t="s">
        <v>58</v>
      </c>
      <c r="N630" s="1">
        <v>0</v>
      </c>
      <c r="O630" s="1" t="s">
        <v>36</v>
      </c>
      <c r="P630" s="186">
        <v>44841.398495370369</v>
      </c>
      <c r="R630" s="1">
        <v>22</v>
      </c>
      <c r="T630" s="1" t="s">
        <v>1160</v>
      </c>
      <c r="U630" s="186">
        <v>44845.606828703705</v>
      </c>
      <c r="V630" s="1" t="s">
        <v>41</v>
      </c>
      <c r="W630" s="1" t="s">
        <v>49</v>
      </c>
      <c r="X630" s="13" t="str">
        <f t="shared" si="68"/>
        <v/>
      </c>
      <c r="Y630" s="2">
        <f t="shared" ca="1" si="63"/>
        <v>104</v>
      </c>
      <c r="Z630" s="14">
        <v>1</v>
      </c>
      <c r="AA630" s="1" t="str">
        <f t="shared" ca="1" si="64"/>
        <v>VENCIDO</v>
      </c>
      <c r="AB630" s="1" t="str">
        <f t="shared" si="65"/>
        <v>TAAe+</v>
      </c>
      <c r="AC630" s="2" t="str">
        <f t="shared" si="69"/>
        <v xml:space="preserve"> CLEITON </v>
      </c>
      <c r="AD630" s="2">
        <f t="shared" si="66"/>
        <v>8</v>
      </c>
      <c r="AE630" s="2">
        <f t="shared" ca="1" si="67"/>
        <v>-141.0694429398136</v>
      </c>
      <c r="AF630" s="15"/>
    </row>
    <row r="631" spans="1:32" hidden="1">
      <c r="A631" s="1">
        <v>8974248</v>
      </c>
      <c r="B631" s="1" t="s">
        <v>1153</v>
      </c>
      <c r="C631" t="s">
        <v>1248</v>
      </c>
      <c r="D631" s="2">
        <v>20228362000086</v>
      </c>
      <c r="E631" s="2">
        <v>7417172315342</v>
      </c>
      <c r="F631" s="1" t="s">
        <v>1155</v>
      </c>
      <c r="G631" s="1" t="s">
        <v>53</v>
      </c>
      <c r="H631" s="1" t="s">
        <v>1244</v>
      </c>
      <c r="I631" s="1" t="s">
        <v>1245</v>
      </c>
      <c r="J631" s="1" t="s">
        <v>46</v>
      </c>
      <c r="K631" t="s">
        <v>1158</v>
      </c>
      <c r="M631" s="1" t="s">
        <v>58</v>
      </c>
      <c r="N631" s="1">
        <v>0</v>
      </c>
      <c r="O631" s="1" t="s">
        <v>36</v>
      </c>
      <c r="P631" s="186">
        <v>44844.663564814815</v>
      </c>
      <c r="R631" s="1">
        <v>22</v>
      </c>
      <c r="T631" s="1" t="s">
        <v>1160</v>
      </c>
      <c r="U631" s="186">
        <v>44848.496898148151</v>
      </c>
      <c r="V631" s="1" t="s">
        <v>41</v>
      </c>
      <c r="W631" s="1" t="s">
        <v>49</v>
      </c>
      <c r="X631" s="13" t="str">
        <f t="shared" si="68"/>
        <v/>
      </c>
      <c r="Y631" s="2">
        <f t="shared" ca="1" si="63"/>
        <v>103</v>
      </c>
      <c r="Z631" s="14">
        <v>1</v>
      </c>
      <c r="AA631" s="1" t="str">
        <f t="shared" ca="1" si="64"/>
        <v>VENCIDO</v>
      </c>
      <c r="AB631" s="1" t="str">
        <f t="shared" si="65"/>
        <v>TAAe+</v>
      </c>
      <c r="AC631" s="2" t="str">
        <f t="shared" si="69"/>
        <v xml:space="preserve"> CLEITON </v>
      </c>
      <c r="AD631" s="2">
        <f t="shared" si="66"/>
        <v>8</v>
      </c>
      <c r="AE631" s="2">
        <f t="shared" ca="1" si="67"/>
        <v>-138.17937349536805</v>
      </c>
      <c r="AF631" s="15"/>
    </row>
    <row r="632" spans="1:32" hidden="1">
      <c r="A632" s="1">
        <v>8987410</v>
      </c>
      <c r="B632" s="1" t="s">
        <v>81</v>
      </c>
      <c r="C632" t="s">
        <v>1251</v>
      </c>
      <c r="E632" s="2">
        <v>2196000206001</v>
      </c>
      <c r="F632" s="1" t="s">
        <v>29</v>
      </c>
      <c r="G632" s="1" t="s">
        <v>53</v>
      </c>
      <c r="H632" s="1" t="s">
        <v>1252</v>
      </c>
      <c r="I632" s="1" t="s">
        <v>1253</v>
      </c>
      <c r="J632" s="1" t="s">
        <v>33</v>
      </c>
      <c r="K632" t="s">
        <v>34</v>
      </c>
      <c r="M632" s="1" t="s">
        <v>35</v>
      </c>
      <c r="N632" s="1">
        <v>42318949</v>
      </c>
      <c r="O632" s="1" t="s">
        <v>105</v>
      </c>
      <c r="P632" s="186">
        <v>44848.643437500003</v>
      </c>
      <c r="R632" s="1" t="s">
        <v>38</v>
      </c>
      <c r="T632" s="1" t="s">
        <v>74</v>
      </c>
      <c r="U632" s="186">
        <v>44849.643437500003</v>
      </c>
      <c r="V632" s="1" t="s">
        <v>41</v>
      </c>
      <c r="W632" s="1" t="s">
        <v>42</v>
      </c>
      <c r="X632" s="13" t="str">
        <f t="shared" si="68"/>
        <v/>
      </c>
      <c r="Y632" s="2">
        <f t="shared" ca="1" si="63"/>
        <v>99</v>
      </c>
      <c r="Z632" s="14">
        <v>1</v>
      </c>
      <c r="AA632" s="1" t="str">
        <f t="shared" ca="1" si="64"/>
        <v>VENCIDO</v>
      </c>
      <c r="AB632" s="1" t="str">
        <f t="shared" si="65"/>
        <v>Dosa</v>
      </c>
      <c r="AC632" s="2" t="str">
        <f t="shared" si="69"/>
        <v xml:space="preserve"> ROSEMERE </v>
      </c>
      <c r="AD632" s="2">
        <f t="shared" si="66"/>
        <v>5</v>
      </c>
      <c r="AE632" s="2">
        <f t="shared" ca="1" si="67"/>
        <v>-137.03283414351608</v>
      </c>
      <c r="AF632" s="15"/>
    </row>
    <row r="633" spans="1:32" hidden="1">
      <c r="A633" s="1">
        <v>9003116</v>
      </c>
      <c r="B633" s="1" t="s">
        <v>62</v>
      </c>
      <c r="C633" t="s">
        <v>3587</v>
      </c>
      <c r="E633" s="2">
        <v>8074000203010</v>
      </c>
      <c r="F633" s="1" t="s">
        <v>152</v>
      </c>
      <c r="G633" s="1" t="s">
        <v>53</v>
      </c>
      <c r="H633" s="1" t="s">
        <v>1257</v>
      </c>
      <c r="I633" s="1" t="s">
        <v>1258</v>
      </c>
      <c r="J633" s="1" t="s">
        <v>33</v>
      </c>
      <c r="K633" t="s">
        <v>155</v>
      </c>
      <c r="M633" s="1" t="s">
        <v>35</v>
      </c>
      <c r="N633" s="1">
        <v>42318949</v>
      </c>
      <c r="O633" s="1" t="s">
        <v>36</v>
      </c>
      <c r="P633" s="186">
        <v>44853.518310185187</v>
      </c>
      <c r="R633" s="1">
        <v>1</v>
      </c>
      <c r="T633" s="1" t="s">
        <v>157</v>
      </c>
      <c r="U633" s="186">
        <v>44889.75</v>
      </c>
      <c r="V633" s="1" t="s">
        <v>41</v>
      </c>
      <c r="W633" s="1" t="s">
        <v>49</v>
      </c>
      <c r="X633" s="13" t="str">
        <f t="shared" si="68"/>
        <v/>
      </c>
      <c r="Y633" s="2">
        <f t="shared" ca="1" si="63"/>
        <v>96</v>
      </c>
      <c r="Z633" s="14">
        <v>1</v>
      </c>
      <c r="AA633" s="1" t="str">
        <f t="shared" ca="1" si="64"/>
        <v>VENCIDO</v>
      </c>
      <c r="AB633" s="1" t="str">
        <f t="shared" si="65"/>
        <v>TAAe+</v>
      </c>
      <c r="AC633" s="2" t="str">
        <f t="shared" si="69"/>
        <v xml:space="preserve"> ROSEMERE </v>
      </c>
      <c r="AD633" s="2">
        <f t="shared" si="66"/>
        <v>8</v>
      </c>
      <c r="AE633" s="2">
        <f t="shared" ca="1" si="67"/>
        <v>-96.926271643518703</v>
      </c>
      <c r="AF633" s="15"/>
    </row>
    <row r="634" spans="1:32" hidden="1">
      <c r="A634" s="1">
        <v>9002878</v>
      </c>
      <c r="B634" s="1" t="s">
        <v>62</v>
      </c>
      <c r="C634" t="s">
        <v>3588</v>
      </c>
      <c r="E634" s="2">
        <v>1732000203010</v>
      </c>
      <c r="F634" s="1" t="s">
        <v>152</v>
      </c>
      <c r="G634" s="1" t="s">
        <v>53</v>
      </c>
      <c r="H634" s="1" t="s">
        <v>177</v>
      </c>
      <c r="I634" s="1" t="s">
        <v>178</v>
      </c>
      <c r="J634" s="1" t="s">
        <v>164</v>
      </c>
      <c r="K634" t="s">
        <v>155</v>
      </c>
      <c r="M634" s="1" t="s">
        <v>35</v>
      </c>
      <c r="N634" s="1">
        <v>42318949</v>
      </c>
      <c r="O634" s="1" t="s">
        <v>36</v>
      </c>
      <c r="P634" s="186">
        <v>44853.517974537041</v>
      </c>
      <c r="R634" s="1">
        <v>1</v>
      </c>
      <c r="T634" s="1" t="s">
        <v>157</v>
      </c>
      <c r="U634" s="186">
        <v>44889.75</v>
      </c>
      <c r="V634" s="1" t="s">
        <v>41</v>
      </c>
      <c r="W634" s="1" t="s">
        <v>49</v>
      </c>
      <c r="X634" s="13" t="str">
        <f t="shared" si="68"/>
        <v/>
      </c>
      <c r="Y634" s="2">
        <f t="shared" ca="1" si="63"/>
        <v>96</v>
      </c>
      <c r="Z634" s="14">
        <v>1</v>
      </c>
      <c r="AA634" s="1" t="str">
        <f t="shared" ca="1" si="64"/>
        <v>VENCIDO</v>
      </c>
      <c r="AB634" s="1" t="str">
        <f t="shared" si="65"/>
        <v>TAAe+</v>
      </c>
      <c r="AC634" s="2" t="str">
        <f t="shared" si="69"/>
        <v xml:space="preserve"> ROSEMERE </v>
      </c>
      <c r="AD634" s="2">
        <f t="shared" si="66"/>
        <v>8</v>
      </c>
      <c r="AE634" s="2">
        <f t="shared" ca="1" si="67"/>
        <v>-96.926271643518703</v>
      </c>
      <c r="AF634" s="15"/>
    </row>
    <row r="635" spans="1:32" hidden="1">
      <c r="A635" s="1">
        <v>9011010</v>
      </c>
      <c r="B635" s="1" t="s">
        <v>62</v>
      </c>
      <c r="C635" t="s">
        <v>1263</v>
      </c>
      <c r="E635" s="2">
        <v>2156000206021</v>
      </c>
      <c r="F635" s="1" t="s">
        <v>103</v>
      </c>
      <c r="G635" s="1" t="s">
        <v>53</v>
      </c>
      <c r="H635" s="1" t="s">
        <v>278</v>
      </c>
      <c r="I635" s="1" t="s">
        <v>279</v>
      </c>
      <c r="J635" s="1" t="s">
        <v>211</v>
      </c>
      <c r="K635" t="s">
        <v>104</v>
      </c>
      <c r="M635" s="1" t="s">
        <v>58</v>
      </c>
      <c r="N635" s="1">
        <v>0</v>
      </c>
      <c r="O635" s="1" t="s">
        <v>36</v>
      </c>
      <c r="P635" s="186">
        <v>44855.757037037038</v>
      </c>
      <c r="R635" s="1" t="s">
        <v>38</v>
      </c>
      <c r="T635" s="1" t="s">
        <v>74</v>
      </c>
      <c r="U635" s="186">
        <v>44901.75</v>
      </c>
      <c r="V635" s="1" t="s">
        <v>41</v>
      </c>
      <c r="W635" s="1" t="s">
        <v>49</v>
      </c>
      <c r="X635" s="13" t="str">
        <f t="shared" si="68"/>
        <v/>
      </c>
      <c r="Y635" s="2">
        <f t="shared" ca="1" si="63"/>
        <v>94</v>
      </c>
      <c r="Z635" s="14">
        <v>1</v>
      </c>
      <c r="AA635" s="1" t="str">
        <f t="shared" ca="1" si="64"/>
        <v>VENCIDO</v>
      </c>
      <c r="AB635" s="1" t="str">
        <f t="shared" si="65"/>
        <v>Dosa</v>
      </c>
      <c r="AC635" s="2" t="str">
        <f t="shared" si="69"/>
        <v xml:space="preserve"> RINALDO </v>
      </c>
      <c r="AD635" s="2">
        <f t="shared" si="66"/>
        <v>5</v>
      </c>
      <c r="AE635" s="2">
        <f t="shared" ca="1" si="67"/>
        <v>-84.926271643518703</v>
      </c>
      <c r="AF635" s="15"/>
    </row>
    <row r="636" spans="1:32" hidden="1">
      <c r="A636" s="1">
        <v>9011009</v>
      </c>
      <c r="B636" s="1" t="s">
        <v>62</v>
      </c>
      <c r="C636" t="s">
        <v>1266</v>
      </c>
      <c r="E636" s="2">
        <v>2156000206021</v>
      </c>
      <c r="F636" s="1" t="s">
        <v>103</v>
      </c>
      <c r="G636" s="1" t="s">
        <v>53</v>
      </c>
      <c r="H636" s="1" t="s">
        <v>278</v>
      </c>
      <c r="I636" s="1" t="s">
        <v>279</v>
      </c>
      <c r="J636" s="1" t="s">
        <v>211</v>
      </c>
      <c r="K636" t="s">
        <v>104</v>
      </c>
      <c r="M636" s="1" t="s">
        <v>58</v>
      </c>
      <c r="N636" s="1">
        <v>0</v>
      </c>
      <c r="O636" s="1" t="s">
        <v>36</v>
      </c>
      <c r="P636" s="186">
        <v>44855.756736111114</v>
      </c>
      <c r="R636" s="1" t="s">
        <v>38</v>
      </c>
      <c r="T636" s="1" t="s">
        <v>74</v>
      </c>
      <c r="U636" s="186">
        <v>44901.75</v>
      </c>
      <c r="V636" s="1" t="s">
        <v>41</v>
      </c>
      <c r="W636" s="1" t="s">
        <v>49</v>
      </c>
      <c r="X636" s="13" t="str">
        <f t="shared" si="68"/>
        <v/>
      </c>
      <c r="Y636" s="2">
        <f t="shared" ca="1" si="63"/>
        <v>94</v>
      </c>
      <c r="Z636" s="14">
        <v>1</v>
      </c>
      <c r="AA636" s="1" t="str">
        <f t="shared" ca="1" si="64"/>
        <v>VENCIDO</v>
      </c>
      <c r="AB636" s="1" t="str">
        <f t="shared" si="65"/>
        <v>Dosa</v>
      </c>
      <c r="AC636" s="2" t="str">
        <f t="shared" si="69"/>
        <v xml:space="preserve"> RINALDO </v>
      </c>
      <c r="AD636" s="2">
        <f t="shared" si="66"/>
        <v>5</v>
      </c>
      <c r="AE636" s="2">
        <f t="shared" ca="1" si="67"/>
        <v>-84.926271643518703</v>
      </c>
      <c r="AF636" s="15"/>
    </row>
    <row r="637" spans="1:32" hidden="1">
      <c r="A637" s="1">
        <v>9011008</v>
      </c>
      <c r="B637" s="1" t="s">
        <v>62</v>
      </c>
      <c r="C637" t="s">
        <v>1266</v>
      </c>
      <c r="E637" s="2">
        <v>2156000206021</v>
      </c>
      <c r="F637" s="1" t="s">
        <v>103</v>
      </c>
      <c r="G637" s="1" t="s">
        <v>53</v>
      </c>
      <c r="H637" s="1" t="s">
        <v>278</v>
      </c>
      <c r="I637" s="1" t="s">
        <v>279</v>
      </c>
      <c r="J637" s="1" t="s">
        <v>211</v>
      </c>
      <c r="K637" t="s">
        <v>104</v>
      </c>
      <c r="M637" s="1" t="s">
        <v>58</v>
      </c>
      <c r="N637" s="1">
        <v>0</v>
      </c>
      <c r="O637" s="1" t="s">
        <v>36</v>
      </c>
      <c r="P637" s="186">
        <v>44855.756435185183</v>
      </c>
      <c r="R637" s="1" t="s">
        <v>38</v>
      </c>
      <c r="T637" s="1" t="s">
        <v>74</v>
      </c>
      <c r="U637" s="186">
        <v>44901.75</v>
      </c>
      <c r="V637" s="1" t="s">
        <v>41</v>
      </c>
      <c r="W637" s="1" t="s">
        <v>49</v>
      </c>
      <c r="X637" s="13" t="str">
        <f t="shared" si="68"/>
        <v/>
      </c>
      <c r="Y637" s="2">
        <f t="shared" ca="1" si="63"/>
        <v>94</v>
      </c>
      <c r="Z637" s="14">
        <v>1</v>
      </c>
      <c r="AA637" s="1" t="str">
        <f t="shared" ca="1" si="64"/>
        <v>VENCIDO</v>
      </c>
      <c r="AB637" s="1" t="str">
        <f t="shared" si="65"/>
        <v>Dosa</v>
      </c>
      <c r="AC637" s="2" t="str">
        <f t="shared" si="69"/>
        <v xml:space="preserve"> RINALDO </v>
      </c>
      <c r="AD637" s="2">
        <f t="shared" si="66"/>
        <v>5</v>
      </c>
      <c r="AE637" s="2">
        <f t="shared" ca="1" si="67"/>
        <v>-84.926271643518703</v>
      </c>
      <c r="AF637" s="15"/>
    </row>
    <row r="638" spans="1:32" hidden="1">
      <c r="A638" s="1">
        <v>9011007</v>
      </c>
      <c r="B638" s="1" t="s">
        <v>62</v>
      </c>
      <c r="C638" t="s">
        <v>1266</v>
      </c>
      <c r="E638" s="2">
        <v>2156000206021</v>
      </c>
      <c r="F638" s="1" t="s">
        <v>103</v>
      </c>
      <c r="G638" s="1" t="s">
        <v>53</v>
      </c>
      <c r="H638" s="1" t="s">
        <v>278</v>
      </c>
      <c r="I638" s="1" t="s">
        <v>279</v>
      </c>
      <c r="J638" s="1" t="s">
        <v>211</v>
      </c>
      <c r="K638" t="s">
        <v>104</v>
      </c>
      <c r="M638" s="1" t="s">
        <v>58</v>
      </c>
      <c r="N638" s="1">
        <v>0</v>
      </c>
      <c r="O638" s="1" t="s">
        <v>36</v>
      </c>
      <c r="P638" s="186">
        <v>44855.756111111114</v>
      </c>
      <c r="R638" s="1" t="s">
        <v>38</v>
      </c>
      <c r="T638" s="1" t="s">
        <v>74</v>
      </c>
      <c r="U638" s="186">
        <v>44901.75</v>
      </c>
      <c r="V638" s="1" t="s">
        <v>41</v>
      </c>
      <c r="W638" s="1" t="s">
        <v>49</v>
      </c>
      <c r="X638" s="13" t="str">
        <f t="shared" si="68"/>
        <v/>
      </c>
      <c r="Y638" s="2">
        <f t="shared" ca="1" si="63"/>
        <v>94</v>
      </c>
      <c r="Z638" s="14">
        <v>1</v>
      </c>
      <c r="AA638" s="1" t="str">
        <f t="shared" ca="1" si="64"/>
        <v>VENCIDO</v>
      </c>
      <c r="AB638" s="1" t="str">
        <f t="shared" si="65"/>
        <v>Dosa</v>
      </c>
      <c r="AC638" s="2" t="str">
        <f t="shared" si="69"/>
        <v xml:space="preserve"> RINALDO </v>
      </c>
      <c r="AD638" s="2">
        <f t="shared" si="66"/>
        <v>5</v>
      </c>
      <c r="AE638" s="2">
        <f t="shared" ca="1" si="67"/>
        <v>-84.926271643518703</v>
      </c>
      <c r="AF638" s="15"/>
    </row>
    <row r="639" spans="1:32" hidden="1">
      <c r="A639" s="1">
        <v>9017924</v>
      </c>
      <c r="B639" s="1" t="s">
        <v>1153</v>
      </c>
      <c r="C639" t="s">
        <v>1270</v>
      </c>
      <c r="D639" s="2">
        <v>220174476</v>
      </c>
      <c r="E639" s="2">
        <v>4119001400030</v>
      </c>
      <c r="F639" s="1" t="s">
        <v>647</v>
      </c>
      <c r="G639" s="1" t="s">
        <v>53</v>
      </c>
      <c r="H639" s="1" t="s">
        <v>297</v>
      </c>
      <c r="I639" s="1" t="s">
        <v>298</v>
      </c>
      <c r="J639" s="1" t="s">
        <v>211</v>
      </c>
      <c r="K639" t="s">
        <v>650</v>
      </c>
      <c r="M639" s="1" t="s">
        <v>58</v>
      </c>
      <c r="N639" s="1">
        <v>0</v>
      </c>
      <c r="O639" s="1" t="s">
        <v>36</v>
      </c>
      <c r="P639" s="186">
        <v>44859.516435185185</v>
      </c>
      <c r="R639" s="1">
        <v>4</v>
      </c>
      <c r="T639" s="1" t="s">
        <v>646</v>
      </c>
      <c r="U639" s="186">
        <v>44860.537268518521</v>
      </c>
      <c r="V639" s="1" t="s">
        <v>41</v>
      </c>
      <c r="W639" s="1" t="s">
        <v>49</v>
      </c>
      <c r="X639" s="13" t="str">
        <f t="shared" si="68"/>
        <v/>
      </c>
      <c r="Y639" s="2">
        <f t="shared" ca="1" si="63"/>
        <v>92</v>
      </c>
      <c r="Z639" s="14">
        <v>1</v>
      </c>
      <c r="AA639" s="1" t="str">
        <f t="shared" ca="1" si="64"/>
        <v>VENCIDO</v>
      </c>
      <c r="AB639" s="1" t="str">
        <f t="shared" si="65"/>
        <v>C-14</v>
      </c>
      <c r="AC639" s="2" t="str">
        <f t="shared" si="69"/>
        <v xml:space="preserve"> RINALDO </v>
      </c>
      <c r="AD639" s="2">
        <f t="shared" si="66"/>
        <v>15</v>
      </c>
      <c r="AE639" s="2">
        <f t="shared" ca="1" si="67"/>
        <v>-126.13900312499754</v>
      </c>
      <c r="AF639" s="15"/>
    </row>
    <row r="640" spans="1:32" hidden="1">
      <c r="A640" s="1">
        <v>9020963</v>
      </c>
      <c r="B640" s="1" t="s">
        <v>1153</v>
      </c>
      <c r="C640" t="s">
        <v>1273</v>
      </c>
      <c r="D640" s="2">
        <v>20228489000019</v>
      </c>
      <c r="E640" s="2">
        <v>7417172315969</v>
      </c>
      <c r="F640" s="1" t="s">
        <v>1155</v>
      </c>
      <c r="G640" s="1" t="s">
        <v>53</v>
      </c>
      <c r="H640" s="1" t="s">
        <v>1156</v>
      </c>
      <c r="I640" s="1" t="s">
        <v>1157</v>
      </c>
      <c r="J640" s="1" t="s">
        <v>46</v>
      </c>
      <c r="K640" t="s">
        <v>1158</v>
      </c>
      <c r="M640" s="1" t="s">
        <v>58</v>
      </c>
      <c r="N640" s="1">
        <v>0</v>
      </c>
      <c r="O640" s="1" t="s">
        <v>36</v>
      </c>
      <c r="P640" s="186">
        <v>44860.644363425927</v>
      </c>
      <c r="R640" s="1">
        <v>22</v>
      </c>
      <c r="T640" s="1" t="s">
        <v>1160</v>
      </c>
      <c r="U640" s="186">
        <v>44865.477696759262</v>
      </c>
      <c r="V640" s="1" t="s">
        <v>41</v>
      </c>
      <c r="W640" s="1" t="s">
        <v>49</v>
      </c>
      <c r="X640" s="13" t="str">
        <f t="shared" si="68"/>
        <v/>
      </c>
      <c r="Y640" s="2">
        <f t="shared" ca="1" si="63"/>
        <v>91</v>
      </c>
      <c r="Z640" s="14">
        <v>1</v>
      </c>
      <c r="AA640" s="1" t="str">
        <f t="shared" ca="1" si="64"/>
        <v>VENCIDO</v>
      </c>
      <c r="AB640" s="1" t="str">
        <f t="shared" si="65"/>
        <v>TAAe+</v>
      </c>
      <c r="AC640" s="2" t="str">
        <f t="shared" si="69"/>
        <v xml:space="preserve"> CLEITON </v>
      </c>
      <c r="AD640" s="2">
        <f t="shared" si="66"/>
        <v>8</v>
      </c>
      <c r="AE640" s="2">
        <f t="shared" ca="1" si="67"/>
        <v>-121.19857488425623</v>
      </c>
      <c r="AF640" s="15"/>
    </row>
    <row r="641" spans="1:32" hidden="1">
      <c r="A641" s="1">
        <v>9022234</v>
      </c>
      <c r="B641" s="1" t="s">
        <v>1153</v>
      </c>
      <c r="C641" t="s">
        <v>1276</v>
      </c>
      <c r="D641" s="2">
        <v>20228489000020</v>
      </c>
      <c r="E641" s="2">
        <v>7417172314989</v>
      </c>
      <c r="F641" s="1" t="s">
        <v>1155</v>
      </c>
      <c r="G641" s="1" t="s">
        <v>53</v>
      </c>
      <c r="H641" s="1" t="s">
        <v>1156</v>
      </c>
      <c r="I641" s="1" t="s">
        <v>1157</v>
      </c>
      <c r="J641" s="1" t="s">
        <v>46</v>
      </c>
      <c r="K641" t="s">
        <v>1158</v>
      </c>
      <c r="M641" s="1" t="s">
        <v>58</v>
      </c>
      <c r="N641" s="1">
        <v>0</v>
      </c>
      <c r="O641" s="1" t="s">
        <v>36</v>
      </c>
      <c r="P641" s="186">
        <v>44861.392812500002</v>
      </c>
      <c r="R641" s="1">
        <v>22</v>
      </c>
      <c r="T641" s="1" t="s">
        <v>1160</v>
      </c>
      <c r="U641" s="186">
        <v>44865.601145833331</v>
      </c>
      <c r="V641" s="1" t="s">
        <v>41</v>
      </c>
      <c r="W641" s="1" t="s">
        <v>49</v>
      </c>
      <c r="X641" s="13" t="str">
        <f t="shared" si="68"/>
        <v/>
      </c>
      <c r="Y641" s="2">
        <f t="shared" ca="1" si="63"/>
        <v>90</v>
      </c>
      <c r="Z641" s="14">
        <v>1</v>
      </c>
      <c r="AA641" s="1" t="str">
        <f t="shared" ca="1" si="64"/>
        <v>VENCIDO</v>
      </c>
      <c r="AB641" s="1" t="str">
        <f t="shared" si="65"/>
        <v>TAAe+</v>
      </c>
      <c r="AC641" s="2" t="str">
        <f t="shared" si="69"/>
        <v xml:space="preserve"> CLEITON </v>
      </c>
      <c r="AD641" s="2">
        <f t="shared" si="66"/>
        <v>8</v>
      </c>
      <c r="AE641" s="2">
        <f t="shared" ca="1" si="67"/>
        <v>-121.07512581018818</v>
      </c>
      <c r="AF641" s="15"/>
    </row>
    <row r="642" spans="1:32" hidden="1">
      <c r="A642" s="1">
        <v>9025533</v>
      </c>
      <c r="B642" s="1" t="s">
        <v>62</v>
      </c>
      <c r="C642" t="s">
        <v>1277</v>
      </c>
      <c r="E642" s="2">
        <v>7420000203000</v>
      </c>
      <c r="F642" s="1" t="s">
        <v>454</v>
      </c>
      <c r="G642" s="1" t="s">
        <v>30</v>
      </c>
      <c r="H642" s="1" t="s">
        <v>1076</v>
      </c>
      <c r="I642" s="1" t="s">
        <v>1077</v>
      </c>
      <c r="J642" s="1" t="s">
        <v>46</v>
      </c>
      <c r="K642" t="s">
        <v>457</v>
      </c>
      <c r="M642" s="1" t="s">
        <v>58</v>
      </c>
      <c r="N642" s="1">
        <v>0</v>
      </c>
      <c r="O642" s="1" t="s">
        <v>105</v>
      </c>
      <c r="P642" s="186">
        <v>44862.608275462961</v>
      </c>
      <c r="R642" s="1" t="s">
        <v>38</v>
      </c>
      <c r="T642" s="1" t="s">
        <v>157</v>
      </c>
      <c r="U642" s="186">
        <v>44900.75</v>
      </c>
      <c r="V642" s="1" t="s">
        <v>41</v>
      </c>
      <c r="W642" s="1" t="s">
        <v>49</v>
      </c>
      <c r="X642" s="13" t="str">
        <f t="shared" si="68"/>
        <v/>
      </c>
      <c r="Y642" s="2">
        <f t="shared" ref="Y642:Y699" ca="1" si="70">NETWORKDAYS(P642,$Y$1)</f>
        <v>89</v>
      </c>
      <c r="Z642" s="14">
        <v>1</v>
      </c>
      <c r="AA642" s="1" t="str">
        <f t="shared" ref="AA642:AA699" ca="1" si="71">IF(AE642=0,"HOJE",IF(AE642&gt;0,"A VENCER",IF(AE642&lt;0,"VENCIDO")))</f>
        <v>VENCIDO</v>
      </c>
      <c r="AB642" s="1" t="str">
        <f t="shared" ref="AB642:AB699" si="72">IF(F642="GRPE-000001","C-14",IF(F642="GRPE-000002","C-14",IF(F642="GRPE-000003","C-14",IF(F642="GRPE-000004","SL-On",IF(F642="GRPE-000038","C-14",IF(F642="GRPE-900022","Dosa",IF(F642="GRPE-000029","Dosa",IF(F642="ATOS-000222","Dose","TAAe+"))))))))</f>
        <v>C-14</v>
      </c>
      <c r="AC642" s="2" t="str">
        <f t="shared" si="69"/>
        <v xml:space="preserve"> CLEITON </v>
      </c>
      <c r="AD642" s="2">
        <f t="shared" ref="AD642:AD699" si="73">IF(F642="GRPE-000001",5,IF(F642="GRPE-000002",5,IF(F642="GRPE-000003",15,IF(F642="GRPE-000004",1,IF(F642="GRPE-000038",5,IF(F642="GRPE-900022",5,IF(F642="GRPE-000029",5,IF(F642="ATOS-000222",5,8))))))))</f>
        <v>5</v>
      </c>
      <c r="AE642" s="2">
        <f t="shared" ref="AE642:AE699" ca="1" si="74">IF(U642=$AE$1,"",U642-$AE$1)</f>
        <v>-85.926271643518703</v>
      </c>
      <c r="AF642" s="15"/>
    </row>
    <row r="643" spans="1:32" hidden="1">
      <c r="A643" s="1">
        <v>9024940</v>
      </c>
      <c r="B643" s="1" t="s">
        <v>1153</v>
      </c>
      <c r="C643" t="s">
        <v>1280</v>
      </c>
      <c r="D643" s="2">
        <v>220176632</v>
      </c>
      <c r="E643" s="2">
        <v>1761001400030</v>
      </c>
      <c r="F643" s="1" t="s">
        <v>647</v>
      </c>
      <c r="G643" s="1" t="s">
        <v>53</v>
      </c>
      <c r="H643" s="1" t="s">
        <v>375</v>
      </c>
      <c r="I643" s="1" t="s">
        <v>376</v>
      </c>
      <c r="J643" s="1" t="s">
        <v>56</v>
      </c>
      <c r="K643" t="s">
        <v>650</v>
      </c>
      <c r="M643" s="1" t="s">
        <v>58</v>
      </c>
      <c r="N643" s="1">
        <v>0</v>
      </c>
      <c r="O643" s="1" t="s">
        <v>36</v>
      </c>
      <c r="P643" s="186">
        <v>44862.474780092591</v>
      </c>
      <c r="R643" s="1">
        <v>4</v>
      </c>
      <c r="T643" s="1" t="s">
        <v>646</v>
      </c>
      <c r="U643" s="186">
        <v>44873.628472222219</v>
      </c>
      <c r="V643" s="1" t="s">
        <v>41</v>
      </c>
      <c r="W643" s="1" t="s">
        <v>49</v>
      </c>
      <c r="X643" s="13" t="str">
        <f t="shared" ref="X643:X700" si="75">IF(RIGHT(H643,2)&lt;&gt;"00",H643,"")</f>
        <v/>
      </c>
      <c r="Y643" s="2">
        <f t="shared" ca="1" si="70"/>
        <v>89</v>
      </c>
      <c r="Z643" s="14">
        <v>1</v>
      </c>
      <c r="AA643" s="1" t="str">
        <f t="shared" ca="1" si="71"/>
        <v>VENCIDO</v>
      </c>
      <c r="AB643" s="1" t="str">
        <f t="shared" si="72"/>
        <v>C-14</v>
      </c>
      <c r="AC643" s="2" t="str">
        <f t="shared" ref="AC643:AC699" si="76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 xml:space="preserve"> CRISTINA </v>
      </c>
      <c r="AD643" s="2">
        <f t="shared" si="73"/>
        <v>15</v>
      </c>
      <c r="AE643" s="2">
        <f t="shared" ca="1" si="74"/>
        <v>-113.04779942129971</v>
      </c>
      <c r="AF643" s="15"/>
    </row>
    <row r="644" spans="1:32">
      <c r="A644" s="1">
        <v>9030748</v>
      </c>
      <c r="B644" s="1" t="s">
        <v>1153</v>
      </c>
      <c r="C644" s="178" t="s">
        <v>3451</v>
      </c>
      <c r="D644" s="2">
        <v>220177570</v>
      </c>
      <c r="E644" s="2">
        <v>1028001400030</v>
      </c>
      <c r="F644" s="1" t="s">
        <v>647</v>
      </c>
      <c r="G644" s="1" t="s">
        <v>53</v>
      </c>
      <c r="H644" s="1" t="s">
        <v>1079</v>
      </c>
      <c r="I644" s="1" t="s">
        <v>1080</v>
      </c>
      <c r="J644" s="1" t="s">
        <v>85</v>
      </c>
      <c r="K644" t="s">
        <v>650</v>
      </c>
      <c r="M644" s="1" t="s">
        <v>58</v>
      </c>
      <c r="N644" s="1">
        <v>0</v>
      </c>
      <c r="O644" s="1" t="s">
        <v>36</v>
      </c>
      <c r="P644" s="186">
        <v>44865.564710648148</v>
      </c>
      <c r="R644" s="1">
        <v>4</v>
      </c>
      <c r="T644" s="1" t="s">
        <v>646</v>
      </c>
      <c r="U644" s="186">
        <v>44866.585543981484</v>
      </c>
      <c r="V644" s="1" t="s">
        <v>41</v>
      </c>
      <c r="W644" s="1" t="s">
        <v>49</v>
      </c>
      <c r="X644" s="13" t="str">
        <f t="shared" si="75"/>
        <v/>
      </c>
      <c r="Y644" s="2">
        <f t="shared" ca="1" si="70"/>
        <v>88</v>
      </c>
      <c r="Z644" s="14">
        <v>1</v>
      </c>
      <c r="AA644" s="1" t="str">
        <f t="shared" ca="1" si="71"/>
        <v>VENCIDO</v>
      </c>
      <c r="AB644" s="1" t="str">
        <f t="shared" si="72"/>
        <v>C-14</v>
      </c>
      <c r="AC644" s="2" t="str">
        <f t="shared" si="76"/>
        <v xml:space="preserve"> RINALDO </v>
      </c>
      <c r="AD644" s="2">
        <f t="shared" si="73"/>
        <v>15</v>
      </c>
      <c r="AE644" s="2">
        <f t="shared" ca="1" si="74"/>
        <v>-120.09072766203462</v>
      </c>
      <c r="AF644" s="15"/>
    </row>
    <row r="645" spans="1:32">
      <c r="A645" s="1">
        <v>9030747</v>
      </c>
      <c r="B645" s="1" t="s">
        <v>1153</v>
      </c>
      <c r="C645" s="178" t="s">
        <v>3452</v>
      </c>
      <c r="D645" s="2">
        <v>220177573</v>
      </c>
      <c r="E645" s="2">
        <v>1028001400030</v>
      </c>
      <c r="F645" s="1" t="s">
        <v>647</v>
      </c>
      <c r="G645" s="1" t="s">
        <v>53</v>
      </c>
      <c r="H645" s="1" t="s">
        <v>1079</v>
      </c>
      <c r="I645" s="1" t="s">
        <v>1080</v>
      </c>
      <c r="J645" s="1" t="s">
        <v>85</v>
      </c>
      <c r="K645" t="s">
        <v>650</v>
      </c>
      <c r="M645" s="1" t="s">
        <v>58</v>
      </c>
      <c r="N645" s="1">
        <v>0</v>
      </c>
      <c r="O645" s="1" t="s">
        <v>36</v>
      </c>
      <c r="P645" s="186">
        <v>44865.564652777779</v>
      </c>
      <c r="R645" s="1">
        <v>4</v>
      </c>
      <c r="T645" s="1" t="s">
        <v>646</v>
      </c>
      <c r="U645" s="186">
        <v>44866.585486111115</v>
      </c>
      <c r="V645" s="1" t="s">
        <v>41</v>
      </c>
      <c r="W645" s="1" t="s">
        <v>49</v>
      </c>
      <c r="X645" s="13" t="str">
        <f t="shared" si="75"/>
        <v/>
      </c>
      <c r="Y645" s="2">
        <f t="shared" ca="1" si="70"/>
        <v>88</v>
      </c>
      <c r="Z645" s="14">
        <v>1</v>
      </c>
      <c r="AA645" s="1" t="str">
        <f t="shared" ca="1" si="71"/>
        <v>VENCIDO</v>
      </c>
      <c r="AB645" s="1" t="str">
        <f t="shared" si="72"/>
        <v>C-14</v>
      </c>
      <c r="AC645" s="2" t="str">
        <f t="shared" si="76"/>
        <v xml:space="preserve"> RINALDO </v>
      </c>
      <c r="AD645" s="2">
        <f t="shared" si="73"/>
        <v>15</v>
      </c>
      <c r="AE645" s="2">
        <f t="shared" ca="1" si="74"/>
        <v>-120.09078553240397</v>
      </c>
      <c r="AF645" s="15"/>
    </row>
    <row r="646" spans="1:32">
      <c r="A646" s="1">
        <v>9030746</v>
      </c>
      <c r="B646" s="1" t="s">
        <v>1153</v>
      </c>
      <c r="C646" s="178" t="s">
        <v>3453</v>
      </c>
      <c r="D646" s="2">
        <v>220177571</v>
      </c>
      <c r="E646" s="2">
        <v>1028001400030</v>
      </c>
      <c r="F646" s="1" t="s">
        <v>647</v>
      </c>
      <c r="G646" s="1" t="s">
        <v>53</v>
      </c>
      <c r="H646" s="1" t="s">
        <v>1079</v>
      </c>
      <c r="I646" s="1" t="s">
        <v>1080</v>
      </c>
      <c r="J646" s="1" t="s">
        <v>85</v>
      </c>
      <c r="K646" t="s">
        <v>650</v>
      </c>
      <c r="M646" s="1" t="s">
        <v>58</v>
      </c>
      <c r="N646" s="1">
        <v>0</v>
      </c>
      <c r="O646" s="1" t="s">
        <v>36</v>
      </c>
      <c r="P646" s="186">
        <v>44865.564583333333</v>
      </c>
      <c r="R646" s="1">
        <v>4</v>
      </c>
      <c r="T646" s="1" t="s">
        <v>646</v>
      </c>
      <c r="U646" s="186">
        <v>44866.585416666669</v>
      </c>
      <c r="V646" s="1" t="s">
        <v>41</v>
      </c>
      <c r="W646" s="1" t="s">
        <v>49</v>
      </c>
      <c r="X646" s="13" t="str">
        <f t="shared" si="75"/>
        <v/>
      </c>
      <c r="Y646" s="2">
        <f t="shared" ca="1" si="70"/>
        <v>88</v>
      </c>
      <c r="Z646" s="14">
        <v>1</v>
      </c>
      <c r="AA646" s="1" t="str">
        <f t="shared" ca="1" si="71"/>
        <v>VENCIDO</v>
      </c>
      <c r="AB646" s="1" t="str">
        <f t="shared" si="72"/>
        <v>C-14</v>
      </c>
      <c r="AC646" s="2" t="str">
        <f t="shared" si="76"/>
        <v xml:space="preserve"> RINALDO </v>
      </c>
      <c r="AD646" s="2">
        <f t="shared" si="73"/>
        <v>15</v>
      </c>
      <c r="AE646" s="2">
        <f t="shared" ca="1" si="74"/>
        <v>-120.0908549768501</v>
      </c>
      <c r="AF646" s="15"/>
    </row>
    <row r="647" spans="1:32">
      <c r="A647" s="1">
        <v>9030743</v>
      </c>
      <c r="B647" s="1" t="s">
        <v>1153</v>
      </c>
      <c r="C647" s="178" t="s">
        <v>3454</v>
      </c>
      <c r="D647" s="2">
        <v>220177524</v>
      </c>
      <c r="E647" s="2">
        <v>1028001400030</v>
      </c>
      <c r="F647" s="1" t="s">
        <v>647</v>
      </c>
      <c r="G647" s="1" t="s">
        <v>53</v>
      </c>
      <c r="H647" s="1" t="s">
        <v>1079</v>
      </c>
      <c r="I647" s="1" t="s">
        <v>1080</v>
      </c>
      <c r="J647" s="1" t="s">
        <v>85</v>
      </c>
      <c r="K647" t="s">
        <v>650</v>
      </c>
      <c r="M647" s="1" t="s">
        <v>58</v>
      </c>
      <c r="N647" s="1">
        <v>0</v>
      </c>
      <c r="O647" s="1" t="s">
        <v>36</v>
      </c>
      <c r="P647" s="186">
        <v>44865.564386574071</v>
      </c>
      <c r="R647" s="1">
        <v>4</v>
      </c>
      <c r="T647" s="1" t="s">
        <v>646</v>
      </c>
      <c r="U647" s="186">
        <v>44866.585219907407</v>
      </c>
      <c r="V647" s="1" t="s">
        <v>41</v>
      </c>
      <c r="W647" s="1" t="s">
        <v>49</v>
      </c>
      <c r="X647" s="13" t="str">
        <f t="shared" si="75"/>
        <v/>
      </c>
      <c r="Y647" s="2">
        <f t="shared" ca="1" si="70"/>
        <v>88</v>
      </c>
      <c r="Z647" s="14">
        <v>1</v>
      </c>
      <c r="AA647" s="1" t="str">
        <f t="shared" ca="1" si="71"/>
        <v>VENCIDO</v>
      </c>
      <c r="AB647" s="1" t="str">
        <f t="shared" si="72"/>
        <v>C-14</v>
      </c>
      <c r="AC647" s="2" t="str">
        <f t="shared" si="76"/>
        <v xml:space="preserve"> RINALDO </v>
      </c>
      <c r="AD647" s="2">
        <f t="shared" si="73"/>
        <v>15</v>
      </c>
      <c r="AE647" s="2">
        <f t="shared" ca="1" si="74"/>
        <v>-120.09105173611169</v>
      </c>
      <c r="AF647" s="15"/>
    </row>
    <row r="648" spans="1:32">
      <c r="A648" s="1">
        <v>9030733</v>
      </c>
      <c r="B648" s="1" t="s">
        <v>1153</v>
      </c>
      <c r="C648" s="178" t="s">
        <v>3455</v>
      </c>
      <c r="D648" s="2">
        <v>220177525</v>
      </c>
      <c r="E648" s="2">
        <v>1028001400030</v>
      </c>
      <c r="F648" s="1" t="s">
        <v>647</v>
      </c>
      <c r="G648" s="1" t="s">
        <v>53</v>
      </c>
      <c r="H648" s="1" t="s">
        <v>1079</v>
      </c>
      <c r="I648" s="1" t="s">
        <v>1080</v>
      </c>
      <c r="J648" s="1" t="s">
        <v>85</v>
      </c>
      <c r="K648" t="s">
        <v>650</v>
      </c>
      <c r="M648" s="1" t="s">
        <v>58</v>
      </c>
      <c r="N648" s="1">
        <v>0</v>
      </c>
      <c r="O648" s="1" t="s">
        <v>36</v>
      </c>
      <c r="P648" s="186">
        <v>44865.558194444442</v>
      </c>
      <c r="R648" s="1">
        <v>4</v>
      </c>
      <c r="T648" s="1" t="s">
        <v>646</v>
      </c>
      <c r="U648" s="186">
        <v>44866.579027777778</v>
      </c>
      <c r="V648" s="1" t="s">
        <v>41</v>
      </c>
      <c r="W648" s="1" t="s">
        <v>49</v>
      </c>
      <c r="X648" s="13" t="str">
        <f t="shared" si="75"/>
        <v/>
      </c>
      <c r="Y648" s="2">
        <f t="shared" ca="1" si="70"/>
        <v>88</v>
      </c>
      <c r="Z648" s="14">
        <v>1</v>
      </c>
      <c r="AA648" s="1" t="str">
        <f t="shared" ca="1" si="71"/>
        <v>VENCIDO</v>
      </c>
      <c r="AB648" s="1" t="str">
        <f t="shared" si="72"/>
        <v>C-14</v>
      </c>
      <c r="AC648" s="2" t="str">
        <f t="shared" si="76"/>
        <v xml:space="preserve"> RINALDO </v>
      </c>
      <c r="AD648" s="2">
        <f t="shared" si="73"/>
        <v>15</v>
      </c>
      <c r="AE648" s="2">
        <f t="shared" ca="1" si="74"/>
        <v>-120.09724386574089</v>
      </c>
      <c r="AF648" s="15"/>
    </row>
    <row r="649" spans="1:32" hidden="1">
      <c r="A649" s="1">
        <v>9037912</v>
      </c>
      <c r="B649" s="1" t="s">
        <v>62</v>
      </c>
      <c r="C649" t="s">
        <v>1296</v>
      </c>
      <c r="E649" s="2">
        <v>1069000203000</v>
      </c>
      <c r="F649" s="1" t="s">
        <v>454</v>
      </c>
      <c r="G649" s="1" t="s">
        <v>53</v>
      </c>
      <c r="H649" s="1" t="s">
        <v>353</v>
      </c>
      <c r="I649" s="1" t="s">
        <v>354</v>
      </c>
      <c r="J649" s="1" t="s">
        <v>211</v>
      </c>
      <c r="K649" t="s">
        <v>457</v>
      </c>
      <c r="M649" s="1" t="s">
        <v>58</v>
      </c>
      <c r="N649" s="1">
        <v>0</v>
      </c>
      <c r="O649" s="1" t="s">
        <v>36</v>
      </c>
      <c r="P649" s="186">
        <v>44868.619062500002</v>
      </c>
      <c r="R649" s="1">
        <v>1</v>
      </c>
      <c r="T649" s="1" t="s">
        <v>157</v>
      </c>
      <c r="U649" s="186">
        <v>44903.75</v>
      </c>
      <c r="V649" s="1" t="s">
        <v>41</v>
      </c>
      <c r="W649" s="1" t="s">
        <v>49</v>
      </c>
      <c r="X649" s="13" t="str">
        <f t="shared" si="75"/>
        <v/>
      </c>
      <c r="Y649" s="2">
        <f t="shared" ca="1" si="70"/>
        <v>85</v>
      </c>
      <c r="Z649" s="14">
        <v>1</v>
      </c>
      <c r="AA649" s="1" t="str">
        <f t="shared" ca="1" si="71"/>
        <v>VENCIDO</v>
      </c>
      <c r="AB649" s="1" t="str">
        <f t="shared" si="72"/>
        <v>C-14</v>
      </c>
      <c r="AC649" s="2" t="str">
        <f t="shared" si="76"/>
        <v xml:space="preserve"> RINALDO </v>
      </c>
      <c r="AD649" s="2">
        <f t="shared" si="73"/>
        <v>5</v>
      </c>
      <c r="AE649" s="2">
        <f t="shared" ca="1" si="74"/>
        <v>-82.926271643518703</v>
      </c>
      <c r="AF649" s="15"/>
    </row>
    <row r="650" spans="1:32" hidden="1">
      <c r="A650" s="1">
        <v>9036877</v>
      </c>
      <c r="B650" s="1" t="s">
        <v>62</v>
      </c>
      <c r="C650" t="s">
        <v>1299</v>
      </c>
      <c r="E650" s="2">
        <v>5898000203000</v>
      </c>
      <c r="F650" s="1" t="s">
        <v>454</v>
      </c>
      <c r="G650" s="1" t="s">
        <v>53</v>
      </c>
      <c r="H650" s="1" t="s">
        <v>365</v>
      </c>
      <c r="I650" s="1" t="s">
        <v>366</v>
      </c>
      <c r="J650" s="1" t="s">
        <v>164</v>
      </c>
      <c r="K650" t="s">
        <v>457</v>
      </c>
      <c r="M650" s="1" t="s">
        <v>58</v>
      </c>
      <c r="N650" s="1">
        <v>0</v>
      </c>
      <c r="O650" s="1" t="s">
        <v>105</v>
      </c>
      <c r="P650" s="186">
        <v>44868.440532407411</v>
      </c>
      <c r="R650" s="1">
        <v>1</v>
      </c>
      <c r="T650" s="1" t="s">
        <v>157</v>
      </c>
      <c r="U650" s="186">
        <v>44903.75</v>
      </c>
      <c r="V650" s="1" t="s">
        <v>41</v>
      </c>
      <c r="W650" s="1" t="s">
        <v>49</v>
      </c>
      <c r="X650" s="13" t="str">
        <f t="shared" si="75"/>
        <v/>
      </c>
      <c r="Y650" s="2">
        <f t="shared" ca="1" si="70"/>
        <v>85</v>
      </c>
      <c r="Z650" s="14">
        <v>1</v>
      </c>
      <c r="AA650" s="1" t="str">
        <f t="shared" ca="1" si="71"/>
        <v>VENCIDO</v>
      </c>
      <c r="AB650" s="1" t="str">
        <f t="shared" si="72"/>
        <v>C-14</v>
      </c>
      <c r="AC650" s="2" t="str">
        <f t="shared" si="76"/>
        <v xml:space="preserve"> ROSEMERE </v>
      </c>
      <c r="AD650" s="2">
        <f t="shared" si="73"/>
        <v>5</v>
      </c>
      <c r="AE650" s="2">
        <f t="shared" ca="1" si="74"/>
        <v>-82.926271643518703</v>
      </c>
      <c r="AF650" s="15"/>
    </row>
    <row r="651" spans="1:32" hidden="1">
      <c r="A651" s="1">
        <v>9044943</v>
      </c>
      <c r="B651" s="1" t="s">
        <v>62</v>
      </c>
      <c r="C651" t="s">
        <v>3589</v>
      </c>
      <c r="E651" s="2">
        <v>1902016089900</v>
      </c>
      <c r="F651" s="1" t="s">
        <v>64</v>
      </c>
      <c r="G651" s="1" t="s">
        <v>53</v>
      </c>
      <c r="H651" s="1" t="s">
        <v>175</v>
      </c>
      <c r="I651" s="1" t="s">
        <v>176</v>
      </c>
      <c r="J651" s="1" t="s">
        <v>90</v>
      </c>
      <c r="K651" t="s">
        <v>67</v>
      </c>
      <c r="M651" s="1" t="s">
        <v>35</v>
      </c>
      <c r="N651" s="1">
        <v>42318949</v>
      </c>
      <c r="O651" s="1" t="s">
        <v>36</v>
      </c>
      <c r="P651" s="186">
        <v>44872.504502314812</v>
      </c>
      <c r="R651" s="1" t="s">
        <v>571</v>
      </c>
      <c r="T651" s="1" t="s">
        <v>69</v>
      </c>
      <c r="U651" s="186">
        <v>44881.504502314812</v>
      </c>
      <c r="V651" s="1" t="s">
        <v>41</v>
      </c>
      <c r="W651" s="1" t="s">
        <v>49</v>
      </c>
      <c r="X651" s="13" t="str">
        <f t="shared" si="75"/>
        <v/>
      </c>
      <c r="Y651" s="2">
        <f t="shared" ca="1" si="70"/>
        <v>83</v>
      </c>
      <c r="Z651" s="14">
        <v>1</v>
      </c>
      <c r="AA651" s="1" t="str">
        <f t="shared" ca="1" si="71"/>
        <v>VENCIDO</v>
      </c>
      <c r="AB651" s="1" t="str">
        <f t="shared" si="72"/>
        <v>TAAe+</v>
      </c>
      <c r="AC651" s="2" t="str">
        <f t="shared" si="76"/>
        <v xml:space="preserve"> RINALDO </v>
      </c>
      <c r="AD651" s="2">
        <f t="shared" si="73"/>
        <v>8</v>
      </c>
      <c r="AE651" s="2">
        <f t="shared" ca="1" si="74"/>
        <v>-105.17176932870643</v>
      </c>
      <c r="AF651" s="15"/>
    </row>
    <row r="652" spans="1:32" hidden="1">
      <c r="A652" s="1">
        <v>9044117</v>
      </c>
      <c r="B652" s="1" t="s">
        <v>62</v>
      </c>
      <c r="C652" t="s">
        <v>1304</v>
      </c>
      <c r="E652" s="2">
        <v>9703000203000</v>
      </c>
      <c r="F652" s="1" t="s">
        <v>454</v>
      </c>
      <c r="G652" s="1" t="s">
        <v>53</v>
      </c>
      <c r="H652" s="1" t="s">
        <v>494</v>
      </c>
      <c r="I652" s="1" t="s">
        <v>495</v>
      </c>
      <c r="J652" s="1" t="s">
        <v>79</v>
      </c>
      <c r="K652" t="s">
        <v>457</v>
      </c>
      <c r="M652" s="1" t="s">
        <v>58</v>
      </c>
      <c r="N652" s="1">
        <v>0</v>
      </c>
      <c r="O652" s="1" t="s">
        <v>36</v>
      </c>
      <c r="P652" s="186">
        <v>44872.406840277778</v>
      </c>
      <c r="R652" s="1">
        <v>1</v>
      </c>
      <c r="T652" s="1" t="s">
        <v>157</v>
      </c>
      <c r="U652" s="186">
        <v>44907.75</v>
      </c>
      <c r="V652" s="1" t="s">
        <v>41</v>
      </c>
      <c r="W652" s="1" t="s">
        <v>49</v>
      </c>
      <c r="X652" s="13" t="str">
        <f t="shared" si="75"/>
        <v/>
      </c>
      <c r="Y652" s="2">
        <f t="shared" ca="1" si="70"/>
        <v>83</v>
      </c>
      <c r="Z652" s="14">
        <v>1</v>
      </c>
      <c r="AA652" s="1" t="str">
        <f t="shared" ca="1" si="71"/>
        <v>VENCIDO</v>
      </c>
      <c r="AB652" s="1" t="str">
        <f t="shared" si="72"/>
        <v>C-14</v>
      </c>
      <c r="AC652" s="2" t="str">
        <f t="shared" si="76"/>
        <v xml:space="preserve"> ROSEMERE </v>
      </c>
      <c r="AD652" s="2">
        <f t="shared" si="73"/>
        <v>5</v>
      </c>
      <c r="AE652" s="2">
        <f t="shared" ca="1" si="74"/>
        <v>-78.926271643518703</v>
      </c>
      <c r="AF652" s="15"/>
    </row>
    <row r="653" spans="1:32" hidden="1">
      <c r="A653" s="1">
        <v>9047108</v>
      </c>
      <c r="B653" s="1" t="s">
        <v>62</v>
      </c>
      <c r="C653" t="s">
        <v>1307</v>
      </c>
      <c r="E653" s="2">
        <v>9703000206024</v>
      </c>
      <c r="F653" s="1" t="s">
        <v>103</v>
      </c>
      <c r="G653" s="1" t="s">
        <v>53</v>
      </c>
      <c r="H653" s="1" t="s">
        <v>494</v>
      </c>
      <c r="I653" s="1" t="s">
        <v>495</v>
      </c>
      <c r="J653" s="1" t="s">
        <v>79</v>
      </c>
      <c r="K653" t="s">
        <v>104</v>
      </c>
      <c r="M653" s="1" t="s">
        <v>35</v>
      </c>
      <c r="N653" s="1">
        <v>42318949</v>
      </c>
      <c r="O653" s="1" t="s">
        <v>36</v>
      </c>
      <c r="P653" s="186">
        <v>44873.392905092594</v>
      </c>
      <c r="R653" s="1" t="s">
        <v>38</v>
      </c>
      <c r="T653" s="1" t="s">
        <v>74</v>
      </c>
      <c r="U653" s="186">
        <v>44915.75</v>
      </c>
      <c r="V653" s="1" t="s">
        <v>41</v>
      </c>
      <c r="W653" s="1" t="s">
        <v>49</v>
      </c>
      <c r="X653" s="13" t="str">
        <f t="shared" si="75"/>
        <v/>
      </c>
      <c r="Y653" s="2">
        <f t="shared" ca="1" si="70"/>
        <v>82</v>
      </c>
      <c r="Z653" s="14">
        <v>1</v>
      </c>
      <c r="AA653" s="1" t="str">
        <f t="shared" ca="1" si="71"/>
        <v>VENCIDO</v>
      </c>
      <c r="AB653" s="1" t="str">
        <f t="shared" si="72"/>
        <v>Dosa</v>
      </c>
      <c r="AC653" s="2" t="str">
        <f t="shared" si="76"/>
        <v xml:space="preserve"> ROSEMERE </v>
      </c>
      <c r="AD653" s="2">
        <f t="shared" si="73"/>
        <v>5</v>
      </c>
      <c r="AE653" s="2">
        <f t="shared" ca="1" si="74"/>
        <v>-70.926271643518703</v>
      </c>
      <c r="AF653" s="15"/>
    </row>
    <row r="654" spans="1:32" hidden="1">
      <c r="A654" s="1">
        <v>9047065</v>
      </c>
      <c r="B654" s="1" t="s">
        <v>62</v>
      </c>
      <c r="C654" t="s">
        <v>1310</v>
      </c>
      <c r="E654" s="2">
        <v>9703000206001</v>
      </c>
      <c r="F654" s="1" t="s">
        <v>29</v>
      </c>
      <c r="G654" s="1" t="s">
        <v>53</v>
      </c>
      <c r="H654" s="1" t="s">
        <v>494</v>
      </c>
      <c r="I654" s="1" t="s">
        <v>495</v>
      </c>
      <c r="J654" s="1" t="s">
        <v>79</v>
      </c>
      <c r="K654" t="s">
        <v>34</v>
      </c>
      <c r="M654" s="1" t="s">
        <v>35</v>
      </c>
      <c r="N654" s="1">
        <v>42318949</v>
      </c>
      <c r="O654" s="1" t="s">
        <v>36</v>
      </c>
      <c r="P654" s="186">
        <v>44873.385509259257</v>
      </c>
      <c r="R654" s="1" t="s">
        <v>38</v>
      </c>
      <c r="T654" s="1" t="s">
        <v>74</v>
      </c>
      <c r="U654" s="186">
        <v>44915.75</v>
      </c>
      <c r="V654" s="1" t="s">
        <v>41</v>
      </c>
      <c r="W654" s="1" t="s">
        <v>49</v>
      </c>
      <c r="X654" s="13" t="str">
        <f t="shared" si="75"/>
        <v/>
      </c>
      <c r="Y654" s="2">
        <f t="shared" ca="1" si="70"/>
        <v>82</v>
      </c>
      <c r="Z654" s="14">
        <v>1</v>
      </c>
      <c r="AA654" s="1" t="str">
        <f t="shared" ca="1" si="71"/>
        <v>VENCIDO</v>
      </c>
      <c r="AB654" s="1" t="str">
        <f t="shared" si="72"/>
        <v>Dosa</v>
      </c>
      <c r="AC654" s="2" t="str">
        <f t="shared" si="76"/>
        <v xml:space="preserve"> ROSEMERE </v>
      </c>
      <c r="AD654" s="2">
        <f t="shared" si="73"/>
        <v>5</v>
      </c>
      <c r="AE654" s="2">
        <f t="shared" ca="1" si="74"/>
        <v>-70.926271643518703</v>
      </c>
      <c r="AF654" s="15"/>
    </row>
    <row r="655" spans="1:32" hidden="1">
      <c r="A655" s="1">
        <v>9051455</v>
      </c>
      <c r="B655" s="1" t="s">
        <v>27</v>
      </c>
      <c r="C655" t="s">
        <v>1312</v>
      </c>
      <c r="E655" s="2">
        <v>1792000206001</v>
      </c>
      <c r="F655" s="1" t="s">
        <v>29</v>
      </c>
      <c r="G655" s="1" t="s">
        <v>53</v>
      </c>
      <c r="H655" s="1" t="s">
        <v>467</v>
      </c>
      <c r="I655" s="1" t="s">
        <v>468</v>
      </c>
      <c r="J655" s="1" t="s">
        <v>110</v>
      </c>
      <c r="K655" t="s">
        <v>34</v>
      </c>
      <c r="M655" s="1" t="s">
        <v>35</v>
      </c>
      <c r="N655" s="1">
        <v>42318949</v>
      </c>
      <c r="O655" s="1" t="s">
        <v>36</v>
      </c>
      <c r="P655" s="186">
        <v>44874.715046296296</v>
      </c>
      <c r="R655" s="1" t="s">
        <v>38</v>
      </c>
      <c r="T655" s="1" t="s">
        <v>74</v>
      </c>
      <c r="U655" s="186">
        <v>44875.75</v>
      </c>
      <c r="V655" s="1" t="s">
        <v>41</v>
      </c>
      <c r="W655" s="1" t="s">
        <v>49</v>
      </c>
      <c r="X655" s="13" t="str">
        <f t="shared" si="75"/>
        <v/>
      </c>
      <c r="Y655" s="2">
        <f t="shared" ca="1" si="70"/>
        <v>81</v>
      </c>
      <c r="Z655" s="14">
        <v>1</v>
      </c>
      <c r="AA655" s="1" t="str">
        <f t="shared" ca="1" si="71"/>
        <v>VENCIDO</v>
      </c>
      <c r="AB655" s="1" t="str">
        <f t="shared" si="72"/>
        <v>Dosa</v>
      </c>
      <c r="AC655" s="2" t="str">
        <f t="shared" si="76"/>
        <v xml:space="preserve"> CRISTINA </v>
      </c>
      <c r="AD655" s="2">
        <f t="shared" si="73"/>
        <v>5</v>
      </c>
      <c r="AE655" s="2">
        <f t="shared" ca="1" si="74"/>
        <v>-110.9262716435187</v>
      </c>
      <c r="AF655" s="15"/>
    </row>
    <row r="656" spans="1:32" hidden="1">
      <c r="A656" s="1">
        <v>9050458</v>
      </c>
      <c r="B656" s="1" t="s">
        <v>81</v>
      </c>
      <c r="C656" t="s">
        <v>1210</v>
      </c>
      <c r="E656" s="2">
        <v>7417183024674</v>
      </c>
      <c r="F656" s="1" t="s">
        <v>1313</v>
      </c>
      <c r="G656" s="1" t="s">
        <v>53</v>
      </c>
      <c r="H656" s="1" t="s">
        <v>1314</v>
      </c>
      <c r="I656" s="1" t="s">
        <v>1315</v>
      </c>
      <c r="J656" s="1" t="s">
        <v>164</v>
      </c>
      <c r="K656" t="s">
        <v>1316</v>
      </c>
      <c r="M656" s="1" t="s">
        <v>58</v>
      </c>
      <c r="N656" s="1">
        <v>0</v>
      </c>
      <c r="O656" s="1" t="s">
        <v>105</v>
      </c>
      <c r="P656" s="186">
        <v>44874.485636574071</v>
      </c>
      <c r="R656" s="1">
        <v>15</v>
      </c>
      <c r="T656" s="1" t="s">
        <v>238</v>
      </c>
      <c r="U656" s="186">
        <v>44875.489884259259</v>
      </c>
      <c r="V656" s="1" t="s">
        <v>41</v>
      </c>
      <c r="W656" s="1" t="s">
        <v>49</v>
      </c>
      <c r="X656" s="13" t="str">
        <f t="shared" si="75"/>
        <v>1049.91</v>
      </c>
      <c r="Y656" s="2">
        <f t="shared" ca="1" si="70"/>
        <v>81</v>
      </c>
      <c r="Z656" s="14">
        <v>1</v>
      </c>
      <c r="AA656" s="1" t="str">
        <f t="shared" ca="1" si="71"/>
        <v>VENCIDO</v>
      </c>
      <c r="AB656" s="1" t="str">
        <f t="shared" si="72"/>
        <v>TAAe+</v>
      </c>
      <c r="AC656" s="2" t="str">
        <f t="shared" si="76"/>
        <v xml:space="preserve"> ROSEMERE </v>
      </c>
      <c r="AD656" s="2">
        <f t="shared" si="73"/>
        <v>8</v>
      </c>
      <c r="AE656" s="2">
        <f t="shared" ca="1" si="74"/>
        <v>-111.18638738425943</v>
      </c>
      <c r="AF656" s="15"/>
    </row>
    <row r="657" spans="1:32" hidden="1">
      <c r="A657" s="1">
        <v>9056147</v>
      </c>
      <c r="B657" s="1" t="s">
        <v>62</v>
      </c>
      <c r="C657" t="s">
        <v>1319</v>
      </c>
      <c r="E657" s="2">
        <v>159000206001</v>
      </c>
      <c r="F657" s="1" t="s">
        <v>29</v>
      </c>
      <c r="G657" s="1" t="s">
        <v>53</v>
      </c>
      <c r="H657" s="1" t="s">
        <v>331</v>
      </c>
      <c r="I657" s="1" t="s">
        <v>332</v>
      </c>
      <c r="J657" s="1" t="s">
        <v>79</v>
      </c>
      <c r="K657" t="s">
        <v>34</v>
      </c>
      <c r="M657" s="1" t="s">
        <v>35</v>
      </c>
      <c r="N657" s="1">
        <v>42318949</v>
      </c>
      <c r="O657" s="1" t="s">
        <v>105</v>
      </c>
      <c r="P657" s="186">
        <v>44876.61822916667</v>
      </c>
      <c r="R657" s="1" t="s">
        <v>38</v>
      </c>
      <c r="T657" s="1" t="s">
        <v>74</v>
      </c>
      <c r="U657" s="186">
        <v>44918.75</v>
      </c>
      <c r="V657" s="1" t="s">
        <v>41</v>
      </c>
      <c r="W657" s="1" t="s">
        <v>49</v>
      </c>
      <c r="X657" s="13" t="str">
        <f t="shared" si="75"/>
        <v/>
      </c>
      <c r="Y657" s="2">
        <f t="shared" ca="1" si="70"/>
        <v>79</v>
      </c>
      <c r="Z657" s="14">
        <v>1</v>
      </c>
      <c r="AA657" s="1" t="str">
        <f t="shared" ca="1" si="71"/>
        <v>VENCIDO</v>
      </c>
      <c r="AB657" s="1" t="str">
        <f t="shared" si="72"/>
        <v>Dosa</v>
      </c>
      <c r="AC657" s="2" t="str">
        <f t="shared" si="76"/>
        <v xml:space="preserve"> ROSEMERE </v>
      </c>
      <c r="AD657" s="2">
        <f t="shared" si="73"/>
        <v>5</v>
      </c>
      <c r="AE657" s="2">
        <f t="shared" ca="1" si="74"/>
        <v>-67.926271643518703</v>
      </c>
      <c r="AF657" s="15"/>
    </row>
    <row r="658" spans="1:32" hidden="1">
      <c r="A658" s="1">
        <v>9065338</v>
      </c>
      <c r="B658" s="1" t="s">
        <v>1153</v>
      </c>
      <c r="C658" t="s">
        <v>1322</v>
      </c>
      <c r="D658" s="2">
        <v>220184615</v>
      </c>
      <c r="E658" s="2">
        <v>2138001400030</v>
      </c>
      <c r="F658" s="1" t="s">
        <v>647</v>
      </c>
      <c r="G658" s="1" t="s">
        <v>53</v>
      </c>
      <c r="H658" s="1" t="s">
        <v>379</v>
      </c>
      <c r="I658" s="1" t="s">
        <v>380</v>
      </c>
      <c r="J658" s="1" t="s">
        <v>46</v>
      </c>
      <c r="K658" t="s">
        <v>650</v>
      </c>
      <c r="M658" s="1" t="s">
        <v>58</v>
      </c>
      <c r="N658" s="1">
        <v>0</v>
      </c>
      <c r="O658" s="1" t="s">
        <v>36</v>
      </c>
      <c r="P658" s="186">
        <v>44879.701990740738</v>
      </c>
      <c r="R658" s="1">
        <v>4</v>
      </c>
      <c r="T658" s="1" t="s">
        <v>646</v>
      </c>
      <c r="U658" s="186">
        <v>44887.479166666664</v>
      </c>
      <c r="V658" s="1" t="s">
        <v>41</v>
      </c>
      <c r="W658" s="1" t="s">
        <v>49</v>
      </c>
      <c r="X658" s="13" t="str">
        <f t="shared" si="75"/>
        <v/>
      </c>
      <c r="Y658" s="2">
        <f t="shared" ca="1" si="70"/>
        <v>78</v>
      </c>
      <c r="Z658" s="14">
        <v>1</v>
      </c>
      <c r="AA658" s="1" t="str">
        <f t="shared" ca="1" si="71"/>
        <v>VENCIDO</v>
      </c>
      <c r="AB658" s="1" t="str">
        <f t="shared" si="72"/>
        <v>C-14</v>
      </c>
      <c r="AC658" s="2" t="str">
        <f t="shared" si="76"/>
        <v xml:space="preserve"> CLEITON </v>
      </c>
      <c r="AD658" s="2">
        <f t="shared" si="73"/>
        <v>15</v>
      </c>
      <c r="AE658" s="2">
        <f t="shared" ca="1" si="74"/>
        <v>-99.197104976854462</v>
      </c>
      <c r="AF658" s="15"/>
    </row>
    <row r="659" spans="1:32" hidden="1">
      <c r="A659" s="1">
        <v>9095498</v>
      </c>
      <c r="B659" s="1" t="s">
        <v>1153</v>
      </c>
      <c r="C659" t="s">
        <v>1324</v>
      </c>
      <c r="D659" s="2">
        <v>220188160</v>
      </c>
      <c r="E659" s="2">
        <v>1049001400030</v>
      </c>
      <c r="F659" s="1" t="s">
        <v>647</v>
      </c>
      <c r="G659" s="1" t="s">
        <v>53</v>
      </c>
      <c r="H659" s="1" t="s">
        <v>169</v>
      </c>
      <c r="I659" s="1" t="s">
        <v>170</v>
      </c>
      <c r="J659" s="1" t="s">
        <v>164</v>
      </c>
      <c r="K659" t="s">
        <v>650</v>
      </c>
      <c r="M659" s="1" t="s">
        <v>58</v>
      </c>
      <c r="N659" s="1">
        <v>0</v>
      </c>
      <c r="O659" s="1" t="s">
        <v>36</v>
      </c>
      <c r="P659" s="186">
        <v>44888.677094907405</v>
      </c>
      <c r="R659" s="1">
        <v>4</v>
      </c>
      <c r="T659" s="1" t="s">
        <v>646</v>
      </c>
      <c r="U659" s="186">
        <v>44895.489594907405</v>
      </c>
      <c r="V659" s="1" t="s">
        <v>41</v>
      </c>
      <c r="W659" s="1" t="s">
        <v>49</v>
      </c>
      <c r="X659" s="13" t="str">
        <f t="shared" si="75"/>
        <v/>
      </c>
      <c r="Y659" s="2">
        <f t="shared" ca="1" si="70"/>
        <v>71</v>
      </c>
      <c r="Z659" s="14">
        <v>1</v>
      </c>
      <c r="AA659" s="1" t="str">
        <f t="shared" ca="1" si="71"/>
        <v>VENCIDO</v>
      </c>
      <c r="AB659" s="1" t="str">
        <f t="shared" si="72"/>
        <v>C-14</v>
      </c>
      <c r="AC659" s="2" t="str">
        <f t="shared" si="76"/>
        <v xml:space="preserve"> ROSEMERE </v>
      </c>
      <c r="AD659" s="2">
        <f t="shared" si="73"/>
        <v>15</v>
      </c>
      <c r="AE659" s="2">
        <f t="shared" ca="1" si="74"/>
        <v>-91.186676736113441</v>
      </c>
      <c r="AF659" s="15"/>
    </row>
    <row r="660" spans="1:32" hidden="1">
      <c r="A660" s="1">
        <v>9095341</v>
      </c>
      <c r="B660" s="1" t="s">
        <v>62</v>
      </c>
      <c r="C660" t="s">
        <v>1327</v>
      </c>
      <c r="E660" s="2">
        <v>2335000203000</v>
      </c>
      <c r="F660" s="1" t="s">
        <v>454</v>
      </c>
      <c r="G660" s="1" t="s">
        <v>53</v>
      </c>
      <c r="H660" s="1" t="s">
        <v>194</v>
      </c>
      <c r="I660" s="1" t="s">
        <v>195</v>
      </c>
      <c r="J660" s="1" t="s">
        <v>110</v>
      </c>
      <c r="K660" t="s">
        <v>457</v>
      </c>
      <c r="M660" s="1" t="s">
        <v>58</v>
      </c>
      <c r="N660" s="1">
        <v>0</v>
      </c>
      <c r="O660" s="1" t="s">
        <v>36</v>
      </c>
      <c r="P660" s="186">
        <v>44888.655601851853</v>
      </c>
      <c r="R660" s="1">
        <v>1</v>
      </c>
      <c r="T660" s="1" t="s">
        <v>157</v>
      </c>
      <c r="U660" s="186">
        <v>44928.75</v>
      </c>
      <c r="V660" s="1" t="s">
        <v>41</v>
      </c>
      <c r="W660" s="1" t="s">
        <v>49</v>
      </c>
      <c r="X660" s="13" t="str">
        <f t="shared" si="75"/>
        <v/>
      </c>
      <c r="Y660" s="2">
        <f t="shared" ca="1" si="70"/>
        <v>71</v>
      </c>
      <c r="Z660" s="14">
        <v>1</v>
      </c>
      <c r="AA660" s="1" t="str">
        <f t="shared" ca="1" si="71"/>
        <v>VENCIDO</v>
      </c>
      <c r="AB660" s="1" t="str">
        <f t="shared" si="72"/>
        <v>C-14</v>
      </c>
      <c r="AC660" s="2" t="str">
        <f t="shared" si="76"/>
        <v xml:space="preserve"> CRISTINA </v>
      </c>
      <c r="AD660" s="2">
        <f t="shared" si="73"/>
        <v>5</v>
      </c>
      <c r="AE660" s="2">
        <f t="shared" ca="1" si="74"/>
        <v>-57.926271643518703</v>
      </c>
      <c r="AF660" s="15"/>
    </row>
    <row r="661" spans="1:32" hidden="1">
      <c r="A661" s="1">
        <v>9093400</v>
      </c>
      <c r="B661" s="1" t="s">
        <v>101</v>
      </c>
      <c r="C661" t="s">
        <v>643</v>
      </c>
      <c r="D661" s="2">
        <v>220160091</v>
      </c>
      <c r="E661" s="2">
        <v>68001400010</v>
      </c>
      <c r="F661" s="1" t="s">
        <v>936</v>
      </c>
      <c r="G661" s="1" t="s">
        <v>53</v>
      </c>
      <c r="H661" s="1" t="s">
        <v>1330</v>
      </c>
      <c r="I661" s="1" t="s">
        <v>1331</v>
      </c>
      <c r="J661" s="1" t="s">
        <v>211</v>
      </c>
      <c r="K661" t="s">
        <v>937</v>
      </c>
      <c r="M661" s="1" t="s">
        <v>58</v>
      </c>
      <c r="N661" s="1">
        <v>0</v>
      </c>
      <c r="O661" s="1" t="s">
        <v>105</v>
      </c>
      <c r="P661" s="186">
        <v>44888.350393518522</v>
      </c>
      <c r="R661" s="1">
        <v>3</v>
      </c>
      <c r="T661" s="1" t="s">
        <v>646</v>
      </c>
      <c r="U661" s="186">
        <v>44889.350393518522</v>
      </c>
      <c r="V661" s="1" t="s">
        <v>41</v>
      </c>
      <c r="W661" s="1" t="s">
        <v>49</v>
      </c>
      <c r="X661" s="13" t="str">
        <f t="shared" si="75"/>
        <v/>
      </c>
      <c r="Y661" s="2">
        <f t="shared" ca="1" si="70"/>
        <v>71</v>
      </c>
      <c r="Z661" s="14">
        <v>1</v>
      </c>
      <c r="AA661" s="1" t="str">
        <f t="shared" ca="1" si="71"/>
        <v>VENCIDO</v>
      </c>
      <c r="AB661" s="1" t="str">
        <f t="shared" si="72"/>
        <v>C-14</v>
      </c>
      <c r="AC661" s="2" t="str">
        <f t="shared" si="76"/>
        <v xml:space="preserve"> RINALDO </v>
      </c>
      <c r="AD661" s="2">
        <f t="shared" si="73"/>
        <v>5</v>
      </c>
      <c r="AE661" s="2">
        <f t="shared" ca="1" si="74"/>
        <v>-97.325878124996962</v>
      </c>
      <c r="AF661" s="15"/>
    </row>
    <row r="662" spans="1:32" hidden="1">
      <c r="A662" s="1">
        <v>9093399</v>
      </c>
      <c r="B662" s="1" t="s">
        <v>101</v>
      </c>
      <c r="C662" t="s">
        <v>643</v>
      </c>
      <c r="D662" s="2">
        <v>220160090</v>
      </c>
      <c r="E662" s="2">
        <v>67001400010</v>
      </c>
      <c r="F662" s="1" t="s">
        <v>936</v>
      </c>
      <c r="G662" s="1" t="s">
        <v>53</v>
      </c>
      <c r="H662" s="1" t="s">
        <v>404</v>
      </c>
      <c r="I662" s="1" t="s">
        <v>405</v>
      </c>
      <c r="J662" s="1" t="s">
        <v>164</v>
      </c>
      <c r="K662" t="s">
        <v>937</v>
      </c>
      <c r="M662" s="1" t="s">
        <v>58</v>
      </c>
      <c r="N662" s="1">
        <v>0</v>
      </c>
      <c r="O662" s="1" t="s">
        <v>105</v>
      </c>
      <c r="P662" s="186">
        <v>44888.350335648145</v>
      </c>
      <c r="R662" s="1">
        <v>3</v>
      </c>
      <c r="T662" s="1" t="s">
        <v>646</v>
      </c>
      <c r="U662" s="186">
        <v>44889.350335648145</v>
      </c>
      <c r="V662" s="1" t="s">
        <v>41</v>
      </c>
      <c r="W662" s="1" t="s">
        <v>49</v>
      </c>
      <c r="X662" s="13" t="str">
        <f t="shared" si="75"/>
        <v/>
      </c>
      <c r="Y662" s="2">
        <f t="shared" ca="1" si="70"/>
        <v>71</v>
      </c>
      <c r="Z662" s="14">
        <v>1</v>
      </c>
      <c r="AA662" s="1" t="str">
        <f t="shared" ca="1" si="71"/>
        <v>VENCIDO</v>
      </c>
      <c r="AB662" s="1" t="str">
        <f t="shared" si="72"/>
        <v>C-14</v>
      </c>
      <c r="AC662" s="2" t="str">
        <f t="shared" si="76"/>
        <v xml:space="preserve"> ROSEMERE </v>
      </c>
      <c r="AD662" s="2">
        <f t="shared" si="73"/>
        <v>5</v>
      </c>
      <c r="AE662" s="2">
        <f t="shared" ca="1" si="74"/>
        <v>-97.325935995373584</v>
      </c>
      <c r="AF662" s="15"/>
    </row>
    <row r="663" spans="1:32" hidden="1">
      <c r="A663" s="1">
        <v>9110613</v>
      </c>
      <c r="B663" s="1" t="s">
        <v>62</v>
      </c>
      <c r="C663" t="s">
        <v>1336</v>
      </c>
      <c r="E663" s="2">
        <v>2830000203010</v>
      </c>
      <c r="F663" s="1" t="s">
        <v>152</v>
      </c>
      <c r="G663" s="1" t="s">
        <v>53</v>
      </c>
      <c r="H663" s="1" t="s">
        <v>448</v>
      </c>
      <c r="I663" s="1" t="s">
        <v>449</v>
      </c>
      <c r="J663" s="1" t="s">
        <v>33</v>
      </c>
      <c r="K663" t="s">
        <v>155</v>
      </c>
      <c r="M663" s="1" t="s">
        <v>35</v>
      </c>
      <c r="N663" s="1">
        <v>42318949</v>
      </c>
      <c r="O663" s="1" t="s">
        <v>105</v>
      </c>
      <c r="P663" s="186">
        <v>44893.494722222225</v>
      </c>
      <c r="R663" s="1">
        <v>1</v>
      </c>
      <c r="T663" s="1" t="s">
        <v>157</v>
      </c>
      <c r="U663" s="186">
        <v>44925.75</v>
      </c>
      <c r="V663" s="1" t="s">
        <v>41</v>
      </c>
      <c r="W663" s="1" t="s">
        <v>42</v>
      </c>
      <c r="X663" s="13" t="str">
        <f t="shared" si="75"/>
        <v/>
      </c>
      <c r="Y663" s="2">
        <f t="shared" ca="1" si="70"/>
        <v>68</v>
      </c>
      <c r="Z663" s="14">
        <v>1</v>
      </c>
      <c r="AA663" s="1" t="str">
        <f t="shared" ca="1" si="71"/>
        <v>VENCIDO</v>
      </c>
      <c r="AB663" s="1" t="str">
        <f t="shared" si="72"/>
        <v>TAAe+</v>
      </c>
      <c r="AC663" s="2" t="str">
        <f t="shared" si="76"/>
        <v xml:space="preserve"> ROSEMERE </v>
      </c>
      <c r="AD663" s="2">
        <f t="shared" si="73"/>
        <v>8</v>
      </c>
      <c r="AE663" s="2">
        <f t="shared" ca="1" si="74"/>
        <v>-60.926271643518703</v>
      </c>
      <c r="AF663" s="15"/>
    </row>
    <row r="664" spans="1:32" hidden="1">
      <c r="A664" s="1">
        <v>9110065</v>
      </c>
      <c r="B664" s="1" t="s">
        <v>62</v>
      </c>
      <c r="C664" t="s">
        <v>1339</v>
      </c>
      <c r="E664" s="2">
        <v>9703000206021</v>
      </c>
      <c r="F664" s="1" t="s">
        <v>103</v>
      </c>
      <c r="G664" s="1" t="s">
        <v>53</v>
      </c>
      <c r="H664" s="1" t="s">
        <v>494</v>
      </c>
      <c r="I664" s="1" t="s">
        <v>495</v>
      </c>
      <c r="J664" s="1" t="s">
        <v>79</v>
      </c>
      <c r="K664" t="s">
        <v>104</v>
      </c>
      <c r="M664" s="1" t="s">
        <v>58</v>
      </c>
      <c r="N664" s="1">
        <v>0</v>
      </c>
      <c r="O664" s="1" t="s">
        <v>105</v>
      </c>
      <c r="P664" s="186">
        <v>44893.425879629627</v>
      </c>
      <c r="R664" s="1" t="s">
        <v>38</v>
      </c>
      <c r="T664" s="1" t="s">
        <v>74</v>
      </c>
      <c r="U664" s="186">
        <v>44932.75</v>
      </c>
      <c r="V664" s="1" t="s">
        <v>41</v>
      </c>
      <c r="W664" s="1" t="s">
        <v>49</v>
      </c>
      <c r="X664" s="13" t="str">
        <f t="shared" si="75"/>
        <v/>
      </c>
      <c r="Y664" s="2">
        <f t="shared" ca="1" si="70"/>
        <v>68</v>
      </c>
      <c r="Z664" s="14">
        <v>1</v>
      </c>
      <c r="AA664" s="1" t="str">
        <f t="shared" ca="1" si="71"/>
        <v>VENCIDO</v>
      </c>
      <c r="AB664" s="1" t="str">
        <f t="shared" si="72"/>
        <v>Dosa</v>
      </c>
      <c r="AC664" s="2" t="str">
        <f t="shared" si="76"/>
        <v xml:space="preserve"> ROSEMERE </v>
      </c>
      <c r="AD664" s="2">
        <f t="shared" si="73"/>
        <v>5</v>
      </c>
      <c r="AE664" s="2">
        <f t="shared" ca="1" si="74"/>
        <v>-53.926271643518703</v>
      </c>
      <c r="AF664" s="15"/>
    </row>
    <row r="665" spans="1:32" hidden="1">
      <c r="A665" s="1">
        <v>9110056</v>
      </c>
      <c r="B665" s="1" t="s">
        <v>62</v>
      </c>
      <c r="C665" t="s">
        <v>1342</v>
      </c>
      <c r="E665" s="2">
        <v>9703000206021</v>
      </c>
      <c r="F665" s="1" t="s">
        <v>103</v>
      </c>
      <c r="G665" s="1" t="s">
        <v>53</v>
      </c>
      <c r="H665" s="1" t="s">
        <v>494</v>
      </c>
      <c r="I665" s="1" t="s">
        <v>495</v>
      </c>
      <c r="J665" s="1" t="s">
        <v>79</v>
      </c>
      <c r="K665" t="s">
        <v>104</v>
      </c>
      <c r="M665" s="1" t="s">
        <v>58</v>
      </c>
      <c r="N665" s="1">
        <v>0</v>
      </c>
      <c r="O665" s="1" t="s">
        <v>105</v>
      </c>
      <c r="P665" s="186">
        <v>44893.424502314818</v>
      </c>
      <c r="R665" s="1" t="s">
        <v>38</v>
      </c>
      <c r="T665" s="1" t="s">
        <v>74</v>
      </c>
      <c r="U665" s="186">
        <v>44932.75</v>
      </c>
      <c r="V665" s="1" t="s">
        <v>41</v>
      </c>
      <c r="W665" s="1" t="s">
        <v>49</v>
      </c>
      <c r="X665" s="13" t="str">
        <f t="shared" si="75"/>
        <v/>
      </c>
      <c r="Y665" s="2">
        <f t="shared" ca="1" si="70"/>
        <v>68</v>
      </c>
      <c r="Z665" s="14">
        <v>1</v>
      </c>
      <c r="AA665" s="1" t="str">
        <f t="shared" ca="1" si="71"/>
        <v>VENCIDO</v>
      </c>
      <c r="AB665" s="1" t="str">
        <f t="shared" si="72"/>
        <v>Dosa</v>
      </c>
      <c r="AC665" s="2" t="str">
        <f t="shared" si="76"/>
        <v xml:space="preserve"> ROSEMERE </v>
      </c>
      <c r="AD665" s="2">
        <f t="shared" si="73"/>
        <v>5</v>
      </c>
      <c r="AE665" s="2">
        <f t="shared" ca="1" si="74"/>
        <v>-53.926271643518703</v>
      </c>
      <c r="AF665" s="15"/>
    </row>
    <row r="666" spans="1:32" hidden="1">
      <c r="A666" s="1">
        <v>9110055</v>
      </c>
      <c r="B666" s="1" t="s">
        <v>62</v>
      </c>
      <c r="C666" t="s">
        <v>1342</v>
      </c>
      <c r="E666" s="2">
        <v>9703000206021</v>
      </c>
      <c r="F666" s="1" t="s">
        <v>103</v>
      </c>
      <c r="G666" s="1" t="s">
        <v>53</v>
      </c>
      <c r="H666" s="1" t="s">
        <v>494</v>
      </c>
      <c r="I666" s="1" t="s">
        <v>495</v>
      </c>
      <c r="J666" s="1" t="s">
        <v>79</v>
      </c>
      <c r="K666" t="s">
        <v>104</v>
      </c>
      <c r="M666" s="1" t="s">
        <v>58</v>
      </c>
      <c r="N666" s="1">
        <v>0</v>
      </c>
      <c r="O666" s="1" t="s">
        <v>105</v>
      </c>
      <c r="P666" s="186">
        <v>44893.423750000002</v>
      </c>
      <c r="R666" s="1" t="s">
        <v>38</v>
      </c>
      <c r="T666" s="1" t="s">
        <v>74</v>
      </c>
      <c r="U666" s="186">
        <v>44932.75</v>
      </c>
      <c r="V666" s="1" t="s">
        <v>41</v>
      </c>
      <c r="W666" s="1" t="s">
        <v>49</v>
      </c>
      <c r="X666" s="13" t="str">
        <f t="shared" si="75"/>
        <v/>
      </c>
      <c r="Y666" s="2">
        <f t="shared" ca="1" si="70"/>
        <v>68</v>
      </c>
      <c r="Z666" s="14">
        <v>1</v>
      </c>
      <c r="AA666" s="1" t="str">
        <f t="shared" ca="1" si="71"/>
        <v>VENCIDO</v>
      </c>
      <c r="AB666" s="1" t="str">
        <f t="shared" si="72"/>
        <v>Dosa</v>
      </c>
      <c r="AC666" s="2" t="str">
        <f t="shared" si="76"/>
        <v xml:space="preserve"> ROSEMERE </v>
      </c>
      <c r="AD666" s="2">
        <f t="shared" si="73"/>
        <v>5</v>
      </c>
      <c r="AE666" s="2">
        <f t="shared" ca="1" si="74"/>
        <v>-53.926271643518703</v>
      </c>
      <c r="AF666" s="15"/>
    </row>
    <row r="667" spans="1:32" hidden="1">
      <c r="A667" s="1">
        <v>9110054</v>
      </c>
      <c r="B667" s="1" t="s">
        <v>27</v>
      </c>
      <c r="C667" t="s">
        <v>1342</v>
      </c>
      <c r="E667" s="2">
        <v>9703000206021</v>
      </c>
      <c r="F667" s="1" t="s">
        <v>103</v>
      </c>
      <c r="G667" s="1" t="s">
        <v>53</v>
      </c>
      <c r="H667" s="1" t="s">
        <v>494</v>
      </c>
      <c r="I667" s="1" t="s">
        <v>495</v>
      </c>
      <c r="J667" s="1" t="s">
        <v>79</v>
      </c>
      <c r="K667" t="s">
        <v>104</v>
      </c>
      <c r="M667" s="1" t="s">
        <v>58</v>
      </c>
      <c r="N667" s="1">
        <v>0</v>
      </c>
      <c r="O667" s="1" t="s">
        <v>105</v>
      </c>
      <c r="P667" s="186">
        <v>44893.423159722224</v>
      </c>
      <c r="R667" s="1" t="s">
        <v>38</v>
      </c>
      <c r="T667" s="1" t="s">
        <v>74</v>
      </c>
      <c r="U667" s="186">
        <v>44932.75</v>
      </c>
      <c r="V667" s="1" t="s">
        <v>41</v>
      </c>
      <c r="W667" s="1" t="s">
        <v>49</v>
      </c>
      <c r="X667" s="13" t="str">
        <f t="shared" si="75"/>
        <v/>
      </c>
      <c r="Y667" s="2">
        <f t="shared" ca="1" si="70"/>
        <v>68</v>
      </c>
      <c r="Z667" s="14">
        <v>1</v>
      </c>
      <c r="AA667" s="1" t="str">
        <f t="shared" ca="1" si="71"/>
        <v>VENCIDO</v>
      </c>
      <c r="AB667" s="1" t="str">
        <f t="shared" si="72"/>
        <v>Dosa</v>
      </c>
      <c r="AC667" s="2" t="str">
        <f t="shared" si="76"/>
        <v xml:space="preserve"> ROSEMERE </v>
      </c>
      <c r="AD667" s="2">
        <f t="shared" si="73"/>
        <v>5</v>
      </c>
      <c r="AE667" s="2">
        <f t="shared" ca="1" si="74"/>
        <v>-53.926271643518703</v>
      </c>
      <c r="AF667" s="15"/>
    </row>
    <row r="668" spans="1:32" hidden="1">
      <c r="A668" s="1">
        <v>9110053</v>
      </c>
      <c r="B668" s="1" t="s">
        <v>62</v>
      </c>
      <c r="C668" t="s">
        <v>1346</v>
      </c>
      <c r="E668" s="2">
        <v>9703000206021</v>
      </c>
      <c r="F668" s="1" t="s">
        <v>103</v>
      </c>
      <c r="G668" s="1" t="s">
        <v>53</v>
      </c>
      <c r="H668" s="1" t="s">
        <v>494</v>
      </c>
      <c r="I668" s="1" t="s">
        <v>495</v>
      </c>
      <c r="J668" s="1" t="s">
        <v>79</v>
      </c>
      <c r="K668" t="s">
        <v>104</v>
      </c>
      <c r="M668" s="1" t="s">
        <v>58</v>
      </c>
      <c r="N668" s="1">
        <v>0</v>
      </c>
      <c r="O668" s="1" t="s">
        <v>105</v>
      </c>
      <c r="P668" s="186">
        <v>44893.422430555554</v>
      </c>
      <c r="R668" s="1" t="s">
        <v>38</v>
      </c>
      <c r="T668" s="1" t="s">
        <v>74</v>
      </c>
      <c r="U668" s="186">
        <v>44932.75</v>
      </c>
      <c r="V668" s="1" t="s">
        <v>41</v>
      </c>
      <c r="W668" s="1" t="s">
        <v>49</v>
      </c>
      <c r="X668" s="13" t="str">
        <f t="shared" si="75"/>
        <v/>
      </c>
      <c r="Y668" s="2">
        <f t="shared" ca="1" si="70"/>
        <v>68</v>
      </c>
      <c r="Z668" s="14">
        <v>1</v>
      </c>
      <c r="AA668" s="1" t="str">
        <f t="shared" ca="1" si="71"/>
        <v>VENCIDO</v>
      </c>
      <c r="AB668" s="1" t="str">
        <f t="shared" si="72"/>
        <v>Dosa</v>
      </c>
      <c r="AC668" s="2" t="str">
        <f t="shared" si="76"/>
        <v xml:space="preserve"> ROSEMERE </v>
      </c>
      <c r="AD668" s="2">
        <f t="shared" si="73"/>
        <v>5</v>
      </c>
      <c r="AE668" s="2">
        <f t="shared" ca="1" si="74"/>
        <v>-53.926271643518703</v>
      </c>
      <c r="AF668" s="15"/>
    </row>
    <row r="669" spans="1:32" hidden="1">
      <c r="A669" s="1">
        <v>9119774</v>
      </c>
      <c r="B669" s="1" t="s">
        <v>1153</v>
      </c>
      <c r="C669" t="s">
        <v>1348</v>
      </c>
      <c r="D669" s="2">
        <v>220190443</v>
      </c>
      <c r="E669" s="2">
        <v>1146001400030</v>
      </c>
      <c r="F669" s="1" t="s">
        <v>647</v>
      </c>
      <c r="G669" s="1" t="s">
        <v>53</v>
      </c>
      <c r="H669" s="1" t="s">
        <v>315</v>
      </c>
      <c r="I669" s="1" t="s">
        <v>316</v>
      </c>
      <c r="J669" s="1" t="s">
        <v>148</v>
      </c>
      <c r="K669" t="s">
        <v>650</v>
      </c>
      <c r="M669" s="1" t="s">
        <v>58</v>
      </c>
      <c r="N669" s="1">
        <v>0</v>
      </c>
      <c r="O669" s="1" t="s">
        <v>36</v>
      </c>
      <c r="P669" s="186">
        <v>44895.552025462966</v>
      </c>
      <c r="R669" s="1">
        <v>4</v>
      </c>
      <c r="T669" s="1" t="s">
        <v>646</v>
      </c>
      <c r="U669" s="186">
        <v>44896.572858796295</v>
      </c>
      <c r="V669" s="1" t="s">
        <v>41</v>
      </c>
      <c r="W669" s="1" t="s">
        <v>49</v>
      </c>
      <c r="X669" s="13" t="str">
        <f t="shared" si="75"/>
        <v/>
      </c>
      <c r="Y669" s="2">
        <f t="shared" ca="1" si="70"/>
        <v>66</v>
      </c>
      <c r="Z669" s="14">
        <v>1</v>
      </c>
      <c r="AA669" s="1" t="str">
        <f t="shared" ca="1" si="71"/>
        <v>VENCIDO</v>
      </c>
      <c r="AB669" s="1" t="str">
        <f t="shared" si="72"/>
        <v>C-14</v>
      </c>
      <c r="AC669" s="2" t="str">
        <f t="shared" si="76"/>
        <v xml:space="preserve"> RINALDO </v>
      </c>
      <c r="AD669" s="2">
        <f t="shared" si="73"/>
        <v>15</v>
      </c>
      <c r="AE669" s="2">
        <f t="shared" ca="1" si="74"/>
        <v>-90.103412847223808</v>
      </c>
      <c r="AF669" s="15"/>
    </row>
    <row r="670" spans="1:32" hidden="1">
      <c r="A670" s="1">
        <v>9131493</v>
      </c>
      <c r="B670" s="1" t="s">
        <v>101</v>
      </c>
      <c r="C670" t="s">
        <v>643</v>
      </c>
      <c r="D670" s="2">
        <v>220197038</v>
      </c>
      <c r="E670" s="2">
        <v>834001400040</v>
      </c>
      <c r="F670" s="1" t="s">
        <v>644</v>
      </c>
      <c r="G670" s="1" t="s">
        <v>53</v>
      </c>
      <c r="H670" s="1" t="s">
        <v>367</v>
      </c>
      <c r="I670" s="1" t="s">
        <v>368</v>
      </c>
      <c r="J670" s="1" t="s">
        <v>261</v>
      </c>
      <c r="K670" t="s">
        <v>645</v>
      </c>
      <c r="M670" s="1" t="s">
        <v>58</v>
      </c>
      <c r="N670" s="1">
        <v>0</v>
      </c>
      <c r="O670" s="1" t="s">
        <v>105</v>
      </c>
      <c r="P670" s="186">
        <v>44896.698067129626</v>
      </c>
      <c r="R670" s="1">
        <v>2</v>
      </c>
      <c r="T670" s="1" t="s">
        <v>646</v>
      </c>
      <c r="U670" s="186">
        <v>44897.698067129626</v>
      </c>
      <c r="V670" s="1" t="s">
        <v>41</v>
      </c>
      <c r="W670" s="1" t="s">
        <v>49</v>
      </c>
      <c r="X670" s="13" t="str">
        <f t="shared" si="75"/>
        <v/>
      </c>
      <c r="Y670" s="2">
        <f t="shared" ca="1" si="70"/>
        <v>65</v>
      </c>
      <c r="Z670" s="14">
        <v>1</v>
      </c>
      <c r="AA670" s="1" t="str">
        <f t="shared" ca="1" si="71"/>
        <v>VENCIDO</v>
      </c>
      <c r="AB670" s="1" t="str">
        <f t="shared" si="72"/>
        <v>SL-On</v>
      </c>
      <c r="AC670" s="2" t="str">
        <f t="shared" si="76"/>
        <v xml:space="preserve"> CRISTINA </v>
      </c>
      <c r="AD670" s="2">
        <f t="shared" si="73"/>
        <v>1</v>
      </c>
      <c r="AE670" s="2">
        <f t="shared" ca="1" si="74"/>
        <v>-88.978204513892706</v>
      </c>
      <c r="AF670" s="15"/>
    </row>
    <row r="671" spans="1:32" hidden="1">
      <c r="A671" s="1">
        <v>9131454</v>
      </c>
      <c r="B671" s="1" t="s">
        <v>101</v>
      </c>
      <c r="C671" t="s">
        <v>643</v>
      </c>
      <c r="D671" s="2">
        <v>220197033</v>
      </c>
      <c r="E671" s="2">
        <v>821001400040</v>
      </c>
      <c r="F671" s="1" t="s">
        <v>644</v>
      </c>
      <c r="G671" s="1" t="s">
        <v>53</v>
      </c>
      <c r="H671" s="1" t="s">
        <v>1351</v>
      </c>
      <c r="I671" s="1" t="s">
        <v>1352</v>
      </c>
      <c r="J671" s="1" t="s">
        <v>46</v>
      </c>
      <c r="K671" t="s">
        <v>645</v>
      </c>
      <c r="M671" s="1" t="s">
        <v>58</v>
      </c>
      <c r="N671" s="1">
        <v>0</v>
      </c>
      <c r="O671" s="1" t="s">
        <v>105</v>
      </c>
      <c r="P671" s="186">
        <v>44896.696782407409</v>
      </c>
      <c r="R671" s="1">
        <v>2</v>
      </c>
      <c r="T671" s="1" t="s">
        <v>646</v>
      </c>
      <c r="U671" s="186">
        <v>44897.696782407409</v>
      </c>
      <c r="V671" s="1" t="s">
        <v>41</v>
      </c>
      <c r="W671" s="1" t="s">
        <v>49</v>
      </c>
      <c r="X671" s="13" t="str">
        <f t="shared" si="75"/>
        <v/>
      </c>
      <c r="Y671" s="2">
        <f t="shared" ca="1" si="70"/>
        <v>65</v>
      </c>
      <c r="Z671" s="14">
        <v>1</v>
      </c>
      <c r="AA671" s="1" t="str">
        <f t="shared" ca="1" si="71"/>
        <v>VENCIDO</v>
      </c>
      <c r="AB671" s="1" t="str">
        <f t="shared" si="72"/>
        <v>SL-On</v>
      </c>
      <c r="AC671" s="2" t="str">
        <f t="shared" si="76"/>
        <v xml:space="preserve"> CLEITON </v>
      </c>
      <c r="AD671" s="2">
        <f t="shared" si="73"/>
        <v>1</v>
      </c>
      <c r="AE671" s="2">
        <f t="shared" ca="1" si="74"/>
        <v>-88.979489236109657</v>
      </c>
      <c r="AF671" s="15"/>
    </row>
    <row r="672" spans="1:32" hidden="1">
      <c r="A672" s="1">
        <v>9131400</v>
      </c>
      <c r="B672" s="1" t="s">
        <v>101</v>
      </c>
      <c r="C672" t="s">
        <v>643</v>
      </c>
      <c r="D672" s="2">
        <v>220195352</v>
      </c>
      <c r="E672" s="2">
        <v>1732001400030</v>
      </c>
      <c r="F672" s="1" t="s">
        <v>647</v>
      </c>
      <c r="G672" s="1" t="s">
        <v>53</v>
      </c>
      <c r="H672" s="1" t="s">
        <v>177</v>
      </c>
      <c r="I672" s="1" t="s">
        <v>178</v>
      </c>
      <c r="J672" s="1" t="s">
        <v>164</v>
      </c>
      <c r="K672" t="s">
        <v>650</v>
      </c>
      <c r="M672" s="1" t="s">
        <v>58</v>
      </c>
      <c r="N672" s="1">
        <v>0</v>
      </c>
      <c r="O672" s="1" t="s">
        <v>105</v>
      </c>
      <c r="P672" s="186">
        <v>44896.694756944446</v>
      </c>
      <c r="R672" s="1">
        <v>4</v>
      </c>
      <c r="T672" s="1" t="s">
        <v>646</v>
      </c>
      <c r="U672" s="186">
        <v>44897.694756944446</v>
      </c>
      <c r="V672" s="1" t="s">
        <v>41</v>
      </c>
      <c r="W672" s="1" t="s">
        <v>49</v>
      </c>
      <c r="X672" s="13" t="str">
        <f t="shared" si="75"/>
        <v/>
      </c>
      <c r="Y672" s="2">
        <f t="shared" ca="1" si="70"/>
        <v>65</v>
      </c>
      <c r="Z672" s="14">
        <v>1</v>
      </c>
      <c r="AA672" s="1" t="str">
        <f t="shared" ca="1" si="71"/>
        <v>VENCIDO</v>
      </c>
      <c r="AB672" s="1" t="str">
        <f t="shared" si="72"/>
        <v>C-14</v>
      </c>
      <c r="AC672" s="2" t="str">
        <f t="shared" si="76"/>
        <v xml:space="preserve"> ROSEMERE </v>
      </c>
      <c r="AD672" s="2">
        <f t="shared" si="73"/>
        <v>15</v>
      </c>
      <c r="AE672" s="2">
        <f t="shared" ca="1" si="74"/>
        <v>-88.981514699073159</v>
      </c>
      <c r="AF672" s="15"/>
    </row>
    <row r="673" spans="1:32" hidden="1">
      <c r="A673" s="1">
        <v>9131376</v>
      </c>
      <c r="B673" s="1" t="s">
        <v>101</v>
      </c>
      <c r="C673" t="s">
        <v>643</v>
      </c>
      <c r="D673" s="2">
        <v>220195375</v>
      </c>
      <c r="E673" s="2">
        <v>1792001400030</v>
      </c>
      <c r="F673" s="1" t="s">
        <v>647</v>
      </c>
      <c r="G673" s="1" t="s">
        <v>53</v>
      </c>
      <c r="H673" s="1" t="s">
        <v>467</v>
      </c>
      <c r="I673" s="1" t="s">
        <v>468</v>
      </c>
      <c r="J673" s="1" t="s">
        <v>110</v>
      </c>
      <c r="K673" t="s">
        <v>650</v>
      </c>
      <c r="M673" s="1" t="s">
        <v>58</v>
      </c>
      <c r="N673" s="1">
        <v>0</v>
      </c>
      <c r="O673" s="1" t="s">
        <v>105</v>
      </c>
      <c r="P673" s="186">
        <v>44896.693680555552</v>
      </c>
      <c r="R673" s="1">
        <v>4</v>
      </c>
      <c r="T673" s="1" t="s">
        <v>646</v>
      </c>
      <c r="U673" s="186">
        <v>44897.693692129629</v>
      </c>
      <c r="V673" s="1" t="s">
        <v>41</v>
      </c>
      <c r="W673" s="1" t="s">
        <v>49</v>
      </c>
      <c r="X673" s="13" t="str">
        <f t="shared" si="75"/>
        <v/>
      </c>
      <c r="Y673" s="2">
        <f t="shared" ca="1" si="70"/>
        <v>65</v>
      </c>
      <c r="Z673" s="14">
        <v>1</v>
      </c>
      <c r="AA673" s="1" t="str">
        <f t="shared" ca="1" si="71"/>
        <v>VENCIDO</v>
      </c>
      <c r="AB673" s="1" t="str">
        <f t="shared" si="72"/>
        <v>C-14</v>
      </c>
      <c r="AC673" s="2" t="str">
        <f t="shared" si="76"/>
        <v xml:space="preserve"> CRISTINA </v>
      </c>
      <c r="AD673" s="2">
        <f t="shared" si="73"/>
        <v>15</v>
      </c>
      <c r="AE673" s="2">
        <f t="shared" ca="1" si="74"/>
        <v>-88.982579513889505</v>
      </c>
      <c r="AF673" s="15"/>
    </row>
    <row r="674" spans="1:32" hidden="1">
      <c r="A674" s="1">
        <v>9131244</v>
      </c>
      <c r="B674" s="1" t="s">
        <v>101</v>
      </c>
      <c r="C674" t="s">
        <v>643</v>
      </c>
      <c r="D674" s="2">
        <v>220197571</v>
      </c>
      <c r="E674" s="2">
        <v>2326001400040</v>
      </c>
      <c r="F674" s="1" t="s">
        <v>644</v>
      </c>
      <c r="G674" s="1" t="s">
        <v>53</v>
      </c>
      <c r="H674" s="1" t="s">
        <v>191</v>
      </c>
      <c r="I674" s="1" t="s">
        <v>192</v>
      </c>
      <c r="J674" s="1" t="s">
        <v>46</v>
      </c>
      <c r="K674" t="s">
        <v>645</v>
      </c>
      <c r="M674" s="1" t="s">
        <v>58</v>
      </c>
      <c r="N674" s="1">
        <v>0</v>
      </c>
      <c r="O674" s="1" t="s">
        <v>105</v>
      </c>
      <c r="P674" s="186">
        <v>44896.684918981482</v>
      </c>
      <c r="R674" s="1">
        <v>2</v>
      </c>
      <c r="T674" s="1" t="s">
        <v>646</v>
      </c>
      <c r="U674" s="186">
        <v>44897.684930555559</v>
      </c>
      <c r="V674" s="1" t="s">
        <v>41</v>
      </c>
      <c r="W674" s="1" t="s">
        <v>49</v>
      </c>
      <c r="X674" s="13" t="str">
        <f t="shared" si="75"/>
        <v/>
      </c>
      <c r="Y674" s="2">
        <f t="shared" ca="1" si="70"/>
        <v>65</v>
      </c>
      <c r="Z674" s="14">
        <v>1</v>
      </c>
      <c r="AA674" s="1" t="str">
        <f t="shared" ca="1" si="71"/>
        <v>VENCIDO</v>
      </c>
      <c r="AB674" s="1" t="str">
        <f t="shared" si="72"/>
        <v>SL-On</v>
      </c>
      <c r="AC674" s="2" t="str">
        <f t="shared" si="76"/>
        <v xml:space="preserve"> CLEITON </v>
      </c>
      <c r="AD674" s="2">
        <f t="shared" si="73"/>
        <v>1</v>
      </c>
      <c r="AE674" s="2">
        <f t="shared" ca="1" si="74"/>
        <v>-88.991341087959881</v>
      </c>
      <c r="AF674" s="15"/>
    </row>
    <row r="675" spans="1:32" hidden="1">
      <c r="A675" s="1">
        <v>9131189</v>
      </c>
      <c r="B675" s="1" t="s">
        <v>101</v>
      </c>
      <c r="C675" t="s">
        <v>643</v>
      </c>
      <c r="D675" s="2">
        <v>220197881</v>
      </c>
      <c r="E675" s="2">
        <v>3504001400040</v>
      </c>
      <c r="F675" s="1" t="s">
        <v>644</v>
      </c>
      <c r="G675" s="1" t="s">
        <v>53</v>
      </c>
      <c r="H675" s="1" t="s">
        <v>585</v>
      </c>
      <c r="I675" s="1" t="s">
        <v>586</v>
      </c>
      <c r="J675" s="1" t="s">
        <v>46</v>
      </c>
      <c r="K675" t="s">
        <v>645</v>
      </c>
      <c r="M675" s="1" t="s">
        <v>58</v>
      </c>
      <c r="N675" s="1">
        <v>0</v>
      </c>
      <c r="O675" s="1" t="s">
        <v>105</v>
      </c>
      <c r="P675" s="186">
        <v>44896.682210648149</v>
      </c>
      <c r="R675" s="1">
        <v>3</v>
      </c>
      <c r="T675" s="1" t="s">
        <v>646</v>
      </c>
      <c r="U675" s="186">
        <v>44897.682210648149</v>
      </c>
      <c r="V675" s="1" t="s">
        <v>41</v>
      </c>
      <c r="W675" s="1" t="s">
        <v>49</v>
      </c>
      <c r="X675" s="13" t="str">
        <f t="shared" si="75"/>
        <v/>
      </c>
      <c r="Y675" s="2">
        <f t="shared" ca="1" si="70"/>
        <v>65</v>
      </c>
      <c r="Z675" s="14">
        <v>1</v>
      </c>
      <c r="AA675" s="1" t="str">
        <f t="shared" ca="1" si="71"/>
        <v>VENCIDO</v>
      </c>
      <c r="AB675" s="1" t="str">
        <f t="shared" si="72"/>
        <v>SL-On</v>
      </c>
      <c r="AC675" s="2" t="str">
        <f t="shared" si="76"/>
        <v xml:space="preserve"> CLEITON </v>
      </c>
      <c r="AD675" s="2">
        <f t="shared" si="73"/>
        <v>1</v>
      </c>
      <c r="AE675" s="2">
        <f t="shared" ca="1" si="74"/>
        <v>-88.994060995370091</v>
      </c>
      <c r="AF675" s="15"/>
    </row>
    <row r="676" spans="1:32" hidden="1">
      <c r="A676" s="1">
        <v>9131113</v>
      </c>
      <c r="B676" s="1" t="s">
        <v>101</v>
      </c>
      <c r="C676" t="s">
        <v>643</v>
      </c>
      <c r="D676" s="2">
        <v>220196664</v>
      </c>
      <c r="E676" s="2">
        <v>233001400040</v>
      </c>
      <c r="F676" s="1" t="s">
        <v>644</v>
      </c>
      <c r="G676" s="1" t="s">
        <v>53</v>
      </c>
      <c r="H676" s="1" t="s">
        <v>424</v>
      </c>
      <c r="I676" s="1" t="s">
        <v>425</v>
      </c>
      <c r="J676" s="1" t="s">
        <v>261</v>
      </c>
      <c r="K676" t="s">
        <v>645</v>
      </c>
      <c r="M676" s="1" t="s">
        <v>58</v>
      </c>
      <c r="N676" s="1">
        <v>0</v>
      </c>
      <c r="O676" s="1" t="s">
        <v>105</v>
      </c>
      <c r="P676" s="186">
        <v>44896.678414351853</v>
      </c>
      <c r="R676" s="1">
        <v>2</v>
      </c>
      <c r="T676" s="1" t="s">
        <v>646</v>
      </c>
      <c r="U676" s="186">
        <v>44897.678425925929</v>
      </c>
      <c r="V676" s="1" t="s">
        <v>41</v>
      </c>
      <c r="W676" s="1" t="s">
        <v>49</v>
      </c>
      <c r="X676" s="13" t="str">
        <f t="shared" si="75"/>
        <v/>
      </c>
      <c r="Y676" s="2">
        <f t="shared" ca="1" si="70"/>
        <v>65</v>
      </c>
      <c r="Z676" s="14">
        <v>1</v>
      </c>
      <c r="AA676" s="1" t="str">
        <f t="shared" ca="1" si="71"/>
        <v>VENCIDO</v>
      </c>
      <c r="AB676" s="1" t="str">
        <f t="shared" si="72"/>
        <v>SL-On</v>
      </c>
      <c r="AC676" s="2" t="str">
        <f t="shared" si="76"/>
        <v xml:space="preserve"> CRISTINA </v>
      </c>
      <c r="AD676" s="2">
        <f t="shared" si="73"/>
        <v>1</v>
      </c>
      <c r="AE676" s="2">
        <f t="shared" ca="1" si="74"/>
        <v>-88.997845717589371</v>
      </c>
      <c r="AF676" s="15"/>
    </row>
    <row r="677" spans="1:32" hidden="1">
      <c r="A677" s="1">
        <v>9131076</v>
      </c>
      <c r="B677" s="1" t="s">
        <v>101</v>
      </c>
      <c r="C677" t="s">
        <v>643</v>
      </c>
      <c r="D677" s="2">
        <v>220196663</v>
      </c>
      <c r="E677" s="2">
        <v>232001400040</v>
      </c>
      <c r="F677" s="1" t="s">
        <v>644</v>
      </c>
      <c r="G677" s="1" t="s">
        <v>53</v>
      </c>
      <c r="H677" s="1" t="s">
        <v>1363</v>
      </c>
      <c r="I677" s="1" t="s">
        <v>1364</v>
      </c>
      <c r="J677" s="1" t="s">
        <v>141</v>
      </c>
      <c r="K677" t="s">
        <v>645</v>
      </c>
      <c r="M677" s="1" t="s">
        <v>58</v>
      </c>
      <c r="N677" s="1">
        <v>0</v>
      </c>
      <c r="O677" s="1" t="s">
        <v>105</v>
      </c>
      <c r="P677" s="186">
        <v>44896.676157407404</v>
      </c>
      <c r="R677" s="1">
        <v>3</v>
      </c>
      <c r="T677" s="1" t="s">
        <v>646</v>
      </c>
      <c r="U677" s="186">
        <v>44897.676168981481</v>
      </c>
      <c r="V677" s="1" t="s">
        <v>41</v>
      </c>
      <c r="W677" s="1" t="s">
        <v>49</v>
      </c>
      <c r="X677" s="13" t="str">
        <f t="shared" si="75"/>
        <v/>
      </c>
      <c r="Y677" s="2">
        <f t="shared" ca="1" si="70"/>
        <v>65</v>
      </c>
      <c r="Z677" s="14">
        <v>1</v>
      </c>
      <c r="AA677" s="1" t="str">
        <f t="shared" ca="1" si="71"/>
        <v>VENCIDO</v>
      </c>
      <c r="AB677" s="1" t="str">
        <f t="shared" si="72"/>
        <v>SL-On</v>
      </c>
      <c r="AC677" s="2" t="str">
        <f t="shared" si="76"/>
        <v xml:space="preserve"> CRISTINA </v>
      </c>
      <c r="AD677" s="2">
        <f t="shared" si="73"/>
        <v>1</v>
      </c>
      <c r="AE677" s="2">
        <f t="shared" ca="1" si="74"/>
        <v>-89.000102662037534</v>
      </c>
      <c r="AF677" s="15"/>
    </row>
    <row r="678" spans="1:32" hidden="1">
      <c r="A678" s="1">
        <v>9131028</v>
      </c>
      <c r="B678" s="1" t="s">
        <v>101</v>
      </c>
      <c r="C678" t="s">
        <v>643</v>
      </c>
      <c r="D678" s="2">
        <v>220196655</v>
      </c>
      <c r="E678" s="2">
        <v>220001400040</v>
      </c>
      <c r="F678" s="1" t="s">
        <v>644</v>
      </c>
      <c r="G678" s="1" t="s">
        <v>53</v>
      </c>
      <c r="H678" s="1" t="s">
        <v>588</v>
      </c>
      <c r="I678" s="1" t="s">
        <v>589</v>
      </c>
      <c r="J678" s="1" t="s">
        <v>110</v>
      </c>
      <c r="K678" t="s">
        <v>645</v>
      </c>
      <c r="M678" s="1" t="s">
        <v>58</v>
      </c>
      <c r="N678" s="1">
        <v>0</v>
      </c>
      <c r="O678" s="1" t="s">
        <v>105</v>
      </c>
      <c r="P678" s="186">
        <v>44896.673981481479</v>
      </c>
      <c r="R678" s="1">
        <v>2</v>
      </c>
      <c r="T678" s="1" t="s">
        <v>646</v>
      </c>
      <c r="U678" s="186">
        <v>44897.673981481479</v>
      </c>
      <c r="V678" s="1" t="s">
        <v>41</v>
      </c>
      <c r="W678" s="1" t="s">
        <v>49</v>
      </c>
      <c r="X678" s="13" t="str">
        <f t="shared" si="75"/>
        <v/>
      </c>
      <c r="Y678" s="2">
        <f t="shared" ca="1" si="70"/>
        <v>65</v>
      </c>
      <c r="Z678" s="14">
        <v>1</v>
      </c>
      <c r="AA678" s="1" t="str">
        <f t="shared" ca="1" si="71"/>
        <v>VENCIDO</v>
      </c>
      <c r="AB678" s="1" t="str">
        <f t="shared" si="72"/>
        <v>SL-On</v>
      </c>
      <c r="AC678" s="2" t="str">
        <f t="shared" si="76"/>
        <v xml:space="preserve"> CRISTINA </v>
      </c>
      <c r="AD678" s="2">
        <f t="shared" si="73"/>
        <v>1</v>
      </c>
      <c r="AE678" s="2">
        <f t="shared" ca="1" si="74"/>
        <v>-89.002290162039571</v>
      </c>
      <c r="AF678" s="15"/>
    </row>
    <row r="679" spans="1:32" hidden="1">
      <c r="A679" s="1">
        <v>9131012</v>
      </c>
      <c r="B679" s="1" t="s">
        <v>101</v>
      </c>
      <c r="C679" t="s">
        <v>643</v>
      </c>
      <c r="D679" s="2">
        <v>220194569</v>
      </c>
      <c r="E679" s="2">
        <v>233001400030</v>
      </c>
      <c r="F679" s="1" t="s">
        <v>647</v>
      </c>
      <c r="G679" s="1" t="s">
        <v>53</v>
      </c>
      <c r="H679" s="1" t="s">
        <v>424</v>
      </c>
      <c r="I679" s="1" t="s">
        <v>425</v>
      </c>
      <c r="J679" s="1" t="s">
        <v>261</v>
      </c>
      <c r="K679" t="s">
        <v>650</v>
      </c>
      <c r="M679" s="1" t="s">
        <v>58</v>
      </c>
      <c r="N679" s="1">
        <v>0</v>
      </c>
      <c r="O679" s="1" t="s">
        <v>105</v>
      </c>
      <c r="P679" s="186">
        <v>44896.672835648147</v>
      </c>
      <c r="R679" s="1">
        <v>4</v>
      </c>
      <c r="T679" s="1" t="s">
        <v>646</v>
      </c>
      <c r="U679" s="186">
        <v>44897.672835648147</v>
      </c>
      <c r="V679" s="1" t="s">
        <v>41</v>
      </c>
      <c r="W679" s="1" t="s">
        <v>49</v>
      </c>
      <c r="X679" s="13" t="str">
        <f t="shared" si="75"/>
        <v/>
      </c>
      <c r="Y679" s="2">
        <f t="shared" ca="1" si="70"/>
        <v>65</v>
      </c>
      <c r="Z679" s="14">
        <v>1</v>
      </c>
      <c r="AA679" s="1" t="str">
        <f t="shared" ca="1" si="71"/>
        <v>VENCIDO</v>
      </c>
      <c r="AB679" s="1" t="str">
        <f t="shared" si="72"/>
        <v>C-14</v>
      </c>
      <c r="AC679" s="2" t="str">
        <f t="shared" si="76"/>
        <v xml:space="preserve"> CRISTINA </v>
      </c>
      <c r="AD679" s="2">
        <f t="shared" si="73"/>
        <v>15</v>
      </c>
      <c r="AE679" s="2">
        <f t="shared" ca="1" si="74"/>
        <v>-89.003435995371547</v>
      </c>
      <c r="AF679" s="15"/>
    </row>
    <row r="680" spans="1:32" hidden="1">
      <c r="A680" s="1">
        <v>9131002</v>
      </c>
      <c r="B680" s="1" t="s">
        <v>101</v>
      </c>
      <c r="C680" t="s">
        <v>643</v>
      </c>
      <c r="D680" s="2">
        <v>220194560</v>
      </c>
      <c r="E680" s="2">
        <v>220001400030</v>
      </c>
      <c r="F680" s="1" t="s">
        <v>647</v>
      </c>
      <c r="G680" s="1" t="s">
        <v>53</v>
      </c>
      <c r="H680" s="1" t="s">
        <v>588</v>
      </c>
      <c r="I680" s="1" t="s">
        <v>589</v>
      </c>
      <c r="J680" s="1" t="s">
        <v>110</v>
      </c>
      <c r="K680" t="s">
        <v>650</v>
      </c>
      <c r="M680" s="1" t="s">
        <v>58</v>
      </c>
      <c r="N680" s="1">
        <v>0</v>
      </c>
      <c r="O680" s="1" t="s">
        <v>105</v>
      </c>
      <c r="P680" s="186">
        <v>44896.672418981485</v>
      </c>
      <c r="R680" s="1">
        <v>4</v>
      </c>
      <c r="T680" s="1" t="s">
        <v>646</v>
      </c>
      <c r="U680" s="186">
        <v>44897.672418981485</v>
      </c>
      <c r="V680" s="1" t="s">
        <v>41</v>
      </c>
      <c r="W680" s="1" t="s">
        <v>49</v>
      </c>
      <c r="X680" s="13" t="str">
        <f t="shared" si="75"/>
        <v/>
      </c>
      <c r="Y680" s="2">
        <f t="shared" ca="1" si="70"/>
        <v>65</v>
      </c>
      <c r="Z680" s="14">
        <v>1</v>
      </c>
      <c r="AA680" s="1" t="str">
        <f t="shared" ca="1" si="71"/>
        <v>VENCIDO</v>
      </c>
      <c r="AB680" s="1" t="str">
        <f t="shared" si="72"/>
        <v>C-14</v>
      </c>
      <c r="AC680" s="2" t="str">
        <f t="shared" si="76"/>
        <v xml:space="preserve"> CRISTINA </v>
      </c>
      <c r="AD680" s="2">
        <f t="shared" si="73"/>
        <v>15</v>
      </c>
      <c r="AE680" s="2">
        <f t="shared" ca="1" si="74"/>
        <v>-89.003852662033751</v>
      </c>
      <c r="AF680" s="15"/>
    </row>
    <row r="681" spans="1:32" hidden="1">
      <c r="A681" s="1">
        <v>9130951</v>
      </c>
      <c r="B681" s="1" t="s">
        <v>101</v>
      </c>
      <c r="C681" t="s">
        <v>643</v>
      </c>
      <c r="D681" s="2">
        <v>220194568</v>
      </c>
      <c r="E681" s="2">
        <v>232001400030</v>
      </c>
      <c r="F681" s="1" t="s">
        <v>647</v>
      </c>
      <c r="G681" s="1" t="s">
        <v>53</v>
      </c>
      <c r="H681" s="1" t="s">
        <v>1363</v>
      </c>
      <c r="I681" s="1" t="s">
        <v>1364</v>
      </c>
      <c r="J681" s="1" t="s">
        <v>141</v>
      </c>
      <c r="K681" t="s">
        <v>650</v>
      </c>
      <c r="M681" s="1" t="s">
        <v>58</v>
      </c>
      <c r="N681" s="1">
        <v>0</v>
      </c>
      <c r="O681" s="1" t="s">
        <v>105</v>
      </c>
      <c r="P681" s="186">
        <v>44896.670624999999</v>
      </c>
      <c r="R681" s="1">
        <v>4</v>
      </c>
      <c r="T681" s="1" t="s">
        <v>646</v>
      </c>
      <c r="U681" s="186">
        <v>44897.670624999999</v>
      </c>
      <c r="V681" s="1" t="s">
        <v>41</v>
      </c>
      <c r="W681" s="1" t="s">
        <v>49</v>
      </c>
      <c r="X681" s="13" t="str">
        <f t="shared" si="75"/>
        <v/>
      </c>
      <c r="Y681" s="2">
        <f t="shared" ca="1" si="70"/>
        <v>65</v>
      </c>
      <c r="Z681" s="14">
        <v>1</v>
      </c>
      <c r="AA681" s="1" t="str">
        <f t="shared" ca="1" si="71"/>
        <v>VENCIDO</v>
      </c>
      <c r="AB681" s="1" t="str">
        <f t="shared" si="72"/>
        <v>C-14</v>
      </c>
      <c r="AC681" s="2" t="str">
        <f t="shared" si="76"/>
        <v xml:space="preserve"> CRISTINA </v>
      </c>
      <c r="AD681" s="2">
        <f t="shared" si="73"/>
        <v>15</v>
      </c>
      <c r="AE681" s="2">
        <f t="shared" ca="1" si="74"/>
        <v>-89.005646643519867</v>
      </c>
      <c r="AF681" s="15"/>
    </row>
    <row r="682" spans="1:32" hidden="1">
      <c r="A682" s="1">
        <v>9130904</v>
      </c>
      <c r="B682" s="1" t="s">
        <v>101</v>
      </c>
      <c r="C682" t="s">
        <v>643</v>
      </c>
      <c r="D682" s="2">
        <v>220195003</v>
      </c>
      <c r="E682" s="2">
        <v>922001400030</v>
      </c>
      <c r="F682" s="1" t="s">
        <v>647</v>
      </c>
      <c r="G682" s="1" t="s">
        <v>53</v>
      </c>
      <c r="H682" s="1" t="s">
        <v>1375</v>
      </c>
      <c r="I682" s="1" t="s">
        <v>1376</v>
      </c>
      <c r="J682" s="1" t="s">
        <v>261</v>
      </c>
      <c r="K682" t="s">
        <v>650</v>
      </c>
      <c r="M682" s="1" t="s">
        <v>58</v>
      </c>
      <c r="N682" s="1">
        <v>0</v>
      </c>
      <c r="O682" s="1" t="s">
        <v>105</v>
      </c>
      <c r="P682" s="186">
        <v>44896.668622685182</v>
      </c>
      <c r="R682" s="1">
        <v>4</v>
      </c>
      <c r="T682" s="1" t="s">
        <v>646</v>
      </c>
      <c r="U682" s="186">
        <v>44897.668622685182</v>
      </c>
      <c r="V682" s="1" t="s">
        <v>41</v>
      </c>
      <c r="W682" s="1" t="s">
        <v>49</v>
      </c>
      <c r="X682" s="13" t="str">
        <f t="shared" si="75"/>
        <v/>
      </c>
      <c r="Y682" s="2">
        <f t="shared" ca="1" si="70"/>
        <v>65</v>
      </c>
      <c r="Z682" s="14">
        <v>1</v>
      </c>
      <c r="AA682" s="1" t="str">
        <f t="shared" ca="1" si="71"/>
        <v>VENCIDO</v>
      </c>
      <c r="AB682" s="1" t="str">
        <f t="shared" si="72"/>
        <v>C-14</v>
      </c>
      <c r="AC682" s="2" t="str">
        <f t="shared" si="76"/>
        <v xml:space="preserve"> CRISTINA </v>
      </c>
      <c r="AD682" s="2">
        <f t="shared" si="73"/>
        <v>15</v>
      </c>
      <c r="AE682" s="2">
        <f t="shared" ca="1" si="74"/>
        <v>-89.007648958337086</v>
      </c>
      <c r="AF682" s="15"/>
    </row>
    <row r="683" spans="1:32" hidden="1">
      <c r="A683" s="1">
        <v>9130901</v>
      </c>
      <c r="B683" s="1" t="s">
        <v>101</v>
      </c>
      <c r="C683" t="s">
        <v>643</v>
      </c>
      <c r="D683" s="2">
        <v>220195001</v>
      </c>
      <c r="E683" s="2">
        <v>917001400030</v>
      </c>
      <c r="F683" s="1" t="s">
        <v>647</v>
      </c>
      <c r="G683" s="1" t="s">
        <v>53</v>
      </c>
      <c r="H683" s="1" t="s">
        <v>83</v>
      </c>
      <c r="I683" s="1" t="s">
        <v>84</v>
      </c>
      <c r="J683" s="1" t="s">
        <v>85</v>
      </c>
      <c r="K683" t="s">
        <v>650</v>
      </c>
      <c r="M683" s="1" t="s">
        <v>58</v>
      </c>
      <c r="N683" s="1">
        <v>0</v>
      </c>
      <c r="O683" s="1" t="s">
        <v>105</v>
      </c>
      <c r="P683" s="186">
        <v>44896.668437499997</v>
      </c>
      <c r="R683" s="1">
        <v>4</v>
      </c>
      <c r="T683" s="1" t="s">
        <v>646</v>
      </c>
      <c r="U683" s="186">
        <v>44897.668449074074</v>
      </c>
      <c r="V683" s="1" t="s">
        <v>41</v>
      </c>
      <c r="W683" s="1" t="s">
        <v>49</v>
      </c>
      <c r="X683" s="13" t="str">
        <f t="shared" si="75"/>
        <v/>
      </c>
      <c r="Y683" s="2">
        <f t="shared" ca="1" si="70"/>
        <v>65</v>
      </c>
      <c r="Z683" s="14">
        <v>1</v>
      </c>
      <c r="AA683" s="1" t="str">
        <f t="shared" ca="1" si="71"/>
        <v>VENCIDO</v>
      </c>
      <c r="AB683" s="1" t="str">
        <f t="shared" si="72"/>
        <v>C-14</v>
      </c>
      <c r="AC683" s="2" t="str">
        <f t="shared" si="76"/>
        <v xml:space="preserve"> RINALDO </v>
      </c>
      <c r="AD683" s="2">
        <f t="shared" si="73"/>
        <v>15</v>
      </c>
      <c r="AE683" s="2">
        <f t="shared" ca="1" si="74"/>
        <v>-89.007822569445125</v>
      </c>
      <c r="AF683" s="15"/>
    </row>
    <row r="684" spans="1:32" hidden="1">
      <c r="A684" s="1">
        <v>9130897</v>
      </c>
      <c r="B684" s="1" t="s">
        <v>101</v>
      </c>
      <c r="C684" t="s">
        <v>643</v>
      </c>
      <c r="D684" s="2">
        <v>220195329</v>
      </c>
      <c r="E684" s="2">
        <v>1664001400030</v>
      </c>
      <c r="F684" s="1" t="s">
        <v>647</v>
      </c>
      <c r="G684" s="1" t="s">
        <v>53</v>
      </c>
      <c r="H684" s="1" t="s">
        <v>307</v>
      </c>
      <c r="I684" s="1" t="s">
        <v>308</v>
      </c>
      <c r="J684" s="1" t="s">
        <v>164</v>
      </c>
      <c r="K684" t="s">
        <v>650</v>
      </c>
      <c r="M684" s="1" t="s">
        <v>58</v>
      </c>
      <c r="N684" s="1">
        <v>0</v>
      </c>
      <c r="O684" s="1" t="s">
        <v>105</v>
      </c>
      <c r="P684" s="186">
        <v>44896.668263888889</v>
      </c>
      <c r="R684" s="1">
        <v>4</v>
      </c>
      <c r="T684" s="1" t="s">
        <v>646</v>
      </c>
      <c r="U684" s="186">
        <v>44897.668263888889</v>
      </c>
      <c r="V684" s="1" t="s">
        <v>41</v>
      </c>
      <c r="W684" s="1" t="s">
        <v>49</v>
      </c>
      <c r="X684" s="13" t="str">
        <f t="shared" si="75"/>
        <v/>
      </c>
      <c r="Y684" s="2">
        <f t="shared" ca="1" si="70"/>
        <v>65</v>
      </c>
      <c r="Z684" s="14">
        <v>1</v>
      </c>
      <c r="AA684" s="1" t="str">
        <f t="shared" ca="1" si="71"/>
        <v>VENCIDO</v>
      </c>
      <c r="AB684" s="1" t="str">
        <f t="shared" si="72"/>
        <v>C-14</v>
      </c>
      <c r="AC684" s="2" t="str">
        <f t="shared" si="76"/>
        <v xml:space="preserve"> ROSEMERE </v>
      </c>
      <c r="AD684" s="2">
        <f t="shared" si="73"/>
        <v>15</v>
      </c>
      <c r="AE684" s="2">
        <f t="shared" ca="1" si="74"/>
        <v>-89.008007754629944</v>
      </c>
      <c r="AF684" s="15"/>
    </row>
    <row r="685" spans="1:32" hidden="1">
      <c r="A685" s="1">
        <v>9130892</v>
      </c>
      <c r="B685" s="1" t="s">
        <v>101</v>
      </c>
      <c r="C685" t="s">
        <v>643</v>
      </c>
      <c r="D685" s="2">
        <v>220194993</v>
      </c>
      <c r="E685" s="2">
        <v>899001400030</v>
      </c>
      <c r="F685" s="1" t="s">
        <v>647</v>
      </c>
      <c r="G685" s="1" t="s">
        <v>53</v>
      </c>
      <c r="H685" s="1" t="s">
        <v>175</v>
      </c>
      <c r="I685" s="1" t="s">
        <v>176</v>
      </c>
      <c r="J685" s="1" t="s">
        <v>90</v>
      </c>
      <c r="K685" t="s">
        <v>650</v>
      </c>
      <c r="M685" s="1" t="s">
        <v>58</v>
      </c>
      <c r="N685" s="1">
        <v>0</v>
      </c>
      <c r="O685" s="1" t="s">
        <v>36</v>
      </c>
      <c r="P685" s="186">
        <v>44896.667962962965</v>
      </c>
      <c r="R685" s="1">
        <v>4</v>
      </c>
      <c r="T685" s="1" t="s">
        <v>646</v>
      </c>
      <c r="U685" s="186">
        <v>44897.667962962965</v>
      </c>
      <c r="V685" s="1" t="s">
        <v>41</v>
      </c>
      <c r="W685" s="1" t="s">
        <v>49</v>
      </c>
      <c r="X685" s="13" t="str">
        <f t="shared" si="75"/>
        <v/>
      </c>
      <c r="Y685" s="2">
        <f t="shared" ca="1" si="70"/>
        <v>65</v>
      </c>
      <c r="Z685" s="14">
        <v>1</v>
      </c>
      <c r="AA685" s="1" t="str">
        <f t="shared" ca="1" si="71"/>
        <v>VENCIDO</v>
      </c>
      <c r="AB685" s="1" t="str">
        <f t="shared" si="72"/>
        <v>C-14</v>
      </c>
      <c r="AC685" s="2" t="str">
        <f t="shared" si="76"/>
        <v xml:space="preserve"> RINALDO </v>
      </c>
      <c r="AD685" s="2">
        <f t="shared" si="73"/>
        <v>15</v>
      </c>
      <c r="AE685" s="2">
        <f t="shared" ca="1" si="74"/>
        <v>-89.008308680553455</v>
      </c>
      <c r="AF685" s="15"/>
    </row>
    <row r="686" spans="1:32" hidden="1">
      <c r="A686" s="1">
        <v>9130879</v>
      </c>
      <c r="B686" s="1" t="s">
        <v>101</v>
      </c>
      <c r="C686" t="s">
        <v>643</v>
      </c>
      <c r="D686" s="2">
        <v>220195319</v>
      </c>
      <c r="E686" s="2">
        <v>1643001400030</v>
      </c>
      <c r="F686" s="1" t="s">
        <v>647</v>
      </c>
      <c r="G686" s="1" t="s">
        <v>53</v>
      </c>
      <c r="H686" s="1" t="s">
        <v>361</v>
      </c>
      <c r="I686" s="1" t="s">
        <v>362</v>
      </c>
      <c r="J686" s="1" t="s">
        <v>261</v>
      </c>
      <c r="K686" t="s">
        <v>650</v>
      </c>
      <c r="M686" s="1" t="s">
        <v>58</v>
      </c>
      <c r="N686" s="1">
        <v>0</v>
      </c>
      <c r="O686" s="1" t="s">
        <v>105</v>
      </c>
      <c r="P686" s="186">
        <v>44896.667164351849</v>
      </c>
      <c r="R686" s="1">
        <v>4</v>
      </c>
      <c r="T686" s="1" t="s">
        <v>646</v>
      </c>
      <c r="U686" s="186">
        <v>44897.667175925926</v>
      </c>
      <c r="V686" s="1" t="s">
        <v>41</v>
      </c>
      <c r="W686" s="1" t="s">
        <v>49</v>
      </c>
      <c r="X686" s="13" t="str">
        <f t="shared" si="75"/>
        <v/>
      </c>
      <c r="Y686" s="2">
        <f t="shared" ca="1" si="70"/>
        <v>65</v>
      </c>
      <c r="Z686" s="14">
        <v>1</v>
      </c>
      <c r="AA686" s="1" t="str">
        <f t="shared" ca="1" si="71"/>
        <v>VENCIDO</v>
      </c>
      <c r="AB686" s="1" t="str">
        <f t="shared" si="72"/>
        <v>C-14</v>
      </c>
      <c r="AC686" s="2" t="str">
        <f t="shared" si="76"/>
        <v xml:space="preserve"> CRISTINA </v>
      </c>
      <c r="AD686" s="2">
        <f t="shared" si="73"/>
        <v>15</v>
      </c>
      <c r="AE686" s="2">
        <f t="shared" ca="1" si="74"/>
        <v>-89.009095717592572</v>
      </c>
      <c r="AF686" s="15"/>
    </row>
    <row r="687" spans="1:32" hidden="1">
      <c r="A687" s="1">
        <v>9130800</v>
      </c>
      <c r="B687" s="1" t="s">
        <v>101</v>
      </c>
      <c r="C687" t="s">
        <v>643</v>
      </c>
      <c r="D687" s="2">
        <v>220194313</v>
      </c>
      <c r="E687" s="2">
        <v>5898001400010</v>
      </c>
      <c r="F687" s="1" t="s">
        <v>936</v>
      </c>
      <c r="G687" s="1" t="s">
        <v>53</v>
      </c>
      <c r="H687" s="1" t="s">
        <v>365</v>
      </c>
      <c r="I687" s="1" t="s">
        <v>366</v>
      </c>
      <c r="J687" s="1" t="s">
        <v>164</v>
      </c>
      <c r="K687" t="s">
        <v>937</v>
      </c>
      <c r="M687" s="1" t="s">
        <v>58</v>
      </c>
      <c r="N687" s="1">
        <v>0</v>
      </c>
      <c r="O687" s="1" t="s">
        <v>105</v>
      </c>
      <c r="P687" s="186">
        <v>44896.663101851853</v>
      </c>
      <c r="R687" s="1">
        <v>3</v>
      </c>
      <c r="T687" s="1" t="s">
        <v>646</v>
      </c>
      <c r="U687" s="186">
        <v>44897.663113425922</v>
      </c>
      <c r="V687" s="1" t="s">
        <v>41</v>
      </c>
      <c r="W687" s="1" t="s">
        <v>49</v>
      </c>
      <c r="X687" s="13" t="str">
        <f t="shared" si="75"/>
        <v/>
      </c>
      <c r="Y687" s="2">
        <f t="shared" ca="1" si="70"/>
        <v>65</v>
      </c>
      <c r="Z687" s="14">
        <v>1</v>
      </c>
      <c r="AA687" s="1" t="str">
        <f t="shared" ca="1" si="71"/>
        <v>VENCIDO</v>
      </c>
      <c r="AB687" s="1" t="str">
        <f t="shared" si="72"/>
        <v>C-14</v>
      </c>
      <c r="AC687" s="2" t="str">
        <f t="shared" si="76"/>
        <v xml:space="preserve"> ROSEMERE </v>
      </c>
      <c r="AD687" s="2">
        <f t="shared" si="73"/>
        <v>5</v>
      </c>
      <c r="AE687" s="2">
        <f t="shared" ca="1" si="74"/>
        <v>-89.013158217596356</v>
      </c>
      <c r="AF687" s="15"/>
    </row>
    <row r="688" spans="1:32" hidden="1">
      <c r="A688" s="1">
        <v>9130797</v>
      </c>
      <c r="B688" s="1" t="s">
        <v>101</v>
      </c>
      <c r="C688" t="s">
        <v>643</v>
      </c>
      <c r="D688" s="2">
        <v>220193787</v>
      </c>
      <c r="E688" s="2">
        <v>3108001400010</v>
      </c>
      <c r="F688" s="1" t="s">
        <v>936</v>
      </c>
      <c r="G688" s="1" t="s">
        <v>53</v>
      </c>
      <c r="H688" s="1" t="s">
        <v>325</v>
      </c>
      <c r="I688" s="1" t="s">
        <v>326</v>
      </c>
      <c r="J688" s="1" t="s">
        <v>46</v>
      </c>
      <c r="K688" t="s">
        <v>937</v>
      </c>
      <c r="M688" s="1" t="s">
        <v>58</v>
      </c>
      <c r="N688" s="1">
        <v>0</v>
      </c>
      <c r="O688" s="1" t="s">
        <v>105</v>
      </c>
      <c r="P688" s="186">
        <v>44896.662974537037</v>
      </c>
      <c r="R688" s="1">
        <v>3</v>
      </c>
      <c r="T688" s="1" t="s">
        <v>646</v>
      </c>
      <c r="U688" s="186">
        <v>44897.662974537037</v>
      </c>
      <c r="V688" s="1" t="s">
        <v>41</v>
      </c>
      <c r="W688" s="1" t="s">
        <v>49</v>
      </c>
      <c r="X688" s="13" t="str">
        <f t="shared" si="75"/>
        <v/>
      </c>
      <c r="Y688" s="2">
        <f t="shared" ca="1" si="70"/>
        <v>65</v>
      </c>
      <c r="Z688" s="14">
        <v>1</v>
      </c>
      <c r="AA688" s="1" t="str">
        <f t="shared" ca="1" si="71"/>
        <v>VENCIDO</v>
      </c>
      <c r="AB688" s="1" t="str">
        <f t="shared" si="72"/>
        <v>C-14</v>
      </c>
      <c r="AC688" s="2" t="str">
        <f t="shared" si="76"/>
        <v xml:space="preserve"> CLEITON </v>
      </c>
      <c r="AD688" s="2">
        <f t="shared" si="73"/>
        <v>5</v>
      </c>
      <c r="AE688" s="2">
        <f t="shared" ca="1" si="74"/>
        <v>-89.013297106481332</v>
      </c>
      <c r="AF688" s="15"/>
    </row>
    <row r="689" spans="1:32" hidden="1">
      <c r="A689" s="1">
        <v>9130702</v>
      </c>
      <c r="B689" s="1" t="s">
        <v>101</v>
      </c>
      <c r="C689" t="s">
        <v>643</v>
      </c>
      <c r="D689" s="2">
        <v>220197503</v>
      </c>
      <c r="E689" s="2">
        <v>2081001400040</v>
      </c>
      <c r="F689" s="1" t="s">
        <v>644</v>
      </c>
      <c r="G689" s="1" t="s">
        <v>53</v>
      </c>
      <c r="H689" s="1" t="s">
        <v>590</v>
      </c>
      <c r="I689" s="1" t="s">
        <v>591</v>
      </c>
      <c r="J689" s="1" t="s">
        <v>261</v>
      </c>
      <c r="K689" t="s">
        <v>645</v>
      </c>
      <c r="M689" s="1" t="s">
        <v>58</v>
      </c>
      <c r="N689" s="1">
        <v>0</v>
      </c>
      <c r="O689" s="1" t="s">
        <v>105</v>
      </c>
      <c r="P689" s="186">
        <v>44896.658819444441</v>
      </c>
      <c r="R689" s="1">
        <v>2</v>
      </c>
      <c r="T689" s="1" t="s">
        <v>646</v>
      </c>
      <c r="U689" s="186">
        <v>44897.658819444441</v>
      </c>
      <c r="V689" s="1" t="s">
        <v>41</v>
      </c>
      <c r="W689" s="1" t="s">
        <v>49</v>
      </c>
      <c r="X689" s="13" t="str">
        <f t="shared" si="75"/>
        <v/>
      </c>
      <c r="Y689" s="2">
        <f t="shared" ca="1" si="70"/>
        <v>65</v>
      </c>
      <c r="Z689" s="14">
        <v>1</v>
      </c>
      <c r="AA689" s="1" t="str">
        <f t="shared" ca="1" si="71"/>
        <v>VENCIDO</v>
      </c>
      <c r="AB689" s="1" t="str">
        <f t="shared" si="72"/>
        <v>SL-On</v>
      </c>
      <c r="AC689" s="2" t="str">
        <f t="shared" si="76"/>
        <v xml:space="preserve"> CRISTINA </v>
      </c>
      <c r="AD689" s="2">
        <f t="shared" si="73"/>
        <v>1</v>
      </c>
      <c r="AE689" s="2">
        <f t="shared" ca="1" si="74"/>
        <v>-89.017452199077525</v>
      </c>
      <c r="AF689" s="15"/>
    </row>
    <row r="690" spans="1:32" hidden="1">
      <c r="A690" s="1">
        <v>9130686</v>
      </c>
      <c r="B690" s="1" t="s">
        <v>101</v>
      </c>
      <c r="C690" t="s">
        <v>643</v>
      </c>
      <c r="D690" s="2">
        <v>220197392</v>
      </c>
      <c r="E690" s="2">
        <v>1643001400040</v>
      </c>
      <c r="F690" s="1" t="s">
        <v>644</v>
      </c>
      <c r="G690" s="1" t="s">
        <v>53</v>
      </c>
      <c r="H690" s="1" t="s">
        <v>361</v>
      </c>
      <c r="I690" s="1" t="s">
        <v>362</v>
      </c>
      <c r="J690" s="1" t="s">
        <v>261</v>
      </c>
      <c r="K690" t="s">
        <v>645</v>
      </c>
      <c r="M690" s="1" t="s">
        <v>58</v>
      </c>
      <c r="N690" s="1">
        <v>0</v>
      </c>
      <c r="O690" s="1" t="s">
        <v>105</v>
      </c>
      <c r="P690" s="186">
        <v>44896.657835648148</v>
      </c>
      <c r="R690" s="1">
        <v>2</v>
      </c>
      <c r="T690" s="1" t="s">
        <v>646</v>
      </c>
      <c r="U690" s="186">
        <v>44897.657835648148</v>
      </c>
      <c r="V690" s="1" t="s">
        <v>41</v>
      </c>
      <c r="W690" s="1" t="s">
        <v>49</v>
      </c>
      <c r="X690" s="13" t="str">
        <f t="shared" si="75"/>
        <v/>
      </c>
      <c r="Y690" s="2">
        <f t="shared" ca="1" si="70"/>
        <v>65</v>
      </c>
      <c r="Z690" s="14">
        <v>1</v>
      </c>
      <c r="AA690" s="1" t="str">
        <f t="shared" ca="1" si="71"/>
        <v>VENCIDO</v>
      </c>
      <c r="AB690" s="1" t="str">
        <f t="shared" si="72"/>
        <v>SL-On</v>
      </c>
      <c r="AC690" s="2" t="str">
        <f t="shared" si="76"/>
        <v xml:space="preserve"> CRISTINA </v>
      </c>
      <c r="AD690" s="2">
        <f t="shared" si="73"/>
        <v>1</v>
      </c>
      <c r="AE690" s="2">
        <f t="shared" ca="1" si="74"/>
        <v>-89.018435995370965</v>
      </c>
      <c r="AF690" s="15"/>
    </row>
    <row r="691" spans="1:32" hidden="1">
      <c r="A691" s="1">
        <v>9130671</v>
      </c>
      <c r="B691" s="1" t="s">
        <v>101</v>
      </c>
      <c r="C691" t="s">
        <v>643</v>
      </c>
      <c r="D691" s="2">
        <v>220197182</v>
      </c>
      <c r="E691" s="2">
        <v>1120001400040</v>
      </c>
      <c r="F691" s="1" t="s">
        <v>644</v>
      </c>
      <c r="G691" s="1" t="s">
        <v>53</v>
      </c>
      <c r="H691" s="1" t="s">
        <v>181</v>
      </c>
      <c r="I691" s="1" t="s">
        <v>182</v>
      </c>
      <c r="J691" s="1" t="s">
        <v>164</v>
      </c>
      <c r="K691" t="s">
        <v>645</v>
      </c>
      <c r="M691" s="1" t="s">
        <v>58</v>
      </c>
      <c r="N691" s="1">
        <v>0</v>
      </c>
      <c r="O691" s="1" t="s">
        <v>105</v>
      </c>
      <c r="P691" s="186">
        <v>44896.657141203701</v>
      </c>
      <c r="R691" s="1">
        <v>2</v>
      </c>
      <c r="T691" s="1" t="s">
        <v>646</v>
      </c>
      <c r="U691" s="186">
        <v>44897.657152777778</v>
      </c>
      <c r="V691" s="1" t="s">
        <v>41</v>
      </c>
      <c r="W691" s="1" t="s">
        <v>49</v>
      </c>
      <c r="X691" s="13" t="str">
        <f t="shared" si="75"/>
        <v/>
      </c>
      <c r="Y691" s="2">
        <f t="shared" ca="1" si="70"/>
        <v>65</v>
      </c>
      <c r="Z691" s="14">
        <v>1</v>
      </c>
      <c r="AA691" s="1" t="str">
        <f t="shared" ca="1" si="71"/>
        <v>VENCIDO</v>
      </c>
      <c r="AB691" s="1" t="str">
        <f t="shared" si="72"/>
        <v>SL-On</v>
      </c>
      <c r="AC691" s="2" t="str">
        <f t="shared" si="76"/>
        <v xml:space="preserve"> ROSEMERE </v>
      </c>
      <c r="AD691" s="2">
        <f t="shared" si="73"/>
        <v>1</v>
      </c>
      <c r="AE691" s="2">
        <f t="shared" ca="1" si="74"/>
        <v>-89.019118865740893</v>
      </c>
      <c r="AF691" s="15"/>
    </row>
    <row r="692" spans="1:32" hidden="1">
      <c r="A692" s="1">
        <v>9130635</v>
      </c>
      <c r="B692" s="1" t="s">
        <v>101</v>
      </c>
      <c r="C692" t="s">
        <v>643</v>
      </c>
      <c r="D692" s="2">
        <v>220197154</v>
      </c>
      <c r="E692" s="2">
        <v>1069001400040</v>
      </c>
      <c r="F692" s="1" t="s">
        <v>644</v>
      </c>
      <c r="G692" s="1" t="s">
        <v>53</v>
      </c>
      <c r="H692" s="1" t="s">
        <v>353</v>
      </c>
      <c r="I692" s="1" t="s">
        <v>354</v>
      </c>
      <c r="J692" s="1" t="s">
        <v>211</v>
      </c>
      <c r="K692" t="s">
        <v>645</v>
      </c>
      <c r="M692" s="1" t="s">
        <v>58</v>
      </c>
      <c r="N692" s="1">
        <v>0</v>
      </c>
      <c r="O692" s="1" t="s">
        <v>105</v>
      </c>
      <c r="P692" s="186">
        <v>44896.655428240738</v>
      </c>
      <c r="R692" s="1">
        <v>3</v>
      </c>
      <c r="T692" s="1" t="s">
        <v>646</v>
      </c>
      <c r="U692" s="186">
        <v>44897.655428240738</v>
      </c>
      <c r="V692" s="1" t="s">
        <v>41</v>
      </c>
      <c r="W692" s="1" t="s">
        <v>49</v>
      </c>
      <c r="X692" s="13" t="str">
        <f t="shared" si="75"/>
        <v/>
      </c>
      <c r="Y692" s="2">
        <f t="shared" ca="1" si="70"/>
        <v>65</v>
      </c>
      <c r="Z692" s="14">
        <v>1</v>
      </c>
      <c r="AA692" s="1" t="str">
        <f t="shared" ca="1" si="71"/>
        <v>VENCIDO</v>
      </c>
      <c r="AB692" s="1" t="str">
        <f t="shared" si="72"/>
        <v>SL-On</v>
      </c>
      <c r="AC692" s="2" t="str">
        <f t="shared" si="76"/>
        <v xml:space="preserve"> RINALDO </v>
      </c>
      <c r="AD692" s="2">
        <f t="shared" si="73"/>
        <v>1</v>
      </c>
      <c r="AE692" s="2">
        <f t="shared" ca="1" si="74"/>
        <v>-89.020843402780883</v>
      </c>
      <c r="AF692" s="15"/>
    </row>
    <row r="693" spans="1:32" hidden="1">
      <c r="A693" s="1">
        <v>9130628</v>
      </c>
      <c r="B693" s="1" t="s">
        <v>101</v>
      </c>
      <c r="C693" t="s">
        <v>643</v>
      </c>
      <c r="D693" s="2">
        <v>220197147</v>
      </c>
      <c r="E693" s="2">
        <v>1049001400040</v>
      </c>
      <c r="F693" s="1" t="s">
        <v>644</v>
      </c>
      <c r="G693" s="1" t="s">
        <v>53</v>
      </c>
      <c r="H693" s="1" t="s">
        <v>169</v>
      </c>
      <c r="I693" s="1" t="s">
        <v>170</v>
      </c>
      <c r="J693" s="1" t="s">
        <v>164</v>
      </c>
      <c r="K693" t="s">
        <v>645</v>
      </c>
      <c r="M693" s="1" t="s">
        <v>58</v>
      </c>
      <c r="N693" s="1">
        <v>0</v>
      </c>
      <c r="O693" s="1" t="s">
        <v>105</v>
      </c>
      <c r="P693" s="186">
        <v>44896.655034722222</v>
      </c>
      <c r="R693" s="1">
        <v>2</v>
      </c>
      <c r="T693" s="1" t="s">
        <v>646</v>
      </c>
      <c r="U693" s="186">
        <v>44897.655046296299</v>
      </c>
      <c r="V693" s="1" t="s">
        <v>41</v>
      </c>
      <c r="W693" s="1" t="s">
        <v>49</v>
      </c>
      <c r="X693" s="13" t="str">
        <f t="shared" si="75"/>
        <v/>
      </c>
      <c r="Y693" s="2">
        <f t="shared" ca="1" si="70"/>
        <v>65</v>
      </c>
      <c r="Z693" s="14">
        <v>1</v>
      </c>
      <c r="AA693" s="1" t="str">
        <f t="shared" ca="1" si="71"/>
        <v>VENCIDO</v>
      </c>
      <c r="AB693" s="1" t="str">
        <f t="shared" si="72"/>
        <v>SL-On</v>
      </c>
      <c r="AC693" s="2" t="str">
        <f t="shared" si="76"/>
        <v xml:space="preserve"> ROSEMERE </v>
      </c>
      <c r="AD693" s="2">
        <f t="shared" si="73"/>
        <v>1</v>
      </c>
      <c r="AE693" s="2">
        <f t="shared" ca="1" si="74"/>
        <v>-89.021225347220025</v>
      </c>
      <c r="AF693" s="15"/>
    </row>
    <row r="694" spans="1:32" hidden="1">
      <c r="A694" s="1">
        <v>9130446</v>
      </c>
      <c r="B694" s="1" t="s">
        <v>101</v>
      </c>
      <c r="C694" t="s">
        <v>643</v>
      </c>
      <c r="D694" s="2">
        <v>220197516</v>
      </c>
      <c r="E694" s="2">
        <v>2125001400040</v>
      </c>
      <c r="F694" s="1" t="s">
        <v>644</v>
      </c>
      <c r="G694" s="1" t="s">
        <v>53</v>
      </c>
      <c r="H694" s="1" t="s">
        <v>1399</v>
      </c>
      <c r="I694" s="1" t="s">
        <v>1400</v>
      </c>
      <c r="J694" s="1" t="s">
        <v>211</v>
      </c>
      <c r="K694" t="s">
        <v>645</v>
      </c>
      <c r="M694" s="1" t="s">
        <v>58</v>
      </c>
      <c r="N694" s="1">
        <v>0</v>
      </c>
      <c r="O694" s="1" t="s">
        <v>105</v>
      </c>
      <c r="P694" s="186">
        <v>44896.646354166667</v>
      </c>
      <c r="R694" s="1">
        <v>3</v>
      </c>
      <c r="T694" s="1" t="s">
        <v>646</v>
      </c>
      <c r="U694" s="186">
        <v>44897.646354166667</v>
      </c>
      <c r="V694" s="1" t="s">
        <v>41</v>
      </c>
      <c r="W694" s="1" t="s">
        <v>49</v>
      </c>
      <c r="X694" s="13" t="str">
        <f t="shared" si="75"/>
        <v/>
      </c>
      <c r="Y694" s="2">
        <f t="shared" ca="1" si="70"/>
        <v>65</v>
      </c>
      <c r="Z694" s="14">
        <v>1</v>
      </c>
      <c r="AA694" s="1" t="str">
        <f t="shared" ca="1" si="71"/>
        <v>VENCIDO</v>
      </c>
      <c r="AB694" s="1" t="str">
        <f t="shared" si="72"/>
        <v>SL-On</v>
      </c>
      <c r="AC694" s="2" t="str">
        <f t="shared" si="76"/>
        <v xml:space="preserve"> RINALDO </v>
      </c>
      <c r="AD694" s="2">
        <f t="shared" si="73"/>
        <v>1</v>
      </c>
      <c r="AE694" s="2">
        <f t="shared" ca="1" si="74"/>
        <v>-89.029917476851551</v>
      </c>
      <c r="AF694" s="15"/>
    </row>
    <row r="695" spans="1:32" hidden="1">
      <c r="A695" s="1">
        <v>9130242</v>
      </c>
      <c r="B695" s="1" t="s">
        <v>101</v>
      </c>
      <c r="C695" t="s">
        <v>643</v>
      </c>
      <c r="D695" s="2">
        <v>220195741</v>
      </c>
      <c r="E695" s="2">
        <v>3243001400030</v>
      </c>
      <c r="F695" s="1" t="s">
        <v>647</v>
      </c>
      <c r="G695" s="1" t="s">
        <v>53</v>
      </c>
      <c r="H695" s="1" t="s">
        <v>282</v>
      </c>
      <c r="I695" s="1" t="s">
        <v>283</v>
      </c>
      <c r="J695" s="1" t="s">
        <v>46</v>
      </c>
      <c r="K695" t="s">
        <v>650</v>
      </c>
      <c r="M695" s="1" t="s">
        <v>58</v>
      </c>
      <c r="N695" s="1">
        <v>0</v>
      </c>
      <c r="O695" s="1" t="s">
        <v>105</v>
      </c>
      <c r="P695" s="186">
        <v>44896.636863425927</v>
      </c>
      <c r="R695" s="1">
        <v>4</v>
      </c>
      <c r="T695" s="1" t="s">
        <v>646</v>
      </c>
      <c r="U695" s="186">
        <v>44897.636863425927</v>
      </c>
      <c r="V695" s="1" t="s">
        <v>41</v>
      </c>
      <c r="W695" s="1" t="s">
        <v>49</v>
      </c>
      <c r="X695" s="13" t="str">
        <f t="shared" si="75"/>
        <v/>
      </c>
      <c r="Y695" s="2">
        <f t="shared" ca="1" si="70"/>
        <v>65</v>
      </c>
      <c r="Z695" s="14">
        <v>1</v>
      </c>
      <c r="AA695" s="1" t="str">
        <f t="shared" ca="1" si="71"/>
        <v>VENCIDO</v>
      </c>
      <c r="AB695" s="1" t="str">
        <f t="shared" si="72"/>
        <v>C-14</v>
      </c>
      <c r="AC695" s="2" t="str">
        <f t="shared" si="76"/>
        <v xml:space="preserve"> CLEITON </v>
      </c>
      <c r="AD695" s="2">
        <f t="shared" si="73"/>
        <v>15</v>
      </c>
      <c r="AE695" s="2">
        <f t="shared" ca="1" si="74"/>
        <v>-89.039408217591699</v>
      </c>
      <c r="AF695" s="15"/>
    </row>
    <row r="696" spans="1:32" hidden="1">
      <c r="A696" s="1">
        <v>9130123</v>
      </c>
      <c r="B696" s="1" t="s">
        <v>101</v>
      </c>
      <c r="C696" t="s">
        <v>643</v>
      </c>
      <c r="D696" s="2">
        <v>220194957</v>
      </c>
      <c r="E696" s="2">
        <v>834001400030</v>
      </c>
      <c r="F696" s="1" t="s">
        <v>647</v>
      </c>
      <c r="G696" s="1" t="s">
        <v>53</v>
      </c>
      <c r="H696" s="1" t="s">
        <v>367</v>
      </c>
      <c r="I696" s="1" t="s">
        <v>368</v>
      </c>
      <c r="J696" s="1" t="s">
        <v>261</v>
      </c>
      <c r="K696" t="s">
        <v>650</v>
      </c>
      <c r="M696" s="1" t="s">
        <v>58</v>
      </c>
      <c r="N696" s="1">
        <v>0</v>
      </c>
      <c r="O696" s="1" t="s">
        <v>105</v>
      </c>
      <c r="P696" s="186">
        <v>44896.630219907405</v>
      </c>
      <c r="R696" s="1">
        <v>4</v>
      </c>
      <c r="T696" s="1" t="s">
        <v>646</v>
      </c>
      <c r="U696" s="186">
        <v>44897.630219907405</v>
      </c>
      <c r="V696" s="1" t="s">
        <v>41</v>
      </c>
      <c r="W696" s="1" t="s">
        <v>49</v>
      </c>
      <c r="X696" s="13" t="str">
        <f t="shared" si="75"/>
        <v/>
      </c>
      <c r="Y696" s="2">
        <f t="shared" ca="1" si="70"/>
        <v>65</v>
      </c>
      <c r="Z696" s="14">
        <v>1</v>
      </c>
      <c r="AA696" s="1" t="str">
        <f t="shared" ca="1" si="71"/>
        <v>VENCIDO</v>
      </c>
      <c r="AB696" s="1" t="str">
        <f t="shared" si="72"/>
        <v>C-14</v>
      </c>
      <c r="AC696" s="2" t="str">
        <f t="shared" si="76"/>
        <v xml:space="preserve"> CRISTINA </v>
      </c>
      <c r="AD696" s="2">
        <f t="shared" si="73"/>
        <v>15</v>
      </c>
      <c r="AE696" s="2">
        <f t="shared" ca="1" si="74"/>
        <v>-89.046051736113441</v>
      </c>
      <c r="AF696" s="15"/>
    </row>
    <row r="697" spans="1:32" hidden="1">
      <c r="A697" s="1">
        <v>9130118</v>
      </c>
      <c r="B697" s="1" t="s">
        <v>101</v>
      </c>
      <c r="C697" t="s">
        <v>643</v>
      </c>
      <c r="D697" s="2">
        <v>220194952</v>
      </c>
      <c r="E697" s="2">
        <v>821001400030</v>
      </c>
      <c r="F697" s="1" t="s">
        <v>647</v>
      </c>
      <c r="G697" s="1" t="s">
        <v>53</v>
      </c>
      <c r="H697" s="1" t="s">
        <v>1351</v>
      </c>
      <c r="I697" s="1" t="s">
        <v>1352</v>
      </c>
      <c r="J697" s="1" t="s">
        <v>46</v>
      </c>
      <c r="K697" t="s">
        <v>650</v>
      </c>
      <c r="M697" s="1" t="s">
        <v>58</v>
      </c>
      <c r="N697" s="1">
        <v>0</v>
      </c>
      <c r="O697" s="1" t="s">
        <v>105</v>
      </c>
      <c r="P697" s="186">
        <v>44896.629907407405</v>
      </c>
      <c r="R697" s="1">
        <v>4</v>
      </c>
      <c r="T697" s="1" t="s">
        <v>646</v>
      </c>
      <c r="U697" s="186">
        <v>44897.629907407405</v>
      </c>
      <c r="V697" s="1" t="s">
        <v>41</v>
      </c>
      <c r="W697" s="1" t="s">
        <v>49</v>
      </c>
      <c r="X697" s="13" t="str">
        <f t="shared" si="75"/>
        <v/>
      </c>
      <c r="Y697" s="2">
        <f t="shared" ca="1" si="70"/>
        <v>65</v>
      </c>
      <c r="Z697" s="14">
        <v>1</v>
      </c>
      <c r="AA697" s="1" t="str">
        <f t="shared" ca="1" si="71"/>
        <v>VENCIDO</v>
      </c>
      <c r="AB697" s="1" t="str">
        <f t="shared" si="72"/>
        <v>C-14</v>
      </c>
      <c r="AC697" s="2" t="str">
        <f t="shared" si="76"/>
        <v xml:space="preserve"> CLEITON </v>
      </c>
      <c r="AD697" s="2">
        <f t="shared" si="73"/>
        <v>15</v>
      </c>
      <c r="AE697" s="2">
        <f t="shared" ca="1" si="74"/>
        <v>-89.046364236113732</v>
      </c>
      <c r="AF697" s="15"/>
    </row>
    <row r="698" spans="1:32" hidden="1">
      <c r="A698" s="1">
        <v>9130071</v>
      </c>
      <c r="B698" s="1" t="s">
        <v>101</v>
      </c>
      <c r="C698" t="s">
        <v>643</v>
      </c>
      <c r="D698" s="2">
        <v>220194820</v>
      </c>
      <c r="E698" s="2">
        <v>608001400030</v>
      </c>
      <c r="F698" s="1" t="s">
        <v>647</v>
      </c>
      <c r="G698" s="1" t="s">
        <v>53</v>
      </c>
      <c r="H698" s="1" t="s">
        <v>438</v>
      </c>
      <c r="I698" s="1" t="s">
        <v>439</v>
      </c>
      <c r="J698" s="1" t="s">
        <v>148</v>
      </c>
      <c r="K698" t="s">
        <v>650</v>
      </c>
      <c r="M698" s="1" t="s">
        <v>58</v>
      </c>
      <c r="N698" s="1">
        <v>0</v>
      </c>
      <c r="O698" s="1" t="s">
        <v>105</v>
      </c>
      <c r="P698" s="186">
        <v>44896.627546296295</v>
      </c>
      <c r="R698" s="1">
        <v>4</v>
      </c>
      <c r="T698" s="1" t="s">
        <v>646</v>
      </c>
      <c r="U698" s="186">
        <v>44897.627557870372</v>
      </c>
      <c r="V698" s="1" t="s">
        <v>41</v>
      </c>
      <c r="W698" s="1" t="s">
        <v>49</v>
      </c>
      <c r="X698" s="13" t="str">
        <f t="shared" ref="X698:X761" si="77">IF(RIGHT(H698,2)&lt;&gt;"00",H698,"")</f>
        <v/>
      </c>
      <c r="Y698" s="2">
        <f t="shared" ref="Y698:Y761" ca="1" si="78">NETWORKDAYS(P698,$Y$1)</f>
        <v>65</v>
      </c>
      <c r="Z698" s="14">
        <v>1</v>
      </c>
      <c r="AA698" s="1" t="str">
        <f t="shared" ca="1" si="71"/>
        <v>VENCIDO</v>
      </c>
      <c r="AB698" s="1" t="str">
        <f t="shared" si="72"/>
        <v>C-14</v>
      </c>
      <c r="AC698" s="2" t="str">
        <f t="shared" si="76"/>
        <v xml:space="preserve"> RINALDO </v>
      </c>
      <c r="AD698" s="2">
        <f t="shared" si="73"/>
        <v>15</v>
      </c>
      <c r="AE698" s="2">
        <f t="shared" ca="1" si="74"/>
        <v>-89.048713773147028</v>
      </c>
      <c r="AF698" s="15"/>
    </row>
    <row r="699" spans="1:32" hidden="1">
      <c r="A699" s="1">
        <v>9129981</v>
      </c>
      <c r="B699" s="1" t="s">
        <v>101</v>
      </c>
      <c r="C699" t="s">
        <v>643</v>
      </c>
      <c r="D699" s="2">
        <v>220194118</v>
      </c>
      <c r="E699" s="2">
        <v>4637001400010</v>
      </c>
      <c r="F699" s="1" t="s">
        <v>936</v>
      </c>
      <c r="G699" s="1" t="s">
        <v>53</v>
      </c>
      <c r="H699" s="1" t="s">
        <v>848</v>
      </c>
      <c r="I699" s="1" t="s">
        <v>849</v>
      </c>
      <c r="J699" s="1" t="s">
        <v>79</v>
      </c>
      <c r="K699" t="s">
        <v>937</v>
      </c>
      <c r="M699" s="1" t="s">
        <v>58</v>
      </c>
      <c r="N699" s="1">
        <v>0</v>
      </c>
      <c r="O699" s="1" t="s">
        <v>105</v>
      </c>
      <c r="P699" s="186">
        <v>44896.623657407406</v>
      </c>
      <c r="R699" s="1">
        <v>3</v>
      </c>
      <c r="T699" s="1" t="s">
        <v>646</v>
      </c>
      <c r="U699" s="186">
        <v>44897.623657407406</v>
      </c>
      <c r="V699" s="1" t="s">
        <v>41</v>
      </c>
      <c r="W699" s="1" t="s">
        <v>49</v>
      </c>
      <c r="X699" s="13" t="str">
        <f t="shared" si="77"/>
        <v/>
      </c>
      <c r="Y699" s="2">
        <f t="shared" ca="1" si="78"/>
        <v>65</v>
      </c>
      <c r="Z699" s="14">
        <v>1</v>
      </c>
      <c r="AA699" s="1" t="str">
        <f t="shared" ca="1" si="71"/>
        <v>VENCIDO</v>
      </c>
      <c r="AB699" s="1" t="str">
        <f t="shared" si="72"/>
        <v>C-14</v>
      </c>
      <c r="AC699" s="2" t="str">
        <f t="shared" si="76"/>
        <v xml:space="preserve"> ROSEMERE </v>
      </c>
      <c r="AD699" s="2">
        <f t="shared" si="73"/>
        <v>5</v>
      </c>
      <c r="AE699" s="2">
        <f t="shared" ca="1" si="74"/>
        <v>-89.052614236112277</v>
      </c>
      <c r="AF699" s="15"/>
    </row>
    <row r="700" spans="1:32" hidden="1">
      <c r="A700" s="1">
        <v>9129978</v>
      </c>
      <c r="B700" s="1" t="s">
        <v>101</v>
      </c>
      <c r="C700" t="s">
        <v>643</v>
      </c>
      <c r="D700" s="2">
        <v>220194116</v>
      </c>
      <c r="E700" s="2">
        <v>4623001400010</v>
      </c>
      <c r="F700" s="1" t="s">
        <v>936</v>
      </c>
      <c r="G700" s="1" t="s">
        <v>53</v>
      </c>
      <c r="H700" s="1" t="s">
        <v>669</v>
      </c>
      <c r="I700" s="1" t="s">
        <v>670</v>
      </c>
      <c r="J700" s="1" t="s">
        <v>33</v>
      </c>
      <c r="K700" t="s">
        <v>937</v>
      </c>
      <c r="M700" s="1" t="s">
        <v>58</v>
      </c>
      <c r="N700" s="1">
        <v>0</v>
      </c>
      <c r="O700" s="1" t="s">
        <v>105</v>
      </c>
      <c r="P700" s="186">
        <v>44896.623541666668</v>
      </c>
      <c r="R700" s="1">
        <v>3</v>
      </c>
      <c r="T700" s="1" t="s">
        <v>646</v>
      </c>
      <c r="U700" s="186">
        <v>44897.623541666668</v>
      </c>
      <c r="V700" s="1" t="s">
        <v>41</v>
      </c>
      <c r="W700" s="1" t="s">
        <v>42</v>
      </c>
      <c r="X700" s="13" t="str">
        <f t="shared" si="77"/>
        <v/>
      </c>
      <c r="Y700" s="2">
        <f t="shared" ca="1" si="78"/>
        <v>65</v>
      </c>
      <c r="Z700" s="14"/>
      <c r="AC700" s="2"/>
      <c r="AE700" s="20"/>
    </row>
    <row r="701" spans="1:32" hidden="1">
      <c r="A701" s="1">
        <v>9129941</v>
      </c>
      <c r="B701" s="1" t="s">
        <v>101</v>
      </c>
      <c r="C701" t="s">
        <v>643</v>
      </c>
      <c r="D701" s="2">
        <v>220194187</v>
      </c>
      <c r="E701" s="2">
        <v>4997001400010</v>
      </c>
      <c r="F701" s="1" t="s">
        <v>936</v>
      </c>
      <c r="G701" s="1" t="s">
        <v>53</v>
      </c>
      <c r="H701" s="1" t="s">
        <v>406</v>
      </c>
      <c r="I701" s="1" t="s">
        <v>407</v>
      </c>
      <c r="J701" s="1" t="s">
        <v>79</v>
      </c>
      <c r="K701" t="s">
        <v>937</v>
      </c>
      <c r="M701" s="1" t="s">
        <v>58</v>
      </c>
      <c r="N701" s="1">
        <v>0</v>
      </c>
      <c r="O701" s="1" t="s">
        <v>105</v>
      </c>
      <c r="P701" s="186">
        <v>44896.621840277781</v>
      </c>
      <c r="R701" s="1">
        <v>3</v>
      </c>
      <c r="T701" s="1" t="s">
        <v>646</v>
      </c>
      <c r="U701" s="186">
        <v>44897.621840277781</v>
      </c>
      <c r="V701" s="1" t="s">
        <v>41</v>
      </c>
      <c r="W701" s="1" t="s">
        <v>49</v>
      </c>
      <c r="X701" s="13" t="str">
        <f t="shared" si="77"/>
        <v/>
      </c>
      <c r="Y701" s="2">
        <f t="shared" ca="1" si="78"/>
        <v>65</v>
      </c>
      <c r="Z701" s="14"/>
      <c r="AC701" s="2"/>
      <c r="AE701" s="20"/>
    </row>
    <row r="702" spans="1:32" hidden="1">
      <c r="A702" s="1">
        <v>9129868</v>
      </c>
      <c r="B702" s="1" t="s">
        <v>101</v>
      </c>
      <c r="C702" t="s">
        <v>643</v>
      </c>
      <c r="D702" s="2">
        <v>220193412</v>
      </c>
      <c r="E702" s="2">
        <v>1643001400010</v>
      </c>
      <c r="F702" s="1" t="s">
        <v>936</v>
      </c>
      <c r="G702" s="1" t="s">
        <v>53</v>
      </c>
      <c r="H702" s="1" t="s">
        <v>361</v>
      </c>
      <c r="I702" s="1" t="s">
        <v>362</v>
      </c>
      <c r="J702" s="1" t="s">
        <v>261</v>
      </c>
      <c r="K702" t="s">
        <v>937</v>
      </c>
      <c r="M702" s="1" t="s">
        <v>58</v>
      </c>
      <c r="N702" s="1">
        <v>0</v>
      </c>
      <c r="O702" s="1" t="s">
        <v>105</v>
      </c>
      <c r="P702" s="186">
        <v>44896.618703703702</v>
      </c>
      <c r="R702" s="1">
        <v>3</v>
      </c>
      <c r="T702" s="1" t="s">
        <v>646</v>
      </c>
      <c r="U702" s="186">
        <v>44897.618703703702</v>
      </c>
      <c r="V702" s="1" t="s">
        <v>41</v>
      </c>
      <c r="W702" s="1" t="s">
        <v>49</v>
      </c>
      <c r="X702" s="13" t="str">
        <f t="shared" si="77"/>
        <v/>
      </c>
      <c r="Y702" s="2">
        <f t="shared" ca="1" si="78"/>
        <v>65</v>
      </c>
      <c r="Z702" s="14"/>
      <c r="AC702" s="2"/>
      <c r="AE702" s="20"/>
    </row>
    <row r="703" spans="1:32" hidden="1">
      <c r="A703" s="1">
        <v>9129798</v>
      </c>
      <c r="B703" s="1" t="s">
        <v>101</v>
      </c>
      <c r="C703" t="s">
        <v>643</v>
      </c>
      <c r="D703" s="2">
        <v>220193269</v>
      </c>
      <c r="E703" s="2">
        <v>1264001400010</v>
      </c>
      <c r="F703" s="1" t="s">
        <v>936</v>
      </c>
      <c r="G703" s="1" t="s">
        <v>53</v>
      </c>
      <c r="H703" s="1" t="s">
        <v>351</v>
      </c>
      <c r="I703" s="1" t="s">
        <v>352</v>
      </c>
      <c r="J703" s="1" t="s">
        <v>110</v>
      </c>
      <c r="K703" t="s">
        <v>937</v>
      </c>
      <c r="M703" s="1" t="s">
        <v>58</v>
      </c>
      <c r="N703" s="1">
        <v>0</v>
      </c>
      <c r="O703" s="1" t="s">
        <v>105</v>
      </c>
      <c r="P703" s="186">
        <v>44896.615624999999</v>
      </c>
      <c r="R703" s="1">
        <v>3</v>
      </c>
      <c r="T703" s="1" t="s">
        <v>646</v>
      </c>
      <c r="U703" s="186">
        <v>44897.615624999999</v>
      </c>
      <c r="V703" s="1" t="s">
        <v>41</v>
      </c>
      <c r="W703" s="1" t="s">
        <v>49</v>
      </c>
      <c r="X703" s="13" t="str">
        <f t="shared" si="77"/>
        <v/>
      </c>
      <c r="Y703" s="2">
        <f t="shared" ca="1" si="78"/>
        <v>65</v>
      </c>
      <c r="Z703" s="14"/>
      <c r="AC703" s="2"/>
      <c r="AE703" s="20"/>
    </row>
    <row r="704" spans="1:32" hidden="1">
      <c r="A704" s="1">
        <v>9129788</v>
      </c>
      <c r="B704" s="1" t="s">
        <v>101</v>
      </c>
      <c r="C704" t="s">
        <v>643</v>
      </c>
      <c r="D704" s="2">
        <v>220193262</v>
      </c>
      <c r="E704" s="2">
        <v>1245001400010</v>
      </c>
      <c r="F704" s="1" t="s">
        <v>936</v>
      </c>
      <c r="G704" s="1" t="s">
        <v>53</v>
      </c>
      <c r="H704" s="1" t="s">
        <v>408</v>
      </c>
      <c r="I704" s="1" t="s">
        <v>409</v>
      </c>
      <c r="J704" s="1" t="s">
        <v>46</v>
      </c>
      <c r="K704" t="s">
        <v>937</v>
      </c>
      <c r="M704" s="1" t="s">
        <v>58</v>
      </c>
      <c r="N704" s="1">
        <v>0</v>
      </c>
      <c r="O704" s="1" t="s">
        <v>105</v>
      </c>
      <c r="P704" s="186">
        <v>44896.61519675926</v>
      </c>
      <c r="R704" s="1">
        <v>3</v>
      </c>
      <c r="T704" s="1" t="s">
        <v>646</v>
      </c>
      <c r="U704" s="186">
        <v>44897.61519675926</v>
      </c>
      <c r="V704" s="1" t="s">
        <v>41</v>
      </c>
      <c r="W704" s="1" t="s">
        <v>49</v>
      </c>
      <c r="X704" s="13" t="str">
        <f t="shared" si="77"/>
        <v/>
      </c>
      <c r="Y704" s="2">
        <f t="shared" ca="1" si="78"/>
        <v>65</v>
      </c>
      <c r="Z704" s="14"/>
      <c r="AC704" s="2"/>
      <c r="AE704" s="20"/>
    </row>
    <row r="705" spans="1:31" hidden="1">
      <c r="A705" s="1">
        <v>9129743</v>
      </c>
      <c r="B705" s="1" t="s">
        <v>101</v>
      </c>
      <c r="C705" t="s">
        <v>643</v>
      </c>
      <c r="D705" s="2">
        <v>220193731</v>
      </c>
      <c r="E705" s="2">
        <v>2855001400010</v>
      </c>
      <c r="F705" s="1" t="s">
        <v>936</v>
      </c>
      <c r="G705" s="1" t="s">
        <v>53</v>
      </c>
      <c r="H705" s="1" t="s">
        <v>249</v>
      </c>
      <c r="I705" s="1" t="s">
        <v>250</v>
      </c>
      <c r="J705" s="1" t="s">
        <v>56</v>
      </c>
      <c r="K705" t="s">
        <v>937</v>
      </c>
      <c r="M705" s="1" t="s">
        <v>58</v>
      </c>
      <c r="N705" s="1">
        <v>0</v>
      </c>
      <c r="O705" s="1" t="s">
        <v>105</v>
      </c>
      <c r="P705" s="186">
        <v>44896.61341435185</v>
      </c>
      <c r="R705" s="1">
        <v>3</v>
      </c>
      <c r="T705" s="1" t="s">
        <v>646</v>
      </c>
      <c r="U705" s="186">
        <v>44897.61341435185</v>
      </c>
      <c r="V705" s="1" t="s">
        <v>41</v>
      </c>
      <c r="W705" s="1" t="s">
        <v>49</v>
      </c>
      <c r="X705" s="13" t="str">
        <f t="shared" si="77"/>
        <v/>
      </c>
      <c r="Y705" s="2">
        <f t="shared" ca="1" si="78"/>
        <v>65</v>
      </c>
      <c r="Z705" s="14"/>
      <c r="AC705" s="2"/>
      <c r="AE705" s="20"/>
    </row>
    <row r="706" spans="1:31" hidden="1">
      <c r="A706" s="1">
        <v>9129736</v>
      </c>
      <c r="B706" s="1" t="s">
        <v>101</v>
      </c>
      <c r="C706" t="s">
        <v>643</v>
      </c>
      <c r="D706" s="2">
        <v>220193724</v>
      </c>
      <c r="E706" s="2">
        <v>2830001400010</v>
      </c>
      <c r="F706" s="1" t="s">
        <v>936</v>
      </c>
      <c r="G706" s="1" t="s">
        <v>53</v>
      </c>
      <c r="H706" s="1" t="s">
        <v>448</v>
      </c>
      <c r="I706" s="1" t="s">
        <v>449</v>
      </c>
      <c r="J706" s="1" t="s">
        <v>33</v>
      </c>
      <c r="K706" t="s">
        <v>937</v>
      </c>
      <c r="M706" s="1" t="s">
        <v>58</v>
      </c>
      <c r="N706" s="1">
        <v>0</v>
      </c>
      <c r="O706" s="1" t="s">
        <v>105</v>
      </c>
      <c r="P706" s="186">
        <v>44896.613055555557</v>
      </c>
      <c r="R706" s="1">
        <v>3</v>
      </c>
      <c r="T706" s="1" t="s">
        <v>646</v>
      </c>
      <c r="U706" s="186">
        <v>44897.613055555557</v>
      </c>
      <c r="V706" s="1" t="s">
        <v>41</v>
      </c>
      <c r="W706" s="1" t="s">
        <v>42</v>
      </c>
      <c r="X706" s="13" t="str">
        <f t="shared" si="77"/>
        <v/>
      </c>
      <c r="Y706" s="2">
        <f t="shared" ca="1" si="78"/>
        <v>65</v>
      </c>
      <c r="Z706" s="14"/>
      <c r="AC706" s="20"/>
      <c r="AE706" s="20"/>
    </row>
    <row r="707" spans="1:31" hidden="1">
      <c r="A707" s="1">
        <v>9129707</v>
      </c>
      <c r="B707" s="1" t="s">
        <v>101</v>
      </c>
      <c r="C707" t="s">
        <v>643</v>
      </c>
      <c r="D707" s="2">
        <v>220193132</v>
      </c>
      <c r="E707" s="2">
        <v>981001400010</v>
      </c>
      <c r="F707" s="1" t="s">
        <v>936</v>
      </c>
      <c r="G707" s="1" t="s">
        <v>53</v>
      </c>
      <c r="H707" s="1" t="s">
        <v>410</v>
      </c>
      <c r="I707" s="1" t="s">
        <v>411</v>
      </c>
      <c r="J707" s="1" t="s">
        <v>85</v>
      </c>
      <c r="K707" t="s">
        <v>937</v>
      </c>
      <c r="M707" s="1" t="s">
        <v>58</v>
      </c>
      <c r="N707" s="1">
        <v>0</v>
      </c>
      <c r="O707" s="1" t="s">
        <v>105</v>
      </c>
      <c r="P707" s="186">
        <v>44896.611238425925</v>
      </c>
      <c r="R707" s="1">
        <v>3</v>
      </c>
      <c r="T707" s="1" t="s">
        <v>646</v>
      </c>
      <c r="U707" s="186">
        <v>44897.611238425925</v>
      </c>
      <c r="V707" s="1" t="s">
        <v>41</v>
      </c>
      <c r="W707" s="1" t="s">
        <v>49</v>
      </c>
      <c r="X707" s="13" t="str">
        <f t="shared" si="77"/>
        <v/>
      </c>
      <c r="Y707" s="2">
        <f t="shared" ca="1" si="78"/>
        <v>65</v>
      </c>
      <c r="Z707" s="14"/>
      <c r="AC707" s="20"/>
      <c r="AE707" s="20"/>
    </row>
    <row r="708" spans="1:31" hidden="1">
      <c r="A708" s="1">
        <v>9129576</v>
      </c>
      <c r="B708" s="1" t="s">
        <v>101</v>
      </c>
      <c r="C708" t="s">
        <v>643</v>
      </c>
      <c r="D708" s="2">
        <v>220198413</v>
      </c>
      <c r="E708" s="2">
        <v>1943001400040</v>
      </c>
      <c r="F708" s="1" t="s">
        <v>644</v>
      </c>
      <c r="G708" s="1" t="s">
        <v>53</v>
      </c>
      <c r="H708" s="1" t="s">
        <v>264</v>
      </c>
      <c r="I708" s="1" t="s">
        <v>265</v>
      </c>
      <c r="J708" s="1" t="s">
        <v>56</v>
      </c>
      <c r="K708" t="s">
        <v>645</v>
      </c>
      <c r="M708" s="1" t="s">
        <v>58</v>
      </c>
      <c r="N708" s="1">
        <v>0</v>
      </c>
      <c r="O708" s="1" t="s">
        <v>105</v>
      </c>
      <c r="P708" s="186">
        <v>44896.605173611111</v>
      </c>
      <c r="R708" s="1">
        <v>2</v>
      </c>
      <c r="T708" s="1" t="s">
        <v>646</v>
      </c>
      <c r="U708" s="186">
        <v>44897.605185185188</v>
      </c>
      <c r="V708" s="1" t="s">
        <v>41</v>
      </c>
      <c r="W708" s="1" t="s">
        <v>49</v>
      </c>
      <c r="X708" s="13" t="str">
        <f t="shared" si="77"/>
        <v/>
      </c>
      <c r="Y708" s="2">
        <f t="shared" ca="1" si="78"/>
        <v>65</v>
      </c>
      <c r="Z708" s="14"/>
      <c r="AC708" s="20"/>
      <c r="AE708" s="20"/>
    </row>
    <row r="709" spans="1:31" hidden="1">
      <c r="A709" s="1">
        <v>9129532</v>
      </c>
      <c r="B709" s="1" t="s">
        <v>101</v>
      </c>
      <c r="C709" t="s">
        <v>643</v>
      </c>
      <c r="D709" s="2">
        <v>220198370</v>
      </c>
      <c r="E709" s="2">
        <v>5898001400040</v>
      </c>
      <c r="F709" s="1" t="s">
        <v>644</v>
      </c>
      <c r="G709" s="1" t="s">
        <v>53</v>
      </c>
      <c r="H709" s="1" t="s">
        <v>365</v>
      </c>
      <c r="I709" s="1" t="s">
        <v>366</v>
      </c>
      <c r="J709" s="1" t="s">
        <v>164</v>
      </c>
      <c r="K709" t="s">
        <v>645</v>
      </c>
      <c r="M709" s="1" t="s">
        <v>58</v>
      </c>
      <c r="N709" s="1">
        <v>0</v>
      </c>
      <c r="O709" s="1" t="s">
        <v>105</v>
      </c>
      <c r="P709" s="186">
        <v>44896.602442129632</v>
      </c>
      <c r="R709" s="1">
        <v>2</v>
      </c>
      <c r="T709" s="1" t="s">
        <v>646</v>
      </c>
      <c r="U709" s="186">
        <v>44897.602453703701</v>
      </c>
      <c r="V709" s="1" t="s">
        <v>41</v>
      </c>
      <c r="W709" s="1" t="s">
        <v>49</v>
      </c>
      <c r="X709" s="13" t="str">
        <f t="shared" si="77"/>
        <v/>
      </c>
      <c r="Y709" s="2">
        <f t="shared" ca="1" si="78"/>
        <v>65</v>
      </c>
      <c r="Z709" s="14"/>
      <c r="AC709" s="20"/>
      <c r="AE709" s="20"/>
    </row>
    <row r="710" spans="1:31" hidden="1">
      <c r="A710" s="1">
        <v>9129469</v>
      </c>
      <c r="B710" s="1" t="s">
        <v>101</v>
      </c>
      <c r="C710" t="s">
        <v>643</v>
      </c>
      <c r="D710" s="2">
        <v>220198152</v>
      </c>
      <c r="E710" s="2">
        <v>4637001400040</v>
      </c>
      <c r="F710" s="1" t="s">
        <v>644</v>
      </c>
      <c r="G710" s="1" t="s">
        <v>53</v>
      </c>
      <c r="H710" s="1" t="s">
        <v>848</v>
      </c>
      <c r="I710" s="1" t="s">
        <v>849</v>
      </c>
      <c r="J710" s="1" t="s">
        <v>79</v>
      </c>
      <c r="K710" t="s">
        <v>645</v>
      </c>
      <c r="M710" s="1" t="s">
        <v>58</v>
      </c>
      <c r="N710" s="1">
        <v>0</v>
      </c>
      <c r="O710" s="1" t="s">
        <v>105</v>
      </c>
      <c r="P710" s="186">
        <v>44896.599282407406</v>
      </c>
      <c r="R710" s="1">
        <v>3</v>
      </c>
      <c r="T710" s="1" t="s">
        <v>646</v>
      </c>
      <c r="U710" s="186">
        <v>44897.599282407406</v>
      </c>
      <c r="V710" s="1" t="s">
        <v>41</v>
      </c>
      <c r="W710" s="1" t="s">
        <v>49</v>
      </c>
      <c r="X710" s="13" t="str">
        <f t="shared" si="77"/>
        <v/>
      </c>
      <c r="Y710" s="2">
        <f t="shared" ca="1" si="78"/>
        <v>65</v>
      </c>
      <c r="Z710" s="14"/>
      <c r="AC710" s="20"/>
      <c r="AE710" s="20"/>
    </row>
    <row r="711" spans="1:31" hidden="1">
      <c r="A711" s="1">
        <v>9129466</v>
      </c>
      <c r="B711" s="1" t="s">
        <v>101</v>
      </c>
      <c r="C711" t="s">
        <v>643</v>
      </c>
      <c r="D711" s="2">
        <v>220198149</v>
      </c>
      <c r="E711" s="2">
        <v>4623001400040</v>
      </c>
      <c r="F711" s="1" t="s">
        <v>644</v>
      </c>
      <c r="G711" s="1" t="s">
        <v>53</v>
      </c>
      <c r="H711" s="1" t="s">
        <v>669</v>
      </c>
      <c r="I711" s="1" t="s">
        <v>670</v>
      </c>
      <c r="J711" s="1" t="s">
        <v>33</v>
      </c>
      <c r="K711" t="s">
        <v>645</v>
      </c>
      <c r="M711" s="1" t="s">
        <v>58</v>
      </c>
      <c r="N711" s="1">
        <v>0</v>
      </c>
      <c r="O711" s="1" t="s">
        <v>105</v>
      </c>
      <c r="P711" s="186">
        <v>44896.599108796298</v>
      </c>
      <c r="R711" s="1">
        <v>2</v>
      </c>
      <c r="T711" s="1" t="s">
        <v>646</v>
      </c>
      <c r="U711" s="186">
        <v>44897.599120370367</v>
      </c>
      <c r="V711" s="1" t="s">
        <v>41</v>
      </c>
      <c r="W711" s="1" t="s">
        <v>42</v>
      </c>
      <c r="X711" s="13" t="str">
        <f t="shared" si="77"/>
        <v/>
      </c>
      <c r="Y711" s="2">
        <f t="shared" ca="1" si="78"/>
        <v>65</v>
      </c>
      <c r="Z711" s="14"/>
      <c r="AC711" s="20"/>
      <c r="AE711" s="20"/>
    </row>
    <row r="712" spans="1:31" hidden="1">
      <c r="A712" s="1">
        <v>9129293</v>
      </c>
      <c r="B712" s="1" t="s">
        <v>101</v>
      </c>
      <c r="C712" t="s">
        <v>643</v>
      </c>
      <c r="D712" s="2">
        <v>220197353</v>
      </c>
      <c r="E712" s="2">
        <v>1509001400040</v>
      </c>
      <c r="F712" s="1" t="s">
        <v>644</v>
      </c>
      <c r="G712" s="1" t="s">
        <v>53</v>
      </c>
      <c r="H712" s="1" t="s">
        <v>731</v>
      </c>
      <c r="I712" s="1" t="s">
        <v>732</v>
      </c>
      <c r="J712" s="1" t="s">
        <v>46</v>
      </c>
      <c r="K712" t="s">
        <v>645</v>
      </c>
      <c r="M712" s="1" t="s">
        <v>58</v>
      </c>
      <c r="N712" s="1">
        <v>0</v>
      </c>
      <c r="O712" s="1" t="s">
        <v>105</v>
      </c>
      <c r="P712" s="186">
        <v>44896.590925925928</v>
      </c>
      <c r="R712" s="1">
        <v>3</v>
      </c>
      <c r="T712" s="1" t="s">
        <v>646</v>
      </c>
      <c r="U712" s="186">
        <v>44897.590925925928</v>
      </c>
      <c r="V712" s="1" t="s">
        <v>41</v>
      </c>
      <c r="W712" s="1" t="s">
        <v>49</v>
      </c>
      <c r="X712" s="13" t="str">
        <f t="shared" si="77"/>
        <v/>
      </c>
      <c r="Y712" s="2">
        <f t="shared" ca="1" si="78"/>
        <v>65</v>
      </c>
      <c r="Z712" s="14"/>
      <c r="AC712" s="20"/>
      <c r="AE712" s="20"/>
    </row>
    <row r="713" spans="1:31" hidden="1">
      <c r="A713" s="1">
        <v>9129253</v>
      </c>
      <c r="B713" s="1" t="s">
        <v>101</v>
      </c>
      <c r="C713" t="s">
        <v>643</v>
      </c>
      <c r="D713" s="2">
        <v>220197205</v>
      </c>
      <c r="E713" s="2">
        <v>1162001400040</v>
      </c>
      <c r="F713" s="1" t="s">
        <v>644</v>
      </c>
      <c r="G713" s="1" t="s">
        <v>53</v>
      </c>
      <c r="H713" s="1" t="s">
        <v>280</v>
      </c>
      <c r="I713" s="1" t="s">
        <v>281</v>
      </c>
      <c r="J713" s="1" t="s">
        <v>211</v>
      </c>
      <c r="K713" t="s">
        <v>645</v>
      </c>
      <c r="M713" s="1" t="s">
        <v>58</v>
      </c>
      <c r="N713" s="1">
        <v>0</v>
      </c>
      <c r="O713" s="1" t="s">
        <v>105</v>
      </c>
      <c r="P713" s="186">
        <v>44896.588958333334</v>
      </c>
      <c r="R713" s="1">
        <v>3</v>
      </c>
      <c r="T713" s="1" t="s">
        <v>646</v>
      </c>
      <c r="U713" s="186">
        <v>44897.588958333334</v>
      </c>
      <c r="V713" s="1" t="s">
        <v>41</v>
      </c>
      <c r="W713" s="1" t="s">
        <v>49</v>
      </c>
      <c r="X713" s="13" t="str">
        <f t="shared" si="77"/>
        <v/>
      </c>
      <c r="Y713" s="2">
        <f t="shared" ca="1" si="78"/>
        <v>65</v>
      </c>
      <c r="Z713" s="14"/>
      <c r="AC713" s="20"/>
      <c r="AE713" s="20"/>
    </row>
    <row r="714" spans="1:31" hidden="1">
      <c r="A714" s="1">
        <v>9129235</v>
      </c>
      <c r="B714" s="1" t="s">
        <v>101</v>
      </c>
      <c r="C714" t="s">
        <v>643</v>
      </c>
      <c r="D714" s="2">
        <v>220197191</v>
      </c>
      <c r="E714" s="2">
        <v>1138001400040</v>
      </c>
      <c r="F714" s="1" t="s">
        <v>644</v>
      </c>
      <c r="G714" s="1" t="s">
        <v>53</v>
      </c>
      <c r="H714" s="1" t="s">
        <v>548</v>
      </c>
      <c r="I714" s="1" t="s">
        <v>549</v>
      </c>
      <c r="J714" s="1" t="s">
        <v>46</v>
      </c>
      <c r="K714" t="s">
        <v>645</v>
      </c>
      <c r="M714" s="1" t="s">
        <v>58</v>
      </c>
      <c r="N714" s="1">
        <v>0</v>
      </c>
      <c r="O714" s="1" t="s">
        <v>105</v>
      </c>
      <c r="P714" s="186">
        <v>44896.588101851848</v>
      </c>
      <c r="R714" s="1">
        <v>2</v>
      </c>
      <c r="T714" s="1" t="s">
        <v>646</v>
      </c>
      <c r="U714" s="186">
        <v>44897.588113425925</v>
      </c>
      <c r="V714" s="1" t="s">
        <v>41</v>
      </c>
      <c r="W714" s="1" t="s">
        <v>49</v>
      </c>
      <c r="X714" s="13" t="str">
        <f t="shared" si="77"/>
        <v/>
      </c>
      <c r="Y714" s="2">
        <f t="shared" ca="1" si="78"/>
        <v>65</v>
      </c>
      <c r="Z714" s="14"/>
      <c r="AA714" s="14"/>
      <c r="AC714" s="1"/>
      <c r="AE714" s="1"/>
    </row>
    <row r="715" spans="1:31" hidden="1">
      <c r="A715" s="1">
        <v>9129192</v>
      </c>
      <c r="B715" s="1" t="s">
        <v>101</v>
      </c>
      <c r="C715" t="s">
        <v>643</v>
      </c>
      <c r="D715" s="2">
        <v>220197715</v>
      </c>
      <c r="E715" s="2">
        <v>2830001400040</v>
      </c>
      <c r="F715" s="1" t="s">
        <v>644</v>
      </c>
      <c r="G715" s="1" t="s">
        <v>53</v>
      </c>
      <c r="H715" s="1" t="s">
        <v>448</v>
      </c>
      <c r="I715" s="1" t="s">
        <v>449</v>
      </c>
      <c r="J715" s="1" t="s">
        <v>33</v>
      </c>
      <c r="K715" t="s">
        <v>645</v>
      </c>
      <c r="M715" s="1" t="s">
        <v>58</v>
      </c>
      <c r="N715" s="1">
        <v>0</v>
      </c>
      <c r="O715" s="1" t="s">
        <v>105</v>
      </c>
      <c r="P715" s="186">
        <v>44896.585763888892</v>
      </c>
      <c r="R715" s="1">
        <v>2</v>
      </c>
      <c r="T715" s="1" t="s">
        <v>646</v>
      </c>
      <c r="U715" s="186">
        <v>44897.585775462961</v>
      </c>
      <c r="V715" s="1" t="s">
        <v>41</v>
      </c>
      <c r="W715" s="1" t="s">
        <v>42</v>
      </c>
      <c r="X715" s="13" t="str">
        <f t="shared" si="77"/>
        <v/>
      </c>
      <c r="Y715" s="2">
        <f t="shared" ca="1" si="78"/>
        <v>65</v>
      </c>
      <c r="Z715" s="14"/>
      <c r="AA715" s="14"/>
      <c r="AC715" s="1"/>
      <c r="AE715" s="1"/>
    </row>
    <row r="716" spans="1:31" hidden="1">
      <c r="A716" s="1">
        <v>9129186</v>
      </c>
      <c r="B716" s="1" t="s">
        <v>101</v>
      </c>
      <c r="C716" t="s">
        <v>643</v>
      </c>
      <c r="D716" s="2">
        <v>220197710</v>
      </c>
      <c r="E716" s="2">
        <v>2802001400040</v>
      </c>
      <c r="F716" s="1" t="s">
        <v>644</v>
      </c>
      <c r="G716" s="1" t="s">
        <v>53</v>
      </c>
      <c r="H716" s="1" t="s">
        <v>388</v>
      </c>
      <c r="I716" s="1" t="s">
        <v>389</v>
      </c>
      <c r="J716" s="1" t="s">
        <v>46</v>
      </c>
      <c r="K716" t="s">
        <v>645</v>
      </c>
      <c r="M716" s="1" t="s">
        <v>58</v>
      </c>
      <c r="N716" s="1">
        <v>0</v>
      </c>
      <c r="O716" s="1" t="s">
        <v>105</v>
      </c>
      <c r="P716" s="186">
        <v>44896.585370370369</v>
      </c>
      <c r="R716" s="1">
        <v>3</v>
      </c>
      <c r="T716" s="1" t="s">
        <v>646</v>
      </c>
      <c r="U716" s="186">
        <v>44897.585370370369</v>
      </c>
      <c r="V716" s="1" t="s">
        <v>41</v>
      </c>
      <c r="W716" s="1" t="s">
        <v>49</v>
      </c>
      <c r="X716" s="13" t="str">
        <f t="shared" si="77"/>
        <v/>
      </c>
      <c r="Y716" s="2">
        <f t="shared" ca="1" si="78"/>
        <v>65</v>
      </c>
      <c r="Z716" s="14"/>
      <c r="AA716" s="14"/>
      <c r="AC716" s="1"/>
      <c r="AE716" s="1"/>
    </row>
    <row r="717" spans="1:31" hidden="1">
      <c r="A717" s="1">
        <v>9129147</v>
      </c>
      <c r="B717" s="1" t="s">
        <v>101</v>
      </c>
      <c r="C717" t="s">
        <v>643</v>
      </c>
      <c r="D717" s="2">
        <v>220197682</v>
      </c>
      <c r="E717" s="2">
        <v>2693001400040</v>
      </c>
      <c r="F717" s="1" t="s">
        <v>644</v>
      </c>
      <c r="G717" s="1" t="s">
        <v>53</v>
      </c>
      <c r="H717" s="1" t="s">
        <v>253</v>
      </c>
      <c r="I717" s="1" t="s">
        <v>254</v>
      </c>
      <c r="J717" s="1" t="s">
        <v>56</v>
      </c>
      <c r="K717" t="s">
        <v>645</v>
      </c>
      <c r="M717" s="1" t="s">
        <v>58</v>
      </c>
      <c r="N717" s="1">
        <v>0</v>
      </c>
      <c r="O717" s="1" t="s">
        <v>105</v>
      </c>
      <c r="P717" s="186">
        <v>44896.583495370367</v>
      </c>
      <c r="R717" s="1">
        <v>2</v>
      </c>
      <c r="T717" s="1" t="s">
        <v>646</v>
      </c>
      <c r="U717" s="186">
        <v>44897.583506944444</v>
      </c>
      <c r="V717" s="1" t="s">
        <v>41</v>
      </c>
      <c r="W717" s="1" t="s">
        <v>49</v>
      </c>
      <c r="X717" s="13" t="str">
        <f t="shared" si="77"/>
        <v/>
      </c>
      <c r="Y717" s="2">
        <f t="shared" ca="1" si="78"/>
        <v>65</v>
      </c>
      <c r="Z717" s="14"/>
      <c r="AA717" s="14"/>
      <c r="AC717" s="1"/>
      <c r="AE717" s="1"/>
    </row>
    <row r="718" spans="1:31" hidden="1">
      <c r="A718" s="1">
        <v>9129072</v>
      </c>
      <c r="B718" s="1" t="s">
        <v>101</v>
      </c>
      <c r="C718" t="s">
        <v>643</v>
      </c>
      <c r="D718" s="2">
        <v>220197722</v>
      </c>
      <c r="E718" s="2">
        <v>2855001400040</v>
      </c>
      <c r="F718" s="1" t="s">
        <v>644</v>
      </c>
      <c r="G718" s="1" t="s">
        <v>53</v>
      </c>
      <c r="H718" s="1" t="s">
        <v>249</v>
      </c>
      <c r="I718" s="1" t="s">
        <v>250</v>
      </c>
      <c r="J718" s="1" t="s">
        <v>56</v>
      </c>
      <c r="K718" t="s">
        <v>645</v>
      </c>
      <c r="M718" s="1" t="s">
        <v>58</v>
      </c>
      <c r="N718" s="1">
        <v>0</v>
      </c>
      <c r="O718" s="1" t="s">
        <v>105</v>
      </c>
      <c r="P718" s="186">
        <v>44896.580439814818</v>
      </c>
      <c r="R718" s="1">
        <v>2</v>
      </c>
      <c r="T718" s="1" t="s">
        <v>646</v>
      </c>
      <c r="U718" s="186">
        <v>44897.580451388887</v>
      </c>
      <c r="V718" s="1" t="s">
        <v>41</v>
      </c>
      <c r="W718" s="1" t="s">
        <v>49</v>
      </c>
      <c r="X718" s="13" t="str">
        <f t="shared" si="77"/>
        <v/>
      </c>
      <c r="Y718" s="2">
        <f t="shared" ca="1" si="78"/>
        <v>65</v>
      </c>
      <c r="Z718" s="14"/>
      <c r="AA718" s="14"/>
      <c r="AC718" s="1"/>
      <c r="AE718" s="1"/>
    </row>
    <row r="719" spans="1:31" hidden="1">
      <c r="A719" s="1">
        <v>9129043</v>
      </c>
      <c r="B719" s="1" t="s">
        <v>101</v>
      </c>
      <c r="C719" t="s">
        <v>643</v>
      </c>
      <c r="D719" s="2">
        <v>220196970</v>
      </c>
      <c r="E719" s="2">
        <v>710001400040</v>
      </c>
      <c r="F719" s="1" t="s">
        <v>644</v>
      </c>
      <c r="G719" s="1" t="s">
        <v>53</v>
      </c>
      <c r="H719" s="1" t="s">
        <v>390</v>
      </c>
      <c r="I719" s="1" t="s">
        <v>391</v>
      </c>
      <c r="J719" s="1" t="s">
        <v>56</v>
      </c>
      <c r="K719" t="s">
        <v>645</v>
      </c>
      <c r="M719" s="1" t="s">
        <v>58</v>
      </c>
      <c r="N719" s="1">
        <v>0</v>
      </c>
      <c r="O719" s="1" t="s">
        <v>105</v>
      </c>
      <c r="P719" s="186">
        <v>44896.579571759263</v>
      </c>
      <c r="R719" s="1">
        <v>2</v>
      </c>
      <c r="T719" s="1" t="s">
        <v>646</v>
      </c>
      <c r="U719" s="186">
        <v>44897.579583333332</v>
      </c>
      <c r="V719" s="1" t="s">
        <v>41</v>
      </c>
      <c r="W719" s="1" t="s">
        <v>49</v>
      </c>
      <c r="X719" s="13" t="str">
        <f t="shared" si="77"/>
        <v/>
      </c>
      <c r="Y719" s="2">
        <f t="shared" ca="1" si="78"/>
        <v>65</v>
      </c>
      <c r="Z719" s="14"/>
      <c r="AA719" s="14"/>
      <c r="AC719" s="1"/>
      <c r="AE719" s="1"/>
    </row>
    <row r="720" spans="1:31" hidden="1">
      <c r="A720" s="1">
        <v>9128854</v>
      </c>
      <c r="B720" s="1" t="s">
        <v>101</v>
      </c>
      <c r="C720" t="s">
        <v>643</v>
      </c>
      <c r="D720" s="2">
        <v>220196470</v>
      </c>
      <c r="E720" s="2">
        <v>8259001400030</v>
      </c>
      <c r="F720" s="1" t="s">
        <v>647</v>
      </c>
      <c r="G720" s="1" t="s">
        <v>53</v>
      </c>
      <c r="H720" s="1" t="s">
        <v>245</v>
      </c>
      <c r="I720" s="1" t="s">
        <v>246</v>
      </c>
      <c r="J720" s="1" t="s">
        <v>56</v>
      </c>
      <c r="K720" t="s">
        <v>650</v>
      </c>
      <c r="M720" s="1" t="s">
        <v>58</v>
      </c>
      <c r="N720" s="1">
        <v>0</v>
      </c>
      <c r="O720" s="1" t="s">
        <v>105</v>
      </c>
      <c r="P720" s="186">
        <v>44896.569606481484</v>
      </c>
      <c r="R720" s="1">
        <v>4</v>
      </c>
      <c r="T720" s="1" t="s">
        <v>646</v>
      </c>
      <c r="U720" s="186">
        <v>44897.569606481484</v>
      </c>
      <c r="V720" s="1" t="s">
        <v>41</v>
      </c>
      <c r="W720" s="1" t="s">
        <v>49</v>
      </c>
      <c r="X720" s="13" t="str">
        <f t="shared" si="77"/>
        <v/>
      </c>
      <c r="Y720" s="2">
        <f t="shared" ca="1" si="78"/>
        <v>65</v>
      </c>
      <c r="Z720" s="14"/>
      <c r="AA720" s="14"/>
      <c r="AC720" s="1"/>
      <c r="AE720" s="1"/>
    </row>
    <row r="721" spans="1:31" hidden="1">
      <c r="A721" s="1">
        <v>9128754</v>
      </c>
      <c r="B721" s="1" t="s">
        <v>101</v>
      </c>
      <c r="C721" t="s">
        <v>643</v>
      </c>
      <c r="D721" s="2">
        <v>220196094</v>
      </c>
      <c r="E721" s="2">
        <v>4623001400030</v>
      </c>
      <c r="F721" s="1" t="s">
        <v>647</v>
      </c>
      <c r="G721" s="1" t="s">
        <v>53</v>
      </c>
      <c r="H721" s="1" t="s">
        <v>669</v>
      </c>
      <c r="I721" s="1" t="s">
        <v>670</v>
      </c>
      <c r="J721" s="1" t="s">
        <v>33</v>
      </c>
      <c r="K721" t="s">
        <v>650</v>
      </c>
      <c r="M721" s="1" t="s">
        <v>58</v>
      </c>
      <c r="N721" s="1">
        <v>0</v>
      </c>
      <c r="O721" s="1" t="s">
        <v>105</v>
      </c>
      <c r="P721" s="186">
        <v>44896.566134259258</v>
      </c>
      <c r="R721" s="1">
        <v>4</v>
      </c>
      <c r="T721" s="1" t="s">
        <v>646</v>
      </c>
      <c r="U721" s="186">
        <v>44897.566145833334</v>
      </c>
      <c r="V721" s="1" t="s">
        <v>41</v>
      </c>
      <c r="W721" s="1" t="s">
        <v>42</v>
      </c>
      <c r="X721" s="13" t="str">
        <f t="shared" si="77"/>
        <v/>
      </c>
      <c r="Y721" s="2">
        <f t="shared" ca="1" si="78"/>
        <v>65</v>
      </c>
      <c r="Z721" s="14"/>
      <c r="AA721" s="14"/>
      <c r="AC721" s="1"/>
      <c r="AE721" s="1"/>
    </row>
    <row r="722" spans="1:31" hidden="1">
      <c r="A722" s="1">
        <v>9128723</v>
      </c>
      <c r="B722" s="1" t="s">
        <v>101</v>
      </c>
      <c r="C722" t="s">
        <v>643</v>
      </c>
      <c r="D722" s="2">
        <v>220196098</v>
      </c>
      <c r="E722" s="2">
        <v>4637001400030</v>
      </c>
      <c r="F722" s="1" t="s">
        <v>647</v>
      </c>
      <c r="G722" s="1" t="s">
        <v>53</v>
      </c>
      <c r="H722" s="1" t="s">
        <v>848</v>
      </c>
      <c r="I722" s="1" t="s">
        <v>849</v>
      </c>
      <c r="J722" s="1" t="s">
        <v>79</v>
      </c>
      <c r="K722" t="s">
        <v>650</v>
      </c>
      <c r="M722" s="1" t="s">
        <v>58</v>
      </c>
      <c r="N722" s="1">
        <v>0</v>
      </c>
      <c r="O722" s="1" t="s">
        <v>105</v>
      </c>
      <c r="P722" s="186">
        <v>44896.564293981479</v>
      </c>
      <c r="R722" s="1">
        <v>4</v>
      </c>
      <c r="T722" s="1" t="s">
        <v>646</v>
      </c>
      <c r="U722" s="186">
        <v>44897.564305555556</v>
      </c>
      <c r="V722" s="1" t="s">
        <v>41</v>
      </c>
      <c r="W722" s="1" t="s">
        <v>49</v>
      </c>
      <c r="X722" s="13" t="str">
        <f t="shared" si="77"/>
        <v/>
      </c>
      <c r="Y722" s="2">
        <f t="shared" ca="1" si="78"/>
        <v>65</v>
      </c>
      <c r="Z722" s="14"/>
      <c r="AA722" s="14"/>
      <c r="AC722" s="1"/>
      <c r="AE722" s="1"/>
    </row>
    <row r="723" spans="1:31" hidden="1">
      <c r="A723" s="1">
        <v>9128704</v>
      </c>
      <c r="B723" s="1" t="s">
        <v>101</v>
      </c>
      <c r="C723" t="s">
        <v>643</v>
      </c>
      <c r="D723" s="2">
        <v>220195914</v>
      </c>
      <c r="E723" s="2">
        <v>4012001400030</v>
      </c>
      <c r="F723" s="1" t="s">
        <v>647</v>
      </c>
      <c r="G723" s="1" t="s">
        <v>53</v>
      </c>
      <c r="H723" s="1" t="s">
        <v>349</v>
      </c>
      <c r="I723" s="1" t="s">
        <v>350</v>
      </c>
      <c r="J723" s="1" t="s">
        <v>261</v>
      </c>
      <c r="K723" t="s">
        <v>650</v>
      </c>
      <c r="M723" s="1" t="s">
        <v>58</v>
      </c>
      <c r="N723" s="1">
        <v>0</v>
      </c>
      <c r="O723" s="1" t="s">
        <v>105</v>
      </c>
      <c r="P723" s="186">
        <v>44896.563391203701</v>
      </c>
      <c r="R723" s="1">
        <v>4</v>
      </c>
      <c r="T723" s="1" t="s">
        <v>646</v>
      </c>
      <c r="U723" s="186">
        <v>44897.563391203701</v>
      </c>
      <c r="V723" s="1" t="s">
        <v>41</v>
      </c>
      <c r="W723" s="1" t="s">
        <v>49</v>
      </c>
      <c r="X723" s="13" t="str">
        <f t="shared" si="77"/>
        <v/>
      </c>
      <c r="Y723" s="2">
        <f t="shared" ca="1" si="78"/>
        <v>65</v>
      </c>
      <c r="Z723" s="14"/>
      <c r="AA723" s="14"/>
      <c r="AC723" s="21"/>
      <c r="AE723" s="21"/>
    </row>
    <row r="724" spans="1:31" hidden="1">
      <c r="A724" s="1">
        <v>9128584</v>
      </c>
      <c r="B724" s="1" t="s">
        <v>101</v>
      </c>
      <c r="C724" t="s">
        <v>643</v>
      </c>
      <c r="D724" s="2">
        <v>220195562</v>
      </c>
      <c r="E724" s="2">
        <v>2529001400030</v>
      </c>
      <c r="F724" s="1" t="s">
        <v>647</v>
      </c>
      <c r="G724" s="1" t="s">
        <v>53</v>
      </c>
      <c r="H724" s="1" t="s">
        <v>355</v>
      </c>
      <c r="I724" s="1" t="s">
        <v>356</v>
      </c>
      <c r="J724" s="1" t="s">
        <v>56</v>
      </c>
      <c r="K724" t="s">
        <v>650</v>
      </c>
      <c r="M724" s="1" t="s">
        <v>58</v>
      </c>
      <c r="N724" s="1">
        <v>0</v>
      </c>
      <c r="O724" s="1" t="s">
        <v>105</v>
      </c>
      <c r="P724" s="186">
        <v>44896.558148148149</v>
      </c>
      <c r="R724" s="1">
        <v>4</v>
      </c>
      <c r="T724" s="1" t="s">
        <v>646</v>
      </c>
      <c r="U724" s="186">
        <v>44897.558148148149</v>
      </c>
      <c r="V724" s="1" t="s">
        <v>41</v>
      </c>
      <c r="W724" s="1" t="s">
        <v>49</v>
      </c>
      <c r="X724" s="13" t="str">
        <f t="shared" si="77"/>
        <v/>
      </c>
      <c r="Y724" s="2">
        <f t="shared" ca="1" si="78"/>
        <v>65</v>
      </c>
      <c r="Z724" s="14"/>
      <c r="AA724" s="14"/>
      <c r="AC724" s="21"/>
      <c r="AE724" s="21"/>
    </row>
    <row r="725" spans="1:31" hidden="1">
      <c r="A725" s="1">
        <v>9128556</v>
      </c>
      <c r="B725" s="1" t="s">
        <v>101</v>
      </c>
      <c r="C725" t="s">
        <v>643</v>
      </c>
      <c r="D725" s="2">
        <v>220195542</v>
      </c>
      <c r="E725" s="2">
        <v>2473001400030</v>
      </c>
      <c r="F725" s="1" t="s">
        <v>647</v>
      </c>
      <c r="G725" s="1" t="s">
        <v>53</v>
      </c>
      <c r="H725" s="1" t="s">
        <v>1459</v>
      </c>
      <c r="I725" s="1" t="s">
        <v>1460</v>
      </c>
      <c r="J725" s="1" t="s">
        <v>261</v>
      </c>
      <c r="K725" t="s">
        <v>650</v>
      </c>
      <c r="M725" s="1" t="s">
        <v>58</v>
      </c>
      <c r="N725" s="1">
        <v>0</v>
      </c>
      <c r="O725" s="1" t="s">
        <v>105</v>
      </c>
      <c r="P725" s="186">
        <v>44896.556932870371</v>
      </c>
      <c r="R725" s="1">
        <v>4</v>
      </c>
      <c r="T725" s="1" t="s">
        <v>646</v>
      </c>
      <c r="U725" s="186">
        <v>44897.556932870371</v>
      </c>
      <c r="V725" s="1" t="s">
        <v>41</v>
      </c>
      <c r="W725" s="1" t="s">
        <v>49</v>
      </c>
      <c r="X725" s="13" t="str">
        <f t="shared" si="77"/>
        <v/>
      </c>
      <c r="Y725" s="2">
        <f t="shared" ca="1" si="78"/>
        <v>65</v>
      </c>
      <c r="Z725" s="14"/>
      <c r="AA725" s="14"/>
      <c r="AC725" s="22"/>
      <c r="AE725" s="22"/>
    </row>
    <row r="726" spans="1:31" hidden="1">
      <c r="A726" s="1">
        <v>9128525</v>
      </c>
      <c r="B726" s="1" t="s">
        <v>101</v>
      </c>
      <c r="C726" t="s">
        <v>643</v>
      </c>
      <c r="D726" s="2">
        <v>220195522</v>
      </c>
      <c r="E726" s="2">
        <v>2413001400030</v>
      </c>
      <c r="F726" s="1" t="s">
        <v>647</v>
      </c>
      <c r="G726" s="1" t="s">
        <v>53</v>
      </c>
      <c r="H726" s="1" t="s">
        <v>505</v>
      </c>
      <c r="I726" s="1" t="s">
        <v>506</v>
      </c>
      <c r="J726" s="1" t="s">
        <v>141</v>
      </c>
      <c r="K726" t="s">
        <v>650</v>
      </c>
      <c r="M726" s="1" t="s">
        <v>58</v>
      </c>
      <c r="N726" s="1">
        <v>0</v>
      </c>
      <c r="O726" s="1" t="s">
        <v>105</v>
      </c>
      <c r="P726" s="186">
        <v>44896.555879629632</v>
      </c>
      <c r="R726" s="1">
        <v>4</v>
      </c>
      <c r="T726" s="1" t="s">
        <v>646</v>
      </c>
      <c r="U726" s="186">
        <v>44897.555891203701</v>
      </c>
      <c r="V726" s="1" t="s">
        <v>41</v>
      </c>
      <c r="W726" s="1" t="s">
        <v>49</v>
      </c>
      <c r="X726" s="13" t="str">
        <f t="shared" si="77"/>
        <v/>
      </c>
      <c r="Y726" s="2">
        <f t="shared" ca="1" si="78"/>
        <v>65</v>
      </c>
      <c r="Z726" s="14"/>
      <c r="AA726" s="14"/>
      <c r="AC726" s="21"/>
      <c r="AE726" s="21"/>
    </row>
    <row r="727" spans="1:31" hidden="1">
      <c r="A727" s="1">
        <v>9128505</v>
      </c>
      <c r="B727" s="1" t="s">
        <v>101</v>
      </c>
      <c r="C727" t="s">
        <v>643</v>
      </c>
      <c r="D727" s="2">
        <v>220195710</v>
      </c>
      <c r="E727" s="2">
        <v>3108001400030</v>
      </c>
      <c r="F727" s="1" t="s">
        <v>647</v>
      </c>
      <c r="G727" s="1" t="s">
        <v>53</v>
      </c>
      <c r="H727" s="1" t="s">
        <v>325</v>
      </c>
      <c r="I727" s="1" t="s">
        <v>326</v>
      </c>
      <c r="J727" s="1" t="s">
        <v>46</v>
      </c>
      <c r="K727" t="s">
        <v>650</v>
      </c>
      <c r="M727" s="1" t="s">
        <v>58</v>
      </c>
      <c r="N727" s="1">
        <v>0</v>
      </c>
      <c r="O727" s="1" t="s">
        <v>105</v>
      </c>
      <c r="P727" s="186">
        <v>44896.555162037039</v>
      </c>
      <c r="R727" s="1">
        <v>4</v>
      </c>
      <c r="T727" s="1" t="s">
        <v>646</v>
      </c>
      <c r="U727" s="186">
        <v>44897.555162037039</v>
      </c>
      <c r="V727" s="1" t="s">
        <v>41</v>
      </c>
      <c r="W727" s="1" t="s">
        <v>49</v>
      </c>
      <c r="X727" s="13" t="str">
        <f t="shared" si="77"/>
        <v/>
      </c>
      <c r="Y727" s="2">
        <f t="shared" ca="1" si="78"/>
        <v>65</v>
      </c>
      <c r="Z727" s="14"/>
      <c r="AA727" s="14"/>
      <c r="AC727" s="21"/>
      <c r="AE727" s="21"/>
    </row>
    <row r="728" spans="1:31" hidden="1">
      <c r="A728" s="1">
        <v>9128485</v>
      </c>
      <c r="B728" s="1" t="s">
        <v>101</v>
      </c>
      <c r="C728" t="s">
        <v>643</v>
      </c>
      <c r="D728" s="2">
        <v>220195128</v>
      </c>
      <c r="E728" s="2">
        <v>1162001400030</v>
      </c>
      <c r="F728" s="1" t="s">
        <v>647</v>
      </c>
      <c r="G728" s="1" t="s">
        <v>53</v>
      </c>
      <c r="H728" s="1" t="s">
        <v>280</v>
      </c>
      <c r="I728" s="1" t="s">
        <v>281</v>
      </c>
      <c r="J728" s="1" t="s">
        <v>211</v>
      </c>
      <c r="K728" t="s">
        <v>650</v>
      </c>
      <c r="M728" s="1" t="s">
        <v>58</v>
      </c>
      <c r="N728" s="1">
        <v>0</v>
      </c>
      <c r="O728" s="1" t="s">
        <v>105</v>
      </c>
      <c r="P728" s="186">
        <v>44896.553865740738</v>
      </c>
      <c r="R728" s="1">
        <v>4</v>
      </c>
      <c r="T728" s="1" t="s">
        <v>646</v>
      </c>
      <c r="U728" s="186">
        <v>44897.553877314815</v>
      </c>
      <c r="V728" s="1" t="s">
        <v>41</v>
      </c>
      <c r="W728" s="1" t="s">
        <v>49</v>
      </c>
      <c r="X728" s="13" t="str">
        <f t="shared" si="77"/>
        <v/>
      </c>
      <c r="Y728" s="2">
        <f t="shared" ca="1" si="78"/>
        <v>65</v>
      </c>
      <c r="Z728" s="14"/>
      <c r="AA728" s="14"/>
      <c r="AC728" s="21"/>
      <c r="AE728" s="21"/>
    </row>
    <row r="729" spans="1:31" hidden="1">
      <c r="A729" s="1">
        <v>9128470</v>
      </c>
      <c r="B729" s="1" t="s">
        <v>101</v>
      </c>
      <c r="C729" t="s">
        <v>643</v>
      </c>
      <c r="D729" s="2">
        <v>220195114</v>
      </c>
      <c r="E729" s="2">
        <v>1138001400030</v>
      </c>
      <c r="F729" s="1" t="s">
        <v>647</v>
      </c>
      <c r="G729" s="1" t="s">
        <v>53</v>
      </c>
      <c r="H729" s="1" t="s">
        <v>548</v>
      </c>
      <c r="I729" s="1" t="s">
        <v>549</v>
      </c>
      <c r="J729" s="1" t="s">
        <v>46</v>
      </c>
      <c r="K729" t="s">
        <v>650</v>
      </c>
      <c r="M729" s="1" t="s">
        <v>58</v>
      </c>
      <c r="N729" s="1">
        <v>0</v>
      </c>
      <c r="O729" s="1" t="s">
        <v>105</v>
      </c>
      <c r="P729" s="186">
        <v>44896.553067129629</v>
      </c>
      <c r="R729" s="1">
        <v>4</v>
      </c>
      <c r="T729" s="1" t="s">
        <v>646</v>
      </c>
      <c r="U729" s="186">
        <v>44897.553067129629</v>
      </c>
      <c r="V729" s="1" t="s">
        <v>41</v>
      </c>
      <c r="W729" s="1" t="s">
        <v>49</v>
      </c>
      <c r="X729" s="13" t="str">
        <f t="shared" si="77"/>
        <v/>
      </c>
      <c r="Y729" s="2">
        <f t="shared" ca="1" si="78"/>
        <v>65</v>
      </c>
      <c r="Z729" s="14"/>
      <c r="AA729" s="14"/>
      <c r="AC729" s="21"/>
      <c r="AE729" s="21"/>
    </row>
    <row r="730" spans="1:31" hidden="1">
      <c r="A730" s="1">
        <v>9128428</v>
      </c>
      <c r="B730" s="1" t="s">
        <v>101</v>
      </c>
      <c r="C730" t="s">
        <v>643</v>
      </c>
      <c r="D730" s="2">
        <v>220195184</v>
      </c>
      <c r="E730" s="2">
        <v>1291001400030</v>
      </c>
      <c r="F730" s="1" t="s">
        <v>647</v>
      </c>
      <c r="G730" s="1" t="s">
        <v>53</v>
      </c>
      <c r="H730" s="1" t="s">
        <v>136</v>
      </c>
      <c r="I730" s="1" t="s">
        <v>137</v>
      </c>
      <c r="J730" s="1" t="s">
        <v>33</v>
      </c>
      <c r="K730" t="s">
        <v>650</v>
      </c>
      <c r="M730" s="1" t="s">
        <v>58</v>
      </c>
      <c r="N730" s="1">
        <v>0</v>
      </c>
      <c r="O730" s="1" t="s">
        <v>105</v>
      </c>
      <c r="P730" s="186">
        <v>44896.551354166666</v>
      </c>
      <c r="R730" s="1">
        <v>4</v>
      </c>
      <c r="T730" s="1" t="s">
        <v>646</v>
      </c>
      <c r="U730" s="186">
        <v>44897.551354166666</v>
      </c>
      <c r="V730" s="1" t="s">
        <v>41</v>
      </c>
      <c r="W730" s="1" t="s">
        <v>42</v>
      </c>
      <c r="X730" s="13" t="str">
        <f t="shared" si="77"/>
        <v/>
      </c>
      <c r="Y730" s="2">
        <f t="shared" ca="1" si="78"/>
        <v>65</v>
      </c>
      <c r="Z730" s="14"/>
      <c r="AA730" s="14"/>
      <c r="AC730" s="21"/>
      <c r="AE730" s="21"/>
    </row>
    <row r="731" spans="1:31" hidden="1">
      <c r="A731" s="1">
        <v>9128421</v>
      </c>
      <c r="B731" s="1" t="s">
        <v>101</v>
      </c>
      <c r="C731" t="s">
        <v>643</v>
      </c>
      <c r="D731" s="2">
        <v>220195177</v>
      </c>
      <c r="E731" s="2">
        <v>1264001400030</v>
      </c>
      <c r="F731" s="1" t="s">
        <v>647</v>
      </c>
      <c r="G731" s="1" t="s">
        <v>53</v>
      </c>
      <c r="H731" s="1" t="s">
        <v>351</v>
      </c>
      <c r="I731" s="1" t="s">
        <v>352</v>
      </c>
      <c r="J731" s="1" t="s">
        <v>110</v>
      </c>
      <c r="K731" t="s">
        <v>650</v>
      </c>
      <c r="M731" s="1" t="s">
        <v>58</v>
      </c>
      <c r="N731" s="1">
        <v>0</v>
      </c>
      <c r="O731" s="1" t="s">
        <v>105</v>
      </c>
      <c r="P731" s="186">
        <v>44896.550949074073</v>
      </c>
      <c r="R731" s="1">
        <v>4</v>
      </c>
      <c r="T731" s="1" t="s">
        <v>646</v>
      </c>
      <c r="U731" s="186">
        <v>44897.550949074073</v>
      </c>
      <c r="V731" s="1" t="s">
        <v>41</v>
      </c>
      <c r="W731" s="1" t="s">
        <v>49</v>
      </c>
      <c r="X731" s="13" t="str">
        <f t="shared" si="77"/>
        <v/>
      </c>
      <c r="Y731" s="2">
        <f t="shared" ca="1" si="78"/>
        <v>65</v>
      </c>
      <c r="Z731" s="14"/>
      <c r="AA731" s="14"/>
      <c r="AC731" s="21"/>
      <c r="AE731" s="21"/>
    </row>
    <row r="732" spans="1:31" hidden="1">
      <c r="A732" s="1">
        <v>9128414</v>
      </c>
      <c r="B732" s="1" t="s">
        <v>101</v>
      </c>
      <c r="C732" t="s">
        <v>643</v>
      </c>
      <c r="D732" s="2">
        <v>220195170</v>
      </c>
      <c r="E732" s="2">
        <v>1245001400030</v>
      </c>
      <c r="F732" s="1" t="s">
        <v>647</v>
      </c>
      <c r="G732" s="1" t="s">
        <v>53</v>
      </c>
      <c r="H732" s="1" t="s">
        <v>408</v>
      </c>
      <c r="I732" s="1" t="s">
        <v>409</v>
      </c>
      <c r="J732" s="1" t="s">
        <v>46</v>
      </c>
      <c r="K732" t="s">
        <v>650</v>
      </c>
      <c r="M732" s="1" t="s">
        <v>58</v>
      </c>
      <c r="N732" s="1">
        <v>0</v>
      </c>
      <c r="O732" s="1" t="s">
        <v>105</v>
      </c>
      <c r="P732" s="186">
        <v>44896.550543981481</v>
      </c>
      <c r="R732" s="1">
        <v>4</v>
      </c>
      <c r="T732" s="1" t="s">
        <v>646</v>
      </c>
      <c r="U732" s="186">
        <v>44897.550555555557</v>
      </c>
      <c r="V732" s="1" t="s">
        <v>41</v>
      </c>
      <c r="W732" s="1" t="s">
        <v>49</v>
      </c>
      <c r="X732" s="13" t="str">
        <f t="shared" si="77"/>
        <v/>
      </c>
      <c r="Y732" s="2">
        <f t="shared" ca="1" si="78"/>
        <v>65</v>
      </c>
      <c r="Z732" s="14"/>
      <c r="AA732" s="14"/>
      <c r="AC732" s="21"/>
      <c r="AE732" s="21"/>
    </row>
    <row r="733" spans="1:31" hidden="1">
      <c r="A733" s="1">
        <v>9128339</v>
      </c>
      <c r="B733" s="1" t="s">
        <v>101</v>
      </c>
      <c r="C733" t="s">
        <v>643</v>
      </c>
      <c r="D733" s="2">
        <v>220194788</v>
      </c>
      <c r="E733" s="2">
        <v>550001400030</v>
      </c>
      <c r="F733" s="1" t="s">
        <v>647</v>
      </c>
      <c r="G733" s="1" t="s">
        <v>53</v>
      </c>
      <c r="H733" s="1" t="s">
        <v>337</v>
      </c>
      <c r="I733" s="1" t="s">
        <v>338</v>
      </c>
      <c r="J733" s="1" t="s">
        <v>164</v>
      </c>
      <c r="K733" t="s">
        <v>650</v>
      </c>
      <c r="M733" s="1" t="s">
        <v>58</v>
      </c>
      <c r="N733" s="1">
        <v>0</v>
      </c>
      <c r="O733" s="1" t="s">
        <v>105</v>
      </c>
      <c r="P733" s="186">
        <v>44896.547627314816</v>
      </c>
      <c r="R733" s="1">
        <v>4</v>
      </c>
      <c r="T733" s="1" t="s">
        <v>646</v>
      </c>
      <c r="U733" s="186">
        <v>44897.547638888886</v>
      </c>
      <c r="V733" s="1" t="s">
        <v>41</v>
      </c>
      <c r="W733" s="1" t="s">
        <v>49</v>
      </c>
      <c r="X733" s="13" t="str">
        <f t="shared" si="77"/>
        <v/>
      </c>
      <c r="Y733" s="2">
        <f t="shared" ca="1" si="78"/>
        <v>65</v>
      </c>
      <c r="Z733" s="14"/>
      <c r="AA733" s="14"/>
      <c r="AC733" s="21"/>
      <c r="AE733" s="21"/>
    </row>
    <row r="734" spans="1:31" hidden="1">
      <c r="A734" s="1">
        <v>9128332</v>
      </c>
      <c r="B734" s="1" t="s">
        <v>101</v>
      </c>
      <c r="C734" t="s">
        <v>643</v>
      </c>
      <c r="D734" s="2">
        <v>220194783</v>
      </c>
      <c r="E734" s="2">
        <v>537001400030</v>
      </c>
      <c r="F734" s="1" t="s">
        <v>647</v>
      </c>
      <c r="G734" s="1" t="s">
        <v>53</v>
      </c>
      <c r="H734" s="1" t="s">
        <v>442</v>
      </c>
      <c r="I734" s="1" t="s">
        <v>443</v>
      </c>
      <c r="J734" s="1" t="s">
        <v>79</v>
      </c>
      <c r="K734" t="s">
        <v>650</v>
      </c>
      <c r="M734" s="1" t="s">
        <v>58</v>
      </c>
      <c r="N734" s="1">
        <v>0</v>
      </c>
      <c r="O734" s="1" t="s">
        <v>105</v>
      </c>
      <c r="P734" s="186">
        <v>44896.547268518516</v>
      </c>
      <c r="R734" s="1">
        <v>4</v>
      </c>
      <c r="T734" s="1" t="s">
        <v>646</v>
      </c>
      <c r="U734" s="186">
        <v>44897.547268518516</v>
      </c>
      <c r="V734" s="1" t="s">
        <v>41</v>
      </c>
      <c r="W734" s="1" t="s">
        <v>49</v>
      </c>
      <c r="X734" s="13" t="str">
        <f t="shared" si="77"/>
        <v/>
      </c>
      <c r="Y734" s="2">
        <f t="shared" ca="1" si="78"/>
        <v>65</v>
      </c>
      <c r="Z734" s="14"/>
      <c r="AA734" s="14"/>
      <c r="AC734" s="21"/>
      <c r="AE734" s="21"/>
    </row>
    <row r="735" spans="1:31" hidden="1">
      <c r="A735" s="1">
        <v>9128237</v>
      </c>
      <c r="B735" s="1" t="s">
        <v>101</v>
      </c>
      <c r="C735" t="s">
        <v>643</v>
      </c>
      <c r="D735" s="2">
        <v>220194807</v>
      </c>
      <c r="E735" s="2">
        <v>582001400030</v>
      </c>
      <c r="F735" s="1" t="s">
        <v>647</v>
      </c>
      <c r="G735" s="1" t="s">
        <v>53</v>
      </c>
      <c r="H735" s="1" t="s">
        <v>139</v>
      </c>
      <c r="I735" s="1" t="s">
        <v>140</v>
      </c>
      <c r="J735" s="1" t="s">
        <v>141</v>
      </c>
      <c r="K735" t="s">
        <v>650</v>
      </c>
      <c r="M735" s="1" t="s">
        <v>58</v>
      </c>
      <c r="N735" s="1">
        <v>0</v>
      </c>
      <c r="O735" s="1" t="s">
        <v>105</v>
      </c>
      <c r="P735" s="186">
        <v>44896.542384259257</v>
      </c>
      <c r="R735" s="1">
        <v>4</v>
      </c>
      <c r="T735" s="1" t="s">
        <v>646</v>
      </c>
      <c r="U735" s="186">
        <v>44897.542384259257</v>
      </c>
      <c r="V735" s="1" t="s">
        <v>41</v>
      </c>
      <c r="W735" s="1" t="s">
        <v>49</v>
      </c>
      <c r="X735" s="13" t="str">
        <f t="shared" si="77"/>
        <v/>
      </c>
      <c r="Y735" s="2">
        <f t="shared" ca="1" si="78"/>
        <v>65</v>
      </c>
      <c r="Z735" s="14"/>
      <c r="AA735" s="14"/>
      <c r="AC735" s="21"/>
      <c r="AE735" s="21"/>
    </row>
    <row r="736" spans="1:31" hidden="1">
      <c r="A736" s="1">
        <v>9128165</v>
      </c>
      <c r="B736" s="1" t="s">
        <v>101</v>
      </c>
      <c r="C736" t="s">
        <v>643</v>
      </c>
      <c r="D736" s="2">
        <v>220194363</v>
      </c>
      <c r="E736" s="2">
        <v>5755001400010</v>
      </c>
      <c r="F736" s="1" t="s">
        <v>936</v>
      </c>
      <c r="G736" s="1" t="s">
        <v>53</v>
      </c>
      <c r="H736" s="1" t="s">
        <v>841</v>
      </c>
      <c r="I736" s="1" t="s">
        <v>842</v>
      </c>
      <c r="J736" s="1" t="s">
        <v>46</v>
      </c>
      <c r="K736" t="s">
        <v>937</v>
      </c>
      <c r="M736" s="1" t="s">
        <v>58</v>
      </c>
      <c r="N736" s="1">
        <v>0</v>
      </c>
      <c r="O736" s="1" t="s">
        <v>105</v>
      </c>
      <c r="P736" s="186">
        <v>44896.5387962963</v>
      </c>
      <c r="R736" s="1">
        <v>3</v>
      </c>
      <c r="T736" s="1" t="s">
        <v>646</v>
      </c>
      <c r="U736" s="186">
        <v>44897.5387962963</v>
      </c>
      <c r="V736" s="1" t="s">
        <v>41</v>
      </c>
      <c r="W736" s="1" t="s">
        <v>49</v>
      </c>
      <c r="X736" s="13" t="str">
        <f t="shared" si="77"/>
        <v/>
      </c>
      <c r="Y736" s="2">
        <f t="shared" ca="1" si="78"/>
        <v>65</v>
      </c>
      <c r="Z736" s="14"/>
      <c r="AA736" s="14"/>
      <c r="AC736" s="21"/>
      <c r="AE736" s="21"/>
    </row>
    <row r="737" spans="1:31" hidden="1">
      <c r="A737" s="1">
        <v>9128005</v>
      </c>
      <c r="B737" s="1" t="s">
        <v>101</v>
      </c>
      <c r="C737" t="s">
        <v>643</v>
      </c>
      <c r="D737" s="2">
        <v>220193965</v>
      </c>
      <c r="E737" s="2">
        <v>4012001400010</v>
      </c>
      <c r="F737" s="1" t="s">
        <v>936</v>
      </c>
      <c r="G737" s="1" t="s">
        <v>53</v>
      </c>
      <c r="H737" s="1" t="s">
        <v>349</v>
      </c>
      <c r="I737" s="1" t="s">
        <v>350</v>
      </c>
      <c r="J737" s="1" t="s">
        <v>261</v>
      </c>
      <c r="K737" t="s">
        <v>937</v>
      </c>
      <c r="M737" s="1" t="s">
        <v>58</v>
      </c>
      <c r="N737" s="1">
        <v>0</v>
      </c>
      <c r="O737" s="1" t="s">
        <v>105</v>
      </c>
      <c r="P737" s="186">
        <v>44896.531909722224</v>
      </c>
      <c r="R737" s="1">
        <v>3</v>
      </c>
      <c r="T737" s="1" t="s">
        <v>646</v>
      </c>
      <c r="U737" s="186">
        <v>44897.531921296293</v>
      </c>
      <c r="V737" s="1" t="s">
        <v>41</v>
      </c>
      <c r="W737" s="1" t="s">
        <v>49</v>
      </c>
      <c r="X737" s="13" t="str">
        <f t="shared" si="77"/>
        <v/>
      </c>
      <c r="Y737" s="2">
        <f t="shared" ca="1" si="78"/>
        <v>65</v>
      </c>
      <c r="Z737" s="14"/>
      <c r="AA737" s="14"/>
      <c r="AC737" s="21"/>
      <c r="AE737" s="21"/>
    </row>
    <row r="738" spans="1:31" hidden="1">
      <c r="A738" s="1">
        <v>9127889</v>
      </c>
      <c r="B738" s="1" t="s">
        <v>101</v>
      </c>
      <c r="C738" t="s">
        <v>643</v>
      </c>
      <c r="D738" s="2">
        <v>220193587</v>
      </c>
      <c r="E738" s="2">
        <v>2326001400010</v>
      </c>
      <c r="F738" s="1" t="s">
        <v>936</v>
      </c>
      <c r="G738" s="1" t="s">
        <v>53</v>
      </c>
      <c r="H738" s="1" t="s">
        <v>191</v>
      </c>
      <c r="I738" s="1" t="s">
        <v>192</v>
      </c>
      <c r="J738" s="1" t="s">
        <v>46</v>
      </c>
      <c r="K738" t="s">
        <v>937</v>
      </c>
      <c r="M738" s="1" t="s">
        <v>58</v>
      </c>
      <c r="N738" s="1">
        <v>0</v>
      </c>
      <c r="O738" s="1" t="s">
        <v>105</v>
      </c>
      <c r="P738" s="186">
        <v>44896.527627314812</v>
      </c>
      <c r="R738" s="1">
        <v>3</v>
      </c>
      <c r="T738" s="1" t="s">
        <v>646</v>
      </c>
      <c r="U738" s="186">
        <v>44897.527627314812</v>
      </c>
      <c r="V738" s="1" t="s">
        <v>41</v>
      </c>
      <c r="W738" s="1" t="s">
        <v>49</v>
      </c>
      <c r="X738" s="13" t="str">
        <f t="shared" si="77"/>
        <v/>
      </c>
      <c r="Y738" s="2">
        <f t="shared" ca="1" si="78"/>
        <v>65</v>
      </c>
      <c r="Z738" s="14"/>
      <c r="AA738" s="14"/>
      <c r="AC738" s="21"/>
      <c r="AE738" s="21"/>
    </row>
    <row r="739" spans="1:31" hidden="1">
      <c r="A739" s="1">
        <v>9127850</v>
      </c>
      <c r="B739" s="1" t="s">
        <v>101</v>
      </c>
      <c r="C739" t="s">
        <v>643</v>
      </c>
      <c r="D739" s="2">
        <v>220193445</v>
      </c>
      <c r="E739" s="2">
        <v>1732001400010</v>
      </c>
      <c r="F739" s="1" t="s">
        <v>936</v>
      </c>
      <c r="G739" s="1" t="s">
        <v>53</v>
      </c>
      <c r="H739" s="1" t="s">
        <v>177</v>
      </c>
      <c r="I739" s="1" t="s">
        <v>178</v>
      </c>
      <c r="J739" s="1" t="s">
        <v>164</v>
      </c>
      <c r="K739" t="s">
        <v>937</v>
      </c>
      <c r="M739" s="1" t="s">
        <v>58</v>
      </c>
      <c r="N739" s="1">
        <v>0</v>
      </c>
      <c r="O739" s="1" t="s">
        <v>105</v>
      </c>
      <c r="P739" s="186">
        <v>44896.526493055557</v>
      </c>
      <c r="R739" s="1">
        <v>3</v>
      </c>
      <c r="T739" s="1" t="s">
        <v>646</v>
      </c>
      <c r="U739" s="186">
        <v>44897.526493055557</v>
      </c>
      <c r="V739" s="1" t="s">
        <v>41</v>
      </c>
      <c r="W739" s="1" t="s">
        <v>49</v>
      </c>
      <c r="X739" s="13" t="str">
        <f t="shared" si="77"/>
        <v/>
      </c>
      <c r="Y739" s="2">
        <f t="shared" ca="1" si="78"/>
        <v>65</v>
      </c>
      <c r="Z739" s="14"/>
      <c r="AA739" s="14"/>
      <c r="AC739" s="21"/>
      <c r="AE739" s="21"/>
    </row>
    <row r="740" spans="1:31" hidden="1">
      <c r="A740" s="1">
        <v>9127804</v>
      </c>
      <c r="B740" s="1" t="s">
        <v>101</v>
      </c>
      <c r="C740" t="s">
        <v>643</v>
      </c>
      <c r="D740" s="2">
        <v>220193422</v>
      </c>
      <c r="E740" s="2">
        <v>1664001400010</v>
      </c>
      <c r="F740" s="1" t="s">
        <v>936</v>
      </c>
      <c r="G740" s="1" t="s">
        <v>53</v>
      </c>
      <c r="H740" s="1" t="s">
        <v>307</v>
      </c>
      <c r="I740" s="1" t="s">
        <v>308</v>
      </c>
      <c r="J740" s="1" t="s">
        <v>164</v>
      </c>
      <c r="K740" t="s">
        <v>937</v>
      </c>
      <c r="M740" s="1" t="s">
        <v>58</v>
      </c>
      <c r="N740" s="1">
        <v>0</v>
      </c>
      <c r="O740" s="1" t="s">
        <v>105</v>
      </c>
      <c r="P740" s="186">
        <v>44896.523692129631</v>
      </c>
      <c r="R740" s="1">
        <v>3</v>
      </c>
      <c r="T740" s="1" t="s">
        <v>646</v>
      </c>
      <c r="U740" s="186">
        <v>44897.523692129631</v>
      </c>
      <c r="V740" s="1" t="s">
        <v>41</v>
      </c>
      <c r="W740" s="1" t="s">
        <v>49</v>
      </c>
      <c r="X740" s="13" t="str">
        <f t="shared" si="77"/>
        <v/>
      </c>
      <c r="Y740" s="2">
        <f t="shared" ca="1" si="78"/>
        <v>65</v>
      </c>
      <c r="Z740" s="14"/>
      <c r="AA740" s="14"/>
      <c r="AC740" s="21"/>
      <c r="AE740" s="21"/>
    </row>
    <row r="741" spans="1:31" hidden="1">
      <c r="A741" s="1">
        <v>9127801</v>
      </c>
      <c r="B741" s="1" t="s">
        <v>101</v>
      </c>
      <c r="C741" t="s">
        <v>643</v>
      </c>
      <c r="D741" s="2">
        <v>220193719</v>
      </c>
      <c r="E741" s="2">
        <v>2802001400010</v>
      </c>
      <c r="F741" s="1" t="s">
        <v>936</v>
      </c>
      <c r="G741" s="1" t="s">
        <v>53</v>
      </c>
      <c r="H741" s="1" t="s">
        <v>388</v>
      </c>
      <c r="I741" s="1" t="s">
        <v>389</v>
      </c>
      <c r="J741" s="1" t="s">
        <v>46</v>
      </c>
      <c r="K741" t="s">
        <v>937</v>
      </c>
      <c r="M741" s="1" t="s">
        <v>58</v>
      </c>
      <c r="N741" s="1">
        <v>0</v>
      </c>
      <c r="O741" s="1" t="s">
        <v>105</v>
      </c>
      <c r="P741" s="186">
        <v>44896.5234837963</v>
      </c>
      <c r="R741" s="1">
        <v>3</v>
      </c>
      <c r="T741" s="1" t="s">
        <v>646</v>
      </c>
      <c r="U741" s="186">
        <v>44897.5234837963</v>
      </c>
      <c r="V741" s="1" t="s">
        <v>41</v>
      </c>
      <c r="W741" s="1" t="s">
        <v>49</v>
      </c>
      <c r="X741" s="13" t="str">
        <f t="shared" si="77"/>
        <v/>
      </c>
      <c r="Y741" s="2">
        <f t="shared" ca="1" si="78"/>
        <v>65</v>
      </c>
      <c r="Z741" s="14"/>
      <c r="AA741" s="14"/>
      <c r="AC741" s="21"/>
      <c r="AE741" s="21"/>
    </row>
    <row r="742" spans="1:31" hidden="1">
      <c r="A742" s="1">
        <v>9127762</v>
      </c>
      <c r="B742" s="1" t="s">
        <v>101</v>
      </c>
      <c r="C742" t="s">
        <v>643</v>
      </c>
      <c r="D742" s="2">
        <v>220193223</v>
      </c>
      <c r="E742" s="2">
        <v>1162001400010</v>
      </c>
      <c r="F742" s="1" t="s">
        <v>936</v>
      </c>
      <c r="G742" s="1" t="s">
        <v>53</v>
      </c>
      <c r="H742" s="1" t="s">
        <v>280</v>
      </c>
      <c r="I742" s="1" t="s">
        <v>281</v>
      </c>
      <c r="J742" s="1" t="s">
        <v>211</v>
      </c>
      <c r="K742" t="s">
        <v>937</v>
      </c>
      <c r="M742" s="1" t="s">
        <v>58</v>
      </c>
      <c r="N742" s="1">
        <v>0</v>
      </c>
      <c r="O742" s="1" t="s">
        <v>105</v>
      </c>
      <c r="P742" s="186">
        <v>44896.521273148152</v>
      </c>
      <c r="R742" s="1">
        <v>3</v>
      </c>
      <c r="T742" s="1" t="s">
        <v>646</v>
      </c>
      <c r="U742" s="186">
        <v>44897.521273148152</v>
      </c>
      <c r="V742" s="1" t="s">
        <v>41</v>
      </c>
      <c r="W742" s="1" t="s">
        <v>49</v>
      </c>
      <c r="X742" s="13" t="str">
        <f t="shared" si="77"/>
        <v/>
      </c>
      <c r="Y742" s="2">
        <f t="shared" ca="1" si="78"/>
        <v>65</v>
      </c>
      <c r="Z742" s="14"/>
      <c r="AA742" s="14"/>
      <c r="AC742" s="21"/>
      <c r="AE742" s="21"/>
    </row>
    <row r="743" spans="1:31" hidden="1">
      <c r="A743" s="1">
        <v>9127748</v>
      </c>
      <c r="B743" s="1" t="s">
        <v>101</v>
      </c>
      <c r="C743" t="s">
        <v>643</v>
      </c>
      <c r="D743" s="2">
        <v>220193209</v>
      </c>
      <c r="E743" s="2">
        <v>1138001400010</v>
      </c>
      <c r="F743" s="1" t="s">
        <v>936</v>
      </c>
      <c r="G743" s="1" t="s">
        <v>53</v>
      </c>
      <c r="H743" s="1" t="s">
        <v>548</v>
      </c>
      <c r="I743" s="1" t="s">
        <v>549</v>
      </c>
      <c r="J743" s="1" t="s">
        <v>46</v>
      </c>
      <c r="K743" t="s">
        <v>937</v>
      </c>
      <c r="M743" s="1" t="s">
        <v>58</v>
      </c>
      <c r="N743" s="1">
        <v>0</v>
      </c>
      <c r="O743" s="1" t="s">
        <v>105</v>
      </c>
      <c r="P743" s="186">
        <v>44896.520439814813</v>
      </c>
      <c r="R743" s="1">
        <v>3</v>
      </c>
      <c r="T743" s="1" t="s">
        <v>646</v>
      </c>
      <c r="U743" s="186">
        <v>44897.520439814813</v>
      </c>
      <c r="V743" s="1" t="s">
        <v>41</v>
      </c>
      <c r="W743" s="1" t="s">
        <v>49</v>
      </c>
      <c r="X743" s="13" t="str">
        <f t="shared" si="77"/>
        <v/>
      </c>
      <c r="Y743" s="2">
        <f t="shared" ca="1" si="78"/>
        <v>65</v>
      </c>
      <c r="Z743" s="14"/>
      <c r="AA743" s="14"/>
      <c r="AC743" s="21"/>
      <c r="AE743" s="21"/>
    </row>
    <row r="744" spans="1:31" hidden="1">
      <c r="A744" s="1">
        <v>9127732</v>
      </c>
      <c r="B744" s="1" t="s">
        <v>101</v>
      </c>
      <c r="C744" t="s">
        <v>643</v>
      </c>
      <c r="D744" s="2">
        <v>220193201</v>
      </c>
      <c r="E744" s="2">
        <v>1120001400010</v>
      </c>
      <c r="F744" s="1" t="s">
        <v>936</v>
      </c>
      <c r="G744" s="1" t="s">
        <v>53</v>
      </c>
      <c r="H744" s="1" t="s">
        <v>181</v>
      </c>
      <c r="I744" s="1" t="s">
        <v>182</v>
      </c>
      <c r="J744" s="1" t="s">
        <v>164</v>
      </c>
      <c r="K744" t="s">
        <v>937</v>
      </c>
      <c r="M744" s="1" t="s">
        <v>58</v>
      </c>
      <c r="N744" s="1">
        <v>0</v>
      </c>
      <c r="O744" s="1" t="s">
        <v>105</v>
      </c>
      <c r="P744" s="186">
        <v>44896.519768518519</v>
      </c>
      <c r="R744" s="1">
        <v>3</v>
      </c>
      <c r="T744" s="1" t="s">
        <v>646</v>
      </c>
      <c r="U744" s="186">
        <v>44897.519780092596</v>
      </c>
      <c r="V744" s="1" t="s">
        <v>41</v>
      </c>
      <c r="W744" s="1" t="s">
        <v>49</v>
      </c>
      <c r="X744" s="13" t="str">
        <f t="shared" si="77"/>
        <v/>
      </c>
      <c r="Y744" s="2">
        <f t="shared" ca="1" si="78"/>
        <v>65</v>
      </c>
      <c r="Z744" s="14"/>
      <c r="AA744" s="14"/>
      <c r="AC744" s="21"/>
      <c r="AE744" s="21"/>
    </row>
    <row r="745" spans="1:31" hidden="1">
      <c r="A745" s="1">
        <v>9127696</v>
      </c>
      <c r="B745" s="1" t="s">
        <v>101</v>
      </c>
      <c r="C745" t="s">
        <v>643</v>
      </c>
      <c r="D745" s="2">
        <v>220193173</v>
      </c>
      <c r="E745" s="2">
        <v>1069001400010</v>
      </c>
      <c r="F745" s="1" t="s">
        <v>936</v>
      </c>
      <c r="G745" s="1" t="s">
        <v>53</v>
      </c>
      <c r="H745" s="1" t="s">
        <v>353</v>
      </c>
      <c r="I745" s="1" t="s">
        <v>354</v>
      </c>
      <c r="J745" s="1" t="s">
        <v>211</v>
      </c>
      <c r="K745" t="s">
        <v>937</v>
      </c>
      <c r="M745" s="1" t="s">
        <v>58</v>
      </c>
      <c r="N745" s="1">
        <v>0</v>
      </c>
      <c r="O745" s="1" t="s">
        <v>105</v>
      </c>
      <c r="P745" s="186">
        <v>44896.518217592595</v>
      </c>
      <c r="R745" s="1">
        <v>3</v>
      </c>
      <c r="T745" s="1" t="s">
        <v>646</v>
      </c>
      <c r="U745" s="186">
        <v>44897.518217592595</v>
      </c>
      <c r="V745" s="1" t="s">
        <v>41</v>
      </c>
      <c r="W745" s="1" t="s">
        <v>49</v>
      </c>
      <c r="X745" s="13" t="str">
        <f t="shared" si="77"/>
        <v/>
      </c>
      <c r="Y745" s="2">
        <f t="shared" ca="1" si="78"/>
        <v>65</v>
      </c>
      <c r="Z745" s="14"/>
      <c r="AA745" s="14"/>
      <c r="AC745" s="21"/>
      <c r="AE745" s="21"/>
    </row>
    <row r="746" spans="1:31" hidden="1">
      <c r="A746" s="1">
        <v>9127689</v>
      </c>
      <c r="B746" s="1" t="s">
        <v>101</v>
      </c>
      <c r="C746" t="s">
        <v>643</v>
      </c>
      <c r="D746" s="2">
        <v>220193166</v>
      </c>
      <c r="E746" s="2">
        <v>1049001400010</v>
      </c>
      <c r="F746" s="1" t="s">
        <v>936</v>
      </c>
      <c r="G746" s="1" t="s">
        <v>53</v>
      </c>
      <c r="H746" s="1" t="s">
        <v>169</v>
      </c>
      <c r="I746" s="1" t="s">
        <v>170</v>
      </c>
      <c r="J746" s="1" t="s">
        <v>164</v>
      </c>
      <c r="K746" t="s">
        <v>937</v>
      </c>
      <c r="M746" s="1" t="s">
        <v>58</v>
      </c>
      <c r="N746" s="1">
        <v>0</v>
      </c>
      <c r="O746" s="1" t="s">
        <v>105</v>
      </c>
      <c r="P746" s="186">
        <v>44896.517824074072</v>
      </c>
      <c r="R746" s="1">
        <v>3</v>
      </c>
      <c r="T746" s="1" t="s">
        <v>646</v>
      </c>
      <c r="U746" s="186">
        <v>44897.517835648148</v>
      </c>
      <c r="V746" s="1" t="s">
        <v>41</v>
      </c>
      <c r="W746" s="1" t="s">
        <v>49</v>
      </c>
      <c r="X746" s="13" t="str">
        <f t="shared" si="77"/>
        <v/>
      </c>
      <c r="Y746" s="2">
        <f t="shared" ca="1" si="78"/>
        <v>65</v>
      </c>
      <c r="Z746" s="14"/>
      <c r="AA746" s="14"/>
      <c r="AC746" s="21"/>
      <c r="AE746" s="21"/>
    </row>
    <row r="747" spans="1:31" hidden="1">
      <c r="A747" s="1">
        <v>9127671</v>
      </c>
      <c r="B747" s="1" t="s">
        <v>101</v>
      </c>
      <c r="C747" t="s">
        <v>643</v>
      </c>
      <c r="D747" s="2">
        <v>220193148</v>
      </c>
      <c r="E747" s="2">
        <v>1012001400010</v>
      </c>
      <c r="F747" s="1" t="s">
        <v>936</v>
      </c>
      <c r="G747" s="1" t="s">
        <v>53</v>
      </c>
      <c r="H747" s="1" t="s">
        <v>172</v>
      </c>
      <c r="I747" s="1" t="s">
        <v>173</v>
      </c>
      <c r="J747" s="1" t="s">
        <v>164</v>
      </c>
      <c r="K747" t="s">
        <v>937</v>
      </c>
      <c r="M747" s="1" t="s">
        <v>58</v>
      </c>
      <c r="N747" s="1">
        <v>0</v>
      </c>
      <c r="O747" s="1" t="s">
        <v>105</v>
      </c>
      <c r="P747" s="186">
        <v>44896.516817129632</v>
      </c>
      <c r="R747" s="1">
        <v>3</v>
      </c>
      <c r="T747" s="1" t="s">
        <v>646</v>
      </c>
      <c r="U747" s="186">
        <v>44897.516828703701</v>
      </c>
      <c r="V747" s="1" t="s">
        <v>41</v>
      </c>
      <c r="W747" s="1" t="s">
        <v>49</v>
      </c>
      <c r="X747" s="13" t="str">
        <f t="shared" si="77"/>
        <v/>
      </c>
      <c r="Y747" s="2">
        <f t="shared" ca="1" si="78"/>
        <v>65</v>
      </c>
      <c r="Z747" s="14"/>
      <c r="AA747" s="14"/>
      <c r="AC747" s="21"/>
      <c r="AE747" s="21"/>
    </row>
    <row r="748" spans="1:31" hidden="1">
      <c r="A748" s="1">
        <v>9127658</v>
      </c>
      <c r="B748" s="1" t="s">
        <v>101</v>
      </c>
      <c r="C748" t="s">
        <v>643</v>
      </c>
      <c r="D748" s="2">
        <v>220192961</v>
      </c>
      <c r="E748" s="2">
        <v>673001400010</v>
      </c>
      <c r="F748" s="1" t="s">
        <v>936</v>
      </c>
      <c r="G748" s="1" t="s">
        <v>53</v>
      </c>
      <c r="H748" s="1" t="s">
        <v>581</v>
      </c>
      <c r="I748" s="1" t="s">
        <v>582</v>
      </c>
      <c r="J748" s="1" t="s">
        <v>110</v>
      </c>
      <c r="K748" t="s">
        <v>937</v>
      </c>
      <c r="M748" s="1" t="s">
        <v>58</v>
      </c>
      <c r="N748" s="1">
        <v>0</v>
      </c>
      <c r="O748" s="1" t="s">
        <v>105</v>
      </c>
      <c r="P748" s="186">
        <v>44896.516053240739</v>
      </c>
      <c r="R748" s="1">
        <v>3</v>
      </c>
      <c r="T748" s="1" t="s">
        <v>646</v>
      </c>
      <c r="U748" s="186">
        <v>44897.516053240739</v>
      </c>
      <c r="V748" s="1" t="s">
        <v>41</v>
      </c>
      <c r="W748" s="1" t="s">
        <v>49</v>
      </c>
      <c r="X748" s="13" t="str">
        <f t="shared" si="77"/>
        <v/>
      </c>
      <c r="Y748" s="2">
        <f t="shared" ca="1" si="78"/>
        <v>65</v>
      </c>
      <c r="Z748" s="14"/>
      <c r="AA748" s="14"/>
      <c r="AC748" s="21"/>
      <c r="AE748" s="21"/>
    </row>
    <row r="749" spans="1:31" hidden="1">
      <c r="A749" s="1">
        <v>9127594</v>
      </c>
      <c r="B749" s="1" t="s">
        <v>101</v>
      </c>
      <c r="C749" t="s">
        <v>643</v>
      </c>
      <c r="D749" s="2">
        <v>220192987</v>
      </c>
      <c r="E749" s="2">
        <v>714001400010</v>
      </c>
      <c r="F749" s="1" t="s">
        <v>936</v>
      </c>
      <c r="G749" s="1" t="s">
        <v>53</v>
      </c>
      <c r="H749" s="1" t="s">
        <v>377</v>
      </c>
      <c r="I749" s="1" t="s">
        <v>378</v>
      </c>
      <c r="J749" s="1" t="s">
        <v>46</v>
      </c>
      <c r="K749" t="s">
        <v>937</v>
      </c>
      <c r="M749" s="1" t="s">
        <v>58</v>
      </c>
      <c r="N749" s="1">
        <v>0</v>
      </c>
      <c r="O749" s="1" t="s">
        <v>105</v>
      </c>
      <c r="P749" s="186">
        <v>44896.513252314813</v>
      </c>
      <c r="R749" s="1">
        <v>3</v>
      </c>
      <c r="T749" s="1" t="s">
        <v>646</v>
      </c>
      <c r="U749" s="186">
        <v>44897.513252314813</v>
      </c>
      <c r="V749" s="1" t="s">
        <v>41</v>
      </c>
      <c r="W749" s="1" t="s">
        <v>49</v>
      </c>
      <c r="X749" s="13" t="str">
        <f t="shared" si="77"/>
        <v/>
      </c>
      <c r="Y749" s="2">
        <f t="shared" ca="1" si="78"/>
        <v>65</v>
      </c>
      <c r="Z749" s="14"/>
      <c r="AA749" s="14"/>
      <c r="AC749" s="21"/>
      <c r="AE749" s="21"/>
    </row>
    <row r="750" spans="1:31" hidden="1">
      <c r="A750" s="1">
        <v>9127562</v>
      </c>
      <c r="B750" s="1" t="s">
        <v>101</v>
      </c>
      <c r="C750" t="s">
        <v>643</v>
      </c>
      <c r="D750" s="2">
        <v>220192986</v>
      </c>
      <c r="E750" s="2">
        <v>710001400010</v>
      </c>
      <c r="F750" s="1" t="s">
        <v>936</v>
      </c>
      <c r="G750" s="1" t="s">
        <v>53</v>
      </c>
      <c r="H750" s="1" t="s">
        <v>390</v>
      </c>
      <c r="I750" s="1" t="s">
        <v>391</v>
      </c>
      <c r="J750" s="1" t="s">
        <v>56</v>
      </c>
      <c r="K750" t="s">
        <v>937</v>
      </c>
      <c r="M750" s="1" t="s">
        <v>58</v>
      </c>
      <c r="N750" s="1">
        <v>0</v>
      </c>
      <c r="O750" s="1" t="s">
        <v>105</v>
      </c>
      <c r="P750" s="186">
        <v>44896.511631944442</v>
      </c>
      <c r="R750" s="1">
        <v>3</v>
      </c>
      <c r="T750" s="1" t="s">
        <v>646</v>
      </c>
      <c r="U750" s="186">
        <v>44897.511631944442</v>
      </c>
      <c r="V750" s="1" t="s">
        <v>41</v>
      </c>
      <c r="W750" s="1" t="s">
        <v>49</v>
      </c>
      <c r="X750" s="13" t="str">
        <f t="shared" si="77"/>
        <v/>
      </c>
      <c r="Y750" s="2">
        <f t="shared" ca="1" si="78"/>
        <v>65</v>
      </c>
      <c r="Z750" s="14"/>
      <c r="AA750" s="14"/>
      <c r="AC750" s="21"/>
      <c r="AE750" s="21"/>
    </row>
    <row r="751" spans="1:31" hidden="1">
      <c r="A751" s="1">
        <v>9127512</v>
      </c>
      <c r="B751" s="1" t="s">
        <v>101</v>
      </c>
      <c r="C751" t="s">
        <v>643</v>
      </c>
      <c r="D751" s="2">
        <v>220192919</v>
      </c>
      <c r="E751" s="2">
        <v>608001400010</v>
      </c>
      <c r="F751" s="1" t="s">
        <v>936</v>
      </c>
      <c r="G751" s="1" t="s">
        <v>53</v>
      </c>
      <c r="H751" s="1" t="s">
        <v>438</v>
      </c>
      <c r="I751" s="1" t="s">
        <v>439</v>
      </c>
      <c r="J751" s="1" t="s">
        <v>148</v>
      </c>
      <c r="K751" t="s">
        <v>937</v>
      </c>
      <c r="M751" s="1" t="s">
        <v>58</v>
      </c>
      <c r="N751" s="1">
        <v>0</v>
      </c>
      <c r="O751" s="1" t="s">
        <v>105</v>
      </c>
      <c r="P751" s="186">
        <v>44896.50886574074</v>
      </c>
      <c r="R751" s="1">
        <v>3</v>
      </c>
      <c r="T751" s="1" t="s">
        <v>646</v>
      </c>
      <c r="U751" s="186">
        <v>44897.50886574074</v>
      </c>
      <c r="V751" s="1" t="s">
        <v>41</v>
      </c>
      <c r="W751" s="1" t="s">
        <v>49</v>
      </c>
      <c r="X751" s="13" t="str">
        <f t="shared" si="77"/>
        <v/>
      </c>
      <c r="Y751" s="2">
        <f t="shared" ca="1" si="78"/>
        <v>65</v>
      </c>
      <c r="Z751" s="14"/>
      <c r="AA751" s="14"/>
      <c r="AC751" s="21"/>
      <c r="AE751" s="21"/>
    </row>
    <row r="752" spans="1:31" hidden="1">
      <c r="A752" s="1">
        <v>9127225</v>
      </c>
      <c r="B752" s="1" t="s">
        <v>101</v>
      </c>
      <c r="C752" t="s">
        <v>643</v>
      </c>
      <c r="D752" s="2">
        <v>220198224</v>
      </c>
      <c r="E752" s="2">
        <v>4997001400040</v>
      </c>
      <c r="F752" s="1" t="s">
        <v>644</v>
      </c>
      <c r="G752" s="1" t="s">
        <v>53</v>
      </c>
      <c r="H752" s="1" t="s">
        <v>406</v>
      </c>
      <c r="I752" s="1" t="s">
        <v>407</v>
      </c>
      <c r="J752" s="1" t="s">
        <v>79</v>
      </c>
      <c r="K752" t="s">
        <v>645</v>
      </c>
      <c r="M752" s="1" t="s">
        <v>58</v>
      </c>
      <c r="N752" s="1">
        <v>0</v>
      </c>
      <c r="O752" s="1" t="s">
        <v>105</v>
      </c>
      <c r="P752" s="186">
        <v>44896.493680555555</v>
      </c>
      <c r="R752" s="1">
        <v>3</v>
      </c>
      <c r="T752" s="1" t="s">
        <v>646</v>
      </c>
      <c r="U752" s="186">
        <v>44897.493680555555</v>
      </c>
      <c r="V752" s="1" t="s">
        <v>41</v>
      </c>
      <c r="W752" s="1" t="s">
        <v>49</v>
      </c>
      <c r="X752" s="13" t="str">
        <f t="shared" si="77"/>
        <v/>
      </c>
      <c r="Y752" s="2">
        <f t="shared" ca="1" si="78"/>
        <v>65</v>
      </c>
      <c r="Z752" s="14"/>
      <c r="AA752" s="14"/>
      <c r="AC752" s="21"/>
      <c r="AE752" s="21"/>
    </row>
    <row r="753" spans="1:31" hidden="1">
      <c r="A753" s="1">
        <v>9127174</v>
      </c>
      <c r="B753" s="1" t="s">
        <v>101</v>
      </c>
      <c r="C753" t="s">
        <v>643</v>
      </c>
      <c r="D753" s="2">
        <v>220198258</v>
      </c>
      <c r="E753" s="2">
        <v>5742001400040</v>
      </c>
      <c r="F753" s="1" t="s">
        <v>644</v>
      </c>
      <c r="G753" s="1" t="s">
        <v>53</v>
      </c>
      <c r="H753" s="1" t="s">
        <v>430</v>
      </c>
      <c r="I753" s="1" t="s">
        <v>431</v>
      </c>
      <c r="J753" s="1" t="s">
        <v>79</v>
      </c>
      <c r="K753" t="s">
        <v>645</v>
      </c>
      <c r="M753" s="1" t="s">
        <v>58</v>
      </c>
      <c r="N753" s="1">
        <v>0</v>
      </c>
      <c r="O753" s="1" t="s">
        <v>105</v>
      </c>
      <c r="P753" s="186">
        <v>44896.49145833333</v>
      </c>
      <c r="R753" s="1">
        <v>2</v>
      </c>
      <c r="T753" s="1" t="s">
        <v>646</v>
      </c>
      <c r="U753" s="186">
        <v>44897.49145833333</v>
      </c>
      <c r="V753" s="1" t="s">
        <v>41</v>
      </c>
      <c r="W753" s="1" t="s">
        <v>49</v>
      </c>
      <c r="X753" s="13" t="str">
        <f t="shared" si="77"/>
        <v/>
      </c>
      <c r="Y753" s="2">
        <f t="shared" ca="1" si="78"/>
        <v>65</v>
      </c>
      <c r="Z753" s="14"/>
      <c r="AA753" s="14"/>
      <c r="AC753" s="21"/>
      <c r="AE753" s="21"/>
    </row>
    <row r="754" spans="1:31" hidden="1">
      <c r="A754" s="1">
        <v>9126916</v>
      </c>
      <c r="B754" s="1" t="s">
        <v>101</v>
      </c>
      <c r="C754" t="s">
        <v>643</v>
      </c>
      <c r="D754" s="2">
        <v>220197812</v>
      </c>
      <c r="E754" s="2">
        <v>3243001400040</v>
      </c>
      <c r="F754" s="1" t="s">
        <v>644</v>
      </c>
      <c r="G754" s="1" t="s">
        <v>53</v>
      </c>
      <c r="H754" s="1" t="s">
        <v>282</v>
      </c>
      <c r="I754" s="1" t="s">
        <v>283</v>
      </c>
      <c r="J754" s="1" t="s">
        <v>46</v>
      </c>
      <c r="K754" t="s">
        <v>645</v>
      </c>
      <c r="M754" s="1" t="s">
        <v>58</v>
      </c>
      <c r="N754" s="1">
        <v>0</v>
      </c>
      <c r="O754" s="1" t="s">
        <v>105</v>
      </c>
      <c r="P754" s="186">
        <v>44896.480451388888</v>
      </c>
      <c r="R754" s="1">
        <v>3</v>
      </c>
      <c r="T754" s="1" t="s">
        <v>646</v>
      </c>
      <c r="U754" s="186">
        <v>44897.480451388888</v>
      </c>
      <c r="V754" s="1" t="s">
        <v>41</v>
      </c>
      <c r="W754" s="1" t="s">
        <v>49</v>
      </c>
      <c r="X754" s="13" t="str">
        <f t="shared" si="77"/>
        <v/>
      </c>
      <c r="Y754" s="2">
        <f t="shared" ca="1" si="78"/>
        <v>65</v>
      </c>
      <c r="Z754" s="14"/>
      <c r="AA754" s="14"/>
      <c r="AC754" s="21"/>
      <c r="AE754" s="21"/>
    </row>
    <row r="755" spans="1:31" hidden="1">
      <c r="A755" s="1">
        <v>9126874</v>
      </c>
      <c r="B755" s="1" t="s">
        <v>101</v>
      </c>
      <c r="C755" t="s">
        <v>643</v>
      </c>
      <c r="D755" s="2">
        <v>220197782</v>
      </c>
      <c r="E755" s="2">
        <v>3108001400040</v>
      </c>
      <c r="F755" s="1" t="s">
        <v>644</v>
      </c>
      <c r="G755" s="1" t="s">
        <v>53</v>
      </c>
      <c r="H755" s="1" t="s">
        <v>325</v>
      </c>
      <c r="I755" s="1" t="s">
        <v>326</v>
      </c>
      <c r="J755" s="1" t="s">
        <v>46</v>
      </c>
      <c r="K755" t="s">
        <v>645</v>
      </c>
      <c r="M755" s="1" t="s">
        <v>58</v>
      </c>
      <c r="N755" s="1">
        <v>0</v>
      </c>
      <c r="O755" s="1" t="s">
        <v>105</v>
      </c>
      <c r="P755" s="186">
        <v>44896.478715277779</v>
      </c>
      <c r="R755" s="1">
        <v>3</v>
      </c>
      <c r="T755" s="1" t="s">
        <v>646</v>
      </c>
      <c r="U755" s="186">
        <v>44897.478715277779</v>
      </c>
      <c r="V755" s="1" t="s">
        <v>41</v>
      </c>
      <c r="W755" s="1" t="s">
        <v>49</v>
      </c>
      <c r="X755" s="13" t="str">
        <f t="shared" si="77"/>
        <v/>
      </c>
      <c r="Y755" s="2">
        <f t="shared" ca="1" si="78"/>
        <v>65</v>
      </c>
      <c r="Z755" s="14"/>
      <c r="AA755" s="14"/>
      <c r="AC755" s="21"/>
      <c r="AE755" s="21"/>
    </row>
    <row r="756" spans="1:31" hidden="1">
      <c r="A756" s="1">
        <v>9126750</v>
      </c>
      <c r="B756" s="1" t="s">
        <v>101</v>
      </c>
      <c r="C756" t="s">
        <v>643</v>
      </c>
      <c r="D756" s="2">
        <v>220197982</v>
      </c>
      <c r="E756" s="2">
        <v>4012001400040</v>
      </c>
      <c r="F756" s="1" t="s">
        <v>644</v>
      </c>
      <c r="G756" s="1" t="s">
        <v>53</v>
      </c>
      <c r="H756" s="1" t="s">
        <v>349</v>
      </c>
      <c r="I756" s="1" t="s">
        <v>350</v>
      </c>
      <c r="J756" s="1" t="s">
        <v>261</v>
      </c>
      <c r="K756" t="s">
        <v>645</v>
      </c>
      <c r="M756" s="1" t="s">
        <v>58</v>
      </c>
      <c r="N756" s="1">
        <v>0</v>
      </c>
      <c r="O756" s="1" t="s">
        <v>105</v>
      </c>
      <c r="P756" s="186">
        <v>44896.474027777775</v>
      </c>
      <c r="R756" s="1">
        <v>3</v>
      </c>
      <c r="T756" s="1" t="s">
        <v>646</v>
      </c>
      <c r="U756" s="186">
        <v>44897.474027777775</v>
      </c>
      <c r="V756" s="1" t="s">
        <v>41</v>
      </c>
      <c r="W756" s="1" t="s">
        <v>49</v>
      </c>
      <c r="X756" s="13" t="str">
        <f t="shared" si="77"/>
        <v/>
      </c>
      <c r="Y756" s="2">
        <f t="shared" ca="1" si="78"/>
        <v>65</v>
      </c>
      <c r="Z756" s="14"/>
      <c r="AA756" s="14"/>
      <c r="AC756" s="21"/>
      <c r="AE756" s="21"/>
    </row>
    <row r="757" spans="1:31" hidden="1">
      <c r="A757" s="1">
        <v>9126716</v>
      </c>
      <c r="B757" s="1" t="s">
        <v>101</v>
      </c>
      <c r="C757" t="s">
        <v>643</v>
      </c>
      <c r="D757" s="2">
        <v>220197478</v>
      </c>
      <c r="E757" s="2">
        <v>2018001400040</v>
      </c>
      <c r="F757" s="1" t="s">
        <v>644</v>
      </c>
      <c r="G757" s="1" t="s">
        <v>53</v>
      </c>
      <c r="H757" s="1" t="s">
        <v>598</v>
      </c>
      <c r="I757" s="1" t="s">
        <v>599</v>
      </c>
      <c r="J757" s="1" t="s">
        <v>79</v>
      </c>
      <c r="K757" t="s">
        <v>645</v>
      </c>
      <c r="M757" s="1" t="s">
        <v>58</v>
      </c>
      <c r="N757" s="1">
        <v>0</v>
      </c>
      <c r="O757" s="1" t="s">
        <v>105</v>
      </c>
      <c r="P757" s="186">
        <v>44896.471365740741</v>
      </c>
      <c r="R757" s="1">
        <v>2</v>
      </c>
      <c r="T757" s="1" t="s">
        <v>646</v>
      </c>
      <c r="U757" s="186">
        <v>44897.471377314818</v>
      </c>
      <c r="V757" s="1" t="s">
        <v>41</v>
      </c>
      <c r="W757" s="1" t="s">
        <v>49</v>
      </c>
      <c r="X757" s="13" t="str">
        <f t="shared" si="77"/>
        <v/>
      </c>
      <c r="Y757" s="2">
        <f t="shared" ca="1" si="78"/>
        <v>65</v>
      </c>
      <c r="Z757" s="14"/>
      <c r="AA757" s="14"/>
      <c r="AC757" s="21"/>
      <c r="AE757" s="21"/>
    </row>
    <row r="758" spans="1:31" hidden="1">
      <c r="A758" s="1">
        <v>9126674</v>
      </c>
      <c r="B758" s="1" t="s">
        <v>101</v>
      </c>
      <c r="C758" t="s">
        <v>643</v>
      </c>
      <c r="D758" s="2">
        <v>220197259</v>
      </c>
      <c r="E758" s="2">
        <v>1291001400040</v>
      </c>
      <c r="F758" s="1" t="s">
        <v>644</v>
      </c>
      <c r="G758" s="1" t="s">
        <v>53</v>
      </c>
      <c r="H758" s="1" t="s">
        <v>136</v>
      </c>
      <c r="I758" s="1" t="s">
        <v>137</v>
      </c>
      <c r="J758" s="1" t="s">
        <v>33</v>
      </c>
      <c r="K758" t="s">
        <v>645</v>
      </c>
      <c r="M758" s="1" t="s">
        <v>58</v>
      </c>
      <c r="N758" s="1">
        <v>0</v>
      </c>
      <c r="O758" s="1" t="s">
        <v>105</v>
      </c>
      <c r="P758" s="186">
        <v>44896.469618055555</v>
      </c>
      <c r="R758" s="1">
        <v>3</v>
      </c>
      <c r="T758" s="1" t="s">
        <v>646</v>
      </c>
      <c r="U758" s="186">
        <v>44897.469629629632</v>
      </c>
      <c r="V758" s="1" t="s">
        <v>41</v>
      </c>
      <c r="W758" s="1" t="s">
        <v>42</v>
      </c>
      <c r="X758" s="13" t="str">
        <f t="shared" si="77"/>
        <v/>
      </c>
      <c r="Y758" s="2">
        <f t="shared" ca="1" si="78"/>
        <v>65</v>
      </c>
      <c r="Z758" s="14"/>
      <c r="AA758" s="14"/>
      <c r="AC758" s="21"/>
      <c r="AE758" s="21"/>
    </row>
    <row r="759" spans="1:31" hidden="1">
      <c r="A759" s="1">
        <v>9126667</v>
      </c>
      <c r="B759" s="1" t="s">
        <v>101</v>
      </c>
      <c r="C759" t="s">
        <v>643</v>
      </c>
      <c r="D759" s="2">
        <v>220197252</v>
      </c>
      <c r="E759" s="2">
        <v>1264001400040</v>
      </c>
      <c r="F759" s="1" t="s">
        <v>644</v>
      </c>
      <c r="G759" s="1" t="s">
        <v>53</v>
      </c>
      <c r="H759" s="1" t="s">
        <v>351</v>
      </c>
      <c r="I759" s="1" t="s">
        <v>352</v>
      </c>
      <c r="J759" s="1" t="s">
        <v>110</v>
      </c>
      <c r="K759" t="s">
        <v>645</v>
      </c>
      <c r="M759" s="1" t="s">
        <v>58</v>
      </c>
      <c r="N759" s="1">
        <v>0</v>
      </c>
      <c r="O759" s="1" t="s">
        <v>105</v>
      </c>
      <c r="P759" s="186">
        <v>44896.469212962962</v>
      </c>
      <c r="R759" s="1">
        <v>2</v>
      </c>
      <c r="T759" s="1" t="s">
        <v>646</v>
      </c>
      <c r="U759" s="186">
        <v>44897.469212962962</v>
      </c>
      <c r="V759" s="1" t="s">
        <v>41</v>
      </c>
      <c r="W759" s="1" t="s">
        <v>49</v>
      </c>
      <c r="X759" s="13" t="str">
        <f t="shared" si="77"/>
        <v/>
      </c>
      <c r="Y759" s="2">
        <f t="shared" ca="1" si="78"/>
        <v>65</v>
      </c>
      <c r="Z759" s="14"/>
      <c r="AA759" s="14"/>
      <c r="AC759" s="21"/>
      <c r="AE759" s="21"/>
    </row>
    <row r="760" spans="1:31" hidden="1">
      <c r="A760" s="1">
        <v>9126655</v>
      </c>
      <c r="B760" s="1" t="s">
        <v>101</v>
      </c>
      <c r="C760" t="s">
        <v>643</v>
      </c>
      <c r="D760" s="2">
        <v>220197635</v>
      </c>
      <c r="E760" s="2">
        <v>2529001400040</v>
      </c>
      <c r="F760" s="1" t="s">
        <v>644</v>
      </c>
      <c r="G760" s="1" t="s">
        <v>53</v>
      </c>
      <c r="H760" s="1" t="s">
        <v>355</v>
      </c>
      <c r="I760" s="1" t="s">
        <v>356</v>
      </c>
      <c r="J760" s="1" t="s">
        <v>56</v>
      </c>
      <c r="K760" t="s">
        <v>645</v>
      </c>
      <c r="M760" s="1" t="s">
        <v>58</v>
      </c>
      <c r="N760" s="1">
        <v>0</v>
      </c>
      <c r="O760" s="1" t="s">
        <v>105</v>
      </c>
      <c r="P760" s="186">
        <v>44896.468472222223</v>
      </c>
      <c r="R760" s="1">
        <v>2</v>
      </c>
      <c r="T760" s="1" t="s">
        <v>646</v>
      </c>
      <c r="U760" s="186">
        <v>44897.468472222223</v>
      </c>
      <c r="V760" s="1" t="s">
        <v>41</v>
      </c>
      <c r="W760" s="1" t="s">
        <v>49</v>
      </c>
      <c r="X760" s="13" t="str">
        <f t="shared" si="77"/>
        <v/>
      </c>
      <c r="Y760" s="2">
        <f t="shared" ca="1" si="78"/>
        <v>65</v>
      </c>
      <c r="Z760" s="14"/>
      <c r="AA760" s="14"/>
      <c r="AC760" s="21"/>
      <c r="AE760" s="21"/>
    </row>
    <row r="761" spans="1:31" hidden="1">
      <c r="A761" s="1">
        <v>9126627</v>
      </c>
      <c r="B761" s="1" t="s">
        <v>101</v>
      </c>
      <c r="C761" t="s">
        <v>643</v>
      </c>
      <c r="D761" s="2">
        <v>220197615</v>
      </c>
      <c r="E761" s="2">
        <v>2473001400040</v>
      </c>
      <c r="F761" s="1" t="s">
        <v>644</v>
      </c>
      <c r="G761" s="1" t="s">
        <v>53</v>
      </c>
      <c r="H761" s="1" t="s">
        <v>1459</v>
      </c>
      <c r="I761" s="1" t="s">
        <v>1460</v>
      </c>
      <c r="J761" s="1" t="s">
        <v>261</v>
      </c>
      <c r="K761" t="s">
        <v>645</v>
      </c>
      <c r="M761" s="1" t="s">
        <v>58</v>
      </c>
      <c r="N761" s="1">
        <v>0</v>
      </c>
      <c r="O761" s="1" t="s">
        <v>105</v>
      </c>
      <c r="P761" s="186">
        <v>44896.467326388891</v>
      </c>
      <c r="R761" s="1">
        <v>2</v>
      </c>
      <c r="T761" s="1" t="s">
        <v>646</v>
      </c>
      <c r="U761" s="186">
        <v>44897.467326388891</v>
      </c>
      <c r="V761" s="1" t="s">
        <v>41</v>
      </c>
      <c r="W761" s="1" t="s">
        <v>49</v>
      </c>
      <c r="X761" s="13" t="str">
        <f t="shared" si="77"/>
        <v/>
      </c>
      <c r="Y761" s="2">
        <f t="shared" ca="1" si="78"/>
        <v>65</v>
      </c>
      <c r="Z761" s="14"/>
      <c r="AA761" s="14"/>
      <c r="AC761" s="21"/>
      <c r="AE761" s="21"/>
    </row>
    <row r="762" spans="1:31" hidden="1">
      <c r="A762" s="1">
        <v>9126604</v>
      </c>
      <c r="B762" s="1" t="s">
        <v>101</v>
      </c>
      <c r="C762" t="s">
        <v>643</v>
      </c>
      <c r="D762" s="2">
        <v>220197647</v>
      </c>
      <c r="E762" s="2">
        <v>2564001400040</v>
      </c>
      <c r="F762" s="1" t="s">
        <v>644</v>
      </c>
      <c r="G762" s="1" t="s">
        <v>53</v>
      </c>
      <c r="H762" s="1" t="s">
        <v>255</v>
      </c>
      <c r="I762" s="1" t="s">
        <v>256</v>
      </c>
      <c r="J762" s="1" t="s">
        <v>164</v>
      </c>
      <c r="K762" t="s">
        <v>645</v>
      </c>
      <c r="M762" s="1" t="s">
        <v>58</v>
      </c>
      <c r="N762" s="1">
        <v>0</v>
      </c>
      <c r="O762" s="1" t="s">
        <v>105</v>
      </c>
      <c r="P762" s="186">
        <v>44896.466203703705</v>
      </c>
      <c r="R762" s="1">
        <v>3</v>
      </c>
      <c r="T762" s="1" t="s">
        <v>646</v>
      </c>
      <c r="U762" s="186">
        <v>44897.466215277775</v>
      </c>
      <c r="V762" s="1" t="s">
        <v>41</v>
      </c>
      <c r="W762" s="1" t="s">
        <v>49</v>
      </c>
      <c r="X762" s="13" t="str">
        <f t="shared" ref="X762:X825" si="79">IF(RIGHT(H762,2)&lt;&gt;"00",H762,"")</f>
        <v/>
      </c>
      <c r="Y762" s="2">
        <f t="shared" ref="Y762:Y825" ca="1" si="80">NETWORKDAYS(P762,$Y$1)</f>
        <v>65</v>
      </c>
      <c r="Z762" s="14"/>
      <c r="AA762" s="14"/>
      <c r="AC762" s="21"/>
      <c r="AE762" s="21"/>
    </row>
    <row r="763" spans="1:31" hidden="1">
      <c r="A763" s="1">
        <v>9126586</v>
      </c>
      <c r="B763" s="1" t="s">
        <v>101</v>
      </c>
      <c r="C763" t="s">
        <v>643</v>
      </c>
      <c r="D763" s="2">
        <v>220197595</v>
      </c>
      <c r="E763" s="2">
        <v>2413001400040</v>
      </c>
      <c r="F763" s="1" t="s">
        <v>644</v>
      </c>
      <c r="G763" s="1" t="s">
        <v>53</v>
      </c>
      <c r="H763" s="1" t="s">
        <v>505</v>
      </c>
      <c r="I763" s="1" t="s">
        <v>506</v>
      </c>
      <c r="J763" s="1" t="s">
        <v>141</v>
      </c>
      <c r="K763" t="s">
        <v>645</v>
      </c>
      <c r="M763" s="1" t="s">
        <v>58</v>
      </c>
      <c r="N763" s="1">
        <v>0</v>
      </c>
      <c r="O763" s="1" t="s">
        <v>105</v>
      </c>
      <c r="P763" s="186">
        <v>44896.465173611112</v>
      </c>
      <c r="R763" s="1">
        <v>2</v>
      </c>
      <c r="T763" s="1" t="s">
        <v>646</v>
      </c>
      <c r="U763" s="186">
        <v>44897.465185185189</v>
      </c>
      <c r="V763" s="1" t="s">
        <v>41</v>
      </c>
      <c r="W763" s="1" t="s">
        <v>49</v>
      </c>
      <c r="X763" s="13" t="str">
        <f t="shared" si="79"/>
        <v/>
      </c>
      <c r="Y763" s="2">
        <f t="shared" ca="1" si="80"/>
        <v>65</v>
      </c>
      <c r="Z763" s="14"/>
      <c r="AA763" s="14"/>
      <c r="AC763" s="21"/>
      <c r="AE763" s="21"/>
    </row>
    <row r="764" spans="1:31" hidden="1">
      <c r="A764" s="1">
        <v>9126537</v>
      </c>
      <c r="B764" s="1" t="s">
        <v>101</v>
      </c>
      <c r="C764" t="s">
        <v>643</v>
      </c>
      <c r="D764" s="2">
        <v>220197299</v>
      </c>
      <c r="E764" s="2">
        <v>1363001400040</v>
      </c>
      <c r="F764" s="1" t="s">
        <v>644</v>
      </c>
      <c r="G764" s="1" t="s">
        <v>53</v>
      </c>
      <c r="H764" s="1" t="s">
        <v>108</v>
      </c>
      <c r="I764" s="1" t="s">
        <v>109</v>
      </c>
      <c r="J764" s="1" t="s">
        <v>110</v>
      </c>
      <c r="K764" t="s">
        <v>645</v>
      </c>
      <c r="M764" s="1" t="s">
        <v>58</v>
      </c>
      <c r="N764" s="1">
        <v>0</v>
      </c>
      <c r="O764" s="1" t="s">
        <v>105</v>
      </c>
      <c r="P764" s="186">
        <v>44896.462777777779</v>
      </c>
      <c r="R764" s="1">
        <v>3</v>
      </c>
      <c r="T764" s="1" t="s">
        <v>646</v>
      </c>
      <c r="U764" s="186">
        <v>44897.462789351855</v>
      </c>
      <c r="V764" s="1" t="s">
        <v>41</v>
      </c>
      <c r="W764" s="1" t="s">
        <v>49</v>
      </c>
      <c r="X764" s="13" t="str">
        <f t="shared" si="79"/>
        <v/>
      </c>
      <c r="Y764" s="2">
        <f t="shared" ca="1" si="80"/>
        <v>65</v>
      </c>
      <c r="Z764" s="14"/>
      <c r="AA764" s="14"/>
      <c r="AC764" s="21"/>
      <c r="AE764" s="21"/>
    </row>
    <row r="765" spans="1:31" hidden="1">
      <c r="A765" s="1">
        <v>9126536</v>
      </c>
      <c r="B765" s="1" t="s">
        <v>101</v>
      </c>
      <c r="C765" t="s">
        <v>643</v>
      </c>
      <c r="D765" s="2">
        <v>220197298</v>
      </c>
      <c r="E765" s="2">
        <v>1362001400040</v>
      </c>
      <c r="F765" s="1" t="s">
        <v>644</v>
      </c>
      <c r="G765" s="1" t="s">
        <v>53</v>
      </c>
      <c r="H765" s="1" t="s">
        <v>268</v>
      </c>
      <c r="I765" s="1" t="s">
        <v>269</v>
      </c>
      <c r="J765" s="1" t="s">
        <v>90</v>
      </c>
      <c r="K765" t="s">
        <v>645</v>
      </c>
      <c r="M765" s="1" t="s">
        <v>58</v>
      </c>
      <c r="N765" s="1">
        <v>0</v>
      </c>
      <c r="O765" s="1" t="s">
        <v>105</v>
      </c>
      <c r="P765" s="186">
        <v>44896.462708333333</v>
      </c>
      <c r="R765" s="1">
        <v>3</v>
      </c>
      <c r="T765" s="1" t="s">
        <v>646</v>
      </c>
      <c r="U765" s="186">
        <v>44897.462708333333</v>
      </c>
      <c r="V765" s="1" t="s">
        <v>41</v>
      </c>
      <c r="W765" s="1" t="s">
        <v>49</v>
      </c>
      <c r="X765" s="13" t="str">
        <f t="shared" si="79"/>
        <v/>
      </c>
      <c r="Y765" s="2">
        <f t="shared" ca="1" si="80"/>
        <v>65</v>
      </c>
      <c r="Z765" s="14"/>
      <c r="AA765" s="14"/>
      <c r="AC765" s="21"/>
      <c r="AE765" s="21"/>
    </row>
    <row r="766" spans="1:31" hidden="1">
      <c r="A766" s="1">
        <v>9126535</v>
      </c>
      <c r="B766" s="1" t="s">
        <v>101</v>
      </c>
      <c r="C766" t="s">
        <v>643</v>
      </c>
      <c r="D766" s="2">
        <v>220197297</v>
      </c>
      <c r="E766" s="2">
        <v>1360001400040</v>
      </c>
      <c r="F766" s="1" t="s">
        <v>644</v>
      </c>
      <c r="G766" s="1" t="s">
        <v>53</v>
      </c>
      <c r="H766" s="1" t="s">
        <v>303</v>
      </c>
      <c r="I766" s="1" t="s">
        <v>304</v>
      </c>
      <c r="J766" s="1" t="s">
        <v>261</v>
      </c>
      <c r="K766" t="s">
        <v>645</v>
      </c>
      <c r="M766" s="1" t="s">
        <v>58</v>
      </c>
      <c r="N766" s="1">
        <v>0</v>
      </c>
      <c r="O766" s="1" t="s">
        <v>105</v>
      </c>
      <c r="P766" s="186">
        <v>44896.462638888886</v>
      </c>
      <c r="R766" s="1">
        <v>3</v>
      </c>
      <c r="T766" s="1" t="s">
        <v>646</v>
      </c>
      <c r="U766" s="186">
        <v>44897.462650462963</v>
      </c>
      <c r="V766" s="1" t="s">
        <v>41</v>
      </c>
      <c r="W766" s="1" t="s">
        <v>49</v>
      </c>
      <c r="X766" s="13" t="str">
        <f t="shared" si="79"/>
        <v/>
      </c>
      <c r="Y766" s="2">
        <f t="shared" ca="1" si="80"/>
        <v>65</v>
      </c>
      <c r="Z766" s="14"/>
      <c r="AA766" s="14"/>
      <c r="AC766" s="21"/>
      <c r="AE766" s="21"/>
    </row>
    <row r="767" spans="1:31" hidden="1">
      <c r="A767" s="1">
        <v>9126534</v>
      </c>
      <c r="B767" s="1" t="s">
        <v>101</v>
      </c>
      <c r="C767" t="s">
        <v>643</v>
      </c>
      <c r="D767" s="2">
        <v>220197296</v>
      </c>
      <c r="E767" s="2">
        <v>1359001400040</v>
      </c>
      <c r="F767" s="1" t="s">
        <v>644</v>
      </c>
      <c r="G767" s="1" t="s">
        <v>53</v>
      </c>
      <c r="H767" s="1" t="s">
        <v>270</v>
      </c>
      <c r="I767" s="1" t="s">
        <v>271</v>
      </c>
      <c r="J767" s="1" t="s">
        <v>141</v>
      </c>
      <c r="K767" t="s">
        <v>645</v>
      </c>
      <c r="M767" s="1" t="s">
        <v>58</v>
      </c>
      <c r="N767" s="1">
        <v>0</v>
      </c>
      <c r="O767" s="1" t="s">
        <v>105</v>
      </c>
      <c r="P767" s="186">
        <v>44896.462569444448</v>
      </c>
      <c r="R767" s="1">
        <v>2</v>
      </c>
      <c r="T767" s="1" t="s">
        <v>646</v>
      </c>
      <c r="U767" s="186">
        <v>44897.462569444448</v>
      </c>
      <c r="V767" s="1" t="s">
        <v>41</v>
      </c>
      <c r="W767" s="1" t="s">
        <v>49</v>
      </c>
      <c r="X767" s="13" t="str">
        <f t="shared" si="79"/>
        <v/>
      </c>
      <c r="Y767" s="2">
        <f t="shared" ca="1" si="80"/>
        <v>65</v>
      </c>
      <c r="Z767" s="14"/>
      <c r="AA767" s="14"/>
      <c r="AC767" s="21"/>
      <c r="AE767" s="21"/>
    </row>
    <row r="768" spans="1:31" hidden="1">
      <c r="A768" s="1">
        <v>9126515</v>
      </c>
      <c r="B768" s="1" t="s">
        <v>101</v>
      </c>
      <c r="C768" t="s">
        <v>643</v>
      </c>
      <c r="D768" s="2">
        <v>220197245</v>
      </c>
      <c r="E768" s="2">
        <v>1245001400040</v>
      </c>
      <c r="F768" s="1" t="s">
        <v>644</v>
      </c>
      <c r="G768" s="1" t="s">
        <v>53</v>
      </c>
      <c r="H768" s="1" t="s">
        <v>408</v>
      </c>
      <c r="I768" s="1" t="s">
        <v>409</v>
      </c>
      <c r="J768" s="1" t="s">
        <v>46</v>
      </c>
      <c r="K768" t="s">
        <v>645</v>
      </c>
      <c r="M768" s="1" t="s">
        <v>58</v>
      </c>
      <c r="N768" s="1">
        <v>0</v>
      </c>
      <c r="O768" s="1" t="s">
        <v>105</v>
      </c>
      <c r="P768" s="186">
        <v>44896.461180555554</v>
      </c>
      <c r="R768" s="1">
        <v>2</v>
      </c>
      <c r="T768" s="1" t="s">
        <v>646</v>
      </c>
      <c r="U768" s="186">
        <v>44897.461192129631</v>
      </c>
      <c r="V768" s="1" t="s">
        <v>41</v>
      </c>
      <c r="W768" s="1" t="s">
        <v>49</v>
      </c>
      <c r="X768" s="13" t="str">
        <f t="shared" si="79"/>
        <v/>
      </c>
      <c r="Y768" s="2">
        <f t="shared" ca="1" si="80"/>
        <v>65</v>
      </c>
      <c r="Z768" s="14"/>
      <c r="AA768" s="14"/>
      <c r="AC768" s="21"/>
      <c r="AE768" s="21"/>
    </row>
    <row r="769" spans="1:31" hidden="1">
      <c r="A769" s="1">
        <v>9126424</v>
      </c>
      <c r="B769" s="1" t="s">
        <v>101</v>
      </c>
      <c r="C769" t="s">
        <v>643</v>
      </c>
      <c r="D769" s="2">
        <v>220197448</v>
      </c>
      <c r="E769" s="2">
        <v>1792001400040</v>
      </c>
      <c r="F769" s="1" t="s">
        <v>644</v>
      </c>
      <c r="G769" s="1" t="s">
        <v>53</v>
      </c>
      <c r="H769" s="1" t="s">
        <v>467</v>
      </c>
      <c r="I769" s="1" t="s">
        <v>468</v>
      </c>
      <c r="J769" s="1" t="s">
        <v>110</v>
      </c>
      <c r="K769" t="s">
        <v>645</v>
      </c>
      <c r="M769" s="1" t="s">
        <v>58</v>
      </c>
      <c r="N769" s="1">
        <v>0</v>
      </c>
      <c r="O769" s="1" t="s">
        <v>105</v>
      </c>
      <c r="P769" s="186">
        <v>44896.457650462966</v>
      </c>
      <c r="R769" s="1">
        <v>2</v>
      </c>
      <c r="T769" s="1" t="s">
        <v>646</v>
      </c>
      <c r="U769" s="186">
        <v>44897.457662037035</v>
      </c>
      <c r="V769" s="1" t="s">
        <v>41</v>
      </c>
      <c r="W769" s="1" t="s">
        <v>49</v>
      </c>
      <c r="X769" s="13" t="str">
        <f t="shared" si="79"/>
        <v/>
      </c>
      <c r="Y769" s="2">
        <f t="shared" ca="1" si="80"/>
        <v>65</v>
      </c>
      <c r="Z769" s="14"/>
      <c r="AA769" s="14"/>
      <c r="AC769" s="21"/>
      <c r="AE769" s="21"/>
    </row>
    <row r="770" spans="1:31" hidden="1">
      <c r="A770" s="1">
        <v>9126382</v>
      </c>
      <c r="B770" s="1" t="s">
        <v>101</v>
      </c>
      <c r="C770" t="s">
        <v>643</v>
      </c>
      <c r="D770" s="2">
        <v>220197425</v>
      </c>
      <c r="E770" s="2">
        <v>1732001400040</v>
      </c>
      <c r="F770" s="1" t="s">
        <v>644</v>
      </c>
      <c r="G770" s="1" t="s">
        <v>53</v>
      </c>
      <c r="H770" s="1" t="s">
        <v>177</v>
      </c>
      <c r="I770" s="1" t="s">
        <v>178</v>
      </c>
      <c r="J770" s="1" t="s">
        <v>164</v>
      </c>
      <c r="K770" t="s">
        <v>645</v>
      </c>
      <c r="M770" s="1" t="s">
        <v>58</v>
      </c>
      <c r="N770" s="1">
        <v>0</v>
      </c>
      <c r="O770" s="1" t="s">
        <v>105</v>
      </c>
      <c r="P770" s="186">
        <v>44896.456192129626</v>
      </c>
      <c r="R770" s="1">
        <v>3</v>
      </c>
      <c r="T770" s="1" t="s">
        <v>646</v>
      </c>
      <c r="U770" s="186">
        <v>44897.456192129626</v>
      </c>
      <c r="V770" s="1" t="s">
        <v>41</v>
      </c>
      <c r="W770" s="1" t="s">
        <v>49</v>
      </c>
      <c r="X770" s="13" t="str">
        <f t="shared" si="79"/>
        <v/>
      </c>
      <c r="Y770" s="2">
        <f t="shared" ca="1" si="80"/>
        <v>65</v>
      </c>
      <c r="Z770" s="14"/>
      <c r="AA770" s="14"/>
      <c r="AC770" s="21"/>
      <c r="AE770" s="21"/>
    </row>
    <row r="771" spans="1:31" hidden="1">
      <c r="A771" s="1">
        <v>9126343</v>
      </c>
      <c r="B771" s="1" t="s">
        <v>101</v>
      </c>
      <c r="C771" t="s">
        <v>643</v>
      </c>
      <c r="D771" s="2">
        <v>220197402</v>
      </c>
      <c r="E771" s="2">
        <v>1664001400040</v>
      </c>
      <c r="F771" s="1" t="s">
        <v>644</v>
      </c>
      <c r="G771" s="1" t="s">
        <v>53</v>
      </c>
      <c r="H771" s="1" t="s">
        <v>307</v>
      </c>
      <c r="I771" s="1" t="s">
        <v>308</v>
      </c>
      <c r="J771" s="1" t="s">
        <v>164</v>
      </c>
      <c r="K771" t="s">
        <v>645</v>
      </c>
      <c r="M771" s="1" t="s">
        <v>58</v>
      </c>
      <c r="N771" s="1">
        <v>0</v>
      </c>
      <c r="O771" s="1" t="s">
        <v>105</v>
      </c>
      <c r="P771" s="186">
        <v>44896.454652777778</v>
      </c>
      <c r="R771" s="1">
        <v>2</v>
      </c>
      <c r="T771" s="1" t="s">
        <v>646</v>
      </c>
      <c r="U771" s="186">
        <v>44897.454652777778</v>
      </c>
      <c r="V771" s="1" t="s">
        <v>41</v>
      </c>
      <c r="W771" s="1" t="s">
        <v>49</v>
      </c>
      <c r="X771" s="13" t="str">
        <f t="shared" si="79"/>
        <v/>
      </c>
      <c r="Y771" s="2">
        <f t="shared" ca="1" si="80"/>
        <v>65</v>
      </c>
      <c r="Z771" s="14"/>
      <c r="AA771" s="14"/>
      <c r="AC771" s="21"/>
      <c r="AE771" s="21"/>
    </row>
    <row r="772" spans="1:31" hidden="1">
      <c r="A772" s="1">
        <v>9126340</v>
      </c>
      <c r="B772" s="1" t="s">
        <v>101</v>
      </c>
      <c r="C772" t="s">
        <v>643</v>
      </c>
      <c r="D772" s="2">
        <v>220197678</v>
      </c>
      <c r="E772" s="2">
        <v>2678001400040</v>
      </c>
      <c r="F772" s="1" t="s">
        <v>644</v>
      </c>
      <c r="G772" s="1" t="s">
        <v>53</v>
      </c>
      <c r="H772" s="1" t="s">
        <v>992</v>
      </c>
      <c r="I772" s="1" t="s">
        <v>993</v>
      </c>
      <c r="J772" s="1" t="s">
        <v>33</v>
      </c>
      <c r="K772" t="s">
        <v>645</v>
      </c>
      <c r="M772" s="1" t="s">
        <v>58</v>
      </c>
      <c r="N772" s="1">
        <v>0</v>
      </c>
      <c r="O772" s="1" t="s">
        <v>105</v>
      </c>
      <c r="P772" s="186">
        <v>44896.454444444447</v>
      </c>
      <c r="R772" s="1">
        <v>2</v>
      </c>
      <c r="T772" s="1" t="s">
        <v>646</v>
      </c>
      <c r="U772" s="186">
        <v>44897.454456018517</v>
      </c>
      <c r="V772" s="1" t="s">
        <v>41</v>
      </c>
      <c r="W772" s="1" t="s">
        <v>42</v>
      </c>
      <c r="X772" s="13" t="str">
        <f t="shared" si="79"/>
        <v/>
      </c>
      <c r="Y772" s="2">
        <f t="shared" ca="1" si="80"/>
        <v>65</v>
      </c>
      <c r="Z772" s="14"/>
      <c r="AA772" s="14"/>
      <c r="AC772" s="21"/>
      <c r="AE772" s="21"/>
    </row>
    <row r="773" spans="1:31" hidden="1">
      <c r="A773" s="1">
        <v>9126315</v>
      </c>
      <c r="B773" s="1" t="s">
        <v>101</v>
      </c>
      <c r="C773" t="s">
        <v>643</v>
      </c>
      <c r="D773" s="2">
        <v>220196945</v>
      </c>
      <c r="E773" s="2">
        <v>673001400040</v>
      </c>
      <c r="F773" s="1" t="s">
        <v>644</v>
      </c>
      <c r="G773" s="1" t="s">
        <v>53</v>
      </c>
      <c r="H773" s="1" t="s">
        <v>581</v>
      </c>
      <c r="I773" s="1" t="s">
        <v>582</v>
      </c>
      <c r="J773" s="1" t="s">
        <v>110</v>
      </c>
      <c r="K773" t="s">
        <v>645</v>
      </c>
      <c r="M773" s="1" t="s">
        <v>58</v>
      </c>
      <c r="N773" s="1">
        <v>0</v>
      </c>
      <c r="O773" s="1" t="s">
        <v>105</v>
      </c>
      <c r="P773" s="186">
        <v>44896.452546296299</v>
      </c>
      <c r="R773" s="1">
        <v>2</v>
      </c>
      <c r="T773" s="1" t="s">
        <v>646</v>
      </c>
      <c r="U773" s="186">
        <v>44897.452557870369</v>
      </c>
      <c r="V773" s="1" t="s">
        <v>41</v>
      </c>
      <c r="W773" s="1" t="s">
        <v>49</v>
      </c>
      <c r="X773" s="13" t="str">
        <f t="shared" si="79"/>
        <v/>
      </c>
      <c r="Y773" s="2">
        <f t="shared" ca="1" si="80"/>
        <v>65</v>
      </c>
      <c r="Z773" s="14"/>
      <c r="AA773" s="14"/>
      <c r="AC773" s="21"/>
      <c r="AE773" s="21"/>
    </row>
    <row r="774" spans="1:31" hidden="1">
      <c r="A774" s="1">
        <v>9126276</v>
      </c>
      <c r="B774" s="1" t="s">
        <v>101</v>
      </c>
      <c r="C774" t="s">
        <v>643</v>
      </c>
      <c r="D774" s="2">
        <v>220197114</v>
      </c>
      <c r="E774" s="2">
        <v>981001400040</v>
      </c>
      <c r="F774" s="1" t="s">
        <v>644</v>
      </c>
      <c r="G774" s="1" t="s">
        <v>53</v>
      </c>
      <c r="H774" s="1" t="s">
        <v>410</v>
      </c>
      <c r="I774" s="1" t="s">
        <v>411</v>
      </c>
      <c r="J774" s="1" t="s">
        <v>85</v>
      </c>
      <c r="K774" t="s">
        <v>645</v>
      </c>
      <c r="M774" s="1" t="s">
        <v>58</v>
      </c>
      <c r="N774" s="1">
        <v>0</v>
      </c>
      <c r="O774" s="1" t="s">
        <v>105</v>
      </c>
      <c r="P774" s="186">
        <v>44896.450682870367</v>
      </c>
      <c r="R774" s="1">
        <v>3</v>
      </c>
      <c r="T774" s="1" t="s">
        <v>646</v>
      </c>
      <c r="U774" s="186">
        <v>44897.450682870367</v>
      </c>
      <c r="V774" s="1" t="s">
        <v>41</v>
      </c>
      <c r="W774" s="1" t="s">
        <v>49</v>
      </c>
      <c r="X774" s="13" t="str">
        <f t="shared" si="79"/>
        <v/>
      </c>
      <c r="Y774" s="2">
        <f t="shared" ca="1" si="80"/>
        <v>65</v>
      </c>
      <c r="Z774" s="14"/>
      <c r="AA774" s="14"/>
      <c r="AC774" s="21"/>
      <c r="AE774" s="21"/>
    </row>
    <row r="775" spans="1:31" hidden="1">
      <c r="A775" s="1">
        <v>9126219</v>
      </c>
      <c r="B775" s="1" t="s">
        <v>101</v>
      </c>
      <c r="C775" t="s">
        <v>643</v>
      </c>
      <c r="D775" s="2">
        <v>220196904</v>
      </c>
      <c r="E775" s="2">
        <v>608001400040</v>
      </c>
      <c r="F775" s="1" t="s">
        <v>644</v>
      </c>
      <c r="G775" s="1" t="s">
        <v>53</v>
      </c>
      <c r="H775" s="1" t="s">
        <v>438</v>
      </c>
      <c r="I775" s="1" t="s">
        <v>439</v>
      </c>
      <c r="J775" s="1" t="s">
        <v>148</v>
      </c>
      <c r="K775" t="s">
        <v>645</v>
      </c>
      <c r="M775" s="1" t="s">
        <v>58</v>
      </c>
      <c r="N775" s="1">
        <v>0</v>
      </c>
      <c r="O775" s="1" t="s">
        <v>105</v>
      </c>
      <c r="P775" s="186">
        <v>44896.447650462964</v>
      </c>
      <c r="R775" s="1">
        <v>3</v>
      </c>
      <c r="T775" s="1" t="s">
        <v>646</v>
      </c>
      <c r="U775" s="186">
        <v>44897.447650462964</v>
      </c>
      <c r="V775" s="1" t="s">
        <v>41</v>
      </c>
      <c r="W775" s="1" t="s">
        <v>49</v>
      </c>
      <c r="X775" s="13" t="str">
        <f t="shared" si="79"/>
        <v/>
      </c>
      <c r="Y775" s="2">
        <f t="shared" ca="1" si="80"/>
        <v>65</v>
      </c>
      <c r="Z775" s="14"/>
      <c r="AA775" s="14"/>
      <c r="AC775" s="21"/>
      <c r="AE775" s="21"/>
    </row>
    <row r="776" spans="1:31" hidden="1">
      <c r="A776" s="1">
        <v>9126206</v>
      </c>
      <c r="B776" s="1" t="s">
        <v>101</v>
      </c>
      <c r="C776" t="s">
        <v>643</v>
      </c>
      <c r="D776" s="2">
        <v>220196891</v>
      </c>
      <c r="E776" s="2">
        <v>582001400040</v>
      </c>
      <c r="F776" s="1" t="s">
        <v>644</v>
      </c>
      <c r="G776" s="1" t="s">
        <v>53</v>
      </c>
      <c r="H776" s="1" t="s">
        <v>139</v>
      </c>
      <c r="I776" s="1" t="s">
        <v>140</v>
      </c>
      <c r="J776" s="1" t="s">
        <v>141</v>
      </c>
      <c r="K776" t="s">
        <v>645</v>
      </c>
      <c r="M776" s="1" t="s">
        <v>58</v>
      </c>
      <c r="N776" s="1">
        <v>0</v>
      </c>
      <c r="O776" s="1" t="s">
        <v>105</v>
      </c>
      <c r="P776" s="186">
        <v>44896.446828703702</v>
      </c>
      <c r="R776" s="1">
        <v>3</v>
      </c>
      <c r="T776" s="1" t="s">
        <v>646</v>
      </c>
      <c r="U776" s="186">
        <v>44897.446828703702</v>
      </c>
      <c r="V776" s="1" t="s">
        <v>41</v>
      </c>
      <c r="W776" s="1" t="s">
        <v>49</v>
      </c>
      <c r="X776" s="13" t="str">
        <f t="shared" si="79"/>
        <v/>
      </c>
      <c r="Y776" s="2">
        <f t="shared" ca="1" si="80"/>
        <v>65</v>
      </c>
      <c r="Z776" s="14"/>
      <c r="AA776" s="14"/>
      <c r="AC776" s="21"/>
      <c r="AE776" s="21"/>
    </row>
    <row r="777" spans="1:31" hidden="1">
      <c r="A777" s="1">
        <v>9126187</v>
      </c>
      <c r="B777" s="1" t="s">
        <v>101</v>
      </c>
      <c r="C777" t="s">
        <v>643</v>
      </c>
      <c r="D777" s="2">
        <v>220196872</v>
      </c>
      <c r="E777" s="2">
        <v>550001400040</v>
      </c>
      <c r="F777" s="1" t="s">
        <v>644</v>
      </c>
      <c r="G777" s="1" t="s">
        <v>53</v>
      </c>
      <c r="H777" s="1" t="s">
        <v>337</v>
      </c>
      <c r="I777" s="1" t="s">
        <v>338</v>
      </c>
      <c r="J777" s="1" t="s">
        <v>164</v>
      </c>
      <c r="K777" t="s">
        <v>645</v>
      </c>
      <c r="M777" s="1" t="s">
        <v>58</v>
      </c>
      <c r="N777" s="1">
        <v>0</v>
      </c>
      <c r="O777" s="1" t="s">
        <v>105</v>
      </c>
      <c r="P777" s="186">
        <v>44896.445625</v>
      </c>
      <c r="R777" s="1">
        <v>3</v>
      </c>
      <c r="T777" s="1" t="s">
        <v>646</v>
      </c>
      <c r="U777" s="186">
        <v>44897.445636574077</v>
      </c>
      <c r="V777" s="1" t="s">
        <v>41</v>
      </c>
      <c r="W777" s="1" t="s">
        <v>49</v>
      </c>
      <c r="X777" s="13" t="str">
        <f t="shared" si="79"/>
        <v/>
      </c>
      <c r="Y777" s="2">
        <f t="shared" ca="1" si="80"/>
        <v>65</v>
      </c>
      <c r="Z777" s="14"/>
      <c r="AA777" s="14"/>
      <c r="AC777" s="21"/>
      <c r="AE777" s="21"/>
    </row>
    <row r="778" spans="1:31" hidden="1">
      <c r="A778" s="1">
        <v>9126178</v>
      </c>
      <c r="B778" s="1" t="s">
        <v>101</v>
      </c>
      <c r="C778" t="s">
        <v>643</v>
      </c>
      <c r="D778" s="2">
        <v>220196867</v>
      </c>
      <c r="E778" s="2">
        <v>537001400040</v>
      </c>
      <c r="F778" s="1" t="s">
        <v>644</v>
      </c>
      <c r="G778" s="1" t="s">
        <v>53</v>
      </c>
      <c r="H778" s="1" t="s">
        <v>442</v>
      </c>
      <c r="I778" s="1" t="s">
        <v>443</v>
      </c>
      <c r="J778" s="1" t="s">
        <v>79</v>
      </c>
      <c r="K778" t="s">
        <v>645</v>
      </c>
      <c r="M778" s="1" t="s">
        <v>58</v>
      </c>
      <c r="N778" s="1">
        <v>0</v>
      </c>
      <c r="O778" s="1" t="s">
        <v>105</v>
      </c>
      <c r="P778" s="186">
        <v>44896.445023148146</v>
      </c>
      <c r="R778" s="1">
        <v>2</v>
      </c>
      <c r="T778" s="1" t="s">
        <v>646</v>
      </c>
      <c r="U778" s="186">
        <v>44897.445023148146</v>
      </c>
      <c r="V778" s="1" t="s">
        <v>41</v>
      </c>
      <c r="W778" s="1" t="s">
        <v>49</v>
      </c>
      <c r="X778" s="13" t="str">
        <f t="shared" si="79"/>
        <v/>
      </c>
      <c r="Y778" s="2">
        <f t="shared" ca="1" si="80"/>
        <v>65</v>
      </c>
      <c r="Z778" s="14"/>
      <c r="AA778" s="14"/>
      <c r="AC778" s="21"/>
      <c r="AE778" s="21"/>
    </row>
    <row r="779" spans="1:31" hidden="1">
      <c r="A779" s="1">
        <v>9126149</v>
      </c>
      <c r="B779" s="1" t="s">
        <v>101</v>
      </c>
      <c r="C779" t="s">
        <v>643</v>
      </c>
      <c r="D779" s="2">
        <v>220197129</v>
      </c>
      <c r="E779" s="2">
        <v>1012001400040</v>
      </c>
      <c r="F779" s="1" t="s">
        <v>644</v>
      </c>
      <c r="G779" s="1" t="s">
        <v>53</v>
      </c>
      <c r="H779" s="1" t="s">
        <v>172</v>
      </c>
      <c r="I779" s="1" t="s">
        <v>173</v>
      </c>
      <c r="J779" s="1" t="s">
        <v>164</v>
      </c>
      <c r="K779" t="s">
        <v>645</v>
      </c>
      <c r="M779" s="1" t="s">
        <v>58</v>
      </c>
      <c r="N779" s="1">
        <v>0</v>
      </c>
      <c r="O779" s="1" t="s">
        <v>105</v>
      </c>
      <c r="P779" s="186">
        <v>44896.443888888891</v>
      </c>
      <c r="R779" s="1">
        <v>2</v>
      </c>
      <c r="T779" s="1" t="s">
        <v>646</v>
      </c>
      <c r="U779" s="186">
        <v>44897.443888888891</v>
      </c>
      <c r="V779" s="1" t="s">
        <v>41</v>
      </c>
      <c r="W779" s="1" t="s">
        <v>49</v>
      </c>
      <c r="X779" s="13" t="str">
        <f t="shared" si="79"/>
        <v/>
      </c>
      <c r="Y779" s="2">
        <f t="shared" ca="1" si="80"/>
        <v>65</v>
      </c>
      <c r="Z779" s="14"/>
      <c r="AA779" s="14"/>
      <c r="AC779" s="21"/>
      <c r="AE779" s="21"/>
    </row>
    <row r="780" spans="1:31" hidden="1">
      <c r="A780" s="1">
        <v>9126105</v>
      </c>
      <c r="B780" s="1" t="s">
        <v>101</v>
      </c>
      <c r="C780" t="s">
        <v>643</v>
      </c>
      <c r="D780" s="2">
        <v>220197072</v>
      </c>
      <c r="E780" s="2">
        <v>899001400040</v>
      </c>
      <c r="F780" s="1" t="s">
        <v>644</v>
      </c>
      <c r="G780" s="1" t="s">
        <v>53</v>
      </c>
      <c r="H780" s="1" t="s">
        <v>175</v>
      </c>
      <c r="I780" s="1" t="s">
        <v>176</v>
      </c>
      <c r="J780" s="1" t="s">
        <v>90</v>
      </c>
      <c r="K780" t="s">
        <v>645</v>
      </c>
      <c r="M780" s="1" t="s">
        <v>58</v>
      </c>
      <c r="N780" s="1">
        <v>0</v>
      </c>
      <c r="O780" s="1" t="s">
        <v>36</v>
      </c>
      <c r="P780" s="186">
        <v>44896.441180555557</v>
      </c>
      <c r="R780" s="1">
        <v>2</v>
      </c>
      <c r="T780" s="1" t="s">
        <v>646</v>
      </c>
      <c r="U780" s="186">
        <v>44897.441180555557</v>
      </c>
      <c r="V780" s="1" t="s">
        <v>41</v>
      </c>
      <c r="W780" s="1" t="s">
        <v>49</v>
      </c>
      <c r="X780" s="13" t="str">
        <f t="shared" si="79"/>
        <v/>
      </c>
      <c r="Y780" s="2">
        <f t="shared" ca="1" si="80"/>
        <v>65</v>
      </c>
      <c r="Z780" s="14"/>
      <c r="AA780" s="14"/>
      <c r="AC780" s="21"/>
      <c r="AE780" s="21"/>
    </row>
    <row r="781" spans="1:31" hidden="1">
      <c r="A781" s="1">
        <v>9125943</v>
      </c>
      <c r="B781" s="1" t="s">
        <v>101</v>
      </c>
      <c r="C781" t="s">
        <v>643</v>
      </c>
      <c r="D781" s="2">
        <v>220197093</v>
      </c>
      <c r="E781" s="2">
        <v>934001400040</v>
      </c>
      <c r="F781" s="1" t="s">
        <v>644</v>
      </c>
      <c r="G781" s="1" t="s">
        <v>53</v>
      </c>
      <c r="H781" s="1" t="s">
        <v>428</v>
      </c>
      <c r="I781" s="1" t="s">
        <v>429</v>
      </c>
      <c r="J781" s="1" t="s">
        <v>46</v>
      </c>
      <c r="K781" t="s">
        <v>645</v>
      </c>
      <c r="M781" s="1" t="s">
        <v>58</v>
      </c>
      <c r="N781" s="1">
        <v>0</v>
      </c>
      <c r="O781" s="1" t="s">
        <v>105</v>
      </c>
      <c r="P781" s="186">
        <v>44896.434560185182</v>
      </c>
      <c r="R781" s="1">
        <v>2</v>
      </c>
      <c r="T781" s="1" t="s">
        <v>646</v>
      </c>
      <c r="U781" s="186">
        <v>44897.434560185182</v>
      </c>
      <c r="V781" s="1" t="s">
        <v>41</v>
      </c>
      <c r="W781" s="1" t="s">
        <v>49</v>
      </c>
      <c r="X781" s="13" t="str">
        <f t="shared" si="79"/>
        <v/>
      </c>
      <c r="Y781" s="2">
        <f t="shared" ca="1" si="80"/>
        <v>65</v>
      </c>
      <c r="Z781" s="14"/>
      <c r="AA781" s="14"/>
      <c r="AC781" s="21"/>
      <c r="AE781" s="21"/>
    </row>
    <row r="782" spans="1:31" hidden="1">
      <c r="A782" s="1">
        <v>9125924</v>
      </c>
      <c r="B782" s="1" t="s">
        <v>101</v>
      </c>
      <c r="C782" t="s">
        <v>643</v>
      </c>
      <c r="D782" s="2">
        <v>220197082</v>
      </c>
      <c r="E782" s="2">
        <v>922001400040</v>
      </c>
      <c r="F782" s="1" t="s">
        <v>644</v>
      </c>
      <c r="G782" s="1" t="s">
        <v>53</v>
      </c>
      <c r="H782" s="1" t="s">
        <v>1375</v>
      </c>
      <c r="I782" s="1" t="s">
        <v>1376</v>
      </c>
      <c r="J782" s="1" t="s">
        <v>261</v>
      </c>
      <c r="K782" t="s">
        <v>645</v>
      </c>
      <c r="M782" s="1" t="s">
        <v>58</v>
      </c>
      <c r="N782" s="1">
        <v>0</v>
      </c>
      <c r="O782" s="1" t="s">
        <v>105</v>
      </c>
      <c r="P782" s="186">
        <v>44896.433796296296</v>
      </c>
      <c r="R782" s="1">
        <v>3</v>
      </c>
      <c r="T782" s="1" t="s">
        <v>646</v>
      </c>
      <c r="U782" s="186">
        <v>44897.433796296296</v>
      </c>
      <c r="V782" s="1" t="s">
        <v>41</v>
      </c>
      <c r="W782" s="1" t="s">
        <v>49</v>
      </c>
      <c r="X782" s="13" t="str">
        <f t="shared" si="79"/>
        <v/>
      </c>
      <c r="Y782" s="2">
        <f t="shared" ca="1" si="80"/>
        <v>65</v>
      </c>
      <c r="Z782" s="14"/>
      <c r="AA782" s="14"/>
      <c r="AC782" s="21"/>
      <c r="AE782" s="21"/>
    </row>
    <row r="783" spans="1:31" hidden="1">
      <c r="A783" s="1">
        <v>9125919</v>
      </c>
      <c r="B783" s="1" t="s">
        <v>101</v>
      </c>
      <c r="C783" t="s">
        <v>643</v>
      </c>
      <c r="D783" s="2">
        <v>220197080</v>
      </c>
      <c r="E783" s="2">
        <v>917001400040</v>
      </c>
      <c r="F783" s="1" t="s">
        <v>644</v>
      </c>
      <c r="G783" s="1" t="s">
        <v>53</v>
      </c>
      <c r="H783" s="1" t="s">
        <v>83</v>
      </c>
      <c r="I783" s="1" t="s">
        <v>84</v>
      </c>
      <c r="J783" s="1" t="s">
        <v>85</v>
      </c>
      <c r="K783" t="s">
        <v>645</v>
      </c>
      <c r="M783" s="1" t="s">
        <v>58</v>
      </c>
      <c r="N783" s="1">
        <v>0</v>
      </c>
      <c r="O783" s="1" t="s">
        <v>105</v>
      </c>
      <c r="P783" s="186">
        <v>44896.433657407404</v>
      </c>
      <c r="R783" s="1">
        <v>3</v>
      </c>
      <c r="T783" s="1" t="s">
        <v>646</v>
      </c>
      <c r="U783" s="186">
        <v>44897.433657407404</v>
      </c>
      <c r="V783" s="1" t="s">
        <v>41</v>
      </c>
      <c r="W783" s="1" t="s">
        <v>49</v>
      </c>
      <c r="X783" s="13" t="str">
        <f t="shared" si="79"/>
        <v/>
      </c>
      <c r="Y783" s="2">
        <f t="shared" ca="1" si="80"/>
        <v>65</v>
      </c>
      <c r="Z783" s="14"/>
      <c r="AA783" s="14"/>
      <c r="AC783" s="21"/>
      <c r="AE783" s="21"/>
    </row>
    <row r="784" spans="1:31" hidden="1">
      <c r="A784" s="1">
        <v>9125717</v>
      </c>
      <c r="B784" s="1" t="s">
        <v>101</v>
      </c>
      <c r="C784" t="s">
        <v>643</v>
      </c>
      <c r="D784" s="2">
        <v>220196408</v>
      </c>
      <c r="E784" s="2">
        <v>5755001400030</v>
      </c>
      <c r="F784" s="1" t="s">
        <v>647</v>
      </c>
      <c r="G784" s="1" t="s">
        <v>53</v>
      </c>
      <c r="H784" s="1" t="s">
        <v>841</v>
      </c>
      <c r="I784" s="1" t="s">
        <v>842</v>
      </c>
      <c r="J784" s="1" t="s">
        <v>46</v>
      </c>
      <c r="K784" t="s">
        <v>650</v>
      </c>
      <c r="M784" s="1" t="s">
        <v>58</v>
      </c>
      <c r="N784" s="1">
        <v>0</v>
      </c>
      <c r="O784" s="1" t="s">
        <v>105</v>
      </c>
      <c r="P784" s="186">
        <v>44896.422476851854</v>
      </c>
      <c r="R784" s="1">
        <v>4</v>
      </c>
      <c r="T784" s="1" t="s">
        <v>646</v>
      </c>
      <c r="U784" s="186">
        <v>44897.422476851854</v>
      </c>
      <c r="V784" s="1" t="s">
        <v>41</v>
      </c>
      <c r="W784" s="1" t="s">
        <v>49</v>
      </c>
      <c r="X784" s="13" t="str">
        <f t="shared" si="79"/>
        <v/>
      </c>
      <c r="Y784" s="2">
        <f t="shared" ca="1" si="80"/>
        <v>65</v>
      </c>
      <c r="Z784" s="14"/>
      <c r="AA784" s="14"/>
      <c r="AC784" s="21"/>
      <c r="AE784" s="21"/>
    </row>
    <row r="785" spans="1:31" hidden="1">
      <c r="A785" s="1">
        <v>9125693</v>
      </c>
      <c r="B785" s="1" t="s">
        <v>101</v>
      </c>
      <c r="C785" t="s">
        <v>643</v>
      </c>
      <c r="D785" s="2">
        <v>220196378</v>
      </c>
      <c r="E785" s="2">
        <v>1943001400030</v>
      </c>
      <c r="F785" s="1" t="s">
        <v>647</v>
      </c>
      <c r="G785" s="1" t="s">
        <v>53</v>
      </c>
      <c r="H785" s="1" t="s">
        <v>264</v>
      </c>
      <c r="I785" s="1" t="s">
        <v>265</v>
      </c>
      <c r="J785" s="1" t="s">
        <v>56</v>
      </c>
      <c r="K785" t="s">
        <v>650</v>
      </c>
      <c r="M785" s="1" t="s">
        <v>58</v>
      </c>
      <c r="N785" s="1">
        <v>0</v>
      </c>
      <c r="O785" s="1" t="s">
        <v>105</v>
      </c>
      <c r="P785" s="186">
        <v>44896.421620370369</v>
      </c>
      <c r="R785" s="1">
        <v>4</v>
      </c>
      <c r="T785" s="1" t="s">
        <v>646</v>
      </c>
      <c r="U785" s="186">
        <v>44897.421620370369</v>
      </c>
      <c r="V785" s="1" t="s">
        <v>41</v>
      </c>
      <c r="W785" s="1" t="s">
        <v>49</v>
      </c>
      <c r="X785" s="13" t="str">
        <f t="shared" si="79"/>
        <v/>
      </c>
      <c r="Y785" s="2">
        <f t="shared" ca="1" si="80"/>
        <v>65</v>
      </c>
      <c r="Z785" s="14"/>
      <c r="AA785" s="14"/>
      <c r="AC785" s="21"/>
      <c r="AE785" s="21"/>
    </row>
    <row r="786" spans="1:31" hidden="1">
      <c r="A786" s="1">
        <v>9125609</v>
      </c>
      <c r="B786" s="1" t="s">
        <v>101</v>
      </c>
      <c r="C786" t="s">
        <v>643</v>
      </c>
      <c r="D786" s="2">
        <v>220196332</v>
      </c>
      <c r="E786" s="2">
        <v>5898001400030</v>
      </c>
      <c r="F786" s="1" t="s">
        <v>647</v>
      </c>
      <c r="G786" s="1" t="s">
        <v>53</v>
      </c>
      <c r="H786" s="1" t="s">
        <v>365</v>
      </c>
      <c r="I786" s="1" t="s">
        <v>366</v>
      </c>
      <c r="J786" s="1" t="s">
        <v>164</v>
      </c>
      <c r="K786" t="s">
        <v>650</v>
      </c>
      <c r="M786" s="1" t="s">
        <v>58</v>
      </c>
      <c r="N786" s="1">
        <v>0</v>
      </c>
      <c r="O786" s="1" t="s">
        <v>105</v>
      </c>
      <c r="P786" s="186">
        <v>44896.417812500003</v>
      </c>
      <c r="R786" s="1">
        <v>4</v>
      </c>
      <c r="T786" s="1" t="s">
        <v>646</v>
      </c>
      <c r="U786" s="186">
        <v>44897.417812500003</v>
      </c>
      <c r="V786" s="1" t="s">
        <v>41</v>
      </c>
      <c r="W786" s="1" t="s">
        <v>49</v>
      </c>
      <c r="X786" s="13" t="str">
        <f t="shared" si="79"/>
        <v/>
      </c>
      <c r="Y786" s="2">
        <f t="shared" ca="1" si="80"/>
        <v>65</v>
      </c>
      <c r="Z786" s="14"/>
      <c r="AA786" s="14"/>
      <c r="AC786" s="21"/>
      <c r="AE786" s="21"/>
    </row>
    <row r="787" spans="1:31" hidden="1">
      <c r="A787" s="1">
        <v>9125460</v>
      </c>
      <c r="B787" s="1" t="s">
        <v>101</v>
      </c>
      <c r="C787" t="s">
        <v>643</v>
      </c>
      <c r="D787" s="2">
        <v>220196217</v>
      </c>
      <c r="E787" s="2">
        <v>5742001400030</v>
      </c>
      <c r="F787" s="1" t="s">
        <v>647</v>
      </c>
      <c r="G787" s="1" t="s">
        <v>53</v>
      </c>
      <c r="H787" s="1" t="s">
        <v>430</v>
      </c>
      <c r="I787" s="1" t="s">
        <v>431</v>
      </c>
      <c r="J787" s="1" t="s">
        <v>79</v>
      </c>
      <c r="K787" t="s">
        <v>650</v>
      </c>
      <c r="M787" s="1" t="s">
        <v>58</v>
      </c>
      <c r="N787" s="1">
        <v>0</v>
      </c>
      <c r="O787" s="1" t="s">
        <v>105</v>
      </c>
      <c r="P787" s="186">
        <v>44896.409247685187</v>
      </c>
      <c r="R787" s="1">
        <v>4</v>
      </c>
      <c r="T787" s="1" t="s">
        <v>646</v>
      </c>
      <c r="U787" s="186">
        <v>44897.409247685187</v>
      </c>
      <c r="V787" s="1" t="s">
        <v>41</v>
      </c>
      <c r="W787" s="1" t="s">
        <v>49</v>
      </c>
      <c r="X787" s="13" t="str">
        <f t="shared" si="79"/>
        <v/>
      </c>
      <c r="Y787" s="2">
        <f t="shared" ca="1" si="80"/>
        <v>65</v>
      </c>
      <c r="Z787" s="14"/>
      <c r="AA787" s="14"/>
      <c r="AC787" s="21"/>
      <c r="AE787" s="21"/>
    </row>
    <row r="788" spans="1:31" hidden="1">
      <c r="A788" s="1">
        <v>9125404</v>
      </c>
      <c r="B788" s="1" t="s">
        <v>101</v>
      </c>
      <c r="C788" t="s">
        <v>643</v>
      </c>
      <c r="D788" s="2">
        <v>220196178</v>
      </c>
      <c r="E788" s="2">
        <v>4997001400030</v>
      </c>
      <c r="F788" s="1" t="s">
        <v>647</v>
      </c>
      <c r="G788" s="1" t="s">
        <v>53</v>
      </c>
      <c r="H788" s="1" t="s">
        <v>406</v>
      </c>
      <c r="I788" s="1" t="s">
        <v>407</v>
      </c>
      <c r="J788" s="1" t="s">
        <v>79</v>
      </c>
      <c r="K788" t="s">
        <v>650</v>
      </c>
      <c r="M788" s="1" t="s">
        <v>58</v>
      </c>
      <c r="N788" s="1">
        <v>0</v>
      </c>
      <c r="O788" s="1" t="s">
        <v>105</v>
      </c>
      <c r="P788" s="186">
        <v>44896.4062037037</v>
      </c>
      <c r="R788" s="1">
        <v>4</v>
      </c>
      <c r="T788" s="1" t="s">
        <v>646</v>
      </c>
      <c r="U788" s="186">
        <v>44897.4062037037</v>
      </c>
      <c r="V788" s="1" t="s">
        <v>41</v>
      </c>
      <c r="W788" s="1" t="s">
        <v>49</v>
      </c>
      <c r="X788" s="13" t="str">
        <f t="shared" si="79"/>
        <v/>
      </c>
      <c r="Y788" s="2">
        <f t="shared" ca="1" si="80"/>
        <v>65</v>
      </c>
      <c r="Z788" s="14"/>
      <c r="AA788" s="14"/>
      <c r="AC788" s="21"/>
      <c r="AE788" s="21"/>
    </row>
    <row r="789" spans="1:31" hidden="1">
      <c r="A789" s="1">
        <v>9125383</v>
      </c>
      <c r="B789" s="1" t="s">
        <v>101</v>
      </c>
      <c r="C789" t="s">
        <v>643</v>
      </c>
      <c r="D789" s="2">
        <v>220196166</v>
      </c>
      <c r="E789" s="2">
        <v>1120011400030</v>
      </c>
      <c r="F789" s="1" t="s">
        <v>647</v>
      </c>
      <c r="G789" s="1" t="s">
        <v>53</v>
      </c>
      <c r="H789" s="1" t="s">
        <v>648</v>
      </c>
      <c r="I789" s="1" t="s">
        <v>649</v>
      </c>
      <c r="J789" s="1" t="s">
        <v>164</v>
      </c>
      <c r="K789" t="s">
        <v>650</v>
      </c>
      <c r="M789" s="1" t="s">
        <v>58</v>
      </c>
      <c r="N789" s="1">
        <v>0</v>
      </c>
      <c r="O789" s="1" t="s">
        <v>36</v>
      </c>
      <c r="P789" s="186">
        <v>44896.405462962961</v>
      </c>
      <c r="R789" s="1">
        <v>4</v>
      </c>
      <c r="T789" s="1" t="s">
        <v>646</v>
      </c>
      <c r="U789" s="186">
        <v>44897.405462962961</v>
      </c>
      <c r="V789" s="1" t="s">
        <v>41</v>
      </c>
      <c r="W789" s="1" t="s">
        <v>49</v>
      </c>
      <c r="X789" s="13" t="str">
        <f t="shared" si="79"/>
        <v>1120.01</v>
      </c>
      <c r="Y789" s="2">
        <f t="shared" ca="1" si="80"/>
        <v>65</v>
      </c>
      <c r="Z789" s="14"/>
      <c r="AA789" s="14"/>
      <c r="AC789" s="21"/>
      <c r="AE789" s="21"/>
    </row>
    <row r="790" spans="1:31" hidden="1">
      <c r="A790" s="1">
        <v>9125336</v>
      </c>
      <c r="B790" s="1" t="s">
        <v>101</v>
      </c>
      <c r="C790" t="s">
        <v>643</v>
      </c>
      <c r="D790" s="2">
        <v>220195971</v>
      </c>
      <c r="E790" s="2">
        <v>68051400030</v>
      </c>
      <c r="F790" s="1" t="s">
        <v>647</v>
      </c>
      <c r="G790" s="1" t="s">
        <v>53</v>
      </c>
      <c r="H790" s="1" t="s">
        <v>1575</v>
      </c>
      <c r="I790" s="1" t="s">
        <v>1576</v>
      </c>
      <c r="J790" s="1" t="s">
        <v>211</v>
      </c>
      <c r="K790" t="s">
        <v>650</v>
      </c>
      <c r="M790" s="1" t="s">
        <v>58</v>
      </c>
      <c r="N790" s="1">
        <v>0</v>
      </c>
      <c r="O790" s="1" t="s">
        <v>105</v>
      </c>
      <c r="P790" s="186">
        <v>44896.403761574074</v>
      </c>
      <c r="R790" s="1">
        <v>4</v>
      </c>
      <c r="T790" s="1" t="s">
        <v>646</v>
      </c>
      <c r="U790" s="186">
        <v>44897.403761574074</v>
      </c>
      <c r="V790" s="1" t="s">
        <v>41</v>
      </c>
      <c r="W790" s="1" t="s">
        <v>49</v>
      </c>
      <c r="X790" s="13" t="str">
        <f t="shared" si="79"/>
        <v>0068.05</v>
      </c>
      <c r="Y790" s="2">
        <f t="shared" ca="1" si="80"/>
        <v>65</v>
      </c>
      <c r="Z790" s="14"/>
      <c r="AA790" s="14"/>
      <c r="AC790" s="21"/>
      <c r="AE790" s="21"/>
    </row>
    <row r="791" spans="1:31" hidden="1">
      <c r="A791" s="1">
        <v>9125234</v>
      </c>
      <c r="B791" s="1" t="s">
        <v>101</v>
      </c>
      <c r="C791" t="s">
        <v>643</v>
      </c>
      <c r="D791" s="2">
        <v>220195649</v>
      </c>
      <c r="E791" s="2">
        <v>2855001400030</v>
      </c>
      <c r="F791" s="1" t="s">
        <v>647</v>
      </c>
      <c r="G791" s="1" t="s">
        <v>53</v>
      </c>
      <c r="H791" s="1" t="s">
        <v>249</v>
      </c>
      <c r="I791" s="1" t="s">
        <v>250</v>
      </c>
      <c r="J791" s="1" t="s">
        <v>56</v>
      </c>
      <c r="K791" t="s">
        <v>650</v>
      </c>
      <c r="M791" s="1" t="s">
        <v>58</v>
      </c>
      <c r="N791" s="1">
        <v>0</v>
      </c>
      <c r="O791" s="1" t="s">
        <v>105</v>
      </c>
      <c r="P791" s="186">
        <v>44896.397905092592</v>
      </c>
      <c r="R791" s="1">
        <v>4</v>
      </c>
      <c r="T791" s="1" t="s">
        <v>646</v>
      </c>
      <c r="U791" s="186">
        <v>44897.397905092592</v>
      </c>
      <c r="V791" s="1" t="s">
        <v>41</v>
      </c>
      <c r="W791" s="1" t="s">
        <v>49</v>
      </c>
      <c r="X791" s="13" t="str">
        <f t="shared" si="79"/>
        <v/>
      </c>
      <c r="Y791" s="2">
        <f t="shared" ca="1" si="80"/>
        <v>65</v>
      </c>
      <c r="Z791" s="14"/>
      <c r="AA791" s="14"/>
      <c r="AC791" s="21"/>
      <c r="AE791" s="21"/>
    </row>
    <row r="792" spans="1:31" hidden="1">
      <c r="A792" s="1">
        <v>9125221</v>
      </c>
      <c r="B792" s="1" t="s">
        <v>101</v>
      </c>
      <c r="C792" t="s">
        <v>643</v>
      </c>
      <c r="D792" s="2">
        <v>220195642</v>
      </c>
      <c r="E792" s="2">
        <v>2830001400030</v>
      </c>
      <c r="F792" s="1" t="s">
        <v>647</v>
      </c>
      <c r="G792" s="1" t="s">
        <v>53</v>
      </c>
      <c r="H792" s="1" t="s">
        <v>448</v>
      </c>
      <c r="I792" s="1" t="s">
        <v>449</v>
      </c>
      <c r="J792" s="1" t="s">
        <v>33</v>
      </c>
      <c r="K792" t="s">
        <v>650</v>
      </c>
      <c r="M792" s="1" t="s">
        <v>58</v>
      </c>
      <c r="N792" s="1">
        <v>0</v>
      </c>
      <c r="O792" s="1" t="s">
        <v>105</v>
      </c>
      <c r="P792" s="186">
        <v>44896.39738425926</v>
      </c>
      <c r="R792" s="1">
        <v>4</v>
      </c>
      <c r="T792" s="1" t="s">
        <v>646</v>
      </c>
      <c r="U792" s="186">
        <v>44897.39738425926</v>
      </c>
      <c r="V792" s="1" t="s">
        <v>41</v>
      </c>
      <c r="W792" s="1" t="s">
        <v>42</v>
      </c>
      <c r="X792" s="13" t="str">
        <f t="shared" si="79"/>
        <v/>
      </c>
      <c r="Y792" s="2">
        <f t="shared" ca="1" si="80"/>
        <v>65</v>
      </c>
      <c r="Z792" s="14"/>
      <c r="AA792" s="14"/>
      <c r="AC792" s="21"/>
      <c r="AE792" s="21"/>
    </row>
    <row r="793" spans="1:31" hidden="1">
      <c r="A793" s="1">
        <v>9125216</v>
      </c>
      <c r="B793" s="1" t="s">
        <v>101</v>
      </c>
      <c r="C793" t="s">
        <v>643</v>
      </c>
      <c r="D793" s="2">
        <v>220195637</v>
      </c>
      <c r="E793" s="2">
        <v>2802001400030</v>
      </c>
      <c r="F793" s="1" t="s">
        <v>647</v>
      </c>
      <c r="G793" s="1" t="s">
        <v>53</v>
      </c>
      <c r="H793" s="1" t="s">
        <v>388</v>
      </c>
      <c r="I793" s="1" t="s">
        <v>389</v>
      </c>
      <c r="J793" s="1" t="s">
        <v>46</v>
      </c>
      <c r="K793" t="s">
        <v>650</v>
      </c>
      <c r="M793" s="1" t="s">
        <v>58</v>
      </c>
      <c r="N793" s="1">
        <v>0</v>
      </c>
      <c r="O793" s="1" t="s">
        <v>105</v>
      </c>
      <c r="P793" s="186">
        <v>44896.397083333337</v>
      </c>
      <c r="R793" s="1">
        <v>4</v>
      </c>
      <c r="T793" s="1" t="s">
        <v>646</v>
      </c>
      <c r="U793" s="186">
        <v>44897.397083333337</v>
      </c>
      <c r="V793" s="1" t="s">
        <v>41</v>
      </c>
      <c r="W793" s="1" t="s">
        <v>49</v>
      </c>
      <c r="X793" s="13" t="str">
        <f t="shared" si="79"/>
        <v/>
      </c>
      <c r="Y793" s="2">
        <f t="shared" ca="1" si="80"/>
        <v>65</v>
      </c>
      <c r="Z793" s="14"/>
      <c r="AA793" s="14"/>
      <c r="AC793" s="21"/>
      <c r="AE793" s="21"/>
    </row>
    <row r="794" spans="1:31" hidden="1">
      <c r="A794" s="1">
        <v>9125183</v>
      </c>
      <c r="B794" s="1" t="s">
        <v>101</v>
      </c>
      <c r="C794" t="s">
        <v>643</v>
      </c>
      <c r="D794" s="2">
        <v>220195609</v>
      </c>
      <c r="E794" s="2">
        <v>2693001400030</v>
      </c>
      <c r="F794" s="1" t="s">
        <v>647</v>
      </c>
      <c r="G794" s="1" t="s">
        <v>53</v>
      </c>
      <c r="H794" s="1" t="s">
        <v>253</v>
      </c>
      <c r="I794" s="1" t="s">
        <v>254</v>
      </c>
      <c r="J794" s="1" t="s">
        <v>56</v>
      </c>
      <c r="K794" t="s">
        <v>650</v>
      </c>
      <c r="M794" s="1" t="s">
        <v>58</v>
      </c>
      <c r="N794" s="1">
        <v>0</v>
      </c>
      <c r="O794" s="1" t="s">
        <v>105</v>
      </c>
      <c r="P794" s="186">
        <v>44896.395219907405</v>
      </c>
      <c r="R794" s="1">
        <v>4</v>
      </c>
      <c r="T794" s="1" t="s">
        <v>646</v>
      </c>
      <c r="U794" s="186">
        <v>44897.395219907405</v>
      </c>
      <c r="V794" s="1" t="s">
        <v>41</v>
      </c>
      <c r="W794" s="1" t="s">
        <v>49</v>
      </c>
      <c r="X794" s="13" t="str">
        <f t="shared" si="79"/>
        <v/>
      </c>
      <c r="Y794" s="2">
        <f t="shared" ca="1" si="80"/>
        <v>65</v>
      </c>
      <c r="Z794" s="14"/>
      <c r="AA794" s="14"/>
      <c r="AC794" s="21"/>
      <c r="AE794" s="21"/>
    </row>
    <row r="795" spans="1:31" hidden="1">
      <c r="A795" s="1">
        <v>9125136</v>
      </c>
      <c r="B795" s="1" t="s">
        <v>101</v>
      </c>
      <c r="C795" t="s">
        <v>643</v>
      </c>
      <c r="D795" s="2">
        <v>220195574</v>
      </c>
      <c r="E795" s="2">
        <v>2564001400030</v>
      </c>
      <c r="F795" s="1" t="s">
        <v>647</v>
      </c>
      <c r="G795" s="1" t="s">
        <v>53</v>
      </c>
      <c r="H795" s="1" t="s">
        <v>255</v>
      </c>
      <c r="I795" s="1" t="s">
        <v>256</v>
      </c>
      <c r="J795" s="1" t="s">
        <v>164</v>
      </c>
      <c r="K795" t="s">
        <v>650</v>
      </c>
      <c r="M795" s="1" t="s">
        <v>58</v>
      </c>
      <c r="N795" s="1">
        <v>0</v>
      </c>
      <c r="O795" s="1" t="s">
        <v>105</v>
      </c>
      <c r="P795" s="186">
        <v>44896.393055555556</v>
      </c>
      <c r="R795" s="1">
        <v>4</v>
      </c>
      <c r="T795" s="1" t="s">
        <v>646</v>
      </c>
      <c r="U795" s="186">
        <v>44897.393055555556</v>
      </c>
      <c r="V795" s="1" t="s">
        <v>41</v>
      </c>
      <c r="W795" s="1" t="s">
        <v>49</v>
      </c>
      <c r="X795" s="13" t="str">
        <f t="shared" si="79"/>
        <v/>
      </c>
      <c r="Y795" s="2">
        <f t="shared" ca="1" si="80"/>
        <v>65</v>
      </c>
      <c r="Z795" s="14"/>
      <c r="AA795" s="14"/>
      <c r="AC795" s="21"/>
      <c r="AE795" s="21"/>
    </row>
    <row r="796" spans="1:31" hidden="1">
      <c r="A796" s="1">
        <v>9125100</v>
      </c>
      <c r="B796" s="1" t="s">
        <v>101</v>
      </c>
      <c r="C796" t="s">
        <v>643</v>
      </c>
      <c r="D796" s="2">
        <v>220195812</v>
      </c>
      <c r="E796" s="2">
        <v>3504001400030</v>
      </c>
      <c r="F796" s="1" t="s">
        <v>647</v>
      </c>
      <c r="G796" s="1" t="s">
        <v>53</v>
      </c>
      <c r="H796" s="1" t="s">
        <v>585</v>
      </c>
      <c r="I796" s="1" t="s">
        <v>586</v>
      </c>
      <c r="J796" s="1" t="s">
        <v>46</v>
      </c>
      <c r="K796" t="s">
        <v>650</v>
      </c>
      <c r="M796" s="1" t="s">
        <v>58</v>
      </c>
      <c r="N796" s="1">
        <v>0</v>
      </c>
      <c r="O796" s="1" t="s">
        <v>105</v>
      </c>
      <c r="P796" s="186">
        <v>44896.390706018516</v>
      </c>
      <c r="R796" s="1">
        <v>4</v>
      </c>
      <c r="T796" s="1" t="s">
        <v>646</v>
      </c>
      <c r="U796" s="186">
        <v>44897.390717592592</v>
      </c>
      <c r="V796" s="1" t="s">
        <v>41</v>
      </c>
      <c r="W796" s="1" t="s">
        <v>49</v>
      </c>
      <c r="X796" s="13" t="str">
        <f t="shared" si="79"/>
        <v/>
      </c>
      <c r="Y796" s="2">
        <f t="shared" ca="1" si="80"/>
        <v>65</v>
      </c>
      <c r="Z796" s="14"/>
      <c r="AA796" s="14"/>
      <c r="AC796" s="21"/>
      <c r="AE796" s="21"/>
    </row>
    <row r="797" spans="1:31" hidden="1">
      <c r="A797" s="1">
        <v>9125015</v>
      </c>
      <c r="B797" s="1" t="s">
        <v>101</v>
      </c>
      <c r="C797" t="s">
        <v>643</v>
      </c>
      <c r="D797" s="2">
        <v>220195498</v>
      </c>
      <c r="E797" s="2">
        <v>2326001400030</v>
      </c>
      <c r="F797" s="1" t="s">
        <v>647</v>
      </c>
      <c r="G797" s="1" t="s">
        <v>53</v>
      </c>
      <c r="H797" s="1" t="s">
        <v>191</v>
      </c>
      <c r="I797" s="1" t="s">
        <v>192</v>
      </c>
      <c r="J797" s="1" t="s">
        <v>46</v>
      </c>
      <c r="K797" t="s">
        <v>650</v>
      </c>
      <c r="M797" s="1" t="s">
        <v>58</v>
      </c>
      <c r="N797" s="1">
        <v>0</v>
      </c>
      <c r="O797" s="1" t="s">
        <v>105</v>
      </c>
      <c r="P797" s="186">
        <v>44896.387881944444</v>
      </c>
      <c r="R797" s="1">
        <v>4</v>
      </c>
      <c r="T797" s="1" t="s">
        <v>646</v>
      </c>
      <c r="U797" s="186">
        <v>44897.387881944444</v>
      </c>
      <c r="V797" s="1" t="s">
        <v>41</v>
      </c>
      <c r="W797" s="1" t="s">
        <v>49</v>
      </c>
      <c r="X797" s="13" t="str">
        <f t="shared" si="79"/>
        <v/>
      </c>
      <c r="Y797" s="2">
        <f t="shared" ca="1" si="80"/>
        <v>65</v>
      </c>
      <c r="Z797" s="14"/>
      <c r="AA797" s="14"/>
      <c r="AC797" s="21"/>
      <c r="AE797" s="21"/>
    </row>
    <row r="798" spans="1:31" hidden="1">
      <c r="A798" s="1">
        <v>9124937</v>
      </c>
      <c r="B798" s="1" t="s">
        <v>101</v>
      </c>
      <c r="C798" t="s">
        <v>643</v>
      </c>
      <c r="D798" s="2">
        <v>220195443</v>
      </c>
      <c r="E798" s="2">
        <v>2125001400030</v>
      </c>
      <c r="F798" s="1" t="s">
        <v>647</v>
      </c>
      <c r="G798" s="1" t="s">
        <v>53</v>
      </c>
      <c r="H798" s="1" t="s">
        <v>1399</v>
      </c>
      <c r="I798" s="1" t="s">
        <v>1400</v>
      </c>
      <c r="J798" s="1" t="s">
        <v>211</v>
      </c>
      <c r="K798" t="s">
        <v>650</v>
      </c>
      <c r="M798" s="1" t="s">
        <v>58</v>
      </c>
      <c r="N798" s="1">
        <v>0</v>
      </c>
      <c r="O798" s="1" t="s">
        <v>105</v>
      </c>
      <c r="P798" s="186">
        <v>44896.383877314816</v>
      </c>
      <c r="R798" s="1">
        <v>4</v>
      </c>
      <c r="T798" s="1" t="s">
        <v>646</v>
      </c>
      <c r="U798" s="186">
        <v>44897.383877314816</v>
      </c>
      <c r="V798" s="1" t="s">
        <v>41</v>
      </c>
      <c r="W798" s="1" t="s">
        <v>49</v>
      </c>
      <c r="X798" s="13" t="str">
        <f t="shared" si="79"/>
        <v/>
      </c>
      <c r="Y798" s="2">
        <f t="shared" ca="1" si="80"/>
        <v>65</v>
      </c>
      <c r="Z798" s="14"/>
      <c r="AA798" s="14"/>
      <c r="AC798" s="21"/>
      <c r="AE798" s="21"/>
    </row>
    <row r="799" spans="1:31" hidden="1">
      <c r="A799" s="1">
        <v>9124924</v>
      </c>
      <c r="B799" s="1" t="s">
        <v>101</v>
      </c>
      <c r="C799" t="s">
        <v>643</v>
      </c>
      <c r="D799" s="2">
        <v>220195430</v>
      </c>
      <c r="E799" s="2">
        <v>2081001400030</v>
      </c>
      <c r="F799" s="1" t="s">
        <v>647</v>
      </c>
      <c r="G799" s="1" t="s">
        <v>53</v>
      </c>
      <c r="H799" s="1" t="s">
        <v>590</v>
      </c>
      <c r="I799" s="1" t="s">
        <v>591</v>
      </c>
      <c r="J799" s="1" t="s">
        <v>261</v>
      </c>
      <c r="K799" t="s">
        <v>650</v>
      </c>
      <c r="M799" s="1" t="s">
        <v>58</v>
      </c>
      <c r="N799" s="1">
        <v>0</v>
      </c>
      <c r="O799" s="1" t="s">
        <v>105</v>
      </c>
      <c r="P799" s="186">
        <v>44896.383043981485</v>
      </c>
      <c r="R799" s="1">
        <v>4</v>
      </c>
      <c r="T799" s="1" t="s">
        <v>646</v>
      </c>
      <c r="U799" s="186">
        <v>44897.383043981485</v>
      </c>
      <c r="V799" s="1" t="s">
        <v>41</v>
      </c>
      <c r="W799" s="1" t="s">
        <v>49</v>
      </c>
      <c r="X799" s="13" t="str">
        <f t="shared" si="79"/>
        <v/>
      </c>
      <c r="Y799" s="2">
        <f t="shared" ca="1" si="80"/>
        <v>65</v>
      </c>
      <c r="Z799" s="14"/>
      <c r="AA799" s="14"/>
      <c r="AC799" s="21"/>
      <c r="AE799" s="21"/>
    </row>
    <row r="800" spans="1:31" hidden="1">
      <c r="A800" s="1">
        <v>9124894</v>
      </c>
      <c r="B800" s="1" t="s">
        <v>101</v>
      </c>
      <c r="C800" t="s">
        <v>643</v>
      </c>
      <c r="D800" s="2">
        <v>220195405</v>
      </c>
      <c r="E800" s="2">
        <v>2018001400030</v>
      </c>
      <c r="F800" s="1" t="s">
        <v>647</v>
      </c>
      <c r="G800" s="1" t="s">
        <v>53</v>
      </c>
      <c r="H800" s="1" t="s">
        <v>598</v>
      </c>
      <c r="I800" s="1" t="s">
        <v>599</v>
      </c>
      <c r="J800" s="1" t="s">
        <v>79</v>
      </c>
      <c r="K800" t="s">
        <v>650</v>
      </c>
      <c r="M800" s="1" t="s">
        <v>58</v>
      </c>
      <c r="N800" s="1">
        <v>0</v>
      </c>
      <c r="O800" s="1" t="s">
        <v>105</v>
      </c>
      <c r="P800" s="186">
        <v>44896.381458333337</v>
      </c>
      <c r="R800" s="1">
        <v>4</v>
      </c>
      <c r="T800" s="1" t="s">
        <v>646</v>
      </c>
      <c r="U800" s="186">
        <v>44897.381458333337</v>
      </c>
      <c r="V800" s="1" t="s">
        <v>41</v>
      </c>
      <c r="W800" s="1" t="s">
        <v>49</v>
      </c>
      <c r="X800" s="13" t="str">
        <f t="shared" si="79"/>
        <v/>
      </c>
      <c r="Y800" s="2">
        <f t="shared" ca="1" si="80"/>
        <v>65</v>
      </c>
      <c r="Z800" s="14"/>
      <c r="AA800" s="14"/>
      <c r="AC800" s="21"/>
      <c r="AE800" s="21"/>
    </row>
    <row r="801" spans="1:31" hidden="1">
      <c r="A801" s="1">
        <v>9124865</v>
      </c>
      <c r="B801" s="1" t="s">
        <v>101</v>
      </c>
      <c r="C801" t="s">
        <v>643</v>
      </c>
      <c r="D801" s="2">
        <v>220195224</v>
      </c>
      <c r="E801" s="2">
        <v>1363001400030</v>
      </c>
      <c r="F801" s="1" t="s">
        <v>647</v>
      </c>
      <c r="G801" s="1" t="s">
        <v>53</v>
      </c>
      <c r="H801" s="1" t="s">
        <v>108</v>
      </c>
      <c r="I801" s="1" t="s">
        <v>109</v>
      </c>
      <c r="J801" s="1" t="s">
        <v>110</v>
      </c>
      <c r="K801" t="s">
        <v>650</v>
      </c>
      <c r="M801" s="1" t="s">
        <v>58</v>
      </c>
      <c r="N801" s="1">
        <v>0</v>
      </c>
      <c r="O801" s="1" t="s">
        <v>105</v>
      </c>
      <c r="P801" s="186">
        <v>44896.381076388891</v>
      </c>
      <c r="R801" s="1">
        <v>4</v>
      </c>
      <c r="T801" s="1" t="s">
        <v>646</v>
      </c>
      <c r="U801" s="186">
        <v>44897.381076388891</v>
      </c>
      <c r="V801" s="1" t="s">
        <v>41</v>
      </c>
      <c r="W801" s="1" t="s">
        <v>49</v>
      </c>
      <c r="X801" s="13" t="str">
        <f t="shared" si="79"/>
        <v/>
      </c>
      <c r="Y801" s="2">
        <f t="shared" ca="1" si="80"/>
        <v>65</v>
      </c>
      <c r="Z801" s="14"/>
      <c r="AA801" s="14"/>
      <c r="AC801" s="21"/>
      <c r="AE801" s="21"/>
    </row>
    <row r="802" spans="1:31" hidden="1">
      <c r="A802" s="1">
        <v>9124835</v>
      </c>
      <c r="B802" s="1" t="s">
        <v>101</v>
      </c>
      <c r="C802" t="s">
        <v>643</v>
      </c>
      <c r="D802" s="2">
        <v>220195278</v>
      </c>
      <c r="E802" s="2">
        <v>1509001400030</v>
      </c>
      <c r="F802" s="1" t="s">
        <v>647</v>
      </c>
      <c r="G802" s="1" t="s">
        <v>53</v>
      </c>
      <c r="H802" s="1" t="s">
        <v>731</v>
      </c>
      <c r="I802" s="1" t="s">
        <v>732</v>
      </c>
      <c r="J802" s="1" t="s">
        <v>46</v>
      </c>
      <c r="K802" t="s">
        <v>650</v>
      </c>
      <c r="M802" s="1" t="s">
        <v>58</v>
      </c>
      <c r="N802" s="1">
        <v>0</v>
      </c>
      <c r="O802" s="1" t="s">
        <v>105</v>
      </c>
      <c r="P802" s="186">
        <v>44896.380069444444</v>
      </c>
      <c r="R802" s="1">
        <v>4</v>
      </c>
      <c r="T802" s="1" t="s">
        <v>646</v>
      </c>
      <c r="U802" s="186">
        <v>44897.380069444444</v>
      </c>
      <c r="V802" s="1" t="s">
        <v>41</v>
      </c>
      <c r="W802" s="1" t="s">
        <v>49</v>
      </c>
      <c r="X802" s="13" t="str">
        <f t="shared" si="79"/>
        <v/>
      </c>
      <c r="Y802" s="2">
        <f t="shared" ca="1" si="80"/>
        <v>65</v>
      </c>
      <c r="Z802" s="14"/>
      <c r="AA802" s="14"/>
      <c r="AC802" s="21"/>
      <c r="AE802" s="21"/>
    </row>
    <row r="803" spans="1:31" hidden="1">
      <c r="A803" s="1">
        <v>9124788</v>
      </c>
      <c r="B803" s="1" t="s">
        <v>101</v>
      </c>
      <c r="C803" t="s">
        <v>643</v>
      </c>
      <c r="D803" s="2">
        <v>220195222</v>
      </c>
      <c r="E803" s="2">
        <v>1360001400030</v>
      </c>
      <c r="F803" s="1" t="s">
        <v>647</v>
      </c>
      <c r="G803" s="1" t="s">
        <v>53</v>
      </c>
      <c r="H803" s="1" t="s">
        <v>303</v>
      </c>
      <c r="I803" s="1" t="s">
        <v>304</v>
      </c>
      <c r="J803" s="1" t="s">
        <v>261</v>
      </c>
      <c r="K803" t="s">
        <v>650</v>
      </c>
      <c r="M803" s="1" t="s">
        <v>58</v>
      </c>
      <c r="N803" s="1">
        <v>0</v>
      </c>
      <c r="O803" s="1" t="s">
        <v>105</v>
      </c>
      <c r="P803" s="186">
        <v>44896.378483796296</v>
      </c>
      <c r="R803" s="1">
        <v>4</v>
      </c>
      <c r="T803" s="1" t="s">
        <v>646</v>
      </c>
      <c r="U803" s="186">
        <v>44897.378483796296</v>
      </c>
      <c r="V803" s="1" t="s">
        <v>41</v>
      </c>
      <c r="W803" s="1" t="s">
        <v>49</v>
      </c>
      <c r="X803" s="13" t="str">
        <f t="shared" si="79"/>
        <v/>
      </c>
      <c r="Y803" s="2">
        <f t="shared" ca="1" si="80"/>
        <v>65</v>
      </c>
      <c r="Z803" s="14"/>
      <c r="AA803" s="14"/>
      <c r="AC803" s="21"/>
      <c r="AE803" s="21"/>
    </row>
    <row r="804" spans="1:31" hidden="1">
      <c r="A804" s="1">
        <v>9124763</v>
      </c>
      <c r="B804" s="1" t="s">
        <v>101</v>
      </c>
      <c r="C804" t="s">
        <v>643</v>
      </c>
      <c r="D804" s="2">
        <v>220195221</v>
      </c>
      <c r="E804" s="2">
        <v>1359001400030</v>
      </c>
      <c r="F804" s="1" t="s">
        <v>647</v>
      </c>
      <c r="G804" s="1" t="s">
        <v>53</v>
      </c>
      <c r="H804" s="1" t="s">
        <v>270</v>
      </c>
      <c r="I804" s="1" t="s">
        <v>271</v>
      </c>
      <c r="J804" s="1" t="s">
        <v>141</v>
      </c>
      <c r="K804" t="s">
        <v>650</v>
      </c>
      <c r="M804" s="1" t="s">
        <v>58</v>
      </c>
      <c r="N804" s="1">
        <v>0</v>
      </c>
      <c r="O804" s="1" t="s">
        <v>105</v>
      </c>
      <c r="P804" s="186">
        <v>44896.37703703704</v>
      </c>
      <c r="R804" s="1">
        <v>4</v>
      </c>
      <c r="T804" s="1" t="s">
        <v>646</v>
      </c>
      <c r="U804" s="186">
        <v>44897.37703703704</v>
      </c>
      <c r="V804" s="1" t="s">
        <v>41</v>
      </c>
      <c r="W804" s="1" t="s">
        <v>49</v>
      </c>
      <c r="X804" s="13" t="str">
        <f t="shared" si="79"/>
        <v/>
      </c>
      <c r="Y804" s="2">
        <f t="shared" ca="1" si="80"/>
        <v>65</v>
      </c>
      <c r="Z804" s="14"/>
      <c r="AA804" s="14"/>
      <c r="AC804" s="21"/>
      <c r="AE804" s="21"/>
    </row>
    <row r="805" spans="1:31" hidden="1">
      <c r="A805" s="1">
        <v>9124743</v>
      </c>
      <c r="B805" s="1" t="s">
        <v>101</v>
      </c>
      <c r="C805" t="s">
        <v>643</v>
      </c>
      <c r="D805" s="2">
        <v>220195223</v>
      </c>
      <c r="E805" s="2">
        <v>1362001400030</v>
      </c>
      <c r="F805" s="1" t="s">
        <v>647</v>
      </c>
      <c r="G805" s="1" t="s">
        <v>53</v>
      </c>
      <c r="H805" s="1" t="s">
        <v>268</v>
      </c>
      <c r="I805" s="1" t="s">
        <v>269</v>
      </c>
      <c r="J805" s="1" t="s">
        <v>90</v>
      </c>
      <c r="K805" t="s">
        <v>650</v>
      </c>
      <c r="M805" s="1" t="s">
        <v>58</v>
      </c>
      <c r="N805" s="1">
        <v>0</v>
      </c>
      <c r="O805" s="1" t="s">
        <v>105</v>
      </c>
      <c r="P805" s="186">
        <v>44896.376018518517</v>
      </c>
      <c r="R805" s="1">
        <v>4</v>
      </c>
      <c r="T805" s="1" t="s">
        <v>646</v>
      </c>
      <c r="U805" s="186">
        <v>44897.376018518517</v>
      </c>
      <c r="V805" s="1" t="s">
        <v>41</v>
      </c>
      <c r="W805" s="1" t="s">
        <v>49</v>
      </c>
      <c r="X805" s="13" t="str">
        <f t="shared" si="79"/>
        <v/>
      </c>
      <c r="Y805" s="2">
        <f t="shared" ca="1" si="80"/>
        <v>65</v>
      </c>
      <c r="Z805" s="14"/>
      <c r="AA805" s="14"/>
      <c r="AC805" s="21"/>
      <c r="AE805" s="21"/>
    </row>
    <row r="806" spans="1:31" hidden="1">
      <c r="A806" s="1">
        <v>9124708</v>
      </c>
      <c r="B806" s="1" t="s">
        <v>101</v>
      </c>
      <c r="C806" t="s">
        <v>643</v>
      </c>
      <c r="D806" s="2">
        <v>220195015</v>
      </c>
      <c r="E806" s="2">
        <v>934001400030</v>
      </c>
      <c r="F806" s="1" t="s">
        <v>647</v>
      </c>
      <c r="G806" s="1" t="s">
        <v>53</v>
      </c>
      <c r="H806" s="1" t="s">
        <v>428</v>
      </c>
      <c r="I806" s="1" t="s">
        <v>429</v>
      </c>
      <c r="J806" s="1" t="s">
        <v>46</v>
      </c>
      <c r="K806" t="s">
        <v>650</v>
      </c>
      <c r="M806" s="1" t="s">
        <v>58</v>
      </c>
      <c r="N806" s="1">
        <v>0</v>
      </c>
      <c r="O806" s="1" t="s">
        <v>105</v>
      </c>
      <c r="P806" s="186">
        <v>44896.374155092592</v>
      </c>
      <c r="R806" s="1">
        <v>4</v>
      </c>
      <c r="T806" s="1" t="s">
        <v>646</v>
      </c>
      <c r="U806" s="186">
        <v>44897.374155092592</v>
      </c>
      <c r="V806" s="1" t="s">
        <v>41</v>
      </c>
      <c r="W806" s="1" t="s">
        <v>49</v>
      </c>
      <c r="X806" s="13" t="str">
        <f t="shared" si="79"/>
        <v/>
      </c>
      <c r="Y806" s="2">
        <f t="shared" ca="1" si="80"/>
        <v>65</v>
      </c>
      <c r="Z806" s="14"/>
      <c r="AA806" s="14"/>
      <c r="AC806" s="21"/>
      <c r="AE806" s="21"/>
    </row>
    <row r="807" spans="1:31" hidden="1">
      <c r="A807" s="1">
        <v>9124706</v>
      </c>
      <c r="B807" s="1" t="s">
        <v>101</v>
      </c>
      <c r="C807" t="s">
        <v>643</v>
      </c>
      <c r="D807" s="2">
        <v>220195077</v>
      </c>
      <c r="E807" s="2">
        <v>1069001400030</v>
      </c>
      <c r="F807" s="1" t="s">
        <v>647</v>
      </c>
      <c r="G807" s="1" t="s">
        <v>53</v>
      </c>
      <c r="H807" s="1" t="s">
        <v>353</v>
      </c>
      <c r="I807" s="1" t="s">
        <v>354</v>
      </c>
      <c r="J807" s="1" t="s">
        <v>211</v>
      </c>
      <c r="K807" t="s">
        <v>650</v>
      </c>
      <c r="M807" s="1" t="s">
        <v>58</v>
      </c>
      <c r="N807" s="1">
        <v>0</v>
      </c>
      <c r="O807" s="1" t="s">
        <v>105</v>
      </c>
      <c r="P807" s="186">
        <v>44896.374039351853</v>
      </c>
      <c r="R807" s="1">
        <v>4</v>
      </c>
      <c r="T807" s="1" t="s">
        <v>646</v>
      </c>
      <c r="U807" s="186">
        <v>44897.374039351853</v>
      </c>
      <c r="V807" s="1" t="s">
        <v>41</v>
      </c>
      <c r="W807" s="1" t="s">
        <v>49</v>
      </c>
      <c r="X807" s="13" t="str">
        <f t="shared" si="79"/>
        <v/>
      </c>
      <c r="Y807" s="2">
        <f t="shared" ca="1" si="80"/>
        <v>65</v>
      </c>
      <c r="Z807" s="14"/>
      <c r="AA807" s="14"/>
      <c r="AC807" s="21"/>
      <c r="AE807" s="21"/>
    </row>
    <row r="808" spans="1:31" hidden="1">
      <c r="A808" s="1">
        <v>9124678</v>
      </c>
      <c r="B808" s="1" t="s">
        <v>101</v>
      </c>
      <c r="C808" t="s">
        <v>643</v>
      </c>
      <c r="D808" s="2">
        <v>220195052</v>
      </c>
      <c r="E808" s="2">
        <v>1012001400030</v>
      </c>
      <c r="F808" s="1" t="s">
        <v>647</v>
      </c>
      <c r="G808" s="1" t="s">
        <v>53</v>
      </c>
      <c r="H808" s="1" t="s">
        <v>172</v>
      </c>
      <c r="I808" s="1" t="s">
        <v>173</v>
      </c>
      <c r="J808" s="1" t="s">
        <v>164</v>
      </c>
      <c r="K808" t="s">
        <v>650</v>
      </c>
      <c r="M808" s="1" t="s">
        <v>58</v>
      </c>
      <c r="N808" s="1">
        <v>0</v>
      </c>
      <c r="O808" s="1" t="s">
        <v>105</v>
      </c>
      <c r="P808" s="186">
        <v>44896.372511574074</v>
      </c>
      <c r="R808" s="1">
        <v>4</v>
      </c>
      <c r="T808" s="1" t="s">
        <v>646</v>
      </c>
      <c r="U808" s="186">
        <v>44897.372511574074</v>
      </c>
      <c r="V808" s="1" t="s">
        <v>41</v>
      </c>
      <c r="W808" s="1" t="s">
        <v>49</v>
      </c>
      <c r="X808" s="13" t="str">
        <f t="shared" si="79"/>
        <v/>
      </c>
      <c r="Y808" s="2">
        <f t="shared" ca="1" si="80"/>
        <v>65</v>
      </c>
      <c r="Z808" s="14"/>
      <c r="AA808" s="14"/>
      <c r="AC808" s="21"/>
      <c r="AE808" s="21"/>
    </row>
    <row r="809" spans="1:31" hidden="1">
      <c r="A809" s="1">
        <v>9124643</v>
      </c>
      <c r="B809" s="1" t="s">
        <v>101</v>
      </c>
      <c r="C809" t="s">
        <v>643</v>
      </c>
      <c r="D809" s="2">
        <v>220195037</v>
      </c>
      <c r="E809" s="2">
        <v>981001400030</v>
      </c>
      <c r="F809" s="1" t="s">
        <v>647</v>
      </c>
      <c r="G809" s="1" t="s">
        <v>53</v>
      </c>
      <c r="H809" s="1" t="s">
        <v>410</v>
      </c>
      <c r="I809" s="1" t="s">
        <v>411</v>
      </c>
      <c r="J809" s="1" t="s">
        <v>85</v>
      </c>
      <c r="K809" t="s">
        <v>650</v>
      </c>
      <c r="M809" s="1" t="s">
        <v>58</v>
      </c>
      <c r="N809" s="1">
        <v>0</v>
      </c>
      <c r="O809" s="1" t="s">
        <v>105</v>
      </c>
      <c r="P809" s="186">
        <v>44896.371180555558</v>
      </c>
      <c r="R809" s="1">
        <v>4</v>
      </c>
      <c r="T809" s="1" t="s">
        <v>646</v>
      </c>
      <c r="U809" s="186">
        <v>44897.371180555558</v>
      </c>
      <c r="V809" s="1" t="s">
        <v>41</v>
      </c>
      <c r="W809" s="1" t="s">
        <v>49</v>
      </c>
      <c r="X809" s="13" t="str">
        <f t="shared" si="79"/>
        <v/>
      </c>
      <c r="Y809" s="2">
        <f t="shared" ca="1" si="80"/>
        <v>65</v>
      </c>
      <c r="Z809" s="14"/>
      <c r="AA809" s="14"/>
      <c r="AC809" s="21"/>
      <c r="AE809" s="21"/>
    </row>
    <row r="810" spans="1:31" hidden="1">
      <c r="A810" s="1">
        <v>9124615</v>
      </c>
      <c r="B810" s="1" t="s">
        <v>101</v>
      </c>
      <c r="C810" t="s">
        <v>643</v>
      </c>
      <c r="D810" s="2">
        <v>220195070</v>
      </c>
      <c r="E810" s="2">
        <v>1049001400030</v>
      </c>
      <c r="F810" s="1" t="s">
        <v>647</v>
      </c>
      <c r="G810" s="1" t="s">
        <v>53</v>
      </c>
      <c r="H810" s="1" t="s">
        <v>169</v>
      </c>
      <c r="I810" s="1" t="s">
        <v>170</v>
      </c>
      <c r="J810" s="1" t="s">
        <v>164</v>
      </c>
      <c r="K810" t="s">
        <v>650</v>
      </c>
      <c r="M810" s="1" t="s">
        <v>58</v>
      </c>
      <c r="N810" s="1">
        <v>0</v>
      </c>
      <c r="O810" s="1" t="s">
        <v>105</v>
      </c>
      <c r="P810" s="186">
        <v>44896.369490740741</v>
      </c>
      <c r="R810" s="1">
        <v>4</v>
      </c>
      <c r="T810" s="1" t="s">
        <v>646</v>
      </c>
      <c r="U810" s="186">
        <v>44897.369490740741</v>
      </c>
      <c r="V810" s="1" t="s">
        <v>41</v>
      </c>
      <c r="W810" s="1" t="s">
        <v>49</v>
      </c>
      <c r="X810" s="13" t="str">
        <f t="shared" si="79"/>
        <v/>
      </c>
      <c r="Y810" s="2">
        <f t="shared" ca="1" si="80"/>
        <v>65</v>
      </c>
      <c r="Z810" s="14"/>
      <c r="AA810" s="14"/>
      <c r="AC810" s="21"/>
      <c r="AE810" s="21"/>
    </row>
    <row r="811" spans="1:31" hidden="1">
      <c r="A811" s="1">
        <v>9124603</v>
      </c>
      <c r="B811" s="1" t="s">
        <v>101</v>
      </c>
      <c r="C811" t="s">
        <v>643</v>
      </c>
      <c r="D811" s="2">
        <v>220195105</v>
      </c>
      <c r="E811" s="2">
        <v>1120001400030</v>
      </c>
      <c r="F811" s="1" t="s">
        <v>647</v>
      </c>
      <c r="G811" s="1" t="s">
        <v>53</v>
      </c>
      <c r="H811" s="1" t="s">
        <v>181</v>
      </c>
      <c r="I811" s="1" t="s">
        <v>182</v>
      </c>
      <c r="J811" s="1" t="s">
        <v>164</v>
      </c>
      <c r="K811" t="s">
        <v>650</v>
      </c>
      <c r="M811" s="1" t="s">
        <v>58</v>
      </c>
      <c r="N811" s="1">
        <v>0</v>
      </c>
      <c r="O811" s="1" t="s">
        <v>105</v>
      </c>
      <c r="P811" s="186">
        <v>44896.368831018517</v>
      </c>
      <c r="R811" s="1">
        <v>4</v>
      </c>
      <c r="T811" s="1" t="s">
        <v>646</v>
      </c>
      <c r="U811" s="186">
        <v>44897.368842592594</v>
      </c>
      <c r="V811" s="1" t="s">
        <v>41</v>
      </c>
      <c r="W811" s="1" t="s">
        <v>49</v>
      </c>
      <c r="X811" s="13" t="str">
        <f t="shared" si="79"/>
        <v/>
      </c>
      <c r="Y811" s="2">
        <f t="shared" ca="1" si="80"/>
        <v>65</v>
      </c>
      <c r="Z811" s="14"/>
      <c r="AA811" s="14"/>
      <c r="AC811" s="21"/>
      <c r="AE811" s="21"/>
    </row>
    <row r="812" spans="1:31" hidden="1">
      <c r="A812" s="1">
        <v>9124567</v>
      </c>
      <c r="B812" s="1" t="s">
        <v>101</v>
      </c>
      <c r="C812" t="s">
        <v>643</v>
      </c>
      <c r="D812" s="2">
        <v>220194886</v>
      </c>
      <c r="E812" s="2">
        <v>710001400030</v>
      </c>
      <c r="F812" s="1" t="s">
        <v>647</v>
      </c>
      <c r="G812" s="1" t="s">
        <v>53</v>
      </c>
      <c r="H812" s="1" t="s">
        <v>390</v>
      </c>
      <c r="I812" s="1" t="s">
        <v>391</v>
      </c>
      <c r="J812" s="1" t="s">
        <v>56</v>
      </c>
      <c r="K812" t="s">
        <v>650</v>
      </c>
      <c r="M812" s="1" t="s">
        <v>58</v>
      </c>
      <c r="N812" s="1">
        <v>0</v>
      </c>
      <c r="O812" s="1" t="s">
        <v>105</v>
      </c>
      <c r="P812" s="186">
        <v>44896.367569444446</v>
      </c>
      <c r="R812" s="1">
        <v>4</v>
      </c>
      <c r="T812" s="1" t="s">
        <v>646</v>
      </c>
      <c r="U812" s="186">
        <v>44897.367569444446</v>
      </c>
      <c r="V812" s="1" t="s">
        <v>41</v>
      </c>
      <c r="W812" s="1" t="s">
        <v>49</v>
      </c>
      <c r="X812" s="13" t="str">
        <f t="shared" si="79"/>
        <v/>
      </c>
      <c r="Y812" s="2">
        <f t="shared" ca="1" si="80"/>
        <v>65</v>
      </c>
      <c r="Z812" s="14"/>
      <c r="AA812" s="14"/>
      <c r="AC812" s="21"/>
      <c r="AE812" s="21"/>
    </row>
    <row r="813" spans="1:31" hidden="1">
      <c r="A813" s="1">
        <v>9124538</v>
      </c>
      <c r="B813" s="1" t="s">
        <v>101</v>
      </c>
      <c r="C813" t="s">
        <v>643</v>
      </c>
      <c r="D813" s="2">
        <v>220194887</v>
      </c>
      <c r="E813" s="2">
        <v>714001400030</v>
      </c>
      <c r="F813" s="1" t="s">
        <v>647</v>
      </c>
      <c r="G813" s="1" t="s">
        <v>53</v>
      </c>
      <c r="H813" s="1" t="s">
        <v>377</v>
      </c>
      <c r="I813" s="1" t="s">
        <v>378</v>
      </c>
      <c r="J813" s="1" t="s">
        <v>46</v>
      </c>
      <c r="K813" t="s">
        <v>650</v>
      </c>
      <c r="M813" s="1" t="s">
        <v>58</v>
      </c>
      <c r="N813" s="1">
        <v>0</v>
      </c>
      <c r="O813" s="1" t="s">
        <v>105</v>
      </c>
      <c r="P813" s="186">
        <v>44896.365960648145</v>
      </c>
      <c r="R813" s="1">
        <v>4</v>
      </c>
      <c r="T813" s="1" t="s">
        <v>646</v>
      </c>
      <c r="U813" s="186">
        <v>44897.365960648145</v>
      </c>
      <c r="V813" s="1" t="s">
        <v>41</v>
      </c>
      <c r="W813" s="1" t="s">
        <v>49</v>
      </c>
      <c r="X813" s="13" t="str">
        <f t="shared" si="79"/>
        <v/>
      </c>
      <c r="Y813" s="2">
        <f t="shared" ca="1" si="80"/>
        <v>65</v>
      </c>
      <c r="Z813" s="14"/>
      <c r="AA813" s="14"/>
      <c r="AC813" s="21"/>
      <c r="AE813" s="21"/>
    </row>
    <row r="814" spans="1:31" hidden="1">
      <c r="A814" s="1">
        <v>9124463</v>
      </c>
      <c r="B814" s="1" t="s">
        <v>101</v>
      </c>
      <c r="C814" t="s">
        <v>643</v>
      </c>
      <c r="D814" s="2">
        <v>220194861</v>
      </c>
      <c r="E814" s="2">
        <v>673001400030</v>
      </c>
      <c r="F814" s="1" t="s">
        <v>647</v>
      </c>
      <c r="G814" s="1" t="s">
        <v>53</v>
      </c>
      <c r="H814" s="1" t="s">
        <v>581</v>
      </c>
      <c r="I814" s="1" t="s">
        <v>582</v>
      </c>
      <c r="J814" s="1" t="s">
        <v>110</v>
      </c>
      <c r="K814" t="s">
        <v>650</v>
      </c>
      <c r="M814" s="1" t="s">
        <v>58</v>
      </c>
      <c r="N814" s="1">
        <v>0</v>
      </c>
      <c r="O814" s="1" t="s">
        <v>105</v>
      </c>
      <c r="P814" s="186">
        <v>44896.362638888888</v>
      </c>
      <c r="R814" s="1">
        <v>4</v>
      </c>
      <c r="T814" s="1" t="s">
        <v>646</v>
      </c>
      <c r="U814" s="186">
        <v>44897.362638888888</v>
      </c>
      <c r="V814" s="1" t="s">
        <v>41</v>
      </c>
      <c r="W814" s="1" t="s">
        <v>49</v>
      </c>
      <c r="X814" s="13" t="str">
        <f t="shared" si="79"/>
        <v/>
      </c>
      <c r="Y814" s="2">
        <f t="shared" ca="1" si="80"/>
        <v>65</v>
      </c>
      <c r="Z814" s="14"/>
      <c r="AA814" s="14"/>
      <c r="AC814" s="21"/>
      <c r="AE814" s="21"/>
    </row>
    <row r="815" spans="1:31" hidden="1">
      <c r="A815" s="1">
        <v>9124142</v>
      </c>
      <c r="B815" s="1" t="s">
        <v>101</v>
      </c>
      <c r="C815" t="s">
        <v>643</v>
      </c>
      <c r="D815" s="2">
        <v>220194221</v>
      </c>
      <c r="E815" s="2">
        <v>5742001400010</v>
      </c>
      <c r="F815" s="1" t="s">
        <v>936</v>
      </c>
      <c r="G815" s="1" t="s">
        <v>53</v>
      </c>
      <c r="H815" s="1" t="s">
        <v>430</v>
      </c>
      <c r="I815" s="1" t="s">
        <v>431</v>
      </c>
      <c r="J815" s="1" t="s">
        <v>79</v>
      </c>
      <c r="K815" t="s">
        <v>937</v>
      </c>
      <c r="M815" s="1" t="s">
        <v>58</v>
      </c>
      <c r="N815" s="1">
        <v>0</v>
      </c>
      <c r="O815" s="1" t="s">
        <v>105</v>
      </c>
      <c r="P815" s="186">
        <v>44896.342835648145</v>
      </c>
      <c r="R815" s="1">
        <v>3</v>
      </c>
      <c r="T815" s="1" t="s">
        <v>646</v>
      </c>
      <c r="U815" s="186">
        <v>44897.342847222222</v>
      </c>
      <c r="V815" s="1" t="s">
        <v>41</v>
      </c>
      <c r="W815" s="1" t="s">
        <v>49</v>
      </c>
      <c r="X815" s="13" t="str">
        <f t="shared" si="79"/>
        <v/>
      </c>
      <c r="Y815" s="2">
        <f t="shared" ca="1" si="80"/>
        <v>65</v>
      </c>
      <c r="Z815" s="14"/>
      <c r="AA815" s="14"/>
      <c r="AC815" s="21"/>
      <c r="AE815" s="21"/>
    </row>
    <row r="816" spans="1:31" hidden="1">
      <c r="A816" s="1">
        <v>9123907</v>
      </c>
      <c r="B816" s="1" t="s">
        <v>101</v>
      </c>
      <c r="C816" t="s">
        <v>643</v>
      </c>
      <c r="D816" s="2">
        <v>220193815</v>
      </c>
      <c r="E816" s="2">
        <v>3243001400010</v>
      </c>
      <c r="F816" s="1" t="s">
        <v>936</v>
      </c>
      <c r="G816" s="1" t="s">
        <v>53</v>
      </c>
      <c r="H816" s="1" t="s">
        <v>282</v>
      </c>
      <c r="I816" s="1" t="s">
        <v>283</v>
      </c>
      <c r="J816" s="1" t="s">
        <v>46</v>
      </c>
      <c r="K816" t="s">
        <v>937</v>
      </c>
      <c r="M816" s="1" t="s">
        <v>58</v>
      </c>
      <c r="N816" s="1">
        <v>0</v>
      </c>
      <c r="O816" s="1" t="s">
        <v>105</v>
      </c>
      <c r="P816" s="186">
        <v>44896.331388888888</v>
      </c>
      <c r="R816" s="1">
        <v>3</v>
      </c>
      <c r="T816" s="1" t="s">
        <v>646</v>
      </c>
      <c r="U816" s="186">
        <v>44897.331388888888</v>
      </c>
      <c r="V816" s="1" t="s">
        <v>41</v>
      </c>
      <c r="W816" s="1" t="s">
        <v>49</v>
      </c>
      <c r="X816" s="13" t="str">
        <f t="shared" si="79"/>
        <v/>
      </c>
      <c r="Y816" s="2">
        <f t="shared" ca="1" si="80"/>
        <v>65</v>
      </c>
      <c r="Z816" s="14"/>
      <c r="AA816" s="14"/>
      <c r="AC816" s="21"/>
      <c r="AE816" s="21"/>
    </row>
    <row r="817" spans="1:31" hidden="1">
      <c r="A817" s="1">
        <v>9123817</v>
      </c>
      <c r="B817" s="1" t="s">
        <v>101</v>
      </c>
      <c r="C817" t="s">
        <v>643</v>
      </c>
      <c r="D817" s="2">
        <v>220193863</v>
      </c>
      <c r="E817" s="2">
        <v>3504001400010</v>
      </c>
      <c r="F817" s="1" t="s">
        <v>936</v>
      </c>
      <c r="G817" s="1" t="s">
        <v>53</v>
      </c>
      <c r="H817" s="1" t="s">
        <v>585</v>
      </c>
      <c r="I817" s="1" t="s">
        <v>586</v>
      </c>
      <c r="J817" s="1" t="s">
        <v>46</v>
      </c>
      <c r="K817" t="s">
        <v>937</v>
      </c>
      <c r="M817" s="1" t="s">
        <v>58</v>
      </c>
      <c r="N817" s="1">
        <v>0</v>
      </c>
      <c r="O817" s="1" t="s">
        <v>105</v>
      </c>
      <c r="P817" s="186">
        <v>44896.327175925922</v>
      </c>
      <c r="R817" s="1">
        <v>3</v>
      </c>
      <c r="T817" s="1" t="s">
        <v>646</v>
      </c>
      <c r="U817" s="186">
        <v>44897.327175925922</v>
      </c>
      <c r="V817" s="1" t="s">
        <v>41</v>
      </c>
      <c r="W817" s="1" t="s">
        <v>49</v>
      </c>
      <c r="X817" s="13" t="str">
        <f t="shared" si="79"/>
        <v/>
      </c>
      <c r="Y817" s="2">
        <f t="shared" ca="1" si="80"/>
        <v>65</v>
      </c>
      <c r="Z817" s="14"/>
      <c r="AA817" s="14"/>
      <c r="AC817" s="21"/>
      <c r="AE817" s="21"/>
    </row>
    <row r="818" spans="1:31" hidden="1">
      <c r="A818" s="1">
        <v>9123799</v>
      </c>
      <c r="B818" s="1" t="s">
        <v>101</v>
      </c>
      <c r="C818" t="s">
        <v>643</v>
      </c>
      <c r="D818" s="2">
        <v>220193693</v>
      </c>
      <c r="E818" s="2">
        <v>2693001400010</v>
      </c>
      <c r="F818" s="1" t="s">
        <v>936</v>
      </c>
      <c r="G818" s="1" t="s">
        <v>53</v>
      </c>
      <c r="H818" s="1" t="s">
        <v>253</v>
      </c>
      <c r="I818" s="1" t="s">
        <v>254</v>
      </c>
      <c r="J818" s="1" t="s">
        <v>56</v>
      </c>
      <c r="K818" t="s">
        <v>937</v>
      </c>
      <c r="M818" s="1" t="s">
        <v>58</v>
      </c>
      <c r="N818" s="1">
        <v>0</v>
      </c>
      <c r="O818" s="1" t="s">
        <v>105</v>
      </c>
      <c r="P818" s="186">
        <v>44896.325995370367</v>
      </c>
      <c r="R818" s="1">
        <v>3</v>
      </c>
      <c r="T818" s="1" t="s">
        <v>646</v>
      </c>
      <c r="U818" s="186">
        <v>44897.326006944444</v>
      </c>
      <c r="V818" s="1" t="s">
        <v>41</v>
      </c>
      <c r="W818" s="1" t="s">
        <v>49</v>
      </c>
      <c r="X818" s="13" t="str">
        <f t="shared" si="79"/>
        <v/>
      </c>
      <c r="Y818" s="2">
        <f t="shared" ca="1" si="80"/>
        <v>65</v>
      </c>
      <c r="Z818" s="14"/>
      <c r="AA818" s="14"/>
      <c r="AC818" s="21"/>
      <c r="AE818" s="21"/>
    </row>
    <row r="819" spans="1:31" hidden="1">
      <c r="A819" s="1">
        <v>9123759</v>
      </c>
      <c r="B819" s="1" t="s">
        <v>101</v>
      </c>
      <c r="C819" t="s">
        <v>643</v>
      </c>
      <c r="D819" s="2">
        <v>220193661</v>
      </c>
      <c r="E819" s="2">
        <v>2564001400010</v>
      </c>
      <c r="F819" s="1" t="s">
        <v>936</v>
      </c>
      <c r="G819" s="1" t="s">
        <v>53</v>
      </c>
      <c r="H819" s="1" t="s">
        <v>255</v>
      </c>
      <c r="I819" s="1" t="s">
        <v>256</v>
      </c>
      <c r="J819" s="1" t="s">
        <v>164</v>
      </c>
      <c r="K819" t="s">
        <v>937</v>
      </c>
      <c r="M819" s="1" t="s">
        <v>58</v>
      </c>
      <c r="N819" s="1">
        <v>0</v>
      </c>
      <c r="O819" s="1" t="s">
        <v>105</v>
      </c>
      <c r="P819" s="186">
        <v>44896.323981481481</v>
      </c>
      <c r="R819" s="1">
        <v>3</v>
      </c>
      <c r="T819" s="1" t="s">
        <v>646</v>
      </c>
      <c r="U819" s="186">
        <v>44897.323981481481</v>
      </c>
      <c r="V819" s="1" t="s">
        <v>41</v>
      </c>
      <c r="W819" s="1" t="s">
        <v>49</v>
      </c>
      <c r="X819" s="13" t="str">
        <f t="shared" si="79"/>
        <v/>
      </c>
      <c r="Y819" s="2">
        <f t="shared" ca="1" si="80"/>
        <v>65</v>
      </c>
      <c r="Z819" s="14"/>
      <c r="AA819" s="14"/>
      <c r="AC819" s="21"/>
      <c r="AE819" s="21"/>
    </row>
    <row r="820" spans="1:31" hidden="1">
      <c r="A820" s="1">
        <v>9123743</v>
      </c>
      <c r="B820" s="1" t="s">
        <v>101</v>
      </c>
      <c r="C820" t="s">
        <v>643</v>
      </c>
      <c r="D820" s="2">
        <v>220193649</v>
      </c>
      <c r="E820" s="2">
        <v>2529001400010</v>
      </c>
      <c r="F820" s="1" t="s">
        <v>936</v>
      </c>
      <c r="G820" s="1" t="s">
        <v>53</v>
      </c>
      <c r="H820" s="1" t="s">
        <v>355</v>
      </c>
      <c r="I820" s="1" t="s">
        <v>356</v>
      </c>
      <c r="J820" s="1" t="s">
        <v>56</v>
      </c>
      <c r="K820" t="s">
        <v>937</v>
      </c>
      <c r="M820" s="1" t="s">
        <v>58</v>
      </c>
      <c r="N820" s="1">
        <v>0</v>
      </c>
      <c r="O820" s="1" t="s">
        <v>105</v>
      </c>
      <c r="P820" s="186">
        <v>44896.323252314818</v>
      </c>
      <c r="R820" s="1">
        <v>3</v>
      </c>
      <c r="T820" s="1" t="s">
        <v>646</v>
      </c>
      <c r="U820" s="186">
        <v>44897.323252314818</v>
      </c>
      <c r="V820" s="1" t="s">
        <v>41</v>
      </c>
      <c r="W820" s="1" t="s">
        <v>49</v>
      </c>
      <c r="X820" s="13" t="str">
        <f t="shared" si="79"/>
        <v/>
      </c>
      <c r="Y820" s="2">
        <f t="shared" ca="1" si="80"/>
        <v>65</v>
      </c>
      <c r="Z820" s="14"/>
      <c r="AA820" s="14"/>
      <c r="AC820" s="21"/>
      <c r="AE820" s="21"/>
    </row>
    <row r="821" spans="1:31" hidden="1">
      <c r="A821" s="1">
        <v>9123722</v>
      </c>
      <c r="B821" s="1" t="s">
        <v>101</v>
      </c>
      <c r="C821" t="s">
        <v>643</v>
      </c>
      <c r="D821" s="2">
        <v>220193628</v>
      </c>
      <c r="E821" s="2">
        <v>2473001400010</v>
      </c>
      <c r="F821" s="1" t="s">
        <v>936</v>
      </c>
      <c r="G821" s="1" t="s">
        <v>53</v>
      </c>
      <c r="H821" s="1" t="s">
        <v>1459</v>
      </c>
      <c r="I821" s="1" t="s">
        <v>1460</v>
      </c>
      <c r="J821" s="1" t="s">
        <v>261</v>
      </c>
      <c r="K821" t="s">
        <v>937</v>
      </c>
      <c r="M821" s="1" t="s">
        <v>58</v>
      </c>
      <c r="N821" s="1">
        <v>0</v>
      </c>
      <c r="O821" s="1" t="s">
        <v>105</v>
      </c>
      <c r="P821" s="186">
        <v>44896.321979166663</v>
      </c>
      <c r="R821" s="1">
        <v>3</v>
      </c>
      <c r="T821" s="1" t="s">
        <v>646</v>
      </c>
      <c r="U821" s="186">
        <v>44897.321979166663</v>
      </c>
      <c r="V821" s="1" t="s">
        <v>41</v>
      </c>
      <c r="W821" s="1" t="s">
        <v>49</v>
      </c>
      <c r="X821" s="13" t="str">
        <f t="shared" si="79"/>
        <v/>
      </c>
      <c r="Y821" s="2">
        <f t="shared" ca="1" si="80"/>
        <v>65</v>
      </c>
      <c r="Z821" s="14"/>
      <c r="AA821" s="14"/>
      <c r="AC821" s="21"/>
      <c r="AE821" s="21"/>
    </row>
    <row r="822" spans="1:31" hidden="1">
      <c r="A822" s="1">
        <v>9123696</v>
      </c>
      <c r="B822" s="1" t="s">
        <v>101</v>
      </c>
      <c r="C822" t="s">
        <v>643</v>
      </c>
      <c r="D822" s="2">
        <v>220193610</v>
      </c>
      <c r="E822" s="2">
        <v>2413001400010</v>
      </c>
      <c r="F822" s="1" t="s">
        <v>936</v>
      </c>
      <c r="G822" s="1" t="s">
        <v>53</v>
      </c>
      <c r="H822" s="1" t="s">
        <v>505</v>
      </c>
      <c r="I822" s="1" t="s">
        <v>506</v>
      </c>
      <c r="J822" s="1" t="s">
        <v>141</v>
      </c>
      <c r="K822" t="s">
        <v>937</v>
      </c>
      <c r="M822" s="1" t="s">
        <v>58</v>
      </c>
      <c r="N822" s="1">
        <v>0</v>
      </c>
      <c r="O822" s="1" t="s">
        <v>105</v>
      </c>
      <c r="P822" s="186">
        <v>44896.320925925924</v>
      </c>
      <c r="R822" s="1">
        <v>3</v>
      </c>
      <c r="T822" s="1" t="s">
        <v>646</v>
      </c>
      <c r="U822" s="186">
        <v>44897.320925925924</v>
      </c>
      <c r="V822" s="1" t="s">
        <v>41</v>
      </c>
      <c r="W822" s="1" t="s">
        <v>49</v>
      </c>
      <c r="X822" s="13" t="str">
        <f t="shared" si="79"/>
        <v/>
      </c>
      <c r="Y822" s="2">
        <f t="shared" ca="1" si="80"/>
        <v>65</v>
      </c>
      <c r="Z822" s="14"/>
      <c r="AA822" s="14"/>
      <c r="AC822" s="21"/>
      <c r="AE822" s="21"/>
    </row>
    <row r="823" spans="1:31" hidden="1">
      <c r="A823" s="1">
        <v>9123651</v>
      </c>
      <c r="B823" s="1" t="s">
        <v>101</v>
      </c>
      <c r="C823" t="s">
        <v>643</v>
      </c>
      <c r="D823" s="2">
        <v>220193532</v>
      </c>
      <c r="E823" s="2">
        <v>2125001400010</v>
      </c>
      <c r="F823" s="1" t="s">
        <v>936</v>
      </c>
      <c r="G823" s="1" t="s">
        <v>53</v>
      </c>
      <c r="H823" s="1" t="s">
        <v>1399</v>
      </c>
      <c r="I823" s="1" t="s">
        <v>1400</v>
      </c>
      <c r="J823" s="1" t="s">
        <v>211</v>
      </c>
      <c r="K823" t="s">
        <v>937</v>
      </c>
      <c r="M823" s="1" t="s">
        <v>58</v>
      </c>
      <c r="N823" s="1">
        <v>0</v>
      </c>
      <c r="O823" s="1" t="s">
        <v>105</v>
      </c>
      <c r="P823" s="186">
        <v>44896.317893518521</v>
      </c>
      <c r="R823" s="1">
        <v>3</v>
      </c>
      <c r="T823" s="1" t="s">
        <v>646</v>
      </c>
      <c r="U823" s="186">
        <v>44897.317893518521</v>
      </c>
      <c r="V823" s="1" t="s">
        <v>41</v>
      </c>
      <c r="W823" s="1" t="s">
        <v>49</v>
      </c>
      <c r="X823" s="13" t="str">
        <f t="shared" si="79"/>
        <v/>
      </c>
      <c r="Y823" s="2">
        <f t="shared" ca="1" si="80"/>
        <v>65</v>
      </c>
      <c r="Z823" s="14"/>
      <c r="AA823" s="14"/>
      <c r="AC823" s="21"/>
      <c r="AE823" s="21"/>
    </row>
    <row r="824" spans="1:31" hidden="1">
      <c r="A824" s="1">
        <v>9123585</v>
      </c>
      <c r="B824" s="1" t="s">
        <v>101</v>
      </c>
      <c r="C824" t="s">
        <v>643</v>
      </c>
      <c r="D824" s="2">
        <v>220193497</v>
      </c>
      <c r="E824" s="2">
        <v>2018001400010</v>
      </c>
      <c r="F824" s="1" t="s">
        <v>936</v>
      </c>
      <c r="G824" s="1" t="s">
        <v>53</v>
      </c>
      <c r="H824" s="1" t="s">
        <v>598</v>
      </c>
      <c r="I824" s="1" t="s">
        <v>599</v>
      </c>
      <c r="J824" s="1" t="s">
        <v>79</v>
      </c>
      <c r="K824" t="s">
        <v>937</v>
      </c>
      <c r="M824" s="1" t="s">
        <v>58</v>
      </c>
      <c r="N824" s="1">
        <v>0</v>
      </c>
      <c r="O824" s="1" t="s">
        <v>105</v>
      </c>
      <c r="P824" s="186">
        <v>44896.315046296295</v>
      </c>
      <c r="R824" s="1">
        <v>3</v>
      </c>
      <c r="T824" s="1" t="s">
        <v>646</v>
      </c>
      <c r="U824" s="186">
        <v>44897.315057870372</v>
      </c>
      <c r="V824" s="1" t="s">
        <v>41</v>
      </c>
      <c r="W824" s="1" t="s">
        <v>49</v>
      </c>
      <c r="X824" s="13" t="str">
        <f t="shared" si="79"/>
        <v/>
      </c>
      <c r="Y824" s="2">
        <f t="shared" ca="1" si="80"/>
        <v>65</v>
      </c>
      <c r="Z824" s="14"/>
      <c r="AA824" s="14"/>
      <c r="AC824" s="21"/>
      <c r="AE824" s="21"/>
    </row>
    <row r="825" spans="1:31" hidden="1">
      <c r="A825" s="1">
        <v>9123569</v>
      </c>
      <c r="B825" s="1" t="s">
        <v>101</v>
      </c>
      <c r="C825" t="s">
        <v>643</v>
      </c>
      <c r="D825" s="2">
        <v>220193370</v>
      </c>
      <c r="E825" s="2">
        <v>1509001400010</v>
      </c>
      <c r="F825" s="1" t="s">
        <v>936</v>
      </c>
      <c r="G825" s="1" t="s">
        <v>53</v>
      </c>
      <c r="H825" s="1" t="s">
        <v>731</v>
      </c>
      <c r="I825" s="1" t="s">
        <v>732</v>
      </c>
      <c r="J825" s="1" t="s">
        <v>46</v>
      </c>
      <c r="K825" t="s">
        <v>937</v>
      </c>
      <c r="M825" s="1" t="s">
        <v>58</v>
      </c>
      <c r="N825" s="1">
        <v>0</v>
      </c>
      <c r="O825" s="1" t="s">
        <v>105</v>
      </c>
      <c r="P825" s="186">
        <v>44896.31386574074</v>
      </c>
      <c r="R825" s="1">
        <v>3</v>
      </c>
      <c r="T825" s="1" t="s">
        <v>646</v>
      </c>
      <c r="U825" s="186">
        <v>44897.31386574074</v>
      </c>
      <c r="V825" s="1" t="s">
        <v>41</v>
      </c>
      <c r="W825" s="1" t="s">
        <v>49</v>
      </c>
      <c r="X825" s="13" t="str">
        <f t="shared" si="79"/>
        <v/>
      </c>
      <c r="Y825" s="2">
        <f t="shared" ca="1" si="80"/>
        <v>65</v>
      </c>
      <c r="Z825" s="14"/>
      <c r="AA825" s="14"/>
      <c r="AC825" s="21"/>
      <c r="AE825" s="21"/>
    </row>
    <row r="826" spans="1:31" hidden="1">
      <c r="A826" s="1">
        <v>9123507</v>
      </c>
      <c r="B826" s="1" t="s">
        <v>101</v>
      </c>
      <c r="C826" t="s">
        <v>643</v>
      </c>
      <c r="D826" s="2">
        <v>220193316</v>
      </c>
      <c r="E826" s="2">
        <v>1363001400010</v>
      </c>
      <c r="F826" s="1" t="s">
        <v>936</v>
      </c>
      <c r="G826" s="1" t="s">
        <v>53</v>
      </c>
      <c r="H826" s="1" t="s">
        <v>108</v>
      </c>
      <c r="I826" s="1" t="s">
        <v>109</v>
      </c>
      <c r="J826" s="1" t="s">
        <v>110</v>
      </c>
      <c r="K826" t="s">
        <v>937</v>
      </c>
      <c r="M826" s="1" t="s">
        <v>58</v>
      </c>
      <c r="N826" s="1">
        <v>0</v>
      </c>
      <c r="O826" s="1" t="s">
        <v>105</v>
      </c>
      <c r="P826" s="186">
        <v>44896.31077546296</v>
      </c>
      <c r="R826" s="1">
        <v>3</v>
      </c>
      <c r="T826" s="1" t="s">
        <v>646</v>
      </c>
      <c r="U826" s="186">
        <v>44897.31077546296</v>
      </c>
      <c r="V826" s="1" t="s">
        <v>41</v>
      </c>
      <c r="W826" s="1" t="s">
        <v>49</v>
      </c>
      <c r="X826" s="13" t="str">
        <f t="shared" ref="X826:X889" si="81">IF(RIGHT(H826,2)&lt;&gt;"00",H826,"")</f>
        <v/>
      </c>
      <c r="Y826" s="2">
        <f t="shared" ref="Y826:Y889" ca="1" si="82">NETWORKDAYS(P826,$Y$1)</f>
        <v>65</v>
      </c>
      <c r="Z826" s="14"/>
      <c r="AA826" s="14"/>
      <c r="AC826" s="21"/>
      <c r="AE826" s="21"/>
    </row>
    <row r="827" spans="1:31" hidden="1">
      <c r="A827" s="1">
        <v>9123506</v>
      </c>
      <c r="B827" s="1" t="s">
        <v>101</v>
      </c>
      <c r="C827" t="s">
        <v>643</v>
      </c>
      <c r="D827" s="2">
        <v>220193315</v>
      </c>
      <c r="E827" s="2">
        <v>1362001400010</v>
      </c>
      <c r="F827" s="1" t="s">
        <v>936</v>
      </c>
      <c r="G827" s="1" t="s">
        <v>53</v>
      </c>
      <c r="H827" s="1" t="s">
        <v>268</v>
      </c>
      <c r="I827" s="1" t="s">
        <v>269</v>
      </c>
      <c r="J827" s="1" t="s">
        <v>90</v>
      </c>
      <c r="K827" t="s">
        <v>937</v>
      </c>
      <c r="M827" s="1" t="s">
        <v>58</v>
      </c>
      <c r="N827" s="1">
        <v>0</v>
      </c>
      <c r="O827" s="1" t="s">
        <v>105</v>
      </c>
      <c r="P827" s="186">
        <v>44896.310717592591</v>
      </c>
      <c r="R827" s="1">
        <v>3</v>
      </c>
      <c r="T827" s="1" t="s">
        <v>646</v>
      </c>
      <c r="U827" s="186">
        <v>44897.310717592591</v>
      </c>
      <c r="V827" s="1" t="s">
        <v>41</v>
      </c>
      <c r="W827" s="1" t="s">
        <v>49</v>
      </c>
      <c r="X827" s="13" t="str">
        <f t="shared" si="81"/>
        <v/>
      </c>
      <c r="Y827" s="2">
        <f t="shared" ca="1" si="82"/>
        <v>65</v>
      </c>
      <c r="Z827" s="14"/>
      <c r="AA827" s="14"/>
      <c r="AC827" s="21"/>
      <c r="AE827" s="21"/>
    </row>
    <row r="828" spans="1:31" hidden="1">
      <c r="A828" s="1">
        <v>9123505</v>
      </c>
      <c r="B828" s="1" t="s">
        <v>101</v>
      </c>
      <c r="C828" t="s">
        <v>643</v>
      </c>
      <c r="D828" s="2">
        <v>220193314</v>
      </c>
      <c r="E828" s="2">
        <v>1360001400010</v>
      </c>
      <c r="F828" s="1" t="s">
        <v>936</v>
      </c>
      <c r="G828" s="1" t="s">
        <v>53</v>
      </c>
      <c r="H828" s="1" t="s">
        <v>303</v>
      </c>
      <c r="I828" s="1" t="s">
        <v>304</v>
      </c>
      <c r="J828" s="1" t="s">
        <v>261</v>
      </c>
      <c r="K828" t="s">
        <v>937</v>
      </c>
      <c r="M828" s="1" t="s">
        <v>58</v>
      </c>
      <c r="N828" s="1">
        <v>0</v>
      </c>
      <c r="O828" s="1" t="s">
        <v>105</v>
      </c>
      <c r="P828" s="186">
        <v>44896.310659722221</v>
      </c>
      <c r="R828" s="1">
        <v>3</v>
      </c>
      <c r="T828" s="1" t="s">
        <v>646</v>
      </c>
      <c r="U828" s="186">
        <v>44897.310659722221</v>
      </c>
      <c r="V828" s="1" t="s">
        <v>41</v>
      </c>
      <c r="W828" s="1" t="s">
        <v>49</v>
      </c>
      <c r="X828" s="13" t="str">
        <f t="shared" si="81"/>
        <v/>
      </c>
      <c r="Y828" s="2">
        <f t="shared" ca="1" si="82"/>
        <v>65</v>
      </c>
      <c r="Z828" s="14"/>
      <c r="AA828" s="14"/>
      <c r="AC828" s="21"/>
      <c r="AE828" s="21"/>
    </row>
    <row r="829" spans="1:31" hidden="1">
      <c r="A829" s="1">
        <v>9123504</v>
      </c>
      <c r="B829" s="1" t="s">
        <v>101</v>
      </c>
      <c r="C829" t="s">
        <v>643</v>
      </c>
      <c r="D829" s="2">
        <v>220193313</v>
      </c>
      <c r="E829" s="2">
        <v>1359001400010</v>
      </c>
      <c r="F829" s="1" t="s">
        <v>936</v>
      </c>
      <c r="G829" s="1" t="s">
        <v>53</v>
      </c>
      <c r="H829" s="1" t="s">
        <v>270</v>
      </c>
      <c r="I829" s="1" t="s">
        <v>271</v>
      </c>
      <c r="J829" s="1" t="s">
        <v>141</v>
      </c>
      <c r="K829" t="s">
        <v>937</v>
      </c>
      <c r="M829" s="1" t="s">
        <v>58</v>
      </c>
      <c r="N829" s="1">
        <v>0</v>
      </c>
      <c r="O829" s="1" t="s">
        <v>105</v>
      </c>
      <c r="P829" s="186">
        <v>44896.310601851852</v>
      </c>
      <c r="R829" s="1">
        <v>3</v>
      </c>
      <c r="T829" s="1" t="s">
        <v>646</v>
      </c>
      <c r="U829" s="186">
        <v>44897.310601851852</v>
      </c>
      <c r="V829" s="1" t="s">
        <v>41</v>
      </c>
      <c r="W829" s="1" t="s">
        <v>49</v>
      </c>
      <c r="X829" s="13" t="str">
        <f t="shared" si="81"/>
        <v/>
      </c>
      <c r="Y829" s="2">
        <f t="shared" ca="1" si="82"/>
        <v>65</v>
      </c>
      <c r="Z829" s="14"/>
      <c r="AA829" s="14"/>
      <c r="AC829" s="21"/>
      <c r="AE829" s="21"/>
    </row>
    <row r="830" spans="1:31" hidden="1">
      <c r="A830" s="1">
        <v>9123455</v>
      </c>
      <c r="B830" s="1" t="s">
        <v>101</v>
      </c>
      <c r="C830" t="s">
        <v>643</v>
      </c>
      <c r="D830" s="2">
        <v>220193276</v>
      </c>
      <c r="E830" s="2">
        <v>1291001400010</v>
      </c>
      <c r="F830" s="1" t="s">
        <v>936</v>
      </c>
      <c r="G830" s="1" t="s">
        <v>53</v>
      </c>
      <c r="H830" s="1" t="s">
        <v>136</v>
      </c>
      <c r="I830" s="1" t="s">
        <v>137</v>
      </c>
      <c r="J830" s="1" t="s">
        <v>33</v>
      </c>
      <c r="K830" t="s">
        <v>937</v>
      </c>
      <c r="M830" s="1" t="s">
        <v>58</v>
      </c>
      <c r="N830" s="1">
        <v>0</v>
      </c>
      <c r="O830" s="1" t="s">
        <v>105</v>
      </c>
      <c r="P830" s="186">
        <v>44896.308368055557</v>
      </c>
      <c r="R830" s="1">
        <v>3</v>
      </c>
      <c r="T830" s="1" t="s">
        <v>646</v>
      </c>
      <c r="U830" s="186">
        <v>44897.308368055557</v>
      </c>
      <c r="V830" s="1" t="s">
        <v>41</v>
      </c>
      <c r="W830" s="1" t="s">
        <v>42</v>
      </c>
      <c r="X830" s="13" t="str">
        <f t="shared" si="81"/>
        <v/>
      </c>
      <c r="Y830" s="2">
        <f t="shared" ca="1" si="82"/>
        <v>65</v>
      </c>
      <c r="Z830" s="14"/>
      <c r="AA830" s="14"/>
      <c r="AC830" s="21"/>
      <c r="AE830" s="21"/>
    </row>
    <row r="831" spans="1:31" hidden="1">
      <c r="A831" s="1">
        <v>9123430</v>
      </c>
      <c r="B831" s="1" t="s">
        <v>101</v>
      </c>
      <c r="C831" t="s">
        <v>643</v>
      </c>
      <c r="D831" s="2">
        <v>220193099</v>
      </c>
      <c r="E831" s="2">
        <v>922001400010</v>
      </c>
      <c r="F831" s="1" t="s">
        <v>936</v>
      </c>
      <c r="G831" s="1" t="s">
        <v>53</v>
      </c>
      <c r="H831" s="1" t="s">
        <v>1375</v>
      </c>
      <c r="I831" s="1" t="s">
        <v>1376</v>
      </c>
      <c r="J831" s="1" t="s">
        <v>261</v>
      </c>
      <c r="K831" t="s">
        <v>937</v>
      </c>
      <c r="M831" s="1" t="s">
        <v>58</v>
      </c>
      <c r="N831" s="1">
        <v>0</v>
      </c>
      <c r="O831" s="1" t="s">
        <v>105</v>
      </c>
      <c r="P831" s="186">
        <v>44896.303182870368</v>
      </c>
      <c r="R831" s="1">
        <v>3</v>
      </c>
      <c r="T831" s="1" t="s">
        <v>646</v>
      </c>
      <c r="U831" s="186">
        <v>44897.303182870368</v>
      </c>
      <c r="V831" s="1" t="s">
        <v>41</v>
      </c>
      <c r="W831" s="1" t="s">
        <v>49</v>
      </c>
      <c r="X831" s="13" t="str">
        <f t="shared" si="81"/>
        <v/>
      </c>
      <c r="Y831" s="2">
        <f t="shared" ca="1" si="82"/>
        <v>65</v>
      </c>
      <c r="Z831" s="14"/>
      <c r="AA831" s="14"/>
      <c r="AC831" s="21"/>
      <c r="AE831" s="21"/>
    </row>
    <row r="832" spans="1:31" hidden="1">
      <c r="A832" s="1">
        <v>9123424</v>
      </c>
      <c r="B832" s="1" t="s">
        <v>101</v>
      </c>
      <c r="C832" t="s">
        <v>643</v>
      </c>
      <c r="D832" s="2">
        <v>220193097</v>
      </c>
      <c r="E832" s="2">
        <v>917001400010</v>
      </c>
      <c r="F832" s="1" t="s">
        <v>936</v>
      </c>
      <c r="G832" s="1" t="s">
        <v>53</v>
      </c>
      <c r="H832" s="1" t="s">
        <v>83</v>
      </c>
      <c r="I832" s="1" t="s">
        <v>84</v>
      </c>
      <c r="J832" s="1" t="s">
        <v>85</v>
      </c>
      <c r="K832" t="s">
        <v>937</v>
      </c>
      <c r="M832" s="1" t="s">
        <v>58</v>
      </c>
      <c r="N832" s="1">
        <v>0</v>
      </c>
      <c r="O832" s="1" t="s">
        <v>105</v>
      </c>
      <c r="P832" s="186">
        <v>44896.303067129629</v>
      </c>
      <c r="R832" s="1">
        <v>3</v>
      </c>
      <c r="T832" s="1" t="s">
        <v>646</v>
      </c>
      <c r="U832" s="186">
        <v>44897.303067129629</v>
      </c>
      <c r="V832" s="1" t="s">
        <v>41</v>
      </c>
      <c r="W832" s="1" t="s">
        <v>49</v>
      </c>
      <c r="X832" s="13" t="str">
        <f t="shared" si="81"/>
        <v/>
      </c>
      <c r="Y832" s="2">
        <f t="shared" ca="1" si="82"/>
        <v>65</v>
      </c>
      <c r="Z832" s="14"/>
      <c r="AA832" s="14"/>
      <c r="AC832" s="21"/>
      <c r="AE832" s="21"/>
    </row>
    <row r="833" spans="1:31" hidden="1">
      <c r="A833" s="1">
        <v>9123416</v>
      </c>
      <c r="B833" s="1" t="s">
        <v>101</v>
      </c>
      <c r="C833" t="s">
        <v>643</v>
      </c>
      <c r="D833" s="2">
        <v>220193110</v>
      </c>
      <c r="E833" s="2">
        <v>934001400010</v>
      </c>
      <c r="F833" s="1" t="s">
        <v>936</v>
      </c>
      <c r="G833" s="1" t="s">
        <v>53</v>
      </c>
      <c r="H833" s="1" t="s">
        <v>428</v>
      </c>
      <c r="I833" s="1" t="s">
        <v>429</v>
      </c>
      <c r="J833" s="1" t="s">
        <v>46</v>
      </c>
      <c r="K833" t="s">
        <v>937</v>
      </c>
      <c r="M833" s="1" t="s">
        <v>58</v>
      </c>
      <c r="N833" s="1">
        <v>0</v>
      </c>
      <c r="O833" s="1" t="s">
        <v>105</v>
      </c>
      <c r="P833" s="186">
        <v>44896.302604166667</v>
      </c>
      <c r="R833" s="1">
        <v>3</v>
      </c>
      <c r="T833" s="1" t="s">
        <v>646</v>
      </c>
      <c r="U833" s="186">
        <v>44897.302604166667</v>
      </c>
      <c r="V833" s="1" t="s">
        <v>41</v>
      </c>
      <c r="W833" s="1" t="s">
        <v>49</v>
      </c>
      <c r="X833" s="13" t="str">
        <f t="shared" si="81"/>
        <v/>
      </c>
      <c r="Y833" s="2">
        <f t="shared" ca="1" si="82"/>
        <v>65</v>
      </c>
      <c r="Z833" s="14"/>
      <c r="AA833" s="14"/>
      <c r="AC833" s="21"/>
      <c r="AE833" s="21"/>
    </row>
    <row r="834" spans="1:31" hidden="1">
      <c r="A834" s="1">
        <v>9123392</v>
      </c>
      <c r="B834" s="1" t="s">
        <v>101</v>
      </c>
      <c r="C834" t="s">
        <v>643</v>
      </c>
      <c r="D834" s="2">
        <v>220193089</v>
      </c>
      <c r="E834" s="2">
        <v>899001400010</v>
      </c>
      <c r="F834" s="1" t="s">
        <v>936</v>
      </c>
      <c r="G834" s="1" t="s">
        <v>53</v>
      </c>
      <c r="H834" s="1" t="s">
        <v>175</v>
      </c>
      <c r="I834" s="1" t="s">
        <v>176</v>
      </c>
      <c r="J834" s="1" t="s">
        <v>90</v>
      </c>
      <c r="K834" t="s">
        <v>937</v>
      </c>
      <c r="M834" s="1" t="s">
        <v>58</v>
      </c>
      <c r="N834" s="1">
        <v>0</v>
      </c>
      <c r="O834" s="1" t="s">
        <v>36</v>
      </c>
      <c r="P834" s="186">
        <v>44896.301493055558</v>
      </c>
      <c r="R834" s="1">
        <v>3</v>
      </c>
      <c r="T834" s="1" t="s">
        <v>646</v>
      </c>
      <c r="U834" s="186">
        <v>44897.301493055558</v>
      </c>
      <c r="V834" s="1" t="s">
        <v>41</v>
      </c>
      <c r="W834" s="1" t="s">
        <v>49</v>
      </c>
      <c r="X834" s="13" t="str">
        <f t="shared" si="81"/>
        <v/>
      </c>
      <c r="Y834" s="2">
        <f t="shared" ca="1" si="82"/>
        <v>65</v>
      </c>
      <c r="Z834" s="14"/>
      <c r="AA834" s="14"/>
      <c r="AC834" s="21"/>
      <c r="AE834" s="21"/>
    </row>
    <row r="835" spans="1:31" hidden="1">
      <c r="A835" s="1">
        <v>9123373</v>
      </c>
      <c r="B835" s="1" t="s">
        <v>101</v>
      </c>
      <c r="C835" t="s">
        <v>643</v>
      </c>
      <c r="D835" s="2">
        <v>220193054</v>
      </c>
      <c r="E835" s="2">
        <v>834001400010</v>
      </c>
      <c r="F835" s="1" t="s">
        <v>936</v>
      </c>
      <c r="G835" s="1" t="s">
        <v>53</v>
      </c>
      <c r="H835" s="1" t="s">
        <v>367</v>
      </c>
      <c r="I835" s="1" t="s">
        <v>368</v>
      </c>
      <c r="J835" s="1" t="s">
        <v>261</v>
      </c>
      <c r="K835" t="s">
        <v>937</v>
      </c>
      <c r="M835" s="1" t="s">
        <v>58</v>
      </c>
      <c r="N835" s="1">
        <v>0</v>
      </c>
      <c r="O835" s="1" t="s">
        <v>105</v>
      </c>
      <c r="P835" s="186">
        <v>44896.300370370373</v>
      </c>
      <c r="R835" s="1">
        <v>3</v>
      </c>
      <c r="T835" s="1" t="s">
        <v>646</v>
      </c>
      <c r="U835" s="186">
        <v>44897.300381944442</v>
      </c>
      <c r="V835" s="1" t="s">
        <v>41</v>
      </c>
      <c r="W835" s="1" t="s">
        <v>49</v>
      </c>
      <c r="X835" s="13" t="str">
        <f t="shared" si="81"/>
        <v/>
      </c>
      <c r="Y835" s="2">
        <f t="shared" ca="1" si="82"/>
        <v>65</v>
      </c>
      <c r="Z835" s="14"/>
      <c r="AA835" s="14"/>
      <c r="AC835" s="21"/>
      <c r="AE835" s="21"/>
    </row>
    <row r="836" spans="1:31" hidden="1">
      <c r="A836" s="1">
        <v>9123368</v>
      </c>
      <c r="B836" s="1" t="s">
        <v>101</v>
      </c>
      <c r="C836" t="s">
        <v>643</v>
      </c>
      <c r="D836" s="2">
        <v>220193049</v>
      </c>
      <c r="E836" s="2">
        <v>821001400010</v>
      </c>
      <c r="F836" s="1" t="s">
        <v>936</v>
      </c>
      <c r="G836" s="1" t="s">
        <v>53</v>
      </c>
      <c r="H836" s="1" t="s">
        <v>1351</v>
      </c>
      <c r="I836" s="1" t="s">
        <v>1352</v>
      </c>
      <c r="J836" s="1" t="s">
        <v>46</v>
      </c>
      <c r="K836" t="s">
        <v>937</v>
      </c>
      <c r="M836" s="1" t="s">
        <v>58</v>
      </c>
      <c r="N836" s="1">
        <v>0</v>
      </c>
      <c r="O836" s="1" t="s">
        <v>105</v>
      </c>
      <c r="P836" s="186">
        <v>44896.300046296295</v>
      </c>
      <c r="R836" s="1">
        <v>3</v>
      </c>
      <c r="T836" s="1" t="s">
        <v>646</v>
      </c>
      <c r="U836" s="186">
        <v>44897.300057870372</v>
      </c>
      <c r="V836" s="1" t="s">
        <v>41</v>
      </c>
      <c r="W836" s="1" t="s">
        <v>49</v>
      </c>
      <c r="X836" s="13" t="str">
        <f t="shared" si="81"/>
        <v/>
      </c>
      <c r="Y836" s="2">
        <f t="shared" ca="1" si="82"/>
        <v>65</v>
      </c>
      <c r="Z836" s="14"/>
      <c r="AA836" s="14"/>
      <c r="AC836" s="21"/>
      <c r="AE836" s="21"/>
    </row>
    <row r="837" spans="1:31" hidden="1">
      <c r="A837" s="1">
        <v>9123299</v>
      </c>
      <c r="B837" s="1" t="s">
        <v>101</v>
      </c>
      <c r="C837" t="s">
        <v>643</v>
      </c>
      <c r="D837" s="2">
        <v>220192827</v>
      </c>
      <c r="E837" s="2">
        <v>446001400010</v>
      </c>
      <c r="F837" s="1" t="s">
        <v>936</v>
      </c>
      <c r="G837" s="1" t="s">
        <v>53</v>
      </c>
      <c r="H837" s="1" t="s">
        <v>432</v>
      </c>
      <c r="I837" s="1" t="s">
        <v>433</v>
      </c>
      <c r="J837" s="1" t="s">
        <v>110</v>
      </c>
      <c r="K837" t="s">
        <v>937</v>
      </c>
      <c r="M837" s="1" t="s">
        <v>58</v>
      </c>
      <c r="N837" s="1">
        <v>0</v>
      </c>
      <c r="O837" s="1" t="s">
        <v>36</v>
      </c>
      <c r="P837" s="186">
        <v>44896.296458333331</v>
      </c>
      <c r="R837" s="1">
        <v>3</v>
      </c>
      <c r="T837" s="1" t="s">
        <v>646</v>
      </c>
      <c r="U837" s="186">
        <v>44897.296458333331</v>
      </c>
      <c r="V837" s="1" t="s">
        <v>41</v>
      </c>
      <c r="W837" s="1" t="s">
        <v>49</v>
      </c>
      <c r="X837" s="13" t="str">
        <f t="shared" si="81"/>
        <v/>
      </c>
      <c r="Y837" s="2">
        <f t="shared" ca="1" si="82"/>
        <v>65</v>
      </c>
      <c r="Z837" s="14"/>
      <c r="AA837" s="14"/>
      <c r="AC837" s="21"/>
      <c r="AE837" s="21"/>
    </row>
    <row r="838" spans="1:31" hidden="1">
      <c r="A838" s="1">
        <v>9123248</v>
      </c>
      <c r="B838" s="1" t="s">
        <v>101</v>
      </c>
      <c r="C838" t="s">
        <v>643</v>
      </c>
      <c r="D838" s="2">
        <v>220192887</v>
      </c>
      <c r="E838" s="2">
        <v>550001400010</v>
      </c>
      <c r="F838" s="1" t="s">
        <v>936</v>
      </c>
      <c r="G838" s="1" t="s">
        <v>53</v>
      </c>
      <c r="H838" s="1" t="s">
        <v>337</v>
      </c>
      <c r="I838" s="1" t="s">
        <v>338</v>
      </c>
      <c r="J838" s="1" t="s">
        <v>164</v>
      </c>
      <c r="K838" t="s">
        <v>937</v>
      </c>
      <c r="M838" s="1" t="s">
        <v>58</v>
      </c>
      <c r="N838" s="1">
        <v>0</v>
      </c>
      <c r="O838" s="1" t="s">
        <v>105</v>
      </c>
      <c r="P838" s="186">
        <v>44896.294189814813</v>
      </c>
      <c r="R838" s="1">
        <v>3</v>
      </c>
      <c r="T838" s="1" t="s">
        <v>646</v>
      </c>
      <c r="U838" s="186">
        <v>44897.294189814813</v>
      </c>
      <c r="V838" s="1" t="s">
        <v>41</v>
      </c>
      <c r="W838" s="1" t="s">
        <v>49</v>
      </c>
      <c r="X838" s="13" t="str">
        <f t="shared" si="81"/>
        <v/>
      </c>
      <c r="Y838" s="2">
        <f t="shared" ca="1" si="82"/>
        <v>65</v>
      </c>
      <c r="Z838" s="14"/>
      <c r="AA838" s="14"/>
      <c r="AC838" s="21"/>
      <c r="AE838" s="21"/>
    </row>
    <row r="839" spans="1:31" hidden="1">
      <c r="A839" s="1">
        <v>9123242</v>
      </c>
      <c r="B839" s="1" t="s">
        <v>101</v>
      </c>
      <c r="C839" t="s">
        <v>643</v>
      </c>
      <c r="D839" s="2">
        <v>220192881</v>
      </c>
      <c r="E839" s="2">
        <v>537001400010</v>
      </c>
      <c r="F839" s="1" t="s">
        <v>936</v>
      </c>
      <c r="G839" s="1" t="s">
        <v>53</v>
      </c>
      <c r="H839" s="1" t="s">
        <v>442</v>
      </c>
      <c r="I839" s="1" t="s">
        <v>443</v>
      </c>
      <c r="J839" s="1" t="s">
        <v>79</v>
      </c>
      <c r="K839" t="s">
        <v>937</v>
      </c>
      <c r="M839" s="1" t="s">
        <v>58</v>
      </c>
      <c r="N839" s="1">
        <v>0</v>
      </c>
      <c r="O839" s="1" t="s">
        <v>105</v>
      </c>
      <c r="P839" s="186">
        <v>44896.293796296297</v>
      </c>
      <c r="R839" s="1">
        <v>3</v>
      </c>
      <c r="T839" s="1" t="s">
        <v>646</v>
      </c>
      <c r="U839" s="186">
        <v>44897.293796296297</v>
      </c>
      <c r="V839" s="1" t="s">
        <v>41</v>
      </c>
      <c r="W839" s="1" t="s">
        <v>49</v>
      </c>
      <c r="X839" s="13" t="str">
        <f t="shared" si="81"/>
        <v/>
      </c>
      <c r="Y839" s="2">
        <f t="shared" ca="1" si="82"/>
        <v>65</v>
      </c>
      <c r="Z839" s="14"/>
      <c r="AA839" s="14"/>
      <c r="AC839" s="21"/>
      <c r="AE839" s="21"/>
    </row>
    <row r="840" spans="1:31" hidden="1">
      <c r="A840" s="1">
        <v>9123204</v>
      </c>
      <c r="B840" s="1" t="s">
        <v>101</v>
      </c>
      <c r="C840" t="s">
        <v>643</v>
      </c>
      <c r="D840" s="2">
        <v>220192907</v>
      </c>
      <c r="E840" s="2">
        <v>582001400010</v>
      </c>
      <c r="F840" s="1" t="s">
        <v>936</v>
      </c>
      <c r="G840" s="1" t="s">
        <v>53</v>
      </c>
      <c r="H840" s="1" t="s">
        <v>139</v>
      </c>
      <c r="I840" s="1" t="s">
        <v>140</v>
      </c>
      <c r="J840" s="1" t="s">
        <v>141</v>
      </c>
      <c r="K840" t="s">
        <v>937</v>
      </c>
      <c r="M840" s="1" t="s">
        <v>58</v>
      </c>
      <c r="N840" s="1">
        <v>0</v>
      </c>
      <c r="O840" s="1" t="s">
        <v>105</v>
      </c>
      <c r="P840" s="186">
        <v>44896.292037037034</v>
      </c>
      <c r="R840" s="1">
        <v>3</v>
      </c>
      <c r="T840" s="1" t="s">
        <v>646</v>
      </c>
      <c r="U840" s="186">
        <v>44897.292037037034</v>
      </c>
      <c r="V840" s="1" t="s">
        <v>41</v>
      </c>
      <c r="W840" s="1" t="s">
        <v>49</v>
      </c>
      <c r="X840" s="13" t="str">
        <f t="shared" si="81"/>
        <v/>
      </c>
      <c r="Y840" s="2">
        <f t="shared" ca="1" si="82"/>
        <v>65</v>
      </c>
      <c r="Z840" s="14"/>
      <c r="AA840" s="14"/>
      <c r="AC840" s="21"/>
      <c r="AE840" s="21"/>
    </row>
    <row r="841" spans="1:31" hidden="1">
      <c r="A841" s="1">
        <v>9123102</v>
      </c>
      <c r="B841" s="1" t="s">
        <v>101</v>
      </c>
      <c r="C841" t="s">
        <v>643</v>
      </c>
      <c r="D841" s="2">
        <v>220192673</v>
      </c>
      <c r="E841" s="2">
        <v>233001400010</v>
      </c>
      <c r="F841" s="1" t="s">
        <v>936</v>
      </c>
      <c r="G841" s="1" t="s">
        <v>53</v>
      </c>
      <c r="H841" s="1" t="s">
        <v>424</v>
      </c>
      <c r="I841" s="1" t="s">
        <v>425</v>
      </c>
      <c r="J841" s="1" t="s">
        <v>261</v>
      </c>
      <c r="K841" t="s">
        <v>937</v>
      </c>
      <c r="M841" s="1" t="s">
        <v>58</v>
      </c>
      <c r="N841" s="1">
        <v>0</v>
      </c>
      <c r="O841" s="1" t="s">
        <v>105</v>
      </c>
      <c r="P841" s="186">
        <v>44896.286504629628</v>
      </c>
      <c r="R841" s="1">
        <v>3</v>
      </c>
      <c r="T841" s="1" t="s">
        <v>646</v>
      </c>
      <c r="U841" s="186">
        <v>44897.286516203705</v>
      </c>
      <c r="V841" s="1" t="s">
        <v>41</v>
      </c>
      <c r="W841" s="1" t="s">
        <v>49</v>
      </c>
      <c r="X841" s="13" t="str">
        <f t="shared" si="81"/>
        <v/>
      </c>
      <c r="Y841" s="2">
        <f t="shared" ca="1" si="82"/>
        <v>65</v>
      </c>
      <c r="Z841" s="14"/>
      <c r="AA841" s="14"/>
      <c r="AC841" s="21"/>
      <c r="AE841" s="21"/>
    </row>
    <row r="842" spans="1:31" hidden="1">
      <c r="A842" s="1">
        <v>9123093</v>
      </c>
      <c r="B842" s="1" t="s">
        <v>101</v>
      </c>
      <c r="C842" t="s">
        <v>643</v>
      </c>
      <c r="D842" s="2">
        <v>220192664</v>
      </c>
      <c r="E842" s="2">
        <v>220001400010</v>
      </c>
      <c r="F842" s="1" t="s">
        <v>936</v>
      </c>
      <c r="G842" s="1" t="s">
        <v>53</v>
      </c>
      <c r="H842" s="1" t="s">
        <v>588</v>
      </c>
      <c r="I842" s="1" t="s">
        <v>589</v>
      </c>
      <c r="J842" s="1" t="s">
        <v>110</v>
      </c>
      <c r="K842" t="s">
        <v>937</v>
      </c>
      <c r="M842" s="1" t="s">
        <v>58</v>
      </c>
      <c r="N842" s="1">
        <v>0</v>
      </c>
      <c r="O842" s="1" t="s">
        <v>105</v>
      </c>
      <c r="P842" s="186">
        <v>44896.286006944443</v>
      </c>
      <c r="R842" s="1">
        <v>3</v>
      </c>
      <c r="T842" s="1" t="s">
        <v>646</v>
      </c>
      <c r="U842" s="186">
        <v>44897.286006944443</v>
      </c>
      <c r="V842" s="1" t="s">
        <v>41</v>
      </c>
      <c r="W842" s="1" t="s">
        <v>49</v>
      </c>
      <c r="X842" s="13" t="str">
        <f t="shared" si="81"/>
        <v/>
      </c>
      <c r="Y842" s="2">
        <f t="shared" ca="1" si="82"/>
        <v>65</v>
      </c>
      <c r="Z842" s="14"/>
      <c r="AA842" s="14"/>
      <c r="AC842" s="21"/>
      <c r="AE842" s="21"/>
    </row>
    <row r="843" spans="1:31" hidden="1">
      <c r="A843" s="1">
        <v>9135166</v>
      </c>
      <c r="B843" s="1" t="s">
        <v>62</v>
      </c>
      <c r="C843" t="s">
        <v>1686</v>
      </c>
      <c r="E843" s="2">
        <v>9703000206053</v>
      </c>
      <c r="F843" s="1" t="s">
        <v>113</v>
      </c>
      <c r="G843" s="1" t="s">
        <v>53</v>
      </c>
      <c r="H843" s="1" t="s">
        <v>494</v>
      </c>
      <c r="I843" s="1" t="s">
        <v>495</v>
      </c>
      <c r="J843" s="1" t="s">
        <v>79</v>
      </c>
      <c r="K843" t="s">
        <v>116</v>
      </c>
      <c r="M843" s="1" t="s">
        <v>35</v>
      </c>
      <c r="N843" s="1">
        <v>42318949</v>
      </c>
      <c r="O843" s="1" t="s">
        <v>105</v>
      </c>
      <c r="P843" s="186">
        <v>44897.528333333335</v>
      </c>
      <c r="R843" s="1" t="s">
        <v>38</v>
      </c>
      <c r="T843" s="1" t="s">
        <v>74</v>
      </c>
      <c r="U843" s="186">
        <v>44938.75</v>
      </c>
      <c r="V843" s="1" t="s">
        <v>41</v>
      </c>
      <c r="W843" s="1" t="s">
        <v>49</v>
      </c>
      <c r="X843" s="13" t="str">
        <f t="shared" si="81"/>
        <v/>
      </c>
      <c r="Y843" s="2">
        <f t="shared" ca="1" si="82"/>
        <v>64</v>
      </c>
      <c r="Z843" s="14"/>
      <c r="AA843" s="14"/>
      <c r="AC843" s="21"/>
      <c r="AE843" s="21"/>
    </row>
    <row r="844" spans="1:31" hidden="1">
      <c r="A844" s="1">
        <v>9134233</v>
      </c>
      <c r="B844" s="1" t="s">
        <v>62</v>
      </c>
      <c r="C844" t="s">
        <v>1689</v>
      </c>
      <c r="E844" s="2">
        <v>1108000203010</v>
      </c>
      <c r="F844" s="1" t="s">
        <v>152</v>
      </c>
      <c r="G844" s="1" t="s">
        <v>53</v>
      </c>
      <c r="H844" s="1" t="s">
        <v>295</v>
      </c>
      <c r="I844" s="1" t="s">
        <v>296</v>
      </c>
      <c r="J844" s="1" t="s">
        <v>90</v>
      </c>
      <c r="K844" t="s">
        <v>155</v>
      </c>
      <c r="M844" s="1" t="s">
        <v>35</v>
      </c>
      <c r="N844" s="1">
        <v>42318949</v>
      </c>
      <c r="O844" s="1" t="s">
        <v>105</v>
      </c>
      <c r="P844" s="186">
        <v>44897.387280092589</v>
      </c>
      <c r="R844" s="1">
        <v>1</v>
      </c>
      <c r="T844" s="1" t="s">
        <v>157</v>
      </c>
      <c r="U844" s="186">
        <v>44931.75</v>
      </c>
      <c r="V844" s="1" t="s">
        <v>41</v>
      </c>
      <c r="W844" s="1" t="s">
        <v>49</v>
      </c>
      <c r="X844" s="13" t="str">
        <f t="shared" si="81"/>
        <v/>
      </c>
      <c r="Y844" s="2">
        <f t="shared" ca="1" si="82"/>
        <v>64</v>
      </c>
      <c r="Z844" s="14"/>
      <c r="AA844" s="14"/>
      <c r="AC844" s="21"/>
      <c r="AE844" s="21"/>
    </row>
    <row r="845" spans="1:31" hidden="1">
      <c r="A845" s="1">
        <v>9152756</v>
      </c>
      <c r="B845" s="1" t="s">
        <v>62</v>
      </c>
      <c r="C845" t="s">
        <v>1692</v>
      </c>
      <c r="E845" s="2">
        <v>2138000206001</v>
      </c>
      <c r="F845" s="1" t="s">
        <v>29</v>
      </c>
      <c r="G845" s="1" t="s">
        <v>53</v>
      </c>
      <c r="H845" s="1" t="s">
        <v>379</v>
      </c>
      <c r="I845" s="1" t="s">
        <v>380</v>
      </c>
      <c r="J845" s="1" t="s">
        <v>46</v>
      </c>
      <c r="K845" t="s">
        <v>34</v>
      </c>
      <c r="M845" s="1" t="s">
        <v>35</v>
      </c>
      <c r="N845" s="1">
        <v>42318949</v>
      </c>
      <c r="O845" s="1" t="s">
        <v>36</v>
      </c>
      <c r="P845" s="186">
        <v>44901.595775462964</v>
      </c>
      <c r="R845" s="1" t="s">
        <v>38</v>
      </c>
      <c r="T845" s="1" t="s">
        <v>74</v>
      </c>
      <c r="U845" s="186">
        <v>44942.75</v>
      </c>
      <c r="V845" s="1" t="s">
        <v>41</v>
      </c>
      <c r="W845" s="1" t="s">
        <v>49</v>
      </c>
      <c r="X845" s="13" t="str">
        <f t="shared" si="81"/>
        <v/>
      </c>
      <c r="Y845" s="2">
        <f t="shared" ca="1" si="82"/>
        <v>62</v>
      </c>
      <c r="Z845" s="14"/>
      <c r="AA845" s="14"/>
      <c r="AC845" s="21"/>
      <c r="AE845" s="21"/>
    </row>
    <row r="846" spans="1:31" hidden="1">
      <c r="A846" s="1">
        <v>9151711</v>
      </c>
      <c r="B846" s="1" t="s">
        <v>62</v>
      </c>
      <c r="C846" t="s">
        <v>3590</v>
      </c>
      <c r="E846" s="2">
        <v>1902016208100</v>
      </c>
      <c r="F846" s="1" t="s">
        <v>64</v>
      </c>
      <c r="G846" s="1" t="s">
        <v>53</v>
      </c>
      <c r="H846" s="1" t="s">
        <v>590</v>
      </c>
      <c r="I846" s="1" t="s">
        <v>591</v>
      </c>
      <c r="J846" s="1" t="s">
        <v>261</v>
      </c>
      <c r="K846" t="s">
        <v>67</v>
      </c>
      <c r="M846" s="1" t="s">
        <v>35</v>
      </c>
      <c r="N846" s="1">
        <v>42318949</v>
      </c>
      <c r="O846" s="1" t="s">
        <v>36</v>
      </c>
      <c r="P846" s="186">
        <v>44901.465289351851</v>
      </c>
      <c r="R846" s="1" t="s">
        <v>571</v>
      </c>
      <c r="T846" s="1" t="s">
        <v>69</v>
      </c>
      <c r="U846" s="186">
        <v>44910.465289351851</v>
      </c>
      <c r="V846" s="1" t="s">
        <v>41</v>
      </c>
      <c r="W846" s="1" t="s">
        <v>49</v>
      </c>
      <c r="X846" s="13" t="str">
        <f t="shared" si="81"/>
        <v/>
      </c>
      <c r="Y846" s="2">
        <f t="shared" ca="1" si="82"/>
        <v>62</v>
      </c>
      <c r="Z846" s="14"/>
      <c r="AA846" s="14"/>
      <c r="AC846" s="21"/>
      <c r="AE846" s="21"/>
    </row>
    <row r="847" spans="1:31" hidden="1">
      <c r="A847" s="1">
        <v>9158610</v>
      </c>
      <c r="B847" s="1" t="s">
        <v>62</v>
      </c>
      <c r="C847" t="s">
        <v>1698</v>
      </c>
      <c r="E847" s="2">
        <v>4119000203000</v>
      </c>
      <c r="F847" s="1" t="s">
        <v>454</v>
      </c>
      <c r="G847" s="1" t="s">
        <v>53</v>
      </c>
      <c r="H847" s="1" t="s">
        <v>297</v>
      </c>
      <c r="I847" s="1" t="s">
        <v>298</v>
      </c>
      <c r="J847" s="1" t="s">
        <v>211</v>
      </c>
      <c r="K847" t="s">
        <v>457</v>
      </c>
      <c r="M847" s="1" t="s">
        <v>58</v>
      </c>
      <c r="N847" s="1">
        <v>0</v>
      </c>
      <c r="O847" s="1" t="s">
        <v>36</v>
      </c>
      <c r="P847" s="186">
        <v>44902.665810185186</v>
      </c>
      <c r="R847" s="1">
        <v>1</v>
      </c>
      <c r="T847" s="1" t="s">
        <v>157</v>
      </c>
      <c r="U847" s="186">
        <v>44936.75</v>
      </c>
      <c r="V847" s="1" t="s">
        <v>41</v>
      </c>
      <c r="W847" s="1" t="s">
        <v>49</v>
      </c>
      <c r="X847" s="13" t="str">
        <f t="shared" si="81"/>
        <v/>
      </c>
      <c r="Y847" s="2">
        <f t="shared" ca="1" si="82"/>
        <v>61</v>
      </c>
      <c r="Z847" s="14"/>
      <c r="AA847" s="14"/>
      <c r="AC847" s="21"/>
      <c r="AE847" s="21"/>
    </row>
    <row r="848" spans="1:31" hidden="1">
      <c r="A848" s="1">
        <v>9158041</v>
      </c>
      <c r="B848" s="1" t="s">
        <v>62</v>
      </c>
      <c r="C848" t="s">
        <v>3591</v>
      </c>
      <c r="E848" s="2">
        <v>963000203010</v>
      </c>
      <c r="F848" s="1" t="s">
        <v>152</v>
      </c>
      <c r="G848" s="1" t="s">
        <v>53</v>
      </c>
      <c r="H848" s="1" t="s">
        <v>531</v>
      </c>
      <c r="I848" s="1" t="s">
        <v>532</v>
      </c>
      <c r="J848" s="1" t="s">
        <v>33</v>
      </c>
      <c r="K848" t="s">
        <v>155</v>
      </c>
      <c r="M848" s="1" t="s">
        <v>35</v>
      </c>
      <c r="N848" s="1">
        <v>42318949</v>
      </c>
      <c r="O848" s="1" t="s">
        <v>36</v>
      </c>
      <c r="P848" s="186">
        <v>44902.592615740738</v>
      </c>
      <c r="R848" s="1">
        <v>1</v>
      </c>
      <c r="T848" s="1" t="s">
        <v>157</v>
      </c>
      <c r="U848" s="186">
        <v>44936.75</v>
      </c>
      <c r="V848" s="1" t="s">
        <v>41</v>
      </c>
      <c r="W848" s="1" t="s">
        <v>49</v>
      </c>
      <c r="X848" s="13" t="str">
        <f t="shared" si="81"/>
        <v/>
      </c>
      <c r="Y848" s="2">
        <f t="shared" ca="1" si="82"/>
        <v>61</v>
      </c>
      <c r="Z848" s="14"/>
      <c r="AA848" s="14"/>
      <c r="AC848" s="21"/>
      <c r="AE848" s="21"/>
    </row>
    <row r="849" spans="1:31" hidden="1">
      <c r="A849" s="1">
        <v>9158023</v>
      </c>
      <c r="B849" s="1" t="s">
        <v>62</v>
      </c>
      <c r="C849" t="s">
        <v>3591</v>
      </c>
      <c r="E849" s="2">
        <v>3918000203010</v>
      </c>
      <c r="F849" s="1" t="s">
        <v>152</v>
      </c>
      <c r="G849" s="1" t="s">
        <v>53</v>
      </c>
      <c r="H849" s="1" t="s">
        <v>858</v>
      </c>
      <c r="I849" s="1" t="s">
        <v>859</v>
      </c>
      <c r="J849" s="1" t="s">
        <v>33</v>
      </c>
      <c r="K849" t="s">
        <v>155</v>
      </c>
      <c r="M849" s="1" t="s">
        <v>35</v>
      </c>
      <c r="N849" s="1">
        <v>42318949</v>
      </c>
      <c r="O849" s="1" t="s">
        <v>36</v>
      </c>
      <c r="P849" s="186">
        <v>44902.592581018522</v>
      </c>
      <c r="R849" s="1">
        <v>1</v>
      </c>
      <c r="T849" s="1" t="s">
        <v>157</v>
      </c>
      <c r="U849" s="186">
        <v>44936.75</v>
      </c>
      <c r="V849" s="1" t="s">
        <v>41</v>
      </c>
      <c r="W849" s="1" t="s">
        <v>49</v>
      </c>
      <c r="X849" s="13" t="str">
        <f t="shared" si="81"/>
        <v/>
      </c>
      <c r="Y849" s="2">
        <f t="shared" ca="1" si="82"/>
        <v>61</v>
      </c>
      <c r="Z849" s="14"/>
      <c r="AA849" s="14"/>
      <c r="AC849" s="21"/>
      <c r="AE849" s="21"/>
    </row>
    <row r="850" spans="1:31" hidden="1">
      <c r="A850" s="1">
        <v>9157070</v>
      </c>
      <c r="B850" s="1" t="s">
        <v>62</v>
      </c>
      <c r="C850" t="s">
        <v>3591</v>
      </c>
      <c r="E850" s="2">
        <v>2830000203010</v>
      </c>
      <c r="F850" s="1" t="s">
        <v>152</v>
      </c>
      <c r="G850" s="1" t="s">
        <v>53</v>
      </c>
      <c r="H850" s="1" t="s">
        <v>448</v>
      </c>
      <c r="I850" s="1" t="s">
        <v>449</v>
      </c>
      <c r="J850" s="1" t="s">
        <v>33</v>
      </c>
      <c r="K850" t="s">
        <v>155</v>
      </c>
      <c r="M850" s="1" t="s">
        <v>35</v>
      </c>
      <c r="N850" s="1">
        <v>42318949</v>
      </c>
      <c r="O850" s="1" t="s">
        <v>36</v>
      </c>
      <c r="P850" s="186">
        <v>44902.480925925927</v>
      </c>
      <c r="R850" s="1">
        <v>1</v>
      </c>
      <c r="T850" s="1" t="s">
        <v>157</v>
      </c>
      <c r="U850" s="186">
        <v>44936.75</v>
      </c>
      <c r="V850" s="1" t="s">
        <v>41</v>
      </c>
      <c r="W850" s="1" t="s">
        <v>42</v>
      </c>
      <c r="X850" s="13" t="str">
        <f t="shared" si="81"/>
        <v/>
      </c>
      <c r="Y850" s="2">
        <f t="shared" ca="1" si="82"/>
        <v>61</v>
      </c>
      <c r="Z850" s="14"/>
      <c r="AA850" s="14"/>
      <c r="AC850" s="21"/>
      <c r="AE850" s="21"/>
    </row>
    <row r="851" spans="1:31" hidden="1">
      <c r="A851" s="1">
        <v>9157063</v>
      </c>
      <c r="B851" s="1" t="s">
        <v>62</v>
      </c>
      <c r="C851" t="s">
        <v>3591</v>
      </c>
      <c r="E851" s="2">
        <v>1833000203010</v>
      </c>
      <c r="F851" s="1" t="s">
        <v>152</v>
      </c>
      <c r="G851" s="1" t="s">
        <v>53</v>
      </c>
      <c r="H851" s="1" t="s">
        <v>369</v>
      </c>
      <c r="I851" s="1" t="s">
        <v>370</v>
      </c>
      <c r="J851" s="1" t="s">
        <v>46</v>
      </c>
      <c r="K851" t="s">
        <v>155</v>
      </c>
      <c r="M851" s="1" t="s">
        <v>35</v>
      </c>
      <c r="N851" s="1">
        <v>42318949</v>
      </c>
      <c r="O851" s="1" t="s">
        <v>36</v>
      </c>
      <c r="P851" s="186">
        <v>44902.480914351851</v>
      </c>
      <c r="R851" s="1">
        <v>1</v>
      </c>
      <c r="T851" s="1" t="s">
        <v>157</v>
      </c>
      <c r="U851" s="186">
        <v>44936.75</v>
      </c>
      <c r="V851" s="1" t="s">
        <v>41</v>
      </c>
      <c r="W851" s="1" t="s">
        <v>49</v>
      </c>
      <c r="X851" s="13" t="str">
        <f t="shared" si="81"/>
        <v/>
      </c>
      <c r="Y851" s="2">
        <f t="shared" ca="1" si="82"/>
        <v>61</v>
      </c>
      <c r="Z851" s="14"/>
      <c r="AA851" s="14"/>
      <c r="AC851" s="21"/>
      <c r="AE851" s="21"/>
    </row>
    <row r="852" spans="1:31" hidden="1">
      <c r="A852" s="1">
        <v>9157035</v>
      </c>
      <c r="B852" s="1" t="s">
        <v>62</v>
      </c>
      <c r="C852" t="s">
        <v>3591</v>
      </c>
      <c r="E852" s="2">
        <v>3924000203010</v>
      </c>
      <c r="F852" s="1" t="s">
        <v>152</v>
      </c>
      <c r="G852" s="1" t="s">
        <v>53</v>
      </c>
      <c r="H852" s="1" t="s">
        <v>153</v>
      </c>
      <c r="I852" s="1" t="s">
        <v>154</v>
      </c>
      <c r="J852" s="1" t="s">
        <v>56</v>
      </c>
      <c r="K852" t="s">
        <v>155</v>
      </c>
      <c r="M852" s="1" t="s">
        <v>35</v>
      </c>
      <c r="N852" s="1">
        <v>42318949</v>
      </c>
      <c r="O852" s="1" t="s">
        <v>36</v>
      </c>
      <c r="P852" s="186">
        <v>44902.480879629627</v>
      </c>
      <c r="R852" s="1">
        <v>1</v>
      </c>
      <c r="T852" s="1" t="s">
        <v>157</v>
      </c>
      <c r="U852" s="186">
        <v>44942.75</v>
      </c>
      <c r="V852" s="1" t="s">
        <v>41</v>
      </c>
      <c r="W852" s="1" t="s">
        <v>49</v>
      </c>
      <c r="X852" s="13" t="str">
        <f t="shared" si="81"/>
        <v/>
      </c>
      <c r="Y852" s="2">
        <f t="shared" ca="1" si="82"/>
        <v>61</v>
      </c>
      <c r="Z852" s="14"/>
      <c r="AA852" s="14"/>
      <c r="AC852" s="21"/>
      <c r="AE852" s="21"/>
    </row>
    <row r="853" spans="1:31" hidden="1">
      <c r="A853" s="1">
        <v>9157015</v>
      </c>
      <c r="B853" s="1" t="s">
        <v>62</v>
      </c>
      <c r="C853" t="s">
        <v>3591</v>
      </c>
      <c r="E853" s="2">
        <v>1059000203010</v>
      </c>
      <c r="F853" s="1" t="s">
        <v>152</v>
      </c>
      <c r="G853" s="1" t="s">
        <v>53</v>
      </c>
      <c r="H853" s="1" t="s">
        <v>88</v>
      </c>
      <c r="I853" s="1" t="s">
        <v>89</v>
      </c>
      <c r="J853" s="1" t="s">
        <v>90</v>
      </c>
      <c r="K853" t="s">
        <v>155</v>
      </c>
      <c r="M853" s="1" t="s">
        <v>35</v>
      </c>
      <c r="N853" s="1">
        <v>42318949</v>
      </c>
      <c r="O853" s="1" t="s">
        <v>36</v>
      </c>
      <c r="P853" s="186">
        <v>44902.480844907404</v>
      </c>
      <c r="R853" s="1">
        <v>1</v>
      </c>
      <c r="T853" s="1" t="s">
        <v>157</v>
      </c>
      <c r="U853" s="186">
        <v>44936.75</v>
      </c>
      <c r="V853" s="1" t="s">
        <v>41</v>
      </c>
      <c r="W853" s="1" t="s">
        <v>49</v>
      </c>
      <c r="X853" s="13" t="str">
        <f t="shared" si="81"/>
        <v/>
      </c>
      <c r="Y853" s="2">
        <f t="shared" ca="1" si="82"/>
        <v>61</v>
      </c>
      <c r="Z853" s="14"/>
      <c r="AA853" s="14"/>
      <c r="AC853" s="21"/>
      <c r="AE853" s="21"/>
    </row>
    <row r="854" spans="1:31" hidden="1">
      <c r="A854" s="1">
        <v>9156995</v>
      </c>
      <c r="B854" s="1" t="s">
        <v>62</v>
      </c>
      <c r="C854" t="s">
        <v>3591</v>
      </c>
      <c r="E854" s="2">
        <v>2069000203010</v>
      </c>
      <c r="F854" s="1" t="s">
        <v>152</v>
      </c>
      <c r="G854" s="1" t="s">
        <v>53</v>
      </c>
      <c r="H854" s="1" t="s">
        <v>557</v>
      </c>
      <c r="I854" s="1" t="s">
        <v>558</v>
      </c>
      <c r="J854" s="1" t="s">
        <v>90</v>
      </c>
      <c r="K854" t="s">
        <v>155</v>
      </c>
      <c r="M854" s="1" t="s">
        <v>35</v>
      </c>
      <c r="N854" s="1">
        <v>42318949</v>
      </c>
      <c r="O854" s="1" t="s">
        <v>36</v>
      </c>
      <c r="P854" s="186">
        <v>44902.480810185189</v>
      </c>
      <c r="R854" s="1">
        <v>1</v>
      </c>
      <c r="T854" s="1" t="s">
        <v>157</v>
      </c>
      <c r="U854" s="186">
        <v>44936.75</v>
      </c>
      <c r="V854" s="1" t="s">
        <v>41</v>
      </c>
      <c r="W854" s="1" t="s">
        <v>49</v>
      </c>
      <c r="X854" s="13" t="str">
        <f t="shared" si="81"/>
        <v/>
      </c>
      <c r="Y854" s="2">
        <f t="shared" ca="1" si="82"/>
        <v>61</v>
      </c>
      <c r="Z854" s="14"/>
      <c r="AA854" s="14"/>
      <c r="AC854" s="21"/>
      <c r="AE854" s="21"/>
    </row>
    <row r="855" spans="1:31" hidden="1">
      <c r="A855" s="1">
        <v>9162440</v>
      </c>
      <c r="B855" s="1" t="s">
        <v>62</v>
      </c>
      <c r="C855" t="s">
        <v>1705</v>
      </c>
      <c r="E855" s="2">
        <v>68000203010</v>
      </c>
      <c r="F855" s="1" t="s">
        <v>152</v>
      </c>
      <c r="G855" s="1" t="s">
        <v>53</v>
      </c>
      <c r="H855" s="1" t="s">
        <v>1330</v>
      </c>
      <c r="I855" s="1" t="s">
        <v>1331</v>
      </c>
      <c r="J855" s="1" t="s">
        <v>211</v>
      </c>
      <c r="K855" t="s">
        <v>155</v>
      </c>
      <c r="M855" s="1" t="s">
        <v>35</v>
      </c>
      <c r="N855" s="1">
        <v>42318949</v>
      </c>
      <c r="O855" s="1" t="s">
        <v>36</v>
      </c>
      <c r="P855" s="186">
        <v>44903.531909722224</v>
      </c>
      <c r="R855" s="1">
        <v>1</v>
      </c>
      <c r="T855" s="1" t="s">
        <v>157</v>
      </c>
      <c r="U855" s="186">
        <v>44937.75</v>
      </c>
      <c r="V855" s="1" t="s">
        <v>41</v>
      </c>
      <c r="W855" s="1" t="s">
        <v>49</v>
      </c>
      <c r="X855" s="13" t="str">
        <f t="shared" si="81"/>
        <v/>
      </c>
      <c r="Y855" s="2">
        <f t="shared" ca="1" si="82"/>
        <v>60</v>
      </c>
      <c r="Z855" s="14"/>
      <c r="AA855" s="14"/>
      <c r="AC855" s="21"/>
      <c r="AE855" s="21"/>
    </row>
    <row r="856" spans="1:31" hidden="1">
      <c r="A856" s="1">
        <v>9168008</v>
      </c>
      <c r="B856" s="1" t="s">
        <v>62</v>
      </c>
      <c r="C856" t="s">
        <v>1706</v>
      </c>
      <c r="E856" s="2">
        <v>2069000203000</v>
      </c>
      <c r="F856" s="1" t="s">
        <v>454</v>
      </c>
      <c r="G856" s="1" t="s">
        <v>53</v>
      </c>
      <c r="H856" s="1" t="s">
        <v>557</v>
      </c>
      <c r="I856" s="1" t="s">
        <v>558</v>
      </c>
      <c r="J856" s="1" t="s">
        <v>90</v>
      </c>
      <c r="K856" t="s">
        <v>457</v>
      </c>
      <c r="M856" s="1" t="s">
        <v>58</v>
      </c>
      <c r="N856" s="1">
        <v>0</v>
      </c>
      <c r="O856" s="1" t="s">
        <v>36</v>
      </c>
      <c r="P856" s="186">
        <v>44904.703738425924</v>
      </c>
      <c r="R856" s="1">
        <v>1</v>
      </c>
      <c r="T856" s="1" t="s">
        <v>157</v>
      </c>
      <c r="U856" s="186">
        <v>44938.75</v>
      </c>
      <c r="V856" s="1" t="s">
        <v>41</v>
      </c>
      <c r="W856" s="1" t="s">
        <v>49</v>
      </c>
      <c r="X856" s="13" t="str">
        <f t="shared" si="81"/>
        <v/>
      </c>
      <c r="Y856" s="2">
        <f t="shared" ca="1" si="82"/>
        <v>59</v>
      </c>
      <c r="Z856" s="14"/>
      <c r="AA856" s="14"/>
      <c r="AC856" s="21"/>
      <c r="AE856" s="21"/>
    </row>
    <row r="857" spans="1:31" hidden="1">
      <c r="A857" s="1">
        <v>9180276</v>
      </c>
      <c r="B857" s="1" t="s">
        <v>62</v>
      </c>
      <c r="C857" t="s">
        <v>3592</v>
      </c>
      <c r="E857" s="2">
        <v>1902016006800</v>
      </c>
      <c r="F857" s="1" t="s">
        <v>64</v>
      </c>
      <c r="G857" s="1" t="s">
        <v>53</v>
      </c>
      <c r="H857" s="1" t="s">
        <v>1330</v>
      </c>
      <c r="I857" s="1" t="s">
        <v>1331</v>
      </c>
      <c r="J857" s="1" t="s">
        <v>211</v>
      </c>
      <c r="K857" t="s">
        <v>67</v>
      </c>
      <c r="M857" s="1" t="s">
        <v>35</v>
      </c>
      <c r="N857" s="1">
        <v>42318949</v>
      </c>
      <c r="O857" s="1" t="s">
        <v>36</v>
      </c>
      <c r="P857" s="186">
        <v>44907.687534722223</v>
      </c>
      <c r="R857" s="1" t="s">
        <v>571</v>
      </c>
      <c r="T857" s="1" t="s">
        <v>69</v>
      </c>
      <c r="U857" s="186">
        <v>44916.687534722223</v>
      </c>
      <c r="V857" s="1" t="s">
        <v>41</v>
      </c>
      <c r="W857" s="1" t="s">
        <v>49</v>
      </c>
      <c r="X857" s="13" t="str">
        <f t="shared" si="81"/>
        <v/>
      </c>
      <c r="Y857" s="2">
        <f t="shared" ca="1" si="82"/>
        <v>58</v>
      </c>
      <c r="Z857" s="14"/>
      <c r="AA857" s="14"/>
      <c r="AC857" s="21"/>
      <c r="AE857" s="21"/>
    </row>
    <row r="858" spans="1:31" hidden="1">
      <c r="A858" s="1">
        <v>9177930</v>
      </c>
      <c r="B858" s="1" t="s">
        <v>226</v>
      </c>
      <c r="C858" t="s">
        <v>1708</v>
      </c>
      <c r="E858" s="2">
        <v>1902016179200</v>
      </c>
      <c r="F858" s="1" t="s">
        <v>64</v>
      </c>
      <c r="G858" s="1" t="s">
        <v>53</v>
      </c>
      <c r="H858" s="1" t="s">
        <v>467</v>
      </c>
      <c r="I858" s="1" t="s">
        <v>468</v>
      </c>
      <c r="J858" s="1" t="s">
        <v>110</v>
      </c>
      <c r="K858" t="s">
        <v>67</v>
      </c>
      <c r="M858" s="1" t="s">
        <v>35</v>
      </c>
      <c r="N858" s="1">
        <v>42318949</v>
      </c>
      <c r="O858" s="1" t="s">
        <v>105</v>
      </c>
      <c r="P858" s="186">
        <v>44907.415682870371</v>
      </c>
      <c r="R858" s="1" t="s">
        <v>571</v>
      </c>
      <c r="T858" s="1" t="s">
        <v>69</v>
      </c>
      <c r="U858" s="186">
        <v>44909.415682870371</v>
      </c>
      <c r="V858" s="1" t="s">
        <v>41</v>
      </c>
      <c r="W858" s="1" t="s">
        <v>49</v>
      </c>
      <c r="X858" s="13" t="str">
        <f t="shared" si="81"/>
        <v/>
      </c>
      <c r="Y858" s="2">
        <f t="shared" ca="1" si="82"/>
        <v>58</v>
      </c>
      <c r="Z858" s="14"/>
      <c r="AA858" s="14"/>
      <c r="AC858" s="21"/>
      <c r="AE858" s="21"/>
    </row>
    <row r="859" spans="1:31" hidden="1">
      <c r="A859" s="1">
        <v>9188220</v>
      </c>
      <c r="B859" s="1" t="s">
        <v>62</v>
      </c>
      <c r="C859" t="s">
        <v>3593</v>
      </c>
      <c r="E859" s="2">
        <v>1902016298800</v>
      </c>
      <c r="F859" s="1" t="s">
        <v>64</v>
      </c>
      <c r="G859" s="1" t="s">
        <v>53</v>
      </c>
      <c r="H859" s="1" t="s">
        <v>536</v>
      </c>
      <c r="I859" s="1" t="s">
        <v>537</v>
      </c>
      <c r="J859" s="1" t="s">
        <v>46</v>
      </c>
      <c r="K859" t="s">
        <v>67</v>
      </c>
      <c r="M859" s="1" t="s">
        <v>35</v>
      </c>
      <c r="N859" s="1">
        <v>42318949</v>
      </c>
      <c r="O859" s="1" t="s">
        <v>36</v>
      </c>
      <c r="P859" s="186">
        <v>44909.40121527778</v>
      </c>
      <c r="R859" s="1" t="s">
        <v>571</v>
      </c>
      <c r="T859" s="1" t="s">
        <v>69</v>
      </c>
      <c r="U859" s="186">
        <v>44918.40121527778</v>
      </c>
      <c r="V859" s="1" t="s">
        <v>41</v>
      </c>
      <c r="W859" s="1" t="s">
        <v>49</v>
      </c>
      <c r="X859" s="13" t="str">
        <f t="shared" si="81"/>
        <v/>
      </c>
      <c r="Y859" s="2">
        <f t="shared" ca="1" si="82"/>
        <v>56</v>
      </c>
      <c r="Z859" s="14"/>
      <c r="AA859" s="14"/>
      <c r="AC859" s="21"/>
      <c r="AE859" s="21"/>
    </row>
    <row r="860" spans="1:31" hidden="1">
      <c r="A860" s="1">
        <v>9188182</v>
      </c>
      <c r="B860" s="1" t="s">
        <v>62</v>
      </c>
      <c r="C860" t="s">
        <v>3594</v>
      </c>
      <c r="E860" s="2">
        <v>1902016087000</v>
      </c>
      <c r="F860" s="1" t="s">
        <v>64</v>
      </c>
      <c r="G860" s="1" t="s">
        <v>53</v>
      </c>
      <c r="H860" s="1" t="s">
        <v>183</v>
      </c>
      <c r="I860" s="1" t="s">
        <v>184</v>
      </c>
      <c r="J860" s="1" t="s">
        <v>90</v>
      </c>
      <c r="K860" t="s">
        <v>67</v>
      </c>
      <c r="M860" s="1" t="s">
        <v>35</v>
      </c>
      <c r="N860" s="1">
        <v>42318949</v>
      </c>
      <c r="O860" s="1" t="s">
        <v>36</v>
      </c>
      <c r="P860" s="186">
        <v>44909.398680555554</v>
      </c>
      <c r="R860" s="1" t="s">
        <v>571</v>
      </c>
      <c r="T860" s="1" t="s">
        <v>69</v>
      </c>
      <c r="U860" s="186">
        <v>44918.398680555554</v>
      </c>
      <c r="V860" s="1" t="s">
        <v>41</v>
      </c>
      <c r="W860" s="1" t="s">
        <v>49</v>
      </c>
      <c r="X860" s="13" t="str">
        <f t="shared" si="81"/>
        <v/>
      </c>
      <c r="Y860" s="2">
        <f t="shared" ca="1" si="82"/>
        <v>56</v>
      </c>
      <c r="Z860" s="14"/>
      <c r="AA860" s="14"/>
      <c r="AC860" s="21"/>
      <c r="AE860" s="21"/>
    </row>
    <row r="861" spans="1:31" hidden="1">
      <c r="A861" s="1">
        <v>9188168</v>
      </c>
      <c r="B861" s="1" t="s">
        <v>62</v>
      </c>
      <c r="C861" t="s">
        <v>3595</v>
      </c>
      <c r="E861" s="2">
        <v>1902016006700</v>
      </c>
      <c r="F861" s="1" t="s">
        <v>64</v>
      </c>
      <c r="G861" s="1" t="s">
        <v>53</v>
      </c>
      <c r="H861" s="1" t="s">
        <v>404</v>
      </c>
      <c r="I861" s="1" t="s">
        <v>405</v>
      </c>
      <c r="J861" s="1" t="s">
        <v>164</v>
      </c>
      <c r="K861" t="s">
        <v>67</v>
      </c>
      <c r="M861" s="1" t="s">
        <v>35</v>
      </c>
      <c r="N861" s="1">
        <v>42318949</v>
      </c>
      <c r="O861" s="1" t="s">
        <v>36</v>
      </c>
      <c r="P861" s="186">
        <v>44909.395740740743</v>
      </c>
      <c r="R861" s="1" t="s">
        <v>571</v>
      </c>
      <c r="T861" s="1" t="s">
        <v>69</v>
      </c>
      <c r="U861" s="186">
        <v>44918.395740740743</v>
      </c>
      <c r="V861" s="1" t="s">
        <v>41</v>
      </c>
      <c r="W861" s="1" t="s">
        <v>49</v>
      </c>
      <c r="X861" s="13" t="str">
        <f t="shared" si="81"/>
        <v/>
      </c>
      <c r="Y861" s="2">
        <f t="shared" ca="1" si="82"/>
        <v>56</v>
      </c>
      <c r="Z861" s="14"/>
      <c r="AA861" s="14"/>
      <c r="AC861" s="21"/>
      <c r="AE861" s="21"/>
    </row>
    <row r="862" spans="1:31" hidden="1">
      <c r="A862" s="1">
        <v>9257159</v>
      </c>
      <c r="B862" s="1" t="s">
        <v>1717</v>
      </c>
      <c r="C862" t="s">
        <v>1723</v>
      </c>
      <c r="D862" s="2">
        <v>20228573000031</v>
      </c>
      <c r="E862" s="2">
        <v>7417193051272</v>
      </c>
      <c r="F862" s="1" t="s">
        <v>1719</v>
      </c>
      <c r="G862" s="1" t="s">
        <v>53</v>
      </c>
      <c r="H862" s="1" t="s">
        <v>657</v>
      </c>
      <c r="I862" s="1" t="s">
        <v>658</v>
      </c>
      <c r="J862" s="1" t="s">
        <v>33</v>
      </c>
      <c r="K862" t="s">
        <v>1720</v>
      </c>
      <c r="M862" s="1" t="s">
        <v>58</v>
      </c>
      <c r="N862" s="1">
        <v>0</v>
      </c>
      <c r="O862" s="1" t="s">
        <v>36</v>
      </c>
      <c r="P862" s="186">
        <v>44924.464942129627</v>
      </c>
      <c r="R862" s="1">
        <v>22</v>
      </c>
      <c r="T862" s="1" t="s">
        <v>1160</v>
      </c>
      <c r="U862" s="186">
        <v>44925.47146990741</v>
      </c>
      <c r="V862" s="1" t="s">
        <v>41</v>
      </c>
      <c r="W862" s="1" t="s">
        <v>49</v>
      </c>
      <c r="X862" s="13" t="str">
        <f t="shared" si="81"/>
        <v/>
      </c>
      <c r="Y862" s="2">
        <f t="shared" ca="1" si="82"/>
        <v>45</v>
      </c>
      <c r="Z862" s="14"/>
      <c r="AA862" s="14"/>
      <c r="AC862" s="21"/>
      <c r="AE862" s="21"/>
    </row>
    <row r="863" spans="1:31" hidden="1">
      <c r="A863" s="1">
        <v>9271243</v>
      </c>
      <c r="B863" s="1" t="s">
        <v>101</v>
      </c>
      <c r="C863" t="s">
        <v>643</v>
      </c>
      <c r="D863" s="2">
        <v>230001652</v>
      </c>
      <c r="E863" s="2">
        <v>1358001400040</v>
      </c>
      <c r="F863" s="1" t="s">
        <v>644</v>
      </c>
      <c r="G863" s="1" t="s">
        <v>53</v>
      </c>
      <c r="H863" s="1" t="s">
        <v>593</v>
      </c>
      <c r="I863" s="1" t="s">
        <v>594</v>
      </c>
      <c r="J863" s="1" t="s">
        <v>261</v>
      </c>
      <c r="K863" t="s">
        <v>645</v>
      </c>
      <c r="M863" s="1" t="s">
        <v>58</v>
      </c>
      <c r="N863" s="1">
        <v>0</v>
      </c>
      <c r="O863" s="1" t="s">
        <v>105</v>
      </c>
      <c r="P863" s="186">
        <v>44928.004988425928</v>
      </c>
      <c r="R863" s="1">
        <v>3</v>
      </c>
      <c r="T863" s="1" t="s">
        <v>646</v>
      </c>
      <c r="U863" s="186">
        <v>44929.004999999997</v>
      </c>
      <c r="V863" s="1" t="s">
        <v>41</v>
      </c>
      <c r="W863" s="1" t="s">
        <v>49</v>
      </c>
      <c r="X863" s="13" t="str">
        <f t="shared" si="81"/>
        <v/>
      </c>
      <c r="Y863" s="2">
        <f t="shared" ca="1" si="82"/>
        <v>43</v>
      </c>
      <c r="Z863" s="14"/>
      <c r="AA863" s="14"/>
      <c r="AC863" s="21"/>
      <c r="AE863" s="21"/>
    </row>
    <row r="864" spans="1:31" hidden="1">
      <c r="A864" s="1">
        <v>9271230</v>
      </c>
      <c r="B864" s="1" t="s">
        <v>101</v>
      </c>
      <c r="C864" t="s">
        <v>643</v>
      </c>
      <c r="D864" s="2">
        <v>230001642</v>
      </c>
      <c r="E864" s="2">
        <v>1792001400030</v>
      </c>
      <c r="F864" s="1" t="s">
        <v>647</v>
      </c>
      <c r="G864" s="1" t="s">
        <v>53</v>
      </c>
      <c r="H864" s="1" t="s">
        <v>467</v>
      </c>
      <c r="I864" s="1" t="s">
        <v>468</v>
      </c>
      <c r="J864" s="1" t="s">
        <v>110</v>
      </c>
      <c r="K864" t="s">
        <v>650</v>
      </c>
      <c r="M864" s="1" t="s">
        <v>58</v>
      </c>
      <c r="N864" s="1">
        <v>0</v>
      </c>
      <c r="O864" s="1" t="s">
        <v>105</v>
      </c>
      <c r="P864" s="186">
        <v>44928.004513888889</v>
      </c>
      <c r="R864" s="1">
        <v>4</v>
      </c>
      <c r="T864" s="1" t="s">
        <v>646</v>
      </c>
      <c r="U864" s="186">
        <v>44929.004513888889</v>
      </c>
      <c r="V864" s="1" t="s">
        <v>41</v>
      </c>
      <c r="W864" s="1" t="s">
        <v>49</v>
      </c>
      <c r="X864" s="13" t="str">
        <f t="shared" si="81"/>
        <v/>
      </c>
      <c r="Y864" s="2">
        <f t="shared" ca="1" si="82"/>
        <v>43</v>
      </c>
      <c r="Z864" s="14"/>
      <c r="AA864" s="14"/>
      <c r="AC864" s="21"/>
      <c r="AE864" s="21"/>
    </row>
    <row r="865" spans="1:31" hidden="1">
      <c r="A865" s="1">
        <v>9271227</v>
      </c>
      <c r="B865" s="1" t="s">
        <v>101</v>
      </c>
      <c r="C865" t="s">
        <v>643</v>
      </c>
      <c r="D865" s="2">
        <v>230001658</v>
      </c>
      <c r="E865" s="2">
        <v>5740001400040</v>
      </c>
      <c r="F865" s="1" t="s">
        <v>644</v>
      </c>
      <c r="G865" s="1" t="s">
        <v>53</v>
      </c>
      <c r="H865" s="1" t="s">
        <v>626</v>
      </c>
      <c r="I865" s="1" t="s">
        <v>627</v>
      </c>
      <c r="J865" s="1" t="s">
        <v>46</v>
      </c>
      <c r="K865" t="s">
        <v>645</v>
      </c>
      <c r="M865" s="1" t="s">
        <v>58</v>
      </c>
      <c r="N865" s="1">
        <v>0</v>
      </c>
      <c r="O865" s="1" t="s">
        <v>105</v>
      </c>
      <c r="P865" s="186">
        <v>44928.004340277781</v>
      </c>
      <c r="R865" s="1">
        <v>3</v>
      </c>
      <c r="T865" s="1" t="s">
        <v>646</v>
      </c>
      <c r="U865" s="186">
        <v>44929.004340277781</v>
      </c>
      <c r="V865" s="1" t="s">
        <v>41</v>
      </c>
      <c r="W865" s="1" t="s">
        <v>49</v>
      </c>
      <c r="X865" s="13" t="str">
        <f t="shared" si="81"/>
        <v/>
      </c>
      <c r="Y865" s="2">
        <f t="shared" ca="1" si="82"/>
        <v>43</v>
      </c>
      <c r="Z865" s="14"/>
      <c r="AA865" s="14"/>
      <c r="AC865" s="21"/>
      <c r="AE865" s="21"/>
    </row>
    <row r="866" spans="1:31" hidden="1">
      <c r="A866" s="1">
        <v>9280165</v>
      </c>
      <c r="B866" s="1" t="s">
        <v>1153</v>
      </c>
      <c r="C866" t="s">
        <v>1737</v>
      </c>
      <c r="D866" s="2">
        <v>230002991</v>
      </c>
      <c r="E866" s="2">
        <v>3613001400030</v>
      </c>
      <c r="F866" s="1" t="s">
        <v>647</v>
      </c>
      <c r="G866" s="1" t="s">
        <v>53</v>
      </c>
      <c r="H866" s="1" t="s">
        <v>679</v>
      </c>
      <c r="I866" s="1" t="s">
        <v>680</v>
      </c>
      <c r="J866" s="1" t="s">
        <v>46</v>
      </c>
      <c r="K866" t="s">
        <v>650</v>
      </c>
      <c r="M866" s="1" t="s">
        <v>58</v>
      </c>
      <c r="N866" s="1">
        <v>0</v>
      </c>
      <c r="O866" s="1" t="s">
        <v>36</v>
      </c>
      <c r="P866" s="186">
        <v>44929.666481481479</v>
      </c>
      <c r="R866" s="1">
        <v>4</v>
      </c>
      <c r="T866" s="1" t="s">
        <v>646</v>
      </c>
      <c r="U866" s="186">
        <v>44937.729166666664</v>
      </c>
      <c r="V866" s="1" t="s">
        <v>41</v>
      </c>
      <c r="W866" s="1" t="s">
        <v>49</v>
      </c>
      <c r="X866" s="13" t="str">
        <f t="shared" si="81"/>
        <v/>
      </c>
      <c r="Y866" s="2">
        <f t="shared" ca="1" si="82"/>
        <v>42</v>
      </c>
      <c r="Z866" s="14"/>
      <c r="AA866" s="14"/>
      <c r="AC866" s="21"/>
      <c r="AE866" s="21"/>
    </row>
    <row r="867" spans="1:31" hidden="1">
      <c r="A867" s="1">
        <v>9285222</v>
      </c>
      <c r="B867" s="1" t="s">
        <v>101</v>
      </c>
      <c r="C867" t="s">
        <v>1740</v>
      </c>
      <c r="E867" s="2">
        <v>7417163050348</v>
      </c>
      <c r="F867" s="1" t="s">
        <v>1741</v>
      </c>
      <c r="G867" s="1" t="s">
        <v>53</v>
      </c>
      <c r="H867" s="1" t="s">
        <v>1742</v>
      </c>
      <c r="I867" s="1" t="s">
        <v>1743</v>
      </c>
      <c r="J867" s="1" t="s">
        <v>141</v>
      </c>
      <c r="K867" t="s">
        <v>1744</v>
      </c>
      <c r="M867" s="1" t="s">
        <v>58</v>
      </c>
      <c r="N867" s="1">
        <v>0</v>
      </c>
      <c r="O867" s="1" t="s">
        <v>36</v>
      </c>
      <c r="P867" s="186">
        <v>44930.678425925929</v>
      </c>
      <c r="R867" s="1">
        <v>14</v>
      </c>
      <c r="T867" s="1" t="s">
        <v>238</v>
      </c>
      <c r="U867" s="186">
        <v>44930.678425925929</v>
      </c>
      <c r="V867" s="1" t="s">
        <v>41</v>
      </c>
      <c r="W867" s="1" t="s">
        <v>49</v>
      </c>
      <c r="X867" s="13" t="str">
        <f t="shared" si="81"/>
        <v>2413.91</v>
      </c>
      <c r="Y867" s="2">
        <f t="shared" ca="1" si="82"/>
        <v>41</v>
      </c>
      <c r="Z867" s="14"/>
      <c r="AA867" s="14"/>
      <c r="AC867" s="21"/>
      <c r="AE867" s="21"/>
    </row>
    <row r="868" spans="1:31" hidden="1">
      <c r="A868" s="1">
        <v>9283021</v>
      </c>
      <c r="B868" s="1" t="s">
        <v>1153</v>
      </c>
      <c r="C868" t="s">
        <v>1746</v>
      </c>
      <c r="D868" s="2">
        <v>230003174</v>
      </c>
      <c r="E868" s="2">
        <v>1264001400030</v>
      </c>
      <c r="F868" s="1" t="s">
        <v>647</v>
      </c>
      <c r="G868" s="1" t="s">
        <v>53</v>
      </c>
      <c r="H868" s="1" t="s">
        <v>351</v>
      </c>
      <c r="I868" s="1" t="s">
        <v>352</v>
      </c>
      <c r="J868" s="1" t="s">
        <v>110</v>
      </c>
      <c r="K868" t="s">
        <v>650</v>
      </c>
      <c r="M868" s="1" t="s">
        <v>58</v>
      </c>
      <c r="N868" s="1">
        <v>0</v>
      </c>
      <c r="O868" s="1" t="s">
        <v>36</v>
      </c>
      <c r="P868" s="186">
        <v>44930.391539351855</v>
      </c>
      <c r="R868" s="1">
        <v>4</v>
      </c>
      <c r="T868" s="1" t="s">
        <v>646</v>
      </c>
      <c r="U868" s="186">
        <v>44935.645833333336</v>
      </c>
      <c r="V868" s="1" t="s">
        <v>41</v>
      </c>
      <c r="W868" s="1" t="s">
        <v>49</v>
      </c>
      <c r="X868" s="13" t="str">
        <f t="shared" si="81"/>
        <v/>
      </c>
      <c r="Y868" s="2">
        <f t="shared" ca="1" si="82"/>
        <v>41</v>
      </c>
      <c r="Z868" s="14"/>
      <c r="AA868" s="14"/>
      <c r="AC868" s="21"/>
      <c r="AE868" s="21"/>
    </row>
    <row r="869" spans="1:31" hidden="1">
      <c r="A869" s="1">
        <v>9289476</v>
      </c>
      <c r="B869" s="1" t="s">
        <v>1153</v>
      </c>
      <c r="C869" t="s">
        <v>1747</v>
      </c>
      <c r="D869" s="2">
        <v>20234924000013</v>
      </c>
      <c r="E869" s="2">
        <v>7417163281264</v>
      </c>
      <c r="F869" s="1" t="s">
        <v>131</v>
      </c>
      <c r="G869" s="1" t="s">
        <v>53</v>
      </c>
      <c r="H869" s="1" t="s">
        <v>1748</v>
      </c>
      <c r="I869" s="1" t="s">
        <v>1749</v>
      </c>
      <c r="J869" s="1" t="s">
        <v>79</v>
      </c>
      <c r="K869" t="s">
        <v>132</v>
      </c>
      <c r="M869" s="1" t="s">
        <v>58</v>
      </c>
      <c r="N869" s="1">
        <v>0</v>
      </c>
      <c r="O869" s="1" t="s">
        <v>36</v>
      </c>
      <c r="P869" s="186">
        <v>44931.581041666665</v>
      </c>
      <c r="R869" s="1">
        <v>14</v>
      </c>
      <c r="T869" s="1" t="s">
        <v>238</v>
      </c>
      <c r="U869" s="186">
        <v>44931.581041666665</v>
      </c>
      <c r="V869" s="1" t="s">
        <v>41</v>
      </c>
      <c r="W869" s="1" t="s">
        <v>49</v>
      </c>
      <c r="X869" s="13" t="str">
        <f t="shared" si="81"/>
        <v>4924.02</v>
      </c>
      <c r="Y869" s="2">
        <f t="shared" ca="1" si="82"/>
        <v>40</v>
      </c>
      <c r="Z869" s="14"/>
      <c r="AA869" s="14"/>
      <c r="AC869" s="21"/>
      <c r="AE869" s="21"/>
    </row>
    <row r="870" spans="1:31" hidden="1">
      <c r="A870" s="1">
        <v>9303921</v>
      </c>
      <c r="B870" s="1" t="s">
        <v>101</v>
      </c>
      <c r="C870" t="s">
        <v>1751</v>
      </c>
      <c r="E870" s="2">
        <v>9705000206201</v>
      </c>
      <c r="F870" s="1" t="s">
        <v>208</v>
      </c>
      <c r="G870" s="1" t="s">
        <v>53</v>
      </c>
      <c r="H870" s="1" t="s">
        <v>204</v>
      </c>
      <c r="I870" s="1" t="s">
        <v>205</v>
      </c>
      <c r="J870" s="1" t="s">
        <v>90</v>
      </c>
      <c r="K870" t="s">
        <v>212</v>
      </c>
      <c r="M870" s="1" t="s">
        <v>35</v>
      </c>
      <c r="N870" s="1">
        <v>42318949</v>
      </c>
      <c r="O870" s="1" t="s">
        <v>105</v>
      </c>
      <c r="P870" s="11" t="s">
        <v>1752</v>
      </c>
      <c r="R870" s="1" t="s">
        <v>38</v>
      </c>
      <c r="T870" s="1" t="s">
        <v>74</v>
      </c>
      <c r="U870" s="11" t="s">
        <v>1341</v>
      </c>
      <c r="V870" s="1" t="s">
        <v>41</v>
      </c>
      <c r="W870" s="1" t="s">
        <v>49</v>
      </c>
      <c r="X870" s="13" t="str">
        <f t="shared" si="81"/>
        <v/>
      </c>
      <c r="Y870" s="2">
        <f t="shared" ca="1" si="82"/>
        <v>39</v>
      </c>
      <c r="Z870" s="14"/>
      <c r="AA870" s="14"/>
      <c r="AC870" s="21"/>
      <c r="AE870" s="21"/>
    </row>
    <row r="871" spans="1:31" hidden="1">
      <c r="A871" s="1">
        <v>9303920</v>
      </c>
      <c r="B871" s="1" t="s">
        <v>101</v>
      </c>
      <c r="C871" t="s">
        <v>1751</v>
      </c>
      <c r="E871" s="2">
        <v>9704000206201</v>
      </c>
      <c r="F871" s="1" t="s">
        <v>208</v>
      </c>
      <c r="G871" s="1" t="s">
        <v>53</v>
      </c>
      <c r="H871" s="1" t="s">
        <v>488</v>
      </c>
      <c r="I871" s="1" t="s">
        <v>489</v>
      </c>
      <c r="J871" s="1" t="s">
        <v>164</v>
      </c>
      <c r="K871" t="s">
        <v>212</v>
      </c>
      <c r="M871" s="1" t="s">
        <v>35</v>
      </c>
      <c r="N871" s="1">
        <v>42318949</v>
      </c>
      <c r="O871" s="1" t="s">
        <v>105</v>
      </c>
      <c r="P871" s="11" t="s">
        <v>1752</v>
      </c>
      <c r="R871" s="1" t="s">
        <v>38</v>
      </c>
      <c r="T871" s="1" t="s">
        <v>74</v>
      </c>
      <c r="U871" s="11" t="s">
        <v>1341</v>
      </c>
      <c r="V871" s="1" t="s">
        <v>41</v>
      </c>
      <c r="W871" s="1" t="s">
        <v>49</v>
      </c>
      <c r="X871" s="13" t="str">
        <f t="shared" si="81"/>
        <v/>
      </c>
      <c r="Y871" s="2">
        <f t="shared" ca="1" si="82"/>
        <v>39</v>
      </c>
      <c r="Z871" s="14"/>
      <c r="AA871" s="14"/>
      <c r="AC871" s="21"/>
      <c r="AE871" s="21"/>
    </row>
    <row r="872" spans="1:31" hidden="1">
      <c r="A872" s="1">
        <v>9303918</v>
      </c>
      <c r="B872" s="1" t="s">
        <v>101</v>
      </c>
      <c r="C872" t="s">
        <v>1751</v>
      </c>
      <c r="E872" s="2">
        <v>9700000206201</v>
      </c>
      <c r="F872" s="1" t="s">
        <v>208</v>
      </c>
      <c r="G872" s="1" t="s">
        <v>53</v>
      </c>
      <c r="H872" s="1" t="s">
        <v>209</v>
      </c>
      <c r="I872" s="1" t="s">
        <v>210</v>
      </c>
      <c r="J872" s="1" t="s">
        <v>211</v>
      </c>
      <c r="K872" t="s">
        <v>212</v>
      </c>
      <c r="M872" s="1" t="s">
        <v>35</v>
      </c>
      <c r="N872" s="1">
        <v>42318949</v>
      </c>
      <c r="O872" s="1" t="s">
        <v>105</v>
      </c>
      <c r="P872" s="11" t="s">
        <v>1753</v>
      </c>
      <c r="R872" s="1" t="s">
        <v>38</v>
      </c>
      <c r="T872" s="1" t="s">
        <v>74</v>
      </c>
      <c r="U872" s="11" t="s">
        <v>1341</v>
      </c>
      <c r="V872" s="1" t="s">
        <v>41</v>
      </c>
      <c r="W872" s="1" t="s">
        <v>49</v>
      </c>
      <c r="X872" s="13" t="str">
        <f t="shared" si="81"/>
        <v/>
      </c>
      <c r="Y872" s="2">
        <f t="shared" ca="1" si="82"/>
        <v>39</v>
      </c>
      <c r="Z872" s="14"/>
      <c r="AA872" s="14"/>
      <c r="AC872" s="21"/>
      <c r="AE872" s="21"/>
    </row>
    <row r="873" spans="1:31" hidden="1">
      <c r="A873" s="1">
        <v>9303849</v>
      </c>
      <c r="B873" s="1" t="s">
        <v>101</v>
      </c>
      <c r="C873" t="s">
        <v>1751</v>
      </c>
      <c r="E873" s="2">
        <v>9406000206201</v>
      </c>
      <c r="F873" s="1" t="s">
        <v>208</v>
      </c>
      <c r="G873" s="1" t="s">
        <v>53</v>
      </c>
      <c r="H873" s="1" t="s">
        <v>114</v>
      </c>
      <c r="I873" s="1" t="s">
        <v>115</v>
      </c>
      <c r="J873" s="1" t="s">
        <v>46</v>
      </c>
      <c r="K873" t="s">
        <v>212</v>
      </c>
      <c r="M873" s="1" t="s">
        <v>35</v>
      </c>
      <c r="N873" s="1">
        <v>42318949</v>
      </c>
      <c r="O873" s="1" t="s">
        <v>105</v>
      </c>
      <c r="P873" s="11" t="s">
        <v>1755</v>
      </c>
      <c r="R873" s="1" t="s">
        <v>38</v>
      </c>
      <c r="T873" s="1" t="s">
        <v>74</v>
      </c>
      <c r="U873" s="11" t="s">
        <v>1341</v>
      </c>
      <c r="V873" s="1" t="s">
        <v>41</v>
      </c>
      <c r="W873" s="1" t="s">
        <v>49</v>
      </c>
      <c r="X873" s="13" t="str">
        <f t="shared" si="81"/>
        <v/>
      </c>
      <c r="Y873" s="2">
        <f t="shared" ca="1" si="82"/>
        <v>39</v>
      </c>
      <c r="Z873" s="14"/>
      <c r="AA873" s="14"/>
      <c r="AC873" s="21"/>
      <c r="AE873" s="21"/>
    </row>
    <row r="874" spans="1:31" hidden="1">
      <c r="A874" s="1">
        <v>9303357</v>
      </c>
      <c r="B874" s="1" t="s">
        <v>101</v>
      </c>
      <c r="C874" t="s">
        <v>1756</v>
      </c>
      <c r="E874" s="2">
        <v>9704000206001</v>
      </c>
      <c r="F874" s="1" t="s">
        <v>29</v>
      </c>
      <c r="G874" s="1" t="s">
        <v>53</v>
      </c>
      <c r="H874" s="1" t="s">
        <v>488</v>
      </c>
      <c r="I874" s="1" t="s">
        <v>489</v>
      </c>
      <c r="J874" s="1" t="s">
        <v>164</v>
      </c>
      <c r="K874" t="s">
        <v>34</v>
      </c>
      <c r="M874" s="1" t="s">
        <v>35</v>
      </c>
      <c r="N874" s="1">
        <v>42318949</v>
      </c>
      <c r="O874" s="1" t="s">
        <v>105</v>
      </c>
      <c r="P874" s="11" t="s">
        <v>1757</v>
      </c>
      <c r="R874" s="1" t="s">
        <v>38</v>
      </c>
      <c r="T874" s="1" t="s">
        <v>74</v>
      </c>
      <c r="U874" s="11" t="s">
        <v>1341</v>
      </c>
      <c r="V874" s="1" t="s">
        <v>41</v>
      </c>
      <c r="W874" s="1" t="s">
        <v>49</v>
      </c>
      <c r="X874" s="13" t="str">
        <f t="shared" si="81"/>
        <v/>
      </c>
      <c r="Y874" s="2">
        <f t="shared" ca="1" si="82"/>
        <v>39</v>
      </c>
      <c r="Z874" s="14"/>
      <c r="AA874" s="14"/>
      <c r="AC874" s="21"/>
      <c r="AE874" s="21"/>
    </row>
    <row r="875" spans="1:31" hidden="1">
      <c r="A875" s="1">
        <v>9303355</v>
      </c>
      <c r="B875" s="1" t="s">
        <v>101</v>
      </c>
      <c r="C875" t="s">
        <v>1756</v>
      </c>
      <c r="E875" s="2">
        <v>9704000206001</v>
      </c>
      <c r="F875" s="1" t="s">
        <v>29</v>
      </c>
      <c r="G875" s="1" t="s">
        <v>53</v>
      </c>
      <c r="H875" s="1" t="s">
        <v>488</v>
      </c>
      <c r="I875" s="1" t="s">
        <v>489</v>
      </c>
      <c r="J875" s="1" t="s">
        <v>164</v>
      </c>
      <c r="K875" t="s">
        <v>34</v>
      </c>
      <c r="M875" s="1" t="s">
        <v>35</v>
      </c>
      <c r="N875" s="1">
        <v>42318949</v>
      </c>
      <c r="O875" s="1" t="s">
        <v>105</v>
      </c>
      <c r="P875" s="11" t="s">
        <v>1757</v>
      </c>
      <c r="R875" s="1" t="s">
        <v>38</v>
      </c>
      <c r="T875" s="1" t="s">
        <v>74</v>
      </c>
      <c r="U875" s="11" t="s">
        <v>1341</v>
      </c>
      <c r="V875" s="1" t="s">
        <v>41</v>
      </c>
      <c r="W875" s="1" t="s">
        <v>49</v>
      </c>
      <c r="X875" s="13" t="str">
        <f t="shared" si="81"/>
        <v/>
      </c>
      <c r="Y875" s="2">
        <f t="shared" ca="1" si="82"/>
        <v>39</v>
      </c>
      <c r="Z875" s="14"/>
      <c r="AA875" s="14"/>
      <c r="AC875" s="21"/>
      <c r="AE875" s="21"/>
    </row>
    <row r="876" spans="1:31" hidden="1">
      <c r="A876" s="1">
        <v>9303352</v>
      </c>
      <c r="B876" s="1" t="s">
        <v>101</v>
      </c>
      <c r="C876" t="s">
        <v>1756</v>
      </c>
      <c r="E876" s="2">
        <v>9700000206001</v>
      </c>
      <c r="F876" s="1" t="s">
        <v>29</v>
      </c>
      <c r="G876" s="1" t="s">
        <v>53</v>
      </c>
      <c r="H876" s="1" t="s">
        <v>209</v>
      </c>
      <c r="I876" s="1" t="s">
        <v>210</v>
      </c>
      <c r="J876" s="1" t="s">
        <v>211</v>
      </c>
      <c r="K876" t="s">
        <v>34</v>
      </c>
      <c r="M876" s="1" t="s">
        <v>35</v>
      </c>
      <c r="N876" s="1">
        <v>42318949</v>
      </c>
      <c r="O876" s="1" t="s">
        <v>105</v>
      </c>
      <c r="P876" s="11" t="s">
        <v>1758</v>
      </c>
      <c r="R876" s="1" t="s">
        <v>38</v>
      </c>
      <c r="T876" s="1" t="s">
        <v>74</v>
      </c>
      <c r="U876" s="11" t="s">
        <v>1341</v>
      </c>
      <c r="V876" s="1" t="s">
        <v>41</v>
      </c>
      <c r="W876" s="1" t="s">
        <v>49</v>
      </c>
      <c r="X876" s="13" t="str">
        <f t="shared" si="81"/>
        <v/>
      </c>
      <c r="Y876" s="2">
        <f t="shared" ca="1" si="82"/>
        <v>39</v>
      </c>
      <c r="Z876" s="14"/>
      <c r="AA876" s="14"/>
      <c r="AC876" s="21"/>
      <c r="AE876" s="21"/>
    </row>
    <row r="877" spans="1:31" hidden="1">
      <c r="A877" s="1">
        <v>9303351</v>
      </c>
      <c r="B877" s="1" t="s">
        <v>101</v>
      </c>
      <c r="C877" t="s">
        <v>1756</v>
      </c>
      <c r="E877" s="2">
        <v>9700000206001</v>
      </c>
      <c r="F877" s="1" t="s">
        <v>29</v>
      </c>
      <c r="G877" s="1" t="s">
        <v>53</v>
      </c>
      <c r="H877" s="1" t="s">
        <v>209</v>
      </c>
      <c r="I877" s="1" t="s">
        <v>210</v>
      </c>
      <c r="J877" s="1" t="s">
        <v>211</v>
      </c>
      <c r="K877" t="s">
        <v>34</v>
      </c>
      <c r="M877" s="1" t="s">
        <v>35</v>
      </c>
      <c r="N877" s="1">
        <v>42318949</v>
      </c>
      <c r="O877" s="1" t="s">
        <v>105</v>
      </c>
      <c r="P877" s="11" t="s">
        <v>1758</v>
      </c>
      <c r="R877" s="1" t="s">
        <v>38</v>
      </c>
      <c r="T877" s="1" t="s">
        <v>74</v>
      </c>
      <c r="U877" s="11" t="s">
        <v>1341</v>
      </c>
      <c r="V877" s="1" t="s">
        <v>41</v>
      </c>
      <c r="W877" s="1" t="s">
        <v>49</v>
      </c>
      <c r="X877" s="13" t="str">
        <f t="shared" si="81"/>
        <v/>
      </c>
      <c r="Y877" s="2">
        <f t="shared" ca="1" si="82"/>
        <v>39</v>
      </c>
      <c r="Z877" s="14"/>
      <c r="AA877" s="14"/>
      <c r="AC877" s="21"/>
      <c r="AE877" s="21"/>
    </row>
    <row r="878" spans="1:31" hidden="1">
      <c r="A878" s="1">
        <v>9303071</v>
      </c>
      <c r="B878" s="1" t="s">
        <v>101</v>
      </c>
      <c r="C878" t="s">
        <v>1756</v>
      </c>
      <c r="E878" s="2">
        <v>9406000206001</v>
      </c>
      <c r="F878" s="1" t="s">
        <v>29</v>
      </c>
      <c r="G878" s="1" t="s">
        <v>53</v>
      </c>
      <c r="H878" s="1" t="s">
        <v>114</v>
      </c>
      <c r="I878" s="1" t="s">
        <v>115</v>
      </c>
      <c r="J878" s="1" t="s">
        <v>46</v>
      </c>
      <c r="K878" t="s">
        <v>34</v>
      </c>
      <c r="M878" s="1" t="s">
        <v>35</v>
      </c>
      <c r="N878" s="1">
        <v>42318949</v>
      </c>
      <c r="O878" s="1" t="s">
        <v>105</v>
      </c>
      <c r="P878" s="11" t="s">
        <v>1759</v>
      </c>
      <c r="R878" s="1" t="s">
        <v>38</v>
      </c>
      <c r="T878" s="1" t="s">
        <v>74</v>
      </c>
      <c r="U878" s="11" t="s">
        <v>1341</v>
      </c>
      <c r="V878" s="1" t="s">
        <v>41</v>
      </c>
      <c r="W878" s="1" t="s">
        <v>49</v>
      </c>
      <c r="X878" s="13" t="str">
        <f t="shared" si="81"/>
        <v/>
      </c>
      <c r="Y878" s="2">
        <f t="shared" ca="1" si="82"/>
        <v>39</v>
      </c>
      <c r="Z878" s="14"/>
      <c r="AA878" s="14"/>
      <c r="AC878" s="21"/>
      <c r="AE878" s="21"/>
    </row>
    <row r="879" spans="1:31" hidden="1">
      <c r="A879" s="1">
        <v>9303070</v>
      </c>
      <c r="B879" s="1" t="s">
        <v>101</v>
      </c>
      <c r="C879" t="s">
        <v>1756</v>
      </c>
      <c r="E879" s="2">
        <v>9406000206001</v>
      </c>
      <c r="F879" s="1" t="s">
        <v>29</v>
      </c>
      <c r="G879" s="1" t="s">
        <v>53</v>
      </c>
      <c r="H879" s="1" t="s">
        <v>114</v>
      </c>
      <c r="I879" s="1" t="s">
        <v>115</v>
      </c>
      <c r="J879" s="1" t="s">
        <v>46</v>
      </c>
      <c r="K879" t="s">
        <v>34</v>
      </c>
      <c r="M879" s="1" t="s">
        <v>35</v>
      </c>
      <c r="N879" s="1">
        <v>42318949</v>
      </c>
      <c r="O879" s="1" t="s">
        <v>105</v>
      </c>
      <c r="P879" s="11" t="s">
        <v>1760</v>
      </c>
      <c r="R879" s="1" t="s">
        <v>38</v>
      </c>
      <c r="T879" s="1" t="s">
        <v>74</v>
      </c>
      <c r="U879" s="11" t="s">
        <v>1341</v>
      </c>
      <c r="V879" s="1" t="s">
        <v>41</v>
      </c>
      <c r="W879" s="1" t="s">
        <v>49</v>
      </c>
      <c r="X879" s="13" t="str">
        <f t="shared" si="81"/>
        <v/>
      </c>
      <c r="Y879" s="2">
        <f t="shared" ca="1" si="82"/>
        <v>39</v>
      </c>
      <c r="Z879" s="14"/>
      <c r="AA879" s="14"/>
      <c r="AC879" s="21"/>
      <c r="AE879" s="21"/>
    </row>
    <row r="880" spans="1:31" hidden="1">
      <c r="A880" s="1">
        <v>9303069</v>
      </c>
      <c r="B880" s="1" t="s">
        <v>101</v>
      </c>
      <c r="C880" t="s">
        <v>1756</v>
      </c>
      <c r="E880" s="2">
        <v>9406000206001</v>
      </c>
      <c r="F880" s="1" t="s">
        <v>29</v>
      </c>
      <c r="G880" s="1" t="s">
        <v>53</v>
      </c>
      <c r="H880" s="1" t="s">
        <v>114</v>
      </c>
      <c r="I880" s="1" t="s">
        <v>115</v>
      </c>
      <c r="J880" s="1" t="s">
        <v>46</v>
      </c>
      <c r="K880" t="s">
        <v>34</v>
      </c>
      <c r="M880" s="1" t="s">
        <v>35</v>
      </c>
      <c r="N880" s="1">
        <v>42318949</v>
      </c>
      <c r="O880" s="1" t="s">
        <v>105</v>
      </c>
      <c r="P880" s="11" t="s">
        <v>1760</v>
      </c>
      <c r="R880" s="1" t="s">
        <v>38</v>
      </c>
      <c r="T880" s="1" t="s">
        <v>74</v>
      </c>
      <c r="U880" s="11" t="s">
        <v>1341</v>
      </c>
      <c r="V880" s="1" t="s">
        <v>41</v>
      </c>
      <c r="W880" s="1" t="s">
        <v>49</v>
      </c>
      <c r="X880" s="13" t="str">
        <f t="shared" si="81"/>
        <v/>
      </c>
      <c r="Y880" s="2">
        <f t="shared" ca="1" si="82"/>
        <v>39</v>
      </c>
      <c r="Z880" s="14"/>
      <c r="AA880" s="14"/>
      <c r="AC880" s="21"/>
      <c r="AE880" s="21"/>
    </row>
    <row r="881" spans="1:31" hidden="1">
      <c r="A881" s="1">
        <v>9303068</v>
      </c>
      <c r="B881" s="1" t="s">
        <v>101</v>
      </c>
      <c r="C881" t="s">
        <v>1756</v>
      </c>
      <c r="E881" s="2">
        <v>9406000206001</v>
      </c>
      <c r="F881" s="1" t="s">
        <v>29</v>
      </c>
      <c r="G881" s="1" t="s">
        <v>53</v>
      </c>
      <c r="H881" s="1" t="s">
        <v>114</v>
      </c>
      <c r="I881" s="1" t="s">
        <v>115</v>
      </c>
      <c r="J881" s="1" t="s">
        <v>46</v>
      </c>
      <c r="K881" t="s">
        <v>34</v>
      </c>
      <c r="M881" s="1" t="s">
        <v>35</v>
      </c>
      <c r="N881" s="1">
        <v>42318949</v>
      </c>
      <c r="O881" s="1" t="s">
        <v>105</v>
      </c>
      <c r="P881" s="11" t="s">
        <v>1760</v>
      </c>
      <c r="R881" s="1" t="s">
        <v>38</v>
      </c>
      <c r="T881" s="1" t="s">
        <v>74</v>
      </c>
      <c r="U881" s="11" t="s">
        <v>1341</v>
      </c>
      <c r="V881" s="1" t="s">
        <v>41</v>
      </c>
      <c r="W881" s="1" t="s">
        <v>49</v>
      </c>
      <c r="X881" s="13" t="str">
        <f t="shared" si="81"/>
        <v/>
      </c>
      <c r="Y881" s="2">
        <f t="shared" ca="1" si="82"/>
        <v>39</v>
      </c>
      <c r="Z881" s="14"/>
      <c r="AA881" s="14"/>
      <c r="AC881" s="21"/>
      <c r="AE881" s="21"/>
    </row>
    <row r="882" spans="1:31" hidden="1">
      <c r="A882" s="1">
        <v>9303067</v>
      </c>
      <c r="B882" s="1" t="s">
        <v>101</v>
      </c>
      <c r="C882" t="s">
        <v>1756</v>
      </c>
      <c r="E882" s="2">
        <v>9406000206001</v>
      </c>
      <c r="F882" s="1" t="s">
        <v>29</v>
      </c>
      <c r="G882" s="1" t="s">
        <v>53</v>
      </c>
      <c r="H882" s="1" t="s">
        <v>114</v>
      </c>
      <c r="I882" s="1" t="s">
        <v>115</v>
      </c>
      <c r="J882" s="1" t="s">
        <v>46</v>
      </c>
      <c r="K882" t="s">
        <v>34</v>
      </c>
      <c r="M882" s="1" t="s">
        <v>35</v>
      </c>
      <c r="N882" s="1">
        <v>42318949</v>
      </c>
      <c r="O882" s="1" t="s">
        <v>105</v>
      </c>
      <c r="P882" s="11" t="s">
        <v>1760</v>
      </c>
      <c r="R882" s="1" t="s">
        <v>38</v>
      </c>
      <c r="T882" s="1" t="s">
        <v>74</v>
      </c>
      <c r="U882" s="11" t="s">
        <v>1341</v>
      </c>
      <c r="V882" s="1" t="s">
        <v>41</v>
      </c>
      <c r="W882" s="1" t="s">
        <v>49</v>
      </c>
      <c r="X882" s="13" t="str">
        <f t="shared" si="81"/>
        <v/>
      </c>
      <c r="Y882" s="2">
        <f t="shared" ca="1" si="82"/>
        <v>39</v>
      </c>
      <c r="Z882" s="14"/>
      <c r="AA882" s="14"/>
      <c r="AC882" s="21"/>
      <c r="AE882" s="21"/>
    </row>
    <row r="883" spans="1:31" hidden="1">
      <c r="A883" s="1">
        <v>9303066</v>
      </c>
      <c r="B883" s="1" t="s">
        <v>101</v>
      </c>
      <c r="C883" t="s">
        <v>1756</v>
      </c>
      <c r="E883" s="2">
        <v>9406000206001</v>
      </c>
      <c r="F883" s="1" t="s">
        <v>29</v>
      </c>
      <c r="G883" s="1" t="s">
        <v>53</v>
      </c>
      <c r="H883" s="1" t="s">
        <v>114</v>
      </c>
      <c r="I883" s="1" t="s">
        <v>115</v>
      </c>
      <c r="J883" s="1" t="s">
        <v>46</v>
      </c>
      <c r="K883" t="s">
        <v>34</v>
      </c>
      <c r="M883" s="1" t="s">
        <v>35</v>
      </c>
      <c r="N883" s="1">
        <v>42318949</v>
      </c>
      <c r="O883" s="1" t="s">
        <v>105</v>
      </c>
      <c r="P883" s="11" t="s">
        <v>1760</v>
      </c>
      <c r="R883" s="1" t="s">
        <v>38</v>
      </c>
      <c r="T883" s="1" t="s">
        <v>74</v>
      </c>
      <c r="U883" s="11" t="s">
        <v>1341</v>
      </c>
      <c r="V883" s="1" t="s">
        <v>41</v>
      </c>
      <c r="W883" s="1" t="s">
        <v>49</v>
      </c>
      <c r="X883" s="13" t="str">
        <f t="shared" si="81"/>
        <v/>
      </c>
      <c r="Y883" s="2">
        <f t="shared" ca="1" si="82"/>
        <v>39</v>
      </c>
      <c r="Z883" s="14"/>
      <c r="AA883" s="14"/>
      <c r="AC883" s="21"/>
      <c r="AE883" s="21"/>
    </row>
    <row r="884" spans="1:31" hidden="1">
      <c r="A884" s="1">
        <v>9303065</v>
      </c>
      <c r="B884" s="1" t="s">
        <v>101</v>
      </c>
      <c r="C884" t="s">
        <v>1756</v>
      </c>
      <c r="E884" s="2">
        <v>9406000206001</v>
      </c>
      <c r="F884" s="1" t="s">
        <v>29</v>
      </c>
      <c r="G884" s="1" t="s">
        <v>53</v>
      </c>
      <c r="H884" s="1" t="s">
        <v>114</v>
      </c>
      <c r="I884" s="1" t="s">
        <v>115</v>
      </c>
      <c r="J884" s="1" t="s">
        <v>46</v>
      </c>
      <c r="K884" t="s">
        <v>34</v>
      </c>
      <c r="M884" s="1" t="s">
        <v>35</v>
      </c>
      <c r="N884" s="1">
        <v>42318949</v>
      </c>
      <c r="O884" s="1" t="s">
        <v>105</v>
      </c>
      <c r="P884" s="11" t="s">
        <v>1760</v>
      </c>
      <c r="R884" s="1" t="s">
        <v>38</v>
      </c>
      <c r="T884" s="1" t="s">
        <v>74</v>
      </c>
      <c r="U884" s="11" t="s">
        <v>1341</v>
      </c>
      <c r="V884" s="1" t="s">
        <v>41</v>
      </c>
      <c r="W884" s="1" t="s">
        <v>49</v>
      </c>
      <c r="X884" s="13" t="str">
        <f t="shared" si="81"/>
        <v/>
      </c>
      <c r="Y884" s="2">
        <f t="shared" ca="1" si="82"/>
        <v>39</v>
      </c>
      <c r="Z884" s="14"/>
      <c r="AA884" s="14"/>
      <c r="AC884" s="21"/>
      <c r="AE884" s="21"/>
    </row>
    <row r="885" spans="1:31" hidden="1">
      <c r="A885" s="1">
        <v>9301760</v>
      </c>
      <c r="B885" s="1" t="s">
        <v>101</v>
      </c>
      <c r="C885" t="s">
        <v>1761</v>
      </c>
      <c r="E885" s="2">
        <v>9704000206001</v>
      </c>
      <c r="F885" s="1" t="s">
        <v>29</v>
      </c>
      <c r="G885" s="1" t="s">
        <v>53</v>
      </c>
      <c r="H885" s="1" t="s">
        <v>488</v>
      </c>
      <c r="I885" s="1" t="s">
        <v>489</v>
      </c>
      <c r="J885" s="1" t="s">
        <v>164</v>
      </c>
      <c r="K885" t="s">
        <v>34</v>
      </c>
      <c r="M885" s="1" t="s">
        <v>35</v>
      </c>
      <c r="N885" s="1">
        <v>42318949</v>
      </c>
      <c r="O885" s="1" t="s">
        <v>105</v>
      </c>
      <c r="P885" s="11" t="s">
        <v>1762</v>
      </c>
      <c r="R885" s="1" t="s">
        <v>38</v>
      </c>
      <c r="T885" s="1" t="s">
        <v>74</v>
      </c>
      <c r="U885" s="11" t="s">
        <v>1341</v>
      </c>
      <c r="V885" s="1" t="s">
        <v>41</v>
      </c>
      <c r="W885" s="1" t="s">
        <v>49</v>
      </c>
      <c r="X885" s="13" t="str">
        <f t="shared" si="81"/>
        <v/>
      </c>
      <c r="Y885" s="2">
        <f t="shared" ca="1" si="82"/>
        <v>39</v>
      </c>
      <c r="Z885" s="14"/>
      <c r="AA885" s="14"/>
      <c r="AC885" s="21"/>
      <c r="AE885" s="21"/>
    </row>
    <row r="886" spans="1:31" hidden="1">
      <c r="A886" s="1">
        <v>9301759</v>
      </c>
      <c r="B886" s="1" t="s">
        <v>101</v>
      </c>
      <c r="C886" t="s">
        <v>1761</v>
      </c>
      <c r="E886" s="2">
        <v>9704000206001</v>
      </c>
      <c r="F886" s="1" t="s">
        <v>29</v>
      </c>
      <c r="G886" s="1" t="s">
        <v>53</v>
      </c>
      <c r="H886" s="1" t="s">
        <v>488</v>
      </c>
      <c r="I886" s="1" t="s">
        <v>489</v>
      </c>
      <c r="J886" s="1" t="s">
        <v>164</v>
      </c>
      <c r="K886" t="s">
        <v>34</v>
      </c>
      <c r="M886" s="1" t="s">
        <v>35</v>
      </c>
      <c r="N886" s="1">
        <v>42318949</v>
      </c>
      <c r="O886" s="1" t="s">
        <v>105</v>
      </c>
      <c r="P886" s="11" t="s">
        <v>1762</v>
      </c>
      <c r="R886" s="1" t="s">
        <v>38</v>
      </c>
      <c r="T886" s="1" t="s">
        <v>74</v>
      </c>
      <c r="U886" s="11" t="s">
        <v>1341</v>
      </c>
      <c r="V886" s="1" t="s">
        <v>41</v>
      </c>
      <c r="W886" s="1" t="s">
        <v>49</v>
      </c>
      <c r="X886" s="13" t="str">
        <f t="shared" si="81"/>
        <v/>
      </c>
      <c r="Y886" s="2">
        <f t="shared" ca="1" si="82"/>
        <v>39</v>
      </c>
      <c r="Z886" s="14"/>
      <c r="AA886" s="14"/>
      <c r="AC886" s="21"/>
      <c r="AE886" s="21"/>
    </row>
    <row r="887" spans="1:31" hidden="1">
      <c r="A887" s="1">
        <v>9301758</v>
      </c>
      <c r="B887" s="1" t="s">
        <v>101</v>
      </c>
      <c r="C887" t="s">
        <v>1761</v>
      </c>
      <c r="E887" s="2">
        <v>9704000206001</v>
      </c>
      <c r="F887" s="1" t="s">
        <v>29</v>
      </c>
      <c r="G887" s="1" t="s">
        <v>53</v>
      </c>
      <c r="H887" s="1" t="s">
        <v>488</v>
      </c>
      <c r="I887" s="1" t="s">
        <v>489</v>
      </c>
      <c r="J887" s="1" t="s">
        <v>164</v>
      </c>
      <c r="K887" t="s">
        <v>34</v>
      </c>
      <c r="M887" s="1" t="s">
        <v>35</v>
      </c>
      <c r="N887" s="1">
        <v>42318949</v>
      </c>
      <c r="O887" s="1" t="s">
        <v>105</v>
      </c>
      <c r="P887" s="11" t="s">
        <v>1762</v>
      </c>
      <c r="R887" s="1" t="s">
        <v>38</v>
      </c>
      <c r="T887" s="1" t="s">
        <v>74</v>
      </c>
      <c r="U887" s="11" t="s">
        <v>1341</v>
      </c>
      <c r="V887" s="1" t="s">
        <v>41</v>
      </c>
      <c r="W887" s="1" t="s">
        <v>49</v>
      </c>
      <c r="X887" s="13" t="str">
        <f t="shared" si="81"/>
        <v/>
      </c>
      <c r="Y887" s="2">
        <f t="shared" ca="1" si="82"/>
        <v>39</v>
      </c>
      <c r="Z887" s="14"/>
      <c r="AA887" s="14"/>
      <c r="AC887" s="21"/>
      <c r="AE887" s="21"/>
    </row>
    <row r="888" spans="1:31" hidden="1">
      <c r="A888" s="1">
        <v>9301757</v>
      </c>
      <c r="B888" s="1" t="s">
        <v>101</v>
      </c>
      <c r="C888" t="s">
        <v>1761</v>
      </c>
      <c r="E888" s="2">
        <v>9704000206001</v>
      </c>
      <c r="F888" s="1" t="s">
        <v>29</v>
      </c>
      <c r="G888" s="1" t="s">
        <v>53</v>
      </c>
      <c r="H888" s="1" t="s">
        <v>488</v>
      </c>
      <c r="I888" s="1" t="s">
        <v>489</v>
      </c>
      <c r="J888" s="1" t="s">
        <v>164</v>
      </c>
      <c r="K888" t="s">
        <v>34</v>
      </c>
      <c r="M888" s="1" t="s">
        <v>35</v>
      </c>
      <c r="N888" s="1">
        <v>42318949</v>
      </c>
      <c r="O888" s="1" t="s">
        <v>105</v>
      </c>
      <c r="P888" s="11" t="s">
        <v>1762</v>
      </c>
      <c r="R888" s="1" t="s">
        <v>38</v>
      </c>
      <c r="T888" s="1" t="s">
        <v>74</v>
      </c>
      <c r="U888" s="11" t="s">
        <v>1341</v>
      </c>
      <c r="V888" s="1" t="s">
        <v>41</v>
      </c>
      <c r="W888" s="1" t="s">
        <v>49</v>
      </c>
      <c r="X888" s="13" t="str">
        <f t="shared" si="81"/>
        <v/>
      </c>
      <c r="Y888" s="2">
        <f t="shared" ca="1" si="82"/>
        <v>39</v>
      </c>
      <c r="Z888" s="14"/>
      <c r="AA888" s="14"/>
      <c r="AC888" s="21"/>
      <c r="AE888" s="21"/>
    </row>
    <row r="889" spans="1:31" hidden="1">
      <c r="A889" s="1">
        <v>9301753</v>
      </c>
      <c r="B889" s="1" t="s">
        <v>101</v>
      </c>
      <c r="C889" t="s">
        <v>1761</v>
      </c>
      <c r="E889" s="2">
        <v>9700000206001</v>
      </c>
      <c r="F889" s="1" t="s">
        <v>29</v>
      </c>
      <c r="G889" s="1" t="s">
        <v>53</v>
      </c>
      <c r="H889" s="1" t="s">
        <v>209</v>
      </c>
      <c r="I889" s="1" t="s">
        <v>210</v>
      </c>
      <c r="J889" s="1" t="s">
        <v>211</v>
      </c>
      <c r="K889" t="s">
        <v>34</v>
      </c>
      <c r="M889" s="1" t="s">
        <v>35</v>
      </c>
      <c r="N889" s="1">
        <v>42318949</v>
      </c>
      <c r="O889" s="1" t="s">
        <v>105</v>
      </c>
      <c r="P889" s="11" t="s">
        <v>1763</v>
      </c>
      <c r="R889" s="1" t="s">
        <v>38</v>
      </c>
      <c r="T889" s="1" t="s">
        <v>74</v>
      </c>
      <c r="U889" s="11" t="s">
        <v>1341</v>
      </c>
      <c r="V889" s="1" t="s">
        <v>41</v>
      </c>
      <c r="W889" s="1" t="s">
        <v>49</v>
      </c>
      <c r="X889" s="13" t="str">
        <f t="shared" si="81"/>
        <v/>
      </c>
      <c r="Y889" s="2">
        <f t="shared" ca="1" si="82"/>
        <v>39</v>
      </c>
      <c r="Z889" s="14"/>
      <c r="AA889" s="14"/>
      <c r="AC889" s="21"/>
      <c r="AE889" s="21"/>
    </row>
    <row r="890" spans="1:31" hidden="1">
      <c r="A890" s="1">
        <v>9301752</v>
      </c>
      <c r="B890" s="1" t="s">
        <v>101</v>
      </c>
      <c r="C890" t="s">
        <v>1761</v>
      </c>
      <c r="E890" s="2">
        <v>9700000206001</v>
      </c>
      <c r="F890" s="1" t="s">
        <v>29</v>
      </c>
      <c r="G890" s="1" t="s">
        <v>53</v>
      </c>
      <c r="H890" s="1" t="s">
        <v>209</v>
      </c>
      <c r="I890" s="1" t="s">
        <v>210</v>
      </c>
      <c r="J890" s="1" t="s">
        <v>211</v>
      </c>
      <c r="K890" t="s">
        <v>34</v>
      </c>
      <c r="M890" s="1" t="s">
        <v>35</v>
      </c>
      <c r="N890" s="1">
        <v>42318949</v>
      </c>
      <c r="O890" s="1" t="s">
        <v>105</v>
      </c>
      <c r="P890" s="11" t="s">
        <v>1763</v>
      </c>
      <c r="R890" s="1" t="s">
        <v>38</v>
      </c>
      <c r="T890" s="1" t="s">
        <v>74</v>
      </c>
      <c r="U890" s="11" t="s">
        <v>1341</v>
      </c>
      <c r="V890" s="1" t="s">
        <v>41</v>
      </c>
      <c r="W890" s="1" t="s">
        <v>49</v>
      </c>
      <c r="X890" s="13" t="str">
        <f t="shared" ref="X890:X953" si="83">IF(RIGHT(H890,2)&lt;&gt;"00",H890,"")</f>
        <v/>
      </c>
      <c r="Y890" s="2">
        <f t="shared" ref="Y890:Y953" ca="1" si="84">NETWORKDAYS(P890,$Y$1)</f>
        <v>39</v>
      </c>
      <c r="Z890" s="14"/>
      <c r="AA890" s="14"/>
      <c r="AC890" s="21"/>
      <c r="AE890" s="21"/>
    </row>
    <row r="891" spans="1:31" hidden="1">
      <c r="A891" s="1">
        <v>9301751</v>
      </c>
      <c r="B891" s="1" t="s">
        <v>101</v>
      </c>
      <c r="C891" t="s">
        <v>1761</v>
      </c>
      <c r="E891" s="2">
        <v>9700000206001</v>
      </c>
      <c r="F891" s="1" t="s">
        <v>29</v>
      </c>
      <c r="G891" s="1" t="s">
        <v>53</v>
      </c>
      <c r="H891" s="1" t="s">
        <v>209</v>
      </c>
      <c r="I891" s="1" t="s">
        <v>210</v>
      </c>
      <c r="J891" s="1" t="s">
        <v>211</v>
      </c>
      <c r="K891" t="s">
        <v>34</v>
      </c>
      <c r="M891" s="1" t="s">
        <v>35</v>
      </c>
      <c r="N891" s="1">
        <v>42318949</v>
      </c>
      <c r="O891" s="1" t="s">
        <v>105</v>
      </c>
      <c r="P891" s="11" t="s">
        <v>1763</v>
      </c>
      <c r="R891" s="1" t="s">
        <v>38</v>
      </c>
      <c r="T891" s="1" t="s">
        <v>74</v>
      </c>
      <c r="U891" s="11" t="s">
        <v>1341</v>
      </c>
      <c r="V891" s="1" t="s">
        <v>41</v>
      </c>
      <c r="W891" s="1" t="s">
        <v>49</v>
      </c>
      <c r="X891" s="13" t="str">
        <f t="shared" si="83"/>
        <v/>
      </c>
      <c r="Y891" s="2">
        <f t="shared" ca="1" si="84"/>
        <v>39</v>
      </c>
      <c r="Z891" s="14"/>
      <c r="AA891" s="14"/>
      <c r="AC891" s="21"/>
      <c r="AE891" s="21"/>
    </row>
    <row r="892" spans="1:31" hidden="1">
      <c r="A892" s="1">
        <v>9301480</v>
      </c>
      <c r="B892" s="1" t="s">
        <v>101</v>
      </c>
      <c r="C892" t="s">
        <v>1761</v>
      </c>
      <c r="E892" s="2">
        <v>9406000206001</v>
      </c>
      <c r="F892" s="1" t="s">
        <v>29</v>
      </c>
      <c r="G892" s="1" t="s">
        <v>53</v>
      </c>
      <c r="H892" s="1" t="s">
        <v>114</v>
      </c>
      <c r="I892" s="1" t="s">
        <v>115</v>
      </c>
      <c r="J892" s="1" t="s">
        <v>46</v>
      </c>
      <c r="K892" t="s">
        <v>34</v>
      </c>
      <c r="M892" s="1" t="s">
        <v>35</v>
      </c>
      <c r="N892" s="1">
        <v>42318949</v>
      </c>
      <c r="O892" s="1" t="s">
        <v>105</v>
      </c>
      <c r="P892" s="11" t="s">
        <v>1765</v>
      </c>
      <c r="R892" s="1" t="s">
        <v>38</v>
      </c>
      <c r="T892" s="1" t="s">
        <v>74</v>
      </c>
      <c r="U892" s="11" t="s">
        <v>1341</v>
      </c>
      <c r="V892" s="1" t="s">
        <v>41</v>
      </c>
      <c r="W892" s="1" t="s">
        <v>49</v>
      </c>
      <c r="X892" s="13" t="str">
        <f t="shared" si="83"/>
        <v/>
      </c>
      <c r="Y892" s="2">
        <f t="shared" ca="1" si="84"/>
        <v>39</v>
      </c>
      <c r="Z892" s="14"/>
      <c r="AA892" s="14"/>
      <c r="AC892" s="21"/>
      <c r="AE892" s="21"/>
    </row>
    <row r="893" spans="1:31" hidden="1">
      <c r="A893" s="1">
        <v>9301479</v>
      </c>
      <c r="B893" s="1" t="s">
        <v>101</v>
      </c>
      <c r="C893" t="s">
        <v>1761</v>
      </c>
      <c r="E893" s="2">
        <v>9406000206001</v>
      </c>
      <c r="F893" s="1" t="s">
        <v>29</v>
      </c>
      <c r="G893" s="1" t="s">
        <v>53</v>
      </c>
      <c r="H893" s="1" t="s">
        <v>114</v>
      </c>
      <c r="I893" s="1" t="s">
        <v>115</v>
      </c>
      <c r="J893" s="1" t="s">
        <v>46</v>
      </c>
      <c r="K893" t="s">
        <v>34</v>
      </c>
      <c r="M893" s="1" t="s">
        <v>35</v>
      </c>
      <c r="N893" s="1">
        <v>42318949</v>
      </c>
      <c r="O893" s="1" t="s">
        <v>105</v>
      </c>
      <c r="P893" s="11" t="s">
        <v>1765</v>
      </c>
      <c r="R893" s="1" t="s">
        <v>38</v>
      </c>
      <c r="T893" s="1" t="s">
        <v>74</v>
      </c>
      <c r="U893" s="11" t="s">
        <v>1341</v>
      </c>
      <c r="V893" s="1" t="s">
        <v>41</v>
      </c>
      <c r="W893" s="1" t="s">
        <v>49</v>
      </c>
      <c r="X893" s="13" t="str">
        <f t="shared" si="83"/>
        <v/>
      </c>
      <c r="Y893" s="2">
        <f t="shared" ca="1" si="84"/>
        <v>39</v>
      </c>
      <c r="Z893" s="14"/>
      <c r="AA893" s="14"/>
      <c r="AC893" s="21"/>
      <c r="AE893" s="21"/>
    </row>
    <row r="894" spans="1:31" hidden="1">
      <c r="A894" s="1">
        <v>9301478</v>
      </c>
      <c r="B894" s="1" t="s">
        <v>101</v>
      </c>
      <c r="C894" t="s">
        <v>1761</v>
      </c>
      <c r="E894" s="2">
        <v>9406000206001</v>
      </c>
      <c r="F894" s="1" t="s">
        <v>29</v>
      </c>
      <c r="G894" s="1" t="s">
        <v>53</v>
      </c>
      <c r="H894" s="1" t="s">
        <v>114</v>
      </c>
      <c r="I894" s="1" t="s">
        <v>115</v>
      </c>
      <c r="J894" s="1" t="s">
        <v>46</v>
      </c>
      <c r="K894" t="s">
        <v>34</v>
      </c>
      <c r="M894" s="1" t="s">
        <v>35</v>
      </c>
      <c r="N894" s="1">
        <v>42318949</v>
      </c>
      <c r="O894" s="1" t="s">
        <v>105</v>
      </c>
      <c r="P894" s="11" t="s">
        <v>1765</v>
      </c>
      <c r="R894" s="1" t="s">
        <v>38</v>
      </c>
      <c r="T894" s="1" t="s">
        <v>74</v>
      </c>
      <c r="U894" s="11" t="s">
        <v>1341</v>
      </c>
      <c r="V894" s="1" t="s">
        <v>41</v>
      </c>
      <c r="W894" s="1" t="s">
        <v>49</v>
      </c>
      <c r="X894" s="13" t="str">
        <f t="shared" si="83"/>
        <v/>
      </c>
      <c r="Y894" s="2">
        <f t="shared" ca="1" si="84"/>
        <v>39</v>
      </c>
      <c r="Z894" s="14"/>
      <c r="AA894" s="14"/>
      <c r="AC894" s="21"/>
      <c r="AE894" s="21"/>
    </row>
    <row r="895" spans="1:31" hidden="1">
      <c r="A895" s="1">
        <v>9301477</v>
      </c>
      <c r="B895" s="1" t="s">
        <v>101</v>
      </c>
      <c r="C895" t="s">
        <v>1761</v>
      </c>
      <c r="E895" s="2">
        <v>9406000206001</v>
      </c>
      <c r="F895" s="1" t="s">
        <v>29</v>
      </c>
      <c r="G895" s="1" t="s">
        <v>53</v>
      </c>
      <c r="H895" s="1" t="s">
        <v>114</v>
      </c>
      <c r="I895" s="1" t="s">
        <v>115</v>
      </c>
      <c r="J895" s="1" t="s">
        <v>46</v>
      </c>
      <c r="K895" t="s">
        <v>34</v>
      </c>
      <c r="M895" s="1" t="s">
        <v>35</v>
      </c>
      <c r="N895" s="1">
        <v>42318949</v>
      </c>
      <c r="O895" s="1" t="s">
        <v>105</v>
      </c>
      <c r="P895" s="11" t="s">
        <v>1765</v>
      </c>
      <c r="R895" s="1" t="s">
        <v>38</v>
      </c>
      <c r="T895" s="1" t="s">
        <v>74</v>
      </c>
      <c r="U895" s="11" t="s">
        <v>1341</v>
      </c>
      <c r="V895" s="1" t="s">
        <v>41</v>
      </c>
      <c r="W895" s="1" t="s">
        <v>49</v>
      </c>
      <c r="X895" s="13" t="str">
        <f t="shared" si="83"/>
        <v/>
      </c>
      <c r="Y895" s="2">
        <f t="shared" ca="1" si="84"/>
        <v>39</v>
      </c>
      <c r="Z895" s="14"/>
      <c r="AA895" s="14"/>
    </row>
    <row r="896" spans="1:31" hidden="1">
      <c r="A896" s="1">
        <v>9301476</v>
      </c>
      <c r="B896" s="1" t="s">
        <v>101</v>
      </c>
      <c r="C896" t="s">
        <v>1761</v>
      </c>
      <c r="E896" s="2">
        <v>9406000206001</v>
      </c>
      <c r="F896" s="1" t="s">
        <v>29</v>
      </c>
      <c r="G896" s="1" t="s">
        <v>53</v>
      </c>
      <c r="H896" s="1" t="s">
        <v>114</v>
      </c>
      <c r="I896" s="1" t="s">
        <v>115</v>
      </c>
      <c r="J896" s="1" t="s">
        <v>46</v>
      </c>
      <c r="K896" t="s">
        <v>34</v>
      </c>
      <c r="M896" s="1" t="s">
        <v>35</v>
      </c>
      <c r="N896" s="1">
        <v>42318949</v>
      </c>
      <c r="O896" s="1" t="s">
        <v>105</v>
      </c>
      <c r="P896" s="11" t="s">
        <v>1765</v>
      </c>
      <c r="R896" s="1" t="s">
        <v>38</v>
      </c>
      <c r="T896" s="1" t="s">
        <v>74</v>
      </c>
      <c r="U896" s="11" t="s">
        <v>1341</v>
      </c>
      <c r="V896" s="1" t="s">
        <v>41</v>
      </c>
      <c r="W896" s="1" t="s">
        <v>49</v>
      </c>
      <c r="X896" s="13" t="str">
        <f t="shared" si="83"/>
        <v/>
      </c>
      <c r="Y896" s="2">
        <f t="shared" ca="1" si="84"/>
        <v>39</v>
      </c>
      <c r="Z896" s="14"/>
      <c r="AA896" s="14"/>
    </row>
    <row r="897" spans="1:27" hidden="1">
      <c r="A897" s="1">
        <v>9301475</v>
      </c>
      <c r="B897" s="1" t="s">
        <v>101</v>
      </c>
      <c r="C897" t="s">
        <v>1761</v>
      </c>
      <c r="E897" s="2">
        <v>9406000206001</v>
      </c>
      <c r="F897" s="1" t="s">
        <v>29</v>
      </c>
      <c r="G897" s="1" t="s">
        <v>53</v>
      </c>
      <c r="H897" s="1" t="s">
        <v>114</v>
      </c>
      <c r="I897" s="1" t="s">
        <v>115</v>
      </c>
      <c r="J897" s="1" t="s">
        <v>46</v>
      </c>
      <c r="K897" t="s">
        <v>34</v>
      </c>
      <c r="M897" s="1" t="s">
        <v>35</v>
      </c>
      <c r="N897" s="1">
        <v>42318949</v>
      </c>
      <c r="O897" s="1" t="s">
        <v>105</v>
      </c>
      <c r="P897" s="11" t="s">
        <v>1766</v>
      </c>
      <c r="R897" s="1" t="s">
        <v>38</v>
      </c>
      <c r="T897" s="1" t="s">
        <v>74</v>
      </c>
      <c r="U897" s="11" t="s">
        <v>1341</v>
      </c>
      <c r="V897" s="1" t="s">
        <v>41</v>
      </c>
      <c r="W897" s="1" t="s">
        <v>49</v>
      </c>
      <c r="X897" s="13" t="str">
        <f t="shared" si="83"/>
        <v/>
      </c>
      <c r="Y897" s="2">
        <f t="shared" ca="1" si="84"/>
        <v>39</v>
      </c>
      <c r="Z897" s="14"/>
      <c r="AA897" s="14"/>
    </row>
    <row r="898" spans="1:27" hidden="1">
      <c r="A898" s="1">
        <v>9301474</v>
      </c>
      <c r="B898" s="1" t="s">
        <v>101</v>
      </c>
      <c r="C898" t="s">
        <v>1761</v>
      </c>
      <c r="E898" s="2">
        <v>9406000206001</v>
      </c>
      <c r="F898" s="1" t="s">
        <v>29</v>
      </c>
      <c r="G898" s="1" t="s">
        <v>53</v>
      </c>
      <c r="H898" s="1" t="s">
        <v>114</v>
      </c>
      <c r="I898" s="1" t="s">
        <v>115</v>
      </c>
      <c r="J898" s="1" t="s">
        <v>46</v>
      </c>
      <c r="K898" t="s">
        <v>34</v>
      </c>
      <c r="M898" s="1" t="s">
        <v>35</v>
      </c>
      <c r="N898" s="1">
        <v>42318949</v>
      </c>
      <c r="O898" s="1" t="s">
        <v>105</v>
      </c>
      <c r="P898" s="11" t="s">
        <v>1766</v>
      </c>
      <c r="R898" s="1" t="s">
        <v>38</v>
      </c>
      <c r="T898" s="1" t="s">
        <v>74</v>
      </c>
      <c r="U898" s="11" t="s">
        <v>1341</v>
      </c>
      <c r="V898" s="1" t="s">
        <v>41</v>
      </c>
      <c r="W898" s="1" t="s">
        <v>49</v>
      </c>
      <c r="X898" s="13" t="str">
        <f t="shared" si="83"/>
        <v/>
      </c>
      <c r="Y898" s="2">
        <f t="shared" ca="1" si="84"/>
        <v>39</v>
      </c>
      <c r="Z898" s="14"/>
      <c r="AA898" s="14"/>
    </row>
    <row r="899" spans="1:27" hidden="1">
      <c r="A899" s="1">
        <v>9301473</v>
      </c>
      <c r="B899" s="1" t="s">
        <v>101</v>
      </c>
      <c r="C899" t="s">
        <v>1761</v>
      </c>
      <c r="E899" s="2">
        <v>9406000206001</v>
      </c>
      <c r="F899" s="1" t="s">
        <v>29</v>
      </c>
      <c r="G899" s="1" t="s">
        <v>53</v>
      </c>
      <c r="H899" s="1" t="s">
        <v>114</v>
      </c>
      <c r="I899" s="1" t="s">
        <v>115</v>
      </c>
      <c r="J899" s="1" t="s">
        <v>46</v>
      </c>
      <c r="K899" t="s">
        <v>34</v>
      </c>
      <c r="M899" s="1" t="s">
        <v>35</v>
      </c>
      <c r="N899" s="1">
        <v>42318949</v>
      </c>
      <c r="O899" s="1" t="s">
        <v>105</v>
      </c>
      <c r="P899" s="11" t="s">
        <v>1766</v>
      </c>
      <c r="R899" s="1" t="s">
        <v>38</v>
      </c>
      <c r="T899" s="1" t="s">
        <v>74</v>
      </c>
      <c r="U899" s="11" t="s">
        <v>1341</v>
      </c>
      <c r="V899" s="1" t="s">
        <v>41</v>
      </c>
      <c r="W899" s="1" t="s">
        <v>49</v>
      </c>
      <c r="X899" s="13" t="str">
        <f t="shared" si="83"/>
        <v/>
      </c>
      <c r="Y899" s="2">
        <f t="shared" ca="1" si="84"/>
        <v>39</v>
      </c>
      <c r="Z899" s="14"/>
      <c r="AA899" s="14"/>
    </row>
    <row r="900" spans="1:27" hidden="1">
      <c r="A900" s="1">
        <v>9301472</v>
      </c>
      <c r="B900" s="1" t="s">
        <v>101</v>
      </c>
      <c r="C900" t="s">
        <v>1761</v>
      </c>
      <c r="E900" s="2">
        <v>9406000206001</v>
      </c>
      <c r="F900" s="1" t="s">
        <v>29</v>
      </c>
      <c r="G900" s="1" t="s">
        <v>53</v>
      </c>
      <c r="H900" s="1" t="s">
        <v>114</v>
      </c>
      <c r="I900" s="1" t="s">
        <v>115</v>
      </c>
      <c r="J900" s="1" t="s">
        <v>46</v>
      </c>
      <c r="K900" t="s">
        <v>34</v>
      </c>
      <c r="M900" s="1" t="s">
        <v>35</v>
      </c>
      <c r="N900" s="1">
        <v>42318949</v>
      </c>
      <c r="O900" s="1" t="s">
        <v>105</v>
      </c>
      <c r="P900" s="11" t="s">
        <v>1766</v>
      </c>
      <c r="R900" s="1" t="s">
        <v>38</v>
      </c>
      <c r="T900" s="1" t="s">
        <v>74</v>
      </c>
      <c r="U900" s="11" t="s">
        <v>1341</v>
      </c>
      <c r="V900" s="1" t="s">
        <v>41</v>
      </c>
      <c r="W900" s="1" t="s">
        <v>49</v>
      </c>
      <c r="X900" s="13" t="str">
        <f t="shared" si="83"/>
        <v/>
      </c>
      <c r="Y900" s="2">
        <f t="shared" ca="1" si="84"/>
        <v>39</v>
      </c>
      <c r="Z900" s="14"/>
      <c r="AA900" s="14"/>
    </row>
    <row r="901" spans="1:27" hidden="1">
      <c r="A901" s="1">
        <v>9301471</v>
      </c>
      <c r="B901" s="1" t="s">
        <v>101</v>
      </c>
      <c r="C901" t="s">
        <v>1761</v>
      </c>
      <c r="E901" s="2">
        <v>9406000206001</v>
      </c>
      <c r="F901" s="1" t="s">
        <v>29</v>
      </c>
      <c r="G901" s="1" t="s">
        <v>53</v>
      </c>
      <c r="H901" s="1" t="s">
        <v>114</v>
      </c>
      <c r="I901" s="1" t="s">
        <v>115</v>
      </c>
      <c r="J901" s="1" t="s">
        <v>46</v>
      </c>
      <c r="K901" t="s">
        <v>34</v>
      </c>
      <c r="M901" s="1" t="s">
        <v>35</v>
      </c>
      <c r="N901" s="1">
        <v>42318949</v>
      </c>
      <c r="O901" s="1" t="s">
        <v>105</v>
      </c>
      <c r="P901" s="11" t="s">
        <v>1766</v>
      </c>
      <c r="R901" s="1" t="s">
        <v>38</v>
      </c>
      <c r="T901" s="1" t="s">
        <v>74</v>
      </c>
      <c r="U901" s="186">
        <v>44932.75</v>
      </c>
      <c r="V901" s="1" t="s">
        <v>41</v>
      </c>
      <c r="W901" s="1" t="s">
        <v>49</v>
      </c>
      <c r="X901" s="13" t="str">
        <f t="shared" si="83"/>
        <v/>
      </c>
      <c r="Y901" s="2">
        <f t="shared" ca="1" si="84"/>
        <v>39</v>
      </c>
      <c r="Z901" s="14"/>
      <c r="AA901" s="14"/>
    </row>
    <row r="902" spans="1:27" hidden="1">
      <c r="A902" s="1">
        <v>9301080</v>
      </c>
      <c r="B902" s="1" t="s">
        <v>101</v>
      </c>
      <c r="C902" t="s">
        <v>1761</v>
      </c>
      <c r="E902" s="2">
        <v>4997000206001</v>
      </c>
      <c r="F902" s="1" t="s">
        <v>29</v>
      </c>
      <c r="G902" s="1" t="s">
        <v>53</v>
      </c>
      <c r="H902" s="1" t="s">
        <v>406</v>
      </c>
      <c r="I902" s="1" t="s">
        <v>407</v>
      </c>
      <c r="J902" s="1" t="s">
        <v>79</v>
      </c>
      <c r="K902" t="s">
        <v>34</v>
      </c>
      <c r="M902" s="1" t="s">
        <v>35</v>
      </c>
      <c r="N902" s="1">
        <v>42318949</v>
      </c>
      <c r="O902" s="1" t="s">
        <v>105</v>
      </c>
      <c r="P902" s="11" t="s">
        <v>1767</v>
      </c>
      <c r="R902" s="1" t="s">
        <v>38</v>
      </c>
      <c r="T902" s="1" t="s">
        <v>74</v>
      </c>
      <c r="U902" s="11" t="s">
        <v>1341</v>
      </c>
      <c r="V902" s="1" t="s">
        <v>41</v>
      </c>
      <c r="W902" s="1" t="s">
        <v>49</v>
      </c>
      <c r="X902" s="13" t="str">
        <f t="shared" si="83"/>
        <v/>
      </c>
      <c r="Y902" s="2">
        <f t="shared" ca="1" si="84"/>
        <v>39</v>
      </c>
      <c r="Z902" s="14"/>
      <c r="AA902" s="14"/>
    </row>
    <row r="903" spans="1:27" hidden="1">
      <c r="A903" s="1">
        <v>9301028</v>
      </c>
      <c r="B903" s="1" t="s">
        <v>101</v>
      </c>
      <c r="C903" t="s">
        <v>1761</v>
      </c>
      <c r="E903" s="2">
        <v>4637000206001</v>
      </c>
      <c r="F903" s="1" t="s">
        <v>29</v>
      </c>
      <c r="G903" s="1" t="s">
        <v>53</v>
      </c>
      <c r="H903" s="1" t="s">
        <v>848</v>
      </c>
      <c r="I903" s="1" t="s">
        <v>849</v>
      </c>
      <c r="J903" s="1" t="s">
        <v>79</v>
      </c>
      <c r="K903" t="s">
        <v>34</v>
      </c>
      <c r="M903" s="1" t="s">
        <v>35</v>
      </c>
      <c r="N903" s="1">
        <v>42318949</v>
      </c>
      <c r="O903" s="1" t="s">
        <v>105</v>
      </c>
      <c r="P903" s="11" t="s">
        <v>1768</v>
      </c>
      <c r="R903" s="1" t="s">
        <v>38</v>
      </c>
      <c r="T903" s="1" t="s">
        <v>74</v>
      </c>
      <c r="U903" s="186">
        <v>44932.75</v>
      </c>
      <c r="V903" s="1" t="s">
        <v>41</v>
      </c>
      <c r="W903" s="1" t="s">
        <v>49</v>
      </c>
      <c r="X903" s="13" t="str">
        <f t="shared" si="83"/>
        <v/>
      </c>
      <c r="Y903" s="2">
        <f t="shared" ca="1" si="84"/>
        <v>39</v>
      </c>
      <c r="Z903" s="14"/>
      <c r="AA903" s="14"/>
    </row>
    <row r="904" spans="1:27" hidden="1">
      <c r="A904" s="1">
        <v>9301024</v>
      </c>
      <c r="B904" s="1" t="s">
        <v>101</v>
      </c>
      <c r="C904" t="s">
        <v>1761</v>
      </c>
      <c r="E904" s="2">
        <v>4623000206001</v>
      </c>
      <c r="F904" s="1" t="s">
        <v>29</v>
      </c>
      <c r="G904" s="1" t="s">
        <v>53</v>
      </c>
      <c r="H904" s="1" t="s">
        <v>669</v>
      </c>
      <c r="I904" s="1" t="s">
        <v>670</v>
      </c>
      <c r="J904" s="1" t="s">
        <v>33</v>
      </c>
      <c r="K904" t="s">
        <v>34</v>
      </c>
      <c r="M904" s="1" t="s">
        <v>35</v>
      </c>
      <c r="N904" s="1">
        <v>42318949</v>
      </c>
      <c r="O904" s="1" t="s">
        <v>105</v>
      </c>
      <c r="P904" s="11" t="s">
        <v>1769</v>
      </c>
      <c r="R904" s="1" t="s">
        <v>38</v>
      </c>
      <c r="T904" s="1" t="s">
        <v>74</v>
      </c>
      <c r="U904" s="186">
        <v>44932.75</v>
      </c>
      <c r="V904" s="1" t="s">
        <v>41</v>
      </c>
      <c r="W904" s="1" t="s">
        <v>42</v>
      </c>
      <c r="X904" s="13" t="str">
        <f t="shared" si="83"/>
        <v/>
      </c>
      <c r="Y904" s="2">
        <f t="shared" ca="1" si="84"/>
        <v>39</v>
      </c>
      <c r="Z904" s="14"/>
      <c r="AA904" s="14"/>
    </row>
    <row r="905" spans="1:27" hidden="1">
      <c r="A905" s="1">
        <v>9301023</v>
      </c>
      <c r="B905" s="1" t="s">
        <v>101</v>
      </c>
      <c r="C905" t="s">
        <v>1761</v>
      </c>
      <c r="E905" s="2">
        <v>4623000206001</v>
      </c>
      <c r="F905" s="1" t="s">
        <v>29</v>
      </c>
      <c r="G905" s="1" t="s">
        <v>53</v>
      </c>
      <c r="H905" s="1" t="s">
        <v>669</v>
      </c>
      <c r="I905" s="1" t="s">
        <v>670</v>
      </c>
      <c r="J905" s="1" t="s">
        <v>33</v>
      </c>
      <c r="K905" t="s">
        <v>34</v>
      </c>
      <c r="M905" s="1" t="s">
        <v>35</v>
      </c>
      <c r="N905" s="1">
        <v>42318949</v>
      </c>
      <c r="O905" s="1" t="s">
        <v>105</v>
      </c>
      <c r="P905" s="11" t="s">
        <v>1769</v>
      </c>
      <c r="R905" s="1" t="s">
        <v>38</v>
      </c>
      <c r="T905" s="1" t="s">
        <v>74</v>
      </c>
      <c r="U905" s="186">
        <v>44932.75</v>
      </c>
      <c r="V905" s="1" t="s">
        <v>41</v>
      </c>
      <c r="W905" s="1" t="s">
        <v>42</v>
      </c>
      <c r="X905" s="13" t="str">
        <f t="shared" si="83"/>
        <v/>
      </c>
      <c r="Y905" s="2">
        <f t="shared" ca="1" si="84"/>
        <v>39</v>
      </c>
      <c r="Z905" s="14"/>
      <c r="AA905" s="14"/>
    </row>
    <row r="906" spans="1:27" hidden="1">
      <c r="A906" s="1">
        <v>9301022</v>
      </c>
      <c r="B906" s="1" t="s">
        <v>101</v>
      </c>
      <c r="C906" t="s">
        <v>1761</v>
      </c>
      <c r="E906" s="2">
        <v>4623000206001</v>
      </c>
      <c r="F906" s="1" t="s">
        <v>29</v>
      </c>
      <c r="G906" s="1" t="s">
        <v>53</v>
      </c>
      <c r="H906" s="1" t="s">
        <v>669</v>
      </c>
      <c r="I906" s="1" t="s">
        <v>670</v>
      </c>
      <c r="J906" s="1" t="s">
        <v>33</v>
      </c>
      <c r="K906" t="s">
        <v>34</v>
      </c>
      <c r="M906" s="1" t="s">
        <v>35</v>
      </c>
      <c r="N906" s="1">
        <v>42318949</v>
      </c>
      <c r="O906" s="1" t="s">
        <v>105</v>
      </c>
      <c r="P906" s="11" t="s">
        <v>1769</v>
      </c>
      <c r="R906" s="1" t="s">
        <v>38</v>
      </c>
      <c r="T906" s="1" t="s">
        <v>74</v>
      </c>
      <c r="U906" s="11" t="s">
        <v>1341</v>
      </c>
      <c r="V906" s="1" t="s">
        <v>41</v>
      </c>
      <c r="W906" s="1" t="s">
        <v>42</v>
      </c>
      <c r="X906" s="13" t="str">
        <f t="shared" si="83"/>
        <v/>
      </c>
      <c r="Y906" s="2">
        <f t="shared" ca="1" si="84"/>
        <v>39</v>
      </c>
      <c r="Z906" s="14"/>
      <c r="AA906" s="14"/>
    </row>
    <row r="907" spans="1:27" hidden="1">
      <c r="A907" s="1">
        <v>9300867</v>
      </c>
      <c r="B907" s="1" t="s">
        <v>101</v>
      </c>
      <c r="C907" t="s">
        <v>1761</v>
      </c>
      <c r="E907" s="2">
        <v>4012000206001</v>
      </c>
      <c r="F907" s="1" t="s">
        <v>29</v>
      </c>
      <c r="G907" s="1" t="s">
        <v>53</v>
      </c>
      <c r="H907" s="1" t="s">
        <v>349</v>
      </c>
      <c r="I907" s="1" t="s">
        <v>350</v>
      </c>
      <c r="J907" s="1" t="s">
        <v>261</v>
      </c>
      <c r="K907" t="s">
        <v>34</v>
      </c>
      <c r="M907" s="1" t="s">
        <v>35</v>
      </c>
      <c r="N907" s="1">
        <v>42318949</v>
      </c>
      <c r="O907" s="1" t="s">
        <v>105</v>
      </c>
      <c r="P907" s="11" t="s">
        <v>3031</v>
      </c>
      <c r="R907" s="1" t="s">
        <v>38</v>
      </c>
      <c r="T907" s="1" t="s">
        <v>74</v>
      </c>
      <c r="U907" s="11" t="s">
        <v>1341</v>
      </c>
      <c r="V907" s="1" t="s">
        <v>41</v>
      </c>
      <c r="W907" s="1" t="s">
        <v>49</v>
      </c>
      <c r="X907" s="13" t="str">
        <f t="shared" si="83"/>
        <v/>
      </c>
      <c r="Y907" s="2">
        <f t="shared" ca="1" si="84"/>
        <v>39</v>
      </c>
      <c r="Z907" s="14"/>
      <c r="AA907" s="14"/>
    </row>
    <row r="908" spans="1:27" hidden="1">
      <c r="A908" s="1">
        <v>9300825</v>
      </c>
      <c r="B908" s="1" t="s">
        <v>101</v>
      </c>
      <c r="C908" t="s">
        <v>1761</v>
      </c>
      <c r="E908" s="2">
        <v>3924000206001</v>
      </c>
      <c r="F908" s="1" t="s">
        <v>29</v>
      </c>
      <c r="G908" s="1" t="s">
        <v>53</v>
      </c>
      <c r="H908" s="1" t="s">
        <v>153</v>
      </c>
      <c r="I908" s="1" t="s">
        <v>154</v>
      </c>
      <c r="J908" s="1" t="s">
        <v>56</v>
      </c>
      <c r="K908" t="s">
        <v>34</v>
      </c>
      <c r="M908" s="1" t="s">
        <v>35</v>
      </c>
      <c r="N908" s="1">
        <v>42318949</v>
      </c>
      <c r="O908" s="1" t="s">
        <v>105</v>
      </c>
      <c r="P908" s="11" t="s">
        <v>1770</v>
      </c>
      <c r="R908" s="1" t="s">
        <v>38</v>
      </c>
      <c r="T908" s="1" t="s">
        <v>74</v>
      </c>
      <c r="U908" s="11" t="s">
        <v>1341</v>
      </c>
      <c r="V908" s="1" t="s">
        <v>41</v>
      </c>
      <c r="W908" s="1" t="s">
        <v>49</v>
      </c>
      <c r="X908" s="13" t="str">
        <f t="shared" si="83"/>
        <v/>
      </c>
      <c r="Y908" s="2">
        <f t="shared" ca="1" si="84"/>
        <v>39</v>
      </c>
      <c r="Z908" s="14"/>
      <c r="AA908" s="14"/>
    </row>
    <row r="909" spans="1:27" hidden="1">
      <c r="A909" s="1">
        <v>9300610</v>
      </c>
      <c r="B909" s="1" t="s">
        <v>101</v>
      </c>
      <c r="C909" t="s">
        <v>1761</v>
      </c>
      <c r="E909" s="2">
        <v>3258000206001</v>
      </c>
      <c r="F909" s="1" t="s">
        <v>29</v>
      </c>
      <c r="G909" s="1" t="s">
        <v>53</v>
      </c>
      <c r="H909" s="1" t="s">
        <v>321</v>
      </c>
      <c r="I909" s="1" t="s">
        <v>322</v>
      </c>
      <c r="J909" s="1" t="s">
        <v>46</v>
      </c>
      <c r="K909" t="s">
        <v>34</v>
      </c>
      <c r="M909" s="1" t="s">
        <v>35</v>
      </c>
      <c r="N909" s="1">
        <v>42318949</v>
      </c>
      <c r="O909" s="1" t="s">
        <v>105</v>
      </c>
      <c r="P909" s="11" t="s">
        <v>1771</v>
      </c>
      <c r="R909" s="1" t="s">
        <v>38</v>
      </c>
      <c r="T909" s="1" t="s">
        <v>74</v>
      </c>
      <c r="U909" s="11" t="s">
        <v>1341</v>
      </c>
      <c r="V909" s="1" t="s">
        <v>41</v>
      </c>
      <c r="W909" s="1" t="s">
        <v>49</v>
      </c>
      <c r="X909" s="13" t="str">
        <f t="shared" si="83"/>
        <v/>
      </c>
      <c r="Y909" s="2">
        <f t="shared" ca="1" si="84"/>
        <v>39</v>
      </c>
      <c r="Z909" s="14"/>
      <c r="AA909" s="14"/>
    </row>
    <row r="910" spans="1:27" hidden="1">
      <c r="A910" s="1">
        <v>9300609</v>
      </c>
      <c r="B910" s="1" t="s">
        <v>101</v>
      </c>
      <c r="C910" t="s">
        <v>1761</v>
      </c>
      <c r="E910" s="2">
        <v>3258000206001</v>
      </c>
      <c r="F910" s="1" t="s">
        <v>29</v>
      </c>
      <c r="G910" s="1" t="s">
        <v>53</v>
      </c>
      <c r="H910" s="1" t="s">
        <v>321</v>
      </c>
      <c r="I910" s="1" t="s">
        <v>322</v>
      </c>
      <c r="J910" s="1" t="s">
        <v>46</v>
      </c>
      <c r="K910" t="s">
        <v>34</v>
      </c>
      <c r="M910" s="1" t="s">
        <v>35</v>
      </c>
      <c r="N910" s="1">
        <v>42318949</v>
      </c>
      <c r="O910" s="1" t="s">
        <v>105</v>
      </c>
      <c r="P910" s="11" t="s">
        <v>1771</v>
      </c>
      <c r="R910" s="1" t="s">
        <v>38</v>
      </c>
      <c r="T910" s="1" t="s">
        <v>74</v>
      </c>
      <c r="U910" s="11" t="s">
        <v>1341</v>
      </c>
      <c r="V910" s="1" t="s">
        <v>41</v>
      </c>
      <c r="W910" s="1" t="s">
        <v>49</v>
      </c>
      <c r="X910" s="13" t="str">
        <f t="shared" si="83"/>
        <v/>
      </c>
      <c r="Y910" s="2">
        <f t="shared" ca="1" si="84"/>
        <v>39</v>
      </c>
      <c r="Z910" s="14"/>
      <c r="AA910" s="14"/>
    </row>
    <row r="911" spans="1:27" hidden="1">
      <c r="A911" s="1">
        <v>9300380</v>
      </c>
      <c r="B911" s="1" t="s">
        <v>101</v>
      </c>
      <c r="C911" t="s">
        <v>1761</v>
      </c>
      <c r="E911" s="2">
        <v>2739000206001</v>
      </c>
      <c r="F911" s="1" t="s">
        <v>29</v>
      </c>
      <c r="G911" s="1" t="s">
        <v>53</v>
      </c>
      <c r="H911" s="1" t="s">
        <v>359</v>
      </c>
      <c r="I911" s="1" t="s">
        <v>360</v>
      </c>
      <c r="J911" s="1" t="s">
        <v>85</v>
      </c>
      <c r="K911" t="s">
        <v>34</v>
      </c>
      <c r="M911" s="1" t="s">
        <v>35</v>
      </c>
      <c r="N911" s="1">
        <v>42318949</v>
      </c>
      <c r="O911" s="1" t="s">
        <v>36</v>
      </c>
      <c r="P911" s="11" t="s">
        <v>1775</v>
      </c>
      <c r="R911" s="1" t="s">
        <v>38</v>
      </c>
      <c r="T911" s="1" t="s">
        <v>74</v>
      </c>
      <c r="U911" s="11" t="s">
        <v>1341</v>
      </c>
      <c r="V911" s="1" t="s">
        <v>41</v>
      </c>
      <c r="W911" s="1" t="s">
        <v>49</v>
      </c>
      <c r="X911" s="13" t="str">
        <f t="shared" si="83"/>
        <v/>
      </c>
      <c r="Y911" s="2">
        <f t="shared" ca="1" si="84"/>
        <v>39</v>
      </c>
      <c r="Z911" s="14"/>
      <c r="AA911" s="14"/>
    </row>
    <row r="912" spans="1:27" hidden="1">
      <c r="A912" s="1">
        <v>9300311</v>
      </c>
      <c r="B912" s="1" t="s">
        <v>101</v>
      </c>
      <c r="C912" t="s">
        <v>1761</v>
      </c>
      <c r="E912" s="2">
        <v>2625000206001</v>
      </c>
      <c r="F912" s="1" t="s">
        <v>29</v>
      </c>
      <c r="G912" s="1" t="s">
        <v>53</v>
      </c>
      <c r="H912" s="1" t="s">
        <v>317</v>
      </c>
      <c r="I912" s="1" t="s">
        <v>318</v>
      </c>
      <c r="J912" s="1" t="s">
        <v>164</v>
      </c>
      <c r="K912" t="s">
        <v>34</v>
      </c>
      <c r="M912" s="1" t="s">
        <v>35</v>
      </c>
      <c r="N912" s="1">
        <v>42318949</v>
      </c>
      <c r="O912" s="1" t="s">
        <v>105</v>
      </c>
      <c r="P912" s="11" t="s">
        <v>1776</v>
      </c>
      <c r="R912" s="1" t="s">
        <v>38</v>
      </c>
      <c r="T912" s="1" t="s">
        <v>74</v>
      </c>
      <c r="U912" s="186">
        <v>44932.75</v>
      </c>
      <c r="V912" s="1" t="s">
        <v>41</v>
      </c>
      <c r="W912" s="1" t="s">
        <v>49</v>
      </c>
      <c r="X912" s="13" t="str">
        <f t="shared" si="83"/>
        <v/>
      </c>
      <c r="Y912" s="2">
        <f t="shared" ca="1" si="84"/>
        <v>39</v>
      </c>
      <c r="Z912" s="14"/>
      <c r="AA912" s="14"/>
    </row>
    <row r="913" spans="1:27" hidden="1">
      <c r="A913" s="1">
        <v>9300300</v>
      </c>
      <c r="B913" s="1" t="s">
        <v>101</v>
      </c>
      <c r="C913" t="s">
        <v>1761</v>
      </c>
      <c r="E913" s="2">
        <v>2590000206001</v>
      </c>
      <c r="F913" s="1" t="s">
        <v>29</v>
      </c>
      <c r="G913" s="1" t="s">
        <v>53</v>
      </c>
      <c r="H913" s="1" t="s">
        <v>394</v>
      </c>
      <c r="I913" s="1" t="s">
        <v>395</v>
      </c>
      <c r="J913" s="1" t="s">
        <v>148</v>
      </c>
      <c r="K913" t="s">
        <v>34</v>
      </c>
      <c r="M913" s="1" t="s">
        <v>35</v>
      </c>
      <c r="N913" s="1">
        <v>42318949</v>
      </c>
      <c r="O913" s="1" t="s">
        <v>105</v>
      </c>
      <c r="P913" s="186">
        <v>44932.478726851848</v>
      </c>
      <c r="R913" s="1" t="s">
        <v>38</v>
      </c>
      <c r="T913" s="1" t="s">
        <v>74</v>
      </c>
      <c r="U913" s="186">
        <v>44932.75</v>
      </c>
      <c r="V913" s="1" t="s">
        <v>41</v>
      </c>
      <c r="W913" s="1" t="s">
        <v>49</v>
      </c>
      <c r="X913" s="13" t="str">
        <f t="shared" si="83"/>
        <v/>
      </c>
      <c r="Y913" s="2">
        <f t="shared" ca="1" si="84"/>
        <v>39</v>
      </c>
      <c r="Z913" s="14"/>
      <c r="AA913" s="14"/>
    </row>
    <row r="914" spans="1:27" hidden="1">
      <c r="A914" s="1">
        <v>9300280</v>
      </c>
      <c r="B914" s="1" t="s">
        <v>101</v>
      </c>
      <c r="C914" t="s">
        <v>1761</v>
      </c>
      <c r="E914" s="2">
        <v>2529000206001</v>
      </c>
      <c r="F914" s="1" t="s">
        <v>29</v>
      </c>
      <c r="G914" s="1" t="s">
        <v>53</v>
      </c>
      <c r="H914" s="1" t="s">
        <v>355</v>
      </c>
      <c r="I914" s="1" t="s">
        <v>356</v>
      </c>
      <c r="J914" s="1" t="s">
        <v>56</v>
      </c>
      <c r="K914" t="s">
        <v>34</v>
      </c>
      <c r="M914" s="1" t="s">
        <v>35</v>
      </c>
      <c r="N914" s="1">
        <v>42318949</v>
      </c>
      <c r="O914" s="1" t="s">
        <v>105</v>
      </c>
      <c r="P914" s="186">
        <v>44932.478703703702</v>
      </c>
      <c r="R914" s="1" t="s">
        <v>38</v>
      </c>
      <c r="T914" s="1" t="s">
        <v>74</v>
      </c>
      <c r="U914" s="186">
        <v>44932.75</v>
      </c>
      <c r="V914" s="1" t="s">
        <v>41</v>
      </c>
      <c r="W914" s="1" t="s">
        <v>49</v>
      </c>
      <c r="X914" s="13" t="str">
        <f t="shared" si="83"/>
        <v/>
      </c>
      <c r="Y914" s="2">
        <f t="shared" ca="1" si="84"/>
        <v>39</v>
      </c>
      <c r="Z914" s="14"/>
      <c r="AA914" s="14"/>
    </row>
    <row r="915" spans="1:27" hidden="1">
      <c r="A915" s="1">
        <v>9300272</v>
      </c>
      <c r="B915" s="1" t="s">
        <v>101</v>
      </c>
      <c r="C915" t="s">
        <v>1761</v>
      </c>
      <c r="E915" s="2">
        <v>2473000206001</v>
      </c>
      <c r="F915" s="1" t="s">
        <v>29</v>
      </c>
      <c r="G915" s="1" t="s">
        <v>53</v>
      </c>
      <c r="H915" s="1" t="s">
        <v>1459</v>
      </c>
      <c r="I915" s="1" t="s">
        <v>1460</v>
      </c>
      <c r="J915" s="1" t="s">
        <v>261</v>
      </c>
      <c r="K915" t="s">
        <v>34</v>
      </c>
      <c r="M915" s="1" t="s">
        <v>35</v>
      </c>
      <c r="N915" s="1">
        <v>42318949</v>
      </c>
      <c r="O915" s="1" t="s">
        <v>105</v>
      </c>
      <c r="P915" s="186">
        <v>44932.478692129633</v>
      </c>
      <c r="R915" s="1" t="s">
        <v>38</v>
      </c>
      <c r="T915" s="1" t="s">
        <v>74</v>
      </c>
      <c r="U915" s="186">
        <v>44932.75</v>
      </c>
      <c r="V915" s="1" t="s">
        <v>41</v>
      </c>
      <c r="W915" s="1" t="s">
        <v>49</v>
      </c>
      <c r="X915" s="13" t="str">
        <f t="shared" si="83"/>
        <v/>
      </c>
      <c r="Y915" s="2">
        <f t="shared" ca="1" si="84"/>
        <v>39</v>
      </c>
      <c r="Z915" s="14"/>
      <c r="AA915" s="14"/>
    </row>
    <row r="916" spans="1:27" hidden="1">
      <c r="A916" s="1">
        <v>9300254</v>
      </c>
      <c r="B916" s="1" t="s">
        <v>101</v>
      </c>
      <c r="C916" t="s">
        <v>1761</v>
      </c>
      <c r="E916" s="2">
        <v>2437000206001</v>
      </c>
      <c r="F916" s="1" t="s">
        <v>29</v>
      </c>
      <c r="G916" s="1" t="s">
        <v>53</v>
      </c>
      <c r="H916" s="1" t="s">
        <v>416</v>
      </c>
      <c r="I916" s="1" t="s">
        <v>417</v>
      </c>
      <c r="J916" s="1" t="s">
        <v>211</v>
      </c>
      <c r="K916" t="s">
        <v>34</v>
      </c>
      <c r="M916" s="1" t="s">
        <v>35</v>
      </c>
      <c r="N916" s="1">
        <v>42318949</v>
      </c>
      <c r="O916" s="1" t="s">
        <v>105</v>
      </c>
      <c r="P916" s="186">
        <v>44932.478668981479</v>
      </c>
      <c r="R916" s="1" t="s">
        <v>38</v>
      </c>
      <c r="T916" s="1" t="s">
        <v>74</v>
      </c>
      <c r="U916" s="186">
        <v>44932.75</v>
      </c>
      <c r="V916" s="1" t="s">
        <v>41</v>
      </c>
      <c r="W916" s="1" t="s">
        <v>49</v>
      </c>
      <c r="X916" s="13" t="str">
        <f t="shared" si="83"/>
        <v/>
      </c>
      <c r="Y916" s="2">
        <f t="shared" ca="1" si="84"/>
        <v>39</v>
      </c>
      <c r="Z916" s="14"/>
      <c r="AA916" s="14"/>
    </row>
    <row r="917" spans="1:27" hidden="1">
      <c r="A917" s="1">
        <v>9300253</v>
      </c>
      <c r="B917" s="1" t="s">
        <v>101</v>
      </c>
      <c r="C917" t="s">
        <v>1761</v>
      </c>
      <c r="E917" s="2">
        <v>2437000206001</v>
      </c>
      <c r="F917" s="1" t="s">
        <v>29</v>
      </c>
      <c r="G917" s="1" t="s">
        <v>53</v>
      </c>
      <c r="H917" s="1" t="s">
        <v>416</v>
      </c>
      <c r="I917" s="1" t="s">
        <v>417</v>
      </c>
      <c r="J917" s="1" t="s">
        <v>211</v>
      </c>
      <c r="K917" t="s">
        <v>34</v>
      </c>
      <c r="M917" s="1" t="s">
        <v>35</v>
      </c>
      <c r="N917" s="1">
        <v>42318949</v>
      </c>
      <c r="O917" s="1" t="s">
        <v>105</v>
      </c>
      <c r="P917" s="186">
        <v>44932.478668981479</v>
      </c>
      <c r="R917" s="1" t="s">
        <v>38</v>
      </c>
      <c r="T917" s="1" t="s">
        <v>74</v>
      </c>
      <c r="U917" s="186">
        <v>44932.75</v>
      </c>
      <c r="V917" s="1" t="s">
        <v>41</v>
      </c>
      <c r="W917" s="1" t="s">
        <v>49</v>
      </c>
      <c r="X917" s="13" t="str">
        <f t="shared" si="83"/>
        <v/>
      </c>
      <c r="Y917" s="2">
        <f t="shared" ca="1" si="84"/>
        <v>39</v>
      </c>
      <c r="Z917" s="14"/>
      <c r="AA917" s="14"/>
    </row>
    <row r="918" spans="1:27" hidden="1">
      <c r="A918" s="1">
        <v>9300252</v>
      </c>
      <c r="B918" s="1" t="s">
        <v>101</v>
      </c>
      <c r="C918" t="s">
        <v>1761</v>
      </c>
      <c r="E918" s="2">
        <v>2437000206001</v>
      </c>
      <c r="F918" s="1" t="s">
        <v>29</v>
      </c>
      <c r="G918" s="1" t="s">
        <v>53</v>
      </c>
      <c r="H918" s="1" t="s">
        <v>416</v>
      </c>
      <c r="I918" s="1" t="s">
        <v>417</v>
      </c>
      <c r="J918" s="1" t="s">
        <v>211</v>
      </c>
      <c r="K918" t="s">
        <v>34</v>
      </c>
      <c r="M918" s="1" t="s">
        <v>35</v>
      </c>
      <c r="N918" s="1">
        <v>42318949</v>
      </c>
      <c r="O918" s="1" t="s">
        <v>105</v>
      </c>
      <c r="P918" s="186">
        <v>44932.478668981479</v>
      </c>
      <c r="R918" s="1" t="s">
        <v>38</v>
      </c>
      <c r="T918" s="1" t="s">
        <v>74</v>
      </c>
      <c r="U918" s="186">
        <v>44932.75</v>
      </c>
      <c r="V918" s="1" t="s">
        <v>41</v>
      </c>
      <c r="W918" s="1" t="s">
        <v>49</v>
      </c>
      <c r="X918" s="13" t="str">
        <f t="shared" si="83"/>
        <v/>
      </c>
      <c r="Y918" s="2">
        <f t="shared" ca="1" si="84"/>
        <v>39</v>
      </c>
      <c r="Z918" s="14"/>
      <c r="AA918" s="14"/>
    </row>
    <row r="919" spans="1:27" hidden="1">
      <c r="A919" s="1">
        <v>9300229</v>
      </c>
      <c r="B919" s="1" t="s">
        <v>101</v>
      </c>
      <c r="C919" t="s">
        <v>1761</v>
      </c>
      <c r="E919" s="2">
        <v>2388000206001</v>
      </c>
      <c r="F919" s="1" t="s">
        <v>29</v>
      </c>
      <c r="G919" s="1" t="s">
        <v>53</v>
      </c>
      <c r="H919" s="1" t="s">
        <v>299</v>
      </c>
      <c r="I919" s="1" t="s">
        <v>300</v>
      </c>
      <c r="J919" s="1" t="s">
        <v>79</v>
      </c>
      <c r="K919" t="s">
        <v>34</v>
      </c>
      <c r="M919" s="1" t="s">
        <v>35</v>
      </c>
      <c r="N919" s="1">
        <v>42318949</v>
      </c>
      <c r="O919" s="1" t="s">
        <v>105</v>
      </c>
      <c r="P919" s="186">
        <v>44932.478634259256</v>
      </c>
      <c r="R919" s="1" t="s">
        <v>38</v>
      </c>
      <c r="T919" s="1" t="s">
        <v>74</v>
      </c>
      <c r="U919" s="186">
        <v>44932.75</v>
      </c>
      <c r="V919" s="1" t="s">
        <v>41</v>
      </c>
      <c r="W919" s="1" t="s">
        <v>49</v>
      </c>
      <c r="X919" s="13" t="str">
        <f t="shared" si="83"/>
        <v/>
      </c>
      <c r="Y919" s="2">
        <f t="shared" ca="1" si="84"/>
        <v>39</v>
      </c>
      <c r="Z919" s="14"/>
      <c r="AA919" s="14"/>
    </row>
    <row r="920" spans="1:27" hidden="1">
      <c r="A920" s="1">
        <v>9300228</v>
      </c>
      <c r="B920" s="1" t="s">
        <v>101</v>
      </c>
      <c r="C920" t="s">
        <v>1761</v>
      </c>
      <c r="E920" s="2">
        <v>2388000206001</v>
      </c>
      <c r="F920" s="1" t="s">
        <v>29</v>
      </c>
      <c r="G920" s="1" t="s">
        <v>53</v>
      </c>
      <c r="H920" s="1" t="s">
        <v>299</v>
      </c>
      <c r="I920" s="1" t="s">
        <v>300</v>
      </c>
      <c r="J920" s="1" t="s">
        <v>79</v>
      </c>
      <c r="K920" t="s">
        <v>34</v>
      </c>
      <c r="M920" s="1" t="s">
        <v>35</v>
      </c>
      <c r="N920" s="1">
        <v>42318949</v>
      </c>
      <c r="O920" s="1" t="s">
        <v>105</v>
      </c>
      <c r="P920" s="186">
        <v>44932.478634259256</v>
      </c>
      <c r="R920" s="1" t="s">
        <v>38</v>
      </c>
      <c r="T920" s="1" t="s">
        <v>74</v>
      </c>
      <c r="U920" s="186">
        <v>44932.75</v>
      </c>
      <c r="V920" s="1" t="s">
        <v>41</v>
      </c>
      <c r="W920" s="1" t="s">
        <v>49</v>
      </c>
      <c r="X920" s="13" t="str">
        <f t="shared" si="83"/>
        <v/>
      </c>
      <c r="Y920" s="2">
        <f t="shared" ca="1" si="84"/>
        <v>39</v>
      </c>
      <c r="Z920" s="14"/>
      <c r="AA920" s="14"/>
    </row>
    <row r="921" spans="1:27" hidden="1">
      <c r="A921" s="1">
        <v>9300194</v>
      </c>
      <c r="B921" s="1" t="s">
        <v>101</v>
      </c>
      <c r="C921" t="s">
        <v>1761</v>
      </c>
      <c r="E921" s="2">
        <v>2326000206001</v>
      </c>
      <c r="F921" s="1" t="s">
        <v>29</v>
      </c>
      <c r="G921" s="1" t="s">
        <v>53</v>
      </c>
      <c r="H921" s="1" t="s">
        <v>191</v>
      </c>
      <c r="I921" s="1" t="s">
        <v>192</v>
      </c>
      <c r="J921" s="1" t="s">
        <v>46</v>
      </c>
      <c r="K921" t="s">
        <v>34</v>
      </c>
      <c r="M921" s="1" t="s">
        <v>35</v>
      </c>
      <c r="N921" s="1">
        <v>42318949</v>
      </c>
      <c r="O921" s="1" t="s">
        <v>105</v>
      </c>
      <c r="P921" s="186">
        <v>44932.478587962964</v>
      </c>
      <c r="R921" s="1" t="s">
        <v>38</v>
      </c>
      <c r="T921" s="1" t="s">
        <v>74</v>
      </c>
      <c r="U921" s="186">
        <v>44932.75</v>
      </c>
      <c r="V921" s="1" t="s">
        <v>41</v>
      </c>
      <c r="W921" s="1" t="s">
        <v>49</v>
      </c>
      <c r="X921" s="13" t="str">
        <f t="shared" si="83"/>
        <v/>
      </c>
      <c r="Y921" s="2">
        <f t="shared" ca="1" si="84"/>
        <v>39</v>
      </c>
      <c r="Z921" s="14"/>
      <c r="AA921" s="14"/>
    </row>
    <row r="922" spans="1:27" hidden="1">
      <c r="A922" s="1">
        <v>9300193</v>
      </c>
      <c r="B922" s="1" t="s">
        <v>101</v>
      </c>
      <c r="C922" t="s">
        <v>1761</v>
      </c>
      <c r="E922" s="2">
        <v>2326000206001</v>
      </c>
      <c r="F922" s="1" t="s">
        <v>29</v>
      </c>
      <c r="G922" s="1" t="s">
        <v>53</v>
      </c>
      <c r="H922" s="1" t="s">
        <v>191</v>
      </c>
      <c r="I922" s="1" t="s">
        <v>192</v>
      </c>
      <c r="J922" s="1" t="s">
        <v>46</v>
      </c>
      <c r="K922" t="s">
        <v>34</v>
      </c>
      <c r="M922" s="1" t="s">
        <v>35</v>
      </c>
      <c r="N922" s="1">
        <v>42318949</v>
      </c>
      <c r="O922" s="1" t="s">
        <v>105</v>
      </c>
      <c r="P922" s="186">
        <v>44932.478587962964</v>
      </c>
      <c r="R922" s="1" t="s">
        <v>38</v>
      </c>
      <c r="T922" s="1" t="s">
        <v>74</v>
      </c>
      <c r="U922" s="186">
        <v>44932.75</v>
      </c>
      <c r="V922" s="1" t="s">
        <v>41</v>
      </c>
      <c r="W922" s="1" t="s">
        <v>49</v>
      </c>
      <c r="X922" s="13" t="str">
        <f t="shared" si="83"/>
        <v/>
      </c>
      <c r="Y922" s="2">
        <f t="shared" ca="1" si="84"/>
        <v>39</v>
      </c>
      <c r="Z922" s="14"/>
      <c r="AA922" s="14"/>
    </row>
    <row r="923" spans="1:27" hidden="1">
      <c r="A923" s="1">
        <v>9300192</v>
      </c>
      <c r="B923" s="1" t="s">
        <v>101</v>
      </c>
      <c r="C923" t="s">
        <v>1761</v>
      </c>
      <c r="E923" s="2">
        <v>2326000206001</v>
      </c>
      <c r="F923" s="1" t="s">
        <v>29</v>
      </c>
      <c r="G923" s="1" t="s">
        <v>53</v>
      </c>
      <c r="H923" s="1" t="s">
        <v>191</v>
      </c>
      <c r="I923" s="1" t="s">
        <v>192</v>
      </c>
      <c r="J923" s="1" t="s">
        <v>46</v>
      </c>
      <c r="K923" t="s">
        <v>34</v>
      </c>
      <c r="M923" s="1" t="s">
        <v>35</v>
      </c>
      <c r="N923" s="1">
        <v>42318949</v>
      </c>
      <c r="O923" s="1" t="s">
        <v>105</v>
      </c>
      <c r="P923" s="186">
        <v>44932.478587962964</v>
      </c>
      <c r="R923" s="1" t="s">
        <v>38</v>
      </c>
      <c r="T923" s="1" t="s">
        <v>74</v>
      </c>
      <c r="U923" s="186">
        <v>44932.75</v>
      </c>
      <c r="V923" s="1" t="s">
        <v>41</v>
      </c>
      <c r="W923" s="1" t="s">
        <v>49</v>
      </c>
      <c r="X923" s="13" t="str">
        <f t="shared" si="83"/>
        <v/>
      </c>
      <c r="Y923" s="2">
        <f t="shared" ca="1" si="84"/>
        <v>39</v>
      </c>
      <c r="Z923" s="14"/>
      <c r="AA923" s="14"/>
    </row>
    <row r="924" spans="1:27" hidden="1">
      <c r="A924" s="1">
        <v>9300118</v>
      </c>
      <c r="B924" s="1" t="s">
        <v>101</v>
      </c>
      <c r="C924" t="s">
        <v>1761</v>
      </c>
      <c r="E924" s="2">
        <v>2219000206001</v>
      </c>
      <c r="F924" s="1" t="s">
        <v>29</v>
      </c>
      <c r="G924" s="1" t="s">
        <v>53</v>
      </c>
      <c r="H924" s="1" t="s">
        <v>893</v>
      </c>
      <c r="I924" s="1" t="s">
        <v>894</v>
      </c>
      <c r="J924" s="1" t="s">
        <v>141</v>
      </c>
      <c r="K924" t="s">
        <v>34</v>
      </c>
      <c r="M924" s="1" t="s">
        <v>35</v>
      </c>
      <c r="N924" s="1">
        <v>42318949</v>
      </c>
      <c r="O924" s="1" t="s">
        <v>105</v>
      </c>
      <c r="P924" s="186">
        <v>44932.478495370371</v>
      </c>
      <c r="R924" s="1" t="s">
        <v>38</v>
      </c>
      <c r="T924" s="1" t="s">
        <v>74</v>
      </c>
      <c r="U924" s="186">
        <v>44932.75</v>
      </c>
      <c r="V924" s="1" t="s">
        <v>41</v>
      </c>
      <c r="W924" s="1" t="s">
        <v>49</v>
      </c>
      <c r="X924" s="13" t="str">
        <f t="shared" si="83"/>
        <v/>
      </c>
      <c r="Y924" s="2">
        <f t="shared" ca="1" si="84"/>
        <v>39</v>
      </c>
      <c r="Z924" s="14"/>
      <c r="AA924" s="14"/>
    </row>
    <row r="925" spans="1:27" hidden="1">
      <c r="A925" s="1">
        <v>9300088</v>
      </c>
      <c r="B925" s="1" t="s">
        <v>101</v>
      </c>
      <c r="C925" t="s">
        <v>1761</v>
      </c>
      <c r="E925" s="2">
        <v>2170000206001</v>
      </c>
      <c r="F925" s="1" t="s">
        <v>29</v>
      </c>
      <c r="G925" s="1" t="s">
        <v>53</v>
      </c>
      <c r="H925" s="1" t="s">
        <v>477</v>
      </c>
      <c r="I925" s="1" t="s">
        <v>478</v>
      </c>
      <c r="J925" s="1" t="s">
        <v>148</v>
      </c>
      <c r="K925" t="s">
        <v>34</v>
      </c>
      <c r="M925" s="1" t="s">
        <v>35</v>
      </c>
      <c r="N925" s="1">
        <v>42318949</v>
      </c>
      <c r="O925" s="1" t="s">
        <v>105</v>
      </c>
      <c r="P925" s="186">
        <v>44932.478449074071</v>
      </c>
      <c r="R925" s="1" t="s">
        <v>38</v>
      </c>
      <c r="T925" s="1" t="s">
        <v>74</v>
      </c>
      <c r="U925" s="186">
        <v>44932.75</v>
      </c>
      <c r="V925" s="1" t="s">
        <v>41</v>
      </c>
      <c r="W925" s="1" t="s">
        <v>49</v>
      </c>
      <c r="X925" s="13" t="str">
        <f t="shared" si="83"/>
        <v/>
      </c>
      <c r="Y925" s="2">
        <f t="shared" ca="1" si="84"/>
        <v>39</v>
      </c>
      <c r="Z925" s="14"/>
      <c r="AA925" s="14"/>
    </row>
    <row r="926" spans="1:27" hidden="1">
      <c r="A926" s="1">
        <v>9300087</v>
      </c>
      <c r="B926" s="1" t="s">
        <v>101</v>
      </c>
      <c r="C926" t="s">
        <v>1761</v>
      </c>
      <c r="E926" s="2">
        <v>2170000206001</v>
      </c>
      <c r="F926" s="1" t="s">
        <v>29</v>
      </c>
      <c r="G926" s="1" t="s">
        <v>53</v>
      </c>
      <c r="H926" s="1" t="s">
        <v>477</v>
      </c>
      <c r="I926" s="1" t="s">
        <v>478</v>
      </c>
      <c r="J926" s="1" t="s">
        <v>148</v>
      </c>
      <c r="K926" t="s">
        <v>34</v>
      </c>
      <c r="M926" s="1" t="s">
        <v>35</v>
      </c>
      <c r="N926" s="1">
        <v>42318949</v>
      </c>
      <c r="O926" s="1" t="s">
        <v>105</v>
      </c>
      <c r="P926" s="186">
        <v>44932.478449074071</v>
      </c>
      <c r="R926" s="1" t="s">
        <v>38</v>
      </c>
      <c r="T926" s="1" t="s">
        <v>74</v>
      </c>
      <c r="U926" s="186">
        <v>44932.75</v>
      </c>
      <c r="V926" s="1" t="s">
        <v>41</v>
      </c>
      <c r="W926" s="1" t="s">
        <v>49</v>
      </c>
      <c r="X926" s="13" t="str">
        <f t="shared" si="83"/>
        <v/>
      </c>
      <c r="Y926" s="2">
        <f t="shared" ca="1" si="84"/>
        <v>39</v>
      </c>
      <c r="Z926" s="14"/>
      <c r="AA926" s="14"/>
    </row>
    <row r="927" spans="1:27" hidden="1">
      <c r="A927" s="1">
        <v>9299999</v>
      </c>
      <c r="B927" s="1" t="s">
        <v>101</v>
      </c>
      <c r="C927" t="s">
        <v>1761</v>
      </c>
      <c r="E927" s="2">
        <v>1837000206001</v>
      </c>
      <c r="F927" s="1" t="s">
        <v>29</v>
      </c>
      <c r="G927" s="1" t="s">
        <v>53</v>
      </c>
      <c r="H927" s="1" t="s">
        <v>1785</v>
      </c>
      <c r="I927" s="1" t="s">
        <v>1786</v>
      </c>
      <c r="J927" s="1" t="s">
        <v>46</v>
      </c>
      <c r="K927" t="s">
        <v>34</v>
      </c>
      <c r="M927" s="1" t="s">
        <v>35</v>
      </c>
      <c r="N927" s="1">
        <v>42318949</v>
      </c>
      <c r="O927" s="1" t="s">
        <v>105</v>
      </c>
      <c r="P927" s="186">
        <v>44932.478333333333</v>
      </c>
      <c r="R927" s="1" t="s">
        <v>38</v>
      </c>
      <c r="T927" s="1" t="s">
        <v>74</v>
      </c>
      <c r="U927" s="186">
        <v>44932.75</v>
      </c>
      <c r="V927" s="1" t="s">
        <v>41</v>
      </c>
      <c r="W927" s="1" t="s">
        <v>49</v>
      </c>
      <c r="X927" s="13" t="str">
        <f t="shared" si="83"/>
        <v/>
      </c>
      <c r="Y927" s="2">
        <f t="shared" ca="1" si="84"/>
        <v>39</v>
      </c>
      <c r="Z927" s="14"/>
      <c r="AA927" s="14"/>
    </row>
    <row r="928" spans="1:27" hidden="1">
      <c r="A928" s="1">
        <v>9299998</v>
      </c>
      <c r="B928" s="1" t="s">
        <v>101</v>
      </c>
      <c r="C928" t="s">
        <v>1761</v>
      </c>
      <c r="E928" s="2">
        <v>1837000206001</v>
      </c>
      <c r="F928" s="1" t="s">
        <v>29</v>
      </c>
      <c r="G928" s="1" t="s">
        <v>53</v>
      </c>
      <c r="H928" s="1" t="s">
        <v>1785</v>
      </c>
      <c r="I928" s="1" t="s">
        <v>1786</v>
      </c>
      <c r="J928" s="1" t="s">
        <v>46</v>
      </c>
      <c r="K928" t="s">
        <v>34</v>
      </c>
      <c r="M928" s="1" t="s">
        <v>35</v>
      </c>
      <c r="N928" s="1">
        <v>42318949</v>
      </c>
      <c r="O928" s="1" t="s">
        <v>105</v>
      </c>
      <c r="P928" s="186">
        <v>44932.478333333333</v>
      </c>
      <c r="R928" s="1" t="s">
        <v>38</v>
      </c>
      <c r="T928" s="1" t="s">
        <v>74</v>
      </c>
      <c r="U928" s="186">
        <v>44932.75</v>
      </c>
      <c r="V928" s="1" t="s">
        <v>41</v>
      </c>
      <c r="W928" s="1" t="s">
        <v>49</v>
      </c>
      <c r="X928" s="13" t="str">
        <f t="shared" si="83"/>
        <v/>
      </c>
      <c r="Y928" s="2">
        <f t="shared" ca="1" si="84"/>
        <v>39</v>
      </c>
      <c r="Z928" s="14"/>
      <c r="AA928" s="14"/>
    </row>
    <row r="929" spans="1:27" hidden="1">
      <c r="A929" s="1">
        <v>9299997</v>
      </c>
      <c r="B929" s="1" t="s">
        <v>101</v>
      </c>
      <c r="C929" t="s">
        <v>1761</v>
      </c>
      <c r="E929" s="2">
        <v>1837000206001</v>
      </c>
      <c r="F929" s="1" t="s">
        <v>29</v>
      </c>
      <c r="G929" s="1" t="s">
        <v>53</v>
      </c>
      <c r="H929" s="1" t="s">
        <v>1785</v>
      </c>
      <c r="I929" s="1" t="s">
        <v>1786</v>
      </c>
      <c r="J929" s="1" t="s">
        <v>46</v>
      </c>
      <c r="K929" t="s">
        <v>34</v>
      </c>
      <c r="M929" s="1" t="s">
        <v>35</v>
      </c>
      <c r="N929" s="1">
        <v>42318949</v>
      </c>
      <c r="O929" s="1" t="s">
        <v>105</v>
      </c>
      <c r="P929" s="186">
        <v>44932.478321759256</v>
      </c>
      <c r="R929" s="1" t="s">
        <v>38</v>
      </c>
      <c r="T929" s="1" t="s">
        <v>74</v>
      </c>
      <c r="U929" s="186">
        <v>44932.75</v>
      </c>
      <c r="V929" s="1" t="s">
        <v>41</v>
      </c>
      <c r="W929" s="1" t="s">
        <v>49</v>
      </c>
      <c r="X929" s="13" t="str">
        <f t="shared" si="83"/>
        <v/>
      </c>
      <c r="Y929" s="2">
        <f t="shared" ca="1" si="84"/>
        <v>39</v>
      </c>
      <c r="Z929" s="14"/>
      <c r="AA929" s="14"/>
    </row>
    <row r="930" spans="1:27" hidden="1">
      <c r="A930" s="1">
        <v>9299964</v>
      </c>
      <c r="B930" s="1" t="s">
        <v>101</v>
      </c>
      <c r="C930" t="s">
        <v>1761</v>
      </c>
      <c r="E930" s="2">
        <v>1739000206001</v>
      </c>
      <c r="F930" s="1" t="s">
        <v>29</v>
      </c>
      <c r="G930" s="1" t="s">
        <v>53</v>
      </c>
      <c r="H930" s="1" t="s">
        <v>162</v>
      </c>
      <c r="I930" s="1" t="s">
        <v>163</v>
      </c>
      <c r="J930" s="1" t="s">
        <v>164</v>
      </c>
      <c r="K930" t="s">
        <v>34</v>
      </c>
      <c r="M930" s="1" t="s">
        <v>35</v>
      </c>
      <c r="N930" s="1">
        <v>42318949</v>
      </c>
      <c r="O930" s="1" t="s">
        <v>105</v>
      </c>
      <c r="P930" s="186">
        <v>44932.47828703704</v>
      </c>
      <c r="R930" s="1" t="s">
        <v>38</v>
      </c>
      <c r="T930" s="1" t="s">
        <v>74</v>
      </c>
      <c r="U930" s="186">
        <v>44932.75</v>
      </c>
      <c r="V930" s="1" t="s">
        <v>41</v>
      </c>
      <c r="W930" s="1" t="s">
        <v>49</v>
      </c>
      <c r="X930" s="13" t="str">
        <f t="shared" si="83"/>
        <v/>
      </c>
      <c r="Y930" s="2">
        <f t="shared" ca="1" si="84"/>
        <v>39</v>
      </c>
      <c r="Z930" s="14"/>
      <c r="AA930" s="14"/>
    </row>
    <row r="931" spans="1:27" hidden="1">
      <c r="A931" s="1">
        <v>9299963</v>
      </c>
      <c r="B931" s="1" t="s">
        <v>101</v>
      </c>
      <c r="C931" t="s">
        <v>1761</v>
      </c>
      <c r="E931" s="2">
        <v>1739000206001</v>
      </c>
      <c r="F931" s="1" t="s">
        <v>29</v>
      </c>
      <c r="G931" s="1" t="s">
        <v>53</v>
      </c>
      <c r="H931" s="1" t="s">
        <v>162</v>
      </c>
      <c r="I931" s="1" t="s">
        <v>163</v>
      </c>
      <c r="J931" s="1" t="s">
        <v>164</v>
      </c>
      <c r="K931" t="s">
        <v>34</v>
      </c>
      <c r="M931" s="1" t="s">
        <v>35</v>
      </c>
      <c r="N931" s="1">
        <v>42318949</v>
      </c>
      <c r="O931" s="1" t="s">
        <v>105</v>
      </c>
      <c r="P931" s="186">
        <v>44932.478275462963</v>
      </c>
      <c r="R931" s="1" t="s">
        <v>38</v>
      </c>
      <c r="T931" s="1" t="s">
        <v>74</v>
      </c>
      <c r="U931" s="186">
        <v>44932.75</v>
      </c>
      <c r="V931" s="1" t="s">
        <v>41</v>
      </c>
      <c r="W931" s="1" t="s">
        <v>49</v>
      </c>
      <c r="X931" s="13" t="str">
        <f t="shared" si="83"/>
        <v/>
      </c>
      <c r="Y931" s="2">
        <f t="shared" ca="1" si="84"/>
        <v>39</v>
      </c>
      <c r="Z931" s="14"/>
      <c r="AA931" s="14"/>
    </row>
    <row r="932" spans="1:27" hidden="1">
      <c r="A932" s="1">
        <v>9299962</v>
      </c>
      <c r="B932" s="1" t="s">
        <v>101</v>
      </c>
      <c r="C932" t="s">
        <v>1761</v>
      </c>
      <c r="E932" s="2">
        <v>1739000206001</v>
      </c>
      <c r="F932" s="1" t="s">
        <v>29</v>
      </c>
      <c r="G932" s="1" t="s">
        <v>53</v>
      </c>
      <c r="H932" s="1" t="s">
        <v>162</v>
      </c>
      <c r="I932" s="1" t="s">
        <v>163</v>
      </c>
      <c r="J932" s="1" t="s">
        <v>164</v>
      </c>
      <c r="K932" t="s">
        <v>34</v>
      </c>
      <c r="M932" s="1" t="s">
        <v>35</v>
      </c>
      <c r="N932" s="1">
        <v>42318949</v>
      </c>
      <c r="O932" s="1" t="s">
        <v>105</v>
      </c>
      <c r="P932" s="186">
        <v>44932.478275462963</v>
      </c>
      <c r="R932" s="1" t="s">
        <v>38</v>
      </c>
      <c r="T932" s="1" t="s">
        <v>74</v>
      </c>
      <c r="U932" s="186">
        <v>44932.75</v>
      </c>
      <c r="V932" s="1" t="s">
        <v>41</v>
      </c>
      <c r="W932" s="1" t="s">
        <v>49</v>
      </c>
      <c r="X932" s="13" t="str">
        <f t="shared" si="83"/>
        <v/>
      </c>
      <c r="Y932" s="2">
        <f t="shared" ca="1" si="84"/>
        <v>39</v>
      </c>
      <c r="Z932" s="14"/>
      <c r="AA932" s="14"/>
    </row>
    <row r="933" spans="1:27" hidden="1">
      <c r="A933" s="1">
        <v>9299956</v>
      </c>
      <c r="B933" s="1" t="s">
        <v>101</v>
      </c>
      <c r="C933" t="s">
        <v>1761</v>
      </c>
      <c r="E933" s="2">
        <v>1732000206001</v>
      </c>
      <c r="F933" s="1" t="s">
        <v>29</v>
      </c>
      <c r="G933" s="1" t="s">
        <v>53</v>
      </c>
      <c r="H933" s="1" t="s">
        <v>177</v>
      </c>
      <c r="I933" s="1" t="s">
        <v>178</v>
      </c>
      <c r="J933" s="1" t="s">
        <v>164</v>
      </c>
      <c r="K933" t="s">
        <v>34</v>
      </c>
      <c r="M933" s="1" t="s">
        <v>35</v>
      </c>
      <c r="N933" s="1">
        <v>42318949</v>
      </c>
      <c r="O933" s="1" t="s">
        <v>105</v>
      </c>
      <c r="P933" s="186">
        <v>44932.478275462963</v>
      </c>
      <c r="R933" s="1" t="s">
        <v>38</v>
      </c>
      <c r="T933" s="1" t="s">
        <v>74</v>
      </c>
      <c r="U933" s="186">
        <v>44932.75</v>
      </c>
      <c r="V933" s="1" t="s">
        <v>41</v>
      </c>
      <c r="W933" s="1" t="s">
        <v>49</v>
      </c>
      <c r="X933" s="13" t="str">
        <f t="shared" si="83"/>
        <v/>
      </c>
      <c r="Y933" s="2">
        <f t="shared" ca="1" si="84"/>
        <v>39</v>
      </c>
      <c r="Z933" s="14"/>
      <c r="AA933" s="14"/>
    </row>
    <row r="934" spans="1:27" hidden="1">
      <c r="A934" s="1">
        <v>9299911</v>
      </c>
      <c r="B934" s="1" t="s">
        <v>101</v>
      </c>
      <c r="C934" t="s">
        <v>1761</v>
      </c>
      <c r="E934" s="2">
        <v>1650000206001</v>
      </c>
      <c r="F934" s="1" t="s">
        <v>29</v>
      </c>
      <c r="G934" s="1" t="s">
        <v>53</v>
      </c>
      <c r="H934" s="1" t="s">
        <v>620</v>
      </c>
      <c r="I934" s="1" t="s">
        <v>621</v>
      </c>
      <c r="J934" s="1" t="s">
        <v>141</v>
      </c>
      <c r="K934" t="s">
        <v>34</v>
      </c>
      <c r="M934" s="1" t="s">
        <v>35</v>
      </c>
      <c r="N934" s="1">
        <v>42318949</v>
      </c>
      <c r="O934" s="1" t="s">
        <v>105</v>
      </c>
      <c r="P934" s="186">
        <v>44932.478206018517</v>
      </c>
      <c r="R934" s="1" t="s">
        <v>38</v>
      </c>
      <c r="T934" s="1" t="s">
        <v>74</v>
      </c>
      <c r="U934" s="186">
        <v>44932.75</v>
      </c>
      <c r="V934" s="1" t="s">
        <v>41</v>
      </c>
      <c r="W934" s="1" t="s">
        <v>49</v>
      </c>
      <c r="X934" s="13" t="str">
        <f t="shared" si="83"/>
        <v/>
      </c>
      <c r="Y934" s="2">
        <f t="shared" ca="1" si="84"/>
        <v>39</v>
      </c>
      <c r="Z934" s="14"/>
      <c r="AA934" s="14"/>
    </row>
    <row r="935" spans="1:27" hidden="1">
      <c r="A935" s="1">
        <v>9299910</v>
      </c>
      <c r="B935" s="1" t="s">
        <v>101</v>
      </c>
      <c r="C935" t="s">
        <v>1761</v>
      </c>
      <c r="E935" s="2">
        <v>1650000206001</v>
      </c>
      <c r="F935" s="1" t="s">
        <v>29</v>
      </c>
      <c r="G935" s="1" t="s">
        <v>53</v>
      </c>
      <c r="H935" s="1" t="s">
        <v>620</v>
      </c>
      <c r="I935" s="1" t="s">
        <v>621</v>
      </c>
      <c r="J935" s="1" t="s">
        <v>141</v>
      </c>
      <c r="K935" t="s">
        <v>34</v>
      </c>
      <c r="M935" s="1" t="s">
        <v>35</v>
      </c>
      <c r="N935" s="1">
        <v>42318949</v>
      </c>
      <c r="O935" s="1" t="s">
        <v>105</v>
      </c>
      <c r="P935" s="186">
        <v>44932.478206018517</v>
      </c>
      <c r="R935" s="1" t="s">
        <v>38</v>
      </c>
      <c r="T935" s="1" t="s">
        <v>74</v>
      </c>
      <c r="U935" s="186">
        <v>44932.75</v>
      </c>
      <c r="V935" s="1" t="s">
        <v>41</v>
      </c>
      <c r="W935" s="1" t="s">
        <v>49</v>
      </c>
      <c r="X935" s="13" t="str">
        <f t="shared" si="83"/>
        <v/>
      </c>
      <c r="Y935" s="2">
        <f t="shared" ca="1" si="84"/>
        <v>39</v>
      </c>
      <c r="Z935" s="14"/>
      <c r="AA935" s="14"/>
    </row>
    <row r="936" spans="1:27" hidden="1">
      <c r="A936" s="1">
        <v>9299909</v>
      </c>
      <c r="B936" s="1" t="s">
        <v>101</v>
      </c>
      <c r="C936" t="s">
        <v>1761</v>
      </c>
      <c r="E936" s="2">
        <v>1650000206001</v>
      </c>
      <c r="F936" s="1" t="s">
        <v>29</v>
      </c>
      <c r="G936" s="1" t="s">
        <v>53</v>
      </c>
      <c r="H936" s="1" t="s">
        <v>620</v>
      </c>
      <c r="I936" s="1" t="s">
        <v>621</v>
      </c>
      <c r="J936" s="1" t="s">
        <v>141</v>
      </c>
      <c r="K936" t="s">
        <v>34</v>
      </c>
      <c r="M936" s="1" t="s">
        <v>35</v>
      </c>
      <c r="N936" s="1">
        <v>42318949</v>
      </c>
      <c r="O936" s="1" t="s">
        <v>105</v>
      </c>
      <c r="P936" s="186">
        <v>44932.478206018517</v>
      </c>
      <c r="R936" s="1" t="s">
        <v>38</v>
      </c>
      <c r="T936" s="1" t="s">
        <v>74</v>
      </c>
      <c r="U936" s="186">
        <v>44932.75</v>
      </c>
      <c r="V936" s="1" t="s">
        <v>41</v>
      </c>
      <c r="W936" s="1" t="s">
        <v>49</v>
      </c>
      <c r="X936" s="13" t="str">
        <f t="shared" si="83"/>
        <v/>
      </c>
      <c r="Y936" s="2">
        <f t="shared" ca="1" si="84"/>
        <v>39</v>
      </c>
      <c r="Z936" s="14"/>
      <c r="AA936" s="14"/>
    </row>
    <row r="937" spans="1:27" hidden="1">
      <c r="A937" s="1">
        <v>9299908</v>
      </c>
      <c r="B937" s="1" t="s">
        <v>101</v>
      </c>
      <c r="C937" t="s">
        <v>1761</v>
      </c>
      <c r="E937" s="2">
        <v>1643000206001</v>
      </c>
      <c r="F937" s="1" t="s">
        <v>29</v>
      </c>
      <c r="G937" s="1" t="s">
        <v>53</v>
      </c>
      <c r="H937" s="1" t="s">
        <v>361</v>
      </c>
      <c r="I937" s="1" t="s">
        <v>362</v>
      </c>
      <c r="J937" s="1" t="s">
        <v>261</v>
      </c>
      <c r="K937" t="s">
        <v>34</v>
      </c>
      <c r="M937" s="1" t="s">
        <v>35</v>
      </c>
      <c r="N937" s="1">
        <v>42318949</v>
      </c>
      <c r="O937" s="1" t="s">
        <v>105</v>
      </c>
      <c r="P937" s="186">
        <v>44932.478206018517</v>
      </c>
      <c r="R937" s="1" t="s">
        <v>38</v>
      </c>
      <c r="T937" s="1" t="s">
        <v>74</v>
      </c>
      <c r="U937" s="186">
        <v>44932.75</v>
      </c>
      <c r="V937" s="1" t="s">
        <v>41</v>
      </c>
      <c r="W937" s="1" t="s">
        <v>49</v>
      </c>
      <c r="X937" s="13" t="str">
        <f t="shared" si="83"/>
        <v/>
      </c>
      <c r="Y937" s="2">
        <f t="shared" ca="1" si="84"/>
        <v>39</v>
      </c>
      <c r="Z937" s="14"/>
      <c r="AA937" s="14"/>
    </row>
    <row r="938" spans="1:27" hidden="1">
      <c r="A938" s="1">
        <v>9299907</v>
      </c>
      <c r="B938" s="1" t="s">
        <v>101</v>
      </c>
      <c r="C938" t="s">
        <v>1761</v>
      </c>
      <c r="E938" s="2">
        <v>1643000206001</v>
      </c>
      <c r="F938" s="1" t="s">
        <v>29</v>
      </c>
      <c r="G938" s="1" t="s">
        <v>53</v>
      </c>
      <c r="H938" s="1" t="s">
        <v>361</v>
      </c>
      <c r="I938" s="1" t="s">
        <v>362</v>
      </c>
      <c r="J938" s="1" t="s">
        <v>261</v>
      </c>
      <c r="K938" t="s">
        <v>34</v>
      </c>
      <c r="M938" s="1" t="s">
        <v>35</v>
      </c>
      <c r="N938" s="1">
        <v>42318949</v>
      </c>
      <c r="O938" s="1" t="s">
        <v>105</v>
      </c>
      <c r="P938" s="186">
        <v>44932.478206018517</v>
      </c>
      <c r="R938" s="1" t="s">
        <v>38</v>
      </c>
      <c r="T938" s="1" t="s">
        <v>74</v>
      </c>
      <c r="U938" s="186">
        <v>44932.75</v>
      </c>
      <c r="V938" s="1" t="s">
        <v>41</v>
      </c>
      <c r="W938" s="1" t="s">
        <v>49</v>
      </c>
      <c r="X938" s="13" t="str">
        <f t="shared" si="83"/>
        <v/>
      </c>
      <c r="Y938" s="2">
        <f t="shared" ca="1" si="84"/>
        <v>39</v>
      </c>
      <c r="Z938" s="14"/>
      <c r="AA938" s="14"/>
    </row>
    <row r="939" spans="1:27" hidden="1">
      <c r="A939" s="1">
        <v>9299906</v>
      </c>
      <c r="B939" s="1" t="s">
        <v>101</v>
      </c>
      <c r="C939" t="s">
        <v>1761</v>
      </c>
      <c r="E939" s="2">
        <v>1643000206001</v>
      </c>
      <c r="F939" s="1" t="s">
        <v>29</v>
      </c>
      <c r="G939" s="1" t="s">
        <v>53</v>
      </c>
      <c r="H939" s="1" t="s">
        <v>361</v>
      </c>
      <c r="I939" s="1" t="s">
        <v>362</v>
      </c>
      <c r="J939" s="1" t="s">
        <v>261</v>
      </c>
      <c r="K939" t="s">
        <v>34</v>
      </c>
      <c r="M939" s="1" t="s">
        <v>35</v>
      </c>
      <c r="N939" s="1">
        <v>42318949</v>
      </c>
      <c r="O939" s="1" t="s">
        <v>105</v>
      </c>
      <c r="P939" s="186">
        <v>44932.478206018517</v>
      </c>
      <c r="R939" s="1" t="s">
        <v>38</v>
      </c>
      <c r="T939" s="1" t="s">
        <v>74</v>
      </c>
      <c r="U939" s="186">
        <v>44932.75</v>
      </c>
      <c r="V939" s="1" t="s">
        <v>41</v>
      </c>
      <c r="W939" s="1" t="s">
        <v>49</v>
      </c>
      <c r="X939" s="13" t="str">
        <f t="shared" si="83"/>
        <v/>
      </c>
      <c r="Y939" s="2">
        <f t="shared" ca="1" si="84"/>
        <v>39</v>
      </c>
      <c r="Z939" s="14"/>
      <c r="AA939" s="14"/>
    </row>
    <row r="940" spans="1:27" hidden="1">
      <c r="A940" s="1">
        <v>9299748</v>
      </c>
      <c r="B940" s="1" t="s">
        <v>101</v>
      </c>
      <c r="C940" t="s">
        <v>1761</v>
      </c>
      <c r="E940" s="2">
        <v>1363000206001</v>
      </c>
      <c r="F940" s="1" t="s">
        <v>29</v>
      </c>
      <c r="G940" s="1" t="s">
        <v>53</v>
      </c>
      <c r="H940" s="1" t="s">
        <v>108</v>
      </c>
      <c r="I940" s="1" t="s">
        <v>109</v>
      </c>
      <c r="J940" s="1" t="s">
        <v>110</v>
      </c>
      <c r="K940" t="s">
        <v>34</v>
      </c>
      <c r="M940" s="1" t="s">
        <v>35</v>
      </c>
      <c r="N940" s="1">
        <v>42318949</v>
      </c>
      <c r="O940" s="1" t="s">
        <v>105</v>
      </c>
      <c r="P940" s="186">
        <v>44932.47797453704</v>
      </c>
      <c r="R940" s="1" t="s">
        <v>38</v>
      </c>
      <c r="T940" s="1" t="s">
        <v>74</v>
      </c>
      <c r="U940" s="186">
        <v>44932.75</v>
      </c>
      <c r="V940" s="1" t="s">
        <v>41</v>
      </c>
      <c r="W940" s="1" t="s">
        <v>49</v>
      </c>
      <c r="X940" s="13" t="str">
        <f t="shared" si="83"/>
        <v/>
      </c>
      <c r="Y940" s="2">
        <f t="shared" ca="1" si="84"/>
        <v>39</v>
      </c>
      <c r="Z940" s="14"/>
      <c r="AA940" s="14"/>
    </row>
    <row r="941" spans="1:27" hidden="1">
      <c r="A941" s="1">
        <v>9299747</v>
      </c>
      <c r="B941" s="1" t="s">
        <v>101</v>
      </c>
      <c r="C941" t="s">
        <v>1761</v>
      </c>
      <c r="E941" s="2">
        <v>1363000206001</v>
      </c>
      <c r="F941" s="1" t="s">
        <v>29</v>
      </c>
      <c r="G941" s="1" t="s">
        <v>53</v>
      </c>
      <c r="H941" s="1" t="s">
        <v>108</v>
      </c>
      <c r="I941" s="1" t="s">
        <v>109</v>
      </c>
      <c r="J941" s="1" t="s">
        <v>110</v>
      </c>
      <c r="K941" t="s">
        <v>34</v>
      </c>
      <c r="M941" s="1" t="s">
        <v>35</v>
      </c>
      <c r="N941" s="1">
        <v>42318949</v>
      </c>
      <c r="O941" s="1" t="s">
        <v>105</v>
      </c>
      <c r="P941" s="186">
        <v>44932.47797453704</v>
      </c>
      <c r="R941" s="1" t="s">
        <v>38</v>
      </c>
      <c r="T941" s="1" t="s">
        <v>74</v>
      </c>
      <c r="U941" s="186">
        <v>44932.75</v>
      </c>
      <c r="V941" s="1" t="s">
        <v>41</v>
      </c>
      <c r="W941" s="1" t="s">
        <v>49</v>
      </c>
      <c r="X941" s="13" t="str">
        <f t="shared" si="83"/>
        <v/>
      </c>
      <c r="Y941" s="2">
        <f t="shared" ca="1" si="84"/>
        <v>39</v>
      </c>
      <c r="Z941" s="14"/>
      <c r="AA941" s="14"/>
    </row>
    <row r="942" spans="1:27" hidden="1">
      <c r="A942" s="1">
        <v>9299712</v>
      </c>
      <c r="B942" s="1" t="s">
        <v>101</v>
      </c>
      <c r="C942" t="s">
        <v>1761</v>
      </c>
      <c r="E942" s="2">
        <v>1291000206001</v>
      </c>
      <c r="F942" s="1" t="s">
        <v>29</v>
      </c>
      <c r="G942" s="1" t="s">
        <v>53</v>
      </c>
      <c r="H942" s="1" t="s">
        <v>136</v>
      </c>
      <c r="I942" s="1" t="s">
        <v>137</v>
      </c>
      <c r="J942" s="1" t="s">
        <v>33</v>
      </c>
      <c r="K942" t="s">
        <v>34</v>
      </c>
      <c r="M942" s="1" t="s">
        <v>35</v>
      </c>
      <c r="N942" s="1">
        <v>42318949</v>
      </c>
      <c r="O942" s="1" t="s">
        <v>105</v>
      </c>
      <c r="P942" s="186">
        <v>44932.47792824074</v>
      </c>
      <c r="R942" s="1" t="s">
        <v>38</v>
      </c>
      <c r="T942" s="1" t="s">
        <v>74</v>
      </c>
      <c r="U942" s="186">
        <v>44932.75</v>
      </c>
      <c r="V942" s="1" t="s">
        <v>41</v>
      </c>
      <c r="W942" s="1" t="s">
        <v>42</v>
      </c>
      <c r="X942" s="13" t="str">
        <f t="shared" si="83"/>
        <v/>
      </c>
      <c r="Y942" s="2">
        <f t="shared" ca="1" si="84"/>
        <v>39</v>
      </c>
      <c r="Z942" s="14"/>
      <c r="AA942" s="14"/>
    </row>
    <row r="943" spans="1:27" hidden="1">
      <c r="A943" s="1">
        <v>9299701</v>
      </c>
      <c r="B943" s="1" t="s">
        <v>101</v>
      </c>
      <c r="C943" t="s">
        <v>1761</v>
      </c>
      <c r="E943" s="2">
        <v>1264000206001</v>
      </c>
      <c r="F943" s="1" t="s">
        <v>29</v>
      </c>
      <c r="G943" s="1" t="s">
        <v>53</v>
      </c>
      <c r="H943" s="1" t="s">
        <v>351</v>
      </c>
      <c r="I943" s="1" t="s">
        <v>352</v>
      </c>
      <c r="J943" s="1" t="s">
        <v>110</v>
      </c>
      <c r="K943" t="s">
        <v>34</v>
      </c>
      <c r="M943" s="1" t="s">
        <v>35</v>
      </c>
      <c r="N943" s="1">
        <v>42318949</v>
      </c>
      <c r="O943" s="1" t="s">
        <v>105</v>
      </c>
      <c r="P943" s="186">
        <v>44932.477905092594</v>
      </c>
      <c r="R943" s="1" t="s">
        <v>38</v>
      </c>
      <c r="T943" s="1" t="s">
        <v>74</v>
      </c>
      <c r="U943" s="186">
        <v>44932.75</v>
      </c>
      <c r="V943" s="1" t="s">
        <v>41</v>
      </c>
      <c r="W943" s="1" t="s">
        <v>49</v>
      </c>
      <c r="X943" s="13" t="str">
        <f t="shared" si="83"/>
        <v/>
      </c>
      <c r="Y943" s="2">
        <f t="shared" ca="1" si="84"/>
        <v>39</v>
      </c>
      <c r="Z943" s="14"/>
      <c r="AA943" s="14"/>
    </row>
    <row r="944" spans="1:27" hidden="1">
      <c r="A944" s="1">
        <v>9299700</v>
      </c>
      <c r="B944" s="1" t="s">
        <v>101</v>
      </c>
      <c r="C944" t="s">
        <v>1761</v>
      </c>
      <c r="E944" s="2">
        <v>1264000206001</v>
      </c>
      <c r="F944" s="1" t="s">
        <v>29</v>
      </c>
      <c r="G944" s="1" t="s">
        <v>53</v>
      </c>
      <c r="H944" s="1" t="s">
        <v>351</v>
      </c>
      <c r="I944" s="1" t="s">
        <v>352</v>
      </c>
      <c r="J944" s="1" t="s">
        <v>110</v>
      </c>
      <c r="K944" t="s">
        <v>34</v>
      </c>
      <c r="M944" s="1" t="s">
        <v>35</v>
      </c>
      <c r="N944" s="1">
        <v>42318949</v>
      </c>
      <c r="O944" s="1" t="s">
        <v>105</v>
      </c>
      <c r="P944" s="186">
        <v>44932.477905092594</v>
      </c>
      <c r="R944" s="1" t="s">
        <v>38</v>
      </c>
      <c r="T944" s="1" t="s">
        <v>74</v>
      </c>
      <c r="U944" s="186">
        <v>44932.75</v>
      </c>
      <c r="V944" s="1" t="s">
        <v>41</v>
      </c>
      <c r="W944" s="1" t="s">
        <v>49</v>
      </c>
      <c r="X944" s="13" t="str">
        <f t="shared" si="83"/>
        <v/>
      </c>
      <c r="Y944" s="2">
        <f t="shared" ca="1" si="84"/>
        <v>39</v>
      </c>
      <c r="Z944" s="14"/>
      <c r="AA944" s="14"/>
    </row>
    <row r="945" spans="1:27" hidden="1">
      <c r="A945" s="1">
        <v>9299699</v>
      </c>
      <c r="B945" s="1" t="s">
        <v>101</v>
      </c>
      <c r="C945" t="s">
        <v>1761</v>
      </c>
      <c r="E945" s="2">
        <v>1264000206001</v>
      </c>
      <c r="F945" s="1" t="s">
        <v>29</v>
      </c>
      <c r="G945" s="1" t="s">
        <v>53</v>
      </c>
      <c r="H945" s="1" t="s">
        <v>351</v>
      </c>
      <c r="I945" s="1" t="s">
        <v>352</v>
      </c>
      <c r="J945" s="1" t="s">
        <v>110</v>
      </c>
      <c r="K945" t="s">
        <v>34</v>
      </c>
      <c r="M945" s="1" t="s">
        <v>35</v>
      </c>
      <c r="N945" s="1">
        <v>42318949</v>
      </c>
      <c r="O945" s="1" t="s">
        <v>105</v>
      </c>
      <c r="P945" s="186">
        <v>44932.477905092594</v>
      </c>
      <c r="R945" s="1" t="s">
        <v>38</v>
      </c>
      <c r="T945" s="1" t="s">
        <v>74</v>
      </c>
      <c r="U945" s="186">
        <v>44932.75</v>
      </c>
      <c r="V945" s="1" t="s">
        <v>41</v>
      </c>
      <c r="W945" s="1" t="s">
        <v>49</v>
      </c>
      <c r="X945" s="13" t="str">
        <f t="shared" si="83"/>
        <v/>
      </c>
      <c r="Y945" s="2">
        <f t="shared" ca="1" si="84"/>
        <v>39</v>
      </c>
      <c r="Z945" s="14"/>
      <c r="AA945" s="14"/>
    </row>
    <row r="946" spans="1:27" hidden="1">
      <c r="A946" s="1">
        <v>9299638</v>
      </c>
      <c r="B946" s="1" t="s">
        <v>101</v>
      </c>
      <c r="C946" t="s">
        <v>1761</v>
      </c>
      <c r="E946" s="2">
        <v>1153000206001</v>
      </c>
      <c r="F946" s="1" t="s">
        <v>29</v>
      </c>
      <c r="G946" s="1" t="s">
        <v>53</v>
      </c>
      <c r="H946" s="1" t="s">
        <v>1031</v>
      </c>
      <c r="I946" s="1" t="s">
        <v>1032</v>
      </c>
      <c r="J946" s="1" t="s">
        <v>79</v>
      </c>
      <c r="K946" t="s">
        <v>34</v>
      </c>
      <c r="M946" s="1" t="s">
        <v>35</v>
      </c>
      <c r="N946" s="1">
        <v>42318949</v>
      </c>
      <c r="O946" s="1" t="s">
        <v>105</v>
      </c>
      <c r="P946" s="186">
        <v>44932.477824074071</v>
      </c>
      <c r="R946" s="1" t="s">
        <v>38</v>
      </c>
      <c r="T946" s="1" t="s">
        <v>74</v>
      </c>
      <c r="U946" s="186">
        <v>44932.75</v>
      </c>
      <c r="V946" s="1" t="s">
        <v>41</v>
      </c>
      <c r="W946" s="1" t="s">
        <v>49</v>
      </c>
      <c r="X946" s="13" t="str">
        <f t="shared" si="83"/>
        <v/>
      </c>
      <c r="Y946" s="2">
        <f t="shared" ca="1" si="84"/>
        <v>39</v>
      </c>
      <c r="Z946" s="14"/>
      <c r="AA946" s="14"/>
    </row>
    <row r="947" spans="1:27" hidden="1">
      <c r="A947" s="1">
        <v>9299629</v>
      </c>
      <c r="B947" s="1" t="s">
        <v>101</v>
      </c>
      <c r="C947" t="s">
        <v>1761</v>
      </c>
      <c r="E947" s="2">
        <v>1120000206001</v>
      </c>
      <c r="F947" s="1" t="s">
        <v>29</v>
      </c>
      <c r="G947" s="1" t="s">
        <v>53</v>
      </c>
      <c r="H947" s="1" t="s">
        <v>181</v>
      </c>
      <c r="I947" s="1" t="s">
        <v>182</v>
      </c>
      <c r="J947" s="1" t="s">
        <v>164</v>
      </c>
      <c r="K947" t="s">
        <v>34</v>
      </c>
      <c r="M947" s="1" t="s">
        <v>35</v>
      </c>
      <c r="N947" s="1">
        <v>42318949</v>
      </c>
      <c r="O947" s="1" t="s">
        <v>105</v>
      </c>
      <c r="P947" s="186">
        <v>44932.477812500001</v>
      </c>
      <c r="R947" s="1" t="s">
        <v>38</v>
      </c>
      <c r="T947" s="1" t="s">
        <v>74</v>
      </c>
      <c r="U947" s="186">
        <v>44932.75</v>
      </c>
      <c r="V947" s="1" t="s">
        <v>41</v>
      </c>
      <c r="W947" s="1" t="s">
        <v>49</v>
      </c>
      <c r="X947" s="13" t="str">
        <f t="shared" si="83"/>
        <v/>
      </c>
      <c r="Y947" s="2">
        <f t="shared" ca="1" si="84"/>
        <v>39</v>
      </c>
      <c r="Z947" s="14"/>
      <c r="AA947" s="14"/>
    </row>
    <row r="948" spans="1:27" hidden="1">
      <c r="A948" s="1">
        <v>9299628</v>
      </c>
      <c r="B948" s="1" t="s">
        <v>101</v>
      </c>
      <c r="C948" t="s">
        <v>1761</v>
      </c>
      <c r="E948" s="2">
        <v>1120000206001</v>
      </c>
      <c r="F948" s="1" t="s">
        <v>29</v>
      </c>
      <c r="G948" s="1" t="s">
        <v>53</v>
      </c>
      <c r="H948" s="1" t="s">
        <v>181</v>
      </c>
      <c r="I948" s="1" t="s">
        <v>182</v>
      </c>
      <c r="J948" s="1" t="s">
        <v>164</v>
      </c>
      <c r="K948" t="s">
        <v>34</v>
      </c>
      <c r="M948" s="1" t="s">
        <v>35</v>
      </c>
      <c r="N948" s="1">
        <v>42318949</v>
      </c>
      <c r="O948" s="1" t="s">
        <v>105</v>
      </c>
      <c r="P948" s="186">
        <v>44932.477800925924</v>
      </c>
      <c r="R948" s="1" t="s">
        <v>38</v>
      </c>
      <c r="T948" s="1" t="s">
        <v>74</v>
      </c>
      <c r="U948" s="186">
        <v>44932.75</v>
      </c>
      <c r="V948" s="1" t="s">
        <v>41</v>
      </c>
      <c r="W948" s="1" t="s">
        <v>49</v>
      </c>
      <c r="X948" s="13" t="str">
        <f t="shared" si="83"/>
        <v/>
      </c>
      <c r="Y948" s="2">
        <f t="shared" ca="1" si="84"/>
        <v>39</v>
      </c>
      <c r="Z948" s="14"/>
      <c r="AA948" s="14"/>
    </row>
    <row r="949" spans="1:27" hidden="1">
      <c r="A949" s="1">
        <v>9299585</v>
      </c>
      <c r="B949" s="1" t="s">
        <v>101</v>
      </c>
      <c r="C949" t="s">
        <v>1761</v>
      </c>
      <c r="E949" s="2">
        <v>1060000206001</v>
      </c>
      <c r="F949" s="1" t="s">
        <v>29</v>
      </c>
      <c r="G949" s="1" t="s">
        <v>53</v>
      </c>
      <c r="H949" s="1" t="s">
        <v>284</v>
      </c>
      <c r="I949" s="1" t="s">
        <v>285</v>
      </c>
      <c r="J949" s="1" t="s">
        <v>148</v>
      </c>
      <c r="K949" t="s">
        <v>34</v>
      </c>
      <c r="M949" s="1" t="s">
        <v>35</v>
      </c>
      <c r="N949" s="1">
        <v>42318949</v>
      </c>
      <c r="O949" s="1" t="s">
        <v>105</v>
      </c>
      <c r="P949" s="186">
        <v>44932.477743055555</v>
      </c>
      <c r="R949" s="1" t="s">
        <v>38</v>
      </c>
      <c r="T949" s="1" t="s">
        <v>74</v>
      </c>
      <c r="U949" s="186">
        <v>44932.75</v>
      </c>
      <c r="V949" s="1" t="s">
        <v>41</v>
      </c>
      <c r="W949" s="1" t="s">
        <v>49</v>
      </c>
      <c r="X949" s="13" t="str">
        <f t="shared" si="83"/>
        <v/>
      </c>
      <c r="Y949" s="2">
        <f t="shared" ca="1" si="84"/>
        <v>39</v>
      </c>
      <c r="Z949" s="14"/>
      <c r="AA949" s="14"/>
    </row>
    <row r="950" spans="1:27" hidden="1">
      <c r="A950" s="1">
        <v>9299584</v>
      </c>
      <c r="B950" s="1" t="s">
        <v>101</v>
      </c>
      <c r="C950" t="s">
        <v>1761</v>
      </c>
      <c r="E950" s="2">
        <v>1060000206001</v>
      </c>
      <c r="F950" s="1" t="s">
        <v>29</v>
      </c>
      <c r="G950" s="1" t="s">
        <v>53</v>
      </c>
      <c r="H950" s="1" t="s">
        <v>284</v>
      </c>
      <c r="I950" s="1" t="s">
        <v>285</v>
      </c>
      <c r="J950" s="1" t="s">
        <v>148</v>
      </c>
      <c r="K950" t="s">
        <v>34</v>
      </c>
      <c r="M950" s="1" t="s">
        <v>35</v>
      </c>
      <c r="N950" s="1">
        <v>42318949</v>
      </c>
      <c r="O950" s="1" t="s">
        <v>105</v>
      </c>
      <c r="P950" s="186">
        <v>44932.477743055555</v>
      </c>
      <c r="R950" s="1" t="s">
        <v>38</v>
      </c>
      <c r="T950" s="1" t="s">
        <v>74</v>
      </c>
      <c r="U950" s="186">
        <v>44932.75</v>
      </c>
      <c r="V950" s="1" t="s">
        <v>41</v>
      </c>
      <c r="W950" s="1" t="s">
        <v>49</v>
      </c>
      <c r="X950" s="13" t="str">
        <f t="shared" si="83"/>
        <v/>
      </c>
      <c r="Y950" s="2">
        <f t="shared" ca="1" si="84"/>
        <v>39</v>
      </c>
      <c r="Z950" s="14"/>
      <c r="AA950" s="14"/>
    </row>
    <row r="951" spans="1:27" hidden="1">
      <c r="A951" s="1">
        <v>9299582</v>
      </c>
      <c r="B951" s="1" t="s">
        <v>101</v>
      </c>
      <c r="C951" t="s">
        <v>1761</v>
      </c>
      <c r="E951" s="2">
        <v>1059000206001</v>
      </c>
      <c r="F951" s="1" t="s">
        <v>29</v>
      </c>
      <c r="G951" s="1" t="s">
        <v>53</v>
      </c>
      <c r="H951" s="1" t="s">
        <v>88</v>
      </c>
      <c r="I951" s="1" t="s">
        <v>89</v>
      </c>
      <c r="J951" s="1" t="s">
        <v>90</v>
      </c>
      <c r="K951" t="s">
        <v>34</v>
      </c>
      <c r="M951" s="1" t="s">
        <v>35</v>
      </c>
      <c r="N951" s="1">
        <v>42318949</v>
      </c>
      <c r="O951" s="1" t="s">
        <v>105</v>
      </c>
      <c r="P951" s="186">
        <v>44932.477743055555</v>
      </c>
      <c r="R951" s="1" t="s">
        <v>38</v>
      </c>
      <c r="T951" s="1" t="s">
        <v>74</v>
      </c>
      <c r="U951" s="186">
        <v>44932.75</v>
      </c>
      <c r="V951" s="1" t="s">
        <v>41</v>
      </c>
      <c r="W951" s="1" t="s">
        <v>49</v>
      </c>
      <c r="X951" s="13" t="str">
        <f t="shared" si="83"/>
        <v/>
      </c>
      <c r="Y951" s="2">
        <f t="shared" ca="1" si="84"/>
        <v>39</v>
      </c>
      <c r="Z951" s="14"/>
      <c r="AA951" s="14"/>
    </row>
    <row r="952" spans="1:27" hidden="1">
      <c r="A952" s="1">
        <v>9299581</v>
      </c>
      <c r="B952" s="1" t="s">
        <v>101</v>
      </c>
      <c r="C952" t="s">
        <v>1761</v>
      </c>
      <c r="E952" s="2">
        <v>1058000206001</v>
      </c>
      <c r="F952" s="1" t="s">
        <v>29</v>
      </c>
      <c r="G952" s="1" t="s">
        <v>53</v>
      </c>
      <c r="H952" s="1" t="s">
        <v>289</v>
      </c>
      <c r="I952" s="1" t="s">
        <v>290</v>
      </c>
      <c r="J952" s="1" t="s">
        <v>56</v>
      </c>
      <c r="K952" t="s">
        <v>34</v>
      </c>
      <c r="M952" s="1" t="s">
        <v>35</v>
      </c>
      <c r="N952" s="1">
        <v>42318949</v>
      </c>
      <c r="O952" s="1" t="s">
        <v>36</v>
      </c>
      <c r="P952" s="186">
        <v>44932.477743055555</v>
      </c>
      <c r="R952" s="1" t="s">
        <v>38</v>
      </c>
      <c r="T952" s="1" t="s">
        <v>74</v>
      </c>
      <c r="U952" s="186">
        <v>44932.75</v>
      </c>
      <c r="V952" s="1" t="s">
        <v>41</v>
      </c>
      <c r="W952" s="1" t="s">
        <v>49</v>
      </c>
      <c r="X952" s="13" t="str">
        <f t="shared" si="83"/>
        <v/>
      </c>
      <c r="Y952" s="2">
        <f t="shared" ca="1" si="84"/>
        <v>39</v>
      </c>
      <c r="Z952" s="14"/>
      <c r="AA952" s="14"/>
    </row>
    <row r="953" spans="1:27" hidden="1">
      <c r="A953" s="1">
        <v>9299580</v>
      </c>
      <c r="B953" s="1" t="s">
        <v>101</v>
      </c>
      <c r="C953" t="s">
        <v>1761</v>
      </c>
      <c r="E953" s="2">
        <v>1058000206001</v>
      </c>
      <c r="F953" s="1" t="s">
        <v>29</v>
      </c>
      <c r="G953" s="1" t="s">
        <v>53</v>
      </c>
      <c r="H953" s="1" t="s">
        <v>289</v>
      </c>
      <c r="I953" s="1" t="s">
        <v>290</v>
      </c>
      <c r="J953" s="1" t="s">
        <v>56</v>
      </c>
      <c r="K953" t="s">
        <v>34</v>
      </c>
      <c r="M953" s="1" t="s">
        <v>35</v>
      </c>
      <c r="N953" s="1">
        <v>42318949</v>
      </c>
      <c r="O953" s="1" t="s">
        <v>105</v>
      </c>
      <c r="P953" s="186">
        <v>44932.477743055555</v>
      </c>
      <c r="R953" s="1" t="s">
        <v>38</v>
      </c>
      <c r="T953" s="1" t="s">
        <v>74</v>
      </c>
      <c r="U953" s="186">
        <v>44932.75</v>
      </c>
      <c r="V953" s="1" t="s">
        <v>41</v>
      </c>
      <c r="W953" s="1" t="s">
        <v>49</v>
      </c>
      <c r="X953" s="13" t="str">
        <f t="shared" si="83"/>
        <v/>
      </c>
      <c r="Y953" s="2">
        <f t="shared" ca="1" si="84"/>
        <v>39</v>
      </c>
      <c r="Z953" s="14"/>
      <c r="AA953" s="14"/>
    </row>
    <row r="954" spans="1:27" hidden="1">
      <c r="A954" s="1">
        <v>9299579</v>
      </c>
      <c r="B954" s="1" t="s">
        <v>101</v>
      </c>
      <c r="C954" t="s">
        <v>1761</v>
      </c>
      <c r="E954" s="2">
        <v>1058000206001</v>
      </c>
      <c r="F954" s="1" t="s">
        <v>29</v>
      </c>
      <c r="G954" s="1" t="s">
        <v>53</v>
      </c>
      <c r="H954" s="1" t="s">
        <v>289</v>
      </c>
      <c r="I954" s="1" t="s">
        <v>290</v>
      </c>
      <c r="J954" s="1" t="s">
        <v>56</v>
      </c>
      <c r="K954" t="s">
        <v>34</v>
      </c>
      <c r="M954" s="1" t="s">
        <v>35</v>
      </c>
      <c r="N954" s="1">
        <v>42318949</v>
      </c>
      <c r="O954" s="1" t="s">
        <v>105</v>
      </c>
      <c r="P954" s="186">
        <v>44932.477743055555</v>
      </c>
      <c r="R954" s="1" t="s">
        <v>38</v>
      </c>
      <c r="T954" s="1" t="s">
        <v>74</v>
      </c>
      <c r="U954" s="186">
        <v>44932.75</v>
      </c>
      <c r="V954" s="1" t="s">
        <v>41</v>
      </c>
      <c r="W954" s="1" t="s">
        <v>49</v>
      </c>
      <c r="X954" s="13" t="str">
        <f t="shared" ref="X954:X1017" si="85">IF(RIGHT(H954,2)&lt;&gt;"00",H954,"")</f>
        <v/>
      </c>
      <c r="Y954" s="2">
        <f t="shared" ref="Y954:Y1017" ca="1" si="86">NETWORKDAYS(P954,$Y$1)</f>
        <v>39</v>
      </c>
      <c r="Z954" s="14"/>
      <c r="AA954" s="14"/>
    </row>
    <row r="955" spans="1:27" hidden="1">
      <c r="A955" s="1">
        <v>9299578</v>
      </c>
      <c r="B955" s="1" t="s">
        <v>101</v>
      </c>
      <c r="C955" t="s">
        <v>1761</v>
      </c>
      <c r="E955" s="2">
        <v>1058000206001</v>
      </c>
      <c r="F955" s="1" t="s">
        <v>29</v>
      </c>
      <c r="G955" s="1" t="s">
        <v>53</v>
      </c>
      <c r="H955" s="1" t="s">
        <v>289</v>
      </c>
      <c r="I955" s="1" t="s">
        <v>290</v>
      </c>
      <c r="J955" s="1" t="s">
        <v>56</v>
      </c>
      <c r="K955" t="s">
        <v>34</v>
      </c>
      <c r="M955" s="1" t="s">
        <v>35</v>
      </c>
      <c r="N955" s="1">
        <v>42318949</v>
      </c>
      <c r="O955" s="1" t="s">
        <v>105</v>
      </c>
      <c r="P955" s="186">
        <v>44932.477743055555</v>
      </c>
      <c r="R955" s="1" t="s">
        <v>38</v>
      </c>
      <c r="T955" s="1" t="s">
        <v>74</v>
      </c>
      <c r="U955" s="186">
        <v>44932.75</v>
      </c>
      <c r="V955" s="1" t="s">
        <v>41</v>
      </c>
      <c r="W955" s="1" t="s">
        <v>49</v>
      </c>
      <c r="X955" s="13" t="str">
        <f t="shared" si="85"/>
        <v/>
      </c>
      <c r="Y955" s="2">
        <f t="shared" ca="1" si="86"/>
        <v>39</v>
      </c>
      <c r="Z955" s="14"/>
      <c r="AA955" s="14"/>
    </row>
    <row r="956" spans="1:27" hidden="1">
      <c r="A956" s="1">
        <v>9299577</v>
      </c>
      <c r="B956" s="1" t="s">
        <v>101</v>
      </c>
      <c r="C956" t="s">
        <v>1761</v>
      </c>
      <c r="E956" s="2">
        <v>1058000206001</v>
      </c>
      <c r="F956" s="1" t="s">
        <v>29</v>
      </c>
      <c r="G956" s="1" t="s">
        <v>53</v>
      </c>
      <c r="H956" s="1" t="s">
        <v>289</v>
      </c>
      <c r="I956" s="1" t="s">
        <v>290</v>
      </c>
      <c r="J956" s="1" t="s">
        <v>56</v>
      </c>
      <c r="K956" t="s">
        <v>34</v>
      </c>
      <c r="M956" s="1" t="s">
        <v>35</v>
      </c>
      <c r="N956" s="1">
        <v>42318949</v>
      </c>
      <c r="O956" s="1" t="s">
        <v>105</v>
      </c>
      <c r="P956" s="186">
        <v>44932.477743055555</v>
      </c>
      <c r="R956" s="1" t="s">
        <v>38</v>
      </c>
      <c r="T956" s="1" t="s">
        <v>74</v>
      </c>
      <c r="U956" s="186">
        <v>44932.75</v>
      </c>
      <c r="V956" s="1" t="s">
        <v>41</v>
      </c>
      <c r="W956" s="1" t="s">
        <v>49</v>
      </c>
      <c r="X956" s="13" t="str">
        <f t="shared" si="85"/>
        <v/>
      </c>
      <c r="Y956" s="2">
        <f t="shared" ca="1" si="86"/>
        <v>39</v>
      </c>
      <c r="Z956" s="14"/>
      <c r="AA956" s="14"/>
    </row>
    <row r="957" spans="1:27" hidden="1">
      <c r="A957" s="1">
        <v>9299576</v>
      </c>
      <c r="B957" s="1" t="s">
        <v>101</v>
      </c>
      <c r="C957" t="s">
        <v>1761</v>
      </c>
      <c r="E957" s="2">
        <v>1058000206001</v>
      </c>
      <c r="F957" s="1" t="s">
        <v>29</v>
      </c>
      <c r="G957" s="1" t="s">
        <v>53</v>
      </c>
      <c r="H957" s="1" t="s">
        <v>289</v>
      </c>
      <c r="I957" s="1" t="s">
        <v>290</v>
      </c>
      <c r="J957" s="1" t="s">
        <v>56</v>
      </c>
      <c r="K957" t="s">
        <v>34</v>
      </c>
      <c r="M957" s="1" t="s">
        <v>35</v>
      </c>
      <c r="N957" s="1">
        <v>42318949</v>
      </c>
      <c r="O957" s="1" t="s">
        <v>105</v>
      </c>
      <c r="P957" s="186">
        <v>44932.477731481478</v>
      </c>
      <c r="R957" s="1" t="s">
        <v>38</v>
      </c>
      <c r="T957" s="1" t="s">
        <v>74</v>
      </c>
      <c r="U957" s="186">
        <v>44932.75</v>
      </c>
      <c r="V957" s="1" t="s">
        <v>41</v>
      </c>
      <c r="W957" s="1" t="s">
        <v>49</v>
      </c>
      <c r="X957" s="13" t="str">
        <f t="shared" si="85"/>
        <v/>
      </c>
      <c r="Y957" s="2">
        <f t="shared" ca="1" si="86"/>
        <v>39</v>
      </c>
      <c r="Z957" s="14"/>
      <c r="AA957" s="14"/>
    </row>
    <row r="958" spans="1:27" hidden="1">
      <c r="A958" s="1">
        <v>9299572</v>
      </c>
      <c r="B958" s="1" t="s">
        <v>101</v>
      </c>
      <c r="C958" t="s">
        <v>1761</v>
      </c>
      <c r="E958" s="2">
        <v>1052000206001</v>
      </c>
      <c r="F958" s="1" t="s">
        <v>29</v>
      </c>
      <c r="G958" s="1" t="s">
        <v>53</v>
      </c>
      <c r="H958" s="1" t="s">
        <v>329</v>
      </c>
      <c r="I958" s="1" t="s">
        <v>330</v>
      </c>
      <c r="J958" s="1" t="s">
        <v>79</v>
      </c>
      <c r="K958" t="s">
        <v>34</v>
      </c>
      <c r="M958" s="1" t="s">
        <v>35</v>
      </c>
      <c r="N958" s="1">
        <v>42318949</v>
      </c>
      <c r="O958" s="1" t="s">
        <v>105</v>
      </c>
      <c r="P958" s="186">
        <v>44932.477731481478</v>
      </c>
      <c r="R958" s="1" t="s">
        <v>38</v>
      </c>
      <c r="T958" s="1" t="s">
        <v>74</v>
      </c>
      <c r="U958" s="186">
        <v>44932.75</v>
      </c>
      <c r="V958" s="1" t="s">
        <v>41</v>
      </c>
      <c r="W958" s="1" t="s">
        <v>49</v>
      </c>
      <c r="X958" s="13" t="str">
        <f t="shared" si="85"/>
        <v/>
      </c>
      <c r="Y958" s="2">
        <f t="shared" ca="1" si="86"/>
        <v>39</v>
      </c>
      <c r="Z958" s="14"/>
      <c r="AA958" s="14"/>
    </row>
    <row r="959" spans="1:27" hidden="1">
      <c r="A959" s="1">
        <v>9299571</v>
      </c>
      <c r="B959" s="1" t="s">
        <v>101</v>
      </c>
      <c r="C959" t="s">
        <v>1761</v>
      </c>
      <c r="E959" s="2">
        <v>1052000206001</v>
      </c>
      <c r="F959" s="1" t="s">
        <v>29</v>
      </c>
      <c r="G959" s="1" t="s">
        <v>53</v>
      </c>
      <c r="H959" s="1" t="s">
        <v>329</v>
      </c>
      <c r="I959" s="1" t="s">
        <v>330</v>
      </c>
      <c r="J959" s="1" t="s">
        <v>79</v>
      </c>
      <c r="K959" t="s">
        <v>34</v>
      </c>
      <c r="M959" s="1" t="s">
        <v>35</v>
      </c>
      <c r="N959" s="1">
        <v>42318949</v>
      </c>
      <c r="O959" s="1" t="s">
        <v>105</v>
      </c>
      <c r="P959" s="186">
        <v>44932.477731481478</v>
      </c>
      <c r="R959" s="1" t="s">
        <v>38</v>
      </c>
      <c r="T959" s="1" t="s">
        <v>74</v>
      </c>
      <c r="U959" s="186">
        <v>44932.75</v>
      </c>
      <c r="V959" s="1" t="s">
        <v>41</v>
      </c>
      <c r="W959" s="1" t="s">
        <v>49</v>
      </c>
      <c r="X959" s="13" t="str">
        <f t="shared" si="85"/>
        <v/>
      </c>
      <c r="Y959" s="2">
        <f t="shared" ca="1" si="86"/>
        <v>39</v>
      </c>
      <c r="Z959" s="14"/>
      <c r="AA959" s="14"/>
    </row>
    <row r="960" spans="1:27" hidden="1">
      <c r="A960" s="1">
        <v>9299552</v>
      </c>
      <c r="B960" s="1" t="s">
        <v>101</v>
      </c>
      <c r="C960" t="s">
        <v>1761</v>
      </c>
      <c r="E960" s="2">
        <v>1011000206001</v>
      </c>
      <c r="F960" s="1" t="s">
        <v>29</v>
      </c>
      <c r="G960" s="1" t="s">
        <v>53</v>
      </c>
      <c r="H960" s="1" t="s">
        <v>272</v>
      </c>
      <c r="I960" s="1" t="s">
        <v>273</v>
      </c>
      <c r="J960" s="1" t="s">
        <v>33</v>
      </c>
      <c r="K960" t="s">
        <v>34</v>
      </c>
      <c r="M960" s="1" t="s">
        <v>35</v>
      </c>
      <c r="N960" s="1">
        <v>42318949</v>
      </c>
      <c r="O960" s="1" t="s">
        <v>105</v>
      </c>
      <c r="P960" s="186">
        <v>44932.477708333332</v>
      </c>
      <c r="R960" s="1" t="s">
        <v>38</v>
      </c>
      <c r="T960" s="1" t="s">
        <v>74</v>
      </c>
      <c r="U960" s="186">
        <v>44932.75</v>
      </c>
      <c r="V960" s="1" t="s">
        <v>41</v>
      </c>
      <c r="W960" s="1" t="s">
        <v>49</v>
      </c>
      <c r="X960" s="13" t="str">
        <f t="shared" si="85"/>
        <v/>
      </c>
      <c r="Y960" s="2">
        <f t="shared" ca="1" si="86"/>
        <v>39</v>
      </c>
      <c r="Z960" s="14"/>
      <c r="AA960" s="14"/>
    </row>
    <row r="961" spans="1:27" hidden="1">
      <c r="A961" s="1">
        <v>9299516</v>
      </c>
      <c r="B961" s="1" t="s">
        <v>101</v>
      </c>
      <c r="C961" t="s">
        <v>1761</v>
      </c>
      <c r="E961" s="2">
        <v>981000206001</v>
      </c>
      <c r="F961" s="1" t="s">
        <v>29</v>
      </c>
      <c r="G961" s="1" t="s">
        <v>53</v>
      </c>
      <c r="H961" s="1" t="s">
        <v>410</v>
      </c>
      <c r="I961" s="1" t="s">
        <v>411</v>
      </c>
      <c r="J961" s="1" t="s">
        <v>85</v>
      </c>
      <c r="K961" t="s">
        <v>34</v>
      </c>
      <c r="M961" s="1" t="s">
        <v>35</v>
      </c>
      <c r="N961" s="1">
        <v>42318949</v>
      </c>
      <c r="O961" s="1" t="s">
        <v>105</v>
      </c>
      <c r="P961" s="186">
        <v>44932.477662037039</v>
      </c>
      <c r="R961" s="1" t="s">
        <v>38</v>
      </c>
      <c r="T961" s="1" t="s">
        <v>74</v>
      </c>
      <c r="U961" s="186">
        <v>44932.75</v>
      </c>
      <c r="V961" s="1" t="s">
        <v>41</v>
      </c>
      <c r="W961" s="1" t="s">
        <v>49</v>
      </c>
      <c r="X961" s="13" t="str">
        <f t="shared" si="85"/>
        <v/>
      </c>
      <c r="Y961" s="2">
        <f t="shared" ca="1" si="86"/>
        <v>39</v>
      </c>
      <c r="Z961" s="14"/>
      <c r="AA961" s="14"/>
    </row>
    <row r="962" spans="1:27" hidden="1">
      <c r="A962" s="1">
        <v>9299457</v>
      </c>
      <c r="B962" s="1" t="s">
        <v>101</v>
      </c>
      <c r="C962" t="s">
        <v>1761</v>
      </c>
      <c r="E962" s="2">
        <v>917000206001</v>
      </c>
      <c r="F962" s="1" t="s">
        <v>29</v>
      </c>
      <c r="G962" s="1" t="s">
        <v>53</v>
      </c>
      <c r="H962" s="1" t="s">
        <v>83</v>
      </c>
      <c r="I962" s="1" t="s">
        <v>84</v>
      </c>
      <c r="J962" s="1" t="s">
        <v>85</v>
      </c>
      <c r="K962" t="s">
        <v>34</v>
      </c>
      <c r="M962" s="1" t="s">
        <v>35</v>
      </c>
      <c r="N962" s="1">
        <v>42318949</v>
      </c>
      <c r="O962" s="1" t="s">
        <v>105</v>
      </c>
      <c r="P962" s="186">
        <v>44932.477581018517</v>
      </c>
      <c r="R962" s="1" t="s">
        <v>38</v>
      </c>
      <c r="T962" s="1" t="s">
        <v>74</v>
      </c>
      <c r="U962" s="186">
        <v>44932.75</v>
      </c>
      <c r="V962" s="1" t="s">
        <v>41</v>
      </c>
      <c r="W962" s="1" t="s">
        <v>49</v>
      </c>
      <c r="X962" s="13" t="str">
        <f t="shared" si="85"/>
        <v/>
      </c>
      <c r="Y962" s="2">
        <f t="shared" ca="1" si="86"/>
        <v>39</v>
      </c>
      <c r="Z962" s="14"/>
      <c r="AA962" s="14"/>
    </row>
    <row r="963" spans="1:27" hidden="1">
      <c r="A963" s="1">
        <v>9299432</v>
      </c>
      <c r="B963" s="1" t="s">
        <v>101</v>
      </c>
      <c r="C963" t="s">
        <v>1761</v>
      </c>
      <c r="E963" s="2">
        <v>834000206001</v>
      </c>
      <c r="F963" s="1" t="s">
        <v>29</v>
      </c>
      <c r="G963" s="1" t="s">
        <v>53</v>
      </c>
      <c r="H963" s="1" t="s">
        <v>367</v>
      </c>
      <c r="I963" s="1" t="s">
        <v>368</v>
      </c>
      <c r="J963" s="1" t="s">
        <v>261</v>
      </c>
      <c r="K963" t="s">
        <v>34</v>
      </c>
      <c r="M963" s="1" t="s">
        <v>35</v>
      </c>
      <c r="N963" s="1">
        <v>42318949</v>
      </c>
      <c r="O963" s="1" t="s">
        <v>105</v>
      </c>
      <c r="P963" s="186">
        <v>44932.477546296293</v>
      </c>
      <c r="R963" s="1" t="s">
        <v>38</v>
      </c>
      <c r="T963" s="1" t="s">
        <v>74</v>
      </c>
      <c r="U963" s="186">
        <v>44932.75</v>
      </c>
      <c r="V963" s="1" t="s">
        <v>41</v>
      </c>
      <c r="W963" s="1" t="s">
        <v>49</v>
      </c>
      <c r="X963" s="13" t="str">
        <f t="shared" si="85"/>
        <v/>
      </c>
      <c r="Y963" s="2">
        <f t="shared" ca="1" si="86"/>
        <v>39</v>
      </c>
      <c r="Z963" s="14"/>
      <c r="AA963" s="14"/>
    </row>
    <row r="964" spans="1:27" hidden="1">
      <c r="A964" s="1">
        <v>9299374</v>
      </c>
      <c r="B964" s="1" t="s">
        <v>101</v>
      </c>
      <c r="C964" t="s">
        <v>1761</v>
      </c>
      <c r="E964" s="2">
        <v>711000206001</v>
      </c>
      <c r="F964" s="1" t="s">
        <v>29</v>
      </c>
      <c r="G964" s="1" t="s">
        <v>53</v>
      </c>
      <c r="H964" s="1" t="s">
        <v>77</v>
      </c>
      <c r="I964" s="1" t="s">
        <v>78</v>
      </c>
      <c r="J964" s="1" t="s">
        <v>79</v>
      </c>
      <c r="K964" t="s">
        <v>34</v>
      </c>
      <c r="M964" s="1" t="s">
        <v>35</v>
      </c>
      <c r="N964" s="1">
        <v>42318949</v>
      </c>
      <c r="O964" s="1" t="s">
        <v>105</v>
      </c>
      <c r="P964" s="186">
        <v>44932.477465277778</v>
      </c>
      <c r="R964" s="1" t="s">
        <v>38</v>
      </c>
      <c r="T964" s="1" t="s">
        <v>74</v>
      </c>
      <c r="U964" s="186">
        <v>44932.75</v>
      </c>
      <c r="V964" s="1" t="s">
        <v>41</v>
      </c>
      <c r="W964" s="1" t="s">
        <v>49</v>
      </c>
      <c r="X964" s="13" t="str">
        <f t="shared" si="85"/>
        <v/>
      </c>
      <c r="Y964" s="2">
        <f t="shared" ca="1" si="86"/>
        <v>39</v>
      </c>
      <c r="Z964" s="14"/>
      <c r="AA964" s="14"/>
    </row>
    <row r="965" spans="1:27" hidden="1">
      <c r="A965" s="1">
        <v>9299373</v>
      </c>
      <c r="B965" s="1" t="s">
        <v>101</v>
      </c>
      <c r="C965" t="s">
        <v>1761</v>
      </c>
      <c r="E965" s="2">
        <v>711000206001</v>
      </c>
      <c r="F965" s="1" t="s">
        <v>29</v>
      </c>
      <c r="G965" s="1" t="s">
        <v>53</v>
      </c>
      <c r="H965" s="1" t="s">
        <v>77</v>
      </c>
      <c r="I965" s="1" t="s">
        <v>78</v>
      </c>
      <c r="J965" s="1" t="s">
        <v>79</v>
      </c>
      <c r="K965" t="s">
        <v>34</v>
      </c>
      <c r="M965" s="1" t="s">
        <v>35</v>
      </c>
      <c r="N965" s="1">
        <v>42318949</v>
      </c>
      <c r="O965" s="1" t="s">
        <v>105</v>
      </c>
      <c r="P965" s="186">
        <v>44932.477465277778</v>
      </c>
      <c r="R965" s="1" t="s">
        <v>38</v>
      </c>
      <c r="T965" s="1" t="s">
        <v>74</v>
      </c>
      <c r="U965" s="186">
        <v>44932.75</v>
      </c>
      <c r="V965" s="1" t="s">
        <v>41</v>
      </c>
      <c r="W965" s="1" t="s">
        <v>49</v>
      </c>
      <c r="X965" s="13" t="str">
        <f t="shared" si="85"/>
        <v/>
      </c>
      <c r="Y965" s="2">
        <f t="shared" ca="1" si="86"/>
        <v>39</v>
      </c>
      <c r="Z965" s="14"/>
      <c r="AA965" s="14"/>
    </row>
    <row r="966" spans="1:27" hidden="1">
      <c r="A966" s="1">
        <v>9299372</v>
      </c>
      <c r="B966" s="1" t="s">
        <v>101</v>
      </c>
      <c r="C966" t="s">
        <v>1761</v>
      </c>
      <c r="E966" s="2">
        <v>711000206001</v>
      </c>
      <c r="F966" s="1" t="s">
        <v>29</v>
      </c>
      <c r="G966" s="1" t="s">
        <v>53</v>
      </c>
      <c r="H966" s="1" t="s">
        <v>77</v>
      </c>
      <c r="I966" s="1" t="s">
        <v>78</v>
      </c>
      <c r="J966" s="1" t="s">
        <v>79</v>
      </c>
      <c r="K966" t="s">
        <v>34</v>
      </c>
      <c r="M966" s="1" t="s">
        <v>35</v>
      </c>
      <c r="N966" s="1">
        <v>42318949</v>
      </c>
      <c r="O966" s="1" t="s">
        <v>105</v>
      </c>
      <c r="P966" s="186">
        <v>44932.477465277778</v>
      </c>
      <c r="R966" s="1" t="s">
        <v>38</v>
      </c>
      <c r="T966" s="1" t="s">
        <v>74</v>
      </c>
      <c r="U966" s="186">
        <v>44932.75</v>
      </c>
      <c r="V966" s="1" t="s">
        <v>41</v>
      </c>
      <c r="W966" s="1" t="s">
        <v>49</v>
      </c>
      <c r="X966" s="13" t="str">
        <f t="shared" si="85"/>
        <v/>
      </c>
      <c r="Y966" s="2">
        <f t="shared" ca="1" si="86"/>
        <v>39</v>
      </c>
      <c r="Z966" s="14"/>
      <c r="AA966" s="14"/>
    </row>
    <row r="967" spans="1:27" hidden="1">
      <c r="A967" s="1">
        <v>9299371</v>
      </c>
      <c r="B967" s="1" t="s">
        <v>101</v>
      </c>
      <c r="C967" t="s">
        <v>1761</v>
      </c>
      <c r="E967" s="2">
        <v>711000206001</v>
      </c>
      <c r="F967" s="1" t="s">
        <v>29</v>
      </c>
      <c r="G967" s="1" t="s">
        <v>53</v>
      </c>
      <c r="H967" s="1" t="s">
        <v>77</v>
      </c>
      <c r="I967" s="1" t="s">
        <v>78</v>
      </c>
      <c r="J967" s="1" t="s">
        <v>79</v>
      </c>
      <c r="K967" t="s">
        <v>34</v>
      </c>
      <c r="M967" s="1" t="s">
        <v>35</v>
      </c>
      <c r="N967" s="1">
        <v>42318949</v>
      </c>
      <c r="O967" s="1" t="s">
        <v>105</v>
      </c>
      <c r="P967" s="186">
        <v>44932.477465277778</v>
      </c>
      <c r="R967" s="1" t="s">
        <v>38</v>
      </c>
      <c r="T967" s="1" t="s">
        <v>74</v>
      </c>
      <c r="U967" s="186">
        <v>44932.75</v>
      </c>
      <c r="V967" s="1" t="s">
        <v>41</v>
      </c>
      <c r="W967" s="1" t="s">
        <v>49</v>
      </c>
      <c r="X967" s="13" t="str">
        <f t="shared" si="85"/>
        <v/>
      </c>
      <c r="Y967" s="2">
        <f t="shared" ca="1" si="86"/>
        <v>39</v>
      </c>
      <c r="Z967" s="14"/>
      <c r="AA967" s="14"/>
    </row>
    <row r="968" spans="1:27" hidden="1">
      <c r="A968" s="1">
        <v>9299370</v>
      </c>
      <c r="B968" s="1" t="s">
        <v>101</v>
      </c>
      <c r="C968" t="s">
        <v>1761</v>
      </c>
      <c r="E968" s="2">
        <v>711000206001</v>
      </c>
      <c r="F968" s="1" t="s">
        <v>29</v>
      </c>
      <c r="G968" s="1" t="s">
        <v>53</v>
      </c>
      <c r="H968" s="1" t="s">
        <v>77</v>
      </c>
      <c r="I968" s="1" t="s">
        <v>78</v>
      </c>
      <c r="J968" s="1" t="s">
        <v>79</v>
      </c>
      <c r="K968" t="s">
        <v>34</v>
      </c>
      <c r="M968" s="1" t="s">
        <v>35</v>
      </c>
      <c r="N968" s="1">
        <v>42318949</v>
      </c>
      <c r="O968" s="1" t="s">
        <v>105</v>
      </c>
      <c r="P968" s="186">
        <v>44932.477465277778</v>
      </c>
      <c r="R968" s="1" t="s">
        <v>38</v>
      </c>
      <c r="T968" s="1" t="s">
        <v>74</v>
      </c>
      <c r="U968" s="186">
        <v>44932.75</v>
      </c>
      <c r="V968" s="1" t="s">
        <v>41</v>
      </c>
      <c r="W968" s="1" t="s">
        <v>49</v>
      </c>
      <c r="X968" s="13" t="str">
        <f t="shared" si="85"/>
        <v/>
      </c>
      <c r="Y968" s="2">
        <f t="shared" ca="1" si="86"/>
        <v>39</v>
      </c>
      <c r="Z968" s="14"/>
      <c r="AA968" s="14"/>
    </row>
    <row r="969" spans="1:27" hidden="1">
      <c r="A969" s="1">
        <v>9299369</v>
      </c>
      <c r="B969" s="1" t="s">
        <v>101</v>
      </c>
      <c r="C969" t="s">
        <v>1761</v>
      </c>
      <c r="E969" s="2">
        <v>710000206001</v>
      </c>
      <c r="F969" s="1" t="s">
        <v>29</v>
      </c>
      <c r="G969" s="1" t="s">
        <v>53</v>
      </c>
      <c r="H969" s="1" t="s">
        <v>390</v>
      </c>
      <c r="I969" s="1" t="s">
        <v>391</v>
      </c>
      <c r="J969" s="1" t="s">
        <v>56</v>
      </c>
      <c r="K969" t="s">
        <v>34</v>
      </c>
      <c r="M969" s="1" t="s">
        <v>35</v>
      </c>
      <c r="N969" s="1">
        <v>42318949</v>
      </c>
      <c r="O969" s="1" t="s">
        <v>105</v>
      </c>
      <c r="P969" s="186">
        <v>44932.477465277778</v>
      </c>
      <c r="R969" s="1" t="s">
        <v>38</v>
      </c>
      <c r="T969" s="1" t="s">
        <v>74</v>
      </c>
      <c r="U969" s="186">
        <v>44932.75</v>
      </c>
      <c r="V969" s="1" t="s">
        <v>41</v>
      </c>
      <c r="W969" s="1" t="s">
        <v>49</v>
      </c>
      <c r="X969" s="13" t="str">
        <f t="shared" si="85"/>
        <v/>
      </c>
      <c r="Y969" s="2">
        <f t="shared" ca="1" si="86"/>
        <v>39</v>
      </c>
      <c r="Z969" s="14"/>
      <c r="AA969" s="14"/>
    </row>
    <row r="970" spans="1:27" hidden="1">
      <c r="A970" s="1">
        <v>9299368</v>
      </c>
      <c r="B970" s="1" t="s">
        <v>101</v>
      </c>
      <c r="C970" t="s">
        <v>1761</v>
      </c>
      <c r="E970" s="2">
        <v>710000206001</v>
      </c>
      <c r="F970" s="1" t="s">
        <v>29</v>
      </c>
      <c r="G970" s="1" t="s">
        <v>53</v>
      </c>
      <c r="H970" s="1" t="s">
        <v>390</v>
      </c>
      <c r="I970" s="1" t="s">
        <v>391</v>
      </c>
      <c r="J970" s="1" t="s">
        <v>56</v>
      </c>
      <c r="K970" t="s">
        <v>34</v>
      </c>
      <c r="M970" s="1" t="s">
        <v>35</v>
      </c>
      <c r="N970" s="1">
        <v>42318949</v>
      </c>
      <c r="O970" s="1" t="s">
        <v>105</v>
      </c>
      <c r="P970" s="186">
        <v>44932.477465277778</v>
      </c>
      <c r="R970" s="1" t="s">
        <v>38</v>
      </c>
      <c r="T970" s="1" t="s">
        <v>74</v>
      </c>
      <c r="U970" s="186">
        <v>44932.75</v>
      </c>
      <c r="V970" s="1" t="s">
        <v>41</v>
      </c>
      <c r="W970" s="1" t="s">
        <v>49</v>
      </c>
      <c r="X970" s="13" t="str">
        <f t="shared" si="85"/>
        <v/>
      </c>
      <c r="Y970" s="2">
        <f t="shared" ca="1" si="86"/>
        <v>39</v>
      </c>
      <c r="Z970" s="14"/>
      <c r="AA970" s="14"/>
    </row>
    <row r="971" spans="1:27" hidden="1">
      <c r="A971" s="1">
        <v>9299367</v>
      </c>
      <c r="B971" s="1" t="s">
        <v>101</v>
      </c>
      <c r="C971" t="s">
        <v>1761</v>
      </c>
      <c r="E971" s="2">
        <v>710000206001</v>
      </c>
      <c r="F971" s="1" t="s">
        <v>29</v>
      </c>
      <c r="G971" s="1" t="s">
        <v>53</v>
      </c>
      <c r="H971" s="1" t="s">
        <v>390</v>
      </c>
      <c r="I971" s="1" t="s">
        <v>391</v>
      </c>
      <c r="J971" s="1" t="s">
        <v>56</v>
      </c>
      <c r="K971" t="s">
        <v>34</v>
      </c>
      <c r="M971" s="1" t="s">
        <v>35</v>
      </c>
      <c r="N971" s="1">
        <v>42318949</v>
      </c>
      <c r="O971" s="1" t="s">
        <v>105</v>
      </c>
      <c r="P971" s="186">
        <v>44932.477465277778</v>
      </c>
      <c r="R971" s="1" t="s">
        <v>38</v>
      </c>
      <c r="T971" s="1" t="s">
        <v>74</v>
      </c>
      <c r="U971" s="186">
        <v>44932.75</v>
      </c>
      <c r="V971" s="1" t="s">
        <v>41</v>
      </c>
      <c r="W971" s="1" t="s">
        <v>49</v>
      </c>
      <c r="X971" s="13" t="str">
        <f t="shared" si="85"/>
        <v/>
      </c>
      <c r="Y971" s="2">
        <f t="shared" ca="1" si="86"/>
        <v>39</v>
      </c>
      <c r="Z971" s="14"/>
      <c r="AA971" s="14"/>
    </row>
    <row r="972" spans="1:27" hidden="1">
      <c r="A972" s="1">
        <v>9299366</v>
      </c>
      <c r="B972" s="1" t="s">
        <v>101</v>
      </c>
      <c r="C972" t="s">
        <v>1761</v>
      </c>
      <c r="E972" s="2">
        <v>710000206001</v>
      </c>
      <c r="F972" s="1" t="s">
        <v>29</v>
      </c>
      <c r="G972" s="1" t="s">
        <v>53</v>
      </c>
      <c r="H972" s="1" t="s">
        <v>390</v>
      </c>
      <c r="I972" s="1" t="s">
        <v>391</v>
      </c>
      <c r="J972" s="1" t="s">
        <v>56</v>
      </c>
      <c r="K972" t="s">
        <v>34</v>
      </c>
      <c r="M972" s="1" t="s">
        <v>35</v>
      </c>
      <c r="N972" s="1">
        <v>42318949</v>
      </c>
      <c r="O972" s="1" t="s">
        <v>36</v>
      </c>
      <c r="P972" s="186">
        <v>44932.477465277778</v>
      </c>
      <c r="R972" s="1" t="s">
        <v>38</v>
      </c>
      <c r="T972" s="1" t="s">
        <v>74</v>
      </c>
      <c r="U972" s="186">
        <v>44932.75</v>
      </c>
      <c r="V972" s="1" t="s">
        <v>41</v>
      </c>
      <c r="W972" s="1" t="s">
        <v>49</v>
      </c>
      <c r="X972" s="13" t="str">
        <f t="shared" si="85"/>
        <v/>
      </c>
      <c r="Y972" s="2">
        <f t="shared" ca="1" si="86"/>
        <v>39</v>
      </c>
      <c r="Z972" s="14"/>
      <c r="AA972" s="14"/>
    </row>
    <row r="973" spans="1:27" hidden="1">
      <c r="A973" s="1">
        <v>9299314</v>
      </c>
      <c r="B973" s="1" t="s">
        <v>101</v>
      </c>
      <c r="C973" t="s">
        <v>1761</v>
      </c>
      <c r="E973" s="2">
        <v>608000206001</v>
      </c>
      <c r="F973" s="1" t="s">
        <v>29</v>
      </c>
      <c r="G973" s="1" t="s">
        <v>53</v>
      </c>
      <c r="H973" s="1" t="s">
        <v>438</v>
      </c>
      <c r="I973" s="1" t="s">
        <v>439</v>
      </c>
      <c r="J973" s="1" t="s">
        <v>148</v>
      </c>
      <c r="K973" t="s">
        <v>34</v>
      </c>
      <c r="M973" s="1" t="s">
        <v>35</v>
      </c>
      <c r="N973" s="1">
        <v>42318949</v>
      </c>
      <c r="O973" s="1" t="s">
        <v>105</v>
      </c>
      <c r="P973" s="186">
        <v>44932.477384259262</v>
      </c>
      <c r="R973" s="1" t="s">
        <v>38</v>
      </c>
      <c r="T973" s="1" t="s">
        <v>74</v>
      </c>
      <c r="U973" s="186">
        <v>44932.75</v>
      </c>
      <c r="V973" s="1" t="s">
        <v>41</v>
      </c>
      <c r="W973" s="1" t="s">
        <v>49</v>
      </c>
      <c r="X973" s="13" t="str">
        <f t="shared" si="85"/>
        <v/>
      </c>
      <c r="Y973" s="2">
        <f t="shared" ca="1" si="86"/>
        <v>39</v>
      </c>
      <c r="Z973" s="14"/>
      <c r="AA973" s="14"/>
    </row>
    <row r="974" spans="1:27" hidden="1">
      <c r="A974" s="1">
        <v>9299313</v>
      </c>
      <c r="B974" s="1" t="s">
        <v>101</v>
      </c>
      <c r="C974" t="s">
        <v>1761</v>
      </c>
      <c r="E974" s="2">
        <v>608000206001</v>
      </c>
      <c r="F974" s="1" t="s">
        <v>29</v>
      </c>
      <c r="G974" s="1" t="s">
        <v>53</v>
      </c>
      <c r="H974" s="1" t="s">
        <v>438</v>
      </c>
      <c r="I974" s="1" t="s">
        <v>439</v>
      </c>
      <c r="J974" s="1" t="s">
        <v>148</v>
      </c>
      <c r="K974" t="s">
        <v>34</v>
      </c>
      <c r="M974" s="1" t="s">
        <v>35</v>
      </c>
      <c r="N974" s="1">
        <v>42318949</v>
      </c>
      <c r="O974" s="1" t="s">
        <v>105</v>
      </c>
      <c r="P974" s="186">
        <v>44932.477384259262</v>
      </c>
      <c r="R974" s="1" t="s">
        <v>38</v>
      </c>
      <c r="T974" s="1" t="s">
        <v>74</v>
      </c>
      <c r="U974" s="186">
        <v>44932.75</v>
      </c>
      <c r="V974" s="1" t="s">
        <v>41</v>
      </c>
      <c r="W974" s="1" t="s">
        <v>49</v>
      </c>
      <c r="X974" s="13" t="str">
        <f t="shared" si="85"/>
        <v/>
      </c>
      <c r="Y974" s="2">
        <f t="shared" ca="1" si="86"/>
        <v>39</v>
      </c>
      <c r="Z974" s="14"/>
      <c r="AA974" s="14"/>
    </row>
    <row r="975" spans="1:27" hidden="1">
      <c r="A975" s="1">
        <v>9299309</v>
      </c>
      <c r="B975" s="1" t="s">
        <v>101</v>
      </c>
      <c r="C975" t="s">
        <v>1761</v>
      </c>
      <c r="E975" s="2">
        <v>605000206001</v>
      </c>
      <c r="F975" s="1" t="s">
        <v>29</v>
      </c>
      <c r="G975" s="1" t="s">
        <v>53</v>
      </c>
      <c r="H975" s="1" t="s">
        <v>420</v>
      </c>
      <c r="I975" s="1" t="s">
        <v>421</v>
      </c>
      <c r="J975" s="1" t="s">
        <v>90</v>
      </c>
      <c r="K975" t="s">
        <v>34</v>
      </c>
      <c r="M975" s="1" t="s">
        <v>35</v>
      </c>
      <c r="N975" s="1">
        <v>42318949</v>
      </c>
      <c r="O975" s="1" t="s">
        <v>105</v>
      </c>
      <c r="P975" s="186">
        <v>44932.477372685185</v>
      </c>
      <c r="R975" s="1" t="s">
        <v>38</v>
      </c>
      <c r="T975" s="1" t="s">
        <v>74</v>
      </c>
      <c r="U975" s="186">
        <v>44932.75</v>
      </c>
      <c r="V975" s="1" t="s">
        <v>41</v>
      </c>
      <c r="W975" s="1" t="s">
        <v>49</v>
      </c>
      <c r="X975" s="13" t="str">
        <f t="shared" si="85"/>
        <v/>
      </c>
      <c r="Y975" s="2">
        <f t="shared" ca="1" si="86"/>
        <v>39</v>
      </c>
      <c r="Z975" s="14"/>
      <c r="AA975" s="14"/>
    </row>
    <row r="976" spans="1:27" hidden="1">
      <c r="A976" s="1">
        <v>9299279</v>
      </c>
      <c r="B976" s="1" t="s">
        <v>101</v>
      </c>
      <c r="C976" t="s">
        <v>1761</v>
      </c>
      <c r="E976" s="2">
        <v>550000206001</v>
      </c>
      <c r="F976" s="1" t="s">
        <v>29</v>
      </c>
      <c r="G976" s="1" t="s">
        <v>53</v>
      </c>
      <c r="H976" s="1" t="s">
        <v>337</v>
      </c>
      <c r="I976" s="1" t="s">
        <v>338</v>
      </c>
      <c r="J976" s="1" t="s">
        <v>164</v>
      </c>
      <c r="K976" t="s">
        <v>34</v>
      </c>
      <c r="M976" s="1" t="s">
        <v>35</v>
      </c>
      <c r="N976" s="1">
        <v>42318949</v>
      </c>
      <c r="O976" s="1" t="s">
        <v>105</v>
      </c>
      <c r="P976" s="186">
        <v>44932.477337962962</v>
      </c>
      <c r="R976" s="1" t="s">
        <v>38</v>
      </c>
      <c r="T976" s="1" t="s">
        <v>74</v>
      </c>
      <c r="U976" s="186">
        <v>44932.75</v>
      </c>
      <c r="V976" s="1" t="s">
        <v>41</v>
      </c>
      <c r="W976" s="1" t="s">
        <v>49</v>
      </c>
      <c r="X976" s="13" t="str">
        <f t="shared" si="85"/>
        <v/>
      </c>
      <c r="Y976" s="2">
        <f t="shared" ca="1" si="86"/>
        <v>39</v>
      </c>
      <c r="Z976" s="14"/>
      <c r="AA976" s="14"/>
    </row>
    <row r="977" spans="1:27" hidden="1">
      <c r="A977" s="1">
        <v>9299275</v>
      </c>
      <c r="B977" s="1" t="s">
        <v>101</v>
      </c>
      <c r="C977" t="s">
        <v>1761</v>
      </c>
      <c r="E977" s="2">
        <v>537000206001</v>
      </c>
      <c r="F977" s="1" t="s">
        <v>29</v>
      </c>
      <c r="G977" s="1" t="s">
        <v>53</v>
      </c>
      <c r="H977" s="1" t="s">
        <v>442</v>
      </c>
      <c r="I977" s="1" t="s">
        <v>443</v>
      </c>
      <c r="J977" s="1" t="s">
        <v>79</v>
      </c>
      <c r="K977" t="s">
        <v>34</v>
      </c>
      <c r="M977" s="1" t="s">
        <v>35</v>
      </c>
      <c r="N977" s="1">
        <v>42318949</v>
      </c>
      <c r="O977" s="1" t="s">
        <v>105</v>
      </c>
      <c r="P977" s="186">
        <v>44932.477326388886</v>
      </c>
      <c r="R977" s="1" t="s">
        <v>38</v>
      </c>
      <c r="T977" s="1" t="s">
        <v>74</v>
      </c>
      <c r="U977" s="186">
        <v>44932.75</v>
      </c>
      <c r="V977" s="1" t="s">
        <v>41</v>
      </c>
      <c r="W977" s="1" t="s">
        <v>49</v>
      </c>
      <c r="X977" s="13" t="str">
        <f t="shared" si="85"/>
        <v/>
      </c>
      <c r="Y977" s="2">
        <f t="shared" ca="1" si="86"/>
        <v>39</v>
      </c>
      <c r="Z977" s="14"/>
      <c r="AA977" s="14"/>
    </row>
    <row r="978" spans="1:27" hidden="1">
      <c r="A978" s="1">
        <v>9299274</v>
      </c>
      <c r="B978" s="1" t="s">
        <v>101</v>
      </c>
      <c r="C978" t="s">
        <v>1761</v>
      </c>
      <c r="E978" s="2">
        <v>537000206001</v>
      </c>
      <c r="F978" s="1" t="s">
        <v>29</v>
      </c>
      <c r="G978" s="1" t="s">
        <v>53</v>
      </c>
      <c r="H978" s="1" t="s">
        <v>442</v>
      </c>
      <c r="I978" s="1" t="s">
        <v>443</v>
      </c>
      <c r="J978" s="1" t="s">
        <v>79</v>
      </c>
      <c r="K978" t="s">
        <v>34</v>
      </c>
      <c r="M978" s="1" t="s">
        <v>35</v>
      </c>
      <c r="N978" s="1">
        <v>42318949</v>
      </c>
      <c r="O978" s="1" t="s">
        <v>105</v>
      </c>
      <c r="P978" s="186">
        <v>44932.477326388886</v>
      </c>
      <c r="R978" s="1" t="s">
        <v>38</v>
      </c>
      <c r="T978" s="1" t="s">
        <v>74</v>
      </c>
      <c r="U978" s="186">
        <v>44932.75</v>
      </c>
      <c r="V978" s="1" t="s">
        <v>41</v>
      </c>
      <c r="W978" s="1" t="s">
        <v>49</v>
      </c>
      <c r="X978" s="13" t="str">
        <f t="shared" si="85"/>
        <v/>
      </c>
      <c r="Y978" s="2">
        <f t="shared" ca="1" si="86"/>
        <v>39</v>
      </c>
      <c r="Z978" s="14"/>
      <c r="AA978" s="14"/>
    </row>
    <row r="979" spans="1:27" hidden="1">
      <c r="A979" s="1">
        <v>9299223</v>
      </c>
      <c r="B979" s="1" t="s">
        <v>101</v>
      </c>
      <c r="C979" t="s">
        <v>1761</v>
      </c>
      <c r="E979" s="2">
        <v>446000206001</v>
      </c>
      <c r="F979" s="1" t="s">
        <v>29</v>
      </c>
      <c r="G979" s="1" t="s">
        <v>53</v>
      </c>
      <c r="H979" s="1" t="s">
        <v>432</v>
      </c>
      <c r="I979" s="1" t="s">
        <v>433</v>
      </c>
      <c r="J979" s="1" t="s">
        <v>110</v>
      </c>
      <c r="K979" t="s">
        <v>34</v>
      </c>
      <c r="M979" s="1" t="s">
        <v>35</v>
      </c>
      <c r="N979" s="1">
        <v>42318949</v>
      </c>
      <c r="O979" s="1" t="s">
        <v>105</v>
      </c>
      <c r="P979" s="186">
        <v>44932.477256944447</v>
      </c>
      <c r="R979" s="1" t="s">
        <v>38</v>
      </c>
      <c r="T979" s="1" t="s">
        <v>74</v>
      </c>
      <c r="U979" s="186">
        <v>44932.75</v>
      </c>
      <c r="V979" s="1" t="s">
        <v>41</v>
      </c>
      <c r="W979" s="1" t="s">
        <v>49</v>
      </c>
      <c r="X979" s="13" t="str">
        <f t="shared" si="85"/>
        <v/>
      </c>
      <c r="Y979" s="2">
        <f t="shared" ca="1" si="86"/>
        <v>39</v>
      </c>
      <c r="Z979" s="14"/>
      <c r="AA979" s="14"/>
    </row>
    <row r="980" spans="1:27" hidden="1">
      <c r="A980" s="1">
        <v>9299222</v>
      </c>
      <c r="B980" s="1" t="s">
        <v>101</v>
      </c>
      <c r="C980" t="s">
        <v>1761</v>
      </c>
      <c r="E980" s="2">
        <v>446000206001</v>
      </c>
      <c r="F980" s="1" t="s">
        <v>29</v>
      </c>
      <c r="G980" s="1" t="s">
        <v>53</v>
      </c>
      <c r="H980" s="1" t="s">
        <v>432</v>
      </c>
      <c r="I980" s="1" t="s">
        <v>433</v>
      </c>
      <c r="J980" s="1" t="s">
        <v>110</v>
      </c>
      <c r="K980" t="s">
        <v>34</v>
      </c>
      <c r="M980" s="1" t="s">
        <v>35</v>
      </c>
      <c r="N980" s="1">
        <v>42318949</v>
      </c>
      <c r="O980" s="1" t="s">
        <v>105</v>
      </c>
      <c r="P980" s="186">
        <v>44932.477256944447</v>
      </c>
      <c r="R980" s="1" t="s">
        <v>38</v>
      </c>
      <c r="T980" s="1" t="s">
        <v>74</v>
      </c>
      <c r="U980" s="186">
        <v>44932.75</v>
      </c>
      <c r="V980" s="1" t="s">
        <v>41</v>
      </c>
      <c r="W980" s="1" t="s">
        <v>49</v>
      </c>
      <c r="X980" s="13" t="str">
        <f t="shared" si="85"/>
        <v/>
      </c>
      <c r="Y980" s="2">
        <f t="shared" ca="1" si="86"/>
        <v>39</v>
      </c>
      <c r="Z980" s="14"/>
      <c r="AA980" s="14"/>
    </row>
    <row r="981" spans="1:27" hidden="1">
      <c r="A981" s="1">
        <v>9299221</v>
      </c>
      <c r="B981" s="1" t="s">
        <v>101</v>
      </c>
      <c r="C981" t="s">
        <v>1761</v>
      </c>
      <c r="E981" s="2">
        <v>446000206001</v>
      </c>
      <c r="F981" s="1" t="s">
        <v>29</v>
      </c>
      <c r="G981" s="1" t="s">
        <v>53</v>
      </c>
      <c r="H981" s="1" t="s">
        <v>432</v>
      </c>
      <c r="I981" s="1" t="s">
        <v>433</v>
      </c>
      <c r="J981" s="1" t="s">
        <v>110</v>
      </c>
      <c r="K981" t="s">
        <v>34</v>
      </c>
      <c r="M981" s="1" t="s">
        <v>35</v>
      </c>
      <c r="N981" s="1">
        <v>42318949</v>
      </c>
      <c r="O981" s="1" t="s">
        <v>105</v>
      </c>
      <c r="P981" s="186">
        <v>44932.477256944447</v>
      </c>
      <c r="R981" s="1" t="s">
        <v>38</v>
      </c>
      <c r="T981" s="1" t="s">
        <v>74</v>
      </c>
      <c r="U981" s="186">
        <v>44932.75</v>
      </c>
      <c r="V981" s="1" t="s">
        <v>41</v>
      </c>
      <c r="W981" s="1" t="s">
        <v>49</v>
      </c>
      <c r="X981" s="13" t="str">
        <f t="shared" si="85"/>
        <v/>
      </c>
      <c r="Y981" s="2">
        <f t="shared" ca="1" si="86"/>
        <v>39</v>
      </c>
      <c r="Z981" s="14"/>
      <c r="AA981" s="14"/>
    </row>
    <row r="982" spans="1:27" hidden="1">
      <c r="A982" s="1">
        <v>9299220</v>
      </c>
      <c r="B982" s="1" t="s">
        <v>101</v>
      </c>
      <c r="C982" t="s">
        <v>1761</v>
      </c>
      <c r="E982" s="2">
        <v>446000206001</v>
      </c>
      <c r="F982" s="1" t="s">
        <v>29</v>
      </c>
      <c r="G982" s="1" t="s">
        <v>53</v>
      </c>
      <c r="H982" s="1" t="s">
        <v>432</v>
      </c>
      <c r="I982" s="1" t="s">
        <v>433</v>
      </c>
      <c r="J982" s="1" t="s">
        <v>110</v>
      </c>
      <c r="K982" t="s">
        <v>34</v>
      </c>
      <c r="M982" s="1" t="s">
        <v>35</v>
      </c>
      <c r="N982" s="1">
        <v>42318949</v>
      </c>
      <c r="O982" s="1" t="s">
        <v>105</v>
      </c>
      <c r="P982" s="186">
        <v>44932.477256944447</v>
      </c>
      <c r="R982" s="1" t="s">
        <v>38</v>
      </c>
      <c r="T982" s="1" t="s">
        <v>74</v>
      </c>
      <c r="U982" s="186">
        <v>44932.75</v>
      </c>
      <c r="V982" s="1" t="s">
        <v>41</v>
      </c>
      <c r="W982" s="1" t="s">
        <v>49</v>
      </c>
      <c r="X982" s="13" t="str">
        <f t="shared" si="85"/>
        <v/>
      </c>
      <c r="Y982" s="2">
        <f t="shared" ca="1" si="86"/>
        <v>39</v>
      </c>
      <c r="Z982" s="14"/>
      <c r="AA982" s="14"/>
    </row>
    <row r="983" spans="1:27" hidden="1">
      <c r="A983" s="1">
        <v>9299075</v>
      </c>
      <c r="B983" s="1" t="s">
        <v>101</v>
      </c>
      <c r="C983" t="s">
        <v>1761</v>
      </c>
      <c r="E983" s="2">
        <v>246000206001</v>
      </c>
      <c r="F983" s="1" t="s">
        <v>29</v>
      </c>
      <c r="G983" s="1" t="s">
        <v>53</v>
      </c>
      <c r="H983" s="1" t="s">
        <v>1193</v>
      </c>
      <c r="I983" s="1" t="s">
        <v>1194</v>
      </c>
      <c r="J983" s="1" t="s">
        <v>85</v>
      </c>
      <c r="K983" t="s">
        <v>34</v>
      </c>
      <c r="M983" s="1" t="s">
        <v>35</v>
      </c>
      <c r="N983" s="1">
        <v>42318949</v>
      </c>
      <c r="O983" s="1" t="s">
        <v>105</v>
      </c>
      <c r="P983" s="186">
        <v>44932.477048611108</v>
      </c>
      <c r="R983" s="1" t="s">
        <v>38</v>
      </c>
      <c r="T983" s="1" t="s">
        <v>74</v>
      </c>
      <c r="U983" s="186">
        <v>44932.75</v>
      </c>
      <c r="V983" s="1" t="s">
        <v>41</v>
      </c>
      <c r="W983" s="1" t="s">
        <v>49</v>
      </c>
      <c r="X983" s="13" t="str">
        <f t="shared" si="85"/>
        <v/>
      </c>
      <c r="Y983" s="2">
        <f t="shared" ca="1" si="86"/>
        <v>39</v>
      </c>
      <c r="Z983" s="14"/>
      <c r="AA983" s="14"/>
    </row>
    <row r="984" spans="1:27" hidden="1">
      <c r="A984" s="1">
        <v>9299074</v>
      </c>
      <c r="B984" s="1" t="s">
        <v>101</v>
      </c>
      <c r="C984" t="s">
        <v>1761</v>
      </c>
      <c r="E984" s="2">
        <v>246000206001</v>
      </c>
      <c r="F984" s="1" t="s">
        <v>29</v>
      </c>
      <c r="G984" s="1" t="s">
        <v>53</v>
      </c>
      <c r="H984" s="1" t="s">
        <v>1193</v>
      </c>
      <c r="I984" s="1" t="s">
        <v>1194</v>
      </c>
      <c r="J984" s="1" t="s">
        <v>85</v>
      </c>
      <c r="K984" t="s">
        <v>34</v>
      </c>
      <c r="M984" s="1" t="s">
        <v>35</v>
      </c>
      <c r="N984" s="1">
        <v>42318949</v>
      </c>
      <c r="O984" s="1" t="s">
        <v>105</v>
      </c>
      <c r="P984" s="186">
        <v>44932.477048611108</v>
      </c>
      <c r="R984" s="1" t="s">
        <v>38</v>
      </c>
      <c r="T984" s="1" t="s">
        <v>74</v>
      </c>
      <c r="U984" s="186">
        <v>44932.75</v>
      </c>
      <c r="V984" s="1" t="s">
        <v>41</v>
      </c>
      <c r="W984" s="1" t="s">
        <v>49</v>
      </c>
      <c r="X984" s="13" t="str">
        <f t="shared" si="85"/>
        <v/>
      </c>
      <c r="Y984" s="2">
        <f t="shared" ca="1" si="86"/>
        <v>39</v>
      </c>
      <c r="Z984" s="14"/>
      <c r="AA984" s="14"/>
    </row>
    <row r="985" spans="1:27" hidden="1">
      <c r="A985" s="1">
        <v>9299073</v>
      </c>
      <c r="B985" s="1" t="s">
        <v>101</v>
      </c>
      <c r="C985" t="s">
        <v>1761</v>
      </c>
      <c r="E985" s="2">
        <v>246000206001</v>
      </c>
      <c r="F985" s="1" t="s">
        <v>29</v>
      </c>
      <c r="G985" s="1" t="s">
        <v>53</v>
      </c>
      <c r="H985" s="1" t="s">
        <v>1193</v>
      </c>
      <c r="I985" s="1" t="s">
        <v>1194</v>
      </c>
      <c r="J985" s="1" t="s">
        <v>85</v>
      </c>
      <c r="K985" t="s">
        <v>34</v>
      </c>
      <c r="M985" s="1" t="s">
        <v>35</v>
      </c>
      <c r="N985" s="1">
        <v>42318949</v>
      </c>
      <c r="O985" s="1" t="s">
        <v>105</v>
      </c>
      <c r="P985" s="186">
        <v>44932.477048611108</v>
      </c>
      <c r="R985" s="1" t="s">
        <v>38</v>
      </c>
      <c r="T985" s="1" t="s">
        <v>74</v>
      </c>
      <c r="U985" s="186">
        <v>44932.75</v>
      </c>
      <c r="V985" s="1" t="s">
        <v>41</v>
      </c>
      <c r="W985" s="1" t="s">
        <v>49</v>
      </c>
      <c r="X985" s="13" t="str">
        <f t="shared" si="85"/>
        <v/>
      </c>
      <c r="Y985" s="2">
        <f t="shared" ca="1" si="86"/>
        <v>39</v>
      </c>
      <c r="Z985" s="14"/>
      <c r="AA985" s="14"/>
    </row>
    <row r="986" spans="1:27" hidden="1">
      <c r="A986" s="1">
        <v>9299072</v>
      </c>
      <c r="B986" s="1" t="s">
        <v>101</v>
      </c>
      <c r="C986" t="s">
        <v>1761</v>
      </c>
      <c r="E986" s="2">
        <v>246000206001</v>
      </c>
      <c r="F986" s="1" t="s">
        <v>29</v>
      </c>
      <c r="G986" s="1" t="s">
        <v>53</v>
      </c>
      <c r="H986" s="1" t="s">
        <v>1193</v>
      </c>
      <c r="I986" s="1" t="s">
        <v>1194</v>
      </c>
      <c r="J986" s="1" t="s">
        <v>85</v>
      </c>
      <c r="K986" t="s">
        <v>34</v>
      </c>
      <c r="M986" s="1" t="s">
        <v>35</v>
      </c>
      <c r="N986" s="1">
        <v>42318949</v>
      </c>
      <c r="O986" s="1" t="s">
        <v>105</v>
      </c>
      <c r="P986" s="186">
        <v>44932.477048611108</v>
      </c>
      <c r="R986" s="1" t="s">
        <v>38</v>
      </c>
      <c r="T986" s="1" t="s">
        <v>74</v>
      </c>
      <c r="U986" s="186">
        <v>44932.75</v>
      </c>
      <c r="V986" s="1" t="s">
        <v>41</v>
      </c>
      <c r="W986" s="1" t="s">
        <v>49</v>
      </c>
      <c r="X986" s="13" t="str">
        <f t="shared" si="85"/>
        <v/>
      </c>
      <c r="Y986" s="2">
        <f t="shared" ca="1" si="86"/>
        <v>39</v>
      </c>
      <c r="Z986" s="14"/>
      <c r="AA986" s="14"/>
    </row>
    <row r="987" spans="1:27" hidden="1">
      <c r="A987" s="1">
        <v>9299071</v>
      </c>
      <c r="B987" s="1" t="s">
        <v>101</v>
      </c>
      <c r="C987" t="s">
        <v>1761</v>
      </c>
      <c r="E987" s="2">
        <v>244000206001</v>
      </c>
      <c r="F987" s="1" t="s">
        <v>29</v>
      </c>
      <c r="G987" s="1" t="s">
        <v>53</v>
      </c>
      <c r="H987" s="1" t="s">
        <v>313</v>
      </c>
      <c r="I987" s="1" t="s">
        <v>314</v>
      </c>
      <c r="J987" s="1" t="s">
        <v>56</v>
      </c>
      <c r="K987" t="s">
        <v>34</v>
      </c>
      <c r="M987" s="1" t="s">
        <v>35</v>
      </c>
      <c r="N987" s="1">
        <v>42318949</v>
      </c>
      <c r="O987" s="1" t="s">
        <v>105</v>
      </c>
      <c r="P987" s="186">
        <v>44932.477037037039</v>
      </c>
      <c r="R987" s="1" t="s">
        <v>38</v>
      </c>
      <c r="T987" s="1" t="s">
        <v>74</v>
      </c>
      <c r="U987" s="186">
        <v>44932.75</v>
      </c>
      <c r="V987" s="1" t="s">
        <v>41</v>
      </c>
      <c r="W987" s="1" t="s">
        <v>49</v>
      </c>
      <c r="X987" s="13" t="str">
        <f t="shared" si="85"/>
        <v/>
      </c>
      <c r="Y987" s="2">
        <f t="shared" ca="1" si="86"/>
        <v>39</v>
      </c>
      <c r="Z987" s="14"/>
      <c r="AA987" s="14"/>
    </row>
    <row r="988" spans="1:27" hidden="1">
      <c r="A988" s="1">
        <v>9299059</v>
      </c>
      <c r="B988" s="1" t="s">
        <v>101</v>
      </c>
      <c r="C988" t="s">
        <v>1761</v>
      </c>
      <c r="E988" s="2">
        <v>220000206001</v>
      </c>
      <c r="F988" s="1" t="s">
        <v>29</v>
      </c>
      <c r="G988" s="1" t="s">
        <v>53</v>
      </c>
      <c r="H988" s="1" t="s">
        <v>588</v>
      </c>
      <c r="I988" s="1" t="s">
        <v>589</v>
      </c>
      <c r="J988" s="1" t="s">
        <v>110</v>
      </c>
      <c r="K988" t="s">
        <v>34</v>
      </c>
      <c r="M988" s="1" t="s">
        <v>35</v>
      </c>
      <c r="N988" s="1">
        <v>42318949</v>
      </c>
      <c r="O988" s="1" t="s">
        <v>105</v>
      </c>
      <c r="P988" s="186">
        <v>44932.477025462962</v>
      </c>
      <c r="R988" s="1" t="s">
        <v>38</v>
      </c>
      <c r="T988" s="1" t="s">
        <v>74</v>
      </c>
      <c r="U988" s="186">
        <v>44932.75</v>
      </c>
      <c r="V988" s="1" t="s">
        <v>41</v>
      </c>
      <c r="W988" s="1" t="s">
        <v>49</v>
      </c>
      <c r="X988" s="13" t="str">
        <f t="shared" si="85"/>
        <v/>
      </c>
      <c r="Y988" s="2">
        <f t="shared" ca="1" si="86"/>
        <v>39</v>
      </c>
      <c r="Z988" s="14"/>
      <c r="AA988" s="14"/>
    </row>
    <row r="989" spans="1:27" hidden="1">
      <c r="A989" s="1">
        <v>9299058</v>
      </c>
      <c r="B989" s="1" t="s">
        <v>101</v>
      </c>
      <c r="C989" t="s">
        <v>1761</v>
      </c>
      <c r="E989" s="2">
        <v>220000206001</v>
      </c>
      <c r="F989" s="1" t="s">
        <v>29</v>
      </c>
      <c r="G989" s="1" t="s">
        <v>53</v>
      </c>
      <c r="H989" s="1" t="s">
        <v>588</v>
      </c>
      <c r="I989" s="1" t="s">
        <v>589</v>
      </c>
      <c r="J989" s="1" t="s">
        <v>110</v>
      </c>
      <c r="K989" t="s">
        <v>34</v>
      </c>
      <c r="M989" s="1" t="s">
        <v>35</v>
      </c>
      <c r="N989" s="1">
        <v>42318949</v>
      </c>
      <c r="O989" s="1" t="s">
        <v>105</v>
      </c>
      <c r="P989" s="186">
        <v>44932.477025462962</v>
      </c>
      <c r="R989" s="1" t="s">
        <v>38</v>
      </c>
      <c r="T989" s="1" t="s">
        <v>74</v>
      </c>
      <c r="U989" s="186">
        <v>44932.75</v>
      </c>
      <c r="V989" s="1" t="s">
        <v>41</v>
      </c>
      <c r="W989" s="1" t="s">
        <v>49</v>
      </c>
      <c r="X989" s="13" t="str">
        <f t="shared" si="85"/>
        <v/>
      </c>
      <c r="Y989" s="2">
        <f t="shared" ca="1" si="86"/>
        <v>39</v>
      </c>
      <c r="Z989" s="14"/>
      <c r="AA989" s="14"/>
    </row>
    <row r="990" spans="1:27" hidden="1">
      <c r="A990" s="1">
        <v>9299057</v>
      </c>
      <c r="B990" s="1" t="s">
        <v>101</v>
      </c>
      <c r="C990" t="s">
        <v>1761</v>
      </c>
      <c r="E990" s="2">
        <v>220000206001</v>
      </c>
      <c r="F990" s="1" t="s">
        <v>29</v>
      </c>
      <c r="G990" s="1" t="s">
        <v>53</v>
      </c>
      <c r="H990" s="1" t="s">
        <v>588</v>
      </c>
      <c r="I990" s="1" t="s">
        <v>589</v>
      </c>
      <c r="J990" s="1" t="s">
        <v>110</v>
      </c>
      <c r="K990" t="s">
        <v>34</v>
      </c>
      <c r="M990" s="1" t="s">
        <v>35</v>
      </c>
      <c r="N990" s="1">
        <v>42318949</v>
      </c>
      <c r="O990" s="1" t="s">
        <v>105</v>
      </c>
      <c r="P990" s="186">
        <v>44932.477025462962</v>
      </c>
      <c r="R990" s="1" t="s">
        <v>38</v>
      </c>
      <c r="T990" s="1" t="s">
        <v>74</v>
      </c>
      <c r="U990" s="186">
        <v>44932.75</v>
      </c>
      <c r="V990" s="1" t="s">
        <v>41</v>
      </c>
      <c r="W990" s="1" t="s">
        <v>49</v>
      </c>
      <c r="X990" s="13" t="str">
        <f t="shared" si="85"/>
        <v/>
      </c>
      <c r="Y990" s="2">
        <f t="shared" ca="1" si="86"/>
        <v>39</v>
      </c>
      <c r="Z990" s="14"/>
      <c r="AA990" s="14"/>
    </row>
    <row r="991" spans="1:27" hidden="1">
      <c r="A991" s="1">
        <v>9299056</v>
      </c>
      <c r="B991" s="1" t="s">
        <v>101</v>
      </c>
      <c r="C991" t="s">
        <v>1761</v>
      </c>
      <c r="E991" s="2">
        <v>220000206001</v>
      </c>
      <c r="F991" s="1" t="s">
        <v>29</v>
      </c>
      <c r="G991" s="1" t="s">
        <v>53</v>
      </c>
      <c r="H991" s="1" t="s">
        <v>588</v>
      </c>
      <c r="I991" s="1" t="s">
        <v>589</v>
      </c>
      <c r="J991" s="1" t="s">
        <v>110</v>
      </c>
      <c r="K991" t="s">
        <v>34</v>
      </c>
      <c r="M991" s="1" t="s">
        <v>35</v>
      </c>
      <c r="N991" s="1">
        <v>42318949</v>
      </c>
      <c r="O991" s="1" t="s">
        <v>105</v>
      </c>
      <c r="P991" s="186">
        <v>44932.477025462962</v>
      </c>
      <c r="R991" s="1" t="s">
        <v>38</v>
      </c>
      <c r="T991" s="1" t="s">
        <v>74</v>
      </c>
      <c r="U991" s="186">
        <v>44932.75</v>
      </c>
      <c r="V991" s="1" t="s">
        <v>41</v>
      </c>
      <c r="W991" s="1" t="s">
        <v>49</v>
      </c>
      <c r="X991" s="13" t="str">
        <f t="shared" si="85"/>
        <v/>
      </c>
      <c r="Y991" s="2">
        <f t="shared" ca="1" si="86"/>
        <v>39</v>
      </c>
      <c r="Z991" s="14"/>
      <c r="AA991" s="14"/>
    </row>
    <row r="992" spans="1:27" hidden="1">
      <c r="A992" s="1">
        <v>9299055</v>
      </c>
      <c r="B992" s="1" t="s">
        <v>101</v>
      </c>
      <c r="C992" t="s">
        <v>1761</v>
      </c>
      <c r="E992" s="2">
        <v>220000206001</v>
      </c>
      <c r="F992" s="1" t="s">
        <v>29</v>
      </c>
      <c r="G992" s="1" t="s">
        <v>53</v>
      </c>
      <c r="H992" s="1" t="s">
        <v>588</v>
      </c>
      <c r="I992" s="1" t="s">
        <v>589</v>
      </c>
      <c r="J992" s="1" t="s">
        <v>110</v>
      </c>
      <c r="K992" t="s">
        <v>34</v>
      </c>
      <c r="M992" s="1" t="s">
        <v>35</v>
      </c>
      <c r="N992" s="1">
        <v>42318949</v>
      </c>
      <c r="O992" s="1" t="s">
        <v>105</v>
      </c>
      <c r="P992" s="186">
        <v>44932.477013888885</v>
      </c>
      <c r="R992" s="1" t="s">
        <v>38</v>
      </c>
      <c r="T992" s="1" t="s">
        <v>74</v>
      </c>
      <c r="U992" s="186">
        <v>44932.75</v>
      </c>
      <c r="V992" s="1" t="s">
        <v>41</v>
      </c>
      <c r="W992" s="1" t="s">
        <v>49</v>
      </c>
      <c r="X992" s="13" t="str">
        <f t="shared" si="85"/>
        <v/>
      </c>
      <c r="Y992" s="2">
        <f t="shared" ca="1" si="86"/>
        <v>39</v>
      </c>
      <c r="Z992" s="14"/>
      <c r="AA992" s="14"/>
    </row>
    <row r="993" spans="1:27" hidden="1">
      <c r="A993" s="1">
        <v>9298528</v>
      </c>
      <c r="B993" s="1" t="s">
        <v>101</v>
      </c>
      <c r="C993" t="s">
        <v>1810</v>
      </c>
      <c r="E993" s="2">
        <v>9704000206001</v>
      </c>
      <c r="F993" s="1" t="s">
        <v>29</v>
      </c>
      <c r="G993" s="1" t="s">
        <v>53</v>
      </c>
      <c r="H993" s="1" t="s">
        <v>488</v>
      </c>
      <c r="I993" s="1" t="s">
        <v>489</v>
      </c>
      <c r="J993" s="1" t="s">
        <v>164</v>
      </c>
      <c r="K993" t="s">
        <v>34</v>
      </c>
      <c r="M993" s="1" t="s">
        <v>35</v>
      </c>
      <c r="N993" s="1">
        <v>42318949</v>
      </c>
      <c r="O993" s="1" t="s">
        <v>105</v>
      </c>
      <c r="P993" s="186">
        <v>44932.437754629631</v>
      </c>
      <c r="R993" s="1" t="s">
        <v>38</v>
      </c>
      <c r="T993" s="1" t="s">
        <v>74</v>
      </c>
      <c r="U993" s="186">
        <v>44932.75</v>
      </c>
      <c r="V993" s="1" t="s">
        <v>41</v>
      </c>
      <c r="W993" s="1" t="s">
        <v>49</v>
      </c>
      <c r="X993" s="13" t="str">
        <f t="shared" si="85"/>
        <v/>
      </c>
      <c r="Y993" s="2">
        <f t="shared" ca="1" si="86"/>
        <v>39</v>
      </c>
      <c r="Z993" s="14"/>
      <c r="AA993" s="14"/>
    </row>
    <row r="994" spans="1:27" hidden="1">
      <c r="A994" s="1">
        <v>9298527</v>
      </c>
      <c r="B994" s="1" t="s">
        <v>101</v>
      </c>
      <c r="C994" t="s">
        <v>1810</v>
      </c>
      <c r="E994" s="2">
        <v>9700000206001</v>
      </c>
      <c r="F994" s="1" t="s">
        <v>29</v>
      </c>
      <c r="G994" s="1" t="s">
        <v>53</v>
      </c>
      <c r="H994" s="1" t="s">
        <v>209</v>
      </c>
      <c r="I994" s="1" t="s">
        <v>210</v>
      </c>
      <c r="J994" s="1" t="s">
        <v>211</v>
      </c>
      <c r="K994" t="s">
        <v>34</v>
      </c>
      <c r="M994" s="1" t="s">
        <v>35</v>
      </c>
      <c r="N994" s="1">
        <v>42318949</v>
      </c>
      <c r="O994" s="1" t="s">
        <v>105</v>
      </c>
      <c r="P994" s="186">
        <v>44932.437754629631</v>
      </c>
      <c r="R994" s="1" t="s">
        <v>38</v>
      </c>
      <c r="T994" s="1" t="s">
        <v>74</v>
      </c>
      <c r="U994" s="186">
        <v>44932.75</v>
      </c>
      <c r="V994" s="1" t="s">
        <v>41</v>
      </c>
      <c r="W994" s="1" t="s">
        <v>49</v>
      </c>
      <c r="X994" s="13" t="str">
        <f t="shared" si="85"/>
        <v/>
      </c>
      <c r="Y994" s="2">
        <f t="shared" ca="1" si="86"/>
        <v>39</v>
      </c>
      <c r="Z994" s="14"/>
      <c r="AA994" s="14"/>
    </row>
    <row r="995" spans="1:27" hidden="1">
      <c r="A995" s="1">
        <v>9298454</v>
      </c>
      <c r="B995" s="1" t="s">
        <v>101</v>
      </c>
      <c r="C995" t="s">
        <v>1810</v>
      </c>
      <c r="E995" s="2">
        <v>9406000206001</v>
      </c>
      <c r="F995" s="1" t="s">
        <v>29</v>
      </c>
      <c r="G995" s="1" t="s">
        <v>53</v>
      </c>
      <c r="H995" s="1" t="s">
        <v>114</v>
      </c>
      <c r="I995" s="1" t="s">
        <v>115</v>
      </c>
      <c r="J995" s="1" t="s">
        <v>46</v>
      </c>
      <c r="K995" t="s">
        <v>34</v>
      </c>
      <c r="M995" s="1" t="s">
        <v>35</v>
      </c>
      <c r="N995" s="1">
        <v>42318949</v>
      </c>
      <c r="O995" s="1" t="s">
        <v>105</v>
      </c>
      <c r="P995" s="186">
        <v>44932.437627314815</v>
      </c>
      <c r="R995" s="1" t="s">
        <v>38</v>
      </c>
      <c r="T995" s="1" t="s">
        <v>74</v>
      </c>
      <c r="U995" s="186">
        <v>44932.75</v>
      </c>
      <c r="V995" s="1" t="s">
        <v>41</v>
      </c>
      <c r="W995" s="1" t="s">
        <v>49</v>
      </c>
      <c r="X995" s="13" t="str">
        <f t="shared" si="85"/>
        <v/>
      </c>
      <c r="Y995" s="2">
        <f t="shared" ca="1" si="86"/>
        <v>39</v>
      </c>
      <c r="Z995" s="14"/>
      <c r="AA995" s="14"/>
    </row>
    <row r="996" spans="1:27" hidden="1">
      <c r="A996" s="1">
        <v>9298409</v>
      </c>
      <c r="B996" s="1" t="s">
        <v>101</v>
      </c>
      <c r="C996" t="s">
        <v>1810</v>
      </c>
      <c r="E996" s="2">
        <v>8634000206001</v>
      </c>
      <c r="F996" s="1" t="s">
        <v>29</v>
      </c>
      <c r="G996" s="1" t="s">
        <v>53</v>
      </c>
      <c r="H996" s="1" t="s">
        <v>293</v>
      </c>
      <c r="I996" s="1" t="s">
        <v>294</v>
      </c>
      <c r="J996" s="1" t="s">
        <v>46</v>
      </c>
      <c r="K996" t="s">
        <v>34</v>
      </c>
      <c r="M996" s="1" t="s">
        <v>35</v>
      </c>
      <c r="N996" s="1">
        <v>42318949</v>
      </c>
      <c r="O996" s="1" t="s">
        <v>105</v>
      </c>
      <c r="P996" s="186">
        <v>44932.437557870369</v>
      </c>
      <c r="R996" s="1" t="s">
        <v>38</v>
      </c>
      <c r="T996" s="1" t="s">
        <v>74</v>
      </c>
      <c r="U996" s="186">
        <v>44932.75</v>
      </c>
      <c r="V996" s="1" t="s">
        <v>41</v>
      </c>
      <c r="W996" s="1" t="s">
        <v>49</v>
      </c>
      <c r="X996" s="13" t="str">
        <f t="shared" si="85"/>
        <v/>
      </c>
      <c r="Y996" s="2">
        <f t="shared" ca="1" si="86"/>
        <v>39</v>
      </c>
      <c r="Z996" s="14"/>
      <c r="AA996" s="14"/>
    </row>
    <row r="997" spans="1:27" hidden="1">
      <c r="A997" s="1">
        <v>9298408</v>
      </c>
      <c r="B997" s="1" t="s">
        <v>101</v>
      </c>
      <c r="C997" t="s">
        <v>1810</v>
      </c>
      <c r="E997" s="2">
        <v>8633000206001</v>
      </c>
      <c r="F997" s="1" t="s">
        <v>29</v>
      </c>
      <c r="G997" s="1" t="s">
        <v>53</v>
      </c>
      <c r="H997" s="1" t="s">
        <v>835</v>
      </c>
      <c r="I997" s="1" t="s">
        <v>836</v>
      </c>
      <c r="J997" s="1" t="s">
        <v>46</v>
      </c>
      <c r="K997" t="s">
        <v>34</v>
      </c>
      <c r="M997" s="1" t="s">
        <v>35</v>
      </c>
      <c r="N997" s="1">
        <v>42318949</v>
      </c>
      <c r="O997" s="1" t="s">
        <v>105</v>
      </c>
      <c r="P997" s="186">
        <v>44932.4375462963</v>
      </c>
      <c r="R997" s="1" t="s">
        <v>38</v>
      </c>
      <c r="T997" s="1" t="s">
        <v>74</v>
      </c>
      <c r="U997" s="186">
        <v>44932.75</v>
      </c>
      <c r="V997" s="1" t="s">
        <v>41</v>
      </c>
      <c r="W997" s="1" t="s">
        <v>49</v>
      </c>
      <c r="X997" s="13" t="str">
        <f t="shared" si="85"/>
        <v/>
      </c>
      <c r="Y997" s="2">
        <f t="shared" ca="1" si="86"/>
        <v>39</v>
      </c>
      <c r="Z997" s="14"/>
      <c r="AA997" s="14"/>
    </row>
    <row r="998" spans="1:27" hidden="1">
      <c r="A998" s="1">
        <v>9298263</v>
      </c>
      <c r="B998" s="1" t="s">
        <v>101</v>
      </c>
      <c r="C998" t="s">
        <v>1810</v>
      </c>
      <c r="E998" s="2">
        <v>8074000206001</v>
      </c>
      <c r="F998" s="1" t="s">
        <v>29</v>
      </c>
      <c r="G998" s="1" t="s">
        <v>53</v>
      </c>
      <c r="H998" s="1" t="s">
        <v>1257</v>
      </c>
      <c r="I998" s="1" t="s">
        <v>1258</v>
      </c>
      <c r="J998" s="1" t="s">
        <v>33</v>
      </c>
      <c r="K998" t="s">
        <v>34</v>
      </c>
      <c r="M998" s="1" t="s">
        <v>35</v>
      </c>
      <c r="N998" s="1">
        <v>42318949</v>
      </c>
      <c r="O998" s="1" t="s">
        <v>105</v>
      </c>
      <c r="P998" s="186">
        <v>44932.437280092592</v>
      </c>
      <c r="R998" s="1" t="s">
        <v>38</v>
      </c>
      <c r="T998" s="1" t="s">
        <v>74</v>
      </c>
      <c r="U998" s="186">
        <v>44932.75</v>
      </c>
      <c r="V998" s="1" t="s">
        <v>41</v>
      </c>
      <c r="W998" s="1" t="s">
        <v>49</v>
      </c>
      <c r="X998" s="13" t="str">
        <f t="shared" si="85"/>
        <v/>
      </c>
      <c r="Y998" s="2">
        <f t="shared" ca="1" si="86"/>
        <v>39</v>
      </c>
      <c r="Z998" s="14"/>
      <c r="AA998" s="14"/>
    </row>
    <row r="999" spans="1:27" hidden="1">
      <c r="A999" s="1">
        <v>9298238</v>
      </c>
      <c r="B999" s="1" t="s">
        <v>101</v>
      </c>
      <c r="C999" t="s">
        <v>1810</v>
      </c>
      <c r="E999" s="2">
        <v>7420000206001</v>
      </c>
      <c r="F999" s="1" t="s">
        <v>29</v>
      </c>
      <c r="G999" s="1" t="s">
        <v>53</v>
      </c>
      <c r="H999" s="1" t="s">
        <v>1076</v>
      </c>
      <c r="I999" s="1" t="s">
        <v>1077</v>
      </c>
      <c r="J999" s="1" t="s">
        <v>46</v>
      </c>
      <c r="K999" t="s">
        <v>34</v>
      </c>
      <c r="M999" s="1" t="s">
        <v>35</v>
      </c>
      <c r="N999" s="1">
        <v>42318949</v>
      </c>
      <c r="O999" s="1" t="s">
        <v>105</v>
      </c>
      <c r="P999" s="186">
        <v>44932.4372337963</v>
      </c>
      <c r="R999" s="1" t="s">
        <v>38</v>
      </c>
      <c r="T999" s="1" t="s">
        <v>74</v>
      </c>
      <c r="U999" s="186">
        <v>44932.75</v>
      </c>
      <c r="V999" s="1" t="s">
        <v>41</v>
      </c>
      <c r="W999" s="1" t="s">
        <v>49</v>
      </c>
      <c r="X999" s="13" t="str">
        <f t="shared" si="85"/>
        <v/>
      </c>
      <c r="Y999" s="2">
        <f t="shared" ca="1" si="86"/>
        <v>39</v>
      </c>
      <c r="Z999" s="14"/>
      <c r="AA999" s="14"/>
    </row>
    <row r="1000" spans="1:27" hidden="1">
      <c r="A1000" s="1">
        <v>9297776</v>
      </c>
      <c r="B1000" s="1" t="s">
        <v>101</v>
      </c>
      <c r="C1000" t="s">
        <v>1810</v>
      </c>
      <c r="E1000" s="2">
        <v>5898000206001</v>
      </c>
      <c r="F1000" s="1" t="s">
        <v>29</v>
      </c>
      <c r="G1000" s="1" t="s">
        <v>53</v>
      </c>
      <c r="H1000" s="1" t="s">
        <v>365</v>
      </c>
      <c r="I1000" s="1" t="s">
        <v>366</v>
      </c>
      <c r="J1000" s="1" t="s">
        <v>164</v>
      </c>
      <c r="K1000" t="s">
        <v>34</v>
      </c>
      <c r="M1000" s="1" t="s">
        <v>35</v>
      </c>
      <c r="N1000" s="1">
        <v>42318949</v>
      </c>
      <c r="O1000" s="1" t="s">
        <v>105</v>
      </c>
      <c r="P1000" s="186">
        <v>44932.436226851853</v>
      </c>
      <c r="R1000" s="1" t="s">
        <v>38</v>
      </c>
      <c r="T1000" s="1" t="s">
        <v>74</v>
      </c>
      <c r="U1000" s="186">
        <v>44932.75</v>
      </c>
      <c r="V1000" s="1" t="s">
        <v>41</v>
      </c>
      <c r="W1000" s="1" t="s">
        <v>49</v>
      </c>
      <c r="X1000" s="13" t="str">
        <f t="shared" si="85"/>
        <v/>
      </c>
      <c r="Y1000" s="2">
        <f t="shared" ca="1" si="86"/>
        <v>39</v>
      </c>
      <c r="Z1000" s="14"/>
      <c r="AA1000" s="14"/>
    </row>
    <row r="1001" spans="1:27" hidden="1">
      <c r="A1001" s="1">
        <v>9297748</v>
      </c>
      <c r="B1001" s="1" t="s">
        <v>101</v>
      </c>
      <c r="C1001" t="s">
        <v>1810</v>
      </c>
      <c r="E1001" s="2">
        <v>5816000206001</v>
      </c>
      <c r="F1001" s="1" t="s">
        <v>29</v>
      </c>
      <c r="G1001" s="1" t="s">
        <v>53</v>
      </c>
      <c r="H1001" s="1" t="s">
        <v>412</v>
      </c>
      <c r="I1001" s="1" t="s">
        <v>413</v>
      </c>
      <c r="J1001" s="1" t="s">
        <v>46</v>
      </c>
      <c r="K1001" t="s">
        <v>34</v>
      </c>
      <c r="M1001" s="1" t="s">
        <v>35</v>
      </c>
      <c r="N1001" s="1">
        <v>42318949</v>
      </c>
      <c r="O1001" s="1" t="s">
        <v>105</v>
      </c>
      <c r="P1001" s="186">
        <v>44932.436122685183</v>
      </c>
      <c r="R1001" s="1" t="s">
        <v>38</v>
      </c>
      <c r="T1001" s="1" t="s">
        <v>74</v>
      </c>
      <c r="U1001" s="186">
        <v>44932.75</v>
      </c>
      <c r="V1001" s="1" t="s">
        <v>41</v>
      </c>
      <c r="W1001" s="1" t="s">
        <v>49</v>
      </c>
      <c r="X1001" s="13" t="str">
        <f t="shared" si="85"/>
        <v/>
      </c>
      <c r="Y1001" s="2">
        <f t="shared" ca="1" si="86"/>
        <v>39</v>
      </c>
      <c r="Z1001" s="14"/>
      <c r="AA1001" s="14"/>
    </row>
    <row r="1002" spans="1:27" hidden="1">
      <c r="A1002" s="1">
        <v>9297710</v>
      </c>
      <c r="B1002" s="1" t="s">
        <v>101</v>
      </c>
      <c r="C1002" t="s">
        <v>1810</v>
      </c>
      <c r="E1002" s="2">
        <v>5755000206001</v>
      </c>
      <c r="F1002" s="1" t="s">
        <v>29</v>
      </c>
      <c r="G1002" s="1" t="s">
        <v>53</v>
      </c>
      <c r="H1002" s="1" t="s">
        <v>841</v>
      </c>
      <c r="I1002" s="1" t="s">
        <v>842</v>
      </c>
      <c r="J1002" s="1" t="s">
        <v>46</v>
      </c>
      <c r="K1002" t="s">
        <v>34</v>
      </c>
      <c r="M1002" s="1" t="s">
        <v>35</v>
      </c>
      <c r="N1002" s="1">
        <v>42318949</v>
      </c>
      <c r="O1002" s="1" t="s">
        <v>105</v>
      </c>
      <c r="P1002" s="186">
        <v>44932.436064814814</v>
      </c>
      <c r="R1002" s="1" t="s">
        <v>38</v>
      </c>
      <c r="T1002" s="1" t="s">
        <v>74</v>
      </c>
      <c r="U1002" s="186">
        <v>44932.75</v>
      </c>
      <c r="V1002" s="1" t="s">
        <v>41</v>
      </c>
      <c r="W1002" s="1" t="s">
        <v>49</v>
      </c>
      <c r="X1002" s="13" t="str">
        <f t="shared" si="85"/>
        <v/>
      </c>
      <c r="Y1002" s="2">
        <f t="shared" ca="1" si="86"/>
        <v>39</v>
      </c>
      <c r="Z1002" s="14"/>
      <c r="AA1002" s="14"/>
    </row>
    <row r="1003" spans="1:27" hidden="1">
      <c r="A1003" s="1">
        <v>9297706</v>
      </c>
      <c r="B1003" s="1" t="s">
        <v>101</v>
      </c>
      <c r="C1003" t="s">
        <v>1810</v>
      </c>
      <c r="E1003" s="2">
        <v>5749000206001</v>
      </c>
      <c r="F1003" s="1" t="s">
        <v>29</v>
      </c>
      <c r="G1003" s="1" t="s">
        <v>53</v>
      </c>
      <c r="H1003" s="1" t="s">
        <v>1811</v>
      </c>
      <c r="I1003" s="1" t="s">
        <v>1812</v>
      </c>
      <c r="J1003" s="1" t="s">
        <v>33</v>
      </c>
      <c r="K1003" t="s">
        <v>34</v>
      </c>
      <c r="M1003" s="1" t="s">
        <v>35</v>
      </c>
      <c r="N1003" s="1">
        <v>42318949</v>
      </c>
      <c r="O1003" s="1" t="s">
        <v>105</v>
      </c>
      <c r="P1003" s="186">
        <v>44932.436053240737</v>
      </c>
      <c r="R1003" s="1" t="s">
        <v>38</v>
      </c>
      <c r="T1003" s="1" t="s">
        <v>74</v>
      </c>
      <c r="U1003" s="186">
        <v>44932.75</v>
      </c>
      <c r="V1003" s="1" t="s">
        <v>41</v>
      </c>
      <c r="W1003" s="1" t="s">
        <v>42</v>
      </c>
      <c r="X1003" s="13" t="str">
        <f t="shared" si="85"/>
        <v/>
      </c>
      <c r="Y1003" s="2">
        <f t="shared" ca="1" si="86"/>
        <v>39</v>
      </c>
      <c r="Z1003" s="14"/>
      <c r="AA1003" s="14"/>
    </row>
    <row r="1004" spans="1:27" hidden="1">
      <c r="A1004" s="1">
        <v>9297704</v>
      </c>
      <c r="B1004" s="1" t="s">
        <v>101</v>
      </c>
      <c r="C1004" t="s">
        <v>1810</v>
      </c>
      <c r="E1004" s="2">
        <v>5742000206001</v>
      </c>
      <c r="F1004" s="1" t="s">
        <v>29</v>
      </c>
      <c r="G1004" s="1" t="s">
        <v>53</v>
      </c>
      <c r="H1004" s="1" t="s">
        <v>430</v>
      </c>
      <c r="I1004" s="1" t="s">
        <v>431</v>
      </c>
      <c r="J1004" s="1" t="s">
        <v>79</v>
      </c>
      <c r="K1004" t="s">
        <v>34</v>
      </c>
      <c r="M1004" s="1" t="s">
        <v>35</v>
      </c>
      <c r="N1004" s="1">
        <v>42318949</v>
      </c>
      <c r="O1004" s="1" t="s">
        <v>105</v>
      </c>
      <c r="P1004" s="186">
        <v>44932.436053240737</v>
      </c>
      <c r="R1004" s="1" t="s">
        <v>38</v>
      </c>
      <c r="T1004" s="1" t="s">
        <v>74</v>
      </c>
      <c r="U1004" s="186">
        <v>44932.75</v>
      </c>
      <c r="V1004" s="1" t="s">
        <v>41</v>
      </c>
      <c r="W1004" s="1" t="s">
        <v>49</v>
      </c>
      <c r="X1004" s="13" t="str">
        <f t="shared" si="85"/>
        <v/>
      </c>
      <c r="Y1004" s="2">
        <f t="shared" ca="1" si="86"/>
        <v>39</v>
      </c>
      <c r="Z1004" s="14"/>
      <c r="AA1004" s="14"/>
    </row>
    <row r="1005" spans="1:27" hidden="1">
      <c r="A1005" s="1">
        <v>9297703</v>
      </c>
      <c r="B1005" s="1" t="s">
        <v>101</v>
      </c>
      <c r="C1005" t="s">
        <v>1810</v>
      </c>
      <c r="E1005" s="2">
        <v>5740000206001</v>
      </c>
      <c r="F1005" s="1" t="s">
        <v>29</v>
      </c>
      <c r="G1005" s="1" t="s">
        <v>53</v>
      </c>
      <c r="H1005" s="1" t="s">
        <v>626</v>
      </c>
      <c r="I1005" s="1" t="s">
        <v>627</v>
      </c>
      <c r="J1005" s="1" t="s">
        <v>46</v>
      </c>
      <c r="K1005" t="s">
        <v>34</v>
      </c>
      <c r="M1005" s="1" t="s">
        <v>35</v>
      </c>
      <c r="N1005" s="1">
        <v>42318949</v>
      </c>
      <c r="O1005" s="1" t="s">
        <v>105</v>
      </c>
      <c r="P1005" s="186">
        <v>44932.436053240737</v>
      </c>
      <c r="R1005" s="1" t="s">
        <v>38</v>
      </c>
      <c r="T1005" s="1" t="s">
        <v>74</v>
      </c>
      <c r="U1005" s="186">
        <v>44932.75</v>
      </c>
      <c r="V1005" s="1" t="s">
        <v>41</v>
      </c>
      <c r="W1005" s="1" t="s">
        <v>49</v>
      </c>
      <c r="X1005" s="13" t="str">
        <f t="shared" si="85"/>
        <v/>
      </c>
      <c r="Y1005" s="2">
        <f t="shared" ca="1" si="86"/>
        <v>39</v>
      </c>
      <c r="Z1005" s="14"/>
      <c r="AA1005" s="14"/>
    </row>
    <row r="1006" spans="1:27" hidden="1">
      <c r="A1006" s="1">
        <v>9297518</v>
      </c>
      <c r="B1006" s="1" t="s">
        <v>101</v>
      </c>
      <c r="C1006" t="s">
        <v>1810</v>
      </c>
      <c r="E1006" s="2">
        <v>4997000206001</v>
      </c>
      <c r="F1006" s="1" t="s">
        <v>29</v>
      </c>
      <c r="G1006" s="1" t="s">
        <v>53</v>
      </c>
      <c r="H1006" s="1" t="s">
        <v>406</v>
      </c>
      <c r="I1006" s="1" t="s">
        <v>407</v>
      </c>
      <c r="J1006" s="1" t="s">
        <v>79</v>
      </c>
      <c r="K1006" t="s">
        <v>34</v>
      </c>
      <c r="M1006" s="1" t="s">
        <v>35</v>
      </c>
      <c r="N1006" s="1">
        <v>42318949</v>
      </c>
      <c r="O1006" s="1" t="s">
        <v>105</v>
      </c>
      <c r="P1006" s="186">
        <v>44932.435624999998</v>
      </c>
      <c r="R1006" s="1" t="s">
        <v>38</v>
      </c>
      <c r="T1006" s="1" t="s">
        <v>74</v>
      </c>
      <c r="U1006" s="186">
        <v>44932.75</v>
      </c>
      <c r="V1006" s="1" t="s">
        <v>41</v>
      </c>
      <c r="W1006" s="1" t="s">
        <v>49</v>
      </c>
      <c r="X1006" s="13" t="str">
        <f t="shared" si="85"/>
        <v/>
      </c>
      <c r="Y1006" s="2">
        <f t="shared" ca="1" si="86"/>
        <v>39</v>
      </c>
      <c r="Z1006" s="14"/>
      <c r="AA1006" s="14"/>
    </row>
    <row r="1007" spans="1:27" hidden="1">
      <c r="A1007" s="1">
        <v>9297463</v>
      </c>
      <c r="B1007" s="1" t="s">
        <v>101</v>
      </c>
      <c r="C1007" t="s">
        <v>1810</v>
      </c>
      <c r="E1007" s="2">
        <v>4844920206001</v>
      </c>
      <c r="F1007" s="1" t="s">
        <v>29</v>
      </c>
      <c r="G1007" s="1" t="s">
        <v>53</v>
      </c>
      <c r="H1007" s="1" t="s">
        <v>1815</v>
      </c>
      <c r="I1007" s="1" t="s">
        <v>1816</v>
      </c>
      <c r="J1007" s="1" t="s">
        <v>211</v>
      </c>
      <c r="K1007" t="s">
        <v>34</v>
      </c>
      <c r="M1007" s="1" t="s">
        <v>35</v>
      </c>
      <c r="N1007" s="1">
        <v>42318949</v>
      </c>
      <c r="O1007" s="1" t="s">
        <v>105</v>
      </c>
      <c r="P1007" s="186">
        <v>44932.435555555552</v>
      </c>
      <c r="R1007" s="1" t="s">
        <v>38</v>
      </c>
      <c r="T1007" s="1" t="s">
        <v>74</v>
      </c>
      <c r="U1007" s="186">
        <v>44932.75</v>
      </c>
      <c r="V1007" s="1" t="s">
        <v>41</v>
      </c>
      <c r="W1007" s="1" t="s">
        <v>49</v>
      </c>
      <c r="X1007" s="13" t="str">
        <f t="shared" si="85"/>
        <v>4844.92</v>
      </c>
      <c r="Y1007" s="2">
        <f t="shared" ca="1" si="86"/>
        <v>39</v>
      </c>
      <c r="Z1007" s="14"/>
      <c r="AA1007" s="14"/>
    </row>
    <row r="1008" spans="1:27" hidden="1">
      <c r="A1008" s="1">
        <v>9297342</v>
      </c>
      <c r="B1008" s="1" t="s">
        <v>101</v>
      </c>
      <c r="C1008" t="s">
        <v>1810</v>
      </c>
      <c r="E1008" s="2">
        <v>4637000206001</v>
      </c>
      <c r="F1008" s="1" t="s">
        <v>29</v>
      </c>
      <c r="G1008" s="1" t="s">
        <v>53</v>
      </c>
      <c r="H1008" s="1" t="s">
        <v>848</v>
      </c>
      <c r="I1008" s="1" t="s">
        <v>849</v>
      </c>
      <c r="J1008" s="1" t="s">
        <v>79</v>
      </c>
      <c r="K1008" t="s">
        <v>34</v>
      </c>
      <c r="M1008" s="1" t="s">
        <v>35</v>
      </c>
      <c r="N1008" s="1">
        <v>42318949</v>
      </c>
      <c r="O1008" s="1" t="s">
        <v>105</v>
      </c>
      <c r="P1008" s="186">
        <v>44932.435243055559</v>
      </c>
      <c r="R1008" s="1" t="s">
        <v>38</v>
      </c>
      <c r="T1008" s="1" t="s">
        <v>74</v>
      </c>
      <c r="U1008" s="186">
        <v>44932.75</v>
      </c>
      <c r="V1008" s="1" t="s">
        <v>41</v>
      </c>
      <c r="W1008" s="1" t="s">
        <v>49</v>
      </c>
      <c r="X1008" s="13" t="str">
        <f t="shared" si="85"/>
        <v/>
      </c>
      <c r="Y1008" s="2">
        <f t="shared" ca="1" si="86"/>
        <v>39</v>
      </c>
      <c r="Z1008" s="14"/>
      <c r="AA1008" s="14"/>
    </row>
    <row r="1009" spans="1:27" hidden="1">
      <c r="A1009" s="1">
        <v>9297329</v>
      </c>
      <c r="B1009" s="1" t="s">
        <v>101</v>
      </c>
      <c r="C1009" t="s">
        <v>1810</v>
      </c>
      <c r="E1009" s="2">
        <v>4623000206001</v>
      </c>
      <c r="F1009" s="1" t="s">
        <v>29</v>
      </c>
      <c r="G1009" s="1" t="s">
        <v>53</v>
      </c>
      <c r="H1009" s="1" t="s">
        <v>669</v>
      </c>
      <c r="I1009" s="1" t="s">
        <v>670</v>
      </c>
      <c r="J1009" s="1" t="s">
        <v>33</v>
      </c>
      <c r="K1009" t="s">
        <v>34</v>
      </c>
      <c r="M1009" s="1" t="s">
        <v>35</v>
      </c>
      <c r="N1009" s="1">
        <v>42318949</v>
      </c>
      <c r="O1009" s="1" t="s">
        <v>105</v>
      </c>
      <c r="P1009" s="186">
        <v>44932.435219907406</v>
      </c>
      <c r="R1009" s="1" t="s">
        <v>38</v>
      </c>
      <c r="T1009" s="1" t="s">
        <v>74</v>
      </c>
      <c r="U1009" s="186">
        <v>44932.75</v>
      </c>
      <c r="V1009" s="1" t="s">
        <v>41</v>
      </c>
      <c r="W1009" s="1" t="s">
        <v>42</v>
      </c>
      <c r="X1009" s="13" t="str">
        <f t="shared" si="85"/>
        <v/>
      </c>
      <c r="Y1009" s="2">
        <f t="shared" ca="1" si="86"/>
        <v>39</v>
      </c>
      <c r="Z1009" s="14"/>
      <c r="AA1009" s="14"/>
    </row>
    <row r="1010" spans="1:27" hidden="1">
      <c r="A1010" s="1">
        <v>9297061</v>
      </c>
      <c r="B1010" s="1" t="s">
        <v>101</v>
      </c>
      <c r="C1010" t="s">
        <v>1810</v>
      </c>
      <c r="E1010" s="2">
        <v>4235000206001</v>
      </c>
      <c r="F1010" s="1" t="s">
        <v>29</v>
      </c>
      <c r="G1010" s="1" t="s">
        <v>53</v>
      </c>
      <c r="H1010" s="1" t="s">
        <v>291</v>
      </c>
      <c r="I1010" s="1" t="s">
        <v>292</v>
      </c>
      <c r="J1010" s="1" t="s">
        <v>46</v>
      </c>
      <c r="K1010" t="s">
        <v>34</v>
      </c>
      <c r="M1010" s="1" t="s">
        <v>35</v>
      </c>
      <c r="N1010" s="1">
        <v>42318949</v>
      </c>
      <c r="O1010" s="1" t="s">
        <v>105</v>
      </c>
      <c r="P1010" s="186">
        <v>44932.434629629628</v>
      </c>
      <c r="R1010" s="1" t="s">
        <v>38</v>
      </c>
      <c r="T1010" s="1" t="s">
        <v>74</v>
      </c>
      <c r="U1010" s="186">
        <v>44932.75</v>
      </c>
      <c r="V1010" s="1" t="s">
        <v>41</v>
      </c>
      <c r="W1010" s="1" t="s">
        <v>49</v>
      </c>
      <c r="X1010" s="13" t="str">
        <f t="shared" si="85"/>
        <v/>
      </c>
      <c r="Y1010" s="2">
        <f t="shared" ca="1" si="86"/>
        <v>39</v>
      </c>
      <c r="Z1010" s="14"/>
      <c r="AA1010" s="14"/>
    </row>
    <row r="1011" spans="1:27" hidden="1">
      <c r="A1011" s="1">
        <v>9296970</v>
      </c>
      <c r="B1011" s="1" t="s">
        <v>101</v>
      </c>
      <c r="C1011" t="s">
        <v>1810</v>
      </c>
      <c r="E1011" s="2">
        <v>4118000206001</v>
      </c>
      <c r="F1011" s="1" t="s">
        <v>29</v>
      </c>
      <c r="G1011" s="1" t="s">
        <v>53</v>
      </c>
      <c r="H1011" s="1" t="s">
        <v>71</v>
      </c>
      <c r="I1011" s="1" t="s">
        <v>72</v>
      </c>
      <c r="J1011" s="1" t="s">
        <v>46</v>
      </c>
      <c r="K1011" t="s">
        <v>34</v>
      </c>
      <c r="M1011" s="1" t="s">
        <v>35</v>
      </c>
      <c r="N1011" s="1">
        <v>42318949</v>
      </c>
      <c r="O1011" s="1" t="s">
        <v>105</v>
      </c>
      <c r="P1011" s="186">
        <v>44932.434421296297</v>
      </c>
      <c r="R1011" s="1" t="s">
        <v>38</v>
      </c>
      <c r="T1011" s="1" t="s">
        <v>74</v>
      </c>
      <c r="U1011" s="186">
        <v>44932.75</v>
      </c>
      <c r="V1011" s="1" t="s">
        <v>41</v>
      </c>
      <c r="W1011" s="1" t="s">
        <v>49</v>
      </c>
      <c r="X1011" s="13" t="str">
        <f t="shared" si="85"/>
        <v/>
      </c>
      <c r="Y1011" s="2">
        <f t="shared" ca="1" si="86"/>
        <v>39</v>
      </c>
      <c r="Z1011" s="14"/>
      <c r="AA1011" s="14"/>
    </row>
    <row r="1012" spans="1:27" hidden="1">
      <c r="A1012" s="1">
        <v>9296940</v>
      </c>
      <c r="B1012" s="1" t="s">
        <v>101</v>
      </c>
      <c r="C1012" t="s">
        <v>1810</v>
      </c>
      <c r="E1012" s="2">
        <v>4076000206001</v>
      </c>
      <c r="F1012" s="1" t="s">
        <v>29</v>
      </c>
      <c r="G1012" s="1" t="s">
        <v>53</v>
      </c>
      <c r="H1012" s="1" t="s">
        <v>426</v>
      </c>
      <c r="I1012" s="1" t="s">
        <v>427</v>
      </c>
      <c r="J1012" s="1" t="s">
        <v>79</v>
      </c>
      <c r="K1012" t="s">
        <v>34</v>
      </c>
      <c r="M1012" s="1" t="s">
        <v>35</v>
      </c>
      <c r="N1012" s="1">
        <v>42318949</v>
      </c>
      <c r="O1012" s="1" t="s">
        <v>105</v>
      </c>
      <c r="P1012" s="186">
        <v>44932.434317129628</v>
      </c>
      <c r="R1012" s="1" t="s">
        <v>38</v>
      </c>
      <c r="T1012" s="1" t="s">
        <v>74</v>
      </c>
      <c r="U1012" s="186">
        <v>44932.75</v>
      </c>
      <c r="V1012" s="1" t="s">
        <v>41</v>
      </c>
      <c r="W1012" s="1" t="s">
        <v>49</v>
      </c>
      <c r="X1012" s="13" t="str">
        <f t="shared" si="85"/>
        <v/>
      </c>
      <c r="Y1012" s="2">
        <f t="shared" ca="1" si="86"/>
        <v>39</v>
      </c>
      <c r="Z1012" s="14"/>
      <c r="AA1012" s="14"/>
    </row>
    <row r="1013" spans="1:27" hidden="1">
      <c r="A1013" s="1">
        <v>9296891</v>
      </c>
      <c r="B1013" s="1" t="s">
        <v>101</v>
      </c>
      <c r="C1013" t="s">
        <v>1810</v>
      </c>
      <c r="E1013" s="2">
        <v>4012000206001</v>
      </c>
      <c r="F1013" s="1" t="s">
        <v>29</v>
      </c>
      <c r="G1013" s="1" t="s">
        <v>53</v>
      </c>
      <c r="H1013" s="1" t="s">
        <v>349</v>
      </c>
      <c r="I1013" s="1" t="s">
        <v>350</v>
      </c>
      <c r="J1013" s="1" t="s">
        <v>261</v>
      </c>
      <c r="K1013" t="s">
        <v>34</v>
      </c>
      <c r="M1013" s="1" t="s">
        <v>35</v>
      </c>
      <c r="N1013" s="1">
        <v>42318949</v>
      </c>
      <c r="O1013" s="1" t="s">
        <v>105</v>
      </c>
      <c r="P1013" s="186">
        <v>44932.434236111112</v>
      </c>
      <c r="R1013" s="1" t="s">
        <v>38</v>
      </c>
      <c r="T1013" s="1" t="s">
        <v>74</v>
      </c>
      <c r="U1013" s="186">
        <v>44932.75</v>
      </c>
      <c r="V1013" s="1" t="s">
        <v>41</v>
      </c>
      <c r="W1013" s="1" t="s">
        <v>49</v>
      </c>
      <c r="X1013" s="13" t="str">
        <f t="shared" si="85"/>
        <v/>
      </c>
      <c r="Y1013" s="2">
        <f t="shared" ca="1" si="86"/>
        <v>39</v>
      </c>
      <c r="Z1013" s="14"/>
      <c r="AA1013" s="14"/>
    </row>
    <row r="1014" spans="1:27" hidden="1">
      <c r="A1014" s="1">
        <v>9296815</v>
      </c>
      <c r="B1014" s="1" t="s">
        <v>101</v>
      </c>
      <c r="C1014" t="s">
        <v>1810</v>
      </c>
      <c r="E1014" s="2">
        <v>3924000206001</v>
      </c>
      <c r="F1014" s="1" t="s">
        <v>29</v>
      </c>
      <c r="G1014" s="1" t="s">
        <v>53</v>
      </c>
      <c r="H1014" s="1" t="s">
        <v>153</v>
      </c>
      <c r="I1014" s="1" t="s">
        <v>154</v>
      </c>
      <c r="J1014" s="1" t="s">
        <v>56</v>
      </c>
      <c r="K1014" t="s">
        <v>34</v>
      </c>
      <c r="M1014" s="1" t="s">
        <v>35</v>
      </c>
      <c r="N1014" s="1">
        <v>42318949</v>
      </c>
      <c r="O1014" s="1" t="s">
        <v>105</v>
      </c>
      <c r="P1014" s="11" t="s">
        <v>1819</v>
      </c>
      <c r="R1014" s="1" t="s">
        <v>38</v>
      </c>
      <c r="T1014" s="1" t="s">
        <v>74</v>
      </c>
      <c r="U1014" s="186">
        <v>44932.75</v>
      </c>
      <c r="V1014" s="1" t="s">
        <v>41</v>
      </c>
      <c r="W1014" s="1" t="s">
        <v>49</v>
      </c>
      <c r="X1014" s="13" t="str">
        <f t="shared" si="85"/>
        <v/>
      </c>
      <c r="Y1014" s="2">
        <f t="shared" ca="1" si="86"/>
        <v>39</v>
      </c>
      <c r="Z1014" s="14"/>
      <c r="AA1014" s="14"/>
    </row>
    <row r="1015" spans="1:27" hidden="1">
      <c r="A1015" s="1">
        <v>9296722</v>
      </c>
      <c r="B1015" s="1" t="s">
        <v>101</v>
      </c>
      <c r="C1015" t="s">
        <v>1810</v>
      </c>
      <c r="E1015" s="2">
        <v>3802000206001</v>
      </c>
      <c r="F1015" s="1" t="s">
        <v>29</v>
      </c>
      <c r="G1015" s="1" t="s">
        <v>53</v>
      </c>
      <c r="H1015" s="1" t="s">
        <v>319</v>
      </c>
      <c r="I1015" s="1" t="s">
        <v>320</v>
      </c>
      <c r="J1015" s="1" t="s">
        <v>148</v>
      </c>
      <c r="K1015" t="s">
        <v>34</v>
      </c>
      <c r="M1015" s="1" t="s">
        <v>35</v>
      </c>
      <c r="N1015" s="1">
        <v>42318949</v>
      </c>
      <c r="O1015" s="1" t="s">
        <v>105</v>
      </c>
      <c r="P1015" s="11" t="s">
        <v>1822</v>
      </c>
      <c r="R1015" s="1" t="s">
        <v>38</v>
      </c>
      <c r="T1015" s="1" t="s">
        <v>74</v>
      </c>
      <c r="U1015" s="186">
        <v>44932.75</v>
      </c>
      <c r="V1015" s="1" t="s">
        <v>41</v>
      </c>
      <c r="W1015" s="1" t="s">
        <v>49</v>
      </c>
      <c r="X1015" s="13" t="str">
        <f t="shared" si="85"/>
        <v/>
      </c>
      <c r="Y1015" s="2">
        <f t="shared" ca="1" si="86"/>
        <v>39</v>
      </c>
      <c r="Z1015" s="14"/>
      <c r="AA1015" s="14"/>
    </row>
    <row r="1016" spans="1:27" hidden="1">
      <c r="A1016" s="1">
        <v>9296577</v>
      </c>
      <c r="B1016" s="1" t="s">
        <v>101</v>
      </c>
      <c r="C1016" t="s">
        <v>1810</v>
      </c>
      <c r="E1016" s="2">
        <v>3613200206001</v>
      </c>
      <c r="F1016" s="1" t="s">
        <v>29</v>
      </c>
      <c r="G1016" s="1" t="s">
        <v>53</v>
      </c>
      <c r="H1016" s="1" t="s">
        <v>496</v>
      </c>
      <c r="I1016" s="1" t="s">
        <v>198</v>
      </c>
      <c r="J1016" s="1" t="s">
        <v>46</v>
      </c>
      <c r="K1016" t="s">
        <v>34</v>
      </c>
      <c r="M1016" s="1" t="s">
        <v>35</v>
      </c>
      <c r="N1016" s="1">
        <v>42318949</v>
      </c>
      <c r="O1016" s="1" t="s">
        <v>105</v>
      </c>
      <c r="P1016" s="11" t="s">
        <v>1823</v>
      </c>
      <c r="R1016" s="1" t="s">
        <v>38</v>
      </c>
      <c r="T1016" s="1" t="s">
        <v>74</v>
      </c>
      <c r="U1016" s="186">
        <v>44932.75</v>
      </c>
      <c r="V1016" s="1" t="s">
        <v>41</v>
      </c>
      <c r="W1016" s="1" t="s">
        <v>49</v>
      </c>
      <c r="X1016" s="13" t="str">
        <f t="shared" si="85"/>
        <v>3613.20</v>
      </c>
      <c r="Y1016" s="2">
        <f t="shared" ca="1" si="86"/>
        <v>39</v>
      </c>
      <c r="Z1016" s="14"/>
      <c r="AA1016" s="14"/>
    </row>
    <row r="1017" spans="1:27" hidden="1">
      <c r="A1017" s="1">
        <v>9296500</v>
      </c>
      <c r="B1017" s="1" t="s">
        <v>101</v>
      </c>
      <c r="C1017" t="s">
        <v>1810</v>
      </c>
      <c r="E1017" s="2">
        <v>3504000206001</v>
      </c>
      <c r="F1017" s="1" t="s">
        <v>29</v>
      </c>
      <c r="G1017" s="1" t="s">
        <v>53</v>
      </c>
      <c r="H1017" s="1" t="s">
        <v>585</v>
      </c>
      <c r="I1017" s="1" t="s">
        <v>586</v>
      </c>
      <c r="J1017" s="1" t="s">
        <v>46</v>
      </c>
      <c r="K1017" t="s">
        <v>34</v>
      </c>
      <c r="M1017" s="1" t="s">
        <v>35</v>
      </c>
      <c r="N1017" s="1">
        <v>42318949</v>
      </c>
      <c r="O1017" s="1" t="s">
        <v>105</v>
      </c>
      <c r="P1017" s="11" t="s">
        <v>1824</v>
      </c>
      <c r="R1017" s="1" t="s">
        <v>38</v>
      </c>
      <c r="T1017" s="1" t="s">
        <v>74</v>
      </c>
      <c r="U1017" s="186">
        <v>44932.75</v>
      </c>
      <c r="V1017" s="1" t="s">
        <v>41</v>
      </c>
      <c r="W1017" s="1" t="s">
        <v>49</v>
      </c>
      <c r="X1017" s="13" t="str">
        <f t="shared" si="85"/>
        <v/>
      </c>
      <c r="Y1017" s="2">
        <f t="shared" ca="1" si="86"/>
        <v>39</v>
      </c>
      <c r="Z1017" s="14"/>
      <c r="AA1017" s="14"/>
    </row>
    <row r="1018" spans="1:27" hidden="1">
      <c r="A1018" s="1">
        <v>9296499</v>
      </c>
      <c r="B1018" s="1" t="s">
        <v>101</v>
      </c>
      <c r="C1018" t="s">
        <v>1810</v>
      </c>
      <c r="E1018" s="2">
        <v>3503000206001</v>
      </c>
      <c r="F1018" s="1" t="s">
        <v>29</v>
      </c>
      <c r="G1018" s="1" t="s">
        <v>53</v>
      </c>
      <c r="H1018" s="1" t="s">
        <v>398</v>
      </c>
      <c r="I1018" s="1" t="s">
        <v>399</v>
      </c>
      <c r="J1018" s="1" t="s">
        <v>46</v>
      </c>
      <c r="K1018" t="s">
        <v>34</v>
      </c>
      <c r="M1018" s="1" t="s">
        <v>35</v>
      </c>
      <c r="N1018" s="1">
        <v>42318949</v>
      </c>
      <c r="O1018" s="1" t="s">
        <v>105</v>
      </c>
      <c r="P1018" s="11" t="s">
        <v>1824</v>
      </c>
      <c r="R1018" s="1" t="s">
        <v>38</v>
      </c>
      <c r="T1018" s="1" t="s">
        <v>74</v>
      </c>
      <c r="U1018" s="186">
        <v>44932.75</v>
      </c>
      <c r="V1018" s="1" t="s">
        <v>41</v>
      </c>
      <c r="W1018" s="1" t="s">
        <v>49</v>
      </c>
      <c r="X1018" s="13" t="str">
        <f t="shared" ref="X1018:X1081" si="87">IF(RIGHT(H1018,2)&lt;&gt;"00",H1018,"")</f>
        <v/>
      </c>
      <c r="Y1018" s="2">
        <f t="shared" ref="Y1018:Y1081" ca="1" si="88">NETWORKDAYS(P1018,$Y$1)</f>
        <v>39</v>
      </c>
      <c r="Z1018" s="14"/>
      <c r="AA1018" s="14"/>
    </row>
    <row r="1019" spans="1:27" hidden="1">
      <c r="A1019" s="1">
        <v>9296322</v>
      </c>
      <c r="B1019" s="1" t="s">
        <v>101</v>
      </c>
      <c r="C1019" t="s">
        <v>1810</v>
      </c>
      <c r="E1019" s="2">
        <v>3258000206001</v>
      </c>
      <c r="F1019" s="1" t="s">
        <v>29</v>
      </c>
      <c r="G1019" s="1" t="s">
        <v>53</v>
      </c>
      <c r="H1019" s="1" t="s">
        <v>321</v>
      </c>
      <c r="I1019" s="1" t="s">
        <v>322</v>
      </c>
      <c r="J1019" s="1" t="s">
        <v>46</v>
      </c>
      <c r="K1019" t="s">
        <v>34</v>
      </c>
      <c r="M1019" s="1" t="s">
        <v>35</v>
      </c>
      <c r="N1019" s="1">
        <v>42318949</v>
      </c>
      <c r="O1019" s="1" t="s">
        <v>105</v>
      </c>
      <c r="P1019" s="11" t="s">
        <v>1828</v>
      </c>
      <c r="R1019" s="1" t="s">
        <v>38</v>
      </c>
      <c r="T1019" s="1" t="s">
        <v>74</v>
      </c>
      <c r="U1019" s="186">
        <v>44932.75</v>
      </c>
      <c r="V1019" s="1" t="s">
        <v>41</v>
      </c>
      <c r="W1019" s="1" t="s">
        <v>49</v>
      </c>
      <c r="X1019" s="13" t="str">
        <f t="shared" si="87"/>
        <v/>
      </c>
      <c r="Y1019" s="2">
        <f t="shared" ca="1" si="88"/>
        <v>39</v>
      </c>
      <c r="Z1019" s="14"/>
      <c r="AA1019" s="14"/>
    </row>
    <row r="1020" spans="1:27" hidden="1">
      <c r="A1020" s="1">
        <v>9296314</v>
      </c>
      <c r="B1020" s="1" t="s">
        <v>101</v>
      </c>
      <c r="C1020" t="s">
        <v>1810</v>
      </c>
      <c r="E1020" s="2">
        <v>3250000206001</v>
      </c>
      <c r="F1020" s="1" t="s">
        <v>29</v>
      </c>
      <c r="G1020" s="1" t="s">
        <v>53</v>
      </c>
      <c r="H1020" s="1" t="s">
        <v>371</v>
      </c>
      <c r="I1020" s="1" t="s">
        <v>372</v>
      </c>
      <c r="J1020" s="1" t="s">
        <v>46</v>
      </c>
      <c r="K1020" t="s">
        <v>34</v>
      </c>
      <c r="M1020" s="1" t="s">
        <v>35</v>
      </c>
      <c r="N1020" s="1">
        <v>42318949</v>
      </c>
      <c r="O1020" s="1" t="s">
        <v>105</v>
      </c>
      <c r="P1020" s="11" t="s">
        <v>3619</v>
      </c>
      <c r="R1020" s="1" t="s">
        <v>38</v>
      </c>
      <c r="T1020" s="1" t="s">
        <v>74</v>
      </c>
      <c r="U1020" s="186">
        <v>44932.75</v>
      </c>
      <c r="V1020" s="1" t="s">
        <v>41</v>
      </c>
      <c r="W1020" s="1" t="s">
        <v>49</v>
      </c>
      <c r="X1020" s="13" t="str">
        <f t="shared" si="87"/>
        <v/>
      </c>
      <c r="Y1020" s="2">
        <f t="shared" ca="1" si="88"/>
        <v>39</v>
      </c>
      <c r="Z1020" s="14"/>
      <c r="AA1020" s="14"/>
    </row>
    <row r="1021" spans="1:27" hidden="1">
      <c r="A1021" s="1">
        <v>9296309</v>
      </c>
      <c r="B1021" s="1" t="s">
        <v>101</v>
      </c>
      <c r="C1021" t="s">
        <v>1810</v>
      </c>
      <c r="E1021" s="2">
        <v>3243000206001</v>
      </c>
      <c r="F1021" s="1" t="s">
        <v>29</v>
      </c>
      <c r="G1021" s="1" t="s">
        <v>53</v>
      </c>
      <c r="H1021" s="1" t="s">
        <v>282</v>
      </c>
      <c r="I1021" s="1" t="s">
        <v>283</v>
      </c>
      <c r="J1021" s="1" t="s">
        <v>46</v>
      </c>
      <c r="K1021" t="s">
        <v>34</v>
      </c>
      <c r="M1021" s="1" t="s">
        <v>35</v>
      </c>
      <c r="N1021" s="1">
        <v>42318949</v>
      </c>
      <c r="O1021" s="1" t="s">
        <v>105</v>
      </c>
      <c r="P1021" s="11" t="s">
        <v>3619</v>
      </c>
      <c r="R1021" s="1" t="s">
        <v>38</v>
      </c>
      <c r="T1021" s="1" t="s">
        <v>74</v>
      </c>
      <c r="U1021" s="186">
        <v>44932.75</v>
      </c>
      <c r="V1021" s="1" t="s">
        <v>41</v>
      </c>
      <c r="W1021" s="1" t="s">
        <v>49</v>
      </c>
      <c r="X1021" s="13" t="str">
        <f t="shared" si="87"/>
        <v/>
      </c>
      <c r="Y1021" s="2">
        <f t="shared" ca="1" si="88"/>
        <v>39</v>
      </c>
      <c r="Z1021" s="14"/>
      <c r="AA1021" s="14"/>
    </row>
    <row r="1022" spans="1:27" hidden="1">
      <c r="A1022" s="1">
        <v>9296308</v>
      </c>
      <c r="B1022" s="1" t="s">
        <v>101</v>
      </c>
      <c r="C1022" t="s">
        <v>1810</v>
      </c>
      <c r="E1022" s="2">
        <v>3242000206001</v>
      </c>
      <c r="F1022" s="1" t="s">
        <v>29</v>
      </c>
      <c r="G1022" s="1" t="s">
        <v>53</v>
      </c>
      <c r="H1022" s="1" t="s">
        <v>461</v>
      </c>
      <c r="I1022" s="1" t="s">
        <v>462</v>
      </c>
      <c r="J1022" s="1" t="s">
        <v>46</v>
      </c>
      <c r="K1022" t="s">
        <v>34</v>
      </c>
      <c r="M1022" s="1" t="s">
        <v>35</v>
      </c>
      <c r="N1022" s="1">
        <v>42318949</v>
      </c>
      <c r="O1022" s="1" t="s">
        <v>105</v>
      </c>
      <c r="P1022" s="11" t="s">
        <v>1829</v>
      </c>
      <c r="R1022" s="1" t="s">
        <v>38</v>
      </c>
      <c r="T1022" s="1" t="s">
        <v>74</v>
      </c>
      <c r="U1022" s="186">
        <v>44932.75</v>
      </c>
      <c r="V1022" s="1" t="s">
        <v>41</v>
      </c>
      <c r="W1022" s="1" t="s">
        <v>49</v>
      </c>
      <c r="X1022" s="13" t="str">
        <f t="shared" si="87"/>
        <v/>
      </c>
      <c r="Y1022" s="2">
        <f t="shared" ca="1" si="88"/>
        <v>39</v>
      </c>
      <c r="Z1022" s="14"/>
      <c r="AA1022" s="14"/>
    </row>
    <row r="1023" spans="1:27" hidden="1">
      <c r="A1023" s="1">
        <v>9296305</v>
      </c>
      <c r="B1023" s="1" t="s">
        <v>101</v>
      </c>
      <c r="C1023" t="s">
        <v>1810</v>
      </c>
      <c r="E1023" s="2">
        <v>3237000206001</v>
      </c>
      <c r="F1023" s="1" t="s">
        <v>29</v>
      </c>
      <c r="G1023" s="1" t="s">
        <v>53</v>
      </c>
      <c r="H1023" s="1" t="s">
        <v>287</v>
      </c>
      <c r="I1023" s="1" t="s">
        <v>288</v>
      </c>
      <c r="J1023" s="1" t="s">
        <v>46</v>
      </c>
      <c r="K1023" t="s">
        <v>34</v>
      </c>
      <c r="M1023" s="1" t="s">
        <v>35</v>
      </c>
      <c r="N1023" s="1">
        <v>42318949</v>
      </c>
      <c r="O1023" s="1" t="s">
        <v>105</v>
      </c>
      <c r="P1023" s="11" t="s">
        <v>1829</v>
      </c>
      <c r="R1023" s="1" t="s">
        <v>38</v>
      </c>
      <c r="T1023" s="1" t="s">
        <v>74</v>
      </c>
      <c r="U1023" s="186">
        <v>44932.75</v>
      </c>
      <c r="V1023" s="1" t="s">
        <v>41</v>
      </c>
      <c r="W1023" s="1" t="s">
        <v>49</v>
      </c>
      <c r="X1023" s="13" t="str">
        <f t="shared" si="87"/>
        <v/>
      </c>
      <c r="Y1023" s="2">
        <f t="shared" ca="1" si="88"/>
        <v>39</v>
      </c>
      <c r="Z1023" s="14"/>
      <c r="AA1023" s="14"/>
    </row>
    <row r="1024" spans="1:27" hidden="1">
      <c r="A1024" s="1">
        <v>9296304</v>
      </c>
      <c r="B1024" s="1" t="s">
        <v>101</v>
      </c>
      <c r="C1024" t="s">
        <v>1810</v>
      </c>
      <c r="E1024" s="2">
        <v>3234000206001</v>
      </c>
      <c r="F1024" s="1" t="s">
        <v>29</v>
      </c>
      <c r="G1024" s="1" t="s">
        <v>53</v>
      </c>
      <c r="H1024" s="1" t="s">
        <v>1830</v>
      </c>
      <c r="I1024" s="1" t="s">
        <v>1831</v>
      </c>
      <c r="J1024" s="1" t="s">
        <v>46</v>
      </c>
      <c r="K1024" t="s">
        <v>34</v>
      </c>
      <c r="M1024" s="1" t="s">
        <v>35</v>
      </c>
      <c r="N1024" s="1">
        <v>42318949</v>
      </c>
      <c r="O1024" s="1" t="s">
        <v>105</v>
      </c>
      <c r="P1024" s="11" t="s">
        <v>1829</v>
      </c>
      <c r="R1024" s="1" t="s">
        <v>38</v>
      </c>
      <c r="T1024" s="1" t="s">
        <v>74</v>
      </c>
      <c r="U1024" s="186">
        <v>44932.75</v>
      </c>
      <c r="V1024" s="1" t="s">
        <v>41</v>
      </c>
      <c r="W1024" s="1" t="s">
        <v>49</v>
      </c>
      <c r="X1024" s="13" t="str">
        <f t="shared" si="87"/>
        <v/>
      </c>
      <c r="Y1024" s="2">
        <f t="shared" ca="1" si="88"/>
        <v>39</v>
      </c>
      <c r="Z1024" s="14"/>
      <c r="AA1024" s="14"/>
    </row>
    <row r="1025" spans="1:27" hidden="1">
      <c r="A1025" s="1">
        <v>9296208</v>
      </c>
      <c r="B1025" s="1" t="s">
        <v>101</v>
      </c>
      <c r="C1025" t="s">
        <v>1810</v>
      </c>
      <c r="E1025" s="2">
        <v>3108010206001</v>
      </c>
      <c r="F1025" s="1" t="s">
        <v>29</v>
      </c>
      <c r="G1025" s="1" t="s">
        <v>53</v>
      </c>
      <c r="H1025" s="1" t="s">
        <v>503</v>
      </c>
      <c r="I1025" s="1" t="s">
        <v>504</v>
      </c>
      <c r="J1025" s="1" t="s">
        <v>46</v>
      </c>
      <c r="K1025" t="s">
        <v>34</v>
      </c>
      <c r="M1025" s="1" t="s">
        <v>35</v>
      </c>
      <c r="N1025" s="1">
        <v>42318949</v>
      </c>
      <c r="O1025" s="1" t="s">
        <v>105</v>
      </c>
      <c r="P1025" s="11" t="s">
        <v>1832</v>
      </c>
      <c r="R1025" s="1" t="s">
        <v>38</v>
      </c>
      <c r="T1025" s="1" t="s">
        <v>74</v>
      </c>
      <c r="U1025" s="186">
        <v>44932.75</v>
      </c>
      <c r="V1025" s="1" t="s">
        <v>41</v>
      </c>
      <c r="W1025" s="1" t="s">
        <v>49</v>
      </c>
      <c r="X1025" s="13" t="str">
        <f t="shared" si="87"/>
        <v>3108.01</v>
      </c>
      <c r="Y1025" s="2">
        <f t="shared" ca="1" si="88"/>
        <v>39</v>
      </c>
      <c r="Z1025" s="14"/>
      <c r="AA1025" s="14"/>
    </row>
    <row r="1026" spans="1:27" hidden="1">
      <c r="A1026" s="1">
        <v>9296118</v>
      </c>
      <c r="B1026" s="1" t="s">
        <v>101</v>
      </c>
      <c r="C1026" t="s">
        <v>1810</v>
      </c>
      <c r="E1026" s="2">
        <v>2988000206001</v>
      </c>
      <c r="F1026" s="1" t="s">
        <v>29</v>
      </c>
      <c r="G1026" s="1" t="s">
        <v>53</v>
      </c>
      <c r="H1026" s="1" t="s">
        <v>536</v>
      </c>
      <c r="I1026" s="1" t="s">
        <v>537</v>
      </c>
      <c r="J1026" s="1" t="s">
        <v>46</v>
      </c>
      <c r="K1026" t="s">
        <v>34</v>
      </c>
      <c r="M1026" s="1" t="s">
        <v>35</v>
      </c>
      <c r="N1026" s="1">
        <v>42318949</v>
      </c>
      <c r="O1026" s="1" t="s">
        <v>105</v>
      </c>
      <c r="P1026" s="11" t="s">
        <v>1833</v>
      </c>
      <c r="R1026" s="1" t="s">
        <v>38</v>
      </c>
      <c r="T1026" s="1" t="s">
        <v>74</v>
      </c>
      <c r="U1026" s="186">
        <v>44932.75</v>
      </c>
      <c r="V1026" s="1" t="s">
        <v>41</v>
      </c>
      <c r="W1026" s="1" t="s">
        <v>49</v>
      </c>
      <c r="X1026" s="13" t="str">
        <f t="shared" si="87"/>
        <v/>
      </c>
      <c r="Y1026" s="2">
        <f t="shared" ca="1" si="88"/>
        <v>39</v>
      </c>
      <c r="Z1026" s="14"/>
      <c r="AA1026" s="14"/>
    </row>
    <row r="1027" spans="1:27" hidden="1">
      <c r="A1027" s="1">
        <v>9296006</v>
      </c>
      <c r="B1027" s="1" t="s">
        <v>101</v>
      </c>
      <c r="C1027" t="s">
        <v>1810</v>
      </c>
      <c r="E1027" s="2">
        <v>2855000206001</v>
      </c>
      <c r="F1027" s="1" t="s">
        <v>29</v>
      </c>
      <c r="G1027" s="1" t="s">
        <v>53</v>
      </c>
      <c r="H1027" s="1" t="s">
        <v>249</v>
      </c>
      <c r="I1027" s="1" t="s">
        <v>250</v>
      </c>
      <c r="J1027" s="1" t="s">
        <v>56</v>
      </c>
      <c r="K1027" t="s">
        <v>34</v>
      </c>
      <c r="M1027" s="1" t="s">
        <v>35</v>
      </c>
      <c r="N1027" s="1">
        <v>42318949</v>
      </c>
      <c r="O1027" s="1" t="s">
        <v>105</v>
      </c>
      <c r="P1027" s="11" t="s">
        <v>4128</v>
      </c>
      <c r="R1027" s="1" t="s">
        <v>38</v>
      </c>
      <c r="T1027" s="1" t="s">
        <v>74</v>
      </c>
      <c r="U1027" s="186">
        <v>44932.75</v>
      </c>
      <c r="V1027" s="1" t="s">
        <v>41</v>
      </c>
      <c r="W1027" s="1" t="s">
        <v>49</v>
      </c>
      <c r="X1027" s="13" t="str">
        <f t="shared" si="87"/>
        <v/>
      </c>
      <c r="Y1027" s="2">
        <f t="shared" ca="1" si="88"/>
        <v>39</v>
      </c>
      <c r="Z1027" s="14"/>
      <c r="AA1027" s="14"/>
    </row>
    <row r="1028" spans="1:27" hidden="1">
      <c r="A1028" s="1">
        <v>9295960</v>
      </c>
      <c r="B1028" s="1" t="s">
        <v>101</v>
      </c>
      <c r="C1028" t="s">
        <v>1810</v>
      </c>
      <c r="E1028" s="2">
        <v>2802080206001</v>
      </c>
      <c r="F1028" s="1" t="s">
        <v>29</v>
      </c>
      <c r="G1028" s="1" t="s">
        <v>53</v>
      </c>
      <c r="H1028" s="1" t="s">
        <v>1834</v>
      </c>
      <c r="I1028" s="1" t="s">
        <v>500</v>
      </c>
      <c r="J1028" s="1" t="s">
        <v>46</v>
      </c>
      <c r="K1028" t="s">
        <v>34</v>
      </c>
      <c r="M1028" s="1" t="s">
        <v>35</v>
      </c>
      <c r="N1028" s="1">
        <v>42318949</v>
      </c>
      <c r="O1028" s="1" t="s">
        <v>105</v>
      </c>
      <c r="P1028" s="11" t="s">
        <v>4129</v>
      </c>
      <c r="R1028" s="1" t="s">
        <v>38</v>
      </c>
      <c r="T1028" s="1" t="s">
        <v>74</v>
      </c>
      <c r="U1028" s="186">
        <v>44932.75</v>
      </c>
      <c r="V1028" s="1" t="s">
        <v>41</v>
      </c>
      <c r="W1028" s="1" t="s">
        <v>49</v>
      </c>
      <c r="X1028" s="13" t="str">
        <f t="shared" si="87"/>
        <v>2802.08</v>
      </c>
      <c r="Y1028" s="2">
        <f t="shared" ca="1" si="88"/>
        <v>39</v>
      </c>
      <c r="Z1028" s="14"/>
      <c r="AA1028" s="14"/>
    </row>
    <row r="1029" spans="1:27" hidden="1">
      <c r="A1029" s="1">
        <v>9295959</v>
      </c>
      <c r="B1029" s="1" t="s">
        <v>101</v>
      </c>
      <c r="C1029" t="s">
        <v>1810</v>
      </c>
      <c r="E1029" s="2">
        <v>2802000206001</v>
      </c>
      <c r="F1029" s="1" t="s">
        <v>29</v>
      </c>
      <c r="G1029" s="1" t="s">
        <v>53</v>
      </c>
      <c r="H1029" s="1" t="s">
        <v>388</v>
      </c>
      <c r="I1029" s="1" t="s">
        <v>389</v>
      </c>
      <c r="J1029" s="1" t="s">
        <v>46</v>
      </c>
      <c r="K1029" t="s">
        <v>34</v>
      </c>
      <c r="M1029" s="1" t="s">
        <v>35</v>
      </c>
      <c r="N1029" s="1">
        <v>42318949</v>
      </c>
      <c r="O1029" s="1" t="s">
        <v>105</v>
      </c>
      <c r="P1029" s="11" t="s">
        <v>4130</v>
      </c>
      <c r="R1029" s="1" t="s">
        <v>38</v>
      </c>
      <c r="T1029" s="1" t="s">
        <v>74</v>
      </c>
      <c r="U1029" s="186">
        <v>44932.75</v>
      </c>
      <c r="V1029" s="1" t="s">
        <v>41</v>
      </c>
      <c r="W1029" s="1" t="s">
        <v>49</v>
      </c>
      <c r="X1029" s="13" t="str">
        <f t="shared" si="87"/>
        <v/>
      </c>
      <c r="Y1029" s="2">
        <f t="shared" ca="1" si="88"/>
        <v>39</v>
      </c>
      <c r="Z1029" s="14"/>
      <c r="AA1029" s="14"/>
    </row>
    <row r="1030" spans="1:27" hidden="1">
      <c r="A1030" s="1">
        <v>9295897</v>
      </c>
      <c r="B1030" s="1" t="s">
        <v>101</v>
      </c>
      <c r="C1030" t="s">
        <v>1810</v>
      </c>
      <c r="E1030" s="2">
        <v>2737000206001</v>
      </c>
      <c r="F1030" s="1" t="s">
        <v>29</v>
      </c>
      <c r="G1030" s="1" t="s">
        <v>53</v>
      </c>
      <c r="H1030" s="1" t="s">
        <v>311</v>
      </c>
      <c r="I1030" s="1" t="s">
        <v>312</v>
      </c>
      <c r="J1030" s="1" t="s">
        <v>90</v>
      </c>
      <c r="K1030" t="s">
        <v>34</v>
      </c>
      <c r="M1030" s="1" t="s">
        <v>35</v>
      </c>
      <c r="N1030" s="1">
        <v>42318949</v>
      </c>
      <c r="O1030" s="1" t="s">
        <v>105</v>
      </c>
      <c r="P1030" s="11" t="s">
        <v>4131</v>
      </c>
      <c r="R1030" s="1" t="s">
        <v>38</v>
      </c>
      <c r="T1030" s="1" t="s">
        <v>74</v>
      </c>
      <c r="U1030" s="186">
        <v>44932.75</v>
      </c>
      <c r="V1030" s="1" t="s">
        <v>41</v>
      </c>
      <c r="W1030" s="1" t="s">
        <v>49</v>
      </c>
      <c r="X1030" s="13" t="str">
        <f t="shared" si="87"/>
        <v/>
      </c>
      <c r="Y1030" s="2">
        <f t="shared" ca="1" si="88"/>
        <v>39</v>
      </c>
      <c r="Z1030" s="14"/>
      <c r="AA1030" s="14"/>
    </row>
    <row r="1031" spans="1:27" hidden="1">
      <c r="A1031" s="1">
        <v>9295858</v>
      </c>
      <c r="B1031" s="1" t="s">
        <v>101</v>
      </c>
      <c r="C1031" t="s">
        <v>1810</v>
      </c>
      <c r="E1031" s="2">
        <v>2693000206001</v>
      </c>
      <c r="F1031" s="1" t="s">
        <v>29</v>
      </c>
      <c r="G1031" s="1" t="s">
        <v>53</v>
      </c>
      <c r="H1031" s="1" t="s">
        <v>253</v>
      </c>
      <c r="I1031" s="1" t="s">
        <v>254</v>
      </c>
      <c r="J1031" s="1" t="s">
        <v>56</v>
      </c>
      <c r="K1031" t="s">
        <v>34</v>
      </c>
      <c r="M1031" s="1" t="s">
        <v>35</v>
      </c>
      <c r="N1031" s="1">
        <v>42318949</v>
      </c>
      <c r="O1031" s="1" t="s">
        <v>105</v>
      </c>
      <c r="P1031" s="11" t="s">
        <v>1835</v>
      </c>
      <c r="R1031" s="1" t="s">
        <v>38</v>
      </c>
      <c r="T1031" s="1" t="s">
        <v>74</v>
      </c>
      <c r="U1031" s="186">
        <v>44932.75</v>
      </c>
      <c r="V1031" s="1" t="s">
        <v>41</v>
      </c>
      <c r="W1031" s="1" t="s">
        <v>49</v>
      </c>
      <c r="X1031" s="13" t="str">
        <f t="shared" si="87"/>
        <v/>
      </c>
      <c r="Y1031" s="2">
        <f t="shared" ca="1" si="88"/>
        <v>39</v>
      </c>
      <c r="Z1031" s="14"/>
      <c r="AA1031" s="14"/>
    </row>
    <row r="1032" spans="1:27" hidden="1">
      <c r="A1032" s="1">
        <v>9295849</v>
      </c>
      <c r="B1032" s="1" t="s">
        <v>101</v>
      </c>
      <c r="C1032" t="s">
        <v>1810</v>
      </c>
      <c r="E1032" s="2">
        <v>2683000206001</v>
      </c>
      <c r="F1032" s="1" t="s">
        <v>29</v>
      </c>
      <c r="G1032" s="1" t="s">
        <v>53</v>
      </c>
      <c r="H1032" s="1" t="s">
        <v>276</v>
      </c>
      <c r="I1032" s="1" t="s">
        <v>277</v>
      </c>
      <c r="J1032" s="1" t="s">
        <v>90</v>
      </c>
      <c r="K1032" t="s">
        <v>34</v>
      </c>
      <c r="M1032" s="1" t="s">
        <v>35</v>
      </c>
      <c r="N1032" s="1">
        <v>42318949</v>
      </c>
      <c r="O1032" s="1" t="s">
        <v>105</v>
      </c>
      <c r="P1032" s="11" t="s">
        <v>1836</v>
      </c>
      <c r="R1032" s="1" t="s">
        <v>38</v>
      </c>
      <c r="T1032" s="1" t="s">
        <v>74</v>
      </c>
      <c r="U1032" s="186">
        <v>44932.75</v>
      </c>
      <c r="V1032" s="1" t="s">
        <v>41</v>
      </c>
      <c r="W1032" s="1" t="s">
        <v>49</v>
      </c>
      <c r="X1032" s="13" t="str">
        <f t="shared" si="87"/>
        <v/>
      </c>
      <c r="Y1032" s="2">
        <f t="shared" ca="1" si="88"/>
        <v>39</v>
      </c>
      <c r="Z1032" s="14"/>
      <c r="AA1032" s="14"/>
    </row>
    <row r="1033" spans="1:27" hidden="1">
      <c r="A1033" s="1">
        <v>9295845</v>
      </c>
      <c r="B1033" s="1" t="s">
        <v>101</v>
      </c>
      <c r="C1033" t="s">
        <v>1810</v>
      </c>
      <c r="E1033" s="2">
        <v>2678000206001</v>
      </c>
      <c r="F1033" s="1" t="s">
        <v>29</v>
      </c>
      <c r="G1033" s="1" t="s">
        <v>53</v>
      </c>
      <c r="H1033" s="1" t="s">
        <v>992</v>
      </c>
      <c r="I1033" s="1" t="s">
        <v>993</v>
      </c>
      <c r="J1033" s="1" t="s">
        <v>33</v>
      </c>
      <c r="K1033" t="s">
        <v>34</v>
      </c>
      <c r="M1033" s="1" t="s">
        <v>35</v>
      </c>
      <c r="N1033" s="1">
        <v>42318949</v>
      </c>
      <c r="O1033" s="1" t="s">
        <v>105</v>
      </c>
      <c r="P1033" s="11" t="s">
        <v>1836</v>
      </c>
      <c r="R1033" s="1" t="s">
        <v>38</v>
      </c>
      <c r="T1033" s="1" t="s">
        <v>74</v>
      </c>
      <c r="U1033" s="186">
        <v>44932.75</v>
      </c>
      <c r="V1033" s="1" t="s">
        <v>41</v>
      </c>
      <c r="W1033" s="1" t="s">
        <v>42</v>
      </c>
      <c r="X1033" s="13" t="str">
        <f t="shared" si="87"/>
        <v/>
      </c>
      <c r="Y1033" s="2">
        <f t="shared" ca="1" si="88"/>
        <v>39</v>
      </c>
      <c r="Z1033" s="14"/>
      <c r="AA1033" s="14"/>
    </row>
    <row r="1034" spans="1:27" hidden="1">
      <c r="A1034" s="1">
        <v>9295840</v>
      </c>
      <c r="B1034" s="1" t="s">
        <v>101</v>
      </c>
      <c r="C1034" t="s">
        <v>1810</v>
      </c>
      <c r="E1034" s="2">
        <v>2669000206001</v>
      </c>
      <c r="F1034" s="1" t="s">
        <v>29</v>
      </c>
      <c r="G1034" s="1" t="s">
        <v>53</v>
      </c>
      <c r="H1034" s="1" t="s">
        <v>561</v>
      </c>
      <c r="I1034" s="1" t="s">
        <v>562</v>
      </c>
      <c r="J1034" s="1" t="s">
        <v>110</v>
      </c>
      <c r="K1034" t="s">
        <v>34</v>
      </c>
      <c r="M1034" s="1" t="s">
        <v>35</v>
      </c>
      <c r="N1034" s="1">
        <v>42318949</v>
      </c>
      <c r="O1034" s="1" t="s">
        <v>36</v>
      </c>
      <c r="P1034" s="11" t="s">
        <v>1837</v>
      </c>
      <c r="R1034" s="1" t="s">
        <v>38</v>
      </c>
      <c r="T1034" s="1" t="s">
        <v>74</v>
      </c>
      <c r="U1034" s="186">
        <v>44932.75</v>
      </c>
      <c r="V1034" s="1" t="s">
        <v>41</v>
      </c>
      <c r="W1034" s="1" t="s">
        <v>49</v>
      </c>
      <c r="X1034" s="13" t="str">
        <f t="shared" si="87"/>
        <v/>
      </c>
      <c r="Y1034" s="2">
        <f t="shared" ca="1" si="88"/>
        <v>39</v>
      </c>
      <c r="Z1034" s="14"/>
      <c r="AA1034" s="14"/>
    </row>
    <row r="1035" spans="1:27" hidden="1">
      <c r="A1035" s="1">
        <v>9295800</v>
      </c>
      <c r="B1035" s="1" t="s">
        <v>101</v>
      </c>
      <c r="C1035" t="s">
        <v>1810</v>
      </c>
      <c r="E1035" s="2">
        <v>2625000206001</v>
      </c>
      <c r="F1035" s="1" t="s">
        <v>29</v>
      </c>
      <c r="G1035" s="1" t="s">
        <v>53</v>
      </c>
      <c r="H1035" s="1" t="s">
        <v>317</v>
      </c>
      <c r="I1035" s="1" t="s">
        <v>318</v>
      </c>
      <c r="J1035" s="1" t="s">
        <v>164</v>
      </c>
      <c r="K1035" t="s">
        <v>34</v>
      </c>
      <c r="M1035" s="1" t="s">
        <v>35</v>
      </c>
      <c r="N1035" s="1">
        <v>42318949</v>
      </c>
      <c r="O1035" s="1" t="s">
        <v>105</v>
      </c>
      <c r="P1035" s="11" t="s">
        <v>4132</v>
      </c>
      <c r="R1035" s="1" t="s">
        <v>38</v>
      </c>
      <c r="T1035" s="1" t="s">
        <v>74</v>
      </c>
      <c r="U1035" s="186">
        <v>44932.75</v>
      </c>
      <c r="V1035" s="1" t="s">
        <v>41</v>
      </c>
      <c r="W1035" s="1" t="s">
        <v>49</v>
      </c>
      <c r="X1035" s="13" t="str">
        <f t="shared" si="87"/>
        <v/>
      </c>
      <c r="Y1035" s="2">
        <f t="shared" ca="1" si="88"/>
        <v>39</v>
      </c>
      <c r="Z1035" s="14"/>
      <c r="AA1035" s="14"/>
    </row>
    <row r="1036" spans="1:27" hidden="1">
      <c r="A1036" s="1">
        <v>9295771</v>
      </c>
      <c r="B1036" s="1" t="s">
        <v>101</v>
      </c>
      <c r="C1036" t="s">
        <v>1810</v>
      </c>
      <c r="E1036" s="2">
        <v>2590000206001</v>
      </c>
      <c r="F1036" s="1" t="s">
        <v>29</v>
      </c>
      <c r="G1036" s="1" t="s">
        <v>53</v>
      </c>
      <c r="H1036" s="1" t="s">
        <v>394</v>
      </c>
      <c r="I1036" s="1" t="s">
        <v>395</v>
      </c>
      <c r="J1036" s="1" t="s">
        <v>148</v>
      </c>
      <c r="K1036" t="s">
        <v>34</v>
      </c>
      <c r="M1036" s="1" t="s">
        <v>35</v>
      </c>
      <c r="N1036" s="1">
        <v>42318949</v>
      </c>
      <c r="O1036" s="1" t="s">
        <v>105</v>
      </c>
      <c r="P1036" s="11" t="s">
        <v>1839</v>
      </c>
      <c r="R1036" s="1" t="s">
        <v>38</v>
      </c>
      <c r="T1036" s="1" t="s">
        <v>74</v>
      </c>
      <c r="U1036" s="11" t="s">
        <v>1341</v>
      </c>
      <c r="V1036" s="1" t="s">
        <v>41</v>
      </c>
      <c r="W1036" s="1" t="s">
        <v>49</v>
      </c>
      <c r="X1036" s="13" t="str">
        <f t="shared" si="87"/>
        <v/>
      </c>
      <c r="Y1036" s="2">
        <f t="shared" ca="1" si="88"/>
        <v>39</v>
      </c>
      <c r="Z1036" s="14"/>
      <c r="AA1036" s="14"/>
    </row>
    <row r="1037" spans="1:27" hidden="1">
      <c r="A1037" s="1">
        <v>9295742</v>
      </c>
      <c r="B1037" s="1" t="s">
        <v>101</v>
      </c>
      <c r="C1037" t="s">
        <v>1810</v>
      </c>
      <c r="E1037" s="2">
        <v>2564000206001</v>
      </c>
      <c r="F1037" s="1" t="s">
        <v>29</v>
      </c>
      <c r="G1037" s="1" t="s">
        <v>53</v>
      </c>
      <c r="H1037" s="1" t="s">
        <v>255</v>
      </c>
      <c r="I1037" s="1" t="s">
        <v>256</v>
      </c>
      <c r="J1037" s="1" t="s">
        <v>164</v>
      </c>
      <c r="K1037" t="s">
        <v>34</v>
      </c>
      <c r="M1037" s="1" t="s">
        <v>35</v>
      </c>
      <c r="N1037" s="1">
        <v>42318949</v>
      </c>
      <c r="O1037" s="1" t="s">
        <v>105</v>
      </c>
      <c r="P1037" s="11" t="s">
        <v>4133</v>
      </c>
      <c r="R1037" s="1" t="s">
        <v>38</v>
      </c>
      <c r="T1037" s="1" t="s">
        <v>74</v>
      </c>
      <c r="U1037" s="11" t="s">
        <v>1341</v>
      </c>
      <c r="V1037" s="1" t="s">
        <v>41</v>
      </c>
      <c r="W1037" s="1" t="s">
        <v>49</v>
      </c>
      <c r="X1037" s="13" t="str">
        <f t="shared" si="87"/>
        <v/>
      </c>
      <c r="Y1037" s="2">
        <f t="shared" ca="1" si="88"/>
        <v>39</v>
      </c>
      <c r="Z1037" s="14"/>
      <c r="AA1037" s="14"/>
    </row>
    <row r="1038" spans="1:27" hidden="1">
      <c r="A1038" s="1">
        <v>9295739</v>
      </c>
      <c r="B1038" s="1" t="s">
        <v>101</v>
      </c>
      <c r="C1038" t="s">
        <v>1810</v>
      </c>
      <c r="E1038" s="2">
        <v>2559000206001</v>
      </c>
      <c r="F1038" s="1" t="s">
        <v>29</v>
      </c>
      <c r="G1038" s="1" t="s">
        <v>53</v>
      </c>
      <c r="H1038" s="1" t="s">
        <v>259</v>
      </c>
      <c r="I1038" s="1" t="s">
        <v>260</v>
      </c>
      <c r="J1038" s="1" t="s">
        <v>261</v>
      </c>
      <c r="K1038" t="s">
        <v>34</v>
      </c>
      <c r="M1038" s="1" t="s">
        <v>35</v>
      </c>
      <c r="N1038" s="1">
        <v>42318949</v>
      </c>
      <c r="O1038" s="1" t="s">
        <v>105</v>
      </c>
      <c r="P1038" s="11" t="s">
        <v>1840</v>
      </c>
      <c r="R1038" s="1" t="s">
        <v>38</v>
      </c>
      <c r="T1038" s="1" t="s">
        <v>74</v>
      </c>
      <c r="U1038" s="11" t="s">
        <v>1341</v>
      </c>
      <c r="V1038" s="1" t="s">
        <v>41</v>
      </c>
      <c r="W1038" s="1" t="s">
        <v>49</v>
      </c>
      <c r="X1038" s="13" t="str">
        <f t="shared" si="87"/>
        <v/>
      </c>
      <c r="Y1038" s="2">
        <f t="shared" ca="1" si="88"/>
        <v>39</v>
      </c>
      <c r="Z1038" s="14"/>
      <c r="AA1038" s="14"/>
    </row>
    <row r="1039" spans="1:27" hidden="1">
      <c r="A1039" s="1">
        <v>9295672</v>
      </c>
      <c r="B1039" s="1" t="s">
        <v>101</v>
      </c>
      <c r="C1039" t="s">
        <v>1810</v>
      </c>
      <c r="E1039" s="2">
        <v>2473000206001</v>
      </c>
      <c r="F1039" s="1" t="s">
        <v>29</v>
      </c>
      <c r="G1039" s="1" t="s">
        <v>53</v>
      </c>
      <c r="H1039" s="1" t="s">
        <v>1459</v>
      </c>
      <c r="I1039" s="1" t="s">
        <v>1460</v>
      </c>
      <c r="J1039" s="1" t="s">
        <v>261</v>
      </c>
      <c r="K1039" t="s">
        <v>34</v>
      </c>
      <c r="M1039" s="1" t="s">
        <v>35</v>
      </c>
      <c r="N1039" s="1">
        <v>42318949</v>
      </c>
      <c r="O1039" s="1" t="s">
        <v>105</v>
      </c>
      <c r="P1039" s="11" t="s">
        <v>1842</v>
      </c>
      <c r="R1039" s="1" t="s">
        <v>38</v>
      </c>
      <c r="T1039" s="1" t="s">
        <v>74</v>
      </c>
      <c r="U1039" s="11" t="s">
        <v>1341</v>
      </c>
      <c r="V1039" s="1" t="s">
        <v>41</v>
      </c>
      <c r="W1039" s="1" t="s">
        <v>49</v>
      </c>
      <c r="X1039" s="13" t="str">
        <f t="shared" si="87"/>
        <v/>
      </c>
      <c r="Y1039" s="2">
        <f t="shared" ca="1" si="88"/>
        <v>39</v>
      </c>
      <c r="Z1039" s="14"/>
      <c r="AA1039" s="14"/>
    </row>
    <row r="1040" spans="1:27" hidden="1">
      <c r="A1040" s="1">
        <v>9295637</v>
      </c>
      <c r="B1040" s="1" t="s">
        <v>101</v>
      </c>
      <c r="C1040" t="s">
        <v>1810</v>
      </c>
      <c r="E1040" s="2">
        <v>2437000206001</v>
      </c>
      <c r="F1040" s="1" t="s">
        <v>29</v>
      </c>
      <c r="G1040" s="1" t="s">
        <v>53</v>
      </c>
      <c r="H1040" s="1" t="s">
        <v>416</v>
      </c>
      <c r="I1040" s="1" t="s">
        <v>417</v>
      </c>
      <c r="J1040" s="1" t="s">
        <v>211</v>
      </c>
      <c r="K1040" t="s">
        <v>34</v>
      </c>
      <c r="M1040" s="1" t="s">
        <v>35</v>
      </c>
      <c r="N1040" s="1">
        <v>42318949</v>
      </c>
      <c r="O1040" s="1" t="s">
        <v>105</v>
      </c>
      <c r="P1040" s="11" t="s">
        <v>1843</v>
      </c>
      <c r="R1040" s="1" t="s">
        <v>38</v>
      </c>
      <c r="T1040" s="1" t="s">
        <v>74</v>
      </c>
      <c r="U1040" s="11" t="s">
        <v>1341</v>
      </c>
      <c r="V1040" s="1" t="s">
        <v>41</v>
      </c>
      <c r="W1040" s="1" t="s">
        <v>49</v>
      </c>
      <c r="X1040" s="13" t="str">
        <f t="shared" si="87"/>
        <v/>
      </c>
      <c r="Y1040" s="2">
        <f t="shared" ca="1" si="88"/>
        <v>39</v>
      </c>
      <c r="Z1040" s="14"/>
      <c r="AA1040" s="14"/>
    </row>
    <row r="1041" spans="1:27" hidden="1">
      <c r="A1041" s="1">
        <v>9295622</v>
      </c>
      <c r="B1041" s="1" t="s">
        <v>101</v>
      </c>
      <c r="C1041" t="s">
        <v>1810</v>
      </c>
      <c r="E1041" s="2">
        <v>2422000206001</v>
      </c>
      <c r="F1041" s="1" t="s">
        <v>29</v>
      </c>
      <c r="G1041" s="1" t="s">
        <v>53</v>
      </c>
      <c r="H1041" s="1" t="s">
        <v>1844</v>
      </c>
      <c r="I1041" s="1" t="s">
        <v>1845</v>
      </c>
      <c r="J1041" s="1" t="s">
        <v>211</v>
      </c>
      <c r="K1041" t="s">
        <v>34</v>
      </c>
      <c r="M1041" s="1" t="s">
        <v>35</v>
      </c>
      <c r="N1041" s="1">
        <v>42318949</v>
      </c>
      <c r="O1041" s="1" t="s">
        <v>105</v>
      </c>
      <c r="P1041" s="11" t="s">
        <v>1846</v>
      </c>
      <c r="R1041" s="1" t="s">
        <v>38</v>
      </c>
      <c r="T1041" s="1" t="s">
        <v>74</v>
      </c>
      <c r="U1041" s="11" t="s">
        <v>1341</v>
      </c>
      <c r="V1041" s="1" t="s">
        <v>41</v>
      </c>
      <c r="W1041" s="1" t="s">
        <v>49</v>
      </c>
      <c r="X1041" s="13" t="str">
        <f t="shared" si="87"/>
        <v/>
      </c>
      <c r="Y1041" s="2">
        <f t="shared" ca="1" si="88"/>
        <v>39</v>
      </c>
      <c r="Z1041" s="14"/>
      <c r="AA1041" s="14"/>
    </row>
    <row r="1042" spans="1:27" hidden="1">
      <c r="A1042" s="1">
        <v>9295613</v>
      </c>
      <c r="B1042" s="1" t="s">
        <v>101</v>
      </c>
      <c r="C1042" t="s">
        <v>1810</v>
      </c>
      <c r="E1042" s="2">
        <v>2413000206001</v>
      </c>
      <c r="F1042" s="1" t="s">
        <v>29</v>
      </c>
      <c r="G1042" s="1" t="s">
        <v>53</v>
      </c>
      <c r="H1042" s="1" t="s">
        <v>505</v>
      </c>
      <c r="I1042" s="1" t="s">
        <v>506</v>
      </c>
      <c r="J1042" s="1" t="s">
        <v>141</v>
      </c>
      <c r="K1042" t="s">
        <v>34</v>
      </c>
      <c r="M1042" s="1" t="s">
        <v>35</v>
      </c>
      <c r="N1042" s="1">
        <v>42318949</v>
      </c>
      <c r="O1042" s="1" t="s">
        <v>105</v>
      </c>
      <c r="P1042" s="11" t="s">
        <v>1847</v>
      </c>
      <c r="R1042" s="1" t="s">
        <v>38</v>
      </c>
      <c r="T1042" s="1" t="s">
        <v>74</v>
      </c>
      <c r="U1042" s="11" t="s">
        <v>1341</v>
      </c>
      <c r="V1042" s="1" t="s">
        <v>41</v>
      </c>
      <c r="W1042" s="1" t="s">
        <v>49</v>
      </c>
      <c r="X1042" s="13" t="str">
        <f t="shared" si="87"/>
        <v/>
      </c>
      <c r="Y1042" s="2">
        <f t="shared" ca="1" si="88"/>
        <v>39</v>
      </c>
      <c r="Z1042" s="14"/>
      <c r="AA1042" s="14"/>
    </row>
    <row r="1043" spans="1:27" hidden="1">
      <c r="A1043" s="1">
        <v>9295593</v>
      </c>
      <c r="B1043" s="1" t="s">
        <v>101</v>
      </c>
      <c r="C1043" t="s">
        <v>1810</v>
      </c>
      <c r="E1043" s="2">
        <v>2388000206001</v>
      </c>
      <c r="F1043" s="1" t="s">
        <v>29</v>
      </c>
      <c r="G1043" s="1" t="s">
        <v>53</v>
      </c>
      <c r="H1043" s="1" t="s">
        <v>299</v>
      </c>
      <c r="I1043" s="1" t="s">
        <v>300</v>
      </c>
      <c r="J1043" s="1" t="s">
        <v>79</v>
      </c>
      <c r="K1043" t="s">
        <v>34</v>
      </c>
      <c r="M1043" s="1" t="s">
        <v>35</v>
      </c>
      <c r="N1043" s="1">
        <v>42318949</v>
      </c>
      <c r="O1043" s="1" t="s">
        <v>105</v>
      </c>
      <c r="P1043" s="11" t="s">
        <v>1848</v>
      </c>
      <c r="R1043" s="1" t="s">
        <v>38</v>
      </c>
      <c r="T1043" s="1" t="s">
        <v>74</v>
      </c>
      <c r="U1043" s="11" t="s">
        <v>1341</v>
      </c>
      <c r="V1043" s="1" t="s">
        <v>41</v>
      </c>
      <c r="W1043" s="1" t="s">
        <v>49</v>
      </c>
      <c r="X1043" s="13" t="str">
        <f t="shared" si="87"/>
        <v/>
      </c>
      <c r="Y1043" s="2">
        <f t="shared" ca="1" si="88"/>
        <v>39</v>
      </c>
      <c r="Z1043" s="14"/>
      <c r="AA1043" s="14"/>
    </row>
    <row r="1044" spans="1:27" hidden="1">
      <c r="A1044" s="1">
        <v>9295576</v>
      </c>
      <c r="B1044" s="1" t="s">
        <v>101</v>
      </c>
      <c r="C1044" t="s">
        <v>1810</v>
      </c>
      <c r="E1044" s="2">
        <v>2371000206001</v>
      </c>
      <c r="F1044" s="1" t="s">
        <v>29</v>
      </c>
      <c r="G1044" s="1" t="s">
        <v>53</v>
      </c>
      <c r="H1044" s="1" t="s">
        <v>1000</v>
      </c>
      <c r="I1044" s="1" t="s">
        <v>1001</v>
      </c>
      <c r="J1044" s="1" t="s">
        <v>90</v>
      </c>
      <c r="K1044" t="s">
        <v>34</v>
      </c>
      <c r="M1044" s="1" t="s">
        <v>35</v>
      </c>
      <c r="N1044" s="1">
        <v>42318949</v>
      </c>
      <c r="O1044" s="1" t="s">
        <v>36</v>
      </c>
      <c r="P1044" s="11" t="s">
        <v>1849</v>
      </c>
      <c r="R1044" s="1" t="s">
        <v>38</v>
      </c>
      <c r="T1044" s="1" t="s">
        <v>74</v>
      </c>
      <c r="U1044" s="11" t="s">
        <v>1341</v>
      </c>
      <c r="V1044" s="1" t="s">
        <v>41</v>
      </c>
      <c r="W1044" s="1" t="s">
        <v>49</v>
      </c>
      <c r="X1044" s="13" t="str">
        <f t="shared" si="87"/>
        <v/>
      </c>
      <c r="Y1044" s="2">
        <f t="shared" ca="1" si="88"/>
        <v>39</v>
      </c>
      <c r="Z1044" s="14"/>
      <c r="AA1044" s="14"/>
    </row>
    <row r="1045" spans="1:27" hidden="1">
      <c r="A1045" s="1">
        <v>9295575</v>
      </c>
      <c r="B1045" s="1" t="s">
        <v>101</v>
      </c>
      <c r="C1045" t="s">
        <v>1810</v>
      </c>
      <c r="E1045" s="2">
        <v>2369000206001</v>
      </c>
      <c r="F1045" s="1" t="s">
        <v>29</v>
      </c>
      <c r="G1045" s="1" t="s">
        <v>53</v>
      </c>
      <c r="H1045" s="1" t="s">
        <v>701</v>
      </c>
      <c r="I1045" s="1" t="s">
        <v>702</v>
      </c>
      <c r="J1045" s="1" t="s">
        <v>141</v>
      </c>
      <c r="K1045" t="s">
        <v>34</v>
      </c>
      <c r="M1045" s="1" t="s">
        <v>35</v>
      </c>
      <c r="N1045" s="1">
        <v>42318949</v>
      </c>
      <c r="O1045" s="1" t="s">
        <v>105</v>
      </c>
      <c r="P1045" s="11" t="s">
        <v>1849</v>
      </c>
      <c r="R1045" s="1" t="s">
        <v>38</v>
      </c>
      <c r="T1045" s="1" t="s">
        <v>74</v>
      </c>
      <c r="U1045" s="11" t="s">
        <v>1341</v>
      </c>
      <c r="V1045" s="1" t="s">
        <v>41</v>
      </c>
      <c r="W1045" s="1" t="s">
        <v>49</v>
      </c>
      <c r="X1045" s="13" t="str">
        <f t="shared" si="87"/>
        <v/>
      </c>
      <c r="Y1045" s="2">
        <f t="shared" ca="1" si="88"/>
        <v>39</v>
      </c>
      <c r="Z1045" s="14"/>
      <c r="AA1045" s="14"/>
    </row>
    <row r="1046" spans="1:27" hidden="1">
      <c r="A1046" s="1">
        <v>9295544</v>
      </c>
      <c r="B1046" s="1" t="s">
        <v>101</v>
      </c>
      <c r="C1046" t="s">
        <v>1810</v>
      </c>
      <c r="E1046" s="2">
        <v>2335000206001</v>
      </c>
      <c r="F1046" s="1" t="s">
        <v>29</v>
      </c>
      <c r="G1046" s="1" t="s">
        <v>53</v>
      </c>
      <c r="H1046" s="1" t="s">
        <v>194</v>
      </c>
      <c r="I1046" s="1" t="s">
        <v>195</v>
      </c>
      <c r="J1046" s="1" t="s">
        <v>110</v>
      </c>
      <c r="K1046" t="s">
        <v>34</v>
      </c>
      <c r="M1046" s="1" t="s">
        <v>35</v>
      </c>
      <c r="N1046" s="1">
        <v>42318949</v>
      </c>
      <c r="O1046" s="1" t="s">
        <v>105</v>
      </c>
      <c r="P1046" s="11" t="s">
        <v>1850</v>
      </c>
      <c r="R1046" s="1" t="s">
        <v>38</v>
      </c>
      <c r="T1046" s="1" t="s">
        <v>74</v>
      </c>
      <c r="U1046" s="11" t="s">
        <v>1341</v>
      </c>
      <c r="V1046" s="1" t="s">
        <v>41</v>
      </c>
      <c r="W1046" s="1" t="s">
        <v>49</v>
      </c>
      <c r="X1046" s="13" t="str">
        <f t="shared" si="87"/>
        <v/>
      </c>
      <c r="Y1046" s="2">
        <f t="shared" ca="1" si="88"/>
        <v>39</v>
      </c>
      <c r="Z1046" s="14"/>
      <c r="AA1046" s="14"/>
    </row>
    <row r="1047" spans="1:27" hidden="1">
      <c r="A1047" s="1">
        <v>9295538</v>
      </c>
      <c r="B1047" s="1" t="s">
        <v>101</v>
      </c>
      <c r="C1047" t="s">
        <v>1810</v>
      </c>
      <c r="E1047" s="2">
        <v>2326000206001</v>
      </c>
      <c r="F1047" s="1" t="s">
        <v>29</v>
      </c>
      <c r="G1047" s="1" t="s">
        <v>53</v>
      </c>
      <c r="H1047" s="1" t="s">
        <v>191</v>
      </c>
      <c r="I1047" s="1" t="s">
        <v>192</v>
      </c>
      <c r="J1047" s="1" t="s">
        <v>46</v>
      </c>
      <c r="K1047" t="s">
        <v>34</v>
      </c>
      <c r="M1047" s="1" t="s">
        <v>35</v>
      </c>
      <c r="N1047" s="1">
        <v>42318949</v>
      </c>
      <c r="O1047" s="1" t="s">
        <v>105</v>
      </c>
      <c r="P1047" s="11" t="s">
        <v>1851</v>
      </c>
      <c r="R1047" s="1" t="s">
        <v>38</v>
      </c>
      <c r="T1047" s="1" t="s">
        <v>74</v>
      </c>
      <c r="U1047" s="11" t="s">
        <v>1341</v>
      </c>
      <c r="V1047" s="1" t="s">
        <v>41</v>
      </c>
      <c r="W1047" s="1" t="s">
        <v>49</v>
      </c>
      <c r="X1047" s="13" t="str">
        <f t="shared" si="87"/>
        <v/>
      </c>
      <c r="Y1047" s="2">
        <f t="shared" ca="1" si="88"/>
        <v>39</v>
      </c>
      <c r="Z1047" s="14"/>
      <c r="AA1047" s="14"/>
    </row>
    <row r="1048" spans="1:27" hidden="1">
      <c r="A1048" s="1">
        <v>9295476</v>
      </c>
      <c r="B1048" s="1" t="s">
        <v>101</v>
      </c>
      <c r="C1048" t="s">
        <v>1810</v>
      </c>
      <c r="E1048" s="2">
        <v>2257000206001</v>
      </c>
      <c r="F1048" s="1" t="s">
        <v>29</v>
      </c>
      <c r="G1048" s="1" t="s">
        <v>53</v>
      </c>
      <c r="H1048" s="1" t="s">
        <v>381</v>
      </c>
      <c r="I1048" s="1" t="s">
        <v>382</v>
      </c>
      <c r="J1048" s="1" t="s">
        <v>110</v>
      </c>
      <c r="K1048" t="s">
        <v>34</v>
      </c>
      <c r="M1048" s="1" t="s">
        <v>35</v>
      </c>
      <c r="N1048" s="1">
        <v>42318949</v>
      </c>
      <c r="O1048" s="1" t="s">
        <v>105</v>
      </c>
      <c r="P1048" s="11" t="s">
        <v>1852</v>
      </c>
      <c r="R1048" s="1" t="s">
        <v>38</v>
      </c>
      <c r="T1048" s="1" t="s">
        <v>74</v>
      </c>
      <c r="U1048" s="11" t="s">
        <v>1341</v>
      </c>
      <c r="V1048" s="1" t="s">
        <v>41</v>
      </c>
      <c r="W1048" s="1" t="s">
        <v>49</v>
      </c>
      <c r="X1048" s="13" t="str">
        <f t="shared" si="87"/>
        <v/>
      </c>
      <c r="Y1048" s="2">
        <f t="shared" ca="1" si="88"/>
        <v>39</v>
      </c>
      <c r="Z1048" s="14"/>
      <c r="AA1048" s="14"/>
    </row>
    <row r="1049" spans="1:27" hidden="1">
      <c r="A1049" s="1">
        <v>9295463</v>
      </c>
      <c r="B1049" s="1" t="s">
        <v>101</v>
      </c>
      <c r="C1049" t="s">
        <v>1810</v>
      </c>
      <c r="E1049" s="2">
        <v>2244000206001</v>
      </c>
      <c r="F1049" s="1" t="s">
        <v>29</v>
      </c>
      <c r="G1049" s="1" t="s">
        <v>53</v>
      </c>
      <c r="H1049" s="1" t="s">
        <v>1853</v>
      </c>
      <c r="I1049" s="1" t="s">
        <v>1854</v>
      </c>
      <c r="J1049" s="1" t="s">
        <v>79</v>
      </c>
      <c r="K1049" t="s">
        <v>34</v>
      </c>
      <c r="M1049" s="1" t="s">
        <v>35</v>
      </c>
      <c r="N1049" s="1">
        <v>42318949</v>
      </c>
      <c r="O1049" s="1" t="s">
        <v>105</v>
      </c>
      <c r="P1049" s="11" t="s">
        <v>1855</v>
      </c>
      <c r="R1049" s="1" t="s">
        <v>38</v>
      </c>
      <c r="T1049" s="1" t="s">
        <v>74</v>
      </c>
      <c r="U1049" s="11" t="s">
        <v>1341</v>
      </c>
      <c r="V1049" s="1" t="s">
        <v>41</v>
      </c>
      <c r="W1049" s="1" t="s">
        <v>49</v>
      </c>
      <c r="X1049" s="13" t="str">
        <f t="shared" si="87"/>
        <v/>
      </c>
      <c r="Y1049" s="2">
        <f t="shared" ca="1" si="88"/>
        <v>39</v>
      </c>
      <c r="Z1049" s="14"/>
      <c r="AA1049" s="14"/>
    </row>
    <row r="1050" spans="1:27" hidden="1">
      <c r="A1050" s="1">
        <v>9295457</v>
      </c>
      <c r="B1050" s="1" t="s">
        <v>101</v>
      </c>
      <c r="C1050" t="s">
        <v>1810</v>
      </c>
      <c r="E1050" s="2">
        <v>2238000206001</v>
      </c>
      <c r="F1050" s="1" t="s">
        <v>29</v>
      </c>
      <c r="G1050" s="1" t="s">
        <v>53</v>
      </c>
      <c r="H1050" s="1" t="s">
        <v>707</v>
      </c>
      <c r="I1050" s="1" t="s">
        <v>708</v>
      </c>
      <c r="J1050" s="1" t="s">
        <v>79</v>
      </c>
      <c r="K1050" t="s">
        <v>34</v>
      </c>
      <c r="M1050" s="1" t="s">
        <v>35</v>
      </c>
      <c r="N1050" s="1">
        <v>42318949</v>
      </c>
      <c r="O1050" s="1" t="s">
        <v>105</v>
      </c>
      <c r="P1050" s="11" t="s">
        <v>1856</v>
      </c>
      <c r="R1050" s="1" t="s">
        <v>38</v>
      </c>
      <c r="T1050" s="1" t="s">
        <v>74</v>
      </c>
      <c r="U1050" s="11" t="s">
        <v>1341</v>
      </c>
      <c r="V1050" s="1" t="s">
        <v>41</v>
      </c>
      <c r="W1050" s="1" t="s">
        <v>49</v>
      </c>
      <c r="X1050" s="13" t="str">
        <f t="shared" si="87"/>
        <v/>
      </c>
      <c r="Y1050" s="2">
        <f t="shared" ca="1" si="88"/>
        <v>39</v>
      </c>
      <c r="Z1050" s="14"/>
      <c r="AA1050" s="14"/>
    </row>
    <row r="1051" spans="1:27" hidden="1">
      <c r="A1051" s="1">
        <v>9295448</v>
      </c>
      <c r="B1051" s="1" t="s">
        <v>101</v>
      </c>
      <c r="C1051" t="s">
        <v>1810</v>
      </c>
      <c r="E1051" s="2">
        <v>2229000206001</v>
      </c>
      <c r="F1051" s="1" t="s">
        <v>29</v>
      </c>
      <c r="G1051" s="1" t="s">
        <v>53</v>
      </c>
      <c r="H1051" s="1" t="s">
        <v>339</v>
      </c>
      <c r="I1051" s="1" t="s">
        <v>340</v>
      </c>
      <c r="J1051" s="1" t="s">
        <v>211</v>
      </c>
      <c r="K1051" t="s">
        <v>34</v>
      </c>
      <c r="M1051" s="1" t="s">
        <v>35</v>
      </c>
      <c r="N1051" s="1">
        <v>42318949</v>
      </c>
      <c r="O1051" s="1" t="s">
        <v>105</v>
      </c>
      <c r="P1051" s="11" t="s">
        <v>1857</v>
      </c>
      <c r="R1051" s="1" t="s">
        <v>38</v>
      </c>
      <c r="T1051" s="1" t="s">
        <v>74</v>
      </c>
      <c r="U1051" s="11" t="s">
        <v>1341</v>
      </c>
      <c r="V1051" s="1" t="s">
        <v>41</v>
      </c>
      <c r="W1051" s="1" t="s">
        <v>49</v>
      </c>
      <c r="X1051" s="13" t="str">
        <f t="shared" si="87"/>
        <v/>
      </c>
      <c r="Y1051" s="2">
        <f t="shared" ca="1" si="88"/>
        <v>39</v>
      </c>
      <c r="Z1051" s="14"/>
      <c r="AA1051" s="14"/>
    </row>
    <row r="1052" spans="1:27" hidden="1">
      <c r="A1052" s="1">
        <v>9295438</v>
      </c>
      <c r="B1052" s="1" t="s">
        <v>101</v>
      </c>
      <c r="C1052" t="s">
        <v>1810</v>
      </c>
      <c r="E1052" s="2">
        <v>2219000206001</v>
      </c>
      <c r="F1052" s="1" t="s">
        <v>29</v>
      </c>
      <c r="G1052" s="1" t="s">
        <v>53</v>
      </c>
      <c r="H1052" s="1" t="s">
        <v>893</v>
      </c>
      <c r="I1052" s="1" t="s">
        <v>894</v>
      </c>
      <c r="J1052" s="1" t="s">
        <v>141</v>
      </c>
      <c r="K1052" t="s">
        <v>34</v>
      </c>
      <c r="M1052" s="1" t="s">
        <v>35</v>
      </c>
      <c r="N1052" s="1">
        <v>42318949</v>
      </c>
      <c r="O1052" s="1" t="s">
        <v>105</v>
      </c>
      <c r="P1052" s="11" t="s">
        <v>1858</v>
      </c>
      <c r="R1052" s="1" t="s">
        <v>38</v>
      </c>
      <c r="T1052" s="1" t="s">
        <v>74</v>
      </c>
      <c r="U1052" s="11" t="s">
        <v>1341</v>
      </c>
      <c r="V1052" s="1" t="s">
        <v>41</v>
      </c>
      <c r="W1052" s="1" t="s">
        <v>49</v>
      </c>
      <c r="X1052" s="13" t="str">
        <f t="shared" si="87"/>
        <v/>
      </c>
      <c r="Y1052" s="2">
        <f t="shared" ca="1" si="88"/>
        <v>39</v>
      </c>
      <c r="Z1052" s="14"/>
      <c r="AA1052" s="14"/>
    </row>
    <row r="1053" spans="1:27" hidden="1">
      <c r="A1053" s="1">
        <v>9295414</v>
      </c>
      <c r="B1053" s="1" t="s">
        <v>101</v>
      </c>
      <c r="C1053" t="s">
        <v>1810</v>
      </c>
      <c r="E1053" s="2">
        <v>2196000206001</v>
      </c>
      <c r="F1053" s="1" t="s">
        <v>29</v>
      </c>
      <c r="G1053" s="1" t="s">
        <v>53</v>
      </c>
      <c r="H1053" s="1" t="s">
        <v>1252</v>
      </c>
      <c r="I1053" s="1" t="s">
        <v>1253</v>
      </c>
      <c r="J1053" s="1" t="s">
        <v>33</v>
      </c>
      <c r="K1053" t="s">
        <v>34</v>
      </c>
      <c r="M1053" s="1" t="s">
        <v>35</v>
      </c>
      <c r="N1053" s="1">
        <v>42318949</v>
      </c>
      <c r="O1053" s="1" t="s">
        <v>36</v>
      </c>
      <c r="P1053" s="11" t="s">
        <v>4134</v>
      </c>
      <c r="R1053" s="1" t="s">
        <v>38</v>
      </c>
      <c r="T1053" s="1" t="s">
        <v>74</v>
      </c>
      <c r="U1053" s="11" t="s">
        <v>1341</v>
      </c>
      <c r="V1053" s="1" t="s">
        <v>41</v>
      </c>
      <c r="W1053" s="1" t="s">
        <v>42</v>
      </c>
      <c r="X1053" s="13" t="str">
        <f t="shared" si="87"/>
        <v/>
      </c>
      <c r="Y1053" s="2">
        <f t="shared" ca="1" si="88"/>
        <v>39</v>
      </c>
      <c r="Z1053" s="14"/>
      <c r="AA1053" s="14"/>
    </row>
    <row r="1054" spans="1:27" hidden="1">
      <c r="A1054" s="1">
        <v>9295358</v>
      </c>
      <c r="B1054" s="1" t="s">
        <v>101</v>
      </c>
      <c r="C1054" t="s">
        <v>1810</v>
      </c>
      <c r="E1054" s="2">
        <v>2138000206001</v>
      </c>
      <c r="F1054" s="1" t="s">
        <v>29</v>
      </c>
      <c r="G1054" s="1" t="s">
        <v>53</v>
      </c>
      <c r="H1054" s="1" t="s">
        <v>379</v>
      </c>
      <c r="I1054" s="1" t="s">
        <v>380</v>
      </c>
      <c r="J1054" s="1" t="s">
        <v>46</v>
      </c>
      <c r="K1054" t="s">
        <v>34</v>
      </c>
      <c r="M1054" s="1" t="s">
        <v>35</v>
      </c>
      <c r="N1054" s="1">
        <v>42318949</v>
      </c>
      <c r="O1054" s="1" t="s">
        <v>105</v>
      </c>
      <c r="P1054" s="11" t="s">
        <v>4135</v>
      </c>
      <c r="R1054" s="1" t="s">
        <v>38</v>
      </c>
      <c r="T1054" s="1" t="s">
        <v>74</v>
      </c>
      <c r="U1054" s="11" t="s">
        <v>1341</v>
      </c>
      <c r="V1054" s="1" t="s">
        <v>41</v>
      </c>
      <c r="W1054" s="1" t="s">
        <v>49</v>
      </c>
      <c r="X1054" s="13" t="str">
        <f t="shared" si="87"/>
        <v/>
      </c>
      <c r="Y1054" s="2">
        <f t="shared" ca="1" si="88"/>
        <v>39</v>
      </c>
      <c r="Z1054" s="14"/>
      <c r="AA1054" s="14"/>
    </row>
    <row r="1055" spans="1:27" hidden="1">
      <c r="A1055" s="1">
        <v>9295348</v>
      </c>
      <c r="B1055" s="1" t="s">
        <v>101</v>
      </c>
      <c r="C1055" t="s">
        <v>1810</v>
      </c>
      <c r="E1055" s="2">
        <v>2125000206001</v>
      </c>
      <c r="F1055" s="1" t="s">
        <v>29</v>
      </c>
      <c r="G1055" s="1" t="s">
        <v>53</v>
      </c>
      <c r="H1055" s="1" t="s">
        <v>1399</v>
      </c>
      <c r="I1055" s="1" t="s">
        <v>1400</v>
      </c>
      <c r="J1055" s="1" t="s">
        <v>211</v>
      </c>
      <c r="K1055" t="s">
        <v>34</v>
      </c>
      <c r="M1055" s="1" t="s">
        <v>35</v>
      </c>
      <c r="N1055" s="1">
        <v>42318949</v>
      </c>
      <c r="O1055" s="1" t="s">
        <v>105</v>
      </c>
      <c r="P1055" s="11" t="s">
        <v>1860</v>
      </c>
      <c r="R1055" s="1" t="s">
        <v>38</v>
      </c>
      <c r="T1055" s="1" t="s">
        <v>74</v>
      </c>
      <c r="U1055" s="11" t="s">
        <v>1341</v>
      </c>
      <c r="V1055" s="1" t="s">
        <v>41</v>
      </c>
      <c r="W1055" s="1" t="s">
        <v>49</v>
      </c>
      <c r="X1055" s="13" t="str">
        <f t="shared" si="87"/>
        <v/>
      </c>
      <c r="Y1055" s="2">
        <f t="shared" ca="1" si="88"/>
        <v>39</v>
      </c>
      <c r="Z1055" s="14"/>
      <c r="AA1055" s="14"/>
    </row>
    <row r="1056" spans="1:27" hidden="1">
      <c r="A1056" s="1">
        <v>9295334</v>
      </c>
      <c r="B1056" s="1" t="s">
        <v>101</v>
      </c>
      <c r="C1056" t="s">
        <v>1810</v>
      </c>
      <c r="E1056" s="2">
        <v>2107000206001</v>
      </c>
      <c r="F1056" s="1" t="s">
        <v>29</v>
      </c>
      <c r="G1056" s="1" t="s">
        <v>53</v>
      </c>
      <c r="H1056" s="1" t="s">
        <v>262</v>
      </c>
      <c r="I1056" s="1" t="s">
        <v>263</v>
      </c>
      <c r="J1056" s="1" t="s">
        <v>164</v>
      </c>
      <c r="K1056" t="s">
        <v>34</v>
      </c>
      <c r="M1056" s="1" t="s">
        <v>35</v>
      </c>
      <c r="N1056" s="1">
        <v>42318949</v>
      </c>
      <c r="O1056" s="1" t="s">
        <v>105</v>
      </c>
      <c r="P1056" s="11" t="s">
        <v>1861</v>
      </c>
      <c r="R1056" s="1" t="s">
        <v>38</v>
      </c>
      <c r="T1056" s="1" t="s">
        <v>74</v>
      </c>
      <c r="U1056" s="11" t="s">
        <v>1341</v>
      </c>
      <c r="V1056" s="1" t="s">
        <v>41</v>
      </c>
      <c r="W1056" s="1" t="s">
        <v>49</v>
      </c>
      <c r="X1056" s="13" t="str">
        <f t="shared" si="87"/>
        <v/>
      </c>
      <c r="Y1056" s="2">
        <f t="shared" ca="1" si="88"/>
        <v>39</v>
      </c>
      <c r="Z1056" s="14"/>
      <c r="AA1056" s="14"/>
    </row>
    <row r="1057" spans="1:27" hidden="1">
      <c r="A1057" s="1">
        <v>9295312</v>
      </c>
      <c r="B1057" s="1" t="s">
        <v>101</v>
      </c>
      <c r="C1057" t="s">
        <v>1810</v>
      </c>
      <c r="E1057" s="2">
        <v>2081000206001</v>
      </c>
      <c r="F1057" s="1" t="s">
        <v>29</v>
      </c>
      <c r="G1057" s="1" t="s">
        <v>53</v>
      </c>
      <c r="H1057" s="1" t="s">
        <v>590</v>
      </c>
      <c r="I1057" s="1" t="s">
        <v>591</v>
      </c>
      <c r="J1057" s="1" t="s">
        <v>261</v>
      </c>
      <c r="K1057" t="s">
        <v>34</v>
      </c>
      <c r="M1057" s="1" t="s">
        <v>35</v>
      </c>
      <c r="N1057" s="1">
        <v>42318949</v>
      </c>
      <c r="O1057" s="1" t="s">
        <v>105</v>
      </c>
      <c r="P1057" s="11" t="s">
        <v>1862</v>
      </c>
      <c r="R1057" s="1" t="s">
        <v>38</v>
      </c>
      <c r="T1057" s="1" t="s">
        <v>74</v>
      </c>
      <c r="U1057" s="11" t="s">
        <v>1341</v>
      </c>
      <c r="V1057" s="1" t="s">
        <v>41</v>
      </c>
      <c r="W1057" s="1" t="s">
        <v>49</v>
      </c>
      <c r="X1057" s="13" t="str">
        <f t="shared" si="87"/>
        <v/>
      </c>
      <c r="Y1057" s="2">
        <f t="shared" ca="1" si="88"/>
        <v>39</v>
      </c>
      <c r="Z1057" s="14"/>
      <c r="AA1057" s="14"/>
    </row>
    <row r="1058" spans="1:27" hidden="1">
      <c r="A1058" s="1">
        <v>9295301</v>
      </c>
      <c r="B1058" s="1" t="s">
        <v>101</v>
      </c>
      <c r="C1058" t="s">
        <v>1810</v>
      </c>
      <c r="E1058" s="2">
        <v>2069000206001</v>
      </c>
      <c r="F1058" s="1" t="s">
        <v>29</v>
      </c>
      <c r="G1058" s="1" t="s">
        <v>53</v>
      </c>
      <c r="H1058" s="1" t="s">
        <v>557</v>
      </c>
      <c r="I1058" s="1" t="s">
        <v>558</v>
      </c>
      <c r="J1058" s="1" t="s">
        <v>90</v>
      </c>
      <c r="K1058" t="s">
        <v>34</v>
      </c>
      <c r="M1058" s="1" t="s">
        <v>35</v>
      </c>
      <c r="N1058" s="1">
        <v>42318949</v>
      </c>
      <c r="O1058" s="1" t="s">
        <v>105</v>
      </c>
      <c r="P1058" s="11" t="s">
        <v>1863</v>
      </c>
      <c r="R1058" s="1" t="s">
        <v>38</v>
      </c>
      <c r="T1058" s="1" t="s">
        <v>74</v>
      </c>
      <c r="U1058" s="11" t="s">
        <v>1341</v>
      </c>
      <c r="V1058" s="1" t="s">
        <v>41</v>
      </c>
      <c r="W1058" s="1" t="s">
        <v>49</v>
      </c>
      <c r="X1058" s="13" t="str">
        <f t="shared" si="87"/>
        <v/>
      </c>
      <c r="Y1058" s="2">
        <f t="shared" ca="1" si="88"/>
        <v>39</v>
      </c>
      <c r="Z1058" s="14"/>
      <c r="AA1058" s="14"/>
    </row>
    <row r="1059" spans="1:27" hidden="1">
      <c r="A1059" s="1">
        <v>9295258</v>
      </c>
      <c r="B1059" s="1" t="s">
        <v>101</v>
      </c>
      <c r="C1059" t="s">
        <v>1810</v>
      </c>
      <c r="E1059" s="2">
        <v>2018000206001</v>
      </c>
      <c r="F1059" s="1" t="s">
        <v>29</v>
      </c>
      <c r="G1059" s="1" t="s">
        <v>53</v>
      </c>
      <c r="H1059" s="1" t="s">
        <v>598</v>
      </c>
      <c r="I1059" s="1" t="s">
        <v>599</v>
      </c>
      <c r="J1059" s="1" t="s">
        <v>79</v>
      </c>
      <c r="K1059" t="s">
        <v>34</v>
      </c>
      <c r="M1059" s="1" t="s">
        <v>35</v>
      </c>
      <c r="N1059" s="1">
        <v>42318949</v>
      </c>
      <c r="O1059" s="1" t="s">
        <v>105</v>
      </c>
      <c r="P1059" s="11" t="s">
        <v>1864</v>
      </c>
      <c r="R1059" s="1" t="s">
        <v>38</v>
      </c>
      <c r="T1059" s="1" t="s">
        <v>74</v>
      </c>
      <c r="U1059" s="11" t="s">
        <v>1341</v>
      </c>
      <c r="V1059" s="1" t="s">
        <v>41</v>
      </c>
      <c r="W1059" s="1" t="s">
        <v>49</v>
      </c>
      <c r="X1059" s="13" t="str">
        <f t="shared" si="87"/>
        <v/>
      </c>
      <c r="Y1059" s="2">
        <f t="shared" ca="1" si="88"/>
        <v>39</v>
      </c>
      <c r="Z1059" s="14"/>
      <c r="AA1059" s="14"/>
    </row>
    <row r="1060" spans="1:27" hidden="1">
      <c r="A1060" s="1">
        <v>9295224</v>
      </c>
      <c r="B1060" s="1" t="s">
        <v>101</v>
      </c>
      <c r="C1060" t="s">
        <v>1810</v>
      </c>
      <c r="E1060" s="2">
        <v>1943000206001</v>
      </c>
      <c r="F1060" s="1" t="s">
        <v>29</v>
      </c>
      <c r="G1060" s="1" t="s">
        <v>53</v>
      </c>
      <c r="H1060" s="1" t="s">
        <v>264</v>
      </c>
      <c r="I1060" s="1" t="s">
        <v>265</v>
      </c>
      <c r="J1060" s="1" t="s">
        <v>56</v>
      </c>
      <c r="K1060" t="s">
        <v>34</v>
      </c>
      <c r="M1060" s="1" t="s">
        <v>35</v>
      </c>
      <c r="N1060" s="1">
        <v>42318949</v>
      </c>
      <c r="O1060" s="1" t="s">
        <v>105</v>
      </c>
      <c r="P1060" s="11" t="s">
        <v>1865</v>
      </c>
      <c r="R1060" s="1" t="s">
        <v>38</v>
      </c>
      <c r="T1060" s="1" t="s">
        <v>74</v>
      </c>
      <c r="U1060" s="11" t="s">
        <v>1341</v>
      </c>
      <c r="V1060" s="1" t="s">
        <v>41</v>
      </c>
      <c r="W1060" s="1" t="s">
        <v>49</v>
      </c>
      <c r="X1060" s="13" t="str">
        <f t="shared" si="87"/>
        <v/>
      </c>
      <c r="Y1060" s="2">
        <f t="shared" ca="1" si="88"/>
        <v>39</v>
      </c>
      <c r="Z1060" s="14"/>
      <c r="AA1060" s="14"/>
    </row>
    <row r="1061" spans="1:27" hidden="1">
      <c r="A1061" s="1">
        <v>9295212</v>
      </c>
      <c r="B1061" s="1" t="s">
        <v>101</v>
      </c>
      <c r="C1061" t="s">
        <v>1810</v>
      </c>
      <c r="E1061" s="2">
        <v>1924000206001</v>
      </c>
      <c r="F1061" s="1" t="s">
        <v>29</v>
      </c>
      <c r="G1061" s="1" t="s">
        <v>53</v>
      </c>
      <c r="H1061" s="1" t="s">
        <v>568</v>
      </c>
      <c r="I1061" s="1" t="s">
        <v>569</v>
      </c>
      <c r="J1061" s="1" t="s">
        <v>33</v>
      </c>
      <c r="K1061" t="s">
        <v>34</v>
      </c>
      <c r="M1061" s="1" t="s">
        <v>35</v>
      </c>
      <c r="N1061" s="1">
        <v>42318949</v>
      </c>
      <c r="O1061" s="1" t="s">
        <v>105</v>
      </c>
      <c r="P1061" s="11" t="s">
        <v>1866</v>
      </c>
      <c r="R1061" s="1" t="s">
        <v>38</v>
      </c>
      <c r="T1061" s="1" t="s">
        <v>74</v>
      </c>
      <c r="U1061" s="11" t="s">
        <v>1341</v>
      </c>
      <c r="V1061" s="1" t="s">
        <v>41</v>
      </c>
      <c r="W1061" s="1" t="s">
        <v>49</v>
      </c>
      <c r="X1061" s="13" t="str">
        <f t="shared" si="87"/>
        <v/>
      </c>
      <c r="Y1061" s="2">
        <f t="shared" ca="1" si="88"/>
        <v>39</v>
      </c>
      <c r="Z1061" s="14"/>
      <c r="AA1061" s="14"/>
    </row>
    <row r="1062" spans="1:27" hidden="1">
      <c r="A1062" s="1">
        <v>9295207</v>
      </c>
      <c r="B1062" s="1" t="s">
        <v>101</v>
      </c>
      <c r="C1062" t="s">
        <v>1810</v>
      </c>
      <c r="E1062" s="2">
        <v>1903220206001</v>
      </c>
      <c r="F1062" s="1" t="s">
        <v>29</v>
      </c>
      <c r="G1062" s="1" t="s">
        <v>53</v>
      </c>
      <c r="H1062" s="1" t="s">
        <v>1867</v>
      </c>
      <c r="I1062" s="1" t="s">
        <v>1868</v>
      </c>
      <c r="J1062" s="1" t="s">
        <v>211</v>
      </c>
      <c r="K1062" t="s">
        <v>34</v>
      </c>
      <c r="M1062" s="1" t="s">
        <v>35</v>
      </c>
      <c r="N1062" s="1">
        <v>42318949</v>
      </c>
      <c r="O1062" s="1" t="s">
        <v>105</v>
      </c>
      <c r="P1062" s="11" t="s">
        <v>1869</v>
      </c>
      <c r="R1062" s="1" t="s">
        <v>38</v>
      </c>
      <c r="T1062" s="1" t="s">
        <v>74</v>
      </c>
      <c r="U1062" s="11" t="s">
        <v>1341</v>
      </c>
      <c r="V1062" s="1" t="s">
        <v>41</v>
      </c>
      <c r="W1062" s="1" t="s">
        <v>49</v>
      </c>
      <c r="X1062" s="13" t="str">
        <f t="shared" si="87"/>
        <v>1903.22</v>
      </c>
      <c r="Y1062" s="2">
        <f t="shared" ca="1" si="88"/>
        <v>39</v>
      </c>
      <c r="Z1062" s="14"/>
      <c r="AA1062" s="14"/>
    </row>
    <row r="1063" spans="1:27" hidden="1">
      <c r="A1063" s="1">
        <v>9295158</v>
      </c>
      <c r="B1063" s="1" t="s">
        <v>101</v>
      </c>
      <c r="C1063" t="s">
        <v>1810</v>
      </c>
      <c r="E1063" s="2">
        <v>1838000206001</v>
      </c>
      <c r="F1063" s="1" t="s">
        <v>29</v>
      </c>
      <c r="G1063" s="1" t="s">
        <v>53</v>
      </c>
      <c r="H1063" s="1" t="s">
        <v>357</v>
      </c>
      <c r="I1063" s="1" t="s">
        <v>358</v>
      </c>
      <c r="J1063" s="1" t="s">
        <v>46</v>
      </c>
      <c r="K1063" t="s">
        <v>34</v>
      </c>
      <c r="M1063" s="1" t="s">
        <v>35</v>
      </c>
      <c r="N1063" s="1">
        <v>42318949</v>
      </c>
      <c r="O1063" s="1" t="s">
        <v>105</v>
      </c>
      <c r="P1063" s="11" t="s">
        <v>1870</v>
      </c>
      <c r="R1063" s="1" t="s">
        <v>38</v>
      </c>
      <c r="T1063" s="1" t="s">
        <v>74</v>
      </c>
      <c r="U1063" s="11" t="s">
        <v>1341</v>
      </c>
      <c r="V1063" s="1" t="s">
        <v>41</v>
      </c>
      <c r="W1063" s="1" t="s">
        <v>49</v>
      </c>
      <c r="X1063" s="13" t="str">
        <f t="shared" si="87"/>
        <v/>
      </c>
      <c r="Y1063" s="2">
        <f t="shared" ca="1" si="88"/>
        <v>39</v>
      </c>
      <c r="Z1063" s="14"/>
      <c r="AA1063" s="14"/>
    </row>
    <row r="1064" spans="1:27" hidden="1">
      <c r="A1064" s="1">
        <v>9295157</v>
      </c>
      <c r="B1064" s="1" t="s">
        <v>101</v>
      </c>
      <c r="C1064" t="s">
        <v>1810</v>
      </c>
      <c r="E1064" s="2">
        <v>1837000206001</v>
      </c>
      <c r="F1064" s="1" t="s">
        <v>29</v>
      </c>
      <c r="G1064" s="1" t="s">
        <v>53</v>
      </c>
      <c r="H1064" s="1" t="s">
        <v>1785</v>
      </c>
      <c r="I1064" s="1" t="s">
        <v>1786</v>
      </c>
      <c r="J1064" s="1" t="s">
        <v>46</v>
      </c>
      <c r="K1064" t="s">
        <v>34</v>
      </c>
      <c r="M1064" s="1" t="s">
        <v>35</v>
      </c>
      <c r="N1064" s="1">
        <v>42318949</v>
      </c>
      <c r="O1064" s="1" t="s">
        <v>105</v>
      </c>
      <c r="P1064" s="11" t="s">
        <v>1870</v>
      </c>
      <c r="R1064" s="1" t="s">
        <v>38</v>
      </c>
      <c r="T1064" s="1" t="s">
        <v>74</v>
      </c>
      <c r="U1064" s="11" t="s">
        <v>1341</v>
      </c>
      <c r="V1064" s="1" t="s">
        <v>41</v>
      </c>
      <c r="W1064" s="1" t="s">
        <v>49</v>
      </c>
      <c r="X1064" s="13" t="str">
        <f t="shared" si="87"/>
        <v/>
      </c>
      <c r="Y1064" s="2">
        <f t="shared" ca="1" si="88"/>
        <v>39</v>
      </c>
      <c r="Z1064" s="14"/>
      <c r="AA1064" s="14"/>
    </row>
    <row r="1065" spans="1:27" hidden="1">
      <c r="A1065" s="1">
        <v>9295156</v>
      </c>
      <c r="B1065" s="1" t="s">
        <v>101</v>
      </c>
      <c r="C1065" t="s">
        <v>1810</v>
      </c>
      <c r="E1065" s="2">
        <v>1835000206001</v>
      </c>
      <c r="F1065" s="1" t="s">
        <v>29</v>
      </c>
      <c r="G1065" s="1" t="s">
        <v>53</v>
      </c>
      <c r="H1065" s="1" t="s">
        <v>305</v>
      </c>
      <c r="I1065" s="1" t="s">
        <v>306</v>
      </c>
      <c r="J1065" s="1" t="s">
        <v>46</v>
      </c>
      <c r="K1065" t="s">
        <v>34</v>
      </c>
      <c r="M1065" s="1" t="s">
        <v>35</v>
      </c>
      <c r="N1065" s="1">
        <v>42318949</v>
      </c>
      <c r="O1065" s="1" t="s">
        <v>105</v>
      </c>
      <c r="P1065" s="11" t="s">
        <v>1870</v>
      </c>
      <c r="R1065" s="1" t="s">
        <v>38</v>
      </c>
      <c r="T1065" s="1" t="s">
        <v>74</v>
      </c>
      <c r="U1065" s="11" t="s">
        <v>1341</v>
      </c>
      <c r="V1065" s="1" t="s">
        <v>41</v>
      </c>
      <c r="W1065" s="1" t="s">
        <v>49</v>
      </c>
      <c r="X1065" s="13" t="str">
        <f t="shared" si="87"/>
        <v/>
      </c>
      <c r="Y1065" s="2">
        <f t="shared" ca="1" si="88"/>
        <v>39</v>
      </c>
      <c r="Z1065" s="14"/>
      <c r="AA1065" s="14"/>
    </row>
    <row r="1066" spans="1:27" hidden="1">
      <c r="A1066" s="1">
        <v>9295154</v>
      </c>
      <c r="B1066" s="1" t="s">
        <v>101</v>
      </c>
      <c r="C1066" t="s">
        <v>1810</v>
      </c>
      <c r="E1066" s="2">
        <v>1833000206001</v>
      </c>
      <c r="F1066" s="1" t="s">
        <v>29</v>
      </c>
      <c r="G1066" s="1" t="s">
        <v>53</v>
      </c>
      <c r="H1066" s="1" t="s">
        <v>369</v>
      </c>
      <c r="I1066" s="1" t="s">
        <v>370</v>
      </c>
      <c r="J1066" s="1" t="s">
        <v>46</v>
      </c>
      <c r="K1066" t="s">
        <v>34</v>
      </c>
      <c r="M1066" s="1" t="s">
        <v>35</v>
      </c>
      <c r="N1066" s="1">
        <v>42318949</v>
      </c>
      <c r="O1066" s="1" t="s">
        <v>105</v>
      </c>
      <c r="P1066" s="11" t="s">
        <v>1871</v>
      </c>
      <c r="R1066" s="1" t="s">
        <v>38</v>
      </c>
      <c r="T1066" s="1" t="s">
        <v>74</v>
      </c>
      <c r="U1066" s="11" t="s">
        <v>1341</v>
      </c>
      <c r="V1066" s="1" t="s">
        <v>41</v>
      </c>
      <c r="W1066" s="1" t="s">
        <v>49</v>
      </c>
      <c r="X1066" s="13" t="str">
        <f t="shared" si="87"/>
        <v/>
      </c>
      <c r="Y1066" s="2">
        <f t="shared" ca="1" si="88"/>
        <v>39</v>
      </c>
      <c r="Z1066" s="14"/>
      <c r="AA1066" s="14"/>
    </row>
    <row r="1067" spans="1:27" hidden="1">
      <c r="A1067" s="1">
        <v>9295142</v>
      </c>
      <c r="B1067" s="1" t="s">
        <v>101</v>
      </c>
      <c r="C1067" t="s">
        <v>1810</v>
      </c>
      <c r="E1067" s="2">
        <v>1814000206001</v>
      </c>
      <c r="F1067" s="1" t="s">
        <v>29</v>
      </c>
      <c r="G1067" s="1" t="s">
        <v>53</v>
      </c>
      <c r="H1067" s="1" t="s">
        <v>396</v>
      </c>
      <c r="I1067" s="1" t="s">
        <v>397</v>
      </c>
      <c r="J1067" s="1" t="s">
        <v>46</v>
      </c>
      <c r="K1067" t="s">
        <v>34</v>
      </c>
      <c r="M1067" s="1" t="s">
        <v>35</v>
      </c>
      <c r="N1067" s="1">
        <v>42318949</v>
      </c>
      <c r="O1067" s="1" t="s">
        <v>105</v>
      </c>
      <c r="P1067" s="11" t="s">
        <v>1872</v>
      </c>
      <c r="R1067" s="1" t="s">
        <v>38</v>
      </c>
      <c r="T1067" s="1" t="s">
        <v>74</v>
      </c>
      <c r="U1067" s="11" t="s">
        <v>1341</v>
      </c>
      <c r="V1067" s="1" t="s">
        <v>41</v>
      </c>
      <c r="W1067" s="1" t="s">
        <v>49</v>
      </c>
      <c r="X1067" s="13" t="str">
        <f t="shared" si="87"/>
        <v/>
      </c>
      <c r="Y1067" s="2">
        <f t="shared" ca="1" si="88"/>
        <v>39</v>
      </c>
      <c r="Z1067" s="14"/>
      <c r="AA1067" s="14"/>
    </row>
    <row r="1068" spans="1:27" hidden="1">
      <c r="A1068" s="1">
        <v>9295124</v>
      </c>
      <c r="B1068" s="1" t="s">
        <v>101</v>
      </c>
      <c r="C1068" t="s">
        <v>1810</v>
      </c>
      <c r="E1068" s="2">
        <v>1792000206001</v>
      </c>
      <c r="F1068" s="1" t="s">
        <v>29</v>
      </c>
      <c r="G1068" s="1" t="s">
        <v>53</v>
      </c>
      <c r="H1068" s="1" t="s">
        <v>467</v>
      </c>
      <c r="I1068" s="1" t="s">
        <v>468</v>
      </c>
      <c r="J1068" s="1" t="s">
        <v>110</v>
      </c>
      <c r="K1068" t="s">
        <v>34</v>
      </c>
      <c r="M1068" s="1" t="s">
        <v>35</v>
      </c>
      <c r="N1068" s="1">
        <v>42318949</v>
      </c>
      <c r="O1068" s="1" t="s">
        <v>105</v>
      </c>
      <c r="P1068" s="11" t="s">
        <v>1873</v>
      </c>
      <c r="R1068" s="1" t="s">
        <v>38</v>
      </c>
      <c r="T1068" s="1" t="s">
        <v>74</v>
      </c>
      <c r="U1068" s="11" t="s">
        <v>1341</v>
      </c>
      <c r="V1068" s="1" t="s">
        <v>41</v>
      </c>
      <c r="W1068" s="1" t="s">
        <v>49</v>
      </c>
      <c r="X1068" s="13" t="str">
        <f t="shared" si="87"/>
        <v/>
      </c>
      <c r="Y1068" s="2">
        <f t="shared" ca="1" si="88"/>
        <v>39</v>
      </c>
      <c r="Z1068" s="14"/>
      <c r="AA1068" s="14"/>
    </row>
    <row r="1069" spans="1:27" hidden="1">
      <c r="A1069" s="1">
        <v>9295100</v>
      </c>
      <c r="B1069" s="1" t="s">
        <v>101</v>
      </c>
      <c r="C1069" t="s">
        <v>1810</v>
      </c>
      <c r="E1069" s="2">
        <v>1764000206001</v>
      </c>
      <c r="F1069" s="1" t="s">
        <v>29</v>
      </c>
      <c r="G1069" s="1" t="s">
        <v>53</v>
      </c>
      <c r="H1069" s="1" t="s">
        <v>722</v>
      </c>
      <c r="I1069" s="1" t="s">
        <v>723</v>
      </c>
      <c r="J1069" s="1" t="s">
        <v>90</v>
      </c>
      <c r="K1069" t="s">
        <v>34</v>
      </c>
      <c r="M1069" s="1" t="s">
        <v>35</v>
      </c>
      <c r="N1069" s="1">
        <v>42318949</v>
      </c>
      <c r="O1069" s="1" t="s">
        <v>105</v>
      </c>
      <c r="P1069" s="11" t="s">
        <v>1874</v>
      </c>
      <c r="R1069" s="1" t="s">
        <v>38</v>
      </c>
      <c r="T1069" s="1" t="s">
        <v>74</v>
      </c>
      <c r="U1069" s="11" t="s">
        <v>1341</v>
      </c>
      <c r="V1069" s="1" t="s">
        <v>41</v>
      </c>
      <c r="W1069" s="1" t="s">
        <v>49</v>
      </c>
      <c r="X1069" s="13" t="str">
        <f t="shared" si="87"/>
        <v/>
      </c>
      <c r="Y1069" s="2">
        <f t="shared" ca="1" si="88"/>
        <v>39</v>
      </c>
      <c r="Z1069" s="14"/>
      <c r="AA1069" s="14"/>
    </row>
    <row r="1070" spans="1:27" hidden="1">
      <c r="A1070" s="1">
        <v>9295076</v>
      </c>
      <c r="B1070" s="1" t="s">
        <v>101</v>
      </c>
      <c r="C1070" t="s">
        <v>1810</v>
      </c>
      <c r="E1070" s="2">
        <v>1739000206001</v>
      </c>
      <c r="F1070" s="1" t="s">
        <v>29</v>
      </c>
      <c r="G1070" s="1" t="s">
        <v>53</v>
      </c>
      <c r="H1070" s="1" t="s">
        <v>162</v>
      </c>
      <c r="I1070" s="1" t="s">
        <v>163</v>
      </c>
      <c r="J1070" s="1" t="s">
        <v>164</v>
      </c>
      <c r="K1070" t="s">
        <v>34</v>
      </c>
      <c r="M1070" s="1" t="s">
        <v>35</v>
      </c>
      <c r="N1070" s="1">
        <v>42318949</v>
      </c>
      <c r="O1070" s="1" t="s">
        <v>105</v>
      </c>
      <c r="P1070" s="11" t="s">
        <v>1875</v>
      </c>
      <c r="R1070" s="1" t="s">
        <v>38</v>
      </c>
      <c r="T1070" s="1" t="s">
        <v>74</v>
      </c>
      <c r="U1070" s="11" t="s">
        <v>1341</v>
      </c>
      <c r="V1070" s="1" t="s">
        <v>41</v>
      </c>
      <c r="W1070" s="1" t="s">
        <v>49</v>
      </c>
      <c r="X1070" s="13" t="str">
        <f t="shared" si="87"/>
        <v/>
      </c>
      <c r="Y1070" s="2">
        <f t="shared" ca="1" si="88"/>
        <v>39</v>
      </c>
      <c r="Z1070" s="14"/>
      <c r="AA1070" s="14"/>
    </row>
    <row r="1071" spans="1:27" hidden="1">
      <c r="A1071" s="1">
        <v>9295072</v>
      </c>
      <c r="B1071" s="1" t="s">
        <v>101</v>
      </c>
      <c r="C1071" t="s">
        <v>1810</v>
      </c>
      <c r="E1071" s="2">
        <v>1732000206001</v>
      </c>
      <c r="F1071" s="1" t="s">
        <v>29</v>
      </c>
      <c r="G1071" s="1" t="s">
        <v>53</v>
      </c>
      <c r="H1071" s="1" t="s">
        <v>177</v>
      </c>
      <c r="I1071" s="1" t="s">
        <v>178</v>
      </c>
      <c r="J1071" s="1" t="s">
        <v>164</v>
      </c>
      <c r="K1071" t="s">
        <v>34</v>
      </c>
      <c r="M1071" s="1" t="s">
        <v>35</v>
      </c>
      <c r="N1071" s="1">
        <v>42318949</v>
      </c>
      <c r="O1071" s="1" t="s">
        <v>105</v>
      </c>
      <c r="P1071" s="11" t="s">
        <v>1875</v>
      </c>
      <c r="R1071" s="1" t="s">
        <v>38</v>
      </c>
      <c r="T1071" s="1" t="s">
        <v>74</v>
      </c>
      <c r="U1071" s="11" t="s">
        <v>1341</v>
      </c>
      <c r="V1071" s="1" t="s">
        <v>41</v>
      </c>
      <c r="W1071" s="1" t="s">
        <v>49</v>
      </c>
      <c r="X1071" s="13" t="str">
        <f t="shared" si="87"/>
        <v/>
      </c>
      <c r="Y1071" s="2">
        <f t="shared" ca="1" si="88"/>
        <v>39</v>
      </c>
      <c r="Z1071" s="14"/>
      <c r="AA1071" s="14"/>
    </row>
    <row r="1072" spans="1:27" hidden="1">
      <c r="A1072" s="1">
        <v>9295049</v>
      </c>
      <c r="B1072" s="1" t="s">
        <v>101</v>
      </c>
      <c r="C1072" t="s">
        <v>1810</v>
      </c>
      <c r="E1072" s="2">
        <v>1710000206001</v>
      </c>
      <c r="F1072" s="1" t="s">
        <v>29</v>
      </c>
      <c r="G1072" s="1" t="s">
        <v>53</v>
      </c>
      <c r="H1072" s="1" t="s">
        <v>327</v>
      </c>
      <c r="I1072" s="1" t="s">
        <v>328</v>
      </c>
      <c r="J1072" s="1" t="s">
        <v>261</v>
      </c>
      <c r="K1072" t="s">
        <v>34</v>
      </c>
      <c r="M1072" s="1" t="s">
        <v>35</v>
      </c>
      <c r="N1072" s="1">
        <v>42318949</v>
      </c>
      <c r="O1072" s="1" t="s">
        <v>105</v>
      </c>
      <c r="P1072" s="11" t="s">
        <v>1876</v>
      </c>
      <c r="R1072" s="1" t="s">
        <v>38</v>
      </c>
      <c r="T1072" s="1" t="s">
        <v>74</v>
      </c>
      <c r="U1072" s="11" t="s">
        <v>1341</v>
      </c>
      <c r="V1072" s="1" t="s">
        <v>41</v>
      </c>
      <c r="W1072" s="1" t="s">
        <v>49</v>
      </c>
      <c r="X1072" s="13" t="str">
        <f t="shared" si="87"/>
        <v/>
      </c>
      <c r="Y1072" s="2">
        <f t="shared" ca="1" si="88"/>
        <v>39</v>
      </c>
      <c r="Z1072" s="14"/>
      <c r="AA1072" s="14"/>
    </row>
    <row r="1073" spans="1:27" hidden="1">
      <c r="A1073" s="1">
        <v>9295007</v>
      </c>
      <c r="B1073" s="1" t="s">
        <v>101</v>
      </c>
      <c r="C1073" t="s">
        <v>1810</v>
      </c>
      <c r="E1073" s="2">
        <v>1666000206001</v>
      </c>
      <c r="F1073" s="1" t="s">
        <v>29</v>
      </c>
      <c r="G1073" s="1" t="s">
        <v>53</v>
      </c>
      <c r="H1073" s="1" t="s">
        <v>414</v>
      </c>
      <c r="I1073" s="1" t="s">
        <v>415</v>
      </c>
      <c r="J1073" s="1" t="s">
        <v>79</v>
      </c>
      <c r="K1073" t="s">
        <v>34</v>
      </c>
      <c r="M1073" s="1" t="s">
        <v>35</v>
      </c>
      <c r="N1073" s="1">
        <v>42318949</v>
      </c>
      <c r="O1073" s="1" t="s">
        <v>36</v>
      </c>
      <c r="P1073" s="11" t="s">
        <v>1877</v>
      </c>
      <c r="R1073" s="1" t="s">
        <v>38</v>
      </c>
      <c r="T1073" s="1" t="s">
        <v>74</v>
      </c>
      <c r="U1073" s="11" t="s">
        <v>1341</v>
      </c>
      <c r="V1073" s="1" t="s">
        <v>41</v>
      </c>
      <c r="W1073" s="1" t="s">
        <v>49</v>
      </c>
      <c r="X1073" s="13" t="str">
        <f t="shared" si="87"/>
        <v/>
      </c>
      <c r="Y1073" s="2">
        <f t="shared" ca="1" si="88"/>
        <v>39</v>
      </c>
      <c r="Z1073" s="14"/>
      <c r="AA1073" s="14"/>
    </row>
    <row r="1074" spans="1:27" hidden="1">
      <c r="A1074" s="1">
        <v>9295003</v>
      </c>
      <c r="B1074" s="1" t="s">
        <v>101</v>
      </c>
      <c r="C1074" t="s">
        <v>1810</v>
      </c>
      <c r="E1074" s="2">
        <v>1664000206001</v>
      </c>
      <c r="F1074" s="1" t="s">
        <v>29</v>
      </c>
      <c r="G1074" s="1" t="s">
        <v>53</v>
      </c>
      <c r="H1074" s="1" t="s">
        <v>307</v>
      </c>
      <c r="I1074" s="1" t="s">
        <v>308</v>
      </c>
      <c r="J1074" s="1" t="s">
        <v>164</v>
      </c>
      <c r="K1074" t="s">
        <v>34</v>
      </c>
      <c r="M1074" s="1" t="s">
        <v>35</v>
      </c>
      <c r="N1074" s="1">
        <v>42318949</v>
      </c>
      <c r="O1074" s="1" t="s">
        <v>105</v>
      </c>
      <c r="P1074" s="11" t="s">
        <v>1877</v>
      </c>
      <c r="R1074" s="1" t="s">
        <v>38</v>
      </c>
      <c r="T1074" s="1" t="s">
        <v>74</v>
      </c>
      <c r="U1074" s="11" t="s">
        <v>1341</v>
      </c>
      <c r="V1074" s="1" t="s">
        <v>41</v>
      </c>
      <c r="W1074" s="1" t="s">
        <v>49</v>
      </c>
      <c r="X1074" s="13" t="str">
        <f t="shared" si="87"/>
        <v/>
      </c>
      <c r="Y1074" s="2">
        <f t="shared" ca="1" si="88"/>
        <v>39</v>
      </c>
      <c r="Z1074" s="14"/>
      <c r="AA1074" s="14"/>
    </row>
    <row r="1075" spans="1:27" hidden="1">
      <c r="A1075" s="1">
        <v>9294987</v>
      </c>
      <c r="B1075" s="1" t="s">
        <v>101</v>
      </c>
      <c r="C1075" t="s">
        <v>1810</v>
      </c>
      <c r="E1075" s="2">
        <v>1650000206001</v>
      </c>
      <c r="F1075" s="1" t="s">
        <v>29</v>
      </c>
      <c r="G1075" s="1" t="s">
        <v>53</v>
      </c>
      <c r="H1075" s="1" t="s">
        <v>620</v>
      </c>
      <c r="I1075" s="1" t="s">
        <v>621</v>
      </c>
      <c r="J1075" s="1" t="s">
        <v>141</v>
      </c>
      <c r="K1075" t="s">
        <v>34</v>
      </c>
      <c r="M1075" s="1" t="s">
        <v>35</v>
      </c>
      <c r="N1075" s="1">
        <v>42318949</v>
      </c>
      <c r="O1075" s="1" t="s">
        <v>105</v>
      </c>
      <c r="P1075" s="11" t="s">
        <v>1878</v>
      </c>
      <c r="R1075" s="1" t="s">
        <v>38</v>
      </c>
      <c r="T1075" s="1" t="s">
        <v>74</v>
      </c>
      <c r="U1075" s="186">
        <v>44932.75</v>
      </c>
      <c r="V1075" s="1" t="s">
        <v>41</v>
      </c>
      <c r="W1075" s="1" t="s">
        <v>49</v>
      </c>
      <c r="X1075" s="13" t="str">
        <f t="shared" si="87"/>
        <v/>
      </c>
      <c r="Y1075" s="2">
        <f t="shared" ca="1" si="88"/>
        <v>39</v>
      </c>
      <c r="Z1075" s="14"/>
      <c r="AA1075" s="14"/>
    </row>
    <row r="1076" spans="1:27" hidden="1">
      <c r="A1076" s="1">
        <v>9294979</v>
      </c>
      <c r="B1076" s="1" t="s">
        <v>101</v>
      </c>
      <c r="C1076" t="s">
        <v>1810</v>
      </c>
      <c r="E1076" s="2">
        <v>1643000206001</v>
      </c>
      <c r="F1076" s="1" t="s">
        <v>29</v>
      </c>
      <c r="G1076" s="1" t="s">
        <v>53</v>
      </c>
      <c r="H1076" s="1" t="s">
        <v>361</v>
      </c>
      <c r="I1076" s="1" t="s">
        <v>362</v>
      </c>
      <c r="J1076" s="1" t="s">
        <v>261</v>
      </c>
      <c r="K1076" t="s">
        <v>34</v>
      </c>
      <c r="M1076" s="1" t="s">
        <v>35</v>
      </c>
      <c r="N1076" s="1">
        <v>42318949</v>
      </c>
      <c r="O1076" s="1" t="s">
        <v>105</v>
      </c>
      <c r="P1076" s="11" t="s">
        <v>1879</v>
      </c>
      <c r="R1076" s="1" t="s">
        <v>38</v>
      </c>
      <c r="T1076" s="1" t="s">
        <v>74</v>
      </c>
      <c r="U1076" s="11" t="s">
        <v>1341</v>
      </c>
      <c r="V1076" s="1" t="s">
        <v>41</v>
      </c>
      <c r="W1076" s="1" t="s">
        <v>49</v>
      </c>
      <c r="X1076" s="13" t="str">
        <f t="shared" si="87"/>
        <v/>
      </c>
      <c r="Y1076" s="2">
        <f t="shared" ca="1" si="88"/>
        <v>39</v>
      </c>
      <c r="Z1076" s="14"/>
      <c r="AA1076" s="14"/>
    </row>
    <row r="1077" spans="1:27" hidden="1">
      <c r="A1077" s="1">
        <v>9294958</v>
      </c>
      <c r="B1077" s="1" t="s">
        <v>101</v>
      </c>
      <c r="C1077" t="s">
        <v>1810</v>
      </c>
      <c r="E1077" s="2">
        <v>1620000206001</v>
      </c>
      <c r="F1077" s="1" t="s">
        <v>29</v>
      </c>
      <c r="G1077" s="1" t="s">
        <v>53</v>
      </c>
      <c r="H1077" s="1" t="s">
        <v>402</v>
      </c>
      <c r="I1077" s="1" t="s">
        <v>403</v>
      </c>
      <c r="J1077" s="1" t="s">
        <v>46</v>
      </c>
      <c r="K1077" t="s">
        <v>34</v>
      </c>
      <c r="M1077" s="1" t="s">
        <v>35</v>
      </c>
      <c r="N1077" s="1">
        <v>42318949</v>
      </c>
      <c r="O1077" s="1" t="s">
        <v>105</v>
      </c>
      <c r="P1077" s="11" t="s">
        <v>4136</v>
      </c>
      <c r="R1077" s="1" t="s">
        <v>38</v>
      </c>
      <c r="T1077" s="1" t="s">
        <v>74</v>
      </c>
      <c r="U1077" s="11" t="s">
        <v>1341</v>
      </c>
      <c r="V1077" s="1" t="s">
        <v>41</v>
      </c>
      <c r="W1077" s="1" t="s">
        <v>49</v>
      </c>
      <c r="X1077" s="13" t="str">
        <f t="shared" si="87"/>
        <v/>
      </c>
      <c r="Y1077" s="2">
        <f t="shared" ca="1" si="88"/>
        <v>39</v>
      </c>
      <c r="Z1077" s="14"/>
      <c r="AA1077" s="14"/>
    </row>
    <row r="1078" spans="1:27" hidden="1">
      <c r="A1078" s="1">
        <v>9294857</v>
      </c>
      <c r="B1078" s="1" t="s">
        <v>101</v>
      </c>
      <c r="C1078" t="s">
        <v>1810</v>
      </c>
      <c r="E1078" s="2">
        <v>1509000206001</v>
      </c>
      <c r="F1078" s="1" t="s">
        <v>29</v>
      </c>
      <c r="G1078" s="1" t="s">
        <v>53</v>
      </c>
      <c r="H1078" s="1" t="s">
        <v>731</v>
      </c>
      <c r="I1078" s="1" t="s">
        <v>732</v>
      </c>
      <c r="J1078" s="1" t="s">
        <v>46</v>
      </c>
      <c r="K1078" t="s">
        <v>34</v>
      </c>
      <c r="M1078" s="1" t="s">
        <v>35</v>
      </c>
      <c r="N1078" s="1">
        <v>42318949</v>
      </c>
      <c r="O1078" s="1" t="s">
        <v>105</v>
      </c>
      <c r="P1078" s="11" t="s">
        <v>1880</v>
      </c>
      <c r="R1078" s="1" t="s">
        <v>38</v>
      </c>
      <c r="T1078" s="1" t="s">
        <v>74</v>
      </c>
      <c r="U1078" s="11" t="s">
        <v>1341</v>
      </c>
      <c r="V1078" s="1" t="s">
        <v>41</v>
      </c>
      <c r="W1078" s="1" t="s">
        <v>49</v>
      </c>
      <c r="X1078" s="13" t="str">
        <f t="shared" si="87"/>
        <v/>
      </c>
      <c r="Y1078" s="2">
        <f t="shared" ca="1" si="88"/>
        <v>39</v>
      </c>
      <c r="Z1078" s="14"/>
      <c r="AA1078" s="14"/>
    </row>
    <row r="1079" spans="1:27" hidden="1">
      <c r="A1079" s="1">
        <v>9294767</v>
      </c>
      <c r="B1079" s="1" t="s">
        <v>101</v>
      </c>
      <c r="C1079" t="s">
        <v>1810</v>
      </c>
      <c r="E1079" s="2">
        <v>1421000206001</v>
      </c>
      <c r="F1079" s="1" t="s">
        <v>29</v>
      </c>
      <c r="G1079" s="1" t="s">
        <v>53</v>
      </c>
      <c r="H1079" s="1" t="s">
        <v>179</v>
      </c>
      <c r="I1079" s="1" t="s">
        <v>180</v>
      </c>
      <c r="J1079" s="1" t="s">
        <v>79</v>
      </c>
      <c r="K1079" t="s">
        <v>34</v>
      </c>
      <c r="M1079" s="1" t="s">
        <v>35</v>
      </c>
      <c r="N1079" s="1">
        <v>42318949</v>
      </c>
      <c r="O1079" s="1" t="s">
        <v>105</v>
      </c>
      <c r="P1079" s="11" t="s">
        <v>1881</v>
      </c>
      <c r="R1079" s="1" t="s">
        <v>38</v>
      </c>
      <c r="T1079" s="1" t="s">
        <v>74</v>
      </c>
      <c r="U1079" s="11" t="s">
        <v>1341</v>
      </c>
      <c r="V1079" s="1" t="s">
        <v>41</v>
      </c>
      <c r="W1079" s="1" t="s">
        <v>49</v>
      </c>
      <c r="X1079" s="13" t="str">
        <f t="shared" si="87"/>
        <v/>
      </c>
      <c r="Y1079" s="2">
        <f t="shared" ca="1" si="88"/>
        <v>39</v>
      </c>
      <c r="Z1079" s="14"/>
      <c r="AA1079" s="14"/>
    </row>
    <row r="1080" spans="1:27" hidden="1">
      <c r="A1080" s="1">
        <v>9294711</v>
      </c>
      <c r="B1080" s="1" t="s">
        <v>101</v>
      </c>
      <c r="C1080" t="s">
        <v>1810</v>
      </c>
      <c r="E1080" s="2">
        <v>1363000206001</v>
      </c>
      <c r="F1080" s="1" t="s">
        <v>29</v>
      </c>
      <c r="G1080" s="1" t="s">
        <v>53</v>
      </c>
      <c r="H1080" s="1" t="s">
        <v>108</v>
      </c>
      <c r="I1080" s="1" t="s">
        <v>109</v>
      </c>
      <c r="J1080" s="1" t="s">
        <v>110</v>
      </c>
      <c r="K1080" t="s">
        <v>34</v>
      </c>
      <c r="M1080" s="1" t="s">
        <v>35</v>
      </c>
      <c r="N1080" s="1">
        <v>42318949</v>
      </c>
      <c r="O1080" s="1" t="s">
        <v>105</v>
      </c>
      <c r="P1080" s="11" t="s">
        <v>1882</v>
      </c>
      <c r="R1080" s="1" t="s">
        <v>38</v>
      </c>
      <c r="T1080" s="1" t="s">
        <v>74</v>
      </c>
      <c r="U1080" s="186">
        <v>44932.75</v>
      </c>
      <c r="V1080" s="1" t="s">
        <v>41</v>
      </c>
      <c r="W1080" s="1" t="s">
        <v>49</v>
      </c>
      <c r="X1080" s="13" t="str">
        <f t="shared" si="87"/>
        <v/>
      </c>
      <c r="Y1080" s="2">
        <f t="shared" ca="1" si="88"/>
        <v>39</v>
      </c>
      <c r="Z1080" s="14"/>
      <c r="AA1080" s="14"/>
    </row>
    <row r="1081" spans="1:27" hidden="1">
      <c r="A1081" s="1">
        <v>9294710</v>
      </c>
      <c r="B1081" s="1" t="s">
        <v>101</v>
      </c>
      <c r="C1081" t="s">
        <v>1810</v>
      </c>
      <c r="E1081" s="2">
        <v>1362000206001</v>
      </c>
      <c r="F1081" s="1" t="s">
        <v>29</v>
      </c>
      <c r="G1081" s="1" t="s">
        <v>53</v>
      </c>
      <c r="H1081" s="1" t="s">
        <v>268</v>
      </c>
      <c r="I1081" s="1" t="s">
        <v>269</v>
      </c>
      <c r="J1081" s="1" t="s">
        <v>90</v>
      </c>
      <c r="K1081" t="s">
        <v>34</v>
      </c>
      <c r="M1081" s="1" t="s">
        <v>35</v>
      </c>
      <c r="N1081" s="1">
        <v>42318949</v>
      </c>
      <c r="O1081" s="1" t="s">
        <v>105</v>
      </c>
      <c r="P1081" s="11" t="s">
        <v>1882</v>
      </c>
      <c r="R1081" s="1" t="s">
        <v>38</v>
      </c>
      <c r="T1081" s="1" t="s">
        <v>74</v>
      </c>
      <c r="U1081" s="186">
        <v>44932.75</v>
      </c>
      <c r="V1081" s="1" t="s">
        <v>41</v>
      </c>
      <c r="W1081" s="1" t="s">
        <v>49</v>
      </c>
      <c r="X1081" s="13" t="str">
        <f t="shared" si="87"/>
        <v/>
      </c>
      <c r="Y1081" s="2">
        <f t="shared" ca="1" si="88"/>
        <v>39</v>
      </c>
      <c r="Z1081" s="14"/>
      <c r="AA1081" s="14"/>
    </row>
    <row r="1082" spans="1:27" hidden="1">
      <c r="A1082" s="1">
        <v>9294709</v>
      </c>
      <c r="B1082" s="1" t="s">
        <v>101</v>
      </c>
      <c r="C1082" t="s">
        <v>1810</v>
      </c>
      <c r="E1082" s="2">
        <v>1361000206001</v>
      </c>
      <c r="F1082" s="1" t="s">
        <v>29</v>
      </c>
      <c r="G1082" s="1" t="s">
        <v>53</v>
      </c>
      <c r="H1082" s="1" t="s">
        <v>309</v>
      </c>
      <c r="I1082" s="1" t="s">
        <v>310</v>
      </c>
      <c r="J1082" s="1" t="s">
        <v>46</v>
      </c>
      <c r="K1082" t="s">
        <v>34</v>
      </c>
      <c r="M1082" s="1" t="s">
        <v>35</v>
      </c>
      <c r="N1082" s="1">
        <v>42318949</v>
      </c>
      <c r="O1082" s="1" t="s">
        <v>105</v>
      </c>
      <c r="P1082" s="11" t="s">
        <v>1882</v>
      </c>
      <c r="R1082" s="1" t="s">
        <v>38</v>
      </c>
      <c r="T1082" s="1" t="s">
        <v>74</v>
      </c>
      <c r="U1082" s="186">
        <v>44932.75</v>
      </c>
      <c r="V1082" s="1" t="s">
        <v>41</v>
      </c>
      <c r="W1082" s="1" t="s">
        <v>49</v>
      </c>
      <c r="X1082" s="13" t="str">
        <f t="shared" ref="X1082:X1145" si="89">IF(RIGHT(H1082,2)&lt;&gt;"00",H1082,"")</f>
        <v/>
      </c>
      <c r="Y1082" s="2">
        <f t="shared" ref="Y1082:Y1145" ca="1" si="90">NETWORKDAYS(P1082,$Y$1)</f>
        <v>39</v>
      </c>
      <c r="Z1082" s="14"/>
      <c r="AA1082" s="14"/>
    </row>
    <row r="1083" spans="1:27" hidden="1">
      <c r="A1083" s="1">
        <v>9294708</v>
      </c>
      <c r="B1083" s="1" t="s">
        <v>101</v>
      </c>
      <c r="C1083" t="s">
        <v>1810</v>
      </c>
      <c r="E1083" s="2">
        <v>1360000206001</v>
      </c>
      <c r="F1083" s="1" t="s">
        <v>29</v>
      </c>
      <c r="G1083" s="1" t="s">
        <v>53</v>
      </c>
      <c r="H1083" s="1" t="s">
        <v>303</v>
      </c>
      <c r="I1083" s="1" t="s">
        <v>304</v>
      </c>
      <c r="J1083" s="1" t="s">
        <v>261</v>
      </c>
      <c r="K1083" t="s">
        <v>34</v>
      </c>
      <c r="M1083" s="1" t="s">
        <v>35</v>
      </c>
      <c r="N1083" s="1">
        <v>42318949</v>
      </c>
      <c r="O1083" s="1" t="s">
        <v>105</v>
      </c>
      <c r="P1083" s="11" t="s">
        <v>1882</v>
      </c>
      <c r="R1083" s="1" t="s">
        <v>38</v>
      </c>
      <c r="T1083" s="1" t="s">
        <v>74</v>
      </c>
      <c r="U1083" s="186">
        <v>44932.75</v>
      </c>
      <c r="V1083" s="1" t="s">
        <v>41</v>
      </c>
      <c r="W1083" s="1" t="s">
        <v>49</v>
      </c>
      <c r="X1083" s="13" t="str">
        <f t="shared" si="89"/>
        <v/>
      </c>
      <c r="Y1083" s="2">
        <f t="shared" ca="1" si="90"/>
        <v>39</v>
      </c>
      <c r="Z1083" s="14"/>
      <c r="AA1083" s="14"/>
    </row>
    <row r="1084" spans="1:27" hidden="1">
      <c r="A1084" s="1">
        <v>9294706</v>
      </c>
      <c r="B1084" s="1" t="s">
        <v>101</v>
      </c>
      <c r="C1084" t="s">
        <v>1810</v>
      </c>
      <c r="E1084" s="2">
        <v>1358000206001</v>
      </c>
      <c r="F1084" s="1" t="s">
        <v>29</v>
      </c>
      <c r="G1084" s="1" t="s">
        <v>53</v>
      </c>
      <c r="H1084" s="1" t="s">
        <v>593</v>
      </c>
      <c r="I1084" s="1" t="s">
        <v>594</v>
      </c>
      <c r="J1084" s="1" t="s">
        <v>261</v>
      </c>
      <c r="K1084" t="s">
        <v>34</v>
      </c>
      <c r="M1084" s="1" t="s">
        <v>35</v>
      </c>
      <c r="N1084" s="1">
        <v>42318949</v>
      </c>
      <c r="O1084" s="1" t="s">
        <v>105</v>
      </c>
      <c r="P1084" s="11" t="s">
        <v>1882</v>
      </c>
      <c r="R1084" s="1" t="s">
        <v>38</v>
      </c>
      <c r="T1084" s="1" t="s">
        <v>74</v>
      </c>
      <c r="U1084" s="186">
        <v>44932.75</v>
      </c>
      <c r="V1084" s="1" t="s">
        <v>41</v>
      </c>
      <c r="W1084" s="1" t="s">
        <v>49</v>
      </c>
      <c r="X1084" s="13" t="str">
        <f t="shared" si="89"/>
        <v/>
      </c>
      <c r="Y1084" s="2">
        <f t="shared" ca="1" si="90"/>
        <v>39</v>
      </c>
      <c r="Z1084" s="14"/>
      <c r="AA1084" s="14"/>
    </row>
    <row r="1085" spans="1:27" hidden="1">
      <c r="A1085" s="1">
        <v>9294610</v>
      </c>
      <c r="B1085" s="1" t="s">
        <v>101</v>
      </c>
      <c r="C1085" t="s">
        <v>1810</v>
      </c>
      <c r="E1085" s="2">
        <v>1245000206001</v>
      </c>
      <c r="F1085" s="1" t="s">
        <v>29</v>
      </c>
      <c r="G1085" s="1" t="s">
        <v>53</v>
      </c>
      <c r="H1085" s="1" t="s">
        <v>408</v>
      </c>
      <c r="I1085" s="1" t="s">
        <v>409</v>
      </c>
      <c r="J1085" s="1" t="s">
        <v>46</v>
      </c>
      <c r="K1085" t="s">
        <v>34</v>
      </c>
      <c r="M1085" s="1" t="s">
        <v>35</v>
      </c>
      <c r="N1085" s="1">
        <v>42318949</v>
      </c>
      <c r="O1085" s="1" t="s">
        <v>105</v>
      </c>
      <c r="P1085" s="11" t="s">
        <v>1884</v>
      </c>
      <c r="R1085" s="1" t="s">
        <v>38</v>
      </c>
      <c r="T1085" s="1" t="s">
        <v>74</v>
      </c>
      <c r="U1085" s="186">
        <v>44932.75</v>
      </c>
      <c r="V1085" s="1" t="s">
        <v>41</v>
      </c>
      <c r="W1085" s="1" t="s">
        <v>49</v>
      </c>
      <c r="X1085" s="13" t="str">
        <f t="shared" si="89"/>
        <v/>
      </c>
      <c r="Y1085" s="2">
        <f t="shared" ca="1" si="90"/>
        <v>39</v>
      </c>
      <c r="Z1085" s="14"/>
      <c r="AA1085" s="14"/>
    </row>
    <row r="1086" spans="1:27" hidden="1">
      <c r="A1086" s="1">
        <v>9294550</v>
      </c>
      <c r="B1086" s="1" t="s">
        <v>101</v>
      </c>
      <c r="C1086" t="s">
        <v>1810</v>
      </c>
      <c r="E1086" s="2">
        <v>1185000206001</v>
      </c>
      <c r="F1086" s="1" t="s">
        <v>29</v>
      </c>
      <c r="G1086" s="1" t="s">
        <v>53</v>
      </c>
      <c r="H1086" s="1" t="s">
        <v>539</v>
      </c>
      <c r="I1086" s="1" t="s">
        <v>540</v>
      </c>
      <c r="J1086" s="1" t="s">
        <v>33</v>
      </c>
      <c r="K1086" t="s">
        <v>34</v>
      </c>
      <c r="M1086" s="1" t="s">
        <v>35</v>
      </c>
      <c r="N1086" s="1">
        <v>42318949</v>
      </c>
      <c r="O1086" s="1" t="s">
        <v>36</v>
      </c>
      <c r="P1086" s="11" t="s">
        <v>1885</v>
      </c>
      <c r="R1086" s="1" t="s">
        <v>38</v>
      </c>
      <c r="T1086" s="1" t="s">
        <v>74</v>
      </c>
      <c r="U1086" s="186">
        <v>44932.75</v>
      </c>
      <c r="V1086" s="1" t="s">
        <v>41</v>
      </c>
      <c r="W1086" s="1" t="s">
        <v>42</v>
      </c>
      <c r="X1086" s="13" t="str">
        <f t="shared" si="89"/>
        <v/>
      </c>
      <c r="Y1086" s="2">
        <f t="shared" ca="1" si="90"/>
        <v>39</v>
      </c>
      <c r="Z1086" s="14"/>
      <c r="AA1086" s="14"/>
    </row>
    <row r="1087" spans="1:27" hidden="1">
      <c r="A1087" s="1">
        <v>9294531</v>
      </c>
      <c r="B1087" s="1" t="s">
        <v>101</v>
      </c>
      <c r="C1087" t="s">
        <v>1810</v>
      </c>
      <c r="E1087" s="2">
        <v>1162000206001</v>
      </c>
      <c r="F1087" s="1" t="s">
        <v>29</v>
      </c>
      <c r="G1087" s="1" t="s">
        <v>53</v>
      </c>
      <c r="H1087" s="1" t="s">
        <v>280</v>
      </c>
      <c r="I1087" s="1" t="s">
        <v>281</v>
      </c>
      <c r="J1087" s="1" t="s">
        <v>211</v>
      </c>
      <c r="K1087" t="s">
        <v>34</v>
      </c>
      <c r="M1087" s="1" t="s">
        <v>35</v>
      </c>
      <c r="N1087" s="1">
        <v>42318949</v>
      </c>
      <c r="O1087" s="1" t="s">
        <v>105</v>
      </c>
      <c r="P1087" s="11" t="s">
        <v>1886</v>
      </c>
      <c r="R1087" s="1" t="s">
        <v>38</v>
      </c>
      <c r="T1087" s="1" t="s">
        <v>74</v>
      </c>
      <c r="U1087" s="186">
        <v>44932.75</v>
      </c>
      <c r="V1087" s="1" t="s">
        <v>41</v>
      </c>
      <c r="W1087" s="1" t="s">
        <v>49</v>
      </c>
      <c r="X1087" s="13" t="str">
        <f t="shared" si="89"/>
        <v/>
      </c>
      <c r="Y1087" s="2">
        <f t="shared" ca="1" si="90"/>
        <v>39</v>
      </c>
      <c r="Z1087" s="14"/>
      <c r="AA1087" s="14"/>
    </row>
    <row r="1088" spans="1:27" hidden="1">
      <c r="A1088" s="1">
        <v>9294523</v>
      </c>
      <c r="B1088" s="1" t="s">
        <v>101</v>
      </c>
      <c r="C1088" t="s">
        <v>1810</v>
      </c>
      <c r="E1088" s="2">
        <v>1153000206001</v>
      </c>
      <c r="F1088" s="1" t="s">
        <v>29</v>
      </c>
      <c r="G1088" s="1" t="s">
        <v>53</v>
      </c>
      <c r="H1088" s="1" t="s">
        <v>1031</v>
      </c>
      <c r="I1088" s="1" t="s">
        <v>1032</v>
      </c>
      <c r="J1088" s="1" t="s">
        <v>79</v>
      </c>
      <c r="K1088" t="s">
        <v>34</v>
      </c>
      <c r="M1088" s="1" t="s">
        <v>35</v>
      </c>
      <c r="N1088" s="1">
        <v>42318949</v>
      </c>
      <c r="O1088" s="1" t="s">
        <v>105</v>
      </c>
      <c r="P1088" s="186">
        <v>44932.430312500001</v>
      </c>
      <c r="R1088" s="1" t="s">
        <v>38</v>
      </c>
      <c r="T1088" s="1" t="s">
        <v>74</v>
      </c>
      <c r="U1088" s="186">
        <v>44932.75</v>
      </c>
      <c r="V1088" s="1" t="s">
        <v>41</v>
      </c>
      <c r="W1088" s="1" t="s">
        <v>49</v>
      </c>
      <c r="X1088" s="13" t="str">
        <f t="shared" si="89"/>
        <v/>
      </c>
      <c r="Y1088" s="2">
        <f t="shared" ca="1" si="90"/>
        <v>39</v>
      </c>
      <c r="Z1088" s="14"/>
      <c r="AA1088" s="14"/>
    </row>
    <row r="1089" spans="1:27" hidden="1">
      <c r="A1089" s="1">
        <v>9294508</v>
      </c>
      <c r="B1089" s="1" t="s">
        <v>101</v>
      </c>
      <c r="C1089" t="s">
        <v>1810</v>
      </c>
      <c r="E1089" s="2">
        <v>1138000206001</v>
      </c>
      <c r="F1089" s="1" t="s">
        <v>29</v>
      </c>
      <c r="G1089" s="1" t="s">
        <v>53</v>
      </c>
      <c r="H1089" s="1" t="s">
        <v>548</v>
      </c>
      <c r="I1089" s="1" t="s">
        <v>549</v>
      </c>
      <c r="J1089" s="1" t="s">
        <v>46</v>
      </c>
      <c r="K1089" t="s">
        <v>34</v>
      </c>
      <c r="M1089" s="1" t="s">
        <v>35</v>
      </c>
      <c r="N1089" s="1">
        <v>42318949</v>
      </c>
      <c r="O1089" s="1" t="s">
        <v>105</v>
      </c>
      <c r="P1089" s="186">
        <v>44932.430289351854</v>
      </c>
      <c r="R1089" s="1" t="s">
        <v>38</v>
      </c>
      <c r="T1089" s="1" t="s">
        <v>74</v>
      </c>
      <c r="U1089" s="186">
        <v>44932.75</v>
      </c>
      <c r="V1089" s="1" t="s">
        <v>41</v>
      </c>
      <c r="W1089" s="1" t="s">
        <v>49</v>
      </c>
      <c r="X1089" s="13" t="str">
        <f t="shared" si="89"/>
        <v/>
      </c>
      <c r="Y1089" s="2">
        <f t="shared" ca="1" si="90"/>
        <v>39</v>
      </c>
      <c r="Z1089" s="14"/>
      <c r="AA1089" s="14"/>
    </row>
    <row r="1090" spans="1:27" hidden="1">
      <c r="A1090" s="1">
        <v>9294499</v>
      </c>
      <c r="B1090" s="1" t="s">
        <v>101</v>
      </c>
      <c r="C1090" t="s">
        <v>1810</v>
      </c>
      <c r="E1090" s="2">
        <v>1128000206001</v>
      </c>
      <c r="F1090" s="1" t="s">
        <v>29</v>
      </c>
      <c r="G1090" s="1" t="s">
        <v>53</v>
      </c>
      <c r="H1090" s="1" t="s">
        <v>1191</v>
      </c>
      <c r="I1090" s="1" t="s">
        <v>1192</v>
      </c>
      <c r="J1090" s="1" t="s">
        <v>33</v>
      </c>
      <c r="K1090" t="s">
        <v>34</v>
      </c>
      <c r="M1090" s="1" t="s">
        <v>35</v>
      </c>
      <c r="N1090" s="1">
        <v>42318949</v>
      </c>
      <c r="O1090" s="1" t="s">
        <v>36</v>
      </c>
      <c r="P1090" s="186">
        <v>44932.430277777778</v>
      </c>
      <c r="R1090" s="1" t="s">
        <v>38</v>
      </c>
      <c r="T1090" s="1" t="s">
        <v>74</v>
      </c>
      <c r="U1090" s="186">
        <v>44932.75</v>
      </c>
      <c r="V1090" s="1" t="s">
        <v>41</v>
      </c>
      <c r="W1090" s="1" t="s">
        <v>49</v>
      </c>
      <c r="X1090" s="13" t="str">
        <f t="shared" si="89"/>
        <v/>
      </c>
      <c r="Y1090" s="2">
        <f t="shared" ca="1" si="90"/>
        <v>39</v>
      </c>
      <c r="Z1090" s="14"/>
      <c r="AA1090" s="14"/>
    </row>
    <row r="1091" spans="1:27" hidden="1">
      <c r="A1091" s="1">
        <v>9294491</v>
      </c>
      <c r="B1091" s="1" t="s">
        <v>101</v>
      </c>
      <c r="C1091" t="s">
        <v>1810</v>
      </c>
      <c r="E1091" s="2">
        <v>1120000206001</v>
      </c>
      <c r="F1091" s="1" t="s">
        <v>29</v>
      </c>
      <c r="G1091" s="1" t="s">
        <v>53</v>
      </c>
      <c r="H1091" s="1" t="s">
        <v>181</v>
      </c>
      <c r="I1091" s="1" t="s">
        <v>182</v>
      </c>
      <c r="J1091" s="1" t="s">
        <v>164</v>
      </c>
      <c r="K1091" t="s">
        <v>34</v>
      </c>
      <c r="M1091" s="1" t="s">
        <v>35</v>
      </c>
      <c r="N1091" s="1">
        <v>42318949</v>
      </c>
      <c r="O1091" s="1" t="s">
        <v>105</v>
      </c>
      <c r="P1091" s="186">
        <v>44932.430266203701</v>
      </c>
      <c r="R1091" s="1" t="s">
        <v>38</v>
      </c>
      <c r="T1091" s="1" t="s">
        <v>74</v>
      </c>
      <c r="U1091" s="186">
        <v>44932.75</v>
      </c>
      <c r="V1091" s="1" t="s">
        <v>41</v>
      </c>
      <c r="W1091" s="1" t="s">
        <v>49</v>
      </c>
      <c r="X1091" s="13" t="str">
        <f t="shared" si="89"/>
        <v/>
      </c>
      <c r="Y1091" s="2">
        <f t="shared" ca="1" si="90"/>
        <v>39</v>
      </c>
      <c r="Z1091" s="14"/>
      <c r="AA1091" s="14"/>
    </row>
    <row r="1092" spans="1:27" hidden="1">
      <c r="A1092" s="1">
        <v>9294445</v>
      </c>
      <c r="B1092" s="1" t="s">
        <v>101</v>
      </c>
      <c r="C1092" t="s">
        <v>1810</v>
      </c>
      <c r="E1092" s="2">
        <v>1069000206001</v>
      </c>
      <c r="F1092" s="1" t="s">
        <v>29</v>
      </c>
      <c r="G1092" s="1" t="s">
        <v>53</v>
      </c>
      <c r="H1092" s="1" t="s">
        <v>353</v>
      </c>
      <c r="I1092" s="1" t="s">
        <v>354</v>
      </c>
      <c r="J1092" s="1" t="s">
        <v>211</v>
      </c>
      <c r="K1092" t="s">
        <v>34</v>
      </c>
      <c r="M1092" s="1" t="s">
        <v>35</v>
      </c>
      <c r="N1092" s="1">
        <v>42318949</v>
      </c>
      <c r="O1092" s="1" t="s">
        <v>105</v>
      </c>
      <c r="P1092" s="186">
        <v>44932.430208333331</v>
      </c>
      <c r="R1092" s="1" t="s">
        <v>38</v>
      </c>
      <c r="T1092" s="1" t="s">
        <v>74</v>
      </c>
      <c r="U1092" s="186">
        <v>44932.75</v>
      </c>
      <c r="V1092" s="1" t="s">
        <v>41</v>
      </c>
      <c r="W1092" s="1" t="s">
        <v>49</v>
      </c>
      <c r="X1092" s="13" t="str">
        <f t="shared" si="89"/>
        <v/>
      </c>
      <c r="Y1092" s="2">
        <f t="shared" ca="1" si="90"/>
        <v>39</v>
      </c>
      <c r="Z1092" s="14"/>
      <c r="AA1092" s="14"/>
    </row>
    <row r="1093" spans="1:27" hidden="1">
      <c r="A1093" s="1">
        <v>9294436</v>
      </c>
      <c r="B1093" s="1" t="s">
        <v>101</v>
      </c>
      <c r="C1093" t="s">
        <v>1810</v>
      </c>
      <c r="E1093" s="2">
        <v>1059000206001</v>
      </c>
      <c r="F1093" s="1" t="s">
        <v>29</v>
      </c>
      <c r="G1093" s="1" t="s">
        <v>53</v>
      </c>
      <c r="H1093" s="1" t="s">
        <v>88</v>
      </c>
      <c r="I1093" s="1" t="s">
        <v>89</v>
      </c>
      <c r="J1093" s="1" t="s">
        <v>90</v>
      </c>
      <c r="K1093" t="s">
        <v>34</v>
      </c>
      <c r="M1093" s="1" t="s">
        <v>35</v>
      </c>
      <c r="N1093" s="1">
        <v>42318949</v>
      </c>
      <c r="O1093" s="1" t="s">
        <v>105</v>
      </c>
      <c r="P1093" s="186">
        <v>44932.430196759262</v>
      </c>
      <c r="R1093" s="1" t="s">
        <v>38</v>
      </c>
      <c r="T1093" s="1" t="s">
        <v>74</v>
      </c>
      <c r="U1093" s="186">
        <v>44932.75</v>
      </c>
      <c r="V1093" s="1" t="s">
        <v>41</v>
      </c>
      <c r="W1093" s="1" t="s">
        <v>49</v>
      </c>
      <c r="X1093" s="13" t="str">
        <f t="shared" si="89"/>
        <v/>
      </c>
      <c r="Y1093" s="2">
        <f t="shared" ca="1" si="90"/>
        <v>39</v>
      </c>
      <c r="Z1093" s="14"/>
      <c r="AA1093" s="14"/>
    </row>
    <row r="1094" spans="1:27" hidden="1">
      <c r="A1094" s="1">
        <v>9294435</v>
      </c>
      <c r="B1094" s="1" t="s">
        <v>101</v>
      </c>
      <c r="C1094" t="s">
        <v>1810</v>
      </c>
      <c r="E1094" s="2">
        <v>1058000206001</v>
      </c>
      <c r="F1094" s="1" t="s">
        <v>29</v>
      </c>
      <c r="G1094" s="1" t="s">
        <v>53</v>
      </c>
      <c r="H1094" s="1" t="s">
        <v>289</v>
      </c>
      <c r="I1094" s="1" t="s">
        <v>290</v>
      </c>
      <c r="J1094" s="1" t="s">
        <v>56</v>
      </c>
      <c r="K1094" t="s">
        <v>34</v>
      </c>
      <c r="M1094" s="1" t="s">
        <v>35</v>
      </c>
      <c r="N1094" s="1">
        <v>42318949</v>
      </c>
      <c r="O1094" s="1" t="s">
        <v>105</v>
      </c>
      <c r="P1094" s="186">
        <v>44932.430196759262</v>
      </c>
      <c r="R1094" s="1" t="s">
        <v>38</v>
      </c>
      <c r="T1094" s="1" t="s">
        <v>74</v>
      </c>
      <c r="U1094" s="186">
        <v>44932.75</v>
      </c>
      <c r="V1094" s="1" t="s">
        <v>41</v>
      </c>
      <c r="W1094" s="1" t="s">
        <v>49</v>
      </c>
      <c r="X1094" s="13" t="str">
        <f t="shared" si="89"/>
        <v/>
      </c>
      <c r="Y1094" s="2">
        <f t="shared" ca="1" si="90"/>
        <v>39</v>
      </c>
      <c r="Z1094" s="14"/>
      <c r="AA1094" s="14"/>
    </row>
    <row r="1095" spans="1:27" hidden="1">
      <c r="A1095" s="1">
        <v>9294424</v>
      </c>
      <c r="B1095" s="1" t="s">
        <v>101</v>
      </c>
      <c r="C1095" t="s">
        <v>1810</v>
      </c>
      <c r="E1095" s="2">
        <v>1049000206001</v>
      </c>
      <c r="F1095" s="1" t="s">
        <v>29</v>
      </c>
      <c r="G1095" s="1" t="s">
        <v>53</v>
      </c>
      <c r="H1095" s="1" t="s">
        <v>169</v>
      </c>
      <c r="I1095" s="1" t="s">
        <v>170</v>
      </c>
      <c r="J1095" s="1" t="s">
        <v>164</v>
      </c>
      <c r="K1095" t="s">
        <v>34</v>
      </c>
      <c r="M1095" s="1" t="s">
        <v>35</v>
      </c>
      <c r="N1095" s="1">
        <v>42318949</v>
      </c>
      <c r="O1095" s="1" t="s">
        <v>105</v>
      </c>
      <c r="P1095" s="186">
        <v>44932.430173611108</v>
      </c>
      <c r="R1095" s="1" t="s">
        <v>38</v>
      </c>
      <c r="T1095" s="1" t="s">
        <v>74</v>
      </c>
      <c r="U1095" s="186">
        <v>44932.75</v>
      </c>
      <c r="V1095" s="1" t="s">
        <v>41</v>
      </c>
      <c r="W1095" s="1" t="s">
        <v>49</v>
      </c>
      <c r="X1095" s="13" t="str">
        <f t="shared" si="89"/>
        <v/>
      </c>
      <c r="Y1095" s="2">
        <f t="shared" ca="1" si="90"/>
        <v>39</v>
      </c>
      <c r="Z1095" s="14"/>
      <c r="AA1095" s="14"/>
    </row>
    <row r="1096" spans="1:27" hidden="1">
      <c r="A1096" s="1">
        <v>9294406</v>
      </c>
      <c r="B1096" s="1" t="s">
        <v>101</v>
      </c>
      <c r="C1096" t="s">
        <v>1810</v>
      </c>
      <c r="E1096" s="2">
        <v>1028000206001</v>
      </c>
      <c r="F1096" s="1" t="s">
        <v>29</v>
      </c>
      <c r="G1096" s="1" t="s">
        <v>53</v>
      </c>
      <c r="H1096" s="1" t="s">
        <v>1079</v>
      </c>
      <c r="I1096" s="1" t="s">
        <v>1080</v>
      </c>
      <c r="J1096" s="1" t="s">
        <v>85</v>
      </c>
      <c r="K1096" t="s">
        <v>34</v>
      </c>
      <c r="M1096" s="1" t="s">
        <v>35</v>
      </c>
      <c r="N1096" s="1">
        <v>42318949</v>
      </c>
      <c r="O1096" s="1" t="s">
        <v>105</v>
      </c>
      <c r="P1096" s="186">
        <v>44932.430150462962</v>
      </c>
      <c r="R1096" s="1" t="s">
        <v>38</v>
      </c>
      <c r="T1096" s="1" t="s">
        <v>74</v>
      </c>
      <c r="U1096" s="186">
        <v>44932.75</v>
      </c>
      <c r="V1096" s="1" t="s">
        <v>41</v>
      </c>
      <c r="W1096" s="1" t="s">
        <v>49</v>
      </c>
      <c r="X1096" s="13" t="str">
        <f t="shared" si="89"/>
        <v/>
      </c>
      <c r="Y1096" s="2">
        <f t="shared" ca="1" si="90"/>
        <v>39</v>
      </c>
      <c r="Z1096" s="14"/>
      <c r="AA1096" s="14"/>
    </row>
    <row r="1097" spans="1:27" hidden="1">
      <c r="A1097" s="1">
        <v>9294391</v>
      </c>
      <c r="B1097" s="1" t="s">
        <v>101</v>
      </c>
      <c r="C1097" t="s">
        <v>1810</v>
      </c>
      <c r="E1097" s="2">
        <v>1012000206001</v>
      </c>
      <c r="F1097" s="1" t="s">
        <v>29</v>
      </c>
      <c r="G1097" s="1" t="s">
        <v>53</v>
      </c>
      <c r="H1097" s="1" t="s">
        <v>172</v>
      </c>
      <c r="I1097" s="1" t="s">
        <v>173</v>
      </c>
      <c r="J1097" s="1" t="s">
        <v>164</v>
      </c>
      <c r="K1097" t="s">
        <v>34</v>
      </c>
      <c r="M1097" s="1" t="s">
        <v>35</v>
      </c>
      <c r="N1097" s="1">
        <v>42318949</v>
      </c>
      <c r="O1097" s="1" t="s">
        <v>105</v>
      </c>
      <c r="P1097" s="186">
        <v>44932.430138888885</v>
      </c>
      <c r="R1097" s="1" t="s">
        <v>38</v>
      </c>
      <c r="T1097" s="1" t="s">
        <v>74</v>
      </c>
      <c r="U1097" s="186">
        <v>44932.75</v>
      </c>
      <c r="V1097" s="1" t="s">
        <v>41</v>
      </c>
      <c r="W1097" s="1" t="s">
        <v>49</v>
      </c>
      <c r="X1097" s="13" t="str">
        <f t="shared" si="89"/>
        <v/>
      </c>
      <c r="Y1097" s="2">
        <f t="shared" ca="1" si="90"/>
        <v>39</v>
      </c>
      <c r="Z1097" s="14"/>
      <c r="AA1097" s="14"/>
    </row>
    <row r="1098" spans="1:27" hidden="1">
      <c r="A1098" s="1">
        <v>9294359</v>
      </c>
      <c r="B1098" s="1" t="s">
        <v>101</v>
      </c>
      <c r="C1098" t="s">
        <v>1810</v>
      </c>
      <c r="E1098" s="2">
        <v>981000206001</v>
      </c>
      <c r="F1098" s="1" t="s">
        <v>29</v>
      </c>
      <c r="G1098" s="1" t="s">
        <v>53</v>
      </c>
      <c r="H1098" s="1" t="s">
        <v>410</v>
      </c>
      <c r="I1098" s="1" t="s">
        <v>411</v>
      </c>
      <c r="J1098" s="1" t="s">
        <v>85</v>
      </c>
      <c r="K1098" t="s">
        <v>34</v>
      </c>
      <c r="M1098" s="1" t="s">
        <v>35</v>
      </c>
      <c r="N1098" s="1">
        <v>42318949</v>
      </c>
      <c r="O1098" s="1" t="s">
        <v>105</v>
      </c>
      <c r="P1098" s="186">
        <v>44932.430081018516</v>
      </c>
      <c r="R1098" s="1" t="s">
        <v>38</v>
      </c>
      <c r="T1098" s="1" t="s">
        <v>74</v>
      </c>
      <c r="U1098" s="186">
        <v>44932.75</v>
      </c>
      <c r="V1098" s="1" t="s">
        <v>41</v>
      </c>
      <c r="W1098" s="1" t="s">
        <v>49</v>
      </c>
      <c r="X1098" s="13" t="str">
        <f t="shared" si="89"/>
        <v/>
      </c>
      <c r="Y1098" s="2">
        <f t="shared" ca="1" si="90"/>
        <v>39</v>
      </c>
      <c r="Z1098" s="14"/>
      <c r="AA1098" s="14"/>
    </row>
    <row r="1099" spans="1:27" hidden="1">
      <c r="A1099" s="1">
        <v>9294339</v>
      </c>
      <c r="B1099" s="1" t="s">
        <v>101</v>
      </c>
      <c r="C1099" t="s">
        <v>1810</v>
      </c>
      <c r="E1099" s="2">
        <v>963000206001</v>
      </c>
      <c r="F1099" s="1" t="s">
        <v>29</v>
      </c>
      <c r="G1099" s="1" t="s">
        <v>53</v>
      </c>
      <c r="H1099" s="1" t="s">
        <v>531</v>
      </c>
      <c r="I1099" s="1" t="s">
        <v>532</v>
      </c>
      <c r="J1099" s="1" t="s">
        <v>33</v>
      </c>
      <c r="K1099" t="s">
        <v>34</v>
      </c>
      <c r="M1099" s="1" t="s">
        <v>35</v>
      </c>
      <c r="N1099" s="1">
        <v>42318949</v>
      </c>
      <c r="O1099" s="1" t="s">
        <v>105</v>
      </c>
      <c r="P1099" s="186">
        <v>44932.430046296293</v>
      </c>
      <c r="R1099" s="1" t="s">
        <v>38</v>
      </c>
      <c r="T1099" s="1" t="s">
        <v>74</v>
      </c>
      <c r="U1099" s="186">
        <v>44932.75</v>
      </c>
      <c r="V1099" s="1" t="s">
        <v>41</v>
      </c>
      <c r="W1099" s="1" t="s">
        <v>49</v>
      </c>
      <c r="X1099" s="13" t="str">
        <f t="shared" si="89"/>
        <v/>
      </c>
      <c r="Y1099" s="2">
        <f t="shared" ca="1" si="90"/>
        <v>39</v>
      </c>
      <c r="Z1099" s="14"/>
      <c r="AA1099" s="14"/>
    </row>
    <row r="1100" spans="1:27" hidden="1">
      <c r="A1100" s="1">
        <v>9294307</v>
      </c>
      <c r="B1100" s="1" t="s">
        <v>101</v>
      </c>
      <c r="C1100" t="s">
        <v>1810</v>
      </c>
      <c r="E1100" s="2">
        <v>934000206001</v>
      </c>
      <c r="F1100" s="1" t="s">
        <v>29</v>
      </c>
      <c r="G1100" s="1" t="s">
        <v>53</v>
      </c>
      <c r="H1100" s="1" t="s">
        <v>428</v>
      </c>
      <c r="I1100" s="1" t="s">
        <v>429</v>
      </c>
      <c r="J1100" s="1" t="s">
        <v>46</v>
      </c>
      <c r="K1100" t="s">
        <v>34</v>
      </c>
      <c r="M1100" s="1" t="s">
        <v>35</v>
      </c>
      <c r="N1100" s="1">
        <v>42318949</v>
      </c>
      <c r="O1100" s="1" t="s">
        <v>105</v>
      </c>
      <c r="P1100" s="186">
        <v>44932.43</v>
      </c>
      <c r="R1100" s="1" t="s">
        <v>38</v>
      </c>
      <c r="T1100" s="1" t="s">
        <v>74</v>
      </c>
      <c r="U1100" s="186">
        <v>44932.75</v>
      </c>
      <c r="V1100" s="1" t="s">
        <v>41</v>
      </c>
      <c r="W1100" s="1" t="s">
        <v>49</v>
      </c>
      <c r="X1100" s="13" t="str">
        <f t="shared" si="89"/>
        <v/>
      </c>
      <c r="Y1100" s="2">
        <f t="shared" ca="1" si="90"/>
        <v>39</v>
      </c>
      <c r="Z1100" s="14"/>
      <c r="AA1100" s="14"/>
    </row>
    <row r="1101" spans="1:27" hidden="1">
      <c r="A1101" s="1">
        <v>9294293</v>
      </c>
      <c r="B1101" s="1" t="s">
        <v>101</v>
      </c>
      <c r="C1101" t="s">
        <v>1810</v>
      </c>
      <c r="E1101" s="2">
        <v>922000206001</v>
      </c>
      <c r="F1101" s="1" t="s">
        <v>29</v>
      </c>
      <c r="G1101" s="1" t="s">
        <v>53</v>
      </c>
      <c r="H1101" s="1" t="s">
        <v>1375</v>
      </c>
      <c r="I1101" s="1" t="s">
        <v>1376</v>
      </c>
      <c r="J1101" s="1" t="s">
        <v>261</v>
      </c>
      <c r="K1101" t="s">
        <v>34</v>
      </c>
      <c r="M1101" s="1" t="s">
        <v>35</v>
      </c>
      <c r="N1101" s="1">
        <v>42318949</v>
      </c>
      <c r="O1101" s="1" t="s">
        <v>105</v>
      </c>
      <c r="P1101" s="186">
        <v>44932.429988425924</v>
      </c>
      <c r="R1101" s="1" t="s">
        <v>38</v>
      </c>
      <c r="T1101" s="1" t="s">
        <v>74</v>
      </c>
      <c r="U1101" s="186">
        <v>44932.75</v>
      </c>
      <c r="V1101" s="1" t="s">
        <v>41</v>
      </c>
      <c r="W1101" s="1" t="s">
        <v>49</v>
      </c>
      <c r="X1101" s="13" t="str">
        <f t="shared" si="89"/>
        <v/>
      </c>
      <c r="Y1101" s="2">
        <f t="shared" ca="1" si="90"/>
        <v>39</v>
      </c>
      <c r="Z1101" s="14"/>
      <c r="AA1101" s="14"/>
    </row>
    <row r="1102" spans="1:27" hidden="1">
      <c r="A1102" s="1">
        <v>9294269</v>
      </c>
      <c r="B1102" s="1" t="s">
        <v>101</v>
      </c>
      <c r="C1102" t="s">
        <v>1810</v>
      </c>
      <c r="E1102" s="2">
        <v>899000206001</v>
      </c>
      <c r="F1102" s="1" t="s">
        <v>29</v>
      </c>
      <c r="G1102" s="1" t="s">
        <v>53</v>
      </c>
      <c r="H1102" s="1" t="s">
        <v>175</v>
      </c>
      <c r="I1102" s="1" t="s">
        <v>176</v>
      </c>
      <c r="J1102" s="1" t="s">
        <v>90</v>
      </c>
      <c r="K1102" t="s">
        <v>34</v>
      </c>
      <c r="M1102" s="1" t="s">
        <v>35</v>
      </c>
      <c r="N1102" s="1">
        <v>42318949</v>
      </c>
      <c r="O1102" s="1" t="s">
        <v>36</v>
      </c>
      <c r="P1102" s="186">
        <v>44932.429942129631</v>
      </c>
      <c r="R1102" s="1" t="s">
        <v>38</v>
      </c>
      <c r="T1102" s="1" t="s">
        <v>74</v>
      </c>
      <c r="U1102" s="186">
        <v>44932.75</v>
      </c>
      <c r="V1102" s="1" t="s">
        <v>41</v>
      </c>
      <c r="W1102" s="1" t="s">
        <v>49</v>
      </c>
      <c r="X1102" s="13" t="str">
        <f t="shared" si="89"/>
        <v/>
      </c>
      <c r="Y1102" s="2">
        <f t="shared" ca="1" si="90"/>
        <v>39</v>
      </c>
      <c r="AA1102" s="14"/>
    </row>
    <row r="1103" spans="1:27" hidden="1">
      <c r="A1103" s="1">
        <v>9294239</v>
      </c>
      <c r="B1103" s="1" t="s">
        <v>101</v>
      </c>
      <c r="C1103" t="s">
        <v>1810</v>
      </c>
      <c r="E1103" s="2">
        <v>870000206001</v>
      </c>
      <c r="F1103" s="1" t="s">
        <v>29</v>
      </c>
      <c r="G1103" s="1" t="s">
        <v>53</v>
      </c>
      <c r="H1103" s="1" t="s">
        <v>183</v>
      </c>
      <c r="I1103" s="1" t="s">
        <v>184</v>
      </c>
      <c r="J1103" s="1" t="s">
        <v>90</v>
      </c>
      <c r="K1103" t="s">
        <v>34</v>
      </c>
      <c r="M1103" s="1" t="s">
        <v>35</v>
      </c>
      <c r="N1103" s="1">
        <v>42318949</v>
      </c>
      <c r="O1103" s="1" t="s">
        <v>105</v>
      </c>
      <c r="P1103" s="186">
        <v>44932.429907407408</v>
      </c>
      <c r="R1103" s="1" t="s">
        <v>38</v>
      </c>
      <c r="T1103" s="1" t="s">
        <v>74</v>
      </c>
      <c r="U1103" s="186">
        <v>44932.75</v>
      </c>
      <c r="V1103" s="1" t="s">
        <v>41</v>
      </c>
      <c r="W1103" s="1" t="s">
        <v>49</v>
      </c>
      <c r="X1103" s="13" t="str">
        <f t="shared" si="89"/>
        <v/>
      </c>
      <c r="Y1103" s="2">
        <f t="shared" ca="1" si="90"/>
        <v>39</v>
      </c>
      <c r="AA1103" s="14"/>
    </row>
    <row r="1104" spans="1:27" hidden="1">
      <c r="A1104" s="1">
        <v>9294195</v>
      </c>
      <c r="B1104" s="1" t="s">
        <v>101</v>
      </c>
      <c r="C1104" t="s">
        <v>1810</v>
      </c>
      <c r="E1104" s="2">
        <v>834000206001</v>
      </c>
      <c r="F1104" s="1" t="s">
        <v>29</v>
      </c>
      <c r="G1104" s="1" t="s">
        <v>53</v>
      </c>
      <c r="H1104" s="1" t="s">
        <v>367</v>
      </c>
      <c r="I1104" s="1" t="s">
        <v>368</v>
      </c>
      <c r="J1104" s="1" t="s">
        <v>261</v>
      </c>
      <c r="K1104" t="s">
        <v>34</v>
      </c>
      <c r="M1104" s="1" t="s">
        <v>35</v>
      </c>
      <c r="N1104" s="1">
        <v>42318949</v>
      </c>
      <c r="O1104" s="1" t="s">
        <v>105</v>
      </c>
      <c r="P1104" s="186">
        <v>44932.429837962962</v>
      </c>
      <c r="R1104" s="1" t="s">
        <v>38</v>
      </c>
      <c r="T1104" s="1" t="s">
        <v>74</v>
      </c>
      <c r="U1104" s="186">
        <v>44932.75</v>
      </c>
      <c r="V1104" s="1" t="s">
        <v>41</v>
      </c>
      <c r="W1104" s="1" t="s">
        <v>49</v>
      </c>
      <c r="X1104" s="13" t="str">
        <f t="shared" si="89"/>
        <v/>
      </c>
      <c r="Y1104" s="2">
        <f t="shared" ca="1" si="90"/>
        <v>39</v>
      </c>
      <c r="AA1104" s="14"/>
    </row>
    <row r="1105" spans="1:27" hidden="1">
      <c r="A1105" s="1">
        <v>9294183</v>
      </c>
      <c r="B1105" s="1" t="s">
        <v>101</v>
      </c>
      <c r="C1105" t="s">
        <v>1810</v>
      </c>
      <c r="E1105" s="2">
        <v>821000206001</v>
      </c>
      <c r="F1105" s="1" t="s">
        <v>29</v>
      </c>
      <c r="G1105" s="1" t="s">
        <v>53</v>
      </c>
      <c r="H1105" s="1" t="s">
        <v>1351</v>
      </c>
      <c r="I1105" s="1" t="s">
        <v>1352</v>
      </c>
      <c r="J1105" s="1" t="s">
        <v>46</v>
      </c>
      <c r="K1105" t="s">
        <v>34</v>
      </c>
      <c r="M1105" s="1" t="s">
        <v>35</v>
      </c>
      <c r="N1105" s="1">
        <v>42318949</v>
      </c>
      <c r="O1105" s="1" t="s">
        <v>105</v>
      </c>
      <c r="P1105" s="186">
        <v>44932.429814814815</v>
      </c>
      <c r="R1105" s="1" t="s">
        <v>38</v>
      </c>
      <c r="T1105" s="1" t="s">
        <v>74</v>
      </c>
      <c r="U1105" s="186">
        <v>44932.75</v>
      </c>
      <c r="V1105" s="1" t="s">
        <v>41</v>
      </c>
      <c r="W1105" s="1" t="s">
        <v>49</v>
      </c>
      <c r="X1105" s="13" t="str">
        <f t="shared" si="89"/>
        <v/>
      </c>
      <c r="Y1105" s="2">
        <f t="shared" ca="1" si="90"/>
        <v>39</v>
      </c>
      <c r="AA1105" s="14"/>
    </row>
    <row r="1106" spans="1:27" hidden="1">
      <c r="A1106" s="1">
        <v>9294081</v>
      </c>
      <c r="B1106" s="1" t="s">
        <v>101</v>
      </c>
      <c r="C1106" t="s">
        <v>1810</v>
      </c>
      <c r="E1106" s="2">
        <v>721000206001</v>
      </c>
      <c r="F1106" s="1" t="s">
        <v>29</v>
      </c>
      <c r="G1106" s="1" t="s">
        <v>53</v>
      </c>
      <c r="H1106" s="1" t="s">
        <v>422</v>
      </c>
      <c r="I1106" s="1" t="s">
        <v>423</v>
      </c>
      <c r="J1106" s="1" t="s">
        <v>79</v>
      </c>
      <c r="K1106" t="s">
        <v>34</v>
      </c>
      <c r="M1106" s="1" t="s">
        <v>35</v>
      </c>
      <c r="N1106" s="1">
        <v>42318949</v>
      </c>
      <c r="O1106" s="1" t="s">
        <v>105</v>
      </c>
      <c r="P1106" s="186">
        <v>44932.429664351854</v>
      </c>
      <c r="R1106" s="1" t="s">
        <v>38</v>
      </c>
      <c r="T1106" s="1" t="s">
        <v>74</v>
      </c>
      <c r="U1106" s="186">
        <v>44932.75</v>
      </c>
      <c r="V1106" s="1" t="s">
        <v>41</v>
      </c>
      <c r="W1106" s="1" t="s">
        <v>49</v>
      </c>
      <c r="X1106" s="13" t="str">
        <f t="shared" si="89"/>
        <v/>
      </c>
      <c r="Y1106" s="2">
        <f t="shared" ca="1" si="90"/>
        <v>39</v>
      </c>
      <c r="AA1106" s="14"/>
    </row>
    <row r="1107" spans="1:27" hidden="1">
      <c r="A1107" s="1">
        <v>9294073</v>
      </c>
      <c r="B1107" s="1" t="s">
        <v>101</v>
      </c>
      <c r="C1107" t="s">
        <v>1810</v>
      </c>
      <c r="E1107" s="2">
        <v>714000206001</v>
      </c>
      <c r="F1107" s="1" t="s">
        <v>29</v>
      </c>
      <c r="G1107" s="1" t="s">
        <v>53</v>
      </c>
      <c r="H1107" s="1" t="s">
        <v>377</v>
      </c>
      <c r="I1107" s="1" t="s">
        <v>378</v>
      </c>
      <c r="J1107" s="1" t="s">
        <v>46</v>
      </c>
      <c r="K1107" t="s">
        <v>34</v>
      </c>
      <c r="M1107" s="1" t="s">
        <v>35</v>
      </c>
      <c r="N1107" s="1">
        <v>42318949</v>
      </c>
      <c r="O1107" s="1" t="s">
        <v>105</v>
      </c>
      <c r="P1107" s="186">
        <v>44932.429652777777</v>
      </c>
      <c r="R1107" s="1" t="s">
        <v>38</v>
      </c>
      <c r="T1107" s="1" t="s">
        <v>74</v>
      </c>
      <c r="U1107" s="186">
        <v>44932.75</v>
      </c>
      <c r="V1107" s="1" t="s">
        <v>41</v>
      </c>
      <c r="W1107" s="1" t="s">
        <v>49</v>
      </c>
      <c r="X1107" s="13" t="str">
        <f t="shared" si="89"/>
        <v/>
      </c>
      <c r="Y1107" s="2">
        <f t="shared" ca="1" si="90"/>
        <v>39</v>
      </c>
      <c r="AA1107" s="14"/>
    </row>
    <row r="1108" spans="1:27" hidden="1">
      <c r="A1108" s="1">
        <v>9294069</v>
      </c>
      <c r="B1108" s="1" t="s">
        <v>101</v>
      </c>
      <c r="C1108" t="s">
        <v>1810</v>
      </c>
      <c r="E1108" s="2">
        <v>711000206001</v>
      </c>
      <c r="F1108" s="1" t="s">
        <v>29</v>
      </c>
      <c r="G1108" s="1" t="s">
        <v>53</v>
      </c>
      <c r="H1108" s="1" t="s">
        <v>77</v>
      </c>
      <c r="I1108" s="1" t="s">
        <v>78</v>
      </c>
      <c r="J1108" s="1" t="s">
        <v>79</v>
      </c>
      <c r="K1108" t="s">
        <v>34</v>
      </c>
      <c r="M1108" s="1" t="s">
        <v>35</v>
      </c>
      <c r="N1108" s="1">
        <v>42318949</v>
      </c>
      <c r="O1108" s="1" t="s">
        <v>105</v>
      </c>
      <c r="P1108" s="186">
        <v>44932.4296412037</v>
      </c>
      <c r="R1108" s="1" t="s">
        <v>38</v>
      </c>
      <c r="T1108" s="1" t="s">
        <v>74</v>
      </c>
      <c r="U1108" s="186">
        <v>44932.75</v>
      </c>
      <c r="V1108" s="1" t="s">
        <v>41</v>
      </c>
      <c r="W1108" s="1" t="s">
        <v>49</v>
      </c>
      <c r="X1108" s="13" t="str">
        <f t="shared" si="89"/>
        <v/>
      </c>
      <c r="Y1108" s="2">
        <f t="shared" ca="1" si="90"/>
        <v>39</v>
      </c>
      <c r="AA1108" s="14"/>
    </row>
    <row r="1109" spans="1:27" hidden="1">
      <c r="A1109" s="1">
        <v>9294068</v>
      </c>
      <c r="B1109" s="1" t="s">
        <v>101</v>
      </c>
      <c r="C1109" t="s">
        <v>1810</v>
      </c>
      <c r="E1109" s="2">
        <v>710000206001</v>
      </c>
      <c r="F1109" s="1" t="s">
        <v>29</v>
      </c>
      <c r="G1109" s="1" t="s">
        <v>53</v>
      </c>
      <c r="H1109" s="1" t="s">
        <v>390</v>
      </c>
      <c r="I1109" s="1" t="s">
        <v>391</v>
      </c>
      <c r="J1109" s="1" t="s">
        <v>56</v>
      </c>
      <c r="K1109" t="s">
        <v>34</v>
      </c>
      <c r="M1109" s="1" t="s">
        <v>35</v>
      </c>
      <c r="N1109" s="1">
        <v>42318949</v>
      </c>
      <c r="O1109" s="1" t="s">
        <v>36</v>
      </c>
      <c r="P1109" s="186">
        <v>44932.4296412037</v>
      </c>
      <c r="R1109" s="1" t="s">
        <v>38</v>
      </c>
      <c r="T1109" s="1" t="s">
        <v>74</v>
      </c>
      <c r="U1109" s="186">
        <v>44932.75</v>
      </c>
      <c r="V1109" s="1" t="s">
        <v>41</v>
      </c>
      <c r="W1109" s="1" t="s">
        <v>49</v>
      </c>
      <c r="X1109" s="13" t="str">
        <f t="shared" si="89"/>
        <v/>
      </c>
      <c r="Y1109" s="2">
        <f t="shared" ca="1" si="90"/>
        <v>39</v>
      </c>
      <c r="AA1109" s="14"/>
    </row>
    <row r="1110" spans="1:27" hidden="1">
      <c r="A1110" s="1">
        <v>9294054</v>
      </c>
      <c r="B1110" s="1" t="s">
        <v>101</v>
      </c>
      <c r="C1110" t="s">
        <v>1810</v>
      </c>
      <c r="E1110" s="2">
        <v>697000206001</v>
      </c>
      <c r="F1110" s="1" t="s">
        <v>29</v>
      </c>
      <c r="G1110" s="1" t="s">
        <v>53</v>
      </c>
      <c r="H1110" s="1" t="s">
        <v>65</v>
      </c>
      <c r="I1110" s="1" t="s">
        <v>66</v>
      </c>
      <c r="J1110" s="1" t="s">
        <v>46</v>
      </c>
      <c r="K1110" t="s">
        <v>34</v>
      </c>
      <c r="M1110" s="1" t="s">
        <v>35</v>
      </c>
      <c r="N1110" s="1">
        <v>42318949</v>
      </c>
      <c r="O1110" s="1" t="s">
        <v>105</v>
      </c>
      <c r="P1110" s="186">
        <v>44932.429618055554</v>
      </c>
      <c r="R1110" s="1" t="s">
        <v>38</v>
      </c>
      <c r="T1110" s="1" t="s">
        <v>74</v>
      </c>
      <c r="U1110" s="186">
        <v>44932.75</v>
      </c>
      <c r="V1110" s="1" t="s">
        <v>41</v>
      </c>
      <c r="W1110" s="1" t="s">
        <v>49</v>
      </c>
      <c r="X1110" s="13" t="str">
        <f t="shared" si="89"/>
        <v/>
      </c>
      <c r="Y1110" s="2">
        <f t="shared" ca="1" si="90"/>
        <v>39</v>
      </c>
      <c r="AA1110" s="14"/>
    </row>
    <row r="1111" spans="1:27" hidden="1">
      <c r="A1111" s="1">
        <v>9294030</v>
      </c>
      <c r="B1111" s="1" t="s">
        <v>101</v>
      </c>
      <c r="C1111" t="s">
        <v>1810</v>
      </c>
      <c r="E1111" s="2">
        <v>673000206001</v>
      </c>
      <c r="F1111" s="1" t="s">
        <v>29</v>
      </c>
      <c r="G1111" s="1" t="s">
        <v>53</v>
      </c>
      <c r="H1111" s="1" t="s">
        <v>581</v>
      </c>
      <c r="I1111" s="1" t="s">
        <v>582</v>
      </c>
      <c r="J1111" s="1" t="s">
        <v>110</v>
      </c>
      <c r="K1111" t="s">
        <v>34</v>
      </c>
      <c r="M1111" s="1" t="s">
        <v>35</v>
      </c>
      <c r="N1111" s="1">
        <v>42318949</v>
      </c>
      <c r="O1111" s="1" t="s">
        <v>105</v>
      </c>
      <c r="P1111" s="186">
        <v>44932.429583333331</v>
      </c>
      <c r="R1111" s="1" t="s">
        <v>38</v>
      </c>
      <c r="T1111" s="1" t="s">
        <v>74</v>
      </c>
      <c r="U1111" s="186">
        <v>44932.75</v>
      </c>
      <c r="V1111" s="1" t="s">
        <v>41</v>
      </c>
      <c r="W1111" s="1" t="s">
        <v>49</v>
      </c>
      <c r="X1111" s="13" t="str">
        <f t="shared" si="89"/>
        <v/>
      </c>
      <c r="Y1111" s="2">
        <f t="shared" ca="1" si="90"/>
        <v>39</v>
      </c>
      <c r="AA1111" s="14"/>
    </row>
    <row r="1112" spans="1:27" hidden="1">
      <c r="A1112" s="1">
        <v>9293955</v>
      </c>
      <c r="B1112" s="1" t="s">
        <v>101</v>
      </c>
      <c r="C1112" t="s">
        <v>1810</v>
      </c>
      <c r="E1112" s="2">
        <v>608000206001</v>
      </c>
      <c r="F1112" s="1" t="s">
        <v>29</v>
      </c>
      <c r="G1112" s="1" t="s">
        <v>53</v>
      </c>
      <c r="H1112" s="1" t="s">
        <v>438</v>
      </c>
      <c r="I1112" s="1" t="s">
        <v>439</v>
      </c>
      <c r="J1112" s="1" t="s">
        <v>148</v>
      </c>
      <c r="K1112" t="s">
        <v>34</v>
      </c>
      <c r="M1112" s="1" t="s">
        <v>35</v>
      </c>
      <c r="N1112" s="1">
        <v>42318949</v>
      </c>
      <c r="O1112" s="1" t="s">
        <v>105</v>
      </c>
      <c r="P1112" s="186">
        <v>44932.429467592592</v>
      </c>
      <c r="R1112" s="1" t="s">
        <v>38</v>
      </c>
      <c r="T1112" s="1" t="s">
        <v>74</v>
      </c>
      <c r="U1112" s="186">
        <v>44932.75</v>
      </c>
      <c r="V1112" s="1" t="s">
        <v>41</v>
      </c>
      <c r="W1112" s="1" t="s">
        <v>49</v>
      </c>
      <c r="X1112" s="13" t="str">
        <f t="shared" si="89"/>
        <v/>
      </c>
      <c r="Y1112" s="2">
        <f t="shared" ca="1" si="90"/>
        <v>39</v>
      </c>
      <c r="AA1112" s="14"/>
    </row>
    <row r="1113" spans="1:27" hidden="1">
      <c r="A1113" s="1">
        <v>9293952</v>
      </c>
      <c r="B1113" s="1" t="s">
        <v>101</v>
      </c>
      <c r="C1113" t="s">
        <v>1810</v>
      </c>
      <c r="E1113" s="2">
        <v>605000206001</v>
      </c>
      <c r="F1113" s="1" t="s">
        <v>29</v>
      </c>
      <c r="G1113" s="1" t="s">
        <v>53</v>
      </c>
      <c r="H1113" s="1" t="s">
        <v>420</v>
      </c>
      <c r="I1113" s="1" t="s">
        <v>421</v>
      </c>
      <c r="J1113" s="1" t="s">
        <v>90</v>
      </c>
      <c r="K1113" t="s">
        <v>34</v>
      </c>
      <c r="M1113" s="1" t="s">
        <v>35</v>
      </c>
      <c r="N1113" s="1">
        <v>42318949</v>
      </c>
      <c r="O1113" s="1" t="s">
        <v>105</v>
      </c>
      <c r="P1113" s="186">
        <v>44932.429456018515</v>
      </c>
      <c r="R1113" s="1" t="s">
        <v>38</v>
      </c>
      <c r="T1113" s="1" t="s">
        <v>74</v>
      </c>
      <c r="U1113" s="186">
        <v>44932.75</v>
      </c>
      <c r="V1113" s="1" t="s">
        <v>41</v>
      </c>
      <c r="W1113" s="1" t="s">
        <v>49</v>
      </c>
      <c r="X1113" s="13" t="str">
        <f t="shared" si="89"/>
        <v/>
      </c>
      <c r="Y1113" s="2">
        <f t="shared" ca="1" si="90"/>
        <v>39</v>
      </c>
      <c r="AA1113" s="14"/>
    </row>
    <row r="1114" spans="1:27" hidden="1">
      <c r="A1114" s="1">
        <v>9293925</v>
      </c>
      <c r="B1114" s="1" t="s">
        <v>101</v>
      </c>
      <c r="C1114" t="s">
        <v>1810</v>
      </c>
      <c r="E1114" s="2">
        <v>582000206001</v>
      </c>
      <c r="F1114" s="1" t="s">
        <v>29</v>
      </c>
      <c r="G1114" s="1" t="s">
        <v>53</v>
      </c>
      <c r="H1114" s="1" t="s">
        <v>139</v>
      </c>
      <c r="I1114" s="1" t="s">
        <v>140</v>
      </c>
      <c r="J1114" s="1" t="s">
        <v>141</v>
      </c>
      <c r="K1114" t="s">
        <v>34</v>
      </c>
      <c r="M1114" s="1" t="s">
        <v>35</v>
      </c>
      <c r="N1114" s="1">
        <v>42318949</v>
      </c>
      <c r="O1114" s="1" t="s">
        <v>105</v>
      </c>
      <c r="P1114" s="186">
        <v>44932.4294212963</v>
      </c>
      <c r="R1114" s="1" t="s">
        <v>38</v>
      </c>
      <c r="T1114" s="1" t="s">
        <v>74</v>
      </c>
      <c r="U1114" s="186">
        <v>44932.75</v>
      </c>
      <c r="V1114" s="1" t="s">
        <v>41</v>
      </c>
      <c r="W1114" s="1" t="s">
        <v>49</v>
      </c>
      <c r="X1114" s="13" t="str">
        <f t="shared" si="89"/>
        <v/>
      </c>
      <c r="Y1114" s="2">
        <f t="shared" ca="1" si="90"/>
        <v>39</v>
      </c>
      <c r="AA1114" s="14"/>
    </row>
    <row r="1115" spans="1:27" hidden="1">
      <c r="A1115" s="1">
        <v>9293892</v>
      </c>
      <c r="B1115" s="1" t="s">
        <v>101</v>
      </c>
      <c r="C1115" t="s">
        <v>1810</v>
      </c>
      <c r="E1115" s="2">
        <v>550000206001</v>
      </c>
      <c r="F1115" s="1" t="s">
        <v>29</v>
      </c>
      <c r="G1115" s="1" t="s">
        <v>53</v>
      </c>
      <c r="H1115" s="1" t="s">
        <v>337</v>
      </c>
      <c r="I1115" s="1" t="s">
        <v>338</v>
      </c>
      <c r="J1115" s="1" t="s">
        <v>164</v>
      </c>
      <c r="K1115" t="s">
        <v>34</v>
      </c>
      <c r="M1115" s="1" t="s">
        <v>35</v>
      </c>
      <c r="N1115" s="1">
        <v>42318949</v>
      </c>
      <c r="O1115" s="1" t="s">
        <v>105</v>
      </c>
      <c r="P1115" s="186">
        <v>44932.429363425923</v>
      </c>
      <c r="R1115" s="1" t="s">
        <v>38</v>
      </c>
      <c r="T1115" s="1" t="s">
        <v>74</v>
      </c>
      <c r="U1115" s="186">
        <v>44932.75</v>
      </c>
      <c r="V1115" s="1" t="s">
        <v>41</v>
      </c>
      <c r="W1115" s="1" t="s">
        <v>49</v>
      </c>
      <c r="X1115" s="13" t="str">
        <f t="shared" si="89"/>
        <v/>
      </c>
      <c r="Y1115" s="2">
        <f t="shared" ca="1" si="90"/>
        <v>39</v>
      </c>
      <c r="AA1115" s="14"/>
    </row>
    <row r="1116" spans="1:27" hidden="1">
      <c r="A1116" s="1">
        <v>9293880</v>
      </c>
      <c r="B1116" s="1" t="s">
        <v>101</v>
      </c>
      <c r="C1116" t="s">
        <v>1810</v>
      </c>
      <c r="E1116" s="2">
        <v>537000206001</v>
      </c>
      <c r="F1116" s="1" t="s">
        <v>29</v>
      </c>
      <c r="G1116" s="1" t="s">
        <v>53</v>
      </c>
      <c r="H1116" s="1" t="s">
        <v>442</v>
      </c>
      <c r="I1116" s="1" t="s">
        <v>443</v>
      </c>
      <c r="J1116" s="1" t="s">
        <v>79</v>
      </c>
      <c r="K1116" t="s">
        <v>34</v>
      </c>
      <c r="M1116" s="1" t="s">
        <v>35</v>
      </c>
      <c r="N1116" s="1">
        <v>42318949</v>
      </c>
      <c r="O1116" s="1" t="s">
        <v>105</v>
      </c>
      <c r="P1116" s="186">
        <v>44932.429351851853</v>
      </c>
      <c r="R1116" s="1" t="s">
        <v>38</v>
      </c>
      <c r="T1116" s="1" t="s">
        <v>74</v>
      </c>
      <c r="U1116" s="186">
        <v>44932.75</v>
      </c>
      <c r="V1116" s="1" t="s">
        <v>41</v>
      </c>
      <c r="W1116" s="1" t="s">
        <v>49</v>
      </c>
      <c r="X1116" s="13" t="str">
        <f t="shared" si="89"/>
        <v/>
      </c>
      <c r="Y1116" s="2">
        <f t="shared" ca="1" si="90"/>
        <v>39</v>
      </c>
      <c r="AA1116" s="14"/>
    </row>
    <row r="1117" spans="1:27" hidden="1">
      <c r="A1117" s="1">
        <v>9293775</v>
      </c>
      <c r="B1117" s="1" t="s">
        <v>101</v>
      </c>
      <c r="C1117" t="s">
        <v>1810</v>
      </c>
      <c r="E1117" s="2">
        <v>446000206001</v>
      </c>
      <c r="F1117" s="1" t="s">
        <v>29</v>
      </c>
      <c r="G1117" s="1" t="s">
        <v>53</v>
      </c>
      <c r="H1117" s="1" t="s">
        <v>432</v>
      </c>
      <c r="I1117" s="1" t="s">
        <v>433</v>
      </c>
      <c r="J1117" s="1" t="s">
        <v>110</v>
      </c>
      <c r="K1117" t="s">
        <v>34</v>
      </c>
      <c r="M1117" s="1" t="s">
        <v>35</v>
      </c>
      <c r="N1117" s="1">
        <v>42318949</v>
      </c>
      <c r="O1117" s="1" t="s">
        <v>36</v>
      </c>
      <c r="P1117" s="186">
        <v>44932.429189814815</v>
      </c>
      <c r="R1117" s="1" t="s">
        <v>38</v>
      </c>
      <c r="T1117" s="1" t="s">
        <v>74</v>
      </c>
      <c r="U1117" s="186">
        <v>44932.75</v>
      </c>
      <c r="V1117" s="1" t="s">
        <v>41</v>
      </c>
      <c r="W1117" s="1" t="s">
        <v>49</v>
      </c>
      <c r="X1117" s="13" t="str">
        <f t="shared" si="89"/>
        <v/>
      </c>
      <c r="Y1117" s="2">
        <f t="shared" ca="1" si="90"/>
        <v>39</v>
      </c>
      <c r="AA1117" s="14"/>
    </row>
    <row r="1118" spans="1:27" hidden="1">
      <c r="A1118" s="1">
        <v>9293508</v>
      </c>
      <c r="B1118" s="1" t="s">
        <v>101</v>
      </c>
      <c r="C1118" t="s">
        <v>1810</v>
      </c>
      <c r="E1118" s="2">
        <v>233000206001</v>
      </c>
      <c r="F1118" s="1" t="s">
        <v>29</v>
      </c>
      <c r="G1118" s="1" t="s">
        <v>53</v>
      </c>
      <c r="H1118" s="1" t="s">
        <v>424</v>
      </c>
      <c r="I1118" s="1" t="s">
        <v>425</v>
      </c>
      <c r="J1118" s="1" t="s">
        <v>261</v>
      </c>
      <c r="K1118" t="s">
        <v>34</v>
      </c>
      <c r="M1118" s="1" t="s">
        <v>35</v>
      </c>
      <c r="N1118" s="1">
        <v>42318949</v>
      </c>
      <c r="O1118" s="1" t="s">
        <v>105</v>
      </c>
      <c r="P1118" s="186">
        <v>44932.428796296299</v>
      </c>
      <c r="R1118" s="1" t="s">
        <v>38</v>
      </c>
      <c r="T1118" s="1" t="s">
        <v>74</v>
      </c>
      <c r="U1118" s="186">
        <v>44932.75</v>
      </c>
      <c r="V1118" s="1" t="s">
        <v>41</v>
      </c>
      <c r="W1118" s="1" t="s">
        <v>49</v>
      </c>
      <c r="X1118" s="13" t="str">
        <f t="shared" si="89"/>
        <v/>
      </c>
      <c r="Y1118" s="2">
        <f t="shared" ca="1" si="90"/>
        <v>39</v>
      </c>
      <c r="AA1118" s="14"/>
    </row>
    <row r="1119" spans="1:27" hidden="1">
      <c r="A1119" s="1">
        <v>9293507</v>
      </c>
      <c r="B1119" s="1" t="s">
        <v>101</v>
      </c>
      <c r="C1119" t="s">
        <v>1810</v>
      </c>
      <c r="E1119" s="2">
        <v>232000206001</v>
      </c>
      <c r="F1119" s="1" t="s">
        <v>29</v>
      </c>
      <c r="G1119" s="1" t="s">
        <v>53</v>
      </c>
      <c r="H1119" s="1" t="s">
        <v>1363</v>
      </c>
      <c r="I1119" s="1" t="s">
        <v>1364</v>
      </c>
      <c r="J1119" s="1" t="s">
        <v>141</v>
      </c>
      <c r="K1119" t="s">
        <v>34</v>
      </c>
      <c r="M1119" s="1" t="s">
        <v>35</v>
      </c>
      <c r="N1119" s="1">
        <v>42318949</v>
      </c>
      <c r="O1119" s="1" t="s">
        <v>105</v>
      </c>
      <c r="P1119" s="186">
        <v>44932.428796296299</v>
      </c>
      <c r="R1119" s="1" t="s">
        <v>38</v>
      </c>
      <c r="T1119" s="1" t="s">
        <v>74</v>
      </c>
      <c r="U1119" s="186">
        <v>44932.75</v>
      </c>
      <c r="V1119" s="1" t="s">
        <v>41</v>
      </c>
      <c r="W1119" s="1" t="s">
        <v>49</v>
      </c>
      <c r="X1119" s="13" t="str">
        <f t="shared" si="89"/>
        <v/>
      </c>
      <c r="Y1119" s="2">
        <f t="shared" ca="1" si="90"/>
        <v>39</v>
      </c>
      <c r="AA1119" s="14"/>
    </row>
    <row r="1120" spans="1:27" hidden="1">
      <c r="A1120" s="1">
        <v>9293492</v>
      </c>
      <c r="B1120" s="1" t="s">
        <v>101</v>
      </c>
      <c r="C1120" t="s">
        <v>1810</v>
      </c>
      <c r="E1120" s="2">
        <v>220000206001</v>
      </c>
      <c r="F1120" s="1" t="s">
        <v>29</v>
      </c>
      <c r="G1120" s="1" t="s">
        <v>53</v>
      </c>
      <c r="H1120" s="1" t="s">
        <v>588</v>
      </c>
      <c r="I1120" s="1" t="s">
        <v>589</v>
      </c>
      <c r="J1120" s="1" t="s">
        <v>110</v>
      </c>
      <c r="K1120" t="s">
        <v>34</v>
      </c>
      <c r="M1120" s="1" t="s">
        <v>35</v>
      </c>
      <c r="N1120" s="1">
        <v>42318949</v>
      </c>
      <c r="O1120" s="1" t="s">
        <v>105</v>
      </c>
      <c r="P1120" s="186">
        <v>44932.428784722222</v>
      </c>
      <c r="R1120" s="1" t="s">
        <v>38</v>
      </c>
      <c r="T1120" s="1" t="s">
        <v>74</v>
      </c>
      <c r="U1120" s="186">
        <v>44932.75</v>
      </c>
      <c r="V1120" s="1" t="s">
        <v>41</v>
      </c>
      <c r="W1120" s="1" t="s">
        <v>49</v>
      </c>
      <c r="X1120" s="13" t="str">
        <f t="shared" si="89"/>
        <v/>
      </c>
      <c r="Y1120" s="2">
        <f t="shared" ca="1" si="90"/>
        <v>39</v>
      </c>
      <c r="AA1120" s="14"/>
    </row>
    <row r="1121" spans="1:27" hidden="1">
      <c r="A1121" s="1">
        <v>9293462</v>
      </c>
      <c r="B1121" s="1" t="s">
        <v>101</v>
      </c>
      <c r="C1121" t="s">
        <v>1810</v>
      </c>
      <c r="E1121" s="2">
        <v>196000206001</v>
      </c>
      <c r="F1121" s="1" t="s">
        <v>29</v>
      </c>
      <c r="G1121" s="1" t="s">
        <v>53</v>
      </c>
      <c r="H1121" s="1" t="s">
        <v>1060</v>
      </c>
      <c r="I1121" s="1" t="s">
        <v>1061</v>
      </c>
      <c r="J1121" s="1" t="s">
        <v>79</v>
      </c>
      <c r="K1121" t="s">
        <v>34</v>
      </c>
      <c r="M1121" s="1" t="s">
        <v>35</v>
      </c>
      <c r="N1121" s="1">
        <v>42318949</v>
      </c>
      <c r="O1121" s="1" t="s">
        <v>105</v>
      </c>
      <c r="P1121" s="186">
        <v>44932.428738425922</v>
      </c>
      <c r="R1121" s="1" t="s">
        <v>38</v>
      </c>
      <c r="T1121" s="1" t="s">
        <v>74</v>
      </c>
      <c r="U1121" s="186">
        <v>44932.75</v>
      </c>
      <c r="V1121" s="1" t="s">
        <v>41</v>
      </c>
      <c r="W1121" s="1" t="s">
        <v>49</v>
      </c>
      <c r="X1121" s="13" t="str">
        <f t="shared" si="89"/>
        <v/>
      </c>
      <c r="Y1121" s="2">
        <f t="shared" ca="1" si="90"/>
        <v>39</v>
      </c>
      <c r="AA1121" s="14"/>
    </row>
    <row r="1122" spans="1:27" hidden="1">
      <c r="A1122" s="1">
        <v>9293363</v>
      </c>
      <c r="B1122" s="1" t="s">
        <v>101</v>
      </c>
      <c r="C1122" t="s">
        <v>1810</v>
      </c>
      <c r="E1122" s="2">
        <v>115000206001</v>
      </c>
      <c r="F1122" s="1" t="s">
        <v>29</v>
      </c>
      <c r="G1122" s="1" t="s">
        <v>53</v>
      </c>
      <c r="H1122" s="1" t="s">
        <v>542</v>
      </c>
      <c r="I1122" s="1" t="s">
        <v>543</v>
      </c>
      <c r="J1122" s="1" t="s">
        <v>56</v>
      </c>
      <c r="K1122" t="s">
        <v>34</v>
      </c>
      <c r="M1122" s="1" t="s">
        <v>35</v>
      </c>
      <c r="N1122" s="1">
        <v>42318949</v>
      </c>
      <c r="O1122" s="1" t="s">
        <v>105</v>
      </c>
      <c r="P1122" s="186">
        <v>44932.428587962961</v>
      </c>
      <c r="R1122" s="1" t="s">
        <v>38</v>
      </c>
      <c r="T1122" s="1" t="s">
        <v>74</v>
      </c>
      <c r="U1122" s="186">
        <v>44932.75</v>
      </c>
      <c r="V1122" s="1" t="s">
        <v>41</v>
      </c>
      <c r="W1122" s="1" t="s">
        <v>49</v>
      </c>
      <c r="X1122" s="13" t="str">
        <f t="shared" si="89"/>
        <v/>
      </c>
      <c r="Y1122" s="2">
        <f t="shared" ca="1" si="90"/>
        <v>39</v>
      </c>
      <c r="AA1122" s="14"/>
    </row>
    <row r="1123" spans="1:27" hidden="1">
      <c r="A1123" s="1">
        <v>9293306</v>
      </c>
      <c r="B1123" s="1" t="s">
        <v>101</v>
      </c>
      <c r="C1123" t="s">
        <v>1810</v>
      </c>
      <c r="E1123" s="2">
        <v>68000206001</v>
      </c>
      <c r="F1123" s="1" t="s">
        <v>29</v>
      </c>
      <c r="G1123" s="1" t="s">
        <v>53</v>
      </c>
      <c r="H1123" s="1" t="s">
        <v>1330</v>
      </c>
      <c r="I1123" s="1" t="s">
        <v>1331</v>
      </c>
      <c r="J1123" s="1" t="s">
        <v>211</v>
      </c>
      <c r="K1123" t="s">
        <v>34</v>
      </c>
      <c r="M1123" s="1" t="s">
        <v>35</v>
      </c>
      <c r="N1123" s="1">
        <v>42318949</v>
      </c>
      <c r="O1123" s="1" t="s">
        <v>105</v>
      </c>
      <c r="P1123" s="186">
        <v>44932.428495370368</v>
      </c>
      <c r="R1123" s="1" t="s">
        <v>38</v>
      </c>
      <c r="T1123" s="1" t="s">
        <v>74</v>
      </c>
      <c r="U1123" s="186">
        <v>44932.75</v>
      </c>
      <c r="V1123" s="1" t="s">
        <v>41</v>
      </c>
      <c r="W1123" s="1" t="s">
        <v>49</v>
      </c>
      <c r="X1123" s="13" t="str">
        <f t="shared" si="89"/>
        <v/>
      </c>
      <c r="Y1123" s="2">
        <f t="shared" ca="1" si="90"/>
        <v>39</v>
      </c>
      <c r="AA1123" s="14"/>
    </row>
    <row r="1124" spans="1:27" hidden="1">
      <c r="A1124" s="1">
        <v>9293305</v>
      </c>
      <c r="B1124" s="1" t="s">
        <v>101</v>
      </c>
      <c r="C1124" t="s">
        <v>1810</v>
      </c>
      <c r="E1124" s="2">
        <v>67000206001</v>
      </c>
      <c r="F1124" s="1" t="s">
        <v>29</v>
      </c>
      <c r="G1124" s="1" t="s">
        <v>53</v>
      </c>
      <c r="H1124" s="1" t="s">
        <v>404</v>
      </c>
      <c r="I1124" s="1" t="s">
        <v>405</v>
      </c>
      <c r="J1124" s="1" t="s">
        <v>164</v>
      </c>
      <c r="K1124" t="s">
        <v>34</v>
      </c>
      <c r="M1124" s="1" t="s">
        <v>35</v>
      </c>
      <c r="N1124" s="1">
        <v>42318949</v>
      </c>
      <c r="O1124" s="1" t="s">
        <v>105</v>
      </c>
      <c r="P1124" s="186">
        <v>44932.428495370368</v>
      </c>
      <c r="R1124" s="1" t="s">
        <v>38</v>
      </c>
      <c r="T1124" s="1" t="s">
        <v>74</v>
      </c>
      <c r="U1124" s="186">
        <v>44932.75</v>
      </c>
      <c r="V1124" s="1" t="s">
        <v>41</v>
      </c>
      <c r="W1124" s="1" t="s">
        <v>49</v>
      </c>
      <c r="X1124" s="13" t="str">
        <f t="shared" si="89"/>
        <v/>
      </c>
      <c r="Y1124" s="2">
        <f t="shared" ca="1" si="90"/>
        <v>39</v>
      </c>
      <c r="AA1124" s="14"/>
    </row>
    <row r="1125" spans="1:27" hidden="1">
      <c r="A1125" s="1">
        <v>9293222</v>
      </c>
      <c r="B1125" s="1" t="s">
        <v>101</v>
      </c>
      <c r="C1125" t="s">
        <v>1810</v>
      </c>
      <c r="E1125" s="2">
        <v>7710206001</v>
      </c>
      <c r="F1125" s="1" t="s">
        <v>29</v>
      </c>
      <c r="G1125" s="1" t="s">
        <v>53</v>
      </c>
      <c r="H1125" s="1" t="s">
        <v>228</v>
      </c>
      <c r="I1125" s="1" t="s">
        <v>229</v>
      </c>
      <c r="J1125" s="1" t="s">
        <v>46</v>
      </c>
      <c r="K1125" t="s">
        <v>34</v>
      </c>
      <c r="M1125" s="1" t="s">
        <v>35</v>
      </c>
      <c r="N1125" s="1">
        <v>42318949</v>
      </c>
      <c r="O1125" s="1" t="s">
        <v>105</v>
      </c>
      <c r="P1125" s="186">
        <v>44932.428368055553</v>
      </c>
      <c r="R1125" s="1" t="s">
        <v>38</v>
      </c>
      <c r="T1125" s="1" t="s">
        <v>74</v>
      </c>
      <c r="U1125" s="186">
        <v>44932.75</v>
      </c>
      <c r="V1125" s="1" t="s">
        <v>41</v>
      </c>
      <c r="W1125" s="1" t="s">
        <v>49</v>
      </c>
      <c r="X1125" s="13" t="str">
        <f t="shared" si="89"/>
        <v>0007.71</v>
      </c>
      <c r="Y1125" s="2">
        <f t="shared" ca="1" si="90"/>
        <v>39</v>
      </c>
      <c r="AA1125" s="14"/>
    </row>
    <row r="1126" spans="1:27" hidden="1">
      <c r="A1126" s="1">
        <v>9316562</v>
      </c>
      <c r="B1126" s="1" t="s">
        <v>1924</v>
      </c>
      <c r="C1126" t="s">
        <v>1925</v>
      </c>
      <c r="D1126" s="2">
        <v>20234623000002</v>
      </c>
      <c r="E1126" s="2">
        <v>7417202020353</v>
      </c>
      <c r="F1126" s="1" t="s">
        <v>1213</v>
      </c>
      <c r="G1126" s="1" t="s">
        <v>53</v>
      </c>
      <c r="H1126" s="1" t="s">
        <v>1926</v>
      </c>
      <c r="I1126" s="1" t="s">
        <v>1927</v>
      </c>
      <c r="J1126" s="1" t="s">
        <v>33</v>
      </c>
      <c r="K1126" t="s">
        <v>1214</v>
      </c>
      <c r="M1126" s="1" t="s">
        <v>58</v>
      </c>
      <c r="N1126" s="1">
        <v>0</v>
      </c>
      <c r="O1126" s="1" t="s">
        <v>36</v>
      </c>
      <c r="P1126" s="11" t="s">
        <v>1928</v>
      </c>
      <c r="R1126" s="1">
        <v>14</v>
      </c>
      <c r="T1126" s="1" t="s">
        <v>238</v>
      </c>
      <c r="U1126" s="11" t="s">
        <v>1929</v>
      </c>
      <c r="V1126" s="1" t="s">
        <v>41</v>
      </c>
      <c r="W1126" s="1" t="s">
        <v>42</v>
      </c>
      <c r="X1126" s="13" t="str">
        <f t="shared" si="89"/>
        <v>4623.91</v>
      </c>
      <c r="Y1126" s="2">
        <f t="shared" ca="1" si="90"/>
        <v>38</v>
      </c>
      <c r="AA1126" s="14"/>
    </row>
    <row r="1127" spans="1:27" hidden="1">
      <c r="A1127" s="1">
        <v>9314411</v>
      </c>
      <c r="B1127" s="1" t="s">
        <v>1153</v>
      </c>
      <c r="C1127" t="s">
        <v>1930</v>
      </c>
      <c r="D1127" s="2">
        <v>20231850000003</v>
      </c>
      <c r="E1127" s="2">
        <v>7417193050573</v>
      </c>
      <c r="F1127" s="1" t="s">
        <v>1719</v>
      </c>
      <c r="G1127" s="1" t="s">
        <v>53</v>
      </c>
      <c r="H1127" s="1" t="s">
        <v>1931</v>
      </c>
      <c r="I1127" s="1" t="s">
        <v>1932</v>
      </c>
      <c r="J1127" s="1" t="s">
        <v>46</v>
      </c>
      <c r="K1127" t="s">
        <v>1720</v>
      </c>
      <c r="M1127" s="1" t="s">
        <v>58</v>
      </c>
      <c r="N1127" s="1">
        <v>0</v>
      </c>
      <c r="O1127" s="1" t="s">
        <v>36</v>
      </c>
      <c r="P1127" s="11" t="s">
        <v>1933</v>
      </c>
      <c r="R1127" s="1">
        <v>22</v>
      </c>
      <c r="T1127" s="1" t="s">
        <v>1160</v>
      </c>
      <c r="U1127" s="11" t="s">
        <v>1934</v>
      </c>
      <c r="V1127" s="1" t="s">
        <v>41</v>
      </c>
      <c r="W1127" s="1" t="s">
        <v>49</v>
      </c>
      <c r="X1127" s="13" t="str">
        <f t="shared" si="89"/>
        <v/>
      </c>
      <c r="Y1127" s="2">
        <f t="shared" ca="1" si="90"/>
        <v>38</v>
      </c>
      <c r="AA1127" s="14"/>
    </row>
    <row r="1128" spans="1:27" hidden="1">
      <c r="A1128" s="1">
        <v>9326301</v>
      </c>
      <c r="B1128" s="1" t="s">
        <v>81</v>
      </c>
      <c r="C1128" t="s">
        <v>1935</v>
      </c>
      <c r="E1128" s="2">
        <v>7417211830514</v>
      </c>
      <c r="F1128" s="1" t="s">
        <v>1936</v>
      </c>
      <c r="G1128" s="1" t="s">
        <v>53</v>
      </c>
      <c r="H1128" s="1" t="s">
        <v>1937</v>
      </c>
      <c r="I1128" s="1" t="s">
        <v>1938</v>
      </c>
      <c r="J1128" s="1" t="s">
        <v>90</v>
      </c>
      <c r="K1128" t="s">
        <v>1939</v>
      </c>
      <c r="M1128" s="1" t="s">
        <v>58</v>
      </c>
      <c r="N1128" s="1">
        <v>0</v>
      </c>
      <c r="O1128" s="1" t="s">
        <v>105</v>
      </c>
      <c r="P1128" s="11" t="s">
        <v>1940</v>
      </c>
      <c r="R1128" s="1">
        <v>14</v>
      </c>
      <c r="T1128" s="1" t="s">
        <v>238</v>
      </c>
      <c r="U1128" s="11" t="s">
        <v>1941</v>
      </c>
      <c r="V1128" s="1" t="s">
        <v>41</v>
      </c>
      <c r="W1128" s="1" t="s">
        <v>49</v>
      </c>
      <c r="X1128" s="13" t="str">
        <f t="shared" si="89"/>
        <v>2069.91</v>
      </c>
      <c r="Y1128" s="2">
        <f t="shared" ca="1" si="90"/>
        <v>36</v>
      </c>
      <c r="AA1128" s="14"/>
    </row>
    <row r="1129" spans="1:27" hidden="1">
      <c r="A1129" s="1">
        <v>9331062</v>
      </c>
      <c r="B1129" s="1" t="s">
        <v>62</v>
      </c>
      <c r="C1129" t="s">
        <v>1942</v>
      </c>
      <c r="E1129" s="2">
        <v>2039000203000</v>
      </c>
      <c r="F1129" s="1" t="s">
        <v>454</v>
      </c>
      <c r="G1129" s="1" t="s">
        <v>53</v>
      </c>
      <c r="H1129" s="1" t="s">
        <v>1943</v>
      </c>
      <c r="I1129" s="1" t="s">
        <v>1944</v>
      </c>
      <c r="J1129" s="1" t="s">
        <v>110</v>
      </c>
      <c r="K1129" t="s">
        <v>457</v>
      </c>
      <c r="M1129" s="1" t="s">
        <v>58</v>
      </c>
      <c r="N1129" s="1">
        <v>0</v>
      </c>
      <c r="O1129" s="1" t="s">
        <v>36</v>
      </c>
      <c r="P1129" s="11" t="s">
        <v>1945</v>
      </c>
      <c r="R1129" s="1">
        <v>1</v>
      </c>
      <c r="T1129" s="1" t="s">
        <v>157</v>
      </c>
      <c r="U1129" s="11" t="s">
        <v>1946</v>
      </c>
      <c r="V1129" s="1" t="s">
        <v>41</v>
      </c>
      <c r="W1129" s="1" t="s">
        <v>49</v>
      </c>
      <c r="X1129" s="13" t="str">
        <f t="shared" si="89"/>
        <v/>
      </c>
      <c r="Y1129" s="2">
        <f t="shared" ca="1" si="90"/>
        <v>35</v>
      </c>
      <c r="AA1129" s="14"/>
    </row>
    <row r="1130" spans="1:27" hidden="1">
      <c r="A1130" s="1">
        <v>9348557</v>
      </c>
      <c r="B1130" s="1" t="s">
        <v>81</v>
      </c>
      <c r="C1130" t="s">
        <v>1947</v>
      </c>
      <c r="E1130" s="2">
        <v>9600113561034</v>
      </c>
      <c r="F1130" s="1" t="s">
        <v>233</v>
      </c>
      <c r="G1130" s="1" t="s">
        <v>30</v>
      </c>
      <c r="H1130" s="1" t="s">
        <v>1948</v>
      </c>
      <c r="I1130" s="1" t="s">
        <v>1949</v>
      </c>
      <c r="J1130" s="1" t="s">
        <v>46</v>
      </c>
      <c r="K1130" t="s">
        <v>236</v>
      </c>
      <c r="M1130" s="1" t="s">
        <v>58</v>
      </c>
      <c r="N1130" s="1">
        <v>0</v>
      </c>
      <c r="O1130" s="1" t="s">
        <v>105</v>
      </c>
      <c r="P1130" s="11" t="s">
        <v>1950</v>
      </c>
      <c r="R1130" s="1">
        <v>15</v>
      </c>
      <c r="T1130" s="1" t="s">
        <v>238</v>
      </c>
      <c r="U1130" s="11" t="s">
        <v>1951</v>
      </c>
      <c r="V1130" s="1" t="s">
        <v>41</v>
      </c>
      <c r="W1130" s="1" t="s">
        <v>49</v>
      </c>
      <c r="X1130" s="13" t="str">
        <f t="shared" si="89"/>
        <v>0721.08</v>
      </c>
      <c r="Y1130" s="2">
        <f t="shared" ca="1" si="90"/>
        <v>33</v>
      </c>
      <c r="AA1130" s="14"/>
    </row>
    <row r="1131" spans="1:27" hidden="1">
      <c r="A1131" s="1">
        <v>9352258</v>
      </c>
      <c r="B1131" s="1" t="s">
        <v>62</v>
      </c>
      <c r="C1131" t="s">
        <v>3620</v>
      </c>
      <c r="E1131" s="2">
        <v>1049000206001</v>
      </c>
      <c r="F1131" s="1" t="s">
        <v>29</v>
      </c>
      <c r="G1131" s="1" t="s">
        <v>53</v>
      </c>
      <c r="H1131" s="1" t="s">
        <v>169</v>
      </c>
      <c r="I1131" s="1" t="s">
        <v>170</v>
      </c>
      <c r="J1131" s="1" t="s">
        <v>164</v>
      </c>
      <c r="K1131" t="s">
        <v>34</v>
      </c>
      <c r="M1131" s="1" t="s">
        <v>35</v>
      </c>
      <c r="N1131" s="1">
        <v>42318949</v>
      </c>
      <c r="O1131" s="1" t="s">
        <v>36</v>
      </c>
      <c r="P1131" s="11" t="s">
        <v>1953</v>
      </c>
      <c r="R1131" s="1" t="s">
        <v>38</v>
      </c>
      <c r="T1131" s="1" t="s">
        <v>74</v>
      </c>
      <c r="U1131" s="11" t="s">
        <v>1954</v>
      </c>
      <c r="V1131" s="1" t="s">
        <v>41</v>
      </c>
      <c r="W1131" s="1" t="s">
        <v>49</v>
      </c>
      <c r="X1131" s="13" t="str">
        <f t="shared" si="89"/>
        <v/>
      </c>
      <c r="Y1131" s="2">
        <f t="shared" ca="1" si="90"/>
        <v>32</v>
      </c>
      <c r="AA1131" s="14"/>
    </row>
    <row r="1132" spans="1:27" hidden="1">
      <c r="A1132" s="1">
        <v>9351974</v>
      </c>
      <c r="B1132" s="1" t="s">
        <v>62</v>
      </c>
      <c r="C1132" t="s">
        <v>1955</v>
      </c>
      <c r="E1132" s="2">
        <v>2442000203000</v>
      </c>
      <c r="F1132" s="1" t="s">
        <v>454</v>
      </c>
      <c r="G1132" s="1" t="s">
        <v>53</v>
      </c>
      <c r="H1132" s="1" t="s">
        <v>1956</v>
      </c>
      <c r="I1132" s="1" t="s">
        <v>1957</v>
      </c>
      <c r="J1132" s="1" t="s">
        <v>33</v>
      </c>
      <c r="K1132" t="s">
        <v>457</v>
      </c>
      <c r="M1132" s="1" t="s">
        <v>58</v>
      </c>
      <c r="N1132" s="1">
        <v>0</v>
      </c>
      <c r="O1132" s="1" t="s">
        <v>36</v>
      </c>
      <c r="P1132" s="11" t="s">
        <v>1958</v>
      </c>
      <c r="R1132" s="1">
        <v>1</v>
      </c>
      <c r="T1132" s="1" t="s">
        <v>157</v>
      </c>
      <c r="U1132" s="11" t="s">
        <v>1959</v>
      </c>
      <c r="V1132" s="1" t="s">
        <v>41</v>
      </c>
      <c r="W1132" s="1" t="s">
        <v>42</v>
      </c>
      <c r="X1132" s="13" t="str">
        <f t="shared" si="89"/>
        <v/>
      </c>
      <c r="Y1132" s="2">
        <f t="shared" ca="1" si="90"/>
        <v>32</v>
      </c>
      <c r="AA1132" s="14"/>
    </row>
    <row r="1133" spans="1:27" hidden="1">
      <c r="A1133" s="1">
        <v>9357204</v>
      </c>
      <c r="B1133" s="1" t="s">
        <v>1153</v>
      </c>
      <c r="C1133" t="s">
        <v>1984</v>
      </c>
      <c r="D1133" s="2">
        <v>20230605000012</v>
      </c>
      <c r="E1133" s="2">
        <v>7417163280932</v>
      </c>
      <c r="F1133" s="1" t="s">
        <v>131</v>
      </c>
      <c r="G1133" s="1" t="s">
        <v>53</v>
      </c>
      <c r="H1133" s="1" t="s">
        <v>1985</v>
      </c>
      <c r="I1133" s="1" t="s">
        <v>1986</v>
      </c>
      <c r="J1133" s="1" t="s">
        <v>90</v>
      </c>
      <c r="K1133" t="s">
        <v>132</v>
      </c>
      <c r="M1133" s="1" t="s">
        <v>58</v>
      </c>
      <c r="N1133" s="1">
        <v>0</v>
      </c>
      <c r="O1133" s="1" t="s">
        <v>36</v>
      </c>
      <c r="P1133" s="11" t="s">
        <v>1987</v>
      </c>
      <c r="R1133" s="1">
        <v>14</v>
      </c>
      <c r="T1133" s="1" t="s">
        <v>238</v>
      </c>
      <c r="U1133" s="11" t="s">
        <v>1987</v>
      </c>
      <c r="V1133" s="1" t="s">
        <v>41</v>
      </c>
      <c r="W1133" s="1" t="s">
        <v>49</v>
      </c>
      <c r="X1133" s="13" t="str">
        <f t="shared" si="89"/>
        <v>0605.91</v>
      </c>
      <c r="Y1133" s="2">
        <f t="shared" ca="1" si="90"/>
        <v>31</v>
      </c>
      <c r="AA1133" s="14"/>
    </row>
    <row r="1134" spans="1:27" hidden="1">
      <c r="A1134" s="1">
        <v>9356193</v>
      </c>
      <c r="B1134" s="1" t="s">
        <v>1153</v>
      </c>
      <c r="C1134" t="s">
        <v>1988</v>
      </c>
      <c r="D1134" s="2">
        <v>20238259000001</v>
      </c>
      <c r="E1134" s="2">
        <v>7417172796319</v>
      </c>
      <c r="F1134" s="1" t="s">
        <v>1989</v>
      </c>
      <c r="G1134" s="1" t="s">
        <v>53</v>
      </c>
      <c r="H1134" s="1" t="s">
        <v>245</v>
      </c>
      <c r="I1134" s="1" t="s">
        <v>246</v>
      </c>
      <c r="J1134" s="1" t="s">
        <v>56</v>
      </c>
      <c r="K1134" t="s">
        <v>1990</v>
      </c>
      <c r="M1134" s="1" t="s">
        <v>58</v>
      </c>
      <c r="N1134" s="1">
        <v>0</v>
      </c>
      <c r="O1134" s="1" t="s">
        <v>36</v>
      </c>
      <c r="P1134" s="11" t="s">
        <v>1991</v>
      </c>
      <c r="R1134" s="1">
        <v>22</v>
      </c>
      <c r="T1134" s="1" t="s">
        <v>1160</v>
      </c>
      <c r="U1134" s="11" t="s">
        <v>1992</v>
      </c>
      <c r="V1134" s="1" t="s">
        <v>41</v>
      </c>
      <c r="W1134" s="1" t="s">
        <v>49</v>
      </c>
      <c r="X1134" s="13" t="str">
        <f t="shared" si="89"/>
        <v/>
      </c>
      <c r="Y1134" s="2">
        <f t="shared" ca="1" si="90"/>
        <v>31</v>
      </c>
      <c r="AA1134" s="14"/>
    </row>
    <row r="1135" spans="1:27" hidden="1">
      <c r="A1135" s="1">
        <v>9363015</v>
      </c>
      <c r="B1135" s="1" t="s">
        <v>62</v>
      </c>
      <c r="C1135" t="s">
        <v>3621</v>
      </c>
      <c r="E1135" s="2">
        <v>1837000203000</v>
      </c>
      <c r="F1135" s="1" t="s">
        <v>454</v>
      </c>
      <c r="G1135" s="1" t="s">
        <v>53</v>
      </c>
      <c r="H1135" s="1" t="s">
        <v>1785</v>
      </c>
      <c r="I1135" s="1" t="s">
        <v>1786</v>
      </c>
      <c r="J1135" s="1" t="s">
        <v>46</v>
      </c>
      <c r="K1135" t="s">
        <v>457</v>
      </c>
      <c r="M1135" s="1" t="s">
        <v>58</v>
      </c>
      <c r="N1135" s="1">
        <v>0</v>
      </c>
      <c r="O1135" s="1" t="s">
        <v>36</v>
      </c>
      <c r="P1135" s="11" t="s">
        <v>1994</v>
      </c>
      <c r="R1135" s="1">
        <v>1</v>
      </c>
      <c r="T1135" s="1" t="s">
        <v>157</v>
      </c>
      <c r="U1135" s="11" t="s">
        <v>1995</v>
      </c>
      <c r="V1135" s="1" t="s">
        <v>41</v>
      </c>
      <c r="W1135" s="1" t="s">
        <v>49</v>
      </c>
      <c r="X1135" s="13" t="str">
        <f t="shared" si="89"/>
        <v/>
      </c>
      <c r="Y1135" s="2">
        <f t="shared" ca="1" si="90"/>
        <v>30</v>
      </c>
      <c r="AA1135" s="14"/>
    </row>
    <row r="1136" spans="1:27" hidden="1">
      <c r="A1136" s="1">
        <v>9361190</v>
      </c>
      <c r="B1136" s="1" t="s">
        <v>62</v>
      </c>
      <c r="C1136" t="s">
        <v>2011</v>
      </c>
      <c r="E1136" s="2">
        <v>3918000203000</v>
      </c>
      <c r="F1136" s="1" t="s">
        <v>454</v>
      </c>
      <c r="G1136" s="1" t="s">
        <v>53</v>
      </c>
      <c r="H1136" s="1" t="s">
        <v>858</v>
      </c>
      <c r="I1136" s="1" t="s">
        <v>859</v>
      </c>
      <c r="J1136" s="1" t="s">
        <v>33</v>
      </c>
      <c r="K1136" t="s">
        <v>457</v>
      </c>
      <c r="M1136" s="1" t="s">
        <v>58</v>
      </c>
      <c r="N1136" s="1">
        <v>0</v>
      </c>
      <c r="O1136" s="1" t="s">
        <v>105</v>
      </c>
      <c r="P1136" s="11" t="s">
        <v>2012</v>
      </c>
      <c r="R1136" s="1">
        <v>1</v>
      </c>
      <c r="T1136" s="1" t="s">
        <v>157</v>
      </c>
      <c r="U1136" s="11" t="s">
        <v>1995</v>
      </c>
      <c r="V1136" s="1" t="s">
        <v>41</v>
      </c>
      <c r="W1136" s="1" t="s">
        <v>49</v>
      </c>
      <c r="X1136" s="13" t="str">
        <f t="shared" si="89"/>
        <v/>
      </c>
      <c r="Y1136" s="2">
        <f t="shared" ca="1" si="90"/>
        <v>30</v>
      </c>
      <c r="AA1136" s="14"/>
    </row>
    <row r="1137" spans="1:27" hidden="1">
      <c r="A1137" s="1">
        <v>9378351</v>
      </c>
      <c r="B1137" s="1" t="s">
        <v>62</v>
      </c>
      <c r="C1137" t="s">
        <v>2013</v>
      </c>
      <c r="E1137" s="2">
        <v>2238000206001</v>
      </c>
      <c r="F1137" s="1" t="s">
        <v>29</v>
      </c>
      <c r="G1137" s="1" t="s">
        <v>53</v>
      </c>
      <c r="H1137" s="1" t="s">
        <v>707</v>
      </c>
      <c r="I1137" s="1" t="s">
        <v>708</v>
      </c>
      <c r="J1137" s="1" t="s">
        <v>79</v>
      </c>
      <c r="K1137" t="s">
        <v>34</v>
      </c>
      <c r="M1137" s="1" t="s">
        <v>35</v>
      </c>
      <c r="N1137" s="1">
        <v>42318949</v>
      </c>
      <c r="O1137" s="1" t="s">
        <v>36</v>
      </c>
      <c r="P1137" s="48">
        <v>44949.719247685185</v>
      </c>
      <c r="R1137" s="1" t="s">
        <v>38</v>
      </c>
      <c r="T1137" s="1" t="s">
        <v>74</v>
      </c>
      <c r="U1137" s="11" t="s">
        <v>2015</v>
      </c>
      <c r="V1137" s="1" t="s">
        <v>41</v>
      </c>
      <c r="W1137" s="1" t="s">
        <v>49</v>
      </c>
      <c r="X1137" s="13" t="str">
        <f t="shared" si="89"/>
        <v/>
      </c>
      <c r="Y1137" s="2">
        <f t="shared" ca="1" si="90"/>
        <v>28</v>
      </c>
      <c r="AA1137" s="14"/>
    </row>
    <row r="1138" spans="1:27" hidden="1">
      <c r="A1138" s="181">
        <v>9376105</v>
      </c>
      <c r="B1138" s="181" t="s">
        <v>1153</v>
      </c>
      <c r="C1138" s="182" t="s">
        <v>3981</v>
      </c>
      <c r="D1138" s="183">
        <v>20230870000010</v>
      </c>
      <c r="E1138" s="183">
        <v>7419141893543</v>
      </c>
      <c r="F1138" s="181" t="s">
        <v>128</v>
      </c>
      <c r="G1138" s="181" t="s">
        <v>53</v>
      </c>
      <c r="H1138" s="181" t="s">
        <v>519</v>
      </c>
      <c r="I1138" s="181" t="s">
        <v>520</v>
      </c>
      <c r="J1138" s="181" t="s">
        <v>90</v>
      </c>
      <c r="K1138" t="s">
        <v>129</v>
      </c>
      <c r="M1138" s="1" t="s">
        <v>58</v>
      </c>
      <c r="N1138" s="1">
        <v>0</v>
      </c>
      <c r="O1138" s="1" t="s">
        <v>36</v>
      </c>
      <c r="P1138" s="48">
        <v>44949.420578703706</v>
      </c>
      <c r="R1138" s="1">
        <v>14</v>
      </c>
      <c r="T1138" s="1" t="s">
        <v>238</v>
      </c>
      <c r="U1138" s="11" t="s">
        <v>2020</v>
      </c>
      <c r="V1138" s="1" t="s">
        <v>41</v>
      </c>
      <c r="W1138" s="1" t="s">
        <v>49</v>
      </c>
      <c r="X1138" s="13" t="str">
        <f t="shared" si="89"/>
        <v>0870.91</v>
      </c>
      <c r="Y1138" s="2">
        <f t="shared" ca="1" si="90"/>
        <v>28</v>
      </c>
      <c r="AA1138" s="14"/>
    </row>
    <row r="1139" spans="1:27" hidden="1">
      <c r="A1139" s="1">
        <v>9381861</v>
      </c>
      <c r="B1139" s="1" t="s">
        <v>62</v>
      </c>
      <c r="C1139" t="s">
        <v>2027</v>
      </c>
      <c r="E1139" s="2">
        <v>1069000203000</v>
      </c>
      <c r="F1139" s="1" t="s">
        <v>454</v>
      </c>
      <c r="G1139" s="1" t="s">
        <v>53</v>
      </c>
      <c r="H1139" s="1" t="s">
        <v>353</v>
      </c>
      <c r="I1139" s="1" t="s">
        <v>354</v>
      </c>
      <c r="J1139" s="1" t="s">
        <v>211</v>
      </c>
      <c r="K1139" t="s">
        <v>457</v>
      </c>
      <c r="M1139" s="1" t="s">
        <v>58</v>
      </c>
      <c r="N1139" s="1">
        <v>0</v>
      </c>
      <c r="O1139" s="1" t="s">
        <v>105</v>
      </c>
      <c r="P1139" s="48">
        <v>44950.51898148148</v>
      </c>
      <c r="R1139" s="1">
        <v>1</v>
      </c>
      <c r="T1139" s="1" t="s">
        <v>157</v>
      </c>
      <c r="U1139" s="11" t="s">
        <v>1954</v>
      </c>
      <c r="V1139" s="1" t="s">
        <v>41</v>
      </c>
      <c r="W1139" s="1" t="s">
        <v>49</v>
      </c>
      <c r="X1139" s="13" t="str">
        <f t="shared" si="89"/>
        <v/>
      </c>
      <c r="Y1139" s="2">
        <f t="shared" ca="1" si="90"/>
        <v>27</v>
      </c>
      <c r="AA1139" s="14"/>
    </row>
    <row r="1140" spans="1:27" hidden="1">
      <c r="A1140" s="1">
        <v>9386899</v>
      </c>
      <c r="B1140" s="1" t="s">
        <v>1153</v>
      </c>
      <c r="C1140" t="s">
        <v>4137</v>
      </c>
      <c r="D1140" s="2">
        <v>230012987</v>
      </c>
      <c r="E1140" s="2">
        <v>1162001400010</v>
      </c>
      <c r="F1140" s="1" t="s">
        <v>936</v>
      </c>
      <c r="G1140" s="1" t="s">
        <v>53</v>
      </c>
      <c r="H1140" s="1" t="s">
        <v>280</v>
      </c>
      <c r="I1140" s="1" t="s">
        <v>281</v>
      </c>
      <c r="J1140" s="1" t="s">
        <v>211</v>
      </c>
      <c r="K1140" t="s">
        <v>937</v>
      </c>
      <c r="M1140" s="1" t="s">
        <v>58</v>
      </c>
      <c r="N1140" s="1">
        <v>0</v>
      </c>
      <c r="O1140" s="1" t="s">
        <v>36</v>
      </c>
      <c r="P1140" s="48">
        <v>44951.551388888889</v>
      </c>
      <c r="R1140" s="1">
        <v>3</v>
      </c>
      <c r="T1140" s="1" t="s">
        <v>646</v>
      </c>
      <c r="U1140" s="11" t="s">
        <v>4138</v>
      </c>
      <c r="V1140" s="1" t="s">
        <v>41</v>
      </c>
      <c r="W1140" s="1" t="s">
        <v>49</v>
      </c>
      <c r="X1140" s="13" t="str">
        <f t="shared" si="89"/>
        <v/>
      </c>
      <c r="Y1140" s="2">
        <f t="shared" ca="1" si="90"/>
        <v>26</v>
      </c>
      <c r="AA1140" s="14"/>
    </row>
    <row r="1141" spans="1:27" hidden="1">
      <c r="A1141" s="1">
        <v>9396912</v>
      </c>
      <c r="B1141" s="1" t="s">
        <v>62</v>
      </c>
      <c r="C1141" t="s">
        <v>2045</v>
      </c>
      <c r="D1141" s="2">
        <v>230014141</v>
      </c>
      <c r="E1141" s="2">
        <v>870001400020</v>
      </c>
      <c r="F1141" s="1" t="s">
        <v>1961</v>
      </c>
      <c r="G1141" s="1" t="s">
        <v>53</v>
      </c>
      <c r="H1141" s="1" t="s">
        <v>183</v>
      </c>
      <c r="I1141" s="1" t="s">
        <v>184</v>
      </c>
      <c r="J1141" s="1" t="s">
        <v>90</v>
      </c>
      <c r="K1141" t="s">
        <v>1962</v>
      </c>
      <c r="M1141" s="1" t="s">
        <v>58</v>
      </c>
      <c r="N1141" s="1">
        <v>0</v>
      </c>
      <c r="O1141" s="1" t="s">
        <v>36</v>
      </c>
      <c r="P1141" s="11" t="s">
        <v>2046</v>
      </c>
      <c r="R1141" s="1">
        <v>4</v>
      </c>
      <c r="T1141" s="1" t="s">
        <v>646</v>
      </c>
      <c r="U1141" s="11" t="s">
        <v>2047</v>
      </c>
      <c r="V1141" s="1" t="s">
        <v>41</v>
      </c>
      <c r="W1141" s="1" t="s">
        <v>49</v>
      </c>
      <c r="X1141" s="13" t="str">
        <f t="shared" si="89"/>
        <v/>
      </c>
      <c r="Y1141" s="2">
        <f t="shared" ca="1" si="90"/>
        <v>24</v>
      </c>
      <c r="AA1141" s="14"/>
    </row>
    <row r="1142" spans="1:27" hidden="1">
      <c r="A1142" s="1">
        <v>9396835</v>
      </c>
      <c r="B1142" s="1" t="s">
        <v>1153</v>
      </c>
      <c r="C1142" t="s">
        <v>4139</v>
      </c>
      <c r="D1142" s="2">
        <v>20231069000005</v>
      </c>
      <c r="E1142" s="2">
        <v>7417210950276</v>
      </c>
      <c r="F1142" s="1" t="s">
        <v>1213</v>
      </c>
      <c r="G1142" s="1" t="s">
        <v>53</v>
      </c>
      <c r="H1142" s="1" t="s">
        <v>2049</v>
      </c>
      <c r="I1142" s="1" t="s">
        <v>2050</v>
      </c>
      <c r="J1142" s="1" t="s">
        <v>211</v>
      </c>
      <c r="K1142" t="s">
        <v>1214</v>
      </c>
      <c r="M1142" s="1" t="s">
        <v>58</v>
      </c>
      <c r="N1142" s="1">
        <v>0</v>
      </c>
      <c r="O1142" s="1" t="s">
        <v>36</v>
      </c>
      <c r="P1142" s="48">
        <v>44953.631932870368</v>
      </c>
      <c r="R1142" s="1">
        <v>14</v>
      </c>
      <c r="T1142" s="1" t="s">
        <v>238</v>
      </c>
      <c r="U1142" s="11" t="s">
        <v>2051</v>
      </c>
      <c r="V1142" s="1" t="s">
        <v>41</v>
      </c>
      <c r="W1142" s="1" t="s">
        <v>49</v>
      </c>
      <c r="X1142" s="13" t="str">
        <f t="shared" si="89"/>
        <v>1069.91</v>
      </c>
      <c r="Y1142" s="2">
        <f t="shared" ca="1" si="90"/>
        <v>24</v>
      </c>
      <c r="AA1142" s="14"/>
    </row>
    <row r="1143" spans="1:27" hidden="1">
      <c r="A1143" s="1">
        <v>9395597</v>
      </c>
      <c r="B1143" s="1" t="s">
        <v>62</v>
      </c>
      <c r="C1143" t="s">
        <v>2055</v>
      </c>
      <c r="E1143" s="2">
        <v>9406000206001</v>
      </c>
      <c r="F1143" s="1" t="s">
        <v>29</v>
      </c>
      <c r="G1143" s="1" t="s">
        <v>53</v>
      </c>
      <c r="H1143" s="1" t="s">
        <v>114</v>
      </c>
      <c r="I1143" s="1" t="s">
        <v>115</v>
      </c>
      <c r="J1143" s="1" t="s">
        <v>46</v>
      </c>
      <c r="K1143" t="s">
        <v>34</v>
      </c>
      <c r="M1143" s="1" t="s">
        <v>35</v>
      </c>
      <c r="N1143" s="1">
        <v>42318949</v>
      </c>
      <c r="O1143" s="1" t="s">
        <v>105</v>
      </c>
      <c r="P1143" s="48">
        <v>44953.442708333336</v>
      </c>
      <c r="R1143" s="1" t="s">
        <v>38</v>
      </c>
      <c r="T1143" s="1" t="s">
        <v>74</v>
      </c>
      <c r="U1143" s="11" t="s">
        <v>2057</v>
      </c>
      <c r="V1143" s="1" t="s">
        <v>41</v>
      </c>
      <c r="W1143" s="1" t="s">
        <v>49</v>
      </c>
      <c r="X1143" s="13" t="str">
        <f t="shared" si="89"/>
        <v/>
      </c>
      <c r="Y1143" s="2">
        <f t="shared" ca="1" si="90"/>
        <v>24</v>
      </c>
      <c r="AA1143" s="14"/>
    </row>
    <row r="1144" spans="1:27" hidden="1">
      <c r="A1144" s="1">
        <v>9395595</v>
      </c>
      <c r="B1144" s="1" t="s">
        <v>62</v>
      </c>
      <c r="C1144" t="s">
        <v>2055</v>
      </c>
      <c r="E1144" s="2">
        <v>9406000206001</v>
      </c>
      <c r="F1144" s="1" t="s">
        <v>29</v>
      </c>
      <c r="G1144" s="1" t="s">
        <v>53</v>
      </c>
      <c r="H1144" s="1" t="s">
        <v>114</v>
      </c>
      <c r="I1144" s="1" t="s">
        <v>115</v>
      </c>
      <c r="J1144" s="1" t="s">
        <v>46</v>
      </c>
      <c r="K1144" t="s">
        <v>34</v>
      </c>
      <c r="M1144" s="1" t="s">
        <v>35</v>
      </c>
      <c r="N1144" s="1">
        <v>42318949</v>
      </c>
      <c r="O1144" s="1" t="s">
        <v>105</v>
      </c>
      <c r="P1144" s="48">
        <v>44953.442245370374</v>
      </c>
      <c r="R1144" s="1" t="s">
        <v>38</v>
      </c>
      <c r="T1144" s="1" t="s">
        <v>74</v>
      </c>
      <c r="U1144" s="11" t="s">
        <v>2057</v>
      </c>
      <c r="V1144" s="1" t="s">
        <v>41</v>
      </c>
      <c r="W1144" s="1" t="s">
        <v>49</v>
      </c>
      <c r="X1144" s="13" t="str">
        <f t="shared" si="89"/>
        <v/>
      </c>
      <c r="Y1144" s="2">
        <f t="shared" ca="1" si="90"/>
        <v>24</v>
      </c>
      <c r="AA1144" s="14"/>
    </row>
    <row r="1145" spans="1:27" hidden="1">
      <c r="A1145" s="1">
        <v>9395577</v>
      </c>
      <c r="B1145" s="1" t="s">
        <v>1153</v>
      </c>
      <c r="C1145" t="s">
        <v>2019</v>
      </c>
      <c r="D1145" s="2">
        <v>20234844000256</v>
      </c>
      <c r="E1145" s="2">
        <v>7419151140206</v>
      </c>
      <c r="F1145" s="1" t="s">
        <v>2058</v>
      </c>
      <c r="G1145" s="1" t="s">
        <v>53</v>
      </c>
      <c r="H1145" s="1" t="s">
        <v>2059</v>
      </c>
      <c r="I1145" s="1" t="s">
        <v>2060</v>
      </c>
      <c r="J1145" s="1" t="s">
        <v>46</v>
      </c>
      <c r="K1145" t="s">
        <v>2061</v>
      </c>
      <c r="M1145" s="1" t="s">
        <v>58</v>
      </c>
      <c r="N1145" s="1">
        <v>0</v>
      </c>
      <c r="O1145" s="1" t="s">
        <v>36</v>
      </c>
      <c r="P1145" s="48">
        <v>44953.430891203701</v>
      </c>
      <c r="R1145" s="1">
        <v>13</v>
      </c>
      <c r="T1145" s="1" t="s">
        <v>238</v>
      </c>
      <c r="U1145" s="11" t="s">
        <v>2062</v>
      </c>
      <c r="V1145" s="1" t="s">
        <v>41</v>
      </c>
      <c r="W1145" s="1" t="s">
        <v>49</v>
      </c>
      <c r="X1145" s="13" t="str">
        <f t="shared" si="89"/>
        <v>4844.35</v>
      </c>
      <c r="Y1145" s="2">
        <f t="shared" ca="1" si="90"/>
        <v>24</v>
      </c>
      <c r="AA1145" s="14"/>
    </row>
    <row r="1146" spans="1:27" hidden="1">
      <c r="A1146" s="1">
        <v>9395035</v>
      </c>
      <c r="B1146" s="1" t="s">
        <v>81</v>
      </c>
      <c r="C1146" t="s">
        <v>2063</v>
      </c>
      <c r="E1146" s="2">
        <v>7417163050344</v>
      </c>
      <c r="F1146" s="1" t="s">
        <v>1741</v>
      </c>
      <c r="G1146" s="1" t="s">
        <v>53</v>
      </c>
      <c r="H1146" s="1" t="s">
        <v>2064</v>
      </c>
      <c r="I1146" s="1" t="s">
        <v>2065</v>
      </c>
      <c r="J1146" s="1" t="s">
        <v>46</v>
      </c>
      <c r="K1146" t="s">
        <v>1744</v>
      </c>
      <c r="M1146" s="1" t="s">
        <v>58</v>
      </c>
      <c r="N1146" s="1">
        <v>0</v>
      </c>
      <c r="O1146" s="1" t="s">
        <v>105</v>
      </c>
      <c r="P1146" s="48">
        <v>44953.364340277774</v>
      </c>
      <c r="R1146" s="1">
        <v>14</v>
      </c>
      <c r="T1146" s="1" t="s">
        <v>238</v>
      </c>
      <c r="U1146" s="11" t="s">
        <v>2067</v>
      </c>
      <c r="V1146" s="1" t="s">
        <v>41</v>
      </c>
      <c r="W1146" s="1" t="s">
        <v>49</v>
      </c>
      <c r="X1146" s="13" t="str">
        <f t="shared" ref="X1146:X1209" si="91">IF(RIGHT(H1146,2)&lt;&gt;"00",H1146,"")</f>
        <v>2473.91</v>
      </c>
      <c r="Y1146" s="2">
        <f t="shared" ref="Y1146:Y1209" ca="1" si="92">NETWORKDAYS(P1146,$Y$1)</f>
        <v>24</v>
      </c>
      <c r="AA1146" s="14"/>
    </row>
    <row r="1147" spans="1:27" hidden="1">
      <c r="A1147" s="1">
        <v>9412308</v>
      </c>
      <c r="B1147" s="1" t="s">
        <v>1153</v>
      </c>
      <c r="C1147" t="s">
        <v>2095</v>
      </c>
      <c r="D1147" s="2">
        <v>230015317</v>
      </c>
      <c r="E1147" s="2">
        <v>2365001400030</v>
      </c>
      <c r="F1147" s="1" t="s">
        <v>647</v>
      </c>
      <c r="G1147" s="1" t="s">
        <v>53</v>
      </c>
      <c r="H1147" s="1" t="s">
        <v>159</v>
      </c>
      <c r="I1147" s="1" t="s">
        <v>160</v>
      </c>
      <c r="J1147" s="1" t="s">
        <v>46</v>
      </c>
      <c r="K1147" t="s">
        <v>650</v>
      </c>
      <c r="M1147" s="1" t="s">
        <v>58</v>
      </c>
      <c r="N1147" s="1">
        <v>0</v>
      </c>
      <c r="O1147" s="1" t="s">
        <v>36</v>
      </c>
      <c r="P1147" s="11" t="s">
        <v>3046</v>
      </c>
      <c r="R1147" s="1">
        <v>4</v>
      </c>
      <c r="T1147" s="1" t="s">
        <v>646</v>
      </c>
      <c r="U1147" s="186">
        <v>44965.645833333336</v>
      </c>
      <c r="V1147" s="1" t="s">
        <v>41</v>
      </c>
      <c r="W1147" s="1" t="s">
        <v>49</v>
      </c>
      <c r="X1147" s="13" t="str">
        <f t="shared" si="91"/>
        <v/>
      </c>
      <c r="Y1147" s="2">
        <f t="shared" ca="1" si="92"/>
        <v>22</v>
      </c>
      <c r="AA1147" s="14"/>
    </row>
    <row r="1148" spans="1:27" hidden="1">
      <c r="A1148" s="1">
        <v>9423924</v>
      </c>
      <c r="B1148" s="1" t="s">
        <v>101</v>
      </c>
      <c r="C1148" t="s">
        <v>643</v>
      </c>
      <c r="D1148" s="2">
        <v>230021340</v>
      </c>
      <c r="E1148" s="2">
        <v>1764001400040</v>
      </c>
      <c r="F1148" s="1" t="s">
        <v>644</v>
      </c>
      <c r="G1148" s="1" t="s">
        <v>53</v>
      </c>
      <c r="H1148" s="1" t="s">
        <v>722</v>
      </c>
      <c r="I1148" s="1" t="s">
        <v>723</v>
      </c>
      <c r="J1148" s="1" t="s">
        <v>90</v>
      </c>
      <c r="K1148" t="s">
        <v>645</v>
      </c>
      <c r="M1148" s="1" t="s">
        <v>58</v>
      </c>
      <c r="N1148" s="1">
        <v>0</v>
      </c>
      <c r="O1148" s="1" t="s">
        <v>105</v>
      </c>
      <c r="P1148" s="11" t="s">
        <v>2098</v>
      </c>
      <c r="R1148" s="1">
        <v>2</v>
      </c>
      <c r="T1148" s="1" t="s">
        <v>646</v>
      </c>
      <c r="U1148" s="11" t="s">
        <v>2099</v>
      </c>
      <c r="V1148" s="1" t="s">
        <v>41</v>
      </c>
      <c r="W1148" s="1" t="s">
        <v>49</v>
      </c>
      <c r="X1148" s="13" t="str">
        <f t="shared" si="91"/>
        <v/>
      </c>
      <c r="Y1148" s="2">
        <f t="shared" ca="1" si="92"/>
        <v>21</v>
      </c>
      <c r="AA1148" s="14"/>
    </row>
    <row r="1149" spans="1:27" hidden="1">
      <c r="A1149" s="1">
        <v>9423767</v>
      </c>
      <c r="B1149" s="1" t="s">
        <v>101</v>
      </c>
      <c r="C1149" t="s">
        <v>643</v>
      </c>
      <c r="D1149" s="2">
        <v>230020919</v>
      </c>
      <c r="E1149" s="2">
        <v>711001400040</v>
      </c>
      <c r="F1149" s="1" t="s">
        <v>644</v>
      </c>
      <c r="G1149" s="1" t="s">
        <v>53</v>
      </c>
      <c r="H1149" s="1" t="s">
        <v>77</v>
      </c>
      <c r="I1149" s="1" t="s">
        <v>78</v>
      </c>
      <c r="J1149" s="1" t="s">
        <v>79</v>
      </c>
      <c r="K1149" t="s">
        <v>645</v>
      </c>
      <c r="M1149" s="1" t="s">
        <v>58</v>
      </c>
      <c r="N1149" s="1">
        <v>0</v>
      </c>
      <c r="O1149" s="1" t="s">
        <v>105</v>
      </c>
      <c r="P1149" s="11" t="s">
        <v>2101</v>
      </c>
      <c r="R1149" s="1">
        <v>2</v>
      </c>
      <c r="T1149" s="1" t="s">
        <v>646</v>
      </c>
      <c r="U1149" s="11" t="s">
        <v>2102</v>
      </c>
      <c r="V1149" s="1" t="s">
        <v>41</v>
      </c>
      <c r="W1149" s="1" t="s">
        <v>49</v>
      </c>
      <c r="X1149" s="13" t="str">
        <f t="shared" si="91"/>
        <v/>
      </c>
      <c r="Y1149" s="2">
        <f t="shared" ca="1" si="92"/>
        <v>21</v>
      </c>
      <c r="AA1149" s="14"/>
    </row>
    <row r="1150" spans="1:27" hidden="1">
      <c r="A1150" s="1">
        <v>9423601</v>
      </c>
      <c r="B1150" s="1" t="s">
        <v>101</v>
      </c>
      <c r="C1150" t="s">
        <v>643</v>
      </c>
      <c r="D1150" s="2">
        <v>230020893</v>
      </c>
      <c r="E1150" s="2">
        <v>605001400040</v>
      </c>
      <c r="F1150" s="1" t="s">
        <v>644</v>
      </c>
      <c r="G1150" s="1" t="s">
        <v>53</v>
      </c>
      <c r="H1150" s="1" t="s">
        <v>420</v>
      </c>
      <c r="I1150" s="1" t="s">
        <v>421</v>
      </c>
      <c r="J1150" s="1" t="s">
        <v>90</v>
      </c>
      <c r="K1150" t="s">
        <v>645</v>
      </c>
      <c r="M1150" s="1" t="s">
        <v>58</v>
      </c>
      <c r="N1150" s="1">
        <v>0</v>
      </c>
      <c r="O1150" s="1" t="s">
        <v>105</v>
      </c>
      <c r="P1150" s="11" t="s">
        <v>2103</v>
      </c>
      <c r="R1150" s="1">
        <v>3</v>
      </c>
      <c r="T1150" s="1" t="s">
        <v>646</v>
      </c>
      <c r="U1150" s="11" t="s">
        <v>2104</v>
      </c>
      <c r="V1150" s="1" t="s">
        <v>41</v>
      </c>
      <c r="W1150" s="1" t="s">
        <v>49</v>
      </c>
      <c r="X1150" s="13" t="str">
        <f t="shared" si="91"/>
        <v/>
      </c>
      <c r="Y1150" s="2">
        <f t="shared" ca="1" si="92"/>
        <v>21</v>
      </c>
      <c r="AA1150" s="14"/>
    </row>
    <row r="1151" spans="1:27" hidden="1">
      <c r="A1151" s="1">
        <v>9423596</v>
      </c>
      <c r="B1151" s="1" t="s">
        <v>101</v>
      </c>
      <c r="C1151" t="s">
        <v>643</v>
      </c>
      <c r="D1151" s="2">
        <v>230020890</v>
      </c>
      <c r="E1151" s="2">
        <v>600001400040</v>
      </c>
      <c r="F1151" s="1" t="s">
        <v>644</v>
      </c>
      <c r="G1151" s="1" t="s">
        <v>53</v>
      </c>
      <c r="H1151" s="1" t="s">
        <v>1084</v>
      </c>
      <c r="I1151" s="1" t="s">
        <v>1085</v>
      </c>
      <c r="J1151" s="1" t="s">
        <v>90</v>
      </c>
      <c r="K1151" t="s">
        <v>645</v>
      </c>
      <c r="M1151" s="1" t="s">
        <v>58</v>
      </c>
      <c r="N1151" s="1">
        <v>0</v>
      </c>
      <c r="O1151" s="1" t="s">
        <v>105</v>
      </c>
      <c r="P1151" s="11" t="s">
        <v>2105</v>
      </c>
      <c r="R1151" s="1">
        <v>2</v>
      </c>
      <c r="T1151" s="1" t="s">
        <v>646</v>
      </c>
      <c r="U1151" s="11" t="s">
        <v>3049</v>
      </c>
      <c r="V1151" s="1" t="s">
        <v>41</v>
      </c>
      <c r="W1151" s="1" t="s">
        <v>49</v>
      </c>
      <c r="X1151" s="13" t="str">
        <f t="shared" si="91"/>
        <v/>
      </c>
      <c r="Y1151" s="2">
        <f t="shared" ca="1" si="92"/>
        <v>21</v>
      </c>
      <c r="AA1151" s="14"/>
    </row>
    <row r="1152" spans="1:27" hidden="1">
      <c r="A1152" s="1">
        <v>9423511</v>
      </c>
      <c r="B1152" s="1" t="s">
        <v>1153</v>
      </c>
      <c r="C1152" t="s">
        <v>2110</v>
      </c>
      <c r="D1152" s="2">
        <v>230022801</v>
      </c>
      <c r="E1152" s="2">
        <v>3250001400030</v>
      </c>
      <c r="F1152" s="1" t="s">
        <v>647</v>
      </c>
      <c r="G1152" s="1" t="s">
        <v>53</v>
      </c>
      <c r="H1152" s="1" t="s">
        <v>371</v>
      </c>
      <c r="I1152" s="1" t="s">
        <v>372</v>
      </c>
      <c r="J1152" s="1" t="s">
        <v>46</v>
      </c>
      <c r="K1152" t="s">
        <v>650</v>
      </c>
      <c r="M1152" s="1" t="s">
        <v>58</v>
      </c>
      <c r="N1152" s="1">
        <v>0</v>
      </c>
      <c r="O1152" s="1" t="s">
        <v>36</v>
      </c>
      <c r="P1152" s="11" t="s">
        <v>2111</v>
      </c>
      <c r="R1152" s="1">
        <v>4</v>
      </c>
      <c r="T1152" s="1" t="s">
        <v>646</v>
      </c>
      <c r="U1152" s="11" t="s">
        <v>2112</v>
      </c>
      <c r="V1152" s="1" t="s">
        <v>41</v>
      </c>
      <c r="W1152" s="1" t="s">
        <v>49</v>
      </c>
      <c r="X1152" s="13" t="str">
        <f t="shared" si="91"/>
        <v/>
      </c>
      <c r="Y1152" s="2">
        <f t="shared" ca="1" si="92"/>
        <v>21</v>
      </c>
      <c r="AA1152" s="14"/>
    </row>
    <row r="1153" spans="1:27" hidden="1">
      <c r="A1153" s="1">
        <v>9423443</v>
      </c>
      <c r="B1153" s="1" t="s">
        <v>101</v>
      </c>
      <c r="C1153" t="s">
        <v>643</v>
      </c>
      <c r="D1153" s="2">
        <v>230021326</v>
      </c>
      <c r="E1153" s="2">
        <v>1739001400040</v>
      </c>
      <c r="F1153" s="1" t="s">
        <v>644</v>
      </c>
      <c r="G1153" s="1" t="s">
        <v>53</v>
      </c>
      <c r="H1153" s="1" t="s">
        <v>162</v>
      </c>
      <c r="I1153" s="1" t="s">
        <v>163</v>
      </c>
      <c r="J1153" s="1" t="s">
        <v>164</v>
      </c>
      <c r="K1153" t="s">
        <v>645</v>
      </c>
      <c r="M1153" s="1" t="s">
        <v>58</v>
      </c>
      <c r="N1153" s="1">
        <v>0</v>
      </c>
      <c r="O1153" s="1" t="s">
        <v>105</v>
      </c>
      <c r="P1153" s="11" t="s">
        <v>2113</v>
      </c>
      <c r="R1153" s="1">
        <v>3</v>
      </c>
      <c r="T1153" s="1" t="s">
        <v>646</v>
      </c>
      <c r="U1153" s="186">
        <v>44959.714675925927</v>
      </c>
      <c r="V1153" s="1" t="s">
        <v>41</v>
      </c>
      <c r="W1153" s="1" t="s">
        <v>49</v>
      </c>
      <c r="X1153" s="13" t="str">
        <f t="shared" si="91"/>
        <v/>
      </c>
      <c r="Y1153" s="2">
        <f t="shared" ca="1" si="92"/>
        <v>21</v>
      </c>
      <c r="AA1153" s="14"/>
    </row>
    <row r="1154" spans="1:27" hidden="1">
      <c r="A1154" s="1">
        <v>9423416</v>
      </c>
      <c r="B1154" s="1" t="s">
        <v>101</v>
      </c>
      <c r="C1154" t="s">
        <v>643</v>
      </c>
      <c r="D1154" s="2">
        <v>230021315</v>
      </c>
      <c r="E1154" s="2">
        <v>1710001400040</v>
      </c>
      <c r="F1154" s="1" t="s">
        <v>644</v>
      </c>
      <c r="G1154" s="1" t="s">
        <v>53</v>
      </c>
      <c r="H1154" s="1" t="s">
        <v>327</v>
      </c>
      <c r="I1154" s="1" t="s">
        <v>328</v>
      </c>
      <c r="J1154" s="1" t="s">
        <v>261</v>
      </c>
      <c r="K1154" t="s">
        <v>645</v>
      </c>
      <c r="M1154" s="1" t="s">
        <v>58</v>
      </c>
      <c r="N1154" s="1">
        <v>0</v>
      </c>
      <c r="O1154" s="1" t="s">
        <v>105</v>
      </c>
      <c r="P1154" s="11" t="s">
        <v>2115</v>
      </c>
      <c r="R1154" s="1">
        <v>2</v>
      </c>
      <c r="T1154" s="1" t="s">
        <v>646</v>
      </c>
      <c r="U1154" s="11" t="s">
        <v>2116</v>
      </c>
      <c r="V1154" s="1" t="s">
        <v>41</v>
      </c>
      <c r="W1154" s="1" t="s">
        <v>49</v>
      </c>
      <c r="X1154" s="13" t="str">
        <f t="shared" si="91"/>
        <v/>
      </c>
      <c r="Y1154" s="2">
        <f t="shared" ca="1" si="92"/>
        <v>21</v>
      </c>
      <c r="AA1154" s="14"/>
    </row>
    <row r="1155" spans="1:27" hidden="1">
      <c r="A1155" s="1">
        <v>9423359</v>
      </c>
      <c r="B1155" s="1" t="s">
        <v>101</v>
      </c>
      <c r="C1155" t="s">
        <v>643</v>
      </c>
      <c r="D1155" s="2">
        <v>230021290</v>
      </c>
      <c r="E1155" s="2">
        <v>1650001400040</v>
      </c>
      <c r="F1155" s="1" t="s">
        <v>644</v>
      </c>
      <c r="G1155" s="1" t="s">
        <v>53</v>
      </c>
      <c r="H1155" s="1" t="s">
        <v>620</v>
      </c>
      <c r="I1155" s="1" t="s">
        <v>621</v>
      </c>
      <c r="J1155" s="1" t="s">
        <v>141</v>
      </c>
      <c r="K1155" t="s">
        <v>645</v>
      </c>
      <c r="M1155" s="1" t="s">
        <v>58</v>
      </c>
      <c r="N1155" s="1">
        <v>0</v>
      </c>
      <c r="O1155" s="1" t="s">
        <v>105</v>
      </c>
      <c r="P1155" s="11" t="s">
        <v>2120</v>
      </c>
      <c r="R1155" s="1">
        <v>2</v>
      </c>
      <c r="T1155" s="1" t="s">
        <v>646</v>
      </c>
      <c r="U1155" s="11" t="s">
        <v>2121</v>
      </c>
      <c r="V1155" s="1" t="s">
        <v>41</v>
      </c>
      <c r="W1155" s="1" t="s">
        <v>49</v>
      </c>
      <c r="X1155" s="13" t="str">
        <f t="shared" si="91"/>
        <v/>
      </c>
      <c r="Y1155" s="2">
        <f t="shared" ca="1" si="92"/>
        <v>21</v>
      </c>
      <c r="AA1155" s="14"/>
    </row>
    <row r="1156" spans="1:27" hidden="1">
      <c r="A1156" s="1">
        <v>9422866</v>
      </c>
      <c r="B1156" s="1" t="s">
        <v>101</v>
      </c>
      <c r="C1156" t="s">
        <v>643</v>
      </c>
      <c r="D1156" s="2">
        <v>230019683</v>
      </c>
      <c r="E1156" s="2">
        <v>2069001400030</v>
      </c>
      <c r="F1156" s="1" t="s">
        <v>647</v>
      </c>
      <c r="G1156" s="1" t="s">
        <v>53</v>
      </c>
      <c r="H1156" s="1" t="s">
        <v>557</v>
      </c>
      <c r="I1156" s="1" t="s">
        <v>558</v>
      </c>
      <c r="J1156" s="1" t="s">
        <v>90</v>
      </c>
      <c r="K1156" t="s">
        <v>650</v>
      </c>
      <c r="M1156" s="1" t="s">
        <v>58</v>
      </c>
      <c r="N1156" s="1">
        <v>0</v>
      </c>
      <c r="O1156" s="1" t="s">
        <v>105</v>
      </c>
      <c r="P1156" s="11" t="s">
        <v>2128</v>
      </c>
      <c r="R1156" s="1">
        <v>4</v>
      </c>
      <c r="T1156" s="1" t="s">
        <v>646</v>
      </c>
      <c r="U1156" s="11" t="s">
        <v>2129</v>
      </c>
      <c r="V1156" s="1" t="s">
        <v>41</v>
      </c>
      <c r="W1156" s="1" t="s">
        <v>49</v>
      </c>
      <c r="X1156" s="13" t="str">
        <f t="shared" si="91"/>
        <v/>
      </c>
      <c r="Y1156" s="2">
        <f t="shared" ca="1" si="92"/>
        <v>21</v>
      </c>
      <c r="AA1156" s="14"/>
    </row>
    <row r="1157" spans="1:27" hidden="1">
      <c r="A1157" s="1">
        <v>9422511</v>
      </c>
      <c r="B1157" s="1" t="s">
        <v>101</v>
      </c>
      <c r="C1157" t="s">
        <v>643</v>
      </c>
      <c r="D1157" s="2">
        <v>230019646</v>
      </c>
      <c r="E1157" s="2">
        <v>1838001400030</v>
      </c>
      <c r="F1157" s="1" t="s">
        <v>647</v>
      </c>
      <c r="G1157" s="1" t="s">
        <v>53</v>
      </c>
      <c r="H1157" s="1" t="s">
        <v>357</v>
      </c>
      <c r="I1157" s="1" t="s">
        <v>358</v>
      </c>
      <c r="J1157" s="1" t="s">
        <v>46</v>
      </c>
      <c r="K1157" t="s">
        <v>650</v>
      </c>
      <c r="M1157" s="1" t="s">
        <v>58</v>
      </c>
      <c r="N1157" s="1">
        <v>0</v>
      </c>
      <c r="O1157" s="1" t="s">
        <v>105</v>
      </c>
      <c r="P1157" s="11" t="s">
        <v>2134</v>
      </c>
      <c r="R1157" s="1">
        <v>4</v>
      </c>
      <c r="T1157" s="1" t="s">
        <v>646</v>
      </c>
      <c r="U1157" s="11" t="s">
        <v>2135</v>
      </c>
      <c r="V1157" s="1" t="s">
        <v>41</v>
      </c>
      <c r="W1157" s="1" t="s">
        <v>49</v>
      </c>
      <c r="X1157" s="13" t="str">
        <f t="shared" si="91"/>
        <v/>
      </c>
      <c r="Y1157" s="2">
        <f t="shared" ca="1" si="92"/>
        <v>21</v>
      </c>
      <c r="AA1157" s="14"/>
    </row>
    <row r="1158" spans="1:27" hidden="1">
      <c r="A1158" s="1">
        <v>9422510</v>
      </c>
      <c r="B1158" s="1" t="s">
        <v>101</v>
      </c>
      <c r="C1158" t="s">
        <v>643</v>
      </c>
      <c r="D1158" s="2">
        <v>230019645</v>
      </c>
      <c r="E1158" s="2">
        <v>1837001400030</v>
      </c>
      <c r="F1158" s="1" t="s">
        <v>647</v>
      </c>
      <c r="G1158" s="1" t="s">
        <v>53</v>
      </c>
      <c r="H1158" s="1" t="s">
        <v>1785</v>
      </c>
      <c r="I1158" s="1" t="s">
        <v>1786</v>
      </c>
      <c r="J1158" s="1" t="s">
        <v>46</v>
      </c>
      <c r="K1158" t="s">
        <v>650</v>
      </c>
      <c r="M1158" s="1" t="s">
        <v>58</v>
      </c>
      <c r="N1158" s="1">
        <v>0</v>
      </c>
      <c r="O1158" s="1" t="s">
        <v>105</v>
      </c>
      <c r="P1158" s="11" t="s">
        <v>2136</v>
      </c>
      <c r="R1158" s="1">
        <v>4</v>
      </c>
      <c r="T1158" s="1" t="s">
        <v>646</v>
      </c>
      <c r="U1158" s="11" t="s">
        <v>2137</v>
      </c>
      <c r="V1158" s="1" t="s">
        <v>41</v>
      </c>
      <c r="W1158" s="1" t="s">
        <v>49</v>
      </c>
      <c r="X1158" s="13" t="str">
        <f t="shared" si="91"/>
        <v/>
      </c>
      <c r="Y1158" s="2">
        <f t="shared" ca="1" si="92"/>
        <v>21</v>
      </c>
      <c r="AA1158" s="14"/>
    </row>
    <row r="1159" spans="1:27" hidden="1">
      <c r="A1159" s="1">
        <v>9422508</v>
      </c>
      <c r="B1159" s="1" t="s">
        <v>101</v>
      </c>
      <c r="C1159" t="s">
        <v>643</v>
      </c>
      <c r="D1159" s="2">
        <v>230019643</v>
      </c>
      <c r="E1159" s="2">
        <v>1835001400030</v>
      </c>
      <c r="F1159" s="1" t="s">
        <v>647</v>
      </c>
      <c r="G1159" s="1" t="s">
        <v>53</v>
      </c>
      <c r="H1159" s="1" t="s">
        <v>305</v>
      </c>
      <c r="I1159" s="1" t="s">
        <v>306</v>
      </c>
      <c r="J1159" s="1" t="s">
        <v>46</v>
      </c>
      <c r="K1159" t="s">
        <v>650</v>
      </c>
      <c r="M1159" s="1" t="s">
        <v>58</v>
      </c>
      <c r="N1159" s="1">
        <v>0</v>
      </c>
      <c r="O1159" s="1" t="s">
        <v>105</v>
      </c>
      <c r="P1159" s="186">
        <v>44958.63521990741</v>
      </c>
      <c r="R1159" s="1">
        <v>4</v>
      </c>
      <c r="T1159" s="1" t="s">
        <v>646</v>
      </c>
      <c r="U1159" s="186">
        <v>44959.63521990741</v>
      </c>
      <c r="V1159" s="1" t="s">
        <v>41</v>
      </c>
      <c r="W1159" s="1" t="s">
        <v>49</v>
      </c>
      <c r="X1159" s="13" t="str">
        <f t="shared" si="91"/>
        <v/>
      </c>
      <c r="Y1159" s="2">
        <f t="shared" ca="1" si="92"/>
        <v>21</v>
      </c>
      <c r="AA1159" s="14"/>
    </row>
    <row r="1160" spans="1:27" hidden="1">
      <c r="A1160" s="1">
        <v>9422506</v>
      </c>
      <c r="B1160" s="1" t="s">
        <v>101</v>
      </c>
      <c r="C1160" t="s">
        <v>643</v>
      </c>
      <c r="D1160" s="2">
        <v>230019641</v>
      </c>
      <c r="E1160" s="2">
        <v>1833001400030</v>
      </c>
      <c r="F1160" s="1" t="s">
        <v>647</v>
      </c>
      <c r="G1160" s="1" t="s">
        <v>53</v>
      </c>
      <c r="H1160" s="1" t="s">
        <v>369</v>
      </c>
      <c r="I1160" s="1" t="s">
        <v>370</v>
      </c>
      <c r="J1160" s="1" t="s">
        <v>46</v>
      </c>
      <c r="K1160" t="s">
        <v>650</v>
      </c>
      <c r="M1160" s="1" t="s">
        <v>58</v>
      </c>
      <c r="N1160" s="1">
        <v>0</v>
      </c>
      <c r="O1160" s="1" t="s">
        <v>105</v>
      </c>
      <c r="P1160" s="186">
        <v>44958.635034722225</v>
      </c>
      <c r="R1160" s="1">
        <v>4</v>
      </c>
      <c r="T1160" s="1" t="s">
        <v>646</v>
      </c>
      <c r="U1160" s="186">
        <v>44959.635034722225</v>
      </c>
      <c r="V1160" s="1" t="s">
        <v>41</v>
      </c>
      <c r="W1160" s="1" t="s">
        <v>49</v>
      </c>
      <c r="X1160" s="13" t="str">
        <f t="shared" si="91"/>
        <v/>
      </c>
      <c r="Y1160" s="2">
        <f t="shared" ca="1" si="92"/>
        <v>21</v>
      </c>
      <c r="AA1160" s="14"/>
    </row>
    <row r="1161" spans="1:27" hidden="1">
      <c r="A1161" s="1">
        <v>9422497</v>
      </c>
      <c r="B1161" s="1" t="s">
        <v>101</v>
      </c>
      <c r="C1161" t="s">
        <v>643</v>
      </c>
      <c r="D1161" s="2">
        <v>230019632</v>
      </c>
      <c r="E1161" s="2">
        <v>1814001400030</v>
      </c>
      <c r="F1161" s="1" t="s">
        <v>647</v>
      </c>
      <c r="G1161" s="1" t="s">
        <v>53</v>
      </c>
      <c r="H1161" s="1" t="s">
        <v>396</v>
      </c>
      <c r="I1161" s="1" t="s">
        <v>397</v>
      </c>
      <c r="J1161" s="1" t="s">
        <v>46</v>
      </c>
      <c r="K1161" t="s">
        <v>650</v>
      </c>
      <c r="M1161" s="1" t="s">
        <v>58</v>
      </c>
      <c r="N1161" s="1">
        <v>0</v>
      </c>
      <c r="O1161" s="1" t="s">
        <v>105</v>
      </c>
      <c r="P1161" s="186">
        <v>44958.634293981479</v>
      </c>
      <c r="R1161" s="1">
        <v>4</v>
      </c>
      <c r="T1161" s="1" t="s">
        <v>646</v>
      </c>
      <c r="U1161" s="186">
        <v>44959.634293981479</v>
      </c>
      <c r="V1161" s="1" t="s">
        <v>41</v>
      </c>
      <c r="W1161" s="1" t="s">
        <v>49</v>
      </c>
      <c r="X1161" s="13" t="str">
        <f t="shared" si="91"/>
        <v/>
      </c>
      <c r="Y1161" s="2">
        <f t="shared" ca="1" si="92"/>
        <v>21</v>
      </c>
      <c r="AA1161" s="14"/>
    </row>
    <row r="1162" spans="1:27" hidden="1">
      <c r="A1162" s="1">
        <v>9422255</v>
      </c>
      <c r="B1162" s="1" t="s">
        <v>101</v>
      </c>
      <c r="C1162" t="s">
        <v>643</v>
      </c>
      <c r="D1162" s="2">
        <v>230018197</v>
      </c>
      <c r="E1162" s="2">
        <v>2257001400010</v>
      </c>
      <c r="F1162" s="1" t="s">
        <v>936</v>
      </c>
      <c r="G1162" s="1" t="s">
        <v>53</v>
      </c>
      <c r="H1162" s="1" t="s">
        <v>381</v>
      </c>
      <c r="I1162" s="1" t="s">
        <v>382</v>
      </c>
      <c r="J1162" s="1" t="s">
        <v>110</v>
      </c>
      <c r="K1162" t="s">
        <v>937</v>
      </c>
      <c r="M1162" s="1" t="s">
        <v>58</v>
      </c>
      <c r="N1162" s="1">
        <v>0</v>
      </c>
      <c r="O1162" s="1" t="s">
        <v>105</v>
      </c>
      <c r="P1162" s="186">
        <v>44958.616932870369</v>
      </c>
      <c r="R1162" s="1">
        <v>3</v>
      </c>
      <c r="T1162" s="1" t="s">
        <v>646</v>
      </c>
      <c r="U1162" s="186">
        <v>44959.616932870369</v>
      </c>
      <c r="V1162" s="1" t="s">
        <v>41</v>
      </c>
      <c r="W1162" s="1" t="s">
        <v>49</v>
      </c>
      <c r="X1162" s="13" t="str">
        <f t="shared" si="91"/>
        <v/>
      </c>
      <c r="Y1162" s="2">
        <f t="shared" ca="1" si="92"/>
        <v>21</v>
      </c>
      <c r="AA1162" s="14"/>
    </row>
    <row r="1163" spans="1:27" hidden="1">
      <c r="A1163" s="1">
        <v>9422243</v>
      </c>
      <c r="B1163" s="1" t="s">
        <v>101</v>
      </c>
      <c r="C1163" t="s">
        <v>643</v>
      </c>
      <c r="D1163" s="2">
        <v>230017788</v>
      </c>
      <c r="E1163" s="2">
        <v>1153001400010</v>
      </c>
      <c r="F1163" s="1" t="s">
        <v>936</v>
      </c>
      <c r="G1163" s="1" t="s">
        <v>53</v>
      </c>
      <c r="H1163" s="1" t="s">
        <v>1031</v>
      </c>
      <c r="I1163" s="1" t="s">
        <v>1032</v>
      </c>
      <c r="J1163" s="1" t="s">
        <v>79</v>
      </c>
      <c r="K1163" t="s">
        <v>937</v>
      </c>
      <c r="M1163" s="1" t="s">
        <v>58</v>
      </c>
      <c r="N1163" s="1">
        <v>0</v>
      </c>
      <c r="O1163" s="1" t="s">
        <v>105</v>
      </c>
      <c r="P1163" s="186">
        <v>44958.615856481483</v>
      </c>
      <c r="R1163" s="1">
        <v>3</v>
      </c>
      <c r="T1163" s="1" t="s">
        <v>646</v>
      </c>
      <c r="U1163" s="186">
        <v>44959.615856481483</v>
      </c>
      <c r="V1163" s="1" t="s">
        <v>41</v>
      </c>
      <c r="W1163" s="1" t="s">
        <v>49</v>
      </c>
      <c r="X1163" s="13" t="str">
        <f t="shared" si="91"/>
        <v/>
      </c>
      <c r="Y1163" s="2">
        <f t="shared" ca="1" si="92"/>
        <v>21</v>
      </c>
      <c r="AA1163" s="14"/>
    </row>
    <row r="1164" spans="1:27" hidden="1">
      <c r="A1164" s="1">
        <v>9422222</v>
      </c>
      <c r="B1164" s="1" t="s">
        <v>101</v>
      </c>
      <c r="C1164" t="s">
        <v>643</v>
      </c>
      <c r="D1164" s="2">
        <v>230021493</v>
      </c>
      <c r="E1164" s="2">
        <v>2257001400040</v>
      </c>
      <c r="F1164" s="1" t="s">
        <v>644</v>
      </c>
      <c r="G1164" s="1" t="s">
        <v>53</v>
      </c>
      <c r="H1164" s="1" t="s">
        <v>381</v>
      </c>
      <c r="I1164" s="1" t="s">
        <v>382</v>
      </c>
      <c r="J1164" s="1" t="s">
        <v>110</v>
      </c>
      <c r="K1164" t="s">
        <v>645</v>
      </c>
      <c r="M1164" s="1" t="s">
        <v>58</v>
      </c>
      <c r="N1164" s="1">
        <v>0</v>
      </c>
      <c r="O1164" s="1" t="s">
        <v>105</v>
      </c>
      <c r="P1164" s="186">
        <v>44958.614039351851</v>
      </c>
      <c r="R1164" s="1">
        <v>3</v>
      </c>
      <c r="T1164" s="1" t="s">
        <v>646</v>
      </c>
      <c r="U1164" s="186">
        <v>44959.614039351851</v>
      </c>
      <c r="V1164" s="1" t="s">
        <v>41</v>
      </c>
      <c r="W1164" s="1" t="s">
        <v>49</v>
      </c>
      <c r="X1164" s="13" t="str">
        <f t="shared" si="91"/>
        <v/>
      </c>
      <c r="Y1164" s="2">
        <f t="shared" ca="1" si="92"/>
        <v>21</v>
      </c>
      <c r="AA1164" s="14"/>
    </row>
    <row r="1165" spans="1:27" hidden="1">
      <c r="A1165" s="1">
        <v>9422108</v>
      </c>
      <c r="B1165" s="1" t="s">
        <v>101</v>
      </c>
      <c r="C1165" t="s">
        <v>643</v>
      </c>
      <c r="D1165" s="2">
        <v>230021478</v>
      </c>
      <c r="E1165" s="2">
        <v>2229001400040</v>
      </c>
      <c r="F1165" s="1" t="s">
        <v>644</v>
      </c>
      <c r="G1165" s="1" t="s">
        <v>53</v>
      </c>
      <c r="H1165" s="1" t="s">
        <v>339</v>
      </c>
      <c r="I1165" s="1" t="s">
        <v>340</v>
      </c>
      <c r="J1165" s="1" t="s">
        <v>211</v>
      </c>
      <c r="K1165" t="s">
        <v>645</v>
      </c>
      <c r="M1165" s="1" t="s">
        <v>58</v>
      </c>
      <c r="N1165" s="1">
        <v>0</v>
      </c>
      <c r="O1165" s="1" t="s">
        <v>105</v>
      </c>
      <c r="P1165" s="186">
        <v>44958.606736111113</v>
      </c>
      <c r="R1165" s="1">
        <v>2</v>
      </c>
      <c r="T1165" s="1" t="s">
        <v>646</v>
      </c>
      <c r="U1165" s="186">
        <v>44959.606736111113</v>
      </c>
      <c r="V1165" s="1" t="s">
        <v>41</v>
      </c>
      <c r="W1165" s="1" t="s">
        <v>49</v>
      </c>
      <c r="X1165" s="13" t="str">
        <f t="shared" si="91"/>
        <v/>
      </c>
      <c r="Y1165" s="2">
        <f t="shared" ca="1" si="92"/>
        <v>21</v>
      </c>
      <c r="AA1165" s="14"/>
    </row>
    <row r="1166" spans="1:27" hidden="1">
      <c r="A1166" s="1">
        <v>9421550</v>
      </c>
      <c r="B1166" s="1" t="s">
        <v>101</v>
      </c>
      <c r="C1166" t="s">
        <v>643</v>
      </c>
      <c r="D1166" s="2">
        <v>230019696</v>
      </c>
      <c r="E1166" s="2">
        <v>2107001400030</v>
      </c>
      <c r="F1166" s="1" t="s">
        <v>647</v>
      </c>
      <c r="G1166" s="1" t="s">
        <v>53</v>
      </c>
      <c r="H1166" s="1" t="s">
        <v>262</v>
      </c>
      <c r="I1166" s="1" t="s">
        <v>263</v>
      </c>
      <c r="J1166" s="1" t="s">
        <v>164</v>
      </c>
      <c r="K1166" t="s">
        <v>650</v>
      </c>
      <c r="M1166" s="1" t="s">
        <v>58</v>
      </c>
      <c r="N1166" s="1">
        <v>0</v>
      </c>
      <c r="O1166" s="1" t="s">
        <v>105</v>
      </c>
      <c r="P1166" s="186">
        <v>44958.571956018517</v>
      </c>
      <c r="R1166" s="1">
        <v>4</v>
      </c>
      <c r="T1166" s="1" t="s">
        <v>646</v>
      </c>
      <c r="U1166" s="186">
        <v>44959.571967592594</v>
      </c>
      <c r="V1166" s="1" t="s">
        <v>41</v>
      </c>
      <c r="W1166" s="1" t="s">
        <v>49</v>
      </c>
      <c r="X1166" s="13" t="str">
        <f t="shared" si="91"/>
        <v/>
      </c>
      <c r="Y1166" s="2">
        <f t="shared" ca="1" si="92"/>
        <v>21</v>
      </c>
      <c r="AA1166" s="14"/>
    </row>
    <row r="1167" spans="1:27" hidden="1">
      <c r="A1167" s="1">
        <v>9421489</v>
      </c>
      <c r="B1167" s="1" t="s">
        <v>101</v>
      </c>
      <c r="C1167" t="s">
        <v>643</v>
      </c>
      <c r="D1167" s="2">
        <v>230021042</v>
      </c>
      <c r="E1167" s="2">
        <v>1028001400040</v>
      </c>
      <c r="F1167" s="1" t="s">
        <v>644</v>
      </c>
      <c r="G1167" s="1" t="s">
        <v>53</v>
      </c>
      <c r="H1167" s="1" t="s">
        <v>1079</v>
      </c>
      <c r="I1167" s="1" t="s">
        <v>1080</v>
      </c>
      <c r="J1167" s="1" t="s">
        <v>85</v>
      </c>
      <c r="K1167" t="s">
        <v>645</v>
      </c>
      <c r="M1167" s="1" t="s">
        <v>58</v>
      </c>
      <c r="N1167" s="1">
        <v>0</v>
      </c>
      <c r="O1167" s="1" t="s">
        <v>105</v>
      </c>
      <c r="P1167" s="186">
        <v>44958.567847222221</v>
      </c>
      <c r="R1167" s="1">
        <v>3</v>
      </c>
      <c r="T1167" s="1" t="s">
        <v>646</v>
      </c>
      <c r="U1167" s="186">
        <v>44959.567847222221</v>
      </c>
      <c r="V1167" s="1" t="s">
        <v>41</v>
      </c>
      <c r="W1167" s="1" t="s">
        <v>49</v>
      </c>
      <c r="X1167" s="13" t="str">
        <f t="shared" si="91"/>
        <v/>
      </c>
      <c r="Y1167" s="2">
        <f t="shared" ca="1" si="92"/>
        <v>21</v>
      </c>
      <c r="AA1167" s="14"/>
    </row>
    <row r="1168" spans="1:27" hidden="1">
      <c r="A1168" s="1">
        <v>9421441</v>
      </c>
      <c r="B1168" s="1" t="s">
        <v>101</v>
      </c>
      <c r="C1168" t="s">
        <v>643</v>
      </c>
      <c r="D1168" s="2">
        <v>230019840</v>
      </c>
      <c r="E1168" s="2">
        <v>2422001400030</v>
      </c>
      <c r="F1168" s="1" t="s">
        <v>647</v>
      </c>
      <c r="G1168" s="1" t="s">
        <v>53</v>
      </c>
      <c r="H1168" s="1" t="s">
        <v>1844</v>
      </c>
      <c r="I1168" s="1" t="s">
        <v>1845</v>
      </c>
      <c r="J1168" s="1" t="s">
        <v>211</v>
      </c>
      <c r="K1168" t="s">
        <v>650</v>
      </c>
      <c r="M1168" s="1" t="s">
        <v>58</v>
      </c>
      <c r="N1168" s="1">
        <v>0</v>
      </c>
      <c r="O1168" s="1" t="s">
        <v>105</v>
      </c>
      <c r="P1168" s="186">
        <v>44958.565127314818</v>
      </c>
      <c r="R1168" s="1">
        <v>4</v>
      </c>
      <c r="T1168" s="1" t="s">
        <v>646</v>
      </c>
      <c r="U1168" s="186">
        <v>44959.565127314818</v>
      </c>
      <c r="V1168" s="1" t="s">
        <v>41</v>
      </c>
      <c r="W1168" s="1" t="s">
        <v>49</v>
      </c>
      <c r="X1168" s="13" t="str">
        <f t="shared" si="91"/>
        <v/>
      </c>
      <c r="Y1168" s="2">
        <f t="shared" ca="1" si="92"/>
        <v>21</v>
      </c>
      <c r="AA1168" s="14"/>
    </row>
    <row r="1169" spans="1:27" hidden="1">
      <c r="A1169" s="1">
        <v>9421337</v>
      </c>
      <c r="B1169" s="1" t="s">
        <v>101</v>
      </c>
      <c r="C1169" t="s">
        <v>643</v>
      </c>
      <c r="D1169" s="2">
        <v>230021014</v>
      </c>
      <c r="E1169" s="2">
        <v>963001400040</v>
      </c>
      <c r="F1169" s="1" t="s">
        <v>644</v>
      </c>
      <c r="G1169" s="1" t="s">
        <v>53</v>
      </c>
      <c r="H1169" s="1" t="s">
        <v>531</v>
      </c>
      <c r="I1169" s="1" t="s">
        <v>532</v>
      </c>
      <c r="J1169" s="1" t="s">
        <v>33</v>
      </c>
      <c r="K1169" t="s">
        <v>645</v>
      </c>
      <c r="M1169" s="1" t="s">
        <v>58</v>
      </c>
      <c r="N1169" s="1">
        <v>0</v>
      </c>
      <c r="O1169" s="1" t="s">
        <v>105</v>
      </c>
      <c r="P1169" s="186">
        <v>44958.559178240743</v>
      </c>
      <c r="R1169" s="1">
        <v>3</v>
      </c>
      <c r="T1169" s="1" t="s">
        <v>646</v>
      </c>
      <c r="U1169" s="186">
        <v>44959.559178240743</v>
      </c>
      <c r="V1169" s="1" t="s">
        <v>41</v>
      </c>
      <c r="W1169" s="1" t="s">
        <v>49</v>
      </c>
      <c r="X1169" s="13" t="str">
        <f t="shared" si="91"/>
        <v/>
      </c>
      <c r="Y1169" s="2">
        <f t="shared" ca="1" si="92"/>
        <v>21</v>
      </c>
      <c r="AA1169" s="14"/>
    </row>
    <row r="1170" spans="1:27" hidden="1">
      <c r="A1170" s="1">
        <v>9421295</v>
      </c>
      <c r="B1170" s="1" t="s">
        <v>101</v>
      </c>
      <c r="C1170" t="s">
        <v>643</v>
      </c>
      <c r="D1170" s="2">
        <v>230019817</v>
      </c>
      <c r="E1170" s="2">
        <v>2365001400030</v>
      </c>
      <c r="F1170" s="1" t="s">
        <v>647</v>
      </c>
      <c r="G1170" s="1" t="s">
        <v>53</v>
      </c>
      <c r="H1170" s="1" t="s">
        <v>159</v>
      </c>
      <c r="I1170" s="1" t="s">
        <v>160</v>
      </c>
      <c r="J1170" s="1" t="s">
        <v>46</v>
      </c>
      <c r="K1170" t="s">
        <v>650</v>
      </c>
      <c r="M1170" s="1" t="s">
        <v>58</v>
      </c>
      <c r="N1170" s="1">
        <v>0</v>
      </c>
      <c r="O1170" s="1" t="s">
        <v>36</v>
      </c>
      <c r="P1170" s="186">
        <v>44958.557002314818</v>
      </c>
      <c r="R1170" s="1">
        <v>4</v>
      </c>
      <c r="T1170" s="1" t="s">
        <v>646</v>
      </c>
      <c r="U1170" s="186">
        <v>44959.557002314818</v>
      </c>
      <c r="V1170" s="1" t="s">
        <v>41</v>
      </c>
      <c r="W1170" s="1" t="s">
        <v>49</v>
      </c>
      <c r="X1170" s="13" t="str">
        <f t="shared" si="91"/>
        <v/>
      </c>
      <c r="Y1170" s="2">
        <f t="shared" ca="1" si="92"/>
        <v>21</v>
      </c>
      <c r="AA1170" s="14"/>
    </row>
    <row r="1171" spans="1:27" hidden="1">
      <c r="A1171" s="1">
        <v>9421222</v>
      </c>
      <c r="B1171" s="1" t="s">
        <v>101</v>
      </c>
      <c r="C1171" t="s">
        <v>643</v>
      </c>
      <c r="D1171" s="2">
        <v>230019179</v>
      </c>
      <c r="E1171" s="2">
        <v>721001400030</v>
      </c>
      <c r="F1171" s="1" t="s">
        <v>647</v>
      </c>
      <c r="G1171" s="1" t="s">
        <v>53</v>
      </c>
      <c r="H1171" s="1" t="s">
        <v>422</v>
      </c>
      <c r="I1171" s="1" t="s">
        <v>423</v>
      </c>
      <c r="J1171" s="1" t="s">
        <v>79</v>
      </c>
      <c r="K1171" t="s">
        <v>650</v>
      </c>
      <c r="M1171" s="1" t="s">
        <v>58</v>
      </c>
      <c r="N1171" s="1">
        <v>0</v>
      </c>
      <c r="O1171" s="1" t="s">
        <v>105</v>
      </c>
      <c r="P1171" s="186">
        <v>44958.552604166667</v>
      </c>
      <c r="R1171" s="1">
        <v>4</v>
      </c>
      <c r="T1171" s="1" t="s">
        <v>646</v>
      </c>
      <c r="U1171" s="186">
        <v>44959.552615740744</v>
      </c>
      <c r="V1171" s="1" t="s">
        <v>41</v>
      </c>
      <c r="W1171" s="1" t="s">
        <v>49</v>
      </c>
      <c r="X1171" s="13" t="str">
        <f t="shared" si="91"/>
        <v/>
      </c>
      <c r="Y1171" s="2">
        <f t="shared" ca="1" si="92"/>
        <v>21</v>
      </c>
      <c r="AA1171" s="14"/>
    </row>
    <row r="1172" spans="1:27" hidden="1">
      <c r="A1172" s="1">
        <v>9421220</v>
      </c>
      <c r="B1172" s="1" t="s">
        <v>101</v>
      </c>
      <c r="C1172" t="s">
        <v>643</v>
      </c>
      <c r="D1172" s="2">
        <v>230019177</v>
      </c>
      <c r="E1172" s="2">
        <v>711001400030</v>
      </c>
      <c r="F1172" s="1" t="s">
        <v>647</v>
      </c>
      <c r="G1172" s="1" t="s">
        <v>53</v>
      </c>
      <c r="H1172" s="1" t="s">
        <v>77</v>
      </c>
      <c r="I1172" s="1" t="s">
        <v>78</v>
      </c>
      <c r="J1172" s="1" t="s">
        <v>79</v>
      </c>
      <c r="K1172" t="s">
        <v>650</v>
      </c>
      <c r="M1172" s="1" t="s">
        <v>58</v>
      </c>
      <c r="N1172" s="1">
        <v>0</v>
      </c>
      <c r="O1172" s="1" t="s">
        <v>105</v>
      </c>
      <c r="P1172" s="186">
        <v>44958.552430555559</v>
      </c>
      <c r="R1172" s="1">
        <v>4</v>
      </c>
      <c r="T1172" s="1" t="s">
        <v>646</v>
      </c>
      <c r="U1172" s="186">
        <v>44959.552430555559</v>
      </c>
      <c r="V1172" s="1" t="s">
        <v>41</v>
      </c>
      <c r="W1172" s="1" t="s">
        <v>49</v>
      </c>
      <c r="X1172" s="13" t="str">
        <f t="shared" si="91"/>
        <v/>
      </c>
      <c r="Y1172" s="2">
        <f t="shared" ca="1" si="92"/>
        <v>21</v>
      </c>
      <c r="AA1172" s="14"/>
    </row>
    <row r="1173" spans="1:27" hidden="1">
      <c r="A1173" s="1">
        <v>9421182</v>
      </c>
      <c r="B1173" s="1" t="s">
        <v>101</v>
      </c>
      <c r="C1173" t="s">
        <v>643</v>
      </c>
      <c r="D1173" s="2">
        <v>230019149</v>
      </c>
      <c r="E1173" s="2">
        <v>605001400030</v>
      </c>
      <c r="F1173" s="1" t="s">
        <v>647</v>
      </c>
      <c r="G1173" s="1" t="s">
        <v>53</v>
      </c>
      <c r="H1173" s="1" t="s">
        <v>420</v>
      </c>
      <c r="I1173" s="1" t="s">
        <v>421</v>
      </c>
      <c r="J1173" s="1" t="s">
        <v>90</v>
      </c>
      <c r="K1173" t="s">
        <v>650</v>
      </c>
      <c r="M1173" s="1" t="s">
        <v>58</v>
      </c>
      <c r="N1173" s="1">
        <v>0</v>
      </c>
      <c r="O1173" s="1" t="s">
        <v>105</v>
      </c>
      <c r="P1173" s="186">
        <v>44958.550011574072</v>
      </c>
      <c r="R1173" s="1">
        <v>4</v>
      </c>
      <c r="T1173" s="1" t="s">
        <v>646</v>
      </c>
      <c r="U1173" s="186">
        <v>44959.550011574072</v>
      </c>
      <c r="V1173" s="1" t="s">
        <v>41</v>
      </c>
      <c r="W1173" s="1" t="s">
        <v>49</v>
      </c>
      <c r="X1173" s="13" t="str">
        <f t="shared" si="91"/>
        <v/>
      </c>
      <c r="Y1173" s="2">
        <f t="shared" ca="1" si="92"/>
        <v>21</v>
      </c>
      <c r="AA1173" s="14"/>
    </row>
    <row r="1174" spans="1:27" hidden="1">
      <c r="A1174" s="1">
        <v>9421178</v>
      </c>
      <c r="B1174" s="1" t="s">
        <v>101</v>
      </c>
      <c r="C1174" t="s">
        <v>643</v>
      </c>
      <c r="D1174" s="2">
        <v>230019146</v>
      </c>
      <c r="E1174" s="2">
        <v>600001400030</v>
      </c>
      <c r="F1174" s="1" t="s">
        <v>647</v>
      </c>
      <c r="G1174" s="1" t="s">
        <v>53</v>
      </c>
      <c r="H1174" s="1" t="s">
        <v>1084</v>
      </c>
      <c r="I1174" s="1" t="s">
        <v>1085</v>
      </c>
      <c r="J1174" s="1" t="s">
        <v>90</v>
      </c>
      <c r="K1174" t="s">
        <v>650</v>
      </c>
      <c r="M1174" s="1" t="s">
        <v>58</v>
      </c>
      <c r="N1174" s="1">
        <v>0</v>
      </c>
      <c r="O1174" s="1" t="s">
        <v>105</v>
      </c>
      <c r="P1174" s="186">
        <v>44958.549733796295</v>
      </c>
      <c r="R1174" s="1">
        <v>4</v>
      </c>
      <c r="T1174" s="1" t="s">
        <v>646</v>
      </c>
      <c r="U1174" s="186">
        <v>44959.549733796295</v>
      </c>
      <c r="V1174" s="1" t="s">
        <v>41</v>
      </c>
      <c r="W1174" s="1" t="s">
        <v>49</v>
      </c>
      <c r="X1174" s="13" t="str">
        <f t="shared" si="91"/>
        <v/>
      </c>
      <c r="Y1174" s="2">
        <f t="shared" ca="1" si="92"/>
        <v>21</v>
      </c>
      <c r="AA1174" s="14"/>
    </row>
    <row r="1175" spans="1:27" hidden="1">
      <c r="A1175" s="1">
        <v>9421140</v>
      </c>
      <c r="B1175" s="1" t="s">
        <v>101</v>
      </c>
      <c r="C1175" t="s">
        <v>643</v>
      </c>
      <c r="D1175" s="2">
        <v>230019315</v>
      </c>
      <c r="E1175" s="2">
        <v>1059001400030</v>
      </c>
      <c r="F1175" s="1" t="s">
        <v>647</v>
      </c>
      <c r="G1175" s="1" t="s">
        <v>53</v>
      </c>
      <c r="H1175" s="1" t="s">
        <v>88</v>
      </c>
      <c r="I1175" s="1" t="s">
        <v>89</v>
      </c>
      <c r="J1175" s="1" t="s">
        <v>90</v>
      </c>
      <c r="K1175" t="s">
        <v>650</v>
      </c>
      <c r="M1175" s="1" t="s">
        <v>58</v>
      </c>
      <c r="N1175" s="1">
        <v>0</v>
      </c>
      <c r="O1175" s="1" t="s">
        <v>105</v>
      </c>
      <c r="P1175" s="186">
        <v>44958.547280092593</v>
      </c>
      <c r="R1175" s="1">
        <v>4</v>
      </c>
      <c r="T1175" s="1" t="s">
        <v>646</v>
      </c>
      <c r="U1175" s="186">
        <v>44959.547280092593</v>
      </c>
      <c r="V1175" s="1" t="s">
        <v>41</v>
      </c>
      <c r="W1175" s="1" t="s">
        <v>49</v>
      </c>
      <c r="X1175" s="13" t="str">
        <f t="shared" si="91"/>
        <v/>
      </c>
      <c r="Y1175" s="2">
        <f t="shared" ca="1" si="92"/>
        <v>21</v>
      </c>
      <c r="AA1175" s="14"/>
    </row>
    <row r="1176" spans="1:27" hidden="1">
      <c r="A1176" s="1">
        <v>9421115</v>
      </c>
      <c r="B1176" s="1" t="s">
        <v>101</v>
      </c>
      <c r="C1176" t="s">
        <v>643</v>
      </c>
      <c r="D1176" s="2">
        <v>230019301</v>
      </c>
      <c r="E1176" s="2">
        <v>1028001400030</v>
      </c>
      <c r="F1176" s="1" t="s">
        <v>647</v>
      </c>
      <c r="G1176" s="1" t="s">
        <v>53</v>
      </c>
      <c r="H1176" s="1" t="s">
        <v>1079</v>
      </c>
      <c r="I1176" s="1" t="s">
        <v>1080</v>
      </c>
      <c r="J1176" s="1" t="s">
        <v>85</v>
      </c>
      <c r="K1176" t="s">
        <v>650</v>
      </c>
      <c r="M1176" s="1" t="s">
        <v>58</v>
      </c>
      <c r="N1176" s="1">
        <v>0</v>
      </c>
      <c r="O1176" s="1" t="s">
        <v>105</v>
      </c>
      <c r="P1176" s="186">
        <v>44958.545763888891</v>
      </c>
      <c r="R1176" s="1">
        <v>4</v>
      </c>
      <c r="T1176" s="1" t="s">
        <v>646</v>
      </c>
      <c r="U1176" s="186">
        <v>44959.545763888891</v>
      </c>
      <c r="V1176" s="1" t="s">
        <v>41</v>
      </c>
      <c r="W1176" s="1" t="s">
        <v>49</v>
      </c>
      <c r="X1176" s="13" t="str">
        <f t="shared" si="91"/>
        <v/>
      </c>
      <c r="Y1176" s="2">
        <f t="shared" ca="1" si="92"/>
        <v>21</v>
      </c>
      <c r="AA1176" s="14"/>
    </row>
    <row r="1177" spans="1:27" hidden="1">
      <c r="A1177" s="1">
        <v>9421027</v>
      </c>
      <c r="B1177" s="1" t="s">
        <v>101</v>
      </c>
      <c r="C1177" t="s">
        <v>643</v>
      </c>
      <c r="D1177" s="2">
        <v>230018996</v>
      </c>
      <c r="E1177" s="2">
        <v>115001400030</v>
      </c>
      <c r="F1177" s="1" t="s">
        <v>647</v>
      </c>
      <c r="G1177" s="1" t="s">
        <v>53</v>
      </c>
      <c r="H1177" s="1" t="s">
        <v>542</v>
      </c>
      <c r="I1177" s="1" t="s">
        <v>543</v>
      </c>
      <c r="J1177" s="1" t="s">
        <v>56</v>
      </c>
      <c r="K1177" t="s">
        <v>650</v>
      </c>
      <c r="M1177" s="1" t="s">
        <v>58</v>
      </c>
      <c r="N1177" s="1">
        <v>0</v>
      </c>
      <c r="O1177" s="1" t="s">
        <v>105</v>
      </c>
      <c r="P1177" s="186">
        <v>44958.540162037039</v>
      </c>
      <c r="R1177" s="1">
        <v>4</v>
      </c>
      <c r="T1177" s="1" t="s">
        <v>646</v>
      </c>
      <c r="U1177" s="186">
        <v>44959.540162037039</v>
      </c>
      <c r="V1177" s="1" t="s">
        <v>41</v>
      </c>
      <c r="W1177" s="1" t="s">
        <v>49</v>
      </c>
      <c r="X1177" s="13" t="str">
        <f t="shared" si="91"/>
        <v/>
      </c>
      <c r="Y1177" s="2">
        <f t="shared" ca="1" si="92"/>
        <v>21</v>
      </c>
      <c r="AA1177" s="14"/>
    </row>
    <row r="1178" spans="1:27" hidden="1">
      <c r="A1178" s="1">
        <v>9420968</v>
      </c>
      <c r="B1178" s="1" t="s">
        <v>101</v>
      </c>
      <c r="C1178" t="s">
        <v>643</v>
      </c>
      <c r="D1178" s="2">
        <v>230019349</v>
      </c>
      <c r="E1178" s="2">
        <v>1153001400030</v>
      </c>
      <c r="F1178" s="1" t="s">
        <v>647</v>
      </c>
      <c r="G1178" s="1" t="s">
        <v>53</v>
      </c>
      <c r="H1178" s="1" t="s">
        <v>1031</v>
      </c>
      <c r="I1178" s="1" t="s">
        <v>1032</v>
      </c>
      <c r="J1178" s="1" t="s">
        <v>79</v>
      </c>
      <c r="K1178" t="s">
        <v>650</v>
      </c>
      <c r="M1178" s="1" t="s">
        <v>58</v>
      </c>
      <c r="N1178" s="1">
        <v>0</v>
      </c>
      <c r="O1178" s="1" t="s">
        <v>105</v>
      </c>
      <c r="P1178" s="186">
        <v>44958.535949074074</v>
      </c>
      <c r="R1178" s="1">
        <v>4</v>
      </c>
      <c r="T1178" s="1" t="s">
        <v>646</v>
      </c>
      <c r="U1178" s="186">
        <v>44959.535960648151</v>
      </c>
      <c r="V1178" s="1" t="s">
        <v>41</v>
      </c>
      <c r="W1178" s="1" t="s">
        <v>49</v>
      </c>
      <c r="X1178" s="13" t="str">
        <f t="shared" si="91"/>
        <v/>
      </c>
      <c r="Y1178" s="2">
        <f t="shared" ca="1" si="92"/>
        <v>21</v>
      </c>
      <c r="AA1178" s="14"/>
    </row>
    <row r="1179" spans="1:27" hidden="1">
      <c r="A1179" s="1">
        <v>9420756</v>
      </c>
      <c r="B1179" s="1" t="s">
        <v>101</v>
      </c>
      <c r="C1179" t="s">
        <v>643</v>
      </c>
      <c r="D1179" s="2">
        <v>230018030</v>
      </c>
      <c r="E1179" s="2">
        <v>1739001400010</v>
      </c>
      <c r="F1179" s="1" t="s">
        <v>936</v>
      </c>
      <c r="G1179" s="1" t="s">
        <v>53</v>
      </c>
      <c r="H1179" s="1" t="s">
        <v>162</v>
      </c>
      <c r="I1179" s="1" t="s">
        <v>163</v>
      </c>
      <c r="J1179" s="1" t="s">
        <v>164</v>
      </c>
      <c r="K1179" t="s">
        <v>937</v>
      </c>
      <c r="M1179" s="1" t="s">
        <v>58</v>
      </c>
      <c r="N1179" s="1">
        <v>0</v>
      </c>
      <c r="O1179" s="1" t="s">
        <v>105</v>
      </c>
      <c r="P1179" s="186">
        <v>44958.527395833335</v>
      </c>
      <c r="R1179" s="1">
        <v>3</v>
      </c>
      <c r="T1179" s="1" t="s">
        <v>646</v>
      </c>
      <c r="U1179" s="186">
        <v>44959.527395833335</v>
      </c>
      <c r="V1179" s="1" t="s">
        <v>41</v>
      </c>
      <c r="W1179" s="1" t="s">
        <v>49</v>
      </c>
      <c r="X1179" s="13" t="str">
        <f t="shared" si="91"/>
        <v/>
      </c>
      <c r="Y1179" s="2">
        <f t="shared" ca="1" si="92"/>
        <v>21</v>
      </c>
      <c r="AA1179" s="14"/>
    </row>
    <row r="1180" spans="1:27" hidden="1">
      <c r="A1180" s="1">
        <v>9420700</v>
      </c>
      <c r="B1180" s="1" t="s">
        <v>101</v>
      </c>
      <c r="C1180" t="s">
        <v>643</v>
      </c>
      <c r="D1180" s="2">
        <v>230018183</v>
      </c>
      <c r="E1180" s="2">
        <v>2229001400010</v>
      </c>
      <c r="F1180" s="1" t="s">
        <v>936</v>
      </c>
      <c r="G1180" s="1" t="s">
        <v>53</v>
      </c>
      <c r="H1180" s="1" t="s">
        <v>339</v>
      </c>
      <c r="I1180" s="1" t="s">
        <v>340</v>
      </c>
      <c r="J1180" s="1" t="s">
        <v>211</v>
      </c>
      <c r="K1180" t="s">
        <v>937</v>
      </c>
      <c r="M1180" s="1" t="s">
        <v>58</v>
      </c>
      <c r="N1180" s="1">
        <v>0</v>
      </c>
      <c r="O1180" s="1" t="s">
        <v>105</v>
      </c>
      <c r="P1180" s="186">
        <v>44958.524594907409</v>
      </c>
      <c r="R1180" s="1">
        <v>3</v>
      </c>
      <c r="T1180" s="1" t="s">
        <v>646</v>
      </c>
      <c r="U1180" s="186">
        <v>44959.524594907409</v>
      </c>
      <c r="V1180" s="1" t="s">
        <v>41</v>
      </c>
      <c r="W1180" s="1" t="s">
        <v>49</v>
      </c>
      <c r="X1180" s="13" t="str">
        <f t="shared" si="91"/>
        <v/>
      </c>
      <c r="Y1180" s="2">
        <f t="shared" ca="1" si="92"/>
        <v>21</v>
      </c>
      <c r="AA1180" s="14"/>
    </row>
    <row r="1181" spans="1:27" hidden="1">
      <c r="A1181" s="1">
        <v>9420634</v>
      </c>
      <c r="B1181" s="1" t="s">
        <v>101</v>
      </c>
      <c r="C1181" t="s">
        <v>643</v>
      </c>
      <c r="D1181" s="2">
        <v>230018019</v>
      </c>
      <c r="E1181" s="2">
        <v>1710001400010</v>
      </c>
      <c r="F1181" s="1" t="s">
        <v>936</v>
      </c>
      <c r="G1181" s="1" t="s">
        <v>53</v>
      </c>
      <c r="H1181" s="1" t="s">
        <v>327</v>
      </c>
      <c r="I1181" s="1" t="s">
        <v>328</v>
      </c>
      <c r="J1181" s="1" t="s">
        <v>261</v>
      </c>
      <c r="K1181" t="s">
        <v>937</v>
      </c>
      <c r="M1181" s="1" t="s">
        <v>58</v>
      </c>
      <c r="N1181" s="1">
        <v>0</v>
      </c>
      <c r="O1181" s="1" t="s">
        <v>105</v>
      </c>
      <c r="P1181" s="186">
        <v>44958.521053240744</v>
      </c>
      <c r="R1181" s="1">
        <v>3</v>
      </c>
      <c r="T1181" s="1" t="s">
        <v>646</v>
      </c>
      <c r="U1181" s="186">
        <v>44959.521053240744</v>
      </c>
      <c r="V1181" s="1" t="s">
        <v>41</v>
      </c>
      <c r="W1181" s="1" t="s">
        <v>49</v>
      </c>
      <c r="X1181" s="13" t="str">
        <f t="shared" si="91"/>
        <v/>
      </c>
      <c r="Y1181" s="2">
        <f t="shared" ca="1" si="92"/>
        <v>21</v>
      </c>
      <c r="AA1181" s="14"/>
    </row>
    <row r="1182" spans="1:27" hidden="1">
      <c r="A1182" s="1">
        <v>9420518</v>
      </c>
      <c r="B1182" s="1" t="s">
        <v>101</v>
      </c>
      <c r="C1182" t="s">
        <v>643</v>
      </c>
      <c r="D1182" s="2">
        <v>230018414</v>
      </c>
      <c r="E1182" s="2">
        <v>2889001400010</v>
      </c>
      <c r="F1182" s="1" t="s">
        <v>936</v>
      </c>
      <c r="G1182" s="1" t="s">
        <v>53</v>
      </c>
      <c r="H1182" s="1" t="s">
        <v>418</v>
      </c>
      <c r="I1182" s="1" t="s">
        <v>419</v>
      </c>
      <c r="J1182" s="1" t="s">
        <v>46</v>
      </c>
      <c r="K1182" t="s">
        <v>937</v>
      </c>
      <c r="M1182" s="1" t="s">
        <v>58</v>
      </c>
      <c r="N1182" s="1">
        <v>0</v>
      </c>
      <c r="O1182" s="1" t="s">
        <v>36</v>
      </c>
      <c r="P1182" s="186">
        <v>44958.515150462961</v>
      </c>
      <c r="R1182" s="1">
        <v>3</v>
      </c>
      <c r="T1182" s="1" t="s">
        <v>646</v>
      </c>
      <c r="U1182" s="186">
        <v>44959.515150462961</v>
      </c>
      <c r="V1182" s="1" t="s">
        <v>41</v>
      </c>
      <c r="W1182" s="1" t="s">
        <v>49</v>
      </c>
      <c r="X1182" s="13" t="str">
        <f t="shared" si="91"/>
        <v/>
      </c>
      <c r="Y1182" s="2">
        <f t="shared" ca="1" si="92"/>
        <v>21</v>
      </c>
      <c r="AA1182" s="14"/>
    </row>
    <row r="1183" spans="1:27" hidden="1">
      <c r="A1183" s="1">
        <v>9420284</v>
      </c>
      <c r="B1183" s="1" t="s">
        <v>101</v>
      </c>
      <c r="C1183" t="s">
        <v>643</v>
      </c>
      <c r="D1183" s="2">
        <v>230017858</v>
      </c>
      <c r="E1183" s="2">
        <v>1361001400010</v>
      </c>
      <c r="F1183" s="1" t="s">
        <v>936</v>
      </c>
      <c r="G1183" s="1" t="s">
        <v>53</v>
      </c>
      <c r="H1183" s="1" t="s">
        <v>309</v>
      </c>
      <c r="I1183" s="1" t="s">
        <v>310</v>
      </c>
      <c r="J1183" s="1" t="s">
        <v>46</v>
      </c>
      <c r="K1183" t="s">
        <v>937</v>
      </c>
      <c r="M1183" s="1" t="s">
        <v>58</v>
      </c>
      <c r="N1183" s="1">
        <v>0</v>
      </c>
      <c r="O1183" s="1" t="s">
        <v>105</v>
      </c>
      <c r="P1183" s="186">
        <v>44958.503217592595</v>
      </c>
      <c r="R1183" s="1">
        <v>3</v>
      </c>
      <c r="T1183" s="1" t="s">
        <v>646</v>
      </c>
      <c r="U1183" s="186">
        <v>44959.503217592595</v>
      </c>
      <c r="V1183" s="1" t="s">
        <v>41</v>
      </c>
      <c r="W1183" s="1" t="s">
        <v>49</v>
      </c>
      <c r="X1183" s="13" t="str">
        <f t="shared" si="91"/>
        <v/>
      </c>
      <c r="Y1183" s="2">
        <f t="shared" ca="1" si="92"/>
        <v>21</v>
      </c>
      <c r="AA1183" s="14"/>
    </row>
    <row r="1184" spans="1:27" hidden="1">
      <c r="A1184" s="1">
        <v>9420231</v>
      </c>
      <c r="B1184" s="1" t="s">
        <v>101</v>
      </c>
      <c r="C1184" t="s">
        <v>643</v>
      </c>
      <c r="D1184" s="2">
        <v>230017980</v>
      </c>
      <c r="E1184" s="2">
        <v>1620001400010</v>
      </c>
      <c r="F1184" s="1" t="s">
        <v>936</v>
      </c>
      <c r="G1184" s="1" t="s">
        <v>53</v>
      </c>
      <c r="H1184" s="1" t="s">
        <v>402</v>
      </c>
      <c r="I1184" s="1" t="s">
        <v>403</v>
      </c>
      <c r="J1184" s="1" t="s">
        <v>46</v>
      </c>
      <c r="K1184" t="s">
        <v>937</v>
      </c>
      <c r="M1184" s="1" t="s">
        <v>58</v>
      </c>
      <c r="N1184" s="1">
        <v>0</v>
      </c>
      <c r="O1184" s="1" t="s">
        <v>105</v>
      </c>
      <c r="P1184" s="186">
        <v>44958.5000462963</v>
      </c>
      <c r="R1184" s="1">
        <v>3</v>
      </c>
      <c r="T1184" s="1" t="s">
        <v>646</v>
      </c>
      <c r="U1184" s="186">
        <v>44959.5000462963</v>
      </c>
      <c r="V1184" s="1" t="s">
        <v>41</v>
      </c>
      <c r="W1184" s="1" t="s">
        <v>49</v>
      </c>
      <c r="X1184" s="13" t="str">
        <f t="shared" si="91"/>
        <v/>
      </c>
      <c r="Y1184" s="2">
        <f t="shared" ca="1" si="92"/>
        <v>21</v>
      </c>
      <c r="AA1184" s="14"/>
    </row>
    <row r="1185" spans="1:27" hidden="1">
      <c r="A1185" s="1">
        <v>9420175</v>
      </c>
      <c r="B1185" s="1" t="s">
        <v>101</v>
      </c>
      <c r="C1185" t="s">
        <v>643</v>
      </c>
      <c r="D1185" s="2">
        <v>230017622</v>
      </c>
      <c r="E1185" s="2">
        <v>721001400010</v>
      </c>
      <c r="F1185" s="1" t="s">
        <v>936</v>
      </c>
      <c r="G1185" s="1" t="s">
        <v>53</v>
      </c>
      <c r="H1185" s="1" t="s">
        <v>422</v>
      </c>
      <c r="I1185" s="1" t="s">
        <v>423</v>
      </c>
      <c r="J1185" s="1" t="s">
        <v>79</v>
      </c>
      <c r="K1185" t="s">
        <v>937</v>
      </c>
      <c r="M1185" s="1" t="s">
        <v>58</v>
      </c>
      <c r="N1185" s="1">
        <v>0</v>
      </c>
      <c r="O1185" s="1" t="s">
        <v>105</v>
      </c>
      <c r="P1185" s="186">
        <v>44958.497418981482</v>
      </c>
      <c r="R1185" s="1">
        <v>3</v>
      </c>
      <c r="T1185" s="1" t="s">
        <v>646</v>
      </c>
      <c r="U1185" s="186">
        <v>44959.497418981482</v>
      </c>
      <c r="V1185" s="1" t="s">
        <v>41</v>
      </c>
      <c r="W1185" s="1" t="s">
        <v>49</v>
      </c>
      <c r="X1185" s="13" t="str">
        <f t="shared" si="91"/>
        <v/>
      </c>
      <c r="Y1185" s="2">
        <f t="shared" ca="1" si="92"/>
        <v>21</v>
      </c>
      <c r="AA1185" s="14"/>
    </row>
    <row r="1186" spans="1:27" hidden="1">
      <c r="A1186" s="1">
        <v>9419921</v>
      </c>
      <c r="B1186" s="1" t="s">
        <v>101</v>
      </c>
      <c r="C1186" t="s">
        <v>643</v>
      </c>
      <c r="D1186" s="2">
        <v>230021431</v>
      </c>
      <c r="E1186" s="2">
        <v>2138001400040</v>
      </c>
      <c r="F1186" s="1" t="s">
        <v>644</v>
      </c>
      <c r="G1186" s="1" t="s">
        <v>53</v>
      </c>
      <c r="H1186" s="1" t="s">
        <v>379</v>
      </c>
      <c r="I1186" s="1" t="s">
        <v>380</v>
      </c>
      <c r="J1186" s="1" t="s">
        <v>46</v>
      </c>
      <c r="K1186" t="s">
        <v>645</v>
      </c>
      <c r="M1186" s="1" t="s">
        <v>58</v>
      </c>
      <c r="N1186" s="1">
        <v>0</v>
      </c>
      <c r="O1186" s="1" t="s">
        <v>105</v>
      </c>
      <c r="P1186" s="186">
        <v>44958.483402777776</v>
      </c>
      <c r="R1186" s="1">
        <v>3</v>
      </c>
      <c r="T1186" s="1" t="s">
        <v>646</v>
      </c>
      <c r="U1186" s="186">
        <v>44959.483402777776</v>
      </c>
      <c r="V1186" s="1" t="s">
        <v>41</v>
      </c>
      <c r="W1186" s="1" t="s">
        <v>49</v>
      </c>
      <c r="X1186" s="13" t="str">
        <f t="shared" si="91"/>
        <v/>
      </c>
      <c r="Y1186" s="2">
        <f t="shared" ca="1" si="92"/>
        <v>21</v>
      </c>
      <c r="AA1186" s="14"/>
    </row>
    <row r="1187" spans="1:27" hidden="1">
      <c r="A1187" s="1">
        <v>9419909</v>
      </c>
      <c r="B1187" s="1" t="s">
        <v>101</v>
      </c>
      <c r="C1187" t="s">
        <v>643</v>
      </c>
      <c r="D1187" s="2">
        <v>230021419</v>
      </c>
      <c r="E1187" s="2">
        <v>2107001400040</v>
      </c>
      <c r="F1187" s="1" t="s">
        <v>644</v>
      </c>
      <c r="G1187" s="1" t="s">
        <v>53</v>
      </c>
      <c r="H1187" s="1" t="s">
        <v>262</v>
      </c>
      <c r="I1187" s="1" t="s">
        <v>263</v>
      </c>
      <c r="J1187" s="1" t="s">
        <v>164</v>
      </c>
      <c r="K1187" t="s">
        <v>645</v>
      </c>
      <c r="M1187" s="1" t="s">
        <v>58</v>
      </c>
      <c r="N1187" s="1">
        <v>0</v>
      </c>
      <c r="O1187" s="1" t="s">
        <v>105</v>
      </c>
      <c r="P1187" s="11" t="s">
        <v>2222</v>
      </c>
      <c r="R1187" s="1">
        <v>3</v>
      </c>
      <c r="T1187" s="1" t="s">
        <v>646</v>
      </c>
      <c r="U1187" s="186">
        <v>44959.482199074075</v>
      </c>
      <c r="V1187" s="1" t="s">
        <v>41</v>
      </c>
      <c r="W1187" s="1" t="s">
        <v>49</v>
      </c>
      <c r="X1187" s="13" t="str">
        <f t="shared" si="91"/>
        <v/>
      </c>
      <c r="Y1187" s="2">
        <f t="shared" ca="1" si="92"/>
        <v>21</v>
      </c>
      <c r="AA1187" s="14"/>
    </row>
    <row r="1188" spans="1:27" hidden="1">
      <c r="A1188" s="1">
        <v>9419884</v>
      </c>
      <c r="B1188" s="1" t="s">
        <v>101</v>
      </c>
      <c r="C1188" t="s">
        <v>643</v>
      </c>
      <c r="D1188" s="2">
        <v>230021406</v>
      </c>
      <c r="E1188" s="2">
        <v>2069001400040</v>
      </c>
      <c r="F1188" s="1" t="s">
        <v>644</v>
      </c>
      <c r="G1188" s="1" t="s">
        <v>53</v>
      </c>
      <c r="H1188" s="1" t="s">
        <v>557</v>
      </c>
      <c r="I1188" s="1" t="s">
        <v>558</v>
      </c>
      <c r="J1188" s="1" t="s">
        <v>90</v>
      </c>
      <c r="K1188" t="s">
        <v>645</v>
      </c>
      <c r="M1188" s="1" t="s">
        <v>58</v>
      </c>
      <c r="N1188" s="1">
        <v>0</v>
      </c>
      <c r="O1188" s="1" t="s">
        <v>105</v>
      </c>
      <c r="P1188" s="11" t="s">
        <v>2224</v>
      </c>
      <c r="R1188" s="1">
        <v>2</v>
      </c>
      <c r="T1188" s="1" t="s">
        <v>646</v>
      </c>
      <c r="U1188" s="186">
        <v>44959.480925925927</v>
      </c>
      <c r="V1188" s="1" t="s">
        <v>41</v>
      </c>
      <c r="W1188" s="1" t="s">
        <v>49</v>
      </c>
      <c r="X1188" s="13" t="str">
        <f t="shared" si="91"/>
        <v/>
      </c>
      <c r="Y1188" s="2">
        <f t="shared" ca="1" si="92"/>
        <v>21</v>
      </c>
      <c r="AA1188" s="14"/>
    </row>
    <row r="1189" spans="1:27" hidden="1">
      <c r="A1189" s="1">
        <v>9419831</v>
      </c>
      <c r="B1189" s="1" t="s">
        <v>101</v>
      </c>
      <c r="C1189" t="s">
        <v>643</v>
      </c>
      <c r="D1189" s="2">
        <v>230021369</v>
      </c>
      <c r="E1189" s="2">
        <v>1838001400040</v>
      </c>
      <c r="F1189" s="1" t="s">
        <v>644</v>
      </c>
      <c r="G1189" s="1" t="s">
        <v>53</v>
      </c>
      <c r="H1189" s="1" t="s">
        <v>357</v>
      </c>
      <c r="I1189" s="1" t="s">
        <v>358</v>
      </c>
      <c r="J1189" s="1" t="s">
        <v>46</v>
      </c>
      <c r="K1189" t="s">
        <v>645</v>
      </c>
      <c r="M1189" s="1" t="s">
        <v>58</v>
      </c>
      <c r="N1189" s="1">
        <v>0</v>
      </c>
      <c r="O1189" s="1" t="s">
        <v>105</v>
      </c>
      <c r="P1189" s="11" t="s">
        <v>2226</v>
      </c>
      <c r="R1189" s="1">
        <v>2</v>
      </c>
      <c r="T1189" s="1" t="s">
        <v>646</v>
      </c>
      <c r="U1189" s="11" t="s">
        <v>2227</v>
      </c>
      <c r="V1189" s="1" t="s">
        <v>41</v>
      </c>
      <c r="W1189" s="1" t="s">
        <v>49</v>
      </c>
      <c r="X1189" s="13" t="str">
        <f t="shared" si="91"/>
        <v/>
      </c>
      <c r="Y1189" s="2">
        <f t="shared" ca="1" si="92"/>
        <v>21</v>
      </c>
      <c r="AA1189" s="14"/>
    </row>
    <row r="1190" spans="1:27" hidden="1">
      <c r="A1190" s="1">
        <v>9419830</v>
      </c>
      <c r="B1190" s="1" t="s">
        <v>101</v>
      </c>
      <c r="C1190" t="s">
        <v>643</v>
      </c>
      <c r="D1190" s="2">
        <v>230021368</v>
      </c>
      <c r="E1190" s="2">
        <v>1837001400040</v>
      </c>
      <c r="F1190" s="1" t="s">
        <v>644</v>
      </c>
      <c r="G1190" s="1" t="s">
        <v>53</v>
      </c>
      <c r="H1190" s="1" t="s">
        <v>1785</v>
      </c>
      <c r="I1190" s="1" t="s">
        <v>1786</v>
      </c>
      <c r="J1190" s="1" t="s">
        <v>46</v>
      </c>
      <c r="K1190" t="s">
        <v>645</v>
      </c>
      <c r="M1190" s="1" t="s">
        <v>58</v>
      </c>
      <c r="N1190" s="1">
        <v>0</v>
      </c>
      <c r="O1190" s="1" t="s">
        <v>105</v>
      </c>
      <c r="P1190" s="11" t="s">
        <v>2228</v>
      </c>
      <c r="R1190" s="1">
        <v>2</v>
      </c>
      <c r="T1190" s="1" t="s">
        <v>646</v>
      </c>
      <c r="U1190" s="11" t="s">
        <v>2229</v>
      </c>
      <c r="V1190" s="1" t="s">
        <v>41</v>
      </c>
      <c r="W1190" s="1" t="s">
        <v>49</v>
      </c>
      <c r="X1190" s="13" t="str">
        <f t="shared" si="91"/>
        <v/>
      </c>
      <c r="Y1190" s="2">
        <f t="shared" ca="1" si="92"/>
        <v>21</v>
      </c>
      <c r="AA1190" s="14"/>
    </row>
    <row r="1191" spans="1:27" hidden="1">
      <c r="A1191" s="1">
        <v>9419827</v>
      </c>
      <c r="B1191" s="1" t="s">
        <v>101</v>
      </c>
      <c r="C1191" t="s">
        <v>643</v>
      </c>
      <c r="D1191" s="2">
        <v>230021366</v>
      </c>
      <c r="E1191" s="2">
        <v>1835001400040</v>
      </c>
      <c r="F1191" s="1" t="s">
        <v>644</v>
      </c>
      <c r="G1191" s="1" t="s">
        <v>53</v>
      </c>
      <c r="H1191" s="1" t="s">
        <v>305</v>
      </c>
      <c r="I1191" s="1" t="s">
        <v>306</v>
      </c>
      <c r="J1191" s="1" t="s">
        <v>46</v>
      </c>
      <c r="K1191" t="s">
        <v>645</v>
      </c>
      <c r="M1191" s="1" t="s">
        <v>58</v>
      </c>
      <c r="N1191" s="1">
        <v>0</v>
      </c>
      <c r="O1191" s="1" t="s">
        <v>105</v>
      </c>
      <c r="P1191" s="11" t="s">
        <v>2232</v>
      </c>
      <c r="R1191" s="1">
        <v>3</v>
      </c>
      <c r="T1191" s="1" t="s">
        <v>646</v>
      </c>
      <c r="U1191" s="186">
        <v>44959.476712962962</v>
      </c>
      <c r="V1191" s="1" t="s">
        <v>41</v>
      </c>
      <c r="W1191" s="1" t="s">
        <v>49</v>
      </c>
      <c r="X1191" s="13" t="str">
        <f t="shared" si="91"/>
        <v/>
      </c>
      <c r="Y1191" s="2">
        <f t="shared" ca="1" si="92"/>
        <v>21</v>
      </c>
      <c r="AA1191" s="14"/>
    </row>
    <row r="1192" spans="1:27" hidden="1">
      <c r="A1192" s="1">
        <v>9419826</v>
      </c>
      <c r="B1192" s="1" t="s">
        <v>101</v>
      </c>
      <c r="C1192" t="s">
        <v>643</v>
      </c>
      <c r="D1192" s="2">
        <v>230021365</v>
      </c>
      <c r="E1192" s="2">
        <v>1833001400040</v>
      </c>
      <c r="F1192" s="1" t="s">
        <v>644</v>
      </c>
      <c r="G1192" s="1" t="s">
        <v>53</v>
      </c>
      <c r="H1192" s="1" t="s">
        <v>369</v>
      </c>
      <c r="I1192" s="1" t="s">
        <v>370</v>
      </c>
      <c r="J1192" s="1" t="s">
        <v>46</v>
      </c>
      <c r="K1192" t="s">
        <v>645</v>
      </c>
      <c r="M1192" s="1" t="s">
        <v>58</v>
      </c>
      <c r="N1192" s="1">
        <v>0</v>
      </c>
      <c r="O1192" s="1" t="s">
        <v>105</v>
      </c>
      <c r="P1192" s="11" t="s">
        <v>2234</v>
      </c>
      <c r="R1192" s="1">
        <v>3</v>
      </c>
      <c r="T1192" s="1" t="s">
        <v>646</v>
      </c>
      <c r="U1192" s="186">
        <v>44959.4766087963</v>
      </c>
      <c r="V1192" s="1" t="s">
        <v>41</v>
      </c>
      <c r="W1192" s="1" t="s">
        <v>49</v>
      </c>
      <c r="X1192" s="13" t="str">
        <f t="shared" si="91"/>
        <v/>
      </c>
      <c r="Y1192" s="2">
        <f t="shared" ca="1" si="92"/>
        <v>21</v>
      </c>
      <c r="AA1192" s="14"/>
    </row>
    <row r="1193" spans="1:27" hidden="1">
      <c r="A1193" s="1">
        <v>9419654</v>
      </c>
      <c r="B1193" s="1" t="s">
        <v>101</v>
      </c>
      <c r="C1193" t="s">
        <v>643</v>
      </c>
      <c r="D1193" s="2">
        <v>230021562</v>
      </c>
      <c r="E1193" s="2">
        <v>2422001400040</v>
      </c>
      <c r="F1193" s="1" t="s">
        <v>644</v>
      </c>
      <c r="G1193" s="1" t="s">
        <v>53</v>
      </c>
      <c r="H1193" s="1" t="s">
        <v>1844</v>
      </c>
      <c r="I1193" s="1" t="s">
        <v>1845</v>
      </c>
      <c r="J1193" s="1" t="s">
        <v>211</v>
      </c>
      <c r="K1193" t="s">
        <v>645</v>
      </c>
      <c r="M1193" s="1" t="s">
        <v>58</v>
      </c>
      <c r="N1193" s="1">
        <v>0</v>
      </c>
      <c r="O1193" s="1" t="s">
        <v>105</v>
      </c>
      <c r="P1193" s="11" t="s">
        <v>2240</v>
      </c>
      <c r="R1193" s="1">
        <v>2</v>
      </c>
      <c r="T1193" s="1" t="s">
        <v>646</v>
      </c>
      <c r="U1193" s="186">
        <v>44959.463692129626</v>
      </c>
      <c r="V1193" s="1" t="s">
        <v>41</v>
      </c>
      <c r="W1193" s="1" t="s">
        <v>49</v>
      </c>
      <c r="X1193" s="13" t="str">
        <f t="shared" si="91"/>
        <v/>
      </c>
      <c r="Y1193" s="2">
        <f t="shared" ca="1" si="92"/>
        <v>21</v>
      </c>
      <c r="AA1193" s="14"/>
    </row>
    <row r="1194" spans="1:27" hidden="1">
      <c r="A1194" s="1">
        <v>9419577</v>
      </c>
      <c r="B1194" s="1" t="s">
        <v>101</v>
      </c>
      <c r="C1194" t="s">
        <v>643</v>
      </c>
      <c r="D1194" s="2">
        <v>230021757</v>
      </c>
      <c r="E1194" s="2">
        <v>2988001400040</v>
      </c>
      <c r="F1194" s="1" t="s">
        <v>644</v>
      </c>
      <c r="G1194" s="1" t="s">
        <v>53</v>
      </c>
      <c r="H1194" s="1" t="s">
        <v>536</v>
      </c>
      <c r="I1194" s="1" t="s">
        <v>537</v>
      </c>
      <c r="J1194" s="1" t="s">
        <v>46</v>
      </c>
      <c r="K1194" t="s">
        <v>645</v>
      </c>
      <c r="M1194" s="1" t="s">
        <v>58</v>
      </c>
      <c r="N1194" s="1">
        <v>0</v>
      </c>
      <c r="O1194" s="1" t="s">
        <v>105</v>
      </c>
      <c r="P1194" s="11" t="s">
        <v>2242</v>
      </c>
      <c r="R1194" s="1">
        <v>2</v>
      </c>
      <c r="T1194" s="1" t="s">
        <v>646</v>
      </c>
      <c r="U1194" s="186">
        <v>44959.458240740743</v>
      </c>
      <c r="V1194" s="1" t="s">
        <v>41</v>
      </c>
      <c r="W1194" s="1" t="s">
        <v>49</v>
      </c>
      <c r="X1194" s="13" t="str">
        <f t="shared" si="91"/>
        <v/>
      </c>
      <c r="Y1194" s="2">
        <f t="shared" ca="1" si="92"/>
        <v>21</v>
      </c>
      <c r="AA1194" s="14"/>
    </row>
    <row r="1195" spans="1:27" hidden="1">
      <c r="A1195" s="1">
        <v>9419561</v>
      </c>
      <c r="B1195" s="1" t="s">
        <v>101</v>
      </c>
      <c r="C1195" t="s">
        <v>643</v>
      </c>
      <c r="D1195" s="2">
        <v>230021447</v>
      </c>
      <c r="E1195" s="2">
        <v>2170001400040</v>
      </c>
      <c r="F1195" s="1" t="s">
        <v>644</v>
      </c>
      <c r="G1195" s="1" t="s">
        <v>53</v>
      </c>
      <c r="H1195" s="1" t="s">
        <v>477</v>
      </c>
      <c r="I1195" s="1" t="s">
        <v>478</v>
      </c>
      <c r="J1195" s="1" t="s">
        <v>148</v>
      </c>
      <c r="K1195" t="s">
        <v>645</v>
      </c>
      <c r="M1195" s="1" t="s">
        <v>58</v>
      </c>
      <c r="N1195" s="1">
        <v>0</v>
      </c>
      <c r="O1195" s="1" t="s">
        <v>105</v>
      </c>
      <c r="P1195" s="11" t="s">
        <v>2244</v>
      </c>
      <c r="R1195" s="1">
        <v>3</v>
      </c>
      <c r="T1195" s="1" t="s">
        <v>646</v>
      </c>
      <c r="U1195" s="186">
        <v>44959.457002314812</v>
      </c>
      <c r="V1195" s="1" t="s">
        <v>41</v>
      </c>
      <c r="W1195" s="1" t="s">
        <v>49</v>
      </c>
      <c r="X1195" s="13" t="str">
        <f t="shared" si="91"/>
        <v/>
      </c>
      <c r="Y1195" s="2">
        <f t="shared" ca="1" si="92"/>
        <v>21</v>
      </c>
      <c r="AA1195" s="14"/>
    </row>
    <row r="1196" spans="1:27" hidden="1">
      <c r="A1196" s="1">
        <v>9419525</v>
      </c>
      <c r="B1196" s="1" t="s">
        <v>101</v>
      </c>
      <c r="C1196" t="s">
        <v>643</v>
      </c>
      <c r="D1196" s="2">
        <v>230021156</v>
      </c>
      <c r="E1196" s="2">
        <v>1361001400040</v>
      </c>
      <c r="F1196" s="1" t="s">
        <v>644</v>
      </c>
      <c r="G1196" s="1" t="s">
        <v>53</v>
      </c>
      <c r="H1196" s="1" t="s">
        <v>309</v>
      </c>
      <c r="I1196" s="1" t="s">
        <v>310</v>
      </c>
      <c r="J1196" s="1" t="s">
        <v>46</v>
      </c>
      <c r="K1196" t="s">
        <v>645</v>
      </c>
      <c r="M1196" s="1" t="s">
        <v>58</v>
      </c>
      <c r="N1196" s="1">
        <v>0</v>
      </c>
      <c r="O1196" s="1" t="s">
        <v>105</v>
      </c>
      <c r="P1196" s="11" t="s">
        <v>2246</v>
      </c>
      <c r="R1196" s="1">
        <v>3</v>
      </c>
      <c r="T1196" s="1" t="s">
        <v>646</v>
      </c>
      <c r="U1196" s="186">
        <v>44959.454756944448</v>
      </c>
      <c r="V1196" s="1" t="s">
        <v>41</v>
      </c>
      <c r="W1196" s="1" t="s">
        <v>49</v>
      </c>
      <c r="X1196" s="13" t="str">
        <f t="shared" si="91"/>
        <v/>
      </c>
      <c r="Y1196" s="2">
        <f t="shared" ca="1" si="92"/>
        <v>21</v>
      </c>
      <c r="AA1196" s="14"/>
    </row>
    <row r="1197" spans="1:27" hidden="1">
      <c r="A1197" s="1">
        <v>9419422</v>
      </c>
      <c r="B1197" s="1" t="s">
        <v>101</v>
      </c>
      <c r="C1197" t="s">
        <v>643</v>
      </c>
      <c r="D1197" s="2">
        <v>230021088</v>
      </c>
      <c r="E1197" s="2">
        <v>1153001400040</v>
      </c>
      <c r="F1197" s="1" t="s">
        <v>644</v>
      </c>
      <c r="G1197" s="1" t="s">
        <v>53</v>
      </c>
      <c r="H1197" s="1" t="s">
        <v>1031</v>
      </c>
      <c r="I1197" s="1" t="s">
        <v>1032</v>
      </c>
      <c r="J1197" s="1" t="s">
        <v>79</v>
      </c>
      <c r="K1197" t="s">
        <v>645</v>
      </c>
      <c r="M1197" s="1" t="s">
        <v>58</v>
      </c>
      <c r="N1197" s="1">
        <v>0</v>
      </c>
      <c r="O1197" s="1" t="s">
        <v>105</v>
      </c>
      <c r="P1197" s="11" t="s">
        <v>2248</v>
      </c>
      <c r="R1197" s="1">
        <v>3</v>
      </c>
      <c r="T1197" s="1" t="s">
        <v>646</v>
      </c>
      <c r="U1197" s="186">
        <v>44959.448564814818</v>
      </c>
      <c r="V1197" s="1" t="s">
        <v>41</v>
      </c>
      <c r="W1197" s="1" t="s">
        <v>49</v>
      </c>
      <c r="X1197" s="13" t="str">
        <f t="shared" si="91"/>
        <v/>
      </c>
      <c r="Y1197" s="2">
        <f t="shared" ca="1" si="92"/>
        <v>21</v>
      </c>
      <c r="AA1197" s="14"/>
    </row>
    <row r="1198" spans="1:27" hidden="1">
      <c r="A1198" s="1">
        <v>9419377</v>
      </c>
      <c r="B1198" s="1" t="s">
        <v>101</v>
      </c>
      <c r="C1198" t="s">
        <v>643</v>
      </c>
      <c r="D1198" s="2">
        <v>230021055</v>
      </c>
      <c r="E1198" s="2">
        <v>1059001400040</v>
      </c>
      <c r="F1198" s="1" t="s">
        <v>644</v>
      </c>
      <c r="G1198" s="1" t="s">
        <v>53</v>
      </c>
      <c r="H1198" s="1" t="s">
        <v>88</v>
      </c>
      <c r="I1198" s="1" t="s">
        <v>89</v>
      </c>
      <c r="J1198" s="1" t="s">
        <v>90</v>
      </c>
      <c r="K1198" t="s">
        <v>645</v>
      </c>
      <c r="M1198" s="1" t="s">
        <v>58</v>
      </c>
      <c r="N1198" s="1">
        <v>0</v>
      </c>
      <c r="O1198" s="1" t="s">
        <v>105</v>
      </c>
      <c r="P1198" s="11" t="s">
        <v>3051</v>
      </c>
      <c r="R1198" s="1">
        <v>2</v>
      </c>
      <c r="T1198" s="1" t="s">
        <v>646</v>
      </c>
      <c r="U1198" s="11" t="s">
        <v>4140</v>
      </c>
      <c r="V1198" s="1" t="s">
        <v>41</v>
      </c>
      <c r="W1198" s="1" t="s">
        <v>49</v>
      </c>
      <c r="X1198" s="13" t="str">
        <f t="shared" si="91"/>
        <v/>
      </c>
      <c r="Y1198" s="2">
        <f t="shared" ca="1" si="92"/>
        <v>21</v>
      </c>
      <c r="AA1198" s="14"/>
    </row>
    <row r="1199" spans="1:27" hidden="1">
      <c r="A1199" s="1">
        <v>9419293</v>
      </c>
      <c r="B1199" s="1" t="s">
        <v>101</v>
      </c>
      <c r="C1199" t="s">
        <v>643</v>
      </c>
      <c r="D1199" s="2">
        <v>230021183</v>
      </c>
      <c r="E1199" s="2">
        <v>1421001400040</v>
      </c>
      <c r="F1199" s="1" t="s">
        <v>644</v>
      </c>
      <c r="G1199" s="1" t="s">
        <v>53</v>
      </c>
      <c r="H1199" s="1" t="s">
        <v>179</v>
      </c>
      <c r="I1199" s="1" t="s">
        <v>180</v>
      </c>
      <c r="J1199" s="1" t="s">
        <v>79</v>
      </c>
      <c r="K1199" t="s">
        <v>645</v>
      </c>
      <c r="M1199" s="1" t="s">
        <v>58</v>
      </c>
      <c r="N1199" s="1">
        <v>0</v>
      </c>
      <c r="O1199" s="1" t="s">
        <v>105</v>
      </c>
      <c r="P1199" s="11" t="s">
        <v>3052</v>
      </c>
      <c r="R1199" s="1">
        <v>2</v>
      </c>
      <c r="T1199" s="1" t="s">
        <v>646</v>
      </c>
      <c r="U1199" s="11" t="s">
        <v>4141</v>
      </c>
      <c r="V1199" s="1" t="s">
        <v>41</v>
      </c>
      <c r="W1199" s="1" t="s">
        <v>49</v>
      </c>
      <c r="X1199" s="13" t="str">
        <f t="shared" si="91"/>
        <v/>
      </c>
      <c r="Y1199" s="2">
        <f t="shared" ca="1" si="92"/>
        <v>21</v>
      </c>
      <c r="AA1199" s="14"/>
    </row>
    <row r="1200" spans="1:27" hidden="1">
      <c r="A1200" s="1">
        <v>9419109</v>
      </c>
      <c r="B1200" s="1" t="s">
        <v>101</v>
      </c>
      <c r="C1200" t="s">
        <v>643</v>
      </c>
      <c r="D1200" s="2">
        <v>230020746</v>
      </c>
      <c r="E1200" s="2">
        <v>115001400040</v>
      </c>
      <c r="F1200" s="1" t="s">
        <v>644</v>
      </c>
      <c r="G1200" s="1" t="s">
        <v>53</v>
      </c>
      <c r="H1200" s="1" t="s">
        <v>542</v>
      </c>
      <c r="I1200" s="1" t="s">
        <v>543</v>
      </c>
      <c r="J1200" s="1" t="s">
        <v>56</v>
      </c>
      <c r="K1200" t="s">
        <v>645</v>
      </c>
      <c r="M1200" s="1" t="s">
        <v>58</v>
      </c>
      <c r="N1200" s="1">
        <v>0</v>
      </c>
      <c r="O1200" s="1" t="s">
        <v>105</v>
      </c>
      <c r="P1200" s="11" t="s">
        <v>3053</v>
      </c>
      <c r="R1200" s="1">
        <v>3</v>
      </c>
      <c r="T1200" s="1" t="s">
        <v>646</v>
      </c>
      <c r="U1200" s="11" t="s">
        <v>4142</v>
      </c>
      <c r="V1200" s="1" t="s">
        <v>41</v>
      </c>
      <c r="W1200" s="1" t="s">
        <v>49</v>
      </c>
      <c r="X1200" s="13" t="str">
        <f t="shared" si="91"/>
        <v/>
      </c>
      <c r="Y1200" s="2">
        <f t="shared" ca="1" si="92"/>
        <v>21</v>
      </c>
      <c r="AA1200" s="14"/>
    </row>
    <row r="1201" spans="1:27" hidden="1">
      <c r="A1201" s="1">
        <v>9418769</v>
      </c>
      <c r="B1201" s="1" t="s">
        <v>101</v>
      </c>
      <c r="C1201" t="s">
        <v>643</v>
      </c>
      <c r="D1201" s="2">
        <v>230020782</v>
      </c>
      <c r="E1201" s="2">
        <v>244001400040</v>
      </c>
      <c r="F1201" s="1" t="s">
        <v>644</v>
      </c>
      <c r="G1201" s="1" t="s">
        <v>53</v>
      </c>
      <c r="H1201" s="1" t="s">
        <v>313</v>
      </c>
      <c r="I1201" s="1" t="s">
        <v>314</v>
      </c>
      <c r="J1201" s="1" t="s">
        <v>56</v>
      </c>
      <c r="K1201" t="s">
        <v>645</v>
      </c>
      <c r="M1201" s="1" t="s">
        <v>58</v>
      </c>
      <c r="N1201" s="1">
        <v>0</v>
      </c>
      <c r="O1201" s="1" t="s">
        <v>105</v>
      </c>
      <c r="P1201" s="11" t="s">
        <v>2254</v>
      </c>
      <c r="R1201" s="1">
        <v>3</v>
      </c>
      <c r="T1201" s="1" t="s">
        <v>646</v>
      </c>
      <c r="U1201" s="11" t="s">
        <v>2255</v>
      </c>
      <c r="V1201" s="1" t="s">
        <v>41</v>
      </c>
      <c r="W1201" s="1" t="s">
        <v>49</v>
      </c>
      <c r="X1201" s="13" t="str">
        <f t="shared" si="91"/>
        <v/>
      </c>
      <c r="Y1201" s="2">
        <f t="shared" ca="1" si="92"/>
        <v>21</v>
      </c>
      <c r="AA1201" s="14"/>
    </row>
    <row r="1202" spans="1:27" hidden="1">
      <c r="A1202" s="1">
        <v>9418760</v>
      </c>
      <c r="B1202" s="1" t="s">
        <v>101</v>
      </c>
      <c r="C1202" t="s">
        <v>643</v>
      </c>
      <c r="D1202" s="2">
        <v>230020773</v>
      </c>
      <c r="E1202" s="2">
        <v>196001400040</v>
      </c>
      <c r="F1202" s="1" t="s">
        <v>644</v>
      </c>
      <c r="G1202" s="1" t="s">
        <v>53</v>
      </c>
      <c r="H1202" s="1" t="s">
        <v>1060</v>
      </c>
      <c r="I1202" s="1" t="s">
        <v>1061</v>
      </c>
      <c r="J1202" s="1" t="s">
        <v>79</v>
      </c>
      <c r="K1202" t="s">
        <v>645</v>
      </c>
      <c r="M1202" s="1" t="s">
        <v>58</v>
      </c>
      <c r="N1202" s="1">
        <v>0</v>
      </c>
      <c r="O1202" s="1" t="s">
        <v>105</v>
      </c>
      <c r="P1202" s="48">
        <v>44958.413275462961</v>
      </c>
      <c r="R1202" s="1">
        <v>2</v>
      </c>
      <c r="T1202" s="1" t="s">
        <v>646</v>
      </c>
      <c r="U1202" s="186">
        <v>44959.413287037038</v>
      </c>
      <c r="V1202" s="1" t="s">
        <v>41</v>
      </c>
      <c r="W1202" s="1" t="s">
        <v>49</v>
      </c>
      <c r="X1202" s="13" t="str">
        <f t="shared" si="91"/>
        <v/>
      </c>
      <c r="Y1202" s="2">
        <f t="shared" ca="1" si="92"/>
        <v>21</v>
      </c>
      <c r="AA1202" s="14"/>
    </row>
    <row r="1203" spans="1:27" hidden="1">
      <c r="A1203" s="1">
        <v>9418531</v>
      </c>
      <c r="B1203" s="1" t="s">
        <v>101</v>
      </c>
      <c r="C1203" t="s">
        <v>643</v>
      </c>
      <c r="D1203" s="2">
        <v>230019757</v>
      </c>
      <c r="E1203" s="2">
        <v>2229001400030</v>
      </c>
      <c r="F1203" s="1" t="s">
        <v>647</v>
      </c>
      <c r="G1203" s="1" t="s">
        <v>53</v>
      </c>
      <c r="H1203" s="1" t="s">
        <v>339</v>
      </c>
      <c r="I1203" s="1" t="s">
        <v>340</v>
      </c>
      <c r="J1203" s="1" t="s">
        <v>211</v>
      </c>
      <c r="K1203" t="s">
        <v>650</v>
      </c>
      <c r="M1203" s="1" t="s">
        <v>58</v>
      </c>
      <c r="N1203" s="1">
        <v>0</v>
      </c>
      <c r="O1203" s="1" t="s">
        <v>105</v>
      </c>
      <c r="P1203" s="48">
        <v>44958.399722222224</v>
      </c>
      <c r="R1203" s="1">
        <v>4</v>
      </c>
      <c r="T1203" s="1" t="s">
        <v>646</v>
      </c>
      <c r="U1203" s="11" t="s">
        <v>3056</v>
      </c>
      <c r="V1203" s="1" t="s">
        <v>41</v>
      </c>
      <c r="W1203" s="1" t="s">
        <v>49</v>
      </c>
      <c r="X1203" s="13" t="str">
        <f t="shared" si="91"/>
        <v/>
      </c>
      <c r="Y1203" s="2">
        <f t="shared" ca="1" si="92"/>
        <v>21</v>
      </c>
      <c r="AA1203" s="14"/>
    </row>
    <row r="1204" spans="1:27" hidden="1">
      <c r="A1204" s="1">
        <v>9418473</v>
      </c>
      <c r="B1204" s="1" t="s">
        <v>101</v>
      </c>
      <c r="C1204" t="s">
        <v>643</v>
      </c>
      <c r="D1204" s="2">
        <v>230019725</v>
      </c>
      <c r="E1204" s="2">
        <v>2170001400030</v>
      </c>
      <c r="F1204" s="1" t="s">
        <v>647</v>
      </c>
      <c r="G1204" s="1" t="s">
        <v>53</v>
      </c>
      <c r="H1204" s="1" t="s">
        <v>477</v>
      </c>
      <c r="I1204" s="1" t="s">
        <v>478</v>
      </c>
      <c r="J1204" s="1" t="s">
        <v>148</v>
      </c>
      <c r="K1204" t="s">
        <v>650</v>
      </c>
      <c r="M1204" s="1" t="s">
        <v>58</v>
      </c>
      <c r="N1204" s="1">
        <v>0</v>
      </c>
      <c r="O1204" s="1" t="s">
        <v>105</v>
      </c>
      <c r="P1204" s="48">
        <v>44958.396168981482</v>
      </c>
      <c r="R1204" s="1">
        <v>4</v>
      </c>
      <c r="T1204" s="1" t="s">
        <v>646</v>
      </c>
      <c r="U1204" s="11" t="s">
        <v>2263</v>
      </c>
      <c r="V1204" s="1" t="s">
        <v>41</v>
      </c>
      <c r="W1204" s="1" t="s">
        <v>49</v>
      </c>
      <c r="X1204" s="13" t="str">
        <f t="shared" si="91"/>
        <v/>
      </c>
      <c r="Y1204" s="2">
        <f t="shared" ca="1" si="92"/>
        <v>21</v>
      </c>
      <c r="AA1204" s="14"/>
    </row>
    <row r="1205" spans="1:27" hidden="1">
      <c r="A1205" s="1">
        <v>9418455</v>
      </c>
      <c r="B1205" s="1" t="s">
        <v>101</v>
      </c>
      <c r="C1205" t="s">
        <v>643</v>
      </c>
      <c r="D1205" s="2">
        <v>230019708</v>
      </c>
      <c r="E1205" s="2">
        <v>2138001400030</v>
      </c>
      <c r="F1205" s="1" t="s">
        <v>647</v>
      </c>
      <c r="G1205" s="1" t="s">
        <v>53</v>
      </c>
      <c r="H1205" s="1" t="s">
        <v>379</v>
      </c>
      <c r="I1205" s="1" t="s">
        <v>380</v>
      </c>
      <c r="J1205" s="1" t="s">
        <v>46</v>
      </c>
      <c r="K1205" t="s">
        <v>650</v>
      </c>
      <c r="M1205" s="1" t="s">
        <v>58</v>
      </c>
      <c r="N1205" s="1">
        <v>0</v>
      </c>
      <c r="O1205" s="1" t="s">
        <v>105</v>
      </c>
      <c r="P1205" s="48">
        <v>44958.394756944443</v>
      </c>
      <c r="R1205" s="1">
        <v>4</v>
      </c>
      <c r="T1205" s="1" t="s">
        <v>646</v>
      </c>
      <c r="U1205" s="11" t="s">
        <v>2265</v>
      </c>
      <c r="V1205" s="1" t="s">
        <v>41</v>
      </c>
      <c r="W1205" s="1" t="s">
        <v>49</v>
      </c>
      <c r="X1205" s="13" t="str">
        <f t="shared" si="91"/>
        <v/>
      </c>
      <c r="Y1205" s="2">
        <f t="shared" ca="1" si="92"/>
        <v>21</v>
      </c>
      <c r="AA1205" s="14"/>
    </row>
    <row r="1206" spans="1:27" hidden="1">
      <c r="A1206" s="1">
        <v>9418331</v>
      </c>
      <c r="B1206" s="1" t="s">
        <v>101</v>
      </c>
      <c r="C1206" t="s">
        <v>643</v>
      </c>
      <c r="D1206" s="2">
        <v>230019888</v>
      </c>
      <c r="E1206" s="2">
        <v>2590001400030</v>
      </c>
      <c r="F1206" s="1" t="s">
        <v>647</v>
      </c>
      <c r="G1206" s="1" t="s">
        <v>53</v>
      </c>
      <c r="H1206" s="1" t="s">
        <v>394</v>
      </c>
      <c r="I1206" s="1" t="s">
        <v>395</v>
      </c>
      <c r="J1206" s="1" t="s">
        <v>148</v>
      </c>
      <c r="K1206" t="s">
        <v>650</v>
      </c>
      <c r="M1206" s="1" t="s">
        <v>58</v>
      </c>
      <c r="N1206" s="1">
        <v>0</v>
      </c>
      <c r="O1206" s="1" t="s">
        <v>105</v>
      </c>
      <c r="P1206" s="48">
        <v>44958.387199074074</v>
      </c>
      <c r="R1206" s="1">
        <v>4</v>
      </c>
      <c r="T1206" s="1" t="s">
        <v>646</v>
      </c>
      <c r="U1206" s="186">
        <v>44959.387199074074</v>
      </c>
      <c r="V1206" s="1" t="s">
        <v>41</v>
      </c>
      <c r="W1206" s="1" t="s">
        <v>49</v>
      </c>
      <c r="X1206" s="13" t="str">
        <f t="shared" si="91"/>
        <v/>
      </c>
      <c r="Y1206" s="2">
        <f t="shared" ca="1" si="92"/>
        <v>21</v>
      </c>
      <c r="AA1206" s="14"/>
    </row>
    <row r="1207" spans="1:27" hidden="1">
      <c r="A1207" s="1">
        <v>9418162</v>
      </c>
      <c r="B1207" s="1" t="s">
        <v>101</v>
      </c>
      <c r="C1207" t="s">
        <v>643</v>
      </c>
      <c r="D1207" s="2">
        <v>230020107</v>
      </c>
      <c r="E1207" s="2">
        <v>3108011400030</v>
      </c>
      <c r="F1207" s="1" t="s">
        <v>647</v>
      </c>
      <c r="G1207" s="1" t="s">
        <v>53</v>
      </c>
      <c r="H1207" s="1" t="s">
        <v>503</v>
      </c>
      <c r="I1207" s="1" t="s">
        <v>504</v>
      </c>
      <c r="J1207" s="1" t="s">
        <v>46</v>
      </c>
      <c r="K1207" t="s">
        <v>650</v>
      </c>
      <c r="M1207" s="1" t="s">
        <v>58</v>
      </c>
      <c r="N1207" s="1">
        <v>0</v>
      </c>
      <c r="O1207" s="1" t="s">
        <v>105</v>
      </c>
      <c r="P1207" s="48">
        <v>44958.376886574071</v>
      </c>
      <c r="R1207" s="1">
        <v>4</v>
      </c>
      <c r="T1207" s="1" t="s">
        <v>646</v>
      </c>
      <c r="U1207" s="11" t="s">
        <v>3058</v>
      </c>
      <c r="V1207" s="1" t="s">
        <v>41</v>
      </c>
      <c r="W1207" s="1" t="s">
        <v>49</v>
      </c>
      <c r="X1207" s="13" t="str">
        <f t="shared" si="91"/>
        <v>3108.01</v>
      </c>
      <c r="Y1207" s="2">
        <f t="shared" ca="1" si="92"/>
        <v>21</v>
      </c>
      <c r="AA1207" s="14"/>
    </row>
    <row r="1208" spans="1:27" hidden="1">
      <c r="A1208" s="1">
        <v>9418133</v>
      </c>
      <c r="B1208" s="1" t="s">
        <v>101</v>
      </c>
      <c r="C1208" t="s">
        <v>643</v>
      </c>
      <c r="D1208" s="2">
        <v>230020053</v>
      </c>
      <c r="E1208" s="2">
        <v>2988001400030</v>
      </c>
      <c r="F1208" s="1" t="s">
        <v>647</v>
      </c>
      <c r="G1208" s="1" t="s">
        <v>53</v>
      </c>
      <c r="H1208" s="1" t="s">
        <v>536</v>
      </c>
      <c r="I1208" s="1" t="s">
        <v>537</v>
      </c>
      <c r="J1208" s="1" t="s">
        <v>46</v>
      </c>
      <c r="K1208" t="s">
        <v>650</v>
      </c>
      <c r="M1208" s="1" t="s">
        <v>58</v>
      </c>
      <c r="N1208" s="1">
        <v>0</v>
      </c>
      <c r="O1208" s="1" t="s">
        <v>105</v>
      </c>
      <c r="P1208" s="48">
        <v>44958.374942129631</v>
      </c>
      <c r="R1208" s="1">
        <v>4</v>
      </c>
      <c r="T1208" s="1" t="s">
        <v>646</v>
      </c>
      <c r="U1208" s="11" t="s">
        <v>3060</v>
      </c>
      <c r="V1208" s="1" t="s">
        <v>41</v>
      </c>
      <c r="W1208" s="1" t="s">
        <v>49</v>
      </c>
      <c r="X1208" s="13" t="str">
        <f t="shared" si="91"/>
        <v/>
      </c>
      <c r="Y1208" s="2">
        <f t="shared" ca="1" si="92"/>
        <v>21</v>
      </c>
      <c r="AA1208" s="14"/>
    </row>
    <row r="1209" spans="1:27" hidden="1">
      <c r="A1209" s="1">
        <v>9418017</v>
      </c>
      <c r="B1209" s="1" t="s">
        <v>101</v>
      </c>
      <c r="C1209" t="s">
        <v>643</v>
      </c>
      <c r="D1209" s="2">
        <v>230019614</v>
      </c>
      <c r="E1209" s="2">
        <v>1764001400030</v>
      </c>
      <c r="F1209" s="1" t="s">
        <v>647</v>
      </c>
      <c r="G1209" s="1" t="s">
        <v>53</v>
      </c>
      <c r="H1209" s="1" t="s">
        <v>722</v>
      </c>
      <c r="I1209" s="1" t="s">
        <v>723</v>
      </c>
      <c r="J1209" s="1" t="s">
        <v>90</v>
      </c>
      <c r="K1209" t="s">
        <v>650</v>
      </c>
      <c r="M1209" s="1" t="s">
        <v>58</v>
      </c>
      <c r="N1209" s="1">
        <v>0</v>
      </c>
      <c r="O1209" s="1" t="s">
        <v>105</v>
      </c>
      <c r="P1209" s="48">
        <v>44958.367951388886</v>
      </c>
      <c r="R1209" s="1">
        <v>4</v>
      </c>
      <c r="T1209" s="1" t="s">
        <v>646</v>
      </c>
      <c r="U1209" s="11" t="s">
        <v>3062</v>
      </c>
      <c r="V1209" s="1" t="s">
        <v>41</v>
      </c>
      <c r="W1209" s="1" t="s">
        <v>49</v>
      </c>
      <c r="X1209" s="13" t="str">
        <f t="shared" si="91"/>
        <v/>
      </c>
      <c r="Y1209" s="2">
        <f t="shared" ca="1" si="92"/>
        <v>21</v>
      </c>
      <c r="AA1209" s="14"/>
    </row>
    <row r="1210" spans="1:27" hidden="1">
      <c r="A1210" s="1">
        <v>9417996</v>
      </c>
      <c r="B1210" s="1" t="s">
        <v>101</v>
      </c>
      <c r="C1210" t="s">
        <v>643</v>
      </c>
      <c r="D1210" s="2">
        <v>230019599</v>
      </c>
      <c r="E1210" s="2">
        <v>1739001400030</v>
      </c>
      <c r="F1210" s="1" t="s">
        <v>647</v>
      </c>
      <c r="G1210" s="1" t="s">
        <v>53</v>
      </c>
      <c r="H1210" s="1" t="s">
        <v>162</v>
      </c>
      <c r="I1210" s="1" t="s">
        <v>163</v>
      </c>
      <c r="J1210" s="1" t="s">
        <v>164</v>
      </c>
      <c r="K1210" t="s">
        <v>650</v>
      </c>
      <c r="M1210" s="1" t="s">
        <v>58</v>
      </c>
      <c r="N1210" s="1">
        <v>0</v>
      </c>
      <c r="O1210" s="1" t="s">
        <v>105</v>
      </c>
      <c r="P1210" s="48">
        <v>44958.36650462963</v>
      </c>
      <c r="R1210" s="1">
        <v>4</v>
      </c>
      <c r="T1210" s="1" t="s">
        <v>646</v>
      </c>
      <c r="U1210" s="11" t="s">
        <v>2271</v>
      </c>
      <c r="V1210" s="1" t="s">
        <v>41</v>
      </c>
      <c r="W1210" s="1" t="s">
        <v>49</v>
      </c>
      <c r="X1210" s="13" t="str">
        <f t="shared" ref="X1210:X1273" si="93">IF(RIGHT(H1210,2)&lt;&gt;"00",H1210,"")</f>
        <v/>
      </c>
      <c r="Y1210" s="2">
        <f t="shared" ref="Y1210:Y1273" ca="1" si="94">NETWORKDAYS(P1210,$Y$1)</f>
        <v>21</v>
      </c>
      <c r="AA1210" s="14"/>
    </row>
    <row r="1211" spans="1:27" hidden="1">
      <c r="A1211" s="1">
        <v>9417969</v>
      </c>
      <c r="B1211" s="1" t="s">
        <v>101</v>
      </c>
      <c r="C1211" t="s">
        <v>643</v>
      </c>
      <c r="D1211" s="2">
        <v>230019588</v>
      </c>
      <c r="E1211" s="2">
        <v>1710001400030</v>
      </c>
      <c r="F1211" s="1" t="s">
        <v>647</v>
      </c>
      <c r="G1211" s="1" t="s">
        <v>53</v>
      </c>
      <c r="H1211" s="1" t="s">
        <v>327</v>
      </c>
      <c r="I1211" s="1" t="s">
        <v>328</v>
      </c>
      <c r="J1211" s="1" t="s">
        <v>261</v>
      </c>
      <c r="K1211" t="s">
        <v>650</v>
      </c>
      <c r="M1211" s="1" t="s">
        <v>58</v>
      </c>
      <c r="N1211" s="1">
        <v>0</v>
      </c>
      <c r="O1211" s="1" t="s">
        <v>105</v>
      </c>
      <c r="P1211" s="48">
        <v>44958.365451388891</v>
      </c>
      <c r="R1211" s="1">
        <v>4</v>
      </c>
      <c r="T1211" s="1" t="s">
        <v>646</v>
      </c>
      <c r="U1211" s="11" t="s">
        <v>2273</v>
      </c>
      <c r="V1211" s="1" t="s">
        <v>41</v>
      </c>
      <c r="W1211" s="1" t="s">
        <v>49</v>
      </c>
      <c r="X1211" s="13" t="str">
        <f t="shared" si="93"/>
        <v/>
      </c>
      <c r="Y1211" s="2">
        <f t="shared" ca="1" si="94"/>
        <v>21</v>
      </c>
      <c r="AA1211" s="14"/>
    </row>
    <row r="1212" spans="1:27" hidden="1">
      <c r="A1212" s="1">
        <v>9417939</v>
      </c>
      <c r="B1212" s="1" t="s">
        <v>101</v>
      </c>
      <c r="C1212" t="s">
        <v>643</v>
      </c>
      <c r="D1212" s="2">
        <v>230019562</v>
      </c>
      <c r="E1212" s="2">
        <v>1650001400030</v>
      </c>
      <c r="F1212" s="1" t="s">
        <v>647</v>
      </c>
      <c r="G1212" s="1" t="s">
        <v>53</v>
      </c>
      <c r="H1212" s="1" t="s">
        <v>620</v>
      </c>
      <c r="I1212" s="1" t="s">
        <v>621</v>
      </c>
      <c r="J1212" s="1" t="s">
        <v>141</v>
      </c>
      <c r="K1212" t="s">
        <v>650</v>
      </c>
      <c r="M1212" s="1" t="s">
        <v>58</v>
      </c>
      <c r="N1212" s="1">
        <v>0</v>
      </c>
      <c r="O1212" s="1" t="s">
        <v>105</v>
      </c>
      <c r="P1212" s="186">
        <v>44958.363310185188</v>
      </c>
      <c r="R1212" s="1">
        <v>4</v>
      </c>
      <c r="T1212" s="1" t="s">
        <v>646</v>
      </c>
      <c r="U1212" s="186">
        <v>44959.363310185188</v>
      </c>
      <c r="V1212" s="1" t="s">
        <v>41</v>
      </c>
      <c r="W1212" s="1" t="s">
        <v>49</v>
      </c>
      <c r="X1212" s="13" t="str">
        <f t="shared" si="93"/>
        <v/>
      </c>
      <c r="Y1212" s="2">
        <f t="shared" ca="1" si="94"/>
        <v>21</v>
      </c>
      <c r="AA1212" s="14"/>
    </row>
    <row r="1213" spans="1:27" hidden="1">
      <c r="A1213" s="1">
        <v>9417911</v>
      </c>
      <c r="B1213" s="1" t="s">
        <v>101</v>
      </c>
      <c r="C1213" t="s">
        <v>643</v>
      </c>
      <c r="D1213" s="2">
        <v>230019546</v>
      </c>
      <c r="E1213" s="2">
        <v>1620001400030</v>
      </c>
      <c r="F1213" s="1" t="s">
        <v>647</v>
      </c>
      <c r="G1213" s="1" t="s">
        <v>53</v>
      </c>
      <c r="H1213" s="1" t="s">
        <v>402</v>
      </c>
      <c r="I1213" s="1" t="s">
        <v>403</v>
      </c>
      <c r="J1213" s="1" t="s">
        <v>46</v>
      </c>
      <c r="K1213" t="s">
        <v>650</v>
      </c>
      <c r="M1213" s="1" t="s">
        <v>58</v>
      </c>
      <c r="N1213" s="1">
        <v>0</v>
      </c>
      <c r="O1213" s="1" t="s">
        <v>105</v>
      </c>
      <c r="P1213" s="186">
        <v>44958.361921296295</v>
      </c>
      <c r="R1213" s="1">
        <v>4</v>
      </c>
      <c r="T1213" s="1" t="s">
        <v>646</v>
      </c>
      <c r="U1213" s="186">
        <v>44959.361921296295</v>
      </c>
      <c r="V1213" s="1" t="s">
        <v>41</v>
      </c>
      <c r="W1213" s="1" t="s">
        <v>49</v>
      </c>
      <c r="X1213" s="13" t="str">
        <f t="shared" si="93"/>
        <v/>
      </c>
      <c r="Y1213" s="2">
        <f t="shared" ca="1" si="94"/>
        <v>21</v>
      </c>
      <c r="AA1213" s="14"/>
    </row>
    <row r="1214" spans="1:27" hidden="1">
      <c r="A1214" s="1">
        <v>9417871</v>
      </c>
      <c r="B1214" s="1" t="s">
        <v>101</v>
      </c>
      <c r="C1214" t="s">
        <v>643</v>
      </c>
      <c r="D1214" s="2">
        <v>230019450</v>
      </c>
      <c r="E1214" s="2">
        <v>1421001400030</v>
      </c>
      <c r="F1214" s="1" t="s">
        <v>647</v>
      </c>
      <c r="G1214" s="1" t="s">
        <v>53</v>
      </c>
      <c r="H1214" s="1" t="s">
        <v>179</v>
      </c>
      <c r="I1214" s="1" t="s">
        <v>180</v>
      </c>
      <c r="J1214" s="1" t="s">
        <v>79</v>
      </c>
      <c r="K1214" t="s">
        <v>650</v>
      </c>
      <c r="M1214" s="1" t="s">
        <v>58</v>
      </c>
      <c r="N1214" s="1">
        <v>0</v>
      </c>
      <c r="O1214" s="1" t="s">
        <v>105</v>
      </c>
      <c r="P1214" s="186">
        <v>44958.358854166669</v>
      </c>
      <c r="R1214" s="1">
        <v>4</v>
      </c>
      <c r="T1214" s="1" t="s">
        <v>646</v>
      </c>
      <c r="U1214" s="186">
        <v>44959.358854166669</v>
      </c>
      <c r="V1214" s="1" t="s">
        <v>41</v>
      </c>
      <c r="W1214" s="1" t="s">
        <v>49</v>
      </c>
      <c r="X1214" s="13" t="str">
        <f t="shared" si="93"/>
        <v/>
      </c>
      <c r="Y1214" s="2">
        <f t="shared" ca="1" si="94"/>
        <v>21</v>
      </c>
      <c r="AA1214" s="14"/>
    </row>
    <row r="1215" spans="1:27" hidden="1">
      <c r="A1215" s="1">
        <v>9417830</v>
      </c>
      <c r="B1215" s="1" t="s">
        <v>101</v>
      </c>
      <c r="C1215" t="s">
        <v>643</v>
      </c>
      <c r="D1215" s="2">
        <v>230019421</v>
      </c>
      <c r="E1215" s="2">
        <v>1361001400030</v>
      </c>
      <c r="F1215" s="1" t="s">
        <v>647</v>
      </c>
      <c r="G1215" s="1" t="s">
        <v>53</v>
      </c>
      <c r="H1215" s="1" t="s">
        <v>309</v>
      </c>
      <c r="I1215" s="1" t="s">
        <v>310</v>
      </c>
      <c r="J1215" s="1" t="s">
        <v>46</v>
      </c>
      <c r="K1215" t="s">
        <v>650</v>
      </c>
      <c r="M1215" s="1" t="s">
        <v>58</v>
      </c>
      <c r="N1215" s="1">
        <v>0</v>
      </c>
      <c r="O1215" s="1" t="s">
        <v>105</v>
      </c>
      <c r="P1215" s="186">
        <v>44958.356481481482</v>
      </c>
      <c r="R1215" s="1">
        <v>4</v>
      </c>
      <c r="T1215" s="1" t="s">
        <v>646</v>
      </c>
      <c r="U1215" s="186">
        <v>44959.356493055559</v>
      </c>
      <c r="V1215" s="1" t="s">
        <v>41</v>
      </c>
      <c r="W1215" s="1" t="s">
        <v>49</v>
      </c>
      <c r="X1215" s="13" t="str">
        <f t="shared" si="93"/>
        <v/>
      </c>
      <c r="Y1215" s="2">
        <f t="shared" ca="1" si="94"/>
        <v>21</v>
      </c>
      <c r="AA1215" s="14"/>
    </row>
    <row r="1216" spans="1:27" hidden="1">
      <c r="A1216" s="1">
        <v>9417682</v>
      </c>
      <c r="B1216" s="1" t="s">
        <v>101</v>
      </c>
      <c r="C1216" t="s">
        <v>643</v>
      </c>
      <c r="D1216" s="2">
        <v>230019273</v>
      </c>
      <c r="E1216" s="2">
        <v>963001400030</v>
      </c>
      <c r="F1216" s="1" t="s">
        <v>647</v>
      </c>
      <c r="G1216" s="1" t="s">
        <v>53</v>
      </c>
      <c r="H1216" s="1" t="s">
        <v>531</v>
      </c>
      <c r="I1216" s="1" t="s">
        <v>532</v>
      </c>
      <c r="J1216" s="1" t="s">
        <v>33</v>
      </c>
      <c r="K1216" t="s">
        <v>650</v>
      </c>
      <c r="M1216" s="1" t="s">
        <v>58</v>
      </c>
      <c r="N1216" s="1">
        <v>0</v>
      </c>
      <c r="O1216" s="1" t="s">
        <v>105</v>
      </c>
      <c r="P1216" s="186">
        <v>44958.34814814815</v>
      </c>
      <c r="R1216" s="1">
        <v>4</v>
      </c>
      <c r="T1216" s="1" t="s">
        <v>646</v>
      </c>
      <c r="U1216" s="186">
        <v>44959.34814814815</v>
      </c>
      <c r="V1216" s="1" t="s">
        <v>41</v>
      </c>
      <c r="W1216" s="1" t="s">
        <v>49</v>
      </c>
      <c r="X1216" s="13" t="str">
        <f t="shared" si="93"/>
        <v/>
      </c>
      <c r="Y1216" s="2">
        <f t="shared" ca="1" si="94"/>
        <v>21</v>
      </c>
      <c r="AA1216" s="14"/>
    </row>
    <row r="1217" spans="1:27" hidden="1">
      <c r="A1217" s="1">
        <v>9417663</v>
      </c>
      <c r="B1217" s="1" t="s">
        <v>101</v>
      </c>
      <c r="C1217" t="s">
        <v>643</v>
      </c>
      <c r="D1217" s="2">
        <v>230019027</v>
      </c>
      <c r="E1217" s="2">
        <v>196001400030</v>
      </c>
      <c r="F1217" s="1" t="s">
        <v>647</v>
      </c>
      <c r="G1217" s="1" t="s">
        <v>53</v>
      </c>
      <c r="H1217" s="1" t="s">
        <v>1060</v>
      </c>
      <c r="I1217" s="1" t="s">
        <v>1061</v>
      </c>
      <c r="J1217" s="1" t="s">
        <v>79</v>
      </c>
      <c r="K1217" t="s">
        <v>650</v>
      </c>
      <c r="M1217" s="1" t="s">
        <v>58</v>
      </c>
      <c r="N1217" s="1">
        <v>0</v>
      </c>
      <c r="O1217" s="1" t="s">
        <v>105</v>
      </c>
      <c r="P1217" s="186">
        <v>44958.346817129626</v>
      </c>
      <c r="R1217" s="1">
        <v>4</v>
      </c>
      <c r="T1217" s="1" t="s">
        <v>646</v>
      </c>
      <c r="U1217" s="186">
        <v>44959.346817129626</v>
      </c>
      <c r="V1217" s="1" t="s">
        <v>41</v>
      </c>
      <c r="W1217" s="1" t="s">
        <v>49</v>
      </c>
      <c r="X1217" s="13" t="str">
        <f t="shared" si="93"/>
        <v/>
      </c>
      <c r="Y1217" s="2">
        <f t="shared" ca="1" si="94"/>
        <v>21</v>
      </c>
      <c r="AA1217" s="14"/>
    </row>
    <row r="1218" spans="1:27" hidden="1">
      <c r="A1218" s="1">
        <v>9417398</v>
      </c>
      <c r="B1218" s="1" t="s">
        <v>101</v>
      </c>
      <c r="C1218" t="s">
        <v>643</v>
      </c>
      <c r="D1218" s="2">
        <v>230019037</v>
      </c>
      <c r="E1218" s="2">
        <v>244001400030</v>
      </c>
      <c r="F1218" s="1" t="s">
        <v>647</v>
      </c>
      <c r="G1218" s="1" t="s">
        <v>53</v>
      </c>
      <c r="H1218" s="1" t="s">
        <v>313</v>
      </c>
      <c r="I1218" s="1" t="s">
        <v>314</v>
      </c>
      <c r="J1218" s="1" t="s">
        <v>56</v>
      </c>
      <c r="K1218" t="s">
        <v>650</v>
      </c>
      <c r="M1218" s="1" t="s">
        <v>58</v>
      </c>
      <c r="N1218" s="1">
        <v>0</v>
      </c>
      <c r="O1218" s="1" t="s">
        <v>105</v>
      </c>
      <c r="P1218" s="186">
        <v>44958.331423611111</v>
      </c>
      <c r="R1218" s="1">
        <v>4</v>
      </c>
      <c r="T1218" s="1" t="s">
        <v>646</v>
      </c>
      <c r="U1218" s="186">
        <v>44959.331423611111</v>
      </c>
      <c r="V1218" s="1" t="s">
        <v>41</v>
      </c>
      <c r="W1218" s="1" t="s">
        <v>49</v>
      </c>
      <c r="X1218" s="13" t="str">
        <f t="shared" si="93"/>
        <v/>
      </c>
      <c r="Y1218" s="2">
        <f t="shared" ca="1" si="94"/>
        <v>21</v>
      </c>
      <c r="AA1218" s="14"/>
    </row>
    <row r="1219" spans="1:27" hidden="1">
      <c r="A1219" s="1">
        <v>9417212</v>
      </c>
      <c r="B1219" s="1" t="s">
        <v>101</v>
      </c>
      <c r="C1219" t="s">
        <v>643</v>
      </c>
      <c r="D1219" s="2">
        <v>230018456</v>
      </c>
      <c r="E1219" s="2">
        <v>2988001400010</v>
      </c>
      <c r="F1219" s="1" t="s">
        <v>936</v>
      </c>
      <c r="G1219" s="1" t="s">
        <v>53</v>
      </c>
      <c r="H1219" s="1" t="s">
        <v>536</v>
      </c>
      <c r="I1219" s="1" t="s">
        <v>537</v>
      </c>
      <c r="J1219" s="1" t="s">
        <v>46</v>
      </c>
      <c r="K1219" t="s">
        <v>937</v>
      </c>
      <c r="M1219" s="1" t="s">
        <v>58</v>
      </c>
      <c r="N1219" s="1">
        <v>0</v>
      </c>
      <c r="O1219" s="1" t="s">
        <v>105</v>
      </c>
      <c r="P1219" s="186">
        <v>44958.319374999999</v>
      </c>
      <c r="R1219" s="1">
        <v>3</v>
      </c>
      <c r="T1219" s="1" t="s">
        <v>646</v>
      </c>
      <c r="U1219" s="186">
        <v>44959.319374999999</v>
      </c>
      <c r="V1219" s="1" t="s">
        <v>41</v>
      </c>
      <c r="W1219" s="1" t="s">
        <v>49</v>
      </c>
      <c r="X1219" s="13" t="str">
        <f t="shared" si="93"/>
        <v/>
      </c>
      <c r="Y1219" s="2">
        <f t="shared" ca="1" si="94"/>
        <v>21</v>
      </c>
      <c r="AA1219" s="14"/>
    </row>
    <row r="1220" spans="1:27" hidden="1">
      <c r="A1220" s="1">
        <v>9417149</v>
      </c>
      <c r="B1220" s="1" t="s">
        <v>101</v>
      </c>
      <c r="C1220" t="s">
        <v>643</v>
      </c>
      <c r="D1220" s="2">
        <v>230018509</v>
      </c>
      <c r="E1220" s="2">
        <v>3108011400010</v>
      </c>
      <c r="F1220" s="1" t="s">
        <v>936</v>
      </c>
      <c r="G1220" s="1" t="s">
        <v>53</v>
      </c>
      <c r="H1220" s="1" t="s">
        <v>503</v>
      </c>
      <c r="I1220" s="1" t="s">
        <v>504</v>
      </c>
      <c r="J1220" s="1" t="s">
        <v>46</v>
      </c>
      <c r="K1220" t="s">
        <v>937</v>
      </c>
      <c r="M1220" s="1" t="s">
        <v>58</v>
      </c>
      <c r="N1220" s="1">
        <v>0</v>
      </c>
      <c r="O1220" s="1" t="s">
        <v>105</v>
      </c>
      <c r="P1220" s="186">
        <v>44958.315439814818</v>
      </c>
      <c r="R1220" s="1">
        <v>3</v>
      </c>
      <c r="T1220" s="1" t="s">
        <v>646</v>
      </c>
      <c r="U1220" s="186">
        <v>44959.315439814818</v>
      </c>
      <c r="V1220" s="1" t="s">
        <v>41</v>
      </c>
      <c r="W1220" s="1" t="s">
        <v>49</v>
      </c>
      <c r="X1220" s="13" t="str">
        <f t="shared" si="93"/>
        <v>3108.01</v>
      </c>
      <c r="Y1220" s="2">
        <f t="shared" ca="1" si="94"/>
        <v>21</v>
      </c>
      <c r="AA1220" s="14"/>
    </row>
    <row r="1221" spans="1:27" hidden="1">
      <c r="A1221" s="1">
        <v>9417113</v>
      </c>
      <c r="B1221" s="1" t="s">
        <v>101</v>
      </c>
      <c r="C1221" t="s">
        <v>643</v>
      </c>
      <c r="D1221" s="2">
        <v>230018311</v>
      </c>
      <c r="E1221" s="2">
        <v>2590001400010</v>
      </c>
      <c r="F1221" s="1" t="s">
        <v>936</v>
      </c>
      <c r="G1221" s="1" t="s">
        <v>53</v>
      </c>
      <c r="H1221" s="1" t="s">
        <v>394</v>
      </c>
      <c r="I1221" s="1" t="s">
        <v>395</v>
      </c>
      <c r="J1221" s="1" t="s">
        <v>148</v>
      </c>
      <c r="K1221" t="s">
        <v>937</v>
      </c>
      <c r="M1221" s="1" t="s">
        <v>58</v>
      </c>
      <c r="N1221" s="1">
        <v>0</v>
      </c>
      <c r="O1221" s="1" t="s">
        <v>105</v>
      </c>
      <c r="P1221" s="186">
        <v>44958.312662037039</v>
      </c>
      <c r="R1221" s="1">
        <v>3</v>
      </c>
      <c r="T1221" s="1" t="s">
        <v>646</v>
      </c>
      <c r="U1221" s="186">
        <v>44959.312662037039</v>
      </c>
      <c r="V1221" s="1" t="s">
        <v>41</v>
      </c>
      <c r="W1221" s="1" t="s">
        <v>49</v>
      </c>
      <c r="X1221" s="13" t="str">
        <f t="shared" si="93"/>
        <v/>
      </c>
      <c r="Y1221" s="2">
        <f t="shared" ca="1" si="94"/>
        <v>21</v>
      </c>
      <c r="AA1221" s="14"/>
    </row>
    <row r="1222" spans="1:27" hidden="1">
      <c r="A1222" s="1">
        <v>9417043</v>
      </c>
      <c r="B1222" s="1" t="s">
        <v>101</v>
      </c>
      <c r="C1222" t="s">
        <v>643</v>
      </c>
      <c r="D1222" s="2">
        <v>230018262</v>
      </c>
      <c r="E1222" s="2">
        <v>2422001400010</v>
      </c>
      <c r="F1222" s="1" t="s">
        <v>936</v>
      </c>
      <c r="G1222" s="1" t="s">
        <v>53</v>
      </c>
      <c r="H1222" s="1" t="s">
        <v>1844</v>
      </c>
      <c r="I1222" s="1" t="s">
        <v>1845</v>
      </c>
      <c r="J1222" s="1" t="s">
        <v>211</v>
      </c>
      <c r="K1222" t="s">
        <v>937</v>
      </c>
      <c r="M1222" s="1" t="s">
        <v>58</v>
      </c>
      <c r="N1222" s="1">
        <v>0</v>
      </c>
      <c r="O1222" s="1" t="s">
        <v>105</v>
      </c>
      <c r="P1222" s="186">
        <v>44958.308923611112</v>
      </c>
      <c r="R1222" s="1">
        <v>3</v>
      </c>
      <c r="T1222" s="1" t="s">
        <v>646</v>
      </c>
      <c r="U1222" s="186">
        <v>44959.308923611112</v>
      </c>
      <c r="V1222" s="1" t="s">
        <v>41</v>
      </c>
      <c r="W1222" s="1" t="s">
        <v>49</v>
      </c>
      <c r="X1222" s="13" t="str">
        <f t="shared" si="93"/>
        <v/>
      </c>
      <c r="Y1222" s="2">
        <f t="shared" ca="1" si="94"/>
        <v>21</v>
      </c>
      <c r="AA1222" s="14"/>
    </row>
    <row r="1223" spans="1:27" hidden="1">
      <c r="A1223" s="1">
        <v>9416985</v>
      </c>
      <c r="B1223" s="1" t="s">
        <v>101</v>
      </c>
      <c r="C1223" t="s">
        <v>643</v>
      </c>
      <c r="D1223" s="2">
        <v>230018075</v>
      </c>
      <c r="E1223" s="2">
        <v>1838001400010</v>
      </c>
      <c r="F1223" s="1" t="s">
        <v>936</v>
      </c>
      <c r="G1223" s="1" t="s">
        <v>53</v>
      </c>
      <c r="H1223" s="1" t="s">
        <v>357</v>
      </c>
      <c r="I1223" s="1" t="s">
        <v>358</v>
      </c>
      <c r="J1223" s="1" t="s">
        <v>46</v>
      </c>
      <c r="K1223" t="s">
        <v>937</v>
      </c>
      <c r="M1223" s="1" t="s">
        <v>58</v>
      </c>
      <c r="N1223" s="1">
        <v>0</v>
      </c>
      <c r="O1223" s="1" t="s">
        <v>105</v>
      </c>
      <c r="P1223" s="186">
        <v>44958.306064814817</v>
      </c>
      <c r="R1223" s="1">
        <v>3</v>
      </c>
      <c r="T1223" s="1" t="s">
        <v>646</v>
      </c>
      <c r="U1223" s="186">
        <v>44959.306064814817</v>
      </c>
      <c r="V1223" s="1" t="s">
        <v>41</v>
      </c>
      <c r="W1223" s="1" t="s">
        <v>49</v>
      </c>
      <c r="X1223" s="13" t="str">
        <f t="shared" si="93"/>
        <v/>
      </c>
      <c r="Y1223" s="2">
        <f t="shared" ca="1" si="94"/>
        <v>21</v>
      </c>
      <c r="AA1223" s="14"/>
    </row>
    <row r="1224" spans="1:27" hidden="1">
      <c r="A1224" s="1">
        <v>9416984</v>
      </c>
      <c r="B1224" s="1" t="s">
        <v>101</v>
      </c>
      <c r="C1224" t="s">
        <v>643</v>
      </c>
      <c r="D1224" s="2">
        <v>230018074</v>
      </c>
      <c r="E1224" s="2">
        <v>1837001400010</v>
      </c>
      <c r="F1224" s="1" t="s">
        <v>936</v>
      </c>
      <c r="G1224" s="1" t="s">
        <v>53</v>
      </c>
      <c r="H1224" s="1" t="s">
        <v>1785</v>
      </c>
      <c r="I1224" s="1" t="s">
        <v>1786</v>
      </c>
      <c r="J1224" s="1" t="s">
        <v>46</v>
      </c>
      <c r="K1224" t="s">
        <v>937</v>
      </c>
      <c r="M1224" s="1" t="s">
        <v>58</v>
      </c>
      <c r="N1224" s="1">
        <v>0</v>
      </c>
      <c r="O1224" s="1" t="s">
        <v>105</v>
      </c>
      <c r="P1224" s="11" t="s">
        <v>2292</v>
      </c>
      <c r="R1224" s="1">
        <v>3</v>
      </c>
      <c r="T1224" s="1" t="s">
        <v>646</v>
      </c>
      <c r="U1224" s="186">
        <v>44959.305995370371</v>
      </c>
      <c r="V1224" s="1" t="s">
        <v>41</v>
      </c>
      <c r="W1224" s="1" t="s">
        <v>49</v>
      </c>
      <c r="X1224" s="13" t="str">
        <f t="shared" si="93"/>
        <v/>
      </c>
      <c r="Y1224" s="2">
        <f t="shared" ca="1" si="94"/>
        <v>21</v>
      </c>
      <c r="AA1224" s="14"/>
    </row>
    <row r="1225" spans="1:27" hidden="1">
      <c r="A1225" s="1">
        <v>9416982</v>
      </c>
      <c r="B1225" s="1" t="s">
        <v>101</v>
      </c>
      <c r="C1225" t="s">
        <v>643</v>
      </c>
      <c r="D1225" s="2">
        <v>230018072</v>
      </c>
      <c r="E1225" s="2">
        <v>1835001400010</v>
      </c>
      <c r="F1225" s="1" t="s">
        <v>936</v>
      </c>
      <c r="G1225" s="1" t="s">
        <v>53</v>
      </c>
      <c r="H1225" s="1" t="s">
        <v>305</v>
      </c>
      <c r="I1225" s="1" t="s">
        <v>306</v>
      </c>
      <c r="J1225" s="1" t="s">
        <v>46</v>
      </c>
      <c r="K1225" t="s">
        <v>937</v>
      </c>
      <c r="M1225" s="1" t="s">
        <v>58</v>
      </c>
      <c r="N1225" s="1">
        <v>0</v>
      </c>
      <c r="O1225" s="1" t="s">
        <v>105</v>
      </c>
      <c r="P1225" s="11" t="s">
        <v>2296</v>
      </c>
      <c r="R1225" s="1">
        <v>3</v>
      </c>
      <c r="T1225" s="1" t="s">
        <v>646</v>
      </c>
      <c r="U1225" s="186">
        <v>44959.305891203701</v>
      </c>
      <c r="V1225" s="1" t="s">
        <v>41</v>
      </c>
      <c r="W1225" s="1" t="s">
        <v>49</v>
      </c>
      <c r="X1225" s="13" t="str">
        <f t="shared" si="93"/>
        <v/>
      </c>
      <c r="Y1225" s="2">
        <f t="shared" ca="1" si="94"/>
        <v>21</v>
      </c>
      <c r="AA1225" s="14"/>
    </row>
    <row r="1226" spans="1:27" hidden="1">
      <c r="A1226" s="1">
        <v>9416980</v>
      </c>
      <c r="B1226" s="1" t="s">
        <v>101</v>
      </c>
      <c r="C1226" t="s">
        <v>643</v>
      </c>
      <c r="D1226" s="2">
        <v>230018070</v>
      </c>
      <c r="E1226" s="2">
        <v>1833001400010</v>
      </c>
      <c r="F1226" s="1" t="s">
        <v>936</v>
      </c>
      <c r="G1226" s="1" t="s">
        <v>53</v>
      </c>
      <c r="H1226" s="1" t="s">
        <v>369</v>
      </c>
      <c r="I1226" s="1" t="s">
        <v>370</v>
      </c>
      <c r="J1226" s="1" t="s">
        <v>46</v>
      </c>
      <c r="K1226" t="s">
        <v>937</v>
      </c>
      <c r="M1226" s="1" t="s">
        <v>58</v>
      </c>
      <c r="N1226" s="1">
        <v>0</v>
      </c>
      <c r="O1226" s="1" t="s">
        <v>105</v>
      </c>
      <c r="P1226" s="11" t="s">
        <v>2298</v>
      </c>
      <c r="R1226" s="1">
        <v>3</v>
      </c>
      <c r="T1226" s="1" t="s">
        <v>646</v>
      </c>
      <c r="U1226" s="186">
        <v>44959.305787037039</v>
      </c>
      <c r="V1226" s="1" t="s">
        <v>41</v>
      </c>
      <c r="W1226" s="1" t="s">
        <v>49</v>
      </c>
      <c r="X1226" s="13" t="str">
        <f t="shared" si="93"/>
        <v/>
      </c>
      <c r="Y1226" s="2">
        <f t="shared" ca="1" si="94"/>
        <v>21</v>
      </c>
      <c r="AA1226" s="14"/>
    </row>
    <row r="1227" spans="1:27" hidden="1">
      <c r="A1227" s="1">
        <v>9416968</v>
      </c>
      <c r="B1227" s="1" t="s">
        <v>101</v>
      </c>
      <c r="C1227" t="s">
        <v>643</v>
      </c>
      <c r="D1227" s="2">
        <v>230018062</v>
      </c>
      <c r="E1227" s="2">
        <v>1814001400010</v>
      </c>
      <c r="F1227" s="1" t="s">
        <v>936</v>
      </c>
      <c r="G1227" s="1" t="s">
        <v>53</v>
      </c>
      <c r="H1227" s="1" t="s">
        <v>396</v>
      </c>
      <c r="I1227" s="1" t="s">
        <v>397</v>
      </c>
      <c r="J1227" s="1" t="s">
        <v>46</v>
      </c>
      <c r="K1227" t="s">
        <v>937</v>
      </c>
      <c r="M1227" s="1" t="s">
        <v>58</v>
      </c>
      <c r="N1227" s="1">
        <v>0</v>
      </c>
      <c r="O1227" s="1" t="s">
        <v>105</v>
      </c>
      <c r="P1227" s="11" t="s">
        <v>3073</v>
      </c>
      <c r="R1227" s="1">
        <v>3</v>
      </c>
      <c r="T1227" s="1" t="s">
        <v>646</v>
      </c>
      <c r="U1227" s="186">
        <v>44959.30537037037</v>
      </c>
      <c r="V1227" s="1" t="s">
        <v>41</v>
      </c>
      <c r="W1227" s="1" t="s">
        <v>49</v>
      </c>
      <c r="X1227" s="13" t="str">
        <f t="shared" si="93"/>
        <v/>
      </c>
      <c r="Y1227" s="2">
        <f t="shared" ca="1" si="94"/>
        <v>21</v>
      </c>
      <c r="AA1227" s="14"/>
    </row>
    <row r="1228" spans="1:27" hidden="1">
      <c r="A1228" s="1">
        <v>9416942</v>
      </c>
      <c r="B1228" s="1" t="s">
        <v>101</v>
      </c>
      <c r="C1228" t="s">
        <v>643</v>
      </c>
      <c r="D1228" s="2">
        <v>230018044</v>
      </c>
      <c r="E1228" s="2">
        <v>1764001400010</v>
      </c>
      <c r="F1228" s="1" t="s">
        <v>936</v>
      </c>
      <c r="G1228" s="1" t="s">
        <v>53</v>
      </c>
      <c r="H1228" s="1" t="s">
        <v>722</v>
      </c>
      <c r="I1228" s="1" t="s">
        <v>723</v>
      </c>
      <c r="J1228" s="1" t="s">
        <v>90</v>
      </c>
      <c r="K1228" t="s">
        <v>937</v>
      </c>
      <c r="M1228" s="1" t="s">
        <v>58</v>
      </c>
      <c r="N1228" s="1">
        <v>0</v>
      </c>
      <c r="O1228" s="1" t="s">
        <v>105</v>
      </c>
      <c r="P1228" s="11" t="s">
        <v>2300</v>
      </c>
      <c r="R1228" s="1">
        <v>3</v>
      </c>
      <c r="T1228" s="1" t="s">
        <v>646</v>
      </c>
      <c r="U1228" s="186">
        <v>44959.304444444446</v>
      </c>
      <c r="V1228" s="1" t="s">
        <v>41</v>
      </c>
      <c r="W1228" s="1" t="s">
        <v>49</v>
      </c>
      <c r="X1228" s="13" t="str">
        <f t="shared" si="93"/>
        <v/>
      </c>
      <c r="Y1228" s="2">
        <f t="shared" ca="1" si="94"/>
        <v>21</v>
      </c>
      <c r="AA1228" s="14"/>
    </row>
    <row r="1229" spans="1:27" hidden="1">
      <c r="A1229" s="1">
        <v>9416933</v>
      </c>
      <c r="B1229" s="1" t="s">
        <v>101</v>
      </c>
      <c r="C1229" t="s">
        <v>643</v>
      </c>
      <c r="D1229" s="2">
        <v>230018135</v>
      </c>
      <c r="E1229" s="2">
        <v>2138001400010</v>
      </c>
      <c r="F1229" s="1" t="s">
        <v>936</v>
      </c>
      <c r="G1229" s="1" t="s">
        <v>53</v>
      </c>
      <c r="H1229" s="1" t="s">
        <v>379</v>
      </c>
      <c r="I1229" s="1" t="s">
        <v>380</v>
      </c>
      <c r="J1229" s="1" t="s">
        <v>46</v>
      </c>
      <c r="K1229" t="s">
        <v>937</v>
      </c>
      <c r="M1229" s="1" t="s">
        <v>58</v>
      </c>
      <c r="N1229" s="1">
        <v>0</v>
      </c>
      <c r="O1229" s="1" t="s">
        <v>105</v>
      </c>
      <c r="P1229" s="11" t="s">
        <v>3074</v>
      </c>
      <c r="R1229" s="1">
        <v>3</v>
      </c>
      <c r="T1229" s="1" t="s">
        <v>646</v>
      </c>
      <c r="U1229" s="186">
        <v>44959.303981481484</v>
      </c>
      <c r="V1229" s="1" t="s">
        <v>41</v>
      </c>
      <c r="W1229" s="1" t="s">
        <v>49</v>
      </c>
      <c r="X1229" s="13" t="str">
        <f t="shared" si="93"/>
        <v/>
      </c>
      <c r="Y1229" s="2">
        <f t="shared" ca="1" si="94"/>
        <v>21</v>
      </c>
      <c r="AA1229" s="14"/>
    </row>
    <row r="1230" spans="1:27" hidden="1">
      <c r="A1230" s="1">
        <v>9416921</v>
      </c>
      <c r="B1230" s="1" t="s">
        <v>101</v>
      </c>
      <c r="C1230" t="s">
        <v>643</v>
      </c>
      <c r="D1230" s="2">
        <v>230018123</v>
      </c>
      <c r="E1230" s="2">
        <v>2107001400010</v>
      </c>
      <c r="F1230" s="1" t="s">
        <v>936</v>
      </c>
      <c r="G1230" s="1" t="s">
        <v>53</v>
      </c>
      <c r="H1230" s="1" t="s">
        <v>262</v>
      </c>
      <c r="I1230" s="1" t="s">
        <v>263</v>
      </c>
      <c r="J1230" s="1" t="s">
        <v>164</v>
      </c>
      <c r="K1230" t="s">
        <v>937</v>
      </c>
      <c r="M1230" s="1" t="s">
        <v>58</v>
      </c>
      <c r="N1230" s="1">
        <v>0</v>
      </c>
      <c r="O1230" s="1" t="s">
        <v>105</v>
      </c>
      <c r="P1230" s="11" t="s">
        <v>2303</v>
      </c>
      <c r="R1230" s="1">
        <v>3</v>
      </c>
      <c r="T1230" s="1" t="s">
        <v>646</v>
      </c>
      <c r="U1230" s="11" t="s">
        <v>4143</v>
      </c>
      <c r="V1230" s="1" t="s">
        <v>41</v>
      </c>
      <c r="W1230" s="1" t="s">
        <v>49</v>
      </c>
      <c r="X1230" s="13" t="str">
        <f t="shared" si="93"/>
        <v/>
      </c>
      <c r="Y1230" s="2">
        <f t="shared" ca="1" si="94"/>
        <v>21</v>
      </c>
      <c r="AA1230" s="14"/>
    </row>
    <row r="1231" spans="1:27" hidden="1">
      <c r="A1231" s="1">
        <v>9416908</v>
      </c>
      <c r="B1231" s="1" t="s">
        <v>101</v>
      </c>
      <c r="C1231" t="s">
        <v>643</v>
      </c>
      <c r="D1231" s="2">
        <v>230018110</v>
      </c>
      <c r="E1231" s="2">
        <v>2069001400010</v>
      </c>
      <c r="F1231" s="1" t="s">
        <v>936</v>
      </c>
      <c r="G1231" s="1" t="s">
        <v>53</v>
      </c>
      <c r="H1231" s="1" t="s">
        <v>557</v>
      </c>
      <c r="I1231" s="1" t="s">
        <v>558</v>
      </c>
      <c r="J1231" s="1" t="s">
        <v>90</v>
      </c>
      <c r="K1231" t="s">
        <v>937</v>
      </c>
      <c r="M1231" s="1" t="s">
        <v>58</v>
      </c>
      <c r="N1231" s="1">
        <v>0</v>
      </c>
      <c r="O1231" s="1" t="s">
        <v>105</v>
      </c>
      <c r="P1231" s="11" t="s">
        <v>2304</v>
      </c>
      <c r="R1231" s="1">
        <v>3</v>
      </c>
      <c r="T1231" s="1" t="s">
        <v>646</v>
      </c>
      <c r="U1231" s="11" t="s">
        <v>2305</v>
      </c>
      <c r="V1231" s="1" t="s">
        <v>41</v>
      </c>
      <c r="W1231" s="1" t="s">
        <v>49</v>
      </c>
      <c r="X1231" s="13" t="str">
        <f t="shared" si="93"/>
        <v/>
      </c>
      <c r="Y1231" s="2">
        <f t="shared" ca="1" si="94"/>
        <v>21</v>
      </c>
      <c r="AA1231" s="14"/>
    </row>
    <row r="1232" spans="1:27" hidden="1">
      <c r="A1232" s="1">
        <v>9416812</v>
      </c>
      <c r="B1232" s="1" t="s">
        <v>101</v>
      </c>
      <c r="C1232" t="s">
        <v>643</v>
      </c>
      <c r="D1232" s="2">
        <v>230017885</v>
      </c>
      <c r="E1232" s="2">
        <v>1421001400010</v>
      </c>
      <c r="F1232" s="1" t="s">
        <v>936</v>
      </c>
      <c r="G1232" s="1" t="s">
        <v>53</v>
      </c>
      <c r="H1232" s="1" t="s">
        <v>179</v>
      </c>
      <c r="I1232" s="1" t="s">
        <v>180</v>
      </c>
      <c r="J1232" s="1" t="s">
        <v>79</v>
      </c>
      <c r="K1232" t="s">
        <v>937</v>
      </c>
      <c r="M1232" s="1" t="s">
        <v>58</v>
      </c>
      <c r="N1232" s="1">
        <v>0</v>
      </c>
      <c r="O1232" s="1" t="s">
        <v>105</v>
      </c>
      <c r="P1232" s="11" t="s">
        <v>2308</v>
      </c>
      <c r="R1232" s="1">
        <v>3</v>
      </c>
      <c r="T1232" s="1" t="s">
        <v>646</v>
      </c>
      <c r="U1232" s="11" t="s">
        <v>2309</v>
      </c>
      <c r="V1232" s="1" t="s">
        <v>41</v>
      </c>
      <c r="W1232" s="1" t="s">
        <v>49</v>
      </c>
      <c r="X1232" s="13" t="str">
        <f t="shared" si="93"/>
        <v/>
      </c>
      <c r="Y1232" s="2">
        <f t="shared" ca="1" si="94"/>
        <v>21</v>
      </c>
      <c r="AA1232" s="14"/>
    </row>
    <row r="1233" spans="1:27" hidden="1">
      <c r="A1233" s="1">
        <v>9416765</v>
      </c>
      <c r="B1233" s="1" t="s">
        <v>101</v>
      </c>
      <c r="C1233" t="s">
        <v>643</v>
      </c>
      <c r="D1233" s="2">
        <v>230017755</v>
      </c>
      <c r="E1233" s="2">
        <v>1059001400010</v>
      </c>
      <c r="F1233" s="1" t="s">
        <v>936</v>
      </c>
      <c r="G1233" s="1" t="s">
        <v>53</v>
      </c>
      <c r="H1233" s="1" t="s">
        <v>88</v>
      </c>
      <c r="I1233" s="1" t="s">
        <v>89</v>
      </c>
      <c r="J1233" s="1" t="s">
        <v>90</v>
      </c>
      <c r="K1233" t="s">
        <v>937</v>
      </c>
      <c r="M1233" s="1" t="s">
        <v>58</v>
      </c>
      <c r="N1233" s="1">
        <v>0</v>
      </c>
      <c r="O1233" s="1" t="s">
        <v>105</v>
      </c>
      <c r="P1233" s="11" t="s">
        <v>2310</v>
      </c>
      <c r="R1233" s="1">
        <v>3</v>
      </c>
      <c r="T1233" s="1" t="s">
        <v>646</v>
      </c>
      <c r="U1233" s="11" t="s">
        <v>2311</v>
      </c>
      <c r="V1233" s="1" t="s">
        <v>41</v>
      </c>
      <c r="W1233" s="1" t="s">
        <v>49</v>
      </c>
      <c r="X1233" s="13" t="str">
        <f t="shared" si="93"/>
        <v/>
      </c>
      <c r="Y1233" s="2">
        <f t="shared" ca="1" si="94"/>
        <v>21</v>
      </c>
      <c r="AA1233" s="14"/>
    </row>
    <row r="1234" spans="1:27" hidden="1">
      <c r="A1234" s="1">
        <v>9416764</v>
      </c>
      <c r="B1234" s="1" t="s">
        <v>101</v>
      </c>
      <c r="C1234" t="s">
        <v>643</v>
      </c>
      <c r="D1234" s="2">
        <v>230017754</v>
      </c>
      <c r="E1234" s="2">
        <v>1058001400010</v>
      </c>
      <c r="F1234" s="1" t="s">
        <v>936</v>
      </c>
      <c r="G1234" s="1" t="s">
        <v>53</v>
      </c>
      <c r="H1234" s="1" t="s">
        <v>289</v>
      </c>
      <c r="I1234" s="1" t="s">
        <v>290</v>
      </c>
      <c r="J1234" s="1" t="s">
        <v>56</v>
      </c>
      <c r="K1234" t="s">
        <v>937</v>
      </c>
      <c r="M1234" s="1" t="s">
        <v>58</v>
      </c>
      <c r="N1234" s="1">
        <v>0</v>
      </c>
      <c r="O1234" s="1" t="s">
        <v>105</v>
      </c>
      <c r="P1234" s="11" t="s">
        <v>3075</v>
      </c>
      <c r="R1234" s="1">
        <v>3</v>
      </c>
      <c r="T1234" s="1" t="s">
        <v>646</v>
      </c>
      <c r="U1234" s="11" t="s">
        <v>3076</v>
      </c>
      <c r="V1234" s="1" t="s">
        <v>41</v>
      </c>
      <c r="W1234" s="1" t="s">
        <v>49</v>
      </c>
      <c r="X1234" s="13" t="str">
        <f t="shared" si="93"/>
        <v/>
      </c>
      <c r="Y1234" s="2">
        <f t="shared" ca="1" si="94"/>
        <v>21</v>
      </c>
      <c r="AA1234" s="14"/>
    </row>
    <row r="1235" spans="1:27" hidden="1">
      <c r="A1235" s="1">
        <v>9416746</v>
      </c>
      <c r="B1235" s="1" t="s">
        <v>101</v>
      </c>
      <c r="C1235" t="s">
        <v>643</v>
      </c>
      <c r="D1235" s="2">
        <v>230017740</v>
      </c>
      <c r="E1235" s="2">
        <v>1028001400010</v>
      </c>
      <c r="F1235" s="1" t="s">
        <v>936</v>
      </c>
      <c r="G1235" s="1" t="s">
        <v>53</v>
      </c>
      <c r="H1235" s="1" t="s">
        <v>1079</v>
      </c>
      <c r="I1235" s="1" t="s">
        <v>1080</v>
      </c>
      <c r="J1235" s="1" t="s">
        <v>85</v>
      </c>
      <c r="K1235" t="s">
        <v>937</v>
      </c>
      <c r="M1235" s="1" t="s">
        <v>58</v>
      </c>
      <c r="N1235" s="1">
        <v>0</v>
      </c>
      <c r="O1235" s="1" t="s">
        <v>105</v>
      </c>
      <c r="P1235" s="11" t="s">
        <v>2312</v>
      </c>
      <c r="R1235" s="1">
        <v>3</v>
      </c>
      <c r="T1235" s="1" t="s">
        <v>646</v>
      </c>
      <c r="U1235" s="11" t="s">
        <v>2313</v>
      </c>
      <c r="V1235" s="1" t="s">
        <v>41</v>
      </c>
      <c r="W1235" s="1" t="s">
        <v>49</v>
      </c>
      <c r="X1235" s="13" t="str">
        <f t="shared" si="93"/>
        <v/>
      </c>
      <c r="Y1235" s="2">
        <f t="shared" ca="1" si="94"/>
        <v>21</v>
      </c>
      <c r="AA1235" s="14"/>
    </row>
    <row r="1236" spans="1:27" hidden="1">
      <c r="A1236" s="1">
        <v>9416578</v>
      </c>
      <c r="B1236" s="1" t="s">
        <v>101</v>
      </c>
      <c r="C1236" t="s">
        <v>643</v>
      </c>
      <c r="D1236" s="2">
        <v>230017619</v>
      </c>
      <c r="E1236" s="2">
        <v>711001400010</v>
      </c>
      <c r="F1236" s="1" t="s">
        <v>936</v>
      </c>
      <c r="G1236" s="1" t="s">
        <v>53</v>
      </c>
      <c r="H1236" s="1" t="s">
        <v>77</v>
      </c>
      <c r="I1236" s="1" t="s">
        <v>78</v>
      </c>
      <c r="J1236" s="1" t="s">
        <v>79</v>
      </c>
      <c r="K1236" t="s">
        <v>937</v>
      </c>
      <c r="M1236" s="1" t="s">
        <v>58</v>
      </c>
      <c r="N1236" s="1">
        <v>0</v>
      </c>
      <c r="O1236" s="1" t="s">
        <v>105</v>
      </c>
      <c r="P1236" s="11" t="s">
        <v>2316</v>
      </c>
      <c r="R1236" s="1">
        <v>3</v>
      </c>
      <c r="T1236" s="1" t="s">
        <v>646</v>
      </c>
      <c r="U1236" s="11" t="s">
        <v>2317</v>
      </c>
      <c r="V1236" s="1" t="s">
        <v>41</v>
      </c>
      <c r="W1236" s="1" t="s">
        <v>49</v>
      </c>
      <c r="X1236" s="13" t="str">
        <f t="shared" si="93"/>
        <v/>
      </c>
      <c r="Y1236" s="2">
        <f t="shared" ca="1" si="94"/>
        <v>21</v>
      </c>
      <c r="AA1236" s="14"/>
    </row>
    <row r="1237" spans="1:27" hidden="1">
      <c r="A1237" s="1">
        <v>9416566</v>
      </c>
      <c r="B1237" s="1" t="s">
        <v>101</v>
      </c>
      <c r="C1237" t="s">
        <v>643</v>
      </c>
      <c r="D1237" s="2">
        <v>230017592</v>
      </c>
      <c r="E1237" s="2">
        <v>605001400010</v>
      </c>
      <c r="F1237" s="1" t="s">
        <v>936</v>
      </c>
      <c r="G1237" s="1" t="s">
        <v>53</v>
      </c>
      <c r="H1237" s="1" t="s">
        <v>420</v>
      </c>
      <c r="I1237" s="1" t="s">
        <v>421</v>
      </c>
      <c r="J1237" s="1" t="s">
        <v>90</v>
      </c>
      <c r="K1237" t="s">
        <v>937</v>
      </c>
      <c r="M1237" s="1" t="s">
        <v>58</v>
      </c>
      <c r="N1237" s="1">
        <v>0</v>
      </c>
      <c r="O1237" s="1" t="s">
        <v>105</v>
      </c>
      <c r="P1237" s="11" t="s">
        <v>3079</v>
      </c>
      <c r="R1237" s="1">
        <v>3</v>
      </c>
      <c r="T1237" s="1" t="s">
        <v>646</v>
      </c>
      <c r="U1237" s="11" t="s">
        <v>3080</v>
      </c>
      <c r="V1237" s="1" t="s">
        <v>41</v>
      </c>
      <c r="W1237" s="1" t="s">
        <v>49</v>
      </c>
      <c r="X1237" s="13" t="str">
        <f t="shared" si="93"/>
        <v/>
      </c>
      <c r="Y1237" s="2">
        <f t="shared" ca="1" si="94"/>
        <v>21</v>
      </c>
      <c r="AA1237" s="14"/>
    </row>
    <row r="1238" spans="1:27" hidden="1">
      <c r="A1238" s="1">
        <v>9416563</v>
      </c>
      <c r="B1238" s="1" t="s">
        <v>101</v>
      </c>
      <c r="C1238" t="s">
        <v>643</v>
      </c>
      <c r="D1238" s="2">
        <v>230017589</v>
      </c>
      <c r="E1238" s="2">
        <v>600001400010</v>
      </c>
      <c r="F1238" s="1" t="s">
        <v>936</v>
      </c>
      <c r="G1238" s="1" t="s">
        <v>53</v>
      </c>
      <c r="H1238" s="1" t="s">
        <v>1084</v>
      </c>
      <c r="I1238" s="1" t="s">
        <v>1085</v>
      </c>
      <c r="J1238" s="1" t="s">
        <v>90</v>
      </c>
      <c r="K1238" t="s">
        <v>937</v>
      </c>
      <c r="M1238" s="1" t="s">
        <v>58</v>
      </c>
      <c r="N1238" s="1">
        <v>0</v>
      </c>
      <c r="O1238" s="1" t="s">
        <v>105</v>
      </c>
      <c r="P1238" s="11" t="s">
        <v>3081</v>
      </c>
      <c r="R1238" s="1">
        <v>3</v>
      </c>
      <c r="T1238" s="1" t="s">
        <v>646</v>
      </c>
      <c r="U1238" s="11" t="s">
        <v>3082</v>
      </c>
      <c r="V1238" s="1" t="s">
        <v>41</v>
      </c>
      <c r="W1238" s="1" t="s">
        <v>49</v>
      </c>
      <c r="X1238" s="13" t="str">
        <f t="shared" si="93"/>
        <v/>
      </c>
      <c r="Y1238" s="2">
        <f t="shared" ca="1" si="94"/>
        <v>21</v>
      </c>
      <c r="AA1238" s="14"/>
    </row>
    <row r="1239" spans="1:27" hidden="1">
      <c r="A1239" s="1">
        <v>9416512</v>
      </c>
      <c r="B1239" s="1" t="s">
        <v>101</v>
      </c>
      <c r="C1239" t="s">
        <v>643</v>
      </c>
      <c r="D1239" s="2">
        <v>230017447</v>
      </c>
      <c r="E1239" s="2">
        <v>115001400010</v>
      </c>
      <c r="F1239" s="1" t="s">
        <v>936</v>
      </c>
      <c r="G1239" s="1" t="s">
        <v>53</v>
      </c>
      <c r="H1239" s="1" t="s">
        <v>542</v>
      </c>
      <c r="I1239" s="1" t="s">
        <v>543</v>
      </c>
      <c r="J1239" s="1" t="s">
        <v>56</v>
      </c>
      <c r="K1239" t="s">
        <v>937</v>
      </c>
      <c r="M1239" s="1" t="s">
        <v>58</v>
      </c>
      <c r="N1239" s="1">
        <v>0</v>
      </c>
      <c r="O1239" s="1" t="s">
        <v>105</v>
      </c>
      <c r="P1239" s="11" t="s">
        <v>3083</v>
      </c>
      <c r="R1239" s="1">
        <v>3</v>
      </c>
      <c r="T1239" s="1" t="s">
        <v>646</v>
      </c>
      <c r="U1239" s="11" t="s">
        <v>3084</v>
      </c>
      <c r="V1239" s="1" t="s">
        <v>41</v>
      </c>
      <c r="W1239" s="1" t="s">
        <v>49</v>
      </c>
      <c r="X1239" s="13" t="str">
        <f t="shared" si="93"/>
        <v/>
      </c>
      <c r="Y1239" s="2">
        <f t="shared" ca="1" si="94"/>
        <v>21</v>
      </c>
    </row>
    <row r="1240" spans="1:27" hidden="1">
      <c r="A1240" s="1">
        <v>9416477</v>
      </c>
      <c r="B1240" s="1" t="s">
        <v>101</v>
      </c>
      <c r="C1240" t="s">
        <v>643</v>
      </c>
      <c r="D1240" s="2">
        <v>230017483</v>
      </c>
      <c r="E1240" s="2">
        <v>244001400010</v>
      </c>
      <c r="F1240" s="1" t="s">
        <v>936</v>
      </c>
      <c r="G1240" s="1" t="s">
        <v>53</v>
      </c>
      <c r="H1240" s="1" t="s">
        <v>313</v>
      </c>
      <c r="I1240" s="1" t="s">
        <v>314</v>
      </c>
      <c r="J1240" s="1" t="s">
        <v>56</v>
      </c>
      <c r="K1240" t="s">
        <v>937</v>
      </c>
      <c r="M1240" s="1" t="s">
        <v>58</v>
      </c>
      <c r="N1240" s="1">
        <v>0</v>
      </c>
      <c r="O1240" s="1" t="s">
        <v>105</v>
      </c>
      <c r="P1240" s="11" t="s">
        <v>3085</v>
      </c>
      <c r="R1240" s="1">
        <v>3</v>
      </c>
      <c r="T1240" s="1" t="s">
        <v>646</v>
      </c>
      <c r="U1240" s="186">
        <v>44959.280810185184</v>
      </c>
      <c r="V1240" s="1" t="s">
        <v>41</v>
      </c>
      <c r="W1240" s="1" t="s">
        <v>49</v>
      </c>
      <c r="X1240" s="13" t="str">
        <f t="shared" si="93"/>
        <v/>
      </c>
      <c r="Y1240" s="2">
        <f t="shared" ca="1" si="94"/>
        <v>21</v>
      </c>
    </row>
    <row r="1241" spans="1:27" hidden="1">
      <c r="A1241" s="1">
        <v>9416437</v>
      </c>
      <c r="B1241" s="1" t="s">
        <v>101</v>
      </c>
      <c r="C1241" t="s">
        <v>643</v>
      </c>
      <c r="D1241" s="2">
        <v>230017474</v>
      </c>
      <c r="E1241" s="2">
        <v>196001400010</v>
      </c>
      <c r="F1241" s="1" t="s">
        <v>936</v>
      </c>
      <c r="G1241" s="1" t="s">
        <v>53</v>
      </c>
      <c r="H1241" s="1" t="s">
        <v>1060</v>
      </c>
      <c r="I1241" s="1" t="s">
        <v>1061</v>
      </c>
      <c r="J1241" s="1" t="s">
        <v>79</v>
      </c>
      <c r="K1241" t="s">
        <v>937</v>
      </c>
      <c r="M1241" s="1" t="s">
        <v>58</v>
      </c>
      <c r="N1241" s="1">
        <v>0</v>
      </c>
      <c r="O1241" s="1" t="s">
        <v>105</v>
      </c>
      <c r="P1241" s="11" t="s">
        <v>3087</v>
      </c>
      <c r="R1241" s="1">
        <v>3</v>
      </c>
      <c r="T1241" s="1" t="s">
        <v>646</v>
      </c>
      <c r="U1241" s="186">
        <v>44959.279178240744</v>
      </c>
      <c r="V1241" s="1" t="s">
        <v>41</v>
      </c>
      <c r="W1241" s="1" t="s">
        <v>49</v>
      </c>
      <c r="X1241" s="13" t="str">
        <f t="shared" si="93"/>
        <v/>
      </c>
      <c r="Y1241" s="2">
        <f t="shared" ca="1" si="94"/>
        <v>21</v>
      </c>
    </row>
    <row r="1242" spans="1:27" hidden="1">
      <c r="A1242" s="1">
        <v>9428127</v>
      </c>
      <c r="B1242" s="1" t="s">
        <v>1153</v>
      </c>
      <c r="C1242" t="s">
        <v>4144</v>
      </c>
      <c r="E1242" s="2">
        <v>2590000206001</v>
      </c>
      <c r="F1242" s="1" t="s">
        <v>29</v>
      </c>
      <c r="G1242" s="1" t="s">
        <v>53</v>
      </c>
      <c r="H1242" s="1" t="s">
        <v>394</v>
      </c>
      <c r="I1242" s="1" t="s">
        <v>395</v>
      </c>
      <c r="J1242" s="1" t="s">
        <v>148</v>
      </c>
      <c r="K1242" t="s">
        <v>34</v>
      </c>
      <c r="M1242" s="1" t="s">
        <v>35</v>
      </c>
      <c r="N1242" s="1">
        <v>42318949</v>
      </c>
      <c r="O1242" s="1" t="s">
        <v>36</v>
      </c>
      <c r="P1242" s="11" t="s">
        <v>3091</v>
      </c>
      <c r="R1242" s="1" t="s">
        <v>38</v>
      </c>
      <c r="T1242" s="1" t="s">
        <v>74</v>
      </c>
      <c r="U1242" s="11" t="s">
        <v>4145</v>
      </c>
      <c r="V1242" s="1" t="s">
        <v>41</v>
      </c>
      <c r="W1242" s="1" t="s">
        <v>49</v>
      </c>
      <c r="X1242" s="13" t="str">
        <f t="shared" si="93"/>
        <v/>
      </c>
      <c r="Y1242" s="2">
        <f t="shared" ca="1" si="94"/>
        <v>20</v>
      </c>
    </row>
    <row r="1243" spans="1:27" hidden="1">
      <c r="A1243" s="1">
        <v>9427703</v>
      </c>
      <c r="B1243" s="1" t="s">
        <v>1153</v>
      </c>
      <c r="C1243" t="s">
        <v>2335</v>
      </c>
      <c r="E1243" s="2">
        <v>1049000206001</v>
      </c>
      <c r="F1243" s="1" t="s">
        <v>29</v>
      </c>
      <c r="G1243" s="1" t="s">
        <v>53</v>
      </c>
      <c r="H1243" s="1" t="s">
        <v>169</v>
      </c>
      <c r="I1243" s="1" t="s">
        <v>170</v>
      </c>
      <c r="J1243" s="1" t="s">
        <v>164</v>
      </c>
      <c r="K1243" t="s">
        <v>34</v>
      </c>
      <c r="M1243" s="1" t="s">
        <v>35</v>
      </c>
      <c r="N1243" s="1">
        <v>42318949</v>
      </c>
      <c r="O1243" s="1" t="s">
        <v>36</v>
      </c>
      <c r="P1243" s="11" t="s">
        <v>3095</v>
      </c>
      <c r="R1243" s="1" t="s">
        <v>38</v>
      </c>
      <c r="T1243" s="1" t="s">
        <v>74</v>
      </c>
      <c r="U1243" s="11" t="s">
        <v>4146</v>
      </c>
      <c r="V1243" s="1" t="s">
        <v>41</v>
      </c>
      <c r="W1243" s="1" t="s">
        <v>49</v>
      </c>
      <c r="X1243" s="13" t="str">
        <f t="shared" si="93"/>
        <v/>
      </c>
      <c r="Y1243" s="2">
        <f t="shared" ca="1" si="94"/>
        <v>20</v>
      </c>
    </row>
    <row r="1244" spans="1:27" hidden="1">
      <c r="A1244" s="1">
        <v>9426501</v>
      </c>
      <c r="B1244" s="1" t="s">
        <v>1153</v>
      </c>
      <c r="C1244" t="s">
        <v>2339</v>
      </c>
      <c r="D1244" s="2">
        <v>20235718000299</v>
      </c>
      <c r="E1244" s="2">
        <v>7417192423265</v>
      </c>
      <c r="F1244" s="1" t="s">
        <v>1727</v>
      </c>
      <c r="G1244" s="1" t="s">
        <v>53</v>
      </c>
      <c r="H1244" s="1" t="s">
        <v>1244</v>
      </c>
      <c r="I1244" s="1" t="s">
        <v>1245</v>
      </c>
      <c r="J1244" s="1" t="s">
        <v>46</v>
      </c>
      <c r="K1244" t="s">
        <v>1728</v>
      </c>
      <c r="M1244" s="1" t="s">
        <v>58</v>
      </c>
      <c r="N1244" s="1">
        <v>0</v>
      </c>
      <c r="O1244" s="1" t="s">
        <v>36</v>
      </c>
      <c r="P1244" s="11" t="s">
        <v>2340</v>
      </c>
      <c r="R1244" s="1">
        <v>22</v>
      </c>
      <c r="T1244" s="1" t="s">
        <v>1160</v>
      </c>
      <c r="U1244" s="11" t="s">
        <v>2341</v>
      </c>
      <c r="V1244" s="1" t="s">
        <v>41</v>
      </c>
      <c r="W1244" s="1" t="s">
        <v>49</v>
      </c>
      <c r="X1244" s="13" t="str">
        <f t="shared" si="93"/>
        <v/>
      </c>
      <c r="Y1244" s="2">
        <f t="shared" ca="1" si="94"/>
        <v>20</v>
      </c>
    </row>
    <row r="1245" spans="1:27" hidden="1">
      <c r="A1245" s="1">
        <v>9432437</v>
      </c>
      <c r="B1245" s="1" t="s">
        <v>62</v>
      </c>
      <c r="C1245" t="s">
        <v>2372</v>
      </c>
      <c r="E1245" s="2">
        <v>1833000206001</v>
      </c>
      <c r="F1245" s="1" t="s">
        <v>29</v>
      </c>
      <c r="G1245" s="1" t="s">
        <v>53</v>
      </c>
      <c r="H1245" s="1" t="s">
        <v>369</v>
      </c>
      <c r="I1245" s="1" t="s">
        <v>370</v>
      </c>
      <c r="J1245" s="1" t="s">
        <v>46</v>
      </c>
      <c r="K1245" t="s">
        <v>34</v>
      </c>
      <c r="M1245" s="1" t="s">
        <v>35</v>
      </c>
      <c r="N1245" s="1">
        <v>42318949</v>
      </c>
      <c r="O1245" s="1" t="s">
        <v>36</v>
      </c>
      <c r="P1245" s="11" t="s">
        <v>3099</v>
      </c>
      <c r="R1245" s="1" t="s">
        <v>38</v>
      </c>
      <c r="T1245" s="1" t="s">
        <v>74</v>
      </c>
      <c r="U1245" s="186">
        <v>45005.75</v>
      </c>
      <c r="V1245" s="1" t="s">
        <v>41</v>
      </c>
      <c r="W1245" s="1" t="s">
        <v>49</v>
      </c>
      <c r="X1245" s="13" t="str">
        <f t="shared" si="93"/>
        <v/>
      </c>
      <c r="Y1245" s="2">
        <f t="shared" ca="1" si="94"/>
        <v>19</v>
      </c>
    </row>
    <row r="1246" spans="1:27" hidden="1">
      <c r="A1246" s="1">
        <v>9432115</v>
      </c>
      <c r="B1246" s="1" t="s">
        <v>1153</v>
      </c>
      <c r="C1246" t="s">
        <v>2373</v>
      </c>
      <c r="D1246" s="2">
        <v>20232257000015</v>
      </c>
      <c r="E1246" s="2">
        <v>7417183022203</v>
      </c>
      <c r="F1246" s="1" t="s">
        <v>1313</v>
      </c>
      <c r="G1246" s="1" t="s">
        <v>53</v>
      </c>
      <c r="H1246" s="1" t="s">
        <v>2326</v>
      </c>
      <c r="I1246" s="1" t="s">
        <v>2327</v>
      </c>
      <c r="J1246" s="1" t="s">
        <v>110</v>
      </c>
      <c r="K1246" t="s">
        <v>1316</v>
      </c>
      <c r="M1246" s="1" t="s">
        <v>58</v>
      </c>
      <c r="N1246" s="1">
        <v>0</v>
      </c>
      <c r="O1246" s="1" t="s">
        <v>36</v>
      </c>
      <c r="P1246" s="11" t="s">
        <v>2374</v>
      </c>
      <c r="R1246" s="1">
        <v>14</v>
      </c>
      <c r="T1246" s="1" t="s">
        <v>238</v>
      </c>
      <c r="U1246" s="186">
        <v>44960.487442129626</v>
      </c>
      <c r="V1246" s="1" t="s">
        <v>41</v>
      </c>
      <c r="W1246" s="1" t="s">
        <v>49</v>
      </c>
      <c r="X1246" s="13" t="str">
        <f t="shared" si="93"/>
        <v>2257.91</v>
      </c>
      <c r="Y1246" s="2">
        <f t="shared" ca="1" si="94"/>
        <v>19</v>
      </c>
    </row>
    <row r="1247" spans="1:27" hidden="1">
      <c r="A1247" s="1">
        <v>9431494</v>
      </c>
      <c r="B1247" s="1" t="s">
        <v>1153</v>
      </c>
      <c r="C1247" t="s">
        <v>2378</v>
      </c>
      <c r="D1247" s="2">
        <v>20237712000002</v>
      </c>
      <c r="E1247" s="2">
        <v>7417193051914</v>
      </c>
      <c r="F1247" s="1" t="s">
        <v>1719</v>
      </c>
      <c r="G1247" s="1" t="s">
        <v>53</v>
      </c>
      <c r="H1247" s="1" t="s">
        <v>2379</v>
      </c>
      <c r="I1247" s="1" t="s">
        <v>2380</v>
      </c>
      <c r="J1247" s="1" t="s">
        <v>46</v>
      </c>
      <c r="K1247" t="s">
        <v>1720</v>
      </c>
      <c r="M1247" s="1" t="s">
        <v>58</v>
      </c>
      <c r="N1247" s="1">
        <v>0</v>
      </c>
      <c r="O1247" s="1" t="s">
        <v>36</v>
      </c>
      <c r="P1247" s="11" t="s">
        <v>2381</v>
      </c>
      <c r="R1247" s="1">
        <v>22</v>
      </c>
      <c r="T1247" s="1" t="s">
        <v>1160</v>
      </c>
      <c r="U1247" s="186">
        <v>44964.621782407405</v>
      </c>
      <c r="V1247" s="1" t="s">
        <v>41</v>
      </c>
      <c r="W1247" s="1" t="s">
        <v>49</v>
      </c>
      <c r="X1247" s="13" t="str">
        <f t="shared" si="93"/>
        <v/>
      </c>
      <c r="Y1247" s="2">
        <f t="shared" ca="1" si="94"/>
        <v>19</v>
      </c>
    </row>
    <row r="1248" spans="1:27" hidden="1">
      <c r="A1248" s="1">
        <v>9431491</v>
      </c>
      <c r="B1248" s="1" t="s">
        <v>1153</v>
      </c>
      <c r="C1248" t="s">
        <v>2383</v>
      </c>
      <c r="D1248" s="2">
        <v>20237712000001</v>
      </c>
      <c r="E1248" s="2">
        <v>7417193051942</v>
      </c>
      <c r="F1248" s="1" t="s">
        <v>1719</v>
      </c>
      <c r="G1248" s="1" t="s">
        <v>53</v>
      </c>
      <c r="H1248" s="1" t="s">
        <v>2379</v>
      </c>
      <c r="I1248" s="1" t="s">
        <v>2380</v>
      </c>
      <c r="J1248" s="1" t="s">
        <v>46</v>
      </c>
      <c r="K1248" t="s">
        <v>1720</v>
      </c>
      <c r="M1248" s="1" t="s">
        <v>58</v>
      </c>
      <c r="N1248" s="1">
        <v>0</v>
      </c>
      <c r="O1248" s="1" t="s">
        <v>36</v>
      </c>
      <c r="P1248" s="11" t="s">
        <v>2384</v>
      </c>
      <c r="R1248" s="1">
        <v>22</v>
      </c>
      <c r="T1248" s="1" t="s">
        <v>1160</v>
      </c>
      <c r="U1248" s="186">
        <v>44964.613969907405</v>
      </c>
      <c r="V1248" s="1" t="s">
        <v>41</v>
      </c>
      <c r="W1248" s="1" t="s">
        <v>49</v>
      </c>
      <c r="X1248" s="13" t="str">
        <f t="shared" si="93"/>
        <v/>
      </c>
      <c r="Y1248" s="2">
        <f t="shared" ca="1" si="94"/>
        <v>19</v>
      </c>
    </row>
    <row r="1249" spans="1:25" hidden="1">
      <c r="A1249" s="1">
        <v>9430989</v>
      </c>
      <c r="B1249" s="1" t="s">
        <v>62</v>
      </c>
      <c r="C1249" t="s">
        <v>2390</v>
      </c>
      <c r="E1249" s="2">
        <v>3258000206001</v>
      </c>
      <c r="F1249" s="1" t="s">
        <v>29</v>
      </c>
      <c r="G1249" s="1" t="s">
        <v>53</v>
      </c>
      <c r="H1249" s="1" t="s">
        <v>321</v>
      </c>
      <c r="I1249" s="1" t="s">
        <v>322</v>
      </c>
      <c r="J1249" s="1" t="s">
        <v>46</v>
      </c>
      <c r="K1249" t="s">
        <v>34</v>
      </c>
      <c r="M1249" s="1" t="s">
        <v>35</v>
      </c>
      <c r="N1249" s="1">
        <v>42318949</v>
      </c>
      <c r="O1249" s="1" t="s">
        <v>105</v>
      </c>
      <c r="P1249" s="11" t="s">
        <v>3101</v>
      </c>
      <c r="R1249" s="1" t="s">
        <v>38</v>
      </c>
      <c r="T1249" s="1" t="s">
        <v>74</v>
      </c>
      <c r="U1249" s="186">
        <v>45005.75</v>
      </c>
      <c r="V1249" s="1" t="s">
        <v>41</v>
      </c>
      <c r="W1249" s="1" t="s">
        <v>49</v>
      </c>
      <c r="X1249" s="13" t="str">
        <f t="shared" si="93"/>
        <v/>
      </c>
      <c r="Y1249" s="2">
        <f t="shared" ca="1" si="94"/>
        <v>19</v>
      </c>
    </row>
    <row r="1250" spans="1:25" hidden="1">
      <c r="A1250" s="1">
        <v>9445712</v>
      </c>
      <c r="B1250" s="1" t="s">
        <v>1153</v>
      </c>
      <c r="C1250" t="s">
        <v>2391</v>
      </c>
      <c r="D1250" s="2">
        <v>230024766</v>
      </c>
      <c r="E1250" s="2">
        <v>3924001400030</v>
      </c>
      <c r="F1250" s="1" t="s">
        <v>647</v>
      </c>
      <c r="G1250" s="1" t="s">
        <v>53</v>
      </c>
      <c r="H1250" s="1" t="s">
        <v>153</v>
      </c>
      <c r="I1250" s="1" t="s">
        <v>154</v>
      </c>
      <c r="J1250" s="1" t="s">
        <v>56</v>
      </c>
      <c r="K1250" t="s">
        <v>650</v>
      </c>
      <c r="M1250" s="1" t="s">
        <v>58</v>
      </c>
      <c r="N1250" s="1">
        <v>0</v>
      </c>
      <c r="O1250" s="1" t="s">
        <v>36</v>
      </c>
      <c r="P1250" s="11" t="s">
        <v>3102</v>
      </c>
      <c r="R1250" s="1">
        <v>4</v>
      </c>
      <c r="T1250" s="1" t="s">
        <v>646</v>
      </c>
      <c r="U1250" s="186">
        <v>44970.729166666664</v>
      </c>
      <c r="V1250" s="1" t="s">
        <v>41</v>
      </c>
      <c r="W1250" s="1" t="s">
        <v>49</v>
      </c>
      <c r="X1250" s="13" t="str">
        <f t="shared" si="93"/>
        <v/>
      </c>
      <c r="Y1250" s="2">
        <f t="shared" ca="1" si="94"/>
        <v>18</v>
      </c>
    </row>
    <row r="1251" spans="1:25" hidden="1">
      <c r="A1251" s="1">
        <v>9445662</v>
      </c>
      <c r="B1251" s="1" t="s">
        <v>1153</v>
      </c>
      <c r="C1251" t="s">
        <v>2398</v>
      </c>
      <c r="D1251" s="2">
        <v>20231153000011</v>
      </c>
      <c r="E1251" s="2">
        <v>7417163284286</v>
      </c>
      <c r="F1251" s="1" t="s">
        <v>131</v>
      </c>
      <c r="G1251" s="1" t="s">
        <v>53</v>
      </c>
      <c r="H1251" s="1" t="s">
        <v>2399</v>
      </c>
      <c r="I1251" s="1" t="s">
        <v>2400</v>
      </c>
      <c r="J1251" s="1" t="s">
        <v>79</v>
      </c>
      <c r="K1251" t="s">
        <v>132</v>
      </c>
      <c r="M1251" s="1" t="s">
        <v>58</v>
      </c>
      <c r="N1251" s="1">
        <v>0</v>
      </c>
      <c r="O1251" s="1" t="s">
        <v>36</v>
      </c>
      <c r="P1251" s="11" t="s">
        <v>2401</v>
      </c>
      <c r="R1251" s="1">
        <v>14</v>
      </c>
      <c r="T1251" s="1" t="s">
        <v>238</v>
      </c>
      <c r="U1251" s="186">
        <v>44963.698900462965</v>
      </c>
      <c r="V1251" s="1" t="s">
        <v>41</v>
      </c>
      <c r="W1251" s="1" t="s">
        <v>49</v>
      </c>
      <c r="X1251" s="13" t="str">
        <f t="shared" si="93"/>
        <v>1153.91</v>
      </c>
      <c r="Y1251" s="2">
        <f t="shared" ca="1" si="94"/>
        <v>18</v>
      </c>
    </row>
    <row r="1252" spans="1:25" hidden="1">
      <c r="A1252" s="1">
        <v>9444909</v>
      </c>
      <c r="B1252" s="1" t="s">
        <v>62</v>
      </c>
      <c r="C1252" t="s">
        <v>3627</v>
      </c>
      <c r="E1252" s="2">
        <v>2156000203000</v>
      </c>
      <c r="F1252" s="1" t="s">
        <v>454</v>
      </c>
      <c r="G1252" s="1" t="s">
        <v>53</v>
      </c>
      <c r="H1252" s="1" t="s">
        <v>278</v>
      </c>
      <c r="I1252" s="1" t="s">
        <v>279</v>
      </c>
      <c r="J1252" s="1" t="s">
        <v>211</v>
      </c>
      <c r="K1252" t="s">
        <v>457</v>
      </c>
      <c r="M1252" s="1" t="s">
        <v>58</v>
      </c>
      <c r="N1252" s="1">
        <v>0</v>
      </c>
      <c r="O1252" s="1" t="s">
        <v>105</v>
      </c>
      <c r="P1252" s="11" t="s">
        <v>2415</v>
      </c>
      <c r="R1252" s="1">
        <v>1</v>
      </c>
      <c r="T1252" s="1" t="s">
        <v>157</v>
      </c>
      <c r="U1252" s="186">
        <v>44999.75</v>
      </c>
      <c r="V1252" s="1" t="s">
        <v>41</v>
      </c>
      <c r="W1252" s="1" t="s">
        <v>49</v>
      </c>
      <c r="X1252" s="13" t="str">
        <f t="shared" si="93"/>
        <v/>
      </c>
      <c r="Y1252" s="2">
        <f t="shared" ca="1" si="94"/>
        <v>18</v>
      </c>
    </row>
    <row r="1253" spans="1:25" hidden="1">
      <c r="A1253" s="1">
        <v>9444862</v>
      </c>
      <c r="B1253" s="1" t="s">
        <v>1153</v>
      </c>
      <c r="C1253" t="s">
        <v>4147</v>
      </c>
      <c r="D1253" s="2">
        <v>20232437000020</v>
      </c>
      <c r="E1253" s="2">
        <v>7419141893534</v>
      </c>
      <c r="F1253" s="1" t="s">
        <v>128</v>
      </c>
      <c r="G1253" s="1" t="s">
        <v>53</v>
      </c>
      <c r="H1253" s="1" t="s">
        <v>2418</v>
      </c>
      <c r="I1253" s="1" t="s">
        <v>2419</v>
      </c>
      <c r="J1253" s="1" t="s">
        <v>211</v>
      </c>
      <c r="K1253" t="s">
        <v>129</v>
      </c>
      <c r="M1253" s="1" t="s">
        <v>58</v>
      </c>
      <c r="N1253" s="1">
        <v>0</v>
      </c>
      <c r="O1253" s="1" t="s">
        <v>36</v>
      </c>
      <c r="P1253" s="11" t="s">
        <v>2420</v>
      </c>
      <c r="R1253" s="1">
        <v>14</v>
      </c>
      <c r="T1253" s="1" t="s">
        <v>238</v>
      </c>
      <c r="U1253" s="186">
        <v>44963.587824074071</v>
      </c>
      <c r="V1253" s="1" t="s">
        <v>41</v>
      </c>
      <c r="W1253" s="1" t="s">
        <v>49</v>
      </c>
      <c r="X1253" s="13" t="str">
        <f t="shared" si="93"/>
        <v>2437.91</v>
      </c>
      <c r="Y1253" s="2">
        <f t="shared" ca="1" si="94"/>
        <v>18</v>
      </c>
    </row>
    <row r="1254" spans="1:25" hidden="1">
      <c r="A1254" s="1">
        <v>9443716</v>
      </c>
      <c r="B1254" s="1" t="s">
        <v>1153</v>
      </c>
      <c r="C1254" t="s">
        <v>2443</v>
      </c>
      <c r="D1254" s="2">
        <v>20234844000359</v>
      </c>
      <c r="E1254" s="2">
        <v>7417163283005</v>
      </c>
      <c r="F1254" s="1" t="s">
        <v>131</v>
      </c>
      <c r="G1254" s="1" t="s">
        <v>53</v>
      </c>
      <c r="H1254" s="1" t="s">
        <v>2444</v>
      </c>
      <c r="I1254" s="1" t="s">
        <v>2445</v>
      </c>
      <c r="J1254" s="1" t="s">
        <v>46</v>
      </c>
      <c r="K1254" t="s">
        <v>132</v>
      </c>
      <c r="M1254" s="1" t="s">
        <v>58</v>
      </c>
      <c r="N1254" s="1">
        <v>0</v>
      </c>
      <c r="O1254" s="1" t="s">
        <v>36</v>
      </c>
      <c r="P1254" s="11" t="s">
        <v>2446</v>
      </c>
      <c r="R1254" s="1">
        <v>13</v>
      </c>
      <c r="T1254" s="1" t="s">
        <v>238</v>
      </c>
      <c r="U1254" s="186">
        <v>44963.445497685185</v>
      </c>
      <c r="V1254" s="1" t="s">
        <v>41</v>
      </c>
      <c r="W1254" s="1" t="s">
        <v>49</v>
      </c>
      <c r="X1254" s="13" t="str">
        <f t="shared" si="93"/>
        <v>4844.80</v>
      </c>
      <c r="Y1254" s="2">
        <f t="shared" ca="1" si="94"/>
        <v>18</v>
      </c>
    </row>
    <row r="1255" spans="1:25" hidden="1">
      <c r="A1255" s="1">
        <v>9443139</v>
      </c>
      <c r="B1255" s="1" t="s">
        <v>27</v>
      </c>
      <c r="C1255" t="s">
        <v>2450</v>
      </c>
      <c r="E1255" s="2">
        <v>594000206001</v>
      </c>
      <c r="F1255" s="1" t="s">
        <v>29</v>
      </c>
      <c r="G1255" s="1" t="s">
        <v>53</v>
      </c>
      <c r="H1255" s="1" t="s">
        <v>444</v>
      </c>
      <c r="I1255" s="1" t="s">
        <v>445</v>
      </c>
      <c r="J1255" s="1" t="s">
        <v>33</v>
      </c>
      <c r="K1255" t="s">
        <v>34</v>
      </c>
      <c r="M1255" s="1" t="s">
        <v>35</v>
      </c>
      <c r="N1255" s="1">
        <v>42318949</v>
      </c>
      <c r="O1255" s="1" t="s">
        <v>36</v>
      </c>
      <c r="P1255" s="11" t="s">
        <v>2451</v>
      </c>
      <c r="R1255" s="1" t="s">
        <v>38</v>
      </c>
      <c r="T1255" s="1" t="s">
        <v>74</v>
      </c>
      <c r="U1255" s="11" t="s">
        <v>2452</v>
      </c>
      <c r="V1255" s="1" t="s">
        <v>41</v>
      </c>
      <c r="W1255" s="1" t="s">
        <v>42</v>
      </c>
      <c r="X1255" s="13" t="str">
        <f t="shared" si="93"/>
        <v/>
      </c>
      <c r="Y1255" s="2">
        <f t="shared" ca="1" si="94"/>
        <v>18</v>
      </c>
    </row>
    <row r="1256" spans="1:25" hidden="1">
      <c r="A1256" s="1">
        <v>9439699</v>
      </c>
      <c r="B1256" s="1" t="s">
        <v>1153</v>
      </c>
      <c r="C1256" t="s">
        <v>2465</v>
      </c>
      <c r="E1256" s="2">
        <v>1792000206001</v>
      </c>
      <c r="F1256" s="1" t="s">
        <v>29</v>
      </c>
      <c r="G1256" s="1" t="s">
        <v>53</v>
      </c>
      <c r="H1256" s="1" t="s">
        <v>467</v>
      </c>
      <c r="I1256" s="1" t="s">
        <v>468</v>
      </c>
      <c r="J1256" s="1" t="s">
        <v>110</v>
      </c>
      <c r="K1256" t="s">
        <v>34</v>
      </c>
      <c r="M1256" s="1" t="s">
        <v>35</v>
      </c>
      <c r="N1256" s="1">
        <v>42318949</v>
      </c>
      <c r="O1256" s="1" t="s">
        <v>36</v>
      </c>
      <c r="P1256" s="11" t="s">
        <v>2466</v>
      </c>
      <c r="R1256" s="1" t="s">
        <v>38</v>
      </c>
      <c r="T1256" s="1" t="s">
        <v>74</v>
      </c>
      <c r="U1256" s="11" t="s">
        <v>4148</v>
      </c>
      <c r="V1256" s="1" t="s">
        <v>41</v>
      </c>
      <c r="W1256" s="1" t="s">
        <v>49</v>
      </c>
      <c r="X1256" s="13" t="str">
        <f t="shared" si="93"/>
        <v/>
      </c>
      <c r="Y1256" s="2">
        <f t="shared" ca="1" si="94"/>
        <v>18</v>
      </c>
    </row>
    <row r="1257" spans="1:25" hidden="1">
      <c r="A1257" s="1">
        <v>9439691</v>
      </c>
      <c r="B1257" s="1" t="s">
        <v>1153</v>
      </c>
      <c r="C1257" t="s">
        <v>2467</v>
      </c>
      <c r="E1257" s="2">
        <v>5898000206001</v>
      </c>
      <c r="F1257" s="1" t="s">
        <v>29</v>
      </c>
      <c r="G1257" s="1" t="s">
        <v>53</v>
      </c>
      <c r="H1257" s="1" t="s">
        <v>365</v>
      </c>
      <c r="I1257" s="1" t="s">
        <v>366</v>
      </c>
      <c r="J1257" s="1" t="s">
        <v>164</v>
      </c>
      <c r="K1257" t="s">
        <v>34</v>
      </c>
      <c r="M1257" s="1" t="s">
        <v>35</v>
      </c>
      <c r="N1257" s="1">
        <v>42318949</v>
      </c>
      <c r="O1257" s="1" t="s">
        <v>36</v>
      </c>
      <c r="P1257" s="11" t="s">
        <v>2468</v>
      </c>
      <c r="R1257" s="1" t="s">
        <v>38</v>
      </c>
      <c r="T1257" s="1" t="s">
        <v>74</v>
      </c>
      <c r="U1257" s="11" t="s">
        <v>4149</v>
      </c>
      <c r="V1257" s="1" t="s">
        <v>41</v>
      </c>
      <c r="W1257" s="1" t="s">
        <v>49</v>
      </c>
      <c r="X1257" s="13" t="str">
        <f t="shared" si="93"/>
        <v/>
      </c>
      <c r="Y1257" s="2">
        <f t="shared" ca="1" si="94"/>
        <v>18</v>
      </c>
    </row>
    <row r="1258" spans="1:25" hidden="1">
      <c r="A1258" s="1">
        <v>9439434</v>
      </c>
      <c r="B1258" s="1" t="s">
        <v>1153</v>
      </c>
      <c r="C1258" t="s">
        <v>2472</v>
      </c>
      <c r="E1258" s="2">
        <v>2564000203000</v>
      </c>
      <c r="F1258" s="1" t="s">
        <v>454</v>
      </c>
      <c r="G1258" s="1" t="s">
        <v>53</v>
      </c>
      <c r="H1258" s="1" t="s">
        <v>255</v>
      </c>
      <c r="I1258" s="1" t="s">
        <v>256</v>
      </c>
      <c r="J1258" s="1" t="s">
        <v>164</v>
      </c>
      <c r="K1258" t="s">
        <v>457</v>
      </c>
      <c r="M1258" s="1" t="s">
        <v>58</v>
      </c>
      <c r="N1258" s="1">
        <v>0</v>
      </c>
      <c r="O1258" s="1" t="s">
        <v>36</v>
      </c>
      <c r="P1258" s="11" t="s">
        <v>2473</v>
      </c>
      <c r="R1258" s="1">
        <v>1</v>
      </c>
      <c r="T1258" s="1" t="s">
        <v>157</v>
      </c>
      <c r="U1258" s="11" t="s">
        <v>2474</v>
      </c>
      <c r="V1258" s="1" t="s">
        <v>41</v>
      </c>
      <c r="W1258" s="1" t="s">
        <v>49</v>
      </c>
      <c r="X1258" s="13" t="str">
        <f t="shared" si="93"/>
        <v/>
      </c>
      <c r="Y1258" s="2">
        <f t="shared" ca="1" si="94"/>
        <v>18</v>
      </c>
    </row>
    <row r="1259" spans="1:25" hidden="1">
      <c r="A1259" s="1">
        <v>9450561</v>
      </c>
      <c r="B1259" s="1" t="s">
        <v>1153</v>
      </c>
      <c r="C1259" t="s">
        <v>2492</v>
      </c>
      <c r="D1259" s="2">
        <v>20234844000396</v>
      </c>
      <c r="E1259" s="2">
        <v>7419141893520</v>
      </c>
      <c r="F1259" s="1" t="s">
        <v>128</v>
      </c>
      <c r="G1259" s="1" t="s">
        <v>53</v>
      </c>
      <c r="H1259" s="1" t="s">
        <v>2493</v>
      </c>
      <c r="I1259" s="1" t="s">
        <v>2494</v>
      </c>
      <c r="J1259" s="1" t="s">
        <v>46</v>
      </c>
      <c r="K1259" t="s">
        <v>129</v>
      </c>
      <c r="M1259" s="1" t="s">
        <v>58</v>
      </c>
      <c r="N1259" s="1">
        <v>0</v>
      </c>
      <c r="O1259" s="1" t="s">
        <v>36</v>
      </c>
      <c r="P1259" s="11" t="s">
        <v>2495</v>
      </c>
      <c r="R1259" s="1">
        <v>13</v>
      </c>
      <c r="T1259" s="1" t="s">
        <v>238</v>
      </c>
      <c r="U1259" s="186">
        <v>44964.67046296296</v>
      </c>
      <c r="V1259" s="1" t="s">
        <v>41</v>
      </c>
      <c r="W1259" s="1" t="s">
        <v>49</v>
      </c>
      <c r="X1259" s="13" t="str">
        <f t="shared" si="93"/>
        <v>4844.10</v>
      </c>
      <c r="Y1259" s="2">
        <f t="shared" ca="1" si="94"/>
        <v>17</v>
      </c>
    </row>
    <row r="1260" spans="1:25" hidden="1">
      <c r="A1260" s="1">
        <v>9450304</v>
      </c>
      <c r="B1260" s="1" t="s">
        <v>2497</v>
      </c>
      <c r="C1260" t="s">
        <v>2498</v>
      </c>
      <c r="E1260" s="2">
        <v>9406000206021</v>
      </c>
      <c r="F1260" s="1" t="s">
        <v>103</v>
      </c>
      <c r="G1260" s="1" t="s">
        <v>53</v>
      </c>
      <c r="H1260" s="1" t="s">
        <v>114</v>
      </c>
      <c r="I1260" s="1" t="s">
        <v>115</v>
      </c>
      <c r="J1260" s="1" t="s">
        <v>46</v>
      </c>
      <c r="K1260" t="s">
        <v>104</v>
      </c>
      <c r="M1260" s="1" t="s">
        <v>35</v>
      </c>
      <c r="N1260" s="1">
        <v>42318949</v>
      </c>
      <c r="O1260" s="1" t="s">
        <v>105</v>
      </c>
      <c r="P1260" s="11" t="s">
        <v>3107</v>
      </c>
      <c r="R1260" s="1" t="s">
        <v>38</v>
      </c>
      <c r="T1260" s="1" t="s">
        <v>74</v>
      </c>
      <c r="U1260" s="186">
        <v>45007.75</v>
      </c>
      <c r="V1260" s="1" t="s">
        <v>41</v>
      </c>
      <c r="W1260" s="1" t="s">
        <v>49</v>
      </c>
      <c r="X1260" s="13" t="str">
        <f t="shared" si="93"/>
        <v/>
      </c>
      <c r="Y1260" s="2">
        <f t="shared" ca="1" si="94"/>
        <v>17</v>
      </c>
    </row>
    <row r="1261" spans="1:25" hidden="1">
      <c r="A1261" s="1">
        <v>9449888</v>
      </c>
      <c r="B1261" s="1" t="s">
        <v>1153</v>
      </c>
      <c r="C1261" t="s">
        <v>2510</v>
      </c>
      <c r="D1261" s="2">
        <v>20230582000007</v>
      </c>
      <c r="E1261" s="2">
        <v>7417183023862</v>
      </c>
      <c r="F1261" s="1" t="s">
        <v>1313</v>
      </c>
      <c r="G1261" s="1" t="s">
        <v>53</v>
      </c>
      <c r="H1261" s="1" t="s">
        <v>2511</v>
      </c>
      <c r="I1261" s="1" t="s">
        <v>2512</v>
      </c>
      <c r="J1261" s="1" t="s">
        <v>141</v>
      </c>
      <c r="K1261" t="s">
        <v>1316</v>
      </c>
      <c r="M1261" s="1" t="s">
        <v>58</v>
      </c>
      <c r="N1261" s="1">
        <v>0</v>
      </c>
      <c r="O1261" s="1" t="s">
        <v>36</v>
      </c>
      <c r="P1261" s="11" t="s">
        <v>2513</v>
      </c>
      <c r="R1261" s="1">
        <v>14</v>
      </c>
      <c r="T1261" s="1" t="s">
        <v>238</v>
      </c>
      <c r="U1261" s="186">
        <v>44964.570497685185</v>
      </c>
      <c r="V1261" s="1" t="s">
        <v>41</v>
      </c>
      <c r="W1261" s="1" t="s">
        <v>49</v>
      </c>
      <c r="X1261" s="13" t="str">
        <f t="shared" si="93"/>
        <v>0582.91</v>
      </c>
      <c r="Y1261" s="2">
        <f t="shared" ca="1" si="94"/>
        <v>17</v>
      </c>
    </row>
    <row r="1262" spans="1:25" hidden="1">
      <c r="A1262" s="1">
        <v>9449450</v>
      </c>
      <c r="B1262" s="1" t="s">
        <v>1153</v>
      </c>
      <c r="C1262" t="s">
        <v>2519</v>
      </c>
      <c r="D1262" s="2">
        <v>20233433000006</v>
      </c>
      <c r="E1262" s="2">
        <v>7417191614659</v>
      </c>
      <c r="F1262" s="1" t="s">
        <v>1719</v>
      </c>
      <c r="G1262" s="1" t="s">
        <v>53</v>
      </c>
      <c r="H1262" s="1" t="s">
        <v>2520</v>
      </c>
      <c r="I1262" s="1" t="s">
        <v>2521</v>
      </c>
      <c r="J1262" s="1" t="s">
        <v>46</v>
      </c>
      <c r="K1262" t="s">
        <v>1720</v>
      </c>
      <c r="M1262" s="1" t="s">
        <v>58</v>
      </c>
      <c r="N1262" s="1">
        <v>0</v>
      </c>
      <c r="O1262" s="1" t="s">
        <v>36</v>
      </c>
      <c r="P1262" s="11" t="s">
        <v>2522</v>
      </c>
      <c r="R1262" s="1">
        <v>22</v>
      </c>
      <c r="T1262" s="1" t="s">
        <v>1160</v>
      </c>
      <c r="U1262" s="186">
        <v>44966.724212962959</v>
      </c>
      <c r="V1262" s="1" t="s">
        <v>41</v>
      </c>
      <c r="W1262" s="1" t="s">
        <v>49</v>
      </c>
      <c r="X1262" s="13" t="str">
        <f t="shared" si="93"/>
        <v/>
      </c>
      <c r="Y1262" s="2">
        <f t="shared" ca="1" si="94"/>
        <v>17</v>
      </c>
    </row>
    <row r="1263" spans="1:25" hidden="1">
      <c r="A1263" s="1">
        <v>9449008</v>
      </c>
      <c r="B1263" s="1" t="s">
        <v>1153</v>
      </c>
      <c r="C1263" t="s">
        <v>2440</v>
      </c>
      <c r="D1263" s="2">
        <v>20234981000001</v>
      </c>
      <c r="E1263" s="2">
        <v>7419152405218</v>
      </c>
      <c r="F1263" s="1" t="s">
        <v>2533</v>
      </c>
      <c r="G1263" s="1" t="s">
        <v>53</v>
      </c>
      <c r="H1263" s="1" t="s">
        <v>2534</v>
      </c>
      <c r="I1263" s="1" t="s">
        <v>2535</v>
      </c>
      <c r="J1263" s="1" t="s">
        <v>46</v>
      </c>
      <c r="K1263" t="s">
        <v>2536</v>
      </c>
      <c r="M1263" s="1" t="s">
        <v>58</v>
      </c>
      <c r="N1263" s="1">
        <v>0</v>
      </c>
      <c r="O1263" s="1" t="s">
        <v>36</v>
      </c>
      <c r="P1263" s="11" t="s">
        <v>2537</v>
      </c>
      <c r="R1263" s="1">
        <v>22</v>
      </c>
      <c r="T1263" s="1" t="s">
        <v>1160</v>
      </c>
      <c r="U1263" s="186">
        <v>44966.659895833334</v>
      </c>
      <c r="V1263" s="1" t="s">
        <v>41</v>
      </c>
      <c r="W1263" s="1" t="s">
        <v>49</v>
      </c>
      <c r="X1263" s="13" t="str">
        <f t="shared" si="93"/>
        <v/>
      </c>
      <c r="Y1263" s="2">
        <f t="shared" ca="1" si="94"/>
        <v>17</v>
      </c>
    </row>
    <row r="1264" spans="1:25" hidden="1">
      <c r="A1264" s="1">
        <v>9448626</v>
      </c>
      <c r="B1264" s="1" t="s">
        <v>1153</v>
      </c>
      <c r="C1264" t="s">
        <v>2555</v>
      </c>
      <c r="D1264" s="2">
        <v>20230710000007</v>
      </c>
      <c r="E1264" s="2">
        <v>7419141894913</v>
      </c>
      <c r="F1264" s="1" t="s">
        <v>128</v>
      </c>
      <c r="G1264" s="1" t="s">
        <v>53</v>
      </c>
      <c r="H1264" s="1" t="s">
        <v>2556</v>
      </c>
      <c r="I1264" s="1" t="s">
        <v>2557</v>
      </c>
      <c r="J1264" s="1" t="s">
        <v>56</v>
      </c>
      <c r="K1264" t="s">
        <v>129</v>
      </c>
      <c r="M1264" s="1" t="s">
        <v>58</v>
      </c>
      <c r="N1264" s="1">
        <v>0</v>
      </c>
      <c r="O1264" s="1" t="s">
        <v>36</v>
      </c>
      <c r="P1264" s="11" t="s">
        <v>2558</v>
      </c>
      <c r="R1264" s="1">
        <v>14</v>
      </c>
      <c r="T1264" s="1" t="s">
        <v>238</v>
      </c>
      <c r="U1264" s="186">
        <v>44964.411261574074</v>
      </c>
      <c r="V1264" s="1" t="s">
        <v>41</v>
      </c>
      <c r="W1264" s="1" t="s">
        <v>49</v>
      </c>
      <c r="X1264" s="13" t="str">
        <f t="shared" si="93"/>
        <v>0710.91</v>
      </c>
      <c r="Y1264" s="2">
        <f t="shared" ca="1" si="94"/>
        <v>17</v>
      </c>
    </row>
    <row r="1265" spans="1:25" hidden="1">
      <c r="A1265" s="1">
        <v>9455659</v>
      </c>
      <c r="B1265" s="1" t="s">
        <v>62</v>
      </c>
      <c r="C1265" t="s">
        <v>2582</v>
      </c>
      <c r="E1265" s="2">
        <v>3258000206001</v>
      </c>
      <c r="F1265" s="1" t="s">
        <v>29</v>
      </c>
      <c r="G1265" s="1" t="s">
        <v>53</v>
      </c>
      <c r="H1265" s="1" t="s">
        <v>321</v>
      </c>
      <c r="I1265" s="1" t="s">
        <v>322</v>
      </c>
      <c r="J1265" s="1" t="s">
        <v>46</v>
      </c>
      <c r="K1265" t="s">
        <v>34</v>
      </c>
      <c r="M1265" s="1" t="s">
        <v>35</v>
      </c>
      <c r="N1265" s="1">
        <v>42318949</v>
      </c>
      <c r="O1265" s="1" t="s">
        <v>105</v>
      </c>
      <c r="P1265" s="11" t="s">
        <v>2583</v>
      </c>
      <c r="R1265" s="1" t="s">
        <v>38</v>
      </c>
      <c r="T1265" s="1" t="s">
        <v>74</v>
      </c>
      <c r="U1265" s="186">
        <v>45008.75</v>
      </c>
      <c r="V1265" s="1" t="s">
        <v>41</v>
      </c>
      <c r="W1265" s="1" t="s">
        <v>49</v>
      </c>
      <c r="X1265" s="13" t="str">
        <f t="shared" si="93"/>
        <v/>
      </c>
      <c r="Y1265" s="2">
        <f t="shared" ca="1" si="94"/>
        <v>16</v>
      </c>
    </row>
    <row r="1266" spans="1:25" hidden="1">
      <c r="A1266" s="1">
        <v>9454830</v>
      </c>
      <c r="B1266" s="1" t="s">
        <v>1153</v>
      </c>
      <c r="C1266" t="s">
        <v>2594</v>
      </c>
      <c r="D1266" s="2">
        <v>20230582000008</v>
      </c>
      <c r="E1266" s="2">
        <v>7417183023985</v>
      </c>
      <c r="F1266" s="1" t="s">
        <v>1313</v>
      </c>
      <c r="G1266" s="1" t="s">
        <v>53</v>
      </c>
      <c r="H1266" s="1" t="s">
        <v>2511</v>
      </c>
      <c r="I1266" s="1" t="s">
        <v>2512</v>
      </c>
      <c r="J1266" s="1" t="s">
        <v>141</v>
      </c>
      <c r="K1266" t="s">
        <v>1316</v>
      </c>
      <c r="M1266" s="1" t="s">
        <v>58</v>
      </c>
      <c r="N1266" s="1">
        <v>0</v>
      </c>
      <c r="O1266" s="1" t="s">
        <v>36</v>
      </c>
      <c r="P1266" s="11" t="s">
        <v>3110</v>
      </c>
      <c r="R1266" s="1">
        <v>14</v>
      </c>
      <c r="T1266" s="1" t="s">
        <v>238</v>
      </c>
      <c r="U1266" s="186">
        <v>44965.574340277781</v>
      </c>
      <c r="V1266" s="1" t="s">
        <v>41</v>
      </c>
      <c r="W1266" s="1" t="s">
        <v>49</v>
      </c>
      <c r="X1266" s="13" t="str">
        <f t="shared" si="93"/>
        <v>0582.91</v>
      </c>
      <c r="Y1266" s="2">
        <f t="shared" ca="1" si="94"/>
        <v>16</v>
      </c>
    </row>
    <row r="1267" spans="1:25" hidden="1">
      <c r="A1267" s="1">
        <v>9453394</v>
      </c>
      <c r="B1267" s="1" t="s">
        <v>1153</v>
      </c>
      <c r="C1267" t="s">
        <v>4150</v>
      </c>
      <c r="E1267" s="2">
        <v>2125000206001</v>
      </c>
      <c r="F1267" s="1" t="s">
        <v>29</v>
      </c>
      <c r="G1267" s="1" t="s">
        <v>53</v>
      </c>
      <c r="H1267" s="1" t="s">
        <v>1399</v>
      </c>
      <c r="I1267" s="1" t="s">
        <v>1400</v>
      </c>
      <c r="J1267" s="1" t="s">
        <v>211</v>
      </c>
      <c r="K1267" t="s">
        <v>34</v>
      </c>
      <c r="M1267" s="1" t="s">
        <v>35</v>
      </c>
      <c r="N1267" s="1">
        <v>42318949</v>
      </c>
      <c r="O1267" s="1" t="s">
        <v>36</v>
      </c>
      <c r="P1267" s="11" t="s">
        <v>2614</v>
      </c>
      <c r="R1267" s="1" t="s">
        <v>38</v>
      </c>
      <c r="T1267" s="1" t="s">
        <v>74</v>
      </c>
      <c r="U1267" s="186">
        <v>44992.607638888891</v>
      </c>
      <c r="V1267" s="1" t="s">
        <v>41</v>
      </c>
      <c r="W1267" s="1" t="s">
        <v>49</v>
      </c>
      <c r="X1267" s="13" t="str">
        <f t="shared" si="93"/>
        <v/>
      </c>
      <c r="Y1267" s="2">
        <f t="shared" ca="1" si="94"/>
        <v>16</v>
      </c>
    </row>
    <row r="1268" spans="1:25" hidden="1">
      <c r="A1268" s="1">
        <v>9460685</v>
      </c>
      <c r="B1268" s="1" t="s">
        <v>1153</v>
      </c>
      <c r="C1268" t="s">
        <v>2635</v>
      </c>
      <c r="D1268" s="2">
        <v>20234844000424</v>
      </c>
      <c r="E1268" s="2">
        <v>7417163285131</v>
      </c>
      <c r="F1268" s="1" t="s">
        <v>131</v>
      </c>
      <c r="G1268" s="1" t="s">
        <v>53</v>
      </c>
      <c r="H1268" s="1" t="s">
        <v>2632</v>
      </c>
      <c r="I1268" s="1" t="s">
        <v>2633</v>
      </c>
      <c r="J1268" s="1" t="s">
        <v>46</v>
      </c>
      <c r="K1268" t="s">
        <v>132</v>
      </c>
      <c r="M1268" s="1" t="s">
        <v>58</v>
      </c>
      <c r="N1268" s="1">
        <v>0</v>
      </c>
      <c r="O1268" s="1" t="s">
        <v>36</v>
      </c>
      <c r="P1268" s="11" t="s">
        <v>2636</v>
      </c>
      <c r="R1268" s="1">
        <v>13</v>
      </c>
      <c r="T1268" s="1" t="s">
        <v>238</v>
      </c>
      <c r="U1268" s="186">
        <v>44967.395833333336</v>
      </c>
      <c r="V1268" s="1" t="s">
        <v>41</v>
      </c>
      <c r="W1268" s="1" t="s">
        <v>49</v>
      </c>
      <c r="X1268" s="13" t="str">
        <f t="shared" si="93"/>
        <v>4844.20</v>
      </c>
      <c r="Y1268" s="2">
        <f t="shared" ca="1" si="94"/>
        <v>15</v>
      </c>
    </row>
    <row r="1269" spans="1:25" hidden="1">
      <c r="A1269" s="1">
        <v>9460151</v>
      </c>
      <c r="B1269" s="1" t="s">
        <v>1153</v>
      </c>
      <c r="C1269" t="s">
        <v>2654</v>
      </c>
      <c r="D1269" s="2">
        <v>20234844000423</v>
      </c>
      <c r="E1269" s="2">
        <v>7417163284187</v>
      </c>
      <c r="F1269" s="1" t="s">
        <v>131</v>
      </c>
      <c r="G1269" s="1" t="s">
        <v>53</v>
      </c>
      <c r="H1269" s="1" t="s">
        <v>2655</v>
      </c>
      <c r="I1269" s="1" t="s">
        <v>2656</v>
      </c>
      <c r="J1269" s="1" t="s">
        <v>46</v>
      </c>
      <c r="K1269" t="s">
        <v>132</v>
      </c>
      <c r="M1269" s="1" t="s">
        <v>58</v>
      </c>
      <c r="N1269" s="1">
        <v>0</v>
      </c>
      <c r="O1269" s="1" t="s">
        <v>36</v>
      </c>
      <c r="P1269" s="11" t="s">
        <v>2657</v>
      </c>
      <c r="R1269" s="1">
        <v>13</v>
      </c>
      <c r="T1269" s="1" t="s">
        <v>238</v>
      </c>
      <c r="U1269" s="186">
        <v>44966.647581018522</v>
      </c>
      <c r="V1269" s="1" t="s">
        <v>41</v>
      </c>
      <c r="W1269" s="1" t="s">
        <v>49</v>
      </c>
      <c r="X1269" s="13" t="str">
        <f t="shared" si="93"/>
        <v>4844.01</v>
      </c>
      <c r="Y1269" s="2">
        <f t="shared" ca="1" si="94"/>
        <v>15</v>
      </c>
    </row>
    <row r="1270" spans="1:25" hidden="1">
      <c r="A1270" s="1">
        <v>9460038</v>
      </c>
      <c r="B1270" s="1" t="s">
        <v>62</v>
      </c>
      <c r="C1270" t="s">
        <v>2658</v>
      </c>
      <c r="E1270" s="2">
        <v>5749000203000</v>
      </c>
      <c r="F1270" s="1" t="s">
        <v>454</v>
      </c>
      <c r="G1270" s="1" t="s">
        <v>53</v>
      </c>
      <c r="H1270" s="1" t="s">
        <v>1811</v>
      </c>
      <c r="I1270" s="1" t="s">
        <v>1812</v>
      </c>
      <c r="J1270" s="1" t="s">
        <v>33</v>
      </c>
      <c r="K1270" t="s">
        <v>457</v>
      </c>
      <c r="M1270" s="1" t="s">
        <v>58</v>
      </c>
      <c r="N1270" s="1">
        <v>0</v>
      </c>
      <c r="O1270" s="1" t="s">
        <v>36</v>
      </c>
      <c r="P1270" s="11" t="s">
        <v>2659</v>
      </c>
      <c r="R1270" s="1">
        <v>1</v>
      </c>
      <c r="T1270" s="1" t="s">
        <v>157</v>
      </c>
      <c r="U1270" s="186">
        <v>45002.75</v>
      </c>
      <c r="V1270" s="1" t="s">
        <v>41</v>
      </c>
      <c r="W1270" s="1" t="s">
        <v>42</v>
      </c>
      <c r="X1270" s="13" t="str">
        <f t="shared" si="93"/>
        <v/>
      </c>
      <c r="Y1270" s="2">
        <f t="shared" ca="1" si="94"/>
        <v>15</v>
      </c>
    </row>
    <row r="1271" spans="1:25" hidden="1">
      <c r="A1271" s="1">
        <v>9459206</v>
      </c>
      <c r="B1271" s="1" t="s">
        <v>1153</v>
      </c>
      <c r="C1271" t="s">
        <v>2672</v>
      </c>
      <c r="E1271" s="2">
        <v>1185000206001</v>
      </c>
      <c r="F1271" s="1" t="s">
        <v>29</v>
      </c>
      <c r="G1271" s="1" t="s">
        <v>53</v>
      </c>
      <c r="H1271" s="1" t="s">
        <v>539</v>
      </c>
      <c r="I1271" s="1" t="s">
        <v>540</v>
      </c>
      <c r="J1271" s="1" t="s">
        <v>33</v>
      </c>
      <c r="K1271" t="s">
        <v>34</v>
      </c>
      <c r="M1271" s="1" t="s">
        <v>35</v>
      </c>
      <c r="N1271" s="1">
        <v>42318949</v>
      </c>
      <c r="O1271" s="1" t="s">
        <v>36</v>
      </c>
      <c r="P1271" s="11" t="s">
        <v>3115</v>
      </c>
      <c r="R1271" s="1" t="s">
        <v>38</v>
      </c>
      <c r="T1271" s="1" t="s">
        <v>74</v>
      </c>
      <c r="U1271" s="186">
        <v>44991.458333333336</v>
      </c>
      <c r="V1271" s="1" t="s">
        <v>41</v>
      </c>
      <c r="W1271" s="1" t="s">
        <v>42</v>
      </c>
      <c r="X1271" s="13" t="str">
        <f t="shared" si="93"/>
        <v/>
      </c>
      <c r="Y1271" s="2">
        <f t="shared" ca="1" si="94"/>
        <v>15</v>
      </c>
    </row>
    <row r="1272" spans="1:25" hidden="1">
      <c r="A1272" s="1">
        <v>9459066</v>
      </c>
      <c r="B1272" s="1" t="s">
        <v>1153</v>
      </c>
      <c r="C1272" t="s">
        <v>2675</v>
      </c>
      <c r="E1272" s="2">
        <v>2437000206001</v>
      </c>
      <c r="F1272" s="1" t="s">
        <v>29</v>
      </c>
      <c r="G1272" s="1" t="s">
        <v>53</v>
      </c>
      <c r="H1272" s="1" t="s">
        <v>416</v>
      </c>
      <c r="I1272" s="1" t="s">
        <v>417</v>
      </c>
      <c r="J1272" s="1" t="s">
        <v>211</v>
      </c>
      <c r="K1272" t="s">
        <v>34</v>
      </c>
      <c r="M1272" s="1" t="s">
        <v>35</v>
      </c>
      <c r="N1272" s="1">
        <v>42318949</v>
      </c>
      <c r="O1272" s="1" t="s">
        <v>36</v>
      </c>
      <c r="P1272" s="11" t="s">
        <v>3118</v>
      </c>
      <c r="R1272" s="1" t="s">
        <v>38</v>
      </c>
      <c r="T1272" s="1" t="s">
        <v>74</v>
      </c>
      <c r="U1272" s="186">
        <v>44988.607638888891</v>
      </c>
      <c r="V1272" s="1" t="s">
        <v>41</v>
      </c>
      <c r="W1272" s="1" t="s">
        <v>49</v>
      </c>
      <c r="X1272" s="13" t="str">
        <f t="shared" si="93"/>
        <v/>
      </c>
      <c r="Y1272" s="2">
        <f t="shared" ca="1" si="94"/>
        <v>15</v>
      </c>
    </row>
    <row r="1273" spans="1:25" hidden="1">
      <c r="A1273" s="1">
        <v>9458689</v>
      </c>
      <c r="B1273" s="1" t="s">
        <v>1153</v>
      </c>
      <c r="C1273" t="s">
        <v>2684</v>
      </c>
      <c r="D1273" s="2">
        <v>20234923000059</v>
      </c>
      <c r="E1273" s="2">
        <v>7417183022494</v>
      </c>
      <c r="F1273" s="1" t="s">
        <v>1313</v>
      </c>
      <c r="G1273" s="1" t="s">
        <v>53</v>
      </c>
      <c r="H1273" s="1" t="s">
        <v>2685</v>
      </c>
      <c r="I1273" s="1" t="s">
        <v>2686</v>
      </c>
      <c r="J1273" s="1" t="s">
        <v>46</v>
      </c>
      <c r="K1273" t="s">
        <v>1316</v>
      </c>
      <c r="M1273" s="1" t="s">
        <v>58</v>
      </c>
      <c r="N1273" s="1">
        <v>0</v>
      </c>
      <c r="O1273" s="1" t="s">
        <v>36</v>
      </c>
      <c r="P1273" s="11" t="s">
        <v>3121</v>
      </c>
      <c r="R1273" s="1">
        <v>14</v>
      </c>
      <c r="T1273" s="1" t="s">
        <v>238</v>
      </c>
      <c r="U1273" s="186">
        <v>44966.432372685187</v>
      </c>
      <c r="V1273" s="1" t="s">
        <v>41</v>
      </c>
      <c r="W1273" s="1" t="s">
        <v>49</v>
      </c>
      <c r="X1273" s="13" t="str">
        <f t="shared" si="93"/>
        <v>4923.03</v>
      </c>
      <c r="Y1273" s="2">
        <f t="shared" ca="1" si="94"/>
        <v>15</v>
      </c>
    </row>
    <row r="1274" spans="1:25" hidden="1">
      <c r="A1274" s="1">
        <v>9458173</v>
      </c>
      <c r="B1274" s="1" t="s">
        <v>1153</v>
      </c>
      <c r="C1274" t="s">
        <v>4151</v>
      </c>
      <c r="D1274" s="2">
        <v>20234804001469</v>
      </c>
      <c r="E1274" s="2">
        <v>7417193471170</v>
      </c>
      <c r="F1274" s="1" t="s">
        <v>2698</v>
      </c>
      <c r="G1274" s="1" t="s">
        <v>53</v>
      </c>
      <c r="H1274" s="1" t="s">
        <v>2699</v>
      </c>
      <c r="I1274" s="1" t="s">
        <v>2700</v>
      </c>
      <c r="J1274" s="1" t="s">
        <v>46</v>
      </c>
      <c r="K1274" t="s">
        <v>2701</v>
      </c>
      <c r="M1274" s="1" t="s">
        <v>58</v>
      </c>
      <c r="N1274" s="1">
        <v>0</v>
      </c>
      <c r="O1274" s="1" t="s">
        <v>36</v>
      </c>
      <c r="P1274" s="11" t="s">
        <v>2702</v>
      </c>
      <c r="R1274" s="1">
        <v>13</v>
      </c>
      <c r="S1274" s="1">
        <v>4804</v>
      </c>
      <c r="T1274" s="1" t="s">
        <v>238</v>
      </c>
      <c r="U1274" s="186">
        <v>44966.395833333336</v>
      </c>
      <c r="V1274" s="1" t="s">
        <v>41</v>
      </c>
      <c r="W1274" s="1" t="s">
        <v>49</v>
      </c>
      <c r="X1274" s="13" t="str">
        <f t="shared" ref="X1274:X1337" si="95">IF(RIGHT(H1274,2)&lt;&gt;"00",H1274,"")</f>
        <v>4357.03</v>
      </c>
      <c r="Y1274" s="2">
        <f t="shared" ref="Y1274:Y1337" ca="1" si="96">NETWORKDAYS(P1274,$Y$1)</f>
        <v>15</v>
      </c>
    </row>
    <row r="1275" spans="1:25" hidden="1">
      <c r="A1275" s="1">
        <v>9465880</v>
      </c>
      <c r="B1275" s="1" t="s">
        <v>1153</v>
      </c>
      <c r="C1275" t="s">
        <v>2704</v>
      </c>
      <c r="D1275" s="2">
        <v>230027811</v>
      </c>
      <c r="E1275" s="2">
        <v>68001400030</v>
      </c>
      <c r="F1275" s="1" t="s">
        <v>647</v>
      </c>
      <c r="G1275" s="1" t="s">
        <v>53</v>
      </c>
      <c r="H1275" s="1" t="s">
        <v>1330</v>
      </c>
      <c r="I1275" s="1" t="s">
        <v>1331</v>
      </c>
      <c r="J1275" s="1" t="s">
        <v>211</v>
      </c>
      <c r="K1275" t="s">
        <v>650</v>
      </c>
      <c r="M1275" s="1" t="s">
        <v>58</v>
      </c>
      <c r="N1275" s="1">
        <v>0</v>
      </c>
      <c r="O1275" s="1" t="s">
        <v>36</v>
      </c>
      <c r="P1275" s="11" t="s">
        <v>2705</v>
      </c>
      <c r="R1275" s="1">
        <v>4</v>
      </c>
      <c r="T1275" s="1" t="s">
        <v>646</v>
      </c>
      <c r="U1275" s="186">
        <v>44981.708333333336</v>
      </c>
      <c r="V1275" s="1" t="s">
        <v>41</v>
      </c>
      <c r="W1275" s="1" t="s">
        <v>49</v>
      </c>
      <c r="X1275" s="13" t="str">
        <f t="shared" si="95"/>
        <v/>
      </c>
      <c r="Y1275" s="2">
        <f t="shared" ca="1" si="96"/>
        <v>14</v>
      </c>
    </row>
    <row r="1276" spans="1:25" hidden="1">
      <c r="A1276" s="1">
        <v>9465855</v>
      </c>
      <c r="B1276" s="1" t="s">
        <v>1153</v>
      </c>
      <c r="C1276" t="s">
        <v>2704</v>
      </c>
      <c r="D1276" s="2">
        <v>230027810</v>
      </c>
      <c r="E1276" s="2">
        <v>68001400030</v>
      </c>
      <c r="F1276" s="1" t="s">
        <v>647</v>
      </c>
      <c r="G1276" s="1" t="s">
        <v>53</v>
      </c>
      <c r="H1276" s="1" t="s">
        <v>1330</v>
      </c>
      <c r="I1276" s="1" t="s">
        <v>1331</v>
      </c>
      <c r="J1276" s="1" t="s">
        <v>211</v>
      </c>
      <c r="K1276" t="s">
        <v>650</v>
      </c>
      <c r="M1276" s="1" t="s">
        <v>58</v>
      </c>
      <c r="N1276" s="1">
        <v>0</v>
      </c>
      <c r="O1276" s="1" t="s">
        <v>36</v>
      </c>
      <c r="P1276" s="11" t="s">
        <v>2707</v>
      </c>
      <c r="R1276" s="1">
        <v>4</v>
      </c>
      <c r="T1276" s="1" t="s">
        <v>646</v>
      </c>
      <c r="U1276" s="186">
        <v>44981.708333333336</v>
      </c>
      <c r="V1276" s="1" t="s">
        <v>41</v>
      </c>
      <c r="W1276" s="1" t="s">
        <v>49</v>
      </c>
      <c r="X1276" s="13" t="str">
        <f t="shared" si="95"/>
        <v/>
      </c>
      <c r="Y1276" s="2">
        <f t="shared" ca="1" si="96"/>
        <v>14</v>
      </c>
    </row>
    <row r="1277" spans="1:25" hidden="1">
      <c r="A1277" s="1">
        <v>9465602</v>
      </c>
      <c r="B1277" s="1" t="s">
        <v>1153</v>
      </c>
      <c r="C1277" t="s">
        <v>2708</v>
      </c>
      <c r="D1277" s="2">
        <v>230027784</v>
      </c>
      <c r="E1277" s="2">
        <v>2335001400030</v>
      </c>
      <c r="F1277" s="1" t="s">
        <v>647</v>
      </c>
      <c r="G1277" s="1" t="s">
        <v>53</v>
      </c>
      <c r="H1277" s="1" t="s">
        <v>194</v>
      </c>
      <c r="I1277" s="1" t="s">
        <v>195</v>
      </c>
      <c r="J1277" s="1" t="s">
        <v>261</v>
      </c>
      <c r="K1277" t="s">
        <v>650</v>
      </c>
      <c r="M1277" s="1" t="s">
        <v>58</v>
      </c>
      <c r="N1277" s="1">
        <v>0</v>
      </c>
      <c r="O1277" s="1" t="s">
        <v>36</v>
      </c>
      <c r="P1277" s="11" t="s">
        <v>2709</v>
      </c>
      <c r="R1277" s="1">
        <v>4</v>
      </c>
      <c r="T1277" s="1" t="s">
        <v>646</v>
      </c>
      <c r="U1277" s="186">
        <v>44973.729166666664</v>
      </c>
      <c r="V1277" s="1" t="s">
        <v>41</v>
      </c>
      <c r="W1277" s="1" t="s">
        <v>49</v>
      </c>
      <c r="X1277" s="13" t="str">
        <f t="shared" si="95"/>
        <v/>
      </c>
      <c r="Y1277" s="2">
        <f t="shared" ca="1" si="96"/>
        <v>14</v>
      </c>
    </row>
    <row r="1278" spans="1:25" hidden="1">
      <c r="A1278" s="1">
        <v>9465182</v>
      </c>
      <c r="B1278" s="1" t="s">
        <v>1153</v>
      </c>
      <c r="C1278" t="s">
        <v>2721</v>
      </c>
      <c r="D1278" s="2">
        <v>230027724</v>
      </c>
      <c r="E1278" s="2">
        <v>1049001400010</v>
      </c>
      <c r="F1278" s="1" t="s">
        <v>936</v>
      </c>
      <c r="G1278" s="1" t="s">
        <v>53</v>
      </c>
      <c r="H1278" s="1" t="s">
        <v>169</v>
      </c>
      <c r="I1278" s="1" t="s">
        <v>170</v>
      </c>
      <c r="J1278" s="1" t="s">
        <v>164</v>
      </c>
      <c r="K1278" t="s">
        <v>937</v>
      </c>
      <c r="M1278" s="1" t="s">
        <v>58</v>
      </c>
      <c r="N1278" s="1">
        <v>0</v>
      </c>
      <c r="O1278" s="1" t="s">
        <v>36</v>
      </c>
      <c r="P1278" s="11" t="s">
        <v>2722</v>
      </c>
      <c r="R1278" s="1">
        <v>3</v>
      </c>
      <c r="T1278" s="1" t="s">
        <v>646</v>
      </c>
      <c r="U1278" s="186">
        <v>44987.604166666664</v>
      </c>
      <c r="V1278" s="1" t="s">
        <v>41</v>
      </c>
      <c r="W1278" s="1" t="s">
        <v>49</v>
      </c>
      <c r="X1278" s="13" t="str">
        <f t="shared" si="95"/>
        <v/>
      </c>
      <c r="Y1278" s="2">
        <f t="shared" ca="1" si="96"/>
        <v>14</v>
      </c>
    </row>
    <row r="1279" spans="1:25" hidden="1">
      <c r="A1279" s="1">
        <v>9464595</v>
      </c>
      <c r="B1279" s="1" t="s">
        <v>81</v>
      </c>
      <c r="C1279" t="s">
        <v>2733</v>
      </c>
      <c r="E1279" s="2">
        <v>2564000206001</v>
      </c>
      <c r="F1279" s="1" t="s">
        <v>29</v>
      </c>
      <c r="G1279" s="1" t="s">
        <v>53</v>
      </c>
      <c r="H1279" s="1" t="s">
        <v>255</v>
      </c>
      <c r="I1279" s="1" t="s">
        <v>256</v>
      </c>
      <c r="J1279" s="1" t="s">
        <v>164</v>
      </c>
      <c r="K1279" t="s">
        <v>34</v>
      </c>
      <c r="M1279" s="1" t="s">
        <v>35</v>
      </c>
      <c r="N1279" s="1">
        <v>42318949</v>
      </c>
      <c r="O1279" s="1" t="s">
        <v>105</v>
      </c>
      <c r="P1279" s="11" t="s">
        <v>2734</v>
      </c>
      <c r="R1279" s="1" t="s">
        <v>38</v>
      </c>
      <c r="T1279" s="1" t="s">
        <v>74</v>
      </c>
      <c r="U1279" s="186">
        <v>44968.590173611112</v>
      </c>
      <c r="V1279" s="1" t="s">
        <v>41</v>
      </c>
      <c r="W1279" s="1" t="s">
        <v>49</v>
      </c>
      <c r="X1279" s="13" t="str">
        <f t="shared" si="95"/>
        <v/>
      </c>
      <c r="Y1279" s="2">
        <f t="shared" ca="1" si="96"/>
        <v>14</v>
      </c>
    </row>
    <row r="1280" spans="1:25" hidden="1">
      <c r="A1280" s="1">
        <v>9464594</v>
      </c>
      <c r="B1280" s="1" t="s">
        <v>81</v>
      </c>
      <c r="C1280" t="s">
        <v>2733</v>
      </c>
      <c r="E1280" s="2">
        <v>2559000206001</v>
      </c>
      <c r="F1280" s="1" t="s">
        <v>29</v>
      </c>
      <c r="G1280" s="1" t="s">
        <v>53</v>
      </c>
      <c r="H1280" s="1" t="s">
        <v>259</v>
      </c>
      <c r="I1280" s="1" t="s">
        <v>260</v>
      </c>
      <c r="J1280" s="1" t="s">
        <v>261</v>
      </c>
      <c r="K1280" t="s">
        <v>34</v>
      </c>
      <c r="M1280" s="1" t="s">
        <v>35</v>
      </c>
      <c r="N1280" s="1">
        <v>42318949</v>
      </c>
      <c r="O1280" s="1" t="s">
        <v>105</v>
      </c>
      <c r="P1280" s="11" t="s">
        <v>2734</v>
      </c>
      <c r="R1280" s="1" t="s">
        <v>38</v>
      </c>
      <c r="T1280" s="1" t="s">
        <v>74</v>
      </c>
      <c r="U1280" s="186">
        <v>44968.590173611112</v>
      </c>
      <c r="V1280" s="1" t="s">
        <v>41</v>
      </c>
      <c r="W1280" s="1" t="s">
        <v>49</v>
      </c>
      <c r="X1280" s="13" t="str">
        <f t="shared" si="95"/>
        <v/>
      </c>
      <c r="Y1280" s="2">
        <f t="shared" ca="1" si="96"/>
        <v>14</v>
      </c>
    </row>
    <row r="1281" spans="1:25" hidden="1">
      <c r="A1281" s="1">
        <v>9464591</v>
      </c>
      <c r="B1281" s="1" t="s">
        <v>81</v>
      </c>
      <c r="C1281" t="s">
        <v>2733</v>
      </c>
      <c r="E1281" s="2">
        <v>2257000206001</v>
      </c>
      <c r="F1281" s="1" t="s">
        <v>29</v>
      </c>
      <c r="G1281" s="1" t="s">
        <v>53</v>
      </c>
      <c r="H1281" s="1" t="s">
        <v>381</v>
      </c>
      <c r="I1281" s="1" t="s">
        <v>382</v>
      </c>
      <c r="J1281" s="1" t="s">
        <v>110</v>
      </c>
      <c r="K1281" t="s">
        <v>34</v>
      </c>
      <c r="M1281" s="1" t="s">
        <v>35</v>
      </c>
      <c r="N1281" s="1">
        <v>42318949</v>
      </c>
      <c r="O1281" s="1" t="s">
        <v>105</v>
      </c>
      <c r="P1281" s="11" t="s">
        <v>3132</v>
      </c>
      <c r="R1281" s="1" t="s">
        <v>38</v>
      </c>
      <c r="T1281" s="1" t="s">
        <v>74</v>
      </c>
      <c r="U1281" s="186">
        <v>44968.590162037035</v>
      </c>
      <c r="V1281" s="1" t="s">
        <v>41</v>
      </c>
      <c r="W1281" s="1" t="s">
        <v>49</v>
      </c>
      <c r="X1281" s="13" t="str">
        <f t="shared" si="95"/>
        <v/>
      </c>
      <c r="Y1281" s="2">
        <f t="shared" ca="1" si="96"/>
        <v>14</v>
      </c>
    </row>
    <row r="1282" spans="1:25" hidden="1">
      <c r="A1282" s="1">
        <v>9464589</v>
      </c>
      <c r="B1282" s="1" t="s">
        <v>81</v>
      </c>
      <c r="C1282" t="s">
        <v>2733</v>
      </c>
      <c r="E1282" s="2">
        <v>2156000206001</v>
      </c>
      <c r="F1282" s="1" t="s">
        <v>29</v>
      </c>
      <c r="G1282" s="1" t="s">
        <v>53</v>
      </c>
      <c r="H1282" s="1" t="s">
        <v>278</v>
      </c>
      <c r="I1282" s="1" t="s">
        <v>279</v>
      </c>
      <c r="J1282" s="1" t="s">
        <v>211</v>
      </c>
      <c r="K1282" t="s">
        <v>34</v>
      </c>
      <c r="M1282" s="1" t="s">
        <v>35</v>
      </c>
      <c r="N1282" s="1">
        <v>42318949</v>
      </c>
      <c r="O1282" s="1" t="s">
        <v>36</v>
      </c>
      <c r="P1282" s="11" t="s">
        <v>3132</v>
      </c>
      <c r="R1282" s="1" t="s">
        <v>38</v>
      </c>
      <c r="T1282" s="1" t="s">
        <v>74</v>
      </c>
      <c r="U1282" s="186">
        <v>44968.590162037035</v>
      </c>
      <c r="V1282" s="1" t="s">
        <v>41</v>
      </c>
      <c r="W1282" s="1" t="s">
        <v>49</v>
      </c>
      <c r="X1282" s="13" t="str">
        <f t="shared" si="95"/>
        <v/>
      </c>
      <c r="Y1282" s="2">
        <f t="shared" ca="1" si="96"/>
        <v>14</v>
      </c>
    </row>
    <row r="1283" spans="1:25" hidden="1">
      <c r="A1283" s="1">
        <v>9464504</v>
      </c>
      <c r="B1283" s="1" t="s">
        <v>81</v>
      </c>
      <c r="C1283" t="s">
        <v>2733</v>
      </c>
      <c r="E1283" s="2">
        <v>2802000206001</v>
      </c>
      <c r="F1283" s="1" t="s">
        <v>29</v>
      </c>
      <c r="G1283" s="1" t="s">
        <v>53</v>
      </c>
      <c r="H1283" s="1" t="s">
        <v>388</v>
      </c>
      <c r="I1283" s="1" t="s">
        <v>389</v>
      </c>
      <c r="J1283" s="1" t="s">
        <v>46</v>
      </c>
      <c r="K1283" t="s">
        <v>34</v>
      </c>
      <c r="M1283" s="1" t="s">
        <v>35</v>
      </c>
      <c r="N1283" s="1">
        <v>42318949</v>
      </c>
      <c r="O1283" s="1" t="s">
        <v>105</v>
      </c>
      <c r="P1283" s="11" t="s">
        <v>3134</v>
      </c>
      <c r="R1283" s="1" t="s">
        <v>38</v>
      </c>
      <c r="T1283" s="1" t="s">
        <v>74</v>
      </c>
      <c r="U1283" s="186">
        <v>44968.59002314815</v>
      </c>
      <c r="V1283" s="1" t="s">
        <v>41</v>
      </c>
      <c r="W1283" s="1" t="s">
        <v>49</v>
      </c>
      <c r="X1283" s="13" t="str">
        <f t="shared" si="95"/>
        <v/>
      </c>
      <c r="Y1283" s="2">
        <f t="shared" ca="1" si="96"/>
        <v>14</v>
      </c>
    </row>
    <row r="1284" spans="1:25" hidden="1">
      <c r="A1284" s="1">
        <v>9464461</v>
      </c>
      <c r="B1284" s="1" t="s">
        <v>81</v>
      </c>
      <c r="C1284" t="s">
        <v>2733</v>
      </c>
      <c r="E1284" s="2">
        <v>1245000206001</v>
      </c>
      <c r="F1284" s="1" t="s">
        <v>29</v>
      </c>
      <c r="G1284" s="1" t="s">
        <v>53</v>
      </c>
      <c r="H1284" s="1" t="s">
        <v>408</v>
      </c>
      <c r="I1284" s="1" t="s">
        <v>409</v>
      </c>
      <c r="J1284" s="1" t="s">
        <v>46</v>
      </c>
      <c r="K1284" t="s">
        <v>34</v>
      </c>
      <c r="M1284" s="1" t="s">
        <v>35</v>
      </c>
      <c r="N1284" s="1">
        <v>42318949</v>
      </c>
      <c r="O1284" s="1" t="s">
        <v>36</v>
      </c>
      <c r="P1284" s="11" t="s">
        <v>3135</v>
      </c>
      <c r="R1284" s="1" t="s">
        <v>38</v>
      </c>
      <c r="T1284" s="1" t="s">
        <v>74</v>
      </c>
      <c r="U1284" s="186">
        <v>44968.589930555558</v>
      </c>
      <c r="V1284" s="1" t="s">
        <v>41</v>
      </c>
      <c r="W1284" s="1" t="s">
        <v>49</v>
      </c>
      <c r="X1284" s="13" t="str">
        <f t="shared" si="95"/>
        <v/>
      </c>
      <c r="Y1284" s="2">
        <f t="shared" ca="1" si="96"/>
        <v>14</v>
      </c>
    </row>
    <row r="1285" spans="1:25" hidden="1">
      <c r="A1285" s="1">
        <v>9464457</v>
      </c>
      <c r="B1285" s="1" t="s">
        <v>81</v>
      </c>
      <c r="C1285" t="s">
        <v>2733</v>
      </c>
      <c r="E1285" s="2">
        <v>1128000206001</v>
      </c>
      <c r="F1285" s="1" t="s">
        <v>29</v>
      </c>
      <c r="G1285" s="1" t="s">
        <v>53</v>
      </c>
      <c r="H1285" s="1" t="s">
        <v>1191</v>
      </c>
      <c r="I1285" s="1" t="s">
        <v>1192</v>
      </c>
      <c r="J1285" s="1" t="s">
        <v>33</v>
      </c>
      <c r="K1285" t="s">
        <v>34</v>
      </c>
      <c r="M1285" s="1" t="s">
        <v>35</v>
      </c>
      <c r="N1285" s="1">
        <v>42318949</v>
      </c>
      <c r="O1285" s="1" t="s">
        <v>105</v>
      </c>
      <c r="P1285" s="11" t="s">
        <v>2736</v>
      </c>
      <c r="R1285" s="1" t="s">
        <v>38</v>
      </c>
      <c r="T1285" s="1" t="s">
        <v>74</v>
      </c>
      <c r="U1285" s="186">
        <v>44968.589930555558</v>
      </c>
      <c r="V1285" s="1" t="s">
        <v>41</v>
      </c>
      <c r="W1285" s="1" t="s">
        <v>49</v>
      </c>
      <c r="X1285" s="13" t="str">
        <f t="shared" si="95"/>
        <v/>
      </c>
      <c r="Y1285" s="2">
        <f t="shared" ca="1" si="96"/>
        <v>14</v>
      </c>
    </row>
    <row r="1286" spans="1:25" hidden="1">
      <c r="A1286" s="1">
        <v>9464451</v>
      </c>
      <c r="B1286" s="1" t="s">
        <v>81</v>
      </c>
      <c r="C1286" t="s">
        <v>2733</v>
      </c>
      <c r="E1286" s="2">
        <v>963000206001</v>
      </c>
      <c r="F1286" s="1" t="s">
        <v>29</v>
      </c>
      <c r="G1286" s="1" t="s">
        <v>53</v>
      </c>
      <c r="H1286" s="1" t="s">
        <v>531</v>
      </c>
      <c r="I1286" s="1" t="s">
        <v>532</v>
      </c>
      <c r="J1286" s="1" t="s">
        <v>33</v>
      </c>
      <c r="K1286" t="s">
        <v>34</v>
      </c>
      <c r="M1286" s="1" t="s">
        <v>35</v>
      </c>
      <c r="N1286" s="1">
        <v>42318949</v>
      </c>
      <c r="O1286" s="1" t="s">
        <v>105</v>
      </c>
      <c r="P1286" s="11" t="s">
        <v>2736</v>
      </c>
      <c r="R1286" s="1" t="s">
        <v>38</v>
      </c>
      <c r="T1286" s="1" t="s">
        <v>74</v>
      </c>
      <c r="U1286" s="186">
        <v>44968.589918981481</v>
      </c>
      <c r="V1286" s="1" t="s">
        <v>41</v>
      </c>
      <c r="W1286" s="1" t="s">
        <v>49</v>
      </c>
      <c r="X1286" s="13" t="str">
        <f t="shared" si="95"/>
        <v/>
      </c>
      <c r="Y1286" s="2">
        <f t="shared" ca="1" si="96"/>
        <v>14</v>
      </c>
    </row>
    <row r="1287" spans="1:25" hidden="1">
      <c r="A1287" s="1">
        <v>9464394</v>
      </c>
      <c r="B1287" s="1" t="s">
        <v>81</v>
      </c>
      <c r="C1287" t="s">
        <v>2733</v>
      </c>
      <c r="E1287" s="2">
        <v>67000206001</v>
      </c>
      <c r="F1287" s="1" t="s">
        <v>29</v>
      </c>
      <c r="G1287" s="1" t="s">
        <v>53</v>
      </c>
      <c r="H1287" s="1" t="s">
        <v>404</v>
      </c>
      <c r="I1287" s="1" t="s">
        <v>405</v>
      </c>
      <c r="J1287" s="1" t="s">
        <v>164</v>
      </c>
      <c r="K1287" t="s">
        <v>34</v>
      </c>
      <c r="M1287" s="1" t="s">
        <v>35</v>
      </c>
      <c r="N1287" s="1">
        <v>42318949</v>
      </c>
      <c r="O1287" s="1" t="s">
        <v>105</v>
      </c>
      <c r="P1287" s="11" t="s">
        <v>2738</v>
      </c>
      <c r="R1287" s="1" t="s">
        <v>38</v>
      </c>
      <c r="T1287" s="1" t="s">
        <v>74</v>
      </c>
      <c r="U1287" s="186">
        <v>44968.589814814812</v>
      </c>
      <c r="V1287" s="1" t="s">
        <v>41</v>
      </c>
      <c r="W1287" s="1" t="s">
        <v>49</v>
      </c>
      <c r="X1287" s="13" t="str">
        <f t="shared" si="95"/>
        <v/>
      </c>
      <c r="Y1287" s="2">
        <f t="shared" ca="1" si="96"/>
        <v>14</v>
      </c>
    </row>
    <row r="1288" spans="1:25" hidden="1">
      <c r="A1288" s="1">
        <v>9463997</v>
      </c>
      <c r="B1288" s="1" t="s">
        <v>1153</v>
      </c>
      <c r="C1288" t="s">
        <v>2759</v>
      </c>
      <c r="D1288" s="2">
        <v>20234844000431</v>
      </c>
      <c r="E1288" s="2">
        <v>7417193390971</v>
      </c>
      <c r="F1288" s="1" t="s">
        <v>2760</v>
      </c>
      <c r="G1288" s="1" t="s">
        <v>53</v>
      </c>
      <c r="H1288" s="1" t="s">
        <v>626</v>
      </c>
      <c r="I1288" s="1" t="s">
        <v>627</v>
      </c>
      <c r="J1288" s="1" t="s">
        <v>46</v>
      </c>
      <c r="K1288" t="s">
        <v>2761</v>
      </c>
      <c r="M1288" s="1" t="s">
        <v>58</v>
      </c>
      <c r="N1288" s="1">
        <v>0</v>
      </c>
      <c r="O1288" s="1" t="s">
        <v>36</v>
      </c>
      <c r="P1288" s="11" t="s">
        <v>2762</v>
      </c>
      <c r="R1288" s="1">
        <v>22</v>
      </c>
      <c r="T1288" s="1" t="s">
        <v>1160</v>
      </c>
      <c r="U1288" s="186">
        <v>44971.718206018515</v>
      </c>
      <c r="V1288" s="1" t="s">
        <v>41</v>
      </c>
      <c r="W1288" s="1" t="s">
        <v>49</v>
      </c>
      <c r="X1288" s="13" t="str">
        <f t="shared" si="95"/>
        <v/>
      </c>
      <c r="Y1288" s="2">
        <f t="shared" ca="1" si="96"/>
        <v>14</v>
      </c>
    </row>
    <row r="1289" spans="1:25" hidden="1">
      <c r="A1289" s="1">
        <v>9463988</v>
      </c>
      <c r="B1289" s="1" t="s">
        <v>1153</v>
      </c>
      <c r="C1289" t="s">
        <v>3136</v>
      </c>
      <c r="D1289" s="2">
        <v>20234119000009</v>
      </c>
      <c r="E1289" s="2">
        <v>7419152172053</v>
      </c>
      <c r="F1289" s="1" t="s">
        <v>52</v>
      </c>
      <c r="G1289" s="1" t="s">
        <v>53</v>
      </c>
      <c r="H1289" s="1" t="s">
        <v>297</v>
      </c>
      <c r="I1289" s="1" t="s">
        <v>298</v>
      </c>
      <c r="J1289" s="1" t="s">
        <v>211</v>
      </c>
      <c r="K1289" t="s">
        <v>57</v>
      </c>
      <c r="M1289" s="1" t="s">
        <v>58</v>
      </c>
      <c r="N1289" s="1">
        <v>0</v>
      </c>
      <c r="O1289" s="1" t="s">
        <v>36</v>
      </c>
      <c r="P1289" s="11" t="s">
        <v>2765</v>
      </c>
      <c r="R1289" s="1">
        <v>8</v>
      </c>
      <c r="T1289" s="1" t="s">
        <v>238</v>
      </c>
      <c r="U1289" s="186">
        <v>44968.518483796295</v>
      </c>
      <c r="V1289" s="1" t="s">
        <v>41</v>
      </c>
      <c r="W1289" s="1" t="s">
        <v>49</v>
      </c>
      <c r="X1289" s="13" t="str">
        <f t="shared" si="95"/>
        <v/>
      </c>
      <c r="Y1289" s="2">
        <f t="shared" ca="1" si="96"/>
        <v>14</v>
      </c>
    </row>
    <row r="1290" spans="1:25" hidden="1">
      <c r="A1290" s="1">
        <v>9463914</v>
      </c>
      <c r="B1290" s="1" t="s">
        <v>1153</v>
      </c>
      <c r="C1290" t="s">
        <v>4152</v>
      </c>
      <c r="D1290" s="2">
        <v>20232107000001</v>
      </c>
      <c r="E1290" s="2">
        <v>7417183023328</v>
      </c>
      <c r="F1290" s="1" t="s">
        <v>1313</v>
      </c>
      <c r="G1290" s="1" t="s">
        <v>53</v>
      </c>
      <c r="H1290" s="1" t="s">
        <v>2775</v>
      </c>
      <c r="I1290" s="1" t="s">
        <v>2776</v>
      </c>
      <c r="J1290" s="1" t="s">
        <v>164</v>
      </c>
      <c r="K1290" t="s">
        <v>1316</v>
      </c>
      <c r="M1290" s="1" t="s">
        <v>58</v>
      </c>
      <c r="N1290" s="1">
        <v>0</v>
      </c>
      <c r="O1290" s="1" t="s">
        <v>36</v>
      </c>
      <c r="P1290" s="11" t="s">
        <v>3138</v>
      </c>
      <c r="R1290" s="1">
        <v>14</v>
      </c>
      <c r="T1290" s="1" t="s">
        <v>238</v>
      </c>
      <c r="U1290" s="186">
        <v>44967.499363425923</v>
      </c>
      <c r="V1290" s="1" t="s">
        <v>41</v>
      </c>
      <c r="W1290" s="1" t="s">
        <v>49</v>
      </c>
      <c r="X1290" s="13" t="str">
        <f t="shared" si="95"/>
        <v>2107.91</v>
      </c>
      <c r="Y1290" s="2">
        <f t="shared" ca="1" si="96"/>
        <v>14</v>
      </c>
    </row>
    <row r="1291" spans="1:25" hidden="1">
      <c r="A1291" s="1">
        <v>9463157</v>
      </c>
      <c r="B1291" s="1" t="s">
        <v>1153</v>
      </c>
      <c r="C1291" t="s">
        <v>2803</v>
      </c>
      <c r="D1291" s="2">
        <v>230027366</v>
      </c>
      <c r="E1291" s="2">
        <v>4637001400010</v>
      </c>
      <c r="F1291" s="1" t="s">
        <v>936</v>
      </c>
      <c r="G1291" s="1" t="s">
        <v>53</v>
      </c>
      <c r="H1291" s="1" t="s">
        <v>848</v>
      </c>
      <c r="I1291" s="1" t="s">
        <v>849</v>
      </c>
      <c r="J1291" s="1" t="s">
        <v>79</v>
      </c>
      <c r="K1291" t="s">
        <v>937</v>
      </c>
      <c r="M1291" s="1" t="s">
        <v>58</v>
      </c>
      <c r="N1291" s="1">
        <v>0</v>
      </c>
      <c r="O1291" s="1" t="s">
        <v>36</v>
      </c>
      <c r="P1291" s="11" t="s">
        <v>2804</v>
      </c>
      <c r="R1291" s="1">
        <v>3</v>
      </c>
      <c r="T1291" s="1" t="s">
        <v>646</v>
      </c>
      <c r="U1291" s="186">
        <v>44991.4375</v>
      </c>
      <c r="V1291" s="1" t="s">
        <v>41</v>
      </c>
      <c r="W1291" s="1" t="s">
        <v>49</v>
      </c>
      <c r="X1291" s="13" t="str">
        <f t="shared" si="95"/>
        <v/>
      </c>
      <c r="Y1291" s="2">
        <f t="shared" ca="1" si="96"/>
        <v>14</v>
      </c>
    </row>
    <row r="1292" spans="1:25" hidden="1">
      <c r="A1292" s="1">
        <v>9478527</v>
      </c>
      <c r="B1292" s="1" t="s">
        <v>101</v>
      </c>
      <c r="C1292" t="s">
        <v>1978</v>
      </c>
      <c r="D1292" s="2">
        <v>20232437000021</v>
      </c>
      <c r="E1292" s="2">
        <v>7419141893524</v>
      </c>
      <c r="F1292" s="1" t="s">
        <v>128</v>
      </c>
      <c r="G1292" s="1" t="s">
        <v>53</v>
      </c>
      <c r="H1292" s="1" t="s">
        <v>2418</v>
      </c>
      <c r="I1292" s="1" t="s">
        <v>2419</v>
      </c>
      <c r="J1292" s="1" t="s">
        <v>211</v>
      </c>
      <c r="K1292" t="s">
        <v>129</v>
      </c>
      <c r="M1292" s="1" t="s">
        <v>58</v>
      </c>
      <c r="N1292" s="1">
        <v>0</v>
      </c>
      <c r="O1292" s="1" t="s">
        <v>105</v>
      </c>
      <c r="P1292" s="11" t="s">
        <v>3142</v>
      </c>
      <c r="R1292" s="1">
        <v>14</v>
      </c>
      <c r="T1292" s="1" t="s">
        <v>238</v>
      </c>
      <c r="U1292" s="11" t="s">
        <v>3142</v>
      </c>
      <c r="V1292" s="1" t="s">
        <v>41</v>
      </c>
      <c r="W1292" s="1" t="s">
        <v>49</v>
      </c>
      <c r="X1292" s="13" t="str">
        <f t="shared" si="95"/>
        <v>2437.91</v>
      </c>
      <c r="Y1292" s="2">
        <f t="shared" ca="1" si="96"/>
        <v>13</v>
      </c>
    </row>
    <row r="1293" spans="1:25" hidden="1">
      <c r="A1293" s="1">
        <v>9478476</v>
      </c>
      <c r="B1293" s="1" t="s">
        <v>101</v>
      </c>
      <c r="C1293" t="s">
        <v>1978</v>
      </c>
      <c r="D1293" s="2">
        <v>20232678000014</v>
      </c>
      <c r="E1293" s="2">
        <v>7417163281860</v>
      </c>
      <c r="F1293" s="1" t="s">
        <v>131</v>
      </c>
      <c r="G1293" s="1" t="s">
        <v>53</v>
      </c>
      <c r="H1293" s="1" t="s">
        <v>2814</v>
      </c>
      <c r="I1293" s="1" t="s">
        <v>2815</v>
      </c>
      <c r="J1293" s="1" t="s">
        <v>33</v>
      </c>
      <c r="K1293" t="s">
        <v>132</v>
      </c>
      <c r="M1293" s="1" t="s">
        <v>58</v>
      </c>
      <c r="N1293" s="1">
        <v>0</v>
      </c>
      <c r="O1293" s="1" t="s">
        <v>36</v>
      </c>
      <c r="P1293" s="11" t="s">
        <v>3143</v>
      </c>
      <c r="R1293" s="1">
        <v>15</v>
      </c>
      <c r="T1293" s="1" t="s">
        <v>238</v>
      </c>
      <c r="U1293" s="186">
        <v>44970.760370370372</v>
      </c>
      <c r="V1293" s="1" t="s">
        <v>41</v>
      </c>
      <c r="W1293" s="1" t="s">
        <v>42</v>
      </c>
      <c r="X1293" s="13" t="str">
        <f t="shared" si="95"/>
        <v>2678.91</v>
      </c>
      <c r="Y1293" s="2">
        <f t="shared" ca="1" si="96"/>
        <v>13</v>
      </c>
    </row>
    <row r="1294" spans="1:25" hidden="1">
      <c r="A1294" s="1">
        <v>9478382</v>
      </c>
      <c r="B1294" s="1" t="s">
        <v>101</v>
      </c>
      <c r="C1294" t="s">
        <v>1978</v>
      </c>
      <c r="D1294" s="2">
        <v>20234923000067</v>
      </c>
      <c r="E1294" s="2">
        <v>7419141892150</v>
      </c>
      <c r="F1294" s="1" t="s">
        <v>128</v>
      </c>
      <c r="G1294" s="1" t="s">
        <v>53</v>
      </c>
      <c r="H1294" s="1" t="s">
        <v>1966</v>
      </c>
      <c r="I1294" s="1" t="s">
        <v>1967</v>
      </c>
      <c r="J1294" s="1" t="s">
        <v>46</v>
      </c>
      <c r="K1294" t="s">
        <v>129</v>
      </c>
      <c r="M1294" s="1" t="s">
        <v>58</v>
      </c>
      <c r="N1294" s="1">
        <v>0</v>
      </c>
      <c r="O1294" s="1" t="s">
        <v>36</v>
      </c>
      <c r="P1294" s="11" t="s">
        <v>3144</v>
      </c>
      <c r="R1294" s="1">
        <v>13</v>
      </c>
      <c r="T1294" s="1" t="s">
        <v>238</v>
      </c>
      <c r="U1294" s="186">
        <v>44970.75644675926</v>
      </c>
      <c r="V1294" s="1" t="s">
        <v>41</v>
      </c>
      <c r="W1294" s="1" t="s">
        <v>49</v>
      </c>
      <c r="X1294" s="13" t="str">
        <f t="shared" si="95"/>
        <v>4923.01</v>
      </c>
      <c r="Y1294" s="2">
        <f t="shared" ca="1" si="96"/>
        <v>13</v>
      </c>
    </row>
    <row r="1295" spans="1:25" hidden="1">
      <c r="A1295" s="1">
        <v>9478325</v>
      </c>
      <c r="B1295" s="1" t="s">
        <v>101</v>
      </c>
      <c r="C1295" t="s">
        <v>1978</v>
      </c>
      <c r="D1295" s="2">
        <v>20234844000453</v>
      </c>
      <c r="E1295" s="2">
        <v>7417163282352</v>
      </c>
      <c r="F1295" s="1" t="s">
        <v>131</v>
      </c>
      <c r="G1295" s="1" t="s">
        <v>53</v>
      </c>
      <c r="H1295" s="1" t="s">
        <v>2816</v>
      </c>
      <c r="I1295" s="1" t="s">
        <v>2817</v>
      </c>
      <c r="J1295" s="1" t="s">
        <v>46</v>
      </c>
      <c r="K1295" t="s">
        <v>132</v>
      </c>
      <c r="M1295" s="1" t="s">
        <v>58</v>
      </c>
      <c r="N1295" s="1">
        <v>0</v>
      </c>
      <c r="O1295" s="1" t="s">
        <v>105</v>
      </c>
      <c r="P1295" s="11" t="s">
        <v>3145</v>
      </c>
      <c r="R1295" s="1">
        <v>13</v>
      </c>
      <c r="T1295" s="1" t="s">
        <v>238</v>
      </c>
      <c r="U1295" s="186">
        <v>44970.750717592593</v>
      </c>
      <c r="V1295" s="1" t="s">
        <v>41</v>
      </c>
      <c r="W1295" s="1" t="s">
        <v>49</v>
      </c>
      <c r="X1295" s="13" t="str">
        <f t="shared" si="95"/>
        <v>4844.64</v>
      </c>
      <c r="Y1295" s="2">
        <f t="shared" ca="1" si="96"/>
        <v>13</v>
      </c>
    </row>
    <row r="1296" spans="1:25" hidden="1">
      <c r="A1296" s="1">
        <v>9478324</v>
      </c>
      <c r="B1296" s="1" t="s">
        <v>101</v>
      </c>
      <c r="C1296" t="s">
        <v>1978</v>
      </c>
      <c r="D1296" s="2">
        <v>20234637000008</v>
      </c>
      <c r="E1296" s="2">
        <v>7417163284105</v>
      </c>
      <c r="F1296" s="1" t="s">
        <v>131</v>
      </c>
      <c r="G1296" s="1" t="s">
        <v>53</v>
      </c>
      <c r="H1296" s="1" t="s">
        <v>2004</v>
      </c>
      <c r="I1296" s="1" t="s">
        <v>2005</v>
      </c>
      <c r="J1296" s="1" t="s">
        <v>79</v>
      </c>
      <c r="K1296" t="s">
        <v>132</v>
      </c>
      <c r="M1296" s="1" t="s">
        <v>58</v>
      </c>
      <c r="N1296" s="1">
        <v>0</v>
      </c>
      <c r="O1296" s="1" t="s">
        <v>36</v>
      </c>
      <c r="P1296" s="11" t="s">
        <v>3146</v>
      </c>
      <c r="R1296" s="1">
        <v>14</v>
      </c>
      <c r="T1296" s="1" t="s">
        <v>238</v>
      </c>
      <c r="U1296" s="186">
        <v>44970.750706018516</v>
      </c>
      <c r="V1296" s="1" t="s">
        <v>41</v>
      </c>
      <c r="W1296" s="1" t="s">
        <v>49</v>
      </c>
      <c r="X1296" s="13" t="str">
        <f t="shared" si="95"/>
        <v>4637.91</v>
      </c>
      <c r="Y1296" s="2">
        <f t="shared" ca="1" si="96"/>
        <v>13</v>
      </c>
    </row>
    <row r="1297" spans="1:25" hidden="1">
      <c r="A1297" s="1">
        <v>9478256</v>
      </c>
      <c r="B1297" s="1" t="s">
        <v>101</v>
      </c>
      <c r="C1297" t="s">
        <v>1978</v>
      </c>
      <c r="D1297" s="2">
        <v>20234844000452</v>
      </c>
      <c r="E1297" s="2">
        <v>7417183020637</v>
      </c>
      <c r="F1297" s="1" t="s">
        <v>1313</v>
      </c>
      <c r="G1297" s="1" t="s">
        <v>53</v>
      </c>
      <c r="H1297" s="1" t="s">
        <v>2816</v>
      </c>
      <c r="I1297" s="1" t="s">
        <v>2817</v>
      </c>
      <c r="J1297" s="1" t="s">
        <v>46</v>
      </c>
      <c r="K1297" t="s">
        <v>1316</v>
      </c>
      <c r="M1297" s="1" t="s">
        <v>58</v>
      </c>
      <c r="N1297" s="1">
        <v>0</v>
      </c>
      <c r="O1297" s="1" t="s">
        <v>105</v>
      </c>
      <c r="P1297" s="11" t="s">
        <v>3147</v>
      </c>
      <c r="R1297" s="1">
        <v>13</v>
      </c>
      <c r="T1297" s="1" t="s">
        <v>238</v>
      </c>
      <c r="U1297" s="186">
        <v>44970.748796296299</v>
      </c>
      <c r="V1297" s="1" t="s">
        <v>41</v>
      </c>
      <c r="W1297" s="1" t="s">
        <v>49</v>
      </c>
      <c r="X1297" s="13" t="str">
        <f t="shared" si="95"/>
        <v>4844.64</v>
      </c>
      <c r="Y1297" s="2">
        <f t="shared" ca="1" si="96"/>
        <v>13</v>
      </c>
    </row>
    <row r="1298" spans="1:25" hidden="1">
      <c r="A1298" s="1">
        <v>9478195</v>
      </c>
      <c r="B1298" s="1" t="s">
        <v>101</v>
      </c>
      <c r="C1298" t="s">
        <v>1978</v>
      </c>
      <c r="D1298" s="2">
        <v>20234844000451</v>
      </c>
      <c r="E1298" s="2">
        <v>7417163282362</v>
      </c>
      <c r="F1298" s="1" t="s">
        <v>131</v>
      </c>
      <c r="G1298" s="1" t="s">
        <v>53</v>
      </c>
      <c r="H1298" s="1" t="s">
        <v>2821</v>
      </c>
      <c r="I1298" s="1" t="s">
        <v>2822</v>
      </c>
      <c r="J1298" s="1" t="s">
        <v>46</v>
      </c>
      <c r="K1298" t="s">
        <v>132</v>
      </c>
      <c r="M1298" s="1" t="s">
        <v>58</v>
      </c>
      <c r="N1298" s="1">
        <v>0</v>
      </c>
      <c r="O1298" s="1" t="s">
        <v>36</v>
      </c>
      <c r="P1298" s="11" t="s">
        <v>3148</v>
      </c>
      <c r="R1298" s="1">
        <v>13</v>
      </c>
      <c r="T1298" s="1" t="s">
        <v>238</v>
      </c>
      <c r="U1298" s="186">
        <v>44970.741828703707</v>
      </c>
      <c r="V1298" s="1" t="s">
        <v>41</v>
      </c>
      <c r="W1298" s="1" t="s">
        <v>49</v>
      </c>
      <c r="X1298" s="13" t="str">
        <f t="shared" si="95"/>
        <v>4844.17</v>
      </c>
      <c r="Y1298" s="2">
        <f t="shared" ca="1" si="96"/>
        <v>13</v>
      </c>
    </row>
    <row r="1299" spans="1:25" hidden="1">
      <c r="A1299" s="1">
        <v>9478110</v>
      </c>
      <c r="B1299" s="1" t="s">
        <v>1970</v>
      </c>
      <c r="C1299" t="s">
        <v>1971</v>
      </c>
      <c r="D1299" s="2">
        <v>20231059000017</v>
      </c>
      <c r="E1299" s="2">
        <v>7419141894708</v>
      </c>
      <c r="F1299" s="1" t="s">
        <v>128</v>
      </c>
      <c r="G1299" s="1" t="s">
        <v>53</v>
      </c>
      <c r="H1299" s="1" t="s">
        <v>1972</v>
      </c>
      <c r="I1299" s="1" t="s">
        <v>1973</v>
      </c>
      <c r="J1299" s="1" t="s">
        <v>90</v>
      </c>
      <c r="K1299" t="s">
        <v>129</v>
      </c>
      <c r="M1299" s="1" t="s">
        <v>58</v>
      </c>
      <c r="N1299" s="1">
        <v>0</v>
      </c>
      <c r="O1299" s="1" t="s">
        <v>36</v>
      </c>
      <c r="P1299" s="11" t="s">
        <v>3150</v>
      </c>
      <c r="R1299" s="1">
        <v>14</v>
      </c>
      <c r="T1299" s="1" t="s">
        <v>238</v>
      </c>
      <c r="U1299" s="186">
        <v>44971.746249999997</v>
      </c>
      <c r="V1299" s="1" t="s">
        <v>41</v>
      </c>
      <c r="W1299" s="1" t="s">
        <v>49</v>
      </c>
      <c r="X1299" s="13" t="str">
        <f t="shared" si="95"/>
        <v>1059.91</v>
      </c>
      <c r="Y1299" s="2">
        <f t="shared" ca="1" si="96"/>
        <v>13</v>
      </c>
    </row>
    <row r="1300" spans="1:25" hidden="1">
      <c r="A1300" s="1">
        <v>9478042</v>
      </c>
      <c r="B1300" s="1" t="s">
        <v>1970</v>
      </c>
      <c r="C1300" t="s">
        <v>1971</v>
      </c>
      <c r="D1300" s="2">
        <v>20231052000013</v>
      </c>
      <c r="E1300" s="2">
        <v>7417163285093</v>
      </c>
      <c r="F1300" s="1" t="s">
        <v>131</v>
      </c>
      <c r="G1300" s="1" t="s">
        <v>53</v>
      </c>
      <c r="H1300" s="1" t="s">
        <v>2560</v>
      </c>
      <c r="I1300" s="1" t="s">
        <v>2561</v>
      </c>
      <c r="J1300" s="1" t="s">
        <v>79</v>
      </c>
      <c r="K1300" t="s">
        <v>132</v>
      </c>
      <c r="M1300" s="1" t="s">
        <v>58</v>
      </c>
      <c r="N1300" s="1">
        <v>0</v>
      </c>
      <c r="O1300" s="1" t="s">
        <v>36</v>
      </c>
      <c r="P1300" s="11" t="s">
        <v>3154</v>
      </c>
      <c r="R1300" s="1">
        <v>14</v>
      </c>
      <c r="T1300" s="1" t="s">
        <v>238</v>
      </c>
      <c r="U1300" s="186">
        <v>44971.746122685188</v>
      </c>
      <c r="V1300" s="1" t="s">
        <v>41</v>
      </c>
      <c r="W1300" s="1" t="s">
        <v>49</v>
      </c>
      <c r="X1300" s="13" t="str">
        <f t="shared" si="95"/>
        <v>1052.91</v>
      </c>
      <c r="Y1300" s="2">
        <f t="shared" ca="1" si="96"/>
        <v>13</v>
      </c>
    </row>
    <row r="1301" spans="1:25" hidden="1">
      <c r="A1301" s="1">
        <v>9477977</v>
      </c>
      <c r="B1301" s="1" t="s">
        <v>1970</v>
      </c>
      <c r="C1301" t="s">
        <v>1971</v>
      </c>
      <c r="D1301" s="2">
        <v>20230870000025</v>
      </c>
      <c r="E1301" s="2">
        <v>7417163283610</v>
      </c>
      <c r="F1301" s="1" t="s">
        <v>131</v>
      </c>
      <c r="G1301" s="1" t="s">
        <v>53</v>
      </c>
      <c r="H1301" s="1" t="s">
        <v>519</v>
      </c>
      <c r="I1301" s="1" t="s">
        <v>520</v>
      </c>
      <c r="J1301" s="1" t="s">
        <v>90</v>
      </c>
      <c r="K1301" t="s">
        <v>132</v>
      </c>
      <c r="M1301" s="1" t="s">
        <v>58</v>
      </c>
      <c r="N1301" s="1">
        <v>0</v>
      </c>
      <c r="O1301" s="1" t="s">
        <v>105</v>
      </c>
      <c r="P1301" s="11" t="s">
        <v>3155</v>
      </c>
      <c r="R1301" s="1">
        <v>14</v>
      </c>
      <c r="T1301" s="1" t="s">
        <v>238</v>
      </c>
      <c r="U1301" s="11" t="s">
        <v>3156</v>
      </c>
      <c r="V1301" s="1" t="s">
        <v>41</v>
      </c>
      <c r="W1301" s="1" t="s">
        <v>49</v>
      </c>
      <c r="X1301" s="13" t="str">
        <f t="shared" si="95"/>
        <v>0870.91</v>
      </c>
      <c r="Y1301" s="2">
        <f t="shared" ca="1" si="96"/>
        <v>13</v>
      </c>
    </row>
    <row r="1302" spans="1:25" hidden="1">
      <c r="A1302" s="1">
        <v>9477885</v>
      </c>
      <c r="B1302" s="1" t="s">
        <v>1970</v>
      </c>
      <c r="C1302" t="s">
        <v>1971</v>
      </c>
      <c r="D1302" s="2">
        <v>20231059000016</v>
      </c>
      <c r="E1302" s="2">
        <v>7417161482599</v>
      </c>
      <c r="F1302" s="1" t="s">
        <v>1217</v>
      </c>
      <c r="G1302" s="1" t="s">
        <v>53</v>
      </c>
      <c r="H1302" s="1" t="s">
        <v>1972</v>
      </c>
      <c r="I1302" s="1" t="s">
        <v>1973</v>
      </c>
      <c r="J1302" s="1" t="s">
        <v>90</v>
      </c>
      <c r="K1302" t="s">
        <v>1218</v>
      </c>
      <c r="M1302" s="1" t="s">
        <v>58</v>
      </c>
      <c r="N1302" s="1">
        <v>0</v>
      </c>
      <c r="O1302" s="1" t="s">
        <v>36</v>
      </c>
      <c r="P1302" s="11" t="s">
        <v>2826</v>
      </c>
      <c r="R1302" s="1">
        <v>14</v>
      </c>
      <c r="T1302" s="1" t="s">
        <v>238</v>
      </c>
      <c r="U1302" s="11" t="s">
        <v>2827</v>
      </c>
      <c r="V1302" s="1" t="s">
        <v>41</v>
      </c>
      <c r="W1302" s="1" t="s">
        <v>49</v>
      </c>
      <c r="X1302" s="13" t="str">
        <f t="shared" si="95"/>
        <v>1059.91</v>
      </c>
      <c r="Y1302" s="2">
        <f t="shared" ca="1" si="96"/>
        <v>13</v>
      </c>
    </row>
    <row r="1303" spans="1:25" hidden="1">
      <c r="A1303" s="1">
        <v>9477533</v>
      </c>
      <c r="B1303" s="1" t="s">
        <v>62</v>
      </c>
      <c r="C1303" t="s">
        <v>2845</v>
      </c>
      <c r="E1303" s="2">
        <v>7417183022889</v>
      </c>
      <c r="F1303" s="1" t="s">
        <v>1313</v>
      </c>
      <c r="G1303" s="1" t="s">
        <v>53</v>
      </c>
      <c r="H1303" s="1" t="s">
        <v>2846</v>
      </c>
      <c r="I1303" s="1" t="s">
        <v>2847</v>
      </c>
      <c r="J1303" s="1" t="s">
        <v>110</v>
      </c>
      <c r="K1303" t="s">
        <v>1316</v>
      </c>
      <c r="M1303" s="1" t="s">
        <v>58</v>
      </c>
      <c r="N1303" s="1">
        <v>0</v>
      </c>
      <c r="O1303" s="1" t="s">
        <v>105</v>
      </c>
      <c r="P1303" s="11" t="s">
        <v>3159</v>
      </c>
      <c r="R1303" s="1">
        <v>14</v>
      </c>
      <c r="T1303" s="1" t="s">
        <v>238</v>
      </c>
      <c r="U1303" s="11" t="s">
        <v>3160</v>
      </c>
      <c r="V1303" s="1" t="s">
        <v>41</v>
      </c>
      <c r="W1303" s="1" t="s">
        <v>49</v>
      </c>
      <c r="X1303" s="13" t="str">
        <f t="shared" si="95"/>
        <v>1363.91</v>
      </c>
      <c r="Y1303" s="2">
        <f t="shared" ca="1" si="96"/>
        <v>13</v>
      </c>
    </row>
    <row r="1304" spans="1:25">
      <c r="A1304" s="1">
        <v>9477367</v>
      </c>
      <c r="B1304" s="1" t="s">
        <v>1153</v>
      </c>
      <c r="C1304" s="178" t="s">
        <v>3501</v>
      </c>
      <c r="E1304" s="2">
        <v>246000206021</v>
      </c>
      <c r="F1304" s="1" t="s">
        <v>103</v>
      </c>
      <c r="G1304" s="1" t="s">
        <v>53</v>
      </c>
      <c r="H1304" s="1" t="s">
        <v>1193</v>
      </c>
      <c r="I1304" s="1" t="s">
        <v>1194</v>
      </c>
      <c r="J1304" s="1" t="s">
        <v>85</v>
      </c>
      <c r="K1304" t="s">
        <v>104</v>
      </c>
      <c r="M1304" s="1" t="s">
        <v>58</v>
      </c>
      <c r="N1304" s="1">
        <v>0</v>
      </c>
      <c r="O1304" s="1" t="s">
        <v>36</v>
      </c>
      <c r="P1304" s="11" t="s">
        <v>3162</v>
      </c>
      <c r="R1304" s="1" t="s">
        <v>38</v>
      </c>
      <c r="T1304" s="1" t="s">
        <v>74</v>
      </c>
      <c r="U1304" s="11" t="s">
        <v>4153</v>
      </c>
      <c r="V1304" s="1" t="s">
        <v>41</v>
      </c>
      <c r="W1304" s="1" t="s">
        <v>49</v>
      </c>
      <c r="X1304" s="13" t="str">
        <f t="shared" si="95"/>
        <v/>
      </c>
      <c r="Y1304" s="2">
        <f t="shared" ca="1" si="96"/>
        <v>13</v>
      </c>
    </row>
    <row r="1305" spans="1:25" hidden="1">
      <c r="A1305" s="1">
        <v>9476939</v>
      </c>
      <c r="B1305" s="1" t="s">
        <v>1153</v>
      </c>
      <c r="C1305" t="s">
        <v>2862</v>
      </c>
      <c r="D1305" s="2">
        <v>230028336</v>
      </c>
      <c r="E1305" s="2">
        <v>1128001400020</v>
      </c>
      <c r="F1305" s="1" t="s">
        <v>1961</v>
      </c>
      <c r="G1305" s="1" t="s">
        <v>53</v>
      </c>
      <c r="H1305" s="1" t="s">
        <v>1191</v>
      </c>
      <c r="I1305" s="1" t="s">
        <v>1192</v>
      </c>
      <c r="J1305" s="1" t="s">
        <v>33</v>
      </c>
      <c r="K1305" t="s">
        <v>1962</v>
      </c>
      <c r="M1305" s="1" t="s">
        <v>58</v>
      </c>
      <c r="N1305" s="1">
        <v>0</v>
      </c>
      <c r="O1305" s="1" t="s">
        <v>36</v>
      </c>
      <c r="P1305" s="11" t="s">
        <v>3167</v>
      </c>
      <c r="R1305" s="1">
        <v>4</v>
      </c>
      <c r="T1305" s="1" t="s">
        <v>646</v>
      </c>
      <c r="U1305" s="11" t="s">
        <v>4154</v>
      </c>
      <c r="V1305" s="1" t="s">
        <v>41</v>
      </c>
      <c r="W1305" s="1" t="s">
        <v>49</v>
      </c>
      <c r="X1305" s="13" t="str">
        <f t="shared" si="95"/>
        <v/>
      </c>
      <c r="Y1305" s="2">
        <f t="shared" ca="1" si="96"/>
        <v>13</v>
      </c>
    </row>
    <row r="1306" spans="1:25" hidden="1">
      <c r="A1306" s="1">
        <v>9476515</v>
      </c>
      <c r="B1306" s="1" t="s">
        <v>1153</v>
      </c>
      <c r="C1306" t="s">
        <v>3175</v>
      </c>
      <c r="D1306" s="2">
        <v>20231421000011</v>
      </c>
      <c r="E1306" s="2">
        <v>7417202021230</v>
      </c>
      <c r="F1306" s="1" t="s">
        <v>1213</v>
      </c>
      <c r="G1306" s="1" t="s">
        <v>53</v>
      </c>
      <c r="H1306" s="1" t="s">
        <v>2854</v>
      </c>
      <c r="I1306" s="1" t="s">
        <v>2855</v>
      </c>
      <c r="J1306" s="1" t="s">
        <v>79</v>
      </c>
      <c r="K1306" t="s">
        <v>1214</v>
      </c>
      <c r="M1306" s="1" t="s">
        <v>58</v>
      </c>
      <c r="N1306" s="1">
        <v>0</v>
      </c>
      <c r="O1306" s="1" t="s">
        <v>36</v>
      </c>
      <c r="P1306" s="11" t="s">
        <v>3176</v>
      </c>
      <c r="R1306" s="1">
        <v>14</v>
      </c>
      <c r="T1306" s="1" t="s">
        <v>238</v>
      </c>
      <c r="U1306" s="186">
        <v>44970.523252314815</v>
      </c>
      <c r="V1306" s="1" t="s">
        <v>41</v>
      </c>
      <c r="W1306" s="1" t="s">
        <v>49</v>
      </c>
      <c r="X1306" s="13" t="str">
        <f t="shared" si="95"/>
        <v>1421.91</v>
      </c>
      <c r="Y1306" s="2">
        <f t="shared" ca="1" si="96"/>
        <v>13</v>
      </c>
    </row>
    <row r="1307" spans="1:25" hidden="1">
      <c r="A1307" s="1">
        <v>9476194</v>
      </c>
      <c r="B1307" s="1" t="s">
        <v>1153</v>
      </c>
      <c r="C1307" t="s">
        <v>2890</v>
      </c>
      <c r="D1307" s="2">
        <v>20231739000003</v>
      </c>
      <c r="E1307" s="2">
        <v>7417210950311</v>
      </c>
      <c r="F1307" s="1" t="s">
        <v>1213</v>
      </c>
      <c r="G1307" s="1" t="s">
        <v>53</v>
      </c>
      <c r="H1307" s="1" t="s">
        <v>2891</v>
      </c>
      <c r="I1307" s="1" t="s">
        <v>2892</v>
      </c>
      <c r="J1307" s="1" t="s">
        <v>164</v>
      </c>
      <c r="K1307" t="s">
        <v>1214</v>
      </c>
      <c r="M1307" s="1" t="s">
        <v>58</v>
      </c>
      <c r="N1307" s="1">
        <v>0</v>
      </c>
      <c r="O1307" s="1" t="s">
        <v>36</v>
      </c>
      <c r="P1307" s="11" t="s">
        <v>3184</v>
      </c>
      <c r="R1307" s="1">
        <v>14</v>
      </c>
      <c r="T1307" s="1" t="s">
        <v>238</v>
      </c>
      <c r="U1307" s="186">
        <v>44970.482349537036</v>
      </c>
      <c r="V1307" s="1" t="s">
        <v>41</v>
      </c>
      <c r="W1307" s="1" t="s">
        <v>49</v>
      </c>
      <c r="X1307" s="13" t="str">
        <f t="shared" si="95"/>
        <v>1739.91</v>
      </c>
      <c r="Y1307" s="2">
        <f t="shared" ca="1" si="96"/>
        <v>13</v>
      </c>
    </row>
    <row r="1308" spans="1:25" hidden="1">
      <c r="A1308" s="1">
        <v>9475757</v>
      </c>
      <c r="B1308" s="1" t="s">
        <v>1153</v>
      </c>
      <c r="C1308" t="s">
        <v>2903</v>
      </c>
      <c r="D1308" s="2">
        <v>230028057</v>
      </c>
      <c r="E1308" s="2">
        <v>2437001400010</v>
      </c>
      <c r="F1308" s="1" t="s">
        <v>936</v>
      </c>
      <c r="G1308" s="1" t="s">
        <v>53</v>
      </c>
      <c r="H1308" s="1" t="s">
        <v>416</v>
      </c>
      <c r="I1308" s="1" t="s">
        <v>417</v>
      </c>
      <c r="J1308" s="1" t="s">
        <v>211</v>
      </c>
      <c r="K1308" t="s">
        <v>937</v>
      </c>
      <c r="M1308" s="1" t="s">
        <v>58</v>
      </c>
      <c r="N1308" s="1">
        <v>0</v>
      </c>
      <c r="O1308" s="1" t="s">
        <v>36</v>
      </c>
      <c r="P1308" s="11" t="s">
        <v>2904</v>
      </c>
      <c r="R1308" s="1">
        <v>3</v>
      </c>
      <c r="T1308" s="1" t="s">
        <v>646</v>
      </c>
      <c r="U1308" s="186">
        <v>44992.586805555555</v>
      </c>
      <c r="V1308" s="1" t="s">
        <v>41</v>
      </c>
      <c r="W1308" s="1" t="s">
        <v>49</v>
      </c>
      <c r="X1308" s="13" t="str">
        <f t="shared" si="95"/>
        <v/>
      </c>
      <c r="Y1308" s="2">
        <f t="shared" ca="1" si="96"/>
        <v>13</v>
      </c>
    </row>
    <row r="1309" spans="1:25" hidden="1">
      <c r="A1309" s="1">
        <v>9475024</v>
      </c>
      <c r="B1309" s="1" t="s">
        <v>1153</v>
      </c>
      <c r="C1309" t="s">
        <v>3193</v>
      </c>
      <c r="D1309" s="2">
        <v>230027889</v>
      </c>
      <c r="E1309" s="2">
        <v>1108001400030</v>
      </c>
      <c r="F1309" s="1" t="s">
        <v>647</v>
      </c>
      <c r="G1309" s="1" t="s">
        <v>53</v>
      </c>
      <c r="H1309" s="1" t="s">
        <v>295</v>
      </c>
      <c r="I1309" s="1" t="s">
        <v>296</v>
      </c>
      <c r="J1309" s="1" t="s">
        <v>90</v>
      </c>
      <c r="K1309" t="s">
        <v>650</v>
      </c>
      <c r="M1309" s="1" t="s">
        <v>58</v>
      </c>
      <c r="N1309" s="1">
        <v>0</v>
      </c>
      <c r="O1309" s="1" t="s">
        <v>36</v>
      </c>
      <c r="P1309" s="11" t="s">
        <v>3194</v>
      </c>
      <c r="R1309" s="1">
        <v>4</v>
      </c>
      <c r="T1309" s="1" t="s">
        <v>646</v>
      </c>
      <c r="U1309" s="186">
        <v>44979.75</v>
      </c>
      <c r="V1309" s="1" t="s">
        <v>41</v>
      </c>
      <c r="W1309" s="1" t="s">
        <v>49</v>
      </c>
      <c r="X1309" s="13" t="str">
        <f t="shared" si="95"/>
        <v/>
      </c>
      <c r="Y1309" s="2">
        <f t="shared" ca="1" si="96"/>
        <v>13</v>
      </c>
    </row>
    <row r="1310" spans="1:25" hidden="1">
      <c r="A1310" s="1">
        <v>9471628</v>
      </c>
      <c r="B1310" s="1" t="s">
        <v>1153</v>
      </c>
      <c r="C1310" t="s">
        <v>2960</v>
      </c>
      <c r="E1310" s="2">
        <v>5742000206001</v>
      </c>
      <c r="F1310" s="1" t="s">
        <v>29</v>
      </c>
      <c r="G1310" s="1" t="s">
        <v>53</v>
      </c>
      <c r="H1310" s="1" t="s">
        <v>430</v>
      </c>
      <c r="I1310" s="1" t="s">
        <v>431</v>
      </c>
      <c r="J1310" s="1" t="s">
        <v>79</v>
      </c>
      <c r="K1310" t="s">
        <v>34</v>
      </c>
      <c r="M1310" s="1" t="s">
        <v>35</v>
      </c>
      <c r="N1310" s="1">
        <v>42318949</v>
      </c>
      <c r="O1310" s="1" t="s">
        <v>36</v>
      </c>
      <c r="P1310" s="11" t="s">
        <v>3201</v>
      </c>
      <c r="R1310" s="1" t="s">
        <v>38</v>
      </c>
      <c r="T1310" s="1" t="s">
        <v>74</v>
      </c>
      <c r="U1310" s="186">
        <v>150177.70833333334</v>
      </c>
      <c r="V1310" s="1" t="s">
        <v>41</v>
      </c>
      <c r="W1310" s="1" t="s">
        <v>49</v>
      </c>
      <c r="X1310" s="13" t="str">
        <f t="shared" si="95"/>
        <v/>
      </c>
      <c r="Y1310" s="2">
        <f t="shared" ca="1" si="96"/>
        <v>13</v>
      </c>
    </row>
    <row r="1311" spans="1:25" hidden="1">
      <c r="A1311" s="1">
        <v>9471368</v>
      </c>
      <c r="B1311" s="1" t="s">
        <v>1153</v>
      </c>
      <c r="C1311" t="s">
        <v>2966</v>
      </c>
      <c r="E1311" s="2">
        <v>1011000203000</v>
      </c>
      <c r="F1311" s="1" t="s">
        <v>454</v>
      </c>
      <c r="G1311" s="1" t="s">
        <v>53</v>
      </c>
      <c r="H1311" s="1" t="s">
        <v>272</v>
      </c>
      <c r="I1311" s="1" t="s">
        <v>273</v>
      </c>
      <c r="J1311" s="1" t="s">
        <v>33</v>
      </c>
      <c r="K1311" t="s">
        <v>457</v>
      </c>
      <c r="M1311" s="1" t="s">
        <v>58</v>
      </c>
      <c r="N1311" s="1">
        <v>0</v>
      </c>
      <c r="O1311" s="1" t="s">
        <v>36</v>
      </c>
      <c r="P1311" s="11" t="s">
        <v>2972</v>
      </c>
      <c r="R1311" s="1">
        <v>1</v>
      </c>
      <c r="T1311" s="1" t="s">
        <v>157</v>
      </c>
      <c r="U1311" s="186">
        <v>44970.417222222219</v>
      </c>
      <c r="V1311" s="1" t="s">
        <v>41</v>
      </c>
      <c r="W1311" s="1" t="s">
        <v>49</v>
      </c>
      <c r="X1311" s="13" t="str">
        <f t="shared" si="95"/>
        <v/>
      </c>
      <c r="Y1311" s="2">
        <f t="shared" ca="1" si="96"/>
        <v>13</v>
      </c>
    </row>
    <row r="1312" spans="1:25" hidden="1">
      <c r="A1312" s="1">
        <v>9471333</v>
      </c>
      <c r="B1312" s="1" t="s">
        <v>1153</v>
      </c>
      <c r="C1312" t="s">
        <v>2966</v>
      </c>
      <c r="E1312" s="2">
        <v>68000203000</v>
      </c>
      <c r="F1312" s="1" t="s">
        <v>454</v>
      </c>
      <c r="G1312" s="1" t="s">
        <v>53</v>
      </c>
      <c r="H1312" s="1" t="s">
        <v>1330</v>
      </c>
      <c r="I1312" s="1" t="s">
        <v>1331</v>
      </c>
      <c r="J1312" s="1" t="s">
        <v>211</v>
      </c>
      <c r="K1312" t="s">
        <v>457</v>
      </c>
      <c r="M1312" s="1" t="s">
        <v>58</v>
      </c>
      <c r="N1312" s="1">
        <v>0</v>
      </c>
      <c r="O1312" s="1" t="s">
        <v>36</v>
      </c>
      <c r="P1312" s="11" t="s">
        <v>2975</v>
      </c>
      <c r="R1312" s="1">
        <v>1</v>
      </c>
      <c r="T1312" s="1" t="s">
        <v>157</v>
      </c>
      <c r="U1312" s="186">
        <v>44970.407256944447</v>
      </c>
      <c r="V1312" s="1" t="s">
        <v>41</v>
      </c>
      <c r="W1312" s="1" t="s">
        <v>49</v>
      </c>
      <c r="X1312" s="13" t="str">
        <f t="shared" si="95"/>
        <v/>
      </c>
      <c r="Y1312" s="2">
        <f t="shared" ca="1" si="96"/>
        <v>13</v>
      </c>
    </row>
    <row r="1313" spans="1:25" hidden="1">
      <c r="A1313" s="1">
        <v>9483056</v>
      </c>
      <c r="B1313" s="1" t="s">
        <v>62</v>
      </c>
      <c r="C1313" t="s">
        <v>3211</v>
      </c>
      <c r="E1313" s="2">
        <v>68000203000</v>
      </c>
      <c r="F1313" s="1" t="s">
        <v>454</v>
      </c>
      <c r="G1313" s="1" t="s">
        <v>53</v>
      </c>
      <c r="H1313" s="1" t="s">
        <v>1330</v>
      </c>
      <c r="I1313" s="1" t="s">
        <v>1331</v>
      </c>
      <c r="J1313" s="1" t="s">
        <v>211</v>
      </c>
      <c r="K1313" t="s">
        <v>457</v>
      </c>
      <c r="M1313" s="1" t="s">
        <v>58</v>
      </c>
      <c r="N1313" s="1">
        <v>0</v>
      </c>
      <c r="O1313" s="1" t="s">
        <v>105</v>
      </c>
      <c r="P1313" s="11" t="s">
        <v>3212</v>
      </c>
      <c r="R1313" s="1">
        <v>1</v>
      </c>
      <c r="T1313" s="1" t="s">
        <v>157</v>
      </c>
      <c r="U1313" s="11" t="s">
        <v>3631</v>
      </c>
      <c r="V1313" s="1" t="s">
        <v>41</v>
      </c>
      <c r="W1313" s="1" t="s">
        <v>49</v>
      </c>
      <c r="X1313" s="13" t="str">
        <f t="shared" si="95"/>
        <v/>
      </c>
      <c r="Y1313" s="2">
        <f t="shared" ca="1" si="96"/>
        <v>12</v>
      </c>
    </row>
    <row r="1314" spans="1:25" hidden="1">
      <c r="A1314" s="1">
        <v>9482851</v>
      </c>
      <c r="B1314" s="1" t="s">
        <v>1153</v>
      </c>
      <c r="C1314" t="s">
        <v>3219</v>
      </c>
      <c r="D1314" s="2">
        <v>20234844000465</v>
      </c>
      <c r="E1314" s="2">
        <v>7419141893532</v>
      </c>
      <c r="F1314" s="1" t="s">
        <v>128</v>
      </c>
      <c r="G1314" s="1" t="s">
        <v>53</v>
      </c>
      <c r="H1314" s="1" t="s">
        <v>2395</v>
      </c>
      <c r="I1314" s="1" t="s">
        <v>2396</v>
      </c>
      <c r="J1314" s="1" t="s">
        <v>46</v>
      </c>
      <c r="K1314" t="s">
        <v>129</v>
      </c>
      <c r="M1314" s="1" t="s">
        <v>58</v>
      </c>
      <c r="N1314" s="1">
        <v>0</v>
      </c>
      <c r="O1314" s="1" t="s">
        <v>36</v>
      </c>
      <c r="P1314" s="11" t="s">
        <v>3220</v>
      </c>
      <c r="R1314" s="1">
        <v>13</v>
      </c>
      <c r="T1314" s="1" t="s">
        <v>238</v>
      </c>
      <c r="U1314" s="11" t="s">
        <v>3220</v>
      </c>
      <c r="V1314" s="1" t="s">
        <v>41</v>
      </c>
      <c r="W1314" s="1" t="s">
        <v>49</v>
      </c>
      <c r="X1314" s="13" t="str">
        <f t="shared" si="95"/>
        <v>4844.08</v>
      </c>
      <c r="Y1314" s="2">
        <f t="shared" ca="1" si="96"/>
        <v>12</v>
      </c>
    </row>
    <row r="1315" spans="1:25" hidden="1">
      <c r="A1315" s="1">
        <v>9482660</v>
      </c>
      <c r="B1315" s="1" t="s">
        <v>1153</v>
      </c>
      <c r="C1315" t="s">
        <v>3225</v>
      </c>
      <c r="D1315" s="2">
        <v>20232219000013</v>
      </c>
      <c r="E1315" s="2">
        <v>7417202020217</v>
      </c>
      <c r="F1315" s="1" t="s">
        <v>1213</v>
      </c>
      <c r="G1315" s="1" t="s">
        <v>53</v>
      </c>
      <c r="H1315" s="1" t="s">
        <v>1980</v>
      </c>
      <c r="I1315" s="1" t="s">
        <v>1981</v>
      </c>
      <c r="J1315" s="1" t="s">
        <v>141</v>
      </c>
      <c r="K1315" t="s">
        <v>1214</v>
      </c>
      <c r="M1315" s="1" t="s">
        <v>58</v>
      </c>
      <c r="N1315" s="1">
        <v>0</v>
      </c>
      <c r="O1315" s="1" t="s">
        <v>36</v>
      </c>
      <c r="P1315" s="11" t="s">
        <v>3226</v>
      </c>
      <c r="R1315" s="1">
        <v>14</v>
      </c>
      <c r="T1315" s="1" t="s">
        <v>238</v>
      </c>
      <c r="U1315" s="11" t="s">
        <v>3226</v>
      </c>
      <c r="V1315" s="1" t="s">
        <v>41</v>
      </c>
      <c r="W1315" s="1" t="s">
        <v>49</v>
      </c>
      <c r="X1315" s="13" t="str">
        <f t="shared" si="95"/>
        <v>2219.91</v>
      </c>
      <c r="Y1315" s="2">
        <f t="shared" ca="1" si="96"/>
        <v>12</v>
      </c>
    </row>
    <row r="1316" spans="1:25" hidden="1">
      <c r="A1316" s="1">
        <v>9482633</v>
      </c>
      <c r="B1316" s="1" t="s">
        <v>1153</v>
      </c>
      <c r="C1316" t="s">
        <v>3233</v>
      </c>
      <c r="D1316" s="2">
        <v>20231850000009</v>
      </c>
      <c r="E1316" s="2">
        <v>7417193050600</v>
      </c>
      <c r="F1316" s="1" t="s">
        <v>1719</v>
      </c>
      <c r="G1316" s="1" t="s">
        <v>53</v>
      </c>
      <c r="H1316" s="1" t="s">
        <v>1931</v>
      </c>
      <c r="I1316" s="1" t="s">
        <v>1932</v>
      </c>
      <c r="J1316" s="1" t="s">
        <v>46</v>
      </c>
      <c r="K1316" t="s">
        <v>1720</v>
      </c>
      <c r="M1316" s="1" t="s">
        <v>58</v>
      </c>
      <c r="N1316" s="1">
        <v>0</v>
      </c>
      <c r="O1316" s="1" t="s">
        <v>36</v>
      </c>
      <c r="P1316" s="11" t="s">
        <v>3234</v>
      </c>
      <c r="R1316" s="1">
        <v>22</v>
      </c>
      <c r="T1316" s="1" t="s">
        <v>1160</v>
      </c>
      <c r="U1316" s="11" t="s">
        <v>3652</v>
      </c>
      <c r="V1316" s="1" t="s">
        <v>41</v>
      </c>
      <c r="W1316" s="1" t="s">
        <v>49</v>
      </c>
      <c r="X1316" s="13" t="str">
        <f t="shared" si="95"/>
        <v/>
      </c>
      <c r="Y1316" s="2">
        <f t="shared" ca="1" si="96"/>
        <v>12</v>
      </c>
    </row>
    <row r="1317" spans="1:25" hidden="1">
      <c r="A1317" s="1">
        <v>9482481</v>
      </c>
      <c r="B1317" s="1" t="s">
        <v>1153</v>
      </c>
      <c r="C1317" t="s">
        <v>3243</v>
      </c>
      <c r="E1317" s="2">
        <v>9704000206200</v>
      </c>
      <c r="F1317" s="1" t="s">
        <v>208</v>
      </c>
      <c r="G1317" s="1" t="s">
        <v>53</v>
      </c>
      <c r="H1317" s="1" t="s">
        <v>488</v>
      </c>
      <c r="I1317" s="1" t="s">
        <v>489</v>
      </c>
      <c r="J1317" s="1" t="s">
        <v>164</v>
      </c>
      <c r="K1317" t="s">
        <v>212</v>
      </c>
      <c r="M1317" s="1" t="s">
        <v>35</v>
      </c>
      <c r="N1317" s="1">
        <v>42318949</v>
      </c>
      <c r="O1317" s="1" t="s">
        <v>36</v>
      </c>
      <c r="P1317" s="11" t="s">
        <v>3244</v>
      </c>
      <c r="R1317" s="1" t="s">
        <v>38</v>
      </c>
      <c r="T1317" s="1" t="s">
        <v>74</v>
      </c>
      <c r="U1317" s="11" t="s">
        <v>4149</v>
      </c>
      <c r="V1317" s="1" t="s">
        <v>41</v>
      </c>
      <c r="W1317" s="1" t="s">
        <v>49</v>
      </c>
      <c r="X1317" s="13" t="str">
        <f t="shared" si="95"/>
        <v/>
      </c>
      <c r="Y1317" s="2">
        <f t="shared" ca="1" si="96"/>
        <v>12</v>
      </c>
    </row>
    <row r="1318" spans="1:25" hidden="1">
      <c r="A1318" s="1">
        <v>9482426</v>
      </c>
      <c r="B1318" s="1" t="s">
        <v>1153</v>
      </c>
      <c r="C1318" t="s">
        <v>3245</v>
      </c>
      <c r="D1318" s="2">
        <v>20231012000004</v>
      </c>
      <c r="E1318" s="2">
        <v>7417183020615</v>
      </c>
      <c r="F1318" s="1" t="s">
        <v>1313</v>
      </c>
      <c r="G1318" s="1" t="s">
        <v>53</v>
      </c>
      <c r="H1318" s="1" t="s">
        <v>2481</v>
      </c>
      <c r="I1318" s="1" t="s">
        <v>2482</v>
      </c>
      <c r="J1318" s="1" t="s">
        <v>164</v>
      </c>
      <c r="K1318" t="s">
        <v>1316</v>
      </c>
      <c r="M1318" s="1" t="s">
        <v>58</v>
      </c>
      <c r="N1318" s="1">
        <v>0</v>
      </c>
      <c r="O1318" s="1" t="s">
        <v>36</v>
      </c>
      <c r="P1318" s="11" t="s">
        <v>3246</v>
      </c>
      <c r="R1318" s="1">
        <v>15</v>
      </c>
      <c r="T1318" s="1" t="s">
        <v>238</v>
      </c>
      <c r="U1318" s="11" t="s">
        <v>3246</v>
      </c>
      <c r="V1318" s="1" t="s">
        <v>41</v>
      </c>
      <c r="W1318" s="1" t="s">
        <v>49</v>
      </c>
      <c r="X1318" s="13" t="str">
        <f t="shared" si="95"/>
        <v>1012.91</v>
      </c>
      <c r="Y1318" s="2">
        <f t="shared" ca="1" si="96"/>
        <v>12</v>
      </c>
    </row>
    <row r="1319" spans="1:25" hidden="1">
      <c r="A1319" s="1">
        <v>9482130</v>
      </c>
      <c r="B1319" s="1" t="s">
        <v>1153</v>
      </c>
      <c r="C1319" t="s">
        <v>3256</v>
      </c>
      <c r="E1319" s="2">
        <v>2855000206001</v>
      </c>
      <c r="F1319" s="1" t="s">
        <v>29</v>
      </c>
      <c r="G1319" s="1" t="s">
        <v>53</v>
      </c>
      <c r="H1319" s="1" t="s">
        <v>249</v>
      </c>
      <c r="I1319" s="1" t="s">
        <v>250</v>
      </c>
      <c r="J1319" s="1" t="s">
        <v>56</v>
      </c>
      <c r="K1319" t="s">
        <v>34</v>
      </c>
      <c r="M1319" s="1" t="s">
        <v>35</v>
      </c>
      <c r="N1319" s="1">
        <v>42318949</v>
      </c>
      <c r="O1319" s="1" t="s">
        <v>36</v>
      </c>
      <c r="P1319" s="11" t="s">
        <v>3257</v>
      </c>
      <c r="R1319" s="1" t="s">
        <v>38</v>
      </c>
      <c r="T1319" s="1" t="s">
        <v>74</v>
      </c>
      <c r="U1319" s="11" t="s">
        <v>3044</v>
      </c>
      <c r="V1319" s="1" t="s">
        <v>41</v>
      </c>
      <c r="W1319" s="1" t="s">
        <v>49</v>
      </c>
      <c r="X1319" s="13" t="str">
        <f t="shared" si="95"/>
        <v/>
      </c>
      <c r="Y1319" s="2">
        <f t="shared" ca="1" si="96"/>
        <v>12</v>
      </c>
    </row>
    <row r="1320" spans="1:25" hidden="1">
      <c r="A1320" s="1">
        <v>9481995</v>
      </c>
      <c r="B1320" s="1" t="s">
        <v>1153</v>
      </c>
      <c r="C1320" t="s">
        <v>3258</v>
      </c>
      <c r="D1320" s="2">
        <v>20230115000012</v>
      </c>
      <c r="E1320" s="2">
        <v>7417183022877</v>
      </c>
      <c r="F1320" s="1" t="s">
        <v>1313</v>
      </c>
      <c r="G1320" s="1" t="s">
        <v>53</v>
      </c>
      <c r="H1320" s="1" t="s">
        <v>2591</v>
      </c>
      <c r="I1320" s="1" t="s">
        <v>2592</v>
      </c>
      <c r="J1320" s="1" t="s">
        <v>56</v>
      </c>
      <c r="K1320" t="s">
        <v>1316</v>
      </c>
      <c r="M1320" s="1" t="s">
        <v>58</v>
      </c>
      <c r="N1320" s="1">
        <v>0</v>
      </c>
      <c r="O1320" s="1" t="s">
        <v>36</v>
      </c>
      <c r="P1320" s="11" t="s">
        <v>3259</v>
      </c>
      <c r="R1320" s="1">
        <v>14</v>
      </c>
      <c r="T1320" s="1" t="s">
        <v>238</v>
      </c>
      <c r="U1320" s="11" t="s">
        <v>3259</v>
      </c>
      <c r="V1320" s="1" t="s">
        <v>41</v>
      </c>
      <c r="W1320" s="1" t="s">
        <v>49</v>
      </c>
      <c r="X1320" s="13" t="str">
        <f t="shared" si="95"/>
        <v>0115.91</v>
      </c>
      <c r="Y1320" s="2">
        <f t="shared" ca="1" si="96"/>
        <v>12</v>
      </c>
    </row>
    <row r="1321" spans="1:25" hidden="1">
      <c r="A1321" s="1">
        <v>9481874</v>
      </c>
      <c r="B1321" s="1" t="s">
        <v>1153</v>
      </c>
      <c r="C1321" t="s">
        <v>2994</v>
      </c>
      <c r="D1321" s="2">
        <v>20231650000004</v>
      </c>
      <c r="E1321" s="2">
        <v>8558100222966</v>
      </c>
      <c r="F1321" s="1" t="s">
        <v>2995</v>
      </c>
      <c r="G1321" s="1" t="s">
        <v>53</v>
      </c>
      <c r="H1321" s="1" t="s">
        <v>620</v>
      </c>
      <c r="I1321" s="1" t="s">
        <v>621</v>
      </c>
      <c r="J1321" s="1" t="s">
        <v>141</v>
      </c>
      <c r="K1321" t="s">
        <v>2996</v>
      </c>
      <c r="M1321" s="1" t="s">
        <v>58</v>
      </c>
      <c r="N1321" s="1">
        <v>0</v>
      </c>
      <c r="O1321" s="1" t="s">
        <v>36</v>
      </c>
      <c r="P1321" s="11" t="s">
        <v>3263</v>
      </c>
      <c r="R1321" s="1">
        <v>21</v>
      </c>
      <c r="T1321" s="1" t="s">
        <v>1160</v>
      </c>
      <c r="U1321" s="11" t="s">
        <v>3264</v>
      </c>
      <c r="V1321" s="1" t="s">
        <v>41</v>
      </c>
      <c r="W1321" s="1" t="s">
        <v>49</v>
      </c>
      <c r="X1321" s="13" t="str">
        <f t="shared" si="95"/>
        <v/>
      </c>
      <c r="Y1321" s="2">
        <f t="shared" ca="1" si="96"/>
        <v>12</v>
      </c>
    </row>
    <row r="1322" spans="1:25" hidden="1">
      <c r="A1322" s="1">
        <v>9481771</v>
      </c>
      <c r="B1322" s="1" t="s">
        <v>62</v>
      </c>
      <c r="C1322" t="s">
        <v>2999</v>
      </c>
      <c r="E1322" s="2">
        <v>3108010206001</v>
      </c>
      <c r="F1322" s="1" t="s">
        <v>29</v>
      </c>
      <c r="G1322" s="1" t="s">
        <v>53</v>
      </c>
      <c r="H1322" s="1" t="s">
        <v>503</v>
      </c>
      <c r="I1322" s="1" t="s">
        <v>504</v>
      </c>
      <c r="J1322" s="1" t="s">
        <v>46</v>
      </c>
      <c r="K1322" t="s">
        <v>34</v>
      </c>
      <c r="M1322" s="1" t="s">
        <v>35</v>
      </c>
      <c r="N1322" s="1">
        <v>42318949</v>
      </c>
      <c r="O1322" s="1" t="s">
        <v>105</v>
      </c>
      <c r="P1322" s="11" t="s">
        <v>3267</v>
      </c>
      <c r="R1322" s="1" t="s">
        <v>38</v>
      </c>
      <c r="T1322" s="1" t="s">
        <v>74</v>
      </c>
      <c r="U1322" s="11" t="s">
        <v>3268</v>
      </c>
      <c r="V1322" s="1" t="s">
        <v>41</v>
      </c>
      <c r="W1322" s="1" t="s">
        <v>49</v>
      </c>
      <c r="X1322" s="13" t="str">
        <f t="shared" si="95"/>
        <v>3108.01</v>
      </c>
      <c r="Y1322" s="2">
        <f t="shared" ca="1" si="96"/>
        <v>12</v>
      </c>
    </row>
    <row r="1323" spans="1:25" hidden="1">
      <c r="A1323" s="1">
        <v>9481708</v>
      </c>
      <c r="B1323" s="1" t="s">
        <v>1153</v>
      </c>
      <c r="C1323" t="s">
        <v>3000</v>
      </c>
      <c r="E1323" s="2">
        <v>2437000206001</v>
      </c>
      <c r="F1323" s="1" t="s">
        <v>29</v>
      </c>
      <c r="G1323" s="1" t="s">
        <v>53</v>
      </c>
      <c r="H1323" s="1" t="s">
        <v>416</v>
      </c>
      <c r="I1323" s="1" t="s">
        <v>417</v>
      </c>
      <c r="J1323" s="1" t="s">
        <v>211</v>
      </c>
      <c r="K1323" t="s">
        <v>34</v>
      </c>
      <c r="M1323" s="1" t="s">
        <v>35</v>
      </c>
      <c r="N1323" s="1">
        <v>42318949</v>
      </c>
      <c r="O1323" s="1" t="s">
        <v>36</v>
      </c>
      <c r="P1323" s="11" t="s">
        <v>3269</v>
      </c>
      <c r="R1323" s="1" t="s">
        <v>38</v>
      </c>
      <c r="T1323" s="1" t="s">
        <v>74</v>
      </c>
      <c r="U1323" s="186">
        <v>44992.607638888891</v>
      </c>
      <c r="V1323" s="1" t="s">
        <v>41</v>
      </c>
      <c r="W1323" s="1" t="s">
        <v>49</v>
      </c>
      <c r="X1323" s="13" t="str">
        <f t="shared" si="95"/>
        <v/>
      </c>
      <c r="Y1323" s="2">
        <f t="shared" ca="1" si="96"/>
        <v>12</v>
      </c>
    </row>
    <row r="1324" spans="1:25" hidden="1">
      <c r="A1324" s="1">
        <v>9481422</v>
      </c>
      <c r="B1324" s="1" t="s">
        <v>1153</v>
      </c>
      <c r="C1324" t="s">
        <v>3004</v>
      </c>
      <c r="D1324" s="2">
        <v>230028843</v>
      </c>
      <c r="E1324" s="2">
        <v>3699001400030</v>
      </c>
      <c r="F1324" s="1" t="s">
        <v>647</v>
      </c>
      <c r="G1324" s="1" t="s">
        <v>53</v>
      </c>
      <c r="H1324" s="1" t="s">
        <v>343</v>
      </c>
      <c r="I1324" s="1" t="s">
        <v>344</v>
      </c>
      <c r="J1324" s="1" t="s">
        <v>46</v>
      </c>
      <c r="K1324" t="s">
        <v>650</v>
      </c>
      <c r="M1324" s="1" t="s">
        <v>58</v>
      </c>
      <c r="N1324" s="1">
        <v>0</v>
      </c>
      <c r="O1324" s="1" t="s">
        <v>36</v>
      </c>
      <c r="P1324" s="11" t="s">
        <v>3271</v>
      </c>
      <c r="R1324" s="1">
        <v>4</v>
      </c>
      <c r="T1324" s="1" t="s">
        <v>646</v>
      </c>
      <c r="U1324" s="186">
        <v>44980.625</v>
      </c>
      <c r="V1324" s="1" t="s">
        <v>41</v>
      </c>
      <c r="W1324" s="1" t="s">
        <v>49</v>
      </c>
      <c r="X1324" s="13" t="str">
        <f t="shared" si="95"/>
        <v/>
      </c>
      <c r="Y1324" s="2">
        <f t="shared" ca="1" si="96"/>
        <v>12</v>
      </c>
    </row>
    <row r="1325" spans="1:25" hidden="1">
      <c r="A1325" s="1">
        <v>9481389</v>
      </c>
      <c r="B1325" s="1" t="s">
        <v>1153</v>
      </c>
      <c r="C1325" t="s">
        <v>3006</v>
      </c>
      <c r="D1325" s="2">
        <v>20232369000007</v>
      </c>
      <c r="E1325" s="2">
        <v>7417161480604</v>
      </c>
      <c r="F1325" s="1" t="s">
        <v>1979</v>
      </c>
      <c r="G1325" s="1" t="s">
        <v>53</v>
      </c>
      <c r="H1325" s="1" t="s">
        <v>2809</v>
      </c>
      <c r="I1325" s="1" t="s">
        <v>2810</v>
      </c>
      <c r="J1325" s="1" t="s">
        <v>141</v>
      </c>
      <c r="K1325" t="s">
        <v>1982</v>
      </c>
      <c r="M1325" s="1" t="s">
        <v>58</v>
      </c>
      <c r="N1325" s="1">
        <v>0</v>
      </c>
      <c r="O1325" s="1" t="s">
        <v>36</v>
      </c>
      <c r="P1325" s="11" t="s">
        <v>3273</v>
      </c>
      <c r="R1325" s="1">
        <v>14</v>
      </c>
      <c r="T1325" s="1" t="s">
        <v>238</v>
      </c>
      <c r="U1325" s="186">
        <v>44971.46603009259</v>
      </c>
      <c r="V1325" s="1" t="s">
        <v>41</v>
      </c>
      <c r="W1325" s="1" t="s">
        <v>49</v>
      </c>
      <c r="X1325" s="13" t="str">
        <f t="shared" si="95"/>
        <v>2369.91</v>
      </c>
      <c r="Y1325" s="2">
        <f t="shared" ca="1" si="96"/>
        <v>12</v>
      </c>
    </row>
    <row r="1326" spans="1:25" hidden="1">
      <c r="A1326" s="1">
        <v>9481183</v>
      </c>
      <c r="B1326" s="1" t="s">
        <v>1153</v>
      </c>
      <c r="C1326" t="s">
        <v>3009</v>
      </c>
      <c r="D1326" s="2">
        <v>20231739000004</v>
      </c>
      <c r="E1326" s="2">
        <v>7417161480638</v>
      </c>
      <c r="F1326" s="1" t="s">
        <v>1979</v>
      </c>
      <c r="G1326" s="1" t="s">
        <v>53</v>
      </c>
      <c r="H1326" s="1" t="s">
        <v>2891</v>
      </c>
      <c r="I1326" s="1" t="s">
        <v>2892</v>
      </c>
      <c r="J1326" s="1" t="s">
        <v>164</v>
      </c>
      <c r="K1326" t="s">
        <v>1982</v>
      </c>
      <c r="M1326" s="1" t="s">
        <v>58</v>
      </c>
      <c r="N1326" s="1">
        <v>0</v>
      </c>
      <c r="O1326" s="1" t="s">
        <v>36</v>
      </c>
      <c r="P1326" s="11" t="s">
        <v>3276</v>
      </c>
      <c r="R1326" s="1">
        <v>14</v>
      </c>
      <c r="T1326" s="1" t="s">
        <v>238</v>
      </c>
      <c r="U1326" s="186">
        <v>44971.44327546296</v>
      </c>
      <c r="V1326" s="1" t="s">
        <v>41</v>
      </c>
      <c r="W1326" s="1" t="s">
        <v>49</v>
      </c>
      <c r="X1326" s="13" t="str">
        <f t="shared" si="95"/>
        <v>1739.91</v>
      </c>
      <c r="Y1326" s="2">
        <f t="shared" ca="1" si="96"/>
        <v>12</v>
      </c>
    </row>
    <row r="1327" spans="1:25" hidden="1">
      <c r="A1327" s="1">
        <v>9481147</v>
      </c>
      <c r="B1327" s="1" t="s">
        <v>1153</v>
      </c>
      <c r="C1327" t="s">
        <v>3010</v>
      </c>
      <c r="D1327" s="2">
        <v>20232678000016</v>
      </c>
      <c r="E1327" s="2">
        <v>7417163281860</v>
      </c>
      <c r="F1327" s="1" t="s">
        <v>131</v>
      </c>
      <c r="G1327" s="1" t="s">
        <v>53</v>
      </c>
      <c r="H1327" s="1" t="s">
        <v>2814</v>
      </c>
      <c r="I1327" s="1" t="s">
        <v>2815</v>
      </c>
      <c r="J1327" s="1" t="s">
        <v>33</v>
      </c>
      <c r="K1327" t="s">
        <v>132</v>
      </c>
      <c r="M1327" s="1" t="s">
        <v>58</v>
      </c>
      <c r="N1327" s="1">
        <v>0</v>
      </c>
      <c r="O1327" s="1" t="s">
        <v>36</v>
      </c>
      <c r="P1327" s="11" t="s">
        <v>3277</v>
      </c>
      <c r="R1327" s="1">
        <v>15</v>
      </c>
      <c r="T1327" s="1" t="s">
        <v>238</v>
      </c>
      <c r="U1327" s="186">
        <v>44971.435636574075</v>
      </c>
      <c r="V1327" s="1" t="s">
        <v>41</v>
      </c>
      <c r="W1327" s="1" t="s">
        <v>42</v>
      </c>
      <c r="X1327" s="13" t="str">
        <f t="shared" si="95"/>
        <v>2678.91</v>
      </c>
      <c r="Y1327" s="2">
        <f t="shared" ca="1" si="96"/>
        <v>12</v>
      </c>
    </row>
    <row r="1328" spans="1:25" hidden="1">
      <c r="A1328" s="1">
        <v>9481146</v>
      </c>
      <c r="B1328" s="1" t="s">
        <v>1153</v>
      </c>
      <c r="C1328" t="s">
        <v>3011</v>
      </c>
      <c r="D1328" s="2">
        <v>20232678000015</v>
      </c>
      <c r="E1328" s="2">
        <v>7417163282981</v>
      </c>
      <c r="F1328" s="1" t="s">
        <v>131</v>
      </c>
      <c r="G1328" s="1" t="s">
        <v>53</v>
      </c>
      <c r="H1328" s="1" t="s">
        <v>2814</v>
      </c>
      <c r="I1328" s="1" t="s">
        <v>2815</v>
      </c>
      <c r="J1328" s="1" t="s">
        <v>33</v>
      </c>
      <c r="K1328" t="s">
        <v>132</v>
      </c>
      <c r="M1328" s="1" t="s">
        <v>58</v>
      </c>
      <c r="N1328" s="1">
        <v>0</v>
      </c>
      <c r="O1328" s="1" t="s">
        <v>36</v>
      </c>
      <c r="P1328" s="11" t="s">
        <v>3278</v>
      </c>
      <c r="R1328" s="1">
        <v>15</v>
      </c>
      <c r="T1328" s="1" t="s">
        <v>238</v>
      </c>
      <c r="U1328" s="186">
        <v>44971.435590277775</v>
      </c>
      <c r="V1328" s="1" t="s">
        <v>41</v>
      </c>
      <c r="W1328" s="1" t="s">
        <v>42</v>
      </c>
      <c r="X1328" s="13" t="str">
        <f t="shared" si="95"/>
        <v>2678.91</v>
      </c>
      <c r="Y1328" s="2">
        <f t="shared" ca="1" si="96"/>
        <v>12</v>
      </c>
    </row>
    <row r="1329" spans="1:25" hidden="1">
      <c r="A1329" s="1">
        <v>9480717</v>
      </c>
      <c r="B1329" s="1" t="s">
        <v>1153</v>
      </c>
      <c r="C1329" t="s">
        <v>3017</v>
      </c>
      <c r="E1329" s="2">
        <v>2625000206001</v>
      </c>
      <c r="F1329" s="1" t="s">
        <v>29</v>
      </c>
      <c r="G1329" s="1" t="s">
        <v>53</v>
      </c>
      <c r="H1329" s="1" t="s">
        <v>317</v>
      </c>
      <c r="I1329" s="1" t="s">
        <v>318</v>
      </c>
      <c r="J1329" s="1" t="s">
        <v>164</v>
      </c>
      <c r="K1329" t="s">
        <v>34</v>
      </c>
      <c r="M1329" s="1" t="s">
        <v>35</v>
      </c>
      <c r="N1329" s="1">
        <v>42318949</v>
      </c>
      <c r="O1329" s="1" t="s">
        <v>36</v>
      </c>
      <c r="P1329" s="11" t="s">
        <v>3284</v>
      </c>
      <c r="R1329" s="1" t="s">
        <v>38</v>
      </c>
      <c r="T1329" s="1" t="s">
        <v>74</v>
      </c>
      <c r="U1329" s="186">
        <v>44991.458333333336</v>
      </c>
      <c r="V1329" s="1" t="s">
        <v>41</v>
      </c>
      <c r="W1329" s="1" t="s">
        <v>49</v>
      </c>
      <c r="X1329" s="13" t="str">
        <f t="shared" si="95"/>
        <v/>
      </c>
      <c r="Y1329" s="2">
        <f t="shared" ca="1" si="96"/>
        <v>12</v>
      </c>
    </row>
    <row r="1330" spans="1:25" hidden="1">
      <c r="A1330" s="181">
        <v>9480428</v>
      </c>
      <c r="B1330" s="181" t="s">
        <v>1153</v>
      </c>
      <c r="C1330" s="182" t="s">
        <v>3987</v>
      </c>
      <c r="D1330" s="183"/>
      <c r="E1330" s="183">
        <v>870000206001</v>
      </c>
      <c r="F1330" s="181" t="s">
        <v>29</v>
      </c>
      <c r="G1330" s="181" t="s">
        <v>53</v>
      </c>
      <c r="H1330" s="181" t="s">
        <v>183</v>
      </c>
      <c r="I1330" s="181" t="s">
        <v>184</v>
      </c>
      <c r="J1330" s="181" t="s">
        <v>90</v>
      </c>
      <c r="K1330" t="s">
        <v>34</v>
      </c>
      <c r="M1330" s="1" t="s">
        <v>35</v>
      </c>
      <c r="N1330" s="1">
        <v>42318949</v>
      </c>
      <c r="O1330" s="1" t="s">
        <v>36</v>
      </c>
      <c r="P1330" s="11" t="s">
        <v>3285</v>
      </c>
      <c r="R1330" s="1" t="s">
        <v>38</v>
      </c>
      <c r="T1330" s="1" t="s">
        <v>74</v>
      </c>
      <c r="U1330" s="186">
        <v>44992.607638888891</v>
      </c>
      <c r="V1330" s="1" t="s">
        <v>41</v>
      </c>
      <c r="W1330" s="1" t="s">
        <v>49</v>
      </c>
      <c r="X1330" s="13" t="str">
        <f t="shared" si="95"/>
        <v/>
      </c>
      <c r="Y1330" s="2">
        <f t="shared" ca="1" si="96"/>
        <v>12</v>
      </c>
    </row>
    <row r="1331" spans="1:25" hidden="1">
      <c r="A1331" s="1">
        <v>9488077</v>
      </c>
      <c r="B1331" s="1" t="s">
        <v>1153</v>
      </c>
      <c r="C1331" t="s">
        <v>3513</v>
      </c>
      <c r="D1331" s="2">
        <v>20234844000484</v>
      </c>
      <c r="E1331" s="2">
        <v>7417183020090</v>
      </c>
      <c r="F1331" s="1" t="s">
        <v>1313</v>
      </c>
      <c r="G1331" s="1" t="s">
        <v>53</v>
      </c>
      <c r="H1331" s="1" t="s">
        <v>2606</v>
      </c>
      <c r="I1331" s="1" t="s">
        <v>2607</v>
      </c>
      <c r="J1331" s="1" t="s">
        <v>46</v>
      </c>
      <c r="K1331" t="s">
        <v>1316</v>
      </c>
      <c r="M1331" s="1" t="s">
        <v>58</v>
      </c>
      <c r="N1331" s="1">
        <v>0</v>
      </c>
      <c r="O1331" s="1" t="s">
        <v>36</v>
      </c>
      <c r="P1331" s="11" t="s">
        <v>4155</v>
      </c>
      <c r="R1331" s="1">
        <v>13</v>
      </c>
      <c r="T1331" s="1" t="s">
        <v>238</v>
      </c>
      <c r="U1331" s="11" t="s">
        <v>4156</v>
      </c>
      <c r="V1331" s="1" t="s">
        <v>41</v>
      </c>
      <c r="W1331" s="1" t="s">
        <v>49</v>
      </c>
      <c r="X1331" s="13" t="str">
        <f t="shared" si="95"/>
        <v>4844.28</v>
      </c>
      <c r="Y1331" s="2">
        <f t="shared" ca="1" si="96"/>
        <v>11</v>
      </c>
    </row>
    <row r="1332" spans="1:25" hidden="1">
      <c r="A1332" s="1">
        <v>9487960</v>
      </c>
      <c r="B1332" s="1" t="s">
        <v>1153</v>
      </c>
      <c r="C1332" t="s">
        <v>3515</v>
      </c>
      <c r="D1332" s="2">
        <v>20234844000482</v>
      </c>
      <c r="E1332" s="2">
        <v>7419141894858</v>
      </c>
      <c r="F1332" s="1" t="s">
        <v>128</v>
      </c>
      <c r="G1332" s="1" t="s">
        <v>53</v>
      </c>
      <c r="H1332" s="1" t="s">
        <v>2655</v>
      </c>
      <c r="I1332" s="1" t="s">
        <v>2656</v>
      </c>
      <c r="J1332" s="1" t="s">
        <v>46</v>
      </c>
      <c r="K1332" t="s">
        <v>129</v>
      </c>
      <c r="M1332" s="1" t="s">
        <v>58</v>
      </c>
      <c r="N1332" s="1">
        <v>0</v>
      </c>
      <c r="O1332" s="1" t="s">
        <v>36</v>
      </c>
      <c r="P1332" s="11" t="s">
        <v>4157</v>
      </c>
      <c r="R1332" s="1">
        <v>13</v>
      </c>
      <c r="T1332" s="1" t="s">
        <v>238</v>
      </c>
      <c r="U1332" s="11" t="s">
        <v>4156</v>
      </c>
      <c r="V1332" s="1" t="s">
        <v>41</v>
      </c>
      <c r="W1332" s="1" t="s">
        <v>49</v>
      </c>
      <c r="X1332" s="13" t="str">
        <f t="shared" si="95"/>
        <v>4844.01</v>
      </c>
      <c r="Y1332" s="2">
        <f t="shared" ca="1" si="96"/>
        <v>11</v>
      </c>
    </row>
    <row r="1333" spans="1:25" hidden="1">
      <c r="A1333" s="1">
        <v>9487760</v>
      </c>
      <c r="B1333" s="1" t="s">
        <v>1153</v>
      </c>
      <c r="C1333" t="s">
        <v>3522</v>
      </c>
      <c r="E1333" s="2">
        <v>2564000203000</v>
      </c>
      <c r="F1333" s="1" t="s">
        <v>454</v>
      </c>
      <c r="G1333" s="1" t="s">
        <v>53</v>
      </c>
      <c r="H1333" s="1" t="s">
        <v>255</v>
      </c>
      <c r="I1333" s="1" t="s">
        <v>256</v>
      </c>
      <c r="J1333" s="1" t="s">
        <v>164</v>
      </c>
      <c r="K1333" t="s">
        <v>457</v>
      </c>
      <c r="M1333" s="1" t="s">
        <v>58</v>
      </c>
      <c r="N1333" s="1">
        <v>0</v>
      </c>
      <c r="O1333" s="1" t="s">
        <v>36</v>
      </c>
      <c r="P1333" s="11" t="s">
        <v>4158</v>
      </c>
      <c r="R1333" s="1">
        <v>1</v>
      </c>
      <c r="T1333" s="1" t="s">
        <v>157</v>
      </c>
      <c r="U1333" s="11" t="s">
        <v>4159</v>
      </c>
      <c r="V1333" s="1" t="s">
        <v>41</v>
      </c>
      <c r="W1333" s="1" t="s">
        <v>49</v>
      </c>
      <c r="X1333" s="13" t="str">
        <f t="shared" si="95"/>
        <v/>
      </c>
      <c r="Y1333" s="2">
        <f t="shared" ca="1" si="96"/>
        <v>11</v>
      </c>
    </row>
    <row r="1334" spans="1:25" hidden="1">
      <c r="A1334" s="1">
        <v>9487733</v>
      </c>
      <c r="B1334" s="1" t="s">
        <v>1153</v>
      </c>
      <c r="C1334" t="s">
        <v>3524</v>
      </c>
      <c r="D1334" s="2">
        <v>20232678000017</v>
      </c>
      <c r="E1334" s="2">
        <v>7417193470505</v>
      </c>
      <c r="F1334" s="1" t="s">
        <v>2698</v>
      </c>
      <c r="G1334" s="1" t="s">
        <v>53</v>
      </c>
      <c r="H1334" s="1" t="s">
        <v>3525</v>
      </c>
      <c r="I1334" s="1" t="s">
        <v>3526</v>
      </c>
      <c r="J1334" s="1" t="s">
        <v>33</v>
      </c>
      <c r="K1334" t="s">
        <v>2701</v>
      </c>
      <c r="M1334" s="1" t="s">
        <v>58</v>
      </c>
      <c r="N1334" s="1">
        <v>0</v>
      </c>
      <c r="O1334" s="1" t="s">
        <v>36</v>
      </c>
      <c r="P1334" s="11" t="s">
        <v>4160</v>
      </c>
      <c r="R1334" s="1">
        <v>15</v>
      </c>
      <c r="T1334" s="1" t="s">
        <v>238</v>
      </c>
      <c r="U1334" s="11" t="s">
        <v>4161</v>
      </c>
      <c r="V1334" s="1" t="s">
        <v>41</v>
      </c>
      <c r="W1334" s="1" t="s">
        <v>42</v>
      </c>
      <c r="X1334" s="13" t="str">
        <f t="shared" si="95"/>
        <v>2678.01</v>
      </c>
      <c r="Y1334" s="2">
        <f t="shared" ca="1" si="96"/>
        <v>11</v>
      </c>
    </row>
    <row r="1335" spans="1:25" hidden="1">
      <c r="A1335" s="1">
        <v>9487119</v>
      </c>
      <c r="B1335" s="1" t="s">
        <v>1153</v>
      </c>
      <c r="C1335" t="s">
        <v>3296</v>
      </c>
      <c r="D1335" s="2">
        <v>20234923000068</v>
      </c>
      <c r="E1335" s="2">
        <v>7417183020181</v>
      </c>
      <c r="F1335" s="1" t="s">
        <v>1313</v>
      </c>
      <c r="G1335" s="1" t="s">
        <v>53</v>
      </c>
      <c r="H1335" s="1" t="s">
        <v>2870</v>
      </c>
      <c r="I1335" s="1" t="s">
        <v>2871</v>
      </c>
      <c r="J1335" s="1" t="s">
        <v>46</v>
      </c>
      <c r="K1335" t="s">
        <v>1316</v>
      </c>
      <c r="M1335" s="1" t="s">
        <v>58</v>
      </c>
      <c r="N1335" s="1">
        <v>0</v>
      </c>
      <c r="O1335" s="1" t="s">
        <v>36</v>
      </c>
      <c r="P1335" s="11" t="s">
        <v>3297</v>
      </c>
      <c r="R1335" s="1">
        <v>13</v>
      </c>
      <c r="T1335" s="1" t="s">
        <v>238</v>
      </c>
      <c r="U1335" s="11" t="s">
        <v>3297</v>
      </c>
      <c r="V1335" s="1" t="s">
        <v>41</v>
      </c>
      <c r="W1335" s="1" t="s">
        <v>49</v>
      </c>
      <c r="X1335" s="13" t="str">
        <f t="shared" si="95"/>
        <v>4923.04</v>
      </c>
      <c r="Y1335" s="2">
        <f t="shared" ca="1" si="96"/>
        <v>11</v>
      </c>
    </row>
    <row r="1336" spans="1:25" hidden="1">
      <c r="A1336" s="1">
        <v>9487087</v>
      </c>
      <c r="B1336" s="1" t="s">
        <v>3298</v>
      </c>
      <c r="C1336" t="s">
        <v>3299</v>
      </c>
      <c r="D1336" s="2">
        <v>20233433000007</v>
      </c>
      <c r="E1336" s="2">
        <v>7417203360125</v>
      </c>
      <c r="F1336" s="1" t="s">
        <v>3300</v>
      </c>
      <c r="G1336" s="1" t="s">
        <v>53</v>
      </c>
      <c r="H1336" s="1" t="s">
        <v>2520</v>
      </c>
      <c r="I1336" s="1" t="s">
        <v>2521</v>
      </c>
      <c r="J1336" s="1" t="s">
        <v>46</v>
      </c>
      <c r="K1336" t="s">
        <v>3301</v>
      </c>
      <c r="M1336" s="1" t="s">
        <v>58</v>
      </c>
      <c r="N1336" s="1">
        <v>0</v>
      </c>
      <c r="O1336" s="1" t="s">
        <v>36</v>
      </c>
      <c r="P1336" s="11" t="s">
        <v>4162</v>
      </c>
      <c r="R1336" s="1">
        <v>22</v>
      </c>
      <c r="T1336" s="1" t="s">
        <v>1160</v>
      </c>
      <c r="U1336" s="11" t="s">
        <v>4163</v>
      </c>
      <c r="V1336" s="1" t="s">
        <v>41</v>
      </c>
      <c r="W1336" s="1" t="s">
        <v>49</v>
      </c>
      <c r="X1336" s="13" t="str">
        <f t="shared" si="95"/>
        <v/>
      </c>
      <c r="Y1336" s="2">
        <f t="shared" ca="1" si="96"/>
        <v>11</v>
      </c>
    </row>
    <row r="1337" spans="1:25" hidden="1">
      <c r="A1337" s="1">
        <v>9487032</v>
      </c>
      <c r="B1337" s="1" t="s">
        <v>1153</v>
      </c>
      <c r="C1337" t="s">
        <v>3306</v>
      </c>
      <c r="D1337" s="2">
        <v>20230233000018</v>
      </c>
      <c r="E1337" s="2">
        <v>7417183020061</v>
      </c>
      <c r="F1337" s="1" t="s">
        <v>1313</v>
      </c>
      <c r="G1337" s="1" t="s">
        <v>53</v>
      </c>
      <c r="H1337" s="1" t="s">
        <v>2716</v>
      </c>
      <c r="I1337" s="1" t="s">
        <v>2717</v>
      </c>
      <c r="J1337" s="1" t="s">
        <v>261</v>
      </c>
      <c r="K1337" t="s">
        <v>1316</v>
      </c>
      <c r="M1337" s="1" t="s">
        <v>58</v>
      </c>
      <c r="N1337" s="1">
        <v>0</v>
      </c>
      <c r="O1337" s="1" t="s">
        <v>36</v>
      </c>
      <c r="P1337" s="11" t="s">
        <v>3307</v>
      </c>
      <c r="R1337" s="1">
        <v>14</v>
      </c>
      <c r="T1337" s="1" t="s">
        <v>238</v>
      </c>
      <c r="U1337" s="11" t="s">
        <v>3307</v>
      </c>
      <c r="V1337" s="1" t="s">
        <v>41</v>
      </c>
      <c r="W1337" s="1" t="s">
        <v>49</v>
      </c>
      <c r="X1337" s="13" t="str">
        <f t="shared" si="95"/>
        <v>0233.91</v>
      </c>
      <c r="Y1337" s="2">
        <f t="shared" ca="1" si="96"/>
        <v>11</v>
      </c>
    </row>
    <row r="1338" spans="1:25" hidden="1">
      <c r="A1338" s="1">
        <v>9486990</v>
      </c>
      <c r="B1338" s="1" t="s">
        <v>62</v>
      </c>
      <c r="C1338" t="s">
        <v>3308</v>
      </c>
      <c r="E1338" s="2">
        <v>1924000203000</v>
      </c>
      <c r="F1338" s="1" t="s">
        <v>454</v>
      </c>
      <c r="G1338" s="1" t="s">
        <v>53</v>
      </c>
      <c r="H1338" s="1" t="s">
        <v>568</v>
      </c>
      <c r="I1338" s="1" t="s">
        <v>569</v>
      </c>
      <c r="J1338" s="1" t="s">
        <v>33</v>
      </c>
      <c r="K1338" t="s">
        <v>457</v>
      </c>
      <c r="M1338" s="1" t="s">
        <v>58</v>
      </c>
      <c r="N1338" s="1">
        <v>0</v>
      </c>
      <c r="O1338" s="1" t="s">
        <v>36</v>
      </c>
      <c r="P1338" s="11" t="s">
        <v>4164</v>
      </c>
      <c r="R1338" s="1" t="s">
        <v>38</v>
      </c>
      <c r="T1338" s="1" t="s">
        <v>157</v>
      </c>
      <c r="U1338" s="11" t="s">
        <v>2584</v>
      </c>
      <c r="V1338" s="1" t="s">
        <v>41</v>
      </c>
      <c r="W1338" s="1" t="s">
        <v>49</v>
      </c>
      <c r="X1338" s="13" t="str">
        <f t="shared" ref="X1338:X1401" si="97">IF(RIGHT(H1338,2)&lt;&gt;"00",H1338,"")</f>
        <v/>
      </c>
      <c r="Y1338" s="2">
        <f t="shared" ref="Y1338:Y1401" ca="1" si="98">NETWORKDAYS(P1338,$Y$1)</f>
        <v>11</v>
      </c>
    </row>
    <row r="1339" spans="1:25" hidden="1">
      <c r="A1339" s="1">
        <v>9486956</v>
      </c>
      <c r="B1339" s="1" t="s">
        <v>1153</v>
      </c>
      <c r="C1339" t="s">
        <v>3309</v>
      </c>
      <c r="D1339" s="2">
        <v>20231761000013</v>
      </c>
      <c r="E1339" s="2">
        <v>7419141893216</v>
      </c>
      <c r="F1339" s="1" t="s">
        <v>128</v>
      </c>
      <c r="G1339" s="1" t="s">
        <v>53</v>
      </c>
      <c r="H1339" s="1" t="s">
        <v>54</v>
      </c>
      <c r="I1339" s="1" t="s">
        <v>55</v>
      </c>
      <c r="J1339" s="1" t="s">
        <v>56</v>
      </c>
      <c r="K1339" t="s">
        <v>129</v>
      </c>
      <c r="M1339" s="1" t="s">
        <v>58</v>
      </c>
      <c r="N1339" s="1">
        <v>0</v>
      </c>
      <c r="O1339" s="1" t="s">
        <v>36</v>
      </c>
      <c r="P1339" s="11" t="s">
        <v>3310</v>
      </c>
      <c r="R1339" s="1">
        <v>14</v>
      </c>
      <c r="T1339" s="1" t="s">
        <v>238</v>
      </c>
      <c r="U1339" s="11" t="s">
        <v>3310</v>
      </c>
      <c r="V1339" s="1" t="s">
        <v>41</v>
      </c>
      <c r="W1339" s="1" t="s">
        <v>49</v>
      </c>
      <c r="X1339" s="13" t="str">
        <f t="shared" si="97"/>
        <v>1761.91</v>
      </c>
      <c r="Y1339" s="2">
        <f t="shared" ca="1" si="98"/>
        <v>11</v>
      </c>
    </row>
    <row r="1340" spans="1:25" hidden="1">
      <c r="A1340" s="1">
        <v>9486673</v>
      </c>
      <c r="B1340" s="1" t="s">
        <v>1153</v>
      </c>
      <c r="C1340" t="s">
        <v>3323</v>
      </c>
      <c r="D1340" s="2">
        <v>20230446000013</v>
      </c>
      <c r="E1340" s="2">
        <v>7417163284281</v>
      </c>
      <c r="F1340" s="1" t="s">
        <v>131</v>
      </c>
      <c r="G1340" s="1" t="s">
        <v>53</v>
      </c>
      <c r="H1340" s="1" t="s">
        <v>3324</v>
      </c>
      <c r="I1340" s="1" t="s">
        <v>3325</v>
      </c>
      <c r="J1340" s="1" t="s">
        <v>110</v>
      </c>
      <c r="K1340" t="s">
        <v>132</v>
      </c>
      <c r="M1340" s="1" t="s">
        <v>58</v>
      </c>
      <c r="N1340" s="1">
        <v>0</v>
      </c>
      <c r="O1340" s="1" t="s">
        <v>36</v>
      </c>
      <c r="P1340" s="11" t="s">
        <v>3326</v>
      </c>
      <c r="R1340" s="1">
        <v>14</v>
      </c>
      <c r="T1340" s="1" t="s">
        <v>238</v>
      </c>
      <c r="U1340" s="11" t="s">
        <v>3326</v>
      </c>
      <c r="V1340" s="1" t="s">
        <v>41</v>
      </c>
      <c r="W1340" s="1" t="s">
        <v>49</v>
      </c>
      <c r="X1340" s="13" t="str">
        <f t="shared" si="97"/>
        <v>0446.91</v>
      </c>
      <c r="Y1340" s="2">
        <f t="shared" ca="1" si="98"/>
        <v>11</v>
      </c>
    </row>
    <row r="1341" spans="1:25" hidden="1">
      <c r="A1341" s="1">
        <v>9486166</v>
      </c>
      <c r="B1341" s="1" t="s">
        <v>1153</v>
      </c>
      <c r="C1341" t="s">
        <v>4165</v>
      </c>
      <c r="D1341" s="2">
        <v>20234844000473</v>
      </c>
      <c r="E1341" s="2">
        <v>7419143322502</v>
      </c>
      <c r="F1341" s="1" t="s">
        <v>1222</v>
      </c>
      <c r="G1341" s="1" t="s">
        <v>53</v>
      </c>
      <c r="H1341" s="1" t="s">
        <v>2395</v>
      </c>
      <c r="I1341" s="1" t="s">
        <v>2396</v>
      </c>
      <c r="J1341" s="1" t="s">
        <v>46</v>
      </c>
      <c r="K1341" t="s">
        <v>1223</v>
      </c>
      <c r="M1341" s="1" t="s">
        <v>58</v>
      </c>
      <c r="N1341" s="1">
        <v>0</v>
      </c>
      <c r="O1341" s="1" t="s">
        <v>36</v>
      </c>
      <c r="P1341" s="11" t="s">
        <v>3342</v>
      </c>
      <c r="R1341" s="1">
        <v>13</v>
      </c>
      <c r="T1341" s="1" t="s">
        <v>238</v>
      </c>
      <c r="U1341" s="11" t="s">
        <v>3342</v>
      </c>
      <c r="V1341" s="1" t="s">
        <v>41</v>
      </c>
      <c r="W1341" s="1" t="s">
        <v>49</v>
      </c>
      <c r="X1341" s="13" t="str">
        <f t="shared" si="97"/>
        <v>4844.08</v>
      </c>
      <c r="Y1341" s="2">
        <f t="shared" ca="1" si="98"/>
        <v>11</v>
      </c>
    </row>
    <row r="1342" spans="1:25" hidden="1">
      <c r="A1342" s="1">
        <v>9485948</v>
      </c>
      <c r="B1342" s="1" t="s">
        <v>1153</v>
      </c>
      <c r="C1342" t="s">
        <v>3353</v>
      </c>
      <c r="D1342" s="2">
        <v>230029375</v>
      </c>
      <c r="E1342" s="2">
        <v>2669001400020</v>
      </c>
      <c r="F1342" s="1" t="s">
        <v>1961</v>
      </c>
      <c r="G1342" s="1" t="s">
        <v>53</v>
      </c>
      <c r="H1342" s="1" t="s">
        <v>561</v>
      </c>
      <c r="I1342" s="1" t="s">
        <v>562</v>
      </c>
      <c r="J1342" s="1" t="s">
        <v>110</v>
      </c>
      <c r="K1342" t="s">
        <v>1962</v>
      </c>
      <c r="M1342" s="1" t="s">
        <v>58</v>
      </c>
      <c r="N1342" s="1">
        <v>0</v>
      </c>
      <c r="O1342" s="1" t="s">
        <v>36</v>
      </c>
      <c r="P1342" s="11" t="s">
        <v>3354</v>
      </c>
      <c r="R1342" s="1">
        <v>4</v>
      </c>
      <c r="T1342" s="1" t="s">
        <v>646</v>
      </c>
      <c r="U1342" s="11" t="s">
        <v>4166</v>
      </c>
      <c r="V1342" s="1" t="s">
        <v>41</v>
      </c>
      <c r="W1342" s="1" t="s">
        <v>49</v>
      </c>
      <c r="X1342" s="13" t="str">
        <f t="shared" si="97"/>
        <v/>
      </c>
      <c r="Y1342" s="2">
        <f t="shared" ca="1" si="98"/>
        <v>11</v>
      </c>
    </row>
    <row r="1343" spans="1:25" hidden="1">
      <c r="A1343" s="1">
        <v>9485898</v>
      </c>
      <c r="B1343" s="1" t="s">
        <v>1153</v>
      </c>
      <c r="C1343" t="s">
        <v>3356</v>
      </c>
      <c r="D1343" s="2">
        <v>20230067000019</v>
      </c>
      <c r="E1343" s="2">
        <v>7417183020616</v>
      </c>
      <c r="F1343" s="1" t="s">
        <v>1313</v>
      </c>
      <c r="G1343" s="1" t="s">
        <v>53</v>
      </c>
      <c r="H1343" s="1" t="s">
        <v>2091</v>
      </c>
      <c r="I1343" s="1" t="s">
        <v>2092</v>
      </c>
      <c r="J1343" s="1" t="s">
        <v>164</v>
      </c>
      <c r="K1343" t="s">
        <v>1316</v>
      </c>
      <c r="M1343" s="1" t="s">
        <v>58</v>
      </c>
      <c r="N1343" s="1">
        <v>0</v>
      </c>
      <c r="O1343" s="1" t="s">
        <v>36</v>
      </c>
      <c r="P1343" s="11" t="s">
        <v>3357</v>
      </c>
      <c r="R1343" s="1">
        <v>14</v>
      </c>
      <c r="T1343" s="1" t="s">
        <v>238</v>
      </c>
      <c r="U1343" s="11" t="s">
        <v>3357</v>
      </c>
      <c r="V1343" s="1" t="s">
        <v>41</v>
      </c>
      <c r="W1343" s="1" t="s">
        <v>49</v>
      </c>
      <c r="X1343" s="13" t="str">
        <f t="shared" si="97"/>
        <v>0067.91</v>
      </c>
      <c r="Y1343" s="2">
        <f t="shared" ca="1" si="98"/>
        <v>11</v>
      </c>
    </row>
    <row r="1344" spans="1:25" hidden="1">
      <c r="A1344" s="1">
        <v>9485890</v>
      </c>
      <c r="B1344" s="1" t="s">
        <v>1153</v>
      </c>
      <c r="C1344" t="s">
        <v>3358</v>
      </c>
      <c r="D1344" s="2">
        <v>230029350</v>
      </c>
      <c r="E1344" s="2">
        <v>2138001400030</v>
      </c>
      <c r="F1344" s="1" t="s">
        <v>647</v>
      </c>
      <c r="G1344" s="1" t="s">
        <v>53</v>
      </c>
      <c r="H1344" s="1" t="s">
        <v>379</v>
      </c>
      <c r="I1344" s="1" t="s">
        <v>380</v>
      </c>
      <c r="J1344" s="1" t="s">
        <v>46</v>
      </c>
      <c r="K1344" t="s">
        <v>650</v>
      </c>
      <c r="M1344" s="1" t="s">
        <v>58</v>
      </c>
      <c r="N1344" s="1">
        <v>0</v>
      </c>
      <c r="O1344" s="1" t="s">
        <v>36</v>
      </c>
      <c r="P1344" s="11" t="s">
        <v>3359</v>
      </c>
      <c r="R1344" s="1">
        <v>4</v>
      </c>
      <c r="T1344" s="1" t="s">
        <v>646</v>
      </c>
      <c r="U1344" s="11" t="s">
        <v>3636</v>
      </c>
      <c r="V1344" s="1" t="s">
        <v>41</v>
      </c>
      <c r="W1344" s="1" t="s">
        <v>49</v>
      </c>
      <c r="X1344" s="13" t="str">
        <f t="shared" si="97"/>
        <v/>
      </c>
      <c r="Y1344" s="2">
        <f t="shared" ca="1" si="98"/>
        <v>11</v>
      </c>
    </row>
    <row r="1345" spans="1:25" hidden="1">
      <c r="A1345" s="1">
        <v>9485824</v>
      </c>
      <c r="B1345" s="1" t="s">
        <v>1153</v>
      </c>
      <c r="C1345" t="s">
        <v>3361</v>
      </c>
      <c r="D1345" s="2">
        <v>20234844000471</v>
      </c>
      <c r="E1345" s="2">
        <v>7417193471242</v>
      </c>
      <c r="F1345" s="1" t="s">
        <v>2698</v>
      </c>
      <c r="G1345" s="1" t="s">
        <v>53</v>
      </c>
      <c r="H1345" s="1" t="s">
        <v>827</v>
      </c>
      <c r="I1345" s="1" t="s">
        <v>828</v>
      </c>
      <c r="J1345" s="1" t="s">
        <v>46</v>
      </c>
      <c r="K1345" t="s">
        <v>2701</v>
      </c>
      <c r="M1345" s="1" t="s">
        <v>58</v>
      </c>
      <c r="N1345" s="1">
        <v>0</v>
      </c>
      <c r="O1345" s="1" t="s">
        <v>36</v>
      </c>
      <c r="P1345" s="11" t="s">
        <v>3362</v>
      </c>
      <c r="R1345" s="1">
        <v>13</v>
      </c>
      <c r="S1345" s="1">
        <v>4804</v>
      </c>
      <c r="T1345" s="1" t="s">
        <v>238</v>
      </c>
      <c r="U1345" s="11" t="s">
        <v>3362</v>
      </c>
      <c r="V1345" s="1" t="s">
        <v>41</v>
      </c>
      <c r="W1345" s="1" t="s">
        <v>49</v>
      </c>
      <c r="X1345" s="13" t="str">
        <f t="shared" si="97"/>
        <v>0007.65</v>
      </c>
      <c r="Y1345" s="2">
        <f t="shared" ca="1" si="98"/>
        <v>11</v>
      </c>
    </row>
    <row r="1346" spans="1:25" hidden="1">
      <c r="A1346" s="175">
        <v>9485767</v>
      </c>
      <c r="B1346" s="175" t="s">
        <v>1153</v>
      </c>
      <c r="C1346" s="184" t="s">
        <v>3988</v>
      </c>
      <c r="D1346" s="177"/>
      <c r="E1346" s="177">
        <v>9705000206205</v>
      </c>
      <c r="F1346" s="175" t="s">
        <v>208</v>
      </c>
      <c r="G1346" s="175" t="s">
        <v>53</v>
      </c>
      <c r="H1346" s="175" t="s">
        <v>204</v>
      </c>
      <c r="I1346" s="175" t="s">
        <v>205</v>
      </c>
      <c r="J1346" s="175" t="s">
        <v>90</v>
      </c>
      <c r="K1346" t="s">
        <v>212</v>
      </c>
      <c r="M1346" s="1" t="s">
        <v>35</v>
      </c>
      <c r="N1346" s="1">
        <v>42318949</v>
      </c>
      <c r="O1346" s="1" t="s">
        <v>36</v>
      </c>
      <c r="P1346" s="11" t="s">
        <v>3369</v>
      </c>
      <c r="R1346" s="1" t="s">
        <v>38</v>
      </c>
      <c r="T1346" s="1" t="s">
        <v>74</v>
      </c>
      <c r="U1346" s="11" t="s">
        <v>4167</v>
      </c>
      <c r="V1346" s="1" t="s">
        <v>41</v>
      </c>
      <c r="W1346" s="1" t="s">
        <v>49</v>
      </c>
      <c r="X1346" s="13" t="str">
        <f t="shared" si="97"/>
        <v/>
      </c>
      <c r="Y1346" s="2">
        <f t="shared" ca="1" si="98"/>
        <v>11</v>
      </c>
    </row>
    <row r="1347" spans="1:25" hidden="1">
      <c r="A1347" s="1">
        <v>9485709</v>
      </c>
      <c r="B1347" s="1" t="s">
        <v>1153</v>
      </c>
      <c r="C1347" t="s">
        <v>3372</v>
      </c>
      <c r="D1347" s="2">
        <v>20230922000026</v>
      </c>
      <c r="E1347" s="2">
        <v>7417183020103</v>
      </c>
      <c r="F1347" s="1" t="s">
        <v>1313</v>
      </c>
      <c r="G1347" s="1" t="s">
        <v>53</v>
      </c>
      <c r="H1347" s="1" t="s">
        <v>2410</v>
      </c>
      <c r="I1347" s="1" t="s">
        <v>2411</v>
      </c>
      <c r="J1347" s="1" t="s">
        <v>261</v>
      </c>
      <c r="K1347" t="s">
        <v>1316</v>
      </c>
      <c r="M1347" s="1" t="s">
        <v>58</v>
      </c>
      <c r="N1347" s="1">
        <v>0</v>
      </c>
      <c r="O1347" s="1" t="s">
        <v>36</v>
      </c>
      <c r="P1347" s="11" t="s">
        <v>3373</v>
      </c>
      <c r="R1347" s="1">
        <v>14</v>
      </c>
      <c r="T1347" s="1" t="s">
        <v>238</v>
      </c>
      <c r="U1347" s="11" t="s">
        <v>3373</v>
      </c>
      <c r="V1347" s="1" t="s">
        <v>41</v>
      </c>
      <c r="W1347" s="1" t="s">
        <v>49</v>
      </c>
      <c r="X1347" s="13" t="str">
        <f t="shared" si="97"/>
        <v>0922.91</v>
      </c>
      <c r="Y1347" s="2">
        <f t="shared" ca="1" si="98"/>
        <v>11</v>
      </c>
    </row>
    <row r="1348" spans="1:25" hidden="1">
      <c r="A1348" s="1">
        <v>9491727</v>
      </c>
      <c r="B1348" s="1" t="s">
        <v>1153</v>
      </c>
      <c r="C1348" t="s">
        <v>3662</v>
      </c>
      <c r="D1348" s="2">
        <v>20230600000010</v>
      </c>
      <c r="E1348" s="2">
        <v>7417172780612</v>
      </c>
      <c r="F1348" s="1" t="s">
        <v>1989</v>
      </c>
      <c r="G1348" s="1" t="s">
        <v>53</v>
      </c>
      <c r="H1348" s="1" t="s">
        <v>1084</v>
      </c>
      <c r="I1348" s="1" t="s">
        <v>1085</v>
      </c>
      <c r="J1348" s="1" t="s">
        <v>90</v>
      </c>
      <c r="K1348" t="s">
        <v>1990</v>
      </c>
      <c r="M1348" s="1" t="s">
        <v>58</v>
      </c>
      <c r="N1348" s="1">
        <v>0</v>
      </c>
      <c r="O1348" s="1" t="s">
        <v>36</v>
      </c>
      <c r="P1348" s="11" t="s">
        <v>4168</v>
      </c>
      <c r="R1348" s="1">
        <v>22</v>
      </c>
      <c r="T1348" s="1" t="s">
        <v>1160</v>
      </c>
      <c r="U1348" s="11" t="s">
        <v>4169</v>
      </c>
      <c r="V1348" s="1" t="s">
        <v>41</v>
      </c>
      <c r="W1348" s="1" t="s">
        <v>49</v>
      </c>
      <c r="X1348" s="13" t="str">
        <f t="shared" si="97"/>
        <v/>
      </c>
      <c r="Y1348" s="2">
        <f t="shared" ca="1" si="98"/>
        <v>10</v>
      </c>
    </row>
    <row r="1349" spans="1:25" hidden="1">
      <c r="A1349" s="1">
        <v>9491726</v>
      </c>
      <c r="B1349" s="1" t="s">
        <v>1153</v>
      </c>
      <c r="C1349" t="s">
        <v>3662</v>
      </c>
      <c r="D1349" s="2">
        <v>20230600000009</v>
      </c>
      <c r="E1349" s="2">
        <v>7417172780624</v>
      </c>
      <c r="F1349" s="1" t="s">
        <v>1989</v>
      </c>
      <c r="G1349" s="1" t="s">
        <v>53</v>
      </c>
      <c r="H1349" s="1" t="s">
        <v>1084</v>
      </c>
      <c r="I1349" s="1" t="s">
        <v>1085</v>
      </c>
      <c r="J1349" s="1" t="s">
        <v>90</v>
      </c>
      <c r="K1349" t="s">
        <v>1990</v>
      </c>
      <c r="M1349" s="1" t="s">
        <v>58</v>
      </c>
      <c r="N1349" s="1">
        <v>0</v>
      </c>
      <c r="O1349" s="1" t="s">
        <v>36</v>
      </c>
      <c r="P1349" s="11" t="s">
        <v>4170</v>
      </c>
      <c r="R1349" s="1">
        <v>22</v>
      </c>
      <c r="T1349" s="1" t="s">
        <v>1160</v>
      </c>
      <c r="U1349" s="11" t="s">
        <v>4171</v>
      </c>
      <c r="V1349" s="1" t="s">
        <v>41</v>
      </c>
      <c r="W1349" s="1" t="s">
        <v>49</v>
      </c>
      <c r="X1349" s="13" t="str">
        <f t="shared" si="97"/>
        <v/>
      </c>
      <c r="Y1349" s="2">
        <f t="shared" ca="1" si="98"/>
        <v>10</v>
      </c>
    </row>
    <row r="1350" spans="1:25" hidden="1">
      <c r="A1350" s="1">
        <v>9491434</v>
      </c>
      <c r="B1350" s="1" t="s">
        <v>1153</v>
      </c>
      <c r="C1350" t="s">
        <v>3666</v>
      </c>
      <c r="D1350" s="2">
        <v>20231291000008</v>
      </c>
      <c r="E1350" s="2">
        <v>7417163283751</v>
      </c>
      <c r="F1350" s="1" t="s">
        <v>131</v>
      </c>
      <c r="G1350" s="1" t="s">
        <v>53</v>
      </c>
      <c r="H1350" s="1" t="s">
        <v>3667</v>
      </c>
      <c r="I1350" s="1" t="s">
        <v>3668</v>
      </c>
      <c r="J1350" s="1" t="s">
        <v>33</v>
      </c>
      <c r="K1350" t="s">
        <v>132</v>
      </c>
      <c r="M1350" s="1" t="s">
        <v>58</v>
      </c>
      <c r="N1350" s="1">
        <v>0</v>
      </c>
      <c r="O1350" s="1" t="s">
        <v>36</v>
      </c>
      <c r="P1350" s="11" t="s">
        <v>4172</v>
      </c>
      <c r="R1350" s="1">
        <v>14</v>
      </c>
      <c r="T1350" s="1" t="s">
        <v>238</v>
      </c>
      <c r="U1350" s="11" t="s">
        <v>4172</v>
      </c>
      <c r="V1350" s="1" t="s">
        <v>41</v>
      </c>
      <c r="W1350" s="1" t="s">
        <v>42</v>
      </c>
      <c r="X1350" s="13" t="str">
        <f t="shared" si="97"/>
        <v>1291.91</v>
      </c>
      <c r="Y1350" s="2">
        <f t="shared" ca="1" si="98"/>
        <v>10</v>
      </c>
    </row>
    <row r="1351" spans="1:25" hidden="1">
      <c r="A1351" s="1">
        <v>9491359</v>
      </c>
      <c r="B1351" s="1" t="s">
        <v>1153</v>
      </c>
      <c r="C1351" t="s">
        <v>3669</v>
      </c>
      <c r="D1351" s="2">
        <v>20230594000014</v>
      </c>
      <c r="E1351" s="2">
        <v>7417163280924</v>
      </c>
      <c r="F1351" s="1" t="s">
        <v>131</v>
      </c>
      <c r="G1351" s="1" t="s">
        <v>53</v>
      </c>
      <c r="H1351" s="1" t="s">
        <v>3670</v>
      </c>
      <c r="I1351" s="1" t="s">
        <v>3671</v>
      </c>
      <c r="J1351" s="1" t="s">
        <v>33</v>
      </c>
      <c r="K1351" t="s">
        <v>132</v>
      </c>
      <c r="M1351" s="1" t="s">
        <v>58</v>
      </c>
      <c r="N1351" s="1">
        <v>0</v>
      </c>
      <c r="O1351" s="1" t="s">
        <v>36</v>
      </c>
      <c r="P1351" s="11" t="s">
        <v>4173</v>
      </c>
      <c r="R1351" s="1">
        <v>15</v>
      </c>
      <c r="T1351" s="1" t="s">
        <v>238</v>
      </c>
      <c r="U1351" s="11" t="s">
        <v>4173</v>
      </c>
      <c r="V1351" s="1" t="s">
        <v>41</v>
      </c>
      <c r="W1351" s="1" t="s">
        <v>42</v>
      </c>
      <c r="X1351" s="13" t="str">
        <f t="shared" si="97"/>
        <v>0594.91</v>
      </c>
      <c r="Y1351" s="2">
        <f t="shared" ca="1" si="98"/>
        <v>10</v>
      </c>
    </row>
    <row r="1352" spans="1:25">
      <c r="A1352" s="1">
        <v>9491259</v>
      </c>
      <c r="B1352" s="1" t="s">
        <v>1153</v>
      </c>
      <c r="C1352" s="182" t="s">
        <v>3991</v>
      </c>
      <c r="D1352" s="2">
        <v>20231061000013</v>
      </c>
      <c r="E1352" s="2">
        <v>7419141892055</v>
      </c>
      <c r="F1352" s="1" t="s">
        <v>128</v>
      </c>
      <c r="G1352" s="1" t="s">
        <v>53</v>
      </c>
      <c r="H1352" s="1" t="s">
        <v>3674</v>
      </c>
      <c r="I1352" s="1" t="s">
        <v>3675</v>
      </c>
      <c r="J1352" s="1" t="s">
        <v>85</v>
      </c>
      <c r="K1352" t="s">
        <v>129</v>
      </c>
      <c r="M1352" s="1" t="s">
        <v>58</v>
      </c>
      <c r="N1352" s="1">
        <v>0</v>
      </c>
      <c r="O1352" s="1" t="s">
        <v>36</v>
      </c>
      <c r="P1352" s="11" t="s">
        <v>4174</v>
      </c>
      <c r="R1352" s="1">
        <v>14</v>
      </c>
      <c r="T1352" s="1" t="s">
        <v>238</v>
      </c>
      <c r="U1352" s="11" t="s">
        <v>4174</v>
      </c>
      <c r="V1352" s="1" t="s">
        <v>41</v>
      </c>
      <c r="W1352" s="1" t="s">
        <v>49</v>
      </c>
      <c r="X1352" s="13" t="str">
        <f t="shared" si="97"/>
        <v>1061.91</v>
      </c>
      <c r="Y1352" s="2">
        <f t="shared" ca="1" si="98"/>
        <v>10</v>
      </c>
    </row>
    <row r="1353" spans="1:25" hidden="1">
      <c r="A1353" s="1">
        <v>9491033</v>
      </c>
      <c r="B1353" s="1" t="s">
        <v>1153</v>
      </c>
      <c r="C1353" t="s">
        <v>3676</v>
      </c>
      <c r="D1353" s="2">
        <v>20230067000021</v>
      </c>
      <c r="E1353" s="2">
        <v>7417163283166</v>
      </c>
      <c r="F1353" s="1" t="s">
        <v>131</v>
      </c>
      <c r="G1353" s="1" t="s">
        <v>53</v>
      </c>
      <c r="H1353" s="1" t="s">
        <v>2091</v>
      </c>
      <c r="I1353" s="1" t="s">
        <v>2092</v>
      </c>
      <c r="J1353" s="1" t="s">
        <v>164</v>
      </c>
      <c r="K1353" t="s">
        <v>132</v>
      </c>
      <c r="M1353" s="1" t="s">
        <v>58</v>
      </c>
      <c r="N1353" s="1">
        <v>0</v>
      </c>
      <c r="O1353" s="1" t="s">
        <v>36</v>
      </c>
      <c r="P1353" s="11" t="s">
        <v>4175</v>
      </c>
      <c r="R1353" s="1">
        <v>14</v>
      </c>
      <c r="T1353" s="1" t="s">
        <v>238</v>
      </c>
      <c r="U1353" s="11" t="s">
        <v>4175</v>
      </c>
      <c r="V1353" s="1" t="s">
        <v>41</v>
      </c>
      <c r="W1353" s="1" t="s">
        <v>49</v>
      </c>
      <c r="X1353" s="13" t="str">
        <f t="shared" si="97"/>
        <v>0067.91</v>
      </c>
      <c r="Y1353" s="2">
        <f t="shared" ca="1" si="98"/>
        <v>10</v>
      </c>
    </row>
    <row r="1354" spans="1:25" hidden="1">
      <c r="A1354" s="1">
        <v>9490757</v>
      </c>
      <c r="B1354" s="1" t="s">
        <v>1153</v>
      </c>
      <c r="C1354" t="s">
        <v>3680</v>
      </c>
      <c r="D1354" s="2">
        <v>20234844000490</v>
      </c>
      <c r="E1354" s="2">
        <v>7417183020653</v>
      </c>
      <c r="F1354" s="1" t="s">
        <v>1313</v>
      </c>
      <c r="G1354" s="1" t="s">
        <v>53</v>
      </c>
      <c r="H1354" s="1" t="s">
        <v>2357</v>
      </c>
      <c r="I1354" s="1" t="s">
        <v>2358</v>
      </c>
      <c r="J1354" s="1" t="s">
        <v>46</v>
      </c>
      <c r="K1354" t="s">
        <v>1316</v>
      </c>
      <c r="M1354" s="1" t="s">
        <v>58</v>
      </c>
      <c r="N1354" s="1">
        <v>0</v>
      </c>
      <c r="O1354" s="1" t="s">
        <v>36</v>
      </c>
      <c r="P1354" s="11" t="s">
        <v>4176</v>
      </c>
      <c r="R1354" s="1">
        <v>13</v>
      </c>
      <c r="T1354" s="1" t="s">
        <v>238</v>
      </c>
      <c r="U1354" s="11" t="s">
        <v>4176</v>
      </c>
      <c r="V1354" s="1" t="s">
        <v>41</v>
      </c>
      <c r="W1354" s="1" t="s">
        <v>49</v>
      </c>
      <c r="X1354" s="13" t="str">
        <f t="shared" si="97"/>
        <v>4844.12</v>
      </c>
      <c r="Y1354" s="2">
        <f t="shared" ca="1" si="98"/>
        <v>10</v>
      </c>
    </row>
    <row r="1355" spans="1:25" hidden="1">
      <c r="A1355" s="1">
        <v>9490716</v>
      </c>
      <c r="B1355" s="1" t="s">
        <v>1153</v>
      </c>
      <c r="C1355" t="s">
        <v>3681</v>
      </c>
      <c r="D1355" s="2">
        <v>20232437000024</v>
      </c>
      <c r="E1355" s="2">
        <v>7417210550033</v>
      </c>
      <c r="F1355" s="1" t="s">
        <v>1936</v>
      </c>
      <c r="G1355" s="1" t="s">
        <v>53</v>
      </c>
      <c r="H1355" s="1" t="s">
        <v>2418</v>
      </c>
      <c r="I1355" s="1" t="s">
        <v>2419</v>
      </c>
      <c r="J1355" s="1" t="s">
        <v>211</v>
      </c>
      <c r="K1355" t="s">
        <v>1939</v>
      </c>
      <c r="M1355" s="1" t="s">
        <v>58</v>
      </c>
      <c r="N1355" s="1">
        <v>0</v>
      </c>
      <c r="O1355" s="1" t="s">
        <v>36</v>
      </c>
      <c r="P1355" s="11" t="s">
        <v>4177</v>
      </c>
      <c r="R1355" s="1">
        <v>14</v>
      </c>
      <c r="T1355" s="1" t="s">
        <v>238</v>
      </c>
      <c r="U1355" s="11" t="s">
        <v>4177</v>
      </c>
      <c r="V1355" s="1" t="s">
        <v>41</v>
      </c>
      <c r="W1355" s="1" t="s">
        <v>49</v>
      </c>
      <c r="X1355" s="13" t="str">
        <f t="shared" si="97"/>
        <v>2437.91</v>
      </c>
      <c r="Y1355" s="2">
        <f t="shared" ca="1" si="98"/>
        <v>10</v>
      </c>
    </row>
    <row r="1356" spans="1:25" hidden="1">
      <c r="A1356" s="1">
        <v>9490707</v>
      </c>
      <c r="B1356" s="1" t="s">
        <v>1153</v>
      </c>
      <c r="C1356" t="s">
        <v>3682</v>
      </c>
      <c r="D1356" s="2">
        <v>20235898000008</v>
      </c>
      <c r="E1356" s="2">
        <v>7417202020387</v>
      </c>
      <c r="F1356" s="1" t="s">
        <v>1213</v>
      </c>
      <c r="G1356" s="1" t="s">
        <v>53</v>
      </c>
      <c r="H1356" s="1" t="s">
        <v>3683</v>
      </c>
      <c r="I1356" s="1" t="s">
        <v>3684</v>
      </c>
      <c r="J1356" s="1" t="s">
        <v>164</v>
      </c>
      <c r="K1356" t="s">
        <v>1214</v>
      </c>
      <c r="M1356" s="1" t="s">
        <v>58</v>
      </c>
      <c r="N1356" s="1">
        <v>0</v>
      </c>
      <c r="O1356" s="1" t="s">
        <v>36</v>
      </c>
      <c r="P1356" s="11" t="s">
        <v>4178</v>
      </c>
      <c r="R1356" s="1">
        <v>14</v>
      </c>
      <c r="T1356" s="1" t="s">
        <v>238</v>
      </c>
      <c r="U1356" s="11" t="s">
        <v>4178</v>
      </c>
      <c r="V1356" s="1" t="s">
        <v>41</v>
      </c>
      <c r="W1356" s="1" t="s">
        <v>49</v>
      </c>
      <c r="X1356" s="13" t="str">
        <f t="shared" si="97"/>
        <v>5898.91</v>
      </c>
      <c r="Y1356" s="2">
        <f t="shared" ca="1" si="98"/>
        <v>10</v>
      </c>
    </row>
    <row r="1357" spans="1:25" hidden="1">
      <c r="A1357" s="1">
        <v>9490620</v>
      </c>
      <c r="B1357" s="1" t="s">
        <v>1153</v>
      </c>
      <c r="C1357" t="s">
        <v>3685</v>
      </c>
      <c r="D1357" s="2">
        <v>20234844000489</v>
      </c>
      <c r="E1357" s="2">
        <v>7417163282354</v>
      </c>
      <c r="F1357" s="1" t="s">
        <v>131</v>
      </c>
      <c r="G1357" s="1" t="s">
        <v>53</v>
      </c>
      <c r="H1357" s="1" t="s">
        <v>2059</v>
      </c>
      <c r="I1357" s="1" t="s">
        <v>2060</v>
      </c>
      <c r="J1357" s="1" t="s">
        <v>46</v>
      </c>
      <c r="K1357" t="s">
        <v>132</v>
      </c>
      <c r="M1357" s="1" t="s">
        <v>58</v>
      </c>
      <c r="N1357" s="1">
        <v>0</v>
      </c>
      <c r="O1357" s="1" t="s">
        <v>36</v>
      </c>
      <c r="P1357" s="11" t="s">
        <v>4179</v>
      </c>
      <c r="R1357" s="1">
        <v>13</v>
      </c>
      <c r="T1357" s="1" t="s">
        <v>238</v>
      </c>
      <c r="U1357" s="11" t="s">
        <v>4179</v>
      </c>
      <c r="V1357" s="1" t="s">
        <v>41</v>
      </c>
      <c r="W1357" s="1" t="s">
        <v>49</v>
      </c>
      <c r="X1357" s="13" t="str">
        <f t="shared" si="97"/>
        <v>4844.35</v>
      </c>
      <c r="Y1357" s="2">
        <f t="shared" ca="1" si="98"/>
        <v>10</v>
      </c>
    </row>
    <row r="1358" spans="1:25" hidden="1">
      <c r="A1358" s="1">
        <v>9490520</v>
      </c>
      <c r="B1358" s="1" t="s">
        <v>1153</v>
      </c>
      <c r="C1358" t="s">
        <v>3555</v>
      </c>
      <c r="D1358" s="2">
        <v>20234804001722</v>
      </c>
      <c r="E1358" s="2">
        <v>7417183020662</v>
      </c>
      <c r="F1358" s="1" t="s">
        <v>1313</v>
      </c>
      <c r="G1358" s="1" t="s">
        <v>53</v>
      </c>
      <c r="H1358" s="1" t="s">
        <v>3556</v>
      </c>
      <c r="I1358" s="1" t="s">
        <v>3557</v>
      </c>
      <c r="J1358" s="1" t="s">
        <v>110</v>
      </c>
      <c r="K1358" t="s">
        <v>1316</v>
      </c>
      <c r="M1358" s="1" t="s">
        <v>58</v>
      </c>
      <c r="N1358" s="1">
        <v>0</v>
      </c>
      <c r="O1358" s="1" t="s">
        <v>36</v>
      </c>
      <c r="P1358" s="11" t="s">
        <v>4180</v>
      </c>
      <c r="R1358" s="1">
        <v>13</v>
      </c>
      <c r="S1358" s="1">
        <v>4804</v>
      </c>
      <c r="T1358" s="1" t="s">
        <v>238</v>
      </c>
      <c r="U1358" s="11" t="s">
        <v>4180</v>
      </c>
      <c r="V1358" s="1" t="s">
        <v>41</v>
      </c>
      <c r="W1358" s="1" t="s">
        <v>49</v>
      </c>
      <c r="X1358" s="13" t="str">
        <f t="shared" si="97"/>
        <v>2039.91</v>
      </c>
      <c r="Y1358" s="2">
        <f t="shared" ca="1" si="98"/>
        <v>10</v>
      </c>
    </row>
    <row r="1359" spans="1:25" hidden="1">
      <c r="A1359" s="1">
        <v>9490369</v>
      </c>
      <c r="B1359" s="1" t="s">
        <v>1153</v>
      </c>
      <c r="C1359" t="s">
        <v>3561</v>
      </c>
      <c r="D1359" s="2">
        <v>20231049000002</v>
      </c>
      <c r="E1359" s="2">
        <v>7417193391053</v>
      </c>
      <c r="F1359" s="1" t="s">
        <v>2760</v>
      </c>
      <c r="G1359" s="1" t="s">
        <v>53</v>
      </c>
      <c r="H1359" s="1" t="s">
        <v>169</v>
      </c>
      <c r="I1359" s="1" t="s">
        <v>170</v>
      </c>
      <c r="J1359" s="1" t="s">
        <v>164</v>
      </c>
      <c r="K1359" t="s">
        <v>2761</v>
      </c>
      <c r="M1359" s="1" t="s">
        <v>58</v>
      </c>
      <c r="N1359" s="1">
        <v>0</v>
      </c>
      <c r="O1359" s="1" t="s">
        <v>105</v>
      </c>
      <c r="P1359" s="11" t="s">
        <v>4181</v>
      </c>
      <c r="R1359" s="1">
        <v>22</v>
      </c>
      <c r="T1359" s="1" t="s">
        <v>1160</v>
      </c>
      <c r="U1359" s="11" t="s">
        <v>4182</v>
      </c>
      <c r="V1359" s="1" t="s">
        <v>41</v>
      </c>
      <c r="W1359" s="1" t="s">
        <v>49</v>
      </c>
      <c r="X1359" s="13" t="str">
        <f t="shared" si="97"/>
        <v/>
      </c>
      <c r="Y1359" s="2">
        <f t="shared" ca="1" si="98"/>
        <v>10</v>
      </c>
    </row>
    <row r="1360" spans="1:25" hidden="1">
      <c r="A1360" s="1">
        <v>9489928</v>
      </c>
      <c r="B1360" s="1" t="s">
        <v>1153</v>
      </c>
      <c r="C1360" t="s">
        <v>3569</v>
      </c>
      <c r="E1360" s="2">
        <v>1902016242200</v>
      </c>
      <c r="F1360" s="1" t="s">
        <v>64</v>
      </c>
      <c r="G1360" s="1" t="s">
        <v>53</v>
      </c>
      <c r="H1360" s="1" t="s">
        <v>1844</v>
      </c>
      <c r="I1360" s="1" t="s">
        <v>1845</v>
      </c>
      <c r="J1360" s="1" t="s">
        <v>211</v>
      </c>
      <c r="K1360" t="s">
        <v>67</v>
      </c>
      <c r="M1360" s="1" t="s">
        <v>35</v>
      </c>
      <c r="N1360" s="1">
        <v>42318949</v>
      </c>
      <c r="O1360" s="1" t="s">
        <v>36</v>
      </c>
      <c r="P1360" s="11" t="s">
        <v>4183</v>
      </c>
      <c r="R1360" s="1" t="s">
        <v>571</v>
      </c>
      <c r="T1360" s="1" t="s">
        <v>69</v>
      </c>
      <c r="U1360" s="11" t="s">
        <v>3649</v>
      </c>
      <c r="V1360" s="1" t="s">
        <v>41</v>
      </c>
      <c r="W1360" s="1" t="s">
        <v>49</v>
      </c>
      <c r="X1360" s="13" t="str">
        <f t="shared" si="97"/>
        <v/>
      </c>
      <c r="Y1360" s="2">
        <f t="shared" ca="1" si="98"/>
        <v>10</v>
      </c>
    </row>
    <row r="1361" spans="1:25" hidden="1">
      <c r="A1361" s="1">
        <v>9494552</v>
      </c>
      <c r="B1361" s="1" t="s">
        <v>1153</v>
      </c>
      <c r="C1361" t="s">
        <v>4184</v>
      </c>
      <c r="D1361" s="2">
        <v>230031041</v>
      </c>
      <c r="E1361" s="2">
        <v>2156001400020</v>
      </c>
      <c r="F1361" s="1" t="s">
        <v>1961</v>
      </c>
      <c r="G1361" s="1" t="s">
        <v>53</v>
      </c>
      <c r="H1361" s="1" t="s">
        <v>278</v>
      </c>
      <c r="I1361" s="1" t="s">
        <v>279</v>
      </c>
      <c r="J1361" s="1" t="s">
        <v>211</v>
      </c>
      <c r="K1361" t="s">
        <v>1962</v>
      </c>
      <c r="M1361" s="1" t="s">
        <v>58</v>
      </c>
      <c r="N1361" s="1">
        <v>0</v>
      </c>
      <c r="O1361" s="1" t="s">
        <v>36</v>
      </c>
      <c r="P1361" s="11" t="s">
        <v>3689</v>
      </c>
      <c r="R1361" s="1">
        <v>4</v>
      </c>
      <c r="T1361" s="1" t="s">
        <v>646</v>
      </c>
      <c r="U1361" s="186">
        <v>44986.604166666664</v>
      </c>
      <c r="V1361" s="1" t="s">
        <v>41</v>
      </c>
      <c r="W1361" s="1" t="s">
        <v>49</v>
      </c>
      <c r="X1361" s="13" t="str">
        <f t="shared" si="97"/>
        <v/>
      </c>
      <c r="Y1361" s="2">
        <f t="shared" ca="1" si="98"/>
        <v>9</v>
      </c>
    </row>
    <row r="1362" spans="1:25" hidden="1">
      <c r="A1362" s="1">
        <v>9494265</v>
      </c>
      <c r="B1362" s="1" t="s">
        <v>1153</v>
      </c>
      <c r="C1362" t="s">
        <v>3697</v>
      </c>
      <c r="D1362" s="2">
        <v>20230115000014</v>
      </c>
      <c r="E1362" s="2">
        <v>7417202020304</v>
      </c>
      <c r="F1362" s="1" t="s">
        <v>1213</v>
      </c>
      <c r="G1362" s="1" t="s">
        <v>53</v>
      </c>
      <c r="H1362" s="1" t="s">
        <v>2591</v>
      </c>
      <c r="I1362" s="1" t="s">
        <v>2592</v>
      </c>
      <c r="J1362" s="1" t="s">
        <v>56</v>
      </c>
      <c r="K1362" t="s">
        <v>1214</v>
      </c>
      <c r="M1362" s="1" t="s">
        <v>58</v>
      </c>
      <c r="N1362" s="1">
        <v>0</v>
      </c>
      <c r="O1362" s="1" t="s">
        <v>36</v>
      </c>
      <c r="P1362" s="11" t="s">
        <v>3698</v>
      </c>
      <c r="R1362" s="1">
        <v>14</v>
      </c>
      <c r="T1362" s="1" t="s">
        <v>238</v>
      </c>
      <c r="U1362" s="186">
        <v>44979.395833333336</v>
      </c>
      <c r="V1362" s="1" t="s">
        <v>41</v>
      </c>
      <c r="W1362" s="1" t="s">
        <v>49</v>
      </c>
      <c r="X1362" s="13" t="str">
        <f t="shared" si="97"/>
        <v>0115.91</v>
      </c>
      <c r="Y1362" s="2">
        <f t="shared" ca="1" si="98"/>
        <v>9</v>
      </c>
    </row>
    <row r="1363" spans="1:25" hidden="1">
      <c r="A1363" s="1">
        <v>9494234</v>
      </c>
      <c r="B1363" s="1" t="s">
        <v>1153</v>
      </c>
      <c r="C1363" t="s">
        <v>3699</v>
      </c>
      <c r="D1363" s="2">
        <v>20238889000065</v>
      </c>
      <c r="E1363" s="2">
        <v>7417163282971</v>
      </c>
      <c r="F1363" s="1" t="s">
        <v>131</v>
      </c>
      <c r="G1363" s="1" t="s">
        <v>53</v>
      </c>
      <c r="H1363" s="1" t="s">
        <v>2917</v>
      </c>
      <c r="I1363" s="1" t="s">
        <v>2918</v>
      </c>
      <c r="J1363" s="1" t="s">
        <v>33</v>
      </c>
      <c r="K1363" t="s">
        <v>132</v>
      </c>
      <c r="M1363" s="1" t="s">
        <v>58</v>
      </c>
      <c r="N1363" s="1">
        <v>0</v>
      </c>
      <c r="O1363" s="1" t="s">
        <v>36</v>
      </c>
      <c r="P1363" s="11" t="s">
        <v>3700</v>
      </c>
      <c r="R1363" s="1">
        <v>14</v>
      </c>
      <c r="T1363" s="1" t="s">
        <v>238</v>
      </c>
      <c r="U1363" s="186">
        <v>44979.395833333336</v>
      </c>
      <c r="V1363" s="1" t="s">
        <v>41</v>
      </c>
      <c r="W1363" s="1" t="s">
        <v>49</v>
      </c>
      <c r="X1363" s="13" t="str">
        <f t="shared" si="97"/>
        <v>8889.02</v>
      </c>
      <c r="Y1363" s="2">
        <f t="shared" ca="1" si="98"/>
        <v>9</v>
      </c>
    </row>
    <row r="1364" spans="1:25" hidden="1">
      <c r="A1364" s="1">
        <v>9494138</v>
      </c>
      <c r="B1364" s="1" t="s">
        <v>1153</v>
      </c>
      <c r="C1364" t="s">
        <v>3704</v>
      </c>
      <c r="D1364" s="2">
        <v>20234844000511</v>
      </c>
      <c r="E1364" s="2">
        <v>7419141891764</v>
      </c>
      <c r="F1364" s="1" t="s">
        <v>128</v>
      </c>
      <c r="G1364" s="1" t="s">
        <v>53</v>
      </c>
      <c r="H1364" s="1" t="s">
        <v>2606</v>
      </c>
      <c r="I1364" s="1" t="s">
        <v>2607</v>
      </c>
      <c r="J1364" s="1" t="s">
        <v>46</v>
      </c>
      <c r="K1364" t="s">
        <v>129</v>
      </c>
      <c r="M1364" s="1" t="s">
        <v>58</v>
      </c>
      <c r="N1364" s="1">
        <v>0</v>
      </c>
      <c r="O1364" s="1" t="s">
        <v>36</v>
      </c>
      <c r="P1364" s="11" t="s">
        <v>3705</v>
      </c>
      <c r="R1364" s="1">
        <v>13</v>
      </c>
      <c r="T1364" s="1" t="s">
        <v>238</v>
      </c>
      <c r="U1364" s="186">
        <v>44979.395833333336</v>
      </c>
      <c r="V1364" s="1" t="s">
        <v>41</v>
      </c>
      <c r="W1364" s="1" t="s">
        <v>49</v>
      </c>
      <c r="X1364" s="13" t="str">
        <f t="shared" si="97"/>
        <v>4844.28</v>
      </c>
      <c r="Y1364" s="2">
        <f t="shared" ca="1" si="98"/>
        <v>9</v>
      </c>
    </row>
    <row r="1365" spans="1:25" hidden="1">
      <c r="A1365" s="1">
        <v>9494034</v>
      </c>
      <c r="B1365" s="1" t="s">
        <v>1153</v>
      </c>
      <c r="C1365" t="s">
        <v>3715</v>
      </c>
      <c r="E1365" s="2">
        <v>934000203000</v>
      </c>
      <c r="F1365" s="1" t="s">
        <v>454</v>
      </c>
      <c r="G1365" s="1" t="s">
        <v>53</v>
      </c>
      <c r="H1365" s="1" t="s">
        <v>428</v>
      </c>
      <c r="I1365" s="1" t="s">
        <v>429</v>
      </c>
      <c r="J1365" s="1" t="s">
        <v>46</v>
      </c>
      <c r="K1365" t="s">
        <v>457</v>
      </c>
      <c r="M1365" s="1" t="s">
        <v>58</v>
      </c>
      <c r="N1365" s="1">
        <v>0</v>
      </c>
      <c r="O1365" s="1" t="s">
        <v>36</v>
      </c>
      <c r="P1365" s="11" t="s">
        <v>4185</v>
      </c>
      <c r="R1365" s="1">
        <v>1</v>
      </c>
      <c r="T1365" s="1" t="s">
        <v>157</v>
      </c>
      <c r="U1365" s="186">
        <v>44975.698240740741</v>
      </c>
      <c r="V1365" s="1" t="s">
        <v>41</v>
      </c>
      <c r="W1365" s="1" t="s">
        <v>49</v>
      </c>
      <c r="X1365" s="13" t="str">
        <f t="shared" si="97"/>
        <v/>
      </c>
      <c r="Y1365" s="2">
        <f t="shared" ca="1" si="98"/>
        <v>9</v>
      </c>
    </row>
    <row r="1366" spans="1:25" hidden="1">
      <c r="A1366" s="1">
        <v>9493855</v>
      </c>
      <c r="B1366" s="1" t="s">
        <v>1153</v>
      </c>
      <c r="C1366" t="s">
        <v>3720</v>
      </c>
      <c r="D1366" s="2">
        <v>20234844000502</v>
      </c>
      <c r="E1366" s="2">
        <v>7419143322034</v>
      </c>
      <c r="F1366" s="1" t="s">
        <v>1222</v>
      </c>
      <c r="G1366" s="1" t="s">
        <v>53</v>
      </c>
      <c r="H1366" s="1" t="s">
        <v>2796</v>
      </c>
      <c r="I1366" s="1" t="s">
        <v>2797</v>
      </c>
      <c r="J1366" s="1" t="s">
        <v>46</v>
      </c>
      <c r="K1366" t="s">
        <v>1223</v>
      </c>
      <c r="M1366" s="1" t="s">
        <v>58</v>
      </c>
      <c r="N1366" s="1">
        <v>0</v>
      </c>
      <c r="O1366" s="1" t="s">
        <v>36</v>
      </c>
      <c r="P1366" s="11" t="s">
        <v>4186</v>
      </c>
      <c r="R1366" s="1">
        <v>13</v>
      </c>
      <c r="T1366" s="1" t="s">
        <v>238</v>
      </c>
      <c r="U1366" s="186">
        <v>44974.645868055559</v>
      </c>
      <c r="V1366" s="1" t="s">
        <v>41</v>
      </c>
      <c r="W1366" s="1" t="s">
        <v>49</v>
      </c>
      <c r="X1366" s="13" t="str">
        <f t="shared" si="97"/>
        <v>4844.30</v>
      </c>
      <c r="Y1366" s="2">
        <f t="shared" ca="1" si="98"/>
        <v>9</v>
      </c>
    </row>
    <row r="1367" spans="1:25" hidden="1">
      <c r="A1367" s="1">
        <v>9493727</v>
      </c>
      <c r="B1367" s="1" t="s">
        <v>1153</v>
      </c>
      <c r="C1367" t="s">
        <v>3722</v>
      </c>
      <c r="D1367" s="2">
        <v>20230605000016</v>
      </c>
      <c r="E1367" s="2">
        <v>7417162430096</v>
      </c>
      <c r="F1367" s="1" t="s">
        <v>3543</v>
      </c>
      <c r="G1367" s="1" t="s">
        <v>53</v>
      </c>
      <c r="H1367" s="1" t="s">
        <v>420</v>
      </c>
      <c r="I1367" s="1" t="s">
        <v>421</v>
      </c>
      <c r="J1367" s="1" t="s">
        <v>90</v>
      </c>
      <c r="K1367" t="s">
        <v>3544</v>
      </c>
      <c r="M1367" s="1" t="s">
        <v>58</v>
      </c>
      <c r="N1367" s="1">
        <v>0</v>
      </c>
      <c r="O1367" s="1" t="s">
        <v>36</v>
      </c>
      <c r="P1367" s="11" t="s">
        <v>4187</v>
      </c>
      <c r="R1367" s="1">
        <v>22</v>
      </c>
      <c r="T1367" s="1" t="s">
        <v>1160</v>
      </c>
      <c r="U1367" s="186">
        <v>44981.439270833333</v>
      </c>
      <c r="V1367" s="1" t="s">
        <v>41</v>
      </c>
      <c r="W1367" s="1" t="s">
        <v>49</v>
      </c>
      <c r="X1367" s="13" t="str">
        <f t="shared" si="97"/>
        <v/>
      </c>
      <c r="Y1367" s="2">
        <f t="shared" ca="1" si="98"/>
        <v>9</v>
      </c>
    </row>
    <row r="1368" spans="1:25" hidden="1">
      <c r="A1368" s="1">
        <v>9493705</v>
      </c>
      <c r="B1368" s="1" t="s">
        <v>1153</v>
      </c>
      <c r="C1368" t="s">
        <v>3723</v>
      </c>
      <c r="E1368" s="2">
        <v>2889000206001</v>
      </c>
      <c r="F1368" s="1" t="s">
        <v>29</v>
      </c>
      <c r="G1368" s="1" t="s">
        <v>53</v>
      </c>
      <c r="H1368" s="1" t="s">
        <v>418</v>
      </c>
      <c r="I1368" s="1" t="s">
        <v>419</v>
      </c>
      <c r="J1368" s="1" t="s">
        <v>46</v>
      </c>
      <c r="K1368" t="s">
        <v>34</v>
      </c>
      <c r="M1368" s="1" t="s">
        <v>35</v>
      </c>
      <c r="N1368" s="1">
        <v>42318949</v>
      </c>
      <c r="O1368" s="1" t="s">
        <v>36</v>
      </c>
      <c r="P1368" s="11" t="s">
        <v>4188</v>
      </c>
      <c r="R1368" s="1" t="s">
        <v>38</v>
      </c>
      <c r="T1368" s="1" t="s">
        <v>74</v>
      </c>
      <c r="U1368" s="186">
        <v>44991.604166666664</v>
      </c>
      <c r="V1368" s="1" t="s">
        <v>41</v>
      </c>
      <c r="W1368" s="1" t="s">
        <v>49</v>
      </c>
      <c r="X1368" s="13" t="str">
        <f t="shared" si="97"/>
        <v/>
      </c>
      <c r="Y1368" s="2">
        <f t="shared" ca="1" si="98"/>
        <v>9</v>
      </c>
    </row>
    <row r="1369" spans="1:25" hidden="1">
      <c r="A1369" s="1">
        <v>9493696</v>
      </c>
      <c r="B1369" s="1" t="s">
        <v>1153</v>
      </c>
      <c r="C1369" t="s">
        <v>3724</v>
      </c>
      <c r="D1369" s="2">
        <v>20234844000501</v>
      </c>
      <c r="E1369" s="2">
        <v>7419141892252</v>
      </c>
      <c r="F1369" s="1" t="s">
        <v>128</v>
      </c>
      <c r="G1369" s="1" t="s">
        <v>53</v>
      </c>
      <c r="H1369" s="1" t="s">
        <v>2493</v>
      </c>
      <c r="I1369" s="1" t="s">
        <v>2494</v>
      </c>
      <c r="J1369" s="1" t="s">
        <v>46</v>
      </c>
      <c r="K1369" t="s">
        <v>129</v>
      </c>
      <c r="M1369" s="1" t="s">
        <v>58</v>
      </c>
      <c r="N1369" s="1">
        <v>0</v>
      </c>
      <c r="O1369" s="1" t="s">
        <v>105</v>
      </c>
      <c r="P1369" s="11" t="s">
        <v>4189</v>
      </c>
      <c r="R1369" s="1">
        <v>13</v>
      </c>
      <c r="T1369" s="1" t="s">
        <v>238</v>
      </c>
      <c r="U1369" s="186">
        <v>44974.603900462964</v>
      </c>
      <c r="V1369" s="1" t="s">
        <v>41</v>
      </c>
      <c r="W1369" s="1" t="s">
        <v>49</v>
      </c>
      <c r="X1369" s="13" t="str">
        <f t="shared" si="97"/>
        <v>4844.10</v>
      </c>
      <c r="Y1369" s="2">
        <f t="shared" ca="1" si="98"/>
        <v>9</v>
      </c>
    </row>
    <row r="1370" spans="1:25" hidden="1">
      <c r="A1370" s="1">
        <v>9493576</v>
      </c>
      <c r="B1370" s="1" t="s">
        <v>1153</v>
      </c>
      <c r="C1370" t="s">
        <v>3725</v>
      </c>
      <c r="D1370" s="2">
        <v>20230446000014</v>
      </c>
      <c r="E1370" s="2">
        <v>7419151141153</v>
      </c>
      <c r="F1370" s="1" t="s">
        <v>123</v>
      </c>
      <c r="G1370" s="1" t="s">
        <v>53</v>
      </c>
      <c r="H1370" s="1" t="s">
        <v>3324</v>
      </c>
      <c r="I1370" s="1" t="s">
        <v>3325</v>
      </c>
      <c r="J1370" s="1" t="s">
        <v>110</v>
      </c>
      <c r="K1370" t="s">
        <v>126</v>
      </c>
      <c r="M1370" s="1" t="s">
        <v>58</v>
      </c>
      <c r="N1370" s="1">
        <v>0</v>
      </c>
      <c r="O1370" s="1" t="s">
        <v>36</v>
      </c>
      <c r="P1370" s="11" t="s">
        <v>4190</v>
      </c>
      <c r="R1370" s="1">
        <v>14</v>
      </c>
      <c r="T1370" s="1" t="s">
        <v>238</v>
      </c>
      <c r="U1370" s="186">
        <v>44974.571203703701</v>
      </c>
      <c r="V1370" s="1" t="s">
        <v>41</v>
      </c>
      <c r="W1370" s="1" t="s">
        <v>49</v>
      </c>
      <c r="X1370" s="13" t="str">
        <f t="shared" si="97"/>
        <v>0446.91</v>
      </c>
      <c r="Y1370" s="2">
        <f t="shared" ca="1" si="98"/>
        <v>9</v>
      </c>
    </row>
    <row r="1371" spans="1:25" hidden="1">
      <c r="A1371" s="1">
        <v>9493001</v>
      </c>
      <c r="B1371" s="1" t="s">
        <v>1153</v>
      </c>
      <c r="C1371" t="s">
        <v>3735</v>
      </c>
      <c r="D1371" s="2">
        <v>20231359000004</v>
      </c>
      <c r="E1371" s="2">
        <v>7417202021027</v>
      </c>
      <c r="F1371" s="1" t="s">
        <v>1213</v>
      </c>
      <c r="G1371" s="1" t="s">
        <v>53</v>
      </c>
      <c r="H1371" s="1" t="s">
        <v>3736</v>
      </c>
      <c r="I1371" s="1" t="s">
        <v>3737</v>
      </c>
      <c r="J1371" s="1" t="s">
        <v>141</v>
      </c>
      <c r="K1371" t="s">
        <v>1214</v>
      </c>
      <c r="M1371" s="1" t="s">
        <v>58</v>
      </c>
      <c r="N1371" s="1">
        <v>0</v>
      </c>
      <c r="O1371" s="1" t="s">
        <v>105</v>
      </c>
      <c r="P1371" s="11" t="s">
        <v>4191</v>
      </c>
      <c r="R1371" s="1">
        <v>14</v>
      </c>
      <c r="T1371" s="1" t="s">
        <v>238</v>
      </c>
      <c r="U1371" s="186">
        <v>44974.451828703706</v>
      </c>
      <c r="V1371" s="1" t="s">
        <v>41</v>
      </c>
      <c r="W1371" s="1" t="s">
        <v>49</v>
      </c>
      <c r="X1371" s="13" t="str">
        <f t="shared" si="97"/>
        <v>1359.91</v>
      </c>
      <c r="Y1371" s="2">
        <f t="shared" ca="1" si="98"/>
        <v>9</v>
      </c>
    </row>
    <row r="1372" spans="1:25">
      <c r="A1372" s="181">
        <v>9492969</v>
      </c>
      <c r="B1372" s="181" t="s">
        <v>1153</v>
      </c>
      <c r="C1372" s="182" t="s">
        <v>4192</v>
      </c>
      <c r="D1372" s="183">
        <v>20230246000011</v>
      </c>
      <c r="E1372" s="183">
        <v>7419141894924</v>
      </c>
      <c r="F1372" s="181" t="s">
        <v>128</v>
      </c>
      <c r="G1372" s="181" t="s">
        <v>53</v>
      </c>
      <c r="H1372" s="181" t="s">
        <v>2321</v>
      </c>
      <c r="I1372" s="181" t="s">
        <v>2322</v>
      </c>
      <c r="J1372" s="181" t="s">
        <v>85</v>
      </c>
      <c r="K1372" t="s">
        <v>129</v>
      </c>
      <c r="M1372" s="1" t="s">
        <v>58</v>
      </c>
      <c r="N1372" s="1">
        <v>0</v>
      </c>
      <c r="O1372" s="1" t="s">
        <v>36</v>
      </c>
      <c r="P1372" s="11" t="s">
        <v>4193</v>
      </c>
      <c r="R1372" s="1">
        <v>14</v>
      </c>
      <c r="T1372" s="1" t="s">
        <v>238</v>
      </c>
      <c r="U1372" s="186">
        <v>44974.451736111114</v>
      </c>
      <c r="V1372" s="1" t="s">
        <v>41</v>
      </c>
      <c r="W1372" s="1" t="s">
        <v>49</v>
      </c>
      <c r="X1372" s="13" t="str">
        <f t="shared" si="97"/>
        <v>0246.91</v>
      </c>
      <c r="Y1372" s="2">
        <f t="shared" ca="1" si="98"/>
        <v>9</v>
      </c>
    </row>
    <row r="1373" spans="1:25" hidden="1">
      <c r="A1373" s="1">
        <v>9492956</v>
      </c>
      <c r="B1373" s="1" t="s">
        <v>1153</v>
      </c>
      <c r="C1373" t="s">
        <v>3739</v>
      </c>
      <c r="D1373" s="2">
        <v>20231012000006</v>
      </c>
      <c r="E1373" s="2">
        <v>7417202020564</v>
      </c>
      <c r="F1373" s="1" t="s">
        <v>1213</v>
      </c>
      <c r="G1373" s="1" t="s">
        <v>53</v>
      </c>
      <c r="H1373" s="1" t="s">
        <v>2481</v>
      </c>
      <c r="I1373" s="1" t="s">
        <v>2482</v>
      </c>
      <c r="J1373" s="1" t="s">
        <v>164</v>
      </c>
      <c r="K1373" t="s">
        <v>1214</v>
      </c>
      <c r="M1373" s="1" t="s">
        <v>58</v>
      </c>
      <c r="N1373" s="1">
        <v>0</v>
      </c>
      <c r="O1373" s="1" t="s">
        <v>36</v>
      </c>
      <c r="P1373" s="11" t="s">
        <v>4194</v>
      </c>
      <c r="R1373" s="1">
        <v>15</v>
      </c>
      <c r="T1373" s="1" t="s">
        <v>238</v>
      </c>
      <c r="U1373" s="186">
        <v>44974.449236111112</v>
      </c>
      <c r="V1373" s="1" t="s">
        <v>41</v>
      </c>
      <c r="W1373" s="1" t="s">
        <v>49</v>
      </c>
      <c r="X1373" s="13" t="str">
        <f t="shared" si="97"/>
        <v>1012.91</v>
      </c>
      <c r="Y1373" s="2">
        <f t="shared" ca="1" si="98"/>
        <v>9</v>
      </c>
    </row>
    <row r="1374" spans="1:25" hidden="1">
      <c r="A1374" s="1">
        <v>9492941</v>
      </c>
      <c r="B1374" s="1" t="s">
        <v>1153</v>
      </c>
      <c r="C1374" t="s">
        <v>3740</v>
      </c>
      <c r="D1374" s="2">
        <v>20230220000021</v>
      </c>
      <c r="E1374" s="2">
        <v>7417163284480</v>
      </c>
      <c r="F1374" s="1" t="s">
        <v>131</v>
      </c>
      <c r="G1374" s="1" t="s">
        <v>53</v>
      </c>
      <c r="H1374" s="1" t="s">
        <v>2030</v>
      </c>
      <c r="I1374" s="1" t="s">
        <v>2031</v>
      </c>
      <c r="J1374" s="1" t="s">
        <v>110</v>
      </c>
      <c r="K1374" t="s">
        <v>132</v>
      </c>
      <c r="M1374" s="1" t="s">
        <v>58</v>
      </c>
      <c r="N1374" s="1">
        <v>0</v>
      </c>
      <c r="O1374" s="1" t="s">
        <v>36</v>
      </c>
      <c r="P1374" s="11" t="s">
        <v>4195</v>
      </c>
      <c r="R1374" s="1">
        <v>14</v>
      </c>
      <c r="T1374" s="1" t="s">
        <v>238</v>
      </c>
      <c r="U1374" s="11" t="s">
        <v>4195</v>
      </c>
      <c r="V1374" s="1" t="s">
        <v>41</v>
      </c>
      <c r="W1374" s="1" t="s">
        <v>49</v>
      </c>
      <c r="X1374" s="13" t="str">
        <f t="shared" si="97"/>
        <v>0220.91</v>
      </c>
      <c r="Y1374" s="2">
        <f t="shared" ca="1" si="98"/>
        <v>9</v>
      </c>
    </row>
    <row r="1375" spans="1:25" hidden="1">
      <c r="A1375" s="1">
        <v>9492873</v>
      </c>
      <c r="B1375" s="1" t="s">
        <v>1153</v>
      </c>
      <c r="C1375" t="s">
        <v>2963</v>
      </c>
      <c r="E1375" s="2">
        <v>1943000206001</v>
      </c>
      <c r="F1375" s="1" t="s">
        <v>29</v>
      </c>
      <c r="G1375" s="1" t="s">
        <v>53</v>
      </c>
      <c r="H1375" s="1" t="s">
        <v>264</v>
      </c>
      <c r="I1375" s="1" t="s">
        <v>265</v>
      </c>
      <c r="J1375" s="1" t="s">
        <v>56</v>
      </c>
      <c r="K1375" t="s">
        <v>34</v>
      </c>
      <c r="M1375" s="1" t="s">
        <v>35</v>
      </c>
      <c r="N1375" s="1">
        <v>42318949</v>
      </c>
      <c r="O1375" s="1" t="s">
        <v>36</v>
      </c>
      <c r="P1375" s="11" t="s">
        <v>4196</v>
      </c>
      <c r="R1375" s="1" t="s">
        <v>38</v>
      </c>
      <c r="T1375" s="1" t="s">
        <v>74</v>
      </c>
      <c r="U1375" s="186">
        <v>44994.708333333336</v>
      </c>
      <c r="V1375" s="1" t="s">
        <v>41</v>
      </c>
      <c r="W1375" s="1" t="s">
        <v>49</v>
      </c>
      <c r="X1375" s="13" t="str">
        <f t="shared" si="97"/>
        <v/>
      </c>
      <c r="Y1375" s="2">
        <f t="shared" ca="1" si="98"/>
        <v>9</v>
      </c>
    </row>
    <row r="1376" spans="1:25" hidden="1">
      <c r="A1376" s="1">
        <v>9492616</v>
      </c>
      <c r="B1376" s="1" t="s">
        <v>1153</v>
      </c>
      <c r="C1376" t="s">
        <v>3742</v>
      </c>
      <c r="E1376" s="2">
        <v>2018000203000</v>
      </c>
      <c r="F1376" s="1" t="s">
        <v>454</v>
      </c>
      <c r="G1376" s="1" t="s">
        <v>53</v>
      </c>
      <c r="H1376" s="1" t="s">
        <v>598</v>
      </c>
      <c r="I1376" s="1" t="s">
        <v>599</v>
      </c>
      <c r="J1376" s="1" t="s">
        <v>79</v>
      </c>
      <c r="K1376" t="s">
        <v>457</v>
      </c>
      <c r="M1376" s="1" t="s">
        <v>58</v>
      </c>
      <c r="N1376" s="1">
        <v>0</v>
      </c>
      <c r="O1376" s="1" t="s">
        <v>36</v>
      </c>
      <c r="P1376" s="11" t="s">
        <v>4197</v>
      </c>
      <c r="R1376" s="1">
        <v>1</v>
      </c>
      <c r="T1376" s="1" t="s">
        <v>157</v>
      </c>
      <c r="U1376" s="186">
        <v>44975.365543981483</v>
      </c>
      <c r="V1376" s="1" t="s">
        <v>41</v>
      </c>
      <c r="W1376" s="1" t="s">
        <v>49</v>
      </c>
      <c r="X1376" s="13" t="str">
        <f t="shared" si="97"/>
        <v/>
      </c>
      <c r="Y1376" s="2">
        <f t="shared" ca="1" si="98"/>
        <v>9</v>
      </c>
    </row>
    <row r="1377" spans="1:25" hidden="1">
      <c r="A1377" s="1">
        <v>9497643</v>
      </c>
      <c r="B1377" s="1" t="s">
        <v>1153</v>
      </c>
      <c r="C1377" t="s">
        <v>3748</v>
      </c>
      <c r="E1377" s="2">
        <v>1138000206001</v>
      </c>
      <c r="F1377" s="1" t="s">
        <v>29</v>
      </c>
      <c r="G1377" s="1" t="s">
        <v>53</v>
      </c>
      <c r="H1377" s="1" t="s">
        <v>548</v>
      </c>
      <c r="I1377" s="1" t="s">
        <v>549</v>
      </c>
      <c r="J1377" s="1" t="s">
        <v>46</v>
      </c>
      <c r="K1377" t="s">
        <v>34</v>
      </c>
      <c r="M1377" s="1" t="s">
        <v>35</v>
      </c>
      <c r="N1377" s="1">
        <v>42318949</v>
      </c>
      <c r="O1377" s="1" t="s">
        <v>36</v>
      </c>
      <c r="P1377" s="11" t="s">
        <v>3749</v>
      </c>
      <c r="R1377" s="1" t="s">
        <v>38</v>
      </c>
      <c r="T1377" s="1" t="s">
        <v>74</v>
      </c>
      <c r="U1377" s="186">
        <v>44988.625</v>
      </c>
      <c r="V1377" s="1" t="s">
        <v>41</v>
      </c>
      <c r="W1377" s="1" t="s">
        <v>49</v>
      </c>
      <c r="X1377" s="13" t="str">
        <f t="shared" si="97"/>
        <v/>
      </c>
      <c r="Y1377" s="2">
        <f t="shared" ca="1" si="98"/>
        <v>8</v>
      </c>
    </row>
    <row r="1378" spans="1:25" hidden="1">
      <c r="A1378" s="1">
        <v>9497593</v>
      </c>
      <c r="B1378" s="1" t="s">
        <v>1153</v>
      </c>
      <c r="C1378" t="s">
        <v>3752</v>
      </c>
      <c r="E1378" s="2">
        <v>2811000206001</v>
      </c>
      <c r="F1378" s="1" t="s">
        <v>29</v>
      </c>
      <c r="G1378" s="1" t="s">
        <v>53</v>
      </c>
      <c r="H1378" s="1" t="s">
        <v>44</v>
      </c>
      <c r="I1378" s="1" t="s">
        <v>45</v>
      </c>
      <c r="J1378" s="1" t="s">
        <v>46</v>
      </c>
      <c r="K1378" t="s">
        <v>34</v>
      </c>
      <c r="M1378" s="1" t="s">
        <v>35</v>
      </c>
      <c r="N1378" s="1">
        <v>42318949</v>
      </c>
      <c r="O1378" s="1" t="s">
        <v>36</v>
      </c>
      <c r="P1378" s="11" t="s">
        <v>3753</v>
      </c>
      <c r="R1378" s="1" t="s">
        <v>38</v>
      </c>
      <c r="T1378" s="1" t="s">
        <v>74</v>
      </c>
      <c r="U1378" s="186">
        <v>44988.625</v>
      </c>
      <c r="V1378" s="1" t="s">
        <v>41</v>
      </c>
      <c r="W1378" s="1" t="s">
        <v>49</v>
      </c>
      <c r="X1378" s="13" t="str">
        <f t="shared" si="97"/>
        <v/>
      </c>
      <c r="Y1378" s="2">
        <f t="shared" ca="1" si="98"/>
        <v>8</v>
      </c>
    </row>
    <row r="1379" spans="1:25" hidden="1">
      <c r="A1379" s="1">
        <v>9497586</v>
      </c>
      <c r="B1379" s="1" t="s">
        <v>1153</v>
      </c>
      <c r="C1379" t="s">
        <v>3754</v>
      </c>
      <c r="E1379" s="2">
        <v>2811000206001</v>
      </c>
      <c r="F1379" s="1" t="s">
        <v>29</v>
      </c>
      <c r="G1379" s="1" t="s">
        <v>53</v>
      </c>
      <c r="H1379" s="1" t="s">
        <v>44</v>
      </c>
      <c r="I1379" s="1" t="s">
        <v>45</v>
      </c>
      <c r="J1379" s="1" t="s">
        <v>46</v>
      </c>
      <c r="K1379" t="s">
        <v>34</v>
      </c>
      <c r="M1379" s="1" t="s">
        <v>35</v>
      </c>
      <c r="N1379" s="1">
        <v>42318949</v>
      </c>
      <c r="O1379" s="1" t="s">
        <v>36</v>
      </c>
      <c r="P1379" s="11" t="s">
        <v>3755</v>
      </c>
      <c r="R1379" s="1" t="s">
        <v>38</v>
      </c>
      <c r="T1379" s="1" t="s">
        <v>74</v>
      </c>
      <c r="U1379" s="186">
        <v>44988.625</v>
      </c>
      <c r="V1379" s="1" t="s">
        <v>41</v>
      </c>
      <c r="W1379" s="1" t="s">
        <v>49</v>
      </c>
      <c r="X1379" s="13" t="str">
        <f t="shared" si="97"/>
        <v/>
      </c>
      <c r="Y1379" s="2">
        <f t="shared" ca="1" si="98"/>
        <v>8</v>
      </c>
    </row>
    <row r="1380" spans="1:25" hidden="1">
      <c r="A1380" s="1">
        <v>9497574</v>
      </c>
      <c r="B1380" s="1" t="s">
        <v>1153</v>
      </c>
      <c r="C1380" t="s">
        <v>3756</v>
      </c>
      <c r="E1380" s="2">
        <v>1245000206001</v>
      </c>
      <c r="F1380" s="1" t="s">
        <v>29</v>
      </c>
      <c r="G1380" s="1" t="s">
        <v>53</v>
      </c>
      <c r="H1380" s="1" t="s">
        <v>408</v>
      </c>
      <c r="I1380" s="1" t="s">
        <v>409</v>
      </c>
      <c r="J1380" s="1" t="s">
        <v>46</v>
      </c>
      <c r="K1380" t="s">
        <v>34</v>
      </c>
      <c r="M1380" s="1" t="s">
        <v>35</v>
      </c>
      <c r="N1380" s="1">
        <v>42318949</v>
      </c>
      <c r="O1380" s="1" t="s">
        <v>36</v>
      </c>
      <c r="P1380" s="11" t="s">
        <v>3757</v>
      </c>
      <c r="R1380" s="1" t="s">
        <v>38</v>
      </c>
      <c r="T1380" s="1" t="s">
        <v>74</v>
      </c>
      <c r="U1380" s="186">
        <v>44985.645833333336</v>
      </c>
      <c r="V1380" s="1" t="s">
        <v>41</v>
      </c>
      <c r="W1380" s="1" t="s">
        <v>49</v>
      </c>
      <c r="X1380" s="13" t="str">
        <f t="shared" si="97"/>
        <v/>
      </c>
      <c r="Y1380" s="2">
        <f t="shared" ca="1" si="98"/>
        <v>8</v>
      </c>
    </row>
    <row r="1381" spans="1:25" hidden="1">
      <c r="A1381" s="1">
        <v>9497508</v>
      </c>
      <c r="B1381" s="1" t="s">
        <v>1153</v>
      </c>
      <c r="C1381" t="s">
        <v>3762</v>
      </c>
      <c r="E1381" s="2">
        <v>3504000203000</v>
      </c>
      <c r="F1381" s="1" t="s">
        <v>454</v>
      </c>
      <c r="G1381" s="1" t="s">
        <v>53</v>
      </c>
      <c r="H1381" s="1" t="s">
        <v>585</v>
      </c>
      <c r="I1381" s="1" t="s">
        <v>586</v>
      </c>
      <c r="J1381" s="1" t="s">
        <v>46</v>
      </c>
      <c r="K1381" t="s">
        <v>457</v>
      </c>
      <c r="M1381" s="1" t="s">
        <v>58</v>
      </c>
      <c r="N1381" s="1">
        <v>0</v>
      </c>
      <c r="O1381" s="1" t="s">
        <v>36</v>
      </c>
      <c r="P1381" s="11" t="s">
        <v>3763</v>
      </c>
      <c r="R1381" s="1">
        <v>1</v>
      </c>
      <c r="T1381" s="1" t="s">
        <v>157</v>
      </c>
      <c r="U1381" s="186">
        <v>44978.357719907406</v>
      </c>
      <c r="V1381" s="1" t="s">
        <v>41</v>
      </c>
      <c r="W1381" s="1" t="s">
        <v>49</v>
      </c>
      <c r="X1381" s="13" t="str">
        <f t="shared" si="97"/>
        <v/>
      </c>
      <c r="Y1381" s="2">
        <f t="shared" ca="1" si="98"/>
        <v>8</v>
      </c>
    </row>
    <row r="1382" spans="1:25" hidden="1">
      <c r="A1382" s="1">
        <v>9496417</v>
      </c>
      <c r="B1382" s="1" t="s">
        <v>1153</v>
      </c>
      <c r="C1382" t="s">
        <v>3773</v>
      </c>
      <c r="E1382" s="2">
        <v>2564000203000</v>
      </c>
      <c r="F1382" s="1" t="s">
        <v>454</v>
      </c>
      <c r="G1382" s="1" t="s">
        <v>53</v>
      </c>
      <c r="H1382" s="1" t="s">
        <v>255</v>
      </c>
      <c r="I1382" s="1" t="s">
        <v>256</v>
      </c>
      <c r="J1382" s="1" t="s">
        <v>164</v>
      </c>
      <c r="K1382" t="s">
        <v>457</v>
      </c>
      <c r="M1382" s="1" t="s">
        <v>58</v>
      </c>
      <c r="N1382" s="1">
        <v>0</v>
      </c>
      <c r="O1382" s="1" t="s">
        <v>36</v>
      </c>
      <c r="P1382" s="11" t="s">
        <v>3774</v>
      </c>
      <c r="R1382" s="1">
        <v>1</v>
      </c>
      <c r="T1382" s="1" t="s">
        <v>157</v>
      </c>
      <c r="U1382" s="186">
        <v>44977.509027777778</v>
      </c>
      <c r="V1382" s="1" t="s">
        <v>41</v>
      </c>
      <c r="W1382" s="1" t="s">
        <v>49</v>
      </c>
      <c r="X1382" s="13" t="str">
        <f t="shared" si="97"/>
        <v/>
      </c>
      <c r="Y1382" s="2">
        <f t="shared" ca="1" si="98"/>
        <v>8</v>
      </c>
    </row>
    <row r="1383" spans="1:25" hidden="1">
      <c r="A1383" s="1">
        <v>9496406</v>
      </c>
      <c r="B1383" s="1" t="s">
        <v>1153</v>
      </c>
      <c r="C1383" t="s">
        <v>4198</v>
      </c>
      <c r="E1383" s="2">
        <v>2590000206001</v>
      </c>
      <c r="F1383" s="1" t="s">
        <v>29</v>
      </c>
      <c r="G1383" s="1" t="s">
        <v>53</v>
      </c>
      <c r="H1383" s="1" t="s">
        <v>394</v>
      </c>
      <c r="I1383" s="1" t="s">
        <v>395</v>
      </c>
      <c r="J1383" s="1" t="s">
        <v>148</v>
      </c>
      <c r="K1383" t="s">
        <v>34</v>
      </c>
      <c r="M1383" s="1" t="s">
        <v>35</v>
      </c>
      <c r="N1383" s="1">
        <v>42318949</v>
      </c>
      <c r="O1383" s="1" t="s">
        <v>36</v>
      </c>
      <c r="P1383" s="11" t="s">
        <v>3780</v>
      </c>
      <c r="R1383" s="1" t="s">
        <v>38</v>
      </c>
      <c r="T1383" s="1" t="s">
        <v>74</v>
      </c>
      <c r="U1383" s="186">
        <v>44986.645833333336</v>
      </c>
      <c r="V1383" s="1" t="s">
        <v>41</v>
      </c>
      <c r="W1383" s="1" t="s">
        <v>49</v>
      </c>
      <c r="X1383" s="13" t="str">
        <f t="shared" si="97"/>
        <v/>
      </c>
      <c r="Y1383" s="2">
        <f t="shared" ca="1" si="98"/>
        <v>8</v>
      </c>
    </row>
    <row r="1384" spans="1:25" hidden="1">
      <c r="A1384" s="1">
        <v>9496332</v>
      </c>
      <c r="B1384" s="1" t="s">
        <v>1153</v>
      </c>
      <c r="C1384" t="s">
        <v>3786</v>
      </c>
      <c r="E1384" s="2">
        <v>1664000206001</v>
      </c>
      <c r="F1384" s="1" t="s">
        <v>29</v>
      </c>
      <c r="G1384" s="1" t="s">
        <v>53</v>
      </c>
      <c r="H1384" s="1" t="s">
        <v>307</v>
      </c>
      <c r="I1384" s="1" t="s">
        <v>308</v>
      </c>
      <c r="J1384" s="1" t="s">
        <v>164</v>
      </c>
      <c r="K1384" t="s">
        <v>34</v>
      </c>
      <c r="M1384" s="1" t="s">
        <v>35</v>
      </c>
      <c r="N1384" s="1">
        <v>42318949</v>
      </c>
      <c r="O1384" s="1" t="s">
        <v>36</v>
      </c>
      <c r="P1384" s="11" t="s">
        <v>3787</v>
      </c>
      <c r="R1384" s="1" t="s">
        <v>38</v>
      </c>
      <c r="T1384" s="1" t="s">
        <v>74</v>
      </c>
      <c r="U1384" s="186">
        <v>44986.625</v>
      </c>
      <c r="V1384" s="1" t="s">
        <v>41</v>
      </c>
      <c r="W1384" s="1" t="s">
        <v>49</v>
      </c>
      <c r="X1384" s="13" t="str">
        <f t="shared" si="97"/>
        <v/>
      </c>
      <c r="Y1384" s="2">
        <f t="shared" ca="1" si="98"/>
        <v>8</v>
      </c>
    </row>
    <row r="1385" spans="1:25">
      <c r="A1385" s="1">
        <v>9496178</v>
      </c>
      <c r="B1385" s="1" t="s">
        <v>1153</v>
      </c>
      <c r="C1385" t="s">
        <v>4199</v>
      </c>
      <c r="E1385" s="2">
        <v>2304000206001</v>
      </c>
      <c r="F1385" s="1" t="s">
        <v>29</v>
      </c>
      <c r="G1385" s="1" t="s">
        <v>53</v>
      </c>
      <c r="H1385" s="1" t="s">
        <v>2711</v>
      </c>
      <c r="I1385" s="1" t="s">
        <v>2712</v>
      </c>
      <c r="J1385" s="1" t="s">
        <v>85</v>
      </c>
      <c r="K1385" t="s">
        <v>34</v>
      </c>
      <c r="M1385" s="1" t="s">
        <v>35</v>
      </c>
      <c r="N1385" s="1">
        <v>42318949</v>
      </c>
      <c r="O1385" s="1" t="s">
        <v>36</v>
      </c>
      <c r="P1385" s="11" t="s">
        <v>3793</v>
      </c>
      <c r="R1385" s="1" t="s">
        <v>38</v>
      </c>
      <c r="T1385" s="1" t="s">
        <v>74</v>
      </c>
      <c r="U1385" s="186">
        <v>44992.607638888891</v>
      </c>
      <c r="V1385" s="1" t="s">
        <v>41</v>
      </c>
      <c r="W1385" s="1" t="s">
        <v>49</v>
      </c>
      <c r="X1385" s="13" t="str">
        <f t="shared" si="97"/>
        <v/>
      </c>
      <c r="Y1385" s="2">
        <f t="shared" ca="1" si="98"/>
        <v>8</v>
      </c>
    </row>
    <row r="1386" spans="1:25" hidden="1">
      <c r="A1386" s="1">
        <v>9499146</v>
      </c>
      <c r="B1386" s="1" t="s">
        <v>1153</v>
      </c>
      <c r="C1386" t="s">
        <v>3808</v>
      </c>
      <c r="E1386" s="2">
        <v>3108010206001</v>
      </c>
      <c r="F1386" s="1" t="s">
        <v>29</v>
      </c>
      <c r="G1386" s="1" t="s">
        <v>53</v>
      </c>
      <c r="H1386" s="1" t="s">
        <v>503</v>
      </c>
      <c r="I1386" s="1" t="s">
        <v>504</v>
      </c>
      <c r="J1386" s="1" t="s">
        <v>46</v>
      </c>
      <c r="K1386" t="s">
        <v>34</v>
      </c>
      <c r="M1386" s="1" t="s">
        <v>35</v>
      </c>
      <c r="N1386" s="1">
        <v>42318949</v>
      </c>
      <c r="O1386" s="1" t="s">
        <v>36</v>
      </c>
      <c r="P1386" s="11" t="s">
        <v>3809</v>
      </c>
      <c r="R1386" s="1" t="s">
        <v>38</v>
      </c>
      <c r="T1386" s="1" t="s">
        <v>74</v>
      </c>
      <c r="U1386" s="186">
        <v>44991.416666666664</v>
      </c>
      <c r="V1386" s="1" t="s">
        <v>41</v>
      </c>
      <c r="W1386" s="1" t="s">
        <v>49</v>
      </c>
      <c r="X1386" s="13" t="str">
        <f t="shared" si="97"/>
        <v>3108.01</v>
      </c>
      <c r="Y1386" s="2">
        <f t="shared" ca="1" si="98"/>
        <v>7</v>
      </c>
    </row>
    <row r="1387" spans="1:25" hidden="1">
      <c r="A1387" s="1">
        <v>9498887</v>
      </c>
      <c r="B1387" s="1" t="s">
        <v>1153</v>
      </c>
      <c r="C1387" t="s">
        <v>3810</v>
      </c>
      <c r="E1387" s="2">
        <v>2196000206001</v>
      </c>
      <c r="F1387" s="1" t="s">
        <v>29</v>
      </c>
      <c r="G1387" s="1" t="s">
        <v>53</v>
      </c>
      <c r="H1387" s="1" t="s">
        <v>1252</v>
      </c>
      <c r="I1387" s="1" t="s">
        <v>1253</v>
      </c>
      <c r="J1387" s="1" t="s">
        <v>33</v>
      </c>
      <c r="K1387" t="s">
        <v>34</v>
      </c>
      <c r="M1387" s="1" t="s">
        <v>35</v>
      </c>
      <c r="N1387" s="1">
        <v>42318949</v>
      </c>
      <c r="O1387" s="1" t="s">
        <v>36</v>
      </c>
      <c r="P1387" s="11" t="s">
        <v>3811</v>
      </c>
      <c r="R1387" s="1" t="s">
        <v>38</v>
      </c>
      <c r="T1387" s="1" t="s">
        <v>74</v>
      </c>
      <c r="U1387" s="186">
        <v>44991.5</v>
      </c>
      <c r="V1387" s="1" t="s">
        <v>41</v>
      </c>
      <c r="W1387" s="1" t="s">
        <v>42</v>
      </c>
      <c r="X1387" s="13" t="str">
        <f t="shared" si="97"/>
        <v/>
      </c>
      <c r="Y1387" s="2">
        <f t="shared" ca="1" si="98"/>
        <v>7</v>
      </c>
    </row>
    <row r="1388" spans="1:25" hidden="1">
      <c r="A1388" s="1">
        <v>9502037</v>
      </c>
      <c r="B1388" s="1" t="s">
        <v>1153</v>
      </c>
      <c r="C1388" t="s">
        <v>3822</v>
      </c>
      <c r="D1388" s="2">
        <v>20231666000016</v>
      </c>
      <c r="E1388" s="2">
        <v>7417163285374</v>
      </c>
      <c r="F1388" s="1" t="s">
        <v>131</v>
      </c>
      <c r="G1388" s="1" t="s">
        <v>53</v>
      </c>
      <c r="H1388" s="1" t="s">
        <v>2679</v>
      </c>
      <c r="I1388" s="1" t="s">
        <v>2680</v>
      </c>
      <c r="J1388" s="1" t="s">
        <v>79</v>
      </c>
      <c r="K1388" t="s">
        <v>132</v>
      </c>
      <c r="M1388" s="1" t="s">
        <v>58</v>
      </c>
      <c r="N1388" s="1">
        <v>0</v>
      </c>
      <c r="O1388" s="1" t="s">
        <v>36</v>
      </c>
      <c r="P1388" s="186">
        <v>44979.722569444442</v>
      </c>
      <c r="R1388" s="1">
        <v>14</v>
      </c>
      <c r="T1388" s="1" t="s">
        <v>238</v>
      </c>
      <c r="U1388" s="186">
        <v>44980.395833333336</v>
      </c>
      <c r="V1388" s="1" t="s">
        <v>41</v>
      </c>
      <c r="W1388" s="1" t="s">
        <v>49</v>
      </c>
      <c r="X1388" s="13" t="str">
        <f t="shared" si="97"/>
        <v>1666.91</v>
      </c>
      <c r="Y1388" s="2">
        <f t="shared" ca="1" si="98"/>
        <v>6</v>
      </c>
    </row>
    <row r="1389" spans="1:25" hidden="1">
      <c r="A1389" s="1">
        <v>9501854</v>
      </c>
      <c r="B1389" s="1" t="s">
        <v>1153</v>
      </c>
      <c r="C1389" t="s">
        <v>3837</v>
      </c>
      <c r="D1389" s="2">
        <v>20234924000068</v>
      </c>
      <c r="E1389" s="2">
        <v>7419141893227</v>
      </c>
      <c r="F1389" s="1" t="s">
        <v>128</v>
      </c>
      <c r="G1389" s="1" t="s">
        <v>53</v>
      </c>
      <c r="H1389" s="1" t="s">
        <v>3328</v>
      </c>
      <c r="I1389" s="1" t="s">
        <v>3329</v>
      </c>
      <c r="J1389" s="1" t="s">
        <v>79</v>
      </c>
      <c r="K1389" t="s">
        <v>129</v>
      </c>
      <c r="M1389" s="1" t="s">
        <v>58</v>
      </c>
      <c r="N1389" s="1">
        <v>0</v>
      </c>
      <c r="O1389" s="1" t="s">
        <v>36</v>
      </c>
      <c r="P1389" s="186">
        <v>44979.687465277777</v>
      </c>
      <c r="R1389" s="1">
        <v>14</v>
      </c>
      <c r="T1389" s="1" t="s">
        <v>238</v>
      </c>
      <c r="U1389" s="186">
        <v>44979.687465277777</v>
      </c>
      <c r="V1389" s="1" t="s">
        <v>41</v>
      </c>
      <c r="W1389" s="1" t="s">
        <v>49</v>
      </c>
      <c r="X1389" s="13" t="str">
        <f t="shared" si="97"/>
        <v>4924.01</v>
      </c>
      <c r="Y1389" s="2">
        <f t="shared" ca="1" si="98"/>
        <v>6</v>
      </c>
    </row>
    <row r="1390" spans="1:25" hidden="1">
      <c r="A1390" s="1">
        <v>9501790</v>
      </c>
      <c r="B1390" s="1" t="s">
        <v>1153</v>
      </c>
      <c r="C1390" t="s">
        <v>3844</v>
      </c>
      <c r="D1390" s="2">
        <v>20234923000074</v>
      </c>
      <c r="E1390" s="2">
        <v>7419141893152</v>
      </c>
      <c r="F1390" s="1" t="s">
        <v>128</v>
      </c>
      <c r="G1390" s="1" t="s">
        <v>53</v>
      </c>
      <c r="H1390" s="1" t="s">
        <v>2870</v>
      </c>
      <c r="I1390" s="1" t="s">
        <v>2871</v>
      </c>
      <c r="J1390" s="1" t="s">
        <v>46</v>
      </c>
      <c r="K1390" t="s">
        <v>129</v>
      </c>
      <c r="M1390" s="1" t="s">
        <v>58</v>
      </c>
      <c r="N1390" s="1">
        <v>0</v>
      </c>
      <c r="O1390" s="1" t="s">
        <v>36</v>
      </c>
      <c r="P1390" s="186">
        <v>44979.657905092594</v>
      </c>
      <c r="R1390" s="1">
        <v>13</v>
      </c>
      <c r="T1390" s="1" t="s">
        <v>238</v>
      </c>
      <c r="U1390" s="186">
        <v>44979.657905092594</v>
      </c>
      <c r="V1390" s="1" t="s">
        <v>41</v>
      </c>
      <c r="W1390" s="1" t="s">
        <v>49</v>
      </c>
      <c r="X1390" s="13" t="str">
        <f t="shared" si="97"/>
        <v>4923.04</v>
      </c>
      <c r="Y1390" s="2">
        <f t="shared" ca="1" si="98"/>
        <v>6</v>
      </c>
    </row>
    <row r="1391" spans="1:25" hidden="1">
      <c r="A1391" s="1">
        <v>9501765</v>
      </c>
      <c r="B1391" s="1" t="s">
        <v>1153</v>
      </c>
      <c r="C1391" t="s">
        <v>4002</v>
      </c>
      <c r="D1391" s="2">
        <v>20238896000029</v>
      </c>
      <c r="E1391" s="2">
        <v>7417172315875</v>
      </c>
      <c r="F1391" s="1" t="s">
        <v>1155</v>
      </c>
      <c r="G1391" s="1" t="s">
        <v>53</v>
      </c>
      <c r="H1391" s="1" t="s">
        <v>4003</v>
      </c>
      <c r="I1391" s="1" t="s">
        <v>4004</v>
      </c>
      <c r="J1391" s="1" t="s">
        <v>46</v>
      </c>
      <c r="K1391" t="s">
        <v>1158</v>
      </c>
      <c r="M1391" s="1" t="s">
        <v>58</v>
      </c>
      <c r="N1391" s="1">
        <v>0</v>
      </c>
      <c r="O1391" s="1" t="s">
        <v>36</v>
      </c>
      <c r="P1391" s="186">
        <v>44979.660428240742</v>
      </c>
      <c r="R1391" s="1">
        <v>22</v>
      </c>
      <c r="T1391" s="1" t="s">
        <v>1160</v>
      </c>
      <c r="U1391" s="186">
        <v>44984.493761574071</v>
      </c>
      <c r="V1391" s="1" t="s">
        <v>41</v>
      </c>
      <c r="W1391" s="1" t="s">
        <v>4005</v>
      </c>
      <c r="X1391" s="13" t="str">
        <f t="shared" si="97"/>
        <v/>
      </c>
      <c r="Y1391" s="2">
        <f t="shared" ca="1" si="98"/>
        <v>6</v>
      </c>
    </row>
    <row r="1392" spans="1:25">
      <c r="A1392" s="1">
        <v>9501693</v>
      </c>
      <c r="B1392" s="1" t="s">
        <v>1153</v>
      </c>
      <c r="C1392" t="s">
        <v>3861</v>
      </c>
      <c r="E1392" s="2">
        <v>2304000206001</v>
      </c>
      <c r="F1392" s="1" t="s">
        <v>29</v>
      </c>
      <c r="G1392" s="1" t="s">
        <v>53</v>
      </c>
      <c r="H1392" s="1" t="s">
        <v>2711</v>
      </c>
      <c r="I1392" s="1" t="s">
        <v>2712</v>
      </c>
      <c r="J1392" s="1" t="s">
        <v>85</v>
      </c>
      <c r="K1392" t="s">
        <v>34</v>
      </c>
      <c r="M1392" s="1" t="s">
        <v>35</v>
      </c>
      <c r="N1392" s="1">
        <v>42318949</v>
      </c>
      <c r="O1392" s="1" t="s">
        <v>36</v>
      </c>
      <c r="P1392" s="11" t="s">
        <v>3862</v>
      </c>
      <c r="R1392" s="1" t="s">
        <v>38</v>
      </c>
      <c r="T1392" s="1" t="s">
        <v>74</v>
      </c>
      <c r="U1392" s="186">
        <v>45009.607638888891</v>
      </c>
      <c r="V1392" s="1" t="s">
        <v>41</v>
      </c>
      <c r="W1392" s="1" t="s">
        <v>49</v>
      </c>
      <c r="X1392" s="13" t="str">
        <f t="shared" si="97"/>
        <v/>
      </c>
      <c r="Y1392" s="2">
        <f t="shared" ca="1" si="98"/>
        <v>6</v>
      </c>
    </row>
    <row r="1393" spans="1:25" hidden="1">
      <c r="A1393" s="1">
        <v>9501669</v>
      </c>
      <c r="B1393" s="1" t="s">
        <v>1153</v>
      </c>
      <c r="C1393" t="s">
        <v>3866</v>
      </c>
      <c r="D1393" s="2">
        <v>20230244000009</v>
      </c>
      <c r="E1393" s="2">
        <v>7419151141159</v>
      </c>
      <c r="F1393" s="1" t="s">
        <v>123</v>
      </c>
      <c r="G1393" s="1" t="s">
        <v>53</v>
      </c>
      <c r="H1393" s="1" t="s">
        <v>2579</v>
      </c>
      <c r="I1393" s="1" t="s">
        <v>2580</v>
      </c>
      <c r="J1393" s="1" t="s">
        <v>56</v>
      </c>
      <c r="K1393" t="s">
        <v>126</v>
      </c>
      <c r="M1393" s="1" t="s">
        <v>58</v>
      </c>
      <c r="N1393" s="1">
        <v>0</v>
      </c>
      <c r="O1393" s="1" t="s">
        <v>105</v>
      </c>
      <c r="P1393" s="11" t="s">
        <v>3867</v>
      </c>
      <c r="R1393" s="1">
        <v>14</v>
      </c>
      <c r="T1393" s="1" t="s">
        <v>238</v>
      </c>
      <c r="U1393" s="186">
        <v>44979.635277777779</v>
      </c>
      <c r="V1393" s="1" t="s">
        <v>41</v>
      </c>
      <c r="W1393" s="1" t="s">
        <v>49</v>
      </c>
      <c r="X1393" s="13" t="str">
        <f t="shared" si="97"/>
        <v>0244.91</v>
      </c>
      <c r="Y1393" s="2">
        <f t="shared" ca="1" si="98"/>
        <v>6</v>
      </c>
    </row>
    <row r="1394" spans="1:25" hidden="1">
      <c r="A1394" s="1">
        <v>9501617</v>
      </c>
      <c r="B1394" s="1" t="s">
        <v>1153</v>
      </c>
      <c r="C1394" t="s">
        <v>3868</v>
      </c>
      <c r="D1394" s="2">
        <v>20230244000008</v>
      </c>
      <c r="E1394" s="2">
        <v>7417211830098</v>
      </c>
      <c r="F1394" s="1" t="s">
        <v>1936</v>
      </c>
      <c r="G1394" s="1" t="s">
        <v>53</v>
      </c>
      <c r="H1394" s="1" t="s">
        <v>2579</v>
      </c>
      <c r="I1394" s="1" t="s">
        <v>2580</v>
      </c>
      <c r="J1394" s="1" t="s">
        <v>56</v>
      </c>
      <c r="K1394" t="s">
        <v>1939</v>
      </c>
      <c r="M1394" s="1" t="s">
        <v>58</v>
      </c>
      <c r="N1394" s="1">
        <v>0</v>
      </c>
      <c r="O1394" s="1" t="s">
        <v>105</v>
      </c>
      <c r="P1394" s="11" t="s">
        <v>3869</v>
      </c>
      <c r="R1394" s="1">
        <v>14</v>
      </c>
      <c r="T1394" s="1" t="s">
        <v>238</v>
      </c>
      <c r="U1394" s="186">
        <v>44979.633125</v>
      </c>
      <c r="V1394" s="1" t="s">
        <v>41</v>
      </c>
      <c r="W1394" s="1" t="s">
        <v>49</v>
      </c>
      <c r="X1394" s="13" t="str">
        <f t="shared" si="97"/>
        <v>0244.91</v>
      </c>
      <c r="Y1394" s="2">
        <f t="shared" ca="1" si="98"/>
        <v>6</v>
      </c>
    </row>
    <row r="1395" spans="1:25" hidden="1">
      <c r="A1395" s="1">
        <v>9501569</v>
      </c>
      <c r="B1395" s="1" t="s">
        <v>1153</v>
      </c>
      <c r="C1395" t="s">
        <v>3870</v>
      </c>
      <c r="D1395" s="2">
        <v>20231689000010</v>
      </c>
      <c r="E1395" s="2">
        <v>7419141892184</v>
      </c>
      <c r="F1395" s="1" t="s">
        <v>128</v>
      </c>
      <c r="G1395" s="1" t="s">
        <v>53</v>
      </c>
      <c r="H1395" s="1" t="s">
        <v>2131</v>
      </c>
      <c r="I1395" s="1" t="s">
        <v>2132</v>
      </c>
      <c r="J1395" s="1" t="s">
        <v>79</v>
      </c>
      <c r="K1395" t="s">
        <v>129</v>
      </c>
      <c r="M1395" s="1" t="s">
        <v>58</v>
      </c>
      <c r="N1395" s="1">
        <v>0</v>
      </c>
      <c r="O1395" s="1" t="s">
        <v>36</v>
      </c>
      <c r="P1395" s="11" t="s">
        <v>3871</v>
      </c>
      <c r="R1395" s="1">
        <v>13</v>
      </c>
      <c r="T1395" s="1" t="s">
        <v>238</v>
      </c>
      <c r="U1395" s="186">
        <v>44979.619814814818</v>
      </c>
      <c r="V1395" s="1" t="s">
        <v>41</v>
      </c>
      <c r="W1395" s="1" t="s">
        <v>49</v>
      </c>
      <c r="X1395" s="13" t="str">
        <f t="shared" si="97"/>
        <v>1689.91</v>
      </c>
      <c r="Y1395" s="2">
        <f t="shared" ca="1" si="98"/>
        <v>6</v>
      </c>
    </row>
    <row r="1396" spans="1:25" hidden="1">
      <c r="A1396" s="1">
        <v>9501466</v>
      </c>
      <c r="B1396" s="1" t="s">
        <v>1153</v>
      </c>
      <c r="C1396" t="s">
        <v>3875</v>
      </c>
      <c r="D1396" s="2">
        <v>20234844000528</v>
      </c>
      <c r="E1396" s="2">
        <v>7419141892255</v>
      </c>
      <c r="F1396" s="1" t="s">
        <v>128</v>
      </c>
      <c r="G1396" s="1" t="s">
        <v>53</v>
      </c>
      <c r="H1396" s="1" t="s">
        <v>2059</v>
      </c>
      <c r="I1396" s="1" t="s">
        <v>2060</v>
      </c>
      <c r="J1396" s="1" t="s">
        <v>46</v>
      </c>
      <c r="K1396" t="s">
        <v>129</v>
      </c>
      <c r="M1396" s="1" t="s">
        <v>58</v>
      </c>
      <c r="N1396" s="1">
        <v>0</v>
      </c>
      <c r="O1396" s="1" t="s">
        <v>36</v>
      </c>
      <c r="P1396" s="11" t="s">
        <v>3876</v>
      </c>
      <c r="R1396" s="1">
        <v>13</v>
      </c>
      <c r="T1396" s="1" t="s">
        <v>238</v>
      </c>
      <c r="U1396" s="186">
        <v>44979.591550925928</v>
      </c>
      <c r="V1396" s="1" t="s">
        <v>41</v>
      </c>
      <c r="W1396" s="1" t="s">
        <v>49</v>
      </c>
      <c r="X1396" s="13" t="str">
        <f t="shared" si="97"/>
        <v>4844.35</v>
      </c>
      <c r="Y1396" s="2">
        <f t="shared" ca="1" si="98"/>
        <v>6</v>
      </c>
    </row>
    <row r="1397" spans="1:25" hidden="1">
      <c r="A1397" s="1">
        <v>9501453</v>
      </c>
      <c r="B1397" s="1" t="s">
        <v>62</v>
      </c>
      <c r="C1397" t="s">
        <v>3877</v>
      </c>
      <c r="E1397" s="2">
        <v>3699000203000</v>
      </c>
      <c r="F1397" s="1" t="s">
        <v>454</v>
      </c>
      <c r="G1397" s="1" t="s">
        <v>53</v>
      </c>
      <c r="H1397" s="1" t="s">
        <v>343</v>
      </c>
      <c r="I1397" s="1" t="s">
        <v>344</v>
      </c>
      <c r="J1397" s="1" t="s">
        <v>46</v>
      </c>
      <c r="K1397" t="s">
        <v>457</v>
      </c>
      <c r="M1397" s="1" t="s">
        <v>58</v>
      </c>
      <c r="N1397" s="1">
        <v>0</v>
      </c>
      <c r="O1397" s="1" t="s">
        <v>105</v>
      </c>
      <c r="P1397" s="11" t="s">
        <v>3878</v>
      </c>
      <c r="R1397" s="1">
        <v>1</v>
      </c>
      <c r="T1397" s="1" t="s">
        <v>157</v>
      </c>
      <c r="U1397" s="186">
        <v>45013.75</v>
      </c>
      <c r="V1397" s="1" t="s">
        <v>41</v>
      </c>
      <c r="W1397" s="1" t="s">
        <v>49</v>
      </c>
      <c r="X1397" s="13" t="str">
        <f t="shared" si="97"/>
        <v/>
      </c>
      <c r="Y1397" s="2">
        <f t="shared" ca="1" si="98"/>
        <v>6</v>
      </c>
    </row>
    <row r="1398" spans="1:25" hidden="1">
      <c r="A1398" s="1">
        <v>9501339</v>
      </c>
      <c r="B1398" s="1" t="s">
        <v>1153</v>
      </c>
      <c r="C1398" t="s">
        <v>3883</v>
      </c>
      <c r="D1398" s="2">
        <v>230031285</v>
      </c>
      <c r="E1398" s="2">
        <v>3504001400020</v>
      </c>
      <c r="F1398" s="1" t="s">
        <v>1961</v>
      </c>
      <c r="G1398" s="1" t="s">
        <v>53</v>
      </c>
      <c r="H1398" s="1" t="s">
        <v>585</v>
      </c>
      <c r="I1398" s="1" t="s">
        <v>586</v>
      </c>
      <c r="J1398" s="1" t="s">
        <v>46</v>
      </c>
      <c r="K1398" t="s">
        <v>1962</v>
      </c>
      <c r="M1398" s="1" t="s">
        <v>58</v>
      </c>
      <c r="N1398" s="1">
        <v>0</v>
      </c>
      <c r="O1398" s="1" t="s">
        <v>36</v>
      </c>
      <c r="P1398" s="11" t="s">
        <v>3884</v>
      </c>
      <c r="R1398" s="1">
        <v>4</v>
      </c>
      <c r="T1398" s="1" t="s">
        <v>646</v>
      </c>
      <c r="U1398" s="186">
        <v>44986.645833333336</v>
      </c>
      <c r="V1398" s="1" t="s">
        <v>41</v>
      </c>
      <c r="W1398" s="1" t="s">
        <v>49</v>
      </c>
      <c r="X1398" s="13" t="str">
        <f t="shared" si="97"/>
        <v/>
      </c>
      <c r="Y1398" s="2">
        <f t="shared" ca="1" si="98"/>
        <v>6</v>
      </c>
    </row>
    <row r="1399" spans="1:25" hidden="1">
      <c r="A1399" s="1">
        <v>9501237</v>
      </c>
      <c r="B1399" s="1" t="s">
        <v>1153</v>
      </c>
      <c r="C1399" t="s">
        <v>3895</v>
      </c>
      <c r="D1399" s="2">
        <v>230031107</v>
      </c>
      <c r="E1399" s="2">
        <v>233001400020</v>
      </c>
      <c r="F1399" s="1" t="s">
        <v>1961</v>
      </c>
      <c r="G1399" s="1" t="s">
        <v>53</v>
      </c>
      <c r="H1399" s="1" t="s">
        <v>424</v>
      </c>
      <c r="I1399" s="1" t="s">
        <v>425</v>
      </c>
      <c r="J1399" s="1" t="s">
        <v>261</v>
      </c>
      <c r="K1399" t="s">
        <v>1962</v>
      </c>
      <c r="M1399" s="1" t="s">
        <v>58</v>
      </c>
      <c r="N1399" s="1">
        <v>0</v>
      </c>
      <c r="O1399" s="1" t="s">
        <v>36</v>
      </c>
      <c r="P1399" s="11" t="s">
        <v>3896</v>
      </c>
      <c r="R1399" s="1">
        <v>4</v>
      </c>
      <c r="T1399" s="1" t="s">
        <v>646</v>
      </c>
      <c r="U1399" s="186">
        <v>44994.729166666664</v>
      </c>
      <c r="V1399" s="1" t="s">
        <v>41</v>
      </c>
      <c r="W1399" s="1" t="s">
        <v>49</v>
      </c>
      <c r="X1399" s="13" t="str">
        <f t="shared" si="97"/>
        <v/>
      </c>
      <c r="Y1399" s="2">
        <f t="shared" ca="1" si="98"/>
        <v>6</v>
      </c>
    </row>
    <row r="1400" spans="1:25" hidden="1">
      <c r="A1400" s="1">
        <v>9500616</v>
      </c>
      <c r="B1400" s="1" t="s">
        <v>1153</v>
      </c>
      <c r="C1400" t="s">
        <v>3909</v>
      </c>
      <c r="D1400" s="2">
        <v>20234844000521</v>
      </c>
      <c r="E1400" s="2">
        <v>7419143322539</v>
      </c>
      <c r="F1400" s="1" t="s">
        <v>1222</v>
      </c>
      <c r="G1400" s="1" t="s">
        <v>53</v>
      </c>
      <c r="H1400" s="1" t="s">
        <v>2357</v>
      </c>
      <c r="I1400" s="1" t="s">
        <v>2358</v>
      </c>
      <c r="J1400" s="1" t="s">
        <v>46</v>
      </c>
      <c r="K1400" t="s">
        <v>1223</v>
      </c>
      <c r="M1400" s="1" t="s">
        <v>58</v>
      </c>
      <c r="N1400" s="1">
        <v>0</v>
      </c>
      <c r="O1400" s="1" t="s">
        <v>105</v>
      </c>
      <c r="P1400" s="11" t="s">
        <v>3910</v>
      </c>
      <c r="R1400" s="1">
        <v>13</v>
      </c>
      <c r="T1400" s="1" t="s">
        <v>238</v>
      </c>
      <c r="U1400" s="186">
        <v>44979.500567129631</v>
      </c>
      <c r="V1400" s="1" t="s">
        <v>41</v>
      </c>
      <c r="W1400" s="1" t="s">
        <v>49</v>
      </c>
      <c r="X1400" s="13" t="str">
        <f t="shared" si="97"/>
        <v>4844.12</v>
      </c>
      <c r="Y1400" s="2">
        <f t="shared" ca="1" si="98"/>
        <v>6</v>
      </c>
    </row>
    <row r="1401" spans="1:25" hidden="1">
      <c r="A1401" s="1">
        <v>9504628</v>
      </c>
      <c r="B1401" s="1" t="s">
        <v>1153</v>
      </c>
      <c r="C1401" t="s">
        <v>4008</v>
      </c>
      <c r="D1401" s="2">
        <v>20234844000554</v>
      </c>
      <c r="E1401" s="2">
        <v>7417161480607</v>
      </c>
      <c r="F1401" s="1" t="s">
        <v>1979</v>
      </c>
      <c r="G1401" s="1" t="s">
        <v>53</v>
      </c>
      <c r="H1401" s="1" t="s">
        <v>2333</v>
      </c>
      <c r="I1401" s="1" t="s">
        <v>2334</v>
      </c>
      <c r="J1401" s="1" t="s">
        <v>46</v>
      </c>
      <c r="K1401" t="s">
        <v>1982</v>
      </c>
      <c r="M1401" s="1" t="s">
        <v>58</v>
      </c>
      <c r="N1401" s="1">
        <v>0</v>
      </c>
      <c r="O1401" s="1" t="s">
        <v>36</v>
      </c>
      <c r="P1401" s="186">
        <v>44980.679212962961</v>
      </c>
      <c r="R1401" s="1">
        <v>13</v>
      </c>
      <c r="T1401" s="1" t="s">
        <v>238</v>
      </c>
      <c r="U1401" s="186">
        <v>44980.679212962961</v>
      </c>
      <c r="V1401" s="1" t="s">
        <v>41</v>
      </c>
      <c r="W1401" s="1" t="s">
        <v>49</v>
      </c>
      <c r="X1401" s="13" t="str">
        <f t="shared" si="97"/>
        <v>4844.25</v>
      </c>
      <c r="Y1401" s="2">
        <f t="shared" ca="1" si="98"/>
        <v>5</v>
      </c>
    </row>
    <row r="1402" spans="1:25" hidden="1">
      <c r="A1402" s="1">
        <v>9504341</v>
      </c>
      <c r="B1402" s="1" t="s">
        <v>1153</v>
      </c>
      <c r="C1402" t="s">
        <v>4009</v>
      </c>
      <c r="D1402" s="2">
        <v>20231764000001</v>
      </c>
      <c r="E1402" s="2">
        <v>7417183025968</v>
      </c>
      <c r="F1402" s="1" t="s">
        <v>1313</v>
      </c>
      <c r="G1402" s="1" t="s">
        <v>53</v>
      </c>
      <c r="H1402" s="1" t="s">
        <v>4010</v>
      </c>
      <c r="I1402" s="1" t="s">
        <v>4011</v>
      </c>
      <c r="J1402" s="1" t="s">
        <v>90</v>
      </c>
      <c r="K1402" t="s">
        <v>1316</v>
      </c>
      <c r="M1402" s="1" t="s">
        <v>58</v>
      </c>
      <c r="N1402" s="1">
        <v>0</v>
      </c>
      <c r="O1402" s="1" t="s">
        <v>105</v>
      </c>
      <c r="P1402" s="186">
        <v>44980.662928240738</v>
      </c>
      <c r="R1402" s="1">
        <v>14</v>
      </c>
      <c r="T1402" s="1" t="s">
        <v>238</v>
      </c>
      <c r="U1402" s="186">
        <v>44980.662928240738</v>
      </c>
      <c r="V1402" s="1" t="s">
        <v>41</v>
      </c>
      <c r="W1402" s="1" t="s">
        <v>49</v>
      </c>
      <c r="X1402" s="13" t="str">
        <f t="shared" ref="X1402:X1465" si="99">IF(RIGHT(H1402,2)&lt;&gt;"00",H1402,"")</f>
        <v>1764.91</v>
      </c>
      <c r="Y1402" s="2">
        <f t="shared" ref="Y1402:Y1465" ca="1" si="100">NETWORKDAYS(P1402,$Y$1)</f>
        <v>5</v>
      </c>
    </row>
    <row r="1403" spans="1:25" hidden="1">
      <c r="A1403" s="1">
        <v>9504340</v>
      </c>
      <c r="B1403" s="1" t="s">
        <v>1153</v>
      </c>
      <c r="C1403" t="s">
        <v>4012</v>
      </c>
      <c r="D1403" s="2">
        <v>20238889000072</v>
      </c>
      <c r="E1403" s="2">
        <v>7417163280453</v>
      </c>
      <c r="F1403" s="1" t="s">
        <v>131</v>
      </c>
      <c r="G1403" s="1" t="s">
        <v>53</v>
      </c>
      <c r="H1403" s="1" t="s">
        <v>4013</v>
      </c>
      <c r="I1403" s="1" t="s">
        <v>4014</v>
      </c>
      <c r="J1403" s="1" t="s">
        <v>33</v>
      </c>
      <c r="K1403" t="s">
        <v>132</v>
      </c>
      <c r="M1403" s="1" t="s">
        <v>58</v>
      </c>
      <c r="N1403" s="1">
        <v>0</v>
      </c>
      <c r="O1403" s="1" t="s">
        <v>105</v>
      </c>
      <c r="P1403" s="186">
        <v>44980.662638888891</v>
      </c>
      <c r="R1403" s="1">
        <v>14</v>
      </c>
      <c r="T1403" s="1" t="s">
        <v>238</v>
      </c>
      <c r="U1403" s="186">
        <v>44980.662638888891</v>
      </c>
      <c r="V1403" s="1" t="s">
        <v>41</v>
      </c>
      <c r="W1403" s="1" t="s">
        <v>42</v>
      </c>
      <c r="X1403" s="13" t="str">
        <f t="shared" si="99"/>
        <v>8889.01</v>
      </c>
      <c r="Y1403" s="2">
        <f t="shared" ca="1" si="100"/>
        <v>5</v>
      </c>
    </row>
    <row r="1404" spans="1:25" hidden="1">
      <c r="A1404" s="1">
        <v>9504291</v>
      </c>
      <c r="B1404" s="1" t="s">
        <v>1153</v>
      </c>
      <c r="C1404" t="s">
        <v>4200</v>
      </c>
      <c r="E1404" s="2">
        <v>9700000206001</v>
      </c>
      <c r="F1404" s="1" t="s">
        <v>29</v>
      </c>
      <c r="G1404" s="1" t="s">
        <v>53</v>
      </c>
      <c r="H1404" s="1" t="s">
        <v>209</v>
      </c>
      <c r="I1404" s="1" t="s">
        <v>210</v>
      </c>
      <c r="J1404" s="1" t="s">
        <v>211</v>
      </c>
      <c r="K1404" t="s">
        <v>34</v>
      </c>
      <c r="M1404" s="1" t="s">
        <v>35</v>
      </c>
      <c r="N1404" s="1">
        <v>42318949</v>
      </c>
      <c r="O1404" s="1" t="s">
        <v>36</v>
      </c>
      <c r="P1404" s="186">
        <v>44980.66369212963</v>
      </c>
      <c r="R1404" s="1" t="s">
        <v>38</v>
      </c>
      <c r="T1404" s="1" t="s">
        <v>74</v>
      </c>
      <c r="U1404" s="186">
        <v>44991.708333333336</v>
      </c>
      <c r="V1404" s="1" t="s">
        <v>41</v>
      </c>
      <c r="W1404" s="1" t="s">
        <v>49</v>
      </c>
      <c r="X1404" s="13" t="str">
        <f t="shared" si="99"/>
        <v/>
      </c>
      <c r="Y1404" s="2">
        <f t="shared" ca="1" si="100"/>
        <v>5</v>
      </c>
    </row>
    <row r="1405" spans="1:25" hidden="1">
      <c r="A1405" s="1">
        <v>9504030</v>
      </c>
      <c r="B1405" s="1" t="s">
        <v>1153</v>
      </c>
      <c r="C1405" t="s">
        <v>4018</v>
      </c>
      <c r="D1405" s="2">
        <v>230032130</v>
      </c>
      <c r="E1405" s="2">
        <v>1814001400020</v>
      </c>
      <c r="F1405" s="1" t="s">
        <v>1961</v>
      </c>
      <c r="G1405" s="1" t="s">
        <v>53</v>
      </c>
      <c r="H1405" s="1" t="s">
        <v>396</v>
      </c>
      <c r="I1405" s="1" t="s">
        <v>397</v>
      </c>
      <c r="J1405" s="1" t="s">
        <v>46</v>
      </c>
      <c r="K1405" t="s">
        <v>1962</v>
      </c>
      <c r="M1405" s="1" t="s">
        <v>58</v>
      </c>
      <c r="N1405" s="1">
        <v>0</v>
      </c>
      <c r="O1405" s="1" t="s">
        <v>36</v>
      </c>
      <c r="P1405" s="186">
        <v>44980.605555555558</v>
      </c>
      <c r="R1405" s="1">
        <v>4</v>
      </c>
      <c r="T1405" s="1" t="s">
        <v>646</v>
      </c>
      <c r="U1405" s="186">
        <v>44986.604166666664</v>
      </c>
      <c r="V1405" s="1" t="s">
        <v>41</v>
      </c>
      <c r="W1405" s="1" t="s">
        <v>49</v>
      </c>
      <c r="X1405" s="13" t="str">
        <f t="shared" si="99"/>
        <v/>
      </c>
      <c r="Y1405" s="2">
        <f t="shared" ca="1" si="100"/>
        <v>5</v>
      </c>
    </row>
    <row r="1406" spans="1:25" hidden="1">
      <c r="A1406" s="1">
        <v>9503979</v>
      </c>
      <c r="B1406" s="1" t="s">
        <v>1153</v>
      </c>
      <c r="C1406" t="s">
        <v>2366</v>
      </c>
      <c r="D1406" s="2">
        <v>20238935000001</v>
      </c>
      <c r="E1406" s="2">
        <v>7417202239393</v>
      </c>
      <c r="F1406" s="1" t="s">
        <v>2819</v>
      </c>
      <c r="G1406" s="1" t="s">
        <v>53</v>
      </c>
      <c r="H1406" s="1" t="s">
        <v>4020</v>
      </c>
      <c r="I1406" s="1" t="s">
        <v>4021</v>
      </c>
      <c r="J1406" s="1" t="s">
        <v>46</v>
      </c>
      <c r="K1406" t="s">
        <v>2820</v>
      </c>
      <c r="M1406" s="1" t="s">
        <v>58</v>
      </c>
      <c r="N1406" s="1">
        <v>0</v>
      </c>
      <c r="O1406" s="1" t="s">
        <v>36</v>
      </c>
      <c r="P1406" s="186">
        <v>44980.57471064815</v>
      </c>
      <c r="R1406" s="1">
        <v>22</v>
      </c>
      <c r="T1406" s="1" t="s">
        <v>1160</v>
      </c>
      <c r="U1406" s="186">
        <v>44985.408043981479</v>
      </c>
      <c r="V1406" s="1" t="s">
        <v>41</v>
      </c>
      <c r="W1406" s="1" t="s">
        <v>49</v>
      </c>
      <c r="X1406" s="13" t="str">
        <f t="shared" si="99"/>
        <v>8935.01</v>
      </c>
      <c r="Y1406" s="2">
        <f t="shared" ca="1" si="100"/>
        <v>5</v>
      </c>
    </row>
    <row r="1407" spans="1:25" hidden="1">
      <c r="A1407" s="1">
        <v>9503828</v>
      </c>
      <c r="B1407" s="1" t="s">
        <v>1153</v>
      </c>
      <c r="C1407" t="s">
        <v>4024</v>
      </c>
      <c r="D1407" s="2">
        <v>20234923000077</v>
      </c>
      <c r="E1407" s="2">
        <v>7417161480617</v>
      </c>
      <c r="F1407" s="1" t="s">
        <v>1979</v>
      </c>
      <c r="G1407" s="1" t="s">
        <v>53</v>
      </c>
      <c r="H1407" s="1" t="s">
        <v>2870</v>
      </c>
      <c r="I1407" s="1" t="s">
        <v>2871</v>
      </c>
      <c r="J1407" s="1" t="s">
        <v>46</v>
      </c>
      <c r="K1407" t="s">
        <v>1982</v>
      </c>
      <c r="M1407" s="1" t="s">
        <v>58</v>
      </c>
      <c r="N1407" s="1">
        <v>0</v>
      </c>
      <c r="O1407" s="1" t="s">
        <v>105</v>
      </c>
      <c r="P1407" s="186">
        <v>44980.537245370368</v>
      </c>
      <c r="R1407" s="1">
        <v>13</v>
      </c>
      <c r="T1407" s="1" t="s">
        <v>238</v>
      </c>
      <c r="U1407" s="186">
        <v>44980.537245370368</v>
      </c>
      <c r="V1407" s="1" t="s">
        <v>41</v>
      </c>
      <c r="W1407" s="1" t="s">
        <v>49</v>
      </c>
      <c r="X1407" s="13" t="str">
        <f t="shared" si="99"/>
        <v>4923.04</v>
      </c>
      <c r="Y1407" s="2">
        <f t="shared" ca="1" si="100"/>
        <v>5</v>
      </c>
    </row>
    <row r="1408" spans="1:25" hidden="1">
      <c r="A1408" s="1">
        <v>9503682</v>
      </c>
      <c r="B1408" s="1" t="s">
        <v>1153</v>
      </c>
      <c r="C1408" t="s">
        <v>4025</v>
      </c>
      <c r="D1408" s="2">
        <v>20234923000076</v>
      </c>
      <c r="E1408" s="2">
        <v>7419143323427</v>
      </c>
      <c r="F1408" s="1" t="s">
        <v>1222</v>
      </c>
      <c r="G1408" s="1" t="s">
        <v>53</v>
      </c>
      <c r="H1408" s="1" t="s">
        <v>2682</v>
      </c>
      <c r="I1408" s="1" t="s">
        <v>2683</v>
      </c>
      <c r="J1408" s="1" t="s">
        <v>46</v>
      </c>
      <c r="K1408" t="s">
        <v>1223</v>
      </c>
      <c r="M1408" s="1" t="s">
        <v>58</v>
      </c>
      <c r="N1408" s="1">
        <v>0</v>
      </c>
      <c r="O1408" s="1" t="s">
        <v>105</v>
      </c>
      <c r="P1408" s="186">
        <v>44980.509918981479</v>
      </c>
      <c r="R1408" s="1">
        <v>13</v>
      </c>
      <c r="T1408" s="1" t="s">
        <v>238</v>
      </c>
      <c r="U1408" s="186">
        <v>44980.509918981479</v>
      </c>
      <c r="V1408" s="1" t="s">
        <v>41</v>
      </c>
      <c r="W1408" s="1" t="s">
        <v>49</v>
      </c>
      <c r="X1408" s="13" t="str">
        <f t="shared" si="99"/>
        <v>4923.02</v>
      </c>
      <c r="Y1408" s="2">
        <f t="shared" ca="1" si="100"/>
        <v>5</v>
      </c>
    </row>
    <row r="1409" spans="1:25" hidden="1">
      <c r="A1409" s="1">
        <v>9503637</v>
      </c>
      <c r="B1409" s="1" t="s">
        <v>1153</v>
      </c>
      <c r="C1409" t="s">
        <v>4026</v>
      </c>
      <c r="D1409" s="2">
        <v>20234923000075</v>
      </c>
      <c r="E1409" s="2">
        <v>7417163283700</v>
      </c>
      <c r="F1409" s="1" t="s">
        <v>131</v>
      </c>
      <c r="G1409" s="1" t="s">
        <v>53</v>
      </c>
      <c r="H1409" s="1" t="s">
        <v>2685</v>
      </c>
      <c r="I1409" s="1" t="s">
        <v>2686</v>
      </c>
      <c r="J1409" s="1" t="s">
        <v>46</v>
      </c>
      <c r="K1409" t="s">
        <v>132</v>
      </c>
      <c r="M1409" s="1" t="s">
        <v>58</v>
      </c>
      <c r="N1409" s="1">
        <v>0</v>
      </c>
      <c r="O1409" s="1" t="s">
        <v>105</v>
      </c>
      <c r="P1409" s="186">
        <v>44980.500590277778</v>
      </c>
      <c r="R1409" s="1">
        <v>14</v>
      </c>
      <c r="T1409" s="1" t="s">
        <v>238</v>
      </c>
      <c r="U1409" s="186">
        <v>44980.500590277778</v>
      </c>
      <c r="V1409" s="1" t="s">
        <v>41</v>
      </c>
      <c r="W1409" s="1" t="s">
        <v>49</v>
      </c>
      <c r="X1409" s="13" t="str">
        <f t="shared" si="99"/>
        <v>4923.03</v>
      </c>
      <c r="Y1409" s="2">
        <f t="shared" ca="1" si="100"/>
        <v>5</v>
      </c>
    </row>
    <row r="1410" spans="1:25" hidden="1">
      <c r="A1410" s="1">
        <v>9503387</v>
      </c>
      <c r="B1410" s="1" t="s">
        <v>1153</v>
      </c>
      <c r="C1410" t="s">
        <v>4030</v>
      </c>
      <c r="D1410" s="2">
        <v>20234844000546</v>
      </c>
      <c r="E1410" s="2">
        <v>7417183020657</v>
      </c>
      <c r="F1410" s="1" t="s">
        <v>1313</v>
      </c>
      <c r="G1410" s="1" t="s">
        <v>53</v>
      </c>
      <c r="H1410" s="1" t="s">
        <v>2357</v>
      </c>
      <c r="I1410" s="1" t="s">
        <v>2358</v>
      </c>
      <c r="J1410" s="1" t="s">
        <v>46</v>
      </c>
      <c r="K1410" t="s">
        <v>1316</v>
      </c>
      <c r="M1410" s="1" t="s">
        <v>58</v>
      </c>
      <c r="N1410" s="1">
        <v>0</v>
      </c>
      <c r="O1410" s="1" t="s">
        <v>36</v>
      </c>
      <c r="P1410" s="186">
        <v>44980.456979166665</v>
      </c>
      <c r="R1410" s="1">
        <v>13</v>
      </c>
      <c r="T1410" s="1" t="s">
        <v>238</v>
      </c>
      <c r="U1410" s="186">
        <v>44980.456979166665</v>
      </c>
      <c r="V1410" s="1" t="s">
        <v>41</v>
      </c>
      <c r="W1410" s="1" t="s">
        <v>49</v>
      </c>
      <c r="X1410" s="13" t="str">
        <f t="shared" si="99"/>
        <v>4844.12</v>
      </c>
      <c r="Y1410" s="2">
        <f t="shared" ca="1" si="100"/>
        <v>5</v>
      </c>
    </row>
    <row r="1411" spans="1:25" hidden="1">
      <c r="A1411" s="1">
        <v>9503385</v>
      </c>
      <c r="B1411" s="1" t="s">
        <v>1153</v>
      </c>
      <c r="C1411" t="s">
        <v>4031</v>
      </c>
      <c r="D1411" s="2">
        <v>20234844000545</v>
      </c>
      <c r="E1411" s="2">
        <v>7417183022062</v>
      </c>
      <c r="F1411" s="1" t="s">
        <v>1313</v>
      </c>
      <c r="G1411" s="1" t="s">
        <v>53</v>
      </c>
      <c r="H1411" s="1" t="s">
        <v>2357</v>
      </c>
      <c r="I1411" s="1" t="s">
        <v>2358</v>
      </c>
      <c r="J1411" s="1" t="s">
        <v>46</v>
      </c>
      <c r="K1411" t="s">
        <v>1316</v>
      </c>
      <c r="M1411" s="1" t="s">
        <v>58</v>
      </c>
      <c r="N1411" s="1">
        <v>0</v>
      </c>
      <c r="O1411" s="1" t="s">
        <v>36</v>
      </c>
      <c r="P1411" s="186">
        <v>44980.456273148149</v>
      </c>
      <c r="R1411" s="1">
        <v>13</v>
      </c>
      <c r="T1411" s="1" t="s">
        <v>238</v>
      </c>
      <c r="U1411" s="186">
        <v>44980.456273148149</v>
      </c>
      <c r="V1411" s="1" t="s">
        <v>41</v>
      </c>
      <c r="W1411" s="1" t="s">
        <v>49</v>
      </c>
      <c r="X1411" s="13" t="str">
        <f t="shared" si="99"/>
        <v>4844.12</v>
      </c>
      <c r="Y1411" s="2">
        <f t="shared" ca="1" si="100"/>
        <v>5</v>
      </c>
    </row>
    <row r="1412" spans="1:25" hidden="1">
      <c r="A1412" s="1">
        <v>9503382</v>
      </c>
      <c r="B1412" s="1" t="s">
        <v>1153</v>
      </c>
      <c r="C1412" t="s">
        <v>4033</v>
      </c>
      <c r="D1412" s="2">
        <v>20234844000543</v>
      </c>
      <c r="E1412" s="2">
        <v>7417161480625</v>
      </c>
      <c r="F1412" s="1" t="s">
        <v>1979</v>
      </c>
      <c r="G1412" s="1" t="s">
        <v>53</v>
      </c>
      <c r="H1412" s="1" t="s">
        <v>2087</v>
      </c>
      <c r="I1412" s="1" t="s">
        <v>2088</v>
      </c>
      <c r="J1412" s="1" t="s">
        <v>46</v>
      </c>
      <c r="K1412" t="s">
        <v>1982</v>
      </c>
      <c r="M1412" s="1" t="s">
        <v>58</v>
      </c>
      <c r="N1412" s="1">
        <v>0</v>
      </c>
      <c r="O1412" s="1" t="s">
        <v>105</v>
      </c>
      <c r="P1412" s="186">
        <v>44980.450208333335</v>
      </c>
      <c r="R1412" s="1">
        <v>13</v>
      </c>
      <c r="T1412" s="1" t="s">
        <v>238</v>
      </c>
      <c r="U1412" s="186">
        <v>44980.450208333335</v>
      </c>
      <c r="V1412" s="1" t="s">
        <v>41</v>
      </c>
      <c r="W1412" s="1" t="s">
        <v>49</v>
      </c>
      <c r="X1412" s="13" t="str">
        <f t="shared" si="99"/>
        <v>4844.13</v>
      </c>
      <c r="Y1412" s="2">
        <f t="shared" ca="1" si="100"/>
        <v>5</v>
      </c>
    </row>
    <row r="1413" spans="1:25" hidden="1">
      <c r="A1413" s="1">
        <v>9503381</v>
      </c>
      <c r="B1413" s="1" t="s">
        <v>1153</v>
      </c>
      <c r="C1413" t="s">
        <v>4201</v>
      </c>
      <c r="D1413" s="2">
        <v>20234844000542</v>
      </c>
      <c r="E1413" s="2">
        <v>7417163282357</v>
      </c>
      <c r="F1413" s="1" t="s">
        <v>131</v>
      </c>
      <c r="G1413" s="1" t="s">
        <v>53</v>
      </c>
      <c r="H1413" s="1" t="s">
        <v>2478</v>
      </c>
      <c r="I1413" s="1" t="s">
        <v>2479</v>
      </c>
      <c r="J1413" s="1" t="s">
        <v>46</v>
      </c>
      <c r="K1413" t="s">
        <v>132</v>
      </c>
      <c r="M1413" s="1" t="s">
        <v>58</v>
      </c>
      <c r="N1413" s="1">
        <v>0</v>
      </c>
      <c r="O1413" s="1" t="s">
        <v>36</v>
      </c>
      <c r="P1413" s="186">
        <v>44980.449548611112</v>
      </c>
      <c r="R1413" s="1">
        <v>13</v>
      </c>
      <c r="T1413" s="1" t="s">
        <v>238</v>
      </c>
      <c r="U1413" s="186">
        <v>44980.449548611112</v>
      </c>
      <c r="V1413" s="1" t="s">
        <v>41</v>
      </c>
      <c r="W1413" s="1" t="s">
        <v>49</v>
      </c>
      <c r="X1413" s="13" t="str">
        <f t="shared" si="99"/>
        <v>4844.38</v>
      </c>
      <c r="Y1413" s="2">
        <f t="shared" ca="1" si="100"/>
        <v>5</v>
      </c>
    </row>
    <row r="1414" spans="1:25" hidden="1">
      <c r="A1414" s="1">
        <v>9503278</v>
      </c>
      <c r="B1414" s="1" t="s">
        <v>1153</v>
      </c>
      <c r="C1414" t="s">
        <v>4202</v>
      </c>
      <c r="E1414" s="2">
        <v>9705000206021</v>
      </c>
      <c r="F1414" s="1" t="s">
        <v>103</v>
      </c>
      <c r="G1414" s="1" t="s">
        <v>53</v>
      </c>
      <c r="H1414" s="1" t="s">
        <v>204</v>
      </c>
      <c r="I1414" s="1" t="s">
        <v>205</v>
      </c>
      <c r="J1414" s="1" t="s">
        <v>90</v>
      </c>
      <c r="K1414" t="s">
        <v>104</v>
      </c>
      <c r="M1414" s="1" t="s">
        <v>58</v>
      </c>
      <c r="N1414" s="1">
        <v>0</v>
      </c>
      <c r="O1414" s="1" t="s">
        <v>36</v>
      </c>
      <c r="P1414" s="186">
        <v>44980.456018518518</v>
      </c>
      <c r="R1414" s="1" t="s">
        <v>38</v>
      </c>
      <c r="T1414" s="1" t="s">
        <v>74</v>
      </c>
      <c r="U1414" s="186">
        <v>44991.458333333336</v>
      </c>
      <c r="V1414" s="1" t="s">
        <v>41</v>
      </c>
      <c r="W1414" s="1" t="s">
        <v>49</v>
      </c>
      <c r="X1414" s="13" t="str">
        <f t="shared" si="99"/>
        <v/>
      </c>
      <c r="Y1414" s="2">
        <f t="shared" ca="1" si="100"/>
        <v>5</v>
      </c>
    </row>
    <row r="1415" spans="1:25" hidden="1">
      <c r="A1415" s="1">
        <v>9503267</v>
      </c>
      <c r="B1415" s="1" t="s">
        <v>1153</v>
      </c>
      <c r="C1415" t="s">
        <v>4040</v>
      </c>
      <c r="D1415" s="2">
        <v>20230196000013</v>
      </c>
      <c r="E1415" s="2">
        <v>7419152432339</v>
      </c>
      <c r="F1415" s="1" t="s">
        <v>2744</v>
      </c>
      <c r="G1415" s="1" t="s">
        <v>53</v>
      </c>
      <c r="H1415" s="1" t="s">
        <v>1060</v>
      </c>
      <c r="I1415" s="1" t="s">
        <v>1061</v>
      </c>
      <c r="J1415" s="1" t="s">
        <v>79</v>
      </c>
      <c r="K1415" t="s">
        <v>2745</v>
      </c>
      <c r="M1415" s="1" t="s">
        <v>58</v>
      </c>
      <c r="N1415" s="1">
        <v>0</v>
      </c>
      <c r="O1415" s="1" t="s">
        <v>105</v>
      </c>
      <c r="P1415" s="186">
        <v>44980.447581018518</v>
      </c>
      <c r="R1415" s="1">
        <v>22</v>
      </c>
      <c r="T1415" s="1" t="s">
        <v>1160</v>
      </c>
      <c r="U1415" s="186">
        <v>44984.655914351853</v>
      </c>
      <c r="V1415" s="1" t="s">
        <v>41</v>
      </c>
      <c r="W1415" s="1" t="s">
        <v>49</v>
      </c>
      <c r="X1415" s="13" t="str">
        <f t="shared" si="99"/>
        <v/>
      </c>
      <c r="Y1415" s="2">
        <f t="shared" ca="1" si="100"/>
        <v>5</v>
      </c>
    </row>
    <row r="1416" spans="1:25" hidden="1">
      <c r="A1416" s="1">
        <v>9503266</v>
      </c>
      <c r="B1416" s="1" t="s">
        <v>1153</v>
      </c>
      <c r="C1416" t="s">
        <v>4041</v>
      </c>
      <c r="D1416" s="2">
        <v>20231011000005</v>
      </c>
      <c r="E1416" s="2">
        <v>7417192425878</v>
      </c>
      <c r="F1416" s="1" t="s">
        <v>1727</v>
      </c>
      <c r="G1416" s="1" t="s">
        <v>53</v>
      </c>
      <c r="H1416" s="1" t="s">
        <v>272</v>
      </c>
      <c r="I1416" s="1" t="s">
        <v>273</v>
      </c>
      <c r="J1416" s="1" t="s">
        <v>33</v>
      </c>
      <c r="K1416" t="s">
        <v>1728</v>
      </c>
      <c r="M1416" s="1" t="s">
        <v>58</v>
      </c>
      <c r="N1416" s="1">
        <v>0</v>
      </c>
      <c r="O1416" s="1" t="s">
        <v>105</v>
      </c>
      <c r="P1416" s="186">
        <v>44980.440057870372</v>
      </c>
      <c r="R1416" s="1">
        <v>22</v>
      </c>
      <c r="T1416" s="1" t="s">
        <v>1160</v>
      </c>
      <c r="U1416" s="186">
        <v>44984.6483912037</v>
      </c>
      <c r="V1416" s="1" t="s">
        <v>41</v>
      </c>
      <c r="W1416" s="1" t="s">
        <v>49</v>
      </c>
      <c r="X1416" s="13" t="str">
        <f t="shared" si="99"/>
        <v/>
      </c>
      <c r="Y1416" s="2">
        <f t="shared" ca="1" si="100"/>
        <v>5</v>
      </c>
    </row>
    <row r="1417" spans="1:25" hidden="1">
      <c r="A1417" s="1">
        <v>9503264</v>
      </c>
      <c r="B1417" s="1" t="s">
        <v>1153</v>
      </c>
      <c r="C1417" t="s">
        <v>4042</v>
      </c>
      <c r="D1417" s="2">
        <v>20231359000005</v>
      </c>
      <c r="E1417" s="2">
        <v>7417172787853</v>
      </c>
      <c r="F1417" s="1" t="s">
        <v>1989</v>
      </c>
      <c r="G1417" s="1" t="s">
        <v>53</v>
      </c>
      <c r="H1417" s="1" t="s">
        <v>270</v>
      </c>
      <c r="I1417" s="1" t="s">
        <v>271</v>
      </c>
      <c r="J1417" s="1" t="s">
        <v>141</v>
      </c>
      <c r="K1417" t="s">
        <v>1990</v>
      </c>
      <c r="M1417" s="1" t="s">
        <v>58</v>
      </c>
      <c r="N1417" s="1">
        <v>0</v>
      </c>
      <c r="O1417" s="1" t="s">
        <v>105</v>
      </c>
      <c r="P1417" s="186">
        <v>44980.445856481485</v>
      </c>
      <c r="R1417" s="1">
        <v>22</v>
      </c>
      <c r="T1417" s="1" t="s">
        <v>1160</v>
      </c>
      <c r="U1417" s="186">
        <v>44984.654189814813</v>
      </c>
      <c r="V1417" s="1" t="s">
        <v>41</v>
      </c>
      <c r="W1417" s="1" t="s">
        <v>49</v>
      </c>
      <c r="X1417" s="13" t="str">
        <f t="shared" si="99"/>
        <v/>
      </c>
      <c r="Y1417" s="2">
        <f t="shared" ca="1" si="100"/>
        <v>5</v>
      </c>
    </row>
    <row r="1418" spans="1:25" hidden="1">
      <c r="A1418" s="1">
        <v>9503225</v>
      </c>
      <c r="B1418" s="1" t="s">
        <v>1153</v>
      </c>
      <c r="C1418" t="s">
        <v>4043</v>
      </c>
      <c r="D1418" s="2">
        <v>230031738</v>
      </c>
      <c r="E1418" s="2">
        <v>1620001400030</v>
      </c>
      <c r="F1418" s="1" t="s">
        <v>647</v>
      </c>
      <c r="G1418" s="1" t="s">
        <v>53</v>
      </c>
      <c r="H1418" s="1" t="s">
        <v>402</v>
      </c>
      <c r="I1418" s="1" t="s">
        <v>403</v>
      </c>
      <c r="J1418" s="1" t="s">
        <v>46</v>
      </c>
      <c r="K1418" t="s">
        <v>650</v>
      </c>
      <c r="M1418" s="1" t="s">
        <v>58</v>
      </c>
      <c r="N1418" s="1">
        <v>0</v>
      </c>
      <c r="O1418" s="1" t="s">
        <v>36</v>
      </c>
      <c r="P1418" s="186">
        <v>44980.445694444446</v>
      </c>
      <c r="R1418" s="1">
        <v>4</v>
      </c>
      <c r="T1418" s="1" t="s">
        <v>646</v>
      </c>
      <c r="U1418" s="186">
        <v>44991.645833333336</v>
      </c>
      <c r="V1418" s="1" t="s">
        <v>41</v>
      </c>
      <c r="W1418" s="1" t="s">
        <v>49</v>
      </c>
      <c r="X1418" s="13" t="str">
        <f t="shared" si="99"/>
        <v/>
      </c>
      <c r="Y1418" s="2">
        <f t="shared" ca="1" si="100"/>
        <v>5</v>
      </c>
    </row>
    <row r="1419" spans="1:25" hidden="1">
      <c r="A1419" s="1">
        <v>9503214</v>
      </c>
      <c r="B1419" s="1" t="s">
        <v>1153</v>
      </c>
      <c r="C1419" t="s">
        <v>4043</v>
      </c>
      <c r="D1419" s="2">
        <v>230031745</v>
      </c>
      <c r="E1419" s="2">
        <v>2039001400030</v>
      </c>
      <c r="F1419" s="1" t="s">
        <v>647</v>
      </c>
      <c r="G1419" s="1" t="s">
        <v>53</v>
      </c>
      <c r="H1419" s="1" t="s">
        <v>1943</v>
      </c>
      <c r="I1419" s="1" t="s">
        <v>1944</v>
      </c>
      <c r="J1419" s="1" t="s">
        <v>110</v>
      </c>
      <c r="K1419" t="s">
        <v>650</v>
      </c>
      <c r="M1419" s="1" t="s">
        <v>58</v>
      </c>
      <c r="N1419" s="1">
        <v>0</v>
      </c>
      <c r="O1419" s="1" t="s">
        <v>36</v>
      </c>
      <c r="P1419" s="186">
        <v>44980.445138888892</v>
      </c>
      <c r="R1419" s="1">
        <v>4</v>
      </c>
      <c r="T1419" s="1" t="s">
        <v>646</v>
      </c>
      <c r="U1419" s="186">
        <v>44981.46597222222</v>
      </c>
      <c r="V1419" s="1" t="s">
        <v>41</v>
      </c>
      <c r="W1419" s="1" t="s">
        <v>49</v>
      </c>
      <c r="X1419" s="13" t="str">
        <f t="shared" si="99"/>
        <v/>
      </c>
      <c r="Y1419" s="2">
        <f t="shared" ca="1" si="100"/>
        <v>5</v>
      </c>
    </row>
    <row r="1420" spans="1:25" hidden="1">
      <c r="A1420" s="1">
        <v>9503207</v>
      </c>
      <c r="B1420" s="1" t="s">
        <v>1153</v>
      </c>
      <c r="C1420" t="s">
        <v>4044</v>
      </c>
      <c r="D1420" s="2">
        <v>20234844000540</v>
      </c>
      <c r="E1420" s="2">
        <v>7417161481978</v>
      </c>
      <c r="F1420" s="1" t="s">
        <v>1979</v>
      </c>
      <c r="G1420" s="1" t="s">
        <v>53</v>
      </c>
      <c r="H1420" s="1" t="s">
        <v>2083</v>
      </c>
      <c r="I1420" s="1" t="s">
        <v>2084</v>
      </c>
      <c r="J1420" s="1" t="s">
        <v>46</v>
      </c>
      <c r="K1420" t="s">
        <v>1982</v>
      </c>
      <c r="M1420" s="1" t="s">
        <v>58</v>
      </c>
      <c r="N1420" s="1">
        <v>0</v>
      </c>
      <c r="O1420" s="1" t="s">
        <v>36</v>
      </c>
      <c r="P1420" s="186">
        <v>44980.427766203706</v>
      </c>
      <c r="R1420" s="1">
        <v>13</v>
      </c>
      <c r="T1420" s="1" t="s">
        <v>238</v>
      </c>
      <c r="U1420" s="186">
        <v>44980.427766203706</v>
      </c>
      <c r="V1420" s="1" t="s">
        <v>41</v>
      </c>
      <c r="W1420" s="1" t="s">
        <v>49</v>
      </c>
      <c r="X1420" s="13" t="str">
        <f t="shared" si="99"/>
        <v>4844.39</v>
      </c>
      <c r="Y1420" s="2">
        <f t="shared" ca="1" si="100"/>
        <v>5</v>
      </c>
    </row>
    <row r="1421" spans="1:25" hidden="1">
      <c r="A1421" s="1">
        <v>9502654</v>
      </c>
      <c r="B1421" s="1" t="s">
        <v>1153</v>
      </c>
      <c r="C1421" t="s">
        <v>3955</v>
      </c>
      <c r="D1421" s="2">
        <v>20234804001850</v>
      </c>
      <c r="E1421" s="2">
        <v>7419141893217</v>
      </c>
      <c r="F1421" s="1" t="s">
        <v>128</v>
      </c>
      <c r="G1421" s="1" t="s">
        <v>53</v>
      </c>
      <c r="H1421" s="1" t="s">
        <v>3956</v>
      </c>
      <c r="I1421" s="1" t="s">
        <v>3957</v>
      </c>
      <c r="J1421" s="1" t="s">
        <v>46</v>
      </c>
      <c r="K1421" t="s">
        <v>129</v>
      </c>
      <c r="M1421" s="1" t="s">
        <v>58</v>
      </c>
      <c r="N1421" s="1">
        <v>0</v>
      </c>
      <c r="O1421" s="1" t="s">
        <v>36</v>
      </c>
      <c r="P1421" s="186">
        <v>44980.331469907411</v>
      </c>
      <c r="R1421" s="1">
        <v>12</v>
      </c>
      <c r="S1421" s="1">
        <v>4804</v>
      </c>
      <c r="T1421" s="1" t="s">
        <v>238</v>
      </c>
      <c r="U1421" s="186">
        <v>44980.333333333336</v>
      </c>
      <c r="V1421" s="1" t="s">
        <v>41</v>
      </c>
      <c r="W1421" s="1" t="s">
        <v>49</v>
      </c>
      <c r="X1421" s="13" t="str">
        <f t="shared" si="99"/>
        <v>0325.18</v>
      </c>
      <c r="Y1421" s="2">
        <f t="shared" ca="1" si="100"/>
        <v>5</v>
      </c>
    </row>
    <row r="1422" spans="1:25" hidden="1">
      <c r="A1422" s="1">
        <v>9508060</v>
      </c>
      <c r="B1422" s="1" t="s">
        <v>1153</v>
      </c>
      <c r="C1422" t="s">
        <v>4050</v>
      </c>
      <c r="E1422" s="2">
        <v>1902016219600</v>
      </c>
      <c r="F1422" s="1" t="s">
        <v>64</v>
      </c>
      <c r="G1422" s="1" t="s">
        <v>53</v>
      </c>
      <c r="H1422" s="1" t="s">
        <v>1252</v>
      </c>
      <c r="I1422" s="1" t="s">
        <v>1253</v>
      </c>
      <c r="J1422" s="1" t="s">
        <v>33</v>
      </c>
      <c r="K1422" t="s">
        <v>67</v>
      </c>
      <c r="M1422" s="1" t="s">
        <v>35</v>
      </c>
      <c r="N1422" s="1">
        <v>42318949</v>
      </c>
      <c r="O1422" s="1" t="s">
        <v>105</v>
      </c>
      <c r="P1422" s="11" t="s">
        <v>4203</v>
      </c>
      <c r="R1422" s="1" t="s">
        <v>571</v>
      </c>
      <c r="T1422" s="1" t="s">
        <v>69</v>
      </c>
      <c r="U1422" s="11" t="s">
        <v>4204</v>
      </c>
      <c r="V1422" s="1" t="s">
        <v>41</v>
      </c>
      <c r="W1422" s="1" t="s">
        <v>42</v>
      </c>
      <c r="X1422" s="13" t="str">
        <f t="shared" si="99"/>
        <v/>
      </c>
      <c r="Y1422" s="2">
        <f t="shared" ca="1" si="100"/>
        <v>4</v>
      </c>
    </row>
    <row r="1423" spans="1:25" hidden="1">
      <c r="A1423" s="1">
        <v>9507962</v>
      </c>
      <c r="B1423" s="1" t="s">
        <v>1153</v>
      </c>
      <c r="C1423" t="s">
        <v>4205</v>
      </c>
      <c r="D1423" s="2">
        <v>20234119000011</v>
      </c>
      <c r="E1423" s="2">
        <v>7419151141024</v>
      </c>
      <c r="F1423" s="1" t="s">
        <v>123</v>
      </c>
      <c r="G1423" s="1" t="s">
        <v>53</v>
      </c>
      <c r="H1423" s="1" t="s">
        <v>2053</v>
      </c>
      <c r="I1423" s="1" t="s">
        <v>2054</v>
      </c>
      <c r="J1423" s="1" t="s">
        <v>211</v>
      </c>
      <c r="K1423" t="s">
        <v>126</v>
      </c>
      <c r="M1423" s="1" t="s">
        <v>58</v>
      </c>
      <c r="N1423" s="1">
        <v>0</v>
      </c>
      <c r="O1423" s="1" t="s">
        <v>36</v>
      </c>
      <c r="P1423" s="186">
        <v>44981.691076388888</v>
      </c>
      <c r="R1423" s="1">
        <v>14</v>
      </c>
      <c r="T1423" s="1" t="s">
        <v>238</v>
      </c>
      <c r="U1423" s="186">
        <v>44981.691076388888</v>
      </c>
      <c r="V1423" s="1" t="s">
        <v>41</v>
      </c>
      <c r="W1423" s="1" t="s">
        <v>49</v>
      </c>
      <c r="X1423" s="13" t="str">
        <f t="shared" si="99"/>
        <v>4119.91</v>
      </c>
      <c r="Y1423" s="2">
        <f t="shared" ca="1" si="100"/>
        <v>4</v>
      </c>
    </row>
    <row r="1424" spans="1:25" hidden="1">
      <c r="A1424" s="1">
        <v>9507802</v>
      </c>
      <c r="B1424" s="1" t="s">
        <v>1153</v>
      </c>
      <c r="C1424" t="s">
        <v>3659</v>
      </c>
      <c r="D1424" s="2">
        <v>20234844000568</v>
      </c>
      <c r="E1424" s="2">
        <v>7417163284242</v>
      </c>
      <c r="F1424" s="1" t="s">
        <v>131</v>
      </c>
      <c r="G1424" s="1" t="s">
        <v>53</v>
      </c>
      <c r="H1424" s="1" t="s">
        <v>2992</v>
      </c>
      <c r="I1424" s="1" t="s">
        <v>2993</v>
      </c>
      <c r="J1424" s="1" t="s">
        <v>46</v>
      </c>
      <c r="K1424" t="s">
        <v>132</v>
      </c>
      <c r="M1424" s="1" t="s">
        <v>58</v>
      </c>
      <c r="N1424" s="1">
        <v>0</v>
      </c>
      <c r="O1424" s="1" t="s">
        <v>105</v>
      </c>
      <c r="P1424" s="186">
        <v>44981.657037037039</v>
      </c>
      <c r="R1424" s="1">
        <v>13</v>
      </c>
      <c r="T1424" s="1" t="s">
        <v>238</v>
      </c>
      <c r="U1424" s="186">
        <v>44981.657037037039</v>
      </c>
      <c r="V1424" s="1" t="s">
        <v>41</v>
      </c>
      <c r="W1424" s="1" t="s">
        <v>49</v>
      </c>
      <c r="X1424" s="13" t="str">
        <f t="shared" si="99"/>
        <v>4844.03</v>
      </c>
      <c r="Y1424" s="2">
        <f t="shared" ca="1" si="100"/>
        <v>4</v>
      </c>
    </row>
    <row r="1425" spans="1:25" hidden="1">
      <c r="A1425" s="1">
        <v>9507753</v>
      </c>
      <c r="B1425" s="1" t="s">
        <v>1153</v>
      </c>
      <c r="C1425" t="s">
        <v>4053</v>
      </c>
      <c r="D1425" s="2">
        <v>20231120000007</v>
      </c>
      <c r="E1425" s="2">
        <v>7417183020600</v>
      </c>
      <c r="F1425" s="1" t="s">
        <v>1313</v>
      </c>
      <c r="G1425" s="1" t="s">
        <v>53</v>
      </c>
      <c r="H1425" s="1" t="s">
        <v>2528</v>
      </c>
      <c r="I1425" s="1" t="s">
        <v>2529</v>
      </c>
      <c r="J1425" s="1" t="s">
        <v>164</v>
      </c>
      <c r="K1425" t="s">
        <v>1316</v>
      </c>
      <c r="M1425" s="1" t="s">
        <v>58</v>
      </c>
      <c r="N1425" s="1">
        <v>0</v>
      </c>
      <c r="O1425" s="1" t="s">
        <v>36</v>
      </c>
      <c r="P1425" s="186">
        <v>44981.647662037038</v>
      </c>
      <c r="R1425" s="1">
        <v>14</v>
      </c>
      <c r="T1425" s="1" t="s">
        <v>238</v>
      </c>
      <c r="U1425" s="186">
        <v>44981.647662037038</v>
      </c>
      <c r="V1425" s="1" t="s">
        <v>41</v>
      </c>
      <c r="W1425" s="1" t="s">
        <v>49</v>
      </c>
      <c r="X1425" s="13" t="str">
        <f t="shared" si="99"/>
        <v>1120.91</v>
      </c>
      <c r="Y1425" s="2">
        <f t="shared" ca="1" si="100"/>
        <v>4</v>
      </c>
    </row>
    <row r="1426" spans="1:25" hidden="1">
      <c r="A1426" s="1">
        <v>9507743</v>
      </c>
      <c r="B1426" s="1" t="s">
        <v>1153</v>
      </c>
      <c r="C1426" t="s">
        <v>4054</v>
      </c>
      <c r="D1426" s="2">
        <v>20234844000567</v>
      </c>
      <c r="E1426" s="2">
        <v>7417183020614</v>
      </c>
      <c r="F1426" s="1" t="s">
        <v>1313</v>
      </c>
      <c r="G1426" s="1" t="s">
        <v>53</v>
      </c>
      <c r="H1426" s="1" t="s">
        <v>2395</v>
      </c>
      <c r="I1426" s="1" t="s">
        <v>2396</v>
      </c>
      <c r="J1426" s="1" t="s">
        <v>46</v>
      </c>
      <c r="K1426" t="s">
        <v>1316</v>
      </c>
      <c r="M1426" s="1" t="s">
        <v>58</v>
      </c>
      <c r="N1426" s="1">
        <v>0</v>
      </c>
      <c r="O1426" s="1" t="s">
        <v>105</v>
      </c>
      <c r="P1426" s="186">
        <v>44981.644016203703</v>
      </c>
      <c r="R1426" s="1">
        <v>13</v>
      </c>
      <c r="T1426" s="1" t="s">
        <v>238</v>
      </c>
      <c r="U1426" s="186">
        <v>44981.644016203703</v>
      </c>
      <c r="V1426" s="1" t="s">
        <v>41</v>
      </c>
      <c r="W1426" s="1" t="s">
        <v>49</v>
      </c>
      <c r="X1426" s="13" t="str">
        <f t="shared" si="99"/>
        <v>4844.08</v>
      </c>
      <c r="Y1426" s="2">
        <f t="shared" ca="1" si="100"/>
        <v>4</v>
      </c>
    </row>
    <row r="1427" spans="1:25" hidden="1">
      <c r="A1427" s="1">
        <v>9507670</v>
      </c>
      <c r="B1427" s="1" t="s">
        <v>62</v>
      </c>
      <c r="C1427" t="s">
        <v>4055</v>
      </c>
      <c r="E1427" s="2">
        <v>963000206001</v>
      </c>
      <c r="F1427" s="1" t="s">
        <v>29</v>
      </c>
      <c r="G1427" s="1" t="s">
        <v>53</v>
      </c>
      <c r="H1427" s="1" t="s">
        <v>531</v>
      </c>
      <c r="I1427" s="1" t="s">
        <v>532</v>
      </c>
      <c r="J1427" s="1" t="s">
        <v>33</v>
      </c>
      <c r="K1427" t="s">
        <v>34</v>
      </c>
      <c r="M1427" s="1" t="s">
        <v>35</v>
      </c>
      <c r="N1427" s="1">
        <v>42318949</v>
      </c>
      <c r="O1427" s="1" t="s">
        <v>105</v>
      </c>
      <c r="P1427" s="186">
        <v>44981.64638888889</v>
      </c>
      <c r="R1427" s="1" t="s">
        <v>38</v>
      </c>
      <c r="T1427" s="1" t="s">
        <v>74</v>
      </c>
      <c r="U1427" s="186">
        <v>45022.75</v>
      </c>
      <c r="V1427" s="1" t="s">
        <v>41</v>
      </c>
      <c r="W1427" s="1" t="s">
        <v>49</v>
      </c>
      <c r="X1427" s="13" t="str">
        <f t="shared" si="99"/>
        <v/>
      </c>
      <c r="Y1427" s="2">
        <f t="shared" ca="1" si="100"/>
        <v>4</v>
      </c>
    </row>
    <row r="1428" spans="1:25" hidden="1">
      <c r="A1428" s="1">
        <v>9507669</v>
      </c>
      <c r="B1428" s="1" t="s">
        <v>1153</v>
      </c>
      <c r="C1428" t="s">
        <v>4056</v>
      </c>
      <c r="E1428" s="2">
        <v>963000206001</v>
      </c>
      <c r="F1428" s="1" t="s">
        <v>29</v>
      </c>
      <c r="G1428" s="1" t="s">
        <v>53</v>
      </c>
      <c r="H1428" s="1" t="s">
        <v>531</v>
      </c>
      <c r="I1428" s="1" t="s">
        <v>532</v>
      </c>
      <c r="J1428" s="1" t="s">
        <v>33</v>
      </c>
      <c r="K1428" t="s">
        <v>34</v>
      </c>
      <c r="M1428" s="1" t="s">
        <v>35</v>
      </c>
      <c r="N1428" s="1">
        <v>42318949</v>
      </c>
      <c r="O1428" s="1" t="s">
        <v>36</v>
      </c>
      <c r="P1428" s="186">
        <v>44981.643923611111</v>
      </c>
      <c r="R1428" s="1" t="s">
        <v>38</v>
      </c>
      <c r="T1428" s="1" t="s">
        <v>74</v>
      </c>
      <c r="U1428" s="186">
        <v>44991.458333333336</v>
      </c>
      <c r="V1428" s="1" t="s">
        <v>41</v>
      </c>
      <c r="W1428" s="1" t="s">
        <v>49</v>
      </c>
      <c r="X1428" s="13" t="str">
        <f t="shared" si="99"/>
        <v/>
      </c>
      <c r="Y1428" s="2">
        <f t="shared" ca="1" si="100"/>
        <v>4</v>
      </c>
    </row>
    <row r="1429" spans="1:25" hidden="1">
      <c r="A1429" s="1">
        <v>9507655</v>
      </c>
      <c r="B1429" s="1" t="s">
        <v>1153</v>
      </c>
      <c r="C1429" t="s">
        <v>4206</v>
      </c>
      <c r="D1429" s="2">
        <v>20231059000019</v>
      </c>
      <c r="E1429" s="2">
        <v>7417161482599</v>
      </c>
      <c r="F1429" s="1" t="s">
        <v>1217</v>
      </c>
      <c r="G1429" s="1" t="s">
        <v>53</v>
      </c>
      <c r="H1429" s="1" t="s">
        <v>1972</v>
      </c>
      <c r="I1429" s="1" t="s">
        <v>1973</v>
      </c>
      <c r="J1429" s="1" t="s">
        <v>90</v>
      </c>
      <c r="K1429" t="s">
        <v>1218</v>
      </c>
      <c r="M1429" s="1" t="s">
        <v>58</v>
      </c>
      <c r="N1429" s="1">
        <v>0</v>
      </c>
      <c r="O1429" s="1" t="s">
        <v>36</v>
      </c>
      <c r="P1429" s="186">
        <v>44981.627314814818</v>
      </c>
      <c r="R1429" s="1">
        <v>14</v>
      </c>
      <c r="T1429" s="1" t="s">
        <v>238</v>
      </c>
      <c r="U1429" s="186">
        <v>44981.627314814818</v>
      </c>
      <c r="V1429" s="1" t="s">
        <v>41</v>
      </c>
      <c r="W1429" s="1" t="s">
        <v>49</v>
      </c>
      <c r="X1429" s="13" t="str">
        <f t="shared" si="99"/>
        <v>1059.91</v>
      </c>
      <c r="Y1429" s="2">
        <f t="shared" ca="1" si="100"/>
        <v>4</v>
      </c>
    </row>
    <row r="1430" spans="1:25" hidden="1">
      <c r="A1430" s="1">
        <v>9507650</v>
      </c>
      <c r="B1430" s="1" t="s">
        <v>1153</v>
      </c>
      <c r="C1430" t="s">
        <v>4058</v>
      </c>
      <c r="D1430" s="2">
        <v>20231059000020</v>
      </c>
      <c r="E1430" s="2">
        <v>7419152172708</v>
      </c>
      <c r="F1430" s="1" t="s">
        <v>52</v>
      </c>
      <c r="G1430" s="1" t="s">
        <v>53</v>
      </c>
      <c r="H1430" s="1" t="s">
        <v>1972</v>
      </c>
      <c r="I1430" s="1" t="s">
        <v>1973</v>
      </c>
      <c r="J1430" s="1" t="s">
        <v>90</v>
      </c>
      <c r="K1430" t="s">
        <v>57</v>
      </c>
      <c r="M1430" s="1" t="s">
        <v>58</v>
      </c>
      <c r="N1430" s="1">
        <v>0</v>
      </c>
      <c r="O1430" s="1" t="s">
        <v>105</v>
      </c>
      <c r="P1430" s="186">
        <v>44981.629074074073</v>
      </c>
      <c r="R1430" s="1">
        <v>8</v>
      </c>
      <c r="T1430" s="1" t="s">
        <v>238</v>
      </c>
      <c r="U1430" s="186">
        <v>44982.639641203707</v>
      </c>
      <c r="V1430" s="1" t="s">
        <v>41</v>
      </c>
      <c r="W1430" s="1" t="s">
        <v>49</v>
      </c>
      <c r="X1430" s="13" t="str">
        <f t="shared" si="99"/>
        <v>1059.91</v>
      </c>
      <c r="Y1430" s="2">
        <f t="shared" ca="1" si="100"/>
        <v>4</v>
      </c>
    </row>
    <row r="1431" spans="1:25" hidden="1">
      <c r="A1431" s="1">
        <v>9507602</v>
      </c>
      <c r="B1431" s="1" t="s">
        <v>1153</v>
      </c>
      <c r="C1431" t="s">
        <v>4059</v>
      </c>
      <c r="D1431" s="2">
        <v>20238935000003</v>
      </c>
      <c r="E1431" s="2">
        <v>7417191553969</v>
      </c>
      <c r="F1431" s="1" t="s">
        <v>2819</v>
      </c>
      <c r="G1431" s="1" t="s">
        <v>53</v>
      </c>
      <c r="H1431" s="1" t="s">
        <v>4020</v>
      </c>
      <c r="I1431" s="1" t="s">
        <v>4021</v>
      </c>
      <c r="J1431" s="1" t="s">
        <v>46</v>
      </c>
      <c r="K1431" t="s">
        <v>2820</v>
      </c>
      <c r="M1431" s="1" t="s">
        <v>58</v>
      </c>
      <c r="N1431" s="1">
        <v>0</v>
      </c>
      <c r="O1431" s="1" t="s">
        <v>105</v>
      </c>
      <c r="P1431" s="186">
        <v>44981.616261574076</v>
      </c>
      <c r="R1431" s="1">
        <v>22</v>
      </c>
      <c r="T1431" s="1" t="s">
        <v>1160</v>
      </c>
      <c r="U1431" s="186">
        <v>44986.449594907404</v>
      </c>
      <c r="V1431" s="1" t="s">
        <v>41</v>
      </c>
      <c r="W1431" s="1" t="s">
        <v>49</v>
      </c>
      <c r="X1431" s="13" t="str">
        <f t="shared" si="99"/>
        <v>8935.01</v>
      </c>
      <c r="Y1431" s="2">
        <f t="shared" ca="1" si="100"/>
        <v>4</v>
      </c>
    </row>
    <row r="1432" spans="1:25" hidden="1">
      <c r="A1432" s="1">
        <v>9507584</v>
      </c>
      <c r="B1432" s="1" t="s">
        <v>1153</v>
      </c>
      <c r="C1432" t="s">
        <v>4060</v>
      </c>
      <c r="E1432" s="2">
        <v>5749000203010</v>
      </c>
      <c r="F1432" s="1" t="s">
        <v>152</v>
      </c>
      <c r="G1432" s="1" t="s">
        <v>53</v>
      </c>
      <c r="H1432" s="1" t="s">
        <v>1811</v>
      </c>
      <c r="I1432" s="1" t="s">
        <v>1812</v>
      </c>
      <c r="J1432" s="1" t="s">
        <v>33</v>
      </c>
      <c r="K1432" t="s">
        <v>155</v>
      </c>
      <c r="M1432" s="1" t="s">
        <v>35</v>
      </c>
      <c r="N1432" s="1">
        <v>42318949</v>
      </c>
      <c r="O1432" s="1" t="s">
        <v>36</v>
      </c>
      <c r="P1432" s="186">
        <v>44981.632233796299</v>
      </c>
      <c r="R1432" s="1">
        <v>1</v>
      </c>
      <c r="T1432" s="1" t="s">
        <v>157</v>
      </c>
      <c r="U1432" s="186">
        <v>44982.632233796299</v>
      </c>
      <c r="V1432" s="1" t="s">
        <v>41</v>
      </c>
      <c r="W1432" s="1" t="s">
        <v>42</v>
      </c>
      <c r="X1432" s="13" t="str">
        <f t="shared" si="99"/>
        <v/>
      </c>
      <c r="Y1432" s="2">
        <f t="shared" ca="1" si="100"/>
        <v>4</v>
      </c>
    </row>
    <row r="1433" spans="1:25" hidden="1">
      <c r="A1433" s="1">
        <v>9507578</v>
      </c>
      <c r="B1433" s="1" t="s">
        <v>81</v>
      </c>
      <c r="C1433" t="s">
        <v>1210</v>
      </c>
      <c r="E1433" s="2">
        <v>7417172142605</v>
      </c>
      <c r="F1433" s="1" t="s">
        <v>4061</v>
      </c>
      <c r="G1433" s="1" t="s">
        <v>53</v>
      </c>
      <c r="H1433" s="1" t="s">
        <v>4062</v>
      </c>
      <c r="I1433" s="1" t="s">
        <v>4063</v>
      </c>
      <c r="J1433" s="1" t="s">
        <v>46</v>
      </c>
      <c r="K1433" t="s">
        <v>4064</v>
      </c>
      <c r="M1433" s="1" t="s">
        <v>58</v>
      </c>
      <c r="N1433" s="1">
        <v>0</v>
      </c>
      <c r="O1433" s="1" t="s">
        <v>105</v>
      </c>
      <c r="P1433" s="186">
        <v>44981.628344907411</v>
      </c>
      <c r="R1433" s="1">
        <v>11</v>
      </c>
      <c r="T1433" s="1" t="s">
        <v>238</v>
      </c>
      <c r="U1433" s="186">
        <v>44982.62976851852</v>
      </c>
      <c r="V1433" s="1" t="s">
        <v>41</v>
      </c>
      <c r="W1433" s="1" t="s">
        <v>49</v>
      </c>
      <c r="X1433" s="13" t="str">
        <f t="shared" si="99"/>
        <v>4845.23</v>
      </c>
      <c r="Y1433" s="2">
        <f t="shared" ca="1" si="100"/>
        <v>4</v>
      </c>
    </row>
    <row r="1434" spans="1:25" hidden="1">
      <c r="A1434" s="1">
        <v>9507408</v>
      </c>
      <c r="B1434" s="1" t="s">
        <v>1153</v>
      </c>
      <c r="C1434" t="s">
        <v>4065</v>
      </c>
      <c r="D1434" s="2">
        <v>20232326000011</v>
      </c>
      <c r="E1434" s="2">
        <v>7417183020154</v>
      </c>
      <c r="F1434" s="1" t="s">
        <v>1313</v>
      </c>
      <c r="G1434" s="1" t="s">
        <v>53</v>
      </c>
      <c r="H1434" s="1" t="s">
        <v>3236</v>
      </c>
      <c r="I1434" s="1" t="s">
        <v>3237</v>
      </c>
      <c r="J1434" s="1" t="s">
        <v>46</v>
      </c>
      <c r="K1434" t="s">
        <v>1316</v>
      </c>
      <c r="M1434" s="1" t="s">
        <v>58</v>
      </c>
      <c r="N1434" s="1">
        <v>0</v>
      </c>
      <c r="O1434" s="1" t="s">
        <v>105</v>
      </c>
      <c r="P1434" s="186">
        <v>44981.583611111113</v>
      </c>
      <c r="R1434" s="1">
        <v>13</v>
      </c>
      <c r="T1434" s="1" t="s">
        <v>238</v>
      </c>
      <c r="U1434" s="186">
        <v>44981.583611111113</v>
      </c>
      <c r="V1434" s="1" t="s">
        <v>41</v>
      </c>
      <c r="W1434" s="1" t="s">
        <v>49</v>
      </c>
      <c r="X1434" s="13" t="str">
        <f t="shared" si="99"/>
        <v>2326.91</v>
      </c>
      <c r="Y1434" s="2">
        <f t="shared" ca="1" si="100"/>
        <v>4</v>
      </c>
    </row>
    <row r="1435" spans="1:25" hidden="1">
      <c r="A1435" s="1">
        <v>9507332</v>
      </c>
      <c r="B1435" s="1" t="s">
        <v>1153</v>
      </c>
      <c r="C1435" t="s">
        <v>4059</v>
      </c>
      <c r="D1435" s="2">
        <v>20238935000002</v>
      </c>
      <c r="E1435" s="2">
        <v>7419152401379</v>
      </c>
      <c r="F1435" s="1" t="s">
        <v>2533</v>
      </c>
      <c r="G1435" s="1" t="s">
        <v>53</v>
      </c>
      <c r="H1435" s="1" t="s">
        <v>4020</v>
      </c>
      <c r="I1435" s="1" t="s">
        <v>4021</v>
      </c>
      <c r="J1435" s="1" t="s">
        <v>46</v>
      </c>
      <c r="K1435" t="s">
        <v>2536</v>
      </c>
      <c r="M1435" s="1" t="s">
        <v>58</v>
      </c>
      <c r="N1435" s="1">
        <v>0</v>
      </c>
      <c r="O1435" s="1" t="s">
        <v>36</v>
      </c>
      <c r="P1435" s="186">
        <v>44981.564606481479</v>
      </c>
      <c r="R1435" s="1">
        <v>22</v>
      </c>
      <c r="T1435" s="1" t="s">
        <v>1160</v>
      </c>
      <c r="U1435" s="186">
        <v>44986.397939814815</v>
      </c>
      <c r="V1435" s="1" t="s">
        <v>41</v>
      </c>
      <c r="W1435" s="1" t="s">
        <v>49</v>
      </c>
      <c r="X1435" s="13" t="str">
        <f t="shared" si="99"/>
        <v>8935.01</v>
      </c>
      <c r="Y1435" s="2">
        <f t="shared" ca="1" si="100"/>
        <v>4</v>
      </c>
    </row>
    <row r="1436" spans="1:25" hidden="1">
      <c r="A1436" s="1">
        <v>9507327</v>
      </c>
      <c r="B1436" s="1" t="s">
        <v>1153</v>
      </c>
      <c r="C1436" t="s">
        <v>4066</v>
      </c>
      <c r="D1436" s="2">
        <v>20234844000566</v>
      </c>
      <c r="E1436" s="2">
        <v>7417211830683</v>
      </c>
      <c r="F1436" s="1" t="s">
        <v>1936</v>
      </c>
      <c r="G1436" s="1" t="s">
        <v>53</v>
      </c>
      <c r="H1436" s="1" t="s">
        <v>3946</v>
      </c>
      <c r="I1436" s="1" t="s">
        <v>3947</v>
      </c>
      <c r="J1436" s="1" t="s">
        <v>46</v>
      </c>
      <c r="K1436" t="s">
        <v>1939</v>
      </c>
      <c r="M1436" s="1" t="s">
        <v>58</v>
      </c>
      <c r="N1436" s="1">
        <v>0</v>
      </c>
      <c r="O1436" s="1" t="s">
        <v>105</v>
      </c>
      <c r="P1436" s="186">
        <v>44981.555787037039</v>
      </c>
      <c r="R1436" s="1">
        <v>13</v>
      </c>
      <c r="T1436" s="1" t="s">
        <v>238</v>
      </c>
      <c r="U1436" s="186">
        <v>44981.555787037039</v>
      </c>
      <c r="V1436" s="1" t="s">
        <v>41</v>
      </c>
      <c r="W1436" s="1" t="s">
        <v>49</v>
      </c>
      <c r="X1436" s="13" t="str">
        <f t="shared" si="99"/>
        <v>4844.82</v>
      </c>
      <c r="Y1436" s="2">
        <f t="shared" ca="1" si="100"/>
        <v>4</v>
      </c>
    </row>
    <row r="1437" spans="1:25" hidden="1">
      <c r="A1437" s="1">
        <v>9507326</v>
      </c>
      <c r="B1437" s="1" t="s">
        <v>1153</v>
      </c>
      <c r="C1437" t="s">
        <v>4067</v>
      </c>
      <c r="D1437" s="2">
        <v>20234844000565</v>
      </c>
      <c r="E1437" s="2">
        <v>7417183022041</v>
      </c>
      <c r="F1437" s="1" t="s">
        <v>1313</v>
      </c>
      <c r="G1437" s="1" t="s">
        <v>53</v>
      </c>
      <c r="H1437" s="1" t="s">
        <v>3946</v>
      </c>
      <c r="I1437" s="1" t="s">
        <v>3947</v>
      </c>
      <c r="J1437" s="1" t="s">
        <v>46</v>
      </c>
      <c r="K1437" t="s">
        <v>1316</v>
      </c>
      <c r="M1437" s="1" t="s">
        <v>58</v>
      </c>
      <c r="N1437" s="1">
        <v>0</v>
      </c>
      <c r="O1437" s="1" t="s">
        <v>105</v>
      </c>
      <c r="P1437" s="186">
        <v>44981.554988425924</v>
      </c>
      <c r="R1437" s="1">
        <v>13</v>
      </c>
      <c r="T1437" s="1" t="s">
        <v>238</v>
      </c>
      <c r="U1437" s="186">
        <v>44981.554988425924</v>
      </c>
      <c r="V1437" s="1" t="s">
        <v>41</v>
      </c>
      <c r="W1437" s="1" t="s">
        <v>49</v>
      </c>
      <c r="X1437" s="13" t="str">
        <f t="shared" si="99"/>
        <v>4844.82</v>
      </c>
      <c r="Y1437" s="2">
        <f t="shared" ca="1" si="100"/>
        <v>4</v>
      </c>
    </row>
    <row r="1438" spans="1:25" hidden="1">
      <c r="A1438" s="1">
        <v>9507208</v>
      </c>
      <c r="B1438" s="1" t="s">
        <v>1153</v>
      </c>
      <c r="C1438" t="s">
        <v>4070</v>
      </c>
      <c r="D1438" s="2">
        <v>20234844000564</v>
      </c>
      <c r="E1438" s="2">
        <v>7419143322419</v>
      </c>
      <c r="F1438" s="1" t="s">
        <v>1222</v>
      </c>
      <c r="G1438" s="1" t="s">
        <v>53</v>
      </c>
      <c r="H1438" s="1" t="s">
        <v>2632</v>
      </c>
      <c r="I1438" s="1" t="s">
        <v>2633</v>
      </c>
      <c r="J1438" s="1" t="s">
        <v>46</v>
      </c>
      <c r="K1438" t="s">
        <v>1223</v>
      </c>
      <c r="M1438" s="1" t="s">
        <v>58</v>
      </c>
      <c r="N1438" s="1">
        <v>0</v>
      </c>
      <c r="O1438" s="1" t="s">
        <v>36</v>
      </c>
      <c r="P1438" s="186">
        <v>44981.539710648147</v>
      </c>
      <c r="R1438" s="1">
        <v>13</v>
      </c>
      <c r="T1438" s="1" t="s">
        <v>238</v>
      </c>
      <c r="U1438" s="186">
        <v>44981.539710648147</v>
      </c>
      <c r="V1438" s="1" t="s">
        <v>41</v>
      </c>
      <c r="W1438" s="1" t="s">
        <v>49</v>
      </c>
      <c r="X1438" s="13" t="str">
        <f t="shared" si="99"/>
        <v>4844.20</v>
      </c>
      <c r="Y1438" s="2">
        <f t="shared" ca="1" si="100"/>
        <v>4</v>
      </c>
    </row>
    <row r="1439" spans="1:25" hidden="1">
      <c r="A1439" s="1">
        <v>9506993</v>
      </c>
      <c r="B1439" s="1" t="s">
        <v>1153</v>
      </c>
      <c r="C1439" t="s">
        <v>4074</v>
      </c>
      <c r="D1439" s="2">
        <v>20234844000562</v>
      </c>
      <c r="E1439" s="2">
        <v>7421162080268</v>
      </c>
      <c r="F1439" s="1" t="s">
        <v>2792</v>
      </c>
      <c r="G1439" s="1" t="s">
        <v>53</v>
      </c>
      <c r="H1439" s="1" t="s">
        <v>731</v>
      </c>
      <c r="I1439" s="1" t="s">
        <v>732</v>
      </c>
      <c r="J1439" s="1" t="s">
        <v>46</v>
      </c>
      <c r="K1439" t="s">
        <v>2793</v>
      </c>
      <c r="M1439" s="1" t="s">
        <v>58</v>
      </c>
      <c r="N1439" s="1">
        <v>0</v>
      </c>
      <c r="O1439" s="1" t="s">
        <v>36</v>
      </c>
      <c r="P1439" s="186">
        <v>44981.497314814813</v>
      </c>
      <c r="R1439" s="1">
        <v>22</v>
      </c>
      <c r="T1439" s="1" t="s">
        <v>1160</v>
      </c>
      <c r="U1439" s="186">
        <v>44985.705648148149</v>
      </c>
      <c r="V1439" s="1" t="s">
        <v>41</v>
      </c>
      <c r="W1439" s="1" t="s">
        <v>49</v>
      </c>
      <c r="X1439" s="13" t="str">
        <f t="shared" si="99"/>
        <v/>
      </c>
      <c r="Y1439" s="2">
        <f t="shared" ca="1" si="100"/>
        <v>4</v>
      </c>
    </row>
    <row r="1440" spans="1:25" hidden="1">
      <c r="A1440" s="1">
        <v>9506898</v>
      </c>
      <c r="B1440" s="1" t="s">
        <v>1153</v>
      </c>
      <c r="C1440" t="s">
        <v>4075</v>
      </c>
      <c r="D1440" s="2">
        <v>20234924000070</v>
      </c>
      <c r="E1440" s="2">
        <v>7417183024946</v>
      </c>
      <c r="F1440" s="1" t="s">
        <v>1313</v>
      </c>
      <c r="G1440" s="1" t="s">
        <v>53</v>
      </c>
      <c r="H1440" s="1" t="s">
        <v>1748</v>
      </c>
      <c r="I1440" s="1" t="s">
        <v>1749</v>
      </c>
      <c r="J1440" s="1" t="s">
        <v>79</v>
      </c>
      <c r="K1440" t="s">
        <v>1316</v>
      </c>
      <c r="M1440" s="1" t="s">
        <v>58</v>
      </c>
      <c r="N1440" s="1">
        <v>0</v>
      </c>
      <c r="O1440" s="1" t="s">
        <v>105</v>
      </c>
      <c r="P1440" s="186">
        <v>44981.467037037037</v>
      </c>
      <c r="R1440" s="1">
        <v>14</v>
      </c>
      <c r="T1440" s="1" t="s">
        <v>238</v>
      </c>
      <c r="U1440" s="186">
        <v>44981.467037037037</v>
      </c>
      <c r="V1440" s="1" t="s">
        <v>41</v>
      </c>
      <c r="W1440" s="1" t="s">
        <v>49</v>
      </c>
      <c r="X1440" s="13" t="str">
        <f t="shared" si="99"/>
        <v>4924.02</v>
      </c>
      <c r="Y1440" s="2">
        <f t="shared" ca="1" si="100"/>
        <v>4</v>
      </c>
    </row>
    <row r="1441" spans="1:25" hidden="1">
      <c r="A1441" s="1">
        <v>9506863</v>
      </c>
      <c r="B1441" s="1" t="s">
        <v>1153</v>
      </c>
      <c r="C1441" t="s">
        <v>4076</v>
      </c>
      <c r="D1441" s="2">
        <v>20230067000025</v>
      </c>
      <c r="E1441" s="2">
        <v>7419141892111</v>
      </c>
      <c r="F1441" s="1" t="s">
        <v>128</v>
      </c>
      <c r="G1441" s="1" t="s">
        <v>53</v>
      </c>
      <c r="H1441" s="1" t="s">
        <v>2091</v>
      </c>
      <c r="I1441" s="1" t="s">
        <v>2092</v>
      </c>
      <c r="J1441" s="1" t="s">
        <v>164</v>
      </c>
      <c r="K1441" t="s">
        <v>129</v>
      </c>
      <c r="M1441" s="1" t="s">
        <v>58</v>
      </c>
      <c r="N1441" s="1">
        <v>0</v>
      </c>
      <c r="O1441" s="1" t="s">
        <v>105</v>
      </c>
      <c r="P1441" s="186">
        <v>44981.469467592593</v>
      </c>
      <c r="R1441" s="1">
        <v>14</v>
      </c>
      <c r="T1441" s="1" t="s">
        <v>238</v>
      </c>
      <c r="U1441" s="186">
        <v>44981.469467592593</v>
      </c>
      <c r="V1441" s="1" t="s">
        <v>41</v>
      </c>
      <c r="W1441" s="1" t="s">
        <v>49</v>
      </c>
      <c r="X1441" s="13" t="str">
        <f t="shared" si="99"/>
        <v>0067.91</v>
      </c>
      <c r="Y1441" s="2">
        <f t="shared" ca="1" si="100"/>
        <v>4</v>
      </c>
    </row>
    <row r="1442" spans="1:25" hidden="1">
      <c r="A1442" s="1">
        <v>9506810</v>
      </c>
      <c r="B1442" s="1" t="s">
        <v>1153</v>
      </c>
      <c r="C1442" t="s">
        <v>4077</v>
      </c>
      <c r="E1442" s="2">
        <v>233000206001</v>
      </c>
      <c r="F1442" s="1" t="s">
        <v>29</v>
      </c>
      <c r="G1442" s="1" t="s">
        <v>53</v>
      </c>
      <c r="H1442" s="1" t="s">
        <v>424</v>
      </c>
      <c r="I1442" s="1" t="s">
        <v>425</v>
      </c>
      <c r="J1442" s="1" t="s">
        <v>261</v>
      </c>
      <c r="K1442" t="s">
        <v>34</v>
      </c>
      <c r="M1442" s="1" t="s">
        <v>35</v>
      </c>
      <c r="N1442" s="1">
        <v>42318949</v>
      </c>
      <c r="O1442" s="1" t="s">
        <v>36</v>
      </c>
      <c r="P1442" s="186">
        <v>44981.470914351848</v>
      </c>
      <c r="R1442" s="1" t="s">
        <v>38</v>
      </c>
      <c r="T1442" s="1" t="s">
        <v>74</v>
      </c>
      <c r="U1442" s="186">
        <v>44994.708333333336</v>
      </c>
      <c r="V1442" s="1" t="s">
        <v>41</v>
      </c>
      <c r="W1442" s="1" t="s">
        <v>49</v>
      </c>
      <c r="X1442" s="13" t="str">
        <f t="shared" si="99"/>
        <v/>
      </c>
      <c r="Y1442" s="2">
        <f t="shared" ca="1" si="100"/>
        <v>4</v>
      </c>
    </row>
    <row r="1443" spans="1:25" hidden="1">
      <c r="A1443" s="1">
        <v>9506776</v>
      </c>
      <c r="B1443" s="1" t="s">
        <v>1153</v>
      </c>
      <c r="C1443" t="s">
        <v>4078</v>
      </c>
      <c r="E1443" s="2">
        <v>9406000206001</v>
      </c>
      <c r="F1443" s="1" t="s">
        <v>29</v>
      </c>
      <c r="G1443" s="1" t="s">
        <v>53</v>
      </c>
      <c r="H1443" s="1" t="s">
        <v>114</v>
      </c>
      <c r="I1443" s="1" t="s">
        <v>115</v>
      </c>
      <c r="J1443" s="1" t="s">
        <v>46</v>
      </c>
      <c r="K1443" t="s">
        <v>34</v>
      </c>
      <c r="M1443" s="1" t="s">
        <v>35</v>
      </c>
      <c r="N1443" s="1">
        <v>42318949</v>
      </c>
      <c r="O1443" s="1" t="s">
        <v>36</v>
      </c>
      <c r="P1443" s="186">
        <v>44981.464872685188</v>
      </c>
      <c r="R1443" s="1" t="s">
        <v>38</v>
      </c>
      <c r="T1443" s="1" t="s">
        <v>74</v>
      </c>
      <c r="U1443" s="186">
        <v>44991.604166666664</v>
      </c>
      <c r="V1443" s="1" t="s">
        <v>41</v>
      </c>
      <c r="W1443" s="1" t="s">
        <v>49</v>
      </c>
      <c r="X1443" s="13" t="str">
        <f t="shared" si="99"/>
        <v/>
      </c>
      <c r="Y1443" s="2">
        <f t="shared" ca="1" si="100"/>
        <v>4</v>
      </c>
    </row>
    <row r="1444" spans="1:25" hidden="1">
      <c r="A1444" s="1">
        <v>9506463</v>
      </c>
      <c r="B1444" s="1" t="s">
        <v>1153</v>
      </c>
      <c r="C1444" t="s">
        <v>4083</v>
      </c>
      <c r="D1444" s="2">
        <v>20234923000078</v>
      </c>
      <c r="E1444" s="2">
        <v>7417183020098</v>
      </c>
      <c r="F1444" s="1" t="s">
        <v>1313</v>
      </c>
      <c r="G1444" s="1" t="s">
        <v>53</v>
      </c>
      <c r="H1444" s="1" t="s">
        <v>1966</v>
      </c>
      <c r="I1444" s="1" t="s">
        <v>1967</v>
      </c>
      <c r="J1444" s="1" t="s">
        <v>46</v>
      </c>
      <c r="K1444" t="s">
        <v>1316</v>
      </c>
      <c r="M1444" s="1" t="s">
        <v>58</v>
      </c>
      <c r="N1444" s="1">
        <v>0</v>
      </c>
      <c r="O1444" s="1" t="s">
        <v>105</v>
      </c>
      <c r="P1444" s="186">
        <v>44981.398726851854</v>
      </c>
      <c r="R1444" s="1">
        <v>13</v>
      </c>
      <c r="T1444" s="1" t="s">
        <v>238</v>
      </c>
      <c r="U1444" s="186">
        <v>44981.398726851854</v>
      </c>
      <c r="V1444" s="1" t="s">
        <v>41</v>
      </c>
      <c r="W1444" s="1" t="s">
        <v>49</v>
      </c>
      <c r="X1444" s="13" t="str">
        <f t="shared" si="99"/>
        <v>4923.01</v>
      </c>
      <c r="Y1444" s="2">
        <f t="shared" ca="1" si="100"/>
        <v>4</v>
      </c>
    </row>
    <row r="1445" spans="1:25" hidden="1">
      <c r="A1445" s="1">
        <v>9506461</v>
      </c>
      <c r="B1445" s="1" t="s">
        <v>1153</v>
      </c>
      <c r="C1445" t="s">
        <v>4084</v>
      </c>
      <c r="E1445" s="2">
        <v>673000206001</v>
      </c>
      <c r="F1445" s="1" t="s">
        <v>29</v>
      </c>
      <c r="G1445" s="1" t="s">
        <v>53</v>
      </c>
      <c r="H1445" s="1" t="s">
        <v>581</v>
      </c>
      <c r="I1445" s="1" t="s">
        <v>582</v>
      </c>
      <c r="J1445" s="1" t="s">
        <v>110</v>
      </c>
      <c r="K1445" t="s">
        <v>34</v>
      </c>
      <c r="M1445" s="1" t="s">
        <v>35</v>
      </c>
      <c r="N1445" s="1">
        <v>42318949</v>
      </c>
      <c r="O1445" s="1" t="s">
        <v>36</v>
      </c>
      <c r="P1445" s="186">
        <v>44981.413356481484</v>
      </c>
      <c r="R1445" s="1" t="s">
        <v>38</v>
      </c>
      <c r="T1445" s="1" t="s">
        <v>74</v>
      </c>
      <c r="U1445" s="186">
        <v>44991.708333333336</v>
      </c>
      <c r="V1445" s="1" t="s">
        <v>41</v>
      </c>
      <c r="W1445" s="1" t="s">
        <v>49</v>
      </c>
      <c r="X1445" s="13" t="str">
        <f t="shared" si="99"/>
        <v/>
      </c>
      <c r="Y1445" s="2">
        <f t="shared" ca="1" si="100"/>
        <v>4</v>
      </c>
    </row>
    <row r="1446" spans="1:25" hidden="1">
      <c r="A1446" s="1">
        <v>9506454</v>
      </c>
      <c r="B1446" s="1" t="s">
        <v>1153</v>
      </c>
      <c r="C1446" t="s">
        <v>4085</v>
      </c>
      <c r="E1446" s="2">
        <v>3108000206001</v>
      </c>
      <c r="F1446" s="1" t="s">
        <v>29</v>
      </c>
      <c r="G1446" s="1" t="s">
        <v>53</v>
      </c>
      <c r="H1446" s="1" t="s">
        <v>325</v>
      </c>
      <c r="I1446" s="1" t="s">
        <v>326</v>
      </c>
      <c r="J1446" s="1" t="s">
        <v>46</v>
      </c>
      <c r="K1446" t="s">
        <v>34</v>
      </c>
      <c r="M1446" s="1" t="s">
        <v>35</v>
      </c>
      <c r="N1446" s="1">
        <v>42318949</v>
      </c>
      <c r="O1446" s="1" t="s">
        <v>36</v>
      </c>
      <c r="P1446" s="186">
        <v>44981.413206018522</v>
      </c>
      <c r="R1446" s="1" t="s">
        <v>38</v>
      </c>
      <c r="T1446" s="1" t="s">
        <v>74</v>
      </c>
      <c r="U1446" s="186">
        <v>44991.625</v>
      </c>
      <c r="V1446" s="1" t="s">
        <v>41</v>
      </c>
      <c r="W1446" s="1" t="s">
        <v>49</v>
      </c>
      <c r="X1446" s="13" t="str">
        <f t="shared" si="99"/>
        <v/>
      </c>
      <c r="Y1446" s="2">
        <f t="shared" ca="1" si="100"/>
        <v>4</v>
      </c>
    </row>
    <row r="1447" spans="1:25" hidden="1">
      <c r="A1447" s="1">
        <v>9506359</v>
      </c>
      <c r="B1447" s="1" t="s">
        <v>1153</v>
      </c>
      <c r="C1447" t="s">
        <v>2806</v>
      </c>
      <c r="D1447" s="2">
        <v>20234844000556</v>
      </c>
      <c r="E1447" s="2">
        <v>7417183020641</v>
      </c>
      <c r="F1447" s="1" t="s">
        <v>1313</v>
      </c>
      <c r="G1447" s="1" t="s">
        <v>53</v>
      </c>
      <c r="H1447" s="1" t="s">
        <v>2444</v>
      </c>
      <c r="I1447" s="1" t="s">
        <v>2445</v>
      </c>
      <c r="J1447" s="1" t="s">
        <v>46</v>
      </c>
      <c r="K1447" t="s">
        <v>1316</v>
      </c>
      <c r="M1447" s="1" t="s">
        <v>58</v>
      </c>
      <c r="N1447" s="1">
        <v>0</v>
      </c>
      <c r="O1447" s="1" t="s">
        <v>36</v>
      </c>
      <c r="P1447" s="186">
        <v>44981.381643518522</v>
      </c>
      <c r="R1447" s="1">
        <v>13</v>
      </c>
      <c r="T1447" s="1" t="s">
        <v>238</v>
      </c>
      <c r="U1447" s="186">
        <v>44981.395833333336</v>
      </c>
      <c r="V1447" s="1" t="s">
        <v>41</v>
      </c>
      <c r="W1447" s="1" t="s">
        <v>49</v>
      </c>
      <c r="X1447" s="13" t="str">
        <f t="shared" si="99"/>
        <v>4844.80</v>
      </c>
      <c r="Y1447" s="2">
        <f t="shared" ca="1" si="100"/>
        <v>4</v>
      </c>
    </row>
    <row r="1448" spans="1:25" hidden="1">
      <c r="A1448" s="1">
        <v>9506334</v>
      </c>
      <c r="B1448" s="1" t="s">
        <v>1153</v>
      </c>
      <c r="C1448" t="s">
        <v>4088</v>
      </c>
      <c r="D1448" s="2">
        <v>20230834000008</v>
      </c>
      <c r="E1448" s="2">
        <v>7417202020458</v>
      </c>
      <c r="F1448" s="1" t="s">
        <v>1213</v>
      </c>
      <c r="G1448" s="1" t="s">
        <v>53</v>
      </c>
      <c r="H1448" s="1" t="s">
        <v>4089</v>
      </c>
      <c r="I1448" s="1" t="s">
        <v>4090</v>
      </c>
      <c r="J1448" s="1" t="s">
        <v>261</v>
      </c>
      <c r="K1448" t="s">
        <v>1214</v>
      </c>
      <c r="M1448" s="1" t="s">
        <v>58</v>
      </c>
      <c r="N1448" s="1">
        <v>0</v>
      </c>
      <c r="O1448" s="1" t="s">
        <v>105</v>
      </c>
      <c r="P1448" s="186">
        <v>44981.379155092596</v>
      </c>
      <c r="R1448" s="1">
        <v>14</v>
      </c>
      <c r="T1448" s="1" t="s">
        <v>238</v>
      </c>
      <c r="U1448" s="186">
        <v>44981.395833333336</v>
      </c>
      <c r="V1448" s="1" t="s">
        <v>41</v>
      </c>
      <c r="W1448" s="1" t="s">
        <v>49</v>
      </c>
      <c r="X1448" s="13" t="str">
        <f t="shared" si="99"/>
        <v>0834.91</v>
      </c>
      <c r="Y1448" s="2">
        <f t="shared" ca="1" si="100"/>
        <v>4</v>
      </c>
    </row>
    <row r="1449" spans="1:25" hidden="1">
      <c r="A1449" s="1">
        <v>9506279</v>
      </c>
      <c r="B1449" s="1" t="s">
        <v>1153</v>
      </c>
      <c r="C1449" t="s">
        <v>4091</v>
      </c>
      <c r="D1449" s="2">
        <v>20231120000006</v>
      </c>
      <c r="E1449" s="2">
        <v>7419143150434</v>
      </c>
      <c r="F1449" s="1" t="s">
        <v>1222</v>
      </c>
      <c r="G1449" s="1" t="s">
        <v>53</v>
      </c>
      <c r="H1449" s="1" t="s">
        <v>648</v>
      </c>
      <c r="I1449" s="1" t="s">
        <v>649</v>
      </c>
      <c r="J1449" s="1" t="s">
        <v>164</v>
      </c>
      <c r="K1449" t="s">
        <v>1223</v>
      </c>
      <c r="M1449" s="1" t="s">
        <v>58</v>
      </c>
      <c r="N1449" s="1">
        <v>0</v>
      </c>
      <c r="O1449" s="1" t="s">
        <v>105</v>
      </c>
      <c r="P1449" s="186">
        <v>44981.378541666665</v>
      </c>
      <c r="R1449" s="1">
        <v>14</v>
      </c>
      <c r="T1449" s="1" t="s">
        <v>238</v>
      </c>
      <c r="U1449" s="186">
        <v>44981.395833333336</v>
      </c>
      <c r="V1449" s="1" t="s">
        <v>41</v>
      </c>
      <c r="W1449" s="1" t="s">
        <v>49</v>
      </c>
      <c r="X1449" s="13" t="str">
        <f t="shared" si="99"/>
        <v>1120.01</v>
      </c>
      <c r="Y1449" s="2">
        <f t="shared" ca="1" si="100"/>
        <v>4</v>
      </c>
    </row>
    <row r="1450" spans="1:25" hidden="1">
      <c r="A1450" s="1">
        <v>9506277</v>
      </c>
      <c r="B1450" s="1" t="s">
        <v>1153</v>
      </c>
      <c r="C1450" t="s">
        <v>4092</v>
      </c>
      <c r="D1450" s="2">
        <v>20230834000007</v>
      </c>
      <c r="E1450" s="2">
        <v>7417202020388</v>
      </c>
      <c r="F1450" s="1" t="s">
        <v>1213</v>
      </c>
      <c r="G1450" s="1" t="s">
        <v>53</v>
      </c>
      <c r="H1450" s="1" t="s">
        <v>4089</v>
      </c>
      <c r="I1450" s="1" t="s">
        <v>4090</v>
      </c>
      <c r="J1450" s="1" t="s">
        <v>261</v>
      </c>
      <c r="K1450" t="s">
        <v>1214</v>
      </c>
      <c r="M1450" s="1" t="s">
        <v>58</v>
      </c>
      <c r="N1450" s="1">
        <v>0</v>
      </c>
      <c r="O1450" s="1" t="s">
        <v>105</v>
      </c>
      <c r="P1450" s="186">
        <v>44981.377986111111</v>
      </c>
      <c r="R1450" s="1">
        <v>14</v>
      </c>
      <c r="T1450" s="1" t="s">
        <v>238</v>
      </c>
      <c r="U1450" s="186">
        <v>44981.395833333336</v>
      </c>
      <c r="V1450" s="1" t="s">
        <v>41</v>
      </c>
      <c r="W1450" s="1" t="s">
        <v>49</v>
      </c>
      <c r="X1450" s="13" t="str">
        <f t="shared" si="99"/>
        <v>0834.91</v>
      </c>
      <c r="Y1450" s="2">
        <f t="shared" ca="1" si="100"/>
        <v>4</v>
      </c>
    </row>
    <row r="1451" spans="1:25" hidden="1">
      <c r="A1451" s="1">
        <v>9506191</v>
      </c>
      <c r="B1451" s="1" t="s">
        <v>1153</v>
      </c>
      <c r="C1451" t="s">
        <v>4095</v>
      </c>
      <c r="E1451" s="2">
        <v>1739000203000</v>
      </c>
      <c r="F1451" s="1" t="s">
        <v>454</v>
      </c>
      <c r="G1451" s="1" t="s">
        <v>53</v>
      </c>
      <c r="H1451" s="1" t="s">
        <v>162</v>
      </c>
      <c r="I1451" s="1" t="s">
        <v>163</v>
      </c>
      <c r="J1451" s="1" t="s">
        <v>164</v>
      </c>
      <c r="K1451" t="s">
        <v>457</v>
      </c>
      <c r="M1451" s="1" t="s">
        <v>58</v>
      </c>
      <c r="N1451" s="1">
        <v>0</v>
      </c>
      <c r="O1451" s="1" t="s">
        <v>36</v>
      </c>
      <c r="P1451" s="186">
        <v>44981.371134259258</v>
      </c>
      <c r="R1451" s="1">
        <v>1</v>
      </c>
      <c r="T1451" s="1" t="s">
        <v>157</v>
      </c>
      <c r="U1451" s="186">
        <v>44982.371134259258</v>
      </c>
      <c r="V1451" s="1" t="s">
        <v>41</v>
      </c>
      <c r="W1451" s="1" t="s">
        <v>49</v>
      </c>
      <c r="X1451" s="13" t="str">
        <f t="shared" si="99"/>
        <v/>
      </c>
      <c r="Y1451" s="2">
        <f t="shared" ca="1" si="100"/>
        <v>4</v>
      </c>
    </row>
    <row r="1452" spans="1:25" hidden="1">
      <c r="A1452" s="1">
        <v>9506073</v>
      </c>
      <c r="B1452" s="1" t="s">
        <v>1153</v>
      </c>
      <c r="C1452" t="s">
        <v>4207</v>
      </c>
      <c r="E1452" s="2">
        <v>9705000206001</v>
      </c>
      <c r="F1452" s="1" t="s">
        <v>29</v>
      </c>
      <c r="G1452" s="1" t="s">
        <v>53</v>
      </c>
      <c r="H1452" s="1" t="s">
        <v>204</v>
      </c>
      <c r="I1452" s="1" t="s">
        <v>205</v>
      </c>
      <c r="J1452" s="1" t="s">
        <v>90</v>
      </c>
      <c r="K1452" t="s">
        <v>34</v>
      </c>
      <c r="M1452" s="1" t="s">
        <v>35</v>
      </c>
      <c r="N1452" s="1">
        <v>42318949</v>
      </c>
      <c r="O1452" s="1" t="s">
        <v>36</v>
      </c>
      <c r="P1452" s="186">
        <v>44981.34039351852</v>
      </c>
      <c r="R1452" s="1" t="s">
        <v>38</v>
      </c>
      <c r="T1452" s="1" t="s">
        <v>74</v>
      </c>
      <c r="U1452" s="186">
        <v>44991.458333333336</v>
      </c>
      <c r="V1452" s="1" t="s">
        <v>41</v>
      </c>
      <c r="W1452" s="1" t="s">
        <v>49</v>
      </c>
      <c r="X1452" s="13" t="str">
        <f t="shared" si="99"/>
        <v/>
      </c>
      <c r="Y1452" s="2">
        <f t="shared" ca="1" si="100"/>
        <v>4</v>
      </c>
    </row>
    <row r="1453" spans="1:25" hidden="1">
      <c r="A1453" s="1">
        <v>9506067</v>
      </c>
      <c r="B1453" s="1" t="s">
        <v>1153</v>
      </c>
      <c r="C1453" t="s">
        <v>4099</v>
      </c>
      <c r="E1453" s="2">
        <v>2529000206001</v>
      </c>
      <c r="F1453" s="1" t="s">
        <v>29</v>
      </c>
      <c r="G1453" s="1" t="s">
        <v>53</v>
      </c>
      <c r="H1453" s="1" t="s">
        <v>355</v>
      </c>
      <c r="I1453" s="1" t="s">
        <v>356</v>
      </c>
      <c r="J1453" s="1" t="s">
        <v>56</v>
      </c>
      <c r="K1453" t="s">
        <v>34</v>
      </c>
      <c r="M1453" s="1" t="s">
        <v>35</v>
      </c>
      <c r="N1453" s="1">
        <v>42318949</v>
      </c>
      <c r="O1453" s="1" t="s">
        <v>36</v>
      </c>
      <c r="P1453" s="186">
        <v>44981.34003472222</v>
      </c>
      <c r="R1453" s="1" t="s">
        <v>38</v>
      </c>
      <c r="T1453" s="1" t="s">
        <v>74</v>
      </c>
      <c r="U1453" s="186">
        <v>44991.708333333336</v>
      </c>
      <c r="V1453" s="1" t="s">
        <v>41</v>
      </c>
      <c r="W1453" s="1" t="s">
        <v>49</v>
      </c>
      <c r="X1453" s="13" t="str">
        <f t="shared" si="99"/>
        <v/>
      </c>
      <c r="Y1453" s="2">
        <f t="shared" ca="1" si="100"/>
        <v>4</v>
      </c>
    </row>
    <row r="1454" spans="1:25" hidden="1">
      <c r="A1454" s="1">
        <v>9519964</v>
      </c>
      <c r="B1454" s="1" t="s">
        <v>1153</v>
      </c>
      <c r="C1454" t="s">
        <v>4208</v>
      </c>
      <c r="D1454" s="2">
        <v>20234012000006</v>
      </c>
      <c r="E1454" s="2">
        <v>7417183023647</v>
      </c>
      <c r="F1454" s="1" t="s">
        <v>1313</v>
      </c>
      <c r="G1454" s="1" t="s">
        <v>53</v>
      </c>
      <c r="H1454" s="1" t="s">
        <v>3528</v>
      </c>
      <c r="I1454" s="1" t="s">
        <v>3529</v>
      </c>
      <c r="J1454" s="1" t="s">
        <v>261</v>
      </c>
      <c r="K1454" t="s">
        <v>1316</v>
      </c>
      <c r="M1454" s="1" t="s">
        <v>58</v>
      </c>
      <c r="N1454" s="1">
        <v>0</v>
      </c>
      <c r="O1454" s="1" t="s">
        <v>105</v>
      </c>
      <c r="P1454" s="12">
        <v>44984.732129629629</v>
      </c>
      <c r="R1454" s="1">
        <v>14</v>
      </c>
      <c r="T1454" s="1" t="s">
        <v>238</v>
      </c>
      <c r="U1454" s="12">
        <v>44985.395833333336</v>
      </c>
      <c r="V1454" s="1" t="s">
        <v>41</v>
      </c>
      <c r="W1454" s="1" t="s">
        <v>49</v>
      </c>
      <c r="X1454" s="13" t="str">
        <f t="shared" si="99"/>
        <v>4012.91</v>
      </c>
      <c r="Y1454" s="2">
        <f t="shared" ca="1" si="100"/>
        <v>3</v>
      </c>
    </row>
    <row r="1455" spans="1:25" hidden="1">
      <c r="A1455" s="1">
        <v>9519897</v>
      </c>
      <c r="B1455" s="1" t="s">
        <v>1153</v>
      </c>
      <c r="C1455" t="s">
        <v>4209</v>
      </c>
      <c r="D1455" s="2">
        <v>20234844000587</v>
      </c>
      <c r="E1455" s="2">
        <v>7417161484714</v>
      </c>
      <c r="F1455" s="1" t="s">
        <v>1217</v>
      </c>
      <c r="G1455" s="1" t="s">
        <v>53</v>
      </c>
      <c r="H1455" s="1" t="s">
        <v>2422</v>
      </c>
      <c r="I1455" s="1" t="s">
        <v>2423</v>
      </c>
      <c r="J1455" s="1" t="s">
        <v>46</v>
      </c>
      <c r="K1455" t="s">
        <v>1218</v>
      </c>
      <c r="M1455" s="1" t="s">
        <v>58</v>
      </c>
      <c r="N1455" s="1">
        <v>0</v>
      </c>
      <c r="O1455" s="1" t="s">
        <v>105</v>
      </c>
      <c r="P1455" s="12">
        <v>44984.709282407406</v>
      </c>
      <c r="R1455" s="1">
        <v>13</v>
      </c>
      <c r="T1455" s="1" t="s">
        <v>238</v>
      </c>
      <c r="U1455" s="12">
        <v>44985.395833333336</v>
      </c>
      <c r="V1455" s="1" t="s">
        <v>41</v>
      </c>
      <c r="W1455" s="1" t="s">
        <v>49</v>
      </c>
      <c r="X1455" s="13" t="str">
        <f t="shared" si="99"/>
        <v>4844.05</v>
      </c>
      <c r="Y1455" s="2">
        <f t="shared" ca="1" si="100"/>
        <v>3</v>
      </c>
    </row>
    <row r="1456" spans="1:25" hidden="1">
      <c r="A1456" s="1">
        <v>9519836</v>
      </c>
      <c r="B1456" s="1" t="s">
        <v>81</v>
      </c>
      <c r="C1456" t="s">
        <v>4210</v>
      </c>
      <c r="E1456" s="2">
        <v>9705000206001</v>
      </c>
      <c r="F1456" s="1" t="s">
        <v>29</v>
      </c>
      <c r="G1456" s="1" t="s">
        <v>53</v>
      </c>
      <c r="H1456" s="1" t="s">
        <v>204</v>
      </c>
      <c r="I1456" s="1" t="s">
        <v>205</v>
      </c>
      <c r="J1456" s="1" t="s">
        <v>90</v>
      </c>
      <c r="K1456" t="s">
        <v>34</v>
      </c>
      <c r="M1456" s="1" t="s">
        <v>35</v>
      </c>
      <c r="N1456" s="1">
        <v>42318949</v>
      </c>
      <c r="O1456" s="1" t="s">
        <v>105</v>
      </c>
      <c r="P1456" s="12">
        <v>44984.724548611113</v>
      </c>
      <c r="R1456" s="1" t="s">
        <v>38</v>
      </c>
      <c r="T1456" s="1" t="s">
        <v>74</v>
      </c>
      <c r="U1456" s="12">
        <v>44985.724548611113</v>
      </c>
      <c r="V1456" s="1" t="s">
        <v>41</v>
      </c>
      <c r="W1456" s="1" t="s">
        <v>49</v>
      </c>
      <c r="X1456" s="13" t="str">
        <f t="shared" si="99"/>
        <v/>
      </c>
      <c r="Y1456" s="2">
        <f t="shared" ca="1" si="100"/>
        <v>3</v>
      </c>
    </row>
    <row r="1457" spans="1:25" hidden="1">
      <c r="A1457" s="1">
        <v>9519835</v>
      </c>
      <c r="B1457" s="1" t="s">
        <v>81</v>
      </c>
      <c r="C1457" t="s">
        <v>4210</v>
      </c>
      <c r="E1457" s="2">
        <v>9704000206001</v>
      </c>
      <c r="F1457" s="1" t="s">
        <v>29</v>
      </c>
      <c r="G1457" s="1" t="s">
        <v>53</v>
      </c>
      <c r="H1457" s="1" t="s">
        <v>488</v>
      </c>
      <c r="I1457" s="1" t="s">
        <v>489</v>
      </c>
      <c r="J1457" s="1" t="s">
        <v>164</v>
      </c>
      <c r="K1457" t="s">
        <v>34</v>
      </c>
      <c r="M1457" s="1" t="s">
        <v>35</v>
      </c>
      <c r="N1457" s="1">
        <v>42318949</v>
      </c>
      <c r="O1457" s="1" t="s">
        <v>105</v>
      </c>
      <c r="P1457" s="12">
        <v>44984.724548611113</v>
      </c>
      <c r="R1457" s="1" t="s">
        <v>38</v>
      </c>
      <c r="T1457" s="1" t="s">
        <v>74</v>
      </c>
      <c r="U1457" s="12">
        <v>44985.724548611113</v>
      </c>
      <c r="V1457" s="1" t="s">
        <v>41</v>
      </c>
      <c r="W1457" s="1" t="s">
        <v>49</v>
      </c>
      <c r="X1457" s="13" t="str">
        <f t="shared" si="99"/>
        <v/>
      </c>
      <c r="Y1457" s="2">
        <f t="shared" ca="1" si="100"/>
        <v>3</v>
      </c>
    </row>
    <row r="1458" spans="1:25" hidden="1">
      <c r="A1458" s="1">
        <v>9519834</v>
      </c>
      <c r="B1458" s="1" t="s">
        <v>81</v>
      </c>
      <c r="C1458" t="s">
        <v>4210</v>
      </c>
      <c r="E1458" s="2">
        <v>9700000206001</v>
      </c>
      <c r="F1458" s="1" t="s">
        <v>29</v>
      </c>
      <c r="G1458" s="1" t="s">
        <v>53</v>
      </c>
      <c r="H1458" s="1" t="s">
        <v>209</v>
      </c>
      <c r="I1458" s="1" t="s">
        <v>210</v>
      </c>
      <c r="J1458" s="1" t="s">
        <v>211</v>
      </c>
      <c r="K1458" t="s">
        <v>34</v>
      </c>
      <c r="M1458" s="1" t="s">
        <v>35</v>
      </c>
      <c r="N1458" s="1">
        <v>42318949</v>
      </c>
      <c r="O1458" s="1" t="s">
        <v>105</v>
      </c>
      <c r="P1458" s="12">
        <v>44984.724548611113</v>
      </c>
      <c r="R1458" s="1" t="s">
        <v>38</v>
      </c>
      <c r="T1458" s="1" t="s">
        <v>74</v>
      </c>
      <c r="U1458" s="12">
        <v>44985.724548611113</v>
      </c>
      <c r="V1458" s="1" t="s">
        <v>41</v>
      </c>
      <c r="W1458" s="1" t="s">
        <v>49</v>
      </c>
      <c r="X1458" s="13" t="str">
        <f t="shared" si="99"/>
        <v/>
      </c>
      <c r="Y1458" s="2">
        <f t="shared" ca="1" si="100"/>
        <v>3</v>
      </c>
    </row>
    <row r="1459" spans="1:25" hidden="1">
      <c r="A1459" s="1">
        <v>9519802</v>
      </c>
      <c r="B1459" s="1" t="s">
        <v>81</v>
      </c>
      <c r="C1459" t="s">
        <v>4210</v>
      </c>
      <c r="E1459" s="2">
        <v>9661000206001</v>
      </c>
      <c r="F1459" s="1" t="s">
        <v>29</v>
      </c>
      <c r="G1459" s="1" t="s">
        <v>53</v>
      </c>
      <c r="H1459" s="1" t="s">
        <v>31</v>
      </c>
      <c r="I1459" s="1" t="s">
        <v>32</v>
      </c>
      <c r="J1459" s="1" t="s">
        <v>33</v>
      </c>
      <c r="K1459" t="s">
        <v>34</v>
      </c>
      <c r="M1459" s="1" t="s">
        <v>35</v>
      </c>
      <c r="N1459" s="1">
        <v>42318949</v>
      </c>
      <c r="O1459" s="1" t="s">
        <v>105</v>
      </c>
      <c r="P1459" s="12">
        <v>44984.724502314813</v>
      </c>
      <c r="R1459" s="1" t="s">
        <v>38</v>
      </c>
      <c r="T1459" s="1" t="s">
        <v>74</v>
      </c>
      <c r="U1459" s="12">
        <v>44985.724502314813</v>
      </c>
      <c r="V1459" s="1" t="s">
        <v>41</v>
      </c>
      <c r="W1459" s="1" t="s">
        <v>42</v>
      </c>
      <c r="X1459" s="13" t="str">
        <f t="shared" si="99"/>
        <v/>
      </c>
      <c r="Y1459" s="2">
        <f t="shared" ca="1" si="100"/>
        <v>3</v>
      </c>
    </row>
    <row r="1460" spans="1:25" hidden="1">
      <c r="A1460" s="1">
        <v>9519762</v>
      </c>
      <c r="B1460" s="1" t="s">
        <v>81</v>
      </c>
      <c r="C1460" t="s">
        <v>4210</v>
      </c>
      <c r="E1460" s="2">
        <v>9406000206001</v>
      </c>
      <c r="F1460" s="1" t="s">
        <v>29</v>
      </c>
      <c r="G1460" s="1" t="s">
        <v>53</v>
      </c>
      <c r="H1460" s="1" t="s">
        <v>114</v>
      </c>
      <c r="I1460" s="1" t="s">
        <v>115</v>
      </c>
      <c r="J1460" s="1" t="s">
        <v>46</v>
      </c>
      <c r="K1460" t="s">
        <v>34</v>
      </c>
      <c r="M1460" s="1" t="s">
        <v>35</v>
      </c>
      <c r="N1460" s="1">
        <v>42318949</v>
      </c>
      <c r="O1460" s="1" t="s">
        <v>105</v>
      </c>
      <c r="P1460" s="12">
        <v>44984.724444444444</v>
      </c>
      <c r="R1460" s="1" t="s">
        <v>38</v>
      </c>
      <c r="T1460" s="1" t="s">
        <v>74</v>
      </c>
      <c r="U1460" s="12">
        <v>44985.724444444444</v>
      </c>
      <c r="V1460" s="1" t="s">
        <v>41</v>
      </c>
      <c r="W1460" s="1" t="s">
        <v>49</v>
      </c>
      <c r="X1460" s="13" t="str">
        <f t="shared" si="99"/>
        <v/>
      </c>
      <c r="Y1460" s="2">
        <f t="shared" ca="1" si="100"/>
        <v>3</v>
      </c>
    </row>
    <row r="1461" spans="1:25" hidden="1">
      <c r="A1461" s="1">
        <v>9519717</v>
      </c>
      <c r="B1461" s="1" t="s">
        <v>81</v>
      </c>
      <c r="C1461" t="s">
        <v>4210</v>
      </c>
      <c r="E1461" s="2">
        <v>8634000206001</v>
      </c>
      <c r="F1461" s="1" t="s">
        <v>29</v>
      </c>
      <c r="G1461" s="1" t="s">
        <v>53</v>
      </c>
      <c r="H1461" s="1" t="s">
        <v>293</v>
      </c>
      <c r="I1461" s="1" t="s">
        <v>294</v>
      </c>
      <c r="J1461" s="1" t="s">
        <v>46</v>
      </c>
      <c r="K1461" t="s">
        <v>34</v>
      </c>
      <c r="M1461" s="1" t="s">
        <v>35</v>
      </c>
      <c r="N1461" s="1">
        <v>42318949</v>
      </c>
      <c r="O1461" s="1" t="s">
        <v>105</v>
      </c>
      <c r="P1461" s="12">
        <v>44984.724386574075</v>
      </c>
      <c r="R1461" s="1" t="s">
        <v>38</v>
      </c>
      <c r="T1461" s="1" t="s">
        <v>74</v>
      </c>
      <c r="U1461" s="12">
        <v>44985.724386574075</v>
      </c>
      <c r="V1461" s="1" t="s">
        <v>41</v>
      </c>
      <c r="W1461" s="1" t="s">
        <v>49</v>
      </c>
      <c r="X1461" s="13" t="str">
        <f t="shared" si="99"/>
        <v/>
      </c>
      <c r="Y1461" s="2">
        <f t="shared" ca="1" si="100"/>
        <v>3</v>
      </c>
    </row>
    <row r="1462" spans="1:25" hidden="1">
      <c r="A1462" s="1">
        <v>9519716</v>
      </c>
      <c r="B1462" s="1" t="s">
        <v>81</v>
      </c>
      <c r="C1462" t="s">
        <v>4210</v>
      </c>
      <c r="E1462" s="2">
        <v>8633000206001</v>
      </c>
      <c r="F1462" s="1" t="s">
        <v>29</v>
      </c>
      <c r="G1462" s="1" t="s">
        <v>53</v>
      </c>
      <c r="H1462" s="1" t="s">
        <v>835</v>
      </c>
      <c r="I1462" s="1" t="s">
        <v>836</v>
      </c>
      <c r="J1462" s="1" t="s">
        <v>46</v>
      </c>
      <c r="K1462" t="s">
        <v>34</v>
      </c>
      <c r="M1462" s="1" t="s">
        <v>35</v>
      </c>
      <c r="N1462" s="1">
        <v>42318949</v>
      </c>
      <c r="O1462" s="1" t="s">
        <v>105</v>
      </c>
      <c r="P1462" s="12">
        <v>44984.724386574075</v>
      </c>
      <c r="R1462" s="1" t="s">
        <v>38</v>
      </c>
      <c r="T1462" s="1" t="s">
        <v>74</v>
      </c>
      <c r="U1462" s="12">
        <v>44985.724386574075</v>
      </c>
      <c r="V1462" s="1" t="s">
        <v>41</v>
      </c>
      <c r="W1462" s="1" t="s">
        <v>49</v>
      </c>
      <c r="X1462" s="13" t="str">
        <f t="shared" si="99"/>
        <v/>
      </c>
      <c r="Y1462" s="2">
        <f t="shared" ca="1" si="100"/>
        <v>3</v>
      </c>
    </row>
    <row r="1463" spans="1:25" hidden="1">
      <c r="A1463" s="1">
        <v>9519630</v>
      </c>
      <c r="B1463" s="1" t="s">
        <v>81</v>
      </c>
      <c r="C1463" t="s">
        <v>4210</v>
      </c>
      <c r="E1463" s="2">
        <v>8259000206001</v>
      </c>
      <c r="F1463" s="1" t="s">
        <v>29</v>
      </c>
      <c r="G1463" s="1" t="s">
        <v>53</v>
      </c>
      <c r="H1463" s="1" t="s">
        <v>245</v>
      </c>
      <c r="I1463" s="1" t="s">
        <v>246</v>
      </c>
      <c r="J1463" s="1" t="s">
        <v>56</v>
      </c>
      <c r="K1463" t="s">
        <v>34</v>
      </c>
      <c r="M1463" s="1" t="s">
        <v>35</v>
      </c>
      <c r="N1463" s="1">
        <v>42318949</v>
      </c>
      <c r="O1463" s="1" t="s">
        <v>105</v>
      </c>
      <c r="P1463" s="11" t="s">
        <v>4211</v>
      </c>
      <c r="R1463" s="1" t="s">
        <v>38</v>
      </c>
      <c r="T1463" s="1" t="s">
        <v>74</v>
      </c>
      <c r="U1463" s="11" t="s">
        <v>4212</v>
      </c>
      <c r="V1463" s="1" t="s">
        <v>41</v>
      </c>
      <c r="W1463" s="1" t="s">
        <v>49</v>
      </c>
      <c r="X1463" s="13" t="str">
        <f t="shared" si="99"/>
        <v/>
      </c>
      <c r="Y1463" s="2">
        <f t="shared" ca="1" si="100"/>
        <v>3</v>
      </c>
    </row>
    <row r="1464" spans="1:25" hidden="1">
      <c r="A1464" s="1">
        <v>9519573</v>
      </c>
      <c r="B1464" s="1" t="s">
        <v>81</v>
      </c>
      <c r="C1464" t="s">
        <v>4210</v>
      </c>
      <c r="E1464" s="2">
        <v>8074000206001</v>
      </c>
      <c r="F1464" s="1" t="s">
        <v>29</v>
      </c>
      <c r="G1464" s="1" t="s">
        <v>53</v>
      </c>
      <c r="H1464" s="1" t="s">
        <v>1257</v>
      </c>
      <c r="I1464" s="1" t="s">
        <v>1258</v>
      </c>
      <c r="J1464" s="1" t="s">
        <v>33</v>
      </c>
      <c r="K1464" t="s">
        <v>34</v>
      </c>
      <c r="M1464" s="1" t="s">
        <v>35</v>
      </c>
      <c r="N1464" s="1">
        <v>42318949</v>
      </c>
      <c r="O1464" s="1" t="s">
        <v>105</v>
      </c>
      <c r="P1464" s="11" t="s">
        <v>4213</v>
      </c>
      <c r="R1464" s="1" t="s">
        <v>38</v>
      </c>
      <c r="T1464" s="1" t="s">
        <v>74</v>
      </c>
      <c r="U1464" s="11" t="s">
        <v>4214</v>
      </c>
      <c r="V1464" s="1" t="s">
        <v>41</v>
      </c>
      <c r="W1464" s="1" t="s">
        <v>49</v>
      </c>
      <c r="X1464" s="13" t="str">
        <f t="shared" si="99"/>
        <v/>
      </c>
      <c r="Y1464" s="2">
        <f t="shared" ca="1" si="100"/>
        <v>3</v>
      </c>
    </row>
    <row r="1465" spans="1:25" hidden="1">
      <c r="A1465" s="1">
        <v>9519548</v>
      </c>
      <c r="B1465" s="1" t="s">
        <v>81</v>
      </c>
      <c r="C1465" t="s">
        <v>4210</v>
      </c>
      <c r="E1465" s="2">
        <v>7420000206001</v>
      </c>
      <c r="F1465" s="1" t="s">
        <v>29</v>
      </c>
      <c r="G1465" s="1" t="s">
        <v>53</v>
      </c>
      <c r="H1465" s="1" t="s">
        <v>1076</v>
      </c>
      <c r="I1465" s="1" t="s">
        <v>1077</v>
      </c>
      <c r="J1465" s="1" t="s">
        <v>46</v>
      </c>
      <c r="K1465" t="s">
        <v>34</v>
      </c>
      <c r="M1465" s="1" t="s">
        <v>35</v>
      </c>
      <c r="N1465" s="1">
        <v>42318949</v>
      </c>
      <c r="O1465" s="1" t="s">
        <v>105</v>
      </c>
      <c r="P1465" s="11" t="s">
        <v>4215</v>
      </c>
      <c r="R1465" s="1" t="s">
        <v>38</v>
      </c>
      <c r="T1465" s="1" t="s">
        <v>74</v>
      </c>
      <c r="U1465" s="186">
        <v>44985.724143518521</v>
      </c>
      <c r="V1465" s="1" t="s">
        <v>41</v>
      </c>
      <c r="W1465" s="1" t="s">
        <v>49</v>
      </c>
      <c r="X1465" s="13" t="str">
        <f t="shared" si="99"/>
        <v/>
      </c>
      <c r="Y1465" s="2">
        <f t="shared" ca="1" si="100"/>
        <v>3</v>
      </c>
    </row>
    <row r="1466" spans="1:25" hidden="1">
      <c r="A1466" s="1">
        <v>9519089</v>
      </c>
      <c r="B1466" s="1" t="s">
        <v>81</v>
      </c>
      <c r="C1466" t="s">
        <v>4210</v>
      </c>
      <c r="E1466" s="2">
        <v>5898000206001</v>
      </c>
      <c r="F1466" s="1" t="s">
        <v>29</v>
      </c>
      <c r="G1466" s="1" t="s">
        <v>53</v>
      </c>
      <c r="H1466" s="1" t="s">
        <v>365</v>
      </c>
      <c r="I1466" s="1" t="s">
        <v>366</v>
      </c>
      <c r="J1466" s="1" t="s">
        <v>164</v>
      </c>
      <c r="K1466" t="s">
        <v>34</v>
      </c>
      <c r="M1466" s="1" t="s">
        <v>35</v>
      </c>
      <c r="N1466" s="1">
        <v>42318949</v>
      </c>
      <c r="O1466" s="1" t="s">
        <v>105</v>
      </c>
      <c r="P1466" s="11" t="s">
        <v>4216</v>
      </c>
      <c r="R1466" s="1" t="s">
        <v>38</v>
      </c>
      <c r="T1466" s="1" t="s">
        <v>74</v>
      </c>
      <c r="U1466" s="11" t="s">
        <v>4217</v>
      </c>
      <c r="V1466" s="1" t="s">
        <v>41</v>
      </c>
      <c r="W1466" s="1" t="s">
        <v>49</v>
      </c>
      <c r="X1466" s="13" t="str">
        <f t="shared" ref="X1466:X1529" si="101">IF(RIGHT(H1466,2)&lt;&gt;"00",H1466,"")</f>
        <v/>
      </c>
      <c r="Y1466" s="2">
        <f t="shared" ref="Y1466:Y1529" ca="1" si="102">NETWORKDAYS(P1466,$Y$1)</f>
        <v>3</v>
      </c>
    </row>
    <row r="1467" spans="1:25" hidden="1">
      <c r="A1467" s="1">
        <v>9519063</v>
      </c>
      <c r="B1467" s="1" t="s">
        <v>81</v>
      </c>
      <c r="C1467" t="s">
        <v>4210</v>
      </c>
      <c r="E1467" s="2">
        <v>5816000206001</v>
      </c>
      <c r="F1467" s="1" t="s">
        <v>29</v>
      </c>
      <c r="G1467" s="1" t="s">
        <v>53</v>
      </c>
      <c r="H1467" s="1" t="s">
        <v>412</v>
      </c>
      <c r="I1467" s="1" t="s">
        <v>413</v>
      </c>
      <c r="J1467" s="1" t="s">
        <v>46</v>
      </c>
      <c r="K1467" t="s">
        <v>34</v>
      </c>
      <c r="M1467" s="1" t="s">
        <v>35</v>
      </c>
      <c r="N1467" s="1">
        <v>42318949</v>
      </c>
      <c r="O1467" s="1" t="s">
        <v>105</v>
      </c>
      <c r="P1467" s="11" t="s">
        <v>4218</v>
      </c>
      <c r="R1467" s="1" t="s">
        <v>38</v>
      </c>
      <c r="T1467" s="1" t="s">
        <v>74</v>
      </c>
      <c r="U1467" s="11" t="s">
        <v>4219</v>
      </c>
      <c r="V1467" s="1" t="s">
        <v>41</v>
      </c>
      <c r="W1467" s="1" t="s">
        <v>49</v>
      </c>
      <c r="X1467" s="13" t="str">
        <f t="shared" si="101"/>
        <v/>
      </c>
      <c r="Y1467" s="2">
        <f t="shared" ca="1" si="102"/>
        <v>3</v>
      </c>
    </row>
    <row r="1468" spans="1:25" hidden="1">
      <c r="A1468" s="1">
        <v>9519025</v>
      </c>
      <c r="B1468" s="1" t="s">
        <v>81</v>
      </c>
      <c r="C1468" t="s">
        <v>4210</v>
      </c>
      <c r="E1468" s="2">
        <v>5755000206001</v>
      </c>
      <c r="F1468" s="1" t="s">
        <v>29</v>
      </c>
      <c r="G1468" s="1" t="s">
        <v>53</v>
      </c>
      <c r="H1468" s="1" t="s">
        <v>841</v>
      </c>
      <c r="I1468" s="1" t="s">
        <v>842</v>
      </c>
      <c r="J1468" s="1" t="s">
        <v>46</v>
      </c>
      <c r="K1468" t="s">
        <v>34</v>
      </c>
      <c r="M1468" s="1" t="s">
        <v>35</v>
      </c>
      <c r="N1468" s="1">
        <v>42318949</v>
      </c>
      <c r="O1468" s="1" t="s">
        <v>105</v>
      </c>
      <c r="P1468" s="11" t="s">
        <v>4220</v>
      </c>
      <c r="R1468" s="1" t="s">
        <v>38</v>
      </c>
      <c r="T1468" s="1" t="s">
        <v>74</v>
      </c>
      <c r="U1468" s="11" t="s">
        <v>4221</v>
      </c>
      <c r="V1468" s="1" t="s">
        <v>41</v>
      </c>
      <c r="W1468" s="1" t="s">
        <v>49</v>
      </c>
      <c r="X1468" s="13" t="str">
        <f t="shared" si="101"/>
        <v/>
      </c>
      <c r="Y1468" s="2">
        <f t="shared" ca="1" si="102"/>
        <v>3</v>
      </c>
    </row>
    <row r="1469" spans="1:25" hidden="1">
      <c r="A1469" s="1">
        <v>9519021</v>
      </c>
      <c r="B1469" s="1" t="s">
        <v>81</v>
      </c>
      <c r="C1469" t="s">
        <v>4210</v>
      </c>
      <c r="E1469" s="2">
        <v>5749000206001</v>
      </c>
      <c r="F1469" s="1" t="s">
        <v>29</v>
      </c>
      <c r="G1469" s="1" t="s">
        <v>53</v>
      </c>
      <c r="H1469" s="1" t="s">
        <v>1811</v>
      </c>
      <c r="I1469" s="1" t="s">
        <v>1812</v>
      </c>
      <c r="J1469" s="1" t="s">
        <v>33</v>
      </c>
      <c r="K1469" t="s">
        <v>34</v>
      </c>
      <c r="M1469" s="1" t="s">
        <v>35</v>
      </c>
      <c r="N1469" s="1">
        <v>42318949</v>
      </c>
      <c r="O1469" s="1" t="s">
        <v>105</v>
      </c>
      <c r="P1469" s="11" t="s">
        <v>4222</v>
      </c>
      <c r="R1469" s="1" t="s">
        <v>38</v>
      </c>
      <c r="T1469" s="1" t="s">
        <v>74</v>
      </c>
      <c r="U1469" s="11" t="s">
        <v>4223</v>
      </c>
      <c r="V1469" s="1" t="s">
        <v>41</v>
      </c>
      <c r="W1469" s="1" t="s">
        <v>42</v>
      </c>
      <c r="X1469" s="13" t="str">
        <f t="shared" si="101"/>
        <v/>
      </c>
      <c r="Y1469" s="2">
        <f t="shared" ca="1" si="102"/>
        <v>3</v>
      </c>
    </row>
    <row r="1470" spans="1:25" hidden="1">
      <c r="A1470" s="1">
        <v>9519019</v>
      </c>
      <c r="B1470" s="1" t="s">
        <v>81</v>
      </c>
      <c r="C1470" t="s">
        <v>4210</v>
      </c>
      <c r="E1470" s="2">
        <v>5742000206001</v>
      </c>
      <c r="F1470" s="1" t="s">
        <v>29</v>
      </c>
      <c r="G1470" s="1" t="s">
        <v>53</v>
      </c>
      <c r="H1470" s="1" t="s">
        <v>430</v>
      </c>
      <c r="I1470" s="1" t="s">
        <v>431</v>
      </c>
      <c r="J1470" s="1" t="s">
        <v>79</v>
      </c>
      <c r="K1470" t="s">
        <v>34</v>
      </c>
      <c r="M1470" s="1" t="s">
        <v>35</v>
      </c>
      <c r="N1470" s="1">
        <v>42318949</v>
      </c>
      <c r="O1470" s="1" t="s">
        <v>105</v>
      </c>
      <c r="P1470" s="11" t="s">
        <v>4222</v>
      </c>
      <c r="R1470" s="1" t="s">
        <v>38</v>
      </c>
      <c r="T1470" s="1" t="s">
        <v>74</v>
      </c>
      <c r="U1470" s="11" t="s">
        <v>4223</v>
      </c>
      <c r="V1470" s="1" t="s">
        <v>41</v>
      </c>
      <c r="W1470" s="1" t="s">
        <v>49</v>
      </c>
      <c r="X1470" s="13" t="str">
        <f t="shared" si="101"/>
        <v/>
      </c>
      <c r="Y1470" s="2">
        <f t="shared" ca="1" si="102"/>
        <v>3</v>
      </c>
    </row>
    <row r="1471" spans="1:25" hidden="1">
      <c r="A1471" s="1">
        <v>9519018</v>
      </c>
      <c r="B1471" s="1" t="s">
        <v>81</v>
      </c>
      <c r="C1471" t="s">
        <v>4210</v>
      </c>
      <c r="E1471" s="2">
        <v>5740000206001</v>
      </c>
      <c r="F1471" s="1" t="s">
        <v>29</v>
      </c>
      <c r="G1471" s="1" t="s">
        <v>53</v>
      </c>
      <c r="H1471" s="1" t="s">
        <v>626</v>
      </c>
      <c r="I1471" s="1" t="s">
        <v>627</v>
      </c>
      <c r="J1471" s="1" t="s">
        <v>46</v>
      </c>
      <c r="K1471" t="s">
        <v>34</v>
      </c>
      <c r="M1471" s="1" t="s">
        <v>35</v>
      </c>
      <c r="N1471" s="1">
        <v>42318949</v>
      </c>
      <c r="O1471" s="1" t="s">
        <v>105</v>
      </c>
      <c r="P1471" s="11" t="s">
        <v>4222</v>
      </c>
      <c r="R1471" s="1" t="s">
        <v>38</v>
      </c>
      <c r="T1471" s="1" t="s">
        <v>74</v>
      </c>
      <c r="U1471" s="11" t="s">
        <v>4223</v>
      </c>
      <c r="V1471" s="1" t="s">
        <v>41</v>
      </c>
      <c r="W1471" s="1" t="s">
        <v>49</v>
      </c>
      <c r="X1471" s="13" t="str">
        <f t="shared" si="101"/>
        <v/>
      </c>
      <c r="Y1471" s="2">
        <f t="shared" ca="1" si="102"/>
        <v>3</v>
      </c>
    </row>
    <row r="1472" spans="1:25" hidden="1">
      <c r="A1472" s="1">
        <v>9518836</v>
      </c>
      <c r="B1472" s="1" t="s">
        <v>81</v>
      </c>
      <c r="C1472" t="s">
        <v>4210</v>
      </c>
      <c r="E1472" s="2">
        <v>4997000206001</v>
      </c>
      <c r="F1472" s="1" t="s">
        <v>29</v>
      </c>
      <c r="G1472" s="1" t="s">
        <v>53</v>
      </c>
      <c r="H1472" s="1" t="s">
        <v>406</v>
      </c>
      <c r="I1472" s="1" t="s">
        <v>407</v>
      </c>
      <c r="J1472" s="1" t="s">
        <v>79</v>
      </c>
      <c r="K1472" t="s">
        <v>34</v>
      </c>
      <c r="M1472" s="1" t="s">
        <v>35</v>
      </c>
      <c r="N1472" s="1">
        <v>42318949</v>
      </c>
      <c r="O1472" s="1" t="s">
        <v>105</v>
      </c>
      <c r="P1472" s="11" t="s">
        <v>4224</v>
      </c>
      <c r="R1472" s="1" t="s">
        <v>38</v>
      </c>
      <c r="T1472" s="1" t="s">
        <v>74</v>
      </c>
      <c r="U1472" s="11" t="s">
        <v>4225</v>
      </c>
      <c r="V1472" s="1" t="s">
        <v>41</v>
      </c>
      <c r="W1472" s="1" t="s">
        <v>49</v>
      </c>
      <c r="X1472" s="13" t="str">
        <f t="shared" si="101"/>
        <v/>
      </c>
      <c r="Y1472" s="2">
        <f t="shared" ca="1" si="102"/>
        <v>3</v>
      </c>
    </row>
    <row r="1473" spans="1:25" hidden="1">
      <c r="A1473" s="1">
        <v>9518824</v>
      </c>
      <c r="B1473" s="1" t="s">
        <v>81</v>
      </c>
      <c r="C1473" t="s">
        <v>4210</v>
      </c>
      <c r="E1473" s="2">
        <v>4930000206001</v>
      </c>
      <c r="F1473" s="1" t="s">
        <v>29</v>
      </c>
      <c r="G1473" s="1" t="s">
        <v>53</v>
      </c>
      <c r="H1473" s="1" t="s">
        <v>1813</v>
      </c>
      <c r="I1473" s="1" t="s">
        <v>1814</v>
      </c>
      <c r="J1473" s="1" t="s">
        <v>46</v>
      </c>
      <c r="K1473" t="s">
        <v>34</v>
      </c>
      <c r="M1473" s="1" t="s">
        <v>35</v>
      </c>
      <c r="N1473" s="1">
        <v>42318949</v>
      </c>
      <c r="O1473" s="1" t="s">
        <v>105</v>
      </c>
      <c r="P1473" s="11" t="s">
        <v>4226</v>
      </c>
      <c r="R1473" s="1" t="s">
        <v>38</v>
      </c>
      <c r="T1473" s="1" t="s">
        <v>74</v>
      </c>
      <c r="U1473" s="11" t="s">
        <v>4227</v>
      </c>
      <c r="V1473" s="1" t="s">
        <v>41</v>
      </c>
      <c r="W1473" s="1" t="s">
        <v>49</v>
      </c>
      <c r="X1473" s="13" t="str">
        <f t="shared" si="101"/>
        <v/>
      </c>
      <c r="Y1473" s="2">
        <f t="shared" ca="1" si="102"/>
        <v>3</v>
      </c>
    </row>
    <row r="1474" spans="1:25" hidden="1">
      <c r="A1474" s="1">
        <v>9518781</v>
      </c>
      <c r="B1474" s="1" t="s">
        <v>81</v>
      </c>
      <c r="C1474" t="s">
        <v>4210</v>
      </c>
      <c r="E1474" s="2">
        <v>4844920206001</v>
      </c>
      <c r="F1474" s="1" t="s">
        <v>29</v>
      </c>
      <c r="G1474" s="1" t="s">
        <v>53</v>
      </c>
      <c r="H1474" s="1" t="s">
        <v>1815</v>
      </c>
      <c r="I1474" s="1" t="s">
        <v>1816</v>
      </c>
      <c r="J1474" s="1" t="s">
        <v>211</v>
      </c>
      <c r="K1474" t="s">
        <v>34</v>
      </c>
      <c r="M1474" s="1" t="s">
        <v>35</v>
      </c>
      <c r="N1474" s="1">
        <v>42318949</v>
      </c>
      <c r="O1474" s="1" t="s">
        <v>105</v>
      </c>
      <c r="P1474" s="11" t="s">
        <v>4228</v>
      </c>
      <c r="R1474" s="1" t="s">
        <v>38</v>
      </c>
      <c r="T1474" s="1" t="s">
        <v>74</v>
      </c>
      <c r="U1474" s="11" t="s">
        <v>4229</v>
      </c>
      <c r="V1474" s="1" t="s">
        <v>41</v>
      </c>
      <c r="W1474" s="1" t="s">
        <v>49</v>
      </c>
      <c r="X1474" s="13" t="str">
        <f t="shared" si="101"/>
        <v>4844.92</v>
      </c>
      <c r="Y1474" s="2">
        <f t="shared" ca="1" si="102"/>
        <v>3</v>
      </c>
    </row>
    <row r="1475" spans="1:25" hidden="1">
      <c r="A1475" s="1">
        <v>9518664</v>
      </c>
      <c r="B1475" s="1" t="s">
        <v>81</v>
      </c>
      <c r="C1475" t="s">
        <v>4210</v>
      </c>
      <c r="E1475" s="2">
        <v>4637000206001</v>
      </c>
      <c r="F1475" s="1" t="s">
        <v>29</v>
      </c>
      <c r="G1475" s="1" t="s">
        <v>53</v>
      </c>
      <c r="H1475" s="1" t="s">
        <v>848</v>
      </c>
      <c r="I1475" s="1" t="s">
        <v>849</v>
      </c>
      <c r="J1475" s="1" t="s">
        <v>79</v>
      </c>
      <c r="K1475" t="s">
        <v>34</v>
      </c>
      <c r="M1475" s="1" t="s">
        <v>35</v>
      </c>
      <c r="N1475" s="1">
        <v>42318949</v>
      </c>
      <c r="O1475" s="1" t="s">
        <v>105</v>
      </c>
      <c r="P1475" s="11" t="s">
        <v>4230</v>
      </c>
      <c r="R1475" s="1" t="s">
        <v>38</v>
      </c>
      <c r="T1475" s="1" t="s">
        <v>74</v>
      </c>
      <c r="U1475" s="186">
        <v>44985.722800925927</v>
      </c>
      <c r="V1475" s="1" t="s">
        <v>41</v>
      </c>
      <c r="W1475" s="1" t="s">
        <v>49</v>
      </c>
      <c r="X1475" s="13" t="str">
        <f t="shared" si="101"/>
        <v/>
      </c>
      <c r="Y1475" s="2">
        <f t="shared" ca="1" si="102"/>
        <v>3</v>
      </c>
    </row>
    <row r="1476" spans="1:25" hidden="1">
      <c r="A1476" s="1">
        <v>9518651</v>
      </c>
      <c r="B1476" s="1" t="s">
        <v>81</v>
      </c>
      <c r="C1476" t="s">
        <v>4210</v>
      </c>
      <c r="E1476" s="2">
        <v>4623000206001</v>
      </c>
      <c r="F1476" s="1" t="s">
        <v>29</v>
      </c>
      <c r="G1476" s="1" t="s">
        <v>53</v>
      </c>
      <c r="H1476" s="1" t="s">
        <v>669</v>
      </c>
      <c r="I1476" s="1" t="s">
        <v>670</v>
      </c>
      <c r="J1476" s="1" t="s">
        <v>33</v>
      </c>
      <c r="K1476" t="s">
        <v>34</v>
      </c>
      <c r="M1476" s="1" t="s">
        <v>35</v>
      </c>
      <c r="N1476" s="1">
        <v>42318949</v>
      </c>
      <c r="O1476" s="1" t="s">
        <v>105</v>
      </c>
      <c r="P1476" s="11" t="s">
        <v>4231</v>
      </c>
      <c r="R1476" s="1" t="s">
        <v>38</v>
      </c>
      <c r="T1476" s="1" t="s">
        <v>74</v>
      </c>
      <c r="U1476" s="186">
        <v>44985.722777777781</v>
      </c>
      <c r="V1476" s="1" t="s">
        <v>41</v>
      </c>
      <c r="W1476" s="1" t="s">
        <v>42</v>
      </c>
      <c r="X1476" s="13" t="str">
        <f t="shared" si="101"/>
        <v/>
      </c>
      <c r="Y1476" s="2">
        <f t="shared" ca="1" si="102"/>
        <v>3</v>
      </c>
    </row>
    <row r="1477" spans="1:25" hidden="1">
      <c r="A1477" s="1">
        <v>9518407</v>
      </c>
      <c r="B1477" s="1" t="s">
        <v>81</v>
      </c>
      <c r="C1477" t="s">
        <v>4210</v>
      </c>
      <c r="E1477" s="2">
        <v>4274000206001</v>
      </c>
      <c r="F1477" s="1" t="s">
        <v>29</v>
      </c>
      <c r="G1477" s="1" t="s">
        <v>53</v>
      </c>
      <c r="H1477" s="1" t="s">
        <v>386</v>
      </c>
      <c r="I1477" s="1" t="s">
        <v>387</v>
      </c>
      <c r="J1477" s="1" t="s">
        <v>46</v>
      </c>
      <c r="K1477" t="s">
        <v>34</v>
      </c>
      <c r="M1477" s="1" t="s">
        <v>35</v>
      </c>
      <c r="N1477" s="1">
        <v>42318949</v>
      </c>
      <c r="O1477" s="1" t="s">
        <v>105</v>
      </c>
      <c r="P1477" s="11" t="s">
        <v>4232</v>
      </c>
      <c r="R1477" s="1" t="s">
        <v>38</v>
      </c>
      <c r="T1477" s="1" t="s">
        <v>74</v>
      </c>
      <c r="U1477" s="186">
        <v>44985.722395833334</v>
      </c>
      <c r="V1477" s="1" t="s">
        <v>41</v>
      </c>
      <c r="W1477" s="1" t="s">
        <v>49</v>
      </c>
      <c r="X1477" s="13" t="str">
        <f t="shared" si="101"/>
        <v/>
      </c>
      <c r="Y1477" s="2">
        <f t="shared" ca="1" si="102"/>
        <v>3</v>
      </c>
    </row>
    <row r="1478" spans="1:25" hidden="1">
      <c r="A1478" s="1">
        <v>9518386</v>
      </c>
      <c r="B1478" s="1" t="s">
        <v>81</v>
      </c>
      <c r="C1478" t="s">
        <v>4210</v>
      </c>
      <c r="E1478" s="2">
        <v>4235000206001</v>
      </c>
      <c r="F1478" s="1" t="s">
        <v>29</v>
      </c>
      <c r="G1478" s="1" t="s">
        <v>53</v>
      </c>
      <c r="H1478" s="1" t="s">
        <v>291</v>
      </c>
      <c r="I1478" s="1" t="s">
        <v>292</v>
      </c>
      <c r="J1478" s="1" t="s">
        <v>46</v>
      </c>
      <c r="K1478" t="s">
        <v>34</v>
      </c>
      <c r="M1478" s="1" t="s">
        <v>35</v>
      </c>
      <c r="N1478" s="1">
        <v>42318949</v>
      </c>
      <c r="O1478" s="1" t="s">
        <v>105</v>
      </c>
      <c r="P1478" s="11" t="s">
        <v>4233</v>
      </c>
      <c r="R1478" s="1" t="s">
        <v>38</v>
      </c>
      <c r="T1478" s="1" t="s">
        <v>74</v>
      </c>
      <c r="U1478" s="186">
        <v>44985.722361111111</v>
      </c>
      <c r="V1478" s="1" t="s">
        <v>41</v>
      </c>
      <c r="W1478" s="1" t="s">
        <v>49</v>
      </c>
      <c r="X1478" s="13" t="str">
        <f t="shared" si="101"/>
        <v/>
      </c>
      <c r="Y1478" s="2">
        <f t="shared" ca="1" si="102"/>
        <v>3</v>
      </c>
    </row>
    <row r="1479" spans="1:25" hidden="1">
      <c r="A1479" s="1">
        <v>9518298</v>
      </c>
      <c r="B1479" s="1" t="s">
        <v>81</v>
      </c>
      <c r="C1479" t="s">
        <v>4210</v>
      </c>
      <c r="E1479" s="2">
        <v>4119000206001</v>
      </c>
      <c r="F1479" s="1" t="s">
        <v>29</v>
      </c>
      <c r="G1479" s="1" t="s">
        <v>53</v>
      </c>
      <c r="H1479" s="1" t="s">
        <v>297</v>
      </c>
      <c r="I1479" s="1" t="s">
        <v>298</v>
      </c>
      <c r="J1479" s="1" t="s">
        <v>211</v>
      </c>
      <c r="K1479" t="s">
        <v>34</v>
      </c>
      <c r="M1479" s="1" t="s">
        <v>35</v>
      </c>
      <c r="N1479" s="1">
        <v>42318949</v>
      </c>
      <c r="O1479" s="1" t="s">
        <v>105</v>
      </c>
      <c r="P1479" s="11" t="s">
        <v>4234</v>
      </c>
      <c r="R1479" s="1" t="s">
        <v>38</v>
      </c>
      <c r="T1479" s="1" t="s">
        <v>74</v>
      </c>
      <c r="U1479" s="186">
        <v>44985.722222222219</v>
      </c>
      <c r="V1479" s="1" t="s">
        <v>41</v>
      </c>
      <c r="W1479" s="1" t="s">
        <v>49</v>
      </c>
      <c r="X1479" s="13" t="str">
        <f t="shared" si="101"/>
        <v/>
      </c>
      <c r="Y1479" s="2">
        <f t="shared" ca="1" si="102"/>
        <v>3</v>
      </c>
    </row>
    <row r="1480" spans="1:25" hidden="1">
      <c r="A1480" s="1">
        <v>9518297</v>
      </c>
      <c r="B1480" s="1" t="s">
        <v>81</v>
      </c>
      <c r="C1480" t="s">
        <v>4210</v>
      </c>
      <c r="E1480" s="2">
        <v>4118000206001</v>
      </c>
      <c r="F1480" s="1" t="s">
        <v>29</v>
      </c>
      <c r="G1480" s="1" t="s">
        <v>53</v>
      </c>
      <c r="H1480" s="1" t="s">
        <v>71</v>
      </c>
      <c r="I1480" s="1" t="s">
        <v>72</v>
      </c>
      <c r="J1480" s="1" t="s">
        <v>46</v>
      </c>
      <c r="K1480" t="s">
        <v>34</v>
      </c>
      <c r="M1480" s="1" t="s">
        <v>35</v>
      </c>
      <c r="N1480" s="1">
        <v>42318949</v>
      </c>
      <c r="O1480" s="1" t="s">
        <v>105</v>
      </c>
      <c r="P1480" s="11" t="s">
        <v>4234</v>
      </c>
      <c r="R1480" s="1" t="s">
        <v>38</v>
      </c>
      <c r="T1480" s="1" t="s">
        <v>74</v>
      </c>
      <c r="U1480" s="186">
        <v>44985.722222222219</v>
      </c>
      <c r="V1480" s="1" t="s">
        <v>41</v>
      </c>
      <c r="W1480" s="1" t="s">
        <v>49</v>
      </c>
      <c r="X1480" s="13" t="str">
        <f t="shared" si="101"/>
        <v/>
      </c>
      <c r="Y1480" s="2">
        <f t="shared" ca="1" si="102"/>
        <v>3</v>
      </c>
    </row>
    <row r="1481" spans="1:25" hidden="1">
      <c r="A1481" s="1">
        <v>9518269</v>
      </c>
      <c r="B1481" s="1" t="s">
        <v>81</v>
      </c>
      <c r="C1481" t="s">
        <v>4210</v>
      </c>
      <c r="E1481" s="2">
        <v>4076000206001</v>
      </c>
      <c r="F1481" s="1" t="s">
        <v>29</v>
      </c>
      <c r="G1481" s="1" t="s">
        <v>53</v>
      </c>
      <c r="H1481" s="1" t="s">
        <v>426</v>
      </c>
      <c r="I1481" s="1" t="s">
        <v>427</v>
      </c>
      <c r="J1481" s="1" t="s">
        <v>79</v>
      </c>
      <c r="K1481" t="s">
        <v>34</v>
      </c>
      <c r="M1481" s="1" t="s">
        <v>35</v>
      </c>
      <c r="N1481" s="1">
        <v>42318949</v>
      </c>
      <c r="O1481" s="1" t="s">
        <v>105</v>
      </c>
      <c r="P1481" s="12">
        <v>44984.722187500003</v>
      </c>
      <c r="R1481" s="1" t="s">
        <v>38</v>
      </c>
      <c r="T1481" s="1" t="s">
        <v>74</v>
      </c>
      <c r="U1481" s="12">
        <v>44985.722187500003</v>
      </c>
      <c r="V1481" s="1" t="s">
        <v>41</v>
      </c>
      <c r="W1481" s="1" t="s">
        <v>49</v>
      </c>
      <c r="X1481" s="13" t="str">
        <f t="shared" si="101"/>
        <v/>
      </c>
      <c r="Y1481" s="2">
        <f t="shared" ca="1" si="102"/>
        <v>3</v>
      </c>
    </row>
    <row r="1482" spans="1:25" hidden="1">
      <c r="A1482" s="1">
        <v>9518221</v>
      </c>
      <c r="B1482" s="1" t="s">
        <v>81</v>
      </c>
      <c r="C1482" t="s">
        <v>4210</v>
      </c>
      <c r="E1482" s="2">
        <v>4012000206001</v>
      </c>
      <c r="F1482" s="1" t="s">
        <v>29</v>
      </c>
      <c r="G1482" s="1" t="s">
        <v>53</v>
      </c>
      <c r="H1482" s="1" t="s">
        <v>349</v>
      </c>
      <c r="I1482" s="1" t="s">
        <v>350</v>
      </c>
      <c r="J1482" s="1" t="s">
        <v>261</v>
      </c>
      <c r="K1482" t="s">
        <v>34</v>
      </c>
      <c r="M1482" s="1" t="s">
        <v>35</v>
      </c>
      <c r="N1482" s="1">
        <v>42318949</v>
      </c>
      <c r="O1482" s="1" t="s">
        <v>105</v>
      </c>
      <c r="P1482" s="12">
        <v>44984.72210648148</v>
      </c>
      <c r="R1482" s="1" t="s">
        <v>38</v>
      </c>
      <c r="T1482" s="1" t="s">
        <v>74</v>
      </c>
      <c r="U1482" s="12">
        <v>44985.72210648148</v>
      </c>
      <c r="V1482" s="1" t="s">
        <v>41</v>
      </c>
      <c r="W1482" s="1" t="s">
        <v>49</v>
      </c>
      <c r="X1482" s="13" t="str">
        <f t="shared" si="101"/>
        <v/>
      </c>
      <c r="Y1482" s="2">
        <f t="shared" ca="1" si="102"/>
        <v>3</v>
      </c>
    </row>
    <row r="1483" spans="1:25" hidden="1">
      <c r="A1483" s="1">
        <v>9518146</v>
      </c>
      <c r="B1483" s="1" t="s">
        <v>81</v>
      </c>
      <c r="C1483" t="s">
        <v>4210</v>
      </c>
      <c r="E1483" s="2">
        <v>3924000206001</v>
      </c>
      <c r="F1483" s="1" t="s">
        <v>29</v>
      </c>
      <c r="G1483" s="1" t="s">
        <v>53</v>
      </c>
      <c r="H1483" s="1" t="s">
        <v>153</v>
      </c>
      <c r="I1483" s="1" t="s">
        <v>154</v>
      </c>
      <c r="J1483" s="1" t="s">
        <v>56</v>
      </c>
      <c r="K1483" t="s">
        <v>34</v>
      </c>
      <c r="M1483" s="1" t="s">
        <v>35</v>
      </c>
      <c r="N1483" s="1">
        <v>42318949</v>
      </c>
      <c r="O1483" s="1" t="s">
        <v>105</v>
      </c>
      <c r="P1483" s="12">
        <v>44984.722002314818</v>
      </c>
      <c r="R1483" s="1" t="s">
        <v>38</v>
      </c>
      <c r="T1483" s="1" t="s">
        <v>74</v>
      </c>
      <c r="U1483" s="12">
        <v>44985.722002314818</v>
      </c>
      <c r="V1483" s="1" t="s">
        <v>41</v>
      </c>
      <c r="W1483" s="1" t="s">
        <v>49</v>
      </c>
      <c r="X1483" s="13" t="str">
        <f t="shared" si="101"/>
        <v/>
      </c>
      <c r="Y1483" s="2">
        <f t="shared" ca="1" si="102"/>
        <v>3</v>
      </c>
    </row>
    <row r="1484" spans="1:25" hidden="1">
      <c r="A1484" s="1">
        <v>9518142</v>
      </c>
      <c r="B1484" s="1" t="s">
        <v>81</v>
      </c>
      <c r="C1484" t="s">
        <v>4210</v>
      </c>
      <c r="E1484" s="2">
        <v>3918000206001</v>
      </c>
      <c r="F1484" s="1" t="s">
        <v>29</v>
      </c>
      <c r="G1484" s="1" t="s">
        <v>53</v>
      </c>
      <c r="H1484" s="1" t="s">
        <v>858</v>
      </c>
      <c r="I1484" s="1" t="s">
        <v>859</v>
      </c>
      <c r="J1484" s="1" t="s">
        <v>33</v>
      </c>
      <c r="K1484" t="s">
        <v>34</v>
      </c>
      <c r="M1484" s="1" t="s">
        <v>35</v>
      </c>
      <c r="N1484" s="1">
        <v>42318949</v>
      </c>
      <c r="O1484" s="1" t="s">
        <v>105</v>
      </c>
      <c r="P1484" s="12">
        <v>44984.722002314818</v>
      </c>
      <c r="R1484" s="1" t="s">
        <v>38</v>
      </c>
      <c r="T1484" s="1" t="s">
        <v>74</v>
      </c>
      <c r="U1484" s="12">
        <v>44985.722002314818</v>
      </c>
      <c r="V1484" s="1" t="s">
        <v>41</v>
      </c>
      <c r="W1484" s="1" t="s">
        <v>49</v>
      </c>
      <c r="X1484" s="13" t="str">
        <f t="shared" si="101"/>
        <v/>
      </c>
      <c r="Y1484" s="2">
        <f t="shared" ca="1" si="102"/>
        <v>3</v>
      </c>
    </row>
    <row r="1485" spans="1:25" hidden="1">
      <c r="A1485" s="1">
        <v>9518054</v>
      </c>
      <c r="B1485" s="1" t="s">
        <v>81</v>
      </c>
      <c r="C1485" t="s">
        <v>4210</v>
      </c>
      <c r="E1485" s="2">
        <v>3802000206001</v>
      </c>
      <c r="F1485" s="1" t="s">
        <v>29</v>
      </c>
      <c r="G1485" s="1" t="s">
        <v>53</v>
      </c>
      <c r="H1485" s="1" t="s">
        <v>319</v>
      </c>
      <c r="I1485" s="1" t="s">
        <v>320</v>
      </c>
      <c r="J1485" s="1" t="s">
        <v>148</v>
      </c>
      <c r="K1485" t="s">
        <v>34</v>
      </c>
      <c r="M1485" s="1" t="s">
        <v>35</v>
      </c>
      <c r="N1485" s="1">
        <v>42318949</v>
      </c>
      <c r="O1485" s="1" t="s">
        <v>105</v>
      </c>
      <c r="P1485" s="12">
        <v>44984.721863425926</v>
      </c>
      <c r="R1485" s="1" t="s">
        <v>38</v>
      </c>
      <c r="T1485" s="1" t="s">
        <v>74</v>
      </c>
      <c r="U1485" s="12">
        <v>44985.721863425926</v>
      </c>
      <c r="V1485" s="1" t="s">
        <v>41</v>
      </c>
      <c r="W1485" s="1" t="s">
        <v>49</v>
      </c>
      <c r="X1485" s="13" t="str">
        <f t="shared" si="101"/>
        <v/>
      </c>
      <c r="Y1485" s="2">
        <f t="shared" ca="1" si="102"/>
        <v>3</v>
      </c>
    </row>
    <row r="1486" spans="1:25" hidden="1">
      <c r="A1486" s="1">
        <v>9517985</v>
      </c>
      <c r="B1486" s="1" t="s">
        <v>81</v>
      </c>
      <c r="C1486" t="s">
        <v>4210</v>
      </c>
      <c r="E1486" s="2">
        <v>3699000206001</v>
      </c>
      <c r="F1486" s="1" t="s">
        <v>29</v>
      </c>
      <c r="G1486" s="1" t="s">
        <v>53</v>
      </c>
      <c r="H1486" s="1" t="s">
        <v>343</v>
      </c>
      <c r="I1486" s="1" t="s">
        <v>344</v>
      </c>
      <c r="J1486" s="1" t="s">
        <v>46</v>
      </c>
      <c r="K1486" t="s">
        <v>34</v>
      </c>
      <c r="M1486" s="1" t="s">
        <v>35</v>
      </c>
      <c r="N1486" s="1">
        <v>42318949</v>
      </c>
      <c r="O1486" s="1" t="s">
        <v>105</v>
      </c>
      <c r="P1486" s="12">
        <v>44984.721759259257</v>
      </c>
      <c r="R1486" s="1" t="s">
        <v>38</v>
      </c>
      <c r="T1486" s="1" t="s">
        <v>74</v>
      </c>
      <c r="U1486" s="12">
        <v>44985.721759259257</v>
      </c>
      <c r="V1486" s="1" t="s">
        <v>41</v>
      </c>
      <c r="W1486" s="1" t="s">
        <v>49</v>
      </c>
      <c r="X1486" s="13" t="str">
        <f t="shared" si="101"/>
        <v/>
      </c>
      <c r="Y1486" s="2">
        <f t="shared" ca="1" si="102"/>
        <v>3</v>
      </c>
    </row>
    <row r="1487" spans="1:25" hidden="1">
      <c r="A1487" s="1">
        <v>9517910</v>
      </c>
      <c r="B1487" s="1" t="s">
        <v>81</v>
      </c>
      <c r="C1487" t="s">
        <v>4210</v>
      </c>
      <c r="E1487" s="2">
        <v>3613200206001</v>
      </c>
      <c r="F1487" s="1" t="s">
        <v>29</v>
      </c>
      <c r="G1487" s="1" t="s">
        <v>53</v>
      </c>
      <c r="H1487" s="1" t="s">
        <v>496</v>
      </c>
      <c r="I1487" s="1" t="s">
        <v>198</v>
      </c>
      <c r="J1487" s="1" t="s">
        <v>46</v>
      </c>
      <c r="K1487" t="s">
        <v>34</v>
      </c>
      <c r="M1487" s="1" t="s">
        <v>35</v>
      </c>
      <c r="N1487" s="1">
        <v>42318949</v>
      </c>
      <c r="O1487" s="1" t="s">
        <v>105</v>
      </c>
      <c r="P1487" s="12">
        <v>44984.721655092595</v>
      </c>
      <c r="R1487" s="1" t="s">
        <v>38</v>
      </c>
      <c r="T1487" s="1" t="s">
        <v>74</v>
      </c>
      <c r="U1487" s="12">
        <v>44985.721655092595</v>
      </c>
      <c r="V1487" s="1" t="s">
        <v>41</v>
      </c>
      <c r="W1487" s="1" t="s">
        <v>49</v>
      </c>
      <c r="X1487" s="13" t="str">
        <f t="shared" si="101"/>
        <v>3613.20</v>
      </c>
      <c r="Y1487" s="2">
        <f t="shared" ca="1" si="102"/>
        <v>3</v>
      </c>
    </row>
    <row r="1488" spans="1:25" hidden="1">
      <c r="A1488" s="1">
        <v>9517909</v>
      </c>
      <c r="B1488" s="1" t="s">
        <v>81</v>
      </c>
      <c r="C1488" t="s">
        <v>4210</v>
      </c>
      <c r="E1488" s="2">
        <v>3613000206001</v>
      </c>
      <c r="F1488" s="1" t="s">
        <v>29</v>
      </c>
      <c r="G1488" s="1" t="s">
        <v>53</v>
      </c>
      <c r="H1488" s="1" t="s">
        <v>679</v>
      </c>
      <c r="I1488" s="1" t="s">
        <v>680</v>
      </c>
      <c r="J1488" s="1" t="s">
        <v>46</v>
      </c>
      <c r="K1488" t="s">
        <v>34</v>
      </c>
      <c r="M1488" s="1" t="s">
        <v>35</v>
      </c>
      <c r="N1488" s="1">
        <v>42318949</v>
      </c>
      <c r="O1488" s="1" t="s">
        <v>105</v>
      </c>
      <c r="P1488" s="12">
        <v>44984.721655092595</v>
      </c>
      <c r="R1488" s="1" t="s">
        <v>38</v>
      </c>
      <c r="T1488" s="1" t="s">
        <v>74</v>
      </c>
      <c r="U1488" s="12">
        <v>44985.721655092595</v>
      </c>
      <c r="V1488" s="1" t="s">
        <v>41</v>
      </c>
      <c r="W1488" s="1" t="s">
        <v>49</v>
      </c>
      <c r="X1488" s="13" t="str">
        <f t="shared" si="101"/>
        <v/>
      </c>
      <c r="Y1488" s="2">
        <f t="shared" ca="1" si="102"/>
        <v>3</v>
      </c>
    </row>
    <row r="1489" spans="1:25" hidden="1">
      <c r="A1489" s="1">
        <v>9517833</v>
      </c>
      <c r="B1489" s="1" t="s">
        <v>81</v>
      </c>
      <c r="C1489" t="s">
        <v>4210</v>
      </c>
      <c r="E1489" s="2">
        <v>3504000206001</v>
      </c>
      <c r="F1489" s="1" t="s">
        <v>29</v>
      </c>
      <c r="G1489" s="1" t="s">
        <v>53</v>
      </c>
      <c r="H1489" s="1" t="s">
        <v>585</v>
      </c>
      <c r="I1489" s="1" t="s">
        <v>586</v>
      </c>
      <c r="J1489" s="1" t="s">
        <v>46</v>
      </c>
      <c r="K1489" t="s">
        <v>34</v>
      </c>
      <c r="M1489" s="1" t="s">
        <v>35</v>
      </c>
      <c r="N1489" s="1">
        <v>42318949</v>
      </c>
      <c r="O1489" s="1" t="s">
        <v>105</v>
      </c>
      <c r="P1489" s="12">
        <v>44984.721539351849</v>
      </c>
      <c r="R1489" s="1" t="s">
        <v>38</v>
      </c>
      <c r="T1489" s="1" t="s">
        <v>74</v>
      </c>
      <c r="U1489" s="12">
        <v>44985.721539351849</v>
      </c>
      <c r="V1489" s="1" t="s">
        <v>41</v>
      </c>
      <c r="W1489" s="1" t="s">
        <v>49</v>
      </c>
      <c r="X1489" s="13" t="str">
        <f t="shared" si="101"/>
        <v/>
      </c>
      <c r="Y1489" s="2">
        <f t="shared" ca="1" si="102"/>
        <v>3</v>
      </c>
    </row>
    <row r="1490" spans="1:25" hidden="1">
      <c r="A1490" s="1">
        <v>9517832</v>
      </c>
      <c r="B1490" s="1" t="s">
        <v>81</v>
      </c>
      <c r="C1490" t="s">
        <v>4210</v>
      </c>
      <c r="E1490" s="2">
        <v>3503000206001</v>
      </c>
      <c r="F1490" s="1" t="s">
        <v>29</v>
      </c>
      <c r="G1490" s="1" t="s">
        <v>53</v>
      </c>
      <c r="H1490" s="1" t="s">
        <v>398</v>
      </c>
      <c r="I1490" s="1" t="s">
        <v>399</v>
      </c>
      <c r="J1490" s="1" t="s">
        <v>46</v>
      </c>
      <c r="K1490" t="s">
        <v>34</v>
      </c>
      <c r="M1490" s="1" t="s">
        <v>35</v>
      </c>
      <c r="N1490" s="1">
        <v>42318949</v>
      </c>
      <c r="O1490" s="1" t="s">
        <v>105</v>
      </c>
      <c r="P1490" s="12">
        <v>44984.721539351849</v>
      </c>
      <c r="R1490" s="1" t="s">
        <v>38</v>
      </c>
      <c r="T1490" s="1" t="s">
        <v>74</v>
      </c>
      <c r="U1490" s="12">
        <v>44985.721539351849</v>
      </c>
      <c r="V1490" s="1" t="s">
        <v>41</v>
      </c>
      <c r="W1490" s="1" t="s">
        <v>49</v>
      </c>
      <c r="X1490" s="13" t="str">
        <f t="shared" si="101"/>
        <v/>
      </c>
      <c r="Y1490" s="2">
        <f t="shared" ca="1" si="102"/>
        <v>3</v>
      </c>
    </row>
    <row r="1491" spans="1:25" hidden="1">
      <c r="A1491" s="1">
        <v>9517788</v>
      </c>
      <c r="B1491" s="1" t="s">
        <v>81</v>
      </c>
      <c r="C1491" t="s">
        <v>4210</v>
      </c>
      <c r="E1491" s="2">
        <v>3434000206001</v>
      </c>
      <c r="F1491" s="1" t="s">
        <v>29</v>
      </c>
      <c r="G1491" s="1" t="s">
        <v>53</v>
      </c>
      <c r="H1491" s="1" t="s">
        <v>1825</v>
      </c>
      <c r="I1491" s="1" t="s">
        <v>1826</v>
      </c>
      <c r="J1491" s="1" t="s">
        <v>46</v>
      </c>
      <c r="K1491" t="s">
        <v>34</v>
      </c>
      <c r="M1491" s="1" t="s">
        <v>35</v>
      </c>
      <c r="N1491" s="1">
        <v>42318949</v>
      </c>
      <c r="O1491" s="1" t="s">
        <v>105</v>
      </c>
      <c r="P1491" s="12">
        <v>44984.72148148148</v>
      </c>
      <c r="R1491" s="1" t="s">
        <v>38</v>
      </c>
      <c r="T1491" s="1" t="s">
        <v>74</v>
      </c>
      <c r="U1491" s="12">
        <v>44985.72148148148</v>
      </c>
      <c r="V1491" s="1" t="s">
        <v>41</v>
      </c>
      <c r="W1491" s="1" t="s">
        <v>49</v>
      </c>
      <c r="X1491" s="13" t="str">
        <f t="shared" si="101"/>
        <v/>
      </c>
      <c r="Y1491" s="2">
        <f t="shared" ca="1" si="102"/>
        <v>3</v>
      </c>
    </row>
    <row r="1492" spans="1:25" hidden="1">
      <c r="A1492" s="1">
        <v>9517659</v>
      </c>
      <c r="B1492" s="1" t="s">
        <v>81</v>
      </c>
      <c r="C1492" t="s">
        <v>4210</v>
      </c>
      <c r="E1492" s="2">
        <v>3258000206001</v>
      </c>
      <c r="F1492" s="1" t="s">
        <v>29</v>
      </c>
      <c r="G1492" s="1" t="s">
        <v>53</v>
      </c>
      <c r="H1492" s="1" t="s">
        <v>321</v>
      </c>
      <c r="I1492" s="1" t="s">
        <v>322</v>
      </c>
      <c r="J1492" s="1" t="s">
        <v>46</v>
      </c>
      <c r="K1492" t="s">
        <v>34</v>
      </c>
      <c r="M1492" s="1" t="s">
        <v>35</v>
      </c>
      <c r="N1492" s="1">
        <v>42318949</v>
      </c>
      <c r="O1492" s="1" t="s">
        <v>105</v>
      </c>
      <c r="P1492" s="12">
        <v>44984.721284722225</v>
      </c>
      <c r="R1492" s="1" t="s">
        <v>38</v>
      </c>
      <c r="T1492" s="1" t="s">
        <v>74</v>
      </c>
      <c r="U1492" s="12">
        <v>44985.721284722225</v>
      </c>
      <c r="V1492" s="1" t="s">
        <v>41</v>
      </c>
      <c r="W1492" s="1" t="s">
        <v>49</v>
      </c>
      <c r="X1492" s="13" t="str">
        <f t="shared" si="101"/>
        <v/>
      </c>
      <c r="Y1492" s="2">
        <f t="shared" ca="1" si="102"/>
        <v>3</v>
      </c>
    </row>
    <row r="1493" spans="1:25" hidden="1">
      <c r="A1493" s="1">
        <v>9517651</v>
      </c>
      <c r="B1493" s="1" t="s">
        <v>81</v>
      </c>
      <c r="C1493" t="s">
        <v>4210</v>
      </c>
      <c r="E1493" s="2">
        <v>3250000206001</v>
      </c>
      <c r="F1493" s="1" t="s">
        <v>29</v>
      </c>
      <c r="G1493" s="1" t="s">
        <v>53</v>
      </c>
      <c r="H1493" s="1" t="s">
        <v>371</v>
      </c>
      <c r="I1493" s="1" t="s">
        <v>372</v>
      </c>
      <c r="J1493" s="1" t="s">
        <v>46</v>
      </c>
      <c r="K1493" t="s">
        <v>34</v>
      </c>
      <c r="M1493" s="1" t="s">
        <v>35</v>
      </c>
      <c r="N1493" s="1">
        <v>42318949</v>
      </c>
      <c r="O1493" s="1" t="s">
        <v>105</v>
      </c>
      <c r="P1493" s="12">
        <v>44984.721261574072</v>
      </c>
      <c r="R1493" s="1" t="s">
        <v>38</v>
      </c>
      <c r="T1493" s="1" t="s">
        <v>74</v>
      </c>
      <c r="U1493" s="12">
        <v>44985.721273148149</v>
      </c>
      <c r="V1493" s="1" t="s">
        <v>41</v>
      </c>
      <c r="W1493" s="1" t="s">
        <v>49</v>
      </c>
      <c r="X1493" s="13" t="str">
        <f t="shared" si="101"/>
        <v/>
      </c>
      <c r="Y1493" s="2">
        <f t="shared" ca="1" si="102"/>
        <v>3</v>
      </c>
    </row>
    <row r="1494" spans="1:25" hidden="1">
      <c r="A1494" s="1">
        <v>9517646</v>
      </c>
      <c r="B1494" s="1" t="s">
        <v>81</v>
      </c>
      <c r="C1494" t="s">
        <v>4210</v>
      </c>
      <c r="E1494" s="2">
        <v>3243000206001</v>
      </c>
      <c r="F1494" s="1" t="s">
        <v>29</v>
      </c>
      <c r="G1494" s="1" t="s">
        <v>53</v>
      </c>
      <c r="H1494" s="1" t="s">
        <v>282</v>
      </c>
      <c r="I1494" s="1" t="s">
        <v>283</v>
      </c>
      <c r="J1494" s="1" t="s">
        <v>46</v>
      </c>
      <c r="K1494" t="s">
        <v>34</v>
      </c>
      <c r="M1494" s="1" t="s">
        <v>35</v>
      </c>
      <c r="N1494" s="1">
        <v>42318949</v>
      </c>
      <c r="O1494" s="1" t="s">
        <v>105</v>
      </c>
      <c r="P1494" s="12">
        <v>44984.721261574072</v>
      </c>
      <c r="R1494" s="1" t="s">
        <v>38</v>
      </c>
      <c r="T1494" s="1" t="s">
        <v>74</v>
      </c>
      <c r="U1494" s="12">
        <v>44985.721261574072</v>
      </c>
      <c r="V1494" s="1" t="s">
        <v>41</v>
      </c>
      <c r="W1494" s="1" t="s">
        <v>49</v>
      </c>
      <c r="X1494" s="13" t="str">
        <f t="shared" si="101"/>
        <v/>
      </c>
      <c r="Y1494" s="2">
        <f t="shared" ca="1" si="102"/>
        <v>3</v>
      </c>
    </row>
    <row r="1495" spans="1:25" hidden="1">
      <c r="A1495" s="1">
        <v>9517645</v>
      </c>
      <c r="B1495" s="1" t="s">
        <v>81</v>
      </c>
      <c r="C1495" t="s">
        <v>4210</v>
      </c>
      <c r="E1495" s="2">
        <v>3242000206001</v>
      </c>
      <c r="F1495" s="1" t="s">
        <v>29</v>
      </c>
      <c r="G1495" s="1" t="s">
        <v>53</v>
      </c>
      <c r="H1495" s="1" t="s">
        <v>461</v>
      </c>
      <c r="I1495" s="1" t="s">
        <v>462</v>
      </c>
      <c r="J1495" s="1" t="s">
        <v>46</v>
      </c>
      <c r="K1495" t="s">
        <v>34</v>
      </c>
      <c r="M1495" s="1" t="s">
        <v>35</v>
      </c>
      <c r="N1495" s="1">
        <v>42318949</v>
      </c>
      <c r="O1495" s="1" t="s">
        <v>105</v>
      </c>
      <c r="P1495" s="12">
        <v>44984.721261574072</v>
      </c>
      <c r="R1495" s="1" t="s">
        <v>38</v>
      </c>
      <c r="T1495" s="1" t="s">
        <v>74</v>
      </c>
      <c r="U1495" s="12">
        <v>44985.721261574072</v>
      </c>
      <c r="V1495" s="1" t="s">
        <v>41</v>
      </c>
      <c r="W1495" s="1" t="s">
        <v>49</v>
      </c>
      <c r="X1495" s="13" t="str">
        <f t="shared" si="101"/>
        <v/>
      </c>
      <c r="Y1495" s="2">
        <f t="shared" ca="1" si="102"/>
        <v>3</v>
      </c>
    </row>
    <row r="1496" spans="1:25" hidden="1">
      <c r="A1496" s="1">
        <v>9517642</v>
      </c>
      <c r="B1496" s="1" t="s">
        <v>81</v>
      </c>
      <c r="C1496" t="s">
        <v>4210</v>
      </c>
      <c r="E1496" s="2">
        <v>3237000206001</v>
      </c>
      <c r="F1496" s="1" t="s">
        <v>29</v>
      </c>
      <c r="G1496" s="1" t="s">
        <v>53</v>
      </c>
      <c r="H1496" s="1" t="s">
        <v>287</v>
      </c>
      <c r="I1496" s="1" t="s">
        <v>288</v>
      </c>
      <c r="J1496" s="1" t="s">
        <v>46</v>
      </c>
      <c r="K1496" t="s">
        <v>34</v>
      </c>
      <c r="M1496" s="1" t="s">
        <v>35</v>
      </c>
      <c r="N1496" s="1">
        <v>42318949</v>
      </c>
      <c r="O1496" s="1" t="s">
        <v>105</v>
      </c>
      <c r="P1496" s="12">
        <v>44984.721250000002</v>
      </c>
      <c r="R1496" s="1" t="s">
        <v>38</v>
      </c>
      <c r="T1496" s="1" t="s">
        <v>74</v>
      </c>
      <c r="U1496" s="12">
        <v>44985.721250000002</v>
      </c>
      <c r="V1496" s="1" t="s">
        <v>41</v>
      </c>
      <c r="W1496" s="1" t="s">
        <v>49</v>
      </c>
      <c r="X1496" s="13" t="str">
        <f t="shared" si="101"/>
        <v/>
      </c>
      <c r="Y1496" s="2">
        <f t="shared" ca="1" si="102"/>
        <v>3</v>
      </c>
    </row>
    <row r="1497" spans="1:25" hidden="1">
      <c r="A1497" s="1">
        <v>9517641</v>
      </c>
      <c r="B1497" s="1" t="s">
        <v>81</v>
      </c>
      <c r="C1497" t="s">
        <v>4210</v>
      </c>
      <c r="E1497" s="2">
        <v>3234000206001</v>
      </c>
      <c r="F1497" s="1" t="s">
        <v>29</v>
      </c>
      <c r="G1497" s="1" t="s">
        <v>53</v>
      </c>
      <c r="H1497" s="1" t="s">
        <v>1830</v>
      </c>
      <c r="I1497" s="1" t="s">
        <v>1831</v>
      </c>
      <c r="J1497" s="1" t="s">
        <v>46</v>
      </c>
      <c r="K1497" t="s">
        <v>34</v>
      </c>
      <c r="M1497" s="1" t="s">
        <v>35</v>
      </c>
      <c r="N1497" s="1">
        <v>42318949</v>
      </c>
      <c r="O1497" s="1" t="s">
        <v>105</v>
      </c>
      <c r="P1497" s="12">
        <v>44984.721250000002</v>
      </c>
      <c r="R1497" s="1" t="s">
        <v>38</v>
      </c>
      <c r="T1497" s="1" t="s">
        <v>74</v>
      </c>
      <c r="U1497" s="12">
        <v>44985.721250000002</v>
      </c>
      <c r="V1497" s="1" t="s">
        <v>41</v>
      </c>
      <c r="W1497" s="1" t="s">
        <v>49</v>
      </c>
      <c r="X1497" s="13" t="str">
        <f t="shared" si="101"/>
        <v/>
      </c>
      <c r="Y1497" s="2">
        <f t="shared" ca="1" si="102"/>
        <v>3</v>
      </c>
    </row>
    <row r="1498" spans="1:25" hidden="1">
      <c r="A1498" s="1">
        <v>9517546</v>
      </c>
      <c r="B1498" s="1" t="s">
        <v>81</v>
      </c>
      <c r="C1498" t="s">
        <v>4210</v>
      </c>
      <c r="E1498" s="2">
        <v>3108010206001</v>
      </c>
      <c r="F1498" s="1" t="s">
        <v>29</v>
      </c>
      <c r="G1498" s="1" t="s">
        <v>53</v>
      </c>
      <c r="H1498" s="1" t="s">
        <v>503</v>
      </c>
      <c r="I1498" s="1" t="s">
        <v>504</v>
      </c>
      <c r="J1498" s="1" t="s">
        <v>46</v>
      </c>
      <c r="K1498" t="s">
        <v>34</v>
      </c>
      <c r="M1498" s="1" t="s">
        <v>35</v>
      </c>
      <c r="N1498" s="1">
        <v>42318949</v>
      </c>
      <c r="O1498" s="1" t="s">
        <v>105</v>
      </c>
      <c r="P1498" s="12">
        <v>44984.721099537041</v>
      </c>
      <c r="R1498" s="1" t="s">
        <v>38</v>
      </c>
      <c r="T1498" s="1" t="s">
        <v>74</v>
      </c>
      <c r="U1498" s="12">
        <v>44985.721099537041</v>
      </c>
      <c r="V1498" s="1" t="s">
        <v>41</v>
      </c>
      <c r="W1498" s="1" t="s">
        <v>49</v>
      </c>
      <c r="X1498" s="13" t="str">
        <f t="shared" si="101"/>
        <v>3108.01</v>
      </c>
      <c r="Y1498" s="2">
        <f t="shared" ca="1" si="102"/>
        <v>3</v>
      </c>
    </row>
    <row r="1499" spans="1:25" hidden="1">
      <c r="A1499" s="1">
        <v>9517545</v>
      </c>
      <c r="B1499" s="1" t="s">
        <v>81</v>
      </c>
      <c r="C1499" t="s">
        <v>4210</v>
      </c>
      <c r="E1499" s="2">
        <v>3108000206001</v>
      </c>
      <c r="F1499" s="1" t="s">
        <v>29</v>
      </c>
      <c r="G1499" s="1" t="s">
        <v>53</v>
      </c>
      <c r="H1499" s="1" t="s">
        <v>325</v>
      </c>
      <c r="I1499" s="1" t="s">
        <v>326</v>
      </c>
      <c r="J1499" s="1" t="s">
        <v>46</v>
      </c>
      <c r="K1499" t="s">
        <v>34</v>
      </c>
      <c r="M1499" s="1" t="s">
        <v>35</v>
      </c>
      <c r="N1499" s="1">
        <v>42318949</v>
      </c>
      <c r="O1499" s="1" t="s">
        <v>105</v>
      </c>
      <c r="P1499" s="12">
        <v>44984.721099537041</v>
      </c>
      <c r="R1499" s="1" t="s">
        <v>38</v>
      </c>
      <c r="T1499" s="1" t="s">
        <v>74</v>
      </c>
      <c r="U1499" s="12">
        <v>44985.721099537041</v>
      </c>
      <c r="V1499" s="1" t="s">
        <v>41</v>
      </c>
      <c r="W1499" s="1" t="s">
        <v>49</v>
      </c>
      <c r="X1499" s="13" t="str">
        <f t="shared" si="101"/>
        <v/>
      </c>
      <c r="Y1499" s="2">
        <f t="shared" ca="1" si="102"/>
        <v>3</v>
      </c>
    </row>
    <row r="1500" spans="1:25" hidden="1">
      <c r="A1500" s="1">
        <v>9517457</v>
      </c>
      <c r="B1500" s="1" t="s">
        <v>81</v>
      </c>
      <c r="C1500" t="s">
        <v>4210</v>
      </c>
      <c r="E1500" s="2">
        <v>2988000206001</v>
      </c>
      <c r="F1500" s="1" t="s">
        <v>29</v>
      </c>
      <c r="G1500" s="1" t="s">
        <v>53</v>
      </c>
      <c r="H1500" s="1" t="s">
        <v>536</v>
      </c>
      <c r="I1500" s="1" t="s">
        <v>537</v>
      </c>
      <c r="J1500" s="1" t="s">
        <v>46</v>
      </c>
      <c r="K1500" t="s">
        <v>34</v>
      </c>
      <c r="M1500" s="1" t="s">
        <v>35</v>
      </c>
      <c r="N1500" s="1">
        <v>42318949</v>
      </c>
      <c r="O1500" s="1" t="s">
        <v>105</v>
      </c>
      <c r="P1500" s="12">
        <v>44984.720972222225</v>
      </c>
      <c r="R1500" s="1" t="s">
        <v>38</v>
      </c>
      <c r="T1500" s="1" t="s">
        <v>74</v>
      </c>
      <c r="U1500" s="12">
        <v>44985.720972222225</v>
      </c>
      <c r="V1500" s="1" t="s">
        <v>41</v>
      </c>
      <c r="W1500" s="1" t="s">
        <v>49</v>
      </c>
      <c r="X1500" s="13" t="str">
        <f t="shared" si="101"/>
        <v/>
      </c>
      <c r="Y1500" s="2">
        <f t="shared" ca="1" si="102"/>
        <v>3</v>
      </c>
    </row>
    <row r="1501" spans="1:25" hidden="1">
      <c r="A1501" s="1">
        <v>9517374</v>
      </c>
      <c r="B1501" s="1" t="s">
        <v>81</v>
      </c>
      <c r="C1501" t="s">
        <v>4210</v>
      </c>
      <c r="E1501" s="2">
        <v>2889000206001</v>
      </c>
      <c r="F1501" s="1" t="s">
        <v>29</v>
      </c>
      <c r="G1501" s="1" t="s">
        <v>53</v>
      </c>
      <c r="H1501" s="1" t="s">
        <v>418</v>
      </c>
      <c r="I1501" s="1" t="s">
        <v>419</v>
      </c>
      <c r="J1501" s="1" t="s">
        <v>46</v>
      </c>
      <c r="K1501" t="s">
        <v>34</v>
      </c>
      <c r="M1501" s="1" t="s">
        <v>35</v>
      </c>
      <c r="N1501" s="1">
        <v>42318949</v>
      </c>
      <c r="O1501" s="1" t="s">
        <v>105</v>
      </c>
      <c r="P1501" s="12">
        <v>44984.720856481479</v>
      </c>
      <c r="R1501" s="1" t="s">
        <v>38</v>
      </c>
      <c r="T1501" s="1" t="s">
        <v>74</v>
      </c>
      <c r="U1501" s="12">
        <v>44985.720856481479</v>
      </c>
      <c r="V1501" s="1" t="s">
        <v>41</v>
      </c>
      <c r="W1501" s="1" t="s">
        <v>49</v>
      </c>
      <c r="X1501" s="13" t="str">
        <f t="shared" si="101"/>
        <v/>
      </c>
      <c r="Y1501" s="2">
        <f t="shared" ca="1" si="102"/>
        <v>3</v>
      </c>
    </row>
    <row r="1502" spans="1:25" hidden="1">
      <c r="A1502" s="1">
        <v>9517345</v>
      </c>
      <c r="B1502" s="1" t="s">
        <v>81</v>
      </c>
      <c r="C1502" t="s">
        <v>4210</v>
      </c>
      <c r="E1502" s="2">
        <v>2855000206001</v>
      </c>
      <c r="F1502" s="1" t="s">
        <v>29</v>
      </c>
      <c r="G1502" s="1" t="s">
        <v>53</v>
      </c>
      <c r="H1502" s="1" t="s">
        <v>249</v>
      </c>
      <c r="I1502" s="1" t="s">
        <v>250</v>
      </c>
      <c r="J1502" s="1" t="s">
        <v>56</v>
      </c>
      <c r="K1502" t="s">
        <v>34</v>
      </c>
      <c r="M1502" s="1" t="s">
        <v>35</v>
      </c>
      <c r="N1502" s="1">
        <v>42318949</v>
      </c>
      <c r="O1502" s="1" t="s">
        <v>105</v>
      </c>
      <c r="P1502" s="12">
        <v>44984.720810185187</v>
      </c>
      <c r="R1502" s="1" t="s">
        <v>38</v>
      </c>
      <c r="T1502" s="1" t="s">
        <v>74</v>
      </c>
      <c r="U1502" s="12">
        <v>44985.720810185187</v>
      </c>
      <c r="V1502" s="1" t="s">
        <v>41</v>
      </c>
      <c r="W1502" s="1" t="s">
        <v>49</v>
      </c>
      <c r="X1502" s="13" t="str">
        <f t="shared" si="101"/>
        <v/>
      </c>
      <c r="Y1502" s="2">
        <f t="shared" ca="1" si="102"/>
        <v>3</v>
      </c>
    </row>
    <row r="1503" spans="1:25" hidden="1">
      <c r="A1503" s="1">
        <v>9517325</v>
      </c>
      <c r="B1503" s="1" t="s">
        <v>81</v>
      </c>
      <c r="C1503" t="s">
        <v>4210</v>
      </c>
      <c r="E1503" s="2">
        <v>2830000206001</v>
      </c>
      <c r="F1503" s="1" t="s">
        <v>29</v>
      </c>
      <c r="G1503" s="1" t="s">
        <v>53</v>
      </c>
      <c r="H1503" s="1" t="s">
        <v>448</v>
      </c>
      <c r="I1503" s="1" t="s">
        <v>449</v>
      </c>
      <c r="J1503" s="1" t="s">
        <v>33</v>
      </c>
      <c r="K1503" t="s">
        <v>34</v>
      </c>
      <c r="M1503" s="1" t="s">
        <v>35</v>
      </c>
      <c r="N1503" s="1">
        <v>42318949</v>
      </c>
      <c r="O1503" s="1" t="s">
        <v>105</v>
      </c>
      <c r="P1503" s="12">
        <v>44984.72078703704</v>
      </c>
      <c r="R1503" s="1" t="s">
        <v>38</v>
      </c>
      <c r="T1503" s="1" t="s">
        <v>74</v>
      </c>
      <c r="U1503" s="12">
        <v>44985.72078703704</v>
      </c>
      <c r="V1503" s="1" t="s">
        <v>41</v>
      </c>
      <c r="W1503" s="1" t="s">
        <v>42</v>
      </c>
      <c r="X1503" s="13" t="str">
        <f t="shared" si="101"/>
        <v/>
      </c>
      <c r="Y1503" s="2">
        <f t="shared" ca="1" si="102"/>
        <v>3</v>
      </c>
    </row>
    <row r="1504" spans="1:25" hidden="1">
      <c r="A1504" s="1">
        <v>9517309</v>
      </c>
      <c r="B1504" s="1" t="s">
        <v>81</v>
      </c>
      <c r="C1504" t="s">
        <v>4210</v>
      </c>
      <c r="E1504" s="2">
        <v>2811000206001</v>
      </c>
      <c r="F1504" s="1" t="s">
        <v>29</v>
      </c>
      <c r="G1504" s="1" t="s">
        <v>53</v>
      </c>
      <c r="H1504" s="1" t="s">
        <v>44</v>
      </c>
      <c r="I1504" s="1" t="s">
        <v>45</v>
      </c>
      <c r="J1504" s="1" t="s">
        <v>46</v>
      </c>
      <c r="K1504" t="s">
        <v>34</v>
      </c>
      <c r="M1504" s="1" t="s">
        <v>35</v>
      </c>
      <c r="N1504" s="1">
        <v>42318949</v>
      </c>
      <c r="O1504" s="1" t="s">
        <v>105</v>
      </c>
      <c r="P1504" s="12">
        <v>44984.720763888887</v>
      </c>
      <c r="R1504" s="1" t="s">
        <v>38</v>
      </c>
      <c r="T1504" s="1" t="s">
        <v>74</v>
      </c>
      <c r="U1504" s="12">
        <v>44985.720763888887</v>
      </c>
      <c r="V1504" s="1" t="s">
        <v>41</v>
      </c>
      <c r="W1504" s="1" t="s">
        <v>49</v>
      </c>
      <c r="X1504" s="13" t="str">
        <f t="shared" si="101"/>
        <v/>
      </c>
      <c r="Y1504" s="2">
        <f t="shared" ca="1" si="102"/>
        <v>3</v>
      </c>
    </row>
    <row r="1505" spans="1:25" hidden="1">
      <c r="A1505" s="1">
        <v>9517299</v>
      </c>
      <c r="B1505" s="1" t="s">
        <v>81</v>
      </c>
      <c r="C1505" t="s">
        <v>4210</v>
      </c>
      <c r="E1505" s="2">
        <v>2802080206001</v>
      </c>
      <c r="F1505" s="1" t="s">
        <v>29</v>
      </c>
      <c r="G1505" s="1" t="s">
        <v>53</v>
      </c>
      <c r="H1505" s="1" t="s">
        <v>1834</v>
      </c>
      <c r="I1505" s="1" t="s">
        <v>500</v>
      </c>
      <c r="J1505" s="1" t="s">
        <v>46</v>
      </c>
      <c r="K1505" t="s">
        <v>34</v>
      </c>
      <c r="M1505" s="1" t="s">
        <v>35</v>
      </c>
      <c r="N1505" s="1">
        <v>42318949</v>
      </c>
      <c r="O1505" s="1" t="s">
        <v>105</v>
      </c>
      <c r="P1505" s="12">
        <v>44984.720752314817</v>
      </c>
      <c r="R1505" s="1" t="s">
        <v>38</v>
      </c>
      <c r="T1505" s="1" t="s">
        <v>74</v>
      </c>
      <c r="U1505" s="12">
        <v>44985.720752314817</v>
      </c>
      <c r="V1505" s="1" t="s">
        <v>41</v>
      </c>
      <c r="W1505" s="1" t="s">
        <v>49</v>
      </c>
      <c r="X1505" s="13" t="str">
        <f t="shared" si="101"/>
        <v>2802.08</v>
      </c>
      <c r="Y1505" s="2">
        <f t="shared" ca="1" si="102"/>
        <v>3</v>
      </c>
    </row>
    <row r="1506" spans="1:25" hidden="1">
      <c r="A1506" s="1">
        <v>9517298</v>
      </c>
      <c r="B1506" s="1" t="s">
        <v>81</v>
      </c>
      <c r="C1506" t="s">
        <v>4210</v>
      </c>
      <c r="E1506" s="2">
        <v>2802000206001</v>
      </c>
      <c r="F1506" s="1" t="s">
        <v>29</v>
      </c>
      <c r="G1506" s="1" t="s">
        <v>53</v>
      </c>
      <c r="H1506" s="1" t="s">
        <v>388</v>
      </c>
      <c r="I1506" s="1" t="s">
        <v>389</v>
      </c>
      <c r="J1506" s="1" t="s">
        <v>46</v>
      </c>
      <c r="K1506" t="s">
        <v>34</v>
      </c>
      <c r="M1506" s="1" t="s">
        <v>35</v>
      </c>
      <c r="N1506" s="1">
        <v>42318949</v>
      </c>
      <c r="O1506" s="1" t="s">
        <v>105</v>
      </c>
      <c r="P1506" s="12">
        <v>44984.720752314817</v>
      </c>
      <c r="R1506" s="1" t="s">
        <v>38</v>
      </c>
      <c r="T1506" s="1" t="s">
        <v>74</v>
      </c>
      <c r="U1506" s="12">
        <v>44985.720752314817</v>
      </c>
      <c r="V1506" s="1" t="s">
        <v>41</v>
      </c>
      <c r="W1506" s="1" t="s">
        <v>49</v>
      </c>
      <c r="X1506" s="13" t="str">
        <f t="shared" si="101"/>
        <v/>
      </c>
      <c r="Y1506" s="2">
        <f t="shared" ca="1" si="102"/>
        <v>3</v>
      </c>
    </row>
    <row r="1507" spans="1:25" hidden="1">
      <c r="A1507" s="1">
        <v>9517239</v>
      </c>
      <c r="B1507" s="1" t="s">
        <v>81</v>
      </c>
      <c r="C1507" t="s">
        <v>4210</v>
      </c>
      <c r="E1507" s="2">
        <v>2739000206001</v>
      </c>
      <c r="F1507" s="1" t="s">
        <v>29</v>
      </c>
      <c r="G1507" s="1" t="s">
        <v>53</v>
      </c>
      <c r="H1507" s="1" t="s">
        <v>359</v>
      </c>
      <c r="I1507" s="1" t="s">
        <v>360</v>
      </c>
      <c r="J1507" s="1" t="s">
        <v>85</v>
      </c>
      <c r="K1507" t="s">
        <v>34</v>
      </c>
      <c r="M1507" s="1" t="s">
        <v>35</v>
      </c>
      <c r="N1507" s="1">
        <v>42318949</v>
      </c>
      <c r="O1507" s="1" t="s">
        <v>105</v>
      </c>
      <c r="P1507" s="12">
        <v>44984.720671296294</v>
      </c>
      <c r="R1507" s="1" t="s">
        <v>38</v>
      </c>
      <c r="T1507" s="1" t="s">
        <v>74</v>
      </c>
      <c r="U1507" s="12">
        <v>44985.720671296294</v>
      </c>
      <c r="V1507" s="1" t="s">
        <v>41</v>
      </c>
      <c r="W1507" s="1" t="s">
        <v>49</v>
      </c>
      <c r="X1507" s="13" t="str">
        <f t="shared" si="101"/>
        <v/>
      </c>
      <c r="Y1507" s="2">
        <f t="shared" ca="1" si="102"/>
        <v>3</v>
      </c>
    </row>
    <row r="1508" spans="1:25" hidden="1">
      <c r="A1508" s="1">
        <v>9517237</v>
      </c>
      <c r="B1508" s="1" t="s">
        <v>81</v>
      </c>
      <c r="C1508" t="s">
        <v>4210</v>
      </c>
      <c r="E1508" s="2">
        <v>2737000206001</v>
      </c>
      <c r="F1508" s="1" t="s">
        <v>29</v>
      </c>
      <c r="G1508" s="1" t="s">
        <v>53</v>
      </c>
      <c r="H1508" s="1" t="s">
        <v>311</v>
      </c>
      <c r="I1508" s="1" t="s">
        <v>312</v>
      </c>
      <c r="J1508" s="1" t="s">
        <v>90</v>
      </c>
      <c r="K1508" t="s">
        <v>34</v>
      </c>
      <c r="M1508" s="1" t="s">
        <v>35</v>
      </c>
      <c r="N1508" s="1">
        <v>42318949</v>
      </c>
      <c r="O1508" s="1" t="s">
        <v>105</v>
      </c>
      <c r="P1508" s="12">
        <v>44984.720659722225</v>
      </c>
      <c r="R1508" s="1" t="s">
        <v>38</v>
      </c>
      <c r="T1508" s="1" t="s">
        <v>74</v>
      </c>
      <c r="U1508" s="12">
        <v>44985.720671296294</v>
      </c>
      <c r="V1508" s="1" t="s">
        <v>41</v>
      </c>
      <c r="W1508" s="1" t="s">
        <v>49</v>
      </c>
      <c r="X1508" s="13" t="str">
        <f t="shared" si="101"/>
        <v/>
      </c>
      <c r="Y1508" s="2">
        <f t="shared" ca="1" si="102"/>
        <v>3</v>
      </c>
    </row>
    <row r="1509" spans="1:25" hidden="1">
      <c r="A1509" s="1">
        <v>9517205</v>
      </c>
      <c r="B1509" s="1" t="s">
        <v>81</v>
      </c>
      <c r="C1509" t="s">
        <v>4210</v>
      </c>
      <c r="E1509" s="2">
        <v>2699000206001</v>
      </c>
      <c r="F1509" s="1" t="s">
        <v>29</v>
      </c>
      <c r="G1509" s="1" t="s">
        <v>53</v>
      </c>
      <c r="H1509" s="1" t="s">
        <v>347</v>
      </c>
      <c r="I1509" s="1" t="s">
        <v>348</v>
      </c>
      <c r="J1509" s="1" t="s">
        <v>148</v>
      </c>
      <c r="K1509" t="s">
        <v>34</v>
      </c>
      <c r="M1509" s="1" t="s">
        <v>35</v>
      </c>
      <c r="N1509" s="1">
        <v>42318949</v>
      </c>
      <c r="O1509" s="1" t="s">
        <v>105</v>
      </c>
      <c r="P1509" s="12">
        <v>44984.720613425925</v>
      </c>
      <c r="R1509" s="1" t="s">
        <v>38</v>
      </c>
      <c r="T1509" s="1" t="s">
        <v>74</v>
      </c>
      <c r="U1509" s="12">
        <v>44985.720625000002</v>
      </c>
      <c r="V1509" s="1" t="s">
        <v>41</v>
      </c>
      <c r="W1509" s="1" t="s">
        <v>49</v>
      </c>
      <c r="X1509" s="13" t="str">
        <f t="shared" si="101"/>
        <v/>
      </c>
      <c r="Y1509" s="2">
        <f t="shared" ca="1" si="102"/>
        <v>3</v>
      </c>
    </row>
    <row r="1510" spans="1:25" hidden="1">
      <c r="A1510" s="1">
        <v>9517198</v>
      </c>
      <c r="B1510" s="1" t="s">
        <v>81</v>
      </c>
      <c r="C1510" t="s">
        <v>4210</v>
      </c>
      <c r="E1510" s="2">
        <v>2693000206001</v>
      </c>
      <c r="F1510" s="1" t="s">
        <v>29</v>
      </c>
      <c r="G1510" s="1" t="s">
        <v>53</v>
      </c>
      <c r="H1510" s="1" t="s">
        <v>253</v>
      </c>
      <c r="I1510" s="1" t="s">
        <v>254</v>
      </c>
      <c r="J1510" s="1" t="s">
        <v>56</v>
      </c>
      <c r="K1510" t="s">
        <v>34</v>
      </c>
      <c r="M1510" s="1" t="s">
        <v>35</v>
      </c>
      <c r="N1510" s="1">
        <v>42318949</v>
      </c>
      <c r="O1510" s="1" t="s">
        <v>105</v>
      </c>
      <c r="P1510" s="12">
        <v>44984.720613425925</v>
      </c>
      <c r="R1510" s="1" t="s">
        <v>38</v>
      </c>
      <c r="T1510" s="1" t="s">
        <v>74</v>
      </c>
      <c r="U1510" s="12">
        <v>44985.720613425925</v>
      </c>
      <c r="V1510" s="1" t="s">
        <v>41</v>
      </c>
      <c r="W1510" s="1" t="s">
        <v>49</v>
      </c>
      <c r="X1510" s="13" t="str">
        <f t="shared" si="101"/>
        <v/>
      </c>
      <c r="Y1510" s="2">
        <f t="shared" ca="1" si="102"/>
        <v>3</v>
      </c>
    </row>
    <row r="1511" spans="1:25" hidden="1">
      <c r="A1511" s="1">
        <v>9517189</v>
      </c>
      <c r="B1511" s="1" t="s">
        <v>81</v>
      </c>
      <c r="C1511" t="s">
        <v>4210</v>
      </c>
      <c r="E1511" s="2">
        <v>2683000206001</v>
      </c>
      <c r="F1511" s="1" t="s">
        <v>29</v>
      </c>
      <c r="G1511" s="1" t="s">
        <v>53</v>
      </c>
      <c r="H1511" s="1" t="s">
        <v>276</v>
      </c>
      <c r="I1511" s="1" t="s">
        <v>277</v>
      </c>
      <c r="J1511" s="1" t="s">
        <v>90</v>
      </c>
      <c r="K1511" t="s">
        <v>34</v>
      </c>
      <c r="M1511" s="1" t="s">
        <v>35</v>
      </c>
      <c r="N1511" s="1">
        <v>42318949</v>
      </c>
      <c r="O1511" s="1" t="s">
        <v>105</v>
      </c>
      <c r="P1511" s="12">
        <v>44984.720601851855</v>
      </c>
      <c r="R1511" s="1" t="s">
        <v>38</v>
      </c>
      <c r="T1511" s="1" t="s">
        <v>74</v>
      </c>
      <c r="U1511" s="12">
        <v>44985.720601851855</v>
      </c>
      <c r="V1511" s="1" t="s">
        <v>41</v>
      </c>
      <c r="W1511" s="1" t="s">
        <v>49</v>
      </c>
      <c r="X1511" s="13" t="str">
        <f t="shared" si="101"/>
        <v/>
      </c>
      <c r="Y1511" s="2">
        <f t="shared" ca="1" si="102"/>
        <v>3</v>
      </c>
    </row>
    <row r="1512" spans="1:25" hidden="1">
      <c r="A1512" s="1">
        <v>9517185</v>
      </c>
      <c r="B1512" s="1" t="s">
        <v>81</v>
      </c>
      <c r="C1512" t="s">
        <v>4210</v>
      </c>
      <c r="E1512" s="2">
        <v>2678000206001</v>
      </c>
      <c r="F1512" s="1" t="s">
        <v>29</v>
      </c>
      <c r="G1512" s="1" t="s">
        <v>53</v>
      </c>
      <c r="H1512" s="1" t="s">
        <v>992</v>
      </c>
      <c r="I1512" s="1" t="s">
        <v>993</v>
      </c>
      <c r="J1512" s="1" t="s">
        <v>33</v>
      </c>
      <c r="K1512" t="s">
        <v>34</v>
      </c>
      <c r="M1512" s="1" t="s">
        <v>35</v>
      </c>
      <c r="N1512" s="1">
        <v>42318949</v>
      </c>
      <c r="O1512" s="1" t="s">
        <v>105</v>
      </c>
      <c r="P1512" s="12">
        <v>44984.720590277779</v>
      </c>
      <c r="R1512" s="1" t="s">
        <v>38</v>
      </c>
      <c r="T1512" s="1" t="s">
        <v>74</v>
      </c>
      <c r="U1512" s="12">
        <v>44985.720590277779</v>
      </c>
      <c r="V1512" s="1" t="s">
        <v>41</v>
      </c>
      <c r="W1512" s="1" t="s">
        <v>42</v>
      </c>
      <c r="X1512" s="13" t="str">
        <f t="shared" si="101"/>
        <v/>
      </c>
      <c r="Y1512" s="2">
        <f t="shared" ca="1" si="102"/>
        <v>3</v>
      </c>
    </row>
    <row r="1513" spans="1:25" hidden="1">
      <c r="A1513" s="1">
        <v>9517180</v>
      </c>
      <c r="B1513" s="1" t="s">
        <v>81</v>
      </c>
      <c r="C1513" t="s">
        <v>4210</v>
      </c>
      <c r="E1513" s="2">
        <v>2669000206001</v>
      </c>
      <c r="F1513" s="1" t="s">
        <v>29</v>
      </c>
      <c r="G1513" s="1" t="s">
        <v>53</v>
      </c>
      <c r="H1513" s="1" t="s">
        <v>561</v>
      </c>
      <c r="I1513" s="1" t="s">
        <v>562</v>
      </c>
      <c r="J1513" s="1" t="s">
        <v>110</v>
      </c>
      <c r="K1513" t="s">
        <v>34</v>
      </c>
      <c r="M1513" s="1" t="s">
        <v>35</v>
      </c>
      <c r="N1513" s="1">
        <v>42318949</v>
      </c>
      <c r="O1513" s="1" t="s">
        <v>105</v>
      </c>
      <c r="P1513" s="12">
        <v>44984.720578703702</v>
      </c>
      <c r="R1513" s="1" t="s">
        <v>38</v>
      </c>
      <c r="T1513" s="1" t="s">
        <v>74</v>
      </c>
      <c r="U1513" s="12">
        <v>44985.720590277779</v>
      </c>
      <c r="V1513" s="1" t="s">
        <v>41</v>
      </c>
      <c r="W1513" s="1" t="s">
        <v>49</v>
      </c>
      <c r="X1513" s="13" t="str">
        <f t="shared" si="101"/>
        <v/>
      </c>
      <c r="Y1513" s="2">
        <f t="shared" ca="1" si="102"/>
        <v>3</v>
      </c>
    </row>
    <row r="1514" spans="1:25" hidden="1">
      <c r="A1514" s="1">
        <v>9517141</v>
      </c>
      <c r="B1514" s="1" t="s">
        <v>81</v>
      </c>
      <c r="C1514" t="s">
        <v>4210</v>
      </c>
      <c r="E1514" s="2">
        <v>2625000206001</v>
      </c>
      <c r="F1514" s="1" t="s">
        <v>29</v>
      </c>
      <c r="G1514" s="1" t="s">
        <v>53</v>
      </c>
      <c r="H1514" s="1" t="s">
        <v>317</v>
      </c>
      <c r="I1514" s="1" t="s">
        <v>318</v>
      </c>
      <c r="J1514" s="1" t="s">
        <v>164</v>
      </c>
      <c r="K1514" t="s">
        <v>34</v>
      </c>
      <c r="M1514" s="1" t="s">
        <v>35</v>
      </c>
      <c r="N1514" s="1">
        <v>42318949</v>
      </c>
      <c r="O1514" s="1" t="s">
        <v>105</v>
      </c>
      <c r="P1514" s="11" t="s">
        <v>4235</v>
      </c>
      <c r="R1514" s="1" t="s">
        <v>38</v>
      </c>
      <c r="T1514" s="1" t="s">
        <v>74</v>
      </c>
      <c r="U1514" s="11" t="s">
        <v>4236</v>
      </c>
      <c r="V1514" s="1" t="s">
        <v>41</v>
      </c>
      <c r="W1514" s="1" t="s">
        <v>49</v>
      </c>
      <c r="X1514" s="13" t="str">
        <f t="shared" si="101"/>
        <v/>
      </c>
      <c r="Y1514" s="2">
        <f t="shared" ca="1" si="102"/>
        <v>3</v>
      </c>
    </row>
    <row r="1515" spans="1:25" hidden="1">
      <c r="A1515" s="1">
        <v>9517112</v>
      </c>
      <c r="B1515" s="1" t="s">
        <v>81</v>
      </c>
      <c r="C1515" t="s">
        <v>4210</v>
      </c>
      <c r="E1515" s="2">
        <v>2590000206001</v>
      </c>
      <c r="F1515" s="1" t="s">
        <v>29</v>
      </c>
      <c r="G1515" s="1" t="s">
        <v>53</v>
      </c>
      <c r="H1515" s="1" t="s">
        <v>394</v>
      </c>
      <c r="I1515" s="1" t="s">
        <v>395</v>
      </c>
      <c r="J1515" s="1" t="s">
        <v>148</v>
      </c>
      <c r="K1515" t="s">
        <v>34</v>
      </c>
      <c r="M1515" s="1" t="s">
        <v>35</v>
      </c>
      <c r="N1515" s="1">
        <v>42318949</v>
      </c>
      <c r="O1515" s="1" t="s">
        <v>105</v>
      </c>
      <c r="P1515" s="11" t="s">
        <v>4237</v>
      </c>
      <c r="R1515" s="1" t="s">
        <v>38</v>
      </c>
      <c r="T1515" s="1" t="s">
        <v>74</v>
      </c>
      <c r="U1515" s="11" t="s">
        <v>4238</v>
      </c>
      <c r="V1515" s="1" t="s">
        <v>41</v>
      </c>
      <c r="W1515" s="1" t="s">
        <v>49</v>
      </c>
      <c r="X1515" s="13" t="str">
        <f t="shared" si="101"/>
        <v/>
      </c>
      <c r="Y1515" s="2">
        <f t="shared" ca="1" si="102"/>
        <v>3</v>
      </c>
    </row>
    <row r="1516" spans="1:25" hidden="1">
      <c r="A1516" s="1">
        <v>9517083</v>
      </c>
      <c r="B1516" s="1" t="s">
        <v>81</v>
      </c>
      <c r="C1516" t="s">
        <v>4210</v>
      </c>
      <c r="E1516" s="2">
        <v>2564000206001</v>
      </c>
      <c r="F1516" s="1" t="s">
        <v>29</v>
      </c>
      <c r="G1516" s="1" t="s">
        <v>53</v>
      </c>
      <c r="H1516" s="1" t="s">
        <v>255</v>
      </c>
      <c r="I1516" s="1" t="s">
        <v>256</v>
      </c>
      <c r="J1516" s="1" t="s">
        <v>164</v>
      </c>
      <c r="K1516" t="s">
        <v>34</v>
      </c>
      <c r="M1516" s="1" t="s">
        <v>35</v>
      </c>
      <c r="N1516" s="1">
        <v>42318949</v>
      </c>
      <c r="O1516" s="1" t="s">
        <v>105</v>
      </c>
      <c r="P1516" s="11" t="s">
        <v>4239</v>
      </c>
      <c r="R1516" s="1" t="s">
        <v>38</v>
      </c>
      <c r="T1516" s="1" t="s">
        <v>74</v>
      </c>
      <c r="U1516" s="11" t="s">
        <v>4240</v>
      </c>
      <c r="V1516" s="1" t="s">
        <v>41</v>
      </c>
      <c r="W1516" s="1" t="s">
        <v>49</v>
      </c>
      <c r="X1516" s="13" t="str">
        <f t="shared" si="101"/>
        <v/>
      </c>
      <c r="Y1516" s="2">
        <f t="shared" ca="1" si="102"/>
        <v>3</v>
      </c>
    </row>
    <row r="1517" spans="1:25" hidden="1">
      <c r="A1517" s="1">
        <v>9517080</v>
      </c>
      <c r="B1517" s="1" t="s">
        <v>81</v>
      </c>
      <c r="C1517" t="s">
        <v>4210</v>
      </c>
      <c r="E1517" s="2">
        <v>2559000206001</v>
      </c>
      <c r="F1517" s="1" t="s">
        <v>29</v>
      </c>
      <c r="G1517" s="1" t="s">
        <v>53</v>
      </c>
      <c r="H1517" s="1" t="s">
        <v>259</v>
      </c>
      <c r="I1517" s="1" t="s">
        <v>260</v>
      </c>
      <c r="J1517" s="1" t="s">
        <v>261</v>
      </c>
      <c r="K1517" t="s">
        <v>34</v>
      </c>
      <c r="M1517" s="1" t="s">
        <v>35</v>
      </c>
      <c r="N1517" s="1">
        <v>42318949</v>
      </c>
      <c r="O1517" s="1" t="s">
        <v>105</v>
      </c>
      <c r="P1517" s="11" t="s">
        <v>4241</v>
      </c>
      <c r="R1517" s="1" t="s">
        <v>38</v>
      </c>
      <c r="T1517" s="1" t="s">
        <v>74</v>
      </c>
      <c r="U1517" s="11" t="s">
        <v>4242</v>
      </c>
      <c r="V1517" s="1" t="s">
        <v>41</v>
      </c>
      <c r="W1517" s="1" t="s">
        <v>49</v>
      </c>
      <c r="X1517" s="13" t="str">
        <f t="shared" si="101"/>
        <v/>
      </c>
      <c r="Y1517" s="2">
        <f t="shared" ca="1" si="102"/>
        <v>3</v>
      </c>
    </row>
    <row r="1518" spans="1:25" hidden="1">
      <c r="A1518" s="1">
        <v>9517056</v>
      </c>
      <c r="B1518" s="1" t="s">
        <v>81</v>
      </c>
      <c r="C1518" t="s">
        <v>4210</v>
      </c>
      <c r="E1518" s="2">
        <v>2529000206001</v>
      </c>
      <c r="F1518" s="1" t="s">
        <v>29</v>
      </c>
      <c r="G1518" s="1" t="s">
        <v>53</v>
      </c>
      <c r="H1518" s="1" t="s">
        <v>355</v>
      </c>
      <c r="I1518" s="1" t="s">
        <v>356</v>
      </c>
      <c r="J1518" s="1" t="s">
        <v>56</v>
      </c>
      <c r="K1518" t="s">
        <v>34</v>
      </c>
      <c r="M1518" s="1" t="s">
        <v>35</v>
      </c>
      <c r="N1518" s="1">
        <v>42318949</v>
      </c>
      <c r="O1518" s="1" t="s">
        <v>105</v>
      </c>
      <c r="P1518" s="11" t="s">
        <v>4243</v>
      </c>
      <c r="R1518" s="1" t="s">
        <v>38</v>
      </c>
      <c r="T1518" s="1" t="s">
        <v>74</v>
      </c>
      <c r="U1518" s="11" t="s">
        <v>4244</v>
      </c>
      <c r="V1518" s="1" t="s">
        <v>41</v>
      </c>
      <c r="W1518" s="1" t="s">
        <v>49</v>
      </c>
      <c r="X1518" s="13" t="str">
        <f t="shared" si="101"/>
        <v/>
      </c>
      <c r="Y1518" s="2">
        <f t="shared" ca="1" si="102"/>
        <v>3</v>
      </c>
    </row>
    <row r="1519" spans="1:25" hidden="1">
      <c r="A1519" s="1">
        <v>9517014</v>
      </c>
      <c r="B1519" s="1" t="s">
        <v>81</v>
      </c>
      <c r="C1519" t="s">
        <v>4210</v>
      </c>
      <c r="E1519" s="2">
        <v>2473000206001</v>
      </c>
      <c r="F1519" s="1" t="s">
        <v>29</v>
      </c>
      <c r="G1519" s="1" t="s">
        <v>53</v>
      </c>
      <c r="H1519" s="1" t="s">
        <v>1459</v>
      </c>
      <c r="I1519" s="1" t="s">
        <v>1460</v>
      </c>
      <c r="J1519" s="1" t="s">
        <v>261</v>
      </c>
      <c r="K1519" t="s">
        <v>34</v>
      </c>
      <c r="M1519" s="1" t="s">
        <v>35</v>
      </c>
      <c r="N1519" s="1">
        <v>42318949</v>
      </c>
      <c r="O1519" s="1" t="s">
        <v>105</v>
      </c>
      <c r="P1519" s="11" t="s">
        <v>4245</v>
      </c>
      <c r="R1519" s="1" t="s">
        <v>38</v>
      </c>
      <c r="T1519" s="1" t="s">
        <v>74</v>
      </c>
      <c r="U1519" s="11" t="s">
        <v>4246</v>
      </c>
      <c r="V1519" s="1" t="s">
        <v>41</v>
      </c>
      <c r="W1519" s="1" t="s">
        <v>49</v>
      </c>
      <c r="X1519" s="13" t="str">
        <f t="shared" si="101"/>
        <v/>
      </c>
      <c r="Y1519" s="2">
        <f t="shared" ca="1" si="102"/>
        <v>3</v>
      </c>
    </row>
    <row r="1520" spans="1:25" hidden="1">
      <c r="A1520" s="1">
        <v>9516983</v>
      </c>
      <c r="B1520" s="1" t="s">
        <v>81</v>
      </c>
      <c r="C1520" t="s">
        <v>4210</v>
      </c>
      <c r="E1520" s="2">
        <v>2442000206001</v>
      </c>
      <c r="F1520" s="1" t="s">
        <v>29</v>
      </c>
      <c r="G1520" s="1" t="s">
        <v>53</v>
      </c>
      <c r="H1520" s="1" t="s">
        <v>1956</v>
      </c>
      <c r="I1520" s="1" t="s">
        <v>1957</v>
      </c>
      <c r="J1520" s="1" t="s">
        <v>33</v>
      </c>
      <c r="K1520" t="s">
        <v>34</v>
      </c>
      <c r="M1520" s="1" t="s">
        <v>35</v>
      </c>
      <c r="N1520" s="1">
        <v>42318949</v>
      </c>
      <c r="O1520" s="1" t="s">
        <v>105</v>
      </c>
      <c r="P1520" s="11" t="s">
        <v>4247</v>
      </c>
      <c r="R1520" s="1" t="s">
        <v>38</v>
      </c>
      <c r="T1520" s="1" t="s">
        <v>74</v>
      </c>
      <c r="U1520" s="11" t="s">
        <v>4248</v>
      </c>
      <c r="V1520" s="1" t="s">
        <v>41</v>
      </c>
      <c r="W1520" s="1" t="s">
        <v>42</v>
      </c>
      <c r="X1520" s="13" t="str">
        <f t="shared" si="101"/>
        <v/>
      </c>
      <c r="Y1520" s="2">
        <f t="shared" ca="1" si="102"/>
        <v>3</v>
      </c>
    </row>
    <row r="1521" spans="1:25" hidden="1">
      <c r="A1521" s="1">
        <v>9516979</v>
      </c>
      <c r="B1521" s="1" t="s">
        <v>81</v>
      </c>
      <c r="C1521" t="s">
        <v>4210</v>
      </c>
      <c r="E1521" s="2">
        <v>2437000206001</v>
      </c>
      <c r="F1521" s="1" t="s">
        <v>29</v>
      </c>
      <c r="G1521" s="1" t="s">
        <v>53</v>
      </c>
      <c r="H1521" s="1" t="s">
        <v>416</v>
      </c>
      <c r="I1521" s="1" t="s">
        <v>417</v>
      </c>
      <c r="J1521" s="1" t="s">
        <v>211</v>
      </c>
      <c r="K1521" t="s">
        <v>34</v>
      </c>
      <c r="M1521" s="1" t="s">
        <v>35</v>
      </c>
      <c r="N1521" s="1">
        <v>42318949</v>
      </c>
      <c r="O1521" s="1" t="s">
        <v>105</v>
      </c>
      <c r="P1521" s="11" t="s">
        <v>4247</v>
      </c>
      <c r="R1521" s="1" t="s">
        <v>38</v>
      </c>
      <c r="T1521" s="1" t="s">
        <v>74</v>
      </c>
      <c r="U1521" s="11" t="s">
        <v>4249</v>
      </c>
      <c r="V1521" s="1" t="s">
        <v>41</v>
      </c>
      <c r="W1521" s="1" t="s">
        <v>49</v>
      </c>
      <c r="X1521" s="13" t="str">
        <f t="shared" si="101"/>
        <v/>
      </c>
      <c r="Y1521" s="2">
        <f t="shared" ca="1" si="102"/>
        <v>3</v>
      </c>
    </row>
    <row r="1522" spans="1:25" hidden="1">
      <c r="A1522" s="1">
        <v>9516965</v>
      </c>
      <c r="B1522" s="1" t="s">
        <v>81</v>
      </c>
      <c r="C1522" t="s">
        <v>4210</v>
      </c>
      <c r="E1522" s="2">
        <v>2422000206001</v>
      </c>
      <c r="F1522" s="1" t="s">
        <v>29</v>
      </c>
      <c r="G1522" s="1" t="s">
        <v>53</v>
      </c>
      <c r="H1522" s="1" t="s">
        <v>1844</v>
      </c>
      <c r="I1522" s="1" t="s">
        <v>1845</v>
      </c>
      <c r="J1522" s="1" t="s">
        <v>211</v>
      </c>
      <c r="K1522" t="s">
        <v>34</v>
      </c>
      <c r="M1522" s="1" t="s">
        <v>35</v>
      </c>
      <c r="N1522" s="1">
        <v>42318949</v>
      </c>
      <c r="O1522" s="1" t="s">
        <v>105</v>
      </c>
      <c r="P1522" s="11" t="s">
        <v>4250</v>
      </c>
      <c r="R1522" s="1" t="s">
        <v>38</v>
      </c>
      <c r="T1522" s="1" t="s">
        <v>74</v>
      </c>
      <c r="U1522" s="11" t="s">
        <v>4251</v>
      </c>
      <c r="V1522" s="1" t="s">
        <v>41</v>
      </c>
      <c r="W1522" s="1" t="s">
        <v>49</v>
      </c>
      <c r="X1522" s="13" t="str">
        <f t="shared" si="101"/>
        <v/>
      </c>
      <c r="Y1522" s="2">
        <f t="shared" ca="1" si="102"/>
        <v>3</v>
      </c>
    </row>
    <row r="1523" spans="1:25" hidden="1">
      <c r="A1523" s="1">
        <v>9516956</v>
      </c>
      <c r="B1523" s="1" t="s">
        <v>81</v>
      </c>
      <c r="C1523" t="s">
        <v>4210</v>
      </c>
      <c r="E1523" s="2">
        <v>2413000206001</v>
      </c>
      <c r="F1523" s="1" t="s">
        <v>29</v>
      </c>
      <c r="G1523" s="1" t="s">
        <v>53</v>
      </c>
      <c r="H1523" s="1" t="s">
        <v>505</v>
      </c>
      <c r="I1523" s="1" t="s">
        <v>506</v>
      </c>
      <c r="J1523" s="1" t="s">
        <v>141</v>
      </c>
      <c r="K1523" t="s">
        <v>34</v>
      </c>
      <c r="M1523" s="1" t="s">
        <v>35</v>
      </c>
      <c r="N1523" s="1">
        <v>42318949</v>
      </c>
      <c r="O1523" s="1" t="s">
        <v>105</v>
      </c>
      <c r="P1523" s="11" t="s">
        <v>4252</v>
      </c>
      <c r="R1523" s="1" t="s">
        <v>38</v>
      </c>
      <c r="T1523" s="1" t="s">
        <v>74</v>
      </c>
      <c r="U1523" s="11" t="s">
        <v>4253</v>
      </c>
      <c r="V1523" s="1" t="s">
        <v>41</v>
      </c>
      <c r="W1523" s="1" t="s">
        <v>49</v>
      </c>
      <c r="X1523" s="13" t="str">
        <f t="shared" si="101"/>
        <v/>
      </c>
      <c r="Y1523" s="2">
        <f t="shared" ca="1" si="102"/>
        <v>3</v>
      </c>
    </row>
    <row r="1524" spans="1:25" hidden="1">
      <c r="A1524" s="1">
        <v>9516936</v>
      </c>
      <c r="B1524" s="1" t="s">
        <v>81</v>
      </c>
      <c r="C1524" t="s">
        <v>4210</v>
      </c>
      <c r="E1524" s="2">
        <v>2388000206001</v>
      </c>
      <c r="F1524" s="1" t="s">
        <v>29</v>
      </c>
      <c r="G1524" s="1" t="s">
        <v>53</v>
      </c>
      <c r="H1524" s="1" t="s">
        <v>299</v>
      </c>
      <c r="I1524" s="1" t="s">
        <v>300</v>
      </c>
      <c r="J1524" s="1" t="s">
        <v>79</v>
      </c>
      <c r="K1524" t="s">
        <v>34</v>
      </c>
      <c r="M1524" s="1" t="s">
        <v>35</v>
      </c>
      <c r="N1524" s="1">
        <v>42318949</v>
      </c>
      <c r="O1524" s="1" t="s">
        <v>105</v>
      </c>
      <c r="P1524" s="12">
        <v>44984.720243055555</v>
      </c>
      <c r="R1524" s="1" t="s">
        <v>38</v>
      </c>
      <c r="T1524" s="1" t="s">
        <v>74</v>
      </c>
      <c r="U1524" s="12">
        <v>44985.720243055555</v>
      </c>
      <c r="V1524" s="1" t="s">
        <v>41</v>
      </c>
      <c r="W1524" s="1" t="s">
        <v>49</v>
      </c>
      <c r="X1524" s="13" t="str">
        <f t="shared" si="101"/>
        <v/>
      </c>
      <c r="Y1524" s="2">
        <f t="shared" ca="1" si="102"/>
        <v>3</v>
      </c>
    </row>
    <row r="1525" spans="1:25" hidden="1">
      <c r="A1525" s="1">
        <v>9516919</v>
      </c>
      <c r="B1525" s="1" t="s">
        <v>81</v>
      </c>
      <c r="C1525" t="s">
        <v>4210</v>
      </c>
      <c r="E1525" s="2">
        <v>2371000206001</v>
      </c>
      <c r="F1525" s="1" t="s">
        <v>29</v>
      </c>
      <c r="G1525" s="1" t="s">
        <v>53</v>
      </c>
      <c r="H1525" s="1" t="s">
        <v>1000</v>
      </c>
      <c r="I1525" s="1" t="s">
        <v>1001</v>
      </c>
      <c r="J1525" s="1" t="s">
        <v>90</v>
      </c>
      <c r="K1525" t="s">
        <v>34</v>
      </c>
      <c r="M1525" s="1" t="s">
        <v>35</v>
      </c>
      <c r="N1525" s="1">
        <v>42318949</v>
      </c>
      <c r="O1525" s="1" t="s">
        <v>105</v>
      </c>
      <c r="P1525" s="12">
        <v>44984.720219907409</v>
      </c>
      <c r="R1525" s="1" t="s">
        <v>38</v>
      </c>
      <c r="T1525" s="1" t="s">
        <v>74</v>
      </c>
      <c r="U1525" s="12">
        <v>44985.720219907409</v>
      </c>
      <c r="V1525" s="1" t="s">
        <v>41</v>
      </c>
      <c r="W1525" s="1" t="s">
        <v>49</v>
      </c>
      <c r="X1525" s="13" t="str">
        <f t="shared" si="101"/>
        <v/>
      </c>
      <c r="Y1525" s="2">
        <f t="shared" ca="1" si="102"/>
        <v>3</v>
      </c>
    </row>
    <row r="1526" spans="1:25" hidden="1">
      <c r="A1526" s="1">
        <v>9516918</v>
      </c>
      <c r="B1526" s="1" t="s">
        <v>81</v>
      </c>
      <c r="C1526" t="s">
        <v>4210</v>
      </c>
      <c r="E1526" s="2">
        <v>2369000206001</v>
      </c>
      <c r="F1526" s="1" t="s">
        <v>29</v>
      </c>
      <c r="G1526" s="1" t="s">
        <v>53</v>
      </c>
      <c r="H1526" s="1" t="s">
        <v>701</v>
      </c>
      <c r="I1526" s="1" t="s">
        <v>702</v>
      </c>
      <c r="J1526" s="1" t="s">
        <v>141</v>
      </c>
      <c r="K1526" t="s">
        <v>34</v>
      </c>
      <c r="M1526" s="1" t="s">
        <v>35</v>
      </c>
      <c r="N1526" s="1">
        <v>42318949</v>
      </c>
      <c r="O1526" s="1" t="s">
        <v>105</v>
      </c>
      <c r="P1526" s="12">
        <v>44984.720219907409</v>
      </c>
      <c r="R1526" s="1" t="s">
        <v>38</v>
      </c>
      <c r="T1526" s="1" t="s">
        <v>74</v>
      </c>
      <c r="U1526" s="12">
        <v>44985.720219907409</v>
      </c>
      <c r="V1526" s="1" t="s">
        <v>41</v>
      </c>
      <c r="W1526" s="1" t="s">
        <v>49</v>
      </c>
      <c r="X1526" s="13" t="str">
        <f t="shared" si="101"/>
        <v/>
      </c>
      <c r="Y1526" s="2">
        <f t="shared" ca="1" si="102"/>
        <v>3</v>
      </c>
    </row>
    <row r="1527" spans="1:25" hidden="1">
      <c r="A1527" s="1">
        <v>9516915</v>
      </c>
      <c r="B1527" s="1" t="s">
        <v>81</v>
      </c>
      <c r="C1527" t="s">
        <v>4210</v>
      </c>
      <c r="E1527" s="2">
        <v>2365000206001</v>
      </c>
      <c r="F1527" s="1" t="s">
        <v>29</v>
      </c>
      <c r="G1527" s="1" t="s">
        <v>53</v>
      </c>
      <c r="H1527" s="1" t="s">
        <v>159</v>
      </c>
      <c r="I1527" s="1" t="s">
        <v>160</v>
      </c>
      <c r="J1527" s="1" t="s">
        <v>46</v>
      </c>
      <c r="K1527" t="s">
        <v>34</v>
      </c>
      <c r="M1527" s="1" t="s">
        <v>35</v>
      </c>
      <c r="N1527" s="1">
        <v>42318949</v>
      </c>
      <c r="O1527" s="1" t="s">
        <v>105</v>
      </c>
      <c r="P1527" s="12">
        <v>44984.720208333332</v>
      </c>
      <c r="R1527" s="1" t="s">
        <v>38</v>
      </c>
      <c r="T1527" s="1" t="s">
        <v>74</v>
      </c>
      <c r="U1527" s="12">
        <v>44985.720219907409</v>
      </c>
      <c r="V1527" s="1" t="s">
        <v>41</v>
      </c>
      <c r="W1527" s="1" t="s">
        <v>49</v>
      </c>
      <c r="X1527" s="13" t="str">
        <f t="shared" si="101"/>
        <v/>
      </c>
      <c r="Y1527" s="2">
        <f t="shared" ca="1" si="102"/>
        <v>3</v>
      </c>
    </row>
    <row r="1528" spans="1:25" hidden="1">
      <c r="A1528" s="1">
        <v>9516887</v>
      </c>
      <c r="B1528" s="1" t="s">
        <v>81</v>
      </c>
      <c r="C1528" t="s">
        <v>4210</v>
      </c>
      <c r="E1528" s="2">
        <v>2335000206001</v>
      </c>
      <c r="F1528" s="1" t="s">
        <v>29</v>
      </c>
      <c r="G1528" s="1" t="s">
        <v>53</v>
      </c>
      <c r="H1528" s="1" t="s">
        <v>194</v>
      </c>
      <c r="I1528" s="1" t="s">
        <v>195</v>
      </c>
      <c r="J1528" s="1" t="s">
        <v>110</v>
      </c>
      <c r="K1528" t="s">
        <v>34</v>
      </c>
      <c r="M1528" s="1" t="s">
        <v>35</v>
      </c>
      <c r="N1528" s="1">
        <v>42318949</v>
      </c>
      <c r="O1528" s="1" t="s">
        <v>105</v>
      </c>
      <c r="P1528" s="12">
        <v>44984.720173611109</v>
      </c>
      <c r="R1528" s="1" t="s">
        <v>38</v>
      </c>
      <c r="T1528" s="1" t="s">
        <v>74</v>
      </c>
      <c r="U1528" s="12">
        <v>44985.720173611109</v>
      </c>
      <c r="V1528" s="1" t="s">
        <v>41</v>
      </c>
      <c r="W1528" s="1" t="s">
        <v>49</v>
      </c>
      <c r="X1528" s="13" t="str">
        <f t="shared" si="101"/>
        <v/>
      </c>
      <c r="Y1528" s="2">
        <f t="shared" ca="1" si="102"/>
        <v>3</v>
      </c>
    </row>
    <row r="1529" spans="1:25" hidden="1">
      <c r="A1529" s="1">
        <v>9516881</v>
      </c>
      <c r="B1529" s="1" t="s">
        <v>81</v>
      </c>
      <c r="C1529" t="s">
        <v>4210</v>
      </c>
      <c r="E1529" s="2">
        <v>2326000206001</v>
      </c>
      <c r="F1529" s="1" t="s">
        <v>29</v>
      </c>
      <c r="G1529" s="1" t="s">
        <v>53</v>
      </c>
      <c r="H1529" s="1" t="s">
        <v>191</v>
      </c>
      <c r="I1529" s="1" t="s">
        <v>192</v>
      </c>
      <c r="J1529" s="1" t="s">
        <v>46</v>
      </c>
      <c r="K1529" t="s">
        <v>34</v>
      </c>
      <c r="M1529" s="1" t="s">
        <v>35</v>
      </c>
      <c r="N1529" s="1">
        <v>42318949</v>
      </c>
      <c r="O1529" s="1" t="s">
        <v>105</v>
      </c>
      <c r="P1529" s="12">
        <v>44984.72016203704</v>
      </c>
      <c r="R1529" s="1" t="s">
        <v>38</v>
      </c>
      <c r="T1529" s="1" t="s">
        <v>74</v>
      </c>
      <c r="U1529" s="12">
        <v>44985.72016203704</v>
      </c>
      <c r="V1529" s="1" t="s">
        <v>41</v>
      </c>
      <c r="W1529" s="1" t="s">
        <v>49</v>
      </c>
      <c r="X1529" s="13" t="str">
        <f t="shared" si="101"/>
        <v/>
      </c>
      <c r="Y1529" s="2">
        <f t="shared" ca="1" si="102"/>
        <v>3</v>
      </c>
    </row>
    <row r="1530" spans="1:25" hidden="1">
      <c r="A1530" s="1">
        <v>9516862</v>
      </c>
      <c r="B1530" s="1" t="s">
        <v>81</v>
      </c>
      <c r="C1530" t="s">
        <v>4210</v>
      </c>
      <c r="E1530" s="2">
        <v>2304000206001</v>
      </c>
      <c r="F1530" s="1" t="s">
        <v>29</v>
      </c>
      <c r="G1530" s="1" t="s">
        <v>53</v>
      </c>
      <c r="H1530" s="1" t="s">
        <v>2711</v>
      </c>
      <c r="I1530" s="1" t="s">
        <v>2712</v>
      </c>
      <c r="J1530" s="1" t="s">
        <v>85</v>
      </c>
      <c r="K1530" t="s">
        <v>34</v>
      </c>
      <c r="M1530" s="1" t="s">
        <v>35</v>
      </c>
      <c r="N1530" s="1">
        <v>42318949</v>
      </c>
      <c r="O1530" s="1" t="s">
        <v>105</v>
      </c>
      <c r="P1530" s="12">
        <v>44984.720138888886</v>
      </c>
      <c r="R1530" s="1" t="s">
        <v>38</v>
      </c>
      <c r="T1530" s="1" t="s">
        <v>74</v>
      </c>
      <c r="U1530" s="12">
        <v>44985.720138888886</v>
      </c>
      <c r="V1530" s="1" t="s">
        <v>41</v>
      </c>
      <c r="W1530" s="1" t="s">
        <v>49</v>
      </c>
      <c r="X1530" s="13" t="str">
        <f t="shared" ref="X1530:X1593" si="103">IF(RIGHT(H1530,2)&lt;&gt;"00",H1530,"")</f>
        <v/>
      </c>
      <c r="Y1530" s="2">
        <f t="shared" ref="Y1530:Y1593" ca="1" si="104">NETWORKDAYS(P1530,$Y$1)</f>
        <v>3</v>
      </c>
    </row>
    <row r="1531" spans="1:25" hidden="1">
      <c r="A1531" s="1">
        <v>9516816</v>
      </c>
      <c r="B1531" s="1" t="s">
        <v>81</v>
      </c>
      <c r="C1531" t="s">
        <v>4210</v>
      </c>
      <c r="E1531" s="2">
        <v>2257000206001</v>
      </c>
      <c r="F1531" s="1" t="s">
        <v>29</v>
      </c>
      <c r="G1531" s="1" t="s">
        <v>53</v>
      </c>
      <c r="H1531" s="1" t="s">
        <v>381</v>
      </c>
      <c r="I1531" s="1" t="s">
        <v>382</v>
      </c>
      <c r="J1531" s="1" t="s">
        <v>110</v>
      </c>
      <c r="K1531" t="s">
        <v>34</v>
      </c>
      <c r="M1531" s="1" t="s">
        <v>35</v>
      </c>
      <c r="N1531" s="1">
        <v>42318949</v>
      </c>
      <c r="O1531" s="1" t="s">
        <v>105</v>
      </c>
      <c r="P1531" s="12">
        <v>44984.720081018517</v>
      </c>
      <c r="R1531" s="1" t="s">
        <v>38</v>
      </c>
      <c r="T1531" s="1" t="s">
        <v>74</v>
      </c>
      <c r="U1531" s="12">
        <v>44985.720081018517</v>
      </c>
      <c r="V1531" s="1" t="s">
        <v>41</v>
      </c>
      <c r="W1531" s="1" t="s">
        <v>49</v>
      </c>
      <c r="X1531" s="13" t="str">
        <f t="shared" si="103"/>
        <v/>
      </c>
      <c r="Y1531" s="2">
        <f t="shared" ca="1" si="104"/>
        <v>3</v>
      </c>
    </row>
    <row r="1532" spans="1:25" hidden="1">
      <c r="A1532" s="1">
        <v>9516803</v>
      </c>
      <c r="B1532" s="1" t="s">
        <v>81</v>
      </c>
      <c r="C1532" t="s">
        <v>4210</v>
      </c>
      <c r="E1532" s="2">
        <v>2244000206001</v>
      </c>
      <c r="F1532" s="1" t="s">
        <v>29</v>
      </c>
      <c r="G1532" s="1" t="s">
        <v>53</v>
      </c>
      <c r="H1532" s="1" t="s">
        <v>1853</v>
      </c>
      <c r="I1532" s="1" t="s">
        <v>1854</v>
      </c>
      <c r="J1532" s="1" t="s">
        <v>79</v>
      </c>
      <c r="K1532" t="s">
        <v>34</v>
      </c>
      <c r="M1532" s="1" t="s">
        <v>35</v>
      </c>
      <c r="N1532" s="1">
        <v>42318949</v>
      </c>
      <c r="O1532" s="1" t="s">
        <v>105</v>
      </c>
      <c r="P1532" s="12">
        <v>44984.720057870371</v>
      </c>
      <c r="R1532" s="1" t="s">
        <v>38</v>
      </c>
      <c r="T1532" s="1" t="s">
        <v>74</v>
      </c>
      <c r="U1532" s="12">
        <v>44985.720057870371</v>
      </c>
      <c r="V1532" s="1" t="s">
        <v>41</v>
      </c>
      <c r="W1532" s="1" t="s">
        <v>49</v>
      </c>
      <c r="X1532" s="13" t="str">
        <f t="shared" si="103"/>
        <v/>
      </c>
      <c r="Y1532" s="2">
        <f t="shared" ca="1" si="104"/>
        <v>3</v>
      </c>
    </row>
    <row r="1533" spans="1:25" hidden="1">
      <c r="A1533" s="1">
        <v>9516798</v>
      </c>
      <c r="B1533" s="1" t="s">
        <v>81</v>
      </c>
      <c r="C1533" t="s">
        <v>4210</v>
      </c>
      <c r="E1533" s="2">
        <v>2239000206001</v>
      </c>
      <c r="F1533" s="1" t="s">
        <v>29</v>
      </c>
      <c r="G1533" s="1" t="s">
        <v>53</v>
      </c>
      <c r="H1533" s="1" t="s">
        <v>333</v>
      </c>
      <c r="I1533" s="1" t="s">
        <v>334</v>
      </c>
      <c r="J1533" s="1" t="s">
        <v>261</v>
      </c>
      <c r="K1533" t="s">
        <v>34</v>
      </c>
      <c r="M1533" s="1" t="s">
        <v>35</v>
      </c>
      <c r="N1533" s="1">
        <v>42318949</v>
      </c>
      <c r="O1533" s="1" t="s">
        <v>105</v>
      </c>
      <c r="P1533" s="12">
        <v>44984.720046296294</v>
      </c>
      <c r="R1533" s="1" t="s">
        <v>38</v>
      </c>
      <c r="T1533" s="1" t="s">
        <v>74</v>
      </c>
      <c r="U1533" s="12">
        <v>44985.720057870371</v>
      </c>
      <c r="V1533" s="1" t="s">
        <v>41</v>
      </c>
      <c r="W1533" s="1" t="s">
        <v>49</v>
      </c>
      <c r="X1533" s="13" t="str">
        <f t="shared" si="103"/>
        <v/>
      </c>
      <c r="Y1533" s="2">
        <f t="shared" ca="1" si="104"/>
        <v>3</v>
      </c>
    </row>
    <row r="1534" spans="1:25" hidden="1">
      <c r="A1534" s="1">
        <v>9516797</v>
      </c>
      <c r="B1534" s="1" t="s">
        <v>81</v>
      </c>
      <c r="C1534" t="s">
        <v>4210</v>
      </c>
      <c r="E1534" s="2">
        <v>2238000206001</v>
      </c>
      <c r="F1534" s="1" t="s">
        <v>29</v>
      </c>
      <c r="G1534" s="1" t="s">
        <v>53</v>
      </c>
      <c r="H1534" s="1" t="s">
        <v>707</v>
      </c>
      <c r="I1534" s="1" t="s">
        <v>708</v>
      </c>
      <c r="J1534" s="1" t="s">
        <v>79</v>
      </c>
      <c r="K1534" t="s">
        <v>34</v>
      </c>
      <c r="M1534" s="1" t="s">
        <v>35</v>
      </c>
      <c r="N1534" s="1">
        <v>42318949</v>
      </c>
      <c r="O1534" s="1" t="s">
        <v>105</v>
      </c>
      <c r="P1534" s="12">
        <v>44984.720046296294</v>
      </c>
      <c r="R1534" s="1" t="s">
        <v>38</v>
      </c>
      <c r="T1534" s="1" t="s">
        <v>74</v>
      </c>
      <c r="U1534" s="12">
        <v>44985.720046296294</v>
      </c>
      <c r="V1534" s="1" t="s">
        <v>41</v>
      </c>
      <c r="W1534" s="1" t="s">
        <v>49</v>
      </c>
      <c r="X1534" s="13" t="str">
        <f t="shared" si="103"/>
        <v/>
      </c>
      <c r="Y1534" s="2">
        <f t="shared" ca="1" si="104"/>
        <v>3</v>
      </c>
    </row>
    <row r="1535" spans="1:25" hidden="1">
      <c r="A1535" s="1">
        <v>9516788</v>
      </c>
      <c r="B1535" s="1" t="s">
        <v>81</v>
      </c>
      <c r="C1535" t="s">
        <v>4210</v>
      </c>
      <c r="E1535" s="2">
        <v>2229000206001</v>
      </c>
      <c r="F1535" s="1" t="s">
        <v>29</v>
      </c>
      <c r="G1535" s="1" t="s">
        <v>53</v>
      </c>
      <c r="H1535" s="1" t="s">
        <v>339</v>
      </c>
      <c r="I1535" s="1" t="s">
        <v>340</v>
      </c>
      <c r="J1535" s="1" t="s">
        <v>211</v>
      </c>
      <c r="K1535" t="s">
        <v>34</v>
      </c>
      <c r="M1535" s="1" t="s">
        <v>35</v>
      </c>
      <c r="N1535" s="1">
        <v>42318949</v>
      </c>
      <c r="O1535" s="1" t="s">
        <v>105</v>
      </c>
      <c r="P1535" s="12">
        <v>44984.720034722224</v>
      </c>
      <c r="R1535" s="1" t="s">
        <v>38</v>
      </c>
      <c r="T1535" s="1" t="s">
        <v>74</v>
      </c>
      <c r="U1535" s="12">
        <v>44985.720034722224</v>
      </c>
      <c r="V1535" s="1" t="s">
        <v>41</v>
      </c>
      <c r="W1535" s="1" t="s">
        <v>49</v>
      </c>
      <c r="X1535" s="13" t="str">
        <f t="shared" si="103"/>
        <v/>
      </c>
      <c r="Y1535" s="2">
        <f t="shared" ca="1" si="104"/>
        <v>3</v>
      </c>
    </row>
    <row r="1536" spans="1:25" hidden="1">
      <c r="A1536" s="1">
        <v>9516778</v>
      </c>
      <c r="B1536" s="1" t="s">
        <v>81</v>
      </c>
      <c r="C1536" t="s">
        <v>4210</v>
      </c>
      <c r="E1536" s="2">
        <v>2219000206001</v>
      </c>
      <c r="F1536" s="1" t="s">
        <v>29</v>
      </c>
      <c r="G1536" s="1" t="s">
        <v>53</v>
      </c>
      <c r="H1536" s="1" t="s">
        <v>893</v>
      </c>
      <c r="I1536" s="1" t="s">
        <v>894</v>
      </c>
      <c r="J1536" s="1" t="s">
        <v>141</v>
      </c>
      <c r="K1536" t="s">
        <v>34</v>
      </c>
      <c r="M1536" s="1" t="s">
        <v>35</v>
      </c>
      <c r="N1536" s="1">
        <v>42318949</v>
      </c>
      <c r="O1536" s="1" t="s">
        <v>105</v>
      </c>
      <c r="P1536" s="12">
        <v>44984.720023148147</v>
      </c>
      <c r="R1536" s="1" t="s">
        <v>38</v>
      </c>
      <c r="T1536" s="1" t="s">
        <v>74</v>
      </c>
      <c r="U1536" s="12">
        <v>44985.720023148147</v>
      </c>
      <c r="V1536" s="1" t="s">
        <v>41</v>
      </c>
      <c r="W1536" s="1" t="s">
        <v>49</v>
      </c>
      <c r="X1536" s="13" t="str">
        <f t="shared" si="103"/>
        <v/>
      </c>
      <c r="Y1536" s="2">
        <f t="shared" ca="1" si="104"/>
        <v>3</v>
      </c>
    </row>
    <row r="1537" spans="1:25" hidden="1">
      <c r="A1537" s="1">
        <v>9516755</v>
      </c>
      <c r="B1537" s="1" t="s">
        <v>81</v>
      </c>
      <c r="C1537" t="s">
        <v>4210</v>
      </c>
      <c r="E1537" s="2">
        <v>2196000206001</v>
      </c>
      <c r="F1537" s="1" t="s">
        <v>29</v>
      </c>
      <c r="G1537" s="1" t="s">
        <v>53</v>
      </c>
      <c r="H1537" s="1" t="s">
        <v>1252</v>
      </c>
      <c r="I1537" s="1" t="s">
        <v>1253</v>
      </c>
      <c r="J1537" s="1" t="s">
        <v>33</v>
      </c>
      <c r="K1537" t="s">
        <v>34</v>
      </c>
      <c r="M1537" s="1" t="s">
        <v>35</v>
      </c>
      <c r="N1537" s="1">
        <v>42318949</v>
      </c>
      <c r="O1537" s="1" t="s">
        <v>105</v>
      </c>
      <c r="P1537" s="12">
        <v>44984.719988425924</v>
      </c>
      <c r="R1537" s="1" t="s">
        <v>38</v>
      </c>
      <c r="T1537" s="1" t="s">
        <v>74</v>
      </c>
      <c r="U1537" s="12">
        <v>44985.719988425924</v>
      </c>
      <c r="V1537" s="1" t="s">
        <v>41</v>
      </c>
      <c r="W1537" s="1" t="s">
        <v>42</v>
      </c>
      <c r="X1537" s="13" t="str">
        <f t="shared" si="103"/>
        <v/>
      </c>
      <c r="Y1537" s="2">
        <f t="shared" ca="1" si="104"/>
        <v>3</v>
      </c>
    </row>
    <row r="1538" spans="1:25" hidden="1">
      <c r="A1538" s="1">
        <v>9516728</v>
      </c>
      <c r="B1538" s="1" t="s">
        <v>81</v>
      </c>
      <c r="C1538" t="s">
        <v>4210</v>
      </c>
      <c r="E1538" s="2">
        <v>2170000206001</v>
      </c>
      <c r="F1538" s="1" t="s">
        <v>29</v>
      </c>
      <c r="G1538" s="1" t="s">
        <v>53</v>
      </c>
      <c r="H1538" s="1" t="s">
        <v>477</v>
      </c>
      <c r="I1538" s="1" t="s">
        <v>478</v>
      </c>
      <c r="J1538" s="1" t="s">
        <v>148</v>
      </c>
      <c r="K1538" t="s">
        <v>34</v>
      </c>
      <c r="M1538" s="1" t="s">
        <v>35</v>
      </c>
      <c r="N1538" s="1">
        <v>42318949</v>
      </c>
      <c r="O1538" s="1" t="s">
        <v>105</v>
      </c>
      <c r="P1538" s="12">
        <v>44984.719942129632</v>
      </c>
      <c r="R1538" s="1" t="s">
        <v>38</v>
      </c>
      <c r="T1538" s="1" t="s">
        <v>74</v>
      </c>
      <c r="U1538" s="12">
        <v>44985.719942129632</v>
      </c>
      <c r="V1538" s="1" t="s">
        <v>41</v>
      </c>
      <c r="W1538" s="1" t="s">
        <v>49</v>
      </c>
      <c r="X1538" s="13" t="str">
        <f t="shared" si="103"/>
        <v/>
      </c>
      <c r="Y1538" s="2">
        <f t="shared" ca="1" si="104"/>
        <v>3</v>
      </c>
    </row>
    <row r="1539" spans="1:25" hidden="1">
      <c r="A1539" s="1">
        <v>9516714</v>
      </c>
      <c r="B1539" s="1" t="s">
        <v>81</v>
      </c>
      <c r="C1539" t="s">
        <v>4210</v>
      </c>
      <c r="E1539" s="2">
        <v>2156000206001</v>
      </c>
      <c r="F1539" s="1" t="s">
        <v>29</v>
      </c>
      <c r="G1539" s="1" t="s">
        <v>53</v>
      </c>
      <c r="H1539" s="1" t="s">
        <v>278</v>
      </c>
      <c r="I1539" s="1" t="s">
        <v>279</v>
      </c>
      <c r="J1539" s="1" t="s">
        <v>211</v>
      </c>
      <c r="K1539" t="s">
        <v>34</v>
      </c>
      <c r="M1539" s="1" t="s">
        <v>35</v>
      </c>
      <c r="N1539" s="1">
        <v>42318949</v>
      </c>
      <c r="O1539" s="1" t="s">
        <v>105</v>
      </c>
      <c r="P1539" s="12">
        <v>44984.719918981478</v>
      </c>
      <c r="R1539" s="1" t="s">
        <v>38</v>
      </c>
      <c r="T1539" s="1" t="s">
        <v>74</v>
      </c>
      <c r="U1539" s="12">
        <v>44985.719930555555</v>
      </c>
      <c r="V1539" s="1" t="s">
        <v>41</v>
      </c>
      <c r="W1539" s="1" t="s">
        <v>49</v>
      </c>
      <c r="X1539" s="13" t="str">
        <f t="shared" si="103"/>
        <v/>
      </c>
      <c r="Y1539" s="2">
        <f t="shared" ca="1" si="104"/>
        <v>3</v>
      </c>
    </row>
    <row r="1540" spans="1:25" hidden="1">
      <c r="A1540" s="1">
        <v>9516699</v>
      </c>
      <c r="B1540" s="1" t="s">
        <v>81</v>
      </c>
      <c r="C1540" t="s">
        <v>4210</v>
      </c>
      <c r="E1540" s="2">
        <v>2138000206001</v>
      </c>
      <c r="F1540" s="1" t="s">
        <v>29</v>
      </c>
      <c r="G1540" s="1" t="s">
        <v>53</v>
      </c>
      <c r="H1540" s="1" t="s">
        <v>379</v>
      </c>
      <c r="I1540" s="1" t="s">
        <v>380</v>
      </c>
      <c r="J1540" s="1" t="s">
        <v>46</v>
      </c>
      <c r="K1540" t="s">
        <v>34</v>
      </c>
      <c r="M1540" s="1" t="s">
        <v>35</v>
      </c>
      <c r="N1540" s="1">
        <v>42318949</v>
      </c>
      <c r="O1540" s="1" t="s">
        <v>105</v>
      </c>
      <c r="P1540" s="12">
        <v>44984.719907407409</v>
      </c>
      <c r="R1540" s="1" t="s">
        <v>38</v>
      </c>
      <c r="T1540" s="1" t="s">
        <v>74</v>
      </c>
      <c r="U1540" s="12">
        <v>44985.719907407409</v>
      </c>
      <c r="V1540" s="1" t="s">
        <v>41</v>
      </c>
      <c r="W1540" s="1" t="s">
        <v>49</v>
      </c>
      <c r="X1540" s="13" t="str">
        <f t="shared" si="103"/>
        <v/>
      </c>
      <c r="Y1540" s="2">
        <f t="shared" ca="1" si="104"/>
        <v>3</v>
      </c>
    </row>
    <row r="1541" spans="1:25" hidden="1">
      <c r="A1541" s="1">
        <v>9516689</v>
      </c>
      <c r="B1541" s="1" t="s">
        <v>81</v>
      </c>
      <c r="C1541" t="s">
        <v>4210</v>
      </c>
      <c r="E1541" s="2">
        <v>2125000206001</v>
      </c>
      <c r="F1541" s="1" t="s">
        <v>29</v>
      </c>
      <c r="G1541" s="1" t="s">
        <v>53</v>
      </c>
      <c r="H1541" s="1" t="s">
        <v>1399</v>
      </c>
      <c r="I1541" s="1" t="s">
        <v>1400</v>
      </c>
      <c r="J1541" s="1" t="s">
        <v>211</v>
      </c>
      <c r="K1541" t="s">
        <v>34</v>
      </c>
      <c r="M1541" s="1" t="s">
        <v>35</v>
      </c>
      <c r="N1541" s="1">
        <v>42318949</v>
      </c>
      <c r="O1541" s="1" t="s">
        <v>105</v>
      </c>
      <c r="P1541" s="12">
        <v>44984.719884259262</v>
      </c>
      <c r="R1541" s="1" t="s">
        <v>38</v>
      </c>
      <c r="T1541" s="1" t="s">
        <v>74</v>
      </c>
      <c r="U1541" s="12">
        <v>44985.719895833332</v>
      </c>
      <c r="V1541" s="1" t="s">
        <v>41</v>
      </c>
      <c r="W1541" s="1" t="s">
        <v>49</v>
      </c>
      <c r="X1541" s="13" t="str">
        <f t="shared" si="103"/>
        <v/>
      </c>
      <c r="Y1541" s="2">
        <f t="shared" ca="1" si="104"/>
        <v>3</v>
      </c>
    </row>
    <row r="1542" spans="1:25" hidden="1">
      <c r="A1542" s="1">
        <v>9516675</v>
      </c>
      <c r="B1542" s="1" t="s">
        <v>81</v>
      </c>
      <c r="C1542" t="s">
        <v>4210</v>
      </c>
      <c r="E1542" s="2">
        <v>2107000206001</v>
      </c>
      <c r="F1542" s="1" t="s">
        <v>29</v>
      </c>
      <c r="G1542" s="1" t="s">
        <v>53</v>
      </c>
      <c r="H1542" s="1" t="s">
        <v>262</v>
      </c>
      <c r="I1542" s="1" t="s">
        <v>263</v>
      </c>
      <c r="J1542" s="1" t="s">
        <v>164</v>
      </c>
      <c r="K1542" t="s">
        <v>34</v>
      </c>
      <c r="M1542" s="1" t="s">
        <v>35</v>
      </c>
      <c r="N1542" s="1">
        <v>42318949</v>
      </c>
      <c r="O1542" s="1" t="s">
        <v>105</v>
      </c>
      <c r="P1542" s="12">
        <v>44984.719872685186</v>
      </c>
      <c r="R1542" s="1" t="s">
        <v>38</v>
      </c>
      <c r="T1542" s="1" t="s">
        <v>74</v>
      </c>
      <c r="U1542" s="12">
        <v>44985.719872685186</v>
      </c>
      <c r="V1542" s="1" t="s">
        <v>41</v>
      </c>
      <c r="W1542" s="1" t="s">
        <v>49</v>
      </c>
      <c r="X1542" s="13" t="str">
        <f t="shared" si="103"/>
        <v/>
      </c>
      <c r="Y1542" s="2">
        <f t="shared" ca="1" si="104"/>
        <v>3</v>
      </c>
    </row>
    <row r="1543" spans="1:25" hidden="1">
      <c r="A1543" s="1">
        <v>9516654</v>
      </c>
      <c r="B1543" s="1" t="s">
        <v>81</v>
      </c>
      <c r="C1543" t="s">
        <v>4210</v>
      </c>
      <c r="E1543" s="2">
        <v>2081000206001</v>
      </c>
      <c r="F1543" s="1" t="s">
        <v>29</v>
      </c>
      <c r="G1543" s="1" t="s">
        <v>53</v>
      </c>
      <c r="H1543" s="1" t="s">
        <v>590</v>
      </c>
      <c r="I1543" s="1" t="s">
        <v>591</v>
      </c>
      <c r="J1543" s="1" t="s">
        <v>261</v>
      </c>
      <c r="K1543" t="s">
        <v>34</v>
      </c>
      <c r="M1543" s="1" t="s">
        <v>35</v>
      </c>
      <c r="N1543" s="1">
        <v>42318949</v>
      </c>
      <c r="O1543" s="1" t="s">
        <v>105</v>
      </c>
      <c r="P1543" s="12">
        <v>44984.719837962963</v>
      </c>
      <c r="R1543" s="1" t="s">
        <v>38</v>
      </c>
      <c r="T1543" s="1" t="s">
        <v>74</v>
      </c>
      <c r="U1543" s="12">
        <v>44985.719837962963</v>
      </c>
      <c r="V1543" s="1" t="s">
        <v>41</v>
      </c>
      <c r="W1543" s="1" t="s">
        <v>49</v>
      </c>
      <c r="X1543" s="13" t="str">
        <f t="shared" si="103"/>
        <v/>
      </c>
      <c r="Y1543" s="2">
        <f t="shared" ca="1" si="104"/>
        <v>3</v>
      </c>
    </row>
    <row r="1544" spans="1:25" hidden="1">
      <c r="A1544" s="1">
        <v>9516643</v>
      </c>
      <c r="B1544" s="1" t="s">
        <v>81</v>
      </c>
      <c r="C1544" t="s">
        <v>4210</v>
      </c>
      <c r="E1544" s="2">
        <v>2069000206001</v>
      </c>
      <c r="F1544" s="1" t="s">
        <v>29</v>
      </c>
      <c r="G1544" s="1" t="s">
        <v>53</v>
      </c>
      <c r="H1544" s="1" t="s">
        <v>557</v>
      </c>
      <c r="I1544" s="1" t="s">
        <v>558</v>
      </c>
      <c r="J1544" s="1" t="s">
        <v>90</v>
      </c>
      <c r="K1544" t="s">
        <v>34</v>
      </c>
      <c r="M1544" s="1" t="s">
        <v>35</v>
      </c>
      <c r="N1544" s="1">
        <v>42318949</v>
      </c>
      <c r="O1544" s="1" t="s">
        <v>105</v>
      </c>
      <c r="P1544" s="12">
        <v>44984.719826388886</v>
      </c>
      <c r="R1544" s="1" t="s">
        <v>38</v>
      </c>
      <c r="T1544" s="1" t="s">
        <v>74</v>
      </c>
      <c r="U1544" s="12">
        <v>44985.719826388886</v>
      </c>
      <c r="V1544" s="1" t="s">
        <v>41</v>
      </c>
      <c r="W1544" s="1" t="s">
        <v>49</v>
      </c>
      <c r="X1544" s="13" t="str">
        <f t="shared" si="103"/>
        <v/>
      </c>
      <c r="Y1544" s="2">
        <f t="shared" ca="1" si="104"/>
        <v>3</v>
      </c>
    </row>
    <row r="1545" spans="1:25" hidden="1">
      <c r="A1545" s="1">
        <v>9516619</v>
      </c>
      <c r="B1545" s="1" t="s">
        <v>81</v>
      </c>
      <c r="C1545" t="s">
        <v>4210</v>
      </c>
      <c r="E1545" s="2">
        <v>2039000206001</v>
      </c>
      <c r="F1545" s="1" t="s">
        <v>29</v>
      </c>
      <c r="G1545" s="1" t="s">
        <v>53</v>
      </c>
      <c r="H1545" s="1" t="s">
        <v>1943</v>
      </c>
      <c r="I1545" s="1" t="s">
        <v>1944</v>
      </c>
      <c r="J1545" s="1" t="s">
        <v>110</v>
      </c>
      <c r="K1545" t="s">
        <v>34</v>
      </c>
      <c r="M1545" s="1" t="s">
        <v>35</v>
      </c>
      <c r="N1545" s="1">
        <v>42318949</v>
      </c>
      <c r="O1545" s="1" t="s">
        <v>105</v>
      </c>
      <c r="P1545" s="12">
        <v>44984.719780092593</v>
      </c>
      <c r="R1545" s="1" t="s">
        <v>38</v>
      </c>
      <c r="T1545" s="1" t="s">
        <v>74</v>
      </c>
      <c r="U1545" s="12">
        <v>44985.71979166667</v>
      </c>
      <c r="V1545" s="1" t="s">
        <v>41</v>
      </c>
      <c r="W1545" s="1" t="s">
        <v>49</v>
      </c>
      <c r="X1545" s="13" t="str">
        <f t="shared" si="103"/>
        <v/>
      </c>
      <c r="Y1545" s="2">
        <f t="shared" ca="1" si="104"/>
        <v>3</v>
      </c>
    </row>
    <row r="1546" spans="1:25" hidden="1">
      <c r="A1546" s="1">
        <v>9516600</v>
      </c>
      <c r="B1546" s="1" t="s">
        <v>81</v>
      </c>
      <c r="C1546" t="s">
        <v>4210</v>
      </c>
      <c r="E1546" s="2">
        <v>2018000206001</v>
      </c>
      <c r="F1546" s="1" t="s">
        <v>29</v>
      </c>
      <c r="G1546" s="1" t="s">
        <v>53</v>
      </c>
      <c r="H1546" s="1" t="s">
        <v>598</v>
      </c>
      <c r="I1546" s="1" t="s">
        <v>599</v>
      </c>
      <c r="J1546" s="1" t="s">
        <v>79</v>
      </c>
      <c r="K1546" t="s">
        <v>34</v>
      </c>
      <c r="M1546" s="1" t="s">
        <v>35</v>
      </c>
      <c r="N1546" s="1">
        <v>42318949</v>
      </c>
      <c r="O1546" s="1" t="s">
        <v>105</v>
      </c>
      <c r="P1546" s="12">
        <v>44984.719756944447</v>
      </c>
      <c r="R1546" s="1" t="s">
        <v>38</v>
      </c>
      <c r="T1546" s="1" t="s">
        <v>74</v>
      </c>
      <c r="U1546" s="12">
        <v>44985.719756944447</v>
      </c>
      <c r="V1546" s="1" t="s">
        <v>41</v>
      </c>
      <c r="W1546" s="1" t="s">
        <v>49</v>
      </c>
      <c r="X1546" s="13" t="str">
        <f t="shared" si="103"/>
        <v/>
      </c>
      <c r="Y1546" s="2">
        <f t="shared" ca="1" si="104"/>
        <v>3</v>
      </c>
    </row>
    <row r="1547" spans="1:25" hidden="1">
      <c r="A1547" s="1">
        <v>9516566</v>
      </c>
      <c r="B1547" s="1" t="s">
        <v>81</v>
      </c>
      <c r="C1547" t="s">
        <v>4210</v>
      </c>
      <c r="E1547" s="2">
        <v>1943000206001</v>
      </c>
      <c r="F1547" s="1" t="s">
        <v>29</v>
      </c>
      <c r="G1547" s="1" t="s">
        <v>53</v>
      </c>
      <c r="H1547" s="1" t="s">
        <v>264</v>
      </c>
      <c r="I1547" s="1" t="s">
        <v>265</v>
      </c>
      <c r="J1547" s="1" t="s">
        <v>56</v>
      </c>
      <c r="K1547" t="s">
        <v>34</v>
      </c>
      <c r="M1547" s="1" t="s">
        <v>35</v>
      </c>
      <c r="N1547" s="1">
        <v>42318949</v>
      </c>
      <c r="O1547" s="1" t="s">
        <v>105</v>
      </c>
      <c r="P1547" s="12">
        <v>44984.719710648147</v>
      </c>
      <c r="R1547" s="1" t="s">
        <v>38</v>
      </c>
      <c r="T1547" s="1" t="s">
        <v>74</v>
      </c>
      <c r="U1547" s="12">
        <v>44985.719710648147</v>
      </c>
      <c r="V1547" s="1" t="s">
        <v>41</v>
      </c>
      <c r="W1547" s="1" t="s">
        <v>49</v>
      </c>
      <c r="X1547" s="13" t="str">
        <f t="shared" si="103"/>
        <v/>
      </c>
      <c r="Y1547" s="2">
        <f t="shared" ca="1" si="104"/>
        <v>3</v>
      </c>
    </row>
    <row r="1548" spans="1:25" hidden="1">
      <c r="A1548" s="1">
        <v>9516555</v>
      </c>
      <c r="B1548" s="1" t="s">
        <v>81</v>
      </c>
      <c r="C1548" t="s">
        <v>4210</v>
      </c>
      <c r="E1548" s="2">
        <v>1924000206001</v>
      </c>
      <c r="F1548" s="1" t="s">
        <v>29</v>
      </c>
      <c r="G1548" s="1" t="s">
        <v>53</v>
      </c>
      <c r="H1548" s="1" t="s">
        <v>568</v>
      </c>
      <c r="I1548" s="1" t="s">
        <v>569</v>
      </c>
      <c r="J1548" s="1" t="s">
        <v>33</v>
      </c>
      <c r="K1548" t="s">
        <v>34</v>
      </c>
      <c r="M1548" s="1" t="s">
        <v>35</v>
      </c>
      <c r="N1548" s="1">
        <v>42318949</v>
      </c>
      <c r="O1548" s="1" t="s">
        <v>105</v>
      </c>
      <c r="P1548" s="12">
        <v>44984.719687500001</v>
      </c>
      <c r="R1548" s="1" t="s">
        <v>38</v>
      </c>
      <c r="T1548" s="1" t="s">
        <v>74</v>
      </c>
      <c r="U1548" s="12">
        <v>44985.719699074078</v>
      </c>
      <c r="V1548" s="1" t="s">
        <v>41</v>
      </c>
      <c r="W1548" s="1" t="s">
        <v>49</v>
      </c>
      <c r="X1548" s="13" t="str">
        <f t="shared" si="103"/>
        <v/>
      </c>
      <c r="Y1548" s="2">
        <f t="shared" ca="1" si="104"/>
        <v>3</v>
      </c>
    </row>
    <row r="1549" spans="1:25" hidden="1">
      <c r="A1549" s="1">
        <v>9516550</v>
      </c>
      <c r="B1549" s="1" t="s">
        <v>81</v>
      </c>
      <c r="C1549" t="s">
        <v>4210</v>
      </c>
      <c r="E1549" s="2">
        <v>1903220206001</v>
      </c>
      <c r="F1549" s="1" t="s">
        <v>29</v>
      </c>
      <c r="G1549" s="1" t="s">
        <v>53</v>
      </c>
      <c r="H1549" s="1" t="s">
        <v>1867</v>
      </c>
      <c r="I1549" s="1" t="s">
        <v>1868</v>
      </c>
      <c r="J1549" s="1" t="s">
        <v>211</v>
      </c>
      <c r="K1549" t="s">
        <v>34</v>
      </c>
      <c r="M1549" s="1" t="s">
        <v>35</v>
      </c>
      <c r="N1549" s="1">
        <v>42318949</v>
      </c>
      <c r="O1549" s="1" t="s">
        <v>105</v>
      </c>
      <c r="P1549" s="12">
        <v>44984.719687500001</v>
      </c>
      <c r="R1549" s="1" t="s">
        <v>38</v>
      </c>
      <c r="T1549" s="1" t="s">
        <v>74</v>
      </c>
      <c r="U1549" s="12">
        <v>44985.719687500001</v>
      </c>
      <c r="V1549" s="1" t="s">
        <v>41</v>
      </c>
      <c r="W1549" s="1" t="s">
        <v>49</v>
      </c>
      <c r="X1549" s="13" t="str">
        <f t="shared" si="103"/>
        <v>1903.22</v>
      </c>
      <c r="Y1549" s="2">
        <f t="shared" ca="1" si="104"/>
        <v>3</v>
      </c>
    </row>
    <row r="1550" spans="1:25" hidden="1">
      <c r="A1550" s="1">
        <v>9516501</v>
      </c>
      <c r="B1550" s="1" t="s">
        <v>81</v>
      </c>
      <c r="C1550" t="s">
        <v>4210</v>
      </c>
      <c r="E1550" s="2">
        <v>1838000206001</v>
      </c>
      <c r="F1550" s="1" t="s">
        <v>29</v>
      </c>
      <c r="G1550" s="1" t="s">
        <v>53</v>
      </c>
      <c r="H1550" s="1" t="s">
        <v>357</v>
      </c>
      <c r="I1550" s="1" t="s">
        <v>358</v>
      </c>
      <c r="J1550" s="1" t="s">
        <v>46</v>
      </c>
      <c r="K1550" t="s">
        <v>34</v>
      </c>
      <c r="M1550" s="1" t="s">
        <v>35</v>
      </c>
      <c r="N1550" s="1">
        <v>42318949</v>
      </c>
      <c r="O1550" s="1" t="s">
        <v>105</v>
      </c>
      <c r="P1550" s="12">
        <v>44984.719618055555</v>
      </c>
      <c r="R1550" s="1" t="s">
        <v>38</v>
      </c>
      <c r="T1550" s="1" t="s">
        <v>74</v>
      </c>
      <c r="U1550" s="12">
        <v>44985.719618055555</v>
      </c>
      <c r="V1550" s="1" t="s">
        <v>41</v>
      </c>
      <c r="W1550" s="1" t="s">
        <v>49</v>
      </c>
      <c r="X1550" s="13" t="str">
        <f t="shared" si="103"/>
        <v/>
      </c>
      <c r="Y1550" s="2">
        <f t="shared" ca="1" si="104"/>
        <v>3</v>
      </c>
    </row>
    <row r="1551" spans="1:25" hidden="1">
      <c r="A1551" s="1">
        <v>9516500</v>
      </c>
      <c r="B1551" s="1" t="s">
        <v>81</v>
      </c>
      <c r="C1551" t="s">
        <v>4210</v>
      </c>
      <c r="E1551" s="2">
        <v>1837000206001</v>
      </c>
      <c r="F1551" s="1" t="s">
        <v>29</v>
      </c>
      <c r="G1551" s="1" t="s">
        <v>53</v>
      </c>
      <c r="H1551" s="1" t="s">
        <v>1785</v>
      </c>
      <c r="I1551" s="1" t="s">
        <v>1786</v>
      </c>
      <c r="J1551" s="1" t="s">
        <v>46</v>
      </c>
      <c r="K1551" t="s">
        <v>34</v>
      </c>
      <c r="M1551" s="1" t="s">
        <v>35</v>
      </c>
      <c r="N1551" s="1">
        <v>42318949</v>
      </c>
      <c r="O1551" s="1" t="s">
        <v>105</v>
      </c>
      <c r="P1551" s="12">
        <v>44984.719618055555</v>
      </c>
      <c r="R1551" s="1" t="s">
        <v>38</v>
      </c>
      <c r="T1551" s="1" t="s">
        <v>74</v>
      </c>
      <c r="U1551" s="12">
        <v>44985.719618055555</v>
      </c>
      <c r="V1551" s="1" t="s">
        <v>41</v>
      </c>
      <c r="W1551" s="1" t="s">
        <v>49</v>
      </c>
      <c r="X1551" s="13" t="str">
        <f t="shared" si="103"/>
        <v/>
      </c>
      <c r="Y1551" s="2">
        <f t="shared" ca="1" si="104"/>
        <v>3</v>
      </c>
    </row>
    <row r="1552" spans="1:25" hidden="1">
      <c r="A1552" s="1">
        <v>9516499</v>
      </c>
      <c r="B1552" s="1" t="s">
        <v>81</v>
      </c>
      <c r="C1552" t="s">
        <v>4210</v>
      </c>
      <c r="E1552" s="2">
        <v>1835000206001</v>
      </c>
      <c r="F1552" s="1" t="s">
        <v>29</v>
      </c>
      <c r="G1552" s="1" t="s">
        <v>53</v>
      </c>
      <c r="H1552" s="1" t="s">
        <v>305</v>
      </c>
      <c r="I1552" s="1" t="s">
        <v>306</v>
      </c>
      <c r="J1552" s="1" t="s">
        <v>46</v>
      </c>
      <c r="K1552" t="s">
        <v>34</v>
      </c>
      <c r="M1552" s="1" t="s">
        <v>35</v>
      </c>
      <c r="N1552" s="1">
        <v>42318949</v>
      </c>
      <c r="O1552" s="1" t="s">
        <v>105</v>
      </c>
      <c r="P1552" s="12">
        <v>44984.719618055555</v>
      </c>
      <c r="R1552" s="1" t="s">
        <v>38</v>
      </c>
      <c r="T1552" s="1" t="s">
        <v>74</v>
      </c>
      <c r="U1552" s="12">
        <v>44985.719618055555</v>
      </c>
      <c r="V1552" s="1" t="s">
        <v>41</v>
      </c>
      <c r="W1552" s="1" t="s">
        <v>49</v>
      </c>
      <c r="X1552" s="13" t="str">
        <f t="shared" si="103"/>
        <v/>
      </c>
      <c r="Y1552" s="2">
        <f t="shared" ca="1" si="104"/>
        <v>3</v>
      </c>
    </row>
    <row r="1553" spans="1:25" hidden="1">
      <c r="A1553" s="1">
        <v>9516497</v>
      </c>
      <c r="B1553" s="1" t="s">
        <v>81</v>
      </c>
      <c r="C1553" t="s">
        <v>4210</v>
      </c>
      <c r="E1553" s="2">
        <v>1833000206001</v>
      </c>
      <c r="F1553" s="1" t="s">
        <v>29</v>
      </c>
      <c r="G1553" s="1" t="s">
        <v>53</v>
      </c>
      <c r="H1553" s="1" t="s">
        <v>369</v>
      </c>
      <c r="I1553" s="1" t="s">
        <v>370</v>
      </c>
      <c r="J1553" s="1" t="s">
        <v>46</v>
      </c>
      <c r="K1553" t="s">
        <v>34</v>
      </c>
      <c r="M1553" s="1" t="s">
        <v>35</v>
      </c>
      <c r="N1553" s="1">
        <v>42318949</v>
      </c>
      <c r="O1553" s="1" t="s">
        <v>105</v>
      </c>
      <c r="P1553" s="12">
        <v>44984.719618055555</v>
      </c>
      <c r="R1553" s="1" t="s">
        <v>38</v>
      </c>
      <c r="T1553" s="1" t="s">
        <v>74</v>
      </c>
      <c r="U1553" s="12">
        <v>44985.719618055555</v>
      </c>
      <c r="V1553" s="1" t="s">
        <v>41</v>
      </c>
      <c r="W1553" s="1" t="s">
        <v>49</v>
      </c>
      <c r="X1553" s="13" t="str">
        <f t="shared" si="103"/>
        <v/>
      </c>
      <c r="Y1553" s="2">
        <f t="shared" ca="1" si="104"/>
        <v>3</v>
      </c>
    </row>
    <row r="1554" spans="1:25" hidden="1">
      <c r="A1554" s="1">
        <v>9516485</v>
      </c>
      <c r="B1554" s="1" t="s">
        <v>81</v>
      </c>
      <c r="C1554" t="s">
        <v>4210</v>
      </c>
      <c r="E1554" s="2">
        <v>1814000206001</v>
      </c>
      <c r="F1554" s="1" t="s">
        <v>29</v>
      </c>
      <c r="G1554" s="1" t="s">
        <v>53</v>
      </c>
      <c r="H1554" s="1" t="s">
        <v>396</v>
      </c>
      <c r="I1554" s="1" t="s">
        <v>397</v>
      </c>
      <c r="J1554" s="1" t="s">
        <v>46</v>
      </c>
      <c r="K1554" t="s">
        <v>34</v>
      </c>
      <c r="M1554" s="1" t="s">
        <v>35</v>
      </c>
      <c r="N1554" s="1">
        <v>42318949</v>
      </c>
      <c r="O1554" s="1" t="s">
        <v>105</v>
      </c>
      <c r="P1554" s="12">
        <v>44984.719594907408</v>
      </c>
      <c r="R1554" s="1" t="s">
        <v>38</v>
      </c>
      <c r="T1554" s="1" t="s">
        <v>74</v>
      </c>
      <c r="U1554" s="12">
        <v>44985.719594907408</v>
      </c>
      <c r="V1554" s="1" t="s">
        <v>41</v>
      </c>
      <c r="W1554" s="1" t="s">
        <v>49</v>
      </c>
      <c r="X1554" s="13" t="str">
        <f t="shared" si="103"/>
        <v/>
      </c>
      <c r="Y1554" s="2">
        <f t="shared" ca="1" si="104"/>
        <v>3</v>
      </c>
    </row>
    <row r="1555" spans="1:25" hidden="1">
      <c r="A1555" s="1">
        <v>9516467</v>
      </c>
      <c r="B1555" s="1" t="s">
        <v>81</v>
      </c>
      <c r="C1555" t="s">
        <v>4210</v>
      </c>
      <c r="E1555" s="2">
        <v>1792000206001</v>
      </c>
      <c r="F1555" s="1" t="s">
        <v>29</v>
      </c>
      <c r="G1555" s="1" t="s">
        <v>53</v>
      </c>
      <c r="H1555" s="1" t="s">
        <v>467</v>
      </c>
      <c r="I1555" s="1" t="s">
        <v>468</v>
      </c>
      <c r="J1555" s="1" t="s">
        <v>110</v>
      </c>
      <c r="K1555" t="s">
        <v>34</v>
      </c>
      <c r="M1555" s="1" t="s">
        <v>35</v>
      </c>
      <c r="N1555" s="1">
        <v>42318949</v>
      </c>
      <c r="O1555" s="1" t="s">
        <v>105</v>
      </c>
      <c r="P1555" s="11" t="s">
        <v>4254</v>
      </c>
      <c r="R1555" s="1" t="s">
        <v>38</v>
      </c>
      <c r="T1555" s="1" t="s">
        <v>74</v>
      </c>
      <c r="U1555" s="11" t="s">
        <v>4255</v>
      </c>
      <c r="V1555" s="1" t="s">
        <v>41</v>
      </c>
      <c r="W1555" s="1" t="s">
        <v>49</v>
      </c>
      <c r="X1555" s="13" t="str">
        <f t="shared" si="103"/>
        <v/>
      </c>
      <c r="Y1555" s="2">
        <f t="shared" ca="1" si="104"/>
        <v>3</v>
      </c>
    </row>
    <row r="1556" spans="1:25" hidden="1">
      <c r="A1556" s="1">
        <v>9516449</v>
      </c>
      <c r="B1556" s="1" t="s">
        <v>81</v>
      </c>
      <c r="C1556" t="s">
        <v>4210</v>
      </c>
      <c r="E1556" s="2">
        <v>1771000206001</v>
      </c>
      <c r="F1556" s="1" t="s">
        <v>29</v>
      </c>
      <c r="G1556" s="1" t="s">
        <v>53</v>
      </c>
      <c r="H1556" s="1" t="s">
        <v>615</v>
      </c>
      <c r="I1556" s="1" t="s">
        <v>616</v>
      </c>
      <c r="J1556" s="1" t="s">
        <v>261</v>
      </c>
      <c r="K1556" t="s">
        <v>34</v>
      </c>
      <c r="M1556" s="1" t="s">
        <v>35</v>
      </c>
      <c r="N1556" s="1">
        <v>42318949</v>
      </c>
      <c r="O1556" s="1" t="s">
        <v>105</v>
      </c>
      <c r="P1556" s="11" t="s">
        <v>4256</v>
      </c>
      <c r="R1556" s="1" t="s">
        <v>38</v>
      </c>
      <c r="T1556" s="1" t="s">
        <v>74</v>
      </c>
      <c r="U1556" s="11" t="s">
        <v>4257</v>
      </c>
      <c r="V1556" s="1" t="s">
        <v>41</v>
      </c>
      <c r="W1556" s="1" t="s">
        <v>49</v>
      </c>
      <c r="X1556" s="13" t="str">
        <f t="shared" si="103"/>
        <v/>
      </c>
      <c r="Y1556" s="2">
        <f t="shared" ca="1" si="104"/>
        <v>3</v>
      </c>
    </row>
    <row r="1557" spans="1:25" hidden="1">
      <c r="A1557" s="1">
        <v>9516444</v>
      </c>
      <c r="B1557" s="1" t="s">
        <v>81</v>
      </c>
      <c r="C1557" t="s">
        <v>4210</v>
      </c>
      <c r="E1557" s="2">
        <v>1764000206001</v>
      </c>
      <c r="F1557" s="1" t="s">
        <v>29</v>
      </c>
      <c r="G1557" s="1" t="s">
        <v>53</v>
      </c>
      <c r="H1557" s="1" t="s">
        <v>722</v>
      </c>
      <c r="I1557" s="1" t="s">
        <v>723</v>
      </c>
      <c r="J1557" s="1" t="s">
        <v>90</v>
      </c>
      <c r="K1557" t="s">
        <v>34</v>
      </c>
      <c r="M1557" s="1" t="s">
        <v>35</v>
      </c>
      <c r="N1557" s="1">
        <v>42318949</v>
      </c>
      <c r="O1557" s="1" t="s">
        <v>105</v>
      </c>
      <c r="P1557" s="11" t="s">
        <v>4256</v>
      </c>
      <c r="R1557" s="1" t="s">
        <v>38</v>
      </c>
      <c r="T1557" s="1" t="s">
        <v>74</v>
      </c>
      <c r="U1557" s="11" t="s">
        <v>4257</v>
      </c>
      <c r="V1557" s="1" t="s">
        <v>41</v>
      </c>
      <c r="W1557" s="1" t="s">
        <v>49</v>
      </c>
      <c r="X1557" s="13" t="str">
        <f t="shared" si="103"/>
        <v/>
      </c>
      <c r="Y1557" s="2">
        <f t="shared" ca="1" si="104"/>
        <v>3</v>
      </c>
    </row>
    <row r="1558" spans="1:25" hidden="1">
      <c r="A1558" s="1">
        <v>9516441</v>
      </c>
      <c r="B1558" s="1" t="s">
        <v>81</v>
      </c>
      <c r="C1558" t="s">
        <v>4210</v>
      </c>
      <c r="E1558" s="2">
        <v>1761000206001</v>
      </c>
      <c r="F1558" s="1" t="s">
        <v>29</v>
      </c>
      <c r="G1558" s="1" t="s">
        <v>53</v>
      </c>
      <c r="H1558" s="1" t="s">
        <v>375</v>
      </c>
      <c r="I1558" s="1" t="s">
        <v>376</v>
      </c>
      <c r="J1558" s="1" t="s">
        <v>56</v>
      </c>
      <c r="K1558" t="s">
        <v>34</v>
      </c>
      <c r="M1558" s="1" t="s">
        <v>35</v>
      </c>
      <c r="N1558" s="1">
        <v>42318949</v>
      </c>
      <c r="O1558" s="1" t="s">
        <v>105</v>
      </c>
      <c r="P1558" s="11" t="s">
        <v>4258</v>
      </c>
      <c r="R1558" s="1" t="s">
        <v>38</v>
      </c>
      <c r="T1558" s="1" t="s">
        <v>74</v>
      </c>
      <c r="U1558" s="11" t="s">
        <v>4259</v>
      </c>
      <c r="V1558" s="1" t="s">
        <v>41</v>
      </c>
      <c r="W1558" s="1" t="s">
        <v>49</v>
      </c>
      <c r="X1558" s="13" t="str">
        <f t="shared" si="103"/>
        <v/>
      </c>
      <c r="Y1558" s="2">
        <f t="shared" ca="1" si="104"/>
        <v>3</v>
      </c>
    </row>
    <row r="1559" spans="1:25" hidden="1">
      <c r="A1559" s="1">
        <v>9516433</v>
      </c>
      <c r="B1559" s="1" t="s">
        <v>81</v>
      </c>
      <c r="C1559" t="s">
        <v>4210</v>
      </c>
      <c r="E1559" s="2">
        <v>1754000206001</v>
      </c>
      <c r="F1559" s="1" t="s">
        <v>29</v>
      </c>
      <c r="G1559" s="1" t="s">
        <v>53</v>
      </c>
      <c r="H1559" s="1" t="s">
        <v>146</v>
      </c>
      <c r="I1559" s="1" t="s">
        <v>147</v>
      </c>
      <c r="J1559" s="1" t="s">
        <v>148</v>
      </c>
      <c r="K1559" t="s">
        <v>34</v>
      </c>
      <c r="M1559" s="1" t="s">
        <v>35</v>
      </c>
      <c r="N1559" s="1">
        <v>42318949</v>
      </c>
      <c r="O1559" s="1" t="s">
        <v>105</v>
      </c>
      <c r="P1559" s="11" t="s">
        <v>4260</v>
      </c>
      <c r="R1559" s="1" t="s">
        <v>38</v>
      </c>
      <c r="T1559" s="1" t="s">
        <v>74</v>
      </c>
      <c r="U1559" s="11" t="s">
        <v>4261</v>
      </c>
      <c r="V1559" s="1" t="s">
        <v>41</v>
      </c>
      <c r="W1559" s="1" t="s">
        <v>49</v>
      </c>
      <c r="X1559" s="13" t="str">
        <f t="shared" si="103"/>
        <v/>
      </c>
      <c r="Y1559" s="2">
        <f t="shared" ca="1" si="104"/>
        <v>3</v>
      </c>
    </row>
    <row r="1560" spans="1:25" hidden="1">
      <c r="A1560" s="1">
        <v>9516420</v>
      </c>
      <c r="B1560" s="1" t="s">
        <v>81</v>
      </c>
      <c r="C1560" t="s">
        <v>4210</v>
      </c>
      <c r="E1560" s="2">
        <v>1739000206001</v>
      </c>
      <c r="F1560" s="1" t="s">
        <v>29</v>
      </c>
      <c r="G1560" s="1" t="s">
        <v>53</v>
      </c>
      <c r="H1560" s="1" t="s">
        <v>162</v>
      </c>
      <c r="I1560" s="1" t="s">
        <v>163</v>
      </c>
      <c r="J1560" s="1" t="s">
        <v>164</v>
      </c>
      <c r="K1560" t="s">
        <v>34</v>
      </c>
      <c r="M1560" s="1" t="s">
        <v>35</v>
      </c>
      <c r="N1560" s="1">
        <v>42318949</v>
      </c>
      <c r="O1560" s="1" t="s">
        <v>105</v>
      </c>
      <c r="P1560" s="11" t="s">
        <v>4262</v>
      </c>
      <c r="R1560" s="1" t="s">
        <v>38</v>
      </c>
      <c r="T1560" s="1" t="s">
        <v>74</v>
      </c>
      <c r="U1560" s="11" t="s">
        <v>4263</v>
      </c>
      <c r="V1560" s="1" t="s">
        <v>41</v>
      </c>
      <c r="W1560" s="1" t="s">
        <v>49</v>
      </c>
      <c r="X1560" s="13" t="str">
        <f t="shared" si="103"/>
        <v/>
      </c>
      <c r="Y1560" s="2">
        <f t="shared" ca="1" si="104"/>
        <v>3</v>
      </c>
    </row>
    <row r="1561" spans="1:25" hidden="1">
      <c r="A1561" s="1">
        <v>9516416</v>
      </c>
      <c r="B1561" s="1" t="s">
        <v>81</v>
      </c>
      <c r="C1561" t="s">
        <v>4210</v>
      </c>
      <c r="E1561" s="2">
        <v>1732000206001</v>
      </c>
      <c r="F1561" s="1" t="s">
        <v>29</v>
      </c>
      <c r="G1561" s="1" t="s">
        <v>53</v>
      </c>
      <c r="H1561" s="1" t="s">
        <v>177</v>
      </c>
      <c r="I1561" s="1" t="s">
        <v>178</v>
      </c>
      <c r="J1561" s="1" t="s">
        <v>164</v>
      </c>
      <c r="K1561" t="s">
        <v>34</v>
      </c>
      <c r="M1561" s="1" t="s">
        <v>35</v>
      </c>
      <c r="N1561" s="1">
        <v>42318949</v>
      </c>
      <c r="O1561" s="1" t="s">
        <v>105</v>
      </c>
      <c r="P1561" s="11" t="s">
        <v>4264</v>
      </c>
      <c r="R1561" s="1" t="s">
        <v>38</v>
      </c>
      <c r="T1561" s="1" t="s">
        <v>74</v>
      </c>
      <c r="U1561" s="11" t="s">
        <v>4265</v>
      </c>
      <c r="V1561" s="1" t="s">
        <v>41</v>
      </c>
      <c r="W1561" s="1" t="s">
        <v>49</v>
      </c>
      <c r="X1561" s="13" t="str">
        <f t="shared" si="103"/>
        <v/>
      </c>
      <c r="Y1561" s="2">
        <f t="shared" ca="1" si="104"/>
        <v>3</v>
      </c>
    </row>
    <row r="1562" spans="1:25" hidden="1">
      <c r="A1562" s="1">
        <v>9516393</v>
      </c>
      <c r="B1562" s="1" t="s">
        <v>81</v>
      </c>
      <c r="C1562" t="s">
        <v>4210</v>
      </c>
      <c r="E1562" s="2">
        <v>1710000206001</v>
      </c>
      <c r="F1562" s="1" t="s">
        <v>29</v>
      </c>
      <c r="G1562" s="1" t="s">
        <v>53</v>
      </c>
      <c r="H1562" s="1" t="s">
        <v>327</v>
      </c>
      <c r="I1562" s="1" t="s">
        <v>328</v>
      </c>
      <c r="J1562" s="1" t="s">
        <v>261</v>
      </c>
      <c r="K1562" t="s">
        <v>34</v>
      </c>
      <c r="M1562" s="1" t="s">
        <v>35</v>
      </c>
      <c r="N1562" s="1">
        <v>42318949</v>
      </c>
      <c r="O1562" s="1" t="s">
        <v>105</v>
      </c>
      <c r="P1562" s="11" t="s">
        <v>4266</v>
      </c>
      <c r="R1562" s="1" t="s">
        <v>38</v>
      </c>
      <c r="T1562" s="1" t="s">
        <v>74</v>
      </c>
      <c r="U1562" s="11" t="s">
        <v>4267</v>
      </c>
      <c r="V1562" s="1" t="s">
        <v>41</v>
      </c>
      <c r="W1562" s="1" t="s">
        <v>49</v>
      </c>
      <c r="X1562" s="13" t="str">
        <f t="shared" si="103"/>
        <v/>
      </c>
      <c r="Y1562" s="2">
        <f t="shared" ca="1" si="104"/>
        <v>3</v>
      </c>
    </row>
    <row r="1563" spans="1:25" hidden="1">
      <c r="A1563" s="1">
        <v>9516373</v>
      </c>
      <c r="B1563" s="1" t="s">
        <v>81</v>
      </c>
      <c r="C1563" t="s">
        <v>4210</v>
      </c>
      <c r="E1563" s="2">
        <v>1689000206001</v>
      </c>
      <c r="F1563" s="1" t="s">
        <v>29</v>
      </c>
      <c r="G1563" s="1" t="s">
        <v>53</v>
      </c>
      <c r="H1563" s="1" t="s">
        <v>2117</v>
      </c>
      <c r="I1563" s="1" t="s">
        <v>2118</v>
      </c>
      <c r="J1563" s="1" t="s">
        <v>79</v>
      </c>
      <c r="K1563" t="s">
        <v>34</v>
      </c>
      <c r="M1563" s="1" t="s">
        <v>35</v>
      </c>
      <c r="N1563" s="1">
        <v>42318949</v>
      </c>
      <c r="O1563" s="1" t="s">
        <v>105</v>
      </c>
      <c r="P1563" s="11" t="s">
        <v>4268</v>
      </c>
      <c r="R1563" s="1" t="s">
        <v>38</v>
      </c>
      <c r="T1563" s="1" t="s">
        <v>74</v>
      </c>
      <c r="U1563" s="11" t="s">
        <v>4269</v>
      </c>
      <c r="V1563" s="1" t="s">
        <v>41</v>
      </c>
      <c r="W1563" s="1" t="s">
        <v>49</v>
      </c>
      <c r="X1563" s="13" t="str">
        <f t="shared" si="103"/>
        <v/>
      </c>
      <c r="Y1563" s="2">
        <f t="shared" ca="1" si="104"/>
        <v>3</v>
      </c>
    </row>
    <row r="1564" spans="1:25" hidden="1">
      <c r="A1564" s="1">
        <v>9516352</v>
      </c>
      <c r="B1564" s="1" t="s">
        <v>81</v>
      </c>
      <c r="C1564" t="s">
        <v>4210</v>
      </c>
      <c r="E1564" s="2">
        <v>1666000206001</v>
      </c>
      <c r="F1564" s="1" t="s">
        <v>29</v>
      </c>
      <c r="G1564" s="1" t="s">
        <v>53</v>
      </c>
      <c r="H1564" s="1" t="s">
        <v>414</v>
      </c>
      <c r="I1564" s="1" t="s">
        <v>415</v>
      </c>
      <c r="J1564" s="1" t="s">
        <v>79</v>
      </c>
      <c r="K1564" t="s">
        <v>34</v>
      </c>
      <c r="M1564" s="1" t="s">
        <v>35</v>
      </c>
      <c r="N1564" s="1">
        <v>42318949</v>
      </c>
      <c r="O1564" s="1" t="s">
        <v>105</v>
      </c>
      <c r="P1564" s="11" t="s">
        <v>4270</v>
      </c>
      <c r="R1564" s="1" t="s">
        <v>38</v>
      </c>
      <c r="T1564" s="1" t="s">
        <v>74</v>
      </c>
      <c r="U1564" s="11" t="s">
        <v>4271</v>
      </c>
      <c r="V1564" s="1" t="s">
        <v>41</v>
      </c>
      <c r="W1564" s="1" t="s">
        <v>49</v>
      </c>
      <c r="X1564" s="13" t="str">
        <f t="shared" si="103"/>
        <v/>
      </c>
      <c r="Y1564" s="2">
        <f t="shared" ca="1" si="104"/>
        <v>3</v>
      </c>
    </row>
    <row r="1565" spans="1:25" hidden="1">
      <c r="A1565" s="1">
        <v>9516350</v>
      </c>
      <c r="B1565" s="1" t="s">
        <v>81</v>
      </c>
      <c r="C1565" t="s">
        <v>4210</v>
      </c>
      <c r="E1565" s="2">
        <v>1664000206001</v>
      </c>
      <c r="F1565" s="1" t="s">
        <v>29</v>
      </c>
      <c r="G1565" s="1" t="s">
        <v>53</v>
      </c>
      <c r="H1565" s="1" t="s">
        <v>307</v>
      </c>
      <c r="I1565" s="1" t="s">
        <v>308</v>
      </c>
      <c r="J1565" s="1" t="s">
        <v>164</v>
      </c>
      <c r="K1565" t="s">
        <v>34</v>
      </c>
      <c r="M1565" s="1" t="s">
        <v>35</v>
      </c>
      <c r="N1565" s="1">
        <v>42318949</v>
      </c>
      <c r="O1565" s="1" t="s">
        <v>105</v>
      </c>
      <c r="P1565" s="11" t="s">
        <v>4270</v>
      </c>
      <c r="R1565" s="1" t="s">
        <v>38</v>
      </c>
      <c r="T1565" s="1" t="s">
        <v>74</v>
      </c>
      <c r="U1565" s="11" t="s">
        <v>4271</v>
      </c>
      <c r="V1565" s="1" t="s">
        <v>41</v>
      </c>
      <c r="W1565" s="1" t="s">
        <v>49</v>
      </c>
      <c r="X1565" s="13" t="str">
        <f t="shared" si="103"/>
        <v/>
      </c>
      <c r="Y1565" s="2">
        <f t="shared" ca="1" si="104"/>
        <v>3</v>
      </c>
    </row>
    <row r="1566" spans="1:25" hidden="1">
      <c r="A1566" s="1">
        <v>9516336</v>
      </c>
      <c r="B1566" s="1" t="s">
        <v>81</v>
      </c>
      <c r="C1566" t="s">
        <v>4210</v>
      </c>
      <c r="E1566" s="2">
        <v>1650000206001</v>
      </c>
      <c r="F1566" s="1" t="s">
        <v>29</v>
      </c>
      <c r="G1566" s="1" t="s">
        <v>53</v>
      </c>
      <c r="H1566" s="1" t="s">
        <v>620</v>
      </c>
      <c r="I1566" s="1" t="s">
        <v>621</v>
      </c>
      <c r="J1566" s="1" t="s">
        <v>141</v>
      </c>
      <c r="K1566" t="s">
        <v>34</v>
      </c>
      <c r="M1566" s="1" t="s">
        <v>35</v>
      </c>
      <c r="N1566" s="1">
        <v>42318949</v>
      </c>
      <c r="O1566" s="1" t="s">
        <v>105</v>
      </c>
      <c r="P1566" s="11" t="s">
        <v>4272</v>
      </c>
      <c r="R1566" s="1" t="s">
        <v>38</v>
      </c>
      <c r="T1566" s="1" t="s">
        <v>74</v>
      </c>
      <c r="U1566" s="11" t="s">
        <v>4273</v>
      </c>
      <c r="V1566" s="1" t="s">
        <v>41</v>
      </c>
      <c r="W1566" s="1" t="s">
        <v>49</v>
      </c>
      <c r="X1566" s="13" t="str">
        <f t="shared" si="103"/>
        <v/>
      </c>
      <c r="Y1566" s="2">
        <f t="shared" ca="1" si="104"/>
        <v>3</v>
      </c>
    </row>
    <row r="1567" spans="1:25" hidden="1">
      <c r="A1567" s="1">
        <v>9516328</v>
      </c>
      <c r="B1567" s="1" t="s">
        <v>81</v>
      </c>
      <c r="C1567" t="s">
        <v>4210</v>
      </c>
      <c r="E1567" s="2">
        <v>1643000206001</v>
      </c>
      <c r="F1567" s="1" t="s">
        <v>29</v>
      </c>
      <c r="G1567" s="1" t="s">
        <v>53</v>
      </c>
      <c r="H1567" s="1" t="s">
        <v>361</v>
      </c>
      <c r="I1567" s="1" t="s">
        <v>362</v>
      </c>
      <c r="J1567" s="1" t="s">
        <v>261</v>
      </c>
      <c r="K1567" t="s">
        <v>34</v>
      </c>
      <c r="M1567" s="1" t="s">
        <v>35</v>
      </c>
      <c r="N1567" s="1">
        <v>42318949</v>
      </c>
      <c r="O1567" s="1" t="s">
        <v>105</v>
      </c>
      <c r="P1567" s="11" t="s">
        <v>4274</v>
      </c>
      <c r="R1567" s="1" t="s">
        <v>38</v>
      </c>
      <c r="T1567" s="1" t="s">
        <v>74</v>
      </c>
      <c r="U1567" s="11" t="s">
        <v>4275</v>
      </c>
      <c r="V1567" s="1" t="s">
        <v>41</v>
      </c>
      <c r="W1567" s="1" t="s">
        <v>49</v>
      </c>
      <c r="X1567" s="13" t="str">
        <f t="shared" si="103"/>
        <v/>
      </c>
      <c r="Y1567" s="2">
        <f t="shared" ca="1" si="104"/>
        <v>3</v>
      </c>
    </row>
    <row r="1568" spans="1:25" hidden="1">
      <c r="A1568" s="1">
        <v>9516307</v>
      </c>
      <c r="B1568" s="1" t="s">
        <v>81</v>
      </c>
      <c r="C1568" t="s">
        <v>4210</v>
      </c>
      <c r="E1568" s="2">
        <v>1620000206001</v>
      </c>
      <c r="F1568" s="1" t="s">
        <v>29</v>
      </c>
      <c r="G1568" s="1" t="s">
        <v>53</v>
      </c>
      <c r="H1568" s="1" t="s">
        <v>402</v>
      </c>
      <c r="I1568" s="1" t="s">
        <v>403</v>
      </c>
      <c r="J1568" s="1" t="s">
        <v>46</v>
      </c>
      <c r="K1568" t="s">
        <v>34</v>
      </c>
      <c r="M1568" s="1" t="s">
        <v>35</v>
      </c>
      <c r="N1568" s="1">
        <v>42318949</v>
      </c>
      <c r="O1568" s="1" t="s">
        <v>105</v>
      </c>
      <c r="P1568" s="11" t="s">
        <v>4276</v>
      </c>
      <c r="R1568" s="1" t="s">
        <v>38</v>
      </c>
      <c r="T1568" s="1" t="s">
        <v>74</v>
      </c>
      <c r="U1568" s="11" t="s">
        <v>4277</v>
      </c>
      <c r="V1568" s="1" t="s">
        <v>41</v>
      </c>
      <c r="W1568" s="1" t="s">
        <v>49</v>
      </c>
      <c r="X1568" s="13" t="str">
        <f t="shared" si="103"/>
        <v/>
      </c>
      <c r="Y1568" s="2">
        <f t="shared" ca="1" si="104"/>
        <v>3</v>
      </c>
    </row>
    <row r="1569" spans="1:25" hidden="1">
      <c r="A1569" s="1">
        <v>9516205</v>
      </c>
      <c r="B1569" s="1" t="s">
        <v>81</v>
      </c>
      <c r="C1569" t="s">
        <v>4210</v>
      </c>
      <c r="E1569" s="2">
        <v>1509000206001</v>
      </c>
      <c r="F1569" s="1" t="s">
        <v>29</v>
      </c>
      <c r="G1569" s="1" t="s">
        <v>53</v>
      </c>
      <c r="H1569" s="1" t="s">
        <v>731</v>
      </c>
      <c r="I1569" s="1" t="s">
        <v>732</v>
      </c>
      <c r="J1569" s="1" t="s">
        <v>46</v>
      </c>
      <c r="K1569" t="s">
        <v>34</v>
      </c>
      <c r="M1569" s="1" t="s">
        <v>35</v>
      </c>
      <c r="N1569" s="1">
        <v>42318949</v>
      </c>
      <c r="O1569" s="1" t="s">
        <v>105</v>
      </c>
      <c r="P1569" s="11" t="s">
        <v>4278</v>
      </c>
      <c r="R1569" s="1" t="s">
        <v>38</v>
      </c>
      <c r="T1569" s="1" t="s">
        <v>74</v>
      </c>
      <c r="U1569" s="186">
        <v>44985.719178240739</v>
      </c>
      <c r="V1569" s="1" t="s">
        <v>41</v>
      </c>
      <c r="W1569" s="1" t="s">
        <v>49</v>
      </c>
      <c r="X1569" s="13" t="str">
        <f t="shared" si="103"/>
        <v/>
      </c>
      <c r="Y1569" s="2">
        <f t="shared" ca="1" si="104"/>
        <v>3</v>
      </c>
    </row>
    <row r="1570" spans="1:25" hidden="1">
      <c r="A1570" s="1">
        <v>9516115</v>
      </c>
      <c r="B1570" s="1" t="s">
        <v>81</v>
      </c>
      <c r="C1570" t="s">
        <v>4210</v>
      </c>
      <c r="E1570" s="2">
        <v>1421000206001</v>
      </c>
      <c r="F1570" s="1" t="s">
        <v>29</v>
      </c>
      <c r="G1570" s="1" t="s">
        <v>53</v>
      </c>
      <c r="H1570" s="1" t="s">
        <v>179</v>
      </c>
      <c r="I1570" s="1" t="s">
        <v>180</v>
      </c>
      <c r="J1570" s="1" t="s">
        <v>79</v>
      </c>
      <c r="K1570" t="s">
        <v>34</v>
      </c>
      <c r="M1570" s="1" t="s">
        <v>35</v>
      </c>
      <c r="N1570" s="1">
        <v>42318949</v>
      </c>
      <c r="O1570" s="1" t="s">
        <v>105</v>
      </c>
      <c r="P1570" s="11" t="s">
        <v>4279</v>
      </c>
      <c r="R1570" s="1" t="s">
        <v>38</v>
      </c>
      <c r="T1570" s="1" t="s">
        <v>74</v>
      </c>
      <c r="U1570" s="186">
        <v>44985.719027777777</v>
      </c>
      <c r="V1570" s="1" t="s">
        <v>41</v>
      </c>
      <c r="W1570" s="1" t="s">
        <v>49</v>
      </c>
      <c r="X1570" s="13" t="str">
        <f t="shared" si="103"/>
        <v/>
      </c>
      <c r="Y1570" s="2">
        <f t="shared" ca="1" si="104"/>
        <v>3</v>
      </c>
    </row>
    <row r="1571" spans="1:25" hidden="1">
      <c r="A1571" s="1">
        <v>9516059</v>
      </c>
      <c r="B1571" s="1" t="s">
        <v>81</v>
      </c>
      <c r="C1571" t="s">
        <v>4210</v>
      </c>
      <c r="E1571" s="2">
        <v>1363000206001</v>
      </c>
      <c r="F1571" s="1" t="s">
        <v>29</v>
      </c>
      <c r="G1571" s="1" t="s">
        <v>53</v>
      </c>
      <c r="H1571" s="1" t="s">
        <v>108</v>
      </c>
      <c r="I1571" s="1" t="s">
        <v>109</v>
      </c>
      <c r="J1571" s="1" t="s">
        <v>110</v>
      </c>
      <c r="K1571" t="s">
        <v>34</v>
      </c>
      <c r="M1571" s="1" t="s">
        <v>35</v>
      </c>
      <c r="N1571" s="1">
        <v>42318949</v>
      </c>
      <c r="O1571" s="1" t="s">
        <v>105</v>
      </c>
      <c r="P1571" s="11" t="s">
        <v>4280</v>
      </c>
      <c r="R1571" s="1" t="s">
        <v>38</v>
      </c>
      <c r="T1571" s="1" t="s">
        <v>74</v>
      </c>
      <c r="U1571" s="11" t="s">
        <v>4281</v>
      </c>
      <c r="V1571" s="1" t="s">
        <v>41</v>
      </c>
      <c r="W1571" s="1" t="s">
        <v>49</v>
      </c>
      <c r="X1571" s="13" t="str">
        <f t="shared" si="103"/>
        <v/>
      </c>
      <c r="Y1571" s="2">
        <f t="shared" ca="1" si="104"/>
        <v>3</v>
      </c>
    </row>
    <row r="1572" spans="1:25" hidden="1">
      <c r="A1572" s="1">
        <v>9516058</v>
      </c>
      <c r="B1572" s="1" t="s">
        <v>81</v>
      </c>
      <c r="C1572" t="s">
        <v>4210</v>
      </c>
      <c r="E1572" s="2">
        <v>1362000206001</v>
      </c>
      <c r="F1572" s="1" t="s">
        <v>29</v>
      </c>
      <c r="G1572" s="1" t="s">
        <v>53</v>
      </c>
      <c r="H1572" s="1" t="s">
        <v>268</v>
      </c>
      <c r="I1572" s="1" t="s">
        <v>269</v>
      </c>
      <c r="J1572" s="1" t="s">
        <v>90</v>
      </c>
      <c r="K1572" t="s">
        <v>34</v>
      </c>
      <c r="M1572" s="1" t="s">
        <v>35</v>
      </c>
      <c r="N1572" s="1">
        <v>42318949</v>
      </c>
      <c r="O1572" s="1" t="s">
        <v>105</v>
      </c>
      <c r="P1572" s="11" t="s">
        <v>4280</v>
      </c>
      <c r="R1572" s="1" t="s">
        <v>38</v>
      </c>
      <c r="T1572" s="1" t="s">
        <v>74</v>
      </c>
      <c r="U1572" s="11" t="s">
        <v>4281</v>
      </c>
      <c r="V1572" s="1" t="s">
        <v>41</v>
      </c>
      <c r="W1572" s="1" t="s">
        <v>49</v>
      </c>
      <c r="X1572" s="13" t="str">
        <f t="shared" si="103"/>
        <v/>
      </c>
      <c r="Y1572" s="2">
        <f t="shared" ca="1" si="104"/>
        <v>3</v>
      </c>
    </row>
    <row r="1573" spans="1:25" hidden="1">
      <c r="A1573" s="1">
        <v>9516057</v>
      </c>
      <c r="B1573" s="1" t="s">
        <v>81</v>
      </c>
      <c r="C1573" t="s">
        <v>4210</v>
      </c>
      <c r="E1573" s="2">
        <v>1361000206001</v>
      </c>
      <c r="F1573" s="1" t="s">
        <v>29</v>
      </c>
      <c r="G1573" s="1" t="s">
        <v>53</v>
      </c>
      <c r="H1573" s="1" t="s">
        <v>309</v>
      </c>
      <c r="I1573" s="1" t="s">
        <v>310</v>
      </c>
      <c r="J1573" s="1" t="s">
        <v>46</v>
      </c>
      <c r="K1573" t="s">
        <v>34</v>
      </c>
      <c r="M1573" s="1" t="s">
        <v>35</v>
      </c>
      <c r="N1573" s="1">
        <v>42318949</v>
      </c>
      <c r="O1573" s="1" t="s">
        <v>105</v>
      </c>
      <c r="P1573" s="11" t="s">
        <v>4280</v>
      </c>
      <c r="R1573" s="1" t="s">
        <v>38</v>
      </c>
      <c r="T1573" s="1" t="s">
        <v>74</v>
      </c>
      <c r="U1573" s="186">
        <v>44985.718946759262</v>
      </c>
      <c r="V1573" s="1" t="s">
        <v>41</v>
      </c>
      <c r="W1573" s="1" t="s">
        <v>49</v>
      </c>
      <c r="X1573" s="13" t="str">
        <f t="shared" si="103"/>
        <v/>
      </c>
      <c r="Y1573" s="2">
        <f t="shared" ca="1" si="104"/>
        <v>3</v>
      </c>
    </row>
    <row r="1574" spans="1:25" hidden="1">
      <c r="A1574" s="1">
        <v>9516056</v>
      </c>
      <c r="B1574" s="1" t="s">
        <v>81</v>
      </c>
      <c r="C1574" t="s">
        <v>4210</v>
      </c>
      <c r="E1574" s="2">
        <v>1360000206001</v>
      </c>
      <c r="F1574" s="1" t="s">
        <v>29</v>
      </c>
      <c r="G1574" s="1" t="s">
        <v>53</v>
      </c>
      <c r="H1574" s="1" t="s">
        <v>303</v>
      </c>
      <c r="I1574" s="1" t="s">
        <v>304</v>
      </c>
      <c r="J1574" s="1" t="s">
        <v>261</v>
      </c>
      <c r="K1574" t="s">
        <v>34</v>
      </c>
      <c r="M1574" s="1" t="s">
        <v>35</v>
      </c>
      <c r="N1574" s="1">
        <v>42318949</v>
      </c>
      <c r="O1574" s="1" t="s">
        <v>105</v>
      </c>
      <c r="P1574" s="11" t="s">
        <v>4282</v>
      </c>
      <c r="R1574" s="1" t="s">
        <v>38</v>
      </c>
      <c r="T1574" s="1" t="s">
        <v>74</v>
      </c>
      <c r="U1574" s="186">
        <v>44985.718935185185</v>
      </c>
      <c r="V1574" s="1" t="s">
        <v>41</v>
      </c>
      <c r="W1574" s="1" t="s">
        <v>49</v>
      </c>
      <c r="X1574" s="13" t="str">
        <f t="shared" si="103"/>
        <v/>
      </c>
      <c r="Y1574" s="2">
        <f t="shared" ca="1" si="104"/>
        <v>3</v>
      </c>
    </row>
    <row r="1575" spans="1:25" hidden="1">
      <c r="A1575" s="1">
        <v>9516055</v>
      </c>
      <c r="B1575" s="1" t="s">
        <v>81</v>
      </c>
      <c r="C1575" t="s">
        <v>4210</v>
      </c>
      <c r="E1575" s="2">
        <v>1359000206001</v>
      </c>
      <c r="F1575" s="1" t="s">
        <v>29</v>
      </c>
      <c r="G1575" s="1" t="s">
        <v>53</v>
      </c>
      <c r="H1575" s="1" t="s">
        <v>270</v>
      </c>
      <c r="I1575" s="1" t="s">
        <v>271</v>
      </c>
      <c r="J1575" s="1" t="s">
        <v>141</v>
      </c>
      <c r="K1575" t="s">
        <v>34</v>
      </c>
      <c r="M1575" s="1" t="s">
        <v>35</v>
      </c>
      <c r="N1575" s="1">
        <v>42318949</v>
      </c>
      <c r="O1575" s="1" t="s">
        <v>105</v>
      </c>
      <c r="P1575" s="11" t="s">
        <v>4282</v>
      </c>
      <c r="R1575" s="1" t="s">
        <v>38</v>
      </c>
      <c r="T1575" s="1" t="s">
        <v>74</v>
      </c>
      <c r="U1575" s="186">
        <v>44985.718935185185</v>
      </c>
      <c r="V1575" s="1" t="s">
        <v>41</v>
      </c>
      <c r="W1575" s="1" t="s">
        <v>49</v>
      </c>
      <c r="X1575" s="13" t="str">
        <f t="shared" si="103"/>
        <v/>
      </c>
      <c r="Y1575" s="2">
        <f t="shared" ca="1" si="104"/>
        <v>3</v>
      </c>
    </row>
    <row r="1576" spans="1:25" hidden="1">
      <c r="A1576" s="1">
        <v>9516054</v>
      </c>
      <c r="B1576" s="1" t="s">
        <v>81</v>
      </c>
      <c r="C1576" t="s">
        <v>4210</v>
      </c>
      <c r="E1576" s="2">
        <v>1358000206001</v>
      </c>
      <c r="F1576" s="1" t="s">
        <v>29</v>
      </c>
      <c r="G1576" s="1" t="s">
        <v>53</v>
      </c>
      <c r="H1576" s="1" t="s">
        <v>593</v>
      </c>
      <c r="I1576" s="1" t="s">
        <v>594</v>
      </c>
      <c r="J1576" s="1" t="s">
        <v>261</v>
      </c>
      <c r="K1576" t="s">
        <v>34</v>
      </c>
      <c r="M1576" s="1" t="s">
        <v>35</v>
      </c>
      <c r="N1576" s="1">
        <v>42318949</v>
      </c>
      <c r="O1576" s="1" t="s">
        <v>105</v>
      </c>
      <c r="P1576" s="11" t="s">
        <v>4282</v>
      </c>
      <c r="R1576" s="1" t="s">
        <v>38</v>
      </c>
      <c r="T1576" s="1" t="s">
        <v>74</v>
      </c>
      <c r="U1576" s="186">
        <v>44985.718935185185</v>
      </c>
      <c r="V1576" s="1" t="s">
        <v>41</v>
      </c>
      <c r="W1576" s="1" t="s">
        <v>49</v>
      </c>
      <c r="X1576" s="13" t="str">
        <f t="shared" si="103"/>
        <v/>
      </c>
      <c r="Y1576" s="2">
        <f t="shared" ca="1" si="104"/>
        <v>3</v>
      </c>
    </row>
    <row r="1577" spans="1:25" hidden="1">
      <c r="A1577" s="1">
        <v>9515994</v>
      </c>
      <c r="B1577" s="1" t="s">
        <v>81</v>
      </c>
      <c r="C1577" t="s">
        <v>4210</v>
      </c>
      <c r="E1577" s="2">
        <v>1291000206001</v>
      </c>
      <c r="F1577" s="1" t="s">
        <v>29</v>
      </c>
      <c r="G1577" s="1" t="s">
        <v>53</v>
      </c>
      <c r="H1577" s="1" t="s">
        <v>136</v>
      </c>
      <c r="I1577" s="1" t="s">
        <v>137</v>
      </c>
      <c r="J1577" s="1" t="s">
        <v>33</v>
      </c>
      <c r="K1577" t="s">
        <v>34</v>
      </c>
      <c r="M1577" s="1" t="s">
        <v>35</v>
      </c>
      <c r="N1577" s="1">
        <v>42318949</v>
      </c>
      <c r="O1577" s="1" t="s">
        <v>105</v>
      </c>
      <c r="P1577" s="11" t="s">
        <v>4283</v>
      </c>
      <c r="R1577" s="1" t="s">
        <v>38</v>
      </c>
      <c r="T1577" s="1" t="s">
        <v>74</v>
      </c>
      <c r="U1577" s="186">
        <v>44985.718842592592</v>
      </c>
      <c r="V1577" s="1" t="s">
        <v>41</v>
      </c>
      <c r="W1577" s="1" t="s">
        <v>42</v>
      </c>
      <c r="X1577" s="13" t="str">
        <f t="shared" si="103"/>
        <v/>
      </c>
      <c r="Y1577" s="2">
        <f t="shared" ca="1" si="104"/>
        <v>3</v>
      </c>
    </row>
    <row r="1578" spans="1:25" hidden="1">
      <c r="A1578" s="1">
        <v>9515975</v>
      </c>
      <c r="B1578" s="1" t="s">
        <v>81</v>
      </c>
      <c r="C1578" t="s">
        <v>4210</v>
      </c>
      <c r="E1578" s="2">
        <v>1264000206001</v>
      </c>
      <c r="F1578" s="1" t="s">
        <v>29</v>
      </c>
      <c r="G1578" s="1" t="s">
        <v>53</v>
      </c>
      <c r="H1578" s="1" t="s">
        <v>351</v>
      </c>
      <c r="I1578" s="1" t="s">
        <v>352</v>
      </c>
      <c r="J1578" s="1" t="s">
        <v>110</v>
      </c>
      <c r="K1578" t="s">
        <v>34</v>
      </c>
      <c r="M1578" s="1" t="s">
        <v>35</v>
      </c>
      <c r="N1578" s="1">
        <v>42318949</v>
      </c>
      <c r="O1578" s="1" t="s">
        <v>105</v>
      </c>
      <c r="P1578" s="11" t="s">
        <v>4284</v>
      </c>
      <c r="R1578" s="1" t="s">
        <v>38</v>
      </c>
      <c r="T1578" s="1" t="s">
        <v>74</v>
      </c>
      <c r="U1578" s="11" t="s">
        <v>4285</v>
      </c>
      <c r="V1578" s="1" t="s">
        <v>41</v>
      </c>
      <c r="W1578" s="1" t="s">
        <v>49</v>
      </c>
      <c r="X1578" s="13" t="str">
        <f t="shared" si="103"/>
        <v/>
      </c>
      <c r="Y1578" s="2">
        <f t="shared" ca="1" si="104"/>
        <v>3</v>
      </c>
    </row>
    <row r="1579" spans="1:25" hidden="1">
      <c r="A1579" s="1">
        <v>9515958</v>
      </c>
      <c r="B1579" s="1" t="s">
        <v>81</v>
      </c>
      <c r="C1579" t="s">
        <v>4210</v>
      </c>
      <c r="E1579" s="2">
        <v>1245000206001</v>
      </c>
      <c r="F1579" s="1" t="s">
        <v>29</v>
      </c>
      <c r="G1579" s="1" t="s">
        <v>53</v>
      </c>
      <c r="H1579" s="1" t="s">
        <v>408</v>
      </c>
      <c r="I1579" s="1" t="s">
        <v>409</v>
      </c>
      <c r="J1579" s="1" t="s">
        <v>46</v>
      </c>
      <c r="K1579" t="s">
        <v>34</v>
      </c>
      <c r="M1579" s="1" t="s">
        <v>35</v>
      </c>
      <c r="N1579" s="1">
        <v>42318949</v>
      </c>
      <c r="O1579" s="1" t="s">
        <v>105</v>
      </c>
      <c r="P1579" s="11" t="s">
        <v>4286</v>
      </c>
      <c r="R1579" s="1" t="s">
        <v>38</v>
      </c>
      <c r="T1579" s="1" t="s">
        <v>74</v>
      </c>
      <c r="U1579" s="11" t="s">
        <v>4287</v>
      </c>
      <c r="V1579" s="1" t="s">
        <v>41</v>
      </c>
      <c r="W1579" s="1" t="s">
        <v>49</v>
      </c>
      <c r="X1579" s="13" t="str">
        <f t="shared" si="103"/>
        <v/>
      </c>
      <c r="Y1579" s="2">
        <f t="shared" ca="1" si="104"/>
        <v>3</v>
      </c>
    </row>
    <row r="1580" spans="1:25" hidden="1">
      <c r="A1580" s="1">
        <v>9515898</v>
      </c>
      <c r="B1580" s="1" t="s">
        <v>81</v>
      </c>
      <c r="C1580" t="s">
        <v>4210</v>
      </c>
      <c r="E1580" s="2">
        <v>1185000206001</v>
      </c>
      <c r="F1580" s="1" t="s">
        <v>29</v>
      </c>
      <c r="G1580" s="1" t="s">
        <v>53</v>
      </c>
      <c r="H1580" s="1" t="s">
        <v>539</v>
      </c>
      <c r="I1580" s="1" t="s">
        <v>540</v>
      </c>
      <c r="J1580" s="1" t="s">
        <v>33</v>
      </c>
      <c r="K1580" t="s">
        <v>34</v>
      </c>
      <c r="M1580" s="1" t="s">
        <v>35</v>
      </c>
      <c r="N1580" s="1">
        <v>42318949</v>
      </c>
      <c r="O1580" s="1" t="s">
        <v>105</v>
      </c>
      <c r="P1580" s="11" t="s">
        <v>4288</v>
      </c>
      <c r="R1580" s="1" t="s">
        <v>38</v>
      </c>
      <c r="T1580" s="1" t="s">
        <v>74</v>
      </c>
      <c r="U1580" s="11" t="s">
        <v>4289</v>
      </c>
      <c r="V1580" s="1" t="s">
        <v>41</v>
      </c>
      <c r="W1580" s="1" t="s">
        <v>42</v>
      </c>
      <c r="X1580" s="13" t="str">
        <f t="shared" si="103"/>
        <v/>
      </c>
      <c r="Y1580" s="2">
        <f t="shared" ca="1" si="104"/>
        <v>3</v>
      </c>
    </row>
    <row r="1581" spans="1:25" hidden="1">
      <c r="A1581" s="1">
        <v>9515879</v>
      </c>
      <c r="B1581" s="1" t="s">
        <v>81</v>
      </c>
      <c r="C1581" t="s">
        <v>4210</v>
      </c>
      <c r="E1581" s="2">
        <v>1162000206001</v>
      </c>
      <c r="F1581" s="1" t="s">
        <v>29</v>
      </c>
      <c r="G1581" s="1" t="s">
        <v>53</v>
      </c>
      <c r="H1581" s="1" t="s">
        <v>280</v>
      </c>
      <c r="I1581" s="1" t="s">
        <v>281</v>
      </c>
      <c r="J1581" s="1" t="s">
        <v>211</v>
      </c>
      <c r="K1581" t="s">
        <v>34</v>
      </c>
      <c r="M1581" s="1" t="s">
        <v>35</v>
      </c>
      <c r="N1581" s="1">
        <v>42318949</v>
      </c>
      <c r="O1581" s="1" t="s">
        <v>105</v>
      </c>
      <c r="P1581" s="11" t="s">
        <v>4290</v>
      </c>
      <c r="R1581" s="1" t="s">
        <v>38</v>
      </c>
      <c r="T1581" s="1" t="s">
        <v>74</v>
      </c>
      <c r="U1581" s="11" t="s">
        <v>4291</v>
      </c>
      <c r="V1581" s="1" t="s">
        <v>41</v>
      </c>
      <c r="W1581" s="1" t="s">
        <v>49</v>
      </c>
      <c r="X1581" s="13" t="str">
        <f t="shared" si="103"/>
        <v/>
      </c>
      <c r="Y1581" s="2">
        <f t="shared" ca="1" si="104"/>
        <v>3</v>
      </c>
    </row>
    <row r="1582" spans="1:25" hidden="1">
      <c r="A1582" s="1">
        <v>9515871</v>
      </c>
      <c r="B1582" s="1" t="s">
        <v>81</v>
      </c>
      <c r="C1582" t="s">
        <v>4210</v>
      </c>
      <c r="E1582" s="2">
        <v>1153000206001</v>
      </c>
      <c r="F1582" s="1" t="s">
        <v>29</v>
      </c>
      <c r="G1582" s="1" t="s">
        <v>53</v>
      </c>
      <c r="H1582" s="1" t="s">
        <v>1031</v>
      </c>
      <c r="I1582" s="1" t="s">
        <v>1032</v>
      </c>
      <c r="J1582" s="1" t="s">
        <v>79</v>
      </c>
      <c r="K1582" t="s">
        <v>34</v>
      </c>
      <c r="M1582" s="1" t="s">
        <v>35</v>
      </c>
      <c r="N1582" s="1">
        <v>42318949</v>
      </c>
      <c r="O1582" s="1" t="s">
        <v>105</v>
      </c>
      <c r="P1582" s="11" t="s">
        <v>4292</v>
      </c>
      <c r="R1582" s="1" t="s">
        <v>38</v>
      </c>
      <c r="T1582" s="1" t="s">
        <v>74</v>
      </c>
      <c r="U1582" s="186">
        <v>44985.718657407408</v>
      </c>
      <c r="V1582" s="1" t="s">
        <v>41</v>
      </c>
      <c r="W1582" s="1" t="s">
        <v>49</v>
      </c>
      <c r="X1582" s="13" t="str">
        <f t="shared" si="103"/>
        <v/>
      </c>
      <c r="Y1582" s="2">
        <f t="shared" ca="1" si="104"/>
        <v>3</v>
      </c>
    </row>
    <row r="1583" spans="1:25" hidden="1">
      <c r="A1583" s="1">
        <v>9515864</v>
      </c>
      <c r="B1583" s="1" t="s">
        <v>81</v>
      </c>
      <c r="C1583" t="s">
        <v>4210</v>
      </c>
      <c r="E1583" s="2">
        <v>1146000206001</v>
      </c>
      <c r="F1583" s="1" t="s">
        <v>29</v>
      </c>
      <c r="G1583" s="1" t="s">
        <v>53</v>
      </c>
      <c r="H1583" s="1" t="s">
        <v>315</v>
      </c>
      <c r="I1583" s="1" t="s">
        <v>316</v>
      </c>
      <c r="J1583" s="1" t="s">
        <v>148</v>
      </c>
      <c r="K1583" t="s">
        <v>34</v>
      </c>
      <c r="M1583" s="1" t="s">
        <v>35</v>
      </c>
      <c r="N1583" s="1">
        <v>42318949</v>
      </c>
      <c r="O1583" s="1" t="s">
        <v>105</v>
      </c>
      <c r="P1583" s="11" t="s">
        <v>4293</v>
      </c>
      <c r="R1583" s="1" t="s">
        <v>38</v>
      </c>
      <c r="T1583" s="1" t="s">
        <v>74</v>
      </c>
      <c r="U1583" s="11" t="s">
        <v>4294</v>
      </c>
      <c r="V1583" s="1" t="s">
        <v>41</v>
      </c>
      <c r="W1583" s="1" t="s">
        <v>49</v>
      </c>
      <c r="X1583" s="13" t="str">
        <f t="shared" si="103"/>
        <v/>
      </c>
      <c r="Y1583" s="2">
        <f t="shared" ca="1" si="104"/>
        <v>3</v>
      </c>
    </row>
    <row r="1584" spans="1:25" hidden="1">
      <c r="A1584" s="1">
        <v>9515856</v>
      </c>
      <c r="B1584" s="1" t="s">
        <v>81</v>
      </c>
      <c r="C1584" t="s">
        <v>4210</v>
      </c>
      <c r="E1584" s="2">
        <v>1138000206001</v>
      </c>
      <c r="F1584" s="1" t="s">
        <v>29</v>
      </c>
      <c r="G1584" s="1" t="s">
        <v>53</v>
      </c>
      <c r="H1584" s="1" t="s">
        <v>548</v>
      </c>
      <c r="I1584" s="1" t="s">
        <v>549</v>
      </c>
      <c r="J1584" s="1" t="s">
        <v>46</v>
      </c>
      <c r="K1584" t="s">
        <v>34</v>
      </c>
      <c r="M1584" s="1" t="s">
        <v>35</v>
      </c>
      <c r="N1584" s="1">
        <v>42318949</v>
      </c>
      <c r="O1584" s="1" t="s">
        <v>105</v>
      </c>
      <c r="P1584" s="11" t="s">
        <v>4295</v>
      </c>
      <c r="R1584" s="1" t="s">
        <v>38</v>
      </c>
      <c r="T1584" s="1" t="s">
        <v>74</v>
      </c>
      <c r="U1584" s="11" t="s">
        <v>4296</v>
      </c>
      <c r="V1584" s="1" t="s">
        <v>41</v>
      </c>
      <c r="W1584" s="1" t="s">
        <v>49</v>
      </c>
      <c r="X1584" s="13" t="str">
        <f t="shared" si="103"/>
        <v/>
      </c>
      <c r="Y1584" s="2">
        <f t="shared" ca="1" si="104"/>
        <v>3</v>
      </c>
    </row>
    <row r="1585" spans="1:25" hidden="1">
      <c r="A1585" s="1">
        <v>9515847</v>
      </c>
      <c r="B1585" s="1" t="s">
        <v>81</v>
      </c>
      <c r="C1585" t="s">
        <v>4210</v>
      </c>
      <c r="E1585" s="2">
        <v>1128000206001</v>
      </c>
      <c r="F1585" s="1" t="s">
        <v>29</v>
      </c>
      <c r="G1585" s="1" t="s">
        <v>53</v>
      </c>
      <c r="H1585" s="1" t="s">
        <v>1191</v>
      </c>
      <c r="I1585" s="1" t="s">
        <v>1192</v>
      </c>
      <c r="J1585" s="1" t="s">
        <v>33</v>
      </c>
      <c r="K1585" t="s">
        <v>34</v>
      </c>
      <c r="M1585" s="1" t="s">
        <v>35</v>
      </c>
      <c r="N1585" s="1">
        <v>42318949</v>
      </c>
      <c r="O1585" s="1" t="s">
        <v>105</v>
      </c>
      <c r="P1585" s="11" t="s">
        <v>4297</v>
      </c>
      <c r="R1585" s="1" t="s">
        <v>38</v>
      </c>
      <c r="T1585" s="1" t="s">
        <v>74</v>
      </c>
      <c r="U1585" s="11" t="s">
        <v>4298</v>
      </c>
      <c r="V1585" s="1" t="s">
        <v>41</v>
      </c>
      <c r="W1585" s="1" t="s">
        <v>49</v>
      </c>
      <c r="X1585" s="13" t="str">
        <f t="shared" si="103"/>
        <v/>
      </c>
      <c r="Y1585" s="2">
        <f t="shared" ca="1" si="104"/>
        <v>3</v>
      </c>
    </row>
    <row r="1586" spans="1:25" hidden="1">
      <c r="A1586" s="1">
        <v>9515839</v>
      </c>
      <c r="B1586" s="1" t="s">
        <v>81</v>
      </c>
      <c r="C1586" t="s">
        <v>4210</v>
      </c>
      <c r="E1586" s="2">
        <v>1120000206001</v>
      </c>
      <c r="F1586" s="1" t="s">
        <v>29</v>
      </c>
      <c r="G1586" s="1" t="s">
        <v>53</v>
      </c>
      <c r="H1586" s="1" t="s">
        <v>181</v>
      </c>
      <c r="I1586" s="1" t="s">
        <v>182</v>
      </c>
      <c r="J1586" s="1" t="s">
        <v>164</v>
      </c>
      <c r="K1586" t="s">
        <v>34</v>
      </c>
      <c r="M1586" s="1" t="s">
        <v>35</v>
      </c>
      <c r="N1586" s="1">
        <v>42318949</v>
      </c>
      <c r="O1586" s="1" t="s">
        <v>105</v>
      </c>
      <c r="P1586" s="11" t="s">
        <v>4299</v>
      </c>
      <c r="R1586" s="1" t="s">
        <v>38</v>
      </c>
      <c r="T1586" s="1" t="s">
        <v>74</v>
      </c>
      <c r="U1586" s="11" t="s">
        <v>4300</v>
      </c>
      <c r="V1586" s="1" t="s">
        <v>41</v>
      </c>
      <c r="W1586" s="1" t="s">
        <v>49</v>
      </c>
      <c r="X1586" s="13" t="str">
        <f t="shared" si="103"/>
        <v/>
      </c>
      <c r="Y1586" s="2">
        <f t="shared" ca="1" si="104"/>
        <v>3</v>
      </c>
    </row>
    <row r="1587" spans="1:25" hidden="1">
      <c r="A1587" s="1">
        <v>9515827</v>
      </c>
      <c r="B1587" s="1" t="s">
        <v>81</v>
      </c>
      <c r="C1587" t="s">
        <v>4210</v>
      </c>
      <c r="E1587" s="2">
        <v>1108000206001</v>
      </c>
      <c r="F1587" s="1" t="s">
        <v>29</v>
      </c>
      <c r="G1587" s="1" t="s">
        <v>53</v>
      </c>
      <c r="H1587" s="1" t="s">
        <v>295</v>
      </c>
      <c r="I1587" s="1" t="s">
        <v>296</v>
      </c>
      <c r="J1587" s="1" t="s">
        <v>90</v>
      </c>
      <c r="K1587" t="s">
        <v>34</v>
      </c>
      <c r="M1587" s="1" t="s">
        <v>35</v>
      </c>
      <c r="N1587" s="1">
        <v>42318949</v>
      </c>
      <c r="O1587" s="1" t="s">
        <v>105</v>
      </c>
      <c r="P1587" s="11" t="s">
        <v>4301</v>
      </c>
      <c r="R1587" s="1" t="s">
        <v>38</v>
      </c>
      <c r="T1587" s="1" t="s">
        <v>74</v>
      </c>
      <c r="U1587" s="11" t="s">
        <v>4302</v>
      </c>
      <c r="V1587" s="1" t="s">
        <v>41</v>
      </c>
      <c r="W1587" s="1" t="s">
        <v>49</v>
      </c>
      <c r="X1587" s="13" t="str">
        <f t="shared" si="103"/>
        <v/>
      </c>
      <c r="Y1587" s="2">
        <f t="shared" ca="1" si="104"/>
        <v>3</v>
      </c>
    </row>
    <row r="1588" spans="1:25" hidden="1">
      <c r="A1588" s="1">
        <v>9515793</v>
      </c>
      <c r="B1588" s="1" t="s">
        <v>81</v>
      </c>
      <c r="C1588" t="s">
        <v>4210</v>
      </c>
      <c r="E1588" s="2">
        <v>1069000206001</v>
      </c>
      <c r="F1588" s="1" t="s">
        <v>29</v>
      </c>
      <c r="G1588" s="1" t="s">
        <v>53</v>
      </c>
      <c r="H1588" s="1" t="s">
        <v>353</v>
      </c>
      <c r="I1588" s="1" t="s">
        <v>354</v>
      </c>
      <c r="J1588" s="1" t="s">
        <v>211</v>
      </c>
      <c r="K1588" t="s">
        <v>34</v>
      </c>
      <c r="M1588" s="1" t="s">
        <v>35</v>
      </c>
      <c r="N1588" s="1">
        <v>42318949</v>
      </c>
      <c r="O1588" s="1" t="s">
        <v>105</v>
      </c>
      <c r="P1588" s="11" t="s">
        <v>4303</v>
      </c>
      <c r="R1588" s="1" t="s">
        <v>38</v>
      </c>
      <c r="T1588" s="1" t="s">
        <v>74</v>
      </c>
      <c r="U1588" s="186">
        <v>44985.718553240738</v>
      </c>
      <c r="V1588" s="1" t="s">
        <v>41</v>
      </c>
      <c r="W1588" s="1" t="s">
        <v>49</v>
      </c>
      <c r="X1588" s="13" t="str">
        <f t="shared" si="103"/>
        <v/>
      </c>
      <c r="Y1588" s="2">
        <f t="shared" ca="1" si="104"/>
        <v>3</v>
      </c>
    </row>
    <row r="1589" spans="1:25" hidden="1">
      <c r="A1589" s="1">
        <v>9515786</v>
      </c>
      <c r="B1589" s="1" t="s">
        <v>81</v>
      </c>
      <c r="C1589" t="s">
        <v>4210</v>
      </c>
      <c r="E1589" s="2">
        <v>1061000206001</v>
      </c>
      <c r="F1589" s="1" t="s">
        <v>29</v>
      </c>
      <c r="G1589" s="1" t="s">
        <v>53</v>
      </c>
      <c r="H1589" s="1" t="s">
        <v>166</v>
      </c>
      <c r="I1589" s="1" t="s">
        <v>167</v>
      </c>
      <c r="J1589" s="1" t="s">
        <v>85</v>
      </c>
      <c r="K1589" t="s">
        <v>34</v>
      </c>
      <c r="M1589" s="1" t="s">
        <v>35</v>
      </c>
      <c r="N1589" s="1">
        <v>42318949</v>
      </c>
      <c r="O1589" s="1" t="s">
        <v>105</v>
      </c>
      <c r="P1589" s="11" t="s">
        <v>4304</v>
      </c>
      <c r="R1589" s="1" t="s">
        <v>38</v>
      </c>
      <c r="T1589" s="1" t="s">
        <v>74</v>
      </c>
      <c r="U1589" s="186">
        <v>44985.718553240738</v>
      </c>
      <c r="V1589" s="1" t="s">
        <v>41</v>
      </c>
      <c r="W1589" s="1" t="s">
        <v>49</v>
      </c>
      <c r="X1589" s="13" t="str">
        <f t="shared" si="103"/>
        <v/>
      </c>
      <c r="Y1589" s="2">
        <f t="shared" ca="1" si="104"/>
        <v>3</v>
      </c>
    </row>
    <row r="1590" spans="1:25" hidden="1">
      <c r="A1590" s="1">
        <v>9515785</v>
      </c>
      <c r="B1590" s="1" t="s">
        <v>81</v>
      </c>
      <c r="C1590" t="s">
        <v>4210</v>
      </c>
      <c r="E1590" s="2">
        <v>1060000206001</v>
      </c>
      <c r="F1590" s="1" t="s">
        <v>29</v>
      </c>
      <c r="G1590" s="1" t="s">
        <v>53</v>
      </c>
      <c r="H1590" s="1" t="s">
        <v>284</v>
      </c>
      <c r="I1590" s="1" t="s">
        <v>285</v>
      </c>
      <c r="J1590" s="1" t="s">
        <v>148</v>
      </c>
      <c r="K1590" t="s">
        <v>34</v>
      </c>
      <c r="M1590" s="1" t="s">
        <v>35</v>
      </c>
      <c r="N1590" s="1">
        <v>42318949</v>
      </c>
      <c r="O1590" s="1" t="s">
        <v>105</v>
      </c>
      <c r="P1590" s="11" t="s">
        <v>4304</v>
      </c>
      <c r="R1590" s="1" t="s">
        <v>38</v>
      </c>
      <c r="T1590" s="1" t="s">
        <v>74</v>
      </c>
      <c r="U1590" s="186">
        <v>44985.718541666669</v>
      </c>
      <c r="V1590" s="1" t="s">
        <v>41</v>
      </c>
      <c r="W1590" s="1" t="s">
        <v>49</v>
      </c>
      <c r="X1590" s="13" t="str">
        <f t="shared" si="103"/>
        <v/>
      </c>
      <c r="Y1590" s="2">
        <f t="shared" ca="1" si="104"/>
        <v>3</v>
      </c>
    </row>
    <row r="1591" spans="1:25" hidden="1">
      <c r="A1591" s="1">
        <v>9515784</v>
      </c>
      <c r="B1591" s="1" t="s">
        <v>81</v>
      </c>
      <c r="C1591" t="s">
        <v>4210</v>
      </c>
      <c r="E1591" s="2">
        <v>1059000206001</v>
      </c>
      <c r="F1591" s="1" t="s">
        <v>29</v>
      </c>
      <c r="G1591" s="1" t="s">
        <v>53</v>
      </c>
      <c r="H1591" s="1" t="s">
        <v>88</v>
      </c>
      <c r="I1591" s="1" t="s">
        <v>89</v>
      </c>
      <c r="J1591" s="1" t="s">
        <v>90</v>
      </c>
      <c r="K1591" t="s">
        <v>34</v>
      </c>
      <c r="M1591" s="1" t="s">
        <v>35</v>
      </c>
      <c r="N1591" s="1">
        <v>42318949</v>
      </c>
      <c r="O1591" s="1" t="s">
        <v>105</v>
      </c>
      <c r="P1591" s="11" t="s">
        <v>4304</v>
      </c>
      <c r="R1591" s="1" t="s">
        <v>38</v>
      </c>
      <c r="T1591" s="1" t="s">
        <v>74</v>
      </c>
      <c r="U1591" s="186">
        <v>44985.718541666669</v>
      </c>
      <c r="V1591" s="1" t="s">
        <v>41</v>
      </c>
      <c r="W1591" s="1" t="s">
        <v>49</v>
      </c>
      <c r="X1591" s="13" t="str">
        <f t="shared" si="103"/>
        <v/>
      </c>
      <c r="Y1591" s="2">
        <f t="shared" ca="1" si="104"/>
        <v>3</v>
      </c>
    </row>
    <row r="1592" spans="1:25" hidden="1">
      <c r="A1592" s="1">
        <v>9515783</v>
      </c>
      <c r="B1592" s="1" t="s">
        <v>81</v>
      </c>
      <c r="C1592" t="s">
        <v>4210</v>
      </c>
      <c r="E1592" s="2">
        <v>1058000206001</v>
      </c>
      <c r="F1592" s="1" t="s">
        <v>29</v>
      </c>
      <c r="G1592" s="1" t="s">
        <v>53</v>
      </c>
      <c r="H1592" s="1" t="s">
        <v>289</v>
      </c>
      <c r="I1592" s="1" t="s">
        <v>290</v>
      </c>
      <c r="J1592" s="1" t="s">
        <v>56</v>
      </c>
      <c r="K1592" t="s">
        <v>34</v>
      </c>
      <c r="M1592" s="1" t="s">
        <v>35</v>
      </c>
      <c r="N1592" s="1">
        <v>42318949</v>
      </c>
      <c r="O1592" s="1" t="s">
        <v>105</v>
      </c>
      <c r="P1592" s="11" t="s">
        <v>4304</v>
      </c>
      <c r="R1592" s="1" t="s">
        <v>38</v>
      </c>
      <c r="T1592" s="1" t="s">
        <v>74</v>
      </c>
      <c r="U1592" s="11" t="s">
        <v>4305</v>
      </c>
      <c r="V1592" s="1" t="s">
        <v>41</v>
      </c>
      <c r="W1592" s="1" t="s">
        <v>49</v>
      </c>
      <c r="X1592" s="13" t="str">
        <f t="shared" si="103"/>
        <v/>
      </c>
      <c r="Y1592" s="2">
        <f t="shared" ca="1" si="104"/>
        <v>3</v>
      </c>
    </row>
    <row r="1593" spans="1:25" hidden="1">
      <c r="A1593" s="1">
        <v>9515776</v>
      </c>
      <c r="B1593" s="1" t="s">
        <v>81</v>
      </c>
      <c r="C1593" t="s">
        <v>4210</v>
      </c>
      <c r="E1593" s="2">
        <v>1052000206001</v>
      </c>
      <c r="F1593" s="1" t="s">
        <v>29</v>
      </c>
      <c r="G1593" s="1" t="s">
        <v>53</v>
      </c>
      <c r="H1593" s="1" t="s">
        <v>329</v>
      </c>
      <c r="I1593" s="1" t="s">
        <v>330</v>
      </c>
      <c r="J1593" s="1" t="s">
        <v>79</v>
      </c>
      <c r="K1593" t="s">
        <v>34</v>
      </c>
      <c r="M1593" s="1" t="s">
        <v>35</v>
      </c>
      <c r="N1593" s="1">
        <v>42318949</v>
      </c>
      <c r="O1593" s="1" t="s">
        <v>105</v>
      </c>
      <c r="P1593" s="11" t="s">
        <v>4306</v>
      </c>
      <c r="R1593" s="1" t="s">
        <v>38</v>
      </c>
      <c r="T1593" s="1" t="s">
        <v>74</v>
      </c>
      <c r="U1593" s="11" t="s">
        <v>4307</v>
      </c>
      <c r="V1593" s="1" t="s">
        <v>41</v>
      </c>
      <c r="W1593" s="1" t="s">
        <v>49</v>
      </c>
      <c r="X1593" s="13" t="str">
        <f t="shared" si="103"/>
        <v/>
      </c>
      <c r="Y1593" s="2">
        <f t="shared" ca="1" si="104"/>
        <v>3</v>
      </c>
    </row>
    <row r="1594" spans="1:25" hidden="1">
      <c r="A1594" s="1">
        <v>9515772</v>
      </c>
      <c r="B1594" s="1" t="s">
        <v>81</v>
      </c>
      <c r="C1594" t="s">
        <v>4210</v>
      </c>
      <c r="E1594" s="2">
        <v>1049000206001</v>
      </c>
      <c r="F1594" s="1" t="s">
        <v>29</v>
      </c>
      <c r="G1594" s="1" t="s">
        <v>53</v>
      </c>
      <c r="H1594" s="1" t="s">
        <v>169</v>
      </c>
      <c r="I1594" s="1" t="s">
        <v>170</v>
      </c>
      <c r="J1594" s="1" t="s">
        <v>164</v>
      </c>
      <c r="K1594" t="s">
        <v>34</v>
      </c>
      <c r="M1594" s="1" t="s">
        <v>35</v>
      </c>
      <c r="N1594" s="1">
        <v>42318949</v>
      </c>
      <c r="O1594" s="1" t="s">
        <v>105</v>
      </c>
      <c r="P1594" s="11" t="s">
        <v>4306</v>
      </c>
      <c r="R1594" s="1" t="s">
        <v>38</v>
      </c>
      <c r="T1594" s="1" t="s">
        <v>74</v>
      </c>
      <c r="U1594" s="11" t="s">
        <v>4307</v>
      </c>
      <c r="V1594" s="1" t="s">
        <v>41</v>
      </c>
      <c r="W1594" s="1" t="s">
        <v>49</v>
      </c>
      <c r="X1594" s="13" t="str">
        <f t="shared" ref="X1594:X1657" si="105">IF(RIGHT(H1594,2)&lt;&gt;"00",H1594,"")</f>
        <v/>
      </c>
      <c r="Y1594" s="2">
        <f t="shared" ref="Y1594:Y1657" ca="1" si="106">NETWORKDAYS(P1594,$Y$1)</f>
        <v>3</v>
      </c>
    </row>
    <row r="1595" spans="1:25" hidden="1">
      <c r="A1595" s="1">
        <v>9515754</v>
      </c>
      <c r="B1595" s="1" t="s">
        <v>81</v>
      </c>
      <c r="C1595" t="s">
        <v>4210</v>
      </c>
      <c r="E1595" s="2">
        <v>1028000206001</v>
      </c>
      <c r="F1595" s="1" t="s">
        <v>29</v>
      </c>
      <c r="G1595" s="1" t="s">
        <v>53</v>
      </c>
      <c r="H1595" s="1" t="s">
        <v>1079</v>
      </c>
      <c r="I1595" s="1" t="s">
        <v>1080</v>
      </c>
      <c r="J1595" s="1" t="s">
        <v>85</v>
      </c>
      <c r="K1595" t="s">
        <v>34</v>
      </c>
      <c r="M1595" s="1" t="s">
        <v>35</v>
      </c>
      <c r="N1595" s="1">
        <v>42318949</v>
      </c>
      <c r="O1595" s="1" t="s">
        <v>105</v>
      </c>
      <c r="P1595" s="11" t="s">
        <v>4308</v>
      </c>
      <c r="R1595" s="1" t="s">
        <v>38</v>
      </c>
      <c r="T1595" s="1" t="s">
        <v>74</v>
      </c>
      <c r="U1595" s="11" t="s">
        <v>4309</v>
      </c>
      <c r="V1595" s="1" t="s">
        <v>41</v>
      </c>
      <c r="W1595" s="1" t="s">
        <v>49</v>
      </c>
      <c r="X1595" s="13" t="str">
        <f t="shared" si="105"/>
        <v/>
      </c>
      <c r="Y1595" s="2">
        <f t="shared" ca="1" si="106"/>
        <v>3</v>
      </c>
    </row>
    <row r="1596" spans="1:25" hidden="1">
      <c r="A1596" s="1">
        <v>9515739</v>
      </c>
      <c r="B1596" s="1" t="s">
        <v>81</v>
      </c>
      <c r="C1596" t="s">
        <v>4210</v>
      </c>
      <c r="E1596" s="2">
        <v>1012000206001</v>
      </c>
      <c r="F1596" s="1" t="s">
        <v>29</v>
      </c>
      <c r="G1596" s="1" t="s">
        <v>53</v>
      </c>
      <c r="H1596" s="1" t="s">
        <v>172</v>
      </c>
      <c r="I1596" s="1" t="s">
        <v>173</v>
      </c>
      <c r="J1596" s="1" t="s">
        <v>164</v>
      </c>
      <c r="K1596" t="s">
        <v>34</v>
      </c>
      <c r="M1596" s="1" t="s">
        <v>35</v>
      </c>
      <c r="N1596" s="1">
        <v>42318949</v>
      </c>
      <c r="O1596" s="1" t="s">
        <v>105</v>
      </c>
      <c r="P1596" s="11" t="s">
        <v>4310</v>
      </c>
      <c r="R1596" s="1" t="s">
        <v>38</v>
      </c>
      <c r="T1596" s="1" t="s">
        <v>74</v>
      </c>
      <c r="U1596" s="11" t="s">
        <v>4311</v>
      </c>
      <c r="V1596" s="1" t="s">
        <v>41</v>
      </c>
      <c r="W1596" s="1" t="s">
        <v>49</v>
      </c>
      <c r="X1596" s="13" t="str">
        <f t="shared" si="105"/>
        <v/>
      </c>
      <c r="Y1596" s="2">
        <f t="shared" ca="1" si="106"/>
        <v>3</v>
      </c>
    </row>
    <row r="1597" spans="1:25" hidden="1">
      <c r="A1597" s="1">
        <v>9515738</v>
      </c>
      <c r="B1597" s="1" t="s">
        <v>81</v>
      </c>
      <c r="C1597" t="s">
        <v>4210</v>
      </c>
      <c r="E1597" s="2">
        <v>1011000206001</v>
      </c>
      <c r="F1597" s="1" t="s">
        <v>29</v>
      </c>
      <c r="G1597" s="1" t="s">
        <v>53</v>
      </c>
      <c r="H1597" s="1" t="s">
        <v>272</v>
      </c>
      <c r="I1597" s="1" t="s">
        <v>273</v>
      </c>
      <c r="J1597" s="1" t="s">
        <v>33</v>
      </c>
      <c r="K1597" t="s">
        <v>34</v>
      </c>
      <c r="M1597" s="1" t="s">
        <v>35</v>
      </c>
      <c r="N1597" s="1">
        <v>42318949</v>
      </c>
      <c r="O1597" s="1" t="s">
        <v>105</v>
      </c>
      <c r="P1597" s="11" t="s">
        <v>4310</v>
      </c>
      <c r="R1597" s="1" t="s">
        <v>38</v>
      </c>
      <c r="T1597" s="1" t="s">
        <v>74</v>
      </c>
      <c r="U1597" s="11" t="s">
        <v>4312</v>
      </c>
      <c r="V1597" s="1" t="s">
        <v>41</v>
      </c>
      <c r="W1597" s="1" t="s">
        <v>49</v>
      </c>
      <c r="X1597" s="13" t="str">
        <f t="shared" si="105"/>
        <v/>
      </c>
      <c r="Y1597" s="2">
        <f t="shared" ca="1" si="106"/>
        <v>3</v>
      </c>
    </row>
    <row r="1598" spans="1:25" hidden="1">
      <c r="A1598" s="1">
        <v>9515707</v>
      </c>
      <c r="B1598" s="1" t="s">
        <v>81</v>
      </c>
      <c r="C1598" t="s">
        <v>4210</v>
      </c>
      <c r="E1598" s="2">
        <v>981000206001</v>
      </c>
      <c r="F1598" s="1" t="s">
        <v>29</v>
      </c>
      <c r="G1598" s="1" t="s">
        <v>53</v>
      </c>
      <c r="H1598" s="1" t="s">
        <v>410</v>
      </c>
      <c r="I1598" s="1" t="s">
        <v>411</v>
      </c>
      <c r="J1598" s="1" t="s">
        <v>85</v>
      </c>
      <c r="K1598" t="s">
        <v>34</v>
      </c>
      <c r="M1598" s="1" t="s">
        <v>35</v>
      </c>
      <c r="N1598" s="1">
        <v>42318949</v>
      </c>
      <c r="O1598" s="1" t="s">
        <v>105</v>
      </c>
      <c r="P1598" s="11" t="s">
        <v>4313</v>
      </c>
      <c r="R1598" s="1" t="s">
        <v>38</v>
      </c>
      <c r="T1598" s="1" t="s">
        <v>74</v>
      </c>
      <c r="U1598" s="11" t="s">
        <v>4314</v>
      </c>
      <c r="V1598" s="1" t="s">
        <v>41</v>
      </c>
      <c r="W1598" s="1" t="s">
        <v>49</v>
      </c>
      <c r="X1598" s="13" t="str">
        <f t="shared" si="105"/>
        <v/>
      </c>
      <c r="Y1598" s="2">
        <f t="shared" ca="1" si="106"/>
        <v>3</v>
      </c>
    </row>
    <row r="1599" spans="1:25" hidden="1">
      <c r="A1599" s="1">
        <v>9515687</v>
      </c>
      <c r="B1599" s="1" t="s">
        <v>81</v>
      </c>
      <c r="C1599" t="s">
        <v>4210</v>
      </c>
      <c r="E1599" s="2">
        <v>963000206001</v>
      </c>
      <c r="F1599" s="1" t="s">
        <v>29</v>
      </c>
      <c r="G1599" s="1" t="s">
        <v>53</v>
      </c>
      <c r="H1599" s="1" t="s">
        <v>531</v>
      </c>
      <c r="I1599" s="1" t="s">
        <v>532</v>
      </c>
      <c r="J1599" s="1" t="s">
        <v>33</v>
      </c>
      <c r="K1599" t="s">
        <v>34</v>
      </c>
      <c r="M1599" s="1" t="s">
        <v>35</v>
      </c>
      <c r="N1599" s="1">
        <v>42318949</v>
      </c>
      <c r="O1599" s="1" t="s">
        <v>105</v>
      </c>
      <c r="P1599" s="11" t="s">
        <v>4315</v>
      </c>
      <c r="R1599" s="1" t="s">
        <v>38</v>
      </c>
      <c r="T1599" s="1" t="s">
        <v>74</v>
      </c>
      <c r="U1599" s="11" t="s">
        <v>4316</v>
      </c>
      <c r="V1599" s="1" t="s">
        <v>41</v>
      </c>
      <c r="W1599" s="1" t="s">
        <v>49</v>
      </c>
      <c r="X1599" s="13" t="str">
        <f t="shared" si="105"/>
        <v/>
      </c>
      <c r="Y1599" s="2">
        <f t="shared" ca="1" si="106"/>
        <v>3</v>
      </c>
    </row>
    <row r="1600" spans="1:25" hidden="1">
      <c r="A1600" s="1">
        <v>9515655</v>
      </c>
      <c r="B1600" s="1" t="s">
        <v>81</v>
      </c>
      <c r="C1600" t="s">
        <v>4210</v>
      </c>
      <c r="E1600" s="2">
        <v>934000206001</v>
      </c>
      <c r="F1600" s="1" t="s">
        <v>29</v>
      </c>
      <c r="G1600" s="1" t="s">
        <v>53</v>
      </c>
      <c r="H1600" s="1" t="s">
        <v>428</v>
      </c>
      <c r="I1600" s="1" t="s">
        <v>429</v>
      </c>
      <c r="J1600" s="1" t="s">
        <v>46</v>
      </c>
      <c r="K1600" t="s">
        <v>34</v>
      </c>
      <c r="M1600" s="1" t="s">
        <v>35</v>
      </c>
      <c r="N1600" s="1">
        <v>42318949</v>
      </c>
      <c r="O1600" s="1" t="s">
        <v>105</v>
      </c>
      <c r="P1600" s="11" t="s">
        <v>4317</v>
      </c>
      <c r="R1600" s="1" t="s">
        <v>38</v>
      </c>
      <c r="T1600" s="1" t="s">
        <v>74</v>
      </c>
      <c r="U1600" s="11" t="s">
        <v>4318</v>
      </c>
      <c r="V1600" s="1" t="s">
        <v>41</v>
      </c>
      <c r="W1600" s="1" t="s">
        <v>49</v>
      </c>
      <c r="X1600" s="13" t="str">
        <f t="shared" si="105"/>
        <v/>
      </c>
      <c r="Y1600" s="2">
        <f t="shared" ca="1" si="106"/>
        <v>3</v>
      </c>
    </row>
    <row r="1601" spans="1:25" hidden="1">
      <c r="A1601" s="1">
        <v>9515641</v>
      </c>
      <c r="B1601" s="1" t="s">
        <v>81</v>
      </c>
      <c r="C1601" t="s">
        <v>4210</v>
      </c>
      <c r="E1601" s="2">
        <v>922000206001</v>
      </c>
      <c r="F1601" s="1" t="s">
        <v>29</v>
      </c>
      <c r="G1601" s="1" t="s">
        <v>53</v>
      </c>
      <c r="H1601" s="1" t="s">
        <v>1375</v>
      </c>
      <c r="I1601" s="1" t="s">
        <v>1376</v>
      </c>
      <c r="J1601" s="1" t="s">
        <v>261</v>
      </c>
      <c r="K1601" t="s">
        <v>34</v>
      </c>
      <c r="M1601" s="1" t="s">
        <v>35</v>
      </c>
      <c r="N1601" s="1">
        <v>42318949</v>
      </c>
      <c r="O1601" s="1" t="s">
        <v>105</v>
      </c>
      <c r="P1601" s="11" t="s">
        <v>4319</v>
      </c>
      <c r="R1601" s="1" t="s">
        <v>38</v>
      </c>
      <c r="T1601" s="1" t="s">
        <v>74</v>
      </c>
      <c r="U1601" s="11" t="s">
        <v>4320</v>
      </c>
      <c r="V1601" s="1" t="s">
        <v>41</v>
      </c>
      <c r="W1601" s="1" t="s">
        <v>49</v>
      </c>
      <c r="X1601" s="13" t="str">
        <f t="shared" si="105"/>
        <v/>
      </c>
      <c r="Y1601" s="2">
        <f t="shared" ca="1" si="106"/>
        <v>3</v>
      </c>
    </row>
    <row r="1602" spans="1:25" hidden="1">
      <c r="A1602" s="1">
        <v>9515635</v>
      </c>
      <c r="B1602" s="1" t="s">
        <v>81</v>
      </c>
      <c r="C1602" t="s">
        <v>4210</v>
      </c>
      <c r="E1602" s="2">
        <v>917000206001</v>
      </c>
      <c r="F1602" s="1" t="s">
        <v>29</v>
      </c>
      <c r="G1602" s="1" t="s">
        <v>53</v>
      </c>
      <c r="H1602" s="1" t="s">
        <v>83</v>
      </c>
      <c r="I1602" s="1" t="s">
        <v>84</v>
      </c>
      <c r="J1602" s="1" t="s">
        <v>85</v>
      </c>
      <c r="K1602" t="s">
        <v>34</v>
      </c>
      <c r="M1602" s="1" t="s">
        <v>35</v>
      </c>
      <c r="N1602" s="1">
        <v>42318949</v>
      </c>
      <c r="O1602" s="1" t="s">
        <v>105</v>
      </c>
      <c r="P1602" s="11" t="s">
        <v>4321</v>
      </c>
      <c r="R1602" s="1" t="s">
        <v>38</v>
      </c>
      <c r="T1602" s="1" t="s">
        <v>74</v>
      </c>
      <c r="U1602" s="11" t="s">
        <v>4322</v>
      </c>
      <c r="V1602" s="1" t="s">
        <v>41</v>
      </c>
      <c r="W1602" s="1" t="s">
        <v>49</v>
      </c>
      <c r="X1602" s="13" t="str">
        <f t="shared" si="105"/>
        <v/>
      </c>
      <c r="Y1602" s="2">
        <f t="shared" ca="1" si="106"/>
        <v>3</v>
      </c>
    </row>
    <row r="1603" spans="1:25" hidden="1">
      <c r="A1603" s="1">
        <v>9515617</v>
      </c>
      <c r="B1603" s="1" t="s">
        <v>81</v>
      </c>
      <c r="C1603" t="s">
        <v>4210</v>
      </c>
      <c r="E1603" s="2">
        <v>899000206001</v>
      </c>
      <c r="F1603" s="1" t="s">
        <v>29</v>
      </c>
      <c r="G1603" s="1" t="s">
        <v>53</v>
      </c>
      <c r="H1603" s="1" t="s">
        <v>175</v>
      </c>
      <c r="I1603" s="1" t="s">
        <v>176</v>
      </c>
      <c r="J1603" s="1" t="s">
        <v>90</v>
      </c>
      <c r="K1603" t="s">
        <v>34</v>
      </c>
      <c r="M1603" s="1" t="s">
        <v>35</v>
      </c>
      <c r="N1603" s="1">
        <v>42318949</v>
      </c>
      <c r="O1603" s="1" t="s">
        <v>105</v>
      </c>
      <c r="P1603" s="11" t="s">
        <v>4323</v>
      </c>
      <c r="R1603" s="1" t="s">
        <v>38</v>
      </c>
      <c r="T1603" s="1" t="s">
        <v>74</v>
      </c>
      <c r="U1603" s="11" t="s">
        <v>4324</v>
      </c>
      <c r="V1603" s="1" t="s">
        <v>41</v>
      </c>
      <c r="W1603" s="1" t="s">
        <v>49</v>
      </c>
      <c r="X1603" s="13" t="str">
        <f t="shared" si="105"/>
        <v/>
      </c>
      <c r="Y1603" s="2">
        <f t="shared" ca="1" si="106"/>
        <v>3</v>
      </c>
    </row>
    <row r="1604" spans="1:25" hidden="1">
      <c r="A1604" s="1">
        <v>9515587</v>
      </c>
      <c r="B1604" s="1" t="s">
        <v>81</v>
      </c>
      <c r="C1604" t="s">
        <v>4210</v>
      </c>
      <c r="E1604" s="2">
        <v>870000206001</v>
      </c>
      <c r="F1604" s="1" t="s">
        <v>29</v>
      </c>
      <c r="G1604" s="1" t="s">
        <v>53</v>
      </c>
      <c r="H1604" s="1" t="s">
        <v>183</v>
      </c>
      <c r="I1604" s="1" t="s">
        <v>184</v>
      </c>
      <c r="J1604" s="1" t="s">
        <v>90</v>
      </c>
      <c r="K1604" t="s">
        <v>34</v>
      </c>
      <c r="M1604" s="1" t="s">
        <v>35</v>
      </c>
      <c r="N1604" s="1">
        <v>42318949</v>
      </c>
      <c r="O1604" s="1" t="s">
        <v>105</v>
      </c>
      <c r="P1604" s="11" t="s">
        <v>4325</v>
      </c>
      <c r="R1604" s="1" t="s">
        <v>38</v>
      </c>
      <c r="T1604" s="1" t="s">
        <v>74</v>
      </c>
      <c r="U1604" s="11" t="s">
        <v>4326</v>
      </c>
      <c r="V1604" s="1" t="s">
        <v>41</v>
      </c>
      <c r="W1604" s="1" t="s">
        <v>49</v>
      </c>
      <c r="X1604" s="13" t="str">
        <f t="shared" si="105"/>
        <v/>
      </c>
      <c r="Y1604" s="2">
        <f t="shared" ca="1" si="106"/>
        <v>3</v>
      </c>
    </row>
    <row r="1605" spans="1:25" hidden="1">
      <c r="A1605" s="1">
        <v>9515543</v>
      </c>
      <c r="B1605" s="1" t="s">
        <v>81</v>
      </c>
      <c r="C1605" t="s">
        <v>4210</v>
      </c>
      <c r="E1605" s="2">
        <v>834000206001</v>
      </c>
      <c r="F1605" s="1" t="s">
        <v>29</v>
      </c>
      <c r="G1605" s="1" t="s">
        <v>53</v>
      </c>
      <c r="H1605" s="1" t="s">
        <v>367</v>
      </c>
      <c r="I1605" s="1" t="s">
        <v>368</v>
      </c>
      <c r="J1605" s="1" t="s">
        <v>261</v>
      </c>
      <c r="K1605" t="s">
        <v>34</v>
      </c>
      <c r="M1605" s="1" t="s">
        <v>35</v>
      </c>
      <c r="N1605" s="1">
        <v>42318949</v>
      </c>
      <c r="O1605" s="1" t="s">
        <v>105</v>
      </c>
      <c r="P1605" s="11" t="s">
        <v>4327</v>
      </c>
      <c r="R1605" s="1" t="s">
        <v>38</v>
      </c>
      <c r="T1605" s="1" t="s">
        <v>74</v>
      </c>
      <c r="U1605" s="11" t="s">
        <v>4328</v>
      </c>
      <c r="V1605" s="1" t="s">
        <v>41</v>
      </c>
      <c r="W1605" s="1" t="s">
        <v>49</v>
      </c>
      <c r="X1605" s="13" t="str">
        <f t="shared" si="105"/>
        <v/>
      </c>
      <c r="Y1605" s="2">
        <f t="shared" ca="1" si="106"/>
        <v>3</v>
      </c>
    </row>
    <row r="1606" spans="1:25" hidden="1">
      <c r="A1606" s="1">
        <v>9515531</v>
      </c>
      <c r="B1606" s="1" t="s">
        <v>81</v>
      </c>
      <c r="C1606" t="s">
        <v>4210</v>
      </c>
      <c r="E1606" s="2">
        <v>821000206001</v>
      </c>
      <c r="F1606" s="1" t="s">
        <v>29</v>
      </c>
      <c r="G1606" s="1" t="s">
        <v>53</v>
      </c>
      <c r="H1606" s="1" t="s">
        <v>1351</v>
      </c>
      <c r="I1606" s="1" t="s">
        <v>1352</v>
      </c>
      <c r="J1606" s="1" t="s">
        <v>46</v>
      </c>
      <c r="K1606" t="s">
        <v>34</v>
      </c>
      <c r="M1606" s="1" t="s">
        <v>35</v>
      </c>
      <c r="N1606" s="1">
        <v>42318949</v>
      </c>
      <c r="O1606" s="1" t="s">
        <v>105</v>
      </c>
      <c r="P1606" s="11" t="s">
        <v>4329</v>
      </c>
      <c r="R1606" s="1" t="s">
        <v>38</v>
      </c>
      <c r="T1606" s="1" t="s">
        <v>74</v>
      </c>
      <c r="U1606" s="186">
        <v>44985.718182870369</v>
      </c>
      <c r="V1606" s="1" t="s">
        <v>41</v>
      </c>
      <c r="W1606" s="1" t="s">
        <v>49</v>
      </c>
      <c r="X1606" s="13" t="str">
        <f t="shared" si="105"/>
        <v/>
      </c>
      <c r="Y1606" s="2">
        <f t="shared" ca="1" si="106"/>
        <v>3</v>
      </c>
    </row>
    <row r="1607" spans="1:25" hidden="1">
      <c r="A1607" s="1">
        <v>9515429</v>
      </c>
      <c r="B1607" s="1" t="s">
        <v>81</v>
      </c>
      <c r="C1607" t="s">
        <v>4210</v>
      </c>
      <c r="E1607" s="2">
        <v>721000206001</v>
      </c>
      <c r="F1607" s="1" t="s">
        <v>29</v>
      </c>
      <c r="G1607" s="1" t="s">
        <v>53</v>
      </c>
      <c r="H1607" s="1" t="s">
        <v>422</v>
      </c>
      <c r="I1607" s="1" t="s">
        <v>423</v>
      </c>
      <c r="J1607" s="1" t="s">
        <v>79</v>
      </c>
      <c r="K1607" t="s">
        <v>34</v>
      </c>
      <c r="M1607" s="1" t="s">
        <v>35</v>
      </c>
      <c r="N1607" s="1">
        <v>42318949</v>
      </c>
      <c r="O1607" s="1" t="s">
        <v>105</v>
      </c>
      <c r="P1607" s="11" t="s">
        <v>4330</v>
      </c>
      <c r="R1607" s="1" t="s">
        <v>38</v>
      </c>
      <c r="T1607" s="1" t="s">
        <v>74</v>
      </c>
      <c r="U1607" s="186">
        <v>44985.71802083333</v>
      </c>
      <c r="V1607" s="1" t="s">
        <v>41</v>
      </c>
      <c r="W1607" s="1" t="s">
        <v>49</v>
      </c>
      <c r="X1607" s="13" t="str">
        <f t="shared" si="105"/>
        <v/>
      </c>
      <c r="Y1607" s="2">
        <f t="shared" ca="1" si="106"/>
        <v>3</v>
      </c>
    </row>
    <row r="1608" spans="1:25" hidden="1">
      <c r="A1608" s="1">
        <v>9515421</v>
      </c>
      <c r="B1608" s="1" t="s">
        <v>81</v>
      </c>
      <c r="C1608" t="s">
        <v>4210</v>
      </c>
      <c r="E1608" s="2">
        <v>714000206001</v>
      </c>
      <c r="F1608" s="1" t="s">
        <v>29</v>
      </c>
      <c r="G1608" s="1" t="s">
        <v>53</v>
      </c>
      <c r="H1608" s="1" t="s">
        <v>377</v>
      </c>
      <c r="I1608" s="1" t="s">
        <v>378</v>
      </c>
      <c r="J1608" s="1" t="s">
        <v>46</v>
      </c>
      <c r="K1608" t="s">
        <v>34</v>
      </c>
      <c r="M1608" s="1" t="s">
        <v>35</v>
      </c>
      <c r="N1608" s="1">
        <v>42318949</v>
      </c>
      <c r="O1608" s="1" t="s">
        <v>105</v>
      </c>
      <c r="P1608" s="11" t="s">
        <v>4331</v>
      </c>
      <c r="R1608" s="1" t="s">
        <v>38</v>
      </c>
      <c r="T1608" s="1" t="s">
        <v>74</v>
      </c>
      <c r="U1608" s="11" t="s">
        <v>4332</v>
      </c>
      <c r="V1608" s="1" t="s">
        <v>41</v>
      </c>
      <c r="W1608" s="1" t="s">
        <v>49</v>
      </c>
      <c r="X1608" s="13" t="str">
        <f t="shared" si="105"/>
        <v/>
      </c>
      <c r="Y1608" s="2">
        <f t="shared" ca="1" si="106"/>
        <v>3</v>
      </c>
    </row>
    <row r="1609" spans="1:25" hidden="1">
      <c r="A1609" s="1">
        <v>9515417</v>
      </c>
      <c r="B1609" s="1" t="s">
        <v>81</v>
      </c>
      <c r="C1609" t="s">
        <v>4210</v>
      </c>
      <c r="E1609" s="2">
        <v>711000206001</v>
      </c>
      <c r="F1609" s="1" t="s">
        <v>29</v>
      </c>
      <c r="G1609" s="1" t="s">
        <v>53</v>
      </c>
      <c r="H1609" s="1" t="s">
        <v>77</v>
      </c>
      <c r="I1609" s="1" t="s">
        <v>78</v>
      </c>
      <c r="J1609" s="1" t="s">
        <v>79</v>
      </c>
      <c r="K1609" t="s">
        <v>34</v>
      </c>
      <c r="M1609" s="1" t="s">
        <v>35</v>
      </c>
      <c r="N1609" s="1">
        <v>42318949</v>
      </c>
      <c r="O1609" s="1" t="s">
        <v>105</v>
      </c>
      <c r="P1609" s="11" t="s">
        <v>4333</v>
      </c>
      <c r="R1609" s="1" t="s">
        <v>38</v>
      </c>
      <c r="T1609" s="1" t="s">
        <v>74</v>
      </c>
      <c r="U1609" s="11" t="s">
        <v>4334</v>
      </c>
      <c r="V1609" s="1" t="s">
        <v>41</v>
      </c>
      <c r="W1609" s="1" t="s">
        <v>49</v>
      </c>
      <c r="X1609" s="13" t="str">
        <f t="shared" si="105"/>
        <v/>
      </c>
      <c r="Y1609" s="2">
        <f t="shared" ca="1" si="106"/>
        <v>3</v>
      </c>
    </row>
    <row r="1610" spans="1:25" hidden="1">
      <c r="A1610" s="1">
        <v>9515416</v>
      </c>
      <c r="B1610" s="1" t="s">
        <v>81</v>
      </c>
      <c r="C1610" t="s">
        <v>4210</v>
      </c>
      <c r="E1610" s="2">
        <v>710000206001</v>
      </c>
      <c r="F1610" s="1" t="s">
        <v>29</v>
      </c>
      <c r="G1610" s="1" t="s">
        <v>53</v>
      </c>
      <c r="H1610" s="1" t="s">
        <v>390</v>
      </c>
      <c r="I1610" s="1" t="s">
        <v>391</v>
      </c>
      <c r="J1610" s="1" t="s">
        <v>56</v>
      </c>
      <c r="K1610" t="s">
        <v>34</v>
      </c>
      <c r="M1610" s="1" t="s">
        <v>35</v>
      </c>
      <c r="N1610" s="1">
        <v>42318949</v>
      </c>
      <c r="O1610" s="1" t="s">
        <v>105</v>
      </c>
      <c r="P1610" s="11" t="s">
        <v>4333</v>
      </c>
      <c r="R1610" s="1" t="s">
        <v>38</v>
      </c>
      <c r="T1610" s="1" t="s">
        <v>74</v>
      </c>
      <c r="U1610" s="11" t="s">
        <v>4334</v>
      </c>
      <c r="V1610" s="1" t="s">
        <v>41</v>
      </c>
      <c r="W1610" s="1" t="s">
        <v>49</v>
      </c>
      <c r="X1610" s="13" t="str">
        <f t="shared" si="105"/>
        <v/>
      </c>
      <c r="Y1610" s="2">
        <f t="shared" ca="1" si="106"/>
        <v>3</v>
      </c>
    </row>
    <row r="1611" spans="1:25" hidden="1">
      <c r="A1611" s="1">
        <v>9515402</v>
      </c>
      <c r="B1611" s="1" t="s">
        <v>81</v>
      </c>
      <c r="C1611" t="s">
        <v>4210</v>
      </c>
      <c r="E1611" s="2">
        <v>697000206001</v>
      </c>
      <c r="F1611" s="1" t="s">
        <v>29</v>
      </c>
      <c r="G1611" s="1" t="s">
        <v>53</v>
      </c>
      <c r="H1611" s="1" t="s">
        <v>65</v>
      </c>
      <c r="I1611" s="1" t="s">
        <v>66</v>
      </c>
      <c r="J1611" s="1" t="s">
        <v>46</v>
      </c>
      <c r="K1611" t="s">
        <v>34</v>
      </c>
      <c r="M1611" s="1" t="s">
        <v>35</v>
      </c>
      <c r="N1611" s="1">
        <v>42318949</v>
      </c>
      <c r="O1611" s="1" t="s">
        <v>105</v>
      </c>
      <c r="P1611" s="11" t="s">
        <v>4335</v>
      </c>
      <c r="R1611" s="1" t="s">
        <v>38</v>
      </c>
      <c r="T1611" s="1" t="s">
        <v>74</v>
      </c>
      <c r="U1611" s="11" t="s">
        <v>4336</v>
      </c>
      <c r="V1611" s="1" t="s">
        <v>41</v>
      </c>
      <c r="W1611" s="1" t="s">
        <v>49</v>
      </c>
      <c r="X1611" s="13" t="str">
        <f t="shared" si="105"/>
        <v/>
      </c>
      <c r="Y1611" s="2">
        <f t="shared" ca="1" si="106"/>
        <v>3</v>
      </c>
    </row>
    <row r="1612" spans="1:25" hidden="1">
      <c r="A1612" s="1">
        <v>9515378</v>
      </c>
      <c r="B1612" s="1" t="s">
        <v>81</v>
      </c>
      <c r="C1612" t="s">
        <v>4210</v>
      </c>
      <c r="E1612" s="2">
        <v>673000206001</v>
      </c>
      <c r="F1612" s="1" t="s">
        <v>29</v>
      </c>
      <c r="G1612" s="1" t="s">
        <v>53</v>
      </c>
      <c r="H1612" s="1" t="s">
        <v>581</v>
      </c>
      <c r="I1612" s="1" t="s">
        <v>582</v>
      </c>
      <c r="J1612" s="1" t="s">
        <v>110</v>
      </c>
      <c r="K1612" t="s">
        <v>34</v>
      </c>
      <c r="M1612" s="1" t="s">
        <v>35</v>
      </c>
      <c r="N1612" s="1">
        <v>42318949</v>
      </c>
      <c r="O1612" s="1" t="s">
        <v>105</v>
      </c>
      <c r="P1612" s="11" t="s">
        <v>4337</v>
      </c>
      <c r="R1612" s="1" t="s">
        <v>38</v>
      </c>
      <c r="T1612" s="1" t="s">
        <v>74</v>
      </c>
      <c r="U1612" s="11" t="s">
        <v>4338</v>
      </c>
      <c r="V1612" s="1" t="s">
        <v>41</v>
      </c>
      <c r="W1612" s="1" t="s">
        <v>49</v>
      </c>
      <c r="X1612" s="13" t="str">
        <f t="shared" si="105"/>
        <v/>
      </c>
      <c r="Y1612" s="2">
        <f t="shared" ca="1" si="106"/>
        <v>3</v>
      </c>
    </row>
    <row r="1613" spans="1:25" hidden="1">
      <c r="A1613" s="1">
        <v>9515303</v>
      </c>
      <c r="B1613" s="1" t="s">
        <v>81</v>
      </c>
      <c r="C1613" t="s">
        <v>4210</v>
      </c>
      <c r="E1613" s="2">
        <v>608000206001</v>
      </c>
      <c r="F1613" s="1" t="s">
        <v>29</v>
      </c>
      <c r="G1613" s="1" t="s">
        <v>53</v>
      </c>
      <c r="H1613" s="1" t="s">
        <v>438</v>
      </c>
      <c r="I1613" s="1" t="s">
        <v>439</v>
      </c>
      <c r="J1613" s="1" t="s">
        <v>148</v>
      </c>
      <c r="K1613" t="s">
        <v>34</v>
      </c>
      <c r="M1613" s="1" t="s">
        <v>35</v>
      </c>
      <c r="N1613" s="1">
        <v>42318949</v>
      </c>
      <c r="O1613" s="1" t="s">
        <v>105</v>
      </c>
      <c r="P1613" s="11" t="s">
        <v>4339</v>
      </c>
      <c r="R1613" s="1" t="s">
        <v>38</v>
      </c>
      <c r="T1613" s="1" t="s">
        <v>74</v>
      </c>
      <c r="U1613" s="11" t="s">
        <v>4340</v>
      </c>
      <c r="V1613" s="1" t="s">
        <v>41</v>
      </c>
      <c r="W1613" s="1" t="s">
        <v>49</v>
      </c>
      <c r="X1613" s="13" t="str">
        <f t="shared" si="105"/>
        <v/>
      </c>
      <c r="Y1613" s="2">
        <f t="shared" ca="1" si="106"/>
        <v>3</v>
      </c>
    </row>
    <row r="1614" spans="1:25" hidden="1">
      <c r="A1614" s="1">
        <v>9515300</v>
      </c>
      <c r="B1614" s="1" t="s">
        <v>81</v>
      </c>
      <c r="C1614" t="s">
        <v>4210</v>
      </c>
      <c r="E1614" s="2">
        <v>605000206001</v>
      </c>
      <c r="F1614" s="1" t="s">
        <v>29</v>
      </c>
      <c r="G1614" s="1" t="s">
        <v>53</v>
      </c>
      <c r="H1614" s="1" t="s">
        <v>420</v>
      </c>
      <c r="I1614" s="1" t="s">
        <v>421</v>
      </c>
      <c r="J1614" s="1" t="s">
        <v>90</v>
      </c>
      <c r="K1614" t="s">
        <v>34</v>
      </c>
      <c r="M1614" s="1" t="s">
        <v>35</v>
      </c>
      <c r="N1614" s="1">
        <v>42318949</v>
      </c>
      <c r="O1614" s="1" t="s">
        <v>105</v>
      </c>
      <c r="P1614" s="11" t="s">
        <v>4339</v>
      </c>
      <c r="R1614" s="1" t="s">
        <v>38</v>
      </c>
      <c r="T1614" s="1" t="s">
        <v>74</v>
      </c>
      <c r="U1614" s="11" t="s">
        <v>4340</v>
      </c>
      <c r="V1614" s="1" t="s">
        <v>41</v>
      </c>
      <c r="W1614" s="1" t="s">
        <v>49</v>
      </c>
      <c r="X1614" s="13" t="str">
        <f t="shared" si="105"/>
        <v/>
      </c>
      <c r="Y1614" s="2">
        <f t="shared" ca="1" si="106"/>
        <v>3</v>
      </c>
    </row>
    <row r="1615" spans="1:25" hidden="1">
      <c r="A1615" s="1">
        <v>9515294</v>
      </c>
      <c r="B1615" s="1" t="s">
        <v>81</v>
      </c>
      <c r="C1615" t="s">
        <v>4210</v>
      </c>
      <c r="E1615" s="2">
        <v>600000206001</v>
      </c>
      <c r="F1615" s="1" t="s">
        <v>29</v>
      </c>
      <c r="G1615" s="1" t="s">
        <v>53</v>
      </c>
      <c r="H1615" s="1" t="s">
        <v>1084</v>
      </c>
      <c r="I1615" s="1" t="s">
        <v>1085</v>
      </c>
      <c r="J1615" s="1" t="s">
        <v>90</v>
      </c>
      <c r="K1615" t="s">
        <v>34</v>
      </c>
      <c r="M1615" s="1" t="s">
        <v>35</v>
      </c>
      <c r="N1615" s="1">
        <v>42318949</v>
      </c>
      <c r="O1615" s="1" t="s">
        <v>105</v>
      </c>
      <c r="P1615" s="11" t="s">
        <v>4341</v>
      </c>
      <c r="R1615" s="1" t="s">
        <v>38</v>
      </c>
      <c r="T1615" s="1" t="s">
        <v>74</v>
      </c>
      <c r="U1615" s="11" t="s">
        <v>4342</v>
      </c>
      <c r="V1615" s="1" t="s">
        <v>41</v>
      </c>
      <c r="W1615" s="1" t="s">
        <v>49</v>
      </c>
      <c r="X1615" s="13" t="str">
        <f t="shared" si="105"/>
        <v/>
      </c>
      <c r="Y1615" s="2">
        <f t="shared" ca="1" si="106"/>
        <v>3</v>
      </c>
    </row>
    <row r="1616" spans="1:25" hidden="1">
      <c r="A1616" s="1">
        <v>9515286</v>
      </c>
      <c r="B1616" s="1" t="s">
        <v>81</v>
      </c>
      <c r="C1616" t="s">
        <v>4210</v>
      </c>
      <c r="E1616" s="2">
        <v>594000206001</v>
      </c>
      <c r="F1616" s="1" t="s">
        <v>29</v>
      </c>
      <c r="G1616" s="1" t="s">
        <v>53</v>
      </c>
      <c r="H1616" s="1" t="s">
        <v>444</v>
      </c>
      <c r="I1616" s="1" t="s">
        <v>445</v>
      </c>
      <c r="J1616" s="1" t="s">
        <v>33</v>
      </c>
      <c r="K1616" t="s">
        <v>34</v>
      </c>
      <c r="M1616" s="1" t="s">
        <v>35</v>
      </c>
      <c r="N1616" s="1">
        <v>42318949</v>
      </c>
      <c r="O1616" s="1" t="s">
        <v>105</v>
      </c>
      <c r="P1616" s="11" t="s">
        <v>4343</v>
      </c>
      <c r="R1616" s="1" t="s">
        <v>38</v>
      </c>
      <c r="T1616" s="1" t="s">
        <v>74</v>
      </c>
      <c r="U1616" s="11" t="s">
        <v>4344</v>
      </c>
      <c r="V1616" s="1" t="s">
        <v>41</v>
      </c>
      <c r="W1616" s="1" t="s">
        <v>42</v>
      </c>
      <c r="X1616" s="13" t="str">
        <f t="shared" si="105"/>
        <v/>
      </c>
      <c r="Y1616" s="2">
        <f t="shared" ca="1" si="106"/>
        <v>3</v>
      </c>
    </row>
    <row r="1617" spans="1:25" hidden="1">
      <c r="A1617" s="1">
        <v>9515273</v>
      </c>
      <c r="B1617" s="1" t="s">
        <v>81</v>
      </c>
      <c r="C1617" t="s">
        <v>4210</v>
      </c>
      <c r="E1617" s="2">
        <v>582000206001</v>
      </c>
      <c r="F1617" s="1" t="s">
        <v>29</v>
      </c>
      <c r="G1617" s="1" t="s">
        <v>53</v>
      </c>
      <c r="H1617" s="1" t="s">
        <v>139</v>
      </c>
      <c r="I1617" s="1" t="s">
        <v>140</v>
      </c>
      <c r="J1617" s="1" t="s">
        <v>141</v>
      </c>
      <c r="K1617" t="s">
        <v>34</v>
      </c>
      <c r="M1617" s="1" t="s">
        <v>35</v>
      </c>
      <c r="N1617" s="1">
        <v>42318949</v>
      </c>
      <c r="O1617" s="1" t="s">
        <v>105</v>
      </c>
      <c r="P1617" s="11" t="s">
        <v>4345</v>
      </c>
      <c r="R1617" s="1" t="s">
        <v>38</v>
      </c>
      <c r="T1617" s="1" t="s">
        <v>74</v>
      </c>
      <c r="U1617" s="11" t="s">
        <v>4346</v>
      </c>
      <c r="V1617" s="1" t="s">
        <v>41</v>
      </c>
      <c r="W1617" s="1" t="s">
        <v>49</v>
      </c>
      <c r="X1617" s="13" t="str">
        <f t="shared" si="105"/>
        <v/>
      </c>
      <c r="Y1617" s="2">
        <f t="shared" ca="1" si="106"/>
        <v>3</v>
      </c>
    </row>
    <row r="1618" spans="1:25" hidden="1">
      <c r="A1618" s="1">
        <v>9515261</v>
      </c>
      <c r="B1618" s="1" t="s">
        <v>81</v>
      </c>
      <c r="C1618" t="s">
        <v>4210</v>
      </c>
      <c r="E1618" s="2">
        <v>570000206001</v>
      </c>
      <c r="F1618" s="1" t="s">
        <v>29</v>
      </c>
      <c r="G1618" s="1" t="s">
        <v>53</v>
      </c>
      <c r="H1618" s="1" t="s">
        <v>434</v>
      </c>
      <c r="I1618" s="1" t="s">
        <v>435</v>
      </c>
      <c r="J1618" s="1" t="s">
        <v>148</v>
      </c>
      <c r="K1618" t="s">
        <v>34</v>
      </c>
      <c r="M1618" s="1" t="s">
        <v>35</v>
      </c>
      <c r="N1618" s="1">
        <v>42318949</v>
      </c>
      <c r="O1618" s="1" t="s">
        <v>105</v>
      </c>
      <c r="P1618" s="11" t="s">
        <v>4347</v>
      </c>
      <c r="R1618" s="1" t="s">
        <v>38</v>
      </c>
      <c r="T1618" s="1" t="s">
        <v>74</v>
      </c>
      <c r="U1618" s="11" t="s">
        <v>4348</v>
      </c>
      <c r="V1618" s="1" t="s">
        <v>41</v>
      </c>
      <c r="W1618" s="1" t="s">
        <v>49</v>
      </c>
      <c r="X1618" s="13" t="str">
        <f t="shared" si="105"/>
        <v/>
      </c>
      <c r="Y1618" s="2">
        <f t="shared" ca="1" si="106"/>
        <v>3</v>
      </c>
    </row>
    <row r="1619" spans="1:25" hidden="1">
      <c r="A1619" s="1">
        <v>9515240</v>
      </c>
      <c r="B1619" s="1" t="s">
        <v>81</v>
      </c>
      <c r="C1619" t="s">
        <v>4210</v>
      </c>
      <c r="E1619" s="2">
        <v>550000206001</v>
      </c>
      <c r="F1619" s="1" t="s">
        <v>29</v>
      </c>
      <c r="G1619" s="1" t="s">
        <v>53</v>
      </c>
      <c r="H1619" s="1" t="s">
        <v>337</v>
      </c>
      <c r="I1619" s="1" t="s">
        <v>338</v>
      </c>
      <c r="J1619" s="1" t="s">
        <v>164</v>
      </c>
      <c r="K1619" t="s">
        <v>34</v>
      </c>
      <c r="M1619" s="1" t="s">
        <v>35</v>
      </c>
      <c r="N1619" s="1">
        <v>42318949</v>
      </c>
      <c r="O1619" s="1" t="s">
        <v>105</v>
      </c>
      <c r="P1619" s="11" t="s">
        <v>4349</v>
      </c>
      <c r="R1619" s="1" t="s">
        <v>38</v>
      </c>
      <c r="T1619" s="1" t="s">
        <v>74</v>
      </c>
      <c r="U1619" s="11" t="s">
        <v>4350</v>
      </c>
      <c r="V1619" s="1" t="s">
        <v>41</v>
      </c>
      <c r="W1619" s="1" t="s">
        <v>49</v>
      </c>
      <c r="X1619" s="13" t="str">
        <f t="shared" si="105"/>
        <v/>
      </c>
      <c r="Y1619" s="2">
        <f t="shared" ca="1" si="106"/>
        <v>3</v>
      </c>
    </row>
    <row r="1620" spans="1:25" hidden="1">
      <c r="A1620" s="1">
        <v>9515228</v>
      </c>
      <c r="B1620" s="1" t="s">
        <v>81</v>
      </c>
      <c r="C1620" t="s">
        <v>4210</v>
      </c>
      <c r="E1620" s="2">
        <v>537000206001</v>
      </c>
      <c r="F1620" s="1" t="s">
        <v>29</v>
      </c>
      <c r="G1620" s="1" t="s">
        <v>53</v>
      </c>
      <c r="H1620" s="1" t="s">
        <v>442</v>
      </c>
      <c r="I1620" s="1" t="s">
        <v>443</v>
      </c>
      <c r="J1620" s="1" t="s">
        <v>79</v>
      </c>
      <c r="K1620" t="s">
        <v>34</v>
      </c>
      <c r="M1620" s="1" t="s">
        <v>35</v>
      </c>
      <c r="N1620" s="1">
        <v>42318949</v>
      </c>
      <c r="O1620" s="1" t="s">
        <v>105</v>
      </c>
      <c r="P1620" s="11" t="s">
        <v>4351</v>
      </c>
      <c r="R1620" s="1" t="s">
        <v>38</v>
      </c>
      <c r="T1620" s="1" t="s">
        <v>74</v>
      </c>
      <c r="U1620" s="11" t="s">
        <v>4352</v>
      </c>
      <c r="V1620" s="1" t="s">
        <v>41</v>
      </c>
      <c r="W1620" s="1" t="s">
        <v>49</v>
      </c>
      <c r="X1620" s="13" t="str">
        <f t="shared" si="105"/>
        <v/>
      </c>
      <c r="Y1620" s="2">
        <f t="shared" ca="1" si="106"/>
        <v>3</v>
      </c>
    </row>
    <row r="1621" spans="1:25" hidden="1">
      <c r="A1621" s="1">
        <v>9515123</v>
      </c>
      <c r="B1621" s="1" t="s">
        <v>81</v>
      </c>
      <c r="C1621" t="s">
        <v>4210</v>
      </c>
      <c r="E1621" s="2">
        <v>446000206001</v>
      </c>
      <c r="F1621" s="1" t="s">
        <v>29</v>
      </c>
      <c r="G1621" s="1" t="s">
        <v>53</v>
      </c>
      <c r="H1621" s="1" t="s">
        <v>432</v>
      </c>
      <c r="I1621" s="1" t="s">
        <v>433</v>
      </c>
      <c r="J1621" s="1" t="s">
        <v>110</v>
      </c>
      <c r="K1621" t="s">
        <v>34</v>
      </c>
      <c r="M1621" s="1" t="s">
        <v>35</v>
      </c>
      <c r="N1621" s="1">
        <v>42318949</v>
      </c>
      <c r="O1621" s="1" t="s">
        <v>105</v>
      </c>
      <c r="P1621" s="11" t="s">
        <v>4353</v>
      </c>
      <c r="R1621" s="1" t="s">
        <v>38</v>
      </c>
      <c r="T1621" s="1" t="s">
        <v>74</v>
      </c>
      <c r="U1621" s="11" t="s">
        <v>4354</v>
      </c>
      <c r="V1621" s="1" t="s">
        <v>41</v>
      </c>
      <c r="W1621" s="1" t="s">
        <v>49</v>
      </c>
      <c r="X1621" s="13" t="str">
        <f t="shared" si="105"/>
        <v/>
      </c>
      <c r="Y1621" s="2">
        <f t="shared" ca="1" si="106"/>
        <v>3</v>
      </c>
    </row>
    <row r="1622" spans="1:25" hidden="1">
      <c r="A1622" s="1">
        <v>9514974</v>
      </c>
      <c r="B1622" s="1" t="s">
        <v>81</v>
      </c>
      <c r="C1622" t="s">
        <v>4210</v>
      </c>
      <c r="E1622" s="2">
        <v>325000206001</v>
      </c>
      <c r="F1622" s="1" t="s">
        <v>29</v>
      </c>
      <c r="G1622" s="1" t="s">
        <v>53</v>
      </c>
      <c r="H1622" s="1" t="s">
        <v>345</v>
      </c>
      <c r="I1622" s="1" t="s">
        <v>346</v>
      </c>
      <c r="J1622" s="1" t="s">
        <v>46</v>
      </c>
      <c r="K1622" t="s">
        <v>34</v>
      </c>
      <c r="M1622" s="1" t="s">
        <v>35</v>
      </c>
      <c r="N1622" s="1">
        <v>42318949</v>
      </c>
      <c r="O1622" s="1" t="s">
        <v>105</v>
      </c>
      <c r="P1622" s="11" t="s">
        <v>4355</v>
      </c>
      <c r="R1622" s="1" t="s">
        <v>38</v>
      </c>
      <c r="T1622" s="1" t="s">
        <v>74</v>
      </c>
      <c r="U1622" s="11" t="s">
        <v>4356</v>
      </c>
      <c r="V1622" s="1" t="s">
        <v>41</v>
      </c>
      <c r="W1622" s="1" t="s">
        <v>49</v>
      </c>
      <c r="X1622" s="13" t="str">
        <f t="shared" si="105"/>
        <v/>
      </c>
      <c r="Y1622" s="2">
        <f t="shared" ca="1" si="106"/>
        <v>3</v>
      </c>
    </row>
    <row r="1623" spans="1:25" hidden="1">
      <c r="A1623" s="1">
        <v>9514868</v>
      </c>
      <c r="B1623" s="1" t="s">
        <v>81</v>
      </c>
      <c r="C1623" t="s">
        <v>4210</v>
      </c>
      <c r="E1623" s="2">
        <v>246000206001</v>
      </c>
      <c r="F1623" s="1" t="s">
        <v>29</v>
      </c>
      <c r="G1623" s="1" t="s">
        <v>53</v>
      </c>
      <c r="H1623" s="1" t="s">
        <v>1193</v>
      </c>
      <c r="I1623" s="1" t="s">
        <v>1194</v>
      </c>
      <c r="J1623" s="1" t="s">
        <v>85</v>
      </c>
      <c r="K1623" t="s">
        <v>34</v>
      </c>
      <c r="M1623" s="1" t="s">
        <v>35</v>
      </c>
      <c r="N1623" s="1">
        <v>42318949</v>
      </c>
      <c r="O1623" s="1" t="s">
        <v>105</v>
      </c>
      <c r="P1623" s="11" t="s">
        <v>4357</v>
      </c>
      <c r="R1623" s="1" t="s">
        <v>38</v>
      </c>
      <c r="T1623" s="1" t="s">
        <v>74</v>
      </c>
      <c r="U1623" s="186">
        <v>44985.717106481483</v>
      </c>
      <c r="V1623" s="1" t="s">
        <v>41</v>
      </c>
      <c r="W1623" s="1" t="s">
        <v>49</v>
      </c>
      <c r="X1623" s="13" t="str">
        <f t="shared" si="105"/>
        <v/>
      </c>
      <c r="Y1623" s="2">
        <f t="shared" ca="1" si="106"/>
        <v>3</v>
      </c>
    </row>
    <row r="1624" spans="1:25" hidden="1">
      <c r="A1624" s="1">
        <v>9514866</v>
      </c>
      <c r="B1624" s="1" t="s">
        <v>81</v>
      </c>
      <c r="C1624" t="s">
        <v>4210</v>
      </c>
      <c r="E1624" s="2">
        <v>244000206001</v>
      </c>
      <c r="F1624" s="1" t="s">
        <v>29</v>
      </c>
      <c r="G1624" s="1" t="s">
        <v>53</v>
      </c>
      <c r="H1624" s="1" t="s">
        <v>313</v>
      </c>
      <c r="I1624" s="1" t="s">
        <v>314</v>
      </c>
      <c r="J1624" s="1" t="s">
        <v>56</v>
      </c>
      <c r="K1624" t="s">
        <v>34</v>
      </c>
      <c r="M1624" s="1" t="s">
        <v>35</v>
      </c>
      <c r="N1624" s="1">
        <v>42318949</v>
      </c>
      <c r="O1624" s="1" t="s">
        <v>105</v>
      </c>
      <c r="P1624" s="11" t="s">
        <v>4357</v>
      </c>
      <c r="R1624" s="1" t="s">
        <v>38</v>
      </c>
      <c r="T1624" s="1" t="s">
        <v>74</v>
      </c>
      <c r="U1624" s="186">
        <v>44985.717106481483</v>
      </c>
      <c r="V1624" s="1" t="s">
        <v>41</v>
      </c>
      <c r="W1624" s="1" t="s">
        <v>49</v>
      </c>
      <c r="X1624" s="13" t="str">
        <f t="shared" si="105"/>
        <v/>
      </c>
      <c r="Y1624" s="2">
        <f t="shared" ca="1" si="106"/>
        <v>3</v>
      </c>
    </row>
    <row r="1625" spans="1:25" hidden="1">
      <c r="A1625" s="1">
        <v>9514855</v>
      </c>
      <c r="B1625" s="1" t="s">
        <v>81</v>
      </c>
      <c r="C1625" t="s">
        <v>4210</v>
      </c>
      <c r="E1625" s="2">
        <v>233000206001</v>
      </c>
      <c r="F1625" s="1" t="s">
        <v>29</v>
      </c>
      <c r="G1625" s="1" t="s">
        <v>53</v>
      </c>
      <c r="H1625" s="1" t="s">
        <v>424</v>
      </c>
      <c r="I1625" s="1" t="s">
        <v>425</v>
      </c>
      <c r="J1625" s="1" t="s">
        <v>261</v>
      </c>
      <c r="K1625" t="s">
        <v>34</v>
      </c>
      <c r="M1625" s="1" t="s">
        <v>35</v>
      </c>
      <c r="N1625" s="1">
        <v>42318949</v>
      </c>
      <c r="O1625" s="1" t="s">
        <v>105</v>
      </c>
      <c r="P1625" s="11" t="s">
        <v>4358</v>
      </c>
      <c r="R1625" s="1" t="s">
        <v>38</v>
      </c>
      <c r="T1625" s="1" t="s">
        <v>74</v>
      </c>
      <c r="U1625" s="186">
        <v>44985.717083333337</v>
      </c>
      <c r="V1625" s="1" t="s">
        <v>41</v>
      </c>
      <c r="W1625" s="1" t="s">
        <v>49</v>
      </c>
      <c r="X1625" s="13" t="str">
        <f t="shared" si="105"/>
        <v/>
      </c>
      <c r="Y1625" s="2">
        <f t="shared" ca="1" si="106"/>
        <v>3</v>
      </c>
    </row>
    <row r="1626" spans="1:25" hidden="1">
      <c r="A1626" s="1">
        <v>9514854</v>
      </c>
      <c r="B1626" s="1" t="s">
        <v>81</v>
      </c>
      <c r="C1626" t="s">
        <v>4210</v>
      </c>
      <c r="E1626" s="2">
        <v>232000206001</v>
      </c>
      <c r="F1626" s="1" t="s">
        <v>29</v>
      </c>
      <c r="G1626" s="1" t="s">
        <v>53</v>
      </c>
      <c r="H1626" s="1" t="s">
        <v>1363</v>
      </c>
      <c r="I1626" s="1" t="s">
        <v>1364</v>
      </c>
      <c r="J1626" s="1" t="s">
        <v>141</v>
      </c>
      <c r="K1626" t="s">
        <v>34</v>
      </c>
      <c r="M1626" s="1" t="s">
        <v>35</v>
      </c>
      <c r="N1626" s="1">
        <v>42318949</v>
      </c>
      <c r="O1626" s="1" t="s">
        <v>105</v>
      </c>
      <c r="P1626" s="11" t="s">
        <v>4358</v>
      </c>
      <c r="R1626" s="1" t="s">
        <v>38</v>
      </c>
      <c r="T1626" s="1" t="s">
        <v>74</v>
      </c>
      <c r="U1626" s="186">
        <v>44985.717083333337</v>
      </c>
      <c r="V1626" s="1" t="s">
        <v>41</v>
      </c>
      <c r="W1626" s="1" t="s">
        <v>49</v>
      </c>
      <c r="X1626" s="13" t="str">
        <f t="shared" si="105"/>
        <v/>
      </c>
      <c r="Y1626" s="2">
        <f t="shared" ca="1" si="106"/>
        <v>3</v>
      </c>
    </row>
    <row r="1627" spans="1:25" hidden="1">
      <c r="A1627" s="1">
        <v>9514843</v>
      </c>
      <c r="B1627" s="1" t="s">
        <v>81</v>
      </c>
      <c r="C1627" t="s">
        <v>4210</v>
      </c>
      <c r="E1627" s="2">
        <v>220000206001</v>
      </c>
      <c r="F1627" s="1" t="s">
        <v>29</v>
      </c>
      <c r="G1627" s="1" t="s">
        <v>53</v>
      </c>
      <c r="H1627" s="1" t="s">
        <v>588</v>
      </c>
      <c r="I1627" s="1" t="s">
        <v>589</v>
      </c>
      <c r="J1627" s="1" t="s">
        <v>110</v>
      </c>
      <c r="K1627" t="s">
        <v>34</v>
      </c>
      <c r="M1627" s="1" t="s">
        <v>35</v>
      </c>
      <c r="N1627" s="1">
        <v>42318949</v>
      </c>
      <c r="O1627" s="1" t="s">
        <v>105</v>
      </c>
      <c r="P1627" s="11" t="s">
        <v>4359</v>
      </c>
      <c r="R1627" s="1" t="s">
        <v>38</v>
      </c>
      <c r="T1627" s="1" t="s">
        <v>74</v>
      </c>
      <c r="U1627" s="186">
        <v>44985.71707175926</v>
      </c>
      <c r="V1627" s="1" t="s">
        <v>41</v>
      </c>
      <c r="W1627" s="1" t="s">
        <v>49</v>
      </c>
      <c r="X1627" s="13" t="str">
        <f t="shared" si="105"/>
        <v/>
      </c>
      <c r="Y1627" s="2">
        <f t="shared" ca="1" si="106"/>
        <v>3</v>
      </c>
    </row>
    <row r="1628" spans="1:25" hidden="1">
      <c r="A1628" s="1">
        <v>9514813</v>
      </c>
      <c r="B1628" s="1" t="s">
        <v>81</v>
      </c>
      <c r="C1628" t="s">
        <v>4210</v>
      </c>
      <c r="E1628" s="2">
        <v>196000206001</v>
      </c>
      <c r="F1628" s="1" t="s">
        <v>29</v>
      </c>
      <c r="G1628" s="1" t="s">
        <v>53</v>
      </c>
      <c r="H1628" s="1" t="s">
        <v>1060</v>
      </c>
      <c r="I1628" s="1" t="s">
        <v>1061</v>
      </c>
      <c r="J1628" s="1" t="s">
        <v>79</v>
      </c>
      <c r="K1628" t="s">
        <v>34</v>
      </c>
      <c r="M1628" s="1" t="s">
        <v>35</v>
      </c>
      <c r="N1628" s="1">
        <v>42318949</v>
      </c>
      <c r="O1628" s="1" t="s">
        <v>105</v>
      </c>
      <c r="P1628" s="11" t="s">
        <v>4360</v>
      </c>
      <c r="R1628" s="1" t="s">
        <v>38</v>
      </c>
      <c r="T1628" s="1" t="s">
        <v>74</v>
      </c>
      <c r="U1628" s="186">
        <v>44985.71702546296</v>
      </c>
      <c r="V1628" s="1" t="s">
        <v>41</v>
      </c>
      <c r="W1628" s="1" t="s">
        <v>49</v>
      </c>
      <c r="X1628" s="13" t="str">
        <f t="shared" si="105"/>
        <v/>
      </c>
      <c r="Y1628" s="2">
        <f t="shared" ca="1" si="106"/>
        <v>3</v>
      </c>
    </row>
    <row r="1629" spans="1:25" hidden="1">
      <c r="A1629" s="1">
        <v>9514767</v>
      </c>
      <c r="B1629" s="1" t="s">
        <v>81</v>
      </c>
      <c r="C1629" t="s">
        <v>4210</v>
      </c>
      <c r="E1629" s="2">
        <v>159000206001</v>
      </c>
      <c r="F1629" s="1" t="s">
        <v>29</v>
      </c>
      <c r="G1629" s="1" t="s">
        <v>53</v>
      </c>
      <c r="H1629" s="1" t="s">
        <v>331</v>
      </c>
      <c r="I1629" s="1" t="s">
        <v>332</v>
      </c>
      <c r="J1629" s="1" t="s">
        <v>79</v>
      </c>
      <c r="K1629" t="s">
        <v>34</v>
      </c>
      <c r="M1629" s="1" t="s">
        <v>35</v>
      </c>
      <c r="N1629" s="1">
        <v>42318949</v>
      </c>
      <c r="O1629" s="1" t="s">
        <v>105</v>
      </c>
      <c r="P1629" s="11" t="s">
        <v>4361</v>
      </c>
      <c r="R1629" s="1" t="s">
        <v>38</v>
      </c>
      <c r="T1629" s="1" t="s">
        <v>74</v>
      </c>
      <c r="U1629" s="186">
        <v>44985.716956018521</v>
      </c>
      <c r="V1629" s="1" t="s">
        <v>41</v>
      </c>
      <c r="W1629" s="1" t="s">
        <v>49</v>
      </c>
      <c r="X1629" s="13" t="str">
        <f t="shared" si="105"/>
        <v/>
      </c>
      <c r="Y1629" s="2">
        <f t="shared" ca="1" si="106"/>
        <v>3</v>
      </c>
    </row>
    <row r="1630" spans="1:25" hidden="1">
      <c r="A1630" s="1">
        <v>9514714</v>
      </c>
      <c r="B1630" s="1" t="s">
        <v>81</v>
      </c>
      <c r="C1630" t="s">
        <v>4210</v>
      </c>
      <c r="E1630" s="2">
        <v>115000206001</v>
      </c>
      <c r="F1630" s="1" t="s">
        <v>29</v>
      </c>
      <c r="G1630" s="1" t="s">
        <v>53</v>
      </c>
      <c r="H1630" s="1" t="s">
        <v>542</v>
      </c>
      <c r="I1630" s="1" t="s">
        <v>543</v>
      </c>
      <c r="J1630" s="1" t="s">
        <v>56</v>
      </c>
      <c r="K1630" t="s">
        <v>34</v>
      </c>
      <c r="M1630" s="1" t="s">
        <v>35</v>
      </c>
      <c r="N1630" s="1">
        <v>42318949</v>
      </c>
      <c r="O1630" s="1" t="s">
        <v>105</v>
      </c>
      <c r="P1630" s="11" t="s">
        <v>4362</v>
      </c>
      <c r="R1630" s="1" t="s">
        <v>38</v>
      </c>
      <c r="T1630" s="1" t="s">
        <v>74</v>
      </c>
      <c r="U1630" s="186">
        <v>44985.716863425929</v>
      </c>
      <c r="V1630" s="1" t="s">
        <v>41</v>
      </c>
      <c r="W1630" s="1" t="s">
        <v>49</v>
      </c>
      <c r="X1630" s="13" t="str">
        <f t="shared" si="105"/>
        <v/>
      </c>
      <c r="Y1630" s="2">
        <f t="shared" ca="1" si="106"/>
        <v>3</v>
      </c>
    </row>
    <row r="1631" spans="1:25" hidden="1">
      <c r="A1631" s="1">
        <v>9514657</v>
      </c>
      <c r="B1631" s="1" t="s">
        <v>81</v>
      </c>
      <c r="C1631" t="s">
        <v>4210</v>
      </c>
      <c r="E1631" s="2">
        <v>69000206001</v>
      </c>
      <c r="F1631" s="1" t="s">
        <v>29</v>
      </c>
      <c r="G1631" s="1" t="s">
        <v>53</v>
      </c>
      <c r="H1631" s="1" t="s">
        <v>1206</v>
      </c>
      <c r="I1631" s="1" t="s">
        <v>1207</v>
      </c>
      <c r="J1631" s="1" t="s">
        <v>33</v>
      </c>
      <c r="K1631" t="s">
        <v>34</v>
      </c>
      <c r="M1631" s="1" t="s">
        <v>35</v>
      </c>
      <c r="N1631" s="1">
        <v>42318949</v>
      </c>
      <c r="O1631" s="1" t="s">
        <v>105</v>
      </c>
      <c r="P1631" s="11" t="s">
        <v>4363</v>
      </c>
      <c r="R1631" s="1" t="s">
        <v>38</v>
      </c>
      <c r="T1631" s="1" t="s">
        <v>74</v>
      </c>
      <c r="U1631" s="186">
        <v>44985.716770833336</v>
      </c>
      <c r="V1631" s="1" t="s">
        <v>41</v>
      </c>
      <c r="W1631" s="1" t="s">
        <v>42</v>
      </c>
      <c r="X1631" s="13" t="str">
        <f t="shared" si="105"/>
        <v/>
      </c>
      <c r="Y1631" s="2">
        <f t="shared" ca="1" si="106"/>
        <v>3</v>
      </c>
    </row>
    <row r="1632" spans="1:25" hidden="1">
      <c r="A1632" s="1">
        <v>9514656</v>
      </c>
      <c r="B1632" s="1" t="s">
        <v>81</v>
      </c>
      <c r="C1632" t="s">
        <v>4210</v>
      </c>
      <c r="E1632" s="2">
        <v>68000206001</v>
      </c>
      <c r="F1632" s="1" t="s">
        <v>29</v>
      </c>
      <c r="G1632" s="1" t="s">
        <v>53</v>
      </c>
      <c r="H1632" s="1" t="s">
        <v>1330</v>
      </c>
      <c r="I1632" s="1" t="s">
        <v>1331</v>
      </c>
      <c r="J1632" s="1" t="s">
        <v>211</v>
      </c>
      <c r="K1632" t="s">
        <v>34</v>
      </c>
      <c r="M1632" s="1" t="s">
        <v>35</v>
      </c>
      <c r="N1632" s="1">
        <v>42318949</v>
      </c>
      <c r="O1632" s="1" t="s">
        <v>105</v>
      </c>
      <c r="P1632" s="11" t="s">
        <v>4364</v>
      </c>
      <c r="R1632" s="1" t="s">
        <v>38</v>
      </c>
      <c r="T1632" s="1" t="s">
        <v>74</v>
      </c>
      <c r="U1632" s="186">
        <v>44985.716770833336</v>
      </c>
      <c r="V1632" s="1" t="s">
        <v>41</v>
      </c>
      <c r="W1632" s="1" t="s">
        <v>49</v>
      </c>
      <c r="X1632" s="13" t="str">
        <f t="shared" si="105"/>
        <v/>
      </c>
      <c r="Y1632" s="2">
        <f t="shared" ca="1" si="106"/>
        <v>3</v>
      </c>
    </row>
    <row r="1633" spans="1:25" hidden="1">
      <c r="A1633" s="1">
        <v>9514655</v>
      </c>
      <c r="B1633" s="1" t="s">
        <v>81</v>
      </c>
      <c r="C1633" t="s">
        <v>4210</v>
      </c>
      <c r="E1633" s="2">
        <v>67000206001</v>
      </c>
      <c r="F1633" s="1" t="s">
        <v>29</v>
      </c>
      <c r="G1633" s="1" t="s">
        <v>53</v>
      </c>
      <c r="H1633" s="1" t="s">
        <v>404</v>
      </c>
      <c r="I1633" s="1" t="s">
        <v>405</v>
      </c>
      <c r="J1633" s="1" t="s">
        <v>164</v>
      </c>
      <c r="K1633" t="s">
        <v>34</v>
      </c>
      <c r="M1633" s="1" t="s">
        <v>35</v>
      </c>
      <c r="N1633" s="1">
        <v>42318949</v>
      </c>
      <c r="O1633" s="1" t="s">
        <v>105</v>
      </c>
      <c r="P1633" s="11" t="s">
        <v>4364</v>
      </c>
      <c r="R1633" s="1" t="s">
        <v>38</v>
      </c>
      <c r="T1633" s="1" t="s">
        <v>74</v>
      </c>
      <c r="U1633" s="186">
        <v>44985.71675925926</v>
      </c>
      <c r="V1633" s="1" t="s">
        <v>41</v>
      </c>
      <c r="W1633" s="1" t="s">
        <v>49</v>
      </c>
      <c r="X1633" s="13" t="str">
        <f t="shared" si="105"/>
        <v/>
      </c>
      <c r="Y1633" s="2">
        <f t="shared" ca="1" si="106"/>
        <v>3</v>
      </c>
    </row>
    <row r="1634" spans="1:25" hidden="1">
      <c r="A1634" s="1">
        <v>9514573</v>
      </c>
      <c r="B1634" s="1" t="s">
        <v>81</v>
      </c>
      <c r="C1634" t="s">
        <v>4210</v>
      </c>
      <c r="E1634" s="2">
        <v>7750206001</v>
      </c>
      <c r="F1634" s="1" t="s">
        <v>29</v>
      </c>
      <c r="G1634" s="1" t="s">
        <v>53</v>
      </c>
      <c r="H1634" s="1" t="s">
        <v>1921</v>
      </c>
      <c r="I1634" s="1" t="s">
        <v>630</v>
      </c>
      <c r="J1634" s="1" t="s">
        <v>46</v>
      </c>
      <c r="K1634" t="s">
        <v>34</v>
      </c>
      <c r="M1634" s="1" t="s">
        <v>35</v>
      </c>
      <c r="N1634" s="1">
        <v>42318949</v>
      </c>
      <c r="O1634" s="1" t="s">
        <v>105</v>
      </c>
      <c r="P1634" s="11" t="s">
        <v>4365</v>
      </c>
      <c r="R1634" s="1" t="s">
        <v>38</v>
      </c>
      <c r="T1634" s="1" t="s">
        <v>74</v>
      </c>
      <c r="U1634" s="186">
        <v>44985.716643518521</v>
      </c>
      <c r="V1634" s="1" t="s">
        <v>41</v>
      </c>
      <c r="W1634" s="1" t="s">
        <v>49</v>
      </c>
      <c r="X1634" s="13" t="str">
        <f t="shared" si="105"/>
        <v>0007.75</v>
      </c>
      <c r="Y1634" s="2">
        <f t="shared" ca="1" si="106"/>
        <v>3</v>
      </c>
    </row>
    <row r="1635" spans="1:25" hidden="1">
      <c r="A1635" s="1">
        <v>9514572</v>
      </c>
      <c r="B1635" s="1" t="s">
        <v>81</v>
      </c>
      <c r="C1635" t="s">
        <v>4210</v>
      </c>
      <c r="E1635" s="2">
        <v>7740206001</v>
      </c>
      <c r="F1635" s="1" t="s">
        <v>29</v>
      </c>
      <c r="G1635" s="1" t="s">
        <v>53</v>
      </c>
      <c r="H1635" s="1" t="s">
        <v>187</v>
      </c>
      <c r="I1635" s="1" t="s">
        <v>188</v>
      </c>
      <c r="J1635" s="1" t="s">
        <v>46</v>
      </c>
      <c r="K1635" t="s">
        <v>34</v>
      </c>
      <c r="M1635" s="1" t="s">
        <v>35</v>
      </c>
      <c r="N1635" s="1">
        <v>42318949</v>
      </c>
      <c r="O1635" s="1" t="s">
        <v>105</v>
      </c>
      <c r="P1635" s="11" t="s">
        <v>4365</v>
      </c>
      <c r="R1635" s="1" t="s">
        <v>38</v>
      </c>
      <c r="T1635" s="1" t="s">
        <v>74</v>
      </c>
      <c r="U1635" s="186">
        <v>44985.716631944444</v>
      </c>
      <c r="V1635" s="1" t="s">
        <v>41</v>
      </c>
      <c r="W1635" s="1" t="s">
        <v>49</v>
      </c>
      <c r="X1635" s="13" t="str">
        <f t="shared" si="105"/>
        <v>0007.74</v>
      </c>
      <c r="Y1635" s="2">
        <f t="shared" ca="1" si="106"/>
        <v>3</v>
      </c>
    </row>
    <row r="1636" spans="1:25" hidden="1">
      <c r="A1636" s="1">
        <v>9514571</v>
      </c>
      <c r="B1636" s="1" t="s">
        <v>81</v>
      </c>
      <c r="C1636" t="s">
        <v>4210</v>
      </c>
      <c r="E1636" s="2">
        <v>7710206001</v>
      </c>
      <c r="F1636" s="1" t="s">
        <v>29</v>
      </c>
      <c r="G1636" s="1" t="s">
        <v>53</v>
      </c>
      <c r="H1636" s="1" t="s">
        <v>228</v>
      </c>
      <c r="I1636" s="1" t="s">
        <v>229</v>
      </c>
      <c r="J1636" s="1" t="s">
        <v>46</v>
      </c>
      <c r="K1636" t="s">
        <v>34</v>
      </c>
      <c r="M1636" s="1" t="s">
        <v>35</v>
      </c>
      <c r="N1636" s="1">
        <v>42318949</v>
      </c>
      <c r="O1636" s="1" t="s">
        <v>105</v>
      </c>
      <c r="P1636" s="11" t="s">
        <v>4365</v>
      </c>
      <c r="R1636" s="1" t="s">
        <v>38</v>
      </c>
      <c r="T1636" s="1" t="s">
        <v>74</v>
      </c>
      <c r="U1636" s="186">
        <v>44985.716631944444</v>
      </c>
      <c r="V1636" s="1" t="s">
        <v>41</v>
      </c>
      <c r="W1636" s="1" t="s">
        <v>49</v>
      </c>
      <c r="X1636" s="13" t="str">
        <f t="shared" si="105"/>
        <v>0007.71</v>
      </c>
      <c r="Y1636" s="2">
        <f t="shared" ca="1" si="106"/>
        <v>3</v>
      </c>
    </row>
    <row r="1637" spans="1:25" hidden="1">
      <c r="A1637" s="1">
        <v>9514570</v>
      </c>
      <c r="B1637" s="1" t="s">
        <v>81</v>
      </c>
      <c r="C1637" t="s">
        <v>4210</v>
      </c>
      <c r="E1637" s="2">
        <v>7000206001</v>
      </c>
      <c r="F1637" s="1" t="s">
        <v>29</v>
      </c>
      <c r="G1637" s="1" t="s">
        <v>53</v>
      </c>
      <c r="H1637" s="1" t="s">
        <v>383</v>
      </c>
      <c r="I1637" s="1" t="s">
        <v>384</v>
      </c>
      <c r="J1637" s="1" t="s">
        <v>46</v>
      </c>
      <c r="K1637" t="s">
        <v>34</v>
      </c>
      <c r="M1637" s="1" t="s">
        <v>35</v>
      </c>
      <c r="N1637" s="1">
        <v>42318949</v>
      </c>
      <c r="O1637" s="1" t="s">
        <v>105</v>
      </c>
      <c r="P1637" s="11" t="s">
        <v>4365</v>
      </c>
      <c r="R1637" s="1" t="s">
        <v>38</v>
      </c>
      <c r="T1637" s="1" t="s">
        <v>74</v>
      </c>
      <c r="U1637" s="186">
        <v>44985.716631944444</v>
      </c>
      <c r="V1637" s="1" t="s">
        <v>41</v>
      </c>
      <c r="W1637" s="1" t="s">
        <v>49</v>
      </c>
      <c r="X1637" s="13" t="str">
        <f t="shared" si="105"/>
        <v/>
      </c>
      <c r="Y1637" s="2">
        <f t="shared" ca="1" si="106"/>
        <v>3</v>
      </c>
    </row>
    <row r="1638" spans="1:25" hidden="1">
      <c r="A1638" s="1">
        <v>9514554</v>
      </c>
      <c r="B1638" s="1" t="s">
        <v>1153</v>
      </c>
      <c r="C1638" t="s">
        <v>4366</v>
      </c>
      <c r="D1638" s="2">
        <v>20234923000083</v>
      </c>
      <c r="E1638" s="2">
        <v>7417163284583</v>
      </c>
      <c r="F1638" s="1" t="s">
        <v>131</v>
      </c>
      <c r="G1638" s="1" t="s">
        <v>53</v>
      </c>
      <c r="H1638" s="1" t="s">
        <v>2685</v>
      </c>
      <c r="I1638" s="1" t="s">
        <v>2686</v>
      </c>
      <c r="J1638" s="1" t="s">
        <v>46</v>
      </c>
      <c r="K1638" t="s">
        <v>132</v>
      </c>
      <c r="M1638" s="1" t="s">
        <v>58</v>
      </c>
      <c r="N1638" s="1">
        <v>0</v>
      </c>
      <c r="O1638" s="1" t="s">
        <v>105</v>
      </c>
      <c r="P1638" s="11" t="s">
        <v>4367</v>
      </c>
      <c r="R1638" s="1">
        <v>14</v>
      </c>
      <c r="T1638" s="1" t="s">
        <v>238</v>
      </c>
      <c r="U1638" s="186">
        <v>44984.702210648145</v>
      </c>
      <c r="V1638" s="1" t="s">
        <v>41</v>
      </c>
      <c r="W1638" s="1" t="s">
        <v>49</v>
      </c>
      <c r="X1638" s="13" t="str">
        <f t="shared" si="105"/>
        <v>4923.03</v>
      </c>
      <c r="Y1638" s="2">
        <f t="shared" ca="1" si="106"/>
        <v>3</v>
      </c>
    </row>
    <row r="1639" spans="1:25" hidden="1">
      <c r="A1639" s="1">
        <v>9514476</v>
      </c>
      <c r="B1639" s="1" t="s">
        <v>1153</v>
      </c>
      <c r="C1639" t="s">
        <v>4368</v>
      </c>
      <c r="D1639" s="2">
        <v>20230570000010</v>
      </c>
      <c r="E1639" s="2">
        <v>7417202020537</v>
      </c>
      <c r="F1639" s="1" t="s">
        <v>1213</v>
      </c>
      <c r="G1639" s="1" t="s">
        <v>53</v>
      </c>
      <c r="H1639" s="1" t="s">
        <v>4369</v>
      </c>
      <c r="I1639" s="1" t="s">
        <v>4370</v>
      </c>
      <c r="J1639" s="1" t="s">
        <v>148</v>
      </c>
      <c r="K1639" t="s">
        <v>1214</v>
      </c>
      <c r="M1639" s="1" t="s">
        <v>58</v>
      </c>
      <c r="N1639" s="1">
        <v>0</v>
      </c>
      <c r="O1639" s="1" t="s">
        <v>105</v>
      </c>
      <c r="P1639" s="11" t="s">
        <v>4371</v>
      </c>
      <c r="R1639" s="1">
        <v>14</v>
      </c>
      <c r="T1639" s="1" t="s">
        <v>238</v>
      </c>
      <c r="U1639" s="186">
        <v>44984.687824074077</v>
      </c>
      <c r="V1639" s="1" t="s">
        <v>41</v>
      </c>
      <c r="W1639" s="1" t="s">
        <v>49</v>
      </c>
      <c r="X1639" s="13" t="str">
        <f t="shared" si="105"/>
        <v>0570.91</v>
      </c>
      <c r="Y1639" s="2">
        <f t="shared" ca="1" si="106"/>
        <v>3</v>
      </c>
    </row>
    <row r="1640" spans="1:25" hidden="1">
      <c r="A1640" s="1">
        <v>9514414</v>
      </c>
      <c r="B1640" s="1" t="s">
        <v>1153</v>
      </c>
      <c r="C1640" t="s">
        <v>4372</v>
      </c>
      <c r="D1640" s="2">
        <v>20231650000005</v>
      </c>
      <c r="E1640" s="2">
        <v>7417163283082</v>
      </c>
      <c r="F1640" s="1" t="s">
        <v>131</v>
      </c>
      <c r="G1640" s="1" t="s">
        <v>53</v>
      </c>
      <c r="H1640" s="1" t="s">
        <v>4373</v>
      </c>
      <c r="I1640" s="1" t="s">
        <v>4374</v>
      </c>
      <c r="J1640" s="1" t="s">
        <v>141</v>
      </c>
      <c r="K1640" t="s">
        <v>132</v>
      </c>
      <c r="M1640" s="1" t="s">
        <v>58</v>
      </c>
      <c r="N1640" s="1">
        <v>0</v>
      </c>
      <c r="O1640" s="1" t="s">
        <v>105</v>
      </c>
      <c r="P1640" s="11" t="s">
        <v>4375</v>
      </c>
      <c r="R1640" s="1">
        <v>14</v>
      </c>
      <c r="T1640" s="1" t="s">
        <v>238</v>
      </c>
      <c r="U1640" s="186">
        <v>44984.676354166666</v>
      </c>
      <c r="V1640" s="1" t="s">
        <v>41</v>
      </c>
      <c r="W1640" s="1" t="s">
        <v>49</v>
      </c>
      <c r="X1640" s="13" t="str">
        <f t="shared" si="105"/>
        <v>1650.91</v>
      </c>
      <c r="Y1640" s="2">
        <f t="shared" ca="1" si="106"/>
        <v>3</v>
      </c>
    </row>
    <row r="1641" spans="1:25" hidden="1">
      <c r="A1641" s="1">
        <v>9514400</v>
      </c>
      <c r="B1641" s="1" t="s">
        <v>1153</v>
      </c>
      <c r="C1641" t="s">
        <v>4376</v>
      </c>
      <c r="D1641" s="2">
        <v>20230232000015</v>
      </c>
      <c r="E1641" s="2">
        <v>7419142690722</v>
      </c>
      <c r="F1641" s="1" t="s">
        <v>4377</v>
      </c>
      <c r="G1641" s="1" t="s">
        <v>53</v>
      </c>
      <c r="H1641" s="1" t="s">
        <v>1363</v>
      </c>
      <c r="I1641" s="1" t="s">
        <v>1364</v>
      </c>
      <c r="J1641" s="1" t="s">
        <v>141</v>
      </c>
      <c r="K1641" t="s">
        <v>4378</v>
      </c>
      <c r="M1641" s="1" t="s">
        <v>58</v>
      </c>
      <c r="N1641" s="1">
        <v>0</v>
      </c>
      <c r="O1641" s="1" t="s">
        <v>36</v>
      </c>
      <c r="P1641" s="11" t="s">
        <v>4379</v>
      </c>
      <c r="R1641" s="1">
        <v>21</v>
      </c>
      <c r="T1641" s="1" t="s">
        <v>1160</v>
      </c>
      <c r="U1641" s="186">
        <v>44987.38958333333</v>
      </c>
      <c r="V1641" s="1" t="s">
        <v>41</v>
      </c>
      <c r="W1641" s="1" t="s">
        <v>49</v>
      </c>
      <c r="X1641" s="13" t="str">
        <f t="shared" si="105"/>
        <v/>
      </c>
      <c r="Y1641" s="2">
        <f t="shared" ca="1" si="106"/>
        <v>3</v>
      </c>
    </row>
    <row r="1642" spans="1:25" hidden="1">
      <c r="A1642" s="1">
        <v>9514345</v>
      </c>
      <c r="B1642" s="1" t="s">
        <v>1153</v>
      </c>
      <c r="C1642" t="s">
        <v>4380</v>
      </c>
      <c r="D1642" s="2">
        <v>20238889000075</v>
      </c>
      <c r="E1642" s="2">
        <v>7417160923660</v>
      </c>
      <c r="F1642" s="1" t="s">
        <v>2770</v>
      </c>
      <c r="G1642" s="1" t="s">
        <v>53</v>
      </c>
      <c r="H1642" s="1" t="s">
        <v>2917</v>
      </c>
      <c r="I1642" s="1" t="s">
        <v>2918</v>
      </c>
      <c r="J1642" s="1" t="s">
        <v>33</v>
      </c>
      <c r="K1642" t="s">
        <v>2771</v>
      </c>
      <c r="M1642" s="1" t="s">
        <v>58</v>
      </c>
      <c r="N1642" s="1">
        <v>0</v>
      </c>
      <c r="O1642" s="1" t="s">
        <v>105</v>
      </c>
      <c r="P1642" s="11" t="s">
        <v>4381</v>
      </c>
      <c r="R1642" s="1">
        <v>23</v>
      </c>
      <c r="T1642" s="1" t="s">
        <v>1160</v>
      </c>
      <c r="U1642" s="186">
        <v>44988.671898148146</v>
      </c>
      <c r="V1642" s="1" t="s">
        <v>41</v>
      </c>
      <c r="W1642" s="1" t="s">
        <v>49</v>
      </c>
      <c r="X1642" s="13" t="str">
        <f t="shared" si="105"/>
        <v>8889.02</v>
      </c>
      <c r="Y1642" s="2">
        <f t="shared" ca="1" si="106"/>
        <v>3</v>
      </c>
    </row>
    <row r="1643" spans="1:25">
      <c r="A1643" s="1">
        <v>9514335</v>
      </c>
      <c r="B1643" s="1" t="s">
        <v>1153</v>
      </c>
      <c r="C1643" t="s">
        <v>4382</v>
      </c>
      <c r="D1643" s="2">
        <v>20232304000002</v>
      </c>
      <c r="E1643" s="2">
        <v>7417183020604</v>
      </c>
      <c r="F1643" s="1" t="s">
        <v>1313</v>
      </c>
      <c r="G1643" s="1" t="s">
        <v>53</v>
      </c>
      <c r="H1643" s="1" t="s">
        <v>4383</v>
      </c>
      <c r="I1643" s="1" t="s">
        <v>4384</v>
      </c>
      <c r="J1643" s="1" t="s">
        <v>85</v>
      </c>
      <c r="K1643" t="s">
        <v>1316</v>
      </c>
      <c r="M1643" s="1" t="s">
        <v>58</v>
      </c>
      <c r="N1643" s="1">
        <v>0</v>
      </c>
      <c r="O1643" s="1" t="s">
        <v>105</v>
      </c>
      <c r="P1643" s="11" t="s">
        <v>4385</v>
      </c>
      <c r="R1643" s="1">
        <v>14</v>
      </c>
      <c r="T1643" s="1" t="s">
        <v>238</v>
      </c>
      <c r="U1643" s="11" t="s">
        <v>4385</v>
      </c>
      <c r="V1643" s="1" t="s">
        <v>41</v>
      </c>
      <c r="W1643" s="1" t="s">
        <v>49</v>
      </c>
      <c r="X1643" s="13" t="str">
        <f t="shared" si="105"/>
        <v>2304.91</v>
      </c>
      <c r="Y1643" s="2">
        <f t="shared" ca="1" si="106"/>
        <v>3</v>
      </c>
    </row>
    <row r="1644" spans="1:25" hidden="1">
      <c r="A1644" s="1">
        <v>9514312</v>
      </c>
      <c r="B1644" s="1" t="s">
        <v>1153</v>
      </c>
      <c r="C1644" t="s">
        <v>4386</v>
      </c>
      <c r="D1644" s="2">
        <v>20234923000082</v>
      </c>
      <c r="E1644" s="2">
        <v>7417163282360</v>
      </c>
      <c r="F1644" s="1" t="s">
        <v>131</v>
      </c>
      <c r="G1644" s="1" t="s">
        <v>53</v>
      </c>
      <c r="H1644" s="1" t="s">
        <v>2682</v>
      </c>
      <c r="I1644" s="1" t="s">
        <v>2683</v>
      </c>
      <c r="J1644" s="1" t="s">
        <v>46</v>
      </c>
      <c r="K1644" t="s">
        <v>132</v>
      </c>
      <c r="M1644" s="1" t="s">
        <v>58</v>
      </c>
      <c r="N1644" s="1">
        <v>0</v>
      </c>
      <c r="O1644" s="1" t="s">
        <v>105</v>
      </c>
      <c r="P1644" s="11" t="s">
        <v>4387</v>
      </c>
      <c r="R1644" s="1">
        <v>13</v>
      </c>
      <c r="T1644" s="1" t="s">
        <v>238</v>
      </c>
      <c r="U1644" s="11" t="s">
        <v>4387</v>
      </c>
      <c r="V1644" s="1" t="s">
        <v>41</v>
      </c>
      <c r="W1644" s="1" t="s">
        <v>49</v>
      </c>
      <c r="X1644" s="13" t="str">
        <f t="shared" si="105"/>
        <v>4923.02</v>
      </c>
      <c r="Y1644" s="2">
        <f t="shared" ca="1" si="106"/>
        <v>3</v>
      </c>
    </row>
    <row r="1645" spans="1:25" hidden="1">
      <c r="A1645" s="1">
        <v>9514198</v>
      </c>
      <c r="B1645" s="1" t="s">
        <v>1153</v>
      </c>
      <c r="C1645" t="s">
        <v>4388</v>
      </c>
      <c r="D1645" s="2">
        <v>20230594000016</v>
      </c>
      <c r="E1645" s="2">
        <v>7417202020500</v>
      </c>
      <c r="F1645" s="1" t="s">
        <v>1213</v>
      </c>
      <c r="G1645" s="1" t="s">
        <v>53</v>
      </c>
      <c r="H1645" s="1" t="s">
        <v>3670</v>
      </c>
      <c r="I1645" s="1" t="s">
        <v>3671</v>
      </c>
      <c r="J1645" s="1" t="s">
        <v>33</v>
      </c>
      <c r="K1645" t="s">
        <v>1214</v>
      </c>
      <c r="M1645" s="1" t="s">
        <v>58</v>
      </c>
      <c r="N1645" s="1">
        <v>0</v>
      </c>
      <c r="O1645" s="1" t="s">
        <v>105</v>
      </c>
      <c r="P1645" s="11" t="s">
        <v>4389</v>
      </c>
      <c r="R1645" s="1">
        <v>15</v>
      </c>
      <c r="T1645" s="1" t="s">
        <v>238</v>
      </c>
      <c r="U1645" s="11" t="s">
        <v>4389</v>
      </c>
      <c r="V1645" s="1" t="s">
        <v>41</v>
      </c>
      <c r="W1645" s="1" t="s">
        <v>42</v>
      </c>
      <c r="X1645" s="13" t="str">
        <f t="shared" si="105"/>
        <v>0594.91</v>
      </c>
      <c r="Y1645" s="2">
        <f t="shared" ca="1" si="106"/>
        <v>3</v>
      </c>
    </row>
    <row r="1646" spans="1:25" hidden="1">
      <c r="A1646" s="1">
        <v>9514083</v>
      </c>
      <c r="B1646" s="1" t="s">
        <v>1153</v>
      </c>
      <c r="C1646" t="s">
        <v>4390</v>
      </c>
      <c r="D1646" s="2">
        <v>20230673000012</v>
      </c>
      <c r="E1646" s="2">
        <v>7417163283586</v>
      </c>
      <c r="F1646" s="1" t="s">
        <v>131</v>
      </c>
      <c r="G1646" s="1" t="s">
        <v>53</v>
      </c>
      <c r="H1646" s="1" t="s">
        <v>4391</v>
      </c>
      <c r="I1646" s="1" t="s">
        <v>4392</v>
      </c>
      <c r="J1646" s="1" t="s">
        <v>110</v>
      </c>
      <c r="K1646" t="s">
        <v>132</v>
      </c>
      <c r="M1646" s="1" t="s">
        <v>58</v>
      </c>
      <c r="N1646" s="1">
        <v>0</v>
      </c>
      <c r="O1646" s="1" t="s">
        <v>105</v>
      </c>
      <c r="P1646" s="11" t="s">
        <v>4393</v>
      </c>
      <c r="R1646" s="1">
        <v>14</v>
      </c>
      <c r="T1646" s="1" t="s">
        <v>238</v>
      </c>
      <c r="U1646" s="11" t="s">
        <v>4393</v>
      </c>
      <c r="V1646" s="1" t="s">
        <v>41</v>
      </c>
      <c r="W1646" s="1" t="s">
        <v>49</v>
      </c>
      <c r="X1646" s="13" t="str">
        <f t="shared" si="105"/>
        <v>0673.91</v>
      </c>
      <c r="Y1646" s="2">
        <f t="shared" ca="1" si="106"/>
        <v>3</v>
      </c>
    </row>
    <row r="1647" spans="1:25" hidden="1">
      <c r="A1647" s="1">
        <v>9514040</v>
      </c>
      <c r="B1647" s="1" t="s">
        <v>1153</v>
      </c>
      <c r="C1647" t="s">
        <v>4394</v>
      </c>
      <c r="E1647" s="2">
        <v>3242000206001</v>
      </c>
      <c r="F1647" s="1" t="s">
        <v>29</v>
      </c>
      <c r="G1647" s="1" t="s">
        <v>53</v>
      </c>
      <c r="H1647" s="1" t="s">
        <v>461</v>
      </c>
      <c r="I1647" s="1" t="s">
        <v>462</v>
      </c>
      <c r="J1647" s="1" t="s">
        <v>46</v>
      </c>
      <c r="K1647" t="s">
        <v>34</v>
      </c>
      <c r="M1647" s="1" t="s">
        <v>35</v>
      </c>
      <c r="N1647" s="1">
        <v>42318949</v>
      </c>
      <c r="O1647" s="1" t="s">
        <v>36</v>
      </c>
      <c r="P1647" s="11" t="s">
        <v>4395</v>
      </c>
      <c r="R1647" s="1" t="s">
        <v>38</v>
      </c>
      <c r="T1647" s="1" t="s">
        <v>74</v>
      </c>
      <c r="U1647" s="11" t="s">
        <v>4396</v>
      </c>
      <c r="V1647" s="1" t="s">
        <v>41</v>
      </c>
      <c r="W1647" s="1" t="s">
        <v>49</v>
      </c>
      <c r="X1647" s="13" t="str">
        <f t="shared" si="105"/>
        <v/>
      </c>
      <c r="Y1647" s="2">
        <f t="shared" ca="1" si="106"/>
        <v>3</v>
      </c>
    </row>
    <row r="1648" spans="1:25" hidden="1">
      <c r="A1648" s="1">
        <v>9514012</v>
      </c>
      <c r="B1648" s="1" t="s">
        <v>1153</v>
      </c>
      <c r="C1648" t="s">
        <v>4397</v>
      </c>
      <c r="D1648" s="2">
        <v>20234844000585</v>
      </c>
      <c r="E1648" s="2">
        <v>7419143323103</v>
      </c>
      <c r="F1648" s="1" t="s">
        <v>1222</v>
      </c>
      <c r="G1648" s="1" t="s">
        <v>53</v>
      </c>
      <c r="H1648" s="1" t="s">
        <v>2690</v>
      </c>
      <c r="I1648" s="1" t="s">
        <v>2691</v>
      </c>
      <c r="J1648" s="1" t="s">
        <v>46</v>
      </c>
      <c r="K1648" t="s">
        <v>1223</v>
      </c>
      <c r="M1648" s="1" t="s">
        <v>58</v>
      </c>
      <c r="N1648" s="1">
        <v>0</v>
      </c>
      <c r="O1648" s="1" t="s">
        <v>105</v>
      </c>
      <c r="P1648" s="11" t="s">
        <v>4398</v>
      </c>
      <c r="R1648" s="1">
        <v>13</v>
      </c>
      <c r="T1648" s="1" t="s">
        <v>238</v>
      </c>
      <c r="U1648" s="186">
        <v>44984.604074074072</v>
      </c>
      <c r="V1648" s="1" t="s">
        <v>41</v>
      </c>
      <c r="W1648" s="1" t="s">
        <v>49</v>
      </c>
      <c r="X1648" s="13" t="str">
        <f t="shared" si="105"/>
        <v>4844.16</v>
      </c>
      <c r="Y1648" s="2">
        <f t="shared" ca="1" si="106"/>
        <v>3</v>
      </c>
    </row>
    <row r="1649" spans="1:25" hidden="1">
      <c r="A1649" s="1">
        <v>9513970</v>
      </c>
      <c r="B1649" s="1" t="s">
        <v>1153</v>
      </c>
      <c r="C1649" t="s">
        <v>4399</v>
      </c>
      <c r="D1649" s="2">
        <v>20234844000583</v>
      </c>
      <c r="E1649" s="2">
        <v>7417161481310</v>
      </c>
      <c r="F1649" s="1" t="s">
        <v>1979</v>
      </c>
      <c r="G1649" s="1" t="s">
        <v>53</v>
      </c>
      <c r="H1649" s="1" t="s">
        <v>2816</v>
      </c>
      <c r="I1649" s="1" t="s">
        <v>2817</v>
      </c>
      <c r="J1649" s="1" t="s">
        <v>46</v>
      </c>
      <c r="K1649" t="s">
        <v>1982</v>
      </c>
      <c r="M1649" s="1" t="s">
        <v>58</v>
      </c>
      <c r="N1649" s="1">
        <v>0</v>
      </c>
      <c r="O1649" s="1" t="s">
        <v>105</v>
      </c>
      <c r="P1649" s="11" t="s">
        <v>4400</v>
      </c>
      <c r="R1649" s="1">
        <v>13</v>
      </c>
      <c r="T1649" s="1" t="s">
        <v>238</v>
      </c>
      <c r="U1649" s="186">
        <v>44984.588437500002</v>
      </c>
      <c r="V1649" s="1" t="s">
        <v>41</v>
      </c>
      <c r="W1649" s="1" t="s">
        <v>49</v>
      </c>
      <c r="X1649" s="13" t="str">
        <f t="shared" si="105"/>
        <v>4844.64</v>
      </c>
      <c r="Y1649" s="2">
        <f t="shared" ca="1" si="106"/>
        <v>3</v>
      </c>
    </row>
    <row r="1650" spans="1:25" hidden="1">
      <c r="A1650" s="1">
        <v>9513961</v>
      </c>
      <c r="B1650" s="1" t="s">
        <v>1153</v>
      </c>
      <c r="C1650" t="s">
        <v>4401</v>
      </c>
      <c r="D1650" s="2">
        <v>20234844000584</v>
      </c>
      <c r="E1650" s="2">
        <v>7417161483340</v>
      </c>
      <c r="F1650" s="1" t="s">
        <v>1217</v>
      </c>
      <c r="G1650" s="1" t="s">
        <v>53</v>
      </c>
      <c r="H1650" s="1" t="s">
        <v>2444</v>
      </c>
      <c r="I1650" s="1" t="s">
        <v>2445</v>
      </c>
      <c r="J1650" s="1" t="s">
        <v>46</v>
      </c>
      <c r="K1650" t="s">
        <v>1218</v>
      </c>
      <c r="M1650" s="1" t="s">
        <v>58</v>
      </c>
      <c r="N1650" s="1">
        <v>0</v>
      </c>
      <c r="O1650" s="1" t="s">
        <v>105</v>
      </c>
      <c r="P1650" s="11" t="s">
        <v>4402</v>
      </c>
      <c r="R1650" s="1">
        <v>13</v>
      </c>
      <c r="T1650" s="1" t="s">
        <v>238</v>
      </c>
      <c r="U1650" s="11" t="s">
        <v>4402</v>
      </c>
      <c r="V1650" s="1" t="s">
        <v>41</v>
      </c>
      <c r="W1650" s="1" t="s">
        <v>49</v>
      </c>
      <c r="X1650" s="13" t="str">
        <f t="shared" si="105"/>
        <v>4844.80</v>
      </c>
      <c r="Y1650" s="2">
        <f t="shared" ca="1" si="106"/>
        <v>3</v>
      </c>
    </row>
    <row r="1651" spans="1:25" hidden="1">
      <c r="A1651" s="1">
        <v>9513926</v>
      </c>
      <c r="B1651" s="1" t="s">
        <v>1153</v>
      </c>
      <c r="C1651" t="s">
        <v>4403</v>
      </c>
      <c r="D1651" s="2">
        <v>20234844000582</v>
      </c>
      <c r="E1651" s="2">
        <v>7419141893209</v>
      </c>
      <c r="F1651" s="1" t="s">
        <v>128</v>
      </c>
      <c r="G1651" s="1" t="s">
        <v>53</v>
      </c>
      <c r="H1651" s="1" t="s">
        <v>3946</v>
      </c>
      <c r="I1651" s="1" t="s">
        <v>3947</v>
      </c>
      <c r="J1651" s="1" t="s">
        <v>46</v>
      </c>
      <c r="K1651" t="s">
        <v>129</v>
      </c>
      <c r="M1651" s="1" t="s">
        <v>58</v>
      </c>
      <c r="N1651" s="1">
        <v>0</v>
      </c>
      <c r="O1651" s="1" t="s">
        <v>105</v>
      </c>
      <c r="P1651" s="11" t="s">
        <v>4404</v>
      </c>
      <c r="R1651" s="1">
        <v>13</v>
      </c>
      <c r="T1651" s="1" t="s">
        <v>238</v>
      </c>
      <c r="U1651" s="11" t="s">
        <v>4404</v>
      </c>
      <c r="V1651" s="1" t="s">
        <v>41</v>
      </c>
      <c r="W1651" s="1" t="s">
        <v>49</v>
      </c>
      <c r="X1651" s="13" t="str">
        <f t="shared" si="105"/>
        <v>4844.82</v>
      </c>
      <c r="Y1651" s="2">
        <f t="shared" ca="1" si="106"/>
        <v>3</v>
      </c>
    </row>
    <row r="1652" spans="1:25" hidden="1">
      <c r="A1652" s="1">
        <v>9513922</v>
      </c>
      <c r="B1652" s="1" t="s">
        <v>1153</v>
      </c>
      <c r="C1652" t="s">
        <v>4405</v>
      </c>
      <c r="D1652" s="2">
        <v>20230834000010</v>
      </c>
      <c r="E1652" s="2">
        <v>7417163285089</v>
      </c>
      <c r="F1652" s="1" t="s">
        <v>131</v>
      </c>
      <c r="G1652" s="1" t="s">
        <v>53</v>
      </c>
      <c r="H1652" s="1" t="s">
        <v>4089</v>
      </c>
      <c r="I1652" s="1" t="s">
        <v>4090</v>
      </c>
      <c r="J1652" s="1" t="s">
        <v>261</v>
      </c>
      <c r="K1652" t="s">
        <v>132</v>
      </c>
      <c r="M1652" s="1" t="s">
        <v>58</v>
      </c>
      <c r="N1652" s="1">
        <v>0</v>
      </c>
      <c r="O1652" s="1" t="s">
        <v>105</v>
      </c>
      <c r="P1652" s="11" t="s">
        <v>4406</v>
      </c>
      <c r="R1652" s="1">
        <v>14</v>
      </c>
      <c r="T1652" s="1" t="s">
        <v>238</v>
      </c>
      <c r="U1652" s="11" t="s">
        <v>4406</v>
      </c>
      <c r="V1652" s="1" t="s">
        <v>41</v>
      </c>
      <c r="W1652" s="1" t="s">
        <v>49</v>
      </c>
      <c r="X1652" s="13" t="str">
        <f t="shared" si="105"/>
        <v>0834.91</v>
      </c>
      <c r="Y1652" s="2">
        <f t="shared" ca="1" si="106"/>
        <v>3</v>
      </c>
    </row>
    <row r="1653" spans="1:25" hidden="1">
      <c r="A1653" s="1">
        <v>9513921</v>
      </c>
      <c r="B1653" s="1" t="s">
        <v>1153</v>
      </c>
      <c r="C1653" t="s">
        <v>4407</v>
      </c>
      <c r="D1653" s="2">
        <v>20230834000009</v>
      </c>
      <c r="E1653" s="2">
        <v>7417172788843</v>
      </c>
      <c r="F1653" s="1" t="s">
        <v>1989</v>
      </c>
      <c r="G1653" s="1" t="s">
        <v>53</v>
      </c>
      <c r="H1653" s="1" t="s">
        <v>367</v>
      </c>
      <c r="I1653" s="1" t="s">
        <v>368</v>
      </c>
      <c r="J1653" s="1" t="s">
        <v>261</v>
      </c>
      <c r="K1653" t="s">
        <v>1990</v>
      </c>
      <c r="M1653" s="1" t="s">
        <v>58</v>
      </c>
      <c r="N1653" s="1">
        <v>0</v>
      </c>
      <c r="O1653" s="1" t="s">
        <v>105</v>
      </c>
      <c r="P1653" s="11" t="s">
        <v>4408</v>
      </c>
      <c r="R1653" s="1">
        <v>22</v>
      </c>
      <c r="T1653" s="1" t="s">
        <v>1160</v>
      </c>
      <c r="U1653" s="11" t="s">
        <v>4409</v>
      </c>
      <c r="V1653" s="1" t="s">
        <v>41</v>
      </c>
      <c r="W1653" s="1" t="s">
        <v>49</v>
      </c>
      <c r="X1653" s="13" t="str">
        <f t="shared" si="105"/>
        <v/>
      </c>
      <c r="Y1653" s="2">
        <f t="shared" ca="1" si="106"/>
        <v>3</v>
      </c>
    </row>
    <row r="1654" spans="1:25" hidden="1">
      <c r="A1654" s="1">
        <v>9513884</v>
      </c>
      <c r="B1654" s="1" t="s">
        <v>1153</v>
      </c>
      <c r="C1654" t="s">
        <v>4410</v>
      </c>
      <c r="D1654" s="2">
        <v>20231710000014</v>
      </c>
      <c r="E1654" s="2">
        <v>7417160929230</v>
      </c>
      <c r="F1654" s="1" t="s">
        <v>2770</v>
      </c>
      <c r="G1654" s="1" t="s">
        <v>53</v>
      </c>
      <c r="H1654" s="1" t="s">
        <v>327</v>
      </c>
      <c r="I1654" s="1" t="s">
        <v>328</v>
      </c>
      <c r="J1654" s="1" t="s">
        <v>261</v>
      </c>
      <c r="K1654" t="s">
        <v>2771</v>
      </c>
      <c r="M1654" s="1" t="s">
        <v>58</v>
      </c>
      <c r="N1654" s="1">
        <v>0</v>
      </c>
      <c r="O1654" s="1" t="s">
        <v>36</v>
      </c>
      <c r="P1654" s="11" t="s">
        <v>4411</v>
      </c>
      <c r="R1654" s="1">
        <v>23</v>
      </c>
      <c r="T1654" s="1" t="s">
        <v>1160</v>
      </c>
      <c r="U1654" s="11" t="s">
        <v>4412</v>
      </c>
      <c r="V1654" s="1" t="s">
        <v>41</v>
      </c>
      <c r="W1654" s="1" t="s">
        <v>49</v>
      </c>
      <c r="X1654" s="13" t="str">
        <f t="shared" si="105"/>
        <v/>
      </c>
      <c r="Y1654" s="2">
        <f t="shared" ca="1" si="106"/>
        <v>3</v>
      </c>
    </row>
    <row r="1655" spans="1:25">
      <c r="A1655" s="1">
        <v>9513837</v>
      </c>
      <c r="B1655" s="1" t="s">
        <v>1153</v>
      </c>
      <c r="C1655" t="s">
        <v>4413</v>
      </c>
      <c r="D1655" s="2">
        <v>20230981000010</v>
      </c>
      <c r="E1655" s="2">
        <v>7419141892156</v>
      </c>
      <c r="F1655" s="1" t="s">
        <v>128</v>
      </c>
      <c r="G1655" s="1" t="s">
        <v>53</v>
      </c>
      <c r="H1655" s="1" t="s">
        <v>4414</v>
      </c>
      <c r="I1655" s="1" t="s">
        <v>4415</v>
      </c>
      <c r="J1655" s="1" t="s">
        <v>85</v>
      </c>
      <c r="K1655" t="s">
        <v>129</v>
      </c>
      <c r="M1655" s="1" t="s">
        <v>58</v>
      </c>
      <c r="N1655" s="1">
        <v>0</v>
      </c>
      <c r="O1655" s="1" t="s">
        <v>105</v>
      </c>
      <c r="P1655" s="11" t="s">
        <v>4416</v>
      </c>
      <c r="R1655" s="1">
        <v>14</v>
      </c>
      <c r="T1655" s="1" t="s">
        <v>238</v>
      </c>
      <c r="U1655" s="11" t="s">
        <v>4416</v>
      </c>
      <c r="V1655" s="1" t="s">
        <v>41</v>
      </c>
      <c r="W1655" s="1" t="s">
        <v>49</v>
      </c>
      <c r="X1655" s="13" t="str">
        <f t="shared" si="105"/>
        <v>0981.91</v>
      </c>
      <c r="Y1655" s="2">
        <f t="shared" ca="1" si="106"/>
        <v>3</v>
      </c>
    </row>
    <row r="1656" spans="1:25" hidden="1">
      <c r="A1656" s="1">
        <v>9513822</v>
      </c>
      <c r="B1656" s="1" t="s">
        <v>1153</v>
      </c>
      <c r="C1656" t="s">
        <v>4417</v>
      </c>
      <c r="D1656" s="2">
        <v>20234844000580</v>
      </c>
      <c r="E1656" s="2">
        <v>7419151140107</v>
      </c>
      <c r="F1656" s="1" t="s">
        <v>2058</v>
      </c>
      <c r="G1656" s="1" t="s">
        <v>53</v>
      </c>
      <c r="H1656" s="1" t="s">
        <v>2690</v>
      </c>
      <c r="I1656" s="1" t="s">
        <v>2691</v>
      </c>
      <c r="J1656" s="1" t="s">
        <v>46</v>
      </c>
      <c r="K1656" t="s">
        <v>2061</v>
      </c>
      <c r="M1656" s="1" t="s">
        <v>58</v>
      </c>
      <c r="N1656" s="1">
        <v>0</v>
      </c>
      <c r="O1656" s="1" t="s">
        <v>105</v>
      </c>
      <c r="P1656" s="11" t="s">
        <v>4418</v>
      </c>
      <c r="R1656" s="1">
        <v>13</v>
      </c>
      <c r="T1656" s="1" t="s">
        <v>238</v>
      </c>
      <c r="U1656" s="11" t="s">
        <v>4418</v>
      </c>
      <c r="V1656" s="1" t="s">
        <v>41</v>
      </c>
      <c r="W1656" s="1" t="s">
        <v>49</v>
      </c>
      <c r="X1656" s="13" t="str">
        <f t="shared" si="105"/>
        <v>4844.16</v>
      </c>
      <c r="Y1656" s="2">
        <f t="shared" ca="1" si="106"/>
        <v>3</v>
      </c>
    </row>
    <row r="1657" spans="1:25" hidden="1">
      <c r="A1657" s="1">
        <v>9513591</v>
      </c>
      <c r="B1657" s="1" t="s">
        <v>1153</v>
      </c>
      <c r="C1657" t="s">
        <v>4419</v>
      </c>
      <c r="D1657" s="2">
        <v>20234844000576</v>
      </c>
      <c r="E1657" s="2">
        <v>7419151140113</v>
      </c>
      <c r="F1657" s="1" t="s">
        <v>2058</v>
      </c>
      <c r="G1657" s="1" t="s">
        <v>53</v>
      </c>
      <c r="H1657" s="1" t="s">
        <v>2816</v>
      </c>
      <c r="I1657" s="1" t="s">
        <v>2817</v>
      </c>
      <c r="J1657" s="1" t="s">
        <v>46</v>
      </c>
      <c r="K1657" t="s">
        <v>2061</v>
      </c>
      <c r="M1657" s="1" t="s">
        <v>58</v>
      </c>
      <c r="N1657" s="1">
        <v>0</v>
      </c>
      <c r="O1657" s="1" t="s">
        <v>105</v>
      </c>
      <c r="P1657" s="11" t="s">
        <v>4420</v>
      </c>
      <c r="R1657" s="1">
        <v>13</v>
      </c>
      <c r="T1657" s="1" t="s">
        <v>238</v>
      </c>
      <c r="U1657" s="11" t="s">
        <v>4420</v>
      </c>
      <c r="V1657" s="1" t="s">
        <v>41</v>
      </c>
      <c r="W1657" s="1" t="s">
        <v>49</v>
      </c>
      <c r="X1657" s="13" t="str">
        <f t="shared" si="105"/>
        <v>4844.64</v>
      </c>
      <c r="Y1657" s="2">
        <f t="shared" ca="1" si="106"/>
        <v>3</v>
      </c>
    </row>
    <row r="1658" spans="1:25" hidden="1">
      <c r="A1658" s="1">
        <v>9513574</v>
      </c>
      <c r="B1658" s="1" t="s">
        <v>1153</v>
      </c>
      <c r="C1658" t="s">
        <v>4421</v>
      </c>
      <c r="E1658" s="2">
        <v>446000206001</v>
      </c>
      <c r="F1658" s="1" t="s">
        <v>29</v>
      </c>
      <c r="G1658" s="1" t="s">
        <v>53</v>
      </c>
      <c r="H1658" s="1" t="s">
        <v>432</v>
      </c>
      <c r="I1658" s="1" t="s">
        <v>433</v>
      </c>
      <c r="J1658" s="1" t="s">
        <v>110</v>
      </c>
      <c r="K1658" t="s">
        <v>34</v>
      </c>
      <c r="M1658" s="1" t="s">
        <v>35</v>
      </c>
      <c r="N1658" s="1">
        <v>42318949</v>
      </c>
      <c r="O1658" s="1" t="s">
        <v>36</v>
      </c>
      <c r="P1658" s="11" t="s">
        <v>4422</v>
      </c>
      <c r="R1658" s="1" t="s">
        <v>38</v>
      </c>
      <c r="T1658" s="1" t="s">
        <v>74</v>
      </c>
      <c r="U1658" s="11" t="s">
        <v>4423</v>
      </c>
      <c r="V1658" s="1" t="s">
        <v>41</v>
      </c>
      <c r="W1658" s="1" t="s">
        <v>49</v>
      </c>
      <c r="X1658" s="13" t="str">
        <f t="shared" ref="X1658:X1721" si="107">IF(RIGHT(H1658,2)&lt;&gt;"00",H1658,"")</f>
        <v/>
      </c>
      <c r="Y1658" s="2">
        <f t="shared" ref="Y1658:Y1721" ca="1" si="108">NETWORKDAYS(P1658,$Y$1)</f>
        <v>3</v>
      </c>
    </row>
    <row r="1659" spans="1:25" hidden="1">
      <c r="A1659" s="1">
        <v>9513539</v>
      </c>
      <c r="B1659" s="1" t="s">
        <v>1153</v>
      </c>
      <c r="C1659" t="s">
        <v>4424</v>
      </c>
      <c r="D1659" s="2">
        <v>20232442000023</v>
      </c>
      <c r="E1659" s="2">
        <v>7417183025925</v>
      </c>
      <c r="F1659" s="1" t="s">
        <v>1313</v>
      </c>
      <c r="G1659" s="1" t="s">
        <v>53</v>
      </c>
      <c r="H1659" s="1" t="s">
        <v>2489</v>
      </c>
      <c r="I1659" s="1" t="s">
        <v>2490</v>
      </c>
      <c r="J1659" s="1" t="s">
        <v>33</v>
      </c>
      <c r="K1659" t="s">
        <v>1316</v>
      </c>
      <c r="M1659" s="1" t="s">
        <v>58</v>
      </c>
      <c r="N1659" s="1">
        <v>0</v>
      </c>
      <c r="O1659" s="1" t="s">
        <v>105</v>
      </c>
      <c r="P1659" s="11" t="s">
        <v>4425</v>
      </c>
      <c r="R1659" s="1">
        <v>15</v>
      </c>
      <c r="T1659" s="1" t="s">
        <v>238</v>
      </c>
      <c r="U1659" s="11" t="s">
        <v>4425</v>
      </c>
      <c r="V1659" s="1" t="s">
        <v>41</v>
      </c>
      <c r="W1659" s="1" t="s">
        <v>42</v>
      </c>
      <c r="X1659" s="13" t="str">
        <f t="shared" si="107"/>
        <v>2442.91</v>
      </c>
      <c r="Y1659" s="2">
        <f t="shared" ca="1" si="108"/>
        <v>3</v>
      </c>
    </row>
    <row r="1660" spans="1:25" hidden="1">
      <c r="A1660" s="1">
        <v>9513536</v>
      </c>
      <c r="B1660" s="1" t="s">
        <v>1153</v>
      </c>
      <c r="C1660" t="s">
        <v>4426</v>
      </c>
      <c r="D1660" s="2">
        <v>20234844000575</v>
      </c>
      <c r="E1660" s="2">
        <v>7419143322489</v>
      </c>
      <c r="F1660" s="1" t="s">
        <v>1222</v>
      </c>
      <c r="G1660" s="1" t="s">
        <v>53</v>
      </c>
      <c r="H1660" s="1" t="s">
        <v>2992</v>
      </c>
      <c r="I1660" s="1" t="s">
        <v>2993</v>
      </c>
      <c r="J1660" s="1" t="s">
        <v>46</v>
      </c>
      <c r="K1660" t="s">
        <v>1223</v>
      </c>
      <c r="M1660" s="1" t="s">
        <v>58</v>
      </c>
      <c r="N1660" s="1">
        <v>0</v>
      </c>
      <c r="O1660" s="1" t="s">
        <v>105</v>
      </c>
      <c r="P1660" s="11" t="s">
        <v>4427</v>
      </c>
      <c r="R1660" s="1">
        <v>13</v>
      </c>
      <c r="T1660" s="1" t="s">
        <v>238</v>
      </c>
      <c r="U1660" s="11" t="s">
        <v>4427</v>
      </c>
      <c r="V1660" s="1" t="s">
        <v>41</v>
      </c>
      <c r="W1660" s="1" t="s">
        <v>49</v>
      </c>
      <c r="X1660" s="13" t="str">
        <f t="shared" si="107"/>
        <v>4844.03</v>
      </c>
      <c r="Y1660" s="2">
        <f t="shared" ca="1" si="108"/>
        <v>3</v>
      </c>
    </row>
    <row r="1661" spans="1:25" hidden="1">
      <c r="A1661" s="1">
        <v>9513412</v>
      </c>
      <c r="B1661" s="1" t="s">
        <v>1153</v>
      </c>
      <c r="C1661" t="s">
        <v>4428</v>
      </c>
      <c r="D1661" s="2">
        <v>20232239000014</v>
      </c>
      <c r="E1661" s="2">
        <v>7417211830539</v>
      </c>
      <c r="F1661" s="1" t="s">
        <v>1936</v>
      </c>
      <c r="G1661" s="1" t="s">
        <v>53</v>
      </c>
      <c r="H1661" s="1" t="s">
        <v>2838</v>
      </c>
      <c r="I1661" s="1" t="s">
        <v>2839</v>
      </c>
      <c r="J1661" s="1" t="s">
        <v>261</v>
      </c>
      <c r="K1661" t="s">
        <v>1939</v>
      </c>
      <c r="M1661" s="1" t="s">
        <v>58</v>
      </c>
      <c r="N1661" s="1">
        <v>0</v>
      </c>
      <c r="O1661" s="1" t="s">
        <v>105</v>
      </c>
      <c r="P1661" s="11" t="s">
        <v>4429</v>
      </c>
      <c r="R1661" s="1">
        <v>14</v>
      </c>
      <c r="T1661" s="1" t="s">
        <v>238</v>
      </c>
      <c r="U1661" s="11" t="s">
        <v>4429</v>
      </c>
      <c r="V1661" s="1" t="s">
        <v>41</v>
      </c>
      <c r="W1661" s="1" t="s">
        <v>49</v>
      </c>
      <c r="X1661" s="13" t="str">
        <f t="shared" si="107"/>
        <v>2239.91</v>
      </c>
      <c r="Y1661" s="2">
        <f t="shared" ca="1" si="108"/>
        <v>3</v>
      </c>
    </row>
    <row r="1662" spans="1:25" hidden="1">
      <c r="A1662" s="1">
        <v>9513402</v>
      </c>
      <c r="B1662" s="1" t="s">
        <v>1153</v>
      </c>
      <c r="C1662" t="s">
        <v>4430</v>
      </c>
      <c r="D1662" s="2">
        <v>20232335000006</v>
      </c>
      <c r="E1662" s="2">
        <v>7419141892794</v>
      </c>
      <c r="F1662" s="1" t="s">
        <v>128</v>
      </c>
      <c r="G1662" s="1" t="s">
        <v>53</v>
      </c>
      <c r="H1662" s="1" t="s">
        <v>2643</v>
      </c>
      <c r="I1662" s="1" t="s">
        <v>2644</v>
      </c>
      <c r="J1662" s="1" t="s">
        <v>110</v>
      </c>
      <c r="K1662" t="s">
        <v>129</v>
      </c>
      <c r="M1662" s="1" t="s">
        <v>58</v>
      </c>
      <c r="N1662" s="1">
        <v>0</v>
      </c>
      <c r="O1662" s="1" t="s">
        <v>105</v>
      </c>
      <c r="P1662" s="11" t="s">
        <v>4431</v>
      </c>
      <c r="R1662" s="1">
        <v>14</v>
      </c>
      <c r="T1662" s="1" t="s">
        <v>238</v>
      </c>
      <c r="U1662" s="11" t="s">
        <v>4431</v>
      </c>
      <c r="V1662" s="1" t="s">
        <v>41</v>
      </c>
      <c r="W1662" s="1" t="s">
        <v>49</v>
      </c>
      <c r="X1662" s="13" t="str">
        <f t="shared" si="107"/>
        <v>2335.91</v>
      </c>
      <c r="Y1662" s="2">
        <f t="shared" ca="1" si="108"/>
        <v>3</v>
      </c>
    </row>
    <row r="1663" spans="1:25">
      <c r="A1663" s="1">
        <v>9513345</v>
      </c>
      <c r="B1663" s="1" t="s">
        <v>1153</v>
      </c>
      <c r="C1663" s="15" t="s">
        <v>4432</v>
      </c>
      <c r="E1663" s="2">
        <v>2304000206021</v>
      </c>
      <c r="F1663" s="1" t="s">
        <v>103</v>
      </c>
      <c r="G1663" s="1" t="s">
        <v>53</v>
      </c>
      <c r="H1663" s="1" t="s">
        <v>2711</v>
      </c>
      <c r="I1663" s="1" t="s">
        <v>2712</v>
      </c>
      <c r="J1663" s="1" t="s">
        <v>85</v>
      </c>
      <c r="K1663" t="s">
        <v>104</v>
      </c>
      <c r="M1663" s="1" t="s">
        <v>58</v>
      </c>
      <c r="N1663" s="1">
        <v>0</v>
      </c>
      <c r="O1663" s="1" t="s">
        <v>36</v>
      </c>
      <c r="P1663" s="11" t="s">
        <v>4433</v>
      </c>
      <c r="R1663" s="1" t="s">
        <v>38</v>
      </c>
      <c r="T1663" s="1" t="s">
        <v>74</v>
      </c>
      <c r="U1663" s="11" t="s">
        <v>4434</v>
      </c>
      <c r="V1663" s="1" t="s">
        <v>41</v>
      </c>
      <c r="W1663" s="1" t="s">
        <v>49</v>
      </c>
      <c r="X1663" s="13" t="str">
        <f t="shared" si="107"/>
        <v/>
      </c>
      <c r="Y1663" s="2">
        <f t="shared" ca="1" si="108"/>
        <v>3</v>
      </c>
    </row>
    <row r="1664" spans="1:25" hidden="1">
      <c r="A1664" s="1">
        <v>9513334</v>
      </c>
      <c r="B1664" s="1" t="s">
        <v>1153</v>
      </c>
      <c r="C1664" t="s">
        <v>4435</v>
      </c>
      <c r="D1664" s="2">
        <v>20230711000021</v>
      </c>
      <c r="E1664" s="2">
        <v>7419141893475</v>
      </c>
      <c r="F1664" s="1" t="s">
        <v>128</v>
      </c>
      <c r="G1664" s="1" t="s">
        <v>53</v>
      </c>
      <c r="H1664" s="1" t="s">
        <v>2858</v>
      </c>
      <c r="I1664" s="1" t="s">
        <v>2859</v>
      </c>
      <c r="J1664" s="1" t="s">
        <v>79</v>
      </c>
      <c r="K1664" t="s">
        <v>129</v>
      </c>
      <c r="M1664" s="1" t="s">
        <v>58</v>
      </c>
      <c r="N1664" s="1">
        <v>0</v>
      </c>
      <c r="O1664" s="1" t="s">
        <v>105</v>
      </c>
      <c r="P1664" s="11" t="s">
        <v>4436</v>
      </c>
      <c r="R1664" s="1">
        <v>14</v>
      </c>
      <c r="T1664" s="1" t="s">
        <v>238</v>
      </c>
      <c r="U1664" s="11" t="s">
        <v>4436</v>
      </c>
      <c r="V1664" s="1" t="s">
        <v>41</v>
      </c>
      <c r="W1664" s="1" t="s">
        <v>49</v>
      </c>
      <c r="X1664" s="13" t="str">
        <f t="shared" si="107"/>
        <v>0711.91</v>
      </c>
      <c r="Y1664" s="2">
        <f t="shared" ca="1" si="108"/>
        <v>3</v>
      </c>
    </row>
    <row r="1665" spans="1:25" hidden="1">
      <c r="A1665" s="1">
        <v>9513314</v>
      </c>
      <c r="B1665" s="1" t="s">
        <v>1153</v>
      </c>
      <c r="C1665" t="s">
        <v>4437</v>
      </c>
      <c r="D1665" s="2">
        <v>20234844000573</v>
      </c>
      <c r="E1665" s="2">
        <v>7417163282352</v>
      </c>
      <c r="F1665" s="1" t="s">
        <v>131</v>
      </c>
      <c r="G1665" s="1" t="s">
        <v>53</v>
      </c>
      <c r="H1665" s="1" t="s">
        <v>2816</v>
      </c>
      <c r="I1665" s="1" t="s">
        <v>2817</v>
      </c>
      <c r="J1665" s="1" t="s">
        <v>46</v>
      </c>
      <c r="K1665" t="s">
        <v>132</v>
      </c>
      <c r="M1665" s="1" t="s">
        <v>58</v>
      </c>
      <c r="N1665" s="1">
        <v>0</v>
      </c>
      <c r="O1665" s="1" t="s">
        <v>105</v>
      </c>
      <c r="P1665" s="11" t="s">
        <v>4438</v>
      </c>
      <c r="R1665" s="1">
        <v>13</v>
      </c>
      <c r="T1665" s="1" t="s">
        <v>238</v>
      </c>
      <c r="U1665" s="11" t="s">
        <v>4438</v>
      </c>
      <c r="V1665" s="1" t="s">
        <v>41</v>
      </c>
      <c r="W1665" s="1" t="s">
        <v>49</v>
      </c>
      <c r="X1665" s="13" t="str">
        <f t="shared" si="107"/>
        <v>4844.64</v>
      </c>
      <c r="Y1665" s="2">
        <f t="shared" ca="1" si="108"/>
        <v>3</v>
      </c>
    </row>
    <row r="1666" spans="1:25" hidden="1">
      <c r="A1666" s="1">
        <v>9513210</v>
      </c>
      <c r="B1666" s="1" t="s">
        <v>1153</v>
      </c>
      <c r="C1666" t="s">
        <v>4439</v>
      </c>
      <c r="E1666" s="2">
        <v>1902016136000</v>
      </c>
      <c r="F1666" s="1" t="s">
        <v>64</v>
      </c>
      <c r="G1666" s="1" t="s">
        <v>53</v>
      </c>
      <c r="H1666" s="1" t="s">
        <v>303</v>
      </c>
      <c r="I1666" s="1" t="s">
        <v>304</v>
      </c>
      <c r="J1666" s="1" t="s">
        <v>261</v>
      </c>
      <c r="K1666" t="s">
        <v>67</v>
      </c>
      <c r="M1666" s="1" t="s">
        <v>35</v>
      </c>
      <c r="N1666" s="1">
        <v>42318949</v>
      </c>
      <c r="O1666" s="1" t="s">
        <v>105</v>
      </c>
      <c r="P1666" s="11" t="s">
        <v>4440</v>
      </c>
      <c r="R1666" s="1" t="s">
        <v>571</v>
      </c>
      <c r="T1666" s="1" t="s">
        <v>69</v>
      </c>
      <c r="U1666" s="11" t="s">
        <v>4441</v>
      </c>
      <c r="V1666" s="1" t="s">
        <v>41</v>
      </c>
      <c r="W1666" s="1" t="s">
        <v>49</v>
      </c>
      <c r="X1666" s="13" t="str">
        <f t="shared" si="107"/>
        <v/>
      </c>
      <c r="Y1666" s="2">
        <f t="shared" ca="1" si="108"/>
        <v>3</v>
      </c>
    </row>
    <row r="1667" spans="1:25" hidden="1">
      <c r="A1667" s="1">
        <v>9513179</v>
      </c>
      <c r="B1667" s="1" t="s">
        <v>1153</v>
      </c>
      <c r="C1667" t="s">
        <v>4442</v>
      </c>
      <c r="D1667" s="2">
        <v>20234844000571</v>
      </c>
      <c r="E1667" s="2">
        <v>7417183020603</v>
      </c>
      <c r="F1667" s="1" t="s">
        <v>1313</v>
      </c>
      <c r="G1667" s="1" t="s">
        <v>53</v>
      </c>
      <c r="H1667" s="1" t="s">
        <v>2850</v>
      </c>
      <c r="I1667" s="1" t="s">
        <v>2851</v>
      </c>
      <c r="J1667" s="1" t="s">
        <v>46</v>
      </c>
      <c r="K1667" t="s">
        <v>1316</v>
      </c>
      <c r="M1667" s="1" t="s">
        <v>58</v>
      </c>
      <c r="N1667" s="1">
        <v>0</v>
      </c>
      <c r="O1667" s="1" t="s">
        <v>36</v>
      </c>
      <c r="P1667" s="11" t="s">
        <v>4443</v>
      </c>
      <c r="R1667" s="1">
        <v>13</v>
      </c>
      <c r="T1667" s="1" t="s">
        <v>238</v>
      </c>
      <c r="U1667" s="11" t="s">
        <v>4443</v>
      </c>
      <c r="V1667" s="1" t="s">
        <v>41</v>
      </c>
      <c r="W1667" s="1" t="s">
        <v>49</v>
      </c>
      <c r="X1667" s="13" t="str">
        <f t="shared" si="107"/>
        <v>4844.02</v>
      </c>
      <c r="Y1667" s="2">
        <f t="shared" ca="1" si="108"/>
        <v>3</v>
      </c>
    </row>
    <row r="1668" spans="1:25" hidden="1">
      <c r="A1668" s="1">
        <v>9513174</v>
      </c>
      <c r="B1668" s="1" t="s">
        <v>1153</v>
      </c>
      <c r="C1668" t="s">
        <v>4444</v>
      </c>
      <c r="D1668" s="2">
        <v>20234844000570</v>
      </c>
      <c r="E1668" s="2">
        <v>7417183022026</v>
      </c>
      <c r="F1668" s="1" t="s">
        <v>1313</v>
      </c>
      <c r="G1668" s="1" t="s">
        <v>53</v>
      </c>
      <c r="H1668" s="1" t="s">
        <v>3946</v>
      </c>
      <c r="I1668" s="1" t="s">
        <v>3947</v>
      </c>
      <c r="J1668" s="1" t="s">
        <v>46</v>
      </c>
      <c r="K1668" t="s">
        <v>1316</v>
      </c>
      <c r="M1668" s="1" t="s">
        <v>58</v>
      </c>
      <c r="N1668" s="1">
        <v>0</v>
      </c>
      <c r="O1668" s="1" t="s">
        <v>105</v>
      </c>
      <c r="P1668" s="11" t="s">
        <v>4445</v>
      </c>
      <c r="R1668" s="1">
        <v>13</v>
      </c>
      <c r="T1668" s="1" t="s">
        <v>238</v>
      </c>
      <c r="U1668" s="11" t="s">
        <v>4445</v>
      </c>
      <c r="V1668" s="1" t="s">
        <v>41</v>
      </c>
      <c r="W1668" s="1" t="s">
        <v>49</v>
      </c>
      <c r="X1668" s="13" t="str">
        <f t="shared" si="107"/>
        <v>4844.82</v>
      </c>
      <c r="Y1668" s="2">
        <f t="shared" ca="1" si="108"/>
        <v>3</v>
      </c>
    </row>
    <row r="1669" spans="1:25">
      <c r="A1669" s="1">
        <v>9513110</v>
      </c>
      <c r="B1669" s="1" t="s">
        <v>1153</v>
      </c>
      <c r="C1669" t="s">
        <v>4446</v>
      </c>
      <c r="D1669" s="2">
        <v>20231028000011</v>
      </c>
      <c r="E1669" s="2">
        <v>7417163283625</v>
      </c>
      <c r="F1669" s="1" t="s">
        <v>131</v>
      </c>
      <c r="G1669" s="1" t="s">
        <v>53</v>
      </c>
      <c r="H1669" s="1" t="s">
        <v>2107</v>
      </c>
      <c r="I1669" s="1" t="s">
        <v>2108</v>
      </c>
      <c r="J1669" s="1" t="s">
        <v>85</v>
      </c>
      <c r="K1669" t="s">
        <v>132</v>
      </c>
      <c r="M1669" s="1" t="s">
        <v>58</v>
      </c>
      <c r="N1669" s="1">
        <v>0</v>
      </c>
      <c r="O1669" s="1" t="s">
        <v>105</v>
      </c>
      <c r="P1669" s="11" t="s">
        <v>4447</v>
      </c>
      <c r="R1669" s="1">
        <v>14</v>
      </c>
      <c r="T1669" s="1" t="s">
        <v>238</v>
      </c>
      <c r="U1669" s="11" t="s">
        <v>4447</v>
      </c>
      <c r="V1669" s="1" t="s">
        <v>41</v>
      </c>
      <c r="W1669" s="1" t="s">
        <v>49</v>
      </c>
      <c r="X1669" s="13" t="str">
        <f t="shared" si="107"/>
        <v>1028.91</v>
      </c>
      <c r="Y1669" s="2">
        <f t="shared" ca="1" si="108"/>
        <v>3</v>
      </c>
    </row>
    <row r="1670" spans="1:25" hidden="1">
      <c r="A1670" s="1">
        <v>9513049</v>
      </c>
      <c r="B1670" s="1" t="s">
        <v>1153</v>
      </c>
      <c r="C1670" t="s">
        <v>4448</v>
      </c>
      <c r="E1670" s="2">
        <v>1363000203000</v>
      </c>
      <c r="F1670" s="1" t="s">
        <v>454</v>
      </c>
      <c r="G1670" s="1" t="s">
        <v>53</v>
      </c>
      <c r="H1670" s="1" t="s">
        <v>108</v>
      </c>
      <c r="I1670" s="1" t="s">
        <v>109</v>
      </c>
      <c r="J1670" s="1" t="s">
        <v>110</v>
      </c>
      <c r="K1670" t="s">
        <v>457</v>
      </c>
      <c r="M1670" s="1" t="s">
        <v>58</v>
      </c>
      <c r="N1670" s="1">
        <v>0</v>
      </c>
      <c r="O1670" s="1" t="s">
        <v>36</v>
      </c>
      <c r="P1670" s="11" t="s">
        <v>4449</v>
      </c>
      <c r="R1670" s="1">
        <v>1</v>
      </c>
      <c r="T1670" s="1" t="s">
        <v>157</v>
      </c>
      <c r="U1670" s="11" t="s">
        <v>4450</v>
      </c>
      <c r="V1670" s="1" t="s">
        <v>41</v>
      </c>
      <c r="W1670" s="1" t="s">
        <v>49</v>
      </c>
      <c r="X1670" s="13" t="str">
        <f t="shared" si="107"/>
        <v/>
      </c>
      <c r="Y1670" s="2">
        <f t="shared" ca="1" si="108"/>
        <v>3</v>
      </c>
    </row>
    <row r="1671" spans="1:25" hidden="1">
      <c r="A1671" s="1">
        <v>9512960</v>
      </c>
      <c r="B1671" s="1" t="s">
        <v>1153</v>
      </c>
      <c r="C1671" t="s">
        <v>4451</v>
      </c>
      <c r="E1671" s="2">
        <v>3802000206001</v>
      </c>
      <c r="F1671" s="1" t="s">
        <v>29</v>
      </c>
      <c r="G1671" s="1" t="s">
        <v>53</v>
      </c>
      <c r="H1671" s="1" t="s">
        <v>319</v>
      </c>
      <c r="I1671" s="1" t="s">
        <v>320</v>
      </c>
      <c r="J1671" s="1" t="s">
        <v>148</v>
      </c>
      <c r="K1671" t="s">
        <v>34</v>
      </c>
      <c r="M1671" s="1" t="s">
        <v>35</v>
      </c>
      <c r="N1671" s="1">
        <v>42318949</v>
      </c>
      <c r="O1671" s="1" t="s">
        <v>36</v>
      </c>
      <c r="P1671" s="11" t="s">
        <v>4452</v>
      </c>
      <c r="R1671" s="1" t="s">
        <v>38</v>
      </c>
      <c r="T1671" s="1" t="s">
        <v>74</v>
      </c>
      <c r="U1671" s="11" t="s">
        <v>4453</v>
      </c>
      <c r="V1671" s="1" t="s">
        <v>41</v>
      </c>
      <c r="W1671" s="1" t="s">
        <v>49</v>
      </c>
      <c r="X1671" s="13" t="str">
        <f t="shared" si="107"/>
        <v/>
      </c>
      <c r="Y1671" s="2">
        <f t="shared" ca="1" si="108"/>
        <v>3</v>
      </c>
    </row>
    <row r="1672" spans="1:25" hidden="1">
      <c r="A1672" s="1">
        <v>9512809</v>
      </c>
      <c r="B1672" s="1" t="s">
        <v>1153</v>
      </c>
      <c r="C1672" t="s">
        <v>4454</v>
      </c>
      <c r="E1672" s="2">
        <v>2156000206021</v>
      </c>
      <c r="F1672" s="1" t="s">
        <v>103</v>
      </c>
      <c r="G1672" s="1" t="s">
        <v>53</v>
      </c>
      <c r="H1672" s="1" t="s">
        <v>278</v>
      </c>
      <c r="I1672" s="1" t="s">
        <v>279</v>
      </c>
      <c r="J1672" s="1" t="s">
        <v>211</v>
      </c>
      <c r="K1672" t="s">
        <v>104</v>
      </c>
      <c r="M1672" s="1" t="s">
        <v>58</v>
      </c>
      <c r="N1672" s="1">
        <v>0</v>
      </c>
      <c r="O1672" s="1" t="s">
        <v>36</v>
      </c>
      <c r="P1672" s="11" t="s">
        <v>4455</v>
      </c>
      <c r="R1672" s="1" t="s">
        <v>38</v>
      </c>
      <c r="T1672" s="1" t="s">
        <v>74</v>
      </c>
      <c r="U1672" s="11" t="s">
        <v>4456</v>
      </c>
      <c r="V1672" s="1" t="s">
        <v>41</v>
      </c>
      <c r="W1672" s="1" t="s">
        <v>49</v>
      </c>
      <c r="X1672" s="13" t="str">
        <f t="shared" si="107"/>
        <v/>
      </c>
      <c r="Y1672" s="2">
        <f t="shared" ca="1" si="108"/>
        <v>3</v>
      </c>
    </row>
    <row r="1673" spans="1:25" hidden="1">
      <c r="A1673" s="1">
        <v>9512739</v>
      </c>
      <c r="B1673" s="1" t="s">
        <v>1153</v>
      </c>
      <c r="C1673" t="s">
        <v>4100</v>
      </c>
      <c r="E1673" s="2">
        <v>3250000206001</v>
      </c>
      <c r="F1673" s="1" t="s">
        <v>29</v>
      </c>
      <c r="G1673" s="1" t="s">
        <v>53</v>
      </c>
      <c r="H1673" s="1" t="s">
        <v>371</v>
      </c>
      <c r="I1673" s="1" t="s">
        <v>372</v>
      </c>
      <c r="J1673" s="1" t="s">
        <v>46</v>
      </c>
      <c r="K1673" t="s">
        <v>34</v>
      </c>
      <c r="M1673" s="1" t="s">
        <v>35</v>
      </c>
      <c r="N1673" s="1">
        <v>42318949</v>
      </c>
      <c r="O1673" s="1" t="s">
        <v>36</v>
      </c>
      <c r="P1673" s="11" t="s">
        <v>4457</v>
      </c>
      <c r="R1673" s="1" t="s">
        <v>38</v>
      </c>
      <c r="T1673" s="1" t="s">
        <v>74</v>
      </c>
      <c r="U1673" s="11" t="s">
        <v>4458</v>
      </c>
      <c r="V1673" s="1" t="s">
        <v>41</v>
      </c>
      <c r="W1673" s="1" t="s">
        <v>49</v>
      </c>
      <c r="X1673" s="13" t="str">
        <f t="shared" si="107"/>
        <v/>
      </c>
      <c r="Y1673" s="2">
        <f t="shared" ca="1" si="108"/>
        <v>3</v>
      </c>
    </row>
    <row r="1674" spans="1:25" hidden="1">
      <c r="A1674" s="1">
        <v>9512618</v>
      </c>
      <c r="B1674" s="1" t="s">
        <v>1153</v>
      </c>
      <c r="C1674" t="s">
        <v>4101</v>
      </c>
      <c r="D1674" s="2">
        <v>20234804001944</v>
      </c>
      <c r="E1674" s="2">
        <v>7417193471487</v>
      </c>
      <c r="F1674" s="1" t="s">
        <v>2698</v>
      </c>
      <c r="G1674" s="1" t="s">
        <v>53</v>
      </c>
      <c r="H1674" s="1" t="s">
        <v>4102</v>
      </c>
      <c r="I1674" s="1" t="s">
        <v>4103</v>
      </c>
      <c r="J1674" s="1" t="s">
        <v>46</v>
      </c>
      <c r="K1674" t="s">
        <v>2701</v>
      </c>
      <c r="M1674" s="1" t="s">
        <v>58</v>
      </c>
      <c r="N1674" s="1">
        <v>0</v>
      </c>
      <c r="O1674" s="1" t="s">
        <v>105</v>
      </c>
      <c r="P1674" s="11" t="s">
        <v>4459</v>
      </c>
      <c r="R1674" s="1">
        <v>13</v>
      </c>
      <c r="S1674" s="1">
        <v>4804</v>
      </c>
      <c r="T1674" s="1" t="s">
        <v>238</v>
      </c>
      <c r="U1674" s="11" t="s">
        <v>3639</v>
      </c>
      <c r="V1674" s="1" t="s">
        <v>41</v>
      </c>
      <c r="W1674" s="1" t="s">
        <v>49</v>
      </c>
      <c r="X1674" s="13" t="str">
        <f t="shared" si="107"/>
        <v>7802.55</v>
      </c>
      <c r="Y1674" s="2">
        <f t="shared" ca="1" si="108"/>
        <v>3</v>
      </c>
    </row>
    <row r="1675" spans="1:25" hidden="1">
      <c r="A1675" s="1">
        <v>9512586</v>
      </c>
      <c r="B1675" s="1" t="s">
        <v>1153</v>
      </c>
      <c r="C1675" t="s">
        <v>4104</v>
      </c>
      <c r="E1675" s="2">
        <v>3613200206001</v>
      </c>
      <c r="F1675" s="1" t="s">
        <v>29</v>
      </c>
      <c r="G1675" s="1" t="s">
        <v>53</v>
      </c>
      <c r="H1675" s="1" t="s">
        <v>496</v>
      </c>
      <c r="I1675" s="1" t="s">
        <v>198</v>
      </c>
      <c r="J1675" s="1" t="s">
        <v>46</v>
      </c>
      <c r="K1675" t="s">
        <v>34</v>
      </c>
      <c r="M1675" s="1" t="s">
        <v>35</v>
      </c>
      <c r="N1675" s="1">
        <v>42318949</v>
      </c>
      <c r="O1675" s="1" t="s">
        <v>36</v>
      </c>
      <c r="P1675" s="11" t="s">
        <v>4460</v>
      </c>
      <c r="R1675" s="1" t="s">
        <v>38</v>
      </c>
      <c r="T1675" s="1" t="s">
        <v>74</v>
      </c>
      <c r="U1675" s="11" t="s">
        <v>4461</v>
      </c>
      <c r="V1675" s="1" t="s">
        <v>41</v>
      </c>
      <c r="W1675" s="1" t="s">
        <v>49</v>
      </c>
      <c r="X1675" s="13" t="str">
        <f t="shared" si="107"/>
        <v>3613.20</v>
      </c>
      <c r="Y1675" s="2">
        <f t="shared" ca="1" si="108"/>
        <v>3</v>
      </c>
    </row>
    <row r="1676" spans="1:25" hidden="1">
      <c r="A1676" s="1">
        <v>9512585</v>
      </c>
      <c r="B1676" s="1" t="s">
        <v>1153</v>
      </c>
      <c r="C1676" t="s">
        <v>4105</v>
      </c>
      <c r="E1676" s="2">
        <v>220000206001</v>
      </c>
      <c r="F1676" s="1" t="s">
        <v>29</v>
      </c>
      <c r="G1676" s="1" t="s">
        <v>53</v>
      </c>
      <c r="H1676" s="1" t="s">
        <v>588</v>
      </c>
      <c r="I1676" s="1" t="s">
        <v>589</v>
      </c>
      <c r="J1676" s="1" t="s">
        <v>110</v>
      </c>
      <c r="K1676" t="s">
        <v>34</v>
      </c>
      <c r="M1676" s="1" t="s">
        <v>35</v>
      </c>
      <c r="N1676" s="1">
        <v>42318949</v>
      </c>
      <c r="O1676" s="1" t="s">
        <v>36</v>
      </c>
      <c r="P1676" s="11" t="s">
        <v>4462</v>
      </c>
      <c r="R1676" s="1" t="s">
        <v>38</v>
      </c>
      <c r="T1676" s="1" t="s">
        <v>74</v>
      </c>
      <c r="U1676" s="11" t="s">
        <v>4463</v>
      </c>
      <c r="V1676" s="1" t="s">
        <v>41</v>
      </c>
      <c r="W1676" s="1" t="s">
        <v>49</v>
      </c>
      <c r="X1676" s="13" t="str">
        <f t="shared" si="107"/>
        <v/>
      </c>
      <c r="Y1676" s="2">
        <f t="shared" ca="1" si="108"/>
        <v>3</v>
      </c>
    </row>
    <row r="1677" spans="1:25" hidden="1">
      <c r="A1677" s="1">
        <v>9512576</v>
      </c>
      <c r="B1677" s="1" t="s">
        <v>1153</v>
      </c>
      <c r="C1677" t="s">
        <v>4106</v>
      </c>
      <c r="E1677" s="2">
        <v>3918000203000</v>
      </c>
      <c r="F1677" s="1" t="s">
        <v>454</v>
      </c>
      <c r="G1677" s="1" t="s">
        <v>53</v>
      </c>
      <c r="H1677" s="1" t="s">
        <v>858</v>
      </c>
      <c r="I1677" s="1" t="s">
        <v>859</v>
      </c>
      <c r="J1677" s="1" t="s">
        <v>33</v>
      </c>
      <c r="K1677" t="s">
        <v>457</v>
      </c>
      <c r="M1677" s="1" t="s">
        <v>58</v>
      </c>
      <c r="N1677" s="1">
        <v>0</v>
      </c>
      <c r="O1677" s="1" t="s">
        <v>36</v>
      </c>
      <c r="P1677" s="11" t="s">
        <v>4464</v>
      </c>
      <c r="R1677" s="1">
        <v>1</v>
      </c>
      <c r="T1677" s="1" t="s">
        <v>157</v>
      </c>
      <c r="U1677" s="11" t="s">
        <v>4465</v>
      </c>
      <c r="V1677" s="1" t="s">
        <v>41</v>
      </c>
      <c r="W1677" s="1" t="s">
        <v>49</v>
      </c>
      <c r="X1677" s="13" t="str">
        <f t="shared" si="107"/>
        <v/>
      </c>
      <c r="Y1677" s="2">
        <f t="shared" ca="1" si="108"/>
        <v>3</v>
      </c>
    </row>
    <row r="1678" spans="1:25" hidden="1">
      <c r="A1678" s="1">
        <v>9512572</v>
      </c>
      <c r="B1678" s="1" t="s">
        <v>1153</v>
      </c>
      <c r="C1678" t="s">
        <v>4107</v>
      </c>
      <c r="E1678" s="2">
        <v>1049000203000</v>
      </c>
      <c r="F1678" s="1" t="s">
        <v>454</v>
      </c>
      <c r="G1678" s="1" t="s">
        <v>53</v>
      </c>
      <c r="H1678" s="1" t="s">
        <v>169</v>
      </c>
      <c r="I1678" s="1" t="s">
        <v>170</v>
      </c>
      <c r="J1678" s="1" t="s">
        <v>164</v>
      </c>
      <c r="K1678" t="s">
        <v>457</v>
      </c>
      <c r="M1678" s="1" t="s">
        <v>58</v>
      </c>
      <c r="N1678" s="1">
        <v>0</v>
      </c>
      <c r="O1678" s="1" t="s">
        <v>36</v>
      </c>
      <c r="P1678" s="11" t="s">
        <v>4466</v>
      </c>
      <c r="R1678" s="1">
        <v>1</v>
      </c>
      <c r="T1678" s="1" t="s">
        <v>157</v>
      </c>
      <c r="U1678" s="11" t="s">
        <v>4467</v>
      </c>
      <c r="V1678" s="1" t="s">
        <v>41</v>
      </c>
      <c r="W1678" s="1" t="s">
        <v>49</v>
      </c>
      <c r="X1678" s="13" t="str">
        <f t="shared" si="107"/>
        <v/>
      </c>
      <c r="Y1678" s="2">
        <f t="shared" ca="1" si="108"/>
        <v>3</v>
      </c>
    </row>
    <row r="1679" spans="1:25" hidden="1">
      <c r="A1679" s="1">
        <v>9512570</v>
      </c>
      <c r="B1679" s="1" t="s">
        <v>1153</v>
      </c>
      <c r="C1679" t="s">
        <v>4108</v>
      </c>
      <c r="E1679" s="2">
        <v>2156000203000</v>
      </c>
      <c r="F1679" s="1" t="s">
        <v>454</v>
      </c>
      <c r="G1679" s="1" t="s">
        <v>53</v>
      </c>
      <c r="H1679" s="1" t="s">
        <v>278</v>
      </c>
      <c r="I1679" s="1" t="s">
        <v>279</v>
      </c>
      <c r="J1679" s="1" t="s">
        <v>211</v>
      </c>
      <c r="K1679" t="s">
        <v>457</v>
      </c>
      <c r="M1679" s="1" t="s">
        <v>58</v>
      </c>
      <c r="N1679" s="1">
        <v>0</v>
      </c>
      <c r="O1679" s="1" t="s">
        <v>36</v>
      </c>
      <c r="P1679" s="11" t="s">
        <v>4468</v>
      </c>
      <c r="R1679" s="1">
        <v>1</v>
      </c>
      <c r="T1679" s="1" t="s">
        <v>157</v>
      </c>
      <c r="U1679" s="11" t="s">
        <v>4469</v>
      </c>
      <c r="V1679" s="1" t="s">
        <v>41</v>
      </c>
      <c r="W1679" s="1" t="s">
        <v>49</v>
      </c>
      <c r="X1679" s="13" t="str">
        <f t="shared" si="107"/>
        <v/>
      </c>
      <c r="Y1679" s="2">
        <f t="shared" ca="1" si="108"/>
        <v>3</v>
      </c>
    </row>
    <row r="1680" spans="1:25" hidden="1">
      <c r="A1680" s="1">
        <v>9512560</v>
      </c>
      <c r="B1680" s="1" t="s">
        <v>1153</v>
      </c>
      <c r="C1680" t="s">
        <v>4110</v>
      </c>
      <c r="E1680" s="2">
        <v>1245000206001</v>
      </c>
      <c r="F1680" s="1" t="s">
        <v>29</v>
      </c>
      <c r="G1680" s="1" t="s">
        <v>53</v>
      </c>
      <c r="H1680" s="1" t="s">
        <v>408</v>
      </c>
      <c r="I1680" s="1" t="s">
        <v>409</v>
      </c>
      <c r="J1680" s="1" t="s">
        <v>46</v>
      </c>
      <c r="K1680" t="s">
        <v>34</v>
      </c>
      <c r="M1680" s="1" t="s">
        <v>35</v>
      </c>
      <c r="N1680" s="1">
        <v>42318949</v>
      </c>
      <c r="O1680" s="1" t="s">
        <v>36</v>
      </c>
      <c r="P1680" s="11" t="s">
        <v>4470</v>
      </c>
      <c r="R1680" s="1" t="s">
        <v>38</v>
      </c>
      <c r="T1680" s="1" t="s">
        <v>74</v>
      </c>
      <c r="U1680" s="11" t="s">
        <v>4471</v>
      </c>
      <c r="V1680" s="1" t="s">
        <v>41</v>
      </c>
      <c r="W1680" s="1" t="s">
        <v>49</v>
      </c>
      <c r="X1680" s="13" t="str">
        <f t="shared" si="107"/>
        <v/>
      </c>
      <c r="Y1680" s="2">
        <f t="shared" ca="1" si="108"/>
        <v>3</v>
      </c>
    </row>
    <row r="1681" spans="1:25" hidden="1">
      <c r="A1681" s="1">
        <v>9512556</v>
      </c>
      <c r="B1681" s="1" t="s">
        <v>1153</v>
      </c>
      <c r="C1681" t="s">
        <v>4111</v>
      </c>
      <c r="E1681" s="2">
        <v>1943000206001</v>
      </c>
      <c r="F1681" s="1" t="s">
        <v>29</v>
      </c>
      <c r="G1681" s="1" t="s">
        <v>53</v>
      </c>
      <c r="H1681" s="1" t="s">
        <v>264</v>
      </c>
      <c r="I1681" s="1" t="s">
        <v>265</v>
      </c>
      <c r="J1681" s="1" t="s">
        <v>56</v>
      </c>
      <c r="K1681" t="s">
        <v>34</v>
      </c>
      <c r="M1681" s="1" t="s">
        <v>35</v>
      </c>
      <c r="N1681" s="1">
        <v>42318949</v>
      </c>
      <c r="O1681" s="1" t="s">
        <v>36</v>
      </c>
      <c r="P1681" s="11" t="s">
        <v>4472</v>
      </c>
      <c r="R1681" s="1" t="s">
        <v>38</v>
      </c>
      <c r="T1681" s="1" t="s">
        <v>74</v>
      </c>
      <c r="U1681" s="11" t="s">
        <v>4463</v>
      </c>
      <c r="V1681" s="1" t="s">
        <v>41</v>
      </c>
      <c r="W1681" s="1" t="s">
        <v>49</v>
      </c>
      <c r="X1681" s="13" t="str">
        <f t="shared" si="107"/>
        <v/>
      </c>
      <c r="Y1681" s="2">
        <f t="shared" ca="1" si="108"/>
        <v>3</v>
      </c>
    </row>
    <row r="1682" spans="1:25" hidden="1">
      <c r="A1682" s="1">
        <v>9512544</v>
      </c>
      <c r="B1682" s="1" t="s">
        <v>1153</v>
      </c>
      <c r="C1682" t="s">
        <v>4113</v>
      </c>
      <c r="E1682" s="2">
        <v>2988000206001</v>
      </c>
      <c r="F1682" s="1" t="s">
        <v>29</v>
      </c>
      <c r="G1682" s="1" t="s">
        <v>53</v>
      </c>
      <c r="H1682" s="1" t="s">
        <v>536</v>
      </c>
      <c r="I1682" s="1" t="s">
        <v>537</v>
      </c>
      <c r="J1682" s="1" t="s">
        <v>46</v>
      </c>
      <c r="K1682" t="s">
        <v>34</v>
      </c>
      <c r="M1682" s="1" t="s">
        <v>35</v>
      </c>
      <c r="N1682" s="1">
        <v>42318949</v>
      </c>
      <c r="O1682" s="1" t="s">
        <v>36</v>
      </c>
      <c r="P1682" s="11" t="s">
        <v>4473</v>
      </c>
      <c r="R1682" s="1" t="s">
        <v>38</v>
      </c>
      <c r="T1682" s="1" t="s">
        <v>74</v>
      </c>
      <c r="U1682" s="11" t="s">
        <v>4458</v>
      </c>
      <c r="V1682" s="1" t="s">
        <v>41</v>
      </c>
      <c r="W1682" s="1" t="s">
        <v>49</v>
      </c>
      <c r="X1682" s="13" t="str">
        <f t="shared" si="107"/>
        <v/>
      </c>
      <c r="Y1682" s="2">
        <f t="shared" ca="1" si="108"/>
        <v>3</v>
      </c>
    </row>
    <row r="1683" spans="1:25" hidden="1">
      <c r="A1683" s="1">
        <v>9512400</v>
      </c>
      <c r="B1683" s="1" t="s">
        <v>1153</v>
      </c>
      <c r="C1683" t="s">
        <v>4117</v>
      </c>
      <c r="E1683" s="2">
        <v>1792000206001</v>
      </c>
      <c r="F1683" s="1" t="s">
        <v>29</v>
      </c>
      <c r="G1683" s="1" t="s">
        <v>53</v>
      </c>
      <c r="H1683" s="1" t="s">
        <v>467</v>
      </c>
      <c r="I1683" s="1" t="s">
        <v>468</v>
      </c>
      <c r="J1683" s="1" t="s">
        <v>110</v>
      </c>
      <c r="K1683" t="s">
        <v>34</v>
      </c>
      <c r="M1683" s="1" t="s">
        <v>35</v>
      </c>
      <c r="N1683" s="1">
        <v>42318949</v>
      </c>
      <c r="O1683" s="1" t="s">
        <v>36</v>
      </c>
      <c r="P1683" s="11" t="s">
        <v>4474</v>
      </c>
      <c r="R1683" s="1" t="s">
        <v>38</v>
      </c>
      <c r="T1683" s="1" t="s">
        <v>74</v>
      </c>
      <c r="U1683" s="11" t="s">
        <v>4148</v>
      </c>
      <c r="V1683" s="1" t="s">
        <v>41</v>
      </c>
      <c r="W1683" s="1" t="s">
        <v>49</v>
      </c>
      <c r="X1683" s="13" t="str">
        <f t="shared" si="107"/>
        <v/>
      </c>
      <c r="Y1683" s="2">
        <f t="shared" ca="1" si="108"/>
        <v>3</v>
      </c>
    </row>
    <row r="1684" spans="1:25">
      <c r="A1684" s="1">
        <v>9512325</v>
      </c>
      <c r="B1684" s="1" t="s">
        <v>1153</v>
      </c>
      <c r="C1684" t="s">
        <v>4118</v>
      </c>
      <c r="E1684" s="2">
        <v>981000206001</v>
      </c>
      <c r="F1684" s="1" t="s">
        <v>29</v>
      </c>
      <c r="G1684" s="1" t="s">
        <v>53</v>
      </c>
      <c r="H1684" s="1" t="s">
        <v>410</v>
      </c>
      <c r="I1684" s="1" t="s">
        <v>411</v>
      </c>
      <c r="J1684" s="1" t="s">
        <v>85</v>
      </c>
      <c r="K1684" t="s">
        <v>34</v>
      </c>
      <c r="M1684" s="1" t="s">
        <v>35</v>
      </c>
      <c r="N1684" s="1">
        <v>42318949</v>
      </c>
      <c r="O1684" s="1" t="s">
        <v>36</v>
      </c>
      <c r="P1684" s="11" t="s">
        <v>4475</v>
      </c>
      <c r="R1684" s="1" t="s">
        <v>38</v>
      </c>
      <c r="T1684" s="1" t="s">
        <v>74</v>
      </c>
      <c r="U1684" s="11" t="s">
        <v>4476</v>
      </c>
      <c r="V1684" s="1" t="s">
        <v>41</v>
      </c>
      <c r="W1684" s="1" t="s">
        <v>49</v>
      </c>
      <c r="X1684" s="13" t="str">
        <f t="shared" si="107"/>
        <v/>
      </c>
      <c r="Y1684" s="2">
        <f t="shared" ca="1" si="108"/>
        <v>3</v>
      </c>
    </row>
    <row r="1685" spans="1:25" hidden="1">
      <c r="A1685" s="1">
        <v>9512236</v>
      </c>
      <c r="B1685" s="1" t="s">
        <v>1153</v>
      </c>
      <c r="C1685" t="s">
        <v>4120</v>
      </c>
      <c r="E1685" s="2">
        <v>4076000206001</v>
      </c>
      <c r="F1685" s="1" t="s">
        <v>29</v>
      </c>
      <c r="G1685" s="1" t="s">
        <v>53</v>
      </c>
      <c r="H1685" s="1" t="s">
        <v>426</v>
      </c>
      <c r="I1685" s="1" t="s">
        <v>427</v>
      </c>
      <c r="J1685" s="1" t="s">
        <v>79</v>
      </c>
      <c r="K1685" t="s">
        <v>34</v>
      </c>
      <c r="M1685" s="1" t="s">
        <v>35</v>
      </c>
      <c r="N1685" s="1">
        <v>42318949</v>
      </c>
      <c r="O1685" s="1" t="s">
        <v>36</v>
      </c>
      <c r="P1685" s="11" t="s">
        <v>4477</v>
      </c>
      <c r="R1685" s="1" t="s">
        <v>38</v>
      </c>
      <c r="T1685" s="1" t="s">
        <v>74</v>
      </c>
      <c r="U1685" s="11" t="s">
        <v>4149</v>
      </c>
      <c r="V1685" s="1" t="s">
        <v>41</v>
      </c>
      <c r="W1685" s="1" t="s">
        <v>49</v>
      </c>
      <c r="X1685" s="13" t="str">
        <f t="shared" si="107"/>
        <v/>
      </c>
      <c r="Y1685" s="2">
        <f t="shared" ca="1" si="108"/>
        <v>3</v>
      </c>
    </row>
    <row r="1686" spans="1:25" hidden="1">
      <c r="A1686" s="1">
        <v>9512203</v>
      </c>
      <c r="B1686" s="1" t="s">
        <v>1153</v>
      </c>
      <c r="C1686" t="s">
        <v>4121</v>
      </c>
      <c r="E1686" s="2">
        <v>570000203000</v>
      </c>
      <c r="F1686" s="1" t="s">
        <v>454</v>
      </c>
      <c r="G1686" s="1" t="s">
        <v>53</v>
      </c>
      <c r="H1686" s="1" t="s">
        <v>434</v>
      </c>
      <c r="I1686" s="1" t="s">
        <v>435</v>
      </c>
      <c r="J1686" s="1" t="s">
        <v>148</v>
      </c>
      <c r="K1686" t="s">
        <v>457</v>
      </c>
      <c r="M1686" s="1" t="s">
        <v>58</v>
      </c>
      <c r="N1686" s="1">
        <v>0</v>
      </c>
      <c r="O1686" s="1" t="s">
        <v>36</v>
      </c>
      <c r="P1686" s="11" t="s">
        <v>4478</v>
      </c>
      <c r="R1686" s="1">
        <v>1</v>
      </c>
      <c r="T1686" s="1" t="s">
        <v>157</v>
      </c>
      <c r="U1686" s="11" t="s">
        <v>4479</v>
      </c>
      <c r="V1686" s="1" t="s">
        <v>41</v>
      </c>
      <c r="W1686" s="1" t="s">
        <v>49</v>
      </c>
      <c r="X1686" s="13" t="str">
        <f t="shared" si="107"/>
        <v/>
      </c>
      <c r="Y1686" s="2">
        <f t="shared" ca="1" si="108"/>
        <v>3</v>
      </c>
    </row>
    <row r="1687" spans="1:25" hidden="1">
      <c r="A1687" s="1">
        <v>9512167</v>
      </c>
      <c r="B1687" s="1" t="s">
        <v>1153</v>
      </c>
      <c r="C1687" t="s">
        <v>4122</v>
      </c>
      <c r="E1687" s="2">
        <v>2238000206001</v>
      </c>
      <c r="F1687" s="1" t="s">
        <v>29</v>
      </c>
      <c r="G1687" s="1" t="s">
        <v>53</v>
      </c>
      <c r="H1687" s="1" t="s">
        <v>707</v>
      </c>
      <c r="I1687" s="1" t="s">
        <v>708</v>
      </c>
      <c r="J1687" s="1" t="s">
        <v>79</v>
      </c>
      <c r="K1687" t="s">
        <v>34</v>
      </c>
      <c r="M1687" s="1" t="s">
        <v>35</v>
      </c>
      <c r="N1687" s="1">
        <v>42318949</v>
      </c>
      <c r="O1687" s="1" t="s">
        <v>36</v>
      </c>
      <c r="P1687" s="11" t="s">
        <v>4480</v>
      </c>
      <c r="R1687" s="1" t="s">
        <v>38</v>
      </c>
      <c r="T1687" s="1" t="s">
        <v>74</v>
      </c>
      <c r="U1687" s="11" t="s">
        <v>4149</v>
      </c>
      <c r="V1687" s="1" t="s">
        <v>41</v>
      </c>
      <c r="W1687" s="1" t="s">
        <v>49</v>
      </c>
      <c r="X1687" s="13" t="str">
        <f t="shared" si="107"/>
        <v/>
      </c>
      <c r="Y1687" s="2">
        <f t="shared" ca="1" si="108"/>
        <v>3</v>
      </c>
    </row>
    <row r="1688" spans="1:25" hidden="1">
      <c r="A1688" s="1">
        <v>9512076</v>
      </c>
      <c r="B1688" s="1" t="s">
        <v>1153</v>
      </c>
      <c r="C1688" t="s">
        <v>4123</v>
      </c>
      <c r="E1688" s="2">
        <v>325000206001</v>
      </c>
      <c r="F1688" s="1" t="s">
        <v>29</v>
      </c>
      <c r="G1688" s="1" t="s">
        <v>53</v>
      </c>
      <c r="H1688" s="1" t="s">
        <v>345</v>
      </c>
      <c r="I1688" s="1" t="s">
        <v>346</v>
      </c>
      <c r="J1688" s="1" t="s">
        <v>46</v>
      </c>
      <c r="K1688" t="s">
        <v>34</v>
      </c>
      <c r="M1688" s="1" t="s">
        <v>35</v>
      </c>
      <c r="N1688" s="1">
        <v>42318949</v>
      </c>
      <c r="O1688" s="1" t="s">
        <v>36</v>
      </c>
      <c r="P1688" s="11" t="s">
        <v>4481</v>
      </c>
      <c r="R1688" s="1" t="s">
        <v>38</v>
      </c>
      <c r="T1688" s="1" t="s">
        <v>74</v>
      </c>
      <c r="U1688" s="11" t="s">
        <v>4458</v>
      </c>
      <c r="V1688" s="1" t="s">
        <v>41</v>
      </c>
      <c r="W1688" s="1" t="s">
        <v>49</v>
      </c>
      <c r="X1688" s="13" t="str">
        <f t="shared" si="107"/>
        <v/>
      </c>
      <c r="Y1688" s="2">
        <f t="shared" ca="1" si="108"/>
        <v>3</v>
      </c>
    </row>
    <row r="1689" spans="1:25" hidden="1">
      <c r="A1689" s="1">
        <v>9512011</v>
      </c>
      <c r="B1689" s="1" t="s">
        <v>1153</v>
      </c>
      <c r="C1689" t="s">
        <v>4124</v>
      </c>
      <c r="E1689" s="2">
        <v>3243000206001</v>
      </c>
      <c r="F1689" s="1" t="s">
        <v>29</v>
      </c>
      <c r="G1689" s="1" t="s">
        <v>53</v>
      </c>
      <c r="H1689" s="1" t="s">
        <v>282</v>
      </c>
      <c r="I1689" s="1" t="s">
        <v>283</v>
      </c>
      <c r="J1689" s="1" t="s">
        <v>46</v>
      </c>
      <c r="K1689" t="s">
        <v>34</v>
      </c>
      <c r="M1689" s="1" t="s">
        <v>35</v>
      </c>
      <c r="N1689" s="1">
        <v>42318949</v>
      </c>
      <c r="O1689" s="1" t="s">
        <v>36</v>
      </c>
      <c r="P1689" s="11" t="s">
        <v>4482</v>
      </c>
      <c r="R1689" s="1" t="s">
        <v>38</v>
      </c>
      <c r="T1689" s="1" t="s">
        <v>74</v>
      </c>
      <c r="U1689" s="11" t="s">
        <v>4483</v>
      </c>
      <c r="V1689" s="1" t="s">
        <v>41</v>
      </c>
      <c r="W1689" s="1" t="s">
        <v>49</v>
      </c>
      <c r="X1689" s="13" t="str">
        <f t="shared" si="107"/>
        <v/>
      </c>
      <c r="Y1689" s="2">
        <f t="shared" ca="1" si="108"/>
        <v>3</v>
      </c>
    </row>
    <row r="1690" spans="1:25" hidden="1">
      <c r="A1690" s="1">
        <v>9512006</v>
      </c>
      <c r="B1690" s="1" t="s">
        <v>1153</v>
      </c>
      <c r="C1690" t="s">
        <v>4125</v>
      </c>
      <c r="E1690" s="2">
        <v>2590000203000</v>
      </c>
      <c r="F1690" s="1" t="s">
        <v>454</v>
      </c>
      <c r="G1690" s="1" t="s">
        <v>53</v>
      </c>
      <c r="H1690" s="1" t="s">
        <v>394</v>
      </c>
      <c r="I1690" s="1" t="s">
        <v>395</v>
      </c>
      <c r="J1690" s="1" t="s">
        <v>148</v>
      </c>
      <c r="K1690" t="s">
        <v>457</v>
      </c>
      <c r="M1690" s="1" t="s">
        <v>58</v>
      </c>
      <c r="N1690" s="1">
        <v>0</v>
      </c>
      <c r="O1690" s="1" t="s">
        <v>36</v>
      </c>
      <c r="P1690" s="11" t="s">
        <v>4484</v>
      </c>
      <c r="R1690" s="1">
        <v>1</v>
      </c>
      <c r="T1690" s="1" t="s">
        <v>157</v>
      </c>
      <c r="U1690" s="11" t="s">
        <v>4485</v>
      </c>
      <c r="V1690" s="1" t="s">
        <v>41</v>
      </c>
      <c r="W1690" s="1" t="s">
        <v>49</v>
      </c>
      <c r="X1690" s="13" t="str">
        <f t="shared" si="107"/>
        <v/>
      </c>
      <c r="Y1690" s="2">
        <f t="shared" ca="1" si="108"/>
        <v>3</v>
      </c>
    </row>
    <row r="1691" spans="1:25" hidden="1">
      <c r="A1691" s="1">
        <v>9511852</v>
      </c>
      <c r="B1691" s="1" t="s">
        <v>1153</v>
      </c>
      <c r="C1691" t="s">
        <v>4126</v>
      </c>
      <c r="E1691" s="2">
        <v>7000206001</v>
      </c>
      <c r="F1691" s="1" t="s">
        <v>29</v>
      </c>
      <c r="G1691" s="1" t="s">
        <v>53</v>
      </c>
      <c r="H1691" s="1" t="s">
        <v>383</v>
      </c>
      <c r="I1691" s="1" t="s">
        <v>384</v>
      </c>
      <c r="J1691" s="1" t="s">
        <v>46</v>
      </c>
      <c r="K1691" t="s">
        <v>34</v>
      </c>
      <c r="M1691" s="1" t="s">
        <v>35</v>
      </c>
      <c r="N1691" s="1">
        <v>42318949</v>
      </c>
      <c r="O1691" s="1" t="s">
        <v>36</v>
      </c>
      <c r="P1691" s="11" t="s">
        <v>4486</v>
      </c>
      <c r="R1691" s="1" t="s">
        <v>38</v>
      </c>
      <c r="T1691" s="1" t="s">
        <v>74</v>
      </c>
      <c r="U1691" s="11" t="s">
        <v>3044</v>
      </c>
      <c r="V1691" s="1" t="s">
        <v>41</v>
      </c>
      <c r="W1691" s="1" t="s">
        <v>49</v>
      </c>
      <c r="X1691" s="13" t="str">
        <f t="shared" si="107"/>
        <v/>
      </c>
      <c r="Y1691" s="2">
        <f t="shared" ca="1" si="108"/>
        <v>3</v>
      </c>
    </row>
    <row r="1692" spans="1:25" hidden="1">
      <c r="A1692" s="1">
        <v>9511825</v>
      </c>
      <c r="B1692" s="1" t="s">
        <v>1153</v>
      </c>
      <c r="C1692" t="s">
        <v>4127</v>
      </c>
      <c r="E1692" s="2">
        <v>1903220206001</v>
      </c>
      <c r="F1692" s="1" t="s">
        <v>29</v>
      </c>
      <c r="G1692" s="1" t="s">
        <v>53</v>
      </c>
      <c r="H1692" s="1" t="s">
        <v>1867</v>
      </c>
      <c r="I1692" s="1" t="s">
        <v>1868</v>
      </c>
      <c r="J1692" s="1" t="s">
        <v>211</v>
      </c>
      <c r="K1692" t="s">
        <v>34</v>
      </c>
      <c r="M1692" s="1" t="s">
        <v>35</v>
      </c>
      <c r="N1692" s="1">
        <v>42318949</v>
      </c>
      <c r="O1692" s="1" t="s">
        <v>36</v>
      </c>
      <c r="P1692" s="11" t="s">
        <v>4487</v>
      </c>
      <c r="R1692" s="1" t="s">
        <v>38</v>
      </c>
      <c r="T1692" s="1" t="s">
        <v>74</v>
      </c>
      <c r="U1692" s="11" t="s">
        <v>4476</v>
      </c>
      <c r="V1692" s="1" t="s">
        <v>41</v>
      </c>
      <c r="W1692" s="1" t="s">
        <v>49</v>
      </c>
      <c r="X1692" s="13" t="str">
        <f t="shared" si="107"/>
        <v>1903.22</v>
      </c>
      <c r="Y1692" s="2">
        <f t="shared" ca="1" si="108"/>
        <v>3</v>
      </c>
    </row>
    <row r="1693" spans="1:25" hidden="1">
      <c r="A1693" s="1">
        <v>9522300</v>
      </c>
      <c r="B1693" s="1" t="s">
        <v>1153</v>
      </c>
      <c r="C1693" t="s">
        <v>4488</v>
      </c>
      <c r="D1693" s="2">
        <v>20234923000088</v>
      </c>
      <c r="E1693" s="2">
        <v>7417183022495</v>
      </c>
      <c r="F1693" s="1" t="s">
        <v>1313</v>
      </c>
      <c r="G1693" s="1" t="s">
        <v>53</v>
      </c>
      <c r="H1693" s="1" t="s">
        <v>2685</v>
      </c>
      <c r="I1693" s="1" t="s">
        <v>2686</v>
      </c>
      <c r="J1693" s="1" t="s">
        <v>46</v>
      </c>
      <c r="K1693" t="s">
        <v>1316</v>
      </c>
      <c r="M1693" s="1" t="s">
        <v>58</v>
      </c>
      <c r="N1693" s="1">
        <v>0</v>
      </c>
      <c r="O1693" s="1" t="s">
        <v>105</v>
      </c>
      <c r="P1693" s="11" t="s">
        <v>4489</v>
      </c>
      <c r="R1693" s="1">
        <v>14</v>
      </c>
      <c r="T1693" s="1" t="s">
        <v>238</v>
      </c>
      <c r="U1693" s="11" t="s">
        <v>4489</v>
      </c>
      <c r="V1693" s="1" t="s">
        <v>41</v>
      </c>
      <c r="W1693" s="1" t="s">
        <v>49</v>
      </c>
      <c r="X1693" s="13" t="str">
        <f t="shared" si="107"/>
        <v>4923.03</v>
      </c>
      <c r="Y1693" s="2">
        <f t="shared" ca="1" si="108"/>
        <v>2</v>
      </c>
    </row>
    <row r="1694" spans="1:25" hidden="1">
      <c r="A1694" s="1">
        <v>9522291</v>
      </c>
      <c r="B1694" s="1" t="s">
        <v>1153</v>
      </c>
      <c r="C1694" t="s">
        <v>4490</v>
      </c>
      <c r="D1694" s="2">
        <v>20238889000083</v>
      </c>
      <c r="E1694" s="2">
        <v>7417163285355</v>
      </c>
      <c r="F1694" s="1" t="s">
        <v>131</v>
      </c>
      <c r="G1694" s="1" t="s">
        <v>53</v>
      </c>
      <c r="H1694" s="1" t="s">
        <v>2917</v>
      </c>
      <c r="I1694" s="1" t="s">
        <v>2918</v>
      </c>
      <c r="J1694" s="1" t="s">
        <v>33</v>
      </c>
      <c r="K1694" t="s">
        <v>132</v>
      </c>
      <c r="M1694" s="1" t="s">
        <v>58</v>
      </c>
      <c r="N1694" s="1">
        <v>0</v>
      </c>
      <c r="O1694" s="1" t="s">
        <v>105</v>
      </c>
      <c r="P1694" s="11" t="s">
        <v>4491</v>
      </c>
      <c r="R1694" s="1">
        <v>14</v>
      </c>
      <c r="T1694" s="1" t="s">
        <v>238</v>
      </c>
      <c r="U1694" s="11" t="s">
        <v>4491</v>
      </c>
      <c r="V1694" s="1" t="s">
        <v>41</v>
      </c>
      <c r="W1694" s="1" t="s">
        <v>49</v>
      </c>
      <c r="X1694" s="13" t="str">
        <f t="shared" si="107"/>
        <v>8889.02</v>
      </c>
      <c r="Y1694" s="2">
        <f t="shared" ca="1" si="108"/>
        <v>2</v>
      </c>
    </row>
    <row r="1695" spans="1:25" hidden="1">
      <c r="A1695" s="1">
        <v>9522237</v>
      </c>
      <c r="B1695" s="1" t="s">
        <v>1153</v>
      </c>
      <c r="C1695" t="s">
        <v>4492</v>
      </c>
      <c r="E1695" s="2">
        <v>1902016135900</v>
      </c>
      <c r="F1695" s="1" t="s">
        <v>64</v>
      </c>
      <c r="G1695" s="1" t="s">
        <v>53</v>
      </c>
      <c r="H1695" s="1" t="s">
        <v>270</v>
      </c>
      <c r="I1695" s="1" t="s">
        <v>271</v>
      </c>
      <c r="J1695" s="1" t="s">
        <v>141</v>
      </c>
      <c r="K1695" t="s">
        <v>67</v>
      </c>
      <c r="M1695" s="1" t="s">
        <v>35</v>
      </c>
      <c r="N1695" s="1">
        <v>42318949</v>
      </c>
      <c r="O1695" s="1" t="s">
        <v>105</v>
      </c>
      <c r="P1695" s="11" t="s">
        <v>4493</v>
      </c>
      <c r="R1695" s="1" t="s">
        <v>571</v>
      </c>
      <c r="T1695" s="1" t="s">
        <v>69</v>
      </c>
      <c r="U1695" s="11" t="s">
        <v>4494</v>
      </c>
      <c r="V1695" s="1" t="s">
        <v>41</v>
      </c>
      <c r="W1695" s="1" t="s">
        <v>49</v>
      </c>
      <c r="X1695" s="13" t="str">
        <f t="shared" si="107"/>
        <v/>
      </c>
      <c r="Y1695" s="2">
        <f t="shared" ca="1" si="108"/>
        <v>2</v>
      </c>
    </row>
    <row r="1696" spans="1:25" hidden="1">
      <c r="A1696" s="1">
        <v>9522235</v>
      </c>
      <c r="B1696" s="1" t="s">
        <v>1153</v>
      </c>
      <c r="C1696" t="s">
        <v>4495</v>
      </c>
      <c r="D1696" s="2">
        <v>20234923000087</v>
      </c>
      <c r="E1696" s="2">
        <v>7417163283075</v>
      </c>
      <c r="F1696" s="1" t="s">
        <v>131</v>
      </c>
      <c r="G1696" s="1" t="s">
        <v>53</v>
      </c>
      <c r="H1696" s="1" t="s">
        <v>2685</v>
      </c>
      <c r="I1696" s="1" t="s">
        <v>2686</v>
      </c>
      <c r="J1696" s="1" t="s">
        <v>46</v>
      </c>
      <c r="K1696" t="s">
        <v>132</v>
      </c>
      <c r="M1696" s="1" t="s">
        <v>58</v>
      </c>
      <c r="N1696" s="1">
        <v>0</v>
      </c>
      <c r="O1696" s="1" t="s">
        <v>105</v>
      </c>
      <c r="P1696" s="11" t="s">
        <v>4496</v>
      </c>
      <c r="R1696" s="1">
        <v>14</v>
      </c>
      <c r="T1696" s="1" t="s">
        <v>238</v>
      </c>
      <c r="U1696" s="11" t="s">
        <v>4496</v>
      </c>
      <c r="V1696" s="1" t="s">
        <v>41</v>
      </c>
      <c r="W1696" s="1" t="s">
        <v>49</v>
      </c>
      <c r="X1696" s="13" t="str">
        <f t="shared" si="107"/>
        <v>4923.03</v>
      </c>
      <c r="Y1696" s="2">
        <f t="shared" ca="1" si="108"/>
        <v>2</v>
      </c>
    </row>
    <row r="1697" spans="1:25" hidden="1">
      <c r="A1697" s="1">
        <v>9522188</v>
      </c>
      <c r="B1697" s="1" t="s">
        <v>1153</v>
      </c>
      <c r="C1697" t="s">
        <v>4497</v>
      </c>
      <c r="D1697" s="2">
        <v>20234844000606</v>
      </c>
      <c r="E1697" s="2">
        <v>7417163282350</v>
      </c>
      <c r="F1697" s="1" t="s">
        <v>131</v>
      </c>
      <c r="G1697" s="1" t="s">
        <v>53</v>
      </c>
      <c r="H1697" s="1" t="s">
        <v>2992</v>
      </c>
      <c r="I1697" s="1" t="s">
        <v>2993</v>
      </c>
      <c r="J1697" s="1" t="s">
        <v>46</v>
      </c>
      <c r="K1697" t="s">
        <v>132</v>
      </c>
      <c r="M1697" s="1" t="s">
        <v>58</v>
      </c>
      <c r="N1697" s="1">
        <v>0</v>
      </c>
      <c r="O1697" s="1" t="s">
        <v>105</v>
      </c>
      <c r="P1697" s="11" t="s">
        <v>4498</v>
      </c>
      <c r="R1697" s="1">
        <v>13</v>
      </c>
      <c r="T1697" s="1" t="s">
        <v>238</v>
      </c>
      <c r="U1697" s="11" t="s">
        <v>4498</v>
      </c>
      <c r="V1697" s="1" t="s">
        <v>41</v>
      </c>
      <c r="W1697" s="1" t="s">
        <v>49</v>
      </c>
      <c r="X1697" s="13" t="str">
        <f t="shared" si="107"/>
        <v>4844.03</v>
      </c>
      <c r="Y1697" s="2">
        <f t="shared" ca="1" si="108"/>
        <v>2</v>
      </c>
    </row>
    <row r="1698" spans="1:25" hidden="1">
      <c r="A1698" s="1">
        <v>9522172</v>
      </c>
      <c r="B1698" s="1" t="s">
        <v>1153</v>
      </c>
      <c r="C1698" t="s">
        <v>4499</v>
      </c>
      <c r="D1698" s="2">
        <v>20230870000037</v>
      </c>
      <c r="E1698" s="2">
        <v>7419152792401</v>
      </c>
      <c r="F1698" s="1" t="s">
        <v>3536</v>
      </c>
      <c r="G1698" s="1" t="s">
        <v>53</v>
      </c>
      <c r="H1698" s="1" t="s">
        <v>183</v>
      </c>
      <c r="I1698" s="1" t="s">
        <v>184</v>
      </c>
      <c r="J1698" s="1" t="s">
        <v>90</v>
      </c>
      <c r="K1698" t="s">
        <v>3537</v>
      </c>
      <c r="M1698" s="1" t="s">
        <v>58</v>
      </c>
      <c r="N1698" s="1">
        <v>0</v>
      </c>
      <c r="O1698" s="1" t="s">
        <v>105</v>
      </c>
      <c r="P1698" s="11" t="s">
        <v>4500</v>
      </c>
      <c r="R1698" s="1">
        <v>23</v>
      </c>
      <c r="T1698" s="1" t="s">
        <v>1160</v>
      </c>
      <c r="U1698" s="11" t="s">
        <v>4501</v>
      </c>
      <c r="V1698" s="1" t="s">
        <v>41</v>
      </c>
      <c r="W1698" s="1" t="s">
        <v>49</v>
      </c>
      <c r="X1698" s="13" t="str">
        <f t="shared" si="107"/>
        <v/>
      </c>
      <c r="Y1698" s="2">
        <f t="shared" ca="1" si="108"/>
        <v>2</v>
      </c>
    </row>
    <row r="1699" spans="1:25" hidden="1">
      <c r="A1699" s="1">
        <v>9522151</v>
      </c>
      <c r="B1699" s="1" t="s">
        <v>1153</v>
      </c>
      <c r="C1699" t="s">
        <v>4502</v>
      </c>
      <c r="E1699" s="2">
        <v>2693000206001</v>
      </c>
      <c r="F1699" s="1" t="s">
        <v>29</v>
      </c>
      <c r="G1699" s="1" t="s">
        <v>53</v>
      </c>
      <c r="H1699" s="1" t="s">
        <v>253</v>
      </c>
      <c r="I1699" s="1" t="s">
        <v>254</v>
      </c>
      <c r="J1699" s="1" t="s">
        <v>56</v>
      </c>
      <c r="K1699" t="s">
        <v>34</v>
      </c>
      <c r="M1699" s="1" t="s">
        <v>35</v>
      </c>
      <c r="N1699" s="1">
        <v>42318949</v>
      </c>
      <c r="O1699" s="1" t="s">
        <v>36</v>
      </c>
      <c r="P1699" s="11" t="s">
        <v>4503</v>
      </c>
      <c r="R1699" s="1" t="s">
        <v>38</v>
      </c>
      <c r="T1699" s="1" t="s">
        <v>74</v>
      </c>
      <c r="U1699" s="11" t="s">
        <v>4504</v>
      </c>
      <c r="V1699" s="1" t="s">
        <v>41</v>
      </c>
      <c r="W1699" s="1" t="s">
        <v>49</v>
      </c>
      <c r="X1699" s="13" t="str">
        <f t="shared" si="107"/>
        <v/>
      </c>
      <c r="Y1699" s="2">
        <f t="shared" ca="1" si="108"/>
        <v>2</v>
      </c>
    </row>
    <row r="1700" spans="1:25" hidden="1">
      <c r="A1700" s="1">
        <v>9522147</v>
      </c>
      <c r="B1700" s="1" t="s">
        <v>1153</v>
      </c>
      <c r="C1700" t="s">
        <v>4505</v>
      </c>
      <c r="E1700" s="2">
        <v>2081000206001</v>
      </c>
      <c r="F1700" s="1" t="s">
        <v>29</v>
      </c>
      <c r="G1700" s="1" t="s">
        <v>53</v>
      </c>
      <c r="H1700" s="1" t="s">
        <v>590</v>
      </c>
      <c r="I1700" s="1" t="s">
        <v>591</v>
      </c>
      <c r="J1700" s="1" t="s">
        <v>261</v>
      </c>
      <c r="K1700" t="s">
        <v>34</v>
      </c>
      <c r="M1700" s="1" t="s">
        <v>35</v>
      </c>
      <c r="N1700" s="1">
        <v>42318949</v>
      </c>
      <c r="O1700" s="1" t="s">
        <v>36</v>
      </c>
      <c r="P1700" s="11" t="s">
        <v>4506</v>
      </c>
      <c r="R1700" s="1" t="s">
        <v>38</v>
      </c>
      <c r="T1700" s="1" t="s">
        <v>74</v>
      </c>
      <c r="U1700" s="11" t="s">
        <v>4507</v>
      </c>
      <c r="V1700" s="1" t="s">
        <v>41</v>
      </c>
      <c r="W1700" s="1" t="s">
        <v>49</v>
      </c>
      <c r="X1700" s="13" t="str">
        <f t="shared" si="107"/>
        <v/>
      </c>
      <c r="Y1700" s="2">
        <f t="shared" ca="1" si="108"/>
        <v>2</v>
      </c>
    </row>
    <row r="1701" spans="1:25" hidden="1">
      <c r="A1701" s="1">
        <v>9522130</v>
      </c>
      <c r="B1701" s="1" t="s">
        <v>1153</v>
      </c>
      <c r="C1701" t="s">
        <v>4508</v>
      </c>
      <c r="D1701" s="2">
        <v>20234637000015</v>
      </c>
      <c r="E1701" s="2">
        <v>7417163284105</v>
      </c>
      <c r="F1701" s="1" t="s">
        <v>131</v>
      </c>
      <c r="G1701" s="1" t="s">
        <v>53</v>
      </c>
      <c r="H1701" s="1" t="s">
        <v>2004</v>
      </c>
      <c r="I1701" s="1" t="s">
        <v>2005</v>
      </c>
      <c r="J1701" s="1" t="s">
        <v>79</v>
      </c>
      <c r="K1701" t="s">
        <v>132</v>
      </c>
      <c r="M1701" s="1" t="s">
        <v>58</v>
      </c>
      <c r="N1701" s="1">
        <v>0</v>
      </c>
      <c r="O1701" s="1" t="s">
        <v>105</v>
      </c>
      <c r="P1701" s="11" t="s">
        <v>4509</v>
      </c>
      <c r="R1701" s="1">
        <v>14</v>
      </c>
      <c r="T1701" s="1" t="s">
        <v>238</v>
      </c>
      <c r="U1701" s="11" t="s">
        <v>4509</v>
      </c>
      <c r="V1701" s="1" t="s">
        <v>41</v>
      </c>
      <c r="W1701" s="1" t="s">
        <v>49</v>
      </c>
      <c r="X1701" s="13" t="str">
        <f t="shared" si="107"/>
        <v>4637.91</v>
      </c>
      <c r="Y1701" s="2">
        <f t="shared" ca="1" si="108"/>
        <v>2</v>
      </c>
    </row>
    <row r="1702" spans="1:25" hidden="1">
      <c r="A1702" s="1">
        <v>9522124</v>
      </c>
      <c r="B1702" s="1" t="s">
        <v>1153</v>
      </c>
      <c r="C1702" t="s">
        <v>4510</v>
      </c>
      <c r="D1702" s="2">
        <v>20232239000015</v>
      </c>
      <c r="E1702" s="2">
        <v>7417163281692</v>
      </c>
      <c r="F1702" s="1" t="s">
        <v>131</v>
      </c>
      <c r="G1702" s="1" t="s">
        <v>53</v>
      </c>
      <c r="H1702" s="1" t="s">
        <v>2838</v>
      </c>
      <c r="I1702" s="1" t="s">
        <v>2839</v>
      </c>
      <c r="J1702" s="1" t="s">
        <v>261</v>
      </c>
      <c r="K1702" t="s">
        <v>132</v>
      </c>
      <c r="M1702" s="1" t="s">
        <v>58</v>
      </c>
      <c r="N1702" s="1">
        <v>0</v>
      </c>
      <c r="O1702" s="1" t="s">
        <v>105</v>
      </c>
      <c r="P1702" s="11" t="s">
        <v>4511</v>
      </c>
      <c r="R1702" s="1">
        <v>14</v>
      </c>
      <c r="T1702" s="1" t="s">
        <v>238</v>
      </c>
      <c r="U1702" s="11" t="s">
        <v>4511</v>
      </c>
      <c r="V1702" s="1" t="s">
        <v>41</v>
      </c>
      <c r="W1702" s="1" t="s">
        <v>49</v>
      </c>
      <c r="X1702" s="13" t="str">
        <f t="shared" si="107"/>
        <v>2239.91</v>
      </c>
      <c r="Y1702" s="2">
        <f t="shared" ca="1" si="108"/>
        <v>2</v>
      </c>
    </row>
    <row r="1703" spans="1:25" hidden="1">
      <c r="A1703" s="1">
        <v>9522104</v>
      </c>
      <c r="B1703" s="1" t="s">
        <v>1153</v>
      </c>
      <c r="C1703" t="s">
        <v>4512</v>
      </c>
      <c r="E1703" s="2">
        <v>2365000206001</v>
      </c>
      <c r="F1703" s="1" t="s">
        <v>29</v>
      </c>
      <c r="G1703" s="1" t="s">
        <v>53</v>
      </c>
      <c r="H1703" s="1" t="s">
        <v>159</v>
      </c>
      <c r="I1703" s="1" t="s">
        <v>160</v>
      </c>
      <c r="J1703" s="1" t="s">
        <v>46</v>
      </c>
      <c r="K1703" t="s">
        <v>34</v>
      </c>
      <c r="M1703" s="1" t="s">
        <v>35</v>
      </c>
      <c r="N1703" s="1">
        <v>42318949</v>
      </c>
      <c r="O1703" s="1" t="s">
        <v>36</v>
      </c>
      <c r="P1703" s="11" t="s">
        <v>4513</v>
      </c>
      <c r="R1703" s="1" t="s">
        <v>38</v>
      </c>
      <c r="T1703" s="1" t="s">
        <v>74</v>
      </c>
      <c r="U1703" s="11" t="s">
        <v>4514</v>
      </c>
      <c r="V1703" s="1" t="s">
        <v>41</v>
      </c>
      <c r="W1703" s="1" t="s">
        <v>49</v>
      </c>
      <c r="X1703" s="13" t="str">
        <f t="shared" si="107"/>
        <v/>
      </c>
      <c r="Y1703" s="2">
        <f t="shared" ca="1" si="108"/>
        <v>2</v>
      </c>
    </row>
    <row r="1704" spans="1:25" hidden="1">
      <c r="A1704" s="1">
        <v>9522103</v>
      </c>
      <c r="B1704" s="1" t="s">
        <v>62</v>
      </c>
      <c r="C1704" t="s">
        <v>4515</v>
      </c>
      <c r="E1704" s="2">
        <v>1069000203000</v>
      </c>
      <c r="F1704" s="1" t="s">
        <v>454</v>
      </c>
      <c r="G1704" s="1" t="s">
        <v>53</v>
      </c>
      <c r="H1704" s="1" t="s">
        <v>353</v>
      </c>
      <c r="I1704" s="1" t="s">
        <v>354</v>
      </c>
      <c r="J1704" s="1" t="s">
        <v>211</v>
      </c>
      <c r="K1704" t="s">
        <v>457</v>
      </c>
      <c r="M1704" s="1" t="s">
        <v>58</v>
      </c>
      <c r="N1704" s="1">
        <v>0</v>
      </c>
      <c r="O1704" s="1" t="s">
        <v>105</v>
      </c>
      <c r="P1704" s="11" t="s">
        <v>4516</v>
      </c>
      <c r="R1704" s="1">
        <v>1</v>
      </c>
      <c r="T1704" s="1" t="s">
        <v>157</v>
      </c>
      <c r="U1704" s="11" t="s">
        <v>4517</v>
      </c>
      <c r="V1704" s="1" t="s">
        <v>41</v>
      </c>
      <c r="W1704" s="1" t="s">
        <v>49</v>
      </c>
      <c r="X1704" s="13" t="str">
        <f t="shared" si="107"/>
        <v/>
      </c>
      <c r="Y1704" s="2">
        <f t="shared" ca="1" si="108"/>
        <v>2</v>
      </c>
    </row>
    <row r="1705" spans="1:25" hidden="1">
      <c r="A1705" s="1">
        <v>9521971</v>
      </c>
      <c r="B1705" s="1" t="s">
        <v>1153</v>
      </c>
      <c r="C1705" t="s">
        <v>4518</v>
      </c>
      <c r="E1705" s="2">
        <v>2889000206001</v>
      </c>
      <c r="F1705" s="1" t="s">
        <v>29</v>
      </c>
      <c r="G1705" s="1" t="s">
        <v>53</v>
      </c>
      <c r="H1705" s="1" t="s">
        <v>418</v>
      </c>
      <c r="I1705" s="1" t="s">
        <v>419</v>
      </c>
      <c r="J1705" s="1" t="s">
        <v>46</v>
      </c>
      <c r="K1705" t="s">
        <v>34</v>
      </c>
      <c r="M1705" s="1" t="s">
        <v>35</v>
      </c>
      <c r="N1705" s="1">
        <v>42318949</v>
      </c>
      <c r="O1705" s="1" t="s">
        <v>36</v>
      </c>
      <c r="P1705" s="11" t="s">
        <v>4519</v>
      </c>
      <c r="R1705" s="1" t="s">
        <v>38</v>
      </c>
      <c r="T1705" s="1" t="s">
        <v>74</v>
      </c>
      <c r="U1705" s="11" t="s">
        <v>4520</v>
      </c>
      <c r="V1705" s="1" t="s">
        <v>41</v>
      </c>
      <c r="W1705" s="1" t="s">
        <v>49</v>
      </c>
      <c r="X1705" s="13" t="str">
        <f t="shared" si="107"/>
        <v/>
      </c>
      <c r="Y1705" s="2">
        <f t="shared" ca="1" si="108"/>
        <v>2</v>
      </c>
    </row>
    <row r="1706" spans="1:25" hidden="1">
      <c r="A1706" s="1">
        <v>9521964</v>
      </c>
      <c r="B1706" s="1" t="s">
        <v>1153</v>
      </c>
      <c r="C1706" t="s">
        <v>4521</v>
      </c>
      <c r="D1706" s="2">
        <v>20234637000014</v>
      </c>
      <c r="E1706" s="2">
        <v>7419151141178</v>
      </c>
      <c r="F1706" s="1" t="s">
        <v>123</v>
      </c>
      <c r="G1706" s="1" t="s">
        <v>53</v>
      </c>
      <c r="H1706" s="1" t="s">
        <v>2004</v>
      </c>
      <c r="I1706" s="1" t="s">
        <v>2005</v>
      </c>
      <c r="J1706" s="1" t="s">
        <v>79</v>
      </c>
      <c r="K1706" t="s">
        <v>126</v>
      </c>
      <c r="M1706" s="1" t="s">
        <v>58</v>
      </c>
      <c r="N1706" s="1">
        <v>0</v>
      </c>
      <c r="O1706" s="1" t="s">
        <v>105</v>
      </c>
      <c r="P1706" s="11" t="s">
        <v>4522</v>
      </c>
      <c r="R1706" s="1">
        <v>14</v>
      </c>
      <c r="T1706" s="1" t="s">
        <v>238</v>
      </c>
      <c r="U1706" s="11" t="s">
        <v>4522</v>
      </c>
      <c r="V1706" s="1" t="s">
        <v>41</v>
      </c>
      <c r="W1706" s="1" t="s">
        <v>49</v>
      </c>
      <c r="X1706" s="13" t="str">
        <f t="shared" si="107"/>
        <v>4637.91</v>
      </c>
      <c r="Y1706" s="2">
        <f t="shared" ca="1" si="108"/>
        <v>2</v>
      </c>
    </row>
    <row r="1707" spans="1:25" hidden="1">
      <c r="A1707" s="1">
        <v>9521955</v>
      </c>
      <c r="B1707" s="1" t="s">
        <v>1153</v>
      </c>
      <c r="C1707" t="s">
        <v>4523</v>
      </c>
      <c r="D1707" s="2">
        <v>20230870000036</v>
      </c>
      <c r="E1707" s="2">
        <v>7417211830315</v>
      </c>
      <c r="F1707" s="1" t="s">
        <v>1936</v>
      </c>
      <c r="G1707" s="1" t="s">
        <v>53</v>
      </c>
      <c r="H1707" s="1" t="s">
        <v>519</v>
      </c>
      <c r="I1707" s="1" t="s">
        <v>520</v>
      </c>
      <c r="J1707" s="1" t="s">
        <v>90</v>
      </c>
      <c r="K1707" t="s">
        <v>1939</v>
      </c>
      <c r="M1707" s="1" t="s">
        <v>58</v>
      </c>
      <c r="N1707" s="1">
        <v>0</v>
      </c>
      <c r="O1707" s="1" t="s">
        <v>105</v>
      </c>
      <c r="P1707" s="11" t="s">
        <v>4524</v>
      </c>
      <c r="R1707" s="1">
        <v>14</v>
      </c>
      <c r="T1707" s="1" t="s">
        <v>238</v>
      </c>
      <c r="U1707" s="11" t="s">
        <v>4524</v>
      </c>
      <c r="V1707" s="1" t="s">
        <v>41</v>
      </c>
      <c r="W1707" s="1" t="s">
        <v>49</v>
      </c>
      <c r="X1707" s="13" t="str">
        <f t="shared" si="107"/>
        <v>0870.91</v>
      </c>
      <c r="Y1707" s="2">
        <f t="shared" ca="1" si="108"/>
        <v>2</v>
      </c>
    </row>
    <row r="1708" spans="1:25" hidden="1">
      <c r="A1708" s="1">
        <v>9521922</v>
      </c>
      <c r="B1708" s="1" t="s">
        <v>1153</v>
      </c>
      <c r="C1708" t="s">
        <v>4525</v>
      </c>
      <c r="D1708" s="2">
        <v>20230711000023</v>
      </c>
      <c r="E1708" s="2">
        <v>7417210950238</v>
      </c>
      <c r="F1708" s="1" t="s">
        <v>1213</v>
      </c>
      <c r="G1708" s="1" t="s">
        <v>53</v>
      </c>
      <c r="H1708" s="1" t="s">
        <v>2858</v>
      </c>
      <c r="I1708" s="1" t="s">
        <v>2859</v>
      </c>
      <c r="J1708" s="1" t="s">
        <v>79</v>
      </c>
      <c r="K1708" t="s">
        <v>1214</v>
      </c>
      <c r="M1708" s="1" t="s">
        <v>58</v>
      </c>
      <c r="N1708" s="1">
        <v>0</v>
      </c>
      <c r="O1708" s="1" t="s">
        <v>105</v>
      </c>
      <c r="P1708" s="11" t="s">
        <v>4526</v>
      </c>
      <c r="R1708" s="1">
        <v>14</v>
      </c>
      <c r="T1708" s="1" t="s">
        <v>238</v>
      </c>
      <c r="U1708" s="11" t="s">
        <v>4526</v>
      </c>
      <c r="V1708" s="1" t="s">
        <v>41</v>
      </c>
      <c r="W1708" s="1" t="s">
        <v>49</v>
      </c>
      <c r="X1708" s="13" t="str">
        <f t="shared" si="107"/>
        <v>0711.91</v>
      </c>
      <c r="Y1708" s="2">
        <f t="shared" ca="1" si="108"/>
        <v>2</v>
      </c>
    </row>
    <row r="1709" spans="1:25" hidden="1">
      <c r="A1709" s="1">
        <v>9521836</v>
      </c>
      <c r="B1709" s="1" t="s">
        <v>1153</v>
      </c>
      <c r="C1709" t="s">
        <v>4527</v>
      </c>
      <c r="D1709" s="2">
        <v>20230711000022</v>
      </c>
      <c r="E1709" s="2">
        <v>7417211830257</v>
      </c>
      <c r="F1709" s="1" t="s">
        <v>1936</v>
      </c>
      <c r="G1709" s="1" t="s">
        <v>53</v>
      </c>
      <c r="H1709" s="1" t="s">
        <v>2858</v>
      </c>
      <c r="I1709" s="1" t="s">
        <v>2859</v>
      </c>
      <c r="J1709" s="1" t="s">
        <v>79</v>
      </c>
      <c r="K1709" t="s">
        <v>1939</v>
      </c>
      <c r="M1709" s="1" t="s">
        <v>58</v>
      </c>
      <c r="N1709" s="1">
        <v>0</v>
      </c>
      <c r="O1709" s="1" t="s">
        <v>105</v>
      </c>
      <c r="P1709" s="11" t="s">
        <v>4528</v>
      </c>
      <c r="R1709" s="1">
        <v>14</v>
      </c>
      <c r="T1709" s="1" t="s">
        <v>238</v>
      </c>
      <c r="U1709" s="11" t="s">
        <v>4528</v>
      </c>
      <c r="V1709" s="1" t="s">
        <v>41</v>
      </c>
      <c r="W1709" s="1" t="s">
        <v>49</v>
      </c>
      <c r="X1709" s="13" t="str">
        <f t="shared" si="107"/>
        <v>0711.91</v>
      </c>
      <c r="Y1709" s="2">
        <f t="shared" ca="1" si="108"/>
        <v>2</v>
      </c>
    </row>
    <row r="1710" spans="1:25" hidden="1">
      <c r="A1710" s="1">
        <v>9521780</v>
      </c>
      <c r="B1710" s="1" t="s">
        <v>1153</v>
      </c>
      <c r="C1710" t="s">
        <v>4529</v>
      </c>
      <c r="D1710" s="2">
        <v>20234834000423</v>
      </c>
      <c r="E1710" s="2">
        <v>7417183020663</v>
      </c>
      <c r="F1710" s="1" t="s">
        <v>1313</v>
      </c>
      <c r="G1710" s="1" t="s">
        <v>53</v>
      </c>
      <c r="H1710" s="1" t="s">
        <v>2685</v>
      </c>
      <c r="I1710" s="1" t="s">
        <v>2686</v>
      </c>
      <c r="J1710" s="1" t="s">
        <v>46</v>
      </c>
      <c r="K1710" t="s">
        <v>1316</v>
      </c>
      <c r="M1710" s="1" t="s">
        <v>58</v>
      </c>
      <c r="N1710" s="1">
        <v>0</v>
      </c>
      <c r="O1710" s="1" t="s">
        <v>105</v>
      </c>
      <c r="P1710" s="11" t="s">
        <v>4530</v>
      </c>
      <c r="R1710" s="1">
        <v>14</v>
      </c>
      <c r="T1710" s="1" t="s">
        <v>238</v>
      </c>
      <c r="U1710" s="11" t="s">
        <v>4530</v>
      </c>
      <c r="V1710" s="1" t="s">
        <v>41</v>
      </c>
      <c r="W1710" s="1" t="s">
        <v>49</v>
      </c>
      <c r="X1710" s="13" t="str">
        <f t="shared" si="107"/>
        <v>4923.03</v>
      </c>
      <c r="Y1710" s="2">
        <f t="shared" ca="1" si="108"/>
        <v>2</v>
      </c>
    </row>
    <row r="1711" spans="1:25" hidden="1">
      <c r="A1711" s="1">
        <v>9521737</v>
      </c>
      <c r="B1711" s="1" t="s">
        <v>1153</v>
      </c>
      <c r="C1711" t="s">
        <v>4531</v>
      </c>
      <c r="D1711" s="2">
        <v>20232257000020</v>
      </c>
      <c r="E1711" s="2">
        <v>7419151141279</v>
      </c>
      <c r="F1711" s="1" t="s">
        <v>123</v>
      </c>
      <c r="G1711" s="1" t="s">
        <v>53</v>
      </c>
      <c r="H1711" s="1" t="s">
        <v>2326</v>
      </c>
      <c r="I1711" s="1" t="s">
        <v>2327</v>
      </c>
      <c r="J1711" s="1" t="s">
        <v>110</v>
      </c>
      <c r="K1711" t="s">
        <v>126</v>
      </c>
      <c r="M1711" s="1" t="s">
        <v>58</v>
      </c>
      <c r="N1711" s="1">
        <v>0</v>
      </c>
      <c r="O1711" s="1" t="s">
        <v>105</v>
      </c>
      <c r="P1711" s="11" t="s">
        <v>4532</v>
      </c>
      <c r="R1711" s="1">
        <v>14</v>
      </c>
      <c r="T1711" s="1" t="s">
        <v>238</v>
      </c>
      <c r="U1711" s="11" t="s">
        <v>4532</v>
      </c>
      <c r="V1711" s="1" t="s">
        <v>41</v>
      </c>
      <c r="W1711" s="1" t="s">
        <v>49</v>
      </c>
      <c r="X1711" s="13" t="str">
        <f t="shared" si="107"/>
        <v>2257.91</v>
      </c>
      <c r="Y1711" s="2">
        <f t="shared" ca="1" si="108"/>
        <v>2</v>
      </c>
    </row>
    <row r="1712" spans="1:25" hidden="1">
      <c r="A1712" s="1">
        <v>9521687</v>
      </c>
      <c r="B1712" s="1" t="s">
        <v>1153</v>
      </c>
      <c r="C1712" t="s">
        <v>4533</v>
      </c>
      <c r="D1712" s="2">
        <v>20230600000014</v>
      </c>
      <c r="E1712" s="2">
        <v>7417183023816</v>
      </c>
      <c r="F1712" s="1" t="s">
        <v>1313</v>
      </c>
      <c r="G1712" s="1" t="s">
        <v>53</v>
      </c>
      <c r="H1712" s="1" t="s">
        <v>4534</v>
      </c>
      <c r="I1712" s="1" t="s">
        <v>4535</v>
      </c>
      <c r="J1712" s="1" t="s">
        <v>90</v>
      </c>
      <c r="K1712" t="s">
        <v>1316</v>
      </c>
      <c r="M1712" s="1" t="s">
        <v>58</v>
      </c>
      <c r="N1712" s="1">
        <v>0</v>
      </c>
      <c r="O1712" s="1" t="s">
        <v>105</v>
      </c>
      <c r="P1712" s="11" t="s">
        <v>4536</v>
      </c>
      <c r="R1712" s="1">
        <v>14</v>
      </c>
      <c r="T1712" s="1" t="s">
        <v>238</v>
      </c>
      <c r="U1712" s="11" t="s">
        <v>4536</v>
      </c>
      <c r="V1712" s="1" t="s">
        <v>41</v>
      </c>
      <c r="W1712" s="1" t="s">
        <v>49</v>
      </c>
      <c r="X1712" s="13" t="str">
        <f t="shared" si="107"/>
        <v>0600.91</v>
      </c>
      <c r="Y1712" s="2">
        <f t="shared" ca="1" si="108"/>
        <v>2</v>
      </c>
    </row>
    <row r="1713" spans="1:25" hidden="1">
      <c r="A1713" s="1">
        <v>9521671</v>
      </c>
      <c r="B1713" s="1" t="s">
        <v>1153</v>
      </c>
      <c r="C1713" t="s">
        <v>4537</v>
      </c>
      <c r="D1713" s="2">
        <v>20234923000086</v>
      </c>
      <c r="E1713" s="2">
        <v>7417183020097</v>
      </c>
      <c r="F1713" s="1" t="s">
        <v>1313</v>
      </c>
      <c r="G1713" s="1" t="s">
        <v>53</v>
      </c>
      <c r="H1713" s="1" t="s">
        <v>1966</v>
      </c>
      <c r="I1713" s="1" t="s">
        <v>1967</v>
      </c>
      <c r="J1713" s="1" t="s">
        <v>46</v>
      </c>
      <c r="K1713" t="s">
        <v>1316</v>
      </c>
      <c r="M1713" s="1" t="s">
        <v>58</v>
      </c>
      <c r="N1713" s="1">
        <v>0</v>
      </c>
      <c r="O1713" s="1" t="s">
        <v>105</v>
      </c>
      <c r="P1713" s="11" t="s">
        <v>4538</v>
      </c>
      <c r="R1713" s="1">
        <v>13</v>
      </c>
      <c r="T1713" s="1" t="s">
        <v>238</v>
      </c>
      <c r="U1713" s="11" t="s">
        <v>4538</v>
      </c>
      <c r="V1713" s="1" t="s">
        <v>41</v>
      </c>
      <c r="W1713" s="1" t="s">
        <v>49</v>
      </c>
      <c r="X1713" s="13" t="str">
        <f t="shared" si="107"/>
        <v>4923.01</v>
      </c>
      <c r="Y1713" s="2">
        <f t="shared" ca="1" si="108"/>
        <v>2</v>
      </c>
    </row>
    <row r="1714" spans="1:25" hidden="1">
      <c r="A1714" s="1">
        <v>9521670</v>
      </c>
      <c r="B1714" s="1" t="s">
        <v>1153</v>
      </c>
      <c r="C1714" t="s">
        <v>4539</v>
      </c>
      <c r="D1714" s="2">
        <v>20234923000085</v>
      </c>
      <c r="E1714" s="2">
        <v>7417163284808</v>
      </c>
      <c r="F1714" s="1" t="s">
        <v>131</v>
      </c>
      <c r="G1714" s="1" t="s">
        <v>53</v>
      </c>
      <c r="H1714" s="1" t="s">
        <v>1966</v>
      </c>
      <c r="I1714" s="1" t="s">
        <v>1967</v>
      </c>
      <c r="J1714" s="1" t="s">
        <v>46</v>
      </c>
      <c r="K1714" t="s">
        <v>132</v>
      </c>
      <c r="M1714" s="1" t="s">
        <v>58</v>
      </c>
      <c r="N1714" s="1">
        <v>0</v>
      </c>
      <c r="O1714" s="1" t="s">
        <v>105</v>
      </c>
      <c r="P1714" s="11" t="s">
        <v>4540</v>
      </c>
      <c r="R1714" s="1">
        <v>13</v>
      </c>
      <c r="T1714" s="1" t="s">
        <v>238</v>
      </c>
      <c r="U1714" s="11" t="s">
        <v>4540</v>
      </c>
      <c r="V1714" s="1" t="s">
        <v>41</v>
      </c>
      <c r="W1714" s="1" t="s">
        <v>49</v>
      </c>
      <c r="X1714" s="13" t="str">
        <f t="shared" si="107"/>
        <v>4923.01</v>
      </c>
      <c r="Y1714" s="2">
        <f t="shared" ca="1" si="108"/>
        <v>2</v>
      </c>
    </row>
    <row r="1715" spans="1:25" hidden="1">
      <c r="A1715" s="1">
        <v>9521659</v>
      </c>
      <c r="B1715" s="1" t="s">
        <v>1153</v>
      </c>
      <c r="C1715" t="s">
        <v>4541</v>
      </c>
      <c r="D1715" s="2">
        <v>20234844000599</v>
      </c>
      <c r="E1715" s="2">
        <v>7417163283696</v>
      </c>
      <c r="F1715" s="1" t="s">
        <v>131</v>
      </c>
      <c r="G1715" s="1" t="s">
        <v>53</v>
      </c>
      <c r="H1715" s="1" t="s">
        <v>2992</v>
      </c>
      <c r="I1715" s="1" t="s">
        <v>2993</v>
      </c>
      <c r="J1715" s="1" t="s">
        <v>46</v>
      </c>
      <c r="K1715" t="s">
        <v>132</v>
      </c>
      <c r="M1715" s="1" t="s">
        <v>58</v>
      </c>
      <c r="N1715" s="1">
        <v>0</v>
      </c>
      <c r="O1715" s="1" t="s">
        <v>105</v>
      </c>
      <c r="P1715" s="11" t="s">
        <v>4542</v>
      </c>
      <c r="R1715" s="1">
        <v>13</v>
      </c>
      <c r="T1715" s="1" t="s">
        <v>238</v>
      </c>
      <c r="U1715" s="11" t="s">
        <v>4542</v>
      </c>
      <c r="V1715" s="1" t="s">
        <v>41</v>
      </c>
      <c r="W1715" s="1" t="s">
        <v>49</v>
      </c>
      <c r="X1715" s="13" t="str">
        <f t="shared" si="107"/>
        <v>4844.03</v>
      </c>
      <c r="Y1715" s="2">
        <f t="shared" ca="1" si="108"/>
        <v>2</v>
      </c>
    </row>
    <row r="1716" spans="1:25" hidden="1">
      <c r="A1716" s="1">
        <v>9521639</v>
      </c>
      <c r="B1716" s="1" t="s">
        <v>1153</v>
      </c>
      <c r="C1716" t="s">
        <v>4543</v>
      </c>
      <c r="D1716" s="2">
        <v>20232437000026</v>
      </c>
      <c r="E1716" s="2">
        <v>7417163282839</v>
      </c>
      <c r="F1716" s="1" t="s">
        <v>131</v>
      </c>
      <c r="G1716" s="1" t="s">
        <v>53</v>
      </c>
      <c r="H1716" s="1" t="s">
        <v>2418</v>
      </c>
      <c r="I1716" s="1" t="s">
        <v>2419</v>
      </c>
      <c r="J1716" s="1" t="s">
        <v>211</v>
      </c>
      <c r="K1716" t="s">
        <v>132</v>
      </c>
      <c r="M1716" s="1" t="s">
        <v>58</v>
      </c>
      <c r="N1716" s="1">
        <v>0</v>
      </c>
      <c r="O1716" s="1" t="s">
        <v>105</v>
      </c>
      <c r="P1716" s="11" t="s">
        <v>4544</v>
      </c>
      <c r="R1716" s="1">
        <v>14</v>
      </c>
      <c r="T1716" s="1" t="s">
        <v>238</v>
      </c>
      <c r="U1716" s="11" t="s">
        <v>4544</v>
      </c>
      <c r="V1716" s="1" t="s">
        <v>41</v>
      </c>
      <c r="W1716" s="1" t="s">
        <v>49</v>
      </c>
      <c r="X1716" s="13" t="str">
        <f t="shared" si="107"/>
        <v>2437.91</v>
      </c>
      <c r="Y1716" s="2">
        <f t="shared" ca="1" si="108"/>
        <v>2</v>
      </c>
    </row>
    <row r="1717" spans="1:25" hidden="1">
      <c r="A1717" s="1">
        <v>9521627</v>
      </c>
      <c r="B1717" s="1" t="s">
        <v>1153</v>
      </c>
      <c r="C1717" t="s">
        <v>4545</v>
      </c>
      <c r="E1717" s="2">
        <v>1264000203000</v>
      </c>
      <c r="F1717" s="1" t="s">
        <v>454</v>
      </c>
      <c r="G1717" s="1" t="s">
        <v>53</v>
      </c>
      <c r="H1717" s="1" t="s">
        <v>351</v>
      </c>
      <c r="I1717" s="1" t="s">
        <v>352</v>
      </c>
      <c r="J1717" s="1" t="s">
        <v>110</v>
      </c>
      <c r="K1717" t="s">
        <v>457</v>
      </c>
      <c r="M1717" s="1" t="s">
        <v>58</v>
      </c>
      <c r="N1717" s="1">
        <v>0</v>
      </c>
      <c r="O1717" s="1" t="s">
        <v>105</v>
      </c>
      <c r="P1717" s="11" t="s">
        <v>4546</v>
      </c>
      <c r="R1717" s="1">
        <v>1</v>
      </c>
      <c r="T1717" s="1" t="s">
        <v>157</v>
      </c>
      <c r="U1717" s="11" t="s">
        <v>4547</v>
      </c>
      <c r="V1717" s="1" t="s">
        <v>41</v>
      </c>
      <c r="W1717" s="1" t="s">
        <v>49</v>
      </c>
      <c r="X1717" s="13" t="str">
        <f t="shared" si="107"/>
        <v/>
      </c>
      <c r="Y1717" s="2">
        <f t="shared" ca="1" si="108"/>
        <v>2</v>
      </c>
    </row>
    <row r="1718" spans="1:25" hidden="1">
      <c r="A1718" s="1">
        <v>9521622</v>
      </c>
      <c r="B1718" s="1" t="s">
        <v>1924</v>
      </c>
      <c r="C1718" t="s">
        <v>4548</v>
      </c>
      <c r="D1718" s="2">
        <v>20231792000012</v>
      </c>
      <c r="E1718" s="2">
        <v>7417183024674</v>
      </c>
      <c r="F1718" s="1" t="s">
        <v>1313</v>
      </c>
      <c r="G1718" s="1" t="s">
        <v>53</v>
      </c>
      <c r="H1718" s="1" t="s">
        <v>4549</v>
      </c>
      <c r="I1718" s="1" t="s">
        <v>4550</v>
      </c>
      <c r="J1718" s="1" t="s">
        <v>46</v>
      </c>
      <c r="K1718" t="s">
        <v>1316</v>
      </c>
      <c r="M1718" s="1" t="s">
        <v>58</v>
      </c>
      <c r="N1718" s="1">
        <v>0</v>
      </c>
      <c r="O1718" s="1" t="s">
        <v>105</v>
      </c>
      <c r="P1718" s="11" t="s">
        <v>4551</v>
      </c>
      <c r="R1718" s="1">
        <v>15</v>
      </c>
      <c r="T1718" s="1" t="s">
        <v>238</v>
      </c>
      <c r="U1718" s="11" t="s">
        <v>4552</v>
      </c>
      <c r="V1718" s="1" t="s">
        <v>41</v>
      </c>
      <c r="W1718" s="1" t="s">
        <v>49</v>
      </c>
      <c r="X1718" s="13" t="str">
        <f t="shared" si="107"/>
        <v>1792.91</v>
      </c>
      <c r="Y1718" s="2">
        <f t="shared" ca="1" si="108"/>
        <v>2</v>
      </c>
    </row>
    <row r="1719" spans="1:25" hidden="1">
      <c r="A1719" s="1">
        <v>9521613</v>
      </c>
      <c r="B1719" s="1" t="s">
        <v>1153</v>
      </c>
      <c r="C1719" t="s">
        <v>4553</v>
      </c>
      <c r="D1719" s="2">
        <v>20234844000598</v>
      </c>
      <c r="E1719" s="2">
        <v>7417163283018</v>
      </c>
      <c r="F1719" s="1" t="s">
        <v>131</v>
      </c>
      <c r="G1719" s="1" t="s">
        <v>53</v>
      </c>
      <c r="H1719" s="1" t="s">
        <v>2992</v>
      </c>
      <c r="I1719" s="1" t="s">
        <v>2993</v>
      </c>
      <c r="J1719" s="1" t="s">
        <v>46</v>
      </c>
      <c r="K1719" t="s">
        <v>132</v>
      </c>
      <c r="M1719" s="1" t="s">
        <v>58</v>
      </c>
      <c r="N1719" s="1">
        <v>0</v>
      </c>
      <c r="O1719" s="1" t="s">
        <v>105</v>
      </c>
      <c r="P1719" s="11" t="s">
        <v>4554</v>
      </c>
      <c r="R1719" s="1">
        <v>13</v>
      </c>
      <c r="T1719" s="1" t="s">
        <v>238</v>
      </c>
      <c r="U1719" s="11" t="s">
        <v>4554</v>
      </c>
      <c r="V1719" s="1" t="s">
        <v>41</v>
      </c>
      <c r="W1719" s="1" t="s">
        <v>49</v>
      </c>
      <c r="X1719" s="13" t="str">
        <f t="shared" si="107"/>
        <v>4844.03</v>
      </c>
      <c r="Y1719" s="2">
        <f t="shared" ca="1" si="108"/>
        <v>2</v>
      </c>
    </row>
    <row r="1720" spans="1:25" hidden="1">
      <c r="A1720" s="1">
        <v>9521604</v>
      </c>
      <c r="B1720" s="1" t="s">
        <v>1153</v>
      </c>
      <c r="C1720" t="s">
        <v>4555</v>
      </c>
      <c r="D1720" s="2">
        <v>20233924000006</v>
      </c>
      <c r="E1720" s="2">
        <v>7417210950100</v>
      </c>
      <c r="F1720" s="1" t="s">
        <v>1213</v>
      </c>
      <c r="G1720" s="1" t="s">
        <v>53</v>
      </c>
      <c r="H1720" s="1" t="s">
        <v>4556</v>
      </c>
      <c r="I1720" s="1" t="s">
        <v>4557</v>
      </c>
      <c r="J1720" s="1" t="s">
        <v>56</v>
      </c>
      <c r="K1720" t="s">
        <v>1214</v>
      </c>
      <c r="M1720" s="1" t="s">
        <v>58</v>
      </c>
      <c r="N1720" s="1">
        <v>0</v>
      </c>
      <c r="O1720" s="1" t="s">
        <v>105</v>
      </c>
      <c r="P1720" s="11" t="s">
        <v>4558</v>
      </c>
      <c r="R1720" s="1">
        <v>14</v>
      </c>
      <c r="T1720" s="1" t="s">
        <v>238</v>
      </c>
      <c r="U1720" s="11" t="s">
        <v>4558</v>
      </c>
      <c r="V1720" s="1" t="s">
        <v>41</v>
      </c>
      <c r="W1720" s="1" t="s">
        <v>49</v>
      </c>
      <c r="X1720" s="13" t="str">
        <f t="shared" si="107"/>
        <v>3924.91</v>
      </c>
      <c r="Y1720" s="2">
        <f t="shared" ca="1" si="108"/>
        <v>2</v>
      </c>
    </row>
    <row r="1721" spans="1:25" hidden="1">
      <c r="A1721" s="1">
        <v>9521599</v>
      </c>
      <c r="B1721" s="1" t="s">
        <v>1153</v>
      </c>
      <c r="C1721" t="s">
        <v>4559</v>
      </c>
      <c r="D1721" s="2">
        <v>20230870000035</v>
      </c>
      <c r="E1721" s="2">
        <v>8558100221738</v>
      </c>
      <c r="F1721" s="1" t="s">
        <v>2995</v>
      </c>
      <c r="G1721" s="1" t="s">
        <v>53</v>
      </c>
      <c r="H1721" s="1" t="s">
        <v>183</v>
      </c>
      <c r="I1721" s="1" t="s">
        <v>184</v>
      </c>
      <c r="J1721" s="1" t="s">
        <v>90</v>
      </c>
      <c r="K1721" t="s">
        <v>2996</v>
      </c>
      <c r="M1721" s="1" t="s">
        <v>58</v>
      </c>
      <c r="N1721" s="1">
        <v>0</v>
      </c>
      <c r="O1721" s="1" t="s">
        <v>105</v>
      </c>
      <c r="P1721" s="11" t="s">
        <v>4560</v>
      </c>
      <c r="R1721" s="1">
        <v>21</v>
      </c>
      <c r="T1721" s="1" t="s">
        <v>1160</v>
      </c>
      <c r="U1721" s="11" t="s">
        <v>4561</v>
      </c>
      <c r="V1721" s="1" t="s">
        <v>41</v>
      </c>
      <c r="W1721" s="1" t="s">
        <v>49</v>
      </c>
      <c r="X1721" s="13" t="str">
        <f t="shared" si="107"/>
        <v/>
      </c>
      <c r="Y1721" s="2">
        <f t="shared" ca="1" si="108"/>
        <v>2</v>
      </c>
    </row>
    <row r="1722" spans="1:25" hidden="1">
      <c r="A1722" s="1">
        <v>9521591</v>
      </c>
      <c r="B1722" s="1" t="s">
        <v>1153</v>
      </c>
      <c r="C1722" t="s">
        <v>4562</v>
      </c>
      <c r="E1722" s="2">
        <v>1814000203000</v>
      </c>
      <c r="F1722" s="1" t="s">
        <v>454</v>
      </c>
      <c r="G1722" s="1" t="s">
        <v>53</v>
      </c>
      <c r="H1722" s="1" t="s">
        <v>396</v>
      </c>
      <c r="I1722" s="1" t="s">
        <v>397</v>
      </c>
      <c r="J1722" s="1" t="s">
        <v>46</v>
      </c>
      <c r="K1722" t="s">
        <v>457</v>
      </c>
      <c r="M1722" s="1" t="s">
        <v>58</v>
      </c>
      <c r="N1722" s="1">
        <v>0</v>
      </c>
      <c r="O1722" s="1" t="s">
        <v>105</v>
      </c>
      <c r="P1722" s="11" t="s">
        <v>4563</v>
      </c>
      <c r="R1722" s="1">
        <v>1</v>
      </c>
      <c r="T1722" s="1" t="s">
        <v>157</v>
      </c>
      <c r="U1722" s="11" t="s">
        <v>4564</v>
      </c>
      <c r="V1722" s="1" t="s">
        <v>41</v>
      </c>
      <c r="W1722" s="1" t="s">
        <v>49</v>
      </c>
      <c r="X1722" s="13" t="str">
        <f t="shared" ref="X1722:X1750" si="109">IF(RIGHT(H1722,2)&lt;&gt;"00",H1722,"")</f>
        <v/>
      </c>
      <c r="Y1722" s="2">
        <f t="shared" ref="Y1722:Y1750" ca="1" si="110">NETWORKDAYS(P1722,$Y$1)</f>
        <v>2</v>
      </c>
    </row>
    <row r="1723" spans="1:25" hidden="1">
      <c r="A1723" s="1">
        <v>9521567</v>
      </c>
      <c r="B1723" s="1" t="s">
        <v>1153</v>
      </c>
      <c r="C1723" t="s">
        <v>4565</v>
      </c>
      <c r="D1723" s="2">
        <v>20234844000597</v>
      </c>
      <c r="E1723" s="2">
        <v>7417183020609</v>
      </c>
      <c r="F1723" s="1" t="s">
        <v>1313</v>
      </c>
      <c r="G1723" s="1" t="s">
        <v>53</v>
      </c>
      <c r="H1723" s="1" t="s">
        <v>2540</v>
      </c>
      <c r="I1723" s="1" t="s">
        <v>2541</v>
      </c>
      <c r="J1723" s="1" t="s">
        <v>46</v>
      </c>
      <c r="K1723" t="s">
        <v>1316</v>
      </c>
      <c r="M1723" s="1" t="s">
        <v>58</v>
      </c>
      <c r="N1723" s="1">
        <v>0</v>
      </c>
      <c r="O1723" s="1" t="s">
        <v>105</v>
      </c>
      <c r="P1723" s="11" t="s">
        <v>4566</v>
      </c>
      <c r="R1723" s="1">
        <v>13</v>
      </c>
      <c r="T1723" s="1" t="s">
        <v>238</v>
      </c>
      <c r="U1723" s="11" t="s">
        <v>4566</v>
      </c>
      <c r="V1723" s="1" t="s">
        <v>41</v>
      </c>
      <c r="W1723" s="1" t="s">
        <v>49</v>
      </c>
      <c r="X1723" s="13" t="str">
        <f t="shared" si="109"/>
        <v>4844.04</v>
      </c>
      <c r="Y1723" s="2">
        <f t="shared" ca="1" si="110"/>
        <v>2</v>
      </c>
    </row>
    <row r="1724" spans="1:25" hidden="1">
      <c r="A1724" s="1">
        <v>9521494</v>
      </c>
      <c r="B1724" s="1" t="s">
        <v>1153</v>
      </c>
      <c r="C1724" t="s">
        <v>4567</v>
      </c>
      <c r="D1724" s="2">
        <v>20234844000596</v>
      </c>
      <c r="E1724" s="2">
        <v>8558100222953</v>
      </c>
      <c r="F1724" s="1" t="s">
        <v>2995</v>
      </c>
      <c r="G1724" s="1" t="s">
        <v>53</v>
      </c>
      <c r="H1724" s="1" t="s">
        <v>548</v>
      </c>
      <c r="I1724" s="1" t="s">
        <v>549</v>
      </c>
      <c r="J1724" s="1" t="s">
        <v>46</v>
      </c>
      <c r="K1724" t="s">
        <v>2996</v>
      </c>
      <c r="M1724" s="1" t="s">
        <v>58</v>
      </c>
      <c r="N1724" s="1">
        <v>0</v>
      </c>
      <c r="O1724" s="1" t="s">
        <v>105</v>
      </c>
      <c r="P1724" s="11" t="s">
        <v>4568</v>
      </c>
      <c r="R1724" s="1">
        <v>21</v>
      </c>
      <c r="T1724" s="1" t="s">
        <v>1160</v>
      </c>
      <c r="U1724" s="11" t="s">
        <v>4569</v>
      </c>
      <c r="V1724" s="1" t="s">
        <v>41</v>
      </c>
      <c r="W1724" s="1" t="s">
        <v>49</v>
      </c>
      <c r="X1724" s="13" t="str">
        <f t="shared" si="109"/>
        <v/>
      </c>
      <c r="Y1724" s="2">
        <f t="shared" ca="1" si="110"/>
        <v>2</v>
      </c>
    </row>
    <row r="1725" spans="1:25" hidden="1">
      <c r="A1725" s="1">
        <v>9521475</v>
      </c>
      <c r="B1725" s="1" t="s">
        <v>1153</v>
      </c>
      <c r="C1725" t="s">
        <v>4570</v>
      </c>
      <c r="D1725" s="2">
        <v>20230922000029</v>
      </c>
      <c r="E1725" s="2">
        <v>7417183020102</v>
      </c>
      <c r="F1725" s="1" t="s">
        <v>1313</v>
      </c>
      <c r="G1725" s="1" t="s">
        <v>53</v>
      </c>
      <c r="H1725" s="1" t="s">
        <v>2410</v>
      </c>
      <c r="I1725" s="1" t="s">
        <v>2411</v>
      </c>
      <c r="J1725" s="1" t="s">
        <v>261</v>
      </c>
      <c r="K1725" t="s">
        <v>1316</v>
      </c>
      <c r="M1725" s="1" t="s">
        <v>58</v>
      </c>
      <c r="N1725" s="1">
        <v>0</v>
      </c>
      <c r="O1725" s="1" t="s">
        <v>105</v>
      </c>
      <c r="P1725" s="11" t="s">
        <v>4571</v>
      </c>
      <c r="R1725" s="1">
        <v>14</v>
      </c>
      <c r="T1725" s="1" t="s">
        <v>238</v>
      </c>
      <c r="U1725" s="11" t="s">
        <v>4571</v>
      </c>
      <c r="V1725" s="1" t="s">
        <v>41</v>
      </c>
      <c r="W1725" s="1" t="s">
        <v>49</v>
      </c>
      <c r="X1725" s="13" t="str">
        <f t="shared" si="109"/>
        <v>0922.91</v>
      </c>
      <c r="Y1725" s="2">
        <f t="shared" ca="1" si="110"/>
        <v>2</v>
      </c>
    </row>
    <row r="1726" spans="1:25" hidden="1">
      <c r="A1726" s="1">
        <v>9521438</v>
      </c>
      <c r="B1726" s="1" t="s">
        <v>1153</v>
      </c>
      <c r="C1726" t="s">
        <v>4572</v>
      </c>
      <c r="D1726" s="2">
        <v>20234844000595</v>
      </c>
      <c r="E1726" s="2">
        <v>7417161483349</v>
      </c>
      <c r="F1726" s="1" t="s">
        <v>1217</v>
      </c>
      <c r="G1726" s="1" t="s">
        <v>53</v>
      </c>
      <c r="H1726" s="1" t="s">
        <v>2059</v>
      </c>
      <c r="I1726" s="1" t="s">
        <v>2060</v>
      </c>
      <c r="J1726" s="1" t="s">
        <v>46</v>
      </c>
      <c r="K1726" t="s">
        <v>1218</v>
      </c>
      <c r="M1726" s="1" t="s">
        <v>58</v>
      </c>
      <c r="N1726" s="1">
        <v>0</v>
      </c>
      <c r="O1726" s="1" t="s">
        <v>105</v>
      </c>
      <c r="P1726" s="11" t="s">
        <v>4573</v>
      </c>
      <c r="R1726" s="1">
        <v>13</v>
      </c>
      <c r="T1726" s="1" t="s">
        <v>238</v>
      </c>
      <c r="U1726" s="11" t="s">
        <v>4573</v>
      </c>
      <c r="V1726" s="1" t="s">
        <v>41</v>
      </c>
      <c r="W1726" s="1" t="s">
        <v>49</v>
      </c>
      <c r="X1726" s="13" t="str">
        <f t="shared" si="109"/>
        <v>4844.35</v>
      </c>
      <c r="Y1726" s="2">
        <f t="shared" ca="1" si="110"/>
        <v>2</v>
      </c>
    </row>
    <row r="1727" spans="1:25" hidden="1">
      <c r="A1727" s="1">
        <v>9521396</v>
      </c>
      <c r="B1727" s="1" t="s">
        <v>1153</v>
      </c>
      <c r="C1727" t="s">
        <v>4574</v>
      </c>
      <c r="D1727" s="2">
        <v>20234844000594</v>
      </c>
      <c r="E1727" s="2">
        <v>7417183020608</v>
      </c>
      <c r="F1727" s="1" t="s">
        <v>1313</v>
      </c>
      <c r="G1727" s="1" t="s">
        <v>53</v>
      </c>
      <c r="H1727" s="1" t="s">
        <v>2540</v>
      </c>
      <c r="I1727" s="1" t="s">
        <v>2541</v>
      </c>
      <c r="J1727" s="1" t="s">
        <v>46</v>
      </c>
      <c r="K1727" t="s">
        <v>1316</v>
      </c>
      <c r="M1727" s="1" t="s">
        <v>58</v>
      </c>
      <c r="N1727" s="1">
        <v>0</v>
      </c>
      <c r="O1727" s="1" t="s">
        <v>105</v>
      </c>
      <c r="P1727" s="11" t="s">
        <v>4575</v>
      </c>
      <c r="R1727" s="1">
        <v>13</v>
      </c>
      <c r="T1727" s="1" t="s">
        <v>238</v>
      </c>
      <c r="U1727" s="11" t="s">
        <v>4575</v>
      </c>
      <c r="V1727" s="1" t="s">
        <v>41</v>
      </c>
      <c r="W1727" s="1" t="s">
        <v>49</v>
      </c>
      <c r="X1727" s="13" t="str">
        <f t="shared" si="109"/>
        <v>4844.04</v>
      </c>
      <c r="Y1727" s="2">
        <f t="shared" ca="1" si="110"/>
        <v>2</v>
      </c>
    </row>
    <row r="1728" spans="1:25" hidden="1">
      <c r="A1728" s="1">
        <v>9521343</v>
      </c>
      <c r="B1728" s="1" t="s">
        <v>1153</v>
      </c>
      <c r="C1728" t="s">
        <v>2666</v>
      </c>
      <c r="D1728" s="2" t="s">
        <v>4576</v>
      </c>
      <c r="E1728" s="2">
        <v>2442001400020</v>
      </c>
      <c r="F1728" s="1" t="s">
        <v>1961</v>
      </c>
      <c r="G1728" s="1" t="s">
        <v>53</v>
      </c>
      <c r="H1728" s="1" t="s">
        <v>1956</v>
      </c>
      <c r="I1728" s="1" t="s">
        <v>1957</v>
      </c>
      <c r="J1728" s="1" t="s">
        <v>33</v>
      </c>
      <c r="K1728" t="s">
        <v>1962</v>
      </c>
      <c r="M1728" s="1" t="s">
        <v>58</v>
      </c>
      <c r="N1728" s="1">
        <v>0</v>
      </c>
      <c r="O1728" s="1" t="s">
        <v>105</v>
      </c>
      <c r="P1728" s="11" t="s">
        <v>4577</v>
      </c>
      <c r="R1728" s="1">
        <v>4</v>
      </c>
      <c r="T1728" s="1" t="s">
        <v>646</v>
      </c>
      <c r="U1728" s="11" t="s">
        <v>4578</v>
      </c>
      <c r="V1728" s="1" t="s">
        <v>41</v>
      </c>
      <c r="W1728" s="1" t="s">
        <v>42</v>
      </c>
      <c r="X1728" s="13" t="str">
        <f t="shared" si="109"/>
        <v/>
      </c>
      <c r="Y1728" s="2">
        <f t="shared" ca="1" si="110"/>
        <v>2</v>
      </c>
    </row>
    <row r="1729" spans="1:25" hidden="1">
      <c r="A1729" s="1">
        <v>9521341</v>
      </c>
      <c r="B1729" s="1" t="s">
        <v>62</v>
      </c>
      <c r="C1729" t="s">
        <v>4579</v>
      </c>
      <c r="E1729" s="2">
        <v>115000203000</v>
      </c>
      <c r="F1729" s="1" t="s">
        <v>454</v>
      </c>
      <c r="G1729" s="1" t="s">
        <v>53</v>
      </c>
      <c r="H1729" s="1" t="s">
        <v>542</v>
      </c>
      <c r="I1729" s="1" t="s">
        <v>543</v>
      </c>
      <c r="J1729" s="1" t="s">
        <v>56</v>
      </c>
      <c r="K1729" t="s">
        <v>457</v>
      </c>
      <c r="M1729" s="1" t="s">
        <v>58</v>
      </c>
      <c r="N1729" s="1">
        <v>0</v>
      </c>
      <c r="O1729" s="1" t="s">
        <v>105</v>
      </c>
      <c r="P1729" s="11" t="s">
        <v>4580</v>
      </c>
      <c r="R1729" s="1">
        <v>1</v>
      </c>
      <c r="T1729" s="1" t="s">
        <v>157</v>
      </c>
      <c r="U1729" s="11" t="s">
        <v>4517</v>
      </c>
      <c r="V1729" s="1" t="s">
        <v>41</v>
      </c>
      <c r="W1729" s="1" t="s">
        <v>49</v>
      </c>
      <c r="X1729" s="13" t="str">
        <f t="shared" si="109"/>
        <v/>
      </c>
      <c r="Y1729" s="2">
        <f t="shared" ca="1" si="110"/>
        <v>2</v>
      </c>
    </row>
    <row r="1730" spans="1:25" hidden="1">
      <c r="A1730" s="1">
        <v>9521243</v>
      </c>
      <c r="B1730" s="1" t="s">
        <v>1153</v>
      </c>
      <c r="C1730" t="s">
        <v>4581</v>
      </c>
      <c r="E1730" s="2">
        <v>2437000206001</v>
      </c>
      <c r="F1730" s="1" t="s">
        <v>29</v>
      </c>
      <c r="G1730" s="1" t="s">
        <v>53</v>
      </c>
      <c r="H1730" s="1" t="s">
        <v>416</v>
      </c>
      <c r="I1730" s="1" t="s">
        <v>417</v>
      </c>
      <c r="J1730" s="1" t="s">
        <v>211</v>
      </c>
      <c r="K1730" t="s">
        <v>34</v>
      </c>
      <c r="M1730" s="1" t="s">
        <v>35</v>
      </c>
      <c r="N1730" s="1">
        <v>42318949</v>
      </c>
      <c r="O1730" s="1" t="s">
        <v>36</v>
      </c>
      <c r="P1730" s="11" t="s">
        <v>4582</v>
      </c>
      <c r="R1730" s="1" t="s">
        <v>38</v>
      </c>
      <c r="T1730" s="1" t="s">
        <v>74</v>
      </c>
      <c r="U1730" s="11" t="s">
        <v>4583</v>
      </c>
      <c r="V1730" s="1" t="s">
        <v>41</v>
      </c>
      <c r="W1730" s="1" t="s">
        <v>49</v>
      </c>
      <c r="X1730" s="13" t="str">
        <f t="shared" si="109"/>
        <v/>
      </c>
      <c r="Y1730" s="2">
        <f t="shared" ca="1" si="110"/>
        <v>2</v>
      </c>
    </row>
    <row r="1731" spans="1:25" hidden="1">
      <c r="A1731" s="1">
        <v>9521239</v>
      </c>
      <c r="B1731" s="1" t="s">
        <v>1153</v>
      </c>
      <c r="C1731" t="s">
        <v>4584</v>
      </c>
      <c r="D1731" s="2">
        <v>20234844000593</v>
      </c>
      <c r="E1731" s="2">
        <v>7419152434395</v>
      </c>
      <c r="F1731" s="1" t="s">
        <v>2744</v>
      </c>
      <c r="G1731" s="1" t="s">
        <v>53</v>
      </c>
      <c r="H1731" s="1" t="s">
        <v>345</v>
      </c>
      <c r="I1731" s="1" t="s">
        <v>346</v>
      </c>
      <c r="J1731" s="1" t="s">
        <v>46</v>
      </c>
      <c r="K1731" t="s">
        <v>2745</v>
      </c>
      <c r="M1731" s="1" t="s">
        <v>58</v>
      </c>
      <c r="N1731" s="1">
        <v>0</v>
      </c>
      <c r="O1731" s="1" t="s">
        <v>105</v>
      </c>
      <c r="P1731" s="11" t="s">
        <v>4585</v>
      </c>
      <c r="R1731" s="1">
        <v>22</v>
      </c>
      <c r="T1731" s="1" t="s">
        <v>1160</v>
      </c>
      <c r="U1731" s="11" t="s">
        <v>4586</v>
      </c>
      <c r="V1731" s="1" t="s">
        <v>41</v>
      </c>
      <c r="W1731" s="1" t="s">
        <v>49</v>
      </c>
      <c r="X1731" s="13" t="str">
        <f t="shared" si="109"/>
        <v/>
      </c>
      <c r="Y1731" s="2">
        <f t="shared" ca="1" si="110"/>
        <v>2</v>
      </c>
    </row>
    <row r="1732" spans="1:25" hidden="1">
      <c r="A1732" s="1">
        <v>9521238</v>
      </c>
      <c r="B1732" s="1" t="s">
        <v>1153</v>
      </c>
      <c r="C1732" t="s">
        <v>4587</v>
      </c>
      <c r="D1732" s="2">
        <v>20234844000592</v>
      </c>
      <c r="E1732" s="2">
        <v>7419152434401</v>
      </c>
      <c r="F1732" s="1" t="s">
        <v>2744</v>
      </c>
      <c r="G1732" s="1" t="s">
        <v>53</v>
      </c>
      <c r="H1732" s="1" t="s">
        <v>345</v>
      </c>
      <c r="I1732" s="1" t="s">
        <v>346</v>
      </c>
      <c r="J1732" s="1" t="s">
        <v>46</v>
      </c>
      <c r="K1732" t="s">
        <v>2745</v>
      </c>
      <c r="M1732" s="1" t="s">
        <v>58</v>
      </c>
      <c r="N1732" s="1">
        <v>0</v>
      </c>
      <c r="O1732" s="1" t="s">
        <v>36</v>
      </c>
      <c r="P1732" s="11" t="s">
        <v>4588</v>
      </c>
      <c r="R1732" s="1">
        <v>22</v>
      </c>
      <c r="T1732" s="1" t="s">
        <v>1160</v>
      </c>
      <c r="U1732" s="11" t="s">
        <v>4589</v>
      </c>
      <c r="V1732" s="1" t="s">
        <v>41</v>
      </c>
      <c r="W1732" s="1" t="s">
        <v>49</v>
      </c>
      <c r="X1732" s="13" t="str">
        <f t="shared" si="109"/>
        <v/>
      </c>
      <c r="Y1732" s="2">
        <f t="shared" ca="1" si="110"/>
        <v>2</v>
      </c>
    </row>
    <row r="1733" spans="1:25" hidden="1">
      <c r="A1733" s="1">
        <v>9521237</v>
      </c>
      <c r="B1733" s="1" t="s">
        <v>1153</v>
      </c>
      <c r="C1733" t="s">
        <v>4590</v>
      </c>
      <c r="D1733" s="2">
        <v>20234844000591</v>
      </c>
      <c r="E1733" s="2">
        <v>7419152467013</v>
      </c>
      <c r="F1733" s="1" t="s">
        <v>2744</v>
      </c>
      <c r="G1733" s="1" t="s">
        <v>53</v>
      </c>
      <c r="H1733" s="1" t="s">
        <v>345</v>
      </c>
      <c r="I1733" s="1" t="s">
        <v>346</v>
      </c>
      <c r="J1733" s="1" t="s">
        <v>46</v>
      </c>
      <c r="K1733" t="s">
        <v>2745</v>
      </c>
      <c r="M1733" s="1" t="s">
        <v>58</v>
      </c>
      <c r="N1733" s="1">
        <v>0</v>
      </c>
      <c r="O1733" s="1" t="s">
        <v>105</v>
      </c>
      <c r="P1733" s="12">
        <v>44985.427777777775</v>
      </c>
      <c r="R1733" s="1">
        <v>22</v>
      </c>
      <c r="T1733" s="1" t="s">
        <v>1160</v>
      </c>
      <c r="U1733" s="12">
        <v>44987.636111111111</v>
      </c>
      <c r="V1733" s="1" t="s">
        <v>41</v>
      </c>
      <c r="W1733" s="1" t="s">
        <v>49</v>
      </c>
      <c r="X1733" s="13" t="str">
        <f t="shared" si="109"/>
        <v/>
      </c>
      <c r="Y1733" s="2">
        <f t="shared" ca="1" si="110"/>
        <v>2</v>
      </c>
    </row>
    <row r="1734" spans="1:25" hidden="1">
      <c r="A1734" s="1">
        <v>9521118</v>
      </c>
      <c r="B1734" s="1" t="s">
        <v>1153</v>
      </c>
      <c r="C1734" t="s">
        <v>4591</v>
      </c>
      <c r="E1734" s="2">
        <v>1833000206001</v>
      </c>
      <c r="F1734" s="1" t="s">
        <v>29</v>
      </c>
      <c r="G1734" s="1" t="s">
        <v>53</v>
      </c>
      <c r="H1734" s="1" t="s">
        <v>369</v>
      </c>
      <c r="I1734" s="1" t="s">
        <v>370</v>
      </c>
      <c r="J1734" s="1" t="s">
        <v>46</v>
      </c>
      <c r="K1734" t="s">
        <v>34</v>
      </c>
      <c r="M1734" s="1" t="s">
        <v>35</v>
      </c>
      <c r="N1734" s="1">
        <v>42318949</v>
      </c>
      <c r="O1734" s="1" t="s">
        <v>36</v>
      </c>
      <c r="P1734" s="12">
        <v>44985.42392361111</v>
      </c>
      <c r="R1734" s="1" t="s">
        <v>38</v>
      </c>
      <c r="T1734" s="1" t="s">
        <v>74</v>
      </c>
      <c r="U1734" s="12">
        <v>44986.42392361111</v>
      </c>
      <c r="V1734" s="1" t="s">
        <v>41</v>
      </c>
      <c r="W1734" s="1" t="s">
        <v>49</v>
      </c>
      <c r="X1734" s="13" t="str">
        <f t="shared" si="109"/>
        <v/>
      </c>
      <c r="Y1734" s="2">
        <f t="shared" ca="1" si="110"/>
        <v>2</v>
      </c>
    </row>
    <row r="1735" spans="1:25" hidden="1">
      <c r="A1735" s="1">
        <v>9521106</v>
      </c>
      <c r="B1735" s="1" t="s">
        <v>1153</v>
      </c>
      <c r="C1735" t="s">
        <v>4592</v>
      </c>
      <c r="E1735" s="2">
        <v>9700000206001</v>
      </c>
      <c r="F1735" s="1" t="s">
        <v>29</v>
      </c>
      <c r="G1735" s="1" t="s">
        <v>53</v>
      </c>
      <c r="H1735" s="1" t="s">
        <v>209</v>
      </c>
      <c r="I1735" s="1" t="s">
        <v>210</v>
      </c>
      <c r="J1735" s="1" t="s">
        <v>211</v>
      </c>
      <c r="K1735" t="s">
        <v>34</v>
      </c>
      <c r="M1735" s="1" t="s">
        <v>35</v>
      </c>
      <c r="N1735" s="1">
        <v>42318949</v>
      </c>
      <c r="O1735" s="1" t="s">
        <v>36</v>
      </c>
      <c r="P1735" s="12">
        <v>44985.423206018517</v>
      </c>
      <c r="R1735" s="1" t="s">
        <v>38</v>
      </c>
      <c r="T1735" s="1" t="s">
        <v>74</v>
      </c>
      <c r="U1735" s="12">
        <v>44993.607638888891</v>
      </c>
      <c r="V1735" s="1" t="s">
        <v>41</v>
      </c>
      <c r="W1735" s="1" t="s">
        <v>49</v>
      </c>
      <c r="X1735" s="13" t="str">
        <f t="shared" si="109"/>
        <v/>
      </c>
      <c r="Y1735" s="2">
        <f t="shared" ca="1" si="110"/>
        <v>2</v>
      </c>
    </row>
    <row r="1736" spans="1:25" hidden="1">
      <c r="A1736" s="1">
        <v>9521010</v>
      </c>
      <c r="B1736" s="1" t="s">
        <v>1153</v>
      </c>
      <c r="C1736" t="s">
        <v>4593</v>
      </c>
      <c r="D1736" s="2">
        <v>20230710000010</v>
      </c>
      <c r="E1736" s="2">
        <v>7417211830256</v>
      </c>
      <c r="F1736" s="1" t="s">
        <v>1936</v>
      </c>
      <c r="G1736" s="1" t="s">
        <v>53</v>
      </c>
      <c r="H1736" s="1" t="s">
        <v>2556</v>
      </c>
      <c r="I1736" s="1" t="s">
        <v>2557</v>
      </c>
      <c r="J1736" s="1" t="s">
        <v>56</v>
      </c>
      <c r="K1736" t="s">
        <v>1939</v>
      </c>
      <c r="M1736" s="1" t="s">
        <v>58</v>
      </c>
      <c r="N1736" s="1">
        <v>0</v>
      </c>
      <c r="O1736" s="1" t="s">
        <v>105</v>
      </c>
      <c r="P1736" s="12">
        <v>44985.395509259259</v>
      </c>
      <c r="R1736" s="1">
        <v>14</v>
      </c>
      <c r="T1736" s="1" t="s">
        <v>238</v>
      </c>
      <c r="U1736" s="12">
        <v>44985.395833333336</v>
      </c>
      <c r="V1736" s="1" t="s">
        <v>41</v>
      </c>
      <c r="W1736" s="1" t="s">
        <v>49</v>
      </c>
      <c r="X1736" s="13" t="str">
        <f t="shared" si="109"/>
        <v>0710.91</v>
      </c>
      <c r="Y1736" s="2">
        <f t="shared" ca="1" si="110"/>
        <v>2</v>
      </c>
    </row>
    <row r="1737" spans="1:25" hidden="1">
      <c r="A1737" s="1">
        <v>9520959</v>
      </c>
      <c r="B1737" s="1" t="s">
        <v>1153</v>
      </c>
      <c r="C1737" t="s">
        <v>4594</v>
      </c>
      <c r="D1737" s="2">
        <v>20231689000011</v>
      </c>
      <c r="E1737" s="2">
        <v>7419143322525</v>
      </c>
      <c r="F1737" s="1" t="s">
        <v>1222</v>
      </c>
      <c r="G1737" s="1" t="s">
        <v>53</v>
      </c>
      <c r="H1737" s="1" t="s">
        <v>2131</v>
      </c>
      <c r="I1737" s="1" t="s">
        <v>2132</v>
      </c>
      <c r="J1737" s="1" t="s">
        <v>79</v>
      </c>
      <c r="K1737" t="s">
        <v>1223</v>
      </c>
      <c r="M1737" s="1" t="s">
        <v>58</v>
      </c>
      <c r="N1737" s="1">
        <v>0</v>
      </c>
      <c r="O1737" s="1" t="s">
        <v>105</v>
      </c>
      <c r="P1737" s="12">
        <v>44985.385844907411</v>
      </c>
      <c r="R1737" s="1">
        <v>13</v>
      </c>
      <c r="T1737" s="1" t="s">
        <v>238</v>
      </c>
      <c r="U1737" s="12">
        <v>44985.395833333336</v>
      </c>
      <c r="V1737" s="1" t="s">
        <v>41</v>
      </c>
      <c r="W1737" s="1" t="s">
        <v>49</v>
      </c>
      <c r="X1737" s="13" t="str">
        <f t="shared" si="109"/>
        <v>1689.91</v>
      </c>
      <c r="Y1737" s="2">
        <f t="shared" ca="1" si="110"/>
        <v>2</v>
      </c>
    </row>
    <row r="1738" spans="1:25" hidden="1">
      <c r="A1738" s="1">
        <v>9520891</v>
      </c>
      <c r="B1738" s="1" t="s">
        <v>1153</v>
      </c>
      <c r="C1738" t="s">
        <v>4595</v>
      </c>
      <c r="D1738" s="2">
        <v>20232257000019</v>
      </c>
      <c r="E1738" s="2">
        <v>7417192425450</v>
      </c>
      <c r="F1738" s="1" t="s">
        <v>1727</v>
      </c>
      <c r="G1738" s="1" t="s">
        <v>53</v>
      </c>
      <c r="H1738" s="1" t="s">
        <v>381</v>
      </c>
      <c r="I1738" s="1" t="s">
        <v>382</v>
      </c>
      <c r="J1738" s="1" t="s">
        <v>110</v>
      </c>
      <c r="K1738" t="s">
        <v>1728</v>
      </c>
      <c r="M1738" s="1" t="s">
        <v>58</v>
      </c>
      <c r="N1738" s="1">
        <v>0</v>
      </c>
      <c r="O1738" s="1" t="s">
        <v>105</v>
      </c>
      <c r="P1738" s="12">
        <v>44985.374201388891</v>
      </c>
      <c r="R1738" s="1">
        <v>22</v>
      </c>
      <c r="T1738" s="1" t="s">
        <v>1160</v>
      </c>
      <c r="U1738" s="12">
        <v>44987.583333333336</v>
      </c>
      <c r="V1738" s="1" t="s">
        <v>41</v>
      </c>
      <c r="W1738" s="1" t="s">
        <v>49</v>
      </c>
      <c r="X1738" s="13" t="str">
        <f t="shared" si="109"/>
        <v/>
      </c>
      <c r="Y1738" s="2">
        <f t="shared" ca="1" si="110"/>
        <v>2</v>
      </c>
    </row>
    <row r="1739" spans="1:25" hidden="1">
      <c r="A1739" s="1">
        <v>9520864</v>
      </c>
      <c r="B1739" s="1" t="s">
        <v>1153</v>
      </c>
      <c r="C1739" t="s">
        <v>4596</v>
      </c>
      <c r="E1739" s="2">
        <v>68000206001</v>
      </c>
      <c r="F1739" s="1" t="s">
        <v>29</v>
      </c>
      <c r="G1739" s="1" t="s">
        <v>53</v>
      </c>
      <c r="H1739" s="1" t="s">
        <v>1330</v>
      </c>
      <c r="I1739" s="1" t="s">
        <v>1331</v>
      </c>
      <c r="J1739" s="1" t="s">
        <v>211</v>
      </c>
      <c r="K1739" t="s">
        <v>34</v>
      </c>
      <c r="M1739" s="1" t="s">
        <v>35</v>
      </c>
      <c r="N1739" s="1">
        <v>42318949</v>
      </c>
      <c r="O1739" s="1" t="s">
        <v>36</v>
      </c>
      <c r="P1739" s="12">
        <v>44985.381956018522</v>
      </c>
      <c r="R1739" s="1" t="s">
        <v>38</v>
      </c>
      <c r="T1739" s="1" t="s">
        <v>74</v>
      </c>
      <c r="U1739" s="12">
        <v>44995.565972222219</v>
      </c>
      <c r="V1739" s="1" t="s">
        <v>41</v>
      </c>
      <c r="W1739" s="1" t="s">
        <v>49</v>
      </c>
      <c r="X1739" s="13" t="str">
        <f t="shared" si="109"/>
        <v/>
      </c>
      <c r="Y1739" s="2">
        <f t="shared" ca="1" si="110"/>
        <v>2</v>
      </c>
    </row>
    <row r="1740" spans="1:25" hidden="1">
      <c r="A1740" s="1">
        <v>9520862</v>
      </c>
      <c r="B1740" s="1" t="s">
        <v>1153</v>
      </c>
      <c r="C1740" t="s">
        <v>4597</v>
      </c>
      <c r="E1740" s="2">
        <v>1710000206001</v>
      </c>
      <c r="F1740" s="1" t="s">
        <v>29</v>
      </c>
      <c r="G1740" s="1" t="s">
        <v>53</v>
      </c>
      <c r="H1740" s="1" t="s">
        <v>327</v>
      </c>
      <c r="I1740" s="1" t="s">
        <v>328</v>
      </c>
      <c r="J1740" s="1" t="s">
        <v>261</v>
      </c>
      <c r="K1740" t="s">
        <v>34</v>
      </c>
      <c r="M1740" s="1" t="s">
        <v>35</v>
      </c>
      <c r="N1740" s="1">
        <v>42318949</v>
      </c>
      <c r="O1740" s="1" t="s">
        <v>36</v>
      </c>
      <c r="P1740" s="12">
        <v>44985.38181712963</v>
      </c>
      <c r="R1740" s="1" t="s">
        <v>38</v>
      </c>
      <c r="T1740" s="1" t="s">
        <v>74</v>
      </c>
      <c r="U1740" s="12">
        <v>44986.38181712963</v>
      </c>
      <c r="V1740" s="1" t="s">
        <v>41</v>
      </c>
      <c r="W1740" s="1" t="s">
        <v>49</v>
      </c>
      <c r="X1740" s="13" t="str">
        <f t="shared" si="109"/>
        <v/>
      </c>
      <c r="Y1740" s="2">
        <f t="shared" ca="1" si="110"/>
        <v>2</v>
      </c>
    </row>
    <row r="1741" spans="1:25" hidden="1">
      <c r="A1741" s="1">
        <v>9520833</v>
      </c>
      <c r="B1741" s="1" t="s">
        <v>1153</v>
      </c>
      <c r="C1741" t="s">
        <v>4598</v>
      </c>
      <c r="D1741" s="2">
        <v>20233802000003</v>
      </c>
      <c r="E1741" s="2">
        <v>7417183240775</v>
      </c>
      <c r="F1741" s="1" t="s">
        <v>4599</v>
      </c>
      <c r="G1741" s="1" t="s">
        <v>53</v>
      </c>
      <c r="H1741" s="1" t="s">
        <v>319</v>
      </c>
      <c r="I1741" s="1" t="s">
        <v>320</v>
      </c>
      <c r="J1741" s="1" t="s">
        <v>148</v>
      </c>
      <c r="K1741" t="s">
        <v>4600</v>
      </c>
      <c r="M1741" s="1" t="s">
        <v>58</v>
      </c>
      <c r="N1741" s="1">
        <v>0</v>
      </c>
      <c r="O1741" s="1" t="s">
        <v>105</v>
      </c>
      <c r="P1741" s="12">
        <v>44985.362638888888</v>
      </c>
      <c r="R1741" s="1">
        <v>22</v>
      </c>
      <c r="T1741" s="1" t="s">
        <v>1160</v>
      </c>
      <c r="U1741" s="12">
        <v>44987.583333333336</v>
      </c>
      <c r="V1741" s="1" t="s">
        <v>41</v>
      </c>
      <c r="W1741" s="1" t="s">
        <v>49</v>
      </c>
      <c r="X1741" s="13" t="str">
        <f t="shared" si="109"/>
        <v/>
      </c>
      <c r="Y1741" s="2">
        <f t="shared" ca="1" si="110"/>
        <v>2</v>
      </c>
    </row>
    <row r="1742" spans="1:25" hidden="1">
      <c r="A1742" s="1">
        <v>9520811</v>
      </c>
      <c r="B1742" s="1" t="s">
        <v>1153</v>
      </c>
      <c r="C1742" t="s">
        <v>4601</v>
      </c>
      <c r="E1742" s="2">
        <v>1362000206001</v>
      </c>
      <c r="F1742" s="1" t="s">
        <v>29</v>
      </c>
      <c r="G1742" s="1" t="s">
        <v>53</v>
      </c>
      <c r="H1742" s="1" t="s">
        <v>268</v>
      </c>
      <c r="I1742" s="1" t="s">
        <v>269</v>
      </c>
      <c r="J1742" s="1" t="s">
        <v>90</v>
      </c>
      <c r="K1742" t="s">
        <v>34</v>
      </c>
      <c r="M1742" s="1" t="s">
        <v>35</v>
      </c>
      <c r="N1742" s="1">
        <v>42318949</v>
      </c>
      <c r="O1742" s="1" t="s">
        <v>36</v>
      </c>
      <c r="P1742" s="12">
        <v>44985.37164351852</v>
      </c>
      <c r="R1742" s="1" t="s">
        <v>38</v>
      </c>
      <c r="T1742" s="1" t="s">
        <v>74</v>
      </c>
      <c r="U1742" s="12">
        <v>44993.649305555555</v>
      </c>
      <c r="V1742" s="1" t="s">
        <v>41</v>
      </c>
      <c r="W1742" s="1" t="s">
        <v>49</v>
      </c>
      <c r="X1742" s="13" t="str">
        <f t="shared" si="109"/>
        <v/>
      </c>
      <c r="Y1742" s="2">
        <f t="shared" ca="1" si="110"/>
        <v>2</v>
      </c>
    </row>
    <row r="1743" spans="1:25" hidden="1">
      <c r="A1743" s="1">
        <v>9520809</v>
      </c>
      <c r="B1743" s="1" t="s">
        <v>1153</v>
      </c>
      <c r="C1743" t="s">
        <v>4602</v>
      </c>
      <c r="E1743" s="2">
        <v>1264000206001</v>
      </c>
      <c r="F1743" s="1" t="s">
        <v>29</v>
      </c>
      <c r="G1743" s="1" t="s">
        <v>53</v>
      </c>
      <c r="H1743" s="1" t="s">
        <v>351</v>
      </c>
      <c r="I1743" s="1" t="s">
        <v>352</v>
      </c>
      <c r="J1743" s="1" t="s">
        <v>110</v>
      </c>
      <c r="K1743" t="s">
        <v>34</v>
      </c>
      <c r="M1743" s="1" t="s">
        <v>35</v>
      </c>
      <c r="N1743" s="1">
        <v>42318949</v>
      </c>
      <c r="O1743" s="1" t="s">
        <v>36</v>
      </c>
      <c r="P1743" s="12">
        <v>44985.371504629627</v>
      </c>
      <c r="R1743" s="1" t="s">
        <v>38</v>
      </c>
      <c r="T1743" s="1" t="s">
        <v>74</v>
      </c>
      <c r="U1743" s="12">
        <v>44995.708333333336</v>
      </c>
      <c r="V1743" s="1" t="s">
        <v>41</v>
      </c>
      <c r="W1743" s="1" t="s">
        <v>49</v>
      </c>
      <c r="X1743" s="13" t="str">
        <f t="shared" si="109"/>
        <v/>
      </c>
      <c r="Y1743" s="2">
        <f t="shared" ca="1" si="110"/>
        <v>2</v>
      </c>
    </row>
    <row r="1744" spans="1:25" hidden="1">
      <c r="A1744" s="1">
        <v>9520795</v>
      </c>
      <c r="B1744" s="1" t="s">
        <v>1153</v>
      </c>
      <c r="C1744" t="s">
        <v>4603</v>
      </c>
      <c r="D1744" s="2">
        <v>20234804001995</v>
      </c>
      <c r="E1744" s="2">
        <v>7419143322528</v>
      </c>
      <c r="F1744" s="1" t="s">
        <v>1222</v>
      </c>
      <c r="G1744" s="1" t="s">
        <v>53</v>
      </c>
      <c r="H1744" s="1" t="s">
        <v>4604</v>
      </c>
      <c r="I1744" s="1" t="s">
        <v>4605</v>
      </c>
      <c r="J1744" s="1" t="s">
        <v>46</v>
      </c>
      <c r="K1744" t="s">
        <v>1223</v>
      </c>
      <c r="M1744" s="1" t="s">
        <v>58</v>
      </c>
      <c r="N1744" s="1">
        <v>0</v>
      </c>
      <c r="O1744" s="1" t="s">
        <v>105</v>
      </c>
      <c r="P1744" s="12">
        <v>44985.350416666668</v>
      </c>
      <c r="R1744" s="1">
        <v>13</v>
      </c>
      <c r="S1744" s="1">
        <v>4804</v>
      </c>
      <c r="T1744" s="1" t="s">
        <v>238</v>
      </c>
      <c r="U1744" s="12">
        <v>44985.395833333336</v>
      </c>
      <c r="V1744" s="1" t="s">
        <v>41</v>
      </c>
      <c r="W1744" s="1" t="s">
        <v>49</v>
      </c>
      <c r="X1744" s="13" t="str">
        <f t="shared" si="109"/>
        <v>4844.59</v>
      </c>
      <c r="Y1744" s="2">
        <f t="shared" ca="1" si="110"/>
        <v>2</v>
      </c>
    </row>
    <row r="1745" spans="1:25" hidden="1">
      <c r="A1745" s="1">
        <v>9520794</v>
      </c>
      <c r="B1745" s="1" t="s">
        <v>1153</v>
      </c>
      <c r="C1745" t="s">
        <v>4606</v>
      </c>
      <c r="D1745" s="2">
        <v>20234804001994</v>
      </c>
      <c r="E1745" s="2">
        <v>7417193471530</v>
      </c>
      <c r="F1745" s="1" t="s">
        <v>2698</v>
      </c>
      <c r="G1745" s="1" t="s">
        <v>53</v>
      </c>
      <c r="H1745" s="1" t="s">
        <v>805</v>
      </c>
      <c r="I1745" s="1" t="s">
        <v>806</v>
      </c>
      <c r="J1745" s="1" t="s">
        <v>46</v>
      </c>
      <c r="K1745" t="s">
        <v>2701</v>
      </c>
      <c r="M1745" s="1" t="s">
        <v>58</v>
      </c>
      <c r="N1745" s="1">
        <v>0</v>
      </c>
      <c r="O1745" s="1" t="s">
        <v>105</v>
      </c>
      <c r="P1745" s="12">
        <v>44985.348981481482</v>
      </c>
      <c r="R1745" s="1">
        <v>13</v>
      </c>
      <c r="S1745" s="1">
        <v>4804</v>
      </c>
      <c r="T1745" s="1" t="s">
        <v>238</v>
      </c>
      <c r="U1745" s="12">
        <v>44985.395833333336</v>
      </c>
      <c r="V1745" s="1" t="s">
        <v>41</v>
      </c>
      <c r="W1745" s="1" t="s">
        <v>49</v>
      </c>
      <c r="X1745" s="13" t="str">
        <f t="shared" si="109"/>
        <v>2889.01</v>
      </c>
      <c r="Y1745" s="2">
        <f t="shared" ca="1" si="110"/>
        <v>2</v>
      </c>
    </row>
    <row r="1746" spans="1:25" hidden="1">
      <c r="A1746" s="1">
        <v>9520762</v>
      </c>
      <c r="B1746" s="1" t="s">
        <v>1153</v>
      </c>
      <c r="C1746" t="s">
        <v>4118</v>
      </c>
      <c r="E1746" s="2">
        <v>1059000206001</v>
      </c>
      <c r="F1746" s="1" t="s">
        <v>29</v>
      </c>
      <c r="G1746" s="1" t="s">
        <v>53</v>
      </c>
      <c r="H1746" s="1" t="s">
        <v>88</v>
      </c>
      <c r="I1746" s="1" t="s">
        <v>89</v>
      </c>
      <c r="J1746" s="1" t="s">
        <v>90</v>
      </c>
      <c r="K1746" t="s">
        <v>34</v>
      </c>
      <c r="M1746" s="1" t="s">
        <v>35</v>
      </c>
      <c r="N1746" s="1">
        <v>42318949</v>
      </c>
      <c r="O1746" s="1" t="s">
        <v>36</v>
      </c>
      <c r="P1746" s="12">
        <v>44985.361076388886</v>
      </c>
      <c r="R1746" s="1" t="s">
        <v>38</v>
      </c>
      <c r="T1746" s="1" t="s">
        <v>74</v>
      </c>
      <c r="U1746" s="12">
        <v>44988.402743055558</v>
      </c>
      <c r="V1746" s="1" t="s">
        <v>41</v>
      </c>
      <c r="W1746" s="1" t="s">
        <v>49</v>
      </c>
      <c r="X1746" s="13" t="str">
        <f t="shared" si="109"/>
        <v/>
      </c>
      <c r="Y1746" s="2">
        <f t="shared" ca="1" si="110"/>
        <v>2</v>
      </c>
    </row>
    <row r="1747" spans="1:25" hidden="1">
      <c r="A1747" s="1">
        <v>9520740</v>
      </c>
      <c r="B1747" s="1" t="s">
        <v>1153</v>
      </c>
      <c r="C1747" t="s">
        <v>4607</v>
      </c>
      <c r="D1747" s="2">
        <v>20232219000015</v>
      </c>
      <c r="E1747" s="2">
        <v>7417163283335</v>
      </c>
      <c r="F1747" s="1" t="s">
        <v>131</v>
      </c>
      <c r="G1747" s="1" t="s">
        <v>53</v>
      </c>
      <c r="H1747" s="1" t="s">
        <v>1980</v>
      </c>
      <c r="I1747" s="1" t="s">
        <v>1981</v>
      </c>
      <c r="J1747" s="1" t="s">
        <v>141</v>
      </c>
      <c r="K1747" t="s">
        <v>132</v>
      </c>
      <c r="M1747" s="1" t="s">
        <v>58</v>
      </c>
      <c r="N1747" s="1">
        <v>0</v>
      </c>
      <c r="O1747" s="1" t="s">
        <v>105</v>
      </c>
      <c r="P1747" s="12">
        <v>44985.346203703702</v>
      </c>
      <c r="R1747" s="1">
        <v>14</v>
      </c>
      <c r="T1747" s="1" t="s">
        <v>238</v>
      </c>
      <c r="U1747" s="12">
        <v>44985.395833333336</v>
      </c>
      <c r="V1747" s="1" t="s">
        <v>41</v>
      </c>
      <c r="W1747" s="1" t="s">
        <v>49</v>
      </c>
      <c r="X1747" s="13" t="str">
        <f t="shared" si="109"/>
        <v>2219.91</v>
      </c>
      <c r="Y1747" s="2">
        <f t="shared" ca="1" si="110"/>
        <v>2</v>
      </c>
    </row>
    <row r="1748" spans="1:25" hidden="1">
      <c r="A1748" s="1">
        <v>9520726</v>
      </c>
      <c r="B1748" s="1" t="s">
        <v>62</v>
      </c>
      <c r="C1748" t="s">
        <v>4608</v>
      </c>
      <c r="E1748" s="2">
        <v>1814000203000</v>
      </c>
      <c r="F1748" s="1" t="s">
        <v>454</v>
      </c>
      <c r="G1748" s="1" t="s">
        <v>53</v>
      </c>
      <c r="H1748" s="1" t="s">
        <v>396</v>
      </c>
      <c r="I1748" s="1" t="s">
        <v>397</v>
      </c>
      <c r="J1748" s="1" t="s">
        <v>46</v>
      </c>
      <c r="K1748" t="s">
        <v>457</v>
      </c>
      <c r="M1748" s="1" t="s">
        <v>58</v>
      </c>
      <c r="N1748" s="1">
        <v>0</v>
      </c>
      <c r="O1748" s="1" t="s">
        <v>105</v>
      </c>
      <c r="P1748" s="12">
        <v>44985.351944444446</v>
      </c>
      <c r="R1748" s="1">
        <v>1</v>
      </c>
      <c r="T1748" s="1" t="s">
        <v>157</v>
      </c>
      <c r="U1748" s="12">
        <v>45019.75</v>
      </c>
      <c r="V1748" s="1" t="s">
        <v>41</v>
      </c>
      <c r="W1748" s="1" t="s">
        <v>49</v>
      </c>
      <c r="X1748" s="13" t="str">
        <f t="shared" si="109"/>
        <v/>
      </c>
      <c r="Y1748" s="2">
        <f t="shared" ca="1" si="110"/>
        <v>2</v>
      </c>
    </row>
    <row r="1749" spans="1:25" hidden="1">
      <c r="A1749" s="1">
        <v>9520725</v>
      </c>
      <c r="B1749" s="1" t="s">
        <v>62</v>
      </c>
      <c r="C1749" t="s">
        <v>4609</v>
      </c>
      <c r="E1749" s="2">
        <v>3924000206001</v>
      </c>
      <c r="F1749" s="1" t="s">
        <v>29</v>
      </c>
      <c r="G1749" s="1" t="s">
        <v>53</v>
      </c>
      <c r="H1749" s="1" t="s">
        <v>153</v>
      </c>
      <c r="I1749" s="1" t="s">
        <v>154</v>
      </c>
      <c r="J1749" s="1" t="s">
        <v>56</v>
      </c>
      <c r="K1749" t="s">
        <v>34</v>
      </c>
      <c r="M1749" s="1" t="s">
        <v>35</v>
      </c>
      <c r="N1749" s="1">
        <v>42318949</v>
      </c>
      <c r="O1749" s="1" t="s">
        <v>105</v>
      </c>
      <c r="P1749" s="12">
        <v>44985.351423611108</v>
      </c>
      <c r="R1749" s="1" t="s">
        <v>38</v>
      </c>
      <c r="T1749" s="1" t="s">
        <v>74</v>
      </c>
      <c r="U1749" s="12">
        <v>45027.75</v>
      </c>
      <c r="V1749" s="1" t="s">
        <v>41</v>
      </c>
      <c r="W1749" s="1" t="s">
        <v>49</v>
      </c>
      <c r="X1749" s="13" t="str">
        <f t="shared" si="109"/>
        <v/>
      </c>
      <c r="Y1749" s="2">
        <f t="shared" ca="1" si="110"/>
        <v>2</v>
      </c>
    </row>
    <row r="1750" spans="1:25" hidden="1">
      <c r="A1750" s="1">
        <v>9520688</v>
      </c>
      <c r="B1750" s="1" t="s">
        <v>1153</v>
      </c>
      <c r="C1750" t="s">
        <v>4610</v>
      </c>
      <c r="E1750" s="2">
        <v>3258000206001</v>
      </c>
      <c r="F1750" s="1" t="s">
        <v>29</v>
      </c>
      <c r="G1750" s="1" t="s">
        <v>53</v>
      </c>
      <c r="H1750" s="1" t="s">
        <v>321</v>
      </c>
      <c r="I1750" s="1" t="s">
        <v>322</v>
      </c>
      <c r="J1750" s="1" t="s">
        <v>46</v>
      </c>
      <c r="K1750" t="s">
        <v>34</v>
      </c>
      <c r="M1750" s="1" t="s">
        <v>35</v>
      </c>
      <c r="N1750" s="1">
        <v>42318949</v>
      </c>
      <c r="O1750" s="1" t="s">
        <v>36</v>
      </c>
      <c r="P1750" s="12">
        <v>44985.340277777781</v>
      </c>
      <c r="R1750" s="1" t="s">
        <v>38</v>
      </c>
      <c r="T1750" s="1" t="s">
        <v>74</v>
      </c>
      <c r="U1750" s="12">
        <v>44985.715277777781</v>
      </c>
      <c r="V1750" s="1" t="s">
        <v>41</v>
      </c>
      <c r="W1750" s="1" t="s">
        <v>49</v>
      </c>
      <c r="X1750" s="13" t="str">
        <f t="shared" si="109"/>
        <v/>
      </c>
      <c r="Y1750" s="2">
        <f t="shared" ca="1" si="110"/>
        <v>2</v>
      </c>
    </row>
  </sheetData>
  <autoFilter ref="A1:Y1750" xr:uid="{00000000-0009-0000-0000-000009000000}">
    <filterColumn colId="1">
      <filters>
        <filter val="Manutenção Corretiva"/>
      </filters>
    </filterColumn>
    <filterColumn colId="9">
      <filters>
        <filter val="TR-SERRA TALHADA"/>
      </filters>
    </filterColumn>
  </autoFilter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>
    <tabColor rgb="FF00A933"/>
  </sheetPr>
  <dimension ref="A1:AZ1750"/>
  <sheetViews>
    <sheetView tabSelected="1" zoomScale="90" zoomScaleNormal="90" workbookViewId="0">
      <pane xSplit="10" ySplit="1" topLeftCell="T644" activePane="bottomRight" state="frozen"/>
      <selection pane="bottomRight" activeCell="C1646" sqref="C1646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25" customWidth="1"/>
    <col min="2" max="2" width="24.28515625" style="25" customWidth="1"/>
    <col min="3" max="3" width="60.42578125" style="24" customWidth="1"/>
    <col min="4" max="4" width="18.5703125" style="26" customWidth="1"/>
    <col min="5" max="5" width="19.28515625" style="26" customWidth="1"/>
    <col min="6" max="6" width="13.140625" style="25" customWidth="1"/>
    <col min="7" max="7" width="13.7109375" style="25" customWidth="1"/>
    <col min="8" max="8" width="9.7109375" style="25" customWidth="1"/>
    <col min="9" max="9" width="24.7109375" style="25" customWidth="1"/>
    <col min="10" max="10" width="18.85546875" style="25" customWidth="1"/>
    <col min="11" max="11" width="25.28515625" style="24" customWidth="1"/>
    <col min="12" max="12" width="9.85546875" style="24" customWidth="1"/>
    <col min="13" max="13" width="20.7109375" style="25" customWidth="1"/>
    <col min="14" max="14" width="9.140625" style="25" customWidth="1"/>
    <col min="15" max="15" width="9.42578125" style="25" customWidth="1"/>
    <col min="16" max="16" width="19.85546875" style="25" customWidth="1"/>
    <col min="17" max="19" width="9.140625" style="25" customWidth="1"/>
    <col min="20" max="20" width="12" style="25" customWidth="1"/>
    <col min="21" max="21" width="19.85546875" style="25" customWidth="1"/>
    <col min="22" max="22" width="6.7109375" style="25" customWidth="1"/>
    <col min="23" max="23" width="5.7109375" style="25" customWidth="1"/>
    <col min="24" max="24" width="8.7109375" style="25" customWidth="1"/>
    <col min="25" max="25" width="9.7109375" style="24" customWidth="1"/>
    <col min="26" max="26" width="2.7109375" style="25" customWidth="1"/>
    <col min="27" max="27" width="10.85546875" style="25" customWidth="1"/>
    <col min="28" max="28" width="10.140625" style="24" customWidth="1"/>
    <col min="29" max="29" width="14.7109375" style="24" customWidth="1"/>
    <col min="30" max="30" width="10.7109375" style="24" customWidth="1"/>
    <col min="31" max="31" width="17" style="24" customWidth="1"/>
    <col min="32" max="32" width="12.7109375" style="24" customWidth="1"/>
    <col min="33" max="33" width="25.5703125" style="24" customWidth="1"/>
    <col min="34" max="34" width="5.7109375" style="25" customWidth="1"/>
    <col min="35" max="36" width="9" style="24"/>
    <col min="37" max="37" width="17.42578125" style="25" customWidth="1"/>
    <col min="38" max="38" width="18.7109375" style="24" customWidth="1"/>
    <col min="39" max="52" width="25" style="24" customWidth="1"/>
    <col min="53" max="16384" width="9" style="24"/>
  </cols>
  <sheetData>
    <row r="1" spans="1:52" ht="15.75">
      <c r="A1" s="27" t="s">
        <v>0</v>
      </c>
      <c r="B1" s="27" t="s">
        <v>1</v>
      </c>
      <c r="C1" s="28" t="s">
        <v>2</v>
      </c>
      <c r="D1" s="29" t="s">
        <v>3</v>
      </c>
      <c r="E1" s="29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8" t="s">
        <v>10</v>
      </c>
      <c r="L1" s="28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30">
        <f ca="1">NOW()</f>
        <v>44986.676271643519</v>
      </c>
      <c r="Z1" s="27"/>
      <c r="AA1" s="27" t="s">
        <v>24</v>
      </c>
      <c r="AB1" s="31">
        <f>SUBTOTAL(2,Z2:Z1699)</f>
        <v>15</v>
      </c>
      <c r="AC1" s="32" t="s">
        <v>25</v>
      </c>
      <c r="AD1" s="27" t="s">
        <v>26</v>
      </c>
      <c r="AE1" s="32">
        <f ca="1">NOW()</f>
        <v>44986.676271643519</v>
      </c>
      <c r="AF1" s="33"/>
      <c r="AG1" s="28"/>
      <c r="AH1" s="27"/>
      <c r="AI1" s="28"/>
      <c r="AJ1" s="28"/>
      <c r="AK1" s="27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</row>
    <row r="2" spans="1:52" hidden="1">
      <c r="A2" s="209">
        <v>178166</v>
      </c>
      <c r="B2" s="209" t="s">
        <v>27</v>
      </c>
      <c r="C2" s="210" t="s">
        <v>28</v>
      </c>
      <c r="D2" s="214"/>
      <c r="E2" s="214">
        <v>9661000000000</v>
      </c>
      <c r="F2" s="209" t="s">
        <v>29</v>
      </c>
      <c r="G2" s="209" t="s">
        <v>30</v>
      </c>
      <c r="H2" s="209" t="s">
        <v>31</v>
      </c>
      <c r="I2" s="209" t="s">
        <v>32</v>
      </c>
      <c r="J2" s="209" t="s">
        <v>33</v>
      </c>
      <c r="K2" s="210" t="s">
        <v>34</v>
      </c>
      <c r="L2" s="210"/>
      <c r="M2" s="209" t="s">
        <v>35</v>
      </c>
      <c r="N2" s="209">
        <v>42318949</v>
      </c>
      <c r="O2" s="209" t="s">
        <v>36</v>
      </c>
      <c r="P2" s="213">
        <v>43502.491805555554</v>
      </c>
      <c r="Q2" s="209"/>
      <c r="R2" s="209" t="s">
        <v>38</v>
      </c>
      <c r="S2" s="209"/>
      <c r="T2" s="209" t="s">
        <v>39</v>
      </c>
      <c r="U2" s="213">
        <v>43559.75</v>
      </c>
      <c r="V2" s="209" t="s">
        <v>41</v>
      </c>
      <c r="W2" s="209" t="s">
        <v>42</v>
      </c>
      <c r="X2" s="13" t="str">
        <f>IF(RIGHT(H2,2)&lt;&gt;"00",H2,"")</f>
        <v/>
      </c>
      <c r="Y2" s="26">
        <f ca="1">NETWORKDAYS(P2,$Y$1)</f>
        <v>1061</v>
      </c>
      <c r="Z2" s="34">
        <v>1</v>
      </c>
      <c r="AA2" s="25" t="str">
        <f t="shared" ref="AA2:AA65" ca="1" si="0">IF(AE2=0,"HOJE",IF(AE2&gt;0,"A VENCER",IF(AE2&lt;0,"VENCIDO")))</f>
        <v>A VENCER</v>
      </c>
      <c r="AB2" s="25" t="str">
        <f t="shared" ref="AB2:AB23" si="1">IF(F2="GRPE-000001","C-14",IF(F2="GRPE-000002","C-14",IF(F2="GRPE-000003","C-14",IF(F2="GRPE-000004","SL-On",IF(F2="GRPE-000038","C-14",IF(F2="GRPE-900022","Dosa",IF(F2="GRPE-000029","Dosa",IF(F2="ATOS-000222","Dose","TAAe+"))))))))</f>
        <v>Dosa</v>
      </c>
      <c r="AC2" s="2" t="str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 xml:space="preserve"> ROSEMERE </v>
      </c>
      <c r="AD2" s="26">
        <f t="shared" ref="AD2:AD23" si="2">IF(F2="GRPE-000001",5,IF(F2="GRPE-000002",5,IF(F2="GRPE-000003",15,IF(F2="GRPE-000004",1,IF(F2="GRPE-000038",5,IF(F2="GRPE-900022",5,IF(F2="GRPE-000029",5,IF(F2="ATOS-000222",5,8))))))))</f>
        <v>5</v>
      </c>
      <c r="AE2" s="26">
        <f t="shared" ref="AE2:AE65" ca="1" si="3">IF(P2=$AE$1,"",$AE$1-P2)</f>
        <v>1484.1844660879651</v>
      </c>
      <c r="AF2" s="35"/>
      <c r="AI2" s="26"/>
    </row>
    <row r="3" spans="1:52" hidden="1">
      <c r="A3" s="209">
        <v>524537</v>
      </c>
      <c r="B3" s="209" t="s">
        <v>27</v>
      </c>
      <c r="C3" s="210" t="s">
        <v>43</v>
      </c>
      <c r="D3" s="214"/>
      <c r="E3" s="214">
        <v>2811000000000</v>
      </c>
      <c r="F3" s="209" t="s">
        <v>29</v>
      </c>
      <c r="G3" s="209" t="s">
        <v>30</v>
      </c>
      <c r="H3" s="209" t="s">
        <v>44</v>
      </c>
      <c r="I3" s="209" t="s">
        <v>45</v>
      </c>
      <c r="J3" s="209" t="s">
        <v>46</v>
      </c>
      <c r="K3" s="210" t="s">
        <v>34</v>
      </c>
      <c r="L3" s="210"/>
      <c r="M3" s="209" t="s">
        <v>35</v>
      </c>
      <c r="N3" s="209">
        <v>42318949</v>
      </c>
      <c r="O3" s="209" t="s">
        <v>36</v>
      </c>
      <c r="P3" s="213">
        <v>43735.670127314814</v>
      </c>
      <c r="Q3" s="209"/>
      <c r="R3" s="209" t="s">
        <v>38</v>
      </c>
      <c r="S3" s="209"/>
      <c r="T3" s="209" t="s">
        <v>39</v>
      </c>
      <c r="U3" s="213">
        <v>43791.75</v>
      </c>
      <c r="V3" s="209" t="s">
        <v>41</v>
      </c>
      <c r="W3" s="209" t="s">
        <v>49</v>
      </c>
      <c r="X3" s="13" t="str">
        <f>IF(RIGHT(H3,2)&lt;&gt;"00",H3,"")</f>
        <v/>
      </c>
      <c r="Y3" s="26">
        <f ca="1">NETWORKDAYS(P3,$Y$1)</f>
        <v>894</v>
      </c>
      <c r="Z3" s="34">
        <v>1</v>
      </c>
      <c r="AA3" s="25" t="str">
        <f t="shared" ca="1" si="0"/>
        <v>A VENCER</v>
      </c>
      <c r="AB3" s="25" t="str">
        <f t="shared" si="1"/>
        <v>Dosa</v>
      </c>
      <c r="AC3" s="2" t="str">
        <f t="shared" ref="AC3:AC66" si="4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 xml:space="preserve"> CLEITON </v>
      </c>
      <c r="AD3" s="26">
        <f t="shared" si="2"/>
        <v>5</v>
      </c>
      <c r="AE3" s="26">
        <f t="shared" ca="1" si="3"/>
        <v>1251.006144328705</v>
      </c>
      <c r="AF3" s="35"/>
      <c r="AG3" s="36" t="s">
        <v>4611</v>
      </c>
      <c r="AH3" s="37">
        <f>SUM(AH4:AH17)</f>
        <v>1623</v>
      </c>
      <c r="AI3" s="38">
        <f>SUM(AI4:AI17)</f>
        <v>1.0000000000000002</v>
      </c>
      <c r="AJ3" s="39"/>
      <c r="AK3" s="40">
        <f>SUM(AL4:AY15)</f>
        <v>1610</v>
      </c>
      <c r="AL3" s="36" t="s">
        <v>1153</v>
      </c>
      <c r="AM3" s="36" t="s">
        <v>653</v>
      </c>
      <c r="AN3" s="36" t="s">
        <v>101</v>
      </c>
      <c r="AO3" s="36" t="s">
        <v>62</v>
      </c>
      <c r="AP3" s="36" t="s">
        <v>81</v>
      </c>
      <c r="AQ3" s="36" t="s">
        <v>27</v>
      </c>
      <c r="AR3" s="36" t="s">
        <v>4612</v>
      </c>
      <c r="AS3" s="36" t="s">
        <v>3541</v>
      </c>
      <c r="AT3" s="36" t="s">
        <v>1924</v>
      </c>
      <c r="AU3" s="36" t="s">
        <v>4613</v>
      </c>
      <c r="AV3" s="36" t="s">
        <v>50</v>
      </c>
      <c r="AW3" s="36" t="s">
        <v>226</v>
      </c>
      <c r="AX3" s="36" t="s">
        <v>1087</v>
      </c>
      <c r="AY3" s="36" t="s">
        <v>1717</v>
      </c>
      <c r="AZ3" s="41"/>
    </row>
    <row r="4" spans="1:52" hidden="1">
      <c r="A4" s="209">
        <v>526434</v>
      </c>
      <c r="B4" s="209" t="s">
        <v>50</v>
      </c>
      <c r="C4" s="210" t="s">
        <v>51</v>
      </c>
      <c r="D4" s="214"/>
      <c r="E4" s="214">
        <v>7419152172059</v>
      </c>
      <c r="F4" s="209" t="s">
        <v>52</v>
      </c>
      <c r="G4" s="209" t="s">
        <v>53</v>
      </c>
      <c r="H4" s="209" t="s">
        <v>54</v>
      </c>
      <c r="I4" s="209" t="s">
        <v>55</v>
      </c>
      <c r="J4" s="209" t="s">
        <v>56</v>
      </c>
      <c r="K4" s="210" t="s">
        <v>57</v>
      </c>
      <c r="L4" s="210"/>
      <c r="M4" s="209" t="s">
        <v>58</v>
      </c>
      <c r="N4" s="209">
        <v>0</v>
      </c>
      <c r="O4" s="209" t="s">
        <v>36</v>
      </c>
      <c r="P4" s="213">
        <v>43738.513159722221</v>
      </c>
      <c r="Q4" s="209"/>
      <c r="R4" s="209">
        <v>9</v>
      </c>
      <c r="S4" s="209"/>
      <c r="T4" s="209" t="s">
        <v>60</v>
      </c>
      <c r="U4" s="213">
        <v>43747.999305555553</v>
      </c>
      <c r="V4" s="209" t="s">
        <v>41</v>
      </c>
      <c r="W4" s="209" t="s">
        <v>49</v>
      </c>
      <c r="X4" s="13" t="str">
        <f>IF(RIGHT(H4,2)&lt;&gt;"00",H4,"")</f>
        <v>1761.91</v>
      </c>
      <c r="Y4" s="26">
        <f ca="1">NETWORKDAYS(P4,$Y$1)</f>
        <v>893</v>
      </c>
      <c r="Z4" s="34">
        <v>1</v>
      </c>
      <c r="AA4" s="25" t="str">
        <f t="shared" ca="1" si="0"/>
        <v>A VENCER</v>
      </c>
      <c r="AB4" s="25" t="str">
        <f t="shared" si="1"/>
        <v>TAAe+</v>
      </c>
      <c r="AC4" s="2" t="str">
        <f t="shared" si="4"/>
        <v xml:space="preserve"> CRISTINA </v>
      </c>
      <c r="AD4" s="26">
        <f t="shared" si="2"/>
        <v>8</v>
      </c>
      <c r="AE4" s="26">
        <f t="shared" ca="1" si="3"/>
        <v>1248.163111921298</v>
      </c>
      <c r="AF4" s="35"/>
      <c r="AG4" s="36" t="s">
        <v>101</v>
      </c>
      <c r="AH4" s="42">
        <f>COUNTIF($B$2:$B$1630,"Manutenção Preventiva")</f>
        <v>633</v>
      </c>
      <c r="AI4" s="38">
        <f t="shared" ref="AI4:AI17" si="5">AH4/$AH$3</f>
        <v>0.39001848428835489</v>
      </c>
      <c r="AJ4" s="39"/>
      <c r="AK4" s="43" t="s">
        <v>46</v>
      </c>
      <c r="AL4" s="36">
        <f>COUNTIFS($B$2:$B$1630,"=Manutenção Corretiva",$J$2:$J$1630,"=CAT-RECIFE")</f>
        <v>75</v>
      </c>
      <c r="AM4" s="36">
        <f>COUNTIFS($B$2:$B$1630,"=Cadastro de Equipamentos",$J$2:$J$1630,"=CAT-RECIFE")</f>
        <v>122</v>
      </c>
      <c r="AN4" s="36">
        <f>COUNTIFS($B$2:$B$1630,"=Manutenção Preventiva",$J$2:$J$1630,"=CAT-RECIFE")</f>
        <v>141</v>
      </c>
      <c r="AO4" s="36">
        <f>COUNTIFS($B$2:$B$1630,"=Instalação",$J$2:$J$1630,"=CAT-RECIFE")</f>
        <v>60</v>
      </c>
      <c r="AP4" s="36">
        <f>COUNTIFS($B$2:$B$1630,"=Vistoria",$J$2:$J$1630,"=CAT-RECIFE")</f>
        <v>91</v>
      </c>
      <c r="AQ4" s="36">
        <f>COUNTIFS($B$2:$B$1630,"=Ativação",$J$2:$J$1630,"=CAT-RECIFE")</f>
        <v>24</v>
      </c>
      <c r="AR4" s="36">
        <f>COUNTIFS($B$2:$B$1630,"=Retrofit",$J$2:$J$1630,"=CAT-RECIFE")</f>
        <v>0</v>
      </c>
      <c r="AS4" s="36">
        <f>COUNTIFS($B$2:$B$1630,"=Organização",$J$2:$J$1630,"=CAT-RECIFE")</f>
        <v>0</v>
      </c>
      <c r="AT4" s="36">
        <f>COUNTIFS($B$2:$B$1630,"=Abertura/Reparo de Cofre",$J$2:$J$1630,"=CAT-RECIFE")</f>
        <v>0</v>
      </c>
      <c r="AU4" s="36">
        <f>COUNTIFS($B$2:$B$1630,"=Plantão Técnico",$J$2:$J$1630,"=CAT-RECIFE")</f>
        <v>0</v>
      </c>
      <c r="AV4" s="36">
        <f>COUNTIFS($B$2:$B$1630,"=Destinação Final",$J$2:$J$1630,"=CAT-RECIFE")</f>
        <v>0</v>
      </c>
      <c r="AW4" s="36">
        <f>COUNTIFS($B$2:$B$1630,"=Remanejamento",$J$2:$J$1630,"=CAT-RECIFE")</f>
        <v>1</v>
      </c>
      <c r="AX4" s="36">
        <f>COUNTIFS($B$2:$B$1630,"=Configuração",$J$2:$J$1630,"=CAT-RECIFE")</f>
        <v>0</v>
      </c>
      <c r="AY4" s="36">
        <f>COUNTIFS($B$2:$B$1630,"=Cota",$J$2:$J$1630,"=CAT-RECIFE")</f>
        <v>0</v>
      </c>
    </row>
    <row r="5" spans="1:52" hidden="1">
      <c r="A5" s="209">
        <v>811950</v>
      </c>
      <c r="B5" s="209" t="s">
        <v>62</v>
      </c>
      <c r="C5" s="210" t="s">
        <v>63</v>
      </c>
      <c r="D5" s="214"/>
      <c r="E5" s="214">
        <v>1902016069700</v>
      </c>
      <c r="F5" s="209" t="s">
        <v>64</v>
      </c>
      <c r="G5" s="209" t="s">
        <v>53</v>
      </c>
      <c r="H5" s="209" t="s">
        <v>65</v>
      </c>
      <c r="I5" s="209" t="s">
        <v>66</v>
      </c>
      <c r="J5" s="209" t="s">
        <v>46</v>
      </c>
      <c r="K5" s="210" t="s">
        <v>67</v>
      </c>
      <c r="L5" s="210"/>
      <c r="M5" s="209" t="s">
        <v>35</v>
      </c>
      <c r="N5" s="209">
        <v>42318949</v>
      </c>
      <c r="O5" s="209" t="s">
        <v>36</v>
      </c>
      <c r="P5" s="213">
        <v>43948.700069444443</v>
      </c>
      <c r="Q5" s="209"/>
      <c r="R5" s="209">
        <v>1</v>
      </c>
      <c r="S5" s="209"/>
      <c r="T5" s="209" t="s">
        <v>69</v>
      </c>
      <c r="U5" s="209"/>
      <c r="V5" s="209" t="s">
        <v>41</v>
      </c>
      <c r="W5" s="209" t="s">
        <v>49</v>
      </c>
      <c r="X5" s="13" t="str">
        <f>IF(RIGHT(H5,2)&lt;&gt;"00",H5,"")</f>
        <v/>
      </c>
      <c r="Y5" s="26">
        <f ca="1">NETWORKDAYS(P5,$Y$1)</f>
        <v>743</v>
      </c>
      <c r="Z5" s="34">
        <v>1</v>
      </c>
      <c r="AA5" s="25" t="str">
        <f t="shared" ca="1" si="0"/>
        <v>A VENCER</v>
      </c>
      <c r="AB5" s="25" t="str">
        <f t="shared" si="1"/>
        <v>TAAe+</v>
      </c>
      <c r="AC5" s="2" t="str">
        <f t="shared" si="4"/>
        <v xml:space="preserve"> CLEITON </v>
      </c>
      <c r="AD5" s="26">
        <f t="shared" si="2"/>
        <v>8</v>
      </c>
      <c r="AE5" s="26">
        <f t="shared" ca="1" si="3"/>
        <v>1037.9762021990755</v>
      </c>
      <c r="AF5" s="35"/>
      <c r="AG5" s="36" t="s">
        <v>653</v>
      </c>
      <c r="AH5" s="42">
        <f>COUNTIF($B$2:$B$1630,"Cadastro de Equipamentos")</f>
        <v>216</v>
      </c>
      <c r="AI5" s="38">
        <f t="shared" si="5"/>
        <v>0.13308687615526801</v>
      </c>
      <c r="AJ5" s="39"/>
      <c r="AK5" s="43" t="s">
        <v>211</v>
      </c>
      <c r="AL5" s="36">
        <f>COUNTIFS($B$2:$B$1630,"=Manutenção Corretiva",$J$2:$J$1630,"=TR-ARCOVERDE")</f>
        <v>16</v>
      </c>
      <c r="AM5" s="36">
        <f>COUNTIFS($B$2:$B$1630,"=Cadastro de Equipamentos",$J$2:$J$1630,"=TR-ARCOVERDE")</f>
        <v>0</v>
      </c>
      <c r="AN5" s="36">
        <f>COUNTIFS($B$2:$B$1630,"=Manutenção Preventiva",$J$2:$J$1630,"=TR-ARCOVERDE")</f>
        <v>65</v>
      </c>
      <c r="AO5" s="36">
        <f>COUNTIFS($B$2:$B$1630,"=Instalação",$J$2:$J$1630,"=TR-ARCOVERDE")</f>
        <v>17</v>
      </c>
      <c r="AP5" s="36">
        <f>COUNTIFS($B$2:$B$1630,"=Vistoria",$J$2:$J$1630,"=TR-ARCOVERDE")</f>
        <v>19</v>
      </c>
      <c r="AQ5" s="36">
        <f>COUNTIFS($B$2:$B$1630,"=Ativação",$J$2:$J$1630,"=TR-ARCOVERDE")</f>
        <v>2</v>
      </c>
      <c r="AR5" s="36">
        <f>COUNTIFS($B$2:$B$1630,"=Retrofit",$J$2:$J$1630,"=TR-ARCOVERDE")</f>
        <v>0</v>
      </c>
      <c r="AS5" s="36">
        <f>COUNTIFS($B$2:$B$1630,"=Organização",$J$2:$J$1630,"=TR-ARCOVERDE")</f>
        <v>0</v>
      </c>
      <c r="AT5" s="36">
        <f>COUNTIFS($B$2:$B$1630,"=Abertura/Reparo de Cofre",$J$2:$J$1630,"=TR-ARCOVERDE")</f>
        <v>0</v>
      </c>
      <c r="AU5" s="36">
        <f>COUNTIFS($B$2:$B$1630,"=Plantão Técnico",$J$2:$J$1630,"=TR-ARCOVERDE")</f>
        <v>0</v>
      </c>
      <c r="AV5" s="36">
        <f>COUNTIFS($B$2:$B$1630,"=Destinação Final",$J$2:$J$1630,"=TR-ARCOVERDE")</f>
        <v>0</v>
      </c>
      <c r="AW5" s="36">
        <f>COUNTIFS($B$2:$B$1630,"=Remanejamento",$J$2:$J$1630,"=TR-ARCOVERDE")</f>
        <v>0</v>
      </c>
      <c r="AX5" s="36">
        <f>COUNTIFS($B$2:$B$1630,"=Configuração",$J$2:$J$1630,"=TR-ARCOVERDE")</f>
        <v>0</v>
      </c>
      <c r="AY5" s="36">
        <f>COUNTIFS($B$2:$B$1630,"=Cota",$J$2:$J$1630,"=TR-ARCOVERDE")</f>
        <v>0</v>
      </c>
    </row>
    <row r="6" spans="1:52" hidden="1">
      <c r="A6" s="209">
        <v>937455</v>
      </c>
      <c r="B6" s="209" t="s">
        <v>27</v>
      </c>
      <c r="C6" s="210" t="s">
        <v>70</v>
      </c>
      <c r="D6" s="214"/>
      <c r="E6" s="214">
        <v>4118000206001</v>
      </c>
      <c r="F6" s="209" t="s">
        <v>29</v>
      </c>
      <c r="G6" s="209" t="s">
        <v>53</v>
      </c>
      <c r="H6" s="209" t="s">
        <v>71</v>
      </c>
      <c r="I6" s="209" t="s">
        <v>72</v>
      </c>
      <c r="J6" s="209" t="s">
        <v>46</v>
      </c>
      <c r="K6" s="210" t="s">
        <v>34</v>
      </c>
      <c r="L6" s="210"/>
      <c r="M6" s="209" t="s">
        <v>35</v>
      </c>
      <c r="N6" s="209">
        <v>42318949</v>
      </c>
      <c r="O6" s="209" t="s">
        <v>36</v>
      </c>
      <c r="P6" s="213">
        <v>44040.421030092592</v>
      </c>
      <c r="Q6" s="209"/>
      <c r="R6" s="209" t="s">
        <v>38</v>
      </c>
      <c r="S6" s="209"/>
      <c r="T6" s="209" t="s">
        <v>74</v>
      </c>
      <c r="U6" s="213">
        <v>44040.75</v>
      </c>
      <c r="V6" s="209" t="s">
        <v>41</v>
      </c>
      <c r="W6" s="209" t="s">
        <v>49</v>
      </c>
      <c r="X6" s="13" t="str">
        <f>IF(RIGHT(H6,2)&lt;&gt;"00",H6,"")</f>
        <v/>
      </c>
      <c r="Y6" s="26">
        <f ca="1">NETWORKDAYS(P6,$Y$1)</f>
        <v>677</v>
      </c>
      <c r="Z6" s="34">
        <v>1</v>
      </c>
      <c r="AA6" s="25" t="str">
        <f t="shared" ca="1" si="0"/>
        <v>A VENCER</v>
      </c>
      <c r="AB6" s="25" t="str">
        <f t="shared" si="1"/>
        <v>Dosa</v>
      </c>
      <c r="AC6" s="2" t="str">
        <f t="shared" si="4"/>
        <v xml:space="preserve"> CLEITON </v>
      </c>
      <c r="AD6" s="26">
        <f t="shared" si="2"/>
        <v>5</v>
      </c>
      <c r="AE6" s="26">
        <f t="shared" ca="1" si="3"/>
        <v>946.25524155092717</v>
      </c>
      <c r="AF6" s="35"/>
      <c r="AG6" s="36" t="s">
        <v>1153</v>
      </c>
      <c r="AH6" s="42">
        <f>COUNTIF($B$2:$B$1630,"Manutenção Corretiva")</f>
        <v>200</v>
      </c>
      <c r="AI6" s="38">
        <f t="shared" si="5"/>
        <v>0.12322858903265557</v>
      </c>
      <c r="AJ6" s="39"/>
      <c r="AK6" s="43" t="s">
        <v>148</v>
      </c>
      <c r="AL6" s="36">
        <f>COUNTIFS($B$2:$B$1630,"=Manutenção Corretiva",$J$2:$J$1630,"=TR-CARNAIBA")</f>
        <v>4</v>
      </c>
      <c r="AM6" s="36">
        <f>COUNTIFS($B$2:$B$1630,"=Cadastro de Equipamentos",$J$2:$J$1630,"=TR-CARNAIBA")</f>
        <v>0</v>
      </c>
      <c r="AN6" s="36">
        <f>COUNTIFS($B$2:$B$1630,"=Manutenção Preventiva",$J$2:$J$1630,"=TR-CARNAIBA")</f>
        <v>19</v>
      </c>
      <c r="AO6" s="36">
        <f>COUNTIFS($B$2:$B$1630,"=Instalação",$J$2:$J$1630,"=TR-CARNAIBA")</f>
        <v>7</v>
      </c>
      <c r="AP6" s="36">
        <f>COUNTIFS($B$2:$B$1630,"=Vistoria",$J$2:$J$1630,"=TR-CARNAIBA")</f>
        <v>17</v>
      </c>
      <c r="AQ6" s="36">
        <f>COUNTIFS($B$2:$B$1630,"=Ativação",$J$2:$J$1630,"=TR-CARNAIBA")</f>
        <v>1</v>
      </c>
      <c r="AR6" s="36">
        <f>COUNTIFS($B$2:$B$1630,"=Retrofit",$J$2:$J$1630,"=TR-CARNAIBA")</f>
        <v>0</v>
      </c>
      <c r="AS6" s="36">
        <f>COUNTIFS($B$2:$B$1630,"=Organização",$J$2:$J$1630,"=TR-CARNAIBA")</f>
        <v>0</v>
      </c>
      <c r="AT6" s="36">
        <f>COUNTIFS($B$2:$B$1630,"=Abertura/Reparo de Cofre",$J$2:$J$1630,"=TR-CARNAIBA")</f>
        <v>0</v>
      </c>
      <c r="AU6" s="36">
        <f>COUNTIFS($B$2:$B$1630,"=Plantão Técnico",$J$2:$J$1630,"=TR-CARNAIBA")</f>
        <v>0</v>
      </c>
      <c r="AV6" s="36">
        <f>COUNTIFS($B$2:$B$1630,"=Destinação Final",$J$2:$J$1630,"=TR-CARNAIBA")</f>
        <v>0</v>
      </c>
      <c r="AW6" s="36">
        <f>COUNTIFS($B$2:$B$1630,"=Remanejamento",$J$2:$J$1630,"=TR-CARNAIBA")</f>
        <v>0</v>
      </c>
      <c r="AX6" s="36">
        <f>COUNTIFS($B$2:$B$1630,"=Configuração",$J$2:$J$1630,"=TR-CARNAIBA")</f>
        <v>0</v>
      </c>
      <c r="AY6" s="36">
        <f>COUNTIFS($B$2:$B$1630,"=Cota",$J$2:$J$1630,"=TR-CARNAIBA")</f>
        <v>0</v>
      </c>
    </row>
    <row r="7" spans="1:52" hidden="1">
      <c r="A7" s="209">
        <v>937269</v>
      </c>
      <c r="B7" s="209" t="s">
        <v>27</v>
      </c>
      <c r="C7" s="210" t="s">
        <v>76</v>
      </c>
      <c r="D7" s="214"/>
      <c r="E7" s="214">
        <v>711000206001</v>
      </c>
      <c r="F7" s="209" t="s">
        <v>29</v>
      </c>
      <c r="G7" s="209" t="s">
        <v>53</v>
      </c>
      <c r="H7" s="209" t="s">
        <v>77</v>
      </c>
      <c r="I7" s="209" t="s">
        <v>78</v>
      </c>
      <c r="J7" s="209" t="s">
        <v>79</v>
      </c>
      <c r="K7" s="210" t="s">
        <v>34</v>
      </c>
      <c r="L7" s="210"/>
      <c r="M7" s="209" t="s">
        <v>35</v>
      </c>
      <c r="N7" s="209">
        <v>42318949</v>
      </c>
      <c r="O7" s="209" t="s">
        <v>36</v>
      </c>
      <c r="P7" s="213">
        <v>44040.420752314814</v>
      </c>
      <c r="Q7" s="209"/>
      <c r="R7" s="209" t="s">
        <v>38</v>
      </c>
      <c r="S7" s="209"/>
      <c r="T7" s="209" t="s">
        <v>74</v>
      </c>
      <c r="U7" s="213">
        <v>44040.75</v>
      </c>
      <c r="V7" s="209" t="s">
        <v>41</v>
      </c>
      <c r="W7" s="209" t="s">
        <v>49</v>
      </c>
      <c r="X7" s="13" t="str">
        <f>IF(RIGHT(H7,2)&lt;&gt;"00",H7,"")</f>
        <v/>
      </c>
      <c r="Y7" s="26">
        <f ca="1">NETWORKDAYS(P7,$Y$1)</f>
        <v>677</v>
      </c>
      <c r="Z7" s="34">
        <v>1</v>
      </c>
      <c r="AA7" s="25" t="str">
        <f t="shared" ca="1" si="0"/>
        <v>A VENCER</v>
      </c>
      <c r="AB7" s="25" t="str">
        <f t="shared" si="1"/>
        <v>Dosa</v>
      </c>
      <c r="AC7" s="2" t="str">
        <f t="shared" si="4"/>
        <v xml:space="preserve"> ROSEMERE </v>
      </c>
      <c r="AD7" s="26">
        <f t="shared" si="2"/>
        <v>5</v>
      </c>
      <c r="AE7" s="26">
        <f t="shared" ca="1" si="3"/>
        <v>946.25551932870439</v>
      </c>
      <c r="AF7" s="35"/>
      <c r="AG7" s="36" t="s">
        <v>62</v>
      </c>
      <c r="AH7" s="42">
        <f>COUNTIF($B$2:$B$1630,"Instalação")</f>
        <v>186</v>
      </c>
      <c r="AI7" s="38">
        <f t="shared" si="5"/>
        <v>0.11460258780036968</v>
      </c>
      <c r="AJ7" s="39"/>
      <c r="AK7" s="43" t="s">
        <v>79</v>
      </c>
      <c r="AL7" s="36">
        <f>COUNTIFS($B$2:$B$1630,"=Manutenção Corretiva",$J$2:$J$1630,"=TR-CARUARU")</f>
        <v>11</v>
      </c>
      <c r="AM7" s="36">
        <f>COUNTIFS($B$2:$B$1630,"=Cadastro de Equipamentos",$J$2:$J$1630,"=TR-CARUARU")</f>
        <v>21</v>
      </c>
      <c r="AN7" s="36">
        <f>COUNTIFS($B$2:$B$1630,"=Manutenção Preventiva",$J$2:$J$1630,"=TR-CARUARU")</f>
        <v>71</v>
      </c>
      <c r="AO7" s="36">
        <f>COUNTIFS($B$2:$B$1630,"=Instalação",$J$2:$J$1630,"=TR-CARUARU")</f>
        <v>17</v>
      </c>
      <c r="AP7" s="36">
        <f>COUNTIFS($B$2:$B$1630,"=Vistoria",$J$2:$J$1630,"=TR-CARUARU")</f>
        <v>28</v>
      </c>
      <c r="AQ7" s="36">
        <f>COUNTIFS($B$2:$B$1630,"=Ativação",$J$2:$J$1630,"=TR-CARUARU")</f>
        <v>6</v>
      </c>
      <c r="AR7" s="36">
        <f>COUNTIFS($B$2:$B$1630,"=Retrofit",$J$2:$J$1630,"=TR-CARUARU")</f>
        <v>0</v>
      </c>
      <c r="AS7" s="36">
        <f>COUNTIFS($B$2:$B$1630,"=Organização",$J$2:$J$1630,"=TR-CARUARU")</f>
        <v>0</v>
      </c>
      <c r="AT7" s="36">
        <f>COUNTIFS($B$2:$B$1630,"=Abertura/Reparo de Cofre",$J$2:$J$1630,"=TR-CARUARU")</f>
        <v>0</v>
      </c>
      <c r="AU7" s="36">
        <f>COUNTIFS($B$2:$B$1630,"=Plantão Técnico",$J$2:$J$1630,"=TR-CARUARU")</f>
        <v>0</v>
      </c>
      <c r="AV7" s="36">
        <f>COUNTIFS($B$2:$B$1630,"=Destinação Final",$J$2:$J$1630,"=TR-CARUARU")</f>
        <v>0</v>
      </c>
      <c r="AW7" s="36">
        <f>COUNTIFS($B$2:$B$1630,"=Remanejamento",$J$2:$J$1630,"=TR-CARUARU")</f>
        <v>0</v>
      </c>
      <c r="AX7" s="36">
        <f>COUNTIFS($B$2:$B$1630,"=Configuração",$J$2:$J$1630,"=TR-CARUARU")</f>
        <v>0</v>
      </c>
      <c r="AY7" s="36">
        <f>COUNTIFS($B$2:$B$1630,"=Cota",$J$2:$J$1630,"=TR-CARUARU")</f>
        <v>0</v>
      </c>
    </row>
    <row r="8" spans="1:52" hidden="1">
      <c r="A8" s="209">
        <v>945945</v>
      </c>
      <c r="B8" s="209" t="s">
        <v>81</v>
      </c>
      <c r="C8" s="210" t="s">
        <v>82</v>
      </c>
      <c r="D8" s="214"/>
      <c r="E8" s="214">
        <v>917000206001</v>
      </c>
      <c r="F8" s="209" t="s">
        <v>29</v>
      </c>
      <c r="G8" s="209" t="s">
        <v>53</v>
      </c>
      <c r="H8" s="209" t="s">
        <v>83</v>
      </c>
      <c r="I8" s="209" t="s">
        <v>84</v>
      </c>
      <c r="J8" s="209" t="s">
        <v>85</v>
      </c>
      <c r="K8" s="210" t="s">
        <v>34</v>
      </c>
      <c r="L8" s="210"/>
      <c r="M8" s="209" t="s">
        <v>35</v>
      </c>
      <c r="N8" s="209">
        <v>42318949</v>
      </c>
      <c r="O8" s="209" t="s">
        <v>36</v>
      </c>
      <c r="P8" s="213">
        <v>44047.485810185186</v>
      </c>
      <c r="Q8" s="209"/>
      <c r="R8" s="209" t="s">
        <v>38</v>
      </c>
      <c r="S8" s="209"/>
      <c r="T8" s="209" t="s">
        <v>74</v>
      </c>
      <c r="U8" s="209"/>
      <c r="V8" s="209" t="s">
        <v>41</v>
      </c>
      <c r="W8" s="209" t="s">
        <v>49</v>
      </c>
      <c r="X8" s="13" t="str">
        <f>IF(RIGHT(H8,2)&lt;&gt;"00",H8,"")</f>
        <v/>
      </c>
      <c r="Y8" s="26">
        <f ca="1">NETWORKDAYS(P8,$Y$1)</f>
        <v>672</v>
      </c>
      <c r="Z8" s="34">
        <v>1</v>
      </c>
      <c r="AA8" s="25" t="str">
        <f t="shared" ca="1" si="0"/>
        <v>A VENCER</v>
      </c>
      <c r="AB8" s="25" t="str">
        <f t="shared" si="1"/>
        <v>Dosa</v>
      </c>
      <c r="AC8" s="2" t="str">
        <f t="shared" si="4"/>
        <v xml:space="preserve"> RINALDO </v>
      </c>
      <c r="AD8" s="26">
        <f t="shared" si="2"/>
        <v>5</v>
      </c>
      <c r="AE8" s="26">
        <f t="shared" ca="1" si="3"/>
        <v>939.19046145833272</v>
      </c>
      <c r="AF8" s="35"/>
      <c r="AG8" s="36" t="s">
        <v>81</v>
      </c>
      <c r="AH8" s="42">
        <f>COUNTIF($B$2:$B$1630,"Vistoria")</f>
        <v>323</v>
      </c>
      <c r="AI8" s="38">
        <f t="shared" si="5"/>
        <v>0.19901417128773877</v>
      </c>
      <c r="AJ8" s="39"/>
      <c r="AK8" s="43" t="s">
        <v>164</v>
      </c>
      <c r="AL8" s="36">
        <f>COUNTIFS($B$2:$B$1630,"=Manutenção Corretiva",$J$2:$J$1630,"=TR-GARANHUNS")</f>
        <v>22</v>
      </c>
      <c r="AM8" s="36">
        <f>COUNTIFS($B$2:$B$1630,"=Cadastro de Equipamentos",$J$2:$J$1630,"=TR-GARANHUNS")</f>
        <v>24</v>
      </c>
      <c r="AN8" s="36">
        <f>COUNTIFS($B$2:$B$1630,"=Manutenção Preventiva",$J$2:$J$1630,"=TR-GARANHUNS")</f>
        <v>79</v>
      </c>
      <c r="AO8" s="36">
        <f>COUNTIFS($B$2:$B$1630,"=Instalação",$J$2:$J$1630,"=TR-GARANHUNS")</f>
        <v>15</v>
      </c>
      <c r="AP8" s="36">
        <f>COUNTIFS($B$2:$B$1630,"=Vistoria",$J$2:$J$1630,"=TR-GARANHUNS")</f>
        <v>32</v>
      </c>
      <c r="AQ8" s="36">
        <f>COUNTIFS($B$2:$B$1630,"=Ativação",$J$2:$J$1630,"=TR-GARANHUNS")</f>
        <v>4</v>
      </c>
      <c r="AR8" s="36">
        <f>COUNTIFS($B$2:$B$1630,"=Retrofit",$J$2:$J$1630,"=TR-GARANHUNS")</f>
        <v>0</v>
      </c>
      <c r="AS8" s="36">
        <f>COUNTIFS($B$2:$B$1630,"=Organização",$J$2:$J$1630,"=TR-GARANHUNS")</f>
        <v>0</v>
      </c>
      <c r="AT8" s="36">
        <f>COUNTIFS($B$2:$B$1630,"=Abertura/Reparo de Cofre",$J$2:$J$1630,"=TR-GARANHUNS")</f>
        <v>0</v>
      </c>
      <c r="AU8" s="36">
        <f>COUNTIFS($B$2:$B$1630,"=Plantão Técnico",$J$2:$J$1630,"=TR-GARANHUNS")</f>
        <v>0</v>
      </c>
      <c r="AV8" s="36">
        <f>COUNTIFS($B$2:$B$1630,"=Destinação Final",$J$2:$J$1630,"=TR-GARANHUNS")</f>
        <v>0</v>
      </c>
      <c r="AW8" s="36">
        <f>COUNTIFS($B$2:$B$1630,"=Remanejamento",$J$2:$J$1630,"=TR-GARANHUNS")</f>
        <v>0</v>
      </c>
      <c r="AX8" s="36">
        <f>COUNTIFS($B$2:$B$1630,"=Configuração",$J$2:$J$1630,"=TR-GARANHUNS")</f>
        <v>0</v>
      </c>
      <c r="AY8" s="36">
        <f>COUNTIFS($B$2:$B$1630,"=Cota",$J$2:$J$1630,"=TR-GARANHUNS")</f>
        <v>0</v>
      </c>
    </row>
    <row r="9" spans="1:52" hidden="1">
      <c r="A9" s="209">
        <v>1007606</v>
      </c>
      <c r="B9" s="209" t="s">
        <v>62</v>
      </c>
      <c r="C9" s="210" t="s">
        <v>87</v>
      </c>
      <c r="D9" s="214"/>
      <c r="E9" s="214">
        <v>1059000206001</v>
      </c>
      <c r="F9" s="209" t="s">
        <v>29</v>
      </c>
      <c r="G9" s="209" t="s">
        <v>53</v>
      </c>
      <c r="H9" s="209" t="s">
        <v>88</v>
      </c>
      <c r="I9" s="209" t="s">
        <v>89</v>
      </c>
      <c r="J9" s="209" t="s">
        <v>90</v>
      </c>
      <c r="K9" s="210" t="s">
        <v>34</v>
      </c>
      <c r="L9" s="210"/>
      <c r="M9" s="209" t="s">
        <v>35</v>
      </c>
      <c r="N9" s="209">
        <v>42318949</v>
      </c>
      <c r="O9" s="209" t="s">
        <v>36</v>
      </c>
      <c r="P9" s="213">
        <v>44099.640405092592</v>
      </c>
      <c r="Q9" s="209"/>
      <c r="R9" s="209" t="s">
        <v>38</v>
      </c>
      <c r="S9" s="209"/>
      <c r="T9" s="209" t="s">
        <v>74</v>
      </c>
      <c r="U9" s="213">
        <v>44144.75</v>
      </c>
      <c r="V9" s="209" t="s">
        <v>41</v>
      </c>
      <c r="W9" s="209" t="s">
        <v>49</v>
      </c>
      <c r="X9" s="13" t="str">
        <f>IF(RIGHT(H9,2)&lt;&gt;"00",H9,"")</f>
        <v/>
      </c>
      <c r="Y9" s="26">
        <f ca="1">NETWORKDAYS(P9,$Y$1)</f>
        <v>634</v>
      </c>
      <c r="Z9" s="34">
        <v>1</v>
      </c>
      <c r="AA9" s="25" t="str">
        <f t="shared" ca="1" si="0"/>
        <v>A VENCER</v>
      </c>
      <c r="AB9" s="25" t="str">
        <f t="shared" si="1"/>
        <v>Dosa</v>
      </c>
      <c r="AC9" s="2" t="str">
        <f t="shared" si="4"/>
        <v xml:space="preserve"> RINALDO </v>
      </c>
      <c r="AD9" s="26">
        <f t="shared" si="2"/>
        <v>5</v>
      </c>
      <c r="AE9" s="26">
        <f t="shared" ca="1" si="3"/>
        <v>887.03586655092658</v>
      </c>
      <c r="AF9" s="35"/>
      <c r="AG9" s="36" t="s">
        <v>27</v>
      </c>
      <c r="AH9" s="42">
        <f>COUNTIF($B$2:$B$1630,"Ativação")</f>
        <v>58</v>
      </c>
      <c r="AI9" s="38">
        <f t="shared" si="5"/>
        <v>3.5736290819470114E-2</v>
      </c>
      <c r="AJ9" s="39"/>
      <c r="AK9" s="43" t="s">
        <v>110</v>
      </c>
      <c r="AL9" s="36">
        <f>COUNTIFS($B$2:$B$1630,"=Manutenção Corretiva",$J$2:$J$1630,"=TR-GOIANA")</f>
        <v>9</v>
      </c>
      <c r="AM9" s="36">
        <f>COUNTIFS($B$2:$B$1630,"=Cadastro de Equipamentos",$J$2:$J$1630,"=TR-GOIANA")</f>
        <v>3</v>
      </c>
      <c r="AN9" s="36">
        <f>COUNTIFS($B$2:$B$1630,"=Manutenção Preventiva",$J$2:$J$1630,"=TR-GOIANA")</f>
        <v>42</v>
      </c>
      <c r="AO9" s="36">
        <f>COUNTIFS($B$2:$B$1630,"=Instalação",$J$2:$J$1630,"=TR-GOIANA")</f>
        <v>9</v>
      </c>
      <c r="AP9" s="36">
        <f>COUNTIFS($B$2:$B$1630,"=Vistoria",$J$2:$J$1630,"=TR-GOIANA")</f>
        <v>14</v>
      </c>
      <c r="AQ9" s="36">
        <f>COUNTIFS($B$2:$B$1630,"=Ativação",$J$2:$J$1630,"=TR-GOIANA")</f>
        <v>5</v>
      </c>
      <c r="AR9" s="36">
        <f>COUNTIFS($B$2:$B$1630,"=Retrofit",$J$2:$J$1630,"=TR-GOIANA")</f>
        <v>0</v>
      </c>
      <c r="AS9" s="36">
        <f>COUNTIFS($B$2:$B$1630,"=Organização",$J$2:$J$1630,"=TR-GOIANA")</f>
        <v>0</v>
      </c>
      <c r="AT9" s="36">
        <f>COUNTIFS($B$2:$B$1630,"=Abertura/Reparo de Cofre",$J$2:$J$1630,"=TR-GOIANA")</f>
        <v>0</v>
      </c>
      <c r="AU9" s="36">
        <f>COUNTIFS($B$2:$B$1630,"=Plantão Técnico",$J$2:$J$1630,"=TR-GOIANA")</f>
        <v>0</v>
      </c>
      <c r="AV9" s="36">
        <f>COUNTIFS($B$2:$B$1630,"=Destinação Final",$J$2:$J$1630,"=TR-GOIANA")</f>
        <v>0</v>
      </c>
      <c r="AW9" s="36">
        <f>COUNTIFS($B$2:$B$1630,"=Remanejamento",$J$2:$J$1630,"=TR-GOIANA")</f>
        <v>1</v>
      </c>
      <c r="AX9" s="36">
        <f>COUNTIFS($B$2:$B$1630,"=Configuração",$J$2:$J$1630,"=TR-GOIANA")</f>
        <v>0</v>
      </c>
      <c r="AY9" s="36">
        <f>COUNTIFS($B$2:$B$1630,"=Cota",$J$2:$J$1630,"=TR-GOIANA")</f>
        <v>0</v>
      </c>
    </row>
    <row r="10" spans="1:52" hidden="1">
      <c r="A10" s="209">
        <v>1739574</v>
      </c>
      <c r="B10" s="209" t="s">
        <v>62</v>
      </c>
      <c r="C10" s="210" t="s">
        <v>93</v>
      </c>
      <c r="D10" s="214"/>
      <c r="E10" s="214">
        <v>9661000206001</v>
      </c>
      <c r="F10" s="209" t="s">
        <v>29</v>
      </c>
      <c r="G10" s="209" t="s">
        <v>53</v>
      </c>
      <c r="H10" s="209" t="s">
        <v>31</v>
      </c>
      <c r="I10" s="209" t="s">
        <v>32</v>
      </c>
      <c r="J10" s="209" t="s">
        <v>33</v>
      </c>
      <c r="K10" s="210" t="s">
        <v>34</v>
      </c>
      <c r="L10" s="210"/>
      <c r="M10" s="209" t="s">
        <v>35</v>
      </c>
      <c r="N10" s="209">
        <v>42318949</v>
      </c>
      <c r="O10" s="209" t="s">
        <v>36</v>
      </c>
      <c r="P10" s="213">
        <v>44160.784016203703</v>
      </c>
      <c r="Q10" s="209"/>
      <c r="R10" s="209" t="s">
        <v>38</v>
      </c>
      <c r="S10" s="209"/>
      <c r="T10" s="209" t="s">
        <v>74</v>
      </c>
      <c r="U10" s="213">
        <v>44204.75</v>
      </c>
      <c r="V10" s="209" t="s">
        <v>41</v>
      </c>
      <c r="W10" s="209" t="s">
        <v>42</v>
      </c>
      <c r="X10" s="13" t="str">
        <f>IF(RIGHT(H10,2)&lt;&gt;"00",H10,"")</f>
        <v/>
      </c>
      <c r="Y10" s="26">
        <f ca="1">NETWORKDAYS(P10,$Y$1)</f>
        <v>591</v>
      </c>
      <c r="Z10" s="34">
        <v>1</v>
      </c>
      <c r="AA10" s="25" t="str">
        <f t="shared" ca="1" si="0"/>
        <v>A VENCER</v>
      </c>
      <c r="AB10" s="25" t="str">
        <f t="shared" si="1"/>
        <v>Dosa</v>
      </c>
      <c r="AC10" s="2" t="str">
        <f t="shared" si="4"/>
        <v xml:space="preserve"> ROSEMERE </v>
      </c>
      <c r="AD10" s="26">
        <f t="shared" si="2"/>
        <v>5</v>
      </c>
      <c r="AE10" s="26">
        <f t="shared" ca="1" si="3"/>
        <v>825.89225543981593</v>
      </c>
      <c r="AF10" s="35"/>
      <c r="AG10" s="36" t="s">
        <v>4612</v>
      </c>
      <c r="AH10" s="42">
        <f>COUNTIF($B$2:$B$1630,"Retrofit")</f>
        <v>0</v>
      </c>
      <c r="AI10" s="38">
        <f t="shared" si="5"/>
        <v>0</v>
      </c>
      <c r="AJ10" s="39"/>
      <c r="AK10" s="43" t="s">
        <v>261</v>
      </c>
      <c r="AL10" s="36">
        <f>COUNTIFS($B$2:$B$1630,"=Manutenção Corretiva",$J$2:$J$1630,"=TR-GRAVATA")</f>
        <v>7</v>
      </c>
      <c r="AM10" s="36">
        <f>COUNTIFS($B$2:$B$1630,"=Cadastro de Equipamentos",$J$2:$J$1630,"=TR-GRAVATA")</f>
        <v>9</v>
      </c>
      <c r="AN10" s="36">
        <f>COUNTIFS($B$2:$B$1630,"=Manutenção Preventiva",$J$2:$J$1630,"=TR-GRAVATA")</f>
        <v>44</v>
      </c>
      <c r="AO10" s="36">
        <f>COUNTIFS($B$2:$B$1630,"=Instalação",$J$2:$J$1630,"=TR-GRAVATA")</f>
        <v>3</v>
      </c>
      <c r="AP10" s="36">
        <f>COUNTIFS($B$2:$B$1630,"=Vistoria",$J$2:$J$1630,"=TR-GRAVATA")</f>
        <v>22</v>
      </c>
      <c r="AQ10" s="36">
        <f>COUNTIFS($B$2:$B$1630,"=Ativação",$J$2:$J$1630,"=TR-GRAVATA")</f>
        <v>6</v>
      </c>
      <c r="AR10" s="36">
        <f>COUNTIFS($B$2:$B$1630,"=Retrofit",$J$2:$J$1630,"=TR-GRAVATA")</f>
        <v>0</v>
      </c>
      <c r="AS10" s="36">
        <f>COUNTIFS($B$2:$B$1630,"=Organização",$J$2:$J$1630,"=TR-GRAVATA")</f>
        <v>0</v>
      </c>
      <c r="AT10" s="36">
        <f>COUNTIFS($B$2:$B$1630,"=Abertura/Reparo de Cofre",$J$2:$J$1630,"=TR-GRAVATA")</f>
        <v>0</v>
      </c>
      <c r="AU10" s="36">
        <f>COUNTIFS($B$2:$B$1630,"=Plantão Técnico",$J$2:$J$1630,"=TR-GRAVATA")</f>
        <v>0</v>
      </c>
      <c r="AV10" s="36">
        <f>COUNTIFS($B$2:$B$1630,"=Destinação Final",$J$2:$J$1630,"=TR-GRAVATA")</f>
        <v>0</v>
      </c>
      <c r="AW10" s="36">
        <f>COUNTIFS($B$2:$B$1630,"=Remanejamento",$J$2:$J$1630,"=TR-GRAVATA")</f>
        <v>0</v>
      </c>
      <c r="AX10" s="36">
        <f>COUNTIFS($B$2:$B$1630,"=Configuração",$J$2:$J$1630,"=TR-GRAVATA")</f>
        <v>0</v>
      </c>
      <c r="AY10" s="36">
        <f>COUNTIFS($B$2:$B$1630,"=Cota",$J$2:$J$1630,"=TR-GRAVATA")</f>
        <v>0</v>
      </c>
    </row>
    <row r="11" spans="1:52" hidden="1">
      <c r="A11" s="209">
        <v>1769469</v>
      </c>
      <c r="B11" s="209" t="s">
        <v>62</v>
      </c>
      <c r="C11" s="210" t="s">
        <v>96</v>
      </c>
      <c r="D11" s="214"/>
      <c r="E11" s="214">
        <v>9661000206001</v>
      </c>
      <c r="F11" s="209" t="s">
        <v>29</v>
      </c>
      <c r="G11" s="209" t="s">
        <v>53</v>
      </c>
      <c r="H11" s="209" t="s">
        <v>31</v>
      </c>
      <c r="I11" s="209" t="s">
        <v>32</v>
      </c>
      <c r="J11" s="209" t="s">
        <v>33</v>
      </c>
      <c r="K11" s="210" t="s">
        <v>34</v>
      </c>
      <c r="L11" s="210"/>
      <c r="M11" s="209" t="s">
        <v>35</v>
      </c>
      <c r="N11" s="209">
        <v>42318949</v>
      </c>
      <c r="O11" s="209" t="s">
        <v>36</v>
      </c>
      <c r="P11" s="213">
        <v>44162.733298611114</v>
      </c>
      <c r="Q11" s="209"/>
      <c r="R11" s="209" t="s">
        <v>38</v>
      </c>
      <c r="S11" s="209"/>
      <c r="T11" s="209" t="s">
        <v>74</v>
      </c>
      <c r="U11" s="213">
        <v>44208.75</v>
      </c>
      <c r="V11" s="209" t="s">
        <v>41</v>
      </c>
      <c r="W11" s="209" t="s">
        <v>42</v>
      </c>
      <c r="X11" s="13" t="str">
        <f>IF(RIGHT(H11,2)&lt;&gt;"00",H11,"")</f>
        <v/>
      </c>
      <c r="Y11" s="26">
        <f ca="1">NETWORKDAYS(P11,$Y$1)</f>
        <v>589</v>
      </c>
      <c r="Z11" s="34">
        <v>1</v>
      </c>
      <c r="AA11" s="25" t="str">
        <f t="shared" ca="1" si="0"/>
        <v>A VENCER</v>
      </c>
      <c r="AB11" s="25" t="str">
        <f t="shared" si="1"/>
        <v>Dosa</v>
      </c>
      <c r="AC11" s="2" t="str">
        <f>IF(J11="TR-PETROLINA"," ROSEMERE ",IF(J11="TR-GARANHUNS"," ROSEMERE ",IF(J11="TR-CARUARU"," ROSEMERE ",IF(J11="TR-RIBEIRAO"," CRISTINA ",IF(J11="TR-GRAVATA"," CRISTINA ",IF(J11="TR-GOIANA"," CRISTINA ",IF(J11="TR-LIMOEIRO"," CRISTINA ",IF(J11="TR-SERRA TALHADA"," RINALDO ",IF(J11="TR-SALGUEIRO"," RINALDO ",IF(J11="TR-CARNAIBA"," RINALDO ",IF(J11="TR-ARCOVERDE"," RINALDO ",IF(J11="CAT-RECIFE"," CLEITON ",))))))))))))</f>
        <v xml:space="preserve"> ROSEMERE </v>
      </c>
      <c r="AD11" s="26">
        <f t="shared" si="2"/>
        <v>5</v>
      </c>
      <c r="AE11" s="26">
        <f t="shared" ca="1" si="3"/>
        <v>823.94297303240455</v>
      </c>
      <c r="AF11" s="35"/>
      <c r="AG11" s="36" t="s">
        <v>3541</v>
      </c>
      <c r="AH11" s="42">
        <f>COUNTIF($B$2:$B$1630,"Organização")</f>
        <v>0</v>
      </c>
      <c r="AI11" s="38">
        <f t="shared" si="5"/>
        <v>0</v>
      </c>
      <c r="AJ11" s="39"/>
      <c r="AK11" s="43" t="s">
        <v>141</v>
      </c>
      <c r="AL11" s="36">
        <f>COUNTIFS($B$2:$B$1630,"=Manutenção Corretiva",$J$2:$J$1630,"=TR-LIMOEIRO")</f>
        <v>7</v>
      </c>
      <c r="AM11" s="36">
        <f>COUNTIFS($B$2:$B$1630,"=Cadastro de Equipamentos",$J$2:$J$1630,"=TR-LIMOEIRO")</f>
        <v>9</v>
      </c>
      <c r="AN11" s="36">
        <f>COUNTIFS($B$2:$B$1630,"=Manutenção Preventiva",$J$2:$J$1630,"=TR-LIMOEIRO")</f>
        <v>24</v>
      </c>
      <c r="AO11" s="36">
        <f>COUNTIFS($B$2:$B$1630,"=Instalação",$J$2:$J$1630,"=TR-LIMOEIRO")</f>
        <v>4</v>
      </c>
      <c r="AP11" s="36">
        <f>COUNTIFS($B$2:$B$1630,"=Vistoria",$J$2:$J$1630,"=TR-LIMOEIRO")</f>
        <v>10</v>
      </c>
      <c r="AQ11" s="36">
        <f>COUNTIFS($B$2:$B$1630,"=Ativação",$J$2:$J$1630,"=TR-LIMOEIRO")</f>
        <v>2</v>
      </c>
      <c r="AR11" s="36">
        <f>COUNTIFS($B$2:$B$1630,"=Retrofit",$J$2:$J$1630,"=TR-LIMOEIRO")</f>
        <v>0</v>
      </c>
      <c r="AS11" s="36">
        <f>COUNTIFS($B$2:$B$1630,"=Organização",$J$2:$J$1630,"=TR-LIMOEIRO")</f>
        <v>0</v>
      </c>
      <c r="AT11" s="36">
        <f>COUNTIFS($B$2:$B$1630,"=Abertura/Reparo de Cofre",$J$2:$J$1630,"=TR-LIMOEIRO")</f>
        <v>0</v>
      </c>
      <c r="AU11" s="36">
        <f>COUNTIFS($B$2:$B$1630,"=Plantão Técnico",$J$2:$J$1630,"=TR-LIMOEIRO")</f>
        <v>0</v>
      </c>
      <c r="AV11" s="36">
        <f>COUNTIFS($B$2:$B$1630,"=Destinação Final",$J$2:$J$1630,"=TR-LIMOEIRO")</f>
        <v>0</v>
      </c>
      <c r="AW11" s="36">
        <f>COUNTIFS($B$2:$B$1630,"=Remanejamento",$J$2:$J$1630,"=TR-LIMOEIRO")</f>
        <v>0</v>
      </c>
      <c r="AX11" s="36">
        <f>COUNTIFS($B$2:$B$1630,"=Configuração",$J$2:$J$1630,"=TR-LIMOEIRO")</f>
        <v>0</v>
      </c>
      <c r="AY11" s="36">
        <f>COUNTIFS($B$2:$B$1630,"=Cota",$J$2:$J$1630,"=TR-LIMOEIRO")</f>
        <v>0</v>
      </c>
    </row>
    <row r="12" spans="1:52" hidden="1">
      <c r="A12" s="209">
        <v>1769442</v>
      </c>
      <c r="B12" s="209" t="s">
        <v>62</v>
      </c>
      <c r="C12" s="210" t="s">
        <v>96</v>
      </c>
      <c r="D12" s="214"/>
      <c r="E12" s="214">
        <v>9661000206001</v>
      </c>
      <c r="F12" s="209" t="s">
        <v>29</v>
      </c>
      <c r="G12" s="209" t="s">
        <v>53</v>
      </c>
      <c r="H12" s="209" t="s">
        <v>31</v>
      </c>
      <c r="I12" s="209" t="s">
        <v>32</v>
      </c>
      <c r="J12" s="209" t="s">
        <v>33</v>
      </c>
      <c r="K12" s="210" t="s">
        <v>34</v>
      </c>
      <c r="L12" s="210"/>
      <c r="M12" s="209" t="s">
        <v>35</v>
      </c>
      <c r="N12" s="209">
        <v>42318949</v>
      </c>
      <c r="O12" s="209" t="s">
        <v>36</v>
      </c>
      <c r="P12" s="213">
        <v>44162.733263888891</v>
      </c>
      <c r="Q12" s="209"/>
      <c r="R12" s="209" t="s">
        <v>38</v>
      </c>
      <c r="S12" s="209"/>
      <c r="T12" s="209" t="s">
        <v>74</v>
      </c>
      <c r="U12" s="213">
        <v>44208.75</v>
      </c>
      <c r="V12" s="209" t="s">
        <v>41</v>
      </c>
      <c r="W12" s="209" t="s">
        <v>42</v>
      </c>
      <c r="X12" s="13" t="str">
        <f>IF(RIGHT(H12,2)&lt;&gt;"00",H12,"")</f>
        <v/>
      </c>
      <c r="Y12" s="26">
        <f ca="1">NETWORKDAYS(P12,$Y$1)</f>
        <v>589</v>
      </c>
      <c r="Z12" s="34">
        <v>1</v>
      </c>
      <c r="AA12" s="25" t="str">
        <f t="shared" ca="1" si="0"/>
        <v>A VENCER</v>
      </c>
      <c r="AB12" s="25" t="str">
        <f t="shared" si="1"/>
        <v>Dosa</v>
      </c>
      <c r="AC12" s="2" t="str">
        <f>IF(J12="TR-PETROLINA"," ROSEMERE ",IF(J12="TR-GARANHUNS"," ROSEMERE ",IF(J12="TR-CARUARU"," ROSEMERE ",IF(J12="TR-RIBEIRAO"," CRISTINA ",IF(J12="TR-GRAVATA"," CRISTINA ",IF(J12="TR-GOIANA"," CRISTINA ",IF(J12="TR-LIMOEIRO"," CRISTINA ",IF(J12="TR-SERRA TALHADA"," RINALDO ",IF(J12="TR-SALGUEIRO"," RINALDO ",IF(J12="TR-CARNAIBA"," RINALDO ",IF(J12="TR-ARCOVERDE"," RINALDO ",IF(J12="CAT-RECIFE"," CLEITON ",))))))))))))</f>
        <v xml:space="preserve"> ROSEMERE </v>
      </c>
      <c r="AD12" s="26">
        <f t="shared" si="2"/>
        <v>5</v>
      </c>
      <c r="AE12" s="26">
        <f t="shared" ca="1" si="3"/>
        <v>823.94300775462762</v>
      </c>
      <c r="AF12" s="35"/>
      <c r="AG12" s="36" t="s">
        <v>1924</v>
      </c>
      <c r="AH12" s="42">
        <f>COUNTIF($B$2:$B$1630,"Abertura/Reparo de Cofre")</f>
        <v>1</v>
      </c>
      <c r="AI12" s="38">
        <f t="shared" si="5"/>
        <v>6.1614294516327791E-4</v>
      </c>
      <c r="AJ12" s="39"/>
      <c r="AK12" s="43" t="s">
        <v>33</v>
      </c>
      <c r="AL12" s="36">
        <f>COUNTIFS($B$2:$B$1630,"=Manutenção Corretiva",$J$2:$J$1630,"=TR-PETROLINA")</f>
        <v>15</v>
      </c>
      <c r="AM12" s="36">
        <f>COUNTIFS($B$2:$B$1630,"=Cadastro de Equipamentos",$J$2:$J$1630,"=TR-PETROLINA")</f>
        <v>12</v>
      </c>
      <c r="AN12" s="36">
        <f>COUNTIFS($B$2:$B$1630,"=Manutenção Preventiva",$J$2:$J$1630,"=TR-PETROLINA")</f>
        <v>28</v>
      </c>
      <c r="AO12" s="36">
        <f>COUNTIFS($B$2:$B$1630,"=Instalação",$J$2:$J$1630,"=TR-PETROLINA")</f>
        <v>23</v>
      </c>
      <c r="AP12" s="36">
        <f>COUNTIFS($B$2:$B$1630,"=Vistoria",$J$2:$J$1630,"=TR-PETROLINA")</f>
        <v>32</v>
      </c>
      <c r="AQ12" s="36">
        <f>COUNTIFS($B$2:$B$1630,"=Ativação",$J$2:$J$1630,"=TR-PETROLINA")</f>
        <v>4</v>
      </c>
      <c r="AR12" s="36">
        <f>COUNTIFS($B$2:$B$1630,"=Retrofit",$J$2:$J$1630,"=TR-PETROLINA")</f>
        <v>0</v>
      </c>
      <c r="AS12" s="36">
        <f>COUNTIFS($B$2:$B$1630,"=Organização",$J$2:$J$1630,"=TR-PETROLINA")</f>
        <v>0</v>
      </c>
      <c r="AT12" s="36">
        <f>COUNTIFS($B$2:$B$1630,"=Abertura/Reparo de Cofre",$J$2:$J$1630,"=TR-PETROLINA")</f>
        <v>1</v>
      </c>
      <c r="AU12" s="36">
        <f>COUNTIFS($B$2:$B$1630,"=Plantão Técnico",$J$2:$J$1630,"=TR-PETROLINA")</f>
        <v>0</v>
      </c>
      <c r="AV12" s="36">
        <f>COUNTIFS($B$2:$B$1630,"=Destinação Final",$J$2:$J$1630,"=TR-PETROLINA")</f>
        <v>0</v>
      </c>
      <c r="AW12" s="36">
        <f>COUNTIFS($B$2:$B$1630,"=Remanejamento",$J$2:$J$1630,"=TR-PETROLINA")</f>
        <v>1</v>
      </c>
      <c r="AX12" s="36">
        <f>COUNTIFS($B$2:$B$1630,"=Configuração",$J$2:$J$1630,"=TR-PETROLINA")</f>
        <v>0</v>
      </c>
      <c r="AY12" s="36">
        <f>COUNTIFS($B$2:$B$1630,"=Cota",$J$2:$J$1630,"=TR-PETROLINA")</f>
        <v>1</v>
      </c>
    </row>
    <row r="13" spans="1:52" hidden="1">
      <c r="A13" s="209">
        <v>1769406</v>
      </c>
      <c r="B13" s="209" t="s">
        <v>62</v>
      </c>
      <c r="C13" s="210" t="s">
        <v>96</v>
      </c>
      <c r="D13" s="214"/>
      <c r="E13" s="214">
        <v>9661000206001</v>
      </c>
      <c r="F13" s="209" t="s">
        <v>29</v>
      </c>
      <c r="G13" s="209" t="s">
        <v>53</v>
      </c>
      <c r="H13" s="209" t="s">
        <v>31</v>
      </c>
      <c r="I13" s="209" t="s">
        <v>32</v>
      </c>
      <c r="J13" s="209" t="s">
        <v>33</v>
      </c>
      <c r="K13" s="210" t="s">
        <v>34</v>
      </c>
      <c r="L13" s="210"/>
      <c r="M13" s="209" t="s">
        <v>35</v>
      </c>
      <c r="N13" s="209">
        <v>42318949</v>
      </c>
      <c r="O13" s="209" t="s">
        <v>36</v>
      </c>
      <c r="P13" s="213">
        <v>44162.733194444445</v>
      </c>
      <c r="Q13" s="209"/>
      <c r="R13" s="209" t="s">
        <v>38</v>
      </c>
      <c r="S13" s="209"/>
      <c r="T13" s="209" t="s">
        <v>74</v>
      </c>
      <c r="U13" s="213">
        <v>44208.75</v>
      </c>
      <c r="V13" s="209" t="s">
        <v>41</v>
      </c>
      <c r="W13" s="209" t="s">
        <v>42</v>
      </c>
      <c r="X13" s="13" t="str">
        <f>IF(RIGHT(H13,2)&lt;&gt;"00",H13,"")</f>
        <v/>
      </c>
      <c r="Y13" s="26">
        <f ca="1">NETWORKDAYS(P13,$Y$1)</f>
        <v>589</v>
      </c>
      <c r="Z13" s="34">
        <v>1</v>
      </c>
      <c r="AA13" s="25" t="str">
        <f t="shared" ca="1" si="0"/>
        <v>A VENCER</v>
      </c>
      <c r="AB13" s="25" t="str">
        <f t="shared" si="1"/>
        <v>Dosa</v>
      </c>
      <c r="AC13" s="2" t="str">
        <f t="shared" si="4"/>
        <v xml:space="preserve"> ROSEMERE </v>
      </c>
      <c r="AD13" s="26">
        <f t="shared" si="2"/>
        <v>5</v>
      </c>
      <c r="AE13" s="26">
        <f t="shared" ca="1" si="3"/>
        <v>823.94307719907374</v>
      </c>
      <c r="AF13" s="35"/>
      <c r="AG13" s="36" t="s">
        <v>4613</v>
      </c>
      <c r="AH13" s="42">
        <f>COUNTIF($B$2:$B$1630,"Plantão Técnico")</f>
        <v>0</v>
      </c>
      <c r="AI13" s="38">
        <f t="shared" si="5"/>
        <v>0</v>
      </c>
      <c r="AJ13" s="39"/>
      <c r="AK13" s="43" t="s">
        <v>56</v>
      </c>
      <c r="AL13" s="36">
        <f>COUNTIFS($B$2:$B$1630,"=Manutenção Corretiva",$J$2:$J$1630,"=TR-RIBEIRAO")</f>
        <v>10</v>
      </c>
      <c r="AM13" s="36">
        <f>COUNTIFS($B$2:$B$1630,"=Cadastro de Equipamentos",$J$2:$J$1630,"=TR-RIBEIRAO")</f>
        <v>2</v>
      </c>
      <c r="AN13" s="36">
        <f>COUNTIFS($B$2:$B$1630,"=Manutenção Preventiva",$J$2:$J$1630,"=TR-RIBEIRAO")</f>
        <v>51</v>
      </c>
      <c r="AO13" s="36">
        <f>COUNTIFS($B$2:$B$1630,"=Instalação",$J$2:$J$1630,"=TR-RIBEIRAO")</f>
        <v>6</v>
      </c>
      <c r="AP13" s="36">
        <f>COUNTIFS($B$2:$B$1630,"=Vistoria",$J$2:$J$1630,"=TR-RIBEIRAO")</f>
        <v>20</v>
      </c>
      <c r="AQ13" s="36">
        <f>COUNTIFS($B$2:$B$1630,"=Ativação",$J$2:$J$1630,"=TR-RIBEIRAO")</f>
        <v>4</v>
      </c>
      <c r="AR13" s="36">
        <f>COUNTIFS($B$2:$B$1630,"=Retrofit",$J$2:$J$1630,"=TR-RIBEIRAO")</f>
        <v>0</v>
      </c>
      <c r="AS13" s="36">
        <f>COUNTIFS($B$2:$B$1630,"=Organização",$J$2:$J$1630,"=TR-RIBEIRAO")</f>
        <v>0</v>
      </c>
      <c r="AT13" s="36">
        <f>COUNTIFS($B$2:$B$1630,"=Abertura/Reparo de Cofre",$J$2:$J$1630,"=TR-RIBEIRAO")</f>
        <v>0</v>
      </c>
      <c r="AU13" s="36">
        <f>COUNTIFS($B$2:$B$1630,"=Plantão Técnico",$J$2:$J$1630,"=TR-RIBEIRAO")</f>
        <v>0</v>
      </c>
      <c r="AV13" s="36">
        <f>COUNTIFS($B$2:$B$1630,"=Destinação Final",$J$2:$J$1630,"=TR-RIBEIRAO")</f>
        <v>1</v>
      </c>
      <c r="AW13" s="36">
        <f>COUNTIFS($B$2:$B$1630,"=Remanejamento",$J$2:$J$1630,"=TR-RIBEIRAO")</f>
        <v>0</v>
      </c>
      <c r="AX13" s="36">
        <f>COUNTIFS($B$2:$B$1630,"=Configuração",$J$2:$J$1630,"=TR-RIBEIRAO")</f>
        <v>1</v>
      </c>
      <c r="AY13" s="36">
        <f>COUNTIFS($B$2:$B$1630,"=Cota",$J$2:$J$1630,"=TR-RIBEIRAO")</f>
        <v>0</v>
      </c>
    </row>
    <row r="14" spans="1:52" hidden="1">
      <c r="A14" s="209">
        <v>2852304</v>
      </c>
      <c r="B14" s="209" t="s">
        <v>101</v>
      </c>
      <c r="C14" s="210" t="s">
        <v>102</v>
      </c>
      <c r="D14" s="214"/>
      <c r="E14" s="214">
        <v>1059000202021</v>
      </c>
      <c r="F14" s="209" t="s">
        <v>103</v>
      </c>
      <c r="G14" s="209" t="s">
        <v>53</v>
      </c>
      <c r="H14" s="209" t="s">
        <v>88</v>
      </c>
      <c r="I14" s="209" t="s">
        <v>89</v>
      </c>
      <c r="J14" s="209" t="s">
        <v>90</v>
      </c>
      <c r="K14" s="210" t="s">
        <v>104</v>
      </c>
      <c r="L14" s="210"/>
      <c r="M14" s="209" t="s">
        <v>58</v>
      </c>
      <c r="N14" s="209">
        <v>0</v>
      </c>
      <c r="O14" s="209" t="s">
        <v>105</v>
      </c>
      <c r="P14" s="213">
        <v>44225.726701388892</v>
      </c>
      <c r="Q14" s="209"/>
      <c r="R14" s="209" t="s">
        <v>38</v>
      </c>
      <c r="S14" s="209"/>
      <c r="T14" s="209" t="s">
        <v>74</v>
      </c>
      <c r="U14" s="213">
        <v>44228.75</v>
      </c>
      <c r="V14" s="209" t="s">
        <v>41</v>
      </c>
      <c r="W14" s="209" t="s">
        <v>49</v>
      </c>
      <c r="X14" s="13" t="str">
        <f>IF(RIGHT(H14,2)&lt;&gt;"00",H14,"")</f>
        <v/>
      </c>
      <c r="Y14" s="26">
        <f ca="1">NETWORKDAYS(P14,$Y$1)</f>
        <v>544</v>
      </c>
      <c r="Z14" s="34">
        <v>1</v>
      </c>
      <c r="AA14" s="25" t="str">
        <f t="shared" ca="1" si="0"/>
        <v>A VENCER</v>
      </c>
      <c r="AB14" s="25" t="str">
        <f t="shared" si="1"/>
        <v>Dosa</v>
      </c>
      <c r="AC14" s="2" t="str">
        <f t="shared" si="4"/>
        <v xml:space="preserve"> RINALDO </v>
      </c>
      <c r="AD14" s="26">
        <f t="shared" si="2"/>
        <v>5</v>
      </c>
      <c r="AE14" s="26">
        <f t="shared" ca="1" si="3"/>
        <v>760.94957025462645</v>
      </c>
      <c r="AF14" s="35"/>
      <c r="AG14" s="36" t="s">
        <v>50</v>
      </c>
      <c r="AH14" s="42">
        <f>COUNTIF($B$2:$B$1630,"Destinação Final")</f>
        <v>1</v>
      </c>
      <c r="AI14" s="38">
        <f t="shared" si="5"/>
        <v>6.1614294516327791E-4</v>
      </c>
      <c r="AJ14" s="39"/>
      <c r="AK14" s="43" t="s">
        <v>90</v>
      </c>
      <c r="AL14" s="36" t="s">
        <v>4614</v>
      </c>
      <c r="AM14" s="36">
        <f>COUNTIFS($B$2:$B$1630,"=Cadastro de Equipamentos",$J$2:$J$1630,"=TR-SALGUEIRO")</f>
        <v>14</v>
      </c>
      <c r="AN14" s="36">
        <f>COUNTIFS($B$2:$B$1630,"=Manutenção Preventiva",$J$2:$J$1630,"=TR-SALGUEIRO")</f>
        <v>51</v>
      </c>
      <c r="AO14" s="36">
        <f>COUNTIFS($B$2:$B$1630,"=Instalação",$J$2:$J$1630,"=TR-SALGUEIRO")</f>
        <v>20</v>
      </c>
      <c r="AP14" s="36">
        <f>COUNTIFS($B$2:$B$1630,"=Vistoria",$J$2:$J$1630,"=TR-SALGUEIRO")</f>
        <v>27</v>
      </c>
      <c r="AQ14" s="36">
        <f>COUNTIFS($B$2:$B$1630,"=Ativação",$J$2:$J$1630,"=TR-SALGUEIRO")</f>
        <v>0</v>
      </c>
      <c r="AR14" s="36">
        <f>COUNTIFS($B$2:$B$1630,"=Retrofit",$J$2:$J$1630,"=TR-SALGUEIRO")</f>
        <v>0</v>
      </c>
      <c r="AS14" s="36">
        <f>COUNTIFS($B$2:$B$1630,"=Organização",$J$2:$J$1630,"=TR-SALGUEIRO")</f>
        <v>0</v>
      </c>
      <c r="AT14" s="36">
        <f>COUNTIFS($B$2:$B$1630,"=Abertura/Reparo de Cofre",$J$2:$J$1630,"=TR-SALGUEIRO")</f>
        <v>0</v>
      </c>
      <c r="AU14" s="36">
        <f>COUNTIFS($B$2:$B$1630,"=Plantão Técnico",$J$2:$J$1630,"=TR-SALGUEIRO")</f>
        <v>0</v>
      </c>
      <c r="AV14" s="36">
        <f>COUNTIFS($B$2:$B$1630,"=Destinação Final",$J$2:$J$1630,"=TR-SALGUEIRO")</f>
        <v>0</v>
      </c>
      <c r="AW14" s="36">
        <f>COUNTIFS($B$2:$B$1630,"=Remanejamento",$J$2:$J$1630,"=TR-SALGUEIRO")</f>
        <v>0</v>
      </c>
      <c r="AX14" s="36">
        <f>COUNTIFS($B$2:$B$1630,"=Configuração",$J$2:$J$1630,"=TR-SALGUEIRO")</f>
        <v>0</v>
      </c>
      <c r="AY14" s="36">
        <f>COUNTIFS($B$2:$B$1630,"=Cota",$J$2:$J$1630,"=TR-SALGUEIRO")</f>
        <v>0</v>
      </c>
    </row>
    <row r="15" spans="1:52" hidden="1">
      <c r="A15" s="209">
        <v>2852303</v>
      </c>
      <c r="B15" s="209" t="s">
        <v>101</v>
      </c>
      <c r="C15" s="210" t="s">
        <v>102</v>
      </c>
      <c r="D15" s="214"/>
      <c r="E15" s="214">
        <v>1363000202022</v>
      </c>
      <c r="F15" s="209" t="s">
        <v>103</v>
      </c>
      <c r="G15" s="209" t="s">
        <v>53</v>
      </c>
      <c r="H15" s="209" t="s">
        <v>108</v>
      </c>
      <c r="I15" s="209" t="s">
        <v>109</v>
      </c>
      <c r="J15" s="209" t="s">
        <v>110</v>
      </c>
      <c r="K15" s="210" t="s">
        <v>104</v>
      </c>
      <c r="L15" s="210"/>
      <c r="M15" s="209" t="s">
        <v>58</v>
      </c>
      <c r="N15" s="209">
        <v>0</v>
      </c>
      <c r="O15" s="209" t="s">
        <v>36</v>
      </c>
      <c r="P15" s="213">
        <v>44225.726689814815</v>
      </c>
      <c r="Q15" s="209"/>
      <c r="R15" s="209" t="s">
        <v>38</v>
      </c>
      <c r="S15" s="209"/>
      <c r="T15" s="209" t="s">
        <v>74</v>
      </c>
      <c r="U15" s="213">
        <v>44228.75</v>
      </c>
      <c r="V15" s="209" t="s">
        <v>41</v>
      </c>
      <c r="W15" s="209" t="s">
        <v>49</v>
      </c>
      <c r="X15" s="13" t="str">
        <f>IF(RIGHT(H15,2)&lt;&gt;"00",H15,"")</f>
        <v/>
      </c>
      <c r="Y15" s="26">
        <f ca="1">NETWORKDAYS(P15,$Y$1)</f>
        <v>544</v>
      </c>
      <c r="Z15" s="34">
        <v>1</v>
      </c>
      <c r="AA15" s="25" t="str">
        <f t="shared" ca="1" si="0"/>
        <v>A VENCER</v>
      </c>
      <c r="AB15" s="25" t="str">
        <f t="shared" si="1"/>
        <v>Dosa</v>
      </c>
      <c r="AC15" s="2" t="str">
        <f t="shared" si="4"/>
        <v xml:space="preserve"> CRISTINA </v>
      </c>
      <c r="AD15" s="26">
        <f t="shared" si="2"/>
        <v>5</v>
      </c>
      <c r="AE15" s="26">
        <f t="shared" ca="1" si="3"/>
        <v>760.94958182870323</v>
      </c>
      <c r="AF15" s="35"/>
      <c r="AG15" s="36" t="s">
        <v>226</v>
      </c>
      <c r="AH15" s="42">
        <f>COUNTIF($B$2:$B$1630,"Remanejamento")</f>
        <v>3</v>
      </c>
      <c r="AI15" s="38">
        <f t="shared" si="5"/>
        <v>1.8484288354898336E-3</v>
      </c>
      <c r="AJ15" s="39"/>
      <c r="AK15" s="43" t="s">
        <v>85</v>
      </c>
      <c r="AL15" s="36">
        <f>COUNTIFS($B$2:$B$1630,"=Manutenção Corretiva",$J$2:$J$1630,"=TR-SERRA TALHADA")</f>
        <v>11</v>
      </c>
      <c r="AM15" s="36">
        <f>COUNTIFS($B$2:$B$1630,"=Cadastro de Equipamentos",$J$2:$J$1630,"=TR-SERRA TALHADA")</f>
        <v>0</v>
      </c>
      <c r="AN15" s="36">
        <f>COUNTIFS($B$2:$B$1630,"=Manutenção Preventiva",$J$2:$J$1630,"=TR-SERRA TALHADA")</f>
        <v>18</v>
      </c>
      <c r="AO15" s="36">
        <f>COUNTIFS($B$2:$B$1630,"=Instalação",$J$2:$J$1630,"=TR-SERRA TALHADA")</f>
        <v>5</v>
      </c>
      <c r="AP15" s="36">
        <f>COUNTIFS($B$2:$B$1630,"=Vistoria",$J$2:$J$1630,"=TR-SERRA TALHADA")</f>
        <v>11</v>
      </c>
      <c r="AQ15" s="36">
        <f>COUNTIFS($B$2:$B$1630,"=Ativação",$J$2:$J$1630,"=TR-SERRA TALHADA")</f>
        <v>0</v>
      </c>
      <c r="AR15" s="36">
        <f>COUNTIFS($B$2:$B$1630,"=Retrofit",$J$2:$J$1630,"=TR-SERRA TALHADA")</f>
        <v>0</v>
      </c>
      <c r="AS15" s="36">
        <f>COUNTIFS($B$2:$B$1630,"=Organização",$J$2:$J$1630,"=TR-SERRA TALHADA")</f>
        <v>0</v>
      </c>
      <c r="AT15" s="36">
        <f>COUNTIFS($B$2:$B$1630,"=Abertura/Reparo de Cofre",$J$2:$J$1630,"=TR-SERRA TALHADA")</f>
        <v>0</v>
      </c>
      <c r="AU15" s="36">
        <f>COUNTIFS($B$2:$B$1630,"=Plantão Técnico",$J$2:$J$1630,"=TR-SERRA TALHADA")</f>
        <v>0</v>
      </c>
      <c r="AV15" s="36">
        <f>COUNTIFS($B$2:$B$1630,"=Destinação Final",$J$2:$J$1630,"=TR-SERRA TALHADA")</f>
        <v>0</v>
      </c>
      <c r="AW15" s="36">
        <f>COUNTIFS($B$2:$B$1630,"=Remanejamento",$J$2:$J$1630,"=TR-SERRA TALHADA")</f>
        <v>0</v>
      </c>
      <c r="AX15" s="36">
        <f>COUNTIFS($B$2:$B$1630,"=Configuração",$J$2:$J$1630,"=TR-SERRA TALHADA")</f>
        <v>0</v>
      </c>
      <c r="AY15" s="36">
        <f>COUNTIFS($B$2:$B$1630,"=Cota",$J$2:$J$1630,"=TR-SERRA TALHADA")</f>
        <v>0</v>
      </c>
    </row>
    <row r="16" spans="1:52" hidden="1">
      <c r="A16" s="209">
        <v>2852205</v>
      </c>
      <c r="B16" s="209" t="s">
        <v>101</v>
      </c>
      <c r="C16" s="210" t="s">
        <v>102</v>
      </c>
      <c r="D16" s="214"/>
      <c r="E16" s="214">
        <v>711002060022</v>
      </c>
      <c r="F16" s="209" t="s">
        <v>103</v>
      </c>
      <c r="G16" s="209" t="s">
        <v>53</v>
      </c>
      <c r="H16" s="209" t="s">
        <v>77</v>
      </c>
      <c r="I16" s="209" t="s">
        <v>78</v>
      </c>
      <c r="J16" s="209" t="s">
        <v>79</v>
      </c>
      <c r="K16" s="210" t="s">
        <v>104</v>
      </c>
      <c r="L16" s="210"/>
      <c r="M16" s="209" t="s">
        <v>58</v>
      </c>
      <c r="N16" s="209">
        <v>0</v>
      </c>
      <c r="O16" s="209" t="s">
        <v>105</v>
      </c>
      <c r="P16" s="213">
        <v>44225.726527777777</v>
      </c>
      <c r="Q16" s="209"/>
      <c r="R16" s="209" t="s">
        <v>38</v>
      </c>
      <c r="S16" s="209"/>
      <c r="T16" s="209" t="s">
        <v>74</v>
      </c>
      <c r="U16" s="213">
        <v>44228.75</v>
      </c>
      <c r="V16" s="209" t="s">
        <v>41</v>
      </c>
      <c r="W16" s="209" t="s">
        <v>49</v>
      </c>
      <c r="X16" s="13" t="str">
        <f>IF(RIGHT(H16,2)&lt;&gt;"00",H16,"")</f>
        <v/>
      </c>
      <c r="Y16" s="26">
        <f ca="1">NETWORKDAYS(P16,$Y$1)</f>
        <v>544</v>
      </c>
      <c r="Z16" s="34">
        <v>1</v>
      </c>
      <c r="AA16" s="25" t="str">
        <f t="shared" ca="1" si="0"/>
        <v>A VENCER</v>
      </c>
      <c r="AB16" s="25" t="str">
        <f t="shared" si="1"/>
        <v>Dosa</v>
      </c>
      <c r="AC16" s="2" t="str">
        <f t="shared" si="4"/>
        <v xml:space="preserve"> ROSEMERE </v>
      </c>
      <c r="AD16" s="26">
        <f t="shared" si="2"/>
        <v>5</v>
      </c>
      <c r="AE16" s="26">
        <f t="shared" ca="1" si="3"/>
        <v>760.94974386574177</v>
      </c>
      <c r="AF16" s="35"/>
      <c r="AG16" s="36" t="s">
        <v>1087</v>
      </c>
      <c r="AH16" s="42">
        <f>COUNTIF($B$2:$B$1630,"Configuração")</f>
        <v>1</v>
      </c>
      <c r="AI16" s="38">
        <f t="shared" si="5"/>
        <v>6.1614294516327791E-4</v>
      </c>
      <c r="AJ16" s="39"/>
      <c r="AK16" s="43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</row>
    <row r="17" spans="1:51" hidden="1">
      <c r="A17" s="209">
        <v>2851942</v>
      </c>
      <c r="B17" s="209" t="s">
        <v>101</v>
      </c>
      <c r="C17" s="210" t="s">
        <v>102</v>
      </c>
      <c r="D17" s="214"/>
      <c r="E17" s="214">
        <v>9406000206054</v>
      </c>
      <c r="F17" s="209" t="s">
        <v>113</v>
      </c>
      <c r="G17" s="209" t="s">
        <v>53</v>
      </c>
      <c r="H17" s="209" t="s">
        <v>114</v>
      </c>
      <c r="I17" s="209" t="s">
        <v>115</v>
      </c>
      <c r="J17" s="209" t="s">
        <v>46</v>
      </c>
      <c r="K17" s="210" t="s">
        <v>116</v>
      </c>
      <c r="L17" s="210"/>
      <c r="M17" s="209" t="s">
        <v>35</v>
      </c>
      <c r="N17" s="209">
        <v>42318949</v>
      </c>
      <c r="O17" s="209" t="s">
        <v>36</v>
      </c>
      <c r="P17" s="213">
        <v>44225.726145833331</v>
      </c>
      <c r="Q17" s="209"/>
      <c r="R17" s="209" t="s">
        <v>38</v>
      </c>
      <c r="S17" s="209"/>
      <c r="T17" s="209" t="s">
        <v>74</v>
      </c>
      <c r="U17" s="213">
        <v>44228.75</v>
      </c>
      <c r="V17" s="209" t="s">
        <v>41</v>
      </c>
      <c r="W17" s="209" t="s">
        <v>49</v>
      </c>
      <c r="X17" s="13" t="str">
        <f>IF(RIGHT(H17,2)&lt;&gt;"00",H17,"")</f>
        <v/>
      </c>
      <c r="Y17" s="26">
        <f ca="1">NETWORKDAYS(P17,$Y$1)</f>
        <v>544</v>
      </c>
      <c r="Z17" s="34">
        <v>1</v>
      </c>
      <c r="AA17" s="25" t="str">
        <f t="shared" ca="1" si="0"/>
        <v>A VENCER</v>
      </c>
      <c r="AB17" s="25" t="str">
        <f t="shared" si="1"/>
        <v>TAAe+</v>
      </c>
      <c r="AC17" s="2" t="str">
        <f t="shared" si="4"/>
        <v xml:space="preserve"> CLEITON </v>
      </c>
      <c r="AD17" s="26">
        <f t="shared" si="2"/>
        <v>8</v>
      </c>
      <c r="AE17" s="26">
        <f t="shared" ca="1" si="3"/>
        <v>760.95012581018818</v>
      </c>
      <c r="AF17" s="35"/>
      <c r="AG17" s="36" t="s">
        <v>1717</v>
      </c>
      <c r="AH17" s="42">
        <f>COUNTIF($B$2:$B$1630,"Cota")</f>
        <v>1</v>
      </c>
      <c r="AI17" s="38">
        <f t="shared" si="5"/>
        <v>6.1614294516327791E-4</v>
      </c>
      <c r="AJ17" s="39"/>
      <c r="AK17" s="43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</row>
    <row r="18" spans="1:51" hidden="1">
      <c r="A18" s="209">
        <v>4298266</v>
      </c>
      <c r="B18" s="209" t="s">
        <v>81</v>
      </c>
      <c r="C18" s="210" t="s">
        <v>118</v>
      </c>
      <c r="D18" s="214"/>
      <c r="E18" s="214">
        <v>9600102981128</v>
      </c>
      <c r="F18" s="209" t="s">
        <v>119</v>
      </c>
      <c r="G18" s="209" t="s">
        <v>30</v>
      </c>
      <c r="H18" s="209" t="s">
        <v>120</v>
      </c>
      <c r="I18" s="209" t="s">
        <v>121</v>
      </c>
      <c r="J18" s="209" t="s">
        <v>33</v>
      </c>
      <c r="K18" s="210" t="s">
        <v>122</v>
      </c>
      <c r="L18" s="210"/>
      <c r="M18" s="209" t="s">
        <v>58</v>
      </c>
      <c r="N18" s="209">
        <v>0</v>
      </c>
      <c r="O18" s="209" t="s">
        <v>105</v>
      </c>
      <c r="P18" s="213">
        <v>44295.426574074074</v>
      </c>
      <c r="Q18" s="209"/>
      <c r="R18" s="209">
        <v>14</v>
      </c>
      <c r="S18" s="209"/>
      <c r="T18" s="209" t="s">
        <v>60</v>
      </c>
      <c r="U18" s="209"/>
      <c r="V18" s="209" t="s">
        <v>41</v>
      </c>
      <c r="W18" s="209" t="s">
        <v>42</v>
      </c>
      <c r="X18" s="13" t="str">
        <f>IF(RIGHT(H18,2)&lt;&gt;"00",H18,"")</f>
        <v>8889.03</v>
      </c>
      <c r="Y18" s="26">
        <f ca="1">NETWORKDAYS(P18,$Y$1)</f>
        <v>494</v>
      </c>
      <c r="Z18" s="34">
        <v>1</v>
      </c>
      <c r="AA18" s="25" t="str">
        <f t="shared" ca="1" si="0"/>
        <v>A VENCER</v>
      </c>
      <c r="AB18" s="25" t="str">
        <f t="shared" si="1"/>
        <v>TAAe+</v>
      </c>
      <c r="AC18" s="2" t="str">
        <f t="shared" si="4"/>
        <v xml:space="preserve"> ROSEMERE </v>
      </c>
      <c r="AD18" s="26">
        <f t="shared" si="2"/>
        <v>8</v>
      </c>
      <c r="AE18" s="26">
        <f t="shared" ca="1" si="3"/>
        <v>691.24969756944483</v>
      </c>
      <c r="AF18" s="35"/>
      <c r="AG18" s="41"/>
      <c r="AI18" s="42"/>
      <c r="AJ18" s="44"/>
    </row>
    <row r="19" spans="1:51" hidden="1">
      <c r="A19" s="209">
        <v>4298261</v>
      </c>
      <c r="B19" s="209" t="s">
        <v>81</v>
      </c>
      <c r="C19" s="210" t="s">
        <v>118</v>
      </c>
      <c r="D19" s="214"/>
      <c r="E19" s="214">
        <v>9600102980984</v>
      </c>
      <c r="F19" s="209" t="s">
        <v>119</v>
      </c>
      <c r="G19" s="209" t="s">
        <v>30</v>
      </c>
      <c r="H19" s="209" t="s">
        <v>120</v>
      </c>
      <c r="I19" s="209" t="s">
        <v>121</v>
      </c>
      <c r="J19" s="209" t="s">
        <v>33</v>
      </c>
      <c r="K19" s="210" t="s">
        <v>122</v>
      </c>
      <c r="L19" s="210"/>
      <c r="M19" s="209" t="s">
        <v>58</v>
      </c>
      <c r="N19" s="209">
        <v>0</v>
      </c>
      <c r="O19" s="209" t="s">
        <v>105</v>
      </c>
      <c r="P19" s="213">
        <v>44295.426562499997</v>
      </c>
      <c r="Q19" s="209"/>
      <c r="R19" s="209">
        <v>14</v>
      </c>
      <c r="S19" s="209"/>
      <c r="T19" s="209" t="s">
        <v>60</v>
      </c>
      <c r="U19" s="209"/>
      <c r="V19" s="209" t="s">
        <v>41</v>
      </c>
      <c r="W19" s="209" t="s">
        <v>42</v>
      </c>
      <c r="X19" s="13" t="str">
        <f>IF(RIGHT(H19,2)&lt;&gt;"00",H19,"")</f>
        <v>8889.03</v>
      </c>
      <c r="Y19" s="26">
        <f ca="1">NETWORKDAYS(P19,$Y$1)</f>
        <v>494</v>
      </c>
      <c r="Z19" s="34">
        <v>1</v>
      </c>
      <c r="AA19" s="25" t="str">
        <f t="shared" ca="1" si="0"/>
        <v>A VENCER</v>
      </c>
      <c r="AB19" s="25" t="str">
        <f t="shared" si="1"/>
        <v>TAAe+</v>
      </c>
      <c r="AC19" s="2" t="str">
        <f t="shared" si="4"/>
        <v xml:space="preserve"> ROSEMERE </v>
      </c>
      <c r="AD19" s="26">
        <f t="shared" si="2"/>
        <v>8</v>
      </c>
      <c r="AE19" s="26">
        <f t="shared" ca="1" si="3"/>
        <v>691.24970914352161</v>
      </c>
      <c r="AF19" s="35"/>
    </row>
    <row r="20" spans="1:51" hidden="1">
      <c r="A20" s="209">
        <v>4298189</v>
      </c>
      <c r="B20" s="209" t="s">
        <v>81</v>
      </c>
      <c r="C20" s="210" t="s">
        <v>118</v>
      </c>
      <c r="D20" s="214"/>
      <c r="E20" s="214">
        <v>7419151141007</v>
      </c>
      <c r="F20" s="209" t="s">
        <v>123</v>
      </c>
      <c r="G20" s="209" t="s">
        <v>53</v>
      </c>
      <c r="H20" s="209" t="s">
        <v>124</v>
      </c>
      <c r="I20" s="209" t="s">
        <v>125</v>
      </c>
      <c r="J20" s="209" t="s">
        <v>33</v>
      </c>
      <c r="K20" s="210" t="s">
        <v>126</v>
      </c>
      <c r="L20" s="210"/>
      <c r="M20" s="209" t="s">
        <v>58</v>
      </c>
      <c r="N20" s="209">
        <v>0</v>
      </c>
      <c r="O20" s="209" t="s">
        <v>105</v>
      </c>
      <c r="P20" s="213">
        <v>44295.426400462966</v>
      </c>
      <c r="Q20" s="209"/>
      <c r="R20" s="209">
        <v>14</v>
      </c>
      <c r="S20" s="209"/>
      <c r="T20" s="209" t="s">
        <v>60</v>
      </c>
      <c r="U20" s="209"/>
      <c r="V20" s="209" t="s">
        <v>41</v>
      </c>
      <c r="W20" s="209" t="s">
        <v>42</v>
      </c>
      <c r="X20" s="13" t="str">
        <f>IF(RIGHT(H20,2)&lt;&gt;"00",H20,"")</f>
        <v>4561.91</v>
      </c>
      <c r="Y20" s="26">
        <f ca="1">NETWORKDAYS(P20,$Y$1)</f>
        <v>494</v>
      </c>
      <c r="Z20" s="34">
        <v>1</v>
      </c>
      <c r="AA20" s="25" t="str">
        <f t="shared" ca="1" si="0"/>
        <v>A VENCER</v>
      </c>
      <c r="AB20" s="25" t="str">
        <f t="shared" si="1"/>
        <v>TAAe+</v>
      </c>
      <c r="AC20" s="2" t="str">
        <f t="shared" si="4"/>
        <v xml:space="preserve"> ROSEMERE </v>
      </c>
      <c r="AD20" s="26">
        <f t="shared" si="2"/>
        <v>8</v>
      </c>
      <c r="AE20" s="26">
        <f t="shared" ca="1" si="3"/>
        <v>691.24987118055287</v>
      </c>
      <c r="AF20" s="35"/>
    </row>
    <row r="21" spans="1:51" hidden="1">
      <c r="A21" s="209">
        <v>4298074</v>
      </c>
      <c r="B21" s="209" t="s">
        <v>81</v>
      </c>
      <c r="C21" s="210" t="s">
        <v>118</v>
      </c>
      <c r="D21" s="214"/>
      <c r="E21" s="214">
        <v>7419141892457</v>
      </c>
      <c r="F21" s="209" t="s">
        <v>128</v>
      </c>
      <c r="G21" s="209" t="s">
        <v>53</v>
      </c>
      <c r="H21" s="209" t="s">
        <v>124</v>
      </c>
      <c r="I21" s="209" t="s">
        <v>125</v>
      </c>
      <c r="J21" s="209" t="s">
        <v>33</v>
      </c>
      <c r="K21" s="210" t="s">
        <v>129</v>
      </c>
      <c r="L21" s="210"/>
      <c r="M21" s="209" t="s">
        <v>58</v>
      </c>
      <c r="N21" s="209">
        <v>0</v>
      </c>
      <c r="O21" s="209" t="s">
        <v>105</v>
      </c>
      <c r="P21" s="213">
        <v>44295.426087962966</v>
      </c>
      <c r="Q21" s="209"/>
      <c r="R21" s="209">
        <v>14</v>
      </c>
      <c r="S21" s="209"/>
      <c r="T21" s="209" t="s">
        <v>60</v>
      </c>
      <c r="U21" s="209"/>
      <c r="V21" s="209" t="s">
        <v>41</v>
      </c>
      <c r="W21" s="209" t="s">
        <v>42</v>
      </c>
      <c r="X21" s="13" t="str">
        <f>IF(RIGHT(H21,2)&lt;&gt;"00",H21,"")</f>
        <v>4561.91</v>
      </c>
      <c r="Y21" s="26">
        <f ca="1">NETWORKDAYS(P21,$Y$1)</f>
        <v>494</v>
      </c>
      <c r="Z21" s="34">
        <v>1</v>
      </c>
      <c r="AA21" s="25" t="str">
        <f t="shared" ca="1" si="0"/>
        <v>A VENCER</v>
      </c>
      <c r="AB21" s="25" t="str">
        <f t="shared" si="1"/>
        <v>TAAe+</v>
      </c>
      <c r="AC21" s="2" t="str">
        <f t="shared" si="4"/>
        <v xml:space="preserve"> ROSEMERE </v>
      </c>
      <c r="AD21" s="26">
        <f t="shared" si="2"/>
        <v>8</v>
      </c>
      <c r="AE21" s="26">
        <f t="shared" ca="1" si="3"/>
        <v>691.25018368055316</v>
      </c>
      <c r="AF21" s="35"/>
    </row>
    <row r="22" spans="1:51" hidden="1">
      <c r="A22" s="209">
        <v>4298073</v>
      </c>
      <c r="B22" s="209" t="s">
        <v>81</v>
      </c>
      <c r="C22" s="210" t="s">
        <v>118</v>
      </c>
      <c r="D22" s="214"/>
      <c r="E22" s="214">
        <v>7419141892456</v>
      </c>
      <c r="F22" s="209" t="s">
        <v>128</v>
      </c>
      <c r="G22" s="209" t="s">
        <v>53</v>
      </c>
      <c r="H22" s="209" t="s">
        <v>124</v>
      </c>
      <c r="I22" s="209" t="s">
        <v>125</v>
      </c>
      <c r="J22" s="209" t="s">
        <v>33</v>
      </c>
      <c r="K22" s="210" t="s">
        <v>129</v>
      </c>
      <c r="L22" s="210"/>
      <c r="M22" s="209" t="s">
        <v>58</v>
      </c>
      <c r="N22" s="209">
        <v>0</v>
      </c>
      <c r="O22" s="209" t="s">
        <v>105</v>
      </c>
      <c r="P22" s="213">
        <v>44295.426087962966</v>
      </c>
      <c r="Q22" s="209"/>
      <c r="R22" s="209">
        <v>14</v>
      </c>
      <c r="S22" s="209"/>
      <c r="T22" s="209" t="s">
        <v>60</v>
      </c>
      <c r="U22" s="209"/>
      <c r="V22" s="209" t="s">
        <v>41</v>
      </c>
      <c r="W22" s="209" t="s">
        <v>42</v>
      </c>
      <c r="X22" s="13" t="str">
        <f>IF(RIGHT(H22,2)&lt;&gt;"00",H22,"")</f>
        <v>4561.91</v>
      </c>
      <c r="Y22" s="26">
        <f ca="1">NETWORKDAYS(P22,$Y$1)</f>
        <v>494</v>
      </c>
      <c r="Z22" s="34">
        <v>1</v>
      </c>
      <c r="AA22" s="25" t="str">
        <f t="shared" ca="1" si="0"/>
        <v>A VENCER</v>
      </c>
      <c r="AB22" s="25" t="str">
        <f t="shared" si="1"/>
        <v>TAAe+</v>
      </c>
      <c r="AC22" s="2" t="str">
        <f t="shared" si="4"/>
        <v xml:space="preserve"> ROSEMERE </v>
      </c>
      <c r="AD22" s="26">
        <f t="shared" si="2"/>
        <v>8</v>
      </c>
      <c r="AE22" s="26">
        <f t="shared" ca="1" si="3"/>
        <v>691.25018368055316</v>
      </c>
      <c r="AF22" s="35"/>
    </row>
    <row r="23" spans="1:51" hidden="1">
      <c r="A23" s="209">
        <v>4297923</v>
      </c>
      <c r="B23" s="209" t="s">
        <v>81</v>
      </c>
      <c r="C23" s="210" t="s">
        <v>118</v>
      </c>
      <c r="D23" s="214"/>
      <c r="E23" s="214">
        <v>7417172142561</v>
      </c>
      <c r="F23" s="209" t="s">
        <v>52</v>
      </c>
      <c r="G23" s="209" t="s">
        <v>53</v>
      </c>
      <c r="H23" s="209" t="s">
        <v>120</v>
      </c>
      <c r="I23" s="209" t="s">
        <v>121</v>
      </c>
      <c r="J23" s="209" t="s">
        <v>33</v>
      </c>
      <c r="K23" s="210" t="s">
        <v>57</v>
      </c>
      <c r="L23" s="210"/>
      <c r="M23" s="209" t="s">
        <v>58</v>
      </c>
      <c r="N23" s="209">
        <v>0</v>
      </c>
      <c r="O23" s="209" t="s">
        <v>105</v>
      </c>
      <c r="P23" s="213">
        <v>44295.425706018519</v>
      </c>
      <c r="Q23" s="209"/>
      <c r="R23" s="209">
        <v>9</v>
      </c>
      <c r="S23" s="209"/>
      <c r="T23" s="209" t="s">
        <v>60</v>
      </c>
      <c r="U23" s="209"/>
      <c r="V23" s="209" t="s">
        <v>41</v>
      </c>
      <c r="W23" s="209" t="s">
        <v>42</v>
      </c>
      <c r="X23" s="13" t="str">
        <f>IF(RIGHT(H23,2)&lt;&gt;"00",H23,"")</f>
        <v>8889.03</v>
      </c>
      <c r="Y23" s="26">
        <f ca="1">NETWORKDAYS(P23,$Y$1)</f>
        <v>494</v>
      </c>
      <c r="Z23" s="34">
        <v>1</v>
      </c>
      <c r="AA23" s="25" t="str">
        <f t="shared" ca="1" si="0"/>
        <v>A VENCER</v>
      </c>
      <c r="AB23" s="25" t="str">
        <f t="shared" si="1"/>
        <v>TAAe+</v>
      </c>
      <c r="AC23" s="2" t="str">
        <f t="shared" si="4"/>
        <v xml:space="preserve"> ROSEMERE </v>
      </c>
      <c r="AD23" s="26">
        <f t="shared" si="2"/>
        <v>8</v>
      </c>
      <c r="AE23" s="26">
        <f t="shared" ca="1" si="3"/>
        <v>691.25056562499958</v>
      </c>
      <c r="AF23" s="35"/>
    </row>
    <row r="24" spans="1:51" hidden="1">
      <c r="A24" s="209">
        <v>4297890</v>
      </c>
      <c r="B24" s="209" t="s">
        <v>81</v>
      </c>
      <c r="C24" s="210" t="s">
        <v>118</v>
      </c>
      <c r="D24" s="214"/>
      <c r="E24" s="214">
        <v>7417163285126</v>
      </c>
      <c r="F24" s="209" t="s">
        <v>131</v>
      </c>
      <c r="G24" s="209" t="s">
        <v>53</v>
      </c>
      <c r="H24" s="209" t="s">
        <v>120</v>
      </c>
      <c r="I24" s="209" t="s">
        <v>121</v>
      </c>
      <c r="J24" s="209" t="s">
        <v>33</v>
      </c>
      <c r="K24" s="210" t="s">
        <v>132</v>
      </c>
      <c r="L24" s="210"/>
      <c r="M24" s="209" t="s">
        <v>58</v>
      </c>
      <c r="N24" s="209">
        <v>0</v>
      </c>
      <c r="O24" s="209" t="s">
        <v>105</v>
      </c>
      <c r="P24" s="213">
        <v>44295.425567129627</v>
      </c>
      <c r="Q24" s="209"/>
      <c r="R24" s="209">
        <v>14</v>
      </c>
      <c r="S24" s="209"/>
      <c r="T24" s="209" t="s">
        <v>60</v>
      </c>
      <c r="U24" s="209"/>
      <c r="V24" s="209" t="s">
        <v>41</v>
      </c>
      <c r="W24" s="209" t="s">
        <v>42</v>
      </c>
      <c r="X24" s="13" t="str">
        <f>IF(RIGHT(H24,2)&lt;&gt;"00",H24,"")</f>
        <v>8889.03</v>
      </c>
      <c r="Y24" s="26">
        <f ca="1">NETWORKDAYS(P24,$Y$1)</f>
        <v>494</v>
      </c>
      <c r="Z24" s="34">
        <v>1</v>
      </c>
      <c r="AA24" s="25" t="str">
        <f t="shared" ca="1" si="0"/>
        <v>A VENCER</v>
      </c>
      <c r="AB24" s="25" t="str">
        <f>IF(G24="GRPE-000001","C-14",IF(G24="GRPE-000002","C-14",IF(G24="GRPE-000003","C-14",IF(G24="GRPE-000004","SL-On",IF(G24="GRPE-000038","C-14",IF(G24="GRPE-900022","Dosa",IF(G24="GRPE-000029","Dosa",IF(G24="ATOS-000222","Dose","TAAe+"))))))))</f>
        <v>TAAe+</v>
      </c>
      <c r="AC24" s="2" t="str">
        <f t="shared" si="4"/>
        <v xml:space="preserve"> ROSEMERE </v>
      </c>
      <c r="AD24" s="26">
        <f>IF(G24="GRPE-000001",5,IF(G24="GRPE-000002",5,IF(G24="GRPE-000003",15,IF(G24="GRPE-000004",1,IF(G24="GRPE-000038",5,IF(G24="GRPE-900022",5,IF(G24="GRPE-000029",5,IF(G24="ATOS-000222",5,8))))))))</f>
        <v>8</v>
      </c>
      <c r="AE24" s="26">
        <f t="shared" ca="1" si="3"/>
        <v>691.25070451389183</v>
      </c>
      <c r="AF24" s="35"/>
    </row>
    <row r="25" spans="1:51" hidden="1">
      <c r="A25" s="209">
        <v>4544244</v>
      </c>
      <c r="B25" s="209" t="s">
        <v>27</v>
      </c>
      <c r="C25" s="210" t="s">
        <v>134</v>
      </c>
      <c r="D25" s="214"/>
      <c r="E25" s="214">
        <v>9661000206001</v>
      </c>
      <c r="F25" s="209" t="s">
        <v>29</v>
      </c>
      <c r="G25" s="209" t="s">
        <v>53</v>
      </c>
      <c r="H25" s="209" t="s">
        <v>31</v>
      </c>
      <c r="I25" s="209" t="s">
        <v>32</v>
      </c>
      <c r="J25" s="209" t="s">
        <v>33</v>
      </c>
      <c r="K25" s="210" t="s">
        <v>34</v>
      </c>
      <c r="L25" s="210"/>
      <c r="M25" s="209" t="s">
        <v>35</v>
      </c>
      <c r="N25" s="209">
        <v>42318949</v>
      </c>
      <c r="O25" s="209" t="s">
        <v>105</v>
      </c>
      <c r="P25" s="213">
        <v>44308.595775462964</v>
      </c>
      <c r="Q25" s="209"/>
      <c r="R25" s="209" t="s">
        <v>38</v>
      </c>
      <c r="S25" s="209"/>
      <c r="T25" s="209" t="s">
        <v>74</v>
      </c>
      <c r="U25" s="213">
        <v>44308.75</v>
      </c>
      <c r="V25" s="209" t="s">
        <v>41</v>
      </c>
      <c r="W25" s="209" t="s">
        <v>42</v>
      </c>
      <c r="X25" s="13" t="str">
        <f>IF(RIGHT(H25,2)&lt;&gt;"00",H25,"")</f>
        <v/>
      </c>
      <c r="Y25" s="26">
        <f ca="1">NETWORKDAYS(P25,$Y$1)</f>
        <v>485</v>
      </c>
      <c r="Z25" s="34">
        <v>1</v>
      </c>
      <c r="AA25" s="25" t="str">
        <f t="shared" ca="1" si="0"/>
        <v>A VENCER</v>
      </c>
      <c r="AB25" s="25" t="str">
        <f>IF(F25="GRPE-000001","C-14",IF(F25="GRPE-000002","C-14",IF(F25="GRPE-000003","C-14",IF(F25="GRPE-000004","SL-On",IF(F25="GRPE-000038","C-14",IF(F25="GRPE-900022","Dosa",IF(F25="GRPE-000029","Dosa",IF(F25="ATOS-000222","Dose","TAAe+"))))))))</f>
        <v>Dosa</v>
      </c>
      <c r="AC25" s="2" t="str">
        <f t="shared" si="4"/>
        <v xml:space="preserve"> ROSEMERE </v>
      </c>
      <c r="AD25" s="26">
        <f>IF(F25="GRPE-000001",5,IF(F25="GRPE-000002",5,IF(F25="GRPE-000003",15,IF(F25="GRPE-000004",1,IF(F25="GRPE-000038",5,IF(F25="GRPE-900022",5,IF(F25="GRPE-000029",5,IF(F25="ATOS-000222",5,8))))))))</f>
        <v>5</v>
      </c>
      <c r="AE25" s="26">
        <f t="shared" ca="1" si="3"/>
        <v>678.0804961805552</v>
      </c>
      <c r="AF25" s="35"/>
    </row>
    <row r="26" spans="1:51" hidden="1">
      <c r="A26" s="209">
        <v>4796975</v>
      </c>
      <c r="B26" s="209" t="s">
        <v>62</v>
      </c>
      <c r="C26" s="210" t="s">
        <v>135</v>
      </c>
      <c r="D26" s="214"/>
      <c r="E26" s="214">
        <v>1291000206001</v>
      </c>
      <c r="F26" s="209" t="s">
        <v>29</v>
      </c>
      <c r="G26" s="209" t="s">
        <v>53</v>
      </c>
      <c r="H26" s="209" t="s">
        <v>136</v>
      </c>
      <c r="I26" s="209" t="s">
        <v>137</v>
      </c>
      <c r="J26" s="209" t="s">
        <v>33</v>
      </c>
      <c r="K26" s="210" t="s">
        <v>34</v>
      </c>
      <c r="L26" s="210"/>
      <c r="M26" s="209" t="s">
        <v>35</v>
      </c>
      <c r="N26" s="209">
        <v>42318949</v>
      </c>
      <c r="O26" s="209" t="s">
        <v>36</v>
      </c>
      <c r="P26" s="213">
        <v>44321.783020833333</v>
      </c>
      <c r="Q26" s="209"/>
      <c r="R26" s="209" t="s">
        <v>38</v>
      </c>
      <c r="S26" s="209"/>
      <c r="T26" s="209" t="s">
        <v>74</v>
      </c>
      <c r="U26" s="213">
        <v>44364.75</v>
      </c>
      <c r="V26" s="209" t="s">
        <v>41</v>
      </c>
      <c r="W26" s="209" t="s">
        <v>42</v>
      </c>
      <c r="X26" s="13" t="str">
        <f>IF(RIGHT(H26,2)&lt;&gt;"00",H26,"")</f>
        <v/>
      </c>
      <c r="Y26" s="26">
        <f ca="1">NETWORKDAYS(P26,$Y$1)</f>
        <v>476</v>
      </c>
      <c r="Z26" s="34">
        <v>1</v>
      </c>
      <c r="AA26" s="25" t="str">
        <f t="shared" ca="1" si="0"/>
        <v>A VENCER</v>
      </c>
      <c r="AB26" s="25" t="str">
        <f>IF(F26="GRPE-000001","C-14",IF(F26="GRPE-000002","C-14",IF(F26="GRPE-000003","C-14",IF(F26="GRPE-000004","SL-On",IF(F26="GRPE-000038","C-14",IF(F26="GRPE-900022","Dosa",IF(F26="GRPE-000029","Dosa",IF(F26="ATOS-000222","Dose","TAAe+"))))))))</f>
        <v>Dosa</v>
      </c>
      <c r="AC26" s="2" t="str">
        <f t="shared" si="4"/>
        <v xml:space="preserve"> ROSEMERE </v>
      </c>
      <c r="AD26" s="26">
        <f>IF(F26="GRPE-000001",5,IF(F26="GRPE-000002",5,IF(F26="GRPE-000003",15,IF(F26="GRPE-000004",1,IF(F26="GRPE-000038",5,IF(F26="GRPE-900022",5,IF(F26="GRPE-000029",5,IF(F26="ATOS-000222",5,8))))))))</f>
        <v>5</v>
      </c>
      <c r="AE26" s="26">
        <f t="shared" ca="1" si="3"/>
        <v>664.89325081018615</v>
      </c>
      <c r="AF26" s="35"/>
    </row>
    <row r="27" spans="1:51" hidden="1">
      <c r="A27" s="209">
        <v>4968022</v>
      </c>
      <c r="B27" s="209" t="s">
        <v>62</v>
      </c>
      <c r="C27" s="210" t="s">
        <v>138</v>
      </c>
      <c r="D27" s="214"/>
      <c r="E27" s="214">
        <v>582000206001</v>
      </c>
      <c r="F27" s="209" t="s">
        <v>29</v>
      </c>
      <c r="G27" s="209" t="s">
        <v>53</v>
      </c>
      <c r="H27" s="209" t="s">
        <v>139</v>
      </c>
      <c r="I27" s="209" t="s">
        <v>140</v>
      </c>
      <c r="J27" s="209" t="s">
        <v>141</v>
      </c>
      <c r="K27" s="210" t="s">
        <v>34</v>
      </c>
      <c r="L27" s="210"/>
      <c r="M27" s="209" t="s">
        <v>35</v>
      </c>
      <c r="N27" s="209">
        <v>42318949</v>
      </c>
      <c r="O27" s="209" t="s">
        <v>36</v>
      </c>
      <c r="P27" s="213">
        <v>44329.986261574071</v>
      </c>
      <c r="Q27" s="209"/>
      <c r="R27" s="209" t="s">
        <v>38</v>
      </c>
      <c r="S27" s="209"/>
      <c r="T27" s="209" t="s">
        <v>74</v>
      </c>
      <c r="U27" s="213">
        <v>44372.75</v>
      </c>
      <c r="V27" s="209" t="s">
        <v>41</v>
      </c>
      <c r="W27" s="209" t="s">
        <v>49</v>
      </c>
      <c r="X27" s="13" t="str">
        <f>IF(RIGHT(H27,2)&lt;&gt;"00",H27,"")</f>
        <v/>
      </c>
      <c r="Y27" s="26">
        <f ca="1">NETWORKDAYS(P27,$Y$1)</f>
        <v>470</v>
      </c>
      <c r="Z27" s="34">
        <v>1</v>
      </c>
      <c r="AA27" s="25" t="str">
        <f t="shared" ca="1" si="0"/>
        <v>A VENCER</v>
      </c>
      <c r="AB27" s="25" t="str">
        <f>IF(F27="GRPE-000001","C-14",IF(F27="GRPE-000002","C-14",IF(F27="GRPE-000003","C-14",IF(F27="GRPE-000004","SL-On",IF(F27="GRPE-000038","C-14",IF(F27="GRPE-900022","Dosa",IF(F27="GRPE-000029","Dosa",IF(F27="ATOS-000222","Dose","TAAe+"))))))))</f>
        <v>Dosa</v>
      </c>
      <c r="AC27" s="2" t="str">
        <f t="shared" si="4"/>
        <v xml:space="preserve"> CRISTINA </v>
      </c>
      <c r="AD27" s="26">
        <f>IF(F27="GRPE-000001",5,IF(F27="GRPE-000002",5,IF(F27="GRPE-000003",15,IF(F27="GRPE-000004",1,IF(F27="GRPE-000038",5,IF(F27="GRPE-900022",5,IF(F27="GRPE-000029",5,IF(F27="ATOS-000222",5,8))))))))</f>
        <v>5</v>
      </c>
      <c r="AE27" s="26">
        <f t="shared" ca="1" si="3"/>
        <v>656.69001006944745</v>
      </c>
      <c r="AF27" s="35"/>
    </row>
    <row r="28" spans="1:51" hidden="1">
      <c r="A28" s="209">
        <v>4968021</v>
      </c>
      <c r="B28" s="209" t="s">
        <v>62</v>
      </c>
      <c r="C28" s="210" t="s">
        <v>144</v>
      </c>
      <c r="D28" s="214"/>
      <c r="E28" s="214">
        <v>582000206001</v>
      </c>
      <c r="F28" s="209" t="s">
        <v>29</v>
      </c>
      <c r="G28" s="209" t="s">
        <v>53</v>
      </c>
      <c r="H28" s="209" t="s">
        <v>139</v>
      </c>
      <c r="I28" s="209" t="s">
        <v>140</v>
      </c>
      <c r="J28" s="209" t="s">
        <v>141</v>
      </c>
      <c r="K28" s="210" t="s">
        <v>34</v>
      </c>
      <c r="L28" s="210"/>
      <c r="M28" s="209" t="s">
        <v>35</v>
      </c>
      <c r="N28" s="209">
        <v>42318949</v>
      </c>
      <c r="O28" s="209" t="s">
        <v>36</v>
      </c>
      <c r="P28" s="213">
        <v>44329.985972222225</v>
      </c>
      <c r="Q28" s="209"/>
      <c r="R28" s="209" t="s">
        <v>38</v>
      </c>
      <c r="S28" s="209"/>
      <c r="T28" s="209" t="s">
        <v>74</v>
      </c>
      <c r="U28" s="213">
        <v>44372.75</v>
      </c>
      <c r="V28" s="209" t="s">
        <v>41</v>
      </c>
      <c r="W28" s="209" t="s">
        <v>49</v>
      </c>
      <c r="X28" s="13" t="str">
        <f>IF(RIGHT(H28,2)&lt;&gt;"00",H28,"")</f>
        <v/>
      </c>
      <c r="Y28" s="26">
        <f ca="1">NETWORKDAYS(P28,$Y$1)</f>
        <v>470</v>
      </c>
      <c r="Z28" s="34">
        <v>1</v>
      </c>
      <c r="AA28" s="25" t="str">
        <f t="shared" ca="1" si="0"/>
        <v>A VENCER</v>
      </c>
      <c r="AB28" s="25" t="str">
        <f>IF(G28="GRPE-000001","C-14",IF(G28="GRPE-000002","C-14",IF(G28="GRPE-000003","C-14",IF(G28="GRPE-000004","SL-On",IF(G28="GRPE-000038","C-14",IF(G28="GRPE-900022","Dosa",IF(G28="GRPE-000029","Dosa",IF(G28="ATOS-000222","Dose","TAAe+"))))))))</f>
        <v>TAAe+</v>
      </c>
      <c r="AC28" s="2" t="str">
        <f t="shared" si="4"/>
        <v xml:space="preserve"> CRISTINA </v>
      </c>
      <c r="AD28" s="26">
        <f>IF(G28="GRPE-000001",5,IF(G28="GRPE-000002",5,IF(G28="GRPE-000003",15,IF(G28="GRPE-000004",1,IF(G28="GRPE-000038",5,IF(G28="GRPE-900022",5,IF(G28="GRPE-000029",5,IF(G28="ATOS-000222",5,8))))))))</f>
        <v>8</v>
      </c>
      <c r="AE28" s="26">
        <f t="shared" ca="1" si="3"/>
        <v>656.69029942129418</v>
      </c>
      <c r="AF28" s="35"/>
    </row>
    <row r="29" spans="1:51" hidden="1">
      <c r="A29" s="209">
        <v>4967954</v>
      </c>
      <c r="B29" s="209" t="s">
        <v>62</v>
      </c>
      <c r="C29" s="210" t="s">
        <v>144</v>
      </c>
      <c r="D29" s="214"/>
      <c r="E29" s="214">
        <v>582000206001</v>
      </c>
      <c r="F29" s="209" t="s">
        <v>29</v>
      </c>
      <c r="G29" s="209" t="s">
        <v>53</v>
      </c>
      <c r="H29" s="209" t="s">
        <v>139</v>
      </c>
      <c r="I29" s="209" t="s">
        <v>140</v>
      </c>
      <c r="J29" s="209" t="s">
        <v>141</v>
      </c>
      <c r="K29" s="210" t="s">
        <v>34</v>
      </c>
      <c r="L29" s="210"/>
      <c r="M29" s="209" t="s">
        <v>35</v>
      </c>
      <c r="N29" s="209">
        <v>42318949</v>
      </c>
      <c r="O29" s="209" t="s">
        <v>36</v>
      </c>
      <c r="P29" s="213">
        <v>44329.985694444447</v>
      </c>
      <c r="Q29" s="209"/>
      <c r="R29" s="209" t="s">
        <v>38</v>
      </c>
      <c r="S29" s="209"/>
      <c r="T29" s="209" t="s">
        <v>74</v>
      </c>
      <c r="U29" s="213">
        <v>44372.75</v>
      </c>
      <c r="V29" s="209" t="s">
        <v>41</v>
      </c>
      <c r="W29" s="209" t="s">
        <v>49</v>
      </c>
      <c r="X29" s="13" t="str">
        <f>IF(RIGHT(H29,2)&lt;&gt;"00",H29,"")</f>
        <v/>
      </c>
      <c r="Y29" s="26">
        <f ca="1">NETWORKDAYS(P29,$Y$1)</f>
        <v>470</v>
      </c>
      <c r="Z29" s="34">
        <v>1</v>
      </c>
      <c r="AA29" s="25" t="str">
        <f t="shared" ca="1" si="0"/>
        <v>A VENCER</v>
      </c>
      <c r="AB29" s="25" t="str">
        <f t="shared" ref="AB29:AB92" si="6">IF(F29="GRPE-000001","C-14",IF(F29="GRPE-000002","C-14",IF(F29="GRPE-000003","C-14",IF(F29="GRPE-000004","SL-On",IF(F29="GRPE-000038","C-14",IF(F29="GRPE-900022","Dosa",IF(F29="GRPE-000029","Dosa",IF(F29="ATOS-000222","Dose","TAAe+"))))))))</f>
        <v>Dosa</v>
      </c>
      <c r="AC29" s="2" t="str">
        <f t="shared" si="4"/>
        <v xml:space="preserve"> CRISTINA </v>
      </c>
      <c r="AD29" s="26">
        <f t="shared" ref="AD29:AD92" si="7">IF(F29="GRPE-000001",5,IF(F29="GRPE-000002",5,IF(F29="GRPE-000003",15,IF(F29="GRPE-000004",1,IF(F29="GRPE-000038",5,IF(F29="GRPE-900022",5,IF(F29="GRPE-000029",5,IF(F29="ATOS-000222",5,8))))))))</f>
        <v>5</v>
      </c>
      <c r="AE29" s="26">
        <f t="shared" ca="1" si="3"/>
        <v>656.69057719907141</v>
      </c>
      <c r="AF29" s="35"/>
    </row>
    <row r="30" spans="1:51" hidden="1">
      <c r="A30" s="209">
        <v>6477850</v>
      </c>
      <c r="B30" s="209" t="s">
        <v>62</v>
      </c>
      <c r="C30" s="210" t="s">
        <v>145</v>
      </c>
      <c r="D30" s="214"/>
      <c r="E30" s="214">
        <v>1754000206001</v>
      </c>
      <c r="F30" s="209" t="s">
        <v>29</v>
      </c>
      <c r="G30" s="209" t="s">
        <v>53</v>
      </c>
      <c r="H30" s="209" t="s">
        <v>146</v>
      </c>
      <c r="I30" s="209" t="s">
        <v>147</v>
      </c>
      <c r="J30" s="209" t="s">
        <v>148</v>
      </c>
      <c r="K30" s="210" t="s">
        <v>34</v>
      </c>
      <c r="L30" s="210"/>
      <c r="M30" s="209" t="s">
        <v>35</v>
      </c>
      <c r="N30" s="209">
        <v>42318949</v>
      </c>
      <c r="O30" s="209" t="s">
        <v>105</v>
      </c>
      <c r="P30" s="213">
        <v>44404.79105324074</v>
      </c>
      <c r="Q30" s="209"/>
      <c r="R30" s="209" t="s">
        <v>38</v>
      </c>
      <c r="S30" s="209"/>
      <c r="T30" s="209" t="s">
        <v>74</v>
      </c>
      <c r="U30" s="213">
        <v>44447.75</v>
      </c>
      <c r="V30" s="209" t="s">
        <v>41</v>
      </c>
      <c r="W30" s="209" t="s">
        <v>49</v>
      </c>
      <c r="X30" s="13" t="str">
        <f>IF(RIGHT(H30,2)&lt;&gt;"00",H30,"")</f>
        <v/>
      </c>
      <c r="Y30" s="26">
        <f ca="1">NETWORKDAYS(P30,$Y$1)</f>
        <v>417</v>
      </c>
      <c r="Z30" s="34">
        <v>1</v>
      </c>
      <c r="AA30" s="25" t="str">
        <f t="shared" ca="1" si="0"/>
        <v>A VENCER</v>
      </c>
      <c r="AB30" s="25" t="str">
        <f t="shared" si="6"/>
        <v>Dosa</v>
      </c>
      <c r="AC30" s="2" t="str">
        <f t="shared" si="4"/>
        <v xml:space="preserve"> RINALDO </v>
      </c>
      <c r="AD30" s="26">
        <f t="shared" si="7"/>
        <v>5</v>
      </c>
      <c r="AE30" s="26">
        <f t="shared" ca="1" si="3"/>
        <v>581.88521840277826</v>
      </c>
      <c r="AF30" s="35"/>
    </row>
    <row r="31" spans="1:51" hidden="1">
      <c r="A31" s="209">
        <v>6829400</v>
      </c>
      <c r="B31" s="209" t="s">
        <v>62</v>
      </c>
      <c r="C31" s="210" t="s">
        <v>151</v>
      </c>
      <c r="D31" s="214"/>
      <c r="E31" s="214">
        <v>3924000203010</v>
      </c>
      <c r="F31" s="209" t="s">
        <v>152</v>
      </c>
      <c r="G31" s="209" t="s">
        <v>53</v>
      </c>
      <c r="H31" s="209" t="s">
        <v>153</v>
      </c>
      <c r="I31" s="209" t="s">
        <v>154</v>
      </c>
      <c r="J31" s="209" t="s">
        <v>56</v>
      </c>
      <c r="K31" s="210" t="s">
        <v>155</v>
      </c>
      <c r="L31" s="210"/>
      <c r="M31" s="209" t="s">
        <v>35</v>
      </c>
      <c r="N31" s="209">
        <v>42318949</v>
      </c>
      <c r="O31" s="209" t="s">
        <v>36</v>
      </c>
      <c r="P31" s="213">
        <v>44420.812268518515</v>
      </c>
      <c r="Q31" s="209"/>
      <c r="R31" s="209" t="s">
        <v>38</v>
      </c>
      <c r="S31" s="209"/>
      <c r="T31" s="209" t="s">
        <v>157</v>
      </c>
      <c r="U31" s="213">
        <v>44456.75</v>
      </c>
      <c r="V31" s="209" t="s">
        <v>41</v>
      </c>
      <c r="W31" s="209" t="s">
        <v>49</v>
      </c>
      <c r="X31" s="13" t="str">
        <f>IF(RIGHT(H31,2)&lt;&gt;"00",H31,"")</f>
        <v/>
      </c>
      <c r="Y31" s="26">
        <f ca="1">NETWORKDAYS(P31,$Y$1)</f>
        <v>405</v>
      </c>
      <c r="Z31" s="34">
        <v>1</v>
      </c>
      <c r="AA31" s="25" t="str">
        <f t="shared" ca="1" si="0"/>
        <v>A VENCER</v>
      </c>
      <c r="AB31" s="25" t="str">
        <f t="shared" si="6"/>
        <v>TAAe+</v>
      </c>
      <c r="AC31" s="2" t="str">
        <f t="shared" si="4"/>
        <v xml:space="preserve"> CRISTINA </v>
      </c>
      <c r="AD31" s="26">
        <f t="shared" si="7"/>
        <v>8</v>
      </c>
      <c r="AE31" s="26">
        <f t="shared" ca="1" si="3"/>
        <v>565.86400312500336</v>
      </c>
      <c r="AF31" s="35"/>
    </row>
    <row r="32" spans="1:51" hidden="1">
      <c r="A32" s="209">
        <v>6829307</v>
      </c>
      <c r="B32" s="209" t="s">
        <v>62</v>
      </c>
      <c r="C32" s="210" t="s">
        <v>151</v>
      </c>
      <c r="D32" s="214"/>
      <c r="E32" s="214">
        <v>2365000203010</v>
      </c>
      <c r="F32" s="209" t="s">
        <v>152</v>
      </c>
      <c r="G32" s="209" t="s">
        <v>53</v>
      </c>
      <c r="H32" s="209" t="s">
        <v>159</v>
      </c>
      <c r="I32" s="209" t="s">
        <v>160</v>
      </c>
      <c r="J32" s="209" t="s">
        <v>46</v>
      </c>
      <c r="K32" s="210" t="s">
        <v>155</v>
      </c>
      <c r="L32" s="210"/>
      <c r="M32" s="209" t="s">
        <v>35</v>
      </c>
      <c r="N32" s="209">
        <v>42318949</v>
      </c>
      <c r="O32" s="209" t="s">
        <v>36</v>
      </c>
      <c r="P32" s="213">
        <v>44420.812141203707</v>
      </c>
      <c r="Q32" s="209"/>
      <c r="R32" s="209" t="s">
        <v>38</v>
      </c>
      <c r="S32" s="209"/>
      <c r="T32" s="209" t="s">
        <v>157</v>
      </c>
      <c r="U32" s="213">
        <v>44456.75</v>
      </c>
      <c r="V32" s="209" t="s">
        <v>41</v>
      </c>
      <c r="W32" s="209" t="s">
        <v>49</v>
      </c>
      <c r="X32" s="13" t="str">
        <f>IF(RIGHT(H32,2)&lt;&gt;"00",H32,"")</f>
        <v/>
      </c>
      <c r="Y32" s="26">
        <f ca="1">NETWORKDAYS(P32,$Y$1)</f>
        <v>405</v>
      </c>
      <c r="Z32" s="34">
        <v>1</v>
      </c>
      <c r="AA32" s="25" t="str">
        <f t="shared" ca="1" si="0"/>
        <v>A VENCER</v>
      </c>
      <c r="AB32" s="25" t="str">
        <f t="shared" si="6"/>
        <v>TAAe+</v>
      </c>
      <c r="AC32" s="2" t="str">
        <f t="shared" si="4"/>
        <v xml:space="preserve"> CLEITON </v>
      </c>
      <c r="AD32" s="26">
        <f t="shared" si="7"/>
        <v>8</v>
      </c>
      <c r="AE32" s="26">
        <f t="shared" ca="1" si="3"/>
        <v>565.86413043981156</v>
      </c>
      <c r="AF32" s="35"/>
    </row>
    <row r="33" spans="1:32" hidden="1">
      <c r="A33" s="209">
        <v>6829259</v>
      </c>
      <c r="B33" s="209" t="s">
        <v>62</v>
      </c>
      <c r="C33" s="210" t="s">
        <v>151</v>
      </c>
      <c r="D33" s="214"/>
      <c r="E33" s="214">
        <v>1739000203010</v>
      </c>
      <c r="F33" s="209" t="s">
        <v>152</v>
      </c>
      <c r="G33" s="209" t="s">
        <v>53</v>
      </c>
      <c r="H33" s="209" t="s">
        <v>162</v>
      </c>
      <c r="I33" s="209" t="s">
        <v>163</v>
      </c>
      <c r="J33" s="209" t="s">
        <v>164</v>
      </c>
      <c r="K33" s="210" t="s">
        <v>155</v>
      </c>
      <c r="L33" s="210"/>
      <c r="M33" s="209" t="s">
        <v>35</v>
      </c>
      <c r="N33" s="209">
        <v>42318949</v>
      </c>
      <c r="O33" s="209" t="s">
        <v>36</v>
      </c>
      <c r="P33" s="213">
        <v>44420.812048611115</v>
      </c>
      <c r="Q33" s="209"/>
      <c r="R33" s="209" t="s">
        <v>38</v>
      </c>
      <c r="S33" s="209"/>
      <c r="T33" s="209" t="s">
        <v>157</v>
      </c>
      <c r="U33" s="213">
        <v>44456.75</v>
      </c>
      <c r="V33" s="209" t="s">
        <v>41</v>
      </c>
      <c r="W33" s="209" t="s">
        <v>49</v>
      </c>
      <c r="X33" s="13" t="str">
        <f>IF(RIGHT(H33,2)&lt;&gt;"00",H33,"")</f>
        <v/>
      </c>
      <c r="Y33" s="26">
        <f ca="1">NETWORKDAYS(P33,$Y$1)</f>
        <v>405</v>
      </c>
      <c r="Z33" s="34">
        <v>1</v>
      </c>
      <c r="AA33" s="25" t="str">
        <f t="shared" ca="1" si="0"/>
        <v>A VENCER</v>
      </c>
      <c r="AB33" s="25" t="str">
        <f t="shared" si="6"/>
        <v>TAAe+</v>
      </c>
      <c r="AC33" s="2" t="str">
        <f t="shared" si="4"/>
        <v xml:space="preserve"> ROSEMERE </v>
      </c>
      <c r="AD33" s="26">
        <f t="shared" si="7"/>
        <v>8</v>
      </c>
      <c r="AE33" s="26">
        <f t="shared" ca="1" si="3"/>
        <v>565.86422303240397</v>
      </c>
      <c r="AF33" s="35"/>
    </row>
    <row r="34" spans="1:32" hidden="1">
      <c r="A34" s="209">
        <v>6829206</v>
      </c>
      <c r="B34" s="209" t="s">
        <v>62</v>
      </c>
      <c r="C34" s="210" t="s">
        <v>151</v>
      </c>
      <c r="D34" s="214"/>
      <c r="E34" s="214">
        <v>1061000203010</v>
      </c>
      <c r="F34" s="209" t="s">
        <v>152</v>
      </c>
      <c r="G34" s="209" t="s">
        <v>53</v>
      </c>
      <c r="H34" s="209" t="s">
        <v>166</v>
      </c>
      <c r="I34" s="209" t="s">
        <v>167</v>
      </c>
      <c r="J34" s="209" t="s">
        <v>85</v>
      </c>
      <c r="K34" s="210" t="s">
        <v>155</v>
      </c>
      <c r="L34" s="210"/>
      <c r="M34" s="209" t="s">
        <v>35</v>
      </c>
      <c r="N34" s="209">
        <v>42318949</v>
      </c>
      <c r="O34" s="209" t="s">
        <v>36</v>
      </c>
      <c r="P34" s="213">
        <v>44420.811956018515</v>
      </c>
      <c r="Q34" s="209"/>
      <c r="R34" s="209" t="s">
        <v>38</v>
      </c>
      <c r="S34" s="209"/>
      <c r="T34" s="209" t="s">
        <v>157</v>
      </c>
      <c r="U34" s="213">
        <v>44456.75</v>
      </c>
      <c r="V34" s="209" t="s">
        <v>41</v>
      </c>
      <c r="W34" s="209" t="s">
        <v>49</v>
      </c>
      <c r="X34" s="13" t="str">
        <f>IF(RIGHT(H34,2)&lt;&gt;"00",H34,"")</f>
        <v/>
      </c>
      <c r="Y34" s="26">
        <f ca="1">NETWORKDAYS(P34,$Y$1)</f>
        <v>405</v>
      </c>
      <c r="Z34" s="34">
        <v>1</v>
      </c>
      <c r="AA34" s="25" t="str">
        <f t="shared" ca="1" si="0"/>
        <v>A VENCER</v>
      </c>
      <c r="AB34" s="25" t="str">
        <f t="shared" si="6"/>
        <v>TAAe+</v>
      </c>
      <c r="AC34" s="2" t="str">
        <f t="shared" si="4"/>
        <v xml:space="preserve"> RINALDO </v>
      </c>
      <c r="AD34" s="26">
        <f t="shared" si="7"/>
        <v>8</v>
      </c>
      <c r="AE34" s="26">
        <f t="shared" ca="1" si="3"/>
        <v>565.86431562500366</v>
      </c>
      <c r="AF34" s="35"/>
    </row>
    <row r="35" spans="1:32" hidden="1">
      <c r="A35" s="209">
        <v>6829203</v>
      </c>
      <c r="B35" s="209" t="s">
        <v>62</v>
      </c>
      <c r="C35" s="210" t="s">
        <v>151</v>
      </c>
      <c r="D35" s="214"/>
      <c r="E35" s="214">
        <v>1049000203010</v>
      </c>
      <c r="F35" s="209" t="s">
        <v>152</v>
      </c>
      <c r="G35" s="209" t="s">
        <v>53</v>
      </c>
      <c r="H35" s="209" t="s">
        <v>169</v>
      </c>
      <c r="I35" s="209" t="s">
        <v>170</v>
      </c>
      <c r="J35" s="209" t="s">
        <v>164</v>
      </c>
      <c r="K35" s="210" t="s">
        <v>155</v>
      </c>
      <c r="L35" s="210"/>
      <c r="M35" s="209" t="s">
        <v>35</v>
      </c>
      <c r="N35" s="209">
        <v>42318949</v>
      </c>
      <c r="O35" s="209" t="s">
        <v>36</v>
      </c>
      <c r="P35" s="213">
        <v>44420.811944444446</v>
      </c>
      <c r="Q35" s="209"/>
      <c r="R35" s="209" t="s">
        <v>38</v>
      </c>
      <c r="S35" s="209"/>
      <c r="T35" s="209" t="s">
        <v>157</v>
      </c>
      <c r="U35" s="213">
        <v>44456.75</v>
      </c>
      <c r="V35" s="209" t="s">
        <v>41</v>
      </c>
      <c r="W35" s="209" t="s">
        <v>49</v>
      </c>
      <c r="X35" s="13" t="str">
        <f>IF(RIGHT(H35,2)&lt;&gt;"00",H35,"")</f>
        <v/>
      </c>
      <c r="Y35" s="26">
        <f ca="1">NETWORKDAYS(P35,$Y$1)</f>
        <v>405</v>
      </c>
      <c r="Z35" s="34">
        <v>1</v>
      </c>
      <c r="AA35" s="25" t="str">
        <f t="shared" ca="1" si="0"/>
        <v>A VENCER</v>
      </c>
      <c r="AB35" s="25" t="str">
        <f t="shared" si="6"/>
        <v>TAAe+</v>
      </c>
      <c r="AC35" s="2" t="str">
        <f t="shared" si="4"/>
        <v xml:space="preserve"> ROSEMERE </v>
      </c>
      <c r="AD35" s="26">
        <f t="shared" si="7"/>
        <v>8</v>
      </c>
      <c r="AE35" s="26">
        <f t="shared" ca="1" si="3"/>
        <v>565.86432719907316</v>
      </c>
      <c r="AF35" s="35"/>
    </row>
    <row r="36" spans="1:32" hidden="1">
      <c r="A36" s="209">
        <v>6829198</v>
      </c>
      <c r="B36" s="209" t="s">
        <v>62</v>
      </c>
      <c r="C36" s="210" t="s">
        <v>151</v>
      </c>
      <c r="D36" s="214"/>
      <c r="E36" s="214">
        <v>1012000203010</v>
      </c>
      <c r="F36" s="209" t="s">
        <v>152</v>
      </c>
      <c r="G36" s="209" t="s">
        <v>53</v>
      </c>
      <c r="H36" s="209" t="s">
        <v>172</v>
      </c>
      <c r="I36" s="209" t="s">
        <v>173</v>
      </c>
      <c r="J36" s="209" t="s">
        <v>164</v>
      </c>
      <c r="K36" s="210" t="s">
        <v>155</v>
      </c>
      <c r="L36" s="210"/>
      <c r="M36" s="209" t="s">
        <v>35</v>
      </c>
      <c r="N36" s="209">
        <v>42318949</v>
      </c>
      <c r="O36" s="209" t="s">
        <v>36</v>
      </c>
      <c r="P36" s="213">
        <v>44420.811932870369</v>
      </c>
      <c r="Q36" s="209"/>
      <c r="R36" s="209" t="s">
        <v>38</v>
      </c>
      <c r="S36" s="209"/>
      <c r="T36" s="209" t="s">
        <v>157</v>
      </c>
      <c r="U36" s="213">
        <v>44456.75</v>
      </c>
      <c r="V36" s="209" t="s">
        <v>41</v>
      </c>
      <c r="W36" s="209" t="s">
        <v>49</v>
      </c>
      <c r="X36" s="13" t="str">
        <f>IF(RIGHT(H36,2)&lt;&gt;"00",H36,"")</f>
        <v/>
      </c>
      <c r="Y36" s="26">
        <f ca="1">NETWORKDAYS(P36,$Y$1)</f>
        <v>405</v>
      </c>
      <c r="Z36" s="34">
        <v>1</v>
      </c>
      <c r="AA36" s="25" t="str">
        <f t="shared" ca="1" si="0"/>
        <v>A VENCER</v>
      </c>
      <c r="AB36" s="25" t="str">
        <f t="shared" si="6"/>
        <v>TAAe+</v>
      </c>
      <c r="AC36" s="2" t="str">
        <f t="shared" si="4"/>
        <v xml:space="preserve"> ROSEMERE </v>
      </c>
      <c r="AD36" s="26">
        <f t="shared" si="7"/>
        <v>8</v>
      </c>
      <c r="AE36" s="26">
        <f t="shared" ca="1" si="3"/>
        <v>565.86433877314994</v>
      </c>
      <c r="AF36" s="35"/>
    </row>
    <row r="37" spans="1:32" hidden="1">
      <c r="A37" s="209">
        <v>6829184</v>
      </c>
      <c r="B37" s="209" t="s">
        <v>62</v>
      </c>
      <c r="C37" s="210" t="s">
        <v>151</v>
      </c>
      <c r="D37" s="214"/>
      <c r="E37" s="214">
        <v>899000203010</v>
      </c>
      <c r="F37" s="209" t="s">
        <v>152</v>
      </c>
      <c r="G37" s="209" t="s">
        <v>53</v>
      </c>
      <c r="H37" s="209" t="s">
        <v>175</v>
      </c>
      <c r="I37" s="209" t="s">
        <v>176</v>
      </c>
      <c r="J37" s="209" t="s">
        <v>90</v>
      </c>
      <c r="K37" s="210" t="s">
        <v>155</v>
      </c>
      <c r="L37" s="210"/>
      <c r="M37" s="209" t="s">
        <v>35</v>
      </c>
      <c r="N37" s="209">
        <v>42318949</v>
      </c>
      <c r="O37" s="209" t="s">
        <v>36</v>
      </c>
      <c r="P37" s="213">
        <v>44420.811898148146</v>
      </c>
      <c r="Q37" s="209"/>
      <c r="R37" s="209" t="s">
        <v>38</v>
      </c>
      <c r="S37" s="209"/>
      <c r="T37" s="209" t="s">
        <v>157</v>
      </c>
      <c r="U37" s="213">
        <v>44456.75</v>
      </c>
      <c r="V37" s="209" t="s">
        <v>41</v>
      </c>
      <c r="W37" s="209" t="s">
        <v>49</v>
      </c>
      <c r="X37" s="13" t="str">
        <f>IF(RIGHT(H37,2)&lt;&gt;"00",H37,"")</f>
        <v/>
      </c>
      <c r="Y37" s="26">
        <f ca="1">NETWORKDAYS(P37,$Y$1)</f>
        <v>405</v>
      </c>
      <c r="Z37" s="34">
        <v>1</v>
      </c>
      <c r="AA37" s="25" t="str">
        <f t="shared" ca="1" si="0"/>
        <v>A VENCER</v>
      </c>
      <c r="AB37" s="25" t="str">
        <f t="shared" si="6"/>
        <v>TAAe+</v>
      </c>
      <c r="AC37" s="2" t="str">
        <f t="shared" si="4"/>
        <v xml:space="preserve"> RINALDO </v>
      </c>
      <c r="AD37" s="26">
        <f t="shared" si="7"/>
        <v>8</v>
      </c>
      <c r="AE37" s="26">
        <f t="shared" ca="1" si="3"/>
        <v>565.864373495373</v>
      </c>
      <c r="AF37" s="35"/>
    </row>
    <row r="38" spans="1:32" hidden="1">
      <c r="A38" s="209">
        <v>6842502</v>
      </c>
      <c r="B38" s="209" t="s">
        <v>62</v>
      </c>
      <c r="C38" s="210" t="s">
        <v>151</v>
      </c>
      <c r="D38" s="214"/>
      <c r="E38" s="214">
        <v>1732000203010</v>
      </c>
      <c r="F38" s="209" t="s">
        <v>152</v>
      </c>
      <c r="G38" s="209" t="s">
        <v>53</v>
      </c>
      <c r="H38" s="209" t="s">
        <v>177</v>
      </c>
      <c r="I38" s="209" t="s">
        <v>178</v>
      </c>
      <c r="J38" s="209" t="s">
        <v>164</v>
      </c>
      <c r="K38" s="210" t="s">
        <v>155</v>
      </c>
      <c r="L38" s="210"/>
      <c r="M38" s="209" t="s">
        <v>35</v>
      </c>
      <c r="N38" s="209">
        <v>42318949</v>
      </c>
      <c r="O38" s="209" t="s">
        <v>36</v>
      </c>
      <c r="P38" s="213">
        <v>44421.394976851851</v>
      </c>
      <c r="Q38" s="209"/>
      <c r="R38" s="209" t="s">
        <v>38</v>
      </c>
      <c r="S38" s="209"/>
      <c r="T38" s="209" t="s">
        <v>157</v>
      </c>
      <c r="U38" s="213">
        <v>44456.75</v>
      </c>
      <c r="V38" s="209" t="s">
        <v>41</v>
      </c>
      <c r="W38" s="209" t="s">
        <v>49</v>
      </c>
      <c r="X38" s="13" t="str">
        <f>IF(RIGHT(H38,2)&lt;&gt;"00",H38,"")</f>
        <v/>
      </c>
      <c r="Y38" s="26">
        <f ca="1">NETWORKDAYS(P38,$Y$1)</f>
        <v>404</v>
      </c>
      <c r="Z38" s="34">
        <v>1</v>
      </c>
      <c r="AA38" s="25" t="str">
        <f t="shared" ca="1" si="0"/>
        <v>A VENCER</v>
      </c>
      <c r="AB38" s="25" t="str">
        <f t="shared" si="6"/>
        <v>TAAe+</v>
      </c>
      <c r="AC38" s="2" t="str">
        <f t="shared" si="4"/>
        <v xml:space="preserve"> ROSEMERE </v>
      </c>
      <c r="AD38" s="26">
        <f t="shared" si="7"/>
        <v>8</v>
      </c>
      <c r="AE38" s="26">
        <f t="shared" ca="1" si="3"/>
        <v>565.28129479166819</v>
      </c>
      <c r="AF38" s="35"/>
    </row>
    <row r="39" spans="1:32" hidden="1">
      <c r="A39" s="209">
        <v>6842406</v>
      </c>
      <c r="B39" s="209" t="s">
        <v>62</v>
      </c>
      <c r="C39" s="210" t="s">
        <v>151</v>
      </c>
      <c r="D39" s="214"/>
      <c r="E39" s="214">
        <v>1421000203010</v>
      </c>
      <c r="F39" s="209" t="s">
        <v>152</v>
      </c>
      <c r="G39" s="209" t="s">
        <v>53</v>
      </c>
      <c r="H39" s="209" t="s">
        <v>179</v>
      </c>
      <c r="I39" s="209" t="s">
        <v>180</v>
      </c>
      <c r="J39" s="209" t="s">
        <v>79</v>
      </c>
      <c r="K39" s="210" t="s">
        <v>155</v>
      </c>
      <c r="L39" s="210"/>
      <c r="M39" s="209" t="s">
        <v>35</v>
      </c>
      <c r="N39" s="209">
        <v>42318949</v>
      </c>
      <c r="O39" s="209" t="s">
        <v>36</v>
      </c>
      <c r="P39" s="213">
        <v>44421.394791666666</v>
      </c>
      <c r="Q39" s="209"/>
      <c r="R39" s="209" t="s">
        <v>38</v>
      </c>
      <c r="S39" s="209"/>
      <c r="T39" s="209" t="s">
        <v>157</v>
      </c>
      <c r="U39" s="213">
        <v>44456.75</v>
      </c>
      <c r="V39" s="209" t="s">
        <v>41</v>
      </c>
      <c r="W39" s="209" t="s">
        <v>49</v>
      </c>
      <c r="X39" s="13" t="str">
        <f>IF(RIGHT(H39,2)&lt;&gt;"00",H39,"")</f>
        <v/>
      </c>
      <c r="Y39" s="26">
        <f ca="1">NETWORKDAYS(P39,$Y$1)</f>
        <v>404</v>
      </c>
      <c r="Z39" s="34">
        <v>1</v>
      </c>
      <c r="AA39" s="25" t="str">
        <f t="shared" ca="1" si="0"/>
        <v>A VENCER</v>
      </c>
      <c r="AB39" s="25" t="str">
        <f t="shared" si="6"/>
        <v>TAAe+</v>
      </c>
      <c r="AC39" s="2" t="str">
        <f t="shared" si="4"/>
        <v xml:space="preserve"> ROSEMERE </v>
      </c>
      <c r="AD39" s="26">
        <f t="shared" si="7"/>
        <v>8</v>
      </c>
      <c r="AE39" s="26">
        <f t="shared" ca="1" si="3"/>
        <v>565.28147997685301</v>
      </c>
      <c r="AF39" s="35"/>
    </row>
    <row r="40" spans="1:32" hidden="1">
      <c r="A40" s="209">
        <v>6842400</v>
      </c>
      <c r="B40" s="209" t="s">
        <v>62</v>
      </c>
      <c r="C40" s="210" t="s">
        <v>151</v>
      </c>
      <c r="D40" s="214"/>
      <c r="E40" s="214">
        <v>1120000203010</v>
      </c>
      <c r="F40" s="209" t="s">
        <v>152</v>
      </c>
      <c r="G40" s="209" t="s">
        <v>53</v>
      </c>
      <c r="H40" s="209" t="s">
        <v>181</v>
      </c>
      <c r="I40" s="209" t="s">
        <v>182</v>
      </c>
      <c r="J40" s="209" t="s">
        <v>164</v>
      </c>
      <c r="K40" s="210" t="s">
        <v>155</v>
      </c>
      <c r="L40" s="210"/>
      <c r="M40" s="209" t="s">
        <v>35</v>
      </c>
      <c r="N40" s="209">
        <v>42318949</v>
      </c>
      <c r="O40" s="209" t="s">
        <v>36</v>
      </c>
      <c r="P40" s="213">
        <v>44421.394780092596</v>
      </c>
      <c r="Q40" s="209"/>
      <c r="R40" s="209" t="s">
        <v>38</v>
      </c>
      <c r="S40" s="209"/>
      <c r="T40" s="209" t="s">
        <v>157</v>
      </c>
      <c r="U40" s="213">
        <v>44456.75</v>
      </c>
      <c r="V40" s="209" t="s">
        <v>41</v>
      </c>
      <c r="W40" s="209" t="s">
        <v>49</v>
      </c>
      <c r="X40" s="13" t="str">
        <f>IF(RIGHT(H40,2)&lt;&gt;"00",H40,"")</f>
        <v/>
      </c>
      <c r="Y40" s="26">
        <f ca="1">NETWORKDAYS(P40,$Y$1)</f>
        <v>404</v>
      </c>
      <c r="Z40" s="34">
        <v>1</v>
      </c>
      <c r="AA40" s="25" t="str">
        <f t="shared" ca="1" si="0"/>
        <v>A VENCER</v>
      </c>
      <c r="AB40" s="25" t="str">
        <f t="shared" si="6"/>
        <v>TAAe+</v>
      </c>
      <c r="AC40" s="2" t="str">
        <f t="shared" si="4"/>
        <v xml:space="preserve"> ROSEMERE </v>
      </c>
      <c r="AD40" s="26">
        <f t="shared" si="7"/>
        <v>8</v>
      </c>
      <c r="AE40" s="26">
        <f t="shared" ca="1" si="3"/>
        <v>565.28149155092251</v>
      </c>
      <c r="AF40" s="35"/>
    </row>
    <row r="41" spans="1:32" hidden="1">
      <c r="A41" s="209">
        <v>6842393</v>
      </c>
      <c r="B41" s="209" t="s">
        <v>62</v>
      </c>
      <c r="C41" s="210" t="s">
        <v>151</v>
      </c>
      <c r="D41" s="214"/>
      <c r="E41" s="214">
        <v>870000203010</v>
      </c>
      <c r="F41" s="209" t="s">
        <v>152</v>
      </c>
      <c r="G41" s="209" t="s">
        <v>53</v>
      </c>
      <c r="H41" s="209" t="s">
        <v>183</v>
      </c>
      <c r="I41" s="209" t="s">
        <v>184</v>
      </c>
      <c r="J41" s="209" t="s">
        <v>90</v>
      </c>
      <c r="K41" s="210" t="s">
        <v>155</v>
      </c>
      <c r="L41" s="210"/>
      <c r="M41" s="209" t="s">
        <v>35</v>
      </c>
      <c r="N41" s="209">
        <v>42318949</v>
      </c>
      <c r="O41" s="209" t="s">
        <v>36</v>
      </c>
      <c r="P41" s="213">
        <v>44421.394768518519</v>
      </c>
      <c r="Q41" s="209"/>
      <c r="R41" s="209" t="s">
        <v>38</v>
      </c>
      <c r="S41" s="209"/>
      <c r="T41" s="209" t="s">
        <v>157</v>
      </c>
      <c r="U41" s="213">
        <v>44456.75</v>
      </c>
      <c r="V41" s="209" t="s">
        <v>41</v>
      </c>
      <c r="W41" s="209" t="s">
        <v>49</v>
      </c>
      <c r="X41" s="13" t="str">
        <f>IF(RIGHT(H41,2)&lt;&gt;"00",H41,"")</f>
        <v/>
      </c>
      <c r="Y41" s="26">
        <f ca="1">NETWORKDAYS(P41,$Y$1)</f>
        <v>404</v>
      </c>
      <c r="Z41" s="34">
        <v>1</v>
      </c>
      <c r="AA41" s="25" t="str">
        <f t="shared" ca="1" si="0"/>
        <v>A VENCER</v>
      </c>
      <c r="AB41" s="25" t="str">
        <f t="shared" si="6"/>
        <v>TAAe+</v>
      </c>
      <c r="AC41" s="2" t="str">
        <f t="shared" si="4"/>
        <v xml:space="preserve"> RINALDO </v>
      </c>
      <c r="AD41" s="26">
        <f t="shared" si="7"/>
        <v>8</v>
      </c>
      <c r="AE41" s="26">
        <f t="shared" ca="1" si="3"/>
        <v>565.28150312499929</v>
      </c>
      <c r="AF41" s="35"/>
    </row>
    <row r="42" spans="1:32" hidden="1">
      <c r="A42" s="209">
        <v>6966972</v>
      </c>
      <c r="B42" s="209" t="s">
        <v>27</v>
      </c>
      <c r="C42" s="210" t="s">
        <v>186</v>
      </c>
      <c r="D42" s="214"/>
      <c r="E42" s="214">
        <v>7740206001</v>
      </c>
      <c r="F42" s="209" t="s">
        <v>29</v>
      </c>
      <c r="G42" s="209" t="s">
        <v>53</v>
      </c>
      <c r="H42" s="209" t="s">
        <v>187</v>
      </c>
      <c r="I42" s="209" t="s">
        <v>188</v>
      </c>
      <c r="J42" s="209" t="s">
        <v>46</v>
      </c>
      <c r="K42" s="210" t="s">
        <v>34</v>
      </c>
      <c r="L42" s="210"/>
      <c r="M42" s="209" t="s">
        <v>35</v>
      </c>
      <c r="N42" s="209">
        <v>42318949</v>
      </c>
      <c r="O42" s="209" t="s">
        <v>36</v>
      </c>
      <c r="P42" s="213">
        <v>44426.85628472222</v>
      </c>
      <c r="Q42" s="209"/>
      <c r="R42" s="209" t="s">
        <v>38</v>
      </c>
      <c r="S42" s="209"/>
      <c r="T42" s="209" t="s">
        <v>74</v>
      </c>
      <c r="U42" s="213">
        <v>44427.75</v>
      </c>
      <c r="V42" s="209" t="s">
        <v>41</v>
      </c>
      <c r="W42" s="209" t="s">
        <v>49</v>
      </c>
      <c r="X42" s="13" t="str">
        <f>IF(RIGHT(H42,2)&lt;&gt;"00",H42,"")</f>
        <v>0007.74</v>
      </c>
      <c r="Y42" s="26">
        <f ca="1">NETWORKDAYS(P42,$Y$1)</f>
        <v>401</v>
      </c>
      <c r="Z42" s="34">
        <v>1</v>
      </c>
      <c r="AA42" s="25" t="str">
        <f t="shared" ca="1" si="0"/>
        <v>A VENCER</v>
      </c>
      <c r="AB42" s="25" t="str">
        <f t="shared" si="6"/>
        <v>Dosa</v>
      </c>
      <c r="AC42" s="2" t="str">
        <f t="shared" si="4"/>
        <v xml:space="preserve"> CLEITON </v>
      </c>
      <c r="AD42" s="26">
        <f t="shared" si="7"/>
        <v>5</v>
      </c>
      <c r="AE42" s="26">
        <f t="shared" ca="1" si="3"/>
        <v>559.81998692129855</v>
      </c>
      <c r="AF42" s="35"/>
    </row>
    <row r="43" spans="1:32" hidden="1">
      <c r="A43" s="209">
        <v>6986331</v>
      </c>
      <c r="B43" s="209" t="s">
        <v>27</v>
      </c>
      <c r="C43" s="210" t="s">
        <v>186</v>
      </c>
      <c r="D43" s="214"/>
      <c r="E43" s="214">
        <v>2326000206001</v>
      </c>
      <c r="F43" s="209" t="s">
        <v>29</v>
      </c>
      <c r="G43" s="209" t="s">
        <v>53</v>
      </c>
      <c r="H43" s="209" t="s">
        <v>191</v>
      </c>
      <c r="I43" s="209" t="s">
        <v>192</v>
      </c>
      <c r="J43" s="209" t="s">
        <v>46</v>
      </c>
      <c r="K43" s="210" t="s">
        <v>34</v>
      </c>
      <c r="L43" s="210"/>
      <c r="M43" s="209" t="s">
        <v>35</v>
      </c>
      <c r="N43" s="209">
        <v>42318949</v>
      </c>
      <c r="O43" s="209" t="s">
        <v>105</v>
      </c>
      <c r="P43" s="213">
        <v>44427.683576388888</v>
      </c>
      <c r="Q43" s="209"/>
      <c r="R43" s="209" t="s">
        <v>38</v>
      </c>
      <c r="S43" s="209"/>
      <c r="T43" s="209" t="s">
        <v>74</v>
      </c>
      <c r="U43" s="213">
        <v>44427.75</v>
      </c>
      <c r="V43" s="209" t="s">
        <v>41</v>
      </c>
      <c r="W43" s="209" t="s">
        <v>49</v>
      </c>
      <c r="X43" s="13" t="str">
        <f>IF(RIGHT(H43,2)&lt;&gt;"00",H43,"")</f>
        <v/>
      </c>
      <c r="Y43" s="26">
        <f ca="1">NETWORKDAYS(P43,$Y$1)</f>
        <v>400</v>
      </c>
      <c r="Z43" s="34">
        <v>1</v>
      </c>
      <c r="AA43" s="25" t="str">
        <f t="shared" ca="1" si="0"/>
        <v>A VENCER</v>
      </c>
      <c r="AB43" s="25" t="str">
        <f t="shared" si="6"/>
        <v>Dosa</v>
      </c>
      <c r="AC43" s="2" t="str">
        <f t="shared" si="4"/>
        <v xml:space="preserve"> CLEITON </v>
      </c>
      <c r="AD43" s="26">
        <f t="shared" si="7"/>
        <v>5</v>
      </c>
      <c r="AE43" s="26">
        <f t="shared" ca="1" si="3"/>
        <v>558.99269525463023</v>
      </c>
      <c r="AF43" s="35"/>
    </row>
    <row r="44" spans="1:32" hidden="1">
      <c r="A44" s="209">
        <v>6986330</v>
      </c>
      <c r="B44" s="209" t="s">
        <v>27</v>
      </c>
      <c r="C44" s="210" t="s">
        <v>186</v>
      </c>
      <c r="D44" s="214"/>
      <c r="E44" s="214">
        <v>2335000206001</v>
      </c>
      <c r="F44" s="209" t="s">
        <v>29</v>
      </c>
      <c r="G44" s="209" t="s">
        <v>53</v>
      </c>
      <c r="H44" s="209" t="s">
        <v>194</v>
      </c>
      <c r="I44" s="209" t="s">
        <v>195</v>
      </c>
      <c r="J44" s="209" t="s">
        <v>110</v>
      </c>
      <c r="K44" s="210" t="s">
        <v>34</v>
      </c>
      <c r="L44" s="210"/>
      <c r="M44" s="209" t="s">
        <v>35</v>
      </c>
      <c r="N44" s="209">
        <v>42318949</v>
      </c>
      <c r="O44" s="209" t="s">
        <v>36</v>
      </c>
      <c r="P44" s="213">
        <v>44427.683136574073</v>
      </c>
      <c r="Q44" s="209"/>
      <c r="R44" s="209" t="s">
        <v>38</v>
      </c>
      <c r="S44" s="209"/>
      <c r="T44" s="209" t="s">
        <v>74</v>
      </c>
      <c r="U44" s="213">
        <v>44427.75</v>
      </c>
      <c r="V44" s="209" t="s">
        <v>41</v>
      </c>
      <c r="W44" s="209" t="s">
        <v>49</v>
      </c>
      <c r="X44" s="13" t="str">
        <f>IF(RIGHT(H44,2)&lt;&gt;"00",H44,"")</f>
        <v/>
      </c>
      <c r="Y44" s="26">
        <f ca="1">NETWORKDAYS(P44,$Y$1)</f>
        <v>400</v>
      </c>
      <c r="Z44" s="34">
        <v>1</v>
      </c>
      <c r="AA44" s="25" t="str">
        <f t="shared" ca="1" si="0"/>
        <v>A VENCER</v>
      </c>
      <c r="AB44" s="25" t="str">
        <f t="shared" si="6"/>
        <v>Dosa</v>
      </c>
      <c r="AC44" s="2" t="str">
        <f t="shared" si="4"/>
        <v xml:space="preserve"> CRISTINA </v>
      </c>
      <c r="AD44" s="26">
        <f t="shared" si="7"/>
        <v>5</v>
      </c>
      <c r="AE44" s="26">
        <f t="shared" ca="1" si="3"/>
        <v>558.993135069446</v>
      </c>
      <c r="AF44" s="35"/>
    </row>
    <row r="45" spans="1:32" hidden="1">
      <c r="A45" s="209">
        <v>6981314</v>
      </c>
      <c r="B45" s="209" t="s">
        <v>27</v>
      </c>
      <c r="C45" s="210" t="s">
        <v>186</v>
      </c>
      <c r="D45" s="214"/>
      <c r="E45" s="214">
        <v>4357010206001</v>
      </c>
      <c r="F45" s="209" t="s">
        <v>29</v>
      </c>
      <c r="G45" s="209" t="s">
        <v>53</v>
      </c>
      <c r="H45" s="209" t="s">
        <v>197</v>
      </c>
      <c r="I45" s="209" t="s">
        <v>198</v>
      </c>
      <c r="J45" s="209" t="s">
        <v>46</v>
      </c>
      <c r="K45" s="210" t="s">
        <v>34</v>
      </c>
      <c r="L45" s="210"/>
      <c r="M45" s="209" t="s">
        <v>35</v>
      </c>
      <c r="N45" s="209">
        <v>42318949</v>
      </c>
      <c r="O45" s="209" t="s">
        <v>36</v>
      </c>
      <c r="P45" s="213">
        <v>44427.488483796296</v>
      </c>
      <c r="Q45" s="209"/>
      <c r="R45" s="209" t="s">
        <v>38</v>
      </c>
      <c r="S45" s="209"/>
      <c r="T45" s="209" t="s">
        <v>74</v>
      </c>
      <c r="U45" s="213">
        <v>44427.75</v>
      </c>
      <c r="V45" s="209" t="s">
        <v>41</v>
      </c>
      <c r="W45" s="209" t="s">
        <v>49</v>
      </c>
      <c r="X45" s="13" t="str">
        <f>IF(RIGHT(H45,2)&lt;&gt;"00",H45,"")</f>
        <v>4357.01</v>
      </c>
      <c r="Y45" s="26">
        <f ca="1">NETWORKDAYS(P45,$Y$1)</f>
        <v>400</v>
      </c>
      <c r="Z45" s="34">
        <v>1</v>
      </c>
      <c r="AA45" s="25" t="str">
        <f t="shared" ca="1" si="0"/>
        <v>A VENCER</v>
      </c>
      <c r="AB45" s="25" t="str">
        <f t="shared" si="6"/>
        <v>Dosa</v>
      </c>
      <c r="AC45" s="2" t="str">
        <f t="shared" si="4"/>
        <v xml:space="preserve"> CLEITON </v>
      </c>
      <c r="AD45" s="26">
        <f t="shared" si="7"/>
        <v>5</v>
      </c>
      <c r="AE45" s="26">
        <f t="shared" ca="1" si="3"/>
        <v>559.18778784722235</v>
      </c>
      <c r="AF45" s="35"/>
    </row>
    <row r="46" spans="1:32" hidden="1">
      <c r="A46" s="209">
        <v>7150745</v>
      </c>
      <c r="B46" s="209" t="s">
        <v>101</v>
      </c>
      <c r="C46" s="210" t="s">
        <v>199</v>
      </c>
      <c r="D46" s="214"/>
      <c r="E46" s="214">
        <v>1059002060021</v>
      </c>
      <c r="F46" s="209" t="s">
        <v>103</v>
      </c>
      <c r="G46" s="209" t="s">
        <v>53</v>
      </c>
      <c r="H46" s="209" t="s">
        <v>88</v>
      </c>
      <c r="I46" s="209" t="s">
        <v>89</v>
      </c>
      <c r="J46" s="209" t="s">
        <v>90</v>
      </c>
      <c r="K46" s="210" t="s">
        <v>104</v>
      </c>
      <c r="L46" s="210"/>
      <c r="M46" s="209" t="s">
        <v>58</v>
      </c>
      <c r="N46" s="209">
        <v>0</v>
      </c>
      <c r="O46" s="209" t="s">
        <v>36</v>
      </c>
      <c r="P46" s="213">
        <v>44434.404027777775</v>
      </c>
      <c r="Q46" s="209"/>
      <c r="R46" s="209" t="s">
        <v>38</v>
      </c>
      <c r="S46" s="209"/>
      <c r="T46" s="209" t="s">
        <v>74</v>
      </c>
      <c r="U46" s="213">
        <v>44434.75</v>
      </c>
      <c r="V46" s="209" t="s">
        <v>41</v>
      </c>
      <c r="W46" s="209" t="s">
        <v>49</v>
      </c>
      <c r="X46" s="13" t="str">
        <f>IF(RIGHT(H46,2)&lt;&gt;"00",H46,"")</f>
        <v/>
      </c>
      <c r="Y46" s="26">
        <f ca="1">NETWORKDAYS(P46,$Y$1)</f>
        <v>395</v>
      </c>
      <c r="Z46" s="34">
        <v>1</v>
      </c>
      <c r="AA46" s="25" t="str">
        <f t="shared" ca="1" si="0"/>
        <v>A VENCER</v>
      </c>
      <c r="AB46" s="25" t="str">
        <f t="shared" si="6"/>
        <v>Dosa</v>
      </c>
      <c r="AC46" s="2" t="str">
        <f t="shared" si="4"/>
        <v xml:space="preserve"> RINALDO </v>
      </c>
      <c r="AD46" s="26">
        <f t="shared" si="7"/>
        <v>5</v>
      </c>
      <c r="AE46" s="26">
        <f t="shared" ca="1" si="3"/>
        <v>552.2722438657438</v>
      </c>
      <c r="AF46" s="35"/>
    </row>
    <row r="47" spans="1:32" hidden="1">
      <c r="A47" s="209">
        <v>7150715</v>
      </c>
      <c r="B47" s="209" t="s">
        <v>101</v>
      </c>
      <c r="C47" s="210" t="s">
        <v>199</v>
      </c>
      <c r="D47" s="214"/>
      <c r="E47" s="214">
        <v>711002060021</v>
      </c>
      <c r="F47" s="209" t="s">
        <v>103</v>
      </c>
      <c r="G47" s="209" t="s">
        <v>53</v>
      </c>
      <c r="H47" s="209" t="s">
        <v>77</v>
      </c>
      <c r="I47" s="209" t="s">
        <v>78</v>
      </c>
      <c r="J47" s="209" t="s">
        <v>79</v>
      </c>
      <c r="K47" s="210" t="s">
        <v>104</v>
      </c>
      <c r="L47" s="210"/>
      <c r="M47" s="209" t="s">
        <v>58</v>
      </c>
      <c r="N47" s="209">
        <v>0</v>
      </c>
      <c r="O47" s="209" t="s">
        <v>105</v>
      </c>
      <c r="P47" s="213">
        <v>44434.403935185182</v>
      </c>
      <c r="Q47" s="209"/>
      <c r="R47" s="209" t="s">
        <v>38</v>
      </c>
      <c r="S47" s="209"/>
      <c r="T47" s="209" t="s">
        <v>74</v>
      </c>
      <c r="U47" s="213">
        <v>44434.75</v>
      </c>
      <c r="V47" s="209" t="s">
        <v>41</v>
      </c>
      <c r="W47" s="209" t="s">
        <v>49</v>
      </c>
      <c r="X47" s="13" t="str">
        <f>IF(RIGHT(H47,2)&lt;&gt;"00",H47,"")</f>
        <v/>
      </c>
      <c r="Y47" s="26">
        <f ca="1">NETWORKDAYS(P47,$Y$1)</f>
        <v>395</v>
      </c>
      <c r="Z47" s="34">
        <v>1</v>
      </c>
      <c r="AA47" s="25" t="str">
        <f t="shared" ca="1" si="0"/>
        <v>A VENCER</v>
      </c>
      <c r="AB47" s="25" t="str">
        <f t="shared" si="6"/>
        <v>Dosa</v>
      </c>
      <c r="AC47" s="2" t="str">
        <f t="shared" si="4"/>
        <v xml:space="preserve"> ROSEMERE </v>
      </c>
      <c r="AD47" s="26">
        <f t="shared" si="7"/>
        <v>5</v>
      </c>
      <c r="AE47" s="26">
        <f t="shared" ca="1" si="3"/>
        <v>552.27233645833621</v>
      </c>
      <c r="AF47" s="35"/>
    </row>
    <row r="48" spans="1:32" hidden="1">
      <c r="A48" s="209">
        <v>7149319</v>
      </c>
      <c r="B48" s="209" t="s">
        <v>101</v>
      </c>
      <c r="C48" s="210" t="s">
        <v>207</v>
      </c>
      <c r="D48" s="214"/>
      <c r="E48" s="214">
        <v>9700000206215</v>
      </c>
      <c r="F48" s="209" t="s">
        <v>208</v>
      </c>
      <c r="G48" s="209" t="s">
        <v>53</v>
      </c>
      <c r="H48" s="209" t="s">
        <v>209</v>
      </c>
      <c r="I48" s="209" t="s">
        <v>210</v>
      </c>
      <c r="J48" s="209" t="s">
        <v>211</v>
      </c>
      <c r="K48" s="210" t="s">
        <v>212</v>
      </c>
      <c r="L48" s="210"/>
      <c r="M48" s="209" t="s">
        <v>35</v>
      </c>
      <c r="N48" s="209">
        <v>42318949</v>
      </c>
      <c r="O48" s="209" t="s">
        <v>105</v>
      </c>
      <c r="P48" s="213">
        <v>44434.401979166665</v>
      </c>
      <c r="Q48" s="209"/>
      <c r="R48" s="209" t="s">
        <v>38</v>
      </c>
      <c r="S48" s="209"/>
      <c r="T48" s="209" t="s">
        <v>74</v>
      </c>
      <c r="U48" s="213">
        <v>44434.75</v>
      </c>
      <c r="V48" s="209" t="s">
        <v>41</v>
      </c>
      <c r="W48" s="209" t="s">
        <v>49</v>
      </c>
      <c r="X48" s="13" t="str">
        <f>IF(RIGHT(H48,2)&lt;&gt;"00",H48,"")</f>
        <v/>
      </c>
      <c r="Y48" s="26">
        <f ca="1">NETWORKDAYS(P48,$Y$1)</f>
        <v>395</v>
      </c>
      <c r="Z48" s="34">
        <v>1</v>
      </c>
      <c r="AA48" s="25" t="str">
        <f t="shared" ca="1" si="0"/>
        <v>A VENCER</v>
      </c>
      <c r="AB48" s="25" t="str">
        <f t="shared" si="6"/>
        <v>TAAe+</v>
      </c>
      <c r="AC48" s="2" t="str">
        <f t="shared" si="4"/>
        <v xml:space="preserve"> RINALDO </v>
      </c>
      <c r="AD48" s="26">
        <f t="shared" si="7"/>
        <v>8</v>
      </c>
      <c r="AE48" s="26">
        <f t="shared" ca="1" si="3"/>
        <v>552.27429247685359</v>
      </c>
      <c r="AF48" s="35"/>
    </row>
    <row r="49" spans="1:32" hidden="1">
      <c r="A49" s="209">
        <v>7148873</v>
      </c>
      <c r="B49" s="209" t="s">
        <v>101</v>
      </c>
      <c r="C49" s="210" t="s">
        <v>207</v>
      </c>
      <c r="D49" s="214"/>
      <c r="E49" s="214">
        <v>9700000206206</v>
      </c>
      <c r="F49" s="209" t="s">
        <v>208</v>
      </c>
      <c r="G49" s="209" t="s">
        <v>53</v>
      </c>
      <c r="H49" s="209" t="s">
        <v>209</v>
      </c>
      <c r="I49" s="209" t="s">
        <v>210</v>
      </c>
      <c r="J49" s="209" t="s">
        <v>211</v>
      </c>
      <c r="K49" s="210" t="s">
        <v>212</v>
      </c>
      <c r="L49" s="210"/>
      <c r="M49" s="209" t="s">
        <v>35</v>
      </c>
      <c r="N49" s="209">
        <v>42318949</v>
      </c>
      <c r="O49" s="209" t="s">
        <v>105</v>
      </c>
      <c r="P49" s="213">
        <v>44434.401319444441</v>
      </c>
      <c r="Q49" s="209"/>
      <c r="R49" s="209" t="s">
        <v>38</v>
      </c>
      <c r="S49" s="209"/>
      <c r="T49" s="209" t="s">
        <v>74</v>
      </c>
      <c r="U49" s="213">
        <v>44434.75</v>
      </c>
      <c r="V49" s="209" t="s">
        <v>41</v>
      </c>
      <c r="W49" s="209" t="s">
        <v>49</v>
      </c>
      <c r="X49" s="13" t="str">
        <f>IF(RIGHT(H49,2)&lt;&gt;"00",H49,"")</f>
        <v/>
      </c>
      <c r="Y49" s="26">
        <f ca="1">NETWORKDAYS(P49,$Y$1)</f>
        <v>395</v>
      </c>
      <c r="Z49" s="34">
        <v>1</v>
      </c>
      <c r="AA49" s="25" t="str">
        <f t="shared" ca="1" si="0"/>
        <v>A VENCER</v>
      </c>
      <c r="AB49" s="25" t="str">
        <f t="shared" si="6"/>
        <v>TAAe+</v>
      </c>
      <c r="AC49" s="2" t="str">
        <f t="shared" si="4"/>
        <v xml:space="preserve"> RINALDO </v>
      </c>
      <c r="AD49" s="26">
        <f t="shared" si="7"/>
        <v>8</v>
      </c>
      <c r="AE49" s="26">
        <f t="shared" ca="1" si="3"/>
        <v>552.27495219907723</v>
      </c>
      <c r="AF49" s="35"/>
    </row>
    <row r="50" spans="1:32" hidden="1">
      <c r="A50" s="209">
        <v>7148559</v>
      </c>
      <c r="B50" s="209" t="s">
        <v>101</v>
      </c>
      <c r="C50" s="210" t="s">
        <v>207</v>
      </c>
      <c r="D50" s="214"/>
      <c r="E50" s="214">
        <v>9700000206208</v>
      </c>
      <c r="F50" s="209" t="s">
        <v>208</v>
      </c>
      <c r="G50" s="209" t="s">
        <v>53</v>
      </c>
      <c r="H50" s="209" t="s">
        <v>209</v>
      </c>
      <c r="I50" s="209" t="s">
        <v>210</v>
      </c>
      <c r="J50" s="209" t="s">
        <v>211</v>
      </c>
      <c r="K50" s="210" t="s">
        <v>212</v>
      </c>
      <c r="L50" s="210"/>
      <c r="M50" s="209" t="s">
        <v>35</v>
      </c>
      <c r="N50" s="209">
        <v>42318949</v>
      </c>
      <c r="O50" s="209" t="s">
        <v>105</v>
      </c>
      <c r="P50" s="213">
        <v>44434.400891203702</v>
      </c>
      <c r="Q50" s="209"/>
      <c r="R50" s="209" t="s">
        <v>38</v>
      </c>
      <c r="S50" s="209"/>
      <c r="T50" s="209" t="s">
        <v>74</v>
      </c>
      <c r="U50" s="213">
        <v>44434.75</v>
      </c>
      <c r="V50" s="209" t="s">
        <v>41</v>
      </c>
      <c r="W50" s="209" t="s">
        <v>49</v>
      </c>
      <c r="X50" s="13" t="str">
        <f>IF(RIGHT(H50,2)&lt;&gt;"00",H50,"")</f>
        <v/>
      </c>
      <c r="Y50" s="26">
        <f ca="1">NETWORKDAYS(P50,$Y$1)</f>
        <v>395</v>
      </c>
      <c r="Z50" s="34">
        <v>1</v>
      </c>
      <c r="AA50" s="25" t="str">
        <f t="shared" ca="1" si="0"/>
        <v>A VENCER</v>
      </c>
      <c r="AB50" s="25" t="str">
        <f t="shared" si="6"/>
        <v>TAAe+</v>
      </c>
      <c r="AC50" s="2" t="str">
        <f t="shared" si="4"/>
        <v xml:space="preserve"> RINALDO </v>
      </c>
      <c r="AD50" s="26">
        <f t="shared" si="7"/>
        <v>8</v>
      </c>
      <c r="AE50" s="26">
        <f t="shared" ca="1" si="3"/>
        <v>552.27538043981622</v>
      </c>
      <c r="AF50" s="35"/>
    </row>
    <row r="51" spans="1:32" hidden="1">
      <c r="A51" s="209">
        <v>7148259</v>
      </c>
      <c r="B51" s="209" t="s">
        <v>101</v>
      </c>
      <c r="C51" s="210" t="s">
        <v>207</v>
      </c>
      <c r="D51" s="214"/>
      <c r="E51" s="214">
        <v>9700000206202</v>
      </c>
      <c r="F51" s="209" t="s">
        <v>208</v>
      </c>
      <c r="G51" s="209" t="s">
        <v>53</v>
      </c>
      <c r="H51" s="209" t="s">
        <v>209</v>
      </c>
      <c r="I51" s="209" t="s">
        <v>210</v>
      </c>
      <c r="J51" s="209" t="s">
        <v>211</v>
      </c>
      <c r="K51" s="210" t="s">
        <v>212</v>
      </c>
      <c r="L51" s="210"/>
      <c r="M51" s="209" t="s">
        <v>35</v>
      </c>
      <c r="N51" s="209">
        <v>42318949</v>
      </c>
      <c r="O51" s="209" t="s">
        <v>105</v>
      </c>
      <c r="P51" s="213">
        <v>44434.400416666664</v>
      </c>
      <c r="Q51" s="209"/>
      <c r="R51" s="209" t="s">
        <v>38</v>
      </c>
      <c r="S51" s="209"/>
      <c r="T51" s="209" t="s">
        <v>74</v>
      </c>
      <c r="U51" s="213">
        <v>44434.75</v>
      </c>
      <c r="V51" s="209" t="s">
        <v>41</v>
      </c>
      <c r="W51" s="209" t="s">
        <v>49</v>
      </c>
      <c r="X51" s="13" t="str">
        <f>IF(RIGHT(H51,2)&lt;&gt;"00",H51,"")</f>
        <v/>
      </c>
      <c r="Y51" s="26">
        <f ca="1">NETWORKDAYS(P51,$Y$1)</f>
        <v>395</v>
      </c>
      <c r="Z51" s="34">
        <v>1</v>
      </c>
      <c r="AA51" s="25" t="str">
        <f t="shared" ca="1" si="0"/>
        <v>A VENCER</v>
      </c>
      <c r="AB51" s="25" t="str">
        <f t="shared" si="6"/>
        <v>TAAe+</v>
      </c>
      <c r="AC51" s="2" t="str">
        <f t="shared" si="4"/>
        <v xml:space="preserve"> RINALDO </v>
      </c>
      <c r="AD51" s="26">
        <f t="shared" si="7"/>
        <v>8</v>
      </c>
      <c r="AE51" s="26">
        <f t="shared" ca="1" si="3"/>
        <v>552.27585497685504</v>
      </c>
      <c r="AF51" s="35"/>
    </row>
    <row r="52" spans="1:32" hidden="1">
      <c r="A52" s="209">
        <v>7148258</v>
      </c>
      <c r="B52" s="209" t="s">
        <v>101</v>
      </c>
      <c r="C52" s="210" t="s">
        <v>207</v>
      </c>
      <c r="D52" s="214"/>
      <c r="E52" s="214">
        <v>9700000206200</v>
      </c>
      <c r="F52" s="209" t="s">
        <v>208</v>
      </c>
      <c r="G52" s="209" t="s">
        <v>53</v>
      </c>
      <c r="H52" s="209" t="s">
        <v>209</v>
      </c>
      <c r="I52" s="209" t="s">
        <v>210</v>
      </c>
      <c r="J52" s="209" t="s">
        <v>211</v>
      </c>
      <c r="K52" s="210" t="s">
        <v>212</v>
      </c>
      <c r="L52" s="210"/>
      <c r="M52" s="209" t="s">
        <v>35</v>
      </c>
      <c r="N52" s="209">
        <v>42318949</v>
      </c>
      <c r="O52" s="209" t="s">
        <v>105</v>
      </c>
      <c r="P52" s="213">
        <v>44434.400405092594</v>
      </c>
      <c r="Q52" s="209"/>
      <c r="R52" s="209" t="s">
        <v>38</v>
      </c>
      <c r="S52" s="209"/>
      <c r="T52" s="209" t="s">
        <v>74</v>
      </c>
      <c r="U52" s="213">
        <v>44434.75</v>
      </c>
      <c r="V52" s="209" t="s">
        <v>41</v>
      </c>
      <c r="W52" s="209" t="s">
        <v>49</v>
      </c>
      <c r="X52" s="13" t="str">
        <f>IF(RIGHT(H52,2)&lt;&gt;"00",H52,"")</f>
        <v/>
      </c>
      <c r="Y52" s="26">
        <f ca="1">NETWORKDAYS(P52,$Y$1)</f>
        <v>395</v>
      </c>
      <c r="Z52" s="34">
        <v>1</v>
      </c>
      <c r="AA52" s="25" t="str">
        <f t="shared" ca="1" si="0"/>
        <v>A VENCER</v>
      </c>
      <c r="AB52" s="25" t="str">
        <f t="shared" si="6"/>
        <v>TAAe+</v>
      </c>
      <c r="AC52" s="2" t="str">
        <f t="shared" si="4"/>
        <v xml:space="preserve"> RINALDO </v>
      </c>
      <c r="AD52" s="26">
        <f t="shared" si="7"/>
        <v>8</v>
      </c>
      <c r="AE52" s="26">
        <f t="shared" ca="1" si="3"/>
        <v>552.27586655092455</v>
      </c>
      <c r="AF52" s="35"/>
    </row>
    <row r="53" spans="1:32" hidden="1">
      <c r="A53" s="209">
        <v>7148018</v>
      </c>
      <c r="B53" s="209" t="s">
        <v>101</v>
      </c>
      <c r="C53" s="210" t="s">
        <v>207</v>
      </c>
      <c r="D53" s="214"/>
      <c r="E53" s="214">
        <v>9700000206214</v>
      </c>
      <c r="F53" s="209" t="s">
        <v>208</v>
      </c>
      <c r="G53" s="209" t="s">
        <v>53</v>
      </c>
      <c r="H53" s="209" t="s">
        <v>209</v>
      </c>
      <c r="I53" s="209" t="s">
        <v>210</v>
      </c>
      <c r="J53" s="209" t="s">
        <v>211</v>
      </c>
      <c r="K53" s="210" t="s">
        <v>212</v>
      </c>
      <c r="L53" s="210"/>
      <c r="M53" s="209" t="s">
        <v>35</v>
      </c>
      <c r="N53" s="209">
        <v>42318949</v>
      </c>
      <c r="O53" s="209" t="s">
        <v>105</v>
      </c>
      <c r="P53" s="213">
        <v>44434.399953703702</v>
      </c>
      <c r="Q53" s="209"/>
      <c r="R53" s="209" t="s">
        <v>38</v>
      </c>
      <c r="S53" s="209"/>
      <c r="T53" s="209" t="s">
        <v>74</v>
      </c>
      <c r="U53" s="213">
        <v>44434.75</v>
      </c>
      <c r="V53" s="209" t="s">
        <v>41</v>
      </c>
      <c r="W53" s="209" t="s">
        <v>49</v>
      </c>
      <c r="X53" s="13" t="str">
        <f>IF(RIGHT(H53,2)&lt;&gt;"00",H53,"")</f>
        <v/>
      </c>
      <c r="Y53" s="26">
        <f ca="1">NETWORKDAYS(P53,$Y$1)</f>
        <v>395</v>
      </c>
      <c r="Z53" s="34">
        <v>1</v>
      </c>
      <c r="AA53" s="25" t="str">
        <f t="shared" ca="1" si="0"/>
        <v>A VENCER</v>
      </c>
      <c r="AB53" s="25" t="str">
        <f t="shared" si="6"/>
        <v>TAAe+</v>
      </c>
      <c r="AC53" s="2" t="str">
        <f t="shared" si="4"/>
        <v xml:space="preserve"> RINALDO </v>
      </c>
      <c r="AD53" s="26">
        <f t="shared" si="7"/>
        <v>8</v>
      </c>
      <c r="AE53" s="26">
        <f t="shared" ca="1" si="3"/>
        <v>552.27631793981709</v>
      </c>
      <c r="AF53" s="35"/>
    </row>
    <row r="54" spans="1:32" hidden="1">
      <c r="A54" s="209">
        <v>7147788</v>
      </c>
      <c r="B54" s="209" t="s">
        <v>101</v>
      </c>
      <c r="C54" s="210" t="s">
        <v>207</v>
      </c>
      <c r="D54" s="214"/>
      <c r="E54" s="214">
        <v>9700000206219</v>
      </c>
      <c r="F54" s="209" t="s">
        <v>208</v>
      </c>
      <c r="G54" s="209" t="s">
        <v>53</v>
      </c>
      <c r="H54" s="209" t="s">
        <v>209</v>
      </c>
      <c r="I54" s="209" t="s">
        <v>210</v>
      </c>
      <c r="J54" s="209" t="s">
        <v>211</v>
      </c>
      <c r="K54" s="210" t="s">
        <v>212</v>
      </c>
      <c r="L54" s="210"/>
      <c r="M54" s="209" t="s">
        <v>35</v>
      </c>
      <c r="N54" s="209">
        <v>42318949</v>
      </c>
      <c r="O54" s="209" t="s">
        <v>105</v>
      </c>
      <c r="P54" s="213">
        <v>44434.39947916667</v>
      </c>
      <c r="Q54" s="209"/>
      <c r="R54" s="209" t="s">
        <v>38</v>
      </c>
      <c r="S54" s="209"/>
      <c r="T54" s="209" t="s">
        <v>74</v>
      </c>
      <c r="U54" s="213">
        <v>44434.75</v>
      </c>
      <c r="V54" s="209" t="s">
        <v>41</v>
      </c>
      <c r="W54" s="209" t="s">
        <v>49</v>
      </c>
      <c r="X54" s="13" t="str">
        <f>IF(RIGHT(H54,2)&lt;&gt;"00",H54,"")</f>
        <v/>
      </c>
      <c r="Y54" s="26">
        <f ca="1">NETWORKDAYS(P54,$Y$1)</f>
        <v>395</v>
      </c>
      <c r="Z54" s="34">
        <v>1</v>
      </c>
      <c r="AA54" s="25" t="str">
        <f t="shared" ca="1" si="0"/>
        <v>A VENCER</v>
      </c>
      <c r="AB54" s="25" t="str">
        <f t="shared" si="6"/>
        <v>TAAe+</v>
      </c>
      <c r="AC54" s="2" t="str">
        <f t="shared" si="4"/>
        <v xml:space="preserve"> RINALDO </v>
      </c>
      <c r="AD54" s="26">
        <f t="shared" si="7"/>
        <v>8</v>
      </c>
      <c r="AE54" s="26">
        <f t="shared" ca="1" si="3"/>
        <v>552.27679247684864</v>
      </c>
      <c r="AF54" s="35"/>
    </row>
    <row r="55" spans="1:32" hidden="1">
      <c r="A55" s="209">
        <v>7147787</v>
      </c>
      <c r="B55" s="209" t="s">
        <v>101</v>
      </c>
      <c r="C55" s="210" t="s">
        <v>207</v>
      </c>
      <c r="D55" s="214"/>
      <c r="E55" s="214">
        <v>9700000206210</v>
      </c>
      <c r="F55" s="209" t="s">
        <v>208</v>
      </c>
      <c r="G55" s="209" t="s">
        <v>53</v>
      </c>
      <c r="H55" s="209" t="s">
        <v>209</v>
      </c>
      <c r="I55" s="209" t="s">
        <v>210</v>
      </c>
      <c r="J55" s="209" t="s">
        <v>211</v>
      </c>
      <c r="K55" s="210" t="s">
        <v>212</v>
      </c>
      <c r="L55" s="210"/>
      <c r="M55" s="209" t="s">
        <v>35</v>
      </c>
      <c r="N55" s="209">
        <v>42318949</v>
      </c>
      <c r="O55" s="209" t="s">
        <v>105</v>
      </c>
      <c r="P55" s="213">
        <v>44434.39947916667</v>
      </c>
      <c r="Q55" s="209"/>
      <c r="R55" s="209" t="s">
        <v>38</v>
      </c>
      <c r="S55" s="209"/>
      <c r="T55" s="209" t="s">
        <v>74</v>
      </c>
      <c r="U55" s="213">
        <v>44434.75</v>
      </c>
      <c r="V55" s="209" t="s">
        <v>41</v>
      </c>
      <c r="W55" s="209" t="s">
        <v>49</v>
      </c>
      <c r="X55" s="13" t="str">
        <f>IF(RIGHT(H55,2)&lt;&gt;"00",H55,"")</f>
        <v/>
      </c>
      <c r="Y55" s="26">
        <f ca="1">NETWORKDAYS(P55,$Y$1)</f>
        <v>395</v>
      </c>
      <c r="Z55" s="34">
        <v>1</v>
      </c>
      <c r="AA55" s="25" t="str">
        <f t="shared" ca="1" si="0"/>
        <v>A VENCER</v>
      </c>
      <c r="AB55" s="25" t="str">
        <f t="shared" si="6"/>
        <v>TAAe+</v>
      </c>
      <c r="AC55" s="2" t="str">
        <f t="shared" si="4"/>
        <v xml:space="preserve"> RINALDO </v>
      </c>
      <c r="AD55" s="26">
        <f t="shared" si="7"/>
        <v>8</v>
      </c>
      <c r="AE55" s="26">
        <f t="shared" ca="1" si="3"/>
        <v>552.27679247684864</v>
      </c>
      <c r="AF55" s="35"/>
    </row>
    <row r="56" spans="1:32" hidden="1">
      <c r="A56" s="209">
        <v>7146947</v>
      </c>
      <c r="B56" s="209" t="s">
        <v>101</v>
      </c>
      <c r="C56" s="210" t="s">
        <v>207</v>
      </c>
      <c r="D56" s="214"/>
      <c r="E56" s="214">
        <v>9700000206218</v>
      </c>
      <c r="F56" s="209" t="s">
        <v>208</v>
      </c>
      <c r="G56" s="209" t="s">
        <v>53</v>
      </c>
      <c r="H56" s="209" t="s">
        <v>209</v>
      </c>
      <c r="I56" s="209" t="s">
        <v>210</v>
      </c>
      <c r="J56" s="209" t="s">
        <v>211</v>
      </c>
      <c r="K56" s="210" t="s">
        <v>212</v>
      </c>
      <c r="L56" s="210"/>
      <c r="M56" s="209" t="s">
        <v>35</v>
      </c>
      <c r="N56" s="209">
        <v>42318949</v>
      </c>
      <c r="O56" s="209" t="s">
        <v>105</v>
      </c>
      <c r="P56" s="213">
        <v>44434.398113425923</v>
      </c>
      <c r="Q56" s="209"/>
      <c r="R56" s="209" t="s">
        <v>38</v>
      </c>
      <c r="S56" s="209"/>
      <c r="T56" s="209" t="s">
        <v>74</v>
      </c>
      <c r="U56" s="213">
        <v>44434.75</v>
      </c>
      <c r="V56" s="209" t="s">
        <v>41</v>
      </c>
      <c r="W56" s="209" t="s">
        <v>49</v>
      </c>
      <c r="X56" s="13" t="str">
        <f>IF(RIGHT(H56,2)&lt;&gt;"00",H56,"")</f>
        <v/>
      </c>
      <c r="Y56" s="26">
        <f ca="1">NETWORKDAYS(P56,$Y$1)</f>
        <v>395</v>
      </c>
      <c r="Z56" s="34">
        <v>1</v>
      </c>
      <c r="AA56" s="25" t="str">
        <f t="shared" ca="1" si="0"/>
        <v>A VENCER</v>
      </c>
      <c r="AB56" s="25" t="str">
        <f t="shared" si="6"/>
        <v>TAAe+</v>
      </c>
      <c r="AC56" s="2" t="str">
        <f t="shared" si="4"/>
        <v xml:space="preserve"> RINALDO </v>
      </c>
      <c r="AD56" s="26">
        <f t="shared" si="7"/>
        <v>8</v>
      </c>
      <c r="AE56" s="26">
        <f t="shared" ca="1" si="3"/>
        <v>552.27815821759577</v>
      </c>
      <c r="AF56" s="35"/>
    </row>
    <row r="57" spans="1:32" hidden="1">
      <c r="A57" s="209">
        <v>7146818</v>
      </c>
      <c r="B57" s="209" t="s">
        <v>101</v>
      </c>
      <c r="C57" s="210" t="s">
        <v>207</v>
      </c>
      <c r="D57" s="214"/>
      <c r="E57" s="214">
        <v>9700000206203</v>
      </c>
      <c r="F57" s="209" t="s">
        <v>208</v>
      </c>
      <c r="G57" s="209" t="s">
        <v>53</v>
      </c>
      <c r="H57" s="209" t="s">
        <v>209</v>
      </c>
      <c r="I57" s="209" t="s">
        <v>210</v>
      </c>
      <c r="J57" s="209" t="s">
        <v>211</v>
      </c>
      <c r="K57" s="210" t="s">
        <v>212</v>
      </c>
      <c r="L57" s="210"/>
      <c r="M57" s="209" t="s">
        <v>35</v>
      </c>
      <c r="N57" s="209">
        <v>42318949</v>
      </c>
      <c r="O57" s="209" t="s">
        <v>105</v>
      </c>
      <c r="P57" s="213">
        <v>44434.397800925923</v>
      </c>
      <c r="Q57" s="209"/>
      <c r="R57" s="209" t="s">
        <v>38</v>
      </c>
      <c r="S57" s="209"/>
      <c r="T57" s="209" t="s">
        <v>74</v>
      </c>
      <c r="U57" s="213">
        <v>44434.75</v>
      </c>
      <c r="V57" s="209" t="s">
        <v>41</v>
      </c>
      <c r="W57" s="209" t="s">
        <v>49</v>
      </c>
      <c r="X57" s="13" t="str">
        <f>IF(RIGHT(H57,2)&lt;&gt;"00",H57,"")</f>
        <v/>
      </c>
      <c r="Y57" s="26">
        <f ca="1">NETWORKDAYS(P57,$Y$1)</f>
        <v>395</v>
      </c>
      <c r="Z57" s="34">
        <v>1</v>
      </c>
      <c r="AA57" s="25" t="str">
        <f t="shared" ca="1" si="0"/>
        <v>A VENCER</v>
      </c>
      <c r="AB57" s="25" t="str">
        <f t="shared" si="6"/>
        <v>TAAe+</v>
      </c>
      <c r="AC57" s="2" t="str">
        <f t="shared" si="4"/>
        <v xml:space="preserve"> RINALDO </v>
      </c>
      <c r="AD57" s="26">
        <f t="shared" si="7"/>
        <v>8</v>
      </c>
      <c r="AE57" s="26">
        <f t="shared" ca="1" si="3"/>
        <v>552.27847071759606</v>
      </c>
      <c r="AF57" s="35"/>
    </row>
    <row r="58" spans="1:32" hidden="1">
      <c r="A58" s="209">
        <v>7146758</v>
      </c>
      <c r="B58" s="209" t="s">
        <v>101</v>
      </c>
      <c r="C58" s="210" t="s">
        <v>207</v>
      </c>
      <c r="D58" s="214"/>
      <c r="E58" s="214">
        <v>9700000206201</v>
      </c>
      <c r="F58" s="209" t="s">
        <v>208</v>
      </c>
      <c r="G58" s="209" t="s">
        <v>53</v>
      </c>
      <c r="H58" s="209" t="s">
        <v>209</v>
      </c>
      <c r="I58" s="209" t="s">
        <v>210</v>
      </c>
      <c r="J58" s="209" t="s">
        <v>211</v>
      </c>
      <c r="K58" s="210" t="s">
        <v>212</v>
      </c>
      <c r="L58" s="210"/>
      <c r="M58" s="209" t="s">
        <v>35</v>
      </c>
      <c r="N58" s="209">
        <v>42318949</v>
      </c>
      <c r="O58" s="209" t="s">
        <v>105</v>
      </c>
      <c r="P58" s="213">
        <v>44434.397673611114</v>
      </c>
      <c r="Q58" s="209"/>
      <c r="R58" s="209" t="s">
        <v>38</v>
      </c>
      <c r="S58" s="209"/>
      <c r="T58" s="209" t="s">
        <v>74</v>
      </c>
      <c r="U58" s="213">
        <v>44434.75</v>
      </c>
      <c r="V58" s="209" t="s">
        <v>41</v>
      </c>
      <c r="W58" s="209" t="s">
        <v>49</v>
      </c>
      <c r="X58" s="13" t="str">
        <f>IF(RIGHT(H58,2)&lt;&gt;"00",H58,"")</f>
        <v/>
      </c>
      <c r="Y58" s="26">
        <f ca="1">NETWORKDAYS(P58,$Y$1)</f>
        <v>395</v>
      </c>
      <c r="Z58" s="34">
        <v>1</v>
      </c>
      <c r="AA58" s="25" t="str">
        <f t="shared" ca="1" si="0"/>
        <v>A VENCER</v>
      </c>
      <c r="AB58" s="25" t="str">
        <f t="shared" si="6"/>
        <v>TAAe+</v>
      </c>
      <c r="AC58" s="2" t="str">
        <f t="shared" si="4"/>
        <v xml:space="preserve"> RINALDO </v>
      </c>
      <c r="AD58" s="26">
        <f t="shared" si="7"/>
        <v>8</v>
      </c>
      <c r="AE58" s="26">
        <f t="shared" ca="1" si="3"/>
        <v>552.27859803240426</v>
      </c>
      <c r="AF58" s="35"/>
    </row>
    <row r="59" spans="1:32" hidden="1">
      <c r="A59" s="209">
        <v>7146156</v>
      </c>
      <c r="B59" s="209" t="s">
        <v>101</v>
      </c>
      <c r="C59" s="210" t="s">
        <v>207</v>
      </c>
      <c r="D59" s="214"/>
      <c r="E59" s="214">
        <v>9700000206205</v>
      </c>
      <c r="F59" s="209" t="s">
        <v>208</v>
      </c>
      <c r="G59" s="209" t="s">
        <v>53</v>
      </c>
      <c r="H59" s="209" t="s">
        <v>209</v>
      </c>
      <c r="I59" s="209" t="s">
        <v>210</v>
      </c>
      <c r="J59" s="209" t="s">
        <v>211</v>
      </c>
      <c r="K59" s="210" t="s">
        <v>212</v>
      </c>
      <c r="L59" s="210"/>
      <c r="M59" s="209" t="s">
        <v>35</v>
      </c>
      <c r="N59" s="209">
        <v>42318949</v>
      </c>
      <c r="O59" s="209" t="s">
        <v>105</v>
      </c>
      <c r="P59" s="213">
        <v>44434.396678240744</v>
      </c>
      <c r="Q59" s="209"/>
      <c r="R59" s="209" t="s">
        <v>38</v>
      </c>
      <c r="S59" s="209"/>
      <c r="T59" s="209" t="s">
        <v>74</v>
      </c>
      <c r="U59" s="213">
        <v>44434.75</v>
      </c>
      <c r="V59" s="209" t="s">
        <v>41</v>
      </c>
      <c r="W59" s="209" t="s">
        <v>49</v>
      </c>
      <c r="X59" s="13" t="str">
        <f>IF(RIGHT(H59,2)&lt;&gt;"00",H59,"")</f>
        <v/>
      </c>
      <c r="Y59" s="26">
        <f ca="1">NETWORKDAYS(P59,$Y$1)</f>
        <v>395</v>
      </c>
      <c r="Z59" s="34">
        <v>1</v>
      </c>
      <c r="AA59" s="25" t="str">
        <f t="shared" ca="1" si="0"/>
        <v>A VENCER</v>
      </c>
      <c r="AB59" s="25" t="str">
        <f t="shared" si="6"/>
        <v>TAAe+</v>
      </c>
      <c r="AC59" s="2" t="str">
        <f t="shared" si="4"/>
        <v xml:space="preserve"> RINALDO </v>
      </c>
      <c r="AD59" s="26">
        <f t="shared" si="7"/>
        <v>8</v>
      </c>
      <c r="AE59" s="26">
        <f t="shared" ca="1" si="3"/>
        <v>552.27959340277448</v>
      </c>
      <c r="AF59" s="35"/>
    </row>
    <row r="60" spans="1:32" hidden="1">
      <c r="A60" s="209">
        <v>7145602</v>
      </c>
      <c r="B60" s="209" t="s">
        <v>101</v>
      </c>
      <c r="C60" s="210" t="s">
        <v>207</v>
      </c>
      <c r="D60" s="214"/>
      <c r="E60" s="214">
        <v>9700000206207</v>
      </c>
      <c r="F60" s="209" t="s">
        <v>208</v>
      </c>
      <c r="G60" s="209" t="s">
        <v>53</v>
      </c>
      <c r="H60" s="209" t="s">
        <v>209</v>
      </c>
      <c r="I60" s="209" t="s">
        <v>210</v>
      </c>
      <c r="J60" s="209" t="s">
        <v>211</v>
      </c>
      <c r="K60" s="210" t="s">
        <v>212</v>
      </c>
      <c r="L60" s="210"/>
      <c r="M60" s="209" t="s">
        <v>35</v>
      </c>
      <c r="N60" s="209">
        <v>42318949</v>
      </c>
      <c r="O60" s="209" t="s">
        <v>105</v>
      </c>
      <c r="P60" s="213">
        <v>44434.395624999997</v>
      </c>
      <c r="Q60" s="209"/>
      <c r="R60" s="209" t="s">
        <v>38</v>
      </c>
      <c r="S60" s="209"/>
      <c r="T60" s="209" t="s">
        <v>74</v>
      </c>
      <c r="U60" s="213">
        <v>44434.75</v>
      </c>
      <c r="V60" s="209" t="s">
        <v>41</v>
      </c>
      <c r="W60" s="209" t="s">
        <v>49</v>
      </c>
      <c r="X60" s="13" t="str">
        <f>IF(RIGHT(H60,2)&lt;&gt;"00",H60,"")</f>
        <v/>
      </c>
      <c r="Y60" s="26">
        <f ca="1">NETWORKDAYS(P60,$Y$1)</f>
        <v>395</v>
      </c>
      <c r="Z60" s="34">
        <v>1</v>
      </c>
      <c r="AA60" s="25" t="str">
        <f t="shared" ca="1" si="0"/>
        <v>A VENCER</v>
      </c>
      <c r="AB60" s="25" t="str">
        <f t="shared" si="6"/>
        <v>TAAe+</v>
      </c>
      <c r="AC60" s="2" t="str">
        <f t="shared" si="4"/>
        <v xml:space="preserve"> RINALDO </v>
      </c>
      <c r="AD60" s="26">
        <f t="shared" si="7"/>
        <v>8</v>
      </c>
      <c r="AE60" s="26">
        <f t="shared" ca="1" si="3"/>
        <v>552.28064664352132</v>
      </c>
      <c r="AF60" s="35"/>
    </row>
    <row r="61" spans="1:32" hidden="1">
      <c r="A61" s="209">
        <v>7145601</v>
      </c>
      <c r="B61" s="209" t="s">
        <v>101</v>
      </c>
      <c r="C61" s="210" t="s">
        <v>207</v>
      </c>
      <c r="D61" s="214"/>
      <c r="E61" s="214">
        <v>9700000206204</v>
      </c>
      <c r="F61" s="209" t="s">
        <v>208</v>
      </c>
      <c r="G61" s="209" t="s">
        <v>53</v>
      </c>
      <c r="H61" s="209" t="s">
        <v>209</v>
      </c>
      <c r="I61" s="209" t="s">
        <v>210</v>
      </c>
      <c r="J61" s="209" t="s">
        <v>211</v>
      </c>
      <c r="K61" s="210" t="s">
        <v>212</v>
      </c>
      <c r="L61" s="210"/>
      <c r="M61" s="209" t="s">
        <v>35</v>
      </c>
      <c r="N61" s="209">
        <v>42318949</v>
      </c>
      <c r="O61" s="209" t="s">
        <v>105</v>
      </c>
      <c r="P61" s="213">
        <v>44434.395624999997</v>
      </c>
      <c r="Q61" s="209"/>
      <c r="R61" s="209" t="s">
        <v>38</v>
      </c>
      <c r="S61" s="209"/>
      <c r="T61" s="209" t="s">
        <v>74</v>
      </c>
      <c r="U61" s="213">
        <v>44434.75</v>
      </c>
      <c r="V61" s="209" t="s">
        <v>41</v>
      </c>
      <c r="W61" s="209" t="s">
        <v>49</v>
      </c>
      <c r="X61" s="13" t="str">
        <f>IF(RIGHT(H61,2)&lt;&gt;"00",H61,"")</f>
        <v/>
      </c>
      <c r="Y61" s="26">
        <f ca="1">NETWORKDAYS(P61,$Y$1)</f>
        <v>395</v>
      </c>
      <c r="Z61" s="34">
        <v>1</v>
      </c>
      <c r="AA61" s="25" t="str">
        <f t="shared" ca="1" si="0"/>
        <v>A VENCER</v>
      </c>
      <c r="AB61" s="25" t="str">
        <f t="shared" si="6"/>
        <v>TAAe+</v>
      </c>
      <c r="AC61" s="2" t="str">
        <f t="shared" si="4"/>
        <v xml:space="preserve"> RINALDO </v>
      </c>
      <c r="AD61" s="26">
        <f t="shared" si="7"/>
        <v>8</v>
      </c>
      <c r="AE61" s="26">
        <f t="shared" ca="1" si="3"/>
        <v>552.28064664352132</v>
      </c>
      <c r="AF61" s="35"/>
    </row>
    <row r="62" spans="1:32" hidden="1">
      <c r="A62" s="209">
        <v>7145296</v>
      </c>
      <c r="B62" s="209" t="s">
        <v>101</v>
      </c>
      <c r="C62" s="210" t="s">
        <v>207</v>
      </c>
      <c r="D62" s="214"/>
      <c r="E62" s="214">
        <v>9700000206213</v>
      </c>
      <c r="F62" s="209" t="s">
        <v>208</v>
      </c>
      <c r="G62" s="209" t="s">
        <v>53</v>
      </c>
      <c r="H62" s="209" t="s">
        <v>209</v>
      </c>
      <c r="I62" s="209" t="s">
        <v>210</v>
      </c>
      <c r="J62" s="209" t="s">
        <v>211</v>
      </c>
      <c r="K62" s="210" t="s">
        <v>212</v>
      </c>
      <c r="L62" s="210"/>
      <c r="M62" s="209" t="s">
        <v>35</v>
      </c>
      <c r="N62" s="209">
        <v>42318949</v>
      </c>
      <c r="O62" s="209" t="s">
        <v>105</v>
      </c>
      <c r="P62" s="213">
        <v>44434.395150462966</v>
      </c>
      <c r="Q62" s="209"/>
      <c r="R62" s="209" t="s">
        <v>38</v>
      </c>
      <c r="S62" s="209"/>
      <c r="T62" s="209" t="s">
        <v>74</v>
      </c>
      <c r="U62" s="213">
        <v>44434.75</v>
      </c>
      <c r="V62" s="209" t="s">
        <v>41</v>
      </c>
      <c r="W62" s="209" t="s">
        <v>49</v>
      </c>
      <c r="X62" s="13" t="str">
        <f>IF(RIGHT(H62,2)&lt;&gt;"00",H62,"")</f>
        <v/>
      </c>
      <c r="Y62" s="26">
        <f ca="1">NETWORKDAYS(P62,$Y$1)</f>
        <v>395</v>
      </c>
      <c r="Z62" s="34">
        <v>1</v>
      </c>
      <c r="AA62" s="25" t="str">
        <f t="shared" ca="1" si="0"/>
        <v>A VENCER</v>
      </c>
      <c r="AB62" s="25" t="str">
        <f t="shared" si="6"/>
        <v>TAAe+</v>
      </c>
      <c r="AC62" s="2" t="str">
        <f t="shared" si="4"/>
        <v xml:space="preserve"> RINALDO </v>
      </c>
      <c r="AD62" s="26">
        <f t="shared" si="7"/>
        <v>8</v>
      </c>
      <c r="AE62" s="26">
        <f t="shared" ca="1" si="3"/>
        <v>552.28112118055287</v>
      </c>
      <c r="AF62" s="35"/>
    </row>
    <row r="63" spans="1:32" hidden="1">
      <c r="A63" s="209">
        <v>7144762</v>
      </c>
      <c r="B63" s="209" t="s">
        <v>101</v>
      </c>
      <c r="C63" s="210" t="s">
        <v>207</v>
      </c>
      <c r="D63" s="214"/>
      <c r="E63" s="214">
        <v>9700000206212</v>
      </c>
      <c r="F63" s="209" t="s">
        <v>208</v>
      </c>
      <c r="G63" s="209" t="s">
        <v>53</v>
      </c>
      <c r="H63" s="209" t="s">
        <v>209</v>
      </c>
      <c r="I63" s="209" t="s">
        <v>210</v>
      </c>
      <c r="J63" s="209" t="s">
        <v>211</v>
      </c>
      <c r="K63" s="210" t="s">
        <v>212</v>
      </c>
      <c r="L63" s="210"/>
      <c r="M63" s="209" t="s">
        <v>35</v>
      </c>
      <c r="N63" s="209">
        <v>42318949</v>
      </c>
      <c r="O63" s="209" t="s">
        <v>105</v>
      </c>
      <c r="P63" s="213">
        <v>44434.39434027778</v>
      </c>
      <c r="Q63" s="209"/>
      <c r="R63" s="209" t="s">
        <v>38</v>
      </c>
      <c r="S63" s="209"/>
      <c r="T63" s="209" t="s">
        <v>74</v>
      </c>
      <c r="U63" s="213">
        <v>44434.75</v>
      </c>
      <c r="V63" s="209" t="s">
        <v>41</v>
      </c>
      <c r="W63" s="209" t="s">
        <v>49</v>
      </c>
      <c r="X63" s="13" t="str">
        <f>IF(RIGHT(H63,2)&lt;&gt;"00",H63,"")</f>
        <v/>
      </c>
      <c r="Y63" s="26">
        <f ca="1">NETWORKDAYS(P63,$Y$1)</f>
        <v>395</v>
      </c>
      <c r="Z63" s="34">
        <v>1</v>
      </c>
      <c r="AA63" s="25" t="str">
        <f t="shared" ca="1" si="0"/>
        <v>A VENCER</v>
      </c>
      <c r="AB63" s="25" t="str">
        <f t="shared" si="6"/>
        <v>TAAe+</v>
      </c>
      <c r="AC63" s="2" t="str">
        <f t="shared" si="4"/>
        <v xml:space="preserve"> RINALDO </v>
      </c>
      <c r="AD63" s="26">
        <f t="shared" si="7"/>
        <v>8</v>
      </c>
      <c r="AE63" s="26">
        <f t="shared" ca="1" si="3"/>
        <v>552.28193136573827</v>
      </c>
      <c r="AF63" s="35"/>
    </row>
    <row r="64" spans="1:32" hidden="1">
      <c r="A64" s="209">
        <v>7144761</v>
      </c>
      <c r="B64" s="209" t="s">
        <v>101</v>
      </c>
      <c r="C64" s="210" t="s">
        <v>207</v>
      </c>
      <c r="D64" s="214"/>
      <c r="E64" s="214">
        <v>9700000206209</v>
      </c>
      <c r="F64" s="209" t="s">
        <v>208</v>
      </c>
      <c r="G64" s="209" t="s">
        <v>53</v>
      </c>
      <c r="H64" s="209" t="s">
        <v>209</v>
      </c>
      <c r="I64" s="209" t="s">
        <v>210</v>
      </c>
      <c r="J64" s="209" t="s">
        <v>211</v>
      </c>
      <c r="K64" s="210" t="s">
        <v>212</v>
      </c>
      <c r="L64" s="210"/>
      <c r="M64" s="209" t="s">
        <v>35</v>
      </c>
      <c r="N64" s="209">
        <v>42318949</v>
      </c>
      <c r="O64" s="209" t="s">
        <v>105</v>
      </c>
      <c r="P64" s="213">
        <v>44434.39434027778</v>
      </c>
      <c r="Q64" s="209"/>
      <c r="R64" s="209" t="s">
        <v>38</v>
      </c>
      <c r="S64" s="209"/>
      <c r="T64" s="209" t="s">
        <v>74</v>
      </c>
      <c r="U64" s="213">
        <v>44434.75</v>
      </c>
      <c r="V64" s="209" t="s">
        <v>41</v>
      </c>
      <c r="W64" s="209" t="s">
        <v>49</v>
      </c>
      <c r="X64" s="13" t="str">
        <f>IF(RIGHT(H64,2)&lt;&gt;"00",H64,"")</f>
        <v/>
      </c>
      <c r="Y64" s="26">
        <f ca="1">NETWORKDAYS(P64,$Y$1)</f>
        <v>395</v>
      </c>
      <c r="Z64" s="34">
        <v>1</v>
      </c>
      <c r="AA64" s="25" t="str">
        <f t="shared" ca="1" si="0"/>
        <v>A VENCER</v>
      </c>
      <c r="AB64" s="25" t="str">
        <f t="shared" si="6"/>
        <v>TAAe+</v>
      </c>
      <c r="AC64" s="2" t="str">
        <f t="shared" si="4"/>
        <v xml:space="preserve"> RINALDO </v>
      </c>
      <c r="AD64" s="26">
        <f t="shared" si="7"/>
        <v>8</v>
      </c>
      <c r="AE64" s="26">
        <f t="shared" ca="1" si="3"/>
        <v>552.28193136573827</v>
      </c>
      <c r="AF64" s="35"/>
    </row>
    <row r="65" spans="1:32" hidden="1">
      <c r="A65" s="209">
        <v>7144466</v>
      </c>
      <c r="B65" s="209" t="s">
        <v>101</v>
      </c>
      <c r="C65" s="210" t="s">
        <v>207</v>
      </c>
      <c r="D65" s="214"/>
      <c r="E65" s="214">
        <v>9700000206217</v>
      </c>
      <c r="F65" s="209" t="s">
        <v>208</v>
      </c>
      <c r="G65" s="209" t="s">
        <v>53</v>
      </c>
      <c r="H65" s="209" t="s">
        <v>209</v>
      </c>
      <c r="I65" s="209" t="s">
        <v>210</v>
      </c>
      <c r="J65" s="209" t="s">
        <v>211</v>
      </c>
      <c r="K65" s="210" t="s">
        <v>212</v>
      </c>
      <c r="L65" s="210"/>
      <c r="M65" s="209" t="s">
        <v>35</v>
      </c>
      <c r="N65" s="209">
        <v>42318949</v>
      </c>
      <c r="O65" s="209" t="s">
        <v>105</v>
      </c>
      <c r="P65" s="213">
        <v>44434.393923611111</v>
      </c>
      <c r="Q65" s="209"/>
      <c r="R65" s="209" t="s">
        <v>38</v>
      </c>
      <c r="S65" s="209"/>
      <c r="T65" s="209" t="s">
        <v>74</v>
      </c>
      <c r="U65" s="213">
        <v>44434.75</v>
      </c>
      <c r="V65" s="209" t="s">
        <v>41</v>
      </c>
      <c r="W65" s="209" t="s">
        <v>49</v>
      </c>
      <c r="X65" s="13" t="str">
        <f>IF(RIGHT(H65,2)&lt;&gt;"00",H65,"")</f>
        <v/>
      </c>
      <c r="Y65" s="26">
        <f ca="1">NETWORKDAYS(P65,$Y$1)</f>
        <v>395</v>
      </c>
      <c r="Z65" s="34">
        <v>1</v>
      </c>
      <c r="AA65" s="25" t="str">
        <f t="shared" ca="1" si="0"/>
        <v>A VENCER</v>
      </c>
      <c r="AB65" s="25" t="str">
        <f t="shared" si="6"/>
        <v>TAAe+</v>
      </c>
      <c r="AC65" s="2" t="str">
        <f t="shared" si="4"/>
        <v xml:space="preserve"> RINALDO </v>
      </c>
      <c r="AD65" s="26">
        <f t="shared" si="7"/>
        <v>8</v>
      </c>
      <c r="AE65" s="26">
        <f t="shared" ca="1" si="3"/>
        <v>552.28234803240775</v>
      </c>
      <c r="AF65" s="35"/>
    </row>
    <row r="66" spans="1:32" hidden="1">
      <c r="A66" s="209">
        <v>7144465</v>
      </c>
      <c r="B66" s="209" t="s">
        <v>101</v>
      </c>
      <c r="C66" s="210" t="s">
        <v>207</v>
      </c>
      <c r="D66" s="214"/>
      <c r="E66" s="214">
        <v>9700000206216</v>
      </c>
      <c r="F66" s="209" t="s">
        <v>208</v>
      </c>
      <c r="G66" s="209" t="s">
        <v>53</v>
      </c>
      <c r="H66" s="209" t="s">
        <v>209</v>
      </c>
      <c r="I66" s="209" t="s">
        <v>210</v>
      </c>
      <c r="J66" s="209" t="s">
        <v>211</v>
      </c>
      <c r="K66" s="210" t="s">
        <v>212</v>
      </c>
      <c r="L66" s="210"/>
      <c r="M66" s="209" t="s">
        <v>35</v>
      </c>
      <c r="N66" s="209">
        <v>42318949</v>
      </c>
      <c r="O66" s="209" t="s">
        <v>105</v>
      </c>
      <c r="P66" s="213">
        <v>44434.393923611111</v>
      </c>
      <c r="Q66" s="209"/>
      <c r="R66" s="209" t="s">
        <v>38</v>
      </c>
      <c r="S66" s="209"/>
      <c r="T66" s="209" t="s">
        <v>74</v>
      </c>
      <c r="U66" s="213">
        <v>44434.75</v>
      </c>
      <c r="V66" s="209" t="s">
        <v>41</v>
      </c>
      <c r="W66" s="209" t="s">
        <v>49</v>
      </c>
      <c r="X66" s="13" t="str">
        <f>IF(RIGHT(H66,2)&lt;&gt;"00",H66,"")</f>
        <v/>
      </c>
      <c r="Y66" s="26">
        <f ca="1">NETWORKDAYS(P66,$Y$1)</f>
        <v>395</v>
      </c>
      <c r="Z66" s="34">
        <v>1</v>
      </c>
      <c r="AA66" s="25" t="str">
        <f t="shared" ref="AA66:AA129" ca="1" si="8">IF(AE66=0,"HOJE",IF(AE66&gt;0,"A VENCER",IF(AE66&lt;0,"VENCIDO")))</f>
        <v>A VENCER</v>
      </c>
      <c r="AB66" s="25" t="str">
        <f t="shared" si="6"/>
        <v>TAAe+</v>
      </c>
      <c r="AC66" s="2" t="str">
        <f t="shared" si="4"/>
        <v xml:space="preserve"> RINALDO </v>
      </c>
      <c r="AD66" s="26">
        <f t="shared" si="7"/>
        <v>8</v>
      </c>
      <c r="AE66" s="26">
        <f t="shared" ref="AE66:AE129" ca="1" si="9">IF(P66=$AE$1,"",$AE$1-P66)</f>
        <v>552.28234803240775</v>
      </c>
      <c r="AF66" s="35"/>
    </row>
    <row r="67" spans="1:32" hidden="1">
      <c r="A67" s="209">
        <v>7144464</v>
      </c>
      <c r="B67" s="209" t="s">
        <v>101</v>
      </c>
      <c r="C67" s="210" t="s">
        <v>207</v>
      </c>
      <c r="D67" s="214"/>
      <c r="E67" s="214">
        <v>9700000206211</v>
      </c>
      <c r="F67" s="209" t="s">
        <v>208</v>
      </c>
      <c r="G67" s="209" t="s">
        <v>53</v>
      </c>
      <c r="H67" s="209" t="s">
        <v>209</v>
      </c>
      <c r="I67" s="209" t="s">
        <v>210</v>
      </c>
      <c r="J67" s="209" t="s">
        <v>211</v>
      </c>
      <c r="K67" s="210" t="s">
        <v>212</v>
      </c>
      <c r="L67" s="210"/>
      <c r="M67" s="209" t="s">
        <v>35</v>
      </c>
      <c r="N67" s="209">
        <v>42318949</v>
      </c>
      <c r="O67" s="209" t="s">
        <v>105</v>
      </c>
      <c r="P67" s="213">
        <v>44434.393923611111</v>
      </c>
      <c r="Q67" s="209"/>
      <c r="R67" s="209" t="s">
        <v>38</v>
      </c>
      <c r="S67" s="209"/>
      <c r="T67" s="209" t="s">
        <v>74</v>
      </c>
      <c r="U67" s="213">
        <v>44434.75</v>
      </c>
      <c r="V67" s="209" t="s">
        <v>41</v>
      </c>
      <c r="W67" s="209" t="s">
        <v>49</v>
      </c>
      <c r="X67" s="13" t="str">
        <f>IF(RIGHT(H67,2)&lt;&gt;"00",H67,"")</f>
        <v/>
      </c>
      <c r="Y67" s="26">
        <f ca="1">NETWORKDAYS(P67,$Y$1)</f>
        <v>395</v>
      </c>
      <c r="Z67" s="34">
        <v>1</v>
      </c>
      <c r="AA67" s="25" t="str">
        <f t="shared" ca="1" si="8"/>
        <v>A VENCER</v>
      </c>
      <c r="AB67" s="25" t="str">
        <f t="shared" si="6"/>
        <v>TAAe+</v>
      </c>
      <c r="AC67" s="2" t="str">
        <f t="shared" ref="AC67:AC130" si="10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 xml:space="preserve"> RINALDO </v>
      </c>
      <c r="AD67" s="26">
        <f t="shared" si="7"/>
        <v>8</v>
      </c>
      <c r="AE67" s="26">
        <f t="shared" ca="1" si="9"/>
        <v>552.28234803240775</v>
      </c>
      <c r="AF67" s="35"/>
    </row>
    <row r="68" spans="1:32" hidden="1">
      <c r="A68" s="209">
        <v>7280202</v>
      </c>
      <c r="B68" s="209" t="s">
        <v>226</v>
      </c>
      <c r="C68" s="210" t="s">
        <v>227</v>
      </c>
      <c r="D68" s="214"/>
      <c r="E68" s="214">
        <v>7710206001</v>
      </c>
      <c r="F68" s="209" t="s">
        <v>29</v>
      </c>
      <c r="G68" s="209" t="s">
        <v>53</v>
      </c>
      <c r="H68" s="209" t="s">
        <v>228</v>
      </c>
      <c r="I68" s="209" t="s">
        <v>229</v>
      </c>
      <c r="J68" s="209" t="s">
        <v>46</v>
      </c>
      <c r="K68" s="210" t="s">
        <v>34</v>
      </c>
      <c r="L68" s="210"/>
      <c r="M68" s="209" t="s">
        <v>35</v>
      </c>
      <c r="N68" s="209">
        <v>42318949</v>
      </c>
      <c r="O68" s="209" t="s">
        <v>105</v>
      </c>
      <c r="P68" s="213">
        <v>44440.410682870373</v>
      </c>
      <c r="Q68" s="209"/>
      <c r="R68" s="209" t="s">
        <v>38</v>
      </c>
      <c r="S68" s="209"/>
      <c r="T68" s="209" t="s">
        <v>74</v>
      </c>
      <c r="U68" s="213">
        <v>44483.75</v>
      </c>
      <c r="V68" s="209" t="s">
        <v>41</v>
      </c>
      <c r="W68" s="209" t="s">
        <v>49</v>
      </c>
      <c r="X68" s="13" t="str">
        <f>IF(RIGHT(H68,2)&lt;&gt;"00",H68,"")</f>
        <v>0007.71</v>
      </c>
      <c r="Y68" s="26">
        <f ca="1">NETWORKDAYS(P68,$Y$1)</f>
        <v>391</v>
      </c>
      <c r="Z68" s="34">
        <v>1</v>
      </c>
      <c r="AA68" s="25" t="str">
        <f t="shared" ca="1" si="8"/>
        <v>A VENCER</v>
      </c>
      <c r="AB68" s="25" t="str">
        <f t="shared" si="6"/>
        <v>Dosa</v>
      </c>
      <c r="AC68" s="2" t="str">
        <f t="shared" si="10"/>
        <v xml:space="preserve"> CLEITON </v>
      </c>
      <c r="AD68" s="26">
        <f t="shared" si="7"/>
        <v>5</v>
      </c>
      <c r="AE68" s="26">
        <f t="shared" ca="1" si="9"/>
        <v>546.26558877314528</v>
      </c>
      <c r="AF68" s="35"/>
    </row>
    <row r="69" spans="1:32" hidden="1">
      <c r="A69" s="209">
        <v>7633015</v>
      </c>
      <c r="B69" s="209" t="s">
        <v>81</v>
      </c>
      <c r="C69" s="210" t="s">
        <v>232</v>
      </c>
      <c r="D69" s="214"/>
      <c r="E69" s="214">
        <v>9600113560766</v>
      </c>
      <c r="F69" s="209" t="s">
        <v>233</v>
      </c>
      <c r="G69" s="209" t="s">
        <v>30</v>
      </c>
      <c r="H69" s="209" t="s">
        <v>234</v>
      </c>
      <c r="I69" s="209" t="s">
        <v>235</v>
      </c>
      <c r="J69" s="209" t="s">
        <v>33</v>
      </c>
      <c r="K69" s="210" t="s">
        <v>236</v>
      </c>
      <c r="L69" s="210"/>
      <c r="M69" s="209" t="s">
        <v>58</v>
      </c>
      <c r="N69" s="209">
        <v>0</v>
      </c>
      <c r="O69" s="209" t="s">
        <v>105</v>
      </c>
      <c r="P69" s="213">
        <v>44455.588738425926</v>
      </c>
      <c r="Q69" s="209"/>
      <c r="R69" s="209">
        <v>12</v>
      </c>
      <c r="S69" s="209">
        <v>4804</v>
      </c>
      <c r="T69" s="209" t="s">
        <v>238</v>
      </c>
      <c r="U69" s="213">
        <v>44456.588738425926</v>
      </c>
      <c r="V69" s="209" t="s">
        <v>41</v>
      </c>
      <c r="W69" s="209" t="s">
        <v>42</v>
      </c>
      <c r="X69" s="13" t="str">
        <f>IF(RIGHT(H69,2)&lt;&gt;"00",H69,"")</f>
        <v>0069.16</v>
      </c>
      <c r="Y69" s="26">
        <f ca="1">NETWORKDAYS(P69,$Y$1)</f>
        <v>380</v>
      </c>
      <c r="Z69" s="34">
        <v>1</v>
      </c>
      <c r="AA69" s="25" t="str">
        <f t="shared" ca="1" si="8"/>
        <v>A VENCER</v>
      </c>
      <c r="AB69" s="25" t="str">
        <f t="shared" si="6"/>
        <v>TAAe+</v>
      </c>
      <c r="AC69" s="2" t="str">
        <f t="shared" si="10"/>
        <v xml:space="preserve"> ROSEMERE </v>
      </c>
      <c r="AD69" s="26">
        <f t="shared" si="7"/>
        <v>8</v>
      </c>
      <c r="AE69" s="26">
        <f t="shared" ca="1" si="9"/>
        <v>531.08753321759286</v>
      </c>
      <c r="AF69" s="35"/>
    </row>
    <row r="70" spans="1:32" hidden="1">
      <c r="A70" s="209">
        <v>7727803</v>
      </c>
      <c r="B70" s="209" t="s">
        <v>81</v>
      </c>
      <c r="C70" s="210" t="s">
        <v>240</v>
      </c>
      <c r="D70" s="214"/>
      <c r="E70" s="214">
        <v>3478000206001</v>
      </c>
      <c r="F70" s="209" t="s">
        <v>29</v>
      </c>
      <c r="G70" s="209" t="s">
        <v>53</v>
      </c>
      <c r="H70" s="209" t="s">
        <v>241</v>
      </c>
      <c r="I70" s="209" t="s">
        <v>242</v>
      </c>
      <c r="J70" s="209" t="s">
        <v>46</v>
      </c>
      <c r="K70" s="210" t="s">
        <v>34</v>
      </c>
      <c r="L70" s="210"/>
      <c r="M70" s="209" t="s">
        <v>35</v>
      </c>
      <c r="N70" s="209">
        <v>42318949</v>
      </c>
      <c r="O70" s="209" t="s">
        <v>36</v>
      </c>
      <c r="P70" s="213">
        <v>44459.551018518519</v>
      </c>
      <c r="Q70" s="209"/>
      <c r="R70" s="209" t="s">
        <v>38</v>
      </c>
      <c r="S70" s="209"/>
      <c r="T70" s="209" t="s">
        <v>74</v>
      </c>
      <c r="U70" s="213">
        <v>44460.551018518519</v>
      </c>
      <c r="V70" s="209" t="s">
        <v>41</v>
      </c>
      <c r="W70" s="209" t="s">
        <v>49</v>
      </c>
      <c r="X70" s="13" t="str">
        <f>IF(RIGHT(H70,2)&lt;&gt;"00",H70,"")</f>
        <v>2988.91</v>
      </c>
      <c r="Y70" s="26">
        <f ca="1">NETWORKDAYS(P70,$Y$1)</f>
        <v>378</v>
      </c>
      <c r="Z70" s="34">
        <v>1</v>
      </c>
      <c r="AA70" s="25" t="str">
        <f t="shared" ca="1" si="8"/>
        <v>A VENCER</v>
      </c>
      <c r="AB70" s="25" t="str">
        <f t="shared" si="6"/>
        <v>Dosa</v>
      </c>
      <c r="AC70" s="2" t="str">
        <f t="shared" si="10"/>
        <v xml:space="preserve"> CLEITON </v>
      </c>
      <c r="AD70" s="26">
        <f t="shared" si="7"/>
        <v>5</v>
      </c>
      <c r="AE70" s="26">
        <f t="shared" ca="1" si="9"/>
        <v>527.12525312499929</v>
      </c>
      <c r="AF70" s="35"/>
    </row>
    <row r="71" spans="1:32" hidden="1">
      <c r="A71" s="209">
        <v>7726669</v>
      </c>
      <c r="B71" s="209" t="s">
        <v>81</v>
      </c>
      <c r="C71" s="210" t="s">
        <v>240</v>
      </c>
      <c r="D71" s="214"/>
      <c r="E71" s="214">
        <v>8259000206001</v>
      </c>
      <c r="F71" s="209" t="s">
        <v>29</v>
      </c>
      <c r="G71" s="209" t="s">
        <v>53</v>
      </c>
      <c r="H71" s="209" t="s">
        <v>245</v>
      </c>
      <c r="I71" s="209" t="s">
        <v>246</v>
      </c>
      <c r="J71" s="209" t="s">
        <v>141</v>
      </c>
      <c r="K71" s="210" t="s">
        <v>34</v>
      </c>
      <c r="L71" s="210"/>
      <c r="M71" s="209" t="s">
        <v>35</v>
      </c>
      <c r="N71" s="209">
        <v>42318949</v>
      </c>
      <c r="O71" s="209" t="s">
        <v>36</v>
      </c>
      <c r="P71" s="213">
        <v>44459.549027777779</v>
      </c>
      <c r="Q71" s="209"/>
      <c r="R71" s="209" t="s">
        <v>38</v>
      </c>
      <c r="S71" s="209"/>
      <c r="T71" s="209" t="s">
        <v>74</v>
      </c>
      <c r="U71" s="213">
        <v>44460.549027777779</v>
      </c>
      <c r="V71" s="209" t="s">
        <v>41</v>
      </c>
      <c r="W71" s="209" t="s">
        <v>49</v>
      </c>
      <c r="X71" s="13" t="str">
        <f>IF(RIGHT(H71,2)&lt;&gt;"00",H71,"")</f>
        <v/>
      </c>
      <c r="Y71" s="26">
        <f ca="1">NETWORKDAYS(P71,$Y$1)</f>
        <v>378</v>
      </c>
      <c r="Z71" s="34">
        <v>1</v>
      </c>
      <c r="AA71" s="25" t="str">
        <f t="shared" ca="1" si="8"/>
        <v>A VENCER</v>
      </c>
      <c r="AB71" s="25" t="str">
        <f t="shared" si="6"/>
        <v>Dosa</v>
      </c>
      <c r="AC71" s="2" t="str">
        <f t="shared" si="10"/>
        <v xml:space="preserve"> CRISTINA </v>
      </c>
      <c r="AD71" s="26">
        <f t="shared" si="7"/>
        <v>5</v>
      </c>
      <c r="AE71" s="26">
        <f t="shared" ca="1" si="9"/>
        <v>527.12724386573973</v>
      </c>
      <c r="AF71" s="35"/>
    </row>
    <row r="72" spans="1:32" hidden="1">
      <c r="A72" s="209">
        <v>7726664</v>
      </c>
      <c r="B72" s="209" t="s">
        <v>81</v>
      </c>
      <c r="C72" s="210" t="s">
        <v>240</v>
      </c>
      <c r="D72" s="214"/>
      <c r="E72" s="214">
        <v>2855000206001</v>
      </c>
      <c r="F72" s="209" t="s">
        <v>29</v>
      </c>
      <c r="G72" s="209" t="s">
        <v>53</v>
      </c>
      <c r="H72" s="209" t="s">
        <v>249</v>
      </c>
      <c r="I72" s="209" t="s">
        <v>250</v>
      </c>
      <c r="J72" s="209" t="s">
        <v>56</v>
      </c>
      <c r="K72" s="210" t="s">
        <v>34</v>
      </c>
      <c r="L72" s="210"/>
      <c r="M72" s="209" t="s">
        <v>35</v>
      </c>
      <c r="N72" s="209">
        <v>42318949</v>
      </c>
      <c r="O72" s="209" t="s">
        <v>36</v>
      </c>
      <c r="P72" s="213">
        <v>44459.549016203702</v>
      </c>
      <c r="Q72" s="209"/>
      <c r="R72" s="209" t="s">
        <v>38</v>
      </c>
      <c r="S72" s="209"/>
      <c r="T72" s="209" t="s">
        <v>74</v>
      </c>
      <c r="U72" s="213">
        <v>44460.549016203702</v>
      </c>
      <c r="V72" s="209" t="s">
        <v>41</v>
      </c>
      <c r="W72" s="209" t="s">
        <v>49</v>
      </c>
      <c r="X72" s="13" t="str">
        <f>IF(RIGHT(H72,2)&lt;&gt;"00",H72,"")</f>
        <v/>
      </c>
      <c r="Y72" s="26">
        <f ca="1">NETWORKDAYS(P72,$Y$1)</f>
        <v>378</v>
      </c>
      <c r="Z72" s="34">
        <v>1</v>
      </c>
      <c r="AA72" s="25" t="str">
        <f t="shared" ca="1" si="8"/>
        <v>A VENCER</v>
      </c>
      <c r="AB72" s="25" t="str">
        <f t="shared" si="6"/>
        <v>Dosa</v>
      </c>
      <c r="AC72" s="2" t="str">
        <f t="shared" si="10"/>
        <v xml:space="preserve"> CRISTINA </v>
      </c>
      <c r="AD72" s="26">
        <f t="shared" si="7"/>
        <v>5</v>
      </c>
      <c r="AE72" s="26">
        <f t="shared" ca="1" si="9"/>
        <v>527.12725543981651</v>
      </c>
      <c r="AF72" s="35"/>
    </row>
    <row r="73" spans="1:32" hidden="1">
      <c r="A73" s="209">
        <v>7726663</v>
      </c>
      <c r="B73" s="209" t="s">
        <v>81</v>
      </c>
      <c r="C73" s="210" t="s">
        <v>240</v>
      </c>
      <c r="D73" s="214"/>
      <c r="E73" s="214">
        <v>2693000206001</v>
      </c>
      <c r="F73" s="209" t="s">
        <v>29</v>
      </c>
      <c r="G73" s="209" t="s">
        <v>53</v>
      </c>
      <c r="H73" s="209" t="s">
        <v>253</v>
      </c>
      <c r="I73" s="209" t="s">
        <v>254</v>
      </c>
      <c r="J73" s="209" t="s">
        <v>56</v>
      </c>
      <c r="K73" s="210" t="s">
        <v>34</v>
      </c>
      <c r="L73" s="210"/>
      <c r="M73" s="209" t="s">
        <v>35</v>
      </c>
      <c r="N73" s="209">
        <v>42318949</v>
      </c>
      <c r="O73" s="209" t="s">
        <v>36</v>
      </c>
      <c r="P73" s="213">
        <v>44459.549016203702</v>
      </c>
      <c r="Q73" s="209"/>
      <c r="R73" s="209" t="s">
        <v>38</v>
      </c>
      <c r="S73" s="209"/>
      <c r="T73" s="209" t="s">
        <v>74</v>
      </c>
      <c r="U73" s="213">
        <v>44460.549016203702</v>
      </c>
      <c r="V73" s="209" t="s">
        <v>41</v>
      </c>
      <c r="W73" s="209" t="s">
        <v>49</v>
      </c>
      <c r="X73" s="13" t="str">
        <f>IF(RIGHT(H73,2)&lt;&gt;"00",H73,"")</f>
        <v/>
      </c>
      <c r="Y73" s="26">
        <f ca="1">NETWORKDAYS(P73,$Y$1)</f>
        <v>378</v>
      </c>
      <c r="Z73" s="34">
        <v>1</v>
      </c>
      <c r="AA73" s="25" t="str">
        <f t="shared" ca="1" si="8"/>
        <v>A VENCER</v>
      </c>
      <c r="AB73" s="25" t="str">
        <f t="shared" si="6"/>
        <v>Dosa</v>
      </c>
      <c r="AC73" s="2" t="str">
        <f t="shared" si="10"/>
        <v xml:space="preserve"> CRISTINA </v>
      </c>
      <c r="AD73" s="26">
        <f t="shared" si="7"/>
        <v>5</v>
      </c>
      <c r="AE73" s="26">
        <f t="shared" ca="1" si="9"/>
        <v>527.12725543981651</v>
      </c>
      <c r="AF73" s="35"/>
    </row>
    <row r="74" spans="1:32" hidden="1">
      <c r="A74" s="209">
        <v>7726661</v>
      </c>
      <c r="B74" s="209" t="s">
        <v>81</v>
      </c>
      <c r="C74" s="210" t="s">
        <v>240</v>
      </c>
      <c r="D74" s="214"/>
      <c r="E74" s="214">
        <v>2564000206001</v>
      </c>
      <c r="F74" s="209" t="s">
        <v>29</v>
      </c>
      <c r="G74" s="209" t="s">
        <v>53</v>
      </c>
      <c r="H74" s="209" t="s">
        <v>255</v>
      </c>
      <c r="I74" s="209" t="s">
        <v>256</v>
      </c>
      <c r="J74" s="209" t="s">
        <v>164</v>
      </c>
      <c r="K74" s="210" t="s">
        <v>34</v>
      </c>
      <c r="L74" s="210"/>
      <c r="M74" s="209" t="s">
        <v>35</v>
      </c>
      <c r="N74" s="209">
        <v>42318949</v>
      </c>
      <c r="O74" s="209" t="s">
        <v>36</v>
      </c>
      <c r="P74" s="213">
        <v>44459.549004629633</v>
      </c>
      <c r="Q74" s="209"/>
      <c r="R74" s="209" t="s">
        <v>38</v>
      </c>
      <c r="S74" s="209"/>
      <c r="T74" s="209" t="s">
        <v>74</v>
      </c>
      <c r="U74" s="213">
        <v>44460.549004629633</v>
      </c>
      <c r="V74" s="209" t="s">
        <v>41</v>
      </c>
      <c r="W74" s="209" t="s">
        <v>49</v>
      </c>
      <c r="X74" s="13" t="str">
        <f>IF(RIGHT(H74,2)&lt;&gt;"00",H74,"")</f>
        <v/>
      </c>
      <c r="Y74" s="26">
        <f ca="1">NETWORKDAYS(P74,$Y$1)</f>
        <v>378</v>
      </c>
      <c r="Z74" s="34">
        <v>1</v>
      </c>
      <c r="AA74" s="25" t="str">
        <f t="shared" ca="1" si="8"/>
        <v>A VENCER</v>
      </c>
      <c r="AB74" s="25" t="str">
        <f t="shared" si="6"/>
        <v>Dosa</v>
      </c>
      <c r="AC74" s="2" t="str">
        <f t="shared" si="10"/>
        <v xml:space="preserve"> ROSEMERE </v>
      </c>
      <c r="AD74" s="26">
        <f t="shared" si="7"/>
        <v>5</v>
      </c>
      <c r="AE74" s="26">
        <f t="shared" ca="1" si="9"/>
        <v>527.12726701388601</v>
      </c>
      <c r="AF74" s="35"/>
    </row>
    <row r="75" spans="1:32" hidden="1">
      <c r="A75" s="209">
        <v>7726660</v>
      </c>
      <c r="B75" s="209" t="s">
        <v>81</v>
      </c>
      <c r="C75" s="210" t="s">
        <v>240</v>
      </c>
      <c r="D75" s="214"/>
      <c r="E75" s="214">
        <v>2559000206001</v>
      </c>
      <c r="F75" s="209" t="s">
        <v>29</v>
      </c>
      <c r="G75" s="209" t="s">
        <v>53</v>
      </c>
      <c r="H75" s="209" t="s">
        <v>259</v>
      </c>
      <c r="I75" s="209" t="s">
        <v>260</v>
      </c>
      <c r="J75" s="209" t="s">
        <v>261</v>
      </c>
      <c r="K75" s="210" t="s">
        <v>34</v>
      </c>
      <c r="L75" s="210"/>
      <c r="M75" s="209" t="s">
        <v>35</v>
      </c>
      <c r="N75" s="209">
        <v>42318949</v>
      </c>
      <c r="O75" s="209" t="s">
        <v>36</v>
      </c>
      <c r="P75" s="213">
        <v>44459.549004629633</v>
      </c>
      <c r="Q75" s="209"/>
      <c r="R75" s="209" t="s">
        <v>38</v>
      </c>
      <c r="S75" s="209"/>
      <c r="T75" s="209" t="s">
        <v>74</v>
      </c>
      <c r="U75" s="213">
        <v>44460.549004629633</v>
      </c>
      <c r="V75" s="209" t="s">
        <v>41</v>
      </c>
      <c r="W75" s="209" t="s">
        <v>49</v>
      </c>
      <c r="X75" s="13" t="str">
        <f>IF(RIGHT(H75,2)&lt;&gt;"00",H75,"")</f>
        <v/>
      </c>
      <c r="Y75" s="26">
        <f ca="1">NETWORKDAYS(P75,$Y$1)</f>
        <v>378</v>
      </c>
      <c r="Z75" s="34">
        <v>1</v>
      </c>
      <c r="AA75" s="25" t="str">
        <f t="shared" ca="1" si="8"/>
        <v>A VENCER</v>
      </c>
      <c r="AB75" s="25" t="str">
        <f t="shared" si="6"/>
        <v>Dosa</v>
      </c>
      <c r="AC75" s="2" t="str">
        <f t="shared" si="10"/>
        <v xml:space="preserve"> CRISTINA </v>
      </c>
      <c r="AD75" s="26">
        <f t="shared" si="7"/>
        <v>5</v>
      </c>
      <c r="AE75" s="26">
        <f t="shared" ca="1" si="9"/>
        <v>527.12726701388601</v>
      </c>
      <c r="AF75" s="35"/>
    </row>
    <row r="76" spans="1:32" hidden="1">
      <c r="A76" s="209">
        <v>7726658</v>
      </c>
      <c r="B76" s="209" t="s">
        <v>81</v>
      </c>
      <c r="C76" s="210" t="s">
        <v>240</v>
      </c>
      <c r="D76" s="214"/>
      <c r="E76" s="214">
        <v>2107000206001</v>
      </c>
      <c r="F76" s="209" t="s">
        <v>29</v>
      </c>
      <c r="G76" s="209" t="s">
        <v>53</v>
      </c>
      <c r="H76" s="209" t="s">
        <v>262</v>
      </c>
      <c r="I76" s="209" t="s">
        <v>263</v>
      </c>
      <c r="J76" s="209" t="s">
        <v>164</v>
      </c>
      <c r="K76" s="210" t="s">
        <v>34</v>
      </c>
      <c r="L76" s="210"/>
      <c r="M76" s="209" t="s">
        <v>35</v>
      </c>
      <c r="N76" s="209">
        <v>42318949</v>
      </c>
      <c r="O76" s="209" t="s">
        <v>36</v>
      </c>
      <c r="P76" s="213">
        <v>44459.549004629633</v>
      </c>
      <c r="Q76" s="209"/>
      <c r="R76" s="209" t="s">
        <v>38</v>
      </c>
      <c r="S76" s="209"/>
      <c r="T76" s="209" t="s">
        <v>74</v>
      </c>
      <c r="U76" s="213">
        <v>44460.549004629633</v>
      </c>
      <c r="V76" s="209" t="s">
        <v>41</v>
      </c>
      <c r="W76" s="209" t="s">
        <v>49</v>
      </c>
      <c r="X76" s="13" t="str">
        <f>IF(RIGHT(H76,2)&lt;&gt;"00",H76,"")</f>
        <v/>
      </c>
      <c r="Y76" s="26">
        <f ca="1">NETWORKDAYS(P76,$Y$1)</f>
        <v>378</v>
      </c>
      <c r="Z76" s="34">
        <v>1</v>
      </c>
      <c r="AA76" s="25" t="str">
        <f t="shared" ca="1" si="8"/>
        <v>A VENCER</v>
      </c>
      <c r="AB76" s="25" t="str">
        <f t="shared" si="6"/>
        <v>Dosa</v>
      </c>
      <c r="AC76" s="2" t="str">
        <f t="shared" si="10"/>
        <v xml:space="preserve"> ROSEMERE </v>
      </c>
      <c r="AD76" s="26">
        <f t="shared" si="7"/>
        <v>5</v>
      </c>
      <c r="AE76" s="26">
        <f t="shared" ca="1" si="9"/>
        <v>527.12726701388601</v>
      </c>
      <c r="AF76" s="35"/>
    </row>
    <row r="77" spans="1:32" hidden="1">
      <c r="A77" s="209">
        <v>7726655</v>
      </c>
      <c r="B77" s="209" t="s">
        <v>81</v>
      </c>
      <c r="C77" s="210" t="s">
        <v>240</v>
      </c>
      <c r="D77" s="214"/>
      <c r="E77" s="214">
        <v>1943000206001</v>
      </c>
      <c r="F77" s="209" t="s">
        <v>29</v>
      </c>
      <c r="G77" s="209" t="s">
        <v>53</v>
      </c>
      <c r="H77" s="209" t="s">
        <v>264</v>
      </c>
      <c r="I77" s="209" t="s">
        <v>265</v>
      </c>
      <c r="J77" s="209" t="s">
        <v>56</v>
      </c>
      <c r="K77" s="210" t="s">
        <v>34</v>
      </c>
      <c r="L77" s="210"/>
      <c r="M77" s="209" t="s">
        <v>35</v>
      </c>
      <c r="N77" s="209">
        <v>42318949</v>
      </c>
      <c r="O77" s="209" t="s">
        <v>36</v>
      </c>
      <c r="P77" s="213">
        <v>44459.548993055556</v>
      </c>
      <c r="Q77" s="209"/>
      <c r="R77" s="209" t="s">
        <v>38</v>
      </c>
      <c r="S77" s="209"/>
      <c r="T77" s="209" t="s">
        <v>74</v>
      </c>
      <c r="U77" s="213">
        <v>44460.548993055556</v>
      </c>
      <c r="V77" s="209" t="s">
        <v>41</v>
      </c>
      <c r="W77" s="209" t="s">
        <v>49</v>
      </c>
      <c r="X77" s="13" t="str">
        <f>IF(RIGHT(H77,2)&lt;&gt;"00",H77,"")</f>
        <v/>
      </c>
      <c r="Y77" s="26">
        <f ca="1">NETWORKDAYS(P77,$Y$1)</f>
        <v>378</v>
      </c>
      <c r="Z77" s="34">
        <v>1</v>
      </c>
      <c r="AA77" s="25" t="str">
        <f t="shared" ca="1" si="8"/>
        <v>A VENCER</v>
      </c>
      <c r="AB77" s="25" t="str">
        <f t="shared" si="6"/>
        <v>Dosa</v>
      </c>
      <c r="AC77" s="2" t="str">
        <f t="shared" si="10"/>
        <v xml:space="preserve"> CRISTINA </v>
      </c>
      <c r="AD77" s="26">
        <f t="shared" si="7"/>
        <v>5</v>
      </c>
      <c r="AE77" s="26">
        <f t="shared" ca="1" si="9"/>
        <v>527.12727858796279</v>
      </c>
      <c r="AF77" s="35"/>
    </row>
    <row r="78" spans="1:32" hidden="1">
      <c r="A78" s="209">
        <v>7726652</v>
      </c>
      <c r="B78" s="209" t="s">
        <v>81</v>
      </c>
      <c r="C78" s="210" t="s">
        <v>240</v>
      </c>
      <c r="D78" s="214"/>
      <c r="E78" s="214">
        <v>1754000206001</v>
      </c>
      <c r="F78" s="209" t="s">
        <v>29</v>
      </c>
      <c r="G78" s="209" t="s">
        <v>53</v>
      </c>
      <c r="H78" s="209" t="s">
        <v>146</v>
      </c>
      <c r="I78" s="209" t="s">
        <v>147</v>
      </c>
      <c r="J78" s="209" t="s">
        <v>148</v>
      </c>
      <c r="K78" s="210" t="s">
        <v>34</v>
      </c>
      <c r="L78" s="210"/>
      <c r="M78" s="209" t="s">
        <v>35</v>
      </c>
      <c r="N78" s="209">
        <v>42318949</v>
      </c>
      <c r="O78" s="209" t="s">
        <v>36</v>
      </c>
      <c r="P78" s="213">
        <v>44459.548993055556</v>
      </c>
      <c r="Q78" s="209"/>
      <c r="R78" s="209" t="s">
        <v>38</v>
      </c>
      <c r="S78" s="209"/>
      <c r="T78" s="209" t="s">
        <v>74</v>
      </c>
      <c r="U78" s="213">
        <v>44460.548993055556</v>
      </c>
      <c r="V78" s="209" t="s">
        <v>41</v>
      </c>
      <c r="W78" s="209" t="s">
        <v>49</v>
      </c>
      <c r="X78" s="13" t="str">
        <f>IF(RIGHT(H78,2)&lt;&gt;"00",H78,"")</f>
        <v/>
      </c>
      <c r="Y78" s="26">
        <f ca="1">NETWORKDAYS(P78,$Y$1)</f>
        <v>378</v>
      </c>
      <c r="Z78" s="34">
        <v>1</v>
      </c>
      <c r="AA78" s="25" t="str">
        <f t="shared" ca="1" si="8"/>
        <v>A VENCER</v>
      </c>
      <c r="AB78" s="25" t="str">
        <f t="shared" si="6"/>
        <v>Dosa</v>
      </c>
      <c r="AC78" s="2" t="str">
        <f t="shared" si="10"/>
        <v xml:space="preserve"> RINALDO </v>
      </c>
      <c r="AD78" s="26">
        <f t="shared" si="7"/>
        <v>5</v>
      </c>
      <c r="AE78" s="26">
        <f t="shared" ca="1" si="9"/>
        <v>527.12727858796279</v>
      </c>
      <c r="AF78" s="35"/>
    </row>
    <row r="79" spans="1:32" hidden="1">
      <c r="A79" s="209">
        <v>7726651</v>
      </c>
      <c r="B79" s="209" t="s">
        <v>81</v>
      </c>
      <c r="C79" s="210" t="s">
        <v>240</v>
      </c>
      <c r="D79" s="214"/>
      <c r="E79" s="214">
        <v>1362000206001</v>
      </c>
      <c r="F79" s="209" t="s">
        <v>29</v>
      </c>
      <c r="G79" s="209" t="s">
        <v>53</v>
      </c>
      <c r="H79" s="209" t="s">
        <v>268</v>
      </c>
      <c r="I79" s="209" t="s">
        <v>269</v>
      </c>
      <c r="J79" s="209" t="s">
        <v>90</v>
      </c>
      <c r="K79" s="210" t="s">
        <v>34</v>
      </c>
      <c r="L79" s="210"/>
      <c r="M79" s="209" t="s">
        <v>35</v>
      </c>
      <c r="N79" s="209">
        <v>42318949</v>
      </c>
      <c r="O79" s="209" t="s">
        <v>36</v>
      </c>
      <c r="P79" s="213">
        <v>44459.548993055556</v>
      </c>
      <c r="Q79" s="209"/>
      <c r="R79" s="209" t="s">
        <v>38</v>
      </c>
      <c r="S79" s="209"/>
      <c r="T79" s="209" t="s">
        <v>74</v>
      </c>
      <c r="U79" s="213">
        <v>44460.548993055556</v>
      </c>
      <c r="V79" s="209" t="s">
        <v>41</v>
      </c>
      <c r="W79" s="209" t="s">
        <v>49</v>
      </c>
      <c r="X79" s="13" t="str">
        <f>IF(RIGHT(H79,2)&lt;&gt;"00",H79,"")</f>
        <v/>
      </c>
      <c r="Y79" s="26">
        <f ca="1">NETWORKDAYS(P79,$Y$1)</f>
        <v>378</v>
      </c>
      <c r="Z79" s="34">
        <v>1</v>
      </c>
      <c r="AA79" s="25" t="str">
        <f t="shared" ca="1" si="8"/>
        <v>A VENCER</v>
      </c>
      <c r="AB79" s="25" t="str">
        <f t="shared" si="6"/>
        <v>Dosa</v>
      </c>
      <c r="AC79" s="2" t="str">
        <f t="shared" si="10"/>
        <v xml:space="preserve"> RINALDO </v>
      </c>
      <c r="AD79" s="26">
        <f t="shared" si="7"/>
        <v>5</v>
      </c>
      <c r="AE79" s="26">
        <f t="shared" ca="1" si="9"/>
        <v>527.12727858796279</v>
      </c>
      <c r="AF79" s="35"/>
    </row>
    <row r="80" spans="1:32" hidden="1">
      <c r="A80" s="209">
        <v>7726650</v>
      </c>
      <c r="B80" s="209" t="s">
        <v>81</v>
      </c>
      <c r="C80" s="210" t="s">
        <v>240</v>
      </c>
      <c r="D80" s="214"/>
      <c r="E80" s="214">
        <v>1359000206001</v>
      </c>
      <c r="F80" s="209" t="s">
        <v>29</v>
      </c>
      <c r="G80" s="209" t="s">
        <v>53</v>
      </c>
      <c r="H80" s="209" t="s">
        <v>270</v>
      </c>
      <c r="I80" s="209" t="s">
        <v>271</v>
      </c>
      <c r="J80" s="209" t="s">
        <v>141</v>
      </c>
      <c r="K80" s="210" t="s">
        <v>34</v>
      </c>
      <c r="L80" s="210"/>
      <c r="M80" s="209" t="s">
        <v>35</v>
      </c>
      <c r="N80" s="209">
        <v>42318949</v>
      </c>
      <c r="O80" s="209" t="s">
        <v>36</v>
      </c>
      <c r="P80" s="213">
        <v>44459.548993055556</v>
      </c>
      <c r="Q80" s="209"/>
      <c r="R80" s="209" t="s">
        <v>38</v>
      </c>
      <c r="S80" s="209"/>
      <c r="T80" s="209" t="s">
        <v>74</v>
      </c>
      <c r="U80" s="213">
        <v>44460.548993055556</v>
      </c>
      <c r="V80" s="209" t="s">
        <v>41</v>
      </c>
      <c r="W80" s="209" t="s">
        <v>49</v>
      </c>
      <c r="X80" s="13" t="str">
        <f>IF(RIGHT(H80,2)&lt;&gt;"00",H80,"")</f>
        <v/>
      </c>
      <c r="Y80" s="26">
        <f ca="1">NETWORKDAYS(P80,$Y$1)</f>
        <v>378</v>
      </c>
      <c r="Z80" s="34">
        <v>1</v>
      </c>
      <c r="AA80" s="25" t="str">
        <f t="shared" ca="1" si="8"/>
        <v>A VENCER</v>
      </c>
      <c r="AB80" s="25" t="str">
        <f t="shared" si="6"/>
        <v>Dosa</v>
      </c>
      <c r="AC80" s="2" t="str">
        <f t="shared" si="10"/>
        <v xml:space="preserve"> CRISTINA </v>
      </c>
      <c r="AD80" s="26">
        <f t="shared" si="7"/>
        <v>5</v>
      </c>
      <c r="AE80" s="26">
        <f t="shared" ca="1" si="9"/>
        <v>527.12727858796279</v>
      </c>
      <c r="AF80" s="35"/>
    </row>
    <row r="81" spans="1:32" hidden="1">
      <c r="A81" s="209">
        <v>7726648</v>
      </c>
      <c r="B81" s="209" t="s">
        <v>81</v>
      </c>
      <c r="C81" s="210" t="s">
        <v>240</v>
      </c>
      <c r="D81" s="214"/>
      <c r="E81" s="214">
        <v>1011000206001</v>
      </c>
      <c r="F81" s="209" t="s">
        <v>29</v>
      </c>
      <c r="G81" s="209" t="s">
        <v>53</v>
      </c>
      <c r="H81" s="209" t="s">
        <v>272</v>
      </c>
      <c r="I81" s="209" t="s">
        <v>273</v>
      </c>
      <c r="J81" s="209" t="s">
        <v>33</v>
      </c>
      <c r="K81" s="210" t="s">
        <v>34</v>
      </c>
      <c r="L81" s="210"/>
      <c r="M81" s="209" t="s">
        <v>35</v>
      </c>
      <c r="N81" s="209">
        <v>42318949</v>
      </c>
      <c r="O81" s="209" t="s">
        <v>36</v>
      </c>
      <c r="P81" s="213">
        <v>44459.548981481479</v>
      </c>
      <c r="Q81" s="209"/>
      <c r="R81" s="209" t="s">
        <v>38</v>
      </c>
      <c r="S81" s="209"/>
      <c r="T81" s="209" t="s">
        <v>74</v>
      </c>
      <c r="U81" s="213">
        <v>44460.548981481479</v>
      </c>
      <c r="V81" s="209" t="s">
        <v>41</v>
      </c>
      <c r="W81" s="209" t="s">
        <v>49</v>
      </c>
      <c r="X81" s="13" t="str">
        <f>IF(RIGHT(H81,2)&lt;&gt;"00",H81,"")</f>
        <v/>
      </c>
      <c r="Y81" s="26">
        <f ca="1">NETWORKDAYS(P81,$Y$1)</f>
        <v>378</v>
      </c>
      <c r="Z81" s="34">
        <v>1</v>
      </c>
      <c r="AA81" s="25" t="str">
        <f t="shared" ca="1" si="8"/>
        <v>A VENCER</v>
      </c>
      <c r="AB81" s="25" t="str">
        <f t="shared" si="6"/>
        <v>Dosa</v>
      </c>
      <c r="AC81" s="2" t="str">
        <f t="shared" si="10"/>
        <v xml:space="preserve"> ROSEMERE </v>
      </c>
      <c r="AD81" s="26">
        <f t="shared" si="7"/>
        <v>5</v>
      </c>
      <c r="AE81" s="26">
        <f t="shared" ca="1" si="9"/>
        <v>527.12729016203957</v>
      </c>
      <c r="AF81" s="35"/>
    </row>
    <row r="82" spans="1:32" hidden="1">
      <c r="A82" s="209">
        <v>7726647</v>
      </c>
      <c r="B82" s="209" t="s">
        <v>81</v>
      </c>
      <c r="C82" s="210" t="s">
        <v>240</v>
      </c>
      <c r="D82" s="214"/>
      <c r="E82" s="214">
        <v>1049000206001</v>
      </c>
      <c r="F82" s="209" t="s">
        <v>29</v>
      </c>
      <c r="G82" s="209" t="s">
        <v>53</v>
      </c>
      <c r="H82" s="209" t="s">
        <v>169</v>
      </c>
      <c r="I82" s="209" t="s">
        <v>170</v>
      </c>
      <c r="J82" s="209" t="s">
        <v>164</v>
      </c>
      <c r="K82" s="210" t="s">
        <v>34</v>
      </c>
      <c r="L82" s="210"/>
      <c r="M82" s="209" t="s">
        <v>35</v>
      </c>
      <c r="N82" s="209">
        <v>42318949</v>
      </c>
      <c r="O82" s="209" t="s">
        <v>36</v>
      </c>
      <c r="P82" s="213">
        <v>44459.548981481479</v>
      </c>
      <c r="Q82" s="209"/>
      <c r="R82" s="209" t="s">
        <v>38</v>
      </c>
      <c r="S82" s="209"/>
      <c r="T82" s="209" t="s">
        <v>74</v>
      </c>
      <c r="U82" s="213">
        <v>44460.548981481479</v>
      </c>
      <c r="V82" s="209" t="s">
        <v>41</v>
      </c>
      <c r="W82" s="209" t="s">
        <v>49</v>
      </c>
      <c r="X82" s="13" t="str">
        <f>IF(RIGHT(H82,2)&lt;&gt;"00",H82,"")</f>
        <v/>
      </c>
      <c r="Y82" s="26">
        <f ca="1">NETWORKDAYS(P82,$Y$1)</f>
        <v>378</v>
      </c>
      <c r="Z82" s="34">
        <v>1</v>
      </c>
      <c r="AA82" s="25" t="str">
        <f t="shared" ca="1" si="8"/>
        <v>A VENCER</v>
      </c>
      <c r="AB82" s="25" t="str">
        <f t="shared" si="6"/>
        <v>Dosa</v>
      </c>
      <c r="AC82" s="2" t="str">
        <f t="shared" si="10"/>
        <v xml:space="preserve"> ROSEMERE </v>
      </c>
      <c r="AD82" s="26">
        <f t="shared" si="7"/>
        <v>5</v>
      </c>
      <c r="AE82" s="26">
        <f t="shared" ca="1" si="9"/>
        <v>527.12729016203957</v>
      </c>
      <c r="AF82" s="35"/>
    </row>
    <row r="83" spans="1:32" hidden="1">
      <c r="A83" s="209">
        <v>7726645</v>
      </c>
      <c r="B83" s="209" t="s">
        <v>81</v>
      </c>
      <c r="C83" s="210" t="s">
        <v>240</v>
      </c>
      <c r="D83" s="214"/>
      <c r="E83" s="214">
        <v>2683000206001</v>
      </c>
      <c r="F83" s="209" t="s">
        <v>29</v>
      </c>
      <c r="G83" s="209" t="s">
        <v>53</v>
      </c>
      <c r="H83" s="209" t="s">
        <v>276</v>
      </c>
      <c r="I83" s="209" t="s">
        <v>277</v>
      </c>
      <c r="J83" s="209" t="s">
        <v>90</v>
      </c>
      <c r="K83" s="210" t="s">
        <v>34</v>
      </c>
      <c r="L83" s="210"/>
      <c r="M83" s="209" t="s">
        <v>35</v>
      </c>
      <c r="N83" s="209">
        <v>42318949</v>
      </c>
      <c r="O83" s="209" t="s">
        <v>36</v>
      </c>
      <c r="P83" s="213">
        <v>44459.548981481479</v>
      </c>
      <c r="Q83" s="209"/>
      <c r="R83" s="209" t="s">
        <v>38</v>
      </c>
      <c r="S83" s="209"/>
      <c r="T83" s="209" t="s">
        <v>74</v>
      </c>
      <c r="U83" s="213">
        <v>44460.548981481479</v>
      </c>
      <c r="V83" s="209" t="s">
        <v>41</v>
      </c>
      <c r="W83" s="209" t="s">
        <v>49</v>
      </c>
      <c r="X83" s="13" t="str">
        <f>IF(RIGHT(H83,2)&lt;&gt;"00",H83,"")</f>
        <v/>
      </c>
      <c r="Y83" s="26">
        <f ca="1">NETWORKDAYS(P83,$Y$1)</f>
        <v>378</v>
      </c>
      <c r="Z83" s="34">
        <v>1</v>
      </c>
      <c r="AA83" s="25" t="str">
        <f t="shared" ca="1" si="8"/>
        <v>A VENCER</v>
      </c>
      <c r="AB83" s="25" t="str">
        <f t="shared" si="6"/>
        <v>Dosa</v>
      </c>
      <c r="AC83" s="2" t="str">
        <f t="shared" si="10"/>
        <v xml:space="preserve"> RINALDO </v>
      </c>
      <c r="AD83" s="26">
        <f t="shared" si="7"/>
        <v>5</v>
      </c>
      <c r="AE83" s="26">
        <f t="shared" ca="1" si="9"/>
        <v>527.12729016203957</v>
      </c>
      <c r="AF83" s="35"/>
    </row>
    <row r="84" spans="1:32" hidden="1">
      <c r="A84" s="209">
        <v>7726643</v>
      </c>
      <c r="B84" s="209" t="s">
        <v>81</v>
      </c>
      <c r="C84" s="210" t="s">
        <v>240</v>
      </c>
      <c r="D84" s="214"/>
      <c r="E84" s="214">
        <v>2156000206001</v>
      </c>
      <c r="F84" s="209" t="s">
        <v>29</v>
      </c>
      <c r="G84" s="209" t="s">
        <v>53</v>
      </c>
      <c r="H84" s="209" t="s">
        <v>278</v>
      </c>
      <c r="I84" s="209" t="s">
        <v>279</v>
      </c>
      <c r="J84" s="209" t="s">
        <v>211</v>
      </c>
      <c r="K84" s="210" t="s">
        <v>34</v>
      </c>
      <c r="L84" s="210"/>
      <c r="M84" s="209" t="s">
        <v>35</v>
      </c>
      <c r="N84" s="209">
        <v>42318949</v>
      </c>
      <c r="O84" s="209" t="s">
        <v>36</v>
      </c>
      <c r="P84" s="213">
        <v>44459.548981481479</v>
      </c>
      <c r="Q84" s="209"/>
      <c r="R84" s="209" t="s">
        <v>38</v>
      </c>
      <c r="S84" s="209"/>
      <c r="T84" s="209" t="s">
        <v>74</v>
      </c>
      <c r="U84" s="213">
        <v>44460.548981481479</v>
      </c>
      <c r="V84" s="209" t="s">
        <v>41</v>
      </c>
      <c r="W84" s="209" t="s">
        <v>49</v>
      </c>
      <c r="X84" s="13" t="str">
        <f>IF(RIGHT(H84,2)&lt;&gt;"00",H84,"")</f>
        <v/>
      </c>
      <c r="Y84" s="26">
        <f ca="1">NETWORKDAYS(P84,$Y$1)</f>
        <v>378</v>
      </c>
      <c r="Z84" s="34">
        <v>1</v>
      </c>
      <c r="AA84" s="25" t="str">
        <f t="shared" ca="1" si="8"/>
        <v>A VENCER</v>
      </c>
      <c r="AB84" s="25" t="str">
        <f t="shared" si="6"/>
        <v>Dosa</v>
      </c>
      <c r="AC84" s="2" t="str">
        <f t="shared" si="10"/>
        <v xml:space="preserve"> RINALDO </v>
      </c>
      <c r="AD84" s="26">
        <f t="shared" si="7"/>
        <v>5</v>
      </c>
      <c r="AE84" s="26">
        <f t="shared" ca="1" si="9"/>
        <v>527.12729016203957</v>
      </c>
      <c r="AF84" s="35"/>
    </row>
    <row r="85" spans="1:32" hidden="1">
      <c r="A85" s="209">
        <v>7726642</v>
      </c>
      <c r="B85" s="209" t="s">
        <v>81</v>
      </c>
      <c r="C85" s="210" t="s">
        <v>240</v>
      </c>
      <c r="D85" s="214"/>
      <c r="E85" s="214">
        <v>1162000206001</v>
      </c>
      <c r="F85" s="209" t="s">
        <v>29</v>
      </c>
      <c r="G85" s="209" t="s">
        <v>53</v>
      </c>
      <c r="H85" s="209" t="s">
        <v>280</v>
      </c>
      <c r="I85" s="209" t="s">
        <v>281</v>
      </c>
      <c r="J85" s="209" t="s">
        <v>211</v>
      </c>
      <c r="K85" s="210" t="s">
        <v>34</v>
      </c>
      <c r="L85" s="210"/>
      <c r="M85" s="209" t="s">
        <v>35</v>
      </c>
      <c r="N85" s="209">
        <v>42318949</v>
      </c>
      <c r="O85" s="209" t="s">
        <v>36</v>
      </c>
      <c r="P85" s="213">
        <v>44459.548981481479</v>
      </c>
      <c r="Q85" s="209"/>
      <c r="R85" s="209" t="s">
        <v>38</v>
      </c>
      <c r="S85" s="209"/>
      <c r="T85" s="209" t="s">
        <v>74</v>
      </c>
      <c r="U85" s="213">
        <v>44460.548981481479</v>
      </c>
      <c r="V85" s="209" t="s">
        <v>41</v>
      </c>
      <c r="W85" s="209" t="s">
        <v>49</v>
      </c>
      <c r="X85" s="13" t="str">
        <f>IF(RIGHT(H85,2)&lt;&gt;"00",H85,"")</f>
        <v/>
      </c>
      <c r="Y85" s="26">
        <f ca="1">NETWORKDAYS(P85,$Y$1)</f>
        <v>378</v>
      </c>
      <c r="Z85" s="34">
        <v>1</v>
      </c>
      <c r="AA85" s="25" t="str">
        <f t="shared" ca="1" si="8"/>
        <v>A VENCER</v>
      </c>
      <c r="AB85" s="25" t="str">
        <f t="shared" si="6"/>
        <v>Dosa</v>
      </c>
      <c r="AC85" s="2" t="str">
        <f t="shared" si="10"/>
        <v xml:space="preserve"> RINALDO </v>
      </c>
      <c r="AD85" s="26">
        <f t="shared" si="7"/>
        <v>5</v>
      </c>
      <c r="AE85" s="26">
        <f t="shared" ca="1" si="9"/>
        <v>527.12729016203957</v>
      </c>
      <c r="AF85" s="35"/>
    </row>
    <row r="86" spans="1:32" hidden="1">
      <c r="A86" s="209">
        <v>7726640</v>
      </c>
      <c r="B86" s="209" t="s">
        <v>81</v>
      </c>
      <c r="C86" s="210" t="s">
        <v>240</v>
      </c>
      <c r="D86" s="214"/>
      <c r="E86" s="214">
        <v>3243000206001</v>
      </c>
      <c r="F86" s="209" t="s">
        <v>29</v>
      </c>
      <c r="G86" s="209" t="s">
        <v>53</v>
      </c>
      <c r="H86" s="209" t="s">
        <v>282</v>
      </c>
      <c r="I86" s="209" t="s">
        <v>283</v>
      </c>
      <c r="J86" s="209" t="s">
        <v>46</v>
      </c>
      <c r="K86" s="210" t="s">
        <v>34</v>
      </c>
      <c r="L86" s="210"/>
      <c r="M86" s="209" t="s">
        <v>35</v>
      </c>
      <c r="N86" s="209">
        <v>42318949</v>
      </c>
      <c r="O86" s="209" t="s">
        <v>36</v>
      </c>
      <c r="P86" s="213">
        <v>44459.54896990741</v>
      </c>
      <c r="Q86" s="209"/>
      <c r="R86" s="209" t="s">
        <v>38</v>
      </c>
      <c r="S86" s="209"/>
      <c r="T86" s="209" t="s">
        <v>74</v>
      </c>
      <c r="U86" s="213">
        <v>44460.54896990741</v>
      </c>
      <c r="V86" s="209" t="s">
        <v>41</v>
      </c>
      <c r="W86" s="209" t="s">
        <v>49</v>
      </c>
      <c r="X86" s="13" t="str">
        <f>IF(RIGHT(H86,2)&lt;&gt;"00",H86,"")</f>
        <v/>
      </c>
      <c r="Y86" s="26">
        <f ca="1">NETWORKDAYS(P86,$Y$1)</f>
        <v>378</v>
      </c>
      <c r="Z86" s="34">
        <v>1</v>
      </c>
      <c r="AA86" s="25" t="str">
        <f t="shared" ca="1" si="8"/>
        <v>A VENCER</v>
      </c>
      <c r="AB86" s="25" t="str">
        <f t="shared" si="6"/>
        <v>Dosa</v>
      </c>
      <c r="AC86" s="2" t="str">
        <f t="shared" si="10"/>
        <v xml:space="preserve"> CLEITON </v>
      </c>
      <c r="AD86" s="26">
        <f t="shared" si="7"/>
        <v>5</v>
      </c>
      <c r="AE86" s="26">
        <f t="shared" ca="1" si="9"/>
        <v>527.12730173610908</v>
      </c>
      <c r="AF86" s="35"/>
    </row>
    <row r="87" spans="1:32" hidden="1">
      <c r="A87" s="209">
        <v>7726639</v>
      </c>
      <c r="B87" s="209" t="s">
        <v>81</v>
      </c>
      <c r="C87" s="210" t="s">
        <v>240</v>
      </c>
      <c r="D87" s="214"/>
      <c r="E87" s="214">
        <v>1060000206001</v>
      </c>
      <c r="F87" s="209" t="s">
        <v>29</v>
      </c>
      <c r="G87" s="209" t="s">
        <v>53</v>
      </c>
      <c r="H87" s="209" t="s">
        <v>284</v>
      </c>
      <c r="I87" s="209" t="s">
        <v>285</v>
      </c>
      <c r="J87" s="209" t="s">
        <v>148</v>
      </c>
      <c r="K87" s="210" t="s">
        <v>34</v>
      </c>
      <c r="L87" s="210"/>
      <c r="M87" s="209" t="s">
        <v>35</v>
      </c>
      <c r="N87" s="209">
        <v>42318949</v>
      </c>
      <c r="O87" s="209" t="s">
        <v>36</v>
      </c>
      <c r="P87" s="213">
        <v>44459.54896990741</v>
      </c>
      <c r="Q87" s="209"/>
      <c r="R87" s="209" t="s">
        <v>38</v>
      </c>
      <c r="S87" s="209"/>
      <c r="T87" s="209" t="s">
        <v>74</v>
      </c>
      <c r="U87" s="213">
        <v>44460.54896990741</v>
      </c>
      <c r="V87" s="209" t="s">
        <v>41</v>
      </c>
      <c r="W87" s="209" t="s">
        <v>49</v>
      </c>
      <c r="X87" s="13" t="str">
        <f>IF(RIGHT(H87,2)&lt;&gt;"00",H87,"")</f>
        <v/>
      </c>
      <c r="Y87" s="26">
        <f ca="1">NETWORKDAYS(P87,$Y$1)</f>
        <v>378</v>
      </c>
      <c r="Z87" s="34">
        <v>1</v>
      </c>
      <c r="AA87" s="25" t="str">
        <f t="shared" ca="1" si="8"/>
        <v>A VENCER</v>
      </c>
      <c r="AB87" s="25" t="str">
        <f t="shared" si="6"/>
        <v>Dosa</v>
      </c>
      <c r="AC87" s="2" t="str">
        <f t="shared" si="10"/>
        <v xml:space="preserve"> RINALDO </v>
      </c>
      <c r="AD87" s="26">
        <f t="shared" si="7"/>
        <v>5</v>
      </c>
      <c r="AE87" s="26">
        <f t="shared" ca="1" si="9"/>
        <v>527.12730173610908</v>
      </c>
      <c r="AF87" s="35"/>
    </row>
    <row r="88" spans="1:32" hidden="1">
      <c r="A88" s="209">
        <v>7726637</v>
      </c>
      <c r="B88" s="209" t="s">
        <v>81</v>
      </c>
      <c r="C88" s="210" t="s">
        <v>240</v>
      </c>
      <c r="D88" s="214"/>
      <c r="E88" s="214">
        <v>3237000206001</v>
      </c>
      <c r="F88" s="209" t="s">
        <v>29</v>
      </c>
      <c r="G88" s="209" t="s">
        <v>53</v>
      </c>
      <c r="H88" s="209" t="s">
        <v>287</v>
      </c>
      <c r="I88" s="209" t="s">
        <v>288</v>
      </c>
      <c r="J88" s="209" t="s">
        <v>46</v>
      </c>
      <c r="K88" s="210" t="s">
        <v>34</v>
      </c>
      <c r="L88" s="210"/>
      <c r="M88" s="209" t="s">
        <v>35</v>
      </c>
      <c r="N88" s="209">
        <v>42318949</v>
      </c>
      <c r="O88" s="209" t="s">
        <v>36</v>
      </c>
      <c r="P88" s="213">
        <v>44459.54896990741</v>
      </c>
      <c r="Q88" s="209"/>
      <c r="R88" s="209" t="s">
        <v>38</v>
      </c>
      <c r="S88" s="209"/>
      <c r="T88" s="209" t="s">
        <v>74</v>
      </c>
      <c r="U88" s="213">
        <v>44460.54896990741</v>
      </c>
      <c r="V88" s="209" t="s">
        <v>41</v>
      </c>
      <c r="W88" s="209" t="s">
        <v>49</v>
      </c>
      <c r="X88" s="13" t="str">
        <f>IF(RIGHT(H88,2)&lt;&gt;"00",H88,"")</f>
        <v/>
      </c>
      <c r="Y88" s="26">
        <f ca="1">NETWORKDAYS(P88,$Y$1)</f>
        <v>378</v>
      </c>
      <c r="Z88" s="34">
        <v>1</v>
      </c>
      <c r="AA88" s="25" t="str">
        <f t="shared" ca="1" si="8"/>
        <v>A VENCER</v>
      </c>
      <c r="AB88" s="25" t="str">
        <f t="shared" si="6"/>
        <v>Dosa</v>
      </c>
      <c r="AC88" s="2" t="str">
        <f t="shared" si="10"/>
        <v xml:space="preserve"> CLEITON </v>
      </c>
      <c r="AD88" s="26">
        <f t="shared" si="7"/>
        <v>5</v>
      </c>
      <c r="AE88" s="26">
        <f t="shared" ca="1" si="9"/>
        <v>527.12730173610908</v>
      </c>
      <c r="AF88" s="35"/>
    </row>
    <row r="89" spans="1:32" hidden="1">
      <c r="A89" s="209">
        <v>7726636</v>
      </c>
      <c r="B89" s="209" t="s">
        <v>81</v>
      </c>
      <c r="C89" s="210" t="s">
        <v>240</v>
      </c>
      <c r="D89" s="214"/>
      <c r="E89" s="214">
        <v>1058000206001</v>
      </c>
      <c r="F89" s="209" t="s">
        <v>29</v>
      </c>
      <c r="G89" s="209" t="s">
        <v>53</v>
      </c>
      <c r="H89" s="209" t="s">
        <v>289</v>
      </c>
      <c r="I89" s="209" t="s">
        <v>290</v>
      </c>
      <c r="J89" s="209" t="s">
        <v>56</v>
      </c>
      <c r="K89" s="210" t="s">
        <v>34</v>
      </c>
      <c r="L89" s="210"/>
      <c r="M89" s="209" t="s">
        <v>35</v>
      </c>
      <c r="N89" s="209">
        <v>42318949</v>
      </c>
      <c r="O89" s="209" t="s">
        <v>36</v>
      </c>
      <c r="P89" s="213">
        <v>44459.54896990741</v>
      </c>
      <c r="Q89" s="209"/>
      <c r="R89" s="209" t="s">
        <v>38</v>
      </c>
      <c r="S89" s="209"/>
      <c r="T89" s="209" t="s">
        <v>74</v>
      </c>
      <c r="U89" s="213">
        <v>44460.54896990741</v>
      </c>
      <c r="V89" s="209" t="s">
        <v>41</v>
      </c>
      <c r="W89" s="209" t="s">
        <v>49</v>
      </c>
      <c r="X89" s="13" t="str">
        <f>IF(RIGHT(H89,2)&lt;&gt;"00",H89,"")</f>
        <v/>
      </c>
      <c r="Y89" s="26">
        <f ca="1">NETWORKDAYS(P89,$Y$1)</f>
        <v>378</v>
      </c>
      <c r="Z89" s="34">
        <v>1</v>
      </c>
      <c r="AA89" s="25" t="str">
        <f t="shared" ca="1" si="8"/>
        <v>A VENCER</v>
      </c>
      <c r="AB89" s="25" t="str">
        <f t="shared" si="6"/>
        <v>Dosa</v>
      </c>
      <c r="AC89" s="2" t="str">
        <f t="shared" si="10"/>
        <v xml:space="preserve"> CRISTINA </v>
      </c>
      <c r="AD89" s="26">
        <f t="shared" si="7"/>
        <v>5</v>
      </c>
      <c r="AE89" s="26">
        <f t="shared" ca="1" si="9"/>
        <v>527.12730173610908</v>
      </c>
      <c r="AF89" s="35"/>
    </row>
    <row r="90" spans="1:32" hidden="1">
      <c r="A90" s="209">
        <v>7726635</v>
      </c>
      <c r="B90" s="209" t="s">
        <v>81</v>
      </c>
      <c r="C90" s="210" t="s">
        <v>240</v>
      </c>
      <c r="D90" s="214"/>
      <c r="E90" s="214">
        <v>4235000206001</v>
      </c>
      <c r="F90" s="209" t="s">
        <v>29</v>
      </c>
      <c r="G90" s="209" t="s">
        <v>53</v>
      </c>
      <c r="H90" s="209" t="s">
        <v>291</v>
      </c>
      <c r="I90" s="209" t="s">
        <v>292</v>
      </c>
      <c r="J90" s="209" t="s">
        <v>46</v>
      </c>
      <c r="K90" s="210" t="s">
        <v>34</v>
      </c>
      <c r="L90" s="210"/>
      <c r="M90" s="209" t="s">
        <v>35</v>
      </c>
      <c r="N90" s="209">
        <v>42318949</v>
      </c>
      <c r="O90" s="209" t="s">
        <v>36</v>
      </c>
      <c r="P90" s="213">
        <v>44459.54896990741</v>
      </c>
      <c r="Q90" s="209"/>
      <c r="R90" s="209" t="s">
        <v>38</v>
      </c>
      <c r="S90" s="209"/>
      <c r="T90" s="209" t="s">
        <v>74</v>
      </c>
      <c r="U90" s="213">
        <v>44460.54896990741</v>
      </c>
      <c r="V90" s="209" t="s">
        <v>41</v>
      </c>
      <c r="W90" s="209" t="s">
        <v>49</v>
      </c>
      <c r="X90" s="13" t="str">
        <f>IF(RIGHT(H90,2)&lt;&gt;"00",H90,"")</f>
        <v/>
      </c>
      <c r="Y90" s="26">
        <f ca="1">NETWORKDAYS(P90,$Y$1)</f>
        <v>378</v>
      </c>
      <c r="Z90" s="34">
        <v>1</v>
      </c>
      <c r="AA90" s="25" t="str">
        <f t="shared" ca="1" si="8"/>
        <v>A VENCER</v>
      </c>
      <c r="AB90" s="25" t="str">
        <f t="shared" si="6"/>
        <v>Dosa</v>
      </c>
      <c r="AC90" s="2" t="str">
        <f t="shared" si="10"/>
        <v xml:space="preserve"> CLEITON </v>
      </c>
      <c r="AD90" s="26">
        <f t="shared" si="7"/>
        <v>5</v>
      </c>
      <c r="AE90" s="26">
        <f t="shared" ca="1" si="9"/>
        <v>527.12730173610908</v>
      </c>
      <c r="AF90" s="35"/>
    </row>
    <row r="91" spans="1:32" hidden="1">
      <c r="A91" s="209">
        <v>7726633</v>
      </c>
      <c r="B91" s="209" t="s">
        <v>81</v>
      </c>
      <c r="C91" s="210" t="s">
        <v>240</v>
      </c>
      <c r="D91" s="214"/>
      <c r="E91" s="214">
        <v>8634000206001</v>
      </c>
      <c r="F91" s="209" t="s">
        <v>29</v>
      </c>
      <c r="G91" s="209" t="s">
        <v>53</v>
      </c>
      <c r="H91" s="209" t="s">
        <v>293</v>
      </c>
      <c r="I91" s="209" t="s">
        <v>294</v>
      </c>
      <c r="J91" s="209" t="s">
        <v>46</v>
      </c>
      <c r="K91" s="210" t="s">
        <v>34</v>
      </c>
      <c r="L91" s="210"/>
      <c r="M91" s="209" t="s">
        <v>35</v>
      </c>
      <c r="N91" s="209">
        <v>42318949</v>
      </c>
      <c r="O91" s="209" t="s">
        <v>36</v>
      </c>
      <c r="P91" s="213">
        <v>44459.54896990741</v>
      </c>
      <c r="Q91" s="209"/>
      <c r="R91" s="209" t="s">
        <v>38</v>
      </c>
      <c r="S91" s="209"/>
      <c r="T91" s="209" t="s">
        <v>74</v>
      </c>
      <c r="U91" s="213">
        <v>44460.54896990741</v>
      </c>
      <c r="V91" s="209" t="s">
        <v>41</v>
      </c>
      <c r="W91" s="209" t="s">
        <v>49</v>
      </c>
      <c r="X91" s="13" t="str">
        <f>IF(RIGHT(H91,2)&lt;&gt;"00",H91,"")</f>
        <v/>
      </c>
      <c r="Y91" s="26">
        <f ca="1">NETWORKDAYS(P91,$Y$1)</f>
        <v>378</v>
      </c>
      <c r="Z91" s="34">
        <v>1</v>
      </c>
      <c r="AA91" s="25" t="str">
        <f t="shared" ca="1" si="8"/>
        <v>A VENCER</v>
      </c>
      <c r="AB91" s="25" t="str">
        <f t="shared" si="6"/>
        <v>Dosa</v>
      </c>
      <c r="AC91" s="2" t="str">
        <f t="shared" si="10"/>
        <v xml:space="preserve"> CLEITON </v>
      </c>
      <c r="AD91" s="26">
        <f t="shared" si="7"/>
        <v>5</v>
      </c>
      <c r="AE91" s="26">
        <f t="shared" ca="1" si="9"/>
        <v>527.12730173610908</v>
      </c>
      <c r="AF91" s="35"/>
    </row>
    <row r="92" spans="1:32" hidden="1">
      <c r="A92" s="209">
        <v>7726632</v>
      </c>
      <c r="B92" s="209" t="s">
        <v>81</v>
      </c>
      <c r="C92" s="210" t="s">
        <v>240</v>
      </c>
      <c r="D92" s="214"/>
      <c r="E92" s="214">
        <v>1108000206001</v>
      </c>
      <c r="F92" s="209" t="s">
        <v>29</v>
      </c>
      <c r="G92" s="209" t="s">
        <v>53</v>
      </c>
      <c r="H92" s="209" t="s">
        <v>295</v>
      </c>
      <c r="I92" s="209" t="s">
        <v>296</v>
      </c>
      <c r="J92" s="209" t="s">
        <v>90</v>
      </c>
      <c r="K92" s="210" t="s">
        <v>34</v>
      </c>
      <c r="L92" s="210"/>
      <c r="M92" s="209" t="s">
        <v>35</v>
      </c>
      <c r="N92" s="209">
        <v>42318949</v>
      </c>
      <c r="O92" s="209" t="s">
        <v>36</v>
      </c>
      <c r="P92" s="213">
        <v>44459.54896990741</v>
      </c>
      <c r="Q92" s="209"/>
      <c r="R92" s="209" t="s">
        <v>38</v>
      </c>
      <c r="S92" s="209"/>
      <c r="T92" s="209" t="s">
        <v>74</v>
      </c>
      <c r="U92" s="213">
        <v>44460.54896990741</v>
      </c>
      <c r="V92" s="209" t="s">
        <v>41</v>
      </c>
      <c r="W92" s="209" t="s">
        <v>49</v>
      </c>
      <c r="X92" s="13" t="str">
        <f>IF(RIGHT(H92,2)&lt;&gt;"00",H92,"")</f>
        <v/>
      </c>
      <c r="Y92" s="26">
        <f ca="1">NETWORKDAYS(P92,$Y$1)</f>
        <v>378</v>
      </c>
      <c r="Z92" s="34">
        <v>1</v>
      </c>
      <c r="AA92" s="25" t="str">
        <f t="shared" ca="1" si="8"/>
        <v>A VENCER</v>
      </c>
      <c r="AB92" s="25" t="str">
        <f t="shared" si="6"/>
        <v>Dosa</v>
      </c>
      <c r="AC92" s="2" t="str">
        <f t="shared" si="10"/>
        <v xml:space="preserve"> RINALDO </v>
      </c>
      <c r="AD92" s="26">
        <f t="shared" si="7"/>
        <v>5</v>
      </c>
      <c r="AE92" s="26">
        <f t="shared" ca="1" si="9"/>
        <v>527.12730173610908</v>
      </c>
      <c r="AF92" s="35"/>
    </row>
    <row r="93" spans="1:32" hidden="1">
      <c r="A93" s="209">
        <v>7726631</v>
      </c>
      <c r="B93" s="209" t="s">
        <v>81</v>
      </c>
      <c r="C93" s="210" t="s">
        <v>240</v>
      </c>
      <c r="D93" s="214"/>
      <c r="E93" s="214">
        <v>4119000206001</v>
      </c>
      <c r="F93" s="209" t="s">
        <v>29</v>
      </c>
      <c r="G93" s="209" t="s">
        <v>53</v>
      </c>
      <c r="H93" s="209" t="s">
        <v>297</v>
      </c>
      <c r="I93" s="209" t="s">
        <v>298</v>
      </c>
      <c r="J93" s="209" t="s">
        <v>211</v>
      </c>
      <c r="K93" s="210" t="s">
        <v>34</v>
      </c>
      <c r="L93" s="210"/>
      <c r="M93" s="209" t="s">
        <v>35</v>
      </c>
      <c r="N93" s="209">
        <v>42318949</v>
      </c>
      <c r="O93" s="209" t="s">
        <v>36</v>
      </c>
      <c r="P93" s="213">
        <v>44459.548958333333</v>
      </c>
      <c r="Q93" s="209"/>
      <c r="R93" s="209" t="s">
        <v>38</v>
      </c>
      <c r="S93" s="209"/>
      <c r="T93" s="209" t="s">
        <v>74</v>
      </c>
      <c r="U93" s="213">
        <v>44460.548958333333</v>
      </c>
      <c r="V93" s="209" t="s">
        <v>41</v>
      </c>
      <c r="W93" s="209" t="s">
        <v>49</v>
      </c>
      <c r="X93" s="13" t="str">
        <f>IF(RIGHT(H93,2)&lt;&gt;"00",H93,"")</f>
        <v/>
      </c>
      <c r="Y93" s="26">
        <f ca="1">NETWORKDAYS(P93,$Y$1)</f>
        <v>378</v>
      </c>
      <c r="Z93" s="34">
        <v>1</v>
      </c>
      <c r="AA93" s="25" t="str">
        <f t="shared" ca="1" si="8"/>
        <v>A VENCER</v>
      </c>
      <c r="AB93" s="25" t="str">
        <f t="shared" ref="AB93:AB156" si="11">IF(F93="GRPE-000001","C-14",IF(F93="GRPE-000002","C-14",IF(F93="GRPE-000003","C-14",IF(F93="GRPE-000004","SL-On",IF(F93="GRPE-000038","C-14",IF(F93="GRPE-900022","Dosa",IF(F93="GRPE-000029","Dosa",IF(F93="ATOS-000222","Dose","TAAe+"))))))))</f>
        <v>Dosa</v>
      </c>
      <c r="AC93" s="2" t="str">
        <f t="shared" si="10"/>
        <v xml:space="preserve"> RINALDO </v>
      </c>
      <c r="AD93" s="26">
        <f t="shared" ref="AD93:AD156" si="12">IF(F93="GRPE-000001",5,IF(F93="GRPE-000002",5,IF(F93="GRPE-000003",15,IF(F93="GRPE-000004",1,IF(F93="GRPE-000038",5,IF(F93="GRPE-900022",5,IF(F93="GRPE-000029",5,IF(F93="ATOS-000222",5,8))))))))</f>
        <v>5</v>
      </c>
      <c r="AE93" s="26">
        <f t="shared" ca="1" si="9"/>
        <v>527.12731331018585</v>
      </c>
      <c r="AF93" s="35"/>
    </row>
    <row r="94" spans="1:32" hidden="1">
      <c r="A94" s="209">
        <v>7726630</v>
      </c>
      <c r="B94" s="209" t="s">
        <v>81</v>
      </c>
      <c r="C94" s="210" t="s">
        <v>240</v>
      </c>
      <c r="D94" s="214"/>
      <c r="E94" s="214">
        <v>2388000206001</v>
      </c>
      <c r="F94" s="209" t="s">
        <v>29</v>
      </c>
      <c r="G94" s="209" t="s">
        <v>53</v>
      </c>
      <c r="H94" s="209" t="s">
        <v>299</v>
      </c>
      <c r="I94" s="209" t="s">
        <v>300</v>
      </c>
      <c r="J94" s="209" t="s">
        <v>79</v>
      </c>
      <c r="K94" s="210" t="s">
        <v>34</v>
      </c>
      <c r="L94" s="210"/>
      <c r="M94" s="209" t="s">
        <v>35</v>
      </c>
      <c r="N94" s="209">
        <v>42318949</v>
      </c>
      <c r="O94" s="209" t="s">
        <v>36</v>
      </c>
      <c r="P94" s="213">
        <v>44459.548958333333</v>
      </c>
      <c r="Q94" s="209"/>
      <c r="R94" s="209" t="s">
        <v>38</v>
      </c>
      <c r="S94" s="209"/>
      <c r="T94" s="209" t="s">
        <v>74</v>
      </c>
      <c r="U94" s="213">
        <v>44460.548958333333</v>
      </c>
      <c r="V94" s="209" t="s">
        <v>41</v>
      </c>
      <c r="W94" s="209" t="s">
        <v>49</v>
      </c>
      <c r="X94" s="13" t="str">
        <f>IF(RIGHT(H94,2)&lt;&gt;"00",H94,"")</f>
        <v/>
      </c>
      <c r="Y94" s="26">
        <f ca="1">NETWORKDAYS(P94,$Y$1)</f>
        <v>378</v>
      </c>
      <c r="Z94" s="34">
        <v>1</v>
      </c>
      <c r="AA94" s="25" t="str">
        <f t="shared" ca="1" si="8"/>
        <v>A VENCER</v>
      </c>
      <c r="AB94" s="25" t="str">
        <f t="shared" si="11"/>
        <v>Dosa</v>
      </c>
      <c r="AC94" s="2" t="str">
        <f t="shared" si="10"/>
        <v xml:space="preserve"> ROSEMERE </v>
      </c>
      <c r="AD94" s="26">
        <f t="shared" si="12"/>
        <v>5</v>
      </c>
      <c r="AE94" s="26">
        <f t="shared" ca="1" si="9"/>
        <v>527.12731331018585</v>
      </c>
      <c r="AF94" s="35"/>
    </row>
    <row r="95" spans="1:32" hidden="1">
      <c r="A95" s="209">
        <v>7726629</v>
      </c>
      <c r="B95" s="209" t="s">
        <v>81</v>
      </c>
      <c r="C95" s="210" t="s">
        <v>240</v>
      </c>
      <c r="D95" s="214"/>
      <c r="E95" s="214">
        <v>2326000206001</v>
      </c>
      <c r="F95" s="209" t="s">
        <v>29</v>
      </c>
      <c r="G95" s="209" t="s">
        <v>53</v>
      </c>
      <c r="H95" s="209" t="s">
        <v>191</v>
      </c>
      <c r="I95" s="209" t="s">
        <v>192</v>
      </c>
      <c r="J95" s="209" t="s">
        <v>46</v>
      </c>
      <c r="K95" s="210" t="s">
        <v>34</v>
      </c>
      <c r="L95" s="210"/>
      <c r="M95" s="209" t="s">
        <v>35</v>
      </c>
      <c r="N95" s="209">
        <v>42318949</v>
      </c>
      <c r="O95" s="209" t="s">
        <v>36</v>
      </c>
      <c r="P95" s="213">
        <v>44459.548958333333</v>
      </c>
      <c r="Q95" s="209"/>
      <c r="R95" s="209" t="s">
        <v>38</v>
      </c>
      <c r="S95" s="209"/>
      <c r="T95" s="209" t="s">
        <v>74</v>
      </c>
      <c r="U95" s="213">
        <v>44460.548958333333</v>
      </c>
      <c r="V95" s="209" t="s">
        <v>41</v>
      </c>
      <c r="W95" s="209" t="s">
        <v>49</v>
      </c>
      <c r="X95" s="13" t="str">
        <f>IF(RIGHT(H95,2)&lt;&gt;"00",H95,"")</f>
        <v/>
      </c>
      <c r="Y95" s="26">
        <f ca="1">NETWORKDAYS(P95,$Y$1)</f>
        <v>378</v>
      </c>
      <c r="Z95" s="34">
        <v>1</v>
      </c>
      <c r="AA95" s="25" t="str">
        <f t="shared" ca="1" si="8"/>
        <v>A VENCER</v>
      </c>
      <c r="AB95" s="25" t="str">
        <f t="shared" si="11"/>
        <v>Dosa</v>
      </c>
      <c r="AC95" s="2" t="str">
        <f t="shared" si="10"/>
        <v xml:space="preserve"> CLEITON </v>
      </c>
      <c r="AD95" s="26">
        <f t="shared" si="12"/>
        <v>5</v>
      </c>
      <c r="AE95" s="26">
        <f t="shared" ca="1" si="9"/>
        <v>527.12731331018585</v>
      </c>
      <c r="AF95" s="35"/>
    </row>
    <row r="96" spans="1:32" hidden="1">
      <c r="A96" s="209">
        <v>7726628</v>
      </c>
      <c r="B96" s="209" t="s">
        <v>81</v>
      </c>
      <c r="C96" s="210" t="s">
        <v>240</v>
      </c>
      <c r="D96" s="214"/>
      <c r="E96" s="214">
        <v>1360000206001</v>
      </c>
      <c r="F96" s="209" t="s">
        <v>29</v>
      </c>
      <c r="G96" s="209" t="s">
        <v>53</v>
      </c>
      <c r="H96" s="209" t="s">
        <v>303</v>
      </c>
      <c r="I96" s="209" t="s">
        <v>304</v>
      </c>
      <c r="J96" s="209" t="s">
        <v>261</v>
      </c>
      <c r="K96" s="210" t="s">
        <v>34</v>
      </c>
      <c r="L96" s="210"/>
      <c r="M96" s="209" t="s">
        <v>35</v>
      </c>
      <c r="N96" s="209">
        <v>42318949</v>
      </c>
      <c r="O96" s="209" t="s">
        <v>36</v>
      </c>
      <c r="P96" s="213">
        <v>44459.548958333333</v>
      </c>
      <c r="Q96" s="209"/>
      <c r="R96" s="209" t="s">
        <v>38</v>
      </c>
      <c r="S96" s="209"/>
      <c r="T96" s="209" t="s">
        <v>74</v>
      </c>
      <c r="U96" s="213">
        <v>44460.548958333333</v>
      </c>
      <c r="V96" s="209" t="s">
        <v>41</v>
      </c>
      <c r="W96" s="209" t="s">
        <v>49</v>
      </c>
      <c r="X96" s="13" t="str">
        <f>IF(RIGHT(H96,2)&lt;&gt;"00",H96,"")</f>
        <v/>
      </c>
      <c r="Y96" s="26">
        <f ca="1">NETWORKDAYS(P96,$Y$1)</f>
        <v>378</v>
      </c>
      <c r="Z96" s="34">
        <v>1</v>
      </c>
      <c r="AA96" s="25" t="str">
        <f t="shared" ca="1" si="8"/>
        <v>A VENCER</v>
      </c>
      <c r="AB96" s="25" t="str">
        <f t="shared" si="11"/>
        <v>Dosa</v>
      </c>
      <c r="AC96" s="2" t="str">
        <f t="shared" si="10"/>
        <v xml:space="preserve"> CRISTINA </v>
      </c>
      <c r="AD96" s="26">
        <f t="shared" si="12"/>
        <v>5</v>
      </c>
      <c r="AE96" s="26">
        <f t="shared" ca="1" si="9"/>
        <v>527.12731331018585</v>
      </c>
      <c r="AF96" s="35"/>
    </row>
    <row r="97" spans="1:32" hidden="1">
      <c r="A97" s="209">
        <v>7726627</v>
      </c>
      <c r="B97" s="209" t="s">
        <v>81</v>
      </c>
      <c r="C97" s="210" t="s">
        <v>240</v>
      </c>
      <c r="D97" s="214"/>
      <c r="E97" s="214">
        <v>1835000206001</v>
      </c>
      <c r="F97" s="209" t="s">
        <v>29</v>
      </c>
      <c r="G97" s="209" t="s">
        <v>53</v>
      </c>
      <c r="H97" s="209" t="s">
        <v>305</v>
      </c>
      <c r="I97" s="209" t="s">
        <v>306</v>
      </c>
      <c r="J97" s="209" t="s">
        <v>46</v>
      </c>
      <c r="K97" s="210" t="s">
        <v>34</v>
      </c>
      <c r="L97" s="210"/>
      <c r="M97" s="209" t="s">
        <v>35</v>
      </c>
      <c r="N97" s="209">
        <v>42318949</v>
      </c>
      <c r="O97" s="209" t="s">
        <v>36</v>
      </c>
      <c r="P97" s="213">
        <v>44459.548958333333</v>
      </c>
      <c r="Q97" s="209"/>
      <c r="R97" s="209" t="s">
        <v>38</v>
      </c>
      <c r="S97" s="209"/>
      <c r="T97" s="209" t="s">
        <v>74</v>
      </c>
      <c r="U97" s="213">
        <v>44460.548958333333</v>
      </c>
      <c r="V97" s="209" t="s">
        <v>41</v>
      </c>
      <c r="W97" s="209" t="s">
        <v>49</v>
      </c>
      <c r="X97" s="13" t="str">
        <f>IF(RIGHT(H97,2)&lt;&gt;"00",H97,"")</f>
        <v/>
      </c>
      <c r="Y97" s="26">
        <f ca="1">NETWORKDAYS(P97,$Y$1)</f>
        <v>378</v>
      </c>
      <c r="Z97" s="34">
        <v>1</v>
      </c>
      <c r="AA97" s="25" t="str">
        <f t="shared" ca="1" si="8"/>
        <v>A VENCER</v>
      </c>
      <c r="AB97" s="25" t="str">
        <f t="shared" si="11"/>
        <v>Dosa</v>
      </c>
      <c r="AC97" s="2" t="str">
        <f t="shared" si="10"/>
        <v xml:space="preserve"> CLEITON </v>
      </c>
      <c r="AD97" s="26">
        <f t="shared" si="12"/>
        <v>5</v>
      </c>
      <c r="AE97" s="26">
        <f t="shared" ca="1" si="9"/>
        <v>527.12731331018585</v>
      </c>
      <c r="AF97" s="35"/>
    </row>
    <row r="98" spans="1:32" hidden="1">
      <c r="A98" s="209">
        <v>7726626</v>
      </c>
      <c r="B98" s="209" t="s">
        <v>81</v>
      </c>
      <c r="C98" s="210" t="s">
        <v>240</v>
      </c>
      <c r="D98" s="214"/>
      <c r="E98" s="214">
        <v>1664000206001</v>
      </c>
      <c r="F98" s="209" t="s">
        <v>29</v>
      </c>
      <c r="G98" s="209" t="s">
        <v>53</v>
      </c>
      <c r="H98" s="209" t="s">
        <v>307</v>
      </c>
      <c r="I98" s="209" t="s">
        <v>308</v>
      </c>
      <c r="J98" s="209" t="s">
        <v>164</v>
      </c>
      <c r="K98" s="210" t="s">
        <v>34</v>
      </c>
      <c r="L98" s="210"/>
      <c r="M98" s="209" t="s">
        <v>35</v>
      </c>
      <c r="N98" s="209">
        <v>42318949</v>
      </c>
      <c r="O98" s="209" t="s">
        <v>36</v>
      </c>
      <c r="P98" s="213">
        <v>44459.548958333333</v>
      </c>
      <c r="Q98" s="209"/>
      <c r="R98" s="209" t="s">
        <v>38</v>
      </c>
      <c r="S98" s="209"/>
      <c r="T98" s="209" t="s">
        <v>74</v>
      </c>
      <c r="U98" s="213">
        <v>44460.548958333333</v>
      </c>
      <c r="V98" s="209" t="s">
        <v>41</v>
      </c>
      <c r="W98" s="209" t="s">
        <v>49</v>
      </c>
      <c r="X98" s="13" t="str">
        <f>IF(RIGHT(H98,2)&lt;&gt;"00",H98,"")</f>
        <v/>
      </c>
      <c r="Y98" s="26">
        <f ca="1">NETWORKDAYS(P98,$Y$1)</f>
        <v>378</v>
      </c>
      <c r="Z98" s="34">
        <v>1</v>
      </c>
      <c r="AA98" s="25" t="str">
        <f t="shared" ca="1" si="8"/>
        <v>A VENCER</v>
      </c>
      <c r="AB98" s="25" t="str">
        <f t="shared" si="11"/>
        <v>Dosa</v>
      </c>
      <c r="AC98" s="2" t="str">
        <f t="shared" si="10"/>
        <v xml:space="preserve"> ROSEMERE </v>
      </c>
      <c r="AD98" s="26">
        <f t="shared" si="12"/>
        <v>5</v>
      </c>
      <c r="AE98" s="26">
        <f t="shared" ca="1" si="9"/>
        <v>527.12731331018585</v>
      </c>
      <c r="AF98" s="35"/>
    </row>
    <row r="99" spans="1:32" hidden="1">
      <c r="A99" s="209">
        <v>7726624</v>
      </c>
      <c r="B99" s="209" t="s">
        <v>81</v>
      </c>
      <c r="C99" s="210" t="s">
        <v>240</v>
      </c>
      <c r="D99" s="214"/>
      <c r="E99" s="214">
        <v>1732000206001</v>
      </c>
      <c r="F99" s="209" t="s">
        <v>29</v>
      </c>
      <c r="G99" s="209" t="s">
        <v>53</v>
      </c>
      <c r="H99" s="209" t="s">
        <v>177</v>
      </c>
      <c r="I99" s="209" t="s">
        <v>178</v>
      </c>
      <c r="J99" s="209" t="s">
        <v>164</v>
      </c>
      <c r="K99" s="210" t="s">
        <v>34</v>
      </c>
      <c r="L99" s="210"/>
      <c r="M99" s="209" t="s">
        <v>35</v>
      </c>
      <c r="N99" s="209">
        <v>42318949</v>
      </c>
      <c r="O99" s="209" t="s">
        <v>36</v>
      </c>
      <c r="P99" s="213">
        <v>44459.548958333333</v>
      </c>
      <c r="Q99" s="209"/>
      <c r="R99" s="209" t="s">
        <v>38</v>
      </c>
      <c r="S99" s="209"/>
      <c r="T99" s="209" t="s">
        <v>74</v>
      </c>
      <c r="U99" s="213">
        <v>44460.548958333333</v>
      </c>
      <c r="V99" s="209" t="s">
        <v>41</v>
      </c>
      <c r="W99" s="209" t="s">
        <v>49</v>
      </c>
      <c r="X99" s="13" t="str">
        <f>IF(RIGHT(H99,2)&lt;&gt;"00",H99,"")</f>
        <v/>
      </c>
      <c r="Y99" s="26">
        <f ca="1">NETWORKDAYS(P99,$Y$1)</f>
        <v>378</v>
      </c>
      <c r="Z99" s="34">
        <v>1</v>
      </c>
      <c r="AA99" s="25" t="str">
        <f t="shared" ca="1" si="8"/>
        <v>A VENCER</v>
      </c>
      <c r="AB99" s="25" t="str">
        <f t="shared" si="11"/>
        <v>Dosa</v>
      </c>
      <c r="AC99" s="2" t="str">
        <f t="shared" si="10"/>
        <v xml:space="preserve"> ROSEMERE </v>
      </c>
      <c r="AD99" s="26">
        <f t="shared" si="12"/>
        <v>5</v>
      </c>
      <c r="AE99" s="26">
        <f t="shared" ca="1" si="9"/>
        <v>527.12731331018585</v>
      </c>
      <c r="AF99" s="35"/>
    </row>
    <row r="100" spans="1:32" hidden="1">
      <c r="A100" s="209">
        <v>7726620</v>
      </c>
      <c r="B100" s="209" t="s">
        <v>81</v>
      </c>
      <c r="C100" s="210" t="s">
        <v>240</v>
      </c>
      <c r="D100" s="214"/>
      <c r="E100" s="214">
        <v>3924000206001</v>
      </c>
      <c r="F100" s="209" t="s">
        <v>29</v>
      </c>
      <c r="G100" s="209" t="s">
        <v>53</v>
      </c>
      <c r="H100" s="209" t="s">
        <v>153</v>
      </c>
      <c r="I100" s="209" t="s">
        <v>154</v>
      </c>
      <c r="J100" s="209" t="s">
        <v>56</v>
      </c>
      <c r="K100" s="210" t="s">
        <v>34</v>
      </c>
      <c r="L100" s="210"/>
      <c r="M100" s="209" t="s">
        <v>35</v>
      </c>
      <c r="N100" s="209">
        <v>42318949</v>
      </c>
      <c r="O100" s="209" t="s">
        <v>36</v>
      </c>
      <c r="P100" s="213">
        <v>44459.548946759256</v>
      </c>
      <c r="Q100" s="209"/>
      <c r="R100" s="209" t="s">
        <v>38</v>
      </c>
      <c r="S100" s="209"/>
      <c r="T100" s="209" t="s">
        <v>74</v>
      </c>
      <c r="U100" s="213">
        <v>44460.548946759256</v>
      </c>
      <c r="V100" s="209" t="s">
        <v>41</v>
      </c>
      <c r="W100" s="209" t="s">
        <v>49</v>
      </c>
      <c r="X100" s="13" t="str">
        <f>IF(RIGHT(H100,2)&lt;&gt;"00",H100,"")</f>
        <v/>
      </c>
      <c r="Y100" s="26">
        <f ca="1">NETWORKDAYS(P100,$Y$1)</f>
        <v>378</v>
      </c>
      <c r="Z100" s="34">
        <v>1</v>
      </c>
      <c r="AA100" s="25" t="str">
        <f t="shared" ca="1" si="8"/>
        <v>A VENCER</v>
      </c>
      <c r="AB100" s="25" t="str">
        <f t="shared" si="11"/>
        <v>Dosa</v>
      </c>
      <c r="AC100" s="2" t="str">
        <f t="shared" si="10"/>
        <v xml:space="preserve"> CRISTINA </v>
      </c>
      <c r="AD100" s="26">
        <f t="shared" si="12"/>
        <v>5</v>
      </c>
      <c r="AE100" s="26">
        <f t="shared" ca="1" si="9"/>
        <v>527.12732488426263</v>
      </c>
      <c r="AF100" s="35"/>
    </row>
    <row r="101" spans="1:32" hidden="1">
      <c r="A101" s="209">
        <v>7726617</v>
      </c>
      <c r="B101" s="209" t="s">
        <v>81</v>
      </c>
      <c r="C101" s="210" t="s">
        <v>240</v>
      </c>
      <c r="D101" s="214"/>
      <c r="E101" s="214">
        <v>1361000206001</v>
      </c>
      <c r="F101" s="209" t="s">
        <v>29</v>
      </c>
      <c r="G101" s="209" t="s">
        <v>53</v>
      </c>
      <c r="H101" s="209" t="s">
        <v>309</v>
      </c>
      <c r="I101" s="209" t="s">
        <v>310</v>
      </c>
      <c r="J101" s="209" t="s">
        <v>46</v>
      </c>
      <c r="K101" s="210" t="s">
        <v>34</v>
      </c>
      <c r="L101" s="210"/>
      <c r="M101" s="209" t="s">
        <v>35</v>
      </c>
      <c r="N101" s="209">
        <v>42318949</v>
      </c>
      <c r="O101" s="209" t="s">
        <v>36</v>
      </c>
      <c r="P101" s="213">
        <v>44459.548946759256</v>
      </c>
      <c r="Q101" s="209"/>
      <c r="R101" s="209" t="s">
        <v>38</v>
      </c>
      <c r="S101" s="209"/>
      <c r="T101" s="209" t="s">
        <v>74</v>
      </c>
      <c r="U101" s="213">
        <v>44460.548946759256</v>
      </c>
      <c r="V101" s="209" t="s">
        <v>41</v>
      </c>
      <c r="W101" s="209" t="s">
        <v>49</v>
      </c>
      <c r="X101" s="13" t="str">
        <f>IF(RIGHT(H101,2)&lt;&gt;"00",H101,"")</f>
        <v/>
      </c>
      <c r="Y101" s="26">
        <f ca="1">NETWORKDAYS(P101,$Y$1)</f>
        <v>378</v>
      </c>
      <c r="Z101" s="34">
        <v>1</v>
      </c>
      <c r="AA101" s="25" t="str">
        <f t="shared" ca="1" si="8"/>
        <v>A VENCER</v>
      </c>
      <c r="AB101" s="25" t="str">
        <f t="shared" si="11"/>
        <v>Dosa</v>
      </c>
      <c r="AC101" s="2" t="str">
        <f t="shared" si="10"/>
        <v xml:space="preserve"> CLEITON </v>
      </c>
      <c r="AD101" s="26">
        <f t="shared" si="12"/>
        <v>5</v>
      </c>
      <c r="AE101" s="26">
        <f t="shared" ca="1" si="9"/>
        <v>527.12732488426263</v>
      </c>
      <c r="AF101" s="35"/>
    </row>
    <row r="102" spans="1:32" hidden="1">
      <c r="A102" s="209">
        <v>7726616</v>
      </c>
      <c r="B102" s="209" t="s">
        <v>81</v>
      </c>
      <c r="C102" s="210" t="s">
        <v>240</v>
      </c>
      <c r="D102" s="214"/>
      <c r="E102" s="214">
        <v>2737000206001</v>
      </c>
      <c r="F102" s="209" t="s">
        <v>29</v>
      </c>
      <c r="G102" s="209" t="s">
        <v>53</v>
      </c>
      <c r="H102" s="209" t="s">
        <v>311</v>
      </c>
      <c r="I102" s="209" t="s">
        <v>312</v>
      </c>
      <c r="J102" s="209" t="s">
        <v>90</v>
      </c>
      <c r="K102" s="210" t="s">
        <v>34</v>
      </c>
      <c r="L102" s="210"/>
      <c r="M102" s="209" t="s">
        <v>35</v>
      </c>
      <c r="N102" s="209">
        <v>42318949</v>
      </c>
      <c r="O102" s="209" t="s">
        <v>36</v>
      </c>
      <c r="P102" s="213">
        <v>44459.548935185187</v>
      </c>
      <c r="Q102" s="209"/>
      <c r="R102" s="209" t="s">
        <v>38</v>
      </c>
      <c r="S102" s="209"/>
      <c r="T102" s="209" t="s">
        <v>74</v>
      </c>
      <c r="U102" s="213">
        <v>44460.548935185187</v>
      </c>
      <c r="V102" s="209" t="s">
        <v>41</v>
      </c>
      <c r="W102" s="209" t="s">
        <v>49</v>
      </c>
      <c r="X102" s="13" t="str">
        <f>IF(RIGHT(H102,2)&lt;&gt;"00",H102,"")</f>
        <v/>
      </c>
      <c r="Y102" s="26">
        <f ca="1">NETWORKDAYS(P102,$Y$1)</f>
        <v>378</v>
      </c>
      <c r="Z102" s="34">
        <v>1</v>
      </c>
      <c r="AA102" s="25" t="str">
        <f t="shared" ca="1" si="8"/>
        <v>A VENCER</v>
      </c>
      <c r="AB102" s="25" t="str">
        <f t="shared" si="11"/>
        <v>Dosa</v>
      </c>
      <c r="AC102" s="2" t="str">
        <f t="shared" si="10"/>
        <v xml:space="preserve"> RINALDO </v>
      </c>
      <c r="AD102" s="26">
        <f t="shared" si="12"/>
        <v>5</v>
      </c>
      <c r="AE102" s="26">
        <f t="shared" ca="1" si="9"/>
        <v>527.12733645833214</v>
      </c>
      <c r="AF102" s="35"/>
    </row>
    <row r="103" spans="1:32" hidden="1">
      <c r="A103" s="209">
        <v>7726614</v>
      </c>
      <c r="B103" s="209" t="s">
        <v>81</v>
      </c>
      <c r="C103" s="210" t="s">
        <v>240</v>
      </c>
      <c r="D103" s="214"/>
      <c r="E103" s="214">
        <v>244000206001</v>
      </c>
      <c r="F103" s="209" t="s">
        <v>29</v>
      </c>
      <c r="G103" s="209" t="s">
        <v>53</v>
      </c>
      <c r="H103" s="209" t="s">
        <v>313</v>
      </c>
      <c r="I103" s="209" t="s">
        <v>314</v>
      </c>
      <c r="J103" s="209" t="s">
        <v>56</v>
      </c>
      <c r="K103" s="210" t="s">
        <v>34</v>
      </c>
      <c r="L103" s="210"/>
      <c r="M103" s="209" t="s">
        <v>35</v>
      </c>
      <c r="N103" s="209">
        <v>42318949</v>
      </c>
      <c r="O103" s="209" t="s">
        <v>36</v>
      </c>
      <c r="P103" s="213">
        <v>44459.548935185187</v>
      </c>
      <c r="Q103" s="209"/>
      <c r="R103" s="209" t="s">
        <v>38</v>
      </c>
      <c r="S103" s="209"/>
      <c r="T103" s="209" t="s">
        <v>74</v>
      </c>
      <c r="U103" s="213">
        <v>44460.548935185187</v>
      </c>
      <c r="V103" s="209" t="s">
        <v>41</v>
      </c>
      <c r="W103" s="209" t="s">
        <v>49</v>
      </c>
      <c r="X103" s="13" t="str">
        <f>IF(RIGHT(H103,2)&lt;&gt;"00",H103,"")</f>
        <v/>
      </c>
      <c r="Y103" s="26">
        <f ca="1">NETWORKDAYS(P103,$Y$1)</f>
        <v>378</v>
      </c>
      <c r="Z103" s="34">
        <v>1</v>
      </c>
      <c r="AA103" s="25" t="str">
        <f t="shared" ca="1" si="8"/>
        <v>A VENCER</v>
      </c>
      <c r="AB103" s="25" t="str">
        <f t="shared" si="11"/>
        <v>Dosa</v>
      </c>
      <c r="AC103" s="2" t="str">
        <f t="shared" si="10"/>
        <v xml:space="preserve"> CRISTINA </v>
      </c>
      <c r="AD103" s="26">
        <f t="shared" si="12"/>
        <v>5</v>
      </c>
      <c r="AE103" s="26">
        <f t="shared" ca="1" si="9"/>
        <v>527.12733645833214</v>
      </c>
      <c r="AF103" s="35"/>
    </row>
    <row r="104" spans="1:32" hidden="1">
      <c r="A104" s="209">
        <v>7726613</v>
      </c>
      <c r="B104" s="209" t="s">
        <v>81</v>
      </c>
      <c r="C104" s="210" t="s">
        <v>240</v>
      </c>
      <c r="D104" s="214"/>
      <c r="E104" s="214">
        <v>1146000206001</v>
      </c>
      <c r="F104" s="209" t="s">
        <v>29</v>
      </c>
      <c r="G104" s="209" t="s">
        <v>53</v>
      </c>
      <c r="H104" s="209" t="s">
        <v>315</v>
      </c>
      <c r="I104" s="209" t="s">
        <v>316</v>
      </c>
      <c r="J104" s="209" t="s">
        <v>148</v>
      </c>
      <c r="K104" s="210" t="s">
        <v>34</v>
      </c>
      <c r="L104" s="210"/>
      <c r="M104" s="209" t="s">
        <v>35</v>
      </c>
      <c r="N104" s="209">
        <v>42318949</v>
      </c>
      <c r="O104" s="209" t="s">
        <v>36</v>
      </c>
      <c r="P104" s="213">
        <v>44459.548935185187</v>
      </c>
      <c r="Q104" s="209"/>
      <c r="R104" s="209" t="s">
        <v>38</v>
      </c>
      <c r="S104" s="209"/>
      <c r="T104" s="209" t="s">
        <v>74</v>
      </c>
      <c r="U104" s="213">
        <v>44460.548935185187</v>
      </c>
      <c r="V104" s="209" t="s">
        <v>41</v>
      </c>
      <c r="W104" s="209" t="s">
        <v>49</v>
      </c>
      <c r="X104" s="13" t="str">
        <f>IF(RIGHT(H104,2)&lt;&gt;"00",H104,"")</f>
        <v/>
      </c>
      <c r="Y104" s="26">
        <f ca="1">NETWORKDAYS(P104,$Y$1)</f>
        <v>378</v>
      </c>
      <c r="Z104" s="34">
        <v>1</v>
      </c>
      <c r="AA104" s="25" t="str">
        <f t="shared" ca="1" si="8"/>
        <v>A VENCER</v>
      </c>
      <c r="AB104" s="25" t="str">
        <f t="shared" si="11"/>
        <v>Dosa</v>
      </c>
      <c r="AC104" s="2" t="str">
        <f t="shared" si="10"/>
        <v xml:space="preserve"> RINALDO </v>
      </c>
      <c r="AD104" s="26">
        <f t="shared" si="12"/>
        <v>5</v>
      </c>
      <c r="AE104" s="26">
        <f t="shared" ca="1" si="9"/>
        <v>527.12733645833214</v>
      </c>
      <c r="AF104" s="35"/>
    </row>
    <row r="105" spans="1:32" hidden="1">
      <c r="A105" s="209">
        <v>7726612</v>
      </c>
      <c r="B105" s="209" t="s">
        <v>81</v>
      </c>
      <c r="C105" s="210" t="s">
        <v>240</v>
      </c>
      <c r="D105" s="214"/>
      <c r="E105" s="214">
        <v>1012000206001</v>
      </c>
      <c r="F105" s="209" t="s">
        <v>29</v>
      </c>
      <c r="G105" s="209" t="s">
        <v>53</v>
      </c>
      <c r="H105" s="209" t="s">
        <v>172</v>
      </c>
      <c r="I105" s="209" t="s">
        <v>173</v>
      </c>
      <c r="J105" s="209" t="s">
        <v>164</v>
      </c>
      <c r="K105" s="210" t="s">
        <v>34</v>
      </c>
      <c r="L105" s="210"/>
      <c r="M105" s="209" t="s">
        <v>35</v>
      </c>
      <c r="N105" s="209">
        <v>42318949</v>
      </c>
      <c r="O105" s="209" t="s">
        <v>36</v>
      </c>
      <c r="P105" s="213">
        <v>44459.548935185187</v>
      </c>
      <c r="Q105" s="209"/>
      <c r="R105" s="209" t="s">
        <v>38</v>
      </c>
      <c r="S105" s="209"/>
      <c r="T105" s="209" t="s">
        <v>74</v>
      </c>
      <c r="U105" s="213">
        <v>44460.548935185187</v>
      </c>
      <c r="V105" s="209" t="s">
        <v>41</v>
      </c>
      <c r="W105" s="209" t="s">
        <v>49</v>
      </c>
      <c r="X105" s="13" t="str">
        <f>IF(RIGHT(H105,2)&lt;&gt;"00",H105,"")</f>
        <v/>
      </c>
      <c r="Y105" s="26">
        <f ca="1">NETWORKDAYS(P105,$Y$1)</f>
        <v>378</v>
      </c>
      <c r="Z105" s="34">
        <v>1</v>
      </c>
      <c r="AA105" s="25" t="str">
        <f t="shared" ca="1" si="8"/>
        <v>A VENCER</v>
      </c>
      <c r="AB105" s="25" t="str">
        <f t="shared" si="11"/>
        <v>Dosa</v>
      </c>
      <c r="AC105" s="2" t="str">
        <f t="shared" si="10"/>
        <v xml:space="preserve"> ROSEMERE </v>
      </c>
      <c r="AD105" s="26">
        <f t="shared" si="12"/>
        <v>5</v>
      </c>
      <c r="AE105" s="26">
        <f t="shared" ca="1" si="9"/>
        <v>527.12733645833214</v>
      </c>
      <c r="AF105" s="35"/>
    </row>
    <row r="106" spans="1:32" hidden="1">
      <c r="A106" s="209">
        <v>7726611</v>
      </c>
      <c r="B106" s="209" t="s">
        <v>81</v>
      </c>
      <c r="C106" s="210" t="s">
        <v>240</v>
      </c>
      <c r="D106" s="214"/>
      <c r="E106" s="214">
        <v>2625000206001</v>
      </c>
      <c r="F106" s="209" t="s">
        <v>29</v>
      </c>
      <c r="G106" s="209" t="s">
        <v>53</v>
      </c>
      <c r="H106" s="209" t="s">
        <v>317</v>
      </c>
      <c r="I106" s="209" t="s">
        <v>318</v>
      </c>
      <c r="J106" s="209" t="s">
        <v>164</v>
      </c>
      <c r="K106" s="210" t="s">
        <v>34</v>
      </c>
      <c r="L106" s="210"/>
      <c r="M106" s="209" t="s">
        <v>35</v>
      </c>
      <c r="N106" s="209">
        <v>42318949</v>
      </c>
      <c r="O106" s="209" t="s">
        <v>36</v>
      </c>
      <c r="P106" s="213">
        <v>44459.548935185187</v>
      </c>
      <c r="Q106" s="209"/>
      <c r="R106" s="209" t="s">
        <v>38</v>
      </c>
      <c r="S106" s="209"/>
      <c r="T106" s="209" t="s">
        <v>74</v>
      </c>
      <c r="U106" s="213">
        <v>44460.548935185187</v>
      </c>
      <c r="V106" s="209" t="s">
        <v>41</v>
      </c>
      <c r="W106" s="209" t="s">
        <v>49</v>
      </c>
      <c r="X106" s="13" t="str">
        <f>IF(RIGHT(H106,2)&lt;&gt;"00",H106,"")</f>
        <v/>
      </c>
      <c r="Y106" s="26">
        <f ca="1">NETWORKDAYS(P106,$Y$1)</f>
        <v>378</v>
      </c>
      <c r="Z106" s="34">
        <v>1</v>
      </c>
      <c r="AA106" s="25" t="str">
        <f t="shared" ca="1" si="8"/>
        <v>A VENCER</v>
      </c>
      <c r="AB106" s="25" t="str">
        <f t="shared" si="11"/>
        <v>Dosa</v>
      </c>
      <c r="AC106" s="2" t="str">
        <f t="shared" si="10"/>
        <v xml:space="preserve"> ROSEMERE </v>
      </c>
      <c r="AD106" s="26">
        <f t="shared" si="12"/>
        <v>5</v>
      </c>
      <c r="AE106" s="26">
        <f t="shared" ca="1" si="9"/>
        <v>527.12733645833214</v>
      </c>
      <c r="AF106" s="35"/>
    </row>
    <row r="107" spans="1:32" hidden="1">
      <c r="A107" s="209">
        <v>7726608</v>
      </c>
      <c r="B107" s="209" t="s">
        <v>81</v>
      </c>
      <c r="C107" s="210" t="s">
        <v>240</v>
      </c>
      <c r="D107" s="214"/>
      <c r="E107" s="214">
        <v>3802000206001</v>
      </c>
      <c r="F107" s="209" t="s">
        <v>29</v>
      </c>
      <c r="G107" s="209" t="s">
        <v>53</v>
      </c>
      <c r="H107" s="209" t="s">
        <v>319</v>
      </c>
      <c r="I107" s="209" t="s">
        <v>320</v>
      </c>
      <c r="J107" s="209" t="s">
        <v>148</v>
      </c>
      <c r="K107" s="210" t="s">
        <v>34</v>
      </c>
      <c r="L107" s="210"/>
      <c r="M107" s="209" t="s">
        <v>35</v>
      </c>
      <c r="N107" s="209">
        <v>42318949</v>
      </c>
      <c r="O107" s="209" t="s">
        <v>36</v>
      </c>
      <c r="P107" s="213">
        <v>44459.54892361111</v>
      </c>
      <c r="Q107" s="209"/>
      <c r="R107" s="209" t="s">
        <v>38</v>
      </c>
      <c r="S107" s="209"/>
      <c r="T107" s="209" t="s">
        <v>74</v>
      </c>
      <c r="U107" s="213">
        <v>44460.54892361111</v>
      </c>
      <c r="V107" s="209" t="s">
        <v>41</v>
      </c>
      <c r="W107" s="209" t="s">
        <v>49</v>
      </c>
      <c r="X107" s="13" t="str">
        <f>IF(RIGHT(H107,2)&lt;&gt;"00",H107,"")</f>
        <v/>
      </c>
      <c r="Y107" s="26">
        <f ca="1">NETWORKDAYS(P107,$Y$1)</f>
        <v>378</v>
      </c>
      <c r="Z107" s="34">
        <v>1</v>
      </c>
      <c r="AA107" s="25" t="str">
        <f t="shared" ca="1" si="8"/>
        <v>A VENCER</v>
      </c>
      <c r="AB107" s="25" t="str">
        <f t="shared" si="11"/>
        <v>Dosa</v>
      </c>
      <c r="AC107" s="2" t="str">
        <f t="shared" si="10"/>
        <v xml:space="preserve"> RINALDO </v>
      </c>
      <c r="AD107" s="26">
        <f t="shared" si="12"/>
        <v>5</v>
      </c>
      <c r="AE107" s="26">
        <f t="shared" ca="1" si="9"/>
        <v>527.12734803240892</v>
      </c>
      <c r="AF107" s="35"/>
    </row>
    <row r="108" spans="1:32" hidden="1">
      <c r="A108" s="209">
        <v>7726607</v>
      </c>
      <c r="B108" s="209" t="s">
        <v>81</v>
      </c>
      <c r="C108" s="210" t="s">
        <v>240</v>
      </c>
      <c r="D108" s="214"/>
      <c r="E108" s="214">
        <v>3258000206001</v>
      </c>
      <c r="F108" s="209" t="s">
        <v>29</v>
      </c>
      <c r="G108" s="209" t="s">
        <v>53</v>
      </c>
      <c r="H108" s="209" t="s">
        <v>321</v>
      </c>
      <c r="I108" s="209" t="s">
        <v>322</v>
      </c>
      <c r="J108" s="209" t="s">
        <v>46</v>
      </c>
      <c r="K108" s="210" t="s">
        <v>34</v>
      </c>
      <c r="L108" s="210"/>
      <c r="M108" s="209" t="s">
        <v>35</v>
      </c>
      <c r="N108" s="209">
        <v>42318949</v>
      </c>
      <c r="O108" s="209" t="s">
        <v>36</v>
      </c>
      <c r="P108" s="213">
        <v>44459.54892361111</v>
      </c>
      <c r="Q108" s="209"/>
      <c r="R108" s="209" t="s">
        <v>38</v>
      </c>
      <c r="S108" s="209"/>
      <c r="T108" s="209" t="s">
        <v>74</v>
      </c>
      <c r="U108" s="213">
        <v>44460.54892361111</v>
      </c>
      <c r="V108" s="209" t="s">
        <v>41</v>
      </c>
      <c r="W108" s="209" t="s">
        <v>49</v>
      </c>
      <c r="X108" s="13" t="str">
        <f>IF(RIGHT(H108,2)&lt;&gt;"00",H108,"")</f>
        <v/>
      </c>
      <c r="Y108" s="26">
        <f ca="1">NETWORKDAYS(P108,$Y$1)</f>
        <v>378</v>
      </c>
      <c r="Z108" s="34">
        <v>1</v>
      </c>
      <c r="AA108" s="25" t="str">
        <f t="shared" ca="1" si="8"/>
        <v>A VENCER</v>
      </c>
      <c r="AB108" s="25" t="str">
        <f t="shared" si="11"/>
        <v>Dosa</v>
      </c>
      <c r="AC108" s="2" t="str">
        <f t="shared" si="10"/>
        <v xml:space="preserve"> CLEITON </v>
      </c>
      <c r="AD108" s="26">
        <f t="shared" si="12"/>
        <v>5</v>
      </c>
      <c r="AE108" s="26">
        <f t="shared" ca="1" si="9"/>
        <v>527.12734803240892</v>
      </c>
      <c r="AF108" s="35"/>
    </row>
    <row r="109" spans="1:32" hidden="1">
      <c r="A109" s="209">
        <v>7726606</v>
      </c>
      <c r="B109" s="209" t="s">
        <v>81</v>
      </c>
      <c r="C109" s="210" t="s">
        <v>240</v>
      </c>
      <c r="D109" s="214"/>
      <c r="E109" s="214">
        <v>1120000206001</v>
      </c>
      <c r="F109" s="209" t="s">
        <v>29</v>
      </c>
      <c r="G109" s="209" t="s">
        <v>53</v>
      </c>
      <c r="H109" s="209" t="s">
        <v>181</v>
      </c>
      <c r="I109" s="209" t="s">
        <v>182</v>
      </c>
      <c r="J109" s="209" t="s">
        <v>164</v>
      </c>
      <c r="K109" s="210" t="s">
        <v>34</v>
      </c>
      <c r="L109" s="210"/>
      <c r="M109" s="209" t="s">
        <v>35</v>
      </c>
      <c r="N109" s="209">
        <v>42318949</v>
      </c>
      <c r="O109" s="209" t="s">
        <v>36</v>
      </c>
      <c r="P109" s="213">
        <v>44459.54892361111</v>
      </c>
      <c r="Q109" s="209"/>
      <c r="R109" s="209" t="s">
        <v>38</v>
      </c>
      <c r="S109" s="209"/>
      <c r="T109" s="209" t="s">
        <v>74</v>
      </c>
      <c r="U109" s="213">
        <v>44460.54892361111</v>
      </c>
      <c r="V109" s="209" t="s">
        <v>41</v>
      </c>
      <c r="W109" s="209" t="s">
        <v>49</v>
      </c>
      <c r="X109" s="13" t="str">
        <f>IF(RIGHT(H109,2)&lt;&gt;"00",H109,"")</f>
        <v/>
      </c>
      <c r="Y109" s="26">
        <f ca="1">NETWORKDAYS(P109,$Y$1)</f>
        <v>378</v>
      </c>
      <c r="Z109" s="34">
        <v>1</v>
      </c>
      <c r="AA109" s="25" t="str">
        <f t="shared" ca="1" si="8"/>
        <v>A VENCER</v>
      </c>
      <c r="AB109" s="25" t="str">
        <f t="shared" si="11"/>
        <v>Dosa</v>
      </c>
      <c r="AC109" s="2" t="str">
        <f t="shared" si="10"/>
        <v xml:space="preserve"> ROSEMERE </v>
      </c>
      <c r="AD109" s="26">
        <f t="shared" si="12"/>
        <v>5</v>
      </c>
      <c r="AE109" s="26">
        <f t="shared" ca="1" si="9"/>
        <v>527.12734803240892</v>
      </c>
      <c r="AF109" s="35"/>
    </row>
    <row r="110" spans="1:32" hidden="1">
      <c r="A110" s="209">
        <v>7726605</v>
      </c>
      <c r="B110" s="209" t="s">
        <v>81</v>
      </c>
      <c r="C110" s="210" t="s">
        <v>240</v>
      </c>
      <c r="D110" s="214"/>
      <c r="E110" s="214">
        <v>3108000206001</v>
      </c>
      <c r="F110" s="209" t="s">
        <v>29</v>
      </c>
      <c r="G110" s="209" t="s">
        <v>53</v>
      </c>
      <c r="H110" s="209" t="s">
        <v>325</v>
      </c>
      <c r="I110" s="209" t="s">
        <v>326</v>
      </c>
      <c r="J110" s="209" t="s">
        <v>46</v>
      </c>
      <c r="K110" s="210" t="s">
        <v>34</v>
      </c>
      <c r="L110" s="210"/>
      <c r="M110" s="209" t="s">
        <v>35</v>
      </c>
      <c r="N110" s="209">
        <v>42318949</v>
      </c>
      <c r="O110" s="209" t="s">
        <v>36</v>
      </c>
      <c r="P110" s="213">
        <v>44459.54892361111</v>
      </c>
      <c r="Q110" s="209"/>
      <c r="R110" s="209" t="s">
        <v>38</v>
      </c>
      <c r="S110" s="209"/>
      <c r="T110" s="209" t="s">
        <v>74</v>
      </c>
      <c r="U110" s="213">
        <v>44460.54892361111</v>
      </c>
      <c r="V110" s="209" t="s">
        <v>41</v>
      </c>
      <c r="W110" s="209" t="s">
        <v>49</v>
      </c>
      <c r="X110" s="13" t="str">
        <f>IF(RIGHT(H110,2)&lt;&gt;"00",H110,"")</f>
        <v/>
      </c>
      <c r="Y110" s="26">
        <f ca="1">NETWORKDAYS(P110,$Y$1)</f>
        <v>378</v>
      </c>
      <c r="Z110" s="34">
        <v>1</v>
      </c>
      <c r="AA110" s="25" t="str">
        <f t="shared" ca="1" si="8"/>
        <v>A VENCER</v>
      </c>
      <c r="AB110" s="25" t="str">
        <f t="shared" si="11"/>
        <v>Dosa</v>
      </c>
      <c r="AC110" s="2" t="str">
        <f t="shared" si="10"/>
        <v xml:space="preserve"> CLEITON </v>
      </c>
      <c r="AD110" s="26">
        <f t="shared" si="12"/>
        <v>5</v>
      </c>
      <c r="AE110" s="26">
        <f t="shared" ca="1" si="9"/>
        <v>527.12734803240892</v>
      </c>
      <c r="AF110" s="35"/>
    </row>
    <row r="111" spans="1:32" hidden="1">
      <c r="A111" s="209">
        <v>7726604</v>
      </c>
      <c r="B111" s="209" t="s">
        <v>81</v>
      </c>
      <c r="C111" s="210" t="s">
        <v>240</v>
      </c>
      <c r="D111" s="214"/>
      <c r="E111" s="214">
        <v>1710000206001</v>
      </c>
      <c r="F111" s="209" t="s">
        <v>29</v>
      </c>
      <c r="G111" s="209" t="s">
        <v>53</v>
      </c>
      <c r="H111" s="209" t="s">
        <v>327</v>
      </c>
      <c r="I111" s="209" t="s">
        <v>328</v>
      </c>
      <c r="J111" s="209" t="s">
        <v>261</v>
      </c>
      <c r="K111" s="210" t="s">
        <v>34</v>
      </c>
      <c r="L111" s="210"/>
      <c r="M111" s="209" t="s">
        <v>35</v>
      </c>
      <c r="N111" s="209">
        <v>42318949</v>
      </c>
      <c r="O111" s="209" t="s">
        <v>36</v>
      </c>
      <c r="P111" s="213">
        <v>44459.54892361111</v>
      </c>
      <c r="Q111" s="209"/>
      <c r="R111" s="209" t="s">
        <v>38</v>
      </c>
      <c r="S111" s="209"/>
      <c r="T111" s="209" t="s">
        <v>74</v>
      </c>
      <c r="U111" s="213">
        <v>44460.54892361111</v>
      </c>
      <c r="V111" s="209" t="s">
        <v>41</v>
      </c>
      <c r="W111" s="209" t="s">
        <v>49</v>
      </c>
      <c r="X111" s="13" t="str">
        <f>IF(RIGHT(H111,2)&lt;&gt;"00",H111,"")</f>
        <v/>
      </c>
      <c r="Y111" s="26">
        <f ca="1">NETWORKDAYS(P111,$Y$1)</f>
        <v>378</v>
      </c>
      <c r="Z111" s="34">
        <v>1</v>
      </c>
      <c r="AA111" s="25" t="str">
        <f t="shared" ca="1" si="8"/>
        <v>A VENCER</v>
      </c>
      <c r="AB111" s="25" t="str">
        <f t="shared" si="11"/>
        <v>Dosa</v>
      </c>
      <c r="AC111" s="2" t="str">
        <f t="shared" si="10"/>
        <v xml:space="preserve"> CRISTINA </v>
      </c>
      <c r="AD111" s="26">
        <f t="shared" si="12"/>
        <v>5</v>
      </c>
      <c r="AE111" s="26">
        <f t="shared" ca="1" si="9"/>
        <v>527.12734803240892</v>
      </c>
      <c r="AF111" s="35"/>
    </row>
    <row r="112" spans="1:32" hidden="1">
      <c r="A112" s="209">
        <v>7726603</v>
      </c>
      <c r="B112" s="209" t="s">
        <v>81</v>
      </c>
      <c r="C112" s="210" t="s">
        <v>240</v>
      </c>
      <c r="D112" s="214"/>
      <c r="E112" s="214">
        <v>1052000206001</v>
      </c>
      <c r="F112" s="209" t="s">
        <v>29</v>
      </c>
      <c r="G112" s="209" t="s">
        <v>53</v>
      </c>
      <c r="H112" s="209" t="s">
        <v>329</v>
      </c>
      <c r="I112" s="209" t="s">
        <v>330</v>
      </c>
      <c r="J112" s="209" t="s">
        <v>79</v>
      </c>
      <c r="K112" s="210" t="s">
        <v>34</v>
      </c>
      <c r="L112" s="210"/>
      <c r="M112" s="209" t="s">
        <v>35</v>
      </c>
      <c r="N112" s="209">
        <v>42318949</v>
      </c>
      <c r="O112" s="209" t="s">
        <v>36</v>
      </c>
      <c r="P112" s="213">
        <v>44459.54891203704</v>
      </c>
      <c r="Q112" s="209"/>
      <c r="R112" s="209" t="s">
        <v>38</v>
      </c>
      <c r="S112" s="209"/>
      <c r="T112" s="209" t="s">
        <v>74</v>
      </c>
      <c r="U112" s="213">
        <v>44460.54891203704</v>
      </c>
      <c r="V112" s="209" t="s">
        <v>41</v>
      </c>
      <c r="W112" s="209" t="s">
        <v>49</v>
      </c>
      <c r="X112" s="13" t="str">
        <f>IF(RIGHT(H112,2)&lt;&gt;"00",H112,"")</f>
        <v/>
      </c>
      <c r="Y112" s="26">
        <f ca="1">NETWORKDAYS(P112,$Y$1)</f>
        <v>378</v>
      </c>
      <c r="Z112" s="34">
        <v>1</v>
      </c>
      <c r="AA112" s="25" t="str">
        <f t="shared" ca="1" si="8"/>
        <v>A VENCER</v>
      </c>
      <c r="AB112" s="25" t="str">
        <f t="shared" si="11"/>
        <v>Dosa</v>
      </c>
      <c r="AC112" s="2" t="str">
        <f t="shared" si="10"/>
        <v xml:space="preserve"> ROSEMERE </v>
      </c>
      <c r="AD112" s="26">
        <f t="shared" si="12"/>
        <v>5</v>
      </c>
      <c r="AE112" s="26">
        <f t="shared" ca="1" si="9"/>
        <v>527.12735960647842</v>
      </c>
      <c r="AF112" s="35"/>
    </row>
    <row r="113" spans="1:32" hidden="1">
      <c r="A113" s="209">
        <v>7726602</v>
      </c>
      <c r="B113" s="209" t="s">
        <v>81</v>
      </c>
      <c r="C113" s="210" t="s">
        <v>240</v>
      </c>
      <c r="D113" s="214"/>
      <c r="E113" s="214">
        <v>899000206001</v>
      </c>
      <c r="F113" s="209" t="s">
        <v>29</v>
      </c>
      <c r="G113" s="209" t="s">
        <v>53</v>
      </c>
      <c r="H113" s="209" t="s">
        <v>175</v>
      </c>
      <c r="I113" s="209" t="s">
        <v>176</v>
      </c>
      <c r="J113" s="209" t="s">
        <v>90</v>
      </c>
      <c r="K113" s="210" t="s">
        <v>34</v>
      </c>
      <c r="L113" s="210"/>
      <c r="M113" s="209" t="s">
        <v>35</v>
      </c>
      <c r="N113" s="209">
        <v>42318949</v>
      </c>
      <c r="O113" s="209" t="s">
        <v>36</v>
      </c>
      <c r="P113" s="213">
        <v>44459.54891203704</v>
      </c>
      <c r="Q113" s="209"/>
      <c r="R113" s="209" t="s">
        <v>38</v>
      </c>
      <c r="S113" s="209"/>
      <c r="T113" s="209" t="s">
        <v>74</v>
      </c>
      <c r="U113" s="213">
        <v>44460.54891203704</v>
      </c>
      <c r="V113" s="209" t="s">
        <v>41</v>
      </c>
      <c r="W113" s="209" t="s">
        <v>49</v>
      </c>
      <c r="X113" s="13" t="str">
        <f>IF(RIGHT(H113,2)&lt;&gt;"00",H113,"")</f>
        <v/>
      </c>
      <c r="Y113" s="26">
        <f ca="1">NETWORKDAYS(P113,$Y$1)</f>
        <v>378</v>
      </c>
      <c r="Z113" s="34">
        <v>1</v>
      </c>
      <c r="AA113" s="25" t="str">
        <f t="shared" ca="1" si="8"/>
        <v>A VENCER</v>
      </c>
      <c r="AB113" s="25" t="str">
        <f t="shared" si="11"/>
        <v>Dosa</v>
      </c>
      <c r="AC113" s="2" t="str">
        <f t="shared" si="10"/>
        <v xml:space="preserve"> RINALDO </v>
      </c>
      <c r="AD113" s="26">
        <f t="shared" si="12"/>
        <v>5</v>
      </c>
      <c r="AE113" s="26">
        <f t="shared" ca="1" si="9"/>
        <v>527.12735960647842</v>
      </c>
      <c r="AF113" s="35"/>
    </row>
    <row r="114" spans="1:32" hidden="1">
      <c r="A114" s="209">
        <v>7726601</v>
      </c>
      <c r="B114" s="209" t="s">
        <v>81</v>
      </c>
      <c r="C114" s="210" t="s">
        <v>240</v>
      </c>
      <c r="D114" s="214"/>
      <c r="E114" s="214">
        <v>159000206001</v>
      </c>
      <c r="F114" s="209" t="s">
        <v>29</v>
      </c>
      <c r="G114" s="209" t="s">
        <v>53</v>
      </c>
      <c r="H114" s="209" t="s">
        <v>331</v>
      </c>
      <c r="I114" s="209" t="s">
        <v>332</v>
      </c>
      <c r="J114" s="209" t="s">
        <v>79</v>
      </c>
      <c r="K114" s="210" t="s">
        <v>34</v>
      </c>
      <c r="L114" s="210"/>
      <c r="M114" s="209" t="s">
        <v>35</v>
      </c>
      <c r="N114" s="209">
        <v>42318949</v>
      </c>
      <c r="O114" s="209" t="s">
        <v>36</v>
      </c>
      <c r="P114" s="213">
        <v>44459.54891203704</v>
      </c>
      <c r="Q114" s="209"/>
      <c r="R114" s="209" t="s">
        <v>38</v>
      </c>
      <c r="S114" s="209"/>
      <c r="T114" s="209" t="s">
        <v>74</v>
      </c>
      <c r="U114" s="213">
        <v>44460.54891203704</v>
      </c>
      <c r="V114" s="209" t="s">
        <v>41</v>
      </c>
      <c r="W114" s="209" t="s">
        <v>49</v>
      </c>
      <c r="X114" s="13" t="str">
        <f>IF(RIGHT(H114,2)&lt;&gt;"00",H114,"")</f>
        <v/>
      </c>
      <c r="Y114" s="26">
        <f ca="1">NETWORKDAYS(P114,$Y$1)</f>
        <v>378</v>
      </c>
      <c r="Z114" s="34">
        <v>1</v>
      </c>
      <c r="AA114" s="25" t="str">
        <f t="shared" ca="1" si="8"/>
        <v>A VENCER</v>
      </c>
      <c r="AB114" s="25" t="str">
        <f t="shared" si="11"/>
        <v>Dosa</v>
      </c>
      <c r="AC114" s="2" t="str">
        <f t="shared" si="10"/>
        <v xml:space="preserve"> ROSEMERE </v>
      </c>
      <c r="AD114" s="26">
        <f t="shared" si="12"/>
        <v>5</v>
      </c>
      <c r="AE114" s="26">
        <f t="shared" ca="1" si="9"/>
        <v>527.12735960647842</v>
      </c>
      <c r="AF114" s="35"/>
    </row>
    <row r="115" spans="1:32" hidden="1">
      <c r="A115" s="209">
        <v>7726600</v>
      </c>
      <c r="B115" s="209" t="s">
        <v>81</v>
      </c>
      <c r="C115" s="210" t="s">
        <v>240</v>
      </c>
      <c r="D115" s="214"/>
      <c r="E115" s="214">
        <v>2239000206001</v>
      </c>
      <c r="F115" s="209" t="s">
        <v>29</v>
      </c>
      <c r="G115" s="209" t="s">
        <v>53</v>
      </c>
      <c r="H115" s="209" t="s">
        <v>333</v>
      </c>
      <c r="I115" s="209" t="s">
        <v>334</v>
      </c>
      <c r="J115" s="209" t="s">
        <v>261</v>
      </c>
      <c r="K115" s="210" t="s">
        <v>34</v>
      </c>
      <c r="L115" s="210"/>
      <c r="M115" s="209" t="s">
        <v>35</v>
      </c>
      <c r="N115" s="209">
        <v>42318949</v>
      </c>
      <c r="O115" s="209" t="s">
        <v>36</v>
      </c>
      <c r="P115" s="213">
        <v>44459.54891203704</v>
      </c>
      <c r="Q115" s="209"/>
      <c r="R115" s="209" t="s">
        <v>38</v>
      </c>
      <c r="S115" s="209"/>
      <c r="T115" s="209" t="s">
        <v>74</v>
      </c>
      <c r="U115" s="213">
        <v>44460.54891203704</v>
      </c>
      <c r="V115" s="209" t="s">
        <v>41</v>
      </c>
      <c r="W115" s="209" t="s">
        <v>49</v>
      </c>
      <c r="X115" s="13" t="str">
        <f>IF(RIGHT(H115,2)&lt;&gt;"00",H115,"")</f>
        <v/>
      </c>
      <c r="Y115" s="26">
        <f ca="1">NETWORKDAYS(P115,$Y$1)</f>
        <v>378</v>
      </c>
      <c r="Z115" s="34">
        <v>1</v>
      </c>
      <c r="AA115" s="25" t="str">
        <f t="shared" ca="1" si="8"/>
        <v>A VENCER</v>
      </c>
      <c r="AB115" s="25" t="str">
        <f t="shared" si="11"/>
        <v>Dosa</v>
      </c>
      <c r="AC115" s="2" t="str">
        <f t="shared" si="10"/>
        <v xml:space="preserve"> CRISTINA </v>
      </c>
      <c r="AD115" s="26">
        <f t="shared" si="12"/>
        <v>5</v>
      </c>
      <c r="AE115" s="26">
        <f t="shared" ca="1" si="9"/>
        <v>527.12735960647842</v>
      </c>
      <c r="AF115" s="35"/>
    </row>
    <row r="116" spans="1:32" hidden="1">
      <c r="A116" s="209">
        <v>7726599</v>
      </c>
      <c r="B116" s="209" t="s">
        <v>81</v>
      </c>
      <c r="C116" s="210" t="s">
        <v>240</v>
      </c>
      <c r="D116" s="214"/>
      <c r="E116" s="214">
        <v>550000206001</v>
      </c>
      <c r="F116" s="209" t="s">
        <v>29</v>
      </c>
      <c r="G116" s="209" t="s">
        <v>53</v>
      </c>
      <c r="H116" s="209" t="s">
        <v>337</v>
      </c>
      <c r="I116" s="209" t="s">
        <v>338</v>
      </c>
      <c r="J116" s="209" t="s">
        <v>164</v>
      </c>
      <c r="K116" s="210" t="s">
        <v>34</v>
      </c>
      <c r="L116" s="210"/>
      <c r="M116" s="209" t="s">
        <v>35</v>
      </c>
      <c r="N116" s="209">
        <v>42318949</v>
      </c>
      <c r="O116" s="209" t="s">
        <v>36</v>
      </c>
      <c r="P116" s="213">
        <v>44459.54891203704</v>
      </c>
      <c r="Q116" s="209"/>
      <c r="R116" s="209" t="s">
        <v>38</v>
      </c>
      <c r="S116" s="209"/>
      <c r="T116" s="209" t="s">
        <v>74</v>
      </c>
      <c r="U116" s="213">
        <v>44460.54891203704</v>
      </c>
      <c r="V116" s="209" t="s">
        <v>41</v>
      </c>
      <c r="W116" s="209" t="s">
        <v>49</v>
      </c>
      <c r="X116" s="13" t="str">
        <f>IF(RIGHT(H116,2)&lt;&gt;"00",H116,"")</f>
        <v/>
      </c>
      <c r="Y116" s="26">
        <f ca="1">NETWORKDAYS(P116,$Y$1)</f>
        <v>378</v>
      </c>
      <c r="Z116" s="34">
        <v>1</v>
      </c>
      <c r="AA116" s="25" t="str">
        <f t="shared" ca="1" si="8"/>
        <v>A VENCER</v>
      </c>
      <c r="AB116" s="25" t="str">
        <f t="shared" si="11"/>
        <v>Dosa</v>
      </c>
      <c r="AC116" s="2" t="str">
        <f t="shared" si="10"/>
        <v xml:space="preserve"> ROSEMERE </v>
      </c>
      <c r="AD116" s="26">
        <f t="shared" si="12"/>
        <v>5</v>
      </c>
      <c r="AE116" s="26">
        <f t="shared" ca="1" si="9"/>
        <v>527.12735960647842</v>
      </c>
      <c r="AF116" s="35"/>
    </row>
    <row r="117" spans="1:32" hidden="1">
      <c r="A117" s="209">
        <v>7726598</v>
      </c>
      <c r="B117" s="209" t="s">
        <v>81</v>
      </c>
      <c r="C117" s="210" t="s">
        <v>240</v>
      </c>
      <c r="D117" s="214"/>
      <c r="E117" s="214">
        <v>2811000206001</v>
      </c>
      <c r="F117" s="209" t="s">
        <v>29</v>
      </c>
      <c r="G117" s="209" t="s">
        <v>53</v>
      </c>
      <c r="H117" s="209" t="s">
        <v>44</v>
      </c>
      <c r="I117" s="209" t="s">
        <v>45</v>
      </c>
      <c r="J117" s="209" t="s">
        <v>46</v>
      </c>
      <c r="K117" s="210" t="s">
        <v>34</v>
      </c>
      <c r="L117" s="210"/>
      <c r="M117" s="209" t="s">
        <v>35</v>
      </c>
      <c r="N117" s="209">
        <v>42318949</v>
      </c>
      <c r="O117" s="209" t="s">
        <v>36</v>
      </c>
      <c r="P117" s="213">
        <v>44459.548900462964</v>
      </c>
      <c r="Q117" s="209"/>
      <c r="R117" s="209" t="s">
        <v>38</v>
      </c>
      <c r="S117" s="209"/>
      <c r="T117" s="209" t="s">
        <v>74</v>
      </c>
      <c r="U117" s="213">
        <v>44460.548900462964</v>
      </c>
      <c r="V117" s="209" t="s">
        <v>41</v>
      </c>
      <c r="W117" s="209" t="s">
        <v>49</v>
      </c>
      <c r="X117" s="13" t="str">
        <f>IF(RIGHT(H117,2)&lt;&gt;"00",H117,"")</f>
        <v/>
      </c>
      <c r="Y117" s="26">
        <f ca="1">NETWORKDAYS(P117,$Y$1)</f>
        <v>378</v>
      </c>
      <c r="Z117" s="34">
        <v>1</v>
      </c>
      <c r="AA117" s="25" t="str">
        <f t="shared" ca="1" si="8"/>
        <v>A VENCER</v>
      </c>
      <c r="AB117" s="25" t="str">
        <f t="shared" si="11"/>
        <v>Dosa</v>
      </c>
      <c r="AC117" s="2" t="str">
        <f t="shared" si="10"/>
        <v xml:space="preserve"> CLEITON </v>
      </c>
      <c r="AD117" s="26">
        <f t="shared" si="12"/>
        <v>5</v>
      </c>
      <c r="AE117" s="26">
        <f t="shared" ca="1" si="9"/>
        <v>527.1273711805552</v>
      </c>
      <c r="AF117" s="35"/>
    </row>
    <row r="118" spans="1:32" hidden="1">
      <c r="A118" s="209">
        <v>7726597</v>
      </c>
      <c r="B118" s="209" t="s">
        <v>81</v>
      </c>
      <c r="C118" s="210" t="s">
        <v>240</v>
      </c>
      <c r="D118" s="214"/>
      <c r="E118" s="214">
        <v>2229000206001</v>
      </c>
      <c r="F118" s="209" t="s">
        <v>29</v>
      </c>
      <c r="G118" s="209" t="s">
        <v>53</v>
      </c>
      <c r="H118" s="209" t="s">
        <v>339</v>
      </c>
      <c r="I118" s="209" t="s">
        <v>340</v>
      </c>
      <c r="J118" s="209" t="s">
        <v>211</v>
      </c>
      <c r="K118" s="210" t="s">
        <v>34</v>
      </c>
      <c r="L118" s="210"/>
      <c r="M118" s="209" t="s">
        <v>35</v>
      </c>
      <c r="N118" s="209">
        <v>42318949</v>
      </c>
      <c r="O118" s="209" t="s">
        <v>36</v>
      </c>
      <c r="P118" s="213">
        <v>44459.548900462964</v>
      </c>
      <c r="Q118" s="209"/>
      <c r="R118" s="209" t="s">
        <v>38</v>
      </c>
      <c r="S118" s="209"/>
      <c r="T118" s="209" t="s">
        <v>74</v>
      </c>
      <c r="U118" s="213">
        <v>44460.548900462964</v>
      </c>
      <c r="V118" s="209" t="s">
        <v>41</v>
      </c>
      <c r="W118" s="209" t="s">
        <v>49</v>
      </c>
      <c r="X118" s="13" t="str">
        <f>IF(RIGHT(H118,2)&lt;&gt;"00",H118,"")</f>
        <v/>
      </c>
      <c r="Y118" s="26">
        <f ca="1">NETWORKDAYS(P118,$Y$1)</f>
        <v>378</v>
      </c>
      <c r="Z118" s="34">
        <v>1</v>
      </c>
      <c r="AA118" s="25" t="str">
        <f t="shared" ca="1" si="8"/>
        <v>A VENCER</v>
      </c>
      <c r="AB118" s="25" t="str">
        <f t="shared" si="11"/>
        <v>Dosa</v>
      </c>
      <c r="AC118" s="2" t="str">
        <f t="shared" si="10"/>
        <v xml:space="preserve"> RINALDO </v>
      </c>
      <c r="AD118" s="26">
        <f t="shared" si="12"/>
        <v>5</v>
      </c>
      <c r="AE118" s="26">
        <f t="shared" ca="1" si="9"/>
        <v>527.1273711805552</v>
      </c>
      <c r="AF118" s="35"/>
    </row>
    <row r="119" spans="1:32" hidden="1">
      <c r="A119" s="209">
        <v>7726596</v>
      </c>
      <c r="B119" s="209" t="s">
        <v>81</v>
      </c>
      <c r="C119" s="210" t="s">
        <v>240</v>
      </c>
      <c r="D119" s="214"/>
      <c r="E119" s="214">
        <v>3699000206001</v>
      </c>
      <c r="F119" s="209" t="s">
        <v>29</v>
      </c>
      <c r="G119" s="209" t="s">
        <v>53</v>
      </c>
      <c r="H119" s="209" t="s">
        <v>343</v>
      </c>
      <c r="I119" s="209" t="s">
        <v>344</v>
      </c>
      <c r="J119" s="209" t="s">
        <v>46</v>
      </c>
      <c r="K119" s="210" t="s">
        <v>34</v>
      </c>
      <c r="L119" s="210"/>
      <c r="M119" s="209" t="s">
        <v>35</v>
      </c>
      <c r="N119" s="209">
        <v>42318949</v>
      </c>
      <c r="O119" s="209" t="s">
        <v>36</v>
      </c>
      <c r="P119" s="213">
        <v>44459.548900462964</v>
      </c>
      <c r="Q119" s="209"/>
      <c r="R119" s="209" t="s">
        <v>38</v>
      </c>
      <c r="S119" s="209"/>
      <c r="T119" s="209" t="s">
        <v>74</v>
      </c>
      <c r="U119" s="213">
        <v>44460.548900462964</v>
      </c>
      <c r="V119" s="209" t="s">
        <v>41</v>
      </c>
      <c r="W119" s="209" t="s">
        <v>49</v>
      </c>
      <c r="X119" s="13" t="str">
        <f>IF(RIGHT(H119,2)&lt;&gt;"00",H119,"")</f>
        <v/>
      </c>
      <c r="Y119" s="26">
        <f ca="1">NETWORKDAYS(P119,$Y$1)</f>
        <v>378</v>
      </c>
      <c r="Z119" s="34">
        <v>1</v>
      </c>
      <c r="AA119" s="25" t="str">
        <f t="shared" ca="1" si="8"/>
        <v>A VENCER</v>
      </c>
      <c r="AB119" s="25" t="str">
        <f t="shared" si="11"/>
        <v>Dosa</v>
      </c>
      <c r="AC119" s="2" t="str">
        <f t="shared" si="10"/>
        <v xml:space="preserve"> CLEITON </v>
      </c>
      <c r="AD119" s="26">
        <f t="shared" si="12"/>
        <v>5</v>
      </c>
      <c r="AE119" s="26">
        <f t="shared" ca="1" si="9"/>
        <v>527.1273711805552</v>
      </c>
      <c r="AF119" s="35"/>
    </row>
    <row r="120" spans="1:32" hidden="1">
      <c r="A120" s="209">
        <v>7726594</v>
      </c>
      <c r="B120" s="209" t="s">
        <v>81</v>
      </c>
      <c r="C120" s="210" t="s">
        <v>240</v>
      </c>
      <c r="D120" s="214"/>
      <c r="E120" s="214">
        <v>325000206001</v>
      </c>
      <c r="F120" s="209" t="s">
        <v>29</v>
      </c>
      <c r="G120" s="209" t="s">
        <v>53</v>
      </c>
      <c r="H120" s="209" t="s">
        <v>345</v>
      </c>
      <c r="I120" s="209" t="s">
        <v>346</v>
      </c>
      <c r="J120" s="209" t="s">
        <v>46</v>
      </c>
      <c r="K120" s="210" t="s">
        <v>34</v>
      </c>
      <c r="L120" s="210"/>
      <c r="M120" s="209" t="s">
        <v>35</v>
      </c>
      <c r="N120" s="209">
        <v>42318949</v>
      </c>
      <c r="O120" s="209" t="s">
        <v>36</v>
      </c>
      <c r="P120" s="213">
        <v>44459.548900462964</v>
      </c>
      <c r="Q120" s="209"/>
      <c r="R120" s="209" t="s">
        <v>38</v>
      </c>
      <c r="S120" s="209"/>
      <c r="T120" s="209" t="s">
        <v>74</v>
      </c>
      <c r="U120" s="213">
        <v>44460.548900462964</v>
      </c>
      <c r="V120" s="209" t="s">
        <v>41</v>
      </c>
      <c r="W120" s="209" t="s">
        <v>49</v>
      </c>
      <c r="X120" s="13" t="str">
        <f>IF(RIGHT(H120,2)&lt;&gt;"00",H120,"")</f>
        <v/>
      </c>
      <c r="Y120" s="26">
        <f ca="1">NETWORKDAYS(P120,$Y$1)</f>
        <v>378</v>
      </c>
      <c r="Z120" s="34">
        <v>1</v>
      </c>
      <c r="AA120" s="25" t="str">
        <f t="shared" ca="1" si="8"/>
        <v>A VENCER</v>
      </c>
      <c r="AB120" s="25" t="str">
        <f t="shared" si="11"/>
        <v>Dosa</v>
      </c>
      <c r="AC120" s="2" t="str">
        <f t="shared" si="10"/>
        <v xml:space="preserve"> CLEITON </v>
      </c>
      <c r="AD120" s="26">
        <f t="shared" si="12"/>
        <v>5</v>
      </c>
      <c r="AE120" s="26">
        <f t="shared" ca="1" si="9"/>
        <v>527.1273711805552</v>
      </c>
      <c r="AF120" s="35"/>
    </row>
    <row r="121" spans="1:32" hidden="1">
      <c r="A121" s="209">
        <v>7726593</v>
      </c>
      <c r="B121" s="209" t="s">
        <v>81</v>
      </c>
      <c r="C121" s="210" t="s">
        <v>240</v>
      </c>
      <c r="D121" s="214"/>
      <c r="E121" s="214">
        <v>2699000206001</v>
      </c>
      <c r="F121" s="209" t="s">
        <v>29</v>
      </c>
      <c r="G121" s="209" t="s">
        <v>53</v>
      </c>
      <c r="H121" s="209" t="s">
        <v>347</v>
      </c>
      <c r="I121" s="209" t="s">
        <v>348</v>
      </c>
      <c r="J121" s="209" t="s">
        <v>148</v>
      </c>
      <c r="K121" s="210" t="s">
        <v>34</v>
      </c>
      <c r="L121" s="210"/>
      <c r="M121" s="209" t="s">
        <v>35</v>
      </c>
      <c r="N121" s="209">
        <v>42318949</v>
      </c>
      <c r="O121" s="209" t="s">
        <v>36</v>
      </c>
      <c r="P121" s="213">
        <v>44459.548900462964</v>
      </c>
      <c r="Q121" s="209"/>
      <c r="R121" s="209" t="s">
        <v>38</v>
      </c>
      <c r="S121" s="209"/>
      <c r="T121" s="209" t="s">
        <v>74</v>
      </c>
      <c r="U121" s="213">
        <v>44460.548900462964</v>
      </c>
      <c r="V121" s="209" t="s">
        <v>41</v>
      </c>
      <c r="W121" s="209" t="s">
        <v>49</v>
      </c>
      <c r="X121" s="13" t="str">
        <f>IF(RIGHT(H121,2)&lt;&gt;"00",H121,"")</f>
        <v/>
      </c>
      <c r="Y121" s="26">
        <f ca="1">NETWORKDAYS(P121,$Y$1)</f>
        <v>378</v>
      </c>
      <c r="Z121" s="34">
        <v>1</v>
      </c>
      <c r="AA121" s="25" t="str">
        <f t="shared" ca="1" si="8"/>
        <v>A VENCER</v>
      </c>
      <c r="AB121" s="25" t="str">
        <f t="shared" si="11"/>
        <v>Dosa</v>
      </c>
      <c r="AC121" s="2" t="str">
        <f t="shared" si="10"/>
        <v xml:space="preserve"> RINALDO </v>
      </c>
      <c r="AD121" s="26">
        <f t="shared" si="12"/>
        <v>5</v>
      </c>
      <c r="AE121" s="26">
        <f t="shared" ca="1" si="9"/>
        <v>527.1273711805552</v>
      </c>
      <c r="AF121" s="35"/>
    </row>
    <row r="122" spans="1:32" hidden="1">
      <c r="A122" s="209">
        <v>7726592</v>
      </c>
      <c r="B122" s="209" t="s">
        <v>81</v>
      </c>
      <c r="C122" s="210" t="s">
        <v>240</v>
      </c>
      <c r="D122" s="214"/>
      <c r="E122" s="214">
        <v>4012000206001</v>
      </c>
      <c r="F122" s="209" t="s">
        <v>29</v>
      </c>
      <c r="G122" s="209" t="s">
        <v>53</v>
      </c>
      <c r="H122" s="209" t="s">
        <v>349</v>
      </c>
      <c r="I122" s="209" t="s">
        <v>350</v>
      </c>
      <c r="J122" s="209" t="s">
        <v>261</v>
      </c>
      <c r="K122" s="210" t="s">
        <v>34</v>
      </c>
      <c r="L122" s="210"/>
      <c r="M122" s="209" t="s">
        <v>35</v>
      </c>
      <c r="N122" s="209">
        <v>42318949</v>
      </c>
      <c r="O122" s="209" t="s">
        <v>36</v>
      </c>
      <c r="P122" s="213">
        <v>44459.548888888887</v>
      </c>
      <c r="Q122" s="209"/>
      <c r="R122" s="209" t="s">
        <v>38</v>
      </c>
      <c r="S122" s="209"/>
      <c r="T122" s="209" t="s">
        <v>74</v>
      </c>
      <c r="U122" s="213">
        <v>44460.548888888887</v>
      </c>
      <c r="V122" s="209" t="s">
        <v>41</v>
      </c>
      <c r="W122" s="209" t="s">
        <v>49</v>
      </c>
      <c r="X122" s="13" t="str">
        <f>IF(RIGHT(H122,2)&lt;&gt;"00",H122,"")</f>
        <v/>
      </c>
      <c r="Y122" s="26">
        <f ca="1">NETWORKDAYS(P122,$Y$1)</f>
        <v>378</v>
      </c>
      <c r="Z122" s="34">
        <v>1</v>
      </c>
      <c r="AA122" s="25" t="str">
        <f t="shared" ca="1" si="8"/>
        <v>A VENCER</v>
      </c>
      <c r="AB122" s="25" t="str">
        <f t="shared" si="11"/>
        <v>Dosa</v>
      </c>
      <c r="AC122" s="2" t="str">
        <f t="shared" si="10"/>
        <v xml:space="preserve"> CRISTINA </v>
      </c>
      <c r="AD122" s="26">
        <f t="shared" si="12"/>
        <v>5</v>
      </c>
      <c r="AE122" s="26">
        <f t="shared" ca="1" si="9"/>
        <v>527.12738275463198</v>
      </c>
      <c r="AF122" s="35"/>
    </row>
    <row r="123" spans="1:32" hidden="1">
      <c r="A123" s="209">
        <v>7726589</v>
      </c>
      <c r="B123" s="209" t="s">
        <v>81</v>
      </c>
      <c r="C123" s="210" t="s">
        <v>240</v>
      </c>
      <c r="D123" s="214"/>
      <c r="E123" s="214">
        <v>2365000206001</v>
      </c>
      <c r="F123" s="209" t="s">
        <v>29</v>
      </c>
      <c r="G123" s="209" t="s">
        <v>53</v>
      </c>
      <c r="H123" s="209" t="s">
        <v>159</v>
      </c>
      <c r="I123" s="209" t="s">
        <v>160</v>
      </c>
      <c r="J123" s="209" t="s">
        <v>46</v>
      </c>
      <c r="K123" s="210" t="s">
        <v>34</v>
      </c>
      <c r="L123" s="210"/>
      <c r="M123" s="209" t="s">
        <v>35</v>
      </c>
      <c r="N123" s="209">
        <v>42318949</v>
      </c>
      <c r="O123" s="209" t="s">
        <v>36</v>
      </c>
      <c r="P123" s="213">
        <v>44459.548888888887</v>
      </c>
      <c r="Q123" s="209"/>
      <c r="R123" s="209" t="s">
        <v>38</v>
      </c>
      <c r="S123" s="209"/>
      <c r="T123" s="209" t="s">
        <v>74</v>
      </c>
      <c r="U123" s="213">
        <v>44460.548888888887</v>
      </c>
      <c r="V123" s="209" t="s">
        <v>41</v>
      </c>
      <c r="W123" s="209" t="s">
        <v>49</v>
      </c>
      <c r="X123" s="13" t="str">
        <f>IF(RIGHT(H123,2)&lt;&gt;"00",H123,"")</f>
        <v/>
      </c>
      <c r="Y123" s="26">
        <f ca="1">NETWORKDAYS(P123,$Y$1)</f>
        <v>378</v>
      </c>
      <c r="Z123" s="34">
        <v>1</v>
      </c>
      <c r="AA123" s="25" t="str">
        <f t="shared" ca="1" si="8"/>
        <v>A VENCER</v>
      </c>
      <c r="AB123" s="25" t="str">
        <f t="shared" si="11"/>
        <v>Dosa</v>
      </c>
      <c r="AC123" s="2" t="str">
        <f t="shared" si="10"/>
        <v xml:space="preserve"> CLEITON </v>
      </c>
      <c r="AD123" s="26">
        <f t="shared" si="12"/>
        <v>5</v>
      </c>
      <c r="AE123" s="26">
        <f t="shared" ca="1" si="9"/>
        <v>527.12738275463198</v>
      </c>
      <c r="AF123" s="35"/>
    </row>
    <row r="124" spans="1:32" hidden="1">
      <c r="A124" s="209">
        <v>7726588</v>
      </c>
      <c r="B124" s="209" t="s">
        <v>81</v>
      </c>
      <c r="C124" s="210" t="s">
        <v>240</v>
      </c>
      <c r="D124" s="214"/>
      <c r="E124" s="214">
        <v>1264000206001</v>
      </c>
      <c r="F124" s="209" t="s">
        <v>29</v>
      </c>
      <c r="G124" s="209" t="s">
        <v>53</v>
      </c>
      <c r="H124" s="209" t="s">
        <v>351</v>
      </c>
      <c r="I124" s="209" t="s">
        <v>352</v>
      </c>
      <c r="J124" s="209" t="s">
        <v>110</v>
      </c>
      <c r="K124" s="210" t="s">
        <v>34</v>
      </c>
      <c r="L124" s="210"/>
      <c r="M124" s="209" t="s">
        <v>35</v>
      </c>
      <c r="N124" s="209">
        <v>42318949</v>
      </c>
      <c r="O124" s="209" t="s">
        <v>36</v>
      </c>
      <c r="P124" s="213">
        <v>44459.548888888887</v>
      </c>
      <c r="Q124" s="209"/>
      <c r="R124" s="209" t="s">
        <v>38</v>
      </c>
      <c r="S124" s="209"/>
      <c r="T124" s="209" t="s">
        <v>74</v>
      </c>
      <c r="U124" s="213">
        <v>44460.548888888887</v>
      </c>
      <c r="V124" s="209" t="s">
        <v>41</v>
      </c>
      <c r="W124" s="209" t="s">
        <v>49</v>
      </c>
      <c r="X124" s="13" t="str">
        <f>IF(RIGHT(H124,2)&lt;&gt;"00",H124,"")</f>
        <v/>
      </c>
      <c r="Y124" s="26">
        <f ca="1">NETWORKDAYS(P124,$Y$1)</f>
        <v>378</v>
      </c>
      <c r="Z124" s="34">
        <v>1</v>
      </c>
      <c r="AA124" s="25" t="str">
        <f t="shared" ca="1" si="8"/>
        <v>A VENCER</v>
      </c>
      <c r="AB124" s="25" t="str">
        <f t="shared" si="11"/>
        <v>Dosa</v>
      </c>
      <c r="AC124" s="2" t="str">
        <f t="shared" si="10"/>
        <v xml:space="preserve"> CRISTINA </v>
      </c>
      <c r="AD124" s="26">
        <f t="shared" si="12"/>
        <v>5</v>
      </c>
      <c r="AE124" s="26">
        <f t="shared" ca="1" si="9"/>
        <v>527.12738275463198</v>
      </c>
      <c r="AF124" s="35"/>
    </row>
    <row r="125" spans="1:32" hidden="1">
      <c r="A125" s="209">
        <v>7726587</v>
      </c>
      <c r="B125" s="209" t="s">
        <v>81</v>
      </c>
      <c r="C125" s="210" t="s">
        <v>240</v>
      </c>
      <c r="D125" s="214"/>
      <c r="E125" s="214">
        <v>1069000206001</v>
      </c>
      <c r="F125" s="209" t="s">
        <v>29</v>
      </c>
      <c r="G125" s="209" t="s">
        <v>53</v>
      </c>
      <c r="H125" s="209" t="s">
        <v>353</v>
      </c>
      <c r="I125" s="209" t="s">
        <v>354</v>
      </c>
      <c r="J125" s="209" t="s">
        <v>211</v>
      </c>
      <c r="K125" s="210" t="s">
        <v>34</v>
      </c>
      <c r="L125" s="210"/>
      <c r="M125" s="209" t="s">
        <v>35</v>
      </c>
      <c r="N125" s="209">
        <v>42318949</v>
      </c>
      <c r="O125" s="209" t="s">
        <v>36</v>
      </c>
      <c r="P125" s="213">
        <v>44459.548888888887</v>
      </c>
      <c r="Q125" s="209"/>
      <c r="R125" s="209" t="s">
        <v>38</v>
      </c>
      <c r="S125" s="209"/>
      <c r="T125" s="209" t="s">
        <v>74</v>
      </c>
      <c r="U125" s="213">
        <v>44460.548888888887</v>
      </c>
      <c r="V125" s="209" t="s">
        <v>41</v>
      </c>
      <c r="W125" s="209" t="s">
        <v>49</v>
      </c>
      <c r="X125" s="13" t="str">
        <f>IF(RIGHT(H125,2)&lt;&gt;"00",H125,"")</f>
        <v/>
      </c>
      <c r="Y125" s="26">
        <f ca="1">NETWORKDAYS(P125,$Y$1)</f>
        <v>378</v>
      </c>
      <c r="Z125" s="34">
        <v>1</v>
      </c>
      <c r="AA125" s="25" t="str">
        <f t="shared" ca="1" si="8"/>
        <v>A VENCER</v>
      </c>
      <c r="AB125" s="25" t="str">
        <f t="shared" si="11"/>
        <v>Dosa</v>
      </c>
      <c r="AC125" s="2" t="str">
        <f t="shared" si="10"/>
        <v xml:space="preserve"> RINALDO </v>
      </c>
      <c r="AD125" s="26">
        <f t="shared" si="12"/>
        <v>5</v>
      </c>
      <c r="AE125" s="26">
        <f t="shared" ca="1" si="9"/>
        <v>527.12738275463198</v>
      </c>
      <c r="AF125" s="35"/>
    </row>
    <row r="126" spans="1:32" hidden="1">
      <c r="A126" s="209">
        <v>7726586</v>
      </c>
      <c r="B126" s="209" t="s">
        <v>81</v>
      </c>
      <c r="C126" s="210" t="s">
        <v>240</v>
      </c>
      <c r="D126" s="214"/>
      <c r="E126" s="214">
        <v>2529000206001</v>
      </c>
      <c r="F126" s="209" t="s">
        <v>29</v>
      </c>
      <c r="G126" s="209" t="s">
        <v>53</v>
      </c>
      <c r="H126" s="209" t="s">
        <v>355</v>
      </c>
      <c r="I126" s="209" t="s">
        <v>356</v>
      </c>
      <c r="J126" s="209" t="s">
        <v>56</v>
      </c>
      <c r="K126" s="210" t="s">
        <v>34</v>
      </c>
      <c r="L126" s="210"/>
      <c r="M126" s="209" t="s">
        <v>35</v>
      </c>
      <c r="N126" s="209">
        <v>42318949</v>
      </c>
      <c r="O126" s="209" t="s">
        <v>36</v>
      </c>
      <c r="P126" s="213">
        <v>44459.548888888887</v>
      </c>
      <c r="Q126" s="209"/>
      <c r="R126" s="209" t="s">
        <v>38</v>
      </c>
      <c r="S126" s="209"/>
      <c r="T126" s="209" t="s">
        <v>74</v>
      </c>
      <c r="U126" s="213">
        <v>44460.548888888887</v>
      </c>
      <c r="V126" s="209" t="s">
        <v>41</v>
      </c>
      <c r="W126" s="209" t="s">
        <v>49</v>
      </c>
      <c r="X126" s="13" t="str">
        <f>IF(RIGHT(H126,2)&lt;&gt;"00",H126,"")</f>
        <v/>
      </c>
      <c r="Y126" s="26">
        <f ca="1">NETWORKDAYS(P126,$Y$1)</f>
        <v>378</v>
      </c>
      <c r="Z126" s="34">
        <v>1</v>
      </c>
      <c r="AA126" s="25" t="str">
        <f t="shared" ca="1" si="8"/>
        <v>A VENCER</v>
      </c>
      <c r="AB126" s="25" t="str">
        <f t="shared" si="11"/>
        <v>Dosa</v>
      </c>
      <c r="AC126" s="2" t="str">
        <f t="shared" si="10"/>
        <v xml:space="preserve"> CRISTINA </v>
      </c>
      <c r="AD126" s="26">
        <f t="shared" si="12"/>
        <v>5</v>
      </c>
      <c r="AE126" s="26">
        <f t="shared" ca="1" si="9"/>
        <v>527.12738275463198</v>
      </c>
      <c r="AF126" s="35"/>
    </row>
    <row r="127" spans="1:32" hidden="1">
      <c r="A127" s="209">
        <v>7726584</v>
      </c>
      <c r="B127" s="209" t="s">
        <v>81</v>
      </c>
      <c r="C127" s="210" t="s">
        <v>240</v>
      </c>
      <c r="D127" s="214"/>
      <c r="E127" s="214">
        <v>1838000206001</v>
      </c>
      <c r="F127" s="209" t="s">
        <v>29</v>
      </c>
      <c r="G127" s="209" t="s">
        <v>53</v>
      </c>
      <c r="H127" s="209" t="s">
        <v>357</v>
      </c>
      <c r="I127" s="209" t="s">
        <v>358</v>
      </c>
      <c r="J127" s="209" t="s">
        <v>46</v>
      </c>
      <c r="K127" s="210" t="s">
        <v>34</v>
      </c>
      <c r="L127" s="210"/>
      <c r="M127" s="209" t="s">
        <v>35</v>
      </c>
      <c r="N127" s="209">
        <v>42318949</v>
      </c>
      <c r="O127" s="209" t="s">
        <v>36</v>
      </c>
      <c r="P127" s="213">
        <v>44459.548877314817</v>
      </c>
      <c r="Q127" s="209"/>
      <c r="R127" s="209" t="s">
        <v>38</v>
      </c>
      <c r="S127" s="209"/>
      <c r="T127" s="209" t="s">
        <v>74</v>
      </c>
      <c r="U127" s="213">
        <v>44460.548877314817</v>
      </c>
      <c r="V127" s="209" t="s">
        <v>41</v>
      </c>
      <c r="W127" s="209" t="s">
        <v>49</v>
      </c>
      <c r="X127" s="13" t="str">
        <f>IF(RIGHT(H127,2)&lt;&gt;"00",H127,"")</f>
        <v/>
      </c>
      <c r="Y127" s="26">
        <f ca="1">NETWORKDAYS(P127,$Y$1)</f>
        <v>378</v>
      </c>
      <c r="Z127" s="34">
        <v>1</v>
      </c>
      <c r="AA127" s="25" t="str">
        <f t="shared" ca="1" si="8"/>
        <v>A VENCER</v>
      </c>
      <c r="AB127" s="25" t="str">
        <f t="shared" si="11"/>
        <v>Dosa</v>
      </c>
      <c r="AC127" s="2" t="str">
        <f t="shared" si="10"/>
        <v xml:space="preserve"> CLEITON </v>
      </c>
      <c r="AD127" s="26">
        <f t="shared" si="12"/>
        <v>5</v>
      </c>
      <c r="AE127" s="26">
        <f t="shared" ca="1" si="9"/>
        <v>527.12739432870148</v>
      </c>
      <c r="AF127" s="35"/>
    </row>
    <row r="128" spans="1:32" hidden="1">
      <c r="A128" s="209">
        <v>7726583</v>
      </c>
      <c r="B128" s="209" t="s">
        <v>81</v>
      </c>
      <c r="C128" s="210" t="s">
        <v>240</v>
      </c>
      <c r="D128" s="214"/>
      <c r="E128" s="214">
        <v>2739000206001</v>
      </c>
      <c r="F128" s="209" t="s">
        <v>29</v>
      </c>
      <c r="G128" s="209" t="s">
        <v>53</v>
      </c>
      <c r="H128" s="209" t="s">
        <v>359</v>
      </c>
      <c r="I128" s="209" t="s">
        <v>360</v>
      </c>
      <c r="J128" s="209" t="s">
        <v>85</v>
      </c>
      <c r="K128" s="210" t="s">
        <v>34</v>
      </c>
      <c r="L128" s="210"/>
      <c r="M128" s="209" t="s">
        <v>35</v>
      </c>
      <c r="N128" s="209">
        <v>42318949</v>
      </c>
      <c r="O128" s="209" t="s">
        <v>36</v>
      </c>
      <c r="P128" s="213">
        <v>44459.548877314817</v>
      </c>
      <c r="Q128" s="209"/>
      <c r="R128" s="209" t="s">
        <v>38</v>
      </c>
      <c r="S128" s="209"/>
      <c r="T128" s="209" t="s">
        <v>74</v>
      </c>
      <c r="U128" s="213">
        <v>44460.548877314817</v>
      </c>
      <c r="V128" s="209" t="s">
        <v>41</v>
      </c>
      <c r="W128" s="209" t="s">
        <v>49</v>
      </c>
      <c r="X128" s="13" t="str">
        <f>IF(RIGHT(H128,2)&lt;&gt;"00",H128,"")</f>
        <v/>
      </c>
      <c r="Y128" s="26">
        <f ca="1">NETWORKDAYS(P128,$Y$1)</f>
        <v>378</v>
      </c>
      <c r="Z128" s="34">
        <v>1</v>
      </c>
      <c r="AA128" s="25" t="str">
        <f t="shared" ca="1" si="8"/>
        <v>A VENCER</v>
      </c>
      <c r="AB128" s="25" t="str">
        <f t="shared" si="11"/>
        <v>Dosa</v>
      </c>
      <c r="AC128" s="2" t="str">
        <f t="shared" si="10"/>
        <v xml:space="preserve"> RINALDO </v>
      </c>
      <c r="AD128" s="26">
        <f t="shared" si="12"/>
        <v>5</v>
      </c>
      <c r="AE128" s="26">
        <f t="shared" ca="1" si="9"/>
        <v>527.12739432870148</v>
      </c>
      <c r="AF128" s="35"/>
    </row>
    <row r="129" spans="1:32" hidden="1">
      <c r="A129" s="209">
        <v>7726582</v>
      </c>
      <c r="B129" s="209" t="s">
        <v>81</v>
      </c>
      <c r="C129" s="210" t="s">
        <v>240</v>
      </c>
      <c r="D129" s="214"/>
      <c r="E129" s="214">
        <v>1643000206001</v>
      </c>
      <c r="F129" s="209" t="s">
        <v>29</v>
      </c>
      <c r="G129" s="209" t="s">
        <v>53</v>
      </c>
      <c r="H129" s="209" t="s">
        <v>361</v>
      </c>
      <c r="I129" s="209" t="s">
        <v>362</v>
      </c>
      <c r="J129" s="209" t="s">
        <v>261</v>
      </c>
      <c r="K129" s="210" t="s">
        <v>34</v>
      </c>
      <c r="L129" s="210"/>
      <c r="M129" s="209" t="s">
        <v>35</v>
      </c>
      <c r="N129" s="209">
        <v>42318949</v>
      </c>
      <c r="O129" s="209" t="s">
        <v>36</v>
      </c>
      <c r="P129" s="213">
        <v>44459.548877314817</v>
      </c>
      <c r="Q129" s="209"/>
      <c r="R129" s="209" t="s">
        <v>38</v>
      </c>
      <c r="S129" s="209"/>
      <c r="T129" s="209" t="s">
        <v>74</v>
      </c>
      <c r="U129" s="213">
        <v>44460.548877314817</v>
      </c>
      <c r="V129" s="209" t="s">
        <v>41</v>
      </c>
      <c r="W129" s="209" t="s">
        <v>49</v>
      </c>
      <c r="X129" s="13" t="str">
        <f>IF(RIGHT(H129,2)&lt;&gt;"00",H129,"")</f>
        <v/>
      </c>
      <c r="Y129" s="26">
        <f ca="1">NETWORKDAYS(P129,$Y$1)</f>
        <v>378</v>
      </c>
      <c r="Z129" s="34">
        <v>1</v>
      </c>
      <c r="AA129" s="25" t="str">
        <f t="shared" ca="1" si="8"/>
        <v>A VENCER</v>
      </c>
      <c r="AB129" s="25" t="str">
        <f t="shared" si="11"/>
        <v>Dosa</v>
      </c>
      <c r="AC129" s="2" t="str">
        <f t="shared" si="10"/>
        <v xml:space="preserve"> CRISTINA </v>
      </c>
      <c r="AD129" s="26">
        <f t="shared" si="12"/>
        <v>5</v>
      </c>
      <c r="AE129" s="26">
        <f t="shared" ca="1" si="9"/>
        <v>527.12739432870148</v>
      </c>
      <c r="AF129" s="35"/>
    </row>
    <row r="130" spans="1:32" hidden="1">
      <c r="A130" s="209">
        <v>7726581</v>
      </c>
      <c r="B130" s="209" t="s">
        <v>81</v>
      </c>
      <c r="C130" s="210" t="s">
        <v>240</v>
      </c>
      <c r="D130" s="214"/>
      <c r="E130" s="214">
        <v>5898000206001</v>
      </c>
      <c r="F130" s="209" t="s">
        <v>29</v>
      </c>
      <c r="G130" s="209" t="s">
        <v>53</v>
      </c>
      <c r="H130" s="209" t="s">
        <v>365</v>
      </c>
      <c r="I130" s="209" t="s">
        <v>366</v>
      </c>
      <c r="J130" s="209" t="s">
        <v>164</v>
      </c>
      <c r="K130" s="210" t="s">
        <v>34</v>
      </c>
      <c r="L130" s="210"/>
      <c r="M130" s="209" t="s">
        <v>35</v>
      </c>
      <c r="N130" s="209">
        <v>42318949</v>
      </c>
      <c r="O130" s="209" t="s">
        <v>36</v>
      </c>
      <c r="P130" s="213">
        <v>44459.548877314817</v>
      </c>
      <c r="Q130" s="209"/>
      <c r="R130" s="209" t="s">
        <v>38</v>
      </c>
      <c r="S130" s="209"/>
      <c r="T130" s="209" t="s">
        <v>74</v>
      </c>
      <c r="U130" s="213">
        <v>44460.548877314817</v>
      </c>
      <c r="V130" s="209" t="s">
        <v>41</v>
      </c>
      <c r="W130" s="209" t="s">
        <v>49</v>
      </c>
      <c r="X130" s="13" t="str">
        <f>IF(RIGHT(H130,2)&lt;&gt;"00",H130,"")</f>
        <v/>
      </c>
      <c r="Y130" s="26">
        <f ca="1">NETWORKDAYS(P130,$Y$1)</f>
        <v>378</v>
      </c>
      <c r="Z130" s="34">
        <v>1</v>
      </c>
      <c r="AA130" s="25" t="str">
        <f t="shared" ref="AA130:AA193" ca="1" si="13">IF(AE130=0,"HOJE",IF(AE130&gt;0,"A VENCER",IF(AE130&lt;0,"VENCIDO")))</f>
        <v>A VENCER</v>
      </c>
      <c r="AB130" s="25" t="str">
        <f t="shared" si="11"/>
        <v>Dosa</v>
      </c>
      <c r="AC130" s="2" t="str">
        <f t="shared" si="10"/>
        <v xml:space="preserve"> ROSEMERE </v>
      </c>
      <c r="AD130" s="26">
        <f t="shared" si="12"/>
        <v>5</v>
      </c>
      <c r="AE130" s="26">
        <f t="shared" ref="AE130:AE193" ca="1" si="14">IF(P130=$AE$1,"",$AE$1-P130)</f>
        <v>527.12739432870148</v>
      </c>
      <c r="AF130" s="35"/>
    </row>
    <row r="131" spans="1:32" hidden="1">
      <c r="A131" s="209">
        <v>7726580</v>
      </c>
      <c r="B131" s="209" t="s">
        <v>81</v>
      </c>
      <c r="C131" s="210" t="s">
        <v>240</v>
      </c>
      <c r="D131" s="214"/>
      <c r="E131" s="214">
        <v>834000206001</v>
      </c>
      <c r="F131" s="209" t="s">
        <v>29</v>
      </c>
      <c r="G131" s="209" t="s">
        <v>53</v>
      </c>
      <c r="H131" s="209" t="s">
        <v>367</v>
      </c>
      <c r="I131" s="209" t="s">
        <v>368</v>
      </c>
      <c r="J131" s="209" t="s">
        <v>261</v>
      </c>
      <c r="K131" s="210" t="s">
        <v>34</v>
      </c>
      <c r="L131" s="210"/>
      <c r="M131" s="209" t="s">
        <v>35</v>
      </c>
      <c r="N131" s="209">
        <v>42318949</v>
      </c>
      <c r="O131" s="209" t="s">
        <v>36</v>
      </c>
      <c r="P131" s="213">
        <v>44459.548877314817</v>
      </c>
      <c r="Q131" s="209"/>
      <c r="R131" s="209" t="s">
        <v>38</v>
      </c>
      <c r="S131" s="209"/>
      <c r="T131" s="209" t="s">
        <v>74</v>
      </c>
      <c r="U131" s="213">
        <v>44460.548877314817</v>
      </c>
      <c r="V131" s="209" t="s">
        <v>41</v>
      </c>
      <c r="W131" s="209" t="s">
        <v>49</v>
      </c>
      <c r="X131" s="13" t="str">
        <f>IF(RIGHT(H131,2)&lt;&gt;"00",H131,"")</f>
        <v/>
      </c>
      <c r="Y131" s="26">
        <f ca="1">NETWORKDAYS(P131,$Y$1)</f>
        <v>378</v>
      </c>
      <c r="Z131" s="34">
        <v>1</v>
      </c>
      <c r="AA131" s="25" t="str">
        <f t="shared" ca="1" si="13"/>
        <v>A VENCER</v>
      </c>
      <c r="AB131" s="25" t="str">
        <f t="shared" si="11"/>
        <v>Dosa</v>
      </c>
      <c r="AC131" s="2" t="str">
        <f t="shared" ref="AC131:AC194" si="15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 xml:space="preserve"> CRISTINA </v>
      </c>
      <c r="AD131" s="26">
        <f t="shared" si="12"/>
        <v>5</v>
      </c>
      <c r="AE131" s="26">
        <f t="shared" ca="1" si="14"/>
        <v>527.12739432870148</v>
      </c>
      <c r="AF131" s="35"/>
    </row>
    <row r="132" spans="1:32" hidden="1">
      <c r="A132" s="209">
        <v>7726579</v>
      </c>
      <c r="B132" s="209" t="s">
        <v>81</v>
      </c>
      <c r="C132" s="210" t="s">
        <v>240</v>
      </c>
      <c r="D132" s="214"/>
      <c r="E132" s="214">
        <v>1833000206001</v>
      </c>
      <c r="F132" s="209" t="s">
        <v>29</v>
      </c>
      <c r="G132" s="209" t="s">
        <v>53</v>
      </c>
      <c r="H132" s="209" t="s">
        <v>369</v>
      </c>
      <c r="I132" s="209" t="s">
        <v>370</v>
      </c>
      <c r="J132" s="209" t="s">
        <v>46</v>
      </c>
      <c r="K132" s="210" t="s">
        <v>34</v>
      </c>
      <c r="L132" s="210"/>
      <c r="M132" s="209" t="s">
        <v>35</v>
      </c>
      <c r="N132" s="209">
        <v>42318949</v>
      </c>
      <c r="O132" s="209" t="s">
        <v>36</v>
      </c>
      <c r="P132" s="213">
        <v>44459.54886574074</v>
      </c>
      <c r="Q132" s="209"/>
      <c r="R132" s="209" t="s">
        <v>38</v>
      </c>
      <c r="S132" s="209"/>
      <c r="T132" s="209" t="s">
        <v>74</v>
      </c>
      <c r="U132" s="213">
        <v>44460.54886574074</v>
      </c>
      <c r="V132" s="209" t="s">
        <v>41</v>
      </c>
      <c r="W132" s="209" t="s">
        <v>49</v>
      </c>
      <c r="X132" s="13" t="str">
        <f>IF(RIGHT(H132,2)&lt;&gt;"00",H132,"")</f>
        <v/>
      </c>
      <c r="Y132" s="26">
        <f ca="1">NETWORKDAYS(P132,$Y$1)</f>
        <v>378</v>
      </c>
      <c r="Z132" s="34">
        <v>1</v>
      </c>
      <c r="AA132" s="25" t="str">
        <f t="shared" ca="1" si="13"/>
        <v>A VENCER</v>
      </c>
      <c r="AB132" s="25" t="str">
        <f t="shared" si="11"/>
        <v>Dosa</v>
      </c>
      <c r="AC132" s="2" t="str">
        <f t="shared" si="15"/>
        <v xml:space="preserve"> CLEITON </v>
      </c>
      <c r="AD132" s="26">
        <f t="shared" si="12"/>
        <v>5</v>
      </c>
      <c r="AE132" s="26">
        <f t="shared" ca="1" si="14"/>
        <v>527.12740590277826</v>
      </c>
      <c r="AF132" s="35"/>
    </row>
    <row r="133" spans="1:32" hidden="1">
      <c r="A133" s="209">
        <v>7726578</v>
      </c>
      <c r="B133" s="209" t="s">
        <v>81</v>
      </c>
      <c r="C133" s="210" t="s">
        <v>240</v>
      </c>
      <c r="D133" s="214"/>
      <c r="E133" s="214">
        <v>3250000206001</v>
      </c>
      <c r="F133" s="209" t="s">
        <v>29</v>
      </c>
      <c r="G133" s="209" t="s">
        <v>53</v>
      </c>
      <c r="H133" s="209" t="s">
        <v>371</v>
      </c>
      <c r="I133" s="209" t="s">
        <v>372</v>
      </c>
      <c r="J133" s="209" t="s">
        <v>46</v>
      </c>
      <c r="K133" s="210" t="s">
        <v>34</v>
      </c>
      <c r="L133" s="210"/>
      <c r="M133" s="209" t="s">
        <v>35</v>
      </c>
      <c r="N133" s="209">
        <v>42318949</v>
      </c>
      <c r="O133" s="209" t="s">
        <v>36</v>
      </c>
      <c r="P133" s="213">
        <v>44459.54886574074</v>
      </c>
      <c r="Q133" s="209"/>
      <c r="R133" s="209" t="s">
        <v>38</v>
      </c>
      <c r="S133" s="209"/>
      <c r="T133" s="209" t="s">
        <v>74</v>
      </c>
      <c r="U133" s="213">
        <v>44460.54886574074</v>
      </c>
      <c r="V133" s="209" t="s">
        <v>41</v>
      </c>
      <c r="W133" s="209" t="s">
        <v>49</v>
      </c>
      <c r="X133" s="13" t="str">
        <f>IF(RIGHT(H133,2)&lt;&gt;"00",H133,"")</f>
        <v/>
      </c>
      <c r="Y133" s="26">
        <f ca="1">NETWORKDAYS(P133,$Y$1)</f>
        <v>378</v>
      </c>
      <c r="Z133" s="34">
        <v>1</v>
      </c>
      <c r="AA133" s="25" t="str">
        <f t="shared" ca="1" si="13"/>
        <v>A VENCER</v>
      </c>
      <c r="AB133" s="25" t="str">
        <f t="shared" si="11"/>
        <v>Dosa</v>
      </c>
      <c r="AC133" s="2" t="str">
        <f t="shared" si="15"/>
        <v xml:space="preserve"> CLEITON </v>
      </c>
      <c r="AD133" s="26">
        <f t="shared" si="12"/>
        <v>5</v>
      </c>
      <c r="AE133" s="26">
        <f t="shared" ca="1" si="14"/>
        <v>527.12740590277826</v>
      </c>
      <c r="AF133" s="35"/>
    </row>
    <row r="134" spans="1:32" hidden="1">
      <c r="A134" s="209">
        <v>7726576</v>
      </c>
      <c r="B134" s="209" t="s">
        <v>81</v>
      </c>
      <c r="C134" s="210" t="s">
        <v>240</v>
      </c>
      <c r="D134" s="214"/>
      <c r="E134" s="214">
        <v>1059000206001</v>
      </c>
      <c r="F134" s="209" t="s">
        <v>29</v>
      </c>
      <c r="G134" s="209" t="s">
        <v>53</v>
      </c>
      <c r="H134" s="209" t="s">
        <v>88</v>
      </c>
      <c r="I134" s="209" t="s">
        <v>89</v>
      </c>
      <c r="J134" s="209" t="s">
        <v>90</v>
      </c>
      <c r="K134" s="210" t="s">
        <v>34</v>
      </c>
      <c r="L134" s="210"/>
      <c r="M134" s="209" t="s">
        <v>35</v>
      </c>
      <c r="N134" s="209">
        <v>42318949</v>
      </c>
      <c r="O134" s="209" t="s">
        <v>36</v>
      </c>
      <c r="P134" s="213">
        <v>44459.54886574074</v>
      </c>
      <c r="Q134" s="209"/>
      <c r="R134" s="209" t="s">
        <v>38</v>
      </c>
      <c r="S134" s="209"/>
      <c r="T134" s="209" t="s">
        <v>74</v>
      </c>
      <c r="U134" s="213">
        <v>44460.54886574074</v>
      </c>
      <c r="V134" s="209" t="s">
        <v>41</v>
      </c>
      <c r="W134" s="209" t="s">
        <v>49</v>
      </c>
      <c r="X134" s="13" t="str">
        <f>IF(RIGHT(H134,2)&lt;&gt;"00",H134,"")</f>
        <v/>
      </c>
      <c r="Y134" s="26">
        <f ca="1">NETWORKDAYS(P134,$Y$1)</f>
        <v>378</v>
      </c>
      <c r="Z134" s="34">
        <v>1</v>
      </c>
      <c r="AA134" s="25" t="str">
        <f t="shared" ca="1" si="13"/>
        <v>A VENCER</v>
      </c>
      <c r="AB134" s="25" t="str">
        <f t="shared" si="11"/>
        <v>Dosa</v>
      </c>
      <c r="AC134" s="2" t="str">
        <f t="shared" si="15"/>
        <v xml:space="preserve"> RINALDO </v>
      </c>
      <c r="AD134" s="26">
        <f t="shared" si="12"/>
        <v>5</v>
      </c>
      <c r="AE134" s="26">
        <f t="shared" ca="1" si="14"/>
        <v>527.12740590277826</v>
      </c>
      <c r="AF134" s="35"/>
    </row>
    <row r="135" spans="1:32" hidden="1">
      <c r="A135" s="209">
        <v>7726575</v>
      </c>
      <c r="B135" s="209" t="s">
        <v>81</v>
      </c>
      <c r="C135" s="210" t="s">
        <v>240</v>
      </c>
      <c r="D135" s="214"/>
      <c r="E135" s="214">
        <v>1761000206001</v>
      </c>
      <c r="F135" s="209" t="s">
        <v>29</v>
      </c>
      <c r="G135" s="209" t="s">
        <v>53</v>
      </c>
      <c r="H135" s="209" t="s">
        <v>375</v>
      </c>
      <c r="I135" s="209" t="s">
        <v>376</v>
      </c>
      <c r="J135" s="209" t="s">
        <v>56</v>
      </c>
      <c r="K135" s="210" t="s">
        <v>34</v>
      </c>
      <c r="L135" s="210"/>
      <c r="M135" s="209" t="s">
        <v>35</v>
      </c>
      <c r="N135" s="209">
        <v>42318949</v>
      </c>
      <c r="O135" s="209" t="s">
        <v>36</v>
      </c>
      <c r="P135" s="213">
        <v>44459.54886574074</v>
      </c>
      <c r="Q135" s="209"/>
      <c r="R135" s="209" t="s">
        <v>38</v>
      </c>
      <c r="S135" s="209"/>
      <c r="T135" s="209" t="s">
        <v>74</v>
      </c>
      <c r="U135" s="213">
        <v>44460.54886574074</v>
      </c>
      <c r="V135" s="209" t="s">
        <v>41</v>
      </c>
      <c r="W135" s="209" t="s">
        <v>49</v>
      </c>
      <c r="X135" s="13" t="str">
        <f>IF(RIGHT(H135,2)&lt;&gt;"00",H135,"")</f>
        <v/>
      </c>
      <c r="Y135" s="26">
        <f ca="1">NETWORKDAYS(P135,$Y$1)</f>
        <v>378</v>
      </c>
      <c r="Z135" s="34">
        <v>1</v>
      </c>
      <c r="AA135" s="25" t="str">
        <f t="shared" ca="1" si="13"/>
        <v>A VENCER</v>
      </c>
      <c r="AB135" s="25" t="str">
        <f t="shared" si="11"/>
        <v>Dosa</v>
      </c>
      <c r="AC135" s="2" t="str">
        <f t="shared" si="15"/>
        <v xml:space="preserve"> CRISTINA </v>
      </c>
      <c r="AD135" s="26">
        <f t="shared" si="12"/>
        <v>5</v>
      </c>
      <c r="AE135" s="26">
        <f t="shared" ca="1" si="14"/>
        <v>527.12740590277826</v>
      </c>
      <c r="AF135" s="35"/>
    </row>
    <row r="136" spans="1:32" hidden="1">
      <c r="A136" s="209">
        <v>7726574</v>
      </c>
      <c r="B136" s="209" t="s">
        <v>81</v>
      </c>
      <c r="C136" s="210" t="s">
        <v>240</v>
      </c>
      <c r="D136" s="214"/>
      <c r="E136" s="214">
        <v>714000206001</v>
      </c>
      <c r="F136" s="209" t="s">
        <v>29</v>
      </c>
      <c r="G136" s="209" t="s">
        <v>53</v>
      </c>
      <c r="H136" s="209" t="s">
        <v>377</v>
      </c>
      <c r="I136" s="209" t="s">
        <v>378</v>
      </c>
      <c r="J136" s="209" t="s">
        <v>46</v>
      </c>
      <c r="K136" s="210" t="s">
        <v>34</v>
      </c>
      <c r="L136" s="210"/>
      <c r="M136" s="209" t="s">
        <v>35</v>
      </c>
      <c r="N136" s="209">
        <v>42318949</v>
      </c>
      <c r="O136" s="209" t="s">
        <v>36</v>
      </c>
      <c r="P136" s="213">
        <v>44459.54886574074</v>
      </c>
      <c r="Q136" s="209"/>
      <c r="R136" s="209" t="s">
        <v>38</v>
      </c>
      <c r="S136" s="209"/>
      <c r="T136" s="209" t="s">
        <v>74</v>
      </c>
      <c r="U136" s="213">
        <v>44460.54886574074</v>
      </c>
      <c r="V136" s="209" t="s">
        <v>41</v>
      </c>
      <c r="W136" s="209" t="s">
        <v>49</v>
      </c>
      <c r="X136" s="13" t="str">
        <f>IF(RIGHT(H136,2)&lt;&gt;"00",H136,"")</f>
        <v/>
      </c>
      <c r="Y136" s="26">
        <f ca="1">NETWORKDAYS(P136,$Y$1)</f>
        <v>378</v>
      </c>
      <c r="Z136" s="34">
        <v>1</v>
      </c>
      <c r="AA136" s="25" t="str">
        <f t="shared" ca="1" si="13"/>
        <v>A VENCER</v>
      </c>
      <c r="AB136" s="25" t="str">
        <f t="shared" si="11"/>
        <v>Dosa</v>
      </c>
      <c r="AC136" s="2" t="str">
        <f t="shared" si="15"/>
        <v xml:space="preserve"> CLEITON </v>
      </c>
      <c r="AD136" s="26">
        <f t="shared" si="12"/>
        <v>5</v>
      </c>
      <c r="AE136" s="26">
        <f t="shared" ca="1" si="14"/>
        <v>527.12740590277826</v>
      </c>
      <c r="AF136" s="35"/>
    </row>
    <row r="137" spans="1:32" hidden="1">
      <c r="A137" s="209">
        <v>7726573</v>
      </c>
      <c r="B137" s="209" t="s">
        <v>81</v>
      </c>
      <c r="C137" s="210" t="s">
        <v>240</v>
      </c>
      <c r="D137" s="214"/>
      <c r="E137" s="214">
        <v>2138000206001</v>
      </c>
      <c r="F137" s="209" t="s">
        <v>29</v>
      </c>
      <c r="G137" s="209" t="s">
        <v>53</v>
      </c>
      <c r="H137" s="209" t="s">
        <v>379</v>
      </c>
      <c r="I137" s="209" t="s">
        <v>380</v>
      </c>
      <c r="J137" s="209" t="s">
        <v>46</v>
      </c>
      <c r="K137" s="210" t="s">
        <v>34</v>
      </c>
      <c r="L137" s="210"/>
      <c r="M137" s="209" t="s">
        <v>35</v>
      </c>
      <c r="N137" s="209">
        <v>42318949</v>
      </c>
      <c r="O137" s="209" t="s">
        <v>36</v>
      </c>
      <c r="P137" s="213">
        <v>44459.54886574074</v>
      </c>
      <c r="Q137" s="209"/>
      <c r="R137" s="209" t="s">
        <v>38</v>
      </c>
      <c r="S137" s="209"/>
      <c r="T137" s="209" t="s">
        <v>74</v>
      </c>
      <c r="U137" s="213">
        <v>44460.54886574074</v>
      </c>
      <c r="V137" s="209" t="s">
        <v>41</v>
      </c>
      <c r="W137" s="209" t="s">
        <v>49</v>
      </c>
      <c r="X137" s="13" t="str">
        <f>IF(RIGHT(H137,2)&lt;&gt;"00",H137,"")</f>
        <v/>
      </c>
      <c r="Y137" s="26">
        <f ca="1">NETWORKDAYS(P137,$Y$1)</f>
        <v>378</v>
      </c>
      <c r="Z137" s="34">
        <v>1</v>
      </c>
      <c r="AA137" s="25" t="str">
        <f t="shared" ca="1" si="13"/>
        <v>A VENCER</v>
      </c>
      <c r="AB137" s="25" t="str">
        <f t="shared" si="11"/>
        <v>Dosa</v>
      </c>
      <c r="AC137" s="2" t="str">
        <f t="shared" si="15"/>
        <v xml:space="preserve"> CLEITON </v>
      </c>
      <c r="AD137" s="26">
        <f t="shared" si="12"/>
        <v>5</v>
      </c>
      <c r="AE137" s="26">
        <f t="shared" ca="1" si="14"/>
        <v>527.12740590277826</v>
      </c>
      <c r="AF137" s="35"/>
    </row>
    <row r="138" spans="1:32" hidden="1">
      <c r="A138" s="209">
        <v>7726572</v>
      </c>
      <c r="B138" s="209" t="s">
        <v>81</v>
      </c>
      <c r="C138" s="210" t="s">
        <v>240</v>
      </c>
      <c r="D138" s="214"/>
      <c r="E138" s="214">
        <v>2257000206001</v>
      </c>
      <c r="F138" s="209" t="s">
        <v>29</v>
      </c>
      <c r="G138" s="209" t="s">
        <v>53</v>
      </c>
      <c r="H138" s="209" t="s">
        <v>381</v>
      </c>
      <c r="I138" s="209" t="s">
        <v>382</v>
      </c>
      <c r="J138" s="209" t="s">
        <v>110</v>
      </c>
      <c r="K138" s="210" t="s">
        <v>34</v>
      </c>
      <c r="L138" s="210"/>
      <c r="M138" s="209" t="s">
        <v>35</v>
      </c>
      <c r="N138" s="209">
        <v>42318949</v>
      </c>
      <c r="O138" s="209" t="s">
        <v>36</v>
      </c>
      <c r="P138" s="213">
        <v>44459.54886574074</v>
      </c>
      <c r="Q138" s="209"/>
      <c r="R138" s="209" t="s">
        <v>38</v>
      </c>
      <c r="S138" s="209"/>
      <c r="T138" s="209" t="s">
        <v>74</v>
      </c>
      <c r="U138" s="213">
        <v>44460.54886574074</v>
      </c>
      <c r="V138" s="209" t="s">
        <v>41</v>
      </c>
      <c r="W138" s="209" t="s">
        <v>49</v>
      </c>
      <c r="X138" s="13" t="str">
        <f>IF(RIGHT(H138,2)&lt;&gt;"00",H138,"")</f>
        <v/>
      </c>
      <c r="Y138" s="26">
        <f ca="1">NETWORKDAYS(P138,$Y$1)</f>
        <v>378</v>
      </c>
      <c r="Z138" s="34">
        <v>1</v>
      </c>
      <c r="AA138" s="25" t="str">
        <f t="shared" ca="1" si="13"/>
        <v>A VENCER</v>
      </c>
      <c r="AB138" s="25" t="str">
        <f t="shared" si="11"/>
        <v>Dosa</v>
      </c>
      <c r="AC138" s="2" t="str">
        <f t="shared" si="15"/>
        <v xml:space="preserve"> CRISTINA </v>
      </c>
      <c r="AD138" s="26">
        <f t="shared" si="12"/>
        <v>5</v>
      </c>
      <c r="AE138" s="26">
        <f t="shared" ca="1" si="14"/>
        <v>527.12740590277826</v>
      </c>
      <c r="AF138" s="35"/>
    </row>
    <row r="139" spans="1:32" hidden="1">
      <c r="A139" s="209">
        <v>7726571</v>
      </c>
      <c r="B139" s="209" t="s">
        <v>81</v>
      </c>
      <c r="C139" s="210" t="s">
        <v>240</v>
      </c>
      <c r="D139" s="214"/>
      <c r="E139" s="214">
        <v>7000206001</v>
      </c>
      <c r="F139" s="209" t="s">
        <v>29</v>
      </c>
      <c r="G139" s="209" t="s">
        <v>53</v>
      </c>
      <c r="H139" s="209" t="s">
        <v>383</v>
      </c>
      <c r="I139" s="209" t="s">
        <v>384</v>
      </c>
      <c r="J139" s="209" t="s">
        <v>46</v>
      </c>
      <c r="K139" s="210" t="s">
        <v>34</v>
      </c>
      <c r="L139" s="210"/>
      <c r="M139" s="209" t="s">
        <v>35</v>
      </c>
      <c r="N139" s="209">
        <v>42318949</v>
      </c>
      <c r="O139" s="209" t="s">
        <v>36</v>
      </c>
      <c r="P139" s="213">
        <v>44459.548854166664</v>
      </c>
      <c r="Q139" s="209"/>
      <c r="R139" s="209" t="s">
        <v>38</v>
      </c>
      <c r="S139" s="209"/>
      <c r="T139" s="209" t="s">
        <v>74</v>
      </c>
      <c r="U139" s="213">
        <v>44460.548854166664</v>
      </c>
      <c r="V139" s="209" t="s">
        <v>41</v>
      </c>
      <c r="W139" s="209" t="s">
        <v>49</v>
      </c>
      <c r="X139" s="13" t="str">
        <f>IF(RIGHT(H139,2)&lt;&gt;"00",H139,"")</f>
        <v/>
      </c>
      <c r="Y139" s="26">
        <f ca="1">NETWORKDAYS(P139,$Y$1)</f>
        <v>378</v>
      </c>
      <c r="Z139" s="34">
        <v>1</v>
      </c>
      <c r="AA139" s="25" t="str">
        <f t="shared" ca="1" si="13"/>
        <v>A VENCER</v>
      </c>
      <c r="AB139" s="25" t="str">
        <f t="shared" si="11"/>
        <v>Dosa</v>
      </c>
      <c r="AC139" s="2" t="str">
        <f t="shared" si="15"/>
        <v xml:space="preserve"> CLEITON </v>
      </c>
      <c r="AD139" s="26">
        <f t="shared" si="12"/>
        <v>5</v>
      </c>
      <c r="AE139" s="26">
        <f t="shared" ca="1" si="14"/>
        <v>527.12741747685504</v>
      </c>
      <c r="AF139" s="35"/>
    </row>
    <row r="140" spans="1:32" hidden="1">
      <c r="A140" s="209">
        <v>7726569</v>
      </c>
      <c r="B140" s="209" t="s">
        <v>81</v>
      </c>
      <c r="C140" s="210" t="s">
        <v>240</v>
      </c>
      <c r="D140" s="214"/>
      <c r="E140" s="214">
        <v>4274000206001</v>
      </c>
      <c r="F140" s="209" t="s">
        <v>29</v>
      </c>
      <c r="G140" s="209" t="s">
        <v>53</v>
      </c>
      <c r="H140" s="209" t="s">
        <v>386</v>
      </c>
      <c r="I140" s="209" t="s">
        <v>387</v>
      </c>
      <c r="J140" s="209" t="s">
        <v>46</v>
      </c>
      <c r="K140" s="210" t="s">
        <v>34</v>
      </c>
      <c r="L140" s="210"/>
      <c r="M140" s="209" t="s">
        <v>35</v>
      </c>
      <c r="N140" s="209">
        <v>42318949</v>
      </c>
      <c r="O140" s="209" t="s">
        <v>36</v>
      </c>
      <c r="P140" s="213">
        <v>44459.548854166664</v>
      </c>
      <c r="Q140" s="209"/>
      <c r="R140" s="209" t="s">
        <v>38</v>
      </c>
      <c r="S140" s="209"/>
      <c r="T140" s="209" t="s">
        <v>74</v>
      </c>
      <c r="U140" s="213">
        <v>44460.548854166664</v>
      </c>
      <c r="V140" s="209" t="s">
        <v>41</v>
      </c>
      <c r="W140" s="209" t="s">
        <v>49</v>
      </c>
      <c r="X140" s="13" t="str">
        <f>IF(RIGHT(H140,2)&lt;&gt;"00",H140,"")</f>
        <v/>
      </c>
      <c r="Y140" s="26">
        <f ca="1">NETWORKDAYS(P140,$Y$1)</f>
        <v>378</v>
      </c>
      <c r="Z140" s="34">
        <v>1</v>
      </c>
      <c r="AA140" s="25" t="str">
        <f t="shared" ca="1" si="13"/>
        <v>A VENCER</v>
      </c>
      <c r="AB140" s="25" t="str">
        <f t="shared" si="11"/>
        <v>Dosa</v>
      </c>
      <c r="AC140" s="2" t="str">
        <f t="shared" si="15"/>
        <v xml:space="preserve"> CLEITON </v>
      </c>
      <c r="AD140" s="26">
        <f t="shared" si="12"/>
        <v>5</v>
      </c>
      <c r="AE140" s="26">
        <f t="shared" ca="1" si="14"/>
        <v>527.12741747685504</v>
      </c>
      <c r="AF140" s="35"/>
    </row>
    <row r="141" spans="1:32" hidden="1">
      <c r="A141" s="209">
        <v>7726567</v>
      </c>
      <c r="B141" s="209" t="s">
        <v>81</v>
      </c>
      <c r="C141" s="210" t="s">
        <v>240</v>
      </c>
      <c r="D141" s="214"/>
      <c r="E141" s="214">
        <v>2802000206001</v>
      </c>
      <c r="F141" s="209" t="s">
        <v>29</v>
      </c>
      <c r="G141" s="209" t="s">
        <v>53</v>
      </c>
      <c r="H141" s="209" t="s">
        <v>388</v>
      </c>
      <c r="I141" s="209" t="s">
        <v>389</v>
      </c>
      <c r="J141" s="209" t="s">
        <v>46</v>
      </c>
      <c r="K141" s="210" t="s">
        <v>34</v>
      </c>
      <c r="L141" s="210"/>
      <c r="M141" s="209" t="s">
        <v>35</v>
      </c>
      <c r="N141" s="209">
        <v>42318949</v>
      </c>
      <c r="O141" s="209" t="s">
        <v>36</v>
      </c>
      <c r="P141" s="213">
        <v>44459.548854166664</v>
      </c>
      <c r="Q141" s="209"/>
      <c r="R141" s="209" t="s">
        <v>38</v>
      </c>
      <c r="S141" s="209"/>
      <c r="T141" s="209" t="s">
        <v>74</v>
      </c>
      <c r="U141" s="213">
        <v>44460.548854166664</v>
      </c>
      <c r="V141" s="209" t="s">
        <v>41</v>
      </c>
      <c r="W141" s="209" t="s">
        <v>49</v>
      </c>
      <c r="X141" s="13" t="str">
        <f>IF(RIGHT(H141,2)&lt;&gt;"00",H141,"")</f>
        <v/>
      </c>
      <c r="Y141" s="26">
        <f ca="1">NETWORKDAYS(P141,$Y$1)</f>
        <v>378</v>
      </c>
      <c r="Z141" s="34">
        <v>1</v>
      </c>
      <c r="AA141" s="25" t="str">
        <f t="shared" ca="1" si="13"/>
        <v>A VENCER</v>
      </c>
      <c r="AB141" s="25" t="str">
        <f t="shared" si="11"/>
        <v>Dosa</v>
      </c>
      <c r="AC141" s="2" t="str">
        <f t="shared" si="15"/>
        <v xml:space="preserve"> CLEITON </v>
      </c>
      <c r="AD141" s="26">
        <f t="shared" si="12"/>
        <v>5</v>
      </c>
      <c r="AE141" s="26">
        <f t="shared" ca="1" si="14"/>
        <v>527.12741747685504</v>
      </c>
      <c r="AF141" s="35"/>
    </row>
    <row r="142" spans="1:32" hidden="1">
      <c r="A142" s="209">
        <v>7726563</v>
      </c>
      <c r="B142" s="209" t="s">
        <v>81</v>
      </c>
      <c r="C142" s="210" t="s">
        <v>240</v>
      </c>
      <c r="D142" s="214"/>
      <c r="E142" s="214">
        <v>710000206001</v>
      </c>
      <c r="F142" s="209" t="s">
        <v>29</v>
      </c>
      <c r="G142" s="209" t="s">
        <v>53</v>
      </c>
      <c r="H142" s="209" t="s">
        <v>390</v>
      </c>
      <c r="I142" s="209" t="s">
        <v>391</v>
      </c>
      <c r="J142" s="209" t="s">
        <v>56</v>
      </c>
      <c r="K142" s="210" t="s">
        <v>34</v>
      </c>
      <c r="L142" s="210"/>
      <c r="M142" s="209" t="s">
        <v>35</v>
      </c>
      <c r="N142" s="209">
        <v>42318949</v>
      </c>
      <c r="O142" s="209" t="s">
        <v>36</v>
      </c>
      <c r="P142" s="213">
        <v>44459.548842592594</v>
      </c>
      <c r="Q142" s="209"/>
      <c r="R142" s="209" t="s">
        <v>38</v>
      </c>
      <c r="S142" s="209"/>
      <c r="T142" s="209" t="s">
        <v>74</v>
      </c>
      <c r="U142" s="213">
        <v>44460.548842592594</v>
      </c>
      <c r="V142" s="209" t="s">
        <v>41</v>
      </c>
      <c r="W142" s="209" t="s">
        <v>49</v>
      </c>
      <c r="X142" s="13" t="str">
        <f>IF(RIGHT(H142,2)&lt;&gt;"00",H142,"")</f>
        <v/>
      </c>
      <c r="Y142" s="26">
        <f ca="1">NETWORKDAYS(P142,$Y$1)</f>
        <v>378</v>
      </c>
      <c r="Z142" s="34">
        <v>1</v>
      </c>
      <c r="AA142" s="25" t="str">
        <f t="shared" ca="1" si="13"/>
        <v>A VENCER</v>
      </c>
      <c r="AB142" s="25" t="str">
        <f t="shared" si="11"/>
        <v>Dosa</v>
      </c>
      <c r="AC142" s="2" t="str">
        <f t="shared" si="15"/>
        <v xml:space="preserve"> CRISTINA </v>
      </c>
      <c r="AD142" s="26">
        <f t="shared" si="12"/>
        <v>5</v>
      </c>
      <c r="AE142" s="26">
        <f t="shared" ca="1" si="14"/>
        <v>527.12742905092455</v>
      </c>
      <c r="AF142" s="35"/>
    </row>
    <row r="143" spans="1:32" hidden="1">
      <c r="A143" s="209">
        <v>7726562</v>
      </c>
      <c r="B143" s="209" t="s">
        <v>81</v>
      </c>
      <c r="C143" s="210" t="s">
        <v>240</v>
      </c>
      <c r="D143" s="214"/>
      <c r="E143" s="214">
        <v>2590000206001</v>
      </c>
      <c r="F143" s="209" t="s">
        <v>29</v>
      </c>
      <c r="G143" s="209" t="s">
        <v>53</v>
      </c>
      <c r="H143" s="209" t="s">
        <v>394</v>
      </c>
      <c r="I143" s="209" t="s">
        <v>395</v>
      </c>
      <c r="J143" s="209" t="s">
        <v>148</v>
      </c>
      <c r="K143" s="210" t="s">
        <v>34</v>
      </c>
      <c r="L143" s="210"/>
      <c r="M143" s="209" t="s">
        <v>35</v>
      </c>
      <c r="N143" s="209">
        <v>42318949</v>
      </c>
      <c r="O143" s="209" t="s">
        <v>36</v>
      </c>
      <c r="P143" s="213">
        <v>44459.548842592594</v>
      </c>
      <c r="Q143" s="209"/>
      <c r="R143" s="209" t="s">
        <v>38</v>
      </c>
      <c r="S143" s="209"/>
      <c r="T143" s="209" t="s">
        <v>74</v>
      </c>
      <c r="U143" s="213">
        <v>44460.548842592594</v>
      </c>
      <c r="V143" s="209" t="s">
        <v>41</v>
      </c>
      <c r="W143" s="209" t="s">
        <v>49</v>
      </c>
      <c r="X143" s="13" t="str">
        <f>IF(RIGHT(H143,2)&lt;&gt;"00",H143,"")</f>
        <v/>
      </c>
      <c r="Y143" s="26">
        <f ca="1">NETWORKDAYS(P143,$Y$1)</f>
        <v>378</v>
      </c>
      <c r="Z143" s="34">
        <v>1</v>
      </c>
      <c r="AA143" s="25" t="str">
        <f t="shared" ca="1" si="13"/>
        <v>A VENCER</v>
      </c>
      <c r="AB143" s="25" t="str">
        <f t="shared" si="11"/>
        <v>Dosa</v>
      </c>
      <c r="AC143" s="2" t="str">
        <f t="shared" si="15"/>
        <v xml:space="preserve"> RINALDO </v>
      </c>
      <c r="AD143" s="26">
        <f t="shared" si="12"/>
        <v>5</v>
      </c>
      <c r="AE143" s="26">
        <f t="shared" ca="1" si="14"/>
        <v>527.12742905092455</v>
      </c>
      <c r="AF143" s="35"/>
    </row>
    <row r="144" spans="1:32" hidden="1">
      <c r="A144" s="209">
        <v>7726561</v>
      </c>
      <c r="B144" s="209" t="s">
        <v>81</v>
      </c>
      <c r="C144" s="210" t="s">
        <v>240</v>
      </c>
      <c r="D144" s="214"/>
      <c r="E144" s="214">
        <v>1814000206001</v>
      </c>
      <c r="F144" s="209" t="s">
        <v>29</v>
      </c>
      <c r="G144" s="209" t="s">
        <v>53</v>
      </c>
      <c r="H144" s="209" t="s">
        <v>396</v>
      </c>
      <c r="I144" s="209" t="s">
        <v>397</v>
      </c>
      <c r="J144" s="209" t="s">
        <v>46</v>
      </c>
      <c r="K144" s="210" t="s">
        <v>34</v>
      </c>
      <c r="L144" s="210"/>
      <c r="M144" s="209" t="s">
        <v>35</v>
      </c>
      <c r="N144" s="209">
        <v>42318949</v>
      </c>
      <c r="O144" s="209" t="s">
        <v>36</v>
      </c>
      <c r="P144" s="213">
        <v>44459.548842592594</v>
      </c>
      <c r="Q144" s="209"/>
      <c r="R144" s="209" t="s">
        <v>38</v>
      </c>
      <c r="S144" s="209"/>
      <c r="T144" s="209" t="s">
        <v>74</v>
      </c>
      <c r="U144" s="213">
        <v>44460.548842592594</v>
      </c>
      <c r="V144" s="209" t="s">
        <v>41</v>
      </c>
      <c r="W144" s="209" t="s">
        <v>49</v>
      </c>
      <c r="X144" s="13" t="str">
        <f>IF(RIGHT(H144,2)&lt;&gt;"00",H144,"")</f>
        <v/>
      </c>
      <c r="Y144" s="26">
        <f ca="1">NETWORKDAYS(P144,$Y$1)</f>
        <v>378</v>
      </c>
      <c r="Z144" s="34">
        <v>1</v>
      </c>
      <c r="AA144" s="25" t="str">
        <f t="shared" ca="1" si="13"/>
        <v>A VENCER</v>
      </c>
      <c r="AB144" s="25" t="str">
        <f t="shared" si="11"/>
        <v>Dosa</v>
      </c>
      <c r="AC144" s="2" t="str">
        <f t="shared" si="15"/>
        <v xml:space="preserve"> CLEITON </v>
      </c>
      <c r="AD144" s="26">
        <f t="shared" si="12"/>
        <v>5</v>
      </c>
      <c r="AE144" s="26">
        <f t="shared" ca="1" si="14"/>
        <v>527.12742905092455</v>
      </c>
      <c r="AF144" s="35"/>
    </row>
    <row r="145" spans="1:32" hidden="1">
      <c r="A145" s="209">
        <v>7726556</v>
      </c>
      <c r="B145" s="209" t="s">
        <v>81</v>
      </c>
      <c r="C145" s="210" t="s">
        <v>240</v>
      </c>
      <c r="D145" s="214"/>
      <c r="E145" s="214">
        <v>3503000206001</v>
      </c>
      <c r="F145" s="209" t="s">
        <v>29</v>
      </c>
      <c r="G145" s="209" t="s">
        <v>53</v>
      </c>
      <c r="H145" s="209" t="s">
        <v>398</v>
      </c>
      <c r="I145" s="209" t="s">
        <v>399</v>
      </c>
      <c r="J145" s="209" t="s">
        <v>46</v>
      </c>
      <c r="K145" s="210" t="s">
        <v>34</v>
      </c>
      <c r="L145" s="210"/>
      <c r="M145" s="209" t="s">
        <v>35</v>
      </c>
      <c r="N145" s="209">
        <v>42318949</v>
      </c>
      <c r="O145" s="209" t="s">
        <v>36</v>
      </c>
      <c r="P145" s="213">
        <v>44459.548831018517</v>
      </c>
      <c r="Q145" s="209"/>
      <c r="R145" s="209" t="s">
        <v>38</v>
      </c>
      <c r="S145" s="209"/>
      <c r="T145" s="209" t="s">
        <v>74</v>
      </c>
      <c r="U145" s="213">
        <v>44460.548831018517</v>
      </c>
      <c r="V145" s="209" t="s">
        <v>41</v>
      </c>
      <c r="W145" s="209" t="s">
        <v>49</v>
      </c>
      <c r="X145" s="13" t="str">
        <f>IF(RIGHT(H145,2)&lt;&gt;"00",H145,"")</f>
        <v/>
      </c>
      <c r="Y145" s="26">
        <f ca="1">NETWORKDAYS(P145,$Y$1)</f>
        <v>378</v>
      </c>
      <c r="Z145" s="34">
        <v>1</v>
      </c>
      <c r="AA145" s="25" t="str">
        <f t="shared" ca="1" si="13"/>
        <v>A VENCER</v>
      </c>
      <c r="AB145" s="25" t="str">
        <f t="shared" si="11"/>
        <v>Dosa</v>
      </c>
      <c r="AC145" s="2" t="str">
        <f t="shared" si="15"/>
        <v xml:space="preserve"> CLEITON </v>
      </c>
      <c r="AD145" s="26">
        <f t="shared" si="12"/>
        <v>5</v>
      </c>
      <c r="AE145" s="26">
        <f t="shared" ca="1" si="14"/>
        <v>527.12744062500133</v>
      </c>
      <c r="AF145" s="35"/>
    </row>
    <row r="146" spans="1:32" hidden="1">
      <c r="A146" s="209">
        <v>7726555</v>
      </c>
      <c r="B146" s="209" t="s">
        <v>81</v>
      </c>
      <c r="C146" s="210" t="s">
        <v>240</v>
      </c>
      <c r="D146" s="214"/>
      <c r="E146" s="214">
        <v>1620000206001</v>
      </c>
      <c r="F146" s="209" t="s">
        <v>29</v>
      </c>
      <c r="G146" s="209" t="s">
        <v>53</v>
      </c>
      <c r="H146" s="209" t="s">
        <v>402</v>
      </c>
      <c r="I146" s="209" t="s">
        <v>403</v>
      </c>
      <c r="J146" s="209" t="s">
        <v>46</v>
      </c>
      <c r="K146" s="210" t="s">
        <v>34</v>
      </c>
      <c r="L146" s="210"/>
      <c r="M146" s="209" t="s">
        <v>35</v>
      </c>
      <c r="N146" s="209">
        <v>42318949</v>
      </c>
      <c r="O146" s="209" t="s">
        <v>36</v>
      </c>
      <c r="P146" s="213">
        <v>44459.548831018517</v>
      </c>
      <c r="Q146" s="209"/>
      <c r="R146" s="209" t="s">
        <v>38</v>
      </c>
      <c r="S146" s="209"/>
      <c r="T146" s="209" t="s">
        <v>74</v>
      </c>
      <c r="U146" s="213">
        <v>44460.548831018517</v>
      </c>
      <c r="V146" s="209" t="s">
        <v>41</v>
      </c>
      <c r="W146" s="209" t="s">
        <v>49</v>
      </c>
      <c r="X146" s="13" t="str">
        <f>IF(RIGHT(H146,2)&lt;&gt;"00",H146,"")</f>
        <v/>
      </c>
      <c r="Y146" s="26">
        <f ca="1">NETWORKDAYS(P146,$Y$1)</f>
        <v>378</v>
      </c>
      <c r="Z146" s="34">
        <v>1</v>
      </c>
      <c r="AA146" s="25" t="str">
        <f t="shared" ca="1" si="13"/>
        <v>A VENCER</v>
      </c>
      <c r="AB146" s="25" t="str">
        <f t="shared" si="11"/>
        <v>Dosa</v>
      </c>
      <c r="AC146" s="2" t="str">
        <f t="shared" si="15"/>
        <v xml:space="preserve"> CLEITON </v>
      </c>
      <c r="AD146" s="26">
        <f t="shared" si="12"/>
        <v>5</v>
      </c>
      <c r="AE146" s="26">
        <f t="shared" ca="1" si="14"/>
        <v>527.12744062500133</v>
      </c>
      <c r="AF146" s="35"/>
    </row>
    <row r="147" spans="1:32" hidden="1">
      <c r="A147" s="209">
        <v>7726553</v>
      </c>
      <c r="B147" s="209" t="s">
        <v>81</v>
      </c>
      <c r="C147" s="210" t="s">
        <v>240</v>
      </c>
      <c r="D147" s="214"/>
      <c r="E147" s="214">
        <v>67000206001</v>
      </c>
      <c r="F147" s="209" t="s">
        <v>29</v>
      </c>
      <c r="G147" s="209" t="s">
        <v>53</v>
      </c>
      <c r="H147" s="209" t="s">
        <v>404</v>
      </c>
      <c r="I147" s="209" t="s">
        <v>405</v>
      </c>
      <c r="J147" s="209" t="s">
        <v>164</v>
      </c>
      <c r="K147" s="210" t="s">
        <v>34</v>
      </c>
      <c r="L147" s="210"/>
      <c r="M147" s="209" t="s">
        <v>35</v>
      </c>
      <c r="N147" s="209">
        <v>42318949</v>
      </c>
      <c r="O147" s="209" t="s">
        <v>36</v>
      </c>
      <c r="P147" s="213">
        <v>44459.548831018517</v>
      </c>
      <c r="Q147" s="209"/>
      <c r="R147" s="209" t="s">
        <v>38</v>
      </c>
      <c r="S147" s="209"/>
      <c r="T147" s="209" t="s">
        <v>74</v>
      </c>
      <c r="U147" s="213">
        <v>44460.548831018517</v>
      </c>
      <c r="V147" s="209" t="s">
        <v>41</v>
      </c>
      <c r="W147" s="209" t="s">
        <v>49</v>
      </c>
      <c r="X147" s="13" t="str">
        <f>IF(RIGHT(H147,2)&lt;&gt;"00",H147,"")</f>
        <v/>
      </c>
      <c r="Y147" s="26">
        <f ca="1">NETWORKDAYS(P147,$Y$1)</f>
        <v>378</v>
      </c>
      <c r="Z147" s="34">
        <v>1</v>
      </c>
      <c r="AA147" s="25" t="str">
        <f t="shared" ca="1" si="13"/>
        <v>A VENCER</v>
      </c>
      <c r="AB147" s="25" t="str">
        <f t="shared" si="11"/>
        <v>Dosa</v>
      </c>
      <c r="AC147" s="2" t="str">
        <f t="shared" si="15"/>
        <v xml:space="preserve"> ROSEMERE </v>
      </c>
      <c r="AD147" s="26">
        <f t="shared" si="12"/>
        <v>5</v>
      </c>
      <c r="AE147" s="26">
        <f t="shared" ca="1" si="14"/>
        <v>527.12744062500133</v>
      </c>
      <c r="AF147" s="35"/>
    </row>
    <row r="148" spans="1:32" hidden="1">
      <c r="A148" s="209">
        <v>7726552</v>
      </c>
      <c r="B148" s="209" t="s">
        <v>81</v>
      </c>
      <c r="C148" s="210" t="s">
        <v>240</v>
      </c>
      <c r="D148" s="214"/>
      <c r="E148" s="214">
        <v>4997000206001</v>
      </c>
      <c r="F148" s="209" t="s">
        <v>29</v>
      </c>
      <c r="G148" s="209" t="s">
        <v>53</v>
      </c>
      <c r="H148" s="209" t="s">
        <v>406</v>
      </c>
      <c r="I148" s="209" t="s">
        <v>407</v>
      </c>
      <c r="J148" s="209" t="s">
        <v>79</v>
      </c>
      <c r="K148" s="210" t="s">
        <v>34</v>
      </c>
      <c r="L148" s="210"/>
      <c r="M148" s="209" t="s">
        <v>35</v>
      </c>
      <c r="N148" s="209">
        <v>42318949</v>
      </c>
      <c r="O148" s="209" t="s">
        <v>36</v>
      </c>
      <c r="P148" s="213">
        <v>44459.548831018517</v>
      </c>
      <c r="Q148" s="209"/>
      <c r="R148" s="209" t="s">
        <v>38</v>
      </c>
      <c r="S148" s="209"/>
      <c r="T148" s="209" t="s">
        <v>74</v>
      </c>
      <c r="U148" s="213">
        <v>44460.548831018517</v>
      </c>
      <c r="V148" s="209" t="s">
        <v>41</v>
      </c>
      <c r="W148" s="209" t="s">
        <v>49</v>
      </c>
      <c r="X148" s="13" t="str">
        <f>IF(RIGHT(H148,2)&lt;&gt;"00",H148,"")</f>
        <v/>
      </c>
      <c r="Y148" s="26">
        <f ca="1">NETWORKDAYS(P148,$Y$1)</f>
        <v>378</v>
      </c>
      <c r="Z148" s="34">
        <v>1</v>
      </c>
      <c r="AA148" s="25" t="str">
        <f t="shared" ca="1" si="13"/>
        <v>A VENCER</v>
      </c>
      <c r="AB148" s="25" t="str">
        <f t="shared" si="11"/>
        <v>Dosa</v>
      </c>
      <c r="AC148" s="2" t="str">
        <f t="shared" si="15"/>
        <v xml:space="preserve"> ROSEMERE </v>
      </c>
      <c r="AD148" s="26">
        <f t="shared" si="12"/>
        <v>5</v>
      </c>
      <c r="AE148" s="26">
        <f t="shared" ca="1" si="14"/>
        <v>527.12744062500133</v>
      </c>
      <c r="AF148" s="35"/>
    </row>
    <row r="149" spans="1:32" hidden="1">
      <c r="A149" s="209">
        <v>7726550</v>
      </c>
      <c r="B149" s="209" t="s">
        <v>81</v>
      </c>
      <c r="C149" s="210" t="s">
        <v>240</v>
      </c>
      <c r="D149" s="214"/>
      <c r="E149" s="214">
        <v>4118000206001</v>
      </c>
      <c r="F149" s="209" t="s">
        <v>29</v>
      </c>
      <c r="G149" s="209" t="s">
        <v>53</v>
      </c>
      <c r="H149" s="209" t="s">
        <v>71</v>
      </c>
      <c r="I149" s="209" t="s">
        <v>72</v>
      </c>
      <c r="J149" s="209" t="s">
        <v>46</v>
      </c>
      <c r="K149" s="210" t="s">
        <v>34</v>
      </c>
      <c r="L149" s="210"/>
      <c r="M149" s="209" t="s">
        <v>35</v>
      </c>
      <c r="N149" s="209">
        <v>42318949</v>
      </c>
      <c r="O149" s="209" t="s">
        <v>36</v>
      </c>
      <c r="P149" s="213">
        <v>44459.548831018517</v>
      </c>
      <c r="Q149" s="209"/>
      <c r="R149" s="209" t="s">
        <v>38</v>
      </c>
      <c r="S149" s="209"/>
      <c r="T149" s="209" t="s">
        <v>74</v>
      </c>
      <c r="U149" s="213">
        <v>44460.548831018517</v>
      </c>
      <c r="V149" s="209" t="s">
        <v>41</v>
      </c>
      <c r="W149" s="209" t="s">
        <v>49</v>
      </c>
      <c r="X149" s="13" t="str">
        <f>IF(RIGHT(H149,2)&lt;&gt;"00",H149,"")</f>
        <v/>
      </c>
      <c r="Y149" s="26">
        <f ca="1">NETWORKDAYS(P149,$Y$1)</f>
        <v>378</v>
      </c>
      <c r="Z149" s="34">
        <v>1</v>
      </c>
      <c r="AA149" s="25" t="str">
        <f t="shared" ca="1" si="13"/>
        <v>A VENCER</v>
      </c>
      <c r="AB149" s="25" t="str">
        <f t="shared" si="11"/>
        <v>Dosa</v>
      </c>
      <c r="AC149" s="2" t="str">
        <f t="shared" si="15"/>
        <v xml:space="preserve"> CLEITON </v>
      </c>
      <c r="AD149" s="26">
        <f t="shared" si="12"/>
        <v>5</v>
      </c>
      <c r="AE149" s="26">
        <f t="shared" ca="1" si="14"/>
        <v>527.12744062500133</v>
      </c>
      <c r="AF149" s="35"/>
    </row>
    <row r="150" spans="1:32" hidden="1">
      <c r="A150" s="209">
        <v>7726549</v>
      </c>
      <c r="B150" s="209" t="s">
        <v>81</v>
      </c>
      <c r="C150" s="210" t="s">
        <v>240</v>
      </c>
      <c r="D150" s="214"/>
      <c r="E150" s="214">
        <v>1245000206001</v>
      </c>
      <c r="F150" s="209" t="s">
        <v>29</v>
      </c>
      <c r="G150" s="209" t="s">
        <v>53</v>
      </c>
      <c r="H150" s="209" t="s">
        <v>408</v>
      </c>
      <c r="I150" s="209" t="s">
        <v>409</v>
      </c>
      <c r="J150" s="209" t="s">
        <v>46</v>
      </c>
      <c r="K150" s="210" t="s">
        <v>34</v>
      </c>
      <c r="L150" s="210"/>
      <c r="M150" s="209" t="s">
        <v>35</v>
      </c>
      <c r="N150" s="209">
        <v>42318949</v>
      </c>
      <c r="O150" s="209" t="s">
        <v>36</v>
      </c>
      <c r="P150" s="213">
        <v>44459.548819444448</v>
      </c>
      <c r="Q150" s="209"/>
      <c r="R150" s="209" t="s">
        <v>38</v>
      </c>
      <c r="S150" s="209"/>
      <c r="T150" s="209" t="s">
        <v>74</v>
      </c>
      <c r="U150" s="213">
        <v>44460.548819444448</v>
      </c>
      <c r="V150" s="209" t="s">
        <v>41</v>
      </c>
      <c r="W150" s="209" t="s">
        <v>49</v>
      </c>
      <c r="X150" s="13" t="str">
        <f>IF(RIGHT(H150,2)&lt;&gt;"00",H150,"")</f>
        <v/>
      </c>
      <c r="Y150" s="26">
        <f ca="1">NETWORKDAYS(P150,$Y$1)</f>
        <v>378</v>
      </c>
      <c r="Z150" s="34">
        <v>1</v>
      </c>
      <c r="AA150" s="25" t="str">
        <f t="shared" ca="1" si="13"/>
        <v>A VENCER</v>
      </c>
      <c r="AB150" s="25" t="str">
        <f t="shared" si="11"/>
        <v>Dosa</v>
      </c>
      <c r="AC150" s="2" t="str">
        <f t="shared" si="15"/>
        <v xml:space="preserve"> CLEITON </v>
      </c>
      <c r="AD150" s="26">
        <f t="shared" si="12"/>
        <v>5</v>
      </c>
      <c r="AE150" s="26">
        <f t="shared" ca="1" si="14"/>
        <v>527.12745219907083</v>
      </c>
      <c r="AF150" s="35"/>
    </row>
    <row r="151" spans="1:32" hidden="1">
      <c r="A151" s="209">
        <v>7726548</v>
      </c>
      <c r="B151" s="209" t="s">
        <v>81</v>
      </c>
      <c r="C151" s="210" t="s">
        <v>240</v>
      </c>
      <c r="D151" s="214"/>
      <c r="E151" s="214">
        <v>981000206001</v>
      </c>
      <c r="F151" s="209" t="s">
        <v>29</v>
      </c>
      <c r="G151" s="209" t="s">
        <v>53</v>
      </c>
      <c r="H151" s="209" t="s">
        <v>410</v>
      </c>
      <c r="I151" s="209" t="s">
        <v>411</v>
      </c>
      <c r="J151" s="209" t="s">
        <v>85</v>
      </c>
      <c r="K151" s="210" t="s">
        <v>34</v>
      </c>
      <c r="L151" s="210"/>
      <c r="M151" s="209" t="s">
        <v>35</v>
      </c>
      <c r="N151" s="209">
        <v>42318949</v>
      </c>
      <c r="O151" s="209" t="s">
        <v>36</v>
      </c>
      <c r="P151" s="213">
        <v>44459.548819444448</v>
      </c>
      <c r="Q151" s="209"/>
      <c r="R151" s="209" t="s">
        <v>38</v>
      </c>
      <c r="S151" s="209"/>
      <c r="T151" s="209" t="s">
        <v>74</v>
      </c>
      <c r="U151" s="213">
        <v>44460.548819444448</v>
      </c>
      <c r="V151" s="209" t="s">
        <v>41</v>
      </c>
      <c r="W151" s="209" t="s">
        <v>49</v>
      </c>
      <c r="X151" s="13" t="str">
        <f>IF(RIGHT(H151,2)&lt;&gt;"00",H151,"")</f>
        <v/>
      </c>
      <c r="Y151" s="26">
        <f ca="1">NETWORKDAYS(P151,$Y$1)</f>
        <v>378</v>
      </c>
      <c r="Z151" s="34">
        <v>1</v>
      </c>
      <c r="AA151" s="25" t="str">
        <f t="shared" ca="1" si="13"/>
        <v>A VENCER</v>
      </c>
      <c r="AB151" s="25" t="str">
        <f t="shared" si="11"/>
        <v>Dosa</v>
      </c>
      <c r="AC151" s="2" t="str">
        <f t="shared" si="15"/>
        <v xml:space="preserve"> RINALDO </v>
      </c>
      <c r="AD151" s="26">
        <f t="shared" si="12"/>
        <v>5</v>
      </c>
      <c r="AE151" s="26">
        <f t="shared" ca="1" si="14"/>
        <v>527.12745219907083</v>
      </c>
      <c r="AF151" s="35"/>
    </row>
    <row r="152" spans="1:32" hidden="1">
      <c r="A152" s="209">
        <v>7726545</v>
      </c>
      <c r="B152" s="209" t="s">
        <v>81</v>
      </c>
      <c r="C152" s="210" t="s">
        <v>240</v>
      </c>
      <c r="D152" s="214"/>
      <c r="E152" s="214">
        <v>5816000206001</v>
      </c>
      <c r="F152" s="209" t="s">
        <v>29</v>
      </c>
      <c r="G152" s="209" t="s">
        <v>53</v>
      </c>
      <c r="H152" s="209" t="s">
        <v>412</v>
      </c>
      <c r="I152" s="209" t="s">
        <v>413</v>
      </c>
      <c r="J152" s="209" t="s">
        <v>46</v>
      </c>
      <c r="K152" s="210" t="s">
        <v>34</v>
      </c>
      <c r="L152" s="210"/>
      <c r="M152" s="209" t="s">
        <v>35</v>
      </c>
      <c r="N152" s="209">
        <v>42318949</v>
      </c>
      <c r="O152" s="209" t="s">
        <v>36</v>
      </c>
      <c r="P152" s="213">
        <v>44459.548819444448</v>
      </c>
      <c r="Q152" s="209"/>
      <c r="R152" s="209" t="s">
        <v>38</v>
      </c>
      <c r="S152" s="209"/>
      <c r="T152" s="209" t="s">
        <v>74</v>
      </c>
      <c r="U152" s="213">
        <v>44460.548819444448</v>
      </c>
      <c r="V152" s="209" t="s">
        <v>41</v>
      </c>
      <c r="W152" s="209" t="s">
        <v>49</v>
      </c>
      <c r="X152" s="13" t="str">
        <f>IF(RIGHT(H152,2)&lt;&gt;"00",H152,"")</f>
        <v/>
      </c>
      <c r="Y152" s="26">
        <f ca="1">NETWORKDAYS(P152,$Y$1)</f>
        <v>378</v>
      </c>
      <c r="Z152" s="34">
        <v>1</v>
      </c>
      <c r="AA152" s="25" t="str">
        <f t="shared" ca="1" si="13"/>
        <v>A VENCER</v>
      </c>
      <c r="AB152" s="25" t="str">
        <f t="shared" si="11"/>
        <v>Dosa</v>
      </c>
      <c r="AC152" s="2" t="str">
        <f t="shared" si="15"/>
        <v xml:space="preserve"> CLEITON </v>
      </c>
      <c r="AD152" s="26">
        <f t="shared" si="12"/>
        <v>5</v>
      </c>
      <c r="AE152" s="26">
        <f t="shared" ca="1" si="14"/>
        <v>527.12745219907083</v>
      </c>
      <c r="AF152" s="35"/>
    </row>
    <row r="153" spans="1:32" hidden="1">
      <c r="A153" s="209">
        <v>7726543</v>
      </c>
      <c r="B153" s="209" t="s">
        <v>81</v>
      </c>
      <c r="C153" s="210" t="s">
        <v>240</v>
      </c>
      <c r="D153" s="214"/>
      <c r="E153" s="214">
        <v>1666000206001</v>
      </c>
      <c r="F153" s="209" t="s">
        <v>29</v>
      </c>
      <c r="G153" s="209" t="s">
        <v>53</v>
      </c>
      <c r="H153" s="209" t="s">
        <v>414</v>
      </c>
      <c r="I153" s="209" t="s">
        <v>415</v>
      </c>
      <c r="J153" s="209" t="s">
        <v>79</v>
      </c>
      <c r="K153" s="210" t="s">
        <v>34</v>
      </c>
      <c r="L153" s="210"/>
      <c r="M153" s="209" t="s">
        <v>35</v>
      </c>
      <c r="N153" s="209">
        <v>42318949</v>
      </c>
      <c r="O153" s="209" t="s">
        <v>36</v>
      </c>
      <c r="P153" s="213">
        <v>44459.548819444448</v>
      </c>
      <c r="Q153" s="209"/>
      <c r="R153" s="209" t="s">
        <v>38</v>
      </c>
      <c r="S153" s="209"/>
      <c r="T153" s="209" t="s">
        <v>74</v>
      </c>
      <c r="U153" s="213">
        <v>44460.548819444448</v>
      </c>
      <c r="V153" s="209" t="s">
        <v>41</v>
      </c>
      <c r="W153" s="209" t="s">
        <v>49</v>
      </c>
      <c r="X153" s="13" t="str">
        <f>IF(RIGHT(H153,2)&lt;&gt;"00",H153,"")</f>
        <v/>
      </c>
      <c r="Y153" s="26">
        <f ca="1">NETWORKDAYS(P153,$Y$1)</f>
        <v>378</v>
      </c>
      <c r="Z153" s="34">
        <v>1</v>
      </c>
      <c r="AA153" s="25" t="str">
        <f t="shared" ca="1" si="13"/>
        <v>A VENCER</v>
      </c>
      <c r="AB153" s="25" t="str">
        <f t="shared" si="11"/>
        <v>Dosa</v>
      </c>
      <c r="AC153" s="2" t="str">
        <f t="shared" si="15"/>
        <v xml:space="preserve"> ROSEMERE </v>
      </c>
      <c r="AD153" s="26">
        <f t="shared" si="12"/>
        <v>5</v>
      </c>
      <c r="AE153" s="26">
        <f t="shared" ca="1" si="14"/>
        <v>527.12745219907083</v>
      </c>
      <c r="AF153" s="35"/>
    </row>
    <row r="154" spans="1:32" hidden="1">
      <c r="A154" s="209">
        <v>7726541</v>
      </c>
      <c r="B154" s="209" t="s">
        <v>81</v>
      </c>
      <c r="C154" s="210" t="s">
        <v>240</v>
      </c>
      <c r="D154" s="214"/>
      <c r="E154" s="214">
        <v>1739000206001</v>
      </c>
      <c r="F154" s="209" t="s">
        <v>29</v>
      </c>
      <c r="G154" s="209" t="s">
        <v>53</v>
      </c>
      <c r="H154" s="209" t="s">
        <v>162</v>
      </c>
      <c r="I154" s="209" t="s">
        <v>163</v>
      </c>
      <c r="J154" s="209" t="s">
        <v>164</v>
      </c>
      <c r="K154" s="210" t="s">
        <v>34</v>
      </c>
      <c r="L154" s="210"/>
      <c r="M154" s="209" t="s">
        <v>35</v>
      </c>
      <c r="N154" s="209">
        <v>42318949</v>
      </c>
      <c r="O154" s="209" t="s">
        <v>36</v>
      </c>
      <c r="P154" s="213">
        <v>44459.548807870371</v>
      </c>
      <c r="Q154" s="209"/>
      <c r="R154" s="209" t="s">
        <v>38</v>
      </c>
      <c r="S154" s="209"/>
      <c r="T154" s="209" t="s">
        <v>74</v>
      </c>
      <c r="U154" s="213">
        <v>44460.548807870371</v>
      </c>
      <c r="V154" s="209" t="s">
        <v>41</v>
      </c>
      <c r="W154" s="209" t="s">
        <v>49</v>
      </c>
      <c r="X154" s="13" t="str">
        <f>IF(RIGHT(H154,2)&lt;&gt;"00",H154,"")</f>
        <v/>
      </c>
      <c r="Y154" s="26">
        <f ca="1">NETWORKDAYS(P154,$Y$1)</f>
        <v>378</v>
      </c>
      <c r="Z154" s="34">
        <v>1</v>
      </c>
      <c r="AA154" s="25" t="str">
        <f t="shared" ca="1" si="13"/>
        <v>A VENCER</v>
      </c>
      <c r="AB154" s="25" t="str">
        <f t="shared" si="11"/>
        <v>Dosa</v>
      </c>
      <c r="AC154" s="2" t="str">
        <f t="shared" si="15"/>
        <v xml:space="preserve"> ROSEMERE </v>
      </c>
      <c r="AD154" s="26">
        <f t="shared" si="12"/>
        <v>5</v>
      </c>
      <c r="AE154" s="26">
        <f t="shared" ca="1" si="14"/>
        <v>527.12746377314761</v>
      </c>
      <c r="AF154" s="35"/>
    </row>
    <row r="155" spans="1:32" hidden="1">
      <c r="A155" s="209">
        <v>7726540</v>
      </c>
      <c r="B155" s="209" t="s">
        <v>81</v>
      </c>
      <c r="C155" s="210" t="s">
        <v>240</v>
      </c>
      <c r="D155" s="214"/>
      <c r="E155" s="214">
        <v>2437000206001</v>
      </c>
      <c r="F155" s="209" t="s">
        <v>29</v>
      </c>
      <c r="G155" s="209" t="s">
        <v>53</v>
      </c>
      <c r="H155" s="209" t="s">
        <v>416</v>
      </c>
      <c r="I155" s="209" t="s">
        <v>417</v>
      </c>
      <c r="J155" s="209" t="s">
        <v>211</v>
      </c>
      <c r="K155" s="210" t="s">
        <v>34</v>
      </c>
      <c r="L155" s="210"/>
      <c r="M155" s="209" t="s">
        <v>35</v>
      </c>
      <c r="N155" s="209">
        <v>42318949</v>
      </c>
      <c r="O155" s="209" t="s">
        <v>36</v>
      </c>
      <c r="P155" s="213">
        <v>44459.548807870371</v>
      </c>
      <c r="Q155" s="209"/>
      <c r="R155" s="209" t="s">
        <v>38</v>
      </c>
      <c r="S155" s="209"/>
      <c r="T155" s="209" t="s">
        <v>74</v>
      </c>
      <c r="U155" s="213">
        <v>44460.548807870371</v>
      </c>
      <c r="V155" s="209" t="s">
        <v>41</v>
      </c>
      <c r="W155" s="209" t="s">
        <v>49</v>
      </c>
      <c r="X155" s="13" t="str">
        <f>IF(RIGHT(H155,2)&lt;&gt;"00",H155,"")</f>
        <v/>
      </c>
      <c r="Y155" s="26">
        <f ca="1">NETWORKDAYS(P155,$Y$1)</f>
        <v>378</v>
      </c>
      <c r="Z155" s="34">
        <v>1</v>
      </c>
      <c r="AA155" s="25" t="str">
        <f t="shared" ca="1" si="13"/>
        <v>A VENCER</v>
      </c>
      <c r="AB155" s="25" t="str">
        <f t="shared" si="11"/>
        <v>Dosa</v>
      </c>
      <c r="AC155" s="2" t="str">
        <f t="shared" si="15"/>
        <v xml:space="preserve"> RINALDO </v>
      </c>
      <c r="AD155" s="26">
        <f t="shared" si="12"/>
        <v>5</v>
      </c>
      <c r="AE155" s="26">
        <f t="shared" ca="1" si="14"/>
        <v>527.12746377314761</v>
      </c>
      <c r="AF155" s="35"/>
    </row>
    <row r="156" spans="1:32" hidden="1">
      <c r="A156" s="209">
        <v>7726539</v>
      </c>
      <c r="B156" s="209" t="s">
        <v>81</v>
      </c>
      <c r="C156" s="210" t="s">
        <v>240</v>
      </c>
      <c r="D156" s="214"/>
      <c r="E156" s="214">
        <v>2889000206001</v>
      </c>
      <c r="F156" s="209" t="s">
        <v>29</v>
      </c>
      <c r="G156" s="209" t="s">
        <v>53</v>
      </c>
      <c r="H156" s="209" t="s">
        <v>418</v>
      </c>
      <c r="I156" s="209" t="s">
        <v>419</v>
      </c>
      <c r="J156" s="209" t="s">
        <v>46</v>
      </c>
      <c r="K156" s="210" t="s">
        <v>34</v>
      </c>
      <c r="L156" s="210"/>
      <c r="M156" s="209" t="s">
        <v>35</v>
      </c>
      <c r="N156" s="209">
        <v>42318949</v>
      </c>
      <c r="O156" s="209" t="s">
        <v>36</v>
      </c>
      <c r="P156" s="213">
        <v>44459.548807870371</v>
      </c>
      <c r="Q156" s="209"/>
      <c r="R156" s="209" t="s">
        <v>38</v>
      </c>
      <c r="S156" s="209"/>
      <c r="T156" s="209" t="s">
        <v>74</v>
      </c>
      <c r="U156" s="213">
        <v>44460.548807870371</v>
      </c>
      <c r="V156" s="209" t="s">
        <v>41</v>
      </c>
      <c r="W156" s="209" t="s">
        <v>49</v>
      </c>
      <c r="X156" s="13" t="str">
        <f>IF(RIGHT(H156,2)&lt;&gt;"00",H156,"")</f>
        <v/>
      </c>
      <c r="Y156" s="26">
        <f ca="1">NETWORKDAYS(P156,$Y$1)</f>
        <v>378</v>
      </c>
      <c r="Z156" s="34">
        <v>1</v>
      </c>
      <c r="AA156" s="25" t="str">
        <f t="shared" ca="1" si="13"/>
        <v>A VENCER</v>
      </c>
      <c r="AB156" s="25" t="str">
        <f t="shared" si="11"/>
        <v>Dosa</v>
      </c>
      <c r="AC156" s="2" t="str">
        <f t="shared" si="15"/>
        <v xml:space="preserve"> CLEITON </v>
      </c>
      <c r="AD156" s="26">
        <f t="shared" si="12"/>
        <v>5</v>
      </c>
      <c r="AE156" s="26">
        <f t="shared" ca="1" si="14"/>
        <v>527.12746377314761</v>
      </c>
      <c r="AF156" s="35"/>
    </row>
    <row r="157" spans="1:32" hidden="1">
      <c r="A157" s="209">
        <v>7726538</v>
      </c>
      <c r="B157" s="209" t="s">
        <v>81</v>
      </c>
      <c r="C157" s="210" t="s">
        <v>240</v>
      </c>
      <c r="D157" s="214"/>
      <c r="E157" s="214">
        <v>605000206001</v>
      </c>
      <c r="F157" s="209" t="s">
        <v>29</v>
      </c>
      <c r="G157" s="209" t="s">
        <v>53</v>
      </c>
      <c r="H157" s="209" t="s">
        <v>420</v>
      </c>
      <c r="I157" s="209" t="s">
        <v>421</v>
      </c>
      <c r="J157" s="209" t="s">
        <v>90</v>
      </c>
      <c r="K157" s="210" t="s">
        <v>34</v>
      </c>
      <c r="L157" s="210"/>
      <c r="M157" s="209" t="s">
        <v>35</v>
      </c>
      <c r="N157" s="209">
        <v>42318949</v>
      </c>
      <c r="O157" s="209" t="s">
        <v>36</v>
      </c>
      <c r="P157" s="213">
        <v>44459.548807870371</v>
      </c>
      <c r="Q157" s="209"/>
      <c r="R157" s="209" t="s">
        <v>38</v>
      </c>
      <c r="S157" s="209"/>
      <c r="T157" s="209" t="s">
        <v>74</v>
      </c>
      <c r="U157" s="213">
        <v>44460.548807870371</v>
      </c>
      <c r="V157" s="209" t="s">
        <v>41</v>
      </c>
      <c r="W157" s="209" t="s">
        <v>49</v>
      </c>
      <c r="X157" s="13" t="str">
        <f>IF(RIGHT(H157,2)&lt;&gt;"00",H157,"")</f>
        <v/>
      </c>
      <c r="Y157" s="26">
        <f ca="1">NETWORKDAYS(P157,$Y$1)</f>
        <v>378</v>
      </c>
      <c r="Z157" s="34">
        <v>1</v>
      </c>
      <c r="AA157" s="25" t="str">
        <f t="shared" ca="1" si="13"/>
        <v>A VENCER</v>
      </c>
      <c r="AB157" s="25" t="str">
        <f t="shared" ref="AB157:AB220" si="16">IF(F157="GRPE-000001","C-14",IF(F157="GRPE-000002","C-14",IF(F157="GRPE-000003","C-14",IF(F157="GRPE-000004","SL-On",IF(F157="GRPE-000038","C-14",IF(F157="GRPE-900022","Dosa",IF(F157="GRPE-000029","Dosa",IF(F157="ATOS-000222","Dose","TAAe+"))))))))</f>
        <v>Dosa</v>
      </c>
      <c r="AC157" s="2" t="str">
        <f t="shared" si="15"/>
        <v xml:space="preserve"> RINALDO </v>
      </c>
      <c r="AD157" s="26">
        <f t="shared" ref="AD157:AD220" si="17">IF(F157="GRPE-000001",5,IF(F157="GRPE-000002",5,IF(F157="GRPE-000003",15,IF(F157="GRPE-000004",1,IF(F157="GRPE-000038",5,IF(F157="GRPE-900022",5,IF(F157="GRPE-000029",5,IF(F157="ATOS-000222",5,8))))))))</f>
        <v>5</v>
      </c>
      <c r="AE157" s="26">
        <f t="shared" ca="1" si="14"/>
        <v>527.12746377314761</v>
      </c>
      <c r="AF157" s="35"/>
    </row>
    <row r="158" spans="1:32" hidden="1">
      <c r="A158" s="209">
        <v>7726534</v>
      </c>
      <c r="B158" s="209" t="s">
        <v>81</v>
      </c>
      <c r="C158" s="210" t="s">
        <v>240</v>
      </c>
      <c r="D158" s="214"/>
      <c r="E158" s="214">
        <v>721000206001</v>
      </c>
      <c r="F158" s="209" t="s">
        <v>29</v>
      </c>
      <c r="G158" s="209" t="s">
        <v>53</v>
      </c>
      <c r="H158" s="209" t="s">
        <v>422</v>
      </c>
      <c r="I158" s="209" t="s">
        <v>423</v>
      </c>
      <c r="J158" s="209" t="s">
        <v>79</v>
      </c>
      <c r="K158" s="210" t="s">
        <v>34</v>
      </c>
      <c r="L158" s="210"/>
      <c r="M158" s="209" t="s">
        <v>35</v>
      </c>
      <c r="N158" s="209">
        <v>42318949</v>
      </c>
      <c r="O158" s="209" t="s">
        <v>36</v>
      </c>
      <c r="P158" s="213">
        <v>44459.548796296294</v>
      </c>
      <c r="Q158" s="209"/>
      <c r="R158" s="209" t="s">
        <v>38</v>
      </c>
      <c r="S158" s="209"/>
      <c r="T158" s="209" t="s">
        <v>74</v>
      </c>
      <c r="U158" s="213">
        <v>44460.548796296294</v>
      </c>
      <c r="V158" s="209" t="s">
        <v>41</v>
      </c>
      <c r="W158" s="209" t="s">
        <v>49</v>
      </c>
      <c r="X158" s="13" t="str">
        <f>IF(RIGHT(H158,2)&lt;&gt;"00",H158,"")</f>
        <v/>
      </c>
      <c r="Y158" s="26">
        <f ca="1">NETWORKDAYS(P158,$Y$1)</f>
        <v>378</v>
      </c>
      <c r="Z158" s="34">
        <v>1</v>
      </c>
      <c r="AA158" s="25" t="str">
        <f t="shared" ca="1" si="13"/>
        <v>A VENCER</v>
      </c>
      <c r="AB158" s="25" t="str">
        <f t="shared" si="16"/>
        <v>Dosa</v>
      </c>
      <c r="AC158" s="2" t="str">
        <f t="shared" si="15"/>
        <v xml:space="preserve"> ROSEMERE </v>
      </c>
      <c r="AD158" s="26">
        <f t="shared" si="17"/>
        <v>5</v>
      </c>
      <c r="AE158" s="26">
        <f t="shared" ca="1" si="14"/>
        <v>527.12747534722439</v>
      </c>
      <c r="AF158" s="35"/>
    </row>
    <row r="159" spans="1:32" hidden="1">
      <c r="A159" s="209">
        <v>7726532</v>
      </c>
      <c r="B159" s="209" t="s">
        <v>81</v>
      </c>
      <c r="C159" s="210" t="s">
        <v>240</v>
      </c>
      <c r="D159" s="214"/>
      <c r="E159" s="214">
        <v>233000206001</v>
      </c>
      <c r="F159" s="209" t="s">
        <v>29</v>
      </c>
      <c r="G159" s="209" t="s">
        <v>53</v>
      </c>
      <c r="H159" s="209" t="s">
        <v>424</v>
      </c>
      <c r="I159" s="209" t="s">
        <v>425</v>
      </c>
      <c r="J159" s="209" t="s">
        <v>261</v>
      </c>
      <c r="K159" s="210" t="s">
        <v>34</v>
      </c>
      <c r="L159" s="210"/>
      <c r="M159" s="209" t="s">
        <v>35</v>
      </c>
      <c r="N159" s="209">
        <v>42318949</v>
      </c>
      <c r="O159" s="209" t="s">
        <v>36</v>
      </c>
      <c r="P159" s="213">
        <v>44459.548796296294</v>
      </c>
      <c r="Q159" s="209"/>
      <c r="R159" s="209" t="s">
        <v>38</v>
      </c>
      <c r="S159" s="209"/>
      <c r="T159" s="209" t="s">
        <v>74</v>
      </c>
      <c r="U159" s="213">
        <v>44460.548796296294</v>
      </c>
      <c r="V159" s="209" t="s">
        <v>41</v>
      </c>
      <c r="W159" s="209" t="s">
        <v>49</v>
      </c>
      <c r="X159" s="13" t="str">
        <f>IF(RIGHT(H159,2)&lt;&gt;"00",H159,"")</f>
        <v/>
      </c>
      <c r="Y159" s="26">
        <f ca="1">NETWORKDAYS(P159,$Y$1)</f>
        <v>378</v>
      </c>
      <c r="Z159" s="34">
        <v>1</v>
      </c>
      <c r="AA159" s="25" t="str">
        <f t="shared" ca="1" si="13"/>
        <v>A VENCER</v>
      </c>
      <c r="AB159" s="25" t="str">
        <f t="shared" si="16"/>
        <v>Dosa</v>
      </c>
      <c r="AC159" s="2" t="str">
        <f t="shared" si="15"/>
        <v xml:space="preserve"> CRISTINA </v>
      </c>
      <c r="AD159" s="26">
        <f t="shared" si="17"/>
        <v>5</v>
      </c>
      <c r="AE159" s="26">
        <f t="shared" ca="1" si="14"/>
        <v>527.12747534722439</v>
      </c>
      <c r="AF159" s="35"/>
    </row>
    <row r="160" spans="1:32" hidden="1">
      <c r="A160" s="209">
        <v>7726531</v>
      </c>
      <c r="B160" s="209" t="s">
        <v>81</v>
      </c>
      <c r="C160" s="210" t="s">
        <v>240</v>
      </c>
      <c r="D160" s="214"/>
      <c r="E160" s="214">
        <v>4076000206001</v>
      </c>
      <c r="F160" s="209" t="s">
        <v>29</v>
      </c>
      <c r="G160" s="209" t="s">
        <v>53</v>
      </c>
      <c r="H160" s="209" t="s">
        <v>426</v>
      </c>
      <c r="I160" s="209" t="s">
        <v>427</v>
      </c>
      <c r="J160" s="209" t="s">
        <v>79</v>
      </c>
      <c r="K160" s="210" t="s">
        <v>34</v>
      </c>
      <c r="L160" s="210"/>
      <c r="M160" s="209" t="s">
        <v>35</v>
      </c>
      <c r="N160" s="209">
        <v>42318949</v>
      </c>
      <c r="O160" s="209" t="s">
        <v>36</v>
      </c>
      <c r="P160" s="213">
        <v>44459.548796296294</v>
      </c>
      <c r="Q160" s="209"/>
      <c r="R160" s="209" t="s">
        <v>38</v>
      </c>
      <c r="S160" s="209"/>
      <c r="T160" s="209" t="s">
        <v>74</v>
      </c>
      <c r="U160" s="213">
        <v>44460.548796296294</v>
      </c>
      <c r="V160" s="209" t="s">
        <v>41</v>
      </c>
      <c r="W160" s="209" t="s">
        <v>49</v>
      </c>
      <c r="X160" s="13" t="str">
        <f>IF(RIGHT(H160,2)&lt;&gt;"00",H160,"")</f>
        <v/>
      </c>
      <c r="Y160" s="26">
        <f ca="1">NETWORKDAYS(P160,$Y$1)</f>
        <v>378</v>
      </c>
      <c r="Z160" s="34">
        <v>1</v>
      </c>
      <c r="AA160" s="25" t="str">
        <f t="shared" ca="1" si="13"/>
        <v>A VENCER</v>
      </c>
      <c r="AB160" s="25" t="str">
        <f t="shared" si="16"/>
        <v>Dosa</v>
      </c>
      <c r="AC160" s="2" t="str">
        <f t="shared" si="15"/>
        <v xml:space="preserve"> ROSEMERE </v>
      </c>
      <c r="AD160" s="26">
        <f t="shared" si="17"/>
        <v>5</v>
      </c>
      <c r="AE160" s="26">
        <f t="shared" ca="1" si="14"/>
        <v>527.12747534722439</v>
      </c>
      <c r="AF160" s="35"/>
    </row>
    <row r="161" spans="1:32" hidden="1">
      <c r="A161" s="209">
        <v>7726528</v>
      </c>
      <c r="B161" s="209" t="s">
        <v>81</v>
      </c>
      <c r="C161" s="210" t="s">
        <v>240</v>
      </c>
      <c r="D161" s="214"/>
      <c r="E161" s="214">
        <v>934000206001</v>
      </c>
      <c r="F161" s="209" t="s">
        <v>29</v>
      </c>
      <c r="G161" s="209" t="s">
        <v>53</v>
      </c>
      <c r="H161" s="209" t="s">
        <v>428</v>
      </c>
      <c r="I161" s="209" t="s">
        <v>429</v>
      </c>
      <c r="J161" s="209" t="s">
        <v>46</v>
      </c>
      <c r="K161" s="210" t="s">
        <v>34</v>
      </c>
      <c r="L161" s="210"/>
      <c r="M161" s="209" t="s">
        <v>35</v>
      </c>
      <c r="N161" s="209">
        <v>42318949</v>
      </c>
      <c r="O161" s="209" t="s">
        <v>36</v>
      </c>
      <c r="P161" s="213">
        <v>44459.548784722225</v>
      </c>
      <c r="Q161" s="209"/>
      <c r="R161" s="209" t="s">
        <v>38</v>
      </c>
      <c r="S161" s="209"/>
      <c r="T161" s="209" t="s">
        <v>74</v>
      </c>
      <c r="U161" s="213">
        <v>44460.548784722225</v>
      </c>
      <c r="V161" s="209" t="s">
        <v>41</v>
      </c>
      <c r="W161" s="209" t="s">
        <v>49</v>
      </c>
      <c r="X161" s="13" t="str">
        <f>IF(RIGHT(H161,2)&lt;&gt;"00",H161,"")</f>
        <v/>
      </c>
      <c r="Y161" s="26">
        <f ca="1">NETWORKDAYS(P161,$Y$1)</f>
        <v>378</v>
      </c>
      <c r="Z161" s="34">
        <v>1</v>
      </c>
      <c r="AA161" s="25" t="str">
        <f t="shared" ca="1" si="13"/>
        <v>A VENCER</v>
      </c>
      <c r="AB161" s="25" t="str">
        <f t="shared" si="16"/>
        <v>Dosa</v>
      </c>
      <c r="AC161" s="2" t="str">
        <f t="shared" si="15"/>
        <v xml:space="preserve"> CLEITON </v>
      </c>
      <c r="AD161" s="26">
        <f t="shared" si="17"/>
        <v>5</v>
      </c>
      <c r="AE161" s="26">
        <f t="shared" ca="1" si="14"/>
        <v>527.12748692129389</v>
      </c>
      <c r="AF161" s="35"/>
    </row>
    <row r="162" spans="1:32" hidden="1">
      <c r="A162" s="209">
        <v>7726527</v>
      </c>
      <c r="B162" s="209" t="s">
        <v>81</v>
      </c>
      <c r="C162" s="210" t="s">
        <v>240</v>
      </c>
      <c r="D162" s="214"/>
      <c r="E162" s="214">
        <v>5742000206001</v>
      </c>
      <c r="F162" s="209" t="s">
        <v>29</v>
      </c>
      <c r="G162" s="209" t="s">
        <v>53</v>
      </c>
      <c r="H162" s="209" t="s">
        <v>430</v>
      </c>
      <c r="I162" s="209" t="s">
        <v>431</v>
      </c>
      <c r="J162" s="209" t="s">
        <v>79</v>
      </c>
      <c r="K162" s="210" t="s">
        <v>34</v>
      </c>
      <c r="L162" s="210"/>
      <c r="M162" s="209" t="s">
        <v>35</v>
      </c>
      <c r="N162" s="209">
        <v>42318949</v>
      </c>
      <c r="O162" s="209" t="s">
        <v>36</v>
      </c>
      <c r="P162" s="213">
        <v>44459.548784722225</v>
      </c>
      <c r="Q162" s="209"/>
      <c r="R162" s="209" t="s">
        <v>38</v>
      </c>
      <c r="S162" s="209"/>
      <c r="T162" s="209" t="s">
        <v>74</v>
      </c>
      <c r="U162" s="213">
        <v>44460.548784722225</v>
      </c>
      <c r="V162" s="209" t="s">
        <v>41</v>
      </c>
      <c r="W162" s="209" t="s">
        <v>49</v>
      </c>
      <c r="X162" s="13" t="str">
        <f>IF(RIGHT(H162,2)&lt;&gt;"00",H162,"")</f>
        <v/>
      </c>
      <c r="Y162" s="26">
        <f ca="1">NETWORKDAYS(P162,$Y$1)</f>
        <v>378</v>
      </c>
      <c r="Z162" s="34">
        <v>1</v>
      </c>
      <c r="AA162" s="25" t="str">
        <f t="shared" ca="1" si="13"/>
        <v>A VENCER</v>
      </c>
      <c r="AB162" s="25" t="str">
        <f t="shared" si="16"/>
        <v>Dosa</v>
      </c>
      <c r="AC162" s="2" t="str">
        <f t="shared" si="15"/>
        <v xml:space="preserve"> ROSEMERE </v>
      </c>
      <c r="AD162" s="26">
        <f t="shared" si="17"/>
        <v>5</v>
      </c>
      <c r="AE162" s="26">
        <f t="shared" ca="1" si="14"/>
        <v>527.12748692129389</v>
      </c>
      <c r="AF162" s="35"/>
    </row>
    <row r="163" spans="1:32" hidden="1">
      <c r="A163" s="209">
        <v>7726525</v>
      </c>
      <c r="B163" s="209" t="s">
        <v>81</v>
      </c>
      <c r="C163" s="210" t="s">
        <v>240</v>
      </c>
      <c r="D163" s="214"/>
      <c r="E163" s="214">
        <v>446000206001</v>
      </c>
      <c r="F163" s="209" t="s">
        <v>29</v>
      </c>
      <c r="G163" s="209" t="s">
        <v>53</v>
      </c>
      <c r="H163" s="209" t="s">
        <v>432</v>
      </c>
      <c r="I163" s="209" t="s">
        <v>433</v>
      </c>
      <c r="J163" s="209" t="s">
        <v>110</v>
      </c>
      <c r="K163" s="210" t="s">
        <v>34</v>
      </c>
      <c r="L163" s="210"/>
      <c r="M163" s="209" t="s">
        <v>35</v>
      </c>
      <c r="N163" s="209">
        <v>42318949</v>
      </c>
      <c r="O163" s="209" t="s">
        <v>36</v>
      </c>
      <c r="P163" s="213">
        <v>44459.548784722225</v>
      </c>
      <c r="Q163" s="209"/>
      <c r="R163" s="209" t="s">
        <v>38</v>
      </c>
      <c r="S163" s="209"/>
      <c r="T163" s="209" t="s">
        <v>74</v>
      </c>
      <c r="U163" s="213">
        <v>44460.548784722225</v>
      </c>
      <c r="V163" s="209" t="s">
        <v>41</v>
      </c>
      <c r="W163" s="209" t="s">
        <v>49</v>
      </c>
      <c r="X163" s="13" t="str">
        <f>IF(RIGHT(H163,2)&lt;&gt;"00",H163,"")</f>
        <v/>
      </c>
      <c r="Y163" s="26">
        <f ca="1">NETWORKDAYS(P163,$Y$1)</f>
        <v>378</v>
      </c>
      <c r="Z163" s="34">
        <v>1</v>
      </c>
      <c r="AA163" s="25" t="str">
        <f t="shared" ca="1" si="13"/>
        <v>A VENCER</v>
      </c>
      <c r="AB163" s="25" t="str">
        <f t="shared" si="16"/>
        <v>Dosa</v>
      </c>
      <c r="AC163" s="2" t="str">
        <f t="shared" si="15"/>
        <v xml:space="preserve"> CRISTINA </v>
      </c>
      <c r="AD163" s="26">
        <f t="shared" si="17"/>
        <v>5</v>
      </c>
      <c r="AE163" s="26">
        <f t="shared" ca="1" si="14"/>
        <v>527.12748692129389</v>
      </c>
      <c r="AF163" s="35"/>
    </row>
    <row r="164" spans="1:32" hidden="1">
      <c r="A164" s="209">
        <v>7726524</v>
      </c>
      <c r="B164" s="209" t="s">
        <v>81</v>
      </c>
      <c r="C164" s="210" t="s">
        <v>240</v>
      </c>
      <c r="D164" s="214"/>
      <c r="E164" s="214">
        <v>570000206001</v>
      </c>
      <c r="F164" s="209" t="s">
        <v>29</v>
      </c>
      <c r="G164" s="209" t="s">
        <v>53</v>
      </c>
      <c r="H164" s="209" t="s">
        <v>434</v>
      </c>
      <c r="I164" s="209" t="s">
        <v>435</v>
      </c>
      <c r="J164" s="209" t="s">
        <v>148</v>
      </c>
      <c r="K164" s="210" t="s">
        <v>34</v>
      </c>
      <c r="L164" s="210"/>
      <c r="M164" s="209" t="s">
        <v>35</v>
      </c>
      <c r="N164" s="209">
        <v>42318949</v>
      </c>
      <c r="O164" s="209" t="s">
        <v>36</v>
      </c>
      <c r="P164" s="213">
        <v>44459.548784722225</v>
      </c>
      <c r="Q164" s="209"/>
      <c r="R164" s="209" t="s">
        <v>38</v>
      </c>
      <c r="S164" s="209"/>
      <c r="T164" s="209" t="s">
        <v>74</v>
      </c>
      <c r="U164" s="213">
        <v>44460.548784722225</v>
      </c>
      <c r="V164" s="209" t="s">
        <v>41</v>
      </c>
      <c r="W164" s="209" t="s">
        <v>49</v>
      </c>
      <c r="X164" s="13" t="str">
        <f>IF(RIGHT(H164,2)&lt;&gt;"00",H164,"")</f>
        <v/>
      </c>
      <c r="Y164" s="26">
        <f ca="1">NETWORKDAYS(P164,$Y$1)</f>
        <v>378</v>
      </c>
      <c r="Z164" s="34">
        <v>1</v>
      </c>
      <c r="AA164" s="25" t="str">
        <f t="shared" ca="1" si="13"/>
        <v>A VENCER</v>
      </c>
      <c r="AB164" s="25" t="str">
        <f t="shared" si="16"/>
        <v>Dosa</v>
      </c>
      <c r="AC164" s="2" t="str">
        <f t="shared" si="15"/>
        <v xml:space="preserve"> RINALDO </v>
      </c>
      <c r="AD164" s="26">
        <f t="shared" si="17"/>
        <v>5</v>
      </c>
      <c r="AE164" s="26">
        <f t="shared" ca="1" si="14"/>
        <v>527.12748692129389</v>
      </c>
      <c r="AF164" s="35"/>
    </row>
    <row r="165" spans="1:32" hidden="1">
      <c r="A165" s="209">
        <v>7726522</v>
      </c>
      <c r="B165" s="209" t="s">
        <v>81</v>
      </c>
      <c r="C165" s="210" t="s">
        <v>240</v>
      </c>
      <c r="D165" s="214"/>
      <c r="E165" s="214">
        <v>917000206001</v>
      </c>
      <c r="F165" s="209" t="s">
        <v>29</v>
      </c>
      <c r="G165" s="209" t="s">
        <v>53</v>
      </c>
      <c r="H165" s="209" t="s">
        <v>83</v>
      </c>
      <c r="I165" s="209" t="s">
        <v>84</v>
      </c>
      <c r="J165" s="209" t="s">
        <v>85</v>
      </c>
      <c r="K165" s="210" t="s">
        <v>34</v>
      </c>
      <c r="L165" s="210"/>
      <c r="M165" s="209" t="s">
        <v>35</v>
      </c>
      <c r="N165" s="209">
        <v>42318949</v>
      </c>
      <c r="O165" s="209" t="s">
        <v>36</v>
      </c>
      <c r="P165" s="213">
        <v>44459.548784722225</v>
      </c>
      <c r="Q165" s="209"/>
      <c r="R165" s="209" t="s">
        <v>38</v>
      </c>
      <c r="S165" s="209"/>
      <c r="T165" s="209" t="s">
        <v>74</v>
      </c>
      <c r="U165" s="213">
        <v>44460.548784722225</v>
      </c>
      <c r="V165" s="209" t="s">
        <v>41</v>
      </c>
      <c r="W165" s="209" t="s">
        <v>49</v>
      </c>
      <c r="X165" s="13" t="str">
        <f>IF(RIGHT(H165,2)&lt;&gt;"00",H165,"")</f>
        <v/>
      </c>
      <c r="Y165" s="26">
        <f ca="1">NETWORKDAYS(P165,$Y$1)</f>
        <v>378</v>
      </c>
      <c r="Z165" s="34">
        <v>1</v>
      </c>
      <c r="AA165" s="25" t="str">
        <f t="shared" ca="1" si="13"/>
        <v>A VENCER</v>
      </c>
      <c r="AB165" s="25" t="str">
        <f t="shared" si="16"/>
        <v>Dosa</v>
      </c>
      <c r="AC165" s="2" t="str">
        <f t="shared" si="15"/>
        <v xml:space="preserve"> RINALDO </v>
      </c>
      <c r="AD165" s="26">
        <f t="shared" si="17"/>
        <v>5</v>
      </c>
      <c r="AE165" s="26">
        <f t="shared" ca="1" si="14"/>
        <v>527.12748692129389</v>
      </c>
      <c r="AF165" s="35"/>
    </row>
    <row r="166" spans="1:32" hidden="1">
      <c r="A166" s="209">
        <v>7726519</v>
      </c>
      <c r="B166" s="209" t="s">
        <v>81</v>
      </c>
      <c r="C166" s="210" t="s">
        <v>240</v>
      </c>
      <c r="D166" s="214"/>
      <c r="E166" s="214">
        <v>608000206001</v>
      </c>
      <c r="F166" s="209" t="s">
        <v>29</v>
      </c>
      <c r="G166" s="209" t="s">
        <v>53</v>
      </c>
      <c r="H166" s="209" t="s">
        <v>438</v>
      </c>
      <c r="I166" s="209" t="s">
        <v>439</v>
      </c>
      <c r="J166" s="209" t="s">
        <v>148</v>
      </c>
      <c r="K166" s="210" t="s">
        <v>34</v>
      </c>
      <c r="L166" s="210"/>
      <c r="M166" s="209" t="s">
        <v>35</v>
      </c>
      <c r="N166" s="209">
        <v>42318949</v>
      </c>
      <c r="O166" s="209" t="s">
        <v>36</v>
      </c>
      <c r="P166" s="213">
        <v>44459.548773148148</v>
      </c>
      <c r="Q166" s="209"/>
      <c r="R166" s="209" t="s">
        <v>38</v>
      </c>
      <c r="S166" s="209"/>
      <c r="T166" s="209" t="s">
        <v>74</v>
      </c>
      <c r="U166" s="213">
        <v>44460.548773148148</v>
      </c>
      <c r="V166" s="209" t="s">
        <v>41</v>
      </c>
      <c r="W166" s="209" t="s">
        <v>49</v>
      </c>
      <c r="X166" s="13" t="str">
        <f>IF(RIGHT(H166,2)&lt;&gt;"00",H166,"")</f>
        <v/>
      </c>
      <c r="Y166" s="26">
        <f ca="1">NETWORKDAYS(P166,$Y$1)</f>
        <v>378</v>
      </c>
      <c r="Z166" s="34">
        <v>1</v>
      </c>
      <c r="AA166" s="25" t="str">
        <f t="shared" ca="1" si="13"/>
        <v>A VENCER</v>
      </c>
      <c r="AB166" s="25" t="str">
        <f t="shared" si="16"/>
        <v>Dosa</v>
      </c>
      <c r="AC166" s="2" t="str">
        <f t="shared" si="15"/>
        <v xml:space="preserve"> RINALDO </v>
      </c>
      <c r="AD166" s="26">
        <f t="shared" si="17"/>
        <v>5</v>
      </c>
      <c r="AE166" s="26">
        <f t="shared" ca="1" si="14"/>
        <v>527.12749849537067</v>
      </c>
      <c r="AF166" s="35"/>
    </row>
    <row r="167" spans="1:32" hidden="1">
      <c r="A167" s="209">
        <v>7726518</v>
      </c>
      <c r="B167" s="209" t="s">
        <v>81</v>
      </c>
      <c r="C167" s="210" t="s">
        <v>240</v>
      </c>
      <c r="D167" s="214"/>
      <c r="E167" s="214">
        <v>537000206001</v>
      </c>
      <c r="F167" s="209" t="s">
        <v>29</v>
      </c>
      <c r="G167" s="209" t="s">
        <v>53</v>
      </c>
      <c r="H167" s="209" t="s">
        <v>442</v>
      </c>
      <c r="I167" s="209" t="s">
        <v>443</v>
      </c>
      <c r="J167" s="209" t="s">
        <v>79</v>
      </c>
      <c r="K167" s="210" t="s">
        <v>34</v>
      </c>
      <c r="L167" s="210"/>
      <c r="M167" s="209" t="s">
        <v>35</v>
      </c>
      <c r="N167" s="209">
        <v>42318949</v>
      </c>
      <c r="O167" s="209" t="s">
        <v>36</v>
      </c>
      <c r="P167" s="213">
        <v>44459.548773148148</v>
      </c>
      <c r="Q167" s="209"/>
      <c r="R167" s="209" t="s">
        <v>38</v>
      </c>
      <c r="S167" s="209"/>
      <c r="T167" s="209" t="s">
        <v>74</v>
      </c>
      <c r="U167" s="213">
        <v>44460.548773148148</v>
      </c>
      <c r="V167" s="209" t="s">
        <v>41</v>
      </c>
      <c r="W167" s="209" t="s">
        <v>49</v>
      </c>
      <c r="X167" s="13" t="str">
        <f>IF(RIGHT(H167,2)&lt;&gt;"00",H167,"")</f>
        <v/>
      </c>
      <c r="Y167" s="26">
        <f ca="1">NETWORKDAYS(P167,$Y$1)</f>
        <v>378</v>
      </c>
      <c r="Z167" s="34">
        <v>1</v>
      </c>
      <c r="AA167" s="25" t="str">
        <f t="shared" ca="1" si="13"/>
        <v>A VENCER</v>
      </c>
      <c r="AB167" s="25" t="str">
        <f t="shared" si="16"/>
        <v>Dosa</v>
      </c>
      <c r="AC167" s="2" t="str">
        <f t="shared" si="15"/>
        <v xml:space="preserve"> ROSEMERE </v>
      </c>
      <c r="AD167" s="26">
        <f t="shared" si="17"/>
        <v>5</v>
      </c>
      <c r="AE167" s="26">
        <f t="shared" ca="1" si="14"/>
        <v>527.12749849537067</v>
      </c>
      <c r="AF167" s="35"/>
    </row>
    <row r="168" spans="1:32" hidden="1">
      <c r="A168" s="209">
        <v>7726511</v>
      </c>
      <c r="B168" s="209" t="s">
        <v>81</v>
      </c>
      <c r="C168" s="210" t="s">
        <v>240</v>
      </c>
      <c r="D168" s="214"/>
      <c r="E168" s="214">
        <v>594000206001</v>
      </c>
      <c r="F168" s="209" t="s">
        <v>29</v>
      </c>
      <c r="G168" s="209" t="s">
        <v>53</v>
      </c>
      <c r="H168" s="209" t="s">
        <v>444</v>
      </c>
      <c r="I168" s="209" t="s">
        <v>445</v>
      </c>
      <c r="J168" s="209" t="s">
        <v>33</v>
      </c>
      <c r="K168" s="210" t="s">
        <v>34</v>
      </c>
      <c r="L168" s="210"/>
      <c r="M168" s="209" t="s">
        <v>35</v>
      </c>
      <c r="N168" s="209">
        <v>42318949</v>
      </c>
      <c r="O168" s="209" t="s">
        <v>36</v>
      </c>
      <c r="P168" s="213">
        <v>44459.548761574071</v>
      </c>
      <c r="Q168" s="209"/>
      <c r="R168" s="209" t="s">
        <v>38</v>
      </c>
      <c r="S168" s="209"/>
      <c r="T168" s="209" t="s">
        <v>74</v>
      </c>
      <c r="U168" s="213">
        <v>44460.548761574071</v>
      </c>
      <c r="V168" s="209" t="s">
        <v>41</v>
      </c>
      <c r="W168" s="209" t="s">
        <v>42</v>
      </c>
      <c r="X168" s="13" t="str">
        <f>IF(RIGHT(H168,2)&lt;&gt;"00",H168,"")</f>
        <v/>
      </c>
      <c r="Y168" s="26">
        <f ca="1">NETWORKDAYS(P168,$Y$1)</f>
        <v>378</v>
      </c>
      <c r="Z168" s="34">
        <v>1</v>
      </c>
      <c r="AA168" s="25" t="str">
        <f t="shared" ca="1" si="13"/>
        <v>A VENCER</v>
      </c>
      <c r="AB168" s="25" t="str">
        <f t="shared" si="16"/>
        <v>Dosa</v>
      </c>
      <c r="AC168" s="2" t="str">
        <f t="shared" si="15"/>
        <v xml:space="preserve"> ROSEMERE </v>
      </c>
      <c r="AD168" s="26">
        <f t="shared" si="17"/>
        <v>5</v>
      </c>
      <c r="AE168" s="26">
        <f t="shared" ca="1" si="14"/>
        <v>527.12751006944745</v>
      </c>
      <c r="AF168" s="35"/>
    </row>
    <row r="169" spans="1:32" hidden="1">
      <c r="A169" s="209">
        <v>7726505</v>
      </c>
      <c r="B169" s="209" t="s">
        <v>81</v>
      </c>
      <c r="C169" s="210" t="s">
        <v>240</v>
      </c>
      <c r="D169" s="214"/>
      <c r="E169" s="214">
        <v>2830000206001</v>
      </c>
      <c r="F169" s="209" t="s">
        <v>29</v>
      </c>
      <c r="G169" s="209" t="s">
        <v>53</v>
      </c>
      <c r="H169" s="209" t="s">
        <v>448</v>
      </c>
      <c r="I169" s="209" t="s">
        <v>449</v>
      </c>
      <c r="J169" s="209" t="s">
        <v>33</v>
      </c>
      <c r="K169" s="210" t="s">
        <v>34</v>
      </c>
      <c r="L169" s="210"/>
      <c r="M169" s="209" t="s">
        <v>35</v>
      </c>
      <c r="N169" s="209">
        <v>42318949</v>
      </c>
      <c r="O169" s="209" t="s">
        <v>36</v>
      </c>
      <c r="P169" s="213">
        <v>44459.548761574071</v>
      </c>
      <c r="Q169" s="209"/>
      <c r="R169" s="209" t="s">
        <v>38</v>
      </c>
      <c r="S169" s="209"/>
      <c r="T169" s="209" t="s">
        <v>74</v>
      </c>
      <c r="U169" s="213">
        <v>44460.548761574071</v>
      </c>
      <c r="V169" s="209" t="s">
        <v>41</v>
      </c>
      <c r="W169" s="209" t="s">
        <v>42</v>
      </c>
      <c r="X169" s="13" t="str">
        <f>IF(RIGHT(H169,2)&lt;&gt;"00",H169,"")</f>
        <v/>
      </c>
      <c r="Y169" s="26">
        <f ca="1">NETWORKDAYS(P169,$Y$1)</f>
        <v>378</v>
      </c>
      <c r="Z169" s="34">
        <v>1</v>
      </c>
      <c r="AA169" s="25" t="str">
        <f t="shared" ca="1" si="13"/>
        <v>A VENCER</v>
      </c>
      <c r="AB169" s="25" t="str">
        <f t="shared" si="16"/>
        <v>Dosa</v>
      </c>
      <c r="AC169" s="2" t="str">
        <f t="shared" si="15"/>
        <v xml:space="preserve"> ROSEMERE </v>
      </c>
      <c r="AD169" s="26">
        <f t="shared" si="17"/>
        <v>5</v>
      </c>
      <c r="AE169" s="26">
        <f t="shared" ca="1" si="14"/>
        <v>527.12751006944745</v>
      </c>
      <c r="AF169" s="35"/>
    </row>
    <row r="170" spans="1:32" hidden="1">
      <c r="A170" s="209">
        <v>7898328</v>
      </c>
      <c r="B170" s="209" t="s">
        <v>81</v>
      </c>
      <c r="C170" s="210" t="s">
        <v>450</v>
      </c>
      <c r="D170" s="214"/>
      <c r="E170" s="214">
        <v>1664000206001</v>
      </c>
      <c r="F170" s="209" t="s">
        <v>29</v>
      </c>
      <c r="G170" s="209" t="s">
        <v>53</v>
      </c>
      <c r="H170" s="209" t="s">
        <v>307</v>
      </c>
      <c r="I170" s="209" t="s">
        <v>308</v>
      </c>
      <c r="J170" s="209" t="s">
        <v>164</v>
      </c>
      <c r="K170" s="210" t="s">
        <v>34</v>
      </c>
      <c r="L170" s="210"/>
      <c r="M170" s="209" t="s">
        <v>35</v>
      </c>
      <c r="N170" s="209">
        <v>42318949</v>
      </c>
      <c r="O170" s="209" t="s">
        <v>36</v>
      </c>
      <c r="P170" s="213">
        <v>44466.810416666667</v>
      </c>
      <c r="Q170" s="209"/>
      <c r="R170" s="209" t="s">
        <v>38</v>
      </c>
      <c r="S170" s="209"/>
      <c r="T170" s="209" t="s">
        <v>74</v>
      </c>
      <c r="U170" s="213">
        <v>44467.810416666667</v>
      </c>
      <c r="V170" s="209" t="s">
        <v>41</v>
      </c>
      <c r="W170" s="209" t="s">
        <v>49</v>
      </c>
      <c r="X170" s="13" t="str">
        <f>IF(RIGHT(H170,2)&lt;&gt;"00",H170,"")</f>
        <v/>
      </c>
      <c r="Y170" s="26">
        <f ca="1">NETWORKDAYS(P170,$Y$1)</f>
        <v>373</v>
      </c>
      <c r="Z170" s="34">
        <v>1</v>
      </c>
      <c r="AA170" s="25" t="str">
        <f t="shared" ca="1" si="13"/>
        <v>A VENCER</v>
      </c>
      <c r="AB170" s="25" t="str">
        <f t="shared" si="16"/>
        <v>Dosa</v>
      </c>
      <c r="AC170" s="2" t="str">
        <f t="shared" si="15"/>
        <v xml:space="preserve"> ROSEMERE </v>
      </c>
      <c r="AD170" s="26">
        <f t="shared" si="17"/>
        <v>5</v>
      </c>
      <c r="AE170" s="26">
        <f t="shared" ca="1" si="14"/>
        <v>519.86585497685155</v>
      </c>
      <c r="AF170" s="35"/>
    </row>
    <row r="171" spans="1:32" hidden="1">
      <c r="A171" s="209">
        <v>7898195</v>
      </c>
      <c r="B171" s="209" t="s">
        <v>81</v>
      </c>
      <c r="C171" s="210" t="s">
        <v>450</v>
      </c>
      <c r="D171" s="214"/>
      <c r="E171" s="214">
        <v>2107000206001</v>
      </c>
      <c r="F171" s="209" t="s">
        <v>29</v>
      </c>
      <c r="G171" s="209" t="s">
        <v>53</v>
      </c>
      <c r="H171" s="209" t="s">
        <v>262</v>
      </c>
      <c r="I171" s="209" t="s">
        <v>263</v>
      </c>
      <c r="J171" s="209" t="s">
        <v>164</v>
      </c>
      <c r="K171" s="210" t="s">
        <v>34</v>
      </c>
      <c r="L171" s="210"/>
      <c r="M171" s="209" t="s">
        <v>35</v>
      </c>
      <c r="N171" s="209">
        <v>42318949</v>
      </c>
      <c r="O171" s="209" t="s">
        <v>36</v>
      </c>
      <c r="P171" s="213">
        <v>44466.803553240738</v>
      </c>
      <c r="Q171" s="209"/>
      <c r="R171" s="209" t="s">
        <v>38</v>
      </c>
      <c r="S171" s="209"/>
      <c r="T171" s="209" t="s">
        <v>74</v>
      </c>
      <c r="U171" s="213">
        <v>44467.803553240738</v>
      </c>
      <c r="V171" s="209" t="s">
        <v>41</v>
      </c>
      <c r="W171" s="209" t="s">
        <v>49</v>
      </c>
      <c r="X171" s="13" t="str">
        <f>IF(RIGHT(H171,2)&lt;&gt;"00",H171,"")</f>
        <v/>
      </c>
      <c r="Y171" s="26">
        <f ca="1">NETWORKDAYS(P171,$Y$1)</f>
        <v>373</v>
      </c>
      <c r="Z171" s="34">
        <v>1</v>
      </c>
      <c r="AA171" s="25" t="str">
        <f t="shared" ca="1" si="13"/>
        <v>A VENCER</v>
      </c>
      <c r="AB171" s="25" t="str">
        <f t="shared" si="16"/>
        <v>Dosa</v>
      </c>
      <c r="AC171" s="2" t="str">
        <f t="shared" si="15"/>
        <v xml:space="preserve"> ROSEMERE </v>
      </c>
      <c r="AD171" s="26">
        <f t="shared" si="17"/>
        <v>5</v>
      </c>
      <c r="AE171" s="26">
        <f t="shared" ca="1" si="14"/>
        <v>519.87271840278117</v>
      </c>
      <c r="AF171" s="35"/>
    </row>
    <row r="172" spans="1:32" hidden="1">
      <c r="A172" s="209">
        <v>7898176</v>
      </c>
      <c r="B172" s="209" t="s">
        <v>81</v>
      </c>
      <c r="C172" s="210" t="s">
        <v>450</v>
      </c>
      <c r="D172" s="214"/>
      <c r="E172" s="214">
        <v>2559000206001</v>
      </c>
      <c r="F172" s="209" t="s">
        <v>29</v>
      </c>
      <c r="G172" s="209" t="s">
        <v>53</v>
      </c>
      <c r="H172" s="209" t="s">
        <v>259</v>
      </c>
      <c r="I172" s="209" t="s">
        <v>260</v>
      </c>
      <c r="J172" s="209" t="s">
        <v>261</v>
      </c>
      <c r="K172" s="210" t="s">
        <v>34</v>
      </c>
      <c r="L172" s="210"/>
      <c r="M172" s="209" t="s">
        <v>35</v>
      </c>
      <c r="N172" s="209">
        <v>42318949</v>
      </c>
      <c r="O172" s="209" t="s">
        <v>36</v>
      </c>
      <c r="P172" s="213">
        <v>44466.803252314814</v>
      </c>
      <c r="Q172" s="209"/>
      <c r="R172" s="209" t="s">
        <v>38</v>
      </c>
      <c r="S172" s="209"/>
      <c r="T172" s="209" t="s">
        <v>74</v>
      </c>
      <c r="U172" s="213">
        <v>44467.803252314814</v>
      </c>
      <c r="V172" s="209" t="s">
        <v>41</v>
      </c>
      <c r="W172" s="209" t="s">
        <v>49</v>
      </c>
      <c r="X172" s="13" t="str">
        <f>IF(RIGHT(H172,2)&lt;&gt;"00",H172,"")</f>
        <v/>
      </c>
      <c r="Y172" s="26">
        <f ca="1">NETWORKDAYS(P172,$Y$1)</f>
        <v>373</v>
      </c>
      <c r="Z172" s="34">
        <v>1</v>
      </c>
      <c r="AA172" s="25" t="str">
        <f t="shared" ca="1" si="13"/>
        <v>A VENCER</v>
      </c>
      <c r="AB172" s="25" t="str">
        <f t="shared" si="16"/>
        <v>Dosa</v>
      </c>
      <c r="AC172" s="2" t="str">
        <f t="shared" si="15"/>
        <v xml:space="preserve"> CRISTINA </v>
      </c>
      <c r="AD172" s="26">
        <f t="shared" si="17"/>
        <v>5</v>
      </c>
      <c r="AE172" s="26">
        <f t="shared" ca="1" si="14"/>
        <v>519.87301932870469</v>
      </c>
      <c r="AF172" s="35"/>
    </row>
    <row r="173" spans="1:32" hidden="1">
      <c r="A173" s="209">
        <v>7897993</v>
      </c>
      <c r="B173" s="209" t="s">
        <v>81</v>
      </c>
      <c r="C173" s="210" t="s">
        <v>450</v>
      </c>
      <c r="D173" s="214"/>
      <c r="E173" s="214">
        <v>2564000206001</v>
      </c>
      <c r="F173" s="209" t="s">
        <v>29</v>
      </c>
      <c r="G173" s="209" t="s">
        <v>53</v>
      </c>
      <c r="H173" s="209" t="s">
        <v>255</v>
      </c>
      <c r="I173" s="209" t="s">
        <v>256</v>
      </c>
      <c r="J173" s="209" t="s">
        <v>164</v>
      </c>
      <c r="K173" s="210" t="s">
        <v>34</v>
      </c>
      <c r="L173" s="210"/>
      <c r="M173" s="209" t="s">
        <v>35</v>
      </c>
      <c r="N173" s="209">
        <v>42318949</v>
      </c>
      <c r="O173" s="209" t="s">
        <v>36</v>
      </c>
      <c r="P173" s="213">
        <v>44466.802881944444</v>
      </c>
      <c r="Q173" s="209"/>
      <c r="R173" s="209" t="s">
        <v>38</v>
      </c>
      <c r="S173" s="209"/>
      <c r="T173" s="209" t="s">
        <v>74</v>
      </c>
      <c r="U173" s="213">
        <v>44467.802881944444</v>
      </c>
      <c r="V173" s="209" t="s">
        <v>41</v>
      </c>
      <c r="W173" s="209" t="s">
        <v>49</v>
      </c>
      <c r="X173" s="13" t="str">
        <f>IF(RIGHT(H173,2)&lt;&gt;"00",H173,"")</f>
        <v/>
      </c>
      <c r="Y173" s="26">
        <f ca="1">NETWORKDAYS(P173,$Y$1)</f>
        <v>373</v>
      </c>
      <c r="Z173" s="34">
        <v>1</v>
      </c>
      <c r="AA173" s="25" t="str">
        <f t="shared" ca="1" si="13"/>
        <v>A VENCER</v>
      </c>
      <c r="AB173" s="25" t="str">
        <f t="shared" si="16"/>
        <v>Dosa</v>
      </c>
      <c r="AC173" s="2" t="str">
        <f t="shared" si="15"/>
        <v xml:space="preserve"> ROSEMERE </v>
      </c>
      <c r="AD173" s="26">
        <f t="shared" si="17"/>
        <v>5</v>
      </c>
      <c r="AE173" s="26">
        <f t="shared" ca="1" si="14"/>
        <v>519.87338969907432</v>
      </c>
      <c r="AF173" s="35"/>
    </row>
    <row r="174" spans="1:32" hidden="1">
      <c r="A174" s="209">
        <v>7973155</v>
      </c>
      <c r="B174" s="209" t="s">
        <v>62</v>
      </c>
      <c r="C174" s="210" t="s">
        <v>3574</v>
      </c>
      <c r="D174" s="214"/>
      <c r="E174" s="214">
        <v>1836000203000</v>
      </c>
      <c r="F174" s="209" t="s">
        <v>454</v>
      </c>
      <c r="G174" s="209" t="s">
        <v>53</v>
      </c>
      <c r="H174" s="209" t="s">
        <v>455</v>
      </c>
      <c r="I174" s="209" t="s">
        <v>456</v>
      </c>
      <c r="J174" s="209" t="s">
        <v>46</v>
      </c>
      <c r="K174" s="210" t="s">
        <v>457</v>
      </c>
      <c r="L174" s="210"/>
      <c r="M174" s="209" t="s">
        <v>58</v>
      </c>
      <c r="N174" s="209">
        <v>0</v>
      </c>
      <c r="O174" s="209" t="s">
        <v>105</v>
      </c>
      <c r="P174" s="213">
        <v>44469.974490740744</v>
      </c>
      <c r="Q174" s="209"/>
      <c r="R174" s="209" t="s">
        <v>38</v>
      </c>
      <c r="S174" s="209"/>
      <c r="T174" s="209" t="s">
        <v>157</v>
      </c>
      <c r="U174" s="213">
        <v>44508.75</v>
      </c>
      <c r="V174" s="209" t="s">
        <v>41</v>
      </c>
      <c r="W174" s="209" t="s">
        <v>49</v>
      </c>
      <c r="X174" s="13" t="str">
        <f>IF(RIGHT(H174,2)&lt;&gt;"00",H174,"")</f>
        <v/>
      </c>
      <c r="Y174" s="26">
        <f ca="1">NETWORKDAYS(P174,$Y$1)</f>
        <v>370</v>
      </c>
      <c r="Z174" s="34">
        <v>1</v>
      </c>
      <c r="AA174" s="25" t="str">
        <f t="shared" ca="1" si="13"/>
        <v>A VENCER</v>
      </c>
      <c r="AB174" s="25" t="str">
        <f t="shared" si="16"/>
        <v>C-14</v>
      </c>
      <c r="AC174" s="2" t="str">
        <f t="shared" si="15"/>
        <v xml:space="preserve"> CLEITON </v>
      </c>
      <c r="AD174" s="26">
        <f t="shared" si="17"/>
        <v>5</v>
      </c>
      <c r="AE174" s="26">
        <f t="shared" ca="1" si="14"/>
        <v>516.70178090277477</v>
      </c>
      <c r="AF174" s="35"/>
    </row>
    <row r="175" spans="1:32" hidden="1">
      <c r="A175" s="209">
        <v>7973154</v>
      </c>
      <c r="B175" s="209" t="s">
        <v>62</v>
      </c>
      <c r="C175" s="210" t="s">
        <v>3574</v>
      </c>
      <c r="D175" s="214"/>
      <c r="E175" s="214">
        <v>1836000203000</v>
      </c>
      <c r="F175" s="209" t="s">
        <v>454</v>
      </c>
      <c r="G175" s="209" t="s">
        <v>53</v>
      </c>
      <c r="H175" s="209" t="s">
        <v>455</v>
      </c>
      <c r="I175" s="209" t="s">
        <v>456</v>
      </c>
      <c r="J175" s="209" t="s">
        <v>46</v>
      </c>
      <c r="K175" s="210" t="s">
        <v>457</v>
      </c>
      <c r="L175" s="210"/>
      <c r="M175" s="209" t="s">
        <v>58</v>
      </c>
      <c r="N175" s="209">
        <v>0</v>
      </c>
      <c r="O175" s="209" t="s">
        <v>105</v>
      </c>
      <c r="P175" s="213">
        <v>44469.974490740744</v>
      </c>
      <c r="Q175" s="209"/>
      <c r="R175" s="209" t="s">
        <v>38</v>
      </c>
      <c r="S175" s="209"/>
      <c r="T175" s="209" t="s">
        <v>157</v>
      </c>
      <c r="U175" s="213">
        <v>44508.75</v>
      </c>
      <c r="V175" s="209" t="s">
        <v>41</v>
      </c>
      <c r="W175" s="209" t="s">
        <v>49</v>
      </c>
      <c r="X175" s="13" t="str">
        <f>IF(RIGHT(H175,2)&lt;&gt;"00",H175,"")</f>
        <v/>
      </c>
      <c r="Y175" s="26">
        <f ca="1">NETWORKDAYS(P175,$Y$1)</f>
        <v>370</v>
      </c>
      <c r="Z175" s="34">
        <v>1</v>
      </c>
      <c r="AA175" s="25" t="str">
        <f t="shared" ca="1" si="13"/>
        <v>A VENCER</v>
      </c>
      <c r="AB175" s="25" t="str">
        <f t="shared" si="16"/>
        <v>C-14</v>
      </c>
      <c r="AC175" s="2" t="str">
        <f t="shared" si="15"/>
        <v xml:space="preserve"> CLEITON </v>
      </c>
      <c r="AD175" s="26">
        <f t="shared" si="17"/>
        <v>5</v>
      </c>
      <c r="AE175" s="26">
        <f t="shared" ca="1" si="14"/>
        <v>516.70178090277477</v>
      </c>
      <c r="AF175" s="35"/>
    </row>
    <row r="176" spans="1:32" hidden="1">
      <c r="A176" s="209">
        <v>7973153</v>
      </c>
      <c r="B176" s="209" t="s">
        <v>62</v>
      </c>
      <c r="C176" s="210" t="s">
        <v>3574</v>
      </c>
      <c r="D176" s="214"/>
      <c r="E176" s="214">
        <v>1836000203000</v>
      </c>
      <c r="F176" s="209" t="s">
        <v>454</v>
      </c>
      <c r="G176" s="209" t="s">
        <v>53</v>
      </c>
      <c r="H176" s="209" t="s">
        <v>455</v>
      </c>
      <c r="I176" s="209" t="s">
        <v>456</v>
      </c>
      <c r="J176" s="209" t="s">
        <v>46</v>
      </c>
      <c r="K176" s="210" t="s">
        <v>457</v>
      </c>
      <c r="L176" s="210"/>
      <c r="M176" s="209" t="s">
        <v>58</v>
      </c>
      <c r="N176" s="209">
        <v>0</v>
      </c>
      <c r="O176" s="209" t="s">
        <v>105</v>
      </c>
      <c r="P176" s="213">
        <v>44469.974490740744</v>
      </c>
      <c r="Q176" s="209"/>
      <c r="R176" s="209" t="s">
        <v>38</v>
      </c>
      <c r="S176" s="209"/>
      <c r="T176" s="209" t="s">
        <v>157</v>
      </c>
      <c r="U176" s="213">
        <v>44508.75</v>
      </c>
      <c r="V176" s="209" t="s">
        <v>41</v>
      </c>
      <c r="W176" s="209" t="s">
        <v>49</v>
      </c>
      <c r="X176" s="13" t="str">
        <f>IF(RIGHT(H176,2)&lt;&gt;"00",H176,"")</f>
        <v/>
      </c>
      <c r="Y176" s="26">
        <f ca="1">NETWORKDAYS(P176,$Y$1)</f>
        <v>370</v>
      </c>
      <c r="Z176" s="34">
        <v>1</v>
      </c>
      <c r="AA176" s="25" t="str">
        <f t="shared" ca="1" si="13"/>
        <v>A VENCER</v>
      </c>
      <c r="AB176" s="25" t="str">
        <f t="shared" si="16"/>
        <v>C-14</v>
      </c>
      <c r="AC176" s="2" t="str">
        <f t="shared" si="15"/>
        <v xml:space="preserve"> CLEITON </v>
      </c>
      <c r="AD176" s="26">
        <f t="shared" si="17"/>
        <v>5</v>
      </c>
      <c r="AE176" s="26">
        <f t="shared" ca="1" si="14"/>
        <v>516.70178090277477</v>
      </c>
      <c r="AF176" s="35"/>
    </row>
    <row r="177" spans="1:32" hidden="1">
      <c r="A177" s="209">
        <v>7973152</v>
      </c>
      <c r="B177" s="209" t="s">
        <v>62</v>
      </c>
      <c r="C177" s="210" t="s">
        <v>3574</v>
      </c>
      <c r="D177" s="214"/>
      <c r="E177" s="214">
        <v>1836000203000</v>
      </c>
      <c r="F177" s="209" t="s">
        <v>454</v>
      </c>
      <c r="G177" s="209" t="s">
        <v>53</v>
      </c>
      <c r="H177" s="209" t="s">
        <v>455</v>
      </c>
      <c r="I177" s="209" t="s">
        <v>456</v>
      </c>
      <c r="J177" s="209" t="s">
        <v>46</v>
      </c>
      <c r="K177" s="210" t="s">
        <v>457</v>
      </c>
      <c r="L177" s="210"/>
      <c r="M177" s="209" t="s">
        <v>58</v>
      </c>
      <c r="N177" s="209">
        <v>0</v>
      </c>
      <c r="O177" s="209" t="s">
        <v>105</v>
      </c>
      <c r="P177" s="213">
        <v>44469.974490740744</v>
      </c>
      <c r="Q177" s="209"/>
      <c r="R177" s="209" t="s">
        <v>38</v>
      </c>
      <c r="S177" s="209"/>
      <c r="T177" s="209" t="s">
        <v>157</v>
      </c>
      <c r="U177" s="213">
        <v>44508.75</v>
      </c>
      <c r="V177" s="209" t="s">
        <v>41</v>
      </c>
      <c r="W177" s="209" t="s">
        <v>49</v>
      </c>
      <c r="X177" s="13" t="str">
        <f>IF(RIGHT(H177,2)&lt;&gt;"00",H177,"")</f>
        <v/>
      </c>
      <c r="Y177" s="26">
        <f ca="1">NETWORKDAYS(P177,$Y$1)</f>
        <v>370</v>
      </c>
      <c r="Z177" s="34">
        <v>1</v>
      </c>
      <c r="AA177" s="25" t="str">
        <f t="shared" ca="1" si="13"/>
        <v>A VENCER</v>
      </c>
      <c r="AB177" s="25" t="str">
        <f t="shared" si="16"/>
        <v>C-14</v>
      </c>
      <c r="AC177" s="2" t="str">
        <f t="shared" si="15"/>
        <v xml:space="preserve"> CLEITON </v>
      </c>
      <c r="AD177" s="26">
        <f t="shared" si="17"/>
        <v>5</v>
      </c>
      <c r="AE177" s="26">
        <f t="shared" ca="1" si="14"/>
        <v>516.70178090277477</v>
      </c>
      <c r="AF177" s="35"/>
    </row>
    <row r="178" spans="1:32" hidden="1">
      <c r="A178" s="209">
        <v>7973151</v>
      </c>
      <c r="B178" s="209" t="s">
        <v>62</v>
      </c>
      <c r="C178" s="210" t="s">
        <v>3574</v>
      </c>
      <c r="D178" s="214"/>
      <c r="E178" s="214">
        <v>1836000203000</v>
      </c>
      <c r="F178" s="209" t="s">
        <v>454</v>
      </c>
      <c r="G178" s="209" t="s">
        <v>53</v>
      </c>
      <c r="H178" s="209" t="s">
        <v>455</v>
      </c>
      <c r="I178" s="209" t="s">
        <v>456</v>
      </c>
      <c r="J178" s="209" t="s">
        <v>46</v>
      </c>
      <c r="K178" s="210" t="s">
        <v>457</v>
      </c>
      <c r="L178" s="210"/>
      <c r="M178" s="209" t="s">
        <v>58</v>
      </c>
      <c r="N178" s="209">
        <v>0</v>
      </c>
      <c r="O178" s="209" t="s">
        <v>105</v>
      </c>
      <c r="P178" s="213">
        <v>44469.974490740744</v>
      </c>
      <c r="Q178" s="209"/>
      <c r="R178" s="209" t="s">
        <v>38</v>
      </c>
      <c r="S178" s="209"/>
      <c r="T178" s="209" t="s">
        <v>157</v>
      </c>
      <c r="U178" s="213">
        <v>44508.75</v>
      </c>
      <c r="V178" s="209" t="s">
        <v>41</v>
      </c>
      <c r="W178" s="209" t="s">
        <v>49</v>
      </c>
      <c r="X178" s="13" t="str">
        <f>IF(RIGHT(H178,2)&lt;&gt;"00",H178,"")</f>
        <v/>
      </c>
      <c r="Y178" s="26">
        <f ca="1">NETWORKDAYS(P178,$Y$1)</f>
        <v>370</v>
      </c>
      <c r="Z178" s="34">
        <v>1</v>
      </c>
      <c r="AA178" s="25" t="str">
        <f t="shared" ca="1" si="13"/>
        <v>A VENCER</v>
      </c>
      <c r="AB178" s="25" t="str">
        <f t="shared" si="16"/>
        <v>C-14</v>
      </c>
      <c r="AC178" s="2" t="str">
        <f t="shared" si="15"/>
        <v xml:space="preserve"> CLEITON </v>
      </c>
      <c r="AD178" s="26">
        <f t="shared" si="17"/>
        <v>5</v>
      </c>
      <c r="AE178" s="26">
        <f t="shared" ca="1" si="14"/>
        <v>516.70178090277477</v>
      </c>
      <c r="AF178" s="35"/>
    </row>
    <row r="179" spans="1:32" hidden="1">
      <c r="A179" s="209">
        <v>7973150</v>
      </c>
      <c r="B179" s="209" t="s">
        <v>62</v>
      </c>
      <c r="C179" s="210" t="s">
        <v>3574</v>
      </c>
      <c r="D179" s="214"/>
      <c r="E179" s="214">
        <v>1836000203000</v>
      </c>
      <c r="F179" s="209" t="s">
        <v>454</v>
      </c>
      <c r="G179" s="209" t="s">
        <v>53</v>
      </c>
      <c r="H179" s="209" t="s">
        <v>455</v>
      </c>
      <c r="I179" s="209" t="s">
        <v>456</v>
      </c>
      <c r="J179" s="209" t="s">
        <v>46</v>
      </c>
      <c r="K179" s="210" t="s">
        <v>457</v>
      </c>
      <c r="L179" s="210"/>
      <c r="M179" s="209" t="s">
        <v>58</v>
      </c>
      <c r="N179" s="209">
        <v>0</v>
      </c>
      <c r="O179" s="209" t="s">
        <v>105</v>
      </c>
      <c r="P179" s="213">
        <v>44469.974479166667</v>
      </c>
      <c r="Q179" s="209"/>
      <c r="R179" s="209" t="s">
        <v>38</v>
      </c>
      <c r="S179" s="209"/>
      <c r="T179" s="209" t="s">
        <v>157</v>
      </c>
      <c r="U179" s="213">
        <v>44508.75</v>
      </c>
      <c r="V179" s="209" t="s">
        <v>41</v>
      </c>
      <c r="W179" s="209" t="s">
        <v>49</v>
      </c>
      <c r="X179" s="13" t="str">
        <f>IF(RIGHT(H179,2)&lt;&gt;"00",H179,"")</f>
        <v/>
      </c>
      <c r="Y179" s="26">
        <f ca="1">NETWORKDAYS(P179,$Y$1)</f>
        <v>370</v>
      </c>
      <c r="Z179" s="34">
        <v>1</v>
      </c>
      <c r="AA179" s="25" t="str">
        <f t="shared" ca="1" si="13"/>
        <v>A VENCER</v>
      </c>
      <c r="AB179" s="25" t="str">
        <f t="shared" si="16"/>
        <v>C-14</v>
      </c>
      <c r="AC179" s="2" t="str">
        <f t="shared" si="15"/>
        <v xml:space="preserve"> CLEITON </v>
      </c>
      <c r="AD179" s="26">
        <f t="shared" si="17"/>
        <v>5</v>
      </c>
      <c r="AE179" s="26">
        <f t="shared" ca="1" si="14"/>
        <v>516.70179247685155</v>
      </c>
      <c r="AF179" s="35"/>
    </row>
    <row r="180" spans="1:32" hidden="1">
      <c r="A180" s="209">
        <v>7973149</v>
      </c>
      <c r="B180" s="209" t="s">
        <v>62</v>
      </c>
      <c r="C180" s="210" t="s">
        <v>3574</v>
      </c>
      <c r="D180" s="214"/>
      <c r="E180" s="214">
        <v>1836000203000</v>
      </c>
      <c r="F180" s="209" t="s">
        <v>454</v>
      </c>
      <c r="G180" s="209" t="s">
        <v>53</v>
      </c>
      <c r="H180" s="209" t="s">
        <v>455</v>
      </c>
      <c r="I180" s="209" t="s">
        <v>456</v>
      </c>
      <c r="J180" s="209" t="s">
        <v>46</v>
      </c>
      <c r="K180" s="210" t="s">
        <v>457</v>
      </c>
      <c r="L180" s="210"/>
      <c r="M180" s="209" t="s">
        <v>58</v>
      </c>
      <c r="N180" s="209">
        <v>0</v>
      </c>
      <c r="O180" s="209" t="s">
        <v>105</v>
      </c>
      <c r="P180" s="213">
        <v>44469.974479166667</v>
      </c>
      <c r="Q180" s="209"/>
      <c r="R180" s="209" t="s">
        <v>38</v>
      </c>
      <c r="S180" s="209"/>
      <c r="T180" s="209" t="s">
        <v>157</v>
      </c>
      <c r="U180" s="213">
        <v>44508.75</v>
      </c>
      <c r="V180" s="209" t="s">
        <v>41</v>
      </c>
      <c r="W180" s="209" t="s">
        <v>49</v>
      </c>
      <c r="X180" s="13" t="str">
        <f>IF(RIGHT(H180,2)&lt;&gt;"00",H180,"")</f>
        <v/>
      </c>
      <c r="Y180" s="26">
        <f ca="1">NETWORKDAYS(P180,$Y$1)</f>
        <v>370</v>
      </c>
      <c r="Z180" s="34">
        <v>1</v>
      </c>
      <c r="AA180" s="25" t="str">
        <f t="shared" ca="1" si="13"/>
        <v>A VENCER</v>
      </c>
      <c r="AB180" s="25" t="str">
        <f t="shared" si="16"/>
        <v>C-14</v>
      </c>
      <c r="AC180" s="2" t="str">
        <f t="shared" si="15"/>
        <v xml:space="preserve"> CLEITON </v>
      </c>
      <c r="AD180" s="26">
        <f t="shared" si="17"/>
        <v>5</v>
      </c>
      <c r="AE180" s="26">
        <f t="shared" ca="1" si="14"/>
        <v>516.70179247685155</v>
      </c>
      <c r="AF180" s="35"/>
    </row>
    <row r="181" spans="1:32" hidden="1">
      <c r="A181" s="209">
        <v>7973089</v>
      </c>
      <c r="B181" s="209" t="s">
        <v>62</v>
      </c>
      <c r="C181" s="210" t="s">
        <v>3574</v>
      </c>
      <c r="D181" s="214"/>
      <c r="E181" s="214">
        <v>3242000203000</v>
      </c>
      <c r="F181" s="209" t="s">
        <v>454</v>
      </c>
      <c r="G181" s="209" t="s">
        <v>53</v>
      </c>
      <c r="H181" s="209" t="s">
        <v>461</v>
      </c>
      <c r="I181" s="209" t="s">
        <v>462</v>
      </c>
      <c r="J181" s="209" t="s">
        <v>46</v>
      </c>
      <c r="K181" s="210" t="s">
        <v>457</v>
      </c>
      <c r="L181" s="210"/>
      <c r="M181" s="209" t="s">
        <v>58</v>
      </c>
      <c r="N181" s="209">
        <v>0</v>
      </c>
      <c r="O181" s="209" t="s">
        <v>105</v>
      </c>
      <c r="P181" s="213">
        <v>44469.974386574075</v>
      </c>
      <c r="Q181" s="209"/>
      <c r="R181" s="209" t="s">
        <v>38</v>
      </c>
      <c r="S181" s="209"/>
      <c r="T181" s="209" t="s">
        <v>157</v>
      </c>
      <c r="U181" s="213">
        <v>44508.75</v>
      </c>
      <c r="V181" s="209" t="s">
        <v>41</v>
      </c>
      <c r="W181" s="209" t="s">
        <v>49</v>
      </c>
      <c r="X181" s="13" t="str">
        <f>IF(RIGHT(H181,2)&lt;&gt;"00",H181,"")</f>
        <v/>
      </c>
      <c r="Y181" s="26">
        <f ca="1">NETWORKDAYS(P181,$Y$1)</f>
        <v>370</v>
      </c>
      <c r="Z181" s="34">
        <v>1</v>
      </c>
      <c r="AA181" s="25" t="str">
        <f t="shared" ca="1" si="13"/>
        <v>A VENCER</v>
      </c>
      <c r="AB181" s="25" t="str">
        <f t="shared" si="16"/>
        <v>C-14</v>
      </c>
      <c r="AC181" s="2" t="str">
        <f t="shared" si="15"/>
        <v xml:space="preserve"> CLEITON </v>
      </c>
      <c r="AD181" s="26">
        <f t="shared" si="17"/>
        <v>5</v>
      </c>
      <c r="AE181" s="26">
        <f t="shared" ca="1" si="14"/>
        <v>516.70188506944396</v>
      </c>
      <c r="AF181" s="35"/>
    </row>
    <row r="182" spans="1:32" hidden="1">
      <c r="A182" s="209">
        <v>7973088</v>
      </c>
      <c r="B182" s="209" t="s">
        <v>62</v>
      </c>
      <c r="C182" s="210" t="s">
        <v>3574</v>
      </c>
      <c r="D182" s="214"/>
      <c r="E182" s="214">
        <v>3242000203000</v>
      </c>
      <c r="F182" s="209" t="s">
        <v>454</v>
      </c>
      <c r="G182" s="209" t="s">
        <v>53</v>
      </c>
      <c r="H182" s="209" t="s">
        <v>461</v>
      </c>
      <c r="I182" s="209" t="s">
        <v>462</v>
      </c>
      <c r="J182" s="209" t="s">
        <v>46</v>
      </c>
      <c r="K182" s="210" t="s">
        <v>457</v>
      </c>
      <c r="L182" s="210"/>
      <c r="M182" s="209" t="s">
        <v>58</v>
      </c>
      <c r="N182" s="209">
        <v>0</v>
      </c>
      <c r="O182" s="209" t="s">
        <v>105</v>
      </c>
      <c r="P182" s="213">
        <v>44469.974386574075</v>
      </c>
      <c r="Q182" s="209"/>
      <c r="R182" s="209" t="s">
        <v>38</v>
      </c>
      <c r="S182" s="209"/>
      <c r="T182" s="209" t="s">
        <v>157</v>
      </c>
      <c r="U182" s="213">
        <v>44508.75</v>
      </c>
      <c r="V182" s="209" t="s">
        <v>41</v>
      </c>
      <c r="W182" s="209" t="s">
        <v>49</v>
      </c>
      <c r="X182" s="13" t="str">
        <f>IF(RIGHT(H182,2)&lt;&gt;"00",H182,"")</f>
        <v/>
      </c>
      <c r="Y182" s="26">
        <f ca="1">NETWORKDAYS(P182,$Y$1)</f>
        <v>370</v>
      </c>
      <c r="Z182" s="34">
        <v>1</v>
      </c>
      <c r="AA182" s="25" t="str">
        <f t="shared" ca="1" si="13"/>
        <v>A VENCER</v>
      </c>
      <c r="AB182" s="25" t="str">
        <f t="shared" si="16"/>
        <v>C-14</v>
      </c>
      <c r="AC182" s="2" t="str">
        <f t="shared" si="15"/>
        <v xml:space="preserve"> CLEITON </v>
      </c>
      <c r="AD182" s="26">
        <f t="shared" si="17"/>
        <v>5</v>
      </c>
      <c r="AE182" s="26">
        <f t="shared" ca="1" si="14"/>
        <v>516.70188506944396</v>
      </c>
      <c r="AF182" s="35"/>
    </row>
    <row r="183" spans="1:32" hidden="1">
      <c r="A183" s="209">
        <v>7973087</v>
      </c>
      <c r="B183" s="209" t="s">
        <v>62</v>
      </c>
      <c r="C183" s="210" t="s">
        <v>3574</v>
      </c>
      <c r="D183" s="214"/>
      <c r="E183" s="214">
        <v>3242000203000</v>
      </c>
      <c r="F183" s="209" t="s">
        <v>454</v>
      </c>
      <c r="G183" s="209" t="s">
        <v>53</v>
      </c>
      <c r="H183" s="209" t="s">
        <v>461</v>
      </c>
      <c r="I183" s="209" t="s">
        <v>462</v>
      </c>
      <c r="J183" s="209" t="s">
        <v>46</v>
      </c>
      <c r="K183" s="210" t="s">
        <v>457</v>
      </c>
      <c r="L183" s="210"/>
      <c r="M183" s="209" t="s">
        <v>58</v>
      </c>
      <c r="N183" s="209">
        <v>0</v>
      </c>
      <c r="O183" s="209" t="s">
        <v>105</v>
      </c>
      <c r="P183" s="213">
        <v>44469.974374999998</v>
      </c>
      <c r="Q183" s="209"/>
      <c r="R183" s="209" t="s">
        <v>38</v>
      </c>
      <c r="S183" s="209"/>
      <c r="T183" s="209" t="s">
        <v>157</v>
      </c>
      <c r="U183" s="213">
        <v>44508.75</v>
      </c>
      <c r="V183" s="209" t="s">
        <v>41</v>
      </c>
      <c r="W183" s="209" t="s">
        <v>49</v>
      </c>
      <c r="X183" s="13" t="str">
        <f>IF(RIGHT(H183,2)&lt;&gt;"00",H183,"")</f>
        <v/>
      </c>
      <c r="Y183" s="26">
        <f ca="1">NETWORKDAYS(P183,$Y$1)</f>
        <v>370</v>
      </c>
      <c r="Z183" s="34">
        <v>1</v>
      </c>
      <c r="AA183" s="25" t="str">
        <f t="shared" ca="1" si="13"/>
        <v>A VENCER</v>
      </c>
      <c r="AB183" s="25" t="str">
        <f t="shared" si="16"/>
        <v>C-14</v>
      </c>
      <c r="AC183" s="2" t="str">
        <f t="shared" si="15"/>
        <v xml:space="preserve"> CLEITON </v>
      </c>
      <c r="AD183" s="26">
        <f t="shared" si="17"/>
        <v>5</v>
      </c>
      <c r="AE183" s="26">
        <f t="shared" ca="1" si="14"/>
        <v>516.70189664352074</v>
      </c>
      <c r="AF183" s="35"/>
    </row>
    <row r="184" spans="1:32" hidden="1">
      <c r="A184" s="209">
        <v>7973086</v>
      </c>
      <c r="B184" s="209" t="s">
        <v>62</v>
      </c>
      <c r="C184" s="210" t="s">
        <v>3574</v>
      </c>
      <c r="D184" s="214"/>
      <c r="E184" s="214">
        <v>3242000203000</v>
      </c>
      <c r="F184" s="209" t="s">
        <v>454</v>
      </c>
      <c r="G184" s="209" t="s">
        <v>53</v>
      </c>
      <c r="H184" s="209" t="s">
        <v>461</v>
      </c>
      <c r="I184" s="209" t="s">
        <v>462</v>
      </c>
      <c r="J184" s="209" t="s">
        <v>46</v>
      </c>
      <c r="K184" s="210" t="s">
        <v>457</v>
      </c>
      <c r="L184" s="210"/>
      <c r="M184" s="209" t="s">
        <v>58</v>
      </c>
      <c r="N184" s="209">
        <v>0</v>
      </c>
      <c r="O184" s="209" t="s">
        <v>105</v>
      </c>
      <c r="P184" s="213">
        <v>44469.974374999998</v>
      </c>
      <c r="Q184" s="209"/>
      <c r="R184" s="209" t="s">
        <v>38</v>
      </c>
      <c r="S184" s="209"/>
      <c r="T184" s="209" t="s">
        <v>157</v>
      </c>
      <c r="U184" s="213">
        <v>44508.75</v>
      </c>
      <c r="V184" s="209" t="s">
        <v>41</v>
      </c>
      <c r="W184" s="209" t="s">
        <v>49</v>
      </c>
      <c r="X184" s="13" t="str">
        <f>IF(RIGHT(H184,2)&lt;&gt;"00",H184,"")</f>
        <v/>
      </c>
      <c r="Y184" s="26">
        <f ca="1">NETWORKDAYS(P184,$Y$1)</f>
        <v>370</v>
      </c>
      <c r="Z184" s="34">
        <v>1</v>
      </c>
      <c r="AA184" s="25" t="str">
        <f t="shared" ca="1" si="13"/>
        <v>A VENCER</v>
      </c>
      <c r="AB184" s="25" t="str">
        <f t="shared" si="16"/>
        <v>C-14</v>
      </c>
      <c r="AC184" s="2" t="str">
        <f t="shared" si="15"/>
        <v xml:space="preserve"> CLEITON </v>
      </c>
      <c r="AD184" s="26">
        <f t="shared" si="17"/>
        <v>5</v>
      </c>
      <c r="AE184" s="26">
        <f t="shared" ca="1" si="14"/>
        <v>516.70189664352074</v>
      </c>
      <c r="AF184" s="35"/>
    </row>
    <row r="185" spans="1:32" hidden="1">
      <c r="A185" s="209">
        <v>7973085</v>
      </c>
      <c r="B185" s="209" t="s">
        <v>62</v>
      </c>
      <c r="C185" s="210" t="s">
        <v>3574</v>
      </c>
      <c r="D185" s="214"/>
      <c r="E185" s="214">
        <v>3242000203000</v>
      </c>
      <c r="F185" s="209" t="s">
        <v>454</v>
      </c>
      <c r="G185" s="209" t="s">
        <v>53</v>
      </c>
      <c r="H185" s="209" t="s">
        <v>461</v>
      </c>
      <c r="I185" s="209" t="s">
        <v>462</v>
      </c>
      <c r="J185" s="209" t="s">
        <v>46</v>
      </c>
      <c r="K185" s="210" t="s">
        <v>457</v>
      </c>
      <c r="L185" s="210"/>
      <c r="M185" s="209" t="s">
        <v>58</v>
      </c>
      <c r="N185" s="209">
        <v>0</v>
      </c>
      <c r="O185" s="209" t="s">
        <v>105</v>
      </c>
      <c r="P185" s="213">
        <v>44469.974374999998</v>
      </c>
      <c r="Q185" s="209"/>
      <c r="R185" s="209" t="s">
        <v>38</v>
      </c>
      <c r="S185" s="209"/>
      <c r="T185" s="209" t="s">
        <v>157</v>
      </c>
      <c r="U185" s="213">
        <v>44508.75</v>
      </c>
      <c r="V185" s="209" t="s">
        <v>41</v>
      </c>
      <c r="W185" s="209" t="s">
        <v>49</v>
      </c>
      <c r="X185" s="13" t="str">
        <f>IF(RIGHT(H185,2)&lt;&gt;"00",H185,"")</f>
        <v/>
      </c>
      <c r="Y185" s="26">
        <f ca="1">NETWORKDAYS(P185,$Y$1)</f>
        <v>370</v>
      </c>
      <c r="Z185" s="34">
        <v>1</v>
      </c>
      <c r="AA185" s="25" t="str">
        <f t="shared" ca="1" si="13"/>
        <v>A VENCER</v>
      </c>
      <c r="AB185" s="25" t="str">
        <f t="shared" si="16"/>
        <v>C-14</v>
      </c>
      <c r="AC185" s="2" t="str">
        <f t="shared" si="15"/>
        <v xml:space="preserve"> CLEITON </v>
      </c>
      <c r="AD185" s="26">
        <f t="shared" si="17"/>
        <v>5</v>
      </c>
      <c r="AE185" s="26">
        <f t="shared" ca="1" si="14"/>
        <v>516.70189664352074</v>
      </c>
      <c r="AF185" s="35"/>
    </row>
    <row r="186" spans="1:32" hidden="1">
      <c r="A186" s="209">
        <v>7970313</v>
      </c>
      <c r="B186" s="209" t="s">
        <v>62</v>
      </c>
      <c r="C186" s="210" t="s">
        <v>3574</v>
      </c>
      <c r="D186" s="214"/>
      <c r="E186" s="214">
        <v>1833000203000</v>
      </c>
      <c r="F186" s="209" t="s">
        <v>454</v>
      </c>
      <c r="G186" s="209" t="s">
        <v>53</v>
      </c>
      <c r="H186" s="209" t="s">
        <v>369</v>
      </c>
      <c r="I186" s="209" t="s">
        <v>370</v>
      </c>
      <c r="J186" s="209" t="s">
        <v>46</v>
      </c>
      <c r="K186" s="210" t="s">
        <v>457</v>
      </c>
      <c r="L186" s="210"/>
      <c r="M186" s="209" t="s">
        <v>58</v>
      </c>
      <c r="N186" s="209">
        <v>0</v>
      </c>
      <c r="O186" s="209" t="s">
        <v>105</v>
      </c>
      <c r="P186" s="213">
        <v>44469.857291666667</v>
      </c>
      <c r="Q186" s="209"/>
      <c r="R186" s="209" t="s">
        <v>38</v>
      </c>
      <c r="S186" s="209"/>
      <c r="T186" s="209" t="s">
        <v>157</v>
      </c>
      <c r="U186" s="213">
        <v>44508.75</v>
      </c>
      <c r="V186" s="209" t="s">
        <v>41</v>
      </c>
      <c r="W186" s="209" t="s">
        <v>49</v>
      </c>
      <c r="X186" s="13" t="str">
        <f>IF(RIGHT(H186,2)&lt;&gt;"00",H186,"")</f>
        <v/>
      </c>
      <c r="Y186" s="26">
        <f ca="1">NETWORKDAYS(P186,$Y$1)</f>
        <v>370</v>
      </c>
      <c r="Z186" s="34">
        <v>1</v>
      </c>
      <c r="AA186" s="25" t="str">
        <f t="shared" ca="1" si="13"/>
        <v>A VENCER</v>
      </c>
      <c r="AB186" s="25" t="str">
        <f t="shared" si="16"/>
        <v>C-14</v>
      </c>
      <c r="AC186" s="2" t="str">
        <f t="shared" si="15"/>
        <v xml:space="preserve"> CLEITON </v>
      </c>
      <c r="AD186" s="26">
        <f t="shared" si="17"/>
        <v>5</v>
      </c>
      <c r="AE186" s="26">
        <f t="shared" ca="1" si="14"/>
        <v>516.81897997685155</v>
      </c>
      <c r="AF186" s="35"/>
    </row>
    <row r="187" spans="1:32" hidden="1">
      <c r="A187" s="209">
        <v>7970312</v>
      </c>
      <c r="B187" s="209" t="s">
        <v>62</v>
      </c>
      <c r="C187" s="210" t="s">
        <v>3574</v>
      </c>
      <c r="D187" s="214"/>
      <c r="E187" s="214">
        <v>1833000203000</v>
      </c>
      <c r="F187" s="209" t="s">
        <v>454</v>
      </c>
      <c r="G187" s="209" t="s">
        <v>53</v>
      </c>
      <c r="H187" s="209" t="s">
        <v>369</v>
      </c>
      <c r="I187" s="209" t="s">
        <v>370</v>
      </c>
      <c r="J187" s="209" t="s">
        <v>46</v>
      </c>
      <c r="K187" s="210" t="s">
        <v>457</v>
      </c>
      <c r="L187" s="210"/>
      <c r="M187" s="209" t="s">
        <v>58</v>
      </c>
      <c r="N187" s="209">
        <v>0</v>
      </c>
      <c r="O187" s="209" t="s">
        <v>105</v>
      </c>
      <c r="P187" s="213">
        <v>44469.857291666667</v>
      </c>
      <c r="Q187" s="209"/>
      <c r="R187" s="209" t="s">
        <v>38</v>
      </c>
      <c r="S187" s="209"/>
      <c r="T187" s="209" t="s">
        <v>157</v>
      </c>
      <c r="U187" s="213">
        <v>44508.75</v>
      </c>
      <c r="V187" s="209" t="s">
        <v>41</v>
      </c>
      <c r="W187" s="209" t="s">
        <v>49</v>
      </c>
      <c r="X187" s="13" t="str">
        <f>IF(RIGHT(H187,2)&lt;&gt;"00",H187,"")</f>
        <v/>
      </c>
      <c r="Y187" s="26">
        <f ca="1">NETWORKDAYS(P187,$Y$1)</f>
        <v>370</v>
      </c>
      <c r="Z187" s="34">
        <v>1</v>
      </c>
      <c r="AA187" s="25" t="str">
        <f t="shared" ca="1" si="13"/>
        <v>A VENCER</v>
      </c>
      <c r="AB187" s="25" t="str">
        <f t="shared" si="16"/>
        <v>C-14</v>
      </c>
      <c r="AC187" s="2" t="str">
        <f t="shared" si="15"/>
        <v xml:space="preserve"> CLEITON </v>
      </c>
      <c r="AD187" s="26">
        <f t="shared" si="17"/>
        <v>5</v>
      </c>
      <c r="AE187" s="26">
        <f t="shared" ca="1" si="14"/>
        <v>516.81897997685155</v>
      </c>
      <c r="AF187" s="35"/>
    </row>
    <row r="188" spans="1:32" hidden="1">
      <c r="A188" s="209">
        <v>7970311</v>
      </c>
      <c r="B188" s="209" t="s">
        <v>62</v>
      </c>
      <c r="C188" s="210" t="s">
        <v>3574</v>
      </c>
      <c r="D188" s="214"/>
      <c r="E188" s="214">
        <v>1833000203000</v>
      </c>
      <c r="F188" s="209" t="s">
        <v>454</v>
      </c>
      <c r="G188" s="209" t="s">
        <v>53</v>
      </c>
      <c r="H188" s="209" t="s">
        <v>369</v>
      </c>
      <c r="I188" s="209" t="s">
        <v>370</v>
      </c>
      <c r="J188" s="209" t="s">
        <v>46</v>
      </c>
      <c r="K188" s="210" t="s">
        <v>457</v>
      </c>
      <c r="L188" s="210"/>
      <c r="M188" s="209" t="s">
        <v>58</v>
      </c>
      <c r="N188" s="209">
        <v>0</v>
      </c>
      <c r="O188" s="209" t="s">
        <v>105</v>
      </c>
      <c r="P188" s="213">
        <v>44469.857291666667</v>
      </c>
      <c r="Q188" s="209"/>
      <c r="R188" s="209" t="s">
        <v>38</v>
      </c>
      <c r="S188" s="209"/>
      <c r="T188" s="209" t="s">
        <v>157</v>
      </c>
      <c r="U188" s="213">
        <v>44508.75</v>
      </c>
      <c r="V188" s="209" t="s">
        <v>41</v>
      </c>
      <c r="W188" s="209" t="s">
        <v>49</v>
      </c>
      <c r="X188" s="13" t="str">
        <f>IF(RIGHT(H188,2)&lt;&gt;"00",H188,"")</f>
        <v/>
      </c>
      <c r="Y188" s="26">
        <f ca="1">NETWORKDAYS(P188,$Y$1)</f>
        <v>370</v>
      </c>
      <c r="Z188" s="34">
        <v>1</v>
      </c>
      <c r="AA188" s="25" t="str">
        <f t="shared" ca="1" si="13"/>
        <v>A VENCER</v>
      </c>
      <c r="AB188" s="25" t="str">
        <f t="shared" si="16"/>
        <v>C-14</v>
      </c>
      <c r="AC188" s="2" t="str">
        <f t="shared" si="15"/>
        <v xml:space="preserve"> CLEITON </v>
      </c>
      <c r="AD188" s="26">
        <f t="shared" si="17"/>
        <v>5</v>
      </c>
      <c r="AE188" s="26">
        <f t="shared" ca="1" si="14"/>
        <v>516.81897997685155</v>
      </c>
      <c r="AF188" s="35"/>
    </row>
    <row r="189" spans="1:32" hidden="1">
      <c r="A189" s="209">
        <v>7970310</v>
      </c>
      <c r="B189" s="209" t="s">
        <v>62</v>
      </c>
      <c r="C189" s="210" t="s">
        <v>3574</v>
      </c>
      <c r="D189" s="214"/>
      <c r="E189" s="214">
        <v>1833000203000</v>
      </c>
      <c r="F189" s="209" t="s">
        <v>454</v>
      </c>
      <c r="G189" s="209" t="s">
        <v>53</v>
      </c>
      <c r="H189" s="209" t="s">
        <v>369</v>
      </c>
      <c r="I189" s="209" t="s">
        <v>370</v>
      </c>
      <c r="J189" s="209" t="s">
        <v>46</v>
      </c>
      <c r="K189" s="210" t="s">
        <v>457</v>
      </c>
      <c r="L189" s="210"/>
      <c r="M189" s="209" t="s">
        <v>58</v>
      </c>
      <c r="N189" s="209">
        <v>0</v>
      </c>
      <c r="O189" s="209" t="s">
        <v>105</v>
      </c>
      <c r="P189" s="213">
        <v>44469.857291666667</v>
      </c>
      <c r="Q189" s="209"/>
      <c r="R189" s="209" t="s">
        <v>38</v>
      </c>
      <c r="S189" s="209"/>
      <c r="T189" s="209" t="s">
        <v>157</v>
      </c>
      <c r="U189" s="213">
        <v>44508.75</v>
      </c>
      <c r="V189" s="209" t="s">
        <v>41</v>
      </c>
      <c r="W189" s="209" t="s">
        <v>49</v>
      </c>
      <c r="X189" s="13" t="str">
        <f>IF(RIGHT(H189,2)&lt;&gt;"00",H189,"")</f>
        <v/>
      </c>
      <c r="Y189" s="26">
        <f ca="1">NETWORKDAYS(P189,$Y$1)</f>
        <v>370</v>
      </c>
      <c r="Z189" s="34">
        <v>1</v>
      </c>
      <c r="AA189" s="25" t="str">
        <f t="shared" ca="1" si="13"/>
        <v>A VENCER</v>
      </c>
      <c r="AB189" s="25" t="str">
        <f t="shared" si="16"/>
        <v>C-14</v>
      </c>
      <c r="AC189" s="2" t="str">
        <f t="shared" si="15"/>
        <v xml:space="preserve"> CLEITON </v>
      </c>
      <c r="AD189" s="26">
        <f t="shared" si="17"/>
        <v>5</v>
      </c>
      <c r="AE189" s="26">
        <f t="shared" ca="1" si="14"/>
        <v>516.81897997685155</v>
      </c>
      <c r="AF189" s="35"/>
    </row>
    <row r="190" spans="1:32" hidden="1">
      <c r="A190" s="209">
        <v>7970309</v>
      </c>
      <c r="B190" s="209" t="s">
        <v>62</v>
      </c>
      <c r="C190" s="210" t="s">
        <v>3574</v>
      </c>
      <c r="D190" s="214"/>
      <c r="E190" s="214">
        <v>1833000203000</v>
      </c>
      <c r="F190" s="209" t="s">
        <v>454</v>
      </c>
      <c r="G190" s="209" t="s">
        <v>53</v>
      </c>
      <c r="H190" s="209" t="s">
        <v>369</v>
      </c>
      <c r="I190" s="209" t="s">
        <v>370</v>
      </c>
      <c r="J190" s="209" t="s">
        <v>46</v>
      </c>
      <c r="K190" s="210" t="s">
        <v>457</v>
      </c>
      <c r="L190" s="210"/>
      <c r="M190" s="209" t="s">
        <v>58</v>
      </c>
      <c r="N190" s="209">
        <v>0</v>
      </c>
      <c r="O190" s="209" t="s">
        <v>105</v>
      </c>
      <c r="P190" s="213">
        <v>44469.85728009259</v>
      </c>
      <c r="Q190" s="209"/>
      <c r="R190" s="209" t="s">
        <v>38</v>
      </c>
      <c r="S190" s="209"/>
      <c r="T190" s="209" t="s">
        <v>157</v>
      </c>
      <c r="U190" s="213">
        <v>44508.75</v>
      </c>
      <c r="V190" s="209" t="s">
        <v>41</v>
      </c>
      <c r="W190" s="209" t="s">
        <v>49</v>
      </c>
      <c r="X190" s="13" t="str">
        <f>IF(RIGHT(H190,2)&lt;&gt;"00",H190,"")</f>
        <v/>
      </c>
      <c r="Y190" s="26">
        <f ca="1">NETWORKDAYS(P190,$Y$1)</f>
        <v>370</v>
      </c>
      <c r="Z190" s="34">
        <v>1</v>
      </c>
      <c r="AA190" s="25" t="str">
        <f t="shared" ca="1" si="13"/>
        <v>A VENCER</v>
      </c>
      <c r="AB190" s="25" t="str">
        <f t="shared" si="16"/>
        <v>C-14</v>
      </c>
      <c r="AC190" s="2" t="str">
        <f t="shared" si="15"/>
        <v xml:space="preserve"> CLEITON </v>
      </c>
      <c r="AD190" s="26">
        <f t="shared" si="17"/>
        <v>5</v>
      </c>
      <c r="AE190" s="26">
        <f t="shared" ca="1" si="14"/>
        <v>516.81899155092833</v>
      </c>
      <c r="AF190" s="35"/>
    </row>
    <row r="191" spans="1:32" hidden="1">
      <c r="A191" s="209">
        <v>7970308</v>
      </c>
      <c r="B191" s="209" t="s">
        <v>62</v>
      </c>
      <c r="C191" s="210" t="s">
        <v>3574</v>
      </c>
      <c r="D191" s="214"/>
      <c r="E191" s="214">
        <v>1833000203000</v>
      </c>
      <c r="F191" s="209" t="s">
        <v>454</v>
      </c>
      <c r="G191" s="209" t="s">
        <v>53</v>
      </c>
      <c r="H191" s="209" t="s">
        <v>369</v>
      </c>
      <c r="I191" s="209" t="s">
        <v>370</v>
      </c>
      <c r="J191" s="209" t="s">
        <v>46</v>
      </c>
      <c r="K191" s="210" t="s">
        <v>457</v>
      </c>
      <c r="L191" s="210"/>
      <c r="M191" s="209" t="s">
        <v>58</v>
      </c>
      <c r="N191" s="209">
        <v>0</v>
      </c>
      <c r="O191" s="209" t="s">
        <v>105</v>
      </c>
      <c r="P191" s="213">
        <v>44469.85728009259</v>
      </c>
      <c r="Q191" s="209"/>
      <c r="R191" s="209" t="s">
        <v>38</v>
      </c>
      <c r="S191" s="209"/>
      <c r="T191" s="209" t="s">
        <v>157</v>
      </c>
      <c r="U191" s="213">
        <v>44508.75</v>
      </c>
      <c r="V191" s="209" t="s">
        <v>41</v>
      </c>
      <c r="W191" s="209" t="s">
        <v>49</v>
      </c>
      <c r="X191" s="13" t="str">
        <f>IF(RIGHT(H191,2)&lt;&gt;"00",H191,"")</f>
        <v/>
      </c>
      <c r="Y191" s="26">
        <f ca="1">NETWORKDAYS(P191,$Y$1)</f>
        <v>370</v>
      </c>
      <c r="Z191" s="34">
        <v>1</v>
      </c>
      <c r="AA191" s="25" t="str">
        <f t="shared" ca="1" si="13"/>
        <v>A VENCER</v>
      </c>
      <c r="AB191" s="25" t="str">
        <f t="shared" si="16"/>
        <v>C-14</v>
      </c>
      <c r="AC191" s="2" t="str">
        <f t="shared" si="15"/>
        <v xml:space="preserve"> CLEITON </v>
      </c>
      <c r="AD191" s="26">
        <f t="shared" si="17"/>
        <v>5</v>
      </c>
      <c r="AE191" s="26">
        <f t="shared" ca="1" si="14"/>
        <v>516.81899155092833</v>
      </c>
      <c r="AF191" s="35"/>
    </row>
    <row r="192" spans="1:32" hidden="1">
      <c r="A192" s="209">
        <v>7970307</v>
      </c>
      <c r="B192" s="209" t="s">
        <v>62</v>
      </c>
      <c r="C192" s="210" t="s">
        <v>3574</v>
      </c>
      <c r="D192" s="214"/>
      <c r="E192" s="214">
        <v>1833000203000</v>
      </c>
      <c r="F192" s="209" t="s">
        <v>454</v>
      </c>
      <c r="G192" s="209" t="s">
        <v>53</v>
      </c>
      <c r="H192" s="209" t="s">
        <v>369</v>
      </c>
      <c r="I192" s="209" t="s">
        <v>370</v>
      </c>
      <c r="J192" s="209" t="s">
        <v>46</v>
      </c>
      <c r="K192" s="210" t="s">
        <v>457</v>
      </c>
      <c r="L192" s="210"/>
      <c r="M192" s="209" t="s">
        <v>58</v>
      </c>
      <c r="N192" s="209">
        <v>0</v>
      </c>
      <c r="O192" s="209" t="s">
        <v>105</v>
      </c>
      <c r="P192" s="213">
        <v>44469.85728009259</v>
      </c>
      <c r="Q192" s="209"/>
      <c r="R192" s="209" t="s">
        <v>38</v>
      </c>
      <c r="S192" s="209"/>
      <c r="T192" s="209" t="s">
        <v>157</v>
      </c>
      <c r="U192" s="213">
        <v>44508.75</v>
      </c>
      <c r="V192" s="209" t="s">
        <v>41</v>
      </c>
      <c r="W192" s="209" t="s">
        <v>49</v>
      </c>
      <c r="X192" s="13" t="str">
        <f>IF(RIGHT(H192,2)&lt;&gt;"00",H192,"")</f>
        <v/>
      </c>
      <c r="Y192" s="26">
        <f ca="1">NETWORKDAYS(P192,$Y$1)</f>
        <v>370</v>
      </c>
      <c r="Z192" s="34">
        <v>1</v>
      </c>
      <c r="AA192" s="25" t="str">
        <f t="shared" ca="1" si="13"/>
        <v>A VENCER</v>
      </c>
      <c r="AB192" s="25" t="str">
        <f t="shared" si="16"/>
        <v>C-14</v>
      </c>
      <c r="AC192" s="2" t="str">
        <f t="shared" si="15"/>
        <v xml:space="preserve"> CLEITON </v>
      </c>
      <c r="AD192" s="26">
        <f t="shared" si="17"/>
        <v>5</v>
      </c>
      <c r="AE192" s="26">
        <f t="shared" ca="1" si="14"/>
        <v>516.81899155092833</v>
      </c>
      <c r="AF192" s="35"/>
    </row>
    <row r="193" spans="1:32" hidden="1">
      <c r="A193" s="209">
        <v>7970306</v>
      </c>
      <c r="B193" s="209" t="s">
        <v>62</v>
      </c>
      <c r="C193" s="210" t="s">
        <v>3574</v>
      </c>
      <c r="D193" s="214"/>
      <c r="E193" s="214">
        <v>1833000203000</v>
      </c>
      <c r="F193" s="209" t="s">
        <v>454</v>
      </c>
      <c r="G193" s="209" t="s">
        <v>53</v>
      </c>
      <c r="H193" s="209" t="s">
        <v>369</v>
      </c>
      <c r="I193" s="209" t="s">
        <v>370</v>
      </c>
      <c r="J193" s="209" t="s">
        <v>46</v>
      </c>
      <c r="K193" s="210" t="s">
        <v>457</v>
      </c>
      <c r="L193" s="210"/>
      <c r="M193" s="209" t="s">
        <v>58</v>
      </c>
      <c r="N193" s="209">
        <v>0</v>
      </c>
      <c r="O193" s="209" t="s">
        <v>105</v>
      </c>
      <c r="P193" s="213">
        <v>44469.85728009259</v>
      </c>
      <c r="Q193" s="209"/>
      <c r="R193" s="209" t="s">
        <v>38</v>
      </c>
      <c r="S193" s="209"/>
      <c r="T193" s="209" t="s">
        <v>157</v>
      </c>
      <c r="U193" s="213">
        <v>44508.75</v>
      </c>
      <c r="V193" s="209" t="s">
        <v>41</v>
      </c>
      <c r="W193" s="209" t="s">
        <v>49</v>
      </c>
      <c r="X193" s="13" t="str">
        <f>IF(RIGHT(H193,2)&lt;&gt;"00",H193,"")</f>
        <v/>
      </c>
      <c r="Y193" s="26">
        <f ca="1">NETWORKDAYS(P193,$Y$1)</f>
        <v>370</v>
      </c>
      <c r="Z193" s="34">
        <v>1</v>
      </c>
      <c r="AA193" s="25" t="str">
        <f t="shared" ca="1" si="13"/>
        <v>A VENCER</v>
      </c>
      <c r="AB193" s="25" t="str">
        <f t="shared" si="16"/>
        <v>C-14</v>
      </c>
      <c r="AC193" s="2" t="str">
        <f t="shared" si="15"/>
        <v xml:space="preserve"> CLEITON </v>
      </c>
      <c r="AD193" s="26">
        <f t="shared" si="17"/>
        <v>5</v>
      </c>
      <c r="AE193" s="26">
        <f t="shared" ca="1" si="14"/>
        <v>516.81899155092833</v>
      </c>
      <c r="AF193" s="35"/>
    </row>
    <row r="194" spans="1:32" hidden="1">
      <c r="A194" s="209">
        <v>7970305</v>
      </c>
      <c r="B194" s="209" t="s">
        <v>62</v>
      </c>
      <c r="C194" s="210" t="s">
        <v>3574</v>
      </c>
      <c r="D194" s="214"/>
      <c r="E194" s="214">
        <v>1833000203000</v>
      </c>
      <c r="F194" s="209" t="s">
        <v>454</v>
      </c>
      <c r="G194" s="209" t="s">
        <v>53</v>
      </c>
      <c r="H194" s="209" t="s">
        <v>369</v>
      </c>
      <c r="I194" s="209" t="s">
        <v>370</v>
      </c>
      <c r="J194" s="209" t="s">
        <v>46</v>
      </c>
      <c r="K194" s="210" t="s">
        <v>457</v>
      </c>
      <c r="L194" s="210"/>
      <c r="M194" s="209" t="s">
        <v>58</v>
      </c>
      <c r="N194" s="209">
        <v>0</v>
      </c>
      <c r="O194" s="209" t="s">
        <v>105</v>
      </c>
      <c r="P194" s="213">
        <v>44469.85728009259</v>
      </c>
      <c r="Q194" s="209"/>
      <c r="R194" s="209" t="s">
        <v>38</v>
      </c>
      <c r="S194" s="209"/>
      <c r="T194" s="209" t="s">
        <v>157</v>
      </c>
      <c r="U194" s="213">
        <v>44508.75</v>
      </c>
      <c r="V194" s="209" t="s">
        <v>41</v>
      </c>
      <c r="W194" s="209" t="s">
        <v>49</v>
      </c>
      <c r="X194" s="13" t="str">
        <f>IF(RIGHT(H194,2)&lt;&gt;"00",H194,"")</f>
        <v/>
      </c>
      <c r="Y194" s="26">
        <f ca="1">NETWORKDAYS(P194,$Y$1)</f>
        <v>370</v>
      </c>
      <c r="Z194" s="34">
        <v>1</v>
      </c>
      <c r="AA194" s="25" t="str">
        <f t="shared" ref="AA194:AA257" ca="1" si="18">IF(AE194=0,"HOJE",IF(AE194&gt;0,"A VENCER",IF(AE194&lt;0,"VENCIDO")))</f>
        <v>A VENCER</v>
      </c>
      <c r="AB194" s="25" t="str">
        <f t="shared" si="16"/>
        <v>C-14</v>
      </c>
      <c r="AC194" s="2" t="str">
        <f t="shared" si="15"/>
        <v xml:space="preserve"> CLEITON </v>
      </c>
      <c r="AD194" s="26">
        <f t="shared" si="17"/>
        <v>5</v>
      </c>
      <c r="AE194" s="26">
        <f t="shared" ref="AE194:AE257" ca="1" si="19">IF(P194=$AE$1,"",$AE$1-P194)</f>
        <v>516.81899155092833</v>
      </c>
      <c r="AF194" s="35"/>
    </row>
    <row r="195" spans="1:32" hidden="1">
      <c r="A195" s="209">
        <v>7970304</v>
      </c>
      <c r="B195" s="209" t="s">
        <v>62</v>
      </c>
      <c r="C195" s="210" t="s">
        <v>3574</v>
      </c>
      <c r="D195" s="214"/>
      <c r="E195" s="214">
        <v>1833000203000</v>
      </c>
      <c r="F195" s="209" t="s">
        <v>454</v>
      </c>
      <c r="G195" s="209" t="s">
        <v>53</v>
      </c>
      <c r="H195" s="209" t="s">
        <v>369</v>
      </c>
      <c r="I195" s="209" t="s">
        <v>370</v>
      </c>
      <c r="J195" s="209" t="s">
        <v>46</v>
      </c>
      <c r="K195" s="210" t="s">
        <v>457</v>
      </c>
      <c r="L195" s="210"/>
      <c r="M195" s="209" t="s">
        <v>58</v>
      </c>
      <c r="N195" s="209">
        <v>0</v>
      </c>
      <c r="O195" s="209" t="s">
        <v>105</v>
      </c>
      <c r="P195" s="213">
        <v>44469.85728009259</v>
      </c>
      <c r="Q195" s="209"/>
      <c r="R195" s="209" t="s">
        <v>38</v>
      </c>
      <c r="S195" s="209"/>
      <c r="T195" s="209" t="s">
        <v>157</v>
      </c>
      <c r="U195" s="213">
        <v>44508.75</v>
      </c>
      <c r="V195" s="209" t="s">
        <v>41</v>
      </c>
      <c r="W195" s="209" t="s">
        <v>49</v>
      </c>
      <c r="X195" s="13" t="str">
        <f>IF(RIGHT(H195,2)&lt;&gt;"00",H195,"")</f>
        <v/>
      </c>
      <c r="Y195" s="26">
        <f ca="1">NETWORKDAYS(P195,$Y$1)</f>
        <v>370</v>
      </c>
      <c r="Z195" s="34">
        <v>1</v>
      </c>
      <c r="AA195" s="25" t="str">
        <f t="shared" ca="1" si="18"/>
        <v>A VENCER</v>
      </c>
      <c r="AB195" s="25" t="str">
        <f t="shared" si="16"/>
        <v>C-14</v>
      </c>
      <c r="AC195" s="2" t="str">
        <f t="shared" ref="AC195:AC258" si="20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 xml:space="preserve"> CLEITON </v>
      </c>
      <c r="AD195" s="26">
        <f t="shared" si="17"/>
        <v>5</v>
      </c>
      <c r="AE195" s="26">
        <f t="shared" ca="1" si="19"/>
        <v>516.81899155092833</v>
      </c>
      <c r="AF195" s="35"/>
    </row>
    <row r="196" spans="1:32" hidden="1">
      <c r="A196" s="209">
        <v>7970303</v>
      </c>
      <c r="B196" s="209" t="s">
        <v>62</v>
      </c>
      <c r="C196" s="210" t="s">
        <v>3574</v>
      </c>
      <c r="D196" s="214"/>
      <c r="E196" s="214">
        <v>1833000203000</v>
      </c>
      <c r="F196" s="209" t="s">
        <v>454</v>
      </c>
      <c r="G196" s="209" t="s">
        <v>53</v>
      </c>
      <c r="H196" s="209" t="s">
        <v>369</v>
      </c>
      <c r="I196" s="209" t="s">
        <v>370</v>
      </c>
      <c r="J196" s="209" t="s">
        <v>46</v>
      </c>
      <c r="K196" s="210" t="s">
        <v>457</v>
      </c>
      <c r="L196" s="210"/>
      <c r="M196" s="209" t="s">
        <v>58</v>
      </c>
      <c r="N196" s="209">
        <v>0</v>
      </c>
      <c r="O196" s="209" t="s">
        <v>105</v>
      </c>
      <c r="P196" s="213">
        <v>44469.85728009259</v>
      </c>
      <c r="Q196" s="209"/>
      <c r="R196" s="209" t="s">
        <v>38</v>
      </c>
      <c r="S196" s="209"/>
      <c r="T196" s="209" t="s">
        <v>157</v>
      </c>
      <c r="U196" s="213">
        <v>44508.75</v>
      </c>
      <c r="V196" s="209" t="s">
        <v>41</v>
      </c>
      <c r="W196" s="209" t="s">
        <v>49</v>
      </c>
      <c r="X196" s="13" t="str">
        <f>IF(RIGHT(H196,2)&lt;&gt;"00",H196,"")</f>
        <v/>
      </c>
      <c r="Y196" s="26">
        <f ca="1">NETWORKDAYS(P196,$Y$1)</f>
        <v>370</v>
      </c>
      <c r="Z196" s="34">
        <v>1</v>
      </c>
      <c r="AA196" s="25" t="str">
        <f t="shared" ca="1" si="18"/>
        <v>A VENCER</v>
      </c>
      <c r="AB196" s="25" t="str">
        <f t="shared" si="16"/>
        <v>C-14</v>
      </c>
      <c r="AC196" s="2" t="str">
        <f t="shared" si="20"/>
        <v xml:space="preserve"> CLEITON </v>
      </c>
      <c r="AD196" s="26">
        <f t="shared" si="17"/>
        <v>5</v>
      </c>
      <c r="AE196" s="26">
        <f t="shared" ca="1" si="19"/>
        <v>516.81899155092833</v>
      </c>
      <c r="AF196" s="35"/>
    </row>
    <row r="197" spans="1:32" hidden="1">
      <c r="A197" s="209">
        <v>7970302</v>
      </c>
      <c r="B197" s="209" t="s">
        <v>62</v>
      </c>
      <c r="C197" s="210" t="s">
        <v>3574</v>
      </c>
      <c r="D197" s="214"/>
      <c r="E197" s="214">
        <v>1833000203000</v>
      </c>
      <c r="F197" s="209" t="s">
        <v>454</v>
      </c>
      <c r="G197" s="209" t="s">
        <v>53</v>
      </c>
      <c r="H197" s="209" t="s">
        <v>369</v>
      </c>
      <c r="I197" s="209" t="s">
        <v>370</v>
      </c>
      <c r="J197" s="209" t="s">
        <v>46</v>
      </c>
      <c r="K197" s="210" t="s">
        <v>457</v>
      </c>
      <c r="L197" s="210"/>
      <c r="M197" s="209" t="s">
        <v>58</v>
      </c>
      <c r="N197" s="209">
        <v>0</v>
      </c>
      <c r="O197" s="209" t="s">
        <v>105</v>
      </c>
      <c r="P197" s="213">
        <v>44469.85728009259</v>
      </c>
      <c r="Q197" s="209"/>
      <c r="R197" s="209" t="s">
        <v>38</v>
      </c>
      <c r="S197" s="209"/>
      <c r="T197" s="209" t="s">
        <v>157</v>
      </c>
      <c r="U197" s="213">
        <v>44508.75</v>
      </c>
      <c r="V197" s="209" t="s">
        <v>41</v>
      </c>
      <c r="W197" s="209" t="s">
        <v>49</v>
      </c>
      <c r="X197" s="13" t="str">
        <f>IF(RIGHT(H197,2)&lt;&gt;"00",H197,"")</f>
        <v/>
      </c>
      <c r="Y197" s="26">
        <f ca="1">NETWORKDAYS(P197,$Y$1)</f>
        <v>370</v>
      </c>
      <c r="Z197" s="34">
        <v>1</v>
      </c>
      <c r="AA197" s="25" t="str">
        <f t="shared" ca="1" si="18"/>
        <v>A VENCER</v>
      </c>
      <c r="AB197" s="25" t="str">
        <f t="shared" si="16"/>
        <v>C-14</v>
      </c>
      <c r="AC197" s="2" t="str">
        <f t="shared" si="20"/>
        <v xml:space="preserve"> CLEITON </v>
      </c>
      <c r="AD197" s="26">
        <f t="shared" si="17"/>
        <v>5</v>
      </c>
      <c r="AE197" s="26">
        <f t="shared" ca="1" si="19"/>
        <v>516.81899155092833</v>
      </c>
      <c r="AF197" s="35"/>
    </row>
    <row r="198" spans="1:32" hidden="1">
      <c r="A198" s="209">
        <v>7970301</v>
      </c>
      <c r="B198" s="209" t="s">
        <v>62</v>
      </c>
      <c r="C198" s="210" t="s">
        <v>3574</v>
      </c>
      <c r="D198" s="214"/>
      <c r="E198" s="214">
        <v>1833000203000</v>
      </c>
      <c r="F198" s="209" t="s">
        <v>454</v>
      </c>
      <c r="G198" s="209" t="s">
        <v>53</v>
      </c>
      <c r="H198" s="209" t="s">
        <v>369</v>
      </c>
      <c r="I198" s="209" t="s">
        <v>370</v>
      </c>
      <c r="J198" s="209" t="s">
        <v>46</v>
      </c>
      <c r="K198" s="210" t="s">
        <v>457</v>
      </c>
      <c r="L198" s="210"/>
      <c r="M198" s="209" t="s">
        <v>58</v>
      </c>
      <c r="N198" s="209">
        <v>0</v>
      </c>
      <c r="O198" s="209" t="s">
        <v>105</v>
      </c>
      <c r="P198" s="213">
        <v>44469.857268518521</v>
      </c>
      <c r="Q198" s="209"/>
      <c r="R198" s="209" t="s">
        <v>38</v>
      </c>
      <c r="S198" s="209"/>
      <c r="T198" s="209" t="s">
        <v>157</v>
      </c>
      <c r="U198" s="213">
        <v>44508.75</v>
      </c>
      <c r="V198" s="209" t="s">
        <v>41</v>
      </c>
      <c r="W198" s="209" t="s">
        <v>49</v>
      </c>
      <c r="X198" s="13" t="str">
        <f>IF(RIGHT(H198,2)&lt;&gt;"00",H198,"")</f>
        <v/>
      </c>
      <c r="Y198" s="26">
        <f ca="1">NETWORKDAYS(P198,$Y$1)</f>
        <v>370</v>
      </c>
      <c r="Z198" s="34">
        <v>1</v>
      </c>
      <c r="AA198" s="25" t="str">
        <f t="shared" ca="1" si="18"/>
        <v>A VENCER</v>
      </c>
      <c r="AB198" s="25" t="str">
        <f t="shared" si="16"/>
        <v>C-14</v>
      </c>
      <c r="AC198" s="2" t="str">
        <f t="shared" si="20"/>
        <v xml:space="preserve"> CLEITON </v>
      </c>
      <c r="AD198" s="26">
        <f t="shared" si="17"/>
        <v>5</v>
      </c>
      <c r="AE198" s="26">
        <f t="shared" ca="1" si="19"/>
        <v>516.81900312499783</v>
      </c>
      <c r="AF198" s="35"/>
    </row>
    <row r="199" spans="1:32" hidden="1">
      <c r="A199" s="209">
        <v>7970300</v>
      </c>
      <c r="B199" s="209" t="s">
        <v>62</v>
      </c>
      <c r="C199" s="210" t="s">
        <v>3574</v>
      </c>
      <c r="D199" s="214"/>
      <c r="E199" s="214">
        <v>1833000203000</v>
      </c>
      <c r="F199" s="209" t="s">
        <v>454</v>
      </c>
      <c r="G199" s="209" t="s">
        <v>53</v>
      </c>
      <c r="H199" s="209" t="s">
        <v>369</v>
      </c>
      <c r="I199" s="209" t="s">
        <v>370</v>
      </c>
      <c r="J199" s="209" t="s">
        <v>46</v>
      </c>
      <c r="K199" s="210" t="s">
        <v>457</v>
      </c>
      <c r="L199" s="210"/>
      <c r="M199" s="209" t="s">
        <v>58</v>
      </c>
      <c r="N199" s="209">
        <v>0</v>
      </c>
      <c r="O199" s="209" t="s">
        <v>105</v>
      </c>
      <c r="P199" s="213">
        <v>44469.857268518521</v>
      </c>
      <c r="Q199" s="209"/>
      <c r="R199" s="209" t="s">
        <v>38</v>
      </c>
      <c r="S199" s="209"/>
      <c r="T199" s="209" t="s">
        <v>157</v>
      </c>
      <c r="U199" s="213">
        <v>44508.75</v>
      </c>
      <c r="V199" s="209" t="s">
        <v>41</v>
      </c>
      <c r="W199" s="209" t="s">
        <v>49</v>
      </c>
      <c r="X199" s="13" t="str">
        <f>IF(RIGHT(H199,2)&lt;&gt;"00",H199,"")</f>
        <v/>
      </c>
      <c r="Y199" s="26">
        <f ca="1">NETWORKDAYS(P199,$Y$1)</f>
        <v>370</v>
      </c>
      <c r="Z199" s="34">
        <v>1</v>
      </c>
      <c r="AA199" s="25" t="str">
        <f t="shared" ca="1" si="18"/>
        <v>A VENCER</v>
      </c>
      <c r="AB199" s="25" t="str">
        <f t="shared" si="16"/>
        <v>C-14</v>
      </c>
      <c r="AC199" s="2" t="str">
        <f t="shared" si="20"/>
        <v xml:space="preserve"> CLEITON </v>
      </c>
      <c r="AD199" s="26">
        <f t="shared" si="17"/>
        <v>5</v>
      </c>
      <c r="AE199" s="26">
        <f t="shared" ca="1" si="19"/>
        <v>516.81900312499783</v>
      </c>
      <c r="AF199" s="35"/>
    </row>
    <row r="200" spans="1:32" hidden="1">
      <c r="A200" s="209">
        <v>7970299</v>
      </c>
      <c r="B200" s="209" t="s">
        <v>62</v>
      </c>
      <c r="C200" s="210" t="s">
        <v>3574</v>
      </c>
      <c r="D200" s="214"/>
      <c r="E200" s="214">
        <v>1833000203000</v>
      </c>
      <c r="F200" s="209" t="s">
        <v>454</v>
      </c>
      <c r="G200" s="209" t="s">
        <v>53</v>
      </c>
      <c r="H200" s="209" t="s">
        <v>369</v>
      </c>
      <c r="I200" s="209" t="s">
        <v>370</v>
      </c>
      <c r="J200" s="209" t="s">
        <v>46</v>
      </c>
      <c r="K200" s="210" t="s">
        <v>457</v>
      </c>
      <c r="L200" s="210"/>
      <c r="M200" s="209" t="s">
        <v>58</v>
      </c>
      <c r="N200" s="209">
        <v>0</v>
      </c>
      <c r="O200" s="209" t="s">
        <v>105</v>
      </c>
      <c r="P200" s="213">
        <v>44469.857268518521</v>
      </c>
      <c r="Q200" s="209"/>
      <c r="R200" s="209" t="s">
        <v>38</v>
      </c>
      <c r="S200" s="209"/>
      <c r="T200" s="209" t="s">
        <v>157</v>
      </c>
      <c r="U200" s="213">
        <v>44508.75</v>
      </c>
      <c r="V200" s="209" t="s">
        <v>41</v>
      </c>
      <c r="W200" s="209" t="s">
        <v>49</v>
      </c>
      <c r="X200" s="13" t="str">
        <f>IF(RIGHT(H200,2)&lt;&gt;"00",H200,"")</f>
        <v/>
      </c>
      <c r="Y200" s="26">
        <f ca="1">NETWORKDAYS(P200,$Y$1)</f>
        <v>370</v>
      </c>
      <c r="Z200" s="34">
        <v>1</v>
      </c>
      <c r="AA200" s="25" t="str">
        <f t="shared" ca="1" si="18"/>
        <v>A VENCER</v>
      </c>
      <c r="AB200" s="25" t="str">
        <f t="shared" si="16"/>
        <v>C-14</v>
      </c>
      <c r="AC200" s="2" t="str">
        <f t="shared" si="20"/>
        <v xml:space="preserve"> CLEITON </v>
      </c>
      <c r="AD200" s="26">
        <f t="shared" si="17"/>
        <v>5</v>
      </c>
      <c r="AE200" s="26">
        <f t="shared" ca="1" si="19"/>
        <v>516.81900312499783</v>
      </c>
      <c r="AF200" s="35"/>
    </row>
    <row r="201" spans="1:32" hidden="1">
      <c r="A201" s="209">
        <v>7970298</v>
      </c>
      <c r="B201" s="209" t="s">
        <v>62</v>
      </c>
      <c r="C201" s="210" t="s">
        <v>3574</v>
      </c>
      <c r="D201" s="214"/>
      <c r="E201" s="214">
        <v>1833000203000</v>
      </c>
      <c r="F201" s="209" t="s">
        <v>454</v>
      </c>
      <c r="G201" s="209" t="s">
        <v>53</v>
      </c>
      <c r="H201" s="209" t="s">
        <v>369</v>
      </c>
      <c r="I201" s="209" t="s">
        <v>370</v>
      </c>
      <c r="J201" s="209" t="s">
        <v>46</v>
      </c>
      <c r="K201" s="210" t="s">
        <v>457</v>
      </c>
      <c r="L201" s="210"/>
      <c r="M201" s="209" t="s">
        <v>58</v>
      </c>
      <c r="N201" s="209">
        <v>0</v>
      </c>
      <c r="O201" s="209" t="s">
        <v>105</v>
      </c>
      <c r="P201" s="213">
        <v>44469.857268518521</v>
      </c>
      <c r="Q201" s="209"/>
      <c r="R201" s="209" t="s">
        <v>38</v>
      </c>
      <c r="S201" s="209"/>
      <c r="T201" s="209" t="s">
        <v>157</v>
      </c>
      <c r="U201" s="213">
        <v>44508.75</v>
      </c>
      <c r="V201" s="209" t="s">
        <v>41</v>
      </c>
      <c r="W201" s="209" t="s">
        <v>49</v>
      </c>
      <c r="X201" s="13" t="str">
        <f>IF(RIGHT(H201,2)&lt;&gt;"00",H201,"")</f>
        <v/>
      </c>
      <c r="Y201" s="26">
        <f ca="1">NETWORKDAYS(P201,$Y$1)</f>
        <v>370</v>
      </c>
      <c r="Z201" s="34">
        <v>1</v>
      </c>
      <c r="AA201" s="25" t="str">
        <f t="shared" ca="1" si="18"/>
        <v>A VENCER</v>
      </c>
      <c r="AB201" s="25" t="str">
        <f t="shared" si="16"/>
        <v>C-14</v>
      </c>
      <c r="AC201" s="2" t="str">
        <f t="shared" si="20"/>
        <v xml:space="preserve"> CLEITON </v>
      </c>
      <c r="AD201" s="26">
        <f t="shared" si="17"/>
        <v>5</v>
      </c>
      <c r="AE201" s="26">
        <f t="shared" ca="1" si="19"/>
        <v>516.81900312499783</v>
      </c>
      <c r="AF201" s="35"/>
    </row>
    <row r="202" spans="1:32" hidden="1">
      <c r="A202" s="209">
        <v>7970297</v>
      </c>
      <c r="B202" s="209" t="s">
        <v>62</v>
      </c>
      <c r="C202" s="210" t="s">
        <v>3574</v>
      </c>
      <c r="D202" s="214"/>
      <c r="E202" s="214">
        <v>1833000203000</v>
      </c>
      <c r="F202" s="209" t="s">
        <v>454</v>
      </c>
      <c r="G202" s="209" t="s">
        <v>53</v>
      </c>
      <c r="H202" s="209" t="s">
        <v>369</v>
      </c>
      <c r="I202" s="209" t="s">
        <v>370</v>
      </c>
      <c r="J202" s="209" t="s">
        <v>46</v>
      </c>
      <c r="K202" s="210" t="s">
        <v>457</v>
      </c>
      <c r="L202" s="210"/>
      <c r="M202" s="209" t="s">
        <v>58</v>
      </c>
      <c r="N202" s="209">
        <v>0</v>
      </c>
      <c r="O202" s="209" t="s">
        <v>105</v>
      </c>
      <c r="P202" s="213">
        <v>44469.857268518521</v>
      </c>
      <c r="Q202" s="209"/>
      <c r="R202" s="209" t="s">
        <v>38</v>
      </c>
      <c r="S202" s="209"/>
      <c r="T202" s="209" t="s">
        <v>157</v>
      </c>
      <c r="U202" s="213">
        <v>44508.75</v>
      </c>
      <c r="V202" s="209" t="s">
        <v>41</v>
      </c>
      <c r="W202" s="209" t="s">
        <v>49</v>
      </c>
      <c r="X202" s="13" t="str">
        <f>IF(RIGHT(H202,2)&lt;&gt;"00",H202,"")</f>
        <v/>
      </c>
      <c r="Y202" s="26">
        <f ca="1">NETWORKDAYS(P202,$Y$1)</f>
        <v>370</v>
      </c>
      <c r="Z202" s="34">
        <v>1</v>
      </c>
      <c r="AA202" s="25" t="str">
        <f t="shared" ca="1" si="18"/>
        <v>A VENCER</v>
      </c>
      <c r="AB202" s="25" t="str">
        <f t="shared" si="16"/>
        <v>C-14</v>
      </c>
      <c r="AC202" s="2" t="str">
        <f t="shared" si="20"/>
        <v xml:space="preserve"> CLEITON </v>
      </c>
      <c r="AD202" s="26">
        <f t="shared" si="17"/>
        <v>5</v>
      </c>
      <c r="AE202" s="26">
        <f t="shared" ca="1" si="19"/>
        <v>516.81900312499783</v>
      </c>
      <c r="AF202" s="35"/>
    </row>
    <row r="203" spans="1:32" hidden="1">
      <c r="A203" s="209">
        <v>7970296</v>
      </c>
      <c r="B203" s="209" t="s">
        <v>62</v>
      </c>
      <c r="C203" s="210" t="s">
        <v>3574</v>
      </c>
      <c r="D203" s="214"/>
      <c r="E203" s="214">
        <v>1833000203000</v>
      </c>
      <c r="F203" s="209" t="s">
        <v>454</v>
      </c>
      <c r="G203" s="209" t="s">
        <v>53</v>
      </c>
      <c r="H203" s="209" t="s">
        <v>369</v>
      </c>
      <c r="I203" s="209" t="s">
        <v>370</v>
      </c>
      <c r="J203" s="209" t="s">
        <v>46</v>
      </c>
      <c r="K203" s="210" t="s">
        <v>457</v>
      </c>
      <c r="L203" s="210"/>
      <c r="M203" s="209" t="s">
        <v>58</v>
      </c>
      <c r="N203" s="209">
        <v>0</v>
      </c>
      <c r="O203" s="209" t="s">
        <v>105</v>
      </c>
      <c r="P203" s="213">
        <v>44469.857268518521</v>
      </c>
      <c r="Q203" s="209"/>
      <c r="R203" s="209" t="s">
        <v>38</v>
      </c>
      <c r="S203" s="209"/>
      <c r="T203" s="209" t="s">
        <v>157</v>
      </c>
      <c r="U203" s="213">
        <v>44508.75</v>
      </c>
      <c r="V203" s="209" t="s">
        <v>41</v>
      </c>
      <c r="W203" s="209" t="s">
        <v>49</v>
      </c>
      <c r="X203" s="13" t="str">
        <f>IF(RIGHT(H203,2)&lt;&gt;"00",H203,"")</f>
        <v/>
      </c>
      <c r="Y203" s="26">
        <f ca="1">NETWORKDAYS(P203,$Y$1)</f>
        <v>370</v>
      </c>
      <c r="Z203" s="34">
        <v>1</v>
      </c>
      <c r="AA203" s="25" t="str">
        <f t="shared" ca="1" si="18"/>
        <v>A VENCER</v>
      </c>
      <c r="AB203" s="25" t="str">
        <f t="shared" si="16"/>
        <v>C-14</v>
      </c>
      <c r="AC203" s="2" t="str">
        <f t="shared" si="20"/>
        <v xml:space="preserve"> CLEITON </v>
      </c>
      <c r="AD203" s="26">
        <f t="shared" si="17"/>
        <v>5</v>
      </c>
      <c r="AE203" s="26">
        <f t="shared" ca="1" si="19"/>
        <v>516.81900312499783</v>
      </c>
      <c r="AF203" s="35"/>
    </row>
    <row r="204" spans="1:32" hidden="1">
      <c r="A204" s="209">
        <v>7970241</v>
      </c>
      <c r="B204" s="209" t="s">
        <v>62</v>
      </c>
      <c r="C204" s="210" t="s">
        <v>3574</v>
      </c>
      <c r="D204" s="214"/>
      <c r="E204" s="214">
        <v>1792000203000</v>
      </c>
      <c r="F204" s="209" t="s">
        <v>454</v>
      </c>
      <c r="G204" s="209" t="s">
        <v>53</v>
      </c>
      <c r="H204" s="209" t="s">
        <v>467</v>
      </c>
      <c r="I204" s="209" t="s">
        <v>468</v>
      </c>
      <c r="J204" s="209" t="s">
        <v>110</v>
      </c>
      <c r="K204" s="210" t="s">
        <v>457</v>
      </c>
      <c r="L204" s="210"/>
      <c r="M204" s="209" t="s">
        <v>58</v>
      </c>
      <c r="N204" s="209">
        <v>0</v>
      </c>
      <c r="O204" s="209" t="s">
        <v>105</v>
      </c>
      <c r="P204" s="213">
        <v>44469.857175925928</v>
      </c>
      <c r="Q204" s="209"/>
      <c r="R204" s="209" t="s">
        <v>38</v>
      </c>
      <c r="S204" s="209"/>
      <c r="T204" s="209" t="s">
        <v>157</v>
      </c>
      <c r="U204" s="213">
        <v>44508.75</v>
      </c>
      <c r="V204" s="209" t="s">
        <v>41</v>
      </c>
      <c r="W204" s="209" t="s">
        <v>49</v>
      </c>
      <c r="X204" s="13" t="str">
        <f>IF(RIGHT(H204,2)&lt;&gt;"00",H204,"")</f>
        <v/>
      </c>
      <c r="Y204" s="26">
        <f ca="1">NETWORKDAYS(P204,$Y$1)</f>
        <v>370</v>
      </c>
      <c r="Z204" s="34">
        <v>1</v>
      </c>
      <c r="AA204" s="25" t="str">
        <f t="shared" ca="1" si="18"/>
        <v>A VENCER</v>
      </c>
      <c r="AB204" s="25" t="str">
        <f t="shared" si="16"/>
        <v>C-14</v>
      </c>
      <c r="AC204" s="2" t="str">
        <f t="shared" si="20"/>
        <v xml:space="preserve"> CRISTINA </v>
      </c>
      <c r="AD204" s="26">
        <f t="shared" si="17"/>
        <v>5</v>
      </c>
      <c r="AE204" s="26">
        <f t="shared" ca="1" si="19"/>
        <v>516.81909571759024</v>
      </c>
      <c r="AF204" s="35"/>
    </row>
    <row r="205" spans="1:32" hidden="1">
      <c r="A205" s="209">
        <v>7970240</v>
      </c>
      <c r="B205" s="209" t="s">
        <v>62</v>
      </c>
      <c r="C205" s="210" t="s">
        <v>3574</v>
      </c>
      <c r="D205" s="214"/>
      <c r="E205" s="214">
        <v>1792000203000</v>
      </c>
      <c r="F205" s="209" t="s">
        <v>454</v>
      </c>
      <c r="G205" s="209" t="s">
        <v>53</v>
      </c>
      <c r="H205" s="209" t="s">
        <v>467</v>
      </c>
      <c r="I205" s="209" t="s">
        <v>468</v>
      </c>
      <c r="J205" s="209" t="s">
        <v>110</v>
      </c>
      <c r="K205" s="210" t="s">
        <v>457</v>
      </c>
      <c r="L205" s="210"/>
      <c r="M205" s="209" t="s">
        <v>58</v>
      </c>
      <c r="N205" s="209">
        <v>0</v>
      </c>
      <c r="O205" s="209" t="s">
        <v>105</v>
      </c>
      <c r="P205" s="213">
        <v>44469.857164351852</v>
      </c>
      <c r="Q205" s="209"/>
      <c r="R205" s="209" t="s">
        <v>38</v>
      </c>
      <c r="S205" s="209"/>
      <c r="T205" s="209" t="s">
        <v>157</v>
      </c>
      <c r="U205" s="213">
        <v>44508.75</v>
      </c>
      <c r="V205" s="209" t="s">
        <v>41</v>
      </c>
      <c r="W205" s="209" t="s">
        <v>49</v>
      </c>
      <c r="X205" s="13" t="str">
        <f>IF(RIGHT(H205,2)&lt;&gt;"00",H205,"")</f>
        <v/>
      </c>
      <c r="Y205" s="26">
        <f ca="1">NETWORKDAYS(P205,$Y$1)</f>
        <v>370</v>
      </c>
      <c r="Z205" s="34">
        <v>1</v>
      </c>
      <c r="AA205" s="25" t="str">
        <f t="shared" ca="1" si="18"/>
        <v>A VENCER</v>
      </c>
      <c r="AB205" s="25" t="str">
        <f t="shared" si="16"/>
        <v>C-14</v>
      </c>
      <c r="AC205" s="2" t="str">
        <f t="shared" si="20"/>
        <v xml:space="preserve"> CRISTINA </v>
      </c>
      <c r="AD205" s="26">
        <f t="shared" si="17"/>
        <v>5</v>
      </c>
      <c r="AE205" s="26">
        <f t="shared" ca="1" si="19"/>
        <v>516.81910729166702</v>
      </c>
      <c r="AF205" s="35"/>
    </row>
    <row r="206" spans="1:32" hidden="1">
      <c r="A206" s="209">
        <v>7970239</v>
      </c>
      <c r="B206" s="209" t="s">
        <v>62</v>
      </c>
      <c r="C206" s="210" t="s">
        <v>3574</v>
      </c>
      <c r="D206" s="214"/>
      <c r="E206" s="214">
        <v>1792000203000</v>
      </c>
      <c r="F206" s="209" t="s">
        <v>454</v>
      </c>
      <c r="G206" s="209" t="s">
        <v>53</v>
      </c>
      <c r="H206" s="209" t="s">
        <v>467</v>
      </c>
      <c r="I206" s="209" t="s">
        <v>468</v>
      </c>
      <c r="J206" s="209" t="s">
        <v>110</v>
      </c>
      <c r="K206" s="210" t="s">
        <v>457</v>
      </c>
      <c r="L206" s="210"/>
      <c r="M206" s="209" t="s">
        <v>58</v>
      </c>
      <c r="N206" s="209">
        <v>0</v>
      </c>
      <c r="O206" s="209" t="s">
        <v>105</v>
      </c>
      <c r="P206" s="213">
        <v>44469.857164351852</v>
      </c>
      <c r="Q206" s="209"/>
      <c r="R206" s="209" t="s">
        <v>38</v>
      </c>
      <c r="S206" s="209"/>
      <c r="T206" s="209" t="s">
        <v>157</v>
      </c>
      <c r="U206" s="213">
        <v>44508.75</v>
      </c>
      <c r="V206" s="209" t="s">
        <v>41</v>
      </c>
      <c r="W206" s="209" t="s">
        <v>49</v>
      </c>
      <c r="X206" s="13" t="str">
        <f>IF(RIGHT(H206,2)&lt;&gt;"00",H206,"")</f>
        <v/>
      </c>
      <c r="Y206" s="26">
        <f ca="1">NETWORKDAYS(P206,$Y$1)</f>
        <v>370</v>
      </c>
      <c r="Z206" s="34">
        <v>1</v>
      </c>
      <c r="AA206" s="25" t="str">
        <f t="shared" ca="1" si="18"/>
        <v>A VENCER</v>
      </c>
      <c r="AB206" s="25" t="str">
        <f t="shared" si="16"/>
        <v>C-14</v>
      </c>
      <c r="AC206" s="2" t="str">
        <f t="shared" si="20"/>
        <v xml:space="preserve"> CRISTINA </v>
      </c>
      <c r="AD206" s="26">
        <f t="shared" si="17"/>
        <v>5</v>
      </c>
      <c r="AE206" s="26">
        <f t="shared" ca="1" si="19"/>
        <v>516.81910729166702</v>
      </c>
      <c r="AF206" s="35"/>
    </row>
    <row r="207" spans="1:32" hidden="1">
      <c r="A207" s="209">
        <v>7970238</v>
      </c>
      <c r="B207" s="209" t="s">
        <v>62</v>
      </c>
      <c r="C207" s="210" t="s">
        <v>3574</v>
      </c>
      <c r="D207" s="214"/>
      <c r="E207" s="214">
        <v>1792000203000</v>
      </c>
      <c r="F207" s="209" t="s">
        <v>454</v>
      </c>
      <c r="G207" s="209" t="s">
        <v>53</v>
      </c>
      <c r="H207" s="209" t="s">
        <v>467</v>
      </c>
      <c r="I207" s="209" t="s">
        <v>468</v>
      </c>
      <c r="J207" s="209" t="s">
        <v>110</v>
      </c>
      <c r="K207" s="210" t="s">
        <v>457</v>
      </c>
      <c r="L207" s="210"/>
      <c r="M207" s="209" t="s">
        <v>58</v>
      </c>
      <c r="N207" s="209">
        <v>0</v>
      </c>
      <c r="O207" s="209" t="s">
        <v>105</v>
      </c>
      <c r="P207" s="213">
        <v>44469.857164351852</v>
      </c>
      <c r="Q207" s="209"/>
      <c r="R207" s="209" t="s">
        <v>38</v>
      </c>
      <c r="S207" s="209"/>
      <c r="T207" s="209" t="s">
        <v>157</v>
      </c>
      <c r="U207" s="213">
        <v>44508.75</v>
      </c>
      <c r="V207" s="209" t="s">
        <v>41</v>
      </c>
      <c r="W207" s="209" t="s">
        <v>49</v>
      </c>
      <c r="X207" s="13" t="str">
        <f>IF(RIGHT(H207,2)&lt;&gt;"00",H207,"")</f>
        <v/>
      </c>
      <c r="Y207" s="26">
        <f ca="1">NETWORKDAYS(P207,$Y$1)</f>
        <v>370</v>
      </c>
      <c r="Z207" s="34">
        <v>1</v>
      </c>
      <c r="AA207" s="25" t="str">
        <f t="shared" ca="1" si="18"/>
        <v>A VENCER</v>
      </c>
      <c r="AB207" s="25" t="str">
        <f t="shared" si="16"/>
        <v>C-14</v>
      </c>
      <c r="AC207" s="2" t="str">
        <f t="shared" si="20"/>
        <v xml:space="preserve"> CRISTINA </v>
      </c>
      <c r="AD207" s="26">
        <f t="shared" si="17"/>
        <v>5</v>
      </c>
      <c r="AE207" s="26">
        <f t="shared" ca="1" si="19"/>
        <v>516.81910729166702</v>
      </c>
      <c r="AF207" s="35"/>
    </row>
    <row r="208" spans="1:32" hidden="1">
      <c r="A208" s="209">
        <v>7970237</v>
      </c>
      <c r="B208" s="209" t="s">
        <v>62</v>
      </c>
      <c r="C208" s="210" t="s">
        <v>3574</v>
      </c>
      <c r="D208" s="214"/>
      <c r="E208" s="214">
        <v>1792000203000</v>
      </c>
      <c r="F208" s="209" t="s">
        <v>454</v>
      </c>
      <c r="G208" s="209" t="s">
        <v>53</v>
      </c>
      <c r="H208" s="209" t="s">
        <v>467</v>
      </c>
      <c r="I208" s="209" t="s">
        <v>468</v>
      </c>
      <c r="J208" s="209" t="s">
        <v>110</v>
      </c>
      <c r="K208" s="210" t="s">
        <v>457</v>
      </c>
      <c r="L208" s="210"/>
      <c r="M208" s="209" t="s">
        <v>58</v>
      </c>
      <c r="N208" s="209">
        <v>0</v>
      </c>
      <c r="O208" s="209" t="s">
        <v>105</v>
      </c>
      <c r="P208" s="213">
        <v>44469.857164351852</v>
      </c>
      <c r="Q208" s="209"/>
      <c r="R208" s="209" t="s">
        <v>38</v>
      </c>
      <c r="S208" s="209"/>
      <c r="T208" s="209" t="s">
        <v>157</v>
      </c>
      <c r="U208" s="213">
        <v>44508.75</v>
      </c>
      <c r="V208" s="209" t="s">
        <v>41</v>
      </c>
      <c r="W208" s="209" t="s">
        <v>49</v>
      </c>
      <c r="X208" s="13" t="str">
        <f>IF(RIGHT(H208,2)&lt;&gt;"00",H208,"")</f>
        <v/>
      </c>
      <c r="Y208" s="26">
        <f ca="1">NETWORKDAYS(P208,$Y$1)</f>
        <v>370</v>
      </c>
      <c r="Z208" s="34">
        <v>1</v>
      </c>
      <c r="AA208" s="25" t="str">
        <f t="shared" ca="1" si="18"/>
        <v>A VENCER</v>
      </c>
      <c r="AB208" s="25" t="str">
        <f t="shared" si="16"/>
        <v>C-14</v>
      </c>
      <c r="AC208" s="2" t="str">
        <f t="shared" si="20"/>
        <v xml:space="preserve"> CRISTINA </v>
      </c>
      <c r="AD208" s="26">
        <f t="shared" si="17"/>
        <v>5</v>
      </c>
      <c r="AE208" s="26">
        <f t="shared" ca="1" si="19"/>
        <v>516.81910729166702</v>
      </c>
      <c r="AF208" s="35"/>
    </row>
    <row r="209" spans="1:32" hidden="1">
      <c r="A209" s="209">
        <v>7970218</v>
      </c>
      <c r="B209" s="209" t="s">
        <v>62</v>
      </c>
      <c r="C209" s="210" t="s">
        <v>3574</v>
      </c>
      <c r="D209" s="214"/>
      <c r="E209" s="214">
        <v>1363000203000</v>
      </c>
      <c r="F209" s="209" t="s">
        <v>454</v>
      </c>
      <c r="G209" s="209" t="s">
        <v>53</v>
      </c>
      <c r="H209" s="209" t="s">
        <v>108</v>
      </c>
      <c r="I209" s="209" t="s">
        <v>109</v>
      </c>
      <c r="J209" s="209" t="s">
        <v>110</v>
      </c>
      <c r="K209" s="210" t="s">
        <v>457</v>
      </c>
      <c r="L209" s="210"/>
      <c r="M209" s="209" t="s">
        <v>58</v>
      </c>
      <c r="N209" s="209">
        <v>0</v>
      </c>
      <c r="O209" s="209" t="s">
        <v>36</v>
      </c>
      <c r="P209" s="213">
        <v>44469.857141203705</v>
      </c>
      <c r="Q209" s="209"/>
      <c r="R209" s="209" t="s">
        <v>38</v>
      </c>
      <c r="S209" s="209"/>
      <c r="T209" s="209" t="s">
        <v>157</v>
      </c>
      <c r="U209" s="213">
        <v>44508.75</v>
      </c>
      <c r="V209" s="209" t="s">
        <v>41</v>
      </c>
      <c r="W209" s="209" t="s">
        <v>49</v>
      </c>
      <c r="X209" s="13" t="str">
        <f>IF(RIGHT(H209,2)&lt;&gt;"00",H209,"")</f>
        <v/>
      </c>
      <c r="Y209" s="26">
        <f ca="1">NETWORKDAYS(P209,$Y$1)</f>
        <v>370</v>
      </c>
      <c r="Z209" s="34">
        <v>1</v>
      </c>
      <c r="AA209" s="25" t="str">
        <f t="shared" ca="1" si="18"/>
        <v>A VENCER</v>
      </c>
      <c r="AB209" s="25" t="str">
        <f t="shared" si="16"/>
        <v>C-14</v>
      </c>
      <c r="AC209" s="2" t="str">
        <f t="shared" si="20"/>
        <v xml:space="preserve"> CRISTINA </v>
      </c>
      <c r="AD209" s="26">
        <f t="shared" si="17"/>
        <v>5</v>
      </c>
      <c r="AE209" s="26">
        <f t="shared" ca="1" si="19"/>
        <v>516.81913043981331</v>
      </c>
      <c r="AF209" s="35"/>
    </row>
    <row r="210" spans="1:32" hidden="1">
      <c r="A210" s="209">
        <v>7998831</v>
      </c>
      <c r="B210" s="209" t="s">
        <v>27</v>
      </c>
      <c r="C210" s="210" t="s">
        <v>470</v>
      </c>
      <c r="D210" s="214"/>
      <c r="E210" s="214">
        <v>2229000206001</v>
      </c>
      <c r="F210" s="209" t="s">
        <v>29</v>
      </c>
      <c r="G210" s="209" t="s">
        <v>53</v>
      </c>
      <c r="H210" s="209" t="s">
        <v>339</v>
      </c>
      <c r="I210" s="209" t="s">
        <v>340</v>
      </c>
      <c r="J210" s="209" t="s">
        <v>211</v>
      </c>
      <c r="K210" s="210" t="s">
        <v>34</v>
      </c>
      <c r="L210" s="210"/>
      <c r="M210" s="209" t="s">
        <v>35</v>
      </c>
      <c r="N210" s="209">
        <v>42318949</v>
      </c>
      <c r="O210" s="209" t="s">
        <v>105</v>
      </c>
      <c r="P210" s="213">
        <v>44474.679016203707</v>
      </c>
      <c r="Q210" s="209"/>
      <c r="R210" s="209" t="s">
        <v>38</v>
      </c>
      <c r="S210" s="209"/>
      <c r="T210" s="209" t="s">
        <v>74</v>
      </c>
      <c r="U210" s="213">
        <v>44474.75</v>
      </c>
      <c r="V210" s="209" t="s">
        <v>41</v>
      </c>
      <c r="W210" s="209" t="s">
        <v>49</v>
      </c>
      <c r="X210" s="13" t="str">
        <f>IF(RIGHT(H210,2)&lt;&gt;"00",H210,"")</f>
        <v/>
      </c>
      <c r="Y210" s="26">
        <f ca="1">NETWORKDAYS(P210,$Y$1)</f>
        <v>367</v>
      </c>
      <c r="Z210" s="34">
        <v>1</v>
      </c>
      <c r="AA210" s="25" t="str">
        <f t="shared" ca="1" si="18"/>
        <v>A VENCER</v>
      </c>
      <c r="AB210" s="25" t="str">
        <f t="shared" si="16"/>
        <v>Dosa</v>
      </c>
      <c r="AC210" s="2" t="str">
        <f t="shared" si="20"/>
        <v xml:space="preserve"> RINALDO </v>
      </c>
      <c r="AD210" s="26">
        <f t="shared" si="17"/>
        <v>5</v>
      </c>
      <c r="AE210" s="26">
        <f t="shared" ca="1" si="19"/>
        <v>511.99725543981185</v>
      </c>
      <c r="AF210" s="35"/>
    </row>
    <row r="211" spans="1:32" hidden="1">
      <c r="A211" s="209">
        <v>8014132</v>
      </c>
      <c r="B211" s="209" t="s">
        <v>27</v>
      </c>
      <c r="C211" s="210" t="s">
        <v>470</v>
      </c>
      <c r="D211" s="214"/>
      <c r="E211" s="214">
        <v>1069000206001</v>
      </c>
      <c r="F211" s="209" t="s">
        <v>29</v>
      </c>
      <c r="G211" s="209" t="s">
        <v>53</v>
      </c>
      <c r="H211" s="209" t="s">
        <v>353</v>
      </c>
      <c r="I211" s="209" t="s">
        <v>354</v>
      </c>
      <c r="J211" s="209" t="s">
        <v>211</v>
      </c>
      <c r="K211" s="210" t="s">
        <v>34</v>
      </c>
      <c r="L211" s="210"/>
      <c r="M211" s="209" t="s">
        <v>35</v>
      </c>
      <c r="N211" s="209">
        <v>42318949</v>
      </c>
      <c r="O211" s="209" t="s">
        <v>105</v>
      </c>
      <c r="P211" s="213">
        <v>44480.687534722223</v>
      </c>
      <c r="Q211" s="209"/>
      <c r="R211" s="209" t="s">
        <v>38</v>
      </c>
      <c r="S211" s="209"/>
      <c r="T211" s="209" t="s">
        <v>74</v>
      </c>
      <c r="U211" s="213">
        <v>44480.75</v>
      </c>
      <c r="V211" s="209" t="s">
        <v>41</v>
      </c>
      <c r="W211" s="209" t="s">
        <v>49</v>
      </c>
      <c r="X211" s="13" t="str">
        <f>IF(RIGHT(H211,2)&lt;&gt;"00",H211,"")</f>
        <v/>
      </c>
      <c r="Y211" s="26">
        <f ca="1">NETWORKDAYS(P211,$Y$1)</f>
        <v>363</v>
      </c>
      <c r="Z211" s="34">
        <v>1</v>
      </c>
      <c r="AA211" s="25" t="str">
        <f t="shared" ca="1" si="18"/>
        <v>A VENCER</v>
      </c>
      <c r="AB211" s="25" t="str">
        <f t="shared" si="16"/>
        <v>Dosa</v>
      </c>
      <c r="AC211" s="2" t="str">
        <f t="shared" si="20"/>
        <v xml:space="preserve"> RINALDO </v>
      </c>
      <c r="AD211" s="26">
        <f t="shared" si="17"/>
        <v>5</v>
      </c>
      <c r="AE211" s="26">
        <f t="shared" ca="1" si="19"/>
        <v>505.98873692129564</v>
      </c>
      <c r="AF211" s="35"/>
    </row>
    <row r="212" spans="1:32" hidden="1">
      <c r="A212" s="209">
        <v>8018140</v>
      </c>
      <c r="B212" s="209" t="s">
        <v>62</v>
      </c>
      <c r="C212" s="210" t="s">
        <v>475</v>
      </c>
      <c r="D212" s="214"/>
      <c r="E212" s="214">
        <v>1664000203000</v>
      </c>
      <c r="F212" s="209" t="s">
        <v>454</v>
      </c>
      <c r="G212" s="209" t="s">
        <v>53</v>
      </c>
      <c r="H212" s="209" t="s">
        <v>307</v>
      </c>
      <c r="I212" s="209" t="s">
        <v>308</v>
      </c>
      <c r="J212" s="209" t="s">
        <v>164</v>
      </c>
      <c r="K212" s="210" t="s">
        <v>457</v>
      </c>
      <c r="L212" s="210"/>
      <c r="M212" s="209" t="s">
        <v>58</v>
      </c>
      <c r="N212" s="209">
        <v>0</v>
      </c>
      <c r="O212" s="209" t="s">
        <v>36</v>
      </c>
      <c r="P212" s="213">
        <v>44482.53765046296</v>
      </c>
      <c r="Q212" s="209"/>
      <c r="R212" s="209" t="s">
        <v>38</v>
      </c>
      <c r="S212" s="209"/>
      <c r="T212" s="209" t="s">
        <v>157</v>
      </c>
      <c r="U212" s="213">
        <v>44518.75</v>
      </c>
      <c r="V212" s="209" t="s">
        <v>41</v>
      </c>
      <c r="W212" s="209" t="s">
        <v>49</v>
      </c>
      <c r="X212" s="13" t="str">
        <f>IF(RIGHT(H212,2)&lt;&gt;"00",H212,"")</f>
        <v/>
      </c>
      <c r="Y212" s="26">
        <f ca="1">NETWORKDAYS(P212,$Y$1)</f>
        <v>361</v>
      </c>
      <c r="Z212" s="34">
        <v>1</v>
      </c>
      <c r="AA212" s="25" t="str">
        <f t="shared" ca="1" si="18"/>
        <v>A VENCER</v>
      </c>
      <c r="AB212" s="25" t="str">
        <f t="shared" si="16"/>
        <v>C-14</v>
      </c>
      <c r="AC212" s="2" t="str">
        <f t="shared" si="20"/>
        <v xml:space="preserve"> ROSEMERE </v>
      </c>
      <c r="AD212" s="26">
        <f t="shared" si="17"/>
        <v>5</v>
      </c>
      <c r="AE212" s="26">
        <f t="shared" ca="1" si="19"/>
        <v>504.1386211805584</v>
      </c>
      <c r="AF212" s="35"/>
    </row>
    <row r="213" spans="1:32" hidden="1">
      <c r="A213" s="209">
        <v>8017996</v>
      </c>
      <c r="B213" s="209" t="s">
        <v>27</v>
      </c>
      <c r="C213" s="210" t="s">
        <v>476</v>
      </c>
      <c r="D213" s="214"/>
      <c r="E213" s="214">
        <v>2170000206001</v>
      </c>
      <c r="F213" s="209" t="s">
        <v>29</v>
      </c>
      <c r="G213" s="209" t="s">
        <v>53</v>
      </c>
      <c r="H213" s="209" t="s">
        <v>477</v>
      </c>
      <c r="I213" s="209" t="s">
        <v>478</v>
      </c>
      <c r="J213" s="209" t="s">
        <v>148</v>
      </c>
      <c r="K213" s="210" t="s">
        <v>34</v>
      </c>
      <c r="L213" s="210"/>
      <c r="M213" s="209" t="s">
        <v>35</v>
      </c>
      <c r="N213" s="209">
        <v>42318949</v>
      </c>
      <c r="O213" s="209" t="s">
        <v>36</v>
      </c>
      <c r="P213" s="213">
        <v>44482.504745370374</v>
      </c>
      <c r="Q213" s="209"/>
      <c r="R213" s="209" t="s">
        <v>38</v>
      </c>
      <c r="S213" s="209"/>
      <c r="T213" s="209" t="s">
        <v>74</v>
      </c>
      <c r="U213" s="213">
        <v>44482.75</v>
      </c>
      <c r="V213" s="209" t="s">
        <v>41</v>
      </c>
      <c r="W213" s="209" t="s">
        <v>49</v>
      </c>
      <c r="X213" s="13" t="str">
        <f>IF(RIGHT(H213,2)&lt;&gt;"00",H213,"")</f>
        <v/>
      </c>
      <c r="Y213" s="26">
        <f ca="1">NETWORKDAYS(P213,$Y$1)</f>
        <v>361</v>
      </c>
      <c r="Z213" s="34">
        <v>1</v>
      </c>
      <c r="AA213" s="25" t="str">
        <f t="shared" ca="1" si="18"/>
        <v>A VENCER</v>
      </c>
      <c r="AB213" s="25" t="str">
        <f t="shared" si="16"/>
        <v>Dosa</v>
      </c>
      <c r="AC213" s="2" t="str">
        <f t="shared" si="20"/>
        <v xml:space="preserve"> RINALDO </v>
      </c>
      <c r="AD213" s="26">
        <f t="shared" si="17"/>
        <v>5</v>
      </c>
      <c r="AE213" s="26">
        <f t="shared" ca="1" si="19"/>
        <v>504.17152627314499</v>
      </c>
      <c r="AF213" s="35"/>
    </row>
    <row r="214" spans="1:32" hidden="1">
      <c r="A214" s="209">
        <v>8021722</v>
      </c>
      <c r="B214" s="209" t="s">
        <v>62</v>
      </c>
      <c r="C214" s="210" t="s">
        <v>481</v>
      </c>
      <c r="D214" s="214"/>
      <c r="E214" s="214">
        <v>2170000203010</v>
      </c>
      <c r="F214" s="209" t="s">
        <v>152</v>
      </c>
      <c r="G214" s="209" t="s">
        <v>53</v>
      </c>
      <c r="H214" s="209" t="s">
        <v>477</v>
      </c>
      <c r="I214" s="209" t="s">
        <v>478</v>
      </c>
      <c r="J214" s="209" t="s">
        <v>148</v>
      </c>
      <c r="K214" s="210" t="s">
        <v>155</v>
      </c>
      <c r="L214" s="210"/>
      <c r="M214" s="209" t="s">
        <v>35</v>
      </c>
      <c r="N214" s="209">
        <v>42318949</v>
      </c>
      <c r="O214" s="209" t="s">
        <v>36</v>
      </c>
      <c r="P214" s="213">
        <v>44483.655069444445</v>
      </c>
      <c r="Q214" s="209"/>
      <c r="R214" s="209" t="s">
        <v>38</v>
      </c>
      <c r="S214" s="209"/>
      <c r="T214" s="209" t="s">
        <v>157</v>
      </c>
      <c r="U214" s="213">
        <v>44519.75</v>
      </c>
      <c r="V214" s="209" t="s">
        <v>41</v>
      </c>
      <c r="W214" s="209" t="s">
        <v>49</v>
      </c>
      <c r="X214" s="13" t="str">
        <f>IF(RIGHT(H214,2)&lt;&gt;"00",H214,"")</f>
        <v/>
      </c>
      <c r="Y214" s="26">
        <f ca="1">NETWORKDAYS(P214,$Y$1)</f>
        <v>360</v>
      </c>
      <c r="Z214" s="34">
        <v>1</v>
      </c>
      <c r="AA214" s="25" t="str">
        <f t="shared" ca="1" si="18"/>
        <v>A VENCER</v>
      </c>
      <c r="AB214" s="25" t="str">
        <f t="shared" si="16"/>
        <v>TAAe+</v>
      </c>
      <c r="AC214" s="2" t="str">
        <f t="shared" si="20"/>
        <v xml:space="preserve"> RINALDO </v>
      </c>
      <c r="AD214" s="26">
        <f t="shared" si="17"/>
        <v>8</v>
      </c>
      <c r="AE214" s="26">
        <f t="shared" ca="1" si="19"/>
        <v>503.02120219907374</v>
      </c>
      <c r="AF214" s="35"/>
    </row>
    <row r="215" spans="1:32" hidden="1">
      <c r="A215" s="209">
        <v>8026505</v>
      </c>
      <c r="B215" s="209" t="s">
        <v>62</v>
      </c>
      <c r="C215" s="210" t="s">
        <v>484</v>
      </c>
      <c r="D215" s="214"/>
      <c r="E215" s="214">
        <v>4119000203000</v>
      </c>
      <c r="F215" s="209" t="s">
        <v>454</v>
      </c>
      <c r="G215" s="209" t="s">
        <v>53</v>
      </c>
      <c r="H215" s="209" t="s">
        <v>297</v>
      </c>
      <c r="I215" s="209" t="s">
        <v>298</v>
      </c>
      <c r="J215" s="209" t="s">
        <v>211</v>
      </c>
      <c r="K215" s="210" t="s">
        <v>457</v>
      </c>
      <c r="L215" s="210"/>
      <c r="M215" s="209" t="s">
        <v>58</v>
      </c>
      <c r="N215" s="209">
        <v>0</v>
      </c>
      <c r="O215" s="209" t="s">
        <v>36</v>
      </c>
      <c r="P215" s="213">
        <v>44485.650613425925</v>
      </c>
      <c r="Q215" s="209"/>
      <c r="R215" s="209" t="s">
        <v>38</v>
      </c>
      <c r="S215" s="209"/>
      <c r="T215" s="209" t="s">
        <v>157</v>
      </c>
      <c r="U215" s="213">
        <v>44523.75</v>
      </c>
      <c r="V215" s="209" t="s">
        <v>41</v>
      </c>
      <c r="W215" s="209" t="s">
        <v>49</v>
      </c>
      <c r="X215" s="13" t="str">
        <f>IF(RIGHT(H215,2)&lt;&gt;"00",H215,"")</f>
        <v/>
      </c>
      <c r="Y215" s="26">
        <f ca="1">NETWORKDAYS(P215,$Y$1)</f>
        <v>358</v>
      </c>
      <c r="Z215" s="34">
        <v>1</v>
      </c>
      <c r="AA215" s="25" t="str">
        <f t="shared" ca="1" si="18"/>
        <v>A VENCER</v>
      </c>
      <c r="AB215" s="25" t="str">
        <f t="shared" si="16"/>
        <v>C-14</v>
      </c>
      <c r="AC215" s="2" t="str">
        <f t="shared" si="20"/>
        <v xml:space="preserve"> RINALDO </v>
      </c>
      <c r="AD215" s="26">
        <f t="shared" si="17"/>
        <v>5</v>
      </c>
      <c r="AE215" s="26">
        <f t="shared" ca="1" si="19"/>
        <v>501.02565821759345</v>
      </c>
      <c r="AF215" s="35"/>
    </row>
    <row r="216" spans="1:32" hidden="1">
      <c r="A216" s="209">
        <v>8034031</v>
      </c>
      <c r="B216" s="209" t="s">
        <v>62</v>
      </c>
      <c r="C216" s="210" t="s">
        <v>487</v>
      </c>
      <c r="D216" s="214"/>
      <c r="E216" s="214">
        <v>9704000203000</v>
      </c>
      <c r="F216" s="209" t="s">
        <v>454</v>
      </c>
      <c r="G216" s="209" t="s">
        <v>53</v>
      </c>
      <c r="H216" s="209" t="s">
        <v>488</v>
      </c>
      <c r="I216" s="209" t="s">
        <v>489</v>
      </c>
      <c r="J216" s="209" t="s">
        <v>164</v>
      </c>
      <c r="K216" s="210" t="s">
        <v>457</v>
      </c>
      <c r="L216" s="210"/>
      <c r="M216" s="209" t="s">
        <v>58</v>
      </c>
      <c r="N216" s="209">
        <v>0</v>
      </c>
      <c r="O216" s="209" t="s">
        <v>36</v>
      </c>
      <c r="P216" s="213">
        <v>44488.65121527778</v>
      </c>
      <c r="Q216" s="209"/>
      <c r="R216" s="209" t="s">
        <v>38</v>
      </c>
      <c r="S216" s="209"/>
      <c r="T216" s="209" t="s">
        <v>157</v>
      </c>
      <c r="U216" s="213">
        <v>44524.75</v>
      </c>
      <c r="V216" s="209" t="s">
        <v>41</v>
      </c>
      <c r="W216" s="209" t="s">
        <v>49</v>
      </c>
      <c r="X216" s="13" t="str">
        <f>IF(RIGHT(H216,2)&lt;&gt;"00",H216,"")</f>
        <v/>
      </c>
      <c r="Y216" s="26">
        <f ca="1">NETWORKDAYS(P216,$Y$1)</f>
        <v>357</v>
      </c>
      <c r="Z216" s="34">
        <v>1</v>
      </c>
      <c r="AA216" s="25" t="str">
        <f t="shared" ca="1" si="18"/>
        <v>A VENCER</v>
      </c>
      <c r="AB216" s="25" t="str">
        <f t="shared" si="16"/>
        <v>C-14</v>
      </c>
      <c r="AC216" s="2" t="str">
        <f t="shared" si="20"/>
        <v xml:space="preserve"> ROSEMERE </v>
      </c>
      <c r="AD216" s="26">
        <f t="shared" si="17"/>
        <v>5</v>
      </c>
      <c r="AE216" s="26">
        <f t="shared" ca="1" si="19"/>
        <v>498.02505636573915</v>
      </c>
      <c r="AF216" s="35"/>
    </row>
    <row r="217" spans="1:32" hidden="1">
      <c r="A217" s="209">
        <v>8038627</v>
      </c>
      <c r="B217" s="209" t="s">
        <v>81</v>
      </c>
      <c r="C217" s="210" t="s">
        <v>240</v>
      </c>
      <c r="D217" s="214"/>
      <c r="E217" s="214">
        <v>9704000206001</v>
      </c>
      <c r="F217" s="209" t="s">
        <v>29</v>
      </c>
      <c r="G217" s="209" t="s">
        <v>53</v>
      </c>
      <c r="H217" s="209" t="s">
        <v>488</v>
      </c>
      <c r="I217" s="209" t="s">
        <v>489</v>
      </c>
      <c r="J217" s="209" t="s">
        <v>164</v>
      </c>
      <c r="K217" s="210" t="s">
        <v>34</v>
      </c>
      <c r="L217" s="210"/>
      <c r="M217" s="209" t="s">
        <v>35</v>
      </c>
      <c r="N217" s="209">
        <v>42318949</v>
      </c>
      <c r="O217" s="209" t="s">
        <v>36</v>
      </c>
      <c r="P217" s="213">
        <v>44489.679629629631</v>
      </c>
      <c r="Q217" s="209"/>
      <c r="R217" s="209" t="s">
        <v>38</v>
      </c>
      <c r="S217" s="209"/>
      <c r="T217" s="209" t="s">
        <v>74</v>
      </c>
      <c r="U217" s="213">
        <v>44490.679629629631</v>
      </c>
      <c r="V217" s="209" t="s">
        <v>41</v>
      </c>
      <c r="W217" s="209" t="s">
        <v>49</v>
      </c>
      <c r="X217" s="13" t="str">
        <f>IF(RIGHT(H217,2)&lt;&gt;"00",H217,"")</f>
        <v/>
      </c>
      <c r="Y217" s="26">
        <f ca="1">NETWORKDAYS(P217,$Y$1)</f>
        <v>356</v>
      </c>
      <c r="Z217" s="34">
        <v>1</v>
      </c>
      <c r="AA217" s="25" t="str">
        <f t="shared" ca="1" si="18"/>
        <v>A VENCER</v>
      </c>
      <c r="AB217" s="25" t="str">
        <f t="shared" si="16"/>
        <v>Dosa</v>
      </c>
      <c r="AC217" s="2" t="str">
        <f t="shared" si="20"/>
        <v xml:space="preserve"> ROSEMERE </v>
      </c>
      <c r="AD217" s="26">
        <f t="shared" si="17"/>
        <v>5</v>
      </c>
      <c r="AE217" s="26">
        <f t="shared" ca="1" si="19"/>
        <v>496.99664201388805</v>
      </c>
      <c r="AF217" s="35"/>
    </row>
    <row r="218" spans="1:32" hidden="1">
      <c r="A218" s="209">
        <v>8038626</v>
      </c>
      <c r="B218" s="209" t="s">
        <v>81</v>
      </c>
      <c r="C218" s="210" t="s">
        <v>240</v>
      </c>
      <c r="D218" s="214"/>
      <c r="E218" s="214">
        <v>9703000206001</v>
      </c>
      <c r="F218" s="209" t="s">
        <v>29</v>
      </c>
      <c r="G218" s="209" t="s">
        <v>53</v>
      </c>
      <c r="H218" s="209" t="s">
        <v>494</v>
      </c>
      <c r="I218" s="209" t="s">
        <v>495</v>
      </c>
      <c r="J218" s="209" t="s">
        <v>79</v>
      </c>
      <c r="K218" s="210" t="s">
        <v>34</v>
      </c>
      <c r="L218" s="210"/>
      <c r="M218" s="209" t="s">
        <v>35</v>
      </c>
      <c r="N218" s="209">
        <v>42318949</v>
      </c>
      <c r="O218" s="209" t="s">
        <v>36</v>
      </c>
      <c r="P218" s="213">
        <v>44489.679629629631</v>
      </c>
      <c r="Q218" s="209"/>
      <c r="R218" s="209" t="s">
        <v>38</v>
      </c>
      <c r="S218" s="209"/>
      <c r="T218" s="209" t="s">
        <v>74</v>
      </c>
      <c r="U218" s="213">
        <v>44490.679629629631</v>
      </c>
      <c r="V218" s="209" t="s">
        <v>41</v>
      </c>
      <c r="W218" s="209" t="s">
        <v>49</v>
      </c>
      <c r="X218" s="13" t="str">
        <f>IF(RIGHT(H218,2)&lt;&gt;"00",H218,"")</f>
        <v/>
      </c>
      <c r="Y218" s="26">
        <f ca="1">NETWORKDAYS(P218,$Y$1)</f>
        <v>356</v>
      </c>
      <c r="Z218" s="34">
        <v>1</v>
      </c>
      <c r="AA218" s="25" t="str">
        <f t="shared" ca="1" si="18"/>
        <v>A VENCER</v>
      </c>
      <c r="AB218" s="25" t="str">
        <f t="shared" si="16"/>
        <v>Dosa</v>
      </c>
      <c r="AC218" s="2" t="str">
        <f t="shared" si="20"/>
        <v xml:space="preserve"> ROSEMERE </v>
      </c>
      <c r="AD218" s="26">
        <f t="shared" si="17"/>
        <v>5</v>
      </c>
      <c r="AE218" s="26">
        <f t="shared" ca="1" si="19"/>
        <v>496.99664201388805</v>
      </c>
      <c r="AF218" s="35"/>
    </row>
    <row r="219" spans="1:32" hidden="1">
      <c r="A219" s="209">
        <v>8038016</v>
      </c>
      <c r="B219" s="209" t="s">
        <v>81</v>
      </c>
      <c r="C219" s="210" t="s">
        <v>240</v>
      </c>
      <c r="D219" s="214"/>
      <c r="E219" s="214">
        <v>3613200206001</v>
      </c>
      <c r="F219" s="209" t="s">
        <v>29</v>
      </c>
      <c r="G219" s="209" t="s">
        <v>53</v>
      </c>
      <c r="H219" s="209" t="s">
        <v>496</v>
      </c>
      <c r="I219" s="209" t="s">
        <v>198</v>
      </c>
      <c r="J219" s="209" t="s">
        <v>46</v>
      </c>
      <c r="K219" s="210" t="s">
        <v>34</v>
      </c>
      <c r="L219" s="210"/>
      <c r="M219" s="209" t="s">
        <v>35</v>
      </c>
      <c r="N219" s="209">
        <v>42318949</v>
      </c>
      <c r="O219" s="209" t="s">
        <v>36</v>
      </c>
      <c r="P219" s="213">
        <v>44489.67869212963</v>
      </c>
      <c r="Q219" s="209"/>
      <c r="R219" s="209" t="s">
        <v>38</v>
      </c>
      <c r="S219" s="209"/>
      <c r="T219" s="209" t="s">
        <v>74</v>
      </c>
      <c r="U219" s="213">
        <v>44490.67869212963</v>
      </c>
      <c r="V219" s="209" t="s">
        <v>41</v>
      </c>
      <c r="W219" s="209" t="s">
        <v>49</v>
      </c>
      <c r="X219" s="13" t="str">
        <f>IF(RIGHT(H219,2)&lt;&gt;"00",H219,"")</f>
        <v>3613.20</v>
      </c>
      <c r="Y219" s="26">
        <f ca="1">NETWORKDAYS(P219,$Y$1)</f>
        <v>356</v>
      </c>
      <c r="Z219" s="34">
        <v>1</v>
      </c>
      <c r="AA219" s="25" t="str">
        <f t="shared" ca="1" si="18"/>
        <v>A VENCER</v>
      </c>
      <c r="AB219" s="25" t="str">
        <f t="shared" si="16"/>
        <v>Dosa</v>
      </c>
      <c r="AC219" s="2" t="str">
        <f t="shared" si="20"/>
        <v xml:space="preserve"> CLEITON </v>
      </c>
      <c r="AD219" s="26">
        <f t="shared" si="17"/>
        <v>5</v>
      </c>
      <c r="AE219" s="26">
        <f t="shared" ca="1" si="19"/>
        <v>496.99757951388892</v>
      </c>
      <c r="AF219" s="35"/>
    </row>
    <row r="220" spans="1:32" hidden="1">
      <c r="A220" s="209">
        <v>8037912</v>
      </c>
      <c r="B220" s="209" t="s">
        <v>81</v>
      </c>
      <c r="C220" s="210" t="s">
        <v>240</v>
      </c>
      <c r="D220" s="214"/>
      <c r="E220" s="214">
        <v>3234160206001</v>
      </c>
      <c r="F220" s="209" t="s">
        <v>29</v>
      </c>
      <c r="G220" s="209" t="s">
        <v>53</v>
      </c>
      <c r="H220" s="209" t="s">
        <v>499</v>
      </c>
      <c r="I220" s="209" t="s">
        <v>500</v>
      </c>
      <c r="J220" s="209" t="s">
        <v>46</v>
      </c>
      <c r="K220" s="210" t="s">
        <v>34</v>
      </c>
      <c r="L220" s="210"/>
      <c r="M220" s="209" t="s">
        <v>35</v>
      </c>
      <c r="N220" s="209">
        <v>42318949</v>
      </c>
      <c r="O220" s="209" t="s">
        <v>36</v>
      </c>
      <c r="P220" s="213">
        <v>44489.678518518522</v>
      </c>
      <c r="Q220" s="209"/>
      <c r="R220" s="209" t="s">
        <v>38</v>
      </c>
      <c r="S220" s="209"/>
      <c r="T220" s="209" t="s">
        <v>74</v>
      </c>
      <c r="U220" s="213">
        <v>44490.678518518522</v>
      </c>
      <c r="V220" s="209" t="s">
        <v>41</v>
      </c>
      <c r="W220" s="209" t="s">
        <v>49</v>
      </c>
      <c r="X220" s="13" t="str">
        <f>IF(RIGHT(H220,2)&lt;&gt;"00",H220,"")</f>
        <v>3234.16</v>
      </c>
      <c r="Y220" s="26">
        <f ca="1">NETWORKDAYS(P220,$Y$1)</f>
        <v>356</v>
      </c>
      <c r="Z220" s="34">
        <v>1</v>
      </c>
      <c r="AA220" s="25" t="str">
        <f t="shared" ca="1" si="18"/>
        <v>A VENCER</v>
      </c>
      <c r="AB220" s="25" t="str">
        <f t="shared" si="16"/>
        <v>Dosa</v>
      </c>
      <c r="AC220" s="2" t="str">
        <f t="shared" si="20"/>
        <v xml:space="preserve"> CLEITON </v>
      </c>
      <c r="AD220" s="26">
        <f t="shared" si="17"/>
        <v>5</v>
      </c>
      <c r="AE220" s="26">
        <f t="shared" ca="1" si="19"/>
        <v>496.99775312499696</v>
      </c>
      <c r="AF220" s="35"/>
    </row>
    <row r="221" spans="1:32" hidden="1">
      <c r="A221" s="209">
        <v>8037881</v>
      </c>
      <c r="B221" s="209" t="s">
        <v>81</v>
      </c>
      <c r="C221" s="210" t="s">
        <v>240</v>
      </c>
      <c r="D221" s="214"/>
      <c r="E221" s="214">
        <v>3108010206001</v>
      </c>
      <c r="F221" s="209" t="s">
        <v>29</v>
      </c>
      <c r="G221" s="209" t="s">
        <v>53</v>
      </c>
      <c r="H221" s="209" t="s">
        <v>503</v>
      </c>
      <c r="I221" s="209" t="s">
        <v>504</v>
      </c>
      <c r="J221" s="209" t="s">
        <v>46</v>
      </c>
      <c r="K221" s="210" t="s">
        <v>34</v>
      </c>
      <c r="L221" s="210"/>
      <c r="M221" s="209" t="s">
        <v>35</v>
      </c>
      <c r="N221" s="209">
        <v>42318949</v>
      </c>
      <c r="O221" s="209" t="s">
        <v>36</v>
      </c>
      <c r="P221" s="213">
        <v>44489.678483796299</v>
      </c>
      <c r="Q221" s="209"/>
      <c r="R221" s="209" t="s">
        <v>38</v>
      </c>
      <c r="S221" s="209"/>
      <c r="T221" s="209" t="s">
        <v>74</v>
      </c>
      <c r="U221" s="213">
        <v>44490.678483796299</v>
      </c>
      <c r="V221" s="209" t="s">
        <v>41</v>
      </c>
      <c r="W221" s="209" t="s">
        <v>49</v>
      </c>
      <c r="X221" s="13" t="str">
        <f>IF(RIGHT(H221,2)&lt;&gt;"00",H221,"")</f>
        <v>3108.01</v>
      </c>
      <c r="Y221" s="26">
        <f ca="1">NETWORKDAYS(P221,$Y$1)</f>
        <v>356</v>
      </c>
      <c r="Z221" s="34">
        <v>1</v>
      </c>
      <c r="AA221" s="25" t="str">
        <f t="shared" ca="1" si="18"/>
        <v>A VENCER</v>
      </c>
      <c r="AB221" s="25" t="str">
        <f t="shared" ref="AB221:AB284" si="21">IF(F221="GRPE-000001","C-14",IF(F221="GRPE-000002","C-14",IF(F221="GRPE-000003","C-14",IF(F221="GRPE-000004","SL-On",IF(F221="GRPE-000038","C-14",IF(F221="GRPE-900022","Dosa",IF(F221="GRPE-000029","Dosa",IF(F221="ATOS-000222","Dose","TAAe+"))))))))</f>
        <v>Dosa</v>
      </c>
      <c r="AC221" s="2" t="str">
        <f t="shared" si="20"/>
        <v xml:space="preserve"> CLEITON </v>
      </c>
      <c r="AD221" s="26">
        <f t="shared" ref="AD221:AD284" si="22">IF(F221="GRPE-000001",5,IF(F221="GRPE-000002",5,IF(F221="GRPE-000003",15,IF(F221="GRPE-000004",1,IF(F221="GRPE-000038",5,IF(F221="GRPE-900022",5,IF(F221="GRPE-000029",5,IF(F221="ATOS-000222",5,8))))))))</f>
        <v>5</v>
      </c>
      <c r="AE221" s="26">
        <f t="shared" ca="1" si="19"/>
        <v>496.99778784722002</v>
      </c>
      <c r="AF221" s="35"/>
    </row>
    <row r="222" spans="1:32" hidden="1">
      <c r="A222" s="209">
        <v>8037734</v>
      </c>
      <c r="B222" s="209" t="s">
        <v>81</v>
      </c>
      <c r="C222" s="210" t="s">
        <v>240</v>
      </c>
      <c r="D222" s="214"/>
      <c r="E222" s="214">
        <v>2413000206001</v>
      </c>
      <c r="F222" s="209" t="s">
        <v>29</v>
      </c>
      <c r="G222" s="209" t="s">
        <v>53</v>
      </c>
      <c r="H222" s="209" t="s">
        <v>505</v>
      </c>
      <c r="I222" s="209" t="s">
        <v>506</v>
      </c>
      <c r="J222" s="209" t="s">
        <v>141</v>
      </c>
      <c r="K222" s="210" t="s">
        <v>34</v>
      </c>
      <c r="L222" s="210"/>
      <c r="M222" s="209" t="s">
        <v>35</v>
      </c>
      <c r="N222" s="209">
        <v>42318949</v>
      </c>
      <c r="O222" s="209" t="s">
        <v>36</v>
      </c>
      <c r="P222" s="213">
        <v>44489.678206018521</v>
      </c>
      <c r="Q222" s="209"/>
      <c r="R222" s="209" t="s">
        <v>38</v>
      </c>
      <c r="S222" s="209"/>
      <c r="T222" s="209" t="s">
        <v>74</v>
      </c>
      <c r="U222" s="213">
        <v>44490.678206018521</v>
      </c>
      <c r="V222" s="209" t="s">
        <v>41</v>
      </c>
      <c r="W222" s="209" t="s">
        <v>49</v>
      </c>
      <c r="X222" s="13" t="str">
        <f>IF(RIGHT(H222,2)&lt;&gt;"00",H222,"")</f>
        <v/>
      </c>
      <c r="Y222" s="26">
        <f ca="1">NETWORKDAYS(P222,$Y$1)</f>
        <v>356</v>
      </c>
      <c r="Z222" s="34">
        <v>1</v>
      </c>
      <c r="AA222" s="25" t="str">
        <f t="shared" ca="1" si="18"/>
        <v>A VENCER</v>
      </c>
      <c r="AB222" s="25" t="str">
        <f t="shared" si="21"/>
        <v>Dosa</v>
      </c>
      <c r="AC222" s="2" t="str">
        <f t="shared" si="20"/>
        <v xml:space="preserve"> CRISTINA </v>
      </c>
      <c r="AD222" s="26">
        <f t="shared" si="22"/>
        <v>5</v>
      </c>
      <c r="AE222" s="26">
        <f t="shared" ca="1" si="19"/>
        <v>496.99806562499725</v>
      </c>
      <c r="AF222" s="35"/>
    </row>
    <row r="223" spans="1:32" hidden="1">
      <c r="A223" s="209">
        <v>8037079</v>
      </c>
      <c r="B223" s="209" t="s">
        <v>81</v>
      </c>
      <c r="C223" s="210" t="s">
        <v>240</v>
      </c>
      <c r="D223" s="214"/>
      <c r="E223" s="214">
        <v>7740206001</v>
      </c>
      <c r="F223" s="209" t="s">
        <v>29</v>
      </c>
      <c r="G223" s="209" t="s">
        <v>53</v>
      </c>
      <c r="H223" s="209" t="s">
        <v>187</v>
      </c>
      <c r="I223" s="209" t="s">
        <v>188</v>
      </c>
      <c r="J223" s="209" t="s">
        <v>46</v>
      </c>
      <c r="K223" s="210" t="s">
        <v>34</v>
      </c>
      <c r="L223" s="210"/>
      <c r="M223" s="209" t="s">
        <v>35</v>
      </c>
      <c r="N223" s="209">
        <v>42318949</v>
      </c>
      <c r="O223" s="209" t="s">
        <v>36</v>
      </c>
      <c r="P223" s="213">
        <v>44489.677141203705</v>
      </c>
      <c r="Q223" s="209"/>
      <c r="R223" s="209" t="s">
        <v>38</v>
      </c>
      <c r="S223" s="209"/>
      <c r="T223" s="209" t="s">
        <v>74</v>
      </c>
      <c r="U223" s="213">
        <v>44490.677141203705</v>
      </c>
      <c r="V223" s="209" t="s">
        <v>41</v>
      </c>
      <c r="W223" s="209" t="s">
        <v>49</v>
      </c>
      <c r="X223" s="13" t="str">
        <f>IF(RIGHT(H223,2)&lt;&gt;"00",H223,"")</f>
        <v>0007.74</v>
      </c>
      <c r="Y223" s="26">
        <f ca="1">NETWORKDAYS(P223,$Y$1)</f>
        <v>356</v>
      </c>
      <c r="Z223" s="34">
        <v>1</v>
      </c>
      <c r="AA223" s="25" t="str">
        <f t="shared" ca="1" si="18"/>
        <v>A VENCER</v>
      </c>
      <c r="AB223" s="25" t="str">
        <f t="shared" si="21"/>
        <v>Dosa</v>
      </c>
      <c r="AC223" s="2" t="str">
        <f t="shared" si="20"/>
        <v xml:space="preserve"> CLEITON </v>
      </c>
      <c r="AD223" s="26">
        <f t="shared" si="22"/>
        <v>5</v>
      </c>
      <c r="AE223" s="26">
        <f t="shared" ca="1" si="19"/>
        <v>496.9991304398136</v>
      </c>
      <c r="AF223" s="35"/>
    </row>
    <row r="224" spans="1:32" hidden="1">
      <c r="A224" s="209">
        <v>8050725</v>
      </c>
      <c r="B224" s="209" t="s">
        <v>62</v>
      </c>
      <c r="C224" s="210" t="s">
        <v>511</v>
      </c>
      <c r="D224" s="214"/>
      <c r="E224" s="214">
        <v>4997000206001</v>
      </c>
      <c r="F224" s="209" t="s">
        <v>29</v>
      </c>
      <c r="G224" s="209" t="s">
        <v>53</v>
      </c>
      <c r="H224" s="209" t="s">
        <v>406</v>
      </c>
      <c r="I224" s="209" t="s">
        <v>407</v>
      </c>
      <c r="J224" s="209" t="s">
        <v>79</v>
      </c>
      <c r="K224" s="210" t="s">
        <v>34</v>
      </c>
      <c r="L224" s="210"/>
      <c r="M224" s="209" t="s">
        <v>35</v>
      </c>
      <c r="N224" s="209">
        <v>42318949</v>
      </c>
      <c r="O224" s="209" t="s">
        <v>105</v>
      </c>
      <c r="P224" s="213">
        <v>44494.689618055556</v>
      </c>
      <c r="Q224" s="209"/>
      <c r="R224" s="209" t="s">
        <v>38</v>
      </c>
      <c r="S224" s="209"/>
      <c r="T224" s="209" t="s">
        <v>74</v>
      </c>
      <c r="U224" s="213">
        <v>44537.75</v>
      </c>
      <c r="V224" s="209" t="s">
        <v>41</v>
      </c>
      <c r="W224" s="209" t="s">
        <v>49</v>
      </c>
      <c r="X224" s="13" t="str">
        <f>IF(RIGHT(H224,2)&lt;&gt;"00",H224,"")</f>
        <v/>
      </c>
      <c r="Y224" s="26">
        <f ca="1">NETWORKDAYS(P224,$Y$1)</f>
        <v>353</v>
      </c>
      <c r="Z224" s="34">
        <v>1</v>
      </c>
      <c r="AA224" s="25" t="str">
        <f t="shared" ca="1" si="18"/>
        <v>A VENCER</v>
      </c>
      <c r="AB224" s="25" t="str">
        <f t="shared" si="21"/>
        <v>Dosa</v>
      </c>
      <c r="AC224" s="2" t="str">
        <f t="shared" si="20"/>
        <v xml:space="preserve"> ROSEMERE </v>
      </c>
      <c r="AD224" s="26">
        <f t="shared" si="22"/>
        <v>5</v>
      </c>
      <c r="AE224" s="26">
        <f t="shared" ca="1" si="19"/>
        <v>491.98665358796279</v>
      </c>
      <c r="AF224" s="35"/>
    </row>
    <row r="225" spans="1:32" hidden="1">
      <c r="A225" s="209">
        <v>8127356</v>
      </c>
      <c r="B225" s="209" t="s">
        <v>62</v>
      </c>
      <c r="C225" s="210" t="s">
        <v>514</v>
      </c>
      <c r="D225" s="214"/>
      <c r="E225" s="214">
        <v>537000206001</v>
      </c>
      <c r="F225" s="209" t="s">
        <v>29</v>
      </c>
      <c r="G225" s="209" t="s">
        <v>53</v>
      </c>
      <c r="H225" s="209" t="s">
        <v>442</v>
      </c>
      <c r="I225" s="209" t="s">
        <v>443</v>
      </c>
      <c r="J225" s="209" t="s">
        <v>79</v>
      </c>
      <c r="K225" s="210" t="s">
        <v>34</v>
      </c>
      <c r="L225" s="210"/>
      <c r="M225" s="209" t="s">
        <v>35</v>
      </c>
      <c r="N225" s="209">
        <v>42318949</v>
      </c>
      <c r="O225" s="209" t="s">
        <v>36</v>
      </c>
      <c r="P225" s="213">
        <v>44518.723263888889</v>
      </c>
      <c r="Q225" s="209"/>
      <c r="R225" s="209" t="s">
        <v>38</v>
      </c>
      <c r="S225" s="209"/>
      <c r="T225" s="209" t="s">
        <v>74</v>
      </c>
      <c r="U225" s="213">
        <v>44560.75</v>
      </c>
      <c r="V225" s="209" t="s">
        <v>41</v>
      </c>
      <c r="W225" s="209" t="s">
        <v>49</v>
      </c>
      <c r="X225" s="13" t="str">
        <f>IF(RIGHT(H225,2)&lt;&gt;"00",H225,"")</f>
        <v/>
      </c>
      <c r="Y225" s="26">
        <f ca="1">NETWORKDAYS(P225,$Y$1)</f>
        <v>335</v>
      </c>
      <c r="Z225" s="34">
        <v>1</v>
      </c>
      <c r="AA225" s="25" t="str">
        <f t="shared" ca="1" si="18"/>
        <v>A VENCER</v>
      </c>
      <c r="AB225" s="25" t="str">
        <f t="shared" si="21"/>
        <v>Dosa</v>
      </c>
      <c r="AC225" s="2" t="str">
        <f t="shared" si="20"/>
        <v xml:space="preserve"> ROSEMERE </v>
      </c>
      <c r="AD225" s="26">
        <f t="shared" si="22"/>
        <v>5</v>
      </c>
      <c r="AE225" s="26">
        <f t="shared" ca="1" si="19"/>
        <v>467.95300775462965</v>
      </c>
      <c r="AF225" s="35"/>
    </row>
    <row r="226" spans="1:32" hidden="1">
      <c r="A226" s="209">
        <v>8130031</v>
      </c>
      <c r="B226" s="209" t="s">
        <v>62</v>
      </c>
      <c r="C226" s="210" t="s">
        <v>515</v>
      </c>
      <c r="D226" s="214"/>
      <c r="E226" s="214">
        <v>5742000206001</v>
      </c>
      <c r="F226" s="209" t="s">
        <v>29</v>
      </c>
      <c r="G226" s="209" t="s">
        <v>53</v>
      </c>
      <c r="H226" s="209" t="s">
        <v>430</v>
      </c>
      <c r="I226" s="209" t="s">
        <v>431</v>
      </c>
      <c r="J226" s="209" t="s">
        <v>79</v>
      </c>
      <c r="K226" s="210" t="s">
        <v>34</v>
      </c>
      <c r="L226" s="210"/>
      <c r="M226" s="209" t="s">
        <v>35</v>
      </c>
      <c r="N226" s="209">
        <v>42318949</v>
      </c>
      <c r="O226" s="209" t="s">
        <v>105</v>
      </c>
      <c r="P226" s="213">
        <v>44519.716967592591</v>
      </c>
      <c r="Q226" s="209"/>
      <c r="R226" s="209" t="s">
        <v>38</v>
      </c>
      <c r="S226" s="209"/>
      <c r="T226" s="209" t="s">
        <v>74</v>
      </c>
      <c r="U226" s="213">
        <v>44561.75</v>
      </c>
      <c r="V226" s="209" t="s">
        <v>41</v>
      </c>
      <c r="W226" s="209" t="s">
        <v>49</v>
      </c>
      <c r="X226" s="13" t="str">
        <f>IF(RIGHT(H226,2)&lt;&gt;"00",H226,"")</f>
        <v/>
      </c>
      <c r="Y226" s="26">
        <f ca="1">NETWORKDAYS(P226,$Y$1)</f>
        <v>334</v>
      </c>
      <c r="Z226" s="34">
        <v>1</v>
      </c>
      <c r="AA226" s="25" t="str">
        <f t="shared" ca="1" si="18"/>
        <v>A VENCER</v>
      </c>
      <c r="AB226" s="25" t="str">
        <f t="shared" si="21"/>
        <v>Dosa</v>
      </c>
      <c r="AC226" s="2" t="str">
        <f t="shared" si="20"/>
        <v xml:space="preserve"> ROSEMERE </v>
      </c>
      <c r="AD226" s="26">
        <f t="shared" si="22"/>
        <v>5</v>
      </c>
      <c r="AE226" s="26">
        <f t="shared" ca="1" si="19"/>
        <v>466.95930405092804</v>
      </c>
      <c r="AF226" s="35"/>
    </row>
    <row r="227" spans="1:32" hidden="1">
      <c r="A227" s="209">
        <v>8139932</v>
      </c>
      <c r="B227" s="209" t="s">
        <v>81</v>
      </c>
      <c r="C227" s="210" t="s">
        <v>518</v>
      </c>
      <c r="D227" s="214"/>
      <c r="E227" s="214">
        <v>7419141893543</v>
      </c>
      <c r="F227" s="209" t="s">
        <v>128</v>
      </c>
      <c r="G227" s="209" t="s">
        <v>53</v>
      </c>
      <c r="H227" s="209" t="s">
        <v>519</v>
      </c>
      <c r="I227" s="209" t="s">
        <v>520</v>
      </c>
      <c r="J227" s="209" t="s">
        <v>90</v>
      </c>
      <c r="K227" s="210" t="s">
        <v>129</v>
      </c>
      <c r="L227" s="210"/>
      <c r="M227" s="209" t="s">
        <v>58</v>
      </c>
      <c r="N227" s="209">
        <v>0</v>
      </c>
      <c r="O227" s="209" t="s">
        <v>105</v>
      </c>
      <c r="P227" s="213">
        <v>44524.020509259259</v>
      </c>
      <c r="Q227" s="209"/>
      <c r="R227" s="209">
        <v>14</v>
      </c>
      <c r="S227" s="209"/>
      <c r="T227" s="209" t="s">
        <v>238</v>
      </c>
      <c r="U227" s="213">
        <v>44525.020509259259</v>
      </c>
      <c r="V227" s="209" t="s">
        <v>41</v>
      </c>
      <c r="W227" s="209" t="s">
        <v>49</v>
      </c>
      <c r="X227" s="13" t="str">
        <f>IF(RIGHT(H227,2)&lt;&gt;"00",H227,"")</f>
        <v>0870.91</v>
      </c>
      <c r="Y227" s="26">
        <f ca="1">NETWORKDAYS(P227,$Y$1)</f>
        <v>331</v>
      </c>
      <c r="Z227" s="34">
        <v>1</v>
      </c>
      <c r="AA227" s="25" t="str">
        <f t="shared" ca="1" si="18"/>
        <v>A VENCER</v>
      </c>
      <c r="AB227" s="25" t="str">
        <f t="shared" si="21"/>
        <v>TAAe+</v>
      </c>
      <c r="AC227" s="2" t="str">
        <f t="shared" si="20"/>
        <v xml:space="preserve"> RINALDO </v>
      </c>
      <c r="AD227" s="26">
        <f t="shared" si="22"/>
        <v>8</v>
      </c>
      <c r="AE227" s="26">
        <f t="shared" ca="1" si="19"/>
        <v>462.65576238426002</v>
      </c>
      <c r="AF227" s="35"/>
    </row>
    <row r="228" spans="1:32" hidden="1">
      <c r="A228" s="209">
        <v>8139913</v>
      </c>
      <c r="B228" s="209" t="s">
        <v>81</v>
      </c>
      <c r="C228" s="210" t="s">
        <v>518</v>
      </c>
      <c r="D228" s="214"/>
      <c r="E228" s="214">
        <v>7417163284512</v>
      </c>
      <c r="F228" s="209" t="s">
        <v>131</v>
      </c>
      <c r="G228" s="209" t="s">
        <v>53</v>
      </c>
      <c r="H228" s="209" t="s">
        <v>519</v>
      </c>
      <c r="I228" s="209" t="s">
        <v>520</v>
      </c>
      <c r="J228" s="209" t="s">
        <v>90</v>
      </c>
      <c r="K228" s="210" t="s">
        <v>132</v>
      </c>
      <c r="L228" s="210"/>
      <c r="M228" s="209" t="s">
        <v>58</v>
      </c>
      <c r="N228" s="209">
        <v>0</v>
      </c>
      <c r="O228" s="209" t="s">
        <v>105</v>
      </c>
      <c r="P228" s="213">
        <v>44524.020486111112</v>
      </c>
      <c r="Q228" s="209"/>
      <c r="R228" s="209">
        <v>14</v>
      </c>
      <c r="S228" s="209"/>
      <c r="T228" s="209" t="s">
        <v>238</v>
      </c>
      <c r="U228" s="213">
        <v>44525.020486111112</v>
      </c>
      <c r="V228" s="209" t="s">
        <v>41</v>
      </c>
      <c r="W228" s="209" t="s">
        <v>49</v>
      </c>
      <c r="X228" s="13" t="str">
        <f>IF(RIGHT(H228,2)&lt;&gt;"00",H228,"")</f>
        <v>0870.91</v>
      </c>
      <c r="Y228" s="26">
        <f ca="1">NETWORKDAYS(P228,$Y$1)</f>
        <v>331</v>
      </c>
      <c r="Z228" s="34">
        <v>1</v>
      </c>
      <c r="AA228" s="25" t="str">
        <f t="shared" ca="1" si="18"/>
        <v>A VENCER</v>
      </c>
      <c r="AB228" s="25" t="str">
        <f t="shared" si="21"/>
        <v>TAAe+</v>
      </c>
      <c r="AC228" s="2" t="str">
        <f t="shared" si="20"/>
        <v xml:space="preserve"> RINALDO </v>
      </c>
      <c r="AD228" s="26">
        <f t="shared" si="22"/>
        <v>8</v>
      </c>
      <c r="AE228" s="26">
        <f t="shared" ca="1" si="19"/>
        <v>462.6557855324063</v>
      </c>
      <c r="AF228" s="35"/>
    </row>
    <row r="229" spans="1:32" hidden="1">
      <c r="A229" s="209">
        <v>8253667</v>
      </c>
      <c r="B229" s="209" t="s">
        <v>62</v>
      </c>
      <c r="C229" s="210" t="s">
        <v>3575</v>
      </c>
      <c r="D229" s="214"/>
      <c r="E229" s="214">
        <v>1902016589800</v>
      </c>
      <c r="F229" s="209" t="s">
        <v>64</v>
      </c>
      <c r="G229" s="209" t="s">
        <v>53</v>
      </c>
      <c r="H229" s="209" t="s">
        <v>365</v>
      </c>
      <c r="I229" s="209" t="s">
        <v>366</v>
      </c>
      <c r="J229" s="209" t="s">
        <v>164</v>
      </c>
      <c r="K229" s="210" t="s">
        <v>67</v>
      </c>
      <c r="L229" s="210"/>
      <c r="M229" s="209" t="s">
        <v>35</v>
      </c>
      <c r="N229" s="209">
        <v>42318949</v>
      </c>
      <c r="O229" s="209" t="s">
        <v>36</v>
      </c>
      <c r="P229" s="213">
        <v>44565.451747685183</v>
      </c>
      <c r="Q229" s="209"/>
      <c r="R229" s="209">
        <v>1</v>
      </c>
      <c r="S229" s="209"/>
      <c r="T229" s="209" t="s">
        <v>69</v>
      </c>
      <c r="U229" s="213">
        <v>44566.451747685183</v>
      </c>
      <c r="V229" s="209" t="s">
        <v>41</v>
      </c>
      <c r="W229" s="209" t="s">
        <v>49</v>
      </c>
      <c r="X229" s="13" t="str">
        <f>IF(RIGHT(H229,2)&lt;&gt;"00",H229,"")</f>
        <v/>
      </c>
      <c r="Y229" s="26">
        <f ca="1">NETWORKDAYS(P229,$Y$1)</f>
        <v>302</v>
      </c>
      <c r="Z229" s="34">
        <v>1</v>
      </c>
      <c r="AA229" s="25" t="str">
        <f t="shared" ca="1" si="18"/>
        <v>A VENCER</v>
      </c>
      <c r="AB229" s="25" t="str">
        <f t="shared" si="21"/>
        <v>TAAe+</v>
      </c>
      <c r="AC229" s="2" t="str">
        <f t="shared" si="20"/>
        <v xml:space="preserve"> ROSEMERE </v>
      </c>
      <c r="AD229" s="26">
        <f t="shared" si="22"/>
        <v>8</v>
      </c>
      <c r="AE229" s="26">
        <f t="shared" ca="1" si="19"/>
        <v>421.22452395833534</v>
      </c>
      <c r="AF229" s="35"/>
    </row>
    <row r="230" spans="1:32" hidden="1">
      <c r="A230" s="209">
        <v>8253660</v>
      </c>
      <c r="B230" s="209" t="s">
        <v>62</v>
      </c>
      <c r="C230" s="210" t="s">
        <v>3575</v>
      </c>
      <c r="D230" s="214"/>
      <c r="E230" s="214">
        <v>1902016083400</v>
      </c>
      <c r="F230" s="209" t="s">
        <v>64</v>
      </c>
      <c r="G230" s="209" t="s">
        <v>53</v>
      </c>
      <c r="H230" s="209" t="s">
        <v>367</v>
      </c>
      <c r="I230" s="209" t="s">
        <v>368</v>
      </c>
      <c r="J230" s="209" t="s">
        <v>261</v>
      </c>
      <c r="K230" s="210" t="s">
        <v>67</v>
      </c>
      <c r="L230" s="210"/>
      <c r="M230" s="209" t="s">
        <v>35</v>
      </c>
      <c r="N230" s="209">
        <v>42318949</v>
      </c>
      <c r="O230" s="209" t="s">
        <v>36</v>
      </c>
      <c r="P230" s="213">
        <v>44565.451736111114</v>
      </c>
      <c r="Q230" s="209"/>
      <c r="R230" s="209">
        <v>1</v>
      </c>
      <c r="S230" s="209"/>
      <c r="T230" s="209" t="s">
        <v>69</v>
      </c>
      <c r="U230" s="213">
        <v>44566.451736111114</v>
      </c>
      <c r="V230" s="209" t="s">
        <v>41</v>
      </c>
      <c r="W230" s="209" t="s">
        <v>49</v>
      </c>
      <c r="X230" s="13" t="str">
        <f>IF(RIGHT(H230,2)&lt;&gt;"00",H230,"")</f>
        <v/>
      </c>
      <c r="Y230" s="26">
        <f ca="1">NETWORKDAYS(P230,$Y$1)</f>
        <v>302</v>
      </c>
      <c r="Z230" s="34">
        <v>1</v>
      </c>
      <c r="AA230" s="25" t="str">
        <f t="shared" ca="1" si="18"/>
        <v>A VENCER</v>
      </c>
      <c r="AB230" s="25" t="str">
        <f t="shared" si="21"/>
        <v>TAAe+</v>
      </c>
      <c r="AC230" s="2" t="str">
        <f t="shared" si="20"/>
        <v xml:space="preserve"> CRISTINA </v>
      </c>
      <c r="AD230" s="26">
        <f t="shared" si="22"/>
        <v>8</v>
      </c>
      <c r="AE230" s="26">
        <f t="shared" ca="1" si="19"/>
        <v>421.22453553240484</v>
      </c>
      <c r="AF230" s="35"/>
    </row>
    <row r="231" spans="1:32" hidden="1">
      <c r="A231" s="209">
        <v>8253659</v>
      </c>
      <c r="B231" s="209" t="s">
        <v>62</v>
      </c>
      <c r="C231" s="210" t="s">
        <v>3575</v>
      </c>
      <c r="D231" s="214"/>
      <c r="E231" s="214">
        <v>1902016057000</v>
      </c>
      <c r="F231" s="209" t="s">
        <v>64</v>
      </c>
      <c r="G231" s="209" t="s">
        <v>53</v>
      </c>
      <c r="H231" s="209" t="s">
        <v>434</v>
      </c>
      <c r="I231" s="209" t="s">
        <v>435</v>
      </c>
      <c r="J231" s="209" t="s">
        <v>148</v>
      </c>
      <c r="K231" s="210" t="s">
        <v>67</v>
      </c>
      <c r="L231" s="210"/>
      <c r="M231" s="209" t="s">
        <v>35</v>
      </c>
      <c r="N231" s="209">
        <v>42318949</v>
      </c>
      <c r="O231" s="209" t="s">
        <v>36</v>
      </c>
      <c r="P231" s="213">
        <v>44565.451736111114</v>
      </c>
      <c r="Q231" s="209"/>
      <c r="R231" s="209">
        <v>1</v>
      </c>
      <c r="S231" s="209"/>
      <c r="T231" s="209" t="s">
        <v>69</v>
      </c>
      <c r="U231" s="213">
        <v>44566.451736111114</v>
      </c>
      <c r="V231" s="209" t="s">
        <v>41</v>
      </c>
      <c r="W231" s="209" t="s">
        <v>49</v>
      </c>
      <c r="X231" s="13" t="str">
        <f>IF(RIGHT(H231,2)&lt;&gt;"00",H231,"")</f>
        <v/>
      </c>
      <c r="Y231" s="26">
        <f ca="1">NETWORKDAYS(P231,$Y$1)</f>
        <v>302</v>
      </c>
      <c r="Z231" s="34">
        <v>1</v>
      </c>
      <c r="AA231" s="25" t="str">
        <f t="shared" ca="1" si="18"/>
        <v>A VENCER</v>
      </c>
      <c r="AB231" s="25" t="str">
        <f t="shared" si="21"/>
        <v>TAAe+</v>
      </c>
      <c r="AC231" s="2" t="str">
        <f t="shared" si="20"/>
        <v xml:space="preserve"> RINALDO </v>
      </c>
      <c r="AD231" s="26">
        <f t="shared" si="22"/>
        <v>8</v>
      </c>
      <c r="AE231" s="26">
        <f t="shared" ca="1" si="19"/>
        <v>421.22453553240484</v>
      </c>
      <c r="AF231" s="35"/>
    </row>
    <row r="232" spans="1:32" hidden="1">
      <c r="A232" s="209">
        <v>8253658</v>
      </c>
      <c r="B232" s="209" t="s">
        <v>62</v>
      </c>
      <c r="C232" s="210" t="s">
        <v>3575</v>
      </c>
      <c r="D232" s="214"/>
      <c r="E232" s="214">
        <v>1902016044600</v>
      </c>
      <c r="F232" s="209" t="s">
        <v>64</v>
      </c>
      <c r="G232" s="209" t="s">
        <v>53</v>
      </c>
      <c r="H232" s="209" t="s">
        <v>432</v>
      </c>
      <c r="I232" s="209" t="s">
        <v>433</v>
      </c>
      <c r="J232" s="209" t="s">
        <v>141</v>
      </c>
      <c r="K232" s="210" t="s">
        <v>67</v>
      </c>
      <c r="L232" s="210"/>
      <c r="M232" s="209" t="s">
        <v>35</v>
      </c>
      <c r="N232" s="209">
        <v>42318949</v>
      </c>
      <c r="O232" s="209" t="s">
        <v>36</v>
      </c>
      <c r="P232" s="213">
        <v>44565.451736111114</v>
      </c>
      <c r="Q232" s="209"/>
      <c r="R232" s="209">
        <v>1</v>
      </c>
      <c r="S232" s="209"/>
      <c r="T232" s="209" t="s">
        <v>69</v>
      </c>
      <c r="U232" s="213">
        <v>44566.451736111114</v>
      </c>
      <c r="V232" s="209" t="s">
        <v>41</v>
      </c>
      <c r="W232" s="209" t="s">
        <v>49</v>
      </c>
      <c r="X232" s="13" t="str">
        <f>IF(RIGHT(H232,2)&lt;&gt;"00",H232,"")</f>
        <v/>
      </c>
      <c r="Y232" s="26">
        <f ca="1">NETWORKDAYS(P232,$Y$1)</f>
        <v>302</v>
      </c>
      <c r="Z232" s="34">
        <v>1</v>
      </c>
      <c r="AA232" s="25" t="str">
        <f t="shared" ca="1" si="18"/>
        <v>A VENCER</v>
      </c>
      <c r="AB232" s="25" t="str">
        <f t="shared" si="21"/>
        <v>TAAe+</v>
      </c>
      <c r="AC232" s="2" t="str">
        <f t="shared" si="20"/>
        <v xml:space="preserve"> CRISTINA </v>
      </c>
      <c r="AD232" s="26">
        <f t="shared" si="22"/>
        <v>8</v>
      </c>
      <c r="AE232" s="26">
        <f t="shared" ca="1" si="19"/>
        <v>421.22453553240484</v>
      </c>
      <c r="AF232" s="35"/>
    </row>
    <row r="233" spans="1:32" hidden="1">
      <c r="A233" s="209">
        <v>8253656</v>
      </c>
      <c r="B233" s="209" t="s">
        <v>62</v>
      </c>
      <c r="C233" s="210" t="s">
        <v>3575</v>
      </c>
      <c r="D233" s="214"/>
      <c r="E233" s="214">
        <v>1902016015900</v>
      </c>
      <c r="F233" s="209" t="s">
        <v>64</v>
      </c>
      <c r="G233" s="209" t="s">
        <v>53</v>
      </c>
      <c r="H233" s="209" t="s">
        <v>331</v>
      </c>
      <c r="I233" s="209" t="s">
        <v>332</v>
      </c>
      <c r="J233" s="209" t="s">
        <v>79</v>
      </c>
      <c r="K233" s="210" t="s">
        <v>67</v>
      </c>
      <c r="L233" s="210"/>
      <c r="M233" s="209" t="s">
        <v>35</v>
      </c>
      <c r="N233" s="209">
        <v>42318949</v>
      </c>
      <c r="O233" s="209" t="s">
        <v>36</v>
      </c>
      <c r="P233" s="213">
        <v>44565.451736111114</v>
      </c>
      <c r="Q233" s="209"/>
      <c r="R233" s="209">
        <v>1</v>
      </c>
      <c r="S233" s="209"/>
      <c r="T233" s="209" t="s">
        <v>69</v>
      </c>
      <c r="U233" s="213">
        <v>44566.451736111114</v>
      </c>
      <c r="V233" s="209" t="s">
        <v>41</v>
      </c>
      <c r="W233" s="209" t="s">
        <v>49</v>
      </c>
      <c r="X233" s="13" t="str">
        <f>IF(RIGHT(H233,2)&lt;&gt;"00",H233,"")</f>
        <v/>
      </c>
      <c r="Y233" s="26">
        <f ca="1">NETWORKDAYS(P233,$Y$1)</f>
        <v>302</v>
      </c>
      <c r="Z233" s="34">
        <v>1</v>
      </c>
      <c r="AA233" s="25" t="str">
        <f t="shared" ca="1" si="18"/>
        <v>A VENCER</v>
      </c>
      <c r="AB233" s="25" t="str">
        <f t="shared" si="21"/>
        <v>TAAe+</v>
      </c>
      <c r="AC233" s="2" t="str">
        <f t="shared" si="20"/>
        <v xml:space="preserve"> ROSEMERE </v>
      </c>
      <c r="AD233" s="26">
        <f t="shared" si="22"/>
        <v>8</v>
      </c>
      <c r="AE233" s="26">
        <f t="shared" ca="1" si="19"/>
        <v>421.22453553240484</v>
      </c>
      <c r="AF233" s="35"/>
    </row>
    <row r="234" spans="1:32" hidden="1">
      <c r="A234" s="209">
        <v>8290700</v>
      </c>
      <c r="B234" s="209" t="s">
        <v>62</v>
      </c>
      <c r="C234" s="210" t="s">
        <v>530</v>
      </c>
      <c r="D234" s="214"/>
      <c r="E234" s="214">
        <v>963000203010</v>
      </c>
      <c r="F234" s="209" t="s">
        <v>152</v>
      </c>
      <c r="G234" s="209" t="s">
        <v>53</v>
      </c>
      <c r="H234" s="209" t="s">
        <v>531</v>
      </c>
      <c r="I234" s="209" t="s">
        <v>532</v>
      </c>
      <c r="J234" s="209" t="s">
        <v>33</v>
      </c>
      <c r="K234" s="210" t="s">
        <v>155</v>
      </c>
      <c r="L234" s="210"/>
      <c r="M234" s="209" t="s">
        <v>35</v>
      </c>
      <c r="N234" s="209">
        <v>42318949</v>
      </c>
      <c r="O234" s="209" t="s">
        <v>36</v>
      </c>
      <c r="P234" s="213">
        <v>44580.465891203705</v>
      </c>
      <c r="Q234" s="209"/>
      <c r="R234" s="209" t="s">
        <v>38</v>
      </c>
      <c r="S234" s="209"/>
      <c r="T234" s="209" t="s">
        <v>157</v>
      </c>
      <c r="U234" s="213">
        <v>44614.75</v>
      </c>
      <c r="V234" s="209" t="s">
        <v>41</v>
      </c>
      <c r="W234" s="209" t="s">
        <v>49</v>
      </c>
      <c r="X234" s="13" t="str">
        <f>IF(RIGHT(H234,2)&lt;&gt;"00",H234,"")</f>
        <v/>
      </c>
      <c r="Y234" s="26">
        <f ca="1">NETWORKDAYS(P234,$Y$1)</f>
        <v>291</v>
      </c>
      <c r="Z234" s="34">
        <v>1</v>
      </c>
      <c r="AA234" s="25" t="str">
        <f t="shared" ca="1" si="18"/>
        <v>A VENCER</v>
      </c>
      <c r="AB234" s="25" t="str">
        <f t="shared" si="21"/>
        <v>TAAe+</v>
      </c>
      <c r="AC234" s="2" t="str">
        <f t="shared" si="20"/>
        <v xml:space="preserve"> ROSEMERE </v>
      </c>
      <c r="AD234" s="26">
        <f t="shared" si="22"/>
        <v>8</v>
      </c>
      <c r="AE234" s="26">
        <f t="shared" ca="1" si="19"/>
        <v>406.21038043981389</v>
      </c>
      <c r="AF234" s="35"/>
    </row>
    <row r="235" spans="1:32" hidden="1">
      <c r="A235" s="209">
        <v>8290676</v>
      </c>
      <c r="B235" s="209" t="s">
        <v>62</v>
      </c>
      <c r="C235" s="210" t="s">
        <v>530</v>
      </c>
      <c r="D235" s="214"/>
      <c r="E235" s="214">
        <v>67000203010</v>
      </c>
      <c r="F235" s="209" t="s">
        <v>152</v>
      </c>
      <c r="G235" s="209" t="s">
        <v>53</v>
      </c>
      <c r="H235" s="209" t="s">
        <v>404</v>
      </c>
      <c r="I235" s="209" t="s">
        <v>405</v>
      </c>
      <c r="J235" s="209" t="s">
        <v>164</v>
      </c>
      <c r="K235" s="210" t="s">
        <v>155</v>
      </c>
      <c r="L235" s="210"/>
      <c r="M235" s="209" t="s">
        <v>35</v>
      </c>
      <c r="N235" s="209">
        <v>42318949</v>
      </c>
      <c r="O235" s="209" t="s">
        <v>36</v>
      </c>
      <c r="P235" s="213">
        <v>44580.465844907405</v>
      </c>
      <c r="Q235" s="209"/>
      <c r="R235" s="209" t="s">
        <v>38</v>
      </c>
      <c r="S235" s="209"/>
      <c r="T235" s="209" t="s">
        <v>157</v>
      </c>
      <c r="U235" s="213">
        <v>44614.75</v>
      </c>
      <c r="V235" s="209" t="s">
        <v>41</v>
      </c>
      <c r="W235" s="209" t="s">
        <v>49</v>
      </c>
      <c r="X235" s="13" t="str">
        <f>IF(RIGHT(H235,2)&lt;&gt;"00",H235,"")</f>
        <v/>
      </c>
      <c r="Y235" s="26">
        <f ca="1">NETWORKDAYS(P235,$Y$1)</f>
        <v>291</v>
      </c>
      <c r="Z235" s="34">
        <v>1</v>
      </c>
      <c r="AA235" s="25" t="str">
        <f t="shared" ca="1" si="18"/>
        <v>A VENCER</v>
      </c>
      <c r="AB235" s="25" t="str">
        <f t="shared" si="21"/>
        <v>TAAe+</v>
      </c>
      <c r="AC235" s="2" t="str">
        <f t="shared" si="20"/>
        <v xml:space="preserve"> ROSEMERE </v>
      </c>
      <c r="AD235" s="26">
        <f t="shared" si="22"/>
        <v>8</v>
      </c>
      <c r="AE235" s="26">
        <f t="shared" ca="1" si="19"/>
        <v>406.21042673611373</v>
      </c>
      <c r="AF235" s="35"/>
    </row>
    <row r="236" spans="1:32" hidden="1">
      <c r="A236" s="209">
        <v>8290634</v>
      </c>
      <c r="B236" s="209" t="s">
        <v>62</v>
      </c>
      <c r="C236" s="210" t="s">
        <v>530</v>
      </c>
      <c r="D236" s="214"/>
      <c r="E236" s="214">
        <v>2988000203010</v>
      </c>
      <c r="F236" s="209" t="s">
        <v>152</v>
      </c>
      <c r="G236" s="209" t="s">
        <v>53</v>
      </c>
      <c r="H236" s="209" t="s">
        <v>536</v>
      </c>
      <c r="I236" s="209" t="s">
        <v>537</v>
      </c>
      <c r="J236" s="209" t="s">
        <v>46</v>
      </c>
      <c r="K236" s="210" t="s">
        <v>155</v>
      </c>
      <c r="L236" s="210"/>
      <c r="M236" s="209" t="s">
        <v>35</v>
      </c>
      <c r="N236" s="209">
        <v>42318949</v>
      </c>
      <c r="O236" s="209" t="s">
        <v>36</v>
      </c>
      <c r="P236" s="213">
        <v>44580.465752314813</v>
      </c>
      <c r="Q236" s="209"/>
      <c r="R236" s="209" t="s">
        <v>38</v>
      </c>
      <c r="S236" s="209"/>
      <c r="T236" s="209" t="s">
        <v>157</v>
      </c>
      <c r="U236" s="213">
        <v>44614.75</v>
      </c>
      <c r="V236" s="209" t="s">
        <v>41</v>
      </c>
      <c r="W236" s="209" t="s">
        <v>49</v>
      </c>
      <c r="X236" s="13" t="str">
        <f>IF(RIGHT(H236,2)&lt;&gt;"00",H236,"")</f>
        <v/>
      </c>
      <c r="Y236" s="26">
        <f ca="1">NETWORKDAYS(P236,$Y$1)</f>
        <v>291</v>
      </c>
      <c r="Z236" s="34">
        <v>1</v>
      </c>
      <c r="AA236" s="25" t="str">
        <f t="shared" ca="1" si="18"/>
        <v>A VENCER</v>
      </c>
      <c r="AB236" s="25" t="str">
        <f t="shared" si="21"/>
        <v>TAAe+</v>
      </c>
      <c r="AC236" s="2" t="str">
        <f t="shared" si="20"/>
        <v xml:space="preserve"> CLEITON </v>
      </c>
      <c r="AD236" s="26">
        <f t="shared" si="22"/>
        <v>8</v>
      </c>
      <c r="AE236" s="26">
        <f t="shared" ca="1" si="19"/>
        <v>406.21051932870614</v>
      </c>
      <c r="AF236" s="35"/>
    </row>
    <row r="237" spans="1:32" hidden="1">
      <c r="A237" s="209">
        <v>8290541</v>
      </c>
      <c r="B237" s="209" t="s">
        <v>62</v>
      </c>
      <c r="C237" s="210" t="s">
        <v>530</v>
      </c>
      <c r="D237" s="214"/>
      <c r="E237" s="214">
        <v>1185000203010</v>
      </c>
      <c r="F237" s="209" t="s">
        <v>152</v>
      </c>
      <c r="G237" s="209" t="s">
        <v>53</v>
      </c>
      <c r="H237" s="209" t="s">
        <v>539</v>
      </c>
      <c r="I237" s="209" t="s">
        <v>540</v>
      </c>
      <c r="J237" s="209" t="s">
        <v>33</v>
      </c>
      <c r="K237" s="210" t="s">
        <v>155</v>
      </c>
      <c r="L237" s="210"/>
      <c r="M237" s="209" t="s">
        <v>35</v>
      </c>
      <c r="N237" s="209">
        <v>42318949</v>
      </c>
      <c r="O237" s="209" t="s">
        <v>36</v>
      </c>
      <c r="P237" s="213">
        <v>44580.465567129628</v>
      </c>
      <c r="Q237" s="209"/>
      <c r="R237" s="209" t="s">
        <v>38</v>
      </c>
      <c r="S237" s="209"/>
      <c r="T237" s="209" t="s">
        <v>157</v>
      </c>
      <c r="U237" s="213">
        <v>44614.75</v>
      </c>
      <c r="V237" s="209" t="s">
        <v>41</v>
      </c>
      <c r="W237" s="209" t="s">
        <v>42</v>
      </c>
      <c r="X237" s="13" t="str">
        <f>IF(RIGHT(H237,2)&lt;&gt;"00",H237,"")</f>
        <v/>
      </c>
      <c r="Y237" s="26">
        <f ca="1">NETWORKDAYS(P237,$Y$1)</f>
        <v>291</v>
      </c>
      <c r="Z237" s="34">
        <v>1</v>
      </c>
      <c r="AA237" s="25" t="str">
        <f t="shared" ca="1" si="18"/>
        <v>A VENCER</v>
      </c>
      <c r="AB237" s="25" t="str">
        <f t="shared" si="21"/>
        <v>TAAe+</v>
      </c>
      <c r="AC237" s="2" t="str">
        <f t="shared" si="20"/>
        <v xml:space="preserve"> ROSEMERE </v>
      </c>
      <c r="AD237" s="26">
        <f t="shared" si="22"/>
        <v>8</v>
      </c>
      <c r="AE237" s="26">
        <f t="shared" ca="1" si="19"/>
        <v>406.21070451389096</v>
      </c>
      <c r="AF237" s="35"/>
    </row>
    <row r="238" spans="1:32" hidden="1">
      <c r="A238" s="209">
        <v>8290533</v>
      </c>
      <c r="B238" s="209" t="s">
        <v>62</v>
      </c>
      <c r="C238" s="210" t="s">
        <v>530</v>
      </c>
      <c r="D238" s="214"/>
      <c r="E238" s="214">
        <v>115000203010</v>
      </c>
      <c r="F238" s="209" t="s">
        <v>152</v>
      </c>
      <c r="G238" s="209" t="s">
        <v>53</v>
      </c>
      <c r="H238" s="209" t="s">
        <v>542</v>
      </c>
      <c r="I238" s="209" t="s">
        <v>543</v>
      </c>
      <c r="J238" s="209" t="s">
        <v>56</v>
      </c>
      <c r="K238" s="210" t="s">
        <v>155</v>
      </c>
      <c r="L238" s="210"/>
      <c r="M238" s="209" t="s">
        <v>35</v>
      </c>
      <c r="N238" s="209">
        <v>42318949</v>
      </c>
      <c r="O238" s="209" t="s">
        <v>36</v>
      </c>
      <c r="P238" s="213">
        <v>44580.465555555558</v>
      </c>
      <c r="Q238" s="209"/>
      <c r="R238" s="209" t="s">
        <v>38</v>
      </c>
      <c r="S238" s="209"/>
      <c r="T238" s="209" t="s">
        <v>157</v>
      </c>
      <c r="U238" s="213">
        <v>44614.75</v>
      </c>
      <c r="V238" s="209" t="s">
        <v>41</v>
      </c>
      <c r="W238" s="209" t="s">
        <v>49</v>
      </c>
      <c r="X238" s="13" t="str">
        <f>IF(RIGHT(H238,2)&lt;&gt;"00",H238,"")</f>
        <v/>
      </c>
      <c r="Y238" s="26">
        <f ca="1">NETWORKDAYS(P238,$Y$1)</f>
        <v>291</v>
      </c>
      <c r="Z238" s="34">
        <v>1</v>
      </c>
      <c r="AA238" s="25" t="str">
        <f t="shared" ca="1" si="18"/>
        <v>A VENCER</v>
      </c>
      <c r="AB238" s="25" t="str">
        <f t="shared" si="21"/>
        <v>TAAe+</v>
      </c>
      <c r="AC238" s="2" t="str">
        <f t="shared" si="20"/>
        <v xml:space="preserve"> CRISTINA </v>
      </c>
      <c r="AD238" s="26">
        <f t="shared" si="22"/>
        <v>8</v>
      </c>
      <c r="AE238" s="26">
        <f t="shared" ca="1" si="19"/>
        <v>406.21071608796046</v>
      </c>
      <c r="AF238" s="35"/>
    </row>
    <row r="239" spans="1:32" hidden="1">
      <c r="A239" s="209">
        <v>8290521</v>
      </c>
      <c r="B239" s="209" t="s">
        <v>62</v>
      </c>
      <c r="C239" s="210" t="s">
        <v>530</v>
      </c>
      <c r="D239" s="214"/>
      <c r="E239" s="214">
        <v>1059000203010</v>
      </c>
      <c r="F239" s="209" t="s">
        <v>152</v>
      </c>
      <c r="G239" s="209" t="s">
        <v>53</v>
      </c>
      <c r="H239" s="209" t="s">
        <v>88</v>
      </c>
      <c r="I239" s="209" t="s">
        <v>89</v>
      </c>
      <c r="J239" s="209" t="s">
        <v>90</v>
      </c>
      <c r="K239" s="210" t="s">
        <v>155</v>
      </c>
      <c r="L239" s="210"/>
      <c r="M239" s="209" t="s">
        <v>35</v>
      </c>
      <c r="N239" s="209">
        <v>42318949</v>
      </c>
      <c r="O239" s="209" t="s">
        <v>36</v>
      </c>
      <c r="P239" s="213">
        <v>44580.465520833335</v>
      </c>
      <c r="Q239" s="209"/>
      <c r="R239" s="209" t="s">
        <v>38</v>
      </c>
      <c r="S239" s="209"/>
      <c r="T239" s="209" t="s">
        <v>157</v>
      </c>
      <c r="U239" s="213">
        <v>44614.75</v>
      </c>
      <c r="V239" s="209" t="s">
        <v>41</v>
      </c>
      <c r="W239" s="209" t="s">
        <v>49</v>
      </c>
      <c r="X239" s="13" t="str">
        <f>IF(RIGHT(H239,2)&lt;&gt;"00",H239,"")</f>
        <v/>
      </c>
      <c r="Y239" s="26">
        <f ca="1">NETWORKDAYS(P239,$Y$1)</f>
        <v>291</v>
      </c>
      <c r="Z239" s="34">
        <v>1</v>
      </c>
      <c r="AA239" s="25" t="str">
        <f t="shared" ca="1" si="18"/>
        <v>A VENCER</v>
      </c>
      <c r="AB239" s="25" t="str">
        <f t="shared" si="21"/>
        <v>TAAe+</v>
      </c>
      <c r="AC239" s="2" t="str">
        <f t="shared" si="20"/>
        <v xml:space="preserve"> RINALDO </v>
      </c>
      <c r="AD239" s="26">
        <f t="shared" si="22"/>
        <v>8</v>
      </c>
      <c r="AE239" s="26">
        <f t="shared" ca="1" si="19"/>
        <v>406.21075081018353</v>
      </c>
      <c r="AF239" s="35"/>
    </row>
    <row r="240" spans="1:32" hidden="1">
      <c r="A240" s="209">
        <v>8290456</v>
      </c>
      <c r="B240" s="209" t="s">
        <v>62</v>
      </c>
      <c r="C240" s="210" t="s">
        <v>530</v>
      </c>
      <c r="D240" s="214"/>
      <c r="E240" s="214">
        <v>5816000203010</v>
      </c>
      <c r="F240" s="209" t="s">
        <v>152</v>
      </c>
      <c r="G240" s="209" t="s">
        <v>53</v>
      </c>
      <c r="H240" s="209" t="s">
        <v>412</v>
      </c>
      <c r="I240" s="209" t="s">
        <v>413</v>
      </c>
      <c r="J240" s="209" t="s">
        <v>46</v>
      </c>
      <c r="K240" s="210" t="s">
        <v>155</v>
      </c>
      <c r="L240" s="210"/>
      <c r="M240" s="209" t="s">
        <v>35</v>
      </c>
      <c r="N240" s="209">
        <v>42318949</v>
      </c>
      <c r="O240" s="209" t="s">
        <v>36</v>
      </c>
      <c r="P240" s="213">
        <v>44580.465381944443</v>
      </c>
      <c r="Q240" s="209"/>
      <c r="R240" s="209" t="s">
        <v>38</v>
      </c>
      <c r="S240" s="209"/>
      <c r="T240" s="209" t="s">
        <v>157</v>
      </c>
      <c r="U240" s="213">
        <v>44614.75</v>
      </c>
      <c r="V240" s="209" t="s">
        <v>41</v>
      </c>
      <c r="W240" s="209" t="s">
        <v>49</v>
      </c>
      <c r="X240" s="13" t="str">
        <f>IF(RIGHT(H240,2)&lt;&gt;"00",H240,"")</f>
        <v/>
      </c>
      <c r="Y240" s="26">
        <f ca="1">NETWORKDAYS(P240,$Y$1)</f>
        <v>291</v>
      </c>
      <c r="Z240" s="34">
        <v>1</v>
      </c>
      <c r="AA240" s="25" t="str">
        <f t="shared" ca="1" si="18"/>
        <v>A VENCER</v>
      </c>
      <c r="AB240" s="25" t="str">
        <f t="shared" si="21"/>
        <v>TAAe+</v>
      </c>
      <c r="AC240" s="2" t="str">
        <f t="shared" si="20"/>
        <v xml:space="preserve"> CLEITON </v>
      </c>
      <c r="AD240" s="26">
        <f t="shared" si="22"/>
        <v>8</v>
      </c>
      <c r="AE240" s="26">
        <f t="shared" ca="1" si="19"/>
        <v>406.21088969907578</v>
      </c>
      <c r="AF240" s="35"/>
    </row>
    <row r="241" spans="1:32" hidden="1">
      <c r="A241" s="209">
        <v>8290427</v>
      </c>
      <c r="B241" s="209" t="s">
        <v>62</v>
      </c>
      <c r="C241" s="210" t="s">
        <v>530</v>
      </c>
      <c r="D241" s="214"/>
      <c r="E241" s="214">
        <v>2802000203010</v>
      </c>
      <c r="F241" s="209" t="s">
        <v>152</v>
      </c>
      <c r="G241" s="209" t="s">
        <v>53</v>
      </c>
      <c r="H241" s="209" t="s">
        <v>388</v>
      </c>
      <c r="I241" s="209" t="s">
        <v>389</v>
      </c>
      <c r="J241" s="209" t="s">
        <v>46</v>
      </c>
      <c r="K241" s="210" t="s">
        <v>155</v>
      </c>
      <c r="L241" s="210"/>
      <c r="M241" s="209" t="s">
        <v>35</v>
      </c>
      <c r="N241" s="209">
        <v>42318949</v>
      </c>
      <c r="O241" s="209" t="s">
        <v>36</v>
      </c>
      <c r="P241" s="213">
        <v>44580.465312499997</v>
      </c>
      <c r="Q241" s="209"/>
      <c r="R241" s="209" t="s">
        <v>38</v>
      </c>
      <c r="S241" s="209"/>
      <c r="T241" s="209" t="s">
        <v>157</v>
      </c>
      <c r="U241" s="213">
        <v>44614.75</v>
      </c>
      <c r="V241" s="209" t="s">
        <v>41</v>
      </c>
      <c r="W241" s="209" t="s">
        <v>49</v>
      </c>
      <c r="X241" s="13" t="str">
        <f>IF(RIGHT(H241,2)&lt;&gt;"00",H241,"")</f>
        <v/>
      </c>
      <c r="Y241" s="26">
        <f ca="1">NETWORKDAYS(P241,$Y$1)</f>
        <v>291</v>
      </c>
      <c r="Z241" s="34">
        <v>1</v>
      </c>
      <c r="AA241" s="25" t="str">
        <f t="shared" ca="1" si="18"/>
        <v>A VENCER</v>
      </c>
      <c r="AB241" s="25" t="str">
        <f t="shared" si="21"/>
        <v>TAAe+</v>
      </c>
      <c r="AC241" s="2" t="str">
        <f t="shared" si="20"/>
        <v xml:space="preserve"> CLEITON </v>
      </c>
      <c r="AD241" s="26">
        <f t="shared" si="22"/>
        <v>8</v>
      </c>
      <c r="AE241" s="26">
        <f t="shared" ca="1" si="19"/>
        <v>406.2109591435219</v>
      </c>
      <c r="AF241" s="35"/>
    </row>
    <row r="242" spans="1:32" hidden="1">
      <c r="A242" s="209">
        <v>8290375</v>
      </c>
      <c r="B242" s="209" t="s">
        <v>62</v>
      </c>
      <c r="C242" s="210" t="s">
        <v>530</v>
      </c>
      <c r="D242" s="214"/>
      <c r="E242" s="214">
        <v>1138000203010</v>
      </c>
      <c r="F242" s="209" t="s">
        <v>152</v>
      </c>
      <c r="G242" s="209" t="s">
        <v>53</v>
      </c>
      <c r="H242" s="209" t="s">
        <v>548</v>
      </c>
      <c r="I242" s="209" t="s">
        <v>549</v>
      </c>
      <c r="J242" s="209" t="s">
        <v>46</v>
      </c>
      <c r="K242" s="210" t="s">
        <v>155</v>
      </c>
      <c r="L242" s="210"/>
      <c r="M242" s="209" t="s">
        <v>35</v>
      </c>
      <c r="N242" s="209">
        <v>42318949</v>
      </c>
      <c r="O242" s="209" t="s">
        <v>36</v>
      </c>
      <c r="P242" s="213">
        <v>44580.465185185189</v>
      </c>
      <c r="Q242" s="209"/>
      <c r="R242" s="209" t="s">
        <v>38</v>
      </c>
      <c r="S242" s="209"/>
      <c r="T242" s="209" t="s">
        <v>157</v>
      </c>
      <c r="U242" s="213">
        <v>44614.75</v>
      </c>
      <c r="V242" s="209" t="s">
        <v>41</v>
      </c>
      <c r="W242" s="209" t="s">
        <v>49</v>
      </c>
      <c r="X242" s="13" t="str">
        <f>IF(RIGHT(H242,2)&lt;&gt;"00",H242,"")</f>
        <v/>
      </c>
      <c r="Y242" s="26">
        <f ca="1">NETWORKDAYS(P242,$Y$1)</f>
        <v>291</v>
      </c>
      <c r="Z242" s="34">
        <v>1</v>
      </c>
      <c r="AA242" s="25" t="str">
        <f t="shared" ca="1" si="18"/>
        <v>A VENCER</v>
      </c>
      <c r="AB242" s="25" t="str">
        <f t="shared" si="21"/>
        <v>TAAe+</v>
      </c>
      <c r="AC242" s="2" t="str">
        <f t="shared" si="20"/>
        <v xml:space="preserve"> CLEITON </v>
      </c>
      <c r="AD242" s="26">
        <f t="shared" si="22"/>
        <v>8</v>
      </c>
      <c r="AE242" s="26">
        <f t="shared" ca="1" si="19"/>
        <v>406.2110864583301</v>
      </c>
      <c r="AF242" s="35"/>
    </row>
    <row r="243" spans="1:32" hidden="1">
      <c r="A243" s="209">
        <v>8338348</v>
      </c>
      <c r="B243" s="209" t="s">
        <v>62</v>
      </c>
      <c r="C243" s="210" t="s">
        <v>551</v>
      </c>
      <c r="D243" s="214"/>
      <c r="E243" s="214">
        <v>934000203000</v>
      </c>
      <c r="F243" s="209" t="s">
        <v>454</v>
      </c>
      <c r="G243" s="209" t="s">
        <v>53</v>
      </c>
      <c r="H243" s="209" t="s">
        <v>428</v>
      </c>
      <c r="I243" s="209" t="s">
        <v>429</v>
      </c>
      <c r="J243" s="209" t="s">
        <v>46</v>
      </c>
      <c r="K243" s="210" t="s">
        <v>457</v>
      </c>
      <c r="L243" s="210"/>
      <c r="M243" s="209" t="s">
        <v>58</v>
      </c>
      <c r="N243" s="209">
        <v>0</v>
      </c>
      <c r="O243" s="209" t="s">
        <v>36</v>
      </c>
      <c r="P243" s="213">
        <v>44595.603125000001</v>
      </c>
      <c r="Q243" s="209"/>
      <c r="R243" s="209" t="s">
        <v>38</v>
      </c>
      <c r="S243" s="209"/>
      <c r="T243" s="209" t="s">
        <v>157</v>
      </c>
      <c r="U243" s="213">
        <v>44676.75</v>
      </c>
      <c r="V243" s="209" t="s">
        <v>41</v>
      </c>
      <c r="W243" s="209" t="s">
        <v>49</v>
      </c>
      <c r="X243" s="13" t="str">
        <f>IF(RIGHT(H243,2)&lt;&gt;"00",H243,"")</f>
        <v/>
      </c>
      <c r="Y243" s="26">
        <f ca="1">NETWORKDAYS(P243,$Y$1)</f>
        <v>280</v>
      </c>
      <c r="Z243" s="34">
        <v>1</v>
      </c>
      <c r="AA243" s="25" t="str">
        <f t="shared" ca="1" si="18"/>
        <v>A VENCER</v>
      </c>
      <c r="AB243" s="25" t="str">
        <f t="shared" si="21"/>
        <v>C-14</v>
      </c>
      <c r="AC243" s="2" t="str">
        <f t="shared" si="20"/>
        <v xml:space="preserve"> CLEITON </v>
      </c>
      <c r="AD243" s="26">
        <f t="shared" si="22"/>
        <v>5</v>
      </c>
      <c r="AE243" s="26">
        <f t="shared" ca="1" si="19"/>
        <v>391.07314664351725</v>
      </c>
      <c r="AF243" s="35"/>
    </row>
    <row r="244" spans="1:32" hidden="1">
      <c r="A244" s="209">
        <v>8362148</v>
      </c>
      <c r="B244" s="209" t="s">
        <v>62</v>
      </c>
      <c r="C244" s="210" t="s">
        <v>554</v>
      </c>
      <c r="D244" s="214"/>
      <c r="E244" s="214">
        <v>2625000206001</v>
      </c>
      <c r="F244" s="209" t="s">
        <v>29</v>
      </c>
      <c r="G244" s="209" t="s">
        <v>53</v>
      </c>
      <c r="H244" s="209" t="s">
        <v>317</v>
      </c>
      <c r="I244" s="209" t="s">
        <v>318</v>
      </c>
      <c r="J244" s="209" t="s">
        <v>164</v>
      </c>
      <c r="K244" s="210" t="s">
        <v>34</v>
      </c>
      <c r="L244" s="210"/>
      <c r="M244" s="209" t="s">
        <v>35</v>
      </c>
      <c r="N244" s="209">
        <v>42318949</v>
      </c>
      <c r="O244" s="209" t="s">
        <v>36</v>
      </c>
      <c r="P244" s="213">
        <v>44606.51085648148</v>
      </c>
      <c r="Q244" s="209"/>
      <c r="R244" s="209" t="s">
        <v>38</v>
      </c>
      <c r="S244" s="209"/>
      <c r="T244" s="209" t="s">
        <v>74</v>
      </c>
      <c r="U244" s="213">
        <v>44649.75</v>
      </c>
      <c r="V244" s="209" t="s">
        <v>41</v>
      </c>
      <c r="W244" s="209" t="s">
        <v>49</v>
      </c>
      <c r="X244" s="13" t="str">
        <f>IF(RIGHT(H244,2)&lt;&gt;"00",H244,"")</f>
        <v/>
      </c>
      <c r="Y244" s="26">
        <f ca="1">NETWORKDAYS(P244,$Y$1)</f>
        <v>273</v>
      </c>
      <c r="Z244" s="34">
        <v>1</v>
      </c>
      <c r="AA244" s="25" t="str">
        <f t="shared" ca="1" si="18"/>
        <v>A VENCER</v>
      </c>
      <c r="AB244" s="25" t="str">
        <f t="shared" si="21"/>
        <v>Dosa</v>
      </c>
      <c r="AC244" s="2" t="str">
        <f t="shared" si="20"/>
        <v xml:space="preserve"> ROSEMERE </v>
      </c>
      <c r="AD244" s="26">
        <f t="shared" si="22"/>
        <v>5</v>
      </c>
      <c r="AE244" s="26">
        <f t="shared" ca="1" si="19"/>
        <v>380.1654151620387</v>
      </c>
      <c r="AF244" s="35"/>
    </row>
    <row r="245" spans="1:32" hidden="1">
      <c r="A245" s="209">
        <v>8430790</v>
      </c>
      <c r="B245" s="209" t="s">
        <v>62</v>
      </c>
      <c r="C245" s="210" t="s">
        <v>240</v>
      </c>
      <c r="D245" s="214"/>
      <c r="E245" s="214">
        <v>2069000203000</v>
      </c>
      <c r="F245" s="209" t="s">
        <v>454</v>
      </c>
      <c r="G245" s="209" t="s">
        <v>53</v>
      </c>
      <c r="H245" s="209" t="s">
        <v>557</v>
      </c>
      <c r="I245" s="209" t="s">
        <v>558</v>
      </c>
      <c r="J245" s="209" t="s">
        <v>90</v>
      </c>
      <c r="K245" s="210" t="s">
        <v>457</v>
      </c>
      <c r="L245" s="210"/>
      <c r="M245" s="209" t="s">
        <v>58</v>
      </c>
      <c r="N245" s="209">
        <v>0</v>
      </c>
      <c r="O245" s="209" t="s">
        <v>36</v>
      </c>
      <c r="P245" s="213">
        <v>44634.493680555555</v>
      </c>
      <c r="Q245" s="209"/>
      <c r="R245" s="209" t="s">
        <v>38</v>
      </c>
      <c r="S245" s="209"/>
      <c r="T245" s="209" t="s">
        <v>157</v>
      </c>
      <c r="U245" s="213">
        <v>44669.75</v>
      </c>
      <c r="V245" s="209" t="s">
        <v>41</v>
      </c>
      <c r="W245" s="209" t="s">
        <v>49</v>
      </c>
      <c r="X245" s="13" t="str">
        <f>IF(RIGHT(H245,2)&lt;&gt;"00",H245,"")</f>
        <v/>
      </c>
      <c r="Y245" s="26">
        <f ca="1">NETWORKDAYS(P245,$Y$1)</f>
        <v>253</v>
      </c>
      <c r="Z245" s="34">
        <v>1</v>
      </c>
      <c r="AA245" s="25" t="str">
        <f t="shared" ca="1" si="18"/>
        <v>A VENCER</v>
      </c>
      <c r="AB245" s="25" t="str">
        <f t="shared" si="21"/>
        <v>C-14</v>
      </c>
      <c r="AC245" s="2" t="str">
        <f t="shared" si="20"/>
        <v xml:space="preserve"> RINALDO </v>
      </c>
      <c r="AD245" s="26">
        <f t="shared" si="22"/>
        <v>5</v>
      </c>
      <c r="AE245" s="26">
        <f t="shared" ca="1" si="19"/>
        <v>352.18259108796337</v>
      </c>
      <c r="AF245" s="35"/>
    </row>
    <row r="246" spans="1:32" hidden="1">
      <c r="A246" s="209">
        <v>8443380</v>
      </c>
      <c r="B246" s="209" t="s">
        <v>62</v>
      </c>
      <c r="C246" s="210" t="s">
        <v>530</v>
      </c>
      <c r="D246" s="214"/>
      <c r="E246" s="214">
        <v>2669000203010</v>
      </c>
      <c r="F246" s="209" t="s">
        <v>152</v>
      </c>
      <c r="G246" s="209" t="s">
        <v>53</v>
      </c>
      <c r="H246" s="209" t="s">
        <v>561</v>
      </c>
      <c r="I246" s="209" t="s">
        <v>562</v>
      </c>
      <c r="J246" s="209" t="s">
        <v>261</v>
      </c>
      <c r="K246" s="210" t="s">
        <v>155</v>
      </c>
      <c r="L246" s="210"/>
      <c r="M246" s="209" t="s">
        <v>35</v>
      </c>
      <c r="N246" s="209">
        <v>42318949</v>
      </c>
      <c r="O246" s="209" t="s">
        <v>36</v>
      </c>
      <c r="P246" s="213">
        <v>44638.41883101852</v>
      </c>
      <c r="Q246" s="209"/>
      <c r="R246" s="209" t="s">
        <v>38</v>
      </c>
      <c r="S246" s="209"/>
      <c r="T246" s="209" t="s">
        <v>157</v>
      </c>
      <c r="U246" s="213">
        <v>44676.75</v>
      </c>
      <c r="V246" s="209" t="s">
        <v>41</v>
      </c>
      <c r="W246" s="209" t="s">
        <v>49</v>
      </c>
      <c r="X246" s="13" t="str">
        <f>IF(RIGHT(H246,2)&lt;&gt;"00",H246,"")</f>
        <v/>
      </c>
      <c r="Y246" s="26">
        <f ca="1">NETWORKDAYS(P246,$Y$1)</f>
        <v>249</v>
      </c>
      <c r="Z246" s="34">
        <v>1</v>
      </c>
      <c r="AA246" s="25" t="str">
        <f t="shared" ca="1" si="18"/>
        <v>A VENCER</v>
      </c>
      <c r="AB246" s="25" t="str">
        <f t="shared" si="21"/>
        <v>TAAe+</v>
      </c>
      <c r="AC246" s="2" t="str">
        <f t="shared" si="20"/>
        <v xml:space="preserve"> CRISTINA </v>
      </c>
      <c r="AD246" s="26">
        <f t="shared" si="22"/>
        <v>8</v>
      </c>
      <c r="AE246" s="26">
        <f t="shared" ca="1" si="19"/>
        <v>348.25744062499871</v>
      </c>
      <c r="AF246" s="35"/>
    </row>
    <row r="247" spans="1:32" hidden="1">
      <c r="A247" s="209">
        <v>8487590</v>
      </c>
      <c r="B247" s="209" t="s">
        <v>62</v>
      </c>
      <c r="C247" s="210" t="s">
        <v>3576</v>
      </c>
      <c r="D247" s="214"/>
      <c r="E247" s="214">
        <v>1902016053700</v>
      </c>
      <c r="F247" s="209" t="s">
        <v>64</v>
      </c>
      <c r="G247" s="209" t="s">
        <v>53</v>
      </c>
      <c r="H247" s="209" t="s">
        <v>442</v>
      </c>
      <c r="I247" s="209" t="s">
        <v>443</v>
      </c>
      <c r="J247" s="209" t="s">
        <v>79</v>
      </c>
      <c r="K247" s="210" t="s">
        <v>67</v>
      </c>
      <c r="L247" s="210"/>
      <c r="M247" s="209" t="s">
        <v>35</v>
      </c>
      <c r="N247" s="209">
        <v>42318949</v>
      </c>
      <c r="O247" s="209" t="s">
        <v>36</v>
      </c>
      <c r="P247" s="213">
        <v>44655.642384259256</v>
      </c>
      <c r="Q247" s="209"/>
      <c r="R247" s="209">
        <v>1</v>
      </c>
      <c r="S247" s="209"/>
      <c r="T247" s="209" t="s">
        <v>69</v>
      </c>
      <c r="U247" s="213">
        <v>44656.642384259256</v>
      </c>
      <c r="V247" s="209" t="s">
        <v>41</v>
      </c>
      <c r="W247" s="209" t="s">
        <v>49</v>
      </c>
      <c r="X247" s="13" t="str">
        <f>IF(RIGHT(H247,2)&lt;&gt;"00",H247,"")</f>
        <v/>
      </c>
      <c r="Y247" s="26">
        <f ca="1">NETWORKDAYS(P247,$Y$1)</f>
        <v>238</v>
      </c>
      <c r="Z247" s="34">
        <v>1</v>
      </c>
      <c r="AA247" s="25" t="str">
        <f t="shared" ca="1" si="18"/>
        <v>A VENCER</v>
      </c>
      <c r="AB247" s="25" t="str">
        <f t="shared" si="21"/>
        <v>TAAe+</v>
      </c>
      <c r="AC247" s="2" t="str">
        <f t="shared" si="20"/>
        <v xml:space="preserve"> ROSEMERE </v>
      </c>
      <c r="AD247" s="26">
        <f t="shared" si="22"/>
        <v>8</v>
      </c>
      <c r="AE247" s="26">
        <f t="shared" ca="1" si="19"/>
        <v>331.03388738426293</v>
      </c>
      <c r="AF247" s="35"/>
    </row>
    <row r="248" spans="1:32" hidden="1">
      <c r="A248" s="209">
        <v>8488912</v>
      </c>
      <c r="B248" s="209" t="s">
        <v>62</v>
      </c>
      <c r="C248" s="210" t="s">
        <v>3577</v>
      </c>
      <c r="D248" s="214"/>
      <c r="E248" s="214">
        <v>1902016192400</v>
      </c>
      <c r="F248" s="209" t="s">
        <v>64</v>
      </c>
      <c r="G248" s="209" t="s">
        <v>53</v>
      </c>
      <c r="H248" s="209" t="s">
        <v>568</v>
      </c>
      <c r="I248" s="209" t="s">
        <v>569</v>
      </c>
      <c r="J248" s="209" t="s">
        <v>33</v>
      </c>
      <c r="K248" s="210" t="s">
        <v>67</v>
      </c>
      <c r="L248" s="210"/>
      <c r="M248" s="209" t="s">
        <v>35</v>
      </c>
      <c r="N248" s="209">
        <v>42318949</v>
      </c>
      <c r="O248" s="209" t="s">
        <v>36</v>
      </c>
      <c r="P248" s="213">
        <v>44656.359432870369</v>
      </c>
      <c r="Q248" s="209"/>
      <c r="R248" s="209" t="s">
        <v>571</v>
      </c>
      <c r="S248" s="209"/>
      <c r="T248" s="209" t="s">
        <v>69</v>
      </c>
      <c r="U248" s="213">
        <v>44665.375</v>
      </c>
      <c r="V248" s="209" t="s">
        <v>41</v>
      </c>
      <c r="W248" s="209" t="s">
        <v>49</v>
      </c>
      <c r="X248" s="13" t="str">
        <f>IF(RIGHT(H248,2)&lt;&gt;"00",H248,"")</f>
        <v/>
      </c>
      <c r="Y248" s="26">
        <f ca="1">NETWORKDAYS(P248,$Y$1)</f>
        <v>237</v>
      </c>
      <c r="Z248" s="34">
        <v>1</v>
      </c>
      <c r="AA248" s="25" t="str">
        <f t="shared" ca="1" si="18"/>
        <v>A VENCER</v>
      </c>
      <c r="AB248" s="25" t="str">
        <f t="shared" si="21"/>
        <v>TAAe+</v>
      </c>
      <c r="AC248" s="2" t="str">
        <f t="shared" si="20"/>
        <v xml:space="preserve"> ROSEMERE </v>
      </c>
      <c r="AD248" s="26">
        <f t="shared" si="22"/>
        <v>8</v>
      </c>
      <c r="AE248" s="26">
        <f t="shared" ca="1" si="19"/>
        <v>330.31683877314936</v>
      </c>
      <c r="AF248" s="35"/>
    </row>
    <row r="249" spans="1:32" hidden="1">
      <c r="A249" s="209">
        <v>8555673</v>
      </c>
      <c r="B249" s="209" t="s">
        <v>101</v>
      </c>
      <c r="C249" s="210" t="s">
        <v>573</v>
      </c>
      <c r="D249" s="214"/>
      <c r="E249" s="214">
        <v>1120000206001</v>
      </c>
      <c r="F249" s="209" t="s">
        <v>29</v>
      </c>
      <c r="G249" s="209" t="s">
        <v>53</v>
      </c>
      <c r="H249" s="209" t="s">
        <v>181</v>
      </c>
      <c r="I249" s="209" t="s">
        <v>182</v>
      </c>
      <c r="J249" s="209" t="s">
        <v>164</v>
      </c>
      <c r="K249" s="210" t="s">
        <v>34</v>
      </c>
      <c r="L249" s="210"/>
      <c r="M249" s="209" t="s">
        <v>35</v>
      </c>
      <c r="N249" s="209">
        <v>42318949</v>
      </c>
      <c r="O249" s="209" t="s">
        <v>36</v>
      </c>
      <c r="P249" s="213">
        <v>44683.726759259262</v>
      </c>
      <c r="Q249" s="209"/>
      <c r="R249" s="209" t="s">
        <v>38</v>
      </c>
      <c r="S249" s="209"/>
      <c r="T249" s="209" t="s">
        <v>74</v>
      </c>
      <c r="U249" s="213">
        <v>44684.75</v>
      </c>
      <c r="V249" s="209" t="s">
        <v>41</v>
      </c>
      <c r="W249" s="209" t="s">
        <v>49</v>
      </c>
      <c r="X249" s="13" t="str">
        <f>IF(RIGHT(H249,2)&lt;&gt;"00",H249,"")</f>
        <v/>
      </c>
      <c r="Y249" s="26">
        <f ca="1">NETWORKDAYS(P249,$Y$1)</f>
        <v>218</v>
      </c>
      <c r="Z249" s="34">
        <v>1</v>
      </c>
      <c r="AA249" s="25" t="str">
        <f t="shared" ca="1" si="18"/>
        <v>A VENCER</v>
      </c>
      <c r="AB249" s="25" t="str">
        <f t="shared" si="21"/>
        <v>Dosa</v>
      </c>
      <c r="AC249" s="2" t="str">
        <f t="shared" si="20"/>
        <v xml:space="preserve"> ROSEMERE </v>
      </c>
      <c r="AD249" s="26">
        <f t="shared" si="22"/>
        <v>5</v>
      </c>
      <c r="AE249" s="26">
        <f t="shared" ca="1" si="19"/>
        <v>302.9495123842571</v>
      </c>
      <c r="AF249" s="35"/>
    </row>
    <row r="250" spans="1:32" hidden="1">
      <c r="A250" s="209">
        <v>8555672</v>
      </c>
      <c r="B250" s="209" t="s">
        <v>101</v>
      </c>
      <c r="C250" s="210" t="s">
        <v>573</v>
      </c>
      <c r="D250" s="214"/>
      <c r="E250" s="214">
        <v>1120000206001</v>
      </c>
      <c r="F250" s="209" t="s">
        <v>29</v>
      </c>
      <c r="G250" s="209" t="s">
        <v>53</v>
      </c>
      <c r="H250" s="209" t="s">
        <v>181</v>
      </c>
      <c r="I250" s="209" t="s">
        <v>182</v>
      </c>
      <c r="J250" s="209" t="s">
        <v>164</v>
      </c>
      <c r="K250" s="210" t="s">
        <v>34</v>
      </c>
      <c r="L250" s="210"/>
      <c r="M250" s="209" t="s">
        <v>35</v>
      </c>
      <c r="N250" s="209">
        <v>42318949</v>
      </c>
      <c r="O250" s="209" t="s">
        <v>36</v>
      </c>
      <c r="P250" s="213">
        <v>44683.726759259262</v>
      </c>
      <c r="Q250" s="209"/>
      <c r="R250" s="209" t="s">
        <v>38</v>
      </c>
      <c r="S250" s="209"/>
      <c r="T250" s="209" t="s">
        <v>74</v>
      </c>
      <c r="U250" s="213">
        <v>44684.75</v>
      </c>
      <c r="V250" s="209" t="s">
        <v>41</v>
      </c>
      <c r="W250" s="209" t="s">
        <v>49</v>
      </c>
      <c r="X250" s="13" t="str">
        <f>IF(RIGHT(H250,2)&lt;&gt;"00",H250,"")</f>
        <v/>
      </c>
      <c r="Y250" s="26">
        <f ca="1">NETWORKDAYS(P250,$Y$1)</f>
        <v>218</v>
      </c>
      <c r="Z250" s="34">
        <v>1</v>
      </c>
      <c r="AA250" s="25" t="str">
        <f t="shared" ca="1" si="18"/>
        <v>A VENCER</v>
      </c>
      <c r="AB250" s="25" t="str">
        <f t="shared" si="21"/>
        <v>Dosa</v>
      </c>
      <c r="AC250" s="2" t="str">
        <f t="shared" si="20"/>
        <v xml:space="preserve"> ROSEMERE </v>
      </c>
      <c r="AD250" s="26">
        <f t="shared" si="22"/>
        <v>5</v>
      </c>
      <c r="AE250" s="26">
        <f t="shared" ca="1" si="19"/>
        <v>302.9495123842571</v>
      </c>
      <c r="AF250" s="35"/>
    </row>
    <row r="251" spans="1:32" hidden="1">
      <c r="A251" s="209">
        <v>8555626</v>
      </c>
      <c r="B251" s="209" t="s">
        <v>101</v>
      </c>
      <c r="C251" s="210" t="s">
        <v>573</v>
      </c>
      <c r="D251" s="214"/>
      <c r="E251" s="214">
        <v>1058000206001</v>
      </c>
      <c r="F251" s="209" t="s">
        <v>29</v>
      </c>
      <c r="G251" s="209" t="s">
        <v>53</v>
      </c>
      <c r="H251" s="209" t="s">
        <v>289</v>
      </c>
      <c r="I251" s="209" t="s">
        <v>290</v>
      </c>
      <c r="J251" s="209" t="s">
        <v>56</v>
      </c>
      <c r="K251" s="210" t="s">
        <v>34</v>
      </c>
      <c r="L251" s="210"/>
      <c r="M251" s="209" t="s">
        <v>35</v>
      </c>
      <c r="N251" s="209">
        <v>42318949</v>
      </c>
      <c r="O251" s="209" t="s">
        <v>36</v>
      </c>
      <c r="P251" s="213">
        <v>44683.726666666669</v>
      </c>
      <c r="Q251" s="209"/>
      <c r="R251" s="209" t="s">
        <v>38</v>
      </c>
      <c r="S251" s="209"/>
      <c r="T251" s="209" t="s">
        <v>74</v>
      </c>
      <c r="U251" s="213">
        <v>44684.75</v>
      </c>
      <c r="V251" s="209" t="s">
        <v>41</v>
      </c>
      <c r="W251" s="209" t="s">
        <v>49</v>
      </c>
      <c r="X251" s="13" t="str">
        <f>IF(RIGHT(H251,2)&lt;&gt;"00",H251,"")</f>
        <v/>
      </c>
      <c r="Y251" s="26">
        <f ca="1">NETWORKDAYS(P251,$Y$1)</f>
        <v>218</v>
      </c>
      <c r="Z251" s="34">
        <v>1</v>
      </c>
      <c r="AA251" s="25" t="str">
        <f t="shared" ca="1" si="18"/>
        <v>A VENCER</v>
      </c>
      <c r="AB251" s="25" t="str">
        <f t="shared" si="21"/>
        <v>Dosa</v>
      </c>
      <c r="AC251" s="2" t="str">
        <f t="shared" si="20"/>
        <v xml:space="preserve"> CRISTINA </v>
      </c>
      <c r="AD251" s="26">
        <f t="shared" si="22"/>
        <v>5</v>
      </c>
      <c r="AE251" s="26">
        <f t="shared" ca="1" si="19"/>
        <v>302.94960497684951</v>
      </c>
      <c r="AF251" s="35"/>
    </row>
    <row r="252" spans="1:32" hidden="1">
      <c r="A252" s="209">
        <v>8555625</v>
      </c>
      <c r="B252" s="209" t="s">
        <v>101</v>
      </c>
      <c r="C252" s="210" t="s">
        <v>573</v>
      </c>
      <c r="D252" s="214"/>
      <c r="E252" s="214">
        <v>1058000206001</v>
      </c>
      <c r="F252" s="209" t="s">
        <v>29</v>
      </c>
      <c r="G252" s="209" t="s">
        <v>53</v>
      </c>
      <c r="H252" s="209" t="s">
        <v>289</v>
      </c>
      <c r="I252" s="209" t="s">
        <v>290</v>
      </c>
      <c r="J252" s="209" t="s">
        <v>56</v>
      </c>
      <c r="K252" s="210" t="s">
        <v>34</v>
      </c>
      <c r="L252" s="210"/>
      <c r="M252" s="209" t="s">
        <v>35</v>
      </c>
      <c r="N252" s="209">
        <v>42318949</v>
      </c>
      <c r="O252" s="209" t="s">
        <v>36</v>
      </c>
      <c r="P252" s="213">
        <v>44683.726655092592</v>
      </c>
      <c r="Q252" s="209"/>
      <c r="R252" s="209" t="s">
        <v>38</v>
      </c>
      <c r="S252" s="209"/>
      <c r="T252" s="209" t="s">
        <v>74</v>
      </c>
      <c r="U252" s="213">
        <v>44684.75</v>
      </c>
      <c r="V252" s="209" t="s">
        <v>41</v>
      </c>
      <c r="W252" s="209" t="s">
        <v>49</v>
      </c>
      <c r="X252" s="13" t="str">
        <f>IF(RIGHT(H252,2)&lt;&gt;"00",H252,"")</f>
        <v/>
      </c>
      <c r="Y252" s="26">
        <f ca="1">NETWORKDAYS(P252,$Y$1)</f>
        <v>218</v>
      </c>
      <c r="Z252" s="34">
        <v>1</v>
      </c>
      <c r="AA252" s="25" t="str">
        <f t="shared" ca="1" si="18"/>
        <v>A VENCER</v>
      </c>
      <c r="AB252" s="25" t="str">
        <f t="shared" si="21"/>
        <v>Dosa</v>
      </c>
      <c r="AC252" s="2" t="str">
        <f t="shared" si="20"/>
        <v xml:space="preserve"> CRISTINA </v>
      </c>
      <c r="AD252" s="26">
        <f t="shared" si="22"/>
        <v>5</v>
      </c>
      <c r="AE252" s="26">
        <f t="shared" ca="1" si="19"/>
        <v>302.94961655092629</v>
      </c>
      <c r="AF252" s="35"/>
    </row>
    <row r="253" spans="1:32" hidden="1">
      <c r="A253" s="209">
        <v>8555624</v>
      </c>
      <c r="B253" s="209" t="s">
        <v>101</v>
      </c>
      <c r="C253" s="210" t="s">
        <v>573</v>
      </c>
      <c r="D253" s="214"/>
      <c r="E253" s="214">
        <v>1058000206001</v>
      </c>
      <c r="F253" s="209" t="s">
        <v>29</v>
      </c>
      <c r="G253" s="209" t="s">
        <v>53</v>
      </c>
      <c r="H253" s="209" t="s">
        <v>289</v>
      </c>
      <c r="I253" s="209" t="s">
        <v>290</v>
      </c>
      <c r="J253" s="209" t="s">
        <v>56</v>
      </c>
      <c r="K253" s="210" t="s">
        <v>34</v>
      </c>
      <c r="L253" s="210"/>
      <c r="M253" s="209" t="s">
        <v>35</v>
      </c>
      <c r="N253" s="209">
        <v>42318949</v>
      </c>
      <c r="O253" s="209" t="s">
        <v>36</v>
      </c>
      <c r="P253" s="213">
        <v>44683.726655092592</v>
      </c>
      <c r="Q253" s="209"/>
      <c r="R253" s="209" t="s">
        <v>38</v>
      </c>
      <c r="S253" s="209"/>
      <c r="T253" s="209" t="s">
        <v>74</v>
      </c>
      <c r="U253" s="213">
        <v>44684.75</v>
      </c>
      <c r="V253" s="209" t="s">
        <v>41</v>
      </c>
      <c r="W253" s="209" t="s">
        <v>49</v>
      </c>
      <c r="X253" s="13" t="str">
        <f>IF(RIGHT(H253,2)&lt;&gt;"00",H253,"")</f>
        <v/>
      </c>
      <c r="Y253" s="26">
        <f ca="1">NETWORKDAYS(P253,$Y$1)</f>
        <v>218</v>
      </c>
      <c r="Z253" s="34">
        <v>1</v>
      </c>
      <c r="AA253" s="25" t="str">
        <f t="shared" ca="1" si="18"/>
        <v>A VENCER</v>
      </c>
      <c r="AB253" s="25" t="str">
        <f t="shared" si="21"/>
        <v>Dosa</v>
      </c>
      <c r="AC253" s="2" t="str">
        <f t="shared" si="20"/>
        <v xml:space="preserve"> CRISTINA </v>
      </c>
      <c r="AD253" s="26">
        <f t="shared" si="22"/>
        <v>5</v>
      </c>
      <c r="AE253" s="26">
        <f t="shared" ca="1" si="19"/>
        <v>302.94961655092629</v>
      </c>
      <c r="AF253" s="35"/>
    </row>
    <row r="254" spans="1:32" hidden="1">
      <c r="A254" s="209">
        <v>8555329</v>
      </c>
      <c r="B254" s="209" t="s">
        <v>101</v>
      </c>
      <c r="C254" s="210" t="s">
        <v>573</v>
      </c>
      <c r="D254" s="214"/>
      <c r="E254" s="214">
        <v>537000206001</v>
      </c>
      <c r="F254" s="209" t="s">
        <v>29</v>
      </c>
      <c r="G254" s="209" t="s">
        <v>53</v>
      </c>
      <c r="H254" s="209" t="s">
        <v>442</v>
      </c>
      <c r="I254" s="209" t="s">
        <v>443</v>
      </c>
      <c r="J254" s="209" t="s">
        <v>79</v>
      </c>
      <c r="K254" s="210" t="s">
        <v>34</v>
      </c>
      <c r="L254" s="210"/>
      <c r="M254" s="209" t="s">
        <v>35</v>
      </c>
      <c r="N254" s="209">
        <v>42318949</v>
      </c>
      <c r="O254" s="209" t="s">
        <v>36</v>
      </c>
      <c r="P254" s="213">
        <v>44683.72587962963</v>
      </c>
      <c r="Q254" s="209"/>
      <c r="R254" s="209" t="s">
        <v>38</v>
      </c>
      <c r="S254" s="209"/>
      <c r="T254" s="209" t="s">
        <v>74</v>
      </c>
      <c r="U254" s="213">
        <v>44684.75</v>
      </c>
      <c r="V254" s="209" t="s">
        <v>41</v>
      </c>
      <c r="W254" s="209" t="s">
        <v>49</v>
      </c>
      <c r="X254" s="13" t="str">
        <f>IF(RIGHT(H254,2)&lt;&gt;"00",H254,"")</f>
        <v/>
      </c>
      <c r="Y254" s="26">
        <f ca="1">NETWORKDAYS(P254,$Y$1)</f>
        <v>218</v>
      </c>
      <c r="Z254" s="34">
        <v>1</v>
      </c>
      <c r="AA254" s="25" t="str">
        <f t="shared" ca="1" si="18"/>
        <v>A VENCER</v>
      </c>
      <c r="AB254" s="25" t="str">
        <f t="shared" si="21"/>
        <v>Dosa</v>
      </c>
      <c r="AC254" s="2" t="str">
        <f t="shared" si="20"/>
        <v xml:space="preserve"> ROSEMERE </v>
      </c>
      <c r="AD254" s="26">
        <f t="shared" si="22"/>
        <v>5</v>
      </c>
      <c r="AE254" s="26">
        <f t="shared" ca="1" si="19"/>
        <v>302.95039201388863</v>
      </c>
      <c r="AF254" s="35"/>
    </row>
    <row r="255" spans="1:32" hidden="1">
      <c r="A255" s="209">
        <v>8591589</v>
      </c>
      <c r="B255" s="209" t="s">
        <v>27</v>
      </c>
      <c r="C255" s="210" t="s">
        <v>577</v>
      </c>
      <c r="D255" s="214"/>
      <c r="E255" s="214">
        <v>9703000206201</v>
      </c>
      <c r="F255" s="209" t="s">
        <v>208</v>
      </c>
      <c r="G255" s="209" t="s">
        <v>53</v>
      </c>
      <c r="H255" s="209" t="s">
        <v>494</v>
      </c>
      <c r="I255" s="209" t="s">
        <v>495</v>
      </c>
      <c r="J255" s="209" t="s">
        <v>79</v>
      </c>
      <c r="K255" s="210" t="s">
        <v>212</v>
      </c>
      <c r="L255" s="210"/>
      <c r="M255" s="209" t="s">
        <v>35</v>
      </c>
      <c r="N255" s="209">
        <v>42318949</v>
      </c>
      <c r="O255" s="209" t="s">
        <v>36</v>
      </c>
      <c r="P255" s="213">
        <v>44697.547592592593</v>
      </c>
      <c r="Q255" s="209"/>
      <c r="R255" s="209" t="s">
        <v>38</v>
      </c>
      <c r="S255" s="209"/>
      <c r="T255" s="209" t="s">
        <v>74</v>
      </c>
      <c r="U255" s="213">
        <v>44739.75</v>
      </c>
      <c r="V255" s="209" t="s">
        <v>41</v>
      </c>
      <c r="W255" s="209" t="s">
        <v>49</v>
      </c>
      <c r="X255" s="13" t="str">
        <f>IF(RIGHT(H255,2)&lt;&gt;"00",H255,"")</f>
        <v/>
      </c>
      <c r="Y255" s="26">
        <f ca="1">NETWORKDAYS(P255,$Y$1)</f>
        <v>208</v>
      </c>
      <c r="Z255" s="34">
        <v>1</v>
      </c>
      <c r="AA255" s="25" t="str">
        <f t="shared" ca="1" si="18"/>
        <v>A VENCER</v>
      </c>
      <c r="AB255" s="25" t="str">
        <f t="shared" si="21"/>
        <v>TAAe+</v>
      </c>
      <c r="AC255" s="2" t="str">
        <f t="shared" si="20"/>
        <v xml:space="preserve"> ROSEMERE </v>
      </c>
      <c r="AD255" s="26">
        <f t="shared" si="22"/>
        <v>8</v>
      </c>
      <c r="AE255" s="26">
        <f t="shared" ca="1" si="19"/>
        <v>289.12867905092571</v>
      </c>
      <c r="AF255" s="35"/>
    </row>
    <row r="256" spans="1:32" hidden="1">
      <c r="A256" s="209">
        <v>8600371</v>
      </c>
      <c r="B256" s="209" t="s">
        <v>62</v>
      </c>
      <c r="C256" s="210" t="s">
        <v>578</v>
      </c>
      <c r="D256" s="214"/>
      <c r="E256" s="214">
        <v>2437000203000</v>
      </c>
      <c r="F256" s="209" t="s">
        <v>454</v>
      </c>
      <c r="G256" s="209" t="s">
        <v>53</v>
      </c>
      <c r="H256" s="209" t="s">
        <v>416</v>
      </c>
      <c r="I256" s="209" t="s">
        <v>417</v>
      </c>
      <c r="J256" s="209" t="s">
        <v>211</v>
      </c>
      <c r="K256" s="210" t="s">
        <v>457</v>
      </c>
      <c r="L256" s="210"/>
      <c r="M256" s="209" t="s">
        <v>58</v>
      </c>
      <c r="N256" s="209">
        <v>0</v>
      </c>
      <c r="O256" s="209" t="s">
        <v>36</v>
      </c>
      <c r="P256" s="213">
        <v>44700.687164351853</v>
      </c>
      <c r="Q256" s="209"/>
      <c r="R256" s="209">
        <v>1</v>
      </c>
      <c r="S256" s="209"/>
      <c r="T256" s="209" t="s">
        <v>157</v>
      </c>
      <c r="U256" s="213">
        <v>44735.75</v>
      </c>
      <c r="V256" s="209" t="s">
        <v>41</v>
      </c>
      <c r="W256" s="209" t="s">
        <v>49</v>
      </c>
      <c r="X256" s="13" t="str">
        <f>IF(RIGHT(H256,2)&lt;&gt;"00",H256,"")</f>
        <v/>
      </c>
      <c r="Y256" s="26">
        <f ca="1">NETWORKDAYS(P256,$Y$1)</f>
        <v>205</v>
      </c>
      <c r="Z256" s="34">
        <v>1</v>
      </c>
      <c r="AA256" s="25" t="str">
        <f t="shared" ca="1" si="18"/>
        <v>A VENCER</v>
      </c>
      <c r="AB256" s="25" t="str">
        <f t="shared" si="21"/>
        <v>C-14</v>
      </c>
      <c r="AC256" s="2" t="str">
        <f t="shared" si="20"/>
        <v xml:space="preserve"> RINALDO </v>
      </c>
      <c r="AD256" s="26">
        <f t="shared" si="22"/>
        <v>5</v>
      </c>
      <c r="AE256" s="26">
        <f t="shared" ca="1" si="19"/>
        <v>285.98910729166528</v>
      </c>
      <c r="AF256" s="35"/>
    </row>
    <row r="257" spans="1:32" hidden="1">
      <c r="A257" s="209">
        <v>8624265</v>
      </c>
      <c r="B257" s="209" t="s">
        <v>27</v>
      </c>
      <c r="C257" s="210" t="s">
        <v>186</v>
      </c>
      <c r="D257" s="214"/>
      <c r="E257" s="214">
        <v>2413000206001</v>
      </c>
      <c r="F257" s="209" t="s">
        <v>29</v>
      </c>
      <c r="G257" s="209" t="s">
        <v>53</v>
      </c>
      <c r="H257" s="209" t="s">
        <v>505</v>
      </c>
      <c r="I257" s="209" t="s">
        <v>506</v>
      </c>
      <c r="J257" s="209" t="s">
        <v>141</v>
      </c>
      <c r="K257" s="210" t="s">
        <v>34</v>
      </c>
      <c r="L257" s="210"/>
      <c r="M257" s="209" t="s">
        <v>35</v>
      </c>
      <c r="N257" s="209">
        <v>42318949</v>
      </c>
      <c r="O257" s="209" t="s">
        <v>105</v>
      </c>
      <c r="P257" s="213">
        <v>44711.655636574076</v>
      </c>
      <c r="Q257" s="209"/>
      <c r="R257" s="209" t="s">
        <v>38</v>
      </c>
      <c r="S257" s="209"/>
      <c r="T257" s="209" t="s">
        <v>74</v>
      </c>
      <c r="U257" s="213">
        <v>44711.75</v>
      </c>
      <c r="V257" s="209" t="s">
        <v>41</v>
      </c>
      <c r="W257" s="209" t="s">
        <v>49</v>
      </c>
      <c r="X257" s="13" t="str">
        <f>IF(RIGHT(H257,2)&lt;&gt;"00",H257,"")</f>
        <v/>
      </c>
      <c r="Y257" s="26">
        <f ca="1">NETWORKDAYS(P257,$Y$1)</f>
        <v>198</v>
      </c>
      <c r="Z257" s="34">
        <v>1</v>
      </c>
      <c r="AA257" s="25" t="str">
        <f t="shared" ca="1" si="18"/>
        <v>A VENCER</v>
      </c>
      <c r="AB257" s="25" t="str">
        <f t="shared" si="21"/>
        <v>Dosa</v>
      </c>
      <c r="AC257" s="2" t="str">
        <f t="shared" si="20"/>
        <v xml:space="preserve"> CRISTINA </v>
      </c>
      <c r="AD257" s="26">
        <f t="shared" si="22"/>
        <v>5</v>
      </c>
      <c r="AE257" s="26">
        <f t="shared" ca="1" si="19"/>
        <v>275.02063506944251</v>
      </c>
      <c r="AF257" s="35"/>
    </row>
    <row r="258" spans="1:32" hidden="1">
      <c r="A258" s="209">
        <v>8624202</v>
      </c>
      <c r="B258" s="209" t="s">
        <v>27</v>
      </c>
      <c r="C258" s="210" t="s">
        <v>186</v>
      </c>
      <c r="D258" s="214"/>
      <c r="E258" s="214">
        <v>673000206001</v>
      </c>
      <c r="F258" s="209" t="s">
        <v>29</v>
      </c>
      <c r="G258" s="209" t="s">
        <v>53</v>
      </c>
      <c r="H258" s="209" t="s">
        <v>581</v>
      </c>
      <c r="I258" s="209" t="s">
        <v>582</v>
      </c>
      <c r="J258" s="209" t="s">
        <v>110</v>
      </c>
      <c r="K258" s="210" t="s">
        <v>34</v>
      </c>
      <c r="L258" s="210"/>
      <c r="M258" s="209" t="s">
        <v>35</v>
      </c>
      <c r="N258" s="209">
        <v>42318949</v>
      </c>
      <c r="O258" s="209" t="s">
        <v>36</v>
      </c>
      <c r="P258" s="213">
        <v>44711.655486111114</v>
      </c>
      <c r="Q258" s="209"/>
      <c r="R258" s="209" t="s">
        <v>38</v>
      </c>
      <c r="S258" s="209"/>
      <c r="T258" s="209" t="s">
        <v>74</v>
      </c>
      <c r="U258" s="213">
        <v>44711.75</v>
      </c>
      <c r="V258" s="209" t="s">
        <v>41</v>
      </c>
      <c r="W258" s="209" t="s">
        <v>49</v>
      </c>
      <c r="X258" s="13" t="str">
        <f>IF(RIGHT(H258,2)&lt;&gt;"00",H258,"")</f>
        <v/>
      </c>
      <c r="Y258" s="26">
        <f ca="1">NETWORKDAYS(P258,$Y$1)</f>
        <v>198</v>
      </c>
      <c r="Z258" s="34">
        <v>1</v>
      </c>
      <c r="AA258" s="25" t="str">
        <f t="shared" ref="AA258:AA321" ca="1" si="23">IF(AE258=0,"HOJE",IF(AE258&gt;0,"A VENCER",IF(AE258&lt;0,"VENCIDO")))</f>
        <v>A VENCER</v>
      </c>
      <c r="AB258" s="25" t="str">
        <f t="shared" si="21"/>
        <v>Dosa</v>
      </c>
      <c r="AC258" s="2" t="str">
        <f t="shared" si="20"/>
        <v xml:space="preserve"> CRISTINA </v>
      </c>
      <c r="AD258" s="26">
        <f t="shared" si="22"/>
        <v>5</v>
      </c>
      <c r="AE258" s="26">
        <f t="shared" ref="AE258:AE321" ca="1" si="24">IF(P258=$AE$1,"",$AE$1-P258)</f>
        <v>275.02078553240426</v>
      </c>
      <c r="AF258" s="35"/>
    </row>
    <row r="259" spans="1:32" hidden="1">
      <c r="A259" s="209">
        <v>8624200</v>
      </c>
      <c r="B259" s="209" t="s">
        <v>27</v>
      </c>
      <c r="C259" s="210" t="s">
        <v>186</v>
      </c>
      <c r="D259" s="214"/>
      <c r="E259" s="214">
        <v>7710206001</v>
      </c>
      <c r="F259" s="209" t="s">
        <v>29</v>
      </c>
      <c r="G259" s="209" t="s">
        <v>53</v>
      </c>
      <c r="H259" s="209" t="s">
        <v>228</v>
      </c>
      <c r="I259" s="209" t="s">
        <v>229</v>
      </c>
      <c r="J259" s="209" t="s">
        <v>46</v>
      </c>
      <c r="K259" s="210" t="s">
        <v>34</v>
      </c>
      <c r="L259" s="210"/>
      <c r="M259" s="209" t="s">
        <v>35</v>
      </c>
      <c r="N259" s="209">
        <v>42318949</v>
      </c>
      <c r="O259" s="209" t="s">
        <v>105</v>
      </c>
      <c r="P259" s="213">
        <v>44711.655474537038</v>
      </c>
      <c r="Q259" s="209"/>
      <c r="R259" s="209" t="s">
        <v>38</v>
      </c>
      <c r="S259" s="209"/>
      <c r="T259" s="209" t="s">
        <v>74</v>
      </c>
      <c r="U259" s="213">
        <v>44711.75</v>
      </c>
      <c r="V259" s="209" t="s">
        <v>41</v>
      </c>
      <c r="W259" s="209" t="s">
        <v>49</v>
      </c>
      <c r="X259" s="13" t="str">
        <f>IF(RIGHT(H259,2)&lt;&gt;"00",H259,"")</f>
        <v>0007.71</v>
      </c>
      <c r="Y259" s="26">
        <f ca="1">NETWORKDAYS(P259,$Y$1)</f>
        <v>198</v>
      </c>
      <c r="Z259" s="34">
        <v>1</v>
      </c>
      <c r="AA259" s="25" t="str">
        <f t="shared" ca="1" si="23"/>
        <v>A VENCER</v>
      </c>
      <c r="AB259" s="25" t="str">
        <f t="shared" si="21"/>
        <v>Dosa</v>
      </c>
      <c r="AC259" s="2" t="str">
        <f t="shared" ref="AC259:AC322" si="25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 xml:space="preserve"> CLEITON </v>
      </c>
      <c r="AD259" s="26">
        <f t="shared" si="22"/>
        <v>5</v>
      </c>
      <c r="AE259" s="26">
        <f t="shared" ca="1" si="24"/>
        <v>275.02079710648104</v>
      </c>
      <c r="AF259" s="35"/>
    </row>
    <row r="260" spans="1:32" hidden="1">
      <c r="A260" s="209">
        <v>8624105</v>
      </c>
      <c r="B260" s="209" t="s">
        <v>27</v>
      </c>
      <c r="C260" s="210" t="s">
        <v>186</v>
      </c>
      <c r="D260" s="214"/>
      <c r="E260" s="214">
        <v>3504000206001</v>
      </c>
      <c r="F260" s="209" t="s">
        <v>29</v>
      </c>
      <c r="G260" s="209" t="s">
        <v>53</v>
      </c>
      <c r="H260" s="209" t="s">
        <v>585</v>
      </c>
      <c r="I260" s="209" t="s">
        <v>586</v>
      </c>
      <c r="J260" s="209" t="s">
        <v>46</v>
      </c>
      <c r="K260" s="210" t="s">
        <v>34</v>
      </c>
      <c r="L260" s="210"/>
      <c r="M260" s="209" t="s">
        <v>35</v>
      </c>
      <c r="N260" s="209">
        <v>42318949</v>
      </c>
      <c r="O260" s="209" t="s">
        <v>105</v>
      </c>
      <c r="P260" s="213">
        <v>44711.655358796299</v>
      </c>
      <c r="Q260" s="209"/>
      <c r="R260" s="209" t="s">
        <v>38</v>
      </c>
      <c r="S260" s="209"/>
      <c r="T260" s="209" t="s">
        <v>74</v>
      </c>
      <c r="U260" s="213">
        <v>44711.75</v>
      </c>
      <c r="V260" s="209" t="s">
        <v>41</v>
      </c>
      <c r="W260" s="209" t="s">
        <v>49</v>
      </c>
      <c r="X260" s="13" t="str">
        <f>IF(RIGHT(H260,2)&lt;&gt;"00",H260,"")</f>
        <v/>
      </c>
      <c r="Y260" s="26">
        <f ca="1">NETWORKDAYS(P260,$Y$1)</f>
        <v>198</v>
      </c>
      <c r="Z260" s="34">
        <v>1</v>
      </c>
      <c r="AA260" s="25" t="str">
        <f t="shared" ca="1" si="23"/>
        <v>A VENCER</v>
      </c>
      <c r="AB260" s="25" t="str">
        <f t="shared" si="21"/>
        <v>Dosa</v>
      </c>
      <c r="AC260" s="2" t="str">
        <f t="shared" si="25"/>
        <v xml:space="preserve"> CLEITON </v>
      </c>
      <c r="AD260" s="26">
        <f t="shared" si="22"/>
        <v>5</v>
      </c>
      <c r="AE260" s="26">
        <f t="shared" ca="1" si="24"/>
        <v>275.02091284721973</v>
      </c>
      <c r="AF260" s="35"/>
    </row>
    <row r="261" spans="1:32" hidden="1">
      <c r="A261" s="209">
        <v>8624102</v>
      </c>
      <c r="B261" s="209" t="s">
        <v>27</v>
      </c>
      <c r="C261" s="210" t="s">
        <v>186</v>
      </c>
      <c r="D261" s="214"/>
      <c r="E261" s="214">
        <v>220000206001</v>
      </c>
      <c r="F261" s="209" t="s">
        <v>29</v>
      </c>
      <c r="G261" s="209" t="s">
        <v>53</v>
      </c>
      <c r="H261" s="209" t="s">
        <v>588</v>
      </c>
      <c r="I261" s="209" t="s">
        <v>589</v>
      </c>
      <c r="J261" s="209" t="s">
        <v>110</v>
      </c>
      <c r="K261" s="210" t="s">
        <v>34</v>
      </c>
      <c r="L261" s="210"/>
      <c r="M261" s="209" t="s">
        <v>35</v>
      </c>
      <c r="N261" s="209">
        <v>42318949</v>
      </c>
      <c r="O261" s="209" t="s">
        <v>105</v>
      </c>
      <c r="P261" s="213">
        <v>44711.655358796299</v>
      </c>
      <c r="Q261" s="209"/>
      <c r="R261" s="209" t="s">
        <v>38</v>
      </c>
      <c r="S261" s="209"/>
      <c r="T261" s="209" t="s">
        <v>74</v>
      </c>
      <c r="U261" s="213">
        <v>44711.75</v>
      </c>
      <c r="V261" s="209" t="s">
        <v>41</v>
      </c>
      <c r="W261" s="209" t="s">
        <v>49</v>
      </c>
      <c r="X261" s="13" t="str">
        <f>IF(RIGHT(H261,2)&lt;&gt;"00",H261,"")</f>
        <v/>
      </c>
      <c r="Y261" s="26">
        <f ca="1">NETWORKDAYS(P261,$Y$1)</f>
        <v>198</v>
      </c>
      <c r="Z261" s="34">
        <v>1</v>
      </c>
      <c r="AA261" s="25" t="str">
        <f t="shared" ca="1" si="23"/>
        <v>A VENCER</v>
      </c>
      <c r="AB261" s="25" t="str">
        <f t="shared" si="21"/>
        <v>Dosa</v>
      </c>
      <c r="AC261" s="2" t="str">
        <f t="shared" si="25"/>
        <v xml:space="preserve"> CRISTINA </v>
      </c>
      <c r="AD261" s="26">
        <f t="shared" si="22"/>
        <v>5</v>
      </c>
      <c r="AE261" s="26">
        <f t="shared" ca="1" si="24"/>
        <v>275.02091284721973</v>
      </c>
      <c r="AF261" s="35"/>
    </row>
    <row r="262" spans="1:32" hidden="1">
      <c r="A262" s="209">
        <v>8624013</v>
      </c>
      <c r="B262" s="209" t="s">
        <v>27</v>
      </c>
      <c r="C262" s="210" t="s">
        <v>186</v>
      </c>
      <c r="D262" s="214"/>
      <c r="E262" s="214">
        <v>2081000206001</v>
      </c>
      <c r="F262" s="209" t="s">
        <v>29</v>
      </c>
      <c r="G262" s="209" t="s">
        <v>53</v>
      </c>
      <c r="H262" s="209" t="s">
        <v>590</v>
      </c>
      <c r="I262" s="209" t="s">
        <v>591</v>
      </c>
      <c r="J262" s="209" t="s">
        <v>261</v>
      </c>
      <c r="K262" s="210" t="s">
        <v>34</v>
      </c>
      <c r="L262" s="210"/>
      <c r="M262" s="209" t="s">
        <v>35</v>
      </c>
      <c r="N262" s="209">
        <v>42318949</v>
      </c>
      <c r="O262" s="209" t="s">
        <v>105</v>
      </c>
      <c r="P262" s="213">
        <v>44711.65525462963</v>
      </c>
      <c r="Q262" s="209"/>
      <c r="R262" s="209" t="s">
        <v>38</v>
      </c>
      <c r="S262" s="209"/>
      <c r="T262" s="209" t="s">
        <v>74</v>
      </c>
      <c r="U262" s="213">
        <v>44711.75</v>
      </c>
      <c r="V262" s="209" t="s">
        <v>41</v>
      </c>
      <c r="W262" s="209" t="s">
        <v>49</v>
      </c>
      <c r="X262" s="13" t="str">
        <f>IF(RIGHT(H262,2)&lt;&gt;"00",H262,"")</f>
        <v/>
      </c>
      <c r="Y262" s="26">
        <f ca="1">NETWORKDAYS(P262,$Y$1)</f>
        <v>198</v>
      </c>
      <c r="Z262" s="34">
        <v>1</v>
      </c>
      <c r="AA262" s="25" t="str">
        <f t="shared" ca="1" si="23"/>
        <v>A VENCER</v>
      </c>
      <c r="AB262" s="25" t="str">
        <f t="shared" si="21"/>
        <v>Dosa</v>
      </c>
      <c r="AC262" s="2" t="str">
        <f t="shared" si="25"/>
        <v xml:space="preserve"> CRISTINA </v>
      </c>
      <c r="AD262" s="26">
        <f t="shared" si="22"/>
        <v>5</v>
      </c>
      <c r="AE262" s="26">
        <f t="shared" ca="1" si="24"/>
        <v>275.02101701388892</v>
      </c>
      <c r="AF262" s="35"/>
    </row>
    <row r="263" spans="1:32" hidden="1">
      <c r="A263" s="209">
        <v>8623899</v>
      </c>
      <c r="B263" s="209" t="s">
        <v>27</v>
      </c>
      <c r="C263" s="210" t="s">
        <v>186</v>
      </c>
      <c r="D263" s="214"/>
      <c r="E263" s="214">
        <v>1358000206001</v>
      </c>
      <c r="F263" s="209" t="s">
        <v>29</v>
      </c>
      <c r="G263" s="209" t="s">
        <v>53</v>
      </c>
      <c r="H263" s="209" t="s">
        <v>593</v>
      </c>
      <c r="I263" s="209" t="s">
        <v>594</v>
      </c>
      <c r="J263" s="209" t="s">
        <v>261</v>
      </c>
      <c r="K263" s="210" t="s">
        <v>34</v>
      </c>
      <c r="L263" s="210"/>
      <c r="M263" s="209" t="s">
        <v>35</v>
      </c>
      <c r="N263" s="209">
        <v>42318949</v>
      </c>
      <c r="O263" s="209" t="s">
        <v>105</v>
      </c>
      <c r="P263" s="213">
        <v>44711.655104166668</v>
      </c>
      <c r="Q263" s="209"/>
      <c r="R263" s="209" t="s">
        <v>38</v>
      </c>
      <c r="S263" s="209"/>
      <c r="T263" s="209" t="s">
        <v>74</v>
      </c>
      <c r="U263" s="213">
        <v>44711.75</v>
      </c>
      <c r="V263" s="209" t="s">
        <v>41</v>
      </c>
      <c r="W263" s="209" t="s">
        <v>49</v>
      </c>
      <c r="X263" s="13" t="str">
        <f>IF(RIGHT(H263,2)&lt;&gt;"00",H263,"")</f>
        <v/>
      </c>
      <c r="Y263" s="26">
        <f ca="1">NETWORKDAYS(P263,$Y$1)</f>
        <v>198</v>
      </c>
      <c r="Z263" s="34">
        <v>1</v>
      </c>
      <c r="AA263" s="25" t="str">
        <f t="shared" ca="1" si="23"/>
        <v>A VENCER</v>
      </c>
      <c r="AB263" s="25" t="str">
        <f t="shared" si="21"/>
        <v>Dosa</v>
      </c>
      <c r="AC263" s="2" t="str">
        <f t="shared" si="25"/>
        <v xml:space="preserve"> CRISTINA </v>
      </c>
      <c r="AD263" s="26">
        <f t="shared" si="22"/>
        <v>5</v>
      </c>
      <c r="AE263" s="26">
        <f t="shared" ca="1" si="24"/>
        <v>275.02116747685068</v>
      </c>
      <c r="AF263" s="35"/>
    </row>
    <row r="264" spans="1:32" hidden="1">
      <c r="A264" s="209">
        <v>8623844</v>
      </c>
      <c r="B264" s="209" t="s">
        <v>27</v>
      </c>
      <c r="C264" s="210" t="s">
        <v>186</v>
      </c>
      <c r="D264" s="214"/>
      <c r="E264" s="214">
        <v>3503000206001</v>
      </c>
      <c r="F264" s="209" t="s">
        <v>29</v>
      </c>
      <c r="G264" s="209" t="s">
        <v>53</v>
      </c>
      <c r="H264" s="209" t="s">
        <v>398</v>
      </c>
      <c r="I264" s="209" t="s">
        <v>399</v>
      </c>
      <c r="J264" s="209" t="s">
        <v>46</v>
      </c>
      <c r="K264" s="210" t="s">
        <v>34</v>
      </c>
      <c r="L264" s="210"/>
      <c r="M264" s="209" t="s">
        <v>35</v>
      </c>
      <c r="N264" s="209">
        <v>42318949</v>
      </c>
      <c r="O264" s="209" t="s">
        <v>105</v>
      </c>
      <c r="P264" s="213">
        <v>44711.655034722222</v>
      </c>
      <c r="Q264" s="209"/>
      <c r="R264" s="209" t="s">
        <v>38</v>
      </c>
      <c r="S264" s="209"/>
      <c r="T264" s="209" t="s">
        <v>74</v>
      </c>
      <c r="U264" s="213">
        <v>44711.75</v>
      </c>
      <c r="V264" s="209" t="s">
        <v>41</v>
      </c>
      <c r="W264" s="209" t="s">
        <v>49</v>
      </c>
      <c r="X264" s="13" t="str">
        <f>IF(RIGHT(H264,2)&lt;&gt;"00",H264,"")</f>
        <v/>
      </c>
      <c r="Y264" s="26">
        <f ca="1">NETWORKDAYS(P264,$Y$1)</f>
        <v>198</v>
      </c>
      <c r="Z264" s="34">
        <v>1</v>
      </c>
      <c r="AA264" s="25" t="str">
        <f t="shared" ca="1" si="23"/>
        <v>A VENCER</v>
      </c>
      <c r="AB264" s="25" t="str">
        <f t="shared" si="21"/>
        <v>Dosa</v>
      </c>
      <c r="AC264" s="2" t="str">
        <f t="shared" si="25"/>
        <v xml:space="preserve"> CLEITON </v>
      </c>
      <c r="AD264" s="26">
        <f t="shared" si="22"/>
        <v>5</v>
      </c>
      <c r="AE264" s="26">
        <f t="shared" ca="1" si="24"/>
        <v>275.0212369212968</v>
      </c>
      <c r="AF264" s="35"/>
    </row>
    <row r="265" spans="1:32" hidden="1">
      <c r="A265" s="209">
        <v>8623731</v>
      </c>
      <c r="B265" s="209" t="s">
        <v>27</v>
      </c>
      <c r="C265" s="210" t="s">
        <v>186</v>
      </c>
      <c r="D265" s="214"/>
      <c r="E265" s="214">
        <v>3234160206001</v>
      </c>
      <c r="F265" s="209" t="s">
        <v>29</v>
      </c>
      <c r="G265" s="209" t="s">
        <v>53</v>
      </c>
      <c r="H265" s="209" t="s">
        <v>499</v>
      </c>
      <c r="I265" s="209" t="s">
        <v>500</v>
      </c>
      <c r="J265" s="209" t="s">
        <v>46</v>
      </c>
      <c r="K265" s="210" t="s">
        <v>34</v>
      </c>
      <c r="L265" s="210"/>
      <c r="M265" s="209" t="s">
        <v>35</v>
      </c>
      <c r="N265" s="209">
        <v>42318949</v>
      </c>
      <c r="O265" s="209" t="s">
        <v>105</v>
      </c>
      <c r="P265" s="213">
        <v>44711.65488425926</v>
      </c>
      <c r="Q265" s="209"/>
      <c r="R265" s="209" t="s">
        <v>38</v>
      </c>
      <c r="S265" s="209"/>
      <c r="T265" s="209" t="s">
        <v>74</v>
      </c>
      <c r="U265" s="213">
        <v>44711.75</v>
      </c>
      <c r="V265" s="209" t="s">
        <v>41</v>
      </c>
      <c r="W265" s="209" t="s">
        <v>49</v>
      </c>
      <c r="X265" s="13" t="str">
        <f>IF(RIGHT(H265,2)&lt;&gt;"00",H265,"")</f>
        <v>3234.16</v>
      </c>
      <c r="Y265" s="26">
        <f ca="1">NETWORKDAYS(P265,$Y$1)</f>
        <v>198</v>
      </c>
      <c r="Z265" s="34">
        <v>1</v>
      </c>
      <c r="AA265" s="25" t="str">
        <f t="shared" ca="1" si="23"/>
        <v>A VENCER</v>
      </c>
      <c r="AB265" s="25" t="str">
        <f t="shared" si="21"/>
        <v>Dosa</v>
      </c>
      <c r="AC265" s="2" t="str">
        <f t="shared" si="25"/>
        <v xml:space="preserve"> CLEITON </v>
      </c>
      <c r="AD265" s="26">
        <f t="shared" si="22"/>
        <v>5</v>
      </c>
      <c r="AE265" s="26">
        <f t="shared" ca="1" si="24"/>
        <v>275.02138738425856</v>
      </c>
      <c r="AF265" s="35"/>
    </row>
    <row r="266" spans="1:32" hidden="1">
      <c r="A266" s="209">
        <v>8623708</v>
      </c>
      <c r="B266" s="209" t="s">
        <v>27</v>
      </c>
      <c r="C266" s="210" t="s">
        <v>186</v>
      </c>
      <c r="D266" s="214"/>
      <c r="E266" s="214">
        <v>2018000206001</v>
      </c>
      <c r="F266" s="209" t="s">
        <v>29</v>
      </c>
      <c r="G266" s="209" t="s">
        <v>53</v>
      </c>
      <c r="H266" s="209" t="s">
        <v>598</v>
      </c>
      <c r="I266" s="209" t="s">
        <v>599</v>
      </c>
      <c r="J266" s="209" t="s">
        <v>79</v>
      </c>
      <c r="K266" s="210" t="s">
        <v>34</v>
      </c>
      <c r="L266" s="210"/>
      <c r="M266" s="209" t="s">
        <v>35</v>
      </c>
      <c r="N266" s="209">
        <v>42318949</v>
      </c>
      <c r="O266" s="209" t="s">
        <v>105</v>
      </c>
      <c r="P266" s="213">
        <v>44711.654861111114</v>
      </c>
      <c r="Q266" s="209"/>
      <c r="R266" s="209" t="s">
        <v>38</v>
      </c>
      <c r="S266" s="209"/>
      <c r="T266" s="209" t="s">
        <v>74</v>
      </c>
      <c r="U266" s="213">
        <v>44711.75</v>
      </c>
      <c r="V266" s="209" t="s">
        <v>41</v>
      </c>
      <c r="W266" s="209" t="s">
        <v>49</v>
      </c>
      <c r="X266" s="13" t="str">
        <f>IF(RIGHT(H266,2)&lt;&gt;"00",H266,"")</f>
        <v/>
      </c>
      <c r="Y266" s="26">
        <f ca="1">NETWORKDAYS(P266,$Y$1)</f>
        <v>198</v>
      </c>
      <c r="Z266" s="34">
        <v>1</v>
      </c>
      <c r="AA266" s="25" t="str">
        <f t="shared" ca="1" si="23"/>
        <v>A VENCER</v>
      </c>
      <c r="AB266" s="25" t="str">
        <f t="shared" si="21"/>
        <v>Dosa</v>
      </c>
      <c r="AC266" s="2" t="str">
        <f t="shared" si="25"/>
        <v xml:space="preserve"> ROSEMERE </v>
      </c>
      <c r="AD266" s="26">
        <f t="shared" si="22"/>
        <v>5</v>
      </c>
      <c r="AE266" s="26">
        <f t="shared" ca="1" si="24"/>
        <v>275.02141053240484</v>
      </c>
      <c r="AF266" s="35"/>
    </row>
    <row r="267" spans="1:32" hidden="1">
      <c r="A267" s="209">
        <v>8623572</v>
      </c>
      <c r="B267" s="209" t="s">
        <v>27</v>
      </c>
      <c r="C267" s="210" t="s">
        <v>186</v>
      </c>
      <c r="D267" s="214"/>
      <c r="E267" s="214">
        <v>3108010206001</v>
      </c>
      <c r="F267" s="209" t="s">
        <v>29</v>
      </c>
      <c r="G267" s="209" t="s">
        <v>53</v>
      </c>
      <c r="H267" s="209" t="s">
        <v>503</v>
      </c>
      <c r="I267" s="209" t="s">
        <v>504</v>
      </c>
      <c r="J267" s="209" t="s">
        <v>46</v>
      </c>
      <c r="K267" s="210" t="s">
        <v>34</v>
      </c>
      <c r="L267" s="210"/>
      <c r="M267" s="209" t="s">
        <v>35</v>
      </c>
      <c r="N267" s="209">
        <v>42318949</v>
      </c>
      <c r="O267" s="209" t="s">
        <v>105</v>
      </c>
      <c r="P267" s="213">
        <v>44711.654664351852</v>
      </c>
      <c r="Q267" s="209"/>
      <c r="R267" s="209" t="s">
        <v>38</v>
      </c>
      <c r="S267" s="209"/>
      <c r="T267" s="209" t="s">
        <v>74</v>
      </c>
      <c r="U267" s="213">
        <v>44711.75</v>
      </c>
      <c r="V267" s="209" t="s">
        <v>41</v>
      </c>
      <c r="W267" s="209" t="s">
        <v>49</v>
      </c>
      <c r="X267" s="13" t="str">
        <f>IF(RIGHT(H267,2)&lt;&gt;"00",H267,"")</f>
        <v>3108.01</v>
      </c>
      <c r="Y267" s="26">
        <f ca="1">NETWORKDAYS(P267,$Y$1)</f>
        <v>198</v>
      </c>
      <c r="Z267" s="34">
        <v>1</v>
      </c>
      <c r="AA267" s="25" t="str">
        <f t="shared" ca="1" si="23"/>
        <v>A VENCER</v>
      </c>
      <c r="AB267" s="25" t="str">
        <f t="shared" si="21"/>
        <v>Dosa</v>
      </c>
      <c r="AC267" s="2" t="str">
        <f t="shared" si="25"/>
        <v xml:space="preserve"> CLEITON </v>
      </c>
      <c r="AD267" s="26">
        <f t="shared" si="22"/>
        <v>5</v>
      </c>
      <c r="AE267" s="26">
        <f t="shared" ca="1" si="24"/>
        <v>275.02160729166644</v>
      </c>
      <c r="AF267" s="35"/>
    </row>
    <row r="268" spans="1:32" hidden="1">
      <c r="A268" s="209">
        <v>8623522</v>
      </c>
      <c r="B268" s="209" t="s">
        <v>27</v>
      </c>
      <c r="C268" s="210" t="s">
        <v>186</v>
      </c>
      <c r="D268" s="214"/>
      <c r="E268" s="214">
        <v>1421000206001</v>
      </c>
      <c r="F268" s="209" t="s">
        <v>29</v>
      </c>
      <c r="G268" s="209" t="s">
        <v>53</v>
      </c>
      <c r="H268" s="209" t="s">
        <v>179</v>
      </c>
      <c r="I268" s="209" t="s">
        <v>180</v>
      </c>
      <c r="J268" s="209" t="s">
        <v>79</v>
      </c>
      <c r="K268" s="210" t="s">
        <v>34</v>
      </c>
      <c r="L268" s="210"/>
      <c r="M268" s="209" t="s">
        <v>35</v>
      </c>
      <c r="N268" s="209">
        <v>42318949</v>
      </c>
      <c r="O268" s="209" t="s">
        <v>36</v>
      </c>
      <c r="P268" s="213">
        <v>44711.654594907406</v>
      </c>
      <c r="Q268" s="209"/>
      <c r="R268" s="209" t="s">
        <v>38</v>
      </c>
      <c r="S268" s="209"/>
      <c r="T268" s="209" t="s">
        <v>74</v>
      </c>
      <c r="U268" s="213">
        <v>44711.75</v>
      </c>
      <c r="V268" s="209" t="s">
        <v>41</v>
      </c>
      <c r="W268" s="209" t="s">
        <v>49</v>
      </c>
      <c r="X268" s="13" t="str">
        <f>IF(RIGHT(H268,2)&lt;&gt;"00",H268,"")</f>
        <v/>
      </c>
      <c r="Y268" s="26">
        <f ca="1">NETWORKDAYS(P268,$Y$1)</f>
        <v>198</v>
      </c>
      <c r="Z268" s="34">
        <v>1</v>
      </c>
      <c r="AA268" s="25" t="str">
        <f t="shared" ca="1" si="23"/>
        <v>A VENCER</v>
      </c>
      <c r="AB268" s="25" t="str">
        <f t="shared" si="21"/>
        <v>Dosa</v>
      </c>
      <c r="AC268" s="2" t="str">
        <f t="shared" si="25"/>
        <v xml:space="preserve"> ROSEMERE </v>
      </c>
      <c r="AD268" s="26">
        <f t="shared" si="22"/>
        <v>5</v>
      </c>
      <c r="AE268" s="26">
        <f t="shared" ca="1" si="24"/>
        <v>275.02167673611257</v>
      </c>
      <c r="AF268" s="35"/>
    </row>
    <row r="269" spans="1:32" hidden="1">
      <c r="A269" s="209">
        <v>8623509</v>
      </c>
      <c r="B269" s="209" t="s">
        <v>27</v>
      </c>
      <c r="C269" s="210" t="s">
        <v>186</v>
      </c>
      <c r="D269" s="214"/>
      <c r="E269" s="214">
        <v>1643000206001</v>
      </c>
      <c r="F269" s="209" t="s">
        <v>29</v>
      </c>
      <c r="G269" s="209" t="s">
        <v>53</v>
      </c>
      <c r="H269" s="209" t="s">
        <v>361</v>
      </c>
      <c r="I269" s="209" t="s">
        <v>362</v>
      </c>
      <c r="J269" s="209" t="s">
        <v>261</v>
      </c>
      <c r="K269" s="210" t="s">
        <v>34</v>
      </c>
      <c r="L269" s="210"/>
      <c r="M269" s="209" t="s">
        <v>35</v>
      </c>
      <c r="N269" s="209">
        <v>42318949</v>
      </c>
      <c r="O269" s="209" t="s">
        <v>105</v>
      </c>
      <c r="P269" s="213">
        <v>44711.65457175926</v>
      </c>
      <c r="Q269" s="209"/>
      <c r="R269" s="209" t="s">
        <v>38</v>
      </c>
      <c r="S269" s="209"/>
      <c r="T269" s="209" t="s">
        <v>74</v>
      </c>
      <c r="U269" s="213">
        <v>44711.75</v>
      </c>
      <c r="V269" s="209" t="s">
        <v>41</v>
      </c>
      <c r="W269" s="209" t="s">
        <v>49</v>
      </c>
      <c r="X269" s="13" t="str">
        <f>IF(RIGHT(H269,2)&lt;&gt;"00",H269,"")</f>
        <v/>
      </c>
      <c r="Y269" s="26">
        <f ca="1">NETWORKDAYS(P269,$Y$1)</f>
        <v>198</v>
      </c>
      <c r="Z269" s="34">
        <v>1</v>
      </c>
      <c r="AA269" s="25" t="str">
        <f t="shared" ca="1" si="23"/>
        <v>A VENCER</v>
      </c>
      <c r="AB269" s="25" t="str">
        <f t="shared" si="21"/>
        <v>Dosa</v>
      </c>
      <c r="AC269" s="2" t="str">
        <f t="shared" si="25"/>
        <v xml:space="preserve"> CRISTINA </v>
      </c>
      <c r="AD269" s="26">
        <f t="shared" si="22"/>
        <v>5</v>
      </c>
      <c r="AE269" s="26">
        <f t="shared" ca="1" si="24"/>
        <v>275.02169988425885</v>
      </c>
      <c r="AF269" s="35"/>
    </row>
    <row r="270" spans="1:32" hidden="1">
      <c r="A270" s="209">
        <v>8623470</v>
      </c>
      <c r="B270" s="209" t="s">
        <v>27</v>
      </c>
      <c r="C270" s="210" t="s">
        <v>186</v>
      </c>
      <c r="D270" s="214"/>
      <c r="E270" s="214">
        <v>5898000206001</v>
      </c>
      <c r="F270" s="209" t="s">
        <v>29</v>
      </c>
      <c r="G270" s="209" t="s">
        <v>53</v>
      </c>
      <c r="H270" s="209" t="s">
        <v>365</v>
      </c>
      <c r="I270" s="209" t="s">
        <v>366</v>
      </c>
      <c r="J270" s="209" t="s">
        <v>164</v>
      </c>
      <c r="K270" s="210" t="s">
        <v>34</v>
      </c>
      <c r="L270" s="210"/>
      <c r="M270" s="209" t="s">
        <v>35</v>
      </c>
      <c r="N270" s="209">
        <v>42318949</v>
      </c>
      <c r="O270" s="209" t="s">
        <v>36</v>
      </c>
      <c r="P270" s="213">
        <v>44711.654513888891</v>
      </c>
      <c r="Q270" s="209"/>
      <c r="R270" s="209" t="s">
        <v>38</v>
      </c>
      <c r="S270" s="209"/>
      <c r="T270" s="209" t="s">
        <v>74</v>
      </c>
      <c r="U270" s="213">
        <v>44711.75</v>
      </c>
      <c r="V270" s="209" t="s">
        <v>41</v>
      </c>
      <c r="W270" s="209" t="s">
        <v>49</v>
      </c>
      <c r="X270" s="13" t="str">
        <f>IF(RIGHT(H270,2)&lt;&gt;"00",H270,"")</f>
        <v/>
      </c>
      <c r="Y270" s="26">
        <f ca="1">NETWORKDAYS(P270,$Y$1)</f>
        <v>198</v>
      </c>
      <c r="Z270" s="34">
        <v>1</v>
      </c>
      <c r="AA270" s="25" t="str">
        <f t="shared" ca="1" si="23"/>
        <v>A VENCER</v>
      </c>
      <c r="AB270" s="25" t="str">
        <f t="shared" si="21"/>
        <v>Dosa</v>
      </c>
      <c r="AC270" s="2" t="str">
        <f t="shared" si="25"/>
        <v xml:space="preserve"> ROSEMERE </v>
      </c>
      <c r="AD270" s="26">
        <f t="shared" si="22"/>
        <v>5</v>
      </c>
      <c r="AE270" s="26">
        <f t="shared" ca="1" si="24"/>
        <v>275.0217577546282</v>
      </c>
      <c r="AF270" s="35"/>
    </row>
    <row r="271" spans="1:32" hidden="1">
      <c r="A271" s="209">
        <v>8623457</v>
      </c>
      <c r="B271" s="209" t="s">
        <v>27</v>
      </c>
      <c r="C271" s="210" t="s">
        <v>186</v>
      </c>
      <c r="D271" s="214"/>
      <c r="E271" s="214">
        <v>4118000206001</v>
      </c>
      <c r="F271" s="209" t="s">
        <v>29</v>
      </c>
      <c r="G271" s="209" t="s">
        <v>53</v>
      </c>
      <c r="H271" s="209" t="s">
        <v>71</v>
      </c>
      <c r="I271" s="209" t="s">
        <v>72</v>
      </c>
      <c r="J271" s="209" t="s">
        <v>46</v>
      </c>
      <c r="K271" s="210" t="s">
        <v>34</v>
      </c>
      <c r="L271" s="210"/>
      <c r="M271" s="209" t="s">
        <v>35</v>
      </c>
      <c r="N271" s="209">
        <v>42318949</v>
      </c>
      <c r="O271" s="209" t="s">
        <v>105</v>
      </c>
      <c r="P271" s="213">
        <v>44711.654502314814</v>
      </c>
      <c r="Q271" s="209"/>
      <c r="R271" s="209" t="s">
        <v>38</v>
      </c>
      <c r="S271" s="209"/>
      <c r="T271" s="209" t="s">
        <v>74</v>
      </c>
      <c r="U271" s="213">
        <v>44711.75</v>
      </c>
      <c r="V271" s="209" t="s">
        <v>41</v>
      </c>
      <c r="W271" s="209" t="s">
        <v>49</v>
      </c>
      <c r="X271" s="13" t="str">
        <f>IF(RIGHT(H271,2)&lt;&gt;"00",H271,"")</f>
        <v/>
      </c>
      <c r="Y271" s="26">
        <f ca="1">NETWORKDAYS(P271,$Y$1)</f>
        <v>198</v>
      </c>
      <c r="Z271" s="34">
        <v>1</v>
      </c>
      <c r="AA271" s="25" t="str">
        <f t="shared" ca="1" si="23"/>
        <v>A VENCER</v>
      </c>
      <c r="AB271" s="25" t="str">
        <f t="shared" si="21"/>
        <v>Dosa</v>
      </c>
      <c r="AC271" s="2" t="str">
        <f t="shared" si="25"/>
        <v xml:space="preserve"> CLEITON </v>
      </c>
      <c r="AD271" s="26">
        <f t="shared" si="22"/>
        <v>5</v>
      </c>
      <c r="AE271" s="26">
        <f t="shared" ca="1" si="24"/>
        <v>275.02176932870498</v>
      </c>
      <c r="AF271" s="35"/>
    </row>
    <row r="272" spans="1:32" hidden="1">
      <c r="A272" s="209">
        <v>8623414</v>
      </c>
      <c r="B272" s="209" t="s">
        <v>27</v>
      </c>
      <c r="C272" s="210" t="s">
        <v>186</v>
      </c>
      <c r="D272" s="214"/>
      <c r="E272" s="214">
        <v>2107000206001</v>
      </c>
      <c r="F272" s="209" t="s">
        <v>29</v>
      </c>
      <c r="G272" s="209" t="s">
        <v>53</v>
      </c>
      <c r="H272" s="209" t="s">
        <v>262</v>
      </c>
      <c r="I272" s="209" t="s">
        <v>263</v>
      </c>
      <c r="J272" s="209" t="s">
        <v>164</v>
      </c>
      <c r="K272" s="210" t="s">
        <v>34</v>
      </c>
      <c r="L272" s="210"/>
      <c r="M272" s="209" t="s">
        <v>35</v>
      </c>
      <c r="N272" s="209">
        <v>42318949</v>
      </c>
      <c r="O272" s="209" t="s">
        <v>105</v>
      </c>
      <c r="P272" s="213">
        <v>44711.654444444444</v>
      </c>
      <c r="Q272" s="209"/>
      <c r="R272" s="209" t="s">
        <v>38</v>
      </c>
      <c r="S272" s="209"/>
      <c r="T272" s="209" t="s">
        <v>74</v>
      </c>
      <c r="U272" s="213">
        <v>44711.75</v>
      </c>
      <c r="V272" s="209" t="s">
        <v>41</v>
      </c>
      <c r="W272" s="209" t="s">
        <v>49</v>
      </c>
      <c r="X272" s="13" t="str">
        <f>IF(RIGHT(H272,2)&lt;&gt;"00",H272,"")</f>
        <v/>
      </c>
      <c r="Y272" s="26">
        <f ca="1">NETWORKDAYS(P272,$Y$1)</f>
        <v>198</v>
      </c>
      <c r="Z272" s="34">
        <v>1</v>
      </c>
      <c r="AA272" s="25" t="str">
        <f t="shared" ca="1" si="23"/>
        <v>A VENCER</v>
      </c>
      <c r="AB272" s="25" t="str">
        <f t="shared" si="21"/>
        <v>Dosa</v>
      </c>
      <c r="AC272" s="2" t="str">
        <f t="shared" si="25"/>
        <v xml:space="preserve"> ROSEMERE </v>
      </c>
      <c r="AD272" s="26">
        <f t="shared" si="22"/>
        <v>5</v>
      </c>
      <c r="AE272" s="26">
        <f t="shared" ca="1" si="24"/>
        <v>275.02182719907432</v>
      </c>
      <c r="AF272" s="35"/>
    </row>
    <row r="273" spans="1:32" hidden="1">
      <c r="A273" s="209">
        <v>8623404</v>
      </c>
      <c r="B273" s="209" t="s">
        <v>27</v>
      </c>
      <c r="C273" s="210" t="s">
        <v>186</v>
      </c>
      <c r="D273" s="214"/>
      <c r="E273" s="214">
        <v>2388000206001</v>
      </c>
      <c r="F273" s="209" t="s">
        <v>29</v>
      </c>
      <c r="G273" s="209" t="s">
        <v>53</v>
      </c>
      <c r="H273" s="209" t="s">
        <v>299</v>
      </c>
      <c r="I273" s="209" t="s">
        <v>300</v>
      </c>
      <c r="J273" s="209" t="s">
        <v>79</v>
      </c>
      <c r="K273" s="210" t="s">
        <v>34</v>
      </c>
      <c r="L273" s="210"/>
      <c r="M273" s="209" t="s">
        <v>35</v>
      </c>
      <c r="N273" s="209">
        <v>42318949</v>
      </c>
      <c r="O273" s="209" t="s">
        <v>36</v>
      </c>
      <c r="P273" s="213">
        <v>44711.654432870368</v>
      </c>
      <c r="Q273" s="209"/>
      <c r="R273" s="209" t="s">
        <v>38</v>
      </c>
      <c r="S273" s="209"/>
      <c r="T273" s="209" t="s">
        <v>74</v>
      </c>
      <c r="U273" s="213">
        <v>44711.75</v>
      </c>
      <c r="V273" s="209" t="s">
        <v>41</v>
      </c>
      <c r="W273" s="209" t="s">
        <v>49</v>
      </c>
      <c r="X273" s="13" t="str">
        <f>IF(RIGHT(H273,2)&lt;&gt;"00",H273,"")</f>
        <v/>
      </c>
      <c r="Y273" s="26">
        <f ca="1">NETWORKDAYS(P273,$Y$1)</f>
        <v>198</v>
      </c>
      <c r="Z273" s="34">
        <v>1</v>
      </c>
      <c r="AA273" s="25" t="str">
        <f t="shared" ca="1" si="23"/>
        <v>A VENCER</v>
      </c>
      <c r="AB273" s="25" t="str">
        <f t="shared" si="21"/>
        <v>Dosa</v>
      </c>
      <c r="AC273" s="2" t="str">
        <f t="shared" si="25"/>
        <v xml:space="preserve"> ROSEMERE </v>
      </c>
      <c r="AD273" s="26">
        <f t="shared" si="22"/>
        <v>5</v>
      </c>
      <c r="AE273" s="26">
        <f t="shared" ca="1" si="24"/>
        <v>275.0218387731511</v>
      </c>
      <c r="AF273" s="35"/>
    </row>
    <row r="274" spans="1:32" hidden="1">
      <c r="A274" s="209">
        <v>8623397</v>
      </c>
      <c r="B274" s="209" t="s">
        <v>27</v>
      </c>
      <c r="C274" s="210" t="s">
        <v>186</v>
      </c>
      <c r="D274" s="214"/>
      <c r="E274" s="214">
        <v>1710000206001</v>
      </c>
      <c r="F274" s="209" t="s">
        <v>29</v>
      </c>
      <c r="G274" s="209" t="s">
        <v>53</v>
      </c>
      <c r="H274" s="209" t="s">
        <v>327</v>
      </c>
      <c r="I274" s="209" t="s">
        <v>328</v>
      </c>
      <c r="J274" s="209" t="s">
        <v>261</v>
      </c>
      <c r="K274" s="210" t="s">
        <v>34</v>
      </c>
      <c r="L274" s="210"/>
      <c r="M274" s="209" t="s">
        <v>35</v>
      </c>
      <c r="N274" s="209">
        <v>42318949</v>
      </c>
      <c r="O274" s="209" t="s">
        <v>105</v>
      </c>
      <c r="P274" s="213">
        <v>44711.654421296298</v>
      </c>
      <c r="Q274" s="209"/>
      <c r="R274" s="209" t="s">
        <v>38</v>
      </c>
      <c r="S274" s="209"/>
      <c r="T274" s="209" t="s">
        <v>74</v>
      </c>
      <c r="U274" s="213">
        <v>44711.75</v>
      </c>
      <c r="V274" s="209" t="s">
        <v>41</v>
      </c>
      <c r="W274" s="209" t="s">
        <v>49</v>
      </c>
      <c r="X274" s="13" t="str">
        <f>IF(RIGHT(H274,2)&lt;&gt;"00",H274,"")</f>
        <v/>
      </c>
      <c r="Y274" s="26">
        <f ca="1">NETWORKDAYS(P274,$Y$1)</f>
        <v>198</v>
      </c>
      <c r="Z274" s="34">
        <v>1</v>
      </c>
      <c r="AA274" s="25" t="str">
        <f t="shared" ca="1" si="23"/>
        <v>A VENCER</v>
      </c>
      <c r="AB274" s="25" t="str">
        <f t="shared" si="21"/>
        <v>Dosa</v>
      </c>
      <c r="AC274" s="2" t="str">
        <f t="shared" si="25"/>
        <v xml:space="preserve"> CRISTINA </v>
      </c>
      <c r="AD274" s="26">
        <f t="shared" si="22"/>
        <v>5</v>
      </c>
      <c r="AE274" s="26">
        <f t="shared" ca="1" si="24"/>
        <v>275.02185034722061</v>
      </c>
      <c r="AF274" s="35"/>
    </row>
    <row r="275" spans="1:32" hidden="1">
      <c r="A275" s="209">
        <v>8623394</v>
      </c>
      <c r="B275" s="209" t="s">
        <v>27</v>
      </c>
      <c r="C275" s="210" t="s">
        <v>186</v>
      </c>
      <c r="D275" s="214"/>
      <c r="E275" s="214">
        <v>4274000206001</v>
      </c>
      <c r="F275" s="209" t="s">
        <v>29</v>
      </c>
      <c r="G275" s="209" t="s">
        <v>53</v>
      </c>
      <c r="H275" s="209" t="s">
        <v>386</v>
      </c>
      <c r="I275" s="209" t="s">
        <v>387</v>
      </c>
      <c r="J275" s="209" t="s">
        <v>46</v>
      </c>
      <c r="K275" s="210" t="s">
        <v>34</v>
      </c>
      <c r="L275" s="210"/>
      <c r="M275" s="209" t="s">
        <v>35</v>
      </c>
      <c r="N275" s="209">
        <v>42318949</v>
      </c>
      <c r="O275" s="209" t="s">
        <v>36</v>
      </c>
      <c r="P275" s="213">
        <v>44711.654409722221</v>
      </c>
      <c r="Q275" s="209"/>
      <c r="R275" s="209" t="s">
        <v>38</v>
      </c>
      <c r="S275" s="209"/>
      <c r="T275" s="209" t="s">
        <v>74</v>
      </c>
      <c r="U275" s="213">
        <v>44711.75</v>
      </c>
      <c r="V275" s="209" t="s">
        <v>41</v>
      </c>
      <c r="W275" s="209" t="s">
        <v>49</v>
      </c>
      <c r="X275" s="13" t="str">
        <f>IF(RIGHT(H275,2)&lt;&gt;"00",H275,"")</f>
        <v/>
      </c>
      <c r="Y275" s="26">
        <f ca="1">NETWORKDAYS(P275,$Y$1)</f>
        <v>198</v>
      </c>
      <c r="Z275" s="34">
        <v>1</v>
      </c>
      <c r="AA275" s="25" t="str">
        <f t="shared" ca="1" si="23"/>
        <v>A VENCER</v>
      </c>
      <c r="AB275" s="25" t="str">
        <f t="shared" si="21"/>
        <v>Dosa</v>
      </c>
      <c r="AC275" s="2" t="str">
        <f t="shared" si="25"/>
        <v xml:space="preserve"> CLEITON </v>
      </c>
      <c r="AD275" s="26">
        <f t="shared" si="22"/>
        <v>5</v>
      </c>
      <c r="AE275" s="26">
        <f t="shared" ca="1" si="24"/>
        <v>275.02186192129739</v>
      </c>
      <c r="AF275" s="35"/>
    </row>
    <row r="276" spans="1:32" hidden="1">
      <c r="A276" s="209">
        <v>8623366</v>
      </c>
      <c r="B276" s="209" t="s">
        <v>27</v>
      </c>
      <c r="C276" s="210" t="s">
        <v>186</v>
      </c>
      <c r="D276" s="214"/>
      <c r="E276" s="214">
        <v>710000206001</v>
      </c>
      <c r="F276" s="209" t="s">
        <v>29</v>
      </c>
      <c r="G276" s="209" t="s">
        <v>53</v>
      </c>
      <c r="H276" s="209" t="s">
        <v>390</v>
      </c>
      <c r="I276" s="209" t="s">
        <v>391</v>
      </c>
      <c r="J276" s="209" t="s">
        <v>56</v>
      </c>
      <c r="K276" s="210" t="s">
        <v>34</v>
      </c>
      <c r="L276" s="210"/>
      <c r="M276" s="209" t="s">
        <v>35</v>
      </c>
      <c r="N276" s="209">
        <v>42318949</v>
      </c>
      <c r="O276" s="209" t="s">
        <v>105</v>
      </c>
      <c r="P276" s="213">
        <v>44711.654374999998</v>
      </c>
      <c r="Q276" s="209"/>
      <c r="R276" s="209" t="s">
        <v>38</v>
      </c>
      <c r="S276" s="209"/>
      <c r="T276" s="209" t="s">
        <v>74</v>
      </c>
      <c r="U276" s="213">
        <v>44711.75</v>
      </c>
      <c r="V276" s="209" t="s">
        <v>41</v>
      </c>
      <c r="W276" s="209" t="s">
        <v>49</v>
      </c>
      <c r="X276" s="13" t="str">
        <f>IF(RIGHT(H276,2)&lt;&gt;"00",H276,"")</f>
        <v/>
      </c>
      <c r="Y276" s="26">
        <f ca="1">NETWORKDAYS(P276,$Y$1)</f>
        <v>198</v>
      </c>
      <c r="Z276" s="34">
        <v>1</v>
      </c>
      <c r="AA276" s="25" t="str">
        <f t="shared" ca="1" si="23"/>
        <v>A VENCER</v>
      </c>
      <c r="AB276" s="25" t="str">
        <f t="shared" si="21"/>
        <v>Dosa</v>
      </c>
      <c r="AC276" s="2" t="str">
        <f t="shared" si="25"/>
        <v xml:space="preserve"> CRISTINA </v>
      </c>
      <c r="AD276" s="26">
        <f t="shared" si="22"/>
        <v>5</v>
      </c>
      <c r="AE276" s="26">
        <f t="shared" ca="1" si="24"/>
        <v>275.02189664352045</v>
      </c>
      <c r="AF276" s="35"/>
    </row>
    <row r="277" spans="1:32" hidden="1">
      <c r="A277" s="209">
        <v>8623339</v>
      </c>
      <c r="B277" s="209" t="s">
        <v>27</v>
      </c>
      <c r="C277" s="210" t="s">
        <v>186</v>
      </c>
      <c r="D277" s="214"/>
      <c r="E277" s="214">
        <v>550000206001</v>
      </c>
      <c r="F277" s="209" t="s">
        <v>29</v>
      </c>
      <c r="G277" s="209" t="s">
        <v>53</v>
      </c>
      <c r="H277" s="209" t="s">
        <v>337</v>
      </c>
      <c r="I277" s="209" t="s">
        <v>338</v>
      </c>
      <c r="J277" s="209" t="s">
        <v>164</v>
      </c>
      <c r="K277" s="210" t="s">
        <v>34</v>
      </c>
      <c r="L277" s="210"/>
      <c r="M277" s="209" t="s">
        <v>35</v>
      </c>
      <c r="N277" s="209">
        <v>42318949</v>
      </c>
      <c r="O277" s="209" t="s">
        <v>105</v>
      </c>
      <c r="P277" s="213">
        <v>44711.654340277775</v>
      </c>
      <c r="Q277" s="209"/>
      <c r="R277" s="209" t="s">
        <v>38</v>
      </c>
      <c r="S277" s="209"/>
      <c r="T277" s="209" t="s">
        <v>74</v>
      </c>
      <c r="U277" s="213">
        <v>44711.75</v>
      </c>
      <c r="V277" s="209" t="s">
        <v>41</v>
      </c>
      <c r="W277" s="209" t="s">
        <v>49</v>
      </c>
      <c r="X277" s="13" t="str">
        <f>IF(RIGHT(H277,2)&lt;&gt;"00",H277,"")</f>
        <v/>
      </c>
      <c r="Y277" s="26">
        <f ca="1">NETWORKDAYS(P277,$Y$1)</f>
        <v>198</v>
      </c>
      <c r="Z277" s="34">
        <v>1</v>
      </c>
      <c r="AA277" s="25" t="str">
        <f t="shared" ca="1" si="23"/>
        <v>A VENCER</v>
      </c>
      <c r="AB277" s="25" t="str">
        <f t="shared" si="21"/>
        <v>Dosa</v>
      </c>
      <c r="AC277" s="2" t="str">
        <f t="shared" si="25"/>
        <v xml:space="preserve"> ROSEMERE </v>
      </c>
      <c r="AD277" s="26">
        <f t="shared" si="22"/>
        <v>5</v>
      </c>
      <c r="AE277" s="26">
        <f t="shared" ca="1" si="24"/>
        <v>275.02193136574351</v>
      </c>
      <c r="AF277" s="35"/>
    </row>
    <row r="278" spans="1:32" hidden="1">
      <c r="A278" s="209">
        <v>8623323</v>
      </c>
      <c r="B278" s="209" t="s">
        <v>27</v>
      </c>
      <c r="C278" s="210" t="s">
        <v>186</v>
      </c>
      <c r="D278" s="214"/>
      <c r="E278" s="214">
        <v>1943000206001</v>
      </c>
      <c r="F278" s="209" t="s">
        <v>29</v>
      </c>
      <c r="G278" s="209" t="s">
        <v>53</v>
      </c>
      <c r="H278" s="209" t="s">
        <v>264</v>
      </c>
      <c r="I278" s="209" t="s">
        <v>265</v>
      </c>
      <c r="J278" s="209" t="s">
        <v>56</v>
      </c>
      <c r="K278" s="210" t="s">
        <v>34</v>
      </c>
      <c r="L278" s="210"/>
      <c r="M278" s="209" t="s">
        <v>35</v>
      </c>
      <c r="N278" s="209">
        <v>42318949</v>
      </c>
      <c r="O278" s="209" t="s">
        <v>105</v>
      </c>
      <c r="P278" s="213">
        <v>44711.654328703706</v>
      </c>
      <c r="Q278" s="209"/>
      <c r="R278" s="209" t="s">
        <v>38</v>
      </c>
      <c r="S278" s="209"/>
      <c r="T278" s="209" t="s">
        <v>74</v>
      </c>
      <c r="U278" s="213">
        <v>44711.75</v>
      </c>
      <c r="V278" s="209" t="s">
        <v>41</v>
      </c>
      <c r="W278" s="209" t="s">
        <v>49</v>
      </c>
      <c r="X278" s="13" t="str">
        <f>IF(RIGHT(H278,2)&lt;&gt;"00",H278,"")</f>
        <v/>
      </c>
      <c r="Y278" s="26">
        <f ca="1">NETWORKDAYS(P278,$Y$1)</f>
        <v>198</v>
      </c>
      <c r="Z278" s="34">
        <v>1</v>
      </c>
      <c r="AA278" s="25" t="str">
        <f t="shared" ca="1" si="23"/>
        <v>A VENCER</v>
      </c>
      <c r="AB278" s="25" t="str">
        <f t="shared" si="21"/>
        <v>Dosa</v>
      </c>
      <c r="AC278" s="2" t="str">
        <f t="shared" si="25"/>
        <v xml:space="preserve"> CRISTINA </v>
      </c>
      <c r="AD278" s="26">
        <f t="shared" si="22"/>
        <v>5</v>
      </c>
      <c r="AE278" s="26">
        <f t="shared" ca="1" si="24"/>
        <v>275.02194293981302</v>
      </c>
      <c r="AF278" s="35"/>
    </row>
    <row r="279" spans="1:32" hidden="1">
      <c r="A279" s="209">
        <v>8623269</v>
      </c>
      <c r="B279" s="209" t="s">
        <v>27</v>
      </c>
      <c r="C279" s="210" t="s">
        <v>186</v>
      </c>
      <c r="D279" s="214"/>
      <c r="E279" s="214">
        <v>1761000206001</v>
      </c>
      <c r="F279" s="209" t="s">
        <v>29</v>
      </c>
      <c r="G279" s="209" t="s">
        <v>53</v>
      </c>
      <c r="H279" s="209" t="s">
        <v>375</v>
      </c>
      <c r="I279" s="209" t="s">
        <v>376</v>
      </c>
      <c r="J279" s="209" t="s">
        <v>56</v>
      </c>
      <c r="K279" s="210" t="s">
        <v>34</v>
      </c>
      <c r="L279" s="210"/>
      <c r="M279" s="209" t="s">
        <v>35</v>
      </c>
      <c r="N279" s="209">
        <v>42318949</v>
      </c>
      <c r="O279" s="209" t="s">
        <v>105</v>
      </c>
      <c r="P279" s="213">
        <v>44711.65425925926</v>
      </c>
      <c r="Q279" s="209"/>
      <c r="R279" s="209" t="s">
        <v>38</v>
      </c>
      <c r="S279" s="209"/>
      <c r="T279" s="209" t="s">
        <v>74</v>
      </c>
      <c r="U279" s="213">
        <v>44711.75</v>
      </c>
      <c r="V279" s="209" t="s">
        <v>41</v>
      </c>
      <c r="W279" s="209" t="s">
        <v>49</v>
      </c>
      <c r="X279" s="13" t="str">
        <f>IF(RIGHT(H279,2)&lt;&gt;"00",H279,"")</f>
        <v/>
      </c>
      <c r="Y279" s="26">
        <f ca="1">NETWORKDAYS(P279,$Y$1)</f>
        <v>198</v>
      </c>
      <c r="Z279" s="34">
        <v>1</v>
      </c>
      <c r="AA279" s="25" t="str">
        <f t="shared" ca="1" si="23"/>
        <v>A VENCER</v>
      </c>
      <c r="AB279" s="25" t="str">
        <f t="shared" si="21"/>
        <v>Dosa</v>
      </c>
      <c r="AC279" s="2" t="str">
        <f t="shared" si="25"/>
        <v xml:space="preserve"> CRISTINA </v>
      </c>
      <c r="AD279" s="26">
        <f t="shared" si="22"/>
        <v>5</v>
      </c>
      <c r="AE279" s="26">
        <f t="shared" ca="1" si="24"/>
        <v>275.02201238425914</v>
      </c>
      <c r="AF279" s="35"/>
    </row>
    <row r="280" spans="1:32" hidden="1">
      <c r="A280" s="209">
        <v>8623187</v>
      </c>
      <c r="B280" s="209" t="s">
        <v>27</v>
      </c>
      <c r="C280" s="210" t="s">
        <v>186</v>
      </c>
      <c r="D280" s="214"/>
      <c r="E280" s="214">
        <v>2830000206001</v>
      </c>
      <c r="F280" s="209" t="s">
        <v>29</v>
      </c>
      <c r="G280" s="209" t="s">
        <v>53</v>
      </c>
      <c r="H280" s="209" t="s">
        <v>448</v>
      </c>
      <c r="I280" s="209" t="s">
        <v>449</v>
      </c>
      <c r="J280" s="209" t="s">
        <v>33</v>
      </c>
      <c r="K280" s="210" t="s">
        <v>34</v>
      </c>
      <c r="L280" s="210"/>
      <c r="M280" s="209" t="s">
        <v>35</v>
      </c>
      <c r="N280" s="209">
        <v>42318949</v>
      </c>
      <c r="O280" s="209" t="s">
        <v>105</v>
      </c>
      <c r="P280" s="213">
        <v>44711.654143518521</v>
      </c>
      <c r="Q280" s="209"/>
      <c r="R280" s="209" t="s">
        <v>38</v>
      </c>
      <c r="S280" s="209"/>
      <c r="T280" s="209" t="s">
        <v>74</v>
      </c>
      <c r="U280" s="213">
        <v>44711.75</v>
      </c>
      <c r="V280" s="209" t="s">
        <v>41</v>
      </c>
      <c r="W280" s="209" t="s">
        <v>42</v>
      </c>
      <c r="X280" s="13" t="str">
        <f>IF(RIGHT(H280,2)&lt;&gt;"00",H280,"")</f>
        <v/>
      </c>
      <c r="Y280" s="26">
        <f ca="1">NETWORKDAYS(P280,$Y$1)</f>
        <v>198</v>
      </c>
      <c r="Z280" s="34">
        <v>1</v>
      </c>
      <c r="AA280" s="25" t="str">
        <f t="shared" ca="1" si="23"/>
        <v>A VENCER</v>
      </c>
      <c r="AB280" s="25" t="str">
        <f t="shared" si="21"/>
        <v>Dosa</v>
      </c>
      <c r="AC280" s="2" t="str">
        <f t="shared" si="25"/>
        <v xml:space="preserve"> ROSEMERE </v>
      </c>
      <c r="AD280" s="26">
        <f t="shared" si="22"/>
        <v>5</v>
      </c>
      <c r="AE280" s="26">
        <f t="shared" ca="1" si="24"/>
        <v>275.02212812499783</v>
      </c>
      <c r="AF280" s="35"/>
    </row>
    <row r="281" spans="1:32" hidden="1">
      <c r="A281" s="209">
        <v>8623156</v>
      </c>
      <c r="B281" s="209" t="s">
        <v>27</v>
      </c>
      <c r="C281" s="210" t="s">
        <v>186</v>
      </c>
      <c r="D281" s="214"/>
      <c r="E281" s="214">
        <v>1361000206001</v>
      </c>
      <c r="F281" s="209" t="s">
        <v>29</v>
      </c>
      <c r="G281" s="209" t="s">
        <v>53</v>
      </c>
      <c r="H281" s="209" t="s">
        <v>309</v>
      </c>
      <c r="I281" s="209" t="s">
        <v>310</v>
      </c>
      <c r="J281" s="209" t="s">
        <v>46</v>
      </c>
      <c r="K281" s="210" t="s">
        <v>34</v>
      </c>
      <c r="L281" s="210"/>
      <c r="M281" s="209" t="s">
        <v>35</v>
      </c>
      <c r="N281" s="209">
        <v>42318949</v>
      </c>
      <c r="O281" s="209" t="s">
        <v>105</v>
      </c>
      <c r="P281" s="213">
        <v>44711.654108796298</v>
      </c>
      <c r="Q281" s="209"/>
      <c r="R281" s="209" t="s">
        <v>38</v>
      </c>
      <c r="S281" s="209"/>
      <c r="T281" s="209" t="s">
        <v>74</v>
      </c>
      <c r="U281" s="213">
        <v>44711.75</v>
      </c>
      <c r="V281" s="209" t="s">
        <v>41</v>
      </c>
      <c r="W281" s="209" t="s">
        <v>49</v>
      </c>
      <c r="X281" s="13" t="str">
        <f>IF(RIGHT(H281,2)&lt;&gt;"00",H281,"")</f>
        <v/>
      </c>
      <c r="Y281" s="26">
        <f ca="1">NETWORKDAYS(P281,$Y$1)</f>
        <v>198</v>
      </c>
      <c r="Z281" s="34">
        <v>1</v>
      </c>
      <c r="AA281" s="25" t="str">
        <f t="shared" ca="1" si="23"/>
        <v>A VENCER</v>
      </c>
      <c r="AB281" s="25" t="str">
        <f t="shared" si="21"/>
        <v>Dosa</v>
      </c>
      <c r="AC281" s="2" t="str">
        <f t="shared" si="25"/>
        <v xml:space="preserve"> CLEITON </v>
      </c>
      <c r="AD281" s="26">
        <f t="shared" si="22"/>
        <v>5</v>
      </c>
      <c r="AE281" s="26">
        <f t="shared" ca="1" si="24"/>
        <v>275.0221628472209</v>
      </c>
      <c r="AF281" s="35"/>
    </row>
    <row r="282" spans="1:32" hidden="1">
      <c r="A282" s="209">
        <v>8623137</v>
      </c>
      <c r="B282" s="209" t="s">
        <v>27</v>
      </c>
      <c r="C282" s="210" t="s">
        <v>186</v>
      </c>
      <c r="D282" s="214"/>
      <c r="E282" s="214">
        <v>1771000206001</v>
      </c>
      <c r="F282" s="209" t="s">
        <v>29</v>
      </c>
      <c r="G282" s="209" t="s">
        <v>53</v>
      </c>
      <c r="H282" s="209" t="s">
        <v>615</v>
      </c>
      <c r="I282" s="209" t="s">
        <v>616</v>
      </c>
      <c r="J282" s="209" t="s">
        <v>261</v>
      </c>
      <c r="K282" s="210" t="s">
        <v>34</v>
      </c>
      <c r="L282" s="210"/>
      <c r="M282" s="209" t="s">
        <v>35</v>
      </c>
      <c r="N282" s="209">
        <v>42318949</v>
      </c>
      <c r="O282" s="209" t="s">
        <v>105</v>
      </c>
      <c r="P282" s="213">
        <v>44711.654085648152</v>
      </c>
      <c r="Q282" s="209"/>
      <c r="R282" s="209" t="s">
        <v>38</v>
      </c>
      <c r="S282" s="209"/>
      <c r="T282" s="209" t="s">
        <v>74</v>
      </c>
      <c r="U282" s="213">
        <v>44711.75</v>
      </c>
      <c r="V282" s="209" t="s">
        <v>41</v>
      </c>
      <c r="W282" s="209" t="s">
        <v>49</v>
      </c>
      <c r="X282" s="13" t="str">
        <f>IF(RIGHT(H282,2)&lt;&gt;"00",H282,"")</f>
        <v/>
      </c>
      <c r="Y282" s="26">
        <f ca="1">NETWORKDAYS(P282,$Y$1)</f>
        <v>198</v>
      </c>
      <c r="Z282" s="34">
        <v>1</v>
      </c>
      <c r="AA282" s="25" t="str">
        <f t="shared" ca="1" si="23"/>
        <v>A VENCER</v>
      </c>
      <c r="AB282" s="25" t="str">
        <f t="shared" si="21"/>
        <v>Dosa</v>
      </c>
      <c r="AC282" s="2" t="str">
        <f t="shared" si="25"/>
        <v xml:space="preserve"> CRISTINA </v>
      </c>
      <c r="AD282" s="26">
        <f t="shared" si="22"/>
        <v>5</v>
      </c>
      <c r="AE282" s="26">
        <f t="shared" ca="1" si="24"/>
        <v>275.02218599536718</v>
      </c>
      <c r="AF282" s="35"/>
    </row>
    <row r="283" spans="1:32" hidden="1">
      <c r="A283" s="209">
        <v>8623124</v>
      </c>
      <c r="B283" s="209" t="s">
        <v>27</v>
      </c>
      <c r="C283" s="210" t="s">
        <v>186</v>
      </c>
      <c r="D283" s="214"/>
      <c r="E283" s="214">
        <v>934000206001</v>
      </c>
      <c r="F283" s="209" t="s">
        <v>29</v>
      </c>
      <c r="G283" s="209" t="s">
        <v>53</v>
      </c>
      <c r="H283" s="209" t="s">
        <v>428</v>
      </c>
      <c r="I283" s="209" t="s">
        <v>429</v>
      </c>
      <c r="J283" s="209" t="s">
        <v>46</v>
      </c>
      <c r="K283" s="210" t="s">
        <v>34</v>
      </c>
      <c r="L283" s="210"/>
      <c r="M283" s="209" t="s">
        <v>35</v>
      </c>
      <c r="N283" s="209">
        <v>42318949</v>
      </c>
      <c r="O283" s="209" t="s">
        <v>36</v>
      </c>
      <c r="P283" s="213">
        <v>44711.654062499998</v>
      </c>
      <c r="Q283" s="209"/>
      <c r="R283" s="209" t="s">
        <v>38</v>
      </c>
      <c r="S283" s="209"/>
      <c r="T283" s="209" t="s">
        <v>74</v>
      </c>
      <c r="U283" s="213">
        <v>44711.75</v>
      </c>
      <c r="V283" s="209" t="s">
        <v>41</v>
      </c>
      <c r="W283" s="209" t="s">
        <v>49</v>
      </c>
      <c r="X283" s="13" t="str">
        <f>IF(RIGHT(H283,2)&lt;&gt;"00",H283,"")</f>
        <v/>
      </c>
      <c r="Y283" s="26">
        <f ca="1">NETWORKDAYS(P283,$Y$1)</f>
        <v>198</v>
      </c>
      <c r="Z283" s="34">
        <v>1</v>
      </c>
      <c r="AA283" s="25" t="str">
        <f t="shared" ca="1" si="23"/>
        <v>A VENCER</v>
      </c>
      <c r="AB283" s="25" t="str">
        <f t="shared" si="21"/>
        <v>Dosa</v>
      </c>
      <c r="AC283" s="2" t="str">
        <f t="shared" si="25"/>
        <v xml:space="preserve"> CLEITON </v>
      </c>
      <c r="AD283" s="26">
        <f t="shared" si="22"/>
        <v>5</v>
      </c>
      <c r="AE283" s="26">
        <f t="shared" ca="1" si="24"/>
        <v>275.02220914352074</v>
      </c>
      <c r="AF283" s="35"/>
    </row>
    <row r="284" spans="1:32" hidden="1">
      <c r="A284" s="209">
        <v>8623122</v>
      </c>
      <c r="B284" s="209" t="s">
        <v>27</v>
      </c>
      <c r="C284" s="210" t="s">
        <v>186</v>
      </c>
      <c r="D284" s="214"/>
      <c r="E284" s="214">
        <v>1264000206001</v>
      </c>
      <c r="F284" s="209" t="s">
        <v>29</v>
      </c>
      <c r="G284" s="209" t="s">
        <v>53</v>
      </c>
      <c r="H284" s="209" t="s">
        <v>351</v>
      </c>
      <c r="I284" s="209" t="s">
        <v>352</v>
      </c>
      <c r="J284" s="209" t="s">
        <v>110</v>
      </c>
      <c r="K284" s="210" t="s">
        <v>34</v>
      </c>
      <c r="L284" s="210"/>
      <c r="M284" s="209" t="s">
        <v>35</v>
      </c>
      <c r="N284" s="209">
        <v>42318949</v>
      </c>
      <c r="O284" s="209" t="s">
        <v>105</v>
      </c>
      <c r="P284" s="213">
        <v>44711.654062499998</v>
      </c>
      <c r="Q284" s="209"/>
      <c r="R284" s="209" t="s">
        <v>38</v>
      </c>
      <c r="S284" s="209"/>
      <c r="T284" s="209" t="s">
        <v>74</v>
      </c>
      <c r="U284" s="213">
        <v>44711.75</v>
      </c>
      <c r="V284" s="209" t="s">
        <v>41</v>
      </c>
      <c r="W284" s="209" t="s">
        <v>49</v>
      </c>
      <c r="X284" s="13" t="str">
        <f>IF(RIGHT(H284,2)&lt;&gt;"00",H284,"")</f>
        <v/>
      </c>
      <c r="Y284" s="26">
        <f ca="1">NETWORKDAYS(P284,$Y$1)</f>
        <v>198</v>
      </c>
      <c r="Z284" s="34">
        <v>1</v>
      </c>
      <c r="AA284" s="25" t="str">
        <f t="shared" ca="1" si="23"/>
        <v>A VENCER</v>
      </c>
      <c r="AB284" s="25" t="str">
        <f t="shared" si="21"/>
        <v>Dosa</v>
      </c>
      <c r="AC284" s="2" t="str">
        <f t="shared" si="25"/>
        <v xml:space="preserve"> CRISTINA </v>
      </c>
      <c r="AD284" s="26">
        <f t="shared" si="22"/>
        <v>5</v>
      </c>
      <c r="AE284" s="26">
        <f t="shared" ca="1" si="24"/>
        <v>275.02220914352074</v>
      </c>
      <c r="AF284" s="35"/>
    </row>
    <row r="285" spans="1:32" hidden="1">
      <c r="A285" s="209">
        <v>8622823</v>
      </c>
      <c r="B285" s="209" t="s">
        <v>27</v>
      </c>
      <c r="C285" s="210" t="s">
        <v>186</v>
      </c>
      <c r="D285" s="214"/>
      <c r="E285" s="214">
        <v>2855000206001</v>
      </c>
      <c r="F285" s="209" t="s">
        <v>29</v>
      </c>
      <c r="G285" s="209" t="s">
        <v>53</v>
      </c>
      <c r="H285" s="209" t="s">
        <v>249</v>
      </c>
      <c r="I285" s="209" t="s">
        <v>250</v>
      </c>
      <c r="J285" s="209" t="s">
        <v>56</v>
      </c>
      <c r="K285" s="210" t="s">
        <v>34</v>
      </c>
      <c r="L285" s="210"/>
      <c r="M285" s="209" t="s">
        <v>35</v>
      </c>
      <c r="N285" s="209">
        <v>42318949</v>
      </c>
      <c r="O285" s="209" t="s">
        <v>105</v>
      </c>
      <c r="P285" s="213">
        <v>44711.653692129628</v>
      </c>
      <c r="Q285" s="209"/>
      <c r="R285" s="209" t="s">
        <v>38</v>
      </c>
      <c r="S285" s="209"/>
      <c r="T285" s="209" t="s">
        <v>74</v>
      </c>
      <c r="U285" s="213">
        <v>44711.75</v>
      </c>
      <c r="V285" s="209" t="s">
        <v>41</v>
      </c>
      <c r="W285" s="209" t="s">
        <v>49</v>
      </c>
      <c r="X285" s="13" t="str">
        <f>IF(RIGHT(H285,2)&lt;&gt;"00",H285,"")</f>
        <v/>
      </c>
      <c r="Y285" s="26">
        <f ca="1">NETWORKDAYS(P285,$Y$1)</f>
        <v>198</v>
      </c>
      <c r="Z285" s="34">
        <v>1</v>
      </c>
      <c r="AA285" s="25" t="str">
        <f t="shared" ca="1" si="23"/>
        <v>A VENCER</v>
      </c>
      <c r="AB285" s="25" t="str">
        <f t="shared" ref="AB285:AB348" si="26">IF(F285="GRPE-000001","C-14",IF(F285="GRPE-000002","C-14",IF(F285="GRPE-000003","C-14",IF(F285="GRPE-000004","SL-On",IF(F285="GRPE-000038","C-14",IF(F285="GRPE-900022","Dosa",IF(F285="GRPE-000029","Dosa",IF(F285="ATOS-000222","Dose","TAAe+"))))))))</f>
        <v>Dosa</v>
      </c>
      <c r="AC285" s="2" t="str">
        <f t="shared" si="25"/>
        <v xml:space="preserve"> CRISTINA </v>
      </c>
      <c r="AD285" s="26">
        <f t="shared" ref="AD285:AD348" si="27">IF(F285="GRPE-000001",5,IF(F285="GRPE-000002",5,IF(F285="GRPE-000003",15,IF(F285="GRPE-000004",1,IF(F285="GRPE-000038",5,IF(F285="GRPE-900022",5,IF(F285="GRPE-000029",5,IF(F285="ATOS-000222",5,8))))))))</f>
        <v>5</v>
      </c>
      <c r="AE285" s="26">
        <f t="shared" ca="1" si="24"/>
        <v>275.02257951389038</v>
      </c>
      <c r="AF285" s="35"/>
    </row>
    <row r="286" spans="1:32" hidden="1">
      <c r="A286" s="209">
        <v>8622810</v>
      </c>
      <c r="B286" s="209" t="s">
        <v>27</v>
      </c>
      <c r="C286" s="210" t="s">
        <v>186</v>
      </c>
      <c r="D286" s="214"/>
      <c r="E286" s="214">
        <v>1650000206001</v>
      </c>
      <c r="F286" s="209" t="s">
        <v>29</v>
      </c>
      <c r="G286" s="209" t="s">
        <v>53</v>
      </c>
      <c r="H286" s="209" t="s">
        <v>620</v>
      </c>
      <c r="I286" s="209" t="s">
        <v>621</v>
      </c>
      <c r="J286" s="209" t="s">
        <v>141</v>
      </c>
      <c r="K286" s="210" t="s">
        <v>34</v>
      </c>
      <c r="L286" s="210"/>
      <c r="M286" s="209" t="s">
        <v>35</v>
      </c>
      <c r="N286" s="209">
        <v>42318949</v>
      </c>
      <c r="O286" s="209" t="s">
        <v>105</v>
      </c>
      <c r="P286" s="213">
        <v>44711.653668981482</v>
      </c>
      <c r="Q286" s="209"/>
      <c r="R286" s="209" t="s">
        <v>38</v>
      </c>
      <c r="S286" s="209"/>
      <c r="T286" s="209" t="s">
        <v>74</v>
      </c>
      <c r="U286" s="213">
        <v>44711.75</v>
      </c>
      <c r="V286" s="209" t="s">
        <v>41</v>
      </c>
      <c r="W286" s="209" t="s">
        <v>49</v>
      </c>
      <c r="X286" s="13" t="str">
        <f>IF(RIGHT(H286,2)&lt;&gt;"00",H286,"")</f>
        <v/>
      </c>
      <c r="Y286" s="26">
        <f ca="1">NETWORKDAYS(P286,$Y$1)</f>
        <v>198</v>
      </c>
      <c r="Z286" s="34">
        <v>1</v>
      </c>
      <c r="AA286" s="25" t="str">
        <f t="shared" ca="1" si="23"/>
        <v>A VENCER</v>
      </c>
      <c r="AB286" s="25" t="str">
        <f t="shared" si="26"/>
        <v>Dosa</v>
      </c>
      <c r="AC286" s="2" t="str">
        <f t="shared" si="25"/>
        <v xml:space="preserve"> CRISTINA </v>
      </c>
      <c r="AD286" s="26">
        <f t="shared" si="27"/>
        <v>5</v>
      </c>
      <c r="AE286" s="26">
        <f t="shared" ca="1" si="24"/>
        <v>275.02260266203666</v>
      </c>
      <c r="AF286" s="35"/>
    </row>
    <row r="287" spans="1:32" hidden="1">
      <c r="A287" s="209">
        <v>8622790</v>
      </c>
      <c r="B287" s="209" t="s">
        <v>27</v>
      </c>
      <c r="C287" s="210" t="s">
        <v>186</v>
      </c>
      <c r="D287" s="214"/>
      <c r="E287" s="214">
        <v>1664000206001</v>
      </c>
      <c r="F287" s="209" t="s">
        <v>29</v>
      </c>
      <c r="G287" s="209" t="s">
        <v>53</v>
      </c>
      <c r="H287" s="209" t="s">
        <v>307</v>
      </c>
      <c r="I287" s="209" t="s">
        <v>308</v>
      </c>
      <c r="J287" s="209" t="s">
        <v>164</v>
      </c>
      <c r="K287" s="210" t="s">
        <v>34</v>
      </c>
      <c r="L287" s="210"/>
      <c r="M287" s="209" t="s">
        <v>35</v>
      </c>
      <c r="N287" s="209">
        <v>42318949</v>
      </c>
      <c r="O287" s="209" t="s">
        <v>105</v>
      </c>
      <c r="P287" s="213">
        <v>44711.653645833336</v>
      </c>
      <c r="Q287" s="209"/>
      <c r="R287" s="209" t="s">
        <v>38</v>
      </c>
      <c r="S287" s="209"/>
      <c r="T287" s="209" t="s">
        <v>74</v>
      </c>
      <c r="U287" s="213">
        <v>44711.75</v>
      </c>
      <c r="V287" s="209" t="s">
        <v>41</v>
      </c>
      <c r="W287" s="209" t="s">
        <v>49</v>
      </c>
      <c r="X287" s="13" t="str">
        <f>IF(RIGHT(H287,2)&lt;&gt;"00",H287,"")</f>
        <v/>
      </c>
      <c r="Y287" s="26">
        <f ca="1">NETWORKDAYS(P287,$Y$1)</f>
        <v>198</v>
      </c>
      <c r="Z287" s="34">
        <v>1</v>
      </c>
      <c r="AA287" s="25" t="str">
        <f t="shared" ca="1" si="23"/>
        <v>A VENCER</v>
      </c>
      <c r="AB287" s="25" t="str">
        <f t="shared" si="26"/>
        <v>Dosa</v>
      </c>
      <c r="AC287" s="2" t="str">
        <f t="shared" si="25"/>
        <v xml:space="preserve"> ROSEMERE </v>
      </c>
      <c r="AD287" s="26">
        <f t="shared" si="27"/>
        <v>5</v>
      </c>
      <c r="AE287" s="26">
        <f t="shared" ca="1" si="24"/>
        <v>275.02262581018294</v>
      </c>
      <c r="AF287" s="35"/>
    </row>
    <row r="288" spans="1:32" hidden="1">
      <c r="A288" s="209">
        <v>8622781</v>
      </c>
      <c r="B288" s="209" t="s">
        <v>27</v>
      </c>
      <c r="C288" s="210" t="s">
        <v>186</v>
      </c>
      <c r="D288" s="214"/>
      <c r="E288" s="214">
        <v>834000206001</v>
      </c>
      <c r="F288" s="209" t="s">
        <v>29</v>
      </c>
      <c r="G288" s="209" t="s">
        <v>53</v>
      </c>
      <c r="H288" s="209" t="s">
        <v>367</v>
      </c>
      <c r="I288" s="209" t="s">
        <v>368</v>
      </c>
      <c r="J288" s="209" t="s">
        <v>261</v>
      </c>
      <c r="K288" s="210" t="s">
        <v>34</v>
      </c>
      <c r="L288" s="210"/>
      <c r="M288" s="209" t="s">
        <v>35</v>
      </c>
      <c r="N288" s="209">
        <v>42318949</v>
      </c>
      <c r="O288" s="209" t="s">
        <v>105</v>
      </c>
      <c r="P288" s="213">
        <v>44711.653634259259</v>
      </c>
      <c r="Q288" s="209"/>
      <c r="R288" s="209" t="s">
        <v>38</v>
      </c>
      <c r="S288" s="209"/>
      <c r="T288" s="209" t="s">
        <v>74</v>
      </c>
      <c r="U288" s="213">
        <v>44711.75</v>
      </c>
      <c r="V288" s="209" t="s">
        <v>41</v>
      </c>
      <c r="W288" s="209" t="s">
        <v>49</v>
      </c>
      <c r="X288" s="13" t="str">
        <f>IF(RIGHT(H288,2)&lt;&gt;"00",H288,"")</f>
        <v/>
      </c>
      <c r="Y288" s="26">
        <f ca="1">NETWORKDAYS(P288,$Y$1)</f>
        <v>198</v>
      </c>
      <c r="Z288" s="34">
        <v>1</v>
      </c>
      <c r="AA288" s="25" t="str">
        <f t="shared" ca="1" si="23"/>
        <v>A VENCER</v>
      </c>
      <c r="AB288" s="25" t="str">
        <f t="shared" si="26"/>
        <v>Dosa</v>
      </c>
      <c r="AC288" s="2" t="str">
        <f t="shared" si="25"/>
        <v xml:space="preserve"> CRISTINA </v>
      </c>
      <c r="AD288" s="26">
        <f t="shared" si="27"/>
        <v>5</v>
      </c>
      <c r="AE288" s="26">
        <f t="shared" ca="1" si="24"/>
        <v>275.02263738425972</v>
      </c>
      <c r="AF288" s="35"/>
    </row>
    <row r="289" spans="1:32" hidden="1">
      <c r="A289" s="209">
        <v>8622757</v>
      </c>
      <c r="B289" s="209" t="s">
        <v>27</v>
      </c>
      <c r="C289" s="210" t="s">
        <v>186</v>
      </c>
      <c r="D289" s="214"/>
      <c r="E289" s="214">
        <v>5740000206001</v>
      </c>
      <c r="F289" s="209" t="s">
        <v>29</v>
      </c>
      <c r="G289" s="209" t="s">
        <v>53</v>
      </c>
      <c r="H289" s="209" t="s">
        <v>626</v>
      </c>
      <c r="I289" s="209" t="s">
        <v>627</v>
      </c>
      <c r="J289" s="209" t="s">
        <v>46</v>
      </c>
      <c r="K289" s="210" t="s">
        <v>34</v>
      </c>
      <c r="L289" s="210"/>
      <c r="M289" s="209" t="s">
        <v>35</v>
      </c>
      <c r="N289" s="209">
        <v>42318949</v>
      </c>
      <c r="O289" s="209" t="s">
        <v>105</v>
      </c>
      <c r="P289" s="213">
        <v>44711.653599537036</v>
      </c>
      <c r="Q289" s="209"/>
      <c r="R289" s="209" t="s">
        <v>38</v>
      </c>
      <c r="S289" s="209"/>
      <c r="T289" s="209" t="s">
        <v>74</v>
      </c>
      <c r="U289" s="213">
        <v>44711.75</v>
      </c>
      <c r="V289" s="209" t="s">
        <v>41</v>
      </c>
      <c r="W289" s="209" t="s">
        <v>49</v>
      </c>
      <c r="X289" s="13" t="str">
        <f>IF(RIGHT(H289,2)&lt;&gt;"00",H289,"")</f>
        <v/>
      </c>
      <c r="Y289" s="26">
        <f ca="1">NETWORKDAYS(P289,$Y$1)</f>
        <v>198</v>
      </c>
      <c r="Z289" s="34">
        <v>1</v>
      </c>
      <c r="AA289" s="25" t="str">
        <f t="shared" ca="1" si="23"/>
        <v>A VENCER</v>
      </c>
      <c r="AB289" s="25" t="str">
        <f t="shared" si="26"/>
        <v>Dosa</v>
      </c>
      <c r="AC289" s="2" t="str">
        <f t="shared" si="25"/>
        <v xml:space="preserve"> CLEITON </v>
      </c>
      <c r="AD289" s="26">
        <f t="shared" si="27"/>
        <v>5</v>
      </c>
      <c r="AE289" s="26">
        <f t="shared" ca="1" si="24"/>
        <v>275.02267210648279</v>
      </c>
      <c r="AF289" s="35"/>
    </row>
    <row r="290" spans="1:32" hidden="1">
      <c r="A290" s="209">
        <v>8622462</v>
      </c>
      <c r="B290" s="209" t="s">
        <v>27</v>
      </c>
      <c r="C290" s="210" t="s">
        <v>186</v>
      </c>
      <c r="D290" s="214"/>
      <c r="E290" s="214">
        <v>3234150206001</v>
      </c>
      <c r="F290" s="209" t="s">
        <v>29</v>
      </c>
      <c r="G290" s="209" t="s">
        <v>53</v>
      </c>
      <c r="H290" s="209" t="s">
        <v>629</v>
      </c>
      <c r="I290" s="209" t="s">
        <v>630</v>
      </c>
      <c r="J290" s="209" t="s">
        <v>46</v>
      </c>
      <c r="K290" s="210" t="s">
        <v>34</v>
      </c>
      <c r="L290" s="210"/>
      <c r="M290" s="209" t="s">
        <v>35</v>
      </c>
      <c r="N290" s="209">
        <v>42318949</v>
      </c>
      <c r="O290" s="209" t="s">
        <v>105</v>
      </c>
      <c r="P290" s="213">
        <v>44711.653229166666</v>
      </c>
      <c r="Q290" s="209"/>
      <c r="R290" s="209" t="s">
        <v>38</v>
      </c>
      <c r="S290" s="209"/>
      <c r="T290" s="209" t="s">
        <v>74</v>
      </c>
      <c r="U290" s="213">
        <v>44711.75</v>
      </c>
      <c r="V290" s="209" t="s">
        <v>41</v>
      </c>
      <c r="W290" s="209" t="s">
        <v>49</v>
      </c>
      <c r="X290" s="13" t="str">
        <f>IF(RIGHT(H290,2)&lt;&gt;"00",H290,"")</f>
        <v>3234.15</v>
      </c>
      <c r="Y290" s="26">
        <f ca="1">NETWORKDAYS(P290,$Y$1)</f>
        <v>198</v>
      </c>
      <c r="Z290" s="34">
        <v>1</v>
      </c>
      <c r="AA290" s="25" t="str">
        <f t="shared" ca="1" si="23"/>
        <v>A VENCER</v>
      </c>
      <c r="AB290" s="25" t="str">
        <f t="shared" si="26"/>
        <v>Dosa</v>
      </c>
      <c r="AC290" s="2" t="str">
        <f t="shared" si="25"/>
        <v xml:space="preserve"> CLEITON </v>
      </c>
      <c r="AD290" s="26">
        <f t="shared" si="27"/>
        <v>5</v>
      </c>
      <c r="AE290" s="26">
        <f t="shared" ca="1" si="24"/>
        <v>275.02304247685242</v>
      </c>
      <c r="AF290" s="35"/>
    </row>
    <row r="291" spans="1:32" hidden="1">
      <c r="A291" s="209">
        <v>8622404</v>
      </c>
      <c r="B291" s="209" t="s">
        <v>27</v>
      </c>
      <c r="C291" s="210" t="s">
        <v>186</v>
      </c>
      <c r="D291" s="214"/>
      <c r="E291" s="214">
        <v>4235000206001</v>
      </c>
      <c r="F291" s="209" t="s">
        <v>29</v>
      </c>
      <c r="G291" s="209" t="s">
        <v>53</v>
      </c>
      <c r="H291" s="209" t="s">
        <v>291</v>
      </c>
      <c r="I291" s="209" t="s">
        <v>292</v>
      </c>
      <c r="J291" s="209" t="s">
        <v>46</v>
      </c>
      <c r="K291" s="210" t="s">
        <v>34</v>
      </c>
      <c r="L291" s="210"/>
      <c r="M291" s="209" t="s">
        <v>35</v>
      </c>
      <c r="N291" s="209">
        <v>42318949</v>
      </c>
      <c r="O291" s="209" t="s">
        <v>105</v>
      </c>
      <c r="P291" s="213">
        <v>44711.65315972222</v>
      </c>
      <c r="Q291" s="209"/>
      <c r="R291" s="209" t="s">
        <v>38</v>
      </c>
      <c r="S291" s="209"/>
      <c r="T291" s="209" t="s">
        <v>74</v>
      </c>
      <c r="U291" s="213">
        <v>44711.75</v>
      </c>
      <c r="V291" s="209" t="s">
        <v>41</v>
      </c>
      <c r="W291" s="209" t="s">
        <v>49</v>
      </c>
      <c r="X291" s="13" t="str">
        <f>IF(RIGHT(H291,2)&lt;&gt;"00",H291,"")</f>
        <v/>
      </c>
      <c r="Y291" s="26">
        <f ca="1">NETWORKDAYS(P291,$Y$1)</f>
        <v>198</v>
      </c>
      <c r="Z291" s="34">
        <v>1</v>
      </c>
      <c r="AA291" s="25" t="str">
        <f t="shared" ca="1" si="23"/>
        <v>A VENCER</v>
      </c>
      <c r="AB291" s="25" t="str">
        <f t="shared" si="26"/>
        <v>Dosa</v>
      </c>
      <c r="AC291" s="2" t="str">
        <f t="shared" si="25"/>
        <v xml:space="preserve"> CLEITON </v>
      </c>
      <c r="AD291" s="26">
        <f t="shared" si="27"/>
        <v>5</v>
      </c>
      <c r="AE291" s="26">
        <f t="shared" ca="1" si="24"/>
        <v>275.02311192129855</v>
      </c>
      <c r="AF291" s="35"/>
    </row>
    <row r="292" spans="1:32" hidden="1">
      <c r="A292" s="209">
        <v>8622376</v>
      </c>
      <c r="B292" s="209" t="s">
        <v>27</v>
      </c>
      <c r="C292" s="210" t="s">
        <v>186</v>
      </c>
      <c r="D292" s="214"/>
      <c r="E292" s="214">
        <v>4357000206001</v>
      </c>
      <c r="F292" s="209" t="s">
        <v>29</v>
      </c>
      <c r="G292" s="209" t="s">
        <v>53</v>
      </c>
      <c r="H292" s="209" t="s">
        <v>633</v>
      </c>
      <c r="I292" s="209" t="s">
        <v>634</v>
      </c>
      <c r="J292" s="209" t="s">
        <v>46</v>
      </c>
      <c r="K292" s="210" t="s">
        <v>34</v>
      </c>
      <c r="L292" s="210"/>
      <c r="M292" s="209" t="s">
        <v>35</v>
      </c>
      <c r="N292" s="209">
        <v>42318949</v>
      </c>
      <c r="O292" s="209" t="s">
        <v>36</v>
      </c>
      <c r="P292" s="213">
        <v>44711.653113425928</v>
      </c>
      <c r="Q292" s="209"/>
      <c r="R292" s="209" t="s">
        <v>38</v>
      </c>
      <c r="S292" s="209"/>
      <c r="T292" s="209" t="s">
        <v>74</v>
      </c>
      <c r="U292" s="213">
        <v>44711.75</v>
      </c>
      <c r="V292" s="209" t="s">
        <v>41</v>
      </c>
      <c r="W292" s="209" t="s">
        <v>49</v>
      </c>
      <c r="X292" s="13" t="str">
        <f>IF(RIGHT(H292,2)&lt;&gt;"00",H292,"")</f>
        <v/>
      </c>
      <c r="Y292" s="26">
        <f ca="1">NETWORKDAYS(P292,$Y$1)</f>
        <v>198</v>
      </c>
      <c r="Z292" s="34">
        <v>1</v>
      </c>
      <c r="AA292" s="25" t="str">
        <f t="shared" ca="1" si="23"/>
        <v>A VENCER</v>
      </c>
      <c r="AB292" s="25" t="str">
        <f t="shared" si="26"/>
        <v>Dosa</v>
      </c>
      <c r="AC292" s="2" t="str">
        <f t="shared" si="25"/>
        <v xml:space="preserve"> CLEITON </v>
      </c>
      <c r="AD292" s="26">
        <f t="shared" si="27"/>
        <v>5</v>
      </c>
      <c r="AE292" s="26">
        <f t="shared" ca="1" si="24"/>
        <v>275.02315821759112</v>
      </c>
      <c r="AF292" s="35"/>
    </row>
    <row r="293" spans="1:32" hidden="1">
      <c r="A293" s="209">
        <v>8622369</v>
      </c>
      <c r="B293" s="209" t="s">
        <v>27</v>
      </c>
      <c r="C293" s="210" t="s">
        <v>186</v>
      </c>
      <c r="D293" s="214"/>
      <c r="E293" s="214">
        <v>3243000206001</v>
      </c>
      <c r="F293" s="209" t="s">
        <v>29</v>
      </c>
      <c r="G293" s="209" t="s">
        <v>53</v>
      </c>
      <c r="H293" s="209" t="s">
        <v>282</v>
      </c>
      <c r="I293" s="209" t="s">
        <v>283</v>
      </c>
      <c r="J293" s="209" t="s">
        <v>46</v>
      </c>
      <c r="K293" s="210" t="s">
        <v>34</v>
      </c>
      <c r="L293" s="210"/>
      <c r="M293" s="209" t="s">
        <v>35</v>
      </c>
      <c r="N293" s="209">
        <v>42318949</v>
      </c>
      <c r="O293" s="209" t="s">
        <v>105</v>
      </c>
      <c r="P293" s="213">
        <v>44711.653113425928</v>
      </c>
      <c r="Q293" s="209"/>
      <c r="R293" s="209" t="s">
        <v>38</v>
      </c>
      <c r="S293" s="209"/>
      <c r="T293" s="209" t="s">
        <v>74</v>
      </c>
      <c r="U293" s="213">
        <v>44711.75</v>
      </c>
      <c r="V293" s="209" t="s">
        <v>41</v>
      </c>
      <c r="W293" s="209" t="s">
        <v>49</v>
      </c>
      <c r="X293" s="13" t="str">
        <f>IF(RIGHT(H293,2)&lt;&gt;"00",H293,"")</f>
        <v/>
      </c>
      <c r="Y293" s="26">
        <f ca="1">NETWORKDAYS(P293,$Y$1)</f>
        <v>198</v>
      </c>
      <c r="Z293" s="34">
        <v>1</v>
      </c>
      <c r="AA293" s="25" t="str">
        <f t="shared" ca="1" si="23"/>
        <v>A VENCER</v>
      </c>
      <c r="AB293" s="25" t="str">
        <f t="shared" si="26"/>
        <v>Dosa</v>
      </c>
      <c r="AC293" s="2" t="str">
        <f t="shared" si="25"/>
        <v xml:space="preserve"> CLEITON </v>
      </c>
      <c r="AD293" s="26">
        <f t="shared" si="27"/>
        <v>5</v>
      </c>
      <c r="AE293" s="26">
        <f t="shared" ca="1" si="24"/>
        <v>275.02315821759112</v>
      </c>
      <c r="AF293" s="35"/>
    </row>
    <row r="294" spans="1:32" hidden="1">
      <c r="A294" s="209">
        <v>8622191</v>
      </c>
      <c r="B294" s="209" t="s">
        <v>27</v>
      </c>
      <c r="C294" s="210" t="s">
        <v>186</v>
      </c>
      <c r="D294" s="214"/>
      <c r="E294" s="214">
        <v>2988000206001</v>
      </c>
      <c r="F294" s="209" t="s">
        <v>29</v>
      </c>
      <c r="G294" s="209" t="s">
        <v>53</v>
      </c>
      <c r="H294" s="209" t="s">
        <v>536</v>
      </c>
      <c r="I294" s="209" t="s">
        <v>537</v>
      </c>
      <c r="J294" s="209" t="s">
        <v>46</v>
      </c>
      <c r="K294" s="210" t="s">
        <v>34</v>
      </c>
      <c r="L294" s="210"/>
      <c r="M294" s="209" t="s">
        <v>35</v>
      </c>
      <c r="N294" s="209">
        <v>42318949</v>
      </c>
      <c r="O294" s="209" t="s">
        <v>36</v>
      </c>
      <c r="P294" s="213">
        <v>44711.652870370373</v>
      </c>
      <c r="Q294" s="209"/>
      <c r="R294" s="209" t="s">
        <v>38</v>
      </c>
      <c r="S294" s="209"/>
      <c r="T294" s="209" t="s">
        <v>74</v>
      </c>
      <c r="U294" s="213">
        <v>44711.75</v>
      </c>
      <c r="V294" s="209" t="s">
        <v>41</v>
      </c>
      <c r="W294" s="209" t="s">
        <v>49</v>
      </c>
      <c r="X294" s="13" t="str">
        <f>IF(RIGHT(H294,2)&lt;&gt;"00",H294,"")</f>
        <v/>
      </c>
      <c r="Y294" s="26">
        <f ca="1">NETWORKDAYS(P294,$Y$1)</f>
        <v>198</v>
      </c>
      <c r="Z294" s="34">
        <v>1</v>
      </c>
      <c r="AA294" s="25" t="str">
        <f t="shared" ca="1" si="23"/>
        <v>A VENCER</v>
      </c>
      <c r="AB294" s="25" t="str">
        <f t="shared" si="26"/>
        <v>Dosa</v>
      </c>
      <c r="AC294" s="2" t="str">
        <f t="shared" si="25"/>
        <v xml:space="preserve"> CLEITON </v>
      </c>
      <c r="AD294" s="26">
        <f t="shared" si="27"/>
        <v>5</v>
      </c>
      <c r="AE294" s="26">
        <f t="shared" ca="1" si="24"/>
        <v>275.02340127314528</v>
      </c>
      <c r="AF294" s="35"/>
    </row>
    <row r="295" spans="1:32" hidden="1">
      <c r="A295" s="209">
        <v>8622149</v>
      </c>
      <c r="B295" s="209" t="s">
        <v>27</v>
      </c>
      <c r="C295" s="210" t="s">
        <v>186</v>
      </c>
      <c r="D295" s="214"/>
      <c r="E295" s="214">
        <v>3699000206001</v>
      </c>
      <c r="F295" s="209" t="s">
        <v>29</v>
      </c>
      <c r="G295" s="209" t="s">
        <v>53</v>
      </c>
      <c r="H295" s="209" t="s">
        <v>343</v>
      </c>
      <c r="I295" s="209" t="s">
        <v>344</v>
      </c>
      <c r="J295" s="209" t="s">
        <v>46</v>
      </c>
      <c r="K295" s="210" t="s">
        <v>34</v>
      </c>
      <c r="L295" s="210"/>
      <c r="M295" s="209" t="s">
        <v>35</v>
      </c>
      <c r="N295" s="209">
        <v>42318949</v>
      </c>
      <c r="O295" s="209" t="s">
        <v>105</v>
      </c>
      <c r="P295" s="213">
        <v>44711.652824074074</v>
      </c>
      <c r="Q295" s="209"/>
      <c r="R295" s="209" t="s">
        <v>38</v>
      </c>
      <c r="S295" s="209"/>
      <c r="T295" s="209" t="s">
        <v>74</v>
      </c>
      <c r="U295" s="213">
        <v>44711.75</v>
      </c>
      <c r="V295" s="209" t="s">
        <v>41</v>
      </c>
      <c r="W295" s="209" t="s">
        <v>49</v>
      </c>
      <c r="X295" s="13" t="str">
        <f>IF(RIGHT(H295,2)&lt;&gt;"00",H295,"")</f>
        <v/>
      </c>
      <c r="Y295" s="26">
        <f ca="1">NETWORKDAYS(P295,$Y$1)</f>
        <v>198</v>
      </c>
      <c r="Z295" s="34">
        <v>1</v>
      </c>
      <c r="AA295" s="25" t="str">
        <f t="shared" ca="1" si="23"/>
        <v>A VENCER</v>
      </c>
      <c r="AB295" s="25" t="str">
        <f t="shared" si="26"/>
        <v>Dosa</v>
      </c>
      <c r="AC295" s="2" t="str">
        <f t="shared" si="25"/>
        <v xml:space="preserve"> CLEITON </v>
      </c>
      <c r="AD295" s="26">
        <f t="shared" si="27"/>
        <v>5</v>
      </c>
      <c r="AE295" s="26">
        <f t="shared" ca="1" si="24"/>
        <v>275.02344756944512</v>
      </c>
      <c r="AF295" s="35"/>
    </row>
    <row r="296" spans="1:32" hidden="1">
      <c r="A296" s="209">
        <v>8622140</v>
      </c>
      <c r="B296" s="209" t="s">
        <v>27</v>
      </c>
      <c r="C296" s="210" t="s">
        <v>186</v>
      </c>
      <c r="D296" s="214"/>
      <c r="E296" s="214">
        <v>1833000206001</v>
      </c>
      <c r="F296" s="209" t="s">
        <v>29</v>
      </c>
      <c r="G296" s="209" t="s">
        <v>53</v>
      </c>
      <c r="H296" s="209" t="s">
        <v>369</v>
      </c>
      <c r="I296" s="209" t="s">
        <v>370</v>
      </c>
      <c r="J296" s="209" t="s">
        <v>46</v>
      </c>
      <c r="K296" s="210" t="s">
        <v>34</v>
      </c>
      <c r="L296" s="210"/>
      <c r="M296" s="209" t="s">
        <v>35</v>
      </c>
      <c r="N296" s="209">
        <v>42318949</v>
      </c>
      <c r="O296" s="209" t="s">
        <v>105</v>
      </c>
      <c r="P296" s="213">
        <v>44711.652812499997</v>
      </c>
      <c r="Q296" s="209"/>
      <c r="R296" s="209" t="s">
        <v>38</v>
      </c>
      <c r="S296" s="209"/>
      <c r="T296" s="209" t="s">
        <v>74</v>
      </c>
      <c r="U296" s="213">
        <v>44711.75</v>
      </c>
      <c r="V296" s="209" t="s">
        <v>41</v>
      </c>
      <c r="W296" s="209" t="s">
        <v>49</v>
      </c>
      <c r="X296" s="13" t="str">
        <f>IF(RIGHT(H296,2)&lt;&gt;"00",H296,"")</f>
        <v/>
      </c>
      <c r="Y296" s="26">
        <f ca="1">NETWORKDAYS(P296,$Y$1)</f>
        <v>198</v>
      </c>
      <c r="Z296" s="34">
        <v>1</v>
      </c>
      <c r="AA296" s="25" t="str">
        <f t="shared" ca="1" si="23"/>
        <v>A VENCER</v>
      </c>
      <c r="AB296" s="25" t="str">
        <f t="shared" si="26"/>
        <v>Dosa</v>
      </c>
      <c r="AC296" s="2" t="str">
        <f t="shared" si="25"/>
        <v xml:space="preserve"> CLEITON </v>
      </c>
      <c r="AD296" s="26">
        <f t="shared" si="27"/>
        <v>5</v>
      </c>
      <c r="AE296" s="26">
        <f t="shared" ca="1" si="24"/>
        <v>275.0234591435219</v>
      </c>
      <c r="AF296" s="35"/>
    </row>
    <row r="297" spans="1:32" hidden="1">
      <c r="A297" s="209">
        <v>8622104</v>
      </c>
      <c r="B297" s="209" t="s">
        <v>27</v>
      </c>
      <c r="C297" s="210" t="s">
        <v>186</v>
      </c>
      <c r="D297" s="214"/>
      <c r="E297" s="214">
        <v>1838000206001</v>
      </c>
      <c r="F297" s="209" t="s">
        <v>29</v>
      </c>
      <c r="G297" s="209" t="s">
        <v>53</v>
      </c>
      <c r="H297" s="209" t="s">
        <v>357</v>
      </c>
      <c r="I297" s="209" t="s">
        <v>358</v>
      </c>
      <c r="J297" s="209" t="s">
        <v>46</v>
      </c>
      <c r="K297" s="210" t="s">
        <v>34</v>
      </c>
      <c r="L297" s="210"/>
      <c r="M297" s="209" t="s">
        <v>35</v>
      </c>
      <c r="N297" s="209">
        <v>42318949</v>
      </c>
      <c r="O297" s="209" t="s">
        <v>36</v>
      </c>
      <c r="P297" s="213">
        <v>44711.652766203704</v>
      </c>
      <c r="Q297" s="209"/>
      <c r="R297" s="209" t="s">
        <v>38</v>
      </c>
      <c r="S297" s="209"/>
      <c r="T297" s="209" t="s">
        <v>74</v>
      </c>
      <c r="U297" s="213">
        <v>44711.75</v>
      </c>
      <c r="V297" s="209" t="s">
        <v>41</v>
      </c>
      <c r="W297" s="209" t="s">
        <v>49</v>
      </c>
      <c r="X297" s="13" t="str">
        <f>IF(RIGHT(H297,2)&lt;&gt;"00",H297,"")</f>
        <v/>
      </c>
      <c r="Y297" s="26">
        <f ca="1">NETWORKDAYS(P297,$Y$1)</f>
        <v>198</v>
      </c>
      <c r="Z297" s="34">
        <v>1</v>
      </c>
      <c r="AA297" s="25" t="str">
        <f t="shared" ca="1" si="23"/>
        <v>A VENCER</v>
      </c>
      <c r="AB297" s="25" t="str">
        <f t="shared" si="26"/>
        <v>Dosa</v>
      </c>
      <c r="AC297" s="2" t="str">
        <f t="shared" si="25"/>
        <v xml:space="preserve"> CLEITON </v>
      </c>
      <c r="AD297" s="26">
        <f t="shared" si="27"/>
        <v>5</v>
      </c>
      <c r="AE297" s="26">
        <f t="shared" ca="1" si="24"/>
        <v>275.02350543981447</v>
      </c>
      <c r="AF297" s="35"/>
    </row>
    <row r="298" spans="1:32" hidden="1">
      <c r="A298" s="209">
        <v>8627619</v>
      </c>
      <c r="B298" s="209" t="s">
        <v>27</v>
      </c>
      <c r="C298" s="210" t="s">
        <v>637</v>
      </c>
      <c r="D298" s="214"/>
      <c r="E298" s="214">
        <v>9406000206001</v>
      </c>
      <c r="F298" s="209" t="s">
        <v>29</v>
      </c>
      <c r="G298" s="209" t="s">
        <v>53</v>
      </c>
      <c r="H298" s="209" t="s">
        <v>114</v>
      </c>
      <c r="I298" s="209" t="s">
        <v>115</v>
      </c>
      <c r="J298" s="209" t="s">
        <v>46</v>
      </c>
      <c r="K298" s="210" t="s">
        <v>34</v>
      </c>
      <c r="L298" s="210"/>
      <c r="M298" s="209" t="s">
        <v>35</v>
      </c>
      <c r="N298" s="209">
        <v>42318949</v>
      </c>
      <c r="O298" s="209" t="s">
        <v>36</v>
      </c>
      <c r="P298" s="213">
        <v>44712.701180555552</v>
      </c>
      <c r="Q298" s="209"/>
      <c r="R298" s="209" t="s">
        <v>38</v>
      </c>
      <c r="S298" s="209"/>
      <c r="T298" s="209" t="s">
        <v>74</v>
      </c>
      <c r="U298" s="213">
        <v>44712.75</v>
      </c>
      <c r="V298" s="209" t="s">
        <v>41</v>
      </c>
      <c r="W298" s="209" t="s">
        <v>49</v>
      </c>
      <c r="X298" s="13" t="str">
        <f>IF(RIGHT(H298,2)&lt;&gt;"00",H298,"")</f>
        <v/>
      </c>
      <c r="Y298" s="26">
        <f ca="1">NETWORKDAYS(P298,$Y$1)</f>
        <v>197</v>
      </c>
      <c r="Z298" s="34">
        <v>1</v>
      </c>
      <c r="AA298" s="25" t="str">
        <f t="shared" ca="1" si="23"/>
        <v>A VENCER</v>
      </c>
      <c r="AB298" s="25" t="str">
        <f t="shared" si="26"/>
        <v>Dosa</v>
      </c>
      <c r="AC298" s="2" t="str">
        <f t="shared" si="25"/>
        <v xml:space="preserve"> CLEITON </v>
      </c>
      <c r="AD298" s="26">
        <f t="shared" si="27"/>
        <v>5</v>
      </c>
      <c r="AE298" s="26">
        <f t="shared" ca="1" si="24"/>
        <v>273.97509108796658</v>
      </c>
      <c r="AF298" s="35"/>
    </row>
    <row r="299" spans="1:32" hidden="1">
      <c r="A299" s="209">
        <v>8627312</v>
      </c>
      <c r="B299" s="209" t="s">
        <v>62</v>
      </c>
      <c r="C299" s="210" t="s">
        <v>3578</v>
      </c>
      <c r="D299" s="214"/>
      <c r="E299" s="214">
        <v>1902016423500</v>
      </c>
      <c r="F299" s="209" t="s">
        <v>64</v>
      </c>
      <c r="G299" s="209" t="s">
        <v>53</v>
      </c>
      <c r="H299" s="209" t="s">
        <v>291</v>
      </c>
      <c r="I299" s="209" t="s">
        <v>292</v>
      </c>
      <c r="J299" s="209" t="s">
        <v>46</v>
      </c>
      <c r="K299" s="210" t="s">
        <v>67</v>
      </c>
      <c r="L299" s="210"/>
      <c r="M299" s="209" t="s">
        <v>35</v>
      </c>
      <c r="N299" s="209">
        <v>42318949</v>
      </c>
      <c r="O299" s="209" t="s">
        <v>36</v>
      </c>
      <c r="P299" s="213">
        <v>44712.62332175926</v>
      </c>
      <c r="Q299" s="209"/>
      <c r="R299" s="209">
        <v>1</v>
      </c>
      <c r="S299" s="209"/>
      <c r="T299" s="209" t="s">
        <v>69</v>
      </c>
      <c r="U299" s="213">
        <v>44713.62332175926</v>
      </c>
      <c r="V299" s="209" t="s">
        <v>41</v>
      </c>
      <c r="W299" s="209" t="s">
        <v>49</v>
      </c>
      <c r="X299" s="13" t="str">
        <f>IF(RIGHT(H299,2)&lt;&gt;"00",H299,"")</f>
        <v/>
      </c>
      <c r="Y299" s="26">
        <f ca="1">NETWORKDAYS(P299,$Y$1)</f>
        <v>197</v>
      </c>
      <c r="Z299" s="34">
        <v>1</v>
      </c>
      <c r="AA299" s="25" t="str">
        <f t="shared" ca="1" si="23"/>
        <v>A VENCER</v>
      </c>
      <c r="AB299" s="25" t="str">
        <f t="shared" si="26"/>
        <v>TAAe+</v>
      </c>
      <c r="AC299" s="2" t="str">
        <f t="shared" si="25"/>
        <v xml:space="preserve"> CLEITON </v>
      </c>
      <c r="AD299" s="26">
        <f t="shared" si="27"/>
        <v>8</v>
      </c>
      <c r="AE299" s="26">
        <f t="shared" ca="1" si="24"/>
        <v>274.05294988425885</v>
      </c>
      <c r="AF299" s="35"/>
    </row>
    <row r="300" spans="1:32" hidden="1">
      <c r="A300" s="209">
        <v>8646759</v>
      </c>
      <c r="B300" s="209" t="s">
        <v>101</v>
      </c>
      <c r="C300" s="210" t="s">
        <v>643</v>
      </c>
      <c r="D300" s="214">
        <v>220097008</v>
      </c>
      <c r="E300" s="214">
        <v>1362001400040</v>
      </c>
      <c r="F300" s="209" t="s">
        <v>644</v>
      </c>
      <c r="G300" s="209" t="s">
        <v>53</v>
      </c>
      <c r="H300" s="209" t="s">
        <v>268</v>
      </c>
      <c r="I300" s="209" t="s">
        <v>269</v>
      </c>
      <c r="J300" s="209" t="s">
        <v>90</v>
      </c>
      <c r="K300" s="210" t="s">
        <v>645</v>
      </c>
      <c r="L300" s="210"/>
      <c r="M300" s="209" t="s">
        <v>58</v>
      </c>
      <c r="N300" s="209">
        <v>0</v>
      </c>
      <c r="O300" s="209" t="s">
        <v>105</v>
      </c>
      <c r="P300" s="213">
        <v>44713.458472222221</v>
      </c>
      <c r="Q300" s="209"/>
      <c r="R300" s="209">
        <v>3</v>
      </c>
      <c r="S300" s="209"/>
      <c r="T300" s="209" t="s">
        <v>646</v>
      </c>
      <c r="U300" s="213">
        <v>44714.458472222221</v>
      </c>
      <c r="V300" s="209" t="s">
        <v>41</v>
      </c>
      <c r="W300" s="209" t="s">
        <v>49</v>
      </c>
      <c r="X300" s="13" t="str">
        <f>IF(RIGHT(H300,2)&lt;&gt;"00",H300,"")</f>
        <v/>
      </c>
      <c r="Y300" s="26">
        <f ca="1">NETWORKDAYS(P300,$Y$1)</f>
        <v>196</v>
      </c>
      <c r="Z300" s="34">
        <v>1</v>
      </c>
      <c r="AA300" s="25" t="str">
        <f t="shared" ca="1" si="23"/>
        <v>A VENCER</v>
      </c>
      <c r="AB300" s="25" t="str">
        <f t="shared" si="26"/>
        <v>SL-On</v>
      </c>
      <c r="AC300" s="2" t="str">
        <f t="shared" si="25"/>
        <v xml:space="preserve"> RINALDO </v>
      </c>
      <c r="AD300" s="26">
        <f t="shared" si="27"/>
        <v>1</v>
      </c>
      <c r="AE300" s="26">
        <f t="shared" ca="1" si="24"/>
        <v>273.21779942129797</v>
      </c>
      <c r="AF300" s="35"/>
    </row>
    <row r="301" spans="1:32" hidden="1">
      <c r="A301" s="209">
        <v>8645931</v>
      </c>
      <c r="B301" s="209" t="s">
        <v>101</v>
      </c>
      <c r="C301" s="210" t="s">
        <v>643</v>
      </c>
      <c r="D301" s="214">
        <v>220095864</v>
      </c>
      <c r="E301" s="214">
        <v>1120011400030</v>
      </c>
      <c r="F301" s="209" t="s">
        <v>647</v>
      </c>
      <c r="G301" s="209" t="s">
        <v>53</v>
      </c>
      <c r="H301" s="209" t="s">
        <v>648</v>
      </c>
      <c r="I301" s="209" t="s">
        <v>649</v>
      </c>
      <c r="J301" s="209" t="s">
        <v>164</v>
      </c>
      <c r="K301" s="210" t="s">
        <v>650</v>
      </c>
      <c r="L301" s="210"/>
      <c r="M301" s="209" t="s">
        <v>58</v>
      </c>
      <c r="N301" s="209">
        <v>0</v>
      </c>
      <c r="O301" s="209" t="s">
        <v>105</v>
      </c>
      <c r="P301" s="213">
        <v>44713.426041666666</v>
      </c>
      <c r="Q301" s="209"/>
      <c r="R301" s="209">
        <v>4</v>
      </c>
      <c r="S301" s="209"/>
      <c r="T301" s="209" t="s">
        <v>646</v>
      </c>
      <c r="U301" s="213">
        <v>44714.426053240742</v>
      </c>
      <c r="V301" s="209" t="s">
        <v>41</v>
      </c>
      <c r="W301" s="209" t="s">
        <v>49</v>
      </c>
      <c r="X301" s="13" t="str">
        <f>IF(RIGHT(H301,2)&lt;&gt;"00",H301,"")</f>
        <v>1120.01</v>
      </c>
      <c r="Y301" s="26">
        <f ca="1">NETWORKDAYS(P301,$Y$1)</f>
        <v>196</v>
      </c>
      <c r="Z301" s="34">
        <v>1</v>
      </c>
      <c r="AA301" s="25" t="str">
        <f t="shared" ca="1" si="23"/>
        <v>A VENCER</v>
      </c>
      <c r="AB301" s="25" t="str">
        <f t="shared" si="26"/>
        <v>C-14</v>
      </c>
      <c r="AC301" s="2" t="str">
        <f t="shared" si="25"/>
        <v xml:space="preserve"> ROSEMERE </v>
      </c>
      <c r="AD301" s="26">
        <f t="shared" si="27"/>
        <v>15</v>
      </c>
      <c r="AE301" s="26">
        <f t="shared" ca="1" si="24"/>
        <v>273.25022997685301</v>
      </c>
      <c r="AF301" s="35"/>
    </row>
    <row r="302" spans="1:32" hidden="1">
      <c r="A302" s="209">
        <v>8645897</v>
      </c>
      <c r="B302" s="209" t="s">
        <v>653</v>
      </c>
      <c r="C302" s="210" t="s">
        <v>654</v>
      </c>
      <c r="D302" s="214"/>
      <c r="E302" s="214">
        <v>325001400040</v>
      </c>
      <c r="F302" s="209" t="s">
        <v>644</v>
      </c>
      <c r="G302" s="209" t="s">
        <v>53</v>
      </c>
      <c r="H302" s="209" t="s">
        <v>345</v>
      </c>
      <c r="I302" s="209" t="s">
        <v>346</v>
      </c>
      <c r="J302" s="209" t="s">
        <v>46</v>
      </c>
      <c r="K302" s="210" t="s">
        <v>645</v>
      </c>
      <c r="L302" s="210"/>
      <c r="M302" s="209" t="s">
        <v>58</v>
      </c>
      <c r="N302" s="209">
        <v>0</v>
      </c>
      <c r="O302" s="209" t="s">
        <v>105</v>
      </c>
      <c r="P302" s="213">
        <v>44713.425162037034</v>
      </c>
      <c r="Q302" s="209"/>
      <c r="R302" s="209">
        <v>3</v>
      </c>
      <c r="S302" s="209"/>
      <c r="T302" s="209" t="s">
        <v>646</v>
      </c>
      <c r="U302" s="213">
        <v>44714.425162037034</v>
      </c>
      <c r="V302" s="209" t="s">
        <v>41</v>
      </c>
      <c r="W302" s="209" t="s">
        <v>49</v>
      </c>
      <c r="X302" s="13" t="str">
        <f>IF(RIGHT(H302,2)&lt;&gt;"00",H302,"")</f>
        <v/>
      </c>
      <c r="Y302" s="26">
        <f ca="1">NETWORKDAYS(P302,$Y$1)</f>
        <v>196</v>
      </c>
      <c r="Z302" s="34">
        <v>1</v>
      </c>
      <c r="AA302" s="25" t="str">
        <f t="shared" ca="1" si="23"/>
        <v>A VENCER</v>
      </c>
      <c r="AB302" s="25" t="str">
        <f t="shared" si="26"/>
        <v>SL-On</v>
      </c>
      <c r="AC302" s="2" t="str">
        <f t="shared" si="25"/>
        <v xml:space="preserve"> CLEITON </v>
      </c>
      <c r="AD302" s="26">
        <f t="shared" si="27"/>
        <v>1</v>
      </c>
      <c r="AE302" s="26">
        <f t="shared" ca="1" si="24"/>
        <v>273.25110960648453</v>
      </c>
      <c r="AF302" s="35"/>
    </row>
    <row r="303" spans="1:32" hidden="1">
      <c r="A303" s="209">
        <v>8645870</v>
      </c>
      <c r="B303" s="209" t="s">
        <v>653</v>
      </c>
      <c r="C303" s="210" t="s">
        <v>654</v>
      </c>
      <c r="D303" s="214"/>
      <c r="E303" s="214">
        <v>8573001400040</v>
      </c>
      <c r="F303" s="209" t="s">
        <v>644</v>
      </c>
      <c r="G303" s="209" t="s">
        <v>53</v>
      </c>
      <c r="H303" s="209" t="s">
        <v>657</v>
      </c>
      <c r="I303" s="209" t="s">
        <v>658</v>
      </c>
      <c r="J303" s="209" t="s">
        <v>33</v>
      </c>
      <c r="K303" s="210" t="s">
        <v>645</v>
      </c>
      <c r="L303" s="210"/>
      <c r="M303" s="209" t="s">
        <v>58</v>
      </c>
      <c r="N303" s="209">
        <v>0</v>
      </c>
      <c r="O303" s="209" t="s">
        <v>105</v>
      </c>
      <c r="P303" s="213">
        <v>44713.425081018519</v>
      </c>
      <c r="Q303" s="209"/>
      <c r="R303" s="209">
        <v>3</v>
      </c>
      <c r="S303" s="209"/>
      <c r="T303" s="209" t="s">
        <v>646</v>
      </c>
      <c r="U303" s="213">
        <v>44714.425081018519</v>
      </c>
      <c r="V303" s="209" t="s">
        <v>41</v>
      </c>
      <c r="W303" s="209" t="s">
        <v>49</v>
      </c>
      <c r="X303" s="13" t="str">
        <f>IF(RIGHT(H303,2)&lt;&gt;"00",H303,"")</f>
        <v/>
      </c>
      <c r="Y303" s="26">
        <f ca="1">NETWORKDAYS(P303,$Y$1)</f>
        <v>196</v>
      </c>
      <c r="Z303" s="34">
        <v>1</v>
      </c>
      <c r="AA303" s="25" t="str">
        <f t="shared" ca="1" si="23"/>
        <v>A VENCER</v>
      </c>
      <c r="AB303" s="25" t="str">
        <f t="shared" si="26"/>
        <v>SL-On</v>
      </c>
      <c r="AC303" s="2" t="str">
        <f t="shared" si="25"/>
        <v xml:space="preserve"> ROSEMERE </v>
      </c>
      <c r="AD303" s="26">
        <f t="shared" si="27"/>
        <v>1</v>
      </c>
      <c r="AE303" s="26">
        <f t="shared" ca="1" si="24"/>
        <v>273.25119062500016</v>
      </c>
      <c r="AF303" s="35"/>
    </row>
    <row r="304" spans="1:32" hidden="1">
      <c r="A304" s="209">
        <v>8645811</v>
      </c>
      <c r="B304" s="209" t="s">
        <v>653</v>
      </c>
      <c r="C304" s="210" t="s">
        <v>654</v>
      </c>
      <c r="D304" s="214"/>
      <c r="E304" s="214">
        <v>8973001400040</v>
      </c>
      <c r="F304" s="209" t="s">
        <v>644</v>
      </c>
      <c r="G304" s="209" t="s">
        <v>53</v>
      </c>
      <c r="H304" s="209" t="s">
        <v>661</v>
      </c>
      <c r="I304" s="209" t="s">
        <v>662</v>
      </c>
      <c r="J304" s="209" t="s">
        <v>46</v>
      </c>
      <c r="K304" s="210" t="s">
        <v>645</v>
      </c>
      <c r="L304" s="210"/>
      <c r="M304" s="209" t="s">
        <v>58</v>
      </c>
      <c r="N304" s="209">
        <v>0</v>
      </c>
      <c r="O304" s="209" t="s">
        <v>105</v>
      </c>
      <c r="P304" s="213">
        <v>44713.425011574072</v>
      </c>
      <c r="Q304" s="209"/>
      <c r="R304" s="209">
        <v>3</v>
      </c>
      <c r="S304" s="209"/>
      <c r="T304" s="209" t="s">
        <v>646</v>
      </c>
      <c r="U304" s="213">
        <v>44714.425011574072</v>
      </c>
      <c r="V304" s="209" t="s">
        <v>41</v>
      </c>
      <c r="W304" s="209" t="s">
        <v>49</v>
      </c>
      <c r="X304" s="13" t="str">
        <f>IF(RIGHT(H304,2)&lt;&gt;"00",H304,"")</f>
        <v/>
      </c>
      <c r="Y304" s="26">
        <f ca="1">NETWORKDAYS(P304,$Y$1)</f>
        <v>196</v>
      </c>
      <c r="Z304" s="34">
        <v>1</v>
      </c>
      <c r="AA304" s="25" t="str">
        <f t="shared" ca="1" si="23"/>
        <v>A VENCER</v>
      </c>
      <c r="AB304" s="25" t="str">
        <f t="shared" si="26"/>
        <v>SL-On</v>
      </c>
      <c r="AC304" s="2" t="str">
        <f t="shared" si="25"/>
        <v xml:space="preserve"> CLEITON </v>
      </c>
      <c r="AD304" s="26">
        <f t="shared" si="27"/>
        <v>1</v>
      </c>
      <c r="AE304" s="26">
        <f t="shared" ca="1" si="24"/>
        <v>273.25126006944629</v>
      </c>
      <c r="AF304" s="35"/>
    </row>
    <row r="305" spans="1:32" hidden="1">
      <c r="A305" s="209">
        <v>8645204</v>
      </c>
      <c r="B305" s="209" t="s">
        <v>653</v>
      </c>
      <c r="C305" s="210" t="s">
        <v>654</v>
      </c>
      <c r="D305" s="214"/>
      <c r="E305" s="214">
        <v>5898001400040</v>
      </c>
      <c r="F305" s="209" t="s">
        <v>644</v>
      </c>
      <c r="G305" s="209" t="s">
        <v>53</v>
      </c>
      <c r="H305" s="209" t="s">
        <v>365</v>
      </c>
      <c r="I305" s="209" t="s">
        <v>366</v>
      </c>
      <c r="J305" s="209" t="s">
        <v>164</v>
      </c>
      <c r="K305" s="210" t="s">
        <v>645</v>
      </c>
      <c r="L305" s="210"/>
      <c r="M305" s="209" t="s">
        <v>58</v>
      </c>
      <c r="N305" s="209">
        <v>0</v>
      </c>
      <c r="O305" s="209" t="s">
        <v>105</v>
      </c>
      <c r="P305" s="213">
        <v>44713.423518518517</v>
      </c>
      <c r="Q305" s="209"/>
      <c r="R305" s="209">
        <v>2</v>
      </c>
      <c r="S305" s="209"/>
      <c r="T305" s="209" t="s">
        <v>646</v>
      </c>
      <c r="U305" s="213">
        <v>44714.423518518517</v>
      </c>
      <c r="V305" s="209" t="s">
        <v>41</v>
      </c>
      <c r="W305" s="209" t="s">
        <v>49</v>
      </c>
      <c r="X305" s="13" t="str">
        <f>IF(RIGHT(H305,2)&lt;&gt;"00",H305,"")</f>
        <v/>
      </c>
      <c r="Y305" s="26">
        <f ca="1">NETWORKDAYS(P305,$Y$1)</f>
        <v>196</v>
      </c>
      <c r="Z305" s="34">
        <v>1</v>
      </c>
      <c r="AA305" s="25" t="str">
        <f t="shared" ca="1" si="23"/>
        <v>A VENCER</v>
      </c>
      <c r="AB305" s="25" t="str">
        <f t="shared" si="26"/>
        <v>SL-On</v>
      </c>
      <c r="AC305" s="2" t="str">
        <f t="shared" si="25"/>
        <v xml:space="preserve"> ROSEMERE </v>
      </c>
      <c r="AD305" s="26">
        <f t="shared" si="27"/>
        <v>1</v>
      </c>
      <c r="AE305" s="26">
        <f t="shared" ca="1" si="24"/>
        <v>273.25275312500162</v>
      </c>
      <c r="AF305" s="35"/>
    </row>
    <row r="306" spans="1:32" hidden="1">
      <c r="A306" s="209">
        <v>8645133</v>
      </c>
      <c r="B306" s="209" t="s">
        <v>653</v>
      </c>
      <c r="C306" s="210" t="s">
        <v>654</v>
      </c>
      <c r="D306" s="214"/>
      <c r="E306" s="214">
        <v>5742001400040</v>
      </c>
      <c r="F306" s="209" t="s">
        <v>644</v>
      </c>
      <c r="G306" s="209" t="s">
        <v>53</v>
      </c>
      <c r="H306" s="209" t="s">
        <v>430</v>
      </c>
      <c r="I306" s="209" t="s">
        <v>431</v>
      </c>
      <c r="J306" s="209" t="s">
        <v>79</v>
      </c>
      <c r="K306" s="210" t="s">
        <v>645</v>
      </c>
      <c r="L306" s="210"/>
      <c r="M306" s="209" t="s">
        <v>58</v>
      </c>
      <c r="N306" s="209">
        <v>0</v>
      </c>
      <c r="O306" s="209" t="s">
        <v>105</v>
      </c>
      <c r="P306" s="213">
        <v>44713.423067129632</v>
      </c>
      <c r="Q306" s="209"/>
      <c r="R306" s="209">
        <v>2</v>
      </c>
      <c r="S306" s="209"/>
      <c r="T306" s="209" t="s">
        <v>646</v>
      </c>
      <c r="U306" s="213">
        <v>44714.423067129632</v>
      </c>
      <c r="V306" s="209" t="s">
        <v>41</v>
      </c>
      <c r="W306" s="209" t="s">
        <v>49</v>
      </c>
      <c r="X306" s="13" t="str">
        <f>IF(RIGHT(H306,2)&lt;&gt;"00",H306,"")</f>
        <v/>
      </c>
      <c r="Y306" s="26">
        <f ca="1">NETWORKDAYS(P306,$Y$1)</f>
        <v>196</v>
      </c>
      <c r="Z306" s="34">
        <v>1</v>
      </c>
      <c r="AA306" s="25" t="str">
        <f t="shared" ca="1" si="23"/>
        <v>A VENCER</v>
      </c>
      <c r="AB306" s="25" t="str">
        <f t="shared" si="26"/>
        <v>SL-On</v>
      </c>
      <c r="AC306" s="2" t="str">
        <f t="shared" si="25"/>
        <v xml:space="preserve"> ROSEMERE </v>
      </c>
      <c r="AD306" s="26">
        <f t="shared" si="27"/>
        <v>1</v>
      </c>
      <c r="AE306" s="26">
        <f t="shared" ca="1" si="24"/>
        <v>273.25320451388689</v>
      </c>
      <c r="AF306" s="35"/>
    </row>
    <row r="307" spans="1:32" hidden="1">
      <c r="A307" s="209">
        <v>8644779</v>
      </c>
      <c r="B307" s="209" t="s">
        <v>653</v>
      </c>
      <c r="C307" s="210" t="s">
        <v>654</v>
      </c>
      <c r="D307" s="214"/>
      <c r="E307" s="214">
        <v>4623001400040</v>
      </c>
      <c r="F307" s="209" t="s">
        <v>644</v>
      </c>
      <c r="G307" s="209" t="s">
        <v>53</v>
      </c>
      <c r="H307" s="209" t="s">
        <v>669</v>
      </c>
      <c r="I307" s="209" t="s">
        <v>670</v>
      </c>
      <c r="J307" s="209" t="s">
        <v>33</v>
      </c>
      <c r="K307" s="210" t="s">
        <v>645</v>
      </c>
      <c r="L307" s="210"/>
      <c r="M307" s="209" t="s">
        <v>58</v>
      </c>
      <c r="N307" s="209">
        <v>0</v>
      </c>
      <c r="O307" s="209" t="s">
        <v>105</v>
      </c>
      <c r="P307" s="213">
        <v>44713.421817129631</v>
      </c>
      <c r="Q307" s="209"/>
      <c r="R307" s="209">
        <v>2</v>
      </c>
      <c r="S307" s="209"/>
      <c r="T307" s="209" t="s">
        <v>646</v>
      </c>
      <c r="U307" s="213">
        <v>44714.421817129631</v>
      </c>
      <c r="V307" s="209" t="s">
        <v>41</v>
      </c>
      <c r="W307" s="209" t="s">
        <v>42</v>
      </c>
      <c r="X307" s="13" t="str">
        <f>IF(RIGHT(H307,2)&lt;&gt;"00",H307,"")</f>
        <v/>
      </c>
      <c r="Y307" s="26">
        <f ca="1">NETWORKDAYS(P307,$Y$1)</f>
        <v>196</v>
      </c>
      <c r="Z307" s="34">
        <v>1</v>
      </c>
      <c r="AA307" s="25" t="str">
        <f t="shared" ca="1" si="23"/>
        <v>A VENCER</v>
      </c>
      <c r="AB307" s="25" t="str">
        <f t="shared" si="26"/>
        <v>SL-On</v>
      </c>
      <c r="AC307" s="2" t="str">
        <f t="shared" si="25"/>
        <v xml:space="preserve"> ROSEMERE </v>
      </c>
      <c r="AD307" s="26">
        <f t="shared" si="27"/>
        <v>1</v>
      </c>
      <c r="AE307" s="26">
        <f t="shared" ca="1" si="24"/>
        <v>273.25445451388805</v>
      </c>
      <c r="AF307" s="35"/>
    </row>
    <row r="308" spans="1:32" hidden="1">
      <c r="A308" s="209">
        <v>8644587</v>
      </c>
      <c r="B308" s="209" t="s">
        <v>653</v>
      </c>
      <c r="C308" s="210" t="s">
        <v>654</v>
      </c>
      <c r="D308" s="214"/>
      <c r="E308" s="214">
        <v>4357001400040</v>
      </c>
      <c r="F308" s="209" t="s">
        <v>644</v>
      </c>
      <c r="G308" s="209" t="s">
        <v>53</v>
      </c>
      <c r="H308" s="209" t="s">
        <v>633</v>
      </c>
      <c r="I308" s="209" t="s">
        <v>634</v>
      </c>
      <c r="J308" s="209" t="s">
        <v>46</v>
      </c>
      <c r="K308" s="210" t="s">
        <v>645</v>
      </c>
      <c r="L308" s="210"/>
      <c r="M308" s="209" t="s">
        <v>58</v>
      </c>
      <c r="N308" s="209">
        <v>0</v>
      </c>
      <c r="O308" s="209" t="s">
        <v>105</v>
      </c>
      <c r="P308" s="213">
        <v>44713.421180555553</v>
      </c>
      <c r="Q308" s="209"/>
      <c r="R308" s="209">
        <v>2</v>
      </c>
      <c r="S308" s="209"/>
      <c r="T308" s="209" t="s">
        <v>646</v>
      </c>
      <c r="U308" s="213">
        <v>44714.421180555553</v>
      </c>
      <c r="V308" s="209" t="s">
        <v>41</v>
      </c>
      <c r="W308" s="209" t="s">
        <v>49</v>
      </c>
      <c r="X308" s="13" t="str">
        <f>IF(RIGHT(H308,2)&lt;&gt;"00",H308,"")</f>
        <v/>
      </c>
      <c r="Y308" s="26">
        <f ca="1">NETWORKDAYS(P308,$Y$1)</f>
        <v>196</v>
      </c>
      <c r="Z308" s="34">
        <v>1</v>
      </c>
      <c r="AA308" s="25" t="str">
        <f t="shared" ca="1" si="23"/>
        <v>A VENCER</v>
      </c>
      <c r="AB308" s="25" t="str">
        <f t="shared" si="26"/>
        <v>SL-On</v>
      </c>
      <c r="AC308" s="2" t="str">
        <f t="shared" si="25"/>
        <v xml:space="preserve"> CLEITON </v>
      </c>
      <c r="AD308" s="26">
        <f t="shared" si="27"/>
        <v>1</v>
      </c>
      <c r="AE308" s="26">
        <f t="shared" ca="1" si="24"/>
        <v>273.25509108796541</v>
      </c>
      <c r="AF308" s="35"/>
    </row>
    <row r="309" spans="1:32" hidden="1">
      <c r="A309" s="209">
        <v>8644506</v>
      </c>
      <c r="B309" s="209" t="s">
        <v>653</v>
      </c>
      <c r="C309" s="210" t="s">
        <v>654</v>
      </c>
      <c r="D309" s="214"/>
      <c r="E309" s="214">
        <v>4235001400040</v>
      </c>
      <c r="F309" s="209" t="s">
        <v>644</v>
      </c>
      <c r="G309" s="209" t="s">
        <v>53</v>
      </c>
      <c r="H309" s="209" t="s">
        <v>291</v>
      </c>
      <c r="I309" s="209" t="s">
        <v>292</v>
      </c>
      <c r="J309" s="209" t="s">
        <v>46</v>
      </c>
      <c r="K309" s="210" t="s">
        <v>645</v>
      </c>
      <c r="L309" s="210"/>
      <c r="M309" s="209" t="s">
        <v>58</v>
      </c>
      <c r="N309" s="209">
        <v>0</v>
      </c>
      <c r="O309" s="209" t="s">
        <v>105</v>
      </c>
      <c r="P309" s="213">
        <v>44713.420949074076</v>
      </c>
      <c r="Q309" s="209"/>
      <c r="R309" s="209">
        <v>2</v>
      </c>
      <c r="S309" s="209"/>
      <c r="T309" s="209" t="s">
        <v>646</v>
      </c>
      <c r="U309" s="213">
        <v>44714.420949074076</v>
      </c>
      <c r="V309" s="209" t="s">
        <v>41</v>
      </c>
      <c r="W309" s="209" t="s">
        <v>49</v>
      </c>
      <c r="X309" s="13" t="str">
        <f>IF(RIGHT(H309,2)&lt;&gt;"00",H309,"")</f>
        <v/>
      </c>
      <c r="Y309" s="26">
        <f ca="1">NETWORKDAYS(P309,$Y$1)</f>
        <v>196</v>
      </c>
      <c r="Z309" s="34">
        <v>1</v>
      </c>
      <c r="AA309" s="25" t="str">
        <f t="shared" ca="1" si="23"/>
        <v>A VENCER</v>
      </c>
      <c r="AB309" s="25" t="str">
        <f t="shared" si="26"/>
        <v>SL-On</v>
      </c>
      <c r="AC309" s="2" t="str">
        <f t="shared" si="25"/>
        <v xml:space="preserve"> CLEITON </v>
      </c>
      <c r="AD309" s="26">
        <f t="shared" si="27"/>
        <v>1</v>
      </c>
      <c r="AE309" s="26">
        <f t="shared" ca="1" si="24"/>
        <v>273.2553225694428</v>
      </c>
      <c r="AF309" s="35"/>
    </row>
    <row r="310" spans="1:32" hidden="1">
      <c r="A310" s="209">
        <v>8644094</v>
      </c>
      <c r="B310" s="209" t="s">
        <v>653</v>
      </c>
      <c r="C310" s="210" t="s">
        <v>654</v>
      </c>
      <c r="D310" s="214"/>
      <c r="E310" s="214">
        <v>3699001400040</v>
      </c>
      <c r="F310" s="209" t="s">
        <v>644</v>
      </c>
      <c r="G310" s="209" t="s">
        <v>53</v>
      </c>
      <c r="H310" s="209" t="s">
        <v>343</v>
      </c>
      <c r="I310" s="209" t="s">
        <v>344</v>
      </c>
      <c r="J310" s="209" t="s">
        <v>46</v>
      </c>
      <c r="K310" s="210" t="s">
        <v>645</v>
      </c>
      <c r="L310" s="210"/>
      <c r="M310" s="209" t="s">
        <v>58</v>
      </c>
      <c r="N310" s="209">
        <v>0</v>
      </c>
      <c r="O310" s="209" t="s">
        <v>105</v>
      </c>
      <c r="P310" s="213">
        <v>44713.419710648152</v>
      </c>
      <c r="Q310" s="209"/>
      <c r="R310" s="209">
        <v>2</v>
      </c>
      <c r="S310" s="209"/>
      <c r="T310" s="209" t="s">
        <v>646</v>
      </c>
      <c r="U310" s="213">
        <v>44714.419710648152</v>
      </c>
      <c r="V310" s="209" t="s">
        <v>41</v>
      </c>
      <c r="W310" s="209" t="s">
        <v>49</v>
      </c>
      <c r="X310" s="13" t="str">
        <f>IF(RIGHT(H310,2)&lt;&gt;"00",H310,"")</f>
        <v/>
      </c>
      <c r="Y310" s="26">
        <f ca="1">NETWORKDAYS(P310,$Y$1)</f>
        <v>196</v>
      </c>
      <c r="Z310" s="34">
        <v>1</v>
      </c>
      <c r="AA310" s="25" t="str">
        <f t="shared" ca="1" si="23"/>
        <v>A VENCER</v>
      </c>
      <c r="AB310" s="25" t="str">
        <f t="shared" si="26"/>
        <v>SL-On</v>
      </c>
      <c r="AC310" s="2" t="str">
        <f t="shared" si="25"/>
        <v xml:space="preserve"> CLEITON </v>
      </c>
      <c r="AD310" s="26">
        <f t="shared" si="27"/>
        <v>1</v>
      </c>
      <c r="AE310" s="26">
        <f t="shared" ca="1" si="24"/>
        <v>273.25656099536718</v>
      </c>
      <c r="AF310" s="35"/>
    </row>
    <row r="311" spans="1:32" hidden="1">
      <c r="A311" s="209">
        <v>8644017</v>
      </c>
      <c r="B311" s="209" t="s">
        <v>653</v>
      </c>
      <c r="C311" s="210" t="s">
        <v>654</v>
      </c>
      <c r="D311" s="214"/>
      <c r="E311" s="214">
        <v>3613001400040</v>
      </c>
      <c r="F311" s="209" t="s">
        <v>644</v>
      </c>
      <c r="G311" s="209" t="s">
        <v>53</v>
      </c>
      <c r="H311" s="209" t="s">
        <v>679</v>
      </c>
      <c r="I311" s="209" t="s">
        <v>680</v>
      </c>
      <c r="J311" s="209" t="s">
        <v>46</v>
      </c>
      <c r="K311" s="210" t="s">
        <v>645</v>
      </c>
      <c r="L311" s="210"/>
      <c r="M311" s="209" t="s">
        <v>58</v>
      </c>
      <c r="N311" s="209">
        <v>0</v>
      </c>
      <c r="O311" s="209" t="s">
        <v>105</v>
      </c>
      <c r="P311" s="213">
        <v>44713.419398148151</v>
      </c>
      <c r="Q311" s="209"/>
      <c r="R311" s="209">
        <v>3</v>
      </c>
      <c r="S311" s="209"/>
      <c r="T311" s="209" t="s">
        <v>646</v>
      </c>
      <c r="U311" s="213">
        <v>44714.419398148151</v>
      </c>
      <c r="V311" s="209" t="s">
        <v>41</v>
      </c>
      <c r="W311" s="209" t="s">
        <v>49</v>
      </c>
      <c r="X311" s="13" t="str">
        <f>IF(RIGHT(H311,2)&lt;&gt;"00",H311,"")</f>
        <v/>
      </c>
      <c r="Y311" s="26">
        <f ca="1">NETWORKDAYS(P311,$Y$1)</f>
        <v>196</v>
      </c>
      <c r="Z311" s="34">
        <v>1</v>
      </c>
      <c r="AA311" s="25" t="str">
        <f t="shared" ca="1" si="23"/>
        <v>A VENCER</v>
      </c>
      <c r="AB311" s="25" t="str">
        <f t="shared" si="26"/>
        <v>SL-On</v>
      </c>
      <c r="AC311" s="2" t="str">
        <f t="shared" si="25"/>
        <v xml:space="preserve"> CLEITON </v>
      </c>
      <c r="AD311" s="26">
        <f t="shared" si="27"/>
        <v>1</v>
      </c>
      <c r="AE311" s="26">
        <f t="shared" ca="1" si="24"/>
        <v>273.25687349536747</v>
      </c>
      <c r="AF311" s="35"/>
    </row>
    <row r="312" spans="1:32" hidden="1">
      <c r="A312" s="209">
        <v>8644016</v>
      </c>
      <c r="B312" s="209" t="s">
        <v>653</v>
      </c>
      <c r="C312" s="210" t="s">
        <v>654</v>
      </c>
      <c r="D312" s="214"/>
      <c r="E312" s="214">
        <v>3612001400040</v>
      </c>
      <c r="F312" s="209" t="s">
        <v>644</v>
      </c>
      <c r="G312" s="209" t="s">
        <v>53</v>
      </c>
      <c r="H312" s="209" t="s">
        <v>683</v>
      </c>
      <c r="I312" s="209" t="s">
        <v>684</v>
      </c>
      <c r="J312" s="209" t="s">
        <v>46</v>
      </c>
      <c r="K312" s="210" t="s">
        <v>645</v>
      </c>
      <c r="L312" s="210"/>
      <c r="M312" s="209" t="s">
        <v>58</v>
      </c>
      <c r="N312" s="209">
        <v>0</v>
      </c>
      <c r="O312" s="209" t="s">
        <v>105</v>
      </c>
      <c r="P312" s="213">
        <v>44713.419398148151</v>
      </c>
      <c r="Q312" s="209"/>
      <c r="R312" s="209">
        <v>3</v>
      </c>
      <c r="S312" s="209"/>
      <c r="T312" s="209" t="s">
        <v>646</v>
      </c>
      <c r="U312" s="213">
        <v>44714.419398148151</v>
      </c>
      <c r="V312" s="209" t="s">
        <v>41</v>
      </c>
      <c r="W312" s="209" t="s">
        <v>49</v>
      </c>
      <c r="X312" s="13" t="str">
        <f>IF(RIGHT(H312,2)&lt;&gt;"00",H312,"")</f>
        <v/>
      </c>
      <c r="Y312" s="26">
        <f ca="1">NETWORKDAYS(P312,$Y$1)</f>
        <v>196</v>
      </c>
      <c r="Z312" s="34">
        <v>1</v>
      </c>
      <c r="AA312" s="25" t="str">
        <f t="shared" ca="1" si="23"/>
        <v>A VENCER</v>
      </c>
      <c r="AB312" s="25" t="str">
        <f t="shared" si="26"/>
        <v>SL-On</v>
      </c>
      <c r="AC312" s="2" t="str">
        <f t="shared" si="25"/>
        <v xml:space="preserve"> CLEITON </v>
      </c>
      <c r="AD312" s="26">
        <f t="shared" si="27"/>
        <v>1</v>
      </c>
      <c r="AE312" s="26">
        <f t="shared" ca="1" si="24"/>
        <v>273.25687349536747</v>
      </c>
      <c r="AF312" s="35"/>
    </row>
    <row r="313" spans="1:32" hidden="1">
      <c r="A313" s="209">
        <v>8643946</v>
      </c>
      <c r="B313" s="209" t="s">
        <v>653</v>
      </c>
      <c r="C313" s="210" t="s">
        <v>654</v>
      </c>
      <c r="D313" s="214"/>
      <c r="E313" s="214">
        <v>3504001400040</v>
      </c>
      <c r="F313" s="209" t="s">
        <v>644</v>
      </c>
      <c r="G313" s="209" t="s">
        <v>53</v>
      </c>
      <c r="H313" s="209" t="s">
        <v>585</v>
      </c>
      <c r="I313" s="209" t="s">
        <v>586</v>
      </c>
      <c r="J313" s="209" t="s">
        <v>46</v>
      </c>
      <c r="K313" s="210" t="s">
        <v>645</v>
      </c>
      <c r="L313" s="210"/>
      <c r="M313" s="209" t="s">
        <v>58</v>
      </c>
      <c r="N313" s="209">
        <v>0</v>
      </c>
      <c r="O313" s="209" t="s">
        <v>105</v>
      </c>
      <c r="P313" s="213">
        <v>44713.419270833336</v>
      </c>
      <c r="Q313" s="209"/>
      <c r="R313" s="209">
        <v>3</v>
      </c>
      <c r="S313" s="209"/>
      <c r="T313" s="209" t="s">
        <v>646</v>
      </c>
      <c r="U313" s="213">
        <v>44714.419270833336</v>
      </c>
      <c r="V313" s="209" t="s">
        <v>41</v>
      </c>
      <c r="W313" s="209" t="s">
        <v>49</v>
      </c>
      <c r="X313" s="13" t="str">
        <f>IF(RIGHT(H313,2)&lt;&gt;"00",H313,"")</f>
        <v/>
      </c>
      <c r="Y313" s="26">
        <f ca="1">NETWORKDAYS(P313,$Y$1)</f>
        <v>196</v>
      </c>
      <c r="Z313" s="34">
        <v>1</v>
      </c>
      <c r="AA313" s="25" t="str">
        <f t="shared" ca="1" si="23"/>
        <v>A VENCER</v>
      </c>
      <c r="AB313" s="25" t="str">
        <f t="shared" si="26"/>
        <v>SL-On</v>
      </c>
      <c r="AC313" s="2" t="str">
        <f t="shared" si="25"/>
        <v xml:space="preserve"> CLEITON </v>
      </c>
      <c r="AD313" s="26">
        <f t="shared" si="27"/>
        <v>1</v>
      </c>
      <c r="AE313" s="26">
        <f t="shared" ca="1" si="24"/>
        <v>273.25700081018294</v>
      </c>
      <c r="AF313" s="35"/>
    </row>
    <row r="314" spans="1:32" hidden="1">
      <c r="A314" s="209">
        <v>8643945</v>
      </c>
      <c r="B314" s="209" t="s">
        <v>653</v>
      </c>
      <c r="C314" s="210" t="s">
        <v>654</v>
      </c>
      <c r="D314" s="214"/>
      <c r="E314" s="214">
        <v>3503001400040</v>
      </c>
      <c r="F314" s="209" t="s">
        <v>644</v>
      </c>
      <c r="G314" s="209" t="s">
        <v>53</v>
      </c>
      <c r="H314" s="209" t="s">
        <v>398</v>
      </c>
      <c r="I314" s="209" t="s">
        <v>399</v>
      </c>
      <c r="J314" s="209" t="s">
        <v>46</v>
      </c>
      <c r="K314" s="210" t="s">
        <v>645</v>
      </c>
      <c r="L314" s="210"/>
      <c r="M314" s="209" t="s">
        <v>58</v>
      </c>
      <c r="N314" s="209">
        <v>0</v>
      </c>
      <c r="O314" s="209" t="s">
        <v>105</v>
      </c>
      <c r="P314" s="213">
        <v>44713.419270833336</v>
      </c>
      <c r="Q314" s="209"/>
      <c r="R314" s="209">
        <v>2</v>
      </c>
      <c r="S314" s="209"/>
      <c r="T314" s="209" t="s">
        <v>646</v>
      </c>
      <c r="U314" s="213">
        <v>44714.419270833336</v>
      </c>
      <c r="V314" s="209" t="s">
        <v>41</v>
      </c>
      <c r="W314" s="209" t="s">
        <v>49</v>
      </c>
      <c r="X314" s="13" t="str">
        <f>IF(RIGHT(H314,2)&lt;&gt;"00",H314,"")</f>
        <v/>
      </c>
      <c r="Y314" s="26">
        <f ca="1">NETWORKDAYS(P314,$Y$1)</f>
        <v>196</v>
      </c>
      <c r="Z314" s="34">
        <v>1</v>
      </c>
      <c r="AA314" s="25" t="str">
        <f t="shared" ca="1" si="23"/>
        <v>A VENCER</v>
      </c>
      <c r="AB314" s="25" t="str">
        <f t="shared" si="26"/>
        <v>SL-On</v>
      </c>
      <c r="AC314" s="2" t="str">
        <f t="shared" si="25"/>
        <v xml:space="preserve"> CLEITON </v>
      </c>
      <c r="AD314" s="26">
        <f t="shared" si="27"/>
        <v>1</v>
      </c>
      <c r="AE314" s="26">
        <f t="shared" ca="1" si="24"/>
        <v>273.25700081018294</v>
      </c>
      <c r="AF314" s="35"/>
    </row>
    <row r="315" spans="1:32" hidden="1">
      <c r="A315" s="209">
        <v>8643755</v>
      </c>
      <c r="B315" s="209" t="s">
        <v>653</v>
      </c>
      <c r="C315" s="210" t="s">
        <v>654</v>
      </c>
      <c r="D315" s="214"/>
      <c r="E315" s="214">
        <v>3258001400040</v>
      </c>
      <c r="F315" s="209" t="s">
        <v>644</v>
      </c>
      <c r="G315" s="209" t="s">
        <v>53</v>
      </c>
      <c r="H315" s="209" t="s">
        <v>321</v>
      </c>
      <c r="I315" s="209" t="s">
        <v>322</v>
      </c>
      <c r="J315" s="209" t="s">
        <v>46</v>
      </c>
      <c r="K315" s="210" t="s">
        <v>645</v>
      </c>
      <c r="L315" s="210"/>
      <c r="M315" s="209" t="s">
        <v>58</v>
      </c>
      <c r="N315" s="209">
        <v>0</v>
      </c>
      <c r="O315" s="209" t="s">
        <v>105</v>
      </c>
      <c r="P315" s="213">
        <v>44713.418391203704</v>
      </c>
      <c r="Q315" s="209"/>
      <c r="R315" s="209">
        <v>2</v>
      </c>
      <c r="S315" s="209"/>
      <c r="T315" s="209" t="s">
        <v>646</v>
      </c>
      <c r="U315" s="213">
        <v>44714.418391203704</v>
      </c>
      <c r="V315" s="209" t="s">
        <v>41</v>
      </c>
      <c r="W315" s="209" t="s">
        <v>49</v>
      </c>
      <c r="X315" s="13" t="str">
        <f>IF(RIGHT(H315,2)&lt;&gt;"00",H315,"")</f>
        <v/>
      </c>
      <c r="Y315" s="26">
        <f ca="1">NETWORKDAYS(P315,$Y$1)</f>
        <v>196</v>
      </c>
      <c r="Z315" s="34">
        <v>1</v>
      </c>
      <c r="AA315" s="25" t="str">
        <f t="shared" ca="1" si="23"/>
        <v>A VENCER</v>
      </c>
      <c r="AB315" s="25" t="str">
        <f t="shared" si="26"/>
        <v>SL-On</v>
      </c>
      <c r="AC315" s="2" t="str">
        <f t="shared" si="25"/>
        <v xml:space="preserve"> CLEITON </v>
      </c>
      <c r="AD315" s="26">
        <f t="shared" si="27"/>
        <v>1</v>
      </c>
      <c r="AE315" s="26">
        <f t="shared" ca="1" si="24"/>
        <v>273.25788043981447</v>
      </c>
      <c r="AF315" s="35"/>
    </row>
    <row r="316" spans="1:32" hidden="1">
      <c r="A316" s="209">
        <v>8643740</v>
      </c>
      <c r="B316" s="209" t="s">
        <v>653</v>
      </c>
      <c r="C316" s="210" t="s">
        <v>654</v>
      </c>
      <c r="D316" s="214"/>
      <c r="E316" s="214">
        <v>3243001400040</v>
      </c>
      <c r="F316" s="209" t="s">
        <v>644</v>
      </c>
      <c r="G316" s="209" t="s">
        <v>53</v>
      </c>
      <c r="H316" s="209" t="s">
        <v>282</v>
      </c>
      <c r="I316" s="209" t="s">
        <v>283</v>
      </c>
      <c r="J316" s="209" t="s">
        <v>46</v>
      </c>
      <c r="K316" s="210" t="s">
        <v>645</v>
      </c>
      <c r="L316" s="210"/>
      <c r="M316" s="209" t="s">
        <v>58</v>
      </c>
      <c r="N316" s="209">
        <v>0</v>
      </c>
      <c r="O316" s="209" t="s">
        <v>105</v>
      </c>
      <c r="P316" s="213">
        <v>44713.418356481481</v>
      </c>
      <c r="Q316" s="209"/>
      <c r="R316" s="209">
        <v>3</v>
      </c>
      <c r="S316" s="209"/>
      <c r="T316" s="209" t="s">
        <v>646</v>
      </c>
      <c r="U316" s="213">
        <v>44714.418356481481</v>
      </c>
      <c r="V316" s="209" t="s">
        <v>41</v>
      </c>
      <c r="W316" s="209" t="s">
        <v>49</v>
      </c>
      <c r="X316" s="13" t="str">
        <f>IF(RIGHT(H316,2)&lt;&gt;"00",H316,"")</f>
        <v/>
      </c>
      <c r="Y316" s="26">
        <f ca="1">NETWORKDAYS(P316,$Y$1)</f>
        <v>196</v>
      </c>
      <c r="Z316" s="34">
        <v>1</v>
      </c>
      <c r="AA316" s="25" t="str">
        <f t="shared" ca="1" si="23"/>
        <v>A VENCER</v>
      </c>
      <c r="AB316" s="25" t="str">
        <f t="shared" si="26"/>
        <v>SL-On</v>
      </c>
      <c r="AC316" s="2" t="str">
        <f t="shared" si="25"/>
        <v xml:space="preserve"> CLEITON </v>
      </c>
      <c r="AD316" s="26">
        <f t="shared" si="27"/>
        <v>1</v>
      </c>
      <c r="AE316" s="26">
        <f t="shared" ca="1" si="24"/>
        <v>273.25791516203753</v>
      </c>
      <c r="AF316" s="35"/>
    </row>
    <row r="317" spans="1:32" hidden="1">
      <c r="A317" s="209">
        <v>8643737</v>
      </c>
      <c r="B317" s="209" t="s">
        <v>653</v>
      </c>
      <c r="C317" s="210" t="s">
        <v>654</v>
      </c>
      <c r="D317" s="214"/>
      <c r="E317" s="214">
        <v>3237001400040</v>
      </c>
      <c r="F317" s="209" t="s">
        <v>644</v>
      </c>
      <c r="G317" s="209" t="s">
        <v>53</v>
      </c>
      <c r="H317" s="209" t="s">
        <v>287</v>
      </c>
      <c r="I317" s="209" t="s">
        <v>288</v>
      </c>
      <c r="J317" s="209" t="s">
        <v>46</v>
      </c>
      <c r="K317" s="210" t="s">
        <v>645</v>
      </c>
      <c r="L317" s="210"/>
      <c r="M317" s="209" t="s">
        <v>58</v>
      </c>
      <c r="N317" s="209">
        <v>0</v>
      </c>
      <c r="O317" s="209" t="s">
        <v>105</v>
      </c>
      <c r="P317" s="213">
        <v>44713.418356481481</v>
      </c>
      <c r="Q317" s="209"/>
      <c r="R317" s="209">
        <v>2</v>
      </c>
      <c r="S317" s="209"/>
      <c r="T317" s="209" t="s">
        <v>646</v>
      </c>
      <c r="U317" s="213">
        <v>44714.418356481481</v>
      </c>
      <c r="V317" s="209" t="s">
        <v>41</v>
      </c>
      <c r="W317" s="209" t="s">
        <v>49</v>
      </c>
      <c r="X317" s="13" t="str">
        <f>IF(RIGHT(H317,2)&lt;&gt;"00",H317,"")</f>
        <v/>
      </c>
      <c r="Y317" s="26">
        <f ca="1">NETWORKDAYS(P317,$Y$1)</f>
        <v>196</v>
      </c>
      <c r="Z317" s="34">
        <v>1</v>
      </c>
      <c r="AA317" s="25" t="str">
        <f t="shared" ca="1" si="23"/>
        <v>A VENCER</v>
      </c>
      <c r="AB317" s="25" t="str">
        <f t="shared" si="26"/>
        <v>SL-On</v>
      </c>
      <c r="AC317" s="2" t="str">
        <f t="shared" si="25"/>
        <v xml:space="preserve"> CLEITON </v>
      </c>
      <c r="AD317" s="26">
        <f t="shared" si="27"/>
        <v>1</v>
      </c>
      <c r="AE317" s="26">
        <f t="shared" ca="1" si="24"/>
        <v>273.25791516203753</v>
      </c>
      <c r="AF317" s="35"/>
    </row>
    <row r="318" spans="1:32" hidden="1">
      <c r="A318" s="209">
        <v>8643543</v>
      </c>
      <c r="B318" s="209" t="s">
        <v>653</v>
      </c>
      <c r="C318" s="210" t="s">
        <v>654</v>
      </c>
      <c r="D318" s="214"/>
      <c r="E318" s="214">
        <v>2988001400040</v>
      </c>
      <c r="F318" s="209" t="s">
        <v>644</v>
      </c>
      <c r="G318" s="209" t="s">
        <v>53</v>
      </c>
      <c r="H318" s="209" t="s">
        <v>536</v>
      </c>
      <c r="I318" s="209" t="s">
        <v>537</v>
      </c>
      <c r="J318" s="209" t="s">
        <v>46</v>
      </c>
      <c r="K318" s="210" t="s">
        <v>645</v>
      </c>
      <c r="L318" s="210"/>
      <c r="M318" s="209" t="s">
        <v>58</v>
      </c>
      <c r="N318" s="209">
        <v>0</v>
      </c>
      <c r="O318" s="209" t="s">
        <v>105</v>
      </c>
      <c r="P318" s="213">
        <v>44713.417546296296</v>
      </c>
      <c r="Q318" s="209"/>
      <c r="R318" s="209">
        <v>2</v>
      </c>
      <c r="S318" s="209"/>
      <c r="T318" s="209" t="s">
        <v>646</v>
      </c>
      <c r="U318" s="213">
        <v>44714.417546296296</v>
      </c>
      <c r="V318" s="209" t="s">
        <v>41</v>
      </c>
      <c r="W318" s="209" t="s">
        <v>49</v>
      </c>
      <c r="X318" s="13" t="str">
        <f>IF(RIGHT(H318,2)&lt;&gt;"00",H318,"")</f>
        <v/>
      </c>
      <c r="Y318" s="26">
        <f ca="1">NETWORKDAYS(P318,$Y$1)</f>
        <v>196</v>
      </c>
      <c r="Z318" s="34">
        <v>1</v>
      </c>
      <c r="AA318" s="25" t="str">
        <f t="shared" ca="1" si="23"/>
        <v>A VENCER</v>
      </c>
      <c r="AB318" s="25" t="str">
        <f t="shared" si="26"/>
        <v>SL-On</v>
      </c>
      <c r="AC318" s="2" t="str">
        <f t="shared" si="25"/>
        <v xml:space="preserve"> CLEITON </v>
      </c>
      <c r="AD318" s="26">
        <f t="shared" si="27"/>
        <v>1</v>
      </c>
      <c r="AE318" s="26">
        <f t="shared" ca="1" si="24"/>
        <v>273.25872534722293</v>
      </c>
      <c r="AF318" s="35"/>
    </row>
    <row r="319" spans="1:32" hidden="1">
      <c r="A319" s="209">
        <v>8643415</v>
      </c>
      <c r="B319" s="209" t="s">
        <v>653</v>
      </c>
      <c r="C319" s="210" t="s">
        <v>654</v>
      </c>
      <c r="D319" s="214"/>
      <c r="E319" s="214">
        <v>2830001400040</v>
      </c>
      <c r="F319" s="209" t="s">
        <v>644</v>
      </c>
      <c r="G319" s="209" t="s">
        <v>53</v>
      </c>
      <c r="H319" s="209" t="s">
        <v>448</v>
      </c>
      <c r="I319" s="209" t="s">
        <v>449</v>
      </c>
      <c r="J319" s="209" t="s">
        <v>33</v>
      </c>
      <c r="K319" s="210" t="s">
        <v>645</v>
      </c>
      <c r="L319" s="210"/>
      <c r="M319" s="209" t="s">
        <v>58</v>
      </c>
      <c r="N319" s="209">
        <v>0</v>
      </c>
      <c r="O319" s="209" t="s">
        <v>105</v>
      </c>
      <c r="P319" s="213">
        <v>44713.417187500003</v>
      </c>
      <c r="Q319" s="209"/>
      <c r="R319" s="209">
        <v>2</v>
      </c>
      <c r="S319" s="209"/>
      <c r="T319" s="209" t="s">
        <v>646</v>
      </c>
      <c r="U319" s="213">
        <v>44714.417187500003</v>
      </c>
      <c r="V319" s="209" t="s">
        <v>41</v>
      </c>
      <c r="W319" s="209" t="s">
        <v>42</v>
      </c>
      <c r="X319" s="13" t="str">
        <f>IF(RIGHT(H319,2)&lt;&gt;"00",H319,"")</f>
        <v/>
      </c>
      <c r="Y319" s="26">
        <f ca="1">NETWORKDAYS(P319,$Y$1)</f>
        <v>196</v>
      </c>
      <c r="Z319" s="34">
        <v>1</v>
      </c>
      <c r="AA319" s="25" t="str">
        <f t="shared" ca="1" si="23"/>
        <v>A VENCER</v>
      </c>
      <c r="AB319" s="25" t="str">
        <f t="shared" si="26"/>
        <v>SL-On</v>
      </c>
      <c r="AC319" s="2" t="str">
        <f t="shared" si="25"/>
        <v xml:space="preserve"> ROSEMERE </v>
      </c>
      <c r="AD319" s="26">
        <f t="shared" si="27"/>
        <v>1</v>
      </c>
      <c r="AE319" s="26">
        <f t="shared" ca="1" si="24"/>
        <v>273.25908414351579</v>
      </c>
      <c r="AF319" s="35"/>
    </row>
    <row r="320" spans="1:32" hidden="1">
      <c r="A320" s="209">
        <v>8643396</v>
      </c>
      <c r="B320" s="209" t="s">
        <v>653</v>
      </c>
      <c r="C320" s="210" t="s">
        <v>654</v>
      </c>
      <c r="D320" s="214"/>
      <c r="E320" s="214">
        <v>2811001400040</v>
      </c>
      <c r="F320" s="209" t="s">
        <v>644</v>
      </c>
      <c r="G320" s="209" t="s">
        <v>53</v>
      </c>
      <c r="H320" s="209" t="s">
        <v>44</v>
      </c>
      <c r="I320" s="209" t="s">
        <v>45</v>
      </c>
      <c r="J320" s="209" t="s">
        <v>46</v>
      </c>
      <c r="K320" s="210" t="s">
        <v>645</v>
      </c>
      <c r="L320" s="210"/>
      <c r="M320" s="209" t="s">
        <v>58</v>
      </c>
      <c r="N320" s="209">
        <v>0</v>
      </c>
      <c r="O320" s="209" t="s">
        <v>105</v>
      </c>
      <c r="P320" s="213">
        <v>44713.417094907411</v>
      </c>
      <c r="Q320" s="209"/>
      <c r="R320" s="209">
        <v>3</v>
      </c>
      <c r="S320" s="209"/>
      <c r="T320" s="209" t="s">
        <v>646</v>
      </c>
      <c r="U320" s="213">
        <v>44714.417094907411</v>
      </c>
      <c r="V320" s="209" t="s">
        <v>41</v>
      </c>
      <c r="W320" s="209" t="s">
        <v>49</v>
      </c>
      <c r="X320" s="13" t="str">
        <f>IF(RIGHT(H320,2)&lt;&gt;"00",H320,"")</f>
        <v/>
      </c>
      <c r="Y320" s="26">
        <f ca="1">NETWORKDAYS(P320,$Y$1)</f>
        <v>196</v>
      </c>
      <c r="Z320" s="34">
        <v>1</v>
      </c>
      <c r="AA320" s="25" t="str">
        <f t="shared" ca="1" si="23"/>
        <v>A VENCER</v>
      </c>
      <c r="AB320" s="25" t="str">
        <f t="shared" si="26"/>
        <v>SL-On</v>
      </c>
      <c r="AC320" s="2" t="str">
        <f t="shared" si="25"/>
        <v xml:space="preserve"> CLEITON </v>
      </c>
      <c r="AD320" s="26">
        <f t="shared" si="27"/>
        <v>1</v>
      </c>
      <c r="AE320" s="26">
        <f t="shared" ca="1" si="24"/>
        <v>273.2591767361082</v>
      </c>
      <c r="AF320" s="35"/>
    </row>
    <row r="321" spans="1:32" hidden="1">
      <c r="A321" s="209">
        <v>8643389</v>
      </c>
      <c r="B321" s="209" t="s">
        <v>653</v>
      </c>
      <c r="C321" s="210" t="s">
        <v>654</v>
      </c>
      <c r="D321" s="214"/>
      <c r="E321" s="214">
        <v>2802001400040</v>
      </c>
      <c r="F321" s="209" t="s">
        <v>644</v>
      </c>
      <c r="G321" s="209" t="s">
        <v>53</v>
      </c>
      <c r="H321" s="209" t="s">
        <v>388</v>
      </c>
      <c r="I321" s="209" t="s">
        <v>389</v>
      </c>
      <c r="J321" s="209" t="s">
        <v>46</v>
      </c>
      <c r="K321" s="210" t="s">
        <v>645</v>
      </c>
      <c r="L321" s="210"/>
      <c r="M321" s="209" t="s">
        <v>58</v>
      </c>
      <c r="N321" s="209">
        <v>0</v>
      </c>
      <c r="O321" s="209" t="s">
        <v>105</v>
      </c>
      <c r="P321" s="213">
        <v>44713.417083333334</v>
      </c>
      <c r="Q321" s="209"/>
      <c r="R321" s="209">
        <v>3</v>
      </c>
      <c r="S321" s="209"/>
      <c r="T321" s="209" t="s">
        <v>646</v>
      </c>
      <c r="U321" s="213">
        <v>44714.417083333334</v>
      </c>
      <c r="V321" s="209" t="s">
        <v>41</v>
      </c>
      <c r="W321" s="209" t="s">
        <v>49</v>
      </c>
      <c r="X321" s="13" t="str">
        <f>IF(RIGHT(H321,2)&lt;&gt;"00",H321,"")</f>
        <v/>
      </c>
      <c r="Y321" s="26">
        <f ca="1">NETWORKDAYS(P321,$Y$1)</f>
        <v>196</v>
      </c>
      <c r="Z321" s="34">
        <v>1</v>
      </c>
      <c r="AA321" s="25" t="str">
        <f t="shared" ca="1" si="23"/>
        <v>A VENCER</v>
      </c>
      <c r="AB321" s="25" t="str">
        <f t="shared" si="26"/>
        <v>SL-On</v>
      </c>
      <c r="AC321" s="2" t="str">
        <f t="shared" si="25"/>
        <v xml:space="preserve"> CLEITON </v>
      </c>
      <c r="AD321" s="26">
        <f t="shared" si="27"/>
        <v>1</v>
      </c>
      <c r="AE321" s="26">
        <f t="shared" ca="1" si="24"/>
        <v>273.25918831018498</v>
      </c>
      <c r="AF321" s="35"/>
    </row>
    <row r="322" spans="1:32" hidden="1">
      <c r="A322" s="209">
        <v>8643232</v>
      </c>
      <c r="B322" s="209" t="s">
        <v>653</v>
      </c>
      <c r="C322" s="210" t="s">
        <v>654</v>
      </c>
      <c r="D322" s="214"/>
      <c r="E322" s="214">
        <v>2625001400040</v>
      </c>
      <c r="F322" s="209" t="s">
        <v>644</v>
      </c>
      <c r="G322" s="209" t="s">
        <v>53</v>
      </c>
      <c r="H322" s="209" t="s">
        <v>317</v>
      </c>
      <c r="I322" s="209" t="s">
        <v>318</v>
      </c>
      <c r="J322" s="209" t="s">
        <v>164</v>
      </c>
      <c r="K322" s="210" t="s">
        <v>645</v>
      </c>
      <c r="L322" s="210"/>
      <c r="M322" s="209" t="s">
        <v>58</v>
      </c>
      <c r="N322" s="209">
        <v>0</v>
      </c>
      <c r="O322" s="209" t="s">
        <v>105</v>
      </c>
      <c r="P322" s="213">
        <v>44713.416655092595</v>
      </c>
      <c r="Q322" s="209"/>
      <c r="R322" s="209">
        <v>3</v>
      </c>
      <c r="S322" s="209"/>
      <c r="T322" s="209" t="s">
        <v>646</v>
      </c>
      <c r="U322" s="213">
        <v>44714.416655092595</v>
      </c>
      <c r="V322" s="209" t="s">
        <v>41</v>
      </c>
      <c r="W322" s="209" t="s">
        <v>49</v>
      </c>
      <c r="X322" s="13" t="str">
        <f>IF(RIGHT(H322,2)&lt;&gt;"00",H322,"")</f>
        <v/>
      </c>
      <c r="Y322" s="26">
        <f ca="1">NETWORKDAYS(P322,$Y$1)</f>
        <v>196</v>
      </c>
      <c r="Z322" s="34">
        <v>1</v>
      </c>
      <c r="AA322" s="25" t="str">
        <f t="shared" ref="AA322:AA385" ca="1" si="28">IF(AE322=0,"HOJE",IF(AE322&gt;0,"A VENCER",IF(AE322&lt;0,"VENCIDO")))</f>
        <v>A VENCER</v>
      </c>
      <c r="AB322" s="25" t="str">
        <f t="shared" si="26"/>
        <v>SL-On</v>
      </c>
      <c r="AC322" s="2" t="str">
        <f t="shared" si="25"/>
        <v xml:space="preserve"> ROSEMERE </v>
      </c>
      <c r="AD322" s="26">
        <f t="shared" si="27"/>
        <v>1</v>
      </c>
      <c r="AE322" s="26">
        <f t="shared" ref="AE322:AE385" ca="1" si="29">IF(P322=$AE$1,"",$AE$1-P322)</f>
        <v>273.25961655092397</v>
      </c>
      <c r="AF322" s="35"/>
    </row>
    <row r="323" spans="1:32" hidden="1">
      <c r="A323" s="209">
        <v>8643003</v>
      </c>
      <c r="B323" s="209" t="s">
        <v>653</v>
      </c>
      <c r="C323" s="210" t="s">
        <v>654</v>
      </c>
      <c r="D323" s="214"/>
      <c r="E323" s="214">
        <v>2369001400040</v>
      </c>
      <c r="F323" s="209" t="s">
        <v>644</v>
      </c>
      <c r="G323" s="209" t="s">
        <v>53</v>
      </c>
      <c r="H323" s="209" t="s">
        <v>701</v>
      </c>
      <c r="I323" s="209" t="s">
        <v>702</v>
      </c>
      <c r="J323" s="209" t="s">
        <v>141</v>
      </c>
      <c r="K323" s="210" t="s">
        <v>645</v>
      </c>
      <c r="L323" s="210"/>
      <c r="M323" s="209" t="s">
        <v>58</v>
      </c>
      <c r="N323" s="209">
        <v>0</v>
      </c>
      <c r="O323" s="209" t="s">
        <v>105</v>
      </c>
      <c r="P323" s="213">
        <v>44713.415312500001</v>
      </c>
      <c r="Q323" s="209"/>
      <c r="R323" s="209">
        <v>2</v>
      </c>
      <c r="S323" s="209"/>
      <c r="T323" s="209" t="s">
        <v>646</v>
      </c>
      <c r="U323" s="213">
        <v>44714.415312500001</v>
      </c>
      <c r="V323" s="209" t="s">
        <v>41</v>
      </c>
      <c r="W323" s="209" t="s">
        <v>49</v>
      </c>
      <c r="X323" s="13" t="str">
        <f>IF(RIGHT(H323,2)&lt;&gt;"00",H323,"")</f>
        <v/>
      </c>
      <c r="Y323" s="26">
        <f ca="1">NETWORKDAYS(P323,$Y$1)</f>
        <v>196</v>
      </c>
      <c r="Z323" s="34">
        <v>1</v>
      </c>
      <c r="AA323" s="25" t="str">
        <f t="shared" ca="1" si="28"/>
        <v>A VENCER</v>
      </c>
      <c r="AB323" s="25" t="str">
        <f t="shared" si="26"/>
        <v>SL-On</v>
      </c>
      <c r="AC323" s="2" t="str">
        <f t="shared" ref="AC323:AC386" si="30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 xml:space="preserve"> CRISTINA </v>
      </c>
      <c r="AD323" s="26">
        <f t="shared" si="27"/>
        <v>1</v>
      </c>
      <c r="AE323" s="26">
        <f t="shared" ca="1" si="29"/>
        <v>273.26095914351754</v>
      </c>
      <c r="AF323" s="35"/>
    </row>
    <row r="324" spans="1:32" hidden="1">
      <c r="A324" s="209">
        <v>8642964</v>
      </c>
      <c r="B324" s="209" t="s">
        <v>653</v>
      </c>
      <c r="C324" s="210" t="s">
        <v>654</v>
      </c>
      <c r="D324" s="214"/>
      <c r="E324" s="214">
        <v>2326001400040</v>
      </c>
      <c r="F324" s="209" t="s">
        <v>644</v>
      </c>
      <c r="G324" s="209" t="s">
        <v>53</v>
      </c>
      <c r="H324" s="209" t="s">
        <v>191</v>
      </c>
      <c r="I324" s="209" t="s">
        <v>192</v>
      </c>
      <c r="J324" s="209" t="s">
        <v>46</v>
      </c>
      <c r="K324" s="210" t="s">
        <v>645</v>
      </c>
      <c r="L324" s="210"/>
      <c r="M324" s="209" t="s">
        <v>58</v>
      </c>
      <c r="N324" s="209">
        <v>0</v>
      </c>
      <c r="O324" s="209" t="s">
        <v>105</v>
      </c>
      <c r="P324" s="213">
        <v>44713.41510416667</v>
      </c>
      <c r="Q324" s="209"/>
      <c r="R324" s="209">
        <v>2</v>
      </c>
      <c r="S324" s="209"/>
      <c r="T324" s="209" t="s">
        <v>646</v>
      </c>
      <c r="U324" s="213">
        <v>44714.41510416667</v>
      </c>
      <c r="V324" s="209" t="s">
        <v>41</v>
      </c>
      <c r="W324" s="209" t="s">
        <v>49</v>
      </c>
      <c r="X324" s="13" t="str">
        <f>IF(RIGHT(H324,2)&lt;&gt;"00",H324,"")</f>
        <v/>
      </c>
      <c r="Y324" s="26">
        <f ca="1">NETWORKDAYS(P324,$Y$1)</f>
        <v>196</v>
      </c>
      <c r="Z324" s="34">
        <v>1</v>
      </c>
      <c r="AA324" s="25" t="str">
        <f t="shared" ca="1" si="28"/>
        <v>A VENCER</v>
      </c>
      <c r="AB324" s="25" t="str">
        <f t="shared" si="26"/>
        <v>SL-On</v>
      </c>
      <c r="AC324" s="2" t="str">
        <f t="shared" si="30"/>
        <v xml:space="preserve"> CLEITON </v>
      </c>
      <c r="AD324" s="26">
        <f t="shared" si="27"/>
        <v>1</v>
      </c>
      <c r="AE324" s="26">
        <f t="shared" ca="1" si="29"/>
        <v>273.26116747684864</v>
      </c>
      <c r="AF324" s="35"/>
    </row>
    <row r="325" spans="1:32" hidden="1">
      <c r="A325" s="209">
        <v>8642887</v>
      </c>
      <c r="B325" s="209" t="s">
        <v>653</v>
      </c>
      <c r="C325" s="210" t="s">
        <v>654</v>
      </c>
      <c r="D325" s="214"/>
      <c r="E325" s="214">
        <v>2238001400040</v>
      </c>
      <c r="F325" s="209" t="s">
        <v>644</v>
      </c>
      <c r="G325" s="209" t="s">
        <v>53</v>
      </c>
      <c r="H325" s="209" t="s">
        <v>707</v>
      </c>
      <c r="I325" s="209" t="s">
        <v>708</v>
      </c>
      <c r="J325" s="209" t="s">
        <v>79</v>
      </c>
      <c r="K325" s="210" t="s">
        <v>645</v>
      </c>
      <c r="L325" s="210"/>
      <c r="M325" s="209" t="s">
        <v>58</v>
      </c>
      <c r="N325" s="209">
        <v>0</v>
      </c>
      <c r="O325" s="209" t="s">
        <v>105</v>
      </c>
      <c r="P325" s="213">
        <v>44713.414976851855</v>
      </c>
      <c r="Q325" s="209"/>
      <c r="R325" s="209">
        <v>3</v>
      </c>
      <c r="S325" s="209"/>
      <c r="T325" s="209" t="s">
        <v>646</v>
      </c>
      <c r="U325" s="213">
        <v>44714.414976851855</v>
      </c>
      <c r="V325" s="209" t="s">
        <v>41</v>
      </c>
      <c r="W325" s="209" t="s">
        <v>49</v>
      </c>
      <c r="X325" s="13" t="str">
        <f>IF(RIGHT(H325,2)&lt;&gt;"00",H325,"")</f>
        <v/>
      </c>
      <c r="Y325" s="26">
        <f ca="1">NETWORKDAYS(P325,$Y$1)</f>
        <v>196</v>
      </c>
      <c r="Z325" s="34">
        <v>1</v>
      </c>
      <c r="AA325" s="25" t="str">
        <f t="shared" ca="1" si="28"/>
        <v>A VENCER</v>
      </c>
      <c r="AB325" s="25" t="str">
        <f t="shared" si="26"/>
        <v>SL-On</v>
      </c>
      <c r="AC325" s="2" t="str">
        <f t="shared" si="30"/>
        <v xml:space="preserve"> ROSEMERE </v>
      </c>
      <c r="AD325" s="26">
        <f t="shared" si="27"/>
        <v>1</v>
      </c>
      <c r="AE325" s="26">
        <f t="shared" ca="1" si="29"/>
        <v>273.26129479166411</v>
      </c>
      <c r="AF325" s="35"/>
    </row>
    <row r="326" spans="1:32" hidden="1">
      <c r="A326" s="209">
        <v>8642791</v>
      </c>
      <c r="B326" s="209" t="s">
        <v>653</v>
      </c>
      <c r="C326" s="210" t="s">
        <v>654</v>
      </c>
      <c r="D326" s="214"/>
      <c r="E326" s="214">
        <v>2138001400040</v>
      </c>
      <c r="F326" s="209" t="s">
        <v>644</v>
      </c>
      <c r="G326" s="209" t="s">
        <v>53</v>
      </c>
      <c r="H326" s="209" t="s">
        <v>379</v>
      </c>
      <c r="I326" s="209" t="s">
        <v>380</v>
      </c>
      <c r="J326" s="209" t="s">
        <v>46</v>
      </c>
      <c r="K326" s="210" t="s">
        <v>645</v>
      </c>
      <c r="L326" s="210"/>
      <c r="M326" s="209" t="s">
        <v>58</v>
      </c>
      <c r="N326" s="209">
        <v>0</v>
      </c>
      <c r="O326" s="209" t="s">
        <v>105</v>
      </c>
      <c r="P326" s="213">
        <v>44713.41474537037</v>
      </c>
      <c r="Q326" s="209"/>
      <c r="R326" s="209">
        <v>3</v>
      </c>
      <c r="S326" s="209"/>
      <c r="T326" s="209" t="s">
        <v>646</v>
      </c>
      <c r="U326" s="213">
        <v>44714.41474537037</v>
      </c>
      <c r="V326" s="209" t="s">
        <v>41</v>
      </c>
      <c r="W326" s="209" t="s">
        <v>49</v>
      </c>
      <c r="X326" s="13" t="str">
        <f>IF(RIGHT(H326,2)&lt;&gt;"00",H326,"")</f>
        <v/>
      </c>
      <c r="Y326" s="26">
        <f ca="1">NETWORKDAYS(P326,$Y$1)</f>
        <v>196</v>
      </c>
      <c r="Z326" s="34">
        <v>1</v>
      </c>
      <c r="AA326" s="25" t="str">
        <f t="shared" ca="1" si="28"/>
        <v>A VENCER</v>
      </c>
      <c r="AB326" s="25" t="str">
        <f t="shared" si="26"/>
        <v>SL-On</v>
      </c>
      <c r="AC326" s="2" t="str">
        <f t="shared" si="30"/>
        <v xml:space="preserve"> CLEITON </v>
      </c>
      <c r="AD326" s="26">
        <f t="shared" si="27"/>
        <v>1</v>
      </c>
      <c r="AE326" s="26">
        <f t="shared" ca="1" si="29"/>
        <v>273.26152627314877</v>
      </c>
      <c r="AF326" s="35"/>
    </row>
    <row r="327" spans="1:32" hidden="1">
      <c r="A327" s="209">
        <v>8642762</v>
      </c>
      <c r="B327" s="209" t="s">
        <v>653</v>
      </c>
      <c r="C327" s="210" t="s">
        <v>654</v>
      </c>
      <c r="D327" s="214"/>
      <c r="E327" s="214">
        <v>2107001400040</v>
      </c>
      <c r="F327" s="209" t="s">
        <v>644</v>
      </c>
      <c r="G327" s="209" t="s">
        <v>53</v>
      </c>
      <c r="H327" s="209" t="s">
        <v>262</v>
      </c>
      <c r="I327" s="209" t="s">
        <v>263</v>
      </c>
      <c r="J327" s="209" t="s">
        <v>164</v>
      </c>
      <c r="K327" s="210" t="s">
        <v>645</v>
      </c>
      <c r="L327" s="210"/>
      <c r="M327" s="209" t="s">
        <v>58</v>
      </c>
      <c r="N327" s="209">
        <v>0</v>
      </c>
      <c r="O327" s="209" t="s">
        <v>105</v>
      </c>
      <c r="P327" s="213">
        <v>44713.414351851854</v>
      </c>
      <c r="Q327" s="209"/>
      <c r="R327" s="209">
        <v>3</v>
      </c>
      <c r="S327" s="209"/>
      <c r="T327" s="209" t="s">
        <v>646</v>
      </c>
      <c r="U327" s="213">
        <v>44714.414363425924</v>
      </c>
      <c r="V327" s="209" t="s">
        <v>41</v>
      </c>
      <c r="W327" s="209" t="s">
        <v>49</v>
      </c>
      <c r="X327" s="13" t="str">
        <f>IF(RIGHT(H327,2)&lt;&gt;"00",H327,"")</f>
        <v/>
      </c>
      <c r="Y327" s="26">
        <f ca="1">NETWORKDAYS(P327,$Y$1)</f>
        <v>196</v>
      </c>
      <c r="Z327" s="34">
        <v>1</v>
      </c>
      <c r="AA327" s="25" t="str">
        <f t="shared" ca="1" si="28"/>
        <v>A VENCER</v>
      </c>
      <c r="AB327" s="25" t="str">
        <f t="shared" si="26"/>
        <v>SL-On</v>
      </c>
      <c r="AC327" s="2" t="str">
        <f t="shared" si="30"/>
        <v xml:space="preserve"> ROSEMERE </v>
      </c>
      <c r="AD327" s="26">
        <f t="shared" si="27"/>
        <v>1</v>
      </c>
      <c r="AE327" s="26">
        <f t="shared" ca="1" si="29"/>
        <v>273.2619197916647</v>
      </c>
      <c r="AF327" s="35"/>
    </row>
    <row r="328" spans="1:32" hidden="1">
      <c r="A328" s="209">
        <v>8642730</v>
      </c>
      <c r="B328" s="209" t="s">
        <v>653</v>
      </c>
      <c r="C328" s="210" t="s">
        <v>654</v>
      </c>
      <c r="D328" s="214"/>
      <c r="E328" s="214">
        <v>2069001400040</v>
      </c>
      <c r="F328" s="209" t="s">
        <v>644</v>
      </c>
      <c r="G328" s="209" t="s">
        <v>53</v>
      </c>
      <c r="H328" s="209" t="s">
        <v>557</v>
      </c>
      <c r="I328" s="209" t="s">
        <v>558</v>
      </c>
      <c r="J328" s="209" t="s">
        <v>90</v>
      </c>
      <c r="K328" s="210" t="s">
        <v>645</v>
      </c>
      <c r="L328" s="210"/>
      <c r="M328" s="209" t="s">
        <v>58</v>
      </c>
      <c r="N328" s="209">
        <v>0</v>
      </c>
      <c r="O328" s="209" t="s">
        <v>105</v>
      </c>
      <c r="P328" s="213">
        <v>44713.414305555554</v>
      </c>
      <c r="Q328" s="209"/>
      <c r="R328" s="209">
        <v>2</v>
      </c>
      <c r="S328" s="209"/>
      <c r="T328" s="209" t="s">
        <v>646</v>
      </c>
      <c r="U328" s="213">
        <v>44714.414305555554</v>
      </c>
      <c r="V328" s="209" t="s">
        <v>41</v>
      </c>
      <c r="W328" s="209" t="s">
        <v>49</v>
      </c>
      <c r="X328" s="13" t="str">
        <f>IF(RIGHT(H328,2)&lt;&gt;"00",H328,"")</f>
        <v/>
      </c>
      <c r="Y328" s="26">
        <f ca="1">NETWORKDAYS(P328,$Y$1)</f>
        <v>196</v>
      </c>
      <c r="Z328" s="34">
        <v>1</v>
      </c>
      <c r="AA328" s="25" t="str">
        <f t="shared" ca="1" si="28"/>
        <v>A VENCER</v>
      </c>
      <c r="AB328" s="25" t="str">
        <f t="shared" si="26"/>
        <v>SL-On</v>
      </c>
      <c r="AC328" s="2" t="str">
        <f t="shared" si="30"/>
        <v xml:space="preserve"> RINALDO </v>
      </c>
      <c r="AD328" s="26">
        <f t="shared" si="27"/>
        <v>1</v>
      </c>
      <c r="AE328" s="26">
        <f t="shared" ca="1" si="29"/>
        <v>273.26196608796454</v>
      </c>
      <c r="AF328" s="35"/>
    </row>
    <row r="329" spans="1:32" hidden="1">
      <c r="A329" s="209">
        <v>8642641</v>
      </c>
      <c r="B329" s="209" t="s">
        <v>653</v>
      </c>
      <c r="C329" s="210" t="s">
        <v>654</v>
      </c>
      <c r="D329" s="214"/>
      <c r="E329" s="214">
        <v>1924001400040</v>
      </c>
      <c r="F329" s="209" t="s">
        <v>644</v>
      </c>
      <c r="G329" s="209" t="s">
        <v>53</v>
      </c>
      <c r="H329" s="209" t="s">
        <v>568</v>
      </c>
      <c r="I329" s="209" t="s">
        <v>569</v>
      </c>
      <c r="J329" s="209" t="s">
        <v>33</v>
      </c>
      <c r="K329" s="210" t="s">
        <v>645</v>
      </c>
      <c r="L329" s="210"/>
      <c r="M329" s="209" t="s">
        <v>58</v>
      </c>
      <c r="N329" s="209">
        <v>0</v>
      </c>
      <c r="O329" s="209" t="s">
        <v>105</v>
      </c>
      <c r="P329" s="213">
        <v>44713.414050925923</v>
      </c>
      <c r="Q329" s="209"/>
      <c r="R329" s="209">
        <v>2</v>
      </c>
      <c r="S329" s="209"/>
      <c r="T329" s="209" t="s">
        <v>646</v>
      </c>
      <c r="U329" s="213">
        <v>44714.414050925923</v>
      </c>
      <c r="V329" s="209" t="s">
        <v>41</v>
      </c>
      <c r="W329" s="209" t="s">
        <v>49</v>
      </c>
      <c r="X329" s="13" t="str">
        <f>IF(RIGHT(H329,2)&lt;&gt;"00",H329,"")</f>
        <v/>
      </c>
      <c r="Y329" s="26">
        <f ca="1">NETWORKDAYS(P329,$Y$1)</f>
        <v>196</v>
      </c>
      <c r="Z329" s="34">
        <v>1</v>
      </c>
      <c r="AA329" s="25" t="str">
        <f t="shared" ca="1" si="28"/>
        <v>A VENCER</v>
      </c>
      <c r="AB329" s="25" t="str">
        <f t="shared" si="26"/>
        <v>SL-On</v>
      </c>
      <c r="AC329" s="2" t="str">
        <f t="shared" si="30"/>
        <v xml:space="preserve"> ROSEMERE </v>
      </c>
      <c r="AD329" s="26">
        <f t="shared" si="27"/>
        <v>1</v>
      </c>
      <c r="AE329" s="26">
        <f t="shared" ca="1" si="29"/>
        <v>273.26222071759548</v>
      </c>
      <c r="AF329" s="35"/>
    </row>
    <row r="330" spans="1:32" hidden="1">
      <c r="A330" s="209">
        <v>8642588</v>
      </c>
      <c r="B330" s="209" t="s">
        <v>653</v>
      </c>
      <c r="C330" s="210" t="s">
        <v>654</v>
      </c>
      <c r="D330" s="214"/>
      <c r="E330" s="214">
        <v>1838001400040</v>
      </c>
      <c r="F330" s="209" t="s">
        <v>644</v>
      </c>
      <c r="G330" s="209" t="s">
        <v>53</v>
      </c>
      <c r="H330" s="209" t="s">
        <v>357</v>
      </c>
      <c r="I330" s="209" t="s">
        <v>358</v>
      </c>
      <c r="J330" s="209" t="s">
        <v>46</v>
      </c>
      <c r="K330" s="210" t="s">
        <v>645</v>
      </c>
      <c r="L330" s="210"/>
      <c r="M330" s="209" t="s">
        <v>58</v>
      </c>
      <c r="N330" s="209">
        <v>0</v>
      </c>
      <c r="O330" s="209" t="s">
        <v>105</v>
      </c>
      <c r="P330" s="213">
        <v>44713.413969907408</v>
      </c>
      <c r="Q330" s="209"/>
      <c r="R330" s="209">
        <v>2</v>
      </c>
      <c r="S330" s="209"/>
      <c r="T330" s="209" t="s">
        <v>646</v>
      </c>
      <c r="U330" s="213">
        <v>44714.413969907408</v>
      </c>
      <c r="V330" s="209" t="s">
        <v>41</v>
      </c>
      <c r="W330" s="209" t="s">
        <v>49</v>
      </c>
      <c r="X330" s="13" t="str">
        <f>IF(RIGHT(H330,2)&lt;&gt;"00",H330,"")</f>
        <v/>
      </c>
      <c r="Y330" s="26">
        <f ca="1">NETWORKDAYS(P330,$Y$1)</f>
        <v>196</v>
      </c>
      <c r="Z330" s="34">
        <v>1</v>
      </c>
      <c r="AA330" s="25" t="str">
        <f t="shared" ca="1" si="28"/>
        <v>A VENCER</v>
      </c>
      <c r="AB330" s="25" t="str">
        <f t="shared" si="26"/>
        <v>SL-On</v>
      </c>
      <c r="AC330" s="2" t="str">
        <f t="shared" si="30"/>
        <v xml:space="preserve"> CLEITON </v>
      </c>
      <c r="AD330" s="26">
        <f t="shared" si="27"/>
        <v>1</v>
      </c>
      <c r="AE330" s="26">
        <f t="shared" ca="1" si="29"/>
        <v>273.26230173611111</v>
      </c>
      <c r="AF330" s="35"/>
    </row>
    <row r="331" spans="1:32" hidden="1">
      <c r="A331" s="209">
        <v>8642586</v>
      </c>
      <c r="B331" s="209" t="s">
        <v>653</v>
      </c>
      <c r="C331" s="210" t="s">
        <v>654</v>
      </c>
      <c r="D331" s="214"/>
      <c r="E331" s="214">
        <v>1836001400040</v>
      </c>
      <c r="F331" s="209" t="s">
        <v>644</v>
      </c>
      <c r="G331" s="209" t="s">
        <v>53</v>
      </c>
      <c r="H331" s="209" t="s">
        <v>455</v>
      </c>
      <c r="I331" s="209" t="s">
        <v>456</v>
      </c>
      <c r="J331" s="209" t="s">
        <v>46</v>
      </c>
      <c r="K331" s="210" t="s">
        <v>645</v>
      </c>
      <c r="L331" s="210"/>
      <c r="M331" s="209" t="s">
        <v>58</v>
      </c>
      <c r="N331" s="209">
        <v>0</v>
      </c>
      <c r="O331" s="209" t="s">
        <v>105</v>
      </c>
      <c r="P331" s="213">
        <v>44713.413958333331</v>
      </c>
      <c r="Q331" s="209"/>
      <c r="R331" s="209">
        <v>3</v>
      </c>
      <c r="S331" s="209"/>
      <c r="T331" s="209" t="s">
        <v>646</v>
      </c>
      <c r="U331" s="213">
        <v>44714.413958333331</v>
      </c>
      <c r="V331" s="209" t="s">
        <v>41</v>
      </c>
      <c r="W331" s="209" t="s">
        <v>49</v>
      </c>
      <c r="X331" s="13" t="str">
        <f>IF(RIGHT(H331,2)&lt;&gt;"00",H331,"")</f>
        <v/>
      </c>
      <c r="Y331" s="26">
        <f ca="1">NETWORKDAYS(P331,$Y$1)</f>
        <v>196</v>
      </c>
      <c r="Z331" s="34">
        <v>1</v>
      </c>
      <c r="AA331" s="25" t="str">
        <f t="shared" ca="1" si="28"/>
        <v>A VENCER</v>
      </c>
      <c r="AB331" s="25" t="str">
        <f t="shared" si="26"/>
        <v>SL-On</v>
      </c>
      <c r="AC331" s="2" t="str">
        <f t="shared" si="30"/>
        <v xml:space="preserve"> CLEITON </v>
      </c>
      <c r="AD331" s="26">
        <f t="shared" si="27"/>
        <v>1</v>
      </c>
      <c r="AE331" s="26">
        <f t="shared" ca="1" si="29"/>
        <v>273.26231331018789</v>
      </c>
      <c r="AF331" s="35"/>
    </row>
    <row r="332" spans="1:32" hidden="1">
      <c r="A332" s="209">
        <v>8642585</v>
      </c>
      <c r="B332" s="209" t="s">
        <v>653</v>
      </c>
      <c r="C332" s="210" t="s">
        <v>654</v>
      </c>
      <c r="D332" s="214"/>
      <c r="E332" s="214">
        <v>1835001400040</v>
      </c>
      <c r="F332" s="209" t="s">
        <v>644</v>
      </c>
      <c r="G332" s="209" t="s">
        <v>53</v>
      </c>
      <c r="H332" s="209" t="s">
        <v>305</v>
      </c>
      <c r="I332" s="209" t="s">
        <v>306</v>
      </c>
      <c r="J332" s="209" t="s">
        <v>46</v>
      </c>
      <c r="K332" s="210" t="s">
        <v>645</v>
      </c>
      <c r="L332" s="210"/>
      <c r="M332" s="209" t="s">
        <v>58</v>
      </c>
      <c r="N332" s="209">
        <v>0</v>
      </c>
      <c r="O332" s="209" t="s">
        <v>105</v>
      </c>
      <c r="P332" s="213">
        <v>44713.413958333331</v>
      </c>
      <c r="Q332" s="209"/>
      <c r="R332" s="209">
        <v>3</v>
      </c>
      <c r="S332" s="209"/>
      <c r="T332" s="209" t="s">
        <v>646</v>
      </c>
      <c r="U332" s="213">
        <v>44714.413958333331</v>
      </c>
      <c r="V332" s="209" t="s">
        <v>41</v>
      </c>
      <c r="W332" s="209" t="s">
        <v>49</v>
      </c>
      <c r="X332" s="13" t="str">
        <f>IF(RIGHT(H332,2)&lt;&gt;"00",H332,"")</f>
        <v/>
      </c>
      <c r="Y332" s="26">
        <f ca="1">NETWORKDAYS(P332,$Y$1)</f>
        <v>196</v>
      </c>
      <c r="Z332" s="34">
        <v>1</v>
      </c>
      <c r="AA332" s="25" t="str">
        <f t="shared" ca="1" si="28"/>
        <v>A VENCER</v>
      </c>
      <c r="AB332" s="25" t="str">
        <f t="shared" si="26"/>
        <v>SL-On</v>
      </c>
      <c r="AC332" s="2" t="str">
        <f t="shared" si="30"/>
        <v xml:space="preserve"> CLEITON </v>
      </c>
      <c r="AD332" s="26">
        <f t="shared" si="27"/>
        <v>1</v>
      </c>
      <c r="AE332" s="26">
        <f t="shared" ca="1" si="29"/>
        <v>273.26231331018789</v>
      </c>
      <c r="AF332" s="35"/>
    </row>
    <row r="333" spans="1:32" hidden="1">
      <c r="A333" s="209">
        <v>8642583</v>
      </c>
      <c r="B333" s="209" t="s">
        <v>653</v>
      </c>
      <c r="C333" s="210" t="s">
        <v>654</v>
      </c>
      <c r="D333" s="214"/>
      <c r="E333" s="214">
        <v>1833001400040</v>
      </c>
      <c r="F333" s="209" t="s">
        <v>644</v>
      </c>
      <c r="G333" s="209" t="s">
        <v>53</v>
      </c>
      <c r="H333" s="209" t="s">
        <v>369</v>
      </c>
      <c r="I333" s="209" t="s">
        <v>370</v>
      </c>
      <c r="J333" s="209" t="s">
        <v>46</v>
      </c>
      <c r="K333" s="210" t="s">
        <v>645</v>
      </c>
      <c r="L333" s="210"/>
      <c r="M333" s="209" t="s">
        <v>58</v>
      </c>
      <c r="N333" s="209">
        <v>0</v>
      </c>
      <c r="O333" s="209" t="s">
        <v>105</v>
      </c>
      <c r="P333" s="213">
        <v>44713.413958333331</v>
      </c>
      <c r="Q333" s="209"/>
      <c r="R333" s="209">
        <v>3</v>
      </c>
      <c r="S333" s="209"/>
      <c r="T333" s="209" t="s">
        <v>646</v>
      </c>
      <c r="U333" s="213">
        <v>44714.413958333331</v>
      </c>
      <c r="V333" s="209" t="s">
        <v>41</v>
      </c>
      <c r="W333" s="209" t="s">
        <v>49</v>
      </c>
      <c r="X333" s="13" t="str">
        <f>IF(RIGHT(H333,2)&lt;&gt;"00",H333,"")</f>
        <v/>
      </c>
      <c r="Y333" s="26">
        <f ca="1">NETWORKDAYS(P333,$Y$1)</f>
        <v>196</v>
      </c>
      <c r="Z333" s="34">
        <v>1</v>
      </c>
      <c r="AA333" s="25" t="str">
        <f t="shared" ca="1" si="28"/>
        <v>A VENCER</v>
      </c>
      <c r="AB333" s="25" t="str">
        <f t="shared" si="26"/>
        <v>SL-On</v>
      </c>
      <c r="AC333" s="2" t="str">
        <f t="shared" si="30"/>
        <v xml:space="preserve"> CLEITON </v>
      </c>
      <c r="AD333" s="26">
        <f t="shared" si="27"/>
        <v>1</v>
      </c>
      <c r="AE333" s="26">
        <f t="shared" ca="1" si="29"/>
        <v>273.26231331018789</v>
      </c>
      <c r="AF333" s="35"/>
    </row>
    <row r="334" spans="1:32" hidden="1">
      <c r="A334" s="209">
        <v>8642527</v>
      </c>
      <c r="B334" s="209" t="s">
        <v>653</v>
      </c>
      <c r="C334" s="210" t="s">
        <v>654</v>
      </c>
      <c r="D334" s="214"/>
      <c r="E334" s="214">
        <v>1764001400040</v>
      </c>
      <c r="F334" s="209" t="s">
        <v>644</v>
      </c>
      <c r="G334" s="209" t="s">
        <v>53</v>
      </c>
      <c r="H334" s="209" t="s">
        <v>722</v>
      </c>
      <c r="I334" s="209" t="s">
        <v>723</v>
      </c>
      <c r="J334" s="209" t="s">
        <v>90</v>
      </c>
      <c r="K334" s="210" t="s">
        <v>645</v>
      </c>
      <c r="L334" s="210"/>
      <c r="M334" s="209" t="s">
        <v>58</v>
      </c>
      <c r="N334" s="209">
        <v>0</v>
      </c>
      <c r="O334" s="209" t="s">
        <v>36</v>
      </c>
      <c r="P334" s="213">
        <v>44713.413668981484</v>
      </c>
      <c r="Q334" s="209"/>
      <c r="R334" s="209">
        <v>2</v>
      </c>
      <c r="S334" s="209"/>
      <c r="T334" s="209" t="s">
        <v>646</v>
      </c>
      <c r="U334" s="213">
        <v>44714.413668981484</v>
      </c>
      <c r="V334" s="209" t="s">
        <v>41</v>
      </c>
      <c r="W334" s="209" t="s">
        <v>49</v>
      </c>
      <c r="X334" s="13" t="str">
        <f>IF(RIGHT(H334,2)&lt;&gt;"00",H334,"")</f>
        <v/>
      </c>
      <c r="Y334" s="26">
        <f ca="1">NETWORKDAYS(P334,$Y$1)</f>
        <v>196</v>
      </c>
      <c r="Z334" s="34">
        <v>1</v>
      </c>
      <c r="AA334" s="25" t="str">
        <f t="shared" ca="1" si="28"/>
        <v>A VENCER</v>
      </c>
      <c r="AB334" s="25" t="str">
        <f t="shared" si="26"/>
        <v>SL-On</v>
      </c>
      <c r="AC334" s="2" t="str">
        <f t="shared" si="30"/>
        <v xml:space="preserve"> RINALDO </v>
      </c>
      <c r="AD334" s="26">
        <f t="shared" si="27"/>
        <v>1</v>
      </c>
      <c r="AE334" s="26">
        <f t="shared" ca="1" si="29"/>
        <v>273.26260266203462</v>
      </c>
      <c r="AF334" s="35"/>
    </row>
    <row r="335" spans="1:32" hidden="1">
      <c r="A335" s="209">
        <v>8642499</v>
      </c>
      <c r="B335" s="209" t="s">
        <v>653</v>
      </c>
      <c r="C335" s="210" t="s">
        <v>654</v>
      </c>
      <c r="D335" s="214"/>
      <c r="E335" s="214">
        <v>1732001400040</v>
      </c>
      <c r="F335" s="209" t="s">
        <v>644</v>
      </c>
      <c r="G335" s="209" t="s">
        <v>53</v>
      </c>
      <c r="H335" s="209" t="s">
        <v>177</v>
      </c>
      <c r="I335" s="209" t="s">
        <v>178</v>
      </c>
      <c r="J335" s="209" t="s">
        <v>164</v>
      </c>
      <c r="K335" s="210" t="s">
        <v>645</v>
      </c>
      <c r="L335" s="210"/>
      <c r="M335" s="209" t="s">
        <v>58</v>
      </c>
      <c r="N335" s="209">
        <v>0</v>
      </c>
      <c r="O335" s="209" t="s">
        <v>105</v>
      </c>
      <c r="P335" s="213">
        <v>44713.413622685184</v>
      </c>
      <c r="Q335" s="209"/>
      <c r="R335" s="209">
        <v>3</v>
      </c>
      <c r="S335" s="209"/>
      <c r="T335" s="209" t="s">
        <v>646</v>
      </c>
      <c r="U335" s="213">
        <v>44714.413634259261</v>
      </c>
      <c r="V335" s="209" t="s">
        <v>41</v>
      </c>
      <c r="W335" s="209" t="s">
        <v>49</v>
      </c>
      <c r="X335" s="13" t="str">
        <f>IF(RIGHT(H335,2)&lt;&gt;"00",H335,"")</f>
        <v/>
      </c>
      <c r="Y335" s="26">
        <f ca="1">NETWORKDAYS(P335,$Y$1)</f>
        <v>196</v>
      </c>
      <c r="Z335" s="34">
        <v>1</v>
      </c>
      <c r="AA335" s="25" t="str">
        <f t="shared" ca="1" si="28"/>
        <v>A VENCER</v>
      </c>
      <c r="AB335" s="25" t="str">
        <f t="shared" si="26"/>
        <v>SL-On</v>
      </c>
      <c r="AC335" s="2" t="str">
        <f t="shared" si="30"/>
        <v xml:space="preserve"> ROSEMERE </v>
      </c>
      <c r="AD335" s="26">
        <f t="shared" si="27"/>
        <v>1</v>
      </c>
      <c r="AE335" s="26">
        <f t="shared" ca="1" si="29"/>
        <v>273.26264895833447</v>
      </c>
      <c r="AF335" s="35"/>
    </row>
    <row r="336" spans="1:32" hidden="1">
      <c r="A336" s="209">
        <v>8642435</v>
      </c>
      <c r="B336" s="209" t="s">
        <v>653</v>
      </c>
      <c r="C336" s="210" t="s">
        <v>654</v>
      </c>
      <c r="D336" s="214"/>
      <c r="E336" s="214">
        <v>1664001400040</v>
      </c>
      <c r="F336" s="209" t="s">
        <v>644</v>
      </c>
      <c r="G336" s="209" t="s">
        <v>53</v>
      </c>
      <c r="H336" s="209" t="s">
        <v>307</v>
      </c>
      <c r="I336" s="209" t="s">
        <v>308</v>
      </c>
      <c r="J336" s="209" t="s">
        <v>164</v>
      </c>
      <c r="K336" s="210" t="s">
        <v>645</v>
      </c>
      <c r="L336" s="210"/>
      <c r="M336" s="209" t="s">
        <v>58</v>
      </c>
      <c r="N336" s="209">
        <v>0</v>
      </c>
      <c r="O336" s="209" t="s">
        <v>105</v>
      </c>
      <c r="P336" s="213">
        <v>44713.413391203707</v>
      </c>
      <c r="Q336" s="209"/>
      <c r="R336" s="209">
        <v>2</v>
      </c>
      <c r="S336" s="209"/>
      <c r="T336" s="209" t="s">
        <v>646</v>
      </c>
      <c r="U336" s="213">
        <v>44714.413391203707</v>
      </c>
      <c r="V336" s="209" t="s">
        <v>41</v>
      </c>
      <c r="W336" s="209" t="s">
        <v>49</v>
      </c>
      <c r="X336" s="13" t="str">
        <f>IF(RIGHT(H336,2)&lt;&gt;"00",H336,"")</f>
        <v/>
      </c>
      <c r="Y336" s="26">
        <f ca="1">NETWORKDAYS(P336,$Y$1)</f>
        <v>196</v>
      </c>
      <c r="Z336" s="34">
        <v>1</v>
      </c>
      <c r="AA336" s="25" t="str">
        <f t="shared" ca="1" si="28"/>
        <v>A VENCER</v>
      </c>
      <c r="AB336" s="25" t="str">
        <f t="shared" si="26"/>
        <v>SL-On</v>
      </c>
      <c r="AC336" s="2" t="str">
        <f t="shared" si="30"/>
        <v xml:space="preserve"> ROSEMERE </v>
      </c>
      <c r="AD336" s="26">
        <f t="shared" si="27"/>
        <v>1</v>
      </c>
      <c r="AE336" s="26">
        <f t="shared" ca="1" si="29"/>
        <v>273.26288043981185</v>
      </c>
      <c r="AF336" s="35"/>
    </row>
    <row r="337" spans="1:32" hidden="1">
      <c r="A337" s="209">
        <v>8642415</v>
      </c>
      <c r="B337" s="209" t="s">
        <v>653</v>
      </c>
      <c r="C337" s="210" t="s">
        <v>654</v>
      </c>
      <c r="D337" s="214"/>
      <c r="E337" s="214">
        <v>1643001400040</v>
      </c>
      <c r="F337" s="209" t="s">
        <v>644</v>
      </c>
      <c r="G337" s="209" t="s">
        <v>53</v>
      </c>
      <c r="H337" s="209" t="s">
        <v>361</v>
      </c>
      <c r="I337" s="209" t="s">
        <v>362</v>
      </c>
      <c r="J337" s="209" t="s">
        <v>261</v>
      </c>
      <c r="K337" s="210" t="s">
        <v>645</v>
      </c>
      <c r="L337" s="210"/>
      <c r="M337" s="209" t="s">
        <v>58</v>
      </c>
      <c r="N337" s="209">
        <v>0</v>
      </c>
      <c r="O337" s="209" t="s">
        <v>105</v>
      </c>
      <c r="P337" s="213">
        <v>44713.413356481484</v>
      </c>
      <c r="Q337" s="209"/>
      <c r="R337" s="209">
        <v>2</v>
      </c>
      <c r="S337" s="209"/>
      <c r="T337" s="209" t="s">
        <v>646</v>
      </c>
      <c r="U337" s="213">
        <v>44714.413356481484</v>
      </c>
      <c r="V337" s="209" t="s">
        <v>41</v>
      </c>
      <c r="W337" s="209" t="s">
        <v>49</v>
      </c>
      <c r="X337" s="13" t="str">
        <f>IF(RIGHT(H337,2)&lt;&gt;"00",H337,"")</f>
        <v/>
      </c>
      <c r="Y337" s="26">
        <f ca="1">NETWORKDAYS(P337,$Y$1)</f>
        <v>196</v>
      </c>
      <c r="Z337" s="34">
        <v>1</v>
      </c>
      <c r="AA337" s="25" t="str">
        <f t="shared" ca="1" si="28"/>
        <v>A VENCER</v>
      </c>
      <c r="AB337" s="25" t="str">
        <f t="shared" si="26"/>
        <v>SL-On</v>
      </c>
      <c r="AC337" s="2" t="str">
        <f t="shared" si="30"/>
        <v xml:space="preserve"> CRISTINA </v>
      </c>
      <c r="AD337" s="26">
        <f t="shared" si="27"/>
        <v>1</v>
      </c>
      <c r="AE337" s="26">
        <f t="shared" ca="1" si="29"/>
        <v>273.26291516203491</v>
      </c>
      <c r="AF337" s="35"/>
    </row>
    <row r="338" spans="1:32" hidden="1">
      <c r="A338" s="209">
        <v>8642300</v>
      </c>
      <c r="B338" s="209" t="s">
        <v>653</v>
      </c>
      <c r="C338" s="210" t="s">
        <v>654</v>
      </c>
      <c r="D338" s="214"/>
      <c r="E338" s="214">
        <v>1509001400040</v>
      </c>
      <c r="F338" s="209" t="s">
        <v>644</v>
      </c>
      <c r="G338" s="209" t="s">
        <v>53</v>
      </c>
      <c r="H338" s="209" t="s">
        <v>731</v>
      </c>
      <c r="I338" s="209" t="s">
        <v>732</v>
      </c>
      <c r="J338" s="209" t="s">
        <v>46</v>
      </c>
      <c r="K338" s="210" t="s">
        <v>645</v>
      </c>
      <c r="L338" s="210"/>
      <c r="M338" s="209" t="s">
        <v>58</v>
      </c>
      <c r="N338" s="209">
        <v>0</v>
      </c>
      <c r="O338" s="209" t="s">
        <v>105</v>
      </c>
      <c r="P338" s="213">
        <v>44713.412974537037</v>
      </c>
      <c r="Q338" s="209"/>
      <c r="R338" s="209">
        <v>3</v>
      </c>
      <c r="S338" s="209"/>
      <c r="T338" s="209" t="s">
        <v>646</v>
      </c>
      <c r="U338" s="213">
        <v>44714.412974537037</v>
      </c>
      <c r="V338" s="209" t="s">
        <v>41</v>
      </c>
      <c r="W338" s="209" t="s">
        <v>49</v>
      </c>
      <c r="X338" s="13" t="str">
        <f>IF(RIGHT(H338,2)&lt;&gt;"00",H338,"")</f>
        <v/>
      </c>
      <c r="Y338" s="26">
        <f ca="1">NETWORKDAYS(P338,$Y$1)</f>
        <v>196</v>
      </c>
      <c r="Z338" s="34">
        <v>1</v>
      </c>
      <c r="AA338" s="25" t="str">
        <f t="shared" ca="1" si="28"/>
        <v>A VENCER</v>
      </c>
      <c r="AB338" s="25" t="str">
        <f t="shared" si="26"/>
        <v>SL-On</v>
      </c>
      <c r="AC338" s="2" t="str">
        <f t="shared" si="30"/>
        <v xml:space="preserve"> CLEITON </v>
      </c>
      <c r="AD338" s="26">
        <f t="shared" si="27"/>
        <v>1</v>
      </c>
      <c r="AE338" s="26">
        <f t="shared" ca="1" si="29"/>
        <v>273.26329710648133</v>
      </c>
      <c r="AF338" s="35"/>
    </row>
    <row r="339" spans="1:32" hidden="1">
      <c r="A339" s="209">
        <v>8642161</v>
      </c>
      <c r="B339" s="209" t="s">
        <v>653</v>
      </c>
      <c r="C339" s="210" t="s">
        <v>654</v>
      </c>
      <c r="D339" s="214"/>
      <c r="E339" s="214">
        <v>1362001400040</v>
      </c>
      <c r="F339" s="209" t="s">
        <v>644</v>
      </c>
      <c r="G339" s="209" t="s">
        <v>53</v>
      </c>
      <c r="H339" s="209" t="s">
        <v>268</v>
      </c>
      <c r="I339" s="209" t="s">
        <v>269</v>
      </c>
      <c r="J339" s="209" t="s">
        <v>90</v>
      </c>
      <c r="K339" s="210" t="s">
        <v>645</v>
      </c>
      <c r="L339" s="210"/>
      <c r="M339" s="209" t="s">
        <v>58</v>
      </c>
      <c r="N339" s="209">
        <v>0</v>
      </c>
      <c r="O339" s="209" t="s">
        <v>105</v>
      </c>
      <c r="P339" s="213">
        <v>44713.412453703706</v>
      </c>
      <c r="Q339" s="209"/>
      <c r="R339" s="209">
        <v>3</v>
      </c>
      <c r="S339" s="209"/>
      <c r="T339" s="209" t="s">
        <v>646</v>
      </c>
      <c r="U339" s="213">
        <v>44714.412453703706</v>
      </c>
      <c r="V339" s="209" t="s">
        <v>41</v>
      </c>
      <c r="W339" s="209" t="s">
        <v>49</v>
      </c>
      <c r="X339" s="13" t="str">
        <f>IF(RIGHT(H339,2)&lt;&gt;"00",H339,"")</f>
        <v/>
      </c>
      <c r="Y339" s="26">
        <f ca="1">NETWORKDAYS(P339,$Y$1)</f>
        <v>196</v>
      </c>
      <c r="Z339" s="34">
        <v>1</v>
      </c>
      <c r="AA339" s="25" t="str">
        <f t="shared" ca="1" si="28"/>
        <v>A VENCER</v>
      </c>
      <c r="AB339" s="25" t="str">
        <f t="shared" si="26"/>
        <v>SL-On</v>
      </c>
      <c r="AC339" s="2" t="str">
        <f t="shared" si="30"/>
        <v xml:space="preserve"> RINALDO </v>
      </c>
      <c r="AD339" s="26">
        <f t="shared" si="27"/>
        <v>1</v>
      </c>
      <c r="AE339" s="26">
        <f t="shared" ca="1" si="29"/>
        <v>273.26381793981272</v>
      </c>
      <c r="AF339" s="35"/>
    </row>
    <row r="340" spans="1:32" hidden="1">
      <c r="A340" s="209">
        <v>8642159</v>
      </c>
      <c r="B340" s="209" t="s">
        <v>653</v>
      </c>
      <c r="C340" s="210" t="s">
        <v>654</v>
      </c>
      <c r="D340" s="214"/>
      <c r="E340" s="214">
        <v>1360001400040</v>
      </c>
      <c r="F340" s="209" t="s">
        <v>644</v>
      </c>
      <c r="G340" s="209" t="s">
        <v>53</v>
      </c>
      <c r="H340" s="209" t="s">
        <v>303</v>
      </c>
      <c r="I340" s="209" t="s">
        <v>304</v>
      </c>
      <c r="J340" s="209" t="s">
        <v>261</v>
      </c>
      <c r="K340" s="210" t="s">
        <v>645</v>
      </c>
      <c r="L340" s="210"/>
      <c r="M340" s="209" t="s">
        <v>58</v>
      </c>
      <c r="N340" s="209">
        <v>0</v>
      </c>
      <c r="O340" s="209" t="s">
        <v>105</v>
      </c>
      <c r="P340" s="213">
        <v>44713.412453703706</v>
      </c>
      <c r="Q340" s="209"/>
      <c r="R340" s="209">
        <v>3</v>
      </c>
      <c r="S340" s="209"/>
      <c r="T340" s="209" t="s">
        <v>646</v>
      </c>
      <c r="U340" s="213">
        <v>44714.412453703706</v>
      </c>
      <c r="V340" s="209" t="s">
        <v>41</v>
      </c>
      <c r="W340" s="209" t="s">
        <v>49</v>
      </c>
      <c r="X340" s="13" t="str">
        <f>IF(RIGHT(H340,2)&lt;&gt;"00",H340,"")</f>
        <v/>
      </c>
      <c r="Y340" s="26">
        <f ca="1">NETWORKDAYS(P340,$Y$1)</f>
        <v>196</v>
      </c>
      <c r="Z340" s="34">
        <v>1</v>
      </c>
      <c r="AA340" s="25" t="str">
        <f t="shared" ca="1" si="28"/>
        <v>A VENCER</v>
      </c>
      <c r="AB340" s="25" t="str">
        <f t="shared" si="26"/>
        <v>SL-On</v>
      </c>
      <c r="AC340" s="2" t="str">
        <f t="shared" si="30"/>
        <v xml:space="preserve"> CRISTINA </v>
      </c>
      <c r="AD340" s="26">
        <f t="shared" si="27"/>
        <v>1</v>
      </c>
      <c r="AE340" s="26">
        <f t="shared" ca="1" si="29"/>
        <v>273.26381793981272</v>
      </c>
      <c r="AF340" s="35"/>
    </row>
    <row r="341" spans="1:32" hidden="1">
      <c r="A341" s="209">
        <v>8642158</v>
      </c>
      <c r="B341" s="209" t="s">
        <v>653</v>
      </c>
      <c r="C341" s="210" t="s">
        <v>654</v>
      </c>
      <c r="D341" s="214"/>
      <c r="E341" s="214">
        <v>1359001400040</v>
      </c>
      <c r="F341" s="209" t="s">
        <v>644</v>
      </c>
      <c r="G341" s="209" t="s">
        <v>53</v>
      </c>
      <c r="H341" s="209" t="s">
        <v>270</v>
      </c>
      <c r="I341" s="209" t="s">
        <v>271</v>
      </c>
      <c r="J341" s="209" t="s">
        <v>141</v>
      </c>
      <c r="K341" s="210" t="s">
        <v>645</v>
      </c>
      <c r="L341" s="210"/>
      <c r="M341" s="209" t="s">
        <v>58</v>
      </c>
      <c r="N341" s="209">
        <v>0</v>
      </c>
      <c r="O341" s="209" t="s">
        <v>105</v>
      </c>
      <c r="P341" s="213">
        <v>44713.412453703706</v>
      </c>
      <c r="Q341" s="209"/>
      <c r="R341" s="209">
        <v>2</v>
      </c>
      <c r="S341" s="209"/>
      <c r="T341" s="209" t="s">
        <v>646</v>
      </c>
      <c r="U341" s="213">
        <v>44714.412453703706</v>
      </c>
      <c r="V341" s="209" t="s">
        <v>41</v>
      </c>
      <c r="W341" s="209" t="s">
        <v>49</v>
      </c>
      <c r="X341" s="13" t="str">
        <f>IF(RIGHT(H341,2)&lt;&gt;"00",H341,"")</f>
        <v/>
      </c>
      <c r="Y341" s="26">
        <f ca="1">NETWORKDAYS(P341,$Y$1)</f>
        <v>196</v>
      </c>
      <c r="Z341" s="34">
        <v>1</v>
      </c>
      <c r="AA341" s="25" t="str">
        <f t="shared" ca="1" si="28"/>
        <v>A VENCER</v>
      </c>
      <c r="AB341" s="25" t="str">
        <f t="shared" si="26"/>
        <v>SL-On</v>
      </c>
      <c r="AC341" s="2" t="str">
        <f t="shared" si="30"/>
        <v xml:space="preserve"> CRISTINA </v>
      </c>
      <c r="AD341" s="26">
        <f t="shared" si="27"/>
        <v>1</v>
      </c>
      <c r="AE341" s="26">
        <f t="shared" ca="1" si="29"/>
        <v>273.26381793981272</v>
      </c>
      <c r="AF341" s="35"/>
    </row>
    <row r="342" spans="1:32" hidden="1">
      <c r="A342" s="209">
        <v>8641875</v>
      </c>
      <c r="B342" s="209" t="s">
        <v>653</v>
      </c>
      <c r="C342" s="210" t="s">
        <v>654</v>
      </c>
      <c r="D342" s="214"/>
      <c r="E342" s="214">
        <v>1059001400040</v>
      </c>
      <c r="F342" s="209" t="s">
        <v>644</v>
      </c>
      <c r="G342" s="209" t="s">
        <v>53</v>
      </c>
      <c r="H342" s="209" t="s">
        <v>88</v>
      </c>
      <c r="I342" s="209" t="s">
        <v>89</v>
      </c>
      <c r="J342" s="209" t="s">
        <v>90</v>
      </c>
      <c r="K342" s="210" t="s">
        <v>645</v>
      </c>
      <c r="L342" s="210"/>
      <c r="M342" s="209" t="s">
        <v>58</v>
      </c>
      <c r="N342" s="209">
        <v>0</v>
      </c>
      <c r="O342" s="209" t="s">
        <v>105</v>
      </c>
      <c r="P342" s="213">
        <v>44713.411435185182</v>
      </c>
      <c r="Q342" s="209"/>
      <c r="R342" s="209">
        <v>2</v>
      </c>
      <c r="S342" s="209"/>
      <c r="T342" s="209" t="s">
        <v>646</v>
      </c>
      <c r="U342" s="213">
        <v>44714.411435185182</v>
      </c>
      <c r="V342" s="209" t="s">
        <v>41</v>
      </c>
      <c r="W342" s="209" t="s">
        <v>49</v>
      </c>
      <c r="X342" s="13" t="str">
        <f>IF(RIGHT(H342,2)&lt;&gt;"00",H342,"")</f>
        <v/>
      </c>
      <c r="Y342" s="26">
        <f ca="1">NETWORKDAYS(P342,$Y$1)</f>
        <v>196</v>
      </c>
      <c r="Z342" s="34">
        <v>1</v>
      </c>
      <c r="AA342" s="25" t="str">
        <f t="shared" ca="1" si="28"/>
        <v>A VENCER</v>
      </c>
      <c r="AB342" s="25" t="str">
        <f t="shared" si="26"/>
        <v>SL-On</v>
      </c>
      <c r="AC342" s="2" t="str">
        <f t="shared" si="30"/>
        <v xml:space="preserve"> RINALDO </v>
      </c>
      <c r="AD342" s="26">
        <f t="shared" si="27"/>
        <v>1</v>
      </c>
      <c r="AE342" s="26">
        <f t="shared" ca="1" si="29"/>
        <v>273.2648364583365</v>
      </c>
      <c r="AF342" s="35"/>
    </row>
    <row r="343" spans="1:32" hidden="1">
      <c r="A343" s="209">
        <v>8641866</v>
      </c>
      <c r="B343" s="209" t="s">
        <v>653</v>
      </c>
      <c r="C343" s="210" t="s">
        <v>654</v>
      </c>
      <c r="D343" s="214"/>
      <c r="E343" s="214">
        <v>1049001400040</v>
      </c>
      <c r="F343" s="209" t="s">
        <v>644</v>
      </c>
      <c r="G343" s="209" t="s">
        <v>53</v>
      </c>
      <c r="H343" s="209" t="s">
        <v>169</v>
      </c>
      <c r="I343" s="209" t="s">
        <v>170</v>
      </c>
      <c r="J343" s="209" t="s">
        <v>164</v>
      </c>
      <c r="K343" s="210" t="s">
        <v>645</v>
      </c>
      <c r="L343" s="210"/>
      <c r="M343" s="209" t="s">
        <v>58</v>
      </c>
      <c r="N343" s="209">
        <v>0</v>
      </c>
      <c r="O343" s="209" t="s">
        <v>105</v>
      </c>
      <c r="P343" s="213">
        <v>44713.411423611113</v>
      </c>
      <c r="Q343" s="209"/>
      <c r="R343" s="209">
        <v>2</v>
      </c>
      <c r="S343" s="209"/>
      <c r="T343" s="209" t="s">
        <v>646</v>
      </c>
      <c r="U343" s="213">
        <v>44714.411423611113</v>
      </c>
      <c r="V343" s="209" t="s">
        <v>41</v>
      </c>
      <c r="W343" s="209" t="s">
        <v>49</v>
      </c>
      <c r="X343" s="13" t="str">
        <f>IF(RIGHT(H343,2)&lt;&gt;"00",H343,"")</f>
        <v/>
      </c>
      <c r="Y343" s="26">
        <f ca="1">NETWORKDAYS(P343,$Y$1)</f>
        <v>196</v>
      </c>
      <c r="Z343" s="34">
        <v>1</v>
      </c>
      <c r="AA343" s="25" t="str">
        <f t="shared" ca="1" si="28"/>
        <v>A VENCER</v>
      </c>
      <c r="AB343" s="25" t="str">
        <f t="shared" si="26"/>
        <v>SL-On</v>
      </c>
      <c r="AC343" s="2" t="str">
        <f t="shared" si="30"/>
        <v xml:space="preserve"> ROSEMERE </v>
      </c>
      <c r="AD343" s="26">
        <f t="shared" si="27"/>
        <v>1</v>
      </c>
      <c r="AE343" s="26">
        <f t="shared" ca="1" si="29"/>
        <v>273.26484803240601</v>
      </c>
      <c r="AF343" s="35"/>
    </row>
    <row r="344" spans="1:32" hidden="1">
      <c r="A344" s="209">
        <v>8641757</v>
      </c>
      <c r="B344" s="209" t="s">
        <v>653</v>
      </c>
      <c r="C344" s="210" t="s">
        <v>654</v>
      </c>
      <c r="D344" s="214"/>
      <c r="E344" s="214">
        <v>934001400040</v>
      </c>
      <c r="F344" s="209" t="s">
        <v>644</v>
      </c>
      <c r="G344" s="209" t="s">
        <v>53</v>
      </c>
      <c r="H344" s="209" t="s">
        <v>428</v>
      </c>
      <c r="I344" s="209" t="s">
        <v>429</v>
      </c>
      <c r="J344" s="209" t="s">
        <v>46</v>
      </c>
      <c r="K344" s="210" t="s">
        <v>645</v>
      </c>
      <c r="L344" s="210"/>
      <c r="M344" s="209" t="s">
        <v>58</v>
      </c>
      <c r="N344" s="209">
        <v>0</v>
      </c>
      <c r="O344" s="209" t="s">
        <v>105</v>
      </c>
      <c r="P344" s="213">
        <v>44713.411087962966</v>
      </c>
      <c r="Q344" s="209"/>
      <c r="R344" s="209">
        <v>2</v>
      </c>
      <c r="S344" s="209"/>
      <c r="T344" s="209" t="s">
        <v>646</v>
      </c>
      <c r="U344" s="213">
        <v>44714.411087962966</v>
      </c>
      <c r="V344" s="209" t="s">
        <v>41</v>
      </c>
      <c r="W344" s="209" t="s">
        <v>49</v>
      </c>
      <c r="X344" s="13" t="str">
        <f>IF(RIGHT(H344,2)&lt;&gt;"00",H344,"")</f>
        <v/>
      </c>
      <c r="Y344" s="26">
        <f ca="1">NETWORKDAYS(P344,$Y$1)</f>
        <v>196</v>
      </c>
      <c r="Z344" s="34">
        <v>1</v>
      </c>
      <c r="AA344" s="25" t="str">
        <f t="shared" ca="1" si="28"/>
        <v>A VENCER</v>
      </c>
      <c r="AB344" s="25" t="str">
        <f t="shared" si="26"/>
        <v>SL-On</v>
      </c>
      <c r="AC344" s="2" t="str">
        <f t="shared" si="30"/>
        <v xml:space="preserve"> CLEITON </v>
      </c>
      <c r="AD344" s="26">
        <f t="shared" si="27"/>
        <v>1</v>
      </c>
      <c r="AE344" s="26">
        <f t="shared" ca="1" si="29"/>
        <v>273.26518368055258</v>
      </c>
      <c r="AF344" s="35"/>
    </row>
    <row r="345" spans="1:32" hidden="1">
      <c r="A345" s="209">
        <v>8641532</v>
      </c>
      <c r="B345" s="209" t="s">
        <v>653</v>
      </c>
      <c r="C345" s="210" t="s">
        <v>654</v>
      </c>
      <c r="D345" s="214"/>
      <c r="E345" s="214">
        <v>714001400040</v>
      </c>
      <c r="F345" s="209" t="s">
        <v>644</v>
      </c>
      <c r="G345" s="209" t="s">
        <v>53</v>
      </c>
      <c r="H345" s="209" t="s">
        <v>377</v>
      </c>
      <c r="I345" s="209" t="s">
        <v>378</v>
      </c>
      <c r="J345" s="209" t="s">
        <v>46</v>
      </c>
      <c r="K345" s="210" t="s">
        <v>645</v>
      </c>
      <c r="L345" s="210"/>
      <c r="M345" s="209" t="s">
        <v>58</v>
      </c>
      <c r="N345" s="209">
        <v>0</v>
      </c>
      <c r="O345" s="209" t="s">
        <v>105</v>
      </c>
      <c r="P345" s="213">
        <v>44713.410324074073</v>
      </c>
      <c r="Q345" s="209"/>
      <c r="R345" s="209">
        <v>3</v>
      </c>
      <c r="S345" s="209"/>
      <c r="T345" s="209" t="s">
        <v>646</v>
      </c>
      <c r="U345" s="213">
        <v>44714.410324074073</v>
      </c>
      <c r="V345" s="209" t="s">
        <v>41</v>
      </c>
      <c r="W345" s="209" t="s">
        <v>49</v>
      </c>
      <c r="X345" s="13" t="str">
        <f>IF(RIGHT(H345,2)&lt;&gt;"00",H345,"")</f>
        <v/>
      </c>
      <c r="Y345" s="26">
        <f ca="1">NETWORKDAYS(P345,$Y$1)</f>
        <v>196</v>
      </c>
      <c r="Z345" s="34">
        <v>1</v>
      </c>
      <c r="AA345" s="25" t="str">
        <f t="shared" ca="1" si="28"/>
        <v>A VENCER</v>
      </c>
      <c r="AB345" s="25" t="str">
        <f t="shared" si="26"/>
        <v>SL-On</v>
      </c>
      <c r="AC345" s="2" t="str">
        <f t="shared" si="30"/>
        <v xml:space="preserve"> CLEITON </v>
      </c>
      <c r="AD345" s="26">
        <f t="shared" si="27"/>
        <v>1</v>
      </c>
      <c r="AE345" s="26">
        <f t="shared" ca="1" si="29"/>
        <v>273.26594756944542</v>
      </c>
      <c r="AF345" s="35"/>
    </row>
    <row r="346" spans="1:32" hidden="1">
      <c r="A346" s="209">
        <v>8641530</v>
      </c>
      <c r="B346" s="209" t="s">
        <v>653</v>
      </c>
      <c r="C346" s="210" t="s">
        <v>654</v>
      </c>
      <c r="D346" s="214"/>
      <c r="E346" s="214">
        <v>711001400040</v>
      </c>
      <c r="F346" s="209" t="s">
        <v>644</v>
      </c>
      <c r="G346" s="209" t="s">
        <v>53</v>
      </c>
      <c r="H346" s="209" t="s">
        <v>77</v>
      </c>
      <c r="I346" s="209" t="s">
        <v>78</v>
      </c>
      <c r="J346" s="209" t="s">
        <v>79</v>
      </c>
      <c r="K346" s="210" t="s">
        <v>645</v>
      </c>
      <c r="L346" s="210"/>
      <c r="M346" s="209" t="s">
        <v>58</v>
      </c>
      <c r="N346" s="209">
        <v>0</v>
      </c>
      <c r="O346" s="209" t="s">
        <v>105</v>
      </c>
      <c r="P346" s="213">
        <v>44713.410324074073</v>
      </c>
      <c r="Q346" s="209"/>
      <c r="R346" s="209">
        <v>2</v>
      </c>
      <c r="S346" s="209"/>
      <c r="T346" s="209" t="s">
        <v>646</v>
      </c>
      <c r="U346" s="213">
        <v>44714.410324074073</v>
      </c>
      <c r="V346" s="209" t="s">
        <v>41</v>
      </c>
      <c r="W346" s="209" t="s">
        <v>49</v>
      </c>
      <c r="X346" s="13" t="str">
        <f>IF(RIGHT(H346,2)&lt;&gt;"00",H346,"")</f>
        <v/>
      </c>
      <c r="Y346" s="26">
        <f ca="1">NETWORKDAYS(P346,$Y$1)</f>
        <v>196</v>
      </c>
      <c r="Z346" s="34">
        <v>1</v>
      </c>
      <c r="AA346" s="25" t="str">
        <f t="shared" ca="1" si="28"/>
        <v>A VENCER</v>
      </c>
      <c r="AB346" s="25" t="str">
        <f t="shared" si="26"/>
        <v>SL-On</v>
      </c>
      <c r="AC346" s="2" t="str">
        <f t="shared" si="30"/>
        <v xml:space="preserve"> ROSEMERE </v>
      </c>
      <c r="AD346" s="26">
        <f t="shared" si="27"/>
        <v>1</v>
      </c>
      <c r="AE346" s="26">
        <f t="shared" ca="1" si="29"/>
        <v>273.26594756944542</v>
      </c>
      <c r="AF346" s="35"/>
    </row>
    <row r="347" spans="1:32" hidden="1">
      <c r="A347" s="209">
        <v>8641366</v>
      </c>
      <c r="B347" s="209" t="s">
        <v>653</v>
      </c>
      <c r="C347" s="210" t="s">
        <v>654</v>
      </c>
      <c r="D347" s="214"/>
      <c r="E347" s="214">
        <v>550001400040</v>
      </c>
      <c r="F347" s="209" t="s">
        <v>644</v>
      </c>
      <c r="G347" s="209" t="s">
        <v>53</v>
      </c>
      <c r="H347" s="209" t="s">
        <v>337</v>
      </c>
      <c r="I347" s="209" t="s">
        <v>338</v>
      </c>
      <c r="J347" s="209" t="s">
        <v>164</v>
      </c>
      <c r="K347" s="210" t="s">
        <v>645</v>
      </c>
      <c r="L347" s="210"/>
      <c r="M347" s="209" t="s">
        <v>58</v>
      </c>
      <c r="N347" s="209">
        <v>0</v>
      </c>
      <c r="O347" s="209" t="s">
        <v>105</v>
      </c>
      <c r="P347" s="213">
        <v>44713.40965277778</v>
      </c>
      <c r="Q347" s="209"/>
      <c r="R347" s="209">
        <v>3</v>
      </c>
      <c r="S347" s="209"/>
      <c r="T347" s="209" t="s">
        <v>646</v>
      </c>
      <c r="U347" s="213">
        <v>44714.40965277778</v>
      </c>
      <c r="V347" s="209" t="s">
        <v>41</v>
      </c>
      <c r="W347" s="209" t="s">
        <v>49</v>
      </c>
      <c r="X347" s="13" t="str">
        <f>IF(RIGHT(H347,2)&lt;&gt;"00",H347,"")</f>
        <v/>
      </c>
      <c r="Y347" s="26">
        <f ca="1">NETWORKDAYS(P347,$Y$1)</f>
        <v>196</v>
      </c>
      <c r="Z347" s="34">
        <v>1</v>
      </c>
      <c r="AA347" s="25" t="str">
        <f t="shared" ca="1" si="28"/>
        <v>A VENCER</v>
      </c>
      <c r="AB347" s="25" t="str">
        <f t="shared" si="26"/>
        <v>SL-On</v>
      </c>
      <c r="AC347" s="2" t="str">
        <f t="shared" si="30"/>
        <v xml:space="preserve"> ROSEMERE </v>
      </c>
      <c r="AD347" s="26">
        <f t="shared" si="27"/>
        <v>1</v>
      </c>
      <c r="AE347" s="26">
        <f t="shared" ca="1" si="29"/>
        <v>273.26661886573856</v>
      </c>
      <c r="AF347" s="35"/>
    </row>
    <row r="348" spans="1:32" hidden="1">
      <c r="A348" s="209">
        <v>8641356</v>
      </c>
      <c r="B348" s="209" t="s">
        <v>653</v>
      </c>
      <c r="C348" s="210" t="s">
        <v>654</v>
      </c>
      <c r="D348" s="214"/>
      <c r="E348" s="214">
        <v>537001400040</v>
      </c>
      <c r="F348" s="209" t="s">
        <v>644</v>
      </c>
      <c r="G348" s="209" t="s">
        <v>53</v>
      </c>
      <c r="H348" s="209" t="s">
        <v>442</v>
      </c>
      <c r="I348" s="209" t="s">
        <v>443</v>
      </c>
      <c r="J348" s="209" t="s">
        <v>79</v>
      </c>
      <c r="K348" s="210" t="s">
        <v>645</v>
      </c>
      <c r="L348" s="210"/>
      <c r="M348" s="209" t="s">
        <v>58</v>
      </c>
      <c r="N348" s="209">
        <v>0</v>
      </c>
      <c r="O348" s="209" t="s">
        <v>105</v>
      </c>
      <c r="P348" s="213">
        <v>44713.409641203703</v>
      </c>
      <c r="Q348" s="209"/>
      <c r="R348" s="209">
        <v>2</v>
      </c>
      <c r="S348" s="209"/>
      <c r="T348" s="209" t="s">
        <v>646</v>
      </c>
      <c r="U348" s="213">
        <v>44714.409641203703</v>
      </c>
      <c r="V348" s="209" t="s">
        <v>41</v>
      </c>
      <c r="W348" s="209" t="s">
        <v>49</v>
      </c>
      <c r="X348" s="13" t="str">
        <f>IF(RIGHT(H348,2)&lt;&gt;"00",H348,"")</f>
        <v/>
      </c>
      <c r="Y348" s="26">
        <f ca="1">NETWORKDAYS(P348,$Y$1)</f>
        <v>196</v>
      </c>
      <c r="Z348" s="34">
        <v>1</v>
      </c>
      <c r="AA348" s="25" t="str">
        <f t="shared" ca="1" si="28"/>
        <v>A VENCER</v>
      </c>
      <c r="AB348" s="25" t="str">
        <f t="shared" si="26"/>
        <v>SL-On</v>
      </c>
      <c r="AC348" s="2" t="str">
        <f t="shared" si="30"/>
        <v xml:space="preserve"> ROSEMERE </v>
      </c>
      <c r="AD348" s="26">
        <f t="shared" si="27"/>
        <v>1</v>
      </c>
      <c r="AE348" s="26">
        <f t="shared" ca="1" si="29"/>
        <v>273.26663043981534</v>
      </c>
      <c r="AF348" s="35"/>
    </row>
    <row r="349" spans="1:32" hidden="1">
      <c r="A349" s="209">
        <v>8641265</v>
      </c>
      <c r="B349" s="209" t="s">
        <v>653</v>
      </c>
      <c r="C349" s="210" t="s">
        <v>654</v>
      </c>
      <c r="D349" s="214"/>
      <c r="E349" s="214">
        <v>446001400040</v>
      </c>
      <c r="F349" s="209" t="s">
        <v>644</v>
      </c>
      <c r="G349" s="209" t="s">
        <v>53</v>
      </c>
      <c r="H349" s="209" t="s">
        <v>432</v>
      </c>
      <c r="I349" s="209" t="s">
        <v>433</v>
      </c>
      <c r="J349" s="209" t="s">
        <v>110</v>
      </c>
      <c r="K349" s="210" t="s">
        <v>645</v>
      </c>
      <c r="L349" s="210"/>
      <c r="M349" s="209" t="s">
        <v>58</v>
      </c>
      <c r="N349" s="209">
        <v>0</v>
      </c>
      <c r="O349" s="209" t="s">
        <v>105</v>
      </c>
      <c r="P349" s="213">
        <v>44713.409317129626</v>
      </c>
      <c r="Q349" s="209"/>
      <c r="R349" s="209">
        <v>3</v>
      </c>
      <c r="S349" s="209"/>
      <c r="T349" s="209" t="s">
        <v>646</v>
      </c>
      <c r="U349" s="213">
        <v>44714.409328703703</v>
      </c>
      <c r="V349" s="209" t="s">
        <v>41</v>
      </c>
      <c r="W349" s="209" t="s">
        <v>49</v>
      </c>
      <c r="X349" s="13" t="str">
        <f>IF(RIGHT(H349,2)&lt;&gt;"00",H349,"")</f>
        <v/>
      </c>
      <c r="Y349" s="26">
        <f ca="1">NETWORKDAYS(P349,$Y$1)</f>
        <v>196</v>
      </c>
      <c r="Z349" s="34">
        <v>1</v>
      </c>
      <c r="AA349" s="25" t="str">
        <f t="shared" ca="1" si="28"/>
        <v>A VENCER</v>
      </c>
      <c r="AB349" s="25" t="str">
        <f t="shared" ref="AB349:AB412" si="31">IF(F349="GRPE-000001","C-14",IF(F349="GRPE-000002","C-14",IF(F349="GRPE-000003","C-14",IF(F349="GRPE-000004","SL-On",IF(F349="GRPE-000038","C-14",IF(F349="GRPE-900022","Dosa",IF(F349="GRPE-000029","Dosa",IF(F349="ATOS-000222","Dose","TAAe+"))))))))</f>
        <v>SL-On</v>
      </c>
      <c r="AC349" s="2" t="str">
        <f t="shared" si="30"/>
        <v xml:space="preserve"> CRISTINA </v>
      </c>
      <c r="AD349" s="26">
        <f t="shared" ref="AD349:AD412" si="32">IF(F349="GRPE-000001",5,IF(F349="GRPE-000002",5,IF(F349="GRPE-000003",15,IF(F349="GRPE-000004",1,IF(F349="GRPE-000038",5,IF(F349="GRPE-900022",5,IF(F349="GRPE-000029",5,IF(F349="ATOS-000222",5,8))))))))</f>
        <v>1</v>
      </c>
      <c r="AE349" s="26">
        <f t="shared" ca="1" si="29"/>
        <v>273.26695451389241</v>
      </c>
      <c r="AF349" s="35"/>
    </row>
    <row r="350" spans="1:32" hidden="1">
      <c r="A350" s="209">
        <v>8641027</v>
      </c>
      <c r="B350" s="209" t="s">
        <v>653</v>
      </c>
      <c r="C350" s="210" t="s">
        <v>654</v>
      </c>
      <c r="D350" s="214"/>
      <c r="E350" s="214">
        <v>233001400040</v>
      </c>
      <c r="F350" s="209" t="s">
        <v>644</v>
      </c>
      <c r="G350" s="209" t="s">
        <v>53</v>
      </c>
      <c r="H350" s="209" t="s">
        <v>424</v>
      </c>
      <c r="I350" s="209" t="s">
        <v>425</v>
      </c>
      <c r="J350" s="209" t="s">
        <v>261</v>
      </c>
      <c r="K350" s="210" t="s">
        <v>645</v>
      </c>
      <c r="L350" s="210"/>
      <c r="M350" s="209" t="s">
        <v>58</v>
      </c>
      <c r="N350" s="209">
        <v>0</v>
      </c>
      <c r="O350" s="209" t="s">
        <v>105</v>
      </c>
      <c r="P350" s="213">
        <v>44713.408125000002</v>
      </c>
      <c r="Q350" s="209"/>
      <c r="R350" s="209">
        <v>2</v>
      </c>
      <c r="S350" s="209"/>
      <c r="T350" s="209" t="s">
        <v>646</v>
      </c>
      <c r="U350" s="213">
        <v>44714.408125000002</v>
      </c>
      <c r="V350" s="209" t="s">
        <v>41</v>
      </c>
      <c r="W350" s="209" t="s">
        <v>49</v>
      </c>
      <c r="X350" s="13" t="str">
        <f>IF(RIGHT(H350,2)&lt;&gt;"00",H350,"")</f>
        <v/>
      </c>
      <c r="Y350" s="26">
        <f ca="1">NETWORKDAYS(P350,$Y$1)</f>
        <v>196</v>
      </c>
      <c r="Z350" s="34">
        <v>1</v>
      </c>
      <c r="AA350" s="25" t="str">
        <f t="shared" ca="1" si="28"/>
        <v>A VENCER</v>
      </c>
      <c r="AB350" s="25" t="str">
        <f t="shared" si="31"/>
        <v>SL-On</v>
      </c>
      <c r="AC350" s="2" t="str">
        <f t="shared" si="30"/>
        <v xml:space="preserve"> CRISTINA </v>
      </c>
      <c r="AD350" s="26">
        <f t="shared" si="32"/>
        <v>1</v>
      </c>
      <c r="AE350" s="26">
        <f t="shared" ca="1" si="29"/>
        <v>273.26814664351696</v>
      </c>
      <c r="AF350" s="35"/>
    </row>
    <row r="351" spans="1:32" hidden="1">
      <c r="A351" s="209">
        <v>8640672</v>
      </c>
      <c r="B351" s="209" t="s">
        <v>653</v>
      </c>
      <c r="C351" s="210" t="s">
        <v>752</v>
      </c>
      <c r="D351" s="214"/>
      <c r="E351" s="214">
        <v>7802341400030</v>
      </c>
      <c r="F351" s="209" t="s">
        <v>647</v>
      </c>
      <c r="G351" s="209" t="s">
        <v>53</v>
      </c>
      <c r="H351" s="209" t="s">
        <v>753</v>
      </c>
      <c r="I351" s="209" t="s">
        <v>754</v>
      </c>
      <c r="J351" s="209" t="s">
        <v>46</v>
      </c>
      <c r="K351" s="210" t="s">
        <v>650</v>
      </c>
      <c r="L351" s="210"/>
      <c r="M351" s="209" t="s">
        <v>58</v>
      </c>
      <c r="N351" s="209">
        <v>0</v>
      </c>
      <c r="O351" s="209" t="s">
        <v>105</v>
      </c>
      <c r="P351" s="213">
        <v>44713.406956018516</v>
      </c>
      <c r="Q351" s="209"/>
      <c r="R351" s="209">
        <v>4</v>
      </c>
      <c r="S351" s="209"/>
      <c r="T351" s="209" t="s">
        <v>646</v>
      </c>
      <c r="U351" s="213">
        <v>44714.406956018516</v>
      </c>
      <c r="V351" s="209" t="s">
        <v>41</v>
      </c>
      <c r="W351" s="209" t="s">
        <v>49</v>
      </c>
      <c r="X351" s="13" t="str">
        <f>IF(RIGHT(H351,2)&lt;&gt;"00",H351,"")</f>
        <v>7802.34</v>
      </c>
      <c r="Y351" s="26">
        <f ca="1">NETWORKDAYS(P351,$Y$1)</f>
        <v>196</v>
      </c>
      <c r="Z351" s="34">
        <v>1</v>
      </c>
      <c r="AA351" s="25" t="str">
        <f t="shared" ca="1" si="28"/>
        <v>A VENCER</v>
      </c>
      <c r="AB351" s="25" t="str">
        <f t="shared" si="31"/>
        <v>C-14</v>
      </c>
      <c r="AC351" s="2" t="str">
        <f t="shared" si="30"/>
        <v xml:space="preserve"> CLEITON </v>
      </c>
      <c r="AD351" s="26">
        <f t="shared" si="32"/>
        <v>15</v>
      </c>
      <c r="AE351" s="26">
        <f t="shared" ca="1" si="29"/>
        <v>273.26931562500249</v>
      </c>
      <c r="AF351" s="35"/>
    </row>
    <row r="352" spans="1:32" hidden="1">
      <c r="A352" s="209">
        <v>8640671</v>
      </c>
      <c r="B352" s="209" t="s">
        <v>653</v>
      </c>
      <c r="C352" s="210" t="s">
        <v>752</v>
      </c>
      <c r="D352" s="214"/>
      <c r="E352" s="214">
        <v>7802281400030</v>
      </c>
      <c r="F352" s="209" t="s">
        <v>647</v>
      </c>
      <c r="G352" s="209" t="s">
        <v>53</v>
      </c>
      <c r="H352" s="209" t="s">
        <v>757</v>
      </c>
      <c r="I352" s="209" t="s">
        <v>758</v>
      </c>
      <c r="J352" s="209" t="s">
        <v>46</v>
      </c>
      <c r="K352" s="210" t="s">
        <v>650</v>
      </c>
      <c r="L352" s="210"/>
      <c r="M352" s="209" t="s">
        <v>58</v>
      </c>
      <c r="N352" s="209">
        <v>0</v>
      </c>
      <c r="O352" s="209" t="s">
        <v>105</v>
      </c>
      <c r="P352" s="213">
        <v>44713.406956018516</v>
      </c>
      <c r="Q352" s="209"/>
      <c r="R352" s="209">
        <v>4</v>
      </c>
      <c r="S352" s="209"/>
      <c r="T352" s="209" t="s">
        <v>646</v>
      </c>
      <c r="U352" s="213">
        <v>44714.406956018516</v>
      </c>
      <c r="V352" s="209" t="s">
        <v>41</v>
      </c>
      <c r="W352" s="209" t="s">
        <v>49</v>
      </c>
      <c r="X352" s="13" t="str">
        <f>IF(RIGHT(H352,2)&lt;&gt;"00",H352,"")</f>
        <v>7802.28</v>
      </c>
      <c r="Y352" s="26">
        <f ca="1">NETWORKDAYS(P352,$Y$1)</f>
        <v>196</v>
      </c>
      <c r="Z352" s="34">
        <v>1</v>
      </c>
      <c r="AA352" s="25" t="str">
        <f t="shared" ca="1" si="28"/>
        <v>A VENCER</v>
      </c>
      <c r="AB352" s="25" t="str">
        <f t="shared" si="31"/>
        <v>C-14</v>
      </c>
      <c r="AC352" s="2" t="str">
        <f t="shared" si="30"/>
        <v xml:space="preserve"> CLEITON </v>
      </c>
      <c r="AD352" s="26">
        <f t="shared" si="32"/>
        <v>15</v>
      </c>
      <c r="AE352" s="26">
        <f t="shared" ca="1" si="29"/>
        <v>273.26931562500249</v>
      </c>
      <c r="AF352" s="35"/>
    </row>
    <row r="353" spans="1:32" hidden="1">
      <c r="A353" s="209">
        <v>8640670</v>
      </c>
      <c r="B353" s="209" t="s">
        <v>653</v>
      </c>
      <c r="C353" s="210" t="s">
        <v>752</v>
      </c>
      <c r="D353" s="214"/>
      <c r="E353" s="214">
        <v>7802221400030</v>
      </c>
      <c r="F353" s="209" t="s">
        <v>647</v>
      </c>
      <c r="G353" s="209" t="s">
        <v>53</v>
      </c>
      <c r="H353" s="209" t="s">
        <v>759</v>
      </c>
      <c r="I353" s="209" t="s">
        <v>760</v>
      </c>
      <c r="J353" s="209" t="s">
        <v>46</v>
      </c>
      <c r="K353" s="210" t="s">
        <v>650</v>
      </c>
      <c r="L353" s="210"/>
      <c r="M353" s="209" t="s">
        <v>58</v>
      </c>
      <c r="N353" s="209">
        <v>0</v>
      </c>
      <c r="O353" s="209" t="s">
        <v>105</v>
      </c>
      <c r="P353" s="213">
        <v>44713.406956018516</v>
      </c>
      <c r="Q353" s="209"/>
      <c r="R353" s="209">
        <v>4</v>
      </c>
      <c r="S353" s="209"/>
      <c r="T353" s="209" t="s">
        <v>646</v>
      </c>
      <c r="U353" s="213">
        <v>44714.406956018516</v>
      </c>
      <c r="V353" s="209" t="s">
        <v>41</v>
      </c>
      <c r="W353" s="209" t="s">
        <v>49</v>
      </c>
      <c r="X353" s="13" t="str">
        <f>IF(RIGHT(H353,2)&lt;&gt;"00",H353,"")</f>
        <v>7802.22</v>
      </c>
      <c r="Y353" s="26">
        <f ca="1">NETWORKDAYS(P353,$Y$1)</f>
        <v>196</v>
      </c>
      <c r="Z353" s="34">
        <v>1</v>
      </c>
      <c r="AA353" s="25" t="str">
        <f t="shared" ca="1" si="28"/>
        <v>A VENCER</v>
      </c>
      <c r="AB353" s="25" t="str">
        <f t="shared" si="31"/>
        <v>C-14</v>
      </c>
      <c r="AC353" s="2" t="str">
        <f t="shared" si="30"/>
        <v xml:space="preserve"> CLEITON </v>
      </c>
      <c r="AD353" s="26">
        <f t="shared" si="32"/>
        <v>15</v>
      </c>
      <c r="AE353" s="26">
        <f t="shared" ca="1" si="29"/>
        <v>273.26931562500249</v>
      </c>
      <c r="AF353" s="35"/>
    </row>
    <row r="354" spans="1:32" hidden="1">
      <c r="A354" s="209">
        <v>8640669</v>
      </c>
      <c r="B354" s="209" t="s">
        <v>653</v>
      </c>
      <c r="C354" s="210" t="s">
        <v>752</v>
      </c>
      <c r="D354" s="214"/>
      <c r="E354" s="214">
        <v>7802211400030</v>
      </c>
      <c r="F354" s="209" t="s">
        <v>647</v>
      </c>
      <c r="G354" s="209" t="s">
        <v>53</v>
      </c>
      <c r="H354" s="209" t="s">
        <v>761</v>
      </c>
      <c r="I354" s="209" t="s">
        <v>762</v>
      </c>
      <c r="J354" s="209" t="s">
        <v>46</v>
      </c>
      <c r="K354" s="210" t="s">
        <v>650</v>
      </c>
      <c r="L354" s="210"/>
      <c r="M354" s="209" t="s">
        <v>58</v>
      </c>
      <c r="N354" s="209">
        <v>0</v>
      </c>
      <c r="O354" s="209" t="s">
        <v>105</v>
      </c>
      <c r="P354" s="213">
        <v>44713.406956018516</v>
      </c>
      <c r="Q354" s="209"/>
      <c r="R354" s="209">
        <v>4</v>
      </c>
      <c r="S354" s="209"/>
      <c r="T354" s="209" t="s">
        <v>646</v>
      </c>
      <c r="U354" s="213">
        <v>44714.406956018516</v>
      </c>
      <c r="V354" s="209" t="s">
        <v>41</v>
      </c>
      <c r="W354" s="209" t="s">
        <v>49</v>
      </c>
      <c r="X354" s="13" t="str">
        <f>IF(RIGHT(H354,2)&lt;&gt;"00",H354,"")</f>
        <v>7802.21</v>
      </c>
      <c r="Y354" s="26">
        <f ca="1">NETWORKDAYS(P354,$Y$1)</f>
        <v>196</v>
      </c>
      <c r="Z354" s="34">
        <v>1</v>
      </c>
      <c r="AA354" s="25" t="str">
        <f t="shared" ca="1" si="28"/>
        <v>A VENCER</v>
      </c>
      <c r="AB354" s="25" t="str">
        <f t="shared" si="31"/>
        <v>C-14</v>
      </c>
      <c r="AC354" s="2" t="str">
        <f t="shared" si="30"/>
        <v xml:space="preserve"> CLEITON </v>
      </c>
      <c r="AD354" s="26">
        <f t="shared" si="32"/>
        <v>15</v>
      </c>
      <c r="AE354" s="26">
        <f t="shared" ca="1" si="29"/>
        <v>273.26931562500249</v>
      </c>
      <c r="AF354" s="35"/>
    </row>
    <row r="355" spans="1:32" hidden="1">
      <c r="A355" s="209">
        <v>8640668</v>
      </c>
      <c r="B355" s="209" t="s">
        <v>653</v>
      </c>
      <c r="C355" s="210" t="s">
        <v>752</v>
      </c>
      <c r="D355" s="214"/>
      <c r="E355" s="214">
        <v>7802191400030</v>
      </c>
      <c r="F355" s="209" t="s">
        <v>647</v>
      </c>
      <c r="G355" s="209" t="s">
        <v>53</v>
      </c>
      <c r="H355" s="209" t="s">
        <v>763</v>
      </c>
      <c r="I355" s="209" t="s">
        <v>764</v>
      </c>
      <c r="J355" s="209" t="s">
        <v>46</v>
      </c>
      <c r="K355" s="210" t="s">
        <v>650</v>
      </c>
      <c r="L355" s="210"/>
      <c r="M355" s="209" t="s">
        <v>58</v>
      </c>
      <c r="N355" s="209">
        <v>0</v>
      </c>
      <c r="O355" s="209" t="s">
        <v>105</v>
      </c>
      <c r="P355" s="213">
        <v>44713.406944444447</v>
      </c>
      <c r="Q355" s="209"/>
      <c r="R355" s="209">
        <v>4</v>
      </c>
      <c r="S355" s="209"/>
      <c r="T355" s="209" t="s">
        <v>646</v>
      </c>
      <c r="U355" s="213">
        <v>44714.406956018516</v>
      </c>
      <c r="V355" s="209" t="s">
        <v>41</v>
      </c>
      <c r="W355" s="209" t="s">
        <v>49</v>
      </c>
      <c r="X355" s="13" t="str">
        <f>IF(RIGHT(H355,2)&lt;&gt;"00",H355,"")</f>
        <v>7802.19</v>
      </c>
      <c r="Y355" s="26">
        <f ca="1">NETWORKDAYS(P355,$Y$1)</f>
        <v>196</v>
      </c>
      <c r="Z355" s="34">
        <v>1</v>
      </c>
      <c r="AA355" s="25" t="str">
        <f t="shared" ca="1" si="28"/>
        <v>A VENCER</v>
      </c>
      <c r="AB355" s="25" t="str">
        <f t="shared" si="31"/>
        <v>C-14</v>
      </c>
      <c r="AC355" s="2" t="str">
        <f t="shared" si="30"/>
        <v xml:space="preserve"> CLEITON </v>
      </c>
      <c r="AD355" s="26">
        <f t="shared" si="32"/>
        <v>15</v>
      </c>
      <c r="AE355" s="26">
        <f t="shared" ca="1" si="29"/>
        <v>273.26932719907199</v>
      </c>
      <c r="AF355" s="35"/>
    </row>
    <row r="356" spans="1:32" hidden="1">
      <c r="A356" s="209">
        <v>8640667</v>
      </c>
      <c r="B356" s="209" t="s">
        <v>653</v>
      </c>
      <c r="C356" s="210" t="s">
        <v>752</v>
      </c>
      <c r="D356" s="214"/>
      <c r="E356" s="214">
        <v>7802181400030</v>
      </c>
      <c r="F356" s="209" t="s">
        <v>647</v>
      </c>
      <c r="G356" s="209" t="s">
        <v>53</v>
      </c>
      <c r="H356" s="209" t="s">
        <v>766</v>
      </c>
      <c r="I356" s="209" t="s">
        <v>767</v>
      </c>
      <c r="J356" s="209" t="s">
        <v>46</v>
      </c>
      <c r="K356" s="210" t="s">
        <v>650</v>
      </c>
      <c r="L356" s="210"/>
      <c r="M356" s="209" t="s">
        <v>58</v>
      </c>
      <c r="N356" s="209">
        <v>0</v>
      </c>
      <c r="O356" s="209" t="s">
        <v>105</v>
      </c>
      <c r="P356" s="213">
        <v>44713.406944444447</v>
      </c>
      <c r="Q356" s="209"/>
      <c r="R356" s="209">
        <v>4</v>
      </c>
      <c r="S356" s="209"/>
      <c r="T356" s="209" t="s">
        <v>646</v>
      </c>
      <c r="U356" s="213">
        <v>44714.406944444447</v>
      </c>
      <c r="V356" s="209" t="s">
        <v>41</v>
      </c>
      <c r="W356" s="209" t="s">
        <v>49</v>
      </c>
      <c r="X356" s="13" t="str">
        <f>IF(RIGHT(H356,2)&lt;&gt;"00",H356,"")</f>
        <v>7802.18</v>
      </c>
      <c r="Y356" s="26">
        <f ca="1">NETWORKDAYS(P356,$Y$1)</f>
        <v>196</v>
      </c>
      <c r="Z356" s="34">
        <v>1</v>
      </c>
      <c r="AA356" s="25" t="str">
        <f t="shared" ca="1" si="28"/>
        <v>A VENCER</v>
      </c>
      <c r="AB356" s="25" t="str">
        <f t="shared" si="31"/>
        <v>C-14</v>
      </c>
      <c r="AC356" s="2" t="str">
        <f t="shared" si="30"/>
        <v xml:space="preserve"> CLEITON </v>
      </c>
      <c r="AD356" s="26">
        <f t="shared" si="32"/>
        <v>15</v>
      </c>
      <c r="AE356" s="26">
        <f t="shared" ca="1" si="29"/>
        <v>273.26932719907199</v>
      </c>
      <c r="AF356" s="35"/>
    </row>
    <row r="357" spans="1:32" hidden="1">
      <c r="A357" s="209">
        <v>8640666</v>
      </c>
      <c r="B357" s="209" t="s">
        <v>653</v>
      </c>
      <c r="C357" s="210" t="s">
        <v>752</v>
      </c>
      <c r="D357" s="214"/>
      <c r="E357" s="214">
        <v>7802171400030</v>
      </c>
      <c r="F357" s="209" t="s">
        <v>647</v>
      </c>
      <c r="G357" s="209" t="s">
        <v>53</v>
      </c>
      <c r="H357" s="209" t="s">
        <v>769</v>
      </c>
      <c r="I357" s="209" t="s">
        <v>770</v>
      </c>
      <c r="J357" s="209" t="s">
        <v>46</v>
      </c>
      <c r="K357" s="210" t="s">
        <v>650</v>
      </c>
      <c r="L357" s="210"/>
      <c r="M357" s="209" t="s">
        <v>58</v>
      </c>
      <c r="N357" s="209">
        <v>0</v>
      </c>
      <c r="O357" s="209" t="s">
        <v>105</v>
      </c>
      <c r="P357" s="213">
        <v>44713.406944444447</v>
      </c>
      <c r="Q357" s="209"/>
      <c r="R357" s="209">
        <v>4</v>
      </c>
      <c r="S357" s="209"/>
      <c r="T357" s="209" t="s">
        <v>646</v>
      </c>
      <c r="U357" s="213">
        <v>44714.406944444447</v>
      </c>
      <c r="V357" s="209" t="s">
        <v>41</v>
      </c>
      <c r="W357" s="209" t="s">
        <v>49</v>
      </c>
      <c r="X357" s="13" t="str">
        <f>IF(RIGHT(H357,2)&lt;&gt;"00",H357,"")</f>
        <v>7802.17</v>
      </c>
      <c r="Y357" s="26">
        <f ca="1">NETWORKDAYS(P357,$Y$1)</f>
        <v>196</v>
      </c>
      <c r="Z357" s="34">
        <v>1</v>
      </c>
      <c r="AA357" s="25" t="str">
        <f t="shared" ca="1" si="28"/>
        <v>A VENCER</v>
      </c>
      <c r="AB357" s="25" t="str">
        <f t="shared" si="31"/>
        <v>C-14</v>
      </c>
      <c r="AC357" s="2" t="str">
        <f t="shared" si="30"/>
        <v xml:space="preserve"> CLEITON </v>
      </c>
      <c r="AD357" s="26">
        <f t="shared" si="32"/>
        <v>15</v>
      </c>
      <c r="AE357" s="26">
        <f t="shared" ca="1" si="29"/>
        <v>273.26932719907199</v>
      </c>
      <c r="AF357" s="35"/>
    </row>
    <row r="358" spans="1:32" hidden="1">
      <c r="A358" s="209">
        <v>8640665</v>
      </c>
      <c r="B358" s="209" t="s">
        <v>653</v>
      </c>
      <c r="C358" s="210" t="s">
        <v>752</v>
      </c>
      <c r="D358" s="214"/>
      <c r="E358" s="214">
        <v>7802051400030</v>
      </c>
      <c r="F358" s="209" t="s">
        <v>647</v>
      </c>
      <c r="G358" s="209" t="s">
        <v>53</v>
      </c>
      <c r="H358" s="209" t="s">
        <v>771</v>
      </c>
      <c r="I358" s="209" t="s">
        <v>772</v>
      </c>
      <c r="J358" s="209" t="s">
        <v>46</v>
      </c>
      <c r="K358" s="210" t="s">
        <v>650</v>
      </c>
      <c r="L358" s="210"/>
      <c r="M358" s="209" t="s">
        <v>58</v>
      </c>
      <c r="N358" s="209">
        <v>0</v>
      </c>
      <c r="O358" s="209" t="s">
        <v>36</v>
      </c>
      <c r="P358" s="213">
        <v>44713.406944444447</v>
      </c>
      <c r="Q358" s="209"/>
      <c r="R358" s="209">
        <v>4</v>
      </c>
      <c r="S358" s="209"/>
      <c r="T358" s="209" t="s">
        <v>646</v>
      </c>
      <c r="U358" s="213">
        <v>44714.406944444447</v>
      </c>
      <c r="V358" s="209" t="s">
        <v>41</v>
      </c>
      <c r="W358" s="209" t="s">
        <v>49</v>
      </c>
      <c r="X358" s="13" t="str">
        <f>IF(RIGHT(H358,2)&lt;&gt;"00",H358,"")</f>
        <v>7802.05</v>
      </c>
      <c r="Y358" s="26">
        <f ca="1">NETWORKDAYS(P358,$Y$1)</f>
        <v>196</v>
      </c>
      <c r="Z358" s="34">
        <v>1</v>
      </c>
      <c r="AA358" s="25" t="str">
        <f t="shared" ca="1" si="28"/>
        <v>A VENCER</v>
      </c>
      <c r="AB358" s="25" t="str">
        <f t="shared" si="31"/>
        <v>C-14</v>
      </c>
      <c r="AC358" s="2" t="str">
        <f t="shared" si="30"/>
        <v xml:space="preserve"> CLEITON </v>
      </c>
      <c r="AD358" s="26">
        <f t="shared" si="32"/>
        <v>15</v>
      </c>
      <c r="AE358" s="26">
        <f t="shared" ca="1" si="29"/>
        <v>273.26932719907199</v>
      </c>
      <c r="AF358" s="35"/>
    </row>
    <row r="359" spans="1:32" hidden="1">
      <c r="A359" s="209">
        <v>8640664</v>
      </c>
      <c r="B359" s="209" t="s">
        <v>653</v>
      </c>
      <c r="C359" s="210" t="s">
        <v>752</v>
      </c>
      <c r="D359" s="214"/>
      <c r="E359" s="214">
        <v>7802041400030</v>
      </c>
      <c r="F359" s="209" t="s">
        <v>647</v>
      </c>
      <c r="G359" s="209" t="s">
        <v>53</v>
      </c>
      <c r="H359" s="209" t="s">
        <v>773</v>
      </c>
      <c r="I359" s="209" t="s">
        <v>774</v>
      </c>
      <c r="J359" s="209" t="s">
        <v>46</v>
      </c>
      <c r="K359" s="210" t="s">
        <v>650</v>
      </c>
      <c r="L359" s="210"/>
      <c r="M359" s="209" t="s">
        <v>58</v>
      </c>
      <c r="N359" s="209">
        <v>0</v>
      </c>
      <c r="O359" s="209" t="s">
        <v>105</v>
      </c>
      <c r="P359" s="213">
        <v>44713.406944444447</v>
      </c>
      <c r="Q359" s="209"/>
      <c r="R359" s="209">
        <v>4</v>
      </c>
      <c r="S359" s="209"/>
      <c r="T359" s="209" t="s">
        <v>646</v>
      </c>
      <c r="U359" s="213">
        <v>44714.406944444447</v>
      </c>
      <c r="V359" s="209" t="s">
        <v>41</v>
      </c>
      <c r="W359" s="209" t="s">
        <v>49</v>
      </c>
      <c r="X359" s="13" t="str">
        <f>IF(RIGHT(H359,2)&lt;&gt;"00",H359,"")</f>
        <v>7802.04</v>
      </c>
      <c r="Y359" s="26">
        <f ca="1">NETWORKDAYS(P359,$Y$1)</f>
        <v>196</v>
      </c>
      <c r="Z359" s="34">
        <v>1</v>
      </c>
      <c r="AA359" s="25" t="str">
        <f t="shared" ca="1" si="28"/>
        <v>A VENCER</v>
      </c>
      <c r="AB359" s="25" t="str">
        <f t="shared" si="31"/>
        <v>C-14</v>
      </c>
      <c r="AC359" s="2" t="str">
        <f t="shared" si="30"/>
        <v xml:space="preserve"> CLEITON </v>
      </c>
      <c r="AD359" s="26">
        <f t="shared" si="32"/>
        <v>15</v>
      </c>
      <c r="AE359" s="26">
        <f t="shared" ca="1" si="29"/>
        <v>273.26932719907199</v>
      </c>
      <c r="AF359" s="35"/>
    </row>
    <row r="360" spans="1:32" hidden="1">
      <c r="A360" s="209">
        <v>8640663</v>
      </c>
      <c r="B360" s="209" t="s">
        <v>653</v>
      </c>
      <c r="C360" s="210" t="s">
        <v>752</v>
      </c>
      <c r="D360" s="214"/>
      <c r="E360" s="214">
        <v>7802021400030</v>
      </c>
      <c r="F360" s="209" t="s">
        <v>647</v>
      </c>
      <c r="G360" s="209" t="s">
        <v>53</v>
      </c>
      <c r="H360" s="209" t="s">
        <v>775</v>
      </c>
      <c r="I360" s="209" t="s">
        <v>776</v>
      </c>
      <c r="J360" s="209" t="s">
        <v>46</v>
      </c>
      <c r="K360" s="210" t="s">
        <v>650</v>
      </c>
      <c r="L360" s="210"/>
      <c r="M360" s="209" t="s">
        <v>58</v>
      </c>
      <c r="N360" s="209">
        <v>0</v>
      </c>
      <c r="O360" s="209" t="s">
        <v>36</v>
      </c>
      <c r="P360" s="213">
        <v>44713.406944444447</v>
      </c>
      <c r="Q360" s="209"/>
      <c r="R360" s="209">
        <v>4</v>
      </c>
      <c r="S360" s="209"/>
      <c r="T360" s="209" t="s">
        <v>646</v>
      </c>
      <c r="U360" s="213">
        <v>44714.406944444447</v>
      </c>
      <c r="V360" s="209" t="s">
        <v>41</v>
      </c>
      <c r="W360" s="209" t="s">
        <v>49</v>
      </c>
      <c r="X360" s="13" t="str">
        <f>IF(RIGHT(H360,2)&lt;&gt;"00",H360,"")</f>
        <v>7802.02</v>
      </c>
      <c r="Y360" s="26">
        <f ca="1">NETWORKDAYS(P360,$Y$1)</f>
        <v>196</v>
      </c>
      <c r="Z360" s="34">
        <v>1</v>
      </c>
      <c r="AA360" s="25" t="str">
        <f t="shared" ca="1" si="28"/>
        <v>A VENCER</v>
      </c>
      <c r="AB360" s="25" t="str">
        <f t="shared" si="31"/>
        <v>C-14</v>
      </c>
      <c r="AC360" s="2" t="str">
        <f t="shared" si="30"/>
        <v xml:space="preserve"> CLEITON </v>
      </c>
      <c r="AD360" s="26">
        <f t="shared" si="32"/>
        <v>15</v>
      </c>
      <c r="AE360" s="26">
        <f t="shared" ca="1" si="29"/>
        <v>273.26932719907199</v>
      </c>
      <c r="AF360" s="35"/>
    </row>
    <row r="361" spans="1:32" hidden="1">
      <c r="A361" s="209">
        <v>8640662</v>
      </c>
      <c r="B361" s="209" t="s">
        <v>653</v>
      </c>
      <c r="C361" s="210" t="s">
        <v>752</v>
      </c>
      <c r="D361" s="214"/>
      <c r="E361" s="214">
        <v>7802011400030</v>
      </c>
      <c r="F361" s="209" t="s">
        <v>647</v>
      </c>
      <c r="G361" s="209" t="s">
        <v>53</v>
      </c>
      <c r="H361" s="209" t="s">
        <v>777</v>
      </c>
      <c r="I361" s="209" t="s">
        <v>778</v>
      </c>
      <c r="J361" s="209" t="s">
        <v>46</v>
      </c>
      <c r="K361" s="210" t="s">
        <v>650</v>
      </c>
      <c r="L361" s="210"/>
      <c r="M361" s="209" t="s">
        <v>58</v>
      </c>
      <c r="N361" s="209">
        <v>0</v>
      </c>
      <c r="O361" s="209" t="s">
        <v>36</v>
      </c>
      <c r="P361" s="213">
        <v>44713.406944444447</v>
      </c>
      <c r="Q361" s="209"/>
      <c r="R361" s="209">
        <v>4</v>
      </c>
      <c r="S361" s="209"/>
      <c r="T361" s="209" t="s">
        <v>646</v>
      </c>
      <c r="U361" s="213">
        <v>44714.406944444447</v>
      </c>
      <c r="V361" s="209" t="s">
        <v>41</v>
      </c>
      <c r="W361" s="209" t="s">
        <v>49</v>
      </c>
      <c r="X361" s="13" t="str">
        <f>IF(RIGHT(H361,2)&lt;&gt;"00",H361,"")</f>
        <v>7802.01</v>
      </c>
      <c r="Y361" s="26">
        <f ca="1">NETWORKDAYS(P361,$Y$1)</f>
        <v>196</v>
      </c>
      <c r="Z361" s="34">
        <v>1</v>
      </c>
      <c r="AA361" s="25" t="str">
        <f t="shared" ca="1" si="28"/>
        <v>A VENCER</v>
      </c>
      <c r="AB361" s="25" t="str">
        <f t="shared" si="31"/>
        <v>C-14</v>
      </c>
      <c r="AC361" s="2" t="str">
        <f t="shared" si="30"/>
        <v xml:space="preserve"> CLEITON </v>
      </c>
      <c r="AD361" s="26">
        <f t="shared" si="32"/>
        <v>15</v>
      </c>
      <c r="AE361" s="26">
        <f t="shared" ca="1" si="29"/>
        <v>273.26932719907199</v>
      </c>
      <c r="AF361" s="35"/>
    </row>
    <row r="362" spans="1:32" hidden="1">
      <c r="A362" s="209">
        <v>8640517</v>
      </c>
      <c r="B362" s="209" t="s">
        <v>653</v>
      </c>
      <c r="C362" s="210" t="s">
        <v>752</v>
      </c>
      <c r="D362" s="214"/>
      <c r="E362" s="214">
        <v>4890081400030</v>
      </c>
      <c r="F362" s="209" t="s">
        <v>647</v>
      </c>
      <c r="G362" s="209" t="s">
        <v>53</v>
      </c>
      <c r="H362" s="209" t="s">
        <v>779</v>
      </c>
      <c r="I362" s="209" t="s">
        <v>780</v>
      </c>
      <c r="J362" s="209" t="s">
        <v>46</v>
      </c>
      <c r="K362" s="210" t="s">
        <v>650</v>
      </c>
      <c r="L362" s="210"/>
      <c r="M362" s="209" t="s">
        <v>58</v>
      </c>
      <c r="N362" s="209">
        <v>0</v>
      </c>
      <c r="O362" s="209" t="s">
        <v>105</v>
      </c>
      <c r="P362" s="213">
        <v>44713.406608796293</v>
      </c>
      <c r="Q362" s="209"/>
      <c r="R362" s="209">
        <v>4</v>
      </c>
      <c r="S362" s="209"/>
      <c r="T362" s="209" t="s">
        <v>646</v>
      </c>
      <c r="U362" s="213">
        <v>44714.406608796293</v>
      </c>
      <c r="V362" s="209" t="s">
        <v>41</v>
      </c>
      <c r="W362" s="209" t="s">
        <v>49</v>
      </c>
      <c r="X362" s="13" t="str">
        <f>IF(RIGHT(H362,2)&lt;&gt;"00",H362,"")</f>
        <v>4890.08</v>
      </c>
      <c r="Y362" s="26">
        <f ca="1">NETWORKDAYS(P362,$Y$1)</f>
        <v>196</v>
      </c>
      <c r="Z362" s="34">
        <v>1</v>
      </c>
      <c r="AA362" s="25" t="str">
        <f t="shared" ca="1" si="28"/>
        <v>A VENCER</v>
      </c>
      <c r="AB362" s="25" t="str">
        <f t="shared" si="31"/>
        <v>C-14</v>
      </c>
      <c r="AC362" s="2" t="str">
        <f t="shared" si="30"/>
        <v xml:space="preserve"> CLEITON </v>
      </c>
      <c r="AD362" s="26">
        <f t="shared" si="32"/>
        <v>15</v>
      </c>
      <c r="AE362" s="26">
        <f t="shared" ca="1" si="29"/>
        <v>273.26966284722585</v>
      </c>
      <c r="AF362" s="35"/>
    </row>
    <row r="363" spans="1:32" hidden="1">
      <c r="A363" s="209">
        <v>8640516</v>
      </c>
      <c r="B363" s="209" t="s">
        <v>653</v>
      </c>
      <c r="C363" s="210" t="s">
        <v>752</v>
      </c>
      <c r="D363" s="214"/>
      <c r="E363" s="214">
        <v>4890071400030</v>
      </c>
      <c r="F363" s="209" t="s">
        <v>647</v>
      </c>
      <c r="G363" s="209" t="s">
        <v>53</v>
      </c>
      <c r="H363" s="209" t="s">
        <v>783</v>
      </c>
      <c r="I363" s="209" t="s">
        <v>784</v>
      </c>
      <c r="J363" s="209" t="s">
        <v>46</v>
      </c>
      <c r="K363" s="210" t="s">
        <v>650</v>
      </c>
      <c r="L363" s="210"/>
      <c r="M363" s="209" t="s">
        <v>58</v>
      </c>
      <c r="N363" s="209">
        <v>0</v>
      </c>
      <c r="O363" s="209" t="s">
        <v>105</v>
      </c>
      <c r="P363" s="213">
        <v>44713.406608796293</v>
      </c>
      <c r="Q363" s="209"/>
      <c r="R363" s="209">
        <v>4</v>
      </c>
      <c r="S363" s="209"/>
      <c r="T363" s="209" t="s">
        <v>646</v>
      </c>
      <c r="U363" s="213">
        <v>44714.406608796293</v>
      </c>
      <c r="V363" s="209" t="s">
        <v>41</v>
      </c>
      <c r="W363" s="209" t="s">
        <v>49</v>
      </c>
      <c r="X363" s="13" t="str">
        <f>IF(RIGHT(H363,2)&lt;&gt;"00",H363,"")</f>
        <v>4890.07</v>
      </c>
      <c r="Y363" s="26">
        <f ca="1">NETWORKDAYS(P363,$Y$1)</f>
        <v>196</v>
      </c>
      <c r="Z363" s="34">
        <v>1</v>
      </c>
      <c r="AA363" s="25" t="str">
        <f t="shared" ca="1" si="28"/>
        <v>A VENCER</v>
      </c>
      <c r="AB363" s="25" t="str">
        <f t="shared" si="31"/>
        <v>C-14</v>
      </c>
      <c r="AC363" s="2" t="str">
        <f t="shared" si="30"/>
        <v xml:space="preserve"> CLEITON </v>
      </c>
      <c r="AD363" s="26">
        <f t="shared" si="32"/>
        <v>15</v>
      </c>
      <c r="AE363" s="26">
        <f t="shared" ca="1" si="29"/>
        <v>273.26966284722585</v>
      </c>
      <c r="AF363" s="35"/>
    </row>
    <row r="364" spans="1:32" hidden="1">
      <c r="A364" s="209">
        <v>8640515</v>
      </c>
      <c r="B364" s="209" t="s">
        <v>653</v>
      </c>
      <c r="C364" s="210" t="s">
        <v>752</v>
      </c>
      <c r="D364" s="214"/>
      <c r="E364" s="214">
        <v>4890061400030</v>
      </c>
      <c r="F364" s="209" t="s">
        <v>647</v>
      </c>
      <c r="G364" s="209" t="s">
        <v>53</v>
      </c>
      <c r="H364" s="209" t="s">
        <v>785</v>
      </c>
      <c r="I364" s="209" t="s">
        <v>786</v>
      </c>
      <c r="J364" s="209" t="s">
        <v>46</v>
      </c>
      <c r="K364" s="210" t="s">
        <v>650</v>
      </c>
      <c r="L364" s="210"/>
      <c r="M364" s="209" t="s">
        <v>58</v>
      </c>
      <c r="N364" s="209">
        <v>0</v>
      </c>
      <c r="O364" s="209" t="s">
        <v>105</v>
      </c>
      <c r="P364" s="213">
        <v>44713.406608796293</v>
      </c>
      <c r="Q364" s="209"/>
      <c r="R364" s="209">
        <v>4</v>
      </c>
      <c r="S364" s="209"/>
      <c r="T364" s="209" t="s">
        <v>646</v>
      </c>
      <c r="U364" s="213">
        <v>44714.406608796293</v>
      </c>
      <c r="V364" s="209" t="s">
        <v>41</v>
      </c>
      <c r="W364" s="209" t="s">
        <v>49</v>
      </c>
      <c r="X364" s="13" t="str">
        <f>IF(RIGHT(H364,2)&lt;&gt;"00",H364,"")</f>
        <v>4890.06</v>
      </c>
      <c r="Y364" s="26">
        <f ca="1">NETWORKDAYS(P364,$Y$1)</f>
        <v>196</v>
      </c>
      <c r="Z364" s="34">
        <v>1</v>
      </c>
      <c r="AA364" s="25" t="str">
        <f t="shared" ca="1" si="28"/>
        <v>A VENCER</v>
      </c>
      <c r="AB364" s="25" t="str">
        <f t="shared" si="31"/>
        <v>C-14</v>
      </c>
      <c r="AC364" s="2" t="str">
        <f t="shared" si="30"/>
        <v xml:space="preserve"> CLEITON </v>
      </c>
      <c r="AD364" s="26">
        <f t="shared" si="32"/>
        <v>15</v>
      </c>
      <c r="AE364" s="26">
        <f t="shared" ca="1" si="29"/>
        <v>273.26966284722585</v>
      </c>
      <c r="AF364" s="35"/>
    </row>
    <row r="365" spans="1:32" hidden="1">
      <c r="A365" s="209">
        <v>8640514</v>
      </c>
      <c r="B365" s="209" t="s">
        <v>653</v>
      </c>
      <c r="C365" s="210" t="s">
        <v>752</v>
      </c>
      <c r="D365" s="214"/>
      <c r="E365" s="214">
        <v>4890051400030</v>
      </c>
      <c r="F365" s="209" t="s">
        <v>647</v>
      </c>
      <c r="G365" s="209" t="s">
        <v>53</v>
      </c>
      <c r="H365" s="209" t="s">
        <v>787</v>
      </c>
      <c r="I365" s="209" t="s">
        <v>788</v>
      </c>
      <c r="J365" s="209" t="s">
        <v>46</v>
      </c>
      <c r="K365" s="210" t="s">
        <v>650</v>
      </c>
      <c r="L365" s="210"/>
      <c r="M365" s="209" t="s">
        <v>58</v>
      </c>
      <c r="N365" s="209">
        <v>0</v>
      </c>
      <c r="O365" s="209" t="s">
        <v>105</v>
      </c>
      <c r="P365" s="213">
        <v>44713.406597222223</v>
      </c>
      <c r="Q365" s="209"/>
      <c r="R365" s="209">
        <v>4</v>
      </c>
      <c r="S365" s="209"/>
      <c r="T365" s="209" t="s">
        <v>646</v>
      </c>
      <c r="U365" s="213">
        <v>44714.406597222223</v>
      </c>
      <c r="V365" s="209" t="s">
        <v>41</v>
      </c>
      <c r="W365" s="209" t="s">
        <v>49</v>
      </c>
      <c r="X365" s="13" t="str">
        <f>IF(RIGHT(H365,2)&lt;&gt;"00",H365,"")</f>
        <v>4890.05</v>
      </c>
      <c r="Y365" s="26">
        <f ca="1">NETWORKDAYS(P365,$Y$1)</f>
        <v>196</v>
      </c>
      <c r="Z365" s="34">
        <v>1</v>
      </c>
      <c r="AA365" s="25" t="str">
        <f t="shared" ca="1" si="28"/>
        <v>A VENCER</v>
      </c>
      <c r="AB365" s="25" t="str">
        <f t="shared" si="31"/>
        <v>C-14</v>
      </c>
      <c r="AC365" s="2" t="str">
        <f t="shared" si="30"/>
        <v xml:space="preserve"> CLEITON </v>
      </c>
      <c r="AD365" s="26">
        <f t="shared" si="32"/>
        <v>15</v>
      </c>
      <c r="AE365" s="26">
        <f t="shared" ca="1" si="29"/>
        <v>273.26967442129535</v>
      </c>
      <c r="AF365" s="35"/>
    </row>
    <row r="366" spans="1:32" hidden="1">
      <c r="A366" s="209">
        <v>8640513</v>
      </c>
      <c r="B366" s="209" t="s">
        <v>653</v>
      </c>
      <c r="C366" s="210" t="s">
        <v>752</v>
      </c>
      <c r="D366" s="214"/>
      <c r="E366" s="214">
        <v>4890041400030</v>
      </c>
      <c r="F366" s="209" t="s">
        <v>647</v>
      </c>
      <c r="G366" s="209" t="s">
        <v>53</v>
      </c>
      <c r="H366" s="209" t="s">
        <v>791</v>
      </c>
      <c r="I366" s="209" t="s">
        <v>792</v>
      </c>
      <c r="J366" s="209" t="s">
        <v>46</v>
      </c>
      <c r="K366" s="210" t="s">
        <v>650</v>
      </c>
      <c r="L366" s="210"/>
      <c r="M366" s="209" t="s">
        <v>58</v>
      </c>
      <c r="N366" s="209">
        <v>0</v>
      </c>
      <c r="O366" s="209" t="s">
        <v>105</v>
      </c>
      <c r="P366" s="213">
        <v>44713.406597222223</v>
      </c>
      <c r="Q366" s="209"/>
      <c r="R366" s="209">
        <v>4</v>
      </c>
      <c r="S366" s="209"/>
      <c r="T366" s="209" t="s">
        <v>646</v>
      </c>
      <c r="U366" s="213">
        <v>44714.406597222223</v>
      </c>
      <c r="V366" s="209" t="s">
        <v>41</v>
      </c>
      <c r="W366" s="209" t="s">
        <v>49</v>
      </c>
      <c r="X366" s="13" t="str">
        <f>IF(RIGHT(H366,2)&lt;&gt;"00",H366,"")</f>
        <v>4890.04</v>
      </c>
      <c r="Y366" s="26">
        <f ca="1">NETWORKDAYS(P366,$Y$1)</f>
        <v>196</v>
      </c>
      <c r="Z366" s="34">
        <v>1</v>
      </c>
      <c r="AA366" s="25" t="str">
        <f t="shared" ca="1" si="28"/>
        <v>A VENCER</v>
      </c>
      <c r="AB366" s="25" t="str">
        <f t="shared" si="31"/>
        <v>C-14</v>
      </c>
      <c r="AC366" s="2" t="str">
        <f t="shared" si="30"/>
        <v xml:space="preserve"> CLEITON </v>
      </c>
      <c r="AD366" s="26">
        <f t="shared" si="32"/>
        <v>15</v>
      </c>
      <c r="AE366" s="26">
        <f t="shared" ca="1" si="29"/>
        <v>273.26967442129535</v>
      </c>
      <c r="AF366" s="35"/>
    </row>
    <row r="367" spans="1:32" hidden="1">
      <c r="A367" s="209">
        <v>8640512</v>
      </c>
      <c r="B367" s="209" t="s">
        <v>653</v>
      </c>
      <c r="C367" s="210" t="s">
        <v>752</v>
      </c>
      <c r="D367" s="214"/>
      <c r="E367" s="214">
        <v>4890031400030</v>
      </c>
      <c r="F367" s="209" t="s">
        <v>647</v>
      </c>
      <c r="G367" s="209" t="s">
        <v>53</v>
      </c>
      <c r="H367" s="209" t="s">
        <v>793</v>
      </c>
      <c r="I367" s="209" t="s">
        <v>794</v>
      </c>
      <c r="J367" s="209" t="s">
        <v>46</v>
      </c>
      <c r="K367" s="210" t="s">
        <v>650</v>
      </c>
      <c r="L367" s="210"/>
      <c r="M367" s="209" t="s">
        <v>58</v>
      </c>
      <c r="N367" s="209">
        <v>0</v>
      </c>
      <c r="O367" s="209" t="s">
        <v>105</v>
      </c>
      <c r="P367" s="213">
        <v>44713.406597222223</v>
      </c>
      <c r="Q367" s="209"/>
      <c r="R367" s="209">
        <v>4</v>
      </c>
      <c r="S367" s="209"/>
      <c r="T367" s="209" t="s">
        <v>646</v>
      </c>
      <c r="U367" s="213">
        <v>44714.406597222223</v>
      </c>
      <c r="V367" s="209" t="s">
        <v>41</v>
      </c>
      <c r="W367" s="209" t="s">
        <v>49</v>
      </c>
      <c r="X367" s="13" t="str">
        <f>IF(RIGHT(H367,2)&lt;&gt;"00",H367,"")</f>
        <v>4890.03</v>
      </c>
      <c r="Y367" s="26">
        <f ca="1">NETWORKDAYS(P367,$Y$1)</f>
        <v>196</v>
      </c>
      <c r="Z367" s="34">
        <v>1</v>
      </c>
      <c r="AA367" s="25" t="str">
        <f t="shared" ca="1" si="28"/>
        <v>A VENCER</v>
      </c>
      <c r="AB367" s="25" t="str">
        <f t="shared" si="31"/>
        <v>C-14</v>
      </c>
      <c r="AC367" s="2" t="str">
        <f t="shared" si="30"/>
        <v xml:space="preserve"> CLEITON </v>
      </c>
      <c r="AD367" s="26">
        <f t="shared" si="32"/>
        <v>15</v>
      </c>
      <c r="AE367" s="26">
        <f t="shared" ca="1" si="29"/>
        <v>273.26967442129535</v>
      </c>
      <c r="AF367" s="35"/>
    </row>
    <row r="368" spans="1:32" hidden="1">
      <c r="A368" s="209">
        <v>8640367</v>
      </c>
      <c r="B368" s="209" t="s">
        <v>653</v>
      </c>
      <c r="C368" s="210" t="s">
        <v>752</v>
      </c>
      <c r="D368" s="214"/>
      <c r="E368" s="214">
        <v>3237011400030</v>
      </c>
      <c r="F368" s="209" t="s">
        <v>647</v>
      </c>
      <c r="G368" s="209" t="s">
        <v>53</v>
      </c>
      <c r="H368" s="209" t="s">
        <v>795</v>
      </c>
      <c r="I368" s="209" t="s">
        <v>796</v>
      </c>
      <c r="J368" s="209" t="s">
        <v>46</v>
      </c>
      <c r="K368" s="210" t="s">
        <v>650</v>
      </c>
      <c r="L368" s="210"/>
      <c r="M368" s="209" t="s">
        <v>58</v>
      </c>
      <c r="N368" s="209">
        <v>0</v>
      </c>
      <c r="O368" s="209" t="s">
        <v>105</v>
      </c>
      <c r="P368" s="213">
        <v>44713.406099537038</v>
      </c>
      <c r="Q368" s="209"/>
      <c r="R368" s="209">
        <v>4</v>
      </c>
      <c r="S368" s="209"/>
      <c r="T368" s="209" t="s">
        <v>646</v>
      </c>
      <c r="U368" s="213">
        <v>44714.406099537038</v>
      </c>
      <c r="V368" s="209" t="s">
        <v>41</v>
      </c>
      <c r="W368" s="209" t="s">
        <v>49</v>
      </c>
      <c r="X368" s="13" t="str">
        <f>IF(RIGHT(H368,2)&lt;&gt;"00",H368,"")</f>
        <v>3237.01</v>
      </c>
      <c r="Y368" s="26">
        <f ca="1">NETWORKDAYS(P368,$Y$1)</f>
        <v>196</v>
      </c>
      <c r="Z368" s="34">
        <v>1</v>
      </c>
      <c r="AA368" s="25" t="str">
        <f t="shared" ca="1" si="28"/>
        <v>A VENCER</v>
      </c>
      <c r="AB368" s="25" t="str">
        <f t="shared" si="31"/>
        <v>C-14</v>
      </c>
      <c r="AC368" s="2" t="str">
        <f t="shared" si="30"/>
        <v xml:space="preserve"> CLEITON </v>
      </c>
      <c r="AD368" s="26">
        <f t="shared" si="32"/>
        <v>15</v>
      </c>
      <c r="AE368" s="26">
        <f t="shared" ca="1" si="29"/>
        <v>273.27017210648046</v>
      </c>
      <c r="AF368" s="35"/>
    </row>
    <row r="369" spans="1:32" hidden="1">
      <c r="A369" s="209">
        <v>8640366</v>
      </c>
      <c r="B369" s="209" t="s">
        <v>653</v>
      </c>
      <c r="C369" s="210" t="s">
        <v>752</v>
      </c>
      <c r="D369" s="214"/>
      <c r="E369" s="214">
        <v>3234171400030</v>
      </c>
      <c r="F369" s="209" t="s">
        <v>647</v>
      </c>
      <c r="G369" s="209" t="s">
        <v>53</v>
      </c>
      <c r="H369" s="209" t="s">
        <v>799</v>
      </c>
      <c r="I369" s="209" t="s">
        <v>800</v>
      </c>
      <c r="J369" s="209" t="s">
        <v>46</v>
      </c>
      <c r="K369" s="210" t="s">
        <v>650</v>
      </c>
      <c r="L369" s="210"/>
      <c r="M369" s="209" t="s">
        <v>58</v>
      </c>
      <c r="N369" s="209">
        <v>0</v>
      </c>
      <c r="O369" s="209" t="s">
        <v>105</v>
      </c>
      <c r="P369" s="213">
        <v>44713.406099537038</v>
      </c>
      <c r="Q369" s="209"/>
      <c r="R369" s="209">
        <v>4</v>
      </c>
      <c r="S369" s="209"/>
      <c r="T369" s="209" t="s">
        <v>646</v>
      </c>
      <c r="U369" s="213">
        <v>44714.406099537038</v>
      </c>
      <c r="V369" s="209" t="s">
        <v>41</v>
      </c>
      <c r="W369" s="209" t="s">
        <v>49</v>
      </c>
      <c r="X369" s="13" t="str">
        <f>IF(RIGHT(H369,2)&lt;&gt;"00",H369,"")</f>
        <v>3234.17</v>
      </c>
      <c r="Y369" s="26">
        <f ca="1">NETWORKDAYS(P369,$Y$1)</f>
        <v>196</v>
      </c>
      <c r="Z369" s="34">
        <v>1</v>
      </c>
      <c r="AA369" s="25" t="str">
        <f t="shared" ca="1" si="28"/>
        <v>A VENCER</v>
      </c>
      <c r="AB369" s="25" t="str">
        <f t="shared" si="31"/>
        <v>C-14</v>
      </c>
      <c r="AC369" s="2" t="str">
        <f t="shared" si="30"/>
        <v xml:space="preserve"> CLEITON </v>
      </c>
      <c r="AD369" s="26">
        <f t="shared" si="32"/>
        <v>15</v>
      </c>
      <c r="AE369" s="26">
        <f t="shared" ca="1" si="29"/>
        <v>273.27017210648046</v>
      </c>
      <c r="AF369" s="35"/>
    </row>
    <row r="370" spans="1:32" hidden="1">
      <c r="A370" s="209">
        <v>8640364</v>
      </c>
      <c r="B370" s="209" t="s">
        <v>653</v>
      </c>
      <c r="C370" s="210" t="s">
        <v>752</v>
      </c>
      <c r="D370" s="214"/>
      <c r="E370" s="214">
        <v>3234151400030</v>
      </c>
      <c r="F370" s="209" t="s">
        <v>647</v>
      </c>
      <c r="G370" s="209" t="s">
        <v>53</v>
      </c>
      <c r="H370" s="209" t="s">
        <v>629</v>
      </c>
      <c r="I370" s="209" t="s">
        <v>630</v>
      </c>
      <c r="J370" s="209" t="s">
        <v>46</v>
      </c>
      <c r="K370" s="210" t="s">
        <v>650</v>
      </c>
      <c r="L370" s="210"/>
      <c r="M370" s="209" t="s">
        <v>58</v>
      </c>
      <c r="N370" s="209">
        <v>0</v>
      </c>
      <c r="O370" s="209" t="s">
        <v>105</v>
      </c>
      <c r="P370" s="213">
        <v>44713.406099537038</v>
      </c>
      <c r="Q370" s="209"/>
      <c r="R370" s="209">
        <v>4</v>
      </c>
      <c r="S370" s="209"/>
      <c r="T370" s="209" t="s">
        <v>646</v>
      </c>
      <c r="U370" s="213">
        <v>44714.406099537038</v>
      </c>
      <c r="V370" s="209" t="s">
        <v>41</v>
      </c>
      <c r="W370" s="209" t="s">
        <v>49</v>
      </c>
      <c r="X370" s="13" t="str">
        <f>IF(RIGHT(H370,2)&lt;&gt;"00",H370,"")</f>
        <v>3234.15</v>
      </c>
      <c r="Y370" s="26">
        <f ca="1">NETWORKDAYS(P370,$Y$1)</f>
        <v>196</v>
      </c>
      <c r="Z370" s="34">
        <v>1</v>
      </c>
      <c r="AA370" s="25" t="str">
        <f t="shared" ca="1" si="28"/>
        <v>A VENCER</v>
      </c>
      <c r="AB370" s="25" t="str">
        <f t="shared" si="31"/>
        <v>C-14</v>
      </c>
      <c r="AC370" s="2" t="str">
        <f t="shared" si="30"/>
        <v xml:space="preserve"> CLEITON </v>
      </c>
      <c r="AD370" s="26">
        <f t="shared" si="32"/>
        <v>15</v>
      </c>
      <c r="AE370" s="26">
        <f t="shared" ca="1" si="29"/>
        <v>273.27017210648046</v>
      </c>
      <c r="AF370" s="35"/>
    </row>
    <row r="371" spans="1:32" hidden="1">
      <c r="A371" s="209">
        <v>8640315</v>
      </c>
      <c r="B371" s="209" t="s">
        <v>653</v>
      </c>
      <c r="C371" s="210" t="s">
        <v>752</v>
      </c>
      <c r="D371" s="214"/>
      <c r="E371" s="214">
        <v>2889031400030</v>
      </c>
      <c r="F371" s="209" t="s">
        <v>647</v>
      </c>
      <c r="G371" s="209" t="s">
        <v>53</v>
      </c>
      <c r="H371" s="209" t="s">
        <v>801</v>
      </c>
      <c r="I371" s="209" t="s">
        <v>802</v>
      </c>
      <c r="J371" s="209" t="s">
        <v>46</v>
      </c>
      <c r="K371" s="210" t="s">
        <v>650</v>
      </c>
      <c r="L371" s="210"/>
      <c r="M371" s="209" t="s">
        <v>58</v>
      </c>
      <c r="N371" s="209">
        <v>0</v>
      </c>
      <c r="O371" s="209" t="s">
        <v>105</v>
      </c>
      <c r="P371" s="213">
        <v>44713.406030092592</v>
      </c>
      <c r="Q371" s="209"/>
      <c r="R371" s="209">
        <v>4</v>
      </c>
      <c r="S371" s="209"/>
      <c r="T371" s="209" t="s">
        <v>646</v>
      </c>
      <c r="U371" s="213">
        <v>44714.406041666669</v>
      </c>
      <c r="V371" s="209" t="s">
        <v>41</v>
      </c>
      <c r="W371" s="209" t="s">
        <v>49</v>
      </c>
      <c r="X371" s="13" t="str">
        <f>IF(RIGHT(H371,2)&lt;&gt;"00",H371,"")</f>
        <v>2889.03</v>
      </c>
      <c r="Y371" s="26">
        <f ca="1">NETWORKDAYS(P371,$Y$1)</f>
        <v>196</v>
      </c>
      <c r="Z371" s="34">
        <v>1</v>
      </c>
      <c r="AA371" s="25" t="str">
        <f t="shared" ca="1" si="28"/>
        <v>A VENCER</v>
      </c>
      <c r="AB371" s="25" t="str">
        <f t="shared" si="31"/>
        <v>C-14</v>
      </c>
      <c r="AC371" s="2" t="str">
        <f t="shared" si="30"/>
        <v xml:space="preserve"> CLEITON </v>
      </c>
      <c r="AD371" s="26">
        <f t="shared" si="32"/>
        <v>15</v>
      </c>
      <c r="AE371" s="26">
        <f t="shared" ca="1" si="29"/>
        <v>273.27024155092658</v>
      </c>
      <c r="AF371" s="35"/>
    </row>
    <row r="372" spans="1:32" hidden="1">
      <c r="A372" s="209">
        <v>8640314</v>
      </c>
      <c r="B372" s="209" t="s">
        <v>653</v>
      </c>
      <c r="C372" s="210" t="s">
        <v>752</v>
      </c>
      <c r="D372" s="214"/>
      <c r="E372" s="214">
        <v>2889011400030</v>
      </c>
      <c r="F372" s="209" t="s">
        <v>647</v>
      </c>
      <c r="G372" s="209" t="s">
        <v>53</v>
      </c>
      <c r="H372" s="209" t="s">
        <v>805</v>
      </c>
      <c r="I372" s="209" t="s">
        <v>806</v>
      </c>
      <c r="J372" s="209" t="s">
        <v>46</v>
      </c>
      <c r="K372" s="210" t="s">
        <v>650</v>
      </c>
      <c r="L372" s="210"/>
      <c r="M372" s="209" t="s">
        <v>58</v>
      </c>
      <c r="N372" s="209">
        <v>0</v>
      </c>
      <c r="O372" s="209" t="s">
        <v>105</v>
      </c>
      <c r="P372" s="213">
        <v>44713.406030092592</v>
      </c>
      <c r="Q372" s="209"/>
      <c r="R372" s="209">
        <v>4</v>
      </c>
      <c r="S372" s="209"/>
      <c r="T372" s="209" t="s">
        <v>646</v>
      </c>
      <c r="U372" s="213">
        <v>44714.406030092592</v>
      </c>
      <c r="V372" s="209" t="s">
        <v>41</v>
      </c>
      <c r="W372" s="209" t="s">
        <v>49</v>
      </c>
      <c r="X372" s="13" t="str">
        <f>IF(RIGHT(H372,2)&lt;&gt;"00",H372,"")</f>
        <v>2889.01</v>
      </c>
      <c r="Y372" s="26">
        <f ca="1">NETWORKDAYS(P372,$Y$1)</f>
        <v>196</v>
      </c>
      <c r="Z372" s="34">
        <v>1</v>
      </c>
      <c r="AA372" s="25" t="str">
        <f t="shared" ca="1" si="28"/>
        <v>A VENCER</v>
      </c>
      <c r="AB372" s="25" t="str">
        <f t="shared" si="31"/>
        <v>C-14</v>
      </c>
      <c r="AC372" s="2" t="str">
        <f t="shared" si="30"/>
        <v xml:space="preserve"> CLEITON </v>
      </c>
      <c r="AD372" s="26">
        <f t="shared" si="32"/>
        <v>15</v>
      </c>
      <c r="AE372" s="26">
        <f t="shared" ca="1" si="29"/>
        <v>273.27024155092658</v>
      </c>
      <c r="AF372" s="35"/>
    </row>
    <row r="373" spans="1:32" hidden="1">
      <c r="A373" s="209">
        <v>8640259</v>
      </c>
      <c r="B373" s="209" t="s">
        <v>653</v>
      </c>
      <c r="C373" s="210" t="s">
        <v>752</v>
      </c>
      <c r="D373" s="214"/>
      <c r="E373" s="214">
        <v>2365131400030</v>
      </c>
      <c r="F373" s="209" t="s">
        <v>647</v>
      </c>
      <c r="G373" s="209" t="s">
        <v>53</v>
      </c>
      <c r="H373" s="209" t="s">
        <v>807</v>
      </c>
      <c r="I373" s="209" t="s">
        <v>808</v>
      </c>
      <c r="J373" s="209" t="s">
        <v>46</v>
      </c>
      <c r="K373" s="210" t="s">
        <v>650</v>
      </c>
      <c r="L373" s="210"/>
      <c r="M373" s="209" t="s">
        <v>58</v>
      </c>
      <c r="N373" s="209">
        <v>0</v>
      </c>
      <c r="O373" s="209" t="s">
        <v>105</v>
      </c>
      <c r="P373" s="213">
        <v>44713.405856481484</v>
      </c>
      <c r="Q373" s="209"/>
      <c r="R373" s="209">
        <v>4</v>
      </c>
      <c r="S373" s="209"/>
      <c r="T373" s="209" t="s">
        <v>646</v>
      </c>
      <c r="U373" s="213">
        <v>44714.405856481484</v>
      </c>
      <c r="V373" s="209" t="s">
        <v>41</v>
      </c>
      <c r="W373" s="209" t="s">
        <v>49</v>
      </c>
      <c r="X373" s="13" t="str">
        <f>IF(RIGHT(H373,2)&lt;&gt;"00",H373,"")</f>
        <v>2365.13</v>
      </c>
      <c r="Y373" s="26">
        <f ca="1">NETWORKDAYS(P373,$Y$1)</f>
        <v>196</v>
      </c>
      <c r="Z373" s="34">
        <v>1</v>
      </c>
      <c r="AA373" s="25" t="str">
        <f t="shared" ca="1" si="28"/>
        <v>A VENCER</v>
      </c>
      <c r="AB373" s="25" t="str">
        <f t="shared" si="31"/>
        <v>C-14</v>
      </c>
      <c r="AC373" s="2" t="str">
        <f t="shared" si="30"/>
        <v xml:space="preserve"> CLEITON </v>
      </c>
      <c r="AD373" s="26">
        <f t="shared" si="32"/>
        <v>15</v>
      </c>
      <c r="AE373" s="26">
        <f t="shared" ca="1" si="29"/>
        <v>273.27041516203462</v>
      </c>
      <c r="AF373" s="35"/>
    </row>
    <row r="374" spans="1:32" hidden="1">
      <c r="A374" s="209">
        <v>8640213</v>
      </c>
      <c r="B374" s="209" t="s">
        <v>653</v>
      </c>
      <c r="C374" s="210" t="s">
        <v>752</v>
      </c>
      <c r="D374" s="214"/>
      <c r="E374" s="214">
        <v>1833041400030</v>
      </c>
      <c r="F374" s="209" t="s">
        <v>647</v>
      </c>
      <c r="G374" s="209" t="s">
        <v>53</v>
      </c>
      <c r="H374" s="209" t="s">
        <v>811</v>
      </c>
      <c r="I374" s="209" t="s">
        <v>812</v>
      </c>
      <c r="J374" s="209" t="s">
        <v>46</v>
      </c>
      <c r="K374" s="210" t="s">
        <v>650</v>
      </c>
      <c r="L374" s="210"/>
      <c r="M374" s="209" t="s">
        <v>58</v>
      </c>
      <c r="N374" s="209">
        <v>0</v>
      </c>
      <c r="O374" s="209" t="s">
        <v>105</v>
      </c>
      <c r="P374" s="213">
        <v>44713.405787037038</v>
      </c>
      <c r="Q374" s="209"/>
      <c r="R374" s="209">
        <v>4</v>
      </c>
      <c r="S374" s="209"/>
      <c r="T374" s="209" t="s">
        <v>646</v>
      </c>
      <c r="U374" s="213">
        <v>44714.405787037038</v>
      </c>
      <c r="V374" s="209" t="s">
        <v>41</v>
      </c>
      <c r="W374" s="209" t="s">
        <v>49</v>
      </c>
      <c r="X374" s="13" t="str">
        <f>IF(RIGHT(H374,2)&lt;&gt;"00",H374,"")</f>
        <v>1833.04</v>
      </c>
      <c r="Y374" s="26">
        <f ca="1">NETWORKDAYS(P374,$Y$1)</f>
        <v>196</v>
      </c>
      <c r="Z374" s="34">
        <v>1</v>
      </c>
      <c r="AA374" s="25" t="str">
        <f t="shared" ca="1" si="28"/>
        <v>A VENCER</v>
      </c>
      <c r="AB374" s="25" t="str">
        <f t="shared" si="31"/>
        <v>C-14</v>
      </c>
      <c r="AC374" s="2" t="str">
        <f t="shared" si="30"/>
        <v xml:space="preserve"> CLEITON </v>
      </c>
      <c r="AD374" s="26">
        <f t="shared" si="32"/>
        <v>15</v>
      </c>
      <c r="AE374" s="26">
        <f t="shared" ca="1" si="29"/>
        <v>273.27048460648075</v>
      </c>
      <c r="AF374" s="35"/>
    </row>
    <row r="375" spans="1:32" hidden="1">
      <c r="A375" s="209">
        <v>8640115</v>
      </c>
      <c r="B375" s="209" t="s">
        <v>653</v>
      </c>
      <c r="C375" s="210" t="s">
        <v>752</v>
      </c>
      <c r="D375" s="214"/>
      <c r="E375" s="214">
        <v>1120011400030</v>
      </c>
      <c r="F375" s="209" t="s">
        <v>647</v>
      </c>
      <c r="G375" s="209" t="s">
        <v>53</v>
      </c>
      <c r="H375" s="209" t="s">
        <v>648</v>
      </c>
      <c r="I375" s="209" t="s">
        <v>649</v>
      </c>
      <c r="J375" s="209" t="s">
        <v>164</v>
      </c>
      <c r="K375" s="210" t="s">
        <v>650</v>
      </c>
      <c r="L375" s="210"/>
      <c r="M375" s="209" t="s">
        <v>58</v>
      </c>
      <c r="N375" s="209">
        <v>0</v>
      </c>
      <c r="O375" s="209" t="s">
        <v>105</v>
      </c>
      <c r="P375" s="213">
        <v>44713.405532407407</v>
      </c>
      <c r="Q375" s="209"/>
      <c r="R375" s="209">
        <v>4</v>
      </c>
      <c r="S375" s="209"/>
      <c r="T375" s="209" t="s">
        <v>646</v>
      </c>
      <c r="U375" s="213">
        <v>44714.405532407407</v>
      </c>
      <c r="V375" s="209" t="s">
        <v>41</v>
      </c>
      <c r="W375" s="209" t="s">
        <v>49</v>
      </c>
      <c r="X375" s="13" t="str">
        <f>IF(RIGHT(H375,2)&lt;&gt;"00",H375,"")</f>
        <v>1120.01</v>
      </c>
      <c r="Y375" s="26">
        <f ca="1">NETWORKDAYS(P375,$Y$1)</f>
        <v>196</v>
      </c>
      <c r="Z375" s="34">
        <v>1</v>
      </c>
      <c r="AA375" s="25" t="str">
        <f t="shared" ca="1" si="28"/>
        <v>A VENCER</v>
      </c>
      <c r="AB375" s="25" t="str">
        <f t="shared" si="31"/>
        <v>C-14</v>
      </c>
      <c r="AC375" s="2" t="str">
        <f t="shared" si="30"/>
        <v xml:space="preserve"> ROSEMERE </v>
      </c>
      <c r="AD375" s="26">
        <f t="shared" si="32"/>
        <v>15</v>
      </c>
      <c r="AE375" s="26">
        <f t="shared" ca="1" si="29"/>
        <v>273.27073923611169</v>
      </c>
      <c r="AF375" s="35"/>
    </row>
    <row r="376" spans="1:32" hidden="1">
      <c r="A376" s="209">
        <v>8640085</v>
      </c>
      <c r="B376" s="209" t="s">
        <v>653</v>
      </c>
      <c r="C376" s="210" t="s">
        <v>752</v>
      </c>
      <c r="D376" s="214"/>
      <c r="E376" s="214">
        <v>821071400030</v>
      </c>
      <c r="F376" s="209" t="s">
        <v>647</v>
      </c>
      <c r="G376" s="209" t="s">
        <v>53</v>
      </c>
      <c r="H376" s="209" t="s">
        <v>817</v>
      </c>
      <c r="I376" s="209" t="s">
        <v>818</v>
      </c>
      <c r="J376" s="209" t="s">
        <v>46</v>
      </c>
      <c r="K376" s="210" t="s">
        <v>650</v>
      </c>
      <c r="L376" s="210"/>
      <c r="M376" s="209" t="s">
        <v>58</v>
      </c>
      <c r="N376" s="209">
        <v>0</v>
      </c>
      <c r="O376" s="209" t="s">
        <v>105</v>
      </c>
      <c r="P376" s="213">
        <v>44713.405486111114</v>
      </c>
      <c r="Q376" s="209"/>
      <c r="R376" s="209">
        <v>4</v>
      </c>
      <c r="S376" s="209"/>
      <c r="T376" s="209" t="s">
        <v>646</v>
      </c>
      <c r="U376" s="213">
        <v>44714.405486111114</v>
      </c>
      <c r="V376" s="209" t="s">
        <v>41</v>
      </c>
      <c r="W376" s="209" t="s">
        <v>49</v>
      </c>
      <c r="X376" s="13" t="str">
        <f>IF(RIGHT(H376,2)&lt;&gt;"00",H376,"")</f>
        <v>0821.07</v>
      </c>
      <c r="Y376" s="26">
        <f ca="1">NETWORKDAYS(P376,$Y$1)</f>
        <v>196</v>
      </c>
      <c r="Z376" s="34">
        <v>1</v>
      </c>
      <c r="AA376" s="25" t="str">
        <f t="shared" ca="1" si="28"/>
        <v>A VENCER</v>
      </c>
      <c r="AB376" s="25" t="str">
        <f t="shared" si="31"/>
        <v>C-14</v>
      </c>
      <c r="AC376" s="2" t="str">
        <f t="shared" si="30"/>
        <v xml:space="preserve"> CLEITON </v>
      </c>
      <c r="AD376" s="26">
        <f t="shared" si="32"/>
        <v>15</v>
      </c>
      <c r="AE376" s="26">
        <f t="shared" ca="1" si="29"/>
        <v>273.27078553240426</v>
      </c>
      <c r="AF376" s="35"/>
    </row>
    <row r="377" spans="1:32" hidden="1">
      <c r="A377" s="209">
        <v>8640000</v>
      </c>
      <c r="B377" s="209" t="s">
        <v>653</v>
      </c>
      <c r="C377" s="210" t="s">
        <v>752</v>
      </c>
      <c r="D377" s="214"/>
      <c r="E377" s="214">
        <v>325091400030</v>
      </c>
      <c r="F377" s="209" t="s">
        <v>647</v>
      </c>
      <c r="G377" s="209" t="s">
        <v>53</v>
      </c>
      <c r="H377" s="209" t="s">
        <v>821</v>
      </c>
      <c r="I377" s="209" t="s">
        <v>822</v>
      </c>
      <c r="J377" s="209" t="s">
        <v>46</v>
      </c>
      <c r="K377" s="210" t="s">
        <v>650</v>
      </c>
      <c r="L377" s="210"/>
      <c r="M377" s="209" t="s">
        <v>58</v>
      </c>
      <c r="N377" s="209">
        <v>0</v>
      </c>
      <c r="O377" s="209" t="s">
        <v>105</v>
      </c>
      <c r="P377" s="213">
        <v>44713.405138888891</v>
      </c>
      <c r="Q377" s="209"/>
      <c r="R377" s="209">
        <v>4</v>
      </c>
      <c r="S377" s="209"/>
      <c r="T377" s="209" t="s">
        <v>646</v>
      </c>
      <c r="U377" s="213">
        <v>44714.405138888891</v>
      </c>
      <c r="V377" s="209" t="s">
        <v>41</v>
      </c>
      <c r="W377" s="209" t="s">
        <v>49</v>
      </c>
      <c r="X377" s="13" t="str">
        <f>IF(RIGHT(H377,2)&lt;&gt;"00",H377,"")</f>
        <v>0325.09</v>
      </c>
      <c r="Y377" s="26">
        <f ca="1">NETWORKDAYS(P377,$Y$1)</f>
        <v>196</v>
      </c>
      <c r="Z377" s="34">
        <v>1</v>
      </c>
      <c r="AA377" s="25" t="str">
        <f t="shared" ca="1" si="28"/>
        <v>A VENCER</v>
      </c>
      <c r="AB377" s="25" t="str">
        <f t="shared" si="31"/>
        <v>C-14</v>
      </c>
      <c r="AC377" s="2" t="str">
        <f t="shared" si="30"/>
        <v xml:space="preserve"> CLEITON </v>
      </c>
      <c r="AD377" s="26">
        <f t="shared" si="32"/>
        <v>15</v>
      </c>
      <c r="AE377" s="26">
        <f t="shared" ca="1" si="29"/>
        <v>273.27113275462762</v>
      </c>
      <c r="AF377" s="35"/>
    </row>
    <row r="378" spans="1:32" hidden="1">
      <c r="A378" s="209">
        <v>8639902</v>
      </c>
      <c r="B378" s="209" t="s">
        <v>653</v>
      </c>
      <c r="C378" s="210" t="s">
        <v>752</v>
      </c>
      <c r="D378" s="214"/>
      <c r="E378" s="214">
        <v>69161400030</v>
      </c>
      <c r="F378" s="209" t="s">
        <v>647</v>
      </c>
      <c r="G378" s="209" t="s">
        <v>53</v>
      </c>
      <c r="H378" s="209" t="s">
        <v>234</v>
      </c>
      <c r="I378" s="209" t="s">
        <v>235</v>
      </c>
      <c r="J378" s="209" t="s">
        <v>33</v>
      </c>
      <c r="K378" s="210" t="s">
        <v>650</v>
      </c>
      <c r="L378" s="210"/>
      <c r="M378" s="209" t="s">
        <v>58</v>
      </c>
      <c r="N378" s="209">
        <v>0</v>
      </c>
      <c r="O378" s="209" t="s">
        <v>105</v>
      </c>
      <c r="P378" s="213">
        <v>44713.404826388891</v>
      </c>
      <c r="Q378" s="209"/>
      <c r="R378" s="209">
        <v>4</v>
      </c>
      <c r="S378" s="209"/>
      <c r="T378" s="209" t="s">
        <v>646</v>
      </c>
      <c r="U378" s="213">
        <v>44714.404826388891</v>
      </c>
      <c r="V378" s="209" t="s">
        <v>41</v>
      </c>
      <c r="W378" s="209" t="s">
        <v>42</v>
      </c>
      <c r="X378" s="13" t="str">
        <f>IF(RIGHT(H378,2)&lt;&gt;"00",H378,"")</f>
        <v>0069.16</v>
      </c>
      <c r="Y378" s="26">
        <f ca="1">NETWORKDAYS(P378,$Y$1)</f>
        <v>196</v>
      </c>
      <c r="Z378" s="34">
        <v>1</v>
      </c>
      <c r="AA378" s="25" t="str">
        <f t="shared" ca="1" si="28"/>
        <v>A VENCER</v>
      </c>
      <c r="AB378" s="25" t="str">
        <f t="shared" si="31"/>
        <v>C-14</v>
      </c>
      <c r="AC378" s="2" t="str">
        <f t="shared" si="30"/>
        <v xml:space="preserve"> ROSEMERE </v>
      </c>
      <c r="AD378" s="26">
        <f t="shared" si="32"/>
        <v>15</v>
      </c>
      <c r="AE378" s="26">
        <f t="shared" ca="1" si="29"/>
        <v>273.27144525462791</v>
      </c>
      <c r="AF378" s="35"/>
    </row>
    <row r="379" spans="1:32" hidden="1">
      <c r="A379" s="209">
        <v>8639870</v>
      </c>
      <c r="B379" s="209" t="s">
        <v>653</v>
      </c>
      <c r="C379" s="210" t="s">
        <v>752</v>
      </c>
      <c r="D379" s="214"/>
      <c r="E379" s="214">
        <v>7651400030</v>
      </c>
      <c r="F379" s="209" t="s">
        <v>647</v>
      </c>
      <c r="G379" s="209" t="s">
        <v>53</v>
      </c>
      <c r="H379" s="209" t="s">
        <v>827</v>
      </c>
      <c r="I379" s="209" t="s">
        <v>828</v>
      </c>
      <c r="J379" s="209" t="s">
        <v>46</v>
      </c>
      <c r="K379" s="210" t="s">
        <v>650</v>
      </c>
      <c r="L379" s="210"/>
      <c r="M379" s="209" t="s">
        <v>58</v>
      </c>
      <c r="N379" s="209">
        <v>0</v>
      </c>
      <c r="O379" s="209" t="s">
        <v>105</v>
      </c>
      <c r="P379" s="213">
        <v>44713.404780092591</v>
      </c>
      <c r="Q379" s="209"/>
      <c r="R379" s="209">
        <v>4</v>
      </c>
      <c r="S379" s="209"/>
      <c r="T379" s="209" t="s">
        <v>646</v>
      </c>
      <c r="U379" s="213">
        <v>44714.404780092591</v>
      </c>
      <c r="V379" s="209" t="s">
        <v>41</v>
      </c>
      <c r="W379" s="209" t="s">
        <v>49</v>
      </c>
      <c r="X379" s="13" t="str">
        <f>IF(RIGHT(H379,2)&lt;&gt;"00",H379,"")</f>
        <v>0007.65</v>
      </c>
      <c r="Y379" s="26">
        <f ca="1">NETWORKDAYS(P379,$Y$1)</f>
        <v>196</v>
      </c>
      <c r="Z379" s="34">
        <v>1</v>
      </c>
      <c r="AA379" s="25" t="str">
        <f t="shared" ca="1" si="28"/>
        <v>A VENCER</v>
      </c>
      <c r="AB379" s="25" t="str">
        <f t="shared" si="31"/>
        <v>C-14</v>
      </c>
      <c r="AC379" s="2" t="str">
        <f t="shared" si="30"/>
        <v xml:space="preserve"> CLEITON </v>
      </c>
      <c r="AD379" s="26">
        <f t="shared" si="32"/>
        <v>15</v>
      </c>
      <c r="AE379" s="26">
        <f t="shared" ca="1" si="29"/>
        <v>273.27149155092775</v>
      </c>
      <c r="AF379" s="35"/>
    </row>
    <row r="380" spans="1:32" hidden="1">
      <c r="A380" s="209">
        <v>8639844</v>
      </c>
      <c r="B380" s="209" t="s">
        <v>653</v>
      </c>
      <c r="C380" s="210" t="s">
        <v>752</v>
      </c>
      <c r="D380" s="214"/>
      <c r="E380" s="214">
        <v>8573001400030</v>
      </c>
      <c r="F380" s="209" t="s">
        <v>647</v>
      </c>
      <c r="G380" s="209" t="s">
        <v>53</v>
      </c>
      <c r="H380" s="209" t="s">
        <v>657</v>
      </c>
      <c r="I380" s="209" t="s">
        <v>658</v>
      </c>
      <c r="J380" s="209" t="s">
        <v>33</v>
      </c>
      <c r="K380" s="210" t="s">
        <v>650</v>
      </c>
      <c r="L380" s="210"/>
      <c r="M380" s="209" t="s">
        <v>58</v>
      </c>
      <c r="N380" s="209">
        <v>0</v>
      </c>
      <c r="O380" s="209" t="s">
        <v>105</v>
      </c>
      <c r="P380" s="213">
        <v>44713.40457175926</v>
      </c>
      <c r="Q380" s="209"/>
      <c r="R380" s="209">
        <v>4</v>
      </c>
      <c r="S380" s="209"/>
      <c r="T380" s="209" t="s">
        <v>646</v>
      </c>
      <c r="U380" s="213">
        <v>44714.40457175926</v>
      </c>
      <c r="V380" s="209" t="s">
        <v>41</v>
      </c>
      <c r="W380" s="209" t="s">
        <v>49</v>
      </c>
      <c r="X380" s="13" t="str">
        <f>IF(RIGHT(H380,2)&lt;&gt;"00",H380,"")</f>
        <v/>
      </c>
      <c r="Y380" s="26">
        <f ca="1">NETWORKDAYS(P380,$Y$1)</f>
        <v>196</v>
      </c>
      <c r="Z380" s="34">
        <v>1</v>
      </c>
      <c r="AA380" s="25" t="str">
        <f t="shared" ca="1" si="28"/>
        <v>A VENCER</v>
      </c>
      <c r="AB380" s="25" t="str">
        <f t="shared" si="31"/>
        <v>C-14</v>
      </c>
      <c r="AC380" s="2" t="str">
        <f t="shared" si="30"/>
        <v xml:space="preserve"> ROSEMERE </v>
      </c>
      <c r="AD380" s="26">
        <f t="shared" si="32"/>
        <v>15</v>
      </c>
      <c r="AE380" s="26">
        <f t="shared" ca="1" si="29"/>
        <v>273.27169988425885</v>
      </c>
      <c r="AF380" s="35"/>
    </row>
    <row r="381" spans="1:32" hidden="1">
      <c r="A381" s="209">
        <v>8639813</v>
      </c>
      <c r="B381" s="209" t="s">
        <v>653</v>
      </c>
      <c r="C381" s="210" t="s">
        <v>752</v>
      </c>
      <c r="D381" s="214"/>
      <c r="E381" s="214">
        <v>8973001400030</v>
      </c>
      <c r="F381" s="209" t="s">
        <v>647</v>
      </c>
      <c r="G381" s="209" t="s">
        <v>53</v>
      </c>
      <c r="H381" s="209" t="s">
        <v>661</v>
      </c>
      <c r="I381" s="209" t="s">
        <v>662</v>
      </c>
      <c r="J381" s="209" t="s">
        <v>46</v>
      </c>
      <c r="K381" s="210" t="s">
        <v>650</v>
      </c>
      <c r="L381" s="210"/>
      <c r="M381" s="209" t="s">
        <v>58</v>
      </c>
      <c r="N381" s="209">
        <v>0</v>
      </c>
      <c r="O381" s="209" t="s">
        <v>105</v>
      </c>
      <c r="P381" s="213">
        <v>44713.40452546296</v>
      </c>
      <c r="Q381" s="209"/>
      <c r="R381" s="209">
        <v>4</v>
      </c>
      <c r="S381" s="209"/>
      <c r="T381" s="209" t="s">
        <v>646</v>
      </c>
      <c r="U381" s="213">
        <v>44714.404537037037</v>
      </c>
      <c r="V381" s="209" t="s">
        <v>41</v>
      </c>
      <c r="W381" s="209" t="s">
        <v>49</v>
      </c>
      <c r="X381" s="13" t="str">
        <f>IF(RIGHT(H381,2)&lt;&gt;"00",H381,"")</f>
        <v/>
      </c>
      <c r="Y381" s="26">
        <f ca="1">NETWORKDAYS(P381,$Y$1)</f>
        <v>196</v>
      </c>
      <c r="Z381" s="34">
        <v>1</v>
      </c>
      <c r="AA381" s="25" t="str">
        <f t="shared" ca="1" si="28"/>
        <v>A VENCER</v>
      </c>
      <c r="AB381" s="25" t="str">
        <f t="shared" si="31"/>
        <v>C-14</v>
      </c>
      <c r="AC381" s="2" t="str">
        <f t="shared" si="30"/>
        <v xml:space="preserve"> CLEITON </v>
      </c>
      <c r="AD381" s="26">
        <f t="shared" si="32"/>
        <v>15</v>
      </c>
      <c r="AE381" s="26">
        <f t="shared" ca="1" si="29"/>
        <v>273.27174618055869</v>
      </c>
      <c r="AF381" s="35"/>
    </row>
    <row r="382" spans="1:32" hidden="1">
      <c r="A382" s="209">
        <v>8639796</v>
      </c>
      <c r="B382" s="209" t="s">
        <v>653</v>
      </c>
      <c r="C382" s="210" t="s">
        <v>752</v>
      </c>
      <c r="D382" s="214"/>
      <c r="E382" s="214">
        <v>8633001400030</v>
      </c>
      <c r="F382" s="209" t="s">
        <v>647</v>
      </c>
      <c r="G382" s="209" t="s">
        <v>53</v>
      </c>
      <c r="H382" s="209" t="s">
        <v>835</v>
      </c>
      <c r="I382" s="209" t="s">
        <v>836</v>
      </c>
      <c r="J382" s="209" t="s">
        <v>46</v>
      </c>
      <c r="K382" s="210" t="s">
        <v>650</v>
      </c>
      <c r="L382" s="210"/>
      <c r="M382" s="209" t="s">
        <v>58</v>
      </c>
      <c r="N382" s="209">
        <v>0</v>
      </c>
      <c r="O382" s="209" t="s">
        <v>105</v>
      </c>
      <c r="P382" s="213">
        <v>44713.404502314814</v>
      </c>
      <c r="Q382" s="209"/>
      <c r="R382" s="209">
        <v>4</v>
      </c>
      <c r="S382" s="209"/>
      <c r="T382" s="209" t="s">
        <v>646</v>
      </c>
      <c r="U382" s="213">
        <v>44714.404513888891</v>
      </c>
      <c r="V382" s="209" t="s">
        <v>41</v>
      </c>
      <c r="W382" s="209" t="s">
        <v>49</v>
      </c>
      <c r="X382" s="13" t="str">
        <f>IF(RIGHT(H382,2)&lt;&gt;"00",H382,"")</f>
        <v/>
      </c>
      <c r="Y382" s="26">
        <f ca="1">NETWORKDAYS(P382,$Y$1)</f>
        <v>196</v>
      </c>
      <c r="Z382" s="34">
        <v>1</v>
      </c>
      <c r="AA382" s="25" t="str">
        <f t="shared" ca="1" si="28"/>
        <v>A VENCER</v>
      </c>
      <c r="AB382" s="25" t="str">
        <f t="shared" si="31"/>
        <v>C-14</v>
      </c>
      <c r="AC382" s="2" t="str">
        <f t="shared" si="30"/>
        <v xml:space="preserve"> CLEITON </v>
      </c>
      <c r="AD382" s="26">
        <f t="shared" si="32"/>
        <v>15</v>
      </c>
      <c r="AE382" s="26">
        <f t="shared" ca="1" si="29"/>
        <v>273.27176932870498</v>
      </c>
      <c r="AF382" s="35"/>
    </row>
    <row r="383" spans="1:32" hidden="1">
      <c r="A383" s="209">
        <v>8639265</v>
      </c>
      <c r="B383" s="209" t="s">
        <v>653</v>
      </c>
      <c r="C383" s="210" t="s">
        <v>752</v>
      </c>
      <c r="D383" s="214"/>
      <c r="E383" s="214">
        <v>5898001400030</v>
      </c>
      <c r="F383" s="209" t="s">
        <v>647</v>
      </c>
      <c r="G383" s="209" t="s">
        <v>53</v>
      </c>
      <c r="H383" s="209" t="s">
        <v>365</v>
      </c>
      <c r="I383" s="209" t="s">
        <v>366</v>
      </c>
      <c r="J383" s="209" t="s">
        <v>164</v>
      </c>
      <c r="K383" s="210" t="s">
        <v>650</v>
      </c>
      <c r="L383" s="210"/>
      <c r="M383" s="209" t="s">
        <v>58</v>
      </c>
      <c r="N383" s="209">
        <v>0</v>
      </c>
      <c r="O383" s="209" t="s">
        <v>105</v>
      </c>
      <c r="P383" s="213">
        <v>44713.403090277781</v>
      </c>
      <c r="Q383" s="209"/>
      <c r="R383" s="209">
        <v>4</v>
      </c>
      <c r="S383" s="209"/>
      <c r="T383" s="209" t="s">
        <v>646</v>
      </c>
      <c r="U383" s="213">
        <v>44714.403090277781</v>
      </c>
      <c r="V383" s="209" t="s">
        <v>41</v>
      </c>
      <c r="W383" s="209" t="s">
        <v>49</v>
      </c>
      <c r="X383" s="13" t="str">
        <f>IF(RIGHT(H383,2)&lt;&gt;"00",H383,"")</f>
        <v/>
      </c>
      <c r="Y383" s="26">
        <f ca="1">NETWORKDAYS(P383,$Y$1)</f>
        <v>196</v>
      </c>
      <c r="Z383" s="34">
        <v>1</v>
      </c>
      <c r="AA383" s="25" t="str">
        <f t="shared" ca="1" si="28"/>
        <v>A VENCER</v>
      </c>
      <c r="AB383" s="25" t="str">
        <f t="shared" si="31"/>
        <v>C-14</v>
      </c>
      <c r="AC383" s="2" t="str">
        <f t="shared" si="30"/>
        <v xml:space="preserve"> ROSEMERE </v>
      </c>
      <c r="AD383" s="26">
        <f t="shared" si="32"/>
        <v>15</v>
      </c>
      <c r="AE383" s="26">
        <f t="shared" ca="1" si="29"/>
        <v>273.2731813657374</v>
      </c>
      <c r="AF383" s="35"/>
    </row>
    <row r="384" spans="1:32" hidden="1">
      <c r="A384" s="209">
        <v>8639240</v>
      </c>
      <c r="B384" s="209" t="s">
        <v>653</v>
      </c>
      <c r="C384" s="210" t="s">
        <v>752</v>
      </c>
      <c r="D384" s="214"/>
      <c r="E384" s="214">
        <v>5816001400030</v>
      </c>
      <c r="F384" s="209" t="s">
        <v>647</v>
      </c>
      <c r="G384" s="209" t="s">
        <v>53</v>
      </c>
      <c r="H384" s="209" t="s">
        <v>412</v>
      </c>
      <c r="I384" s="209" t="s">
        <v>413</v>
      </c>
      <c r="J384" s="209" t="s">
        <v>46</v>
      </c>
      <c r="K384" s="210" t="s">
        <v>650</v>
      </c>
      <c r="L384" s="210"/>
      <c r="M384" s="209" t="s">
        <v>58</v>
      </c>
      <c r="N384" s="209">
        <v>0</v>
      </c>
      <c r="O384" s="209" t="s">
        <v>105</v>
      </c>
      <c r="P384" s="213">
        <v>44713.403055555558</v>
      </c>
      <c r="Q384" s="209"/>
      <c r="R384" s="209">
        <v>4</v>
      </c>
      <c r="S384" s="209"/>
      <c r="T384" s="209" t="s">
        <v>646</v>
      </c>
      <c r="U384" s="213">
        <v>44714.403055555558</v>
      </c>
      <c r="V384" s="209" t="s">
        <v>41</v>
      </c>
      <c r="W384" s="209" t="s">
        <v>49</v>
      </c>
      <c r="X384" s="13" t="str">
        <f>IF(RIGHT(H384,2)&lt;&gt;"00",H384,"")</f>
        <v/>
      </c>
      <c r="Y384" s="26">
        <f ca="1">NETWORKDAYS(P384,$Y$1)</f>
        <v>196</v>
      </c>
      <c r="Z384" s="34">
        <v>1</v>
      </c>
      <c r="AA384" s="25" t="str">
        <f t="shared" ca="1" si="28"/>
        <v>A VENCER</v>
      </c>
      <c r="AB384" s="25" t="str">
        <f t="shared" si="31"/>
        <v>C-14</v>
      </c>
      <c r="AC384" s="2" t="str">
        <f t="shared" si="30"/>
        <v xml:space="preserve"> CLEITON </v>
      </c>
      <c r="AD384" s="26">
        <f t="shared" si="32"/>
        <v>15</v>
      </c>
      <c r="AE384" s="26">
        <f t="shared" ca="1" si="29"/>
        <v>273.27321608796046</v>
      </c>
      <c r="AF384" s="35"/>
    </row>
    <row r="385" spans="1:32" hidden="1">
      <c r="A385" s="209">
        <v>8639199</v>
      </c>
      <c r="B385" s="209" t="s">
        <v>653</v>
      </c>
      <c r="C385" s="210" t="s">
        <v>752</v>
      </c>
      <c r="D385" s="214"/>
      <c r="E385" s="214">
        <v>5755001400030</v>
      </c>
      <c r="F385" s="209" t="s">
        <v>647</v>
      </c>
      <c r="G385" s="209" t="s">
        <v>53</v>
      </c>
      <c r="H385" s="209" t="s">
        <v>841</v>
      </c>
      <c r="I385" s="209" t="s">
        <v>842</v>
      </c>
      <c r="J385" s="209" t="s">
        <v>46</v>
      </c>
      <c r="K385" s="210" t="s">
        <v>650</v>
      </c>
      <c r="L385" s="210"/>
      <c r="M385" s="209" t="s">
        <v>58</v>
      </c>
      <c r="N385" s="209">
        <v>0</v>
      </c>
      <c r="O385" s="209" t="s">
        <v>105</v>
      </c>
      <c r="P385" s="213">
        <v>44713.402881944443</v>
      </c>
      <c r="Q385" s="209"/>
      <c r="R385" s="209">
        <v>4</v>
      </c>
      <c r="S385" s="209"/>
      <c r="T385" s="209" t="s">
        <v>646</v>
      </c>
      <c r="U385" s="213">
        <v>44714.402881944443</v>
      </c>
      <c r="V385" s="209" t="s">
        <v>41</v>
      </c>
      <c r="W385" s="209" t="s">
        <v>49</v>
      </c>
      <c r="X385" s="13" t="str">
        <f>IF(RIGHT(H385,2)&lt;&gt;"00",H385,"")</f>
        <v/>
      </c>
      <c r="Y385" s="26">
        <f ca="1">NETWORKDAYS(P385,$Y$1)</f>
        <v>196</v>
      </c>
      <c r="Z385" s="34">
        <v>1</v>
      </c>
      <c r="AA385" s="25" t="str">
        <f t="shared" ca="1" si="28"/>
        <v>A VENCER</v>
      </c>
      <c r="AB385" s="25" t="str">
        <f t="shared" si="31"/>
        <v>C-14</v>
      </c>
      <c r="AC385" s="2" t="str">
        <f t="shared" si="30"/>
        <v xml:space="preserve"> CLEITON </v>
      </c>
      <c r="AD385" s="26">
        <f t="shared" si="32"/>
        <v>15</v>
      </c>
      <c r="AE385" s="26">
        <f t="shared" ca="1" si="29"/>
        <v>273.27338969907578</v>
      </c>
      <c r="AF385" s="35"/>
    </row>
    <row r="386" spans="1:32" hidden="1">
      <c r="A386" s="209">
        <v>8639195</v>
      </c>
      <c r="B386" s="209" t="s">
        <v>653</v>
      </c>
      <c r="C386" s="210" t="s">
        <v>752</v>
      </c>
      <c r="D386" s="214"/>
      <c r="E386" s="214">
        <v>5742001400030</v>
      </c>
      <c r="F386" s="209" t="s">
        <v>647</v>
      </c>
      <c r="G386" s="209" t="s">
        <v>53</v>
      </c>
      <c r="H386" s="209" t="s">
        <v>430</v>
      </c>
      <c r="I386" s="209" t="s">
        <v>431</v>
      </c>
      <c r="J386" s="209" t="s">
        <v>79</v>
      </c>
      <c r="K386" s="210" t="s">
        <v>650</v>
      </c>
      <c r="L386" s="210"/>
      <c r="M386" s="209" t="s">
        <v>58</v>
      </c>
      <c r="N386" s="209">
        <v>0</v>
      </c>
      <c r="O386" s="209" t="s">
        <v>105</v>
      </c>
      <c r="P386" s="213">
        <v>44713.402881944443</v>
      </c>
      <c r="Q386" s="209"/>
      <c r="R386" s="209">
        <v>4</v>
      </c>
      <c r="S386" s="209"/>
      <c r="T386" s="209" t="s">
        <v>646</v>
      </c>
      <c r="U386" s="213">
        <v>44714.402881944443</v>
      </c>
      <c r="V386" s="209" t="s">
        <v>41</v>
      </c>
      <c r="W386" s="209" t="s">
        <v>49</v>
      </c>
      <c r="X386" s="13" t="str">
        <f>IF(RIGHT(H386,2)&lt;&gt;"00",H386,"")</f>
        <v/>
      </c>
      <c r="Y386" s="26">
        <f ca="1">NETWORKDAYS(P386,$Y$1)</f>
        <v>196</v>
      </c>
      <c r="Z386" s="34">
        <v>1</v>
      </c>
      <c r="AA386" s="25" t="str">
        <f t="shared" ref="AA386:AA449" ca="1" si="33">IF(AE386=0,"HOJE",IF(AE386&gt;0,"A VENCER",IF(AE386&lt;0,"VENCIDO")))</f>
        <v>A VENCER</v>
      </c>
      <c r="AB386" s="25" t="str">
        <f t="shared" si="31"/>
        <v>C-14</v>
      </c>
      <c r="AC386" s="2" t="str">
        <f t="shared" si="30"/>
        <v xml:space="preserve"> ROSEMERE </v>
      </c>
      <c r="AD386" s="26">
        <f t="shared" si="32"/>
        <v>15</v>
      </c>
      <c r="AE386" s="26">
        <f t="shared" ref="AE386:AE449" ca="1" si="34">IF(P386=$AE$1,"",$AE$1-P386)</f>
        <v>273.27338969907578</v>
      </c>
      <c r="AF386" s="35"/>
    </row>
    <row r="387" spans="1:32" hidden="1">
      <c r="A387" s="209">
        <v>8639194</v>
      </c>
      <c r="B387" s="209" t="s">
        <v>653</v>
      </c>
      <c r="C387" s="210" t="s">
        <v>752</v>
      </c>
      <c r="D387" s="214"/>
      <c r="E387" s="214">
        <v>5740001400030</v>
      </c>
      <c r="F387" s="209" t="s">
        <v>647</v>
      </c>
      <c r="G387" s="209" t="s">
        <v>53</v>
      </c>
      <c r="H387" s="209" t="s">
        <v>626</v>
      </c>
      <c r="I387" s="209" t="s">
        <v>627</v>
      </c>
      <c r="J387" s="209" t="s">
        <v>46</v>
      </c>
      <c r="K387" s="210" t="s">
        <v>650</v>
      </c>
      <c r="L387" s="210"/>
      <c r="M387" s="209" t="s">
        <v>58</v>
      </c>
      <c r="N387" s="209">
        <v>0</v>
      </c>
      <c r="O387" s="209" t="s">
        <v>105</v>
      </c>
      <c r="P387" s="213">
        <v>44713.402870370373</v>
      </c>
      <c r="Q387" s="209"/>
      <c r="R387" s="209">
        <v>4</v>
      </c>
      <c r="S387" s="209"/>
      <c r="T387" s="209" t="s">
        <v>646</v>
      </c>
      <c r="U387" s="213">
        <v>44714.402881944443</v>
      </c>
      <c r="V387" s="209" t="s">
        <v>41</v>
      </c>
      <c r="W387" s="209" t="s">
        <v>49</v>
      </c>
      <c r="X387" s="13" t="str">
        <f>IF(RIGHT(H387,2)&lt;&gt;"00",H387,"")</f>
        <v/>
      </c>
      <c r="Y387" s="26">
        <f ca="1">NETWORKDAYS(P387,$Y$1)</f>
        <v>196</v>
      </c>
      <c r="Z387" s="34">
        <v>1</v>
      </c>
      <c r="AA387" s="25" t="str">
        <f t="shared" ca="1" si="33"/>
        <v>A VENCER</v>
      </c>
      <c r="AB387" s="25" t="str">
        <f t="shared" si="31"/>
        <v>C-14</v>
      </c>
      <c r="AC387" s="2" t="str">
        <f t="shared" ref="AC387:AC450" si="35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 xml:space="preserve"> CLEITON </v>
      </c>
      <c r="AD387" s="26">
        <f t="shared" si="32"/>
        <v>15</v>
      </c>
      <c r="AE387" s="26">
        <f t="shared" ca="1" si="34"/>
        <v>273.27340127314528</v>
      </c>
      <c r="AF387" s="35"/>
    </row>
    <row r="388" spans="1:32" hidden="1">
      <c r="A388" s="209">
        <v>8639017</v>
      </c>
      <c r="B388" s="209" t="s">
        <v>653</v>
      </c>
      <c r="C388" s="210" t="s">
        <v>752</v>
      </c>
      <c r="D388" s="214"/>
      <c r="E388" s="214">
        <v>4997001400030</v>
      </c>
      <c r="F388" s="209" t="s">
        <v>647</v>
      </c>
      <c r="G388" s="209" t="s">
        <v>53</v>
      </c>
      <c r="H388" s="209" t="s">
        <v>406</v>
      </c>
      <c r="I388" s="209" t="s">
        <v>407</v>
      </c>
      <c r="J388" s="209" t="s">
        <v>79</v>
      </c>
      <c r="K388" s="210" t="s">
        <v>650</v>
      </c>
      <c r="L388" s="210"/>
      <c r="M388" s="209" t="s">
        <v>58</v>
      </c>
      <c r="N388" s="209">
        <v>0</v>
      </c>
      <c r="O388" s="209" t="s">
        <v>36</v>
      </c>
      <c r="P388" s="213">
        <v>44713.402326388888</v>
      </c>
      <c r="Q388" s="209"/>
      <c r="R388" s="209">
        <v>4</v>
      </c>
      <c r="S388" s="209"/>
      <c r="T388" s="209" t="s">
        <v>646</v>
      </c>
      <c r="U388" s="213">
        <v>44714.402326388888</v>
      </c>
      <c r="V388" s="209" t="s">
        <v>41</v>
      </c>
      <c r="W388" s="209" t="s">
        <v>49</v>
      </c>
      <c r="X388" s="13" t="str">
        <f>IF(RIGHT(H388,2)&lt;&gt;"00",H388,"")</f>
        <v/>
      </c>
      <c r="Y388" s="26">
        <f ca="1">NETWORKDAYS(P388,$Y$1)</f>
        <v>196</v>
      </c>
      <c r="Z388" s="34">
        <v>1</v>
      </c>
      <c r="AA388" s="25" t="str">
        <f t="shared" ca="1" si="33"/>
        <v>A VENCER</v>
      </c>
      <c r="AB388" s="25" t="str">
        <f t="shared" si="31"/>
        <v>C-14</v>
      </c>
      <c r="AC388" s="2" t="str">
        <f t="shared" si="35"/>
        <v xml:space="preserve"> ROSEMERE </v>
      </c>
      <c r="AD388" s="26">
        <f t="shared" si="32"/>
        <v>15</v>
      </c>
      <c r="AE388" s="26">
        <f t="shared" ca="1" si="34"/>
        <v>273.27394525463023</v>
      </c>
      <c r="AF388" s="35"/>
    </row>
    <row r="389" spans="1:32" hidden="1">
      <c r="A389" s="209">
        <v>8638862</v>
      </c>
      <c r="B389" s="209" t="s">
        <v>653</v>
      </c>
      <c r="C389" s="210" t="s">
        <v>752</v>
      </c>
      <c r="D389" s="214"/>
      <c r="E389" s="214">
        <v>4637001400030</v>
      </c>
      <c r="F389" s="209" t="s">
        <v>647</v>
      </c>
      <c r="G389" s="209" t="s">
        <v>53</v>
      </c>
      <c r="H389" s="209" t="s">
        <v>848</v>
      </c>
      <c r="I389" s="209" t="s">
        <v>849</v>
      </c>
      <c r="J389" s="209" t="s">
        <v>79</v>
      </c>
      <c r="K389" s="210" t="s">
        <v>650</v>
      </c>
      <c r="L389" s="210"/>
      <c r="M389" s="209" t="s">
        <v>58</v>
      </c>
      <c r="N389" s="209">
        <v>0</v>
      </c>
      <c r="O389" s="209" t="s">
        <v>105</v>
      </c>
      <c r="P389" s="213">
        <v>44713.401967592596</v>
      </c>
      <c r="Q389" s="209"/>
      <c r="R389" s="209">
        <v>4</v>
      </c>
      <c r="S389" s="209"/>
      <c r="T389" s="209" t="s">
        <v>646</v>
      </c>
      <c r="U389" s="213">
        <v>44714.401967592596</v>
      </c>
      <c r="V389" s="209" t="s">
        <v>41</v>
      </c>
      <c r="W389" s="209" t="s">
        <v>49</v>
      </c>
      <c r="X389" s="13" t="str">
        <f>IF(RIGHT(H389,2)&lt;&gt;"00",H389,"")</f>
        <v/>
      </c>
      <c r="Y389" s="26">
        <f ca="1">NETWORKDAYS(P389,$Y$1)</f>
        <v>196</v>
      </c>
      <c r="Z389" s="34">
        <v>1</v>
      </c>
      <c r="AA389" s="25" t="str">
        <f t="shared" ca="1" si="33"/>
        <v>A VENCER</v>
      </c>
      <c r="AB389" s="25" t="str">
        <f t="shared" si="31"/>
        <v>C-14</v>
      </c>
      <c r="AC389" s="2" t="str">
        <f t="shared" si="35"/>
        <v xml:space="preserve"> ROSEMERE </v>
      </c>
      <c r="AD389" s="26">
        <f t="shared" si="32"/>
        <v>15</v>
      </c>
      <c r="AE389" s="26">
        <f t="shared" ca="1" si="34"/>
        <v>273.27430405092309</v>
      </c>
      <c r="AF389" s="35"/>
    </row>
    <row r="390" spans="1:32" hidden="1">
      <c r="A390" s="209">
        <v>8638849</v>
      </c>
      <c r="B390" s="209" t="s">
        <v>653</v>
      </c>
      <c r="C390" s="210" t="s">
        <v>752</v>
      </c>
      <c r="D390" s="214"/>
      <c r="E390" s="214">
        <v>4623001400030</v>
      </c>
      <c r="F390" s="209" t="s">
        <v>647</v>
      </c>
      <c r="G390" s="209" t="s">
        <v>53</v>
      </c>
      <c r="H390" s="209" t="s">
        <v>669</v>
      </c>
      <c r="I390" s="209" t="s">
        <v>670</v>
      </c>
      <c r="J390" s="209" t="s">
        <v>33</v>
      </c>
      <c r="K390" s="210" t="s">
        <v>650</v>
      </c>
      <c r="L390" s="210"/>
      <c r="M390" s="209" t="s">
        <v>58</v>
      </c>
      <c r="N390" s="209">
        <v>0</v>
      </c>
      <c r="O390" s="209" t="s">
        <v>105</v>
      </c>
      <c r="P390" s="213">
        <v>44713.401956018519</v>
      </c>
      <c r="Q390" s="209"/>
      <c r="R390" s="209">
        <v>4</v>
      </c>
      <c r="S390" s="209"/>
      <c r="T390" s="209" t="s">
        <v>646</v>
      </c>
      <c r="U390" s="213">
        <v>44714.401956018519</v>
      </c>
      <c r="V390" s="209" t="s">
        <v>41</v>
      </c>
      <c r="W390" s="209" t="s">
        <v>42</v>
      </c>
      <c r="X390" s="13" t="str">
        <f>IF(RIGHT(H390,2)&lt;&gt;"00",H390,"")</f>
        <v/>
      </c>
      <c r="Y390" s="26">
        <f ca="1">NETWORKDAYS(P390,$Y$1)</f>
        <v>196</v>
      </c>
      <c r="Z390" s="34">
        <v>1</v>
      </c>
      <c r="AA390" s="25" t="str">
        <f t="shared" ca="1" si="33"/>
        <v>A VENCER</v>
      </c>
      <c r="AB390" s="25" t="str">
        <f t="shared" si="31"/>
        <v>C-14</v>
      </c>
      <c r="AC390" s="2" t="str">
        <f t="shared" si="35"/>
        <v xml:space="preserve"> ROSEMERE </v>
      </c>
      <c r="AD390" s="26">
        <f t="shared" si="32"/>
        <v>15</v>
      </c>
      <c r="AE390" s="26">
        <f t="shared" ca="1" si="34"/>
        <v>273.27431562499987</v>
      </c>
      <c r="AF390" s="35"/>
    </row>
    <row r="391" spans="1:32" hidden="1">
      <c r="A391" s="209">
        <v>8638655</v>
      </c>
      <c r="B391" s="209" t="s">
        <v>653</v>
      </c>
      <c r="C391" s="210" t="s">
        <v>752</v>
      </c>
      <c r="D391" s="214"/>
      <c r="E391" s="214">
        <v>4357001400030</v>
      </c>
      <c r="F391" s="209" t="s">
        <v>647</v>
      </c>
      <c r="G391" s="209" t="s">
        <v>53</v>
      </c>
      <c r="H391" s="209" t="s">
        <v>633</v>
      </c>
      <c r="I391" s="209" t="s">
        <v>634</v>
      </c>
      <c r="J391" s="209" t="s">
        <v>46</v>
      </c>
      <c r="K391" s="210" t="s">
        <v>650</v>
      </c>
      <c r="L391" s="210"/>
      <c r="M391" s="209" t="s">
        <v>58</v>
      </c>
      <c r="N391" s="209">
        <v>0</v>
      </c>
      <c r="O391" s="209" t="s">
        <v>105</v>
      </c>
      <c r="P391" s="213">
        <v>44713.40111111111</v>
      </c>
      <c r="Q391" s="209"/>
      <c r="R391" s="209">
        <v>4</v>
      </c>
      <c r="S391" s="209"/>
      <c r="T391" s="209" t="s">
        <v>646</v>
      </c>
      <c r="U391" s="213">
        <v>44714.40111111111</v>
      </c>
      <c r="V391" s="209" t="s">
        <v>41</v>
      </c>
      <c r="W391" s="209" t="s">
        <v>49</v>
      </c>
      <c r="X391" s="13" t="str">
        <f>IF(RIGHT(H391,2)&lt;&gt;"00",H391,"")</f>
        <v/>
      </c>
      <c r="Y391" s="26">
        <f ca="1">NETWORKDAYS(P391,$Y$1)</f>
        <v>196</v>
      </c>
      <c r="Z391" s="34">
        <v>1</v>
      </c>
      <c r="AA391" s="25" t="str">
        <f t="shared" ca="1" si="33"/>
        <v>A VENCER</v>
      </c>
      <c r="AB391" s="25" t="str">
        <f t="shared" si="31"/>
        <v>C-14</v>
      </c>
      <c r="AC391" s="2" t="str">
        <f t="shared" si="35"/>
        <v xml:space="preserve"> CLEITON </v>
      </c>
      <c r="AD391" s="26">
        <f t="shared" si="32"/>
        <v>15</v>
      </c>
      <c r="AE391" s="26">
        <f t="shared" ca="1" si="34"/>
        <v>273.27516053240834</v>
      </c>
      <c r="AF391" s="35"/>
    </row>
    <row r="392" spans="1:32" hidden="1">
      <c r="A392" s="209">
        <v>8638579</v>
      </c>
      <c r="B392" s="209" t="s">
        <v>653</v>
      </c>
      <c r="C392" s="210" t="s">
        <v>752</v>
      </c>
      <c r="D392" s="214"/>
      <c r="E392" s="214">
        <v>4235001400030</v>
      </c>
      <c r="F392" s="209" t="s">
        <v>647</v>
      </c>
      <c r="G392" s="209" t="s">
        <v>53</v>
      </c>
      <c r="H392" s="209" t="s">
        <v>291</v>
      </c>
      <c r="I392" s="209" t="s">
        <v>292</v>
      </c>
      <c r="J392" s="209" t="s">
        <v>46</v>
      </c>
      <c r="K392" s="210" t="s">
        <v>650</v>
      </c>
      <c r="L392" s="210"/>
      <c r="M392" s="209" t="s">
        <v>58</v>
      </c>
      <c r="N392" s="209">
        <v>0</v>
      </c>
      <c r="O392" s="209" t="s">
        <v>105</v>
      </c>
      <c r="P392" s="213">
        <v>44713.400752314818</v>
      </c>
      <c r="Q392" s="209"/>
      <c r="R392" s="209">
        <v>4</v>
      </c>
      <c r="S392" s="209"/>
      <c r="T392" s="209" t="s">
        <v>646</v>
      </c>
      <c r="U392" s="213">
        <v>44714.400752314818</v>
      </c>
      <c r="V392" s="209" t="s">
        <v>41</v>
      </c>
      <c r="W392" s="209" t="s">
        <v>49</v>
      </c>
      <c r="X392" s="13" t="str">
        <f>IF(RIGHT(H392,2)&lt;&gt;"00",H392,"")</f>
        <v/>
      </c>
      <c r="Y392" s="26">
        <f ca="1">NETWORKDAYS(P392,$Y$1)</f>
        <v>196</v>
      </c>
      <c r="Z392" s="34">
        <v>1</v>
      </c>
      <c r="AA392" s="25" t="str">
        <f t="shared" ca="1" si="33"/>
        <v>A VENCER</v>
      </c>
      <c r="AB392" s="25" t="str">
        <f t="shared" si="31"/>
        <v>C-14</v>
      </c>
      <c r="AC392" s="2" t="str">
        <f t="shared" si="35"/>
        <v xml:space="preserve"> CLEITON </v>
      </c>
      <c r="AD392" s="26">
        <f t="shared" si="32"/>
        <v>15</v>
      </c>
      <c r="AE392" s="26">
        <f t="shared" ca="1" si="34"/>
        <v>273.27551932870119</v>
      </c>
      <c r="AF392" s="35"/>
    </row>
    <row r="393" spans="1:32" hidden="1">
      <c r="A393" s="209">
        <v>8638488</v>
      </c>
      <c r="B393" s="209" t="s">
        <v>653</v>
      </c>
      <c r="C393" s="210" t="s">
        <v>752</v>
      </c>
      <c r="D393" s="214"/>
      <c r="E393" s="214">
        <v>4118001400030</v>
      </c>
      <c r="F393" s="209" t="s">
        <v>647</v>
      </c>
      <c r="G393" s="209" t="s">
        <v>53</v>
      </c>
      <c r="H393" s="209" t="s">
        <v>71</v>
      </c>
      <c r="I393" s="209" t="s">
        <v>72</v>
      </c>
      <c r="J393" s="209" t="s">
        <v>46</v>
      </c>
      <c r="K393" s="210" t="s">
        <v>650</v>
      </c>
      <c r="L393" s="210"/>
      <c r="M393" s="209" t="s">
        <v>58</v>
      </c>
      <c r="N393" s="209">
        <v>0</v>
      </c>
      <c r="O393" s="209" t="s">
        <v>105</v>
      </c>
      <c r="P393" s="213">
        <v>44713.40047453704</v>
      </c>
      <c r="Q393" s="209"/>
      <c r="R393" s="209">
        <v>4</v>
      </c>
      <c r="S393" s="209"/>
      <c r="T393" s="209" t="s">
        <v>646</v>
      </c>
      <c r="U393" s="213">
        <v>44714.40047453704</v>
      </c>
      <c r="V393" s="209" t="s">
        <v>41</v>
      </c>
      <c r="W393" s="209" t="s">
        <v>49</v>
      </c>
      <c r="X393" s="13" t="str">
        <f>IF(RIGHT(H393,2)&lt;&gt;"00",H393,"")</f>
        <v/>
      </c>
      <c r="Y393" s="26">
        <f ca="1">NETWORKDAYS(P393,$Y$1)</f>
        <v>196</v>
      </c>
      <c r="Z393" s="34">
        <v>1</v>
      </c>
      <c r="AA393" s="25" t="str">
        <f t="shared" ca="1" si="33"/>
        <v>A VENCER</v>
      </c>
      <c r="AB393" s="25" t="str">
        <f t="shared" si="31"/>
        <v>C-14</v>
      </c>
      <c r="AC393" s="2" t="str">
        <f t="shared" si="35"/>
        <v xml:space="preserve"> CLEITON </v>
      </c>
      <c r="AD393" s="26">
        <f t="shared" si="32"/>
        <v>15</v>
      </c>
      <c r="AE393" s="26">
        <f t="shared" ca="1" si="34"/>
        <v>273.27579710647842</v>
      </c>
      <c r="AF393" s="35"/>
    </row>
    <row r="394" spans="1:32" hidden="1">
      <c r="A394" s="209">
        <v>8638189</v>
      </c>
      <c r="B394" s="209" t="s">
        <v>653</v>
      </c>
      <c r="C394" s="210" t="s">
        <v>752</v>
      </c>
      <c r="D394" s="214"/>
      <c r="E394" s="214">
        <v>3699001400030</v>
      </c>
      <c r="F394" s="209" t="s">
        <v>647</v>
      </c>
      <c r="G394" s="209" t="s">
        <v>53</v>
      </c>
      <c r="H394" s="209" t="s">
        <v>343</v>
      </c>
      <c r="I394" s="209" t="s">
        <v>344</v>
      </c>
      <c r="J394" s="209" t="s">
        <v>46</v>
      </c>
      <c r="K394" s="210" t="s">
        <v>650</v>
      </c>
      <c r="L394" s="210"/>
      <c r="M394" s="209" t="s">
        <v>58</v>
      </c>
      <c r="N394" s="209">
        <v>0</v>
      </c>
      <c r="O394" s="209" t="s">
        <v>105</v>
      </c>
      <c r="P394" s="213">
        <v>44713.399594907409</v>
      </c>
      <c r="Q394" s="209"/>
      <c r="R394" s="209">
        <v>4</v>
      </c>
      <c r="S394" s="209"/>
      <c r="T394" s="209" t="s">
        <v>646</v>
      </c>
      <c r="U394" s="213">
        <v>44714.399594907409</v>
      </c>
      <c r="V394" s="209" t="s">
        <v>41</v>
      </c>
      <c r="W394" s="209" t="s">
        <v>49</v>
      </c>
      <c r="X394" s="13" t="str">
        <f>IF(RIGHT(H394,2)&lt;&gt;"00",H394,"")</f>
        <v/>
      </c>
      <c r="Y394" s="26">
        <f ca="1">NETWORKDAYS(P394,$Y$1)</f>
        <v>196</v>
      </c>
      <c r="Z394" s="34">
        <v>1</v>
      </c>
      <c r="AA394" s="25" t="str">
        <f t="shared" ca="1" si="33"/>
        <v>A VENCER</v>
      </c>
      <c r="AB394" s="25" t="str">
        <f t="shared" si="31"/>
        <v>C-14</v>
      </c>
      <c r="AC394" s="2" t="str">
        <f t="shared" si="35"/>
        <v xml:space="preserve"> CLEITON </v>
      </c>
      <c r="AD394" s="26">
        <f t="shared" si="32"/>
        <v>15</v>
      </c>
      <c r="AE394" s="26">
        <f t="shared" ca="1" si="34"/>
        <v>273.27667673610995</v>
      </c>
      <c r="AF394" s="35"/>
    </row>
    <row r="395" spans="1:32" hidden="1">
      <c r="A395" s="209">
        <v>8638122</v>
      </c>
      <c r="B395" s="209" t="s">
        <v>653</v>
      </c>
      <c r="C395" s="210" t="s">
        <v>752</v>
      </c>
      <c r="D395" s="214"/>
      <c r="E395" s="214">
        <v>3613001400030</v>
      </c>
      <c r="F395" s="209" t="s">
        <v>647</v>
      </c>
      <c r="G395" s="209" t="s">
        <v>53</v>
      </c>
      <c r="H395" s="209" t="s">
        <v>679</v>
      </c>
      <c r="I395" s="209" t="s">
        <v>680</v>
      </c>
      <c r="J395" s="209" t="s">
        <v>46</v>
      </c>
      <c r="K395" s="210" t="s">
        <v>650</v>
      </c>
      <c r="L395" s="210"/>
      <c r="M395" s="209" t="s">
        <v>58</v>
      </c>
      <c r="N395" s="209">
        <v>0</v>
      </c>
      <c r="O395" s="209" t="s">
        <v>105</v>
      </c>
      <c r="P395" s="213">
        <v>44713.39949074074</v>
      </c>
      <c r="Q395" s="209"/>
      <c r="R395" s="209">
        <v>4</v>
      </c>
      <c r="S395" s="209"/>
      <c r="T395" s="209" t="s">
        <v>646</v>
      </c>
      <c r="U395" s="213">
        <v>44714.39949074074</v>
      </c>
      <c r="V395" s="209" t="s">
        <v>41</v>
      </c>
      <c r="W395" s="209" t="s">
        <v>49</v>
      </c>
      <c r="X395" s="13" t="str">
        <f>IF(RIGHT(H395,2)&lt;&gt;"00",H395,"")</f>
        <v/>
      </c>
      <c r="Y395" s="26">
        <f ca="1">NETWORKDAYS(P395,$Y$1)</f>
        <v>196</v>
      </c>
      <c r="Z395" s="34">
        <v>1</v>
      </c>
      <c r="AA395" s="25" t="str">
        <f t="shared" ca="1" si="33"/>
        <v>A VENCER</v>
      </c>
      <c r="AB395" s="25" t="str">
        <f t="shared" si="31"/>
        <v>C-14</v>
      </c>
      <c r="AC395" s="2" t="str">
        <f t="shared" si="35"/>
        <v xml:space="preserve"> CLEITON </v>
      </c>
      <c r="AD395" s="26">
        <f t="shared" si="32"/>
        <v>15</v>
      </c>
      <c r="AE395" s="26">
        <f t="shared" ca="1" si="34"/>
        <v>273.27678090277914</v>
      </c>
      <c r="AF395" s="35"/>
    </row>
    <row r="396" spans="1:32" hidden="1">
      <c r="A396" s="209">
        <v>8638121</v>
      </c>
      <c r="B396" s="209" t="s">
        <v>653</v>
      </c>
      <c r="C396" s="210" t="s">
        <v>752</v>
      </c>
      <c r="D396" s="214"/>
      <c r="E396" s="214">
        <v>3612001400030</v>
      </c>
      <c r="F396" s="209" t="s">
        <v>647</v>
      </c>
      <c r="G396" s="209" t="s">
        <v>53</v>
      </c>
      <c r="H396" s="209" t="s">
        <v>683</v>
      </c>
      <c r="I396" s="209" t="s">
        <v>684</v>
      </c>
      <c r="J396" s="209" t="s">
        <v>46</v>
      </c>
      <c r="K396" s="210" t="s">
        <v>650</v>
      </c>
      <c r="L396" s="210"/>
      <c r="M396" s="209" t="s">
        <v>58</v>
      </c>
      <c r="N396" s="209">
        <v>0</v>
      </c>
      <c r="O396" s="209" t="s">
        <v>105</v>
      </c>
      <c r="P396" s="213">
        <v>44713.39949074074</v>
      </c>
      <c r="Q396" s="209"/>
      <c r="R396" s="209">
        <v>4</v>
      </c>
      <c r="S396" s="209"/>
      <c r="T396" s="209" t="s">
        <v>646</v>
      </c>
      <c r="U396" s="213">
        <v>44714.39949074074</v>
      </c>
      <c r="V396" s="209" t="s">
        <v>41</v>
      </c>
      <c r="W396" s="209" t="s">
        <v>49</v>
      </c>
      <c r="X396" s="13" t="str">
        <f>IF(RIGHT(H396,2)&lt;&gt;"00",H396,"")</f>
        <v/>
      </c>
      <c r="Y396" s="26">
        <f ca="1">NETWORKDAYS(P396,$Y$1)</f>
        <v>196</v>
      </c>
      <c r="Z396" s="34">
        <v>1</v>
      </c>
      <c r="AA396" s="25" t="str">
        <f t="shared" ca="1" si="33"/>
        <v>A VENCER</v>
      </c>
      <c r="AB396" s="25" t="str">
        <f t="shared" si="31"/>
        <v>C-14</v>
      </c>
      <c r="AC396" s="2" t="str">
        <f t="shared" si="35"/>
        <v xml:space="preserve"> CLEITON </v>
      </c>
      <c r="AD396" s="26">
        <f t="shared" si="32"/>
        <v>15</v>
      </c>
      <c r="AE396" s="26">
        <f t="shared" ca="1" si="34"/>
        <v>273.27678090277914</v>
      </c>
      <c r="AF396" s="35"/>
    </row>
    <row r="397" spans="1:32" hidden="1">
      <c r="A397" s="209">
        <v>8638058</v>
      </c>
      <c r="B397" s="209" t="s">
        <v>653</v>
      </c>
      <c r="C397" s="210" t="s">
        <v>752</v>
      </c>
      <c r="D397" s="214"/>
      <c r="E397" s="214">
        <v>3504001400030</v>
      </c>
      <c r="F397" s="209" t="s">
        <v>647</v>
      </c>
      <c r="G397" s="209" t="s">
        <v>53</v>
      </c>
      <c r="H397" s="209" t="s">
        <v>585</v>
      </c>
      <c r="I397" s="209" t="s">
        <v>586</v>
      </c>
      <c r="J397" s="209" t="s">
        <v>46</v>
      </c>
      <c r="K397" s="210" t="s">
        <v>650</v>
      </c>
      <c r="L397" s="210"/>
      <c r="M397" s="209" t="s">
        <v>58</v>
      </c>
      <c r="N397" s="209">
        <v>0</v>
      </c>
      <c r="O397" s="209" t="s">
        <v>105</v>
      </c>
      <c r="P397" s="213">
        <v>44713.399282407408</v>
      </c>
      <c r="Q397" s="209"/>
      <c r="R397" s="209">
        <v>4</v>
      </c>
      <c r="S397" s="209"/>
      <c r="T397" s="209" t="s">
        <v>646</v>
      </c>
      <c r="U397" s="213">
        <v>44714.399282407408</v>
      </c>
      <c r="V397" s="209" t="s">
        <v>41</v>
      </c>
      <c r="W397" s="209" t="s">
        <v>49</v>
      </c>
      <c r="X397" s="13" t="str">
        <f>IF(RIGHT(H397,2)&lt;&gt;"00",H397,"")</f>
        <v/>
      </c>
      <c r="Y397" s="26">
        <f ca="1">NETWORKDAYS(P397,$Y$1)</f>
        <v>196</v>
      </c>
      <c r="Z397" s="34">
        <v>1</v>
      </c>
      <c r="AA397" s="25" t="str">
        <f t="shared" ca="1" si="33"/>
        <v>A VENCER</v>
      </c>
      <c r="AB397" s="25" t="str">
        <f t="shared" si="31"/>
        <v>C-14</v>
      </c>
      <c r="AC397" s="2" t="str">
        <f t="shared" si="35"/>
        <v xml:space="preserve"> CLEITON </v>
      </c>
      <c r="AD397" s="26">
        <f t="shared" si="32"/>
        <v>15</v>
      </c>
      <c r="AE397" s="26">
        <f t="shared" ca="1" si="34"/>
        <v>273.27698923611024</v>
      </c>
      <c r="AF397" s="35"/>
    </row>
    <row r="398" spans="1:32" hidden="1">
      <c r="A398" s="209">
        <v>8638057</v>
      </c>
      <c r="B398" s="209" t="s">
        <v>653</v>
      </c>
      <c r="C398" s="210" t="s">
        <v>752</v>
      </c>
      <c r="D398" s="214"/>
      <c r="E398" s="214">
        <v>3503001400030</v>
      </c>
      <c r="F398" s="209" t="s">
        <v>647</v>
      </c>
      <c r="G398" s="209" t="s">
        <v>53</v>
      </c>
      <c r="H398" s="209" t="s">
        <v>398</v>
      </c>
      <c r="I398" s="209" t="s">
        <v>399</v>
      </c>
      <c r="J398" s="209" t="s">
        <v>46</v>
      </c>
      <c r="K398" s="210" t="s">
        <v>650</v>
      </c>
      <c r="L398" s="210"/>
      <c r="M398" s="209" t="s">
        <v>58</v>
      </c>
      <c r="N398" s="209">
        <v>0</v>
      </c>
      <c r="O398" s="209" t="s">
        <v>105</v>
      </c>
      <c r="P398" s="213">
        <v>44713.399282407408</v>
      </c>
      <c r="Q398" s="209"/>
      <c r="R398" s="209">
        <v>4</v>
      </c>
      <c r="S398" s="209"/>
      <c r="T398" s="209" t="s">
        <v>646</v>
      </c>
      <c r="U398" s="213">
        <v>44714.399282407408</v>
      </c>
      <c r="V398" s="209" t="s">
        <v>41</v>
      </c>
      <c r="W398" s="209" t="s">
        <v>49</v>
      </c>
      <c r="X398" s="13" t="str">
        <f>IF(RIGHT(H398,2)&lt;&gt;"00",H398,"")</f>
        <v/>
      </c>
      <c r="Y398" s="26">
        <f ca="1">NETWORKDAYS(P398,$Y$1)</f>
        <v>196</v>
      </c>
      <c r="Z398" s="34">
        <v>1</v>
      </c>
      <c r="AA398" s="25" t="str">
        <f t="shared" ca="1" si="33"/>
        <v>A VENCER</v>
      </c>
      <c r="AB398" s="25" t="str">
        <f t="shared" si="31"/>
        <v>C-14</v>
      </c>
      <c r="AC398" s="2" t="str">
        <f t="shared" si="35"/>
        <v xml:space="preserve"> CLEITON </v>
      </c>
      <c r="AD398" s="26">
        <f t="shared" si="32"/>
        <v>15</v>
      </c>
      <c r="AE398" s="26">
        <f t="shared" ca="1" si="34"/>
        <v>273.27698923611024</v>
      </c>
      <c r="AF398" s="35"/>
    </row>
    <row r="399" spans="1:32" hidden="1">
      <c r="A399" s="209">
        <v>8637889</v>
      </c>
      <c r="B399" s="209" t="s">
        <v>653</v>
      </c>
      <c r="C399" s="210" t="s">
        <v>752</v>
      </c>
      <c r="D399" s="214"/>
      <c r="E399" s="214">
        <v>3258001400030</v>
      </c>
      <c r="F399" s="209" t="s">
        <v>647</v>
      </c>
      <c r="G399" s="209" t="s">
        <v>53</v>
      </c>
      <c r="H399" s="209" t="s">
        <v>321</v>
      </c>
      <c r="I399" s="209" t="s">
        <v>322</v>
      </c>
      <c r="J399" s="209" t="s">
        <v>46</v>
      </c>
      <c r="K399" s="210" t="s">
        <v>650</v>
      </c>
      <c r="L399" s="210"/>
      <c r="M399" s="209" t="s">
        <v>58</v>
      </c>
      <c r="N399" s="209">
        <v>0</v>
      </c>
      <c r="O399" s="209" t="s">
        <v>105</v>
      </c>
      <c r="P399" s="213">
        <v>44713.398854166669</v>
      </c>
      <c r="Q399" s="209"/>
      <c r="R399" s="209">
        <v>4</v>
      </c>
      <c r="S399" s="209"/>
      <c r="T399" s="209" t="s">
        <v>646</v>
      </c>
      <c r="U399" s="213">
        <v>44714.398854166669</v>
      </c>
      <c r="V399" s="209" t="s">
        <v>41</v>
      </c>
      <c r="W399" s="209" t="s">
        <v>49</v>
      </c>
      <c r="X399" s="13" t="str">
        <f>IF(RIGHT(H399,2)&lt;&gt;"00",H399,"")</f>
        <v/>
      </c>
      <c r="Y399" s="26">
        <f ca="1">NETWORKDAYS(P399,$Y$1)</f>
        <v>196</v>
      </c>
      <c r="Z399" s="34">
        <v>1</v>
      </c>
      <c r="AA399" s="25" t="str">
        <f t="shared" ca="1" si="33"/>
        <v>A VENCER</v>
      </c>
      <c r="AB399" s="25" t="str">
        <f t="shared" si="31"/>
        <v>C-14</v>
      </c>
      <c r="AC399" s="2" t="str">
        <f t="shared" si="35"/>
        <v xml:space="preserve"> CLEITON </v>
      </c>
      <c r="AD399" s="26">
        <f t="shared" si="32"/>
        <v>15</v>
      </c>
      <c r="AE399" s="26">
        <f t="shared" ca="1" si="34"/>
        <v>273.27741747684922</v>
      </c>
      <c r="AF399" s="35"/>
    </row>
    <row r="400" spans="1:32" hidden="1">
      <c r="A400" s="209">
        <v>8637878</v>
      </c>
      <c r="B400" s="209" t="s">
        <v>653</v>
      </c>
      <c r="C400" s="210" t="s">
        <v>752</v>
      </c>
      <c r="D400" s="214"/>
      <c r="E400" s="214">
        <v>3243001400030</v>
      </c>
      <c r="F400" s="209" t="s">
        <v>647</v>
      </c>
      <c r="G400" s="209" t="s">
        <v>53</v>
      </c>
      <c r="H400" s="209" t="s">
        <v>282</v>
      </c>
      <c r="I400" s="209" t="s">
        <v>283</v>
      </c>
      <c r="J400" s="209" t="s">
        <v>46</v>
      </c>
      <c r="K400" s="210" t="s">
        <v>650</v>
      </c>
      <c r="L400" s="210"/>
      <c r="M400" s="209" t="s">
        <v>58</v>
      </c>
      <c r="N400" s="209">
        <v>0</v>
      </c>
      <c r="O400" s="209" t="s">
        <v>105</v>
      </c>
      <c r="P400" s="213">
        <v>44713.398842592593</v>
      </c>
      <c r="Q400" s="209"/>
      <c r="R400" s="209">
        <v>4</v>
      </c>
      <c r="S400" s="209"/>
      <c r="T400" s="209" t="s">
        <v>646</v>
      </c>
      <c r="U400" s="213">
        <v>44714.398842592593</v>
      </c>
      <c r="V400" s="209" t="s">
        <v>41</v>
      </c>
      <c r="W400" s="209" t="s">
        <v>49</v>
      </c>
      <c r="X400" s="13" t="str">
        <f>IF(RIGHT(H400,2)&lt;&gt;"00",H400,"")</f>
        <v/>
      </c>
      <c r="Y400" s="26">
        <f ca="1">NETWORKDAYS(P400,$Y$1)</f>
        <v>196</v>
      </c>
      <c r="Z400" s="34">
        <v>1</v>
      </c>
      <c r="AA400" s="25" t="str">
        <f t="shared" ca="1" si="33"/>
        <v>A VENCER</v>
      </c>
      <c r="AB400" s="25" t="str">
        <f t="shared" si="31"/>
        <v>C-14</v>
      </c>
      <c r="AC400" s="2" t="str">
        <f t="shared" si="35"/>
        <v xml:space="preserve"> CLEITON </v>
      </c>
      <c r="AD400" s="26">
        <f t="shared" si="32"/>
        <v>15</v>
      </c>
      <c r="AE400" s="26">
        <f t="shared" ca="1" si="34"/>
        <v>273.277429050926</v>
      </c>
      <c r="AF400" s="35"/>
    </row>
    <row r="401" spans="1:32" hidden="1">
      <c r="A401" s="209">
        <v>8637875</v>
      </c>
      <c r="B401" s="209" t="s">
        <v>653</v>
      </c>
      <c r="C401" s="210" t="s">
        <v>752</v>
      </c>
      <c r="D401" s="214"/>
      <c r="E401" s="214">
        <v>3237001400030</v>
      </c>
      <c r="F401" s="209" t="s">
        <v>647</v>
      </c>
      <c r="G401" s="209" t="s">
        <v>53</v>
      </c>
      <c r="H401" s="209" t="s">
        <v>287</v>
      </c>
      <c r="I401" s="209" t="s">
        <v>288</v>
      </c>
      <c r="J401" s="209" t="s">
        <v>46</v>
      </c>
      <c r="K401" s="210" t="s">
        <v>650</v>
      </c>
      <c r="L401" s="210"/>
      <c r="M401" s="209" t="s">
        <v>58</v>
      </c>
      <c r="N401" s="209">
        <v>0</v>
      </c>
      <c r="O401" s="209" t="s">
        <v>105</v>
      </c>
      <c r="P401" s="213">
        <v>44713.398831018516</v>
      </c>
      <c r="Q401" s="209"/>
      <c r="R401" s="209">
        <v>4</v>
      </c>
      <c r="S401" s="209"/>
      <c r="T401" s="209" t="s">
        <v>646</v>
      </c>
      <c r="U401" s="213">
        <v>44714.398831018516</v>
      </c>
      <c r="V401" s="209" t="s">
        <v>41</v>
      </c>
      <c r="W401" s="209" t="s">
        <v>49</v>
      </c>
      <c r="X401" s="13" t="str">
        <f>IF(RIGHT(H401,2)&lt;&gt;"00",H401,"")</f>
        <v/>
      </c>
      <c r="Y401" s="26">
        <f ca="1">NETWORKDAYS(P401,$Y$1)</f>
        <v>196</v>
      </c>
      <c r="Z401" s="34">
        <v>1</v>
      </c>
      <c r="AA401" s="25" t="str">
        <f t="shared" ca="1" si="33"/>
        <v>A VENCER</v>
      </c>
      <c r="AB401" s="25" t="str">
        <f t="shared" si="31"/>
        <v>C-14</v>
      </c>
      <c r="AC401" s="2" t="str">
        <f t="shared" si="35"/>
        <v xml:space="preserve"> CLEITON </v>
      </c>
      <c r="AD401" s="26">
        <f t="shared" si="32"/>
        <v>15</v>
      </c>
      <c r="AE401" s="26">
        <f t="shared" ca="1" si="34"/>
        <v>273.27744062500278</v>
      </c>
      <c r="AF401" s="35"/>
    </row>
    <row r="402" spans="1:32" hidden="1">
      <c r="A402" s="209">
        <v>8637700</v>
      </c>
      <c r="B402" s="209" t="s">
        <v>653</v>
      </c>
      <c r="C402" s="210" t="s">
        <v>752</v>
      </c>
      <c r="D402" s="214"/>
      <c r="E402" s="214">
        <v>2988001400030</v>
      </c>
      <c r="F402" s="209" t="s">
        <v>647</v>
      </c>
      <c r="G402" s="209" t="s">
        <v>53</v>
      </c>
      <c r="H402" s="209" t="s">
        <v>536</v>
      </c>
      <c r="I402" s="209" t="s">
        <v>537</v>
      </c>
      <c r="J402" s="209" t="s">
        <v>46</v>
      </c>
      <c r="K402" s="210" t="s">
        <v>650</v>
      </c>
      <c r="L402" s="210"/>
      <c r="M402" s="209" t="s">
        <v>58</v>
      </c>
      <c r="N402" s="209">
        <v>0</v>
      </c>
      <c r="O402" s="209" t="s">
        <v>105</v>
      </c>
      <c r="P402" s="213">
        <v>44713.398344907408</v>
      </c>
      <c r="Q402" s="209"/>
      <c r="R402" s="209">
        <v>4</v>
      </c>
      <c r="S402" s="209"/>
      <c r="T402" s="209" t="s">
        <v>646</v>
      </c>
      <c r="U402" s="213">
        <v>44714.398356481484</v>
      </c>
      <c r="V402" s="209" t="s">
        <v>41</v>
      </c>
      <c r="W402" s="209" t="s">
        <v>49</v>
      </c>
      <c r="X402" s="13" t="str">
        <f>IF(RIGHT(H402,2)&lt;&gt;"00",H402,"")</f>
        <v/>
      </c>
      <c r="Y402" s="26">
        <f ca="1">NETWORKDAYS(P402,$Y$1)</f>
        <v>196</v>
      </c>
      <c r="Z402" s="34">
        <v>1</v>
      </c>
      <c r="AA402" s="25" t="str">
        <f t="shared" ca="1" si="33"/>
        <v>A VENCER</v>
      </c>
      <c r="AB402" s="25" t="str">
        <f t="shared" si="31"/>
        <v>C-14</v>
      </c>
      <c r="AC402" s="2" t="str">
        <f t="shared" si="35"/>
        <v xml:space="preserve"> CLEITON </v>
      </c>
      <c r="AD402" s="26">
        <f t="shared" si="32"/>
        <v>15</v>
      </c>
      <c r="AE402" s="26">
        <f t="shared" ca="1" si="34"/>
        <v>273.27792673611111</v>
      </c>
      <c r="AF402" s="35"/>
    </row>
    <row r="403" spans="1:32" hidden="1">
      <c r="A403" s="209">
        <v>8637582</v>
      </c>
      <c r="B403" s="209" t="s">
        <v>653</v>
      </c>
      <c r="C403" s="210" t="s">
        <v>752</v>
      </c>
      <c r="D403" s="214"/>
      <c r="E403" s="214">
        <v>2830001400030</v>
      </c>
      <c r="F403" s="209" t="s">
        <v>647</v>
      </c>
      <c r="G403" s="209" t="s">
        <v>53</v>
      </c>
      <c r="H403" s="209" t="s">
        <v>448</v>
      </c>
      <c r="I403" s="209" t="s">
        <v>449</v>
      </c>
      <c r="J403" s="209" t="s">
        <v>33</v>
      </c>
      <c r="K403" s="210" t="s">
        <v>650</v>
      </c>
      <c r="L403" s="210"/>
      <c r="M403" s="209" t="s">
        <v>58</v>
      </c>
      <c r="N403" s="209">
        <v>0</v>
      </c>
      <c r="O403" s="209" t="s">
        <v>105</v>
      </c>
      <c r="P403" s="213">
        <v>44713.397939814815</v>
      </c>
      <c r="Q403" s="209"/>
      <c r="R403" s="209">
        <v>4</v>
      </c>
      <c r="S403" s="209"/>
      <c r="T403" s="209" t="s">
        <v>646</v>
      </c>
      <c r="U403" s="213">
        <v>44714.397939814815</v>
      </c>
      <c r="V403" s="209" t="s">
        <v>41</v>
      </c>
      <c r="W403" s="209" t="s">
        <v>42</v>
      </c>
      <c r="X403" s="13" t="str">
        <f>IF(RIGHT(H403,2)&lt;&gt;"00",H403,"")</f>
        <v/>
      </c>
      <c r="Y403" s="26">
        <f ca="1">NETWORKDAYS(P403,$Y$1)</f>
        <v>196</v>
      </c>
      <c r="Z403" s="34">
        <v>1</v>
      </c>
      <c r="AA403" s="25" t="str">
        <f t="shared" ca="1" si="33"/>
        <v>A VENCER</v>
      </c>
      <c r="AB403" s="25" t="str">
        <f t="shared" si="31"/>
        <v>C-14</v>
      </c>
      <c r="AC403" s="2" t="str">
        <f t="shared" si="35"/>
        <v xml:space="preserve"> ROSEMERE </v>
      </c>
      <c r="AD403" s="26">
        <f t="shared" si="32"/>
        <v>15</v>
      </c>
      <c r="AE403" s="26">
        <f t="shared" ca="1" si="34"/>
        <v>273.27833182870381</v>
      </c>
      <c r="AF403" s="35"/>
    </row>
    <row r="404" spans="1:32" hidden="1">
      <c r="A404" s="209">
        <v>8637567</v>
      </c>
      <c r="B404" s="209" t="s">
        <v>653</v>
      </c>
      <c r="C404" s="210" t="s">
        <v>752</v>
      </c>
      <c r="D404" s="214"/>
      <c r="E404" s="214">
        <v>2811001400030</v>
      </c>
      <c r="F404" s="209" t="s">
        <v>647</v>
      </c>
      <c r="G404" s="209" t="s">
        <v>53</v>
      </c>
      <c r="H404" s="209" t="s">
        <v>44</v>
      </c>
      <c r="I404" s="209" t="s">
        <v>45</v>
      </c>
      <c r="J404" s="209" t="s">
        <v>46</v>
      </c>
      <c r="K404" s="210" t="s">
        <v>650</v>
      </c>
      <c r="L404" s="210"/>
      <c r="M404" s="209" t="s">
        <v>58</v>
      </c>
      <c r="N404" s="209">
        <v>0</v>
      </c>
      <c r="O404" s="209" t="s">
        <v>105</v>
      </c>
      <c r="P404" s="213">
        <v>44713.397928240738</v>
      </c>
      <c r="Q404" s="209"/>
      <c r="R404" s="209">
        <v>4</v>
      </c>
      <c r="S404" s="209"/>
      <c r="T404" s="209" t="s">
        <v>646</v>
      </c>
      <c r="U404" s="213">
        <v>44714.397928240738</v>
      </c>
      <c r="V404" s="209" t="s">
        <v>41</v>
      </c>
      <c r="W404" s="209" t="s">
        <v>49</v>
      </c>
      <c r="X404" s="13" t="str">
        <f>IF(RIGHT(H404,2)&lt;&gt;"00",H404,"")</f>
        <v/>
      </c>
      <c r="Y404" s="26">
        <f ca="1">NETWORKDAYS(P404,$Y$1)</f>
        <v>196</v>
      </c>
      <c r="Z404" s="34">
        <v>1</v>
      </c>
      <c r="AA404" s="25" t="str">
        <f t="shared" ca="1" si="33"/>
        <v>A VENCER</v>
      </c>
      <c r="AB404" s="25" t="str">
        <f t="shared" si="31"/>
        <v>C-14</v>
      </c>
      <c r="AC404" s="2" t="str">
        <f t="shared" si="35"/>
        <v xml:space="preserve"> CLEITON </v>
      </c>
      <c r="AD404" s="26">
        <f t="shared" si="32"/>
        <v>15</v>
      </c>
      <c r="AE404" s="26">
        <f t="shared" ca="1" si="34"/>
        <v>273.27834340278059</v>
      </c>
      <c r="AF404" s="35"/>
    </row>
    <row r="405" spans="1:32" hidden="1">
      <c r="A405" s="209">
        <v>8637560</v>
      </c>
      <c r="B405" s="209" t="s">
        <v>653</v>
      </c>
      <c r="C405" s="210" t="s">
        <v>752</v>
      </c>
      <c r="D405" s="214"/>
      <c r="E405" s="214">
        <v>2802001400030</v>
      </c>
      <c r="F405" s="209" t="s">
        <v>647</v>
      </c>
      <c r="G405" s="209" t="s">
        <v>53</v>
      </c>
      <c r="H405" s="209" t="s">
        <v>388</v>
      </c>
      <c r="I405" s="209" t="s">
        <v>389</v>
      </c>
      <c r="J405" s="209" t="s">
        <v>46</v>
      </c>
      <c r="K405" s="210" t="s">
        <v>650</v>
      </c>
      <c r="L405" s="210"/>
      <c r="M405" s="209" t="s">
        <v>58</v>
      </c>
      <c r="N405" s="209">
        <v>0</v>
      </c>
      <c r="O405" s="209" t="s">
        <v>105</v>
      </c>
      <c r="P405" s="213">
        <v>44713.397916666669</v>
      </c>
      <c r="Q405" s="209"/>
      <c r="R405" s="209">
        <v>4</v>
      </c>
      <c r="S405" s="209"/>
      <c r="T405" s="209" t="s">
        <v>646</v>
      </c>
      <c r="U405" s="213">
        <v>44714.397916666669</v>
      </c>
      <c r="V405" s="209" t="s">
        <v>41</v>
      </c>
      <c r="W405" s="209" t="s">
        <v>49</v>
      </c>
      <c r="X405" s="13" t="str">
        <f>IF(RIGHT(H405,2)&lt;&gt;"00",H405,"")</f>
        <v/>
      </c>
      <c r="Y405" s="26">
        <f ca="1">NETWORKDAYS(P405,$Y$1)</f>
        <v>196</v>
      </c>
      <c r="Z405" s="34">
        <v>1</v>
      </c>
      <c r="AA405" s="25" t="str">
        <f t="shared" ca="1" si="33"/>
        <v>A VENCER</v>
      </c>
      <c r="AB405" s="25" t="str">
        <f t="shared" si="31"/>
        <v>C-14</v>
      </c>
      <c r="AC405" s="2" t="str">
        <f t="shared" si="35"/>
        <v xml:space="preserve"> CLEITON </v>
      </c>
      <c r="AD405" s="26">
        <f t="shared" si="32"/>
        <v>15</v>
      </c>
      <c r="AE405" s="26">
        <f t="shared" ca="1" si="34"/>
        <v>273.2783549768501</v>
      </c>
      <c r="AF405" s="35"/>
    </row>
    <row r="406" spans="1:32" hidden="1">
      <c r="A406" s="209">
        <v>8637412</v>
      </c>
      <c r="B406" s="209" t="s">
        <v>653</v>
      </c>
      <c r="C406" s="210" t="s">
        <v>752</v>
      </c>
      <c r="D406" s="214"/>
      <c r="E406" s="214">
        <v>2625001400030</v>
      </c>
      <c r="F406" s="209" t="s">
        <v>647</v>
      </c>
      <c r="G406" s="209" t="s">
        <v>53</v>
      </c>
      <c r="H406" s="209" t="s">
        <v>317</v>
      </c>
      <c r="I406" s="209" t="s">
        <v>318</v>
      </c>
      <c r="J406" s="209" t="s">
        <v>164</v>
      </c>
      <c r="K406" s="210" t="s">
        <v>650</v>
      </c>
      <c r="L406" s="210"/>
      <c r="M406" s="209" t="s">
        <v>58</v>
      </c>
      <c r="N406" s="209">
        <v>0</v>
      </c>
      <c r="O406" s="209" t="s">
        <v>105</v>
      </c>
      <c r="P406" s="213">
        <v>44713.397581018522</v>
      </c>
      <c r="Q406" s="209"/>
      <c r="R406" s="209">
        <v>4</v>
      </c>
      <c r="S406" s="209"/>
      <c r="T406" s="209" t="s">
        <v>646</v>
      </c>
      <c r="U406" s="213">
        <v>44714.397581018522</v>
      </c>
      <c r="V406" s="209" t="s">
        <v>41</v>
      </c>
      <c r="W406" s="209" t="s">
        <v>49</v>
      </c>
      <c r="X406" s="13" t="str">
        <f>IF(RIGHT(H406,2)&lt;&gt;"00",H406,"")</f>
        <v/>
      </c>
      <c r="Y406" s="26">
        <f ca="1">NETWORKDAYS(P406,$Y$1)</f>
        <v>196</v>
      </c>
      <c r="Z406" s="34">
        <v>1</v>
      </c>
      <c r="AA406" s="25" t="str">
        <f t="shared" ca="1" si="33"/>
        <v>A VENCER</v>
      </c>
      <c r="AB406" s="25" t="str">
        <f t="shared" si="31"/>
        <v>C-14</v>
      </c>
      <c r="AC406" s="2" t="str">
        <f t="shared" si="35"/>
        <v xml:space="preserve"> ROSEMERE </v>
      </c>
      <c r="AD406" s="26">
        <f t="shared" si="32"/>
        <v>15</v>
      </c>
      <c r="AE406" s="26">
        <f t="shared" ca="1" si="34"/>
        <v>273.27869062499667</v>
      </c>
      <c r="AF406" s="35"/>
    </row>
    <row r="407" spans="1:32" hidden="1">
      <c r="A407" s="209">
        <v>8637224</v>
      </c>
      <c r="B407" s="209" t="s">
        <v>653</v>
      </c>
      <c r="C407" s="210" t="s">
        <v>752</v>
      </c>
      <c r="D407" s="214"/>
      <c r="E407" s="214">
        <v>2388001400030</v>
      </c>
      <c r="F407" s="209" t="s">
        <v>647</v>
      </c>
      <c r="G407" s="209" t="s">
        <v>53</v>
      </c>
      <c r="H407" s="209" t="s">
        <v>299</v>
      </c>
      <c r="I407" s="209" t="s">
        <v>300</v>
      </c>
      <c r="J407" s="209" t="s">
        <v>79</v>
      </c>
      <c r="K407" s="210" t="s">
        <v>650</v>
      </c>
      <c r="L407" s="210"/>
      <c r="M407" s="209" t="s">
        <v>58</v>
      </c>
      <c r="N407" s="209">
        <v>0</v>
      </c>
      <c r="O407" s="209" t="s">
        <v>105</v>
      </c>
      <c r="P407" s="213">
        <v>44713.397094907406</v>
      </c>
      <c r="Q407" s="209"/>
      <c r="R407" s="209">
        <v>4</v>
      </c>
      <c r="S407" s="209"/>
      <c r="T407" s="209" t="s">
        <v>646</v>
      </c>
      <c r="U407" s="213">
        <v>44714.397094907406</v>
      </c>
      <c r="V407" s="209" t="s">
        <v>41</v>
      </c>
      <c r="W407" s="209" t="s">
        <v>49</v>
      </c>
      <c r="X407" s="13" t="str">
        <f>IF(RIGHT(H407,2)&lt;&gt;"00",H407,"")</f>
        <v/>
      </c>
      <c r="Y407" s="26">
        <f ca="1">NETWORKDAYS(P407,$Y$1)</f>
        <v>196</v>
      </c>
      <c r="Z407" s="34">
        <v>1</v>
      </c>
      <c r="AA407" s="25" t="str">
        <f t="shared" ca="1" si="33"/>
        <v>A VENCER</v>
      </c>
      <c r="AB407" s="25" t="str">
        <f t="shared" si="31"/>
        <v>C-14</v>
      </c>
      <c r="AC407" s="2" t="str">
        <f t="shared" si="35"/>
        <v xml:space="preserve"> ROSEMERE </v>
      </c>
      <c r="AD407" s="26">
        <f t="shared" si="32"/>
        <v>15</v>
      </c>
      <c r="AE407" s="26">
        <f t="shared" ca="1" si="34"/>
        <v>273.27917673611228</v>
      </c>
      <c r="AF407" s="35"/>
    </row>
    <row r="408" spans="1:32" hidden="1">
      <c r="A408" s="209">
        <v>8637210</v>
      </c>
      <c r="B408" s="209" t="s">
        <v>653</v>
      </c>
      <c r="C408" s="210" t="s">
        <v>752</v>
      </c>
      <c r="D408" s="214"/>
      <c r="E408" s="214">
        <v>2369001400030</v>
      </c>
      <c r="F408" s="209" t="s">
        <v>647</v>
      </c>
      <c r="G408" s="209" t="s">
        <v>53</v>
      </c>
      <c r="H408" s="209" t="s">
        <v>701</v>
      </c>
      <c r="I408" s="209" t="s">
        <v>702</v>
      </c>
      <c r="J408" s="209" t="s">
        <v>141</v>
      </c>
      <c r="K408" s="210" t="s">
        <v>650</v>
      </c>
      <c r="L408" s="210"/>
      <c r="M408" s="209" t="s">
        <v>58</v>
      </c>
      <c r="N408" s="209">
        <v>0</v>
      </c>
      <c r="O408" s="209" t="s">
        <v>105</v>
      </c>
      <c r="P408" s="213">
        <v>44713.39707175926</v>
      </c>
      <c r="Q408" s="209"/>
      <c r="R408" s="209">
        <v>4</v>
      </c>
      <c r="S408" s="209"/>
      <c r="T408" s="209" t="s">
        <v>646</v>
      </c>
      <c r="U408" s="213">
        <v>44714.39707175926</v>
      </c>
      <c r="V408" s="209" t="s">
        <v>41</v>
      </c>
      <c r="W408" s="209" t="s">
        <v>49</v>
      </c>
      <c r="X408" s="13" t="str">
        <f>IF(RIGHT(H408,2)&lt;&gt;"00",H408,"")</f>
        <v/>
      </c>
      <c r="Y408" s="26">
        <f ca="1">NETWORKDAYS(P408,$Y$1)</f>
        <v>196</v>
      </c>
      <c r="Z408" s="34">
        <v>1</v>
      </c>
      <c r="AA408" s="25" t="str">
        <f t="shared" ca="1" si="33"/>
        <v>A VENCER</v>
      </c>
      <c r="AB408" s="25" t="str">
        <f t="shared" si="31"/>
        <v>C-14</v>
      </c>
      <c r="AC408" s="2" t="str">
        <f t="shared" si="35"/>
        <v xml:space="preserve"> CRISTINA </v>
      </c>
      <c r="AD408" s="26">
        <f t="shared" si="32"/>
        <v>15</v>
      </c>
      <c r="AE408" s="26">
        <f t="shared" ca="1" si="34"/>
        <v>273.27919988425856</v>
      </c>
      <c r="AF408" s="35"/>
    </row>
    <row r="409" spans="1:32" hidden="1">
      <c r="A409" s="209">
        <v>8637207</v>
      </c>
      <c r="B409" s="209" t="s">
        <v>653</v>
      </c>
      <c r="C409" s="210" t="s">
        <v>752</v>
      </c>
      <c r="D409" s="214"/>
      <c r="E409" s="214">
        <v>2365001400030</v>
      </c>
      <c r="F409" s="209" t="s">
        <v>647</v>
      </c>
      <c r="G409" s="209" t="s">
        <v>53</v>
      </c>
      <c r="H409" s="209" t="s">
        <v>159</v>
      </c>
      <c r="I409" s="209" t="s">
        <v>160</v>
      </c>
      <c r="J409" s="209" t="s">
        <v>46</v>
      </c>
      <c r="K409" s="210" t="s">
        <v>650</v>
      </c>
      <c r="L409" s="210"/>
      <c r="M409" s="209" t="s">
        <v>58</v>
      </c>
      <c r="N409" s="209">
        <v>0</v>
      </c>
      <c r="O409" s="209" t="s">
        <v>105</v>
      </c>
      <c r="P409" s="213">
        <v>44713.397060185183</v>
      </c>
      <c r="Q409" s="209"/>
      <c r="R409" s="209">
        <v>4</v>
      </c>
      <c r="S409" s="209"/>
      <c r="T409" s="209" t="s">
        <v>646</v>
      </c>
      <c r="U409" s="213">
        <v>44714.39707175926</v>
      </c>
      <c r="V409" s="209" t="s">
        <v>41</v>
      </c>
      <c r="W409" s="209" t="s">
        <v>49</v>
      </c>
      <c r="X409" s="13" t="str">
        <f>IF(RIGHT(H409,2)&lt;&gt;"00",H409,"")</f>
        <v/>
      </c>
      <c r="Y409" s="26">
        <f ca="1">NETWORKDAYS(P409,$Y$1)</f>
        <v>196</v>
      </c>
      <c r="Z409" s="34">
        <v>1</v>
      </c>
      <c r="AA409" s="25" t="str">
        <f t="shared" ca="1" si="33"/>
        <v>A VENCER</v>
      </c>
      <c r="AB409" s="25" t="str">
        <f t="shared" si="31"/>
        <v>C-14</v>
      </c>
      <c r="AC409" s="2" t="str">
        <f t="shared" si="35"/>
        <v xml:space="preserve"> CLEITON </v>
      </c>
      <c r="AD409" s="26">
        <f t="shared" si="32"/>
        <v>15</v>
      </c>
      <c r="AE409" s="26">
        <f t="shared" ca="1" si="34"/>
        <v>273.27921145833534</v>
      </c>
      <c r="AF409" s="35"/>
    </row>
    <row r="410" spans="1:32" hidden="1">
      <c r="A410" s="209">
        <v>8637176</v>
      </c>
      <c r="B410" s="209" t="s">
        <v>653</v>
      </c>
      <c r="C410" s="210" t="s">
        <v>752</v>
      </c>
      <c r="D410" s="214"/>
      <c r="E410" s="214">
        <v>2326001400030</v>
      </c>
      <c r="F410" s="209" t="s">
        <v>647</v>
      </c>
      <c r="G410" s="209" t="s">
        <v>53</v>
      </c>
      <c r="H410" s="209" t="s">
        <v>191</v>
      </c>
      <c r="I410" s="209" t="s">
        <v>192</v>
      </c>
      <c r="J410" s="209" t="s">
        <v>46</v>
      </c>
      <c r="K410" s="210" t="s">
        <v>650</v>
      </c>
      <c r="L410" s="210"/>
      <c r="M410" s="209" t="s">
        <v>58</v>
      </c>
      <c r="N410" s="209">
        <v>0</v>
      </c>
      <c r="O410" s="209" t="s">
        <v>105</v>
      </c>
      <c r="P410" s="213">
        <v>44713.397013888891</v>
      </c>
      <c r="Q410" s="209"/>
      <c r="R410" s="209">
        <v>4</v>
      </c>
      <c r="S410" s="209"/>
      <c r="T410" s="209" t="s">
        <v>646</v>
      </c>
      <c r="U410" s="213">
        <v>44714.397013888891</v>
      </c>
      <c r="V410" s="209" t="s">
        <v>41</v>
      </c>
      <c r="W410" s="209" t="s">
        <v>49</v>
      </c>
      <c r="X410" s="13" t="str">
        <f>IF(RIGHT(H410,2)&lt;&gt;"00",H410,"")</f>
        <v/>
      </c>
      <c r="Y410" s="26">
        <f ca="1">NETWORKDAYS(P410,$Y$1)</f>
        <v>196</v>
      </c>
      <c r="Z410" s="34">
        <v>1</v>
      </c>
      <c r="AA410" s="25" t="str">
        <f t="shared" ca="1" si="33"/>
        <v>A VENCER</v>
      </c>
      <c r="AB410" s="25" t="str">
        <f t="shared" si="31"/>
        <v>C-14</v>
      </c>
      <c r="AC410" s="2" t="str">
        <f t="shared" si="35"/>
        <v xml:space="preserve"> CLEITON </v>
      </c>
      <c r="AD410" s="26">
        <f t="shared" si="32"/>
        <v>15</v>
      </c>
      <c r="AE410" s="26">
        <f t="shared" ca="1" si="34"/>
        <v>273.27925775462791</v>
      </c>
      <c r="AF410" s="35"/>
    </row>
    <row r="411" spans="1:32" hidden="1">
      <c r="A411" s="209">
        <v>8637101</v>
      </c>
      <c r="B411" s="209" t="s">
        <v>653</v>
      </c>
      <c r="C411" s="210" t="s">
        <v>752</v>
      </c>
      <c r="D411" s="214"/>
      <c r="E411" s="214">
        <v>2238001400030</v>
      </c>
      <c r="F411" s="209" t="s">
        <v>647</v>
      </c>
      <c r="G411" s="209" t="s">
        <v>53</v>
      </c>
      <c r="H411" s="209" t="s">
        <v>707</v>
      </c>
      <c r="I411" s="209" t="s">
        <v>708</v>
      </c>
      <c r="J411" s="209" t="s">
        <v>79</v>
      </c>
      <c r="K411" s="210" t="s">
        <v>650</v>
      </c>
      <c r="L411" s="210"/>
      <c r="M411" s="209" t="s">
        <v>58</v>
      </c>
      <c r="N411" s="209">
        <v>0</v>
      </c>
      <c r="O411" s="209" t="s">
        <v>105</v>
      </c>
      <c r="P411" s="213">
        <v>44713.396805555552</v>
      </c>
      <c r="Q411" s="209"/>
      <c r="R411" s="209">
        <v>4</v>
      </c>
      <c r="S411" s="209"/>
      <c r="T411" s="209" t="s">
        <v>646</v>
      </c>
      <c r="U411" s="213">
        <v>44714.396817129629</v>
      </c>
      <c r="V411" s="209" t="s">
        <v>41</v>
      </c>
      <c r="W411" s="209" t="s">
        <v>49</v>
      </c>
      <c r="X411" s="13" t="str">
        <f>IF(RIGHT(H411,2)&lt;&gt;"00",H411,"")</f>
        <v/>
      </c>
      <c r="Y411" s="26">
        <f ca="1">NETWORKDAYS(P411,$Y$1)</f>
        <v>196</v>
      </c>
      <c r="Z411" s="34">
        <v>1</v>
      </c>
      <c r="AA411" s="25" t="str">
        <f t="shared" ca="1" si="33"/>
        <v>A VENCER</v>
      </c>
      <c r="AB411" s="25" t="str">
        <f t="shared" si="31"/>
        <v>C-14</v>
      </c>
      <c r="AC411" s="2" t="str">
        <f t="shared" si="35"/>
        <v xml:space="preserve"> ROSEMERE </v>
      </c>
      <c r="AD411" s="26">
        <f t="shared" si="32"/>
        <v>15</v>
      </c>
      <c r="AE411" s="26">
        <f t="shared" ca="1" si="34"/>
        <v>273.27946608796628</v>
      </c>
      <c r="AF411" s="35"/>
    </row>
    <row r="412" spans="1:32" hidden="1">
      <c r="A412" s="209">
        <v>8637084</v>
      </c>
      <c r="B412" s="209" t="s">
        <v>653</v>
      </c>
      <c r="C412" s="210" t="s">
        <v>752</v>
      </c>
      <c r="D412" s="214"/>
      <c r="E412" s="214">
        <v>2219001400030</v>
      </c>
      <c r="F412" s="209" t="s">
        <v>647</v>
      </c>
      <c r="G412" s="209" t="s">
        <v>53</v>
      </c>
      <c r="H412" s="209" t="s">
        <v>893</v>
      </c>
      <c r="I412" s="209" t="s">
        <v>894</v>
      </c>
      <c r="J412" s="209" t="s">
        <v>141</v>
      </c>
      <c r="K412" s="210" t="s">
        <v>650</v>
      </c>
      <c r="L412" s="210"/>
      <c r="M412" s="209" t="s">
        <v>58</v>
      </c>
      <c r="N412" s="209">
        <v>0</v>
      </c>
      <c r="O412" s="209" t="s">
        <v>105</v>
      </c>
      <c r="P412" s="213">
        <v>44713.396793981483</v>
      </c>
      <c r="Q412" s="209"/>
      <c r="R412" s="209">
        <v>4</v>
      </c>
      <c r="S412" s="209"/>
      <c r="T412" s="209" t="s">
        <v>646</v>
      </c>
      <c r="U412" s="213">
        <v>44714.396793981483</v>
      </c>
      <c r="V412" s="209" t="s">
        <v>41</v>
      </c>
      <c r="W412" s="209" t="s">
        <v>49</v>
      </c>
      <c r="X412" s="13" t="str">
        <f>IF(RIGHT(H412,2)&lt;&gt;"00",H412,"")</f>
        <v/>
      </c>
      <c r="Y412" s="26">
        <f ca="1">NETWORKDAYS(P412,$Y$1)</f>
        <v>196</v>
      </c>
      <c r="Z412" s="34">
        <v>1</v>
      </c>
      <c r="AA412" s="25" t="str">
        <f t="shared" ca="1" si="33"/>
        <v>A VENCER</v>
      </c>
      <c r="AB412" s="25" t="str">
        <f t="shared" si="31"/>
        <v>C-14</v>
      </c>
      <c r="AC412" s="2" t="str">
        <f t="shared" si="35"/>
        <v xml:space="preserve"> CRISTINA </v>
      </c>
      <c r="AD412" s="26">
        <f t="shared" si="32"/>
        <v>15</v>
      </c>
      <c r="AE412" s="26">
        <f t="shared" ca="1" si="34"/>
        <v>273.27947766203579</v>
      </c>
      <c r="AF412" s="35"/>
    </row>
    <row r="413" spans="1:32" hidden="1">
      <c r="A413" s="209">
        <v>8637010</v>
      </c>
      <c r="B413" s="209" t="s">
        <v>653</v>
      </c>
      <c r="C413" s="210" t="s">
        <v>752</v>
      </c>
      <c r="D413" s="214"/>
      <c r="E413" s="214">
        <v>2138001400030</v>
      </c>
      <c r="F413" s="209" t="s">
        <v>647</v>
      </c>
      <c r="G413" s="209" t="s">
        <v>53</v>
      </c>
      <c r="H413" s="209" t="s">
        <v>379</v>
      </c>
      <c r="I413" s="209" t="s">
        <v>380</v>
      </c>
      <c r="J413" s="209" t="s">
        <v>46</v>
      </c>
      <c r="K413" s="210" t="s">
        <v>650</v>
      </c>
      <c r="L413" s="210"/>
      <c r="M413" s="209" t="s">
        <v>58</v>
      </c>
      <c r="N413" s="209">
        <v>0</v>
      </c>
      <c r="O413" s="209" t="s">
        <v>105</v>
      </c>
      <c r="P413" s="213">
        <v>44713.396608796298</v>
      </c>
      <c r="Q413" s="209"/>
      <c r="R413" s="209">
        <v>4</v>
      </c>
      <c r="S413" s="209"/>
      <c r="T413" s="209" t="s">
        <v>646</v>
      </c>
      <c r="U413" s="213">
        <v>44714.396608796298</v>
      </c>
      <c r="V413" s="209" t="s">
        <v>41</v>
      </c>
      <c r="W413" s="209" t="s">
        <v>49</v>
      </c>
      <c r="X413" s="13" t="str">
        <f>IF(RIGHT(H413,2)&lt;&gt;"00",H413,"")</f>
        <v/>
      </c>
      <c r="Y413" s="26">
        <f ca="1">NETWORKDAYS(P413,$Y$1)</f>
        <v>196</v>
      </c>
      <c r="Z413" s="34">
        <v>1</v>
      </c>
      <c r="AA413" s="25" t="str">
        <f t="shared" ca="1" si="33"/>
        <v>A VENCER</v>
      </c>
      <c r="AB413" s="25" t="str">
        <f t="shared" ref="AB413:AB476" si="36">IF(F413="GRPE-000001","C-14",IF(F413="GRPE-000002","C-14",IF(F413="GRPE-000003","C-14",IF(F413="GRPE-000004","SL-On",IF(F413="GRPE-000038","C-14",IF(F413="GRPE-900022","Dosa",IF(F413="GRPE-000029","Dosa",IF(F413="ATOS-000222","Dose","TAAe+"))))))))</f>
        <v>C-14</v>
      </c>
      <c r="AC413" s="2" t="str">
        <f t="shared" si="35"/>
        <v xml:space="preserve"> CLEITON </v>
      </c>
      <c r="AD413" s="26">
        <f t="shared" ref="AD413:AD476" si="37">IF(F413="GRPE-000001",5,IF(F413="GRPE-000002",5,IF(F413="GRPE-000003",15,IF(F413="GRPE-000004",1,IF(F413="GRPE-000038",5,IF(F413="GRPE-900022",5,IF(F413="GRPE-000029",5,IF(F413="ATOS-000222",5,8))))))))</f>
        <v>15</v>
      </c>
      <c r="AE413" s="26">
        <f t="shared" ca="1" si="34"/>
        <v>273.27966284722061</v>
      </c>
      <c r="AF413" s="35"/>
    </row>
    <row r="414" spans="1:32" hidden="1">
      <c r="A414" s="209">
        <v>8636954</v>
      </c>
      <c r="B414" s="209" t="s">
        <v>653</v>
      </c>
      <c r="C414" s="210" t="s">
        <v>752</v>
      </c>
      <c r="D414" s="214"/>
      <c r="E414" s="214">
        <v>2069001400030</v>
      </c>
      <c r="F414" s="209" t="s">
        <v>647</v>
      </c>
      <c r="G414" s="209" t="s">
        <v>53</v>
      </c>
      <c r="H414" s="209" t="s">
        <v>557</v>
      </c>
      <c r="I414" s="209" t="s">
        <v>558</v>
      </c>
      <c r="J414" s="209" t="s">
        <v>90</v>
      </c>
      <c r="K414" s="210" t="s">
        <v>650</v>
      </c>
      <c r="L414" s="210"/>
      <c r="M414" s="209" t="s">
        <v>58</v>
      </c>
      <c r="N414" s="209">
        <v>0</v>
      </c>
      <c r="O414" s="209" t="s">
        <v>105</v>
      </c>
      <c r="P414" s="213">
        <v>44713.396458333336</v>
      </c>
      <c r="Q414" s="209"/>
      <c r="R414" s="209">
        <v>4</v>
      </c>
      <c r="S414" s="209"/>
      <c r="T414" s="209" t="s">
        <v>646</v>
      </c>
      <c r="U414" s="213">
        <v>44714.396458333336</v>
      </c>
      <c r="V414" s="209" t="s">
        <v>41</v>
      </c>
      <c r="W414" s="209" t="s">
        <v>49</v>
      </c>
      <c r="X414" s="13" t="str">
        <f>IF(RIGHT(H414,2)&lt;&gt;"00",H414,"")</f>
        <v/>
      </c>
      <c r="Y414" s="26">
        <f ca="1">NETWORKDAYS(P414,$Y$1)</f>
        <v>196</v>
      </c>
      <c r="Z414" s="34">
        <v>1</v>
      </c>
      <c r="AA414" s="25" t="str">
        <f t="shared" ca="1" si="33"/>
        <v>A VENCER</v>
      </c>
      <c r="AB414" s="25" t="str">
        <f t="shared" si="36"/>
        <v>C-14</v>
      </c>
      <c r="AC414" s="2" t="str">
        <f t="shared" si="35"/>
        <v xml:space="preserve"> RINALDO </v>
      </c>
      <c r="AD414" s="26">
        <f t="shared" si="37"/>
        <v>15</v>
      </c>
      <c r="AE414" s="26">
        <f t="shared" ca="1" si="34"/>
        <v>273.27981331018236</v>
      </c>
      <c r="AF414" s="35"/>
    </row>
    <row r="415" spans="1:32" hidden="1">
      <c r="A415" s="209">
        <v>8636914</v>
      </c>
      <c r="B415" s="209" t="s">
        <v>653</v>
      </c>
      <c r="C415" s="210" t="s">
        <v>752</v>
      </c>
      <c r="D415" s="214"/>
      <c r="E415" s="214">
        <v>2018001400030</v>
      </c>
      <c r="F415" s="209" t="s">
        <v>647</v>
      </c>
      <c r="G415" s="209" t="s">
        <v>53</v>
      </c>
      <c r="H415" s="209" t="s">
        <v>598</v>
      </c>
      <c r="I415" s="209" t="s">
        <v>599</v>
      </c>
      <c r="J415" s="209" t="s">
        <v>79</v>
      </c>
      <c r="K415" s="210" t="s">
        <v>650</v>
      </c>
      <c r="L415" s="210"/>
      <c r="M415" s="209" t="s">
        <v>58</v>
      </c>
      <c r="N415" s="209">
        <v>0</v>
      </c>
      <c r="O415" s="209" t="s">
        <v>105</v>
      </c>
      <c r="P415" s="213">
        <v>44713.39640046296</v>
      </c>
      <c r="Q415" s="209"/>
      <c r="R415" s="209">
        <v>4</v>
      </c>
      <c r="S415" s="209"/>
      <c r="T415" s="209" t="s">
        <v>646</v>
      </c>
      <c r="U415" s="213">
        <v>44714.39640046296</v>
      </c>
      <c r="V415" s="209" t="s">
        <v>41</v>
      </c>
      <c r="W415" s="209" t="s">
        <v>49</v>
      </c>
      <c r="X415" s="13" t="str">
        <f>IF(RIGHT(H415,2)&lt;&gt;"00",H415,"")</f>
        <v/>
      </c>
      <c r="Y415" s="26">
        <f ca="1">NETWORKDAYS(P415,$Y$1)</f>
        <v>196</v>
      </c>
      <c r="Z415" s="34">
        <v>1</v>
      </c>
      <c r="AA415" s="25" t="str">
        <f t="shared" ca="1" si="33"/>
        <v>A VENCER</v>
      </c>
      <c r="AB415" s="25" t="str">
        <f t="shared" si="36"/>
        <v>C-14</v>
      </c>
      <c r="AC415" s="2" t="str">
        <f t="shared" si="35"/>
        <v xml:space="preserve"> ROSEMERE </v>
      </c>
      <c r="AD415" s="26">
        <f t="shared" si="37"/>
        <v>15</v>
      </c>
      <c r="AE415" s="26">
        <f t="shared" ca="1" si="34"/>
        <v>273.27987118055898</v>
      </c>
      <c r="AF415" s="35"/>
    </row>
    <row r="416" spans="1:32" hidden="1">
      <c r="A416" s="209">
        <v>8636827</v>
      </c>
      <c r="B416" s="209" t="s">
        <v>653</v>
      </c>
      <c r="C416" s="210" t="s">
        <v>752</v>
      </c>
      <c r="D416" s="214"/>
      <c r="E416" s="214">
        <v>1838001400030</v>
      </c>
      <c r="F416" s="209" t="s">
        <v>647</v>
      </c>
      <c r="G416" s="209" t="s">
        <v>53</v>
      </c>
      <c r="H416" s="209" t="s">
        <v>357</v>
      </c>
      <c r="I416" s="209" t="s">
        <v>358</v>
      </c>
      <c r="J416" s="209" t="s">
        <v>46</v>
      </c>
      <c r="K416" s="210" t="s">
        <v>650</v>
      </c>
      <c r="L416" s="210"/>
      <c r="M416" s="209" t="s">
        <v>58</v>
      </c>
      <c r="N416" s="209">
        <v>0</v>
      </c>
      <c r="O416" s="209" t="s">
        <v>105</v>
      </c>
      <c r="P416" s="213">
        <v>44713.396203703705</v>
      </c>
      <c r="Q416" s="209"/>
      <c r="R416" s="209">
        <v>4</v>
      </c>
      <c r="S416" s="209"/>
      <c r="T416" s="209" t="s">
        <v>646</v>
      </c>
      <c r="U416" s="213">
        <v>44714.396203703705</v>
      </c>
      <c r="V416" s="209" t="s">
        <v>41</v>
      </c>
      <c r="W416" s="209" t="s">
        <v>49</v>
      </c>
      <c r="X416" s="13" t="str">
        <f>IF(RIGHT(H416,2)&lt;&gt;"00",H416,"")</f>
        <v/>
      </c>
      <c r="Y416" s="26">
        <f ca="1">NETWORKDAYS(P416,$Y$1)</f>
        <v>196</v>
      </c>
      <c r="Z416" s="34">
        <v>1</v>
      </c>
      <c r="AA416" s="25" t="str">
        <f t="shared" ca="1" si="33"/>
        <v>A VENCER</v>
      </c>
      <c r="AB416" s="25" t="str">
        <f t="shared" si="36"/>
        <v>C-14</v>
      </c>
      <c r="AC416" s="2" t="str">
        <f t="shared" si="35"/>
        <v xml:space="preserve"> CLEITON </v>
      </c>
      <c r="AD416" s="26">
        <f t="shared" si="37"/>
        <v>15</v>
      </c>
      <c r="AE416" s="26">
        <f t="shared" ca="1" si="34"/>
        <v>273.28006793981331</v>
      </c>
      <c r="AF416" s="35"/>
    </row>
    <row r="417" spans="1:32" hidden="1">
      <c r="A417" s="209">
        <v>8636825</v>
      </c>
      <c r="B417" s="209" t="s">
        <v>653</v>
      </c>
      <c r="C417" s="210" t="s">
        <v>752</v>
      </c>
      <c r="D417" s="214"/>
      <c r="E417" s="214">
        <v>1836001400030</v>
      </c>
      <c r="F417" s="209" t="s">
        <v>647</v>
      </c>
      <c r="G417" s="209" t="s">
        <v>53</v>
      </c>
      <c r="H417" s="209" t="s">
        <v>455</v>
      </c>
      <c r="I417" s="209" t="s">
        <v>456</v>
      </c>
      <c r="J417" s="209" t="s">
        <v>46</v>
      </c>
      <c r="K417" s="210" t="s">
        <v>650</v>
      </c>
      <c r="L417" s="210"/>
      <c r="M417" s="209" t="s">
        <v>58</v>
      </c>
      <c r="N417" s="209">
        <v>0</v>
      </c>
      <c r="O417" s="209" t="s">
        <v>105</v>
      </c>
      <c r="P417" s="213">
        <v>44713.396203703705</v>
      </c>
      <c r="Q417" s="209"/>
      <c r="R417" s="209">
        <v>4</v>
      </c>
      <c r="S417" s="209"/>
      <c r="T417" s="209" t="s">
        <v>646</v>
      </c>
      <c r="U417" s="213">
        <v>44714.396203703705</v>
      </c>
      <c r="V417" s="209" t="s">
        <v>41</v>
      </c>
      <c r="W417" s="209" t="s">
        <v>49</v>
      </c>
      <c r="X417" s="13" t="str">
        <f>IF(RIGHT(H417,2)&lt;&gt;"00",H417,"")</f>
        <v/>
      </c>
      <c r="Y417" s="26">
        <f ca="1">NETWORKDAYS(P417,$Y$1)</f>
        <v>196</v>
      </c>
      <c r="Z417" s="34">
        <v>1</v>
      </c>
      <c r="AA417" s="25" t="str">
        <f t="shared" ca="1" si="33"/>
        <v>A VENCER</v>
      </c>
      <c r="AB417" s="25" t="str">
        <f t="shared" si="36"/>
        <v>C-14</v>
      </c>
      <c r="AC417" s="2" t="str">
        <f t="shared" si="35"/>
        <v xml:space="preserve"> CLEITON </v>
      </c>
      <c r="AD417" s="26">
        <f t="shared" si="37"/>
        <v>15</v>
      </c>
      <c r="AE417" s="26">
        <f t="shared" ca="1" si="34"/>
        <v>273.28006793981331</v>
      </c>
      <c r="AF417" s="35"/>
    </row>
    <row r="418" spans="1:32" hidden="1">
      <c r="A418" s="209">
        <v>8636824</v>
      </c>
      <c r="B418" s="209" t="s">
        <v>653</v>
      </c>
      <c r="C418" s="210" t="s">
        <v>752</v>
      </c>
      <c r="D418" s="214"/>
      <c r="E418" s="214">
        <v>1835001400030</v>
      </c>
      <c r="F418" s="209" t="s">
        <v>647</v>
      </c>
      <c r="G418" s="209" t="s">
        <v>53</v>
      </c>
      <c r="H418" s="209" t="s">
        <v>305</v>
      </c>
      <c r="I418" s="209" t="s">
        <v>306</v>
      </c>
      <c r="J418" s="209" t="s">
        <v>46</v>
      </c>
      <c r="K418" s="210" t="s">
        <v>650</v>
      </c>
      <c r="L418" s="210"/>
      <c r="M418" s="209" t="s">
        <v>58</v>
      </c>
      <c r="N418" s="209">
        <v>0</v>
      </c>
      <c r="O418" s="209" t="s">
        <v>105</v>
      </c>
      <c r="P418" s="213">
        <v>44713.396203703705</v>
      </c>
      <c r="Q418" s="209"/>
      <c r="R418" s="209">
        <v>4</v>
      </c>
      <c r="S418" s="209"/>
      <c r="T418" s="209" t="s">
        <v>646</v>
      </c>
      <c r="U418" s="213">
        <v>44714.396203703705</v>
      </c>
      <c r="V418" s="209" t="s">
        <v>41</v>
      </c>
      <c r="W418" s="209" t="s">
        <v>49</v>
      </c>
      <c r="X418" s="13" t="str">
        <f>IF(RIGHT(H418,2)&lt;&gt;"00",H418,"")</f>
        <v/>
      </c>
      <c r="Y418" s="26">
        <f ca="1">NETWORKDAYS(P418,$Y$1)</f>
        <v>196</v>
      </c>
      <c r="Z418" s="34">
        <v>1</v>
      </c>
      <c r="AA418" s="25" t="str">
        <f t="shared" ca="1" si="33"/>
        <v>A VENCER</v>
      </c>
      <c r="AB418" s="25" t="str">
        <f t="shared" si="36"/>
        <v>C-14</v>
      </c>
      <c r="AC418" s="2" t="str">
        <f t="shared" si="35"/>
        <v xml:space="preserve"> CLEITON </v>
      </c>
      <c r="AD418" s="26">
        <f t="shared" si="37"/>
        <v>15</v>
      </c>
      <c r="AE418" s="26">
        <f t="shared" ca="1" si="34"/>
        <v>273.28006793981331</v>
      </c>
      <c r="AF418" s="35"/>
    </row>
    <row r="419" spans="1:32" hidden="1">
      <c r="A419" s="209">
        <v>8636822</v>
      </c>
      <c r="B419" s="209" t="s">
        <v>653</v>
      </c>
      <c r="C419" s="210" t="s">
        <v>752</v>
      </c>
      <c r="D419" s="214"/>
      <c r="E419" s="214">
        <v>1833001400030</v>
      </c>
      <c r="F419" s="209" t="s">
        <v>647</v>
      </c>
      <c r="G419" s="209" t="s">
        <v>53</v>
      </c>
      <c r="H419" s="209" t="s">
        <v>369</v>
      </c>
      <c r="I419" s="209" t="s">
        <v>370</v>
      </c>
      <c r="J419" s="209" t="s">
        <v>46</v>
      </c>
      <c r="K419" s="210" t="s">
        <v>650</v>
      </c>
      <c r="L419" s="210"/>
      <c r="M419" s="209" t="s">
        <v>58</v>
      </c>
      <c r="N419" s="209">
        <v>0</v>
      </c>
      <c r="O419" s="209" t="s">
        <v>105</v>
      </c>
      <c r="P419" s="213">
        <v>44713.396192129629</v>
      </c>
      <c r="Q419" s="209"/>
      <c r="R419" s="209">
        <v>4</v>
      </c>
      <c r="S419" s="209"/>
      <c r="T419" s="209" t="s">
        <v>646</v>
      </c>
      <c r="U419" s="213">
        <v>44714.396203703705</v>
      </c>
      <c r="V419" s="209" t="s">
        <v>41</v>
      </c>
      <c r="W419" s="209" t="s">
        <v>49</v>
      </c>
      <c r="X419" s="13" t="str">
        <f>IF(RIGHT(H419,2)&lt;&gt;"00",H419,"")</f>
        <v/>
      </c>
      <c r="Y419" s="26">
        <f ca="1">NETWORKDAYS(P419,$Y$1)</f>
        <v>196</v>
      </c>
      <c r="Z419" s="34">
        <v>1</v>
      </c>
      <c r="AA419" s="25" t="str">
        <f t="shared" ca="1" si="33"/>
        <v>A VENCER</v>
      </c>
      <c r="AB419" s="25" t="str">
        <f t="shared" si="36"/>
        <v>C-14</v>
      </c>
      <c r="AC419" s="2" t="str">
        <f t="shared" si="35"/>
        <v xml:space="preserve"> CLEITON </v>
      </c>
      <c r="AD419" s="26">
        <f t="shared" si="37"/>
        <v>15</v>
      </c>
      <c r="AE419" s="26">
        <f t="shared" ca="1" si="34"/>
        <v>273.28007951389009</v>
      </c>
      <c r="AF419" s="35"/>
    </row>
    <row r="420" spans="1:32" hidden="1">
      <c r="A420" s="209">
        <v>8636773</v>
      </c>
      <c r="B420" s="209" t="s">
        <v>653</v>
      </c>
      <c r="C420" s="210" t="s">
        <v>752</v>
      </c>
      <c r="D420" s="214"/>
      <c r="E420" s="214">
        <v>1764001400030</v>
      </c>
      <c r="F420" s="209" t="s">
        <v>647</v>
      </c>
      <c r="G420" s="209" t="s">
        <v>53</v>
      </c>
      <c r="H420" s="209" t="s">
        <v>722</v>
      </c>
      <c r="I420" s="209" t="s">
        <v>723</v>
      </c>
      <c r="J420" s="209" t="s">
        <v>90</v>
      </c>
      <c r="K420" s="210" t="s">
        <v>650</v>
      </c>
      <c r="L420" s="210"/>
      <c r="M420" s="209" t="s">
        <v>58</v>
      </c>
      <c r="N420" s="209">
        <v>0</v>
      </c>
      <c r="O420" s="209" t="s">
        <v>36</v>
      </c>
      <c r="P420" s="213">
        <v>44713.396122685182</v>
      </c>
      <c r="Q420" s="209"/>
      <c r="R420" s="209">
        <v>4</v>
      </c>
      <c r="S420" s="209"/>
      <c r="T420" s="209" t="s">
        <v>646</v>
      </c>
      <c r="U420" s="213">
        <v>44714.396122685182</v>
      </c>
      <c r="V420" s="209" t="s">
        <v>41</v>
      </c>
      <c r="W420" s="209" t="s">
        <v>49</v>
      </c>
      <c r="X420" s="13" t="str">
        <f>IF(RIGHT(H420,2)&lt;&gt;"00",H420,"")</f>
        <v/>
      </c>
      <c r="Y420" s="26">
        <f ca="1">NETWORKDAYS(P420,$Y$1)</f>
        <v>196</v>
      </c>
      <c r="Z420" s="34">
        <v>1</v>
      </c>
      <c r="AA420" s="25" t="str">
        <f t="shared" ca="1" si="33"/>
        <v>A VENCER</v>
      </c>
      <c r="AB420" s="25" t="str">
        <f t="shared" si="36"/>
        <v>C-14</v>
      </c>
      <c r="AC420" s="2" t="str">
        <f t="shared" si="35"/>
        <v xml:space="preserve"> RINALDO </v>
      </c>
      <c r="AD420" s="26">
        <f t="shared" si="37"/>
        <v>15</v>
      </c>
      <c r="AE420" s="26">
        <f t="shared" ca="1" si="34"/>
        <v>273.28014895833621</v>
      </c>
      <c r="AF420" s="35"/>
    </row>
    <row r="421" spans="1:32" hidden="1">
      <c r="A421" s="209">
        <v>8636745</v>
      </c>
      <c r="B421" s="209" t="s">
        <v>653</v>
      </c>
      <c r="C421" s="210" t="s">
        <v>752</v>
      </c>
      <c r="D421" s="214"/>
      <c r="E421" s="214">
        <v>1732001400030</v>
      </c>
      <c r="F421" s="209" t="s">
        <v>647</v>
      </c>
      <c r="G421" s="209" t="s">
        <v>53</v>
      </c>
      <c r="H421" s="209" t="s">
        <v>177</v>
      </c>
      <c r="I421" s="209" t="s">
        <v>178</v>
      </c>
      <c r="J421" s="209" t="s">
        <v>164</v>
      </c>
      <c r="K421" s="210" t="s">
        <v>650</v>
      </c>
      <c r="L421" s="210"/>
      <c r="M421" s="209" t="s">
        <v>58</v>
      </c>
      <c r="N421" s="209">
        <v>0</v>
      </c>
      <c r="O421" s="209" t="s">
        <v>105</v>
      </c>
      <c r="P421" s="213">
        <v>44713.395995370367</v>
      </c>
      <c r="Q421" s="209"/>
      <c r="R421" s="209">
        <v>4</v>
      </c>
      <c r="S421" s="209"/>
      <c r="T421" s="209" t="s">
        <v>646</v>
      </c>
      <c r="U421" s="213">
        <v>44714.396006944444</v>
      </c>
      <c r="V421" s="209" t="s">
        <v>41</v>
      </c>
      <c r="W421" s="209" t="s">
        <v>49</v>
      </c>
      <c r="X421" s="13" t="str">
        <f>IF(RIGHT(H421,2)&lt;&gt;"00",H421,"")</f>
        <v/>
      </c>
      <c r="Y421" s="26">
        <f ca="1">NETWORKDAYS(P421,$Y$1)</f>
        <v>196</v>
      </c>
      <c r="Z421" s="34">
        <v>1</v>
      </c>
      <c r="AA421" s="25" t="str">
        <f t="shared" ca="1" si="33"/>
        <v>A VENCER</v>
      </c>
      <c r="AB421" s="25" t="str">
        <f t="shared" si="36"/>
        <v>C-14</v>
      </c>
      <c r="AC421" s="2" t="str">
        <f t="shared" si="35"/>
        <v xml:space="preserve"> ROSEMERE </v>
      </c>
      <c r="AD421" s="26">
        <f t="shared" si="37"/>
        <v>15</v>
      </c>
      <c r="AE421" s="26">
        <f t="shared" ca="1" si="34"/>
        <v>273.28027627315169</v>
      </c>
      <c r="AF421" s="35"/>
    </row>
    <row r="422" spans="1:32" hidden="1">
      <c r="A422" s="209">
        <v>8636688</v>
      </c>
      <c r="B422" s="209" t="s">
        <v>653</v>
      </c>
      <c r="C422" s="210" t="s">
        <v>752</v>
      </c>
      <c r="D422" s="214"/>
      <c r="E422" s="214">
        <v>1664001400030</v>
      </c>
      <c r="F422" s="209" t="s">
        <v>647</v>
      </c>
      <c r="G422" s="209" t="s">
        <v>53</v>
      </c>
      <c r="H422" s="209" t="s">
        <v>307</v>
      </c>
      <c r="I422" s="209" t="s">
        <v>308</v>
      </c>
      <c r="J422" s="209" t="s">
        <v>164</v>
      </c>
      <c r="K422" s="210" t="s">
        <v>650</v>
      </c>
      <c r="L422" s="210"/>
      <c r="M422" s="209" t="s">
        <v>58</v>
      </c>
      <c r="N422" s="209">
        <v>0</v>
      </c>
      <c r="O422" s="209" t="s">
        <v>105</v>
      </c>
      <c r="P422" s="213">
        <v>44713.395914351851</v>
      </c>
      <c r="Q422" s="209"/>
      <c r="R422" s="209">
        <v>4</v>
      </c>
      <c r="S422" s="209"/>
      <c r="T422" s="209" t="s">
        <v>646</v>
      </c>
      <c r="U422" s="213">
        <v>44714.395914351851</v>
      </c>
      <c r="V422" s="209" t="s">
        <v>41</v>
      </c>
      <c r="W422" s="209" t="s">
        <v>49</v>
      </c>
      <c r="X422" s="13" t="str">
        <f>IF(RIGHT(H422,2)&lt;&gt;"00",H422,"")</f>
        <v/>
      </c>
      <c r="Y422" s="26">
        <f ca="1">NETWORKDAYS(P422,$Y$1)</f>
        <v>196</v>
      </c>
      <c r="Z422" s="34">
        <v>1</v>
      </c>
      <c r="AA422" s="25" t="str">
        <f t="shared" ca="1" si="33"/>
        <v>A VENCER</v>
      </c>
      <c r="AB422" s="25" t="str">
        <f t="shared" si="36"/>
        <v>C-14</v>
      </c>
      <c r="AC422" s="2" t="str">
        <f t="shared" si="35"/>
        <v xml:space="preserve"> ROSEMERE </v>
      </c>
      <c r="AD422" s="26">
        <f t="shared" si="37"/>
        <v>15</v>
      </c>
      <c r="AE422" s="26">
        <f t="shared" ca="1" si="34"/>
        <v>273.28035729166731</v>
      </c>
      <c r="AF422" s="35"/>
    </row>
    <row r="423" spans="1:32" hidden="1">
      <c r="A423" s="209">
        <v>8636669</v>
      </c>
      <c r="B423" s="209" t="s">
        <v>653</v>
      </c>
      <c r="C423" s="210" t="s">
        <v>752</v>
      </c>
      <c r="D423" s="214"/>
      <c r="E423" s="214">
        <v>1643001400030</v>
      </c>
      <c r="F423" s="209" t="s">
        <v>647</v>
      </c>
      <c r="G423" s="209" t="s">
        <v>53</v>
      </c>
      <c r="H423" s="209" t="s">
        <v>361</v>
      </c>
      <c r="I423" s="209" t="s">
        <v>362</v>
      </c>
      <c r="J423" s="209" t="s">
        <v>261</v>
      </c>
      <c r="K423" s="210" t="s">
        <v>650</v>
      </c>
      <c r="L423" s="210"/>
      <c r="M423" s="209" t="s">
        <v>58</v>
      </c>
      <c r="N423" s="209">
        <v>0</v>
      </c>
      <c r="O423" s="209" t="s">
        <v>105</v>
      </c>
      <c r="P423" s="213">
        <v>44713.395891203705</v>
      </c>
      <c r="Q423" s="209"/>
      <c r="R423" s="209">
        <v>4</v>
      </c>
      <c r="S423" s="209"/>
      <c r="T423" s="209" t="s">
        <v>646</v>
      </c>
      <c r="U423" s="213">
        <v>44714.395891203705</v>
      </c>
      <c r="V423" s="209" t="s">
        <v>41</v>
      </c>
      <c r="W423" s="209" t="s">
        <v>49</v>
      </c>
      <c r="X423" s="13" t="str">
        <f>IF(RIGHT(H423,2)&lt;&gt;"00",H423,"")</f>
        <v/>
      </c>
      <c r="Y423" s="26">
        <f ca="1">NETWORKDAYS(P423,$Y$1)</f>
        <v>196</v>
      </c>
      <c r="Z423" s="34">
        <v>1</v>
      </c>
      <c r="AA423" s="25" t="str">
        <f t="shared" ca="1" si="33"/>
        <v>A VENCER</v>
      </c>
      <c r="AB423" s="25" t="str">
        <f t="shared" si="36"/>
        <v>C-14</v>
      </c>
      <c r="AC423" s="2" t="str">
        <f t="shared" si="35"/>
        <v xml:space="preserve"> CRISTINA </v>
      </c>
      <c r="AD423" s="26">
        <f t="shared" si="37"/>
        <v>15</v>
      </c>
      <c r="AE423" s="26">
        <f t="shared" ca="1" si="34"/>
        <v>273.2803804398136</v>
      </c>
      <c r="AF423" s="35"/>
    </row>
    <row r="424" spans="1:32" hidden="1">
      <c r="A424" s="209">
        <v>8636651</v>
      </c>
      <c r="B424" s="209" t="s">
        <v>653</v>
      </c>
      <c r="C424" s="210" t="s">
        <v>752</v>
      </c>
      <c r="D424" s="214"/>
      <c r="E424" s="214">
        <v>1620001400030</v>
      </c>
      <c r="F424" s="209" t="s">
        <v>647</v>
      </c>
      <c r="G424" s="209" t="s">
        <v>53</v>
      </c>
      <c r="H424" s="209" t="s">
        <v>402</v>
      </c>
      <c r="I424" s="209" t="s">
        <v>403</v>
      </c>
      <c r="J424" s="209" t="s">
        <v>46</v>
      </c>
      <c r="K424" s="210" t="s">
        <v>650</v>
      </c>
      <c r="L424" s="210"/>
      <c r="M424" s="209" t="s">
        <v>58</v>
      </c>
      <c r="N424" s="209">
        <v>0</v>
      </c>
      <c r="O424" s="209" t="s">
        <v>36</v>
      </c>
      <c r="P424" s="213">
        <v>44713.395775462966</v>
      </c>
      <c r="Q424" s="209"/>
      <c r="R424" s="209">
        <v>4</v>
      </c>
      <c r="S424" s="209"/>
      <c r="T424" s="209" t="s">
        <v>646</v>
      </c>
      <c r="U424" s="213">
        <v>44714.395775462966</v>
      </c>
      <c r="V424" s="209" t="s">
        <v>41</v>
      </c>
      <c r="W424" s="209" t="s">
        <v>49</v>
      </c>
      <c r="X424" s="13" t="str">
        <f>IF(RIGHT(H424,2)&lt;&gt;"00",H424,"")</f>
        <v/>
      </c>
      <c r="Y424" s="26">
        <f ca="1">NETWORKDAYS(P424,$Y$1)</f>
        <v>196</v>
      </c>
      <c r="Z424" s="34">
        <v>1</v>
      </c>
      <c r="AA424" s="25" t="str">
        <f t="shared" ca="1" si="33"/>
        <v>A VENCER</v>
      </c>
      <c r="AB424" s="25" t="str">
        <f t="shared" si="36"/>
        <v>C-14</v>
      </c>
      <c r="AC424" s="2" t="str">
        <f t="shared" si="35"/>
        <v xml:space="preserve"> CLEITON </v>
      </c>
      <c r="AD424" s="26">
        <f t="shared" si="37"/>
        <v>15</v>
      </c>
      <c r="AE424" s="26">
        <f t="shared" ca="1" si="34"/>
        <v>273.28049618055229</v>
      </c>
      <c r="AF424" s="35"/>
    </row>
    <row r="425" spans="1:32" hidden="1">
      <c r="A425" s="209">
        <v>8636574</v>
      </c>
      <c r="B425" s="209" t="s">
        <v>653</v>
      </c>
      <c r="C425" s="210" t="s">
        <v>752</v>
      </c>
      <c r="D425" s="214"/>
      <c r="E425" s="214">
        <v>1509001400030</v>
      </c>
      <c r="F425" s="209" t="s">
        <v>647</v>
      </c>
      <c r="G425" s="209" t="s">
        <v>53</v>
      </c>
      <c r="H425" s="209" t="s">
        <v>731</v>
      </c>
      <c r="I425" s="209" t="s">
        <v>732</v>
      </c>
      <c r="J425" s="209" t="s">
        <v>46</v>
      </c>
      <c r="K425" s="210" t="s">
        <v>650</v>
      </c>
      <c r="L425" s="210"/>
      <c r="M425" s="209" t="s">
        <v>58</v>
      </c>
      <c r="N425" s="209">
        <v>0</v>
      </c>
      <c r="O425" s="209" t="s">
        <v>105</v>
      </c>
      <c r="P425" s="213">
        <v>44713.39565972222</v>
      </c>
      <c r="Q425" s="209"/>
      <c r="R425" s="209">
        <v>4</v>
      </c>
      <c r="S425" s="209"/>
      <c r="T425" s="209" t="s">
        <v>646</v>
      </c>
      <c r="U425" s="213">
        <v>44714.395671296297</v>
      </c>
      <c r="V425" s="209" t="s">
        <v>41</v>
      </c>
      <c r="W425" s="209" t="s">
        <v>49</v>
      </c>
      <c r="X425" s="13" t="str">
        <f>IF(RIGHT(H425,2)&lt;&gt;"00",H425,"")</f>
        <v/>
      </c>
      <c r="Y425" s="26">
        <f ca="1">NETWORKDAYS(P425,$Y$1)</f>
        <v>196</v>
      </c>
      <c r="Z425" s="34">
        <v>1</v>
      </c>
      <c r="AA425" s="25" t="str">
        <f t="shared" ca="1" si="33"/>
        <v>A VENCER</v>
      </c>
      <c r="AB425" s="25" t="str">
        <f t="shared" si="36"/>
        <v>C-14</v>
      </c>
      <c r="AC425" s="2" t="str">
        <f t="shared" si="35"/>
        <v xml:space="preserve"> CLEITON </v>
      </c>
      <c r="AD425" s="26">
        <f t="shared" si="37"/>
        <v>15</v>
      </c>
      <c r="AE425" s="26">
        <f t="shared" ca="1" si="34"/>
        <v>273.28061192129826</v>
      </c>
      <c r="AF425" s="35"/>
    </row>
    <row r="426" spans="1:32" hidden="1">
      <c r="A426" s="209">
        <v>8636441</v>
      </c>
      <c r="B426" s="209" t="s">
        <v>653</v>
      </c>
      <c r="C426" s="210" t="s">
        <v>752</v>
      </c>
      <c r="D426" s="214"/>
      <c r="E426" s="214">
        <v>1362001400030</v>
      </c>
      <c r="F426" s="209" t="s">
        <v>647</v>
      </c>
      <c r="G426" s="209" t="s">
        <v>53</v>
      </c>
      <c r="H426" s="209" t="s">
        <v>268</v>
      </c>
      <c r="I426" s="209" t="s">
        <v>269</v>
      </c>
      <c r="J426" s="209" t="s">
        <v>90</v>
      </c>
      <c r="K426" s="210" t="s">
        <v>650</v>
      </c>
      <c r="L426" s="210"/>
      <c r="M426" s="209" t="s">
        <v>58</v>
      </c>
      <c r="N426" s="209">
        <v>0</v>
      </c>
      <c r="O426" s="209" t="s">
        <v>105</v>
      </c>
      <c r="P426" s="213">
        <v>44713.395324074074</v>
      </c>
      <c r="Q426" s="209"/>
      <c r="R426" s="209">
        <v>4</v>
      </c>
      <c r="S426" s="209"/>
      <c r="T426" s="209" t="s">
        <v>646</v>
      </c>
      <c r="U426" s="213">
        <v>44714.395324074074</v>
      </c>
      <c r="V426" s="209" t="s">
        <v>41</v>
      </c>
      <c r="W426" s="209" t="s">
        <v>49</v>
      </c>
      <c r="X426" s="13" t="str">
        <f>IF(RIGHT(H426,2)&lt;&gt;"00",H426,"")</f>
        <v/>
      </c>
      <c r="Y426" s="26">
        <f ca="1">NETWORKDAYS(P426,$Y$1)</f>
        <v>196</v>
      </c>
      <c r="Z426" s="34">
        <v>1</v>
      </c>
      <c r="AA426" s="25" t="str">
        <f t="shared" ca="1" si="33"/>
        <v>A VENCER</v>
      </c>
      <c r="AB426" s="25" t="str">
        <f t="shared" si="36"/>
        <v>C-14</v>
      </c>
      <c r="AC426" s="2" t="str">
        <f t="shared" si="35"/>
        <v xml:space="preserve"> RINALDO </v>
      </c>
      <c r="AD426" s="26">
        <f t="shared" si="37"/>
        <v>15</v>
      </c>
      <c r="AE426" s="26">
        <f t="shared" ca="1" si="34"/>
        <v>273.28094756944483</v>
      </c>
      <c r="AF426" s="35"/>
    </row>
    <row r="427" spans="1:32" hidden="1">
      <c r="A427" s="209">
        <v>8636439</v>
      </c>
      <c r="B427" s="209" t="s">
        <v>653</v>
      </c>
      <c r="C427" s="210" t="s">
        <v>752</v>
      </c>
      <c r="D427" s="214"/>
      <c r="E427" s="214">
        <v>1360001400030</v>
      </c>
      <c r="F427" s="209" t="s">
        <v>647</v>
      </c>
      <c r="G427" s="209" t="s">
        <v>53</v>
      </c>
      <c r="H427" s="209" t="s">
        <v>303</v>
      </c>
      <c r="I427" s="209" t="s">
        <v>304</v>
      </c>
      <c r="J427" s="209" t="s">
        <v>261</v>
      </c>
      <c r="K427" s="210" t="s">
        <v>650</v>
      </c>
      <c r="L427" s="210"/>
      <c r="M427" s="209" t="s">
        <v>58</v>
      </c>
      <c r="N427" s="209">
        <v>0</v>
      </c>
      <c r="O427" s="209" t="s">
        <v>105</v>
      </c>
      <c r="P427" s="213">
        <v>44713.395324074074</v>
      </c>
      <c r="Q427" s="209"/>
      <c r="R427" s="209">
        <v>4</v>
      </c>
      <c r="S427" s="209"/>
      <c r="T427" s="209" t="s">
        <v>646</v>
      </c>
      <c r="U427" s="213">
        <v>44714.395324074074</v>
      </c>
      <c r="V427" s="209" t="s">
        <v>41</v>
      </c>
      <c r="W427" s="209" t="s">
        <v>49</v>
      </c>
      <c r="X427" s="13" t="str">
        <f>IF(RIGHT(H427,2)&lt;&gt;"00",H427,"")</f>
        <v/>
      </c>
      <c r="Y427" s="26">
        <f ca="1">NETWORKDAYS(P427,$Y$1)</f>
        <v>196</v>
      </c>
      <c r="Z427" s="34">
        <v>1</v>
      </c>
      <c r="AA427" s="25" t="str">
        <f t="shared" ca="1" si="33"/>
        <v>A VENCER</v>
      </c>
      <c r="AB427" s="25" t="str">
        <f t="shared" si="36"/>
        <v>C-14</v>
      </c>
      <c r="AC427" s="2" t="str">
        <f t="shared" si="35"/>
        <v xml:space="preserve"> CRISTINA </v>
      </c>
      <c r="AD427" s="26">
        <f t="shared" si="37"/>
        <v>15</v>
      </c>
      <c r="AE427" s="26">
        <f t="shared" ca="1" si="34"/>
        <v>273.28094756944483</v>
      </c>
      <c r="AF427" s="35"/>
    </row>
    <row r="428" spans="1:32" hidden="1">
      <c r="A428" s="209">
        <v>8636438</v>
      </c>
      <c r="B428" s="209" t="s">
        <v>653</v>
      </c>
      <c r="C428" s="210" t="s">
        <v>752</v>
      </c>
      <c r="D428" s="214"/>
      <c r="E428" s="214">
        <v>1359001400030</v>
      </c>
      <c r="F428" s="209" t="s">
        <v>647</v>
      </c>
      <c r="G428" s="209" t="s">
        <v>53</v>
      </c>
      <c r="H428" s="209" t="s">
        <v>270</v>
      </c>
      <c r="I428" s="209" t="s">
        <v>271</v>
      </c>
      <c r="J428" s="209" t="s">
        <v>141</v>
      </c>
      <c r="K428" s="210" t="s">
        <v>650</v>
      </c>
      <c r="L428" s="210"/>
      <c r="M428" s="209" t="s">
        <v>58</v>
      </c>
      <c r="N428" s="209">
        <v>0</v>
      </c>
      <c r="O428" s="209" t="s">
        <v>105</v>
      </c>
      <c r="P428" s="213">
        <v>44713.395312499997</v>
      </c>
      <c r="Q428" s="209"/>
      <c r="R428" s="209">
        <v>4</v>
      </c>
      <c r="S428" s="209"/>
      <c r="T428" s="209" t="s">
        <v>646</v>
      </c>
      <c r="U428" s="213">
        <v>44714.395324074074</v>
      </c>
      <c r="V428" s="209" t="s">
        <v>41</v>
      </c>
      <c r="W428" s="209" t="s">
        <v>49</v>
      </c>
      <c r="X428" s="13" t="str">
        <f>IF(RIGHT(H428,2)&lt;&gt;"00",H428,"")</f>
        <v/>
      </c>
      <c r="Y428" s="26">
        <f ca="1">NETWORKDAYS(P428,$Y$1)</f>
        <v>196</v>
      </c>
      <c r="Z428" s="34">
        <v>1</v>
      </c>
      <c r="AA428" s="25" t="str">
        <f t="shared" ca="1" si="33"/>
        <v>A VENCER</v>
      </c>
      <c r="AB428" s="25" t="str">
        <f t="shared" si="36"/>
        <v>C-14</v>
      </c>
      <c r="AC428" s="2" t="str">
        <f t="shared" si="35"/>
        <v xml:space="preserve"> CRISTINA </v>
      </c>
      <c r="AD428" s="26">
        <f t="shared" si="37"/>
        <v>15</v>
      </c>
      <c r="AE428" s="26">
        <f t="shared" ca="1" si="34"/>
        <v>273.28095914352161</v>
      </c>
      <c r="AF428" s="35"/>
    </row>
    <row r="429" spans="1:32" hidden="1">
      <c r="A429" s="209">
        <v>8636177</v>
      </c>
      <c r="B429" s="209" t="s">
        <v>653</v>
      </c>
      <c r="C429" s="210" t="s">
        <v>752</v>
      </c>
      <c r="D429" s="214"/>
      <c r="E429" s="214">
        <v>1059001400030</v>
      </c>
      <c r="F429" s="209" t="s">
        <v>647</v>
      </c>
      <c r="G429" s="209" t="s">
        <v>53</v>
      </c>
      <c r="H429" s="209" t="s">
        <v>88</v>
      </c>
      <c r="I429" s="209" t="s">
        <v>89</v>
      </c>
      <c r="J429" s="209" t="s">
        <v>90</v>
      </c>
      <c r="K429" s="210" t="s">
        <v>650</v>
      </c>
      <c r="L429" s="210"/>
      <c r="M429" s="209" t="s">
        <v>58</v>
      </c>
      <c r="N429" s="209">
        <v>0</v>
      </c>
      <c r="O429" s="209" t="s">
        <v>105</v>
      </c>
      <c r="P429" s="213">
        <v>44713.394780092596</v>
      </c>
      <c r="Q429" s="209"/>
      <c r="R429" s="209">
        <v>4</v>
      </c>
      <c r="S429" s="209"/>
      <c r="T429" s="209" t="s">
        <v>646</v>
      </c>
      <c r="U429" s="213">
        <v>44714.394780092596</v>
      </c>
      <c r="V429" s="209" t="s">
        <v>41</v>
      </c>
      <c r="W429" s="209" t="s">
        <v>49</v>
      </c>
      <c r="X429" s="13" t="str">
        <f>IF(RIGHT(H429,2)&lt;&gt;"00",H429,"")</f>
        <v/>
      </c>
      <c r="Y429" s="26">
        <f ca="1">NETWORKDAYS(P429,$Y$1)</f>
        <v>196</v>
      </c>
      <c r="Z429" s="34">
        <v>1</v>
      </c>
      <c r="AA429" s="25" t="str">
        <f t="shared" ca="1" si="33"/>
        <v>A VENCER</v>
      </c>
      <c r="AB429" s="25" t="str">
        <f t="shared" si="36"/>
        <v>C-14</v>
      </c>
      <c r="AC429" s="2" t="str">
        <f t="shared" si="35"/>
        <v xml:space="preserve"> RINALDO </v>
      </c>
      <c r="AD429" s="26">
        <f t="shared" si="37"/>
        <v>15</v>
      </c>
      <c r="AE429" s="26">
        <f t="shared" ca="1" si="34"/>
        <v>273.28149155092251</v>
      </c>
      <c r="AF429" s="35"/>
    </row>
    <row r="430" spans="1:32" hidden="1">
      <c r="A430" s="209">
        <v>8636168</v>
      </c>
      <c r="B430" s="209" t="s">
        <v>653</v>
      </c>
      <c r="C430" s="210" t="s">
        <v>752</v>
      </c>
      <c r="D430" s="214"/>
      <c r="E430" s="214">
        <v>1049001400030</v>
      </c>
      <c r="F430" s="209" t="s">
        <v>647</v>
      </c>
      <c r="G430" s="209" t="s">
        <v>53</v>
      </c>
      <c r="H430" s="209" t="s">
        <v>169</v>
      </c>
      <c r="I430" s="209" t="s">
        <v>170</v>
      </c>
      <c r="J430" s="209" t="s">
        <v>164</v>
      </c>
      <c r="K430" s="210" t="s">
        <v>650</v>
      </c>
      <c r="L430" s="210"/>
      <c r="M430" s="209" t="s">
        <v>58</v>
      </c>
      <c r="N430" s="209">
        <v>0</v>
      </c>
      <c r="O430" s="209" t="s">
        <v>105</v>
      </c>
      <c r="P430" s="213">
        <v>44713.394768518519</v>
      </c>
      <c r="Q430" s="209"/>
      <c r="R430" s="209">
        <v>4</v>
      </c>
      <c r="S430" s="209"/>
      <c r="T430" s="209" t="s">
        <v>646</v>
      </c>
      <c r="U430" s="213">
        <v>44714.394768518519</v>
      </c>
      <c r="V430" s="209" t="s">
        <v>41</v>
      </c>
      <c r="W430" s="209" t="s">
        <v>49</v>
      </c>
      <c r="X430" s="13" t="str">
        <f>IF(RIGHT(H430,2)&lt;&gt;"00",H430,"")</f>
        <v/>
      </c>
      <c r="Y430" s="26">
        <f ca="1">NETWORKDAYS(P430,$Y$1)</f>
        <v>196</v>
      </c>
      <c r="Z430" s="34">
        <v>1</v>
      </c>
      <c r="AA430" s="25" t="str">
        <f t="shared" ca="1" si="33"/>
        <v>A VENCER</v>
      </c>
      <c r="AB430" s="25" t="str">
        <f t="shared" si="36"/>
        <v>C-14</v>
      </c>
      <c r="AC430" s="2" t="str">
        <f t="shared" si="35"/>
        <v xml:space="preserve"> ROSEMERE </v>
      </c>
      <c r="AD430" s="26">
        <f t="shared" si="37"/>
        <v>15</v>
      </c>
      <c r="AE430" s="26">
        <f t="shared" ca="1" si="34"/>
        <v>273.28150312499929</v>
      </c>
      <c r="AF430" s="35"/>
    </row>
    <row r="431" spans="1:32" hidden="1">
      <c r="A431" s="209">
        <v>8636064</v>
      </c>
      <c r="B431" s="209" t="s">
        <v>653</v>
      </c>
      <c r="C431" s="210" t="s">
        <v>752</v>
      </c>
      <c r="D431" s="214"/>
      <c r="E431" s="214">
        <v>934001400030</v>
      </c>
      <c r="F431" s="209" t="s">
        <v>647</v>
      </c>
      <c r="G431" s="209" t="s">
        <v>53</v>
      </c>
      <c r="H431" s="209" t="s">
        <v>428</v>
      </c>
      <c r="I431" s="209" t="s">
        <v>429</v>
      </c>
      <c r="J431" s="209" t="s">
        <v>46</v>
      </c>
      <c r="K431" s="210" t="s">
        <v>650</v>
      </c>
      <c r="L431" s="210"/>
      <c r="M431" s="209" t="s">
        <v>58</v>
      </c>
      <c r="N431" s="209">
        <v>0</v>
      </c>
      <c r="O431" s="209" t="s">
        <v>105</v>
      </c>
      <c r="P431" s="213">
        <v>44713.394525462965</v>
      </c>
      <c r="Q431" s="209"/>
      <c r="R431" s="209">
        <v>4</v>
      </c>
      <c r="S431" s="209"/>
      <c r="T431" s="209" t="s">
        <v>646</v>
      </c>
      <c r="U431" s="213">
        <v>44714.394525462965</v>
      </c>
      <c r="V431" s="209" t="s">
        <v>41</v>
      </c>
      <c r="W431" s="209" t="s">
        <v>49</v>
      </c>
      <c r="X431" s="13" t="str">
        <f>IF(RIGHT(H431,2)&lt;&gt;"00",H431,"")</f>
        <v/>
      </c>
      <c r="Y431" s="26">
        <f ca="1">NETWORKDAYS(P431,$Y$1)</f>
        <v>196</v>
      </c>
      <c r="Z431" s="34">
        <v>1</v>
      </c>
      <c r="AA431" s="25" t="str">
        <f t="shared" ca="1" si="33"/>
        <v>A VENCER</v>
      </c>
      <c r="AB431" s="25" t="str">
        <f t="shared" si="36"/>
        <v>C-14</v>
      </c>
      <c r="AC431" s="2" t="str">
        <f t="shared" si="35"/>
        <v xml:space="preserve"> CLEITON </v>
      </c>
      <c r="AD431" s="26">
        <f t="shared" si="37"/>
        <v>15</v>
      </c>
      <c r="AE431" s="26">
        <f t="shared" ca="1" si="34"/>
        <v>273.28174618055345</v>
      </c>
      <c r="AF431" s="35"/>
    </row>
    <row r="432" spans="1:32" hidden="1">
      <c r="A432" s="209">
        <v>8635859</v>
      </c>
      <c r="B432" s="209" t="s">
        <v>653</v>
      </c>
      <c r="C432" s="210" t="s">
        <v>752</v>
      </c>
      <c r="D432" s="214"/>
      <c r="E432" s="214">
        <v>714001400030</v>
      </c>
      <c r="F432" s="209" t="s">
        <v>647</v>
      </c>
      <c r="G432" s="209" t="s">
        <v>53</v>
      </c>
      <c r="H432" s="209" t="s">
        <v>377</v>
      </c>
      <c r="I432" s="209" t="s">
        <v>378</v>
      </c>
      <c r="J432" s="209" t="s">
        <v>46</v>
      </c>
      <c r="K432" s="210" t="s">
        <v>650</v>
      </c>
      <c r="L432" s="210"/>
      <c r="M432" s="209" t="s">
        <v>58</v>
      </c>
      <c r="N432" s="209">
        <v>0</v>
      </c>
      <c r="O432" s="209" t="s">
        <v>105</v>
      </c>
      <c r="P432" s="213">
        <v>44713.394085648149</v>
      </c>
      <c r="Q432" s="209"/>
      <c r="R432" s="209">
        <v>4</v>
      </c>
      <c r="S432" s="209"/>
      <c r="T432" s="209" t="s">
        <v>646</v>
      </c>
      <c r="U432" s="213">
        <v>44714.394085648149</v>
      </c>
      <c r="V432" s="209" t="s">
        <v>41</v>
      </c>
      <c r="W432" s="209" t="s">
        <v>49</v>
      </c>
      <c r="X432" s="13" t="str">
        <f>IF(RIGHT(H432,2)&lt;&gt;"00",H432,"")</f>
        <v/>
      </c>
      <c r="Y432" s="26">
        <f ca="1">NETWORKDAYS(P432,$Y$1)</f>
        <v>196</v>
      </c>
      <c r="Z432" s="34">
        <v>1</v>
      </c>
      <c r="AA432" s="25" t="str">
        <f t="shared" ca="1" si="33"/>
        <v>A VENCER</v>
      </c>
      <c r="AB432" s="25" t="str">
        <f t="shared" si="36"/>
        <v>C-14</v>
      </c>
      <c r="AC432" s="2" t="str">
        <f t="shared" si="35"/>
        <v xml:space="preserve"> CLEITON </v>
      </c>
      <c r="AD432" s="26">
        <f t="shared" si="37"/>
        <v>15</v>
      </c>
      <c r="AE432" s="26">
        <f t="shared" ca="1" si="34"/>
        <v>273.28218599536922</v>
      </c>
      <c r="AF432" s="35"/>
    </row>
    <row r="433" spans="1:32" hidden="1">
      <c r="A433" s="209">
        <v>8635857</v>
      </c>
      <c r="B433" s="209" t="s">
        <v>653</v>
      </c>
      <c r="C433" s="210" t="s">
        <v>752</v>
      </c>
      <c r="D433" s="214"/>
      <c r="E433" s="214">
        <v>711001400030</v>
      </c>
      <c r="F433" s="209" t="s">
        <v>647</v>
      </c>
      <c r="G433" s="209" t="s">
        <v>53</v>
      </c>
      <c r="H433" s="209" t="s">
        <v>77</v>
      </c>
      <c r="I433" s="209" t="s">
        <v>78</v>
      </c>
      <c r="J433" s="209" t="s">
        <v>79</v>
      </c>
      <c r="K433" s="210" t="s">
        <v>650</v>
      </c>
      <c r="L433" s="210"/>
      <c r="M433" s="209" t="s">
        <v>58</v>
      </c>
      <c r="N433" s="209">
        <v>0</v>
      </c>
      <c r="O433" s="209" t="s">
        <v>105</v>
      </c>
      <c r="P433" s="213">
        <v>44713.394074074073</v>
      </c>
      <c r="Q433" s="209"/>
      <c r="R433" s="209">
        <v>4</v>
      </c>
      <c r="S433" s="209"/>
      <c r="T433" s="209" t="s">
        <v>646</v>
      </c>
      <c r="U433" s="213">
        <v>44714.394074074073</v>
      </c>
      <c r="V433" s="209" t="s">
        <v>41</v>
      </c>
      <c r="W433" s="209" t="s">
        <v>49</v>
      </c>
      <c r="X433" s="13" t="str">
        <f>IF(RIGHT(H433,2)&lt;&gt;"00",H433,"")</f>
        <v/>
      </c>
      <c r="Y433" s="26">
        <f ca="1">NETWORKDAYS(P433,$Y$1)</f>
        <v>196</v>
      </c>
      <c r="Z433" s="34">
        <v>1</v>
      </c>
      <c r="AA433" s="25" t="str">
        <f t="shared" ca="1" si="33"/>
        <v>A VENCER</v>
      </c>
      <c r="AB433" s="25" t="str">
        <f t="shared" si="36"/>
        <v>C-14</v>
      </c>
      <c r="AC433" s="2" t="str">
        <f t="shared" si="35"/>
        <v xml:space="preserve"> ROSEMERE </v>
      </c>
      <c r="AD433" s="26">
        <f t="shared" si="37"/>
        <v>15</v>
      </c>
      <c r="AE433" s="26">
        <f t="shared" ca="1" si="34"/>
        <v>273.282197569446</v>
      </c>
      <c r="AF433" s="35"/>
    </row>
    <row r="434" spans="1:32" hidden="1">
      <c r="A434" s="209">
        <v>8635856</v>
      </c>
      <c r="B434" s="209" t="s">
        <v>653</v>
      </c>
      <c r="C434" s="210" t="s">
        <v>752</v>
      </c>
      <c r="D434" s="214"/>
      <c r="E434" s="214">
        <v>710001400030</v>
      </c>
      <c r="F434" s="209" t="s">
        <v>647</v>
      </c>
      <c r="G434" s="209" t="s">
        <v>53</v>
      </c>
      <c r="H434" s="209" t="s">
        <v>390</v>
      </c>
      <c r="I434" s="209" t="s">
        <v>391</v>
      </c>
      <c r="J434" s="209" t="s">
        <v>56</v>
      </c>
      <c r="K434" s="210" t="s">
        <v>650</v>
      </c>
      <c r="L434" s="210"/>
      <c r="M434" s="209" t="s">
        <v>58</v>
      </c>
      <c r="N434" s="209">
        <v>0</v>
      </c>
      <c r="O434" s="209" t="s">
        <v>36</v>
      </c>
      <c r="P434" s="213">
        <v>44713.394074074073</v>
      </c>
      <c r="Q434" s="209"/>
      <c r="R434" s="209">
        <v>4</v>
      </c>
      <c r="S434" s="209"/>
      <c r="T434" s="209" t="s">
        <v>646</v>
      </c>
      <c r="U434" s="213">
        <v>44714.394074074073</v>
      </c>
      <c r="V434" s="209" t="s">
        <v>41</v>
      </c>
      <c r="W434" s="209" t="s">
        <v>49</v>
      </c>
      <c r="X434" s="13" t="str">
        <f>IF(RIGHT(H434,2)&lt;&gt;"00",H434,"")</f>
        <v/>
      </c>
      <c r="Y434" s="26">
        <f ca="1">NETWORKDAYS(P434,$Y$1)</f>
        <v>196</v>
      </c>
      <c r="Z434" s="34">
        <v>1</v>
      </c>
      <c r="AA434" s="25" t="str">
        <f t="shared" ca="1" si="33"/>
        <v>A VENCER</v>
      </c>
      <c r="AB434" s="25" t="str">
        <f t="shared" si="36"/>
        <v>C-14</v>
      </c>
      <c r="AC434" s="2" t="str">
        <f t="shared" si="35"/>
        <v xml:space="preserve"> CRISTINA </v>
      </c>
      <c r="AD434" s="26">
        <f t="shared" si="37"/>
        <v>15</v>
      </c>
      <c r="AE434" s="26">
        <f t="shared" ca="1" si="34"/>
        <v>273.282197569446</v>
      </c>
      <c r="AF434" s="35"/>
    </row>
    <row r="435" spans="1:32" hidden="1">
      <c r="A435" s="209">
        <v>8635705</v>
      </c>
      <c r="B435" s="209" t="s">
        <v>653</v>
      </c>
      <c r="C435" s="210" t="s">
        <v>752</v>
      </c>
      <c r="D435" s="214"/>
      <c r="E435" s="214">
        <v>550001400030</v>
      </c>
      <c r="F435" s="209" t="s">
        <v>647</v>
      </c>
      <c r="G435" s="209" t="s">
        <v>53</v>
      </c>
      <c r="H435" s="209" t="s">
        <v>337</v>
      </c>
      <c r="I435" s="209" t="s">
        <v>338</v>
      </c>
      <c r="J435" s="209" t="s">
        <v>164</v>
      </c>
      <c r="K435" s="210" t="s">
        <v>650</v>
      </c>
      <c r="L435" s="210"/>
      <c r="M435" s="209" t="s">
        <v>58</v>
      </c>
      <c r="N435" s="209">
        <v>0</v>
      </c>
      <c r="O435" s="209" t="s">
        <v>105</v>
      </c>
      <c r="P435" s="213">
        <v>44713.39371527778</v>
      </c>
      <c r="Q435" s="209"/>
      <c r="R435" s="209">
        <v>4</v>
      </c>
      <c r="S435" s="209"/>
      <c r="T435" s="209" t="s">
        <v>646</v>
      </c>
      <c r="U435" s="213">
        <v>44714.39371527778</v>
      </c>
      <c r="V435" s="209" t="s">
        <v>41</v>
      </c>
      <c r="W435" s="209" t="s">
        <v>49</v>
      </c>
      <c r="X435" s="13" t="str">
        <f>IF(RIGHT(H435,2)&lt;&gt;"00",H435,"")</f>
        <v/>
      </c>
      <c r="Y435" s="26">
        <f ca="1">NETWORKDAYS(P435,$Y$1)</f>
        <v>196</v>
      </c>
      <c r="Z435" s="34">
        <v>1</v>
      </c>
      <c r="AA435" s="25" t="str">
        <f t="shared" ca="1" si="33"/>
        <v>A VENCER</v>
      </c>
      <c r="AB435" s="25" t="str">
        <f t="shared" si="36"/>
        <v>C-14</v>
      </c>
      <c r="AC435" s="2" t="str">
        <f t="shared" si="35"/>
        <v xml:space="preserve"> ROSEMERE </v>
      </c>
      <c r="AD435" s="26">
        <f t="shared" si="37"/>
        <v>15</v>
      </c>
      <c r="AE435" s="26">
        <f t="shared" ca="1" si="34"/>
        <v>273.28255636573886</v>
      </c>
      <c r="AF435" s="35"/>
    </row>
    <row r="436" spans="1:32" hidden="1">
      <c r="A436" s="209">
        <v>8635695</v>
      </c>
      <c r="B436" s="209" t="s">
        <v>653</v>
      </c>
      <c r="C436" s="210" t="s">
        <v>752</v>
      </c>
      <c r="D436" s="214"/>
      <c r="E436" s="214">
        <v>537001400030</v>
      </c>
      <c r="F436" s="209" t="s">
        <v>647</v>
      </c>
      <c r="G436" s="209" t="s">
        <v>53</v>
      </c>
      <c r="H436" s="209" t="s">
        <v>442</v>
      </c>
      <c r="I436" s="209" t="s">
        <v>443</v>
      </c>
      <c r="J436" s="209" t="s">
        <v>79</v>
      </c>
      <c r="K436" s="210" t="s">
        <v>650</v>
      </c>
      <c r="L436" s="210"/>
      <c r="M436" s="209" t="s">
        <v>58</v>
      </c>
      <c r="N436" s="209">
        <v>0</v>
      </c>
      <c r="O436" s="209" t="s">
        <v>105</v>
      </c>
      <c r="P436" s="213">
        <v>44713.393703703703</v>
      </c>
      <c r="Q436" s="209"/>
      <c r="R436" s="209">
        <v>4</v>
      </c>
      <c r="S436" s="209"/>
      <c r="T436" s="209" t="s">
        <v>646</v>
      </c>
      <c r="U436" s="213">
        <v>44714.393703703703</v>
      </c>
      <c r="V436" s="209" t="s">
        <v>41</v>
      </c>
      <c r="W436" s="209" t="s">
        <v>49</v>
      </c>
      <c r="X436" s="13" t="str">
        <f>IF(RIGHT(H436,2)&lt;&gt;"00",H436,"")</f>
        <v/>
      </c>
      <c r="Y436" s="26">
        <f ca="1">NETWORKDAYS(P436,$Y$1)</f>
        <v>196</v>
      </c>
      <c r="Z436" s="34">
        <v>1</v>
      </c>
      <c r="AA436" s="25" t="str">
        <f t="shared" ca="1" si="33"/>
        <v>A VENCER</v>
      </c>
      <c r="AB436" s="25" t="str">
        <f t="shared" si="36"/>
        <v>C-14</v>
      </c>
      <c r="AC436" s="2" t="str">
        <f t="shared" si="35"/>
        <v xml:space="preserve"> ROSEMERE </v>
      </c>
      <c r="AD436" s="26">
        <f t="shared" si="37"/>
        <v>15</v>
      </c>
      <c r="AE436" s="26">
        <f t="shared" ca="1" si="34"/>
        <v>273.28256793981564</v>
      </c>
      <c r="AF436" s="35"/>
    </row>
    <row r="437" spans="1:32" hidden="1">
      <c r="A437" s="209">
        <v>8635610</v>
      </c>
      <c r="B437" s="209" t="s">
        <v>653</v>
      </c>
      <c r="C437" s="210" t="s">
        <v>752</v>
      </c>
      <c r="D437" s="214"/>
      <c r="E437" s="214">
        <v>446001400030</v>
      </c>
      <c r="F437" s="209" t="s">
        <v>647</v>
      </c>
      <c r="G437" s="209" t="s">
        <v>53</v>
      </c>
      <c r="H437" s="209" t="s">
        <v>432</v>
      </c>
      <c r="I437" s="209" t="s">
        <v>433</v>
      </c>
      <c r="J437" s="209" t="s">
        <v>110</v>
      </c>
      <c r="K437" s="210" t="s">
        <v>650</v>
      </c>
      <c r="L437" s="210"/>
      <c r="M437" s="209" t="s">
        <v>58</v>
      </c>
      <c r="N437" s="209">
        <v>0</v>
      </c>
      <c r="O437" s="209" t="s">
        <v>105</v>
      </c>
      <c r="P437" s="213">
        <v>44713.393518518518</v>
      </c>
      <c r="Q437" s="209"/>
      <c r="R437" s="209">
        <v>4</v>
      </c>
      <c r="S437" s="209"/>
      <c r="T437" s="209" t="s">
        <v>646</v>
      </c>
      <c r="U437" s="213">
        <v>44714.393518518518</v>
      </c>
      <c r="V437" s="209" t="s">
        <v>41</v>
      </c>
      <c r="W437" s="209" t="s">
        <v>49</v>
      </c>
      <c r="X437" s="13" t="str">
        <f>IF(RIGHT(H437,2)&lt;&gt;"00",H437,"")</f>
        <v/>
      </c>
      <c r="Y437" s="26">
        <f ca="1">NETWORKDAYS(P437,$Y$1)</f>
        <v>196</v>
      </c>
      <c r="Z437" s="34">
        <v>1</v>
      </c>
      <c r="AA437" s="25" t="str">
        <f t="shared" ca="1" si="33"/>
        <v>A VENCER</v>
      </c>
      <c r="AB437" s="25" t="str">
        <f t="shared" si="36"/>
        <v>C-14</v>
      </c>
      <c r="AC437" s="2" t="str">
        <f t="shared" si="35"/>
        <v xml:space="preserve"> CRISTINA </v>
      </c>
      <c r="AD437" s="26">
        <f t="shared" si="37"/>
        <v>15</v>
      </c>
      <c r="AE437" s="26">
        <f t="shared" ca="1" si="34"/>
        <v>273.28275312500045</v>
      </c>
      <c r="AF437" s="35"/>
    </row>
    <row r="438" spans="1:32" hidden="1">
      <c r="A438" s="209">
        <v>8635412</v>
      </c>
      <c r="B438" s="209" t="s">
        <v>653</v>
      </c>
      <c r="C438" s="210" t="s">
        <v>752</v>
      </c>
      <c r="D438" s="214"/>
      <c r="E438" s="214">
        <v>233001400030</v>
      </c>
      <c r="F438" s="209" t="s">
        <v>647</v>
      </c>
      <c r="G438" s="209" t="s">
        <v>53</v>
      </c>
      <c r="H438" s="209" t="s">
        <v>424</v>
      </c>
      <c r="I438" s="209" t="s">
        <v>425</v>
      </c>
      <c r="J438" s="209" t="s">
        <v>261</v>
      </c>
      <c r="K438" s="210" t="s">
        <v>650</v>
      </c>
      <c r="L438" s="210"/>
      <c r="M438" s="209" t="s">
        <v>58</v>
      </c>
      <c r="N438" s="209">
        <v>0</v>
      </c>
      <c r="O438" s="209" t="s">
        <v>105</v>
      </c>
      <c r="P438" s="213">
        <v>44713.393101851849</v>
      </c>
      <c r="Q438" s="209"/>
      <c r="R438" s="209">
        <v>4</v>
      </c>
      <c r="S438" s="209"/>
      <c r="T438" s="209" t="s">
        <v>646</v>
      </c>
      <c r="U438" s="213">
        <v>44714.393101851849</v>
      </c>
      <c r="V438" s="209" t="s">
        <v>41</v>
      </c>
      <c r="W438" s="209" t="s">
        <v>49</v>
      </c>
      <c r="X438" s="13" t="str">
        <f>IF(RIGHT(H438,2)&lt;&gt;"00",H438,"")</f>
        <v/>
      </c>
      <c r="Y438" s="26">
        <f ca="1">NETWORKDAYS(P438,$Y$1)</f>
        <v>196</v>
      </c>
      <c r="Z438" s="34">
        <v>1</v>
      </c>
      <c r="AA438" s="25" t="str">
        <f t="shared" ca="1" si="33"/>
        <v>A VENCER</v>
      </c>
      <c r="AB438" s="25" t="str">
        <f t="shared" si="36"/>
        <v>C-14</v>
      </c>
      <c r="AC438" s="2" t="str">
        <f t="shared" si="35"/>
        <v xml:space="preserve"> CRISTINA </v>
      </c>
      <c r="AD438" s="26">
        <f t="shared" si="37"/>
        <v>15</v>
      </c>
      <c r="AE438" s="26">
        <f t="shared" ca="1" si="34"/>
        <v>273.28316979166993</v>
      </c>
      <c r="AF438" s="35"/>
    </row>
    <row r="439" spans="1:32" hidden="1">
      <c r="A439" s="209">
        <v>8635253</v>
      </c>
      <c r="B439" s="209" t="s">
        <v>653</v>
      </c>
      <c r="C439" s="210" t="s">
        <v>935</v>
      </c>
      <c r="D439" s="214"/>
      <c r="E439" s="214">
        <v>325001400010</v>
      </c>
      <c r="F439" s="209" t="s">
        <v>936</v>
      </c>
      <c r="G439" s="209" t="s">
        <v>53</v>
      </c>
      <c r="H439" s="209" t="s">
        <v>345</v>
      </c>
      <c r="I439" s="209" t="s">
        <v>346</v>
      </c>
      <c r="J439" s="209" t="s">
        <v>46</v>
      </c>
      <c r="K439" s="210" t="s">
        <v>937</v>
      </c>
      <c r="L439" s="210"/>
      <c r="M439" s="209" t="s">
        <v>58</v>
      </c>
      <c r="N439" s="209">
        <v>0</v>
      </c>
      <c r="O439" s="209" t="s">
        <v>105</v>
      </c>
      <c r="P439" s="213">
        <v>44713.392777777779</v>
      </c>
      <c r="Q439" s="209"/>
      <c r="R439" s="209">
        <v>3</v>
      </c>
      <c r="S439" s="209"/>
      <c r="T439" s="209" t="s">
        <v>646</v>
      </c>
      <c r="U439" s="213">
        <v>44714.392777777779</v>
      </c>
      <c r="V439" s="209" t="s">
        <v>41</v>
      </c>
      <c r="W439" s="209" t="s">
        <v>49</v>
      </c>
      <c r="X439" s="13" t="str">
        <f>IF(RIGHT(H439,2)&lt;&gt;"00",H439,"")</f>
        <v/>
      </c>
      <c r="Y439" s="26">
        <f ca="1">NETWORKDAYS(P439,$Y$1)</f>
        <v>196</v>
      </c>
      <c r="Z439" s="34">
        <v>1</v>
      </c>
      <c r="AA439" s="25" t="str">
        <f t="shared" ca="1" si="33"/>
        <v>A VENCER</v>
      </c>
      <c r="AB439" s="25" t="str">
        <f t="shared" si="36"/>
        <v>C-14</v>
      </c>
      <c r="AC439" s="2" t="str">
        <f t="shared" si="35"/>
        <v xml:space="preserve"> CLEITON </v>
      </c>
      <c r="AD439" s="26">
        <f t="shared" si="37"/>
        <v>5</v>
      </c>
      <c r="AE439" s="26">
        <f t="shared" ca="1" si="34"/>
        <v>273.28349386573973</v>
      </c>
      <c r="AF439" s="35"/>
    </row>
    <row r="440" spans="1:32" hidden="1">
      <c r="A440" s="209">
        <v>8635179</v>
      </c>
      <c r="B440" s="209" t="s">
        <v>653</v>
      </c>
      <c r="C440" s="210" t="s">
        <v>935</v>
      </c>
      <c r="D440" s="214"/>
      <c r="E440" s="214">
        <v>8973001400010</v>
      </c>
      <c r="F440" s="209" t="s">
        <v>936</v>
      </c>
      <c r="G440" s="209" t="s">
        <v>53</v>
      </c>
      <c r="H440" s="209" t="s">
        <v>661</v>
      </c>
      <c r="I440" s="209" t="s">
        <v>662</v>
      </c>
      <c r="J440" s="209" t="s">
        <v>46</v>
      </c>
      <c r="K440" s="210" t="s">
        <v>937</v>
      </c>
      <c r="L440" s="210"/>
      <c r="M440" s="209" t="s">
        <v>58</v>
      </c>
      <c r="N440" s="209">
        <v>0</v>
      </c>
      <c r="O440" s="209" t="s">
        <v>105</v>
      </c>
      <c r="P440" s="213">
        <v>44713.392581018517</v>
      </c>
      <c r="Q440" s="209"/>
      <c r="R440" s="209">
        <v>3</v>
      </c>
      <c r="S440" s="209"/>
      <c r="T440" s="209" t="s">
        <v>646</v>
      </c>
      <c r="U440" s="213">
        <v>44714.392581018517</v>
      </c>
      <c r="V440" s="209" t="s">
        <v>41</v>
      </c>
      <c r="W440" s="209" t="s">
        <v>49</v>
      </c>
      <c r="X440" s="13" t="str">
        <f>IF(RIGHT(H440,2)&lt;&gt;"00",H440,"")</f>
        <v/>
      </c>
      <c r="Y440" s="26">
        <f ca="1">NETWORKDAYS(P440,$Y$1)</f>
        <v>196</v>
      </c>
      <c r="Z440" s="34">
        <v>1</v>
      </c>
      <c r="AA440" s="25" t="str">
        <f t="shared" ca="1" si="33"/>
        <v>A VENCER</v>
      </c>
      <c r="AB440" s="25" t="str">
        <f t="shared" si="36"/>
        <v>C-14</v>
      </c>
      <c r="AC440" s="2" t="str">
        <f t="shared" si="35"/>
        <v xml:space="preserve"> CLEITON </v>
      </c>
      <c r="AD440" s="26">
        <f t="shared" si="37"/>
        <v>5</v>
      </c>
      <c r="AE440" s="26">
        <f t="shared" ca="1" si="34"/>
        <v>273.28369062500133</v>
      </c>
      <c r="AF440" s="35"/>
    </row>
    <row r="441" spans="1:32" hidden="1">
      <c r="A441" s="209">
        <v>8635156</v>
      </c>
      <c r="B441" s="209" t="s">
        <v>653</v>
      </c>
      <c r="C441" s="210" t="s">
        <v>935</v>
      </c>
      <c r="D441" s="214"/>
      <c r="E441" s="214">
        <v>8633001400010</v>
      </c>
      <c r="F441" s="209" t="s">
        <v>936</v>
      </c>
      <c r="G441" s="209" t="s">
        <v>53</v>
      </c>
      <c r="H441" s="209" t="s">
        <v>835</v>
      </c>
      <c r="I441" s="209" t="s">
        <v>836</v>
      </c>
      <c r="J441" s="209" t="s">
        <v>46</v>
      </c>
      <c r="K441" s="210" t="s">
        <v>937</v>
      </c>
      <c r="L441" s="210"/>
      <c r="M441" s="209" t="s">
        <v>58</v>
      </c>
      <c r="N441" s="209">
        <v>0</v>
      </c>
      <c r="O441" s="209" t="s">
        <v>105</v>
      </c>
      <c r="P441" s="213">
        <v>44713.392557870371</v>
      </c>
      <c r="Q441" s="209"/>
      <c r="R441" s="209">
        <v>3</v>
      </c>
      <c r="S441" s="209"/>
      <c r="T441" s="209" t="s">
        <v>646</v>
      </c>
      <c r="U441" s="213">
        <v>44714.392557870371</v>
      </c>
      <c r="V441" s="209" t="s">
        <v>41</v>
      </c>
      <c r="W441" s="209" t="s">
        <v>49</v>
      </c>
      <c r="X441" s="13" t="str">
        <f>IF(RIGHT(H441,2)&lt;&gt;"00",H441,"")</f>
        <v/>
      </c>
      <c r="Y441" s="26">
        <f ca="1">NETWORKDAYS(P441,$Y$1)</f>
        <v>196</v>
      </c>
      <c r="Z441" s="34">
        <v>1</v>
      </c>
      <c r="AA441" s="25" t="str">
        <f t="shared" ca="1" si="33"/>
        <v>A VENCER</v>
      </c>
      <c r="AB441" s="25" t="str">
        <f t="shared" si="36"/>
        <v>C-14</v>
      </c>
      <c r="AC441" s="2" t="str">
        <f t="shared" si="35"/>
        <v xml:space="preserve"> CLEITON </v>
      </c>
      <c r="AD441" s="26">
        <f t="shared" si="37"/>
        <v>5</v>
      </c>
      <c r="AE441" s="26">
        <f t="shared" ca="1" si="34"/>
        <v>273.28371377314761</v>
      </c>
      <c r="AF441" s="35"/>
    </row>
    <row r="442" spans="1:32" hidden="1">
      <c r="A442" s="209">
        <v>8634660</v>
      </c>
      <c r="B442" s="209" t="s">
        <v>653</v>
      </c>
      <c r="C442" s="210" t="s">
        <v>935</v>
      </c>
      <c r="D442" s="214"/>
      <c r="E442" s="214">
        <v>5898001400010</v>
      </c>
      <c r="F442" s="209" t="s">
        <v>936</v>
      </c>
      <c r="G442" s="209" t="s">
        <v>53</v>
      </c>
      <c r="H442" s="209" t="s">
        <v>365</v>
      </c>
      <c r="I442" s="209" t="s">
        <v>366</v>
      </c>
      <c r="J442" s="209" t="s">
        <v>164</v>
      </c>
      <c r="K442" s="210" t="s">
        <v>937</v>
      </c>
      <c r="L442" s="210"/>
      <c r="M442" s="209" t="s">
        <v>58</v>
      </c>
      <c r="N442" s="209">
        <v>0</v>
      </c>
      <c r="O442" s="209" t="s">
        <v>105</v>
      </c>
      <c r="P442" s="213">
        <v>44713.390601851854</v>
      </c>
      <c r="Q442" s="209"/>
      <c r="R442" s="209">
        <v>3</v>
      </c>
      <c r="S442" s="209"/>
      <c r="T442" s="209" t="s">
        <v>646</v>
      </c>
      <c r="U442" s="213">
        <v>44714.390601851854</v>
      </c>
      <c r="V442" s="209" t="s">
        <v>41</v>
      </c>
      <c r="W442" s="209" t="s">
        <v>49</v>
      </c>
      <c r="X442" s="13" t="str">
        <f>IF(RIGHT(H442,2)&lt;&gt;"00",H442,"")</f>
        <v/>
      </c>
      <c r="Y442" s="26">
        <f ca="1">NETWORKDAYS(P442,$Y$1)</f>
        <v>196</v>
      </c>
      <c r="Z442" s="34">
        <v>1</v>
      </c>
      <c r="AA442" s="25" t="str">
        <f t="shared" ca="1" si="33"/>
        <v>A VENCER</v>
      </c>
      <c r="AB442" s="25" t="str">
        <f t="shared" si="36"/>
        <v>C-14</v>
      </c>
      <c r="AC442" s="2" t="str">
        <f t="shared" si="35"/>
        <v xml:space="preserve"> ROSEMERE </v>
      </c>
      <c r="AD442" s="26">
        <f t="shared" si="37"/>
        <v>5</v>
      </c>
      <c r="AE442" s="26">
        <f t="shared" ca="1" si="34"/>
        <v>273.28566979166499</v>
      </c>
      <c r="AF442" s="35"/>
    </row>
    <row r="443" spans="1:32" hidden="1">
      <c r="A443" s="209">
        <v>8634637</v>
      </c>
      <c r="B443" s="209" t="s">
        <v>653</v>
      </c>
      <c r="C443" s="210" t="s">
        <v>935</v>
      </c>
      <c r="D443" s="214"/>
      <c r="E443" s="214">
        <v>5816001400010</v>
      </c>
      <c r="F443" s="209" t="s">
        <v>936</v>
      </c>
      <c r="G443" s="209" t="s">
        <v>53</v>
      </c>
      <c r="H443" s="209" t="s">
        <v>412</v>
      </c>
      <c r="I443" s="209" t="s">
        <v>413</v>
      </c>
      <c r="J443" s="209" t="s">
        <v>46</v>
      </c>
      <c r="K443" s="210" t="s">
        <v>937</v>
      </c>
      <c r="L443" s="210"/>
      <c r="M443" s="209" t="s">
        <v>58</v>
      </c>
      <c r="N443" s="209">
        <v>0</v>
      </c>
      <c r="O443" s="209" t="s">
        <v>105</v>
      </c>
      <c r="P443" s="213">
        <v>44713.390567129631</v>
      </c>
      <c r="Q443" s="209"/>
      <c r="R443" s="209">
        <v>3</v>
      </c>
      <c r="S443" s="209"/>
      <c r="T443" s="209" t="s">
        <v>646</v>
      </c>
      <c r="U443" s="213">
        <v>44714.390567129631</v>
      </c>
      <c r="V443" s="209" t="s">
        <v>41</v>
      </c>
      <c r="W443" s="209" t="s">
        <v>49</v>
      </c>
      <c r="X443" s="13" t="str">
        <f>IF(RIGHT(H443,2)&lt;&gt;"00",H443,"")</f>
        <v/>
      </c>
      <c r="Y443" s="26">
        <f ca="1">NETWORKDAYS(P443,$Y$1)</f>
        <v>196</v>
      </c>
      <c r="Z443" s="34">
        <v>1</v>
      </c>
      <c r="AA443" s="25" t="str">
        <f t="shared" ca="1" si="33"/>
        <v>A VENCER</v>
      </c>
      <c r="AB443" s="25" t="str">
        <f t="shared" si="36"/>
        <v>C-14</v>
      </c>
      <c r="AC443" s="2" t="str">
        <f t="shared" si="35"/>
        <v xml:space="preserve"> CLEITON </v>
      </c>
      <c r="AD443" s="26">
        <f t="shared" si="37"/>
        <v>5</v>
      </c>
      <c r="AE443" s="26">
        <f t="shared" ca="1" si="34"/>
        <v>273.28570451388805</v>
      </c>
      <c r="AF443" s="35"/>
    </row>
    <row r="444" spans="1:32" hidden="1">
      <c r="A444" s="209">
        <v>8634603</v>
      </c>
      <c r="B444" s="209" t="s">
        <v>653</v>
      </c>
      <c r="C444" s="210" t="s">
        <v>935</v>
      </c>
      <c r="D444" s="214"/>
      <c r="E444" s="214">
        <v>5755001400010</v>
      </c>
      <c r="F444" s="209" t="s">
        <v>936</v>
      </c>
      <c r="G444" s="209" t="s">
        <v>53</v>
      </c>
      <c r="H444" s="209" t="s">
        <v>841</v>
      </c>
      <c r="I444" s="209" t="s">
        <v>842</v>
      </c>
      <c r="J444" s="209" t="s">
        <v>46</v>
      </c>
      <c r="K444" s="210" t="s">
        <v>937</v>
      </c>
      <c r="L444" s="210"/>
      <c r="M444" s="209" t="s">
        <v>58</v>
      </c>
      <c r="N444" s="209">
        <v>0</v>
      </c>
      <c r="O444" s="209" t="s">
        <v>105</v>
      </c>
      <c r="P444" s="213">
        <v>44713.390509259261</v>
      </c>
      <c r="Q444" s="209"/>
      <c r="R444" s="209">
        <v>3</v>
      </c>
      <c r="S444" s="209"/>
      <c r="T444" s="209" t="s">
        <v>646</v>
      </c>
      <c r="U444" s="213">
        <v>44714.390509259261</v>
      </c>
      <c r="V444" s="209" t="s">
        <v>41</v>
      </c>
      <c r="W444" s="209" t="s">
        <v>49</v>
      </c>
      <c r="X444" s="13" t="str">
        <f>IF(RIGHT(H444,2)&lt;&gt;"00",H444,"")</f>
        <v/>
      </c>
      <c r="Y444" s="26">
        <f ca="1">NETWORKDAYS(P444,$Y$1)</f>
        <v>196</v>
      </c>
      <c r="Z444" s="34">
        <v>1</v>
      </c>
      <c r="AA444" s="25" t="str">
        <f t="shared" ca="1" si="33"/>
        <v>A VENCER</v>
      </c>
      <c r="AB444" s="25" t="str">
        <f t="shared" si="36"/>
        <v>C-14</v>
      </c>
      <c r="AC444" s="2" t="str">
        <f t="shared" si="35"/>
        <v xml:space="preserve"> CLEITON </v>
      </c>
      <c r="AD444" s="26">
        <f t="shared" si="37"/>
        <v>5</v>
      </c>
      <c r="AE444" s="26">
        <f t="shared" ca="1" si="34"/>
        <v>273.2857623842574</v>
      </c>
      <c r="AF444" s="35"/>
    </row>
    <row r="445" spans="1:32" hidden="1">
      <c r="A445" s="209">
        <v>8634599</v>
      </c>
      <c r="B445" s="209" t="s">
        <v>653</v>
      </c>
      <c r="C445" s="210" t="s">
        <v>935</v>
      </c>
      <c r="D445" s="214"/>
      <c r="E445" s="214">
        <v>5742001400010</v>
      </c>
      <c r="F445" s="209" t="s">
        <v>936</v>
      </c>
      <c r="G445" s="209" t="s">
        <v>53</v>
      </c>
      <c r="H445" s="209" t="s">
        <v>430</v>
      </c>
      <c r="I445" s="209" t="s">
        <v>431</v>
      </c>
      <c r="J445" s="209" t="s">
        <v>79</v>
      </c>
      <c r="K445" s="210" t="s">
        <v>937</v>
      </c>
      <c r="L445" s="210"/>
      <c r="M445" s="209" t="s">
        <v>58</v>
      </c>
      <c r="N445" s="209">
        <v>0</v>
      </c>
      <c r="O445" s="209" t="s">
        <v>105</v>
      </c>
      <c r="P445" s="213">
        <v>44713.390509259261</v>
      </c>
      <c r="Q445" s="209"/>
      <c r="R445" s="209">
        <v>3</v>
      </c>
      <c r="S445" s="209"/>
      <c r="T445" s="209" t="s">
        <v>646</v>
      </c>
      <c r="U445" s="213">
        <v>44714.390509259261</v>
      </c>
      <c r="V445" s="209" t="s">
        <v>41</v>
      </c>
      <c r="W445" s="209" t="s">
        <v>49</v>
      </c>
      <c r="X445" s="13" t="str">
        <f>IF(RIGHT(H445,2)&lt;&gt;"00",H445,"")</f>
        <v/>
      </c>
      <c r="Y445" s="26">
        <f ca="1">NETWORKDAYS(P445,$Y$1)</f>
        <v>196</v>
      </c>
      <c r="Z445" s="34">
        <v>1</v>
      </c>
      <c r="AA445" s="25" t="str">
        <f t="shared" ca="1" si="33"/>
        <v>A VENCER</v>
      </c>
      <c r="AB445" s="25" t="str">
        <f t="shared" si="36"/>
        <v>C-14</v>
      </c>
      <c r="AC445" s="2" t="str">
        <f t="shared" si="35"/>
        <v xml:space="preserve"> ROSEMERE </v>
      </c>
      <c r="AD445" s="26">
        <f t="shared" si="37"/>
        <v>5</v>
      </c>
      <c r="AE445" s="26">
        <f t="shared" ca="1" si="34"/>
        <v>273.2857623842574</v>
      </c>
      <c r="AF445" s="35"/>
    </row>
    <row r="446" spans="1:32" hidden="1">
      <c r="A446" s="209">
        <v>8634597</v>
      </c>
      <c r="B446" s="209" t="s">
        <v>653</v>
      </c>
      <c r="C446" s="210" t="s">
        <v>935</v>
      </c>
      <c r="D446" s="214"/>
      <c r="E446" s="214">
        <v>5740001400010</v>
      </c>
      <c r="F446" s="209" t="s">
        <v>936</v>
      </c>
      <c r="G446" s="209" t="s">
        <v>53</v>
      </c>
      <c r="H446" s="209" t="s">
        <v>626</v>
      </c>
      <c r="I446" s="209" t="s">
        <v>627</v>
      </c>
      <c r="J446" s="209" t="s">
        <v>46</v>
      </c>
      <c r="K446" s="210" t="s">
        <v>937</v>
      </c>
      <c r="L446" s="210"/>
      <c r="M446" s="209" t="s">
        <v>58</v>
      </c>
      <c r="N446" s="209">
        <v>0</v>
      </c>
      <c r="O446" s="209" t="s">
        <v>105</v>
      </c>
      <c r="P446" s="213">
        <v>44713.390509259261</v>
      </c>
      <c r="Q446" s="209"/>
      <c r="R446" s="209">
        <v>3</v>
      </c>
      <c r="S446" s="209"/>
      <c r="T446" s="209" t="s">
        <v>646</v>
      </c>
      <c r="U446" s="213">
        <v>44714.390509259261</v>
      </c>
      <c r="V446" s="209" t="s">
        <v>41</v>
      </c>
      <c r="W446" s="209" t="s">
        <v>49</v>
      </c>
      <c r="X446" s="13" t="str">
        <f>IF(RIGHT(H446,2)&lt;&gt;"00",H446,"")</f>
        <v/>
      </c>
      <c r="Y446" s="26">
        <f ca="1">NETWORKDAYS(P446,$Y$1)</f>
        <v>196</v>
      </c>
      <c r="Z446" s="34">
        <v>1</v>
      </c>
      <c r="AA446" s="25" t="str">
        <f t="shared" ca="1" si="33"/>
        <v>A VENCER</v>
      </c>
      <c r="AB446" s="25" t="str">
        <f t="shared" si="36"/>
        <v>C-14</v>
      </c>
      <c r="AC446" s="2" t="str">
        <f t="shared" si="35"/>
        <v xml:space="preserve"> CLEITON </v>
      </c>
      <c r="AD446" s="26">
        <f t="shared" si="37"/>
        <v>5</v>
      </c>
      <c r="AE446" s="26">
        <f t="shared" ca="1" si="34"/>
        <v>273.2857623842574</v>
      </c>
      <c r="AF446" s="35"/>
    </row>
    <row r="447" spans="1:32" hidden="1">
      <c r="A447" s="209">
        <v>8634419</v>
      </c>
      <c r="B447" s="209" t="s">
        <v>653</v>
      </c>
      <c r="C447" s="210" t="s">
        <v>935</v>
      </c>
      <c r="D447" s="214"/>
      <c r="E447" s="214">
        <v>4997001400010</v>
      </c>
      <c r="F447" s="209" t="s">
        <v>936</v>
      </c>
      <c r="G447" s="209" t="s">
        <v>53</v>
      </c>
      <c r="H447" s="209" t="s">
        <v>406</v>
      </c>
      <c r="I447" s="209" t="s">
        <v>407</v>
      </c>
      <c r="J447" s="209" t="s">
        <v>79</v>
      </c>
      <c r="K447" s="210" t="s">
        <v>937</v>
      </c>
      <c r="L447" s="210"/>
      <c r="M447" s="209" t="s">
        <v>58</v>
      </c>
      <c r="N447" s="209">
        <v>0</v>
      </c>
      <c r="O447" s="209" t="s">
        <v>36</v>
      </c>
      <c r="P447" s="213">
        <v>44713.390104166669</v>
      </c>
      <c r="Q447" s="209"/>
      <c r="R447" s="209">
        <v>3</v>
      </c>
      <c r="S447" s="209"/>
      <c r="T447" s="209" t="s">
        <v>646</v>
      </c>
      <c r="U447" s="213">
        <v>44714.390104166669</v>
      </c>
      <c r="V447" s="209" t="s">
        <v>41</v>
      </c>
      <c r="W447" s="209" t="s">
        <v>49</v>
      </c>
      <c r="X447" s="13" t="str">
        <f>IF(RIGHT(H447,2)&lt;&gt;"00",H447,"")</f>
        <v/>
      </c>
      <c r="Y447" s="26">
        <f ca="1">NETWORKDAYS(P447,$Y$1)</f>
        <v>196</v>
      </c>
      <c r="Z447" s="34">
        <v>1</v>
      </c>
      <c r="AA447" s="25" t="str">
        <f t="shared" ca="1" si="33"/>
        <v>A VENCER</v>
      </c>
      <c r="AB447" s="25" t="str">
        <f t="shared" si="36"/>
        <v>C-14</v>
      </c>
      <c r="AC447" s="2" t="str">
        <f t="shared" si="35"/>
        <v xml:space="preserve"> ROSEMERE </v>
      </c>
      <c r="AD447" s="26">
        <f t="shared" si="37"/>
        <v>5</v>
      </c>
      <c r="AE447" s="26">
        <f t="shared" ca="1" si="34"/>
        <v>273.2861674768501</v>
      </c>
      <c r="AF447" s="35"/>
    </row>
    <row r="448" spans="1:32" hidden="1">
      <c r="A448" s="209">
        <v>8634261</v>
      </c>
      <c r="B448" s="209" t="s">
        <v>653</v>
      </c>
      <c r="C448" s="210" t="s">
        <v>935</v>
      </c>
      <c r="D448" s="214"/>
      <c r="E448" s="214">
        <v>4637001400010</v>
      </c>
      <c r="F448" s="209" t="s">
        <v>936</v>
      </c>
      <c r="G448" s="209" t="s">
        <v>53</v>
      </c>
      <c r="H448" s="209" t="s">
        <v>848</v>
      </c>
      <c r="I448" s="209" t="s">
        <v>849</v>
      </c>
      <c r="J448" s="209" t="s">
        <v>79</v>
      </c>
      <c r="K448" s="210" t="s">
        <v>937</v>
      </c>
      <c r="L448" s="210"/>
      <c r="M448" s="209" t="s">
        <v>58</v>
      </c>
      <c r="N448" s="209">
        <v>0</v>
      </c>
      <c r="O448" s="209" t="s">
        <v>105</v>
      </c>
      <c r="P448" s="213">
        <v>44713.389722222222</v>
      </c>
      <c r="Q448" s="209"/>
      <c r="R448" s="209">
        <v>3</v>
      </c>
      <c r="S448" s="209"/>
      <c r="T448" s="209" t="s">
        <v>646</v>
      </c>
      <c r="U448" s="213">
        <v>44714.389733796299</v>
      </c>
      <c r="V448" s="209" t="s">
        <v>41</v>
      </c>
      <c r="W448" s="209" t="s">
        <v>49</v>
      </c>
      <c r="X448" s="13" t="str">
        <f>IF(RIGHT(H448,2)&lt;&gt;"00",H448,"")</f>
        <v/>
      </c>
      <c r="Y448" s="26">
        <f ca="1">NETWORKDAYS(P448,$Y$1)</f>
        <v>196</v>
      </c>
      <c r="Z448" s="34">
        <v>1</v>
      </c>
      <c r="AA448" s="25" t="str">
        <f t="shared" ca="1" si="33"/>
        <v>A VENCER</v>
      </c>
      <c r="AB448" s="25" t="str">
        <f t="shared" si="36"/>
        <v>C-14</v>
      </c>
      <c r="AC448" s="2" t="str">
        <f t="shared" si="35"/>
        <v xml:space="preserve"> ROSEMERE </v>
      </c>
      <c r="AD448" s="26">
        <f t="shared" si="37"/>
        <v>5</v>
      </c>
      <c r="AE448" s="26">
        <f t="shared" ca="1" si="34"/>
        <v>273.28654942129651</v>
      </c>
      <c r="AF448" s="35"/>
    </row>
    <row r="449" spans="1:32" hidden="1">
      <c r="A449" s="209">
        <v>8634248</v>
      </c>
      <c r="B449" s="209" t="s">
        <v>653</v>
      </c>
      <c r="C449" s="210" t="s">
        <v>935</v>
      </c>
      <c r="D449" s="214"/>
      <c r="E449" s="214">
        <v>4623001400010</v>
      </c>
      <c r="F449" s="209" t="s">
        <v>936</v>
      </c>
      <c r="G449" s="209" t="s">
        <v>53</v>
      </c>
      <c r="H449" s="209" t="s">
        <v>669</v>
      </c>
      <c r="I449" s="209" t="s">
        <v>670</v>
      </c>
      <c r="J449" s="209" t="s">
        <v>33</v>
      </c>
      <c r="K449" s="210" t="s">
        <v>937</v>
      </c>
      <c r="L449" s="210"/>
      <c r="M449" s="209" t="s">
        <v>58</v>
      </c>
      <c r="N449" s="209">
        <v>0</v>
      </c>
      <c r="O449" s="209" t="s">
        <v>105</v>
      </c>
      <c r="P449" s="213">
        <v>44713.389710648145</v>
      </c>
      <c r="Q449" s="209"/>
      <c r="R449" s="209">
        <v>3</v>
      </c>
      <c r="S449" s="209"/>
      <c r="T449" s="209" t="s">
        <v>646</v>
      </c>
      <c r="U449" s="213">
        <v>44714.389710648145</v>
      </c>
      <c r="V449" s="209" t="s">
        <v>41</v>
      </c>
      <c r="W449" s="209" t="s">
        <v>42</v>
      </c>
      <c r="X449" s="13" t="str">
        <f>IF(RIGHT(H449,2)&lt;&gt;"00",H449,"")</f>
        <v/>
      </c>
      <c r="Y449" s="26">
        <f ca="1">NETWORKDAYS(P449,$Y$1)</f>
        <v>196</v>
      </c>
      <c r="Z449" s="34">
        <v>1</v>
      </c>
      <c r="AA449" s="25" t="str">
        <f t="shared" ca="1" si="33"/>
        <v>A VENCER</v>
      </c>
      <c r="AB449" s="25" t="str">
        <f t="shared" si="36"/>
        <v>C-14</v>
      </c>
      <c r="AC449" s="2" t="str">
        <f t="shared" si="35"/>
        <v xml:space="preserve"> ROSEMERE </v>
      </c>
      <c r="AD449" s="26">
        <f t="shared" si="37"/>
        <v>5</v>
      </c>
      <c r="AE449" s="26">
        <f t="shared" ca="1" si="34"/>
        <v>273.28656099537329</v>
      </c>
      <c r="AF449" s="35"/>
    </row>
    <row r="450" spans="1:32" hidden="1">
      <c r="A450" s="209">
        <v>8634067</v>
      </c>
      <c r="B450" s="209" t="s">
        <v>653</v>
      </c>
      <c r="C450" s="210" t="s">
        <v>935</v>
      </c>
      <c r="D450" s="214"/>
      <c r="E450" s="214">
        <v>4357001400010</v>
      </c>
      <c r="F450" s="209" t="s">
        <v>936</v>
      </c>
      <c r="G450" s="209" t="s">
        <v>53</v>
      </c>
      <c r="H450" s="209" t="s">
        <v>633</v>
      </c>
      <c r="I450" s="209" t="s">
        <v>634</v>
      </c>
      <c r="J450" s="209" t="s">
        <v>46</v>
      </c>
      <c r="K450" s="210" t="s">
        <v>937</v>
      </c>
      <c r="L450" s="210"/>
      <c r="M450" s="209" t="s">
        <v>58</v>
      </c>
      <c r="N450" s="209">
        <v>0</v>
      </c>
      <c r="O450" s="209" t="s">
        <v>105</v>
      </c>
      <c r="P450" s="213">
        <v>44713.389305555553</v>
      </c>
      <c r="Q450" s="209"/>
      <c r="R450" s="209">
        <v>3</v>
      </c>
      <c r="S450" s="209"/>
      <c r="T450" s="209" t="s">
        <v>646</v>
      </c>
      <c r="U450" s="213">
        <v>44714.389305555553</v>
      </c>
      <c r="V450" s="209" t="s">
        <v>41</v>
      </c>
      <c r="W450" s="209" t="s">
        <v>49</v>
      </c>
      <c r="X450" s="13" t="str">
        <f>IF(RIGHT(H450,2)&lt;&gt;"00",H450,"")</f>
        <v/>
      </c>
      <c r="Y450" s="26">
        <f ca="1">NETWORKDAYS(P450,$Y$1)</f>
        <v>196</v>
      </c>
      <c r="Z450" s="34">
        <v>1</v>
      </c>
      <c r="AA450" s="25" t="str">
        <f t="shared" ref="AA450:AA513" ca="1" si="38">IF(AE450=0,"HOJE",IF(AE450&gt;0,"A VENCER",IF(AE450&lt;0,"VENCIDO")))</f>
        <v>A VENCER</v>
      </c>
      <c r="AB450" s="25" t="str">
        <f t="shared" si="36"/>
        <v>C-14</v>
      </c>
      <c r="AC450" s="2" t="str">
        <f t="shared" si="35"/>
        <v xml:space="preserve"> CLEITON </v>
      </c>
      <c r="AD450" s="26">
        <f t="shared" si="37"/>
        <v>5</v>
      </c>
      <c r="AE450" s="26">
        <f t="shared" ref="AE450:AE513" ca="1" si="39">IF(P450=$AE$1,"",$AE$1-P450)</f>
        <v>273.28696608796599</v>
      </c>
      <c r="AF450" s="35"/>
    </row>
    <row r="451" spans="1:32" hidden="1">
      <c r="A451" s="209">
        <v>8633996</v>
      </c>
      <c r="B451" s="209" t="s">
        <v>653</v>
      </c>
      <c r="C451" s="210" t="s">
        <v>935</v>
      </c>
      <c r="D451" s="214"/>
      <c r="E451" s="214">
        <v>4235001400010</v>
      </c>
      <c r="F451" s="209" t="s">
        <v>936</v>
      </c>
      <c r="G451" s="209" t="s">
        <v>53</v>
      </c>
      <c r="H451" s="209" t="s">
        <v>291</v>
      </c>
      <c r="I451" s="209" t="s">
        <v>292</v>
      </c>
      <c r="J451" s="209" t="s">
        <v>46</v>
      </c>
      <c r="K451" s="210" t="s">
        <v>937</v>
      </c>
      <c r="L451" s="210"/>
      <c r="M451" s="209" t="s">
        <v>58</v>
      </c>
      <c r="N451" s="209">
        <v>0</v>
      </c>
      <c r="O451" s="209" t="s">
        <v>105</v>
      </c>
      <c r="P451" s="213">
        <v>44713.38921296296</v>
      </c>
      <c r="Q451" s="209"/>
      <c r="R451" s="209">
        <v>3</v>
      </c>
      <c r="S451" s="209"/>
      <c r="T451" s="209" t="s">
        <v>646</v>
      </c>
      <c r="U451" s="213">
        <v>44714.38921296296</v>
      </c>
      <c r="V451" s="209" t="s">
        <v>41</v>
      </c>
      <c r="W451" s="209" t="s">
        <v>49</v>
      </c>
      <c r="X451" s="13" t="str">
        <f>IF(RIGHT(H451,2)&lt;&gt;"00",H451,"")</f>
        <v/>
      </c>
      <c r="Y451" s="26">
        <f ca="1">NETWORKDAYS(P451,$Y$1)</f>
        <v>196</v>
      </c>
      <c r="Z451" s="34">
        <v>1</v>
      </c>
      <c r="AA451" s="25" t="str">
        <f t="shared" ca="1" si="38"/>
        <v>A VENCER</v>
      </c>
      <c r="AB451" s="25" t="str">
        <f t="shared" si="36"/>
        <v>C-14</v>
      </c>
      <c r="AC451" s="2" t="str">
        <f t="shared" ref="AC451:AC514" si="40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 xml:space="preserve"> CLEITON </v>
      </c>
      <c r="AD451" s="26">
        <f t="shared" si="37"/>
        <v>5</v>
      </c>
      <c r="AE451" s="26">
        <f t="shared" ca="1" si="39"/>
        <v>273.2870586805584</v>
      </c>
      <c r="AF451" s="35"/>
    </row>
    <row r="452" spans="1:32" hidden="1">
      <c r="A452" s="209">
        <v>8633745</v>
      </c>
      <c r="B452" s="209" t="s">
        <v>653</v>
      </c>
      <c r="C452" s="210" t="s">
        <v>935</v>
      </c>
      <c r="D452" s="214"/>
      <c r="E452" s="214">
        <v>3918001400010</v>
      </c>
      <c r="F452" s="209" t="s">
        <v>936</v>
      </c>
      <c r="G452" s="209" t="s">
        <v>53</v>
      </c>
      <c r="H452" s="209" t="s">
        <v>858</v>
      </c>
      <c r="I452" s="209" t="s">
        <v>859</v>
      </c>
      <c r="J452" s="209" t="s">
        <v>33</v>
      </c>
      <c r="K452" s="210" t="s">
        <v>937</v>
      </c>
      <c r="L452" s="210"/>
      <c r="M452" s="209" t="s">
        <v>58</v>
      </c>
      <c r="N452" s="209">
        <v>0</v>
      </c>
      <c r="O452" s="209" t="s">
        <v>105</v>
      </c>
      <c r="P452" s="213">
        <v>44713.388645833336</v>
      </c>
      <c r="Q452" s="209"/>
      <c r="R452" s="209">
        <v>3</v>
      </c>
      <c r="S452" s="209"/>
      <c r="T452" s="209" t="s">
        <v>646</v>
      </c>
      <c r="U452" s="213">
        <v>44714.388645833336</v>
      </c>
      <c r="V452" s="209" t="s">
        <v>41</v>
      </c>
      <c r="W452" s="209" t="s">
        <v>49</v>
      </c>
      <c r="X452" s="13" t="str">
        <f>IF(RIGHT(H452,2)&lt;&gt;"00",H452,"")</f>
        <v/>
      </c>
      <c r="Y452" s="26">
        <f ca="1">NETWORKDAYS(P452,$Y$1)</f>
        <v>196</v>
      </c>
      <c r="Z452" s="34">
        <v>1</v>
      </c>
      <c r="AA452" s="25" t="str">
        <f t="shared" ca="1" si="38"/>
        <v>A VENCER</v>
      </c>
      <c r="AB452" s="25" t="str">
        <f t="shared" si="36"/>
        <v>C-14</v>
      </c>
      <c r="AC452" s="2" t="str">
        <f t="shared" si="40"/>
        <v xml:space="preserve"> ROSEMERE </v>
      </c>
      <c r="AD452" s="26">
        <f t="shared" si="37"/>
        <v>5</v>
      </c>
      <c r="AE452" s="26">
        <f t="shared" ca="1" si="39"/>
        <v>273.28762581018236</v>
      </c>
      <c r="AF452" s="35"/>
    </row>
    <row r="453" spans="1:32" hidden="1">
      <c r="A453" s="209">
        <v>8633594</v>
      </c>
      <c r="B453" s="209" t="s">
        <v>653</v>
      </c>
      <c r="C453" s="210" t="s">
        <v>935</v>
      </c>
      <c r="D453" s="214"/>
      <c r="E453" s="214">
        <v>3699001400010</v>
      </c>
      <c r="F453" s="209" t="s">
        <v>936</v>
      </c>
      <c r="G453" s="209" t="s">
        <v>53</v>
      </c>
      <c r="H453" s="209" t="s">
        <v>343</v>
      </c>
      <c r="I453" s="209" t="s">
        <v>344</v>
      </c>
      <c r="J453" s="209" t="s">
        <v>46</v>
      </c>
      <c r="K453" s="210" t="s">
        <v>937</v>
      </c>
      <c r="L453" s="210"/>
      <c r="M453" s="209" t="s">
        <v>58</v>
      </c>
      <c r="N453" s="209">
        <v>0</v>
      </c>
      <c r="O453" s="209" t="s">
        <v>105</v>
      </c>
      <c r="P453" s="213">
        <v>44713.388356481482</v>
      </c>
      <c r="Q453" s="209"/>
      <c r="R453" s="209">
        <v>3</v>
      </c>
      <c r="S453" s="209"/>
      <c r="T453" s="209" t="s">
        <v>646</v>
      </c>
      <c r="U453" s="213">
        <v>44714.388356481482</v>
      </c>
      <c r="V453" s="209" t="s">
        <v>41</v>
      </c>
      <c r="W453" s="209" t="s">
        <v>49</v>
      </c>
      <c r="X453" s="13" t="str">
        <f>IF(RIGHT(H453,2)&lt;&gt;"00",H453,"")</f>
        <v/>
      </c>
      <c r="Y453" s="26">
        <f ca="1">NETWORKDAYS(P453,$Y$1)</f>
        <v>196</v>
      </c>
      <c r="Z453" s="34">
        <v>1</v>
      </c>
      <c r="AA453" s="25" t="str">
        <f t="shared" ca="1" si="38"/>
        <v>A VENCER</v>
      </c>
      <c r="AB453" s="25" t="str">
        <f t="shared" si="36"/>
        <v>C-14</v>
      </c>
      <c r="AC453" s="2" t="str">
        <f t="shared" si="40"/>
        <v xml:space="preserve"> CLEITON </v>
      </c>
      <c r="AD453" s="26">
        <f t="shared" si="37"/>
        <v>5</v>
      </c>
      <c r="AE453" s="26">
        <f t="shared" ca="1" si="39"/>
        <v>273.28791516203637</v>
      </c>
      <c r="AF453" s="35"/>
    </row>
    <row r="454" spans="1:32" hidden="1">
      <c r="A454" s="209">
        <v>8633518</v>
      </c>
      <c r="B454" s="209" t="s">
        <v>653</v>
      </c>
      <c r="C454" s="210" t="s">
        <v>935</v>
      </c>
      <c r="D454" s="214"/>
      <c r="E454" s="214">
        <v>3613001400010</v>
      </c>
      <c r="F454" s="209" t="s">
        <v>936</v>
      </c>
      <c r="G454" s="209" t="s">
        <v>53</v>
      </c>
      <c r="H454" s="209" t="s">
        <v>679</v>
      </c>
      <c r="I454" s="209" t="s">
        <v>680</v>
      </c>
      <c r="J454" s="209" t="s">
        <v>46</v>
      </c>
      <c r="K454" s="210" t="s">
        <v>937</v>
      </c>
      <c r="L454" s="210"/>
      <c r="M454" s="209" t="s">
        <v>58</v>
      </c>
      <c r="N454" s="209">
        <v>0</v>
      </c>
      <c r="O454" s="209" t="s">
        <v>105</v>
      </c>
      <c r="P454" s="213">
        <v>44713.388171296298</v>
      </c>
      <c r="Q454" s="209"/>
      <c r="R454" s="209">
        <v>3</v>
      </c>
      <c r="S454" s="209"/>
      <c r="T454" s="209" t="s">
        <v>646</v>
      </c>
      <c r="U454" s="213">
        <v>44714.388171296298</v>
      </c>
      <c r="V454" s="209" t="s">
        <v>41</v>
      </c>
      <c r="W454" s="209" t="s">
        <v>49</v>
      </c>
      <c r="X454" s="13" t="str">
        <f>IF(RIGHT(H454,2)&lt;&gt;"00",H454,"")</f>
        <v/>
      </c>
      <c r="Y454" s="26">
        <f ca="1">NETWORKDAYS(P454,$Y$1)</f>
        <v>196</v>
      </c>
      <c r="Z454" s="34">
        <v>1</v>
      </c>
      <c r="AA454" s="25" t="str">
        <f t="shared" ca="1" si="38"/>
        <v>A VENCER</v>
      </c>
      <c r="AB454" s="25" t="str">
        <f t="shared" si="36"/>
        <v>C-14</v>
      </c>
      <c r="AC454" s="2" t="str">
        <f t="shared" si="40"/>
        <v xml:space="preserve"> CLEITON </v>
      </c>
      <c r="AD454" s="26">
        <f t="shared" si="37"/>
        <v>5</v>
      </c>
      <c r="AE454" s="26">
        <f t="shared" ca="1" si="39"/>
        <v>273.28810034722119</v>
      </c>
      <c r="AF454" s="35"/>
    </row>
    <row r="455" spans="1:32" hidden="1">
      <c r="A455" s="209">
        <v>8633517</v>
      </c>
      <c r="B455" s="209" t="s">
        <v>653</v>
      </c>
      <c r="C455" s="210" t="s">
        <v>935</v>
      </c>
      <c r="D455" s="214"/>
      <c r="E455" s="214">
        <v>3612001400010</v>
      </c>
      <c r="F455" s="209" t="s">
        <v>936</v>
      </c>
      <c r="G455" s="209" t="s">
        <v>53</v>
      </c>
      <c r="H455" s="209" t="s">
        <v>683</v>
      </c>
      <c r="I455" s="209" t="s">
        <v>684</v>
      </c>
      <c r="J455" s="209" t="s">
        <v>46</v>
      </c>
      <c r="K455" s="210" t="s">
        <v>937</v>
      </c>
      <c r="L455" s="210"/>
      <c r="M455" s="209" t="s">
        <v>58</v>
      </c>
      <c r="N455" s="209">
        <v>0</v>
      </c>
      <c r="O455" s="209" t="s">
        <v>105</v>
      </c>
      <c r="P455" s="213">
        <v>44713.388171296298</v>
      </c>
      <c r="Q455" s="209"/>
      <c r="R455" s="209">
        <v>3</v>
      </c>
      <c r="S455" s="209"/>
      <c r="T455" s="209" t="s">
        <v>646</v>
      </c>
      <c r="U455" s="213">
        <v>44714.388171296298</v>
      </c>
      <c r="V455" s="209" t="s">
        <v>41</v>
      </c>
      <c r="W455" s="209" t="s">
        <v>49</v>
      </c>
      <c r="X455" s="13" t="str">
        <f>IF(RIGHT(H455,2)&lt;&gt;"00",H455,"")</f>
        <v/>
      </c>
      <c r="Y455" s="26">
        <f ca="1">NETWORKDAYS(P455,$Y$1)</f>
        <v>196</v>
      </c>
      <c r="Z455" s="34">
        <v>1</v>
      </c>
      <c r="AA455" s="25" t="str">
        <f t="shared" ca="1" si="38"/>
        <v>A VENCER</v>
      </c>
      <c r="AB455" s="25" t="str">
        <f t="shared" si="36"/>
        <v>C-14</v>
      </c>
      <c r="AC455" s="2" t="str">
        <f t="shared" si="40"/>
        <v xml:space="preserve"> CLEITON </v>
      </c>
      <c r="AD455" s="26">
        <f t="shared" si="37"/>
        <v>5</v>
      </c>
      <c r="AE455" s="26">
        <f t="shared" ca="1" si="39"/>
        <v>273.28810034722119</v>
      </c>
      <c r="AF455" s="35"/>
    </row>
    <row r="456" spans="1:32" hidden="1">
      <c r="A456" s="209">
        <v>8633446</v>
      </c>
      <c r="B456" s="209" t="s">
        <v>653</v>
      </c>
      <c r="C456" s="210" t="s">
        <v>935</v>
      </c>
      <c r="D456" s="214"/>
      <c r="E456" s="214">
        <v>3504001400010</v>
      </c>
      <c r="F456" s="209" t="s">
        <v>936</v>
      </c>
      <c r="G456" s="209" t="s">
        <v>53</v>
      </c>
      <c r="H456" s="209" t="s">
        <v>585</v>
      </c>
      <c r="I456" s="209" t="s">
        <v>586</v>
      </c>
      <c r="J456" s="209" t="s">
        <v>46</v>
      </c>
      <c r="K456" s="210" t="s">
        <v>937</v>
      </c>
      <c r="L456" s="210"/>
      <c r="M456" s="209" t="s">
        <v>58</v>
      </c>
      <c r="N456" s="209">
        <v>0</v>
      </c>
      <c r="O456" s="209" t="s">
        <v>105</v>
      </c>
      <c r="P456" s="213">
        <v>44713.387997685182</v>
      </c>
      <c r="Q456" s="209"/>
      <c r="R456" s="209">
        <v>3</v>
      </c>
      <c r="S456" s="209"/>
      <c r="T456" s="209" t="s">
        <v>646</v>
      </c>
      <c r="U456" s="213">
        <v>44714.387997685182</v>
      </c>
      <c r="V456" s="209" t="s">
        <v>41</v>
      </c>
      <c r="W456" s="209" t="s">
        <v>49</v>
      </c>
      <c r="X456" s="13" t="str">
        <f>IF(RIGHT(H456,2)&lt;&gt;"00",H456,"")</f>
        <v/>
      </c>
      <c r="Y456" s="26">
        <f ca="1">NETWORKDAYS(P456,$Y$1)</f>
        <v>196</v>
      </c>
      <c r="Z456" s="34">
        <v>1</v>
      </c>
      <c r="AA456" s="25" t="str">
        <f t="shared" ca="1" si="38"/>
        <v>A VENCER</v>
      </c>
      <c r="AB456" s="25" t="str">
        <f t="shared" si="36"/>
        <v>C-14</v>
      </c>
      <c r="AC456" s="2" t="str">
        <f t="shared" si="40"/>
        <v xml:space="preserve"> CLEITON </v>
      </c>
      <c r="AD456" s="26">
        <f t="shared" si="37"/>
        <v>5</v>
      </c>
      <c r="AE456" s="26">
        <f t="shared" ca="1" si="39"/>
        <v>273.2882739583365</v>
      </c>
      <c r="AF456" s="35"/>
    </row>
    <row r="457" spans="1:32" hidden="1">
      <c r="A457" s="209">
        <v>8633445</v>
      </c>
      <c r="B457" s="209" t="s">
        <v>653</v>
      </c>
      <c r="C457" s="210" t="s">
        <v>935</v>
      </c>
      <c r="D457" s="214"/>
      <c r="E457" s="214">
        <v>3503001400010</v>
      </c>
      <c r="F457" s="209" t="s">
        <v>936</v>
      </c>
      <c r="G457" s="209" t="s">
        <v>53</v>
      </c>
      <c r="H457" s="209" t="s">
        <v>398</v>
      </c>
      <c r="I457" s="209" t="s">
        <v>399</v>
      </c>
      <c r="J457" s="209" t="s">
        <v>46</v>
      </c>
      <c r="K457" s="210" t="s">
        <v>937</v>
      </c>
      <c r="L457" s="210"/>
      <c r="M457" s="209" t="s">
        <v>58</v>
      </c>
      <c r="N457" s="209">
        <v>0</v>
      </c>
      <c r="O457" s="209" t="s">
        <v>105</v>
      </c>
      <c r="P457" s="213">
        <v>44713.387997685182</v>
      </c>
      <c r="Q457" s="209"/>
      <c r="R457" s="209">
        <v>3</v>
      </c>
      <c r="S457" s="209"/>
      <c r="T457" s="209" t="s">
        <v>646</v>
      </c>
      <c r="U457" s="213">
        <v>44714.387997685182</v>
      </c>
      <c r="V457" s="209" t="s">
        <v>41</v>
      </c>
      <c r="W457" s="209" t="s">
        <v>49</v>
      </c>
      <c r="X457" s="13" t="str">
        <f>IF(RIGHT(H457,2)&lt;&gt;"00",H457,"")</f>
        <v/>
      </c>
      <c r="Y457" s="26">
        <f ca="1">NETWORKDAYS(P457,$Y$1)</f>
        <v>196</v>
      </c>
      <c r="Z457" s="34">
        <v>1</v>
      </c>
      <c r="AA457" s="25" t="str">
        <f t="shared" ca="1" si="38"/>
        <v>A VENCER</v>
      </c>
      <c r="AB457" s="25" t="str">
        <f t="shared" si="36"/>
        <v>C-14</v>
      </c>
      <c r="AC457" s="2" t="str">
        <f t="shared" si="40"/>
        <v xml:space="preserve"> CLEITON </v>
      </c>
      <c r="AD457" s="26">
        <f t="shared" si="37"/>
        <v>5</v>
      </c>
      <c r="AE457" s="26">
        <f t="shared" ca="1" si="39"/>
        <v>273.2882739583365</v>
      </c>
      <c r="AF457" s="35"/>
    </row>
    <row r="458" spans="1:32" hidden="1">
      <c r="A458" s="209">
        <v>8633297</v>
      </c>
      <c r="B458" s="209" t="s">
        <v>653</v>
      </c>
      <c r="C458" s="210" t="s">
        <v>935</v>
      </c>
      <c r="D458" s="214"/>
      <c r="E458" s="214">
        <v>3258001400010</v>
      </c>
      <c r="F458" s="209" t="s">
        <v>936</v>
      </c>
      <c r="G458" s="209" t="s">
        <v>53</v>
      </c>
      <c r="H458" s="209" t="s">
        <v>321</v>
      </c>
      <c r="I458" s="209" t="s">
        <v>322</v>
      </c>
      <c r="J458" s="209" t="s">
        <v>46</v>
      </c>
      <c r="K458" s="210" t="s">
        <v>937</v>
      </c>
      <c r="L458" s="210"/>
      <c r="M458" s="209" t="s">
        <v>58</v>
      </c>
      <c r="N458" s="209">
        <v>0</v>
      </c>
      <c r="O458" s="209" t="s">
        <v>105</v>
      </c>
      <c r="P458" s="213">
        <v>44713.387743055559</v>
      </c>
      <c r="Q458" s="209"/>
      <c r="R458" s="209">
        <v>3</v>
      </c>
      <c r="S458" s="209"/>
      <c r="T458" s="209" t="s">
        <v>646</v>
      </c>
      <c r="U458" s="213">
        <v>44714.387743055559</v>
      </c>
      <c r="V458" s="209" t="s">
        <v>41</v>
      </c>
      <c r="W458" s="209" t="s">
        <v>49</v>
      </c>
      <c r="X458" s="13" t="str">
        <f>IF(RIGHT(H458,2)&lt;&gt;"00",H458,"")</f>
        <v/>
      </c>
      <c r="Y458" s="26">
        <f ca="1">NETWORKDAYS(P458,$Y$1)</f>
        <v>196</v>
      </c>
      <c r="Z458" s="34">
        <v>1</v>
      </c>
      <c r="AA458" s="25" t="str">
        <f t="shared" ca="1" si="38"/>
        <v>A VENCER</v>
      </c>
      <c r="AB458" s="25" t="str">
        <f t="shared" si="36"/>
        <v>C-14</v>
      </c>
      <c r="AC458" s="2" t="str">
        <f t="shared" si="40"/>
        <v xml:space="preserve"> CLEITON </v>
      </c>
      <c r="AD458" s="26">
        <f t="shared" si="37"/>
        <v>5</v>
      </c>
      <c r="AE458" s="26">
        <f t="shared" ca="1" si="39"/>
        <v>273.28852858796017</v>
      </c>
      <c r="AF458" s="35"/>
    </row>
    <row r="459" spans="1:32" hidden="1">
      <c r="A459" s="209">
        <v>8633288</v>
      </c>
      <c r="B459" s="209" t="s">
        <v>653</v>
      </c>
      <c r="C459" s="210" t="s">
        <v>935</v>
      </c>
      <c r="D459" s="214"/>
      <c r="E459" s="214">
        <v>3250001400010</v>
      </c>
      <c r="F459" s="209" t="s">
        <v>936</v>
      </c>
      <c r="G459" s="209" t="s">
        <v>53</v>
      </c>
      <c r="H459" s="209" t="s">
        <v>371</v>
      </c>
      <c r="I459" s="209" t="s">
        <v>372</v>
      </c>
      <c r="J459" s="209" t="s">
        <v>46</v>
      </c>
      <c r="K459" s="210" t="s">
        <v>937</v>
      </c>
      <c r="L459" s="210"/>
      <c r="M459" s="209" t="s">
        <v>58</v>
      </c>
      <c r="N459" s="209">
        <v>0</v>
      </c>
      <c r="O459" s="209" t="s">
        <v>105</v>
      </c>
      <c r="P459" s="213">
        <v>44713.387731481482</v>
      </c>
      <c r="Q459" s="209"/>
      <c r="R459" s="209">
        <v>3</v>
      </c>
      <c r="S459" s="209"/>
      <c r="T459" s="209" t="s">
        <v>646</v>
      </c>
      <c r="U459" s="213">
        <v>44714.387731481482</v>
      </c>
      <c r="V459" s="209" t="s">
        <v>41</v>
      </c>
      <c r="W459" s="209" t="s">
        <v>49</v>
      </c>
      <c r="X459" s="13" t="str">
        <f>IF(RIGHT(H459,2)&lt;&gt;"00",H459,"")</f>
        <v/>
      </c>
      <c r="Y459" s="26">
        <f ca="1">NETWORKDAYS(P459,$Y$1)</f>
        <v>196</v>
      </c>
      <c r="Z459" s="34">
        <v>1</v>
      </c>
      <c r="AA459" s="25" t="str">
        <f t="shared" ca="1" si="38"/>
        <v>A VENCER</v>
      </c>
      <c r="AB459" s="25" t="str">
        <f t="shared" si="36"/>
        <v>C-14</v>
      </c>
      <c r="AC459" s="2" t="str">
        <f t="shared" si="40"/>
        <v xml:space="preserve"> CLEITON </v>
      </c>
      <c r="AD459" s="26">
        <f t="shared" si="37"/>
        <v>5</v>
      </c>
      <c r="AE459" s="26">
        <f t="shared" ca="1" si="39"/>
        <v>273.28854016203695</v>
      </c>
      <c r="AF459" s="35"/>
    </row>
    <row r="460" spans="1:32" hidden="1">
      <c r="A460" s="209">
        <v>8633283</v>
      </c>
      <c r="B460" s="209" t="s">
        <v>653</v>
      </c>
      <c r="C460" s="210" t="s">
        <v>935</v>
      </c>
      <c r="D460" s="214"/>
      <c r="E460" s="214">
        <v>3243001400010</v>
      </c>
      <c r="F460" s="209" t="s">
        <v>936</v>
      </c>
      <c r="G460" s="209" t="s">
        <v>53</v>
      </c>
      <c r="H460" s="209" t="s">
        <v>282</v>
      </c>
      <c r="I460" s="209" t="s">
        <v>283</v>
      </c>
      <c r="J460" s="209" t="s">
        <v>46</v>
      </c>
      <c r="K460" s="210" t="s">
        <v>937</v>
      </c>
      <c r="L460" s="210"/>
      <c r="M460" s="209" t="s">
        <v>58</v>
      </c>
      <c r="N460" s="209">
        <v>0</v>
      </c>
      <c r="O460" s="209" t="s">
        <v>105</v>
      </c>
      <c r="P460" s="213">
        <v>44713.387719907405</v>
      </c>
      <c r="Q460" s="209"/>
      <c r="R460" s="209">
        <v>3</v>
      </c>
      <c r="S460" s="209"/>
      <c r="T460" s="209" t="s">
        <v>646</v>
      </c>
      <c r="U460" s="213">
        <v>44714.387719907405</v>
      </c>
      <c r="V460" s="209" t="s">
        <v>41</v>
      </c>
      <c r="W460" s="209" t="s">
        <v>49</v>
      </c>
      <c r="X460" s="13" t="str">
        <f>IF(RIGHT(H460,2)&lt;&gt;"00",H460,"")</f>
        <v/>
      </c>
      <c r="Y460" s="26">
        <f ca="1">NETWORKDAYS(P460,$Y$1)</f>
        <v>196</v>
      </c>
      <c r="Z460" s="34">
        <v>1</v>
      </c>
      <c r="AA460" s="25" t="str">
        <f t="shared" ca="1" si="38"/>
        <v>A VENCER</v>
      </c>
      <c r="AB460" s="25" t="str">
        <f t="shared" si="36"/>
        <v>C-14</v>
      </c>
      <c r="AC460" s="2" t="str">
        <f t="shared" si="40"/>
        <v xml:space="preserve"> CLEITON </v>
      </c>
      <c r="AD460" s="26">
        <f t="shared" si="37"/>
        <v>5</v>
      </c>
      <c r="AE460" s="26">
        <f t="shared" ca="1" si="39"/>
        <v>273.28855173611373</v>
      </c>
      <c r="AF460" s="35"/>
    </row>
    <row r="461" spans="1:32" hidden="1">
      <c r="A461" s="209">
        <v>8633279</v>
      </c>
      <c r="B461" s="209" t="s">
        <v>653</v>
      </c>
      <c r="C461" s="210" t="s">
        <v>935</v>
      </c>
      <c r="D461" s="214"/>
      <c r="E461" s="214">
        <v>3234171400010</v>
      </c>
      <c r="F461" s="209" t="s">
        <v>936</v>
      </c>
      <c r="G461" s="209" t="s">
        <v>53</v>
      </c>
      <c r="H461" s="209" t="s">
        <v>799</v>
      </c>
      <c r="I461" s="209" t="s">
        <v>800</v>
      </c>
      <c r="J461" s="209" t="s">
        <v>46</v>
      </c>
      <c r="K461" s="210" t="s">
        <v>937</v>
      </c>
      <c r="L461" s="210"/>
      <c r="M461" s="209" t="s">
        <v>58</v>
      </c>
      <c r="N461" s="209">
        <v>0</v>
      </c>
      <c r="O461" s="209" t="s">
        <v>105</v>
      </c>
      <c r="P461" s="213">
        <v>44713.387719907405</v>
      </c>
      <c r="Q461" s="209"/>
      <c r="R461" s="209">
        <v>3</v>
      </c>
      <c r="S461" s="209"/>
      <c r="T461" s="209" t="s">
        <v>646</v>
      </c>
      <c r="U461" s="213">
        <v>44714.387719907405</v>
      </c>
      <c r="V461" s="209" t="s">
        <v>41</v>
      </c>
      <c r="W461" s="209" t="s">
        <v>49</v>
      </c>
      <c r="X461" s="13" t="str">
        <f>IF(RIGHT(H461,2)&lt;&gt;"00",H461,"")</f>
        <v>3234.17</v>
      </c>
      <c r="Y461" s="26">
        <f ca="1">NETWORKDAYS(P461,$Y$1)</f>
        <v>196</v>
      </c>
      <c r="Z461" s="34">
        <v>1</v>
      </c>
      <c r="AA461" s="25" t="str">
        <f t="shared" ca="1" si="38"/>
        <v>A VENCER</v>
      </c>
      <c r="AB461" s="25" t="str">
        <f t="shared" si="36"/>
        <v>C-14</v>
      </c>
      <c r="AC461" s="2" t="str">
        <f t="shared" si="40"/>
        <v xml:space="preserve"> CLEITON </v>
      </c>
      <c r="AD461" s="26">
        <f t="shared" si="37"/>
        <v>5</v>
      </c>
      <c r="AE461" s="26">
        <f t="shared" ca="1" si="39"/>
        <v>273.28855173611373</v>
      </c>
      <c r="AF461" s="35"/>
    </row>
    <row r="462" spans="1:32" hidden="1">
      <c r="A462" s="209">
        <v>8633278</v>
      </c>
      <c r="B462" s="209" t="s">
        <v>653</v>
      </c>
      <c r="C462" s="210" t="s">
        <v>935</v>
      </c>
      <c r="D462" s="214"/>
      <c r="E462" s="214">
        <v>3234161400010</v>
      </c>
      <c r="F462" s="209" t="s">
        <v>936</v>
      </c>
      <c r="G462" s="209" t="s">
        <v>53</v>
      </c>
      <c r="H462" s="209" t="s">
        <v>499</v>
      </c>
      <c r="I462" s="209" t="s">
        <v>500</v>
      </c>
      <c r="J462" s="209" t="s">
        <v>46</v>
      </c>
      <c r="K462" s="210" t="s">
        <v>937</v>
      </c>
      <c r="L462" s="210"/>
      <c r="M462" s="209" t="s">
        <v>58</v>
      </c>
      <c r="N462" s="209">
        <v>0</v>
      </c>
      <c r="O462" s="209" t="s">
        <v>105</v>
      </c>
      <c r="P462" s="213">
        <v>44713.387708333335</v>
      </c>
      <c r="Q462" s="209"/>
      <c r="R462" s="209">
        <v>3</v>
      </c>
      <c r="S462" s="209"/>
      <c r="T462" s="209" t="s">
        <v>646</v>
      </c>
      <c r="U462" s="213">
        <v>44714.387719907405</v>
      </c>
      <c r="V462" s="209" t="s">
        <v>41</v>
      </c>
      <c r="W462" s="209" t="s">
        <v>49</v>
      </c>
      <c r="X462" s="13" t="str">
        <f>IF(RIGHT(H462,2)&lt;&gt;"00",H462,"")</f>
        <v>3234.16</v>
      </c>
      <c r="Y462" s="26">
        <f ca="1">NETWORKDAYS(P462,$Y$1)</f>
        <v>196</v>
      </c>
      <c r="Z462" s="34">
        <v>1</v>
      </c>
      <c r="AA462" s="25" t="str">
        <f t="shared" ca="1" si="38"/>
        <v>A VENCER</v>
      </c>
      <c r="AB462" s="25" t="str">
        <f t="shared" si="36"/>
        <v>C-14</v>
      </c>
      <c r="AC462" s="2" t="str">
        <f t="shared" si="40"/>
        <v xml:space="preserve"> CLEITON </v>
      </c>
      <c r="AD462" s="26">
        <f t="shared" si="37"/>
        <v>5</v>
      </c>
      <c r="AE462" s="26">
        <f t="shared" ca="1" si="39"/>
        <v>273.28856331018324</v>
      </c>
      <c r="AF462" s="35"/>
    </row>
    <row r="463" spans="1:32" hidden="1">
      <c r="A463" s="209">
        <v>8633277</v>
      </c>
      <c r="B463" s="209" t="s">
        <v>653</v>
      </c>
      <c r="C463" s="210" t="s">
        <v>935</v>
      </c>
      <c r="D463" s="214"/>
      <c r="E463" s="214">
        <v>3234151400010</v>
      </c>
      <c r="F463" s="209" t="s">
        <v>936</v>
      </c>
      <c r="G463" s="209" t="s">
        <v>53</v>
      </c>
      <c r="H463" s="209" t="s">
        <v>629</v>
      </c>
      <c r="I463" s="209" t="s">
        <v>630</v>
      </c>
      <c r="J463" s="209" t="s">
        <v>46</v>
      </c>
      <c r="K463" s="210" t="s">
        <v>937</v>
      </c>
      <c r="L463" s="210"/>
      <c r="M463" s="209" t="s">
        <v>58</v>
      </c>
      <c r="N463" s="209">
        <v>0</v>
      </c>
      <c r="O463" s="209" t="s">
        <v>105</v>
      </c>
      <c r="P463" s="213">
        <v>44713.387708333335</v>
      </c>
      <c r="Q463" s="209"/>
      <c r="R463" s="209">
        <v>3</v>
      </c>
      <c r="S463" s="209"/>
      <c r="T463" s="209" t="s">
        <v>646</v>
      </c>
      <c r="U463" s="213">
        <v>44714.387708333335</v>
      </c>
      <c r="V463" s="209" t="s">
        <v>41</v>
      </c>
      <c r="W463" s="209" t="s">
        <v>49</v>
      </c>
      <c r="X463" s="13" t="str">
        <f>IF(RIGHT(H463,2)&lt;&gt;"00",H463,"")</f>
        <v>3234.15</v>
      </c>
      <c r="Y463" s="26">
        <f ca="1">NETWORKDAYS(P463,$Y$1)</f>
        <v>196</v>
      </c>
      <c r="Z463" s="34">
        <v>1</v>
      </c>
      <c r="AA463" s="25" t="str">
        <f t="shared" ca="1" si="38"/>
        <v>A VENCER</v>
      </c>
      <c r="AB463" s="25" t="str">
        <f t="shared" si="36"/>
        <v>C-14</v>
      </c>
      <c r="AC463" s="2" t="str">
        <f t="shared" si="40"/>
        <v xml:space="preserve"> CLEITON </v>
      </c>
      <c r="AD463" s="26">
        <f t="shared" si="37"/>
        <v>5</v>
      </c>
      <c r="AE463" s="26">
        <f t="shared" ca="1" si="39"/>
        <v>273.28856331018324</v>
      </c>
      <c r="AF463" s="35"/>
    </row>
    <row r="464" spans="1:32" hidden="1">
      <c r="A464" s="209">
        <v>8633187</v>
      </c>
      <c r="B464" s="209" t="s">
        <v>653</v>
      </c>
      <c r="C464" s="210" t="s">
        <v>935</v>
      </c>
      <c r="D464" s="214"/>
      <c r="E464" s="214">
        <v>3108011400010</v>
      </c>
      <c r="F464" s="209" t="s">
        <v>936</v>
      </c>
      <c r="G464" s="209" t="s">
        <v>53</v>
      </c>
      <c r="H464" s="209" t="s">
        <v>503</v>
      </c>
      <c r="I464" s="209" t="s">
        <v>504</v>
      </c>
      <c r="J464" s="209" t="s">
        <v>46</v>
      </c>
      <c r="K464" s="210" t="s">
        <v>937</v>
      </c>
      <c r="L464" s="210"/>
      <c r="M464" s="209" t="s">
        <v>58</v>
      </c>
      <c r="N464" s="209">
        <v>0</v>
      </c>
      <c r="O464" s="209" t="s">
        <v>105</v>
      </c>
      <c r="P464" s="213">
        <v>44713.387546296297</v>
      </c>
      <c r="Q464" s="209"/>
      <c r="R464" s="209">
        <v>3</v>
      </c>
      <c r="S464" s="209"/>
      <c r="T464" s="209" t="s">
        <v>646</v>
      </c>
      <c r="U464" s="213">
        <v>44714.387546296297</v>
      </c>
      <c r="V464" s="209" t="s">
        <v>41</v>
      </c>
      <c r="W464" s="209" t="s">
        <v>49</v>
      </c>
      <c r="X464" s="13" t="str">
        <f>IF(RIGHT(H464,2)&lt;&gt;"00",H464,"")</f>
        <v>3108.01</v>
      </c>
      <c r="Y464" s="26">
        <f ca="1">NETWORKDAYS(P464,$Y$1)</f>
        <v>196</v>
      </c>
      <c r="Z464" s="34">
        <v>1</v>
      </c>
      <c r="AA464" s="25" t="str">
        <f t="shared" ca="1" si="38"/>
        <v>A VENCER</v>
      </c>
      <c r="AB464" s="25" t="str">
        <f t="shared" si="36"/>
        <v>C-14</v>
      </c>
      <c r="AC464" s="2" t="str">
        <f t="shared" si="40"/>
        <v xml:space="preserve"> CLEITON </v>
      </c>
      <c r="AD464" s="26">
        <f t="shared" si="37"/>
        <v>5</v>
      </c>
      <c r="AE464" s="26">
        <f t="shared" ca="1" si="39"/>
        <v>273.28872534722177</v>
      </c>
      <c r="AF464" s="35"/>
    </row>
    <row r="465" spans="1:32" hidden="1">
      <c r="A465" s="209">
        <v>8633186</v>
      </c>
      <c r="B465" s="209" t="s">
        <v>653</v>
      </c>
      <c r="C465" s="210" t="s">
        <v>935</v>
      </c>
      <c r="D465" s="214"/>
      <c r="E465" s="214">
        <v>3108001400010</v>
      </c>
      <c r="F465" s="209" t="s">
        <v>936</v>
      </c>
      <c r="G465" s="209" t="s">
        <v>53</v>
      </c>
      <c r="H465" s="209" t="s">
        <v>325</v>
      </c>
      <c r="I465" s="209" t="s">
        <v>326</v>
      </c>
      <c r="J465" s="209" t="s">
        <v>46</v>
      </c>
      <c r="K465" s="210" t="s">
        <v>937</v>
      </c>
      <c r="L465" s="210"/>
      <c r="M465" s="209" t="s">
        <v>58</v>
      </c>
      <c r="N465" s="209">
        <v>0</v>
      </c>
      <c r="O465" s="209" t="s">
        <v>105</v>
      </c>
      <c r="P465" s="213">
        <v>44713.387546296297</v>
      </c>
      <c r="Q465" s="209"/>
      <c r="R465" s="209">
        <v>3</v>
      </c>
      <c r="S465" s="209"/>
      <c r="T465" s="209" t="s">
        <v>646</v>
      </c>
      <c r="U465" s="213">
        <v>44714.387546296297</v>
      </c>
      <c r="V465" s="209" t="s">
        <v>41</v>
      </c>
      <c r="W465" s="209" t="s">
        <v>49</v>
      </c>
      <c r="X465" s="13" t="str">
        <f>IF(RIGHT(H465,2)&lt;&gt;"00",H465,"")</f>
        <v/>
      </c>
      <c r="Y465" s="26">
        <f ca="1">NETWORKDAYS(P465,$Y$1)</f>
        <v>196</v>
      </c>
      <c r="Z465" s="34">
        <v>1</v>
      </c>
      <c r="AA465" s="25" t="str">
        <f t="shared" ca="1" si="38"/>
        <v>A VENCER</v>
      </c>
      <c r="AB465" s="25" t="str">
        <f t="shared" si="36"/>
        <v>C-14</v>
      </c>
      <c r="AC465" s="2" t="str">
        <f t="shared" si="40"/>
        <v xml:space="preserve"> CLEITON </v>
      </c>
      <c r="AD465" s="26">
        <f t="shared" si="37"/>
        <v>5</v>
      </c>
      <c r="AE465" s="26">
        <f t="shared" ca="1" si="39"/>
        <v>273.28872534722177</v>
      </c>
      <c r="AF465" s="35"/>
    </row>
    <row r="466" spans="1:32" hidden="1">
      <c r="A466" s="209">
        <v>8633096</v>
      </c>
      <c r="B466" s="209" t="s">
        <v>653</v>
      </c>
      <c r="C466" s="210" t="s">
        <v>935</v>
      </c>
      <c r="D466" s="214"/>
      <c r="E466" s="214">
        <v>2988001400010</v>
      </c>
      <c r="F466" s="209" t="s">
        <v>936</v>
      </c>
      <c r="G466" s="209" t="s">
        <v>53</v>
      </c>
      <c r="H466" s="209" t="s">
        <v>536</v>
      </c>
      <c r="I466" s="209" t="s">
        <v>537</v>
      </c>
      <c r="J466" s="209" t="s">
        <v>46</v>
      </c>
      <c r="K466" s="210" t="s">
        <v>937</v>
      </c>
      <c r="L466" s="210"/>
      <c r="M466" s="209" t="s">
        <v>58</v>
      </c>
      <c r="N466" s="209">
        <v>0</v>
      </c>
      <c r="O466" s="209" t="s">
        <v>105</v>
      </c>
      <c r="P466" s="213">
        <v>44713.387361111112</v>
      </c>
      <c r="Q466" s="209"/>
      <c r="R466" s="209">
        <v>3</v>
      </c>
      <c r="S466" s="209"/>
      <c r="T466" s="209" t="s">
        <v>646</v>
      </c>
      <c r="U466" s="213">
        <v>44714.387372685182</v>
      </c>
      <c r="V466" s="209" t="s">
        <v>41</v>
      </c>
      <c r="W466" s="209" t="s">
        <v>49</v>
      </c>
      <c r="X466" s="13" t="str">
        <f>IF(RIGHT(H466,2)&lt;&gt;"00",H466,"")</f>
        <v/>
      </c>
      <c r="Y466" s="26">
        <f ca="1">NETWORKDAYS(P466,$Y$1)</f>
        <v>196</v>
      </c>
      <c r="Z466" s="34">
        <v>1</v>
      </c>
      <c r="AA466" s="25" t="str">
        <f t="shared" ca="1" si="38"/>
        <v>A VENCER</v>
      </c>
      <c r="AB466" s="25" t="str">
        <f t="shared" si="36"/>
        <v>C-14</v>
      </c>
      <c r="AC466" s="2" t="str">
        <f t="shared" si="40"/>
        <v xml:space="preserve"> CLEITON </v>
      </c>
      <c r="AD466" s="26">
        <f t="shared" si="37"/>
        <v>5</v>
      </c>
      <c r="AE466" s="26">
        <f t="shared" ca="1" si="39"/>
        <v>273.28891053240659</v>
      </c>
      <c r="AF466" s="35"/>
    </row>
    <row r="467" spans="1:32" hidden="1">
      <c r="A467" s="209">
        <v>8633016</v>
      </c>
      <c r="B467" s="209" t="s">
        <v>653</v>
      </c>
      <c r="C467" s="210" t="s">
        <v>935</v>
      </c>
      <c r="D467" s="214"/>
      <c r="E467" s="214">
        <v>2889001400010</v>
      </c>
      <c r="F467" s="209" t="s">
        <v>936</v>
      </c>
      <c r="G467" s="209" t="s">
        <v>53</v>
      </c>
      <c r="H467" s="209" t="s">
        <v>418</v>
      </c>
      <c r="I467" s="209" t="s">
        <v>419</v>
      </c>
      <c r="J467" s="209" t="s">
        <v>46</v>
      </c>
      <c r="K467" s="210" t="s">
        <v>937</v>
      </c>
      <c r="L467" s="210"/>
      <c r="M467" s="209" t="s">
        <v>58</v>
      </c>
      <c r="N467" s="209">
        <v>0</v>
      </c>
      <c r="O467" s="209" t="s">
        <v>105</v>
      </c>
      <c r="P467" s="213">
        <v>44713.38721064815</v>
      </c>
      <c r="Q467" s="209"/>
      <c r="R467" s="209">
        <v>3</v>
      </c>
      <c r="S467" s="209"/>
      <c r="T467" s="209" t="s">
        <v>646</v>
      </c>
      <c r="U467" s="213">
        <v>44714.38721064815</v>
      </c>
      <c r="V467" s="209" t="s">
        <v>41</v>
      </c>
      <c r="W467" s="209" t="s">
        <v>49</v>
      </c>
      <c r="X467" s="13" t="str">
        <f>IF(RIGHT(H467,2)&lt;&gt;"00",H467,"")</f>
        <v/>
      </c>
      <c r="Y467" s="26">
        <f ca="1">NETWORKDAYS(P467,$Y$1)</f>
        <v>196</v>
      </c>
      <c r="Z467" s="34">
        <v>1</v>
      </c>
      <c r="AA467" s="25" t="str">
        <f t="shared" ca="1" si="38"/>
        <v>A VENCER</v>
      </c>
      <c r="AB467" s="25" t="str">
        <f t="shared" si="36"/>
        <v>C-14</v>
      </c>
      <c r="AC467" s="2" t="str">
        <f t="shared" si="40"/>
        <v xml:space="preserve"> CLEITON </v>
      </c>
      <c r="AD467" s="26">
        <f t="shared" si="37"/>
        <v>5</v>
      </c>
      <c r="AE467" s="26">
        <f t="shared" ca="1" si="39"/>
        <v>273.28906099536835</v>
      </c>
      <c r="AF467" s="35"/>
    </row>
    <row r="468" spans="1:32" hidden="1">
      <c r="A468" s="209">
        <v>8632974</v>
      </c>
      <c r="B468" s="209" t="s">
        <v>653</v>
      </c>
      <c r="C468" s="210" t="s">
        <v>935</v>
      </c>
      <c r="D468" s="214"/>
      <c r="E468" s="214">
        <v>2830001400010</v>
      </c>
      <c r="F468" s="209" t="s">
        <v>936</v>
      </c>
      <c r="G468" s="209" t="s">
        <v>53</v>
      </c>
      <c r="H468" s="209" t="s">
        <v>448</v>
      </c>
      <c r="I468" s="209" t="s">
        <v>449</v>
      </c>
      <c r="J468" s="209" t="s">
        <v>33</v>
      </c>
      <c r="K468" s="210" t="s">
        <v>937</v>
      </c>
      <c r="L468" s="210"/>
      <c r="M468" s="209" t="s">
        <v>58</v>
      </c>
      <c r="N468" s="209">
        <v>0</v>
      </c>
      <c r="O468" s="209" t="s">
        <v>105</v>
      </c>
      <c r="P468" s="213">
        <v>44713.387164351851</v>
      </c>
      <c r="Q468" s="209"/>
      <c r="R468" s="209">
        <v>3</v>
      </c>
      <c r="S468" s="209"/>
      <c r="T468" s="209" t="s">
        <v>646</v>
      </c>
      <c r="U468" s="213">
        <v>44714.387164351851</v>
      </c>
      <c r="V468" s="209" t="s">
        <v>41</v>
      </c>
      <c r="W468" s="209" t="s">
        <v>42</v>
      </c>
      <c r="X468" s="13" t="str">
        <f>IF(RIGHT(H468,2)&lt;&gt;"00",H468,"")</f>
        <v/>
      </c>
      <c r="Y468" s="26">
        <f ca="1">NETWORKDAYS(P468,$Y$1)</f>
        <v>196</v>
      </c>
      <c r="Z468" s="34">
        <v>1</v>
      </c>
      <c r="AA468" s="25" t="str">
        <f t="shared" ca="1" si="38"/>
        <v>A VENCER</v>
      </c>
      <c r="AB468" s="25" t="str">
        <f t="shared" si="36"/>
        <v>C-14</v>
      </c>
      <c r="AC468" s="2" t="str">
        <f t="shared" si="40"/>
        <v xml:space="preserve"> ROSEMERE </v>
      </c>
      <c r="AD468" s="26">
        <f t="shared" si="37"/>
        <v>5</v>
      </c>
      <c r="AE468" s="26">
        <f t="shared" ca="1" si="39"/>
        <v>273.28910729166819</v>
      </c>
      <c r="AF468" s="35"/>
    </row>
    <row r="469" spans="1:32" hidden="1">
      <c r="A469" s="209">
        <v>8632958</v>
      </c>
      <c r="B469" s="209" t="s">
        <v>653</v>
      </c>
      <c r="C469" s="210" t="s">
        <v>935</v>
      </c>
      <c r="D469" s="214"/>
      <c r="E469" s="214">
        <v>2811001400010</v>
      </c>
      <c r="F469" s="209" t="s">
        <v>936</v>
      </c>
      <c r="G469" s="209" t="s">
        <v>53</v>
      </c>
      <c r="H469" s="209" t="s">
        <v>44</v>
      </c>
      <c r="I469" s="209" t="s">
        <v>45</v>
      </c>
      <c r="J469" s="209" t="s">
        <v>46</v>
      </c>
      <c r="K469" s="210" t="s">
        <v>937</v>
      </c>
      <c r="L469" s="210"/>
      <c r="M469" s="209" t="s">
        <v>58</v>
      </c>
      <c r="N469" s="209">
        <v>0</v>
      </c>
      <c r="O469" s="209" t="s">
        <v>105</v>
      </c>
      <c r="P469" s="213">
        <v>44713.387141203704</v>
      </c>
      <c r="Q469" s="209"/>
      <c r="R469" s="209">
        <v>3</v>
      </c>
      <c r="S469" s="209"/>
      <c r="T469" s="209" t="s">
        <v>646</v>
      </c>
      <c r="U469" s="213">
        <v>44714.387141203704</v>
      </c>
      <c r="V469" s="209" t="s">
        <v>41</v>
      </c>
      <c r="W469" s="209" t="s">
        <v>49</v>
      </c>
      <c r="X469" s="13" t="str">
        <f>IF(RIGHT(H469,2)&lt;&gt;"00",H469,"")</f>
        <v/>
      </c>
      <c r="Y469" s="26">
        <f ca="1">NETWORKDAYS(P469,$Y$1)</f>
        <v>196</v>
      </c>
      <c r="Z469" s="34">
        <v>1</v>
      </c>
      <c r="AA469" s="25" t="str">
        <f t="shared" ca="1" si="38"/>
        <v>A VENCER</v>
      </c>
      <c r="AB469" s="25" t="str">
        <f t="shared" si="36"/>
        <v>C-14</v>
      </c>
      <c r="AC469" s="2" t="str">
        <f t="shared" si="40"/>
        <v xml:space="preserve"> CLEITON </v>
      </c>
      <c r="AD469" s="26">
        <f t="shared" si="37"/>
        <v>5</v>
      </c>
      <c r="AE469" s="26">
        <f t="shared" ca="1" si="39"/>
        <v>273.28913043981447</v>
      </c>
      <c r="AF469" s="35"/>
    </row>
    <row r="470" spans="1:32" hidden="1">
      <c r="A470" s="209">
        <v>8632950</v>
      </c>
      <c r="B470" s="209" t="s">
        <v>653</v>
      </c>
      <c r="C470" s="210" t="s">
        <v>935</v>
      </c>
      <c r="D470" s="214"/>
      <c r="E470" s="214">
        <v>2802001400010</v>
      </c>
      <c r="F470" s="209" t="s">
        <v>936</v>
      </c>
      <c r="G470" s="209" t="s">
        <v>53</v>
      </c>
      <c r="H470" s="209" t="s">
        <v>388</v>
      </c>
      <c r="I470" s="209" t="s">
        <v>389</v>
      </c>
      <c r="J470" s="209" t="s">
        <v>46</v>
      </c>
      <c r="K470" s="210" t="s">
        <v>937</v>
      </c>
      <c r="L470" s="210"/>
      <c r="M470" s="209" t="s">
        <v>58</v>
      </c>
      <c r="N470" s="209">
        <v>0</v>
      </c>
      <c r="O470" s="209" t="s">
        <v>105</v>
      </c>
      <c r="P470" s="213">
        <v>44713.387071759258</v>
      </c>
      <c r="Q470" s="209"/>
      <c r="R470" s="209">
        <v>3</v>
      </c>
      <c r="S470" s="209"/>
      <c r="T470" s="209" t="s">
        <v>646</v>
      </c>
      <c r="U470" s="213">
        <v>44714.387071759258</v>
      </c>
      <c r="V470" s="209" t="s">
        <v>41</v>
      </c>
      <c r="W470" s="209" t="s">
        <v>49</v>
      </c>
      <c r="X470" s="13" t="str">
        <f>IF(RIGHT(H470,2)&lt;&gt;"00",H470,"")</f>
        <v/>
      </c>
      <c r="Y470" s="26">
        <f ca="1">NETWORKDAYS(P470,$Y$1)</f>
        <v>196</v>
      </c>
      <c r="Z470" s="34">
        <v>1</v>
      </c>
      <c r="AA470" s="25" t="str">
        <f t="shared" ca="1" si="38"/>
        <v>A VENCER</v>
      </c>
      <c r="AB470" s="25" t="str">
        <f t="shared" si="36"/>
        <v>C-14</v>
      </c>
      <c r="AC470" s="2" t="str">
        <f t="shared" si="40"/>
        <v xml:space="preserve"> CLEITON </v>
      </c>
      <c r="AD470" s="26">
        <f t="shared" si="37"/>
        <v>5</v>
      </c>
      <c r="AE470" s="26">
        <f t="shared" ca="1" si="39"/>
        <v>273.2891998842606</v>
      </c>
      <c r="AF470" s="35"/>
    </row>
    <row r="471" spans="1:32" hidden="1">
      <c r="A471" s="209">
        <v>8632849</v>
      </c>
      <c r="B471" s="209" t="s">
        <v>653</v>
      </c>
      <c r="C471" s="210" t="s">
        <v>935</v>
      </c>
      <c r="D471" s="214"/>
      <c r="E471" s="214">
        <v>2683001400010</v>
      </c>
      <c r="F471" s="209" t="s">
        <v>936</v>
      </c>
      <c r="G471" s="209" t="s">
        <v>53</v>
      </c>
      <c r="H471" s="209" t="s">
        <v>276</v>
      </c>
      <c r="I471" s="209" t="s">
        <v>277</v>
      </c>
      <c r="J471" s="209" t="s">
        <v>90</v>
      </c>
      <c r="K471" s="210" t="s">
        <v>937</v>
      </c>
      <c r="L471" s="210"/>
      <c r="M471" s="209" t="s">
        <v>58</v>
      </c>
      <c r="N471" s="209">
        <v>0</v>
      </c>
      <c r="O471" s="209" t="s">
        <v>105</v>
      </c>
      <c r="P471" s="213">
        <v>44713.386886574073</v>
      </c>
      <c r="Q471" s="209"/>
      <c r="R471" s="209">
        <v>3</v>
      </c>
      <c r="S471" s="209"/>
      <c r="T471" s="209" t="s">
        <v>646</v>
      </c>
      <c r="U471" s="213">
        <v>44714.386886574073</v>
      </c>
      <c r="V471" s="209" t="s">
        <v>41</v>
      </c>
      <c r="W471" s="209" t="s">
        <v>49</v>
      </c>
      <c r="X471" s="13" t="str">
        <f>IF(RIGHT(H471,2)&lt;&gt;"00",H471,"")</f>
        <v/>
      </c>
      <c r="Y471" s="26">
        <f ca="1">NETWORKDAYS(P471,$Y$1)</f>
        <v>196</v>
      </c>
      <c r="Z471" s="34">
        <v>1</v>
      </c>
      <c r="AA471" s="25" t="str">
        <f t="shared" ca="1" si="38"/>
        <v>A VENCER</v>
      </c>
      <c r="AB471" s="25" t="str">
        <f t="shared" si="36"/>
        <v>C-14</v>
      </c>
      <c r="AC471" s="2" t="str">
        <f t="shared" si="40"/>
        <v xml:space="preserve"> RINALDO </v>
      </c>
      <c r="AD471" s="26">
        <f t="shared" si="37"/>
        <v>5</v>
      </c>
      <c r="AE471" s="26">
        <f t="shared" ca="1" si="39"/>
        <v>273.28938506944542</v>
      </c>
      <c r="AF471" s="35"/>
    </row>
    <row r="472" spans="1:32" hidden="1">
      <c r="A472" s="209">
        <v>8632846</v>
      </c>
      <c r="B472" s="209" t="s">
        <v>653</v>
      </c>
      <c r="C472" s="210" t="s">
        <v>935</v>
      </c>
      <c r="D472" s="214"/>
      <c r="E472" s="214">
        <v>2678001400010</v>
      </c>
      <c r="F472" s="209" t="s">
        <v>936</v>
      </c>
      <c r="G472" s="209" t="s">
        <v>53</v>
      </c>
      <c r="H472" s="209" t="s">
        <v>992</v>
      </c>
      <c r="I472" s="209" t="s">
        <v>993</v>
      </c>
      <c r="J472" s="209" t="s">
        <v>33</v>
      </c>
      <c r="K472" s="210" t="s">
        <v>937</v>
      </c>
      <c r="L472" s="210"/>
      <c r="M472" s="209" t="s">
        <v>58</v>
      </c>
      <c r="N472" s="209">
        <v>0</v>
      </c>
      <c r="O472" s="209" t="s">
        <v>105</v>
      </c>
      <c r="P472" s="213">
        <v>44713.386886574073</v>
      </c>
      <c r="Q472" s="209"/>
      <c r="R472" s="209">
        <v>3</v>
      </c>
      <c r="S472" s="209"/>
      <c r="T472" s="209" t="s">
        <v>646</v>
      </c>
      <c r="U472" s="213">
        <v>44714.386886574073</v>
      </c>
      <c r="V472" s="209" t="s">
        <v>41</v>
      </c>
      <c r="W472" s="209" t="s">
        <v>42</v>
      </c>
      <c r="X472" s="13" t="str">
        <f>IF(RIGHT(H472,2)&lt;&gt;"00",H472,"")</f>
        <v/>
      </c>
      <c r="Y472" s="26">
        <f ca="1">NETWORKDAYS(P472,$Y$1)</f>
        <v>196</v>
      </c>
      <c r="Z472" s="34">
        <v>1</v>
      </c>
      <c r="AA472" s="25" t="str">
        <f t="shared" ca="1" si="38"/>
        <v>A VENCER</v>
      </c>
      <c r="AB472" s="25" t="str">
        <f t="shared" si="36"/>
        <v>C-14</v>
      </c>
      <c r="AC472" s="2" t="str">
        <f t="shared" si="40"/>
        <v xml:space="preserve"> ROSEMERE </v>
      </c>
      <c r="AD472" s="26">
        <f t="shared" si="37"/>
        <v>5</v>
      </c>
      <c r="AE472" s="26">
        <f t="shared" ca="1" si="39"/>
        <v>273.28938506944542</v>
      </c>
      <c r="AF472" s="35"/>
    </row>
    <row r="473" spans="1:32" hidden="1">
      <c r="A473" s="209">
        <v>8632805</v>
      </c>
      <c r="B473" s="209" t="s">
        <v>653</v>
      </c>
      <c r="C473" s="210" t="s">
        <v>935</v>
      </c>
      <c r="D473" s="214"/>
      <c r="E473" s="214">
        <v>2625001400010</v>
      </c>
      <c r="F473" s="209" t="s">
        <v>936</v>
      </c>
      <c r="G473" s="209" t="s">
        <v>53</v>
      </c>
      <c r="H473" s="209" t="s">
        <v>317</v>
      </c>
      <c r="I473" s="209" t="s">
        <v>318</v>
      </c>
      <c r="J473" s="209" t="s">
        <v>164</v>
      </c>
      <c r="K473" s="210" t="s">
        <v>937</v>
      </c>
      <c r="L473" s="210"/>
      <c r="M473" s="209" t="s">
        <v>58</v>
      </c>
      <c r="N473" s="209">
        <v>0</v>
      </c>
      <c r="O473" s="209" t="s">
        <v>105</v>
      </c>
      <c r="P473" s="213">
        <v>44713.386840277781</v>
      </c>
      <c r="Q473" s="209"/>
      <c r="R473" s="209">
        <v>3</v>
      </c>
      <c r="S473" s="209"/>
      <c r="T473" s="209" t="s">
        <v>646</v>
      </c>
      <c r="U473" s="213">
        <v>44714.386840277781</v>
      </c>
      <c r="V473" s="209" t="s">
        <v>41</v>
      </c>
      <c r="W473" s="209" t="s">
        <v>49</v>
      </c>
      <c r="X473" s="13" t="str">
        <f>IF(RIGHT(H473,2)&lt;&gt;"00",H473,"")</f>
        <v/>
      </c>
      <c r="Y473" s="26">
        <f ca="1">NETWORKDAYS(P473,$Y$1)</f>
        <v>196</v>
      </c>
      <c r="Z473" s="34">
        <v>1</v>
      </c>
      <c r="AA473" s="25" t="str">
        <f t="shared" ca="1" si="38"/>
        <v>A VENCER</v>
      </c>
      <c r="AB473" s="25" t="str">
        <f t="shared" si="36"/>
        <v>C-14</v>
      </c>
      <c r="AC473" s="2" t="str">
        <f t="shared" si="40"/>
        <v xml:space="preserve"> ROSEMERE </v>
      </c>
      <c r="AD473" s="26">
        <f t="shared" si="37"/>
        <v>5</v>
      </c>
      <c r="AE473" s="26">
        <f t="shared" ca="1" si="39"/>
        <v>273.28943136573798</v>
      </c>
      <c r="AF473" s="35"/>
    </row>
    <row r="474" spans="1:32" hidden="1">
      <c r="A474" s="209">
        <v>8632750</v>
      </c>
      <c r="B474" s="209" t="s">
        <v>653</v>
      </c>
      <c r="C474" s="210" t="s">
        <v>935</v>
      </c>
      <c r="D474" s="214"/>
      <c r="E474" s="214">
        <v>2564001400010</v>
      </c>
      <c r="F474" s="209" t="s">
        <v>936</v>
      </c>
      <c r="G474" s="209" t="s">
        <v>53</v>
      </c>
      <c r="H474" s="209" t="s">
        <v>255</v>
      </c>
      <c r="I474" s="209" t="s">
        <v>256</v>
      </c>
      <c r="J474" s="209" t="s">
        <v>164</v>
      </c>
      <c r="K474" s="210" t="s">
        <v>937</v>
      </c>
      <c r="L474" s="210"/>
      <c r="M474" s="209" t="s">
        <v>58</v>
      </c>
      <c r="N474" s="209">
        <v>0</v>
      </c>
      <c r="O474" s="209" t="s">
        <v>105</v>
      </c>
      <c r="P474" s="213">
        <v>44713.386759259258</v>
      </c>
      <c r="Q474" s="209"/>
      <c r="R474" s="209">
        <v>3</v>
      </c>
      <c r="S474" s="209"/>
      <c r="T474" s="209" t="s">
        <v>646</v>
      </c>
      <c r="U474" s="213">
        <v>44714.386759259258</v>
      </c>
      <c r="V474" s="209" t="s">
        <v>41</v>
      </c>
      <c r="W474" s="209" t="s">
        <v>49</v>
      </c>
      <c r="X474" s="13" t="str">
        <f>IF(RIGHT(H474,2)&lt;&gt;"00",H474,"")</f>
        <v/>
      </c>
      <c r="Y474" s="26">
        <f ca="1">NETWORKDAYS(P474,$Y$1)</f>
        <v>196</v>
      </c>
      <c r="Z474" s="34">
        <v>1</v>
      </c>
      <c r="AA474" s="25" t="str">
        <f t="shared" ca="1" si="38"/>
        <v>A VENCER</v>
      </c>
      <c r="AB474" s="25" t="str">
        <f t="shared" si="36"/>
        <v>C-14</v>
      </c>
      <c r="AC474" s="2" t="str">
        <f t="shared" si="40"/>
        <v xml:space="preserve"> ROSEMERE </v>
      </c>
      <c r="AD474" s="26">
        <f t="shared" si="37"/>
        <v>5</v>
      </c>
      <c r="AE474" s="26">
        <f t="shared" ca="1" si="39"/>
        <v>273.28951238426089</v>
      </c>
      <c r="AF474" s="35"/>
    </row>
    <row r="475" spans="1:32" hidden="1">
      <c r="A475" s="209">
        <v>8632637</v>
      </c>
      <c r="B475" s="209" t="s">
        <v>653</v>
      </c>
      <c r="C475" s="210" t="s">
        <v>935</v>
      </c>
      <c r="D475" s="214"/>
      <c r="E475" s="214">
        <v>2413001400010</v>
      </c>
      <c r="F475" s="209" t="s">
        <v>936</v>
      </c>
      <c r="G475" s="209" t="s">
        <v>53</v>
      </c>
      <c r="H475" s="209" t="s">
        <v>505</v>
      </c>
      <c r="I475" s="209" t="s">
        <v>506</v>
      </c>
      <c r="J475" s="209" t="s">
        <v>141</v>
      </c>
      <c r="K475" s="210" t="s">
        <v>937</v>
      </c>
      <c r="L475" s="210"/>
      <c r="M475" s="209" t="s">
        <v>58</v>
      </c>
      <c r="N475" s="209">
        <v>0</v>
      </c>
      <c r="O475" s="209" t="s">
        <v>105</v>
      </c>
      <c r="P475" s="213">
        <v>44713.386631944442</v>
      </c>
      <c r="Q475" s="209"/>
      <c r="R475" s="209">
        <v>3</v>
      </c>
      <c r="S475" s="209"/>
      <c r="T475" s="209" t="s">
        <v>646</v>
      </c>
      <c r="U475" s="213">
        <v>44714.386631944442</v>
      </c>
      <c r="V475" s="209" t="s">
        <v>41</v>
      </c>
      <c r="W475" s="209" t="s">
        <v>49</v>
      </c>
      <c r="X475" s="13" t="str">
        <f>IF(RIGHT(H475,2)&lt;&gt;"00",H475,"")</f>
        <v/>
      </c>
      <c r="Y475" s="26">
        <f ca="1">NETWORKDAYS(P475,$Y$1)</f>
        <v>196</v>
      </c>
      <c r="Z475" s="34">
        <v>1</v>
      </c>
      <c r="AA475" s="25" t="str">
        <f t="shared" ca="1" si="38"/>
        <v>A VENCER</v>
      </c>
      <c r="AB475" s="25" t="str">
        <f t="shared" si="36"/>
        <v>C-14</v>
      </c>
      <c r="AC475" s="2" t="str">
        <f t="shared" si="40"/>
        <v xml:space="preserve"> CRISTINA </v>
      </c>
      <c r="AD475" s="26">
        <f t="shared" si="37"/>
        <v>5</v>
      </c>
      <c r="AE475" s="26">
        <f t="shared" ca="1" si="39"/>
        <v>273.28963969907636</v>
      </c>
      <c r="AF475" s="35"/>
    </row>
    <row r="476" spans="1:32" hidden="1">
      <c r="A476" s="209">
        <v>8632603</v>
      </c>
      <c r="B476" s="209" t="s">
        <v>653</v>
      </c>
      <c r="C476" s="210" t="s">
        <v>935</v>
      </c>
      <c r="D476" s="214"/>
      <c r="E476" s="214">
        <v>2371001400010</v>
      </c>
      <c r="F476" s="209" t="s">
        <v>936</v>
      </c>
      <c r="G476" s="209" t="s">
        <v>53</v>
      </c>
      <c r="H476" s="209" t="s">
        <v>1000</v>
      </c>
      <c r="I476" s="209" t="s">
        <v>1001</v>
      </c>
      <c r="J476" s="209" t="s">
        <v>90</v>
      </c>
      <c r="K476" s="210" t="s">
        <v>937</v>
      </c>
      <c r="L476" s="210"/>
      <c r="M476" s="209" t="s">
        <v>58</v>
      </c>
      <c r="N476" s="209">
        <v>0</v>
      </c>
      <c r="O476" s="209" t="s">
        <v>105</v>
      </c>
      <c r="P476" s="213">
        <v>44713.386597222219</v>
      </c>
      <c r="Q476" s="209"/>
      <c r="R476" s="209">
        <v>3</v>
      </c>
      <c r="S476" s="209"/>
      <c r="T476" s="209" t="s">
        <v>646</v>
      </c>
      <c r="U476" s="213">
        <v>44714.386597222219</v>
      </c>
      <c r="V476" s="209" t="s">
        <v>41</v>
      </c>
      <c r="W476" s="209" t="s">
        <v>49</v>
      </c>
      <c r="X476" s="13" t="str">
        <f>IF(RIGHT(H476,2)&lt;&gt;"00",H476,"")</f>
        <v/>
      </c>
      <c r="Y476" s="26">
        <f ca="1">NETWORKDAYS(P476,$Y$1)</f>
        <v>196</v>
      </c>
      <c r="Z476" s="34">
        <v>1</v>
      </c>
      <c r="AA476" s="25" t="str">
        <f t="shared" ca="1" si="38"/>
        <v>A VENCER</v>
      </c>
      <c r="AB476" s="25" t="str">
        <f t="shared" si="36"/>
        <v>C-14</v>
      </c>
      <c r="AC476" s="2" t="str">
        <f t="shared" si="40"/>
        <v xml:space="preserve"> RINALDO </v>
      </c>
      <c r="AD476" s="26">
        <f t="shared" si="37"/>
        <v>5</v>
      </c>
      <c r="AE476" s="26">
        <f t="shared" ca="1" si="39"/>
        <v>273.28967442129942</v>
      </c>
      <c r="AF476" s="35"/>
    </row>
    <row r="477" spans="1:32" hidden="1">
      <c r="A477" s="209">
        <v>8632602</v>
      </c>
      <c r="B477" s="209" t="s">
        <v>653</v>
      </c>
      <c r="C477" s="210" t="s">
        <v>935</v>
      </c>
      <c r="D477" s="214"/>
      <c r="E477" s="214">
        <v>2369001400010</v>
      </c>
      <c r="F477" s="209" t="s">
        <v>936</v>
      </c>
      <c r="G477" s="209" t="s">
        <v>53</v>
      </c>
      <c r="H477" s="209" t="s">
        <v>701</v>
      </c>
      <c r="I477" s="209" t="s">
        <v>702</v>
      </c>
      <c r="J477" s="209" t="s">
        <v>141</v>
      </c>
      <c r="K477" s="210" t="s">
        <v>937</v>
      </c>
      <c r="L477" s="210"/>
      <c r="M477" s="209" t="s">
        <v>58</v>
      </c>
      <c r="N477" s="209">
        <v>0</v>
      </c>
      <c r="O477" s="209" t="s">
        <v>105</v>
      </c>
      <c r="P477" s="213">
        <v>44713.38658564815</v>
      </c>
      <c r="Q477" s="209"/>
      <c r="R477" s="209">
        <v>3</v>
      </c>
      <c r="S477" s="209"/>
      <c r="T477" s="209" t="s">
        <v>646</v>
      </c>
      <c r="U477" s="213">
        <v>44714.38658564815</v>
      </c>
      <c r="V477" s="209" t="s">
        <v>41</v>
      </c>
      <c r="W477" s="209" t="s">
        <v>49</v>
      </c>
      <c r="X477" s="13" t="str">
        <f>IF(RIGHT(H477,2)&lt;&gt;"00",H477,"")</f>
        <v/>
      </c>
      <c r="Y477" s="26">
        <f ca="1">NETWORKDAYS(P477,$Y$1)</f>
        <v>196</v>
      </c>
      <c r="Z477" s="34">
        <v>1</v>
      </c>
      <c r="AA477" s="25" t="str">
        <f t="shared" ca="1" si="38"/>
        <v>A VENCER</v>
      </c>
      <c r="AB477" s="25" t="str">
        <f t="shared" ref="AB477:AB540" si="41">IF(F477="GRPE-000001","C-14",IF(F477="GRPE-000002","C-14",IF(F477="GRPE-000003","C-14",IF(F477="GRPE-000004","SL-On",IF(F477="GRPE-000038","C-14",IF(F477="GRPE-900022","Dosa",IF(F477="GRPE-000029","Dosa",IF(F477="ATOS-000222","Dose","TAAe+"))))))))</f>
        <v>C-14</v>
      </c>
      <c r="AC477" s="2" t="str">
        <f t="shared" si="40"/>
        <v xml:space="preserve"> CRISTINA </v>
      </c>
      <c r="AD477" s="26">
        <f t="shared" ref="AD477:AD540" si="42">IF(F477="GRPE-000001",5,IF(F477="GRPE-000002",5,IF(F477="GRPE-000003",15,IF(F477="GRPE-000004",1,IF(F477="GRPE-000038",5,IF(F477="GRPE-900022",5,IF(F477="GRPE-000029",5,IF(F477="ATOS-000222",5,8))))))))</f>
        <v>5</v>
      </c>
      <c r="AE477" s="26">
        <f t="shared" ca="1" si="39"/>
        <v>273.28968599536893</v>
      </c>
      <c r="AF477" s="35"/>
    </row>
    <row r="478" spans="1:32" hidden="1">
      <c r="A478" s="209">
        <v>8632599</v>
      </c>
      <c r="B478" s="209" t="s">
        <v>653</v>
      </c>
      <c r="C478" s="210" t="s">
        <v>935</v>
      </c>
      <c r="D478" s="214"/>
      <c r="E478" s="214">
        <v>2365001400010</v>
      </c>
      <c r="F478" s="209" t="s">
        <v>936</v>
      </c>
      <c r="G478" s="209" t="s">
        <v>53</v>
      </c>
      <c r="H478" s="209" t="s">
        <v>159</v>
      </c>
      <c r="I478" s="209" t="s">
        <v>160</v>
      </c>
      <c r="J478" s="209" t="s">
        <v>46</v>
      </c>
      <c r="K478" s="210" t="s">
        <v>937</v>
      </c>
      <c r="L478" s="210"/>
      <c r="M478" s="209" t="s">
        <v>58</v>
      </c>
      <c r="N478" s="209">
        <v>0</v>
      </c>
      <c r="O478" s="209" t="s">
        <v>105</v>
      </c>
      <c r="P478" s="213">
        <v>44713.38658564815</v>
      </c>
      <c r="Q478" s="209"/>
      <c r="R478" s="209">
        <v>3</v>
      </c>
      <c r="S478" s="209"/>
      <c r="T478" s="209" t="s">
        <v>646</v>
      </c>
      <c r="U478" s="213">
        <v>44714.38658564815</v>
      </c>
      <c r="V478" s="209" t="s">
        <v>41</v>
      </c>
      <c r="W478" s="209" t="s">
        <v>49</v>
      </c>
      <c r="X478" s="13" t="str">
        <f>IF(RIGHT(H478,2)&lt;&gt;"00",H478,"")</f>
        <v/>
      </c>
      <c r="Y478" s="26">
        <f ca="1">NETWORKDAYS(P478,$Y$1)</f>
        <v>196</v>
      </c>
      <c r="Z478" s="34">
        <v>1</v>
      </c>
      <c r="AA478" s="25" t="str">
        <f t="shared" ca="1" si="38"/>
        <v>A VENCER</v>
      </c>
      <c r="AB478" s="25" t="str">
        <f t="shared" si="41"/>
        <v>C-14</v>
      </c>
      <c r="AC478" s="2" t="str">
        <f t="shared" si="40"/>
        <v xml:space="preserve"> CLEITON </v>
      </c>
      <c r="AD478" s="26">
        <f t="shared" si="42"/>
        <v>5</v>
      </c>
      <c r="AE478" s="26">
        <f t="shared" ca="1" si="39"/>
        <v>273.28968599536893</v>
      </c>
      <c r="AF478" s="35"/>
    </row>
    <row r="479" spans="1:32" hidden="1">
      <c r="A479" s="209">
        <v>8632568</v>
      </c>
      <c r="B479" s="209" t="s">
        <v>653</v>
      </c>
      <c r="C479" s="210" t="s">
        <v>935</v>
      </c>
      <c r="D479" s="214"/>
      <c r="E479" s="214">
        <v>2326001400010</v>
      </c>
      <c r="F479" s="209" t="s">
        <v>936</v>
      </c>
      <c r="G479" s="209" t="s">
        <v>53</v>
      </c>
      <c r="H479" s="209" t="s">
        <v>191</v>
      </c>
      <c r="I479" s="209" t="s">
        <v>192</v>
      </c>
      <c r="J479" s="209" t="s">
        <v>46</v>
      </c>
      <c r="K479" s="210" t="s">
        <v>937</v>
      </c>
      <c r="L479" s="210"/>
      <c r="M479" s="209" t="s">
        <v>58</v>
      </c>
      <c r="N479" s="209">
        <v>0</v>
      </c>
      <c r="O479" s="209" t="s">
        <v>105</v>
      </c>
      <c r="P479" s="213">
        <v>44713.386550925927</v>
      </c>
      <c r="Q479" s="209"/>
      <c r="R479" s="209">
        <v>3</v>
      </c>
      <c r="S479" s="209"/>
      <c r="T479" s="209" t="s">
        <v>646</v>
      </c>
      <c r="U479" s="213">
        <v>44714.386550925927</v>
      </c>
      <c r="V479" s="209" t="s">
        <v>41</v>
      </c>
      <c r="W479" s="209" t="s">
        <v>49</v>
      </c>
      <c r="X479" s="13" t="str">
        <f>IF(RIGHT(H479,2)&lt;&gt;"00",H479,"")</f>
        <v/>
      </c>
      <c r="Y479" s="26">
        <f ca="1">NETWORKDAYS(P479,$Y$1)</f>
        <v>196</v>
      </c>
      <c r="Z479" s="34">
        <v>1</v>
      </c>
      <c r="AA479" s="25" t="str">
        <f t="shared" ca="1" si="38"/>
        <v>A VENCER</v>
      </c>
      <c r="AB479" s="25" t="str">
        <f t="shared" si="41"/>
        <v>C-14</v>
      </c>
      <c r="AC479" s="2" t="str">
        <f t="shared" si="40"/>
        <v xml:space="preserve"> CLEITON </v>
      </c>
      <c r="AD479" s="26">
        <f t="shared" si="42"/>
        <v>5</v>
      </c>
      <c r="AE479" s="26">
        <f t="shared" ca="1" si="39"/>
        <v>273.28972071759199</v>
      </c>
      <c r="AF479" s="35"/>
    </row>
    <row r="480" spans="1:32" hidden="1">
      <c r="A480" s="209">
        <v>8632476</v>
      </c>
      <c r="B480" s="209" t="s">
        <v>653</v>
      </c>
      <c r="C480" s="210" t="s">
        <v>935</v>
      </c>
      <c r="D480" s="214"/>
      <c r="E480" s="214">
        <v>2219001400010</v>
      </c>
      <c r="F480" s="209" t="s">
        <v>936</v>
      </c>
      <c r="G480" s="209" t="s">
        <v>53</v>
      </c>
      <c r="H480" s="209" t="s">
        <v>893</v>
      </c>
      <c r="I480" s="209" t="s">
        <v>894</v>
      </c>
      <c r="J480" s="209" t="s">
        <v>141</v>
      </c>
      <c r="K480" s="210" t="s">
        <v>937</v>
      </c>
      <c r="L480" s="210"/>
      <c r="M480" s="209" t="s">
        <v>58</v>
      </c>
      <c r="N480" s="209">
        <v>0</v>
      </c>
      <c r="O480" s="209" t="s">
        <v>105</v>
      </c>
      <c r="P480" s="213">
        <v>44713.386423611111</v>
      </c>
      <c r="Q480" s="209"/>
      <c r="R480" s="209">
        <v>3</v>
      </c>
      <c r="S480" s="209"/>
      <c r="T480" s="209" t="s">
        <v>646</v>
      </c>
      <c r="U480" s="213">
        <v>44714.386423611111</v>
      </c>
      <c r="V480" s="209" t="s">
        <v>41</v>
      </c>
      <c r="W480" s="209" t="s">
        <v>49</v>
      </c>
      <c r="X480" s="13" t="str">
        <f>IF(RIGHT(H480,2)&lt;&gt;"00",H480,"")</f>
        <v/>
      </c>
      <c r="Y480" s="26">
        <f ca="1">NETWORKDAYS(P480,$Y$1)</f>
        <v>196</v>
      </c>
      <c r="Z480" s="34">
        <v>1</v>
      </c>
      <c r="AA480" s="25" t="str">
        <f t="shared" ca="1" si="38"/>
        <v>A VENCER</v>
      </c>
      <c r="AB480" s="25" t="str">
        <f t="shared" si="41"/>
        <v>C-14</v>
      </c>
      <c r="AC480" s="2" t="str">
        <f t="shared" si="40"/>
        <v xml:space="preserve"> CRISTINA </v>
      </c>
      <c r="AD480" s="26">
        <f t="shared" si="42"/>
        <v>5</v>
      </c>
      <c r="AE480" s="26">
        <f t="shared" ca="1" si="39"/>
        <v>273.28984803240746</v>
      </c>
      <c r="AF480" s="35"/>
    </row>
    <row r="481" spans="1:32" hidden="1">
      <c r="A481" s="209">
        <v>8632402</v>
      </c>
      <c r="B481" s="209" t="s">
        <v>653</v>
      </c>
      <c r="C481" s="210" t="s">
        <v>935</v>
      </c>
      <c r="D481" s="214"/>
      <c r="E481" s="214">
        <v>2138001400010</v>
      </c>
      <c r="F481" s="209" t="s">
        <v>936</v>
      </c>
      <c r="G481" s="209" t="s">
        <v>53</v>
      </c>
      <c r="H481" s="209" t="s">
        <v>379</v>
      </c>
      <c r="I481" s="209" t="s">
        <v>380</v>
      </c>
      <c r="J481" s="209" t="s">
        <v>46</v>
      </c>
      <c r="K481" s="210" t="s">
        <v>937</v>
      </c>
      <c r="L481" s="210"/>
      <c r="M481" s="209" t="s">
        <v>58</v>
      </c>
      <c r="N481" s="209">
        <v>0</v>
      </c>
      <c r="O481" s="209" t="s">
        <v>105</v>
      </c>
      <c r="P481" s="213">
        <v>44713.386331018519</v>
      </c>
      <c r="Q481" s="209"/>
      <c r="R481" s="209">
        <v>3</v>
      </c>
      <c r="S481" s="209"/>
      <c r="T481" s="209" t="s">
        <v>646</v>
      </c>
      <c r="U481" s="213">
        <v>44714.386331018519</v>
      </c>
      <c r="V481" s="209" t="s">
        <v>41</v>
      </c>
      <c r="W481" s="209" t="s">
        <v>49</v>
      </c>
      <c r="X481" s="13" t="str">
        <f>IF(RIGHT(H481,2)&lt;&gt;"00",H481,"")</f>
        <v/>
      </c>
      <c r="Y481" s="26">
        <f ca="1">NETWORKDAYS(P481,$Y$1)</f>
        <v>196</v>
      </c>
      <c r="Z481" s="34">
        <v>1</v>
      </c>
      <c r="AA481" s="25" t="str">
        <f t="shared" ca="1" si="38"/>
        <v>A VENCER</v>
      </c>
      <c r="AB481" s="25" t="str">
        <f t="shared" si="41"/>
        <v>C-14</v>
      </c>
      <c r="AC481" s="2" t="str">
        <f t="shared" si="40"/>
        <v xml:space="preserve"> CLEITON </v>
      </c>
      <c r="AD481" s="26">
        <f t="shared" si="42"/>
        <v>5</v>
      </c>
      <c r="AE481" s="26">
        <f t="shared" ca="1" si="39"/>
        <v>273.28994062499987</v>
      </c>
      <c r="AF481" s="35"/>
    </row>
    <row r="482" spans="1:32" hidden="1">
      <c r="A482" s="209">
        <v>8632379</v>
      </c>
      <c r="B482" s="209" t="s">
        <v>653</v>
      </c>
      <c r="C482" s="210" t="s">
        <v>935</v>
      </c>
      <c r="D482" s="214"/>
      <c r="E482" s="214">
        <v>2107001400010</v>
      </c>
      <c r="F482" s="209" t="s">
        <v>936</v>
      </c>
      <c r="G482" s="209" t="s">
        <v>53</v>
      </c>
      <c r="H482" s="209" t="s">
        <v>262</v>
      </c>
      <c r="I482" s="209" t="s">
        <v>263</v>
      </c>
      <c r="J482" s="209" t="s">
        <v>164</v>
      </c>
      <c r="K482" s="210" t="s">
        <v>937</v>
      </c>
      <c r="L482" s="210"/>
      <c r="M482" s="209" t="s">
        <v>58</v>
      </c>
      <c r="N482" s="209">
        <v>0</v>
      </c>
      <c r="O482" s="209" t="s">
        <v>105</v>
      </c>
      <c r="P482" s="213">
        <v>44713.386307870373</v>
      </c>
      <c r="Q482" s="209"/>
      <c r="R482" s="209">
        <v>3</v>
      </c>
      <c r="S482" s="209"/>
      <c r="T482" s="209" t="s">
        <v>646</v>
      </c>
      <c r="U482" s="213">
        <v>44714.386307870373</v>
      </c>
      <c r="V482" s="209" t="s">
        <v>41</v>
      </c>
      <c r="W482" s="209" t="s">
        <v>49</v>
      </c>
      <c r="X482" s="13" t="str">
        <f>IF(RIGHT(H482,2)&lt;&gt;"00",H482,"")</f>
        <v/>
      </c>
      <c r="Y482" s="26">
        <f ca="1">NETWORKDAYS(P482,$Y$1)</f>
        <v>196</v>
      </c>
      <c r="Z482" s="34">
        <v>1</v>
      </c>
      <c r="AA482" s="25" t="str">
        <f t="shared" ca="1" si="38"/>
        <v>A VENCER</v>
      </c>
      <c r="AB482" s="25" t="str">
        <f t="shared" si="41"/>
        <v>C-14</v>
      </c>
      <c r="AC482" s="2" t="str">
        <f t="shared" si="40"/>
        <v xml:space="preserve"> ROSEMERE </v>
      </c>
      <c r="AD482" s="26">
        <f t="shared" si="42"/>
        <v>5</v>
      </c>
      <c r="AE482" s="26">
        <f t="shared" ca="1" si="39"/>
        <v>273.28996377314616</v>
      </c>
      <c r="AF482" s="35"/>
    </row>
    <row r="483" spans="1:32" hidden="1">
      <c r="A483" s="209">
        <v>8632349</v>
      </c>
      <c r="B483" s="209" t="s">
        <v>653</v>
      </c>
      <c r="C483" s="210" t="s">
        <v>935</v>
      </c>
      <c r="D483" s="214"/>
      <c r="E483" s="214">
        <v>2069001400010</v>
      </c>
      <c r="F483" s="209" t="s">
        <v>936</v>
      </c>
      <c r="G483" s="209" t="s">
        <v>53</v>
      </c>
      <c r="H483" s="209" t="s">
        <v>557</v>
      </c>
      <c r="I483" s="209" t="s">
        <v>558</v>
      </c>
      <c r="J483" s="209" t="s">
        <v>90</v>
      </c>
      <c r="K483" s="210" t="s">
        <v>937</v>
      </c>
      <c r="L483" s="210"/>
      <c r="M483" s="209" t="s">
        <v>58</v>
      </c>
      <c r="N483" s="209">
        <v>0</v>
      </c>
      <c r="O483" s="209" t="s">
        <v>105</v>
      </c>
      <c r="P483" s="213">
        <v>44713.386273148149</v>
      </c>
      <c r="Q483" s="209"/>
      <c r="R483" s="209">
        <v>3</v>
      </c>
      <c r="S483" s="209"/>
      <c r="T483" s="209" t="s">
        <v>646</v>
      </c>
      <c r="U483" s="213">
        <v>44714.386273148149</v>
      </c>
      <c r="V483" s="209" t="s">
        <v>41</v>
      </c>
      <c r="W483" s="209" t="s">
        <v>49</v>
      </c>
      <c r="X483" s="13" t="str">
        <f>IF(RIGHT(H483,2)&lt;&gt;"00",H483,"")</f>
        <v/>
      </c>
      <c r="Y483" s="26">
        <f ca="1">NETWORKDAYS(P483,$Y$1)</f>
        <v>196</v>
      </c>
      <c r="Z483" s="34">
        <v>1</v>
      </c>
      <c r="AA483" s="25" t="str">
        <f t="shared" ca="1" si="38"/>
        <v>A VENCER</v>
      </c>
      <c r="AB483" s="25" t="str">
        <f t="shared" si="41"/>
        <v>C-14</v>
      </c>
      <c r="AC483" s="2" t="str">
        <f t="shared" si="40"/>
        <v xml:space="preserve"> RINALDO </v>
      </c>
      <c r="AD483" s="26">
        <f t="shared" si="42"/>
        <v>5</v>
      </c>
      <c r="AE483" s="26">
        <f t="shared" ca="1" si="39"/>
        <v>273.28999849536922</v>
      </c>
      <c r="AF483" s="35"/>
    </row>
    <row r="484" spans="1:32" hidden="1">
      <c r="A484" s="209">
        <v>8632235</v>
      </c>
      <c r="B484" s="209" t="s">
        <v>653</v>
      </c>
      <c r="C484" s="210" t="s">
        <v>935</v>
      </c>
      <c r="D484" s="214"/>
      <c r="E484" s="214">
        <v>1838001400010</v>
      </c>
      <c r="F484" s="209" t="s">
        <v>936</v>
      </c>
      <c r="G484" s="209" t="s">
        <v>53</v>
      </c>
      <c r="H484" s="209" t="s">
        <v>357</v>
      </c>
      <c r="I484" s="209" t="s">
        <v>358</v>
      </c>
      <c r="J484" s="209" t="s">
        <v>46</v>
      </c>
      <c r="K484" s="210" t="s">
        <v>937</v>
      </c>
      <c r="L484" s="210"/>
      <c r="M484" s="209" t="s">
        <v>58</v>
      </c>
      <c r="N484" s="209">
        <v>0</v>
      </c>
      <c r="O484" s="209" t="s">
        <v>105</v>
      </c>
      <c r="P484" s="213">
        <v>44713.386134259257</v>
      </c>
      <c r="Q484" s="209"/>
      <c r="R484" s="209">
        <v>3</v>
      </c>
      <c r="S484" s="209"/>
      <c r="T484" s="209" t="s">
        <v>646</v>
      </c>
      <c r="U484" s="213">
        <v>44714.386134259257</v>
      </c>
      <c r="V484" s="209" t="s">
        <v>41</v>
      </c>
      <c r="W484" s="209" t="s">
        <v>49</v>
      </c>
      <c r="X484" s="13" t="str">
        <f>IF(RIGHT(H484,2)&lt;&gt;"00",H484,"")</f>
        <v/>
      </c>
      <c r="Y484" s="26">
        <f ca="1">NETWORKDAYS(P484,$Y$1)</f>
        <v>196</v>
      </c>
      <c r="Z484" s="34">
        <v>1</v>
      </c>
      <c r="AA484" s="25" t="str">
        <f t="shared" ca="1" si="38"/>
        <v>A VENCER</v>
      </c>
      <c r="AB484" s="25" t="str">
        <f t="shared" si="41"/>
        <v>C-14</v>
      </c>
      <c r="AC484" s="2" t="str">
        <f t="shared" si="40"/>
        <v xml:space="preserve"> CLEITON </v>
      </c>
      <c r="AD484" s="26">
        <f t="shared" si="42"/>
        <v>5</v>
      </c>
      <c r="AE484" s="26">
        <f t="shared" ca="1" si="39"/>
        <v>273.29013738426147</v>
      </c>
      <c r="AF484" s="35"/>
    </row>
    <row r="485" spans="1:32" hidden="1">
      <c r="A485" s="209">
        <v>8632233</v>
      </c>
      <c r="B485" s="209" t="s">
        <v>653</v>
      </c>
      <c r="C485" s="210" t="s">
        <v>935</v>
      </c>
      <c r="D485" s="214"/>
      <c r="E485" s="214">
        <v>1836001400010</v>
      </c>
      <c r="F485" s="209" t="s">
        <v>936</v>
      </c>
      <c r="G485" s="209" t="s">
        <v>53</v>
      </c>
      <c r="H485" s="209" t="s">
        <v>455</v>
      </c>
      <c r="I485" s="209" t="s">
        <v>456</v>
      </c>
      <c r="J485" s="209" t="s">
        <v>46</v>
      </c>
      <c r="K485" s="210" t="s">
        <v>937</v>
      </c>
      <c r="L485" s="210"/>
      <c r="M485" s="209" t="s">
        <v>58</v>
      </c>
      <c r="N485" s="209">
        <v>0</v>
      </c>
      <c r="O485" s="209" t="s">
        <v>105</v>
      </c>
      <c r="P485" s="213">
        <v>44713.386134259257</v>
      </c>
      <c r="Q485" s="209"/>
      <c r="R485" s="209">
        <v>3</v>
      </c>
      <c r="S485" s="209"/>
      <c r="T485" s="209" t="s">
        <v>646</v>
      </c>
      <c r="U485" s="213">
        <v>44714.386134259257</v>
      </c>
      <c r="V485" s="209" t="s">
        <v>41</v>
      </c>
      <c r="W485" s="209" t="s">
        <v>49</v>
      </c>
      <c r="X485" s="13" t="str">
        <f>IF(RIGHT(H485,2)&lt;&gt;"00",H485,"")</f>
        <v/>
      </c>
      <c r="Y485" s="26">
        <f ca="1">NETWORKDAYS(P485,$Y$1)</f>
        <v>196</v>
      </c>
      <c r="Z485" s="34">
        <v>1</v>
      </c>
      <c r="AA485" s="25" t="str">
        <f t="shared" ca="1" si="38"/>
        <v>A VENCER</v>
      </c>
      <c r="AB485" s="25" t="str">
        <f t="shared" si="41"/>
        <v>C-14</v>
      </c>
      <c r="AC485" s="2" t="str">
        <f t="shared" si="40"/>
        <v xml:space="preserve"> CLEITON </v>
      </c>
      <c r="AD485" s="26">
        <f t="shared" si="42"/>
        <v>5</v>
      </c>
      <c r="AE485" s="26">
        <f t="shared" ca="1" si="39"/>
        <v>273.29013738426147</v>
      </c>
      <c r="AF485" s="35"/>
    </row>
    <row r="486" spans="1:32" hidden="1">
      <c r="A486" s="209">
        <v>8632232</v>
      </c>
      <c r="B486" s="209" t="s">
        <v>653</v>
      </c>
      <c r="C486" s="210" t="s">
        <v>935</v>
      </c>
      <c r="D486" s="214"/>
      <c r="E486" s="214">
        <v>1835001400010</v>
      </c>
      <c r="F486" s="209" t="s">
        <v>936</v>
      </c>
      <c r="G486" s="209" t="s">
        <v>53</v>
      </c>
      <c r="H486" s="209" t="s">
        <v>305</v>
      </c>
      <c r="I486" s="209" t="s">
        <v>306</v>
      </c>
      <c r="J486" s="209" t="s">
        <v>46</v>
      </c>
      <c r="K486" s="210" t="s">
        <v>937</v>
      </c>
      <c r="L486" s="210"/>
      <c r="M486" s="209" t="s">
        <v>58</v>
      </c>
      <c r="N486" s="209">
        <v>0</v>
      </c>
      <c r="O486" s="209" t="s">
        <v>105</v>
      </c>
      <c r="P486" s="213">
        <v>44713.386134259257</v>
      </c>
      <c r="Q486" s="209"/>
      <c r="R486" s="209">
        <v>3</v>
      </c>
      <c r="S486" s="209"/>
      <c r="T486" s="209" t="s">
        <v>646</v>
      </c>
      <c r="U486" s="213">
        <v>44714.386134259257</v>
      </c>
      <c r="V486" s="209" t="s">
        <v>41</v>
      </c>
      <c r="W486" s="209" t="s">
        <v>49</v>
      </c>
      <c r="X486" s="13" t="str">
        <f>IF(RIGHT(H486,2)&lt;&gt;"00",H486,"")</f>
        <v/>
      </c>
      <c r="Y486" s="26">
        <f ca="1">NETWORKDAYS(P486,$Y$1)</f>
        <v>196</v>
      </c>
      <c r="Z486" s="34">
        <v>1</v>
      </c>
      <c r="AA486" s="25" t="str">
        <f t="shared" ca="1" si="38"/>
        <v>A VENCER</v>
      </c>
      <c r="AB486" s="25" t="str">
        <f t="shared" si="41"/>
        <v>C-14</v>
      </c>
      <c r="AC486" s="2" t="str">
        <f t="shared" si="40"/>
        <v xml:space="preserve"> CLEITON </v>
      </c>
      <c r="AD486" s="26">
        <f t="shared" si="42"/>
        <v>5</v>
      </c>
      <c r="AE486" s="26">
        <f t="shared" ca="1" si="39"/>
        <v>273.29013738426147</v>
      </c>
      <c r="AF486" s="35"/>
    </row>
    <row r="487" spans="1:32" hidden="1">
      <c r="A487" s="209">
        <v>8632230</v>
      </c>
      <c r="B487" s="209" t="s">
        <v>653</v>
      </c>
      <c r="C487" s="210" t="s">
        <v>935</v>
      </c>
      <c r="D487" s="214"/>
      <c r="E487" s="214">
        <v>1833041400010</v>
      </c>
      <c r="F487" s="209" t="s">
        <v>936</v>
      </c>
      <c r="G487" s="209" t="s">
        <v>53</v>
      </c>
      <c r="H487" s="209" t="s">
        <v>811</v>
      </c>
      <c r="I487" s="209" t="s">
        <v>812</v>
      </c>
      <c r="J487" s="209" t="s">
        <v>46</v>
      </c>
      <c r="K487" s="210" t="s">
        <v>937</v>
      </c>
      <c r="L487" s="210"/>
      <c r="M487" s="209" t="s">
        <v>58</v>
      </c>
      <c r="N487" s="209">
        <v>0</v>
      </c>
      <c r="O487" s="209" t="s">
        <v>105</v>
      </c>
      <c r="P487" s="213">
        <v>44713.386134259257</v>
      </c>
      <c r="Q487" s="209"/>
      <c r="R487" s="209">
        <v>3</v>
      </c>
      <c r="S487" s="209"/>
      <c r="T487" s="209" t="s">
        <v>646</v>
      </c>
      <c r="U487" s="213">
        <v>44714.386134259257</v>
      </c>
      <c r="V487" s="209" t="s">
        <v>41</v>
      </c>
      <c r="W487" s="209" t="s">
        <v>49</v>
      </c>
      <c r="X487" s="13" t="str">
        <f>IF(RIGHT(H487,2)&lt;&gt;"00",H487,"")</f>
        <v>1833.04</v>
      </c>
      <c r="Y487" s="26">
        <f ca="1">NETWORKDAYS(P487,$Y$1)</f>
        <v>196</v>
      </c>
      <c r="Z487" s="34">
        <v>1</v>
      </c>
      <c r="AA487" s="25" t="str">
        <f t="shared" ca="1" si="38"/>
        <v>A VENCER</v>
      </c>
      <c r="AB487" s="25" t="str">
        <f t="shared" si="41"/>
        <v>C-14</v>
      </c>
      <c r="AC487" s="2" t="str">
        <f t="shared" si="40"/>
        <v xml:space="preserve"> CLEITON </v>
      </c>
      <c r="AD487" s="26">
        <f t="shared" si="42"/>
        <v>5</v>
      </c>
      <c r="AE487" s="26">
        <f t="shared" ca="1" si="39"/>
        <v>273.29013738426147</v>
      </c>
      <c r="AF487" s="35"/>
    </row>
    <row r="488" spans="1:32" hidden="1">
      <c r="A488" s="209">
        <v>8632229</v>
      </c>
      <c r="B488" s="209" t="s">
        <v>653</v>
      </c>
      <c r="C488" s="210" t="s">
        <v>935</v>
      </c>
      <c r="D488" s="214"/>
      <c r="E488" s="214">
        <v>1833001400010</v>
      </c>
      <c r="F488" s="209" t="s">
        <v>936</v>
      </c>
      <c r="G488" s="209" t="s">
        <v>53</v>
      </c>
      <c r="H488" s="209" t="s">
        <v>369</v>
      </c>
      <c r="I488" s="209" t="s">
        <v>370</v>
      </c>
      <c r="J488" s="209" t="s">
        <v>46</v>
      </c>
      <c r="K488" s="210" t="s">
        <v>937</v>
      </c>
      <c r="L488" s="210"/>
      <c r="M488" s="209" t="s">
        <v>58</v>
      </c>
      <c r="N488" s="209">
        <v>0</v>
      </c>
      <c r="O488" s="209" t="s">
        <v>105</v>
      </c>
      <c r="P488" s="213">
        <v>44713.386134259257</v>
      </c>
      <c r="Q488" s="209"/>
      <c r="R488" s="209">
        <v>3</v>
      </c>
      <c r="S488" s="209"/>
      <c r="T488" s="209" t="s">
        <v>646</v>
      </c>
      <c r="U488" s="213">
        <v>44714.386134259257</v>
      </c>
      <c r="V488" s="209" t="s">
        <v>41</v>
      </c>
      <c r="W488" s="209" t="s">
        <v>49</v>
      </c>
      <c r="X488" s="13" t="str">
        <f>IF(RIGHT(H488,2)&lt;&gt;"00",H488,"")</f>
        <v/>
      </c>
      <c r="Y488" s="26">
        <f ca="1">NETWORKDAYS(P488,$Y$1)</f>
        <v>196</v>
      </c>
      <c r="Z488" s="34">
        <v>1</v>
      </c>
      <c r="AA488" s="25" t="str">
        <f t="shared" ca="1" si="38"/>
        <v>A VENCER</v>
      </c>
      <c r="AB488" s="25" t="str">
        <f t="shared" si="41"/>
        <v>C-14</v>
      </c>
      <c r="AC488" s="2" t="str">
        <f t="shared" si="40"/>
        <v xml:space="preserve"> CLEITON </v>
      </c>
      <c r="AD488" s="26">
        <f t="shared" si="42"/>
        <v>5</v>
      </c>
      <c r="AE488" s="26">
        <f t="shared" ca="1" si="39"/>
        <v>273.29013738426147</v>
      </c>
      <c r="AF488" s="35"/>
    </row>
    <row r="489" spans="1:32" hidden="1">
      <c r="A489" s="209">
        <v>8632217</v>
      </c>
      <c r="B489" s="209" t="s">
        <v>653</v>
      </c>
      <c r="C489" s="210" t="s">
        <v>935</v>
      </c>
      <c r="D489" s="214"/>
      <c r="E489" s="214">
        <v>1814031400010</v>
      </c>
      <c r="F489" s="209" t="s">
        <v>936</v>
      </c>
      <c r="G489" s="209" t="s">
        <v>53</v>
      </c>
      <c r="H489" s="209" t="s">
        <v>719</v>
      </c>
      <c r="I489" s="209" t="s">
        <v>188</v>
      </c>
      <c r="J489" s="209" t="s">
        <v>46</v>
      </c>
      <c r="K489" s="210" t="s">
        <v>937</v>
      </c>
      <c r="L489" s="210"/>
      <c r="M489" s="209" t="s">
        <v>58</v>
      </c>
      <c r="N489" s="209">
        <v>0</v>
      </c>
      <c r="O489" s="209" t="s">
        <v>105</v>
      </c>
      <c r="P489" s="213">
        <v>44713.386111111111</v>
      </c>
      <c r="Q489" s="209"/>
      <c r="R489" s="209">
        <v>3</v>
      </c>
      <c r="S489" s="209"/>
      <c r="T489" s="209" t="s">
        <v>646</v>
      </c>
      <c r="U489" s="213">
        <v>44714.386111111111</v>
      </c>
      <c r="V489" s="209" t="s">
        <v>41</v>
      </c>
      <c r="W489" s="209" t="s">
        <v>49</v>
      </c>
      <c r="X489" s="13" t="str">
        <f>IF(RIGHT(H489,2)&lt;&gt;"00",H489,"")</f>
        <v>1814.03</v>
      </c>
      <c r="Y489" s="26">
        <f ca="1">NETWORKDAYS(P489,$Y$1)</f>
        <v>196</v>
      </c>
      <c r="Z489" s="34">
        <v>1</v>
      </c>
      <c r="AA489" s="25" t="str">
        <f t="shared" ca="1" si="38"/>
        <v>A VENCER</v>
      </c>
      <c r="AB489" s="25" t="str">
        <f t="shared" si="41"/>
        <v>C-14</v>
      </c>
      <c r="AC489" s="2" t="str">
        <f t="shared" si="40"/>
        <v xml:space="preserve"> CLEITON </v>
      </c>
      <c r="AD489" s="26">
        <f t="shared" si="42"/>
        <v>5</v>
      </c>
      <c r="AE489" s="26">
        <f t="shared" ca="1" si="39"/>
        <v>273.29016053240775</v>
      </c>
      <c r="AF489" s="35"/>
    </row>
    <row r="490" spans="1:32" hidden="1">
      <c r="A490" s="209">
        <v>8632154</v>
      </c>
      <c r="B490" s="209" t="s">
        <v>653</v>
      </c>
      <c r="C490" s="210" t="s">
        <v>935</v>
      </c>
      <c r="D490" s="214"/>
      <c r="E490" s="214">
        <v>1739001400010</v>
      </c>
      <c r="F490" s="209" t="s">
        <v>936</v>
      </c>
      <c r="G490" s="209" t="s">
        <v>53</v>
      </c>
      <c r="H490" s="209" t="s">
        <v>162</v>
      </c>
      <c r="I490" s="209" t="s">
        <v>163</v>
      </c>
      <c r="J490" s="209" t="s">
        <v>164</v>
      </c>
      <c r="K490" s="210" t="s">
        <v>937</v>
      </c>
      <c r="L490" s="210"/>
      <c r="M490" s="209" t="s">
        <v>58</v>
      </c>
      <c r="N490" s="209">
        <v>0</v>
      </c>
      <c r="O490" s="209" t="s">
        <v>105</v>
      </c>
      <c r="P490" s="213">
        <v>44713.386030092595</v>
      </c>
      <c r="Q490" s="209"/>
      <c r="R490" s="209">
        <v>3</v>
      </c>
      <c r="S490" s="209"/>
      <c r="T490" s="209" t="s">
        <v>646</v>
      </c>
      <c r="U490" s="213">
        <v>44714.386030092595</v>
      </c>
      <c r="V490" s="209" t="s">
        <v>41</v>
      </c>
      <c r="W490" s="209" t="s">
        <v>49</v>
      </c>
      <c r="X490" s="13" t="str">
        <f>IF(RIGHT(H490,2)&lt;&gt;"00",H490,"")</f>
        <v/>
      </c>
      <c r="Y490" s="26">
        <f ca="1">NETWORKDAYS(P490,$Y$1)</f>
        <v>196</v>
      </c>
      <c r="Z490" s="34">
        <v>1</v>
      </c>
      <c r="AA490" s="25" t="str">
        <f t="shared" ca="1" si="38"/>
        <v>A VENCER</v>
      </c>
      <c r="AB490" s="25" t="str">
        <f t="shared" si="41"/>
        <v>C-14</v>
      </c>
      <c r="AC490" s="2" t="str">
        <f t="shared" si="40"/>
        <v xml:space="preserve"> ROSEMERE </v>
      </c>
      <c r="AD490" s="26">
        <f t="shared" si="42"/>
        <v>5</v>
      </c>
      <c r="AE490" s="26">
        <f t="shared" ca="1" si="39"/>
        <v>273.29024155092338</v>
      </c>
      <c r="AF490" s="35"/>
    </row>
    <row r="491" spans="1:32" hidden="1">
      <c r="A491" s="209">
        <v>8632150</v>
      </c>
      <c r="B491" s="209" t="s">
        <v>653</v>
      </c>
      <c r="C491" s="210" t="s">
        <v>935</v>
      </c>
      <c r="D491" s="214"/>
      <c r="E491" s="214">
        <v>1732001400010</v>
      </c>
      <c r="F491" s="209" t="s">
        <v>936</v>
      </c>
      <c r="G491" s="209" t="s">
        <v>53</v>
      </c>
      <c r="H491" s="209" t="s">
        <v>177</v>
      </c>
      <c r="I491" s="209" t="s">
        <v>178</v>
      </c>
      <c r="J491" s="209" t="s">
        <v>164</v>
      </c>
      <c r="K491" s="210" t="s">
        <v>937</v>
      </c>
      <c r="L491" s="210"/>
      <c r="M491" s="209" t="s">
        <v>58</v>
      </c>
      <c r="N491" s="209">
        <v>0</v>
      </c>
      <c r="O491" s="209" t="s">
        <v>105</v>
      </c>
      <c r="P491" s="213">
        <v>44713.386030092595</v>
      </c>
      <c r="Q491" s="209"/>
      <c r="R491" s="209">
        <v>3</v>
      </c>
      <c r="S491" s="209"/>
      <c r="T491" s="209" t="s">
        <v>646</v>
      </c>
      <c r="U491" s="213">
        <v>44714.386030092595</v>
      </c>
      <c r="V491" s="209" t="s">
        <v>41</v>
      </c>
      <c r="W491" s="209" t="s">
        <v>49</v>
      </c>
      <c r="X491" s="13" t="str">
        <f>IF(RIGHT(H491,2)&lt;&gt;"00",H491,"")</f>
        <v/>
      </c>
      <c r="Y491" s="26">
        <f ca="1">NETWORKDAYS(P491,$Y$1)</f>
        <v>196</v>
      </c>
      <c r="Z491" s="34">
        <v>1</v>
      </c>
      <c r="AA491" s="25" t="str">
        <f t="shared" ca="1" si="38"/>
        <v>A VENCER</v>
      </c>
      <c r="AB491" s="25" t="str">
        <f t="shared" si="41"/>
        <v>C-14</v>
      </c>
      <c r="AC491" s="2" t="str">
        <f t="shared" si="40"/>
        <v xml:space="preserve"> ROSEMERE </v>
      </c>
      <c r="AD491" s="26">
        <f t="shared" si="42"/>
        <v>5</v>
      </c>
      <c r="AE491" s="26">
        <f t="shared" ca="1" si="39"/>
        <v>273.29024155092338</v>
      </c>
      <c r="AF491" s="35"/>
    </row>
    <row r="492" spans="1:32" hidden="1">
      <c r="A492" s="209">
        <v>8632090</v>
      </c>
      <c r="B492" s="209" t="s">
        <v>653</v>
      </c>
      <c r="C492" s="210" t="s">
        <v>935</v>
      </c>
      <c r="D492" s="214"/>
      <c r="E492" s="214">
        <v>1664001400010</v>
      </c>
      <c r="F492" s="209" t="s">
        <v>936</v>
      </c>
      <c r="G492" s="209" t="s">
        <v>53</v>
      </c>
      <c r="H492" s="209" t="s">
        <v>307</v>
      </c>
      <c r="I492" s="209" t="s">
        <v>308</v>
      </c>
      <c r="J492" s="209" t="s">
        <v>164</v>
      </c>
      <c r="K492" s="210" t="s">
        <v>937</v>
      </c>
      <c r="L492" s="210"/>
      <c r="M492" s="209" t="s">
        <v>58</v>
      </c>
      <c r="N492" s="209">
        <v>0</v>
      </c>
      <c r="O492" s="209" t="s">
        <v>105</v>
      </c>
      <c r="P492" s="213">
        <v>44713.385949074072</v>
      </c>
      <c r="Q492" s="209"/>
      <c r="R492" s="209">
        <v>3</v>
      </c>
      <c r="S492" s="209"/>
      <c r="T492" s="209" t="s">
        <v>646</v>
      </c>
      <c r="U492" s="213">
        <v>44714.385949074072</v>
      </c>
      <c r="V492" s="209" t="s">
        <v>41</v>
      </c>
      <c r="W492" s="209" t="s">
        <v>49</v>
      </c>
      <c r="X492" s="13" t="str">
        <f>IF(RIGHT(H492,2)&lt;&gt;"00",H492,"")</f>
        <v/>
      </c>
      <c r="Y492" s="26">
        <f ca="1">NETWORKDAYS(P492,$Y$1)</f>
        <v>196</v>
      </c>
      <c r="Z492" s="34">
        <v>1</v>
      </c>
      <c r="AA492" s="25" t="str">
        <f t="shared" ca="1" si="38"/>
        <v>A VENCER</v>
      </c>
      <c r="AB492" s="25" t="str">
        <f t="shared" si="41"/>
        <v>C-14</v>
      </c>
      <c r="AC492" s="2" t="str">
        <f t="shared" si="40"/>
        <v xml:space="preserve"> ROSEMERE </v>
      </c>
      <c r="AD492" s="26">
        <f t="shared" si="42"/>
        <v>5</v>
      </c>
      <c r="AE492" s="26">
        <f t="shared" ca="1" si="39"/>
        <v>273.29032256944629</v>
      </c>
      <c r="AF492" s="35"/>
    </row>
    <row r="493" spans="1:32" hidden="1">
      <c r="A493" s="209">
        <v>8632071</v>
      </c>
      <c r="B493" s="209" t="s">
        <v>653</v>
      </c>
      <c r="C493" s="210" t="s">
        <v>935</v>
      </c>
      <c r="D493" s="214"/>
      <c r="E493" s="214">
        <v>1643001400010</v>
      </c>
      <c r="F493" s="209" t="s">
        <v>936</v>
      </c>
      <c r="G493" s="209" t="s">
        <v>53</v>
      </c>
      <c r="H493" s="209" t="s">
        <v>361</v>
      </c>
      <c r="I493" s="209" t="s">
        <v>362</v>
      </c>
      <c r="J493" s="209" t="s">
        <v>261</v>
      </c>
      <c r="K493" s="210" t="s">
        <v>937</v>
      </c>
      <c r="L493" s="210"/>
      <c r="M493" s="209" t="s">
        <v>58</v>
      </c>
      <c r="N493" s="209">
        <v>0</v>
      </c>
      <c r="O493" s="209" t="s">
        <v>105</v>
      </c>
      <c r="P493" s="213">
        <v>44713.385925925926</v>
      </c>
      <c r="Q493" s="209"/>
      <c r="R493" s="209">
        <v>3</v>
      </c>
      <c r="S493" s="209"/>
      <c r="T493" s="209" t="s">
        <v>646</v>
      </c>
      <c r="U493" s="213">
        <v>44714.385925925926</v>
      </c>
      <c r="V493" s="209" t="s">
        <v>41</v>
      </c>
      <c r="W493" s="209" t="s">
        <v>49</v>
      </c>
      <c r="X493" s="13" t="str">
        <f>IF(RIGHT(H493,2)&lt;&gt;"00",H493,"")</f>
        <v/>
      </c>
      <c r="Y493" s="26">
        <f ca="1">NETWORKDAYS(P493,$Y$1)</f>
        <v>196</v>
      </c>
      <c r="Z493" s="34">
        <v>1</v>
      </c>
      <c r="AA493" s="25" t="str">
        <f t="shared" ca="1" si="38"/>
        <v>A VENCER</v>
      </c>
      <c r="AB493" s="25" t="str">
        <f t="shared" si="41"/>
        <v>C-14</v>
      </c>
      <c r="AC493" s="2" t="str">
        <f t="shared" si="40"/>
        <v xml:space="preserve"> CRISTINA </v>
      </c>
      <c r="AD493" s="26">
        <f t="shared" si="42"/>
        <v>5</v>
      </c>
      <c r="AE493" s="26">
        <f t="shared" ca="1" si="39"/>
        <v>273.29034571759257</v>
      </c>
      <c r="AF493" s="35"/>
    </row>
    <row r="494" spans="1:32" hidden="1">
      <c r="A494" s="209">
        <v>8632049</v>
      </c>
      <c r="B494" s="209" t="s">
        <v>653</v>
      </c>
      <c r="C494" s="210" t="s">
        <v>935</v>
      </c>
      <c r="D494" s="214"/>
      <c r="E494" s="214">
        <v>1620001400010</v>
      </c>
      <c r="F494" s="209" t="s">
        <v>936</v>
      </c>
      <c r="G494" s="209" t="s">
        <v>53</v>
      </c>
      <c r="H494" s="209" t="s">
        <v>402</v>
      </c>
      <c r="I494" s="209" t="s">
        <v>403</v>
      </c>
      <c r="J494" s="209" t="s">
        <v>46</v>
      </c>
      <c r="K494" s="210" t="s">
        <v>937</v>
      </c>
      <c r="L494" s="210"/>
      <c r="M494" s="209" t="s">
        <v>58</v>
      </c>
      <c r="N494" s="209">
        <v>0</v>
      </c>
      <c r="O494" s="209" t="s">
        <v>105</v>
      </c>
      <c r="P494" s="213">
        <v>44713.38590277778</v>
      </c>
      <c r="Q494" s="209"/>
      <c r="R494" s="209">
        <v>3</v>
      </c>
      <c r="S494" s="209"/>
      <c r="T494" s="209" t="s">
        <v>646</v>
      </c>
      <c r="U494" s="213">
        <v>44714.38590277778</v>
      </c>
      <c r="V494" s="209" t="s">
        <v>41</v>
      </c>
      <c r="W494" s="209" t="s">
        <v>49</v>
      </c>
      <c r="X494" s="13" t="str">
        <f>IF(RIGHT(H494,2)&lt;&gt;"00",H494,"")</f>
        <v/>
      </c>
      <c r="Y494" s="26">
        <f ca="1">NETWORKDAYS(P494,$Y$1)</f>
        <v>196</v>
      </c>
      <c r="Z494" s="34">
        <v>1</v>
      </c>
      <c r="AA494" s="25" t="str">
        <f t="shared" ca="1" si="38"/>
        <v>A VENCER</v>
      </c>
      <c r="AB494" s="25" t="str">
        <f t="shared" si="41"/>
        <v>C-14</v>
      </c>
      <c r="AC494" s="2" t="str">
        <f t="shared" si="40"/>
        <v xml:space="preserve"> CLEITON </v>
      </c>
      <c r="AD494" s="26">
        <f t="shared" si="42"/>
        <v>5</v>
      </c>
      <c r="AE494" s="26">
        <f t="shared" ca="1" si="39"/>
        <v>273.29036886573886</v>
      </c>
      <c r="AF494" s="35"/>
    </row>
    <row r="495" spans="1:32" hidden="1">
      <c r="A495" s="209">
        <v>8631960</v>
      </c>
      <c r="B495" s="209" t="s">
        <v>653</v>
      </c>
      <c r="C495" s="210" t="s">
        <v>935</v>
      </c>
      <c r="D495" s="214"/>
      <c r="E495" s="214">
        <v>1509001400010</v>
      </c>
      <c r="F495" s="209" t="s">
        <v>936</v>
      </c>
      <c r="G495" s="209" t="s">
        <v>53</v>
      </c>
      <c r="H495" s="209" t="s">
        <v>731</v>
      </c>
      <c r="I495" s="209" t="s">
        <v>732</v>
      </c>
      <c r="J495" s="209" t="s">
        <v>46</v>
      </c>
      <c r="K495" s="210" t="s">
        <v>937</v>
      </c>
      <c r="L495" s="210"/>
      <c r="M495" s="209" t="s">
        <v>58</v>
      </c>
      <c r="N495" s="209">
        <v>0</v>
      </c>
      <c r="O495" s="209" t="s">
        <v>105</v>
      </c>
      <c r="P495" s="213">
        <v>44713.385787037034</v>
      </c>
      <c r="Q495" s="209"/>
      <c r="R495" s="209">
        <v>3</v>
      </c>
      <c r="S495" s="209"/>
      <c r="T495" s="209" t="s">
        <v>646</v>
      </c>
      <c r="U495" s="213">
        <v>44714.385787037034</v>
      </c>
      <c r="V495" s="209" t="s">
        <v>41</v>
      </c>
      <c r="W495" s="209" t="s">
        <v>49</v>
      </c>
      <c r="X495" s="13" t="str">
        <f>IF(RIGHT(H495,2)&lt;&gt;"00",H495,"")</f>
        <v/>
      </c>
      <c r="Y495" s="26">
        <f ca="1">NETWORKDAYS(P495,$Y$1)</f>
        <v>196</v>
      </c>
      <c r="Z495" s="34">
        <v>1</v>
      </c>
      <c r="AA495" s="25" t="str">
        <f t="shared" ca="1" si="38"/>
        <v>A VENCER</v>
      </c>
      <c r="AB495" s="25" t="str">
        <f t="shared" si="41"/>
        <v>C-14</v>
      </c>
      <c r="AC495" s="2" t="str">
        <f t="shared" si="40"/>
        <v xml:space="preserve"> CLEITON </v>
      </c>
      <c r="AD495" s="26">
        <f t="shared" si="42"/>
        <v>5</v>
      </c>
      <c r="AE495" s="26">
        <f t="shared" ca="1" si="39"/>
        <v>273.29048460648482</v>
      </c>
      <c r="AF495" s="35"/>
    </row>
    <row r="496" spans="1:32" hidden="1">
      <c r="A496" s="209">
        <v>8631881</v>
      </c>
      <c r="B496" s="209" t="s">
        <v>653</v>
      </c>
      <c r="C496" s="210" t="s">
        <v>935</v>
      </c>
      <c r="D496" s="214"/>
      <c r="E496" s="214">
        <v>1421001400010</v>
      </c>
      <c r="F496" s="209" t="s">
        <v>936</v>
      </c>
      <c r="G496" s="209" t="s">
        <v>53</v>
      </c>
      <c r="H496" s="209" t="s">
        <v>179</v>
      </c>
      <c r="I496" s="209" t="s">
        <v>180</v>
      </c>
      <c r="J496" s="209" t="s">
        <v>79</v>
      </c>
      <c r="K496" s="210" t="s">
        <v>937</v>
      </c>
      <c r="L496" s="210"/>
      <c r="M496" s="209" t="s">
        <v>58</v>
      </c>
      <c r="N496" s="209">
        <v>0</v>
      </c>
      <c r="O496" s="209" t="s">
        <v>105</v>
      </c>
      <c r="P496" s="213">
        <v>44713.385671296295</v>
      </c>
      <c r="Q496" s="209"/>
      <c r="R496" s="209">
        <v>3</v>
      </c>
      <c r="S496" s="209"/>
      <c r="T496" s="209" t="s">
        <v>646</v>
      </c>
      <c r="U496" s="213">
        <v>44714.385671296295</v>
      </c>
      <c r="V496" s="209" t="s">
        <v>41</v>
      </c>
      <c r="W496" s="209" t="s">
        <v>49</v>
      </c>
      <c r="X496" s="13" t="str">
        <f>IF(RIGHT(H496,2)&lt;&gt;"00",H496,"")</f>
        <v/>
      </c>
      <c r="Y496" s="26">
        <f ca="1">NETWORKDAYS(P496,$Y$1)</f>
        <v>196</v>
      </c>
      <c r="Z496" s="34">
        <v>1</v>
      </c>
      <c r="AA496" s="25" t="str">
        <f t="shared" ca="1" si="38"/>
        <v>A VENCER</v>
      </c>
      <c r="AB496" s="25" t="str">
        <f t="shared" si="41"/>
        <v>C-14</v>
      </c>
      <c r="AC496" s="2" t="str">
        <f t="shared" si="40"/>
        <v xml:space="preserve"> ROSEMERE </v>
      </c>
      <c r="AD496" s="26">
        <f t="shared" si="42"/>
        <v>5</v>
      </c>
      <c r="AE496" s="26">
        <f t="shared" ca="1" si="39"/>
        <v>273.29060034722352</v>
      </c>
      <c r="AF496" s="35"/>
    </row>
    <row r="497" spans="1:32" hidden="1">
      <c r="A497" s="209">
        <v>8631827</v>
      </c>
      <c r="B497" s="209" t="s">
        <v>653</v>
      </c>
      <c r="C497" s="210" t="s">
        <v>935</v>
      </c>
      <c r="D497" s="214"/>
      <c r="E497" s="214">
        <v>1362001400010</v>
      </c>
      <c r="F497" s="209" t="s">
        <v>936</v>
      </c>
      <c r="G497" s="209" t="s">
        <v>53</v>
      </c>
      <c r="H497" s="209" t="s">
        <v>268</v>
      </c>
      <c r="I497" s="209" t="s">
        <v>269</v>
      </c>
      <c r="J497" s="209" t="s">
        <v>90</v>
      </c>
      <c r="K497" s="210" t="s">
        <v>937</v>
      </c>
      <c r="L497" s="210"/>
      <c r="M497" s="209" t="s">
        <v>58</v>
      </c>
      <c r="N497" s="209">
        <v>0</v>
      </c>
      <c r="O497" s="209" t="s">
        <v>105</v>
      </c>
      <c r="P497" s="213">
        <v>44713.385601851849</v>
      </c>
      <c r="Q497" s="209"/>
      <c r="R497" s="209">
        <v>3</v>
      </c>
      <c r="S497" s="209"/>
      <c r="T497" s="209" t="s">
        <v>646</v>
      </c>
      <c r="U497" s="213">
        <v>44714.385601851849</v>
      </c>
      <c r="V497" s="209" t="s">
        <v>41</v>
      </c>
      <c r="W497" s="209" t="s">
        <v>49</v>
      </c>
      <c r="X497" s="13" t="str">
        <f>IF(RIGHT(H497,2)&lt;&gt;"00",H497,"")</f>
        <v/>
      </c>
      <c r="Y497" s="26">
        <f ca="1">NETWORKDAYS(P497,$Y$1)</f>
        <v>196</v>
      </c>
      <c r="Z497" s="34">
        <v>1</v>
      </c>
      <c r="AA497" s="25" t="str">
        <f t="shared" ca="1" si="38"/>
        <v>A VENCER</v>
      </c>
      <c r="AB497" s="25" t="str">
        <f t="shared" si="41"/>
        <v>C-14</v>
      </c>
      <c r="AC497" s="2" t="str">
        <f t="shared" si="40"/>
        <v xml:space="preserve"> RINALDO </v>
      </c>
      <c r="AD497" s="26">
        <f t="shared" si="42"/>
        <v>5</v>
      </c>
      <c r="AE497" s="26">
        <f t="shared" ca="1" si="39"/>
        <v>273.29066979166964</v>
      </c>
      <c r="AF497" s="35"/>
    </row>
    <row r="498" spans="1:32" hidden="1">
      <c r="A498" s="209">
        <v>8631826</v>
      </c>
      <c r="B498" s="209" t="s">
        <v>653</v>
      </c>
      <c r="C498" s="210" t="s">
        <v>935</v>
      </c>
      <c r="D498" s="214"/>
      <c r="E498" s="214">
        <v>1361001400010</v>
      </c>
      <c r="F498" s="209" t="s">
        <v>936</v>
      </c>
      <c r="G498" s="209" t="s">
        <v>53</v>
      </c>
      <c r="H498" s="209" t="s">
        <v>309</v>
      </c>
      <c r="I498" s="209" t="s">
        <v>310</v>
      </c>
      <c r="J498" s="209" t="s">
        <v>46</v>
      </c>
      <c r="K498" s="210" t="s">
        <v>937</v>
      </c>
      <c r="L498" s="210"/>
      <c r="M498" s="209" t="s">
        <v>58</v>
      </c>
      <c r="N498" s="209">
        <v>0</v>
      </c>
      <c r="O498" s="209" t="s">
        <v>105</v>
      </c>
      <c r="P498" s="213">
        <v>44713.385601851849</v>
      </c>
      <c r="Q498" s="209"/>
      <c r="R498" s="209">
        <v>3</v>
      </c>
      <c r="S498" s="209"/>
      <c r="T498" s="209" t="s">
        <v>646</v>
      </c>
      <c r="U498" s="213">
        <v>44714.385601851849</v>
      </c>
      <c r="V498" s="209" t="s">
        <v>41</v>
      </c>
      <c r="W498" s="209" t="s">
        <v>49</v>
      </c>
      <c r="X498" s="13" t="str">
        <f>IF(RIGHT(H498,2)&lt;&gt;"00",H498,"")</f>
        <v/>
      </c>
      <c r="Y498" s="26">
        <f ca="1">NETWORKDAYS(P498,$Y$1)</f>
        <v>196</v>
      </c>
      <c r="Z498" s="34">
        <v>1</v>
      </c>
      <c r="AA498" s="25" t="str">
        <f t="shared" ca="1" si="38"/>
        <v>A VENCER</v>
      </c>
      <c r="AB498" s="25" t="str">
        <f t="shared" si="41"/>
        <v>C-14</v>
      </c>
      <c r="AC498" s="2" t="str">
        <f t="shared" si="40"/>
        <v xml:space="preserve"> CLEITON </v>
      </c>
      <c r="AD498" s="26">
        <f t="shared" si="42"/>
        <v>5</v>
      </c>
      <c r="AE498" s="26">
        <f t="shared" ca="1" si="39"/>
        <v>273.29066979166964</v>
      </c>
      <c r="AF498" s="35"/>
    </row>
    <row r="499" spans="1:32" hidden="1">
      <c r="A499" s="209">
        <v>8631825</v>
      </c>
      <c r="B499" s="209" t="s">
        <v>653</v>
      </c>
      <c r="C499" s="210" t="s">
        <v>935</v>
      </c>
      <c r="D499" s="214"/>
      <c r="E499" s="214">
        <v>1360001400010</v>
      </c>
      <c r="F499" s="209" t="s">
        <v>936</v>
      </c>
      <c r="G499" s="209" t="s">
        <v>53</v>
      </c>
      <c r="H499" s="209" t="s">
        <v>303</v>
      </c>
      <c r="I499" s="209" t="s">
        <v>304</v>
      </c>
      <c r="J499" s="209" t="s">
        <v>261</v>
      </c>
      <c r="K499" s="210" t="s">
        <v>937</v>
      </c>
      <c r="L499" s="210"/>
      <c r="M499" s="209" t="s">
        <v>58</v>
      </c>
      <c r="N499" s="209">
        <v>0</v>
      </c>
      <c r="O499" s="209" t="s">
        <v>105</v>
      </c>
      <c r="P499" s="213">
        <v>44713.385601851849</v>
      </c>
      <c r="Q499" s="209"/>
      <c r="R499" s="209">
        <v>3</v>
      </c>
      <c r="S499" s="209"/>
      <c r="T499" s="209" t="s">
        <v>646</v>
      </c>
      <c r="U499" s="213">
        <v>44714.385601851849</v>
      </c>
      <c r="V499" s="209" t="s">
        <v>41</v>
      </c>
      <c r="W499" s="209" t="s">
        <v>49</v>
      </c>
      <c r="X499" s="13" t="str">
        <f>IF(RIGHT(H499,2)&lt;&gt;"00",H499,"")</f>
        <v/>
      </c>
      <c r="Y499" s="26">
        <f ca="1">NETWORKDAYS(P499,$Y$1)</f>
        <v>196</v>
      </c>
      <c r="Z499" s="34">
        <v>1</v>
      </c>
      <c r="AA499" s="25" t="str">
        <f t="shared" ca="1" si="38"/>
        <v>A VENCER</v>
      </c>
      <c r="AB499" s="25" t="str">
        <f t="shared" si="41"/>
        <v>C-14</v>
      </c>
      <c r="AC499" s="2" t="str">
        <f t="shared" si="40"/>
        <v xml:space="preserve"> CRISTINA </v>
      </c>
      <c r="AD499" s="26">
        <f t="shared" si="42"/>
        <v>5</v>
      </c>
      <c r="AE499" s="26">
        <f t="shared" ca="1" si="39"/>
        <v>273.29066979166964</v>
      </c>
      <c r="AF499" s="35"/>
    </row>
    <row r="500" spans="1:32" hidden="1">
      <c r="A500" s="209">
        <v>8631824</v>
      </c>
      <c r="B500" s="209" t="s">
        <v>653</v>
      </c>
      <c r="C500" s="210" t="s">
        <v>935</v>
      </c>
      <c r="D500" s="214"/>
      <c r="E500" s="214">
        <v>1359001400010</v>
      </c>
      <c r="F500" s="209" t="s">
        <v>936</v>
      </c>
      <c r="G500" s="209" t="s">
        <v>53</v>
      </c>
      <c r="H500" s="209" t="s">
        <v>270</v>
      </c>
      <c r="I500" s="209" t="s">
        <v>271</v>
      </c>
      <c r="J500" s="209" t="s">
        <v>141</v>
      </c>
      <c r="K500" s="210" t="s">
        <v>937</v>
      </c>
      <c r="L500" s="210"/>
      <c r="M500" s="209" t="s">
        <v>58</v>
      </c>
      <c r="N500" s="209">
        <v>0</v>
      </c>
      <c r="O500" s="209" t="s">
        <v>105</v>
      </c>
      <c r="P500" s="213">
        <v>44713.385601851849</v>
      </c>
      <c r="Q500" s="209"/>
      <c r="R500" s="209">
        <v>3</v>
      </c>
      <c r="S500" s="209"/>
      <c r="T500" s="209" t="s">
        <v>646</v>
      </c>
      <c r="U500" s="213">
        <v>44714.385601851849</v>
      </c>
      <c r="V500" s="209" t="s">
        <v>41</v>
      </c>
      <c r="W500" s="209" t="s">
        <v>49</v>
      </c>
      <c r="X500" s="13" t="str">
        <f>IF(RIGHT(H500,2)&lt;&gt;"00",H500,"")</f>
        <v/>
      </c>
      <c r="Y500" s="26">
        <f ca="1">NETWORKDAYS(P500,$Y$1)</f>
        <v>196</v>
      </c>
      <c r="Z500" s="34">
        <v>1</v>
      </c>
      <c r="AA500" s="25" t="str">
        <f t="shared" ca="1" si="38"/>
        <v>A VENCER</v>
      </c>
      <c r="AB500" s="25" t="str">
        <f t="shared" si="41"/>
        <v>C-14</v>
      </c>
      <c r="AC500" s="2" t="str">
        <f t="shared" si="40"/>
        <v xml:space="preserve"> CRISTINA </v>
      </c>
      <c r="AD500" s="26">
        <f t="shared" si="42"/>
        <v>5</v>
      </c>
      <c r="AE500" s="26">
        <f t="shared" ca="1" si="39"/>
        <v>273.29066979166964</v>
      </c>
      <c r="AF500" s="35"/>
    </row>
    <row r="501" spans="1:32" hidden="1">
      <c r="A501" s="209">
        <v>8631649</v>
      </c>
      <c r="B501" s="209" t="s">
        <v>653</v>
      </c>
      <c r="C501" s="210" t="s">
        <v>935</v>
      </c>
      <c r="D501" s="214"/>
      <c r="E501" s="214">
        <v>1153001400010</v>
      </c>
      <c r="F501" s="209" t="s">
        <v>936</v>
      </c>
      <c r="G501" s="209" t="s">
        <v>53</v>
      </c>
      <c r="H501" s="209" t="s">
        <v>1031</v>
      </c>
      <c r="I501" s="209" t="s">
        <v>1032</v>
      </c>
      <c r="J501" s="209" t="s">
        <v>79</v>
      </c>
      <c r="K501" s="210" t="s">
        <v>937</v>
      </c>
      <c r="L501" s="210"/>
      <c r="M501" s="209" t="s">
        <v>58</v>
      </c>
      <c r="N501" s="209">
        <v>0</v>
      </c>
      <c r="O501" s="209" t="s">
        <v>105</v>
      </c>
      <c r="P501" s="213">
        <v>44713.385370370372</v>
      </c>
      <c r="Q501" s="209"/>
      <c r="R501" s="209">
        <v>3</v>
      </c>
      <c r="S501" s="209"/>
      <c r="T501" s="209" t="s">
        <v>646</v>
      </c>
      <c r="U501" s="213">
        <v>44714.385381944441</v>
      </c>
      <c r="V501" s="209" t="s">
        <v>41</v>
      </c>
      <c r="W501" s="209" t="s">
        <v>49</v>
      </c>
      <c r="X501" s="13" t="str">
        <f>IF(RIGHT(H501,2)&lt;&gt;"00",H501,"")</f>
        <v/>
      </c>
      <c r="Y501" s="26">
        <f ca="1">NETWORKDAYS(P501,$Y$1)</f>
        <v>196</v>
      </c>
      <c r="Z501" s="34">
        <v>1</v>
      </c>
      <c r="AA501" s="25" t="str">
        <f t="shared" ca="1" si="38"/>
        <v>A VENCER</v>
      </c>
      <c r="AB501" s="25" t="str">
        <f t="shared" si="41"/>
        <v>C-14</v>
      </c>
      <c r="AC501" s="2" t="str">
        <f t="shared" si="40"/>
        <v xml:space="preserve"> ROSEMERE </v>
      </c>
      <c r="AD501" s="26">
        <f t="shared" si="42"/>
        <v>5</v>
      </c>
      <c r="AE501" s="26">
        <f t="shared" ca="1" si="39"/>
        <v>273.29090127314703</v>
      </c>
      <c r="AF501" s="35"/>
    </row>
    <row r="502" spans="1:32" hidden="1">
      <c r="A502" s="209">
        <v>8631615</v>
      </c>
      <c r="B502" s="209" t="s">
        <v>653</v>
      </c>
      <c r="C502" s="210" t="s">
        <v>935</v>
      </c>
      <c r="D502" s="214"/>
      <c r="E502" s="214">
        <v>1120001400010</v>
      </c>
      <c r="F502" s="209" t="s">
        <v>936</v>
      </c>
      <c r="G502" s="209" t="s">
        <v>53</v>
      </c>
      <c r="H502" s="209" t="s">
        <v>181</v>
      </c>
      <c r="I502" s="209" t="s">
        <v>182</v>
      </c>
      <c r="J502" s="209" t="s">
        <v>164</v>
      </c>
      <c r="K502" s="210" t="s">
        <v>937</v>
      </c>
      <c r="L502" s="210"/>
      <c r="M502" s="209" t="s">
        <v>58</v>
      </c>
      <c r="N502" s="209">
        <v>0</v>
      </c>
      <c r="O502" s="209" t="s">
        <v>105</v>
      </c>
      <c r="P502" s="213">
        <v>44713.385335648149</v>
      </c>
      <c r="Q502" s="209"/>
      <c r="R502" s="209">
        <v>3</v>
      </c>
      <c r="S502" s="209"/>
      <c r="T502" s="209" t="s">
        <v>646</v>
      </c>
      <c r="U502" s="213">
        <v>44714.385335648149</v>
      </c>
      <c r="V502" s="209" t="s">
        <v>41</v>
      </c>
      <c r="W502" s="209" t="s">
        <v>49</v>
      </c>
      <c r="X502" s="13" t="str">
        <f>IF(RIGHT(H502,2)&lt;&gt;"00",H502,"")</f>
        <v/>
      </c>
      <c r="Y502" s="26">
        <f ca="1">NETWORKDAYS(P502,$Y$1)</f>
        <v>196</v>
      </c>
      <c r="Z502" s="34">
        <v>1</v>
      </c>
      <c r="AA502" s="25" t="str">
        <f t="shared" ca="1" si="38"/>
        <v>A VENCER</v>
      </c>
      <c r="AB502" s="25" t="str">
        <f t="shared" si="41"/>
        <v>C-14</v>
      </c>
      <c r="AC502" s="2" t="str">
        <f t="shared" si="40"/>
        <v xml:space="preserve"> ROSEMERE </v>
      </c>
      <c r="AD502" s="26">
        <f t="shared" si="42"/>
        <v>5</v>
      </c>
      <c r="AE502" s="26">
        <f t="shared" ca="1" si="39"/>
        <v>273.29093599537009</v>
      </c>
      <c r="AF502" s="35"/>
    </row>
    <row r="503" spans="1:32" hidden="1">
      <c r="A503" s="209">
        <v>8631560</v>
      </c>
      <c r="B503" s="209" t="s">
        <v>653</v>
      </c>
      <c r="C503" s="210" t="s">
        <v>935</v>
      </c>
      <c r="D503" s="214"/>
      <c r="E503" s="214">
        <v>1059001400010</v>
      </c>
      <c r="F503" s="209" t="s">
        <v>936</v>
      </c>
      <c r="G503" s="209" t="s">
        <v>53</v>
      </c>
      <c r="H503" s="209" t="s">
        <v>88</v>
      </c>
      <c r="I503" s="209" t="s">
        <v>89</v>
      </c>
      <c r="J503" s="209" t="s">
        <v>90</v>
      </c>
      <c r="K503" s="210" t="s">
        <v>937</v>
      </c>
      <c r="L503" s="210"/>
      <c r="M503" s="209" t="s">
        <v>58</v>
      </c>
      <c r="N503" s="209">
        <v>0</v>
      </c>
      <c r="O503" s="209" t="s">
        <v>105</v>
      </c>
      <c r="P503" s="213">
        <v>44713.385277777779</v>
      </c>
      <c r="Q503" s="209"/>
      <c r="R503" s="209">
        <v>3</v>
      </c>
      <c r="S503" s="209"/>
      <c r="T503" s="209" t="s">
        <v>646</v>
      </c>
      <c r="U503" s="213">
        <v>44714.385277777779</v>
      </c>
      <c r="V503" s="209" t="s">
        <v>41</v>
      </c>
      <c r="W503" s="209" t="s">
        <v>49</v>
      </c>
      <c r="X503" s="13" t="str">
        <f>IF(RIGHT(H503,2)&lt;&gt;"00",H503,"")</f>
        <v/>
      </c>
      <c r="Y503" s="26">
        <f ca="1">NETWORKDAYS(P503,$Y$1)</f>
        <v>196</v>
      </c>
      <c r="Z503" s="34">
        <v>1</v>
      </c>
      <c r="AA503" s="25" t="str">
        <f t="shared" ca="1" si="38"/>
        <v>A VENCER</v>
      </c>
      <c r="AB503" s="25" t="str">
        <f t="shared" si="41"/>
        <v>C-14</v>
      </c>
      <c r="AC503" s="2" t="str">
        <f t="shared" si="40"/>
        <v xml:space="preserve"> RINALDO </v>
      </c>
      <c r="AD503" s="26">
        <f t="shared" si="42"/>
        <v>5</v>
      </c>
      <c r="AE503" s="26">
        <f t="shared" ca="1" si="39"/>
        <v>273.29099386573944</v>
      </c>
      <c r="AF503" s="35"/>
    </row>
    <row r="504" spans="1:32" hidden="1">
      <c r="A504" s="209">
        <v>8631548</v>
      </c>
      <c r="B504" s="209" t="s">
        <v>653</v>
      </c>
      <c r="C504" s="210" t="s">
        <v>935</v>
      </c>
      <c r="D504" s="214"/>
      <c r="E504" s="214">
        <v>1049001400010</v>
      </c>
      <c r="F504" s="209" t="s">
        <v>936</v>
      </c>
      <c r="G504" s="209" t="s">
        <v>53</v>
      </c>
      <c r="H504" s="209" t="s">
        <v>169</v>
      </c>
      <c r="I504" s="209" t="s">
        <v>170</v>
      </c>
      <c r="J504" s="209" t="s">
        <v>164</v>
      </c>
      <c r="K504" s="210" t="s">
        <v>937</v>
      </c>
      <c r="L504" s="210"/>
      <c r="M504" s="209" t="s">
        <v>58</v>
      </c>
      <c r="N504" s="209">
        <v>0</v>
      </c>
      <c r="O504" s="209" t="s">
        <v>105</v>
      </c>
      <c r="P504" s="213">
        <v>44713.385254629633</v>
      </c>
      <c r="Q504" s="209"/>
      <c r="R504" s="209">
        <v>3</v>
      </c>
      <c r="S504" s="209"/>
      <c r="T504" s="209" t="s">
        <v>646</v>
      </c>
      <c r="U504" s="213">
        <v>44714.385254629633</v>
      </c>
      <c r="V504" s="209" t="s">
        <v>41</v>
      </c>
      <c r="W504" s="209" t="s">
        <v>49</v>
      </c>
      <c r="X504" s="13" t="str">
        <f>IF(RIGHT(H504,2)&lt;&gt;"00",H504,"")</f>
        <v/>
      </c>
      <c r="Y504" s="26">
        <f ca="1">NETWORKDAYS(P504,$Y$1)</f>
        <v>196</v>
      </c>
      <c r="Z504" s="34">
        <v>1</v>
      </c>
      <c r="AA504" s="25" t="str">
        <f t="shared" ca="1" si="38"/>
        <v>A VENCER</v>
      </c>
      <c r="AB504" s="25" t="str">
        <f t="shared" si="41"/>
        <v>C-14</v>
      </c>
      <c r="AC504" s="2" t="str">
        <f t="shared" si="40"/>
        <v xml:space="preserve"> ROSEMERE </v>
      </c>
      <c r="AD504" s="26">
        <f t="shared" si="42"/>
        <v>5</v>
      </c>
      <c r="AE504" s="26">
        <f t="shared" ca="1" si="39"/>
        <v>273.29101701388572</v>
      </c>
      <c r="AF504" s="35"/>
    </row>
    <row r="505" spans="1:32" hidden="1">
      <c r="A505" s="209">
        <v>8631442</v>
      </c>
      <c r="B505" s="209" t="s">
        <v>653</v>
      </c>
      <c r="C505" s="210" t="s">
        <v>935</v>
      </c>
      <c r="D505" s="214"/>
      <c r="E505" s="214">
        <v>934001400010</v>
      </c>
      <c r="F505" s="209" t="s">
        <v>936</v>
      </c>
      <c r="G505" s="209" t="s">
        <v>53</v>
      </c>
      <c r="H505" s="209" t="s">
        <v>428</v>
      </c>
      <c r="I505" s="209" t="s">
        <v>429</v>
      </c>
      <c r="J505" s="209" t="s">
        <v>46</v>
      </c>
      <c r="K505" s="210" t="s">
        <v>937</v>
      </c>
      <c r="L505" s="210"/>
      <c r="M505" s="209" t="s">
        <v>58</v>
      </c>
      <c r="N505" s="209">
        <v>0</v>
      </c>
      <c r="O505" s="209" t="s">
        <v>105</v>
      </c>
      <c r="P505" s="213">
        <v>44713.385138888887</v>
      </c>
      <c r="Q505" s="209"/>
      <c r="R505" s="209">
        <v>3</v>
      </c>
      <c r="S505" s="209"/>
      <c r="T505" s="209" t="s">
        <v>646</v>
      </c>
      <c r="U505" s="213">
        <v>44714.385150462964</v>
      </c>
      <c r="V505" s="209" t="s">
        <v>41</v>
      </c>
      <c r="W505" s="209" t="s">
        <v>49</v>
      </c>
      <c r="X505" s="13" t="str">
        <f>IF(RIGHT(H505,2)&lt;&gt;"00",H505,"")</f>
        <v/>
      </c>
      <c r="Y505" s="26">
        <f ca="1">NETWORKDAYS(P505,$Y$1)</f>
        <v>196</v>
      </c>
      <c r="Z505" s="34">
        <v>1</v>
      </c>
      <c r="AA505" s="25" t="str">
        <f t="shared" ca="1" si="38"/>
        <v>A VENCER</v>
      </c>
      <c r="AB505" s="25" t="str">
        <f t="shared" si="41"/>
        <v>C-14</v>
      </c>
      <c r="AC505" s="2" t="str">
        <f t="shared" si="40"/>
        <v xml:space="preserve"> CLEITON </v>
      </c>
      <c r="AD505" s="26">
        <f t="shared" si="42"/>
        <v>5</v>
      </c>
      <c r="AE505" s="26">
        <f t="shared" ca="1" si="39"/>
        <v>273.29113275463169</v>
      </c>
      <c r="AF505" s="35"/>
    </row>
    <row r="506" spans="1:32" hidden="1">
      <c r="A506" s="209">
        <v>8631407</v>
      </c>
      <c r="B506" s="209" t="s">
        <v>653</v>
      </c>
      <c r="C506" s="210" t="s">
        <v>935</v>
      </c>
      <c r="D506" s="214"/>
      <c r="E506" s="214">
        <v>899001400010</v>
      </c>
      <c r="F506" s="209" t="s">
        <v>936</v>
      </c>
      <c r="G506" s="209" t="s">
        <v>53</v>
      </c>
      <c r="H506" s="209" t="s">
        <v>175</v>
      </c>
      <c r="I506" s="209" t="s">
        <v>176</v>
      </c>
      <c r="J506" s="209" t="s">
        <v>90</v>
      </c>
      <c r="K506" s="210" t="s">
        <v>937</v>
      </c>
      <c r="L506" s="210"/>
      <c r="M506" s="209" t="s">
        <v>58</v>
      </c>
      <c r="N506" s="209">
        <v>0</v>
      </c>
      <c r="O506" s="209" t="s">
        <v>105</v>
      </c>
      <c r="P506" s="213">
        <v>44713.385104166664</v>
      </c>
      <c r="Q506" s="209"/>
      <c r="R506" s="209">
        <v>3</v>
      </c>
      <c r="S506" s="209"/>
      <c r="T506" s="209" t="s">
        <v>646</v>
      </c>
      <c r="U506" s="213">
        <v>44714.385104166664</v>
      </c>
      <c r="V506" s="209" t="s">
        <v>41</v>
      </c>
      <c r="W506" s="209" t="s">
        <v>49</v>
      </c>
      <c r="X506" s="13" t="str">
        <f>IF(RIGHT(H506,2)&lt;&gt;"00",H506,"")</f>
        <v/>
      </c>
      <c r="Y506" s="26">
        <f ca="1">NETWORKDAYS(P506,$Y$1)</f>
        <v>196</v>
      </c>
      <c r="Z506" s="34">
        <v>1</v>
      </c>
      <c r="AA506" s="25" t="str">
        <f t="shared" ca="1" si="38"/>
        <v>A VENCER</v>
      </c>
      <c r="AB506" s="25" t="str">
        <f t="shared" si="41"/>
        <v>C-14</v>
      </c>
      <c r="AC506" s="2" t="str">
        <f t="shared" si="40"/>
        <v xml:space="preserve"> RINALDO </v>
      </c>
      <c r="AD506" s="26">
        <f t="shared" si="42"/>
        <v>5</v>
      </c>
      <c r="AE506" s="26">
        <f t="shared" ca="1" si="39"/>
        <v>273.29116747685475</v>
      </c>
      <c r="AF506" s="35"/>
    </row>
    <row r="507" spans="1:32" hidden="1">
      <c r="A507" s="209">
        <v>8631233</v>
      </c>
      <c r="B507" s="209" t="s">
        <v>653</v>
      </c>
      <c r="C507" s="210" t="s">
        <v>935</v>
      </c>
      <c r="D507" s="214"/>
      <c r="E507" s="214">
        <v>721001400010</v>
      </c>
      <c r="F507" s="209" t="s">
        <v>936</v>
      </c>
      <c r="G507" s="209" t="s">
        <v>53</v>
      </c>
      <c r="H507" s="209" t="s">
        <v>422</v>
      </c>
      <c r="I507" s="209" t="s">
        <v>423</v>
      </c>
      <c r="J507" s="209" t="s">
        <v>79</v>
      </c>
      <c r="K507" s="210" t="s">
        <v>937</v>
      </c>
      <c r="L507" s="210"/>
      <c r="M507" s="209" t="s">
        <v>58</v>
      </c>
      <c r="N507" s="209">
        <v>0</v>
      </c>
      <c r="O507" s="209" t="s">
        <v>105</v>
      </c>
      <c r="P507" s="213">
        <v>44713.384895833333</v>
      </c>
      <c r="Q507" s="209"/>
      <c r="R507" s="209">
        <v>3</v>
      </c>
      <c r="S507" s="209"/>
      <c r="T507" s="209" t="s">
        <v>646</v>
      </c>
      <c r="U507" s="213">
        <v>44714.384895833333</v>
      </c>
      <c r="V507" s="209" t="s">
        <v>41</v>
      </c>
      <c r="W507" s="209" t="s">
        <v>49</v>
      </c>
      <c r="X507" s="13" t="str">
        <f>IF(RIGHT(H507,2)&lt;&gt;"00",H507,"")</f>
        <v/>
      </c>
      <c r="Y507" s="26">
        <f ca="1">NETWORKDAYS(P507,$Y$1)</f>
        <v>196</v>
      </c>
      <c r="Z507" s="34">
        <v>1</v>
      </c>
      <c r="AA507" s="25" t="str">
        <f t="shared" ca="1" si="38"/>
        <v>A VENCER</v>
      </c>
      <c r="AB507" s="25" t="str">
        <f t="shared" si="41"/>
        <v>C-14</v>
      </c>
      <c r="AC507" s="2" t="str">
        <f t="shared" si="40"/>
        <v xml:space="preserve"> ROSEMERE </v>
      </c>
      <c r="AD507" s="26">
        <f t="shared" si="42"/>
        <v>5</v>
      </c>
      <c r="AE507" s="26">
        <f t="shared" ca="1" si="39"/>
        <v>273.29137581018585</v>
      </c>
      <c r="AF507" s="35"/>
    </row>
    <row r="508" spans="1:32" hidden="1">
      <c r="A508" s="209">
        <v>8631225</v>
      </c>
      <c r="B508" s="209" t="s">
        <v>653</v>
      </c>
      <c r="C508" s="210" t="s">
        <v>935</v>
      </c>
      <c r="D508" s="214"/>
      <c r="E508" s="214">
        <v>714001400010</v>
      </c>
      <c r="F508" s="209" t="s">
        <v>936</v>
      </c>
      <c r="G508" s="209" t="s">
        <v>53</v>
      </c>
      <c r="H508" s="209" t="s">
        <v>377</v>
      </c>
      <c r="I508" s="209" t="s">
        <v>378</v>
      </c>
      <c r="J508" s="209" t="s">
        <v>46</v>
      </c>
      <c r="K508" s="210" t="s">
        <v>937</v>
      </c>
      <c r="L508" s="210"/>
      <c r="M508" s="209" t="s">
        <v>58</v>
      </c>
      <c r="N508" s="209">
        <v>0</v>
      </c>
      <c r="O508" s="209" t="s">
        <v>105</v>
      </c>
      <c r="P508" s="213">
        <v>44713.384895833333</v>
      </c>
      <c r="Q508" s="209"/>
      <c r="R508" s="209">
        <v>3</v>
      </c>
      <c r="S508" s="209"/>
      <c r="T508" s="209" t="s">
        <v>646</v>
      </c>
      <c r="U508" s="213">
        <v>44714.384895833333</v>
      </c>
      <c r="V508" s="209" t="s">
        <v>41</v>
      </c>
      <c r="W508" s="209" t="s">
        <v>49</v>
      </c>
      <c r="X508" s="13" t="str">
        <f>IF(RIGHT(H508,2)&lt;&gt;"00",H508,"")</f>
        <v/>
      </c>
      <c r="Y508" s="26">
        <f ca="1">NETWORKDAYS(P508,$Y$1)</f>
        <v>196</v>
      </c>
      <c r="Z508" s="34">
        <v>1</v>
      </c>
      <c r="AA508" s="25" t="str">
        <f t="shared" ca="1" si="38"/>
        <v>A VENCER</v>
      </c>
      <c r="AB508" s="25" t="str">
        <f t="shared" si="41"/>
        <v>C-14</v>
      </c>
      <c r="AC508" s="2" t="str">
        <f t="shared" si="40"/>
        <v xml:space="preserve"> CLEITON </v>
      </c>
      <c r="AD508" s="26">
        <f t="shared" si="42"/>
        <v>5</v>
      </c>
      <c r="AE508" s="26">
        <f t="shared" ca="1" si="39"/>
        <v>273.29137581018585</v>
      </c>
      <c r="AF508" s="35"/>
    </row>
    <row r="509" spans="1:32" hidden="1">
      <c r="A509" s="209">
        <v>8631223</v>
      </c>
      <c r="B509" s="209" t="s">
        <v>653</v>
      </c>
      <c r="C509" s="210" t="s">
        <v>935</v>
      </c>
      <c r="D509" s="214"/>
      <c r="E509" s="214">
        <v>711001400010</v>
      </c>
      <c r="F509" s="209" t="s">
        <v>936</v>
      </c>
      <c r="G509" s="209" t="s">
        <v>53</v>
      </c>
      <c r="H509" s="209" t="s">
        <v>77</v>
      </c>
      <c r="I509" s="209" t="s">
        <v>78</v>
      </c>
      <c r="J509" s="209" t="s">
        <v>79</v>
      </c>
      <c r="K509" s="210" t="s">
        <v>937</v>
      </c>
      <c r="L509" s="210"/>
      <c r="M509" s="209" t="s">
        <v>58</v>
      </c>
      <c r="N509" s="209">
        <v>0</v>
      </c>
      <c r="O509" s="209" t="s">
        <v>105</v>
      </c>
      <c r="P509" s="213">
        <v>44713.384884259256</v>
      </c>
      <c r="Q509" s="209"/>
      <c r="R509" s="209">
        <v>3</v>
      </c>
      <c r="S509" s="209"/>
      <c r="T509" s="209" t="s">
        <v>646</v>
      </c>
      <c r="U509" s="213">
        <v>44714.384895833333</v>
      </c>
      <c r="V509" s="209" t="s">
        <v>41</v>
      </c>
      <c r="W509" s="209" t="s">
        <v>49</v>
      </c>
      <c r="X509" s="13" t="str">
        <f>IF(RIGHT(H509,2)&lt;&gt;"00",H509,"")</f>
        <v/>
      </c>
      <c r="Y509" s="26">
        <f ca="1">NETWORKDAYS(P509,$Y$1)</f>
        <v>196</v>
      </c>
      <c r="Z509" s="34">
        <v>1</v>
      </c>
      <c r="AA509" s="25" t="str">
        <f t="shared" ca="1" si="38"/>
        <v>A VENCER</v>
      </c>
      <c r="AB509" s="25" t="str">
        <f t="shared" si="41"/>
        <v>C-14</v>
      </c>
      <c r="AC509" s="2" t="str">
        <f t="shared" si="40"/>
        <v xml:space="preserve"> ROSEMERE </v>
      </c>
      <c r="AD509" s="26">
        <f t="shared" si="42"/>
        <v>5</v>
      </c>
      <c r="AE509" s="26">
        <f t="shared" ca="1" si="39"/>
        <v>273.29138738426263</v>
      </c>
      <c r="AF509" s="35"/>
    </row>
    <row r="510" spans="1:32" hidden="1">
      <c r="A510" s="209">
        <v>8631222</v>
      </c>
      <c r="B510" s="209" t="s">
        <v>653</v>
      </c>
      <c r="C510" s="210" t="s">
        <v>935</v>
      </c>
      <c r="D510" s="214"/>
      <c r="E510" s="214">
        <v>710001400010</v>
      </c>
      <c r="F510" s="209" t="s">
        <v>936</v>
      </c>
      <c r="G510" s="209" t="s">
        <v>53</v>
      </c>
      <c r="H510" s="209" t="s">
        <v>390</v>
      </c>
      <c r="I510" s="209" t="s">
        <v>391</v>
      </c>
      <c r="J510" s="209" t="s">
        <v>56</v>
      </c>
      <c r="K510" s="210" t="s">
        <v>937</v>
      </c>
      <c r="L510" s="210"/>
      <c r="M510" s="209" t="s">
        <v>58</v>
      </c>
      <c r="N510" s="209">
        <v>0</v>
      </c>
      <c r="O510" s="209" t="s">
        <v>105</v>
      </c>
      <c r="P510" s="213">
        <v>44713.384884259256</v>
      </c>
      <c r="Q510" s="209"/>
      <c r="R510" s="209">
        <v>3</v>
      </c>
      <c r="S510" s="209"/>
      <c r="T510" s="209" t="s">
        <v>646</v>
      </c>
      <c r="U510" s="213">
        <v>44714.384884259256</v>
      </c>
      <c r="V510" s="209" t="s">
        <v>41</v>
      </c>
      <c r="W510" s="209" t="s">
        <v>49</v>
      </c>
      <c r="X510" s="13" t="str">
        <f>IF(RIGHT(H510,2)&lt;&gt;"00",H510,"")</f>
        <v/>
      </c>
      <c r="Y510" s="26">
        <f ca="1">NETWORKDAYS(P510,$Y$1)</f>
        <v>196</v>
      </c>
      <c r="Z510" s="34">
        <v>1</v>
      </c>
      <c r="AA510" s="25" t="str">
        <f t="shared" ca="1" si="38"/>
        <v>A VENCER</v>
      </c>
      <c r="AB510" s="25" t="str">
        <f t="shared" si="41"/>
        <v>C-14</v>
      </c>
      <c r="AC510" s="2" t="str">
        <f t="shared" si="40"/>
        <v xml:space="preserve"> CRISTINA </v>
      </c>
      <c r="AD510" s="26">
        <f t="shared" si="42"/>
        <v>5</v>
      </c>
      <c r="AE510" s="26">
        <f t="shared" ca="1" si="39"/>
        <v>273.29138738426263</v>
      </c>
      <c r="AF510" s="35"/>
    </row>
    <row r="511" spans="1:32" hidden="1">
      <c r="A511" s="209">
        <v>8631065</v>
      </c>
      <c r="B511" s="209" t="s">
        <v>653</v>
      </c>
      <c r="C511" s="210" t="s">
        <v>935</v>
      </c>
      <c r="D511" s="214"/>
      <c r="E511" s="214">
        <v>550001400010</v>
      </c>
      <c r="F511" s="209" t="s">
        <v>936</v>
      </c>
      <c r="G511" s="209" t="s">
        <v>53</v>
      </c>
      <c r="H511" s="209" t="s">
        <v>337</v>
      </c>
      <c r="I511" s="209" t="s">
        <v>338</v>
      </c>
      <c r="J511" s="209" t="s">
        <v>164</v>
      </c>
      <c r="K511" s="210" t="s">
        <v>937</v>
      </c>
      <c r="L511" s="210"/>
      <c r="M511" s="209" t="s">
        <v>58</v>
      </c>
      <c r="N511" s="209">
        <v>0</v>
      </c>
      <c r="O511" s="209" t="s">
        <v>105</v>
      </c>
      <c r="P511" s="213">
        <v>44713.384710648148</v>
      </c>
      <c r="Q511" s="209"/>
      <c r="R511" s="209">
        <v>3</v>
      </c>
      <c r="S511" s="209"/>
      <c r="T511" s="209" t="s">
        <v>646</v>
      </c>
      <c r="U511" s="213">
        <v>44714.384722222225</v>
      </c>
      <c r="V511" s="209" t="s">
        <v>41</v>
      </c>
      <c r="W511" s="209" t="s">
        <v>49</v>
      </c>
      <c r="X511" s="13" t="str">
        <f>IF(RIGHT(H511,2)&lt;&gt;"00",H511,"")</f>
        <v/>
      </c>
      <c r="Y511" s="26">
        <f ca="1">NETWORKDAYS(P511,$Y$1)</f>
        <v>196</v>
      </c>
      <c r="Z511" s="34">
        <v>1</v>
      </c>
      <c r="AA511" s="25" t="str">
        <f t="shared" ca="1" si="38"/>
        <v>A VENCER</v>
      </c>
      <c r="AB511" s="25" t="str">
        <f t="shared" si="41"/>
        <v>C-14</v>
      </c>
      <c r="AC511" s="2" t="str">
        <f t="shared" si="40"/>
        <v xml:space="preserve"> ROSEMERE </v>
      </c>
      <c r="AD511" s="26">
        <f t="shared" si="42"/>
        <v>5</v>
      </c>
      <c r="AE511" s="26">
        <f t="shared" ca="1" si="39"/>
        <v>273.29156099537067</v>
      </c>
      <c r="AF511" s="35"/>
    </row>
    <row r="512" spans="1:32" hidden="1">
      <c r="A512" s="209">
        <v>8631054</v>
      </c>
      <c r="B512" s="209" t="s">
        <v>653</v>
      </c>
      <c r="C512" s="210" t="s">
        <v>935</v>
      </c>
      <c r="D512" s="214"/>
      <c r="E512" s="214">
        <v>537001400010</v>
      </c>
      <c r="F512" s="209" t="s">
        <v>936</v>
      </c>
      <c r="G512" s="209" t="s">
        <v>53</v>
      </c>
      <c r="H512" s="209" t="s">
        <v>442</v>
      </c>
      <c r="I512" s="209" t="s">
        <v>443</v>
      </c>
      <c r="J512" s="209" t="s">
        <v>79</v>
      </c>
      <c r="K512" s="210" t="s">
        <v>937</v>
      </c>
      <c r="L512" s="210"/>
      <c r="M512" s="209" t="s">
        <v>58</v>
      </c>
      <c r="N512" s="209">
        <v>0</v>
      </c>
      <c r="O512" s="209" t="s">
        <v>105</v>
      </c>
      <c r="P512" s="213">
        <v>44713.384699074071</v>
      </c>
      <c r="Q512" s="209"/>
      <c r="R512" s="209">
        <v>3</v>
      </c>
      <c r="S512" s="209"/>
      <c r="T512" s="209" t="s">
        <v>646</v>
      </c>
      <c r="U512" s="213">
        <v>44714.384699074071</v>
      </c>
      <c r="V512" s="209" t="s">
        <v>41</v>
      </c>
      <c r="W512" s="209" t="s">
        <v>49</v>
      </c>
      <c r="X512" s="13" t="str">
        <f>IF(RIGHT(H512,2)&lt;&gt;"00",H512,"")</f>
        <v/>
      </c>
      <c r="Y512" s="26">
        <f ca="1">NETWORKDAYS(P512,$Y$1)</f>
        <v>196</v>
      </c>
      <c r="Z512" s="34">
        <v>1</v>
      </c>
      <c r="AA512" s="25" t="str">
        <f t="shared" ca="1" si="38"/>
        <v>A VENCER</v>
      </c>
      <c r="AB512" s="25" t="str">
        <f t="shared" si="41"/>
        <v>C-14</v>
      </c>
      <c r="AC512" s="2" t="str">
        <f t="shared" si="40"/>
        <v xml:space="preserve"> ROSEMERE </v>
      </c>
      <c r="AD512" s="26">
        <f t="shared" si="42"/>
        <v>5</v>
      </c>
      <c r="AE512" s="26">
        <f t="shared" ca="1" si="39"/>
        <v>273.29157256944745</v>
      </c>
      <c r="AF512" s="35"/>
    </row>
    <row r="513" spans="1:32" hidden="1">
      <c r="A513" s="209">
        <v>8630966</v>
      </c>
      <c r="B513" s="209" t="s">
        <v>653</v>
      </c>
      <c r="C513" s="210" t="s">
        <v>935</v>
      </c>
      <c r="D513" s="214"/>
      <c r="E513" s="214">
        <v>446001400010</v>
      </c>
      <c r="F513" s="209" t="s">
        <v>936</v>
      </c>
      <c r="G513" s="209" t="s">
        <v>53</v>
      </c>
      <c r="H513" s="209" t="s">
        <v>432</v>
      </c>
      <c r="I513" s="209" t="s">
        <v>433</v>
      </c>
      <c r="J513" s="209" t="s">
        <v>110</v>
      </c>
      <c r="K513" s="210" t="s">
        <v>937</v>
      </c>
      <c r="L513" s="210"/>
      <c r="M513" s="209" t="s">
        <v>58</v>
      </c>
      <c r="N513" s="209">
        <v>0</v>
      </c>
      <c r="O513" s="209" t="s">
        <v>105</v>
      </c>
      <c r="P513" s="213">
        <v>44713.384594907409</v>
      </c>
      <c r="Q513" s="209"/>
      <c r="R513" s="209">
        <v>3</v>
      </c>
      <c r="S513" s="209"/>
      <c r="T513" s="209" t="s">
        <v>646</v>
      </c>
      <c r="U513" s="213">
        <v>44714.384594907409</v>
      </c>
      <c r="V513" s="209" t="s">
        <v>41</v>
      </c>
      <c r="W513" s="209" t="s">
        <v>49</v>
      </c>
      <c r="X513" s="13" t="str">
        <f>IF(RIGHT(H513,2)&lt;&gt;"00",H513,"")</f>
        <v/>
      </c>
      <c r="Y513" s="26">
        <f ca="1">NETWORKDAYS(P513,$Y$1)</f>
        <v>196</v>
      </c>
      <c r="Z513" s="34">
        <v>1</v>
      </c>
      <c r="AA513" s="25" t="str">
        <f t="shared" ca="1" si="38"/>
        <v>A VENCER</v>
      </c>
      <c r="AB513" s="25" t="str">
        <f t="shared" si="41"/>
        <v>C-14</v>
      </c>
      <c r="AC513" s="2" t="str">
        <f t="shared" si="40"/>
        <v xml:space="preserve"> CRISTINA </v>
      </c>
      <c r="AD513" s="26">
        <f t="shared" si="42"/>
        <v>5</v>
      </c>
      <c r="AE513" s="26">
        <f t="shared" ca="1" si="39"/>
        <v>273.29167673610937</v>
      </c>
      <c r="AF513" s="35"/>
    </row>
    <row r="514" spans="1:32" hidden="1">
      <c r="A514" s="209">
        <v>8630840</v>
      </c>
      <c r="B514" s="209" t="s">
        <v>653</v>
      </c>
      <c r="C514" s="210" t="s">
        <v>935</v>
      </c>
      <c r="D514" s="214"/>
      <c r="E514" s="214">
        <v>325091400010</v>
      </c>
      <c r="F514" s="209" t="s">
        <v>936</v>
      </c>
      <c r="G514" s="209" t="s">
        <v>53</v>
      </c>
      <c r="H514" s="209" t="s">
        <v>821</v>
      </c>
      <c r="I514" s="209" t="s">
        <v>822</v>
      </c>
      <c r="J514" s="209" t="s">
        <v>46</v>
      </c>
      <c r="K514" s="210" t="s">
        <v>937</v>
      </c>
      <c r="L514" s="210"/>
      <c r="M514" s="209" t="s">
        <v>58</v>
      </c>
      <c r="N514" s="209">
        <v>0</v>
      </c>
      <c r="O514" s="209" t="s">
        <v>105</v>
      </c>
      <c r="P514" s="213">
        <v>44713.384456018517</v>
      </c>
      <c r="Q514" s="209"/>
      <c r="R514" s="209">
        <v>3</v>
      </c>
      <c r="S514" s="209"/>
      <c r="T514" s="209" t="s">
        <v>646</v>
      </c>
      <c r="U514" s="213">
        <v>44714.384456018517</v>
      </c>
      <c r="V514" s="209" t="s">
        <v>41</v>
      </c>
      <c r="W514" s="209" t="s">
        <v>49</v>
      </c>
      <c r="X514" s="13" t="str">
        <f>IF(RIGHT(H514,2)&lt;&gt;"00",H514,"")</f>
        <v>0325.09</v>
      </c>
      <c r="Y514" s="26">
        <f ca="1">NETWORKDAYS(P514,$Y$1)</f>
        <v>196</v>
      </c>
      <c r="Z514" s="34">
        <v>1</v>
      </c>
      <c r="AA514" s="25" t="str">
        <f t="shared" ref="AA514:AA577" ca="1" si="43">IF(AE514=0,"HOJE",IF(AE514&gt;0,"A VENCER",IF(AE514&lt;0,"VENCIDO")))</f>
        <v>A VENCER</v>
      </c>
      <c r="AB514" s="25" t="str">
        <f t="shared" si="41"/>
        <v>C-14</v>
      </c>
      <c r="AC514" s="2" t="str">
        <f t="shared" si="40"/>
        <v xml:space="preserve"> CLEITON </v>
      </c>
      <c r="AD514" s="26">
        <f t="shared" si="42"/>
        <v>5</v>
      </c>
      <c r="AE514" s="26">
        <f t="shared" ref="AE514:AE577" ca="1" si="44">IF(P514=$AE$1,"",$AE$1-P514)</f>
        <v>273.29181562500162</v>
      </c>
      <c r="AF514" s="35"/>
    </row>
    <row r="515" spans="1:32" hidden="1">
      <c r="A515" s="209">
        <v>8630740</v>
      </c>
      <c r="B515" s="209" t="s">
        <v>653</v>
      </c>
      <c r="C515" s="210" t="s">
        <v>935</v>
      </c>
      <c r="D515" s="214"/>
      <c r="E515" s="214">
        <v>233001400010</v>
      </c>
      <c r="F515" s="209" t="s">
        <v>936</v>
      </c>
      <c r="G515" s="209" t="s">
        <v>53</v>
      </c>
      <c r="H515" s="209" t="s">
        <v>424</v>
      </c>
      <c r="I515" s="209" t="s">
        <v>425</v>
      </c>
      <c r="J515" s="209" t="s">
        <v>261</v>
      </c>
      <c r="K515" s="210" t="s">
        <v>937</v>
      </c>
      <c r="L515" s="210"/>
      <c r="M515" s="209" t="s">
        <v>58</v>
      </c>
      <c r="N515" s="209">
        <v>0</v>
      </c>
      <c r="O515" s="209" t="s">
        <v>105</v>
      </c>
      <c r="P515" s="213">
        <v>44713.384340277778</v>
      </c>
      <c r="Q515" s="209"/>
      <c r="R515" s="209">
        <v>3</v>
      </c>
      <c r="S515" s="209"/>
      <c r="T515" s="209" t="s">
        <v>646</v>
      </c>
      <c r="U515" s="213">
        <v>44714.384340277778</v>
      </c>
      <c r="V515" s="209" t="s">
        <v>41</v>
      </c>
      <c r="W515" s="209" t="s">
        <v>49</v>
      </c>
      <c r="X515" s="13" t="str">
        <f>IF(RIGHT(H515,2)&lt;&gt;"00",H515,"")</f>
        <v/>
      </c>
      <c r="Y515" s="26">
        <f ca="1">NETWORKDAYS(P515,$Y$1)</f>
        <v>196</v>
      </c>
      <c r="Z515" s="34">
        <v>1</v>
      </c>
      <c r="AA515" s="25" t="str">
        <f t="shared" ca="1" si="43"/>
        <v>A VENCER</v>
      </c>
      <c r="AB515" s="25" t="str">
        <f t="shared" si="41"/>
        <v>C-14</v>
      </c>
      <c r="AC515" s="2" t="str">
        <f t="shared" ref="AC515:AC578" si="45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 xml:space="preserve"> CRISTINA </v>
      </c>
      <c r="AD515" s="26">
        <f t="shared" si="42"/>
        <v>5</v>
      </c>
      <c r="AE515" s="26">
        <f t="shared" ca="1" si="44"/>
        <v>273.29193136574031</v>
      </c>
      <c r="AF515" s="35"/>
    </row>
    <row r="516" spans="1:32" hidden="1">
      <c r="A516" s="209">
        <v>8630705</v>
      </c>
      <c r="B516" s="209" t="s">
        <v>653</v>
      </c>
      <c r="C516" s="210" t="s">
        <v>935</v>
      </c>
      <c r="D516" s="214"/>
      <c r="E516" s="214">
        <v>196001400010</v>
      </c>
      <c r="F516" s="209" t="s">
        <v>936</v>
      </c>
      <c r="G516" s="209" t="s">
        <v>53</v>
      </c>
      <c r="H516" s="209" t="s">
        <v>1060</v>
      </c>
      <c r="I516" s="209" t="s">
        <v>1061</v>
      </c>
      <c r="J516" s="209" t="s">
        <v>79</v>
      </c>
      <c r="K516" s="210" t="s">
        <v>937</v>
      </c>
      <c r="L516" s="210"/>
      <c r="M516" s="209" t="s">
        <v>58</v>
      </c>
      <c r="N516" s="209">
        <v>0</v>
      </c>
      <c r="O516" s="209" t="s">
        <v>105</v>
      </c>
      <c r="P516" s="213">
        <v>44713.384305555555</v>
      </c>
      <c r="Q516" s="209"/>
      <c r="R516" s="209">
        <v>3</v>
      </c>
      <c r="S516" s="209"/>
      <c r="T516" s="209" t="s">
        <v>646</v>
      </c>
      <c r="U516" s="213">
        <v>44714.384305555555</v>
      </c>
      <c r="V516" s="209" t="s">
        <v>41</v>
      </c>
      <c r="W516" s="209" t="s">
        <v>49</v>
      </c>
      <c r="X516" s="13" t="str">
        <f>IF(RIGHT(H516,2)&lt;&gt;"00",H516,"")</f>
        <v/>
      </c>
      <c r="Y516" s="26">
        <f ca="1">NETWORKDAYS(P516,$Y$1)</f>
        <v>196</v>
      </c>
      <c r="Z516" s="34">
        <v>1</v>
      </c>
      <c r="AA516" s="25" t="str">
        <f t="shared" ca="1" si="43"/>
        <v>A VENCER</v>
      </c>
      <c r="AB516" s="25" t="str">
        <f t="shared" si="41"/>
        <v>C-14</v>
      </c>
      <c r="AC516" s="2" t="str">
        <f t="shared" si="45"/>
        <v xml:space="preserve"> ROSEMERE </v>
      </c>
      <c r="AD516" s="26">
        <f t="shared" si="42"/>
        <v>5</v>
      </c>
      <c r="AE516" s="26">
        <f t="shared" ca="1" si="44"/>
        <v>273.29196608796337</v>
      </c>
      <c r="AF516" s="35"/>
    </row>
    <row r="517" spans="1:32" hidden="1">
      <c r="A517" s="209">
        <v>8630554</v>
      </c>
      <c r="B517" s="209" t="s">
        <v>653</v>
      </c>
      <c r="C517" s="210" t="s">
        <v>935</v>
      </c>
      <c r="D517" s="214"/>
      <c r="E517" s="214">
        <v>7651400010</v>
      </c>
      <c r="F517" s="209" t="s">
        <v>936</v>
      </c>
      <c r="G517" s="209" t="s">
        <v>53</v>
      </c>
      <c r="H517" s="209" t="s">
        <v>827</v>
      </c>
      <c r="I517" s="209" t="s">
        <v>828</v>
      </c>
      <c r="J517" s="209" t="s">
        <v>46</v>
      </c>
      <c r="K517" s="210" t="s">
        <v>937</v>
      </c>
      <c r="L517" s="210"/>
      <c r="M517" s="209" t="s">
        <v>58</v>
      </c>
      <c r="N517" s="209">
        <v>0</v>
      </c>
      <c r="O517" s="209" t="s">
        <v>105</v>
      </c>
      <c r="P517" s="213">
        <v>44713.384120370371</v>
      </c>
      <c r="Q517" s="209"/>
      <c r="R517" s="209">
        <v>3</v>
      </c>
      <c r="S517" s="209"/>
      <c r="T517" s="209" t="s">
        <v>646</v>
      </c>
      <c r="U517" s="213">
        <v>44714.384120370371</v>
      </c>
      <c r="V517" s="209" t="s">
        <v>41</v>
      </c>
      <c r="W517" s="209" t="s">
        <v>49</v>
      </c>
      <c r="X517" s="13" t="str">
        <f>IF(RIGHT(H517,2)&lt;&gt;"00",H517,"")</f>
        <v>0007.65</v>
      </c>
      <c r="Y517" s="26">
        <f ca="1">NETWORKDAYS(P517,$Y$1)</f>
        <v>196</v>
      </c>
      <c r="Z517" s="34">
        <v>1</v>
      </c>
      <c r="AA517" s="25" t="str">
        <f t="shared" ca="1" si="43"/>
        <v>A VENCER</v>
      </c>
      <c r="AB517" s="25" t="str">
        <f t="shared" si="41"/>
        <v>C-14</v>
      </c>
      <c r="AC517" s="2" t="str">
        <f t="shared" si="45"/>
        <v xml:space="preserve"> CLEITON </v>
      </c>
      <c r="AD517" s="26">
        <f t="shared" si="42"/>
        <v>5</v>
      </c>
      <c r="AE517" s="26">
        <f t="shared" ca="1" si="44"/>
        <v>273.29215127314819</v>
      </c>
      <c r="AF517" s="35"/>
    </row>
    <row r="518" spans="1:32" hidden="1">
      <c r="A518" s="209">
        <v>8630381</v>
      </c>
      <c r="B518" s="209" t="s">
        <v>101</v>
      </c>
      <c r="C518" s="210" t="s">
        <v>643</v>
      </c>
      <c r="D518" s="214">
        <v>220094909</v>
      </c>
      <c r="E518" s="214">
        <v>1362001400030</v>
      </c>
      <c r="F518" s="209" t="s">
        <v>647</v>
      </c>
      <c r="G518" s="209" t="s">
        <v>53</v>
      </c>
      <c r="H518" s="209" t="s">
        <v>268</v>
      </c>
      <c r="I518" s="209" t="s">
        <v>269</v>
      </c>
      <c r="J518" s="209" t="s">
        <v>90</v>
      </c>
      <c r="K518" s="210" t="s">
        <v>650</v>
      </c>
      <c r="L518" s="210"/>
      <c r="M518" s="209" t="s">
        <v>58</v>
      </c>
      <c r="N518" s="209">
        <v>0</v>
      </c>
      <c r="O518" s="209" t="s">
        <v>105</v>
      </c>
      <c r="P518" s="213">
        <v>44713.377708333333</v>
      </c>
      <c r="Q518" s="209"/>
      <c r="R518" s="209">
        <v>4</v>
      </c>
      <c r="S518" s="209"/>
      <c r="T518" s="209" t="s">
        <v>646</v>
      </c>
      <c r="U518" s="213">
        <v>44714.377708333333</v>
      </c>
      <c r="V518" s="209" t="s">
        <v>41</v>
      </c>
      <c r="W518" s="209" t="s">
        <v>49</v>
      </c>
      <c r="X518" s="13" t="str">
        <f>IF(RIGHT(H518,2)&lt;&gt;"00",H518,"")</f>
        <v/>
      </c>
      <c r="Y518" s="26">
        <f ca="1">NETWORKDAYS(P518,$Y$1)</f>
        <v>196</v>
      </c>
      <c r="Z518" s="34">
        <v>1</v>
      </c>
      <c r="AA518" s="25" t="str">
        <f t="shared" ca="1" si="43"/>
        <v>A VENCER</v>
      </c>
      <c r="AB518" s="25" t="str">
        <f t="shared" si="41"/>
        <v>C-14</v>
      </c>
      <c r="AC518" s="2" t="str">
        <f t="shared" si="45"/>
        <v xml:space="preserve"> RINALDO </v>
      </c>
      <c r="AD518" s="26">
        <f t="shared" si="42"/>
        <v>15</v>
      </c>
      <c r="AE518" s="26">
        <f t="shared" ca="1" si="44"/>
        <v>273.29856331018527</v>
      </c>
      <c r="AF518" s="35"/>
    </row>
    <row r="519" spans="1:32" hidden="1">
      <c r="A519" s="209">
        <v>8630306</v>
      </c>
      <c r="B519" s="209" t="s">
        <v>101</v>
      </c>
      <c r="C519" s="210" t="s">
        <v>643</v>
      </c>
      <c r="D519" s="214">
        <v>220094756</v>
      </c>
      <c r="E519" s="214">
        <v>1049001400030</v>
      </c>
      <c r="F519" s="209" t="s">
        <v>647</v>
      </c>
      <c r="G519" s="209" t="s">
        <v>53</v>
      </c>
      <c r="H519" s="209" t="s">
        <v>169</v>
      </c>
      <c r="I519" s="209" t="s">
        <v>170</v>
      </c>
      <c r="J519" s="209" t="s">
        <v>164</v>
      </c>
      <c r="K519" s="210" t="s">
        <v>650</v>
      </c>
      <c r="L519" s="210"/>
      <c r="M519" s="209" t="s">
        <v>58</v>
      </c>
      <c r="N519" s="209">
        <v>0</v>
      </c>
      <c r="O519" s="209" t="s">
        <v>105</v>
      </c>
      <c r="P519" s="213">
        <v>44713.373645833337</v>
      </c>
      <c r="Q519" s="209"/>
      <c r="R519" s="209">
        <v>4</v>
      </c>
      <c r="S519" s="209"/>
      <c r="T519" s="209" t="s">
        <v>646</v>
      </c>
      <c r="U519" s="213">
        <v>44714.373657407406</v>
      </c>
      <c r="V519" s="209" t="s">
        <v>41</v>
      </c>
      <c r="W519" s="209" t="s">
        <v>49</v>
      </c>
      <c r="X519" s="13" t="str">
        <f>IF(RIGHT(H519,2)&lt;&gt;"00",H519,"")</f>
        <v/>
      </c>
      <c r="Y519" s="26">
        <f ca="1">NETWORKDAYS(P519,$Y$1)</f>
        <v>196</v>
      </c>
      <c r="Z519" s="34">
        <v>1</v>
      </c>
      <c r="AA519" s="25" t="str">
        <f t="shared" ca="1" si="43"/>
        <v>A VENCER</v>
      </c>
      <c r="AB519" s="25" t="str">
        <f t="shared" si="41"/>
        <v>C-14</v>
      </c>
      <c r="AC519" s="2" t="str">
        <f t="shared" si="45"/>
        <v xml:space="preserve"> ROSEMERE </v>
      </c>
      <c r="AD519" s="26">
        <f t="shared" si="42"/>
        <v>15</v>
      </c>
      <c r="AE519" s="26">
        <f t="shared" ca="1" si="44"/>
        <v>273.30262581018178</v>
      </c>
      <c r="AF519" s="35"/>
    </row>
    <row r="520" spans="1:32" hidden="1">
      <c r="A520" s="209">
        <v>8629148</v>
      </c>
      <c r="B520" s="209" t="s">
        <v>101</v>
      </c>
      <c r="C520" s="210" t="s">
        <v>643</v>
      </c>
      <c r="D520" s="214">
        <v>220092695</v>
      </c>
      <c r="E520" s="214">
        <v>1362001400010</v>
      </c>
      <c r="F520" s="209" t="s">
        <v>936</v>
      </c>
      <c r="G520" s="209" t="s">
        <v>53</v>
      </c>
      <c r="H520" s="209" t="s">
        <v>268</v>
      </c>
      <c r="I520" s="209" t="s">
        <v>269</v>
      </c>
      <c r="J520" s="209" t="s">
        <v>90</v>
      </c>
      <c r="K520" s="210" t="s">
        <v>937</v>
      </c>
      <c r="L520" s="210"/>
      <c r="M520" s="209" t="s">
        <v>58</v>
      </c>
      <c r="N520" s="209">
        <v>0</v>
      </c>
      <c r="O520" s="209" t="s">
        <v>105</v>
      </c>
      <c r="P520" s="213">
        <v>44713.314988425926</v>
      </c>
      <c r="Q520" s="209"/>
      <c r="R520" s="209">
        <v>3</v>
      </c>
      <c r="S520" s="209"/>
      <c r="T520" s="209" t="s">
        <v>646</v>
      </c>
      <c r="U520" s="213">
        <v>44714.314988425926</v>
      </c>
      <c r="V520" s="209" t="s">
        <v>41</v>
      </c>
      <c r="W520" s="209" t="s">
        <v>49</v>
      </c>
      <c r="X520" s="13" t="str">
        <f>IF(RIGHT(H520,2)&lt;&gt;"00",H520,"")</f>
        <v/>
      </c>
      <c r="Y520" s="26">
        <f ca="1">NETWORKDAYS(P520,$Y$1)</f>
        <v>196</v>
      </c>
      <c r="Z520" s="34">
        <v>1</v>
      </c>
      <c r="AA520" s="25" t="str">
        <f t="shared" ca="1" si="43"/>
        <v>A VENCER</v>
      </c>
      <c r="AB520" s="25" t="str">
        <f t="shared" si="41"/>
        <v>C-14</v>
      </c>
      <c r="AC520" s="2" t="str">
        <f t="shared" si="45"/>
        <v xml:space="preserve"> RINALDO </v>
      </c>
      <c r="AD520" s="26">
        <f t="shared" si="42"/>
        <v>5</v>
      </c>
      <c r="AE520" s="26">
        <f t="shared" ca="1" si="44"/>
        <v>273.36128321759315</v>
      </c>
      <c r="AF520" s="35"/>
    </row>
    <row r="521" spans="1:32" hidden="1">
      <c r="A521" s="209">
        <v>8629041</v>
      </c>
      <c r="B521" s="209" t="s">
        <v>101</v>
      </c>
      <c r="C521" s="210" t="s">
        <v>643</v>
      </c>
      <c r="D521" s="214">
        <v>220092544</v>
      </c>
      <c r="E521" s="214">
        <v>1049001400010</v>
      </c>
      <c r="F521" s="209" t="s">
        <v>936</v>
      </c>
      <c r="G521" s="209" t="s">
        <v>53</v>
      </c>
      <c r="H521" s="209" t="s">
        <v>169</v>
      </c>
      <c r="I521" s="209" t="s">
        <v>170</v>
      </c>
      <c r="J521" s="209" t="s">
        <v>164</v>
      </c>
      <c r="K521" s="210" t="s">
        <v>937</v>
      </c>
      <c r="L521" s="210"/>
      <c r="M521" s="209" t="s">
        <v>58</v>
      </c>
      <c r="N521" s="209">
        <v>0</v>
      </c>
      <c r="O521" s="209" t="s">
        <v>105</v>
      </c>
      <c r="P521" s="213">
        <v>44713.308981481481</v>
      </c>
      <c r="Q521" s="209"/>
      <c r="R521" s="209">
        <v>3</v>
      </c>
      <c r="S521" s="209"/>
      <c r="T521" s="209" t="s">
        <v>646</v>
      </c>
      <c r="U521" s="213">
        <v>44714.308981481481</v>
      </c>
      <c r="V521" s="209" t="s">
        <v>41</v>
      </c>
      <c r="W521" s="209" t="s">
        <v>49</v>
      </c>
      <c r="X521" s="13" t="str">
        <f>IF(RIGHT(H521,2)&lt;&gt;"00",H521,"")</f>
        <v/>
      </c>
      <c r="Y521" s="26">
        <f ca="1">NETWORKDAYS(P521,$Y$1)</f>
        <v>196</v>
      </c>
      <c r="Z521" s="34">
        <v>1</v>
      </c>
      <c r="AA521" s="25" t="str">
        <f t="shared" ca="1" si="43"/>
        <v>A VENCER</v>
      </c>
      <c r="AB521" s="25" t="str">
        <f t="shared" si="41"/>
        <v>C-14</v>
      </c>
      <c r="AC521" s="2" t="str">
        <f t="shared" si="45"/>
        <v xml:space="preserve"> ROSEMERE </v>
      </c>
      <c r="AD521" s="26">
        <f t="shared" si="42"/>
        <v>5</v>
      </c>
      <c r="AE521" s="26">
        <f t="shared" ca="1" si="44"/>
        <v>273.36729016203753</v>
      </c>
      <c r="AF521" s="35"/>
    </row>
    <row r="522" spans="1:32" hidden="1">
      <c r="A522" s="209">
        <v>8672365</v>
      </c>
      <c r="B522" s="209" t="s">
        <v>62</v>
      </c>
      <c r="C522" s="210" t="s">
        <v>1074</v>
      </c>
      <c r="D522" s="214"/>
      <c r="E522" s="214">
        <v>2156000203000</v>
      </c>
      <c r="F522" s="209" t="s">
        <v>454</v>
      </c>
      <c r="G522" s="209" t="s">
        <v>53</v>
      </c>
      <c r="H522" s="209" t="s">
        <v>278</v>
      </c>
      <c r="I522" s="209" t="s">
        <v>279</v>
      </c>
      <c r="J522" s="209" t="s">
        <v>211</v>
      </c>
      <c r="K522" s="210" t="s">
        <v>457</v>
      </c>
      <c r="L522" s="210"/>
      <c r="M522" s="209" t="s">
        <v>58</v>
      </c>
      <c r="N522" s="209">
        <v>0</v>
      </c>
      <c r="O522" s="209" t="s">
        <v>105</v>
      </c>
      <c r="P522" s="213">
        <v>44722.462719907409</v>
      </c>
      <c r="Q522" s="209"/>
      <c r="R522" s="209">
        <v>1</v>
      </c>
      <c r="S522" s="209"/>
      <c r="T522" s="209" t="s">
        <v>157</v>
      </c>
      <c r="U522" s="213">
        <v>44757.75</v>
      </c>
      <c r="V522" s="209" t="s">
        <v>41</v>
      </c>
      <c r="W522" s="209" t="s">
        <v>49</v>
      </c>
      <c r="X522" s="13" t="str">
        <f>IF(RIGHT(H522,2)&lt;&gt;"00",H522,"")</f>
        <v/>
      </c>
      <c r="Y522" s="26">
        <f ca="1">NETWORKDAYS(P522,$Y$1)</f>
        <v>189</v>
      </c>
      <c r="Z522" s="34">
        <v>1</v>
      </c>
      <c r="AA522" s="25" t="str">
        <f t="shared" ca="1" si="43"/>
        <v>A VENCER</v>
      </c>
      <c r="AB522" s="25" t="str">
        <f t="shared" si="41"/>
        <v>C-14</v>
      </c>
      <c r="AC522" s="2" t="str">
        <f t="shared" si="45"/>
        <v xml:space="preserve"> RINALDO </v>
      </c>
      <c r="AD522" s="26">
        <f t="shared" si="42"/>
        <v>5</v>
      </c>
      <c r="AE522" s="26">
        <f t="shared" ca="1" si="44"/>
        <v>264.21355173610937</v>
      </c>
      <c r="AF522" s="35"/>
    </row>
    <row r="523" spans="1:32" hidden="1">
      <c r="A523" s="209">
        <v>8711475</v>
      </c>
      <c r="B523" s="209" t="s">
        <v>62</v>
      </c>
      <c r="C523" s="210" t="s">
        <v>1075</v>
      </c>
      <c r="D523" s="214"/>
      <c r="E523" s="214">
        <v>7420000203000</v>
      </c>
      <c r="F523" s="209" t="s">
        <v>454</v>
      </c>
      <c r="G523" s="209" t="s">
        <v>30</v>
      </c>
      <c r="H523" s="209" t="s">
        <v>1076</v>
      </c>
      <c r="I523" s="209" t="s">
        <v>1077</v>
      </c>
      <c r="J523" s="209" t="s">
        <v>46</v>
      </c>
      <c r="K523" s="210" t="s">
        <v>457</v>
      </c>
      <c r="L523" s="210"/>
      <c r="M523" s="209" t="s">
        <v>58</v>
      </c>
      <c r="N523" s="209">
        <v>0</v>
      </c>
      <c r="O523" s="209" t="s">
        <v>36</v>
      </c>
      <c r="P523" s="213">
        <v>44740.585196759261</v>
      </c>
      <c r="Q523" s="209"/>
      <c r="R523" s="209" t="s">
        <v>38</v>
      </c>
      <c r="S523" s="209"/>
      <c r="T523" s="209" t="s">
        <v>157</v>
      </c>
      <c r="U523" s="213">
        <v>44810.75</v>
      </c>
      <c r="V523" s="209" t="s">
        <v>41</v>
      </c>
      <c r="W523" s="209" t="s">
        <v>49</v>
      </c>
      <c r="X523" s="13" t="str">
        <f>IF(RIGHT(H523,2)&lt;&gt;"00",H523,"")</f>
        <v/>
      </c>
      <c r="Y523" s="26">
        <f ca="1">NETWORKDAYS(P523,$Y$1)</f>
        <v>177</v>
      </c>
      <c r="Z523" s="34">
        <v>1</v>
      </c>
      <c r="AA523" s="25" t="str">
        <f t="shared" ca="1" si="43"/>
        <v>A VENCER</v>
      </c>
      <c r="AB523" s="25" t="str">
        <f t="shared" si="41"/>
        <v>C-14</v>
      </c>
      <c r="AC523" s="2" t="str">
        <f t="shared" si="45"/>
        <v xml:space="preserve"> CLEITON </v>
      </c>
      <c r="AD523" s="26">
        <f t="shared" si="42"/>
        <v>5</v>
      </c>
      <c r="AE523" s="26">
        <f t="shared" ca="1" si="44"/>
        <v>246.09107488425798</v>
      </c>
      <c r="AF523" s="35"/>
    </row>
    <row r="524" spans="1:32" hidden="1">
      <c r="A524" s="209">
        <v>8733876</v>
      </c>
      <c r="B524" s="209" t="s">
        <v>62</v>
      </c>
      <c r="C524" s="210" t="s">
        <v>1078</v>
      </c>
      <c r="D524" s="214"/>
      <c r="E524" s="214">
        <v>1028000203000</v>
      </c>
      <c r="F524" s="209" t="s">
        <v>454</v>
      </c>
      <c r="G524" s="209" t="s">
        <v>53</v>
      </c>
      <c r="H524" s="209" t="s">
        <v>1079</v>
      </c>
      <c r="I524" s="209" t="s">
        <v>1080</v>
      </c>
      <c r="J524" s="209" t="s">
        <v>85</v>
      </c>
      <c r="K524" s="210" t="s">
        <v>457</v>
      </c>
      <c r="L524" s="210"/>
      <c r="M524" s="209" t="s">
        <v>58</v>
      </c>
      <c r="N524" s="209">
        <v>0</v>
      </c>
      <c r="O524" s="209" t="s">
        <v>36</v>
      </c>
      <c r="P524" s="213">
        <v>44749.648923611108</v>
      </c>
      <c r="Q524" s="209"/>
      <c r="R524" s="209">
        <v>1</v>
      </c>
      <c r="S524" s="209"/>
      <c r="T524" s="209" t="s">
        <v>157</v>
      </c>
      <c r="U524" s="213">
        <v>44783.75</v>
      </c>
      <c r="V524" s="209" t="s">
        <v>41</v>
      </c>
      <c r="W524" s="209" t="s">
        <v>49</v>
      </c>
      <c r="X524" s="13" t="str">
        <f>IF(RIGHT(H524,2)&lt;&gt;"00",H524,"")</f>
        <v/>
      </c>
      <c r="Y524" s="26">
        <f ca="1">NETWORKDAYS(P524,$Y$1)</f>
        <v>170</v>
      </c>
      <c r="Z524" s="34">
        <v>1</v>
      </c>
      <c r="AA524" s="25" t="str">
        <f t="shared" ca="1" si="43"/>
        <v>A VENCER</v>
      </c>
      <c r="AB524" s="25" t="str">
        <f t="shared" si="41"/>
        <v>C-14</v>
      </c>
      <c r="AC524" s="2" t="str">
        <f t="shared" si="45"/>
        <v xml:space="preserve"> RINALDO </v>
      </c>
      <c r="AD524" s="26">
        <f t="shared" si="42"/>
        <v>5</v>
      </c>
      <c r="AE524" s="26">
        <f t="shared" ca="1" si="44"/>
        <v>237.02734803241037</v>
      </c>
      <c r="AF524" s="35"/>
    </row>
    <row r="525" spans="1:32" hidden="1">
      <c r="A525" s="209">
        <v>8736689</v>
      </c>
      <c r="B525" s="209" t="s">
        <v>62</v>
      </c>
      <c r="C525" s="210" t="s">
        <v>1083</v>
      </c>
      <c r="D525" s="214"/>
      <c r="E525" s="214">
        <v>600000203000</v>
      </c>
      <c r="F525" s="209" t="s">
        <v>454</v>
      </c>
      <c r="G525" s="209" t="s">
        <v>53</v>
      </c>
      <c r="H525" s="209" t="s">
        <v>1084</v>
      </c>
      <c r="I525" s="209" t="s">
        <v>1085</v>
      </c>
      <c r="J525" s="209" t="s">
        <v>90</v>
      </c>
      <c r="K525" s="210" t="s">
        <v>457</v>
      </c>
      <c r="L525" s="210"/>
      <c r="M525" s="209" t="s">
        <v>58</v>
      </c>
      <c r="N525" s="209">
        <v>0</v>
      </c>
      <c r="O525" s="209" t="s">
        <v>36</v>
      </c>
      <c r="P525" s="213">
        <v>44750.694236111114</v>
      </c>
      <c r="Q525" s="209"/>
      <c r="R525" s="209">
        <v>1</v>
      </c>
      <c r="S525" s="209"/>
      <c r="T525" s="209" t="s">
        <v>157</v>
      </c>
      <c r="U525" s="213">
        <v>44784.75</v>
      </c>
      <c r="V525" s="209" t="s">
        <v>41</v>
      </c>
      <c r="W525" s="209" t="s">
        <v>49</v>
      </c>
      <c r="X525" s="13" t="str">
        <f>IF(RIGHT(H525,2)&lt;&gt;"00",H525,"")</f>
        <v/>
      </c>
      <c r="Y525" s="26">
        <f ca="1">NETWORKDAYS(P525,$Y$1)</f>
        <v>169</v>
      </c>
      <c r="Z525" s="34">
        <v>1</v>
      </c>
      <c r="AA525" s="25" t="str">
        <f t="shared" ca="1" si="43"/>
        <v>A VENCER</v>
      </c>
      <c r="AB525" s="25" t="str">
        <f t="shared" si="41"/>
        <v>C-14</v>
      </c>
      <c r="AC525" s="2" t="str">
        <f t="shared" si="45"/>
        <v xml:space="preserve"> RINALDO </v>
      </c>
      <c r="AD525" s="26">
        <f t="shared" si="42"/>
        <v>5</v>
      </c>
      <c r="AE525" s="26">
        <f t="shared" ca="1" si="44"/>
        <v>235.98203553240455</v>
      </c>
      <c r="AF525" s="35"/>
    </row>
    <row r="526" spans="1:32" hidden="1">
      <c r="A526" s="209">
        <v>8741273</v>
      </c>
      <c r="B526" s="209" t="s">
        <v>62</v>
      </c>
      <c r="C526" s="210" t="s">
        <v>1086</v>
      </c>
      <c r="D526" s="214"/>
      <c r="E526" s="214">
        <v>3924000202021</v>
      </c>
      <c r="F526" s="209" t="s">
        <v>103</v>
      </c>
      <c r="G526" s="209" t="s">
        <v>53</v>
      </c>
      <c r="H526" s="209" t="s">
        <v>153</v>
      </c>
      <c r="I526" s="209" t="s">
        <v>154</v>
      </c>
      <c r="J526" s="209" t="s">
        <v>56</v>
      </c>
      <c r="K526" s="210" t="s">
        <v>104</v>
      </c>
      <c r="L526" s="210"/>
      <c r="M526" s="209" t="s">
        <v>58</v>
      </c>
      <c r="N526" s="209">
        <v>0</v>
      </c>
      <c r="O526" s="209" t="s">
        <v>36</v>
      </c>
      <c r="P526" s="213">
        <v>44753.486932870372</v>
      </c>
      <c r="Q526" s="209"/>
      <c r="R526" s="209" t="s">
        <v>38</v>
      </c>
      <c r="S526" s="209"/>
      <c r="T526" s="209" t="s">
        <v>74</v>
      </c>
      <c r="U526" s="213">
        <v>44792.75</v>
      </c>
      <c r="V526" s="209" t="s">
        <v>41</v>
      </c>
      <c r="W526" s="209" t="s">
        <v>49</v>
      </c>
      <c r="X526" s="13" t="str">
        <f>IF(RIGHT(H526,2)&lt;&gt;"00",H526,"")</f>
        <v/>
      </c>
      <c r="Y526" s="26">
        <f ca="1">NETWORKDAYS(P526,$Y$1)</f>
        <v>168</v>
      </c>
      <c r="Z526" s="34">
        <v>1</v>
      </c>
      <c r="AA526" s="25" t="str">
        <f t="shared" ca="1" si="43"/>
        <v>A VENCER</v>
      </c>
      <c r="AB526" s="25" t="str">
        <f t="shared" si="41"/>
        <v>Dosa</v>
      </c>
      <c r="AC526" s="2" t="str">
        <f t="shared" si="45"/>
        <v xml:space="preserve"> CRISTINA </v>
      </c>
      <c r="AD526" s="26">
        <f t="shared" si="42"/>
        <v>5</v>
      </c>
      <c r="AE526" s="26">
        <f t="shared" ca="1" si="44"/>
        <v>233.18933877314703</v>
      </c>
      <c r="AF526" s="35"/>
    </row>
    <row r="527" spans="1:32" hidden="1">
      <c r="A527" s="209">
        <v>8741199</v>
      </c>
      <c r="B527" s="209" t="s">
        <v>1087</v>
      </c>
      <c r="C527" s="210" t="s">
        <v>1088</v>
      </c>
      <c r="D527" s="214"/>
      <c r="E527" s="214">
        <v>244000206021</v>
      </c>
      <c r="F527" s="209" t="s">
        <v>103</v>
      </c>
      <c r="G527" s="209" t="s">
        <v>53</v>
      </c>
      <c r="H527" s="209" t="s">
        <v>313</v>
      </c>
      <c r="I527" s="209" t="s">
        <v>314</v>
      </c>
      <c r="J527" s="209" t="s">
        <v>56</v>
      </c>
      <c r="K527" s="210" t="s">
        <v>104</v>
      </c>
      <c r="L527" s="210"/>
      <c r="M527" s="209" t="s">
        <v>58</v>
      </c>
      <c r="N527" s="209">
        <v>0</v>
      </c>
      <c r="O527" s="209" t="s">
        <v>105</v>
      </c>
      <c r="P527" s="213">
        <v>44753.480740740742</v>
      </c>
      <c r="Q527" s="209"/>
      <c r="R527" s="209" t="s">
        <v>38</v>
      </c>
      <c r="S527" s="209"/>
      <c r="T527" s="209" t="s">
        <v>74</v>
      </c>
      <c r="U527" s="213">
        <v>44792.75</v>
      </c>
      <c r="V527" s="209" t="s">
        <v>41</v>
      </c>
      <c r="W527" s="209" t="s">
        <v>49</v>
      </c>
      <c r="X527" s="13" t="str">
        <f>IF(RIGHT(H527,2)&lt;&gt;"00",H527,"")</f>
        <v/>
      </c>
      <c r="Y527" s="26">
        <f ca="1">NETWORKDAYS(P527,$Y$1)</f>
        <v>168</v>
      </c>
      <c r="Z527" s="34">
        <v>1</v>
      </c>
      <c r="AA527" s="25" t="str">
        <f t="shared" ca="1" si="43"/>
        <v>A VENCER</v>
      </c>
      <c r="AB527" s="25" t="str">
        <f t="shared" si="41"/>
        <v>Dosa</v>
      </c>
      <c r="AC527" s="2" t="str">
        <f t="shared" si="45"/>
        <v xml:space="preserve"> CRISTINA </v>
      </c>
      <c r="AD527" s="26">
        <f t="shared" si="42"/>
        <v>5</v>
      </c>
      <c r="AE527" s="26">
        <f t="shared" ca="1" si="44"/>
        <v>233.19553090277623</v>
      </c>
      <c r="AF527" s="35"/>
    </row>
    <row r="528" spans="1:32" hidden="1">
      <c r="A528" s="209">
        <v>8756684</v>
      </c>
      <c r="B528" s="209" t="s">
        <v>62</v>
      </c>
      <c r="C528" s="210" t="s">
        <v>1089</v>
      </c>
      <c r="D528" s="214"/>
      <c r="E528" s="214">
        <v>3258000203000</v>
      </c>
      <c r="F528" s="209" t="s">
        <v>454</v>
      </c>
      <c r="G528" s="209" t="s">
        <v>53</v>
      </c>
      <c r="H528" s="209" t="s">
        <v>321</v>
      </c>
      <c r="I528" s="209" t="s">
        <v>322</v>
      </c>
      <c r="J528" s="209" t="s">
        <v>46</v>
      </c>
      <c r="K528" s="210" t="s">
        <v>457</v>
      </c>
      <c r="L528" s="210"/>
      <c r="M528" s="209" t="s">
        <v>58</v>
      </c>
      <c r="N528" s="209">
        <v>0</v>
      </c>
      <c r="O528" s="209" t="s">
        <v>36</v>
      </c>
      <c r="P528" s="213">
        <v>44760.389502314814</v>
      </c>
      <c r="Q528" s="209"/>
      <c r="R528" s="209">
        <v>1</v>
      </c>
      <c r="S528" s="209"/>
      <c r="T528" s="209" t="s">
        <v>157</v>
      </c>
      <c r="U528" s="213">
        <v>44833.75</v>
      </c>
      <c r="V528" s="209" t="s">
        <v>41</v>
      </c>
      <c r="W528" s="209" t="s">
        <v>49</v>
      </c>
      <c r="X528" s="13" t="str">
        <f>IF(RIGHT(H528,2)&lt;&gt;"00",H528,"")</f>
        <v/>
      </c>
      <c r="Y528" s="26">
        <f ca="1">NETWORKDAYS(P528,$Y$1)</f>
        <v>163</v>
      </c>
      <c r="Z528" s="34">
        <v>1</v>
      </c>
      <c r="AA528" s="25" t="str">
        <f t="shared" ca="1" si="43"/>
        <v>A VENCER</v>
      </c>
      <c r="AB528" s="25" t="str">
        <f t="shared" si="41"/>
        <v>C-14</v>
      </c>
      <c r="AC528" s="2" t="str">
        <f t="shared" si="45"/>
        <v xml:space="preserve"> CLEITON </v>
      </c>
      <c r="AD528" s="26">
        <f t="shared" si="42"/>
        <v>5</v>
      </c>
      <c r="AE528" s="26">
        <f t="shared" ca="1" si="44"/>
        <v>226.28676932870439</v>
      </c>
      <c r="AF528" s="35"/>
    </row>
    <row r="529" spans="1:32" hidden="1">
      <c r="A529" s="209">
        <v>8773434</v>
      </c>
      <c r="B529" s="209" t="s">
        <v>62</v>
      </c>
      <c r="C529" s="210" t="s">
        <v>1092</v>
      </c>
      <c r="D529" s="214"/>
      <c r="E529" s="214">
        <v>1049000203010</v>
      </c>
      <c r="F529" s="209" t="s">
        <v>152</v>
      </c>
      <c r="G529" s="209" t="s">
        <v>53</v>
      </c>
      <c r="H529" s="209" t="s">
        <v>169</v>
      </c>
      <c r="I529" s="209" t="s">
        <v>170</v>
      </c>
      <c r="J529" s="209" t="s">
        <v>164</v>
      </c>
      <c r="K529" s="210" t="s">
        <v>155</v>
      </c>
      <c r="L529" s="210"/>
      <c r="M529" s="209" t="s">
        <v>35</v>
      </c>
      <c r="N529" s="209">
        <v>42318949</v>
      </c>
      <c r="O529" s="209" t="s">
        <v>36</v>
      </c>
      <c r="P529" s="213">
        <v>44767.715925925928</v>
      </c>
      <c r="Q529" s="209"/>
      <c r="R529" s="209">
        <v>1</v>
      </c>
      <c r="S529" s="209"/>
      <c r="T529" s="209" t="s">
        <v>157</v>
      </c>
      <c r="U529" s="213">
        <v>44799.75</v>
      </c>
      <c r="V529" s="209" t="s">
        <v>41</v>
      </c>
      <c r="W529" s="209" t="s">
        <v>49</v>
      </c>
      <c r="X529" s="13" t="str">
        <f>IF(RIGHT(H529,2)&lt;&gt;"00",H529,"")</f>
        <v/>
      </c>
      <c r="Y529" s="26">
        <f ca="1">NETWORKDAYS(P529,$Y$1)</f>
        <v>158</v>
      </c>
      <c r="Z529" s="34">
        <v>1</v>
      </c>
      <c r="AA529" s="25" t="str">
        <f t="shared" ca="1" si="43"/>
        <v>A VENCER</v>
      </c>
      <c r="AB529" s="25" t="str">
        <f t="shared" si="41"/>
        <v>TAAe+</v>
      </c>
      <c r="AC529" s="2" t="str">
        <f t="shared" si="45"/>
        <v xml:space="preserve"> ROSEMERE </v>
      </c>
      <c r="AD529" s="26">
        <f t="shared" si="42"/>
        <v>8</v>
      </c>
      <c r="AE529" s="26">
        <f t="shared" ca="1" si="44"/>
        <v>218.96034571759083</v>
      </c>
      <c r="AF529" s="35"/>
    </row>
    <row r="530" spans="1:32" hidden="1">
      <c r="A530" s="209">
        <v>8792760</v>
      </c>
      <c r="B530" s="209" t="s">
        <v>62</v>
      </c>
      <c r="C530" s="210" t="s">
        <v>1095</v>
      </c>
      <c r="D530" s="214"/>
      <c r="E530" s="214">
        <v>605000203000</v>
      </c>
      <c r="F530" s="209" t="s">
        <v>454</v>
      </c>
      <c r="G530" s="209" t="s">
        <v>53</v>
      </c>
      <c r="H530" s="209" t="s">
        <v>420</v>
      </c>
      <c r="I530" s="209" t="s">
        <v>421</v>
      </c>
      <c r="J530" s="209" t="s">
        <v>90</v>
      </c>
      <c r="K530" s="210" t="s">
        <v>457</v>
      </c>
      <c r="L530" s="210"/>
      <c r="M530" s="209" t="s">
        <v>58</v>
      </c>
      <c r="N530" s="209">
        <v>0</v>
      </c>
      <c r="O530" s="209" t="s">
        <v>105</v>
      </c>
      <c r="P530" s="213">
        <v>44774.393900462965</v>
      </c>
      <c r="Q530" s="209"/>
      <c r="R530" s="209">
        <v>1</v>
      </c>
      <c r="S530" s="209"/>
      <c r="T530" s="209" t="s">
        <v>157</v>
      </c>
      <c r="U530" s="213">
        <v>44806.75</v>
      </c>
      <c r="V530" s="209" t="s">
        <v>41</v>
      </c>
      <c r="W530" s="209" t="s">
        <v>49</v>
      </c>
      <c r="X530" s="13" t="str">
        <f>IF(RIGHT(H530,2)&lt;&gt;"00",H530,"")</f>
        <v/>
      </c>
      <c r="Y530" s="26">
        <f ca="1">NETWORKDAYS(P530,$Y$1)</f>
        <v>153</v>
      </c>
      <c r="Z530" s="34">
        <v>1</v>
      </c>
      <c r="AA530" s="25" t="str">
        <f t="shared" ca="1" si="43"/>
        <v>A VENCER</v>
      </c>
      <c r="AB530" s="25" t="str">
        <f t="shared" si="41"/>
        <v>C-14</v>
      </c>
      <c r="AC530" s="2" t="str">
        <f t="shared" si="45"/>
        <v xml:space="preserve"> RINALDO </v>
      </c>
      <c r="AD530" s="26">
        <f t="shared" si="42"/>
        <v>5</v>
      </c>
      <c r="AE530" s="26">
        <f t="shared" ca="1" si="44"/>
        <v>212.28237118055404</v>
      </c>
      <c r="AF530" s="35"/>
    </row>
    <row r="531" spans="1:32" hidden="1">
      <c r="A531" s="209">
        <v>8791670</v>
      </c>
      <c r="B531" s="209" t="s">
        <v>101</v>
      </c>
      <c r="C531" s="210" t="s">
        <v>643</v>
      </c>
      <c r="D531" s="214">
        <v>220127985</v>
      </c>
      <c r="E531" s="214">
        <v>2069001400030</v>
      </c>
      <c r="F531" s="209" t="s">
        <v>647</v>
      </c>
      <c r="G531" s="209" t="s">
        <v>53</v>
      </c>
      <c r="H531" s="209" t="s">
        <v>557</v>
      </c>
      <c r="I531" s="209" t="s">
        <v>558</v>
      </c>
      <c r="J531" s="209" t="s">
        <v>90</v>
      </c>
      <c r="K531" s="210" t="s">
        <v>650</v>
      </c>
      <c r="L531" s="210"/>
      <c r="M531" s="209" t="s">
        <v>58</v>
      </c>
      <c r="N531" s="209">
        <v>0</v>
      </c>
      <c r="O531" s="209" t="s">
        <v>105</v>
      </c>
      <c r="P531" s="213">
        <v>44774.303842592592</v>
      </c>
      <c r="Q531" s="209"/>
      <c r="R531" s="209">
        <v>4</v>
      </c>
      <c r="S531" s="209"/>
      <c r="T531" s="209" t="s">
        <v>646</v>
      </c>
      <c r="U531" s="213">
        <v>44775.303842592592</v>
      </c>
      <c r="V531" s="209" t="s">
        <v>41</v>
      </c>
      <c r="W531" s="209" t="s">
        <v>49</v>
      </c>
      <c r="X531" s="13" t="str">
        <f>IF(RIGHT(H531,2)&lt;&gt;"00",H531,"")</f>
        <v/>
      </c>
      <c r="Y531" s="26">
        <f ca="1">NETWORKDAYS(P531,$Y$1)</f>
        <v>153</v>
      </c>
      <c r="Z531" s="34">
        <v>1</v>
      </c>
      <c r="AA531" s="25" t="str">
        <f t="shared" ca="1" si="43"/>
        <v>A VENCER</v>
      </c>
      <c r="AB531" s="25" t="str">
        <f t="shared" si="41"/>
        <v>C-14</v>
      </c>
      <c r="AC531" s="2" t="str">
        <f t="shared" si="45"/>
        <v xml:space="preserve"> RINALDO </v>
      </c>
      <c r="AD531" s="26">
        <f t="shared" si="42"/>
        <v>15</v>
      </c>
      <c r="AE531" s="26">
        <f t="shared" ca="1" si="44"/>
        <v>212.37242905092717</v>
      </c>
      <c r="AF531" s="35"/>
    </row>
    <row r="532" spans="1:32" hidden="1">
      <c r="A532" s="209">
        <v>8790817</v>
      </c>
      <c r="B532" s="209" t="s">
        <v>101</v>
      </c>
      <c r="C532" s="210" t="s">
        <v>643</v>
      </c>
      <c r="D532" s="214">
        <v>220129376</v>
      </c>
      <c r="E532" s="214">
        <v>1059001400040</v>
      </c>
      <c r="F532" s="209" t="s">
        <v>644</v>
      </c>
      <c r="G532" s="209" t="s">
        <v>53</v>
      </c>
      <c r="H532" s="209" t="s">
        <v>88</v>
      </c>
      <c r="I532" s="209" t="s">
        <v>89</v>
      </c>
      <c r="J532" s="209" t="s">
        <v>90</v>
      </c>
      <c r="K532" s="210" t="s">
        <v>645</v>
      </c>
      <c r="L532" s="210"/>
      <c r="M532" s="209" t="s">
        <v>58</v>
      </c>
      <c r="N532" s="209">
        <v>0</v>
      </c>
      <c r="O532" s="209" t="s">
        <v>105</v>
      </c>
      <c r="P532" s="213">
        <v>44774.250196759262</v>
      </c>
      <c r="Q532" s="209"/>
      <c r="R532" s="209">
        <v>2</v>
      </c>
      <c r="S532" s="209"/>
      <c r="T532" s="209" t="s">
        <v>646</v>
      </c>
      <c r="U532" s="213">
        <v>44775.250208333331</v>
      </c>
      <c r="V532" s="209" t="s">
        <v>41</v>
      </c>
      <c r="W532" s="209" t="s">
        <v>49</v>
      </c>
      <c r="X532" s="13" t="str">
        <f>IF(RIGHT(H532,2)&lt;&gt;"00",H532,"")</f>
        <v/>
      </c>
      <c r="Y532" s="26">
        <f ca="1">NETWORKDAYS(P532,$Y$1)</f>
        <v>153</v>
      </c>
      <c r="Z532" s="34">
        <v>1</v>
      </c>
      <c r="AA532" s="25" t="str">
        <f t="shared" ca="1" si="43"/>
        <v>A VENCER</v>
      </c>
      <c r="AB532" s="25" t="str">
        <f t="shared" si="41"/>
        <v>SL-On</v>
      </c>
      <c r="AC532" s="2" t="str">
        <f t="shared" si="45"/>
        <v xml:space="preserve"> RINALDO </v>
      </c>
      <c r="AD532" s="26">
        <f t="shared" si="42"/>
        <v>1</v>
      </c>
      <c r="AE532" s="26">
        <f t="shared" ca="1" si="44"/>
        <v>212.4260748842571</v>
      </c>
      <c r="AF532" s="35"/>
    </row>
    <row r="533" spans="1:32" hidden="1">
      <c r="A533" s="209">
        <v>8790458</v>
      </c>
      <c r="B533" s="209" t="s">
        <v>101</v>
      </c>
      <c r="C533" s="210" t="s">
        <v>643</v>
      </c>
      <c r="D533" s="214">
        <v>220127616</v>
      </c>
      <c r="E533" s="214">
        <v>1059001400030</v>
      </c>
      <c r="F533" s="209" t="s">
        <v>647</v>
      </c>
      <c r="G533" s="209" t="s">
        <v>53</v>
      </c>
      <c r="H533" s="209" t="s">
        <v>88</v>
      </c>
      <c r="I533" s="209" t="s">
        <v>89</v>
      </c>
      <c r="J533" s="209" t="s">
        <v>90</v>
      </c>
      <c r="K533" s="210" t="s">
        <v>650</v>
      </c>
      <c r="L533" s="210"/>
      <c r="M533" s="209" t="s">
        <v>58</v>
      </c>
      <c r="N533" s="209">
        <v>0</v>
      </c>
      <c r="O533" s="209" t="s">
        <v>105</v>
      </c>
      <c r="P533" s="213">
        <v>44774.226747685185</v>
      </c>
      <c r="Q533" s="209"/>
      <c r="R533" s="209">
        <v>4</v>
      </c>
      <c r="S533" s="209"/>
      <c r="T533" s="209" t="s">
        <v>646</v>
      </c>
      <c r="U533" s="213">
        <v>44775.226747685185</v>
      </c>
      <c r="V533" s="209" t="s">
        <v>41</v>
      </c>
      <c r="W533" s="209" t="s">
        <v>49</v>
      </c>
      <c r="X533" s="13" t="str">
        <f>IF(RIGHT(H533,2)&lt;&gt;"00",H533,"")</f>
        <v/>
      </c>
      <c r="Y533" s="26">
        <f ca="1">NETWORKDAYS(P533,$Y$1)</f>
        <v>153</v>
      </c>
      <c r="Z533" s="34">
        <v>1</v>
      </c>
      <c r="AA533" s="25" t="str">
        <f t="shared" ca="1" si="43"/>
        <v>A VENCER</v>
      </c>
      <c r="AB533" s="25" t="str">
        <f t="shared" si="41"/>
        <v>C-14</v>
      </c>
      <c r="AC533" s="2" t="str">
        <f t="shared" si="45"/>
        <v xml:space="preserve"> RINALDO </v>
      </c>
      <c r="AD533" s="26">
        <f t="shared" si="42"/>
        <v>15</v>
      </c>
      <c r="AE533" s="26">
        <f t="shared" ca="1" si="44"/>
        <v>212.44952395833388</v>
      </c>
      <c r="AF533" s="35"/>
    </row>
    <row r="534" spans="1:32" hidden="1">
      <c r="A534" s="209">
        <v>8789842</v>
      </c>
      <c r="B534" s="209" t="s">
        <v>101</v>
      </c>
      <c r="C534" s="210" t="s">
        <v>643</v>
      </c>
      <c r="D534" s="214">
        <v>220125834</v>
      </c>
      <c r="E534" s="214">
        <v>2069001400010</v>
      </c>
      <c r="F534" s="209" t="s">
        <v>936</v>
      </c>
      <c r="G534" s="209" t="s">
        <v>53</v>
      </c>
      <c r="H534" s="209" t="s">
        <v>557</v>
      </c>
      <c r="I534" s="209" t="s">
        <v>558</v>
      </c>
      <c r="J534" s="209" t="s">
        <v>90</v>
      </c>
      <c r="K534" s="210" t="s">
        <v>937</v>
      </c>
      <c r="L534" s="210"/>
      <c r="M534" s="209" t="s">
        <v>58</v>
      </c>
      <c r="N534" s="209">
        <v>0</v>
      </c>
      <c r="O534" s="209" t="s">
        <v>105</v>
      </c>
      <c r="P534" s="213">
        <v>44774.195625</v>
      </c>
      <c r="Q534" s="209"/>
      <c r="R534" s="209">
        <v>3</v>
      </c>
      <c r="S534" s="209"/>
      <c r="T534" s="209" t="s">
        <v>646</v>
      </c>
      <c r="U534" s="213">
        <v>44775.195625</v>
      </c>
      <c r="V534" s="209" t="s">
        <v>41</v>
      </c>
      <c r="W534" s="209" t="s">
        <v>49</v>
      </c>
      <c r="X534" s="13" t="str">
        <f>IF(RIGHT(H534,2)&lt;&gt;"00",H534,"")</f>
        <v/>
      </c>
      <c r="Y534" s="26">
        <f ca="1">NETWORKDAYS(P534,$Y$1)</f>
        <v>153</v>
      </c>
      <c r="Z534" s="34">
        <v>1</v>
      </c>
      <c r="AA534" s="25" t="str">
        <f t="shared" ca="1" si="43"/>
        <v>A VENCER</v>
      </c>
      <c r="AB534" s="25" t="str">
        <f t="shared" si="41"/>
        <v>C-14</v>
      </c>
      <c r="AC534" s="2" t="str">
        <f t="shared" si="45"/>
        <v xml:space="preserve"> RINALDO </v>
      </c>
      <c r="AD534" s="26">
        <f t="shared" si="42"/>
        <v>5</v>
      </c>
      <c r="AE534" s="26">
        <f t="shared" ca="1" si="44"/>
        <v>212.48064664351841</v>
      </c>
      <c r="AF534" s="35"/>
    </row>
    <row r="535" spans="1:32" hidden="1">
      <c r="A535" s="209">
        <v>8789783</v>
      </c>
      <c r="B535" s="209" t="s">
        <v>101</v>
      </c>
      <c r="C535" s="210" t="s">
        <v>643</v>
      </c>
      <c r="D535" s="214">
        <v>220125480</v>
      </c>
      <c r="E535" s="214">
        <v>1059001400010</v>
      </c>
      <c r="F535" s="209" t="s">
        <v>936</v>
      </c>
      <c r="G535" s="209" t="s">
        <v>53</v>
      </c>
      <c r="H535" s="209" t="s">
        <v>88</v>
      </c>
      <c r="I535" s="209" t="s">
        <v>89</v>
      </c>
      <c r="J535" s="209" t="s">
        <v>90</v>
      </c>
      <c r="K535" s="210" t="s">
        <v>937</v>
      </c>
      <c r="L535" s="210"/>
      <c r="M535" s="209" t="s">
        <v>58</v>
      </c>
      <c r="N535" s="209">
        <v>0</v>
      </c>
      <c r="O535" s="209" t="s">
        <v>105</v>
      </c>
      <c r="P535" s="213">
        <v>44774.190578703703</v>
      </c>
      <c r="Q535" s="209"/>
      <c r="R535" s="209">
        <v>3</v>
      </c>
      <c r="S535" s="209"/>
      <c r="T535" s="209" t="s">
        <v>646</v>
      </c>
      <c r="U535" s="213">
        <v>44775.190578703703</v>
      </c>
      <c r="V535" s="209" t="s">
        <v>41</v>
      </c>
      <c r="W535" s="209" t="s">
        <v>49</v>
      </c>
      <c r="X535" s="13" t="str">
        <f>IF(RIGHT(H535,2)&lt;&gt;"00",H535,"")</f>
        <v/>
      </c>
      <c r="Y535" s="26">
        <f ca="1">NETWORKDAYS(P535,$Y$1)</f>
        <v>153</v>
      </c>
      <c r="Z535" s="34">
        <v>1</v>
      </c>
      <c r="AA535" s="25" t="str">
        <f t="shared" ca="1" si="43"/>
        <v>A VENCER</v>
      </c>
      <c r="AB535" s="25" t="str">
        <f t="shared" si="41"/>
        <v>C-14</v>
      </c>
      <c r="AC535" s="2" t="str">
        <f t="shared" si="45"/>
        <v xml:space="preserve"> RINALDO </v>
      </c>
      <c r="AD535" s="26">
        <f t="shared" si="42"/>
        <v>5</v>
      </c>
      <c r="AE535" s="26">
        <f t="shared" ca="1" si="44"/>
        <v>212.48569293981564</v>
      </c>
      <c r="AF535" s="35"/>
    </row>
    <row r="536" spans="1:32" hidden="1">
      <c r="A536" s="209">
        <v>8789228</v>
      </c>
      <c r="B536" s="209" t="s">
        <v>101</v>
      </c>
      <c r="C536" s="210" t="s">
        <v>643</v>
      </c>
      <c r="D536" s="214">
        <v>220129740</v>
      </c>
      <c r="E536" s="214">
        <v>2107001400040</v>
      </c>
      <c r="F536" s="209" t="s">
        <v>644</v>
      </c>
      <c r="G536" s="209" t="s">
        <v>53</v>
      </c>
      <c r="H536" s="209" t="s">
        <v>262</v>
      </c>
      <c r="I536" s="209" t="s">
        <v>263</v>
      </c>
      <c r="J536" s="209" t="s">
        <v>164</v>
      </c>
      <c r="K536" s="210" t="s">
        <v>645</v>
      </c>
      <c r="L536" s="210"/>
      <c r="M536" s="209" t="s">
        <v>58</v>
      </c>
      <c r="N536" s="209">
        <v>0</v>
      </c>
      <c r="O536" s="209" t="s">
        <v>36</v>
      </c>
      <c r="P536" s="213">
        <v>44774.150763888887</v>
      </c>
      <c r="Q536" s="209"/>
      <c r="R536" s="209">
        <v>3</v>
      </c>
      <c r="S536" s="209"/>
      <c r="T536" s="209" t="s">
        <v>646</v>
      </c>
      <c r="U536" s="213">
        <v>44775.150775462964</v>
      </c>
      <c r="V536" s="209" t="s">
        <v>41</v>
      </c>
      <c r="W536" s="209" t="s">
        <v>49</v>
      </c>
      <c r="X536" s="13" t="str">
        <f>IF(RIGHT(H536,2)&lt;&gt;"00",H536,"")</f>
        <v/>
      </c>
      <c r="Y536" s="26">
        <f ca="1">NETWORKDAYS(P536,$Y$1)</f>
        <v>153</v>
      </c>
      <c r="Z536" s="34">
        <v>1</v>
      </c>
      <c r="AA536" s="25" t="str">
        <f t="shared" ca="1" si="43"/>
        <v>A VENCER</v>
      </c>
      <c r="AB536" s="25" t="str">
        <f t="shared" si="41"/>
        <v>SL-On</v>
      </c>
      <c r="AC536" s="2" t="str">
        <f t="shared" si="45"/>
        <v xml:space="preserve"> ROSEMERE </v>
      </c>
      <c r="AD536" s="26">
        <f t="shared" si="42"/>
        <v>1</v>
      </c>
      <c r="AE536" s="26">
        <f t="shared" ca="1" si="44"/>
        <v>212.52550775463169</v>
      </c>
      <c r="AF536" s="35"/>
    </row>
    <row r="537" spans="1:32" hidden="1">
      <c r="A537" s="209">
        <v>8789210</v>
      </c>
      <c r="B537" s="209" t="s">
        <v>101</v>
      </c>
      <c r="C537" s="210" t="s">
        <v>643</v>
      </c>
      <c r="D537" s="214">
        <v>220129727</v>
      </c>
      <c r="E537" s="214">
        <v>2069001400040</v>
      </c>
      <c r="F537" s="209" t="s">
        <v>644</v>
      </c>
      <c r="G537" s="209" t="s">
        <v>53</v>
      </c>
      <c r="H537" s="209" t="s">
        <v>557</v>
      </c>
      <c r="I537" s="209" t="s">
        <v>558</v>
      </c>
      <c r="J537" s="209" t="s">
        <v>90</v>
      </c>
      <c r="K537" s="210" t="s">
        <v>645</v>
      </c>
      <c r="L537" s="210"/>
      <c r="M537" s="209" t="s">
        <v>58</v>
      </c>
      <c r="N537" s="209">
        <v>0</v>
      </c>
      <c r="O537" s="209" t="s">
        <v>105</v>
      </c>
      <c r="P537" s="213">
        <v>44774.150150462963</v>
      </c>
      <c r="Q537" s="209"/>
      <c r="R537" s="209">
        <v>2</v>
      </c>
      <c r="S537" s="209"/>
      <c r="T537" s="209" t="s">
        <v>646</v>
      </c>
      <c r="U537" s="213">
        <v>44775.150150462963</v>
      </c>
      <c r="V537" s="209" t="s">
        <v>41</v>
      </c>
      <c r="W537" s="209" t="s">
        <v>49</v>
      </c>
      <c r="X537" s="13" t="str">
        <f>IF(RIGHT(H537,2)&lt;&gt;"00",H537,"")</f>
        <v/>
      </c>
      <c r="Y537" s="26">
        <f ca="1">NETWORKDAYS(P537,$Y$1)</f>
        <v>153</v>
      </c>
      <c r="Z537" s="34">
        <v>1</v>
      </c>
      <c r="AA537" s="25" t="str">
        <f t="shared" ca="1" si="43"/>
        <v>A VENCER</v>
      </c>
      <c r="AB537" s="25" t="str">
        <f t="shared" si="41"/>
        <v>SL-On</v>
      </c>
      <c r="AC537" s="2" t="str">
        <f t="shared" si="45"/>
        <v xml:space="preserve"> RINALDO </v>
      </c>
      <c r="AD537" s="26">
        <f t="shared" si="42"/>
        <v>1</v>
      </c>
      <c r="AE537" s="26">
        <f t="shared" ca="1" si="44"/>
        <v>212.52612118055549</v>
      </c>
      <c r="AF537" s="35"/>
    </row>
    <row r="538" spans="1:32" hidden="1">
      <c r="A538" s="209">
        <v>8788278</v>
      </c>
      <c r="B538" s="209" t="s">
        <v>101</v>
      </c>
      <c r="C538" s="210" t="s">
        <v>643</v>
      </c>
      <c r="D538" s="214">
        <v>220127916</v>
      </c>
      <c r="E538" s="214">
        <v>1764001400030</v>
      </c>
      <c r="F538" s="209" t="s">
        <v>647</v>
      </c>
      <c r="G538" s="209" t="s">
        <v>53</v>
      </c>
      <c r="H538" s="209" t="s">
        <v>722</v>
      </c>
      <c r="I538" s="209" t="s">
        <v>723</v>
      </c>
      <c r="J538" s="209" t="s">
        <v>90</v>
      </c>
      <c r="K538" s="210" t="s">
        <v>650</v>
      </c>
      <c r="L538" s="210"/>
      <c r="M538" s="209" t="s">
        <v>58</v>
      </c>
      <c r="N538" s="209">
        <v>0</v>
      </c>
      <c r="O538" s="209" t="s">
        <v>105</v>
      </c>
      <c r="P538" s="213">
        <v>44774.09547453704</v>
      </c>
      <c r="Q538" s="209"/>
      <c r="R538" s="209">
        <v>4</v>
      </c>
      <c r="S538" s="209"/>
      <c r="T538" s="209" t="s">
        <v>646</v>
      </c>
      <c r="U538" s="213">
        <v>44775.09547453704</v>
      </c>
      <c r="V538" s="209" t="s">
        <v>41</v>
      </c>
      <c r="W538" s="209" t="s">
        <v>49</v>
      </c>
      <c r="X538" s="13" t="str">
        <f>IF(RIGHT(H538,2)&lt;&gt;"00",H538,"")</f>
        <v/>
      </c>
      <c r="Y538" s="26">
        <f ca="1">NETWORKDAYS(P538,$Y$1)</f>
        <v>153</v>
      </c>
      <c r="Z538" s="34">
        <v>1</v>
      </c>
      <c r="AA538" s="25" t="str">
        <f t="shared" ca="1" si="43"/>
        <v>A VENCER</v>
      </c>
      <c r="AB538" s="25" t="str">
        <f t="shared" si="41"/>
        <v>C-14</v>
      </c>
      <c r="AC538" s="2" t="str">
        <f t="shared" si="45"/>
        <v xml:space="preserve"> RINALDO </v>
      </c>
      <c r="AD538" s="26">
        <f t="shared" si="42"/>
        <v>15</v>
      </c>
      <c r="AE538" s="26">
        <f t="shared" ca="1" si="44"/>
        <v>212.58079710647871</v>
      </c>
      <c r="AF538" s="35"/>
    </row>
    <row r="539" spans="1:32" hidden="1">
      <c r="A539" s="209">
        <v>8802595</v>
      </c>
      <c r="B539" s="209" t="s">
        <v>62</v>
      </c>
      <c r="C539" s="210" t="s">
        <v>1114</v>
      </c>
      <c r="D539" s="214"/>
      <c r="E539" s="214">
        <v>3918000206001</v>
      </c>
      <c r="F539" s="209" t="s">
        <v>29</v>
      </c>
      <c r="G539" s="209" t="s">
        <v>53</v>
      </c>
      <c r="H539" s="209" t="s">
        <v>858</v>
      </c>
      <c r="I539" s="209" t="s">
        <v>859</v>
      </c>
      <c r="J539" s="209" t="s">
        <v>33</v>
      </c>
      <c r="K539" s="210" t="s">
        <v>34</v>
      </c>
      <c r="L539" s="210"/>
      <c r="M539" s="209" t="s">
        <v>35</v>
      </c>
      <c r="N539" s="209">
        <v>42318949</v>
      </c>
      <c r="O539" s="209" t="s">
        <v>36</v>
      </c>
      <c r="P539" s="213">
        <v>44777.52611111111</v>
      </c>
      <c r="Q539" s="209"/>
      <c r="R539" s="209" t="s">
        <v>38</v>
      </c>
      <c r="S539" s="209"/>
      <c r="T539" s="209" t="s">
        <v>74</v>
      </c>
      <c r="U539" s="213">
        <v>44819.75</v>
      </c>
      <c r="V539" s="209" t="s">
        <v>41</v>
      </c>
      <c r="W539" s="209" t="s">
        <v>49</v>
      </c>
      <c r="X539" s="13" t="str">
        <f>IF(RIGHT(H539,2)&lt;&gt;"00",H539,"")</f>
        <v/>
      </c>
      <c r="Y539" s="26">
        <f ca="1">NETWORKDAYS(P539,$Y$1)</f>
        <v>150</v>
      </c>
      <c r="Z539" s="34">
        <v>1</v>
      </c>
      <c r="AA539" s="25" t="str">
        <f t="shared" ca="1" si="43"/>
        <v>A VENCER</v>
      </c>
      <c r="AB539" s="25" t="str">
        <f t="shared" si="41"/>
        <v>Dosa</v>
      </c>
      <c r="AC539" s="2" t="str">
        <f t="shared" si="45"/>
        <v xml:space="preserve"> ROSEMERE </v>
      </c>
      <c r="AD539" s="26">
        <f t="shared" si="42"/>
        <v>5</v>
      </c>
      <c r="AE539" s="26">
        <f t="shared" ca="1" si="44"/>
        <v>209.15016053240834</v>
      </c>
      <c r="AF539" s="35"/>
    </row>
    <row r="540" spans="1:32" hidden="1">
      <c r="A540" s="209">
        <v>8802516</v>
      </c>
      <c r="B540" s="209" t="s">
        <v>62</v>
      </c>
      <c r="C540" s="210" t="s">
        <v>1114</v>
      </c>
      <c r="D540" s="214"/>
      <c r="E540" s="214">
        <v>2737000206001</v>
      </c>
      <c r="F540" s="209" t="s">
        <v>29</v>
      </c>
      <c r="G540" s="209" t="s">
        <v>53</v>
      </c>
      <c r="H540" s="209" t="s">
        <v>311</v>
      </c>
      <c r="I540" s="209" t="s">
        <v>312</v>
      </c>
      <c r="J540" s="209" t="s">
        <v>90</v>
      </c>
      <c r="K540" s="210" t="s">
        <v>34</v>
      </c>
      <c r="L540" s="210"/>
      <c r="M540" s="209" t="s">
        <v>35</v>
      </c>
      <c r="N540" s="209">
        <v>42318949</v>
      </c>
      <c r="O540" s="209" t="s">
        <v>105</v>
      </c>
      <c r="P540" s="213">
        <v>44777.526006944441</v>
      </c>
      <c r="Q540" s="209"/>
      <c r="R540" s="209" t="s">
        <v>38</v>
      </c>
      <c r="S540" s="209"/>
      <c r="T540" s="209" t="s">
        <v>74</v>
      </c>
      <c r="U540" s="213">
        <v>44819.75</v>
      </c>
      <c r="V540" s="209" t="s">
        <v>41</v>
      </c>
      <c r="W540" s="209" t="s">
        <v>49</v>
      </c>
      <c r="X540" s="13" t="str">
        <f>IF(RIGHT(H540,2)&lt;&gt;"00",H540,"")</f>
        <v/>
      </c>
      <c r="Y540" s="26">
        <f ca="1">NETWORKDAYS(P540,$Y$1)</f>
        <v>150</v>
      </c>
      <c r="Z540" s="34">
        <v>1</v>
      </c>
      <c r="AA540" s="25" t="str">
        <f t="shared" ca="1" si="43"/>
        <v>A VENCER</v>
      </c>
      <c r="AB540" s="25" t="str">
        <f t="shared" si="41"/>
        <v>Dosa</v>
      </c>
      <c r="AC540" s="2" t="str">
        <f t="shared" si="45"/>
        <v xml:space="preserve"> RINALDO </v>
      </c>
      <c r="AD540" s="26">
        <f t="shared" si="42"/>
        <v>5</v>
      </c>
      <c r="AE540" s="26">
        <f t="shared" ca="1" si="44"/>
        <v>209.15026469907752</v>
      </c>
      <c r="AF540" s="35"/>
    </row>
    <row r="541" spans="1:32" hidden="1">
      <c r="A541" s="209">
        <v>8802513</v>
      </c>
      <c r="B541" s="209" t="s">
        <v>62</v>
      </c>
      <c r="C541" s="210" t="s">
        <v>1114</v>
      </c>
      <c r="D541" s="214"/>
      <c r="E541" s="214">
        <v>2693000206001</v>
      </c>
      <c r="F541" s="209" t="s">
        <v>29</v>
      </c>
      <c r="G541" s="209" t="s">
        <v>53</v>
      </c>
      <c r="H541" s="209" t="s">
        <v>253</v>
      </c>
      <c r="I541" s="209" t="s">
        <v>254</v>
      </c>
      <c r="J541" s="209" t="s">
        <v>56</v>
      </c>
      <c r="K541" s="210" t="s">
        <v>34</v>
      </c>
      <c r="L541" s="210"/>
      <c r="M541" s="209" t="s">
        <v>35</v>
      </c>
      <c r="N541" s="209">
        <v>42318949</v>
      </c>
      <c r="O541" s="209" t="s">
        <v>105</v>
      </c>
      <c r="P541" s="213">
        <v>44777.526006944441</v>
      </c>
      <c r="Q541" s="209"/>
      <c r="R541" s="209" t="s">
        <v>38</v>
      </c>
      <c r="S541" s="209"/>
      <c r="T541" s="209" t="s">
        <v>74</v>
      </c>
      <c r="U541" s="213">
        <v>44819.75</v>
      </c>
      <c r="V541" s="209" t="s">
        <v>41</v>
      </c>
      <c r="W541" s="209" t="s">
        <v>49</v>
      </c>
      <c r="X541" s="13" t="str">
        <f>IF(RIGHT(H541,2)&lt;&gt;"00",H541,"")</f>
        <v/>
      </c>
      <c r="Y541" s="26">
        <f ca="1">NETWORKDAYS(P541,$Y$1)</f>
        <v>150</v>
      </c>
      <c r="Z541" s="34">
        <v>1</v>
      </c>
      <c r="AA541" s="25" t="str">
        <f t="shared" ca="1" si="43"/>
        <v>A VENCER</v>
      </c>
      <c r="AB541" s="25" t="str">
        <f t="shared" ref="AB541:AB604" si="46">IF(F541="GRPE-000001","C-14",IF(F541="GRPE-000002","C-14",IF(F541="GRPE-000003","C-14",IF(F541="GRPE-000004","SL-On",IF(F541="GRPE-000038","C-14",IF(F541="GRPE-900022","Dosa",IF(F541="GRPE-000029","Dosa",IF(F541="ATOS-000222","Dose","TAAe+"))))))))</f>
        <v>Dosa</v>
      </c>
      <c r="AC541" s="2" t="str">
        <f t="shared" si="45"/>
        <v xml:space="preserve"> CRISTINA </v>
      </c>
      <c r="AD541" s="26">
        <f t="shared" ref="AD541:AD604" si="47">IF(F541="GRPE-000001",5,IF(F541="GRPE-000002",5,IF(F541="GRPE-000003",15,IF(F541="GRPE-000004",1,IF(F541="GRPE-000038",5,IF(F541="GRPE-900022",5,IF(F541="GRPE-000029",5,IF(F541="ATOS-000222",5,8))))))))</f>
        <v>5</v>
      </c>
      <c r="AE541" s="26">
        <f t="shared" ca="1" si="44"/>
        <v>209.15026469907752</v>
      </c>
      <c r="AF541" s="35"/>
    </row>
    <row r="542" spans="1:32" hidden="1">
      <c r="A542" s="209">
        <v>8802505</v>
      </c>
      <c r="B542" s="209" t="s">
        <v>62</v>
      </c>
      <c r="C542" s="210" t="s">
        <v>1114</v>
      </c>
      <c r="D542" s="214"/>
      <c r="E542" s="214">
        <v>2590000206001</v>
      </c>
      <c r="F542" s="209" t="s">
        <v>29</v>
      </c>
      <c r="G542" s="209" t="s">
        <v>53</v>
      </c>
      <c r="H542" s="209" t="s">
        <v>394</v>
      </c>
      <c r="I542" s="209" t="s">
        <v>395</v>
      </c>
      <c r="J542" s="209" t="s">
        <v>148</v>
      </c>
      <c r="K542" s="210" t="s">
        <v>34</v>
      </c>
      <c r="L542" s="210"/>
      <c r="M542" s="209" t="s">
        <v>35</v>
      </c>
      <c r="N542" s="209">
        <v>42318949</v>
      </c>
      <c r="O542" s="209" t="s">
        <v>105</v>
      </c>
      <c r="P542" s="213">
        <v>44777.525995370372</v>
      </c>
      <c r="Q542" s="209"/>
      <c r="R542" s="209" t="s">
        <v>38</v>
      </c>
      <c r="S542" s="209"/>
      <c r="T542" s="209" t="s">
        <v>74</v>
      </c>
      <c r="U542" s="213">
        <v>44819.75</v>
      </c>
      <c r="V542" s="209" t="s">
        <v>41</v>
      </c>
      <c r="W542" s="209" t="s">
        <v>49</v>
      </c>
      <c r="X542" s="13" t="str">
        <f>IF(RIGHT(H542,2)&lt;&gt;"00",H542,"")</f>
        <v/>
      </c>
      <c r="Y542" s="26">
        <f ca="1">NETWORKDAYS(P542,$Y$1)</f>
        <v>150</v>
      </c>
      <c r="Z542" s="34">
        <v>1</v>
      </c>
      <c r="AA542" s="25" t="str">
        <f t="shared" ca="1" si="43"/>
        <v>A VENCER</v>
      </c>
      <c r="AB542" s="25" t="str">
        <f t="shared" si="46"/>
        <v>Dosa</v>
      </c>
      <c r="AC542" s="2" t="str">
        <f t="shared" si="45"/>
        <v xml:space="preserve"> RINALDO </v>
      </c>
      <c r="AD542" s="26">
        <f t="shared" si="47"/>
        <v>5</v>
      </c>
      <c r="AE542" s="26">
        <f t="shared" ca="1" si="44"/>
        <v>209.15027627314703</v>
      </c>
      <c r="AF542" s="35"/>
    </row>
    <row r="543" spans="1:32" hidden="1">
      <c r="A543" s="209">
        <v>8802477</v>
      </c>
      <c r="B543" s="209" t="s">
        <v>62</v>
      </c>
      <c r="C543" s="210" t="s">
        <v>1114</v>
      </c>
      <c r="D543" s="214"/>
      <c r="E543" s="214">
        <v>2229000206001</v>
      </c>
      <c r="F543" s="209" t="s">
        <v>29</v>
      </c>
      <c r="G543" s="209" t="s">
        <v>53</v>
      </c>
      <c r="H543" s="209" t="s">
        <v>339</v>
      </c>
      <c r="I543" s="209" t="s">
        <v>340</v>
      </c>
      <c r="J543" s="209" t="s">
        <v>211</v>
      </c>
      <c r="K543" s="210" t="s">
        <v>34</v>
      </c>
      <c r="L543" s="210"/>
      <c r="M543" s="209" t="s">
        <v>35</v>
      </c>
      <c r="N543" s="209">
        <v>42318949</v>
      </c>
      <c r="O543" s="209" t="s">
        <v>105</v>
      </c>
      <c r="P543" s="213">
        <v>44777.525960648149</v>
      </c>
      <c r="Q543" s="209"/>
      <c r="R543" s="209" t="s">
        <v>38</v>
      </c>
      <c r="S543" s="209"/>
      <c r="T543" s="209" t="s">
        <v>74</v>
      </c>
      <c r="U543" s="213">
        <v>44819.75</v>
      </c>
      <c r="V543" s="209" t="s">
        <v>41</v>
      </c>
      <c r="W543" s="209" t="s">
        <v>49</v>
      </c>
      <c r="X543" s="13" t="str">
        <f>IF(RIGHT(H543,2)&lt;&gt;"00",H543,"")</f>
        <v/>
      </c>
      <c r="Y543" s="26">
        <f ca="1">NETWORKDAYS(P543,$Y$1)</f>
        <v>150</v>
      </c>
      <c r="Z543" s="34">
        <v>1</v>
      </c>
      <c r="AA543" s="25" t="str">
        <f t="shared" ca="1" si="43"/>
        <v>A VENCER</v>
      </c>
      <c r="AB543" s="25" t="str">
        <f t="shared" si="46"/>
        <v>Dosa</v>
      </c>
      <c r="AC543" s="2" t="str">
        <f t="shared" si="45"/>
        <v xml:space="preserve"> RINALDO </v>
      </c>
      <c r="AD543" s="26">
        <f t="shared" si="47"/>
        <v>5</v>
      </c>
      <c r="AE543" s="26">
        <f t="shared" ca="1" si="44"/>
        <v>209.15031099537009</v>
      </c>
      <c r="AF543" s="35"/>
    </row>
    <row r="544" spans="1:32" hidden="1">
      <c r="A544" s="209">
        <v>8802445</v>
      </c>
      <c r="B544" s="209" t="s">
        <v>62</v>
      </c>
      <c r="C544" s="210" t="s">
        <v>1114</v>
      </c>
      <c r="D544" s="214"/>
      <c r="E544" s="214">
        <v>1761000206001</v>
      </c>
      <c r="F544" s="209" t="s">
        <v>29</v>
      </c>
      <c r="G544" s="209" t="s">
        <v>53</v>
      </c>
      <c r="H544" s="209" t="s">
        <v>375</v>
      </c>
      <c r="I544" s="209" t="s">
        <v>376</v>
      </c>
      <c r="J544" s="209" t="s">
        <v>56</v>
      </c>
      <c r="K544" s="210" t="s">
        <v>34</v>
      </c>
      <c r="L544" s="210"/>
      <c r="M544" s="209" t="s">
        <v>35</v>
      </c>
      <c r="N544" s="209">
        <v>42318949</v>
      </c>
      <c r="O544" s="209" t="s">
        <v>105</v>
      </c>
      <c r="P544" s="213">
        <v>44777.525914351849</v>
      </c>
      <c r="Q544" s="209"/>
      <c r="R544" s="209" t="s">
        <v>38</v>
      </c>
      <c r="S544" s="209"/>
      <c r="T544" s="209" t="s">
        <v>74</v>
      </c>
      <c r="U544" s="213">
        <v>44819.75</v>
      </c>
      <c r="V544" s="209" t="s">
        <v>41</v>
      </c>
      <c r="W544" s="209" t="s">
        <v>49</v>
      </c>
      <c r="X544" s="13" t="str">
        <f>IF(RIGHT(H544,2)&lt;&gt;"00",H544,"")</f>
        <v/>
      </c>
      <c r="Y544" s="26">
        <f ca="1">NETWORKDAYS(P544,$Y$1)</f>
        <v>150</v>
      </c>
      <c r="Z544" s="34">
        <v>1</v>
      </c>
      <c r="AA544" s="25" t="str">
        <f t="shared" ca="1" si="43"/>
        <v>A VENCER</v>
      </c>
      <c r="AB544" s="25" t="str">
        <f t="shared" si="46"/>
        <v>Dosa</v>
      </c>
      <c r="AC544" s="2" t="str">
        <f t="shared" si="45"/>
        <v xml:space="preserve"> CRISTINA </v>
      </c>
      <c r="AD544" s="26">
        <f t="shared" si="47"/>
        <v>5</v>
      </c>
      <c r="AE544" s="26">
        <f t="shared" ca="1" si="44"/>
        <v>209.15035729166993</v>
      </c>
      <c r="AF544" s="35"/>
    </row>
    <row r="545" spans="1:32" hidden="1">
      <c r="A545" s="209">
        <v>8802382</v>
      </c>
      <c r="B545" s="209" t="s">
        <v>62</v>
      </c>
      <c r="C545" s="210" t="s">
        <v>1114</v>
      </c>
      <c r="D545" s="214"/>
      <c r="E545" s="214">
        <v>1028000206001</v>
      </c>
      <c r="F545" s="209" t="s">
        <v>29</v>
      </c>
      <c r="G545" s="209" t="s">
        <v>53</v>
      </c>
      <c r="H545" s="209" t="s">
        <v>1079</v>
      </c>
      <c r="I545" s="209" t="s">
        <v>1080</v>
      </c>
      <c r="J545" s="209" t="s">
        <v>85</v>
      </c>
      <c r="K545" s="210" t="s">
        <v>34</v>
      </c>
      <c r="L545" s="210"/>
      <c r="M545" s="209" t="s">
        <v>35</v>
      </c>
      <c r="N545" s="209">
        <v>42318949</v>
      </c>
      <c r="O545" s="209" t="s">
        <v>105</v>
      </c>
      <c r="P545" s="213">
        <v>44777.525810185187</v>
      </c>
      <c r="Q545" s="209"/>
      <c r="R545" s="209" t="s">
        <v>38</v>
      </c>
      <c r="S545" s="209"/>
      <c r="T545" s="209" t="s">
        <v>74</v>
      </c>
      <c r="U545" s="213">
        <v>44819.75</v>
      </c>
      <c r="V545" s="209" t="s">
        <v>41</v>
      </c>
      <c r="W545" s="209" t="s">
        <v>49</v>
      </c>
      <c r="X545" s="13" t="str">
        <f>IF(RIGHT(H545,2)&lt;&gt;"00",H545,"")</f>
        <v/>
      </c>
      <c r="Y545" s="26">
        <f ca="1">NETWORKDAYS(P545,$Y$1)</f>
        <v>150</v>
      </c>
      <c r="Z545" s="34">
        <v>1</v>
      </c>
      <c r="AA545" s="25" t="str">
        <f t="shared" ca="1" si="43"/>
        <v>A VENCER</v>
      </c>
      <c r="AB545" s="25" t="str">
        <f t="shared" si="46"/>
        <v>Dosa</v>
      </c>
      <c r="AC545" s="2" t="str">
        <f t="shared" si="45"/>
        <v xml:space="preserve"> RINALDO </v>
      </c>
      <c r="AD545" s="26">
        <f t="shared" si="47"/>
        <v>5</v>
      </c>
      <c r="AE545" s="26">
        <f t="shared" ca="1" si="44"/>
        <v>209.15046145833185</v>
      </c>
      <c r="AF545" s="35"/>
    </row>
    <row r="546" spans="1:32" hidden="1">
      <c r="A546" s="209">
        <v>8802376</v>
      </c>
      <c r="B546" s="209" t="s">
        <v>62</v>
      </c>
      <c r="C546" s="210" t="s">
        <v>1114</v>
      </c>
      <c r="D546" s="214"/>
      <c r="E546" s="214">
        <v>981000206001</v>
      </c>
      <c r="F546" s="209" t="s">
        <v>29</v>
      </c>
      <c r="G546" s="209" t="s">
        <v>53</v>
      </c>
      <c r="H546" s="209" t="s">
        <v>410</v>
      </c>
      <c r="I546" s="209" t="s">
        <v>411</v>
      </c>
      <c r="J546" s="209" t="s">
        <v>85</v>
      </c>
      <c r="K546" s="210" t="s">
        <v>34</v>
      </c>
      <c r="L546" s="210"/>
      <c r="M546" s="209" t="s">
        <v>35</v>
      </c>
      <c r="N546" s="209">
        <v>42318949</v>
      </c>
      <c r="O546" s="209" t="s">
        <v>36</v>
      </c>
      <c r="P546" s="213">
        <v>44777.525810185187</v>
      </c>
      <c r="Q546" s="209"/>
      <c r="R546" s="209" t="s">
        <v>38</v>
      </c>
      <c r="S546" s="209"/>
      <c r="T546" s="209" t="s">
        <v>74</v>
      </c>
      <c r="U546" s="213">
        <v>44819.75</v>
      </c>
      <c r="V546" s="209" t="s">
        <v>41</v>
      </c>
      <c r="W546" s="209" t="s">
        <v>49</v>
      </c>
      <c r="X546" s="13" t="str">
        <f>IF(RIGHT(H546,2)&lt;&gt;"00",H546,"")</f>
        <v/>
      </c>
      <c r="Y546" s="26">
        <f ca="1">NETWORKDAYS(P546,$Y$1)</f>
        <v>150</v>
      </c>
      <c r="Z546" s="34">
        <v>1</v>
      </c>
      <c r="AA546" s="25" t="str">
        <f t="shared" ca="1" si="43"/>
        <v>A VENCER</v>
      </c>
      <c r="AB546" s="25" t="str">
        <f t="shared" si="46"/>
        <v>Dosa</v>
      </c>
      <c r="AC546" s="2" t="str">
        <f t="shared" si="45"/>
        <v xml:space="preserve"> RINALDO </v>
      </c>
      <c r="AD546" s="26">
        <f t="shared" si="47"/>
        <v>5</v>
      </c>
      <c r="AE546" s="26">
        <f t="shared" ca="1" si="44"/>
        <v>209.15046145833185</v>
      </c>
      <c r="AF546" s="35"/>
    </row>
    <row r="547" spans="1:32" hidden="1">
      <c r="A547" s="209">
        <v>8802339</v>
      </c>
      <c r="B547" s="209" t="s">
        <v>62</v>
      </c>
      <c r="C547" s="210" t="s">
        <v>1114</v>
      </c>
      <c r="D547" s="214"/>
      <c r="E547" s="214">
        <v>608000206001</v>
      </c>
      <c r="F547" s="209" t="s">
        <v>29</v>
      </c>
      <c r="G547" s="209" t="s">
        <v>53</v>
      </c>
      <c r="H547" s="209" t="s">
        <v>438</v>
      </c>
      <c r="I547" s="209" t="s">
        <v>439</v>
      </c>
      <c r="J547" s="209" t="s">
        <v>148</v>
      </c>
      <c r="K547" s="210" t="s">
        <v>34</v>
      </c>
      <c r="L547" s="210"/>
      <c r="M547" s="209" t="s">
        <v>35</v>
      </c>
      <c r="N547" s="209">
        <v>42318949</v>
      </c>
      <c r="O547" s="209" t="s">
        <v>105</v>
      </c>
      <c r="P547" s="213">
        <v>44777.525763888887</v>
      </c>
      <c r="Q547" s="209"/>
      <c r="R547" s="209" t="s">
        <v>38</v>
      </c>
      <c r="S547" s="209"/>
      <c r="T547" s="209" t="s">
        <v>74</v>
      </c>
      <c r="U547" s="213">
        <v>44819.75</v>
      </c>
      <c r="V547" s="209" t="s">
        <v>41</v>
      </c>
      <c r="W547" s="209" t="s">
        <v>49</v>
      </c>
      <c r="X547" s="13" t="str">
        <f>IF(RIGHT(H547,2)&lt;&gt;"00",H547,"")</f>
        <v/>
      </c>
      <c r="Y547" s="26">
        <f ca="1">NETWORKDAYS(P547,$Y$1)</f>
        <v>150</v>
      </c>
      <c r="Z547" s="34">
        <v>1</v>
      </c>
      <c r="AA547" s="25" t="str">
        <f t="shared" ca="1" si="43"/>
        <v>A VENCER</v>
      </c>
      <c r="AB547" s="25" t="str">
        <f t="shared" si="46"/>
        <v>Dosa</v>
      </c>
      <c r="AC547" s="2" t="str">
        <f t="shared" si="45"/>
        <v xml:space="preserve"> RINALDO </v>
      </c>
      <c r="AD547" s="26">
        <f t="shared" si="47"/>
        <v>5</v>
      </c>
      <c r="AE547" s="26">
        <f t="shared" ca="1" si="44"/>
        <v>209.15050775463169</v>
      </c>
      <c r="AF547" s="35"/>
    </row>
    <row r="548" spans="1:32" hidden="1">
      <c r="A548" s="209">
        <v>8802198</v>
      </c>
      <c r="B548" s="209" t="s">
        <v>62</v>
      </c>
      <c r="C548" s="210" t="s">
        <v>1114</v>
      </c>
      <c r="D548" s="214"/>
      <c r="E548" s="214">
        <v>721000206001</v>
      </c>
      <c r="F548" s="209" t="s">
        <v>29</v>
      </c>
      <c r="G548" s="209" t="s">
        <v>53</v>
      </c>
      <c r="H548" s="209" t="s">
        <v>422</v>
      </c>
      <c r="I548" s="209" t="s">
        <v>423</v>
      </c>
      <c r="J548" s="209" t="s">
        <v>79</v>
      </c>
      <c r="K548" s="210" t="s">
        <v>34</v>
      </c>
      <c r="L548" s="210"/>
      <c r="M548" s="209" t="s">
        <v>35</v>
      </c>
      <c r="N548" s="209">
        <v>42318949</v>
      </c>
      <c r="O548" s="209" t="s">
        <v>36</v>
      </c>
      <c r="P548" s="213">
        <v>44777.525543981479</v>
      </c>
      <c r="Q548" s="209"/>
      <c r="R548" s="209" t="s">
        <v>38</v>
      </c>
      <c r="S548" s="209"/>
      <c r="T548" s="209" t="s">
        <v>74</v>
      </c>
      <c r="U548" s="213">
        <v>44819.75</v>
      </c>
      <c r="V548" s="209" t="s">
        <v>41</v>
      </c>
      <c r="W548" s="209" t="s">
        <v>49</v>
      </c>
      <c r="X548" s="13" t="str">
        <f>IF(RIGHT(H548,2)&lt;&gt;"00",H548,"")</f>
        <v/>
      </c>
      <c r="Y548" s="26">
        <f ca="1">NETWORKDAYS(P548,$Y$1)</f>
        <v>150</v>
      </c>
      <c r="Z548" s="34">
        <v>1</v>
      </c>
      <c r="AA548" s="25" t="str">
        <f t="shared" ca="1" si="43"/>
        <v>A VENCER</v>
      </c>
      <c r="AB548" s="25" t="str">
        <f t="shared" si="46"/>
        <v>Dosa</v>
      </c>
      <c r="AC548" s="2" t="str">
        <f t="shared" si="45"/>
        <v xml:space="preserve"> ROSEMERE </v>
      </c>
      <c r="AD548" s="26">
        <f t="shared" si="47"/>
        <v>5</v>
      </c>
      <c r="AE548" s="26">
        <f t="shared" ca="1" si="44"/>
        <v>209.15072766203957</v>
      </c>
      <c r="AF548" s="35"/>
    </row>
    <row r="549" spans="1:32" hidden="1">
      <c r="A549" s="209">
        <v>8802177</v>
      </c>
      <c r="B549" s="209" t="s">
        <v>62</v>
      </c>
      <c r="C549" s="210" t="s">
        <v>1114</v>
      </c>
      <c r="D549" s="214"/>
      <c r="E549" s="214">
        <v>1754000206001</v>
      </c>
      <c r="F549" s="209" t="s">
        <v>29</v>
      </c>
      <c r="G549" s="209" t="s">
        <v>53</v>
      </c>
      <c r="H549" s="209" t="s">
        <v>146</v>
      </c>
      <c r="I549" s="209" t="s">
        <v>147</v>
      </c>
      <c r="J549" s="209" t="s">
        <v>148</v>
      </c>
      <c r="K549" s="210" t="s">
        <v>34</v>
      </c>
      <c r="L549" s="210"/>
      <c r="M549" s="209" t="s">
        <v>35</v>
      </c>
      <c r="N549" s="209">
        <v>42318949</v>
      </c>
      <c r="O549" s="209" t="s">
        <v>105</v>
      </c>
      <c r="P549" s="213">
        <v>44777.525509259256</v>
      </c>
      <c r="Q549" s="209"/>
      <c r="R549" s="209" t="s">
        <v>38</v>
      </c>
      <c r="S549" s="209"/>
      <c r="T549" s="209" t="s">
        <v>74</v>
      </c>
      <c r="U549" s="213">
        <v>44819.75</v>
      </c>
      <c r="V549" s="209" t="s">
        <v>41</v>
      </c>
      <c r="W549" s="209" t="s">
        <v>49</v>
      </c>
      <c r="X549" s="13" t="str">
        <f>IF(RIGHT(H549,2)&lt;&gt;"00",H549,"")</f>
        <v/>
      </c>
      <c r="Y549" s="26">
        <f ca="1">NETWORKDAYS(P549,$Y$1)</f>
        <v>150</v>
      </c>
      <c r="Z549" s="34">
        <v>1</v>
      </c>
      <c r="AA549" s="25" t="str">
        <f t="shared" ca="1" si="43"/>
        <v>A VENCER</v>
      </c>
      <c r="AB549" s="25" t="str">
        <f t="shared" si="46"/>
        <v>Dosa</v>
      </c>
      <c r="AC549" s="2" t="str">
        <f t="shared" si="45"/>
        <v xml:space="preserve"> RINALDO </v>
      </c>
      <c r="AD549" s="26">
        <f t="shared" si="47"/>
        <v>5</v>
      </c>
      <c r="AE549" s="26">
        <f t="shared" ca="1" si="44"/>
        <v>209.15076238426263</v>
      </c>
      <c r="AF549" s="35"/>
    </row>
    <row r="550" spans="1:32" hidden="1">
      <c r="A550" s="209">
        <v>8818302</v>
      </c>
      <c r="B550" s="209" t="s">
        <v>101</v>
      </c>
      <c r="C550" s="210" t="s">
        <v>1125</v>
      </c>
      <c r="D550" s="214"/>
      <c r="E550" s="214">
        <v>4637000206001</v>
      </c>
      <c r="F550" s="209" t="s">
        <v>29</v>
      </c>
      <c r="G550" s="209" t="s">
        <v>53</v>
      </c>
      <c r="H550" s="209" t="s">
        <v>848</v>
      </c>
      <c r="I550" s="209" t="s">
        <v>849</v>
      </c>
      <c r="J550" s="209" t="s">
        <v>79</v>
      </c>
      <c r="K550" s="210" t="s">
        <v>34</v>
      </c>
      <c r="L550" s="210"/>
      <c r="M550" s="209" t="s">
        <v>35</v>
      </c>
      <c r="N550" s="209">
        <v>42318949</v>
      </c>
      <c r="O550" s="209" t="s">
        <v>105</v>
      </c>
      <c r="P550" s="213">
        <v>44781.75980324074</v>
      </c>
      <c r="Q550" s="209"/>
      <c r="R550" s="209" t="s">
        <v>38</v>
      </c>
      <c r="S550" s="209"/>
      <c r="T550" s="209" t="s">
        <v>74</v>
      </c>
      <c r="U550" s="213">
        <v>44782.75</v>
      </c>
      <c r="V550" s="209" t="s">
        <v>41</v>
      </c>
      <c r="W550" s="209" t="s">
        <v>49</v>
      </c>
      <c r="X550" s="13" t="str">
        <f>IF(RIGHT(H550,2)&lt;&gt;"00",H550,"")</f>
        <v/>
      </c>
      <c r="Y550" s="26">
        <f ca="1">NETWORKDAYS(P550,$Y$1)</f>
        <v>148</v>
      </c>
      <c r="Z550" s="34">
        <v>1</v>
      </c>
      <c r="AA550" s="25" t="str">
        <f t="shared" ca="1" si="43"/>
        <v>A VENCER</v>
      </c>
      <c r="AB550" s="25" t="str">
        <f t="shared" si="46"/>
        <v>Dosa</v>
      </c>
      <c r="AC550" s="2" t="str">
        <f t="shared" si="45"/>
        <v xml:space="preserve"> ROSEMERE </v>
      </c>
      <c r="AD550" s="26">
        <f t="shared" si="47"/>
        <v>5</v>
      </c>
      <c r="AE550" s="26">
        <f t="shared" ca="1" si="44"/>
        <v>204.91646840277826</v>
      </c>
      <c r="AF550" s="35"/>
    </row>
    <row r="551" spans="1:32" hidden="1">
      <c r="A551" s="209">
        <v>8816066</v>
      </c>
      <c r="B551" s="209" t="s">
        <v>101</v>
      </c>
      <c r="C551" s="210" t="s">
        <v>1125</v>
      </c>
      <c r="D551" s="214"/>
      <c r="E551" s="214">
        <v>1732000206001</v>
      </c>
      <c r="F551" s="209" t="s">
        <v>29</v>
      </c>
      <c r="G551" s="209" t="s">
        <v>53</v>
      </c>
      <c r="H551" s="209" t="s">
        <v>177</v>
      </c>
      <c r="I551" s="209" t="s">
        <v>178</v>
      </c>
      <c r="J551" s="209" t="s">
        <v>164</v>
      </c>
      <c r="K551" s="210" t="s">
        <v>34</v>
      </c>
      <c r="L551" s="210"/>
      <c r="M551" s="209" t="s">
        <v>35</v>
      </c>
      <c r="N551" s="209">
        <v>42318949</v>
      </c>
      <c r="O551" s="209" t="s">
        <v>105</v>
      </c>
      <c r="P551" s="213">
        <v>44781.756666666668</v>
      </c>
      <c r="Q551" s="209"/>
      <c r="R551" s="209" t="s">
        <v>38</v>
      </c>
      <c r="S551" s="209"/>
      <c r="T551" s="209" t="s">
        <v>74</v>
      </c>
      <c r="U551" s="213">
        <v>44782.75</v>
      </c>
      <c r="V551" s="209" t="s">
        <v>41</v>
      </c>
      <c r="W551" s="209" t="s">
        <v>49</v>
      </c>
      <c r="X551" s="13" t="str">
        <f>IF(RIGHT(H551,2)&lt;&gt;"00",H551,"")</f>
        <v/>
      </c>
      <c r="Y551" s="26">
        <f ca="1">NETWORKDAYS(P551,$Y$1)</f>
        <v>148</v>
      </c>
      <c r="Z551" s="34">
        <v>1</v>
      </c>
      <c r="AA551" s="25" t="str">
        <f t="shared" ca="1" si="43"/>
        <v>A VENCER</v>
      </c>
      <c r="AB551" s="25" t="str">
        <f t="shared" si="46"/>
        <v>Dosa</v>
      </c>
      <c r="AC551" s="2" t="str">
        <f t="shared" si="45"/>
        <v xml:space="preserve"> ROSEMERE </v>
      </c>
      <c r="AD551" s="26">
        <f t="shared" si="47"/>
        <v>5</v>
      </c>
      <c r="AE551" s="26">
        <f t="shared" ca="1" si="44"/>
        <v>204.91960497685068</v>
      </c>
      <c r="AF551" s="35"/>
    </row>
    <row r="552" spans="1:32" hidden="1">
      <c r="A552" s="209">
        <v>8815493</v>
      </c>
      <c r="B552" s="209" t="s">
        <v>101</v>
      </c>
      <c r="C552" s="210" t="s">
        <v>1125</v>
      </c>
      <c r="D552" s="214"/>
      <c r="E552" s="214">
        <v>1120000206001</v>
      </c>
      <c r="F552" s="209" t="s">
        <v>29</v>
      </c>
      <c r="G552" s="209" t="s">
        <v>53</v>
      </c>
      <c r="H552" s="209" t="s">
        <v>181</v>
      </c>
      <c r="I552" s="209" t="s">
        <v>182</v>
      </c>
      <c r="J552" s="209" t="s">
        <v>164</v>
      </c>
      <c r="K552" s="210" t="s">
        <v>34</v>
      </c>
      <c r="L552" s="210"/>
      <c r="M552" s="209" t="s">
        <v>35</v>
      </c>
      <c r="N552" s="209">
        <v>42318949</v>
      </c>
      <c r="O552" s="209" t="s">
        <v>36</v>
      </c>
      <c r="P552" s="213">
        <v>44781.755798611113</v>
      </c>
      <c r="Q552" s="209"/>
      <c r="R552" s="209" t="s">
        <v>38</v>
      </c>
      <c r="S552" s="209"/>
      <c r="T552" s="209" t="s">
        <v>74</v>
      </c>
      <c r="U552" s="213">
        <v>44782.75</v>
      </c>
      <c r="V552" s="209" t="s">
        <v>41</v>
      </c>
      <c r="W552" s="209" t="s">
        <v>49</v>
      </c>
      <c r="X552" s="13" t="str">
        <f>IF(RIGHT(H552,2)&lt;&gt;"00",H552,"")</f>
        <v/>
      </c>
      <c r="Y552" s="26">
        <f ca="1">NETWORKDAYS(P552,$Y$1)</f>
        <v>148</v>
      </c>
      <c r="Z552" s="34">
        <v>1</v>
      </c>
      <c r="AA552" s="25" t="str">
        <f t="shared" ca="1" si="43"/>
        <v>A VENCER</v>
      </c>
      <c r="AB552" s="25" t="str">
        <f t="shared" si="46"/>
        <v>Dosa</v>
      </c>
      <c r="AC552" s="2" t="str">
        <f t="shared" si="45"/>
        <v xml:space="preserve"> ROSEMERE </v>
      </c>
      <c r="AD552" s="26">
        <f t="shared" si="47"/>
        <v>5</v>
      </c>
      <c r="AE552" s="26">
        <f t="shared" ca="1" si="44"/>
        <v>204.92047303240543</v>
      </c>
      <c r="AF552" s="35"/>
    </row>
    <row r="553" spans="1:32" hidden="1">
      <c r="A553" s="209">
        <v>8815426</v>
      </c>
      <c r="B553" s="209" t="s">
        <v>101</v>
      </c>
      <c r="C553" s="210" t="s">
        <v>1125</v>
      </c>
      <c r="D553" s="214"/>
      <c r="E553" s="214">
        <v>1049000206001</v>
      </c>
      <c r="F553" s="209" t="s">
        <v>29</v>
      </c>
      <c r="G553" s="209" t="s">
        <v>53</v>
      </c>
      <c r="H553" s="209" t="s">
        <v>169</v>
      </c>
      <c r="I553" s="209" t="s">
        <v>170</v>
      </c>
      <c r="J553" s="209" t="s">
        <v>164</v>
      </c>
      <c r="K553" s="210" t="s">
        <v>34</v>
      </c>
      <c r="L553" s="210"/>
      <c r="M553" s="209" t="s">
        <v>35</v>
      </c>
      <c r="N553" s="209">
        <v>42318949</v>
      </c>
      <c r="O553" s="209" t="s">
        <v>105</v>
      </c>
      <c r="P553" s="213">
        <v>44781.755694444444</v>
      </c>
      <c r="Q553" s="209"/>
      <c r="R553" s="209" t="s">
        <v>38</v>
      </c>
      <c r="S553" s="209"/>
      <c r="T553" s="209" t="s">
        <v>74</v>
      </c>
      <c r="U553" s="213">
        <v>44782.75</v>
      </c>
      <c r="V553" s="209" t="s">
        <v>41</v>
      </c>
      <c r="W553" s="209" t="s">
        <v>49</v>
      </c>
      <c r="X553" s="13" t="str">
        <f>IF(RIGHT(H553,2)&lt;&gt;"00",H553,"")</f>
        <v/>
      </c>
      <c r="Y553" s="26">
        <f ca="1">NETWORKDAYS(P553,$Y$1)</f>
        <v>148</v>
      </c>
      <c r="Z553" s="34">
        <v>1</v>
      </c>
      <c r="AA553" s="25" t="str">
        <f t="shared" ca="1" si="43"/>
        <v>A VENCER</v>
      </c>
      <c r="AB553" s="25" t="str">
        <f t="shared" si="46"/>
        <v>Dosa</v>
      </c>
      <c r="AC553" s="2" t="str">
        <f t="shared" si="45"/>
        <v xml:space="preserve"> ROSEMERE </v>
      </c>
      <c r="AD553" s="26">
        <f t="shared" si="47"/>
        <v>5</v>
      </c>
      <c r="AE553" s="26">
        <f t="shared" ca="1" si="44"/>
        <v>204.92057719907461</v>
      </c>
      <c r="AF553" s="35"/>
    </row>
    <row r="554" spans="1:32" hidden="1">
      <c r="A554" s="209">
        <v>8815270</v>
      </c>
      <c r="B554" s="209" t="s">
        <v>101</v>
      </c>
      <c r="C554" s="210" t="s">
        <v>1125</v>
      </c>
      <c r="D554" s="214"/>
      <c r="E554" s="214">
        <v>899000206001</v>
      </c>
      <c r="F554" s="209" t="s">
        <v>29</v>
      </c>
      <c r="G554" s="209" t="s">
        <v>53</v>
      </c>
      <c r="H554" s="209" t="s">
        <v>175</v>
      </c>
      <c r="I554" s="209" t="s">
        <v>176</v>
      </c>
      <c r="J554" s="209" t="s">
        <v>90</v>
      </c>
      <c r="K554" s="210" t="s">
        <v>34</v>
      </c>
      <c r="L554" s="210"/>
      <c r="M554" s="209" t="s">
        <v>35</v>
      </c>
      <c r="N554" s="209">
        <v>42318949</v>
      </c>
      <c r="O554" s="209" t="s">
        <v>36</v>
      </c>
      <c r="P554" s="213">
        <v>44781.75545138889</v>
      </c>
      <c r="Q554" s="209"/>
      <c r="R554" s="209" t="s">
        <v>38</v>
      </c>
      <c r="S554" s="209"/>
      <c r="T554" s="209" t="s">
        <v>74</v>
      </c>
      <c r="U554" s="213">
        <v>44782.75</v>
      </c>
      <c r="V554" s="209" t="s">
        <v>41</v>
      </c>
      <c r="W554" s="209" t="s">
        <v>49</v>
      </c>
      <c r="X554" s="13" t="str">
        <f>IF(RIGHT(H554,2)&lt;&gt;"00",H554,"")</f>
        <v/>
      </c>
      <c r="Y554" s="26">
        <f ca="1">NETWORKDAYS(P554,$Y$1)</f>
        <v>148</v>
      </c>
      <c r="Z554" s="34">
        <v>1</v>
      </c>
      <c r="AA554" s="25" t="str">
        <f t="shared" ca="1" si="43"/>
        <v>A VENCER</v>
      </c>
      <c r="AB554" s="25" t="str">
        <f t="shared" si="46"/>
        <v>Dosa</v>
      </c>
      <c r="AC554" s="2" t="str">
        <f t="shared" si="45"/>
        <v xml:space="preserve"> RINALDO </v>
      </c>
      <c r="AD554" s="26">
        <f t="shared" si="47"/>
        <v>5</v>
      </c>
      <c r="AE554" s="26">
        <f t="shared" ca="1" si="44"/>
        <v>204.92082025462878</v>
      </c>
      <c r="AF554" s="35"/>
    </row>
    <row r="555" spans="1:32" hidden="1">
      <c r="A555" s="209">
        <v>8814941</v>
      </c>
      <c r="B555" s="209" t="s">
        <v>101</v>
      </c>
      <c r="C555" s="210" t="s">
        <v>1125</v>
      </c>
      <c r="D555" s="214"/>
      <c r="E555" s="214">
        <v>594000206001</v>
      </c>
      <c r="F555" s="209" t="s">
        <v>29</v>
      </c>
      <c r="G555" s="209" t="s">
        <v>53</v>
      </c>
      <c r="H555" s="209" t="s">
        <v>444</v>
      </c>
      <c r="I555" s="209" t="s">
        <v>445</v>
      </c>
      <c r="J555" s="209" t="s">
        <v>33</v>
      </c>
      <c r="K555" s="210" t="s">
        <v>34</v>
      </c>
      <c r="L555" s="210"/>
      <c r="M555" s="209" t="s">
        <v>35</v>
      </c>
      <c r="N555" s="209">
        <v>42318949</v>
      </c>
      <c r="O555" s="209" t="s">
        <v>36</v>
      </c>
      <c r="P555" s="213">
        <v>44781.754965277774</v>
      </c>
      <c r="Q555" s="209"/>
      <c r="R555" s="209" t="s">
        <v>38</v>
      </c>
      <c r="S555" s="209"/>
      <c r="T555" s="209" t="s">
        <v>74</v>
      </c>
      <c r="U555" s="213">
        <v>44782.75</v>
      </c>
      <c r="V555" s="209" t="s">
        <v>41</v>
      </c>
      <c r="W555" s="209" t="s">
        <v>42</v>
      </c>
      <c r="X555" s="13" t="str">
        <f>IF(RIGHT(H555,2)&lt;&gt;"00",H555,"")</f>
        <v/>
      </c>
      <c r="Y555" s="26">
        <f ca="1">NETWORKDAYS(P555,$Y$1)</f>
        <v>148</v>
      </c>
      <c r="Z555" s="34">
        <v>1</v>
      </c>
      <c r="AA555" s="25" t="str">
        <f t="shared" ca="1" si="43"/>
        <v>A VENCER</v>
      </c>
      <c r="AB555" s="25" t="str">
        <f t="shared" si="46"/>
        <v>Dosa</v>
      </c>
      <c r="AC555" s="2" t="str">
        <f t="shared" si="45"/>
        <v xml:space="preserve"> ROSEMERE </v>
      </c>
      <c r="AD555" s="26">
        <f t="shared" si="47"/>
        <v>5</v>
      </c>
      <c r="AE555" s="26">
        <f t="shared" ca="1" si="44"/>
        <v>204.92130636574439</v>
      </c>
      <c r="AF555" s="35"/>
    </row>
    <row r="556" spans="1:32" hidden="1">
      <c r="A556" s="209">
        <v>8814916</v>
      </c>
      <c r="B556" s="209" t="s">
        <v>101</v>
      </c>
      <c r="C556" s="210" t="s">
        <v>1125</v>
      </c>
      <c r="D556" s="214"/>
      <c r="E556" s="214">
        <v>570000206001</v>
      </c>
      <c r="F556" s="209" t="s">
        <v>29</v>
      </c>
      <c r="G556" s="209" t="s">
        <v>53</v>
      </c>
      <c r="H556" s="209" t="s">
        <v>434</v>
      </c>
      <c r="I556" s="209" t="s">
        <v>435</v>
      </c>
      <c r="J556" s="209" t="s">
        <v>148</v>
      </c>
      <c r="K556" s="210" t="s">
        <v>34</v>
      </c>
      <c r="L556" s="210"/>
      <c r="M556" s="209" t="s">
        <v>35</v>
      </c>
      <c r="N556" s="209">
        <v>42318949</v>
      </c>
      <c r="O556" s="209" t="s">
        <v>36</v>
      </c>
      <c r="P556" s="213">
        <v>44781.754930555559</v>
      </c>
      <c r="Q556" s="209"/>
      <c r="R556" s="209" t="s">
        <v>38</v>
      </c>
      <c r="S556" s="209"/>
      <c r="T556" s="209" t="s">
        <v>74</v>
      </c>
      <c r="U556" s="213">
        <v>44782.75</v>
      </c>
      <c r="V556" s="209" t="s">
        <v>41</v>
      </c>
      <c r="W556" s="209" t="s">
        <v>49</v>
      </c>
      <c r="X556" s="13" t="str">
        <f>IF(RIGHT(H556,2)&lt;&gt;"00",H556,"")</f>
        <v/>
      </c>
      <c r="Y556" s="26">
        <f ca="1">NETWORKDAYS(P556,$Y$1)</f>
        <v>148</v>
      </c>
      <c r="Z556" s="34">
        <v>1</v>
      </c>
      <c r="AA556" s="25" t="str">
        <f t="shared" ca="1" si="43"/>
        <v>A VENCER</v>
      </c>
      <c r="AB556" s="25" t="str">
        <f t="shared" si="46"/>
        <v>Dosa</v>
      </c>
      <c r="AC556" s="2" t="str">
        <f t="shared" si="45"/>
        <v xml:space="preserve"> RINALDO </v>
      </c>
      <c r="AD556" s="26">
        <f t="shared" si="47"/>
        <v>5</v>
      </c>
      <c r="AE556" s="26">
        <f t="shared" ca="1" si="44"/>
        <v>204.92134108796017</v>
      </c>
      <c r="AF556" s="35"/>
    </row>
    <row r="557" spans="1:32" hidden="1">
      <c r="A557" s="209">
        <v>8814895</v>
      </c>
      <c r="B557" s="209" t="s">
        <v>101</v>
      </c>
      <c r="C557" s="210" t="s">
        <v>1125</v>
      </c>
      <c r="D557" s="214"/>
      <c r="E557" s="214">
        <v>550000206001</v>
      </c>
      <c r="F557" s="209" t="s">
        <v>29</v>
      </c>
      <c r="G557" s="209" t="s">
        <v>53</v>
      </c>
      <c r="H557" s="209" t="s">
        <v>337</v>
      </c>
      <c r="I557" s="209" t="s">
        <v>338</v>
      </c>
      <c r="J557" s="209" t="s">
        <v>164</v>
      </c>
      <c r="K557" s="210" t="s">
        <v>34</v>
      </c>
      <c r="L557" s="210"/>
      <c r="M557" s="209" t="s">
        <v>35</v>
      </c>
      <c r="N557" s="209">
        <v>42318949</v>
      </c>
      <c r="O557" s="209" t="s">
        <v>105</v>
      </c>
      <c r="P557" s="213">
        <v>44781.754895833335</v>
      </c>
      <c r="Q557" s="209"/>
      <c r="R557" s="209" t="s">
        <v>38</v>
      </c>
      <c r="S557" s="209"/>
      <c r="T557" s="209" t="s">
        <v>74</v>
      </c>
      <c r="U557" s="213">
        <v>44782.75</v>
      </c>
      <c r="V557" s="209" t="s">
        <v>41</v>
      </c>
      <c r="W557" s="209" t="s">
        <v>49</v>
      </c>
      <c r="X557" s="13" t="str">
        <f>IF(RIGHT(H557,2)&lt;&gt;"00",H557,"")</f>
        <v/>
      </c>
      <c r="Y557" s="26">
        <f ca="1">NETWORKDAYS(P557,$Y$1)</f>
        <v>148</v>
      </c>
      <c r="Z557" s="34">
        <v>1</v>
      </c>
      <c r="AA557" s="25" t="str">
        <f t="shared" ca="1" si="43"/>
        <v>A VENCER</v>
      </c>
      <c r="AB557" s="25" t="str">
        <f t="shared" si="46"/>
        <v>Dosa</v>
      </c>
      <c r="AC557" s="2" t="str">
        <f t="shared" si="45"/>
        <v xml:space="preserve"> ROSEMERE </v>
      </c>
      <c r="AD557" s="26">
        <f t="shared" si="47"/>
        <v>5</v>
      </c>
      <c r="AE557" s="26">
        <f t="shared" ca="1" si="44"/>
        <v>204.92137581018324</v>
      </c>
      <c r="AF557" s="35"/>
    </row>
    <row r="558" spans="1:32" hidden="1">
      <c r="A558" s="209">
        <v>8812542</v>
      </c>
      <c r="B558" s="209" t="s">
        <v>101</v>
      </c>
      <c r="C558" s="210" t="s">
        <v>1134</v>
      </c>
      <c r="D558" s="214"/>
      <c r="E558" s="214">
        <v>9704000206001</v>
      </c>
      <c r="F558" s="209" t="s">
        <v>29</v>
      </c>
      <c r="G558" s="209" t="s">
        <v>53</v>
      </c>
      <c r="H558" s="209" t="s">
        <v>488</v>
      </c>
      <c r="I558" s="209" t="s">
        <v>489</v>
      </c>
      <c r="J558" s="209" t="s">
        <v>164</v>
      </c>
      <c r="K558" s="210" t="s">
        <v>34</v>
      </c>
      <c r="L558" s="210"/>
      <c r="M558" s="209" t="s">
        <v>35</v>
      </c>
      <c r="N558" s="209">
        <v>42318949</v>
      </c>
      <c r="O558" s="209" t="s">
        <v>105</v>
      </c>
      <c r="P558" s="213">
        <v>44781.506111111114</v>
      </c>
      <c r="Q558" s="209"/>
      <c r="R558" s="209" t="s">
        <v>38</v>
      </c>
      <c r="S558" s="209"/>
      <c r="T558" s="209" t="s">
        <v>74</v>
      </c>
      <c r="U558" s="213">
        <v>44781.75</v>
      </c>
      <c r="V558" s="209" t="s">
        <v>41</v>
      </c>
      <c r="W558" s="209" t="s">
        <v>49</v>
      </c>
      <c r="X558" s="13" t="str">
        <f>IF(RIGHT(H558,2)&lt;&gt;"00",H558,"")</f>
        <v/>
      </c>
      <c r="Y558" s="26">
        <f ca="1">NETWORKDAYS(P558,$Y$1)</f>
        <v>148</v>
      </c>
      <c r="Z558" s="34">
        <v>1</v>
      </c>
      <c r="AA558" s="25" t="str">
        <f t="shared" ca="1" si="43"/>
        <v>A VENCER</v>
      </c>
      <c r="AB558" s="25" t="str">
        <f t="shared" si="46"/>
        <v>Dosa</v>
      </c>
      <c r="AC558" s="2" t="str">
        <f t="shared" si="45"/>
        <v xml:space="preserve"> ROSEMERE </v>
      </c>
      <c r="AD558" s="26">
        <f t="shared" si="47"/>
        <v>5</v>
      </c>
      <c r="AE558" s="26">
        <f t="shared" ca="1" si="44"/>
        <v>205.17016053240513</v>
      </c>
      <c r="AF558" s="35"/>
    </row>
    <row r="559" spans="1:32" hidden="1">
      <c r="A559" s="209">
        <v>8812541</v>
      </c>
      <c r="B559" s="209" t="s">
        <v>101</v>
      </c>
      <c r="C559" s="210" t="s">
        <v>1134</v>
      </c>
      <c r="D559" s="214"/>
      <c r="E559" s="214">
        <v>9704000206001</v>
      </c>
      <c r="F559" s="209" t="s">
        <v>29</v>
      </c>
      <c r="G559" s="209" t="s">
        <v>53</v>
      </c>
      <c r="H559" s="209" t="s">
        <v>488</v>
      </c>
      <c r="I559" s="209" t="s">
        <v>489</v>
      </c>
      <c r="J559" s="209" t="s">
        <v>164</v>
      </c>
      <c r="K559" s="210" t="s">
        <v>34</v>
      </c>
      <c r="L559" s="210"/>
      <c r="M559" s="209" t="s">
        <v>35</v>
      </c>
      <c r="N559" s="209">
        <v>42318949</v>
      </c>
      <c r="O559" s="209" t="s">
        <v>105</v>
      </c>
      <c r="P559" s="213">
        <v>44781.506111111114</v>
      </c>
      <c r="Q559" s="209"/>
      <c r="R559" s="209" t="s">
        <v>38</v>
      </c>
      <c r="S559" s="209"/>
      <c r="T559" s="209" t="s">
        <v>74</v>
      </c>
      <c r="U559" s="213">
        <v>44781.75</v>
      </c>
      <c r="V559" s="209" t="s">
        <v>41</v>
      </c>
      <c r="W559" s="209" t="s">
        <v>49</v>
      </c>
      <c r="X559" s="13" t="str">
        <f>IF(RIGHT(H559,2)&lt;&gt;"00",H559,"")</f>
        <v/>
      </c>
      <c r="Y559" s="26">
        <f ca="1">NETWORKDAYS(P559,$Y$1)</f>
        <v>148</v>
      </c>
      <c r="Z559" s="34">
        <v>1</v>
      </c>
      <c r="AA559" s="25" t="str">
        <f t="shared" ca="1" si="43"/>
        <v>A VENCER</v>
      </c>
      <c r="AB559" s="25" t="str">
        <f t="shared" si="46"/>
        <v>Dosa</v>
      </c>
      <c r="AC559" s="2" t="str">
        <f t="shared" si="45"/>
        <v xml:space="preserve"> ROSEMERE </v>
      </c>
      <c r="AD559" s="26">
        <f t="shared" si="47"/>
        <v>5</v>
      </c>
      <c r="AE559" s="26">
        <f t="shared" ca="1" si="44"/>
        <v>205.17016053240513</v>
      </c>
      <c r="AF559" s="35"/>
    </row>
    <row r="560" spans="1:32" hidden="1">
      <c r="A560" s="209">
        <v>8812540</v>
      </c>
      <c r="B560" s="209" t="s">
        <v>101</v>
      </c>
      <c r="C560" s="210" t="s">
        <v>1134</v>
      </c>
      <c r="D560" s="214"/>
      <c r="E560" s="214">
        <v>9704000206001</v>
      </c>
      <c r="F560" s="209" t="s">
        <v>29</v>
      </c>
      <c r="G560" s="209" t="s">
        <v>53</v>
      </c>
      <c r="H560" s="209" t="s">
        <v>488</v>
      </c>
      <c r="I560" s="209" t="s">
        <v>489</v>
      </c>
      <c r="J560" s="209" t="s">
        <v>164</v>
      </c>
      <c r="K560" s="210" t="s">
        <v>34</v>
      </c>
      <c r="L560" s="210"/>
      <c r="M560" s="209" t="s">
        <v>35</v>
      </c>
      <c r="N560" s="209">
        <v>42318949</v>
      </c>
      <c r="O560" s="209" t="s">
        <v>105</v>
      </c>
      <c r="P560" s="213">
        <v>44781.506111111114</v>
      </c>
      <c r="Q560" s="209"/>
      <c r="R560" s="209" t="s">
        <v>38</v>
      </c>
      <c r="S560" s="209"/>
      <c r="T560" s="209" t="s">
        <v>74</v>
      </c>
      <c r="U560" s="213">
        <v>44781.75</v>
      </c>
      <c r="V560" s="209" t="s">
        <v>41</v>
      </c>
      <c r="W560" s="209" t="s">
        <v>49</v>
      </c>
      <c r="X560" s="13" t="str">
        <f>IF(RIGHT(H560,2)&lt;&gt;"00",H560,"")</f>
        <v/>
      </c>
      <c r="Y560" s="26">
        <f ca="1">NETWORKDAYS(P560,$Y$1)</f>
        <v>148</v>
      </c>
      <c r="Z560" s="34">
        <v>1</v>
      </c>
      <c r="AA560" s="25" t="str">
        <f t="shared" ca="1" si="43"/>
        <v>A VENCER</v>
      </c>
      <c r="AB560" s="25" t="str">
        <f t="shared" si="46"/>
        <v>Dosa</v>
      </c>
      <c r="AC560" s="2" t="str">
        <f t="shared" si="45"/>
        <v xml:space="preserve"> ROSEMERE </v>
      </c>
      <c r="AD560" s="26">
        <f t="shared" si="47"/>
        <v>5</v>
      </c>
      <c r="AE560" s="26">
        <f t="shared" ca="1" si="44"/>
        <v>205.17016053240513</v>
      </c>
      <c r="AF560" s="35"/>
    </row>
    <row r="561" spans="1:32" hidden="1">
      <c r="A561" s="209">
        <v>8812539</v>
      </c>
      <c r="B561" s="209" t="s">
        <v>101</v>
      </c>
      <c r="C561" s="210" t="s">
        <v>1134</v>
      </c>
      <c r="D561" s="214"/>
      <c r="E561" s="214">
        <v>9704000206001</v>
      </c>
      <c r="F561" s="209" t="s">
        <v>29</v>
      </c>
      <c r="G561" s="209" t="s">
        <v>53</v>
      </c>
      <c r="H561" s="209" t="s">
        <v>488</v>
      </c>
      <c r="I561" s="209" t="s">
        <v>489</v>
      </c>
      <c r="J561" s="209" t="s">
        <v>164</v>
      </c>
      <c r="K561" s="210" t="s">
        <v>34</v>
      </c>
      <c r="L561" s="210"/>
      <c r="M561" s="209" t="s">
        <v>35</v>
      </c>
      <c r="N561" s="209">
        <v>42318949</v>
      </c>
      <c r="O561" s="209" t="s">
        <v>105</v>
      </c>
      <c r="P561" s="213">
        <v>44781.506111111114</v>
      </c>
      <c r="Q561" s="209"/>
      <c r="R561" s="209" t="s">
        <v>38</v>
      </c>
      <c r="S561" s="209"/>
      <c r="T561" s="209" t="s">
        <v>74</v>
      </c>
      <c r="U561" s="213">
        <v>44781.75</v>
      </c>
      <c r="V561" s="209" t="s">
        <v>41</v>
      </c>
      <c r="W561" s="209" t="s">
        <v>49</v>
      </c>
      <c r="X561" s="13" t="str">
        <f>IF(RIGHT(H561,2)&lt;&gt;"00",H561,"")</f>
        <v/>
      </c>
      <c r="Y561" s="26">
        <f ca="1">NETWORKDAYS(P561,$Y$1)</f>
        <v>148</v>
      </c>
      <c r="Z561" s="34">
        <v>1</v>
      </c>
      <c r="AA561" s="25" t="str">
        <f t="shared" ca="1" si="43"/>
        <v>A VENCER</v>
      </c>
      <c r="AB561" s="25" t="str">
        <f t="shared" si="46"/>
        <v>Dosa</v>
      </c>
      <c r="AC561" s="2" t="str">
        <f t="shared" si="45"/>
        <v xml:space="preserve"> ROSEMERE </v>
      </c>
      <c r="AD561" s="26">
        <f t="shared" si="47"/>
        <v>5</v>
      </c>
      <c r="AE561" s="26">
        <f t="shared" ca="1" si="44"/>
        <v>205.17016053240513</v>
      </c>
      <c r="AF561" s="35"/>
    </row>
    <row r="562" spans="1:32" hidden="1">
      <c r="A562" s="209">
        <v>8812535</v>
      </c>
      <c r="B562" s="209" t="s">
        <v>101</v>
      </c>
      <c r="C562" s="210" t="s">
        <v>1134</v>
      </c>
      <c r="D562" s="214"/>
      <c r="E562" s="214">
        <v>9700000206001</v>
      </c>
      <c r="F562" s="209" t="s">
        <v>29</v>
      </c>
      <c r="G562" s="209" t="s">
        <v>53</v>
      </c>
      <c r="H562" s="209" t="s">
        <v>209</v>
      </c>
      <c r="I562" s="209" t="s">
        <v>210</v>
      </c>
      <c r="J562" s="209" t="s">
        <v>211</v>
      </c>
      <c r="K562" s="210" t="s">
        <v>34</v>
      </c>
      <c r="L562" s="210"/>
      <c r="M562" s="209" t="s">
        <v>35</v>
      </c>
      <c r="N562" s="209">
        <v>42318949</v>
      </c>
      <c r="O562" s="209" t="s">
        <v>105</v>
      </c>
      <c r="P562" s="213">
        <v>44781.506099537037</v>
      </c>
      <c r="Q562" s="209"/>
      <c r="R562" s="209" t="s">
        <v>38</v>
      </c>
      <c r="S562" s="209"/>
      <c r="T562" s="209" t="s">
        <v>74</v>
      </c>
      <c r="U562" s="213">
        <v>44781.75</v>
      </c>
      <c r="V562" s="209" t="s">
        <v>41</v>
      </c>
      <c r="W562" s="209" t="s">
        <v>49</v>
      </c>
      <c r="X562" s="13" t="str">
        <f>IF(RIGHT(H562,2)&lt;&gt;"00",H562,"")</f>
        <v/>
      </c>
      <c r="Y562" s="26">
        <f ca="1">NETWORKDAYS(P562,$Y$1)</f>
        <v>148</v>
      </c>
      <c r="Z562" s="34">
        <v>1</v>
      </c>
      <c r="AA562" s="25" t="str">
        <f t="shared" ca="1" si="43"/>
        <v>A VENCER</v>
      </c>
      <c r="AB562" s="25" t="str">
        <f t="shared" si="46"/>
        <v>Dosa</v>
      </c>
      <c r="AC562" s="2" t="str">
        <f t="shared" si="45"/>
        <v xml:space="preserve"> RINALDO </v>
      </c>
      <c r="AD562" s="26">
        <f t="shared" si="47"/>
        <v>5</v>
      </c>
      <c r="AE562" s="26">
        <f t="shared" ca="1" si="44"/>
        <v>205.17017210648191</v>
      </c>
      <c r="AF562" s="35"/>
    </row>
    <row r="563" spans="1:32" hidden="1">
      <c r="A563" s="209">
        <v>8812533</v>
      </c>
      <c r="B563" s="209" t="s">
        <v>101</v>
      </c>
      <c r="C563" s="210" t="s">
        <v>1134</v>
      </c>
      <c r="D563" s="214"/>
      <c r="E563" s="214">
        <v>9700000206001</v>
      </c>
      <c r="F563" s="209" t="s">
        <v>29</v>
      </c>
      <c r="G563" s="209" t="s">
        <v>53</v>
      </c>
      <c r="H563" s="209" t="s">
        <v>209</v>
      </c>
      <c r="I563" s="209" t="s">
        <v>210</v>
      </c>
      <c r="J563" s="209" t="s">
        <v>211</v>
      </c>
      <c r="K563" s="210" t="s">
        <v>34</v>
      </c>
      <c r="L563" s="210"/>
      <c r="M563" s="209" t="s">
        <v>35</v>
      </c>
      <c r="N563" s="209">
        <v>42318949</v>
      </c>
      <c r="O563" s="209" t="s">
        <v>105</v>
      </c>
      <c r="P563" s="213">
        <v>44781.506099537037</v>
      </c>
      <c r="Q563" s="209"/>
      <c r="R563" s="209" t="s">
        <v>38</v>
      </c>
      <c r="S563" s="209"/>
      <c r="T563" s="209" t="s">
        <v>74</v>
      </c>
      <c r="U563" s="213">
        <v>44781.75</v>
      </c>
      <c r="V563" s="209" t="s">
        <v>41</v>
      </c>
      <c r="W563" s="209" t="s">
        <v>49</v>
      </c>
      <c r="X563" s="13" t="str">
        <f>IF(RIGHT(H563,2)&lt;&gt;"00",H563,"")</f>
        <v/>
      </c>
      <c r="Y563" s="26">
        <f ca="1">NETWORKDAYS(P563,$Y$1)</f>
        <v>148</v>
      </c>
      <c r="Z563" s="34">
        <v>1</v>
      </c>
      <c r="AA563" s="25" t="str">
        <f t="shared" ca="1" si="43"/>
        <v>A VENCER</v>
      </c>
      <c r="AB563" s="25" t="str">
        <f t="shared" si="46"/>
        <v>Dosa</v>
      </c>
      <c r="AC563" s="2" t="str">
        <f t="shared" si="45"/>
        <v xml:space="preserve"> RINALDO </v>
      </c>
      <c r="AD563" s="26">
        <f t="shared" si="47"/>
        <v>5</v>
      </c>
      <c r="AE563" s="26">
        <f t="shared" ca="1" si="44"/>
        <v>205.17017210648191</v>
      </c>
      <c r="AF563" s="35"/>
    </row>
    <row r="564" spans="1:32" hidden="1">
      <c r="A564" s="209">
        <v>8812532</v>
      </c>
      <c r="B564" s="209" t="s">
        <v>101</v>
      </c>
      <c r="C564" s="210" t="s">
        <v>1134</v>
      </c>
      <c r="D564" s="214"/>
      <c r="E564" s="214">
        <v>9700000206001</v>
      </c>
      <c r="F564" s="209" t="s">
        <v>29</v>
      </c>
      <c r="G564" s="209" t="s">
        <v>53</v>
      </c>
      <c r="H564" s="209" t="s">
        <v>209</v>
      </c>
      <c r="I564" s="209" t="s">
        <v>210</v>
      </c>
      <c r="J564" s="209" t="s">
        <v>211</v>
      </c>
      <c r="K564" s="210" t="s">
        <v>34</v>
      </c>
      <c r="L564" s="210"/>
      <c r="M564" s="209" t="s">
        <v>35</v>
      </c>
      <c r="N564" s="209">
        <v>42318949</v>
      </c>
      <c r="O564" s="209" t="s">
        <v>105</v>
      </c>
      <c r="P564" s="213">
        <v>44781.506099537037</v>
      </c>
      <c r="Q564" s="209"/>
      <c r="R564" s="209" t="s">
        <v>38</v>
      </c>
      <c r="S564" s="209"/>
      <c r="T564" s="209" t="s">
        <v>74</v>
      </c>
      <c r="U564" s="213">
        <v>44781.75</v>
      </c>
      <c r="V564" s="209" t="s">
        <v>41</v>
      </c>
      <c r="W564" s="209" t="s">
        <v>49</v>
      </c>
      <c r="X564" s="13" t="str">
        <f>IF(RIGHT(H564,2)&lt;&gt;"00",H564,"")</f>
        <v/>
      </c>
      <c r="Y564" s="26">
        <f ca="1">NETWORKDAYS(P564,$Y$1)</f>
        <v>148</v>
      </c>
      <c r="Z564" s="34">
        <v>1</v>
      </c>
      <c r="AA564" s="25" t="str">
        <f t="shared" ca="1" si="43"/>
        <v>A VENCER</v>
      </c>
      <c r="AB564" s="25" t="str">
        <f t="shared" si="46"/>
        <v>Dosa</v>
      </c>
      <c r="AC564" s="2" t="str">
        <f t="shared" si="45"/>
        <v xml:space="preserve"> RINALDO </v>
      </c>
      <c r="AD564" s="26">
        <f t="shared" si="47"/>
        <v>5</v>
      </c>
      <c r="AE564" s="26">
        <f t="shared" ca="1" si="44"/>
        <v>205.17017210648191</v>
      </c>
      <c r="AF564" s="35"/>
    </row>
    <row r="565" spans="1:32" hidden="1">
      <c r="A565" s="209">
        <v>8811822</v>
      </c>
      <c r="B565" s="209" t="s">
        <v>101</v>
      </c>
      <c r="C565" s="210" t="s">
        <v>1134</v>
      </c>
      <c r="D565" s="214"/>
      <c r="E565" s="214">
        <v>4637000206001</v>
      </c>
      <c r="F565" s="209" t="s">
        <v>29</v>
      </c>
      <c r="G565" s="209" t="s">
        <v>53</v>
      </c>
      <c r="H565" s="209" t="s">
        <v>848</v>
      </c>
      <c r="I565" s="209" t="s">
        <v>849</v>
      </c>
      <c r="J565" s="209" t="s">
        <v>79</v>
      </c>
      <c r="K565" s="210" t="s">
        <v>34</v>
      </c>
      <c r="L565" s="210"/>
      <c r="M565" s="209" t="s">
        <v>35</v>
      </c>
      <c r="N565" s="209">
        <v>42318949</v>
      </c>
      <c r="O565" s="209" t="s">
        <v>105</v>
      </c>
      <c r="P565" s="213">
        <v>44781.505231481482</v>
      </c>
      <c r="Q565" s="209"/>
      <c r="R565" s="209" t="s">
        <v>38</v>
      </c>
      <c r="S565" s="209"/>
      <c r="T565" s="209" t="s">
        <v>74</v>
      </c>
      <c r="U565" s="213">
        <v>44781.75</v>
      </c>
      <c r="V565" s="209" t="s">
        <v>41</v>
      </c>
      <c r="W565" s="209" t="s">
        <v>49</v>
      </c>
      <c r="X565" s="13" t="str">
        <f>IF(RIGHT(H565,2)&lt;&gt;"00",H565,"")</f>
        <v/>
      </c>
      <c r="Y565" s="26">
        <f ca="1">NETWORKDAYS(P565,$Y$1)</f>
        <v>148</v>
      </c>
      <c r="Z565" s="34">
        <v>1</v>
      </c>
      <c r="AA565" s="25" t="str">
        <f t="shared" ca="1" si="43"/>
        <v>A VENCER</v>
      </c>
      <c r="AB565" s="25" t="str">
        <f t="shared" si="46"/>
        <v>Dosa</v>
      </c>
      <c r="AC565" s="2" t="str">
        <f t="shared" si="45"/>
        <v xml:space="preserve"> ROSEMERE </v>
      </c>
      <c r="AD565" s="26">
        <f t="shared" si="47"/>
        <v>5</v>
      </c>
      <c r="AE565" s="26">
        <f t="shared" ca="1" si="44"/>
        <v>205.17104016203666</v>
      </c>
      <c r="AF565" s="35"/>
    </row>
    <row r="566" spans="1:32" hidden="1">
      <c r="A566" s="209">
        <v>8811127</v>
      </c>
      <c r="B566" s="209" t="s">
        <v>101</v>
      </c>
      <c r="C566" s="210" t="s">
        <v>1134</v>
      </c>
      <c r="D566" s="214"/>
      <c r="E566" s="214">
        <v>2437000206001</v>
      </c>
      <c r="F566" s="209" t="s">
        <v>29</v>
      </c>
      <c r="G566" s="209" t="s">
        <v>53</v>
      </c>
      <c r="H566" s="209" t="s">
        <v>416</v>
      </c>
      <c r="I566" s="209" t="s">
        <v>417</v>
      </c>
      <c r="J566" s="209" t="s">
        <v>211</v>
      </c>
      <c r="K566" s="210" t="s">
        <v>34</v>
      </c>
      <c r="L566" s="210"/>
      <c r="M566" s="209" t="s">
        <v>35</v>
      </c>
      <c r="N566" s="209">
        <v>42318949</v>
      </c>
      <c r="O566" s="209" t="s">
        <v>105</v>
      </c>
      <c r="P566" s="213">
        <v>44781.504340277781</v>
      </c>
      <c r="Q566" s="209"/>
      <c r="R566" s="209" t="s">
        <v>38</v>
      </c>
      <c r="S566" s="209"/>
      <c r="T566" s="209" t="s">
        <v>74</v>
      </c>
      <c r="U566" s="213">
        <v>44781.75</v>
      </c>
      <c r="V566" s="209" t="s">
        <v>41</v>
      </c>
      <c r="W566" s="209" t="s">
        <v>49</v>
      </c>
      <c r="X566" s="13" t="str">
        <f>IF(RIGHT(H566,2)&lt;&gt;"00",H566,"")</f>
        <v/>
      </c>
      <c r="Y566" s="26">
        <f ca="1">NETWORKDAYS(P566,$Y$1)</f>
        <v>148</v>
      </c>
      <c r="Z566" s="34">
        <v>1</v>
      </c>
      <c r="AA566" s="25" t="str">
        <f t="shared" ca="1" si="43"/>
        <v>A VENCER</v>
      </c>
      <c r="AB566" s="25" t="str">
        <f t="shared" si="46"/>
        <v>Dosa</v>
      </c>
      <c r="AC566" s="2" t="str">
        <f t="shared" si="45"/>
        <v xml:space="preserve"> RINALDO </v>
      </c>
      <c r="AD566" s="26">
        <f t="shared" si="47"/>
        <v>5</v>
      </c>
      <c r="AE566" s="26">
        <f t="shared" ca="1" si="44"/>
        <v>205.17193136573769</v>
      </c>
      <c r="AF566" s="35"/>
    </row>
    <row r="567" spans="1:32" hidden="1">
      <c r="A567" s="209">
        <v>8811126</v>
      </c>
      <c r="B567" s="209" t="s">
        <v>101</v>
      </c>
      <c r="C567" s="210" t="s">
        <v>1134</v>
      </c>
      <c r="D567" s="214"/>
      <c r="E567" s="214">
        <v>2437000206001</v>
      </c>
      <c r="F567" s="209" t="s">
        <v>29</v>
      </c>
      <c r="G567" s="209" t="s">
        <v>53</v>
      </c>
      <c r="H567" s="209" t="s">
        <v>416</v>
      </c>
      <c r="I567" s="209" t="s">
        <v>417</v>
      </c>
      <c r="J567" s="209" t="s">
        <v>211</v>
      </c>
      <c r="K567" s="210" t="s">
        <v>34</v>
      </c>
      <c r="L567" s="210"/>
      <c r="M567" s="209" t="s">
        <v>35</v>
      </c>
      <c r="N567" s="209">
        <v>42318949</v>
      </c>
      <c r="O567" s="209" t="s">
        <v>105</v>
      </c>
      <c r="P567" s="213">
        <v>44781.504340277781</v>
      </c>
      <c r="Q567" s="209"/>
      <c r="R567" s="209" t="s">
        <v>38</v>
      </c>
      <c r="S567" s="209"/>
      <c r="T567" s="209" t="s">
        <v>74</v>
      </c>
      <c r="U567" s="213">
        <v>44781.75</v>
      </c>
      <c r="V567" s="209" t="s">
        <v>41</v>
      </c>
      <c r="W567" s="209" t="s">
        <v>49</v>
      </c>
      <c r="X567" s="13" t="str">
        <f>IF(RIGHT(H567,2)&lt;&gt;"00",H567,"")</f>
        <v/>
      </c>
      <c r="Y567" s="26">
        <f ca="1">NETWORKDAYS(P567,$Y$1)</f>
        <v>148</v>
      </c>
      <c r="Z567" s="34">
        <v>1</v>
      </c>
      <c r="AA567" s="25" t="str">
        <f t="shared" ca="1" si="43"/>
        <v>A VENCER</v>
      </c>
      <c r="AB567" s="25" t="str">
        <f t="shared" si="46"/>
        <v>Dosa</v>
      </c>
      <c r="AC567" s="2" t="str">
        <f t="shared" si="45"/>
        <v xml:space="preserve"> RINALDO </v>
      </c>
      <c r="AD567" s="26">
        <f t="shared" si="47"/>
        <v>5</v>
      </c>
      <c r="AE567" s="26">
        <f t="shared" ca="1" si="44"/>
        <v>205.17193136573769</v>
      </c>
      <c r="AF567" s="35"/>
    </row>
    <row r="568" spans="1:32" hidden="1">
      <c r="A568" s="209">
        <v>8811125</v>
      </c>
      <c r="B568" s="209" t="s">
        <v>101</v>
      </c>
      <c r="C568" s="210" t="s">
        <v>1134</v>
      </c>
      <c r="D568" s="214"/>
      <c r="E568" s="214">
        <v>2437000206001</v>
      </c>
      <c r="F568" s="209" t="s">
        <v>29</v>
      </c>
      <c r="G568" s="209" t="s">
        <v>53</v>
      </c>
      <c r="H568" s="209" t="s">
        <v>416</v>
      </c>
      <c r="I568" s="209" t="s">
        <v>417</v>
      </c>
      <c r="J568" s="209" t="s">
        <v>211</v>
      </c>
      <c r="K568" s="210" t="s">
        <v>34</v>
      </c>
      <c r="L568" s="210"/>
      <c r="M568" s="209" t="s">
        <v>35</v>
      </c>
      <c r="N568" s="209">
        <v>42318949</v>
      </c>
      <c r="O568" s="209" t="s">
        <v>105</v>
      </c>
      <c r="P568" s="213">
        <v>44781.504340277781</v>
      </c>
      <c r="Q568" s="209"/>
      <c r="R568" s="209" t="s">
        <v>38</v>
      </c>
      <c r="S568" s="209"/>
      <c r="T568" s="209" t="s">
        <v>74</v>
      </c>
      <c r="U568" s="213">
        <v>44781.75</v>
      </c>
      <c r="V568" s="209" t="s">
        <v>41</v>
      </c>
      <c r="W568" s="209" t="s">
        <v>49</v>
      </c>
      <c r="X568" s="13" t="str">
        <f>IF(RIGHT(H568,2)&lt;&gt;"00",H568,"")</f>
        <v/>
      </c>
      <c r="Y568" s="26">
        <f ca="1">NETWORKDAYS(P568,$Y$1)</f>
        <v>148</v>
      </c>
      <c r="Z568" s="34">
        <v>1</v>
      </c>
      <c r="AA568" s="25" t="str">
        <f t="shared" ca="1" si="43"/>
        <v>A VENCER</v>
      </c>
      <c r="AB568" s="25" t="str">
        <f t="shared" si="46"/>
        <v>Dosa</v>
      </c>
      <c r="AC568" s="2" t="str">
        <f t="shared" si="45"/>
        <v xml:space="preserve"> RINALDO </v>
      </c>
      <c r="AD568" s="26">
        <f t="shared" si="47"/>
        <v>5</v>
      </c>
      <c r="AE568" s="26">
        <f t="shared" ca="1" si="44"/>
        <v>205.17193136573769</v>
      </c>
      <c r="AF568" s="35"/>
    </row>
    <row r="569" spans="1:32" hidden="1">
      <c r="A569" s="209">
        <v>8810874</v>
      </c>
      <c r="B569" s="209" t="s">
        <v>101</v>
      </c>
      <c r="C569" s="210" t="s">
        <v>1134</v>
      </c>
      <c r="D569" s="214"/>
      <c r="E569" s="214">
        <v>1739000206001</v>
      </c>
      <c r="F569" s="209" t="s">
        <v>29</v>
      </c>
      <c r="G569" s="209" t="s">
        <v>53</v>
      </c>
      <c r="H569" s="209" t="s">
        <v>162</v>
      </c>
      <c r="I569" s="209" t="s">
        <v>163</v>
      </c>
      <c r="J569" s="209" t="s">
        <v>164</v>
      </c>
      <c r="K569" s="210" t="s">
        <v>34</v>
      </c>
      <c r="L569" s="210"/>
      <c r="M569" s="209" t="s">
        <v>35</v>
      </c>
      <c r="N569" s="209">
        <v>42318949</v>
      </c>
      <c r="O569" s="209" t="s">
        <v>105</v>
      </c>
      <c r="P569" s="213">
        <v>44781.503969907404</v>
      </c>
      <c r="Q569" s="209"/>
      <c r="R569" s="209" t="s">
        <v>38</v>
      </c>
      <c r="S569" s="209"/>
      <c r="T569" s="209" t="s">
        <v>74</v>
      </c>
      <c r="U569" s="213">
        <v>44781.75</v>
      </c>
      <c r="V569" s="209" t="s">
        <v>41</v>
      </c>
      <c r="W569" s="209" t="s">
        <v>49</v>
      </c>
      <c r="X569" s="13" t="str">
        <f>IF(RIGHT(H569,2)&lt;&gt;"00",H569,"")</f>
        <v/>
      </c>
      <c r="Y569" s="26">
        <f ca="1">NETWORKDAYS(P569,$Y$1)</f>
        <v>148</v>
      </c>
      <c r="Z569" s="34">
        <v>1</v>
      </c>
      <c r="AA569" s="25" t="str">
        <f t="shared" ca="1" si="43"/>
        <v>A VENCER</v>
      </c>
      <c r="AB569" s="25" t="str">
        <f t="shared" si="46"/>
        <v>Dosa</v>
      </c>
      <c r="AC569" s="2" t="str">
        <f t="shared" si="45"/>
        <v xml:space="preserve"> ROSEMERE </v>
      </c>
      <c r="AD569" s="26">
        <f t="shared" si="47"/>
        <v>5</v>
      </c>
      <c r="AE569" s="26">
        <f t="shared" ca="1" si="44"/>
        <v>205.1723017361146</v>
      </c>
      <c r="AF569" s="35"/>
    </row>
    <row r="570" spans="1:32" hidden="1">
      <c r="A570" s="209">
        <v>8810866</v>
      </c>
      <c r="B570" s="209" t="s">
        <v>101</v>
      </c>
      <c r="C570" s="210" t="s">
        <v>1134</v>
      </c>
      <c r="D570" s="214"/>
      <c r="E570" s="214">
        <v>1732000206001</v>
      </c>
      <c r="F570" s="209" t="s">
        <v>29</v>
      </c>
      <c r="G570" s="209" t="s">
        <v>53</v>
      </c>
      <c r="H570" s="209" t="s">
        <v>177</v>
      </c>
      <c r="I570" s="209" t="s">
        <v>178</v>
      </c>
      <c r="J570" s="209" t="s">
        <v>164</v>
      </c>
      <c r="K570" s="210" t="s">
        <v>34</v>
      </c>
      <c r="L570" s="210"/>
      <c r="M570" s="209" t="s">
        <v>35</v>
      </c>
      <c r="N570" s="209">
        <v>42318949</v>
      </c>
      <c r="O570" s="209" t="s">
        <v>105</v>
      </c>
      <c r="P570" s="213">
        <v>44781.503958333335</v>
      </c>
      <c r="Q570" s="209"/>
      <c r="R570" s="209" t="s">
        <v>38</v>
      </c>
      <c r="S570" s="209"/>
      <c r="T570" s="209" t="s">
        <v>74</v>
      </c>
      <c r="U570" s="213">
        <v>44781.75</v>
      </c>
      <c r="V570" s="209" t="s">
        <v>41</v>
      </c>
      <c r="W570" s="209" t="s">
        <v>49</v>
      </c>
      <c r="X570" s="13" t="str">
        <f>IF(RIGHT(H570,2)&lt;&gt;"00",H570,"")</f>
        <v/>
      </c>
      <c r="Y570" s="26">
        <f ca="1">NETWORKDAYS(P570,$Y$1)</f>
        <v>148</v>
      </c>
      <c r="Z570" s="34">
        <v>1</v>
      </c>
      <c r="AA570" s="25" t="str">
        <f t="shared" ca="1" si="43"/>
        <v>A VENCER</v>
      </c>
      <c r="AB570" s="25" t="str">
        <f t="shared" si="46"/>
        <v>Dosa</v>
      </c>
      <c r="AC570" s="2" t="str">
        <f t="shared" si="45"/>
        <v xml:space="preserve"> ROSEMERE </v>
      </c>
      <c r="AD570" s="26">
        <f t="shared" si="47"/>
        <v>5</v>
      </c>
      <c r="AE570" s="26">
        <f t="shared" ca="1" si="44"/>
        <v>205.17231331018411</v>
      </c>
      <c r="AF570" s="35"/>
    </row>
    <row r="571" spans="1:32" hidden="1">
      <c r="A571" s="209">
        <v>8810674</v>
      </c>
      <c r="B571" s="209" t="s">
        <v>101</v>
      </c>
      <c r="C571" s="210" t="s">
        <v>1134</v>
      </c>
      <c r="D571" s="214"/>
      <c r="E571" s="214">
        <v>1363000206001</v>
      </c>
      <c r="F571" s="209" t="s">
        <v>29</v>
      </c>
      <c r="G571" s="209" t="s">
        <v>53</v>
      </c>
      <c r="H571" s="209" t="s">
        <v>108</v>
      </c>
      <c r="I571" s="209" t="s">
        <v>109</v>
      </c>
      <c r="J571" s="209" t="s">
        <v>110</v>
      </c>
      <c r="K571" s="210" t="s">
        <v>34</v>
      </c>
      <c r="L571" s="210"/>
      <c r="M571" s="209" t="s">
        <v>35</v>
      </c>
      <c r="N571" s="209">
        <v>42318949</v>
      </c>
      <c r="O571" s="209" t="s">
        <v>36</v>
      </c>
      <c r="P571" s="213">
        <v>44781.503622685188</v>
      </c>
      <c r="Q571" s="209"/>
      <c r="R571" s="209" t="s">
        <v>38</v>
      </c>
      <c r="S571" s="209"/>
      <c r="T571" s="209" t="s">
        <v>74</v>
      </c>
      <c r="U571" s="213">
        <v>44781.75</v>
      </c>
      <c r="V571" s="209" t="s">
        <v>41</v>
      </c>
      <c r="W571" s="209" t="s">
        <v>49</v>
      </c>
      <c r="X571" s="13" t="str">
        <f>IF(RIGHT(H571,2)&lt;&gt;"00",H571,"")</f>
        <v/>
      </c>
      <c r="Y571" s="26">
        <f ca="1">NETWORKDAYS(P571,$Y$1)</f>
        <v>148</v>
      </c>
      <c r="Z571" s="34">
        <v>1</v>
      </c>
      <c r="AA571" s="25" t="str">
        <f t="shared" ca="1" si="43"/>
        <v>A VENCER</v>
      </c>
      <c r="AB571" s="25" t="str">
        <f t="shared" si="46"/>
        <v>Dosa</v>
      </c>
      <c r="AC571" s="2" t="str">
        <f t="shared" si="45"/>
        <v xml:space="preserve"> CRISTINA </v>
      </c>
      <c r="AD571" s="26">
        <f t="shared" si="47"/>
        <v>5</v>
      </c>
      <c r="AE571" s="26">
        <f t="shared" ca="1" si="44"/>
        <v>205.17264895833068</v>
      </c>
      <c r="AF571" s="35"/>
    </row>
    <row r="572" spans="1:32" hidden="1">
      <c r="A572" s="209">
        <v>8810582</v>
      </c>
      <c r="B572" s="209" t="s">
        <v>101</v>
      </c>
      <c r="C572" s="210" t="s">
        <v>1134</v>
      </c>
      <c r="D572" s="214"/>
      <c r="E572" s="214">
        <v>1153000206001</v>
      </c>
      <c r="F572" s="209" t="s">
        <v>29</v>
      </c>
      <c r="G572" s="209" t="s">
        <v>53</v>
      </c>
      <c r="H572" s="209" t="s">
        <v>1031</v>
      </c>
      <c r="I572" s="209" t="s">
        <v>1032</v>
      </c>
      <c r="J572" s="209" t="s">
        <v>79</v>
      </c>
      <c r="K572" s="210" t="s">
        <v>34</v>
      </c>
      <c r="L572" s="210"/>
      <c r="M572" s="209" t="s">
        <v>35</v>
      </c>
      <c r="N572" s="209">
        <v>42318949</v>
      </c>
      <c r="O572" s="209" t="s">
        <v>36</v>
      </c>
      <c r="P572" s="213">
        <v>44781.503506944442</v>
      </c>
      <c r="Q572" s="209"/>
      <c r="R572" s="209" t="s">
        <v>38</v>
      </c>
      <c r="S572" s="209"/>
      <c r="T572" s="209" t="s">
        <v>74</v>
      </c>
      <c r="U572" s="213">
        <v>44781.75</v>
      </c>
      <c r="V572" s="209" t="s">
        <v>41</v>
      </c>
      <c r="W572" s="209" t="s">
        <v>49</v>
      </c>
      <c r="X572" s="13" t="str">
        <f>IF(RIGHT(H572,2)&lt;&gt;"00",H572,"")</f>
        <v/>
      </c>
      <c r="Y572" s="26">
        <f ca="1">NETWORKDAYS(P572,$Y$1)</f>
        <v>148</v>
      </c>
      <c r="Z572" s="34">
        <v>1</v>
      </c>
      <c r="AA572" s="25" t="str">
        <f t="shared" ca="1" si="43"/>
        <v>A VENCER</v>
      </c>
      <c r="AB572" s="25" t="str">
        <f t="shared" si="46"/>
        <v>Dosa</v>
      </c>
      <c r="AC572" s="2" t="str">
        <f t="shared" si="45"/>
        <v xml:space="preserve"> ROSEMERE </v>
      </c>
      <c r="AD572" s="26">
        <f t="shared" si="47"/>
        <v>5</v>
      </c>
      <c r="AE572" s="26">
        <f t="shared" ca="1" si="44"/>
        <v>205.17276469907665</v>
      </c>
      <c r="AF572" s="35"/>
    </row>
    <row r="573" spans="1:32" hidden="1">
      <c r="A573" s="209">
        <v>8810573</v>
      </c>
      <c r="B573" s="209" t="s">
        <v>101</v>
      </c>
      <c r="C573" s="210" t="s">
        <v>1134</v>
      </c>
      <c r="D573" s="214"/>
      <c r="E573" s="214">
        <v>1120000206001</v>
      </c>
      <c r="F573" s="209" t="s">
        <v>29</v>
      </c>
      <c r="G573" s="209" t="s">
        <v>53</v>
      </c>
      <c r="H573" s="209" t="s">
        <v>181</v>
      </c>
      <c r="I573" s="209" t="s">
        <v>182</v>
      </c>
      <c r="J573" s="209" t="s">
        <v>164</v>
      </c>
      <c r="K573" s="210" t="s">
        <v>34</v>
      </c>
      <c r="L573" s="210"/>
      <c r="M573" s="209" t="s">
        <v>35</v>
      </c>
      <c r="N573" s="209">
        <v>42318949</v>
      </c>
      <c r="O573" s="209" t="s">
        <v>36</v>
      </c>
      <c r="P573" s="213">
        <v>44781.503495370373</v>
      </c>
      <c r="Q573" s="209"/>
      <c r="R573" s="209" t="s">
        <v>38</v>
      </c>
      <c r="S573" s="209"/>
      <c r="T573" s="209" t="s">
        <v>74</v>
      </c>
      <c r="U573" s="213">
        <v>44781.75</v>
      </c>
      <c r="V573" s="209" t="s">
        <v>41</v>
      </c>
      <c r="W573" s="209" t="s">
        <v>49</v>
      </c>
      <c r="X573" s="13" t="str">
        <f>IF(RIGHT(H573,2)&lt;&gt;"00",H573,"")</f>
        <v/>
      </c>
      <c r="Y573" s="26">
        <f ca="1">NETWORKDAYS(P573,$Y$1)</f>
        <v>148</v>
      </c>
      <c r="Z573" s="34">
        <v>1</v>
      </c>
      <c r="AA573" s="25" t="str">
        <f t="shared" ca="1" si="43"/>
        <v>A VENCER</v>
      </c>
      <c r="AB573" s="25" t="str">
        <f t="shared" si="46"/>
        <v>Dosa</v>
      </c>
      <c r="AC573" s="2" t="str">
        <f t="shared" si="45"/>
        <v xml:space="preserve"> ROSEMERE </v>
      </c>
      <c r="AD573" s="26">
        <f t="shared" si="47"/>
        <v>5</v>
      </c>
      <c r="AE573" s="26">
        <f t="shared" ca="1" si="44"/>
        <v>205.17277627314616</v>
      </c>
      <c r="AF573" s="35"/>
    </row>
    <row r="574" spans="1:32" hidden="1">
      <c r="A574" s="209">
        <v>8810572</v>
      </c>
      <c r="B574" s="209" t="s">
        <v>101</v>
      </c>
      <c r="C574" s="210" t="s">
        <v>1134</v>
      </c>
      <c r="D574" s="214"/>
      <c r="E574" s="214">
        <v>1120000206001</v>
      </c>
      <c r="F574" s="209" t="s">
        <v>29</v>
      </c>
      <c r="G574" s="209" t="s">
        <v>53</v>
      </c>
      <c r="H574" s="209" t="s">
        <v>181</v>
      </c>
      <c r="I574" s="209" t="s">
        <v>182</v>
      </c>
      <c r="J574" s="209" t="s">
        <v>164</v>
      </c>
      <c r="K574" s="210" t="s">
        <v>34</v>
      </c>
      <c r="L574" s="210"/>
      <c r="M574" s="209" t="s">
        <v>35</v>
      </c>
      <c r="N574" s="209">
        <v>42318949</v>
      </c>
      <c r="O574" s="209" t="s">
        <v>105</v>
      </c>
      <c r="P574" s="213">
        <v>44781.503483796296</v>
      </c>
      <c r="Q574" s="209"/>
      <c r="R574" s="209" t="s">
        <v>38</v>
      </c>
      <c r="S574" s="209"/>
      <c r="T574" s="209" t="s">
        <v>74</v>
      </c>
      <c r="U574" s="213">
        <v>44781.75</v>
      </c>
      <c r="V574" s="209" t="s">
        <v>41</v>
      </c>
      <c r="W574" s="209" t="s">
        <v>49</v>
      </c>
      <c r="X574" s="13" t="str">
        <f>IF(RIGHT(H574,2)&lt;&gt;"00",H574,"")</f>
        <v/>
      </c>
      <c r="Y574" s="26">
        <f ca="1">NETWORKDAYS(P574,$Y$1)</f>
        <v>148</v>
      </c>
      <c r="Z574" s="34">
        <v>1</v>
      </c>
      <c r="AA574" s="25" t="str">
        <f t="shared" ca="1" si="43"/>
        <v>A VENCER</v>
      </c>
      <c r="AB574" s="25" t="str">
        <f t="shared" si="46"/>
        <v>Dosa</v>
      </c>
      <c r="AC574" s="2" t="str">
        <f t="shared" si="45"/>
        <v xml:space="preserve"> ROSEMERE </v>
      </c>
      <c r="AD574" s="26">
        <f t="shared" si="47"/>
        <v>5</v>
      </c>
      <c r="AE574" s="26">
        <f t="shared" ca="1" si="44"/>
        <v>205.17278784722293</v>
      </c>
      <c r="AF574" s="35"/>
    </row>
    <row r="575" spans="1:32" hidden="1">
      <c r="A575" s="209">
        <v>8810531</v>
      </c>
      <c r="B575" s="209" t="s">
        <v>101</v>
      </c>
      <c r="C575" s="210" t="s">
        <v>1134</v>
      </c>
      <c r="D575" s="214"/>
      <c r="E575" s="214">
        <v>1060000206001</v>
      </c>
      <c r="F575" s="209" t="s">
        <v>29</v>
      </c>
      <c r="G575" s="209" t="s">
        <v>53</v>
      </c>
      <c r="H575" s="209" t="s">
        <v>284</v>
      </c>
      <c r="I575" s="209" t="s">
        <v>285</v>
      </c>
      <c r="J575" s="209" t="s">
        <v>148</v>
      </c>
      <c r="K575" s="210" t="s">
        <v>34</v>
      </c>
      <c r="L575" s="210"/>
      <c r="M575" s="209" t="s">
        <v>35</v>
      </c>
      <c r="N575" s="209">
        <v>42318949</v>
      </c>
      <c r="O575" s="209" t="s">
        <v>105</v>
      </c>
      <c r="P575" s="213">
        <v>44781.503437500003</v>
      </c>
      <c r="Q575" s="209"/>
      <c r="R575" s="209" t="s">
        <v>38</v>
      </c>
      <c r="S575" s="209"/>
      <c r="T575" s="209" t="s">
        <v>74</v>
      </c>
      <c r="U575" s="213">
        <v>44781.75</v>
      </c>
      <c r="V575" s="209" t="s">
        <v>41</v>
      </c>
      <c r="W575" s="209" t="s">
        <v>49</v>
      </c>
      <c r="X575" s="13" t="str">
        <f>IF(RIGHT(H575,2)&lt;&gt;"00",H575,"")</f>
        <v/>
      </c>
      <c r="Y575" s="26">
        <f ca="1">NETWORKDAYS(P575,$Y$1)</f>
        <v>148</v>
      </c>
      <c r="Z575" s="34">
        <v>1</v>
      </c>
      <c r="AA575" s="25" t="str">
        <f t="shared" ca="1" si="43"/>
        <v>A VENCER</v>
      </c>
      <c r="AB575" s="25" t="str">
        <f t="shared" si="46"/>
        <v>Dosa</v>
      </c>
      <c r="AC575" s="2" t="str">
        <f t="shared" si="45"/>
        <v xml:space="preserve"> RINALDO </v>
      </c>
      <c r="AD575" s="26">
        <f t="shared" si="47"/>
        <v>5</v>
      </c>
      <c r="AE575" s="26">
        <f t="shared" ca="1" si="44"/>
        <v>205.1728341435155</v>
      </c>
      <c r="AF575" s="35"/>
    </row>
    <row r="576" spans="1:32" hidden="1">
      <c r="A576" s="209">
        <v>8810530</v>
      </c>
      <c r="B576" s="209" t="s">
        <v>101</v>
      </c>
      <c r="C576" s="210" t="s">
        <v>1134</v>
      </c>
      <c r="D576" s="214"/>
      <c r="E576" s="214">
        <v>1059000206001</v>
      </c>
      <c r="F576" s="209" t="s">
        <v>29</v>
      </c>
      <c r="G576" s="209" t="s">
        <v>53</v>
      </c>
      <c r="H576" s="209" t="s">
        <v>88</v>
      </c>
      <c r="I576" s="209" t="s">
        <v>89</v>
      </c>
      <c r="J576" s="209" t="s">
        <v>90</v>
      </c>
      <c r="K576" s="210" t="s">
        <v>34</v>
      </c>
      <c r="L576" s="210"/>
      <c r="M576" s="209" t="s">
        <v>35</v>
      </c>
      <c r="N576" s="209">
        <v>42318949</v>
      </c>
      <c r="O576" s="209" t="s">
        <v>105</v>
      </c>
      <c r="P576" s="213">
        <v>44781.503437500003</v>
      </c>
      <c r="Q576" s="209"/>
      <c r="R576" s="209" t="s">
        <v>38</v>
      </c>
      <c r="S576" s="209"/>
      <c r="T576" s="209" t="s">
        <v>74</v>
      </c>
      <c r="U576" s="213">
        <v>44781.75</v>
      </c>
      <c r="V576" s="209" t="s">
        <v>41</v>
      </c>
      <c r="W576" s="209" t="s">
        <v>49</v>
      </c>
      <c r="X576" s="13" t="str">
        <f>IF(RIGHT(H576,2)&lt;&gt;"00",H576,"")</f>
        <v/>
      </c>
      <c r="Y576" s="26">
        <f ca="1">NETWORKDAYS(P576,$Y$1)</f>
        <v>148</v>
      </c>
      <c r="Z576" s="34">
        <v>1</v>
      </c>
      <c r="AA576" s="25" t="str">
        <f t="shared" ca="1" si="43"/>
        <v>A VENCER</v>
      </c>
      <c r="AB576" s="25" t="str">
        <f t="shared" si="46"/>
        <v>Dosa</v>
      </c>
      <c r="AC576" s="2" t="str">
        <f t="shared" si="45"/>
        <v xml:space="preserve"> RINALDO </v>
      </c>
      <c r="AD576" s="26">
        <f t="shared" si="47"/>
        <v>5</v>
      </c>
      <c r="AE576" s="26">
        <f t="shared" ca="1" si="44"/>
        <v>205.1728341435155</v>
      </c>
      <c r="AF576" s="35"/>
    </row>
    <row r="577" spans="1:32" hidden="1">
      <c r="A577" s="209">
        <v>8810529</v>
      </c>
      <c r="B577" s="209" t="s">
        <v>101</v>
      </c>
      <c r="C577" s="210" t="s">
        <v>1134</v>
      </c>
      <c r="D577" s="214"/>
      <c r="E577" s="214">
        <v>1058000206001</v>
      </c>
      <c r="F577" s="209" t="s">
        <v>29</v>
      </c>
      <c r="G577" s="209" t="s">
        <v>53</v>
      </c>
      <c r="H577" s="209" t="s">
        <v>289</v>
      </c>
      <c r="I577" s="209" t="s">
        <v>290</v>
      </c>
      <c r="J577" s="209" t="s">
        <v>56</v>
      </c>
      <c r="K577" s="210" t="s">
        <v>34</v>
      </c>
      <c r="L577" s="210"/>
      <c r="M577" s="209" t="s">
        <v>35</v>
      </c>
      <c r="N577" s="209">
        <v>42318949</v>
      </c>
      <c r="O577" s="209" t="s">
        <v>36</v>
      </c>
      <c r="P577" s="213">
        <v>44781.503437500003</v>
      </c>
      <c r="Q577" s="209"/>
      <c r="R577" s="209" t="s">
        <v>38</v>
      </c>
      <c r="S577" s="209"/>
      <c r="T577" s="209" t="s">
        <v>74</v>
      </c>
      <c r="U577" s="213">
        <v>44781.75</v>
      </c>
      <c r="V577" s="209" t="s">
        <v>41</v>
      </c>
      <c r="W577" s="209" t="s">
        <v>49</v>
      </c>
      <c r="X577" s="13" t="str">
        <f>IF(RIGHT(H577,2)&lt;&gt;"00",H577,"")</f>
        <v/>
      </c>
      <c r="Y577" s="26">
        <f ca="1">NETWORKDAYS(P577,$Y$1)</f>
        <v>148</v>
      </c>
      <c r="Z577" s="34">
        <v>1</v>
      </c>
      <c r="AA577" s="25" t="str">
        <f t="shared" ca="1" si="43"/>
        <v>A VENCER</v>
      </c>
      <c r="AB577" s="25" t="str">
        <f t="shared" si="46"/>
        <v>Dosa</v>
      </c>
      <c r="AC577" s="2" t="str">
        <f t="shared" si="45"/>
        <v xml:space="preserve"> CRISTINA </v>
      </c>
      <c r="AD577" s="26">
        <f t="shared" si="47"/>
        <v>5</v>
      </c>
      <c r="AE577" s="26">
        <f t="shared" ca="1" si="44"/>
        <v>205.1728341435155</v>
      </c>
      <c r="AF577" s="35"/>
    </row>
    <row r="578" spans="1:32" hidden="1">
      <c r="A578" s="209">
        <v>8810528</v>
      </c>
      <c r="B578" s="209" t="s">
        <v>101</v>
      </c>
      <c r="C578" s="210" t="s">
        <v>1134</v>
      </c>
      <c r="D578" s="214"/>
      <c r="E578" s="214">
        <v>1058000206001</v>
      </c>
      <c r="F578" s="209" t="s">
        <v>29</v>
      </c>
      <c r="G578" s="209" t="s">
        <v>53</v>
      </c>
      <c r="H578" s="209" t="s">
        <v>289</v>
      </c>
      <c r="I578" s="209" t="s">
        <v>290</v>
      </c>
      <c r="J578" s="209" t="s">
        <v>56</v>
      </c>
      <c r="K578" s="210" t="s">
        <v>34</v>
      </c>
      <c r="L578" s="210"/>
      <c r="M578" s="209" t="s">
        <v>35</v>
      </c>
      <c r="N578" s="209">
        <v>42318949</v>
      </c>
      <c r="O578" s="209" t="s">
        <v>105</v>
      </c>
      <c r="P578" s="213">
        <v>44781.503437500003</v>
      </c>
      <c r="Q578" s="209"/>
      <c r="R578" s="209" t="s">
        <v>38</v>
      </c>
      <c r="S578" s="209"/>
      <c r="T578" s="209" t="s">
        <v>74</v>
      </c>
      <c r="U578" s="213">
        <v>44781.75</v>
      </c>
      <c r="V578" s="209" t="s">
        <v>41</v>
      </c>
      <c r="W578" s="209" t="s">
        <v>49</v>
      </c>
      <c r="X578" s="13" t="str">
        <f>IF(RIGHT(H578,2)&lt;&gt;"00",H578,"")</f>
        <v/>
      </c>
      <c r="Y578" s="26">
        <f ca="1">NETWORKDAYS(P578,$Y$1)</f>
        <v>148</v>
      </c>
      <c r="Z578" s="34">
        <v>1</v>
      </c>
      <c r="AA578" s="25" t="str">
        <f t="shared" ref="AA578:AA641" ca="1" si="48">IF(AE578=0,"HOJE",IF(AE578&gt;0,"A VENCER",IF(AE578&lt;0,"VENCIDO")))</f>
        <v>A VENCER</v>
      </c>
      <c r="AB578" s="25" t="str">
        <f t="shared" si="46"/>
        <v>Dosa</v>
      </c>
      <c r="AC578" s="2" t="str">
        <f t="shared" si="45"/>
        <v xml:space="preserve"> CRISTINA </v>
      </c>
      <c r="AD578" s="26">
        <f t="shared" si="47"/>
        <v>5</v>
      </c>
      <c r="AE578" s="26">
        <f t="shared" ref="AE578:AE641" ca="1" si="49">IF(P578=$AE$1,"",$AE$1-P578)</f>
        <v>205.1728341435155</v>
      </c>
      <c r="AF578" s="35"/>
    </row>
    <row r="579" spans="1:32" hidden="1">
      <c r="A579" s="209">
        <v>8810527</v>
      </c>
      <c r="B579" s="209" t="s">
        <v>101</v>
      </c>
      <c r="C579" s="210" t="s">
        <v>1134</v>
      </c>
      <c r="D579" s="214"/>
      <c r="E579" s="214">
        <v>1058000206001</v>
      </c>
      <c r="F579" s="209" t="s">
        <v>29</v>
      </c>
      <c r="G579" s="209" t="s">
        <v>53</v>
      </c>
      <c r="H579" s="209" t="s">
        <v>289</v>
      </c>
      <c r="I579" s="209" t="s">
        <v>290</v>
      </c>
      <c r="J579" s="209" t="s">
        <v>56</v>
      </c>
      <c r="K579" s="210" t="s">
        <v>34</v>
      </c>
      <c r="L579" s="210"/>
      <c r="M579" s="209" t="s">
        <v>35</v>
      </c>
      <c r="N579" s="209">
        <v>42318949</v>
      </c>
      <c r="O579" s="209" t="s">
        <v>105</v>
      </c>
      <c r="P579" s="213">
        <v>44781.503437500003</v>
      </c>
      <c r="Q579" s="209"/>
      <c r="R579" s="209" t="s">
        <v>38</v>
      </c>
      <c r="S579" s="209"/>
      <c r="T579" s="209" t="s">
        <v>74</v>
      </c>
      <c r="U579" s="213">
        <v>44781.75</v>
      </c>
      <c r="V579" s="209" t="s">
        <v>41</v>
      </c>
      <c r="W579" s="209" t="s">
        <v>49</v>
      </c>
      <c r="X579" s="13" t="str">
        <f>IF(RIGHT(H579,2)&lt;&gt;"00",H579,"")</f>
        <v/>
      </c>
      <c r="Y579" s="26">
        <f ca="1">NETWORKDAYS(P579,$Y$1)</f>
        <v>148</v>
      </c>
      <c r="Z579" s="34">
        <v>1</v>
      </c>
      <c r="AA579" s="25" t="str">
        <f t="shared" ca="1" si="48"/>
        <v>A VENCER</v>
      </c>
      <c r="AB579" s="25" t="str">
        <f t="shared" si="46"/>
        <v>Dosa</v>
      </c>
      <c r="AC579" s="2" t="str">
        <f t="shared" ref="AC579:AC642" si="50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 xml:space="preserve"> CRISTINA </v>
      </c>
      <c r="AD579" s="26">
        <f t="shared" si="47"/>
        <v>5</v>
      </c>
      <c r="AE579" s="26">
        <f t="shared" ca="1" si="49"/>
        <v>205.1728341435155</v>
      </c>
      <c r="AF579" s="35"/>
    </row>
    <row r="580" spans="1:32" hidden="1">
      <c r="A580" s="209">
        <v>8810526</v>
      </c>
      <c r="B580" s="209" t="s">
        <v>101</v>
      </c>
      <c r="C580" s="210" t="s">
        <v>1134</v>
      </c>
      <c r="D580" s="214"/>
      <c r="E580" s="214">
        <v>1058000206001</v>
      </c>
      <c r="F580" s="209" t="s">
        <v>29</v>
      </c>
      <c r="G580" s="209" t="s">
        <v>53</v>
      </c>
      <c r="H580" s="209" t="s">
        <v>289</v>
      </c>
      <c r="I580" s="209" t="s">
        <v>290</v>
      </c>
      <c r="J580" s="209" t="s">
        <v>56</v>
      </c>
      <c r="K580" s="210" t="s">
        <v>34</v>
      </c>
      <c r="L580" s="210"/>
      <c r="M580" s="209" t="s">
        <v>35</v>
      </c>
      <c r="N580" s="209">
        <v>42318949</v>
      </c>
      <c r="O580" s="209" t="s">
        <v>105</v>
      </c>
      <c r="P580" s="213">
        <v>44781.503437500003</v>
      </c>
      <c r="Q580" s="209"/>
      <c r="R580" s="209" t="s">
        <v>38</v>
      </c>
      <c r="S580" s="209"/>
      <c r="T580" s="209" t="s">
        <v>74</v>
      </c>
      <c r="U580" s="213">
        <v>44781.75</v>
      </c>
      <c r="V580" s="209" t="s">
        <v>41</v>
      </c>
      <c r="W580" s="209" t="s">
        <v>49</v>
      </c>
      <c r="X580" s="13" t="str">
        <f>IF(RIGHT(H580,2)&lt;&gt;"00",H580,"")</f>
        <v/>
      </c>
      <c r="Y580" s="26">
        <f ca="1">NETWORKDAYS(P580,$Y$1)</f>
        <v>148</v>
      </c>
      <c r="Z580" s="34">
        <v>1</v>
      </c>
      <c r="AA580" s="25" t="str">
        <f t="shared" ca="1" si="48"/>
        <v>A VENCER</v>
      </c>
      <c r="AB580" s="25" t="str">
        <f t="shared" si="46"/>
        <v>Dosa</v>
      </c>
      <c r="AC580" s="2" t="str">
        <f t="shared" si="50"/>
        <v xml:space="preserve"> CRISTINA </v>
      </c>
      <c r="AD580" s="26">
        <f t="shared" si="47"/>
        <v>5</v>
      </c>
      <c r="AE580" s="26">
        <f t="shared" ca="1" si="49"/>
        <v>205.1728341435155</v>
      </c>
      <c r="AF580" s="35"/>
    </row>
    <row r="581" spans="1:32" hidden="1">
      <c r="A581" s="209">
        <v>8810525</v>
      </c>
      <c r="B581" s="209" t="s">
        <v>101</v>
      </c>
      <c r="C581" s="210" t="s">
        <v>1134</v>
      </c>
      <c r="D581" s="214"/>
      <c r="E581" s="214">
        <v>1058000206001</v>
      </c>
      <c r="F581" s="209" t="s">
        <v>29</v>
      </c>
      <c r="G581" s="209" t="s">
        <v>53</v>
      </c>
      <c r="H581" s="209" t="s">
        <v>289</v>
      </c>
      <c r="I581" s="209" t="s">
        <v>290</v>
      </c>
      <c r="J581" s="209" t="s">
        <v>56</v>
      </c>
      <c r="K581" s="210" t="s">
        <v>34</v>
      </c>
      <c r="L581" s="210"/>
      <c r="M581" s="209" t="s">
        <v>35</v>
      </c>
      <c r="N581" s="209">
        <v>42318949</v>
      </c>
      <c r="O581" s="209" t="s">
        <v>105</v>
      </c>
      <c r="P581" s="213">
        <v>44781.503437500003</v>
      </c>
      <c r="Q581" s="209"/>
      <c r="R581" s="209" t="s">
        <v>38</v>
      </c>
      <c r="S581" s="209"/>
      <c r="T581" s="209" t="s">
        <v>74</v>
      </c>
      <c r="U581" s="213">
        <v>44781.75</v>
      </c>
      <c r="V581" s="209" t="s">
        <v>41</v>
      </c>
      <c r="W581" s="209" t="s">
        <v>49</v>
      </c>
      <c r="X581" s="13" t="str">
        <f>IF(RIGHT(H581,2)&lt;&gt;"00",H581,"")</f>
        <v/>
      </c>
      <c r="Y581" s="26">
        <f ca="1">NETWORKDAYS(P581,$Y$1)</f>
        <v>148</v>
      </c>
      <c r="Z581" s="34">
        <v>1</v>
      </c>
      <c r="AA581" s="25" t="str">
        <f t="shared" ca="1" si="48"/>
        <v>A VENCER</v>
      </c>
      <c r="AB581" s="25" t="str">
        <f t="shared" si="46"/>
        <v>Dosa</v>
      </c>
      <c r="AC581" s="2" t="str">
        <f t="shared" si="50"/>
        <v xml:space="preserve"> CRISTINA </v>
      </c>
      <c r="AD581" s="26">
        <f t="shared" si="47"/>
        <v>5</v>
      </c>
      <c r="AE581" s="26">
        <f t="shared" ca="1" si="49"/>
        <v>205.1728341435155</v>
      </c>
      <c r="AF581" s="35"/>
    </row>
    <row r="582" spans="1:32" hidden="1">
      <c r="A582" s="209">
        <v>8810524</v>
      </c>
      <c r="B582" s="209" t="s">
        <v>101</v>
      </c>
      <c r="C582" s="210" t="s">
        <v>1134</v>
      </c>
      <c r="D582" s="214"/>
      <c r="E582" s="214">
        <v>1058000206001</v>
      </c>
      <c r="F582" s="209" t="s">
        <v>29</v>
      </c>
      <c r="G582" s="209" t="s">
        <v>53</v>
      </c>
      <c r="H582" s="209" t="s">
        <v>289</v>
      </c>
      <c r="I582" s="209" t="s">
        <v>290</v>
      </c>
      <c r="J582" s="209" t="s">
        <v>56</v>
      </c>
      <c r="K582" s="210" t="s">
        <v>34</v>
      </c>
      <c r="L582" s="210"/>
      <c r="M582" s="209" t="s">
        <v>35</v>
      </c>
      <c r="N582" s="209">
        <v>42318949</v>
      </c>
      <c r="O582" s="209" t="s">
        <v>105</v>
      </c>
      <c r="P582" s="213">
        <v>44781.503437500003</v>
      </c>
      <c r="Q582" s="209"/>
      <c r="R582" s="209" t="s">
        <v>38</v>
      </c>
      <c r="S582" s="209"/>
      <c r="T582" s="209" t="s">
        <v>74</v>
      </c>
      <c r="U582" s="213">
        <v>44781.75</v>
      </c>
      <c r="V582" s="209" t="s">
        <v>41</v>
      </c>
      <c r="W582" s="209" t="s">
        <v>49</v>
      </c>
      <c r="X582" s="13" t="str">
        <f>IF(RIGHT(H582,2)&lt;&gt;"00",H582,"")</f>
        <v/>
      </c>
      <c r="Y582" s="26">
        <f ca="1">NETWORKDAYS(P582,$Y$1)</f>
        <v>148</v>
      </c>
      <c r="Z582" s="34">
        <v>1</v>
      </c>
      <c r="AA582" s="25" t="str">
        <f t="shared" ca="1" si="48"/>
        <v>A VENCER</v>
      </c>
      <c r="AB582" s="25" t="str">
        <f t="shared" si="46"/>
        <v>Dosa</v>
      </c>
      <c r="AC582" s="2" t="str">
        <f t="shared" si="50"/>
        <v xml:space="preserve"> CRISTINA </v>
      </c>
      <c r="AD582" s="26">
        <f t="shared" si="47"/>
        <v>5</v>
      </c>
      <c r="AE582" s="26">
        <f t="shared" ca="1" si="49"/>
        <v>205.1728341435155</v>
      </c>
      <c r="AF582" s="35"/>
    </row>
    <row r="583" spans="1:32" hidden="1">
      <c r="A583" s="209">
        <v>8810520</v>
      </c>
      <c r="B583" s="209" t="s">
        <v>101</v>
      </c>
      <c r="C583" s="210" t="s">
        <v>1134</v>
      </c>
      <c r="D583" s="214"/>
      <c r="E583" s="214">
        <v>1052000206001</v>
      </c>
      <c r="F583" s="209" t="s">
        <v>29</v>
      </c>
      <c r="G583" s="209" t="s">
        <v>53</v>
      </c>
      <c r="H583" s="209" t="s">
        <v>329</v>
      </c>
      <c r="I583" s="209" t="s">
        <v>330</v>
      </c>
      <c r="J583" s="209" t="s">
        <v>79</v>
      </c>
      <c r="K583" s="210" t="s">
        <v>34</v>
      </c>
      <c r="L583" s="210"/>
      <c r="M583" s="209" t="s">
        <v>35</v>
      </c>
      <c r="N583" s="209">
        <v>42318949</v>
      </c>
      <c r="O583" s="209" t="s">
        <v>105</v>
      </c>
      <c r="P583" s="213">
        <v>44781.503425925926</v>
      </c>
      <c r="Q583" s="209"/>
      <c r="R583" s="209" t="s">
        <v>38</v>
      </c>
      <c r="S583" s="209"/>
      <c r="T583" s="209" t="s">
        <v>74</v>
      </c>
      <c r="U583" s="213">
        <v>44781.75</v>
      </c>
      <c r="V583" s="209" t="s">
        <v>41</v>
      </c>
      <c r="W583" s="209" t="s">
        <v>49</v>
      </c>
      <c r="X583" s="13" t="str">
        <f>IF(RIGHT(H583,2)&lt;&gt;"00",H583,"")</f>
        <v/>
      </c>
      <c r="Y583" s="26">
        <f ca="1">NETWORKDAYS(P583,$Y$1)</f>
        <v>148</v>
      </c>
      <c r="Z583" s="34">
        <v>1</v>
      </c>
      <c r="AA583" s="25" t="str">
        <f t="shared" ca="1" si="48"/>
        <v>A VENCER</v>
      </c>
      <c r="AB583" s="25" t="str">
        <f t="shared" si="46"/>
        <v>Dosa</v>
      </c>
      <c r="AC583" s="2" t="str">
        <f t="shared" si="50"/>
        <v xml:space="preserve"> ROSEMERE </v>
      </c>
      <c r="AD583" s="26">
        <f t="shared" si="47"/>
        <v>5</v>
      </c>
      <c r="AE583" s="26">
        <f t="shared" ca="1" si="49"/>
        <v>205.17284571759228</v>
      </c>
      <c r="AF583" s="35"/>
    </row>
    <row r="584" spans="1:32" hidden="1">
      <c r="A584" s="209">
        <v>8810519</v>
      </c>
      <c r="B584" s="209" t="s">
        <v>101</v>
      </c>
      <c r="C584" s="210" t="s">
        <v>1134</v>
      </c>
      <c r="D584" s="214"/>
      <c r="E584" s="214">
        <v>1052000206001</v>
      </c>
      <c r="F584" s="209" t="s">
        <v>29</v>
      </c>
      <c r="G584" s="209" t="s">
        <v>53</v>
      </c>
      <c r="H584" s="209" t="s">
        <v>329</v>
      </c>
      <c r="I584" s="209" t="s">
        <v>330</v>
      </c>
      <c r="J584" s="209" t="s">
        <v>79</v>
      </c>
      <c r="K584" s="210" t="s">
        <v>34</v>
      </c>
      <c r="L584" s="210"/>
      <c r="M584" s="209" t="s">
        <v>35</v>
      </c>
      <c r="N584" s="209">
        <v>42318949</v>
      </c>
      <c r="O584" s="209" t="s">
        <v>105</v>
      </c>
      <c r="P584" s="213">
        <v>44781.503425925926</v>
      </c>
      <c r="Q584" s="209"/>
      <c r="R584" s="209" t="s">
        <v>38</v>
      </c>
      <c r="S584" s="209"/>
      <c r="T584" s="209" t="s">
        <v>74</v>
      </c>
      <c r="U584" s="213">
        <v>44781.75</v>
      </c>
      <c r="V584" s="209" t="s">
        <v>41</v>
      </c>
      <c r="W584" s="209" t="s">
        <v>49</v>
      </c>
      <c r="X584" s="13" t="str">
        <f>IF(RIGHT(H584,2)&lt;&gt;"00",H584,"")</f>
        <v/>
      </c>
      <c r="Y584" s="26">
        <f ca="1">NETWORKDAYS(P584,$Y$1)</f>
        <v>148</v>
      </c>
      <c r="Z584" s="34">
        <v>1</v>
      </c>
      <c r="AA584" s="25" t="str">
        <f t="shared" ca="1" si="48"/>
        <v>A VENCER</v>
      </c>
      <c r="AB584" s="25" t="str">
        <f t="shared" si="46"/>
        <v>Dosa</v>
      </c>
      <c r="AC584" s="2" t="str">
        <f t="shared" si="50"/>
        <v xml:space="preserve"> ROSEMERE </v>
      </c>
      <c r="AD584" s="26">
        <f t="shared" si="47"/>
        <v>5</v>
      </c>
      <c r="AE584" s="26">
        <f t="shared" ca="1" si="49"/>
        <v>205.17284571759228</v>
      </c>
      <c r="AF584" s="35"/>
    </row>
    <row r="585" spans="1:32" hidden="1">
      <c r="A585" s="209">
        <v>8810243</v>
      </c>
      <c r="B585" s="209" t="s">
        <v>101</v>
      </c>
      <c r="C585" s="210" t="s">
        <v>1134</v>
      </c>
      <c r="D585" s="214"/>
      <c r="E585" s="214">
        <v>550000206001</v>
      </c>
      <c r="F585" s="209" t="s">
        <v>29</v>
      </c>
      <c r="G585" s="209" t="s">
        <v>53</v>
      </c>
      <c r="H585" s="209" t="s">
        <v>337</v>
      </c>
      <c r="I585" s="209" t="s">
        <v>338</v>
      </c>
      <c r="J585" s="209" t="s">
        <v>164</v>
      </c>
      <c r="K585" s="210" t="s">
        <v>34</v>
      </c>
      <c r="L585" s="210"/>
      <c r="M585" s="209" t="s">
        <v>35</v>
      </c>
      <c r="N585" s="209">
        <v>42318949</v>
      </c>
      <c r="O585" s="209" t="s">
        <v>105</v>
      </c>
      <c r="P585" s="213">
        <v>44781.50309027778</v>
      </c>
      <c r="Q585" s="209"/>
      <c r="R585" s="209" t="s">
        <v>38</v>
      </c>
      <c r="S585" s="209"/>
      <c r="T585" s="209" t="s">
        <v>74</v>
      </c>
      <c r="U585" s="213">
        <v>44781.75</v>
      </c>
      <c r="V585" s="209" t="s">
        <v>41</v>
      </c>
      <c r="W585" s="209" t="s">
        <v>49</v>
      </c>
      <c r="X585" s="13" t="str">
        <f>IF(RIGHT(H585,2)&lt;&gt;"00",H585,"")</f>
        <v/>
      </c>
      <c r="Y585" s="26">
        <f ca="1">NETWORKDAYS(P585,$Y$1)</f>
        <v>148</v>
      </c>
      <c r="Z585" s="34">
        <v>1</v>
      </c>
      <c r="AA585" s="25" t="str">
        <f t="shared" ca="1" si="48"/>
        <v>A VENCER</v>
      </c>
      <c r="AB585" s="25" t="str">
        <f t="shared" si="46"/>
        <v>Dosa</v>
      </c>
      <c r="AC585" s="2" t="str">
        <f t="shared" si="50"/>
        <v xml:space="preserve"> ROSEMERE </v>
      </c>
      <c r="AD585" s="26">
        <f t="shared" si="47"/>
        <v>5</v>
      </c>
      <c r="AE585" s="26">
        <f t="shared" ca="1" si="49"/>
        <v>205.17318136573886</v>
      </c>
      <c r="AF585" s="35"/>
    </row>
    <row r="586" spans="1:32" hidden="1">
      <c r="A586" s="209">
        <v>8810238</v>
      </c>
      <c r="B586" s="209" t="s">
        <v>101</v>
      </c>
      <c r="C586" s="210" t="s">
        <v>1134</v>
      </c>
      <c r="D586" s="214"/>
      <c r="E586" s="214">
        <v>537000206001</v>
      </c>
      <c r="F586" s="209" t="s">
        <v>29</v>
      </c>
      <c r="G586" s="209" t="s">
        <v>53</v>
      </c>
      <c r="H586" s="209" t="s">
        <v>442</v>
      </c>
      <c r="I586" s="209" t="s">
        <v>443</v>
      </c>
      <c r="J586" s="209" t="s">
        <v>79</v>
      </c>
      <c r="K586" s="210" t="s">
        <v>34</v>
      </c>
      <c r="L586" s="210"/>
      <c r="M586" s="209" t="s">
        <v>35</v>
      </c>
      <c r="N586" s="209">
        <v>42318949</v>
      </c>
      <c r="O586" s="209" t="s">
        <v>36</v>
      </c>
      <c r="P586" s="213">
        <v>44781.503078703703</v>
      </c>
      <c r="Q586" s="209"/>
      <c r="R586" s="209" t="s">
        <v>38</v>
      </c>
      <c r="S586" s="209"/>
      <c r="T586" s="209" t="s">
        <v>74</v>
      </c>
      <c r="U586" s="213">
        <v>44781.75</v>
      </c>
      <c r="V586" s="209" t="s">
        <v>41</v>
      </c>
      <c r="W586" s="209" t="s">
        <v>49</v>
      </c>
      <c r="X586" s="13" t="str">
        <f>IF(RIGHT(H586,2)&lt;&gt;"00",H586,"")</f>
        <v/>
      </c>
      <c r="Y586" s="26">
        <f ca="1">NETWORKDAYS(P586,$Y$1)</f>
        <v>148</v>
      </c>
      <c r="Z586" s="34">
        <v>1</v>
      </c>
      <c r="AA586" s="25" t="str">
        <f t="shared" ca="1" si="48"/>
        <v>A VENCER</v>
      </c>
      <c r="AB586" s="25" t="str">
        <f t="shared" si="46"/>
        <v>Dosa</v>
      </c>
      <c r="AC586" s="2" t="str">
        <f t="shared" si="50"/>
        <v xml:space="preserve"> ROSEMERE </v>
      </c>
      <c r="AD586" s="26">
        <f t="shared" si="47"/>
        <v>5</v>
      </c>
      <c r="AE586" s="26">
        <f t="shared" ca="1" si="49"/>
        <v>205.17319293981564</v>
      </c>
      <c r="AF586" s="35"/>
    </row>
    <row r="587" spans="1:32" hidden="1">
      <c r="A587" s="209">
        <v>8824380</v>
      </c>
      <c r="B587" s="209" t="s">
        <v>62</v>
      </c>
      <c r="C587" s="210" t="s">
        <v>1148</v>
      </c>
      <c r="D587" s="214"/>
      <c r="E587" s="214">
        <v>2229000203000</v>
      </c>
      <c r="F587" s="209" t="s">
        <v>454</v>
      </c>
      <c r="G587" s="209" t="s">
        <v>53</v>
      </c>
      <c r="H587" s="209" t="s">
        <v>339</v>
      </c>
      <c r="I587" s="209" t="s">
        <v>340</v>
      </c>
      <c r="J587" s="209" t="s">
        <v>211</v>
      </c>
      <c r="K587" s="210" t="s">
        <v>457</v>
      </c>
      <c r="L587" s="210"/>
      <c r="M587" s="209" t="s">
        <v>58</v>
      </c>
      <c r="N587" s="209">
        <v>0</v>
      </c>
      <c r="O587" s="209" t="s">
        <v>36</v>
      </c>
      <c r="P587" s="213">
        <v>44783.627187500002</v>
      </c>
      <c r="Q587" s="209"/>
      <c r="R587" s="209">
        <v>1</v>
      </c>
      <c r="S587" s="209"/>
      <c r="T587" s="209" t="s">
        <v>157</v>
      </c>
      <c r="U587" s="213">
        <v>44818.75</v>
      </c>
      <c r="V587" s="209" t="s">
        <v>41</v>
      </c>
      <c r="W587" s="209" t="s">
        <v>49</v>
      </c>
      <c r="X587" s="13" t="str">
        <f>IF(RIGHT(H587,2)&lt;&gt;"00",H587,"")</f>
        <v/>
      </c>
      <c r="Y587" s="26">
        <f ca="1">NETWORKDAYS(P587,$Y$1)</f>
        <v>146</v>
      </c>
      <c r="Z587" s="34">
        <v>1</v>
      </c>
      <c r="AA587" s="25" t="str">
        <f t="shared" ca="1" si="48"/>
        <v>A VENCER</v>
      </c>
      <c r="AB587" s="25" t="str">
        <f t="shared" si="46"/>
        <v>C-14</v>
      </c>
      <c r="AC587" s="2" t="str">
        <f t="shared" si="50"/>
        <v xml:space="preserve"> RINALDO </v>
      </c>
      <c r="AD587" s="26">
        <f t="shared" si="47"/>
        <v>5</v>
      </c>
      <c r="AE587" s="26">
        <f t="shared" ca="1" si="49"/>
        <v>203.04908414351667</v>
      </c>
      <c r="AF587" s="35"/>
    </row>
    <row r="588" spans="1:32" hidden="1">
      <c r="A588" s="209">
        <v>8823141</v>
      </c>
      <c r="B588" s="209" t="s">
        <v>62</v>
      </c>
      <c r="C588" s="210" t="s">
        <v>1151</v>
      </c>
      <c r="D588" s="214"/>
      <c r="E588" s="214">
        <v>2156000203000</v>
      </c>
      <c r="F588" s="209" t="s">
        <v>454</v>
      </c>
      <c r="G588" s="209" t="s">
        <v>53</v>
      </c>
      <c r="H588" s="209" t="s">
        <v>278</v>
      </c>
      <c r="I588" s="209" t="s">
        <v>279</v>
      </c>
      <c r="J588" s="209" t="s">
        <v>211</v>
      </c>
      <c r="K588" s="210" t="s">
        <v>457</v>
      </c>
      <c r="L588" s="210"/>
      <c r="M588" s="209" t="s">
        <v>58</v>
      </c>
      <c r="N588" s="209">
        <v>0</v>
      </c>
      <c r="O588" s="209" t="s">
        <v>36</v>
      </c>
      <c r="P588" s="213">
        <v>44783.379814814813</v>
      </c>
      <c r="Q588" s="209"/>
      <c r="R588" s="209">
        <v>1</v>
      </c>
      <c r="S588" s="209"/>
      <c r="T588" s="209" t="s">
        <v>157</v>
      </c>
      <c r="U588" s="213">
        <v>44818.75</v>
      </c>
      <c r="V588" s="209" t="s">
        <v>41</v>
      </c>
      <c r="W588" s="209" t="s">
        <v>49</v>
      </c>
      <c r="X588" s="13" t="str">
        <f>IF(RIGHT(H588,2)&lt;&gt;"00",H588,"")</f>
        <v/>
      </c>
      <c r="Y588" s="26">
        <f ca="1">NETWORKDAYS(P588,$Y$1)</f>
        <v>146</v>
      </c>
      <c r="Z588" s="34">
        <v>1</v>
      </c>
      <c r="AA588" s="25" t="str">
        <f t="shared" ca="1" si="48"/>
        <v>A VENCER</v>
      </c>
      <c r="AB588" s="25" t="str">
        <f t="shared" si="46"/>
        <v>C-14</v>
      </c>
      <c r="AC588" s="2" t="str">
        <f t="shared" si="50"/>
        <v xml:space="preserve"> RINALDO </v>
      </c>
      <c r="AD588" s="26">
        <f t="shared" si="47"/>
        <v>5</v>
      </c>
      <c r="AE588" s="26">
        <f t="shared" ca="1" si="49"/>
        <v>203.29645682870614</v>
      </c>
      <c r="AF588" s="35"/>
    </row>
    <row r="589" spans="1:32" hidden="1">
      <c r="A589" s="209">
        <v>8827051</v>
      </c>
      <c r="B589" s="209" t="s">
        <v>1153</v>
      </c>
      <c r="C589" s="210" t="s">
        <v>1154</v>
      </c>
      <c r="D589" s="214">
        <v>20228489000013</v>
      </c>
      <c r="E589" s="214">
        <v>7417172315843</v>
      </c>
      <c r="F589" s="209" t="s">
        <v>1155</v>
      </c>
      <c r="G589" s="209" t="s">
        <v>53</v>
      </c>
      <c r="H589" s="209" t="s">
        <v>1156</v>
      </c>
      <c r="I589" s="209" t="s">
        <v>1157</v>
      </c>
      <c r="J589" s="209" t="s">
        <v>46</v>
      </c>
      <c r="K589" s="210" t="s">
        <v>1158</v>
      </c>
      <c r="L589" s="210"/>
      <c r="M589" s="209" t="s">
        <v>58</v>
      </c>
      <c r="N589" s="209">
        <v>0</v>
      </c>
      <c r="O589" s="209" t="s">
        <v>36</v>
      </c>
      <c r="P589" s="213">
        <v>44784.603321759256</v>
      </c>
      <c r="Q589" s="209"/>
      <c r="R589" s="209">
        <v>22</v>
      </c>
      <c r="S589" s="209"/>
      <c r="T589" s="209" t="s">
        <v>1160</v>
      </c>
      <c r="U589" s="213">
        <v>44789.436655092592</v>
      </c>
      <c r="V589" s="209" t="s">
        <v>41</v>
      </c>
      <c r="W589" s="209" t="s">
        <v>49</v>
      </c>
      <c r="X589" s="13" t="str">
        <f>IF(RIGHT(H589,2)&lt;&gt;"00",H589,"")</f>
        <v/>
      </c>
      <c r="Y589" s="26">
        <f ca="1">NETWORKDAYS(P589,$Y$1)</f>
        <v>145</v>
      </c>
      <c r="Z589" s="34">
        <v>1</v>
      </c>
      <c r="AA589" s="25" t="str">
        <f t="shared" ca="1" si="48"/>
        <v>A VENCER</v>
      </c>
      <c r="AB589" s="25" t="str">
        <f t="shared" si="46"/>
        <v>TAAe+</v>
      </c>
      <c r="AC589" s="2" t="str">
        <f t="shared" si="50"/>
        <v xml:space="preserve"> CLEITON </v>
      </c>
      <c r="AD589" s="26">
        <f t="shared" si="47"/>
        <v>8</v>
      </c>
      <c r="AE589" s="26">
        <f t="shared" ca="1" si="49"/>
        <v>202.07294988426293</v>
      </c>
      <c r="AF589" s="35"/>
    </row>
    <row r="590" spans="1:32" hidden="1">
      <c r="A590" s="209">
        <v>8833673</v>
      </c>
      <c r="B590" s="209" t="s">
        <v>62</v>
      </c>
      <c r="C590" s="210" t="s">
        <v>1162</v>
      </c>
      <c r="D590" s="214"/>
      <c r="E590" s="214">
        <v>3108000206001</v>
      </c>
      <c r="F590" s="209" t="s">
        <v>29</v>
      </c>
      <c r="G590" s="209" t="s">
        <v>53</v>
      </c>
      <c r="H590" s="209" t="s">
        <v>325</v>
      </c>
      <c r="I590" s="209" t="s">
        <v>326</v>
      </c>
      <c r="J590" s="209" t="s">
        <v>46</v>
      </c>
      <c r="K590" s="210" t="s">
        <v>34</v>
      </c>
      <c r="L590" s="210"/>
      <c r="M590" s="209" t="s">
        <v>35</v>
      </c>
      <c r="N590" s="209">
        <v>42318949</v>
      </c>
      <c r="O590" s="209" t="s">
        <v>36</v>
      </c>
      <c r="P590" s="213">
        <v>44788.457800925928</v>
      </c>
      <c r="Q590" s="209"/>
      <c r="R590" s="209" t="s">
        <v>38</v>
      </c>
      <c r="S590" s="209"/>
      <c r="T590" s="209" t="s">
        <v>74</v>
      </c>
      <c r="U590" s="213">
        <v>44830.75</v>
      </c>
      <c r="V590" s="209" t="s">
        <v>41</v>
      </c>
      <c r="W590" s="209" t="s">
        <v>49</v>
      </c>
      <c r="X590" s="13" t="str">
        <f>IF(RIGHT(H590,2)&lt;&gt;"00",H590,"")</f>
        <v/>
      </c>
      <c r="Y590" s="26">
        <f ca="1">NETWORKDAYS(P590,$Y$1)</f>
        <v>143</v>
      </c>
      <c r="Z590" s="34">
        <v>1</v>
      </c>
      <c r="AA590" s="25" t="str">
        <f t="shared" ca="1" si="48"/>
        <v>A VENCER</v>
      </c>
      <c r="AB590" s="25" t="str">
        <f t="shared" si="46"/>
        <v>Dosa</v>
      </c>
      <c r="AC590" s="2" t="str">
        <f t="shared" si="50"/>
        <v xml:space="preserve"> CLEITON </v>
      </c>
      <c r="AD590" s="26">
        <f t="shared" si="47"/>
        <v>5</v>
      </c>
      <c r="AE590" s="26">
        <f t="shared" ca="1" si="49"/>
        <v>198.21847071759112</v>
      </c>
      <c r="AF590" s="35"/>
    </row>
    <row r="591" spans="1:32" hidden="1">
      <c r="A591" s="209">
        <v>8839442</v>
      </c>
      <c r="B591" s="209" t="s">
        <v>62</v>
      </c>
      <c r="C591" s="210" t="s">
        <v>1165</v>
      </c>
      <c r="D591" s="214"/>
      <c r="E591" s="214">
        <v>7420380203000</v>
      </c>
      <c r="F591" s="209" t="s">
        <v>454</v>
      </c>
      <c r="G591" s="209" t="s">
        <v>30</v>
      </c>
      <c r="H591" s="209" t="s">
        <v>1166</v>
      </c>
      <c r="I591" s="209" t="s">
        <v>1167</v>
      </c>
      <c r="J591" s="209" t="s">
        <v>46</v>
      </c>
      <c r="K591" s="210" t="s">
        <v>457</v>
      </c>
      <c r="L591" s="210"/>
      <c r="M591" s="209" t="s">
        <v>58</v>
      </c>
      <c r="N591" s="209">
        <v>0</v>
      </c>
      <c r="O591" s="209" t="s">
        <v>105</v>
      </c>
      <c r="P591" s="213">
        <v>44790.487199074072</v>
      </c>
      <c r="Q591" s="209"/>
      <c r="R591" s="209" t="s">
        <v>38</v>
      </c>
      <c r="S591" s="209"/>
      <c r="T591" s="209" t="s">
        <v>157</v>
      </c>
      <c r="U591" s="213">
        <v>44825.75</v>
      </c>
      <c r="V591" s="209" t="s">
        <v>41</v>
      </c>
      <c r="W591" s="209" t="s">
        <v>49</v>
      </c>
      <c r="X591" s="13" t="str">
        <f>IF(RIGHT(H591,2)&lt;&gt;"00",H591,"")</f>
        <v>7420.38</v>
      </c>
      <c r="Y591" s="26">
        <f ca="1">NETWORKDAYS(P591,$Y$1)</f>
        <v>141</v>
      </c>
      <c r="Z591" s="34">
        <v>1</v>
      </c>
      <c r="AA591" s="25" t="str">
        <f t="shared" ca="1" si="48"/>
        <v>A VENCER</v>
      </c>
      <c r="AB591" s="25" t="str">
        <f t="shared" si="46"/>
        <v>C-14</v>
      </c>
      <c r="AC591" s="2" t="str">
        <f t="shared" si="50"/>
        <v xml:space="preserve"> CLEITON </v>
      </c>
      <c r="AD591" s="26">
        <f t="shared" si="47"/>
        <v>5</v>
      </c>
      <c r="AE591" s="26">
        <f t="shared" ca="1" si="49"/>
        <v>196.18907256944658</v>
      </c>
      <c r="AF591" s="35"/>
    </row>
    <row r="592" spans="1:32" hidden="1">
      <c r="A592" s="209">
        <v>8844322</v>
      </c>
      <c r="B592" s="209" t="s">
        <v>62</v>
      </c>
      <c r="C592" s="210" t="s">
        <v>1170</v>
      </c>
      <c r="D592" s="214"/>
      <c r="E592" s="214">
        <v>714000203000</v>
      </c>
      <c r="F592" s="209" t="s">
        <v>454</v>
      </c>
      <c r="G592" s="209" t="s">
        <v>53</v>
      </c>
      <c r="H592" s="209" t="s">
        <v>377</v>
      </c>
      <c r="I592" s="209" t="s">
        <v>378</v>
      </c>
      <c r="J592" s="209" t="s">
        <v>46</v>
      </c>
      <c r="K592" s="210" t="s">
        <v>457</v>
      </c>
      <c r="L592" s="210"/>
      <c r="M592" s="209" t="s">
        <v>58</v>
      </c>
      <c r="N592" s="209">
        <v>0</v>
      </c>
      <c r="O592" s="209" t="s">
        <v>36</v>
      </c>
      <c r="P592" s="213">
        <v>44792.402997685182</v>
      </c>
      <c r="Q592" s="209"/>
      <c r="R592" s="209">
        <v>1</v>
      </c>
      <c r="S592" s="209"/>
      <c r="T592" s="209" t="s">
        <v>157</v>
      </c>
      <c r="U592" s="213">
        <v>44827.75</v>
      </c>
      <c r="V592" s="209" t="s">
        <v>41</v>
      </c>
      <c r="W592" s="209" t="s">
        <v>49</v>
      </c>
      <c r="X592" s="13" t="str">
        <f>IF(RIGHT(H592,2)&lt;&gt;"00",H592,"")</f>
        <v/>
      </c>
      <c r="Y592" s="26">
        <f ca="1">NETWORKDAYS(P592,$Y$1)</f>
        <v>139</v>
      </c>
      <c r="Z592" s="34">
        <v>1</v>
      </c>
      <c r="AA592" s="25" t="str">
        <f t="shared" ca="1" si="48"/>
        <v>A VENCER</v>
      </c>
      <c r="AB592" s="25" t="str">
        <f t="shared" si="46"/>
        <v>C-14</v>
      </c>
      <c r="AC592" s="2" t="str">
        <f t="shared" si="50"/>
        <v xml:space="preserve"> CLEITON </v>
      </c>
      <c r="AD592" s="26">
        <f t="shared" si="47"/>
        <v>5</v>
      </c>
      <c r="AE592" s="26">
        <f t="shared" ca="1" si="49"/>
        <v>194.27327395833709</v>
      </c>
      <c r="AF592" s="35"/>
    </row>
    <row r="593" spans="1:32" hidden="1">
      <c r="A593" s="209">
        <v>8844316</v>
      </c>
      <c r="B593" s="209" t="s">
        <v>62</v>
      </c>
      <c r="C593" s="210" t="s">
        <v>1173</v>
      </c>
      <c r="D593" s="214"/>
      <c r="E593" s="214">
        <v>714000206001</v>
      </c>
      <c r="F593" s="209" t="s">
        <v>29</v>
      </c>
      <c r="G593" s="209" t="s">
        <v>53</v>
      </c>
      <c r="H593" s="209" t="s">
        <v>377</v>
      </c>
      <c r="I593" s="209" t="s">
        <v>378</v>
      </c>
      <c r="J593" s="209" t="s">
        <v>46</v>
      </c>
      <c r="K593" s="210" t="s">
        <v>34</v>
      </c>
      <c r="L593" s="210"/>
      <c r="M593" s="209" t="s">
        <v>35</v>
      </c>
      <c r="N593" s="209">
        <v>42318949</v>
      </c>
      <c r="O593" s="209" t="s">
        <v>36</v>
      </c>
      <c r="P593" s="213">
        <v>44792.402361111112</v>
      </c>
      <c r="Q593" s="209"/>
      <c r="R593" s="209" t="s">
        <v>38</v>
      </c>
      <c r="S593" s="209"/>
      <c r="T593" s="209" t="s">
        <v>74</v>
      </c>
      <c r="U593" s="213">
        <v>44834.75</v>
      </c>
      <c r="V593" s="209" t="s">
        <v>41</v>
      </c>
      <c r="W593" s="209" t="s">
        <v>49</v>
      </c>
      <c r="X593" s="13" t="str">
        <f>IF(RIGHT(H593,2)&lt;&gt;"00",H593,"")</f>
        <v/>
      </c>
      <c r="Y593" s="26">
        <f ca="1">NETWORKDAYS(P593,$Y$1)</f>
        <v>139</v>
      </c>
      <c r="Z593" s="34">
        <v>1</v>
      </c>
      <c r="AA593" s="25" t="str">
        <f t="shared" ca="1" si="48"/>
        <v>A VENCER</v>
      </c>
      <c r="AB593" s="25" t="str">
        <f t="shared" si="46"/>
        <v>Dosa</v>
      </c>
      <c r="AC593" s="2" t="str">
        <f t="shared" si="50"/>
        <v xml:space="preserve"> CLEITON </v>
      </c>
      <c r="AD593" s="26">
        <f t="shared" si="47"/>
        <v>5</v>
      </c>
      <c r="AE593" s="26">
        <f t="shared" ca="1" si="49"/>
        <v>194.27391053240717</v>
      </c>
      <c r="AF593" s="35"/>
    </row>
    <row r="594" spans="1:32" hidden="1">
      <c r="A594" s="209">
        <v>8851831</v>
      </c>
      <c r="B594" s="209" t="s">
        <v>101</v>
      </c>
      <c r="C594" s="210" t="s">
        <v>1176</v>
      </c>
      <c r="D594" s="214"/>
      <c r="E594" s="214">
        <v>9704000206121</v>
      </c>
      <c r="F594" s="209" t="s">
        <v>113</v>
      </c>
      <c r="G594" s="209" t="s">
        <v>53</v>
      </c>
      <c r="H594" s="209" t="s">
        <v>488</v>
      </c>
      <c r="I594" s="209" t="s">
        <v>489</v>
      </c>
      <c r="J594" s="209" t="s">
        <v>90</v>
      </c>
      <c r="K594" s="210" t="s">
        <v>116</v>
      </c>
      <c r="L594" s="210"/>
      <c r="M594" s="209" t="s">
        <v>35</v>
      </c>
      <c r="N594" s="209">
        <v>42318949</v>
      </c>
      <c r="O594" s="209" t="s">
        <v>105</v>
      </c>
      <c r="P594" s="213">
        <v>44795.769953703704</v>
      </c>
      <c r="Q594" s="209"/>
      <c r="R594" s="209" t="s">
        <v>38</v>
      </c>
      <c r="S594" s="209"/>
      <c r="T594" s="209" t="s">
        <v>74</v>
      </c>
      <c r="U594" s="213">
        <v>44796.75</v>
      </c>
      <c r="V594" s="209" t="s">
        <v>41</v>
      </c>
      <c r="W594" s="209" t="s">
        <v>49</v>
      </c>
      <c r="X594" s="13" t="str">
        <f>IF(RIGHT(H594,2)&lt;&gt;"00",H594,"")</f>
        <v/>
      </c>
      <c r="Y594" s="26">
        <f ca="1">NETWORKDAYS(P594,$Y$1)</f>
        <v>138</v>
      </c>
      <c r="Z594" s="34">
        <v>1</v>
      </c>
      <c r="AA594" s="25" t="str">
        <f t="shared" ca="1" si="48"/>
        <v>A VENCER</v>
      </c>
      <c r="AB594" s="25" t="str">
        <f t="shared" si="46"/>
        <v>TAAe+</v>
      </c>
      <c r="AC594" s="2" t="str">
        <f t="shared" si="50"/>
        <v xml:space="preserve"> RINALDO </v>
      </c>
      <c r="AD594" s="26">
        <f t="shared" si="47"/>
        <v>8</v>
      </c>
      <c r="AE594" s="26">
        <f t="shared" ca="1" si="49"/>
        <v>190.90631793981447</v>
      </c>
      <c r="AF594" s="35"/>
    </row>
    <row r="595" spans="1:32" hidden="1">
      <c r="A595" s="209">
        <v>8851830</v>
      </c>
      <c r="B595" s="209" t="s">
        <v>101</v>
      </c>
      <c r="C595" s="210" t="s">
        <v>1176</v>
      </c>
      <c r="D595" s="214"/>
      <c r="E595" s="214">
        <v>9704000206121</v>
      </c>
      <c r="F595" s="209" t="s">
        <v>113</v>
      </c>
      <c r="G595" s="209" t="s">
        <v>53</v>
      </c>
      <c r="H595" s="209" t="s">
        <v>488</v>
      </c>
      <c r="I595" s="209" t="s">
        <v>489</v>
      </c>
      <c r="J595" s="209" t="s">
        <v>90</v>
      </c>
      <c r="K595" s="210" t="s">
        <v>116</v>
      </c>
      <c r="L595" s="210"/>
      <c r="M595" s="209" t="s">
        <v>35</v>
      </c>
      <c r="N595" s="209">
        <v>42318949</v>
      </c>
      <c r="O595" s="209" t="s">
        <v>105</v>
      </c>
      <c r="P595" s="213">
        <v>44795.769953703704</v>
      </c>
      <c r="Q595" s="209"/>
      <c r="R595" s="209" t="s">
        <v>38</v>
      </c>
      <c r="S595" s="209"/>
      <c r="T595" s="209" t="s">
        <v>74</v>
      </c>
      <c r="U595" s="213">
        <v>44796.75</v>
      </c>
      <c r="V595" s="209" t="s">
        <v>41</v>
      </c>
      <c r="W595" s="209" t="s">
        <v>49</v>
      </c>
      <c r="X595" s="13" t="str">
        <f>IF(RIGHT(H595,2)&lt;&gt;"00",H595,"")</f>
        <v/>
      </c>
      <c r="Y595" s="26">
        <f ca="1">NETWORKDAYS(P595,$Y$1)</f>
        <v>138</v>
      </c>
      <c r="Z595" s="34">
        <v>1</v>
      </c>
      <c r="AA595" s="25" t="str">
        <f t="shared" ca="1" si="48"/>
        <v>A VENCER</v>
      </c>
      <c r="AB595" s="25" t="str">
        <f t="shared" si="46"/>
        <v>TAAe+</v>
      </c>
      <c r="AC595" s="2" t="str">
        <f t="shared" si="50"/>
        <v xml:space="preserve"> RINALDO </v>
      </c>
      <c r="AD595" s="26">
        <f t="shared" si="47"/>
        <v>8</v>
      </c>
      <c r="AE595" s="26">
        <f t="shared" ca="1" si="49"/>
        <v>190.90631793981447</v>
      </c>
      <c r="AF595" s="35"/>
    </row>
    <row r="596" spans="1:32" hidden="1">
      <c r="A596" s="209">
        <v>8851829</v>
      </c>
      <c r="B596" s="209" t="s">
        <v>101</v>
      </c>
      <c r="C596" s="210" t="s">
        <v>1176</v>
      </c>
      <c r="D596" s="214"/>
      <c r="E596" s="214">
        <v>9704000206121</v>
      </c>
      <c r="F596" s="209" t="s">
        <v>113</v>
      </c>
      <c r="G596" s="209" t="s">
        <v>53</v>
      </c>
      <c r="H596" s="209" t="s">
        <v>488</v>
      </c>
      <c r="I596" s="209" t="s">
        <v>489</v>
      </c>
      <c r="J596" s="209" t="s">
        <v>90</v>
      </c>
      <c r="K596" s="210" t="s">
        <v>116</v>
      </c>
      <c r="L596" s="210"/>
      <c r="M596" s="209" t="s">
        <v>35</v>
      </c>
      <c r="N596" s="209">
        <v>42318949</v>
      </c>
      <c r="O596" s="209" t="s">
        <v>105</v>
      </c>
      <c r="P596" s="213">
        <v>44795.769953703704</v>
      </c>
      <c r="Q596" s="209"/>
      <c r="R596" s="209" t="s">
        <v>38</v>
      </c>
      <c r="S596" s="209"/>
      <c r="T596" s="209" t="s">
        <v>74</v>
      </c>
      <c r="U596" s="213">
        <v>44796.75</v>
      </c>
      <c r="V596" s="209" t="s">
        <v>41</v>
      </c>
      <c r="W596" s="209" t="s">
        <v>49</v>
      </c>
      <c r="X596" s="13" t="str">
        <f>IF(RIGHT(H596,2)&lt;&gt;"00",H596,"")</f>
        <v/>
      </c>
      <c r="Y596" s="26">
        <f ca="1">NETWORKDAYS(P596,$Y$1)</f>
        <v>138</v>
      </c>
      <c r="Z596" s="34">
        <v>1</v>
      </c>
      <c r="AA596" s="25" t="str">
        <f t="shared" ca="1" si="48"/>
        <v>A VENCER</v>
      </c>
      <c r="AB596" s="25" t="str">
        <f t="shared" si="46"/>
        <v>TAAe+</v>
      </c>
      <c r="AC596" s="2" t="str">
        <f t="shared" si="50"/>
        <v xml:space="preserve"> RINALDO </v>
      </c>
      <c r="AD596" s="26">
        <f t="shared" si="47"/>
        <v>8</v>
      </c>
      <c r="AE596" s="26">
        <f t="shared" ca="1" si="49"/>
        <v>190.90631793981447</v>
      </c>
      <c r="AF596" s="35"/>
    </row>
    <row r="597" spans="1:32" hidden="1">
      <c r="A597" s="209">
        <v>8851826</v>
      </c>
      <c r="B597" s="209" t="s">
        <v>101</v>
      </c>
      <c r="C597" s="210" t="s">
        <v>1176</v>
      </c>
      <c r="D597" s="214"/>
      <c r="E597" s="214">
        <v>9700000206121</v>
      </c>
      <c r="F597" s="209" t="s">
        <v>113</v>
      </c>
      <c r="G597" s="209" t="s">
        <v>53</v>
      </c>
      <c r="H597" s="209" t="s">
        <v>209</v>
      </c>
      <c r="I597" s="209" t="s">
        <v>210</v>
      </c>
      <c r="J597" s="209" t="s">
        <v>211</v>
      </c>
      <c r="K597" s="210" t="s">
        <v>116</v>
      </c>
      <c r="L597" s="210"/>
      <c r="M597" s="209" t="s">
        <v>35</v>
      </c>
      <c r="N597" s="209">
        <v>42318949</v>
      </c>
      <c r="O597" s="209" t="s">
        <v>105</v>
      </c>
      <c r="P597" s="213">
        <v>44795.769953703704</v>
      </c>
      <c r="Q597" s="209"/>
      <c r="R597" s="209" t="s">
        <v>38</v>
      </c>
      <c r="S597" s="209"/>
      <c r="T597" s="209" t="s">
        <v>74</v>
      </c>
      <c r="U597" s="213">
        <v>44796.75</v>
      </c>
      <c r="V597" s="209" t="s">
        <v>41</v>
      </c>
      <c r="W597" s="209" t="s">
        <v>49</v>
      </c>
      <c r="X597" s="13" t="str">
        <f>IF(RIGHT(H597,2)&lt;&gt;"00",H597,"")</f>
        <v/>
      </c>
      <c r="Y597" s="26">
        <f ca="1">NETWORKDAYS(P597,$Y$1)</f>
        <v>138</v>
      </c>
      <c r="Z597" s="34">
        <v>1</v>
      </c>
      <c r="AA597" s="25" t="str">
        <f t="shared" ca="1" si="48"/>
        <v>A VENCER</v>
      </c>
      <c r="AB597" s="25" t="str">
        <f t="shared" si="46"/>
        <v>TAAe+</v>
      </c>
      <c r="AC597" s="2" t="str">
        <f t="shared" si="50"/>
        <v xml:space="preserve"> RINALDO </v>
      </c>
      <c r="AD597" s="26">
        <f t="shared" si="47"/>
        <v>8</v>
      </c>
      <c r="AE597" s="26">
        <f t="shared" ca="1" si="49"/>
        <v>190.90631793981447</v>
      </c>
      <c r="AF597" s="35"/>
    </row>
    <row r="598" spans="1:32" hidden="1">
      <c r="A598" s="209">
        <v>8851825</v>
      </c>
      <c r="B598" s="209" t="s">
        <v>101</v>
      </c>
      <c r="C598" s="210" t="s">
        <v>1176</v>
      </c>
      <c r="D598" s="214"/>
      <c r="E598" s="214">
        <v>9700000206121</v>
      </c>
      <c r="F598" s="209" t="s">
        <v>113</v>
      </c>
      <c r="G598" s="209" t="s">
        <v>53</v>
      </c>
      <c r="H598" s="209" t="s">
        <v>209</v>
      </c>
      <c r="I598" s="209" t="s">
        <v>210</v>
      </c>
      <c r="J598" s="209" t="s">
        <v>211</v>
      </c>
      <c r="K598" s="210" t="s">
        <v>116</v>
      </c>
      <c r="L598" s="210"/>
      <c r="M598" s="209" t="s">
        <v>35</v>
      </c>
      <c r="N598" s="209">
        <v>42318949</v>
      </c>
      <c r="O598" s="209" t="s">
        <v>105</v>
      </c>
      <c r="P598" s="213">
        <v>44795.769953703704</v>
      </c>
      <c r="Q598" s="209"/>
      <c r="R598" s="209" t="s">
        <v>38</v>
      </c>
      <c r="S598" s="209"/>
      <c r="T598" s="209" t="s">
        <v>74</v>
      </c>
      <c r="U598" s="213">
        <v>44796.75</v>
      </c>
      <c r="V598" s="209" t="s">
        <v>41</v>
      </c>
      <c r="W598" s="209" t="s">
        <v>49</v>
      </c>
      <c r="X598" s="13" t="str">
        <f>IF(RIGHT(H598,2)&lt;&gt;"00",H598,"")</f>
        <v/>
      </c>
      <c r="Y598" s="26">
        <f ca="1">NETWORKDAYS(P598,$Y$1)</f>
        <v>138</v>
      </c>
      <c r="Z598" s="34">
        <v>1</v>
      </c>
      <c r="AA598" s="25" t="str">
        <f t="shared" ca="1" si="48"/>
        <v>A VENCER</v>
      </c>
      <c r="AB598" s="25" t="str">
        <f t="shared" si="46"/>
        <v>TAAe+</v>
      </c>
      <c r="AC598" s="2" t="str">
        <f t="shared" si="50"/>
        <v xml:space="preserve"> RINALDO </v>
      </c>
      <c r="AD598" s="26">
        <f t="shared" si="47"/>
        <v>8</v>
      </c>
      <c r="AE598" s="26">
        <f t="shared" ca="1" si="49"/>
        <v>190.90631793981447</v>
      </c>
      <c r="AF598" s="35"/>
    </row>
    <row r="599" spans="1:32" hidden="1">
      <c r="A599" s="209">
        <v>8851534</v>
      </c>
      <c r="B599" s="209" t="s">
        <v>101</v>
      </c>
      <c r="C599" s="210" t="s">
        <v>1176</v>
      </c>
      <c r="D599" s="214"/>
      <c r="E599" s="214">
        <v>9406000206121</v>
      </c>
      <c r="F599" s="209" t="s">
        <v>113</v>
      </c>
      <c r="G599" s="209" t="s">
        <v>53</v>
      </c>
      <c r="H599" s="209" t="s">
        <v>114</v>
      </c>
      <c r="I599" s="209" t="s">
        <v>115</v>
      </c>
      <c r="J599" s="209" t="s">
        <v>46</v>
      </c>
      <c r="K599" s="210" t="s">
        <v>116</v>
      </c>
      <c r="L599" s="210"/>
      <c r="M599" s="209" t="s">
        <v>35</v>
      </c>
      <c r="N599" s="209">
        <v>42318949</v>
      </c>
      <c r="O599" s="209" t="s">
        <v>105</v>
      </c>
      <c r="P599" s="213">
        <v>44795.769618055558</v>
      </c>
      <c r="Q599" s="209"/>
      <c r="R599" s="209" t="s">
        <v>38</v>
      </c>
      <c r="S599" s="209"/>
      <c r="T599" s="209" t="s">
        <v>74</v>
      </c>
      <c r="U599" s="213">
        <v>44796.75</v>
      </c>
      <c r="V599" s="209" t="s">
        <v>41</v>
      </c>
      <c r="W599" s="209" t="s">
        <v>49</v>
      </c>
      <c r="X599" s="13" t="str">
        <f>IF(RIGHT(H599,2)&lt;&gt;"00",H599,"")</f>
        <v/>
      </c>
      <c r="Y599" s="26">
        <f ca="1">NETWORKDAYS(P599,$Y$1)</f>
        <v>138</v>
      </c>
      <c r="Z599" s="34">
        <v>1</v>
      </c>
      <c r="AA599" s="25" t="str">
        <f t="shared" ca="1" si="48"/>
        <v>A VENCER</v>
      </c>
      <c r="AB599" s="25" t="str">
        <f t="shared" si="46"/>
        <v>TAAe+</v>
      </c>
      <c r="AC599" s="2" t="str">
        <f t="shared" si="50"/>
        <v xml:space="preserve"> CLEITON </v>
      </c>
      <c r="AD599" s="26">
        <f t="shared" si="47"/>
        <v>8</v>
      </c>
      <c r="AE599" s="26">
        <f t="shared" ca="1" si="49"/>
        <v>190.90665358796105</v>
      </c>
      <c r="AF599" s="35"/>
    </row>
    <row r="600" spans="1:32" hidden="1">
      <c r="A600" s="209">
        <v>8851533</v>
      </c>
      <c r="B600" s="209" t="s">
        <v>101</v>
      </c>
      <c r="C600" s="210" t="s">
        <v>1176</v>
      </c>
      <c r="D600" s="214"/>
      <c r="E600" s="214">
        <v>9406000206121</v>
      </c>
      <c r="F600" s="209" t="s">
        <v>113</v>
      </c>
      <c r="G600" s="209" t="s">
        <v>53</v>
      </c>
      <c r="H600" s="209" t="s">
        <v>114</v>
      </c>
      <c r="I600" s="209" t="s">
        <v>115</v>
      </c>
      <c r="J600" s="209" t="s">
        <v>46</v>
      </c>
      <c r="K600" s="210" t="s">
        <v>116</v>
      </c>
      <c r="L600" s="210"/>
      <c r="M600" s="209" t="s">
        <v>35</v>
      </c>
      <c r="N600" s="209">
        <v>42318949</v>
      </c>
      <c r="O600" s="209" t="s">
        <v>105</v>
      </c>
      <c r="P600" s="213">
        <v>44795.769618055558</v>
      </c>
      <c r="Q600" s="209"/>
      <c r="R600" s="209" t="s">
        <v>38</v>
      </c>
      <c r="S600" s="209"/>
      <c r="T600" s="209" t="s">
        <v>74</v>
      </c>
      <c r="U600" s="213">
        <v>44796.75</v>
      </c>
      <c r="V600" s="209" t="s">
        <v>41</v>
      </c>
      <c r="W600" s="209" t="s">
        <v>49</v>
      </c>
      <c r="X600" s="13" t="str">
        <f>IF(RIGHT(H600,2)&lt;&gt;"00",H600,"")</f>
        <v/>
      </c>
      <c r="Y600" s="26">
        <f ca="1">NETWORKDAYS(P600,$Y$1)</f>
        <v>138</v>
      </c>
      <c r="Z600" s="34">
        <v>1</v>
      </c>
      <c r="AA600" s="25" t="str">
        <f t="shared" ca="1" si="48"/>
        <v>A VENCER</v>
      </c>
      <c r="AB600" s="25" t="str">
        <f t="shared" si="46"/>
        <v>TAAe+</v>
      </c>
      <c r="AC600" s="2" t="str">
        <f t="shared" si="50"/>
        <v xml:space="preserve"> CLEITON </v>
      </c>
      <c r="AD600" s="26">
        <f t="shared" si="47"/>
        <v>8</v>
      </c>
      <c r="AE600" s="26">
        <f t="shared" ca="1" si="49"/>
        <v>190.90665358796105</v>
      </c>
      <c r="AF600" s="35"/>
    </row>
    <row r="601" spans="1:32" hidden="1">
      <c r="A601" s="209">
        <v>8851532</v>
      </c>
      <c r="B601" s="209" t="s">
        <v>101</v>
      </c>
      <c r="C601" s="210" t="s">
        <v>1176</v>
      </c>
      <c r="D601" s="214"/>
      <c r="E601" s="214">
        <v>9406000206121</v>
      </c>
      <c r="F601" s="209" t="s">
        <v>113</v>
      </c>
      <c r="G601" s="209" t="s">
        <v>53</v>
      </c>
      <c r="H601" s="209" t="s">
        <v>114</v>
      </c>
      <c r="I601" s="209" t="s">
        <v>115</v>
      </c>
      <c r="J601" s="209" t="s">
        <v>46</v>
      </c>
      <c r="K601" s="210" t="s">
        <v>116</v>
      </c>
      <c r="L601" s="210"/>
      <c r="M601" s="209" t="s">
        <v>35</v>
      </c>
      <c r="N601" s="209">
        <v>42318949</v>
      </c>
      <c r="O601" s="209" t="s">
        <v>105</v>
      </c>
      <c r="P601" s="213">
        <v>44795.769618055558</v>
      </c>
      <c r="Q601" s="209"/>
      <c r="R601" s="209" t="s">
        <v>38</v>
      </c>
      <c r="S601" s="209"/>
      <c r="T601" s="209" t="s">
        <v>74</v>
      </c>
      <c r="U601" s="213">
        <v>44796.75</v>
      </c>
      <c r="V601" s="209" t="s">
        <v>41</v>
      </c>
      <c r="W601" s="209" t="s">
        <v>49</v>
      </c>
      <c r="X601" s="13" t="str">
        <f>IF(RIGHT(H601,2)&lt;&gt;"00",H601,"")</f>
        <v/>
      </c>
      <c r="Y601" s="26">
        <f ca="1">NETWORKDAYS(P601,$Y$1)</f>
        <v>138</v>
      </c>
      <c r="Z601" s="34">
        <v>1</v>
      </c>
      <c r="AA601" s="25" t="str">
        <f t="shared" ca="1" si="48"/>
        <v>A VENCER</v>
      </c>
      <c r="AB601" s="25" t="str">
        <f t="shared" si="46"/>
        <v>TAAe+</v>
      </c>
      <c r="AC601" s="2" t="str">
        <f t="shared" si="50"/>
        <v xml:space="preserve"> CLEITON </v>
      </c>
      <c r="AD601" s="26">
        <f t="shared" si="47"/>
        <v>8</v>
      </c>
      <c r="AE601" s="26">
        <f t="shared" ca="1" si="49"/>
        <v>190.90665358796105</v>
      </c>
      <c r="AF601" s="35"/>
    </row>
    <row r="602" spans="1:32" hidden="1">
      <c r="A602" s="209">
        <v>8851531</v>
      </c>
      <c r="B602" s="209" t="s">
        <v>101</v>
      </c>
      <c r="C602" s="210" t="s">
        <v>1176</v>
      </c>
      <c r="D602" s="214"/>
      <c r="E602" s="214">
        <v>9406000206121</v>
      </c>
      <c r="F602" s="209" t="s">
        <v>113</v>
      </c>
      <c r="G602" s="209" t="s">
        <v>53</v>
      </c>
      <c r="H602" s="209" t="s">
        <v>114</v>
      </c>
      <c r="I602" s="209" t="s">
        <v>115</v>
      </c>
      <c r="J602" s="209" t="s">
        <v>46</v>
      </c>
      <c r="K602" s="210" t="s">
        <v>116</v>
      </c>
      <c r="L602" s="210"/>
      <c r="M602" s="209" t="s">
        <v>35</v>
      </c>
      <c r="N602" s="209">
        <v>42318949</v>
      </c>
      <c r="O602" s="209" t="s">
        <v>105</v>
      </c>
      <c r="P602" s="213">
        <v>44795.769618055558</v>
      </c>
      <c r="Q602" s="209"/>
      <c r="R602" s="209" t="s">
        <v>38</v>
      </c>
      <c r="S602" s="209"/>
      <c r="T602" s="209" t="s">
        <v>74</v>
      </c>
      <c r="U602" s="213">
        <v>44796.75</v>
      </c>
      <c r="V602" s="209" t="s">
        <v>41</v>
      </c>
      <c r="W602" s="209" t="s">
        <v>49</v>
      </c>
      <c r="X602" s="13" t="str">
        <f>IF(RIGHT(H602,2)&lt;&gt;"00",H602,"")</f>
        <v/>
      </c>
      <c r="Y602" s="26">
        <f ca="1">NETWORKDAYS(P602,$Y$1)</f>
        <v>138</v>
      </c>
      <c r="Z602" s="34">
        <v>1</v>
      </c>
      <c r="AA602" s="25" t="str">
        <f t="shared" ca="1" si="48"/>
        <v>A VENCER</v>
      </c>
      <c r="AB602" s="25" t="str">
        <f t="shared" si="46"/>
        <v>TAAe+</v>
      </c>
      <c r="AC602" s="2" t="str">
        <f t="shared" si="50"/>
        <v xml:space="preserve"> CLEITON </v>
      </c>
      <c r="AD602" s="26">
        <f t="shared" si="47"/>
        <v>8</v>
      </c>
      <c r="AE602" s="26">
        <f t="shared" ca="1" si="49"/>
        <v>190.90665358796105</v>
      </c>
      <c r="AF602" s="35"/>
    </row>
    <row r="603" spans="1:32" hidden="1">
      <c r="A603" s="209">
        <v>8851530</v>
      </c>
      <c r="B603" s="209" t="s">
        <v>101</v>
      </c>
      <c r="C603" s="210" t="s">
        <v>1176</v>
      </c>
      <c r="D603" s="214"/>
      <c r="E603" s="214">
        <v>9406000206121</v>
      </c>
      <c r="F603" s="209" t="s">
        <v>113</v>
      </c>
      <c r="G603" s="209" t="s">
        <v>53</v>
      </c>
      <c r="H603" s="209" t="s">
        <v>114</v>
      </c>
      <c r="I603" s="209" t="s">
        <v>115</v>
      </c>
      <c r="J603" s="209" t="s">
        <v>46</v>
      </c>
      <c r="K603" s="210" t="s">
        <v>116</v>
      </c>
      <c r="L603" s="210"/>
      <c r="M603" s="209" t="s">
        <v>35</v>
      </c>
      <c r="N603" s="209">
        <v>42318949</v>
      </c>
      <c r="O603" s="209" t="s">
        <v>105</v>
      </c>
      <c r="P603" s="213">
        <v>44795.769606481481</v>
      </c>
      <c r="Q603" s="209"/>
      <c r="R603" s="209" t="s">
        <v>38</v>
      </c>
      <c r="S603" s="209"/>
      <c r="T603" s="209" t="s">
        <v>74</v>
      </c>
      <c r="U603" s="213">
        <v>44796.75</v>
      </c>
      <c r="V603" s="209" t="s">
        <v>41</v>
      </c>
      <c r="W603" s="209" t="s">
        <v>49</v>
      </c>
      <c r="X603" s="13" t="str">
        <f>IF(RIGHT(H603,2)&lt;&gt;"00",H603,"")</f>
        <v/>
      </c>
      <c r="Y603" s="26">
        <f ca="1">NETWORKDAYS(P603,$Y$1)</f>
        <v>138</v>
      </c>
      <c r="Z603" s="34">
        <v>1</v>
      </c>
      <c r="AA603" s="25" t="str">
        <f t="shared" ca="1" si="48"/>
        <v>A VENCER</v>
      </c>
      <c r="AB603" s="25" t="str">
        <f t="shared" si="46"/>
        <v>TAAe+</v>
      </c>
      <c r="AC603" s="2" t="str">
        <f t="shared" si="50"/>
        <v xml:space="preserve"> CLEITON </v>
      </c>
      <c r="AD603" s="26">
        <f t="shared" si="47"/>
        <v>8</v>
      </c>
      <c r="AE603" s="26">
        <f t="shared" ca="1" si="49"/>
        <v>190.90666516203783</v>
      </c>
      <c r="AF603" s="35"/>
    </row>
    <row r="604" spans="1:32" hidden="1">
      <c r="A604" s="209">
        <v>8851529</v>
      </c>
      <c r="B604" s="209" t="s">
        <v>101</v>
      </c>
      <c r="C604" s="210" t="s">
        <v>1176</v>
      </c>
      <c r="D604" s="214"/>
      <c r="E604" s="214">
        <v>9406000206121</v>
      </c>
      <c r="F604" s="209" t="s">
        <v>113</v>
      </c>
      <c r="G604" s="209" t="s">
        <v>53</v>
      </c>
      <c r="H604" s="209" t="s">
        <v>114</v>
      </c>
      <c r="I604" s="209" t="s">
        <v>115</v>
      </c>
      <c r="J604" s="209" t="s">
        <v>46</v>
      </c>
      <c r="K604" s="210" t="s">
        <v>116</v>
      </c>
      <c r="L604" s="210"/>
      <c r="M604" s="209" t="s">
        <v>35</v>
      </c>
      <c r="N604" s="209">
        <v>42318949</v>
      </c>
      <c r="O604" s="209" t="s">
        <v>105</v>
      </c>
      <c r="P604" s="213">
        <v>44795.769606481481</v>
      </c>
      <c r="Q604" s="209"/>
      <c r="R604" s="209" t="s">
        <v>38</v>
      </c>
      <c r="S604" s="209"/>
      <c r="T604" s="209" t="s">
        <v>74</v>
      </c>
      <c r="U604" s="213">
        <v>44796.75</v>
      </c>
      <c r="V604" s="209" t="s">
        <v>41</v>
      </c>
      <c r="W604" s="209" t="s">
        <v>49</v>
      </c>
      <c r="X604" s="13" t="str">
        <f>IF(RIGHT(H604,2)&lt;&gt;"00",H604,"")</f>
        <v/>
      </c>
      <c r="Y604" s="26">
        <f ca="1">NETWORKDAYS(P604,$Y$1)</f>
        <v>138</v>
      </c>
      <c r="Z604" s="34">
        <v>1</v>
      </c>
      <c r="AA604" s="25" t="str">
        <f t="shared" ca="1" si="48"/>
        <v>A VENCER</v>
      </c>
      <c r="AB604" s="25" t="str">
        <f t="shared" si="46"/>
        <v>TAAe+</v>
      </c>
      <c r="AC604" s="2" t="str">
        <f t="shared" si="50"/>
        <v xml:space="preserve"> CLEITON </v>
      </c>
      <c r="AD604" s="26">
        <f t="shared" si="47"/>
        <v>8</v>
      </c>
      <c r="AE604" s="26">
        <f t="shared" ca="1" si="49"/>
        <v>190.90666516203783</v>
      </c>
      <c r="AF604" s="35"/>
    </row>
    <row r="605" spans="1:32" hidden="1">
      <c r="A605" s="209">
        <v>8851528</v>
      </c>
      <c r="B605" s="209" t="s">
        <v>101</v>
      </c>
      <c r="C605" s="210" t="s">
        <v>1176</v>
      </c>
      <c r="D605" s="214"/>
      <c r="E605" s="214">
        <v>9406000206121</v>
      </c>
      <c r="F605" s="209" t="s">
        <v>113</v>
      </c>
      <c r="G605" s="209" t="s">
        <v>53</v>
      </c>
      <c r="H605" s="209" t="s">
        <v>114</v>
      </c>
      <c r="I605" s="209" t="s">
        <v>115</v>
      </c>
      <c r="J605" s="209" t="s">
        <v>46</v>
      </c>
      <c r="K605" s="210" t="s">
        <v>116</v>
      </c>
      <c r="L605" s="210"/>
      <c r="M605" s="209" t="s">
        <v>35</v>
      </c>
      <c r="N605" s="209">
        <v>42318949</v>
      </c>
      <c r="O605" s="209" t="s">
        <v>105</v>
      </c>
      <c r="P605" s="213">
        <v>44795.769606481481</v>
      </c>
      <c r="Q605" s="209"/>
      <c r="R605" s="209" t="s">
        <v>38</v>
      </c>
      <c r="S605" s="209"/>
      <c r="T605" s="209" t="s">
        <v>74</v>
      </c>
      <c r="U605" s="213">
        <v>44796.75</v>
      </c>
      <c r="V605" s="209" t="s">
        <v>41</v>
      </c>
      <c r="W605" s="209" t="s">
        <v>49</v>
      </c>
      <c r="X605" s="13" t="str">
        <f>IF(RIGHT(H605,2)&lt;&gt;"00",H605,"")</f>
        <v/>
      </c>
      <c r="Y605" s="26">
        <f ca="1">NETWORKDAYS(P605,$Y$1)</f>
        <v>138</v>
      </c>
      <c r="Z605" s="34">
        <v>1</v>
      </c>
      <c r="AA605" s="25" t="str">
        <f t="shared" ca="1" si="48"/>
        <v>A VENCER</v>
      </c>
      <c r="AB605" s="25" t="str">
        <f t="shared" ref="AB605:AB668" si="51">IF(F605="GRPE-000001","C-14",IF(F605="GRPE-000002","C-14",IF(F605="GRPE-000003","C-14",IF(F605="GRPE-000004","SL-On",IF(F605="GRPE-000038","C-14",IF(F605="GRPE-900022","Dosa",IF(F605="GRPE-000029","Dosa",IF(F605="ATOS-000222","Dose","TAAe+"))))))))</f>
        <v>TAAe+</v>
      </c>
      <c r="AC605" s="2" t="str">
        <f t="shared" si="50"/>
        <v xml:space="preserve"> CLEITON </v>
      </c>
      <c r="AD605" s="26">
        <f t="shared" ref="AD605:AD668" si="52">IF(F605="GRPE-000001",5,IF(F605="GRPE-000002",5,IF(F605="GRPE-000003",15,IF(F605="GRPE-000004",1,IF(F605="GRPE-000038",5,IF(F605="GRPE-900022",5,IF(F605="GRPE-000029",5,IF(F605="ATOS-000222",5,8))))))))</f>
        <v>8</v>
      </c>
      <c r="AE605" s="26">
        <f t="shared" ca="1" si="49"/>
        <v>190.90666516203783</v>
      </c>
      <c r="AF605" s="35"/>
    </row>
    <row r="606" spans="1:32" hidden="1">
      <c r="A606" s="209">
        <v>8854131</v>
      </c>
      <c r="B606" s="209" t="s">
        <v>62</v>
      </c>
      <c r="C606" s="210" t="s">
        <v>1181</v>
      </c>
      <c r="D606" s="214"/>
      <c r="E606" s="214">
        <v>600000203000</v>
      </c>
      <c r="F606" s="209" t="s">
        <v>454</v>
      </c>
      <c r="G606" s="209" t="s">
        <v>53</v>
      </c>
      <c r="H606" s="209" t="s">
        <v>1084</v>
      </c>
      <c r="I606" s="209" t="s">
        <v>1085</v>
      </c>
      <c r="J606" s="209" t="s">
        <v>90</v>
      </c>
      <c r="K606" s="210" t="s">
        <v>457</v>
      </c>
      <c r="L606" s="210"/>
      <c r="M606" s="209" t="s">
        <v>58</v>
      </c>
      <c r="N606" s="209">
        <v>0</v>
      </c>
      <c r="O606" s="209" t="s">
        <v>36</v>
      </c>
      <c r="P606" s="213">
        <v>44796.643958333334</v>
      </c>
      <c r="Q606" s="209"/>
      <c r="R606" s="209">
        <v>1</v>
      </c>
      <c r="S606" s="209"/>
      <c r="T606" s="209" t="s">
        <v>157</v>
      </c>
      <c r="U606" s="213">
        <v>44831.75</v>
      </c>
      <c r="V606" s="209" t="s">
        <v>41</v>
      </c>
      <c r="W606" s="209" t="s">
        <v>49</v>
      </c>
      <c r="X606" s="13" t="str">
        <f>IF(RIGHT(H606,2)&lt;&gt;"00",H606,"")</f>
        <v/>
      </c>
      <c r="Y606" s="26">
        <f ca="1">NETWORKDAYS(P606,$Y$1)</f>
        <v>137</v>
      </c>
      <c r="Z606" s="34">
        <v>1</v>
      </c>
      <c r="AA606" s="25" t="str">
        <f t="shared" ca="1" si="48"/>
        <v>A VENCER</v>
      </c>
      <c r="AB606" s="25" t="str">
        <f t="shared" si="51"/>
        <v>C-14</v>
      </c>
      <c r="AC606" s="2" t="str">
        <f t="shared" si="50"/>
        <v xml:space="preserve"> RINALDO </v>
      </c>
      <c r="AD606" s="26">
        <f t="shared" si="52"/>
        <v>5</v>
      </c>
      <c r="AE606" s="26">
        <f t="shared" ca="1" si="49"/>
        <v>190.03231331018469</v>
      </c>
      <c r="AF606" s="35"/>
    </row>
    <row r="607" spans="1:32" hidden="1">
      <c r="A607" s="209">
        <v>8861317</v>
      </c>
      <c r="B607" s="209" t="s">
        <v>62</v>
      </c>
      <c r="C607" s="210" t="s">
        <v>3027</v>
      </c>
      <c r="D607" s="214"/>
      <c r="E607" s="214">
        <v>2170000206001</v>
      </c>
      <c r="F607" s="209" t="s">
        <v>29</v>
      </c>
      <c r="G607" s="209" t="s">
        <v>53</v>
      </c>
      <c r="H607" s="209" t="s">
        <v>477</v>
      </c>
      <c r="I607" s="209" t="s">
        <v>478</v>
      </c>
      <c r="J607" s="209" t="s">
        <v>148</v>
      </c>
      <c r="K607" s="210" t="s">
        <v>34</v>
      </c>
      <c r="L607" s="210"/>
      <c r="M607" s="209" t="s">
        <v>35</v>
      </c>
      <c r="N607" s="209">
        <v>42318949</v>
      </c>
      <c r="O607" s="209" t="s">
        <v>36</v>
      </c>
      <c r="P607" s="213">
        <v>44799.364745370367</v>
      </c>
      <c r="Q607" s="209"/>
      <c r="R607" s="209" t="s">
        <v>38</v>
      </c>
      <c r="S607" s="209"/>
      <c r="T607" s="209" t="s">
        <v>74</v>
      </c>
      <c r="U607" s="213">
        <v>44841.75</v>
      </c>
      <c r="V607" s="209" t="s">
        <v>41</v>
      </c>
      <c r="W607" s="209" t="s">
        <v>49</v>
      </c>
      <c r="X607" s="13" t="str">
        <f>IF(RIGHT(H607,2)&lt;&gt;"00",H607,"")</f>
        <v/>
      </c>
      <c r="Y607" s="26">
        <f ca="1">NETWORKDAYS(P607,$Y$1)</f>
        <v>134</v>
      </c>
      <c r="Z607" s="34">
        <v>1</v>
      </c>
      <c r="AA607" s="25" t="str">
        <f t="shared" ca="1" si="48"/>
        <v>A VENCER</v>
      </c>
      <c r="AB607" s="25" t="str">
        <f t="shared" si="51"/>
        <v>Dosa</v>
      </c>
      <c r="AC607" s="2" t="str">
        <f t="shared" si="50"/>
        <v xml:space="preserve"> RINALDO </v>
      </c>
      <c r="AD607" s="26">
        <f t="shared" si="52"/>
        <v>5</v>
      </c>
      <c r="AE607" s="26">
        <f t="shared" ca="1" si="49"/>
        <v>187.31152627315169</v>
      </c>
      <c r="AF607" s="35"/>
    </row>
    <row r="608" spans="1:32" hidden="1">
      <c r="A608" s="209">
        <v>8870241</v>
      </c>
      <c r="B608" s="209" t="s">
        <v>62</v>
      </c>
      <c r="C608" s="210" t="s">
        <v>3028</v>
      </c>
      <c r="D608" s="214"/>
      <c r="E608" s="214">
        <v>2830000203000</v>
      </c>
      <c r="F608" s="209" t="s">
        <v>454</v>
      </c>
      <c r="G608" s="209" t="s">
        <v>53</v>
      </c>
      <c r="H608" s="209" t="s">
        <v>448</v>
      </c>
      <c r="I608" s="209" t="s">
        <v>449</v>
      </c>
      <c r="J608" s="209" t="s">
        <v>33</v>
      </c>
      <c r="K608" s="210" t="s">
        <v>457</v>
      </c>
      <c r="L608" s="210"/>
      <c r="M608" s="209" t="s">
        <v>58</v>
      </c>
      <c r="N608" s="209">
        <v>0</v>
      </c>
      <c r="O608" s="209" t="s">
        <v>36</v>
      </c>
      <c r="P608" s="213">
        <v>44803.491261574076</v>
      </c>
      <c r="Q608" s="209"/>
      <c r="R608" s="209">
        <v>1</v>
      </c>
      <c r="S608" s="209"/>
      <c r="T608" s="209" t="s">
        <v>157</v>
      </c>
      <c r="U608" s="213">
        <v>44838.75</v>
      </c>
      <c r="V608" s="209" t="s">
        <v>41</v>
      </c>
      <c r="W608" s="209" t="s">
        <v>42</v>
      </c>
      <c r="X608" s="13" t="str">
        <f>IF(RIGHT(H608,2)&lt;&gt;"00",H608,"")</f>
        <v/>
      </c>
      <c r="Y608" s="26">
        <f ca="1">NETWORKDAYS(P608,$Y$1)</f>
        <v>132</v>
      </c>
      <c r="Z608" s="34">
        <v>1</v>
      </c>
      <c r="AA608" s="25" t="str">
        <f t="shared" ca="1" si="48"/>
        <v>A VENCER</v>
      </c>
      <c r="AB608" s="25" t="str">
        <f t="shared" si="51"/>
        <v>C-14</v>
      </c>
      <c r="AC608" s="2" t="str">
        <f t="shared" si="50"/>
        <v xml:space="preserve"> ROSEMERE </v>
      </c>
      <c r="AD608" s="26">
        <f t="shared" si="52"/>
        <v>5</v>
      </c>
      <c r="AE608" s="26">
        <f t="shared" ca="1" si="49"/>
        <v>183.1850100694428</v>
      </c>
      <c r="AF608" s="35"/>
    </row>
    <row r="609" spans="1:32" hidden="1">
      <c r="A609" s="209">
        <v>8873349</v>
      </c>
      <c r="B609" s="209" t="s">
        <v>62</v>
      </c>
      <c r="C609" s="210" t="s">
        <v>3585</v>
      </c>
      <c r="D609" s="214"/>
      <c r="E609" s="214">
        <v>1902016236500</v>
      </c>
      <c r="F609" s="209" t="s">
        <v>64</v>
      </c>
      <c r="G609" s="209" t="s">
        <v>53</v>
      </c>
      <c r="H609" s="209" t="s">
        <v>159</v>
      </c>
      <c r="I609" s="209" t="s">
        <v>160</v>
      </c>
      <c r="J609" s="209" t="s">
        <v>46</v>
      </c>
      <c r="K609" s="210" t="s">
        <v>67</v>
      </c>
      <c r="L609" s="210"/>
      <c r="M609" s="209" t="s">
        <v>35</v>
      </c>
      <c r="N609" s="209">
        <v>42318949</v>
      </c>
      <c r="O609" s="209" t="s">
        <v>36</v>
      </c>
      <c r="P609" s="213">
        <v>44804.567094907405</v>
      </c>
      <c r="Q609" s="209"/>
      <c r="R609" s="209">
        <v>1</v>
      </c>
      <c r="S609" s="209"/>
      <c r="T609" s="209" t="s">
        <v>69</v>
      </c>
      <c r="U609" s="213">
        <v>44805.567094907405</v>
      </c>
      <c r="V609" s="209" t="s">
        <v>41</v>
      </c>
      <c r="W609" s="209" t="s">
        <v>49</v>
      </c>
      <c r="X609" s="13" t="str">
        <f>IF(RIGHT(H609,2)&lt;&gt;"00",H609,"")</f>
        <v/>
      </c>
      <c r="Y609" s="26">
        <f ca="1">NETWORKDAYS(P609,$Y$1)</f>
        <v>131</v>
      </c>
      <c r="Z609" s="34">
        <v>1</v>
      </c>
      <c r="AA609" s="25" t="str">
        <f t="shared" ca="1" si="48"/>
        <v>A VENCER</v>
      </c>
      <c r="AB609" s="25" t="str">
        <f t="shared" si="51"/>
        <v>TAAe+</v>
      </c>
      <c r="AC609" s="2" t="str">
        <f t="shared" si="50"/>
        <v xml:space="preserve"> CLEITON </v>
      </c>
      <c r="AD609" s="26">
        <f t="shared" si="52"/>
        <v>8</v>
      </c>
      <c r="AE609" s="26">
        <f t="shared" ca="1" si="49"/>
        <v>182.10917673611402</v>
      </c>
      <c r="AF609" s="35"/>
    </row>
    <row r="610" spans="1:32" hidden="1">
      <c r="A610" s="209">
        <v>8873348</v>
      </c>
      <c r="B610" s="209" t="s">
        <v>62</v>
      </c>
      <c r="C610" s="210" t="s">
        <v>3585</v>
      </c>
      <c r="D610" s="214"/>
      <c r="E610" s="214">
        <v>1902016232600</v>
      </c>
      <c r="F610" s="209" t="s">
        <v>64</v>
      </c>
      <c r="G610" s="209" t="s">
        <v>53</v>
      </c>
      <c r="H610" s="209" t="s">
        <v>191</v>
      </c>
      <c r="I610" s="209" t="s">
        <v>192</v>
      </c>
      <c r="J610" s="209" t="s">
        <v>46</v>
      </c>
      <c r="K610" s="210" t="s">
        <v>67</v>
      </c>
      <c r="L610" s="210"/>
      <c r="M610" s="209" t="s">
        <v>35</v>
      </c>
      <c r="N610" s="209">
        <v>42318949</v>
      </c>
      <c r="O610" s="209" t="s">
        <v>36</v>
      </c>
      <c r="P610" s="213">
        <v>44804.567094907405</v>
      </c>
      <c r="Q610" s="209"/>
      <c r="R610" s="209">
        <v>1</v>
      </c>
      <c r="S610" s="209"/>
      <c r="T610" s="209" t="s">
        <v>69</v>
      </c>
      <c r="U610" s="213">
        <v>44805.567094907405</v>
      </c>
      <c r="V610" s="209" t="s">
        <v>41</v>
      </c>
      <c r="W610" s="209" t="s">
        <v>49</v>
      </c>
      <c r="X610" s="13" t="str">
        <f>IF(RIGHT(H610,2)&lt;&gt;"00",H610,"")</f>
        <v/>
      </c>
      <c r="Y610" s="26">
        <f ca="1">NETWORKDAYS(P610,$Y$1)</f>
        <v>131</v>
      </c>
      <c r="Z610" s="34">
        <v>1</v>
      </c>
      <c r="AA610" s="25" t="str">
        <f t="shared" ca="1" si="48"/>
        <v>A VENCER</v>
      </c>
      <c r="AB610" s="25" t="str">
        <f t="shared" si="51"/>
        <v>TAAe+</v>
      </c>
      <c r="AC610" s="2" t="str">
        <f t="shared" si="50"/>
        <v xml:space="preserve"> CLEITON </v>
      </c>
      <c r="AD610" s="26">
        <f t="shared" si="52"/>
        <v>8</v>
      </c>
      <c r="AE610" s="26">
        <f t="shared" ca="1" si="49"/>
        <v>182.10917673611402</v>
      </c>
      <c r="AF610" s="35"/>
    </row>
    <row r="611" spans="1:32" hidden="1">
      <c r="A611" s="209">
        <v>8873343</v>
      </c>
      <c r="B611" s="209" t="s">
        <v>62</v>
      </c>
      <c r="C611" s="210" t="s">
        <v>3585</v>
      </c>
      <c r="D611" s="214"/>
      <c r="E611" s="214">
        <v>1902016136200</v>
      </c>
      <c r="F611" s="209" t="s">
        <v>64</v>
      </c>
      <c r="G611" s="209" t="s">
        <v>53</v>
      </c>
      <c r="H611" s="209" t="s">
        <v>268</v>
      </c>
      <c r="I611" s="209" t="s">
        <v>269</v>
      </c>
      <c r="J611" s="209" t="s">
        <v>90</v>
      </c>
      <c r="K611" s="210" t="s">
        <v>67</v>
      </c>
      <c r="L611" s="210"/>
      <c r="M611" s="209" t="s">
        <v>35</v>
      </c>
      <c r="N611" s="209">
        <v>42318949</v>
      </c>
      <c r="O611" s="209" t="s">
        <v>36</v>
      </c>
      <c r="P611" s="213">
        <v>44804.567083333335</v>
      </c>
      <c r="Q611" s="209"/>
      <c r="R611" s="209">
        <v>1</v>
      </c>
      <c r="S611" s="209"/>
      <c r="T611" s="209" t="s">
        <v>69</v>
      </c>
      <c r="U611" s="213">
        <v>44805.567083333335</v>
      </c>
      <c r="V611" s="209" t="s">
        <v>41</v>
      </c>
      <c r="W611" s="209" t="s">
        <v>49</v>
      </c>
      <c r="X611" s="13" t="str">
        <f>IF(RIGHT(H611,2)&lt;&gt;"00",H611,"")</f>
        <v/>
      </c>
      <c r="Y611" s="26">
        <f ca="1">NETWORKDAYS(P611,$Y$1)</f>
        <v>131</v>
      </c>
      <c r="Z611" s="34">
        <v>1</v>
      </c>
      <c r="AA611" s="25" t="str">
        <f t="shared" ca="1" si="48"/>
        <v>A VENCER</v>
      </c>
      <c r="AB611" s="25" t="str">
        <f t="shared" si="51"/>
        <v>TAAe+</v>
      </c>
      <c r="AC611" s="2" t="str">
        <f t="shared" si="50"/>
        <v xml:space="preserve"> RINALDO </v>
      </c>
      <c r="AD611" s="26">
        <f t="shared" si="52"/>
        <v>8</v>
      </c>
      <c r="AE611" s="26">
        <f t="shared" ca="1" si="49"/>
        <v>182.10918831018353</v>
      </c>
      <c r="AF611" s="35"/>
    </row>
    <row r="612" spans="1:32" hidden="1">
      <c r="A612" s="209">
        <v>8873342</v>
      </c>
      <c r="B612" s="209" t="s">
        <v>62</v>
      </c>
      <c r="C612" s="210" t="s">
        <v>3585</v>
      </c>
      <c r="D612" s="214"/>
      <c r="E612" s="214">
        <v>1902016112800</v>
      </c>
      <c r="F612" s="209" t="s">
        <v>64</v>
      </c>
      <c r="G612" s="209" t="s">
        <v>53</v>
      </c>
      <c r="H612" s="209" t="s">
        <v>1191</v>
      </c>
      <c r="I612" s="209" t="s">
        <v>1192</v>
      </c>
      <c r="J612" s="209" t="s">
        <v>33</v>
      </c>
      <c r="K612" s="210" t="s">
        <v>67</v>
      </c>
      <c r="L612" s="210"/>
      <c r="M612" s="209" t="s">
        <v>35</v>
      </c>
      <c r="N612" s="209">
        <v>42318949</v>
      </c>
      <c r="O612" s="209" t="s">
        <v>36</v>
      </c>
      <c r="P612" s="213">
        <v>44804.567083333335</v>
      </c>
      <c r="Q612" s="209"/>
      <c r="R612" s="209">
        <v>1</v>
      </c>
      <c r="S612" s="209"/>
      <c r="T612" s="209" t="s">
        <v>69</v>
      </c>
      <c r="U612" s="213">
        <v>44805.567083333335</v>
      </c>
      <c r="V612" s="209" t="s">
        <v>41</v>
      </c>
      <c r="W612" s="209" t="s">
        <v>49</v>
      </c>
      <c r="X612" s="13" t="str">
        <f>IF(RIGHT(H612,2)&lt;&gt;"00",H612,"")</f>
        <v/>
      </c>
      <c r="Y612" s="26">
        <f ca="1">NETWORKDAYS(P612,$Y$1)</f>
        <v>131</v>
      </c>
      <c r="Z612" s="34">
        <v>1</v>
      </c>
      <c r="AA612" s="25" t="str">
        <f t="shared" ca="1" si="48"/>
        <v>A VENCER</v>
      </c>
      <c r="AB612" s="25" t="str">
        <f t="shared" si="51"/>
        <v>TAAe+</v>
      </c>
      <c r="AC612" s="2" t="str">
        <f t="shared" si="50"/>
        <v xml:space="preserve"> ROSEMERE </v>
      </c>
      <c r="AD612" s="26">
        <f t="shared" si="52"/>
        <v>8</v>
      </c>
      <c r="AE612" s="26">
        <f t="shared" ca="1" si="49"/>
        <v>182.10918831018353</v>
      </c>
      <c r="AF612" s="35"/>
    </row>
    <row r="613" spans="1:32" hidden="1">
      <c r="A613" s="209">
        <v>8873335</v>
      </c>
      <c r="B613" s="209" t="s">
        <v>62</v>
      </c>
      <c r="C613" s="210" t="s">
        <v>3585</v>
      </c>
      <c r="D613" s="214"/>
      <c r="E613" s="214">
        <v>1902016024600</v>
      </c>
      <c r="F613" s="209" t="s">
        <v>64</v>
      </c>
      <c r="G613" s="209" t="s">
        <v>53</v>
      </c>
      <c r="H613" s="209" t="s">
        <v>1193</v>
      </c>
      <c r="I613" s="209" t="s">
        <v>1194</v>
      </c>
      <c r="J613" s="209" t="s">
        <v>85</v>
      </c>
      <c r="K613" s="210" t="s">
        <v>67</v>
      </c>
      <c r="L613" s="210"/>
      <c r="M613" s="209" t="s">
        <v>35</v>
      </c>
      <c r="N613" s="209">
        <v>42318949</v>
      </c>
      <c r="O613" s="209" t="s">
        <v>36</v>
      </c>
      <c r="P613" s="213">
        <v>44804.567071759258</v>
      </c>
      <c r="Q613" s="209"/>
      <c r="R613" s="209">
        <v>1</v>
      </c>
      <c r="S613" s="209"/>
      <c r="T613" s="209" t="s">
        <v>69</v>
      </c>
      <c r="U613" s="213">
        <v>44805.567071759258</v>
      </c>
      <c r="V613" s="209" t="s">
        <v>41</v>
      </c>
      <c r="W613" s="209" t="s">
        <v>49</v>
      </c>
      <c r="X613" s="13" t="str">
        <f>IF(RIGHT(H613,2)&lt;&gt;"00",H613,"")</f>
        <v/>
      </c>
      <c r="Y613" s="26">
        <f ca="1">NETWORKDAYS(P613,$Y$1)</f>
        <v>131</v>
      </c>
      <c r="Z613" s="34">
        <v>1</v>
      </c>
      <c r="AA613" s="25" t="str">
        <f t="shared" ca="1" si="48"/>
        <v>A VENCER</v>
      </c>
      <c r="AB613" s="25" t="str">
        <f t="shared" si="51"/>
        <v>TAAe+</v>
      </c>
      <c r="AC613" s="2" t="str">
        <f t="shared" si="50"/>
        <v xml:space="preserve"> RINALDO </v>
      </c>
      <c r="AD613" s="26">
        <f t="shared" si="52"/>
        <v>8</v>
      </c>
      <c r="AE613" s="26">
        <f t="shared" ca="1" si="49"/>
        <v>182.10919988426031</v>
      </c>
      <c r="AF613" s="35"/>
    </row>
    <row r="614" spans="1:32" hidden="1">
      <c r="A614" s="209">
        <v>8879008</v>
      </c>
      <c r="B614" s="209" t="s">
        <v>62</v>
      </c>
      <c r="C614" s="210" t="s">
        <v>1195</v>
      </c>
      <c r="D614" s="214"/>
      <c r="E614" s="214">
        <v>2365000203000</v>
      </c>
      <c r="F614" s="209" t="s">
        <v>454</v>
      </c>
      <c r="G614" s="209" t="s">
        <v>53</v>
      </c>
      <c r="H614" s="209" t="s">
        <v>159</v>
      </c>
      <c r="I614" s="209" t="s">
        <v>160</v>
      </c>
      <c r="J614" s="209" t="s">
        <v>46</v>
      </c>
      <c r="K614" s="210" t="s">
        <v>457</v>
      </c>
      <c r="L614" s="210"/>
      <c r="M614" s="209" t="s">
        <v>58</v>
      </c>
      <c r="N614" s="209">
        <v>0</v>
      </c>
      <c r="O614" s="209" t="s">
        <v>36</v>
      </c>
      <c r="P614" s="213">
        <v>44806.652106481481</v>
      </c>
      <c r="Q614" s="209"/>
      <c r="R614" s="209">
        <v>1</v>
      </c>
      <c r="S614" s="209"/>
      <c r="T614" s="209" t="s">
        <v>157</v>
      </c>
      <c r="U614" s="213">
        <v>44841.75</v>
      </c>
      <c r="V614" s="209" t="s">
        <v>41</v>
      </c>
      <c r="W614" s="209" t="s">
        <v>49</v>
      </c>
      <c r="X614" s="13" t="str">
        <f>IF(RIGHT(H614,2)&lt;&gt;"00",H614,"")</f>
        <v/>
      </c>
      <c r="Y614" s="26">
        <f ca="1">NETWORKDAYS(P614,$Y$1)</f>
        <v>129</v>
      </c>
      <c r="Z614" s="34">
        <v>1</v>
      </c>
      <c r="AA614" s="25" t="str">
        <f t="shared" ca="1" si="48"/>
        <v>A VENCER</v>
      </c>
      <c r="AB614" s="25" t="str">
        <f t="shared" si="51"/>
        <v>C-14</v>
      </c>
      <c r="AC614" s="2" t="str">
        <f t="shared" si="50"/>
        <v xml:space="preserve"> CLEITON </v>
      </c>
      <c r="AD614" s="26">
        <f t="shared" si="52"/>
        <v>5</v>
      </c>
      <c r="AE614" s="26">
        <f t="shared" ca="1" si="49"/>
        <v>180.02416516203812</v>
      </c>
      <c r="AF614" s="35"/>
    </row>
    <row r="615" spans="1:32" hidden="1">
      <c r="A615" s="209">
        <v>8878112</v>
      </c>
      <c r="B615" s="209" t="s">
        <v>62</v>
      </c>
      <c r="C615" s="210" t="s">
        <v>1198</v>
      </c>
      <c r="D615" s="214"/>
      <c r="E615" s="214">
        <v>3108000203000</v>
      </c>
      <c r="F615" s="209" t="s">
        <v>454</v>
      </c>
      <c r="G615" s="209" t="s">
        <v>53</v>
      </c>
      <c r="H615" s="209" t="s">
        <v>325</v>
      </c>
      <c r="I615" s="209" t="s">
        <v>326</v>
      </c>
      <c r="J615" s="209" t="s">
        <v>46</v>
      </c>
      <c r="K615" s="210" t="s">
        <v>457</v>
      </c>
      <c r="L615" s="210"/>
      <c r="M615" s="209" t="s">
        <v>58</v>
      </c>
      <c r="N615" s="209">
        <v>0</v>
      </c>
      <c r="O615" s="209" t="s">
        <v>36</v>
      </c>
      <c r="P615" s="213">
        <v>44806.460034722222</v>
      </c>
      <c r="Q615" s="209"/>
      <c r="R615" s="209">
        <v>1</v>
      </c>
      <c r="S615" s="209"/>
      <c r="T615" s="209" t="s">
        <v>157</v>
      </c>
      <c r="U615" s="213">
        <v>44841.75</v>
      </c>
      <c r="V615" s="209" t="s">
        <v>41</v>
      </c>
      <c r="W615" s="209" t="s">
        <v>49</v>
      </c>
      <c r="X615" s="13" t="str">
        <f>IF(RIGHT(H615,2)&lt;&gt;"00",H615,"")</f>
        <v/>
      </c>
      <c r="Y615" s="26">
        <f ca="1">NETWORKDAYS(P615,$Y$1)</f>
        <v>129</v>
      </c>
      <c r="Z615" s="34">
        <v>1</v>
      </c>
      <c r="AA615" s="25" t="str">
        <f t="shared" ca="1" si="48"/>
        <v>A VENCER</v>
      </c>
      <c r="AB615" s="25" t="str">
        <f t="shared" si="51"/>
        <v>C-14</v>
      </c>
      <c r="AC615" s="2" t="str">
        <f t="shared" si="50"/>
        <v xml:space="preserve"> CLEITON </v>
      </c>
      <c r="AD615" s="26">
        <f t="shared" si="52"/>
        <v>5</v>
      </c>
      <c r="AE615" s="26">
        <f t="shared" ca="1" si="49"/>
        <v>180.21623692129651</v>
      </c>
      <c r="AF615" s="35"/>
    </row>
    <row r="616" spans="1:32" hidden="1">
      <c r="A616" s="209">
        <v>8894073</v>
      </c>
      <c r="B616" s="209" t="s">
        <v>62</v>
      </c>
      <c r="C616" s="210" t="s">
        <v>1200</v>
      </c>
      <c r="D616" s="214"/>
      <c r="E616" s="214">
        <v>870000206001</v>
      </c>
      <c r="F616" s="209" t="s">
        <v>29</v>
      </c>
      <c r="G616" s="209" t="s">
        <v>53</v>
      </c>
      <c r="H616" s="209" t="s">
        <v>183</v>
      </c>
      <c r="I616" s="209" t="s">
        <v>184</v>
      </c>
      <c r="J616" s="209" t="s">
        <v>90</v>
      </c>
      <c r="K616" s="210" t="s">
        <v>34</v>
      </c>
      <c r="L616" s="210"/>
      <c r="M616" s="209" t="s">
        <v>35</v>
      </c>
      <c r="N616" s="209">
        <v>42318949</v>
      </c>
      <c r="O616" s="209" t="s">
        <v>36</v>
      </c>
      <c r="P616" s="213">
        <v>44813.574618055558</v>
      </c>
      <c r="Q616" s="209"/>
      <c r="R616" s="209" t="s">
        <v>38</v>
      </c>
      <c r="S616" s="209"/>
      <c r="T616" s="209" t="s">
        <v>74</v>
      </c>
      <c r="U616" s="213">
        <v>44855.75</v>
      </c>
      <c r="V616" s="209" t="s">
        <v>41</v>
      </c>
      <c r="W616" s="209" t="s">
        <v>49</v>
      </c>
      <c r="X616" s="13" t="str">
        <f>IF(RIGHT(H616,2)&lt;&gt;"00",H616,"")</f>
        <v/>
      </c>
      <c r="Y616" s="26">
        <f ca="1">NETWORKDAYS(P616,$Y$1)</f>
        <v>124</v>
      </c>
      <c r="Z616" s="34">
        <v>1</v>
      </c>
      <c r="AA616" s="25" t="str">
        <f t="shared" ca="1" si="48"/>
        <v>A VENCER</v>
      </c>
      <c r="AB616" s="25" t="str">
        <f t="shared" si="51"/>
        <v>Dosa</v>
      </c>
      <c r="AC616" s="2" t="str">
        <f t="shared" si="50"/>
        <v xml:space="preserve"> RINALDO </v>
      </c>
      <c r="AD616" s="26">
        <f t="shared" si="52"/>
        <v>5</v>
      </c>
      <c r="AE616" s="26">
        <f t="shared" ca="1" si="49"/>
        <v>173.10165358796075</v>
      </c>
      <c r="AF616" s="35"/>
    </row>
    <row r="617" spans="1:32" hidden="1">
      <c r="A617" s="209">
        <v>8894047</v>
      </c>
      <c r="B617" s="209" t="s">
        <v>62</v>
      </c>
      <c r="C617" s="210" t="s">
        <v>1203</v>
      </c>
      <c r="D617" s="214"/>
      <c r="E617" s="214">
        <v>1011000206001</v>
      </c>
      <c r="F617" s="209" t="s">
        <v>29</v>
      </c>
      <c r="G617" s="209" t="s">
        <v>53</v>
      </c>
      <c r="H617" s="209" t="s">
        <v>272</v>
      </c>
      <c r="I617" s="209" t="s">
        <v>273</v>
      </c>
      <c r="J617" s="209" t="s">
        <v>33</v>
      </c>
      <c r="K617" s="210" t="s">
        <v>34</v>
      </c>
      <c r="L617" s="210"/>
      <c r="M617" s="209" t="s">
        <v>35</v>
      </c>
      <c r="N617" s="209">
        <v>42318949</v>
      </c>
      <c r="O617" s="209" t="s">
        <v>36</v>
      </c>
      <c r="P617" s="213">
        <v>44813.573217592595</v>
      </c>
      <c r="Q617" s="209"/>
      <c r="R617" s="209" t="s">
        <v>38</v>
      </c>
      <c r="S617" s="209"/>
      <c r="T617" s="209" t="s">
        <v>74</v>
      </c>
      <c r="U617" s="213">
        <v>44855.75</v>
      </c>
      <c r="V617" s="209" t="s">
        <v>41</v>
      </c>
      <c r="W617" s="209" t="s">
        <v>49</v>
      </c>
      <c r="X617" s="13" t="str">
        <f>IF(RIGHT(H617,2)&lt;&gt;"00",H617,"")</f>
        <v/>
      </c>
      <c r="Y617" s="26">
        <f ca="1">NETWORKDAYS(P617,$Y$1)</f>
        <v>124</v>
      </c>
      <c r="Z617" s="34">
        <v>1</v>
      </c>
      <c r="AA617" s="25" t="str">
        <f t="shared" ca="1" si="48"/>
        <v>A VENCER</v>
      </c>
      <c r="AB617" s="25" t="str">
        <f t="shared" si="51"/>
        <v>Dosa</v>
      </c>
      <c r="AC617" s="2" t="str">
        <f t="shared" si="50"/>
        <v xml:space="preserve"> ROSEMERE </v>
      </c>
      <c r="AD617" s="26">
        <f t="shared" si="52"/>
        <v>5</v>
      </c>
      <c r="AE617" s="26">
        <f t="shared" ca="1" si="49"/>
        <v>173.10305405092367</v>
      </c>
      <c r="AF617" s="35"/>
    </row>
    <row r="618" spans="1:32" hidden="1">
      <c r="A618" s="209">
        <v>8898899</v>
      </c>
      <c r="B618" s="209" t="s">
        <v>226</v>
      </c>
      <c r="C618" s="210" t="s">
        <v>1205</v>
      </c>
      <c r="D618" s="214"/>
      <c r="E618" s="214">
        <v>69000206001</v>
      </c>
      <c r="F618" s="209" t="s">
        <v>29</v>
      </c>
      <c r="G618" s="209" t="s">
        <v>53</v>
      </c>
      <c r="H618" s="209" t="s">
        <v>1206</v>
      </c>
      <c r="I618" s="209" t="s">
        <v>1207</v>
      </c>
      <c r="J618" s="209" t="s">
        <v>33</v>
      </c>
      <c r="K618" s="210" t="s">
        <v>34</v>
      </c>
      <c r="L618" s="210"/>
      <c r="M618" s="209" t="s">
        <v>35</v>
      </c>
      <c r="N618" s="209">
        <v>42318949</v>
      </c>
      <c r="O618" s="209" t="s">
        <v>105</v>
      </c>
      <c r="P618" s="213">
        <v>44816.473333333335</v>
      </c>
      <c r="Q618" s="209"/>
      <c r="R618" s="209" t="s">
        <v>38</v>
      </c>
      <c r="S618" s="209"/>
      <c r="T618" s="209" t="s">
        <v>74</v>
      </c>
      <c r="U618" s="213">
        <v>44858.75</v>
      </c>
      <c r="V618" s="209" t="s">
        <v>41</v>
      </c>
      <c r="W618" s="209" t="s">
        <v>42</v>
      </c>
      <c r="X618" s="13" t="str">
        <f>IF(RIGHT(H618,2)&lt;&gt;"00",H618,"")</f>
        <v/>
      </c>
      <c r="Y618" s="26">
        <f ca="1">NETWORKDAYS(P618,$Y$1)</f>
        <v>123</v>
      </c>
      <c r="Z618" s="34">
        <v>1</v>
      </c>
      <c r="AA618" s="25" t="str">
        <f t="shared" ca="1" si="48"/>
        <v>A VENCER</v>
      </c>
      <c r="AB618" s="25" t="str">
        <f t="shared" si="51"/>
        <v>Dosa</v>
      </c>
      <c r="AC618" s="2" t="str">
        <f t="shared" si="50"/>
        <v xml:space="preserve"> ROSEMERE </v>
      </c>
      <c r="AD618" s="26">
        <f t="shared" si="52"/>
        <v>5</v>
      </c>
      <c r="AE618" s="26">
        <f t="shared" ca="1" si="49"/>
        <v>170.20293831018353</v>
      </c>
      <c r="AF618" s="35"/>
    </row>
    <row r="619" spans="1:32" hidden="1">
      <c r="A619" s="209">
        <v>8903976</v>
      </c>
      <c r="B619" s="209" t="s">
        <v>81</v>
      </c>
      <c r="C619" s="210" t="s">
        <v>1210</v>
      </c>
      <c r="D619" s="214"/>
      <c r="E619" s="214">
        <v>7419141891975</v>
      </c>
      <c r="F619" s="209" t="s">
        <v>128</v>
      </c>
      <c r="G619" s="209" t="s">
        <v>53</v>
      </c>
      <c r="H619" s="209" t="s">
        <v>519</v>
      </c>
      <c r="I619" s="209" t="s">
        <v>520</v>
      </c>
      <c r="J619" s="209" t="s">
        <v>90</v>
      </c>
      <c r="K619" s="210" t="s">
        <v>129</v>
      </c>
      <c r="L619" s="210"/>
      <c r="M619" s="209" t="s">
        <v>58</v>
      </c>
      <c r="N619" s="209">
        <v>0</v>
      </c>
      <c r="O619" s="209" t="s">
        <v>105</v>
      </c>
      <c r="P619" s="213">
        <v>44817.729791666665</v>
      </c>
      <c r="Q619" s="209"/>
      <c r="R619" s="209">
        <v>14</v>
      </c>
      <c r="S619" s="209"/>
      <c r="T619" s="209" t="s">
        <v>238</v>
      </c>
      <c r="U619" s="213">
        <v>44818.730555555558</v>
      </c>
      <c r="V619" s="209" t="s">
        <v>41</v>
      </c>
      <c r="W619" s="209" t="s">
        <v>49</v>
      </c>
      <c r="X619" s="13" t="str">
        <f>IF(RIGHT(H619,2)&lt;&gt;"00",H619,"")</f>
        <v>0870.91</v>
      </c>
      <c r="Y619" s="26">
        <f ca="1">NETWORKDAYS(P619,$Y$1)</f>
        <v>122</v>
      </c>
      <c r="Z619" s="34">
        <v>1</v>
      </c>
      <c r="AA619" s="25" t="str">
        <f t="shared" ca="1" si="48"/>
        <v>A VENCER</v>
      </c>
      <c r="AB619" s="25" t="str">
        <f t="shared" si="51"/>
        <v>TAAe+</v>
      </c>
      <c r="AC619" s="2" t="str">
        <f t="shared" si="50"/>
        <v xml:space="preserve"> RINALDO </v>
      </c>
      <c r="AD619" s="26">
        <f t="shared" si="52"/>
        <v>8</v>
      </c>
      <c r="AE619" s="26">
        <f t="shared" ca="1" si="49"/>
        <v>168.94647997685388</v>
      </c>
      <c r="AF619" s="35"/>
    </row>
    <row r="620" spans="1:32" hidden="1">
      <c r="A620" s="209">
        <v>8903971</v>
      </c>
      <c r="B620" s="209" t="s">
        <v>81</v>
      </c>
      <c r="C620" s="210" t="s">
        <v>1210</v>
      </c>
      <c r="D620" s="214"/>
      <c r="E620" s="214">
        <v>7417202020515</v>
      </c>
      <c r="F620" s="209" t="s">
        <v>1213</v>
      </c>
      <c r="G620" s="209" t="s">
        <v>53</v>
      </c>
      <c r="H620" s="209" t="s">
        <v>519</v>
      </c>
      <c r="I620" s="209" t="s">
        <v>520</v>
      </c>
      <c r="J620" s="209" t="s">
        <v>90</v>
      </c>
      <c r="K620" s="210" t="s">
        <v>1214</v>
      </c>
      <c r="L620" s="210"/>
      <c r="M620" s="209" t="s">
        <v>58</v>
      </c>
      <c r="N620" s="209">
        <v>0</v>
      </c>
      <c r="O620" s="209" t="s">
        <v>105</v>
      </c>
      <c r="P620" s="213">
        <v>44817.725960648146</v>
      </c>
      <c r="Q620" s="209"/>
      <c r="R620" s="209">
        <v>14</v>
      </c>
      <c r="S620" s="209"/>
      <c r="T620" s="209" t="s">
        <v>238</v>
      </c>
      <c r="U620" s="213">
        <v>44818.727361111109</v>
      </c>
      <c r="V620" s="209" t="s">
        <v>41</v>
      </c>
      <c r="W620" s="209" t="s">
        <v>49</v>
      </c>
      <c r="X620" s="13" t="str">
        <f>IF(RIGHT(H620,2)&lt;&gt;"00",H620,"")</f>
        <v>0870.91</v>
      </c>
      <c r="Y620" s="26">
        <f ca="1">NETWORKDAYS(P620,$Y$1)</f>
        <v>122</v>
      </c>
      <c r="Z620" s="34">
        <v>1</v>
      </c>
      <c r="AA620" s="25" t="str">
        <f t="shared" ca="1" si="48"/>
        <v>A VENCER</v>
      </c>
      <c r="AB620" s="25" t="str">
        <f t="shared" si="51"/>
        <v>TAAe+</v>
      </c>
      <c r="AC620" s="2" t="str">
        <f t="shared" si="50"/>
        <v xml:space="preserve"> RINALDO </v>
      </c>
      <c r="AD620" s="26">
        <f t="shared" si="52"/>
        <v>8</v>
      </c>
      <c r="AE620" s="26">
        <f t="shared" ca="1" si="49"/>
        <v>168.950310995373</v>
      </c>
      <c r="AF620" s="35"/>
    </row>
    <row r="621" spans="1:32" hidden="1">
      <c r="A621" s="209">
        <v>8903953</v>
      </c>
      <c r="B621" s="209" t="s">
        <v>81</v>
      </c>
      <c r="C621" s="210" t="s">
        <v>1210</v>
      </c>
      <c r="D621" s="214"/>
      <c r="E621" s="214">
        <v>7417161483328</v>
      </c>
      <c r="F621" s="209" t="s">
        <v>1217</v>
      </c>
      <c r="G621" s="209" t="s">
        <v>53</v>
      </c>
      <c r="H621" s="209" t="s">
        <v>519</v>
      </c>
      <c r="I621" s="209" t="s">
        <v>520</v>
      </c>
      <c r="J621" s="209" t="s">
        <v>90</v>
      </c>
      <c r="K621" s="210" t="s">
        <v>1218</v>
      </c>
      <c r="L621" s="210"/>
      <c r="M621" s="209" t="s">
        <v>58</v>
      </c>
      <c r="N621" s="209">
        <v>0</v>
      </c>
      <c r="O621" s="209" t="s">
        <v>105</v>
      </c>
      <c r="P621" s="213">
        <v>44817.722349537034</v>
      </c>
      <c r="Q621" s="209"/>
      <c r="R621" s="209">
        <v>14</v>
      </c>
      <c r="S621" s="209"/>
      <c r="T621" s="209" t="s">
        <v>238</v>
      </c>
      <c r="U621" s="213">
        <v>44818.72315972222</v>
      </c>
      <c r="V621" s="209" t="s">
        <v>41</v>
      </c>
      <c r="W621" s="209" t="s">
        <v>49</v>
      </c>
      <c r="X621" s="13" t="str">
        <f>IF(RIGHT(H621,2)&lt;&gt;"00",H621,"")</f>
        <v>0870.91</v>
      </c>
      <c r="Y621" s="26">
        <f ca="1">NETWORKDAYS(P621,$Y$1)</f>
        <v>122</v>
      </c>
      <c r="Z621" s="34">
        <v>1</v>
      </c>
      <c r="AA621" s="25" t="str">
        <f t="shared" ca="1" si="48"/>
        <v>A VENCER</v>
      </c>
      <c r="AB621" s="25" t="str">
        <f t="shared" si="51"/>
        <v>TAAe+</v>
      </c>
      <c r="AC621" s="2" t="str">
        <f t="shared" si="50"/>
        <v xml:space="preserve"> RINALDO </v>
      </c>
      <c r="AD621" s="26">
        <f t="shared" si="52"/>
        <v>8</v>
      </c>
      <c r="AE621" s="26">
        <f t="shared" ca="1" si="49"/>
        <v>168.95392210648424</v>
      </c>
      <c r="AF621" s="35"/>
    </row>
    <row r="622" spans="1:32" hidden="1">
      <c r="A622" s="209">
        <v>8903941</v>
      </c>
      <c r="B622" s="209" t="s">
        <v>81</v>
      </c>
      <c r="C622" s="210" t="s">
        <v>1221</v>
      </c>
      <c r="D622" s="214"/>
      <c r="E622" s="214">
        <v>7419143323230</v>
      </c>
      <c r="F622" s="209" t="s">
        <v>1222</v>
      </c>
      <c r="G622" s="209" t="s">
        <v>53</v>
      </c>
      <c r="H622" s="209" t="s">
        <v>519</v>
      </c>
      <c r="I622" s="209" t="s">
        <v>520</v>
      </c>
      <c r="J622" s="209" t="s">
        <v>90</v>
      </c>
      <c r="K622" s="210" t="s">
        <v>1223</v>
      </c>
      <c r="L622" s="210"/>
      <c r="M622" s="209" t="s">
        <v>58</v>
      </c>
      <c r="N622" s="209">
        <v>0</v>
      </c>
      <c r="O622" s="209" t="s">
        <v>105</v>
      </c>
      <c r="P622" s="213">
        <v>44817.717372685183</v>
      </c>
      <c r="Q622" s="209"/>
      <c r="R622" s="209">
        <v>14</v>
      </c>
      <c r="S622" s="209"/>
      <c r="T622" s="209" t="s">
        <v>238</v>
      </c>
      <c r="U622" s="213">
        <v>44818.718124999999</v>
      </c>
      <c r="V622" s="209" t="s">
        <v>41</v>
      </c>
      <c r="W622" s="209" t="s">
        <v>49</v>
      </c>
      <c r="X622" s="13" t="str">
        <f>IF(RIGHT(H622,2)&lt;&gt;"00",H622,"")</f>
        <v>0870.91</v>
      </c>
      <c r="Y622" s="26">
        <f ca="1">NETWORKDAYS(P622,$Y$1)</f>
        <v>122</v>
      </c>
      <c r="Z622" s="34">
        <v>1</v>
      </c>
      <c r="AA622" s="25" t="str">
        <f t="shared" ca="1" si="48"/>
        <v>A VENCER</v>
      </c>
      <c r="AB622" s="25" t="str">
        <f t="shared" si="51"/>
        <v>TAAe+</v>
      </c>
      <c r="AC622" s="2" t="str">
        <f t="shared" si="50"/>
        <v xml:space="preserve"> RINALDO </v>
      </c>
      <c r="AD622" s="26">
        <f t="shared" si="52"/>
        <v>8</v>
      </c>
      <c r="AE622" s="26">
        <f t="shared" ca="1" si="49"/>
        <v>168.95889895833534</v>
      </c>
      <c r="AF622" s="35"/>
    </row>
    <row r="623" spans="1:32" hidden="1">
      <c r="A623" s="209">
        <v>8907264</v>
      </c>
      <c r="B623" s="209" t="s">
        <v>62</v>
      </c>
      <c r="C623" s="210" t="s">
        <v>1226</v>
      </c>
      <c r="D623" s="214"/>
      <c r="E623" s="214">
        <v>870000203000</v>
      </c>
      <c r="F623" s="209" t="s">
        <v>454</v>
      </c>
      <c r="G623" s="209" t="s">
        <v>53</v>
      </c>
      <c r="H623" s="209" t="s">
        <v>183</v>
      </c>
      <c r="I623" s="209" t="s">
        <v>184</v>
      </c>
      <c r="J623" s="209" t="s">
        <v>90</v>
      </c>
      <c r="K623" s="210" t="s">
        <v>457</v>
      </c>
      <c r="L623" s="210"/>
      <c r="M623" s="209" t="s">
        <v>58</v>
      </c>
      <c r="N623" s="209">
        <v>0</v>
      </c>
      <c r="O623" s="209" t="s">
        <v>36</v>
      </c>
      <c r="P623" s="213">
        <v>44819.450868055559</v>
      </c>
      <c r="Q623" s="209"/>
      <c r="R623" s="209">
        <v>1</v>
      </c>
      <c r="S623" s="209"/>
      <c r="T623" s="209" t="s">
        <v>157</v>
      </c>
      <c r="U623" s="213">
        <v>44854.75</v>
      </c>
      <c r="V623" s="209" t="s">
        <v>41</v>
      </c>
      <c r="W623" s="209" t="s">
        <v>49</v>
      </c>
      <c r="X623" s="13" t="str">
        <f>IF(RIGHT(H623,2)&lt;&gt;"00",H623,"")</f>
        <v/>
      </c>
      <c r="Y623" s="26">
        <f ca="1">NETWORKDAYS(P623,$Y$1)</f>
        <v>120</v>
      </c>
      <c r="Z623" s="34">
        <v>1</v>
      </c>
      <c r="AA623" s="25" t="str">
        <f t="shared" ca="1" si="48"/>
        <v>A VENCER</v>
      </c>
      <c r="AB623" s="25" t="str">
        <f t="shared" si="51"/>
        <v>C-14</v>
      </c>
      <c r="AC623" s="2" t="str">
        <f t="shared" si="50"/>
        <v xml:space="preserve"> RINALDO </v>
      </c>
      <c r="AD623" s="26">
        <f t="shared" si="52"/>
        <v>5</v>
      </c>
      <c r="AE623" s="26">
        <f t="shared" ca="1" si="49"/>
        <v>167.22540358795959</v>
      </c>
      <c r="AF623" s="35"/>
    </row>
    <row r="624" spans="1:32" hidden="1">
      <c r="A624" s="209">
        <v>8914733</v>
      </c>
      <c r="B624" s="209" t="s">
        <v>62</v>
      </c>
      <c r="C624" s="210" t="s">
        <v>1203</v>
      </c>
      <c r="D624" s="214"/>
      <c r="E624" s="214">
        <v>1924000206001</v>
      </c>
      <c r="F624" s="209" t="s">
        <v>29</v>
      </c>
      <c r="G624" s="209" t="s">
        <v>53</v>
      </c>
      <c r="H624" s="209" t="s">
        <v>568</v>
      </c>
      <c r="I624" s="209" t="s">
        <v>569</v>
      </c>
      <c r="J624" s="209" t="s">
        <v>33</v>
      </c>
      <c r="K624" s="210" t="s">
        <v>34</v>
      </c>
      <c r="L624" s="210"/>
      <c r="M624" s="209" t="s">
        <v>35</v>
      </c>
      <c r="N624" s="209">
        <v>42318949</v>
      </c>
      <c r="O624" s="209" t="s">
        <v>36</v>
      </c>
      <c r="P624" s="213">
        <v>44823.434999999998</v>
      </c>
      <c r="Q624" s="209"/>
      <c r="R624" s="209" t="s">
        <v>38</v>
      </c>
      <c r="S624" s="209"/>
      <c r="T624" s="209" t="s">
        <v>74</v>
      </c>
      <c r="U624" s="213">
        <v>44865.75</v>
      </c>
      <c r="V624" s="209" t="s">
        <v>41</v>
      </c>
      <c r="W624" s="209" t="s">
        <v>49</v>
      </c>
      <c r="X624" s="13" t="str">
        <f>IF(RIGHT(H624,2)&lt;&gt;"00",H624,"")</f>
        <v/>
      </c>
      <c r="Y624" s="26">
        <f ca="1">NETWORKDAYS(P624,$Y$1)</f>
        <v>118</v>
      </c>
      <c r="Z624" s="34">
        <v>1</v>
      </c>
      <c r="AA624" s="25" t="str">
        <f t="shared" ca="1" si="48"/>
        <v>A VENCER</v>
      </c>
      <c r="AB624" s="25" t="str">
        <f t="shared" si="51"/>
        <v>Dosa</v>
      </c>
      <c r="AC624" s="2" t="str">
        <f t="shared" si="50"/>
        <v xml:space="preserve"> ROSEMERE </v>
      </c>
      <c r="AD624" s="26">
        <f t="shared" si="52"/>
        <v>5</v>
      </c>
      <c r="AE624" s="26">
        <f t="shared" ca="1" si="49"/>
        <v>163.24127164352103</v>
      </c>
      <c r="AF624" s="35"/>
    </row>
    <row r="625" spans="1:32" hidden="1">
      <c r="A625" s="209">
        <v>8937635</v>
      </c>
      <c r="B625" s="209" t="s">
        <v>62</v>
      </c>
      <c r="C625" s="210" t="s">
        <v>1231</v>
      </c>
      <c r="D625" s="214"/>
      <c r="E625" s="214">
        <v>1764000203000</v>
      </c>
      <c r="F625" s="209" t="s">
        <v>454</v>
      </c>
      <c r="G625" s="209" t="s">
        <v>53</v>
      </c>
      <c r="H625" s="209" t="s">
        <v>722</v>
      </c>
      <c r="I625" s="209" t="s">
        <v>723</v>
      </c>
      <c r="J625" s="209" t="s">
        <v>90</v>
      </c>
      <c r="K625" s="210" t="s">
        <v>457</v>
      </c>
      <c r="L625" s="210"/>
      <c r="M625" s="209" t="s">
        <v>58</v>
      </c>
      <c r="N625" s="209">
        <v>0</v>
      </c>
      <c r="O625" s="209" t="s">
        <v>105</v>
      </c>
      <c r="P625" s="213">
        <v>44833.385520833333</v>
      </c>
      <c r="Q625" s="209"/>
      <c r="R625" s="209">
        <v>1</v>
      </c>
      <c r="S625" s="209"/>
      <c r="T625" s="209" t="s">
        <v>157</v>
      </c>
      <c r="U625" s="213">
        <v>44869.75</v>
      </c>
      <c r="V625" s="209" t="s">
        <v>41</v>
      </c>
      <c r="W625" s="209" t="s">
        <v>49</v>
      </c>
      <c r="X625" s="13" t="str">
        <f>IF(RIGHT(H625,2)&lt;&gt;"00",H625,"")</f>
        <v/>
      </c>
      <c r="Y625" s="26">
        <f ca="1">NETWORKDAYS(P625,$Y$1)</f>
        <v>110</v>
      </c>
      <c r="Z625" s="34">
        <v>1</v>
      </c>
      <c r="AA625" s="25" t="str">
        <f t="shared" ca="1" si="48"/>
        <v>A VENCER</v>
      </c>
      <c r="AB625" s="25" t="str">
        <f t="shared" si="51"/>
        <v>C-14</v>
      </c>
      <c r="AC625" s="2" t="str">
        <f t="shared" si="50"/>
        <v xml:space="preserve"> RINALDO </v>
      </c>
      <c r="AD625" s="26">
        <f t="shared" si="52"/>
        <v>5</v>
      </c>
      <c r="AE625" s="26">
        <f t="shared" ca="1" si="49"/>
        <v>153.29075081018527</v>
      </c>
      <c r="AF625" s="35"/>
    </row>
    <row r="626" spans="1:32" hidden="1">
      <c r="A626" s="209">
        <v>8948448</v>
      </c>
      <c r="B626" s="209" t="s">
        <v>101</v>
      </c>
      <c r="C626" s="210" t="s">
        <v>643</v>
      </c>
      <c r="D626" s="214">
        <v>220161643</v>
      </c>
      <c r="E626" s="214">
        <v>4076001400030</v>
      </c>
      <c r="F626" s="209" t="s">
        <v>647</v>
      </c>
      <c r="G626" s="209" t="s">
        <v>53</v>
      </c>
      <c r="H626" s="209" t="s">
        <v>426</v>
      </c>
      <c r="I626" s="209" t="s">
        <v>427</v>
      </c>
      <c r="J626" s="209" t="s">
        <v>79</v>
      </c>
      <c r="K626" s="210" t="s">
        <v>650</v>
      </c>
      <c r="L626" s="210"/>
      <c r="M626" s="209" t="s">
        <v>58</v>
      </c>
      <c r="N626" s="209">
        <v>0</v>
      </c>
      <c r="O626" s="209" t="s">
        <v>105</v>
      </c>
      <c r="P626" s="213">
        <v>44837.261319444442</v>
      </c>
      <c r="Q626" s="209"/>
      <c r="R626" s="209">
        <v>4</v>
      </c>
      <c r="S626" s="209"/>
      <c r="T626" s="209" t="s">
        <v>646</v>
      </c>
      <c r="U626" s="213">
        <v>44838.261319444442</v>
      </c>
      <c r="V626" s="209" t="s">
        <v>41</v>
      </c>
      <c r="W626" s="209" t="s">
        <v>49</v>
      </c>
      <c r="X626" s="13" t="str">
        <f>IF(RIGHT(H626,2)&lt;&gt;"00",H626,"")</f>
        <v/>
      </c>
      <c r="Y626" s="26">
        <f ca="1">NETWORKDAYS(P626,$Y$1)</f>
        <v>108</v>
      </c>
      <c r="Z626" s="34">
        <v>1</v>
      </c>
      <c r="AA626" s="25" t="str">
        <f t="shared" ca="1" si="48"/>
        <v>A VENCER</v>
      </c>
      <c r="AB626" s="25" t="str">
        <f t="shared" si="51"/>
        <v>C-14</v>
      </c>
      <c r="AC626" s="2" t="str">
        <f t="shared" si="50"/>
        <v xml:space="preserve"> ROSEMERE </v>
      </c>
      <c r="AD626" s="26">
        <f t="shared" si="52"/>
        <v>15</v>
      </c>
      <c r="AE626" s="26">
        <f t="shared" ca="1" si="49"/>
        <v>149.41495219907665</v>
      </c>
      <c r="AF626" s="35"/>
    </row>
    <row r="627" spans="1:32" hidden="1">
      <c r="A627" s="209">
        <v>8947938</v>
      </c>
      <c r="B627" s="209" t="s">
        <v>101</v>
      </c>
      <c r="C627" s="210" t="s">
        <v>643</v>
      </c>
      <c r="D627" s="214">
        <v>220160524</v>
      </c>
      <c r="E627" s="214">
        <v>4076001400010</v>
      </c>
      <c r="F627" s="209" t="s">
        <v>936</v>
      </c>
      <c r="G627" s="209" t="s">
        <v>53</v>
      </c>
      <c r="H627" s="209" t="s">
        <v>426</v>
      </c>
      <c r="I627" s="209" t="s">
        <v>427</v>
      </c>
      <c r="J627" s="209" t="s">
        <v>79</v>
      </c>
      <c r="K627" s="210" t="s">
        <v>937</v>
      </c>
      <c r="L627" s="210"/>
      <c r="M627" s="209" t="s">
        <v>58</v>
      </c>
      <c r="N627" s="209">
        <v>0</v>
      </c>
      <c r="O627" s="209" t="s">
        <v>105</v>
      </c>
      <c r="P627" s="213">
        <v>44837.213599537034</v>
      </c>
      <c r="Q627" s="209"/>
      <c r="R627" s="209">
        <v>3</v>
      </c>
      <c r="S627" s="209"/>
      <c r="T627" s="209" t="s">
        <v>646</v>
      </c>
      <c r="U627" s="213">
        <v>44838.21361111111</v>
      </c>
      <c r="V627" s="209" t="s">
        <v>41</v>
      </c>
      <c r="W627" s="209" t="s">
        <v>49</v>
      </c>
      <c r="X627" s="13" t="str">
        <f>IF(RIGHT(H627,2)&lt;&gt;"00",H627,"")</f>
        <v/>
      </c>
      <c r="Y627" s="26">
        <f ca="1">NETWORKDAYS(P627,$Y$1)</f>
        <v>108</v>
      </c>
      <c r="Z627" s="34">
        <v>1</v>
      </c>
      <c r="AA627" s="25" t="str">
        <f t="shared" ca="1" si="48"/>
        <v>A VENCER</v>
      </c>
      <c r="AB627" s="25" t="str">
        <f t="shared" si="51"/>
        <v>C-14</v>
      </c>
      <c r="AC627" s="2" t="str">
        <f t="shared" si="50"/>
        <v xml:space="preserve"> ROSEMERE </v>
      </c>
      <c r="AD627" s="26">
        <f t="shared" si="52"/>
        <v>5</v>
      </c>
      <c r="AE627" s="26">
        <f t="shared" ca="1" si="49"/>
        <v>149.46267210648512</v>
      </c>
      <c r="AF627" s="35"/>
    </row>
    <row r="628" spans="1:32" hidden="1">
      <c r="A628" s="209">
        <v>8946342</v>
      </c>
      <c r="B628" s="209" t="s">
        <v>101</v>
      </c>
      <c r="C628" s="210" t="s">
        <v>643</v>
      </c>
      <c r="D628" s="214">
        <v>220163016</v>
      </c>
      <c r="E628" s="214">
        <v>4076001400040</v>
      </c>
      <c r="F628" s="209" t="s">
        <v>644</v>
      </c>
      <c r="G628" s="209" t="s">
        <v>53</v>
      </c>
      <c r="H628" s="209" t="s">
        <v>426</v>
      </c>
      <c r="I628" s="209" t="s">
        <v>427</v>
      </c>
      <c r="J628" s="209" t="s">
        <v>79</v>
      </c>
      <c r="K628" s="210" t="s">
        <v>645</v>
      </c>
      <c r="L628" s="210"/>
      <c r="M628" s="209" t="s">
        <v>58</v>
      </c>
      <c r="N628" s="209">
        <v>0</v>
      </c>
      <c r="O628" s="209" t="s">
        <v>105</v>
      </c>
      <c r="P628" s="213">
        <v>44837.102939814817</v>
      </c>
      <c r="Q628" s="209"/>
      <c r="R628" s="209">
        <v>3</v>
      </c>
      <c r="S628" s="209"/>
      <c r="T628" s="209" t="s">
        <v>646</v>
      </c>
      <c r="U628" s="213">
        <v>44838.102939814817</v>
      </c>
      <c r="V628" s="209" t="s">
        <v>41</v>
      </c>
      <c r="W628" s="209" t="s">
        <v>49</v>
      </c>
      <c r="X628" s="13" t="str">
        <f>IF(RIGHT(H628,2)&lt;&gt;"00",H628,"")</f>
        <v/>
      </c>
      <c r="Y628" s="26">
        <f ca="1">NETWORKDAYS(P628,$Y$1)</f>
        <v>108</v>
      </c>
      <c r="Z628" s="34">
        <v>1</v>
      </c>
      <c r="AA628" s="25" t="str">
        <f t="shared" ca="1" si="48"/>
        <v>A VENCER</v>
      </c>
      <c r="AB628" s="25" t="str">
        <f t="shared" si="51"/>
        <v>SL-On</v>
      </c>
      <c r="AC628" s="2" t="str">
        <f t="shared" si="50"/>
        <v xml:space="preserve"> ROSEMERE </v>
      </c>
      <c r="AD628" s="26">
        <f t="shared" si="52"/>
        <v>1</v>
      </c>
      <c r="AE628" s="26">
        <f t="shared" ca="1" si="49"/>
        <v>149.57333182870207</v>
      </c>
      <c r="AF628" s="35"/>
    </row>
    <row r="629" spans="1:32" hidden="1">
      <c r="A629" s="209">
        <v>8961211</v>
      </c>
      <c r="B629" s="209" t="s">
        <v>81</v>
      </c>
      <c r="C629" s="210" t="s">
        <v>3586</v>
      </c>
      <c r="D629" s="214"/>
      <c r="E629" s="214">
        <v>1128000206022</v>
      </c>
      <c r="F629" s="209" t="s">
        <v>103</v>
      </c>
      <c r="G629" s="209" t="s">
        <v>53</v>
      </c>
      <c r="H629" s="209" t="s">
        <v>1191</v>
      </c>
      <c r="I629" s="209" t="s">
        <v>1192</v>
      </c>
      <c r="J629" s="209" t="s">
        <v>33</v>
      </c>
      <c r="K629" s="210" t="s">
        <v>104</v>
      </c>
      <c r="L629" s="210"/>
      <c r="M629" s="209" t="s">
        <v>58</v>
      </c>
      <c r="N629" s="209">
        <v>0</v>
      </c>
      <c r="O629" s="209" t="s">
        <v>105</v>
      </c>
      <c r="P629" s="213">
        <v>44840.655717592592</v>
      </c>
      <c r="Q629" s="209"/>
      <c r="R629" s="209" t="s">
        <v>38</v>
      </c>
      <c r="S629" s="209"/>
      <c r="T629" s="209" t="s">
        <v>74</v>
      </c>
      <c r="U629" s="213">
        <v>44841.655717592592</v>
      </c>
      <c r="V629" s="209" t="s">
        <v>41</v>
      </c>
      <c r="W629" s="209" t="s">
        <v>49</v>
      </c>
      <c r="X629" s="13" t="str">
        <f>IF(RIGHT(H629,2)&lt;&gt;"00",H629,"")</f>
        <v/>
      </c>
      <c r="Y629" s="26">
        <f ca="1">NETWORKDAYS(P629,$Y$1)</f>
        <v>105</v>
      </c>
      <c r="Z629" s="34">
        <v>1</v>
      </c>
      <c r="AA629" s="25" t="str">
        <f t="shared" ca="1" si="48"/>
        <v>A VENCER</v>
      </c>
      <c r="AB629" s="25" t="str">
        <f t="shared" si="51"/>
        <v>Dosa</v>
      </c>
      <c r="AC629" s="2" t="str">
        <f t="shared" si="50"/>
        <v xml:space="preserve"> ROSEMERE </v>
      </c>
      <c r="AD629" s="26">
        <f t="shared" si="52"/>
        <v>5</v>
      </c>
      <c r="AE629" s="26">
        <f t="shared" ca="1" si="49"/>
        <v>146.02055405092688</v>
      </c>
      <c r="AF629" s="35"/>
    </row>
    <row r="630" spans="1:32" hidden="1">
      <c r="A630" s="209">
        <v>8963507</v>
      </c>
      <c r="B630" s="209" t="s">
        <v>1153</v>
      </c>
      <c r="C630" s="210" t="s">
        <v>1243</v>
      </c>
      <c r="D630" s="214">
        <v>20228362000085</v>
      </c>
      <c r="E630" s="214">
        <v>7417172316147</v>
      </c>
      <c r="F630" s="209" t="s">
        <v>1155</v>
      </c>
      <c r="G630" s="209" t="s">
        <v>53</v>
      </c>
      <c r="H630" s="209" t="s">
        <v>1244</v>
      </c>
      <c r="I630" s="209" t="s">
        <v>1245</v>
      </c>
      <c r="J630" s="209" t="s">
        <v>46</v>
      </c>
      <c r="K630" s="210" t="s">
        <v>1158</v>
      </c>
      <c r="L630" s="210"/>
      <c r="M630" s="209" t="s">
        <v>58</v>
      </c>
      <c r="N630" s="209">
        <v>0</v>
      </c>
      <c r="O630" s="209" t="s">
        <v>36</v>
      </c>
      <c r="P630" s="213">
        <v>44841.398495370369</v>
      </c>
      <c r="Q630" s="209"/>
      <c r="R630" s="209">
        <v>22</v>
      </c>
      <c r="S630" s="209"/>
      <c r="T630" s="209" t="s">
        <v>1160</v>
      </c>
      <c r="U630" s="213">
        <v>44845.606828703705</v>
      </c>
      <c r="V630" s="209" t="s">
        <v>41</v>
      </c>
      <c r="W630" s="209" t="s">
        <v>49</v>
      </c>
      <c r="X630" s="13" t="str">
        <f>IF(RIGHT(H630,2)&lt;&gt;"00",H630,"")</f>
        <v/>
      </c>
      <c r="Y630" s="26">
        <f ca="1">NETWORKDAYS(P630,$Y$1)</f>
        <v>104</v>
      </c>
      <c r="Z630" s="34">
        <v>1</v>
      </c>
      <c r="AA630" s="25" t="str">
        <f t="shared" ca="1" si="48"/>
        <v>A VENCER</v>
      </c>
      <c r="AB630" s="25" t="str">
        <f t="shared" si="51"/>
        <v>TAAe+</v>
      </c>
      <c r="AC630" s="2" t="str">
        <f t="shared" si="50"/>
        <v xml:space="preserve"> CLEITON </v>
      </c>
      <c r="AD630" s="26">
        <f t="shared" si="52"/>
        <v>8</v>
      </c>
      <c r="AE630" s="26">
        <f t="shared" ca="1" si="49"/>
        <v>145.27777627314936</v>
      </c>
      <c r="AF630" s="35"/>
    </row>
    <row r="631" spans="1:32" hidden="1">
      <c r="A631" s="209">
        <v>8974248</v>
      </c>
      <c r="B631" s="209" t="s">
        <v>1153</v>
      </c>
      <c r="C631" s="210" t="s">
        <v>1248</v>
      </c>
      <c r="D631" s="214">
        <v>20228362000086</v>
      </c>
      <c r="E631" s="214">
        <v>7417172315342</v>
      </c>
      <c r="F631" s="209" t="s">
        <v>1155</v>
      </c>
      <c r="G631" s="209" t="s">
        <v>53</v>
      </c>
      <c r="H631" s="209" t="s">
        <v>1244</v>
      </c>
      <c r="I631" s="209" t="s">
        <v>1245</v>
      </c>
      <c r="J631" s="209" t="s">
        <v>46</v>
      </c>
      <c r="K631" s="210" t="s">
        <v>1158</v>
      </c>
      <c r="L631" s="210"/>
      <c r="M631" s="209" t="s">
        <v>58</v>
      </c>
      <c r="N631" s="209">
        <v>0</v>
      </c>
      <c r="O631" s="209" t="s">
        <v>36</v>
      </c>
      <c r="P631" s="213">
        <v>44844.663564814815</v>
      </c>
      <c r="Q631" s="209"/>
      <c r="R631" s="209">
        <v>22</v>
      </c>
      <c r="S631" s="209"/>
      <c r="T631" s="209" t="s">
        <v>1160</v>
      </c>
      <c r="U631" s="213">
        <v>44848.496898148151</v>
      </c>
      <c r="V631" s="209" t="s">
        <v>41</v>
      </c>
      <c r="W631" s="209" t="s">
        <v>49</v>
      </c>
      <c r="X631" s="13" t="str">
        <f>IF(RIGHT(H631,2)&lt;&gt;"00",H631,"")</f>
        <v/>
      </c>
      <c r="Y631" s="26">
        <f ca="1">NETWORKDAYS(P631,$Y$1)</f>
        <v>103</v>
      </c>
      <c r="Z631" s="34">
        <v>1</v>
      </c>
      <c r="AA631" s="25" t="str">
        <f t="shared" ca="1" si="48"/>
        <v>A VENCER</v>
      </c>
      <c r="AB631" s="25" t="str">
        <f t="shared" si="51"/>
        <v>TAAe+</v>
      </c>
      <c r="AC631" s="2" t="str">
        <f t="shared" si="50"/>
        <v xml:space="preserve"> CLEITON </v>
      </c>
      <c r="AD631" s="26">
        <f t="shared" si="52"/>
        <v>8</v>
      </c>
      <c r="AE631" s="26">
        <f t="shared" ca="1" si="49"/>
        <v>142.01270682870381</v>
      </c>
      <c r="AF631" s="35"/>
    </row>
    <row r="632" spans="1:32" hidden="1">
      <c r="A632" s="209">
        <v>8987410</v>
      </c>
      <c r="B632" s="209" t="s">
        <v>81</v>
      </c>
      <c r="C632" s="210" t="s">
        <v>1251</v>
      </c>
      <c r="D632" s="214"/>
      <c r="E632" s="214">
        <v>2196000206001</v>
      </c>
      <c r="F632" s="209" t="s">
        <v>29</v>
      </c>
      <c r="G632" s="209" t="s">
        <v>53</v>
      </c>
      <c r="H632" s="209" t="s">
        <v>1252</v>
      </c>
      <c r="I632" s="209" t="s">
        <v>1253</v>
      </c>
      <c r="J632" s="209" t="s">
        <v>33</v>
      </c>
      <c r="K632" s="210" t="s">
        <v>34</v>
      </c>
      <c r="L632" s="210"/>
      <c r="M632" s="209" t="s">
        <v>35</v>
      </c>
      <c r="N632" s="209">
        <v>42318949</v>
      </c>
      <c r="O632" s="209" t="s">
        <v>105</v>
      </c>
      <c r="P632" s="213">
        <v>44848.643437500003</v>
      </c>
      <c r="Q632" s="209"/>
      <c r="R632" s="209" t="s">
        <v>38</v>
      </c>
      <c r="S632" s="209"/>
      <c r="T632" s="209" t="s">
        <v>74</v>
      </c>
      <c r="U632" s="213">
        <v>44849.643437500003</v>
      </c>
      <c r="V632" s="209" t="s">
        <v>41</v>
      </c>
      <c r="W632" s="209" t="s">
        <v>42</v>
      </c>
      <c r="X632" s="13" t="str">
        <f>IF(RIGHT(H632,2)&lt;&gt;"00",H632,"")</f>
        <v/>
      </c>
      <c r="Y632" s="26">
        <f ca="1">NETWORKDAYS(P632,$Y$1)</f>
        <v>99</v>
      </c>
      <c r="Z632" s="34">
        <v>1</v>
      </c>
      <c r="AA632" s="25" t="str">
        <f t="shared" ca="1" si="48"/>
        <v>A VENCER</v>
      </c>
      <c r="AB632" s="25" t="str">
        <f t="shared" si="51"/>
        <v>Dosa</v>
      </c>
      <c r="AC632" s="2" t="str">
        <f t="shared" si="50"/>
        <v xml:space="preserve"> ROSEMERE </v>
      </c>
      <c r="AD632" s="26">
        <f t="shared" si="52"/>
        <v>5</v>
      </c>
      <c r="AE632" s="26">
        <f t="shared" ca="1" si="49"/>
        <v>138.03283414351608</v>
      </c>
      <c r="AF632" s="35"/>
    </row>
    <row r="633" spans="1:32" hidden="1">
      <c r="A633" s="209">
        <v>9003116</v>
      </c>
      <c r="B633" s="209" t="s">
        <v>62</v>
      </c>
      <c r="C633" s="210" t="s">
        <v>3587</v>
      </c>
      <c r="D633" s="214"/>
      <c r="E633" s="214">
        <v>8074000203010</v>
      </c>
      <c r="F633" s="209" t="s">
        <v>152</v>
      </c>
      <c r="G633" s="209" t="s">
        <v>53</v>
      </c>
      <c r="H633" s="209" t="s">
        <v>1257</v>
      </c>
      <c r="I633" s="209" t="s">
        <v>1258</v>
      </c>
      <c r="J633" s="209" t="s">
        <v>33</v>
      </c>
      <c r="K633" s="210" t="s">
        <v>155</v>
      </c>
      <c r="L633" s="210"/>
      <c r="M633" s="209" t="s">
        <v>35</v>
      </c>
      <c r="N633" s="209">
        <v>42318949</v>
      </c>
      <c r="O633" s="209" t="s">
        <v>36</v>
      </c>
      <c r="P633" s="213">
        <v>44853.518310185187</v>
      </c>
      <c r="Q633" s="209"/>
      <c r="R633" s="209">
        <v>1</v>
      </c>
      <c r="S633" s="209"/>
      <c r="T633" s="209" t="s">
        <v>157</v>
      </c>
      <c r="U633" s="213">
        <v>44889.75</v>
      </c>
      <c r="V633" s="209" t="s">
        <v>41</v>
      </c>
      <c r="W633" s="209" t="s">
        <v>49</v>
      </c>
      <c r="X633" s="13" t="str">
        <f>IF(RIGHT(H633,2)&lt;&gt;"00",H633,"")</f>
        <v/>
      </c>
      <c r="Y633" s="26">
        <f ca="1">NETWORKDAYS(P633,$Y$1)</f>
        <v>96</v>
      </c>
      <c r="Z633" s="34">
        <v>1</v>
      </c>
      <c r="AA633" s="25" t="str">
        <f t="shared" ca="1" si="48"/>
        <v>A VENCER</v>
      </c>
      <c r="AB633" s="25" t="str">
        <f t="shared" si="51"/>
        <v>TAAe+</v>
      </c>
      <c r="AC633" s="2" t="str">
        <f t="shared" si="50"/>
        <v xml:space="preserve"> ROSEMERE </v>
      </c>
      <c r="AD633" s="26">
        <f t="shared" si="52"/>
        <v>8</v>
      </c>
      <c r="AE633" s="26">
        <f t="shared" ca="1" si="49"/>
        <v>133.15796145833156</v>
      </c>
      <c r="AF633" s="35"/>
    </row>
    <row r="634" spans="1:32" hidden="1">
      <c r="A634" s="209">
        <v>9002878</v>
      </c>
      <c r="B634" s="209" t="s">
        <v>62</v>
      </c>
      <c r="C634" s="210" t="s">
        <v>3588</v>
      </c>
      <c r="D634" s="214"/>
      <c r="E634" s="214">
        <v>1732000203010</v>
      </c>
      <c r="F634" s="209" t="s">
        <v>152</v>
      </c>
      <c r="G634" s="209" t="s">
        <v>53</v>
      </c>
      <c r="H634" s="209" t="s">
        <v>177</v>
      </c>
      <c r="I634" s="209" t="s">
        <v>178</v>
      </c>
      <c r="J634" s="209" t="s">
        <v>164</v>
      </c>
      <c r="K634" s="210" t="s">
        <v>155</v>
      </c>
      <c r="L634" s="210"/>
      <c r="M634" s="209" t="s">
        <v>35</v>
      </c>
      <c r="N634" s="209">
        <v>42318949</v>
      </c>
      <c r="O634" s="209" t="s">
        <v>36</v>
      </c>
      <c r="P634" s="213">
        <v>44853.517974537041</v>
      </c>
      <c r="Q634" s="209"/>
      <c r="R634" s="209">
        <v>1</v>
      </c>
      <c r="S634" s="209"/>
      <c r="T634" s="209" t="s">
        <v>157</v>
      </c>
      <c r="U634" s="213">
        <v>44889.75</v>
      </c>
      <c r="V634" s="209" t="s">
        <v>41</v>
      </c>
      <c r="W634" s="209" t="s">
        <v>49</v>
      </c>
      <c r="X634" s="13" t="str">
        <f>IF(RIGHT(H634,2)&lt;&gt;"00",H634,"")</f>
        <v/>
      </c>
      <c r="Y634" s="26">
        <f ca="1">NETWORKDAYS(P634,$Y$1)</f>
        <v>96</v>
      </c>
      <c r="Z634" s="34">
        <v>1</v>
      </c>
      <c r="AA634" s="25" t="str">
        <f t="shared" ca="1" si="48"/>
        <v>A VENCER</v>
      </c>
      <c r="AB634" s="25" t="str">
        <f t="shared" si="51"/>
        <v>TAAe+</v>
      </c>
      <c r="AC634" s="2" t="str">
        <f t="shared" si="50"/>
        <v xml:space="preserve"> ROSEMERE </v>
      </c>
      <c r="AD634" s="26">
        <f t="shared" si="52"/>
        <v>8</v>
      </c>
      <c r="AE634" s="26">
        <f t="shared" ca="1" si="49"/>
        <v>133.15829710647813</v>
      </c>
      <c r="AF634" s="35"/>
    </row>
    <row r="635" spans="1:32" hidden="1">
      <c r="A635" s="209">
        <v>9011010</v>
      </c>
      <c r="B635" s="209" t="s">
        <v>62</v>
      </c>
      <c r="C635" s="210" t="s">
        <v>1263</v>
      </c>
      <c r="D635" s="214"/>
      <c r="E635" s="214">
        <v>2156000206021</v>
      </c>
      <c r="F635" s="209" t="s">
        <v>103</v>
      </c>
      <c r="G635" s="209" t="s">
        <v>53</v>
      </c>
      <c r="H635" s="209" t="s">
        <v>278</v>
      </c>
      <c r="I635" s="209" t="s">
        <v>279</v>
      </c>
      <c r="J635" s="209" t="s">
        <v>211</v>
      </c>
      <c r="K635" s="210" t="s">
        <v>104</v>
      </c>
      <c r="L635" s="210"/>
      <c r="M635" s="209" t="s">
        <v>58</v>
      </c>
      <c r="N635" s="209">
        <v>0</v>
      </c>
      <c r="O635" s="209" t="s">
        <v>36</v>
      </c>
      <c r="P635" s="213">
        <v>44855.757037037038</v>
      </c>
      <c r="Q635" s="209"/>
      <c r="R635" s="209" t="s">
        <v>38</v>
      </c>
      <c r="S635" s="209"/>
      <c r="T635" s="209" t="s">
        <v>74</v>
      </c>
      <c r="U635" s="213">
        <v>44901.75</v>
      </c>
      <c r="V635" s="209" t="s">
        <v>41</v>
      </c>
      <c r="W635" s="209" t="s">
        <v>49</v>
      </c>
      <c r="X635" s="13" t="str">
        <f>IF(RIGHT(H635,2)&lt;&gt;"00",H635,"")</f>
        <v/>
      </c>
      <c r="Y635" s="26">
        <f ca="1">NETWORKDAYS(P635,$Y$1)</f>
        <v>94</v>
      </c>
      <c r="Z635" s="34">
        <v>1</v>
      </c>
      <c r="AA635" s="25" t="str">
        <f t="shared" ca="1" si="48"/>
        <v>A VENCER</v>
      </c>
      <c r="AB635" s="25" t="str">
        <f t="shared" si="51"/>
        <v>Dosa</v>
      </c>
      <c r="AC635" s="2" t="str">
        <f t="shared" si="50"/>
        <v xml:space="preserve"> RINALDO </v>
      </c>
      <c r="AD635" s="26">
        <f t="shared" si="52"/>
        <v>5</v>
      </c>
      <c r="AE635" s="26">
        <f t="shared" ca="1" si="49"/>
        <v>130.91923460648104</v>
      </c>
      <c r="AF635" s="35"/>
    </row>
    <row r="636" spans="1:32" hidden="1">
      <c r="A636" s="209">
        <v>9011009</v>
      </c>
      <c r="B636" s="209" t="s">
        <v>62</v>
      </c>
      <c r="C636" s="210" t="s">
        <v>1266</v>
      </c>
      <c r="D636" s="214"/>
      <c r="E636" s="214">
        <v>2156000206021</v>
      </c>
      <c r="F636" s="209" t="s">
        <v>103</v>
      </c>
      <c r="G636" s="209" t="s">
        <v>53</v>
      </c>
      <c r="H636" s="209" t="s">
        <v>278</v>
      </c>
      <c r="I636" s="209" t="s">
        <v>279</v>
      </c>
      <c r="J636" s="209" t="s">
        <v>211</v>
      </c>
      <c r="K636" s="210" t="s">
        <v>104</v>
      </c>
      <c r="L636" s="210"/>
      <c r="M636" s="209" t="s">
        <v>58</v>
      </c>
      <c r="N636" s="209">
        <v>0</v>
      </c>
      <c r="O636" s="209" t="s">
        <v>36</v>
      </c>
      <c r="P636" s="213">
        <v>44855.756736111114</v>
      </c>
      <c r="Q636" s="209"/>
      <c r="R636" s="209" t="s">
        <v>38</v>
      </c>
      <c r="S636" s="209"/>
      <c r="T636" s="209" t="s">
        <v>74</v>
      </c>
      <c r="U636" s="213">
        <v>44901.75</v>
      </c>
      <c r="V636" s="209" t="s">
        <v>41</v>
      </c>
      <c r="W636" s="209" t="s">
        <v>49</v>
      </c>
      <c r="X636" s="13" t="str">
        <f>IF(RIGHT(H636,2)&lt;&gt;"00",H636,"")</f>
        <v/>
      </c>
      <c r="Y636" s="26">
        <f ca="1">NETWORKDAYS(P636,$Y$1)</f>
        <v>94</v>
      </c>
      <c r="Z636" s="34">
        <v>1</v>
      </c>
      <c r="AA636" s="25" t="str">
        <f t="shared" ca="1" si="48"/>
        <v>A VENCER</v>
      </c>
      <c r="AB636" s="25" t="str">
        <f t="shared" si="51"/>
        <v>Dosa</v>
      </c>
      <c r="AC636" s="2" t="str">
        <f t="shared" si="50"/>
        <v xml:space="preserve"> RINALDO </v>
      </c>
      <c r="AD636" s="26">
        <f t="shared" si="52"/>
        <v>5</v>
      </c>
      <c r="AE636" s="26">
        <f t="shared" ca="1" si="49"/>
        <v>130.91953553240455</v>
      </c>
      <c r="AF636" s="35"/>
    </row>
    <row r="637" spans="1:32" hidden="1">
      <c r="A637" s="209">
        <v>9011008</v>
      </c>
      <c r="B637" s="209" t="s">
        <v>62</v>
      </c>
      <c r="C637" s="210" t="s">
        <v>1266</v>
      </c>
      <c r="D637" s="214"/>
      <c r="E637" s="214">
        <v>2156000206021</v>
      </c>
      <c r="F637" s="209" t="s">
        <v>103</v>
      </c>
      <c r="G637" s="209" t="s">
        <v>53</v>
      </c>
      <c r="H637" s="209" t="s">
        <v>278</v>
      </c>
      <c r="I637" s="209" t="s">
        <v>279</v>
      </c>
      <c r="J637" s="209" t="s">
        <v>211</v>
      </c>
      <c r="K637" s="210" t="s">
        <v>104</v>
      </c>
      <c r="L637" s="210"/>
      <c r="M637" s="209" t="s">
        <v>58</v>
      </c>
      <c r="N637" s="209">
        <v>0</v>
      </c>
      <c r="O637" s="209" t="s">
        <v>36</v>
      </c>
      <c r="P637" s="213">
        <v>44855.756435185183</v>
      </c>
      <c r="Q637" s="209"/>
      <c r="R637" s="209" t="s">
        <v>38</v>
      </c>
      <c r="S637" s="209"/>
      <c r="T637" s="209" t="s">
        <v>74</v>
      </c>
      <c r="U637" s="213">
        <v>44901.75</v>
      </c>
      <c r="V637" s="209" t="s">
        <v>41</v>
      </c>
      <c r="W637" s="209" t="s">
        <v>49</v>
      </c>
      <c r="X637" s="13" t="str">
        <f>IF(RIGHT(H637,2)&lt;&gt;"00",H637,"")</f>
        <v/>
      </c>
      <c r="Y637" s="26">
        <f ca="1">NETWORKDAYS(P637,$Y$1)</f>
        <v>94</v>
      </c>
      <c r="Z637" s="34">
        <v>1</v>
      </c>
      <c r="AA637" s="25" t="str">
        <f t="shared" ca="1" si="48"/>
        <v>A VENCER</v>
      </c>
      <c r="AB637" s="25" t="str">
        <f t="shared" si="51"/>
        <v>Dosa</v>
      </c>
      <c r="AC637" s="2" t="str">
        <f t="shared" si="50"/>
        <v xml:space="preserve"> RINALDO </v>
      </c>
      <c r="AD637" s="26">
        <f t="shared" si="52"/>
        <v>5</v>
      </c>
      <c r="AE637" s="26">
        <f t="shared" ca="1" si="49"/>
        <v>130.91983645833534</v>
      </c>
      <c r="AF637" s="35"/>
    </row>
    <row r="638" spans="1:32" hidden="1">
      <c r="A638" s="209">
        <v>9011007</v>
      </c>
      <c r="B638" s="209" t="s">
        <v>62</v>
      </c>
      <c r="C638" s="210" t="s">
        <v>1266</v>
      </c>
      <c r="D638" s="214"/>
      <c r="E638" s="214">
        <v>2156000206021</v>
      </c>
      <c r="F638" s="209" t="s">
        <v>103</v>
      </c>
      <c r="G638" s="209" t="s">
        <v>53</v>
      </c>
      <c r="H638" s="209" t="s">
        <v>278</v>
      </c>
      <c r="I638" s="209" t="s">
        <v>279</v>
      </c>
      <c r="J638" s="209" t="s">
        <v>211</v>
      </c>
      <c r="K638" s="210" t="s">
        <v>104</v>
      </c>
      <c r="L638" s="210"/>
      <c r="M638" s="209" t="s">
        <v>58</v>
      </c>
      <c r="N638" s="209">
        <v>0</v>
      </c>
      <c r="O638" s="209" t="s">
        <v>36</v>
      </c>
      <c r="P638" s="213">
        <v>44855.756111111114</v>
      </c>
      <c r="Q638" s="209"/>
      <c r="R638" s="209" t="s">
        <v>38</v>
      </c>
      <c r="S638" s="209"/>
      <c r="T638" s="209" t="s">
        <v>74</v>
      </c>
      <c r="U638" s="213">
        <v>44901.75</v>
      </c>
      <c r="V638" s="209" t="s">
        <v>41</v>
      </c>
      <c r="W638" s="209" t="s">
        <v>49</v>
      </c>
      <c r="X638" s="13" t="str">
        <f>IF(RIGHT(H638,2)&lt;&gt;"00",H638,"")</f>
        <v/>
      </c>
      <c r="Y638" s="26">
        <f ca="1">NETWORKDAYS(P638,$Y$1)</f>
        <v>94</v>
      </c>
      <c r="Z638" s="34">
        <v>1</v>
      </c>
      <c r="AA638" s="25" t="str">
        <f t="shared" ca="1" si="48"/>
        <v>A VENCER</v>
      </c>
      <c r="AB638" s="25" t="str">
        <f t="shared" si="51"/>
        <v>Dosa</v>
      </c>
      <c r="AC638" s="2" t="str">
        <f t="shared" si="50"/>
        <v xml:space="preserve"> RINALDO </v>
      </c>
      <c r="AD638" s="26">
        <f t="shared" si="52"/>
        <v>5</v>
      </c>
      <c r="AE638" s="26">
        <f t="shared" ca="1" si="49"/>
        <v>130.92016053240513</v>
      </c>
      <c r="AF638" s="35"/>
    </row>
    <row r="639" spans="1:32" hidden="1">
      <c r="A639" s="209">
        <v>9017924</v>
      </c>
      <c r="B639" s="209" t="s">
        <v>1153</v>
      </c>
      <c r="C639" s="210" t="s">
        <v>1270</v>
      </c>
      <c r="D639" s="214">
        <v>220174476</v>
      </c>
      <c r="E639" s="214">
        <v>4119001400030</v>
      </c>
      <c r="F639" s="209" t="s">
        <v>647</v>
      </c>
      <c r="G639" s="209" t="s">
        <v>53</v>
      </c>
      <c r="H639" s="209" t="s">
        <v>297</v>
      </c>
      <c r="I639" s="209" t="s">
        <v>298</v>
      </c>
      <c r="J639" s="209" t="s">
        <v>211</v>
      </c>
      <c r="K639" s="210" t="s">
        <v>650</v>
      </c>
      <c r="L639" s="210"/>
      <c r="M639" s="209" t="s">
        <v>58</v>
      </c>
      <c r="N639" s="209">
        <v>0</v>
      </c>
      <c r="O639" s="209" t="s">
        <v>36</v>
      </c>
      <c r="P639" s="213">
        <v>44859.516435185185</v>
      </c>
      <c r="Q639" s="209"/>
      <c r="R639" s="209">
        <v>4</v>
      </c>
      <c r="S639" s="209"/>
      <c r="T639" s="209" t="s">
        <v>646</v>
      </c>
      <c r="U639" s="213">
        <v>44860.537268518521</v>
      </c>
      <c r="V639" s="209" t="s">
        <v>41</v>
      </c>
      <c r="W639" s="209" t="s">
        <v>49</v>
      </c>
      <c r="X639" s="13" t="str">
        <f>IF(RIGHT(H639,2)&lt;&gt;"00",H639,"")</f>
        <v/>
      </c>
      <c r="Y639" s="26">
        <f ca="1">NETWORKDAYS(P639,$Y$1)</f>
        <v>92</v>
      </c>
      <c r="Z639" s="34">
        <v>1</v>
      </c>
      <c r="AA639" s="25" t="str">
        <f t="shared" ca="1" si="48"/>
        <v>A VENCER</v>
      </c>
      <c r="AB639" s="25" t="str">
        <f t="shared" si="51"/>
        <v>C-14</v>
      </c>
      <c r="AC639" s="2" t="str">
        <f t="shared" si="50"/>
        <v xml:space="preserve"> RINALDO </v>
      </c>
      <c r="AD639" s="26">
        <f t="shared" si="52"/>
        <v>15</v>
      </c>
      <c r="AE639" s="26">
        <f t="shared" ca="1" si="49"/>
        <v>127.1598364583333</v>
      </c>
      <c r="AF639" s="35"/>
    </row>
    <row r="640" spans="1:32" hidden="1">
      <c r="A640" s="209">
        <v>9020963</v>
      </c>
      <c r="B640" s="209" t="s">
        <v>1153</v>
      </c>
      <c r="C640" s="210" t="s">
        <v>1273</v>
      </c>
      <c r="D640" s="214">
        <v>20228489000019</v>
      </c>
      <c r="E640" s="214">
        <v>7417172315969</v>
      </c>
      <c r="F640" s="209" t="s">
        <v>1155</v>
      </c>
      <c r="G640" s="209" t="s">
        <v>53</v>
      </c>
      <c r="H640" s="209" t="s">
        <v>1156</v>
      </c>
      <c r="I640" s="209" t="s">
        <v>1157</v>
      </c>
      <c r="J640" s="209" t="s">
        <v>46</v>
      </c>
      <c r="K640" s="210" t="s">
        <v>1158</v>
      </c>
      <c r="L640" s="210"/>
      <c r="M640" s="209" t="s">
        <v>58</v>
      </c>
      <c r="N640" s="209">
        <v>0</v>
      </c>
      <c r="O640" s="209" t="s">
        <v>36</v>
      </c>
      <c r="P640" s="213">
        <v>44860.644363425927</v>
      </c>
      <c r="Q640" s="209"/>
      <c r="R640" s="209">
        <v>22</v>
      </c>
      <c r="S640" s="209"/>
      <c r="T640" s="209" t="s">
        <v>1160</v>
      </c>
      <c r="U640" s="213">
        <v>44865.477696759262</v>
      </c>
      <c r="V640" s="209" t="s">
        <v>41</v>
      </c>
      <c r="W640" s="209" t="s">
        <v>49</v>
      </c>
      <c r="X640" s="13" t="str">
        <f>IF(RIGHT(H640,2)&lt;&gt;"00",H640,"")</f>
        <v/>
      </c>
      <c r="Y640" s="26">
        <f ca="1">NETWORKDAYS(P640,$Y$1)</f>
        <v>91</v>
      </c>
      <c r="Z640" s="34">
        <v>1</v>
      </c>
      <c r="AA640" s="25" t="str">
        <f t="shared" ca="1" si="48"/>
        <v>A VENCER</v>
      </c>
      <c r="AB640" s="25" t="str">
        <f t="shared" si="51"/>
        <v>TAAe+</v>
      </c>
      <c r="AC640" s="2" t="str">
        <f t="shared" si="50"/>
        <v xml:space="preserve"> CLEITON </v>
      </c>
      <c r="AD640" s="26">
        <f t="shared" si="52"/>
        <v>8</v>
      </c>
      <c r="AE640" s="26">
        <f t="shared" ca="1" si="49"/>
        <v>126.03190821759199</v>
      </c>
      <c r="AF640" s="35"/>
    </row>
    <row r="641" spans="1:32" hidden="1">
      <c r="A641" s="209">
        <v>9022234</v>
      </c>
      <c r="B641" s="209" t="s">
        <v>1153</v>
      </c>
      <c r="C641" s="210" t="s">
        <v>1276</v>
      </c>
      <c r="D641" s="214">
        <v>20228489000020</v>
      </c>
      <c r="E641" s="214">
        <v>7417172314989</v>
      </c>
      <c r="F641" s="209" t="s">
        <v>1155</v>
      </c>
      <c r="G641" s="209" t="s">
        <v>53</v>
      </c>
      <c r="H641" s="209" t="s">
        <v>1156</v>
      </c>
      <c r="I641" s="209" t="s">
        <v>1157</v>
      </c>
      <c r="J641" s="209" t="s">
        <v>46</v>
      </c>
      <c r="K641" s="210" t="s">
        <v>1158</v>
      </c>
      <c r="L641" s="210"/>
      <c r="M641" s="209" t="s">
        <v>58</v>
      </c>
      <c r="N641" s="209">
        <v>0</v>
      </c>
      <c r="O641" s="209" t="s">
        <v>36</v>
      </c>
      <c r="P641" s="213">
        <v>44861.392812500002</v>
      </c>
      <c r="Q641" s="209"/>
      <c r="R641" s="209">
        <v>22</v>
      </c>
      <c r="S641" s="209"/>
      <c r="T641" s="209" t="s">
        <v>1160</v>
      </c>
      <c r="U641" s="213">
        <v>44865.601145833331</v>
      </c>
      <c r="V641" s="209" t="s">
        <v>41</v>
      </c>
      <c r="W641" s="209" t="s">
        <v>49</v>
      </c>
      <c r="X641" s="13" t="str">
        <f>IF(RIGHT(H641,2)&lt;&gt;"00",H641,"")</f>
        <v/>
      </c>
      <c r="Y641" s="26">
        <f ca="1">NETWORKDAYS(P641,$Y$1)</f>
        <v>90</v>
      </c>
      <c r="Z641" s="34">
        <v>1</v>
      </c>
      <c r="AA641" s="25" t="str">
        <f t="shared" ca="1" si="48"/>
        <v>A VENCER</v>
      </c>
      <c r="AB641" s="25" t="str">
        <f t="shared" si="51"/>
        <v>TAAe+</v>
      </c>
      <c r="AC641" s="2" t="str">
        <f t="shared" si="50"/>
        <v xml:space="preserve"> CLEITON </v>
      </c>
      <c r="AD641" s="26">
        <f t="shared" si="52"/>
        <v>8</v>
      </c>
      <c r="AE641" s="26">
        <f t="shared" ca="1" si="49"/>
        <v>125.28345914351667</v>
      </c>
      <c r="AF641" s="35"/>
    </row>
    <row r="642" spans="1:32" hidden="1">
      <c r="A642" s="209">
        <v>9025533</v>
      </c>
      <c r="B642" s="209" t="s">
        <v>62</v>
      </c>
      <c r="C642" s="210" t="s">
        <v>1277</v>
      </c>
      <c r="D642" s="214"/>
      <c r="E642" s="214">
        <v>7420000203000</v>
      </c>
      <c r="F642" s="209" t="s">
        <v>454</v>
      </c>
      <c r="G642" s="209" t="s">
        <v>30</v>
      </c>
      <c r="H642" s="209" t="s">
        <v>1076</v>
      </c>
      <c r="I642" s="209" t="s">
        <v>1077</v>
      </c>
      <c r="J642" s="209" t="s">
        <v>46</v>
      </c>
      <c r="K642" s="210" t="s">
        <v>457</v>
      </c>
      <c r="L642" s="210"/>
      <c r="M642" s="209" t="s">
        <v>58</v>
      </c>
      <c r="N642" s="209">
        <v>0</v>
      </c>
      <c r="O642" s="209" t="s">
        <v>105</v>
      </c>
      <c r="P642" s="213">
        <v>44862.608275462961</v>
      </c>
      <c r="Q642" s="209"/>
      <c r="R642" s="209" t="s">
        <v>38</v>
      </c>
      <c r="S642" s="209"/>
      <c r="T642" s="209" t="s">
        <v>157</v>
      </c>
      <c r="U642" s="213">
        <v>44900.75</v>
      </c>
      <c r="V642" s="209" t="s">
        <v>41</v>
      </c>
      <c r="W642" s="209" t="s">
        <v>49</v>
      </c>
      <c r="X642" s="13" t="str">
        <f>IF(RIGHT(H642,2)&lt;&gt;"00",H642,"")</f>
        <v/>
      </c>
      <c r="Y642" s="26">
        <f ca="1">NETWORKDAYS(P642,$Y$1)</f>
        <v>89</v>
      </c>
      <c r="Z642" s="34">
        <v>1</v>
      </c>
      <c r="AA642" s="25" t="str">
        <f t="shared" ref="AA642:AA705" ca="1" si="53">IF(AE642=0,"HOJE",IF(AE642&gt;0,"A VENCER",IF(AE642&lt;0,"VENCIDO")))</f>
        <v>A VENCER</v>
      </c>
      <c r="AB642" s="25" t="str">
        <f t="shared" si="51"/>
        <v>C-14</v>
      </c>
      <c r="AC642" s="2" t="str">
        <f t="shared" si="50"/>
        <v xml:space="preserve"> CLEITON </v>
      </c>
      <c r="AD642" s="26">
        <f t="shared" si="52"/>
        <v>5</v>
      </c>
      <c r="AE642" s="26">
        <f t="shared" ref="AE642:AE705" ca="1" si="54">IF(P642=$AE$1,"",$AE$1-P642)</f>
        <v>124.06799618055811</v>
      </c>
      <c r="AF642" s="35"/>
    </row>
    <row r="643" spans="1:32" hidden="1">
      <c r="A643" s="209">
        <v>9024940</v>
      </c>
      <c r="B643" s="209" t="s">
        <v>1153</v>
      </c>
      <c r="C643" s="210" t="s">
        <v>1280</v>
      </c>
      <c r="D643" s="214">
        <v>220176632</v>
      </c>
      <c r="E643" s="214">
        <v>1761001400030</v>
      </c>
      <c r="F643" s="209" t="s">
        <v>647</v>
      </c>
      <c r="G643" s="209" t="s">
        <v>53</v>
      </c>
      <c r="H643" s="209" t="s">
        <v>375</v>
      </c>
      <c r="I643" s="209" t="s">
        <v>376</v>
      </c>
      <c r="J643" s="209" t="s">
        <v>56</v>
      </c>
      <c r="K643" s="210" t="s">
        <v>650</v>
      </c>
      <c r="L643" s="210"/>
      <c r="M643" s="209" t="s">
        <v>58</v>
      </c>
      <c r="N643" s="209">
        <v>0</v>
      </c>
      <c r="O643" s="209" t="s">
        <v>36</v>
      </c>
      <c r="P643" s="213">
        <v>44862.474780092591</v>
      </c>
      <c r="Q643" s="209"/>
      <c r="R643" s="209">
        <v>4</v>
      </c>
      <c r="S643" s="209"/>
      <c r="T643" s="209" t="s">
        <v>646</v>
      </c>
      <c r="U643" s="213">
        <v>44873.628472222219</v>
      </c>
      <c r="V643" s="209" t="s">
        <v>41</v>
      </c>
      <c r="W643" s="209" t="s">
        <v>49</v>
      </c>
      <c r="X643" s="13" t="str">
        <f>IF(RIGHT(H643,2)&lt;&gt;"00",H643,"")</f>
        <v/>
      </c>
      <c r="Y643" s="26">
        <f ca="1">NETWORKDAYS(P643,$Y$1)</f>
        <v>89</v>
      </c>
      <c r="Z643" s="34">
        <v>1</v>
      </c>
      <c r="AA643" s="25" t="str">
        <f t="shared" ca="1" si="53"/>
        <v>A VENCER</v>
      </c>
      <c r="AB643" s="25" t="str">
        <f t="shared" si="51"/>
        <v>C-14</v>
      </c>
      <c r="AC643" s="2" t="str">
        <f t="shared" ref="AC643:AC706" si="55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 xml:space="preserve"> CRISTINA </v>
      </c>
      <c r="AD643" s="26">
        <f t="shared" si="52"/>
        <v>15</v>
      </c>
      <c r="AE643" s="26">
        <f t="shared" ca="1" si="54"/>
        <v>124.20149155092804</v>
      </c>
      <c r="AF643" s="35"/>
    </row>
    <row r="644" spans="1:32">
      <c r="A644" s="221">
        <v>9030748</v>
      </c>
      <c r="B644" s="221" t="s">
        <v>1153</v>
      </c>
      <c r="C644" s="178" t="s">
        <v>3451</v>
      </c>
      <c r="D644" s="222">
        <v>220177570</v>
      </c>
      <c r="E644" s="222">
        <v>1028001400030</v>
      </c>
      <c r="F644" s="221" t="s">
        <v>647</v>
      </c>
      <c r="G644" s="221" t="s">
        <v>53</v>
      </c>
      <c r="H644" s="221" t="s">
        <v>1079</v>
      </c>
      <c r="I644" s="221" t="s">
        <v>1080</v>
      </c>
      <c r="J644" s="221" t="s">
        <v>85</v>
      </c>
      <c r="K644" s="210" t="s">
        <v>650</v>
      </c>
      <c r="L644" s="210"/>
      <c r="M644" s="209" t="s">
        <v>58</v>
      </c>
      <c r="N644" s="209">
        <v>0</v>
      </c>
      <c r="O644" s="209" t="s">
        <v>36</v>
      </c>
      <c r="P644" s="213">
        <v>44865.564710648148</v>
      </c>
      <c r="Q644" s="209"/>
      <c r="R644" s="209">
        <v>4</v>
      </c>
      <c r="S644" s="209"/>
      <c r="T644" s="209" t="s">
        <v>646</v>
      </c>
      <c r="U644" s="213">
        <v>44866.585543981484</v>
      </c>
      <c r="V644" s="209" t="s">
        <v>41</v>
      </c>
      <c r="W644" s="209" t="s">
        <v>49</v>
      </c>
      <c r="X644" s="13" t="str">
        <f>IF(RIGHT(H644,2)&lt;&gt;"00",H644,"")</f>
        <v/>
      </c>
      <c r="Y644" s="26">
        <f ca="1">NETWORKDAYS(P644,$Y$1)</f>
        <v>88</v>
      </c>
      <c r="Z644" s="34">
        <v>1</v>
      </c>
      <c r="AA644" s="25" t="str">
        <f t="shared" ca="1" si="53"/>
        <v>A VENCER</v>
      </c>
      <c r="AB644" s="25" t="str">
        <f t="shared" si="51"/>
        <v>C-14</v>
      </c>
      <c r="AC644" s="2" t="str">
        <f t="shared" si="55"/>
        <v xml:space="preserve"> RINALDO </v>
      </c>
      <c r="AD644" s="26">
        <f t="shared" si="52"/>
        <v>15</v>
      </c>
      <c r="AE644" s="26">
        <f t="shared" ca="1" si="54"/>
        <v>121.11156099537038</v>
      </c>
      <c r="AF644" s="35"/>
    </row>
    <row r="645" spans="1:32">
      <c r="A645" s="221">
        <v>9030747</v>
      </c>
      <c r="B645" s="221" t="s">
        <v>1153</v>
      </c>
      <c r="C645" s="178" t="s">
        <v>3452</v>
      </c>
      <c r="D645" s="222">
        <v>220177573</v>
      </c>
      <c r="E645" s="222">
        <v>1028001400030</v>
      </c>
      <c r="F645" s="221" t="s">
        <v>647</v>
      </c>
      <c r="G645" s="221" t="s">
        <v>53</v>
      </c>
      <c r="H645" s="221" t="s">
        <v>1079</v>
      </c>
      <c r="I645" s="221" t="s">
        <v>1080</v>
      </c>
      <c r="J645" s="221" t="s">
        <v>85</v>
      </c>
      <c r="K645" s="210" t="s">
        <v>650</v>
      </c>
      <c r="L645" s="210"/>
      <c r="M645" s="209" t="s">
        <v>58</v>
      </c>
      <c r="N645" s="209">
        <v>0</v>
      </c>
      <c r="O645" s="209" t="s">
        <v>36</v>
      </c>
      <c r="P645" s="213">
        <v>44865.564652777779</v>
      </c>
      <c r="Q645" s="209"/>
      <c r="R645" s="209">
        <v>4</v>
      </c>
      <c r="S645" s="209"/>
      <c r="T645" s="209" t="s">
        <v>646</v>
      </c>
      <c r="U645" s="213">
        <v>44866.585486111115</v>
      </c>
      <c r="V645" s="209" t="s">
        <v>41</v>
      </c>
      <c r="W645" s="209" t="s">
        <v>49</v>
      </c>
      <c r="X645" s="13" t="str">
        <f>IF(RIGHT(H645,2)&lt;&gt;"00",H645,"")</f>
        <v/>
      </c>
      <c r="Y645" s="26">
        <f ca="1">NETWORKDAYS(P645,$Y$1)</f>
        <v>88</v>
      </c>
      <c r="Z645" s="34">
        <v>1</v>
      </c>
      <c r="AA645" s="25" t="str">
        <f t="shared" ca="1" si="53"/>
        <v>A VENCER</v>
      </c>
      <c r="AB645" s="25" t="str">
        <f t="shared" si="51"/>
        <v>C-14</v>
      </c>
      <c r="AC645" s="2" t="str">
        <f t="shared" si="55"/>
        <v xml:space="preserve"> RINALDO </v>
      </c>
      <c r="AD645" s="26">
        <f t="shared" si="52"/>
        <v>15</v>
      </c>
      <c r="AE645" s="26">
        <f t="shared" ca="1" si="54"/>
        <v>121.11161886573973</v>
      </c>
      <c r="AF645" s="35"/>
    </row>
    <row r="646" spans="1:32">
      <c r="A646" s="221">
        <v>9030746</v>
      </c>
      <c r="B646" s="221" t="s">
        <v>1153</v>
      </c>
      <c r="C646" s="178" t="s">
        <v>3453</v>
      </c>
      <c r="D646" s="222">
        <v>220177571</v>
      </c>
      <c r="E646" s="222">
        <v>1028001400030</v>
      </c>
      <c r="F646" s="221" t="s">
        <v>647</v>
      </c>
      <c r="G646" s="221" t="s">
        <v>53</v>
      </c>
      <c r="H646" s="221" t="s">
        <v>1079</v>
      </c>
      <c r="I646" s="221" t="s">
        <v>1080</v>
      </c>
      <c r="J646" s="221" t="s">
        <v>85</v>
      </c>
      <c r="K646" s="210" t="s">
        <v>650</v>
      </c>
      <c r="L646" s="210"/>
      <c r="M646" s="209" t="s">
        <v>58</v>
      </c>
      <c r="N646" s="209">
        <v>0</v>
      </c>
      <c r="O646" s="209" t="s">
        <v>36</v>
      </c>
      <c r="P646" s="213">
        <v>44865.564583333333</v>
      </c>
      <c r="Q646" s="209"/>
      <c r="R646" s="209">
        <v>4</v>
      </c>
      <c r="S646" s="209"/>
      <c r="T646" s="209" t="s">
        <v>646</v>
      </c>
      <c r="U646" s="213">
        <v>44866.585416666669</v>
      </c>
      <c r="V646" s="209" t="s">
        <v>41</v>
      </c>
      <c r="W646" s="209" t="s">
        <v>49</v>
      </c>
      <c r="X646" s="13" t="str">
        <f>IF(RIGHT(H646,2)&lt;&gt;"00",H646,"")</f>
        <v/>
      </c>
      <c r="Y646" s="26">
        <f ca="1">NETWORKDAYS(P646,$Y$1)</f>
        <v>88</v>
      </c>
      <c r="Z646" s="34">
        <v>1</v>
      </c>
      <c r="AA646" s="25" t="str">
        <f t="shared" ca="1" si="53"/>
        <v>A VENCER</v>
      </c>
      <c r="AB646" s="25" t="str">
        <f t="shared" si="51"/>
        <v>C-14</v>
      </c>
      <c r="AC646" s="2" t="str">
        <f t="shared" si="55"/>
        <v xml:space="preserve"> RINALDO </v>
      </c>
      <c r="AD646" s="26">
        <f t="shared" si="52"/>
        <v>15</v>
      </c>
      <c r="AE646" s="26">
        <f t="shared" ca="1" si="54"/>
        <v>121.11168831018585</v>
      </c>
      <c r="AF646" s="35"/>
    </row>
    <row r="647" spans="1:32">
      <c r="A647" s="221">
        <v>9030743</v>
      </c>
      <c r="B647" s="221" t="s">
        <v>1153</v>
      </c>
      <c r="C647" s="178" t="s">
        <v>3454</v>
      </c>
      <c r="D647" s="222">
        <v>220177524</v>
      </c>
      <c r="E647" s="222">
        <v>1028001400030</v>
      </c>
      <c r="F647" s="221" t="s">
        <v>647</v>
      </c>
      <c r="G647" s="221" t="s">
        <v>53</v>
      </c>
      <c r="H647" s="221" t="s">
        <v>1079</v>
      </c>
      <c r="I647" s="221" t="s">
        <v>1080</v>
      </c>
      <c r="J647" s="221" t="s">
        <v>85</v>
      </c>
      <c r="K647" s="210" t="s">
        <v>650</v>
      </c>
      <c r="L647" s="210"/>
      <c r="M647" s="209" t="s">
        <v>58</v>
      </c>
      <c r="N647" s="209">
        <v>0</v>
      </c>
      <c r="O647" s="209" t="s">
        <v>36</v>
      </c>
      <c r="P647" s="213">
        <v>44865.564386574071</v>
      </c>
      <c r="Q647" s="209"/>
      <c r="R647" s="209">
        <v>4</v>
      </c>
      <c r="S647" s="209"/>
      <c r="T647" s="209" t="s">
        <v>646</v>
      </c>
      <c r="U647" s="213">
        <v>44866.585219907407</v>
      </c>
      <c r="V647" s="209" t="s">
        <v>41</v>
      </c>
      <c r="W647" s="209" t="s">
        <v>49</v>
      </c>
      <c r="X647" s="13" t="str">
        <f>IF(RIGHT(H647,2)&lt;&gt;"00",H647,"")</f>
        <v/>
      </c>
      <c r="Y647" s="26">
        <f ca="1">NETWORKDAYS(P647,$Y$1)</f>
        <v>88</v>
      </c>
      <c r="Z647" s="34">
        <v>1</v>
      </c>
      <c r="AA647" s="25" t="str">
        <f t="shared" ca="1" si="53"/>
        <v>A VENCER</v>
      </c>
      <c r="AB647" s="25" t="str">
        <f t="shared" si="51"/>
        <v>C-14</v>
      </c>
      <c r="AC647" s="2" t="str">
        <f t="shared" si="55"/>
        <v xml:space="preserve"> RINALDO </v>
      </c>
      <c r="AD647" s="26">
        <f t="shared" si="52"/>
        <v>15</v>
      </c>
      <c r="AE647" s="26">
        <f t="shared" ca="1" si="54"/>
        <v>121.11188506944745</v>
      </c>
      <c r="AF647" s="35"/>
    </row>
    <row r="648" spans="1:32">
      <c r="A648" s="221">
        <v>9030733</v>
      </c>
      <c r="B648" s="221" t="s">
        <v>1153</v>
      </c>
      <c r="C648" s="178" t="s">
        <v>3455</v>
      </c>
      <c r="D648" s="222">
        <v>220177525</v>
      </c>
      <c r="E648" s="222">
        <v>1028001400030</v>
      </c>
      <c r="F648" s="221" t="s">
        <v>647</v>
      </c>
      <c r="G648" s="221" t="s">
        <v>53</v>
      </c>
      <c r="H648" s="221" t="s">
        <v>1079</v>
      </c>
      <c r="I648" s="221" t="s">
        <v>1080</v>
      </c>
      <c r="J648" s="221" t="s">
        <v>85</v>
      </c>
      <c r="K648" s="210" t="s">
        <v>650</v>
      </c>
      <c r="L648" s="210"/>
      <c r="M648" s="209" t="s">
        <v>58</v>
      </c>
      <c r="N648" s="209">
        <v>0</v>
      </c>
      <c r="O648" s="209" t="s">
        <v>36</v>
      </c>
      <c r="P648" s="213">
        <v>44865.558194444442</v>
      </c>
      <c r="Q648" s="209"/>
      <c r="R648" s="209">
        <v>4</v>
      </c>
      <c r="S648" s="209"/>
      <c r="T648" s="209" t="s">
        <v>646</v>
      </c>
      <c r="U648" s="213">
        <v>44866.579027777778</v>
      </c>
      <c r="V648" s="209" t="s">
        <v>41</v>
      </c>
      <c r="W648" s="209" t="s">
        <v>49</v>
      </c>
      <c r="X648" s="13" t="str">
        <f>IF(RIGHT(H648,2)&lt;&gt;"00",H648,"")</f>
        <v/>
      </c>
      <c r="Y648" s="26">
        <f ca="1">NETWORKDAYS(P648,$Y$1)</f>
        <v>88</v>
      </c>
      <c r="Z648" s="34">
        <v>1</v>
      </c>
      <c r="AA648" s="25" t="str">
        <f t="shared" ca="1" si="53"/>
        <v>A VENCER</v>
      </c>
      <c r="AB648" s="25" t="str">
        <f t="shared" si="51"/>
        <v>C-14</v>
      </c>
      <c r="AC648" s="2" t="str">
        <f t="shared" si="55"/>
        <v xml:space="preserve"> RINALDO </v>
      </c>
      <c r="AD648" s="26">
        <f t="shared" si="52"/>
        <v>15</v>
      </c>
      <c r="AE648" s="26">
        <f t="shared" ca="1" si="54"/>
        <v>121.11807719907665</v>
      </c>
      <c r="AF648" s="35"/>
    </row>
    <row r="649" spans="1:32" hidden="1">
      <c r="A649" s="209">
        <v>9037912</v>
      </c>
      <c r="B649" s="209" t="s">
        <v>62</v>
      </c>
      <c r="C649" s="210" t="s">
        <v>1296</v>
      </c>
      <c r="D649" s="214"/>
      <c r="E649" s="214">
        <v>1069000203000</v>
      </c>
      <c r="F649" s="209" t="s">
        <v>454</v>
      </c>
      <c r="G649" s="209" t="s">
        <v>53</v>
      </c>
      <c r="H649" s="209" t="s">
        <v>353</v>
      </c>
      <c r="I649" s="209" t="s">
        <v>354</v>
      </c>
      <c r="J649" s="209" t="s">
        <v>211</v>
      </c>
      <c r="K649" s="210" t="s">
        <v>457</v>
      </c>
      <c r="L649" s="210"/>
      <c r="M649" s="209" t="s">
        <v>58</v>
      </c>
      <c r="N649" s="209">
        <v>0</v>
      </c>
      <c r="O649" s="209" t="s">
        <v>36</v>
      </c>
      <c r="P649" s="213">
        <v>44868.619062500002</v>
      </c>
      <c r="Q649" s="209"/>
      <c r="R649" s="209">
        <v>1</v>
      </c>
      <c r="S649" s="209"/>
      <c r="T649" s="209" t="s">
        <v>157</v>
      </c>
      <c r="U649" s="213">
        <v>44903.75</v>
      </c>
      <c r="V649" s="209" t="s">
        <v>41</v>
      </c>
      <c r="W649" s="209" t="s">
        <v>49</v>
      </c>
      <c r="X649" s="13" t="str">
        <f>IF(RIGHT(H649,2)&lt;&gt;"00",H649,"")</f>
        <v/>
      </c>
      <c r="Y649" s="26">
        <f ca="1">NETWORKDAYS(P649,$Y$1)</f>
        <v>85</v>
      </c>
      <c r="Z649" s="34">
        <v>1</v>
      </c>
      <c r="AA649" s="25" t="str">
        <f t="shared" ca="1" si="53"/>
        <v>A VENCER</v>
      </c>
      <c r="AB649" s="25" t="str">
        <f t="shared" si="51"/>
        <v>C-14</v>
      </c>
      <c r="AC649" s="2" t="str">
        <f t="shared" si="55"/>
        <v xml:space="preserve"> RINALDO </v>
      </c>
      <c r="AD649" s="26">
        <f t="shared" si="52"/>
        <v>5</v>
      </c>
      <c r="AE649" s="26">
        <f t="shared" ca="1" si="54"/>
        <v>118.05720914351696</v>
      </c>
      <c r="AF649" s="35"/>
    </row>
    <row r="650" spans="1:32" hidden="1">
      <c r="A650" s="209">
        <v>9036877</v>
      </c>
      <c r="B650" s="209" t="s">
        <v>62</v>
      </c>
      <c r="C650" s="210" t="s">
        <v>1299</v>
      </c>
      <c r="D650" s="214"/>
      <c r="E650" s="214">
        <v>5898000203000</v>
      </c>
      <c r="F650" s="209" t="s">
        <v>454</v>
      </c>
      <c r="G650" s="209" t="s">
        <v>53</v>
      </c>
      <c r="H650" s="209" t="s">
        <v>365</v>
      </c>
      <c r="I650" s="209" t="s">
        <v>366</v>
      </c>
      <c r="J650" s="209" t="s">
        <v>164</v>
      </c>
      <c r="K650" s="210" t="s">
        <v>457</v>
      </c>
      <c r="L650" s="210"/>
      <c r="M650" s="209" t="s">
        <v>58</v>
      </c>
      <c r="N650" s="209">
        <v>0</v>
      </c>
      <c r="O650" s="209" t="s">
        <v>105</v>
      </c>
      <c r="P650" s="213">
        <v>44868.440532407411</v>
      </c>
      <c r="Q650" s="209"/>
      <c r="R650" s="209">
        <v>1</v>
      </c>
      <c r="S650" s="209"/>
      <c r="T650" s="209" t="s">
        <v>157</v>
      </c>
      <c r="U650" s="213">
        <v>44903.75</v>
      </c>
      <c r="V650" s="209" t="s">
        <v>41</v>
      </c>
      <c r="W650" s="209" t="s">
        <v>49</v>
      </c>
      <c r="X650" s="13" t="str">
        <f>IF(RIGHT(H650,2)&lt;&gt;"00",H650,"")</f>
        <v/>
      </c>
      <c r="Y650" s="26">
        <f ca="1">NETWORKDAYS(P650,$Y$1)</f>
        <v>85</v>
      </c>
      <c r="Z650" s="34">
        <v>1</v>
      </c>
      <c r="AA650" s="25" t="str">
        <f t="shared" ca="1" si="53"/>
        <v>A VENCER</v>
      </c>
      <c r="AB650" s="25" t="str">
        <f t="shared" si="51"/>
        <v>C-14</v>
      </c>
      <c r="AC650" s="2" t="str">
        <f t="shared" si="55"/>
        <v xml:space="preserve"> ROSEMERE </v>
      </c>
      <c r="AD650" s="26">
        <f t="shared" si="52"/>
        <v>5</v>
      </c>
      <c r="AE650" s="26">
        <f t="shared" ca="1" si="54"/>
        <v>118.2357392361082</v>
      </c>
      <c r="AF650" s="35"/>
    </row>
    <row r="651" spans="1:32" hidden="1">
      <c r="A651" s="209">
        <v>9044943</v>
      </c>
      <c r="B651" s="209" t="s">
        <v>62</v>
      </c>
      <c r="C651" s="210" t="s">
        <v>3589</v>
      </c>
      <c r="D651" s="214"/>
      <c r="E651" s="214">
        <v>1902016089900</v>
      </c>
      <c r="F651" s="209" t="s">
        <v>64</v>
      </c>
      <c r="G651" s="209" t="s">
        <v>53</v>
      </c>
      <c r="H651" s="209" t="s">
        <v>175</v>
      </c>
      <c r="I651" s="209" t="s">
        <v>176</v>
      </c>
      <c r="J651" s="209" t="s">
        <v>90</v>
      </c>
      <c r="K651" s="210" t="s">
        <v>67</v>
      </c>
      <c r="L651" s="210"/>
      <c r="M651" s="209" t="s">
        <v>35</v>
      </c>
      <c r="N651" s="209">
        <v>42318949</v>
      </c>
      <c r="O651" s="209" t="s">
        <v>36</v>
      </c>
      <c r="P651" s="213">
        <v>44872.504502314812</v>
      </c>
      <c r="Q651" s="209"/>
      <c r="R651" s="209" t="s">
        <v>571</v>
      </c>
      <c r="S651" s="209"/>
      <c r="T651" s="209" t="s">
        <v>69</v>
      </c>
      <c r="U651" s="213">
        <v>44881.504502314812</v>
      </c>
      <c r="V651" s="209" t="s">
        <v>41</v>
      </c>
      <c r="W651" s="209" t="s">
        <v>49</v>
      </c>
      <c r="X651" s="13" t="str">
        <f>IF(RIGHT(H651,2)&lt;&gt;"00",H651,"")</f>
        <v/>
      </c>
      <c r="Y651" s="26">
        <f ca="1">NETWORKDAYS(P651,$Y$1)</f>
        <v>83</v>
      </c>
      <c r="Z651" s="34">
        <v>1</v>
      </c>
      <c r="AA651" s="25" t="str">
        <f t="shared" ca="1" si="53"/>
        <v>A VENCER</v>
      </c>
      <c r="AB651" s="25" t="str">
        <f t="shared" si="51"/>
        <v>TAAe+</v>
      </c>
      <c r="AC651" s="2" t="str">
        <f t="shared" si="55"/>
        <v xml:space="preserve"> RINALDO </v>
      </c>
      <c r="AD651" s="26">
        <f t="shared" si="52"/>
        <v>8</v>
      </c>
      <c r="AE651" s="26">
        <f t="shared" ca="1" si="54"/>
        <v>114.17176932870643</v>
      </c>
      <c r="AF651" s="35"/>
    </row>
    <row r="652" spans="1:32" hidden="1">
      <c r="A652" s="209">
        <v>9044117</v>
      </c>
      <c r="B652" s="209" t="s">
        <v>62</v>
      </c>
      <c r="C652" s="210" t="s">
        <v>1304</v>
      </c>
      <c r="D652" s="214"/>
      <c r="E652" s="214">
        <v>9703000203000</v>
      </c>
      <c r="F652" s="209" t="s">
        <v>454</v>
      </c>
      <c r="G652" s="209" t="s">
        <v>53</v>
      </c>
      <c r="H652" s="209" t="s">
        <v>494</v>
      </c>
      <c r="I652" s="209" t="s">
        <v>495</v>
      </c>
      <c r="J652" s="209" t="s">
        <v>79</v>
      </c>
      <c r="K652" s="210" t="s">
        <v>457</v>
      </c>
      <c r="L652" s="210"/>
      <c r="M652" s="209" t="s">
        <v>58</v>
      </c>
      <c r="N652" s="209">
        <v>0</v>
      </c>
      <c r="O652" s="209" t="s">
        <v>36</v>
      </c>
      <c r="P652" s="213">
        <v>44872.406840277778</v>
      </c>
      <c r="Q652" s="209"/>
      <c r="R652" s="209">
        <v>1</v>
      </c>
      <c r="S652" s="209"/>
      <c r="T652" s="209" t="s">
        <v>157</v>
      </c>
      <c r="U652" s="213">
        <v>44907.75</v>
      </c>
      <c r="V652" s="209" t="s">
        <v>41</v>
      </c>
      <c r="W652" s="209" t="s">
        <v>49</v>
      </c>
      <c r="X652" s="13" t="str">
        <f>IF(RIGHT(H652,2)&lt;&gt;"00",H652,"")</f>
        <v/>
      </c>
      <c r="Y652" s="26">
        <f ca="1">NETWORKDAYS(P652,$Y$1)</f>
        <v>83</v>
      </c>
      <c r="Z652" s="34">
        <v>1</v>
      </c>
      <c r="AA652" s="25" t="str">
        <f t="shared" ca="1" si="53"/>
        <v>A VENCER</v>
      </c>
      <c r="AB652" s="25" t="str">
        <f t="shared" si="51"/>
        <v>C-14</v>
      </c>
      <c r="AC652" s="2" t="str">
        <f t="shared" si="55"/>
        <v xml:space="preserve"> ROSEMERE </v>
      </c>
      <c r="AD652" s="26">
        <f t="shared" si="52"/>
        <v>5</v>
      </c>
      <c r="AE652" s="26">
        <f t="shared" ca="1" si="54"/>
        <v>114.26943136574118</v>
      </c>
      <c r="AF652" s="35"/>
    </row>
    <row r="653" spans="1:32" hidden="1">
      <c r="A653" s="209">
        <v>9047108</v>
      </c>
      <c r="B653" s="209" t="s">
        <v>62</v>
      </c>
      <c r="C653" s="210" t="s">
        <v>1307</v>
      </c>
      <c r="D653" s="214"/>
      <c r="E653" s="214">
        <v>9703000206024</v>
      </c>
      <c r="F653" s="209" t="s">
        <v>103</v>
      </c>
      <c r="G653" s="209" t="s">
        <v>53</v>
      </c>
      <c r="H653" s="209" t="s">
        <v>494</v>
      </c>
      <c r="I653" s="209" t="s">
        <v>495</v>
      </c>
      <c r="J653" s="209" t="s">
        <v>79</v>
      </c>
      <c r="K653" s="210" t="s">
        <v>104</v>
      </c>
      <c r="L653" s="210"/>
      <c r="M653" s="209" t="s">
        <v>35</v>
      </c>
      <c r="N653" s="209">
        <v>42318949</v>
      </c>
      <c r="O653" s="209" t="s">
        <v>36</v>
      </c>
      <c r="P653" s="213">
        <v>44873.392905092594</v>
      </c>
      <c r="Q653" s="209"/>
      <c r="R653" s="209" t="s">
        <v>38</v>
      </c>
      <c r="S653" s="209"/>
      <c r="T653" s="209" t="s">
        <v>74</v>
      </c>
      <c r="U653" s="213">
        <v>44915.75</v>
      </c>
      <c r="V653" s="209" t="s">
        <v>41</v>
      </c>
      <c r="W653" s="209" t="s">
        <v>49</v>
      </c>
      <c r="X653" s="13" t="str">
        <f>IF(RIGHT(H653,2)&lt;&gt;"00",H653,"")</f>
        <v/>
      </c>
      <c r="Y653" s="26">
        <f ca="1">NETWORKDAYS(P653,$Y$1)</f>
        <v>82</v>
      </c>
      <c r="Z653" s="34">
        <v>1</v>
      </c>
      <c r="AA653" s="25" t="str">
        <f t="shared" ca="1" si="53"/>
        <v>A VENCER</v>
      </c>
      <c r="AB653" s="25" t="str">
        <f t="shared" si="51"/>
        <v>Dosa</v>
      </c>
      <c r="AC653" s="2" t="str">
        <f t="shared" si="55"/>
        <v xml:space="preserve"> ROSEMERE </v>
      </c>
      <c r="AD653" s="26">
        <f t="shared" si="52"/>
        <v>5</v>
      </c>
      <c r="AE653" s="26">
        <f t="shared" ca="1" si="54"/>
        <v>113.28336655092426</v>
      </c>
      <c r="AF653" s="35"/>
    </row>
    <row r="654" spans="1:32" hidden="1">
      <c r="A654" s="209">
        <v>9047065</v>
      </c>
      <c r="B654" s="209" t="s">
        <v>62</v>
      </c>
      <c r="C654" s="210" t="s">
        <v>1310</v>
      </c>
      <c r="D654" s="214"/>
      <c r="E654" s="214">
        <v>9703000206001</v>
      </c>
      <c r="F654" s="209" t="s">
        <v>29</v>
      </c>
      <c r="G654" s="209" t="s">
        <v>53</v>
      </c>
      <c r="H654" s="209" t="s">
        <v>494</v>
      </c>
      <c r="I654" s="209" t="s">
        <v>495</v>
      </c>
      <c r="J654" s="209" t="s">
        <v>79</v>
      </c>
      <c r="K654" s="210" t="s">
        <v>34</v>
      </c>
      <c r="L654" s="210"/>
      <c r="M654" s="209" t="s">
        <v>35</v>
      </c>
      <c r="N654" s="209">
        <v>42318949</v>
      </c>
      <c r="O654" s="209" t="s">
        <v>36</v>
      </c>
      <c r="P654" s="213">
        <v>44873.385509259257</v>
      </c>
      <c r="Q654" s="209"/>
      <c r="R654" s="209" t="s">
        <v>38</v>
      </c>
      <c r="S654" s="209"/>
      <c r="T654" s="209" t="s">
        <v>74</v>
      </c>
      <c r="U654" s="213">
        <v>44915.75</v>
      </c>
      <c r="V654" s="209" t="s">
        <v>41</v>
      </c>
      <c r="W654" s="209" t="s">
        <v>49</v>
      </c>
      <c r="X654" s="13" t="str">
        <f>IF(RIGHT(H654,2)&lt;&gt;"00",H654,"")</f>
        <v/>
      </c>
      <c r="Y654" s="26">
        <f ca="1">NETWORKDAYS(P654,$Y$1)</f>
        <v>82</v>
      </c>
      <c r="Z654" s="34">
        <v>1</v>
      </c>
      <c r="AA654" s="25" t="str">
        <f t="shared" ca="1" si="53"/>
        <v>A VENCER</v>
      </c>
      <c r="AB654" s="25" t="str">
        <f t="shared" si="51"/>
        <v>Dosa</v>
      </c>
      <c r="AC654" s="2" t="str">
        <f t="shared" si="55"/>
        <v xml:space="preserve"> ROSEMERE </v>
      </c>
      <c r="AD654" s="26">
        <f t="shared" si="52"/>
        <v>5</v>
      </c>
      <c r="AE654" s="26">
        <f t="shared" ca="1" si="54"/>
        <v>113.29076238426205</v>
      </c>
      <c r="AF654" s="35"/>
    </row>
    <row r="655" spans="1:32" hidden="1">
      <c r="A655" s="209">
        <v>9051455</v>
      </c>
      <c r="B655" s="209" t="s">
        <v>27</v>
      </c>
      <c r="C655" s="210" t="s">
        <v>1312</v>
      </c>
      <c r="D655" s="214"/>
      <c r="E655" s="214">
        <v>1792000206001</v>
      </c>
      <c r="F655" s="209" t="s">
        <v>29</v>
      </c>
      <c r="G655" s="209" t="s">
        <v>53</v>
      </c>
      <c r="H655" s="209" t="s">
        <v>467</v>
      </c>
      <c r="I655" s="209" t="s">
        <v>468</v>
      </c>
      <c r="J655" s="209" t="s">
        <v>110</v>
      </c>
      <c r="K655" s="210" t="s">
        <v>34</v>
      </c>
      <c r="L655" s="210"/>
      <c r="M655" s="209" t="s">
        <v>35</v>
      </c>
      <c r="N655" s="209">
        <v>42318949</v>
      </c>
      <c r="O655" s="209" t="s">
        <v>36</v>
      </c>
      <c r="P655" s="213">
        <v>44874.715046296296</v>
      </c>
      <c r="Q655" s="209"/>
      <c r="R655" s="209" t="s">
        <v>38</v>
      </c>
      <c r="S655" s="209"/>
      <c r="T655" s="209" t="s">
        <v>74</v>
      </c>
      <c r="U655" s="213">
        <v>44875.75</v>
      </c>
      <c r="V655" s="209" t="s">
        <v>41</v>
      </c>
      <c r="W655" s="209" t="s">
        <v>49</v>
      </c>
      <c r="X655" s="13" t="str">
        <f>IF(RIGHT(H655,2)&lt;&gt;"00",H655,"")</f>
        <v/>
      </c>
      <c r="Y655" s="26">
        <f ca="1">NETWORKDAYS(P655,$Y$1)</f>
        <v>81</v>
      </c>
      <c r="Z655" s="34">
        <v>1</v>
      </c>
      <c r="AA655" s="25" t="str">
        <f t="shared" ca="1" si="53"/>
        <v>A VENCER</v>
      </c>
      <c r="AB655" s="25" t="str">
        <f t="shared" si="51"/>
        <v>Dosa</v>
      </c>
      <c r="AC655" s="2" t="str">
        <f t="shared" si="55"/>
        <v xml:space="preserve"> CRISTINA </v>
      </c>
      <c r="AD655" s="26">
        <f t="shared" si="52"/>
        <v>5</v>
      </c>
      <c r="AE655" s="26">
        <f t="shared" ca="1" si="54"/>
        <v>111.96122534722235</v>
      </c>
      <c r="AF655" s="35"/>
    </row>
    <row r="656" spans="1:32" hidden="1">
      <c r="A656" s="209">
        <v>9050458</v>
      </c>
      <c r="B656" s="209" t="s">
        <v>81</v>
      </c>
      <c r="C656" s="210" t="s">
        <v>1210</v>
      </c>
      <c r="D656" s="214"/>
      <c r="E656" s="214">
        <v>7417183024674</v>
      </c>
      <c r="F656" s="209" t="s">
        <v>1313</v>
      </c>
      <c r="G656" s="209" t="s">
        <v>53</v>
      </c>
      <c r="H656" s="209" t="s">
        <v>1314</v>
      </c>
      <c r="I656" s="209" t="s">
        <v>1315</v>
      </c>
      <c r="J656" s="209" t="s">
        <v>164</v>
      </c>
      <c r="K656" s="210" t="s">
        <v>1316</v>
      </c>
      <c r="L656" s="210"/>
      <c r="M656" s="209" t="s">
        <v>58</v>
      </c>
      <c r="N656" s="209">
        <v>0</v>
      </c>
      <c r="O656" s="209" t="s">
        <v>105</v>
      </c>
      <c r="P656" s="213">
        <v>44874.485636574071</v>
      </c>
      <c r="Q656" s="209"/>
      <c r="R656" s="209">
        <v>15</v>
      </c>
      <c r="S656" s="209"/>
      <c r="T656" s="209" t="s">
        <v>238</v>
      </c>
      <c r="U656" s="213">
        <v>44875.489884259259</v>
      </c>
      <c r="V656" s="209" t="s">
        <v>41</v>
      </c>
      <c r="W656" s="209" t="s">
        <v>49</v>
      </c>
      <c r="X656" s="13" t="str">
        <f>IF(RIGHT(H656,2)&lt;&gt;"00",H656,"")</f>
        <v>1049.91</v>
      </c>
      <c r="Y656" s="26">
        <f ca="1">NETWORKDAYS(P656,$Y$1)</f>
        <v>81</v>
      </c>
      <c r="Z656" s="34">
        <v>1</v>
      </c>
      <c r="AA656" s="25" t="str">
        <f t="shared" ca="1" si="53"/>
        <v>A VENCER</v>
      </c>
      <c r="AB656" s="25" t="str">
        <f t="shared" si="51"/>
        <v>TAAe+</v>
      </c>
      <c r="AC656" s="2" t="str">
        <f t="shared" si="55"/>
        <v xml:space="preserve"> ROSEMERE </v>
      </c>
      <c r="AD656" s="26">
        <f t="shared" si="52"/>
        <v>8</v>
      </c>
      <c r="AE656" s="26">
        <f t="shared" ca="1" si="54"/>
        <v>112.19063506944804</v>
      </c>
      <c r="AF656" s="35"/>
    </row>
    <row r="657" spans="1:32" hidden="1">
      <c r="A657" s="209">
        <v>9056147</v>
      </c>
      <c r="B657" s="209" t="s">
        <v>62</v>
      </c>
      <c r="C657" s="210" t="s">
        <v>1319</v>
      </c>
      <c r="D657" s="214"/>
      <c r="E657" s="214">
        <v>159000206001</v>
      </c>
      <c r="F657" s="209" t="s">
        <v>29</v>
      </c>
      <c r="G657" s="209" t="s">
        <v>53</v>
      </c>
      <c r="H657" s="209" t="s">
        <v>331</v>
      </c>
      <c r="I657" s="209" t="s">
        <v>332</v>
      </c>
      <c r="J657" s="209" t="s">
        <v>79</v>
      </c>
      <c r="K657" s="210" t="s">
        <v>34</v>
      </c>
      <c r="L657" s="210"/>
      <c r="M657" s="209" t="s">
        <v>35</v>
      </c>
      <c r="N657" s="209">
        <v>42318949</v>
      </c>
      <c r="O657" s="209" t="s">
        <v>105</v>
      </c>
      <c r="P657" s="213">
        <v>44876.61822916667</v>
      </c>
      <c r="Q657" s="209"/>
      <c r="R657" s="209" t="s">
        <v>38</v>
      </c>
      <c r="S657" s="209"/>
      <c r="T657" s="209" t="s">
        <v>74</v>
      </c>
      <c r="U657" s="213">
        <v>44918.75</v>
      </c>
      <c r="V657" s="209" t="s">
        <v>41</v>
      </c>
      <c r="W657" s="209" t="s">
        <v>49</v>
      </c>
      <c r="X657" s="13" t="str">
        <f>IF(RIGHT(H657,2)&lt;&gt;"00",H657,"")</f>
        <v/>
      </c>
      <c r="Y657" s="26">
        <f ca="1">NETWORKDAYS(P657,$Y$1)</f>
        <v>79</v>
      </c>
      <c r="Z657" s="34">
        <v>1</v>
      </c>
      <c r="AA657" s="25" t="str">
        <f t="shared" ca="1" si="53"/>
        <v>A VENCER</v>
      </c>
      <c r="AB657" s="25" t="str">
        <f t="shared" si="51"/>
        <v>Dosa</v>
      </c>
      <c r="AC657" s="2" t="str">
        <f t="shared" si="55"/>
        <v xml:space="preserve"> ROSEMERE </v>
      </c>
      <c r="AD657" s="26">
        <f t="shared" si="52"/>
        <v>5</v>
      </c>
      <c r="AE657" s="26">
        <f t="shared" ca="1" si="54"/>
        <v>110.05804247684864</v>
      </c>
      <c r="AF657" s="35"/>
    </row>
    <row r="658" spans="1:32" hidden="1">
      <c r="A658" s="209">
        <v>9065338</v>
      </c>
      <c r="B658" s="209" t="s">
        <v>1153</v>
      </c>
      <c r="C658" s="210" t="s">
        <v>1322</v>
      </c>
      <c r="D658" s="214">
        <v>220184615</v>
      </c>
      <c r="E658" s="214">
        <v>2138001400030</v>
      </c>
      <c r="F658" s="209" t="s">
        <v>647</v>
      </c>
      <c r="G658" s="209" t="s">
        <v>53</v>
      </c>
      <c r="H658" s="209" t="s">
        <v>379</v>
      </c>
      <c r="I658" s="209" t="s">
        <v>380</v>
      </c>
      <c r="J658" s="209" t="s">
        <v>46</v>
      </c>
      <c r="K658" s="210" t="s">
        <v>650</v>
      </c>
      <c r="L658" s="210"/>
      <c r="M658" s="209" t="s">
        <v>58</v>
      </c>
      <c r="N658" s="209">
        <v>0</v>
      </c>
      <c r="O658" s="209" t="s">
        <v>36</v>
      </c>
      <c r="P658" s="213">
        <v>44879.701990740738</v>
      </c>
      <c r="Q658" s="209"/>
      <c r="R658" s="209">
        <v>4</v>
      </c>
      <c r="S658" s="209"/>
      <c r="T658" s="209" t="s">
        <v>646</v>
      </c>
      <c r="U658" s="213">
        <v>44887.479166666664</v>
      </c>
      <c r="V658" s="209" t="s">
        <v>41</v>
      </c>
      <c r="W658" s="209" t="s">
        <v>49</v>
      </c>
      <c r="X658" s="13" t="str">
        <f>IF(RIGHT(H658,2)&lt;&gt;"00",H658,"")</f>
        <v/>
      </c>
      <c r="Y658" s="26">
        <f ca="1">NETWORKDAYS(P658,$Y$1)</f>
        <v>78</v>
      </c>
      <c r="Z658" s="34">
        <v>1</v>
      </c>
      <c r="AA658" s="25" t="str">
        <f t="shared" ca="1" si="53"/>
        <v>A VENCER</v>
      </c>
      <c r="AB658" s="25" t="str">
        <f t="shared" si="51"/>
        <v>C-14</v>
      </c>
      <c r="AC658" s="2" t="str">
        <f t="shared" si="55"/>
        <v xml:space="preserve"> CLEITON </v>
      </c>
      <c r="AD658" s="26">
        <f t="shared" si="52"/>
        <v>15</v>
      </c>
      <c r="AE658" s="26">
        <f t="shared" ca="1" si="54"/>
        <v>106.97428090278117</v>
      </c>
      <c r="AF658" s="35"/>
    </row>
    <row r="659" spans="1:32" hidden="1">
      <c r="A659" s="209">
        <v>9095498</v>
      </c>
      <c r="B659" s="209" t="s">
        <v>1153</v>
      </c>
      <c r="C659" s="210" t="s">
        <v>1324</v>
      </c>
      <c r="D659" s="214">
        <v>220188160</v>
      </c>
      <c r="E659" s="214">
        <v>1049001400030</v>
      </c>
      <c r="F659" s="209" t="s">
        <v>647</v>
      </c>
      <c r="G659" s="209" t="s">
        <v>53</v>
      </c>
      <c r="H659" s="209" t="s">
        <v>169</v>
      </c>
      <c r="I659" s="209" t="s">
        <v>170</v>
      </c>
      <c r="J659" s="209" t="s">
        <v>164</v>
      </c>
      <c r="K659" s="210" t="s">
        <v>650</v>
      </c>
      <c r="L659" s="210"/>
      <c r="M659" s="209" t="s">
        <v>58</v>
      </c>
      <c r="N659" s="209">
        <v>0</v>
      </c>
      <c r="O659" s="209" t="s">
        <v>36</v>
      </c>
      <c r="P659" s="213">
        <v>44888.677094907405</v>
      </c>
      <c r="Q659" s="209"/>
      <c r="R659" s="209">
        <v>4</v>
      </c>
      <c r="S659" s="209"/>
      <c r="T659" s="209" t="s">
        <v>646</v>
      </c>
      <c r="U659" s="213">
        <v>44895.489594907405</v>
      </c>
      <c r="V659" s="209" t="s">
        <v>41</v>
      </c>
      <c r="W659" s="209" t="s">
        <v>49</v>
      </c>
      <c r="X659" s="13" t="str">
        <f>IF(RIGHT(H659,2)&lt;&gt;"00",H659,"")</f>
        <v/>
      </c>
      <c r="Y659" s="26">
        <f ca="1">NETWORKDAYS(P659,$Y$1)</f>
        <v>71</v>
      </c>
      <c r="Z659" s="34">
        <v>1</v>
      </c>
      <c r="AA659" s="25" t="str">
        <f t="shared" ca="1" si="53"/>
        <v>A VENCER</v>
      </c>
      <c r="AB659" s="25" t="str">
        <f t="shared" si="51"/>
        <v>C-14</v>
      </c>
      <c r="AC659" s="2" t="str">
        <f t="shared" si="55"/>
        <v xml:space="preserve"> ROSEMERE </v>
      </c>
      <c r="AD659" s="26">
        <f t="shared" si="52"/>
        <v>15</v>
      </c>
      <c r="AE659" s="26">
        <f t="shared" ca="1" si="54"/>
        <v>97.999176736113441</v>
      </c>
      <c r="AF659" s="35"/>
    </row>
    <row r="660" spans="1:32" hidden="1">
      <c r="A660" s="209">
        <v>9095341</v>
      </c>
      <c r="B660" s="209" t="s">
        <v>62</v>
      </c>
      <c r="C660" s="210" t="s">
        <v>3030</v>
      </c>
      <c r="D660" s="214"/>
      <c r="E660" s="214">
        <v>2335000203000</v>
      </c>
      <c r="F660" s="209" t="s">
        <v>454</v>
      </c>
      <c r="G660" s="209" t="s">
        <v>53</v>
      </c>
      <c r="H660" s="209" t="s">
        <v>194</v>
      </c>
      <c r="I660" s="209" t="s">
        <v>195</v>
      </c>
      <c r="J660" s="209" t="s">
        <v>110</v>
      </c>
      <c r="K660" s="210" t="s">
        <v>457</v>
      </c>
      <c r="L660" s="210"/>
      <c r="M660" s="209" t="s">
        <v>58</v>
      </c>
      <c r="N660" s="209">
        <v>0</v>
      </c>
      <c r="O660" s="209" t="s">
        <v>36</v>
      </c>
      <c r="P660" s="213">
        <v>44888.655601851853</v>
      </c>
      <c r="Q660" s="209"/>
      <c r="R660" s="209">
        <v>1</v>
      </c>
      <c r="S660" s="209"/>
      <c r="T660" s="209" t="s">
        <v>157</v>
      </c>
      <c r="U660" s="213">
        <v>44928.75</v>
      </c>
      <c r="V660" s="209" t="s">
        <v>41</v>
      </c>
      <c r="W660" s="209" t="s">
        <v>49</v>
      </c>
      <c r="X660" s="13" t="str">
        <f>IF(RIGHT(H660,2)&lt;&gt;"00",H660,"")</f>
        <v/>
      </c>
      <c r="Y660" s="26">
        <f ca="1">NETWORKDAYS(P660,$Y$1)</f>
        <v>71</v>
      </c>
      <c r="Z660" s="34">
        <v>1</v>
      </c>
      <c r="AA660" s="25" t="str">
        <f t="shared" ca="1" si="53"/>
        <v>A VENCER</v>
      </c>
      <c r="AB660" s="25" t="str">
        <f t="shared" si="51"/>
        <v>C-14</v>
      </c>
      <c r="AC660" s="2" t="str">
        <f t="shared" si="55"/>
        <v xml:space="preserve"> CRISTINA </v>
      </c>
      <c r="AD660" s="26">
        <f t="shared" si="52"/>
        <v>5</v>
      </c>
      <c r="AE660" s="26">
        <f t="shared" ca="1" si="54"/>
        <v>98.020669791665568</v>
      </c>
      <c r="AF660" s="35"/>
    </row>
    <row r="661" spans="1:32" hidden="1">
      <c r="A661" s="209">
        <v>9093400</v>
      </c>
      <c r="B661" s="209" t="s">
        <v>101</v>
      </c>
      <c r="C661" s="210" t="s">
        <v>643</v>
      </c>
      <c r="D661" s="214">
        <v>220160091</v>
      </c>
      <c r="E661" s="214">
        <v>68001400010</v>
      </c>
      <c r="F661" s="209" t="s">
        <v>936</v>
      </c>
      <c r="G661" s="209" t="s">
        <v>53</v>
      </c>
      <c r="H661" s="209" t="s">
        <v>1330</v>
      </c>
      <c r="I661" s="209" t="s">
        <v>1331</v>
      </c>
      <c r="J661" s="209" t="s">
        <v>211</v>
      </c>
      <c r="K661" s="210" t="s">
        <v>937</v>
      </c>
      <c r="L661" s="210"/>
      <c r="M661" s="209" t="s">
        <v>58</v>
      </c>
      <c r="N661" s="209">
        <v>0</v>
      </c>
      <c r="O661" s="209" t="s">
        <v>105</v>
      </c>
      <c r="P661" s="213">
        <v>44888.350393518522</v>
      </c>
      <c r="Q661" s="209"/>
      <c r="R661" s="209">
        <v>3</v>
      </c>
      <c r="S661" s="209"/>
      <c r="T661" s="209" t="s">
        <v>646</v>
      </c>
      <c r="U661" s="213">
        <v>44889.350393518522</v>
      </c>
      <c r="V661" s="209" t="s">
        <v>41</v>
      </c>
      <c r="W661" s="209" t="s">
        <v>49</v>
      </c>
      <c r="X661" s="13" t="str">
        <f>IF(RIGHT(H661,2)&lt;&gt;"00",H661,"")</f>
        <v/>
      </c>
      <c r="Y661" s="26">
        <f ca="1">NETWORKDAYS(P661,$Y$1)</f>
        <v>71</v>
      </c>
      <c r="Z661" s="34">
        <v>1</v>
      </c>
      <c r="AA661" s="25" t="str">
        <f t="shared" ca="1" si="53"/>
        <v>A VENCER</v>
      </c>
      <c r="AB661" s="25" t="str">
        <f t="shared" si="51"/>
        <v>C-14</v>
      </c>
      <c r="AC661" s="2" t="str">
        <f t="shared" si="55"/>
        <v xml:space="preserve"> RINALDO </v>
      </c>
      <c r="AD661" s="26">
        <f t="shared" si="52"/>
        <v>5</v>
      </c>
      <c r="AE661" s="26">
        <f t="shared" ca="1" si="54"/>
        <v>98.325878124996962</v>
      </c>
      <c r="AF661" s="35"/>
    </row>
    <row r="662" spans="1:32" hidden="1">
      <c r="A662" s="209">
        <v>9093399</v>
      </c>
      <c r="B662" s="209" t="s">
        <v>101</v>
      </c>
      <c r="C662" s="210" t="s">
        <v>643</v>
      </c>
      <c r="D662" s="214">
        <v>220160090</v>
      </c>
      <c r="E662" s="214">
        <v>67001400010</v>
      </c>
      <c r="F662" s="209" t="s">
        <v>936</v>
      </c>
      <c r="G662" s="209" t="s">
        <v>53</v>
      </c>
      <c r="H662" s="209" t="s">
        <v>404</v>
      </c>
      <c r="I662" s="209" t="s">
        <v>405</v>
      </c>
      <c r="J662" s="209" t="s">
        <v>164</v>
      </c>
      <c r="K662" s="210" t="s">
        <v>937</v>
      </c>
      <c r="L662" s="210"/>
      <c r="M662" s="209" t="s">
        <v>58</v>
      </c>
      <c r="N662" s="209">
        <v>0</v>
      </c>
      <c r="O662" s="209" t="s">
        <v>105</v>
      </c>
      <c r="P662" s="213">
        <v>44888.350335648145</v>
      </c>
      <c r="Q662" s="209"/>
      <c r="R662" s="209">
        <v>3</v>
      </c>
      <c r="S662" s="209"/>
      <c r="T662" s="209" t="s">
        <v>646</v>
      </c>
      <c r="U662" s="213">
        <v>44889.350335648145</v>
      </c>
      <c r="V662" s="209" t="s">
        <v>41</v>
      </c>
      <c r="W662" s="209" t="s">
        <v>49</v>
      </c>
      <c r="X662" s="13" t="str">
        <f>IF(RIGHT(H662,2)&lt;&gt;"00",H662,"")</f>
        <v/>
      </c>
      <c r="Y662" s="26">
        <f ca="1">NETWORKDAYS(P662,$Y$1)</f>
        <v>71</v>
      </c>
      <c r="Z662" s="34">
        <v>1</v>
      </c>
      <c r="AA662" s="25" t="str">
        <f t="shared" ca="1" si="53"/>
        <v>A VENCER</v>
      </c>
      <c r="AB662" s="25" t="str">
        <f t="shared" si="51"/>
        <v>C-14</v>
      </c>
      <c r="AC662" s="2" t="str">
        <f t="shared" si="55"/>
        <v xml:space="preserve"> ROSEMERE </v>
      </c>
      <c r="AD662" s="26">
        <f t="shared" si="52"/>
        <v>5</v>
      </c>
      <c r="AE662" s="26">
        <f t="shared" ca="1" si="54"/>
        <v>98.325935995373584</v>
      </c>
      <c r="AF662" s="35"/>
    </row>
    <row r="663" spans="1:32" hidden="1">
      <c r="A663" s="209">
        <v>9110613</v>
      </c>
      <c r="B663" s="209" t="s">
        <v>62</v>
      </c>
      <c r="C663" s="210" t="s">
        <v>1336</v>
      </c>
      <c r="D663" s="214"/>
      <c r="E663" s="214">
        <v>2830000203010</v>
      </c>
      <c r="F663" s="209" t="s">
        <v>152</v>
      </c>
      <c r="G663" s="209" t="s">
        <v>53</v>
      </c>
      <c r="H663" s="209" t="s">
        <v>448</v>
      </c>
      <c r="I663" s="209" t="s">
        <v>449</v>
      </c>
      <c r="J663" s="209" t="s">
        <v>33</v>
      </c>
      <c r="K663" s="210" t="s">
        <v>155</v>
      </c>
      <c r="L663" s="210"/>
      <c r="M663" s="209" t="s">
        <v>35</v>
      </c>
      <c r="N663" s="209">
        <v>42318949</v>
      </c>
      <c r="O663" s="209" t="s">
        <v>105</v>
      </c>
      <c r="P663" s="213">
        <v>44893.494722222225</v>
      </c>
      <c r="Q663" s="209"/>
      <c r="R663" s="209">
        <v>1</v>
      </c>
      <c r="S663" s="209"/>
      <c r="T663" s="209" t="s">
        <v>157</v>
      </c>
      <c r="U663" s="213">
        <v>44925.75</v>
      </c>
      <c r="V663" s="209" t="s">
        <v>41</v>
      </c>
      <c r="W663" s="209" t="s">
        <v>42</v>
      </c>
      <c r="X663" s="13" t="str">
        <f>IF(RIGHT(H663,2)&lt;&gt;"00",H663,"")</f>
        <v/>
      </c>
      <c r="Y663" s="26">
        <f ca="1">NETWORKDAYS(P663,$Y$1)</f>
        <v>68</v>
      </c>
      <c r="Z663" s="34">
        <v>1</v>
      </c>
      <c r="AA663" s="25" t="str">
        <f t="shared" ca="1" si="53"/>
        <v>A VENCER</v>
      </c>
      <c r="AB663" s="25" t="str">
        <f t="shared" si="51"/>
        <v>TAAe+</v>
      </c>
      <c r="AC663" s="2" t="str">
        <f t="shared" si="55"/>
        <v xml:space="preserve"> ROSEMERE </v>
      </c>
      <c r="AD663" s="26">
        <f t="shared" si="52"/>
        <v>8</v>
      </c>
      <c r="AE663" s="26">
        <f t="shared" ca="1" si="54"/>
        <v>93.181549421293312</v>
      </c>
      <c r="AF663" s="35"/>
    </row>
    <row r="664" spans="1:32" hidden="1">
      <c r="A664" s="209">
        <v>9110065</v>
      </c>
      <c r="B664" s="209" t="s">
        <v>62</v>
      </c>
      <c r="C664" s="210" t="s">
        <v>1339</v>
      </c>
      <c r="D664" s="214"/>
      <c r="E664" s="214">
        <v>9703000206021</v>
      </c>
      <c r="F664" s="209" t="s">
        <v>103</v>
      </c>
      <c r="G664" s="209" t="s">
        <v>53</v>
      </c>
      <c r="H664" s="209" t="s">
        <v>494</v>
      </c>
      <c r="I664" s="209" t="s">
        <v>495</v>
      </c>
      <c r="J664" s="209" t="s">
        <v>79</v>
      </c>
      <c r="K664" s="210" t="s">
        <v>104</v>
      </c>
      <c r="L664" s="210"/>
      <c r="M664" s="209" t="s">
        <v>58</v>
      </c>
      <c r="N664" s="209">
        <v>0</v>
      </c>
      <c r="O664" s="209" t="s">
        <v>105</v>
      </c>
      <c r="P664" s="213">
        <v>44893.425879629627</v>
      </c>
      <c r="Q664" s="209"/>
      <c r="R664" s="209" t="s">
        <v>38</v>
      </c>
      <c r="S664" s="209"/>
      <c r="T664" s="209" t="s">
        <v>74</v>
      </c>
      <c r="U664" s="213">
        <v>44932.75</v>
      </c>
      <c r="V664" s="209" t="s">
        <v>41</v>
      </c>
      <c r="W664" s="209" t="s">
        <v>49</v>
      </c>
      <c r="X664" s="13" t="str">
        <f>IF(RIGHT(H664,2)&lt;&gt;"00",H664,"")</f>
        <v/>
      </c>
      <c r="Y664" s="26">
        <f ca="1">NETWORKDAYS(P664,$Y$1)</f>
        <v>68</v>
      </c>
      <c r="Z664" s="34">
        <v>1</v>
      </c>
      <c r="AA664" s="25" t="str">
        <f t="shared" ca="1" si="53"/>
        <v>A VENCER</v>
      </c>
      <c r="AB664" s="25" t="str">
        <f t="shared" si="51"/>
        <v>Dosa</v>
      </c>
      <c r="AC664" s="2" t="str">
        <f t="shared" si="55"/>
        <v xml:space="preserve"> ROSEMERE </v>
      </c>
      <c r="AD664" s="26">
        <f t="shared" si="52"/>
        <v>5</v>
      </c>
      <c r="AE664" s="26">
        <f t="shared" ca="1" si="54"/>
        <v>93.250392013891542</v>
      </c>
      <c r="AF664" s="35"/>
    </row>
    <row r="665" spans="1:32" hidden="1">
      <c r="A665" s="209">
        <v>9110056</v>
      </c>
      <c r="B665" s="209" t="s">
        <v>62</v>
      </c>
      <c r="C665" s="210" t="s">
        <v>1342</v>
      </c>
      <c r="D665" s="214"/>
      <c r="E665" s="214">
        <v>9703000206021</v>
      </c>
      <c r="F665" s="209" t="s">
        <v>103</v>
      </c>
      <c r="G665" s="209" t="s">
        <v>53</v>
      </c>
      <c r="H665" s="209" t="s">
        <v>494</v>
      </c>
      <c r="I665" s="209" t="s">
        <v>495</v>
      </c>
      <c r="J665" s="209" t="s">
        <v>79</v>
      </c>
      <c r="K665" s="210" t="s">
        <v>104</v>
      </c>
      <c r="L665" s="210"/>
      <c r="M665" s="209" t="s">
        <v>58</v>
      </c>
      <c r="N665" s="209">
        <v>0</v>
      </c>
      <c r="O665" s="209" t="s">
        <v>105</v>
      </c>
      <c r="P665" s="213">
        <v>44893.424502314818</v>
      </c>
      <c r="Q665" s="209"/>
      <c r="R665" s="209" t="s">
        <v>38</v>
      </c>
      <c r="S665" s="209"/>
      <c r="T665" s="209" t="s">
        <v>74</v>
      </c>
      <c r="U665" s="213">
        <v>44932.75</v>
      </c>
      <c r="V665" s="209" t="s">
        <v>41</v>
      </c>
      <c r="W665" s="209" t="s">
        <v>49</v>
      </c>
      <c r="X665" s="13" t="str">
        <f>IF(RIGHT(H665,2)&lt;&gt;"00",H665,"")</f>
        <v/>
      </c>
      <c r="Y665" s="26">
        <f ca="1">NETWORKDAYS(P665,$Y$1)</f>
        <v>68</v>
      </c>
      <c r="Z665" s="34">
        <v>1</v>
      </c>
      <c r="AA665" s="25" t="str">
        <f t="shared" ca="1" si="53"/>
        <v>A VENCER</v>
      </c>
      <c r="AB665" s="25" t="str">
        <f t="shared" si="51"/>
        <v>Dosa</v>
      </c>
      <c r="AC665" s="2" t="str">
        <f t="shared" si="55"/>
        <v xml:space="preserve"> ROSEMERE </v>
      </c>
      <c r="AD665" s="26">
        <f t="shared" si="52"/>
        <v>5</v>
      </c>
      <c r="AE665" s="26">
        <f t="shared" ca="1" si="54"/>
        <v>93.251769328700902</v>
      </c>
      <c r="AF665" s="35"/>
    </row>
    <row r="666" spans="1:32" hidden="1">
      <c r="A666" s="209">
        <v>9110055</v>
      </c>
      <c r="B666" s="209" t="s">
        <v>62</v>
      </c>
      <c r="C666" s="210" t="s">
        <v>1342</v>
      </c>
      <c r="D666" s="214"/>
      <c r="E666" s="214">
        <v>9703000206021</v>
      </c>
      <c r="F666" s="209" t="s">
        <v>103</v>
      </c>
      <c r="G666" s="209" t="s">
        <v>53</v>
      </c>
      <c r="H666" s="209" t="s">
        <v>494</v>
      </c>
      <c r="I666" s="209" t="s">
        <v>495</v>
      </c>
      <c r="J666" s="209" t="s">
        <v>79</v>
      </c>
      <c r="K666" s="210" t="s">
        <v>104</v>
      </c>
      <c r="L666" s="210"/>
      <c r="M666" s="209" t="s">
        <v>58</v>
      </c>
      <c r="N666" s="209">
        <v>0</v>
      </c>
      <c r="O666" s="209" t="s">
        <v>105</v>
      </c>
      <c r="P666" s="213">
        <v>44893.423750000002</v>
      </c>
      <c r="Q666" s="209"/>
      <c r="R666" s="209" t="s">
        <v>38</v>
      </c>
      <c r="S666" s="209"/>
      <c r="T666" s="209" t="s">
        <v>74</v>
      </c>
      <c r="U666" s="213">
        <v>44932.75</v>
      </c>
      <c r="V666" s="209" t="s">
        <v>41</v>
      </c>
      <c r="W666" s="209" t="s">
        <v>49</v>
      </c>
      <c r="X666" s="13" t="str">
        <f>IF(RIGHT(H666,2)&lt;&gt;"00",H666,"")</f>
        <v/>
      </c>
      <c r="Y666" s="26">
        <f ca="1">NETWORKDAYS(P666,$Y$1)</f>
        <v>68</v>
      </c>
      <c r="Z666" s="34">
        <v>1</v>
      </c>
      <c r="AA666" s="25" t="str">
        <f t="shared" ca="1" si="53"/>
        <v>A VENCER</v>
      </c>
      <c r="AB666" s="25" t="str">
        <f t="shared" si="51"/>
        <v>Dosa</v>
      </c>
      <c r="AC666" s="2" t="str">
        <f t="shared" si="55"/>
        <v xml:space="preserve"> ROSEMERE </v>
      </c>
      <c r="AD666" s="26">
        <f t="shared" si="52"/>
        <v>5</v>
      </c>
      <c r="AE666" s="26">
        <f t="shared" ca="1" si="54"/>
        <v>93.252521643516957</v>
      </c>
      <c r="AF666" s="35"/>
    </row>
    <row r="667" spans="1:32" hidden="1">
      <c r="A667" s="209">
        <v>9110054</v>
      </c>
      <c r="B667" s="209" t="s">
        <v>27</v>
      </c>
      <c r="C667" s="210" t="s">
        <v>1342</v>
      </c>
      <c r="D667" s="214"/>
      <c r="E667" s="214">
        <v>9703000206021</v>
      </c>
      <c r="F667" s="209" t="s">
        <v>103</v>
      </c>
      <c r="G667" s="209" t="s">
        <v>53</v>
      </c>
      <c r="H667" s="209" t="s">
        <v>494</v>
      </c>
      <c r="I667" s="209" t="s">
        <v>495</v>
      </c>
      <c r="J667" s="209" t="s">
        <v>79</v>
      </c>
      <c r="K667" s="210" t="s">
        <v>104</v>
      </c>
      <c r="L667" s="210"/>
      <c r="M667" s="209" t="s">
        <v>58</v>
      </c>
      <c r="N667" s="209">
        <v>0</v>
      </c>
      <c r="O667" s="209" t="s">
        <v>105</v>
      </c>
      <c r="P667" s="213">
        <v>44893.423159722224</v>
      </c>
      <c r="Q667" s="209"/>
      <c r="R667" s="209" t="s">
        <v>38</v>
      </c>
      <c r="S667" s="209"/>
      <c r="T667" s="209" t="s">
        <v>74</v>
      </c>
      <c r="U667" s="213">
        <v>44932.75</v>
      </c>
      <c r="V667" s="209" t="s">
        <v>41</v>
      </c>
      <c r="W667" s="209" t="s">
        <v>49</v>
      </c>
      <c r="X667" s="13" t="str">
        <f>IF(RIGHT(H667,2)&lt;&gt;"00",H667,"")</f>
        <v/>
      </c>
      <c r="Y667" s="26">
        <f ca="1">NETWORKDAYS(P667,$Y$1)</f>
        <v>68</v>
      </c>
      <c r="Z667" s="34">
        <v>1</v>
      </c>
      <c r="AA667" s="25" t="str">
        <f t="shared" ca="1" si="53"/>
        <v>A VENCER</v>
      </c>
      <c r="AB667" s="25" t="str">
        <f t="shared" si="51"/>
        <v>Dosa</v>
      </c>
      <c r="AC667" s="2" t="str">
        <f t="shared" si="55"/>
        <v xml:space="preserve"> ROSEMERE </v>
      </c>
      <c r="AD667" s="26">
        <f t="shared" si="52"/>
        <v>5</v>
      </c>
      <c r="AE667" s="26">
        <f t="shared" ca="1" si="54"/>
        <v>93.253111921294476</v>
      </c>
      <c r="AF667" s="35"/>
    </row>
    <row r="668" spans="1:32" hidden="1">
      <c r="A668" s="209">
        <v>9110053</v>
      </c>
      <c r="B668" s="209" t="s">
        <v>62</v>
      </c>
      <c r="C668" s="210" t="s">
        <v>1346</v>
      </c>
      <c r="D668" s="214"/>
      <c r="E668" s="214">
        <v>9703000206021</v>
      </c>
      <c r="F668" s="209" t="s">
        <v>103</v>
      </c>
      <c r="G668" s="209" t="s">
        <v>53</v>
      </c>
      <c r="H668" s="209" t="s">
        <v>494</v>
      </c>
      <c r="I668" s="209" t="s">
        <v>495</v>
      </c>
      <c r="J668" s="209" t="s">
        <v>79</v>
      </c>
      <c r="K668" s="210" t="s">
        <v>104</v>
      </c>
      <c r="L668" s="210"/>
      <c r="M668" s="209" t="s">
        <v>58</v>
      </c>
      <c r="N668" s="209">
        <v>0</v>
      </c>
      <c r="O668" s="209" t="s">
        <v>105</v>
      </c>
      <c r="P668" s="213">
        <v>44893.422430555554</v>
      </c>
      <c r="Q668" s="209"/>
      <c r="R668" s="209" t="s">
        <v>38</v>
      </c>
      <c r="S668" s="209"/>
      <c r="T668" s="209" t="s">
        <v>74</v>
      </c>
      <c r="U668" s="213">
        <v>44932.75</v>
      </c>
      <c r="V668" s="209" t="s">
        <v>41</v>
      </c>
      <c r="W668" s="209" t="s">
        <v>49</v>
      </c>
      <c r="X668" s="13" t="str">
        <f>IF(RIGHT(H668,2)&lt;&gt;"00",H668,"")</f>
        <v/>
      </c>
      <c r="Y668" s="26">
        <f ca="1">NETWORKDAYS(P668,$Y$1)</f>
        <v>68</v>
      </c>
      <c r="Z668" s="34">
        <v>1</v>
      </c>
      <c r="AA668" s="25" t="str">
        <f t="shared" ca="1" si="53"/>
        <v>A VENCER</v>
      </c>
      <c r="AB668" s="25" t="str">
        <f t="shared" si="51"/>
        <v>Dosa</v>
      </c>
      <c r="AC668" s="2" t="str">
        <f t="shared" si="55"/>
        <v xml:space="preserve"> ROSEMERE </v>
      </c>
      <c r="AD668" s="26">
        <f t="shared" si="52"/>
        <v>5</v>
      </c>
      <c r="AE668" s="26">
        <f t="shared" ca="1" si="54"/>
        <v>93.253841087964247</v>
      </c>
      <c r="AF668" s="35"/>
    </row>
    <row r="669" spans="1:32" hidden="1">
      <c r="A669" s="209">
        <v>9119774</v>
      </c>
      <c r="B669" s="209" t="s">
        <v>1153</v>
      </c>
      <c r="C669" s="210" t="s">
        <v>1348</v>
      </c>
      <c r="D669" s="214">
        <v>220190443</v>
      </c>
      <c r="E669" s="214">
        <v>1146001400030</v>
      </c>
      <c r="F669" s="209" t="s">
        <v>647</v>
      </c>
      <c r="G669" s="209" t="s">
        <v>53</v>
      </c>
      <c r="H669" s="209" t="s">
        <v>315</v>
      </c>
      <c r="I669" s="209" t="s">
        <v>316</v>
      </c>
      <c r="J669" s="209" t="s">
        <v>148</v>
      </c>
      <c r="K669" s="210" t="s">
        <v>650</v>
      </c>
      <c r="L669" s="210"/>
      <c r="M669" s="209" t="s">
        <v>58</v>
      </c>
      <c r="N669" s="209">
        <v>0</v>
      </c>
      <c r="O669" s="209" t="s">
        <v>36</v>
      </c>
      <c r="P669" s="213">
        <v>44895.552025462966</v>
      </c>
      <c r="Q669" s="209"/>
      <c r="R669" s="209">
        <v>4</v>
      </c>
      <c r="S669" s="209"/>
      <c r="T669" s="209" t="s">
        <v>646</v>
      </c>
      <c r="U669" s="213">
        <v>44896.572858796295</v>
      </c>
      <c r="V669" s="209" t="s">
        <v>41</v>
      </c>
      <c r="W669" s="209" t="s">
        <v>49</v>
      </c>
      <c r="X669" s="13" t="str">
        <f>IF(RIGHT(H669,2)&lt;&gt;"00",H669,"")</f>
        <v/>
      </c>
      <c r="Y669" s="26">
        <f ca="1">NETWORKDAYS(P669,$Y$1)</f>
        <v>66</v>
      </c>
      <c r="Z669" s="34">
        <v>1</v>
      </c>
      <c r="AA669" s="25" t="str">
        <f t="shared" ca="1" si="53"/>
        <v>A VENCER</v>
      </c>
      <c r="AB669" s="25" t="str">
        <f t="shared" ref="AB669:AB732" si="56">IF(F669="GRPE-000001","C-14",IF(F669="GRPE-000002","C-14",IF(F669="GRPE-000003","C-14",IF(F669="GRPE-000004","SL-On",IF(F669="GRPE-000038","C-14",IF(F669="GRPE-900022","Dosa",IF(F669="GRPE-000029","Dosa",IF(F669="ATOS-000222","Dose","TAAe+"))))))))</f>
        <v>C-14</v>
      </c>
      <c r="AC669" s="2" t="str">
        <f t="shared" si="55"/>
        <v xml:space="preserve"> RINALDO </v>
      </c>
      <c r="AD669" s="26">
        <f t="shared" ref="AD669:AD732" si="57">IF(F669="GRPE-000001",5,IF(F669="GRPE-000002",5,IF(F669="GRPE-000003",15,IF(F669="GRPE-000004",1,IF(F669="GRPE-000038",5,IF(F669="GRPE-900022",5,IF(F669="GRPE-000029",5,IF(F669="ATOS-000222",5,8))))))))</f>
        <v>15</v>
      </c>
      <c r="AE669" s="26">
        <f t="shared" ca="1" si="54"/>
        <v>91.124246180552291</v>
      </c>
      <c r="AF669" s="35"/>
    </row>
    <row r="670" spans="1:32" hidden="1">
      <c r="A670" s="209">
        <v>9131493</v>
      </c>
      <c r="B670" s="209" t="s">
        <v>101</v>
      </c>
      <c r="C670" s="210" t="s">
        <v>643</v>
      </c>
      <c r="D670" s="214">
        <v>220197038</v>
      </c>
      <c r="E670" s="214">
        <v>834001400040</v>
      </c>
      <c r="F670" s="209" t="s">
        <v>644</v>
      </c>
      <c r="G670" s="209" t="s">
        <v>53</v>
      </c>
      <c r="H670" s="209" t="s">
        <v>367</v>
      </c>
      <c r="I670" s="209" t="s">
        <v>368</v>
      </c>
      <c r="J670" s="209" t="s">
        <v>261</v>
      </c>
      <c r="K670" s="210" t="s">
        <v>645</v>
      </c>
      <c r="L670" s="210"/>
      <c r="M670" s="209" t="s">
        <v>58</v>
      </c>
      <c r="N670" s="209">
        <v>0</v>
      </c>
      <c r="O670" s="209" t="s">
        <v>105</v>
      </c>
      <c r="P670" s="213">
        <v>44896.698067129626</v>
      </c>
      <c r="Q670" s="209"/>
      <c r="R670" s="209">
        <v>2</v>
      </c>
      <c r="S670" s="209"/>
      <c r="T670" s="209" t="s">
        <v>646</v>
      </c>
      <c r="U670" s="213">
        <v>44897.698067129626</v>
      </c>
      <c r="V670" s="209" t="s">
        <v>41</v>
      </c>
      <c r="W670" s="209" t="s">
        <v>49</v>
      </c>
      <c r="X670" s="13" t="str">
        <f>IF(RIGHT(H670,2)&lt;&gt;"00",H670,"")</f>
        <v/>
      </c>
      <c r="Y670" s="26">
        <f ca="1">NETWORKDAYS(P670,$Y$1)</f>
        <v>65</v>
      </c>
      <c r="Z670" s="34">
        <v>1</v>
      </c>
      <c r="AA670" s="25" t="str">
        <f t="shared" ca="1" si="53"/>
        <v>A VENCER</v>
      </c>
      <c r="AB670" s="25" t="str">
        <f t="shared" si="56"/>
        <v>SL-On</v>
      </c>
      <c r="AC670" s="2" t="str">
        <f t="shared" si="55"/>
        <v xml:space="preserve"> CRISTINA </v>
      </c>
      <c r="AD670" s="26">
        <f t="shared" si="57"/>
        <v>1</v>
      </c>
      <c r="AE670" s="26">
        <f t="shared" ca="1" si="54"/>
        <v>89.978204513892706</v>
      </c>
      <c r="AF670" s="35"/>
    </row>
    <row r="671" spans="1:32" hidden="1">
      <c r="A671" s="209">
        <v>9131454</v>
      </c>
      <c r="B671" s="209" t="s">
        <v>101</v>
      </c>
      <c r="C671" s="210" t="s">
        <v>643</v>
      </c>
      <c r="D671" s="214">
        <v>220197033</v>
      </c>
      <c r="E671" s="214">
        <v>821001400040</v>
      </c>
      <c r="F671" s="209" t="s">
        <v>644</v>
      </c>
      <c r="G671" s="209" t="s">
        <v>53</v>
      </c>
      <c r="H671" s="209" t="s">
        <v>1351</v>
      </c>
      <c r="I671" s="209" t="s">
        <v>1352</v>
      </c>
      <c r="J671" s="209" t="s">
        <v>46</v>
      </c>
      <c r="K671" s="210" t="s">
        <v>645</v>
      </c>
      <c r="L671" s="210"/>
      <c r="M671" s="209" t="s">
        <v>58</v>
      </c>
      <c r="N671" s="209">
        <v>0</v>
      </c>
      <c r="O671" s="209" t="s">
        <v>105</v>
      </c>
      <c r="P671" s="213">
        <v>44896.696782407409</v>
      </c>
      <c r="Q671" s="209"/>
      <c r="R671" s="209">
        <v>2</v>
      </c>
      <c r="S671" s="209"/>
      <c r="T671" s="209" t="s">
        <v>646</v>
      </c>
      <c r="U671" s="213">
        <v>44897.696782407409</v>
      </c>
      <c r="V671" s="209" t="s">
        <v>41</v>
      </c>
      <c r="W671" s="209" t="s">
        <v>49</v>
      </c>
      <c r="X671" s="13" t="str">
        <f>IF(RIGHT(H671,2)&lt;&gt;"00",H671,"")</f>
        <v/>
      </c>
      <c r="Y671" s="26">
        <f ca="1">NETWORKDAYS(P671,$Y$1)</f>
        <v>65</v>
      </c>
      <c r="Z671" s="34">
        <v>1</v>
      </c>
      <c r="AA671" s="25" t="str">
        <f t="shared" ca="1" si="53"/>
        <v>A VENCER</v>
      </c>
      <c r="AB671" s="25" t="str">
        <f t="shared" si="56"/>
        <v>SL-On</v>
      </c>
      <c r="AC671" s="2" t="str">
        <f t="shared" si="55"/>
        <v xml:space="preserve"> CLEITON </v>
      </c>
      <c r="AD671" s="26">
        <f t="shared" si="57"/>
        <v>1</v>
      </c>
      <c r="AE671" s="26">
        <f t="shared" ca="1" si="54"/>
        <v>89.979489236109657</v>
      </c>
      <c r="AF671" s="35"/>
    </row>
    <row r="672" spans="1:32" hidden="1">
      <c r="A672" s="209">
        <v>9131400</v>
      </c>
      <c r="B672" s="209" t="s">
        <v>101</v>
      </c>
      <c r="C672" s="210" t="s">
        <v>643</v>
      </c>
      <c r="D672" s="214">
        <v>220195352</v>
      </c>
      <c r="E672" s="214">
        <v>1732001400030</v>
      </c>
      <c r="F672" s="209" t="s">
        <v>647</v>
      </c>
      <c r="G672" s="209" t="s">
        <v>53</v>
      </c>
      <c r="H672" s="209" t="s">
        <v>177</v>
      </c>
      <c r="I672" s="209" t="s">
        <v>178</v>
      </c>
      <c r="J672" s="209" t="s">
        <v>164</v>
      </c>
      <c r="K672" s="210" t="s">
        <v>650</v>
      </c>
      <c r="L672" s="210"/>
      <c r="M672" s="209" t="s">
        <v>58</v>
      </c>
      <c r="N672" s="209">
        <v>0</v>
      </c>
      <c r="O672" s="209" t="s">
        <v>105</v>
      </c>
      <c r="P672" s="213">
        <v>44896.694756944446</v>
      </c>
      <c r="Q672" s="209"/>
      <c r="R672" s="209">
        <v>4</v>
      </c>
      <c r="S672" s="209"/>
      <c r="T672" s="209" t="s">
        <v>646</v>
      </c>
      <c r="U672" s="213">
        <v>44897.694756944446</v>
      </c>
      <c r="V672" s="209" t="s">
        <v>41</v>
      </c>
      <c r="W672" s="209" t="s">
        <v>49</v>
      </c>
      <c r="X672" s="13" t="str">
        <f>IF(RIGHT(H672,2)&lt;&gt;"00",H672,"")</f>
        <v/>
      </c>
      <c r="Y672" s="26">
        <f ca="1">NETWORKDAYS(P672,$Y$1)</f>
        <v>65</v>
      </c>
      <c r="Z672" s="34">
        <v>1</v>
      </c>
      <c r="AA672" s="25" t="str">
        <f t="shared" ca="1" si="53"/>
        <v>A VENCER</v>
      </c>
      <c r="AB672" s="25" t="str">
        <f t="shared" si="56"/>
        <v>C-14</v>
      </c>
      <c r="AC672" s="2" t="str">
        <f t="shared" si="55"/>
        <v xml:space="preserve"> ROSEMERE </v>
      </c>
      <c r="AD672" s="26">
        <f t="shared" si="57"/>
        <v>15</v>
      </c>
      <c r="AE672" s="26">
        <f t="shared" ca="1" si="54"/>
        <v>89.981514699073159</v>
      </c>
      <c r="AF672" s="35"/>
    </row>
    <row r="673" spans="1:32" hidden="1">
      <c r="A673" s="209">
        <v>9131376</v>
      </c>
      <c r="B673" s="209" t="s">
        <v>101</v>
      </c>
      <c r="C673" s="210" t="s">
        <v>643</v>
      </c>
      <c r="D673" s="214">
        <v>220195375</v>
      </c>
      <c r="E673" s="214">
        <v>1792001400030</v>
      </c>
      <c r="F673" s="209" t="s">
        <v>647</v>
      </c>
      <c r="G673" s="209" t="s">
        <v>53</v>
      </c>
      <c r="H673" s="209" t="s">
        <v>467</v>
      </c>
      <c r="I673" s="209" t="s">
        <v>468</v>
      </c>
      <c r="J673" s="209" t="s">
        <v>110</v>
      </c>
      <c r="K673" s="210" t="s">
        <v>650</v>
      </c>
      <c r="L673" s="210"/>
      <c r="M673" s="209" t="s">
        <v>58</v>
      </c>
      <c r="N673" s="209">
        <v>0</v>
      </c>
      <c r="O673" s="209" t="s">
        <v>105</v>
      </c>
      <c r="P673" s="213">
        <v>44896.693680555552</v>
      </c>
      <c r="Q673" s="209"/>
      <c r="R673" s="209">
        <v>4</v>
      </c>
      <c r="S673" s="209"/>
      <c r="T673" s="209" t="s">
        <v>646</v>
      </c>
      <c r="U673" s="213">
        <v>44897.693692129629</v>
      </c>
      <c r="V673" s="209" t="s">
        <v>41</v>
      </c>
      <c r="W673" s="209" t="s">
        <v>49</v>
      </c>
      <c r="X673" s="13" t="str">
        <f>IF(RIGHT(H673,2)&lt;&gt;"00",H673,"")</f>
        <v/>
      </c>
      <c r="Y673" s="26">
        <f ca="1">NETWORKDAYS(P673,$Y$1)</f>
        <v>65</v>
      </c>
      <c r="Z673" s="34">
        <v>1</v>
      </c>
      <c r="AA673" s="25" t="str">
        <f t="shared" ca="1" si="53"/>
        <v>A VENCER</v>
      </c>
      <c r="AB673" s="25" t="str">
        <f t="shared" si="56"/>
        <v>C-14</v>
      </c>
      <c r="AC673" s="2" t="str">
        <f t="shared" si="55"/>
        <v xml:space="preserve"> CRISTINA </v>
      </c>
      <c r="AD673" s="26">
        <f t="shared" si="57"/>
        <v>15</v>
      </c>
      <c r="AE673" s="26">
        <f t="shared" ca="1" si="54"/>
        <v>89.982591087966284</v>
      </c>
      <c r="AF673" s="35"/>
    </row>
    <row r="674" spans="1:32" hidden="1">
      <c r="A674" s="209">
        <v>9131244</v>
      </c>
      <c r="B674" s="209" t="s">
        <v>101</v>
      </c>
      <c r="C674" s="210" t="s">
        <v>643</v>
      </c>
      <c r="D674" s="214">
        <v>220197571</v>
      </c>
      <c r="E674" s="214">
        <v>2326001400040</v>
      </c>
      <c r="F674" s="209" t="s">
        <v>644</v>
      </c>
      <c r="G674" s="209" t="s">
        <v>53</v>
      </c>
      <c r="H674" s="209" t="s">
        <v>191</v>
      </c>
      <c r="I674" s="209" t="s">
        <v>192</v>
      </c>
      <c r="J674" s="209" t="s">
        <v>46</v>
      </c>
      <c r="K674" s="210" t="s">
        <v>645</v>
      </c>
      <c r="L674" s="210"/>
      <c r="M674" s="209" t="s">
        <v>58</v>
      </c>
      <c r="N674" s="209">
        <v>0</v>
      </c>
      <c r="O674" s="209" t="s">
        <v>105</v>
      </c>
      <c r="P674" s="213">
        <v>44896.684918981482</v>
      </c>
      <c r="Q674" s="209"/>
      <c r="R674" s="209">
        <v>2</v>
      </c>
      <c r="S674" s="209"/>
      <c r="T674" s="209" t="s">
        <v>646</v>
      </c>
      <c r="U674" s="213">
        <v>44897.684930555559</v>
      </c>
      <c r="V674" s="209" t="s">
        <v>41</v>
      </c>
      <c r="W674" s="209" t="s">
        <v>49</v>
      </c>
      <c r="X674" s="13" t="str">
        <f>IF(RIGHT(H674,2)&lt;&gt;"00",H674,"")</f>
        <v/>
      </c>
      <c r="Y674" s="26">
        <f ca="1">NETWORKDAYS(P674,$Y$1)</f>
        <v>65</v>
      </c>
      <c r="Z674" s="34">
        <v>1</v>
      </c>
      <c r="AA674" s="25" t="str">
        <f t="shared" ca="1" si="53"/>
        <v>A VENCER</v>
      </c>
      <c r="AB674" s="25" t="str">
        <f t="shared" si="56"/>
        <v>SL-On</v>
      </c>
      <c r="AC674" s="2" t="str">
        <f t="shared" si="55"/>
        <v xml:space="preserve"> CLEITON </v>
      </c>
      <c r="AD674" s="26">
        <f t="shared" si="57"/>
        <v>1</v>
      </c>
      <c r="AE674" s="26">
        <f t="shared" ca="1" si="54"/>
        <v>89.991352662036661</v>
      </c>
      <c r="AF674" s="35"/>
    </row>
    <row r="675" spans="1:32" hidden="1">
      <c r="A675" s="209">
        <v>9131189</v>
      </c>
      <c r="B675" s="209" t="s">
        <v>101</v>
      </c>
      <c r="C675" s="210" t="s">
        <v>643</v>
      </c>
      <c r="D675" s="214">
        <v>220197881</v>
      </c>
      <c r="E675" s="214">
        <v>3504001400040</v>
      </c>
      <c r="F675" s="209" t="s">
        <v>644</v>
      </c>
      <c r="G675" s="209" t="s">
        <v>53</v>
      </c>
      <c r="H675" s="209" t="s">
        <v>585</v>
      </c>
      <c r="I675" s="209" t="s">
        <v>586</v>
      </c>
      <c r="J675" s="209" t="s">
        <v>46</v>
      </c>
      <c r="K675" s="210" t="s">
        <v>645</v>
      </c>
      <c r="L675" s="210"/>
      <c r="M675" s="209" t="s">
        <v>58</v>
      </c>
      <c r="N675" s="209">
        <v>0</v>
      </c>
      <c r="O675" s="209" t="s">
        <v>105</v>
      </c>
      <c r="P675" s="213">
        <v>44896.682210648149</v>
      </c>
      <c r="Q675" s="209"/>
      <c r="R675" s="209">
        <v>3</v>
      </c>
      <c r="S675" s="209"/>
      <c r="T675" s="209" t="s">
        <v>646</v>
      </c>
      <c r="U675" s="213">
        <v>44897.682210648149</v>
      </c>
      <c r="V675" s="209" t="s">
        <v>41</v>
      </c>
      <c r="W675" s="209" t="s">
        <v>49</v>
      </c>
      <c r="X675" s="13" t="str">
        <f>IF(RIGHT(H675,2)&lt;&gt;"00",H675,"")</f>
        <v/>
      </c>
      <c r="Y675" s="26">
        <f ca="1">NETWORKDAYS(P675,$Y$1)</f>
        <v>65</v>
      </c>
      <c r="Z675" s="34">
        <v>1</v>
      </c>
      <c r="AA675" s="25" t="str">
        <f t="shared" ca="1" si="53"/>
        <v>A VENCER</v>
      </c>
      <c r="AB675" s="25" t="str">
        <f t="shared" si="56"/>
        <v>SL-On</v>
      </c>
      <c r="AC675" s="2" t="str">
        <f t="shared" si="55"/>
        <v xml:space="preserve"> CLEITON </v>
      </c>
      <c r="AD675" s="26">
        <f t="shared" si="57"/>
        <v>1</v>
      </c>
      <c r="AE675" s="26">
        <f t="shared" ca="1" si="54"/>
        <v>89.994060995370091</v>
      </c>
      <c r="AF675" s="35"/>
    </row>
    <row r="676" spans="1:32" hidden="1">
      <c r="A676" s="209">
        <v>9131113</v>
      </c>
      <c r="B676" s="209" t="s">
        <v>101</v>
      </c>
      <c r="C676" s="210" t="s">
        <v>643</v>
      </c>
      <c r="D676" s="214">
        <v>220196664</v>
      </c>
      <c r="E676" s="214">
        <v>233001400040</v>
      </c>
      <c r="F676" s="209" t="s">
        <v>644</v>
      </c>
      <c r="G676" s="209" t="s">
        <v>53</v>
      </c>
      <c r="H676" s="209" t="s">
        <v>424</v>
      </c>
      <c r="I676" s="209" t="s">
        <v>425</v>
      </c>
      <c r="J676" s="209" t="s">
        <v>261</v>
      </c>
      <c r="K676" s="210" t="s">
        <v>645</v>
      </c>
      <c r="L676" s="210"/>
      <c r="M676" s="209" t="s">
        <v>58</v>
      </c>
      <c r="N676" s="209">
        <v>0</v>
      </c>
      <c r="O676" s="209" t="s">
        <v>105</v>
      </c>
      <c r="P676" s="213">
        <v>44896.678414351853</v>
      </c>
      <c r="Q676" s="209"/>
      <c r="R676" s="209">
        <v>2</v>
      </c>
      <c r="S676" s="209"/>
      <c r="T676" s="209" t="s">
        <v>646</v>
      </c>
      <c r="U676" s="213">
        <v>44897.678425925929</v>
      </c>
      <c r="V676" s="209" t="s">
        <v>41</v>
      </c>
      <c r="W676" s="209" t="s">
        <v>49</v>
      </c>
      <c r="X676" s="13" t="str">
        <f>IF(RIGHT(H676,2)&lt;&gt;"00",H676,"")</f>
        <v/>
      </c>
      <c r="Y676" s="26">
        <f ca="1">NETWORKDAYS(P676,$Y$1)</f>
        <v>65</v>
      </c>
      <c r="Z676" s="34">
        <v>1</v>
      </c>
      <c r="AA676" s="25" t="str">
        <f t="shared" ca="1" si="53"/>
        <v>A VENCER</v>
      </c>
      <c r="AB676" s="25" t="str">
        <f t="shared" si="56"/>
        <v>SL-On</v>
      </c>
      <c r="AC676" s="2" t="str">
        <f t="shared" si="55"/>
        <v xml:space="preserve"> CRISTINA </v>
      </c>
      <c r="AD676" s="26">
        <f t="shared" si="57"/>
        <v>1</v>
      </c>
      <c r="AE676" s="26">
        <f t="shared" ca="1" si="54"/>
        <v>89.997857291666151</v>
      </c>
      <c r="AF676" s="35"/>
    </row>
    <row r="677" spans="1:32" hidden="1">
      <c r="A677" s="209">
        <v>9131076</v>
      </c>
      <c r="B677" s="209" t="s">
        <v>101</v>
      </c>
      <c r="C677" s="210" t="s">
        <v>643</v>
      </c>
      <c r="D677" s="214">
        <v>220196663</v>
      </c>
      <c r="E677" s="214">
        <v>232001400040</v>
      </c>
      <c r="F677" s="209" t="s">
        <v>644</v>
      </c>
      <c r="G677" s="209" t="s">
        <v>53</v>
      </c>
      <c r="H677" s="209" t="s">
        <v>1363</v>
      </c>
      <c r="I677" s="209" t="s">
        <v>1364</v>
      </c>
      <c r="J677" s="209" t="s">
        <v>141</v>
      </c>
      <c r="K677" s="210" t="s">
        <v>645</v>
      </c>
      <c r="L677" s="210"/>
      <c r="M677" s="209" t="s">
        <v>58</v>
      </c>
      <c r="N677" s="209">
        <v>0</v>
      </c>
      <c r="O677" s="209" t="s">
        <v>105</v>
      </c>
      <c r="P677" s="213">
        <v>44896.676157407404</v>
      </c>
      <c r="Q677" s="209"/>
      <c r="R677" s="209">
        <v>3</v>
      </c>
      <c r="S677" s="209"/>
      <c r="T677" s="209" t="s">
        <v>646</v>
      </c>
      <c r="U677" s="213">
        <v>44897.676168981481</v>
      </c>
      <c r="V677" s="209" t="s">
        <v>41</v>
      </c>
      <c r="W677" s="209" t="s">
        <v>49</v>
      </c>
      <c r="X677" s="13" t="str">
        <f>IF(RIGHT(H677,2)&lt;&gt;"00",H677,"")</f>
        <v/>
      </c>
      <c r="Y677" s="26">
        <f ca="1">NETWORKDAYS(P677,$Y$1)</f>
        <v>65</v>
      </c>
      <c r="Z677" s="34">
        <v>1</v>
      </c>
      <c r="AA677" s="25" t="str">
        <f t="shared" ca="1" si="53"/>
        <v>A VENCER</v>
      </c>
      <c r="AB677" s="25" t="str">
        <f t="shared" si="56"/>
        <v>SL-On</v>
      </c>
      <c r="AC677" s="2" t="str">
        <f t="shared" si="55"/>
        <v xml:space="preserve"> CRISTINA </v>
      </c>
      <c r="AD677" s="26">
        <f t="shared" si="57"/>
        <v>1</v>
      </c>
      <c r="AE677" s="26">
        <f t="shared" ca="1" si="54"/>
        <v>90.000114236114314</v>
      </c>
      <c r="AF677" s="35"/>
    </row>
    <row r="678" spans="1:32" hidden="1">
      <c r="A678" s="209">
        <v>9131028</v>
      </c>
      <c r="B678" s="209" t="s">
        <v>101</v>
      </c>
      <c r="C678" s="210" t="s">
        <v>643</v>
      </c>
      <c r="D678" s="214">
        <v>220196655</v>
      </c>
      <c r="E678" s="214">
        <v>220001400040</v>
      </c>
      <c r="F678" s="209" t="s">
        <v>644</v>
      </c>
      <c r="G678" s="209" t="s">
        <v>53</v>
      </c>
      <c r="H678" s="209" t="s">
        <v>588</v>
      </c>
      <c r="I678" s="209" t="s">
        <v>589</v>
      </c>
      <c r="J678" s="209" t="s">
        <v>110</v>
      </c>
      <c r="K678" s="210" t="s">
        <v>645</v>
      </c>
      <c r="L678" s="210"/>
      <c r="M678" s="209" t="s">
        <v>58</v>
      </c>
      <c r="N678" s="209">
        <v>0</v>
      </c>
      <c r="O678" s="209" t="s">
        <v>105</v>
      </c>
      <c r="P678" s="213">
        <v>44896.673981481479</v>
      </c>
      <c r="Q678" s="209"/>
      <c r="R678" s="209">
        <v>2</v>
      </c>
      <c r="S678" s="209"/>
      <c r="T678" s="209" t="s">
        <v>646</v>
      </c>
      <c r="U678" s="213">
        <v>44897.673981481479</v>
      </c>
      <c r="V678" s="209" t="s">
        <v>41</v>
      </c>
      <c r="W678" s="209" t="s">
        <v>49</v>
      </c>
      <c r="X678" s="13" t="str">
        <f>IF(RIGHT(H678,2)&lt;&gt;"00",H678,"")</f>
        <v/>
      </c>
      <c r="Y678" s="26">
        <f ca="1">NETWORKDAYS(P678,$Y$1)</f>
        <v>65</v>
      </c>
      <c r="Z678" s="34">
        <v>1</v>
      </c>
      <c r="AA678" s="25" t="str">
        <f t="shared" ca="1" si="53"/>
        <v>A VENCER</v>
      </c>
      <c r="AB678" s="25" t="str">
        <f t="shared" si="56"/>
        <v>SL-On</v>
      </c>
      <c r="AC678" s="2" t="str">
        <f t="shared" si="55"/>
        <v xml:space="preserve"> CRISTINA </v>
      </c>
      <c r="AD678" s="26">
        <f t="shared" si="57"/>
        <v>1</v>
      </c>
      <c r="AE678" s="26">
        <f t="shared" ca="1" si="54"/>
        <v>90.002290162039571</v>
      </c>
      <c r="AF678" s="35"/>
    </row>
    <row r="679" spans="1:32" hidden="1">
      <c r="A679" s="209">
        <v>9131012</v>
      </c>
      <c r="B679" s="209" t="s">
        <v>101</v>
      </c>
      <c r="C679" s="210" t="s">
        <v>643</v>
      </c>
      <c r="D679" s="214">
        <v>220194569</v>
      </c>
      <c r="E679" s="214">
        <v>233001400030</v>
      </c>
      <c r="F679" s="209" t="s">
        <v>647</v>
      </c>
      <c r="G679" s="209" t="s">
        <v>53</v>
      </c>
      <c r="H679" s="209" t="s">
        <v>424</v>
      </c>
      <c r="I679" s="209" t="s">
        <v>425</v>
      </c>
      <c r="J679" s="209" t="s">
        <v>261</v>
      </c>
      <c r="K679" s="210" t="s">
        <v>650</v>
      </c>
      <c r="L679" s="210"/>
      <c r="M679" s="209" t="s">
        <v>58</v>
      </c>
      <c r="N679" s="209">
        <v>0</v>
      </c>
      <c r="O679" s="209" t="s">
        <v>105</v>
      </c>
      <c r="P679" s="213">
        <v>44896.672835648147</v>
      </c>
      <c r="Q679" s="209"/>
      <c r="R679" s="209">
        <v>4</v>
      </c>
      <c r="S679" s="209"/>
      <c r="T679" s="209" t="s">
        <v>646</v>
      </c>
      <c r="U679" s="213">
        <v>44897.672835648147</v>
      </c>
      <c r="V679" s="209" t="s">
        <v>41</v>
      </c>
      <c r="W679" s="209" t="s">
        <v>49</v>
      </c>
      <c r="X679" s="13" t="str">
        <f>IF(RIGHT(H679,2)&lt;&gt;"00",H679,"")</f>
        <v/>
      </c>
      <c r="Y679" s="26">
        <f ca="1">NETWORKDAYS(P679,$Y$1)</f>
        <v>65</v>
      </c>
      <c r="Z679" s="34">
        <v>1</v>
      </c>
      <c r="AA679" s="25" t="str">
        <f t="shared" ca="1" si="53"/>
        <v>A VENCER</v>
      </c>
      <c r="AB679" s="25" t="str">
        <f t="shared" si="56"/>
        <v>C-14</v>
      </c>
      <c r="AC679" s="2" t="str">
        <f t="shared" si="55"/>
        <v xml:space="preserve"> CRISTINA </v>
      </c>
      <c r="AD679" s="26">
        <f t="shared" si="57"/>
        <v>15</v>
      </c>
      <c r="AE679" s="26">
        <f t="shared" ca="1" si="54"/>
        <v>90.003435995371547</v>
      </c>
      <c r="AF679" s="35"/>
    </row>
    <row r="680" spans="1:32" hidden="1">
      <c r="A680" s="209">
        <v>9131002</v>
      </c>
      <c r="B680" s="209" t="s">
        <v>101</v>
      </c>
      <c r="C680" s="210" t="s">
        <v>643</v>
      </c>
      <c r="D680" s="214">
        <v>220194560</v>
      </c>
      <c r="E680" s="214">
        <v>220001400030</v>
      </c>
      <c r="F680" s="209" t="s">
        <v>647</v>
      </c>
      <c r="G680" s="209" t="s">
        <v>53</v>
      </c>
      <c r="H680" s="209" t="s">
        <v>588</v>
      </c>
      <c r="I680" s="209" t="s">
        <v>589</v>
      </c>
      <c r="J680" s="209" t="s">
        <v>110</v>
      </c>
      <c r="K680" s="210" t="s">
        <v>650</v>
      </c>
      <c r="L680" s="210"/>
      <c r="M680" s="209" t="s">
        <v>58</v>
      </c>
      <c r="N680" s="209">
        <v>0</v>
      </c>
      <c r="O680" s="209" t="s">
        <v>105</v>
      </c>
      <c r="P680" s="213">
        <v>44896.672418981485</v>
      </c>
      <c r="Q680" s="209"/>
      <c r="R680" s="209">
        <v>4</v>
      </c>
      <c r="S680" s="209"/>
      <c r="T680" s="209" t="s">
        <v>646</v>
      </c>
      <c r="U680" s="213">
        <v>44897.672418981485</v>
      </c>
      <c r="V680" s="209" t="s">
        <v>41</v>
      </c>
      <c r="W680" s="209" t="s">
        <v>49</v>
      </c>
      <c r="X680" s="13" t="str">
        <f>IF(RIGHT(H680,2)&lt;&gt;"00",H680,"")</f>
        <v/>
      </c>
      <c r="Y680" s="26">
        <f ca="1">NETWORKDAYS(P680,$Y$1)</f>
        <v>65</v>
      </c>
      <c r="Z680" s="34">
        <v>1</v>
      </c>
      <c r="AA680" s="25" t="str">
        <f t="shared" ca="1" si="53"/>
        <v>A VENCER</v>
      </c>
      <c r="AB680" s="25" t="str">
        <f t="shared" si="56"/>
        <v>C-14</v>
      </c>
      <c r="AC680" s="2" t="str">
        <f t="shared" si="55"/>
        <v xml:space="preserve"> CRISTINA </v>
      </c>
      <c r="AD680" s="26">
        <f t="shared" si="57"/>
        <v>15</v>
      </c>
      <c r="AE680" s="26">
        <f t="shared" ca="1" si="54"/>
        <v>90.003852662033751</v>
      </c>
      <c r="AF680" s="35"/>
    </row>
    <row r="681" spans="1:32" hidden="1">
      <c r="A681" s="209">
        <v>9130951</v>
      </c>
      <c r="B681" s="209" t="s">
        <v>101</v>
      </c>
      <c r="C681" s="210" t="s">
        <v>643</v>
      </c>
      <c r="D681" s="214">
        <v>220194568</v>
      </c>
      <c r="E681" s="214">
        <v>232001400030</v>
      </c>
      <c r="F681" s="209" t="s">
        <v>647</v>
      </c>
      <c r="G681" s="209" t="s">
        <v>53</v>
      </c>
      <c r="H681" s="209" t="s">
        <v>1363</v>
      </c>
      <c r="I681" s="209" t="s">
        <v>1364</v>
      </c>
      <c r="J681" s="209" t="s">
        <v>141</v>
      </c>
      <c r="K681" s="210" t="s">
        <v>650</v>
      </c>
      <c r="L681" s="210"/>
      <c r="M681" s="209" t="s">
        <v>58</v>
      </c>
      <c r="N681" s="209">
        <v>0</v>
      </c>
      <c r="O681" s="209" t="s">
        <v>105</v>
      </c>
      <c r="P681" s="213">
        <v>44896.670624999999</v>
      </c>
      <c r="Q681" s="209"/>
      <c r="R681" s="209">
        <v>4</v>
      </c>
      <c r="S681" s="209"/>
      <c r="T681" s="209" t="s">
        <v>646</v>
      </c>
      <c r="U681" s="213">
        <v>44897.670624999999</v>
      </c>
      <c r="V681" s="209" t="s">
        <v>41</v>
      </c>
      <c r="W681" s="209" t="s">
        <v>49</v>
      </c>
      <c r="X681" s="13" t="str">
        <f>IF(RIGHT(H681,2)&lt;&gt;"00",H681,"")</f>
        <v/>
      </c>
      <c r="Y681" s="26">
        <f ca="1">NETWORKDAYS(P681,$Y$1)</f>
        <v>65</v>
      </c>
      <c r="Z681" s="34">
        <v>1</v>
      </c>
      <c r="AA681" s="25" t="str">
        <f t="shared" ca="1" si="53"/>
        <v>A VENCER</v>
      </c>
      <c r="AB681" s="25" t="str">
        <f t="shared" si="56"/>
        <v>C-14</v>
      </c>
      <c r="AC681" s="2" t="str">
        <f t="shared" si="55"/>
        <v xml:space="preserve"> CRISTINA </v>
      </c>
      <c r="AD681" s="26">
        <f t="shared" si="57"/>
        <v>15</v>
      </c>
      <c r="AE681" s="26">
        <f t="shared" ca="1" si="54"/>
        <v>90.005646643519867</v>
      </c>
      <c r="AF681" s="35"/>
    </row>
    <row r="682" spans="1:32" hidden="1">
      <c r="A682" s="209">
        <v>9130904</v>
      </c>
      <c r="B682" s="209" t="s">
        <v>101</v>
      </c>
      <c r="C682" s="210" t="s">
        <v>643</v>
      </c>
      <c r="D682" s="214">
        <v>220195003</v>
      </c>
      <c r="E682" s="214">
        <v>922001400030</v>
      </c>
      <c r="F682" s="209" t="s">
        <v>647</v>
      </c>
      <c r="G682" s="209" t="s">
        <v>53</v>
      </c>
      <c r="H682" s="209" t="s">
        <v>1375</v>
      </c>
      <c r="I682" s="209" t="s">
        <v>1376</v>
      </c>
      <c r="J682" s="209" t="s">
        <v>261</v>
      </c>
      <c r="K682" s="210" t="s">
        <v>650</v>
      </c>
      <c r="L682" s="210"/>
      <c r="M682" s="209" t="s">
        <v>58</v>
      </c>
      <c r="N682" s="209">
        <v>0</v>
      </c>
      <c r="O682" s="209" t="s">
        <v>105</v>
      </c>
      <c r="P682" s="213">
        <v>44896.668622685182</v>
      </c>
      <c r="Q682" s="209"/>
      <c r="R682" s="209">
        <v>4</v>
      </c>
      <c r="S682" s="209"/>
      <c r="T682" s="209" t="s">
        <v>646</v>
      </c>
      <c r="U682" s="213">
        <v>44897.668622685182</v>
      </c>
      <c r="V682" s="209" t="s">
        <v>41</v>
      </c>
      <c r="W682" s="209" t="s">
        <v>49</v>
      </c>
      <c r="X682" s="13" t="str">
        <f>IF(RIGHT(H682,2)&lt;&gt;"00",H682,"")</f>
        <v/>
      </c>
      <c r="Y682" s="26">
        <f ca="1">NETWORKDAYS(P682,$Y$1)</f>
        <v>65</v>
      </c>
      <c r="Z682" s="34">
        <v>1</v>
      </c>
      <c r="AA682" s="25" t="str">
        <f t="shared" ca="1" si="53"/>
        <v>A VENCER</v>
      </c>
      <c r="AB682" s="25" t="str">
        <f t="shared" si="56"/>
        <v>C-14</v>
      </c>
      <c r="AC682" s="2" t="str">
        <f t="shared" si="55"/>
        <v xml:space="preserve"> CRISTINA </v>
      </c>
      <c r="AD682" s="26">
        <f t="shared" si="57"/>
        <v>15</v>
      </c>
      <c r="AE682" s="26">
        <f t="shared" ca="1" si="54"/>
        <v>90.007648958337086</v>
      </c>
      <c r="AF682" s="35"/>
    </row>
    <row r="683" spans="1:32" hidden="1">
      <c r="A683" s="209">
        <v>9130901</v>
      </c>
      <c r="B683" s="209" t="s">
        <v>101</v>
      </c>
      <c r="C683" s="210" t="s">
        <v>643</v>
      </c>
      <c r="D683" s="214">
        <v>220195001</v>
      </c>
      <c r="E683" s="214">
        <v>917001400030</v>
      </c>
      <c r="F683" s="209" t="s">
        <v>647</v>
      </c>
      <c r="G683" s="209" t="s">
        <v>53</v>
      </c>
      <c r="H683" s="209" t="s">
        <v>83</v>
      </c>
      <c r="I683" s="209" t="s">
        <v>84</v>
      </c>
      <c r="J683" s="209" t="s">
        <v>85</v>
      </c>
      <c r="K683" s="210" t="s">
        <v>650</v>
      </c>
      <c r="L683" s="210"/>
      <c r="M683" s="209" t="s">
        <v>58</v>
      </c>
      <c r="N683" s="209">
        <v>0</v>
      </c>
      <c r="O683" s="209" t="s">
        <v>105</v>
      </c>
      <c r="P683" s="213">
        <v>44896.668437499997</v>
      </c>
      <c r="Q683" s="209"/>
      <c r="R683" s="209">
        <v>4</v>
      </c>
      <c r="S683" s="209"/>
      <c r="T683" s="209" t="s">
        <v>646</v>
      </c>
      <c r="U683" s="213">
        <v>44897.668449074074</v>
      </c>
      <c r="V683" s="209" t="s">
        <v>41</v>
      </c>
      <c r="W683" s="209" t="s">
        <v>49</v>
      </c>
      <c r="X683" s="13" t="str">
        <f>IF(RIGHT(H683,2)&lt;&gt;"00",H683,"")</f>
        <v/>
      </c>
      <c r="Y683" s="26">
        <f ca="1">NETWORKDAYS(P683,$Y$1)</f>
        <v>65</v>
      </c>
      <c r="Z683" s="34">
        <v>1</v>
      </c>
      <c r="AA683" s="25" t="str">
        <f t="shared" ca="1" si="53"/>
        <v>A VENCER</v>
      </c>
      <c r="AB683" s="25" t="str">
        <f t="shared" si="56"/>
        <v>C-14</v>
      </c>
      <c r="AC683" s="2" t="str">
        <f t="shared" si="55"/>
        <v xml:space="preserve"> RINALDO </v>
      </c>
      <c r="AD683" s="26">
        <f t="shared" si="57"/>
        <v>15</v>
      </c>
      <c r="AE683" s="26">
        <f t="shared" ca="1" si="54"/>
        <v>90.007834143521904</v>
      </c>
      <c r="AF683" s="35"/>
    </row>
    <row r="684" spans="1:32" hidden="1">
      <c r="A684" s="209">
        <v>9130897</v>
      </c>
      <c r="B684" s="209" t="s">
        <v>101</v>
      </c>
      <c r="C684" s="210" t="s">
        <v>643</v>
      </c>
      <c r="D684" s="214">
        <v>220195329</v>
      </c>
      <c r="E684" s="214">
        <v>1664001400030</v>
      </c>
      <c r="F684" s="209" t="s">
        <v>647</v>
      </c>
      <c r="G684" s="209" t="s">
        <v>53</v>
      </c>
      <c r="H684" s="209" t="s">
        <v>307</v>
      </c>
      <c r="I684" s="209" t="s">
        <v>308</v>
      </c>
      <c r="J684" s="209" t="s">
        <v>164</v>
      </c>
      <c r="K684" s="210" t="s">
        <v>650</v>
      </c>
      <c r="L684" s="210"/>
      <c r="M684" s="209" t="s">
        <v>58</v>
      </c>
      <c r="N684" s="209">
        <v>0</v>
      </c>
      <c r="O684" s="209" t="s">
        <v>105</v>
      </c>
      <c r="P684" s="213">
        <v>44896.668263888889</v>
      </c>
      <c r="Q684" s="209"/>
      <c r="R684" s="209">
        <v>4</v>
      </c>
      <c r="S684" s="209"/>
      <c r="T684" s="209" t="s">
        <v>646</v>
      </c>
      <c r="U684" s="213">
        <v>44897.668263888889</v>
      </c>
      <c r="V684" s="209" t="s">
        <v>41</v>
      </c>
      <c r="W684" s="209" t="s">
        <v>49</v>
      </c>
      <c r="X684" s="13" t="str">
        <f>IF(RIGHT(H684,2)&lt;&gt;"00",H684,"")</f>
        <v/>
      </c>
      <c r="Y684" s="26">
        <f ca="1">NETWORKDAYS(P684,$Y$1)</f>
        <v>65</v>
      </c>
      <c r="Z684" s="34">
        <v>1</v>
      </c>
      <c r="AA684" s="25" t="str">
        <f t="shared" ca="1" si="53"/>
        <v>A VENCER</v>
      </c>
      <c r="AB684" s="25" t="str">
        <f t="shared" si="56"/>
        <v>C-14</v>
      </c>
      <c r="AC684" s="2" t="str">
        <f t="shared" si="55"/>
        <v xml:space="preserve"> ROSEMERE </v>
      </c>
      <c r="AD684" s="26">
        <f t="shared" si="57"/>
        <v>15</v>
      </c>
      <c r="AE684" s="26">
        <f t="shared" ca="1" si="54"/>
        <v>90.008007754629944</v>
      </c>
      <c r="AF684" s="35"/>
    </row>
    <row r="685" spans="1:32" hidden="1">
      <c r="A685" s="209">
        <v>9130892</v>
      </c>
      <c r="B685" s="209" t="s">
        <v>101</v>
      </c>
      <c r="C685" s="210" t="s">
        <v>643</v>
      </c>
      <c r="D685" s="214">
        <v>220194993</v>
      </c>
      <c r="E685" s="214">
        <v>899001400030</v>
      </c>
      <c r="F685" s="209" t="s">
        <v>647</v>
      </c>
      <c r="G685" s="209" t="s">
        <v>53</v>
      </c>
      <c r="H685" s="209" t="s">
        <v>175</v>
      </c>
      <c r="I685" s="209" t="s">
        <v>176</v>
      </c>
      <c r="J685" s="209" t="s">
        <v>90</v>
      </c>
      <c r="K685" s="210" t="s">
        <v>650</v>
      </c>
      <c r="L685" s="210"/>
      <c r="M685" s="209" t="s">
        <v>58</v>
      </c>
      <c r="N685" s="209">
        <v>0</v>
      </c>
      <c r="O685" s="209" t="s">
        <v>36</v>
      </c>
      <c r="P685" s="213">
        <v>44896.667962962965</v>
      </c>
      <c r="Q685" s="209"/>
      <c r="R685" s="209">
        <v>4</v>
      </c>
      <c r="S685" s="209"/>
      <c r="T685" s="209" t="s">
        <v>646</v>
      </c>
      <c r="U685" s="213">
        <v>44897.667962962965</v>
      </c>
      <c r="V685" s="209" t="s">
        <v>41</v>
      </c>
      <c r="W685" s="209" t="s">
        <v>49</v>
      </c>
      <c r="X685" s="13" t="str">
        <f>IF(RIGHT(H685,2)&lt;&gt;"00",H685,"")</f>
        <v/>
      </c>
      <c r="Y685" s="26">
        <f ca="1">NETWORKDAYS(P685,$Y$1)</f>
        <v>65</v>
      </c>
      <c r="Z685" s="34">
        <v>1</v>
      </c>
      <c r="AA685" s="25" t="str">
        <f t="shared" ca="1" si="53"/>
        <v>A VENCER</v>
      </c>
      <c r="AB685" s="25" t="str">
        <f t="shared" si="56"/>
        <v>C-14</v>
      </c>
      <c r="AC685" s="2" t="str">
        <f t="shared" si="55"/>
        <v xml:space="preserve"> RINALDO </v>
      </c>
      <c r="AD685" s="26">
        <f t="shared" si="57"/>
        <v>15</v>
      </c>
      <c r="AE685" s="26">
        <f t="shared" ca="1" si="54"/>
        <v>90.008308680553455</v>
      </c>
      <c r="AF685" s="35"/>
    </row>
    <row r="686" spans="1:32" hidden="1">
      <c r="A686" s="209">
        <v>9130879</v>
      </c>
      <c r="B686" s="209" t="s">
        <v>101</v>
      </c>
      <c r="C686" s="210" t="s">
        <v>643</v>
      </c>
      <c r="D686" s="214">
        <v>220195319</v>
      </c>
      <c r="E686" s="214">
        <v>1643001400030</v>
      </c>
      <c r="F686" s="209" t="s">
        <v>647</v>
      </c>
      <c r="G686" s="209" t="s">
        <v>53</v>
      </c>
      <c r="H686" s="209" t="s">
        <v>361</v>
      </c>
      <c r="I686" s="209" t="s">
        <v>362</v>
      </c>
      <c r="J686" s="209" t="s">
        <v>261</v>
      </c>
      <c r="K686" s="210" t="s">
        <v>650</v>
      </c>
      <c r="L686" s="210"/>
      <c r="M686" s="209" t="s">
        <v>58</v>
      </c>
      <c r="N686" s="209">
        <v>0</v>
      </c>
      <c r="O686" s="209" t="s">
        <v>105</v>
      </c>
      <c r="P686" s="213">
        <v>44896.667164351849</v>
      </c>
      <c r="Q686" s="209"/>
      <c r="R686" s="209">
        <v>4</v>
      </c>
      <c r="S686" s="209"/>
      <c r="T686" s="209" t="s">
        <v>646</v>
      </c>
      <c r="U686" s="213">
        <v>44897.667175925926</v>
      </c>
      <c r="V686" s="209" t="s">
        <v>41</v>
      </c>
      <c r="W686" s="209" t="s">
        <v>49</v>
      </c>
      <c r="X686" s="13" t="str">
        <f>IF(RIGHT(H686,2)&lt;&gt;"00",H686,"")</f>
        <v/>
      </c>
      <c r="Y686" s="26">
        <f ca="1">NETWORKDAYS(P686,$Y$1)</f>
        <v>65</v>
      </c>
      <c r="Z686" s="34">
        <v>1</v>
      </c>
      <c r="AA686" s="25" t="str">
        <f t="shared" ca="1" si="53"/>
        <v>A VENCER</v>
      </c>
      <c r="AB686" s="25" t="str">
        <f t="shared" si="56"/>
        <v>C-14</v>
      </c>
      <c r="AC686" s="2" t="str">
        <f t="shared" si="55"/>
        <v xml:space="preserve"> CRISTINA </v>
      </c>
      <c r="AD686" s="26">
        <f t="shared" si="57"/>
        <v>15</v>
      </c>
      <c r="AE686" s="26">
        <f t="shared" ca="1" si="54"/>
        <v>90.009107291669352</v>
      </c>
      <c r="AF686" s="35"/>
    </row>
    <row r="687" spans="1:32" hidden="1">
      <c r="A687" s="209">
        <v>9130800</v>
      </c>
      <c r="B687" s="209" t="s">
        <v>101</v>
      </c>
      <c r="C687" s="210" t="s">
        <v>643</v>
      </c>
      <c r="D687" s="214">
        <v>220194313</v>
      </c>
      <c r="E687" s="214">
        <v>5898001400010</v>
      </c>
      <c r="F687" s="209" t="s">
        <v>936</v>
      </c>
      <c r="G687" s="209" t="s">
        <v>53</v>
      </c>
      <c r="H687" s="209" t="s">
        <v>365</v>
      </c>
      <c r="I687" s="209" t="s">
        <v>366</v>
      </c>
      <c r="J687" s="209" t="s">
        <v>164</v>
      </c>
      <c r="K687" s="210" t="s">
        <v>937</v>
      </c>
      <c r="L687" s="210"/>
      <c r="M687" s="209" t="s">
        <v>58</v>
      </c>
      <c r="N687" s="209">
        <v>0</v>
      </c>
      <c r="O687" s="209" t="s">
        <v>105</v>
      </c>
      <c r="P687" s="213">
        <v>44896.663101851853</v>
      </c>
      <c r="Q687" s="209"/>
      <c r="R687" s="209">
        <v>3</v>
      </c>
      <c r="S687" s="209"/>
      <c r="T687" s="209" t="s">
        <v>646</v>
      </c>
      <c r="U687" s="213">
        <v>44897.663113425922</v>
      </c>
      <c r="V687" s="209" t="s">
        <v>41</v>
      </c>
      <c r="W687" s="209" t="s">
        <v>49</v>
      </c>
      <c r="X687" s="13" t="str">
        <f>IF(RIGHT(H687,2)&lt;&gt;"00",H687,"")</f>
        <v/>
      </c>
      <c r="Y687" s="26">
        <f ca="1">NETWORKDAYS(P687,$Y$1)</f>
        <v>65</v>
      </c>
      <c r="Z687" s="34">
        <v>1</v>
      </c>
      <c r="AA687" s="25" t="str">
        <f t="shared" ca="1" si="53"/>
        <v>A VENCER</v>
      </c>
      <c r="AB687" s="25" t="str">
        <f t="shared" si="56"/>
        <v>C-14</v>
      </c>
      <c r="AC687" s="2" t="str">
        <f t="shared" si="55"/>
        <v xml:space="preserve"> ROSEMERE </v>
      </c>
      <c r="AD687" s="26">
        <f t="shared" si="57"/>
        <v>5</v>
      </c>
      <c r="AE687" s="26">
        <f t="shared" ca="1" si="54"/>
        <v>90.01316979166586</v>
      </c>
      <c r="AF687" s="35"/>
    </row>
    <row r="688" spans="1:32" hidden="1">
      <c r="A688" s="209">
        <v>9130797</v>
      </c>
      <c r="B688" s="209" t="s">
        <v>101</v>
      </c>
      <c r="C688" s="210" t="s">
        <v>643</v>
      </c>
      <c r="D688" s="214">
        <v>220193787</v>
      </c>
      <c r="E688" s="214">
        <v>3108001400010</v>
      </c>
      <c r="F688" s="209" t="s">
        <v>936</v>
      </c>
      <c r="G688" s="209" t="s">
        <v>53</v>
      </c>
      <c r="H688" s="209" t="s">
        <v>325</v>
      </c>
      <c r="I688" s="209" t="s">
        <v>326</v>
      </c>
      <c r="J688" s="209" t="s">
        <v>46</v>
      </c>
      <c r="K688" s="210" t="s">
        <v>937</v>
      </c>
      <c r="L688" s="210"/>
      <c r="M688" s="209" t="s">
        <v>58</v>
      </c>
      <c r="N688" s="209">
        <v>0</v>
      </c>
      <c r="O688" s="209" t="s">
        <v>105</v>
      </c>
      <c r="P688" s="213">
        <v>44896.662974537037</v>
      </c>
      <c r="Q688" s="209"/>
      <c r="R688" s="209">
        <v>3</v>
      </c>
      <c r="S688" s="209"/>
      <c r="T688" s="209" t="s">
        <v>646</v>
      </c>
      <c r="U688" s="213">
        <v>44897.662974537037</v>
      </c>
      <c r="V688" s="209" t="s">
        <v>41</v>
      </c>
      <c r="W688" s="209" t="s">
        <v>49</v>
      </c>
      <c r="X688" s="13" t="str">
        <f>IF(RIGHT(H688,2)&lt;&gt;"00",H688,"")</f>
        <v/>
      </c>
      <c r="Y688" s="26">
        <f ca="1">NETWORKDAYS(P688,$Y$1)</f>
        <v>65</v>
      </c>
      <c r="Z688" s="34">
        <v>1</v>
      </c>
      <c r="AA688" s="25" t="str">
        <f t="shared" ca="1" si="53"/>
        <v>A VENCER</v>
      </c>
      <c r="AB688" s="25" t="str">
        <f t="shared" si="56"/>
        <v>C-14</v>
      </c>
      <c r="AC688" s="2" t="str">
        <f t="shared" si="55"/>
        <v xml:space="preserve"> CLEITON </v>
      </c>
      <c r="AD688" s="26">
        <f t="shared" si="57"/>
        <v>5</v>
      </c>
      <c r="AE688" s="26">
        <f t="shared" ca="1" si="54"/>
        <v>90.013297106481332</v>
      </c>
      <c r="AF688" s="35"/>
    </row>
    <row r="689" spans="1:32" hidden="1">
      <c r="A689" s="209">
        <v>9130702</v>
      </c>
      <c r="B689" s="209" t="s">
        <v>101</v>
      </c>
      <c r="C689" s="210" t="s">
        <v>643</v>
      </c>
      <c r="D689" s="214">
        <v>220197503</v>
      </c>
      <c r="E689" s="214">
        <v>2081001400040</v>
      </c>
      <c r="F689" s="209" t="s">
        <v>644</v>
      </c>
      <c r="G689" s="209" t="s">
        <v>53</v>
      </c>
      <c r="H689" s="209" t="s">
        <v>590</v>
      </c>
      <c r="I689" s="209" t="s">
        <v>591</v>
      </c>
      <c r="J689" s="209" t="s">
        <v>261</v>
      </c>
      <c r="K689" s="210" t="s">
        <v>645</v>
      </c>
      <c r="L689" s="210"/>
      <c r="M689" s="209" t="s">
        <v>58</v>
      </c>
      <c r="N689" s="209">
        <v>0</v>
      </c>
      <c r="O689" s="209" t="s">
        <v>105</v>
      </c>
      <c r="P689" s="213">
        <v>44896.658819444441</v>
      </c>
      <c r="Q689" s="209"/>
      <c r="R689" s="209">
        <v>2</v>
      </c>
      <c r="S689" s="209"/>
      <c r="T689" s="209" t="s">
        <v>646</v>
      </c>
      <c r="U689" s="213">
        <v>44897.658819444441</v>
      </c>
      <c r="V689" s="209" t="s">
        <v>41</v>
      </c>
      <c r="W689" s="209" t="s">
        <v>49</v>
      </c>
      <c r="X689" s="13" t="str">
        <f>IF(RIGHT(H689,2)&lt;&gt;"00",H689,"")</f>
        <v/>
      </c>
      <c r="Y689" s="26">
        <f ca="1">NETWORKDAYS(P689,$Y$1)</f>
        <v>65</v>
      </c>
      <c r="Z689" s="34">
        <v>1</v>
      </c>
      <c r="AA689" s="25" t="str">
        <f t="shared" ca="1" si="53"/>
        <v>A VENCER</v>
      </c>
      <c r="AB689" s="25" t="str">
        <f t="shared" si="56"/>
        <v>SL-On</v>
      </c>
      <c r="AC689" s="2" t="str">
        <f t="shared" si="55"/>
        <v xml:space="preserve"> CRISTINA </v>
      </c>
      <c r="AD689" s="26">
        <f t="shared" si="57"/>
        <v>1</v>
      </c>
      <c r="AE689" s="26">
        <f t="shared" ca="1" si="54"/>
        <v>90.017452199077525</v>
      </c>
      <c r="AF689" s="35"/>
    </row>
    <row r="690" spans="1:32" hidden="1">
      <c r="A690" s="209">
        <v>9130686</v>
      </c>
      <c r="B690" s="209" t="s">
        <v>101</v>
      </c>
      <c r="C690" s="210" t="s">
        <v>643</v>
      </c>
      <c r="D690" s="214">
        <v>220197392</v>
      </c>
      <c r="E690" s="214">
        <v>1643001400040</v>
      </c>
      <c r="F690" s="209" t="s">
        <v>644</v>
      </c>
      <c r="G690" s="209" t="s">
        <v>53</v>
      </c>
      <c r="H690" s="209" t="s">
        <v>361</v>
      </c>
      <c r="I690" s="209" t="s">
        <v>362</v>
      </c>
      <c r="J690" s="209" t="s">
        <v>261</v>
      </c>
      <c r="K690" s="210" t="s">
        <v>645</v>
      </c>
      <c r="L690" s="210"/>
      <c r="M690" s="209" t="s">
        <v>58</v>
      </c>
      <c r="N690" s="209">
        <v>0</v>
      </c>
      <c r="O690" s="209" t="s">
        <v>105</v>
      </c>
      <c r="P690" s="213">
        <v>44896.657835648148</v>
      </c>
      <c r="Q690" s="209"/>
      <c r="R690" s="209">
        <v>2</v>
      </c>
      <c r="S690" s="209"/>
      <c r="T690" s="209" t="s">
        <v>646</v>
      </c>
      <c r="U690" s="213">
        <v>44897.657835648148</v>
      </c>
      <c r="V690" s="209" t="s">
        <v>41</v>
      </c>
      <c r="W690" s="209" t="s">
        <v>49</v>
      </c>
      <c r="X690" s="13" t="str">
        <f>IF(RIGHT(H690,2)&lt;&gt;"00",H690,"")</f>
        <v/>
      </c>
      <c r="Y690" s="26">
        <f ca="1">NETWORKDAYS(P690,$Y$1)</f>
        <v>65</v>
      </c>
      <c r="Z690" s="34">
        <v>1</v>
      </c>
      <c r="AA690" s="25" t="str">
        <f t="shared" ca="1" si="53"/>
        <v>A VENCER</v>
      </c>
      <c r="AB690" s="25" t="str">
        <f t="shared" si="56"/>
        <v>SL-On</v>
      </c>
      <c r="AC690" s="2" t="str">
        <f t="shared" si="55"/>
        <v xml:space="preserve"> CRISTINA </v>
      </c>
      <c r="AD690" s="26">
        <f t="shared" si="57"/>
        <v>1</v>
      </c>
      <c r="AE690" s="26">
        <f t="shared" ca="1" si="54"/>
        <v>90.018435995370965</v>
      </c>
      <c r="AF690" s="35"/>
    </row>
    <row r="691" spans="1:32" hidden="1">
      <c r="A691" s="209">
        <v>9130671</v>
      </c>
      <c r="B691" s="209" t="s">
        <v>101</v>
      </c>
      <c r="C691" s="210" t="s">
        <v>643</v>
      </c>
      <c r="D691" s="214">
        <v>220197182</v>
      </c>
      <c r="E691" s="214">
        <v>1120001400040</v>
      </c>
      <c r="F691" s="209" t="s">
        <v>644</v>
      </c>
      <c r="G691" s="209" t="s">
        <v>53</v>
      </c>
      <c r="H691" s="209" t="s">
        <v>181</v>
      </c>
      <c r="I691" s="209" t="s">
        <v>182</v>
      </c>
      <c r="J691" s="209" t="s">
        <v>164</v>
      </c>
      <c r="K691" s="210" t="s">
        <v>645</v>
      </c>
      <c r="L691" s="210"/>
      <c r="M691" s="209" t="s">
        <v>58</v>
      </c>
      <c r="N691" s="209">
        <v>0</v>
      </c>
      <c r="O691" s="209" t="s">
        <v>105</v>
      </c>
      <c r="P691" s="213">
        <v>44896.657141203701</v>
      </c>
      <c r="Q691" s="209"/>
      <c r="R691" s="209">
        <v>2</v>
      </c>
      <c r="S691" s="209"/>
      <c r="T691" s="209" t="s">
        <v>646</v>
      </c>
      <c r="U691" s="213">
        <v>44897.657152777778</v>
      </c>
      <c r="V691" s="209" t="s">
        <v>41</v>
      </c>
      <c r="W691" s="209" t="s">
        <v>49</v>
      </c>
      <c r="X691" s="13" t="str">
        <f>IF(RIGHT(H691,2)&lt;&gt;"00",H691,"")</f>
        <v/>
      </c>
      <c r="Y691" s="26">
        <f ca="1">NETWORKDAYS(P691,$Y$1)</f>
        <v>65</v>
      </c>
      <c r="Z691" s="34">
        <v>1</v>
      </c>
      <c r="AA691" s="25" t="str">
        <f t="shared" ca="1" si="53"/>
        <v>A VENCER</v>
      </c>
      <c r="AB691" s="25" t="str">
        <f t="shared" si="56"/>
        <v>SL-On</v>
      </c>
      <c r="AC691" s="2" t="str">
        <f t="shared" si="55"/>
        <v xml:space="preserve"> ROSEMERE </v>
      </c>
      <c r="AD691" s="26">
        <f t="shared" si="57"/>
        <v>1</v>
      </c>
      <c r="AE691" s="26">
        <f t="shared" ca="1" si="54"/>
        <v>90.019130439817673</v>
      </c>
      <c r="AF691" s="35"/>
    </row>
    <row r="692" spans="1:32" hidden="1">
      <c r="A692" s="209">
        <v>9130635</v>
      </c>
      <c r="B692" s="209" t="s">
        <v>101</v>
      </c>
      <c r="C692" s="210" t="s">
        <v>643</v>
      </c>
      <c r="D692" s="214">
        <v>220197154</v>
      </c>
      <c r="E692" s="214">
        <v>1069001400040</v>
      </c>
      <c r="F692" s="209" t="s">
        <v>644</v>
      </c>
      <c r="G692" s="209" t="s">
        <v>53</v>
      </c>
      <c r="H692" s="209" t="s">
        <v>353</v>
      </c>
      <c r="I692" s="209" t="s">
        <v>354</v>
      </c>
      <c r="J692" s="209" t="s">
        <v>211</v>
      </c>
      <c r="K692" s="210" t="s">
        <v>645</v>
      </c>
      <c r="L692" s="210"/>
      <c r="M692" s="209" t="s">
        <v>58</v>
      </c>
      <c r="N692" s="209">
        <v>0</v>
      </c>
      <c r="O692" s="209" t="s">
        <v>105</v>
      </c>
      <c r="P692" s="213">
        <v>44896.655428240738</v>
      </c>
      <c r="Q692" s="209"/>
      <c r="R692" s="209">
        <v>3</v>
      </c>
      <c r="S692" s="209"/>
      <c r="T692" s="209" t="s">
        <v>646</v>
      </c>
      <c r="U692" s="213">
        <v>44897.655428240738</v>
      </c>
      <c r="V692" s="209" t="s">
        <v>41</v>
      </c>
      <c r="W692" s="209" t="s">
        <v>49</v>
      </c>
      <c r="X692" s="13" t="str">
        <f>IF(RIGHT(H692,2)&lt;&gt;"00",H692,"")</f>
        <v/>
      </c>
      <c r="Y692" s="26">
        <f ca="1">NETWORKDAYS(P692,$Y$1)</f>
        <v>65</v>
      </c>
      <c r="Z692" s="34">
        <v>1</v>
      </c>
      <c r="AA692" s="25" t="str">
        <f t="shared" ca="1" si="53"/>
        <v>A VENCER</v>
      </c>
      <c r="AB692" s="25" t="str">
        <f t="shared" si="56"/>
        <v>SL-On</v>
      </c>
      <c r="AC692" s="2" t="str">
        <f t="shared" si="55"/>
        <v xml:space="preserve"> RINALDO </v>
      </c>
      <c r="AD692" s="26">
        <f t="shared" si="57"/>
        <v>1</v>
      </c>
      <c r="AE692" s="26">
        <f t="shared" ca="1" si="54"/>
        <v>90.020843402780883</v>
      </c>
      <c r="AF692" s="35"/>
    </row>
    <row r="693" spans="1:32" hidden="1">
      <c r="A693" s="209">
        <v>9130628</v>
      </c>
      <c r="B693" s="209" t="s">
        <v>101</v>
      </c>
      <c r="C693" s="210" t="s">
        <v>643</v>
      </c>
      <c r="D693" s="214">
        <v>220197147</v>
      </c>
      <c r="E693" s="214">
        <v>1049001400040</v>
      </c>
      <c r="F693" s="209" t="s">
        <v>644</v>
      </c>
      <c r="G693" s="209" t="s">
        <v>53</v>
      </c>
      <c r="H693" s="209" t="s">
        <v>169</v>
      </c>
      <c r="I693" s="209" t="s">
        <v>170</v>
      </c>
      <c r="J693" s="209" t="s">
        <v>164</v>
      </c>
      <c r="K693" s="210" t="s">
        <v>645</v>
      </c>
      <c r="L693" s="210"/>
      <c r="M693" s="209" t="s">
        <v>58</v>
      </c>
      <c r="N693" s="209">
        <v>0</v>
      </c>
      <c r="O693" s="209" t="s">
        <v>105</v>
      </c>
      <c r="P693" s="213">
        <v>44896.655034722222</v>
      </c>
      <c r="Q693" s="209"/>
      <c r="R693" s="209">
        <v>2</v>
      </c>
      <c r="S693" s="209"/>
      <c r="T693" s="209" t="s">
        <v>646</v>
      </c>
      <c r="U693" s="213">
        <v>44897.655046296299</v>
      </c>
      <c r="V693" s="209" t="s">
        <v>41</v>
      </c>
      <c r="W693" s="209" t="s">
        <v>49</v>
      </c>
      <c r="X693" s="13" t="str">
        <f>IF(RIGHT(H693,2)&lt;&gt;"00",H693,"")</f>
        <v/>
      </c>
      <c r="Y693" s="26">
        <f ca="1">NETWORKDAYS(P693,$Y$1)</f>
        <v>65</v>
      </c>
      <c r="Z693" s="34">
        <v>1</v>
      </c>
      <c r="AA693" s="25" t="str">
        <f t="shared" ca="1" si="53"/>
        <v>A VENCER</v>
      </c>
      <c r="AB693" s="25" t="str">
        <f t="shared" si="56"/>
        <v>SL-On</v>
      </c>
      <c r="AC693" s="2" t="str">
        <f t="shared" si="55"/>
        <v xml:space="preserve"> ROSEMERE </v>
      </c>
      <c r="AD693" s="26">
        <f t="shared" si="57"/>
        <v>1</v>
      </c>
      <c r="AE693" s="26">
        <f t="shared" ca="1" si="54"/>
        <v>90.021236921296804</v>
      </c>
      <c r="AF693" s="35"/>
    </row>
    <row r="694" spans="1:32" hidden="1">
      <c r="A694" s="209">
        <v>9130446</v>
      </c>
      <c r="B694" s="209" t="s">
        <v>101</v>
      </c>
      <c r="C694" s="210" t="s">
        <v>643</v>
      </c>
      <c r="D694" s="214">
        <v>220197516</v>
      </c>
      <c r="E694" s="214">
        <v>2125001400040</v>
      </c>
      <c r="F694" s="209" t="s">
        <v>644</v>
      </c>
      <c r="G694" s="209" t="s">
        <v>53</v>
      </c>
      <c r="H694" s="209" t="s">
        <v>1399</v>
      </c>
      <c r="I694" s="209" t="s">
        <v>1400</v>
      </c>
      <c r="J694" s="209" t="s">
        <v>211</v>
      </c>
      <c r="K694" s="210" t="s">
        <v>645</v>
      </c>
      <c r="L694" s="210"/>
      <c r="M694" s="209" t="s">
        <v>58</v>
      </c>
      <c r="N694" s="209">
        <v>0</v>
      </c>
      <c r="O694" s="209" t="s">
        <v>105</v>
      </c>
      <c r="P694" s="213">
        <v>44896.646354166667</v>
      </c>
      <c r="Q694" s="209"/>
      <c r="R694" s="209">
        <v>3</v>
      </c>
      <c r="S694" s="209"/>
      <c r="T694" s="209" t="s">
        <v>646</v>
      </c>
      <c r="U694" s="213">
        <v>44897.646354166667</v>
      </c>
      <c r="V694" s="209" t="s">
        <v>41</v>
      </c>
      <c r="W694" s="209" t="s">
        <v>49</v>
      </c>
      <c r="X694" s="13" t="str">
        <f>IF(RIGHT(H694,2)&lt;&gt;"00",H694,"")</f>
        <v/>
      </c>
      <c r="Y694" s="26">
        <f ca="1">NETWORKDAYS(P694,$Y$1)</f>
        <v>65</v>
      </c>
      <c r="Z694" s="34">
        <v>1</v>
      </c>
      <c r="AA694" s="25" t="str">
        <f t="shared" ca="1" si="53"/>
        <v>A VENCER</v>
      </c>
      <c r="AB694" s="25" t="str">
        <f t="shared" si="56"/>
        <v>SL-On</v>
      </c>
      <c r="AC694" s="2" t="str">
        <f t="shared" si="55"/>
        <v xml:space="preserve"> RINALDO </v>
      </c>
      <c r="AD694" s="26">
        <f t="shared" si="57"/>
        <v>1</v>
      </c>
      <c r="AE694" s="26">
        <f t="shared" ca="1" si="54"/>
        <v>90.029917476851551</v>
      </c>
      <c r="AF694" s="35"/>
    </row>
    <row r="695" spans="1:32" hidden="1">
      <c r="A695" s="209">
        <v>9130242</v>
      </c>
      <c r="B695" s="209" t="s">
        <v>101</v>
      </c>
      <c r="C695" s="210" t="s">
        <v>643</v>
      </c>
      <c r="D695" s="214">
        <v>220195741</v>
      </c>
      <c r="E695" s="214">
        <v>3243001400030</v>
      </c>
      <c r="F695" s="209" t="s">
        <v>647</v>
      </c>
      <c r="G695" s="209" t="s">
        <v>53</v>
      </c>
      <c r="H695" s="209" t="s">
        <v>282</v>
      </c>
      <c r="I695" s="209" t="s">
        <v>283</v>
      </c>
      <c r="J695" s="209" t="s">
        <v>46</v>
      </c>
      <c r="K695" s="210" t="s">
        <v>650</v>
      </c>
      <c r="L695" s="210"/>
      <c r="M695" s="209" t="s">
        <v>58</v>
      </c>
      <c r="N695" s="209">
        <v>0</v>
      </c>
      <c r="O695" s="209" t="s">
        <v>105</v>
      </c>
      <c r="P695" s="213">
        <v>44896.636863425927</v>
      </c>
      <c r="Q695" s="209"/>
      <c r="R695" s="209">
        <v>4</v>
      </c>
      <c r="S695" s="209"/>
      <c r="T695" s="209" t="s">
        <v>646</v>
      </c>
      <c r="U695" s="213">
        <v>44897.636863425927</v>
      </c>
      <c r="V695" s="209" t="s">
        <v>41</v>
      </c>
      <c r="W695" s="209" t="s">
        <v>49</v>
      </c>
      <c r="X695" s="13" t="str">
        <f>IF(RIGHT(H695,2)&lt;&gt;"00",H695,"")</f>
        <v/>
      </c>
      <c r="Y695" s="26">
        <f ca="1">NETWORKDAYS(P695,$Y$1)</f>
        <v>65</v>
      </c>
      <c r="Z695" s="34">
        <v>1</v>
      </c>
      <c r="AA695" s="25" t="str">
        <f t="shared" ca="1" si="53"/>
        <v>A VENCER</v>
      </c>
      <c r="AB695" s="25" t="str">
        <f t="shared" si="56"/>
        <v>C-14</v>
      </c>
      <c r="AC695" s="2" t="str">
        <f t="shared" si="55"/>
        <v xml:space="preserve"> CLEITON </v>
      </c>
      <c r="AD695" s="26">
        <f t="shared" si="57"/>
        <v>15</v>
      </c>
      <c r="AE695" s="26">
        <f t="shared" ca="1" si="54"/>
        <v>90.039408217591699</v>
      </c>
      <c r="AF695" s="35"/>
    </row>
    <row r="696" spans="1:32" hidden="1">
      <c r="A696" s="209">
        <v>9130123</v>
      </c>
      <c r="B696" s="209" t="s">
        <v>101</v>
      </c>
      <c r="C696" s="210" t="s">
        <v>643</v>
      </c>
      <c r="D696" s="214">
        <v>220194957</v>
      </c>
      <c r="E696" s="214">
        <v>834001400030</v>
      </c>
      <c r="F696" s="209" t="s">
        <v>647</v>
      </c>
      <c r="G696" s="209" t="s">
        <v>53</v>
      </c>
      <c r="H696" s="209" t="s">
        <v>367</v>
      </c>
      <c r="I696" s="209" t="s">
        <v>368</v>
      </c>
      <c r="J696" s="209" t="s">
        <v>261</v>
      </c>
      <c r="K696" s="210" t="s">
        <v>650</v>
      </c>
      <c r="L696" s="210"/>
      <c r="M696" s="209" t="s">
        <v>58</v>
      </c>
      <c r="N696" s="209">
        <v>0</v>
      </c>
      <c r="O696" s="209" t="s">
        <v>105</v>
      </c>
      <c r="P696" s="213">
        <v>44896.630219907405</v>
      </c>
      <c r="Q696" s="209"/>
      <c r="R696" s="209">
        <v>4</v>
      </c>
      <c r="S696" s="209"/>
      <c r="T696" s="209" t="s">
        <v>646</v>
      </c>
      <c r="U696" s="213">
        <v>44897.630219907405</v>
      </c>
      <c r="V696" s="209" t="s">
        <v>41</v>
      </c>
      <c r="W696" s="209" t="s">
        <v>49</v>
      </c>
      <c r="X696" s="13" t="str">
        <f>IF(RIGHT(H696,2)&lt;&gt;"00",H696,"")</f>
        <v/>
      </c>
      <c r="Y696" s="26">
        <f ca="1">NETWORKDAYS(P696,$Y$1)</f>
        <v>65</v>
      </c>
      <c r="Z696" s="34">
        <v>1</v>
      </c>
      <c r="AA696" s="25" t="str">
        <f t="shared" ca="1" si="53"/>
        <v>A VENCER</v>
      </c>
      <c r="AB696" s="25" t="str">
        <f t="shared" si="56"/>
        <v>C-14</v>
      </c>
      <c r="AC696" s="2" t="str">
        <f t="shared" si="55"/>
        <v xml:space="preserve"> CRISTINA </v>
      </c>
      <c r="AD696" s="26">
        <f t="shared" si="57"/>
        <v>15</v>
      </c>
      <c r="AE696" s="26">
        <f t="shared" ca="1" si="54"/>
        <v>90.046051736113441</v>
      </c>
      <c r="AF696" s="35"/>
    </row>
    <row r="697" spans="1:32" hidden="1">
      <c r="A697" s="209">
        <v>9130118</v>
      </c>
      <c r="B697" s="209" t="s">
        <v>101</v>
      </c>
      <c r="C697" s="210" t="s">
        <v>643</v>
      </c>
      <c r="D697" s="214">
        <v>220194952</v>
      </c>
      <c r="E697" s="214">
        <v>821001400030</v>
      </c>
      <c r="F697" s="209" t="s">
        <v>647</v>
      </c>
      <c r="G697" s="209" t="s">
        <v>53</v>
      </c>
      <c r="H697" s="209" t="s">
        <v>1351</v>
      </c>
      <c r="I697" s="209" t="s">
        <v>1352</v>
      </c>
      <c r="J697" s="209" t="s">
        <v>46</v>
      </c>
      <c r="K697" s="210" t="s">
        <v>650</v>
      </c>
      <c r="L697" s="210"/>
      <c r="M697" s="209" t="s">
        <v>58</v>
      </c>
      <c r="N697" s="209">
        <v>0</v>
      </c>
      <c r="O697" s="209" t="s">
        <v>105</v>
      </c>
      <c r="P697" s="213">
        <v>44896.629907407405</v>
      </c>
      <c r="Q697" s="209"/>
      <c r="R697" s="209">
        <v>4</v>
      </c>
      <c r="S697" s="209"/>
      <c r="T697" s="209" t="s">
        <v>646</v>
      </c>
      <c r="U697" s="213">
        <v>44897.629907407405</v>
      </c>
      <c r="V697" s="209" t="s">
        <v>41</v>
      </c>
      <c r="W697" s="209" t="s">
        <v>49</v>
      </c>
      <c r="X697" s="13" t="str">
        <f>IF(RIGHT(H697,2)&lt;&gt;"00",H697,"")</f>
        <v/>
      </c>
      <c r="Y697" s="26">
        <f ca="1">NETWORKDAYS(P697,$Y$1)</f>
        <v>65</v>
      </c>
      <c r="Z697" s="34">
        <v>1</v>
      </c>
      <c r="AA697" s="25" t="str">
        <f t="shared" ca="1" si="53"/>
        <v>A VENCER</v>
      </c>
      <c r="AB697" s="25" t="str">
        <f t="shared" si="56"/>
        <v>C-14</v>
      </c>
      <c r="AC697" s="2" t="str">
        <f t="shared" si="55"/>
        <v xml:space="preserve"> CLEITON </v>
      </c>
      <c r="AD697" s="26">
        <f t="shared" si="57"/>
        <v>15</v>
      </c>
      <c r="AE697" s="26">
        <f t="shared" ca="1" si="54"/>
        <v>90.046364236113732</v>
      </c>
      <c r="AF697" s="35"/>
    </row>
    <row r="698" spans="1:32" hidden="1">
      <c r="A698" s="209">
        <v>9130071</v>
      </c>
      <c r="B698" s="209" t="s">
        <v>101</v>
      </c>
      <c r="C698" s="210" t="s">
        <v>643</v>
      </c>
      <c r="D698" s="214">
        <v>220194820</v>
      </c>
      <c r="E698" s="214">
        <v>608001400030</v>
      </c>
      <c r="F698" s="209" t="s">
        <v>647</v>
      </c>
      <c r="G698" s="209" t="s">
        <v>53</v>
      </c>
      <c r="H698" s="209" t="s">
        <v>438</v>
      </c>
      <c r="I698" s="209" t="s">
        <v>439</v>
      </c>
      <c r="J698" s="209" t="s">
        <v>148</v>
      </c>
      <c r="K698" s="210" t="s">
        <v>650</v>
      </c>
      <c r="L698" s="210"/>
      <c r="M698" s="209" t="s">
        <v>58</v>
      </c>
      <c r="N698" s="209">
        <v>0</v>
      </c>
      <c r="O698" s="209" t="s">
        <v>105</v>
      </c>
      <c r="P698" s="213">
        <v>44896.627546296295</v>
      </c>
      <c r="Q698" s="209"/>
      <c r="R698" s="209">
        <v>4</v>
      </c>
      <c r="S698" s="209"/>
      <c r="T698" s="209" t="s">
        <v>646</v>
      </c>
      <c r="U698" s="213">
        <v>44897.627557870372</v>
      </c>
      <c r="V698" s="209" t="s">
        <v>41</v>
      </c>
      <c r="W698" s="209" t="s">
        <v>49</v>
      </c>
      <c r="X698" s="13" t="str">
        <f>IF(RIGHT(H698,2)&lt;&gt;"00",H698,"")</f>
        <v/>
      </c>
      <c r="Y698" s="26">
        <f ca="1">NETWORKDAYS(P698,$Y$1)</f>
        <v>65</v>
      </c>
      <c r="Z698" s="34">
        <v>1</v>
      </c>
      <c r="AA698" s="25" t="str">
        <f t="shared" ca="1" si="53"/>
        <v>A VENCER</v>
      </c>
      <c r="AB698" s="25" t="str">
        <f t="shared" si="56"/>
        <v>C-14</v>
      </c>
      <c r="AC698" s="2" t="str">
        <f t="shared" si="55"/>
        <v xml:space="preserve"> RINALDO </v>
      </c>
      <c r="AD698" s="26">
        <f t="shared" si="57"/>
        <v>15</v>
      </c>
      <c r="AE698" s="26">
        <f t="shared" ca="1" si="54"/>
        <v>90.048725347223808</v>
      </c>
      <c r="AF698" s="35"/>
    </row>
    <row r="699" spans="1:32" hidden="1">
      <c r="A699" s="209">
        <v>9129981</v>
      </c>
      <c r="B699" s="209" t="s">
        <v>101</v>
      </c>
      <c r="C699" s="210" t="s">
        <v>643</v>
      </c>
      <c r="D699" s="214">
        <v>220194118</v>
      </c>
      <c r="E699" s="214">
        <v>4637001400010</v>
      </c>
      <c r="F699" s="209" t="s">
        <v>936</v>
      </c>
      <c r="G699" s="209" t="s">
        <v>53</v>
      </c>
      <c r="H699" s="209" t="s">
        <v>848</v>
      </c>
      <c r="I699" s="209" t="s">
        <v>849</v>
      </c>
      <c r="J699" s="209" t="s">
        <v>79</v>
      </c>
      <c r="K699" s="210" t="s">
        <v>937</v>
      </c>
      <c r="L699" s="210"/>
      <c r="M699" s="209" t="s">
        <v>58</v>
      </c>
      <c r="N699" s="209">
        <v>0</v>
      </c>
      <c r="O699" s="209" t="s">
        <v>105</v>
      </c>
      <c r="P699" s="213">
        <v>44896.623657407406</v>
      </c>
      <c r="Q699" s="209"/>
      <c r="R699" s="209">
        <v>3</v>
      </c>
      <c r="S699" s="209"/>
      <c r="T699" s="209" t="s">
        <v>646</v>
      </c>
      <c r="U699" s="213">
        <v>44897.623657407406</v>
      </c>
      <c r="V699" s="209" t="s">
        <v>41</v>
      </c>
      <c r="W699" s="209" t="s">
        <v>49</v>
      </c>
      <c r="X699" s="13" t="str">
        <f>IF(RIGHT(H699,2)&lt;&gt;"00",H699,"")</f>
        <v/>
      </c>
      <c r="Y699" s="26">
        <f ca="1">NETWORKDAYS(P699,$Y$1)</f>
        <v>65</v>
      </c>
      <c r="Z699" s="34">
        <v>1</v>
      </c>
      <c r="AA699" s="25" t="str">
        <f t="shared" ca="1" si="53"/>
        <v>A VENCER</v>
      </c>
      <c r="AB699" s="25" t="str">
        <f t="shared" si="56"/>
        <v>C-14</v>
      </c>
      <c r="AC699" s="2" t="str">
        <f t="shared" si="55"/>
        <v xml:space="preserve"> ROSEMERE </v>
      </c>
      <c r="AD699" s="26">
        <f t="shared" si="57"/>
        <v>5</v>
      </c>
      <c r="AE699" s="26">
        <f t="shared" ca="1" si="54"/>
        <v>90.052614236112277</v>
      </c>
      <c r="AF699" s="35"/>
    </row>
    <row r="700" spans="1:32" hidden="1">
      <c r="A700" s="209">
        <v>9129978</v>
      </c>
      <c r="B700" s="209" t="s">
        <v>101</v>
      </c>
      <c r="C700" s="210" t="s">
        <v>643</v>
      </c>
      <c r="D700" s="214">
        <v>220194116</v>
      </c>
      <c r="E700" s="214">
        <v>4623001400010</v>
      </c>
      <c r="F700" s="209" t="s">
        <v>936</v>
      </c>
      <c r="G700" s="209" t="s">
        <v>53</v>
      </c>
      <c r="H700" s="209" t="s">
        <v>669</v>
      </c>
      <c r="I700" s="209" t="s">
        <v>670</v>
      </c>
      <c r="J700" s="209" t="s">
        <v>33</v>
      </c>
      <c r="K700" s="210" t="s">
        <v>937</v>
      </c>
      <c r="L700" s="210"/>
      <c r="M700" s="209" t="s">
        <v>58</v>
      </c>
      <c r="N700" s="209">
        <v>0</v>
      </c>
      <c r="O700" s="209" t="s">
        <v>105</v>
      </c>
      <c r="P700" s="213">
        <v>44896.623541666668</v>
      </c>
      <c r="Q700" s="209"/>
      <c r="R700" s="209">
        <v>3</v>
      </c>
      <c r="S700" s="209"/>
      <c r="T700" s="209" t="s">
        <v>646</v>
      </c>
      <c r="U700" s="213">
        <v>44897.623541666668</v>
      </c>
      <c r="V700" s="209" t="s">
        <v>41</v>
      </c>
      <c r="W700" s="209" t="s">
        <v>42</v>
      </c>
      <c r="X700" s="13" t="str">
        <f>IF(RIGHT(H700,2)&lt;&gt;"00",H700,"")</f>
        <v/>
      </c>
      <c r="Y700" s="26">
        <f ca="1">NETWORKDAYS(P700,$Y$1)</f>
        <v>65</v>
      </c>
      <c r="Z700" s="34">
        <v>1</v>
      </c>
      <c r="AA700" s="25" t="str">
        <f t="shared" ca="1" si="53"/>
        <v>A VENCER</v>
      </c>
      <c r="AB700" s="25" t="str">
        <f t="shared" si="56"/>
        <v>C-14</v>
      </c>
      <c r="AC700" s="2" t="str">
        <f t="shared" si="55"/>
        <v xml:space="preserve"> ROSEMERE </v>
      </c>
      <c r="AD700" s="26">
        <f t="shared" si="57"/>
        <v>5</v>
      </c>
      <c r="AE700" s="26">
        <f t="shared" ca="1" si="54"/>
        <v>90.052729976850969</v>
      </c>
      <c r="AF700" s="35"/>
    </row>
    <row r="701" spans="1:32" hidden="1">
      <c r="A701" s="209">
        <v>9129941</v>
      </c>
      <c r="B701" s="209" t="s">
        <v>101</v>
      </c>
      <c r="C701" s="210" t="s">
        <v>643</v>
      </c>
      <c r="D701" s="214">
        <v>220194187</v>
      </c>
      <c r="E701" s="214">
        <v>4997001400010</v>
      </c>
      <c r="F701" s="209" t="s">
        <v>936</v>
      </c>
      <c r="G701" s="209" t="s">
        <v>53</v>
      </c>
      <c r="H701" s="209" t="s">
        <v>406</v>
      </c>
      <c r="I701" s="209" t="s">
        <v>407</v>
      </c>
      <c r="J701" s="209" t="s">
        <v>79</v>
      </c>
      <c r="K701" s="210" t="s">
        <v>937</v>
      </c>
      <c r="L701" s="210"/>
      <c r="M701" s="209" t="s">
        <v>58</v>
      </c>
      <c r="N701" s="209">
        <v>0</v>
      </c>
      <c r="O701" s="209" t="s">
        <v>105</v>
      </c>
      <c r="P701" s="213">
        <v>44896.621840277781</v>
      </c>
      <c r="Q701" s="209"/>
      <c r="R701" s="209">
        <v>3</v>
      </c>
      <c r="S701" s="209"/>
      <c r="T701" s="209" t="s">
        <v>646</v>
      </c>
      <c r="U701" s="213">
        <v>44897.621840277781</v>
      </c>
      <c r="V701" s="209" t="s">
        <v>41</v>
      </c>
      <c r="W701" s="209" t="s">
        <v>49</v>
      </c>
      <c r="X701" s="13" t="str">
        <f>IF(RIGHT(H701,2)&lt;&gt;"00",H701,"")</f>
        <v/>
      </c>
      <c r="Y701" s="26">
        <f ca="1">NETWORKDAYS(P701,$Y$1)</f>
        <v>65</v>
      </c>
      <c r="Z701" s="34">
        <v>1</v>
      </c>
      <c r="AA701" s="25" t="str">
        <f t="shared" ca="1" si="53"/>
        <v>A VENCER</v>
      </c>
      <c r="AB701" s="25" t="str">
        <f t="shared" si="56"/>
        <v>C-14</v>
      </c>
      <c r="AC701" s="2" t="str">
        <f t="shared" si="55"/>
        <v xml:space="preserve"> ROSEMERE </v>
      </c>
      <c r="AD701" s="26">
        <f t="shared" si="57"/>
        <v>5</v>
      </c>
      <c r="AE701" s="26">
        <f t="shared" ca="1" si="54"/>
        <v>90.0544313657374</v>
      </c>
      <c r="AF701" s="35"/>
    </row>
    <row r="702" spans="1:32" hidden="1">
      <c r="A702" s="209">
        <v>9129868</v>
      </c>
      <c r="B702" s="209" t="s">
        <v>101</v>
      </c>
      <c r="C702" s="210" t="s">
        <v>643</v>
      </c>
      <c r="D702" s="214">
        <v>220193412</v>
      </c>
      <c r="E702" s="214">
        <v>1643001400010</v>
      </c>
      <c r="F702" s="209" t="s">
        <v>936</v>
      </c>
      <c r="G702" s="209" t="s">
        <v>53</v>
      </c>
      <c r="H702" s="209" t="s">
        <v>361</v>
      </c>
      <c r="I702" s="209" t="s">
        <v>362</v>
      </c>
      <c r="J702" s="209" t="s">
        <v>261</v>
      </c>
      <c r="K702" s="210" t="s">
        <v>937</v>
      </c>
      <c r="L702" s="210"/>
      <c r="M702" s="209" t="s">
        <v>58</v>
      </c>
      <c r="N702" s="209">
        <v>0</v>
      </c>
      <c r="O702" s="209" t="s">
        <v>105</v>
      </c>
      <c r="P702" s="213">
        <v>44896.618703703702</v>
      </c>
      <c r="Q702" s="209"/>
      <c r="R702" s="209">
        <v>3</v>
      </c>
      <c r="S702" s="209"/>
      <c r="T702" s="209" t="s">
        <v>646</v>
      </c>
      <c r="U702" s="213">
        <v>44897.618703703702</v>
      </c>
      <c r="V702" s="209" t="s">
        <v>41</v>
      </c>
      <c r="W702" s="209" t="s">
        <v>49</v>
      </c>
      <c r="X702" s="13" t="str">
        <f>IF(RIGHT(H702,2)&lt;&gt;"00",H702,"")</f>
        <v/>
      </c>
      <c r="Y702" s="26">
        <f ca="1">NETWORKDAYS(P702,$Y$1)</f>
        <v>65</v>
      </c>
      <c r="Z702" s="34">
        <v>1</v>
      </c>
      <c r="AA702" s="25" t="str">
        <f t="shared" ca="1" si="53"/>
        <v>A VENCER</v>
      </c>
      <c r="AB702" s="25" t="str">
        <f t="shared" si="56"/>
        <v>C-14</v>
      </c>
      <c r="AC702" s="2" t="str">
        <f t="shared" si="55"/>
        <v xml:space="preserve"> CRISTINA </v>
      </c>
      <c r="AD702" s="26">
        <f t="shared" si="57"/>
        <v>5</v>
      </c>
      <c r="AE702" s="26">
        <f t="shared" ca="1" si="54"/>
        <v>90.057567939817091</v>
      </c>
      <c r="AF702" s="35"/>
    </row>
    <row r="703" spans="1:32" hidden="1">
      <c r="A703" s="209">
        <v>9129798</v>
      </c>
      <c r="B703" s="209" t="s">
        <v>101</v>
      </c>
      <c r="C703" s="210" t="s">
        <v>643</v>
      </c>
      <c r="D703" s="214">
        <v>220193269</v>
      </c>
      <c r="E703" s="214">
        <v>1264001400010</v>
      </c>
      <c r="F703" s="209" t="s">
        <v>936</v>
      </c>
      <c r="G703" s="209" t="s">
        <v>53</v>
      </c>
      <c r="H703" s="209" t="s">
        <v>351</v>
      </c>
      <c r="I703" s="209" t="s">
        <v>352</v>
      </c>
      <c r="J703" s="209" t="s">
        <v>110</v>
      </c>
      <c r="K703" s="210" t="s">
        <v>937</v>
      </c>
      <c r="L703" s="210"/>
      <c r="M703" s="209" t="s">
        <v>58</v>
      </c>
      <c r="N703" s="209">
        <v>0</v>
      </c>
      <c r="O703" s="209" t="s">
        <v>105</v>
      </c>
      <c r="P703" s="213">
        <v>44896.615624999999</v>
      </c>
      <c r="Q703" s="209"/>
      <c r="R703" s="209">
        <v>3</v>
      </c>
      <c r="S703" s="209"/>
      <c r="T703" s="209" t="s">
        <v>646</v>
      </c>
      <c r="U703" s="213">
        <v>44897.615624999999</v>
      </c>
      <c r="V703" s="209" t="s">
        <v>41</v>
      </c>
      <c r="W703" s="209" t="s">
        <v>49</v>
      </c>
      <c r="X703" s="13" t="str">
        <f>IF(RIGHT(H703,2)&lt;&gt;"00",H703,"")</f>
        <v/>
      </c>
      <c r="Y703" s="26">
        <f ca="1">NETWORKDAYS(P703,$Y$1)</f>
        <v>65</v>
      </c>
      <c r="Z703" s="34">
        <v>1</v>
      </c>
      <c r="AA703" s="25" t="str">
        <f t="shared" ca="1" si="53"/>
        <v>A VENCER</v>
      </c>
      <c r="AB703" s="25" t="str">
        <f t="shared" si="56"/>
        <v>C-14</v>
      </c>
      <c r="AC703" s="2" t="str">
        <f t="shared" si="55"/>
        <v xml:space="preserve"> CRISTINA </v>
      </c>
      <c r="AD703" s="26">
        <f t="shared" si="57"/>
        <v>5</v>
      </c>
      <c r="AE703" s="26">
        <f t="shared" ca="1" si="54"/>
        <v>90.060646643520158</v>
      </c>
      <c r="AF703" s="35"/>
    </row>
    <row r="704" spans="1:32" hidden="1">
      <c r="A704" s="209">
        <v>9129788</v>
      </c>
      <c r="B704" s="209" t="s">
        <v>101</v>
      </c>
      <c r="C704" s="210" t="s">
        <v>643</v>
      </c>
      <c r="D704" s="214">
        <v>220193262</v>
      </c>
      <c r="E704" s="214">
        <v>1245001400010</v>
      </c>
      <c r="F704" s="209" t="s">
        <v>936</v>
      </c>
      <c r="G704" s="209" t="s">
        <v>53</v>
      </c>
      <c r="H704" s="209" t="s">
        <v>408</v>
      </c>
      <c r="I704" s="209" t="s">
        <v>409</v>
      </c>
      <c r="J704" s="209" t="s">
        <v>46</v>
      </c>
      <c r="K704" s="210" t="s">
        <v>937</v>
      </c>
      <c r="L704" s="210"/>
      <c r="M704" s="209" t="s">
        <v>58</v>
      </c>
      <c r="N704" s="209">
        <v>0</v>
      </c>
      <c r="O704" s="209" t="s">
        <v>105</v>
      </c>
      <c r="P704" s="213">
        <v>44896.61519675926</v>
      </c>
      <c r="Q704" s="209"/>
      <c r="R704" s="209">
        <v>3</v>
      </c>
      <c r="S704" s="209"/>
      <c r="T704" s="209" t="s">
        <v>646</v>
      </c>
      <c r="U704" s="213">
        <v>44897.61519675926</v>
      </c>
      <c r="V704" s="209" t="s">
        <v>41</v>
      </c>
      <c r="W704" s="209" t="s">
        <v>49</v>
      </c>
      <c r="X704" s="13" t="str">
        <f>IF(RIGHT(H704,2)&lt;&gt;"00",H704,"")</f>
        <v/>
      </c>
      <c r="Y704" s="26">
        <f ca="1">NETWORKDAYS(P704,$Y$1)</f>
        <v>65</v>
      </c>
      <c r="Z704" s="34">
        <v>1</v>
      </c>
      <c r="AA704" s="25" t="str">
        <f t="shared" ca="1" si="53"/>
        <v>A VENCER</v>
      </c>
      <c r="AB704" s="25" t="str">
        <f t="shared" si="56"/>
        <v>C-14</v>
      </c>
      <c r="AC704" s="2" t="str">
        <f t="shared" si="55"/>
        <v xml:space="preserve"> CLEITON </v>
      </c>
      <c r="AD704" s="26">
        <f t="shared" si="57"/>
        <v>5</v>
      </c>
      <c r="AE704" s="26">
        <f t="shared" ca="1" si="54"/>
        <v>90.061074884259142</v>
      </c>
      <c r="AF704" s="35"/>
    </row>
    <row r="705" spans="1:32" hidden="1">
      <c r="A705" s="209">
        <v>9129743</v>
      </c>
      <c r="B705" s="209" t="s">
        <v>101</v>
      </c>
      <c r="C705" s="210" t="s">
        <v>643</v>
      </c>
      <c r="D705" s="214">
        <v>220193731</v>
      </c>
      <c r="E705" s="214">
        <v>2855001400010</v>
      </c>
      <c r="F705" s="209" t="s">
        <v>936</v>
      </c>
      <c r="G705" s="209" t="s">
        <v>53</v>
      </c>
      <c r="H705" s="209" t="s">
        <v>249</v>
      </c>
      <c r="I705" s="209" t="s">
        <v>250</v>
      </c>
      <c r="J705" s="209" t="s">
        <v>56</v>
      </c>
      <c r="K705" s="210" t="s">
        <v>937</v>
      </c>
      <c r="L705" s="210"/>
      <c r="M705" s="209" t="s">
        <v>58</v>
      </c>
      <c r="N705" s="209">
        <v>0</v>
      </c>
      <c r="O705" s="209" t="s">
        <v>105</v>
      </c>
      <c r="P705" s="213">
        <v>44896.61341435185</v>
      </c>
      <c r="Q705" s="209"/>
      <c r="R705" s="209">
        <v>3</v>
      </c>
      <c r="S705" s="209"/>
      <c r="T705" s="209" t="s">
        <v>646</v>
      </c>
      <c r="U705" s="213">
        <v>44897.61341435185</v>
      </c>
      <c r="V705" s="209" t="s">
        <v>41</v>
      </c>
      <c r="W705" s="209" t="s">
        <v>49</v>
      </c>
      <c r="X705" s="13" t="str">
        <f>IF(RIGHT(H705,2)&lt;&gt;"00",H705,"")</f>
        <v/>
      </c>
      <c r="Y705" s="26">
        <f ca="1">NETWORKDAYS(P705,$Y$1)</f>
        <v>65</v>
      </c>
      <c r="Z705" s="34">
        <v>1</v>
      </c>
      <c r="AA705" s="25" t="str">
        <f t="shared" ca="1" si="53"/>
        <v>A VENCER</v>
      </c>
      <c r="AB705" s="25" t="str">
        <f t="shared" si="56"/>
        <v>C-14</v>
      </c>
      <c r="AC705" s="2" t="str">
        <f t="shared" si="55"/>
        <v xml:space="preserve"> CRISTINA </v>
      </c>
      <c r="AD705" s="26">
        <f t="shared" si="57"/>
        <v>5</v>
      </c>
      <c r="AE705" s="26">
        <f t="shared" ca="1" si="54"/>
        <v>90.062857291668479</v>
      </c>
      <c r="AF705" s="35"/>
    </row>
    <row r="706" spans="1:32" hidden="1">
      <c r="A706" s="209">
        <v>9129736</v>
      </c>
      <c r="B706" s="209" t="s">
        <v>101</v>
      </c>
      <c r="C706" s="210" t="s">
        <v>643</v>
      </c>
      <c r="D706" s="214">
        <v>220193724</v>
      </c>
      <c r="E706" s="214">
        <v>2830001400010</v>
      </c>
      <c r="F706" s="209" t="s">
        <v>936</v>
      </c>
      <c r="G706" s="209" t="s">
        <v>53</v>
      </c>
      <c r="H706" s="209" t="s">
        <v>448</v>
      </c>
      <c r="I706" s="209" t="s">
        <v>449</v>
      </c>
      <c r="J706" s="209" t="s">
        <v>33</v>
      </c>
      <c r="K706" s="210" t="s">
        <v>937</v>
      </c>
      <c r="L706" s="210"/>
      <c r="M706" s="209" t="s">
        <v>58</v>
      </c>
      <c r="N706" s="209">
        <v>0</v>
      </c>
      <c r="O706" s="209" t="s">
        <v>105</v>
      </c>
      <c r="P706" s="213">
        <v>44896.613055555557</v>
      </c>
      <c r="Q706" s="209"/>
      <c r="R706" s="209">
        <v>3</v>
      </c>
      <c r="S706" s="209"/>
      <c r="T706" s="209" t="s">
        <v>646</v>
      </c>
      <c r="U706" s="213">
        <v>44897.613055555557</v>
      </c>
      <c r="V706" s="209" t="s">
        <v>41</v>
      </c>
      <c r="W706" s="209" t="s">
        <v>42</v>
      </c>
      <c r="X706" s="13" t="str">
        <f>IF(RIGHT(H706,2)&lt;&gt;"00",H706,"")</f>
        <v/>
      </c>
      <c r="Y706" s="26">
        <f ca="1">NETWORKDAYS(P706,$Y$1)</f>
        <v>65</v>
      </c>
      <c r="Z706" s="34">
        <v>1</v>
      </c>
      <c r="AA706" s="25" t="str">
        <f t="shared" ref="AA706:AA769" ca="1" si="58">IF(AE706=0,"HOJE",IF(AE706&gt;0,"A VENCER",IF(AE706&lt;0,"VENCIDO")))</f>
        <v>A VENCER</v>
      </c>
      <c r="AB706" s="25" t="str">
        <f t="shared" si="56"/>
        <v>C-14</v>
      </c>
      <c r="AC706" s="2" t="str">
        <f t="shared" si="55"/>
        <v xml:space="preserve"> ROSEMERE </v>
      </c>
      <c r="AD706" s="26">
        <f t="shared" si="57"/>
        <v>5</v>
      </c>
      <c r="AE706" s="26">
        <f t="shared" ref="AE706:AE769" ca="1" si="59">IF(P706=$AE$1,"",$AE$1-P706)</f>
        <v>90.063216087961337</v>
      </c>
      <c r="AF706" s="35"/>
    </row>
    <row r="707" spans="1:32" hidden="1">
      <c r="A707" s="209">
        <v>9129707</v>
      </c>
      <c r="B707" s="209" t="s">
        <v>101</v>
      </c>
      <c r="C707" s="210" t="s">
        <v>643</v>
      </c>
      <c r="D707" s="214">
        <v>220193132</v>
      </c>
      <c r="E707" s="214">
        <v>981001400010</v>
      </c>
      <c r="F707" s="209" t="s">
        <v>936</v>
      </c>
      <c r="G707" s="209" t="s">
        <v>53</v>
      </c>
      <c r="H707" s="209" t="s">
        <v>410</v>
      </c>
      <c r="I707" s="209" t="s">
        <v>411</v>
      </c>
      <c r="J707" s="209" t="s">
        <v>85</v>
      </c>
      <c r="K707" s="210" t="s">
        <v>937</v>
      </c>
      <c r="L707" s="210"/>
      <c r="M707" s="209" t="s">
        <v>58</v>
      </c>
      <c r="N707" s="209">
        <v>0</v>
      </c>
      <c r="O707" s="209" t="s">
        <v>105</v>
      </c>
      <c r="P707" s="213">
        <v>44896.611238425925</v>
      </c>
      <c r="Q707" s="209"/>
      <c r="R707" s="209">
        <v>3</v>
      </c>
      <c r="S707" s="209"/>
      <c r="T707" s="209" t="s">
        <v>646</v>
      </c>
      <c r="U707" s="213">
        <v>44897.611238425925</v>
      </c>
      <c r="V707" s="209" t="s">
        <v>41</v>
      </c>
      <c r="W707" s="209" t="s">
        <v>49</v>
      </c>
      <c r="X707" s="13" t="str">
        <f>IF(RIGHT(H707,2)&lt;&gt;"00",H707,"")</f>
        <v/>
      </c>
      <c r="Y707" s="26">
        <f ca="1">NETWORKDAYS(P707,$Y$1)</f>
        <v>65</v>
      </c>
      <c r="Z707" s="34">
        <v>1</v>
      </c>
      <c r="AA707" s="25" t="str">
        <f t="shared" ca="1" si="58"/>
        <v>A VENCER</v>
      </c>
      <c r="AB707" s="25" t="str">
        <f t="shared" si="56"/>
        <v>C-14</v>
      </c>
      <c r="AC707" s="2" t="str">
        <f t="shared" ref="AC707:AC770" si="60">IF(J707="TR-PETROLINA"," ROSEMERE ",IF(J707="TR-GARANHUNS"," ROSEMERE ",IF(J707="TR-CARUARU"," ROSEMERE ",IF(J707="TR-RIBEIRAO"," CRISTINA ",IF(J707="TR-GRAVATA"," CRISTINA ",IF(J707="TR-GOIANA"," CRISTINA ",IF(J707="TR-LIMOEIRO"," CRISTINA ",IF(J707="TR-SERRA TALHADA"," RINALDO ",IF(J707="TR-SALGUEIRO"," RINALDO ",IF(J707="TR-CARNAIBA"," RINALDO ",IF(J707="TR-ARCOVERDE"," RINALDO ",IF(J707="CAT-RECIFE"," CLEITON ",))))))))))))</f>
        <v xml:space="preserve"> RINALDO </v>
      </c>
      <c r="AD707" s="26">
        <f t="shared" si="57"/>
        <v>5</v>
      </c>
      <c r="AE707" s="26">
        <f t="shared" ca="1" si="59"/>
        <v>90.065033217593736</v>
      </c>
      <c r="AF707" s="35"/>
    </row>
    <row r="708" spans="1:32" hidden="1">
      <c r="A708" s="209">
        <v>9129576</v>
      </c>
      <c r="B708" s="209" t="s">
        <v>101</v>
      </c>
      <c r="C708" s="210" t="s">
        <v>643</v>
      </c>
      <c r="D708" s="214">
        <v>220198413</v>
      </c>
      <c r="E708" s="214">
        <v>1943001400040</v>
      </c>
      <c r="F708" s="209" t="s">
        <v>644</v>
      </c>
      <c r="G708" s="209" t="s">
        <v>53</v>
      </c>
      <c r="H708" s="209" t="s">
        <v>264</v>
      </c>
      <c r="I708" s="209" t="s">
        <v>265</v>
      </c>
      <c r="J708" s="209" t="s">
        <v>56</v>
      </c>
      <c r="K708" s="210" t="s">
        <v>645</v>
      </c>
      <c r="L708" s="210"/>
      <c r="M708" s="209" t="s">
        <v>58</v>
      </c>
      <c r="N708" s="209">
        <v>0</v>
      </c>
      <c r="O708" s="209" t="s">
        <v>105</v>
      </c>
      <c r="P708" s="213">
        <v>44896.605173611111</v>
      </c>
      <c r="Q708" s="209"/>
      <c r="R708" s="209">
        <v>2</v>
      </c>
      <c r="S708" s="209"/>
      <c r="T708" s="209" t="s">
        <v>646</v>
      </c>
      <c r="U708" s="213">
        <v>44897.605185185188</v>
      </c>
      <c r="V708" s="209" t="s">
        <v>41</v>
      </c>
      <c r="W708" s="209" t="s">
        <v>49</v>
      </c>
      <c r="X708" s="13" t="str">
        <f>IF(RIGHT(H708,2)&lt;&gt;"00",H708,"")</f>
        <v/>
      </c>
      <c r="Y708" s="26">
        <f ca="1">NETWORKDAYS(P708,$Y$1)</f>
        <v>65</v>
      </c>
      <c r="Z708" s="34">
        <v>1</v>
      </c>
      <c r="AA708" s="25" t="str">
        <f t="shared" ca="1" si="58"/>
        <v>A VENCER</v>
      </c>
      <c r="AB708" s="25" t="str">
        <f t="shared" si="56"/>
        <v>SL-On</v>
      </c>
      <c r="AC708" s="2" t="str">
        <f t="shared" si="60"/>
        <v xml:space="preserve"> CRISTINA </v>
      </c>
      <c r="AD708" s="26">
        <f t="shared" si="57"/>
        <v>1</v>
      </c>
      <c r="AE708" s="26">
        <f t="shared" ca="1" si="59"/>
        <v>90.071098032407463</v>
      </c>
      <c r="AF708" s="35"/>
    </row>
    <row r="709" spans="1:32" hidden="1">
      <c r="A709" s="209">
        <v>9129532</v>
      </c>
      <c r="B709" s="209" t="s">
        <v>101</v>
      </c>
      <c r="C709" s="210" t="s">
        <v>643</v>
      </c>
      <c r="D709" s="214">
        <v>220198370</v>
      </c>
      <c r="E709" s="214">
        <v>5898001400040</v>
      </c>
      <c r="F709" s="209" t="s">
        <v>644</v>
      </c>
      <c r="G709" s="209" t="s">
        <v>53</v>
      </c>
      <c r="H709" s="209" t="s">
        <v>365</v>
      </c>
      <c r="I709" s="209" t="s">
        <v>366</v>
      </c>
      <c r="J709" s="209" t="s">
        <v>164</v>
      </c>
      <c r="K709" s="210" t="s">
        <v>645</v>
      </c>
      <c r="L709" s="210"/>
      <c r="M709" s="209" t="s">
        <v>58</v>
      </c>
      <c r="N709" s="209">
        <v>0</v>
      </c>
      <c r="O709" s="209" t="s">
        <v>105</v>
      </c>
      <c r="P709" s="213">
        <v>44896.602442129632</v>
      </c>
      <c r="Q709" s="209"/>
      <c r="R709" s="209">
        <v>2</v>
      </c>
      <c r="S709" s="209"/>
      <c r="T709" s="209" t="s">
        <v>646</v>
      </c>
      <c r="U709" s="213">
        <v>44897.602453703701</v>
      </c>
      <c r="V709" s="209" t="s">
        <v>41</v>
      </c>
      <c r="W709" s="209" t="s">
        <v>49</v>
      </c>
      <c r="X709" s="13" t="str">
        <f>IF(RIGHT(H709,2)&lt;&gt;"00",H709,"")</f>
        <v/>
      </c>
      <c r="Y709" s="26">
        <f ca="1">NETWORKDAYS(P709,$Y$1)</f>
        <v>65</v>
      </c>
      <c r="Z709" s="34">
        <v>1</v>
      </c>
      <c r="AA709" s="25" t="str">
        <f t="shared" ca="1" si="58"/>
        <v>A VENCER</v>
      </c>
      <c r="AB709" s="25" t="str">
        <f t="shared" si="56"/>
        <v>SL-On</v>
      </c>
      <c r="AC709" s="2" t="str">
        <f t="shared" si="60"/>
        <v xml:space="preserve"> ROSEMERE </v>
      </c>
      <c r="AD709" s="26">
        <f t="shared" si="57"/>
        <v>1</v>
      </c>
      <c r="AE709" s="26">
        <f t="shared" ca="1" si="59"/>
        <v>90.073829513887176</v>
      </c>
      <c r="AF709" s="35"/>
    </row>
    <row r="710" spans="1:32" hidden="1">
      <c r="A710" s="209">
        <v>9129469</v>
      </c>
      <c r="B710" s="209" t="s">
        <v>101</v>
      </c>
      <c r="C710" s="210" t="s">
        <v>643</v>
      </c>
      <c r="D710" s="214">
        <v>220198152</v>
      </c>
      <c r="E710" s="214">
        <v>4637001400040</v>
      </c>
      <c r="F710" s="209" t="s">
        <v>644</v>
      </c>
      <c r="G710" s="209" t="s">
        <v>53</v>
      </c>
      <c r="H710" s="209" t="s">
        <v>848</v>
      </c>
      <c r="I710" s="209" t="s">
        <v>849</v>
      </c>
      <c r="J710" s="209" t="s">
        <v>79</v>
      </c>
      <c r="K710" s="210" t="s">
        <v>645</v>
      </c>
      <c r="L710" s="210"/>
      <c r="M710" s="209" t="s">
        <v>58</v>
      </c>
      <c r="N710" s="209">
        <v>0</v>
      </c>
      <c r="O710" s="209" t="s">
        <v>105</v>
      </c>
      <c r="P710" s="213">
        <v>44896.599282407406</v>
      </c>
      <c r="Q710" s="209"/>
      <c r="R710" s="209">
        <v>3</v>
      </c>
      <c r="S710" s="209"/>
      <c r="T710" s="209" t="s">
        <v>646</v>
      </c>
      <c r="U710" s="213">
        <v>44897.599282407406</v>
      </c>
      <c r="V710" s="209" t="s">
        <v>41</v>
      </c>
      <c r="W710" s="209" t="s">
        <v>49</v>
      </c>
      <c r="X710" s="13" t="str">
        <f>IF(RIGHT(H710,2)&lt;&gt;"00",H710,"")</f>
        <v/>
      </c>
      <c r="Y710" s="26">
        <f ca="1">NETWORKDAYS(P710,$Y$1)</f>
        <v>65</v>
      </c>
      <c r="Z710" s="34">
        <v>1</v>
      </c>
      <c r="AA710" s="25" t="str">
        <f t="shared" ca="1" si="58"/>
        <v>A VENCER</v>
      </c>
      <c r="AB710" s="25" t="str">
        <f t="shared" si="56"/>
        <v>SL-On</v>
      </c>
      <c r="AC710" s="2" t="str">
        <f t="shared" si="60"/>
        <v xml:space="preserve"> ROSEMERE </v>
      </c>
      <c r="AD710" s="26">
        <f t="shared" si="57"/>
        <v>1</v>
      </c>
      <c r="AE710" s="26">
        <f t="shared" ca="1" si="59"/>
        <v>90.07698923611315</v>
      </c>
      <c r="AF710" s="35"/>
    </row>
    <row r="711" spans="1:32" hidden="1">
      <c r="A711" s="209">
        <v>9129466</v>
      </c>
      <c r="B711" s="209" t="s">
        <v>101</v>
      </c>
      <c r="C711" s="210" t="s">
        <v>643</v>
      </c>
      <c r="D711" s="214">
        <v>220198149</v>
      </c>
      <c r="E711" s="214">
        <v>4623001400040</v>
      </c>
      <c r="F711" s="209" t="s">
        <v>644</v>
      </c>
      <c r="G711" s="209" t="s">
        <v>53</v>
      </c>
      <c r="H711" s="209" t="s">
        <v>669</v>
      </c>
      <c r="I711" s="209" t="s">
        <v>670</v>
      </c>
      <c r="J711" s="209" t="s">
        <v>33</v>
      </c>
      <c r="K711" s="210" t="s">
        <v>645</v>
      </c>
      <c r="L711" s="210"/>
      <c r="M711" s="209" t="s">
        <v>58</v>
      </c>
      <c r="N711" s="209">
        <v>0</v>
      </c>
      <c r="O711" s="209" t="s">
        <v>105</v>
      </c>
      <c r="P711" s="213">
        <v>44896.599108796298</v>
      </c>
      <c r="Q711" s="209"/>
      <c r="R711" s="209">
        <v>2</v>
      </c>
      <c r="S711" s="209"/>
      <c r="T711" s="209" t="s">
        <v>646</v>
      </c>
      <c r="U711" s="213">
        <v>44897.599120370367</v>
      </c>
      <c r="V711" s="209" t="s">
        <v>41</v>
      </c>
      <c r="W711" s="209" t="s">
        <v>42</v>
      </c>
      <c r="X711" s="13" t="str">
        <f>IF(RIGHT(H711,2)&lt;&gt;"00",H711,"")</f>
        <v/>
      </c>
      <c r="Y711" s="26">
        <f ca="1">NETWORKDAYS(P711,$Y$1)</f>
        <v>65</v>
      </c>
      <c r="Z711" s="34">
        <v>1</v>
      </c>
      <c r="AA711" s="25" t="str">
        <f t="shared" ca="1" si="58"/>
        <v>A VENCER</v>
      </c>
      <c r="AB711" s="25" t="str">
        <f t="shared" si="56"/>
        <v>SL-On</v>
      </c>
      <c r="AC711" s="2" t="str">
        <f t="shared" si="60"/>
        <v xml:space="preserve"> ROSEMERE </v>
      </c>
      <c r="AD711" s="26">
        <f t="shared" si="57"/>
        <v>1</v>
      </c>
      <c r="AE711" s="26">
        <f t="shared" ca="1" si="59"/>
        <v>90.077162847221189</v>
      </c>
      <c r="AF711" s="35"/>
    </row>
    <row r="712" spans="1:32" hidden="1">
      <c r="A712" s="209">
        <v>9129293</v>
      </c>
      <c r="B712" s="209" t="s">
        <v>101</v>
      </c>
      <c r="C712" s="210" t="s">
        <v>643</v>
      </c>
      <c r="D712" s="214">
        <v>220197353</v>
      </c>
      <c r="E712" s="214">
        <v>1509001400040</v>
      </c>
      <c r="F712" s="209" t="s">
        <v>644</v>
      </c>
      <c r="G712" s="209" t="s">
        <v>53</v>
      </c>
      <c r="H712" s="209" t="s">
        <v>731</v>
      </c>
      <c r="I712" s="209" t="s">
        <v>732</v>
      </c>
      <c r="J712" s="209" t="s">
        <v>46</v>
      </c>
      <c r="K712" s="210" t="s">
        <v>645</v>
      </c>
      <c r="L712" s="210"/>
      <c r="M712" s="209" t="s">
        <v>58</v>
      </c>
      <c r="N712" s="209">
        <v>0</v>
      </c>
      <c r="O712" s="209" t="s">
        <v>105</v>
      </c>
      <c r="P712" s="213">
        <v>44896.590925925928</v>
      </c>
      <c r="Q712" s="209"/>
      <c r="R712" s="209">
        <v>3</v>
      </c>
      <c r="S712" s="209"/>
      <c r="T712" s="209" t="s">
        <v>646</v>
      </c>
      <c r="U712" s="213">
        <v>44897.590925925928</v>
      </c>
      <c r="V712" s="209" t="s">
        <v>41</v>
      </c>
      <c r="W712" s="209" t="s">
        <v>49</v>
      </c>
      <c r="X712" s="13" t="str">
        <f>IF(RIGHT(H712,2)&lt;&gt;"00",H712,"")</f>
        <v/>
      </c>
      <c r="Y712" s="26">
        <f ca="1">NETWORKDAYS(P712,$Y$1)</f>
        <v>65</v>
      </c>
      <c r="Z712" s="34">
        <v>1</v>
      </c>
      <c r="AA712" s="25" t="str">
        <f t="shared" ca="1" si="58"/>
        <v>A VENCER</v>
      </c>
      <c r="AB712" s="25" t="str">
        <f t="shared" si="56"/>
        <v>SL-On</v>
      </c>
      <c r="AC712" s="2" t="str">
        <f t="shared" si="60"/>
        <v xml:space="preserve"> CLEITON </v>
      </c>
      <c r="AD712" s="26">
        <f t="shared" si="57"/>
        <v>1</v>
      </c>
      <c r="AE712" s="26">
        <f t="shared" ca="1" si="59"/>
        <v>90.085345717590826</v>
      </c>
      <c r="AF712" s="35"/>
    </row>
    <row r="713" spans="1:32" hidden="1">
      <c r="A713" s="209">
        <v>9129253</v>
      </c>
      <c r="B713" s="209" t="s">
        <v>101</v>
      </c>
      <c r="C713" s="210" t="s">
        <v>643</v>
      </c>
      <c r="D713" s="214">
        <v>220197205</v>
      </c>
      <c r="E713" s="214">
        <v>1162001400040</v>
      </c>
      <c r="F713" s="209" t="s">
        <v>644</v>
      </c>
      <c r="G713" s="209" t="s">
        <v>53</v>
      </c>
      <c r="H713" s="209" t="s">
        <v>280</v>
      </c>
      <c r="I713" s="209" t="s">
        <v>281</v>
      </c>
      <c r="J713" s="209" t="s">
        <v>211</v>
      </c>
      <c r="K713" s="210" t="s">
        <v>645</v>
      </c>
      <c r="L713" s="210"/>
      <c r="M713" s="209" t="s">
        <v>58</v>
      </c>
      <c r="N713" s="209">
        <v>0</v>
      </c>
      <c r="O713" s="209" t="s">
        <v>105</v>
      </c>
      <c r="P713" s="213">
        <v>44896.588958333334</v>
      </c>
      <c r="Q713" s="209"/>
      <c r="R713" s="209">
        <v>3</v>
      </c>
      <c r="S713" s="209"/>
      <c r="T713" s="209" t="s">
        <v>646</v>
      </c>
      <c r="U713" s="213">
        <v>44897.588958333334</v>
      </c>
      <c r="V713" s="209" t="s">
        <v>41</v>
      </c>
      <c r="W713" s="209" t="s">
        <v>49</v>
      </c>
      <c r="X713" s="13" t="str">
        <f>IF(RIGHT(H713,2)&lt;&gt;"00",H713,"")</f>
        <v/>
      </c>
      <c r="Y713" s="26">
        <f ca="1">NETWORKDAYS(P713,$Y$1)</f>
        <v>65</v>
      </c>
      <c r="Z713" s="34">
        <v>1</v>
      </c>
      <c r="AA713" s="25" t="str">
        <f t="shared" ca="1" si="58"/>
        <v>A VENCER</v>
      </c>
      <c r="AB713" s="25" t="str">
        <f t="shared" si="56"/>
        <v>SL-On</v>
      </c>
      <c r="AC713" s="2" t="str">
        <f t="shared" si="60"/>
        <v xml:space="preserve"> RINALDO </v>
      </c>
      <c r="AD713" s="26">
        <f t="shared" si="57"/>
        <v>1</v>
      </c>
      <c r="AE713" s="26">
        <f t="shared" ca="1" si="59"/>
        <v>90.087313310184982</v>
      </c>
      <c r="AF713" s="35"/>
    </row>
    <row r="714" spans="1:32" hidden="1">
      <c r="A714" s="209">
        <v>9129235</v>
      </c>
      <c r="B714" s="209" t="s">
        <v>101</v>
      </c>
      <c r="C714" s="210" t="s">
        <v>643</v>
      </c>
      <c r="D714" s="214">
        <v>220197191</v>
      </c>
      <c r="E714" s="214">
        <v>1138001400040</v>
      </c>
      <c r="F714" s="209" t="s">
        <v>644</v>
      </c>
      <c r="G714" s="209" t="s">
        <v>53</v>
      </c>
      <c r="H714" s="209" t="s">
        <v>548</v>
      </c>
      <c r="I714" s="209" t="s">
        <v>549</v>
      </c>
      <c r="J714" s="209" t="s">
        <v>46</v>
      </c>
      <c r="K714" s="210" t="s">
        <v>645</v>
      </c>
      <c r="L714" s="210"/>
      <c r="M714" s="209" t="s">
        <v>58</v>
      </c>
      <c r="N714" s="209">
        <v>0</v>
      </c>
      <c r="O714" s="209" t="s">
        <v>105</v>
      </c>
      <c r="P714" s="213">
        <v>44896.588101851848</v>
      </c>
      <c r="Q714" s="209"/>
      <c r="R714" s="209">
        <v>2</v>
      </c>
      <c r="S714" s="209"/>
      <c r="T714" s="209" t="s">
        <v>646</v>
      </c>
      <c r="U714" s="213">
        <v>44897.588113425925</v>
      </c>
      <c r="V714" s="209" t="s">
        <v>41</v>
      </c>
      <c r="W714" s="209" t="s">
        <v>49</v>
      </c>
      <c r="X714" s="13" t="str">
        <f>IF(RIGHT(H714,2)&lt;&gt;"00",H714,"")</f>
        <v/>
      </c>
      <c r="Y714" s="26">
        <f ca="1">NETWORKDAYS(P714,$Y$1)</f>
        <v>65</v>
      </c>
      <c r="Z714" s="34">
        <v>1</v>
      </c>
      <c r="AA714" s="25" t="str">
        <f t="shared" ca="1" si="58"/>
        <v>A VENCER</v>
      </c>
      <c r="AB714" s="25" t="str">
        <f t="shared" si="56"/>
        <v>SL-On</v>
      </c>
      <c r="AC714" s="2" t="str">
        <f t="shared" si="60"/>
        <v xml:space="preserve"> CLEITON </v>
      </c>
      <c r="AD714" s="26">
        <f t="shared" si="57"/>
        <v>1</v>
      </c>
      <c r="AE714" s="26">
        <f t="shared" ca="1" si="59"/>
        <v>90.088169791670225</v>
      </c>
      <c r="AF714" s="35"/>
    </row>
    <row r="715" spans="1:32" hidden="1">
      <c r="A715" s="209">
        <v>9129192</v>
      </c>
      <c r="B715" s="209" t="s">
        <v>101</v>
      </c>
      <c r="C715" s="210" t="s">
        <v>643</v>
      </c>
      <c r="D715" s="214">
        <v>220197715</v>
      </c>
      <c r="E715" s="214">
        <v>2830001400040</v>
      </c>
      <c r="F715" s="209" t="s">
        <v>644</v>
      </c>
      <c r="G715" s="209" t="s">
        <v>53</v>
      </c>
      <c r="H715" s="209" t="s">
        <v>448</v>
      </c>
      <c r="I715" s="209" t="s">
        <v>449</v>
      </c>
      <c r="J715" s="209" t="s">
        <v>33</v>
      </c>
      <c r="K715" s="210" t="s">
        <v>645</v>
      </c>
      <c r="L715" s="210"/>
      <c r="M715" s="209" t="s">
        <v>58</v>
      </c>
      <c r="N715" s="209">
        <v>0</v>
      </c>
      <c r="O715" s="209" t="s">
        <v>105</v>
      </c>
      <c r="P715" s="213">
        <v>44896.585763888892</v>
      </c>
      <c r="Q715" s="209"/>
      <c r="R715" s="209">
        <v>2</v>
      </c>
      <c r="S715" s="209"/>
      <c r="T715" s="209" t="s">
        <v>646</v>
      </c>
      <c r="U715" s="213">
        <v>44897.585775462961</v>
      </c>
      <c r="V715" s="209" t="s">
        <v>41</v>
      </c>
      <c r="W715" s="209" t="s">
        <v>42</v>
      </c>
      <c r="X715" s="13" t="str">
        <f>IF(RIGHT(H715,2)&lt;&gt;"00",H715,"")</f>
        <v/>
      </c>
      <c r="Y715" s="26">
        <f ca="1">NETWORKDAYS(P715,$Y$1)</f>
        <v>65</v>
      </c>
      <c r="Z715" s="34">
        <v>1</v>
      </c>
      <c r="AA715" s="25" t="str">
        <f t="shared" ca="1" si="58"/>
        <v>A VENCER</v>
      </c>
      <c r="AB715" s="25" t="str">
        <f t="shared" si="56"/>
        <v>SL-On</v>
      </c>
      <c r="AC715" s="2" t="str">
        <f t="shared" si="60"/>
        <v xml:space="preserve"> ROSEMERE </v>
      </c>
      <c r="AD715" s="26">
        <f t="shared" si="57"/>
        <v>1</v>
      </c>
      <c r="AE715" s="26">
        <f t="shared" ca="1" si="59"/>
        <v>90.090507754626742</v>
      </c>
      <c r="AF715" s="35"/>
    </row>
    <row r="716" spans="1:32" hidden="1">
      <c r="A716" s="209">
        <v>9129186</v>
      </c>
      <c r="B716" s="209" t="s">
        <v>101</v>
      </c>
      <c r="C716" s="210" t="s">
        <v>643</v>
      </c>
      <c r="D716" s="214">
        <v>220197710</v>
      </c>
      <c r="E716" s="214">
        <v>2802001400040</v>
      </c>
      <c r="F716" s="209" t="s">
        <v>644</v>
      </c>
      <c r="G716" s="209" t="s">
        <v>53</v>
      </c>
      <c r="H716" s="209" t="s">
        <v>388</v>
      </c>
      <c r="I716" s="209" t="s">
        <v>389</v>
      </c>
      <c r="J716" s="209" t="s">
        <v>46</v>
      </c>
      <c r="K716" s="210" t="s">
        <v>645</v>
      </c>
      <c r="L716" s="210"/>
      <c r="M716" s="209" t="s">
        <v>58</v>
      </c>
      <c r="N716" s="209">
        <v>0</v>
      </c>
      <c r="O716" s="209" t="s">
        <v>105</v>
      </c>
      <c r="P716" s="213">
        <v>44896.585370370369</v>
      </c>
      <c r="Q716" s="209"/>
      <c r="R716" s="209">
        <v>3</v>
      </c>
      <c r="S716" s="209"/>
      <c r="T716" s="209" t="s">
        <v>646</v>
      </c>
      <c r="U716" s="213">
        <v>44897.585370370369</v>
      </c>
      <c r="V716" s="209" t="s">
        <v>41</v>
      </c>
      <c r="W716" s="209" t="s">
        <v>49</v>
      </c>
      <c r="X716" s="13" t="str">
        <f>IF(RIGHT(H716,2)&lt;&gt;"00",H716,"")</f>
        <v/>
      </c>
      <c r="Y716" s="26">
        <f ca="1">NETWORKDAYS(P716,$Y$1)</f>
        <v>65</v>
      </c>
      <c r="Z716" s="34">
        <v>1</v>
      </c>
      <c r="AA716" s="25" t="str">
        <f t="shared" ca="1" si="58"/>
        <v>A VENCER</v>
      </c>
      <c r="AB716" s="25" t="str">
        <f t="shared" si="56"/>
        <v>SL-On</v>
      </c>
      <c r="AC716" s="2" t="str">
        <f t="shared" si="60"/>
        <v xml:space="preserve"> CLEITON </v>
      </c>
      <c r="AD716" s="26">
        <f t="shared" si="57"/>
        <v>1</v>
      </c>
      <c r="AE716" s="26">
        <f t="shared" ca="1" si="59"/>
        <v>90.090901273149939</v>
      </c>
      <c r="AF716" s="35"/>
    </row>
    <row r="717" spans="1:32" hidden="1">
      <c r="A717" s="209">
        <v>9129147</v>
      </c>
      <c r="B717" s="209" t="s">
        <v>101</v>
      </c>
      <c r="C717" s="210" t="s">
        <v>643</v>
      </c>
      <c r="D717" s="214">
        <v>220197682</v>
      </c>
      <c r="E717" s="214">
        <v>2693001400040</v>
      </c>
      <c r="F717" s="209" t="s">
        <v>644</v>
      </c>
      <c r="G717" s="209" t="s">
        <v>53</v>
      </c>
      <c r="H717" s="209" t="s">
        <v>253</v>
      </c>
      <c r="I717" s="209" t="s">
        <v>254</v>
      </c>
      <c r="J717" s="209" t="s">
        <v>56</v>
      </c>
      <c r="K717" s="210" t="s">
        <v>645</v>
      </c>
      <c r="L717" s="210"/>
      <c r="M717" s="209" t="s">
        <v>58</v>
      </c>
      <c r="N717" s="209">
        <v>0</v>
      </c>
      <c r="O717" s="209" t="s">
        <v>105</v>
      </c>
      <c r="P717" s="213">
        <v>44896.583495370367</v>
      </c>
      <c r="Q717" s="209"/>
      <c r="R717" s="209">
        <v>2</v>
      </c>
      <c r="S717" s="209"/>
      <c r="T717" s="209" t="s">
        <v>646</v>
      </c>
      <c r="U717" s="213">
        <v>44897.583506944444</v>
      </c>
      <c r="V717" s="209" t="s">
        <v>41</v>
      </c>
      <c r="W717" s="209" t="s">
        <v>49</v>
      </c>
      <c r="X717" s="13" t="str">
        <f>IF(RIGHT(H717,2)&lt;&gt;"00",H717,"")</f>
        <v/>
      </c>
      <c r="Y717" s="26">
        <f ca="1">NETWORKDAYS(P717,$Y$1)</f>
        <v>65</v>
      </c>
      <c r="Z717" s="34">
        <v>1</v>
      </c>
      <c r="AA717" s="25" t="str">
        <f t="shared" ca="1" si="58"/>
        <v>A VENCER</v>
      </c>
      <c r="AB717" s="25" t="str">
        <f t="shared" si="56"/>
        <v>SL-On</v>
      </c>
      <c r="AC717" s="2" t="str">
        <f t="shared" si="60"/>
        <v xml:space="preserve"> CRISTINA </v>
      </c>
      <c r="AD717" s="26">
        <f t="shared" si="57"/>
        <v>1</v>
      </c>
      <c r="AE717" s="26">
        <f t="shared" ca="1" si="59"/>
        <v>90.092776273151685</v>
      </c>
      <c r="AF717" s="35"/>
    </row>
    <row r="718" spans="1:32" hidden="1">
      <c r="A718" s="209">
        <v>9129072</v>
      </c>
      <c r="B718" s="209" t="s">
        <v>101</v>
      </c>
      <c r="C718" s="210" t="s">
        <v>643</v>
      </c>
      <c r="D718" s="214">
        <v>220197722</v>
      </c>
      <c r="E718" s="214">
        <v>2855001400040</v>
      </c>
      <c r="F718" s="209" t="s">
        <v>644</v>
      </c>
      <c r="G718" s="209" t="s">
        <v>53</v>
      </c>
      <c r="H718" s="209" t="s">
        <v>249</v>
      </c>
      <c r="I718" s="209" t="s">
        <v>250</v>
      </c>
      <c r="J718" s="209" t="s">
        <v>56</v>
      </c>
      <c r="K718" s="210" t="s">
        <v>645</v>
      </c>
      <c r="L718" s="210"/>
      <c r="M718" s="209" t="s">
        <v>58</v>
      </c>
      <c r="N718" s="209">
        <v>0</v>
      </c>
      <c r="O718" s="209" t="s">
        <v>105</v>
      </c>
      <c r="P718" s="213">
        <v>44896.580439814818</v>
      </c>
      <c r="Q718" s="209"/>
      <c r="R718" s="209">
        <v>2</v>
      </c>
      <c r="S718" s="209"/>
      <c r="T718" s="209" t="s">
        <v>646</v>
      </c>
      <c r="U718" s="213">
        <v>44897.580451388887</v>
      </c>
      <c r="V718" s="209" t="s">
        <v>41</v>
      </c>
      <c r="W718" s="209" t="s">
        <v>49</v>
      </c>
      <c r="X718" s="13" t="str">
        <f>IF(RIGHT(H718,2)&lt;&gt;"00",H718,"")</f>
        <v/>
      </c>
      <c r="Y718" s="26">
        <f ca="1">NETWORKDAYS(P718,$Y$1)</f>
        <v>65</v>
      </c>
      <c r="Z718" s="34">
        <v>1</v>
      </c>
      <c r="AA718" s="25" t="str">
        <f t="shared" ca="1" si="58"/>
        <v>A VENCER</v>
      </c>
      <c r="AB718" s="25" t="str">
        <f t="shared" si="56"/>
        <v>SL-On</v>
      </c>
      <c r="AC718" s="2" t="str">
        <f t="shared" si="60"/>
        <v xml:space="preserve"> CRISTINA </v>
      </c>
      <c r="AD718" s="26">
        <f t="shared" si="57"/>
        <v>1</v>
      </c>
      <c r="AE718" s="26">
        <f t="shared" ca="1" si="59"/>
        <v>90.095831828701193</v>
      </c>
      <c r="AF718" s="35"/>
    </row>
    <row r="719" spans="1:32" hidden="1">
      <c r="A719" s="209">
        <v>9129043</v>
      </c>
      <c r="B719" s="209" t="s">
        <v>101</v>
      </c>
      <c r="C719" s="210" t="s">
        <v>643</v>
      </c>
      <c r="D719" s="214">
        <v>220196970</v>
      </c>
      <c r="E719" s="214">
        <v>710001400040</v>
      </c>
      <c r="F719" s="209" t="s">
        <v>644</v>
      </c>
      <c r="G719" s="209" t="s">
        <v>53</v>
      </c>
      <c r="H719" s="209" t="s">
        <v>390</v>
      </c>
      <c r="I719" s="209" t="s">
        <v>391</v>
      </c>
      <c r="J719" s="209" t="s">
        <v>56</v>
      </c>
      <c r="K719" s="210" t="s">
        <v>645</v>
      </c>
      <c r="L719" s="210"/>
      <c r="M719" s="209" t="s">
        <v>58</v>
      </c>
      <c r="N719" s="209">
        <v>0</v>
      </c>
      <c r="O719" s="209" t="s">
        <v>105</v>
      </c>
      <c r="P719" s="213">
        <v>44896.579571759263</v>
      </c>
      <c r="Q719" s="209"/>
      <c r="R719" s="209">
        <v>2</v>
      </c>
      <c r="S719" s="209"/>
      <c r="T719" s="209" t="s">
        <v>646</v>
      </c>
      <c r="U719" s="213">
        <v>44897.579583333332</v>
      </c>
      <c r="V719" s="209" t="s">
        <v>41</v>
      </c>
      <c r="W719" s="209" t="s">
        <v>49</v>
      </c>
      <c r="X719" s="13" t="str">
        <f>IF(RIGHT(H719,2)&lt;&gt;"00",H719,"")</f>
        <v/>
      </c>
      <c r="Y719" s="26">
        <f ca="1">NETWORKDAYS(P719,$Y$1)</f>
        <v>65</v>
      </c>
      <c r="Z719" s="34">
        <v>1</v>
      </c>
      <c r="AA719" s="25" t="str">
        <f t="shared" ca="1" si="58"/>
        <v>A VENCER</v>
      </c>
      <c r="AB719" s="25" t="str">
        <f t="shared" si="56"/>
        <v>SL-On</v>
      </c>
      <c r="AC719" s="2" t="str">
        <f t="shared" si="60"/>
        <v xml:space="preserve"> CRISTINA </v>
      </c>
      <c r="AD719" s="26">
        <f t="shared" si="57"/>
        <v>1</v>
      </c>
      <c r="AE719" s="26">
        <f t="shared" ca="1" si="59"/>
        <v>90.096699884255941</v>
      </c>
      <c r="AF719" s="35"/>
    </row>
    <row r="720" spans="1:32" hidden="1">
      <c r="A720" s="209">
        <v>9128854</v>
      </c>
      <c r="B720" s="209" t="s">
        <v>101</v>
      </c>
      <c r="C720" s="210" t="s">
        <v>643</v>
      </c>
      <c r="D720" s="214">
        <v>220196470</v>
      </c>
      <c r="E720" s="214">
        <v>8259001400030</v>
      </c>
      <c r="F720" s="209" t="s">
        <v>647</v>
      </c>
      <c r="G720" s="209" t="s">
        <v>53</v>
      </c>
      <c r="H720" s="209" t="s">
        <v>245</v>
      </c>
      <c r="I720" s="209" t="s">
        <v>246</v>
      </c>
      <c r="J720" s="209" t="s">
        <v>56</v>
      </c>
      <c r="K720" s="210" t="s">
        <v>650</v>
      </c>
      <c r="L720" s="210"/>
      <c r="M720" s="209" t="s">
        <v>58</v>
      </c>
      <c r="N720" s="209">
        <v>0</v>
      </c>
      <c r="O720" s="209" t="s">
        <v>105</v>
      </c>
      <c r="P720" s="213">
        <v>44896.569606481484</v>
      </c>
      <c r="Q720" s="209"/>
      <c r="R720" s="209">
        <v>4</v>
      </c>
      <c r="S720" s="209"/>
      <c r="T720" s="209" t="s">
        <v>646</v>
      </c>
      <c r="U720" s="213">
        <v>44897.569606481484</v>
      </c>
      <c r="V720" s="209" t="s">
        <v>41</v>
      </c>
      <c r="W720" s="209" t="s">
        <v>49</v>
      </c>
      <c r="X720" s="13" t="str">
        <f>IF(RIGHT(H720,2)&lt;&gt;"00",H720,"")</f>
        <v/>
      </c>
      <c r="Y720" s="26">
        <f ca="1">NETWORKDAYS(P720,$Y$1)</f>
        <v>65</v>
      </c>
      <c r="Z720" s="34">
        <v>1</v>
      </c>
      <c r="AA720" s="25" t="str">
        <f t="shared" ca="1" si="58"/>
        <v>A VENCER</v>
      </c>
      <c r="AB720" s="25" t="str">
        <f t="shared" si="56"/>
        <v>C-14</v>
      </c>
      <c r="AC720" s="2" t="str">
        <f t="shared" si="60"/>
        <v xml:space="preserve"> CRISTINA </v>
      </c>
      <c r="AD720" s="26">
        <f t="shared" si="57"/>
        <v>15</v>
      </c>
      <c r="AE720" s="26">
        <f t="shared" ca="1" si="59"/>
        <v>90.106665162034915</v>
      </c>
      <c r="AF720" s="35"/>
    </row>
    <row r="721" spans="1:32" hidden="1">
      <c r="A721" s="209">
        <v>9128754</v>
      </c>
      <c r="B721" s="209" t="s">
        <v>101</v>
      </c>
      <c r="C721" s="210" t="s">
        <v>643</v>
      </c>
      <c r="D721" s="214">
        <v>220196094</v>
      </c>
      <c r="E721" s="214">
        <v>4623001400030</v>
      </c>
      <c r="F721" s="209" t="s">
        <v>647</v>
      </c>
      <c r="G721" s="209" t="s">
        <v>53</v>
      </c>
      <c r="H721" s="209" t="s">
        <v>669</v>
      </c>
      <c r="I721" s="209" t="s">
        <v>670</v>
      </c>
      <c r="J721" s="209" t="s">
        <v>33</v>
      </c>
      <c r="K721" s="210" t="s">
        <v>650</v>
      </c>
      <c r="L721" s="210"/>
      <c r="M721" s="209" t="s">
        <v>58</v>
      </c>
      <c r="N721" s="209">
        <v>0</v>
      </c>
      <c r="O721" s="209" t="s">
        <v>105</v>
      </c>
      <c r="P721" s="213">
        <v>44896.566134259258</v>
      </c>
      <c r="Q721" s="209"/>
      <c r="R721" s="209">
        <v>4</v>
      </c>
      <c r="S721" s="209"/>
      <c r="T721" s="209" t="s">
        <v>646</v>
      </c>
      <c r="U721" s="213">
        <v>44897.566145833334</v>
      </c>
      <c r="V721" s="209" t="s">
        <v>41</v>
      </c>
      <c r="W721" s="209" t="s">
        <v>42</v>
      </c>
      <c r="X721" s="13" t="str">
        <f>IF(RIGHT(H721,2)&lt;&gt;"00",H721,"")</f>
        <v/>
      </c>
      <c r="Y721" s="26">
        <f ca="1">NETWORKDAYS(P721,$Y$1)</f>
        <v>65</v>
      </c>
      <c r="Z721" s="34">
        <v>1</v>
      </c>
      <c r="AA721" s="25" t="str">
        <f t="shared" ca="1" si="58"/>
        <v>A VENCER</v>
      </c>
      <c r="AB721" s="25" t="str">
        <f t="shared" si="56"/>
        <v>C-14</v>
      </c>
      <c r="AC721" s="2" t="str">
        <f t="shared" si="60"/>
        <v xml:space="preserve"> ROSEMERE </v>
      </c>
      <c r="AD721" s="26">
        <f t="shared" si="57"/>
        <v>15</v>
      </c>
      <c r="AE721" s="26">
        <f t="shared" ca="1" si="59"/>
        <v>90.110137384261179</v>
      </c>
      <c r="AF721" s="35"/>
    </row>
    <row r="722" spans="1:32" hidden="1">
      <c r="A722" s="209">
        <v>9128723</v>
      </c>
      <c r="B722" s="209" t="s">
        <v>101</v>
      </c>
      <c r="C722" s="210" t="s">
        <v>643</v>
      </c>
      <c r="D722" s="214">
        <v>220196098</v>
      </c>
      <c r="E722" s="214">
        <v>4637001400030</v>
      </c>
      <c r="F722" s="209" t="s">
        <v>647</v>
      </c>
      <c r="G722" s="209" t="s">
        <v>53</v>
      </c>
      <c r="H722" s="209" t="s">
        <v>848</v>
      </c>
      <c r="I722" s="209" t="s">
        <v>849</v>
      </c>
      <c r="J722" s="209" t="s">
        <v>79</v>
      </c>
      <c r="K722" s="210" t="s">
        <v>650</v>
      </c>
      <c r="L722" s="210"/>
      <c r="M722" s="209" t="s">
        <v>58</v>
      </c>
      <c r="N722" s="209">
        <v>0</v>
      </c>
      <c r="O722" s="209" t="s">
        <v>105</v>
      </c>
      <c r="P722" s="213">
        <v>44896.564293981479</v>
      </c>
      <c r="Q722" s="209"/>
      <c r="R722" s="209">
        <v>4</v>
      </c>
      <c r="S722" s="209"/>
      <c r="T722" s="209" t="s">
        <v>646</v>
      </c>
      <c r="U722" s="213">
        <v>44897.564305555556</v>
      </c>
      <c r="V722" s="209" t="s">
        <v>41</v>
      </c>
      <c r="W722" s="209" t="s">
        <v>49</v>
      </c>
      <c r="X722" s="13" t="str">
        <f>IF(RIGHT(H722,2)&lt;&gt;"00",H722,"")</f>
        <v/>
      </c>
      <c r="Y722" s="26">
        <f ca="1">NETWORKDAYS(P722,$Y$1)</f>
        <v>65</v>
      </c>
      <c r="Z722" s="34">
        <v>1</v>
      </c>
      <c r="AA722" s="25" t="str">
        <f t="shared" ca="1" si="58"/>
        <v>A VENCER</v>
      </c>
      <c r="AB722" s="25" t="str">
        <f t="shared" si="56"/>
        <v>C-14</v>
      </c>
      <c r="AC722" s="2" t="str">
        <f t="shared" si="60"/>
        <v xml:space="preserve"> ROSEMERE </v>
      </c>
      <c r="AD722" s="26">
        <f t="shared" si="57"/>
        <v>15</v>
      </c>
      <c r="AE722" s="26">
        <f t="shared" ca="1" si="59"/>
        <v>90.111977662039862</v>
      </c>
      <c r="AF722" s="35"/>
    </row>
    <row r="723" spans="1:32" hidden="1">
      <c r="A723" s="209">
        <v>9128704</v>
      </c>
      <c r="B723" s="209" t="s">
        <v>101</v>
      </c>
      <c r="C723" s="210" t="s">
        <v>643</v>
      </c>
      <c r="D723" s="214">
        <v>220195914</v>
      </c>
      <c r="E723" s="214">
        <v>4012001400030</v>
      </c>
      <c r="F723" s="209" t="s">
        <v>647</v>
      </c>
      <c r="G723" s="209" t="s">
        <v>53</v>
      </c>
      <c r="H723" s="209" t="s">
        <v>349</v>
      </c>
      <c r="I723" s="209" t="s">
        <v>350</v>
      </c>
      <c r="J723" s="209" t="s">
        <v>261</v>
      </c>
      <c r="K723" s="210" t="s">
        <v>650</v>
      </c>
      <c r="L723" s="210"/>
      <c r="M723" s="209" t="s">
        <v>58</v>
      </c>
      <c r="N723" s="209">
        <v>0</v>
      </c>
      <c r="O723" s="209" t="s">
        <v>105</v>
      </c>
      <c r="P723" s="213">
        <v>44896.563391203701</v>
      </c>
      <c r="Q723" s="209"/>
      <c r="R723" s="209">
        <v>4</v>
      </c>
      <c r="S723" s="209"/>
      <c r="T723" s="209" t="s">
        <v>646</v>
      </c>
      <c r="U723" s="213">
        <v>44897.563391203701</v>
      </c>
      <c r="V723" s="209" t="s">
        <v>41</v>
      </c>
      <c r="W723" s="209" t="s">
        <v>49</v>
      </c>
      <c r="X723" s="13" t="str">
        <f>IF(RIGHT(H723,2)&lt;&gt;"00",H723,"")</f>
        <v/>
      </c>
      <c r="Y723" s="26">
        <f ca="1">NETWORKDAYS(P723,$Y$1)</f>
        <v>65</v>
      </c>
      <c r="Z723" s="34">
        <v>1</v>
      </c>
      <c r="AA723" s="25" t="str">
        <f t="shared" ca="1" si="58"/>
        <v>A VENCER</v>
      </c>
      <c r="AB723" s="25" t="str">
        <f t="shared" si="56"/>
        <v>C-14</v>
      </c>
      <c r="AC723" s="2" t="str">
        <f t="shared" si="60"/>
        <v xml:space="preserve"> CRISTINA </v>
      </c>
      <c r="AD723" s="26">
        <f t="shared" si="57"/>
        <v>15</v>
      </c>
      <c r="AE723" s="26">
        <f t="shared" ca="1" si="59"/>
        <v>90.112880439817673</v>
      </c>
      <c r="AF723" s="35"/>
    </row>
    <row r="724" spans="1:32" hidden="1">
      <c r="A724" s="209">
        <v>9128584</v>
      </c>
      <c r="B724" s="209" t="s">
        <v>101</v>
      </c>
      <c r="C724" s="210" t="s">
        <v>643</v>
      </c>
      <c r="D724" s="214">
        <v>220195562</v>
      </c>
      <c r="E724" s="214">
        <v>2529001400030</v>
      </c>
      <c r="F724" s="209" t="s">
        <v>647</v>
      </c>
      <c r="G724" s="209" t="s">
        <v>53</v>
      </c>
      <c r="H724" s="209" t="s">
        <v>355</v>
      </c>
      <c r="I724" s="209" t="s">
        <v>356</v>
      </c>
      <c r="J724" s="209" t="s">
        <v>56</v>
      </c>
      <c r="K724" s="210" t="s">
        <v>650</v>
      </c>
      <c r="L724" s="210"/>
      <c r="M724" s="209" t="s">
        <v>58</v>
      </c>
      <c r="N724" s="209">
        <v>0</v>
      </c>
      <c r="O724" s="209" t="s">
        <v>105</v>
      </c>
      <c r="P724" s="213">
        <v>44896.558148148149</v>
      </c>
      <c r="Q724" s="209"/>
      <c r="R724" s="209">
        <v>4</v>
      </c>
      <c r="S724" s="209"/>
      <c r="T724" s="209" t="s">
        <v>646</v>
      </c>
      <c r="U724" s="213">
        <v>44897.558148148149</v>
      </c>
      <c r="V724" s="209" t="s">
        <v>41</v>
      </c>
      <c r="W724" s="209" t="s">
        <v>49</v>
      </c>
      <c r="X724" s="13" t="str">
        <f>IF(RIGHT(H724,2)&lt;&gt;"00",H724,"")</f>
        <v/>
      </c>
      <c r="Y724" s="26">
        <f ca="1">NETWORKDAYS(P724,$Y$1)</f>
        <v>65</v>
      </c>
      <c r="Z724" s="34">
        <v>1</v>
      </c>
      <c r="AA724" s="25" t="str">
        <f t="shared" ca="1" si="58"/>
        <v>A VENCER</v>
      </c>
      <c r="AB724" s="25" t="str">
        <f t="shared" si="56"/>
        <v>C-14</v>
      </c>
      <c r="AC724" s="2" t="str">
        <f t="shared" si="60"/>
        <v xml:space="preserve"> CRISTINA </v>
      </c>
      <c r="AD724" s="26">
        <f t="shared" si="57"/>
        <v>15</v>
      </c>
      <c r="AE724" s="26">
        <f t="shared" ca="1" si="59"/>
        <v>90.118123495369218</v>
      </c>
      <c r="AF724" s="35"/>
    </row>
    <row r="725" spans="1:32" hidden="1">
      <c r="A725" s="209">
        <v>9128556</v>
      </c>
      <c r="B725" s="209" t="s">
        <v>101</v>
      </c>
      <c r="C725" s="210" t="s">
        <v>643</v>
      </c>
      <c r="D725" s="214">
        <v>220195542</v>
      </c>
      <c r="E725" s="214">
        <v>2473001400030</v>
      </c>
      <c r="F725" s="209" t="s">
        <v>647</v>
      </c>
      <c r="G725" s="209" t="s">
        <v>53</v>
      </c>
      <c r="H725" s="209" t="s">
        <v>1459</v>
      </c>
      <c r="I725" s="209" t="s">
        <v>1460</v>
      </c>
      <c r="J725" s="209" t="s">
        <v>261</v>
      </c>
      <c r="K725" s="210" t="s">
        <v>650</v>
      </c>
      <c r="L725" s="210"/>
      <c r="M725" s="209" t="s">
        <v>58</v>
      </c>
      <c r="N725" s="209">
        <v>0</v>
      </c>
      <c r="O725" s="209" t="s">
        <v>105</v>
      </c>
      <c r="P725" s="213">
        <v>44896.556932870371</v>
      </c>
      <c r="Q725" s="209"/>
      <c r="R725" s="209">
        <v>4</v>
      </c>
      <c r="S725" s="209"/>
      <c r="T725" s="209" t="s">
        <v>646</v>
      </c>
      <c r="U725" s="213">
        <v>44897.556932870371</v>
      </c>
      <c r="V725" s="209" t="s">
        <v>41</v>
      </c>
      <c r="W725" s="209" t="s">
        <v>49</v>
      </c>
      <c r="X725" s="13" t="str">
        <f>IF(RIGHT(H725,2)&lt;&gt;"00",H725,"")</f>
        <v/>
      </c>
      <c r="Y725" s="26">
        <f ca="1">NETWORKDAYS(P725,$Y$1)</f>
        <v>65</v>
      </c>
      <c r="Z725" s="34">
        <v>1</v>
      </c>
      <c r="AA725" s="25" t="str">
        <f t="shared" ca="1" si="58"/>
        <v>A VENCER</v>
      </c>
      <c r="AB725" s="25" t="str">
        <f t="shared" si="56"/>
        <v>C-14</v>
      </c>
      <c r="AC725" s="2" t="str">
        <f t="shared" si="60"/>
        <v xml:space="preserve"> CRISTINA </v>
      </c>
      <c r="AD725" s="26">
        <f t="shared" si="57"/>
        <v>15</v>
      </c>
      <c r="AE725" s="26">
        <f t="shared" ca="1" si="59"/>
        <v>90.119338773147319</v>
      </c>
      <c r="AF725" s="35"/>
    </row>
    <row r="726" spans="1:32" hidden="1">
      <c r="A726" s="209">
        <v>9128525</v>
      </c>
      <c r="B726" s="209" t="s">
        <v>101</v>
      </c>
      <c r="C726" s="210" t="s">
        <v>643</v>
      </c>
      <c r="D726" s="214">
        <v>220195522</v>
      </c>
      <c r="E726" s="214">
        <v>2413001400030</v>
      </c>
      <c r="F726" s="209" t="s">
        <v>647</v>
      </c>
      <c r="G726" s="209" t="s">
        <v>53</v>
      </c>
      <c r="H726" s="209" t="s">
        <v>505</v>
      </c>
      <c r="I726" s="209" t="s">
        <v>506</v>
      </c>
      <c r="J726" s="209" t="s">
        <v>141</v>
      </c>
      <c r="K726" s="210" t="s">
        <v>650</v>
      </c>
      <c r="L726" s="210"/>
      <c r="M726" s="209" t="s">
        <v>58</v>
      </c>
      <c r="N726" s="209">
        <v>0</v>
      </c>
      <c r="O726" s="209" t="s">
        <v>105</v>
      </c>
      <c r="P726" s="213">
        <v>44896.555879629632</v>
      </c>
      <c r="Q726" s="209"/>
      <c r="R726" s="209">
        <v>4</v>
      </c>
      <c r="S726" s="209"/>
      <c r="T726" s="209" t="s">
        <v>646</v>
      </c>
      <c r="U726" s="213">
        <v>44897.555891203701</v>
      </c>
      <c r="V726" s="209" t="s">
        <v>41</v>
      </c>
      <c r="W726" s="209" t="s">
        <v>49</v>
      </c>
      <c r="X726" s="13" t="str">
        <f>IF(RIGHT(H726,2)&lt;&gt;"00",H726,"")</f>
        <v/>
      </c>
      <c r="Y726" s="26">
        <f ca="1">NETWORKDAYS(P726,$Y$1)</f>
        <v>65</v>
      </c>
      <c r="Z726" s="34">
        <v>1</v>
      </c>
      <c r="AA726" s="25" t="str">
        <f t="shared" ca="1" si="58"/>
        <v>A VENCER</v>
      </c>
      <c r="AB726" s="25" t="str">
        <f t="shared" si="56"/>
        <v>C-14</v>
      </c>
      <c r="AC726" s="2" t="str">
        <f t="shared" si="60"/>
        <v xml:space="preserve"> CRISTINA </v>
      </c>
      <c r="AD726" s="26">
        <f t="shared" si="57"/>
        <v>15</v>
      </c>
      <c r="AE726" s="26">
        <f t="shared" ca="1" si="59"/>
        <v>90.120392013886885</v>
      </c>
      <c r="AF726" s="35"/>
    </row>
    <row r="727" spans="1:32" hidden="1">
      <c r="A727" s="209">
        <v>9128505</v>
      </c>
      <c r="B727" s="209" t="s">
        <v>101</v>
      </c>
      <c r="C727" s="210" t="s">
        <v>643</v>
      </c>
      <c r="D727" s="214">
        <v>220195710</v>
      </c>
      <c r="E727" s="214">
        <v>3108001400030</v>
      </c>
      <c r="F727" s="209" t="s">
        <v>647</v>
      </c>
      <c r="G727" s="209" t="s">
        <v>53</v>
      </c>
      <c r="H727" s="209" t="s">
        <v>325</v>
      </c>
      <c r="I727" s="209" t="s">
        <v>326</v>
      </c>
      <c r="J727" s="209" t="s">
        <v>46</v>
      </c>
      <c r="K727" s="210" t="s">
        <v>650</v>
      </c>
      <c r="L727" s="210"/>
      <c r="M727" s="209" t="s">
        <v>58</v>
      </c>
      <c r="N727" s="209">
        <v>0</v>
      </c>
      <c r="O727" s="209" t="s">
        <v>105</v>
      </c>
      <c r="P727" s="213">
        <v>44896.555162037039</v>
      </c>
      <c r="Q727" s="209"/>
      <c r="R727" s="209">
        <v>4</v>
      </c>
      <c r="S727" s="209"/>
      <c r="T727" s="209" t="s">
        <v>646</v>
      </c>
      <c r="U727" s="213">
        <v>44897.555162037039</v>
      </c>
      <c r="V727" s="209" t="s">
        <v>41</v>
      </c>
      <c r="W727" s="209" t="s">
        <v>49</v>
      </c>
      <c r="X727" s="13" t="str">
        <f>IF(RIGHT(H727,2)&lt;&gt;"00",H727,"")</f>
        <v/>
      </c>
      <c r="Y727" s="26">
        <f ca="1">NETWORKDAYS(P727,$Y$1)</f>
        <v>65</v>
      </c>
      <c r="Z727" s="34">
        <v>1</v>
      </c>
      <c r="AA727" s="25" t="str">
        <f t="shared" ca="1" si="58"/>
        <v>A VENCER</v>
      </c>
      <c r="AB727" s="25" t="str">
        <f t="shared" si="56"/>
        <v>C-14</v>
      </c>
      <c r="AC727" s="2" t="str">
        <f t="shared" si="60"/>
        <v xml:space="preserve"> CLEITON </v>
      </c>
      <c r="AD727" s="26">
        <f t="shared" si="57"/>
        <v>15</v>
      </c>
      <c r="AE727" s="26">
        <f t="shared" ca="1" si="59"/>
        <v>90.121109606479877</v>
      </c>
      <c r="AF727" s="35"/>
    </row>
    <row r="728" spans="1:32" hidden="1">
      <c r="A728" s="209">
        <v>9128485</v>
      </c>
      <c r="B728" s="209" t="s">
        <v>101</v>
      </c>
      <c r="C728" s="210" t="s">
        <v>643</v>
      </c>
      <c r="D728" s="214">
        <v>220195128</v>
      </c>
      <c r="E728" s="214">
        <v>1162001400030</v>
      </c>
      <c r="F728" s="209" t="s">
        <v>647</v>
      </c>
      <c r="G728" s="209" t="s">
        <v>53</v>
      </c>
      <c r="H728" s="209" t="s">
        <v>280</v>
      </c>
      <c r="I728" s="209" t="s">
        <v>281</v>
      </c>
      <c r="J728" s="209" t="s">
        <v>211</v>
      </c>
      <c r="K728" s="210" t="s">
        <v>650</v>
      </c>
      <c r="L728" s="210"/>
      <c r="M728" s="209" t="s">
        <v>58</v>
      </c>
      <c r="N728" s="209">
        <v>0</v>
      </c>
      <c r="O728" s="209" t="s">
        <v>105</v>
      </c>
      <c r="P728" s="213">
        <v>44896.553865740738</v>
      </c>
      <c r="Q728" s="209"/>
      <c r="R728" s="209">
        <v>4</v>
      </c>
      <c r="S728" s="209"/>
      <c r="T728" s="209" t="s">
        <v>646</v>
      </c>
      <c r="U728" s="213">
        <v>44897.553877314815</v>
      </c>
      <c r="V728" s="209" t="s">
        <v>41</v>
      </c>
      <c r="W728" s="209" t="s">
        <v>49</v>
      </c>
      <c r="X728" s="13" t="str">
        <f>IF(RIGHT(H728,2)&lt;&gt;"00",H728,"")</f>
        <v/>
      </c>
      <c r="Y728" s="26">
        <f ca="1">NETWORKDAYS(P728,$Y$1)</f>
        <v>65</v>
      </c>
      <c r="Z728" s="34">
        <v>1</v>
      </c>
      <c r="AA728" s="25" t="str">
        <f t="shared" ca="1" si="58"/>
        <v>A VENCER</v>
      </c>
      <c r="AB728" s="25" t="str">
        <f t="shared" si="56"/>
        <v>C-14</v>
      </c>
      <c r="AC728" s="2" t="str">
        <f t="shared" si="60"/>
        <v xml:space="preserve"> RINALDO </v>
      </c>
      <c r="AD728" s="26">
        <f t="shared" si="57"/>
        <v>15</v>
      </c>
      <c r="AE728" s="26">
        <f t="shared" ca="1" si="59"/>
        <v>90.122405902780883</v>
      </c>
      <c r="AF728" s="35"/>
    </row>
    <row r="729" spans="1:32" hidden="1">
      <c r="A729" s="209">
        <v>9128470</v>
      </c>
      <c r="B729" s="209" t="s">
        <v>101</v>
      </c>
      <c r="C729" s="210" t="s">
        <v>643</v>
      </c>
      <c r="D729" s="214">
        <v>220195114</v>
      </c>
      <c r="E729" s="214">
        <v>1138001400030</v>
      </c>
      <c r="F729" s="209" t="s">
        <v>647</v>
      </c>
      <c r="G729" s="209" t="s">
        <v>53</v>
      </c>
      <c r="H729" s="209" t="s">
        <v>548</v>
      </c>
      <c r="I729" s="209" t="s">
        <v>549</v>
      </c>
      <c r="J729" s="209" t="s">
        <v>46</v>
      </c>
      <c r="K729" s="210" t="s">
        <v>650</v>
      </c>
      <c r="L729" s="210"/>
      <c r="M729" s="209" t="s">
        <v>58</v>
      </c>
      <c r="N729" s="209">
        <v>0</v>
      </c>
      <c r="O729" s="209" t="s">
        <v>105</v>
      </c>
      <c r="P729" s="213">
        <v>44896.553067129629</v>
      </c>
      <c r="Q729" s="209"/>
      <c r="R729" s="209">
        <v>4</v>
      </c>
      <c r="S729" s="209"/>
      <c r="T729" s="209" t="s">
        <v>646</v>
      </c>
      <c r="U729" s="213">
        <v>44897.553067129629</v>
      </c>
      <c r="V729" s="209" t="s">
        <v>41</v>
      </c>
      <c r="W729" s="209" t="s">
        <v>49</v>
      </c>
      <c r="X729" s="13" t="str">
        <f>IF(RIGHT(H729,2)&lt;&gt;"00",H729,"")</f>
        <v/>
      </c>
      <c r="Y729" s="26">
        <f ca="1">NETWORKDAYS(P729,$Y$1)</f>
        <v>65</v>
      </c>
      <c r="Z729" s="34">
        <v>1</v>
      </c>
      <c r="AA729" s="25" t="str">
        <f t="shared" ca="1" si="58"/>
        <v>A VENCER</v>
      </c>
      <c r="AB729" s="25" t="str">
        <f t="shared" si="56"/>
        <v>C-14</v>
      </c>
      <c r="AC729" s="2" t="str">
        <f t="shared" si="60"/>
        <v xml:space="preserve"> CLEITON </v>
      </c>
      <c r="AD729" s="26">
        <f t="shared" si="57"/>
        <v>15</v>
      </c>
      <c r="AE729" s="26">
        <f t="shared" ca="1" si="59"/>
        <v>90.123204513889505</v>
      </c>
      <c r="AF729" s="35"/>
    </row>
    <row r="730" spans="1:32" hidden="1">
      <c r="A730" s="209">
        <v>9128428</v>
      </c>
      <c r="B730" s="209" t="s">
        <v>101</v>
      </c>
      <c r="C730" s="210" t="s">
        <v>643</v>
      </c>
      <c r="D730" s="214">
        <v>220195184</v>
      </c>
      <c r="E730" s="214">
        <v>1291001400030</v>
      </c>
      <c r="F730" s="209" t="s">
        <v>647</v>
      </c>
      <c r="G730" s="209" t="s">
        <v>53</v>
      </c>
      <c r="H730" s="209" t="s">
        <v>136</v>
      </c>
      <c r="I730" s="209" t="s">
        <v>137</v>
      </c>
      <c r="J730" s="209" t="s">
        <v>33</v>
      </c>
      <c r="K730" s="210" t="s">
        <v>650</v>
      </c>
      <c r="L730" s="210"/>
      <c r="M730" s="209" t="s">
        <v>58</v>
      </c>
      <c r="N730" s="209">
        <v>0</v>
      </c>
      <c r="O730" s="209" t="s">
        <v>105</v>
      </c>
      <c r="P730" s="213">
        <v>44896.551354166666</v>
      </c>
      <c r="Q730" s="209"/>
      <c r="R730" s="209">
        <v>4</v>
      </c>
      <c r="S730" s="209"/>
      <c r="T730" s="209" t="s">
        <v>646</v>
      </c>
      <c r="U730" s="213">
        <v>44897.551354166666</v>
      </c>
      <c r="V730" s="209" t="s">
        <v>41</v>
      </c>
      <c r="W730" s="209" t="s">
        <v>42</v>
      </c>
      <c r="X730" s="13" t="str">
        <f>IF(RIGHT(H730,2)&lt;&gt;"00",H730,"")</f>
        <v/>
      </c>
      <c r="Y730" s="26">
        <f ca="1">NETWORKDAYS(P730,$Y$1)</f>
        <v>65</v>
      </c>
      <c r="Z730" s="34">
        <v>1</v>
      </c>
      <c r="AA730" s="25" t="str">
        <f t="shared" ca="1" si="58"/>
        <v>A VENCER</v>
      </c>
      <c r="AB730" s="25" t="str">
        <f t="shared" si="56"/>
        <v>C-14</v>
      </c>
      <c r="AC730" s="2" t="str">
        <f t="shared" si="60"/>
        <v xml:space="preserve"> ROSEMERE </v>
      </c>
      <c r="AD730" s="26">
        <f t="shared" si="57"/>
        <v>15</v>
      </c>
      <c r="AE730" s="26">
        <f t="shared" ca="1" si="59"/>
        <v>90.124917476852715</v>
      </c>
      <c r="AF730" s="35"/>
    </row>
    <row r="731" spans="1:32" hidden="1">
      <c r="A731" s="209">
        <v>9128421</v>
      </c>
      <c r="B731" s="209" t="s">
        <v>101</v>
      </c>
      <c r="C731" s="210" t="s">
        <v>643</v>
      </c>
      <c r="D731" s="214">
        <v>220195177</v>
      </c>
      <c r="E731" s="214">
        <v>1264001400030</v>
      </c>
      <c r="F731" s="209" t="s">
        <v>647</v>
      </c>
      <c r="G731" s="209" t="s">
        <v>53</v>
      </c>
      <c r="H731" s="209" t="s">
        <v>351</v>
      </c>
      <c r="I731" s="209" t="s">
        <v>352</v>
      </c>
      <c r="J731" s="209" t="s">
        <v>110</v>
      </c>
      <c r="K731" s="210" t="s">
        <v>650</v>
      </c>
      <c r="L731" s="210"/>
      <c r="M731" s="209" t="s">
        <v>58</v>
      </c>
      <c r="N731" s="209">
        <v>0</v>
      </c>
      <c r="O731" s="209" t="s">
        <v>105</v>
      </c>
      <c r="P731" s="213">
        <v>44896.550949074073</v>
      </c>
      <c r="Q731" s="209"/>
      <c r="R731" s="209">
        <v>4</v>
      </c>
      <c r="S731" s="209"/>
      <c r="T731" s="209" t="s">
        <v>646</v>
      </c>
      <c r="U731" s="213">
        <v>44897.550949074073</v>
      </c>
      <c r="V731" s="209" t="s">
        <v>41</v>
      </c>
      <c r="W731" s="209" t="s">
        <v>49</v>
      </c>
      <c r="X731" s="13" t="str">
        <f>IF(RIGHT(H731,2)&lt;&gt;"00",H731,"")</f>
        <v/>
      </c>
      <c r="Y731" s="26">
        <f ca="1">NETWORKDAYS(P731,$Y$1)</f>
        <v>65</v>
      </c>
      <c r="Z731" s="34">
        <v>1</v>
      </c>
      <c r="AA731" s="25" t="str">
        <f t="shared" ca="1" si="58"/>
        <v>A VENCER</v>
      </c>
      <c r="AB731" s="25" t="str">
        <f t="shared" si="56"/>
        <v>C-14</v>
      </c>
      <c r="AC731" s="2" t="str">
        <f t="shared" si="60"/>
        <v xml:space="preserve"> CRISTINA </v>
      </c>
      <c r="AD731" s="26">
        <f t="shared" si="57"/>
        <v>15</v>
      </c>
      <c r="AE731" s="26">
        <f t="shared" ca="1" si="59"/>
        <v>90.125322569445416</v>
      </c>
      <c r="AF731" s="35"/>
    </row>
    <row r="732" spans="1:32" hidden="1">
      <c r="A732" s="209">
        <v>9128414</v>
      </c>
      <c r="B732" s="209" t="s">
        <v>101</v>
      </c>
      <c r="C732" s="210" t="s">
        <v>643</v>
      </c>
      <c r="D732" s="214">
        <v>220195170</v>
      </c>
      <c r="E732" s="214">
        <v>1245001400030</v>
      </c>
      <c r="F732" s="209" t="s">
        <v>647</v>
      </c>
      <c r="G732" s="209" t="s">
        <v>53</v>
      </c>
      <c r="H732" s="209" t="s">
        <v>408</v>
      </c>
      <c r="I732" s="209" t="s">
        <v>409</v>
      </c>
      <c r="J732" s="209" t="s">
        <v>46</v>
      </c>
      <c r="K732" s="210" t="s">
        <v>650</v>
      </c>
      <c r="L732" s="210"/>
      <c r="M732" s="209" t="s">
        <v>58</v>
      </c>
      <c r="N732" s="209">
        <v>0</v>
      </c>
      <c r="O732" s="209" t="s">
        <v>105</v>
      </c>
      <c r="P732" s="213">
        <v>44896.550543981481</v>
      </c>
      <c r="Q732" s="209"/>
      <c r="R732" s="209">
        <v>4</v>
      </c>
      <c r="S732" s="209"/>
      <c r="T732" s="209" t="s">
        <v>646</v>
      </c>
      <c r="U732" s="213">
        <v>44897.550555555557</v>
      </c>
      <c r="V732" s="209" t="s">
        <v>41</v>
      </c>
      <c r="W732" s="209" t="s">
        <v>49</v>
      </c>
      <c r="X732" s="13" t="str">
        <f>IF(RIGHT(H732,2)&lt;&gt;"00",H732,"")</f>
        <v/>
      </c>
      <c r="Y732" s="26">
        <f ca="1">NETWORKDAYS(P732,$Y$1)</f>
        <v>65</v>
      </c>
      <c r="Z732" s="34">
        <v>1</v>
      </c>
      <c r="AA732" s="25" t="str">
        <f t="shared" ca="1" si="58"/>
        <v>A VENCER</v>
      </c>
      <c r="AB732" s="25" t="str">
        <f t="shared" si="56"/>
        <v>C-14</v>
      </c>
      <c r="AC732" s="2" t="str">
        <f t="shared" si="60"/>
        <v xml:space="preserve"> CLEITON </v>
      </c>
      <c r="AD732" s="26">
        <f t="shared" si="57"/>
        <v>15</v>
      </c>
      <c r="AE732" s="26">
        <f t="shared" ca="1" si="59"/>
        <v>90.125727662038116</v>
      </c>
      <c r="AF732" s="35"/>
    </row>
    <row r="733" spans="1:32" hidden="1">
      <c r="A733" s="209">
        <v>9128339</v>
      </c>
      <c r="B733" s="209" t="s">
        <v>101</v>
      </c>
      <c r="C733" s="210" t="s">
        <v>643</v>
      </c>
      <c r="D733" s="214">
        <v>220194788</v>
      </c>
      <c r="E733" s="214">
        <v>550001400030</v>
      </c>
      <c r="F733" s="209" t="s">
        <v>647</v>
      </c>
      <c r="G733" s="209" t="s">
        <v>53</v>
      </c>
      <c r="H733" s="209" t="s">
        <v>337</v>
      </c>
      <c r="I733" s="209" t="s">
        <v>338</v>
      </c>
      <c r="J733" s="209" t="s">
        <v>164</v>
      </c>
      <c r="K733" s="210" t="s">
        <v>650</v>
      </c>
      <c r="L733" s="210"/>
      <c r="M733" s="209" t="s">
        <v>58</v>
      </c>
      <c r="N733" s="209">
        <v>0</v>
      </c>
      <c r="O733" s="209" t="s">
        <v>105</v>
      </c>
      <c r="P733" s="213">
        <v>44896.547627314816</v>
      </c>
      <c r="Q733" s="209"/>
      <c r="R733" s="209">
        <v>4</v>
      </c>
      <c r="S733" s="209"/>
      <c r="T733" s="209" t="s">
        <v>646</v>
      </c>
      <c r="U733" s="213">
        <v>44897.547638888886</v>
      </c>
      <c r="V733" s="209" t="s">
        <v>41</v>
      </c>
      <c r="W733" s="209" t="s">
        <v>49</v>
      </c>
      <c r="X733" s="13" t="str">
        <f>IF(RIGHT(H733,2)&lt;&gt;"00",H733,"")</f>
        <v/>
      </c>
      <c r="Y733" s="26">
        <f ca="1">NETWORKDAYS(P733,$Y$1)</f>
        <v>65</v>
      </c>
      <c r="Z733" s="34">
        <v>1</v>
      </c>
      <c r="AA733" s="25" t="str">
        <f t="shared" ca="1" si="58"/>
        <v>A VENCER</v>
      </c>
      <c r="AB733" s="25" t="str">
        <f t="shared" ref="AB733:AB796" si="61">IF(F733="GRPE-000001","C-14",IF(F733="GRPE-000002","C-14",IF(F733="GRPE-000003","C-14",IF(F733="GRPE-000004","SL-On",IF(F733="GRPE-000038","C-14",IF(F733="GRPE-900022","Dosa",IF(F733="GRPE-000029","Dosa",IF(F733="ATOS-000222","Dose","TAAe+"))))))))</f>
        <v>C-14</v>
      </c>
      <c r="AC733" s="2" t="str">
        <f t="shared" si="60"/>
        <v xml:space="preserve"> ROSEMERE </v>
      </c>
      <c r="AD733" s="26">
        <f t="shared" ref="AD733:AD796" si="62">IF(F733="GRPE-000001",5,IF(F733="GRPE-000002",5,IF(F733="GRPE-000003",15,IF(F733="GRPE-000004",1,IF(F733="GRPE-000038",5,IF(F733="GRPE-900022",5,IF(F733="GRPE-000029",5,IF(F733="ATOS-000222",5,8))))))))</f>
        <v>15</v>
      </c>
      <c r="AE733" s="26">
        <f t="shared" ca="1" si="59"/>
        <v>90.128644328702649</v>
      </c>
      <c r="AF733" s="35"/>
    </row>
    <row r="734" spans="1:32" hidden="1">
      <c r="A734" s="209">
        <v>9128332</v>
      </c>
      <c r="B734" s="209" t="s">
        <v>101</v>
      </c>
      <c r="C734" s="210" t="s">
        <v>643</v>
      </c>
      <c r="D734" s="214">
        <v>220194783</v>
      </c>
      <c r="E734" s="214">
        <v>537001400030</v>
      </c>
      <c r="F734" s="209" t="s">
        <v>647</v>
      </c>
      <c r="G734" s="209" t="s">
        <v>53</v>
      </c>
      <c r="H734" s="209" t="s">
        <v>442</v>
      </c>
      <c r="I734" s="209" t="s">
        <v>443</v>
      </c>
      <c r="J734" s="209" t="s">
        <v>79</v>
      </c>
      <c r="K734" s="210" t="s">
        <v>650</v>
      </c>
      <c r="L734" s="210"/>
      <c r="M734" s="209" t="s">
        <v>58</v>
      </c>
      <c r="N734" s="209">
        <v>0</v>
      </c>
      <c r="O734" s="209" t="s">
        <v>105</v>
      </c>
      <c r="P734" s="213">
        <v>44896.547268518516</v>
      </c>
      <c r="Q734" s="209"/>
      <c r="R734" s="209">
        <v>4</v>
      </c>
      <c r="S734" s="209"/>
      <c r="T734" s="209" t="s">
        <v>646</v>
      </c>
      <c r="U734" s="213">
        <v>44897.547268518516</v>
      </c>
      <c r="V734" s="209" t="s">
        <v>41</v>
      </c>
      <c r="W734" s="209" t="s">
        <v>49</v>
      </c>
      <c r="X734" s="13" t="str">
        <f>IF(RIGHT(H734,2)&lt;&gt;"00",H734,"")</f>
        <v/>
      </c>
      <c r="Y734" s="26">
        <f ca="1">NETWORKDAYS(P734,$Y$1)</f>
        <v>65</v>
      </c>
      <c r="Z734" s="34">
        <v>1</v>
      </c>
      <c r="AA734" s="25" t="str">
        <f t="shared" ca="1" si="58"/>
        <v>A VENCER</v>
      </c>
      <c r="AB734" s="25" t="str">
        <f t="shared" si="61"/>
        <v>C-14</v>
      </c>
      <c r="AC734" s="2" t="str">
        <f t="shared" si="60"/>
        <v xml:space="preserve"> ROSEMERE </v>
      </c>
      <c r="AD734" s="26">
        <f t="shared" si="62"/>
        <v>15</v>
      </c>
      <c r="AE734" s="26">
        <f t="shared" ca="1" si="59"/>
        <v>90.129003125002782</v>
      </c>
      <c r="AF734" s="35"/>
    </row>
    <row r="735" spans="1:32" hidden="1">
      <c r="A735" s="209">
        <v>9128237</v>
      </c>
      <c r="B735" s="209" t="s">
        <v>101</v>
      </c>
      <c r="C735" s="210" t="s">
        <v>643</v>
      </c>
      <c r="D735" s="214">
        <v>220194807</v>
      </c>
      <c r="E735" s="214">
        <v>582001400030</v>
      </c>
      <c r="F735" s="209" t="s">
        <v>647</v>
      </c>
      <c r="G735" s="209" t="s">
        <v>53</v>
      </c>
      <c r="H735" s="209" t="s">
        <v>139</v>
      </c>
      <c r="I735" s="209" t="s">
        <v>140</v>
      </c>
      <c r="J735" s="209" t="s">
        <v>141</v>
      </c>
      <c r="K735" s="210" t="s">
        <v>650</v>
      </c>
      <c r="L735" s="210"/>
      <c r="M735" s="209" t="s">
        <v>58</v>
      </c>
      <c r="N735" s="209">
        <v>0</v>
      </c>
      <c r="O735" s="209" t="s">
        <v>105</v>
      </c>
      <c r="P735" s="213">
        <v>44896.542384259257</v>
      </c>
      <c r="Q735" s="209"/>
      <c r="R735" s="209">
        <v>4</v>
      </c>
      <c r="S735" s="209"/>
      <c r="T735" s="209" t="s">
        <v>646</v>
      </c>
      <c r="U735" s="213">
        <v>44897.542384259257</v>
      </c>
      <c r="V735" s="209" t="s">
        <v>41</v>
      </c>
      <c r="W735" s="209" t="s">
        <v>49</v>
      </c>
      <c r="X735" s="13" t="str">
        <f>IF(RIGHT(H735,2)&lt;&gt;"00",H735,"")</f>
        <v/>
      </c>
      <c r="Y735" s="26">
        <f ca="1">NETWORKDAYS(P735,$Y$1)</f>
        <v>65</v>
      </c>
      <c r="Z735" s="34">
        <v>1</v>
      </c>
      <c r="AA735" s="25" t="str">
        <f t="shared" ca="1" si="58"/>
        <v>A VENCER</v>
      </c>
      <c r="AB735" s="25" t="str">
        <f t="shared" si="61"/>
        <v>C-14</v>
      </c>
      <c r="AC735" s="2" t="str">
        <f t="shared" si="60"/>
        <v xml:space="preserve"> CRISTINA </v>
      </c>
      <c r="AD735" s="26">
        <f t="shared" si="62"/>
        <v>15</v>
      </c>
      <c r="AE735" s="26">
        <f t="shared" ca="1" si="59"/>
        <v>90.13388738426147</v>
      </c>
      <c r="AF735" s="35"/>
    </row>
    <row r="736" spans="1:32" hidden="1">
      <c r="A736" s="209">
        <v>9128165</v>
      </c>
      <c r="B736" s="209" t="s">
        <v>101</v>
      </c>
      <c r="C736" s="210" t="s">
        <v>643</v>
      </c>
      <c r="D736" s="214">
        <v>220194363</v>
      </c>
      <c r="E736" s="214">
        <v>5755001400010</v>
      </c>
      <c r="F736" s="209" t="s">
        <v>936</v>
      </c>
      <c r="G736" s="209" t="s">
        <v>53</v>
      </c>
      <c r="H736" s="209" t="s">
        <v>841</v>
      </c>
      <c r="I736" s="209" t="s">
        <v>842</v>
      </c>
      <c r="J736" s="209" t="s">
        <v>46</v>
      </c>
      <c r="K736" s="210" t="s">
        <v>937</v>
      </c>
      <c r="L736" s="210"/>
      <c r="M736" s="209" t="s">
        <v>58</v>
      </c>
      <c r="N736" s="209">
        <v>0</v>
      </c>
      <c r="O736" s="209" t="s">
        <v>105</v>
      </c>
      <c r="P736" s="213">
        <v>44896.5387962963</v>
      </c>
      <c r="Q736" s="209"/>
      <c r="R736" s="209">
        <v>3</v>
      </c>
      <c r="S736" s="209"/>
      <c r="T736" s="209" t="s">
        <v>646</v>
      </c>
      <c r="U736" s="213">
        <v>44897.5387962963</v>
      </c>
      <c r="V736" s="209" t="s">
        <v>41</v>
      </c>
      <c r="W736" s="209" t="s">
        <v>49</v>
      </c>
      <c r="X736" s="13" t="str">
        <f>IF(RIGHT(H736,2)&lt;&gt;"00",H736,"")</f>
        <v/>
      </c>
      <c r="Y736" s="26">
        <f ca="1">NETWORKDAYS(P736,$Y$1)</f>
        <v>65</v>
      </c>
      <c r="Z736" s="34">
        <v>1</v>
      </c>
      <c r="AA736" s="25" t="str">
        <f t="shared" ca="1" si="58"/>
        <v>A VENCER</v>
      </c>
      <c r="AB736" s="25" t="str">
        <f t="shared" si="61"/>
        <v>C-14</v>
      </c>
      <c r="AC736" s="2" t="str">
        <f t="shared" si="60"/>
        <v xml:space="preserve"> CLEITON </v>
      </c>
      <c r="AD736" s="26">
        <f t="shared" si="62"/>
        <v>5</v>
      </c>
      <c r="AE736" s="26">
        <f t="shared" ca="1" si="59"/>
        <v>90.137475347219151</v>
      </c>
      <c r="AF736" s="35"/>
    </row>
    <row r="737" spans="1:32" hidden="1">
      <c r="A737" s="209">
        <v>9128005</v>
      </c>
      <c r="B737" s="209" t="s">
        <v>101</v>
      </c>
      <c r="C737" s="210" t="s">
        <v>643</v>
      </c>
      <c r="D737" s="214">
        <v>220193965</v>
      </c>
      <c r="E737" s="214">
        <v>4012001400010</v>
      </c>
      <c r="F737" s="209" t="s">
        <v>936</v>
      </c>
      <c r="G737" s="209" t="s">
        <v>53</v>
      </c>
      <c r="H737" s="209" t="s">
        <v>349</v>
      </c>
      <c r="I737" s="209" t="s">
        <v>350</v>
      </c>
      <c r="J737" s="209" t="s">
        <v>261</v>
      </c>
      <c r="K737" s="210" t="s">
        <v>937</v>
      </c>
      <c r="L737" s="210"/>
      <c r="M737" s="209" t="s">
        <v>58</v>
      </c>
      <c r="N737" s="209">
        <v>0</v>
      </c>
      <c r="O737" s="209" t="s">
        <v>105</v>
      </c>
      <c r="P737" s="213">
        <v>44896.531909722224</v>
      </c>
      <c r="Q737" s="209"/>
      <c r="R737" s="209">
        <v>3</v>
      </c>
      <c r="S737" s="209"/>
      <c r="T737" s="209" t="s">
        <v>646</v>
      </c>
      <c r="U737" s="213">
        <v>44897.531921296293</v>
      </c>
      <c r="V737" s="209" t="s">
        <v>41</v>
      </c>
      <c r="W737" s="209" t="s">
        <v>49</v>
      </c>
      <c r="X737" s="13" t="str">
        <f>IF(RIGHT(H737,2)&lt;&gt;"00",H737,"")</f>
        <v/>
      </c>
      <c r="Y737" s="26">
        <f ca="1">NETWORKDAYS(P737,$Y$1)</f>
        <v>65</v>
      </c>
      <c r="Z737" s="34">
        <v>1</v>
      </c>
      <c r="AA737" s="25" t="str">
        <f t="shared" ca="1" si="58"/>
        <v>A VENCER</v>
      </c>
      <c r="AB737" s="25" t="str">
        <f t="shared" si="61"/>
        <v>C-14</v>
      </c>
      <c r="AC737" s="2" t="str">
        <f t="shared" si="60"/>
        <v xml:space="preserve"> CRISTINA </v>
      </c>
      <c r="AD737" s="26">
        <f t="shared" si="62"/>
        <v>5</v>
      </c>
      <c r="AE737" s="26">
        <f t="shared" ca="1" si="59"/>
        <v>90.144361921295058</v>
      </c>
      <c r="AF737" s="35"/>
    </row>
    <row r="738" spans="1:32" hidden="1">
      <c r="A738" s="209">
        <v>9127889</v>
      </c>
      <c r="B738" s="209" t="s">
        <v>101</v>
      </c>
      <c r="C738" s="210" t="s">
        <v>643</v>
      </c>
      <c r="D738" s="214">
        <v>220193587</v>
      </c>
      <c r="E738" s="214">
        <v>2326001400010</v>
      </c>
      <c r="F738" s="209" t="s">
        <v>936</v>
      </c>
      <c r="G738" s="209" t="s">
        <v>53</v>
      </c>
      <c r="H738" s="209" t="s">
        <v>191</v>
      </c>
      <c r="I738" s="209" t="s">
        <v>192</v>
      </c>
      <c r="J738" s="209" t="s">
        <v>46</v>
      </c>
      <c r="K738" s="210" t="s">
        <v>937</v>
      </c>
      <c r="L738" s="210"/>
      <c r="M738" s="209" t="s">
        <v>58</v>
      </c>
      <c r="N738" s="209">
        <v>0</v>
      </c>
      <c r="O738" s="209" t="s">
        <v>105</v>
      </c>
      <c r="P738" s="213">
        <v>44896.527627314812</v>
      </c>
      <c r="Q738" s="209"/>
      <c r="R738" s="209">
        <v>3</v>
      </c>
      <c r="S738" s="209"/>
      <c r="T738" s="209" t="s">
        <v>646</v>
      </c>
      <c r="U738" s="213">
        <v>44897.527627314812</v>
      </c>
      <c r="V738" s="209" t="s">
        <v>41</v>
      </c>
      <c r="W738" s="209" t="s">
        <v>49</v>
      </c>
      <c r="X738" s="13" t="str">
        <f>IF(RIGHT(H738,2)&lt;&gt;"00",H738,"")</f>
        <v/>
      </c>
      <c r="Y738" s="26">
        <f ca="1">NETWORKDAYS(P738,$Y$1)</f>
        <v>65</v>
      </c>
      <c r="Z738" s="34">
        <v>1</v>
      </c>
      <c r="AA738" s="25" t="str">
        <f t="shared" ca="1" si="58"/>
        <v>A VENCER</v>
      </c>
      <c r="AB738" s="25" t="str">
        <f t="shared" si="61"/>
        <v>C-14</v>
      </c>
      <c r="AC738" s="2" t="str">
        <f t="shared" si="60"/>
        <v xml:space="preserve"> CLEITON </v>
      </c>
      <c r="AD738" s="26">
        <f t="shared" si="62"/>
        <v>5</v>
      </c>
      <c r="AE738" s="26">
        <f t="shared" ca="1" si="59"/>
        <v>90.148644328706723</v>
      </c>
      <c r="AF738" s="35"/>
    </row>
    <row r="739" spans="1:32" hidden="1">
      <c r="A739" s="209">
        <v>9127850</v>
      </c>
      <c r="B739" s="209" t="s">
        <v>101</v>
      </c>
      <c r="C739" s="210" t="s">
        <v>643</v>
      </c>
      <c r="D739" s="214">
        <v>220193445</v>
      </c>
      <c r="E739" s="214">
        <v>1732001400010</v>
      </c>
      <c r="F739" s="209" t="s">
        <v>936</v>
      </c>
      <c r="G739" s="209" t="s">
        <v>53</v>
      </c>
      <c r="H739" s="209" t="s">
        <v>177</v>
      </c>
      <c r="I739" s="209" t="s">
        <v>178</v>
      </c>
      <c r="J739" s="209" t="s">
        <v>164</v>
      </c>
      <c r="K739" s="210" t="s">
        <v>937</v>
      </c>
      <c r="L739" s="210"/>
      <c r="M739" s="209" t="s">
        <v>58</v>
      </c>
      <c r="N739" s="209">
        <v>0</v>
      </c>
      <c r="O739" s="209" t="s">
        <v>105</v>
      </c>
      <c r="P739" s="213">
        <v>44896.526493055557</v>
      </c>
      <c r="Q739" s="209"/>
      <c r="R739" s="209">
        <v>3</v>
      </c>
      <c r="S739" s="209"/>
      <c r="T739" s="209" t="s">
        <v>646</v>
      </c>
      <c r="U739" s="213">
        <v>44897.526493055557</v>
      </c>
      <c r="V739" s="209" t="s">
        <v>41</v>
      </c>
      <c r="W739" s="209" t="s">
        <v>49</v>
      </c>
      <c r="X739" s="13" t="str">
        <f>IF(RIGHT(H739,2)&lt;&gt;"00",H739,"")</f>
        <v/>
      </c>
      <c r="Y739" s="26">
        <f ca="1">NETWORKDAYS(P739,$Y$1)</f>
        <v>65</v>
      </c>
      <c r="Z739" s="34">
        <v>1</v>
      </c>
      <c r="AA739" s="25" t="str">
        <f t="shared" ca="1" si="58"/>
        <v>A VENCER</v>
      </c>
      <c r="AB739" s="25" t="str">
        <f t="shared" si="61"/>
        <v>C-14</v>
      </c>
      <c r="AC739" s="2" t="str">
        <f t="shared" si="60"/>
        <v xml:space="preserve"> ROSEMERE </v>
      </c>
      <c r="AD739" s="26">
        <f t="shared" si="62"/>
        <v>5</v>
      </c>
      <c r="AE739" s="26">
        <f t="shared" ca="1" si="59"/>
        <v>90.149778587961919</v>
      </c>
      <c r="AF739" s="35"/>
    </row>
    <row r="740" spans="1:32" hidden="1">
      <c r="A740" s="209">
        <v>9127804</v>
      </c>
      <c r="B740" s="209" t="s">
        <v>101</v>
      </c>
      <c r="C740" s="210" t="s">
        <v>643</v>
      </c>
      <c r="D740" s="214">
        <v>220193422</v>
      </c>
      <c r="E740" s="214">
        <v>1664001400010</v>
      </c>
      <c r="F740" s="209" t="s">
        <v>936</v>
      </c>
      <c r="G740" s="209" t="s">
        <v>53</v>
      </c>
      <c r="H740" s="209" t="s">
        <v>307</v>
      </c>
      <c r="I740" s="209" t="s">
        <v>308</v>
      </c>
      <c r="J740" s="209" t="s">
        <v>164</v>
      </c>
      <c r="K740" s="210" t="s">
        <v>937</v>
      </c>
      <c r="L740" s="210"/>
      <c r="M740" s="209" t="s">
        <v>58</v>
      </c>
      <c r="N740" s="209">
        <v>0</v>
      </c>
      <c r="O740" s="209" t="s">
        <v>105</v>
      </c>
      <c r="P740" s="213">
        <v>44896.523692129631</v>
      </c>
      <c r="Q740" s="209"/>
      <c r="R740" s="209">
        <v>3</v>
      </c>
      <c r="S740" s="209"/>
      <c r="T740" s="209" t="s">
        <v>646</v>
      </c>
      <c r="U740" s="213">
        <v>44897.523692129631</v>
      </c>
      <c r="V740" s="209" t="s">
        <v>41</v>
      </c>
      <c r="W740" s="209" t="s">
        <v>49</v>
      </c>
      <c r="X740" s="13" t="str">
        <f>IF(RIGHT(H740,2)&lt;&gt;"00",H740,"")</f>
        <v/>
      </c>
      <c r="Y740" s="26">
        <f ca="1">NETWORKDAYS(P740,$Y$1)</f>
        <v>65</v>
      </c>
      <c r="Z740" s="34">
        <v>1</v>
      </c>
      <c r="AA740" s="25" t="str">
        <f t="shared" ca="1" si="58"/>
        <v>A VENCER</v>
      </c>
      <c r="AB740" s="25" t="str">
        <f t="shared" si="61"/>
        <v>C-14</v>
      </c>
      <c r="AC740" s="2" t="str">
        <f t="shared" si="60"/>
        <v xml:space="preserve"> ROSEMERE </v>
      </c>
      <c r="AD740" s="26">
        <f t="shared" si="62"/>
        <v>5</v>
      </c>
      <c r="AE740" s="26">
        <f t="shared" ca="1" si="59"/>
        <v>90.152579513887758</v>
      </c>
      <c r="AF740" s="35"/>
    </row>
    <row r="741" spans="1:32" hidden="1">
      <c r="A741" s="209">
        <v>9127801</v>
      </c>
      <c r="B741" s="209" t="s">
        <v>101</v>
      </c>
      <c r="C741" s="210" t="s">
        <v>643</v>
      </c>
      <c r="D741" s="214">
        <v>220193719</v>
      </c>
      <c r="E741" s="214">
        <v>2802001400010</v>
      </c>
      <c r="F741" s="209" t="s">
        <v>936</v>
      </c>
      <c r="G741" s="209" t="s">
        <v>53</v>
      </c>
      <c r="H741" s="209" t="s">
        <v>388</v>
      </c>
      <c r="I741" s="209" t="s">
        <v>389</v>
      </c>
      <c r="J741" s="209" t="s">
        <v>46</v>
      </c>
      <c r="K741" s="210" t="s">
        <v>937</v>
      </c>
      <c r="L741" s="210"/>
      <c r="M741" s="209" t="s">
        <v>58</v>
      </c>
      <c r="N741" s="209">
        <v>0</v>
      </c>
      <c r="O741" s="209" t="s">
        <v>105</v>
      </c>
      <c r="P741" s="213">
        <v>44896.5234837963</v>
      </c>
      <c r="Q741" s="209"/>
      <c r="R741" s="209">
        <v>3</v>
      </c>
      <c r="S741" s="209"/>
      <c r="T741" s="209" t="s">
        <v>646</v>
      </c>
      <c r="U741" s="213">
        <v>44897.5234837963</v>
      </c>
      <c r="V741" s="209" t="s">
        <v>41</v>
      </c>
      <c r="W741" s="209" t="s">
        <v>49</v>
      </c>
      <c r="X741" s="13" t="str">
        <f>IF(RIGHT(H741,2)&lt;&gt;"00",H741,"")</f>
        <v/>
      </c>
      <c r="Y741" s="26">
        <f ca="1">NETWORKDAYS(P741,$Y$1)</f>
        <v>65</v>
      </c>
      <c r="Z741" s="34">
        <v>1</v>
      </c>
      <c r="AA741" s="25" t="str">
        <f t="shared" ca="1" si="58"/>
        <v>A VENCER</v>
      </c>
      <c r="AB741" s="25" t="str">
        <f t="shared" si="61"/>
        <v>C-14</v>
      </c>
      <c r="AC741" s="2" t="str">
        <f t="shared" si="60"/>
        <v xml:space="preserve"> CLEITON </v>
      </c>
      <c r="AD741" s="26">
        <f t="shared" si="62"/>
        <v>5</v>
      </c>
      <c r="AE741" s="26">
        <f t="shared" ca="1" si="59"/>
        <v>90.15278784721886</v>
      </c>
      <c r="AF741" s="35"/>
    </row>
    <row r="742" spans="1:32" hidden="1">
      <c r="A742" s="209">
        <v>9127762</v>
      </c>
      <c r="B742" s="209" t="s">
        <v>101</v>
      </c>
      <c r="C742" s="210" t="s">
        <v>643</v>
      </c>
      <c r="D742" s="214">
        <v>220193223</v>
      </c>
      <c r="E742" s="214">
        <v>1162001400010</v>
      </c>
      <c r="F742" s="209" t="s">
        <v>936</v>
      </c>
      <c r="G742" s="209" t="s">
        <v>53</v>
      </c>
      <c r="H742" s="209" t="s">
        <v>280</v>
      </c>
      <c r="I742" s="209" t="s">
        <v>281</v>
      </c>
      <c r="J742" s="209" t="s">
        <v>211</v>
      </c>
      <c r="K742" s="210" t="s">
        <v>937</v>
      </c>
      <c r="L742" s="210"/>
      <c r="M742" s="209" t="s">
        <v>58</v>
      </c>
      <c r="N742" s="209">
        <v>0</v>
      </c>
      <c r="O742" s="209" t="s">
        <v>105</v>
      </c>
      <c r="P742" s="213">
        <v>44896.521273148152</v>
      </c>
      <c r="Q742" s="209"/>
      <c r="R742" s="209">
        <v>3</v>
      </c>
      <c r="S742" s="209"/>
      <c r="T742" s="209" t="s">
        <v>646</v>
      </c>
      <c r="U742" s="213">
        <v>44897.521273148152</v>
      </c>
      <c r="V742" s="209" t="s">
        <v>41</v>
      </c>
      <c r="W742" s="209" t="s">
        <v>49</v>
      </c>
      <c r="X742" s="13" t="str">
        <f>IF(RIGHT(H742,2)&lt;&gt;"00",H742,"")</f>
        <v/>
      </c>
      <c r="Y742" s="26">
        <f ca="1">NETWORKDAYS(P742,$Y$1)</f>
        <v>65</v>
      </c>
      <c r="Z742" s="34">
        <v>1</v>
      </c>
      <c r="AA742" s="25" t="str">
        <f t="shared" ca="1" si="58"/>
        <v>A VENCER</v>
      </c>
      <c r="AB742" s="25" t="str">
        <f t="shared" si="61"/>
        <v>C-14</v>
      </c>
      <c r="AC742" s="2" t="str">
        <f t="shared" si="60"/>
        <v xml:space="preserve"> RINALDO </v>
      </c>
      <c r="AD742" s="26">
        <f t="shared" si="62"/>
        <v>5</v>
      </c>
      <c r="AE742" s="26">
        <f t="shared" ca="1" si="59"/>
        <v>90.154998495367181</v>
      </c>
      <c r="AF742" s="35"/>
    </row>
    <row r="743" spans="1:32" hidden="1">
      <c r="A743" s="209">
        <v>9127748</v>
      </c>
      <c r="B743" s="209" t="s">
        <v>101</v>
      </c>
      <c r="C743" s="210" t="s">
        <v>643</v>
      </c>
      <c r="D743" s="214">
        <v>220193209</v>
      </c>
      <c r="E743" s="214">
        <v>1138001400010</v>
      </c>
      <c r="F743" s="209" t="s">
        <v>936</v>
      </c>
      <c r="G743" s="209" t="s">
        <v>53</v>
      </c>
      <c r="H743" s="209" t="s">
        <v>548</v>
      </c>
      <c r="I743" s="209" t="s">
        <v>549</v>
      </c>
      <c r="J743" s="209" t="s">
        <v>46</v>
      </c>
      <c r="K743" s="210" t="s">
        <v>937</v>
      </c>
      <c r="L743" s="210"/>
      <c r="M743" s="209" t="s">
        <v>58</v>
      </c>
      <c r="N743" s="209">
        <v>0</v>
      </c>
      <c r="O743" s="209" t="s">
        <v>105</v>
      </c>
      <c r="P743" s="213">
        <v>44896.520439814813</v>
      </c>
      <c r="Q743" s="209"/>
      <c r="R743" s="209">
        <v>3</v>
      </c>
      <c r="S743" s="209"/>
      <c r="T743" s="209" t="s">
        <v>646</v>
      </c>
      <c r="U743" s="213">
        <v>44897.520439814813</v>
      </c>
      <c r="V743" s="209" t="s">
        <v>41</v>
      </c>
      <c r="W743" s="209" t="s">
        <v>49</v>
      </c>
      <c r="X743" s="13" t="str">
        <f>IF(RIGHT(H743,2)&lt;&gt;"00",H743,"")</f>
        <v/>
      </c>
      <c r="Y743" s="26">
        <f ca="1">NETWORKDAYS(P743,$Y$1)</f>
        <v>65</v>
      </c>
      <c r="Z743" s="34">
        <v>1</v>
      </c>
      <c r="AA743" s="25" t="str">
        <f t="shared" ca="1" si="58"/>
        <v>A VENCER</v>
      </c>
      <c r="AB743" s="25" t="str">
        <f t="shared" si="61"/>
        <v>C-14</v>
      </c>
      <c r="AC743" s="2" t="str">
        <f t="shared" si="60"/>
        <v xml:space="preserve"> CLEITON </v>
      </c>
      <c r="AD743" s="26">
        <f t="shared" si="62"/>
        <v>5</v>
      </c>
      <c r="AE743" s="26">
        <f t="shared" ca="1" si="59"/>
        <v>90.155831828706141</v>
      </c>
      <c r="AF743" s="35"/>
    </row>
    <row r="744" spans="1:32" hidden="1">
      <c r="A744" s="209">
        <v>9127732</v>
      </c>
      <c r="B744" s="209" t="s">
        <v>101</v>
      </c>
      <c r="C744" s="210" t="s">
        <v>643</v>
      </c>
      <c r="D744" s="214">
        <v>220193201</v>
      </c>
      <c r="E744" s="214">
        <v>1120001400010</v>
      </c>
      <c r="F744" s="209" t="s">
        <v>936</v>
      </c>
      <c r="G744" s="209" t="s">
        <v>53</v>
      </c>
      <c r="H744" s="209" t="s">
        <v>181</v>
      </c>
      <c r="I744" s="209" t="s">
        <v>182</v>
      </c>
      <c r="J744" s="209" t="s">
        <v>164</v>
      </c>
      <c r="K744" s="210" t="s">
        <v>937</v>
      </c>
      <c r="L744" s="210"/>
      <c r="M744" s="209" t="s">
        <v>58</v>
      </c>
      <c r="N744" s="209">
        <v>0</v>
      </c>
      <c r="O744" s="209" t="s">
        <v>105</v>
      </c>
      <c r="P744" s="213">
        <v>44896.519768518519</v>
      </c>
      <c r="Q744" s="209"/>
      <c r="R744" s="209">
        <v>3</v>
      </c>
      <c r="S744" s="209"/>
      <c r="T744" s="209" t="s">
        <v>646</v>
      </c>
      <c r="U744" s="213">
        <v>44897.519780092596</v>
      </c>
      <c r="V744" s="209" t="s">
        <v>41</v>
      </c>
      <c r="W744" s="209" t="s">
        <v>49</v>
      </c>
      <c r="X744" s="13" t="str">
        <f>IF(RIGHT(H744,2)&lt;&gt;"00",H744,"")</f>
        <v/>
      </c>
      <c r="Y744" s="26">
        <f ca="1">NETWORKDAYS(P744,$Y$1)</f>
        <v>65</v>
      </c>
      <c r="Z744" s="34">
        <v>1</v>
      </c>
      <c r="AA744" s="25" t="str">
        <f t="shared" ca="1" si="58"/>
        <v>A VENCER</v>
      </c>
      <c r="AB744" s="25" t="str">
        <f t="shared" si="61"/>
        <v>C-14</v>
      </c>
      <c r="AC744" s="2" t="str">
        <f t="shared" si="60"/>
        <v xml:space="preserve"> ROSEMERE </v>
      </c>
      <c r="AD744" s="26">
        <f t="shared" si="62"/>
        <v>5</v>
      </c>
      <c r="AE744" s="26">
        <f t="shared" ca="1" si="59"/>
        <v>90.15650312499929</v>
      </c>
      <c r="AF744" s="35"/>
    </row>
    <row r="745" spans="1:32" hidden="1">
      <c r="A745" s="209">
        <v>9127696</v>
      </c>
      <c r="B745" s="209" t="s">
        <v>101</v>
      </c>
      <c r="C745" s="210" t="s">
        <v>643</v>
      </c>
      <c r="D745" s="214">
        <v>220193173</v>
      </c>
      <c r="E745" s="214">
        <v>1069001400010</v>
      </c>
      <c r="F745" s="209" t="s">
        <v>936</v>
      </c>
      <c r="G745" s="209" t="s">
        <v>53</v>
      </c>
      <c r="H745" s="209" t="s">
        <v>353</v>
      </c>
      <c r="I745" s="209" t="s">
        <v>354</v>
      </c>
      <c r="J745" s="209" t="s">
        <v>211</v>
      </c>
      <c r="K745" s="210" t="s">
        <v>937</v>
      </c>
      <c r="L745" s="210"/>
      <c r="M745" s="209" t="s">
        <v>58</v>
      </c>
      <c r="N745" s="209">
        <v>0</v>
      </c>
      <c r="O745" s="209" t="s">
        <v>105</v>
      </c>
      <c r="P745" s="213">
        <v>44896.518217592595</v>
      </c>
      <c r="Q745" s="209"/>
      <c r="R745" s="209">
        <v>3</v>
      </c>
      <c r="S745" s="209"/>
      <c r="T745" s="209" t="s">
        <v>646</v>
      </c>
      <c r="U745" s="213">
        <v>44897.518217592595</v>
      </c>
      <c r="V745" s="209" t="s">
        <v>41</v>
      </c>
      <c r="W745" s="209" t="s">
        <v>49</v>
      </c>
      <c r="X745" s="13" t="str">
        <f>IF(RIGHT(H745,2)&lt;&gt;"00",H745,"")</f>
        <v/>
      </c>
      <c r="Y745" s="26">
        <f ca="1">NETWORKDAYS(P745,$Y$1)</f>
        <v>65</v>
      </c>
      <c r="Z745" s="34">
        <v>1</v>
      </c>
      <c r="AA745" s="25" t="str">
        <f t="shared" ca="1" si="58"/>
        <v>A VENCER</v>
      </c>
      <c r="AB745" s="25" t="str">
        <f t="shared" si="61"/>
        <v>C-14</v>
      </c>
      <c r="AC745" s="2" t="str">
        <f t="shared" si="60"/>
        <v xml:space="preserve"> RINALDO </v>
      </c>
      <c r="AD745" s="26">
        <f t="shared" si="62"/>
        <v>5</v>
      </c>
      <c r="AE745" s="26">
        <f t="shared" ca="1" si="59"/>
        <v>90.158054050923965</v>
      </c>
      <c r="AF745" s="35"/>
    </row>
    <row r="746" spans="1:32" hidden="1">
      <c r="A746" s="209">
        <v>9127689</v>
      </c>
      <c r="B746" s="209" t="s">
        <v>101</v>
      </c>
      <c r="C746" s="210" t="s">
        <v>643</v>
      </c>
      <c r="D746" s="214">
        <v>220193166</v>
      </c>
      <c r="E746" s="214">
        <v>1049001400010</v>
      </c>
      <c r="F746" s="209" t="s">
        <v>936</v>
      </c>
      <c r="G746" s="209" t="s">
        <v>53</v>
      </c>
      <c r="H746" s="209" t="s">
        <v>169</v>
      </c>
      <c r="I746" s="209" t="s">
        <v>170</v>
      </c>
      <c r="J746" s="209" t="s">
        <v>164</v>
      </c>
      <c r="K746" s="210" t="s">
        <v>937</v>
      </c>
      <c r="L746" s="210"/>
      <c r="M746" s="209" t="s">
        <v>58</v>
      </c>
      <c r="N746" s="209">
        <v>0</v>
      </c>
      <c r="O746" s="209" t="s">
        <v>105</v>
      </c>
      <c r="P746" s="213">
        <v>44896.517824074072</v>
      </c>
      <c r="Q746" s="209"/>
      <c r="R746" s="209">
        <v>3</v>
      </c>
      <c r="S746" s="209"/>
      <c r="T746" s="209" t="s">
        <v>646</v>
      </c>
      <c r="U746" s="213">
        <v>44897.517835648148</v>
      </c>
      <c r="V746" s="209" t="s">
        <v>41</v>
      </c>
      <c r="W746" s="209" t="s">
        <v>49</v>
      </c>
      <c r="X746" s="13" t="str">
        <f>IF(RIGHT(H746,2)&lt;&gt;"00",H746,"")</f>
        <v/>
      </c>
      <c r="Y746" s="26">
        <f ca="1">NETWORKDAYS(P746,$Y$1)</f>
        <v>65</v>
      </c>
      <c r="Z746" s="34">
        <v>1</v>
      </c>
      <c r="AA746" s="25" t="str">
        <f t="shared" ca="1" si="58"/>
        <v>A VENCER</v>
      </c>
      <c r="AB746" s="25" t="str">
        <f t="shared" si="61"/>
        <v>C-14</v>
      </c>
      <c r="AC746" s="2" t="str">
        <f t="shared" si="60"/>
        <v xml:space="preserve"> ROSEMERE </v>
      </c>
      <c r="AD746" s="26">
        <f t="shared" si="62"/>
        <v>5</v>
      </c>
      <c r="AE746" s="26">
        <f t="shared" ca="1" si="59"/>
        <v>90.158447569447162</v>
      </c>
      <c r="AF746" s="35"/>
    </row>
    <row r="747" spans="1:32" hidden="1">
      <c r="A747" s="209">
        <v>9127671</v>
      </c>
      <c r="B747" s="209" t="s">
        <v>101</v>
      </c>
      <c r="C747" s="210" t="s">
        <v>643</v>
      </c>
      <c r="D747" s="214">
        <v>220193148</v>
      </c>
      <c r="E747" s="214">
        <v>1012001400010</v>
      </c>
      <c r="F747" s="209" t="s">
        <v>936</v>
      </c>
      <c r="G747" s="209" t="s">
        <v>53</v>
      </c>
      <c r="H747" s="209" t="s">
        <v>172</v>
      </c>
      <c r="I747" s="209" t="s">
        <v>173</v>
      </c>
      <c r="J747" s="209" t="s">
        <v>164</v>
      </c>
      <c r="K747" s="210" t="s">
        <v>937</v>
      </c>
      <c r="L747" s="210"/>
      <c r="M747" s="209" t="s">
        <v>58</v>
      </c>
      <c r="N747" s="209">
        <v>0</v>
      </c>
      <c r="O747" s="209" t="s">
        <v>105</v>
      </c>
      <c r="P747" s="213">
        <v>44896.516817129632</v>
      </c>
      <c r="Q747" s="209"/>
      <c r="R747" s="209">
        <v>3</v>
      </c>
      <c r="S747" s="209"/>
      <c r="T747" s="209" t="s">
        <v>646</v>
      </c>
      <c r="U747" s="213">
        <v>44897.516828703701</v>
      </c>
      <c r="V747" s="209" t="s">
        <v>41</v>
      </c>
      <c r="W747" s="209" t="s">
        <v>49</v>
      </c>
      <c r="X747" s="13" t="str">
        <f>IF(RIGHT(H747,2)&lt;&gt;"00",H747,"")</f>
        <v/>
      </c>
      <c r="Y747" s="26">
        <f ca="1">NETWORKDAYS(P747,$Y$1)</f>
        <v>65</v>
      </c>
      <c r="Z747" s="34">
        <v>1</v>
      </c>
      <c r="AA747" s="25" t="str">
        <f t="shared" ca="1" si="58"/>
        <v>A VENCER</v>
      </c>
      <c r="AB747" s="25" t="str">
        <f t="shared" si="61"/>
        <v>C-14</v>
      </c>
      <c r="AC747" s="2" t="str">
        <f t="shared" si="60"/>
        <v xml:space="preserve"> ROSEMERE </v>
      </c>
      <c r="AD747" s="26">
        <f t="shared" si="62"/>
        <v>5</v>
      </c>
      <c r="AE747" s="26">
        <f t="shared" ca="1" si="59"/>
        <v>90.159454513886885</v>
      </c>
      <c r="AF747" s="35"/>
    </row>
    <row r="748" spans="1:32" hidden="1">
      <c r="A748" s="209">
        <v>9127658</v>
      </c>
      <c r="B748" s="209" t="s">
        <v>101</v>
      </c>
      <c r="C748" s="210" t="s">
        <v>643</v>
      </c>
      <c r="D748" s="214">
        <v>220192961</v>
      </c>
      <c r="E748" s="214">
        <v>673001400010</v>
      </c>
      <c r="F748" s="209" t="s">
        <v>936</v>
      </c>
      <c r="G748" s="209" t="s">
        <v>53</v>
      </c>
      <c r="H748" s="209" t="s">
        <v>581</v>
      </c>
      <c r="I748" s="209" t="s">
        <v>582</v>
      </c>
      <c r="J748" s="209" t="s">
        <v>110</v>
      </c>
      <c r="K748" s="210" t="s">
        <v>937</v>
      </c>
      <c r="L748" s="210"/>
      <c r="M748" s="209" t="s">
        <v>58</v>
      </c>
      <c r="N748" s="209">
        <v>0</v>
      </c>
      <c r="O748" s="209" t="s">
        <v>105</v>
      </c>
      <c r="P748" s="213">
        <v>44896.516053240739</v>
      </c>
      <c r="Q748" s="209"/>
      <c r="R748" s="209">
        <v>3</v>
      </c>
      <c r="S748" s="209"/>
      <c r="T748" s="209" t="s">
        <v>646</v>
      </c>
      <c r="U748" s="213">
        <v>44897.516053240739</v>
      </c>
      <c r="V748" s="209" t="s">
        <v>41</v>
      </c>
      <c r="W748" s="209" t="s">
        <v>49</v>
      </c>
      <c r="X748" s="13" t="str">
        <f>IF(RIGHT(H748,2)&lt;&gt;"00",H748,"")</f>
        <v/>
      </c>
      <c r="Y748" s="26">
        <f ca="1">NETWORKDAYS(P748,$Y$1)</f>
        <v>65</v>
      </c>
      <c r="Z748" s="34">
        <v>1</v>
      </c>
      <c r="AA748" s="25" t="str">
        <f t="shared" ca="1" si="58"/>
        <v>A VENCER</v>
      </c>
      <c r="AB748" s="25" t="str">
        <f t="shared" si="61"/>
        <v>C-14</v>
      </c>
      <c r="AC748" s="2" t="str">
        <f t="shared" si="60"/>
        <v xml:space="preserve"> CRISTINA </v>
      </c>
      <c r="AD748" s="26">
        <f t="shared" si="62"/>
        <v>5</v>
      </c>
      <c r="AE748" s="26">
        <f t="shared" ca="1" si="59"/>
        <v>90.160218402779719</v>
      </c>
      <c r="AF748" s="35"/>
    </row>
    <row r="749" spans="1:32" hidden="1">
      <c r="A749" s="209">
        <v>9127594</v>
      </c>
      <c r="B749" s="209" t="s">
        <v>101</v>
      </c>
      <c r="C749" s="210" t="s">
        <v>643</v>
      </c>
      <c r="D749" s="214">
        <v>220192987</v>
      </c>
      <c r="E749" s="214">
        <v>714001400010</v>
      </c>
      <c r="F749" s="209" t="s">
        <v>936</v>
      </c>
      <c r="G749" s="209" t="s">
        <v>53</v>
      </c>
      <c r="H749" s="209" t="s">
        <v>377</v>
      </c>
      <c r="I749" s="209" t="s">
        <v>378</v>
      </c>
      <c r="J749" s="209" t="s">
        <v>46</v>
      </c>
      <c r="K749" s="210" t="s">
        <v>937</v>
      </c>
      <c r="L749" s="210"/>
      <c r="M749" s="209" t="s">
        <v>58</v>
      </c>
      <c r="N749" s="209">
        <v>0</v>
      </c>
      <c r="O749" s="209" t="s">
        <v>105</v>
      </c>
      <c r="P749" s="213">
        <v>44896.513252314813</v>
      </c>
      <c r="Q749" s="209"/>
      <c r="R749" s="209">
        <v>3</v>
      </c>
      <c r="S749" s="209"/>
      <c r="T749" s="209" t="s">
        <v>646</v>
      </c>
      <c r="U749" s="213">
        <v>44897.513252314813</v>
      </c>
      <c r="V749" s="209" t="s">
        <v>41</v>
      </c>
      <c r="W749" s="209" t="s">
        <v>49</v>
      </c>
      <c r="X749" s="13" t="str">
        <f>IF(RIGHT(H749,2)&lt;&gt;"00",H749,"")</f>
        <v/>
      </c>
      <c r="Y749" s="26">
        <f ca="1">NETWORKDAYS(P749,$Y$1)</f>
        <v>65</v>
      </c>
      <c r="Z749" s="34">
        <v>1</v>
      </c>
      <c r="AA749" s="25" t="str">
        <f t="shared" ca="1" si="58"/>
        <v>A VENCER</v>
      </c>
      <c r="AB749" s="25" t="str">
        <f t="shared" si="61"/>
        <v>C-14</v>
      </c>
      <c r="AC749" s="2" t="str">
        <f t="shared" si="60"/>
        <v xml:space="preserve"> CLEITON </v>
      </c>
      <c r="AD749" s="26">
        <f t="shared" si="62"/>
        <v>5</v>
      </c>
      <c r="AE749" s="26">
        <f t="shared" ca="1" si="59"/>
        <v>90.163019328705559</v>
      </c>
      <c r="AF749" s="35"/>
    </row>
    <row r="750" spans="1:32" hidden="1">
      <c r="A750" s="209">
        <v>9127562</v>
      </c>
      <c r="B750" s="209" t="s">
        <v>101</v>
      </c>
      <c r="C750" s="210" t="s">
        <v>643</v>
      </c>
      <c r="D750" s="214">
        <v>220192986</v>
      </c>
      <c r="E750" s="214">
        <v>710001400010</v>
      </c>
      <c r="F750" s="209" t="s">
        <v>936</v>
      </c>
      <c r="G750" s="209" t="s">
        <v>53</v>
      </c>
      <c r="H750" s="209" t="s">
        <v>390</v>
      </c>
      <c r="I750" s="209" t="s">
        <v>391</v>
      </c>
      <c r="J750" s="209" t="s">
        <v>56</v>
      </c>
      <c r="K750" s="210" t="s">
        <v>937</v>
      </c>
      <c r="L750" s="210"/>
      <c r="M750" s="209" t="s">
        <v>58</v>
      </c>
      <c r="N750" s="209">
        <v>0</v>
      </c>
      <c r="O750" s="209" t="s">
        <v>105</v>
      </c>
      <c r="P750" s="213">
        <v>44896.511631944442</v>
      </c>
      <c r="Q750" s="209"/>
      <c r="R750" s="209">
        <v>3</v>
      </c>
      <c r="S750" s="209"/>
      <c r="T750" s="209" t="s">
        <v>646</v>
      </c>
      <c r="U750" s="213">
        <v>44897.511631944442</v>
      </c>
      <c r="V750" s="209" t="s">
        <v>41</v>
      </c>
      <c r="W750" s="209" t="s">
        <v>49</v>
      </c>
      <c r="X750" s="13" t="str">
        <f>IF(RIGHT(H750,2)&lt;&gt;"00",H750,"")</f>
        <v/>
      </c>
      <c r="Y750" s="26">
        <f ca="1">NETWORKDAYS(P750,$Y$1)</f>
        <v>65</v>
      </c>
      <c r="Z750" s="34">
        <v>1</v>
      </c>
      <c r="AA750" s="25" t="str">
        <f t="shared" ca="1" si="58"/>
        <v>A VENCER</v>
      </c>
      <c r="AB750" s="25" t="str">
        <f t="shared" si="61"/>
        <v>C-14</v>
      </c>
      <c r="AC750" s="2" t="str">
        <f t="shared" si="60"/>
        <v xml:space="preserve"> CRISTINA </v>
      </c>
      <c r="AD750" s="26">
        <f t="shared" si="62"/>
        <v>5</v>
      </c>
      <c r="AE750" s="26">
        <f t="shared" ca="1" si="59"/>
        <v>90.164639699076361</v>
      </c>
      <c r="AF750" s="35"/>
    </row>
    <row r="751" spans="1:32" hidden="1">
      <c r="A751" s="209">
        <v>9127512</v>
      </c>
      <c r="B751" s="209" t="s">
        <v>101</v>
      </c>
      <c r="C751" s="210" t="s">
        <v>643</v>
      </c>
      <c r="D751" s="214">
        <v>220192919</v>
      </c>
      <c r="E751" s="214">
        <v>608001400010</v>
      </c>
      <c r="F751" s="209" t="s">
        <v>936</v>
      </c>
      <c r="G751" s="209" t="s">
        <v>53</v>
      </c>
      <c r="H751" s="209" t="s">
        <v>438</v>
      </c>
      <c r="I751" s="209" t="s">
        <v>439</v>
      </c>
      <c r="J751" s="209" t="s">
        <v>148</v>
      </c>
      <c r="K751" s="210" t="s">
        <v>937</v>
      </c>
      <c r="L751" s="210"/>
      <c r="M751" s="209" t="s">
        <v>58</v>
      </c>
      <c r="N751" s="209">
        <v>0</v>
      </c>
      <c r="O751" s="209" t="s">
        <v>105</v>
      </c>
      <c r="P751" s="213">
        <v>44896.50886574074</v>
      </c>
      <c r="Q751" s="209"/>
      <c r="R751" s="209">
        <v>3</v>
      </c>
      <c r="S751" s="209"/>
      <c r="T751" s="209" t="s">
        <v>646</v>
      </c>
      <c r="U751" s="213">
        <v>44897.50886574074</v>
      </c>
      <c r="V751" s="209" t="s">
        <v>41</v>
      </c>
      <c r="W751" s="209" t="s">
        <v>49</v>
      </c>
      <c r="X751" s="13" t="str">
        <f>IF(RIGHT(H751,2)&lt;&gt;"00",H751,"")</f>
        <v/>
      </c>
      <c r="Y751" s="26">
        <f ca="1">NETWORKDAYS(P751,$Y$1)</f>
        <v>65</v>
      </c>
      <c r="Z751" s="34">
        <v>1</v>
      </c>
      <c r="AA751" s="25" t="str">
        <f t="shared" ca="1" si="58"/>
        <v>A VENCER</v>
      </c>
      <c r="AB751" s="25" t="str">
        <f t="shared" si="61"/>
        <v>C-14</v>
      </c>
      <c r="AC751" s="2" t="str">
        <f t="shared" si="60"/>
        <v xml:space="preserve"> RINALDO </v>
      </c>
      <c r="AD751" s="26">
        <f t="shared" si="62"/>
        <v>5</v>
      </c>
      <c r="AE751" s="26">
        <f t="shared" ca="1" si="59"/>
        <v>90.167405902779137</v>
      </c>
      <c r="AF751" s="35"/>
    </row>
    <row r="752" spans="1:32" hidden="1">
      <c r="A752" s="209">
        <v>9127225</v>
      </c>
      <c r="B752" s="209" t="s">
        <v>101</v>
      </c>
      <c r="C752" s="210" t="s">
        <v>643</v>
      </c>
      <c r="D752" s="214">
        <v>220198224</v>
      </c>
      <c r="E752" s="214">
        <v>4997001400040</v>
      </c>
      <c r="F752" s="209" t="s">
        <v>644</v>
      </c>
      <c r="G752" s="209" t="s">
        <v>53</v>
      </c>
      <c r="H752" s="209" t="s">
        <v>406</v>
      </c>
      <c r="I752" s="209" t="s">
        <v>407</v>
      </c>
      <c r="J752" s="209" t="s">
        <v>79</v>
      </c>
      <c r="K752" s="210" t="s">
        <v>645</v>
      </c>
      <c r="L752" s="210"/>
      <c r="M752" s="209" t="s">
        <v>58</v>
      </c>
      <c r="N752" s="209">
        <v>0</v>
      </c>
      <c r="O752" s="209" t="s">
        <v>105</v>
      </c>
      <c r="P752" s="213">
        <v>44896.493680555555</v>
      </c>
      <c r="Q752" s="209"/>
      <c r="R752" s="209">
        <v>3</v>
      </c>
      <c r="S752" s="209"/>
      <c r="T752" s="209" t="s">
        <v>646</v>
      </c>
      <c r="U752" s="213">
        <v>44897.493680555555</v>
      </c>
      <c r="V752" s="209" t="s">
        <v>41</v>
      </c>
      <c r="W752" s="209" t="s">
        <v>49</v>
      </c>
      <c r="X752" s="13" t="str">
        <f>IF(RIGHT(H752,2)&lt;&gt;"00",H752,"")</f>
        <v/>
      </c>
      <c r="Y752" s="26">
        <f ca="1">NETWORKDAYS(P752,$Y$1)</f>
        <v>65</v>
      </c>
      <c r="Z752" s="34">
        <v>1</v>
      </c>
      <c r="AA752" s="25" t="str">
        <f t="shared" ca="1" si="58"/>
        <v>A VENCER</v>
      </c>
      <c r="AB752" s="25" t="str">
        <f t="shared" si="61"/>
        <v>SL-On</v>
      </c>
      <c r="AC752" s="2" t="str">
        <f t="shared" si="60"/>
        <v xml:space="preserve"> ROSEMERE </v>
      </c>
      <c r="AD752" s="26">
        <f t="shared" si="62"/>
        <v>1</v>
      </c>
      <c r="AE752" s="26">
        <f t="shared" ca="1" si="59"/>
        <v>90.182591087963374</v>
      </c>
      <c r="AF752" s="35"/>
    </row>
    <row r="753" spans="1:32" hidden="1">
      <c r="A753" s="209">
        <v>9127174</v>
      </c>
      <c r="B753" s="209" t="s">
        <v>101</v>
      </c>
      <c r="C753" s="210" t="s">
        <v>643</v>
      </c>
      <c r="D753" s="214">
        <v>220198258</v>
      </c>
      <c r="E753" s="214">
        <v>5742001400040</v>
      </c>
      <c r="F753" s="209" t="s">
        <v>644</v>
      </c>
      <c r="G753" s="209" t="s">
        <v>53</v>
      </c>
      <c r="H753" s="209" t="s">
        <v>430</v>
      </c>
      <c r="I753" s="209" t="s">
        <v>431</v>
      </c>
      <c r="J753" s="209" t="s">
        <v>79</v>
      </c>
      <c r="K753" s="210" t="s">
        <v>645</v>
      </c>
      <c r="L753" s="210"/>
      <c r="M753" s="209" t="s">
        <v>58</v>
      </c>
      <c r="N753" s="209">
        <v>0</v>
      </c>
      <c r="O753" s="209" t="s">
        <v>105</v>
      </c>
      <c r="P753" s="213">
        <v>44896.49145833333</v>
      </c>
      <c r="Q753" s="209"/>
      <c r="R753" s="209">
        <v>2</v>
      </c>
      <c r="S753" s="209"/>
      <c r="T753" s="209" t="s">
        <v>646</v>
      </c>
      <c r="U753" s="213">
        <v>44897.49145833333</v>
      </c>
      <c r="V753" s="209" t="s">
        <v>41</v>
      </c>
      <c r="W753" s="209" t="s">
        <v>49</v>
      </c>
      <c r="X753" s="13" t="str">
        <f>IF(RIGHT(H753,2)&lt;&gt;"00",H753,"")</f>
        <v/>
      </c>
      <c r="Y753" s="26">
        <f ca="1">NETWORKDAYS(P753,$Y$1)</f>
        <v>65</v>
      </c>
      <c r="Z753" s="34">
        <v>1</v>
      </c>
      <c r="AA753" s="25" t="str">
        <f t="shared" ca="1" si="58"/>
        <v>A VENCER</v>
      </c>
      <c r="AB753" s="25" t="str">
        <f t="shared" si="61"/>
        <v>SL-On</v>
      </c>
      <c r="AC753" s="2" t="str">
        <f t="shared" si="60"/>
        <v xml:space="preserve"> ROSEMERE </v>
      </c>
      <c r="AD753" s="26">
        <f t="shared" si="62"/>
        <v>1</v>
      </c>
      <c r="AE753" s="26">
        <f t="shared" ca="1" si="59"/>
        <v>90.184813310188474</v>
      </c>
      <c r="AF753" s="35"/>
    </row>
    <row r="754" spans="1:32" hidden="1">
      <c r="A754" s="209">
        <v>9126916</v>
      </c>
      <c r="B754" s="209" t="s">
        <v>101</v>
      </c>
      <c r="C754" s="210" t="s">
        <v>643</v>
      </c>
      <c r="D754" s="214">
        <v>220197812</v>
      </c>
      <c r="E754" s="214">
        <v>3243001400040</v>
      </c>
      <c r="F754" s="209" t="s">
        <v>644</v>
      </c>
      <c r="G754" s="209" t="s">
        <v>53</v>
      </c>
      <c r="H754" s="209" t="s">
        <v>282</v>
      </c>
      <c r="I754" s="209" t="s">
        <v>283</v>
      </c>
      <c r="J754" s="209" t="s">
        <v>46</v>
      </c>
      <c r="K754" s="210" t="s">
        <v>645</v>
      </c>
      <c r="L754" s="210"/>
      <c r="M754" s="209" t="s">
        <v>58</v>
      </c>
      <c r="N754" s="209">
        <v>0</v>
      </c>
      <c r="O754" s="209" t="s">
        <v>105</v>
      </c>
      <c r="P754" s="213">
        <v>44896.480451388888</v>
      </c>
      <c r="Q754" s="209"/>
      <c r="R754" s="209">
        <v>3</v>
      </c>
      <c r="S754" s="209"/>
      <c r="T754" s="209" t="s">
        <v>646</v>
      </c>
      <c r="U754" s="213">
        <v>44897.480451388888</v>
      </c>
      <c r="V754" s="209" t="s">
        <v>41</v>
      </c>
      <c r="W754" s="209" t="s">
        <v>49</v>
      </c>
      <c r="X754" s="13" t="str">
        <f>IF(RIGHT(H754,2)&lt;&gt;"00",H754,"")</f>
        <v/>
      </c>
      <c r="Y754" s="26">
        <f ca="1">NETWORKDAYS(P754,$Y$1)</f>
        <v>65</v>
      </c>
      <c r="Z754" s="34">
        <v>1</v>
      </c>
      <c r="AA754" s="25" t="str">
        <f t="shared" ca="1" si="58"/>
        <v>A VENCER</v>
      </c>
      <c r="AB754" s="25" t="str">
        <f t="shared" si="61"/>
        <v>SL-On</v>
      </c>
      <c r="AC754" s="2" t="str">
        <f t="shared" si="60"/>
        <v xml:space="preserve"> CLEITON </v>
      </c>
      <c r="AD754" s="26">
        <f t="shared" si="62"/>
        <v>1</v>
      </c>
      <c r="AE754" s="26">
        <f t="shared" ca="1" si="59"/>
        <v>90.195820254630235</v>
      </c>
      <c r="AF754" s="35"/>
    </row>
    <row r="755" spans="1:32" hidden="1">
      <c r="A755" s="209">
        <v>9126874</v>
      </c>
      <c r="B755" s="209" t="s">
        <v>101</v>
      </c>
      <c r="C755" s="210" t="s">
        <v>643</v>
      </c>
      <c r="D755" s="214">
        <v>220197782</v>
      </c>
      <c r="E755" s="214">
        <v>3108001400040</v>
      </c>
      <c r="F755" s="209" t="s">
        <v>644</v>
      </c>
      <c r="G755" s="209" t="s">
        <v>53</v>
      </c>
      <c r="H755" s="209" t="s">
        <v>325</v>
      </c>
      <c r="I755" s="209" t="s">
        <v>326</v>
      </c>
      <c r="J755" s="209" t="s">
        <v>46</v>
      </c>
      <c r="K755" s="210" t="s">
        <v>645</v>
      </c>
      <c r="L755" s="210"/>
      <c r="M755" s="209" t="s">
        <v>58</v>
      </c>
      <c r="N755" s="209">
        <v>0</v>
      </c>
      <c r="O755" s="209" t="s">
        <v>105</v>
      </c>
      <c r="P755" s="213">
        <v>44896.478715277779</v>
      </c>
      <c r="Q755" s="209"/>
      <c r="R755" s="209">
        <v>3</v>
      </c>
      <c r="S755" s="209"/>
      <c r="T755" s="209" t="s">
        <v>646</v>
      </c>
      <c r="U755" s="213">
        <v>44897.478715277779</v>
      </c>
      <c r="V755" s="209" t="s">
        <v>41</v>
      </c>
      <c r="W755" s="209" t="s">
        <v>49</v>
      </c>
      <c r="X755" s="13" t="str">
        <f>IF(RIGHT(H755,2)&lt;&gt;"00",H755,"")</f>
        <v/>
      </c>
      <c r="Y755" s="26">
        <f ca="1">NETWORKDAYS(P755,$Y$1)</f>
        <v>65</v>
      </c>
      <c r="Z755" s="34">
        <v>1</v>
      </c>
      <c r="AA755" s="25" t="str">
        <f t="shared" ca="1" si="58"/>
        <v>A VENCER</v>
      </c>
      <c r="AB755" s="25" t="str">
        <f t="shared" si="61"/>
        <v>SL-On</v>
      </c>
      <c r="AC755" s="2" t="str">
        <f t="shared" si="60"/>
        <v xml:space="preserve"> CLEITON </v>
      </c>
      <c r="AD755" s="26">
        <f t="shared" si="62"/>
        <v>1</v>
      </c>
      <c r="AE755" s="26">
        <f t="shared" ca="1" si="59"/>
        <v>90.197556365739729</v>
      </c>
      <c r="AF755" s="35"/>
    </row>
    <row r="756" spans="1:32" hidden="1">
      <c r="A756" s="209">
        <v>9126750</v>
      </c>
      <c r="B756" s="209" t="s">
        <v>101</v>
      </c>
      <c r="C756" s="210" t="s">
        <v>643</v>
      </c>
      <c r="D756" s="214">
        <v>220197982</v>
      </c>
      <c r="E756" s="214">
        <v>4012001400040</v>
      </c>
      <c r="F756" s="209" t="s">
        <v>644</v>
      </c>
      <c r="G756" s="209" t="s">
        <v>53</v>
      </c>
      <c r="H756" s="209" t="s">
        <v>349</v>
      </c>
      <c r="I756" s="209" t="s">
        <v>350</v>
      </c>
      <c r="J756" s="209" t="s">
        <v>261</v>
      </c>
      <c r="K756" s="210" t="s">
        <v>645</v>
      </c>
      <c r="L756" s="210"/>
      <c r="M756" s="209" t="s">
        <v>58</v>
      </c>
      <c r="N756" s="209">
        <v>0</v>
      </c>
      <c r="O756" s="209" t="s">
        <v>105</v>
      </c>
      <c r="P756" s="213">
        <v>44896.474027777775</v>
      </c>
      <c r="Q756" s="209"/>
      <c r="R756" s="209">
        <v>3</v>
      </c>
      <c r="S756" s="209"/>
      <c r="T756" s="209" t="s">
        <v>646</v>
      </c>
      <c r="U756" s="213">
        <v>44897.474027777775</v>
      </c>
      <c r="V756" s="209" t="s">
        <v>41</v>
      </c>
      <c r="W756" s="209" t="s">
        <v>49</v>
      </c>
      <c r="X756" s="13" t="str">
        <f>IF(RIGHT(H756,2)&lt;&gt;"00",H756,"")</f>
        <v/>
      </c>
      <c r="Y756" s="26">
        <f ca="1">NETWORKDAYS(P756,$Y$1)</f>
        <v>65</v>
      </c>
      <c r="Z756" s="34">
        <v>1</v>
      </c>
      <c r="AA756" s="25" t="str">
        <f t="shared" ca="1" si="58"/>
        <v>A VENCER</v>
      </c>
      <c r="AB756" s="25" t="str">
        <f t="shared" si="61"/>
        <v>SL-On</v>
      </c>
      <c r="AC756" s="2" t="str">
        <f t="shared" si="60"/>
        <v xml:space="preserve"> CRISTINA </v>
      </c>
      <c r="AD756" s="26">
        <f t="shared" si="62"/>
        <v>1</v>
      </c>
      <c r="AE756" s="26">
        <f t="shared" ca="1" si="59"/>
        <v>90.202243865744094</v>
      </c>
      <c r="AF756" s="35"/>
    </row>
    <row r="757" spans="1:32" hidden="1">
      <c r="A757" s="209">
        <v>9126716</v>
      </c>
      <c r="B757" s="209" t="s">
        <v>101</v>
      </c>
      <c r="C757" s="210" t="s">
        <v>643</v>
      </c>
      <c r="D757" s="214">
        <v>220197478</v>
      </c>
      <c r="E757" s="214">
        <v>2018001400040</v>
      </c>
      <c r="F757" s="209" t="s">
        <v>644</v>
      </c>
      <c r="G757" s="209" t="s">
        <v>53</v>
      </c>
      <c r="H757" s="209" t="s">
        <v>598</v>
      </c>
      <c r="I757" s="209" t="s">
        <v>599</v>
      </c>
      <c r="J757" s="209" t="s">
        <v>79</v>
      </c>
      <c r="K757" s="210" t="s">
        <v>645</v>
      </c>
      <c r="L757" s="210"/>
      <c r="M757" s="209" t="s">
        <v>58</v>
      </c>
      <c r="N757" s="209">
        <v>0</v>
      </c>
      <c r="O757" s="209" t="s">
        <v>105</v>
      </c>
      <c r="P757" s="213">
        <v>44896.471365740741</v>
      </c>
      <c r="Q757" s="209"/>
      <c r="R757" s="209">
        <v>2</v>
      </c>
      <c r="S757" s="209"/>
      <c r="T757" s="209" t="s">
        <v>646</v>
      </c>
      <c r="U757" s="213">
        <v>44897.471377314818</v>
      </c>
      <c r="V757" s="209" t="s">
        <v>41</v>
      </c>
      <c r="W757" s="209" t="s">
        <v>49</v>
      </c>
      <c r="X757" s="13" t="str">
        <f>IF(RIGHT(H757,2)&lt;&gt;"00",H757,"")</f>
        <v/>
      </c>
      <c r="Y757" s="26">
        <f ca="1">NETWORKDAYS(P757,$Y$1)</f>
        <v>65</v>
      </c>
      <c r="Z757" s="34">
        <v>1</v>
      </c>
      <c r="AA757" s="25" t="str">
        <f t="shared" ca="1" si="58"/>
        <v>A VENCER</v>
      </c>
      <c r="AB757" s="25" t="str">
        <f t="shared" si="61"/>
        <v>SL-On</v>
      </c>
      <c r="AC757" s="2" t="str">
        <f t="shared" si="60"/>
        <v xml:space="preserve"> ROSEMERE </v>
      </c>
      <c r="AD757" s="26">
        <f t="shared" si="62"/>
        <v>1</v>
      </c>
      <c r="AE757" s="26">
        <f t="shared" ca="1" si="59"/>
        <v>90.204905902777682</v>
      </c>
      <c r="AF757" s="35"/>
    </row>
    <row r="758" spans="1:32" hidden="1">
      <c r="A758" s="209">
        <v>9126674</v>
      </c>
      <c r="B758" s="209" t="s">
        <v>101</v>
      </c>
      <c r="C758" s="210" t="s">
        <v>643</v>
      </c>
      <c r="D758" s="214">
        <v>220197259</v>
      </c>
      <c r="E758" s="214">
        <v>1291001400040</v>
      </c>
      <c r="F758" s="209" t="s">
        <v>644</v>
      </c>
      <c r="G758" s="209" t="s">
        <v>53</v>
      </c>
      <c r="H758" s="209" t="s">
        <v>136</v>
      </c>
      <c r="I758" s="209" t="s">
        <v>137</v>
      </c>
      <c r="J758" s="209" t="s">
        <v>33</v>
      </c>
      <c r="K758" s="210" t="s">
        <v>645</v>
      </c>
      <c r="L758" s="210"/>
      <c r="M758" s="209" t="s">
        <v>58</v>
      </c>
      <c r="N758" s="209">
        <v>0</v>
      </c>
      <c r="O758" s="209" t="s">
        <v>105</v>
      </c>
      <c r="P758" s="213">
        <v>44896.469618055555</v>
      </c>
      <c r="Q758" s="209"/>
      <c r="R758" s="209">
        <v>3</v>
      </c>
      <c r="S758" s="209"/>
      <c r="T758" s="209" t="s">
        <v>646</v>
      </c>
      <c r="U758" s="213">
        <v>44897.469629629632</v>
      </c>
      <c r="V758" s="209" t="s">
        <v>41</v>
      </c>
      <c r="W758" s="209" t="s">
        <v>42</v>
      </c>
      <c r="X758" s="13" t="str">
        <f>IF(RIGHT(H758,2)&lt;&gt;"00",H758,"")</f>
        <v/>
      </c>
      <c r="Y758" s="26">
        <f ca="1">NETWORKDAYS(P758,$Y$1)</f>
        <v>65</v>
      </c>
      <c r="Z758" s="34">
        <v>1</v>
      </c>
      <c r="AA758" s="25" t="str">
        <f t="shared" ca="1" si="58"/>
        <v>A VENCER</v>
      </c>
      <c r="AB758" s="25" t="str">
        <f t="shared" si="61"/>
        <v>SL-On</v>
      </c>
      <c r="AC758" s="2" t="str">
        <f t="shared" si="60"/>
        <v xml:space="preserve"> ROSEMERE </v>
      </c>
      <c r="AD758" s="26">
        <f t="shared" si="62"/>
        <v>1</v>
      </c>
      <c r="AE758" s="26">
        <f t="shared" ca="1" si="59"/>
        <v>90.206653587963956</v>
      </c>
      <c r="AF758" s="35"/>
    </row>
    <row r="759" spans="1:32" hidden="1">
      <c r="A759" s="209">
        <v>9126667</v>
      </c>
      <c r="B759" s="209" t="s">
        <v>101</v>
      </c>
      <c r="C759" s="210" t="s">
        <v>643</v>
      </c>
      <c r="D759" s="214">
        <v>220197252</v>
      </c>
      <c r="E759" s="214">
        <v>1264001400040</v>
      </c>
      <c r="F759" s="209" t="s">
        <v>644</v>
      </c>
      <c r="G759" s="209" t="s">
        <v>53</v>
      </c>
      <c r="H759" s="209" t="s">
        <v>351</v>
      </c>
      <c r="I759" s="209" t="s">
        <v>352</v>
      </c>
      <c r="J759" s="209" t="s">
        <v>110</v>
      </c>
      <c r="K759" s="210" t="s">
        <v>645</v>
      </c>
      <c r="L759" s="210"/>
      <c r="M759" s="209" t="s">
        <v>58</v>
      </c>
      <c r="N759" s="209">
        <v>0</v>
      </c>
      <c r="O759" s="209" t="s">
        <v>105</v>
      </c>
      <c r="P759" s="213">
        <v>44896.469212962962</v>
      </c>
      <c r="Q759" s="209"/>
      <c r="R759" s="209">
        <v>2</v>
      </c>
      <c r="S759" s="209"/>
      <c r="T759" s="209" t="s">
        <v>646</v>
      </c>
      <c r="U759" s="213">
        <v>44897.469212962962</v>
      </c>
      <c r="V759" s="209" t="s">
        <v>41</v>
      </c>
      <c r="W759" s="209" t="s">
        <v>49</v>
      </c>
      <c r="X759" s="13" t="str">
        <f>IF(RIGHT(H759,2)&lt;&gt;"00",H759,"")</f>
        <v/>
      </c>
      <c r="Y759" s="26">
        <f ca="1">NETWORKDAYS(P759,$Y$1)</f>
        <v>65</v>
      </c>
      <c r="Z759" s="34">
        <v>1</v>
      </c>
      <c r="AA759" s="25" t="str">
        <f t="shared" ca="1" si="58"/>
        <v>A VENCER</v>
      </c>
      <c r="AB759" s="25" t="str">
        <f t="shared" si="61"/>
        <v>SL-On</v>
      </c>
      <c r="AC759" s="2" t="str">
        <f t="shared" si="60"/>
        <v xml:space="preserve"> CRISTINA </v>
      </c>
      <c r="AD759" s="26">
        <f t="shared" si="62"/>
        <v>1</v>
      </c>
      <c r="AE759" s="26">
        <f t="shared" ca="1" si="59"/>
        <v>90.207058680556656</v>
      </c>
      <c r="AF759" s="35"/>
    </row>
    <row r="760" spans="1:32" hidden="1">
      <c r="A760" s="209">
        <v>9126655</v>
      </c>
      <c r="B760" s="209" t="s">
        <v>101</v>
      </c>
      <c r="C760" s="210" t="s">
        <v>643</v>
      </c>
      <c r="D760" s="214">
        <v>220197635</v>
      </c>
      <c r="E760" s="214">
        <v>2529001400040</v>
      </c>
      <c r="F760" s="209" t="s">
        <v>644</v>
      </c>
      <c r="G760" s="209" t="s">
        <v>53</v>
      </c>
      <c r="H760" s="209" t="s">
        <v>355</v>
      </c>
      <c r="I760" s="209" t="s">
        <v>356</v>
      </c>
      <c r="J760" s="209" t="s">
        <v>56</v>
      </c>
      <c r="K760" s="210" t="s">
        <v>645</v>
      </c>
      <c r="L760" s="210"/>
      <c r="M760" s="209" t="s">
        <v>58</v>
      </c>
      <c r="N760" s="209">
        <v>0</v>
      </c>
      <c r="O760" s="209" t="s">
        <v>105</v>
      </c>
      <c r="P760" s="213">
        <v>44896.468472222223</v>
      </c>
      <c r="Q760" s="209"/>
      <c r="R760" s="209">
        <v>2</v>
      </c>
      <c r="S760" s="209"/>
      <c r="T760" s="209" t="s">
        <v>646</v>
      </c>
      <c r="U760" s="213">
        <v>44897.468472222223</v>
      </c>
      <c r="V760" s="209" t="s">
        <v>41</v>
      </c>
      <c r="W760" s="209" t="s">
        <v>49</v>
      </c>
      <c r="X760" s="13" t="str">
        <f>IF(RIGHT(H760,2)&lt;&gt;"00",H760,"")</f>
        <v/>
      </c>
      <c r="Y760" s="26">
        <f ca="1">NETWORKDAYS(P760,$Y$1)</f>
        <v>65</v>
      </c>
      <c r="Z760" s="34">
        <v>1</v>
      </c>
      <c r="AA760" s="25" t="str">
        <f t="shared" ca="1" si="58"/>
        <v>A VENCER</v>
      </c>
      <c r="AB760" s="25" t="str">
        <f t="shared" si="61"/>
        <v>SL-On</v>
      </c>
      <c r="AC760" s="2" t="str">
        <f t="shared" si="60"/>
        <v xml:space="preserve"> CRISTINA </v>
      </c>
      <c r="AD760" s="26">
        <f t="shared" si="62"/>
        <v>1</v>
      </c>
      <c r="AE760" s="26">
        <f t="shared" ca="1" si="59"/>
        <v>90.207799421295931</v>
      </c>
      <c r="AF760" s="35"/>
    </row>
    <row r="761" spans="1:32" hidden="1">
      <c r="A761" s="209">
        <v>9126627</v>
      </c>
      <c r="B761" s="209" t="s">
        <v>101</v>
      </c>
      <c r="C761" s="210" t="s">
        <v>643</v>
      </c>
      <c r="D761" s="214">
        <v>220197615</v>
      </c>
      <c r="E761" s="214">
        <v>2473001400040</v>
      </c>
      <c r="F761" s="209" t="s">
        <v>644</v>
      </c>
      <c r="G761" s="209" t="s">
        <v>53</v>
      </c>
      <c r="H761" s="209" t="s">
        <v>1459</v>
      </c>
      <c r="I761" s="209" t="s">
        <v>1460</v>
      </c>
      <c r="J761" s="209" t="s">
        <v>261</v>
      </c>
      <c r="K761" s="210" t="s">
        <v>645</v>
      </c>
      <c r="L761" s="210"/>
      <c r="M761" s="209" t="s">
        <v>58</v>
      </c>
      <c r="N761" s="209">
        <v>0</v>
      </c>
      <c r="O761" s="209" t="s">
        <v>105</v>
      </c>
      <c r="P761" s="213">
        <v>44896.467326388891</v>
      </c>
      <c r="Q761" s="209"/>
      <c r="R761" s="209">
        <v>2</v>
      </c>
      <c r="S761" s="209"/>
      <c r="T761" s="209" t="s">
        <v>646</v>
      </c>
      <c r="U761" s="213">
        <v>44897.467326388891</v>
      </c>
      <c r="V761" s="209" t="s">
        <v>41</v>
      </c>
      <c r="W761" s="209" t="s">
        <v>49</v>
      </c>
      <c r="X761" s="13" t="str">
        <f>IF(RIGHT(H761,2)&lt;&gt;"00",H761,"")</f>
        <v/>
      </c>
      <c r="Y761" s="26">
        <f ca="1">NETWORKDAYS(P761,$Y$1)</f>
        <v>65</v>
      </c>
      <c r="Z761" s="34">
        <v>1</v>
      </c>
      <c r="AA761" s="25" t="str">
        <f t="shared" ca="1" si="58"/>
        <v>A VENCER</v>
      </c>
      <c r="AB761" s="25" t="str">
        <f t="shared" si="61"/>
        <v>SL-On</v>
      </c>
      <c r="AC761" s="2" t="str">
        <f t="shared" si="60"/>
        <v xml:space="preserve"> CRISTINA </v>
      </c>
      <c r="AD761" s="26">
        <f t="shared" si="62"/>
        <v>1</v>
      </c>
      <c r="AE761" s="26">
        <f t="shared" ca="1" si="59"/>
        <v>90.208945254627906</v>
      </c>
      <c r="AF761" s="35"/>
    </row>
    <row r="762" spans="1:32" hidden="1">
      <c r="A762" s="209">
        <v>9126604</v>
      </c>
      <c r="B762" s="209" t="s">
        <v>101</v>
      </c>
      <c r="C762" s="210" t="s">
        <v>643</v>
      </c>
      <c r="D762" s="214">
        <v>220197647</v>
      </c>
      <c r="E762" s="214">
        <v>2564001400040</v>
      </c>
      <c r="F762" s="209" t="s">
        <v>644</v>
      </c>
      <c r="G762" s="209" t="s">
        <v>53</v>
      </c>
      <c r="H762" s="209" t="s">
        <v>255</v>
      </c>
      <c r="I762" s="209" t="s">
        <v>256</v>
      </c>
      <c r="J762" s="209" t="s">
        <v>164</v>
      </c>
      <c r="K762" s="210" t="s">
        <v>645</v>
      </c>
      <c r="L762" s="210"/>
      <c r="M762" s="209" t="s">
        <v>58</v>
      </c>
      <c r="N762" s="209">
        <v>0</v>
      </c>
      <c r="O762" s="209" t="s">
        <v>105</v>
      </c>
      <c r="P762" s="213">
        <v>44896.466203703705</v>
      </c>
      <c r="Q762" s="209"/>
      <c r="R762" s="209">
        <v>3</v>
      </c>
      <c r="S762" s="209"/>
      <c r="T762" s="209" t="s">
        <v>646</v>
      </c>
      <c r="U762" s="213">
        <v>44897.466215277775</v>
      </c>
      <c r="V762" s="209" t="s">
        <v>41</v>
      </c>
      <c r="W762" s="209" t="s">
        <v>49</v>
      </c>
      <c r="X762" s="13" t="str">
        <f>IF(RIGHT(H762,2)&lt;&gt;"00",H762,"")</f>
        <v/>
      </c>
      <c r="Y762" s="26">
        <f ca="1">NETWORKDAYS(P762,$Y$1)</f>
        <v>65</v>
      </c>
      <c r="Z762" s="34">
        <v>1</v>
      </c>
      <c r="AA762" s="25" t="str">
        <f t="shared" ca="1" si="58"/>
        <v>A VENCER</v>
      </c>
      <c r="AB762" s="25" t="str">
        <f t="shared" si="61"/>
        <v>SL-On</v>
      </c>
      <c r="AC762" s="2" t="str">
        <f t="shared" si="60"/>
        <v xml:space="preserve"> ROSEMERE </v>
      </c>
      <c r="AD762" s="26">
        <f t="shared" si="62"/>
        <v>1</v>
      </c>
      <c r="AE762" s="26">
        <f t="shared" ca="1" si="59"/>
        <v>90.210067939813598</v>
      </c>
      <c r="AF762" s="35"/>
    </row>
    <row r="763" spans="1:32" hidden="1">
      <c r="A763" s="209">
        <v>9126586</v>
      </c>
      <c r="B763" s="209" t="s">
        <v>101</v>
      </c>
      <c r="C763" s="210" t="s">
        <v>643</v>
      </c>
      <c r="D763" s="214">
        <v>220197595</v>
      </c>
      <c r="E763" s="214">
        <v>2413001400040</v>
      </c>
      <c r="F763" s="209" t="s">
        <v>644</v>
      </c>
      <c r="G763" s="209" t="s">
        <v>53</v>
      </c>
      <c r="H763" s="209" t="s">
        <v>505</v>
      </c>
      <c r="I763" s="209" t="s">
        <v>506</v>
      </c>
      <c r="J763" s="209" t="s">
        <v>141</v>
      </c>
      <c r="K763" s="210" t="s">
        <v>645</v>
      </c>
      <c r="L763" s="210"/>
      <c r="M763" s="209" t="s">
        <v>58</v>
      </c>
      <c r="N763" s="209">
        <v>0</v>
      </c>
      <c r="O763" s="209" t="s">
        <v>105</v>
      </c>
      <c r="P763" s="213">
        <v>44896.465173611112</v>
      </c>
      <c r="Q763" s="209"/>
      <c r="R763" s="209">
        <v>2</v>
      </c>
      <c r="S763" s="209"/>
      <c r="T763" s="209" t="s">
        <v>646</v>
      </c>
      <c r="U763" s="213">
        <v>44897.465185185189</v>
      </c>
      <c r="V763" s="209" t="s">
        <v>41</v>
      </c>
      <c r="W763" s="209" t="s">
        <v>49</v>
      </c>
      <c r="X763" s="13" t="str">
        <f>IF(RIGHT(H763,2)&lt;&gt;"00",H763,"")</f>
        <v/>
      </c>
      <c r="Y763" s="26">
        <f ca="1">NETWORKDAYS(P763,$Y$1)</f>
        <v>65</v>
      </c>
      <c r="Z763" s="34">
        <v>1</v>
      </c>
      <c r="AA763" s="25" t="str">
        <f t="shared" ca="1" si="58"/>
        <v>A VENCER</v>
      </c>
      <c r="AB763" s="25" t="str">
        <f t="shared" si="61"/>
        <v>SL-On</v>
      </c>
      <c r="AC763" s="2" t="str">
        <f t="shared" si="60"/>
        <v xml:space="preserve"> CRISTINA </v>
      </c>
      <c r="AD763" s="26">
        <f t="shared" si="62"/>
        <v>1</v>
      </c>
      <c r="AE763" s="26">
        <f t="shared" ca="1" si="59"/>
        <v>90.211098032406881</v>
      </c>
      <c r="AF763" s="35"/>
    </row>
    <row r="764" spans="1:32" hidden="1">
      <c r="A764" s="209">
        <v>9126537</v>
      </c>
      <c r="B764" s="209" t="s">
        <v>101</v>
      </c>
      <c r="C764" s="210" t="s">
        <v>643</v>
      </c>
      <c r="D764" s="214">
        <v>220197299</v>
      </c>
      <c r="E764" s="214">
        <v>1363001400040</v>
      </c>
      <c r="F764" s="209" t="s">
        <v>644</v>
      </c>
      <c r="G764" s="209" t="s">
        <v>53</v>
      </c>
      <c r="H764" s="209" t="s">
        <v>108</v>
      </c>
      <c r="I764" s="209" t="s">
        <v>109</v>
      </c>
      <c r="J764" s="209" t="s">
        <v>110</v>
      </c>
      <c r="K764" s="210" t="s">
        <v>645</v>
      </c>
      <c r="L764" s="210"/>
      <c r="M764" s="209" t="s">
        <v>58</v>
      </c>
      <c r="N764" s="209">
        <v>0</v>
      </c>
      <c r="O764" s="209" t="s">
        <v>105</v>
      </c>
      <c r="P764" s="213">
        <v>44896.462777777779</v>
      </c>
      <c r="Q764" s="209"/>
      <c r="R764" s="209">
        <v>3</v>
      </c>
      <c r="S764" s="209"/>
      <c r="T764" s="209" t="s">
        <v>646</v>
      </c>
      <c r="U764" s="213">
        <v>44897.462789351855</v>
      </c>
      <c r="V764" s="209" t="s">
        <v>41</v>
      </c>
      <c r="W764" s="209" t="s">
        <v>49</v>
      </c>
      <c r="X764" s="13" t="str">
        <f>IF(RIGHT(H764,2)&lt;&gt;"00",H764,"")</f>
        <v/>
      </c>
      <c r="Y764" s="26">
        <f ca="1">NETWORKDAYS(P764,$Y$1)</f>
        <v>65</v>
      </c>
      <c r="Z764" s="34">
        <v>1</v>
      </c>
      <c r="AA764" s="25" t="str">
        <f t="shared" ca="1" si="58"/>
        <v>A VENCER</v>
      </c>
      <c r="AB764" s="25" t="str">
        <f t="shared" si="61"/>
        <v>SL-On</v>
      </c>
      <c r="AC764" s="2" t="str">
        <f t="shared" si="60"/>
        <v xml:space="preserve"> CRISTINA </v>
      </c>
      <c r="AD764" s="26">
        <f t="shared" si="62"/>
        <v>1</v>
      </c>
      <c r="AE764" s="26">
        <f t="shared" ca="1" si="59"/>
        <v>90.21349386574002</v>
      </c>
      <c r="AF764" s="35"/>
    </row>
    <row r="765" spans="1:32" hidden="1">
      <c r="A765" s="209">
        <v>9126536</v>
      </c>
      <c r="B765" s="209" t="s">
        <v>101</v>
      </c>
      <c r="C765" s="210" t="s">
        <v>643</v>
      </c>
      <c r="D765" s="214">
        <v>220197298</v>
      </c>
      <c r="E765" s="214">
        <v>1362001400040</v>
      </c>
      <c r="F765" s="209" t="s">
        <v>644</v>
      </c>
      <c r="G765" s="209" t="s">
        <v>53</v>
      </c>
      <c r="H765" s="209" t="s">
        <v>268</v>
      </c>
      <c r="I765" s="209" t="s">
        <v>269</v>
      </c>
      <c r="J765" s="209" t="s">
        <v>90</v>
      </c>
      <c r="K765" s="210" t="s">
        <v>645</v>
      </c>
      <c r="L765" s="210"/>
      <c r="M765" s="209" t="s">
        <v>58</v>
      </c>
      <c r="N765" s="209">
        <v>0</v>
      </c>
      <c r="O765" s="209" t="s">
        <v>105</v>
      </c>
      <c r="P765" s="213">
        <v>44896.462708333333</v>
      </c>
      <c r="Q765" s="209"/>
      <c r="R765" s="209">
        <v>3</v>
      </c>
      <c r="S765" s="209"/>
      <c r="T765" s="209" t="s">
        <v>646</v>
      </c>
      <c r="U765" s="213">
        <v>44897.462708333333</v>
      </c>
      <c r="V765" s="209" t="s">
        <v>41</v>
      </c>
      <c r="W765" s="209" t="s">
        <v>49</v>
      </c>
      <c r="X765" s="13" t="str">
        <f>IF(RIGHT(H765,2)&lt;&gt;"00",H765,"")</f>
        <v/>
      </c>
      <c r="Y765" s="26">
        <f ca="1">NETWORKDAYS(P765,$Y$1)</f>
        <v>65</v>
      </c>
      <c r="Z765" s="34">
        <v>1</v>
      </c>
      <c r="AA765" s="25" t="str">
        <f t="shared" ca="1" si="58"/>
        <v>A VENCER</v>
      </c>
      <c r="AB765" s="25" t="str">
        <f t="shared" si="61"/>
        <v>SL-On</v>
      </c>
      <c r="AC765" s="2" t="str">
        <f t="shared" si="60"/>
        <v xml:space="preserve"> RINALDO </v>
      </c>
      <c r="AD765" s="26">
        <f t="shared" si="62"/>
        <v>1</v>
      </c>
      <c r="AE765" s="26">
        <f t="shared" ca="1" si="59"/>
        <v>90.213563310186146</v>
      </c>
      <c r="AF765" s="35"/>
    </row>
    <row r="766" spans="1:32" hidden="1">
      <c r="A766" s="209">
        <v>9126535</v>
      </c>
      <c r="B766" s="209" t="s">
        <v>101</v>
      </c>
      <c r="C766" s="210" t="s">
        <v>643</v>
      </c>
      <c r="D766" s="214">
        <v>220197297</v>
      </c>
      <c r="E766" s="214">
        <v>1360001400040</v>
      </c>
      <c r="F766" s="209" t="s">
        <v>644</v>
      </c>
      <c r="G766" s="209" t="s">
        <v>53</v>
      </c>
      <c r="H766" s="209" t="s">
        <v>303</v>
      </c>
      <c r="I766" s="209" t="s">
        <v>304</v>
      </c>
      <c r="J766" s="209" t="s">
        <v>261</v>
      </c>
      <c r="K766" s="210" t="s">
        <v>645</v>
      </c>
      <c r="L766" s="210"/>
      <c r="M766" s="209" t="s">
        <v>58</v>
      </c>
      <c r="N766" s="209">
        <v>0</v>
      </c>
      <c r="O766" s="209" t="s">
        <v>105</v>
      </c>
      <c r="P766" s="213">
        <v>44896.462638888886</v>
      </c>
      <c r="Q766" s="209"/>
      <c r="R766" s="209">
        <v>3</v>
      </c>
      <c r="S766" s="209"/>
      <c r="T766" s="209" t="s">
        <v>646</v>
      </c>
      <c r="U766" s="213">
        <v>44897.462650462963</v>
      </c>
      <c r="V766" s="209" t="s">
        <v>41</v>
      </c>
      <c r="W766" s="209" t="s">
        <v>49</v>
      </c>
      <c r="X766" s="13" t="str">
        <f>IF(RIGHT(H766,2)&lt;&gt;"00",H766,"")</f>
        <v/>
      </c>
      <c r="Y766" s="26">
        <f ca="1">NETWORKDAYS(P766,$Y$1)</f>
        <v>65</v>
      </c>
      <c r="Z766" s="34">
        <v>1</v>
      </c>
      <c r="AA766" s="25" t="str">
        <f t="shared" ca="1" si="58"/>
        <v>A VENCER</v>
      </c>
      <c r="AB766" s="25" t="str">
        <f t="shared" si="61"/>
        <v>SL-On</v>
      </c>
      <c r="AC766" s="2" t="str">
        <f t="shared" si="60"/>
        <v xml:space="preserve"> CRISTINA </v>
      </c>
      <c r="AD766" s="26">
        <f t="shared" si="62"/>
        <v>1</v>
      </c>
      <c r="AE766" s="26">
        <f t="shared" ca="1" si="59"/>
        <v>90.213632754632272</v>
      </c>
      <c r="AF766" s="35"/>
    </row>
    <row r="767" spans="1:32" hidden="1">
      <c r="A767" s="209">
        <v>9126534</v>
      </c>
      <c r="B767" s="209" t="s">
        <v>101</v>
      </c>
      <c r="C767" s="210" t="s">
        <v>643</v>
      </c>
      <c r="D767" s="214">
        <v>220197296</v>
      </c>
      <c r="E767" s="214">
        <v>1359001400040</v>
      </c>
      <c r="F767" s="209" t="s">
        <v>644</v>
      </c>
      <c r="G767" s="209" t="s">
        <v>53</v>
      </c>
      <c r="H767" s="209" t="s">
        <v>270</v>
      </c>
      <c r="I767" s="209" t="s">
        <v>271</v>
      </c>
      <c r="J767" s="209" t="s">
        <v>141</v>
      </c>
      <c r="K767" s="210" t="s">
        <v>645</v>
      </c>
      <c r="L767" s="210"/>
      <c r="M767" s="209" t="s">
        <v>58</v>
      </c>
      <c r="N767" s="209">
        <v>0</v>
      </c>
      <c r="O767" s="209" t="s">
        <v>105</v>
      </c>
      <c r="P767" s="213">
        <v>44896.462569444448</v>
      </c>
      <c r="Q767" s="209"/>
      <c r="R767" s="209">
        <v>2</v>
      </c>
      <c r="S767" s="209"/>
      <c r="T767" s="209" t="s">
        <v>646</v>
      </c>
      <c r="U767" s="213">
        <v>44897.462569444448</v>
      </c>
      <c r="V767" s="209" t="s">
        <v>41</v>
      </c>
      <c r="W767" s="209" t="s">
        <v>49</v>
      </c>
      <c r="X767" s="13" t="str">
        <f>IF(RIGHT(H767,2)&lt;&gt;"00",H767,"")</f>
        <v/>
      </c>
      <c r="Y767" s="26">
        <f ca="1">NETWORKDAYS(P767,$Y$1)</f>
        <v>65</v>
      </c>
      <c r="Z767" s="34">
        <v>1</v>
      </c>
      <c r="AA767" s="25" t="str">
        <f t="shared" ca="1" si="58"/>
        <v>A VENCER</v>
      </c>
      <c r="AB767" s="25" t="str">
        <f t="shared" si="61"/>
        <v>SL-On</v>
      </c>
      <c r="AC767" s="2" t="str">
        <f t="shared" si="60"/>
        <v xml:space="preserve"> CRISTINA </v>
      </c>
      <c r="AD767" s="26">
        <f t="shared" si="62"/>
        <v>1</v>
      </c>
      <c r="AE767" s="26">
        <f t="shared" ca="1" si="59"/>
        <v>90.213702199071122</v>
      </c>
      <c r="AF767" s="35"/>
    </row>
    <row r="768" spans="1:32" hidden="1">
      <c r="A768" s="209">
        <v>9126515</v>
      </c>
      <c r="B768" s="209" t="s">
        <v>101</v>
      </c>
      <c r="C768" s="210" t="s">
        <v>643</v>
      </c>
      <c r="D768" s="214">
        <v>220197245</v>
      </c>
      <c r="E768" s="214">
        <v>1245001400040</v>
      </c>
      <c r="F768" s="209" t="s">
        <v>644</v>
      </c>
      <c r="G768" s="209" t="s">
        <v>53</v>
      </c>
      <c r="H768" s="209" t="s">
        <v>408</v>
      </c>
      <c r="I768" s="209" t="s">
        <v>409</v>
      </c>
      <c r="J768" s="209" t="s">
        <v>46</v>
      </c>
      <c r="K768" s="210" t="s">
        <v>645</v>
      </c>
      <c r="L768" s="210"/>
      <c r="M768" s="209" t="s">
        <v>58</v>
      </c>
      <c r="N768" s="209">
        <v>0</v>
      </c>
      <c r="O768" s="209" t="s">
        <v>105</v>
      </c>
      <c r="P768" s="213">
        <v>44896.461180555554</v>
      </c>
      <c r="Q768" s="209"/>
      <c r="R768" s="209">
        <v>2</v>
      </c>
      <c r="S768" s="209"/>
      <c r="T768" s="209" t="s">
        <v>646</v>
      </c>
      <c r="U768" s="213">
        <v>44897.461192129631</v>
      </c>
      <c r="V768" s="209" t="s">
        <v>41</v>
      </c>
      <c r="W768" s="209" t="s">
        <v>49</v>
      </c>
      <c r="X768" s="13" t="str">
        <f>IF(RIGHT(H768,2)&lt;&gt;"00",H768,"")</f>
        <v/>
      </c>
      <c r="Y768" s="26">
        <f ca="1">NETWORKDAYS(P768,$Y$1)</f>
        <v>65</v>
      </c>
      <c r="Z768" s="34">
        <v>1</v>
      </c>
      <c r="AA768" s="25" t="str">
        <f t="shared" ca="1" si="58"/>
        <v>A VENCER</v>
      </c>
      <c r="AB768" s="25" t="str">
        <f t="shared" si="61"/>
        <v>SL-On</v>
      </c>
      <c r="AC768" s="2" t="str">
        <f t="shared" si="60"/>
        <v xml:space="preserve"> CLEITON </v>
      </c>
      <c r="AD768" s="26">
        <f t="shared" si="62"/>
        <v>1</v>
      </c>
      <c r="AE768" s="26">
        <f t="shared" ca="1" si="59"/>
        <v>90.215091087964538</v>
      </c>
      <c r="AF768" s="35"/>
    </row>
    <row r="769" spans="1:32" hidden="1">
      <c r="A769" s="209">
        <v>9126424</v>
      </c>
      <c r="B769" s="209" t="s">
        <v>101</v>
      </c>
      <c r="C769" s="210" t="s">
        <v>643</v>
      </c>
      <c r="D769" s="214">
        <v>220197448</v>
      </c>
      <c r="E769" s="214">
        <v>1792001400040</v>
      </c>
      <c r="F769" s="209" t="s">
        <v>644</v>
      </c>
      <c r="G769" s="209" t="s">
        <v>53</v>
      </c>
      <c r="H769" s="209" t="s">
        <v>467</v>
      </c>
      <c r="I769" s="209" t="s">
        <v>468</v>
      </c>
      <c r="J769" s="209" t="s">
        <v>110</v>
      </c>
      <c r="K769" s="210" t="s">
        <v>645</v>
      </c>
      <c r="L769" s="210"/>
      <c r="M769" s="209" t="s">
        <v>58</v>
      </c>
      <c r="N769" s="209">
        <v>0</v>
      </c>
      <c r="O769" s="209" t="s">
        <v>105</v>
      </c>
      <c r="P769" s="213">
        <v>44896.457650462966</v>
      </c>
      <c r="Q769" s="209"/>
      <c r="R769" s="209">
        <v>2</v>
      </c>
      <c r="S769" s="209"/>
      <c r="T769" s="209" t="s">
        <v>646</v>
      </c>
      <c r="U769" s="213">
        <v>44897.457662037035</v>
      </c>
      <c r="V769" s="209" t="s">
        <v>41</v>
      </c>
      <c r="W769" s="209" t="s">
        <v>49</v>
      </c>
      <c r="X769" s="13" t="str">
        <f>IF(RIGHT(H769,2)&lt;&gt;"00",H769,"")</f>
        <v/>
      </c>
      <c r="Y769" s="26">
        <f ca="1">NETWORKDAYS(P769,$Y$1)</f>
        <v>65</v>
      </c>
      <c r="Z769" s="34">
        <v>1</v>
      </c>
      <c r="AA769" s="25" t="str">
        <f t="shared" ca="1" si="58"/>
        <v>A VENCER</v>
      </c>
      <c r="AB769" s="25" t="str">
        <f t="shared" si="61"/>
        <v>SL-On</v>
      </c>
      <c r="AC769" s="2" t="str">
        <f t="shared" si="60"/>
        <v xml:space="preserve"> CRISTINA </v>
      </c>
      <c r="AD769" s="26">
        <f t="shared" si="62"/>
        <v>1</v>
      </c>
      <c r="AE769" s="26">
        <f t="shared" ca="1" si="59"/>
        <v>90.218621180552873</v>
      </c>
      <c r="AF769" s="35"/>
    </row>
    <row r="770" spans="1:32" hidden="1">
      <c r="A770" s="209">
        <v>9126382</v>
      </c>
      <c r="B770" s="209" t="s">
        <v>101</v>
      </c>
      <c r="C770" s="210" t="s">
        <v>643</v>
      </c>
      <c r="D770" s="214">
        <v>220197425</v>
      </c>
      <c r="E770" s="214">
        <v>1732001400040</v>
      </c>
      <c r="F770" s="209" t="s">
        <v>644</v>
      </c>
      <c r="G770" s="209" t="s">
        <v>53</v>
      </c>
      <c r="H770" s="209" t="s">
        <v>177</v>
      </c>
      <c r="I770" s="209" t="s">
        <v>178</v>
      </c>
      <c r="J770" s="209" t="s">
        <v>164</v>
      </c>
      <c r="K770" s="210" t="s">
        <v>645</v>
      </c>
      <c r="L770" s="210"/>
      <c r="M770" s="209" t="s">
        <v>58</v>
      </c>
      <c r="N770" s="209">
        <v>0</v>
      </c>
      <c r="O770" s="209" t="s">
        <v>105</v>
      </c>
      <c r="P770" s="213">
        <v>44896.456192129626</v>
      </c>
      <c r="Q770" s="209"/>
      <c r="R770" s="209">
        <v>3</v>
      </c>
      <c r="S770" s="209"/>
      <c r="T770" s="209" t="s">
        <v>646</v>
      </c>
      <c r="U770" s="213">
        <v>44897.456192129626</v>
      </c>
      <c r="V770" s="209" t="s">
        <v>41</v>
      </c>
      <c r="W770" s="209" t="s">
        <v>49</v>
      </c>
      <c r="X770" s="13" t="str">
        <f>IF(RIGHT(H770,2)&lt;&gt;"00",H770,"")</f>
        <v/>
      </c>
      <c r="Y770" s="26">
        <f ca="1">NETWORKDAYS(P770,$Y$1)</f>
        <v>65</v>
      </c>
      <c r="Z770" s="34">
        <v>1</v>
      </c>
      <c r="AA770" s="25" t="str">
        <f t="shared" ref="AA770:AA833" ca="1" si="63">IF(AE770=0,"HOJE",IF(AE770&gt;0,"A VENCER",IF(AE770&lt;0,"VENCIDO")))</f>
        <v>A VENCER</v>
      </c>
      <c r="AB770" s="25" t="str">
        <f t="shared" si="61"/>
        <v>SL-On</v>
      </c>
      <c r="AC770" s="2" t="str">
        <f t="shared" si="60"/>
        <v xml:space="preserve"> ROSEMERE </v>
      </c>
      <c r="AD770" s="26">
        <f t="shared" si="62"/>
        <v>1</v>
      </c>
      <c r="AE770" s="26">
        <f t="shared" ref="AE770:AE833" ca="1" si="64">IF(P770=$AE$1,"",$AE$1-P770)</f>
        <v>90.220079513892415</v>
      </c>
      <c r="AF770" s="35"/>
    </row>
    <row r="771" spans="1:32" hidden="1">
      <c r="A771" s="209">
        <v>9126343</v>
      </c>
      <c r="B771" s="209" t="s">
        <v>101</v>
      </c>
      <c r="C771" s="210" t="s">
        <v>643</v>
      </c>
      <c r="D771" s="214">
        <v>220197402</v>
      </c>
      <c r="E771" s="214">
        <v>1664001400040</v>
      </c>
      <c r="F771" s="209" t="s">
        <v>644</v>
      </c>
      <c r="G771" s="209" t="s">
        <v>53</v>
      </c>
      <c r="H771" s="209" t="s">
        <v>307</v>
      </c>
      <c r="I771" s="209" t="s">
        <v>308</v>
      </c>
      <c r="J771" s="209" t="s">
        <v>164</v>
      </c>
      <c r="K771" s="210" t="s">
        <v>645</v>
      </c>
      <c r="L771" s="210"/>
      <c r="M771" s="209" t="s">
        <v>58</v>
      </c>
      <c r="N771" s="209">
        <v>0</v>
      </c>
      <c r="O771" s="209" t="s">
        <v>105</v>
      </c>
      <c r="P771" s="213">
        <v>44896.454652777778</v>
      </c>
      <c r="Q771" s="209"/>
      <c r="R771" s="209">
        <v>2</v>
      </c>
      <c r="S771" s="209"/>
      <c r="T771" s="209" t="s">
        <v>646</v>
      </c>
      <c r="U771" s="213">
        <v>44897.454652777778</v>
      </c>
      <c r="V771" s="209" t="s">
        <v>41</v>
      </c>
      <c r="W771" s="209" t="s">
        <v>49</v>
      </c>
      <c r="X771" s="13" t="str">
        <f>IF(RIGHT(H771,2)&lt;&gt;"00",H771,"")</f>
        <v/>
      </c>
      <c r="Y771" s="26">
        <f ca="1">NETWORKDAYS(P771,$Y$1)</f>
        <v>65</v>
      </c>
      <c r="Z771" s="34">
        <v>1</v>
      </c>
      <c r="AA771" s="25" t="str">
        <f t="shared" ca="1" si="63"/>
        <v>A VENCER</v>
      </c>
      <c r="AB771" s="25" t="str">
        <f t="shared" si="61"/>
        <v>SL-On</v>
      </c>
      <c r="AC771" s="2" t="str">
        <f t="shared" ref="AC771:AC834" si="65">IF(J771="TR-PETROLINA"," ROSEMERE ",IF(J771="TR-GARANHUNS"," ROSEMERE ",IF(J771="TR-CARUARU"," ROSEMERE ",IF(J771="TR-RIBEIRAO"," CRISTINA ",IF(J771="TR-GRAVATA"," CRISTINA ",IF(J771="TR-GOIANA"," CRISTINA ",IF(J771="TR-LIMOEIRO"," CRISTINA ",IF(J771="TR-SERRA TALHADA"," RINALDO ",IF(J771="TR-SALGUEIRO"," RINALDO ",IF(J771="TR-CARNAIBA"," RINALDO ",IF(J771="TR-ARCOVERDE"," RINALDO ",IF(J771="CAT-RECIFE"," CLEITON ",))))))))))))</f>
        <v xml:space="preserve"> ROSEMERE </v>
      </c>
      <c r="AD771" s="26">
        <f t="shared" si="62"/>
        <v>1</v>
      </c>
      <c r="AE771" s="26">
        <f t="shared" ca="1" si="64"/>
        <v>90.221618865740311</v>
      </c>
      <c r="AF771" s="35"/>
    </row>
    <row r="772" spans="1:32" hidden="1">
      <c r="A772" s="209">
        <v>9126340</v>
      </c>
      <c r="B772" s="209" t="s">
        <v>101</v>
      </c>
      <c r="C772" s="210" t="s">
        <v>643</v>
      </c>
      <c r="D772" s="214">
        <v>220197678</v>
      </c>
      <c r="E772" s="214">
        <v>2678001400040</v>
      </c>
      <c r="F772" s="209" t="s">
        <v>644</v>
      </c>
      <c r="G772" s="209" t="s">
        <v>53</v>
      </c>
      <c r="H772" s="209" t="s">
        <v>992</v>
      </c>
      <c r="I772" s="209" t="s">
        <v>993</v>
      </c>
      <c r="J772" s="209" t="s">
        <v>33</v>
      </c>
      <c r="K772" s="210" t="s">
        <v>645</v>
      </c>
      <c r="L772" s="210"/>
      <c r="M772" s="209" t="s">
        <v>58</v>
      </c>
      <c r="N772" s="209">
        <v>0</v>
      </c>
      <c r="O772" s="209" t="s">
        <v>105</v>
      </c>
      <c r="P772" s="213">
        <v>44896.454444444447</v>
      </c>
      <c r="Q772" s="209"/>
      <c r="R772" s="209">
        <v>2</v>
      </c>
      <c r="S772" s="209"/>
      <c r="T772" s="209" t="s">
        <v>646</v>
      </c>
      <c r="U772" s="213">
        <v>44897.454456018517</v>
      </c>
      <c r="V772" s="209" t="s">
        <v>41</v>
      </c>
      <c r="W772" s="209" t="s">
        <v>42</v>
      </c>
      <c r="X772" s="13" t="str">
        <f>IF(RIGHT(H772,2)&lt;&gt;"00",H772,"")</f>
        <v/>
      </c>
      <c r="Y772" s="26">
        <f ca="1">NETWORKDAYS(P772,$Y$1)</f>
        <v>65</v>
      </c>
      <c r="Z772" s="34">
        <v>1</v>
      </c>
      <c r="AA772" s="25" t="str">
        <f t="shared" ca="1" si="63"/>
        <v>A VENCER</v>
      </c>
      <c r="AB772" s="25" t="str">
        <f t="shared" si="61"/>
        <v>SL-On</v>
      </c>
      <c r="AC772" s="2" t="str">
        <f t="shared" si="65"/>
        <v xml:space="preserve"> ROSEMERE </v>
      </c>
      <c r="AD772" s="26">
        <f t="shared" si="62"/>
        <v>1</v>
      </c>
      <c r="AE772" s="26">
        <f t="shared" ca="1" si="64"/>
        <v>90.221827199071413</v>
      </c>
      <c r="AF772" s="35"/>
    </row>
    <row r="773" spans="1:32" hidden="1">
      <c r="A773" s="209">
        <v>9126315</v>
      </c>
      <c r="B773" s="209" t="s">
        <v>101</v>
      </c>
      <c r="C773" s="210" t="s">
        <v>643</v>
      </c>
      <c r="D773" s="214">
        <v>220196945</v>
      </c>
      <c r="E773" s="214">
        <v>673001400040</v>
      </c>
      <c r="F773" s="209" t="s">
        <v>644</v>
      </c>
      <c r="G773" s="209" t="s">
        <v>53</v>
      </c>
      <c r="H773" s="209" t="s">
        <v>581</v>
      </c>
      <c r="I773" s="209" t="s">
        <v>582</v>
      </c>
      <c r="J773" s="209" t="s">
        <v>110</v>
      </c>
      <c r="K773" s="210" t="s">
        <v>645</v>
      </c>
      <c r="L773" s="210"/>
      <c r="M773" s="209" t="s">
        <v>58</v>
      </c>
      <c r="N773" s="209">
        <v>0</v>
      </c>
      <c r="O773" s="209" t="s">
        <v>105</v>
      </c>
      <c r="P773" s="213">
        <v>44896.452546296299</v>
      </c>
      <c r="Q773" s="209"/>
      <c r="R773" s="209">
        <v>2</v>
      </c>
      <c r="S773" s="209"/>
      <c r="T773" s="209" t="s">
        <v>646</v>
      </c>
      <c r="U773" s="213">
        <v>44897.452557870369</v>
      </c>
      <c r="V773" s="209" t="s">
        <v>41</v>
      </c>
      <c r="W773" s="209" t="s">
        <v>49</v>
      </c>
      <c r="X773" s="13" t="str">
        <f>IF(RIGHT(H773,2)&lt;&gt;"00",H773,"")</f>
        <v/>
      </c>
      <c r="Y773" s="26">
        <f ca="1">NETWORKDAYS(P773,$Y$1)</f>
        <v>65</v>
      </c>
      <c r="Z773" s="34">
        <v>1</v>
      </c>
      <c r="AA773" s="25" t="str">
        <f t="shared" ca="1" si="63"/>
        <v>A VENCER</v>
      </c>
      <c r="AB773" s="25" t="str">
        <f t="shared" si="61"/>
        <v>SL-On</v>
      </c>
      <c r="AC773" s="2" t="str">
        <f t="shared" si="65"/>
        <v xml:space="preserve"> CRISTINA </v>
      </c>
      <c r="AD773" s="26">
        <f t="shared" si="62"/>
        <v>1</v>
      </c>
      <c r="AE773" s="26">
        <f t="shared" ca="1" si="64"/>
        <v>90.223725347219442</v>
      </c>
      <c r="AF773" s="35"/>
    </row>
    <row r="774" spans="1:32" hidden="1">
      <c r="A774" s="209">
        <v>9126276</v>
      </c>
      <c r="B774" s="209" t="s">
        <v>101</v>
      </c>
      <c r="C774" s="210" t="s">
        <v>643</v>
      </c>
      <c r="D774" s="214">
        <v>220197114</v>
      </c>
      <c r="E774" s="214">
        <v>981001400040</v>
      </c>
      <c r="F774" s="209" t="s">
        <v>644</v>
      </c>
      <c r="G774" s="209" t="s">
        <v>53</v>
      </c>
      <c r="H774" s="209" t="s">
        <v>410</v>
      </c>
      <c r="I774" s="209" t="s">
        <v>411</v>
      </c>
      <c r="J774" s="209" t="s">
        <v>85</v>
      </c>
      <c r="K774" s="210" t="s">
        <v>645</v>
      </c>
      <c r="L774" s="210"/>
      <c r="M774" s="209" t="s">
        <v>58</v>
      </c>
      <c r="N774" s="209">
        <v>0</v>
      </c>
      <c r="O774" s="209" t="s">
        <v>105</v>
      </c>
      <c r="P774" s="213">
        <v>44896.450682870367</v>
      </c>
      <c r="Q774" s="209"/>
      <c r="R774" s="209">
        <v>3</v>
      </c>
      <c r="S774" s="209"/>
      <c r="T774" s="209" t="s">
        <v>646</v>
      </c>
      <c r="U774" s="213">
        <v>44897.450682870367</v>
      </c>
      <c r="V774" s="209" t="s">
        <v>41</v>
      </c>
      <c r="W774" s="209" t="s">
        <v>49</v>
      </c>
      <c r="X774" s="13" t="str">
        <f>IF(RIGHT(H774,2)&lt;&gt;"00",H774,"")</f>
        <v/>
      </c>
      <c r="Y774" s="26">
        <f ca="1">NETWORKDAYS(P774,$Y$1)</f>
        <v>65</v>
      </c>
      <c r="Z774" s="34">
        <v>1</v>
      </c>
      <c r="AA774" s="25" t="str">
        <f t="shared" ca="1" si="63"/>
        <v>A VENCER</v>
      </c>
      <c r="AB774" s="25" t="str">
        <f t="shared" si="61"/>
        <v>SL-On</v>
      </c>
      <c r="AC774" s="2" t="str">
        <f t="shared" si="65"/>
        <v xml:space="preserve"> RINALDO </v>
      </c>
      <c r="AD774" s="26">
        <f t="shared" si="62"/>
        <v>1</v>
      </c>
      <c r="AE774" s="26">
        <f t="shared" ca="1" si="64"/>
        <v>90.225588773151685</v>
      </c>
      <c r="AF774" s="35"/>
    </row>
    <row r="775" spans="1:32" hidden="1">
      <c r="A775" s="209">
        <v>9126219</v>
      </c>
      <c r="B775" s="209" t="s">
        <v>101</v>
      </c>
      <c r="C775" s="210" t="s">
        <v>643</v>
      </c>
      <c r="D775" s="214">
        <v>220196904</v>
      </c>
      <c r="E775" s="214">
        <v>608001400040</v>
      </c>
      <c r="F775" s="209" t="s">
        <v>644</v>
      </c>
      <c r="G775" s="209" t="s">
        <v>53</v>
      </c>
      <c r="H775" s="209" t="s">
        <v>438</v>
      </c>
      <c r="I775" s="209" t="s">
        <v>439</v>
      </c>
      <c r="J775" s="209" t="s">
        <v>148</v>
      </c>
      <c r="K775" s="210" t="s">
        <v>645</v>
      </c>
      <c r="L775" s="210"/>
      <c r="M775" s="209" t="s">
        <v>58</v>
      </c>
      <c r="N775" s="209">
        <v>0</v>
      </c>
      <c r="O775" s="209" t="s">
        <v>105</v>
      </c>
      <c r="P775" s="213">
        <v>44896.447650462964</v>
      </c>
      <c r="Q775" s="209"/>
      <c r="R775" s="209">
        <v>3</v>
      </c>
      <c r="S775" s="209"/>
      <c r="T775" s="209" t="s">
        <v>646</v>
      </c>
      <c r="U775" s="213">
        <v>44897.447650462964</v>
      </c>
      <c r="V775" s="209" t="s">
        <v>41</v>
      </c>
      <c r="W775" s="209" t="s">
        <v>49</v>
      </c>
      <c r="X775" s="13" t="str">
        <f>IF(RIGHT(H775,2)&lt;&gt;"00",H775,"")</f>
        <v/>
      </c>
      <c r="Y775" s="26">
        <f ca="1">NETWORKDAYS(P775,$Y$1)</f>
        <v>65</v>
      </c>
      <c r="Z775" s="34">
        <v>1</v>
      </c>
      <c r="AA775" s="25" t="str">
        <f t="shared" ca="1" si="63"/>
        <v>A VENCER</v>
      </c>
      <c r="AB775" s="25" t="str">
        <f t="shared" si="61"/>
        <v>SL-On</v>
      </c>
      <c r="AC775" s="2" t="str">
        <f t="shared" si="65"/>
        <v xml:space="preserve"> RINALDO </v>
      </c>
      <c r="AD775" s="26">
        <f t="shared" si="62"/>
        <v>1</v>
      </c>
      <c r="AE775" s="26">
        <f t="shared" ca="1" si="64"/>
        <v>90.22862118055491</v>
      </c>
      <c r="AF775" s="35"/>
    </row>
    <row r="776" spans="1:32" hidden="1">
      <c r="A776" s="209">
        <v>9126206</v>
      </c>
      <c r="B776" s="209" t="s">
        <v>101</v>
      </c>
      <c r="C776" s="210" t="s">
        <v>643</v>
      </c>
      <c r="D776" s="214">
        <v>220196891</v>
      </c>
      <c r="E776" s="214">
        <v>582001400040</v>
      </c>
      <c r="F776" s="209" t="s">
        <v>644</v>
      </c>
      <c r="G776" s="209" t="s">
        <v>53</v>
      </c>
      <c r="H776" s="209" t="s">
        <v>139</v>
      </c>
      <c r="I776" s="209" t="s">
        <v>140</v>
      </c>
      <c r="J776" s="209" t="s">
        <v>141</v>
      </c>
      <c r="K776" s="210" t="s">
        <v>645</v>
      </c>
      <c r="L776" s="210"/>
      <c r="M776" s="209" t="s">
        <v>58</v>
      </c>
      <c r="N776" s="209">
        <v>0</v>
      </c>
      <c r="O776" s="209" t="s">
        <v>105</v>
      </c>
      <c r="P776" s="213">
        <v>44896.446828703702</v>
      </c>
      <c r="Q776" s="209"/>
      <c r="R776" s="209">
        <v>3</v>
      </c>
      <c r="S776" s="209"/>
      <c r="T776" s="209" t="s">
        <v>646</v>
      </c>
      <c r="U776" s="213">
        <v>44897.446828703702</v>
      </c>
      <c r="V776" s="209" t="s">
        <v>41</v>
      </c>
      <c r="W776" s="209" t="s">
        <v>49</v>
      </c>
      <c r="X776" s="13" t="str">
        <f>IF(RIGHT(H776,2)&lt;&gt;"00",H776,"")</f>
        <v/>
      </c>
      <c r="Y776" s="26">
        <f ca="1">NETWORKDAYS(P776,$Y$1)</f>
        <v>65</v>
      </c>
      <c r="Z776" s="34">
        <v>1</v>
      </c>
      <c r="AA776" s="25" t="str">
        <f t="shared" ca="1" si="63"/>
        <v>A VENCER</v>
      </c>
      <c r="AB776" s="25" t="str">
        <f t="shared" si="61"/>
        <v>SL-On</v>
      </c>
      <c r="AC776" s="2" t="str">
        <f t="shared" si="65"/>
        <v xml:space="preserve"> CRISTINA </v>
      </c>
      <c r="AD776" s="26">
        <f t="shared" si="62"/>
        <v>1</v>
      </c>
      <c r="AE776" s="26">
        <f t="shared" ca="1" si="64"/>
        <v>90.229442939817091</v>
      </c>
      <c r="AF776" s="35"/>
    </row>
    <row r="777" spans="1:32" hidden="1">
      <c r="A777" s="209">
        <v>9126187</v>
      </c>
      <c r="B777" s="209" t="s">
        <v>101</v>
      </c>
      <c r="C777" s="210" t="s">
        <v>643</v>
      </c>
      <c r="D777" s="214">
        <v>220196872</v>
      </c>
      <c r="E777" s="214">
        <v>550001400040</v>
      </c>
      <c r="F777" s="209" t="s">
        <v>644</v>
      </c>
      <c r="G777" s="209" t="s">
        <v>53</v>
      </c>
      <c r="H777" s="209" t="s">
        <v>337</v>
      </c>
      <c r="I777" s="209" t="s">
        <v>338</v>
      </c>
      <c r="J777" s="209" t="s">
        <v>164</v>
      </c>
      <c r="K777" s="210" t="s">
        <v>645</v>
      </c>
      <c r="L777" s="210"/>
      <c r="M777" s="209" t="s">
        <v>58</v>
      </c>
      <c r="N777" s="209">
        <v>0</v>
      </c>
      <c r="O777" s="209" t="s">
        <v>105</v>
      </c>
      <c r="P777" s="213">
        <v>44896.445625</v>
      </c>
      <c r="Q777" s="209"/>
      <c r="R777" s="209">
        <v>3</v>
      </c>
      <c r="S777" s="209"/>
      <c r="T777" s="209" t="s">
        <v>646</v>
      </c>
      <c r="U777" s="213">
        <v>44897.445636574077</v>
      </c>
      <c r="V777" s="209" t="s">
        <v>41</v>
      </c>
      <c r="W777" s="209" t="s">
        <v>49</v>
      </c>
      <c r="X777" s="13" t="str">
        <f>IF(RIGHT(H777,2)&lt;&gt;"00",H777,"")</f>
        <v/>
      </c>
      <c r="Y777" s="26">
        <f ca="1">NETWORKDAYS(P777,$Y$1)</f>
        <v>65</v>
      </c>
      <c r="Z777" s="34">
        <v>1</v>
      </c>
      <c r="AA777" s="25" t="str">
        <f t="shared" ca="1" si="63"/>
        <v>A VENCER</v>
      </c>
      <c r="AB777" s="25" t="str">
        <f t="shared" si="61"/>
        <v>SL-On</v>
      </c>
      <c r="AC777" s="2" t="str">
        <f t="shared" si="65"/>
        <v xml:space="preserve"> ROSEMERE </v>
      </c>
      <c r="AD777" s="26">
        <f t="shared" si="62"/>
        <v>1</v>
      </c>
      <c r="AE777" s="26">
        <f t="shared" ca="1" si="64"/>
        <v>90.230646643518412</v>
      </c>
      <c r="AF777" s="35"/>
    </row>
    <row r="778" spans="1:32" hidden="1">
      <c r="A778" s="209">
        <v>9126178</v>
      </c>
      <c r="B778" s="209" t="s">
        <v>101</v>
      </c>
      <c r="C778" s="210" t="s">
        <v>643</v>
      </c>
      <c r="D778" s="214">
        <v>220196867</v>
      </c>
      <c r="E778" s="214">
        <v>537001400040</v>
      </c>
      <c r="F778" s="209" t="s">
        <v>644</v>
      </c>
      <c r="G778" s="209" t="s">
        <v>53</v>
      </c>
      <c r="H778" s="209" t="s">
        <v>442</v>
      </c>
      <c r="I778" s="209" t="s">
        <v>443</v>
      </c>
      <c r="J778" s="209" t="s">
        <v>79</v>
      </c>
      <c r="K778" s="210" t="s">
        <v>645</v>
      </c>
      <c r="L778" s="210"/>
      <c r="M778" s="209" t="s">
        <v>58</v>
      </c>
      <c r="N778" s="209">
        <v>0</v>
      </c>
      <c r="O778" s="209" t="s">
        <v>105</v>
      </c>
      <c r="P778" s="213">
        <v>44896.445023148146</v>
      </c>
      <c r="Q778" s="209"/>
      <c r="R778" s="209">
        <v>2</v>
      </c>
      <c r="S778" s="209"/>
      <c r="T778" s="209" t="s">
        <v>646</v>
      </c>
      <c r="U778" s="213">
        <v>44897.445023148146</v>
      </c>
      <c r="V778" s="209" t="s">
        <v>41</v>
      </c>
      <c r="W778" s="209" t="s">
        <v>49</v>
      </c>
      <c r="X778" s="13" t="str">
        <f>IF(RIGHT(H778,2)&lt;&gt;"00",H778,"")</f>
        <v/>
      </c>
      <c r="Y778" s="26">
        <f ca="1">NETWORKDAYS(P778,$Y$1)</f>
        <v>65</v>
      </c>
      <c r="Z778" s="34">
        <v>1</v>
      </c>
      <c r="AA778" s="25" t="str">
        <f t="shared" ca="1" si="63"/>
        <v>A VENCER</v>
      </c>
      <c r="AB778" s="25" t="str">
        <f t="shared" si="61"/>
        <v>SL-On</v>
      </c>
      <c r="AC778" s="2" t="str">
        <f t="shared" si="65"/>
        <v xml:space="preserve"> ROSEMERE </v>
      </c>
      <c r="AD778" s="26">
        <f t="shared" si="62"/>
        <v>1</v>
      </c>
      <c r="AE778" s="26">
        <f t="shared" ca="1" si="64"/>
        <v>90.231248495372711</v>
      </c>
      <c r="AF778" s="35"/>
    </row>
    <row r="779" spans="1:32" hidden="1">
      <c r="A779" s="209">
        <v>9126149</v>
      </c>
      <c r="B779" s="209" t="s">
        <v>101</v>
      </c>
      <c r="C779" s="210" t="s">
        <v>643</v>
      </c>
      <c r="D779" s="214">
        <v>220197129</v>
      </c>
      <c r="E779" s="214">
        <v>1012001400040</v>
      </c>
      <c r="F779" s="209" t="s">
        <v>644</v>
      </c>
      <c r="G779" s="209" t="s">
        <v>53</v>
      </c>
      <c r="H779" s="209" t="s">
        <v>172</v>
      </c>
      <c r="I779" s="209" t="s">
        <v>173</v>
      </c>
      <c r="J779" s="209" t="s">
        <v>164</v>
      </c>
      <c r="K779" s="210" t="s">
        <v>645</v>
      </c>
      <c r="L779" s="210"/>
      <c r="M779" s="209" t="s">
        <v>58</v>
      </c>
      <c r="N779" s="209">
        <v>0</v>
      </c>
      <c r="O779" s="209" t="s">
        <v>105</v>
      </c>
      <c r="P779" s="213">
        <v>44896.443888888891</v>
      </c>
      <c r="Q779" s="209"/>
      <c r="R779" s="209">
        <v>2</v>
      </c>
      <c r="S779" s="209"/>
      <c r="T779" s="209" t="s">
        <v>646</v>
      </c>
      <c r="U779" s="213">
        <v>44897.443888888891</v>
      </c>
      <c r="V779" s="209" t="s">
        <v>41</v>
      </c>
      <c r="W779" s="209" t="s">
        <v>49</v>
      </c>
      <c r="X779" s="13" t="str">
        <f>IF(RIGHT(H779,2)&lt;&gt;"00",H779,"")</f>
        <v/>
      </c>
      <c r="Y779" s="26">
        <f ca="1">NETWORKDAYS(P779,$Y$1)</f>
        <v>65</v>
      </c>
      <c r="Z779" s="34">
        <v>1</v>
      </c>
      <c r="AA779" s="25" t="str">
        <f t="shared" ca="1" si="63"/>
        <v>A VENCER</v>
      </c>
      <c r="AB779" s="25" t="str">
        <f t="shared" si="61"/>
        <v>SL-On</v>
      </c>
      <c r="AC779" s="2" t="str">
        <f t="shared" si="65"/>
        <v xml:space="preserve"> ROSEMERE </v>
      </c>
      <c r="AD779" s="26">
        <f t="shared" si="62"/>
        <v>1</v>
      </c>
      <c r="AE779" s="26">
        <f t="shared" ca="1" si="64"/>
        <v>90.232382754627906</v>
      </c>
      <c r="AF779" s="35"/>
    </row>
    <row r="780" spans="1:32" hidden="1">
      <c r="A780" s="209">
        <v>9126105</v>
      </c>
      <c r="B780" s="209" t="s">
        <v>101</v>
      </c>
      <c r="C780" s="210" t="s">
        <v>643</v>
      </c>
      <c r="D780" s="214">
        <v>220197072</v>
      </c>
      <c r="E780" s="214">
        <v>899001400040</v>
      </c>
      <c r="F780" s="209" t="s">
        <v>644</v>
      </c>
      <c r="G780" s="209" t="s">
        <v>53</v>
      </c>
      <c r="H780" s="209" t="s">
        <v>175</v>
      </c>
      <c r="I780" s="209" t="s">
        <v>176</v>
      </c>
      <c r="J780" s="209" t="s">
        <v>90</v>
      </c>
      <c r="K780" s="210" t="s">
        <v>645</v>
      </c>
      <c r="L780" s="210"/>
      <c r="M780" s="209" t="s">
        <v>58</v>
      </c>
      <c r="N780" s="209">
        <v>0</v>
      </c>
      <c r="O780" s="209" t="s">
        <v>36</v>
      </c>
      <c r="P780" s="213">
        <v>44896.441180555557</v>
      </c>
      <c r="Q780" s="209"/>
      <c r="R780" s="209">
        <v>2</v>
      </c>
      <c r="S780" s="209"/>
      <c r="T780" s="209" t="s">
        <v>646</v>
      </c>
      <c r="U780" s="213">
        <v>44897.441180555557</v>
      </c>
      <c r="V780" s="209" t="s">
        <v>41</v>
      </c>
      <c r="W780" s="209" t="s">
        <v>49</v>
      </c>
      <c r="X780" s="13" t="str">
        <f>IF(RIGHT(H780,2)&lt;&gt;"00",H780,"")</f>
        <v/>
      </c>
      <c r="Y780" s="26">
        <f ca="1">NETWORKDAYS(P780,$Y$1)</f>
        <v>65</v>
      </c>
      <c r="Z780" s="34">
        <v>1</v>
      </c>
      <c r="AA780" s="25" t="str">
        <f t="shared" ca="1" si="63"/>
        <v>A VENCER</v>
      </c>
      <c r="AB780" s="25" t="str">
        <f t="shared" si="61"/>
        <v>SL-On</v>
      </c>
      <c r="AC780" s="2" t="str">
        <f t="shared" si="65"/>
        <v xml:space="preserve"> RINALDO </v>
      </c>
      <c r="AD780" s="26">
        <f t="shared" si="62"/>
        <v>1</v>
      </c>
      <c r="AE780" s="26">
        <f t="shared" ca="1" si="64"/>
        <v>90.235091087961337</v>
      </c>
      <c r="AF780" s="35"/>
    </row>
    <row r="781" spans="1:32" hidden="1">
      <c r="A781" s="209">
        <v>9125943</v>
      </c>
      <c r="B781" s="209" t="s">
        <v>101</v>
      </c>
      <c r="C781" s="210" t="s">
        <v>643</v>
      </c>
      <c r="D781" s="214">
        <v>220197093</v>
      </c>
      <c r="E781" s="214">
        <v>934001400040</v>
      </c>
      <c r="F781" s="209" t="s">
        <v>644</v>
      </c>
      <c r="G781" s="209" t="s">
        <v>53</v>
      </c>
      <c r="H781" s="209" t="s">
        <v>428</v>
      </c>
      <c r="I781" s="209" t="s">
        <v>429</v>
      </c>
      <c r="J781" s="209" t="s">
        <v>46</v>
      </c>
      <c r="K781" s="210" t="s">
        <v>645</v>
      </c>
      <c r="L781" s="210"/>
      <c r="M781" s="209" t="s">
        <v>58</v>
      </c>
      <c r="N781" s="209">
        <v>0</v>
      </c>
      <c r="O781" s="209" t="s">
        <v>105</v>
      </c>
      <c r="P781" s="213">
        <v>44896.434560185182</v>
      </c>
      <c r="Q781" s="209"/>
      <c r="R781" s="209">
        <v>2</v>
      </c>
      <c r="S781" s="209"/>
      <c r="T781" s="209" t="s">
        <v>646</v>
      </c>
      <c r="U781" s="213">
        <v>44897.434560185182</v>
      </c>
      <c r="V781" s="209" t="s">
        <v>41</v>
      </c>
      <c r="W781" s="209" t="s">
        <v>49</v>
      </c>
      <c r="X781" s="13" t="str">
        <f>IF(RIGHT(H781,2)&lt;&gt;"00",H781,"")</f>
        <v/>
      </c>
      <c r="Y781" s="26">
        <f ca="1">NETWORKDAYS(P781,$Y$1)</f>
        <v>65</v>
      </c>
      <c r="Z781" s="34">
        <v>1</v>
      </c>
      <c r="AA781" s="25" t="str">
        <f t="shared" ca="1" si="63"/>
        <v>A VENCER</v>
      </c>
      <c r="AB781" s="25" t="str">
        <f t="shared" si="61"/>
        <v>SL-On</v>
      </c>
      <c r="AC781" s="2" t="str">
        <f t="shared" si="65"/>
        <v xml:space="preserve"> CLEITON </v>
      </c>
      <c r="AD781" s="26">
        <f t="shared" si="62"/>
        <v>1</v>
      </c>
      <c r="AE781" s="26">
        <f t="shared" ca="1" si="64"/>
        <v>90.241711458336795</v>
      </c>
      <c r="AF781" s="35"/>
    </row>
    <row r="782" spans="1:32" hidden="1">
      <c r="A782" s="209">
        <v>9125924</v>
      </c>
      <c r="B782" s="209" t="s">
        <v>101</v>
      </c>
      <c r="C782" s="210" t="s">
        <v>643</v>
      </c>
      <c r="D782" s="214">
        <v>220197082</v>
      </c>
      <c r="E782" s="214">
        <v>922001400040</v>
      </c>
      <c r="F782" s="209" t="s">
        <v>644</v>
      </c>
      <c r="G782" s="209" t="s">
        <v>53</v>
      </c>
      <c r="H782" s="209" t="s">
        <v>1375</v>
      </c>
      <c r="I782" s="209" t="s">
        <v>1376</v>
      </c>
      <c r="J782" s="209" t="s">
        <v>261</v>
      </c>
      <c r="K782" s="210" t="s">
        <v>645</v>
      </c>
      <c r="L782" s="210"/>
      <c r="M782" s="209" t="s">
        <v>58</v>
      </c>
      <c r="N782" s="209">
        <v>0</v>
      </c>
      <c r="O782" s="209" t="s">
        <v>105</v>
      </c>
      <c r="P782" s="213">
        <v>44896.433796296296</v>
      </c>
      <c r="Q782" s="209"/>
      <c r="R782" s="209">
        <v>3</v>
      </c>
      <c r="S782" s="209"/>
      <c r="T782" s="209" t="s">
        <v>646</v>
      </c>
      <c r="U782" s="213">
        <v>44897.433796296296</v>
      </c>
      <c r="V782" s="209" t="s">
        <v>41</v>
      </c>
      <c r="W782" s="209" t="s">
        <v>49</v>
      </c>
      <c r="X782" s="13" t="str">
        <f>IF(RIGHT(H782,2)&lt;&gt;"00",H782,"")</f>
        <v/>
      </c>
      <c r="Y782" s="26">
        <f ca="1">NETWORKDAYS(P782,$Y$1)</f>
        <v>65</v>
      </c>
      <c r="Z782" s="34">
        <v>1</v>
      </c>
      <c r="AA782" s="25" t="str">
        <f t="shared" ca="1" si="63"/>
        <v>A VENCER</v>
      </c>
      <c r="AB782" s="25" t="str">
        <f t="shared" si="61"/>
        <v>SL-On</v>
      </c>
      <c r="AC782" s="2" t="str">
        <f t="shared" si="65"/>
        <v xml:space="preserve"> CRISTINA </v>
      </c>
      <c r="AD782" s="26">
        <f t="shared" si="62"/>
        <v>1</v>
      </c>
      <c r="AE782" s="26">
        <f t="shared" ca="1" si="64"/>
        <v>90.242475347222353</v>
      </c>
      <c r="AF782" s="35"/>
    </row>
    <row r="783" spans="1:32" hidden="1">
      <c r="A783" s="209">
        <v>9125919</v>
      </c>
      <c r="B783" s="209" t="s">
        <v>101</v>
      </c>
      <c r="C783" s="210" t="s">
        <v>643</v>
      </c>
      <c r="D783" s="214">
        <v>220197080</v>
      </c>
      <c r="E783" s="214">
        <v>917001400040</v>
      </c>
      <c r="F783" s="209" t="s">
        <v>644</v>
      </c>
      <c r="G783" s="209" t="s">
        <v>53</v>
      </c>
      <c r="H783" s="209" t="s">
        <v>83</v>
      </c>
      <c r="I783" s="209" t="s">
        <v>84</v>
      </c>
      <c r="J783" s="209" t="s">
        <v>85</v>
      </c>
      <c r="K783" s="210" t="s">
        <v>645</v>
      </c>
      <c r="L783" s="210"/>
      <c r="M783" s="209" t="s">
        <v>58</v>
      </c>
      <c r="N783" s="209">
        <v>0</v>
      </c>
      <c r="O783" s="209" t="s">
        <v>105</v>
      </c>
      <c r="P783" s="213">
        <v>44896.433657407404</v>
      </c>
      <c r="Q783" s="209"/>
      <c r="R783" s="209">
        <v>3</v>
      </c>
      <c r="S783" s="209"/>
      <c r="T783" s="209" t="s">
        <v>646</v>
      </c>
      <c r="U783" s="213">
        <v>44897.433657407404</v>
      </c>
      <c r="V783" s="209" t="s">
        <v>41</v>
      </c>
      <c r="W783" s="209" t="s">
        <v>49</v>
      </c>
      <c r="X783" s="13" t="str">
        <f>IF(RIGHT(H783,2)&lt;&gt;"00",H783,"")</f>
        <v/>
      </c>
      <c r="Y783" s="26">
        <f ca="1">NETWORKDAYS(P783,$Y$1)</f>
        <v>65</v>
      </c>
      <c r="Z783" s="34">
        <v>1</v>
      </c>
      <c r="AA783" s="25" t="str">
        <f t="shared" ca="1" si="63"/>
        <v>A VENCER</v>
      </c>
      <c r="AB783" s="25" t="str">
        <f t="shared" si="61"/>
        <v>SL-On</v>
      </c>
      <c r="AC783" s="2" t="str">
        <f t="shared" si="65"/>
        <v xml:space="preserve"> RINALDO </v>
      </c>
      <c r="AD783" s="26">
        <f t="shared" si="62"/>
        <v>1</v>
      </c>
      <c r="AE783" s="26">
        <f t="shared" ca="1" si="64"/>
        <v>90.242614236114605</v>
      </c>
      <c r="AF783" s="35"/>
    </row>
    <row r="784" spans="1:32" hidden="1">
      <c r="A784" s="209">
        <v>9125717</v>
      </c>
      <c r="B784" s="209" t="s">
        <v>101</v>
      </c>
      <c r="C784" s="210" t="s">
        <v>643</v>
      </c>
      <c r="D784" s="214">
        <v>220196408</v>
      </c>
      <c r="E784" s="214">
        <v>5755001400030</v>
      </c>
      <c r="F784" s="209" t="s">
        <v>647</v>
      </c>
      <c r="G784" s="209" t="s">
        <v>53</v>
      </c>
      <c r="H784" s="209" t="s">
        <v>841</v>
      </c>
      <c r="I784" s="209" t="s">
        <v>842</v>
      </c>
      <c r="J784" s="209" t="s">
        <v>46</v>
      </c>
      <c r="K784" s="210" t="s">
        <v>650</v>
      </c>
      <c r="L784" s="210"/>
      <c r="M784" s="209" t="s">
        <v>58</v>
      </c>
      <c r="N784" s="209">
        <v>0</v>
      </c>
      <c r="O784" s="209" t="s">
        <v>105</v>
      </c>
      <c r="P784" s="213">
        <v>44896.422476851854</v>
      </c>
      <c r="Q784" s="209"/>
      <c r="R784" s="209">
        <v>4</v>
      </c>
      <c r="S784" s="209"/>
      <c r="T784" s="209" t="s">
        <v>646</v>
      </c>
      <c r="U784" s="213">
        <v>44897.422476851854</v>
      </c>
      <c r="V784" s="209" t="s">
        <v>41</v>
      </c>
      <c r="W784" s="209" t="s">
        <v>49</v>
      </c>
      <c r="X784" s="13" t="str">
        <f>IF(RIGHT(H784,2)&lt;&gt;"00",H784,"")</f>
        <v/>
      </c>
      <c r="Y784" s="26">
        <f ca="1">NETWORKDAYS(P784,$Y$1)</f>
        <v>65</v>
      </c>
      <c r="Z784" s="34">
        <v>1</v>
      </c>
      <c r="AA784" s="25" t="str">
        <f t="shared" ca="1" si="63"/>
        <v>A VENCER</v>
      </c>
      <c r="AB784" s="25" t="str">
        <f t="shared" si="61"/>
        <v>C-14</v>
      </c>
      <c r="AC784" s="2" t="str">
        <f t="shared" si="65"/>
        <v xml:space="preserve"> CLEITON </v>
      </c>
      <c r="AD784" s="26">
        <f t="shared" si="62"/>
        <v>15</v>
      </c>
      <c r="AE784" s="26">
        <f t="shared" ca="1" si="64"/>
        <v>90.253794791664404</v>
      </c>
      <c r="AF784" s="35"/>
    </row>
    <row r="785" spans="1:32" hidden="1">
      <c r="A785" s="209">
        <v>9125693</v>
      </c>
      <c r="B785" s="209" t="s">
        <v>101</v>
      </c>
      <c r="C785" s="210" t="s">
        <v>643</v>
      </c>
      <c r="D785" s="214">
        <v>220196378</v>
      </c>
      <c r="E785" s="214">
        <v>1943001400030</v>
      </c>
      <c r="F785" s="209" t="s">
        <v>647</v>
      </c>
      <c r="G785" s="209" t="s">
        <v>53</v>
      </c>
      <c r="H785" s="209" t="s">
        <v>264</v>
      </c>
      <c r="I785" s="209" t="s">
        <v>265</v>
      </c>
      <c r="J785" s="209" t="s">
        <v>56</v>
      </c>
      <c r="K785" s="210" t="s">
        <v>650</v>
      </c>
      <c r="L785" s="210"/>
      <c r="M785" s="209" t="s">
        <v>58</v>
      </c>
      <c r="N785" s="209">
        <v>0</v>
      </c>
      <c r="O785" s="209" t="s">
        <v>105</v>
      </c>
      <c r="P785" s="213">
        <v>44896.421620370369</v>
      </c>
      <c r="Q785" s="209"/>
      <c r="R785" s="209">
        <v>4</v>
      </c>
      <c r="S785" s="209"/>
      <c r="T785" s="209" t="s">
        <v>646</v>
      </c>
      <c r="U785" s="213">
        <v>44897.421620370369</v>
      </c>
      <c r="V785" s="209" t="s">
        <v>41</v>
      </c>
      <c r="W785" s="209" t="s">
        <v>49</v>
      </c>
      <c r="X785" s="13" t="str">
        <f>IF(RIGHT(H785,2)&lt;&gt;"00",H785,"")</f>
        <v/>
      </c>
      <c r="Y785" s="26">
        <f ca="1">NETWORKDAYS(P785,$Y$1)</f>
        <v>65</v>
      </c>
      <c r="Z785" s="34">
        <v>1</v>
      </c>
      <c r="AA785" s="25" t="str">
        <f t="shared" ca="1" si="63"/>
        <v>A VENCER</v>
      </c>
      <c r="AB785" s="25" t="str">
        <f t="shared" si="61"/>
        <v>C-14</v>
      </c>
      <c r="AC785" s="2" t="str">
        <f t="shared" si="65"/>
        <v xml:space="preserve"> CRISTINA </v>
      </c>
      <c r="AD785" s="26">
        <f t="shared" si="62"/>
        <v>15</v>
      </c>
      <c r="AE785" s="26">
        <f t="shared" ca="1" si="64"/>
        <v>90.254651273149648</v>
      </c>
      <c r="AF785" s="35"/>
    </row>
    <row r="786" spans="1:32" hidden="1">
      <c r="A786" s="209">
        <v>9125609</v>
      </c>
      <c r="B786" s="209" t="s">
        <v>101</v>
      </c>
      <c r="C786" s="210" t="s">
        <v>643</v>
      </c>
      <c r="D786" s="214">
        <v>220196332</v>
      </c>
      <c r="E786" s="214">
        <v>5898001400030</v>
      </c>
      <c r="F786" s="209" t="s">
        <v>647</v>
      </c>
      <c r="G786" s="209" t="s">
        <v>53</v>
      </c>
      <c r="H786" s="209" t="s">
        <v>365</v>
      </c>
      <c r="I786" s="209" t="s">
        <v>366</v>
      </c>
      <c r="J786" s="209" t="s">
        <v>164</v>
      </c>
      <c r="K786" s="210" t="s">
        <v>650</v>
      </c>
      <c r="L786" s="210"/>
      <c r="M786" s="209" t="s">
        <v>58</v>
      </c>
      <c r="N786" s="209">
        <v>0</v>
      </c>
      <c r="O786" s="209" t="s">
        <v>105</v>
      </c>
      <c r="P786" s="213">
        <v>44896.417812500003</v>
      </c>
      <c r="Q786" s="209"/>
      <c r="R786" s="209">
        <v>4</v>
      </c>
      <c r="S786" s="209"/>
      <c r="T786" s="209" t="s">
        <v>646</v>
      </c>
      <c r="U786" s="213">
        <v>44897.417812500003</v>
      </c>
      <c r="V786" s="209" t="s">
        <v>41</v>
      </c>
      <c r="W786" s="209" t="s">
        <v>49</v>
      </c>
      <c r="X786" s="13" t="str">
        <f>IF(RIGHT(H786,2)&lt;&gt;"00",H786,"")</f>
        <v/>
      </c>
      <c r="Y786" s="26">
        <f ca="1">NETWORKDAYS(P786,$Y$1)</f>
        <v>65</v>
      </c>
      <c r="Z786" s="34">
        <v>1</v>
      </c>
      <c r="AA786" s="25" t="str">
        <f t="shared" ca="1" si="63"/>
        <v>A VENCER</v>
      </c>
      <c r="AB786" s="25" t="str">
        <f t="shared" si="61"/>
        <v>C-14</v>
      </c>
      <c r="AC786" s="2" t="str">
        <f t="shared" si="65"/>
        <v xml:space="preserve"> ROSEMERE </v>
      </c>
      <c r="AD786" s="26">
        <f t="shared" si="62"/>
        <v>15</v>
      </c>
      <c r="AE786" s="26">
        <f t="shared" ca="1" si="64"/>
        <v>90.258459143515211</v>
      </c>
      <c r="AF786" s="35"/>
    </row>
    <row r="787" spans="1:32" hidden="1">
      <c r="A787" s="209">
        <v>9125460</v>
      </c>
      <c r="B787" s="209" t="s">
        <v>101</v>
      </c>
      <c r="C787" s="210" t="s">
        <v>643</v>
      </c>
      <c r="D787" s="214">
        <v>220196217</v>
      </c>
      <c r="E787" s="214">
        <v>5742001400030</v>
      </c>
      <c r="F787" s="209" t="s">
        <v>647</v>
      </c>
      <c r="G787" s="209" t="s">
        <v>53</v>
      </c>
      <c r="H787" s="209" t="s">
        <v>430</v>
      </c>
      <c r="I787" s="209" t="s">
        <v>431</v>
      </c>
      <c r="J787" s="209" t="s">
        <v>79</v>
      </c>
      <c r="K787" s="210" t="s">
        <v>650</v>
      </c>
      <c r="L787" s="210"/>
      <c r="M787" s="209" t="s">
        <v>58</v>
      </c>
      <c r="N787" s="209">
        <v>0</v>
      </c>
      <c r="O787" s="209" t="s">
        <v>105</v>
      </c>
      <c r="P787" s="213">
        <v>44896.409247685187</v>
      </c>
      <c r="Q787" s="209"/>
      <c r="R787" s="209">
        <v>4</v>
      </c>
      <c r="S787" s="209"/>
      <c r="T787" s="209" t="s">
        <v>646</v>
      </c>
      <c r="U787" s="213">
        <v>44897.409247685187</v>
      </c>
      <c r="V787" s="209" t="s">
        <v>41</v>
      </c>
      <c r="W787" s="209" t="s">
        <v>49</v>
      </c>
      <c r="X787" s="13" t="str">
        <f>IF(RIGHT(H787,2)&lt;&gt;"00",H787,"")</f>
        <v/>
      </c>
      <c r="Y787" s="26">
        <f ca="1">NETWORKDAYS(P787,$Y$1)</f>
        <v>65</v>
      </c>
      <c r="Z787" s="34">
        <v>1</v>
      </c>
      <c r="AA787" s="25" t="str">
        <f t="shared" ca="1" si="63"/>
        <v>A VENCER</v>
      </c>
      <c r="AB787" s="25" t="str">
        <f t="shared" si="61"/>
        <v>C-14</v>
      </c>
      <c r="AC787" s="2" t="str">
        <f t="shared" si="65"/>
        <v xml:space="preserve"> ROSEMERE </v>
      </c>
      <c r="AD787" s="26">
        <f t="shared" si="62"/>
        <v>15</v>
      </c>
      <c r="AE787" s="26">
        <f t="shared" ca="1" si="64"/>
        <v>90.267023958331265</v>
      </c>
      <c r="AF787" s="35"/>
    </row>
    <row r="788" spans="1:32" hidden="1">
      <c r="A788" s="209">
        <v>9125404</v>
      </c>
      <c r="B788" s="209" t="s">
        <v>101</v>
      </c>
      <c r="C788" s="210" t="s">
        <v>643</v>
      </c>
      <c r="D788" s="214">
        <v>220196178</v>
      </c>
      <c r="E788" s="214">
        <v>4997001400030</v>
      </c>
      <c r="F788" s="209" t="s">
        <v>647</v>
      </c>
      <c r="G788" s="209" t="s">
        <v>53</v>
      </c>
      <c r="H788" s="209" t="s">
        <v>406</v>
      </c>
      <c r="I788" s="209" t="s">
        <v>407</v>
      </c>
      <c r="J788" s="209" t="s">
        <v>79</v>
      </c>
      <c r="K788" s="210" t="s">
        <v>650</v>
      </c>
      <c r="L788" s="210"/>
      <c r="M788" s="209" t="s">
        <v>58</v>
      </c>
      <c r="N788" s="209">
        <v>0</v>
      </c>
      <c r="O788" s="209" t="s">
        <v>105</v>
      </c>
      <c r="P788" s="213">
        <v>44896.4062037037</v>
      </c>
      <c r="Q788" s="209"/>
      <c r="R788" s="209">
        <v>4</v>
      </c>
      <c r="S788" s="209"/>
      <c r="T788" s="209" t="s">
        <v>646</v>
      </c>
      <c r="U788" s="213">
        <v>44897.4062037037</v>
      </c>
      <c r="V788" s="209" t="s">
        <v>41</v>
      </c>
      <c r="W788" s="209" t="s">
        <v>49</v>
      </c>
      <c r="X788" s="13" t="str">
        <f>IF(RIGHT(H788,2)&lt;&gt;"00",H788,"")</f>
        <v/>
      </c>
      <c r="Y788" s="26">
        <f ca="1">NETWORKDAYS(P788,$Y$1)</f>
        <v>65</v>
      </c>
      <c r="Z788" s="34">
        <v>1</v>
      </c>
      <c r="AA788" s="25" t="str">
        <f t="shared" ca="1" si="63"/>
        <v>A VENCER</v>
      </c>
      <c r="AB788" s="25" t="str">
        <f t="shared" si="61"/>
        <v>C-14</v>
      </c>
      <c r="AC788" s="2" t="str">
        <f t="shared" si="65"/>
        <v xml:space="preserve"> ROSEMERE </v>
      </c>
      <c r="AD788" s="26">
        <f t="shared" si="62"/>
        <v>15</v>
      </c>
      <c r="AE788" s="26">
        <f t="shared" ca="1" si="64"/>
        <v>90.270067939818546</v>
      </c>
      <c r="AF788" s="35"/>
    </row>
    <row r="789" spans="1:32" hidden="1">
      <c r="A789" s="209">
        <v>9125383</v>
      </c>
      <c r="B789" s="209" t="s">
        <v>101</v>
      </c>
      <c r="C789" s="210" t="s">
        <v>643</v>
      </c>
      <c r="D789" s="214">
        <v>220196166</v>
      </c>
      <c r="E789" s="214">
        <v>1120011400030</v>
      </c>
      <c r="F789" s="209" t="s">
        <v>647</v>
      </c>
      <c r="G789" s="209" t="s">
        <v>53</v>
      </c>
      <c r="H789" s="209" t="s">
        <v>648</v>
      </c>
      <c r="I789" s="209" t="s">
        <v>649</v>
      </c>
      <c r="J789" s="209" t="s">
        <v>164</v>
      </c>
      <c r="K789" s="210" t="s">
        <v>650</v>
      </c>
      <c r="L789" s="210"/>
      <c r="M789" s="209" t="s">
        <v>58</v>
      </c>
      <c r="N789" s="209">
        <v>0</v>
      </c>
      <c r="O789" s="209" t="s">
        <v>36</v>
      </c>
      <c r="P789" s="213">
        <v>44896.405462962961</v>
      </c>
      <c r="Q789" s="209"/>
      <c r="R789" s="209">
        <v>4</v>
      </c>
      <c r="S789" s="209"/>
      <c r="T789" s="209" t="s">
        <v>646</v>
      </c>
      <c r="U789" s="213">
        <v>44897.405462962961</v>
      </c>
      <c r="V789" s="209" t="s">
        <v>41</v>
      </c>
      <c r="W789" s="209" t="s">
        <v>49</v>
      </c>
      <c r="X789" s="13" t="str">
        <f>IF(RIGHT(H789,2)&lt;&gt;"00",H789,"")</f>
        <v>1120.01</v>
      </c>
      <c r="Y789" s="26">
        <f ca="1">NETWORKDAYS(P789,$Y$1)</f>
        <v>65</v>
      </c>
      <c r="Z789" s="34">
        <v>1</v>
      </c>
      <c r="AA789" s="25" t="str">
        <f t="shared" ca="1" si="63"/>
        <v>A VENCER</v>
      </c>
      <c r="AB789" s="25" t="str">
        <f t="shared" si="61"/>
        <v>C-14</v>
      </c>
      <c r="AC789" s="2" t="str">
        <f t="shared" si="65"/>
        <v xml:space="preserve"> ROSEMERE </v>
      </c>
      <c r="AD789" s="26">
        <f t="shared" si="62"/>
        <v>15</v>
      </c>
      <c r="AE789" s="26">
        <f t="shared" ca="1" si="64"/>
        <v>90.27080868055782</v>
      </c>
      <c r="AF789" s="35"/>
    </row>
    <row r="790" spans="1:32" hidden="1">
      <c r="A790" s="209">
        <v>9125336</v>
      </c>
      <c r="B790" s="209" t="s">
        <v>101</v>
      </c>
      <c r="C790" s="210" t="s">
        <v>643</v>
      </c>
      <c r="D790" s="214">
        <v>220195971</v>
      </c>
      <c r="E790" s="214">
        <v>68051400030</v>
      </c>
      <c r="F790" s="209" t="s">
        <v>647</v>
      </c>
      <c r="G790" s="209" t="s">
        <v>53</v>
      </c>
      <c r="H790" s="209" t="s">
        <v>1575</v>
      </c>
      <c r="I790" s="209" t="s">
        <v>1576</v>
      </c>
      <c r="J790" s="209" t="s">
        <v>211</v>
      </c>
      <c r="K790" s="210" t="s">
        <v>650</v>
      </c>
      <c r="L790" s="210"/>
      <c r="M790" s="209" t="s">
        <v>58</v>
      </c>
      <c r="N790" s="209">
        <v>0</v>
      </c>
      <c r="O790" s="209" t="s">
        <v>105</v>
      </c>
      <c r="P790" s="213">
        <v>44896.403761574074</v>
      </c>
      <c r="Q790" s="209"/>
      <c r="R790" s="209">
        <v>4</v>
      </c>
      <c r="S790" s="209"/>
      <c r="T790" s="209" t="s">
        <v>646</v>
      </c>
      <c r="U790" s="213">
        <v>44897.403761574074</v>
      </c>
      <c r="V790" s="209" t="s">
        <v>41</v>
      </c>
      <c r="W790" s="209" t="s">
        <v>49</v>
      </c>
      <c r="X790" s="13" t="str">
        <f>IF(RIGHT(H790,2)&lt;&gt;"00",H790,"")</f>
        <v>0068.05</v>
      </c>
      <c r="Y790" s="26">
        <f ca="1">NETWORKDAYS(P790,$Y$1)</f>
        <v>65</v>
      </c>
      <c r="Z790" s="34">
        <v>1</v>
      </c>
      <c r="AA790" s="25" t="str">
        <f t="shared" ca="1" si="63"/>
        <v>A VENCER</v>
      </c>
      <c r="AB790" s="25" t="str">
        <f t="shared" si="61"/>
        <v>C-14</v>
      </c>
      <c r="AC790" s="2" t="str">
        <f t="shared" si="65"/>
        <v xml:space="preserve"> RINALDO </v>
      </c>
      <c r="AD790" s="26">
        <f t="shared" si="62"/>
        <v>15</v>
      </c>
      <c r="AE790" s="26">
        <f t="shared" ca="1" si="64"/>
        <v>90.272510069444252</v>
      </c>
      <c r="AF790" s="35"/>
    </row>
    <row r="791" spans="1:32" hidden="1">
      <c r="A791" s="209">
        <v>9125234</v>
      </c>
      <c r="B791" s="209" t="s">
        <v>101</v>
      </c>
      <c r="C791" s="210" t="s">
        <v>643</v>
      </c>
      <c r="D791" s="214">
        <v>220195649</v>
      </c>
      <c r="E791" s="214">
        <v>2855001400030</v>
      </c>
      <c r="F791" s="209" t="s">
        <v>647</v>
      </c>
      <c r="G791" s="209" t="s">
        <v>53</v>
      </c>
      <c r="H791" s="209" t="s">
        <v>249</v>
      </c>
      <c r="I791" s="209" t="s">
        <v>250</v>
      </c>
      <c r="J791" s="209" t="s">
        <v>56</v>
      </c>
      <c r="K791" s="210" t="s">
        <v>650</v>
      </c>
      <c r="L791" s="210"/>
      <c r="M791" s="209" t="s">
        <v>58</v>
      </c>
      <c r="N791" s="209">
        <v>0</v>
      </c>
      <c r="O791" s="209" t="s">
        <v>105</v>
      </c>
      <c r="P791" s="213">
        <v>44896.397905092592</v>
      </c>
      <c r="Q791" s="209"/>
      <c r="R791" s="209">
        <v>4</v>
      </c>
      <c r="S791" s="209"/>
      <c r="T791" s="209" t="s">
        <v>646</v>
      </c>
      <c r="U791" s="213">
        <v>44897.397905092592</v>
      </c>
      <c r="V791" s="209" t="s">
        <v>41</v>
      </c>
      <c r="W791" s="209" t="s">
        <v>49</v>
      </c>
      <c r="X791" s="13" t="str">
        <f>IF(RIGHT(H791,2)&lt;&gt;"00",H791,"")</f>
        <v/>
      </c>
      <c r="Y791" s="26">
        <f ca="1">NETWORKDAYS(P791,$Y$1)</f>
        <v>65</v>
      </c>
      <c r="Z791" s="34">
        <v>1</v>
      </c>
      <c r="AA791" s="25" t="str">
        <f t="shared" ca="1" si="63"/>
        <v>A VENCER</v>
      </c>
      <c r="AB791" s="25" t="str">
        <f t="shared" si="61"/>
        <v>C-14</v>
      </c>
      <c r="AC791" s="2" t="str">
        <f t="shared" si="65"/>
        <v xml:space="preserve"> CRISTINA </v>
      </c>
      <c r="AD791" s="26">
        <f t="shared" si="62"/>
        <v>15</v>
      </c>
      <c r="AE791" s="26">
        <f t="shared" ca="1" si="64"/>
        <v>90.278366550926876</v>
      </c>
      <c r="AF791" s="35"/>
    </row>
    <row r="792" spans="1:32" hidden="1">
      <c r="A792" s="209">
        <v>9125221</v>
      </c>
      <c r="B792" s="209" t="s">
        <v>101</v>
      </c>
      <c r="C792" s="210" t="s">
        <v>643</v>
      </c>
      <c r="D792" s="214">
        <v>220195642</v>
      </c>
      <c r="E792" s="214">
        <v>2830001400030</v>
      </c>
      <c r="F792" s="209" t="s">
        <v>647</v>
      </c>
      <c r="G792" s="209" t="s">
        <v>53</v>
      </c>
      <c r="H792" s="209" t="s">
        <v>448</v>
      </c>
      <c r="I792" s="209" t="s">
        <v>449</v>
      </c>
      <c r="J792" s="209" t="s">
        <v>33</v>
      </c>
      <c r="K792" s="210" t="s">
        <v>650</v>
      </c>
      <c r="L792" s="210"/>
      <c r="M792" s="209" t="s">
        <v>58</v>
      </c>
      <c r="N792" s="209">
        <v>0</v>
      </c>
      <c r="O792" s="209" t="s">
        <v>105</v>
      </c>
      <c r="P792" s="213">
        <v>44896.39738425926</v>
      </c>
      <c r="Q792" s="209"/>
      <c r="R792" s="209">
        <v>4</v>
      </c>
      <c r="S792" s="209"/>
      <c r="T792" s="209" t="s">
        <v>646</v>
      </c>
      <c r="U792" s="213">
        <v>44897.39738425926</v>
      </c>
      <c r="V792" s="209" t="s">
        <v>41</v>
      </c>
      <c r="W792" s="209" t="s">
        <v>42</v>
      </c>
      <c r="X792" s="13" t="str">
        <f>IF(RIGHT(H792,2)&lt;&gt;"00",H792,"")</f>
        <v/>
      </c>
      <c r="Y792" s="26">
        <f ca="1">NETWORKDAYS(P792,$Y$1)</f>
        <v>65</v>
      </c>
      <c r="Z792" s="34">
        <v>1</v>
      </c>
      <c r="AA792" s="25" t="str">
        <f t="shared" ca="1" si="63"/>
        <v>A VENCER</v>
      </c>
      <c r="AB792" s="25" t="str">
        <f t="shared" si="61"/>
        <v>C-14</v>
      </c>
      <c r="AC792" s="2" t="str">
        <f t="shared" si="65"/>
        <v xml:space="preserve"> ROSEMERE </v>
      </c>
      <c r="AD792" s="26">
        <f t="shared" si="62"/>
        <v>15</v>
      </c>
      <c r="AE792" s="26">
        <f t="shared" ca="1" si="64"/>
        <v>90.278887384258269</v>
      </c>
      <c r="AF792" s="35"/>
    </row>
    <row r="793" spans="1:32" hidden="1">
      <c r="A793" s="209">
        <v>9125216</v>
      </c>
      <c r="B793" s="209" t="s">
        <v>101</v>
      </c>
      <c r="C793" s="210" t="s">
        <v>643</v>
      </c>
      <c r="D793" s="214">
        <v>220195637</v>
      </c>
      <c r="E793" s="214">
        <v>2802001400030</v>
      </c>
      <c r="F793" s="209" t="s">
        <v>647</v>
      </c>
      <c r="G793" s="209" t="s">
        <v>53</v>
      </c>
      <c r="H793" s="209" t="s">
        <v>388</v>
      </c>
      <c r="I793" s="209" t="s">
        <v>389</v>
      </c>
      <c r="J793" s="209" t="s">
        <v>46</v>
      </c>
      <c r="K793" s="210" t="s">
        <v>650</v>
      </c>
      <c r="L793" s="210"/>
      <c r="M793" s="209" t="s">
        <v>58</v>
      </c>
      <c r="N793" s="209">
        <v>0</v>
      </c>
      <c r="O793" s="209" t="s">
        <v>105</v>
      </c>
      <c r="P793" s="213">
        <v>44896.397083333337</v>
      </c>
      <c r="Q793" s="209"/>
      <c r="R793" s="209">
        <v>4</v>
      </c>
      <c r="S793" s="209"/>
      <c r="T793" s="209" t="s">
        <v>646</v>
      </c>
      <c r="U793" s="213">
        <v>44897.397083333337</v>
      </c>
      <c r="V793" s="209" t="s">
        <v>41</v>
      </c>
      <c r="W793" s="209" t="s">
        <v>49</v>
      </c>
      <c r="X793" s="13" t="str">
        <f>IF(RIGHT(H793,2)&lt;&gt;"00",H793,"")</f>
        <v/>
      </c>
      <c r="Y793" s="26">
        <f ca="1">NETWORKDAYS(P793,$Y$1)</f>
        <v>65</v>
      </c>
      <c r="Z793" s="34">
        <v>1</v>
      </c>
      <c r="AA793" s="25" t="str">
        <f t="shared" ca="1" si="63"/>
        <v>A VENCER</v>
      </c>
      <c r="AB793" s="25" t="str">
        <f t="shared" si="61"/>
        <v>C-14</v>
      </c>
      <c r="AC793" s="2" t="str">
        <f t="shared" si="65"/>
        <v xml:space="preserve"> CLEITON </v>
      </c>
      <c r="AD793" s="26">
        <f t="shared" si="62"/>
        <v>15</v>
      </c>
      <c r="AE793" s="26">
        <f t="shared" ca="1" si="64"/>
        <v>90.27918831018178</v>
      </c>
      <c r="AF793" s="35"/>
    </row>
    <row r="794" spans="1:32" hidden="1">
      <c r="A794" s="209">
        <v>9125183</v>
      </c>
      <c r="B794" s="209" t="s">
        <v>101</v>
      </c>
      <c r="C794" s="210" t="s">
        <v>643</v>
      </c>
      <c r="D794" s="214">
        <v>220195609</v>
      </c>
      <c r="E794" s="214">
        <v>2693001400030</v>
      </c>
      <c r="F794" s="209" t="s">
        <v>647</v>
      </c>
      <c r="G794" s="209" t="s">
        <v>53</v>
      </c>
      <c r="H794" s="209" t="s">
        <v>253</v>
      </c>
      <c r="I794" s="209" t="s">
        <v>254</v>
      </c>
      <c r="J794" s="209" t="s">
        <v>56</v>
      </c>
      <c r="K794" s="210" t="s">
        <v>650</v>
      </c>
      <c r="L794" s="210"/>
      <c r="M794" s="209" t="s">
        <v>58</v>
      </c>
      <c r="N794" s="209">
        <v>0</v>
      </c>
      <c r="O794" s="209" t="s">
        <v>105</v>
      </c>
      <c r="P794" s="213">
        <v>44896.395219907405</v>
      </c>
      <c r="Q794" s="209"/>
      <c r="R794" s="209">
        <v>4</v>
      </c>
      <c r="S794" s="209"/>
      <c r="T794" s="209" t="s">
        <v>646</v>
      </c>
      <c r="U794" s="213">
        <v>44897.395219907405</v>
      </c>
      <c r="V794" s="209" t="s">
        <v>41</v>
      </c>
      <c r="W794" s="209" t="s">
        <v>49</v>
      </c>
      <c r="X794" s="13" t="str">
        <f>IF(RIGHT(H794,2)&lt;&gt;"00",H794,"")</f>
        <v/>
      </c>
      <c r="Y794" s="26">
        <f ca="1">NETWORKDAYS(P794,$Y$1)</f>
        <v>65</v>
      </c>
      <c r="Z794" s="34">
        <v>1</v>
      </c>
      <c r="AA794" s="25" t="str">
        <f t="shared" ca="1" si="63"/>
        <v>A VENCER</v>
      </c>
      <c r="AB794" s="25" t="str">
        <f t="shared" si="61"/>
        <v>C-14</v>
      </c>
      <c r="AC794" s="2" t="str">
        <f t="shared" si="65"/>
        <v xml:space="preserve"> CRISTINA </v>
      </c>
      <c r="AD794" s="26">
        <f t="shared" si="62"/>
        <v>15</v>
      </c>
      <c r="AE794" s="26">
        <f t="shared" ca="1" si="64"/>
        <v>90.281051736114023</v>
      </c>
      <c r="AF794" s="35"/>
    </row>
    <row r="795" spans="1:32" hidden="1">
      <c r="A795" s="209">
        <v>9125136</v>
      </c>
      <c r="B795" s="209" t="s">
        <v>101</v>
      </c>
      <c r="C795" s="210" t="s">
        <v>643</v>
      </c>
      <c r="D795" s="214">
        <v>220195574</v>
      </c>
      <c r="E795" s="214">
        <v>2564001400030</v>
      </c>
      <c r="F795" s="209" t="s">
        <v>647</v>
      </c>
      <c r="G795" s="209" t="s">
        <v>53</v>
      </c>
      <c r="H795" s="209" t="s">
        <v>255</v>
      </c>
      <c r="I795" s="209" t="s">
        <v>256</v>
      </c>
      <c r="J795" s="209" t="s">
        <v>164</v>
      </c>
      <c r="K795" s="210" t="s">
        <v>650</v>
      </c>
      <c r="L795" s="210"/>
      <c r="M795" s="209" t="s">
        <v>58</v>
      </c>
      <c r="N795" s="209">
        <v>0</v>
      </c>
      <c r="O795" s="209" t="s">
        <v>105</v>
      </c>
      <c r="P795" s="213">
        <v>44896.393055555556</v>
      </c>
      <c r="Q795" s="209"/>
      <c r="R795" s="209">
        <v>4</v>
      </c>
      <c r="S795" s="209"/>
      <c r="T795" s="209" t="s">
        <v>646</v>
      </c>
      <c r="U795" s="213">
        <v>44897.393055555556</v>
      </c>
      <c r="V795" s="209" t="s">
        <v>41</v>
      </c>
      <c r="W795" s="209" t="s">
        <v>49</v>
      </c>
      <c r="X795" s="13" t="str">
        <f>IF(RIGHT(H795,2)&lt;&gt;"00",H795,"")</f>
        <v/>
      </c>
      <c r="Y795" s="26">
        <f ca="1">NETWORKDAYS(P795,$Y$1)</f>
        <v>65</v>
      </c>
      <c r="Z795" s="34">
        <v>1</v>
      </c>
      <c r="AA795" s="25" t="str">
        <f t="shared" ca="1" si="63"/>
        <v>A VENCER</v>
      </c>
      <c r="AB795" s="25" t="str">
        <f t="shared" si="61"/>
        <v>C-14</v>
      </c>
      <c r="AC795" s="2" t="str">
        <f t="shared" si="65"/>
        <v xml:space="preserve"> ROSEMERE </v>
      </c>
      <c r="AD795" s="26">
        <f t="shared" si="62"/>
        <v>15</v>
      </c>
      <c r="AE795" s="26">
        <f t="shared" ca="1" si="64"/>
        <v>90.283216087962501</v>
      </c>
      <c r="AF795" s="35"/>
    </row>
    <row r="796" spans="1:32" hidden="1">
      <c r="A796" s="209">
        <v>9125100</v>
      </c>
      <c r="B796" s="209" t="s">
        <v>101</v>
      </c>
      <c r="C796" s="210" t="s">
        <v>643</v>
      </c>
      <c r="D796" s="214">
        <v>220195812</v>
      </c>
      <c r="E796" s="214">
        <v>3504001400030</v>
      </c>
      <c r="F796" s="209" t="s">
        <v>647</v>
      </c>
      <c r="G796" s="209" t="s">
        <v>53</v>
      </c>
      <c r="H796" s="209" t="s">
        <v>585</v>
      </c>
      <c r="I796" s="209" t="s">
        <v>586</v>
      </c>
      <c r="J796" s="209" t="s">
        <v>46</v>
      </c>
      <c r="K796" s="210" t="s">
        <v>650</v>
      </c>
      <c r="L796" s="210"/>
      <c r="M796" s="209" t="s">
        <v>58</v>
      </c>
      <c r="N796" s="209">
        <v>0</v>
      </c>
      <c r="O796" s="209" t="s">
        <v>105</v>
      </c>
      <c r="P796" s="213">
        <v>44896.390706018516</v>
      </c>
      <c r="Q796" s="209"/>
      <c r="R796" s="209">
        <v>4</v>
      </c>
      <c r="S796" s="209"/>
      <c r="T796" s="209" t="s">
        <v>646</v>
      </c>
      <c r="U796" s="213">
        <v>44897.390717592592</v>
      </c>
      <c r="V796" s="209" t="s">
        <v>41</v>
      </c>
      <c r="W796" s="209" t="s">
        <v>49</v>
      </c>
      <c r="X796" s="13" t="str">
        <f>IF(RIGHT(H796,2)&lt;&gt;"00",H796,"")</f>
        <v/>
      </c>
      <c r="Y796" s="26">
        <f ca="1">NETWORKDAYS(P796,$Y$1)</f>
        <v>65</v>
      </c>
      <c r="Z796" s="34">
        <v>1</v>
      </c>
      <c r="AA796" s="25" t="str">
        <f t="shared" ca="1" si="63"/>
        <v>A VENCER</v>
      </c>
      <c r="AB796" s="25" t="str">
        <f t="shared" si="61"/>
        <v>C-14</v>
      </c>
      <c r="AC796" s="2" t="str">
        <f t="shared" si="65"/>
        <v xml:space="preserve"> CLEITON </v>
      </c>
      <c r="AD796" s="26">
        <f t="shared" si="62"/>
        <v>15</v>
      </c>
      <c r="AE796" s="26">
        <f t="shared" ca="1" si="64"/>
        <v>90.285565625003073</v>
      </c>
      <c r="AF796" s="35"/>
    </row>
    <row r="797" spans="1:32" hidden="1">
      <c r="A797" s="209">
        <v>9125015</v>
      </c>
      <c r="B797" s="209" t="s">
        <v>101</v>
      </c>
      <c r="C797" s="210" t="s">
        <v>643</v>
      </c>
      <c r="D797" s="214">
        <v>220195498</v>
      </c>
      <c r="E797" s="214">
        <v>2326001400030</v>
      </c>
      <c r="F797" s="209" t="s">
        <v>647</v>
      </c>
      <c r="G797" s="209" t="s">
        <v>53</v>
      </c>
      <c r="H797" s="209" t="s">
        <v>191</v>
      </c>
      <c r="I797" s="209" t="s">
        <v>192</v>
      </c>
      <c r="J797" s="209" t="s">
        <v>46</v>
      </c>
      <c r="K797" s="210" t="s">
        <v>650</v>
      </c>
      <c r="L797" s="210"/>
      <c r="M797" s="209" t="s">
        <v>58</v>
      </c>
      <c r="N797" s="209">
        <v>0</v>
      </c>
      <c r="O797" s="209" t="s">
        <v>105</v>
      </c>
      <c r="P797" s="213">
        <v>44896.387881944444</v>
      </c>
      <c r="Q797" s="209"/>
      <c r="R797" s="209">
        <v>4</v>
      </c>
      <c r="S797" s="209"/>
      <c r="T797" s="209" t="s">
        <v>646</v>
      </c>
      <c r="U797" s="213">
        <v>44897.387881944444</v>
      </c>
      <c r="V797" s="209" t="s">
        <v>41</v>
      </c>
      <c r="W797" s="209" t="s">
        <v>49</v>
      </c>
      <c r="X797" s="13" t="str">
        <f>IF(RIGHT(H797,2)&lt;&gt;"00",H797,"")</f>
        <v/>
      </c>
      <c r="Y797" s="26">
        <f ca="1">NETWORKDAYS(P797,$Y$1)</f>
        <v>65</v>
      </c>
      <c r="Z797" s="34">
        <v>1</v>
      </c>
      <c r="AA797" s="25" t="str">
        <f t="shared" ca="1" si="63"/>
        <v>A VENCER</v>
      </c>
      <c r="AB797" s="25" t="str">
        <f t="shared" ref="AB797:AB860" si="66">IF(F797="GRPE-000001","C-14",IF(F797="GRPE-000002","C-14",IF(F797="GRPE-000003","C-14",IF(F797="GRPE-000004","SL-On",IF(F797="GRPE-000038","C-14",IF(F797="GRPE-900022","Dosa",IF(F797="GRPE-000029","Dosa",IF(F797="ATOS-000222","Dose","TAAe+"))))))))</f>
        <v>C-14</v>
      </c>
      <c r="AC797" s="2" t="str">
        <f t="shared" si="65"/>
        <v xml:space="preserve"> CLEITON </v>
      </c>
      <c r="AD797" s="26">
        <f t="shared" ref="AD797:AD860" si="67">IF(F797="GRPE-000001",5,IF(F797="GRPE-000002",5,IF(F797="GRPE-000003",15,IF(F797="GRPE-000004",1,IF(F797="GRPE-000038",5,IF(F797="GRPE-900022",5,IF(F797="GRPE-000029",5,IF(F797="ATOS-000222",5,8))))))))</f>
        <v>15</v>
      </c>
      <c r="AE797" s="26">
        <f t="shared" ca="1" si="64"/>
        <v>90.288389699075196</v>
      </c>
      <c r="AF797" s="35"/>
    </row>
    <row r="798" spans="1:32" hidden="1">
      <c r="A798" s="209">
        <v>9124937</v>
      </c>
      <c r="B798" s="209" t="s">
        <v>101</v>
      </c>
      <c r="C798" s="210" t="s">
        <v>643</v>
      </c>
      <c r="D798" s="214">
        <v>220195443</v>
      </c>
      <c r="E798" s="214">
        <v>2125001400030</v>
      </c>
      <c r="F798" s="209" t="s">
        <v>647</v>
      </c>
      <c r="G798" s="209" t="s">
        <v>53</v>
      </c>
      <c r="H798" s="209" t="s">
        <v>1399</v>
      </c>
      <c r="I798" s="209" t="s">
        <v>1400</v>
      </c>
      <c r="J798" s="209" t="s">
        <v>211</v>
      </c>
      <c r="K798" s="210" t="s">
        <v>650</v>
      </c>
      <c r="L798" s="210"/>
      <c r="M798" s="209" t="s">
        <v>58</v>
      </c>
      <c r="N798" s="209">
        <v>0</v>
      </c>
      <c r="O798" s="209" t="s">
        <v>105</v>
      </c>
      <c r="P798" s="213">
        <v>44896.383877314816</v>
      </c>
      <c r="Q798" s="209"/>
      <c r="R798" s="209">
        <v>4</v>
      </c>
      <c r="S798" s="209"/>
      <c r="T798" s="209" t="s">
        <v>646</v>
      </c>
      <c r="U798" s="213">
        <v>44897.383877314816</v>
      </c>
      <c r="V798" s="209" t="s">
        <v>41</v>
      </c>
      <c r="W798" s="209" t="s">
        <v>49</v>
      </c>
      <c r="X798" s="13" t="str">
        <f>IF(RIGHT(H798,2)&lt;&gt;"00",H798,"")</f>
        <v/>
      </c>
      <c r="Y798" s="26">
        <f ca="1">NETWORKDAYS(P798,$Y$1)</f>
        <v>65</v>
      </c>
      <c r="Z798" s="34">
        <v>1</v>
      </c>
      <c r="AA798" s="25" t="str">
        <f t="shared" ca="1" si="63"/>
        <v>A VENCER</v>
      </c>
      <c r="AB798" s="25" t="str">
        <f t="shared" si="66"/>
        <v>C-14</v>
      </c>
      <c r="AC798" s="2" t="str">
        <f t="shared" si="65"/>
        <v xml:space="preserve"> RINALDO </v>
      </c>
      <c r="AD798" s="26">
        <f t="shared" si="67"/>
        <v>15</v>
      </c>
      <c r="AE798" s="26">
        <f t="shared" ca="1" si="64"/>
        <v>90.292394328702358</v>
      </c>
      <c r="AF798" s="35"/>
    </row>
    <row r="799" spans="1:32" hidden="1">
      <c r="A799" s="209">
        <v>9124924</v>
      </c>
      <c r="B799" s="209" t="s">
        <v>101</v>
      </c>
      <c r="C799" s="210" t="s">
        <v>643</v>
      </c>
      <c r="D799" s="214">
        <v>220195430</v>
      </c>
      <c r="E799" s="214">
        <v>2081001400030</v>
      </c>
      <c r="F799" s="209" t="s">
        <v>647</v>
      </c>
      <c r="G799" s="209" t="s">
        <v>53</v>
      </c>
      <c r="H799" s="209" t="s">
        <v>590</v>
      </c>
      <c r="I799" s="209" t="s">
        <v>591</v>
      </c>
      <c r="J799" s="209" t="s">
        <v>261</v>
      </c>
      <c r="K799" s="210" t="s">
        <v>650</v>
      </c>
      <c r="L799" s="210"/>
      <c r="M799" s="209" t="s">
        <v>58</v>
      </c>
      <c r="N799" s="209">
        <v>0</v>
      </c>
      <c r="O799" s="209" t="s">
        <v>105</v>
      </c>
      <c r="P799" s="213">
        <v>44896.383043981485</v>
      </c>
      <c r="Q799" s="209"/>
      <c r="R799" s="209">
        <v>4</v>
      </c>
      <c r="S799" s="209"/>
      <c r="T799" s="209" t="s">
        <v>646</v>
      </c>
      <c r="U799" s="213">
        <v>44897.383043981485</v>
      </c>
      <c r="V799" s="209" t="s">
        <v>41</v>
      </c>
      <c r="W799" s="209" t="s">
        <v>49</v>
      </c>
      <c r="X799" s="13" t="str">
        <f>IF(RIGHT(H799,2)&lt;&gt;"00",H799,"")</f>
        <v/>
      </c>
      <c r="Y799" s="26">
        <f ca="1">NETWORKDAYS(P799,$Y$1)</f>
        <v>65</v>
      </c>
      <c r="Z799" s="34">
        <v>1</v>
      </c>
      <c r="AA799" s="25" t="str">
        <f t="shared" ca="1" si="63"/>
        <v>A VENCER</v>
      </c>
      <c r="AB799" s="25" t="str">
        <f t="shared" si="66"/>
        <v>C-14</v>
      </c>
      <c r="AC799" s="2" t="str">
        <f t="shared" si="65"/>
        <v xml:space="preserve"> CRISTINA </v>
      </c>
      <c r="AD799" s="26">
        <f t="shared" si="67"/>
        <v>15</v>
      </c>
      <c r="AE799" s="26">
        <f t="shared" ca="1" si="64"/>
        <v>90.293227662034042</v>
      </c>
      <c r="AF799" s="35"/>
    </row>
    <row r="800" spans="1:32" hidden="1">
      <c r="A800" s="209">
        <v>9124894</v>
      </c>
      <c r="B800" s="209" t="s">
        <v>101</v>
      </c>
      <c r="C800" s="210" t="s">
        <v>643</v>
      </c>
      <c r="D800" s="214">
        <v>220195405</v>
      </c>
      <c r="E800" s="214">
        <v>2018001400030</v>
      </c>
      <c r="F800" s="209" t="s">
        <v>647</v>
      </c>
      <c r="G800" s="209" t="s">
        <v>53</v>
      </c>
      <c r="H800" s="209" t="s">
        <v>598</v>
      </c>
      <c r="I800" s="209" t="s">
        <v>599</v>
      </c>
      <c r="J800" s="209" t="s">
        <v>79</v>
      </c>
      <c r="K800" s="210" t="s">
        <v>650</v>
      </c>
      <c r="L800" s="210"/>
      <c r="M800" s="209" t="s">
        <v>58</v>
      </c>
      <c r="N800" s="209">
        <v>0</v>
      </c>
      <c r="O800" s="209" t="s">
        <v>105</v>
      </c>
      <c r="P800" s="213">
        <v>44896.381458333337</v>
      </c>
      <c r="Q800" s="209"/>
      <c r="R800" s="209">
        <v>4</v>
      </c>
      <c r="S800" s="209"/>
      <c r="T800" s="209" t="s">
        <v>646</v>
      </c>
      <c r="U800" s="213">
        <v>44897.381458333337</v>
      </c>
      <c r="V800" s="209" t="s">
        <v>41</v>
      </c>
      <c r="W800" s="209" t="s">
        <v>49</v>
      </c>
      <c r="X800" s="13" t="str">
        <f>IF(RIGHT(H800,2)&lt;&gt;"00",H800,"")</f>
        <v/>
      </c>
      <c r="Y800" s="26">
        <f ca="1">NETWORKDAYS(P800,$Y$1)</f>
        <v>65</v>
      </c>
      <c r="Z800" s="34">
        <v>1</v>
      </c>
      <c r="AA800" s="25" t="str">
        <f t="shared" ca="1" si="63"/>
        <v>A VENCER</v>
      </c>
      <c r="AB800" s="25" t="str">
        <f t="shared" si="66"/>
        <v>C-14</v>
      </c>
      <c r="AC800" s="2" t="str">
        <f t="shared" si="65"/>
        <v xml:space="preserve"> ROSEMERE </v>
      </c>
      <c r="AD800" s="26">
        <f t="shared" si="67"/>
        <v>15</v>
      </c>
      <c r="AE800" s="26">
        <f t="shared" ca="1" si="64"/>
        <v>90.29481331018178</v>
      </c>
      <c r="AF800" s="35"/>
    </row>
    <row r="801" spans="1:32" hidden="1">
      <c r="A801" s="209">
        <v>9124865</v>
      </c>
      <c r="B801" s="209" t="s">
        <v>101</v>
      </c>
      <c r="C801" s="210" t="s">
        <v>643</v>
      </c>
      <c r="D801" s="214">
        <v>220195224</v>
      </c>
      <c r="E801" s="214">
        <v>1363001400030</v>
      </c>
      <c r="F801" s="209" t="s">
        <v>647</v>
      </c>
      <c r="G801" s="209" t="s">
        <v>53</v>
      </c>
      <c r="H801" s="209" t="s">
        <v>108</v>
      </c>
      <c r="I801" s="209" t="s">
        <v>109</v>
      </c>
      <c r="J801" s="209" t="s">
        <v>110</v>
      </c>
      <c r="K801" s="210" t="s">
        <v>650</v>
      </c>
      <c r="L801" s="210"/>
      <c r="M801" s="209" t="s">
        <v>58</v>
      </c>
      <c r="N801" s="209">
        <v>0</v>
      </c>
      <c r="O801" s="209" t="s">
        <v>105</v>
      </c>
      <c r="P801" s="213">
        <v>44896.381076388891</v>
      </c>
      <c r="Q801" s="209"/>
      <c r="R801" s="209">
        <v>4</v>
      </c>
      <c r="S801" s="209"/>
      <c r="T801" s="209" t="s">
        <v>646</v>
      </c>
      <c r="U801" s="213">
        <v>44897.381076388891</v>
      </c>
      <c r="V801" s="209" t="s">
        <v>41</v>
      </c>
      <c r="W801" s="209" t="s">
        <v>49</v>
      </c>
      <c r="X801" s="13" t="str">
        <f>IF(RIGHT(H801,2)&lt;&gt;"00",H801,"")</f>
        <v/>
      </c>
      <c r="Y801" s="26">
        <f ca="1">NETWORKDAYS(P801,$Y$1)</f>
        <v>65</v>
      </c>
      <c r="Z801" s="34">
        <v>1</v>
      </c>
      <c r="AA801" s="25" t="str">
        <f t="shared" ca="1" si="63"/>
        <v>A VENCER</v>
      </c>
      <c r="AB801" s="25" t="str">
        <f t="shared" si="66"/>
        <v>C-14</v>
      </c>
      <c r="AC801" s="2" t="str">
        <f t="shared" si="65"/>
        <v xml:space="preserve"> CRISTINA </v>
      </c>
      <c r="AD801" s="26">
        <f t="shared" si="67"/>
        <v>15</v>
      </c>
      <c r="AE801" s="26">
        <f t="shared" ca="1" si="64"/>
        <v>90.295195254628197</v>
      </c>
      <c r="AF801" s="35"/>
    </row>
    <row r="802" spans="1:32" hidden="1">
      <c r="A802" s="209">
        <v>9124835</v>
      </c>
      <c r="B802" s="209" t="s">
        <v>101</v>
      </c>
      <c r="C802" s="210" t="s">
        <v>643</v>
      </c>
      <c r="D802" s="214">
        <v>220195278</v>
      </c>
      <c r="E802" s="214">
        <v>1509001400030</v>
      </c>
      <c r="F802" s="209" t="s">
        <v>647</v>
      </c>
      <c r="G802" s="209" t="s">
        <v>53</v>
      </c>
      <c r="H802" s="209" t="s">
        <v>731</v>
      </c>
      <c r="I802" s="209" t="s">
        <v>732</v>
      </c>
      <c r="J802" s="209" t="s">
        <v>46</v>
      </c>
      <c r="K802" s="210" t="s">
        <v>650</v>
      </c>
      <c r="L802" s="210"/>
      <c r="M802" s="209" t="s">
        <v>58</v>
      </c>
      <c r="N802" s="209">
        <v>0</v>
      </c>
      <c r="O802" s="209" t="s">
        <v>105</v>
      </c>
      <c r="P802" s="213">
        <v>44896.380069444444</v>
      </c>
      <c r="Q802" s="209"/>
      <c r="R802" s="209">
        <v>4</v>
      </c>
      <c r="S802" s="209"/>
      <c r="T802" s="209" t="s">
        <v>646</v>
      </c>
      <c r="U802" s="213">
        <v>44897.380069444444</v>
      </c>
      <c r="V802" s="209" t="s">
        <v>41</v>
      </c>
      <c r="W802" s="209" t="s">
        <v>49</v>
      </c>
      <c r="X802" s="13" t="str">
        <f>IF(RIGHT(H802,2)&lt;&gt;"00",H802,"")</f>
        <v/>
      </c>
      <c r="Y802" s="26">
        <f ca="1">NETWORKDAYS(P802,$Y$1)</f>
        <v>65</v>
      </c>
      <c r="Z802" s="34">
        <v>1</v>
      </c>
      <c r="AA802" s="25" t="str">
        <f t="shared" ca="1" si="63"/>
        <v>A VENCER</v>
      </c>
      <c r="AB802" s="25" t="str">
        <f t="shared" si="66"/>
        <v>C-14</v>
      </c>
      <c r="AC802" s="2" t="str">
        <f t="shared" si="65"/>
        <v xml:space="preserve"> CLEITON </v>
      </c>
      <c r="AD802" s="26">
        <f t="shared" si="67"/>
        <v>15</v>
      </c>
      <c r="AE802" s="26">
        <f t="shared" ca="1" si="64"/>
        <v>90.296202199075196</v>
      </c>
      <c r="AF802" s="35"/>
    </row>
    <row r="803" spans="1:32" hidden="1">
      <c r="A803" s="209">
        <v>9124788</v>
      </c>
      <c r="B803" s="209" t="s">
        <v>101</v>
      </c>
      <c r="C803" s="210" t="s">
        <v>643</v>
      </c>
      <c r="D803" s="214">
        <v>220195222</v>
      </c>
      <c r="E803" s="214">
        <v>1360001400030</v>
      </c>
      <c r="F803" s="209" t="s">
        <v>647</v>
      </c>
      <c r="G803" s="209" t="s">
        <v>53</v>
      </c>
      <c r="H803" s="209" t="s">
        <v>303</v>
      </c>
      <c r="I803" s="209" t="s">
        <v>304</v>
      </c>
      <c r="J803" s="209" t="s">
        <v>261</v>
      </c>
      <c r="K803" s="210" t="s">
        <v>650</v>
      </c>
      <c r="L803" s="210"/>
      <c r="M803" s="209" t="s">
        <v>58</v>
      </c>
      <c r="N803" s="209">
        <v>0</v>
      </c>
      <c r="O803" s="209" t="s">
        <v>105</v>
      </c>
      <c r="P803" s="213">
        <v>44896.378483796296</v>
      </c>
      <c r="Q803" s="209"/>
      <c r="R803" s="209">
        <v>4</v>
      </c>
      <c r="S803" s="209"/>
      <c r="T803" s="209" t="s">
        <v>646</v>
      </c>
      <c r="U803" s="213">
        <v>44897.378483796296</v>
      </c>
      <c r="V803" s="209" t="s">
        <v>41</v>
      </c>
      <c r="W803" s="209" t="s">
        <v>49</v>
      </c>
      <c r="X803" s="13" t="str">
        <f>IF(RIGHT(H803,2)&lt;&gt;"00",H803,"")</f>
        <v/>
      </c>
      <c r="Y803" s="26">
        <f ca="1">NETWORKDAYS(P803,$Y$1)</f>
        <v>65</v>
      </c>
      <c r="Z803" s="34">
        <v>1</v>
      </c>
      <c r="AA803" s="25" t="str">
        <f t="shared" ca="1" si="63"/>
        <v>A VENCER</v>
      </c>
      <c r="AB803" s="25" t="str">
        <f t="shared" si="66"/>
        <v>C-14</v>
      </c>
      <c r="AC803" s="2" t="str">
        <f t="shared" si="65"/>
        <v xml:space="preserve"> CRISTINA </v>
      </c>
      <c r="AD803" s="26">
        <f t="shared" si="67"/>
        <v>15</v>
      </c>
      <c r="AE803" s="26">
        <f t="shared" ca="1" si="64"/>
        <v>90.297787847222935</v>
      </c>
      <c r="AF803" s="35"/>
    </row>
    <row r="804" spans="1:32" hidden="1">
      <c r="A804" s="209">
        <v>9124763</v>
      </c>
      <c r="B804" s="209" t="s">
        <v>101</v>
      </c>
      <c r="C804" s="210" t="s">
        <v>643</v>
      </c>
      <c r="D804" s="214">
        <v>220195221</v>
      </c>
      <c r="E804" s="214">
        <v>1359001400030</v>
      </c>
      <c r="F804" s="209" t="s">
        <v>647</v>
      </c>
      <c r="G804" s="209" t="s">
        <v>53</v>
      </c>
      <c r="H804" s="209" t="s">
        <v>270</v>
      </c>
      <c r="I804" s="209" t="s">
        <v>271</v>
      </c>
      <c r="J804" s="209" t="s">
        <v>141</v>
      </c>
      <c r="K804" s="210" t="s">
        <v>650</v>
      </c>
      <c r="L804" s="210"/>
      <c r="M804" s="209" t="s">
        <v>58</v>
      </c>
      <c r="N804" s="209">
        <v>0</v>
      </c>
      <c r="O804" s="209" t="s">
        <v>105</v>
      </c>
      <c r="P804" s="213">
        <v>44896.37703703704</v>
      </c>
      <c r="Q804" s="209"/>
      <c r="R804" s="209">
        <v>4</v>
      </c>
      <c r="S804" s="209"/>
      <c r="T804" s="209" t="s">
        <v>646</v>
      </c>
      <c r="U804" s="213">
        <v>44897.37703703704</v>
      </c>
      <c r="V804" s="209" t="s">
        <v>41</v>
      </c>
      <c r="W804" s="209" t="s">
        <v>49</v>
      </c>
      <c r="X804" s="13" t="str">
        <f>IF(RIGHT(H804,2)&lt;&gt;"00",H804,"")</f>
        <v/>
      </c>
      <c r="Y804" s="26">
        <f ca="1">NETWORKDAYS(P804,$Y$1)</f>
        <v>65</v>
      </c>
      <c r="Z804" s="34">
        <v>1</v>
      </c>
      <c r="AA804" s="25" t="str">
        <f t="shared" ca="1" si="63"/>
        <v>A VENCER</v>
      </c>
      <c r="AB804" s="25" t="str">
        <f t="shared" si="66"/>
        <v>C-14</v>
      </c>
      <c r="AC804" s="2" t="str">
        <f t="shared" si="65"/>
        <v xml:space="preserve"> CRISTINA </v>
      </c>
      <c r="AD804" s="26">
        <f t="shared" si="67"/>
        <v>15</v>
      </c>
      <c r="AE804" s="26">
        <f t="shared" ca="1" si="64"/>
        <v>90.299234606478421</v>
      </c>
      <c r="AF804" s="35"/>
    </row>
    <row r="805" spans="1:32" hidden="1">
      <c r="A805" s="209">
        <v>9124743</v>
      </c>
      <c r="B805" s="209" t="s">
        <v>101</v>
      </c>
      <c r="C805" s="210" t="s">
        <v>643</v>
      </c>
      <c r="D805" s="214">
        <v>220195223</v>
      </c>
      <c r="E805" s="214">
        <v>1362001400030</v>
      </c>
      <c r="F805" s="209" t="s">
        <v>647</v>
      </c>
      <c r="G805" s="209" t="s">
        <v>53</v>
      </c>
      <c r="H805" s="209" t="s">
        <v>268</v>
      </c>
      <c r="I805" s="209" t="s">
        <v>269</v>
      </c>
      <c r="J805" s="209" t="s">
        <v>90</v>
      </c>
      <c r="K805" s="210" t="s">
        <v>650</v>
      </c>
      <c r="L805" s="210"/>
      <c r="M805" s="209" t="s">
        <v>58</v>
      </c>
      <c r="N805" s="209">
        <v>0</v>
      </c>
      <c r="O805" s="209" t="s">
        <v>105</v>
      </c>
      <c r="P805" s="213">
        <v>44896.376018518517</v>
      </c>
      <c r="Q805" s="209"/>
      <c r="R805" s="209">
        <v>4</v>
      </c>
      <c r="S805" s="209"/>
      <c r="T805" s="209" t="s">
        <v>646</v>
      </c>
      <c r="U805" s="213">
        <v>44897.376018518517</v>
      </c>
      <c r="V805" s="209" t="s">
        <v>41</v>
      </c>
      <c r="W805" s="209" t="s">
        <v>49</v>
      </c>
      <c r="X805" s="13" t="str">
        <f>IF(RIGHT(H805,2)&lt;&gt;"00",H805,"")</f>
        <v/>
      </c>
      <c r="Y805" s="26">
        <f ca="1">NETWORKDAYS(P805,$Y$1)</f>
        <v>65</v>
      </c>
      <c r="Z805" s="34">
        <v>1</v>
      </c>
      <c r="AA805" s="25" t="str">
        <f t="shared" ca="1" si="63"/>
        <v>A VENCER</v>
      </c>
      <c r="AB805" s="25" t="str">
        <f t="shared" si="66"/>
        <v>C-14</v>
      </c>
      <c r="AC805" s="2" t="str">
        <f t="shared" si="65"/>
        <v xml:space="preserve"> RINALDO </v>
      </c>
      <c r="AD805" s="26">
        <f t="shared" si="67"/>
        <v>15</v>
      </c>
      <c r="AE805" s="26">
        <f t="shared" ca="1" si="64"/>
        <v>90.3002531250022</v>
      </c>
      <c r="AF805" s="35"/>
    </row>
    <row r="806" spans="1:32" hidden="1">
      <c r="A806" s="209">
        <v>9124708</v>
      </c>
      <c r="B806" s="209" t="s">
        <v>101</v>
      </c>
      <c r="C806" s="210" t="s">
        <v>643</v>
      </c>
      <c r="D806" s="214">
        <v>220195015</v>
      </c>
      <c r="E806" s="214">
        <v>934001400030</v>
      </c>
      <c r="F806" s="209" t="s">
        <v>647</v>
      </c>
      <c r="G806" s="209" t="s">
        <v>53</v>
      </c>
      <c r="H806" s="209" t="s">
        <v>428</v>
      </c>
      <c r="I806" s="209" t="s">
        <v>429</v>
      </c>
      <c r="J806" s="209" t="s">
        <v>46</v>
      </c>
      <c r="K806" s="210" t="s">
        <v>650</v>
      </c>
      <c r="L806" s="210"/>
      <c r="M806" s="209" t="s">
        <v>58</v>
      </c>
      <c r="N806" s="209">
        <v>0</v>
      </c>
      <c r="O806" s="209" t="s">
        <v>105</v>
      </c>
      <c r="P806" s="213">
        <v>44896.374155092592</v>
      </c>
      <c r="Q806" s="209"/>
      <c r="R806" s="209">
        <v>4</v>
      </c>
      <c r="S806" s="209"/>
      <c r="T806" s="209" t="s">
        <v>646</v>
      </c>
      <c r="U806" s="213">
        <v>44897.374155092592</v>
      </c>
      <c r="V806" s="209" t="s">
        <v>41</v>
      </c>
      <c r="W806" s="209" t="s">
        <v>49</v>
      </c>
      <c r="X806" s="13" t="str">
        <f>IF(RIGHT(H806,2)&lt;&gt;"00",H806,"")</f>
        <v/>
      </c>
      <c r="Y806" s="26">
        <f ca="1">NETWORKDAYS(P806,$Y$1)</f>
        <v>65</v>
      </c>
      <c r="Z806" s="34">
        <v>1</v>
      </c>
      <c r="AA806" s="25" t="str">
        <f t="shared" ca="1" si="63"/>
        <v>A VENCER</v>
      </c>
      <c r="AB806" s="25" t="str">
        <f t="shared" si="66"/>
        <v>C-14</v>
      </c>
      <c r="AC806" s="2" t="str">
        <f t="shared" si="65"/>
        <v xml:space="preserve"> CLEITON </v>
      </c>
      <c r="AD806" s="26">
        <f t="shared" si="67"/>
        <v>15</v>
      </c>
      <c r="AE806" s="26">
        <f t="shared" ca="1" si="64"/>
        <v>90.302116550927167</v>
      </c>
      <c r="AF806" s="35"/>
    </row>
    <row r="807" spans="1:32" hidden="1">
      <c r="A807" s="209">
        <v>9124706</v>
      </c>
      <c r="B807" s="209" t="s">
        <v>101</v>
      </c>
      <c r="C807" s="210" t="s">
        <v>643</v>
      </c>
      <c r="D807" s="214">
        <v>220195077</v>
      </c>
      <c r="E807" s="214">
        <v>1069001400030</v>
      </c>
      <c r="F807" s="209" t="s">
        <v>647</v>
      </c>
      <c r="G807" s="209" t="s">
        <v>53</v>
      </c>
      <c r="H807" s="209" t="s">
        <v>353</v>
      </c>
      <c r="I807" s="209" t="s">
        <v>354</v>
      </c>
      <c r="J807" s="209" t="s">
        <v>211</v>
      </c>
      <c r="K807" s="210" t="s">
        <v>650</v>
      </c>
      <c r="L807" s="210"/>
      <c r="M807" s="209" t="s">
        <v>58</v>
      </c>
      <c r="N807" s="209">
        <v>0</v>
      </c>
      <c r="O807" s="209" t="s">
        <v>105</v>
      </c>
      <c r="P807" s="213">
        <v>44896.374039351853</v>
      </c>
      <c r="Q807" s="209"/>
      <c r="R807" s="209">
        <v>4</v>
      </c>
      <c r="S807" s="209"/>
      <c r="T807" s="209" t="s">
        <v>646</v>
      </c>
      <c r="U807" s="213">
        <v>44897.374039351853</v>
      </c>
      <c r="V807" s="209" t="s">
        <v>41</v>
      </c>
      <c r="W807" s="209" t="s">
        <v>49</v>
      </c>
      <c r="X807" s="13" t="str">
        <f>IF(RIGHT(H807,2)&lt;&gt;"00",H807,"")</f>
        <v/>
      </c>
      <c r="Y807" s="26">
        <f ca="1">NETWORKDAYS(P807,$Y$1)</f>
        <v>65</v>
      </c>
      <c r="Z807" s="34">
        <v>1</v>
      </c>
      <c r="AA807" s="25" t="str">
        <f t="shared" ca="1" si="63"/>
        <v>A VENCER</v>
      </c>
      <c r="AB807" s="25" t="str">
        <f t="shared" si="66"/>
        <v>C-14</v>
      </c>
      <c r="AC807" s="2" t="str">
        <f t="shared" si="65"/>
        <v xml:space="preserve"> RINALDO </v>
      </c>
      <c r="AD807" s="26">
        <f t="shared" si="67"/>
        <v>15</v>
      </c>
      <c r="AE807" s="26">
        <f t="shared" ca="1" si="64"/>
        <v>90.30223229166586</v>
      </c>
      <c r="AF807" s="35"/>
    </row>
    <row r="808" spans="1:32" hidden="1">
      <c r="A808" s="209">
        <v>9124678</v>
      </c>
      <c r="B808" s="209" t="s">
        <v>101</v>
      </c>
      <c r="C808" s="210" t="s">
        <v>643</v>
      </c>
      <c r="D808" s="214">
        <v>220195052</v>
      </c>
      <c r="E808" s="214">
        <v>1012001400030</v>
      </c>
      <c r="F808" s="209" t="s">
        <v>647</v>
      </c>
      <c r="G808" s="209" t="s">
        <v>53</v>
      </c>
      <c r="H808" s="209" t="s">
        <v>172</v>
      </c>
      <c r="I808" s="209" t="s">
        <v>173</v>
      </c>
      <c r="J808" s="209" t="s">
        <v>164</v>
      </c>
      <c r="K808" s="210" t="s">
        <v>650</v>
      </c>
      <c r="L808" s="210"/>
      <c r="M808" s="209" t="s">
        <v>58</v>
      </c>
      <c r="N808" s="209">
        <v>0</v>
      </c>
      <c r="O808" s="209" t="s">
        <v>105</v>
      </c>
      <c r="P808" s="213">
        <v>44896.372511574074</v>
      </c>
      <c r="Q808" s="209"/>
      <c r="R808" s="209">
        <v>4</v>
      </c>
      <c r="S808" s="209"/>
      <c r="T808" s="209" t="s">
        <v>646</v>
      </c>
      <c r="U808" s="213">
        <v>44897.372511574074</v>
      </c>
      <c r="V808" s="209" t="s">
        <v>41</v>
      </c>
      <c r="W808" s="209" t="s">
        <v>49</v>
      </c>
      <c r="X808" s="13" t="str">
        <f>IF(RIGHT(H808,2)&lt;&gt;"00",H808,"")</f>
        <v/>
      </c>
      <c r="Y808" s="26">
        <f ca="1">NETWORKDAYS(P808,$Y$1)</f>
        <v>65</v>
      </c>
      <c r="Z808" s="34">
        <v>1</v>
      </c>
      <c r="AA808" s="25" t="str">
        <f t="shared" ca="1" si="63"/>
        <v>A VENCER</v>
      </c>
      <c r="AB808" s="25" t="str">
        <f t="shared" si="66"/>
        <v>C-14</v>
      </c>
      <c r="AC808" s="2" t="str">
        <f t="shared" si="65"/>
        <v xml:space="preserve"> ROSEMERE </v>
      </c>
      <c r="AD808" s="26">
        <f t="shared" si="67"/>
        <v>15</v>
      </c>
      <c r="AE808" s="26">
        <f t="shared" ca="1" si="64"/>
        <v>90.303760069444252</v>
      </c>
      <c r="AF808" s="35"/>
    </row>
    <row r="809" spans="1:32" hidden="1">
      <c r="A809" s="209">
        <v>9124643</v>
      </c>
      <c r="B809" s="209" t="s">
        <v>101</v>
      </c>
      <c r="C809" s="210" t="s">
        <v>643</v>
      </c>
      <c r="D809" s="214">
        <v>220195037</v>
      </c>
      <c r="E809" s="214">
        <v>981001400030</v>
      </c>
      <c r="F809" s="209" t="s">
        <v>647</v>
      </c>
      <c r="G809" s="209" t="s">
        <v>53</v>
      </c>
      <c r="H809" s="209" t="s">
        <v>410</v>
      </c>
      <c r="I809" s="209" t="s">
        <v>411</v>
      </c>
      <c r="J809" s="209" t="s">
        <v>85</v>
      </c>
      <c r="K809" s="210" t="s">
        <v>650</v>
      </c>
      <c r="L809" s="210"/>
      <c r="M809" s="209" t="s">
        <v>58</v>
      </c>
      <c r="N809" s="209">
        <v>0</v>
      </c>
      <c r="O809" s="209" t="s">
        <v>105</v>
      </c>
      <c r="P809" s="213">
        <v>44896.371180555558</v>
      </c>
      <c r="Q809" s="209"/>
      <c r="R809" s="209">
        <v>4</v>
      </c>
      <c r="S809" s="209"/>
      <c r="T809" s="209" t="s">
        <v>646</v>
      </c>
      <c r="U809" s="213">
        <v>44897.371180555558</v>
      </c>
      <c r="V809" s="209" t="s">
        <v>41</v>
      </c>
      <c r="W809" s="209" t="s">
        <v>49</v>
      </c>
      <c r="X809" s="13" t="str">
        <f>IF(RIGHT(H809,2)&lt;&gt;"00",H809,"")</f>
        <v/>
      </c>
      <c r="Y809" s="26">
        <f ca="1">NETWORKDAYS(P809,$Y$1)</f>
        <v>65</v>
      </c>
      <c r="Z809" s="34">
        <v>1</v>
      </c>
      <c r="AA809" s="25" t="str">
        <f t="shared" ca="1" si="63"/>
        <v>A VENCER</v>
      </c>
      <c r="AB809" s="25" t="str">
        <f t="shared" si="66"/>
        <v>C-14</v>
      </c>
      <c r="AC809" s="2" t="str">
        <f t="shared" si="65"/>
        <v xml:space="preserve"> RINALDO </v>
      </c>
      <c r="AD809" s="26">
        <f t="shared" si="67"/>
        <v>15</v>
      </c>
      <c r="AE809" s="26">
        <f t="shared" ca="1" si="64"/>
        <v>90.305091087961046</v>
      </c>
      <c r="AF809" s="35"/>
    </row>
    <row r="810" spans="1:32" hidden="1">
      <c r="A810" s="209">
        <v>9124615</v>
      </c>
      <c r="B810" s="209" t="s">
        <v>101</v>
      </c>
      <c r="C810" s="210" t="s">
        <v>643</v>
      </c>
      <c r="D810" s="214">
        <v>220195070</v>
      </c>
      <c r="E810" s="214">
        <v>1049001400030</v>
      </c>
      <c r="F810" s="209" t="s">
        <v>647</v>
      </c>
      <c r="G810" s="209" t="s">
        <v>53</v>
      </c>
      <c r="H810" s="209" t="s">
        <v>169</v>
      </c>
      <c r="I810" s="209" t="s">
        <v>170</v>
      </c>
      <c r="J810" s="209" t="s">
        <v>164</v>
      </c>
      <c r="K810" s="210" t="s">
        <v>650</v>
      </c>
      <c r="L810" s="210"/>
      <c r="M810" s="209" t="s">
        <v>58</v>
      </c>
      <c r="N810" s="209">
        <v>0</v>
      </c>
      <c r="O810" s="209" t="s">
        <v>105</v>
      </c>
      <c r="P810" s="213">
        <v>44896.369490740741</v>
      </c>
      <c r="Q810" s="209"/>
      <c r="R810" s="209">
        <v>4</v>
      </c>
      <c r="S810" s="209"/>
      <c r="T810" s="209" t="s">
        <v>646</v>
      </c>
      <c r="U810" s="213">
        <v>44897.369490740741</v>
      </c>
      <c r="V810" s="209" t="s">
        <v>41</v>
      </c>
      <c r="W810" s="209" t="s">
        <v>49</v>
      </c>
      <c r="X810" s="13" t="str">
        <f>IF(RIGHT(H810,2)&lt;&gt;"00",H810,"")</f>
        <v/>
      </c>
      <c r="Y810" s="26">
        <f ca="1">NETWORKDAYS(P810,$Y$1)</f>
        <v>65</v>
      </c>
      <c r="Z810" s="34">
        <v>1</v>
      </c>
      <c r="AA810" s="25" t="str">
        <f t="shared" ca="1" si="63"/>
        <v>A VENCER</v>
      </c>
      <c r="AB810" s="25" t="str">
        <f t="shared" si="66"/>
        <v>C-14</v>
      </c>
      <c r="AC810" s="2" t="str">
        <f t="shared" si="65"/>
        <v xml:space="preserve"> ROSEMERE </v>
      </c>
      <c r="AD810" s="26">
        <f t="shared" si="67"/>
        <v>15</v>
      </c>
      <c r="AE810" s="26">
        <f t="shared" ca="1" si="64"/>
        <v>90.306780902777973</v>
      </c>
      <c r="AF810" s="35"/>
    </row>
    <row r="811" spans="1:32" hidden="1">
      <c r="A811" s="209">
        <v>9124603</v>
      </c>
      <c r="B811" s="209" t="s">
        <v>101</v>
      </c>
      <c r="C811" s="210" t="s">
        <v>643</v>
      </c>
      <c r="D811" s="214">
        <v>220195105</v>
      </c>
      <c r="E811" s="214">
        <v>1120001400030</v>
      </c>
      <c r="F811" s="209" t="s">
        <v>647</v>
      </c>
      <c r="G811" s="209" t="s">
        <v>53</v>
      </c>
      <c r="H811" s="209" t="s">
        <v>181</v>
      </c>
      <c r="I811" s="209" t="s">
        <v>182</v>
      </c>
      <c r="J811" s="209" t="s">
        <v>164</v>
      </c>
      <c r="K811" s="210" t="s">
        <v>650</v>
      </c>
      <c r="L811" s="210"/>
      <c r="M811" s="209" t="s">
        <v>58</v>
      </c>
      <c r="N811" s="209">
        <v>0</v>
      </c>
      <c r="O811" s="209" t="s">
        <v>105</v>
      </c>
      <c r="P811" s="213">
        <v>44896.368831018517</v>
      </c>
      <c r="Q811" s="209"/>
      <c r="R811" s="209">
        <v>4</v>
      </c>
      <c r="S811" s="209"/>
      <c r="T811" s="209" t="s">
        <v>646</v>
      </c>
      <c r="U811" s="213">
        <v>44897.368842592594</v>
      </c>
      <c r="V811" s="209" t="s">
        <v>41</v>
      </c>
      <c r="W811" s="209" t="s">
        <v>49</v>
      </c>
      <c r="X811" s="13" t="str">
        <f>IF(RIGHT(H811,2)&lt;&gt;"00",H811,"")</f>
        <v/>
      </c>
      <c r="Y811" s="26">
        <f ca="1">NETWORKDAYS(P811,$Y$1)</f>
        <v>65</v>
      </c>
      <c r="Z811" s="34">
        <v>1</v>
      </c>
      <c r="AA811" s="25" t="str">
        <f t="shared" ca="1" si="63"/>
        <v>A VENCER</v>
      </c>
      <c r="AB811" s="25" t="str">
        <f t="shared" si="66"/>
        <v>C-14</v>
      </c>
      <c r="AC811" s="2" t="str">
        <f t="shared" si="65"/>
        <v xml:space="preserve"> ROSEMERE </v>
      </c>
      <c r="AD811" s="26">
        <f t="shared" si="67"/>
        <v>15</v>
      </c>
      <c r="AE811" s="26">
        <f t="shared" ca="1" si="64"/>
        <v>90.307440625001618</v>
      </c>
      <c r="AF811" s="35"/>
    </row>
    <row r="812" spans="1:32" hidden="1">
      <c r="A812" s="209">
        <v>9124567</v>
      </c>
      <c r="B812" s="209" t="s">
        <v>101</v>
      </c>
      <c r="C812" s="210" t="s">
        <v>643</v>
      </c>
      <c r="D812" s="214">
        <v>220194886</v>
      </c>
      <c r="E812" s="214">
        <v>710001400030</v>
      </c>
      <c r="F812" s="209" t="s">
        <v>647</v>
      </c>
      <c r="G812" s="209" t="s">
        <v>53</v>
      </c>
      <c r="H812" s="209" t="s">
        <v>390</v>
      </c>
      <c r="I812" s="209" t="s">
        <v>391</v>
      </c>
      <c r="J812" s="209" t="s">
        <v>56</v>
      </c>
      <c r="K812" s="210" t="s">
        <v>650</v>
      </c>
      <c r="L812" s="210"/>
      <c r="M812" s="209" t="s">
        <v>58</v>
      </c>
      <c r="N812" s="209">
        <v>0</v>
      </c>
      <c r="O812" s="209" t="s">
        <v>105</v>
      </c>
      <c r="P812" s="213">
        <v>44896.367569444446</v>
      </c>
      <c r="Q812" s="209"/>
      <c r="R812" s="209">
        <v>4</v>
      </c>
      <c r="S812" s="209"/>
      <c r="T812" s="209" t="s">
        <v>646</v>
      </c>
      <c r="U812" s="213">
        <v>44897.367569444446</v>
      </c>
      <c r="V812" s="209" t="s">
        <v>41</v>
      </c>
      <c r="W812" s="209" t="s">
        <v>49</v>
      </c>
      <c r="X812" s="13" t="str">
        <f>IF(RIGHT(H812,2)&lt;&gt;"00",H812,"")</f>
        <v/>
      </c>
      <c r="Y812" s="26">
        <f ca="1">NETWORKDAYS(P812,$Y$1)</f>
        <v>65</v>
      </c>
      <c r="Z812" s="34">
        <v>1</v>
      </c>
      <c r="AA812" s="25" t="str">
        <f t="shared" ca="1" si="63"/>
        <v>A VENCER</v>
      </c>
      <c r="AB812" s="25" t="str">
        <f t="shared" si="66"/>
        <v>C-14</v>
      </c>
      <c r="AC812" s="2" t="str">
        <f t="shared" si="65"/>
        <v xml:space="preserve"> CRISTINA </v>
      </c>
      <c r="AD812" s="26">
        <f t="shared" si="67"/>
        <v>15</v>
      </c>
      <c r="AE812" s="26">
        <f t="shared" ca="1" si="64"/>
        <v>90.308702199072286</v>
      </c>
      <c r="AF812" s="35"/>
    </row>
    <row r="813" spans="1:32" hidden="1">
      <c r="A813" s="209">
        <v>9124538</v>
      </c>
      <c r="B813" s="209" t="s">
        <v>101</v>
      </c>
      <c r="C813" s="210" t="s">
        <v>643</v>
      </c>
      <c r="D813" s="214">
        <v>220194887</v>
      </c>
      <c r="E813" s="214">
        <v>714001400030</v>
      </c>
      <c r="F813" s="209" t="s">
        <v>647</v>
      </c>
      <c r="G813" s="209" t="s">
        <v>53</v>
      </c>
      <c r="H813" s="209" t="s">
        <v>377</v>
      </c>
      <c r="I813" s="209" t="s">
        <v>378</v>
      </c>
      <c r="J813" s="209" t="s">
        <v>46</v>
      </c>
      <c r="K813" s="210" t="s">
        <v>650</v>
      </c>
      <c r="L813" s="210"/>
      <c r="M813" s="209" t="s">
        <v>58</v>
      </c>
      <c r="N813" s="209">
        <v>0</v>
      </c>
      <c r="O813" s="209" t="s">
        <v>105</v>
      </c>
      <c r="P813" s="213">
        <v>44896.365960648145</v>
      </c>
      <c r="Q813" s="209"/>
      <c r="R813" s="209">
        <v>4</v>
      </c>
      <c r="S813" s="209"/>
      <c r="T813" s="209" t="s">
        <v>646</v>
      </c>
      <c r="U813" s="213">
        <v>44897.365960648145</v>
      </c>
      <c r="V813" s="209" t="s">
        <v>41</v>
      </c>
      <c r="W813" s="209" t="s">
        <v>49</v>
      </c>
      <c r="X813" s="13" t="str">
        <f>IF(RIGHT(H813,2)&lt;&gt;"00",H813,"")</f>
        <v/>
      </c>
      <c r="Y813" s="26">
        <f ca="1">NETWORKDAYS(P813,$Y$1)</f>
        <v>65</v>
      </c>
      <c r="Z813" s="34">
        <v>1</v>
      </c>
      <c r="AA813" s="25" t="str">
        <f t="shared" ca="1" si="63"/>
        <v>A VENCER</v>
      </c>
      <c r="AB813" s="25" t="str">
        <f t="shared" si="66"/>
        <v>C-14</v>
      </c>
      <c r="AC813" s="2" t="str">
        <f t="shared" si="65"/>
        <v xml:space="preserve"> CLEITON </v>
      </c>
      <c r="AD813" s="26">
        <f t="shared" si="67"/>
        <v>15</v>
      </c>
      <c r="AE813" s="26">
        <f t="shared" ca="1" si="64"/>
        <v>90.310310995373584</v>
      </c>
      <c r="AF813" s="35"/>
    </row>
    <row r="814" spans="1:32" hidden="1">
      <c r="A814" s="209">
        <v>9124463</v>
      </c>
      <c r="B814" s="209" t="s">
        <v>101</v>
      </c>
      <c r="C814" s="210" t="s">
        <v>643</v>
      </c>
      <c r="D814" s="214">
        <v>220194861</v>
      </c>
      <c r="E814" s="214">
        <v>673001400030</v>
      </c>
      <c r="F814" s="209" t="s">
        <v>647</v>
      </c>
      <c r="G814" s="209" t="s">
        <v>53</v>
      </c>
      <c r="H814" s="209" t="s">
        <v>581</v>
      </c>
      <c r="I814" s="209" t="s">
        <v>582</v>
      </c>
      <c r="J814" s="209" t="s">
        <v>110</v>
      </c>
      <c r="K814" s="210" t="s">
        <v>650</v>
      </c>
      <c r="L814" s="210"/>
      <c r="M814" s="209" t="s">
        <v>58</v>
      </c>
      <c r="N814" s="209">
        <v>0</v>
      </c>
      <c r="O814" s="209" t="s">
        <v>105</v>
      </c>
      <c r="P814" s="213">
        <v>44896.362638888888</v>
      </c>
      <c r="Q814" s="209"/>
      <c r="R814" s="209">
        <v>4</v>
      </c>
      <c r="S814" s="209"/>
      <c r="T814" s="209" t="s">
        <v>646</v>
      </c>
      <c r="U814" s="213">
        <v>44897.362638888888</v>
      </c>
      <c r="V814" s="209" t="s">
        <v>41</v>
      </c>
      <c r="W814" s="209" t="s">
        <v>49</v>
      </c>
      <c r="X814" s="13" t="str">
        <f>IF(RIGHT(H814,2)&lt;&gt;"00",H814,"")</f>
        <v/>
      </c>
      <c r="Y814" s="26">
        <f ca="1">NETWORKDAYS(P814,$Y$1)</f>
        <v>65</v>
      </c>
      <c r="Z814" s="34">
        <v>1</v>
      </c>
      <c r="AA814" s="25" t="str">
        <f t="shared" ca="1" si="63"/>
        <v>A VENCER</v>
      </c>
      <c r="AB814" s="25" t="str">
        <f t="shared" si="66"/>
        <v>C-14</v>
      </c>
      <c r="AC814" s="2" t="str">
        <f t="shared" si="65"/>
        <v xml:space="preserve"> CRISTINA </v>
      </c>
      <c r="AD814" s="26">
        <f t="shared" si="67"/>
        <v>15</v>
      </c>
      <c r="AE814" s="26">
        <f t="shared" ca="1" si="64"/>
        <v>90.313632754630817</v>
      </c>
      <c r="AF814" s="35"/>
    </row>
    <row r="815" spans="1:32" hidden="1">
      <c r="A815" s="209">
        <v>9124142</v>
      </c>
      <c r="B815" s="209" t="s">
        <v>101</v>
      </c>
      <c r="C815" s="210" t="s">
        <v>643</v>
      </c>
      <c r="D815" s="214">
        <v>220194221</v>
      </c>
      <c r="E815" s="214">
        <v>5742001400010</v>
      </c>
      <c r="F815" s="209" t="s">
        <v>936</v>
      </c>
      <c r="G815" s="209" t="s">
        <v>53</v>
      </c>
      <c r="H815" s="209" t="s">
        <v>430</v>
      </c>
      <c r="I815" s="209" t="s">
        <v>431</v>
      </c>
      <c r="J815" s="209" t="s">
        <v>79</v>
      </c>
      <c r="K815" s="210" t="s">
        <v>937</v>
      </c>
      <c r="L815" s="210"/>
      <c r="M815" s="209" t="s">
        <v>58</v>
      </c>
      <c r="N815" s="209">
        <v>0</v>
      </c>
      <c r="O815" s="209" t="s">
        <v>105</v>
      </c>
      <c r="P815" s="213">
        <v>44896.342835648145</v>
      </c>
      <c r="Q815" s="209"/>
      <c r="R815" s="209">
        <v>3</v>
      </c>
      <c r="S815" s="209"/>
      <c r="T815" s="209" t="s">
        <v>646</v>
      </c>
      <c r="U815" s="213">
        <v>44897.342847222222</v>
      </c>
      <c r="V815" s="209" t="s">
        <v>41</v>
      </c>
      <c r="W815" s="209" t="s">
        <v>49</v>
      </c>
      <c r="X815" s="13" t="str">
        <f>IF(RIGHT(H815,2)&lt;&gt;"00",H815,"")</f>
        <v/>
      </c>
      <c r="Y815" s="26">
        <f ca="1">NETWORKDAYS(P815,$Y$1)</f>
        <v>65</v>
      </c>
      <c r="Z815" s="34">
        <v>1</v>
      </c>
      <c r="AA815" s="25" t="str">
        <f t="shared" ca="1" si="63"/>
        <v>A VENCER</v>
      </c>
      <c r="AB815" s="25" t="str">
        <f t="shared" si="66"/>
        <v>C-14</v>
      </c>
      <c r="AC815" s="2" t="str">
        <f t="shared" si="65"/>
        <v xml:space="preserve"> ROSEMERE </v>
      </c>
      <c r="AD815" s="26">
        <f t="shared" si="67"/>
        <v>5</v>
      </c>
      <c r="AE815" s="26">
        <f t="shared" ca="1" si="64"/>
        <v>90.333435995373293</v>
      </c>
      <c r="AF815" s="35"/>
    </row>
    <row r="816" spans="1:32" hidden="1">
      <c r="A816" s="209">
        <v>9123907</v>
      </c>
      <c r="B816" s="209" t="s">
        <v>101</v>
      </c>
      <c r="C816" s="210" t="s">
        <v>643</v>
      </c>
      <c r="D816" s="214">
        <v>220193815</v>
      </c>
      <c r="E816" s="214">
        <v>3243001400010</v>
      </c>
      <c r="F816" s="209" t="s">
        <v>936</v>
      </c>
      <c r="G816" s="209" t="s">
        <v>53</v>
      </c>
      <c r="H816" s="209" t="s">
        <v>282</v>
      </c>
      <c r="I816" s="209" t="s">
        <v>283</v>
      </c>
      <c r="J816" s="209" t="s">
        <v>46</v>
      </c>
      <c r="K816" s="210" t="s">
        <v>937</v>
      </c>
      <c r="L816" s="210"/>
      <c r="M816" s="209" t="s">
        <v>58</v>
      </c>
      <c r="N816" s="209">
        <v>0</v>
      </c>
      <c r="O816" s="209" t="s">
        <v>105</v>
      </c>
      <c r="P816" s="213">
        <v>44896.331388888888</v>
      </c>
      <c r="Q816" s="209"/>
      <c r="R816" s="209">
        <v>3</v>
      </c>
      <c r="S816" s="209"/>
      <c r="T816" s="209" t="s">
        <v>646</v>
      </c>
      <c r="U816" s="213">
        <v>44897.331388888888</v>
      </c>
      <c r="V816" s="209" t="s">
        <v>41</v>
      </c>
      <c r="W816" s="209" t="s">
        <v>49</v>
      </c>
      <c r="X816" s="13" t="str">
        <f>IF(RIGHT(H816,2)&lt;&gt;"00",H816,"")</f>
        <v/>
      </c>
      <c r="Y816" s="26">
        <f ca="1">NETWORKDAYS(P816,$Y$1)</f>
        <v>65</v>
      </c>
      <c r="Z816" s="34">
        <v>1</v>
      </c>
      <c r="AA816" s="25" t="str">
        <f t="shared" ca="1" si="63"/>
        <v>A VENCER</v>
      </c>
      <c r="AB816" s="25" t="str">
        <f t="shared" si="66"/>
        <v>C-14</v>
      </c>
      <c r="AC816" s="2" t="str">
        <f t="shared" si="65"/>
        <v xml:space="preserve"> CLEITON </v>
      </c>
      <c r="AD816" s="26">
        <f t="shared" si="67"/>
        <v>5</v>
      </c>
      <c r="AE816" s="26">
        <f t="shared" ca="1" si="64"/>
        <v>90.344882754630817</v>
      </c>
      <c r="AF816" s="35"/>
    </row>
    <row r="817" spans="1:32" hidden="1">
      <c r="A817" s="209">
        <v>9123817</v>
      </c>
      <c r="B817" s="209" t="s">
        <v>101</v>
      </c>
      <c r="C817" s="210" t="s">
        <v>643</v>
      </c>
      <c r="D817" s="214">
        <v>220193863</v>
      </c>
      <c r="E817" s="214">
        <v>3504001400010</v>
      </c>
      <c r="F817" s="209" t="s">
        <v>936</v>
      </c>
      <c r="G817" s="209" t="s">
        <v>53</v>
      </c>
      <c r="H817" s="209" t="s">
        <v>585</v>
      </c>
      <c r="I817" s="209" t="s">
        <v>586</v>
      </c>
      <c r="J817" s="209" t="s">
        <v>46</v>
      </c>
      <c r="K817" s="210" t="s">
        <v>937</v>
      </c>
      <c r="L817" s="210"/>
      <c r="M817" s="209" t="s">
        <v>58</v>
      </c>
      <c r="N817" s="209">
        <v>0</v>
      </c>
      <c r="O817" s="209" t="s">
        <v>105</v>
      </c>
      <c r="P817" s="213">
        <v>44896.327175925922</v>
      </c>
      <c r="Q817" s="209"/>
      <c r="R817" s="209">
        <v>3</v>
      </c>
      <c r="S817" s="209"/>
      <c r="T817" s="209" t="s">
        <v>646</v>
      </c>
      <c r="U817" s="213">
        <v>44897.327175925922</v>
      </c>
      <c r="V817" s="209" t="s">
        <v>41</v>
      </c>
      <c r="W817" s="209" t="s">
        <v>49</v>
      </c>
      <c r="X817" s="13" t="str">
        <f>IF(RIGHT(H817,2)&lt;&gt;"00",H817,"")</f>
        <v/>
      </c>
      <c r="Y817" s="26">
        <f ca="1">NETWORKDAYS(P817,$Y$1)</f>
        <v>65</v>
      </c>
      <c r="Z817" s="34">
        <v>1</v>
      </c>
      <c r="AA817" s="25" t="str">
        <f t="shared" ca="1" si="63"/>
        <v>A VENCER</v>
      </c>
      <c r="AB817" s="25" t="str">
        <f t="shared" si="66"/>
        <v>C-14</v>
      </c>
      <c r="AC817" s="2" t="str">
        <f t="shared" si="65"/>
        <v xml:space="preserve"> CLEITON </v>
      </c>
      <c r="AD817" s="26">
        <f t="shared" si="67"/>
        <v>5</v>
      </c>
      <c r="AE817" s="26">
        <f t="shared" ca="1" si="64"/>
        <v>90.349095717596356</v>
      </c>
      <c r="AF817" s="35"/>
    </row>
    <row r="818" spans="1:32" hidden="1">
      <c r="A818" s="209">
        <v>9123799</v>
      </c>
      <c r="B818" s="209" t="s">
        <v>101</v>
      </c>
      <c r="C818" s="210" t="s">
        <v>643</v>
      </c>
      <c r="D818" s="214">
        <v>220193693</v>
      </c>
      <c r="E818" s="214">
        <v>2693001400010</v>
      </c>
      <c r="F818" s="209" t="s">
        <v>936</v>
      </c>
      <c r="G818" s="209" t="s">
        <v>53</v>
      </c>
      <c r="H818" s="209" t="s">
        <v>253</v>
      </c>
      <c r="I818" s="209" t="s">
        <v>254</v>
      </c>
      <c r="J818" s="209" t="s">
        <v>56</v>
      </c>
      <c r="K818" s="210" t="s">
        <v>937</v>
      </c>
      <c r="L818" s="210"/>
      <c r="M818" s="209" t="s">
        <v>58</v>
      </c>
      <c r="N818" s="209">
        <v>0</v>
      </c>
      <c r="O818" s="209" t="s">
        <v>105</v>
      </c>
      <c r="P818" s="213">
        <v>44896.325995370367</v>
      </c>
      <c r="Q818" s="209"/>
      <c r="R818" s="209">
        <v>3</v>
      </c>
      <c r="S818" s="209"/>
      <c r="T818" s="209" t="s">
        <v>646</v>
      </c>
      <c r="U818" s="213">
        <v>44897.326006944444</v>
      </c>
      <c r="V818" s="209" t="s">
        <v>41</v>
      </c>
      <c r="W818" s="209" t="s">
        <v>49</v>
      </c>
      <c r="X818" s="13" t="str">
        <f>IF(RIGHT(H818,2)&lt;&gt;"00",H818,"")</f>
        <v/>
      </c>
      <c r="Y818" s="26">
        <f ca="1">NETWORKDAYS(P818,$Y$1)</f>
        <v>65</v>
      </c>
      <c r="Z818" s="34">
        <v>1</v>
      </c>
      <c r="AA818" s="25" t="str">
        <f t="shared" ca="1" si="63"/>
        <v>A VENCER</v>
      </c>
      <c r="AB818" s="25" t="str">
        <f t="shared" si="66"/>
        <v>C-14</v>
      </c>
      <c r="AC818" s="2" t="str">
        <f t="shared" si="65"/>
        <v xml:space="preserve"> CRISTINA </v>
      </c>
      <c r="AD818" s="26">
        <f t="shared" si="67"/>
        <v>5</v>
      </c>
      <c r="AE818" s="26">
        <f t="shared" ca="1" si="64"/>
        <v>90.350276273151394</v>
      </c>
      <c r="AF818" s="35"/>
    </row>
    <row r="819" spans="1:32" hidden="1">
      <c r="A819" s="209">
        <v>9123759</v>
      </c>
      <c r="B819" s="209" t="s">
        <v>101</v>
      </c>
      <c r="C819" s="210" t="s">
        <v>643</v>
      </c>
      <c r="D819" s="214">
        <v>220193661</v>
      </c>
      <c r="E819" s="214">
        <v>2564001400010</v>
      </c>
      <c r="F819" s="209" t="s">
        <v>936</v>
      </c>
      <c r="G819" s="209" t="s">
        <v>53</v>
      </c>
      <c r="H819" s="209" t="s">
        <v>255</v>
      </c>
      <c r="I819" s="209" t="s">
        <v>256</v>
      </c>
      <c r="J819" s="209" t="s">
        <v>164</v>
      </c>
      <c r="K819" s="210" t="s">
        <v>937</v>
      </c>
      <c r="L819" s="210"/>
      <c r="M819" s="209" t="s">
        <v>58</v>
      </c>
      <c r="N819" s="209">
        <v>0</v>
      </c>
      <c r="O819" s="209" t="s">
        <v>105</v>
      </c>
      <c r="P819" s="213">
        <v>44896.323981481481</v>
      </c>
      <c r="Q819" s="209"/>
      <c r="R819" s="209">
        <v>3</v>
      </c>
      <c r="S819" s="209"/>
      <c r="T819" s="209" t="s">
        <v>646</v>
      </c>
      <c r="U819" s="213">
        <v>44897.323981481481</v>
      </c>
      <c r="V819" s="209" t="s">
        <v>41</v>
      </c>
      <c r="W819" s="209" t="s">
        <v>49</v>
      </c>
      <c r="X819" s="13" t="str">
        <f>IF(RIGHT(H819,2)&lt;&gt;"00",H819,"")</f>
        <v/>
      </c>
      <c r="Y819" s="26">
        <f ca="1">NETWORKDAYS(P819,$Y$1)</f>
        <v>65</v>
      </c>
      <c r="Z819" s="34">
        <v>1</v>
      </c>
      <c r="AA819" s="25" t="str">
        <f t="shared" ca="1" si="63"/>
        <v>A VENCER</v>
      </c>
      <c r="AB819" s="25" t="str">
        <f t="shared" si="66"/>
        <v>C-14</v>
      </c>
      <c r="AC819" s="2" t="str">
        <f t="shared" si="65"/>
        <v xml:space="preserve"> ROSEMERE </v>
      </c>
      <c r="AD819" s="26">
        <f t="shared" si="67"/>
        <v>5</v>
      </c>
      <c r="AE819" s="26">
        <f t="shared" ca="1" si="64"/>
        <v>90.352290162038116</v>
      </c>
      <c r="AF819" s="35"/>
    </row>
    <row r="820" spans="1:32" hidden="1">
      <c r="A820" s="209">
        <v>9123743</v>
      </c>
      <c r="B820" s="209" t="s">
        <v>101</v>
      </c>
      <c r="C820" s="210" t="s">
        <v>643</v>
      </c>
      <c r="D820" s="214">
        <v>220193649</v>
      </c>
      <c r="E820" s="214">
        <v>2529001400010</v>
      </c>
      <c r="F820" s="209" t="s">
        <v>936</v>
      </c>
      <c r="G820" s="209" t="s">
        <v>53</v>
      </c>
      <c r="H820" s="209" t="s">
        <v>355</v>
      </c>
      <c r="I820" s="209" t="s">
        <v>356</v>
      </c>
      <c r="J820" s="209" t="s">
        <v>56</v>
      </c>
      <c r="K820" s="210" t="s">
        <v>937</v>
      </c>
      <c r="L820" s="210"/>
      <c r="M820" s="209" t="s">
        <v>58</v>
      </c>
      <c r="N820" s="209">
        <v>0</v>
      </c>
      <c r="O820" s="209" t="s">
        <v>105</v>
      </c>
      <c r="P820" s="213">
        <v>44896.323252314818</v>
      </c>
      <c r="Q820" s="209"/>
      <c r="R820" s="209">
        <v>3</v>
      </c>
      <c r="S820" s="209"/>
      <c r="T820" s="209" t="s">
        <v>646</v>
      </c>
      <c r="U820" s="213">
        <v>44897.323252314818</v>
      </c>
      <c r="V820" s="209" t="s">
        <v>41</v>
      </c>
      <c r="W820" s="209" t="s">
        <v>49</v>
      </c>
      <c r="X820" s="13" t="str">
        <f>IF(RIGHT(H820,2)&lt;&gt;"00",H820,"")</f>
        <v/>
      </c>
      <c r="Y820" s="26">
        <f ca="1">NETWORKDAYS(P820,$Y$1)</f>
        <v>65</v>
      </c>
      <c r="Z820" s="34">
        <v>1</v>
      </c>
      <c r="AA820" s="25" t="str">
        <f t="shared" ca="1" si="63"/>
        <v>A VENCER</v>
      </c>
      <c r="AB820" s="25" t="str">
        <f t="shared" si="66"/>
        <v>C-14</v>
      </c>
      <c r="AC820" s="2" t="str">
        <f t="shared" si="65"/>
        <v xml:space="preserve"> CRISTINA </v>
      </c>
      <c r="AD820" s="26">
        <f t="shared" si="67"/>
        <v>5</v>
      </c>
      <c r="AE820" s="26">
        <f t="shared" ca="1" si="64"/>
        <v>90.353019328700611</v>
      </c>
      <c r="AF820" s="35"/>
    </row>
    <row r="821" spans="1:32" hidden="1">
      <c r="A821" s="209">
        <v>9123722</v>
      </c>
      <c r="B821" s="209" t="s">
        <v>101</v>
      </c>
      <c r="C821" s="210" t="s">
        <v>643</v>
      </c>
      <c r="D821" s="214">
        <v>220193628</v>
      </c>
      <c r="E821" s="214">
        <v>2473001400010</v>
      </c>
      <c r="F821" s="209" t="s">
        <v>936</v>
      </c>
      <c r="G821" s="209" t="s">
        <v>53</v>
      </c>
      <c r="H821" s="209" t="s">
        <v>1459</v>
      </c>
      <c r="I821" s="209" t="s">
        <v>1460</v>
      </c>
      <c r="J821" s="209" t="s">
        <v>261</v>
      </c>
      <c r="K821" s="210" t="s">
        <v>937</v>
      </c>
      <c r="L821" s="210"/>
      <c r="M821" s="209" t="s">
        <v>58</v>
      </c>
      <c r="N821" s="209">
        <v>0</v>
      </c>
      <c r="O821" s="209" t="s">
        <v>105</v>
      </c>
      <c r="P821" s="213">
        <v>44896.321979166663</v>
      </c>
      <c r="Q821" s="209"/>
      <c r="R821" s="209">
        <v>3</v>
      </c>
      <c r="S821" s="209"/>
      <c r="T821" s="209" t="s">
        <v>646</v>
      </c>
      <c r="U821" s="213">
        <v>44897.321979166663</v>
      </c>
      <c r="V821" s="209" t="s">
        <v>41</v>
      </c>
      <c r="W821" s="209" t="s">
        <v>49</v>
      </c>
      <c r="X821" s="13" t="str">
        <f>IF(RIGHT(H821,2)&lt;&gt;"00",H821,"")</f>
        <v/>
      </c>
      <c r="Y821" s="26">
        <f ca="1">NETWORKDAYS(P821,$Y$1)</f>
        <v>65</v>
      </c>
      <c r="Z821" s="34">
        <v>1</v>
      </c>
      <c r="AA821" s="25" t="str">
        <f t="shared" ca="1" si="63"/>
        <v>A VENCER</v>
      </c>
      <c r="AB821" s="25" t="str">
        <f t="shared" si="66"/>
        <v>C-14</v>
      </c>
      <c r="AC821" s="2" t="str">
        <f t="shared" si="65"/>
        <v xml:space="preserve"> CRISTINA </v>
      </c>
      <c r="AD821" s="26">
        <f t="shared" si="67"/>
        <v>5</v>
      </c>
      <c r="AE821" s="26">
        <f t="shared" ca="1" si="64"/>
        <v>90.354292476855335</v>
      </c>
      <c r="AF821" s="35"/>
    </row>
    <row r="822" spans="1:32" hidden="1">
      <c r="A822" s="209">
        <v>9123696</v>
      </c>
      <c r="B822" s="209" t="s">
        <v>101</v>
      </c>
      <c r="C822" s="210" t="s">
        <v>643</v>
      </c>
      <c r="D822" s="214">
        <v>220193610</v>
      </c>
      <c r="E822" s="214">
        <v>2413001400010</v>
      </c>
      <c r="F822" s="209" t="s">
        <v>936</v>
      </c>
      <c r="G822" s="209" t="s">
        <v>53</v>
      </c>
      <c r="H822" s="209" t="s">
        <v>505</v>
      </c>
      <c r="I822" s="209" t="s">
        <v>506</v>
      </c>
      <c r="J822" s="209" t="s">
        <v>141</v>
      </c>
      <c r="K822" s="210" t="s">
        <v>937</v>
      </c>
      <c r="L822" s="210"/>
      <c r="M822" s="209" t="s">
        <v>58</v>
      </c>
      <c r="N822" s="209">
        <v>0</v>
      </c>
      <c r="O822" s="209" t="s">
        <v>105</v>
      </c>
      <c r="P822" s="213">
        <v>44896.320925925924</v>
      </c>
      <c r="Q822" s="209"/>
      <c r="R822" s="209">
        <v>3</v>
      </c>
      <c r="S822" s="209"/>
      <c r="T822" s="209" t="s">
        <v>646</v>
      </c>
      <c r="U822" s="213">
        <v>44897.320925925924</v>
      </c>
      <c r="V822" s="209" t="s">
        <v>41</v>
      </c>
      <c r="W822" s="209" t="s">
        <v>49</v>
      </c>
      <c r="X822" s="13" t="str">
        <f>IF(RIGHT(H822,2)&lt;&gt;"00",H822,"")</f>
        <v/>
      </c>
      <c r="Y822" s="26">
        <f ca="1">NETWORKDAYS(P822,$Y$1)</f>
        <v>65</v>
      </c>
      <c r="Z822" s="34">
        <v>1</v>
      </c>
      <c r="AA822" s="25" t="str">
        <f t="shared" ca="1" si="63"/>
        <v>A VENCER</v>
      </c>
      <c r="AB822" s="25" t="str">
        <f t="shared" si="66"/>
        <v>C-14</v>
      </c>
      <c r="AC822" s="2" t="str">
        <f t="shared" si="65"/>
        <v xml:space="preserve"> CRISTINA </v>
      </c>
      <c r="AD822" s="26">
        <f t="shared" si="67"/>
        <v>5</v>
      </c>
      <c r="AE822" s="26">
        <f t="shared" ca="1" si="64"/>
        <v>90.355345717594901</v>
      </c>
      <c r="AF822" s="35"/>
    </row>
    <row r="823" spans="1:32" hidden="1">
      <c r="A823" s="209">
        <v>9123651</v>
      </c>
      <c r="B823" s="209" t="s">
        <v>101</v>
      </c>
      <c r="C823" s="210" t="s">
        <v>643</v>
      </c>
      <c r="D823" s="214">
        <v>220193532</v>
      </c>
      <c r="E823" s="214">
        <v>2125001400010</v>
      </c>
      <c r="F823" s="209" t="s">
        <v>936</v>
      </c>
      <c r="G823" s="209" t="s">
        <v>53</v>
      </c>
      <c r="H823" s="209" t="s">
        <v>1399</v>
      </c>
      <c r="I823" s="209" t="s">
        <v>1400</v>
      </c>
      <c r="J823" s="209" t="s">
        <v>211</v>
      </c>
      <c r="K823" s="210" t="s">
        <v>937</v>
      </c>
      <c r="L823" s="210"/>
      <c r="M823" s="209" t="s">
        <v>58</v>
      </c>
      <c r="N823" s="209">
        <v>0</v>
      </c>
      <c r="O823" s="209" t="s">
        <v>105</v>
      </c>
      <c r="P823" s="213">
        <v>44896.317893518521</v>
      </c>
      <c r="Q823" s="209"/>
      <c r="R823" s="209">
        <v>3</v>
      </c>
      <c r="S823" s="209"/>
      <c r="T823" s="209" t="s">
        <v>646</v>
      </c>
      <c r="U823" s="213">
        <v>44897.317893518521</v>
      </c>
      <c r="V823" s="209" t="s">
        <v>41</v>
      </c>
      <c r="W823" s="209" t="s">
        <v>49</v>
      </c>
      <c r="X823" s="13" t="str">
        <f>IF(RIGHT(H823,2)&lt;&gt;"00",H823,"")</f>
        <v/>
      </c>
      <c r="Y823" s="26">
        <f ca="1">NETWORKDAYS(P823,$Y$1)</f>
        <v>65</v>
      </c>
      <c r="Z823" s="34">
        <v>1</v>
      </c>
      <c r="AA823" s="25" t="str">
        <f t="shared" ca="1" si="63"/>
        <v>A VENCER</v>
      </c>
      <c r="AB823" s="25" t="str">
        <f t="shared" si="66"/>
        <v>C-14</v>
      </c>
      <c r="AC823" s="2" t="str">
        <f t="shared" si="65"/>
        <v xml:space="preserve"> RINALDO </v>
      </c>
      <c r="AD823" s="26">
        <f t="shared" si="67"/>
        <v>5</v>
      </c>
      <c r="AE823" s="26">
        <f t="shared" ca="1" si="64"/>
        <v>90.358378124998126</v>
      </c>
      <c r="AF823" s="35"/>
    </row>
    <row r="824" spans="1:32" hidden="1">
      <c r="A824" s="209">
        <v>9123585</v>
      </c>
      <c r="B824" s="209" t="s">
        <v>101</v>
      </c>
      <c r="C824" s="210" t="s">
        <v>643</v>
      </c>
      <c r="D824" s="214">
        <v>220193497</v>
      </c>
      <c r="E824" s="214">
        <v>2018001400010</v>
      </c>
      <c r="F824" s="209" t="s">
        <v>936</v>
      </c>
      <c r="G824" s="209" t="s">
        <v>53</v>
      </c>
      <c r="H824" s="209" t="s">
        <v>598</v>
      </c>
      <c r="I824" s="209" t="s">
        <v>599</v>
      </c>
      <c r="J824" s="209" t="s">
        <v>79</v>
      </c>
      <c r="K824" s="210" t="s">
        <v>937</v>
      </c>
      <c r="L824" s="210"/>
      <c r="M824" s="209" t="s">
        <v>58</v>
      </c>
      <c r="N824" s="209">
        <v>0</v>
      </c>
      <c r="O824" s="209" t="s">
        <v>105</v>
      </c>
      <c r="P824" s="213">
        <v>44896.315046296295</v>
      </c>
      <c r="Q824" s="209"/>
      <c r="R824" s="209">
        <v>3</v>
      </c>
      <c r="S824" s="209"/>
      <c r="T824" s="209" t="s">
        <v>646</v>
      </c>
      <c r="U824" s="213">
        <v>44897.315057870372</v>
      </c>
      <c r="V824" s="209" t="s">
        <v>41</v>
      </c>
      <c r="W824" s="209" t="s">
        <v>49</v>
      </c>
      <c r="X824" s="13" t="str">
        <f>IF(RIGHT(H824,2)&lt;&gt;"00",H824,"")</f>
        <v/>
      </c>
      <c r="Y824" s="26">
        <f ca="1">NETWORKDAYS(P824,$Y$1)</f>
        <v>65</v>
      </c>
      <c r="Z824" s="34">
        <v>1</v>
      </c>
      <c r="AA824" s="25" t="str">
        <f t="shared" ca="1" si="63"/>
        <v>A VENCER</v>
      </c>
      <c r="AB824" s="25" t="str">
        <f t="shared" si="66"/>
        <v>C-14</v>
      </c>
      <c r="AC824" s="2" t="str">
        <f t="shared" si="65"/>
        <v xml:space="preserve"> ROSEMERE </v>
      </c>
      <c r="AD824" s="26">
        <f t="shared" si="67"/>
        <v>5</v>
      </c>
      <c r="AE824" s="26">
        <f t="shared" ca="1" si="64"/>
        <v>90.361225347223808</v>
      </c>
      <c r="AF824" s="35"/>
    </row>
    <row r="825" spans="1:32" hidden="1">
      <c r="A825" s="209">
        <v>9123569</v>
      </c>
      <c r="B825" s="209" t="s">
        <v>101</v>
      </c>
      <c r="C825" s="210" t="s">
        <v>643</v>
      </c>
      <c r="D825" s="214">
        <v>220193370</v>
      </c>
      <c r="E825" s="214">
        <v>1509001400010</v>
      </c>
      <c r="F825" s="209" t="s">
        <v>936</v>
      </c>
      <c r="G825" s="209" t="s">
        <v>53</v>
      </c>
      <c r="H825" s="209" t="s">
        <v>731</v>
      </c>
      <c r="I825" s="209" t="s">
        <v>732</v>
      </c>
      <c r="J825" s="209" t="s">
        <v>46</v>
      </c>
      <c r="K825" s="210" t="s">
        <v>937</v>
      </c>
      <c r="L825" s="210"/>
      <c r="M825" s="209" t="s">
        <v>58</v>
      </c>
      <c r="N825" s="209">
        <v>0</v>
      </c>
      <c r="O825" s="209" t="s">
        <v>105</v>
      </c>
      <c r="P825" s="213">
        <v>44896.31386574074</v>
      </c>
      <c r="Q825" s="209"/>
      <c r="R825" s="209">
        <v>3</v>
      </c>
      <c r="S825" s="209"/>
      <c r="T825" s="209" t="s">
        <v>646</v>
      </c>
      <c r="U825" s="213">
        <v>44897.31386574074</v>
      </c>
      <c r="V825" s="209" t="s">
        <v>41</v>
      </c>
      <c r="W825" s="209" t="s">
        <v>49</v>
      </c>
      <c r="X825" s="13" t="str">
        <f>IF(RIGHT(H825,2)&lt;&gt;"00",H825,"")</f>
        <v/>
      </c>
      <c r="Y825" s="26">
        <f ca="1">NETWORKDAYS(P825,$Y$1)</f>
        <v>65</v>
      </c>
      <c r="Z825" s="34">
        <v>1</v>
      </c>
      <c r="AA825" s="25" t="str">
        <f t="shared" ca="1" si="63"/>
        <v>A VENCER</v>
      </c>
      <c r="AB825" s="25" t="str">
        <f t="shared" si="66"/>
        <v>C-14</v>
      </c>
      <c r="AC825" s="2" t="str">
        <f t="shared" si="65"/>
        <v xml:space="preserve"> CLEITON </v>
      </c>
      <c r="AD825" s="26">
        <f t="shared" si="67"/>
        <v>5</v>
      </c>
      <c r="AE825" s="26">
        <f t="shared" ca="1" si="64"/>
        <v>90.362405902778846</v>
      </c>
      <c r="AF825" s="35"/>
    </row>
    <row r="826" spans="1:32" hidden="1">
      <c r="A826" s="209">
        <v>9123507</v>
      </c>
      <c r="B826" s="209" t="s">
        <v>101</v>
      </c>
      <c r="C826" s="210" t="s">
        <v>643</v>
      </c>
      <c r="D826" s="214">
        <v>220193316</v>
      </c>
      <c r="E826" s="214">
        <v>1363001400010</v>
      </c>
      <c r="F826" s="209" t="s">
        <v>936</v>
      </c>
      <c r="G826" s="209" t="s">
        <v>53</v>
      </c>
      <c r="H826" s="209" t="s">
        <v>108</v>
      </c>
      <c r="I826" s="209" t="s">
        <v>109</v>
      </c>
      <c r="J826" s="209" t="s">
        <v>110</v>
      </c>
      <c r="K826" s="210" t="s">
        <v>937</v>
      </c>
      <c r="L826" s="210"/>
      <c r="M826" s="209" t="s">
        <v>58</v>
      </c>
      <c r="N826" s="209">
        <v>0</v>
      </c>
      <c r="O826" s="209" t="s">
        <v>105</v>
      </c>
      <c r="P826" s="213">
        <v>44896.31077546296</v>
      </c>
      <c r="Q826" s="209"/>
      <c r="R826" s="209">
        <v>3</v>
      </c>
      <c r="S826" s="209"/>
      <c r="T826" s="209" t="s">
        <v>646</v>
      </c>
      <c r="U826" s="213">
        <v>44897.31077546296</v>
      </c>
      <c r="V826" s="209" t="s">
        <v>41</v>
      </c>
      <c r="W826" s="209" t="s">
        <v>49</v>
      </c>
      <c r="X826" s="13" t="str">
        <f>IF(RIGHT(H826,2)&lt;&gt;"00",H826,"")</f>
        <v/>
      </c>
      <c r="Y826" s="26">
        <f ca="1">NETWORKDAYS(P826,$Y$1)</f>
        <v>65</v>
      </c>
      <c r="Z826" s="34">
        <v>1</v>
      </c>
      <c r="AA826" s="25" t="str">
        <f t="shared" ca="1" si="63"/>
        <v>A VENCER</v>
      </c>
      <c r="AB826" s="25" t="str">
        <f t="shared" si="66"/>
        <v>C-14</v>
      </c>
      <c r="AC826" s="2" t="str">
        <f t="shared" si="65"/>
        <v xml:space="preserve"> CRISTINA </v>
      </c>
      <c r="AD826" s="26">
        <f t="shared" si="67"/>
        <v>5</v>
      </c>
      <c r="AE826" s="26">
        <f t="shared" ca="1" si="64"/>
        <v>90.365496180558694</v>
      </c>
      <c r="AF826" s="35"/>
    </row>
    <row r="827" spans="1:32" hidden="1">
      <c r="A827" s="209">
        <v>9123506</v>
      </c>
      <c r="B827" s="209" t="s">
        <v>101</v>
      </c>
      <c r="C827" s="210" t="s">
        <v>643</v>
      </c>
      <c r="D827" s="214">
        <v>220193315</v>
      </c>
      <c r="E827" s="214">
        <v>1362001400010</v>
      </c>
      <c r="F827" s="209" t="s">
        <v>936</v>
      </c>
      <c r="G827" s="209" t="s">
        <v>53</v>
      </c>
      <c r="H827" s="209" t="s">
        <v>268</v>
      </c>
      <c r="I827" s="209" t="s">
        <v>269</v>
      </c>
      <c r="J827" s="209" t="s">
        <v>90</v>
      </c>
      <c r="K827" s="210" t="s">
        <v>937</v>
      </c>
      <c r="L827" s="210"/>
      <c r="M827" s="209" t="s">
        <v>58</v>
      </c>
      <c r="N827" s="209">
        <v>0</v>
      </c>
      <c r="O827" s="209" t="s">
        <v>105</v>
      </c>
      <c r="P827" s="213">
        <v>44896.310717592591</v>
      </c>
      <c r="Q827" s="209"/>
      <c r="R827" s="209">
        <v>3</v>
      </c>
      <c r="S827" s="209"/>
      <c r="T827" s="209" t="s">
        <v>646</v>
      </c>
      <c r="U827" s="213">
        <v>44897.310717592591</v>
      </c>
      <c r="V827" s="209" t="s">
        <v>41</v>
      </c>
      <c r="W827" s="209" t="s">
        <v>49</v>
      </c>
      <c r="X827" s="13" t="str">
        <f>IF(RIGHT(H827,2)&lt;&gt;"00",H827,"")</f>
        <v/>
      </c>
      <c r="Y827" s="26">
        <f ca="1">NETWORKDAYS(P827,$Y$1)</f>
        <v>65</v>
      </c>
      <c r="Z827" s="34">
        <v>1</v>
      </c>
      <c r="AA827" s="25" t="str">
        <f t="shared" ca="1" si="63"/>
        <v>A VENCER</v>
      </c>
      <c r="AB827" s="25" t="str">
        <f t="shared" si="66"/>
        <v>C-14</v>
      </c>
      <c r="AC827" s="2" t="str">
        <f t="shared" si="65"/>
        <v xml:space="preserve"> RINALDO </v>
      </c>
      <c r="AD827" s="26">
        <f t="shared" si="67"/>
        <v>5</v>
      </c>
      <c r="AE827" s="26">
        <f t="shared" ca="1" si="64"/>
        <v>90.36555405092804</v>
      </c>
      <c r="AF827" s="35"/>
    </row>
    <row r="828" spans="1:32" hidden="1">
      <c r="A828" s="209">
        <v>9123505</v>
      </c>
      <c r="B828" s="209" t="s">
        <v>101</v>
      </c>
      <c r="C828" s="210" t="s">
        <v>643</v>
      </c>
      <c r="D828" s="214">
        <v>220193314</v>
      </c>
      <c r="E828" s="214">
        <v>1360001400010</v>
      </c>
      <c r="F828" s="209" t="s">
        <v>936</v>
      </c>
      <c r="G828" s="209" t="s">
        <v>53</v>
      </c>
      <c r="H828" s="209" t="s">
        <v>303</v>
      </c>
      <c r="I828" s="209" t="s">
        <v>304</v>
      </c>
      <c r="J828" s="209" t="s">
        <v>261</v>
      </c>
      <c r="K828" s="210" t="s">
        <v>937</v>
      </c>
      <c r="L828" s="210"/>
      <c r="M828" s="209" t="s">
        <v>58</v>
      </c>
      <c r="N828" s="209">
        <v>0</v>
      </c>
      <c r="O828" s="209" t="s">
        <v>105</v>
      </c>
      <c r="P828" s="213">
        <v>44896.310659722221</v>
      </c>
      <c r="Q828" s="209"/>
      <c r="R828" s="209">
        <v>3</v>
      </c>
      <c r="S828" s="209"/>
      <c r="T828" s="209" t="s">
        <v>646</v>
      </c>
      <c r="U828" s="213">
        <v>44897.310659722221</v>
      </c>
      <c r="V828" s="209" t="s">
        <v>41</v>
      </c>
      <c r="W828" s="209" t="s">
        <v>49</v>
      </c>
      <c r="X828" s="13" t="str">
        <f>IF(RIGHT(H828,2)&lt;&gt;"00",H828,"")</f>
        <v/>
      </c>
      <c r="Y828" s="26">
        <f ca="1">NETWORKDAYS(P828,$Y$1)</f>
        <v>65</v>
      </c>
      <c r="Z828" s="34">
        <v>1</v>
      </c>
      <c r="AA828" s="25" t="str">
        <f t="shared" ca="1" si="63"/>
        <v>A VENCER</v>
      </c>
      <c r="AB828" s="25" t="str">
        <f t="shared" si="66"/>
        <v>C-14</v>
      </c>
      <c r="AC828" s="2" t="str">
        <f t="shared" si="65"/>
        <v xml:space="preserve"> CRISTINA </v>
      </c>
      <c r="AD828" s="26">
        <f t="shared" si="67"/>
        <v>5</v>
      </c>
      <c r="AE828" s="26">
        <f t="shared" ca="1" si="64"/>
        <v>90.365611921297386</v>
      </c>
      <c r="AF828" s="35"/>
    </row>
    <row r="829" spans="1:32" hidden="1">
      <c r="A829" s="209">
        <v>9123504</v>
      </c>
      <c r="B829" s="209" t="s">
        <v>101</v>
      </c>
      <c r="C829" s="210" t="s">
        <v>643</v>
      </c>
      <c r="D829" s="214">
        <v>220193313</v>
      </c>
      <c r="E829" s="214">
        <v>1359001400010</v>
      </c>
      <c r="F829" s="209" t="s">
        <v>936</v>
      </c>
      <c r="G829" s="209" t="s">
        <v>53</v>
      </c>
      <c r="H829" s="209" t="s">
        <v>270</v>
      </c>
      <c r="I829" s="209" t="s">
        <v>271</v>
      </c>
      <c r="J829" s="209" t="s">
        <v>141</v>
      </c>
      <c r="K829" s="210" t="s">
        <v>937</v>
      </c>
      <c r="L829" s="210"/>
      <c r="M829" s="209" t="s">
        <v>58</v>
      </c>
      <c r="N829" s="209">
        <v>0</v>
      </c>
      <c r="O829" s="209" t="s">
        <v>105</v>
      </c>
      <c r="P829" s="213">
        <v>44896.310601851852</v>
      </c>
      <c r="Q829" s="209"/>
      <c r="R829" s="209">
        <v>3</v>
      </c>
      <c r="S829" s="209"/>
      <c r="T829" s="209" t="s">
        <v>646</v>
      </c>
      <c r="U829" s="213">
        <v>44897.310601851852</v>
      </c>
      <c r="V829" s="209" t="s">
        <v>41</v>
      </c>
      <c r="W829" s="209" t="s">
        <v>49</v>
      </c>
      <c r="X829" s="13" t="str">
        <f>IF(RIGHT(H829,2)&lt;&gt;"00",H829,"")</f>
        <v/>
      </c>
      <c r="Y829" s="26">
        <f ca="1">NETWORKDAYS(P829,$Y$1)</f>
        <v>65</v>
      </c>
      <c r="Z829" s="34">
        <v>1</v>
      </c>
      <c r="AA829" s="25" t="str">
        <f t="shared" ca="1" si="63"/>
        <v>A VENCER</v>
      </c>
      <c r="AB829" s="25" t="str">
        <f t="shared" si="66"/>
        <v>C-14</v>
      </c>
      <c r="AC829" s="2" t="str">
        <f t="shared" si="65"/>
        <v xml:space="preserve"> CRISTINA </v>
      </c>
      <c r="AD829" s="26">
        <f t="shared" si="67"/>
        <v>5</v>
      </c>
      <c r="AE829" s="26">
        <f t="shared" ca="1" si="64"/>
        <v>90.365669791666733</v>
      </c>
      <c r="AF829" s="35"/>
    </row>
    <row r="830" spans="1:32" hidden="1">
      <c r="A830" s="209">
        <v>9123455</v>
      </c>
      <c r="B830" s="209" t="s">
        <v>101</v>
      </c>
      <c r="C830" s="210" t="s">
        <v>643</v>
      </c>
      <c r="D830" s="214">
        <v>220193276</v>
      </c>
      <c r="E830" s="214">
        <v>1291001400010</v>
      </c>
      <c r="F830" s="209" t="s">
        <v>936</v>
      </c>
      <c r="G830" s="209" t="s">
        <v>53</v>
      </c>
      <c r="H830" s="209" t="s">
        <v>136</v>
      </c>
      <c r="I830" s="209" t="s">
        <v>137</v>
      </c>
      <c r="J830" s="209" t="s">
        <v>33</v>
      </c>
      <c r="K830" s="210" t="s">
        <v>937</v>
      </c>
      <c r="L830" s="210"/>
      <c r="M830" s="209" t="s">
        <v>58</v>
      </c>
      <c r="N830" s="209">
        <v>0</v>
      </c>
      <c r="O830" s="209" t="s">
        <v>105</v>
      </c>
      <c r="P830" s="213">
        <v>44896.308368055557</v>
      </c>
      <c r="Q830" s="209"/>
      <c r="R830" s="209">
        <v>3</v>
      </c>
      <c r="S830" s="209"/>
      <c r="T830" s="209" t="s">
        <v>646</v>
      </c>
      <c r="U830" s="213">
        <v>44897.308368055557</v>
      </c>
      <c r="V830" s="209" t="s">
        <v>41</v>
      </c>
      <c r="W830" s="209" t="s">
        <v>42</v>
      </c>
      <c r="X830" s="13" t="str">
        <f>IF(RIGHT(H830,2)&lt;&gt;"00",H830,"")</f>
        <v/>
      </c>
      <c r="Y830" s="26">
        <f ca="1">NETWORKDAYS(P830,$Y$1)</f>
        <v>65</v>
      </c>
      <c r="Z830" s="34">
        <v>1</v>
      </c>
      <c r="AA830" s="25" t="str">
        <f t="shared" ca="1" si="63"/>
        <v>A VENCER</v>
      </c>
      <c r="AB830" s="25" t="str">
        <f t="shared" si="66"/>
        <v>C-14</v>
      </c>
      <c r="AC830" s="2" t="str">
        <f t="shared" si="65"/>
        <v xml:space="preserve"> ROSEMERE </v>
      </c>
      <c r="AD830" s="26">
        <f t="shared" si="67"/>
        <v>5</v>
      </c>
      <c r="AE830" s="26">
        <f t="shared" ca="1" si="64"/>
        <v>90.367903587961337</v>
      </c>
      <c r="AF830" s="35"/>
    </row>
    <row r="831" spans="1:32" hidden="1">
      <c r="A831" s="209">
        <v>9123430</v>
      </c>
      <c r="B831" s="209" t="s">
        <v>101</v>
      </c>
      <c r="C831" s="210" t="s">
        <v>643</v>
      </c>
      <c r="D831" s="214">
        <v>220193099</v>
      </c>
      <c r="E831" s="214">
        <v>922001400010</v>
      </c>
      <c r="F831" s="209" t="s">
        <v>936</v>
      </c>
      <c r="G831" s="209" t="s">
        <v>53</v>
      </c>
      <c r="H831" s="209" t="s">
        <v>1375</v>
      </c>
      <c r="I831" s="209" t="s">
        <v>1376</v>
      </c>
      <c r="J831" s="209" t="s">
        <v>261</v>
      </c>
      <c r="K831" s="210" t="s">
        <v>937</v>
      </c>
      <c r="L831" s="210"/>
      <c r="M831" s="209" t="s">
        <v>58</v>
      </c>
      <c r="N831" s="209">
        <v>0</v>
      </c>
      <c r="O831" s="209" t="s">
        <v>105</v>
      </c>
      <c r="P831" s="213">
        <v>44896.303182870368</v>
      </c>
      <c r="Q831" s="209"/>
      <c r="R831" s="209">
        <v>3</v>
      </c>
      <c r="S831" s="209"/>
      <c r="T831" s="209" t="s">
        <v>646</v>
      </c>
      <c r="U831" s="213">
        <v>44897.303182870368</v>
      </c>
      <c r="V831" s="209" t="s">
        <v>41</v>
      </c>
      <c r="W831" s="209" t="s">
        <v>49</v>
      </c>
      <c r="X831" s="13" t="str">
        <f>IF(RIGHT(H831,2)&lt;&gt;"00",H831,"")</f>
        <v/>
      </c>
      <c r="Y831" s="26">
        <f ca="1">NETWORKDAYS(P831,$Y$1)</f>
        <v>65</v>
      </c>
      <c r="Z831" s="34">
        <v>1</v>
      </c>
      <c r="AA831" s="25" t="str">
        <f t="shared" ca="1" si="63"/>
        <v>A VENCER</v>
      </c>
      <c r="AB831" s="25" t="str">
        <f t="shared" si="66"/>
        <v>C-14</v>
      </c>
      <c r="AC831" s="2" t="str">
        <f t="shared" si="65"/>
        <v xml:space="preserve"> CRISTINA </v>
      </c>
      <c r="AD831" s="26">
        <f t="shared" si="67"/>
        <v>5</v>
      </c>
      <c r="AE831" s="26">
        <f t="shared" ca="1" si="64"/>
        <v>90.373088773150812</v>
      </c>
      <c r="AF831" s="35"/>
    </row>
    <row r="832" spans="1:32" hidden="1">
      <c r="A832" s="209">
        <v>9123424</v>
      </c>
      <c r="B832" s="209" t="s">
        <v>101</v>
      </c>
      <c r="C832" s="210" t="s">
        <v>643</v>
      </c>
      <c r="D832" s="214">
        <v>220193097</v>
      </c>
      <c r="E832" s="214">
        <v>917001400010</v>
      </c>
      <c r="F832" s="209" t="s">
        <v>936</v>
      </c>
      <c r="G832" s="209" t="s">
        <v>53</v>
      </c>
      <c r="H832" s="209" t="s">
        <v>83</v>
      </c>
      <c r="I832" s="209" t="s">
        <v>84</v>
      </c>
      <c r="J832" s="209" t="s">
        <v>85</v>
      </c>
      <c r="K832" s="210" t="s">
        <v>937</v>
      </c>
      <c r="L832" s="210"/>
      <c r="M832" s="209" t="s">
        <v>58</v>
      </c>
      <c r="N832" s="209">
        <v>0</v>
      </c>
      <c r="O832" s="209" t="s">
        <v>105</v>
      </c>
      <c r="P832" s="213">
        <v>44896.303067129629</v>
      </c>
      <c r="Q832" s="209"/>
      <c r="R832" s="209">
        <v>3</v>
      </c>
      <c r="S832" s="209"/>
      <c r="T832" s="209" t="s">
        <v>646</v>
      </c>
      <c r="U832" s="213">
        <v>44897.303067129629</v>
      </c>
      <c r="V832" s="209" t="s">
        <v>41</v>
      </c>
      <c r="W832" s="209" t="s">
        <v>49</v>
      </c>
      <c r="X832" s="13" t="str">
        <f>IF(RIGHT(H832,2)&lt;&gt;"00",H832,"")</f>
        <v/>
      </c>
      <c r="Y832" s="26">
        <f ca="1">NETWORKDAYS(P832,$Y$1)</f>
        <v>65</v>
      </c>
      <c r="Z832" s="34">
        <v>1</v>
      </c>
      <c r="AA832" s="25" t="str">
        <f t="shared" ca="1" si="63"/>
        <v>A VENCER</v>
      </c>
      <c r="AB832" s="25" t="str">
        <f t="shared" si="66"/>
        <v>C-14</v>
      </c>
      <c r="AC832" s="2" t="str">
        <f t="shared" si="65"/>
        <v xml:space="preserve"> RINALDO </v>
      </c>
      <c r="AD832" s="26">
        <f t="shared" si="67"/>
        <v>5</v>
      </c>
      <c r="AE832" s="26">
        <f t="shared" ca="1" si="64"/>
        <v>90.373204513889505</v>
      </c>
      <c r="AF832" s="35"/>
    </row>
    <row r="833" spans="1:32" hidden="1">
      <c r="A833" s="209">
        <v>9123416</v>
      </c>
      <c r="B833" s="209" t="s">
        <v>101</v>
      </c>
      <c r="C833" s="210" t="s">
        <v>643</v>
      </c>
      <c r="D833" s="214">
        <v>220193110</v>
      </c>
      <c r="E833" s="214">
        <v>934001400010</v>
      </c>
      <c r="F833" s="209" t="s">
        <v>936</v>
      </c>
      <c r="G833" s="209" t="s">
        <v>53</v>
      </c>
      <c r="H833" s="209" t="s">
        <v>428</v>
      </c>
      <c r="I833" s="209" t="s">
        <v>429</v>
      </c>
      <c r="J833" s="209" t="s">
        <v>46</v>
      </c>
      <c r="K833" s="210" t="s">
        <v>937</v>
      </c>
      <c r="L833" s="210"/>
      <c r="M833" s="209" t="s">
        <v>58</v>
      </c>
      <c r="N833" s="209">
        <v>0</v>
      </c>
      <c r="O833" s="209" t="s">
        <v>105</v>
      </c>
      <c r="P833" s="213">
        <v>44896.302604166667</v>
      </c>
      <c r="Q833" s="209"/>
      <c r="R833" s="209">
        <v>3</v>
      </c>
      <c r="S833" s="209"/>
      <c r="T833" s="209" t="s">
        <v>646</v>
      </c>
      <c r="U833" s="213">
        <v>44897.302604166667</v>
      </c>
      <c r="V833" s="209" t="s">
        <v>41</v>
      </c>
      <c r="W833" s="209" t="s">
        <v>49</v>
      </c>
      <c r="X833" s="13" t="str">
        <f>IF(RIGHT(H833,2)&lt;&gt;"00",H833,"")</f>
        <v/>
      </c>
      <c r="Y833" s="26">
        <f ca="1">NETWORKDAYS(P833,$Y$1)</f>
        <v>65</v>
      </c>
      <c r="Z833" s="34">
        <v>1</v>
      </c>
      <c r="AA833" s="25" t="str">
        <f t="shared" ca="1" si="63"/>
        <v>A VENCER</v>
      </c>
      <c r="AB833" s="25" t="str">
        <f t="shared" si="66"/>
        <v>C-14</v>
      </c>
      <c r="AC833" s="2" t="str">
        <f t="shared" si="65"/>
        <v xml:space="preserve"> CLEITON </v>
      </c>
      <c r="AD833" s="26">
        <f t="shared" si="67"/>
        <v>5</v>
      </c>
      <c r="AE833" s="26">
        <f t="shared" ca="1" si="64"/>
        <v>90.373667476851551</v>
      </c>
      <c r="AF833" s="35"/>
    </row>
    <row r="834" spans="1:32" hidden="1">
      <c r="A834" s="209">
        <v>9123392</v>
      </c>
      <c r="B834" s="209" t="s">
        <v>101</v>
      </c>
      <c r="C834" s="210" t="s">
        <v>643</v>
      </c>
      <c r="D834" s="214">
        <v>220193089</v>
      </c>
      <c r="E834" s="214">
        <v>899001400010</v>
      </c>
      <c r="F834" s="209" t="s">
        <v>936</v>
      </c>
      <c r="G834" s="209" t="s">
        <v>53</v>
      </c>
      <c r="H834" s="209" t="s">
        <v>175</v>
      </c>
      <c r="I834" s="209" t="s">
        <v>176</v>
      </c>
      <c r="J834" s="209" t="s">
        <v>90</v>
      </c>
      <c r="K834" s="210" t="s">
        <v>937</v>
      </c>
      <c r="L834" s="210"/>
      <c r="M834" s="209" t="s">
        <v>58</v>
      </c>
      <c r="N834" s="209">
        <v>0</v>
      </c>
      <c r="O834" s="209" t="s">
        <v>36</v>
      </c>
      <c r="P834" s="213">
        <v>44896.301493055558</v>
      </c>
      <c r="Q834" s="209"/>
      <c r="R834" s="209">
        <v>3</v>
      </c>
      <c r="S834" s="209"/>
      <c r="T834" s="209" t="s">
        <v>646</v>
      </c>
      <c r="U834" s="213">
        <v>44897.301493055558</v>
      </c>
      <c r="V834" s="209" t="s">
        <v>41</v>
      </c>
      <c r="W834" s="209" t="s">
        <v>49</v>
      </c>
      <c r="X834" s="13" t="str">
        <f>IF(RIGHT(H834,2)&lt;&gt;"00",H834,"")</f>
        <v/>
      </c>
      <c r="Y834" s="26">
        <f ca="1">NETWORKDAYS(P834,$Y$1)</f>
        <v>65</v>
      </c>
      <c r="Z834" s="34">
        <v>1</v>
      </c>
      <c r="AA834" s="25" t="str">
        <f t="shared" ref="AA834:AA897" ca="1" si="68">IF(AE834=0,"HOJE",IF(AE834&gt;0,"A VENCER",IF(AE834&lt;0,"VENCIDO")))</f>
        <v>A VENCER</v>
      </c>
      <c r="AB834" s="25" t="str">
        <f t="shared" si="66"/>
        <v>C-14</v>
      </c>
      <c r="AC834" s="2" t="str">
        <f t="shared" si="65"/>
        <v xml:space="preserve"> RINALDO </v>
      </c>
      <c r="AD834" s="26">
        <f t="shared" si="67"/>
        <v>5</v>
      </c>
      <c r="AE834" s="26">
        <f t="shared" ref="AE834:AE897" ca="1" si="69">IF(P834=$AE$1,"",$AE$1-P834)</f>
        <v>90.374778587960463</v>
      </c>
      <c r="AF834" s="35"/>
    </row>
    <row r="835" spans="1:32" hidden="1">
      <c r="A835" s="209">
        <v>9123373</v>
      </c>
      <c r="B835" s="209" t="s">
        <v>101</v>
      </c>
      <c r="C835" s="210" t="s">
        <v>643</v>
      </c>
      <c r="D835" s="214">
        <v>220193054</v>
      </c>
      <c r="E835" s="214">
        <v>834001400010</v>
      </c>
      <c r="F835" s="209" t="s">
        <v>936</v>
      </c>
      <c r="G835" s="209" t="s">
        <v>53</v>
      </c>
      <c r="H835" s="209" t="s">
        <v>367</v>
      </c>
      <c r="I835" s="209" t="s">
        <v>368</v>
      </c>
      <c r="J835" s="209" t="s">
        <v>261</v>
      </c>
      <c r="K835" s="210" t="s">
        <v>937</v>
      </c>
      <c r="L835" s="210"/>
      <c r="M835" s="209" t="s">
        <v>58</v>
      </c>
      <c r="N835" s="209">
        <v>0</v>
      </c>
      <c r="O835" s="209" t="s">
        <v>105</v>
      </c>
      <c r="P835" s="213">
        <v>44896.300370370373</v>
      </c>
      <c r="Q835" s="209"/>
      <c r="R835" s="209">
        <v>3</v>
      </c>
      <c r="S835" s="209"/>
      <c r="T835" s="209" t="s">
        <v>646</v>
      </c>
      <c r="U835" s="213">
        <v>44897.300381944442</v>
      </c>
      <c r="V835" s="209" t="s">
        <v>41</v>
      </c>
      <c r="W835" s="209" t="s">
        <v>49</v>
      </c>
      <c r="X835" s="13" t="str">
        <f>IF(RIGHT(H835,2)&lt;&gt;"00",H835,"")</f>
        <v/>
      </c>
      <c r="Y835" s="26">
        <f ca="1">NETWORKDAYS(P835,$Y$1)</f>
        <v>65</v>
      </c>
      <c r="Z835" s="34">
        <v>1</v>
      </c>
      <c r="AA835" s="25" t="str">
        <f t="shared" ca="1" si="68"/>
        <v>A VENCER</v>
      </c>
      <c r="AB835" s="25" t="str">
        <f t="shared" si="66"/>
        <v>C-14</v>
      </c>
      <c r="AC835" s="2" t="str">
        <f t="shared" ref="AC835:AC898" si="70">IF(J835="TR-PETROLINA"," ROSEMERE ",IF(J835="TR-GARANHUNS"," ROSEMERE ",IF(J835="TR-CARUARU"," ROSEMERE ",IF(J835="TR-RIBEIRAO"," CRISTINA ",IF(J835="TR-GRAVATA"," CRISTINA ",IF(J835="TR-GOIANA"," CRISTINA ",IF(J835="TR-LIMOEIRO"," CRISTINA ",IF(J835="TR-SERRA TALHADA"," RINALDO ",IF(J835="TR-SALGUEIRO"," RINALDO ",IF(J835="TR-CARNAIBA"," RINALDO ",IF(J835="TR-ARCOVERDE"," RINALDO ",IF(J835="CAT-RECIFE"," CLEITON ",))))))))))))</f>
        <v xml:space="preserve"> CRISTINA </v>
      </c>
      <c r="AD835" s="26">
        <f t="shared" si="67"/>
        <v>5</v>
      </c>
      <c r="AE835" s="26">
        <f t="shared" ca="1" si="69"/>
        <v>90.375901273146155</v>
      </c>
      <c r="AF835" s="35"/>
    </row>
    <row r="836" spans="1:32" hidden="1">
      <c r="A836" s="209">
        <v>9123368</v>
      </c>
      <c r="B836" s="209" t="s">
        <v>101</v>
      </c>
      <c r="C836" s="210" t="s">
        <v>643</v>
      </c>
      <c r="D836" s="214">
        <v>220193049</v>
      </c>
      <c r="E836" s="214">
        <v>821001400010</v>
      </c>
      <c r="F836" s="209" t="s">
        <v>936</v>
      </c>
      <c r="G836" s="209" t="s">
        <v>53</v>
      </c>
      <c r="H836" s="209" t="s">
        <v>1351</v>
      </c>
      <c r="I836" s="209" t="s">
        <v>1352</v>
      </c>
      <c r="J836" s="209" t="s">
        <v>46</v>
      </c>
      <c r="K836" s="210" t="s">
        <v>937</v>
      </c>
      <c r="L836" s="210"/>
      <c r="M836" s="209" t="s">
        <v>58</v>
      </c>
      <c r="N836" s="209">
        <v>0</v>
      </c>
      <c r="O836" s="209" t="s">
        <v>105</v>
      </c>
      <c r="P836" s="213">
        <v>44896.300046296295</v>
      </c>
      <c r="Q836" s="209"/>
      <c r="R836" s="209">
        <v>3</v>
      </c>
      <c r="S836" s="209"/>
      <c r="T836" s="209" t="s">
        <v>646</v>
      </c>
      <c r="U836" s="213">
        <v>44897.300057870372</v>
      </c>
      <c r="V836" s="209" t="s">
        <v>41</v>
      </c>
      <c r="W836" s="209" t="s">
        <v>49</v>
      </c>
      <c r="X836" s="13" t="str">
        <f>IF(RIGHT(H836,2)&lt;&gt;"00",H836,"")</f>
        <v/>
      </c>
      <c r="Y836" s="26">
        <f ca="1">NETWORKDAYS(P836,$Y$1)</f>
        <v>65</v>
      </c>
      <c r="Z836" s="34">
        <v>1</v>
      </c>
      <c r="AA836" s="25" t="str">
        <f t="shared" ca="1" si="68"/>
        <v>A VENCER</v>
      </c>
      <c r="AB836" s="25" t="str">
        <f t="shared" si="66"/>
        <v>C-14</v>
      </c>
      <c r="AC836" s="2" t="str">
        <f t="shared" si="70"/>
        <v xml:space="preserve"> CLEITON </v>
      </c>
      <c r="AD836" s="26">
        <f t="shared" si="67"/>
        <v>5</v>
      </c>
      <c r="AE836" s="26">
        <f t="shared" ca="1" si="69"/>
        <v>90.376225347223226</v>
      </c>
      <c r="AF836" s="35"/>
    </row>
    <row r="837" spans="1:32" hidden="1">
      <c r="A837" s="209">
        <v>9123299</v>
      </c>
      <c r="B837" s="209" t="s">
        <v>101</v>
      </c>
      <c r="C837" s="210" t="s">
        <v>643</v>
      </c>
      <c r="D837" s="214">
        <v>220192827</v>
      </c>
      <c r="E837" s="214">
        <v>446001400010</v>
      </c>
      <c r="F837" s="209" t="s">
        <v>936</v>
      </c>
      <c r="G837" s="209" t="s">
        <v>53</v>
      </c>
      <c r="H837" s="209" t="s">
        <v>432</v>
      </c>
      <c r="I837" s="209" t="s">
        <v>433</v>
      </c>
      <c r="J837" s="209" t="s">
        <v>110</v>
      </c>
      <c r="K837" s="210" t="s">
        <v>937</v>
      </c>
      <c r="L837" s="210"/>
      <c r="M837" s="209" t="s">
        <v>58</v>
      </c>
      <c r="N837" s="209">
        <v>0</v>
      </c>
      <c r="O837" s="209" t="s">
        <v>36</v>
      </c>
      <c r="P837" s="213">
        <v>44896.296458333331</v>
      </c>
      <c r="Q837" s="209"/>
      <c r="R837" s="209">
        <v>3</v>
      </c>
      <c r="S837" s="209"/>
      <c r="T837" s="209" t="s">
        <v>646</v>
      </c>
      <c r="U837" s="213">
        <v>44897.296458333331</v>
      </c>
      <c r="V837" s="209" t="s">
        <v>41</v>
      </c>
      <c r="W837" s="209" t="s">
        <v>49</v>
      </c>
      <c r="X837" s="13" t="str">
        <f>IF(RIGHT(H837,2)&lt;&gt;"00",H837,"")</f>
        <v/>
      </c>
      <c r="Y837" s="26">
        <f ca="1">NETWORKDAYS(P837,$Y$1)</f>
        <v>65</v>
      </c>
      <c r="Z837" s="34">
        <v>1</v>
      </c>
      <c r="AA837" s="25" t="str">
        <f t="shared" ca="1" si="68"/>
        <v>A VENCER</v>
      </c>
      <c r="AB837" s="25" t="str">
        <f t="shared" si="66"/>
        <v>C-14</v>
      </c>
      <c r="AC837" s="2" t="str">
        <f t="shared" si="70"/>
        <v xml:space="preserve"> CRISTINA </v>
      </c>
      <c r="AD837" s="26">
        <f t="shared" si="67"/>
        <v>5</v>
      </c>
      <c r="AE837" s="26">
        <f t="shared" ca="1" si="69"/>
        <v>90.379813310188183</v>
      </c>
      <c r="AF837" s="35"/>
    </row>
    <row r="838" spans="1:32" hidden="1">
      <c r="A838" s="209">
        <v>9123248</v>
      </c>
      <c r="B838" s="209" t="s">
        <v>101</v>
      </c>
      <c r="C838" s="210" t="s">
        <v>643</v>
      </c>
      <c r="D838" s="214">
        <v>220192887</v>
      </c>
      <c r="E838" s="214">
        <v>550001400010</v>
      </c>
      <c r="F838" s="209" t="s">
        <v>936</v>
      </c>
      <c r="G838" s="209" t="s">
        <v>53</v>
      </c>
      <c r="H838" s="209" t="s">
        <v>337</v>
      </c>
      <c r="I838" s="209" t="s">
        <v>338</v>
      </c>
      <c r="J838" s="209" t="s">
        <v>164</v>
      </c>
      <c r="K838" s="210" t="s">
        <v>937</v>
      </c>
      <c r="L838" s="210"/>
      <c r="M838" s="209" t="s">
        <v>58</v>
      </c>
      <c r="N838" s="209">
        <v>0</v>
      </c>
      <c r="O838" s="209" t="s">
        <v>105</v>
      </c>
      <c r="P838" s="213">
        <v>44896.294189814813</v>
      </c>
      <c r="Q838" s="209"/>
      <c r="R838" s="209">
        <v>3</v>
      </c>
      <c r="S838" s="209"/>
      <c r="T838" s="209" t="s">
        <v>646</v>
      </c>
      <c r="U838" s="213">
        <v>44897.294189814813</v>
      </c>
      <c r="V838" s="209" t="s">
        <v>41</v>
      </c>
      <c r="W838" s="209" t="s">
        <v>49</v>
      </c>
      <c r="X838" s="13" t="str">
        <f>IF(RIGHT(H838,2)&lt;&gt;"00",H838,"")</f>
        <v/>
      </c>
      <c r="Y838" s="26">
        <f ca="1">NETWORKDAYS(P838,$Y$1)</f>
        <v>65</v>
      </c>
      <c r="Z838" s="34">
        <v>1</v>
      </c>
      <c r="AA838" s="25" t="str">
        <f t="shared" ca="1" si="68"/>
        <v>A VENCER</v>
      </c>
      <c r="AB838" s="25" t="str">
        <f t="shared" si="66"/>
        <v>C-14</v>
      </c>
      <c r="AC838" s="2" t="str">
        <f t="shared" si="70"/>
        <v xml:space="preserve"> ROSEMERE </v>
      </c>
      <c r="AD838" s="26">
        <f t="shared" si="67"/>
        <v>5</v>
      </c>
      <c r="AE838" s="26">
        <f t="shared" ca="1" si="69"/>
        <v>90.38208182870585</v>
      </c>
      <c r="AF838" s="35"/>
    </row>
    <row r="839" spans="1:32" hidden="1">
      <c r="A839" s="209">
        <v>9123242</v>
      </c>
      <c r="B839" s="209" t="s">
        <v>101</v>
      </c>
      <c r="C839" s="210" t="s">
        <v>643</v>
      </c>
      <c r="D839" s="214">
        <v>220192881</v>
      </c>
      <c r="E839" s="214">
        <v>537001400010</v>
      </c>
      <c r="F839" s="209" t="s">
        <v>936</v>
      </c>
      <c r="G839" s="209" t="s">
        <v>53</v>
      </c>
      <c r="H839" s="209" t="s">
        <v>442</v>
      </c>
      <c r="I839" s="209" t="s">
        <v>443</v>
      </c>
      <c r="J839" s="209" t="s">
        <v>79</v>
      </c>
      <c r="K839" s="210" t="s">
        <v>937</v>
      </c>
      <c r="L839" s="210"/>
      <c r="M839" s="209" t="s">
        <v>58</v>
      </c>
      <c r="N839" s="209">
        <v>0</v>
      </c>
      <c r="O839" s="209" t="s">
        <v>105</v>
      </c>
      <c r="P839" s="213">
        <v>44896.293796296297</v>
      </c>
      <c r="Q839" s="209"/>
      <c r="R839" s="209">
        <v>3</v>
      </c>
      <c r="S839" s="209"/>
      <c r="T839" s="209" t="s">
        <v>646</v>
      </c>
      <c r="U839" s="213">
        <v>44897.293796296297</v>
      </c>
      <c r="V839" s="209" t="s">
        <v>41</v>
      </c>
      <c r="W839" s="209" t="s">
        <v>49</v>
      </c>
      <c r="X839" s="13" t="str">
        <f>IF(RIGHT(H839,2)&lt;&gt;"00",H839,"")</f>
        <v/>
      </c>
      <c r="Y839" s="26">
        <f ca="1">NETWORKDAYS(P839,$Y$1)</f>
        <v>65</v>
      </c>
      <c r="Z839" s="34">
        <v>1</v>
      </c>
      <c r="AA839" s="25" t="str">
        <f t="shared" ca="1" si="68"/>
        <v>A VENCER</v>
      </c>
      <c r="AB839" s="25" t="str">
        <f t="shared" si="66"/>
        <v>C-14</v>
      </c>
      <c r="AC839" s="2" t="str">
        <f t="shared" si="70"/>
        <v xml:space="preserve"> ROSEMERE </v>
      </c>
      <c r="AD839" s="26">
        <f t="shared" si="67"/>
        <v>5</v>
      </c>
      <c r="AE839" s="26">
        <f t="shared" ca="1" si="69"/>
        <v>90.382475347221771</v>
      </c>
      <c r="AF839" s="35"/>
    </row>
    <row r="840" spans="1:32" hidden="1">
      <c r="A840" s="209">
        <v>9123204</v>
      </c>
      <c r="B840" s="209" t="s">
        <v>101</v>
      </c>
      <c r="C840" s="210" t="s">
        <v>643</v>
      </c>
      <c r="D840" s="214">
        <v>220192907</v>
      </c>
      <c r="E840" s="214">
        <v>582001400010</v>
      </c>
      <c r="F840" s="209" t="s">
        <v>936</v>
      </c>
      <c r="G840" s="209" t="s">
        <v>53</v>
      </c>
      <c r="H840" s="209" t="s">
        <v>139</v>
      </c>
      <c r="I840" s="209" t="s">
        <v>140</v>
      </c>
      <c r="J840" s="209" t="s">
        <v>141</v>
      </c>
      <c r="K840" s="210" t="s">
        <v>937</v>
      </c>
      <c r="L840" s="210"/>
      <c r="M840" s="209" t="s">
        <v>58</v>
      </c>
      <c r="N840" s="209">
        <v>0</v>
      </c>
      <c r="O840" s="209" t="s">
        <v>105</v>
      </c>
      <c r="P840" s="213">
        <v>44896.292037037034</v>
      </c>
      <c r="Q840" s="209"/>
      <c r="R840" s="209">
        <v>3</v>
      </c>
      <c r="S840" s="209"/>
      <c r="T840" s="209" t="s">
        <v>646</v>
      </c>
      <c r="U840" s="213">
        <v>44897.292037037034</v>
      </c>
      <c r="V840" s="209" t="s">
        <v>41</v>
      </c>
      <c r="W840" s="209" t="s">
        <v>49</v>
      </c>
      <c r="X840" s="13" t="str">
        <f>IF(RIGHT(H840,2)&lt;&gt;"00",H840,"")</f>
        <v/>
      </c>
      <c r="Y840" s="26">
        <f ca="1">NETWORKDAYS(P840,$Y$1)</f>
        <v>65</v>
      </c>
      <c r="Z840" s="34">
        <v>1</v>
      </c>
      <c r="AA840" s="25" t="str">
        <f t="shared" ca="1" si="68"/>
        <v>A VENCER</v>
      </c>
      <c r="AB840" s="25" t="str">
        <f t="shared" si="66"/>
        <v>C-14</v>
      </c>
      <c r="AC840" s="2" t="str">
        <f t="shared" si="70"/>
        <v xml:space="preserve"> CRISTINA </v>
      </c>
      <c r="AD840" s="26">
        <f t="shared" si="67"/>
        <v>5</v>
      </c>
      <c r="AE840" s="26">
        <f t="shared" ca="1" si="69"/>
        <v>90.384234606484824</v>
      </c>
      <c r="AF840" s="35"/>
    </row>
    <row r="841" spans="1:32" hidden="1">
      <c r="A841" s="209">
        <v>9123102</v>
      </c>
      <c r="B841" s="209" t="s">
        <v>101</v>
      </c>
      <c r="C841" s="210" t="s">
        <v>643</v>
      </c>
      <c r="D841" s="214">
        <v>220192673</v>
      </c>
      <c r="E841" s="214">
        <v>233001400010</v>
      </c>
      <c r="F841" s="209" t="s">
        <v>936</v>
      </c>
      <c r="G841" s="209" t="s">
        <v>53</v>
      </c>
      <c r="H841" s="209" t="s">
        <v>424</v>
      </c>
      <c r="I841" s="209" t="s">
        <v>425</v>
      </c>
      <c r="J841" s="209" t="s">
        <v>261</v>
      </c>
      <c r="K841" s="210" t="s">
        <v>937</v>
      </c>
      <c r="L841" s="210"/>
      <c r="M841" s="209" t="s">
        <v>58</v>
      </c>
      <c r="N841" s="209">
        <v>0</v>
      </c>
      <c r="O841" s="209" t="s">
        <v>105</v>
      </c>
      <c r="P841" s="213">
        <v>44896.286504629628</v>
      </c>
      <c r="Q841" s="209"/>
      <c r="R841" s="209">
        <v>3</v>
      </c>
      <c r="S841" s="209"/>
      <c r="T841" s="209" t="s">
        <v>646</v>
      </c>
      <c r="U841" s="213">
        <v>44897.286516203705</v>
      </c>
      <c r="V841" s="209" t="s">
        <v>41</v>
      </c>
      <c r="W841" s="209" t="s">
        <v>49</v>
      </c>
      <c r="X841" s="13" t="str">
        <f>IF(RIGHT(H841,2)&lt;&gt;"00",H841,"")</f>
        <v/>
      </c>
      <c r="Y841" s="26">
        <f ca="1">NETWORKDAYS(P841,$Y$1)</f>
        <v>65</v>
      </c>
      <c r="Z841" s="34">
        <v>1</v>
      </c>
      <c r="AA841" s="25" t="str">
        <f t="shared" ca="1" si="68"/>
        <v>A VENCER</v>
      </c>
      <c r="AB841" s="25" t="str">
        <f t="shared" si="66"/>
        <v>C-14</v>
      </c>
      <c r="AC841" s="2" t="str">
        <f t="shared" si="70"/>
        <v xml:space="preserve"> CRISTINA </v>
      </c>
      <c r="AD841" s="26">
        <f t="shared" si="67"/>
        <v>5</v>
      </c>
      <c r="AE841" s="26">
        <f t="shared" ca="1" si="69"/>
        <v>90.389767013890378</v>
      </c>
      <c r="AF841" s="35"/>
    </row>
    <row r="842" spans="1:32" hidden="1">
      <c r="A842" s="209">
        <v>9123093</v>
      </c>
      <c r="B842" s="209" t="s">
        <v>101</v>
      </c>
      <c r="C842" s="210" t="s">
        <v>643</v>
      </c>
      <c r="D842" s="214">
        <v>220192664</v>
      </c>
      <c r="E842" s="214">
        <v>220001400010</v>
      </c>
      <c r="F842" s="209" t="s">
        <v>936</v>
      </c>
      <c r="G842" s="209" t="s">
        <v>53</v>
      </c>
      <c r="H842" s="209" t="s">
        <v>588</v>
      </c>
      <c r="I842" s="209" t="s">
        <v>589</v>
      </c>
      <c r="J842" s="209" t="s">
        <v>110</v>
      </c>
      <c r="K842" s="210" t="s">
        <v>937</v>
      </c>
      <c r="L842" s="210"/>
      <c r="M842" s="209" t="s">
        <v>58</v>
      </c>
      <c r="N842" s="209">
        <v>0</v>
      </c>
      <c r="O842" s="209" t="s">
        <v>105</v>
      </c>
      <c r="P842" s="213">
        <v>44896.286006944443</v>
      </c>
      <c r="Q842" s="209"/>
      <c r="R842" s="209">
        <v>3</v>
      </c>
      <c r="S842" s="209"/>
      <c r="T842" s="209" t="s">
        <v>646</v>
      </c>
      <c r="U842" s="213">
        <v>44897.286006944443</v>
      </c>
      <c r="V842" s="209" t="s">
        <v>41</v>
      </c>
      <c r="W842" s="209" t="s">
        <v>49</v>
      </c>
      <c r="X842" s="13" t="str">
        <f>IF(RIGHT(H842,2)&lt;&gt;"00",H842,"")</f>
        <v/>
      </c>
      <c r="Y842" s="26">
        <f ca="1">NETWORKDAYS(P842,$Y$1)</f>
        <v>65</v>
      </c>
      <c r="Z842" s="34">
        <v>1</v>
      </c>
      <c r="AA842" s="25" t="str">
        <f t="shared" ca="1" si="68"/>
        <v>A VENCER</v>
      </c>
      <c r="AB842" s="25" t="str">
        <f t="shared" si="66"/>
        <v>C-14</v>
      </c>
      <c r="AC842" s="2" t="str">
        <f t="shared" si="70"/>
        <v xml:space="preserve"> CRISTINA </v>
      </c>
      <c r="AD842" s="26">
        <f t="shared" si="67"/>
        <v>5</v>
      </c>
      <c r="AE842" s="26">
        <f t="shared" ca="1" si="69"/>
        <v>90.390264699075487</v>
      </c>
      <c r="AF842" s="35"/>
    </row>
    <row r="843" spans="1:32" hidden="1">
      <c r="A843" s="209">
        <v>9135166</v>
      </c>
      <c r="B843" s="209" t="s">
        <v>62</v>
      </c>
      <c r="C843" s="210" t="s">
        <v>1686</v>
      </c>
      <c r="D843" s="214"/>
      <c r="E843" s="214">
        <v>9703000206053</v>
      </c>
      <c r="F843" s="209" t="s">
        <v>113</v>
      </c>
      <c r="G843" s="209" t="s">
        <v>53</v>
      </c>
      <c r="H843" s="209" t="s">
        <v>494</v>
      </c>
      <c r="I843" s="209" t="s">
        <v>495</v>
      </c>
      <c r="J843" s="209" t="s">
        <v>79</v>
      </c>
      <c r="K843" s="210" t="s">
        <v>116</v>
      </c>
      <c r="L843" s="210"/>
      <c r="M843" s="209" t="s">
        <v>35</v>
      </c>
      <c r="N843" s="209">
        <v>42318949</v>
      </c>
      <c r="O843" s="209" t="s">
        <v>105</v>
      </c>
      <c r="P843" s="213">
        <v>44897.528333333335</v>
      </c>
      <c r="Q843" s="209"/>
      <c r="R843" s="209" t="s">
        <v>38</v>
      </c>
      <c r="S843" s="209"/>
      <c r="T843" s="209" t="s">
        <v>74</v>
      </c>
      <c r="U843" s="213">
        <v>44938.75</v>
      </c>
      <c r="V843" s="209" t="s">
        <v>41</v>
      </c>
      <c r="W843" s="209" t="s">
        <v>49</v>
      </c>
      <c r="X843" s="13" t="str">
        <f>IF(RIGHT(H843,2)&lt;&gt;"00",H843,"")</f>
        <v/>
      </c>
      <c r="Y843" s="26">
        <f ca="1">NETWORKDAYS(P843,$Y$1)</f>
        <v>64</v>
      </c>
      <c r="Z843" s="34">
        <v>1</v>
      </c>
      <c r="AA843" s="25" t="str">
        <f t="shared" ca="1" si="68"/>
        <v>A VENCER</v>
      </c>
      <c r="AB843" s="25" t="str">
        <f t="shared" si="66"/>
        <v>TAAe+</v>
      </c>
      <c r="AC843" s="2" t="str">
        <f t="shared" si="70"/>
        <v xml:space="preserve"> ROSEMERE </v>
      </c>
      <c r="AD843" s="26">
        <f t="shared" si="67"/>
        <v>8</v>
      </c>
      <c r="AE843" s="26">
        <f t="shared" ca="1" si="69"/>
        <v>89.147938310183235</v>
      </c>
      <c r="AF843" s="35"/>
    </row>
    <row r="844" spans="1:32" hidden="1">
      <c r="A844" s="209">
        <v>9134233</v>
      </c>
      <c r="B844" s="209" t="s">
        <v>62</v>
      </c>
      <c r="C844" s="210" t="s">
        <v>1689</v>
      </c>
      <c r="D844" s="214"/>
      <c r="E844" s="214">
        <v>1108000203010</v>
      </c>
      <c r="F844" s="209" t="s">
        <v>152</v>
      </c>
      <c r="G844" s="209" t="s">
        <v>53</v>
      </c>
      <c r="H844" s="209" t="s">
        <v>295</v>
      </c>
      <c r="I844" s="209" t="s">
        <v>296</v>
      </c>
      <c r="J844" s="209" t="s">
        <v>90</v>
      </c>
      <c r="K844" s="210" t="s">
        <v>155</v>
      </c>
      <c r="L844" s="210"/>
      <c r="M844" s="209" t="s">
        <v>35</v>
      </c>
      <c r="N844" s="209">
        <v>42318949</v>
      </c>
      <c r="O844" s="209" t="s">
        <v>105</v>
      </c>
      <c r="P844" s="213">
        <v>44897.387280092589</v>
      </c>
      <c r="Q844" s="209"/>
      <c r="R844" s="209">
        <v>1</v>
      </c>
      <c r="S844" s="209"/>
      <c r="T844" s="209" t="s">
        <v>157</v>
      </c>
      <c r="U844" s="213">
        <v>44931.75</v>
      </c>
      <c r="V844" s="209" t="s">
        <v>41</v>
      </c>
      <c r="W844" s="209" t="s">
        <v>49</v>
      </c>
      <c r="X844" s="13" t="str">
        <f>IF(RIGHT(H844,2)&lt;&gt;"00",H844,"")</f>
        <v/>
      </c>
      <c r="Y844" s="26">
        <f ca="1">NETWORKDAYS(P844,$Y$1)</f>
        <v>64</v>
      </c>
      <c r="Z844" s="34">
        <v>1</v>
      </c>
      <c r="AA844" s="25" t="str">
        <f t="shared" ca="1" si="68"/>
        <v>A VENCER</v>
      </c>
      <c r="AB844" s="25" t="str">
        <f t="shared" si="66"/>
        <v>TAAe+</v>
      </c>
      <c r="AC844" s="2" t="str">
        <f t="shared" si="70"/>
        <v xml:space="preserve"> RINALDO </v>
      </c>
      <c r="AD844" s="26">
        <f t="shared" si="67"/>
        <v>8</v>
      </c>
      <c r="AE844" s="26">
        <f t="shared" ca="1" si="69"/>
        <v>89.288991550929495</v>
      </c>
      <c r="AF844" s="35"/>
    </row>
    <row r="845" spans="1:32" hidden="1">
      <c r="A845" s="209">
        <v>9152756</v>
      </c>
      <c r="B845" s="209" t="s">
        <v>62</v>
      </c>
      <c r="C845" s="210" t="s">
        <v>1692</v>
      </c>
      <c r="D845" s="214"/>
      <c r="E845" s="214">
        <v>2138000206001</v>
      </c>
      <c r="F845" s="209" t="s">
        <v>29</v>
      </c>
      <c r="G845" s="209" t="s">
        <v>53</v>
      </c>
      <c r="H845" s="209" t="s">
        <v>379</v>
      </c>
      <c r="I845" s="209" t="s">
        <v>380</v>
      </c>
      <c r="J845" s="209" t="s">
        <v>46</v>
      </c>
      <c r="K845" s="210" t="s">
        <v>34</v>
      </c>
      <c r="L845" s="210"/>
      <c r="M845" s="209" t="s">
        <v>35</v>
      </c>
      <c r="N845" s="209">
        <v>42318949</v>
      </c>
      <c r="O845" s="209" t="s">
        <v>36</v>
      </c>
      <c r="P845" s="213">
        <v>44901.595775462964</v>
      </c>
      <c r="Q845" s="209"/>
      <c r="R845" s="209" t="s">
        <v>38</v>
      </c>
      <c r="S845" s="209"/>
      <c r="T845" s="209" t="s">
        <v>74</v>
      </c>
      <c r="U845" s="213">
        <v>44942.75</v>
      </c>
      <c r="V845" s="209" t="s">
        <v>41</v>
      </c>
      <c r="W845" s="209" t="s">
        <v>49</v>
      </c>
      <c r="X845" s="13" t="str">
        <f>IF(RIGHT(H845,2)&lt;&gt;"00",H845,"")</f>
        <v/>
      </c>
      <c r="Y845" s="26">
        <f ca="1">NETWORKDAYS(P845,$Y$1)</f>
        <v>62</v>
      </c>
      <c r="Z845" s="34">
        <v>1</v>
      </c>
      <c r="AA845" s="25" t="str">
        <f t="shared" ca="1" si="68"/>
        <v>A VENCER</v>
      </c>
      <c r="AB845" s="25" t="str">
        <f t="shared" si="66"/>
        <v>Dosa</v>
      </c>
      <c r="AC845" s="2" t="str">
        <f t="shared" si="70"/>
        <v xml:space="preserve"> CLEITON </v>
      </c>
      <c r="AD845" s="26">
        <f t="shared" si="67"/>
        <v>5</v>
      </c>
      <c r="AE845" s="26">
        <f t="shared" ca="1" si="69"/>
        <v>85.080496180555201</v>
      </c>
      <c r="AF845" s="35"/>
    </row>
    <row r="846" spans="1:32" hidden="1">
      <c r="A846" s="209">
        <v>9151711</v>
      </c>
      <c r="B846" s="209" t="s">
        <v>62</v>
      </c>
      <c r="C846" s="210" t="s">
        <v>3590</v>
      </c>
      <c r="D846" s="214"/>
      <c r="E846" s="214">
        <v>1902016208100</v>
      </c>
      <c r="F846" s="209" t="s">
        <v>64</v>
      </c>
      <c r="G846" s="209" t="s">
        <v>53</v>
      </c>
      <c r="H846" s="209" t="s">
        <v>590</v>
      </c>
      <c r="I846" s="209" t="s">
        <v>591</v>
      </c>
      <c r="J846" s="209" t="s">
        <v>261</v>
      </c>
      <c r="K846" s="210" t="s">
        <v>67</v>
      </c>
      <c r="L846" s="210"/>
      <c r="M846" s="209" t="s">
        <v>35</v>
      </c>
      <c r="N846" s="209">
        <v>42318949</v>
      </c>
      <c r="O846" s="209" t="s">
        <v>36</v>
      </c>
      <c r="P846" s="213">
        <v>44901.465289351851</v>
      </c>
      <c r="Q846" s="209"/>
      <c r="R846" s="209" t="s">
        <v>571</v>
      </c>
      <c r="S846" s="209"/>
      <c r="T846" s="209" t="s">
        <v>69</v>
      </c>
      <c r="U846" s="213">
        <v>44910.465289351851</v>
      </c>
      <c r="V846" s="209" t="s">
        <v>41</v>
      </c>
      <c r="W846" s="209" t="s">
        <v>49</v>
      </c>
      <c r="X846" s="13" t="str">
        <f>IF(RIGHT(H846,2)&lt;&gt;"00",H846,"")</f>
        <v/>
      </c>
      <c r="Y846" s="26">
        <f ca="1">NETWORKDAYS(P846,$Y$1)</f>
        <v>62</v>
      </c>
      <c r="Z846" s="34">
        <v>1</v>
      </c>
      <c r="AA846" s="25" t="str">
        <f t="shared" ca="1" si="68"/>
        <v>A VENCER</v>
      </c>
      <c r="AB846" s="25" t="str">
        <f t="shared" si="66"/>
        <v>TAAe+</v>
      </c>
      <c r="AC846" s="2" t="str">
        <f t="shared" si="70"/>
        <v xml:space="preserve"> CRISTINA </v>
      </c>
      <c r="AD846" s="26">
        <f t="shared" si="67"/>
        <v>8</v>
      </c>
      <c r="AE846" s="26">
        <f t="shared" ca="1" si="69"/>
        <v>85.210982291668188</v>
      </c>
      <c r="AF846" s="35"/>
    </row>
    <row r="847" spans="1:32" hidden="1">
      <c r="A847" s="209">
        <v>9158610</v>
      </c>
      <c r="B847" s="209" t="s">
        <v>62</v>
      </c>
      <c r="C847" s="210" t="s">
        <v>1698</v>
      </c>
      <c r="D847" s="214"/>
      <c r="E847" s="214">
        <v>4119000203000</v>
      </c>
      <c r="F847" s="209" t="s">
        <v>454</v>
      </c>
      <c r="G847" s="209" t="s">
        <v>53</v>
      </c>
      <c r="H847" s="209" t="s">
        <v>297</v>
      </c>
      <c r="I847" s="209" t="s">
        <v>298</v>
      </c>
      <c r="J847" s="209" t="s">
        <v>211</v>
      </c>
      <c r="K847" s="210" t="s">
        <v>457</v>
      </c>
      <c r="L847" s="210"/>
      <c r="M847" s="209" t="s">
        <v>58</v>
      </c>
      <c r="N847" s="209">
        <v>0</v>
      </c>
      <c r="O847" s="209" t="s">
        <v>36</v>
      </c>
      <c r="P847" s="213">
        <v>44902.665810185186</v>
      </c>
      <c r="Q847" s="209"/>
      <c r="R847" s="209">
        <v>1</v>
      </c>
      <c r="S847" s="209"/>
      <c r="T847" s="209" t="s">
        <v>157</v>
      </c>
      <c r="U847" s="213">
        <v>44936.75</v>
      </c>
      <c r="V847" s="209" t="s">
        <v>41</v>
      </c>
      <c r="W847" s="209" t="s">
        <v>49</v>
      </c>
      <c r="X847" s="13" t="str">
        <f>IF(RIGHT(H847,2)&lt;&gt;"00",H847,"")</f>
        <v/>
      </c>
      <c r="Y847" s="26">
        <f ca="1">NETWORKDAYS(P847,$Y$1)</f>
        <v>61</v>
      </c>
      <c r="Z847" s="34">
        <v>1</v>
      </c>
      <c r="AA847" s="25" t="str">
        <f t="shared" ca="1" si="68"/>
        <v>A VENCER</v>
      </c>
      <c r="AB847" s="25" t="str">
        <f t="shared" si="66"/>
        <v>C-14</v>
      </c>
      <c r="AC847" s="2" t="str">
        <f t="shared" si="70"/>
        <v xml:space="preserve"> RINALDO </v>
      </c>
      <c r="AD847" s="26">
        <f t="shared" si="67"/>
        <v>5</v>
      </c>
      <c r="AE847" s="26">
        <f t="shared" ca="1" si="69"/>
        <v>84.010461458332429</v>
      </c>
      <c r="AF847" s="35"/>
    </row>
    <row r="848" spans="1:32" hidden="1">
      <c r="A848" s="209">
        <v>9158041</v>
      </c>
      <c r="B848" s="209" t="s">
        <v>62</v>
      </c>
      <c r="C848" s="210" t="s">
        <v>3591</v>
      </c>
      <c r="D848" s="214"/>
      <c r="E848" s="214">
        <v>963000203010</v>
      </c>
      <c r="F848" s="209" t="s">
        <v>152</v>
      </c>
      <c r="G848" s="209" t="s">
        <v>53</v>
      </c>
      <c r="H848" s="209" t="s">
        <v>531</v>
      </c>
      <c r="I848" s="209" t="s">
        <v>532</v>
      </c>
      <c r="J848" s="209" t="s">
        <v>33</v>
      </c>
      <c r="K848" s="210" t="s">
        <v>155</v>
      </c>
      <c r="L848" s="210"/>
      <c r="M848" s="209" t="s">
        <v>35</v>
      </c>
      <c r="N848" s="209">
        <v>42318949</v>
      </c>
      <c r="O848" s="209" t="s">
        <v>36</v>
      </c>
      <c r="P848" s="213">
        <v>44902.592615740738</v>
      </c>
      <c r="Q848" s="209"/>
      <c r="R848" s="209">
        <v>1</v>
      </c>
      <c r="S848" s="209"/>
      <c r="T848" s="209" t="s">
        <v>157</v>
      </c>
      <c r="U848" s="213">
        <v>44936.75</v>
      </c>
      <c r="V848" s="209" t="s">
        <v>41</v>
      </c>
      <c r="W848" s="209" t="s">
        <v>49</v>
      </c>
      <c r="X848" s="13" t="str">
        <f>IF(RIGHT(H848,2)&lt;&gt;"00",H848,"")</f>
        <v/>
      </c>
      <c r="Y848" s="26">
        <f ca="1">NETWORKDAYS(P848,$Y$1)</f>
        <v>61</v>
      </c>
      <c r="Z848" s="34">
        <v>1</v>
      </c>
      <c r="AA848" s="25" t="str">
        <f t="shared" ca="1" si="68"/>
        <v>A VENCER</v>
      </c>
      <c r="AB848" s="25" t="str">
        <f t="shared" si="66"/>
        <v>TAAe+</v>
      </c>
      <c r="AC848" s="2" t="str">
        <f t="shared" si="70"/>
        <v xml:space="preserve"> ROSEMERE </v>
      </c>
      <c r="AD848" s="26">
        <f t="shared" si="67"/>
        <v>8</v>
      </c>
      <c r="AE848" s="26">
        <f t="shared" ca="1" si="69"/>
        <v>84.083655902781175</v>
      </c>
      <c r="AF848" s="35"/>
    </row>
    <row r="849" spans="1:32" hidden="1">
      <c r="A849" s="209">
        <v>9158023</v>
      </c>
      <c r="B849" s="209" t="s">
        <v>62</v>
      </c>
      <c r="C849" s="210" t="s">
        <v>3591</v>
      </c>
      <c r="D849" s="214"/>
      <c r="E849" s="214">
        <v>3918000203010</v>
      </c>
      <c r="F849" s="209" t="s">
        <v>152</v>
      </c>
      <c r="G849" s="209" t="s">
        <v>53</v>
      </c>
      <c r="H849" s="209" t="s">
        <v>858</v>
      </c>
      <c r="I849" s="209" t="s">
        <v>859</v>
      </c>
      <c r="J849" s="209" t="s">
        <v>33</v>
      </c>
      <c r="K849" s="210" t="s">
        <v>155</v>
      </c>
      <c r="L849" s="210"/>
      <c r="M849" s="209" t="s">
        <v>35</v>
      </c>
      <c r="N849" s="209">
        <v>42318949</v>
      </c>
      <c r="O849" s="209" t="s">
        <v>36</v>
      </c>
      <c r="P849" s="213">
        <v>44902.592581018522</v>
      </c>
      <c r="Q849" s="209"/>
      <c r="R849" s="209">
        <v>1</v>
      </c>
      <c r="S849" s="209"/>
      <c r="T849" s="209" t="s">
        <v>157</v>
      </c>
      <c r="U849" s="213">
        <v>44936.75</v>
      </c>
      <c r="V849" s="209" t="s">
        <v>41</v>
      </c>
      <c r="W849" s="209" t="s">
        <v>49</v>
      </c>
      <c r="X849" s="13" t="str">
        <f>IF(RIGHT(H849,2)&lt;&gt;"00",H849,"")</f>
        <v/>
      </c>
      <c r="Y849" s="26">
        <f ca="1">NETWORKDAYS(P849,$Y$1)</f>
        <v>61</v>
      </c>
      <c r="Z849" s="34">
        <v>1</v>
      </c>
      <c r="AA849" s="25" t="str">
        <f t="shared" ca="1" si="68"/>
        <v>A VENCER</v>
      </c>
      <c r="AB849" s="25" t="str">
        <f t="shared" si="66"/>
        <v>TAAe+</v>
      </c>
      <c r="AC849" s="2" t="str">
        <f t="shared" si="70"/>
        <v xml:space="preserve"> ROSEMERE </v>
      </c>
      <c r="AD849" s="26">
        <f t="shared" si="67"/>
        <v>8</v>
      </c>
      <c r="AE849" s="26">
        <f t="shared" ca="1" si="69"/>
        <v>84.083690624996962</v>
      </c>
      <c r="AF849" s="35"/>
    </row>
    <row r="850" spans="1:32" hidden="1">
      <c r="A850" s="209">
        <v>9157070</v>
      </c>
      <c r="B850" s="209" t="s">
        <v>62</v>
      </c>
      <c r="C850" s="210" t="s">
        <v>3591</v>
      </c>
      <c r="D850" s="214"/>
      <c r="E850" s="214">
        <v>2830000203010</v>
      </c>
      <c r="F850" s="209" t="s">
        <v>152</v>
      </c>
      <c r="G850" s="209" t="s">
        <v>53</v>
      </c>
      <c r="H850" s="209" t="s">
        <v>448</v>
      </c>
      <c r="I850" s="209" t="s">
        <v>449</v>
      </c>
      <c r="J850" s="209" t="s">
        <v>33</v>
      </c>
      <c r="K850" s="210" t="s">
        <v>155</v>
      </c>
      <c r="L850" s="210"/>
      <c r="M850" s="209" t="s">
        <v>35</v>
      </c>
      <c r="N850" s="209">
        <v>42318949</v>
      </c>
      <c r="O850" s="209" t="s">
        <v>36</v>
      </c>
      <c r="P850" s="213">
        <v>44902.480925925927</v>
      </c>
      <c r="Q850" s="209"/>
      <c r="R850" s="209">
        <v>1</v>
      </c>
      <c r="S850" s="209"/>
      <c r="T850" s="209" t="s">
        <v>157</v>
      </c>
      <c r="U850" s="213">
        <v>44936.75</v>
      </c>
      <c r="V850" s="209" t="s">
        <v>41</v>
      </c>
      <c r="W850" s="209" t="s">
        <v>42</v>
      </c>
      <c r="X850" s="13" t="str">
        <f>IF(RIGHT(H850,2)&lt;&gt;"00",H850,"")</f>
        <v/>
      </c>
      <c r="Y850" s="26">
        <f ca="1">NETWORKDAYS(P850,$Y$1)</f>
        <v>61</v>
      </c>
      <c r="Z850" s="34">
        <v>1</v>
      </c>
      <c r="AA850" s="25" t="str">
        <f t="shared" ca="1" si="68"/>
        <v>A VENCER</v>
      </c>
      <c r="AB850" s="25" t="str">
        <f t="shared" si="66"/>
        <v>TAAe+</v>
      </c>
      <c r="AC850" s="2" t="str">
        <f t="shared" si="70"/>
        <v xml:space="preserve"> ROSEMERE </v>
      </c>
      <c r="AD850" s="26">
        <f t="shared" si="67"/>
        <v>8</v>
      </c>
      <c r="AE850" s="26">
        <f t="shared" ca="1" si="69"/>
        <v>84.195345717591408</v>
      </c>
      <c r="AF850" s="35"/>
    </row>
    <row r="851" spans="1:32" hidden="1">
      <c r="A851" s="209">
        <v>9157063</v>
      </c>
      <c r="B851" s="209" t="s">
        <v>62</v>
      </c>
      <c r="C851" s="210" t="s">
        <v>3591</v>
      </c>
      <c r="D851" s="214"/>
      <c r="E851" s="214">
        <v>1833000203010</v>
      </c>
      <c r="F851" s="209" t="s">
        <v>152</v>
      </c>
      <c r="G851" s="209" t="s">
        <v>53</v>
      </c>
      <c r="H851" s="209" t="s">
        <v>369</v>
      </c>
      <c r="I851" s="209" t="s">
        <v>370</v>
      </c>
      <c r="J851" s="209" t="s">
        <v>46</v>
      </c>
      <c r="K851" s="210" t="s">
        <v>155</v>
      </c>
      <c r="L851" s="210"/>
      <c r="M851" s="209" t="s">
        <v>35</v>
      </c>
      <c r="N851" s="209">
        <v>42318949</v>
      </c>
      <c r="O851" s="209" t="s">
        <v>36</v>
      </c>
      <c r="P851" s="213">
        <v>44902.480914351851</v>
      </c>
      <c r="Q851" s="209"/>
      <c r="R851" s="209">
        <v>1</v>
      </c>
      <c r="S851" s="209"/>
      <c r="T851" s="209" t="s">
        <v>157</v>
      </c>
      <c r="U851" s="213">
        <v>44936.75</v>
      </c>
      <c r="V851" s="209" t="s">
        <v>41</v>
      </c>
      <c r="W851" s="209" t="s">
        <v>49</v>
      </c>
      <c r="X851" s="13" t="str">
        <f>IF(RIGHT(H851,2)&lt;&gt;"00",H851,"")</f>
        <v/>
      </c>
      <c r="Y851" s="26">
        <f ca="1">NETWORKDAYS(P851,$Y$1)</f>
        <v>61</v>
      </c>
      <c r="Z851" s="34">
        <v>1</v>
      </c>
      <c r="AA851" s="25" t="str">
        <f t="shared" ca="1" si="68"/>
        <v>A VENCER</v>
      </c>
      <c r="AB851" s="25" t="str">
        <f t="shared" si="66"/>
        <v>TAAe+</v>
      </c>
      <c r="AC851" s="2" t="str">
        <f t="shared" si="70"/>
        <v xml:space="preserve"> CLEITON </v>
      </c>
      <c r="AD851" s="26">
        <f t="shared" si="67"/>
        <v>8</v>
      </c>
      <c r="AE851" s="26">
        <f t="shared" ca="1" si="69"/>
        <v>84.195357291668188</v>
      </c>
      <c r="AF851" s="35"/>
    </row>
    <row r="852" spans="1:32" hidden="1">
      <c r="A852" s="209">
        <v>9157035</v>
      </c>
      <c r="B852" s="209" t="s">
        <v>62</v>
      </c>
      <c r="C852" s="210" t="s">
        <v>3591</v>
      </c>
      <c r="D852" s="214"/>
      <c r="E852" s="214">
        <v>3924000203010</v>
      </c>
      <c r="F852" s="209" t="s">
        <v>152</v>
      </c>
      <c r="G852" s="209" t="s">
        <v>53</v>
      </c>
      <c r="H852" s="209" t="s">
        <v>153</v>
      </c>
      <c r="I852" s="209" t="s">
        <v>154</v>
      </c>
      <c r="J852" s="209" t="s">
        <v>56</v>
      </c>
      <c r="K852" s="210" t="s">
        <v>155</v>
      </c>
      <c r="L852" s="210"/>
      <c r="M852" s="209" t="s">
        <v>35</v>
      </c>
      <c r="N852" s="209">
        <v>42318949</v>
      </c>
      <c r="O852" s="209" t="s">
        <v>36</v>
      </c>
      <c r="P852" s="213">
        <v>44902.480879629627</v>
      </c>
      <c r="Q852" s="209"/>
      <c r="R852" s="209">
        <v>1</v>
      </c>
      <c r="S852" s="209"/>
      <c r="T852" s="209" t="s">
        <v>157</v>
      </c>
      <c r="U852" s="213">
        <v>44942.75</v>
      </c>
      <c r="V852" s="209" t="s">
        <v>41</v>
      </c>
      <c r="W852" s="209" t="s">
        <v>49</v>
      </c>
      <c r="X852" s="13" t="str">
        <f>IF(RIGHT(H852,2)&lt;&gt;"00",H852,"")</f>
        <v/>
      </c>
      <c r="Y852" s="26">
        <f ca="1">NETWORKDAYS(P852,$Y$1)</f>
        <v>61</v>
      </c>
      <c r="Z852" s="34">
        <v>1</v>
      </c>
      <c r="AA852" s="25" t="str">
        <f t="shared" ca="1" si="68"/>
        <v>A VENCER</v>
      </c>
      <c r="AB852" s="25" t="str">
        <f t="shared" si="66"/>
        <v>TAAe+</v>
      </c>
      <c r="AC852" s="2" t="str">
        <f t="shared" si="70"/>
        <v xml:space="preserve"> CRISTINA </v>
      </c>
      <c r="AD852" s="26">
        <f t="shared" si="67"/>
        <v>8</v>
      </c>
      <c r="AE852" s="26">
        <f t="shared" ca="1" si="69"/>
        <v>84.195392013891251</v>
      </c>
      <c r="AF852" s="35"/>
    </row>
    <row r="853" spans="1:32" hidden="1">
      <c r="A853" s="209">
        <v>9157015</v>
      </c>
      <c r="B853" s="209" t="s">
        <v>62</v>
      </c>
      <c r="C853" s="210" t="s">
        <v>3591</v>
      </c>
      <c r="D853" s="214"/>
      <c r="E853" s="214">
        <v>1059000203010</v>
      </c>
      <c r="F853" s="209" t="s">
        <v>152</v>
      </c>
      <c r="G853" s="209" t="s">
        <v>53</v>
      </c>
      <c r="H853" s="209" t="s">
        <v>88</v>
      </c>
      <c r="I853" s="209" t="s">
        <v>89</v>
      </c>
      <c r="J853" s="209" t="s">
        <v>90</v>
      </c>
      <c r="K853" s="210" t="s">
        <v>155</v>
      </c>
      <c r="L853" s="210"/>
      <c r="M853" s="209" t="s">
        <v>35</v>
      </c>
      <c r="N853" s="209">
        <v>42318949</v>
      </c>
      <c r="O853" s="209" t="s">
        <v>36</v>
      </c>
      <c r="P853" s="213">
        <v>44902.480844907404</v>
      </c>
      <c r="Q853" s="209"/>
      <c r="R853" s="209">
        <v>1</v>
      </c>
      <c r="S853" s="209"/>
      <c r="T853" s="209" t="s">
        <v>157</v>
      </c>
      <c r="U853" s="213">
        <v>44936.75</v>
      </c>
      <c r="V853" s="209" t="s">
        <v>41</v>
      </c>
      <c r="W853" s="209" t="s">
        <v>49</v>
      </c>
      <c r="X853" s="13" t="str">
        <f>IF(RIGHT(H853,2)&lt;&gt;"00",H853,"")</f>
        <v/>
      </c>
      <c r="Y853" s="26">
        <f ca="1">NETWORKDAYS(P853,$Y$1)</f>
        <v>61</v>
      </c>
      <c r="Z853" s="34">
        <v>1</v>
      </c>
      <c r="AA853" s="25" t="str">
        <f t="shared" ca="1" si="68"/>
        <v>A VENCER</v>
      </c>
      <c r="AB853" s="25" t="str">
        <f t="shared" si="66"/>
        <v>TAAe+</v>
      </c>
      <c r="AC853" s="2" t="str">
        <f t="shared" si="70"/>
        <v xml:space="preserve"> RINALDO </v>
      </c>
      <c r="AD853" s="26">
        <f t="shared" si="67"/>
        <v>8</v>
      </c>
      <c r="AE853" s="26">
        <f t="shared" ca="1" si="69"/>
        <v>84.195426736114314</v>
      </c>
      <c r="AF853" s="35"/>
    </row>
    <row r="854" spans="1:32" hidden="1">
      <c r="A854" s="209">
        <v>9156995</v>
      </c>
      <c r="B854" s="209" t="s">
        <v>62</v>
      </c>
      <c r="C854" s="210" t="s">
        <v>3591</v>
      </c>
      <c r="D854" s="214"/>
      <c r="E854" s="214">
        <v>2069000203010</v>
      </c>
      <c r="F854" s="209" t="s">
        <v>152</v>
      </c>
      <c r="G854" s="209" t="s">
        <v>53</v>
      </c>
      <c r="H854" s="209" t="s">
        <v>557</v>
      </c>
      <c r="I854" s="209" t="s">
        <v>558</v>
      </c>
      <c r="J854" s="209" t="s">
        <v>90</v>
      </c>
      <c r="K854" s="210" t="s">
        <v>155</v>
      </c>
      <c r="L854" s="210"/>
      <c r="M854" s="209" t="s">
        <v>35</v>
      </c>
      <c r="N854" s="209">
        <v>42318949</v>
      </c>
      <c r="O854" s="209" t="s">
        <v>36</v>
      </c>
      <c r="P854" s="213">
        <v>44902.480810185189</v>
      </c>
      <c r="Q854" s="209"/>
      <c r="R854" s="209">
        <v>1</v>
      </c>
      <c r="S854" s="209"/>
      <c r="T854" s="209" t="s">
        <v>157</v>
      </c>
      <c r="U854" s="213">
        <v>44936.75</v>
      </c>
      <c r="V854" s="209" t="s">
        <v>41</v>
      </c>
      <c r="W854" s="209" t="s">
        <v>49</v>
      </c>
      <c r="X854" s="13" t="str">
        <f>IF(RIGHT(H854,2)&lt;&gt;"00",H854,"")</f>
        <v/>
      </c>
      <c r="Y854" s="26">
        <f ca="1">NETWORKDAYS(P854,$Y$1)</f>
        <v>61</v>
      </c>
      <c r="Z854" s="34">
        <v>1</v>
      </c>
      <c r="AA854" s="25" t="str">
        <f t="shared" ca="1" si="68"/>
        <v>A VENCER</v>
      </c>
      <c r="AB854" s="25" t="str">
        <f t="shared" si="66"/>
        <v>TAAe+</v>
      </c>
      <c r="AC854" s="2" t="str">
        <f t="shared" si="70"/>
        <v xml:space="preserve"> RINALDO </v>
      </c>
      <c r="AD854" s="26">
        <f t="shared" si="67"/>
        <v>8</v>
      </c>
      <c r="AE854" s="26">
        <f t="shared" ca="1" si="69"/>
        <v>84.195461458330101</v>
      </c>
      <c r="AF854" s="35"/>
    </row>
    <row r="855" spans="1:32" hidden="1">
      <c r="A855" s="209">
        <v>9162440</v>
      </c>
      <c r="B855" s="209" t="s">
        <v>62</v>
      </c>
      <c r="C855" s="210" t="s">
        <v>1705</v>
      </c>
      <c r="D855" s="214"/>
      <c r="E855" s="214">
        <v>68000203010</v>
      </c>
      <c r="F855" s="209" t="s">
        <v>152</v>
      </c>
      <c r="G855" s="209" t="s">
        <v>53</v>
      </c>
      <c r="H855" s="209" t="s">
        <v>1330</v>
      </c>
      <c r="I855" s="209" t="s">
        <v>1331</v>
      </c>
      <c r="J855" s="209" t="s">
        <v>211</v>
      </c>
      <c r="K855" s="210" t="s">
        <v>155</v>
      </c>
      <c r="L855" s="210"/>
      <c r="M855" s="209" t="s">
        <v>35</v>
      </c>
      <c r="N855" s="209">
        <v>42318949</v>
      </c>
      <c r="O855" s="209" t="s">
        <v>36</v>
      </c>
      <c r="P855" s="213">
        <v>44903.531909722224</v>
      </c>
      <c r="Q855" s="209"/>
      <c r="R855" s="209">
        <v>1</v>
      </c>
      <c r="S855" s="209"/>
      <c r="T855" s="209" t="s">
        <v>157</v>
      </c>
      <c r="U855" s="213">
        <v>44937.75</v>
      </c>
      <c r="V855" s="209" t="s">
        <v>41</v>
      </c>
      <c r="W855" s="209" t="s">
        <v>49</v>
      </c>
      <c r="X855" s="13" t="str">
        <f>IF(RIGHT(H855,2)&lt;&gt;"00",H855,"")</f>
        <v/>
      </c>
      <c r="Y855" s="26">
        <f ca="1">NETWORKDAYS(P855,$Y$1)</f>
        <v>60</v>
      </c>
      <c r="Z855" s="34">
        <v>1</v>
      </c>
      <c r="AA855" s="25" t="str">
        <f t="shared" ca="1" si="68"/>
        <v>A VENCER</v>
      </c>
      <c r="AB855" s="25" t="str">
        <f t="shared" si="66"/>
        <v>TAAe+</v>
      </c>
      <c r="AC855" s="2" t="str">
        <f t="shared" si="70"/>
        <v xml:space="preserve"> RINALDO </v>
      </c>
      <c r="AD855" s="26">
        <f t="shared" si="67"/>
        <v>8</v>
      </c>
      <c r="AE855" s="26">
        <f t="shared" ca="1" si="69"/>
        <v>83.144361921295058</v>
      </c>
      <c r="AF855" s="35"/>
    </row>
    <row r="856" spans="1:32" hidden="1">
      <c r="A856" s="209">
        <v>9168008</v>
      </c>
      <c r="B856" s="209" t="s">
        <v>62</v>
      </c>
      <c r="C856" s="210" t="s">
        <v>1706</v>
      </c>
      <c r="D856" s="214"/>
      <c r="E856" s="214">
        <v>2069000203000</v>
      </c>
      <c r="F856" s="209" t="s">
        <v>454</v>
      </c>
      <c r="G856" s="209" t="s">
        <v>53</v>
      </c>
      <c r="H856" s="209" t="s">
        <v>557</v>
      </c>
      <c r="I856" s="209" t="s">
        <v>558</v>
      </c>
      <c r="J856" s="209" t="s">
        <v>90</v>
      </c>
      <c r="K856" s="210" t="s">
        <v>457</v>
      </c>
      <c r="L856" s="210"/>
      <c r="M856" s="209" t="s">
        <v>58</v>
      </c>
      <c r="N856" s="209">
        <v>0</v>
      </c>
      <c r="O856" s="209" t="s">
        <v>36</v>
      </c>
      <c r="P856" s="213">
        <v>44904.703738425924</v>
      </c>
      <c r="Q856" s="209"/>
      <c r="R856" s="209">
        <v>1</v>
      </c>
      <c r="S856" s="209"/>
      <c r="T856" s="209" t="s">
        <v>157</v>
      </c>
      <c r="U856" s="213">
        <v>44938.75</v>
      </c>
      <c r="V856" s="209" t="s">
        <v>41</v>
      </c>
      <c r="W856" s="209" t="s">
        <v>49</v>
      </c>
      <c r="X856" s="13" t="str">
        <f>IF(RIGHT(H856,2)&lt;&gt;"00",H856,"")</f>
        <v/>
      </c>
      <c r="Y856" s="26">
        <f ca="1">NETWORKDAYS(P856,$Y$1)</f>
        <v>59</v>
      </c>
      <c r="Z856" s="34">
        <v>1</v>
      </c>
      <c r="AA856" s="25" t="str">
        <f t="shared" ca="1" si="68"/>
        <v>A VENCER</v>
      </c>
      <c r="AB856" s="25" t="str">
        <f t="shared" si="66"/>
        <v>C-14</v>
      </c>
      <c r="AC856" s="2" t="str">
        <f t="shared" si="70"/>
        <v xml:space="preserve"> RINALDO </v>
      </c>
      <c r="AD856" s="26">
        <f t="shared" si="67"/>
        <v>5</v>
      </c>
      <c r="AE856" s="26">
        <f t="shared" ca="1" si="69"/>
        <v>81.972533217594901</v>
      </c>
      <c r="AF856" s="35"/>
    </row>
    <row r="857" spans="1:32" hidden="1">
      <c r="A857" s="209">
        <v>9180276</v>
      </c>
      <c r="B857" s="209" t="s">
        <v>62</v>
      </c>
      <c r="C857" s="210" t="s">
        <v>3592</v>
      </c>
      <c r="D857" s="214"/>
      <c r="E857" s="214">
        <v>1902016006800</v>
      </c>
      <c r="F857" s="209" t="s">
        <v>64</v>
      </c>
      <c r="G857" s="209" t="s">
        <v>53</v>
      </c>
      <c r="H857" s="209" t="s">
        <v>1330</v>
      </c>
      <c r="I857" s="209" t="s">
        <v>1331</v>
      </c>
      <c r="J857" s="209" t="s">
        <v>211</v>
      </c>
      <c r="K857" s="210" t="s">
        <v>67</v>
      </c>
      <c r="L857" s="210"/>
      <c r="M857" s="209" t="s">
        <v>35</v>
      </c>
      <c r="N857" s="209">
        <v>42318949</v>
      </c>
      <c r="O857" s="209" t="s">
        <v>36</v>
      </c>
      <c r="P857" s="213">
        <v>44907.687534722223</v>
      </c>
      <c r="Q857" s="209"/>
      <c r="R857" s="209" t="s">
        <v>571</v>
      </c>
      <c r="S857" s="209"/>
      <c r="T857" s="209" t="s">
        <v>69</v>
      </c>
      <c r="U857" s="213">
        <v>44916.687534722223</v>
      </c>
      <c r="V857" s="209" t="s">
        <v>41</v>
      </c>
      <c r="W857" s="209" t="s">
        <v>49</v>
      </c>
      <c r="X857" s="13" t="str">
        <f>IF(RIGHT(H857,2)&lt;&gt;"00",H857,"")</f>
        <v/>
      </c>
      <c r="Y857" s="26">
        <f ca="1">NETWORKDAYS(P857,$Y$1)</f>
        <v>58</v>
      </c>
      <c r="Z857" s="34">
        <v>1</v>
      </c>
      <c r="AA857" s="25" t="str">
        <f t="shared" ca="1" si="68"/>
        <v>A VENCER</v>
      </c>
      <c r="AB857" s="25" t="str">
        <f t="shared" si="66"/>
        <v>TAAe+</v>
      </c>
      <c r="AC857" s="2" t="str">
        <f t="shared" si="70"/>
        <v xml:space="preserve"> RINALDO </v>
      </c>
      <c r="AD857" s="26">
        <f t="shared" si="67"/>
        <v>8</v>
      </c>
      <c r="AE857" s="26">
        <f t="shared" ca="1" si="69"/>
        <v>78.98873692129564</v>
      </c>
      <c r="AF857" s="35"/>
    </row>
    <row r="858" spans="1:32" hidden="1">
      <c r="A858" s="209">
        <v>9177930</v>
      </c>
      <c r="B858" s="209" t="s">
        <v>226</v>
      </c>
      <c r="C858" s="210" t="s">
        <v>1708</v>
      </c>
      <c r="D858" s="214"/>
      <c r="E858" s="214">
        <v>1902016179200</v>
      </c>
      <c r="F858" s="209" t="s">
        <v>64</v>
      </c>
      <c r="G858" s="209" t="s">
        <v>53</v>
      </c>
      <c r="H858" s="209" t="s">
        <v>467</v>
      </c>
      <c r="I858" s="209" t="s">
        <v>468</v>
      </c>
      <c r="J858" s="209" t="s">
        <v>110</v>
      </c>
      <c r="K858" s="210" t="s">
        <v>67</v>
      </c>
      <c r="L858" s="210"/>
      <c r="M858" s="209" t="s">
        <v>35</v>
      </c>
      <c r="N858" s="209">
        <v>42318949</v>
      </c>
      <c r="O858" s="209" t="s">
        <v>105</v>
      </c>
      <c r="P858" s="213">
        <v>44907.415682870371</v>
      </c>
      <c r="Q858" s="209"/>
      <c r="R858" s="209" t="s">
        <v>571</v>
      </c>
      <c r="S858" s="209"/>
      <c r="T858" s="209" t="s">
        <v>69</v>
      </c>
      <c r="U858" s="213">
        <v>44909.415682870371</v>
      </c>
      <c r="V858" s="209" t="s">
        <v>41</v>
      </c>
      <c r="W858" s="209" t="s">
        <v>49</v>
      </c>
      <c r="X858" s="13" t="str">
        <f>IF(RIGHT(H858,2)&lt;&gt;"00",H858,"")</f>
        <v/>
      </c>
      <c r="Y858" s="26">
        <f ca="1">NETWORKDAYS(P858,$Y$1)</f>
        <v>58</v>
      </c>
      <c r="Z858" s="34">
        <v>1</v>
      </c>
      <c r="AA858" s="25" t="str">
        <f t="shared" ca="1" si="68"/>
        <v>A VENCER</v>
      </c>
      <c r="AB858" s="25" t="str">
        <f t="shared" si="66"/>
        <v>TAAe+</v>
      </c>
      <c r="AC858" s="2" t="str">
        <f t="shared" si="70"/>
        <v xml:space="preserve"> CRISTINA </v>
      </c>
      <c r="AD858" s="26">
        <f t="shared" si="67"/>
        <v>8</v>
      </c>
      <c r="AE858" s="26">
        <f t="shared" ca="1" si="69"/>
        <v>79.260588773147902</v>
      </c>
      <c r="AF858" s="35"/>
    </row>
    <row r="859" spans="1:32" hidden="1">
      <c r="A859" s="209">
        <v>9188220</v>
      </c>
      <c r="B859" s="209" t="s">
        <v>62</v>
      </c>
      <c r="C859" s="210" t="s">
        <v>3593</v>
      </c>
      <c r="D859" s="214"/>
      <c r="E859" s="214">
        <v>1902016298800</v>
      </c>
      <c r="F859" s="209" t="s">
        <v>64</v>
      </c>
      <c r="G859" s="209" t="s">
        <v>53</v>
      </c>
      <c r="H859" s="209" t="s">
        <v>536</v>
      </c>
      <c r="I859" s="209" t="s">
        <v>537</v>
      </c>
      <c r="J859" s="209" t="s">
        <v>46</v>
      </c>
      <c r="K859" s="210" t="s">
        <v>67</v>
      </c>
      <c r="L859" s="210"/>
      <c r="M859" s="209" t="s">
        <v>35</v>
      </c>
      <c r="N859" s="209">
        <v>42318949</v>
      </c>
      <c r="O859" s="209" t="s">
        <v>36</v>
      </c>
      <c r="P859" s="213">
        <v>44909.40121527778</v>
      </c>
      <c r="Q859" s="209"/>
      <c r="R859" s="209" t="s">
        <v>571</v>
      </c>
      <c r="S859" s="209"/>
      <c r="T859" s="209" t="s">
        <v>69</v>
      </c>
      <c r="U859" s="213">
        <v>44918.40121527778</v>
      </c>
      <c r="V859" s="209" t="s">
        <v>41</v>
      </c>
      <c r="W859" s="209" t="s">
        <v>49</v>
      </c>
      <c r="X859" s="13" t="str">
        <f>IF(RIGHT(H859,2)&lt;&gt;"00",H859,"")</f>
        <v/>
      </c>
      <c r="Y859" s="26">
        <f ca="1">NETWORKDAYS(P859,$Y$1)</f>
        <v>56</v>
      </c>
      <c r="Z859" s="34">
        <v>1</v>
      </c>
      <c r="AA859" s="25" t="str">
        <f t="shared" ca="1" si="68"/>
        <v>A VENCER</v>
      </c>
      <c r="AB859" s="25" t="str">
        <f t="shared" si="66"/>
        <v>TAAe+</v>
      </c>
      <c r="AC859" s="2" t="str">
        <f t="shared" si="70"/>
        <v xml:space="preserve"> CLEITON </v>
      </c>
      <c r="AD859" s="26">
        <f t="shared" si="67"/>
        <v>8</v>
      </c>
      <c r="AE859" s="26">
        <f t="shared" ca="1" si="69"/>
        <v>77.275056365739147</v>
      </c>
      <c r="AF859" s="35"/>
    </row>
    <row r="860" spans="1:32" hidden="1">
      <c r="A860" s="209">
        <v>9188182</v>
      </c>
      <c r="B860" s="209" t="s">
        <v>62</v>
      </c>
      <c r="C860" s="210" t="s">
        <v>3594</v>
      </c>
      <c r="D860" s="214"/>
      <c r="E860" s="214">
        <v>1902016087000</v>
      </c>
      <c r="F860" s="209" t="s">
        <v>64</v>
      </c>
      <c r="G860" s="209" t="s">
        <v>53</v>
      </c>
      <c r="H860" s="209" t="s">
        <v>183</v>
      </c>
      <c r="I860" s="209" t="s">
        <v>184</v>
      </c>
      <c r="J860" s="209" t="s">
        <v>90</v>
      </c>
      <c r="K860" s="210" t="s">
        <v>67</v>
      </c>
      <c r="L860" s="210"/>
      <c r="M860" s="209" t="s">
        <v>35</v>
      </c>
      <c r="N860" s="209">
        <v>42318949</v>
      </c>
      <c r="O860" s="209" t="s">
        <v>36</v>
      </c>
      <c r="P860" s="213">
        <v>44909.398680555554</v>
      </c>
      <c r="Q860" s="209"/>
      <c r="R860" s="209" t="s">
        <v>571</v>
      </c>
      <c r="S860" s="209"/>
      <c r="T860" s="209" t="s">
        <v>69</v>
      </c>
      <c r="U860" s="213">
        <v>44918.398680555554</v>
      </c>
      <c r="V860" s="209" t="s">
        <v>41</v>
      </c>
      <c r="W860" s="209" t="s">
        <v>49</v>
      </c>
      <c r="X860" s="13" t="str">
        <f>IF(RIGHT(H860,2)&lt;&gt;"00",H860,"")</f>
        <v/>
      </c>
      <c r="Y860" s="26">
        <f ca="1">NETWORKDAYS(P860,$Y$1)</f>
        <v>56</v>
      </c>
      <c r="Z860" s="34">
        <v>1</v>
      </c>
      <c r="AA860" s="25" t="str">
        <f t="shared" ca="1" si="68"/>
        <v>A VENCER</v>
      </c>
      <c r="AB860" s="25" t="str">
        <f t="shared" si="66"/>
        <v>TAAe+</v>
      </c>
      <c r="AC860" s="2" t="str">
        <f t="shared" si="70"/>
        <v xml:space="preserve"> RINALDO </v>
      </c>
      <c r="AD860" s="26">
        <f t="shared" si="67"/>
        <v>8</v>
      </c>
      <c r="AE860" s="26">
        <f t="shared" ca="1" si="69"/>
        <v>77.277591087964538</v>
      </c>
      <c r="AF860" s="35"/>
    </row>
    <row r="861" spans="1:32" hidden="1">
      <c r="A861" s="209">
        <v>9188168</v>
      </c>
      <c r="B861" s="209" t="s">
        <v>62</v>
      </c>
      <c r="C861" s="210" t="s">
        <v>3595</v>
      </c>
      <c r="D861" s="214"/>
      <c r="E861" s="214">
        <v>1902016006700</v>
      </c>
      <c r="F861" s="209" t="s">
        <v>64</v>
      </c>
      <c r="G861" s="209" t="s">
        <v>53</v>
      </c>
      <c r="H861" s="209" t="s">
        <v>404</v>
      </c>
      <c r="I861" s="209" t="s">
        <v>405</v>
      </c>
      <c r="J861" s="209" t="s">
        <v>164</v>
      </c>
      <c r="K861" s="210" t="s">
        <v>67</v>
      </c>
      <c r="L861" s="210"/>
      <c r="M861" s="209" t="s">
        <v>35</v>
      </c>
      <c r="N861" s="209">
        <v>42318949</v>
      </c>
      <c r="O861" s="209" t="s">
        <v>36</v>
      </c>
      <c r="P861" s="213">
        <v>44909.395740740743</v>
      </c>
      <c r="Q861" s="209"/>
      <c r="R861" s="209" t="s">
        <v>571</v>
      </c>
      <c r="S861" s="209"/>
      <c r="T861" s="209" t="s">
        <v>69</v>
      </c>
      <c r="U861" s="213">
        <v>44918.395740740743</v>
      </c>
      <c r="V861" s="209" t="s">
        <v>41</v>
      </c>
      <c r="W861" s="209" t="s">
        <v>49</v>
      </c>
      <c r="X861" s="13" t="str">
        <f>IF(RIGHT(H861,2)&lt;&gt;"00",H861,"")</f>
        <v/>
      </c>
      <c r="Y861" s="26">
        <f ca="1">NETWORKDAYS(P861,$Y$1)</f>
        <v>56</v>
      </c>
      <c r="Z861" s="34">
        <v>1</v>
      </c>
      <c r="AA861" s="25" t="str">
        <f t="shared" ca="1" si="68"/>
        <v>A VENCER</v>
      </c>
      <c r="AB861" s="25" t="str">
        <f t="shared" ref="AB861:AB924" si="71">IF(F861="GRPE-000001","C-14",IF(F861="GRPE-000002","C-14",IF(F861="GRPE-000003","C-14",IF(F861="GRPE-000004","SL-On",IF(F861="GRPE-000038","C-14",IF(F861="GRPE-900022","Dosa",IF(F861="GRPE-000029","Dosa",IF(F861="ATOS-000222","Dose","TAAe+"))))))))</f>
        <v>TAAe+</v>
      </c>
      <c r="AC861" s="2" t="str">
        <f t="shared" si="70"/>
        <v xml:space="preserve"> ROSEMERE </v>
      </c>
      <c r="AD861" s="26">
        <f t="shared" ref="AD861:AD924" si="72">IF(F861="GRPE-000001",5,IF(F861="GRPE-000002",5,IF(F861="GRPE-000003",15,IF(F861="GRPE-000004",1,IF(F861="GRPE-000038",5,IF(F861="GRPE-900022",5,IF(F861="GRPE-000029",5,IF(F861="ATOS-000222",5,8))))))))</f>
        <v>8</v>
      </c>
      <c r="AE861" s="26">
        <f t="shared" ca="1" si="69"/>
        <v>77.280530902775354</v>
      </c>
      <c r="AF861" s="35"/>
    </row>
    <row r="862" spans="1:32" hidden="1">
      <c r="A862" s="209">
        <v>9257159</v>
      </c>
      <c r="B862" s="209" t="s">
        <v>1717</v>
      </c>
      <c r="C862" s="210" t="s">
        <v>1723</v>
      </c>
      <c r="D862" s="214">
        <v>20228573000031</v>
      </c>
      <c r="E862" s="214">
        <v>7417193051272</v>
      </c>
      <c r="F862" s="209" t="s">
        <v>1719</v>
      </c>
      <c r="G862" s="209" t="s">
        <v>53</v>
      </c>
      <c r="H862" s="209" t="s">
        <v>657</v>
      </c>
      <c r="I862" s="209" t="s">
        <v>658</v>
      </c>
      <c r="J862" s="209" t="s">
        <v>33</v>
      </c>
      <c r="K862" s="210" t="s">
        <v>1720</v>
      </c>
      <c r="L862" s="210"/>
      <c r="M862" s="209" t="s">
        <v>58</v>
      </c>
      <c r="N862" s="209">
        <v>0</v>
      </c>
      <c r="O862" s="209" t="s">
        <v>36</v>
      </c>
      <c r="P862" s="213">
        <v>44924.464942129627</v>
      </c>
      <c r="Q862" s="209"/>
      <c r="R862" s="209">
        <v>22</v>
      </c>
      <c r="S862" s="209"/>
      <c r="T862" s="209" t="s">
        <v>1160</v>
      </c>
      <c r="U862" s="213">
        <v>44925.47146990741</v>
      </c>
      <c r="V862" s="209" t="s">
        <v>41</v>
      </c>
      <c r="W862" s="209" t="s">
        <v>49</v>
      </c>
      <c r="X862" s="13" t="str">
        <f>IF(RIGHT(H862,2)&lt;&gt;"00",H862,"")</f>
        <v/>
      </c>
      <c r="Y862" s="26">
        <f ca="1">NETWORKDAYS(P862,$Y$1)</f>
        <v>45</v>
      </c>
      <c r="Z862" s="34">
        <v>1</v>
      </c>
      <c r="AA862" s="25" t="str">
        <f t="shared" ca="1" si="68"/>
        <v>A VENCER</v>
      </c>
      <c r="AB862" s="25" t="str">
        <f t="shared" si="71"/>
        <v>TAAe+</v>
      </c>
      <c r="AC862" s="2" t="str">
        <f t="shared" si="70"/>
        <v xml:space="preserve"> ROSEMERE </v>
      </c>
      <c r="AD862" s="26">
        <f t="shared" si="72"/>
        <v>8</v>
      </c>
      <c r="AE862" s="26">
        <f t="shared" ca="1" si="69"/>
        <v>62.211329513891542</v>
      </c>
      <c r="AF862" s="35"/>
    </row>
    <row r="863" spans="1:32" hidden="1">
      <c r="A863" s="209">
        <v>9271243</v>
      </c>
      <c r="B863" s="209" t="s">
        <v>101</v>
      </c>
      <c r="C863" s="210" t="s">
        <v>643</v>
      </c>
      <c r="D863" s="214">
        <v>230001652</v>
      </c>
      <c r="E863" s="214">
        <v>1358001400040</v>
      </c>
      <c r="F863" s="209" t="s">
        <v>644</v>
      </c>
      <c r="G863" s="209" t="s">
        <v>53</v>
      </c>
      <c r="H863" s="209" t="s">
        <v>593</v>
      </c>
      <c r="I863" s="209" t="s">
        <v>594</v>
      </c>
      <c r="J863" s="209" t="s">
        <v>261</v>
      </c>
      <c r="K863" s="210" t="s">
        <v>645</v>
      </c>
      <c r="L863" s="210"/>
      <c r="M863" s="209" t="s">
        <v>58</v>
      </c>
      <c r="N863" s="209">
        <v>0</v>
      </c>
      <c r="O863" s="209" t="s">
        <v>105</v>
      </c>
      <c r="P863" s="213">
        <v>44928.004988425928</v>
      </c>
      <c r="Q863" s="209"/>
      <c r="R863" s="209">
        <v>3</v>
      </c>
      <c r="S863" s="209"/>
      <c r="T863" s="209" t="s">
        <v>646</v>
      </c>
      <c r="U863" s="213">
        <v>44929.004999999997</v>
      </c>
      <c r="V863" s="209" t="s">
        <v>41</v>
      </c>
      <c r="W863" s="209" t="s">
        <v>49</v>
      </c>
      <c r="X863" s="13" t="str">
        <f>IF(RIGHT(H863,2)&lt;&gt;"00",H863,"")</f>
        <v/>
      </c>
      <c r="Y863" s="26">
        <f ca="1">NETWORKDAYS(P863,$Y$1)</f>
        <v>43</v>
      </c>
      <c r="Z863" s="34">
        <v>1</v>
      </c>
      <c r="AA863" s="25" t="str">
        <f t="shared" ca="1" si="68"/>
        <v>A VENCER</v>
      </c>
      <c r="AB863" s="25" t="str">
        <f t="shared" si="71"/>
        <v>SL-On</v>
      </c>
      <c r="AC863" s="2" t="str">
        <f t="shared" si="70"/>
        <v xml:space="preserve"> CRISTINA </v>
      </c>
      <c r="AD863" s="26">
        <f t="shared" si="72"/>
        <v>1</v>
      </c>
      <c r="AE863" s="26">
        <f t="shared" ca="1" si="69"/>
        <v>58.671283217590826</v>
      </c>
      <c r="AF863" s="35"/>
    </row>
    <row r="864" spans="1:32" hidden="1">
      <c r="A864" s="209">
        <v>9271230</v>
      </c>
      <c r="B864" s="209" t="s">
        <v>101</v>
      </c>
      <c r="C864" s="210" t="s">
        <v>643</v>
      </c>
      <c r="D864" s="214">
        <v>230001642</v>
      </c>
      <c r="E864" s="214">
        <v>1792001400030</v>
      </c>
      <c r="F864" s="209" t="s">
        <v>647</v>
      </c>
      <c r="G864" s="209" t="s">
        <v>53</v>
      </c>
      <c r="H864" s="209" t="s">
        <v>467</v>
      </c>
      <c r="I864" s="209" t="s">
        <v>468</v>
      </c>
      <c r="J864" s="209" t="s">
        <v>110</v>
      </c>
      <c r="K864" s="210" t="s">
        <v>650</v>
      </c>
      <c r="L864" s="210"/>
      <c r="M864" s="209" t="s">
        <v>58</v>
      </c>
      <c r="N864" s="209">
        <v>0</v>
      </c>
      <c r="O864" s="209" t="s">
        <v>105</v>
      </c>
      <c r="P864" s="213">
        <v>44928.004513888889</v>
      </c>
      <c r="Q864" s="209"/>
      <c r="R864" s="209">
        <v>4</v>
      </c>
      <c r="S864" s="209"/>
      <c r="T864" s="209" t="s">
        <v>646</v>
      </c>
      <c r="U864" s="213">
        <v>44929.004513888889</v>
      </c>
      <c r="V864" s="209" t="s">
        <v>41</v>
      </c>
      <c r="W864" s="209" t="s">
        <v>49</v>
      </c>
      <c r="X864" s="13" t="str">
        <f>IF(RIGHT(H864,2)&lt;&gt;"00",H864,"")</f>
        <v/>
      </c>
      <c r="Y864" s="26">
        <f ca="1">NETWORKDAYS(P864,$Y$1)</f>
        <v>43</v>
      </c>
      <c r="Z864" s="34">
        <v>1</v>
      </c>
      <c r="AA864" s="25" t="str">
        <f t="shared" ca="1" si="68"/>
        <v>A VENCER</v>
      </c>
      <c r="AB864" s="25" t="str">
        <f t="shared" si="71"/>
        <v>C-14</v>
      </c>
      <c r="AC864" s="2" t="str">
        <f t="shared" si="70"/>
        <v xml:space="preserve"> CRISTINA </v>
      </c>
      <c r="AD864" s="26">
        <f t="shared" si="72"/>
        <v>15</v>
      </c>
      <c r="AE864" s="26">
        <f t="shared" ca="1" si="69"/>
        <v>58.671757754629652</v>
      </c>
      <c r="AF864" s="35"/>
    </row>
    <row r="865" spans="1:32" hidden="1">
      <c r="A865" s="209">
        <v>9271227</v>
      </c>
      <c r="B865" s="209" t="s">
        <v>101</v>
      </c>
      <c r="C865" s="210" t="s">
        <v>643</v>
      </c>
      <c r="D865" s="214">
        <v>230001658</v>
      </c>
      <c r="E865" s="214">
        <v>5740001400040</v>
      </c>
      <c r="F865" s="209" t="s">
        <v>644</v>
      </c>
      <c r="G865" s="209" t="s">
        <v>53</v>
      </c>
      <c r="H865" s="209" t="s">
        <v>626</v>
      </c>
      <c r="I865" s="209" t="s">
        <v>627</v>
      </c>
      <c r="J865" s="209" t="s">
        <v>46</v>
      </c>
      <c r="K865" s="210" t="s">
        <v>645</v>
      </c>
      <c r="L865" s="210"/>
      <c r="M865" s="209" t="s">
        <v>58</v>
      </c>
      <c r="N865" s="209">
        <v>0</v>
      </c>
      <c r="O865" s="209" t="s">
        <v>105</v>
      </c>
      <c r="P865" s="213">
        <v>44928.004340277781</v>
      </c>
      <c r="Q865" s="209"/>
      <c r="R865" s="209">
        <v>3</v>
      </c>
      <c r="S865" s="209"/>
      <c r="T865" s="209" t="s">
        <v>646</v>
      </c>
      <c r="U865" s="213">
        <v>44929.004340277781</v>
      </c>
      <c r="V865" s="209" t="s">
        <v>41</v>
      </c>
      <c r="W865" s="209" t="s">
        <v>49</v>
      </c>
      <c r="X865" s="13" t="str">
        <f>IF(RIGHT(H865,2)&lt;&gt;"00",H865,"")</f>
        <v/>
      </c>
      <c r="Y865" s="26">
        <f ca="1">NETWORKDAYS(P865,$Y$1)</f>
        <v>43</v>
      </c>
      <c r="Z865" s="34">
        <v>1</v>
      </c>
      <c r="AA865" s="25" t="str">
        <f t="shared" ca="1" si="68"/>
        <v>A VENCER</v>
      </c>
      <c r="AB865" s="25" t="str">
        <f t="shared" si="71"/>
        <v>SL-On</v>
      </c>
      <c r="AC865" s="2" t="str">
        <f t="shared" si="70"/>
        <v xml:space="preserve"> CLEITON </v>
      </c>
      <c r="AD865" s="26">
        <f t="shared" si="72"/>
        <v>1</v>
      </c>
      <c r="AE865" s="26">
        <f t="shared" ca="1" si="69"/>
        <v>58.671931365737692</v>
      </c>
      <c r="AF865" s="35"/>
    </row>
    <row r="866" spans="1:32" hidden="1">
      <c r="A866" s="209">
        <v>9280165</v>
      </c>
      <c r="B866" s="209" t="s">
        <v>1153</v>
      </c>
      <c r="C866" s="210" t="s">
        <v>1737</v>
      </c>
      <c r="D866" s="214">
        <v>230002991</v>
      </c>
      <c r="E866" s="214">
        <v>3613001400030</v>
      </c>
      <c r="F866" s="209" t="s">
        <v>647</v>
      </c>
      <c r="G866" s="209" t="s">
        <v>53</v>
      </c>
      <c r="H866" s="209" t="s">
        <v>679</v>
      </c>
      <c r="I866" s="209" t="s">
        <v>680</v>
      </c>
      <c r="J866" s="209" t="s">
        <v>46</v>
      </c>
      <c r="K866" s="210" t="s">
        <v>650</v>
      </c>
      <c r="L866" s="210"/>
      <c r="M866" s="209" t="s">
        <v>58</v>
      </c>
      <c r="N866" s="209">
        <v>0</v>
      </c>
      <c r="O866" s="209" t="s">
        <v>36</v>
      </c>
      <c r="P866" s="213">
        <v>44929.666481481479</v>
      </c>
      <c r="Q866" s="209"/>
      <c r="R866" s="209">
        <v>4</v>
      </c>
      <c r="S866" s="209"/>
      <c r="T866" s="209" t="s">
        <v>646</v>
      </c>
      <c r="U866" s="213">
        <v>44937.729166666664</v>
      </c>
      <c r="V866" s="209" t="s">
        <v>41</v>
      </c>
      <c r="W866" s="209" t="s">
        <v>49</v>
      </c>
      <c r="X866" s="13" t="str">
        <f>IF(RIGHT(H866,2)&lt;&gt;"00",H866,"")</f>
        <v/>
      </c>
      <c r="Y866" s="26">
        <f ca="1">NETWORKDAYS(P866,$Y$1)</f>
        <v>42</v>
      </c>
      <c r="Z866" s="34">
        <v>1</v>
      </c>
      <c r="AA866" s="25" t="str">
        <f t="shared" ca="1" si="68"/>
        <v>A VENCER</v>
      </c>
      <c r="AB866" s="25" t="str">
        <f t="shared" si="71"/>
        <v>C-14</v>
      </c>
      <c r="AC866" s="2" t="str">
        <f t="shared" si="70"/>
        <v xml:space="preserve"> CLEITON </v>
      </c>
      <c r="AD866" s="26">
        <f t="shared" si="72"/>
        <v>15</v>
      </c>
      <c r="AE866" s="26">
        <f t="shared" ca="1" si="69"/>
        <v>57.00979016203928</v>
      </c>
      <c r="AF866" s="35"/>
    </row>
    <row r="867" spans="1:32" hidden="1">
      <c r="A867" s="209">
        <v>9285222</v>
      </c>
      <c r="B867" s="209" t="s">
        <v>101</v>
      </c>
      <c r="C867" s="210" t="s">
        <v>1740</v>
      </c>
      <c r="D867" s="214"/>
      <c r="E867" s="214">
        <v>7417163050348</v>
      </c>
      <c r="F867" s="209" t="s">
        <v>1741</v>
      </c>
      <c r="G867" s="209" t="s">
        <v>53</v>
      </c>
      <c r="H867" s="209" t="s">
        <v>1742</v>
      </c>
      <c r="I867" s="209" t="s">
        <v>1743</v>
      </c>
      <c r="J867" s="209" t="s">
        <v>141</v>
      </c>
      <c r="K867" s="210" t="s">
        <v>1744</v>
      </c>
      <c r="L867" s="210"/>
      <c r="M867" s="209" t="s">
        <v>58</v>
      </c>
      <c r="N867" s="209">
        <v>0</v>
      </c>
      <c r="O867" s="209" t="s">
        <v>36</v>
      </c>
      <c r="P867" s="213">
        <v>44930.678425925929</v>
      </c>
      <c r="Q867" s="209"/>
      <c r="R867" s="209">
        <v>14</v>
      </c>
      <c r="S867" s="209"/>
      <c r="T867" s="209" t="s">
        <v>238</v>
      </c>
      <c r="U867" s="213">
        <v>44930.678425925929</v>
      </c>
      <c r="V867" s="209" t="s">
        <v>41</v>
      </c>
      <c r="W867" s="209" t="s">
        <v>49</v>
      </c>
      <c r="X867" s="13" t="str">
        <f>IF(RIGHT(H867,2)&lt;&gt;"00",H867,"")</f>
        <v>2413.91</v>
      </c>
      <c r="Y867" s="26">
        <f ca="1">NETWORKDAYS(P867,$Y$1)</f>
        <v>41</v>
      </c>
      <c r="Z867" s="34">
        <v>1</v>
      </c>
      <c r="AA867" s="25" t="str">
        <f t="shared" ca="1" si="68"/>
        <v>A VENCER</v>
      </c>
      <c r="AB867" s="25" t="str">
        <f t="shared" si="71"/>
        <v>TAAe+</v>
      </c>
      <c r="AC867" s="2" t="str">
        <f t="shared" si="70"/>
        <v xml:space="preserve"> CRISTINA </v>
      </c>
      <c r="AD867" s="26">
        <f t="shared" si="72"/>
        <v>8</v>
      </c>
      <c r="AE867" s="26">
        <f t="shared" ca="1" si="69"/>
        <v>55.997845717589371</v>
      </c>
      <c r="AF867" s="35"/>
    </row>
    <row r="868" spans="1:32" hidden="1">
      <c r="A868" s="209">
        <v>9283021</v>
      </c>
      <c r="B868" s="209" t="s">
        <v>1153</v>
      </c>
      <c r="C868" s="210" t="s">
        <v>1746</v>
      </c>
      <c r="D868" s="214">
        <v>230003174</v>
      </c>
      <c r="E868" s="214">
        <v>1264001400030</v>
      </c>
      <c r="F868" s="209" t="s">
        <v>647</v>
      </c>
      <c r="G868" s="209" t="s">
        <v>53</v>
      </c>
      <c r="H868" s="209" t="s">
        <v>351</v>
      </c>
      <c r="I868" s="209" t="s">
        <v>352</v>
      </c>
      <c r="J868" s="209" t="s">
        <v>110</v>
      </c>
      <c r="K868" s="210" t="s">
        <v>650</v>
      </c>
      <c r="L868" s="210"/>
      <c r="M868" s="209" t="s">
        <v>58</v>
      </c>
      <c r="N868" s="209">
        <v>0</v>
      </c>
      <c r="O868" s="209" t="s">
        <v>36</v>
      </c>
      <c r="P868" s="213">
        <v>44930.391539351855</v>
      </c>
      <c r="Q868" s="209"/>
      <c r="R868" s="209">
        <v>4</v>
      </c>
      <c r="S868" s="209"/>
      <c r="T868" s="209" t="s">
        <v>646</v>
      </c>
      <c r="U868" s="213">
        <v>44935.645833333336</v>
      </c>
      <c r="V868" s="209" t="s">
        <v>41</v>
      </c>
      <c r="W868" s="209" t="s">
        <v>49</v>
      </c>
      <c r="X868" s="13" t="str">
        <f>IF(RIGHT(H868,2)&lt;&gt;"00",H868,"")</f>
        <v/>
      </c>
      <c r="Y868" s="26">
        <f ca="1">NETWORKDAYS(P868,$Y$1)</f>
        <v>41</v>
      </c>
      <c r="Z868" s="34">
        <v>1</v>
      </c>
      <c r="AA868" s="25" t="str">
        <f t="shared" ca="1" si="68"/>
        <v>A VENCER</v>
      </c>
      <c r="AB868" s="25" t="str">
        <f t="shared" si="71"/>
        <v>C-14</v>
      </c>
      <c r="AC868" s="2" t="str">
        <f t="shared" si="70"/>
        <v xml:space="preserve"> CRISTINA </v>
      </c>
      <c r="AD868" s="26">
        <f t="shared" si="72"/>
        <v>15</v>
      </c>
      <c r="AE868" s="26">
        <f t="shared" ca="1" si="69"/>
        <v>56.284732291664113</v>
      </c>
      <c r="AF868" s="35"/>
    </row>
    <row r="869" spans="1:32" hidden="1">
      <c r="A869" s="209">
        <v>9289476</v>
      </c>
      <c r="B869" s="209" t="s">
        <v>1153</v>
      </c>
      <c r="C869" s="210" t="s">
        <v>1747</v>
      </c>
      <c r="D869" s="214">
        <v>20234924000013</v>
      </c>
      <c r="E869" s="214">
        <v>7417163281264</v>
      </c>
      <c r="F869" s="209" t="s">
        <v>131</v>
      </c>
      <c r="G869" s="209" t="s">
        <v>53</v>
      </c>
      <c r="H869" s="209" t="s">
        <v>1748</v>
      </c>
      <c r="I869" s="209" t="s">
        <v>1749</v>
      </c>
      <c r="J869" s="209" t="s">
        <v>79</v>
      </c>
      <c r="K869" s="210" t="s">
        <v>132</v>
      </c>
      <c r="L869" s="210"/>
      <c r="M869" s="209" t="s">
        <v>58</v>
      </c>
      <c r="N869" s="209">
        <v>0</v>
      </c>
      <c r="O869" s="209" t="s">
        <v>36</v>
      </c>
      <c r="P869" s="213">
        <v>44931.581041666665</v>
      </c>
      <c r="Q869" s="209"/>
      <c r="R869" s="209">
        <v>14</v>
      </c>
      <c r="S869" s="209"/>
      <c r="T869" s="209" t="s">
        <v>238</v>
      </c>
      <c r="U869" s="213">
        <v>44931.581041666665</v>
      </c>
      <c r="V869" s="209" t="s">
        <v>41</v>
      </c>
      <c r="W869" s="209" t="s">
        <v>49</v>
      </c>
      <c r="X869" s="13" t="str">
        <f>IF(RIGHT(H869,2)&lt;&gt;"00",H869,"")</f>
        <v>4924.02</v>
      </c>
      <c r="Y869" s="26">
        <f ca="1">NETWORKDAYS(P869,$Y$1)</f>
        <v>40</v>
      </c>
      <c r="Z869" s="34">
        <v>1</v>
      </c>
      <c r="AA869" s="25" t="str">
        <f t="shared" ca="1" si="68"/>
        <v>A VENCER</v>
      </c>
      <c r="AB869" s="25" t="str">
        <f t="shared" si="71"/>
        <v>TAAe+</v>
      </c>
      <c r="AC869" s="2" t="str">
        <f t="shared" si="70"/>
        <v xml:space="preserve"> ROSEMERE </v>
      </c>
      <c r="AD869" s="26">
        <f t="shared" si="72"/>
        <v>8</v>
      </c>
      <c r="AE869" s="26">
        <f t="shared" ca="1" si="69"/>
        <v>55.095229976854171</v>
      </c>
      <c r="AF869" s="35"/>
    </row>
    <row r="870" spans="1:32" hidden="1">
      <c r="A870" s="209">
        <v>9303921</v>
      </c>
      <c r="B870" s="209" t="s">
        <v>101</v>
      </c>
      <c r="C870" s="210" t="s">
        <v>1751</v>
      </c>
      <c r="D870" s="214"/>
      <c r="E870" s="214">
        <v>9705000206201</v>
      </c>
      <c r="F870" s="209" t="s">
        <v>208</v>
      </c>
      <c r="G870" s="209" t="s">
        <v>53</v>
      </c>
      <c r="H870" s="209" t="s">
        <v>204</v>
      </c>
      <c r="I870" s="209" t="s">
        <v>205</v>
      </c>
      <c r="J870" s="209" t="s">
        <v>90</v>
      </c>
      <c r="K870" s="210" t="s">
        <v>212</v>
      </c>
      <c r="L870" s="210"/>
      <c r="M870" s="209" t="s">
        <v>35</v>
      </c>
      <c r="N870" s="209">
        <v>42318949</v>
      </c>
      <c r="O870" s="209" t="s">
        <v>105</v>
      </c>
      <c r="P870" s="215">
        <v>44932.681018518517</v>
      </c>
      <c r="Q870" s="209"/>
      <c r="R870" s="209" t="s">
        <v>38</v>
      </c>
      <c r="S870" s="209"/>
      <c r="T870" s="209" t="s">
        <v>74</v>
      </c>
      <c r="U870" s="215">
        <v>44932.75</v>
      </c>
      <c r="V870" s="209" t="s">
        <v>41</v>
      </c>
      <c r="W870" s="209" t="s">
        <v>49</v>
      </c>
      <c r="X870" s="13" t="str">
        <f>IF(RIGHT(H870,2)&lt;&gt;"00",H870,"")</f>
        <v/>
      </c>
      <c r="Y870" s="26">
        <f ca="1">NETWORKDAYS(P870,$Y$1)</f>
        <v>39</v>
      </c>
      <c r="Z870" s="34">
        <v>1</v>
      </c>
      <c r="AA870" s="25" t="str">
        <f t="shared" ca="1" si="68"/>
        <v>A VENCER</v>
      </c>
      <c r="AB870" s="25" t="str">
        <f t="shared" si="71"/>
        <v>TAAe+</v>
      </c>
      <c r="AC870" s="2" t="str">
        <f t="shared" si="70"/>
        <v xml:space="preserve"> RINALDO </v>
      </c>
      <c r="AD870" s="26">
        <f t="shared" si="72"/>
        <v>8</v>
      </c>
      <c r="AE870" s="26">
        <f t="shared" ca="1" si="69"/>
        <v>53.995253125001909</v>
      </c>
      <c r="AF870" s="35"/>
    </row>
    <row r="871" spans="1:32" hidden="1">
      <c r="A871" s="209">
        <v>9303920</v>
      </c>
      <c r="B871" s="209" t="s">
        <v>101</v>
      </c>
      <c r="C871" s="210" t="s">
        <v>1751</v>
      </c>
      <c r="D871" s="214"/>
      <c r="E871" s="214">
        <v>9704000206201</v>
      </c>
      <c r="F871" s="209" t="s">
        <v>208</v>
      </c>
      <c r="G871" s="209" t="s">
        <v>53</v>
      </c>
      <c r="H871" s="209" t="s">
        <v>488</v>
      </c>
      <c r="I871" s="209" t="s">
        <v>489</v>
      </c>
      <c r="J871" s="209" t="s">
        <v>164</v>
      </c>
      <c r="K871" s="210" t="s">
        <v>212</v>
      </c>
      <c r="L871" s="210"/>
      <c r="M871" s="209" t="s">
        <v>35</v>
      </c>
      <c r="N871" s="209">
        <v>42318949</v>
      </c>
      <c r="O871" s="209" t="s">
        <v>105</v>
      </c>
      <c r="P871" s="215">
        <v>44932.681018518517</v>
      </c>
      <c r="Q871" s="209"/>
      <c r="R871" s="209" t="s">
        <v>38</v>
      </c>
      <c r="S871" s="209"/>
      <c r="T871" s="209" t="s">
        <v>74</v>
      </c>
      <c r="U871" s="215">
        <v>44932.75</v>
      </c>
      <c r="V871" s="209" t="s">
        <v>41</v>
      </c>
      <c r="W871" s="209" t="s">
        <v>49</v>
      </c>
      <c r="X871" s="13" t="str">
        <f>IF(RIGHT(H871,2)&lt;&gt;"00",H871,"")</f>
        <v/>
      </c>
      <c r="Y871" s="26">
        <f ca="1">NETWORKDAYS(P871,$Y$1)</f>
        <v>39</v>
      </c>
      <c r="Z871" s="34">
        <v>1</v>
      </c>
      <c r="AA871" s="25" t="str">
        <f t="shared" ca="1" si="68"/>
        <v>A VENCER</v>
      </c>
      <c r="AB871" s="25" t="str">
        <f t="shared" si="71"/>
        <v>TAAe+</v>
      </c>
      <c r="AC871" s="2" t="str">
        <f t="shared" si="70"/>
        <v xml:space="preserve"> ROSEMERE </v>
      </c>
      <c r="AD871" s="26">
        <f t="shared" si="72"/>
        <v>8</v>
      </c>
      <c r="AE871" s="26">
        <f t="shared" ca="1" si="69"/>
        <v>53.995253125001909</v>
      </c>
      <c r="AF871" s="35"/>
    </row>
    <row r="872" spans="1:32" hidden="1">
      <c r="A872" s="209">
        <v>9303918</v>
      </c>
      <c r="B872" s="209" t="s">
        <v>101</v>
      </c>
      <c r="C872" s="210" t="s">
        <v>1751</v>
      </c>
      <c r="D872" s="214"/>
      <c r="E872" s="214">
        <v>9700000206201</v>
      </c>
      <c r="F872" s="209" t="s">
        <v>208</v>
      </c>
      <c r="G872" s="209" t="s">
        <v>53</v>
      </c>
      <c r="H872" s="209" t="s">
        <v>209</v>
      </c>
      <c r="I872" s="209" t="s">
        <v>210</v>
      </c>
      <c r="J872" s="209" t="s">
        <v>211</v>
      </c>
      <c r="K872" s="210" t="s">
        <v>212</v>
      </c>
      <c r="L872" s="210"/>
      <c r="M872" s="209" t="s">
        <v>35</v>
      </c>
      <c r="N872" s="209">
        <v>42318949</v>
      </c>
      <c r="O872" s="209" t="s">
        <v>105</v>
      </c>
      <c r="P872" s="215">
        <v>44932.681006944447</v>
      </c>
      <c r="Q872" s="209"/>
      <c r="R872" s="209" t="s">
        <v>38</v>
      </c>
      <c r="S872" s="209"/>
      <c r="T872" s="209" t="s">
        <v>74</v>
      </c>
      <c r="U872" s="215">
        <v>44932.75</v>
      </c>
      <c r="V872" s="209" t="s">
        <v>41</v>
      </c>
      <c r="W872" s="209" t="s">
        <v>49</v>
      </c>
      <c r="X872" s="13" t="str">
        <f>IF(RIGHT(H872,2)&lt;&gt;"00",H872,"")</f>
        <v/>
      </c>
      <c r="Y872" s="26">
        <f ca="1">NETWORKDAYS(P872,$Y$1)</f>
        <v>39</v>
      </c>
      <c r="Z872" s="34">
        <v>1</v>
      </c>
      <c r="AA872" s="25" t="str">
        <f t="shared" ca="1" si="68"/>
        <v>A VENCER</v>
      </c>
      <c r="AB872" s="25" t="str">
        <f t="shared" si="71"/>
        <v>TAAe+</v>
      </c>
      <c r="AC872" s="2" t="str">
        <f t="shared" si="70"/>
        <v xml:space="preserve"> RINALDO </v>
      </c>
      <c r="AD872" s="26">
        <f t="shared" si="72"/>
        <v>8</v>
      </c>
      <c r="AE872" s="26">
        <f t="shared" ca="1" si="69"/>
        <v>53.995264699071413</v>
      </c>
      <c r="AF872" s="35"/>
    </row>
    <row r="873" spans="1:32" hidden="1">
      <c r="A873" s="209">
        <v>9303849</v>
      </c>
      <c r="B873" s="209" t="s">
        <v>101</v>
      </c>
      <c r="C873" s="210" t="s">
        <v>1751</v>
      </c>
      <c r="D873" s="214"/>
      <c r="E873" s="214">
        <v>9406000206201</v>
      </c>
      <c r="F873" s="209" t="s">
        <v>208</v>
      </c>
      <c r="G873" s="209" t="s">
        <v>53</v>
      </c>
      <c r="H873" s="209" t="s">
        <v>114</v>
      </c>
      <c r="I873" s="209" t="s">
        <v>115</v>
      </c>
      <c r="J873" s="209" t="s">
        <v>46</v>
      </c>
      <c r="K873" s="210" t="s">
        <v>212</v>
      </c>
      <c r="L873" s="210"/>
      <c r="M873" s="209" t="s">
        <v>35</v>
      </c>
      <c r="N873" s="209">
        <v>42318949</v>
      </c>
      <c r="O873" s="209" t="s">
        <v>105</v>
      </c>
      <c r="P873" s="215">
        <v>44932.680902777778</v>
      </c>
      <c r="Q873" s="209"/>
      <c r="R873" s="209" t="s">
        <v>38</v>
      </c>
      <c r="S873" s="209"/>
      <c r="T873" s="209" t="s">
        <v>74</v>
      </c>
      <c r="U873" s="215">
        <v>44932.75</v>
      </c>
      <c r="V873" s="209" t="s">
        <v>41</v>
      </c>
      <c r="W873" s="209" t="s">
        <v>49</v>
      </c>
      <c r="X873" s="13" t="str">
        <f>IF(RIGHT(H873,2)&lt;&gt;"00",H873,"")</f>
        <v/>
      </c>
      <c r="Y873" s="26">
        <f ca="1">NETWORKDAYS(P873,$Y$1)</f>
        <v>39</v>
      </c>
      <c r="Z873" s="34">
        <v>1</v>
      </c>
      <c r="AA873" s="25" t="str">
        <f t="shared" ca="1" si="68"/>
        <v>A VENCER</v>
      </c>
      <c r="AB873" s="25" t="str">
        <f t="shared" si="71"/>
        <v>TAAe+</v>
      </c>
      <c r="AC873" s="2" t="str">
        <f t="shared" si="70"/>
        <v xml:space="preserve"> CLEITON </v>
      </c>
      <c r="AD873" s="26">
        <f t="shared" si="72"/>
        <v>8</v>
      </c>
      <c r="AE873" s="26">
        <f t="shared" ca="1" si="69"/>
        <v>53.995368865740602</v>
      </c>
      <c r="AF873" s="35"/>
    </row>
    <row r="874" spans="1:32" hidden="1">
      <c r="A874" s="209">
        <v>9303357</v>
      </c>
      <c r="B874" s="209" t="s">
        <v>101</v>
      </c>
      <c r="C874" s="210" t="s">
        <v>1756</v>
      </c>
      <c r="D874" s="214"/>
      <c r="E874" s="214">
        <v>9704000206001</v>
      </c>
      <c r="F874" s="209" t="s">
        <v>29</v>
      </c>
      <c r="G874" s="209" t="s">
        <v>53</v>
      </c>
      <c r="H874" s="209" t="s">
        <v>488</v>
      </c>
      <c r="I874" s="209" t="s">
        <v>489</v>
      </c>
      <c r="J874" s="209" t="s">
        <v>164</v>
      </c>
      <c r="K874" s="210" t="s">
        <v>34</v>
      </c>
      <c r="L874" s="210"/>
      <c r="M874" s="209" t="s">
        <v>35</v>
      </c>
      <c r="N874" s="209">
        <v>42318949</v>
      </c>
      <c r="O874" s="209" t="s">
        <v>105</v>
      </c>
      <c r="P874" s="215">
        <v>44932.623599537037</v>
      </c>
      <c r="Q874" s="209"/>
      <c r="R874" s="209" t="s">
        <v>38</v>
      </c>
      <c r="S874" s="209"/>
      <c r="T874" s="209" t="s">
        <v>74</v>
      </c>
      <c r="U874" s="215">
        <v>44932.75</v>
      </c>
      <c r="V874" s="209" t="s">
        <v>41</v>
      </c>
      <c r="W874" s="209" t="s">
        <v>49</v>
      </c>
      <c r="X874" s="13" t="str">
        <f>IF(RIGHT(H874,2)&lt;&gt;"00",H874,"")</f>
        <v/>
      </c>
      <c r="Y874" s="26">
        <f ca="1">NETWORKDAYS(P874,$Y$1)</f>
        <v>39</v>
      </c>
      <c r="Z874" s="34">
        <v>1</v>
      </c>
      <c r="AA874" s="25" t="str">
        <f t="shared" ca="1" si="68"/>
        <v>A VENCER</v>
      </c>
      <c r="AB874" s="25" t="str">
        <f t="shared" si="71"/>
        <v>Dosa</v>
      </c>
      <c r="AC874" s="2" t="str">
        <f t="shared" si="70"/>
        <v xml:space="preserve"> ROSEMERE </v>
      </c>
      <c r="AD874" s="26">
        <f t="shared" si="72"/>
        <v>5</v>
      </c>
      <c r="AE874" s="26">
        <f t="shared" ca="1" si="69"/>
        <v>54.052672106481623</v>
      </c>
      <c r="AF874" s="35"/>
    </row>
    <row r="875" spans="1:32" hidden="1">
      <c r="A875" s="209">
        <v>9303355</v>
      </c>
      <c r="B875" s="209" t="s">
        <v>101</v>
      </c>
      <c r="C875" s="210" t="s">
        <v>1756</v>
      </c>
      <c r="D875" s="214"/>
      <c r="E875" s="214">
        <v>9704000206001</v>
      </c>
      <c r="F875" s="209" t="s">
        <v>29</v>
      </c>
      <c r="G875" s="209" t="s">
        <v>53</v>
      </c>
      <c r="H875" s="209" t="s">
        <v>488</v>
      </c>
      <c r="I875" s="209" t="s">
        <v>489</v>
      </c>
      <c r="J875" s="209" t="s">
        <v>164</v>
      </c>
      <c r="K875" s="210" t="s">
        <v>34</v>
      </c>
      <c r="L875" s="210"/>
      <c r="M875" s="209" t="s">
        <v>35</v>
      </c>
      <c r="N875" s="209">
        <v>42318949</v>
      </c>
      <c r="O875" s="209" t="s">
        <v>105</v>
      </c>
      <c r="P875" s="215">
        <v>44932.623599537037</v>
      </c>
      <c r="Q875" s="209"/>
      <c r="R875" s="209" t="s">
        <v>38</v>
      </c>
      <c r="S875" s="209"/>
      <c r="T875" s="209" t="s">
        <v>74</v>
      </c>
      <c r="U875" s="215">
        <v>44932.75</v>
      </c>
      <c r="V875" s="209" t="s">
        <v>41</v>
      </c>
      <c r="W875" s="209" t="s">
        <v>49</v>
      </c>
      <c r="X875" s="13" t="str">
        <f>IF(RIGHT(H875,2)&lt;&gt;"00",H875,"")</f>
        <v/>
      </c>
      <c r="Y875" s="26">
        <f ca="1">NETWORKDAYS(P875,$Y$1)</f>
        <v>39</v>
      </c>
      <c r="Z875" s="34">
        <v>1</v>
      </c>
      <c r="AA875" s="25" t="str">
        <f t="shared" ca="1" si="68"/>
        <v>A VENCER</v>
      </c>
      <c r="AB875" s="25" t="str">
        <f t="shared" si="71"/>
        <v>Dosa</v>
      </c>
      <c r="AC875" s="2" t="str">
        <f t="shared" si="70"/>
        <v xml:space="preserve"> ROSEMERE </v>
      </c>
      <c r="AD875" s="26">
        <f t="shared" si="72"/>
        <v>5</v>
      </c>
      <c r="AE875" s="26">
        <f t="shared" ca="1" si="69"/>
        <v>54.052672106481623</v>
      </c>
      <c r="AF875" s="35"/>
    </row>
    <row r="876" spans="1:32" hidden="1">
      <c r="A876" s="209">
        <v>9303352</v>
      </c>
      <c r="B876" s="209" t="s">
        <v>101</v>
      </c>
      <c r="C876" s="210" t="s">
        <v>1756</v>
      </c>
      <c r="D876" s="214"/>
      <c r="E876" s="214">
        <v>9700000206001</v>
      </c>
      <c r="F876" s="209" t="s">
        <v>29</v>
      </c>
      <c r="G876" s="209" t="s">
        <v>53</v>
      </c>
      <c r="H876" s="209" t="s">
        <v>209</v>
      </c>
      <c r="I876" s="209" t="s">
        <v>210</v>
      </c>
      <c r="J876" s="209" t="s">
        <v>211</v>
      </c>
      <c r="K876" s="210" t="s">
        <v>34</v>
      </c>
      <c r="L876" s="210"/>
      <c r="M876" s="209" t="s">
        <v>35</v>
      </c>
      <c r="N876" s="209">
        <v>42318949</v>
      </c>
      <c r="O876" s="209" t="s">
        <v>105</v>
      </c>
      <c r="P876" s="215">
        <v>44932.62358796296</v>
      </c>
      <c r="Q876" s="209"/>
      <c r="R876" s="209" t="s">
        <v>38</v>
      </c>
      <c r="S876" s="209"/>
      <c r="T876" s="209" t="s">
        <v>74</v>
      </c>
      <c r="U876" s="215">
        <v>44932.75</v>
      </c>
      <c r="V876" s="209" t="s">
        <v>41</v>
      </c>
      <c r="W876" s="209" t="s">
        <v>49</v>
      </c>
      <c r="X876" s="13" t="str">
        <f>IF(RIGHT(H876,2)&lt;&gt;"00",H876,"")</f>
        <v/>
      </c>
      <c r="Y876" s="26">
        <f ca="1">NETWORKDAYS(P876,$Y$1)</f>
        <v>39</v>
      </c>
      <c r="Z876" s="34">
        <v>1</v>
      </c>
      <c r="AA876" s="25" t="str">
        <f t="shared" ca="1" si="68"/>
        <v>A VENCER</v>
      </c>
      <c r="AB876" s="25" t="str">
        <f t="shared" si="71"/>
        <v>Dosa</v>
      </c>
      <c r="AC876" s="2" t="str">
        <f t="shared" si="70"/>
        <v xml:space="preserve"> RINALDO </v>
      </c>
      <c r="AD876" s="26">
        <f t="shared" si="72"/>
        <v>5</v>
      </c>
      <c r="AE876" s="26">
        <f t="shared" ca="1" si="69"/>
        <v>54.052683680558403</v>
      </c>
      <c r="AF876" s="35"/>
    </row>
    <row r="877" spans="1:32" hidden="1">
      <c r="A877" s="209">
        <v>9303351</v>
      </c>
      <c r="B877" s="209" t="s">
        <v>101</v>
      </c>
      <c r="C877" s="210" t="s">
        <v>1756</v>
      </c>
      <c r="D877" s="214"/>
      <c r="E877" s="214">
        <v>9700000206001</v>
      </c>
      <c r="F877" s="209" t="s">
        <v>29</v>
      </c>
      <c r="G877" s="209" t="s">
        <v>53</v>
      </c>
      <c r="H877" s="209" t="s">
        <v>209</v>
      </c>
      <c r="I877" s="209" t="s">
        <v>210</v>
      </c>
      <c r="J877" s="209" t="s">
        <v>211</v>
      </c>
      <c r="K877" s="210" t="s">
        <v>34</v>
      </c>
      <c r="L877" s="210"/>
      <c r="M877" s="209" t="s">
        <v>35</v>
      </c>
      <c r="N877" s="209">
        <v>42318949</v>
      </c>
      <c r="O877" s="209" t="s">
        <v>105</v>
      </c>
      <c r="P877" s="215">
        <v>44932.62358796296</v>
      </c>
      <c r="Q877" s="209"/>
      <c r="R877" s="209" t="s">
        <v>38</v>
      </c>
      <c r="S877" s="209"/>
      <c r="T877" s="209" t="s">
        <v>74</v>
      </c>
      <c r="U877" s="215">
        <v>44932.75</v>
      </c>
      <c r="V877" s="209" t="s">
        <v>41</v>
      </c>
      <c r="W877" s="209" t="s">
        <v>49</v>
      </c>
      <c r="X877" s="13" t="str">
        <f>IF(RIGHT(H877,2)&lt;&gt;"00",H877,"")</f>
        <v/>
      </c>
      <c r="Y877" s="26">
        <f ca="1">NETWORKDAYS(P877,$Y$1)</f>
        <v>39</v>
      </c>
      <c r="Z877" s="34">
        <v>1</v>
      </c>
      <c r="AA877" s="25" t="str">
        <f t="shared" ca="1" si="68"/>
        <v>A VENCER</v>
      </c>
      <c r="AB877" s="25" t="str">
        <f t="shared" si="71"/>
        <v>Dosa</v>
      </c>
      <c r="AC877" s="2" t="str">
        <f t="shared" si="70"/>
        <v xml:space="preserve"> RINALDO </v>
      </c>
      <c r="AD877" s="26">
        <f t="shared" si="72"/>
        <v>5</v>
      </c>
      <c r="AE877" s="26">
        <f t="shared" ca="1" si="69"/>
        <v>54.052683680558403</v>
      </c>
      <c r="AF877" s="35"/>
    </row>
    <row r="878" spans="1:32" hidden="1">
      <c r="A878" s="209">
        <v>9303071</v>
      </c>
      <c r="B878" s="209" t="s">
        <v>101</v>
      </c>
      <c r="C878" s="210" t="s">
        <v>1756</v>
      </c>
      <c r="D878" s="214"/>
      <c r="E878" s="214">
        <v>9406000206001</v>
      </c>
      <c r="F878" s="209" t="s">
        <v>29</v>
      </c>
      <c r="G878" s="209" t="s">
        <v>53</v>
      </c>
      <c r="H878" s="209" t="s">
        <v>114</v>
      </c>
      <c r="I878" s="209" t="s">
        <v>115</v>
      </c>
      <c r="J878" s="209" t="s">
        <v>46</v>
      </c>
      <c r="K878" s="210" t="s">
        <v>34</v>
      </c>
      <c r="L878" s="210"/>
      <c r="M878" s="209" t="s">
        <v>35</v>
      </c>
      <c r="N878" s="209">
        <v>42318949</v>
      </c>
      <c r="O878" s="209" t="s">
        <v>105</v>
      </c>
      <c r="P878" s="215">
        <v>44932.623229166667</v>
      </c>
      <c r="Q878" s="209"/>
      <c r="R878" s="209" t="s">
        <v>38</v>
      </c>
      <c r="S878" s="209"/>
      <c r="T878" s="209" t="s">
        <v>74</v>
      </c>
      <c r="U878" s="215">
        <v>44932.75</v>
      </c>
      <c r="V878" s="209" t="s">
        <v>41</v>
      </c>
      <c r="W878" s="209" t="s">
        <v>49</v>
      </c>
      <c r="X878" s="13" t="str">
        <f>IF(RIGHT(H878,2)&lt;&gt;"00",H878,"")</f>
        <v/>
      </c>
      <c r="Y878" s="26">
        <f ca="1">NETWORKDAYS(P878,$Y$1)</f>
        <v>39</v>
      </c>
      <c r="Z878" s="34">
        <v>1</v>
      </c>
      <c r="AA878" s="25" t="str">
        <f t="shared" ca="1" si="68"/>
        <v>A VENCER</v>
      </c>
      <c r="AB878" s="25" t="str">
        <f t="shared" si="71"/>
        <v>Dosa</v>
      </c>
      <c r="AC878" s="2" t="str">
        <f t="shared" si="70"/>
        <v xml:space="preserve"> CLEITON </v>
      </c>
      <c r="AD878" s="26">
        <f t="shared" si="72"/>
        <v>5</v>
      </c>
      <c r="AE878" s="26">
        <f t="shared" ca="1" si="69"/>
        <v>54.05304247685126</v>
      </c>
      <c r="AF878" s="35"/>
    </row>
    <row r="879" spans="1:32" hidden="1">
      <c r="A879" s="209">
        <v>9303070</v>
      </c>
      <c r="B879" s="209" t="s">
        <v>101</v>
      </c>
      <c r="C879" s="210" t="s">
        <v>1756</v>
      </c>
      <c r="D879" s="214"/>
      <c r="E879" s="214">
        <v>9406000206001</v>
      </c>
      <c r="F879" s="209" t="s">
        <v>29</v>
      </c>
      <c r="G879" s="209" t="s">
        <v>53</v>
      </c>
      <c r="H879" s="209" t="s">
        <v>114</v>
      </c>
      <c r="I879" s="209" t="s">
        <v>115</v>
      </c>
      <c r="J879" s="209" t="s">
        <v>46</v>
      </c>
      <c r="K879" s="210" t="s">
        <v>34</v>
      </c>
      <c r="L879" s="210"/>
      <c r="M879" s="209" t="s">
        <v>35</v>
      </c>
      <c r="N879" s="209">
        <v>42318949</v>
      </c>
      <c r="O879" s="209" t="s">
        <v>105</v>
      </c>
      <c r="P879" s="215">
        <v>44932.623217592591</v>
      </c>
      <c r="Q879" s="209"/>
      <c r="R879" s="209" t="s">
        <v>38</v>
      </c>
      <c r="S879" s="209"/>
      <c r="T879" s="209" t="s">
        <v>74</v>
      </c>
      <c r="U879" s="215">
        <v>44932.75</v>
      </c>
      <c r="V879" s="209" t="s">
        <v>41</v>
      </c>
      <c r="W879" s="209" t="s">
        <v>49</v>
      </c>
      <c r="X879" s="13" t="str">
        <f>IF(RIGHT(H879,2)&lt;&gt;"00",H879,"")</f>
        <v/>
      </c>
      <c r="Y879" s="26">
        <f ca="1">NETWORKDAYS(P879,$Y$1)</f>
        <v>39</v>
      </c>
      <c r="Z879" s="34">
        <v>1</v>
      </c>
      <c r="AA879" s="25" t="str">
        <f t="shared" ca="1" si="68"/>
        <v>A VENCER</v>
      </c>
      <c r="AB879" s="25" t="str">
        <f t="shared" si="71"/>
        <v>Dosa</v>
      </c>
      <c r="AC879" s="2" t="str">
        <f t="shared" si="70"/>
        <v xml:space="preserve"> CLEITON </v>
      </c>
      <c r="AD879" s="26">
        <f t="shared" si="72"/>
        <v>5</v>
      </c>
      <c r="AE879" s="26">
        <f t="shared" ca="1" si="69"/>
        <v>54.05305405092804</v>
      </c>
      <c r="AF879" s="35"/>
    </row>
    <row r="880" spans="1:32" hidden="1">
      <c r="A880" s="209">
        <v>9303069</v>
      </c>
      <c r="B880" s="209" t="s">
        <v>101</v>
      </c>
      <c r="C880" s="210" t="s">
        <v>1756</v>
      </c>
      <c r="D880" s="214"/>
      <c r="E880" s="214">
        <v>9406000206001</v>
      </c>
      <c r="F880" s="209" t="s">
        <v>29</v>
      </c>
      <c r="G880" s="209" t="s">
        <v>53</v>
      </c>
      <c r="H880" s="209" t="s">
        <v>114</v>
      </c>
      <c r="I880" s="209" t="s">
        <v>115</v>
      </c>
      <c r="J880" s="209" t="s">
        <v>46</v>
      </c>
      <c r="K880" s="210" t="s">
        <v>34</v>
      </c>
      <c r="L880" s="210"/>
      <c r="M880" s="209" t="s">
        <v>35</v>
      </c>
      <c r="N880" s="209">
        <v>42318949</v>
      </c>
      <c r="O880" s="209" t="s">
        <v>105</v>
      </c>
      <c r="P880" s="215">
        <v>44932.623217592591</v>
      </c>
      <c r="Q880" s="209"/>
      <c r="R880" s="209" t="s">
        <v>38</v>
      </c>
      <c r="S880" s="209"/>
      <c r="T880" s="209" t="s">
        <v>74</v>
      </c>
      <c r="U880" s="215">
        <v>44932.75</v>
      </c>
      <c r="V880" s="209" t="s">
        <v>41</v>
      </c>
      <c r="W880" s="209" t="s">
        <v>49</v>
      </c>
      <c r="X880" s="13" t="str">
        <f>IF(RIGHT(H880,2)&lt;&gt;"00",H880,"")</f>
        <v/>
      </c>
      <c r="Y880" s="26">
        <f ca="1">NETWORKDAYS(P880,$Y$1)</f>
        <v>39</v>
      </c>
      <c r="Z880" s="34">
        <v>1</v>
      </c>
      <c r="AA880" s="25" t="str">
        <f t="shared" ca="1" si="68"/>
        <v>A VENCER</v>
      </c>
      <c r="AB880" s="25" t="str">
        <f t="shared" si="71"/>
        <v>Dosa</v>
      </c>
      <c r="AC880" s="2" t="str">
        <f t="shared" si="70"/>
        <v xml:space="preserve"> CLEITON </v>
      </c>
      <c r="AD880" s="26">
        <f t="shared" si="72"/>
        <v>5</v>
      </c>
      <c r="AE880" s="26">
        <f t="shared" ca="1" si="69"/>
        <v>54.05305405092804</v>
      </c>
      <c r="AF880" s="35"/>
    </row>
    <row r="881" spans="1:32" hidden="1">
      <c r="A881" s="209">
        <v>9303068</v>
      </c>
      <c r="B881" s="209" t="s">
        <v>101</v>
      </c>
      <c r="C881" s="210" t="s">
        <v>1756</v>
      </c>
      <c r="D881" s="214"/>
      <c r="E881" s="214">
        <v>9406000206001</v>
      </c>
      <c r="F881" s="209" t="s">
        <v>29</v>
      </c>
      <c r="G881" s="209" t="s">
        <v>53</v>
      </c>
      <c r="H881" s="209" t="s">
        <v>114</v>
      </c>
      <c r="I881" s="209" t="s">
        <v>115</v>
      </c>
      <c r="J881" s="209" t="s">
        <v>46</v>
      </c>
      <c r="K881" s="210" t="s">
        <v>34</v>
      </c>
      <c r="L881" s="210"/>
      <c r="M881" s="209" t="s">
        <v>35</v>
      </c>
      <c r="N881" s="209">
        <v>42318949</v>
      </c>
      <c r="O881" s="209" t="s">
        <v>105</v>
      </c>
      <c r="P881" s="215">
        <v>44932.623217592591</v>
      </c>
      <c r="Q881" s="209"/>
      <c r="R881" s="209" t="s">
        <v>38</v>
      </c>
      <c r="S881" s="209"/>
      <c r="T881" s="209" t="s">
        <v>74</v>
      </c>
      <c r="U881" s="215">
        <v>44932.75</v>
      </c>
      <c r="V881" s="209" t="s">
        <v>41</v>
      </c>
      <c r="W881" s="209" t="s">
        <v>49</v>
      </c>
      <c r="X881" s="13" t="str">
        <f>IF(RIGHT(H881,2)&lt;&gt;"00",H881,"")</f>
        <v/>
      </c>
      <c r="Y881" s="26">
        <f ca="1">NETWORKDAYS(P881,$Y$1)</f>
        <v>39</v>
      </c>
      <c r="Z881" s="34">
        <v>1</v>
      </c>
      <c r="AA881" s="25" t="str">
        <f t="shared" ca="1" si="68"/>
        <v>A VENCER</v>
      </c>
      <c r="AB881" s="25" t="str">
        <f t="shared" si="71"/>
        <v>Dosa</v>
      </c>
      <c r="AC881" s="2" t="str">
        <f t="shared" si="70"/>
        <v xml:space="preserve"> CLEITON </v>
      </c>
      <c r="AD881" s="26">
        <f t="shared" si="72"/>
        <v>5</v>
      </c>
      <c r="AE881" s="26">
        <f t="shared" ca="1" si="69"/>
        <v>54.05305405092804</v>
      </c>
      <c r="AF881" s="35"/>
    </row>
    <row r="882" spans="1:32" hidden="1">
      <c r="A882" s="209">
        <v>9303067</v>
      </c>
      <c r="B882" s="209" t="s">
        <v>101</v>
      </c>
      <c r="C882" s="210" t="s">
        <v>1756</v>
      </c>
      <c r="D882" s="214"/>
      <c r="E882" s="214">
        <v>9406000206001</v>
      </c>
      <c r="F882" s="209" t="s">
        <v>29</v>
      </c>
      <c r="G882" s="209" t="s">
        <v>53</v>
      </c>
      <c r="H882" s="209" t="s">
        <v>114</v>
      </c>
      <c r="I882" s="209" t="s">
        <v>115</v>
      </c>
      <c r="J882" s="209" t="s">
        <v>46</v>
      </c>
      <c r="K882" s="210" t="s">
        <v>34</v>
      </c>
      <c r="L882" s="210"/>
      <c r="M882" s="209" t="s">
        <v>35</v>
      </c>
      <c r="N882" s="209">
        <v>42318949</v>
      </c>
      <c r="O882" s="209" t="s">
        <v>105</v>
      </c>
      <c r="P882" s="215">
        <v>44932.623217592591</v>
      </c>
      <c r="Q882" s="209"/>
      <c r="R882" s="209" t="s">
        <v>38</v>
      </c>
      <c r="S882" s="209"/>
      <c r="T882" s="209" t="s">
        <v>74</v>
      </c>
      <c r="U882" s="215">
        <v>44932.75</v>
      </c>
      <c r="V882" s="209" t="s">
        <v>41</v>
      </c>
      <c r="W882" s="209" t="s">
        <v>49</v>
      </c>
      <c r="X882" s="13" t="str">
        <f>IF(RIGHT(H882,2)&lt;&gt;"00",H882,"")</f>
        <v/>
      </c>
      <c r="Y882" s="26">
        <f ca="1">NETWORKDAYS(P882,$Y$1)</f>
        <v>39</v>
      </c>
      <c r="Z882" s="34">
        <v>1</v>
      </c>
      <c r="AA882" s="25" t="str">
        <f t="shared" ca="1" si="68"/>
        <v>A VENCER</v>
      </c>
      <c r="AB882" s="25" t="str">
        <f t="shared" si="71"/>
        <v>Dosa</v>
      </c>
      <c r="AC882" s="2" t="str">
        <f t="shared" si="70"/>
        <v xml:space="preserve"> CLEITON </v>
      </c>
      <c r="AD882" s="26">
        <f t="shared" si="72"/>
        <v>5</v>
      </c>
      <c r="AE882" s="26">
        <f t="shared" ca="1" si="69"/>
        <v>54.05305405092804</v>
      </c>
      <c r="AF882" s="35"/>
    </row>
    <row r="883" spans="1:32" hidden="1">
      <c r="A883" s="209">
        <v>9303066</v>
      </c>
      <c r="B883" s="209" t="s">
        <v>101</v>
      </c>
      <c r="C883" s="210" t="s">
        <v>1756</v>
      </c>
      <c r="D883" s="214"/>
      <c r="E883" s="214">
        <v>9406000206001</v>
      </c>
      <c r="F883" s="209" t="s">
        <v>29</v>
      </c>
      <c r="G883" s="209" t="s">
        <v>53</v>
      </c>
      <c r="H883" s="209" t="s">
        <v>114</v>
      </c>
      <c r="I883" s="209" t="s">
        <v>115</v>
      </c>
      <c r="J883" s="209" t="s">
        <v>46</v>
      </c>
      <c r="K883" s="210" t="s">
        <v>34</v>
      </c>
      <c r="L883" s="210"/>
      <c r="M883" s="209" t="s">
        <v>35</v>
      </c>
      <c r="N883" s="209">
        <v>42318949</v>
      </c>
      <c r="O883" s="209" t="s">
        <v>105</v>
      </c>
      <c r="P883" s="215">
        <v>44932.623217592591</v>
      </c>
      <c r="Q883" s="209"/>
      <c r="R883" s="209" t="s">
        <v>38</v>
      </c>
      <c r="S883" s="209"/>
      <c r="T883" s="209" t="s">
        <v>74</v>
      </c>
      <c r="U883" s="215">
        <v>44932.75</v>
      </c>
      <c r="V883" s="209" t="s">
        <v>41</v>
      </c>
      <c r="W883" s="209" t="s">
        <v>49</v>
      </c>
      <c r="X883" s="13" t="str">
        <f>IF(RIGHT(H883,2)&lt;&gt;"00",H883,"")</f>
        <v/>
      </c>
      <c r="Y883" s="26">
        <f ca="1">NETWORKDAYS(P883,$Y$1)</f>
        <v>39</v>
      </c>
      <c r="Z883" s="34">
        <v>1</v>
      </c>
      <c r="AA883" s="25" t="str">
        <f t="shared" ca="1" si="68"/>
        <v>A VENCER</v>
      </c>
      <c r="AB883" s="25" t="str">
        <f t="shared" si="71"/>
        <v>Dosa</v>
      </c>
      <c r="AC883" s="2" t="str">
        <f t="shared" si="70"/>
        <v xml:space="preserve"> CLEITON </v>
      </c>
      <c r="AD883" s="26">
        <f t="shared" si="72"/>
        <v>5</v>
      </c>
      <c r="AE883" s="26">
        <f t="shared" ca="1" si="69"/>
        <v>54.05305405092804</v>
      </c>
      <c r="AF883" s="35"/>
    </row>
    <row r="884" spans="1:32" hidden="1">
      <c r="A884" s="209">
        <v>9303065</v>
      </c>
      <c r="B884" s="209" t="s">
        <v>101</v>
      </c>
      <c r="C884" s="210" t="s">
        <v>1756</v>
      </c>
      <c r="D884" s="214"/>
      <c r="E884" s="214">
        <v>9406000206001</v>
      </c>
      <c r="F884" s="209" t="s">
        <v>29</v>
      </c>
      <c r="G884" s="209" t="s">
        <v>53</v>
      </c>
      <c r="H884" s="209" t="s">
        <v>114</v>
      </c>
      <c r="I884" s="209" t="s">
        <v>115</v>
      </c>
      <c r="J884" s="209" t="s">
        <v>46</v>
      </c>
      <c r="K884" s="210" t="s">
        <v>34</v>
      </c>
      <c r="L884" s="210"/>
      <c r="M884" s="209" t="s">
        <v>35</v>
      </c>
      <c r="N884" s="209">
        <v>42318949</v>
      </c>
      <c r="O884" s="209" t="s">
        <v>105</v>
      </c>
      <c r="P884" s="215">
        <v>44932.623217592591</v>
      </c>
      <c r="Q884" s="209"/>
      <c r="R884" s="209" t="s">
        <v>38</v>
      </c>
      <c r="S884" s="209"/>
      <c r="T884" s="209" t="s">
        <v>74</v>
      </c>
      <c r="U884" s="215">
        <v>44932.75</v>
      </c>
      <c r="V884" s="209" t="s">
        <v>41</v>
      </c>
      <c r="W884" s="209" t="s">
        <v>49</v>
      </c>
      <c r="X884" s="13" t="str">
        <f>IF(RIGHT(H884,2)&lt;&gt;"00",H884,"")</f>
        <v/>
      </c>
      <c r="Y884" s="26">
        <f ca="1">NETWORKDAYS(P884,$Y$1)</f>
        <v>39</v>
      </c>
      <c r="Z884" s="34">
        <v>1</v>
      </c>
      <c r="AA884" s="25" t="str">
        <f t="shared" ca="1" si="68"/>
        <v>A VENCER</v>
      </c>
      <c r="AB884" s="25" t="str">
        <f t="shared" si="71"/>
        <v>Dosa</v>
      </c>
      <c r="AC884" s="2" t="str">
        <f t="shared" si="70"/>
        <v xml:space="preserve"> CLEITON </v>
      </c>
      <c r="AD884" s="26">
        <f t="shared" si="72"/>
        <v>5</v>
      </c>
      <c r="AE884" s="26">
        <f t="shared" ca="1" si="69"/>
        <v>54.05305405092804</v>
      </c>
      <c r="AF884" s="35"/>
    </row>
    <row r="885" spans="1:32" hidden="1">
      <c r="A885" s="209">
        <v>9301760</v>
      </c>
      <c r="B885" s="209" t="s">
        <v>101</v>
      </c>
      <c r="C885" s="210" t="s">
        <v>1761</v>
      </c>
      <c r="D885" s="214"/>
      <c r="E885" s="214">
        <v>9704000206001</v>
      </c>
      <c r="F885" s="209" t="s">
        <v>29</v>
      </c>
      <c r="G885" s="209" t="s">
        <v>53</v>
      </c>
      <c r="H885" s="209" t="s">
        <v>488</v>
      </c>
      <c r="I885" s="209" t="s">
        <v>489</v>
      </c>
      <c r="J885" s="209" t="s">
        <v>164</v>
      </c>
      <c r="K885" s="210" t="s">
        <v>34</v>
      </c>
      <c r="L885" s="210"/>
      <c r="M885" s="209" t="s">
        <v>35</v>
      </c>
      <c r="N885" s="209">
        <v>42318949</v>
      </c>
      <c r="O885" s="209" t="s">
        <v>105</v>
      </c>
      <c r="P885" s="215">
        <v>44932.480995370373</v>
      </c>
      <c r="Q885" s="209"/>
      <c r="R885" s="209" t="s">
        <v>38</v>
      </c>
      <c r="S885" s="209"/>
      <c r="T885" s="209" t="s">
        <v>74</v>
      </c>
      <c r="U885" s="215">
        <v>44932.75</v>
      </c>
      <c r="V885" s="209" t="s">
        <v>41</v>
      </c>
      <c r="W885" s="209" t="s">
        <v>49</v>
      </c>
      <c r="X885" s="13" t="str">
        <f>IF(RIGHT(H885,2)&lt;&gt;"00",H885,"")</f>
        <v/>
      </c>
      <c r="Y885" s="26">
        <f ca="1">NETWORKDAYS(P885,$Y$1)</f>
        <v>39</v>
      </c>
      <c r="Z885" s="34">
        <v>1</v>
      </c>
      <c r="AA885" s="25" t="str">
        <f t="shared" ca="1" si="68"/>
        <v>A VENCER</v>
      </c>
      <c r="AB885" s="25" t="str">
        <f t="shared" si="71"/>
        <v>Dosa</v>
      </c>
      <c r="AC885" s="2" t="str">
        <f t="shared" si="70"/>
        <v xml:space="preserve"> ROSEMERE </v>
      </c>
      <c r="AD885" s="26">
        <f t="shared" si="72"/>
        <v>5</v>
      </c>
      <c r="AE885" s="26">
        <f t="shared" ca="1" si="69"/>
        <v>54.195276273145282</v>
      </c>
      <c r="AF885" s="35"/>
    </row>
    <row r="886" spans="1:32" hidden="1">
      <c r="A886" s="209">
        <v>9301759</v>
      </c>
      <c r="B886" s="209" t="s">
        <v>101</v>
      </c>
      <c r="C886" s="210" t="s">
        <v>1761</v>
      </c>
      <c r="D886" s="214"/>
      <c r="E886" s="214">
        <v>9704000206001</v>
      </c>
      <c r="F886" s="209" t="s">
        <v>29</v>
      </c>
      <c r="G886" s="209" t="s">
        <v>53</v>
      </c>
      <c r="H886" s="209" t="s">
        <v>488</v>
      </c>
      <c r="I886" s="209" t="s">
        <v>489</v>
      </c>
      <c r="J886" s="209" t="s">
        <v>164</v>
      </c>
      <c r="K886" s="210" t="s">
        <v>34</v>
      </c>
      <c r="L886" s="210"/>
      <c r="M886" s="209" t="s">
        <v>35</v>
      </c>
      <c r="N886" s="209">
        <v>42318949</v>
      </c>
      <c r="O886" s="209" t="s">
        <v>105</v>
      </c>
      <c r="P886" s="215">
        <v>44932.480995370373</v>
      </c>
      <c r="Q886" s="209"/>
      <c r="R886" s="209" t="s">
        <v>38</v>
      </c>
      <c r="S886" s="209"/>
      <c r="T886" s="209" t="s">
        <v>74</v>
      </c>
      <c r="U886" s="215">
        <v>44932.75</v>
      </c>
      <c r="V886" s="209" t="s">
        <v>41</v>
      </c>
      <c r="W886" s="209" t="s">
        <v>49</v>
      </c>
      <c r="X886" s="13" t="str">
        <f>IF(RIGHT(H886,2)&lt;&gt;"00",H886,"")</f>
        <v/>
      </c>
      <c r="Y886" s="26">
        <f ca="1">NETWORKDAYS(P886,$Y$1)</f>
        <v>39</v>
      </c>
      <c r="Z886" s="34">
        <v>1</v>
      </c>
      <c r="AA886" s="25" t="str">
        <f t="shared" ca="1" si="68"/>
        <v>A VENCER</v>
      </c>
      <c r="AB886" s="25" t="str">
        <f t="shared" si="71"/>
        <v>Dosa</v>
      </c>
      <c r="AC886" s="2" t="str">
        <f t="shared" si="70"/>
        <v xml:space="preserve"> ROSEMERE </v>
      </c>
      <c r="AD886" s="26">
        <f t="shared" si="72"/>
        <v>5</v>
      </c>
      <c r="AE886" s="26">
        <f t="shared" ca="1" si="69"/>
        <v>54.195276273145282</v>
      </c>
      <c r="AF886" s="35"/>
    </row>
    <row r="887" spans="1:32" hidden="1">
      <c r="A887" s="209">
        <v>9301758</v>
      </c>
      <c r="B887" s="209" t="s">
        <v>101</v>
      </c>
      <c r="C887" s="210" t="s">
        <v>1761</v>
      </c>
      <c r="D887" s="214"/>
      <c r="E887" s="214">
        <v>9704000206001</v>
      </c>
      <c r="F887" s="209" t="s">
        <v>29</v>
      </c>
      <c r="G887" s="209" t="s">
        <v>53</v>
      </c>
      <c r="H887" s="209" t="s">
        <v>488</v>
      </c>
      <c r="I887" s="209" t="s">
        <v>489</v>
      </c>
      <c r="J887" s="209" t="s">
        <v>164</v>
      </c>
      <c r="K887" s="210" t="s">
        <v>34</v>
      </c>
      <c r="L887" s="210"/>
      <c r="M887" s="209" t="s">
        <v>35</v>
      </c>
      <c r="N887" s="209">
        <v>42318949</v>
      </c>
      <c r="O887" s="209" t="s">
        <v>105</v>
      </c>
      <c r="P887" s="215">
        <v>44932.480995370373</v>
      </c>
      <c r="Q887" s="209"/>
      <c r="R887" s="209" t="s">
        <v>38</v>
      </c>
      <c r="S887" s="209"/>
      <c r="T887" s="209" t="s">
        <v>74</v>
      </c>
      <c r="U887" s="215">
        <v>44932.75</v>
      </c>
      <c r="V887" s="209" t="s">
        <v>41</v>
      </c>
      <c r="W887" s="209" t="s">
        <v>49</v>
      </c>
      <c r="X887" s="13" t="str">
        <f>IF(RIGHT(H887,2)&lt;&gt;"00",H887,"")</f>
        <v/>
      </c>
      <c r="Y887" s="26">
        <f ca="1">NETWORKDAYS(P887,$Y$1)</f>
        <v>39</v>
      </c>
      <c r="Z887" s="34">
        <v>1</v>
      </c>
      <c r="AA887" s="25" t="str">
        <f t="shared" ca="1" si="68"/>
        <v>A VENCER</v>
      </c>
      <c r="AB887" s="25" t="str">
        <f t="shared" si="71"/>
        <v>Dosa</v>
      </c>
      <c r="AC887" s="2" t="str">
        <f t="shared" si="70"/>
        <v xml:space="preserve"> ROSEMERE </v>
      </c>
      <c r="AD887" s="26">
        <f t="shared" si="72"/>
        <v>5</v>
      </c>
      <c r="AE887" s="26">
        <f t="shared" ca="1" si="69"/>
        <v>54.195276273145282</v>
      </c>
      <c r="AF887" s="35"/>
    </row>
    <row r="888" spans="1:32" hidden="1">
      <c r="A888" s="209">
        <v>9301757</v>
      </c>
      <c r="B888" s="209" t="s">
        <v>101</v>
      </c>
      <c r="C888" s="210" t="s">
        <v>1761</v>
      </c>
      <c r="D888" s="214"/>
      <c r="E888" s="214">
        <v>9704000206001</v>
      </c>
      <c r="F888" s="209" t="s">
        <v>29</v>
      </c>
      <c r="G888" s="209" t="s">
        <v>53</v>
      </c>
      <c r="H888" s="209" t="s">
        <v>488</v>
      </c>
      <c r="I888" s="209" t="s">
        <v>489</v>
      </c>
      <c r="J888" s="209" t="s">
        <v>164</v>
      </c>
      <c r="K888" s="210" t="s">
        <v>34</v>
      </c>
      <c r="L888" s="210"/>
      <c r="M888" s="209" t="s">
        <v>35</v>
      </c>
      <c r="N888" s="209">
        <v>42318949</v>
      </c>
      <c r="O888" s="209" t="s">
        <v>105</v>
      </c>
      <c r="P888" s="215">
        <v>44932.480995370373</v>
      </c>
      <c r="Q888" s="209"/>
      <c r="R888" s="209" t="s">
        <v>38</v>
      </c>
      <c r="S888" s="209"/>
      <c r="T888" s="209" t="s">
        <v>74</v>
      </c>
      <c r="U888" s="215">
        <v>44932.75</v>
      </c>
      <c r="V888" s="209" t="s">
        <v>41</v>
      </c>
      <c r="W888" s="209" t="s">
        <v>49</v>
      </c>
      <c r="X888" s="13" t="str">
        <f>IF(RIGHT(H888,2)&lt;&gt;"00",H888,"")</f>
        <v/>
      </c>
      <c r="Y888" s="26">
        <f ca="1">NETWORKDAYS(P888,$Y$1)</f>
        <v>39</v>
      </c>
      <c r="Z888" s="34">
        <v>1</v>
      </c>
      <c r="AA888" s="25" t="str">
        <f t="shared" ca="1" si="68"/>
        <v>A VENCER</v>
      </c>
      <c r="AB888" s="25" t="str">
        <f t="shared" si="71"/>
        <v>Dosa</v>
      </c>
      <c r="AC888" s="2" t="str">
        <f t="shared" si="70"/>
        <v xml:space="preserve"> ROSEMERE </v>
      </c>
      <c r="AD888" s="26">
        <f t="shared" si="72"/>
        <v>5</v>
      </c>
      <c r="AE888" s="26">
        <f t="shared" ca="1" si="69"/>
        <v>54.195276273145282</v>
      </c>
      <c r="AF888" s="35"/>
    </row>
    <row r="889" spans="1:32" hidden="1">
      <c r="A889" s="209">
        <v>9301753</v>
      </c>
      <c r="B889" s="209" t="s">
        <v>101</v>
      </c>
      <c r="C889" s="210" t="s">
        <v>1761</v>
      </c>
      <c r="D889" s="214"/>
      <c r="E889" s="214">
        <v>9700000206001</v>
      </c>
      <c r="F889" s="209" t="s">
        <v>29</v>
      </c>
      <c r="G889" s="209" t="s">
        <v>53</v>
      </c>
      <c r="H889" s="209" t="s">
        <v>209</v>
      </c>
      <c r="I889" s="209" t="s">
        <v>210</v>
      </c>
      <c r="J889" s="209" t="s">
        <v>211</v>
      </c>
      <c r="K889" s="210" t="s">
        <v>34</v>
      </c>
      <c r="L889" s="210"/>
      <c r="M889" s="209" t="s">
        <v>35</v>
      </c>
      <c r="N889" s="209">
        <v>42318949</v>
      </c>
      <c r="O889" s="209" t="s">
        <v>105</v>
      </c>
      <c r="P889" s="215">
        <v>44932.480983796297</v>
      </c>
      <c r="Q889" s="209"/>
      <c r="R889" s="209" t="s">
        <v>38</v>
      </c>
      <c r="S889" s="209"/>
      <c r="T889" s="209" t="s">
        <v>74</v>
      </c>
      <c r="U889" s="215">
        <v>44932.75</v>
      </c>
      <c r="V889" s="209" t="s">
        <v>41</v>
      </c>
      <c r="W889" s="209" t="s">
        <v>49</v>
      </c>
      <c r="X889" s="13" t="str">
        <f>IF(RIGHT(H889,2)&lt;&gt;"00",H889,"")</f>
        <v/>
      </c>
      <c r="Y889" s="26">
        <f ca="1">NETWORKDAYS(P889,$Y$1)</f>
        <v>39</v>
      </c>
      <c r="Z889" s="34">
        <v>1</v>
      </c>
      <c r="AA889" s="25" t="str">
        <f t="shared" ca="1" si="68"/>
        <v>A VENCER</v>
      </c>
      <c r="AB889" s="25" t="str">
        <f t="shared" si="71"/>
        <v>Dosa</v>
      </c>
      <c r="AC889" s="2" t="str">
        <f t="shared" si="70"/>
        <v xml:space="preserve"> RINALDO </v>
      </c>
      <c r="AD889" s="26">
        <f t="shared" si="72"/>
        <v>5</v>
      </c>
      <c r="AE889" s="26">
        <f t="shared" ca="1" si="69"/>
        <v>54.195287847222062</v>
      </c>
      <c r="AF889" s="35"/>
    </row>
    <row r="890" spans="1:32" hidden="1">
      <c r="A890" s="209">
        <v>9301752</v>
      </c>
      <c r="B890" s="209" t="s">
        <v>101</v>
      </c>
      <c r="C890" s="210" t="s">
        <v>1761</v>
      </c>
      <c r="D890" s="214"/>
      <c r="E890" s="214">
        <v>9700000206001</v>
      </c>
      <c r="F890" s="209" t="s">
        <v>29</v>
      </c>
      <c r="G890" s="209" t="s">
        <v>53</v>
      </c>
      <c r="H890" s="209" t="s">
        <v>209</v>
      </c>
      <c r="I890" s="209" t="s">
        <v>210</v>
      </c>
      <c r="J890" s="209" t="s">
        <v>211</v>
      </c>
      <c r="K890" s="210" t="s">
        <v>34</v>
      </c>
      <c r="L890" s="210"/>
      <c r="M890" s="209" t="s">
        <v>35</v>
      </c>
      <c r="N890" s="209">
        <v>42318949</v>
      </c>
      <c r="O890" s="209" t="s">
        <v>105</v>
      </c>
      <c r="P890" s="215">
        <v>44932.480983796297</v>
      </c>
      <c r="Q890" s="209"/>
      <c r="R890" s="209" t="s">
        <v>38</v>
      </c>
      <c r="S890" s="209"/>
      <c r="T890" s="209" t="s">
        <v>74</v>
      </c>
      <c r="U890" s="215">
        <v>44932.75</v>
      </c>
      <c r="V890" s="209" t="s">
        <v>41</v>
      </c>
      <c r="W890" s="209" t="s">
        <v>49</v>
      </c>
      <c r="X890" s="13" t="str">
        <f>IF(RIGHT(H890,2)&lt;&gt;"00",H890,"")</f>
        <v/>
      </c>
      <c r="Y890" s="26">
        <f ca="1">NETWORKDAYS(P890,$Y$1)</f>
        <v>39</v>
      </c>
      <c r="Z890" s="34">
        <v>1</v>
      </c>
      <c r="AA890" s="25" t="str">
        <f t="shared" ca="1" si="68"/>
        <v>A VENCER</v>
      </c>
      <c r="AB890" s="25" t="str">
        <f t="shared" si="71"/>
        <v>Dosa</v>
      </c>
      <c r="AC890" s="2" t="str">
        <f t="shared" si="70"/>
        <v xml:space="preserve"> RINALDO </v>
      </c>
      <c r="AD890" s="26">
        <f t="shared" si="72"/>
        <v>5</v>
      </c>
      <c r="AE890" s="26">
        <f t="shared" ca="1" si="69"/>
        <v>54.195287847222062</v>
      </c>
      <c r="AF890" s="35"/>
    </row>
    <row r="891" spans="1:32" hidden="1">
      <c r="A891" s="209">
        <v>9301751</v>
      </c>
      <c r="B891" s="209" t="s">
        <v>101</v>
      </c>
      <c r="C891" s="210" t="s">
        <v>1761</v>
      </c>
      <c r="D891" s="214"/>
      <c r="E891" s="214">
        <v>9700000206001</v>
      </c>
      <c r="F891" s="209" t="s">
        <v>29</v>
      </c>
      <c r="G891" s="209" t="s">
        <v>53</v>
      </c>
      <c r="H891" s="209" t="s">
        <v>209</v>
      </c>
      <c r="I891" s="209" t="s">
        <v>210</v>
      </c>
      <c r="J891" s="209" t="s">
        <v>211</v>
      </c>
      <c r="K891" s="210" t="s">
        <v>34</v>
      </c>
      <c r="L891" s="210"/>
      <c r="M891" s="209" t="s">
        <v>35</v>
      </c>
      <c r="N891" s="209">
        <v>42318949</v>
      </c>
      <c r="O891" s="209" t="s">
        <v>105</v>
      </c>
      <c r="P891" s="215">
        <v>44932.480983796297</v>
      </c>
      <c r="Q891" s="209"/>
      <c r="R891" s="209" t="s">
        <v>38</v>
      </c>
      <c r="S891" s="209"/>
      <c r="T891" s="209" t="s">
        <v>74</v>
      </c>
      <c r="U891" s="215">
        <v>44932.75</v>
      </c>
      <c r="V891" s="209" t="s">
        <v>41</v>
      </c>
      <c r="W891" s="209" t="s">
        <v>49</v>
      </c>
      <c r="X891" s="13" t="str">
        <f>IF(RIGHT(H891,2)&lt;&gt;"00",H891,"")</f>
        <v/>
      </c>
      <c r="Y891" s="26">
        <f ca="1">NETWORKDAYS(P891,$Y$1)</f>
        <v>39</v>
      </c>
      <c r="Z891" s="34">
        <v>1</v>
      </c>
      <c r="AA891" s="25" t="str">
        <f t="shared" ca="1" si="68"/>
        <v>A VENCER</v>
      </c>
      <c r="AB891" s="25" t="str">
        <f t="shared" si="71"/>
        <v>Dosa</v>
      </c>
      <c r="AC891" s="2" t="str">
        <f t="shared" si="70"/>
        <v xml:space="preserve"> RINALDO </v>
      </c>
      <c r="AD891" s="26">
        <f t="shared" si="72"/>
        <v>5</v>
      </c>
      <c r="AE891" s="26">
        <f t="shared" ca="1" si="69"/>
        <v>54.195287847222062</v>
      </c>
      <c r="AF891" s="35"/>
    </row>
    <row r="892" spans="1:32" hidden="1">
      <c r="A892" s="209">
        <v>9301480</v>
      </c>
      <c r="B892" s="209" t="s">
        <v>101</v>
      </c>
      <c r="C892" s="210" t="s">
        <v>1761</v>
      </c>
      <c r="D892" s="214"/>
      <c r="E892" s="214">
        <v>9406000206001</v>
      </c>
      <c r="F892" s="209" t="s">
        <v>29</v>
      </c>
      <c r="G892" s="209" t="s">
        <v>53</v>
      </c>
      <c r="H892" s="209" t="s">
        <v>114</v>
      </c>
      <c r="I892" s="209" t="s">
        <v>115</v>
      </c>
      <c r="J892" s="209" t="s">
        <v>46</v>
      </c>
      <c r="K892" s="210" t="s">
        <v>34</v>
      </c>
      <c r="L892" s="210"/>
      <c r="M892" s="209" t="s">
        <v>35</v>
      </c>
      <c r="N892" s="209">
        <v>42318949</v>
      </c>
      <c r="O892" s="209" t="s">
        <v>105</v>
      </c>
      <c r="P892" s="215">
        <v>44932.48060185185</v>
      </c>
      <c r="Q892" s="209"/>
      <c r="R892" s="209" t="s">
        <v>38</v>
      </c>
      <c r="S892" s="209"/>
      <c r="T892" s="209" t="s">
        <v>74</v>
      </c>
      <c r="U892" s="215">
        <v>44932.75</v>
      </c>
      <c r="V892" s="209" t="s">
        <v>41</v>
      </c>
      <c r="W892" s="209" t="s">
        <v>49</v>
      </c>
      <c r="X892" s="13" t="str">
        <f>IF(RIGHT(H892,2)&lt;&gt;"00",H892,"")</f>
        <v/>
      </c>
      <c r="Y892" s="26">
        <f ca="1">NETWORKDAYS(P892,$Y$1)</f>
        <v>39</v>
      </c>
      <c r="Z892" s="34">
        <v>1</v>
      </c>
      <c r="AA892" s="25" t="str">
        <f t="shared" ca="1" si="68"/>
        <v>A VENCER</v>
      </c>
      <c r="AB892" s="25" t="str">
        <f t="shared" si="71"/>
        <v>Dosa</v>
      </c>
      <c r="AC892" s="2" t="str">
        <f t="shared" si="70"/>
        <v xml:space="preserve"> CLEITON </v>
      </c>
      <c r="AD892" s="26">
        <f t="shared" si="72"/>
        <v>5</v>
      </c>
      <c r="AE892" s="26">
        <f t="shared" ca="1" si="69"/>
        <v>54.195669791668479</v>
      </c>
      <c r="AF892" s="35"/>
    </row>
    <row r="893" spans="1:32" hidden="1">
      <c r="A893" s="209">
        <v>9301479</v>
      </c>
      <c r="B893" s="209" t="s">
        <v>101</v>
      </c>
      <c r="C893" s="210" t="s">
        <v>1761</v>
      </c>
      <c r="D893" s="214"/>
      <c r="E893" s="214">
        <v>9406000206001</v>
      </c>
      <c r="F893" s="209" t="s">
        <v>29</v>
      </c>
      <c r="G893" s="209" t="s">
        <v>53</v>
      </c>
      <c r="H893" s="209" t="s">
        <v>114</v>
      </c>
      <c r="I893" s="209" t="s">
        <v>115</v>
      </c>
      <c r="J893" s="209" t="s">
        <v>46</v>
      </c>
      <c r="K893" s="210" t="s">
        <v>34</v>
      </c>
      <c r="L893" s="210"/>
      <c r="M893" s="209" t="s">
        <v>35</v>
      </c>
      <c r="N893" s="209">
        <v>42318949</v>
      </c>
      <c r="O893" s="209" t="s">
        <v>105</v>
      </c>
      <c r="P893" s="215">
        <v>44932.48060185185</v>
      </c>
      <c r="Q893" s="209"/>
      <c r="R893" s="209" t="s">
        <v>38</v>
      </c>
      <c r="S893" s="209"/>
      <c r="T893" s="209" t="s">
        <v>74</v>
      </c>
      <c r="U893" s="215">
        <v>44932.75</v>
      </c>
      <c r="V893" s="209" t="s">
        <v>41</v>
      </c>
      <c r="W893" s="209" t="s">
        <v>49</v>
      </c>
      <c r="X893" s="13" t="str">
        <f>IF(RIGHT(H893,2)&lt;&gt;"00",H893,"")</f>
        <v/>
      </c>
      <c r="Y893" s="26">
        <f ca="1">NETWORKDAYS(P893,$Y$1)</f>
        <v>39</v>
      </c>
      <c r="Z893" s="34">
        <v>1</v>
      </c>
      <c r="AA893" s="25" t="str">
        <f t="shared" ca="1" si="68"/>
        <v>A VENCER</v>
      </c>
      <c r="AB893" s="25" t="str">
        <f t="shared" si="71"/>
        <v>Dosa</v>
      </c>
      <c r="AC893" s="2" t="str">
        <f t="shared" si="70"/>
        <v xml:space="preserve"> CLEITON </v>
      </c>
      <c r="AD893" s="26">
        <f t="shared" si="72"/>
        <v>5</v>
      </c>
      <c r="AE893" s="26">
        <f t="shared" ca="1" si="69"/>
        <v>54.195669791668479</v>
      </c>
      <c r="AF893" s="35"/>
    </row>
    <row r="894" spans="1:32" hidden="1">
      <c r="A894" s="209">
        <v>9301478</v>
      </c>
      <c r="B894" s="209" t="s">
        <v>101</v>
      </c>
      <c r="C894" s="210" t="s">
        <v>1761</v>
      </c>
      <c r="D894" s="214"/>
      <c r="E894" s="214">
        <v>9406000206001</v>
      </c>
      <c r="F894" s="209" t="s">
        <v>29</v>
      </c>
      <c r="G894" s="209" t="s">
        <v>53</v>
      </c>
      <c r="H894" s="209" t="s">
        <v>114</v>
      </c>
      <c r="I894" s="209" t="s">
        <v>115</v>
      </c>
      <c r="J894" s="209" t="s">
        <v>46</v>
      </c>
      <c r="K894" s="210" t="s">
        <v>34</v>
      </c>
      <c r="L894" s="210"/>
      <c r="M894" s="209" t="s">
        <v>35</v>
      </c>
      <c r="N894" s="209">
        <v>42318949</v>
      </c>
      <c r="O894" s="209" t="s">
        <v>105</v>
      </c>
      <c r="P894" s="215">
        <v>44932.48060185185</v>
      </c>
      <c r="Q894" s="209"/>
      <c r="R894" s="209" t="s">
        <v>38</v>
      </c>
      <c r="S894" s="209"/>
      <c r="T894" s="209" t="s">
        <v>74</v>
      </c>
      <c r="U894" s="215">
        <v>44932.75</v>
      </c>
      <c r="V894" s="209" t="s">
        <v>41</v>
      </c>
      <c r="W894" s="209" t="s">
        <v>49</v>
      </c>
      <c r="X894" s="13" t="str">
        <f>IF(RIGHT(H894,2)&lt;&gt;"00",H894,"")</f>
        <v/>
      </c>
      <c r="Y894" s="26">
        <f ca="1">NETWORKDAYS(P894,$Y$1)</f>
        <v>39</v>
      </c>
      <c r="Z894" s="34">
        <v>1</v>
      </c>
      <c r="AA894" s="25" t="str">
        <f t="shared" ca="1" si="68"/>
        <v>A VENCER</v>
      </c>
      <c r="AB894" s="25" t="str">
        <f t="shared" si="71"/>
        <v>Dosa</v>
      </c>
      <c r="AC894" s="2" t="str">
        <f t="shared" si="70"/>
        <v xml:space="preserve"> CLEITON </v>
      </c>
      <c r="AD894" s="26">
        <f t="shared" si="72"/>
        <v>5</v>
      </c>
      <c r="AE894" s="26">
        <f t="shared" ca="1" si="69"/>
        <v>54.195669791668479</v>
      </c>
      <c r="AF894" s="35"/>
    </row>
    <row r="895" spans="1:32" hidden="1">
      <c r="A895" s="209">
        <v>9301477</v>
      </c>
      <c r="B895" s="209" t="s">
        <v>101</v>
      </c>
      <c r="C895" s="210" t="s">
        <v>1761</v>
      </c>
      <c r="D895" s="214"/>
      <c r="E895" s="214">
        <v>9406000206001</v>
      </c>
      <c r="F895" s="209" t="s">
        <v>29</v>
      </c>
      <c r="G895" s="209" t="s">
        <v>53</v>
      </c>
      <c r="H895" s="209" t="s">
        <v>114</v>
      </c>
      <c r="I895" s="209" t="s">
        <v>115</v>
      </c>
      <c r="J895" s="209" t="s">
        <v>46</v>
      </c>
      <c r="K895" s="210" t="s">
        <v>34</v>
      </c>
      <c r="L895" s="210"/>
      <c r="M895" s="209" t="s">
        <v>35</v>
      </c>
      <c r="N895" s="209">
        <v>42318949</v>
      </c>
      <c r="O895" s="209" t="s">
        <v>105</v>
      </c>
      <c r="P895" s="215">
        <v>44932.48060185185</v>
      </c>
      <c r="Q895" s="209"/>
      <c r="R895" s="209" t="s">
        <v>38</v>
      </c>
      <c r="S895" s="209"/>
      <c r="T895" s="209" t="s">
        <v>74</v>
      </c>
      <c r="U895" s="215">
        <v>44932.75</v>
      </c>
      <c r="V895" s="209" t="s">
        <v>41</v>
      </c>
      <c r="W895" s="209" t="s">
        <v>49</v>
      </c>
      <c r="X895" s="13" t="str">
        <f>IF(RIGHT(H895,2)&lt;&gt;"00",H895,"")</f>
        <v/>
      </c>
      <c r="Y895" s="26">
        <f ca="1">NETWORKDAYS(P895,$Y$1)</f>
        <v>39</v>
      </c>
      <c r="Z895" s="34">
        <v>1</v>
      </c>
      <c r="AA895" s="25" t="str">
        <f t="shared" ca="1" si="68"/>
        <v>A VENCER</v>
      </c>
      <c r="AB895" s="25" t="str">
        <f t="shared" si="71"/>
        <v>Dosa</v>
      </c>
      <c r="AC895" s="2" t="str">
        <f t="shared" si="70"/>
        <v xml:space="preserve"> CLEITON </v>
      </c>
      <c r="AD895" s="26">
        <f t="shared" si="72"/>
        <v>5</v>
      </c>
      <c r="AE895" s="26">
        <f t="shared" ca="1" si="69"/>
        <v>54.195669791668479</v>
      </c>
      <c r="AF895" s="35"/>
    </row>
    <row r="896" spans="1:32" hidden="1">
      <c r="A896" s="209">
        <v>9301476</v>
      </c>
      <c r="B896" s="209" t="s">
        <v>101</v>
      </c>
      <c r="C896" s="210" t="s">
        <v>1761</v>
      </c>
      <c r="D896" s="214"/>
      <c r="E896" s="214">
        <v>9406000206001</v>
      </c>
      <c r="F896" s="209" t="s">
        <v>29</v>
      </c>
      <c r="G896" s="209" t="s">
        <v>53</v>
      </c>
      <c r="H896" s="209" t="s">
        <v>114</v>
      </c>
      <c r="I896" s="209" t="s">
        <v>115</v>
      </c>
      <c r="J896" s="209" t="s">
        <v>46</v>
      </c>
      <c r="K896" s="210" t="s">
        <v>34</v>
      </c>
      <c r="L896" s="210"/>
      <c r="M896" s="209" t="s">
        <v>35</v>
      </c>
      <c r="N896" s="209">
        <v>42318949</v>
      </c>
      <c r="O896" s="209" t="s">
        <v>105</v>
      </c>
      <c r="P896" s="215">
        <v>44932.48060185185</v>
      </c>
      <c r="Q896" s="209"/>
      <c r="R896" s="209" t="s">
        <v>38</v>
      </c>
      <c r="S896" s="209"/>
      <c r="T896" s="209" t="s">
        <v>74</v>
      </c>
      <c r="U896" s="215">
        <v>44932.75</v>
      </c>
      <c r="V896" s="209" t="s">
        <v>41</v>
      </c>
      <c r="W896" s="209" t="s">
        <v>49</v>
      </c>
      <c r="X896" s="13" t="str">
        <f>IF(RIGHT(H896,2)&lt;&gt;"00",H896,"")</f>
        <v/>
      </c>
      <c r="Y896" s="26">
        <f ca="1">NETWORKDAYS(P896,$Y$1)</f>
        <v>39</v>
      </c>
      <c r="Z896" s="34">
        <v>1</v>
      </c>
      <c r="AA896" s="25" t="str">
        <f t="shared" ca="1" si="68"/>
        <v>A VENCER</v>
      </c>
      <c r="AB896" s="25" t="str">
        <f t="shared" si="71"/>
        <v>Dosa</v>
      </c>
      <c r="AC896" s="2" t="str">
        <f t="shared" si="70"/>
        <v xml:space="preserve"> CLEITON </v>
      </c>
      <c r="AD896" s="26">
        <f t="shared" si="72"/>
        <v>5</v>
      </c>
      <c r="AE896" s="26">
        <f t="shared" ca="1" si="69"/>
        <v>54.195669791668479</v>
      </c>
      <c r="AF896" s="35"/>
    </row>
    <row r="897" spans="1:32" hidden="1">
      <c r="A897" s="209">
        <v>9301475</v>
      </c>
      <c r="B897" s="209" t="s">
        <v>101</v>
      </c>
      <c r="C897" s="210" t="s">
        <v>1761</v>
      </c>
      <c r="D897" s="214"/>
      <c r="E897" s="214">
        <v>9406000206001</v>
      </c>
      <c r="F897" s="209" t="s">
        <v>29</v>
      </c>
      <c r="G897" s="209" t="s">
        <v>53</v>
      </c>
      <c r="H897" s="209" t="s">
        <v>114</v>
      </c>
      <c r="I897" s="209" t="s">
        <v>115</v>
      </c>
      <c r="J897" s="209" t="s">
        <v>46</v>
      </c>
      <c r="K897" s="210" t="s">
        <v>34</v>
      </c>
      <c r="L897" s="210"/>
      <c r="M897" s="209" t="s">
        <v>35</v>
      </c>
      <c r="N897" s="209">
        <v>42318949</v>
      </c>
      <c r="O897" s="209" t="s">
        <v>105</v>
      </c>
      <c r="P897" s="215">
        <v>44932.480590277781</v>
      </c>
      <c r="Q897" s="209"/>
      <c r="R897" s="209" t="s">
        <v>38</v>
      </c>
      <c r="S897" s="209"/>
      <c r="T897" s="209" t="s">
        <v>74</v>
      </c>
      <c r="U897" s="215">
        <v>44932.75</v>
      </c>
      <c r="V897" s="209" t="s">
        <v>41</v>
      </c>
      <c r="W897" s="209" t="s">
        <v>49</v>
      </c>
      <c r="X897" s="13" t="str">
        <f>IF(RIGHT(H897,2)&lt;&gt;"00",H897,"")</f>
        <v/>
      </c>
      <c r="Y897" s="26">
        <f ca="1">NETWORKDAYS(P897,$Y$1)</f>
        <v>39</v>
      </c>
      <c r="Z897" s="34">
        <v>1</v>
      </c>
      <c r="AA897" s="25" t="str">
        <f t="shared" ca="1" si="68"/>
        <v>A VENCER</v>
      </c>
      <c r="AB897" s="25" t="str">
        <f t="shared" si="71"/>
        <v>Dosa</v>
      </c>
      <c r="AC897" s="2" t="str">
        <f t="shared" si="70"/>
        <v xml:space="preserve"> CLEITON </v>
      </c>
      <c r="AD897" s="26">
        <f t="shared" si="72"/>
        <v>5</v>
      </c>
      <c r="AE897" s="26">
        <f t="shared" ca="1" si="69"/>
        <v>54.195681365737983</v>
      </c>
      <c r="AF897" s="35"/>
    </row>
    <row r="898" spans="1:32" hidden="1">
      <c r="A898" s="209">
        <v>9301474</v>
      </c>
      <c r="B898" s="209" t="s">
        <v>101</v>
      </c>
      <c r="C898" s="210" t="s">
        <v>1761</v>
      </c>
      <c r="D898" s="214"/>
      <c r="E898" s="214">
        <v>9406000206001</v>
      </c>
      <c r="F898" s="209" t="s">
        <v>29</v>
      </c>
      <c r="G898" s="209" t="s">
        <v>53</v>
      </c>
      <c r="H898" s="209" t="s">
        <v>114</v>
      </c>
      <c r="I898" s="209" t="s">
        <v>115</v>
      </c>
      <c r="J898" s="209" t="s">
        <v>46</v>
      </c>
      <c r="K898" s="210" t="s">
        <v>34</v>
      </c>
      <c r="L898" s="210"/>
      <c r="M898" s="209" t="s">
        <v>35</v>
      </c>
      <c r="N898" s="209">
        <v>42318949</v>
      </c>
      <c r="O898" s="209" t="s">
        <v>105</v>
      </c>
      <c r="P898" s="215">
        <v>44932.480590277781</v>
      </c>
      <c r="Q898" s="209"/>
      <c r="R898" s="209" t="s">
        <v>38</v>
      </c>
      <c r="S898" s="209"/>
      <c r="T898" s="209" t="s">
        <v>74</v>
      </c>
      <c r="U898" s="215">
        <v>44932.75</v>
      </c>
      <c r="V898" s="209" t="s">
        <v>41</v>
      </c>
      <c r="W898" s="209" t="s">
        <v>49</v>
      </c>
      <c r="X898" s="13" t="str">
        <f>IF(RIGHT(H898,2)&lt;&gt;"00",H898,"")</f>
        <v/>
      </c>
      <c r="Y898" s="26">
        <f ca="1">NETWORKDAYS(P898,$Y$1)</f>
        <v>39</v>
      </c>
      <c r="Z898" s="34">
        <v>1</v>
      </c>
      <c r="AA898" s="25" t="str">
        <f t="shared" ref="AA898:AA961" ca="1" si="73">IF(AE898=0,"HOJE",IF(AE898&gt;0,"A VENCER",IF(AE898&lt;0,"VENCIDO")))</f>
        <v>A VENCER</v>
      </c>
      <c r="AB898" s="25" t="str">
        <f t="shared" si="71"/>
        <v>Dosa</v>
      </c>
      <c r="AC898" s="2" t="str">
        <f t="shared" si="70"/>
        <v xml:space="preserve"> CLEITON </v>
      </c>
      <c r="AD898" s="26">
        <f t="shared" si="72"/>
        <v>5</v>
      </c>
      <c r="AE898" s="26">
        <f t="shared" ref="AE898:AE961" ca="1" si="74">IF(P898=$AE$1,"",$AE$1-P898)</f>
        <v>54.195681365737983</v>
      </c>
      <c r="AF898" s="35"/>
    </row>
    <row r="899" spans="1:32" hidden="1">
      <c r="A899" s="209">
        <v>9301473</v>
      </c>
      <c r="B899" s="209" t="s">
        <v>101</v>
      </c>
      <c r="C899" s="210" t="s">
        <v>1761</v>
      </c>
      <c r="D899" s="214"/>
      <c r="E899" s="214">
        <v>9406000206001</v>
      </c>
      <c r="F899" s="209" t="s">
        <v>29</v>
      </c>
      <c r="G899" s="209" t="s">
        <v>53</v>
      </c>
      <c r="H899" s="209" t="s">
        <v>114</v>
      </c>
      <c r="I899" s="209" t="s">
        <v>115</v>
      </c>
      <c r="J899" s="209" t="s">
        <v>46</v>
      </c>
      <c r="K899" s="210" t="s">
        <v>34</v>
      </c>
      <c r="L899" s="210"/>
      <c r="M899" s="209" t="s">
        <v>35</v>
      </c>
      <c r="N899" s="209">
        <v>42318949</v>
      </c>
      <c r="O899" s="209" t="s">
        <v>105</v>
      </c>
      <c r="P899" s="215">
        <v>44932.480590277781</v>
      </c>
      <c r="Q899" s="209"/>
      <c r="R899" s="209" t="s">
        <v>38</v>
      </c>
      <c r="S899" s="209"/>
      <c r="T899" s="209" t="s">
        <v>74</v>
      </c>
      <c r="U899" s="215">
        <v>44932.75</v>
      </c>
      <c r="V899" s="209" t="s">
        <v>41</v>
      </c>
      <c r="W899" s="209" t="s">
        <v>49</v>
      </c>
      <c r="X899" s="13" t="str">
        <f>IF(RIGHT(H899,2)&lt;&gt;"00",H899,"")</f>
        <v/>
      </c>
      <c r="Y899" s="26">
        <f ca="1">NETWORKDAYS(P899,$Y$1)</f>
        <v>39</v>
      </c>
      <c r="Z899" s="34">
        <v>1</v>
      </c>
      <c r="AA899" s="25" t="str">
        <f t="shared" ca="1" si="73"/>
        <v>A VENCER</v>
      </c>
      <c r="AB899" s="25" t="str">
        <f t="shared" si="71"/>
        <v>Dosa</v>
      </c>
      <c r="AC899" s="2" t="str">
        <f t="shared" ref="AC899:AC962" si="75">IF(J899="TR-PETROLINA"," ROSEMERE ",IF(J899="TR-GARANHUNS"," ROSEMERE ",IF(J899="TR-CARUARU"," ROSEMERE ",IF(J899="TR-RIBEIRAO"," CRISTINA ",IF(J899="TR-GRAVATA"," CRISTINA ",IF(J899="TR-GOIANA"," CRISTINA ",IF(J899="TR-LIMOEIRO"," CRISTINA ",IF(J899="TR-SERRA TALHADA"," RINALDO ",IF(J899="TR-SALGUEIRO"," RINALDO ",IF(J899="TR-CARNAIBA"," RINALDO ",IF(J899="TR-ARCOVERDE"," RINALDO ",IF(J899="CAT-RECIFE"," CLEITON ",))))))))))))</f>
        <v xml:space="preserve"> CLEITON </v>
      </c>
      <c r="AD899" s="26">
        <f t="shared" si="72"/>
        <v>5</v>
      </c>
      <c r="AE899" s="26">
        <f t="shared" ca="1" si="74"/>
        <v>54.195681365737983</v>
      </c>
      <c r="AF899" s="35"/>
    </row>
    <row r="900" spans="1:32" hidden="1">
      <c r="A900" s="209">
        <v>9301472</v>
      </c>
      <c r="B900" s="209" t="s">
        <v>101</v>
      </c>
      <c r="C900" s="210" t="s">
        <v>1761</v>
      </c>
      <c r="D900" s="214"/>
      <c r="E900" s="214">
        <v>9406000206001</v>
      </c>
      <c r="F900" s="209" t="s">
        <v>29</v>
      </c>
      <c r="G900" s="209" t="s">
        <v>53</v>
      </c>
      <c r="H900" s="209" t="s">
        <v>114</v>
      </c>
      <c r="I900" s="209" t="s">
        <v>115</v>
      </c>
      <c r="J900" s="209" t="s">
        <v>46</v>
      </c>
      <c r="K900" s="210" t="s">
        <v>34</v>
      </c>
      <c r="L900" s="210"/>
      <c r="M900" s="209" t="s">
        <v>35</v>
      </c>
      <c r="N900" s="209">
        <v>42318949</v>
      </c>
      <c r="O900" s="209" t="s">
        <v>105</v>
      </c>
      <c r="P900" s="215">
        <v>44932.480590277781</v>
      </c>
      <c r="Q900" s="209"/>
      <c r="R900" s="209" t="s">
        <v>38</v>
      </c>
      <c r="S900" s="209"/>
      <c r="T900" s="209" t="s">
        <v>74</v>
      </c>
      <c r="U900" s="215">
        <v>44932.75</v>
      </c>
      <c r="V900" s="209" t="s">
        <v>41</v>
      </c>
      <c r="W900" s="209" t="s">
        <v>49</v>
      </c>
      <c r="X900" s="13" t="str">
        <f>IF(RIGHT(H900,2)&lt;&gt;"00",H900,"")</f>
        <v/>
      </c>
      <c r="Y900" s="26">
        <f ca="1">NETWORKDAYS(P900,$Y$1)</f>
        <v>39</v>
      </c>
      <c r="Z900" s="34">
        <v>1</v>
      </c>
      <c r="AA900" s="25" t="str">
        <f t="shared" ca="1" si="73"/>
        <v>A VENCER</v>
      </c>
      <c r="AB900" s="25" t="str">
        <f t="shared" si="71"/>
        <v>Dosa</v>
      </c>
      <c r="AC900" s="2" t="str">
        <f t="shared" si="75"/>
        <v xml:space="preserve"> CLEITON </v>
      </c>
      <c r="AD900" s="26">
        <f t="shared" si="72"/>
        <v>5</v>
      </c>
      <c r="AE900" s="26">
        <f t="shared" ca="1" si="74"/>
        <v>54.195681365737983</v>
      </c>
      <c r="AF900" s="35"/>
    </row>
    <row r="901" spans="1:32" hidden="1">
      <c r="A901" s="209">
        <v>9301471</v>
      </c>
      <c r="B901" s="209" t="s">
        <v>101</v>
      </c>
      <c r="C901" s="210" t="s">
        <v>1761</v>
      </c>
      <c r="D901" s="214"/>
      <c r="E901" s="214">
        <v>9406000206001</v>
      </c>
      <c r="F901" s="209" t="s">
        <v>29</v>
      </c>
      <c r="G901" s="209" t="s">
        <v>53</v>
      </c>
      <c r="H901" s="209" t="s">
        <v>114</v>
      </c>
      <c r="I901" s="209" t="s">
        <v>115</v>
      </c>
      <c r="J901" s="209" t="s">
        <v>46</v>
      </c>
      <c r="K901" s="210" t="s">
        <v>34</v>
      </c>
      <c r="L901" s="210"/>
      <c r="M901" s="209" t="s">
        <v>35</v>
      </c>
      <c r="N901" s="209">
        <v>42318949</v>
      </c>
      <c r="O901" s="209" t="s">
        <v>105</v>
      </c>
      <c r="P901" s="215">
        <v>44932.480590277781</v>
      </c>
      <c r="Q901" s="209"/>
      <c r="R901" s="209" t="s">
        <v>38</v>
      </c>
      <c r="S901" s="209"/>
      <c r="T901" s="209" t="s">
        <v>74</v>
      </c>
      <c r="U901" s="215">
        <v>44932.75</v>
      </c>
      <c r="V901" s="209" t="s">
        <v>41</v>
      </c>
      <c r="W901" s="209" t="s">
        <v>49</v>
      </c>
      <c r="X901" s="13" t="str">
        <f>IF(RIGHT(H901,2)&lt;&gt;"00",H901,"")</f>
        <v/>
      </c>
      <c r="Y901" s="26">
        <f ca="1">NETWORKDAYS(P901,$Y$1)</f>
        <v>39</v>
      </c>
      <c r="Z901" s="34">
        <v>1</v>
      </c>
      <c r="AA901" s="25" t="str">
        <f t="shared" ca="1" si="73"/>
        <v>A VENCER</v>
      </c>
      <c r="AB901" s="25" t="str">
        <f t="shared" si="71"/>
        <v>Dosa</v>
      </c>
      <c r="AC901" s="2" t="str">
        <f t="shared" si="75"/>
        <v xml:space="preserve"> CLEITON </v>
      </c>
      <c r="AD901" s="26">
        <f t="shared" si="72"/>
        <v>5</v>
      </c>
      <c r="AE901" s="26">
        <f t="shared" ca="1" si="74"/>
        <v>54.195681365737983</v>
      </c>
      <c r="AF901" s="35"/>
    </row>
    <row r="902" spans="1:32" hidden="1">
      <c r="A902" s="209">
        <v>9301080</v>
      </c>
      <c r="B902" s="209" t="s">
        <v>101</v>
      </c>
      <c r="C902" s="210" t="s">
        <v>1761</v>
      </c>
      <c r="D902" s="214"/>
      <c r="E902" s="214">
        <v>4997000206001</v>
      </c>
      <c r="F902" s="209" t="s">
        <v>29</v>
      </c>
      <c r="G902" s="209" t="s">
        <v>53</v>
      </c>
      <c r="H902" s="209" t="s">
        <v>406</v>
      </c>
      <c r="I902" s="209" t="s">
        <v>407</v>
      </c>
      <c r="J902" s="209" t="s">
        <v>79</v>
      </c>
      <c r="K902" s="210" t="s">
        <v>34</v>
      </c>
      <c r="L902" s="210"/>
      <c r="M902" s="209" t="s">
        <v>35</v>
      </c>
      <c r="N902" s="209">
        <v>42318949</v>
      </c>
      <c r="O902" s="209" t="s">
        <v>105</v>
      </c>
      <c r="P902" s="215">
        <v>44932.480011574073</v>
      </c>
      <c r="Q902" s="209"/>
      <c r="R902" s="209" t="s">
        <v>38</v>
      </c>
      <c r="S902" s="209"/>
      <c r="T902" s="209" t="s">
        <v>74</v>
      </c>
      <c r="U902" s="215">
        <v>44932.75</v>
      </c>
      <c r="V902" s="209" t="s">
        <v>41</v>
      </c>
      <c r="W902" s="209" t="s">
        <v>49</v>
      </c>
      <c r="X902" s="13" t="str">
        <f>IF(RIGHT(H902,2)&lt;&gt;"00",H902,"")</f>
        <v/>
      </c>
      <c r="Y902" s="26">
        <f ca="1">NETWORKDAYS(P902,$Y$1)</f>
        <v>39</v>
      </c>
      <c r="Z902" s="34">
        <v>1</v>
      </c>
      <c r="AA902" s="25" t="str">
        <f t="shared" ca="1" si="73"/>
        <v>A VENCER</v>
      </c>
      <c r="AB902" s="25" t="str">
        <f t="shared" si="71"/>
        <v>Dosa</v>
      </c>
      <c r="AC902" s="2" t="str">
        <f t="shared" si="75"/>
        <v xml:space="preserve"> ROSEMERE </v>
      </c>
      <c r="AD902" s="26">
        <f t="shared" si="72"/>
        <v>5</v>
      </c>
      <c r="AE902" s="26">
        <f t="shared" ca="1" si="74"/>
        <v>54.196260069445998</v>
      </c>
      <c r="AF902" s="35"/>
    </row>
    <row r="903" spans="1:32" hidden="1">
      <c r="A903" s="209">
        <v>9301028</v>
      </c>
      <c r="B903" s="209" t="s">
        <v>101</v>
      </c>
      <c r="C903" s="210" t="s">
        <v>1761</v>
      </c>
      <c r="D903" s="214"/>
      <c r="E903" s="214">
        <v>4637000206001</v>
      </c>
      <c r="F903" s="209" t="s">
        <v>29</v>
      </c>
      <c r="G903" s="209" t="s">
        <v>53</v>
      </c>
      <c r="H903" s="209" t="s">
        <v>848</v>
      </c>
      <c r="I903" s="209" t="s">
        <v>849</v>
      </c>
      <c r="J903" s="209" t="s">
        <v>79</v>
      </c>
      <c r="K903" s="210" t="s">
        <v>34</v>
      </c>
      <c r="L903" s="210"/>
      <c r="M903" s="209" t="s">
        <v>35</v>
      </c>
      <c r="N903" s="209">
        <v>42318949</v>
      </c>
      <c r="O903" s="209" t="s">
        <v>105</v>
      </c>
      <c r="P903" s="215">
        <v>44932.479930555557</v>
      </c>
      <c r="Q903" s="209"/>
      <c r="R903" s="209" t="s">
        <v>38</v>
      </c>
      <c r="S903" s="209"/>
      <c r="T903" s="209" t="s">
        <v>74</v>
      </c>
      <c r="U903" s="215">
        <v>44932.75</v>
      </c>
      <c r="V903" s="209" t="s">
        <v>41</v>
      </c>
      <c r="W903" s="209" t="s">
        <v>49</v>
      </c>
      <c r="X903" s="13" t="str">
        <f>IF(RIGHT(H903,2)&lt;&gt;"00",H903,"")</f>
        <v/>
      </c>
      <c r="Y903" s="26">
        <f ca="1">NETWORKDAYS(P903,$Y$1)</f>
        <v>39</v>
      </c>
      <c r="Z903" s="34">
        <v>1</v>
      </c>
      <c r="AA903" s="25" t="str">
        <f t="shared" ca="1" si="73"/>
        <v>A VENCER</v>
      </c>
      <c r="AB903" s="25" t="str">
        <f t="shared" si="71"/>
        <v>Dosa</v>
      </c>
      <c r="AC903" s="2" t="str">
        <f t="shared" si="75"/>
        <v xml:space="preserve"> ROSEMERE </v>
      </c>
      <c r="AD903" s="26">
        <f t="shared" si="72"/>
        <v>5</v>
      </c>
      <c r="AE903" s="26">
        <f t="shared" ca="1" si="74"/>
        <v>54.196341087961628</v>
      </c>
      <c r="AF903" s="35"/>
    </row>
    <row r="904" spans="1:32" hidden="1">
      <c r="A904" s="209">
        <v>9301024</v>
      </c>
      <c r="B904" s="209" t="s">
        <v>101</v>
      </c>
      <c r="C904" s="210" t="s">
        <v>1761</v>
      </c>
      <c r="D904" s="214"/>
      <c r="E904" s="214">
        <v>4623000206001</v>
      </c>
      <c r="F904" s="209" t="s">
        <v>29</v>
      </c>
      <c r="G904" s="209" t="s">
        <v>53</v>
      </c>
      <c r="H904" s="209" t="s">
        <v>669</v>
      </c>
      <c r="I904" s="209" t="s">
        <v>670</v>
      </c>
      <c r="J904" s="209" t="s">
        <v>33</v>
      </c>
      <c r="K904" s="210" t="s">
        <v>34</v>
      </c>
      <c r="L904" s="210"/>
      <c r="M904" s="209" t="s">
        <v>35</v>
      </c>
      <c r="N904" s="209">
        <v>42318949</v>
      </c>
      <c r="O904" s="209" t="s">
        <v>105</v>
      </c>
      <c r="P904" s="215">
        <v>44932.47991898148</v>
      </c>
      <c r="Q904" s="209"/>
      <c r="R904" s="209" t="s">
        <v>38</v>
      </c>
      <c r="S904" s="209"/>
      <c r="T904" s="209" t="s">
        <v>74</v>
      </c>
      <c r="U904" s="215">
        <v>44932.75</v>
      </c>
      <c r="V904" s="209" t="s">
        <v>41</v>
      </c>
      <c r="W904" s="209" t="s">
        <v>42</v>
      </c>
      <c r="X904" s="13" t="str">
        <f>IF(RIGHT(H904,2)&lt;&gt;"00",H904,"")</f>
        <v/>
      </c>
      <c r="Y904" s="26">
        <f ca="1">NETWORKDAYS(P904,$Y$1)</f>
        <v>39</v>
      </c>
      <c r="Z904" s="34">
        <v>1</v>
      </c>
      <c r="AA904" s="25" t="str">
        <f t="shared" ca="1" si="73"/>
        <v>A VENCER</v>
      </c>
      <c r="AB904" s="25" t="str">
        <f t="shared" si="71"/>
        <v>Dosa</v>
      </c>
      <c r="AC904" s="2" t="str">
        <f t="shared" si="75"/>
        <v xml:space="preserve"> ROSEMERE </v>
      </c>
      <c r="AD904" s="26">
        <f t="shared" si="72"/>
        <v>5</v>
      </c>
      <c r="AE904" s="26">
        <f t="shared" ca="1" si="74"/>
        <v>54.196352662038407</v>
      </c>
      <c r="AF904" s="35"/>
    </row>
    <row r="905" spans="1:32" hidden="1">
      <c r="A905" s="209">
        <v>9301023</v>
      </c>
      <c r="B905" s="209" t="s">
        <v>101</v>
      </c>
      <c r="C905" s="210" t="s">
        <v>1761</v>
      </c>
      <c r="D905" s="214"/>
      <c r="E905" s="214">
        <v>4623000206001</v>
      </c>
      <c r="F905" s="209" t="s">
        <v>29</v>
      </c>
      <c r="G905" s="209" t="s">
        <v>53</v>
      </c>
      <c r="H905" s="209" t="s">
        <v>669</v>
      </c>
      <c r="I905" s="209" t="s">
        <v>670</v>
      </c>
      <c r="J905" s="209" t="s">
        <v>33</v>
      </c>
      <c r="K905" s="210" t="s">
        <v>34</v>
      </c>
      <c r="L905" s="210"/>
      <c r="M905" s="209" t="s">
        <v>35</v>
      </c>
      <c r="N905" s="209">
        <v>42318949</v>
      </c>
      <c r="O905" s="209" t="s">
        <v>105</v>
      </c>
      <c r="P905" s="215">
        <v>44932.47991898148</v>
      </c>
      <c r="Q905" s="209"/>
      <c r="R905" s="209" t="s">
        <v>38</v>
      </c>
      <c r="S905" s="209"/>
      <c r="T905" s="209" t="s">
        <v>74</v>
      </c>
      <c r="U905" s="215">
        <v>44932.75</v>
      </c>
      <c r="V905" s="209" t="s">
        <v>41</v>
      </c>
      <c r="W905" s="209" t="s">
        <v>42</v>
      </c>
      <c r="X905" s="13" t="str">
        <f>IF(RIGHT(H905,2)&lt;&gt;"00",H905,"")</f>
        <v/>
      </c>
      <c r="Y905" s="26">
        <f ca="1">NETWORKDAYS(P905,$Y$1)</f>
        <v>39</v>
      </c>
      <c r="Z905" s="34">
        <v>1</v>
      </c>
      <c r="AA905" s="25" t="str">
        <f t="shared" ca="1" si="73"/>
        <v>A VENCER</v>
      </c>
      <c r="AB905" s="25" t="str">
        <f t="shared" si="71"/>
        <v>Dosa</v>
      </c>
      <c r="AC905" s="2" t="str">
        <f t="shared" si="75"/>
        <v xml:space="preserve"> ROSEMERE </v>
      </c>
      <c r="AD905" s="26">
        <f t="shared" si="72"/>
        <v>5</v>
      </c>
      <c r="AE905" s="26">
        <f t="shared" ca="1" si="74"/>
        <v>54.196352662038407</v>
      </c>
      <c r="AF905" s="35"/>
    </row>
    <row r="906" spans="1:32" hidden="1">
      <c r="A906" s="209">
        <v>9301022</v>
      </c>
      <c r="B906" s="209" t="s">
        <v>101</v>
      </c>
      <c r="C906" s="210" t="s">
        <v>1761</v>
      </c>
      <c r="D906" s="214"/>
      <c r="E906" s="214">
        <v>4623000206001</v>
      </c>
      <c r="F906" s="209" t="s">
        <v>29</v>
      </c>
      <c r="G906" s="209" t="s">
        <v>53</v>
      </c>
      <c r="H906" s="209" t="s">
        <v>669</v>
      </c>
      <c r="I906" s="209" t="s">
        <v>670</v>
      </c>
      <c r="J906" s="209" t="s">
        <v>33</v>
      </c>
      <c r="K906" s="210" t="s">
        <v>34</v>
      </c>
      <c r="L906" s="210"/>
      <c r="M906" s="209" t="s">
        <v>35</v>
      </c>
      <c r="N906" s="209">
        <v>42318949</v>
      </c>
      <c r="O906" s="209" t="s">
        <v>105</v>
      </c>
      <c r="P906" s="215">
        <v>44932.47991898148</v>
      </c>
      <c r="Q906" s="209"/>
      <c r="R906" s="209" t="s">
        <v>38</v>
      </c>
      <c r="S906" s="209"/>
      <c r="T906" s="209" t="s">
        <v>74</v>
      </c>
      <c r="U906" s="215">
        <v>44932.75</v>
      </c>
      <c r="V906" s="209" t="s">
        <v>41</v>
      </c>
      <c r="W906" s="209" t="s">
        <v>42</v>
      </c>
      <c r="X906" s="13" t="str">
        <f>IF(RIGHT(H906,2)&lt;&gt;"00",H906,"")</f>
        <v/>
      </c>
      <c r="Y906" s="26">
        <f ca="1">NETWORKDAYS(P906,$Y$1)</f>
        <v>39</v>
      </c>
      <c r="Z906" s="34">
        <v>1</v>
      </c>
      <c r="AA906" s="25" t="str">
        <f t="shared" ca="1" si="73"/>
        <v>A VENCER</v>
      </c>
      <c r="AB906" s="25" t="str">
        <f t="shared" si="71"/>
        <v>Dosa</v>
      </c>
      <c r="AC906" s="2" t="str">
        <f t="shared" si="75"/>
        <v xml:space="preserve"> ROSEMERE </v>
      </c>
      <c r="AD906" s="26">
        <f t="shared" si="72"/>
        <v>5</v>
      </c>
      <c r="AE906" s="26">
        <f t="shared" ca="1" si="74"/>
        <v>54.196352662038407</v>
      </c>
      <c r="AF906" s="35"/>
    </row>
    <row r="907" spans="1:32" hidden="1">
      <c r="A907" s="209">
        <v>9300867</v>
      </c>
      <c r="B907" s="209" t="s">
        <v>101</v>
      </c>
      <c r="C907" s="210" t="s">
        <v>1761</v>
      </c>
      <c r="D907" s="214"/>
      <c r="E907" s="214">
        <v>4012000206001</v>
      </c>
      <c r="F907" s="209" t="s">
        <v>29</v>
      </c>
      <c r="G907" s="209" t="s">
        <v>53</v>
      </c>
      <c r="H907" s="209" t="s">
        <v>349</v>
      </c>
      <c r="I907" s="209" t="s">
        <v>350</v>
      </c>
      <c r="J907" s="209" t="s">
        <v>261</v>
      </c>
      <c r="K907" s="210" t="s">
        <v>34</v>
      </c>
      <c r="L907" s="210"/>
      <c r="M907" s="209" t="s">
        <v>35</v>
      </c>
      <c r="N907" s="209">
        <v>42318949</v>
      </c>
      <c r="O907" s="209" t="s">
        <v>105</v>
      </c>
      <c r="P907" s="215">
        <v>44932.479664351849</v>
      </c>
      <c r="Q907" s="209"/>
      <c r="R907" s="209" t="s">
        <v>38</v>
      </c>
      <c r="S907" s="209"/>
      <c r="T907" s="209" t="s">
        <v>74</v>
      </c>
      <c r="U907" s="215">
        <v>44932.75</v>
      </c>
      <c r="V907" s="209" t="s">
        <v>41</v>
      </c>
      <c r="W907" s="209" t="s">
        <v>49</v>
      </c>
      <c r="X907" s="13" t="str">
        <f>IF(RIGHT(H907,2)&lt;&gt;"00",H907,"")</f>
        <v/>
      </c>
      <c r="Y907" s="26">
        <f ca="1">NETWORKDAYS(P907,$Y$1)</f>
        <v>39</v>
      </c>
      <c r="Z907" s="34">
        <v>1</v>
      </c>
      <c r="AA907" s="25" t="str">
        <f t="shared" ca="1" si="73"/>
        <v>A VENCER</v>
      </c>
      <c r="AB907" s="25" t="str">
        <f t="shared" si="71"/>
        <v>Dosa</v>
      </c>
      <c r="AC907" s="2" t="str">
        <f t="shared" si="75"/>
        <v xml:space="preserve"> CRISTINA </v>
      </c>
      <c r="AD907" s="26">
        <f t="shared" si="72"/>
        <v>5</v>
      </c>
      <c r="AE907" s="26">
        <f t="shared" ca="1" si="74"/>
        <v>54.196607291669352</v>
      </c>
      <c r="AF907" s="35"/>
    </row>
    <row r="908" spans="1:32" hidden="1">
      <c r="A908" s="209">
        <v>9300825</v>
      </c>
      <c r="B908" s="209" t="s">
        <v>101</v>
      </c>
      <c r="C908" s="210" t="s">
        <v>1761</v>
      </c>
      <c r="D908" s="214"/>
      <c r="E908" s="214">
        <v>3924000206001</v>
      </c>
      <c r="F908" s="209" t="s">
        <v>29</v>
      </c>
      <c r="G908" s="209" t="s">
        <v>53</v>
      </c>
      <c r="H908" s="209" t="s">
        <v>153</v>
      </c>
      <c r="I908" s="209" t="s">
        <v>154</v>
      </c>
      <c r="J908" s="209" t="s">
        <v>56</v>
      </c>
      <c r="K908" s="210" t="s">
        <v>34</v>
      </c>
      <c r="L908" s="210"/>
      <c r="M908" s="209" t="s">
        <v>35</v>
      </c>
      <c r="N908" s="209">
        <v>42318949</v>
      </c>
      <c r="O908" s="209" t="s">
        <v>105</v>
      </c>
      <c r="P908" s="215">
        <v>44932.479594907411</v>
      </c>
      <c r="Q908" s="209"/>
      <c r="R908" s="209" t="s">
        <v>38</v>
      </c>
      <c r="S908" s="209"/>
      <c r="T908" s="209" t="s">
        <v>74</v>
      </c>
      <c r="U908" s="215">
        <v>44932.75</v>
      </c>
      <c r="V908" s="209" t="s">
        <v>41</v>
      </c>
      <c r="W908" s="209" t="s">
        <v>49</v>
      </c>
      <c r="X908" s="13" t="str">
        <f>IF(RIGHT(H908,2)&lt;&gt;"00",H908,"")</f>
        <v/>
      </c>
      <c r="Y908" s="26">
        <f ca="1">NETWORKDAYS(P908,$Y$1)</f>
        <v>39</v>
      </c>
      <c r="Z908" s="34">
        <v>1</v>
      </c>
      <c r="AA908" s="25" t="str">
        <f t="shared" ca="1" si="73"/>
        <v>A VENCER</v>
      </c>
      <c r="AB908" s="25" t="str">
        <f t="shared" si="71"/>
        <v>Dosa</v>
      </c>
      <c r="AC908" s="2" t="str">
        <f t="shared" si="75"/>
        <v xml:space="preserve"> CRISTINA </v>
      </c>
      <c r="AD908" s="26">
        <f t="shared" si="72"/>
        <v>5</v>
      </c>
      <c r="AE908" s="26">
        <f t="shared" ca="1" si="74"/>
        <v>54.196676736108202</v>
      </c>
      <c r="AF908" s="35"/>
    </row>
    <row r="909" spans="1:32" hidden="1">
      <c r="A909" s="209">
        <v>9300610</v>
      </c>
      <c r="B909" s="209" t="s">
        <v>101</v>
      </c>
      <c r="C909" s="210" t="s">
        <v>1761</v>
      </c>
      <c r="D909" s="214"/>
      <c r="E909" s="214">
        <v>3258000206001</v>
      </c>
      <c r="F909" s="209" t="s">
        <v>29</v>
      </c>
      <c r="G909" s="209" t="s">
        <v>53</v>
      </c>
      <c r="H909" s="209" t="s">
        <v>321</v>
      </c>
      <c r="I909" s="209" t="s">
        <v>322</v>
      </c>
      <c r="J909" s="209" t="s">
        <v>46</v>
      </c>
      <c r="K909" s="210" t="s">
        <v>34</v>
      </c>
      <c r="L909" s="210"/>
      <c r="M909" s="209" t="s">
        <v>35</v>
      </c>
      <c r="N909" s="209">
        <v>42318949</v>
      </c>
      <c r="O909" s="209" t="s">
        <v>105</v>
      </c>
      <c r="P909" s="215">
        <v>44932.479178240741</v>
      </c>
      <c r="Q909" s="209"/>
      <c r="R909" s="209" t="s">
        <v>38</v>
      </c>
      <c r="S909" s="209"/>
      <c r="T909" s="209" t="s">
        <v>74</v>
      </c>
      <c r="U909" s="215">
        <v>44932.75</v>
      </c>
      <c r="V909" s="209" t="s">
        <v>41</v>
      </c>
      <c r="W909" s="209" t="s">
        <v>49</v>
      </c>
      <c r="X909" s="13" t="str">
        <f>IF(RIGHT(H909,2)&lt;&gt;"00",H909,"")</f>
        <v/>
      </c>
      <c r="Y909" s="26">
        <f ca="1">NETWORKDAYS(P909,$Y$1)</f>
        <v>39</v>
      </c>
      <c r="Z909" s="34">
        <v>1</v>
      </c>
      <c r="AA909" s="25" t="str">
        <f t="shared" ca="1" si="73"/>
        <v>A VENCER</v>
      </c>
      <c r="AB909" s="25" t="str">
        <f t="shared" si="71"/>
        <v>Dosa</v>
      </c>
      <c r="AC909" s="2" t="str">
        <f t="shared" si="75"/>
        <v xml:space="preserve"> CLEITON </v>
      </c>
      <c r="AD909" s="26">
        <f t="shared" si="72"/>
        <v>5</v>
      </c>
      <c r="AE909" s="26">
        <f t="shared" ca="1" si="74"/>
        <v>54.197093402777682</v>
      </c>
      <c r="AF909" s="35"/>
    </row>
    <row r="910" spans="1:32" hidden="1">
      <c r="A910" s="209">
        <v>9300609</v>
      </c>
      <c r="B910" s="209" t="s">
        <v>101</v>
      </c>
      <c r="C910" s="210" t="s">
        <v>1761</v>
      </c>
      <c r="D910" s="214"/>
      <c r="E910" s="214">
        <v>3258000206001</v>
      </c>
      <c r="F910" s="209" t="s">
        <v>29</v>
      </c>
      <c r="G910" s="209" t="s">
        <v>53</v>
      </c>
      <c r="H910" s="209" t="s">
        <v>321</v>
      </c>
      <c r="I910" s="209" t="s">
        <v>322</v>
      </c>
      <c r="J910" s="209" t="s">
        <v>46</v>
      </c>
      <c r="K910" s="210" t="s">
        <v>34</v>
      </c>
      <c r="L910" s="210"/>
      <c r="M910" s="209" t="s">
        <v>35</v>
      </c>
      <c r="N910" s="209">
        <v>42318949</v>
      </c>
      <c r="O910" s="209" t="s">
        <v>105</v>
      </c>
      <c r="P910" s="215">
        <v>44932.479178240741</v>
      </c>
      <c r="Q910" s="209"/>
      <c r="R910" s="209" t="s">
        <v>38</v>
      </c>
      <c r="S910" s="209"/>
      <c r="T910" s="209" t="s">
        <v>74</v>
      </c>
      <c r="U910" s="215">
        <v>44932.75</v>
      </c>
      <c r="V910" s="209" t="s">
        <v>41</v>
      </c>
      <c r="W910" s="209" t="s">
        <v>49</v>
      </c>
      <c r="X910" s="13" t="str">
        <f>IF(RIGHT(H910,2)&lt;&gt;"00",H910,"")</f>
        <v/>
      </c>
      <c r="Y910" s="26">
        <f ca="1">NETWORKDAYS(P910,$Y$1)</f>
        <v>39</v>
      </c>
      <c r="Z910" s="34">
        <v>1</v>
      </c>
      <c r="AA910" s="25" t="str">
        <f t="shared" ca="1" si="73"/>
        <v>A VENCER</v>
      </c>
      <c r="AB910" s="25" t="str">
        <f t="shared" si="71"/>
        <v>Dosa</v>
      </c>
      <c r="AC910" s="2" t="str">
        <f t="shared" si="75"/>
        <v xml:space="preserve"> CLEITON </v>
      </c>
      <c r="AD910" s="26">
        <f t="shared" si="72"/>
        <v>5</v>
      </c>
      <c r="AE910" s="26">
        <f t="shared" ca="1" si="74"/>
        <v>54.197093402777682</v>
      </c>
      <c r="AF910" s="35"/>
    </row>
    <row r="911" spans="1:32" hidden="1">
      <c r="A911" s="209">
        <v>9300380</v>
      </c>
      <c r="B911" s="209" t="s">
        <v>101</v>
      </c>
      <c r="C911" s="210" t="s">
        <v>1761</v>
      </c>
      <c r="D911" s="214"/>
      <c r="E911" s="214">
        <v>2739000206001</v>
      </c>
      <c r="F911" s="209" t="s">
        <v>29</v>
      </c>
      <c r="G911" s="209" t="s">
        <v>53</v>
      </c>
      <c r="H911" s="209" t="s">
        <v>359</v>
      </c>
      <c r="I911" s="209" t="s">
        <v>360</v>
      </c>
      <c r="J911" s="209" t="s">
        <v>85</v>
      </c>
      <c r="K911" s="210" t="s">
        <v>34</v>
      </c>
      <c r="L911" s="210"/>
      <c r="M911" s="209" t="s">
        <v>35</v>
      </c>
      <c r="N911" s="209">
        <v>42318949</v>
      </c>
      <c r="O911" s="209" t="s">
        <v>36</v>
      </c>
      <c r="P911" s="215">
        <v>44932.478831018518</v>
      </c>
      <c r="Q911" s="209"/>
      <c r="R911" s="209" t="s">
        <v>38</v>
      </c>
      <c r="S911" s="209"/>
      <c r="T911" s="209" t="s">
        <v>74</v>
      </c>
      <c r="U911" s="215">
        <v>44932.75</v>
      </c>
      <c r="V911" s="209" t="s">
        <v>41</v>
      </c>
      <c r="W911" s="209" t="s">
        <v>49</v>
      </c>
      <c r="X911" s="13" t="str">
        <f>IF(RIGHT(H911,2)&lt;&gt;"00",H911,"")</f>
        <v/>
      </c>
      <c r="Y911" s="26">
        <f ca="1">NETWORKDAYS(P911,$Y$1)</f>
        <v>39</v>
      </c>
      <c r="Z911" s="34">
        <v>1</v>
      </c>
      <c r="AA911" s="25" t="str">
        <f t="shared" ca="1" si="73"/>
        <v>A VENCER</v>
      </c>
      <c r="AB911" s="25" t="str">
        <f t="shared" si="71"/>
        <v>Dosa</v>
      </c>
      <c r="AC911" s="2" t="str">
        <f t="shared" si="75"/>
        <v xml:space="preserve"> RINALDO </v>
      </c>
      <c r="AD911" s="26">
        <f t="shared" si="72"/>
        <v>5</v>
      </c>
      <c r="AE911" s="26">
        <f t="shared" ca="1" si="74"/>
        <v>54.197440625001036</v>
      </c>
      <c r="AF911" s="35"/>
    </row>
    <row r="912" spans="1:32" hidden="1">
      <c r="A912" s="209">
        <v>9300311</v>
      </c>
      <c r="B912" s="209" t="s">
        <v>101</v>
      </c>
      <c r="C912" s="210" t="s">
        <v>1761</v>
      </c>
      <c r="D912" s="214"/>
      <c r="E912" s="214">
        <v>2625000206001</v>
      </c>
      <c r="F912" s="209" t="s">
        <v>29</v>
      </c>
      <c r="G912" s="209" t="s">
        <v>53</v>
      </c>
      <c r="H912" s="209" t="s">
        <v>317</v>
      </c>
      <c r="I912" s="209" t="s">
        <v>318</v>
      </c>
      <c r="J912" s="209" t="s">
        <v>164</v>
      </c>
      <c r="K912" s="210" t="s">
        <v>34</v>
      </c>
      <c r="L912" s="210"/>
      <c r="M912" s="209" t="s">
        <v>35</v>
      </c>
      <c r="N912" s="209">
        <v>42318949</v>
      </c>
      <c r="O912" s="209" t="s">
        <v>105</v>
      </c>
      <c r="P912" s="215">
        <v>44932.478738425925</v>
      </c>
      <c r="Q912" s="209"/>
      <c r="R912" s="209" t="s">
        <v>38</v>
      </c>
      <c r="S912" s="209"/>
      <c r="T912" s="209" t="s">
        <v>74</v>
      </c>
      <c r="U912" s="215">
        <v>44932.75</v>
      </c>
      <c r="V912" s="209" t="s">
        <v>41</v>
      </c>
      <c r="W912" s="209" t="s">
        <v>49</v>
      </c>
      <c r="X912" s="13" t="str">
        <f>IF(RIGHT(H912,2)&lt;&gt;"00",H912,"")</f>
        <v/>
      </c>
      <c r="Y912" s="26">
        <f ca="1">NETWORKDAYS(P912,$Y$1)</f>
        <v>39</v>
      </c>
      <c r="Z912" s="34">
        <v>1</v>
      </c>
      <c r="AA912" s="25" t="str">
        <f t="shared" ca="1" si="73"/>
        <v>A VENCER</v>
      </c>
      <c r="AB912" s="25" t="str">
        <f t="shared" si="71"/>
        <v>Dosa</v>
      </c>
      <c r="AC912" s="2" t="str">
        <f t="shared" si="75"/>
        <v xml:space="preserve"> ROSEMERE </v>
      </c>
      <c r="AD912" s="26">
        <f t="shared" si="72"/>
        <v>5</v>
      </c>
      <c r="AE912" s="26">
        <f t="shared" ca="1" si="74"/>
        <v>54.197533217593445</v>
      </c>
      <c r="AF912" s="35"/>
    </row>
    <row r="913" spans="1:32" hidden="1">
      <c r="A913" s="209">
        <v>9300300</v>
      </c>
      <c r="B913" s="209" t="s">
        <v>101</v>
      </c>
      <c r="C913" s="210" t="s">
        <v>1761</v>
      </c>
      <c r="D913" s="214"/>
      <c r="E913" s="214">
        <v>2590000206001</v>
      </c>
      <c r="F913" s="209" t="s">
        <v>29</v>
      </c>
      <c r="G913" s="209" t="s">
        <v>53</v>
      </c>
      <c r="H913" s="209" t="s">
        <v>394</v>
      </c>
      <c r="I913" s="209" t="s">
        <v>395</v>
      </c>
      <c r="J913" s="209" t="s">
        <v>148</v>
      </c>
      <c r="K913" s="210" t="s">
        <v>34</v>
      </c>
      <c r="L913" s="210"/>
      <c r="M913" s="209" t="s">
        <v>35</v>
      </c>
      <c r="N913" s="209">
        <v>42318949</v>
      </c>
      <c r="O913" s="209" t="s">
        <v>105</v>
      </c>
      <c r="P913" s="215">
        <v>44932.478726851848</v>
      </c>
      <c r="Q913" s="209"/>
      <c r="R913" s="209" t="s">
        <v>38</v>
      </c>
      <c r="S913" s="209"/>
      <c r="T913" s="209" t="s">
        <v>74</v>
      </c>
      <c r="U913" s="215">
        <v>44932.75</v>
      </c>
      <c r="V913" s="209" t="s">
        <v>41</v>
      </c>
      <c r="W913" s="209" t="s">
        <v>49</v>
      </c>
      <c r="X913" s="13" t="str">
        <f>IF(RIGHT(H913,2)&lt;&gt;"00",H913,"")</f>
        <v/>
      </c>
      <c r="Y913" s="26">
        <f ca="1">NETWORKDAYS(P913,$Y$1)</f>
        <v>39</v>
      </c>
      <c r="Z913" s="34">
        <v>1</v>
      </c>
      <c r="AA913" s="25" t="str">
        <f t="shared" ca="1" si="73"/>
        <v>A VENCER</v>
      </c>
      <c r="AB913" s="25" t="str">
        <f t="shared" si="71"/>
        <v>Dosa</v>
      </c>
      <c r="AC913" s="2" t="str">
        <f t="shared" si="75"/>
        <v xml:space="preserve"> RINALDO </v>
      </c>
      <c r="AD913" s="26">
        <f t="shared" si="72"/>
        <v>5</v>
      </c>
      <c r="AE913" s="26">
        <f t="shared" ca="1" si="74"/>
        <v>54.197544791670225</v>
      </c>
      <c r="AF913" s="35"/>
    </row>
    <row r="914" spans="1:32" hidden="1">
      <c r="A914" s="209">
        <v>9300280</v>
      </c>
      <c r="B914" s="209" t="s">
        <v>101</v>
      </c>
      <c r="C914" s="210" t="s">
        <v>1761</v>
      </c>
      <c r="D914" s="214"/>
      <c r="E914" s="214">
        <v>2529000206001</v>
      </c>
      <c r="F914" s="209" t="s">
        <v>29</v>
      </c>
      <c r="G914" s="209" t="s">
        <v>53</v>
      </c>
      <c r="H914" s="209" t="s">
        <v>355</v>
      </c>
      <c r="I914" s="209" t="s">
        <v>356</v>
      </c>
      <c r="J914" s="209" t="s">
        <v>56</v>
      </c>
      <c r="K914" s="210" t="s">
        <v>34</v>
      </c>
      <c r="L914" s="210"/>
      <c r="M914" s="209" t="s">
        <v>35</v>
      </c>
      <c r="N914" s="209">
        <v>42318949</v>
      </c>
      <c r="O914" s="209" t="s">
        <v>105</v>
      </c>
      <c r="P914" s="215">
        <v>44932.478703703702</v>
      </c>
      <c r="Q914" s="209"/>
      <c r="R914" s="209" t="s">
        <v>38</v>
      </c>
      <c r="S914" s="209"/>
      <c r="T914" s="209" t="s">
        <v>74</v>
      </c>
      <c r="U914" s="215">
        <v>44932.75</v>
      </c>
      <c r="V914" s="209" t="s">
        <v>41</v>
      </c>
      <c r="W914" s="209" t="s">
        <v>49</v>
      </c>
      <c r="X914" s="13" t="str">
        <f>IF(RIGHT(H914,2)&lt;&gt;"00",H914,"")</f>
        <v/>
      </c>
      <c r="Y914" s="26">
        <f ca="1">NETWORKDAYS(P914,$Y$1)</f>
        <v>39</v>
      </c>
      <c r="Z914" s="34">
        <v>1</v>
      </c>
      <c r="AA914" s="25" t="str">
        <f t="shared" ca="1" si="73"/>
        <v>A VENCER</v>
      </c>
      <c r="AB914" s="25" t="str">
        <f t="shared" si="71"/>
        <v>Dosa</v>
      </c>
      <c r="AC914" s="2" t="str">
        <f t="shared" si="75"/>
        <v xml:space="preserve"> CRISTINA </v>
      </c>
      <c r="AD914" s="26">
        <f t="shared" si="72"/>
        <v>5</v>
      </c>
      <c r="AE914" s="26">
        <f t="shared" ca="1" si="74"/>
        <v>54.197567939816508</v>
      </c>
      <c r="AF914" s="35"/>
    </row>
    <row r="915" spans="1:32" hidden="1">
      <c r="A915" s="209">
        <v>9300272</v>
      </c>
      <c r="B915" s="209" t="s">
        <v>101</v>
      </c>
      <c r="C915" s="210" t="s">
        <v>1761</v>
      </c>
      <c r="D915" s="214"/>
      <c r="E915" s="214">
        <v>2473000206001</v>
      </c>
      <c r="F915" s="209" t="s">
        <v>29</v>
      </c>
      <c r="G915" s="209" t="s">
        <v>53</v>
      </c>
      <c r="H915" s="209" t="s">
        <v>1459</v>
      </c>
      <c r="I915" s="209" t="s">
        <v>1460</v>
      </c>
      <c r="J915" s="209" t="s">
        <v>261</v>
      </c>
      <c r="K915" s="210" t="s">
        <v>34</v>
      </c>
      <c r="L915" s="210"/>
      <c r="M915" s="209" t="s">
        <v>35</v>
      </c>
      <c r="N915" s="209">
        <v>42318949</v>
      </c>
      <c r="O915" s="209" t="s">
        <v>105</v>
      </c>
      <c r="P915" s="215">
        <v>44932.478692129633</v>
      </c>
      <c r="Q915" s="209"/>
      <c r="R915" s="209" t="s">
        <v>38</v>
      </c>
      <c r="S915" s="209"/>
      <c r="T915" s="209" t="s">
        <v>74</v>
      </c>
      <c r="U915" s="215">
        <v>44932.75</v>
      </c>
      <c r="V915" s="209" t="s">
        <v>41</v>
      </c>
      <c r="W915" s="209" t="s">
        <v>49</v>
      </c>
      <c r="X915" s="13" t="str">
        <f>IF(RIGHT(H915,2)&lt;&gt;"00",H915,"")</f>
        <v/>
      </c>
      <c r="Y915" s="26">
        <f ca="1">NETWORKDAYS(P915,$Y$1)</f>
        <v>39</v>
      </c>
      <c r="Z915" s="34">
        <v>1</v>
      </c>
      <c r="AA915" s="25" t="str">
        <f t="shared" ca="1" si="73"/>
        <v>A VENCER</v>
      </c>
      <c r="AB915" s="25" t="str">
        <f t="shared" si="71"/>
        <v>Dosa</v>
      </c>
      <c r="AC915" s="2" t="str">
        <f t="shared" si="75"/>
        <v xml:space="preserve"> CRISTINA </v>
      </c>
      <c r="AD915" s="26">
        <f t="shared" si="72"/>
        <v>5</v>
      </c>
      <c r="AE915" s="26">
        <f t="shared" ca="1" si="74"/>
        <v>54.197579513886012</v>
      </c>
      <c r="AF915" s="35"/>
    </row>
    <row r="916" spans="1:32" hidden="1">
      <c r="A916" s="209">
        <v>9300254</v>
      </c>
      <c r="B916" s="209" t="s">
        <v>101</v>
      </c>
      <c r="C916" s="210" t="s">
        <v>1761</v>
      </c>
      <c r="D916" s="214"/>
      <c r="E916" s="214">
        <v>2437000206001</v>
      </c>
      <c r="F916" s="209" t="s">
        <v>29</v>
      </c>
      <c r="G916" s="209" t="s">
        <v>53</v>
      </c>
      <c r="H916" s="209" t="s">
        <v>416</v>
      </c>
      <c r="I916" s="209" t="s">
        <v>417</v>
      </c>
      <c r="J916" s="209" t="s">
        <v>211</v>
      </c>
      <c r="K916" s="210" t="s">
        <v>34</v>
      </c>
      <c r="L916" s="210"/>
      <c r="M916" s="209" t="s">
        <v>35</v>
      </c>
      <c r="N916" s="209">
        <v>42318949</v>
      </c>
      <c r="O916" s="209" t="s">
        <v>105</v>
      </c>
      <c r="P916" s="215">
        <v>44932.478668981479</v>
      </c>
      <c r="Q916" s="209"/>
      <c r="R916" s="209" t="s">
        <v>38</v>
      </c>
      <c r="S916" s="209"/>
      <c r="T916" s="209" t="s">
        <v>74</v>
      </c>
      <c r="U916" s="215">
        <v>44932.75</v>
      </c>
      <c r="V916" s="209" t="s">
        <v>41</v>
      </c>
      <c r="W916" s="209" t="s">
        <v>49</v>
      </c>
      <c r="X916" s="13" t="str">
        <f>IF(RIGHT(H916,2)&lt;&gt;"00",H916,"")</f>
        <v/>
      </c>
      <c r="Y916" s="26">
        <f ca="1">NETWORKDAYS(P916,$Y$1)</f>
        <v>39</v>
      </c>
      <c r="Z916" s="34">
        <v>1</v>
      </c>
      <c r="AA916" s="25" t="str">
        <f t="shared" ca="1" si="73"/>
        <v>A VENCER</v>
      </c>
      <c r="AB916" s="25" t="str">
        <f t="shared" si="71"/>
        <v>Dosa</v>
      </c>
      <c r="AC916" s="2" t="str">
        <f t="shared" si="75"/>
        <v xml:space="preserve"> RINALDO </v>
      </c>
      <c r="AD916" s="26">
        <f t="shared" si="72"/>
        <v>5</v>
      </c>
      <c r="AE916" s="26">
        <f t="shared" ca="1" si="74"/>
        <v>54.197602662039571</v>
      </c>
      <c r="AF916" s="35"/>
    </row>
    <row r="917" spans="1:32" hidden="1">
      <c r="A917" s="209">
        <v>9300253</v>
      </c>
      <c r="B917" s="209" t="s">
        <v>101</v>
      </c>
      <c r="C917" s="210" t="s">
        <v>1761</v>
      </c>
      <c r="D917" s="214"/>
      <c r="E917" s="214">
        <v>2437000206001</v>
      </c>
      <c r="F917" s="209" t="s">
        <v>29</v>
      </c>
      <c r="G917" s="209" t="s">
        <v>53</v>
      </c>
      <c r="H917" s="209" t="s">
        <v>416</v>
      </c>
      <c r="I917" s="209" t="s">
        <v>417</v>
      </c>
      <c r="J917" s="209" t="s">
        <v>211</v>
      </c>
      <c r="K917" s="210" t="s">
        <v>34</v>
      </c>
      <c r="L917" s="210"/>
      <c r="M917" s="209" t="s">
        <v>35</v>
      </c>
      <c r="N917" s="209">
        <v>42318949</v>
      </c>
      <c r="O917" s="209" t="s">
        <v>105</v>
      </c>
      <c r="P917" s="215">
        <v>44932.478668981479</v>
      </c>
      <c r="Q917" s="209"/>
      <c r="R917" s="209" t="s">
        <v>38</v>
      </c>
      <c r="S917" s="209"/>
      <c r="T917" s="209" t="s">
        <v>74</v>
      </c>
      <c r="U917" s="215">
        <v>44932.75</v>
      </c>
      <c r="V917" s="209" t="s">
        <v>41</v>
      </c>
      <c r="W917" s="209" t="s">
        <v>49</v>
      </c>
      <c r="X917" s="13" t="str">
        <f>IF(RIGHT(H917,2)&lt;&gt;"00",H917,"")</f>
        <v/>
      </c>
      <c r="Y917" s="26">
        <f ca="1">NETWORKDAYS(P917,$Y$1)</f>
        <v>39</v>
      </c>
      <c r="Z917" s="34">
        <v>1</v>
      </c>
      <c r="AA917" s="25" t="str">
        <f t="shared" ca="1" si="73"/>
        <v>A VENCER</v>
      </c>
      <c r="AB917" s="25" t="str">
        <f t="shared" si="71"/>
        <v>Dosa</v>
      </c>
      <c r="AC917" s="2" t="str">
        <f t="shared" si="75"/>
        <v xml:space="preserve"> RINALDO </v>
      </c>
      <c r="AD917" s="26">
        <f t="shared" si="72"/>
        <v>5</v>
      </c>
      <c r="AE917" s="26">
        <f t="shared" ca="1" si="74"/>
        <v>54.197602662039571</v>
      </c>
      <c r="AF917" s="35"/>
    </row>
    <row r="918" spans="1:32" hidden="1">
      <c r="A918" s="209">
        <v>9300252</v>
      </c>
      <c r="B918" s="209" t="s">
        <v>101</v>
      </c>
      <c r="C918" s="210" t="s">
        <v>1761</v>
      </c>
      <c r="D918" s="214"/>
      <c r="E918" s="214">
        <v>2437000206001</v>
      </c>
      <c r="F918" s="209" t="s">
        <v>29</v>
      </c>
      <c r="G918" s="209" t="s">
        <v>53</v>
      </c>
      <c r="H918" s="209" t="s">
        <v>416</v>
      </c>
      <c r="I918" s="209" t="s">
        <v>417</v>
      </c>
      <c r="J918" s="209" t="s">
        <v>211</v>
      </c>
      <c r="K918" s="210" t="s">
        <v>34</v>
      </c>
      <c r="L918" s="210"/>
      <c r="M918" s="209" t="s">
        <v>35</v>
      </c>
      <c r="N918" s="209">
        <v>42318949</v>
      </c>
      <c r="O918" s="209" t="s">
        <v>105</v>
      </c>
      <c r="P918" s="215">
        <v>44932.478668981479</v>
      </c>
      <c r="Q918" s="209"/>
      <c r="R918" s="209" t="s">
        <v>38</v>
      </c>
      <c r="S918" s="209"/>
      <c r="T918" s="209" t="s">
        <v>74</v>
      </c>
      <c r="U918" s="215">
        <v>44932.75</v>
      </c>
      <c r="V918" s="209" t="s">
        <v>41</v>
      </c>
      <c r="W918" s="209" t="s">
        <v>49</v>
      </c>
      <c r="X918" s="13" t="str">
        <f>IF(RIGHT(H918,2)&lt;&gt;"00",H918,"")</f>
        <v/>
      </c>
      <c r="Y918" s="26">
        <f ca="1">NETWORKDAYS(P918,$Y$1)</f>
        <v>39</v>
      </c>
      <c r="Z918" s="34">
        <v>1</v>
      </c>
      <c r="AA918" s="25" t="str">
        <f t="shared" ca="1" si="73"/>
        <v>A VENCER</v>
      </c>
      <c r="AB918" s="25" t="str">
        <f t="shared" si="71"/>
        <v>Dosa</v>
      </c>
      <c r="AC918" s="2" t="str">
        <f t="shared" si="75"/>
        <v xml:space="preserve"> RINALDO </v>
      </c>
      <c r="AD918" s="26">
        <f t="shared" si="72"/>
        <v>5</v>
      </c>
      <c r="AE918" s="26">
        <f t="shared" ca="1" si="74"/>
        <v>54.197602662039571</v>
      </c>
      <c r="AF918" s="35"/>
    </row>
    <row r="919" spans="1:32" hidden="1">
      <c r="A919" s="209">
        <v>9300229</v>
      </c>
      <c r="B919" s="209" t="s">
        <v>101</v>
      </c>
      <c r="C919" s="210" t="s">
        <v>1761</v>
      </c>
      <c r="D919" s="214"/>
      <c r="E919" s="214">
        <v>2388000206001</v>
      </c>
      <c r="F919" s="209" t="s">
        <v>29</v>
      </c>
      <c r="G919" s="209" t="s">
        <v>53</v>
      </c>
      <c r="H919" s="209" t="s">
        <v>299</v>
      </c>
      <c r="I919" s="209" t="s">
        <v>300</v>
      </c>
      <c r="J919" s="209" t="s">
        <v>79</v>
      </c>
      <c r="K919" s="210" t="s">
        <v>34</v>
      </c>
      <c r="L919" s="210"/>
      <c r="M919" s="209" t="s">
        <v>35</v>
      </c>
      <c r="N919" s="209">
        <v>42318949</v>
      </c>
      <c r="O919" s="209" t="s">
        <v>105</v>
      </c>
      <c r="P919" s="215">
        <v>44932.478634259256</v>
      </c>
      <c r="Q919" s="209"/>
      <c r="R919" s="209" t="s">
        <v>38</v>
      </c>
      <c r="S919" s="209"/>
      <c r="T919" s="209" t="s">
        <v>74</v>
      </c>
      <c r="U919" s="215">
        <v>44932.75</v>
      </c>
      <c r="V919" s="209" t="s">
        <v>41</v>
      </c>
      <c r="W919" s="209" t="s">
        <v>49</v>
      </c>
      <c r="X919" s="13" t="str">
        <f>IF(RIGHT(H919,2)&lt;&gt;"00",H919,"")</f>
        <v/>
      </c>
      <c r="Y919" s="26">
        <f ca="1">NETWORKDAYS(P919,$Y$1)</f>
        <v>39</v>
      </c>
      <c r="Z919" s="34">
        <v>1</v>
      </c>
      <c r="AA919" s="25" t="str">
        <f t="shared" ca="1" si="73"/>
        <v>A VENCER</v>
      </c>
      <c r="AB919" s="25" t="str">
        <f t="shared" si="71"/>
        <v>Dosa</v>
      </c>
      <c r="AC919" s="2" t="str">
        <f t="shared" si="75"/>
        <v xml:space="preserve"> ROSEMERE </v>
      </c>
      <c r="AD919" s="26">
        <f t="shared" si="72"/>
        <v>5</v>
      </c>
      <c r="AE919" s="26">
        <f t="shared" ca="1" si="74"/>
        <v>54.197637384262634</v>
      </c>
      <c r="AF919" s="35"/>
    </row>
    <row r="920" spans="1:32" hidden="1">
      <c r="A920" s="209">
        <v>9300228</v>
      </c>
      <c r="B920" s="209" t="s">
        <v>101</v>
      </c>
      <c r="C920" s="210" t="s">
        <v>1761</v>
      </c>
      <c r="D920" s="214"/>
      <c r="E920" s="214">
        <v>2388000206001</v>
      </c>
      <c r="F920" s="209" t="s">
        <v>29</v>
      </c>
      <c r="G920" s="209" t="s">
        <v>53</v>
      </c>
      <c r="H920" s="209" t="s">
        <v>299</v>
      </c>
      <c r="I920" s="209" t="s">
        <v>300</v>
      </c>
      <c r="J920" s="209" t="s">
        <v>79</v>
      </c>
      <c r="K920" s="210" t="s">
        <v>34</v>
      </c>
      <c r="L920" s="210"/>
      <c r="M920" s="209" t="s">
        <v>35</v>
      </c>
      <c r="N920" s="209">
        <v>42318949</v>
      </c>
      <c r="O920" s="209" t="s">
        <v>105</v>
      </c>
      <c r="P920" s="215">
        <v>44932.478634259256</v>
      </c>
      <c r="Q920" s="209"/>
      <c r="R920" s="209" t="s">
        <v>38</v>
      </c>
      <c r="S920" s="209"/>
      <c r="T920" s="209" t="s">
        <v>74</v>
      </c>
      <c r="U920" s="215">
        <v>44932.75</v>
      </c>
      <c r="V920" s="209" t="s">
        <v>41</v>
      </c>
      <c r="W920" s="209" t="s">
        <v>49</v>
      </c>
      <c r="X920" s="13" t="str">
        <f>IF(RIGHT(H920,2)&lt;&gt;"00",H920,"")</f>
        <v/>
      </c>
      <c r="Y920" s="26">
        <f ca="1">NETWORKDAYS(P920,$Y$1)</f>
        <v>39</v>
      </c>
      <c r="Z920" s="34">
        <v>1</v>
      </c>
      <c r="AA920" s="25" t="str">
        <f t="shared" ca="1" si="73"/>
        <v>A VENCER</v>
      </c>
      <c r="AB920" s="25" t="str">
        <f t="shared" si="71"/>
        <v>Dosa</v>
      </c>
      <c r="AC920" s="2" t="str">
        <f t="shared" si="75"/>
        <v xml:space="preserve"> ROSEMERE </v>
      </c>
      <c r="AD920" s="26">
        <f t="shared" si="72"/>
        <v>5</v>
      </c>
      <c r="AE920" s="26">
        <f t="shared" ca="1" si="74"/>
        <v>54.197637384262634</v>
      </c>
      <c r="AF920" s="35"/>
    </row>
    <row r="921" spans="1:32" hidden="1">
      <c r="A921" s="209">
        <v>9300194</v>
      </c>
      <c r="B921" s="209" t="s">
        <v>101</v>
      </c>
      <c r="C921" s="210" t="s">
        <v>1761</v>
      </c>
      <c r="D921" s="214"/>
      <c r="E921" s="214">
        <v>2326000206001</v>
      </c>
      <c r="F921" s="209" t="s">
        <v>29</v>
      </c>
      <c r="G921" s="209" t="s">
        <v>53</v>
      </c>
      <c r="H921" s="209" t="s">
        <v>191</v>
      </c>
      <c r="I921" s="209" t="s">
        <v>192</v>
      </c>
      <c r="J921" s="209" t="s">
        <v>46</v>
      </c>
      <c r="K921" s="210" t="s">
        <v>34</v>
      </c>
      <c r="L921" s="210"/>
      <c r="M921" s="209" t="s">
        <v>35</v>
      </c>
      <c r="N921" s="209">
        <v>42318949</v>
      </c>
      <c r="O921" s="209" t="s">
        <v>105</v>
      </c>
      <c r="P921" s="215">
        <v>44932.478587962964</v>
      </c>
      <c r="Q921" s="209"/>
      <c r="R921" s="209" t="s">
        <v>38</v>
      </c>
      <c r="S921" s="209"/>
      <c r="T921" s="209" t="s">
        <v>74</v>
      </c>
      <c r="U921" s="215">
        <v>44932.75</v>
      </c>
      <c r="V921" s="209" t="s">
        <v>41</v>
      </c>
      <c r="W921" s="209" t="s">
        <v>49</v>
      </c>
      <c r="X921" s="13" t="str">
        <f>IF(RIGHT(H921,2)&lt;&gt;"00",H921,"")</f>
        <v/>
      </c>
      <c r="Y921" s="26">
        <f ca="1">NETWORKDAYS(P921,$Y$1)</f>
        <v>39</v>
      </c>
      <c r="Z921" s="34">
        <v>1</v>
      </c>
      <c r="AA921" s="25" t="str">
        <f t="shared" ca="1" si="73"/>
        <v>A VENCER</v>
      </c>
      <c r="AB921" s="25" t="str">
        <f t="shared" si="71"/>
        <v>Dosa</v>
      </c>
      <c r="AC921" s="2" t="str">
        <f t="shared" si="75"/>
        <v xml:space="preserve"> CLEITON </v>
      </c>
      <c r="AD921" s="26">
        <f t="shared" si="72"/>
        <v>5</v>
      </c>
      <c r="AE921" s="26">
        <f t="shared" ca="1" si="74"/>
        <v>54.197683680555201</v>
      </c>
      <c r="AF921" s="35"/>
    </row>
    <row r="922" spans="1:32" hidden="1">
      <c r="A922" s="209">
        <v>9300193</v>
      </c>
      <c r="B922" s="209" t="s">
        <v>101</v>
      </c>
      <c r="C922" s="210" t="s">
        <v>1761</v>
      </c>
      <c r="D922" s="214"/>
      <c r="E922" s="214">
        <v>2326000206001</v>
      </c>
      <c r="F922" s="209" t="s">
        <v>29</v>
      </c>
      <c r="G922" s="209" t="s">
        <v>53</v>
      </c>
      <c r="H922" s="209" t="s">
        <v>191</v>
      </c>
      <c r="I922" s="209" t="s">
        <v>192</v>
      </c>
      <c r="J922" s="209" t="s">
        <v>46</v>
      </c>
      <c r="K922" s="210" t="s">
        <v>34</v>
      </c>
      <c r="L922" s="210"/>
      <c r="M922" s="209" t="s">
        <v>35</v>
      </c>
      <c r="N922" s="209">
        <v>42318949</v>
      </c>
      <c r="O922" s="209" t="s">
        <v>105</v>
      </c>
      <c r="P922" s="215">
        <v>44932.478587962964</v>
      </c>
      <c r="Q922" s="209"/>
      <c r="R922" s="209" t="s">
        <v>38</v>
      </c>
      <c r="S922" s="209"/>
      <c r="T922" s="209" t="s">
        <v>74</v>
      </c>
      <c r="U922" s="215">
        <v>44932.75</v>
      </c>
      <c r="V922" s="209" t="s">
        <v>41</v>
      </c>
      <c r="W922" s="209" t="s">
        <v>49</v>
      </c>
      <c r="X922" s="13" t="str">
        <f>IF(RIGHT(H922,2)&lt;&gt;"00",H922,"")</f>
        <v/>
      </c>
      <c r="Y922" s="26">
        <f ca="1">NETWORKDAYS(P922,$Y$1)</f>
        <v>39</v>
      </c>
      <c r="Z922" s="34">
        <v>1</v>
      </c>
      <c r="AA922" s="25" t="str">
        <f t="shared" ca="1" si="73"/>
        <v>A VENCER</v>
      </c>
      <c r="AB922" s="25" t="str">
        <f t="shared" si="71"/>
        <v>Dosa</v>
      </c>
      <c r="AC922" s="2" t="str">
        <f t="shared" si="75"/>
        <v xml:space="preserve"> CLEITON </v>
      </c>
      <c r="AD922" s="26">
        <f t="shared" si="72"/>
        <v>5</v>
      </c>
      <c r="AE922" s="26">
        <f t="shared" ca="1" si="74"/>
        <v>54.197683680555201</v>
      </c>
      <c r="AF922" s="35"/>
    </row>
    <row r="923" spans="1:32" hidden="1">
      <c r="A923" s="209">
        <v>9300192</v>
      </c>
      <c r="B923" s="209" t="s">
        <v>101</v>
      </c>
      <c r="C923" s="210" t="s">
        <v>1761</v>
      </c>
      <c r="D923" s="214"/>
      <c r="E923" s="214">
        <v>2326000206001</v>
      </c>
      <c r="F923" s="209" t="s">
        <v>29</v>
      </c>
      <c r="G923" s="209" t="s">
        <v>53</v>
      </c>
      <c r="H923" s="209" t="s">
        <v>191</v>
      </c>
      <c r="I923" s="209" t="s">
        <v>192</v>
      </c>
      <c r="J923" s="209" t="s">
        <v>46</v>
      </c>
      <c r="K923" s="210" t="s">
        <v>34</v>
      </c>
      <c r="L923" s="210"/>
      <c r="M923" s="209" t="s">
        <v>35</v>
      </c>
      <c r="N923" s="209">
        <v>42318949</v>
      </c>
      <c r="O923" s="209" t="s">
        <v>105</v>
      </c>
      <c r="P923" s="215">
        <v>44932.478587962964</v>
      </c>
      <c r="Q923" s="209"/>
      <c r="R923" s="209" t="s">
        <v>38</v>
      </c>
      <c r="S923" s="209"/>
      <c r="T923" s="209" t="s">
        <v>74</v>
      </c>
      <c r="U923" s="215">
        <v>44932.75</v>
      </c>
      <c r="V923" s="209" t="s">
        <v>41</v>
      </c>
      <c r="W923" s="209" t="s">
        <v>49</v>
      </c>
      <c r="X923" s="13" t="str">
        <f>IF(RIGHT(H923,2)&lt;&gt;"00",H923,"")</f>
        <v/>
      </c>
      <c r="Y923" s="26">
        <f ca="1">NETWORKDAYS(P923,$Y$1)</f>
        <v>39</v>
      </c>
      <c r="Z923" s="34">
        <v>1</v>
      </c>
      <c r="AA923" s="25" t="str">
        <f t="shared" ca="1" si="73"/>
        <v>A VENCER</v>
      </c>
      <c r="AB923" s="25" t="str">
        <f t="shared" si="71"/>
        <v>Dosa</v>
      </c>
      <c r="AC923" s="2" t="str">
        <f t="shared" si="75"/>
        <v xml:space="preserve"> CLEITON </v>
      </c>
      <c r="AD923" s="26">
        <f t="shared" si="72"/>
        <v>5</v>
      </c>
      <c r="AE923" s="26">
        <f t="shared" ca="1" si="74"/>
        <v>54.197683680555201</v>
      </c>
      <c r="AF923" s="35"/>
    </row>
    <row r="924" spans="1:32" hidden="1">
      <c r="A924" s="209">
        <v>9300118</v>
      </c>
      <c r="B924" s="209" t="s">
        <v>101</v>
      </c>
      <c r="C924" s="210" t="s">
        <v>1761</v>
      </c>
      <c r="D924" s="214"/>
      <c r="E924" s="214">
        <v>2219000206001</v>
      </c>
      <c r="F924" s="209" t="s">
        <v>29</v>
      </c>
      <c r="G924" s="209" t="s">
        <v>53</v>
      </c>
      <c r="H924" s="209" t="s">
        <v>893</v>
      </c>
      <c r="I924" s="209" t="s">
        <v>894</v>
      </c>
      <c r="J924" s="209" t="s">
        <v>141</v>
      </c>
      <c r="K924" s="210" t="s">
        <v>34</v>
      </c>
      <c r="L924" s="210"/>
      <c r="M924" s="209" t="s">
        <v>35</v>
      </c>
      <c r="N924" s="209">
        <v>42318949</v>
      </c>
      <c r="O924" s="209" t="s">
        <v>105</v>
      </c>
      <c r="P924" s="215">
        <v>44932.478495370371</v>
      </c>
      <c r="Q924" s="209"/>
      <c r="R924" s="209" t="s">
        <v>38</v>
      </c>
      <c r="S924" s="209"/>
      <c r="T924" s="209" t="s">
        <v>74</v>
      </c>
      <c r="U924" s="215">
        <v>44932.75</v>
      </c>
      <c r="V924" s="209" t="s">
        <v>41</v>
      </c>
      <c r="W924" s="209" t="s">
        <v>49</v>
      </c>
      <c r="X924" s="13" t="str">
        <f>IF(RIGHT(H924,2)&lt;&gt;"00",H924,"")</f>
        <v/>
      </c>
      <c r="Y924" s="26">
        <f ca="1">NETWORKDAYS(P924,$Y$1)</f>
        <v>39</v>
      </c>
      <c r="Z924" s="34">
        <v>1</v>
      </c>
      <c r="AA924" s="25" t="str">
        <f t="shared" ca="1" si="73"/>
        <v>A VENCER</v>
      </c>
      <c r="AB924" s="25" t="str">
        <f t="shared" si="71"/>
        <v>Dosa</v>
      </c>
      <c r="AC924" s="2" t="str">
        <f t="shared" si="75"/>
        <v xml:space="preserve"> CRISTINA </v>
      </c>
      <c r="AD924" s="26">
        <f t="shared" si="72"/>
        <v>5</v>
      </c>
      <c r="AE924" s="26">
        <f t="shared" ca="1" si="74"/>
        <v>54.19777627314761</v>
      </c>
      <c r="AF924" s="35"/>
    </row>
    <row r="925" spans="1:32" hidden="1">
      <c r="A925" s="209">
        <v>9300088</v>
      </c>
      <c r="B925" s="209" t="s">
        <v>101</v>
      </c>
      <c r="C925" s="210" t="s">
        <v>1761</v>
      </c>
      <c r="D925" s="214"/>
      <c r="E925" s="214">
        <v>2170000206001</v>
      </c>
      <c r="F925" s="209" t="s">
        <v>29</v>
      </c>
      <c r="G925" s="209" t="s">
        <v>53</v>
      </c>
      <c r="H925" s="209" t="s">
        <v>477</v>
      </c>
      <c r="I925" s="209" t="s">
        <v>478</v>
      </c>
      <c r="J925" s="209" t="s">
        <v>148</v>
      </c>
      <c r="K925" s="210" t="s">
        <v>34</v>
      </c>
      <c r="L925" s="210"/>
      <c r="M925" s="209" t="s">
        <v>35</v>
      </c>
      <c r="N925" s="209">
        <v>42318949</v>
      </c>
      <c r="O925" s="209" t="s">
        <v>105</v>
      </c>
      <c r="P925" s="215">
        <v>44932.478449074071</v>
      </c>
      <c r="Q925" s="209"/>
      <c r="R925" s="209" t="s">
        <v>38</v>
      </c>
      <c r="S925" s="209"/>
      <c r="T925" s="209" t="s">
        <v>74</v>
      </c>
      <c r="U925" s="215">
        <v>44932.75</v>
      </c>
      <c r="V925" s="209" t="s">
        <v>41</v>
      </c>
      <c r="W925" s="209" t="s">
        <v>49</v>
      </c>
      <c r="X925" s="13" t="str">
        <f>IF(RIGHT(H925,2)&lt;&gt;"00",H925,"")</f>
        <v/>
      </c>
      <c r="Y925" s="26">
        <f ca="1">NETWORKDAYS(P925,$Y$1)</f>
        <v>39</v>
      </c>
      <c r="Z925" s="34">
        <v>1</v>
      </c>
      <c r="AA925" s="25" t="str">
        <f t="shared" ca="1" si="73"/>
        <v>A VENCER</v>
      </c>
      <c r="AB925" s="25" t="str">
        <f t="shared" ref="AB925:AB988" si="76">IF(F925="GRPE-000001","C-14",IF(F925="GRPE-000002","C-14",IF(F925="GRPE-000003","C-14",IF(F925="GRPE-000004","SL-On",IF(F925="GRPE-000038","C-14",IF(F925="GRPE-900022","Dosa",IF(F925="GRPE-000029","Dosa",IF(F925="ATOS-000222","Dose","TAAe+"))))))))</f>
        <v>Dosa</v>
      </c>
      <c r="AC925" s="2" t="str">
        <f t="shared" si="75"/>
        <v xml:space="preserve"> RINALDO </v>
      </c>
      <c r="AD925" s="26">
        <f t="shared" ref="AD925:AD988" si="77">IF(F925="GRPE-000001",5,IF(F925="GRPE-000002",5,IF(F925="GRPE-000003",15,IF(F925="GRPE-000004",1,IF(F925="GRPE-000038",5,IF(F925="GRPE-900022",5,IF(F925="GRPE-000029",5,IF(F925="ATOS-000222",5,8))))))))</f>
        <v>5</v>
      </c>
      <c r="AE925" s="26">
        <f t="shared" ca="1" si="74"/>
        <v>54.197822569447453</v>
      </c>
      <c r="AF925" s="35"/>
    </row>
    <row r="926" spans="1:32" hidden="1">
      <c r="A926" s="209">
        <v>9300087</v>
      </c>
      <c r="B926" s="209" t="s">
        <v>101</v>
      </c>
      <c r="C926" s="210" t="s">
        <v>1761</v>
      </c>
      <c r="D926" s="214"/>
      <c r="E926" s="214">
        <v>2170000206001</v>
      </c>
      <c r="F926" s="209" t="s">
        <v>29</v>
      </c>
      <c r="G926" s="209" t="s">
        <v>53</v>
      </c>
      <c r="H926" s="209" t="s">
        <v>477</v>
      </c>
      <c r="I926" s="209" t="s">
        <v>478</v>
      </c>
      <c r="J926" s="209" t="s">
        <v>148</v>
      </c>
      <c r="K926" s="210" t="s">
        <v>34</v>
      </c>
      <c r="L926" s="210"/>
      <c r="M926" s="209" t="s">
        <v>35</v>
      </c>
      <c r="N926" s="209">
        <v>42318949</v>
      </c>
      <c r="O926" s="209" t="s">
        <v>105</v>
      </c>
      <c r="P926" s="215">
        <v>44932.478449074071</v>
      </c>
      <c r="Q926" s="209"/>
      <c r="R926" s="209" t="s">
        <v>38</v>
      </c>
      <c r="S926" s="209"/>
      <c r="T926" s="209" t="s">
        <v>74</v>
      </c>
      <c r="U926" s="215">
        <v>44932.75</v>
      </c>
      <c r="V926" s="209" t="s">
        <v>41</v>
      </c>
      <c r="W926" s="209" t="s">
        <v>49</v>
      </c>
      <c r="X926" s="13" t="str">
        <f>IF(RIGHT(H926,2)&lt;&gt;"00",H926,"")</f>
        <v/>
      </c>
      <c r="Y926" s="26">
        <f ca="1">NETWORKDAYS(P926,$Y$1)</f>
        <v>39</v>
      </c>
      <c r="Z926" s="34">
        <v>1</v>
      </c>
      <c r="AA926" s="25" t="str">
        <f t="shared" ca="1" si="73"/>
        <v>A VENCER</v>
      </c>
      <c r="AB926" s="25" t="str">
        <f t="shared" si="76"/>
        <v>Dosa</v>
      </c>
      <c r="AC926" s="2" t="str">
        <f t="shared" si="75"/>
        <v xml:space="preserve"> RINALDO </v>
      </c>
      <c r="AD926" s="26">
        <f t="shared" si="77"/>
        <v>5</v>
      </c>
      <c r="AE926" s="26">
        <f t="shared" ca="1" si="74"/>
        <v>54.197822569447453</v>
      </c>
      <c r="AF926" s="35"/>
    </row>
    <row r="927" spans="1:32" hidden="1">
      <c r="A927" s="209">
        <v>9299999</v>
      </c>
      <c r="B927" s="209" t="s">
        <v>101</v>
      </c>
      <c r="C927" s="210" t="s">
        <v>1761</v>
      </c>
      <c r="D927" s="214"/>
      <c r="E927" s="214">
        <v>1837000206001</v>
      </c>
      <c r="F927" s="209" t="s">
        <v>29</v>
      </c>
      <c r="G927" s="209" t="s">
        <v>53</v>
      </c>
      <c r="H927" s="209" t="s">
        <v>1785</v>
      </c>
      <c r="I927" s="209" t="s">
        <v>1786</v>
      </c>
      <c r="J927" s="209" t="s">
        <v>46</v>
      </c>
      <c r="K927" s="210" t="s">
        <v>34</v>
      </c>
      <c r="L927" s="210"/>
      <c r="M927" s="209" t="s">
        <v>35</v>
      </c>
      <c r="N927" s="209">
        <v>42318949</v>
      </c>
      <c r="O927" s="209" t="s">
        <v>105</v>
      </c>
      <c r="P927" s="215">
        <v>44932.478333333333</v>
      </c>
      <c r="Q927" s="209"/>
      <c r="R927" s="209" t="s">
        <v>38</v>
      </c>
      <c r="S927" s="209"/>
      <c r="T927" s="209" t="s">
        <v>74</v>
      </c>
      <c r="U927" s="215">
        <v>44932.75</v>
      </c>
      <c r="V927" s="209" t="s">
        <v>41</v>
      </c>
      <c r="W927" s="209" t="s">
        <v>49</v>
      </c>
      <c r="X927" s="13" t="str">
        <f>IF(RIGHT(H927,2)&lt;&gt;"00",H927,"")</f>
        <v/>
      </c>
      <c r="Y927" s="26">
        <f ca="1">NETWORKDAYS(P927,$Y$1)</f>
        <v>39</v>
      </c>
      <c r="Z927" s="34">
        <v>1</v>
      </c>
      <c r="AA927" s="25" t="str">
        <f t="shared" ca="1" si="73"/>
        <v>A VENCER</v>
      </c>
      <c r="AB927" s="25" t="str">
        <f t="shared" si="76"/>
        <v>Dosa</v>
      </c>
      <c r="AC927" s="2" t="str">
        <f t="shared" si="75"/>
        <v xml:space="preserve"> CLEITON </v>
      </c>
      <c r="AD927" s="26">
        <f t="shared" si="77"/>
        <v>5</v>
      </c>
      <c r="AE927" s="26">
        <f t="shared" ca="1" si="74"/>
        <v>54.197938310186146</v>
      </c>
      <c r="AF927" s="35"/>
    </row>
    <row r="928" spans="1:32" hidden="1">
      <c r="A928" s="209">
        <v>9299998</v>
      </c>
      <c r="B928" s="209" t="s">
        <v>101</v>
      </c>
      <c r="C928" s="210" t="s">
        <v>1761</v>
      </c>
      <c r="D928" s="214"/>
      <c r="E928" s="214">
        <v>1837000206001</v>
      </c>
      <c r="F928" s="209" t="s">
        <v>29</v>
      </c>
      <c r="G928" s="209" t="s">
        <v>53</v>
      </c>
      <c r="H928" s="209" t="s">
        <v>1785</v>
      </c>
      <c r="I928" s="209" t="s">
        <v>1786</v>
      </c>
      <c r="J928" s="209" t="s">
        <v>46</v>
      </c>
      <c r="K928" s="210" t="s">
        <v>34</v>
      </c>
      <c r="L928" s="210"/>
      <c r="M928" s="209" t="s">
        <v>35</v>
      </c>
      <c r="N928" s="209">
        <v>42318949</v>
      </c>
      <c r="O928" s="209" t="s">
        <v>105</v>
      </c>
      <c r="P928" s="215">
        <v>44932.478333333333</v>
      </c>
      <c r="Q928" s="209"/>
      <c r="R928" s="209" t="s">
        <v>38</v>
      </c>
      <c r="S928" s="209"/>
      <c r="T928" s="209" t="s">
        <v>74</v>
      </c>
      <c r="U928" s="215">
        <v>44932.75</v>
      </c>
      <c r="V928" s="209" t="s">
        <v>41</v>
      </c>
      <c r="W928" s="209" t="s">
        <v>49</v>
      </c>
      <c r="X928" s="13" t="str">
        <f>IF(RIGHT(H928,2)&lt;&gt;"00",H928,"")</f>
        <v/>
      </c>
      <c r="Y928" s="26">
        <f ca="1">NETWORKDAYS(P928,$Y$1)</f>
        <v>39</v>
      </c>
      <c r="Z928" s="34">
        <v>1</v>
      </c>
      <c r="AA928" s="25" t="str">
        <f t="shared" ca="1" si="73"/>
        <v>A VENCER</v>
      </c>
      <c r="AB928" s="25" t="str">
        <f t="shared" si="76"/>
        <v>Dosa</v>
      </c>
      <c r="AC928" s="2" t="str">
        <f t="shared" si="75"/>
        <v xml:space="preserve"> CLEITON </v>
      </c>
      <c r="AD928" s="26">
        <f t="shared" si="77"/>
        <v>5</v>
      </c>
      <c r="AE928" s="26">
        <f t="shared" ca="1" si="74"/>
        <v>54.197938310186146</v>
      </c>
      <c r="AF928" s="35"/>
    </row>
    <row r="929" spans="1:32" hidden="1">
      <c r="A929" s="209">
        <v>9299997</v>
      </c>
      <c r="B929" s="209" t="s">
        <v>101</v>
      </c>
      <c r="C929" s="210" t="s">
        <v>1761</v>
      </c>
      <c r="D929" s="214"/>
      <c r="E929" s="214">
        <v>1837000206001</v>
      </c>
      <c r="F929" s="209" t="s">
        <v>29</v>
      </c>
      <c r="G929" s="209" t="s">
        <v>53</v>
      </c>
      <c r="H929" s="209" t="s">
        <v>1785</v>
      </c>
      <c r="I929" s="209" t="s">
        <v>1786</v>
      </c>
      <c r="J929" s="209" t="s">
        <v>46</v>
      </c>
      <c r="K929" s="210" t="s">
        <v>34</v>
      </c>
      <c r="L929" s="210"/>
      <c r="M929" s="209" t="s">
        <v>35</v>
      </c>
      <c r="N929" s="209">
        <v>42318949</v>
      </c>
      <c r="O929" s="209" t="s">
        <v>105</v>
      </c>
      <c r="P929" s="215">
        <v>44932.478321759256</v>
      </c>
      <c r="Q929" s="209"/>
      <c r="R929" s="209" t="s">
        <v>38</v>
      </c>
      <c r="S929" s="209"/>
      <c r="T929" s="209" t="s">
        <v>74</v>
      </c>
      <c r="U929" s="215">
        <v>44932.75</v>
      </c>
      <c r="V929" s="209" t="s">
        <v>41</v>
      </c>
      <c r="W929" s="209" t="s">
        <v>49</v>
      </c>
      <c r="X929" s="13" t="str">
        <f>IF(RIGHT(H929,2)&lt;&gt;"00",H929,"")</f>
        <v/>
      </c>
      <c r="Y929" s="26">
        <f ca="1">NETWORKDAYS(P929,$Y$1)</f>
        <v>39</v>
      </c>
      <c r="Z929" s="34">
        <v>1</v>
      </c>
      <c r="AA929" s="25" t="str">
        <f t="shared" ca="1" si="73"/>
        <v>A VENCER</v>
      </c>
      <c r="AB929" s="25" t="str">
        <f t="shared" si="76"/>
        <v>Dosa</v>
      </c>
      <c r="AC929" s="2" t="str">
        <f t="shared" si="75"/>
        <v xml:space="preserve"> CLEITON </v>
      </c>
      <c r="AD929" s="26">
        <f t="shared" si="77"/>
        <v>5</v>
      </c>
      <c r="AE929" s="26">
        <f t="shared" ca="1" si="74"/>
        <v>54.197949884262925</v>
      </c>
      <c r="AF929" s="35"/>
    </row>
    <row r="930" spans="1:32" hidden="1">
      <c r="A930" s="209">
        <v>9299964</v>
      </c>
      <c r="B930" s="209" t="s">
        <v>101</v>
      </c>
      <c r="C930" s="210" t="s">
        <v>1761</v>
      </c>
      <c r="D930" s="214"/>
      <c r="E930" s="214">
        <v>1739000206001</v>
      </c>
      <c r="F930" s="209" t="s">
        <v>29</v>
      </c>
      <c r="G930" s="209" t="s">
        <v>53</v>
      </c>
      <c r="H930" s="209" t="s">
        <v>162</v>
      </c>
      <c r="I930" s="209" t="s">
        <v>163</v>
      </c>
      <c r="J930" s="209" t="s">
        <v>164</v>
      </c>
      <c r="K930" s="210" t="s">
        <v>34</v>
      </c>
      <c r="L930" s="210"/>
      <c r="M930" s="209" t="s">
        <v>35</v>
      </c>
      <c r="N930" s="209">
        <v>42318949</v>
      </c>
      <c r="O930" s="209" t="s">
        <v>105</v>
      </c>
      <c r="P930" s="215">
        <v>44932.47828703704</v>
      </c>
      <c r="Q930" s="209"/>
      <c r="R930" s="209" t="s">
        <v>38</v>
      </c>
      <c r="S930" s="209"/>
      <c r="T930" s="209" t="s">
        <v>74</v>
      </c>
      <c r="U930" s="215">
        <v>44932.75</v>
      </c>
      <c r="V930" s="209" t="s">
        <v>41</v>
      </c>
      <c r="W930" s="209" t="s">
        <v>49</v>
      </c>
      <c r="X930" s="13" t="str">
        <f>IF(RIGHT(H930,2)&lt;&gt;"00",H930,"")</f>
        <v/>
      </c>
      <c r="Y930" s="26">
        <f ca="1">NETWORKDAYS(P930,$Y$1)</f>
        <v>39</v>
      </c>
      <c r="Z930" s="34">
        <v>1</v>
      </c>
      <c r="AA930" s="25" t="str">
        <f t="shared" ca="1" si="73"/>
        <v>A VENCER</v>
      </c>
      <c r="AB930" s="25" t="str">
        <f t="shared" si="76"/>
        <v>Dosa</v>
      </c>
      <c r="AC930" s="2" t="str">
        <f t="shared" si="75"/>
        <v xml:space="preserve"> ROSEMERE </v>
      </c>
      <c r="AD930" s="26">
        <f t="shared" si="77"/>
        <v>5</v>
      </c>
      <c r="AE930" s="26">
        <f t="shared" ca="1" si="74"/>
        <v>54.197984606478713</v>
      </c>
      <c r="AF930" s="35"/>
    </row>
    <row r="931" spans="1:32" hidden="1">
      <c r="A931" s="209">
        <v>9299963</v>
      </c>
      <c r="B931" s="209" t="s">
        <v>101</v>
      </c>
      <c r="C931" s="210" t="s">
        <v>1761</v>
      </c>
      <c r="D931" s="214"/>
      <c r="E931" s="214">
        <v>1739000206001</v>
      </c>
      <c r="F931" s="209" t="s">
        <v>29</v>
      </c>
      <c r="G931" s="209" t="s">
        <v>53</v>
      </c>
      <c r="H931" s="209" t="s">
        <v>162</v>
      </c>
      <c r="I931" s="209" t="s">
        <v>163</v>
      </c>
      <c r="J931" s="209" t="s">
        <v>164</v>
      </c>
      <c r="K931" s="210" t="s">
        <v>34</v>
      </c>
      <c r="L931" s="210"/>
      <c r="M931" s="209" t="s">
        <v>35</v>
      </c>
      <c r="N931" s="209">
        <v>42318949</v>
      </c>
      <c r="O931" s="209" t="s">
        <v>105</v>
      </c>
      <c r="P931" s="215">
        <v>44932.478275462963</v>
      </c>
      <c r="Q931" s="209"/>
      <c r="R931" s="209" t="s">
        <v>38</v>
      </c>
      <c r="S931" s="209"/>
      <c r="T931" s="209" t="s">
        <v>74</v>
      </c>
      <c r="U931" s="215">
        <v>44932.75</v>
      </c>
      <c r="V931" s="209" t="s">
        <v>41</v>
      </c>
      <c r="W931" s="209" t="s">
        <v>49</v>
      </c>
      <c r="X931" s="13" t="str">
        <f>IF(RIGHT(H931,2)&lt;&gt;"00",H931,"")</f>
        <v/>
      </c>
      <c r="Y931" s="26">
        <f ca="1">NETWORKDAYS(P931,$Y$1)</f>
        <v>39</v>
      </c>
      <c r="Z931" s="34">
        <v>1</v>
      </c>
      <c r="AA931" s="25" t="str">
        <f t="shared" ca="1" si="73"/>
        <v>A VENCER</v>
      </c>
      <c r="AB931" s="25" t="str">
        <f t="shared" si="76"/>
        <v>Dosa</v>
      </c>
      <c r="AC931" s="2" t="str">
        <f t="shared" si="75"/>
        <v xml:space="preserve"> ROSEMERE </v>
      </c>
      <c r="AD931" s="26">
        <f t="shared" si="77"/>
        <v>5</v>
      </c>
      <c r="AE931" s="26">
        <f t="shared" ca="1" si="74"/>
        <v>54.197996180555492</v>
      </c>
      <c r="AF931" s="35"/>
    </row>
    <row r="932" spans="1:32" hidden="1">
      <c r="A932" s="209">
        <v>9299962</v>
      </c>
      <c r="B932" s="209" t="s">
        <v>101</v>
      </c>
      <c r="C932" s="210" t="s">
        <v>1761</v>
      </c>
      <c r="D932" s="214"/>
      <c r="E932" s="214">
        <v>1739000206001</v>
      </c>
      <c r="F932" s="209" t="s">
        <v>29</v>
      </c>
      <c r="G932" s="209" t="s">
        <v>53</v>
      </c>
      <c r="H932" s="209" t="s">
        <v>162</v>
      </c>
      <c r="I932" s="209" t="s">
        <v>163</v>
      </c>
      <c r="J932" s="209" t="s">
        <v>164</v>
      </c>
      <c r="K932" s="210" t="s">
        <v>34</v>
      </c>
      <c r="L932" s="210"/>
      <c r="M932" s="209" t="s">
        <v>35</v>
      </c>
      <c r="N932" s="209">
        <v>42318949</v>
      </c>
      <c r="O932" s="209" t="s">
        <v>105</v>
      </c>
      <c r="P932" s="215">
        <v>44932.478275462963</v>
      </c>
      <c r="Q932" s="209"/>
      <c r="R932" s="209" t="s">
        <v>38</v>
      </c>
      <c r="S932" s="209"/>
      <c r="T932" s="209" t="s">
        <v>74</v>
      </c>
      <c r="U932" s="215">
        <v>44932.75</v>
      </c>
      <c r="V932" s="209" t="s">
        <v>41</v>
      </c>
      <c r="W932" s="209" t="s">
        <v>49</v>
      </c>
      <c r="X932" s="13" t="str">
        <f>IF(RIGHT(H932,2)&lt;&gt;"00",H932,"")</f>
        <v/>
      </c>
      <c r="Y932" s="26">
        <f ca="1">NETWORKDAYS(P932,$Y$1)</f>
        <v>39</v>
      </c>
      <c r="Z932" s="34">
        <v>1</v>
      </c>
      <c r="AA932" s="25" t="str">
        <f t="shared" ca="1" si="73"/>
        <v>A VENCER</v>
      </c>
      <c r="AB932" s="25" t="str">
        <f t="shared" si="76"/>
        <v>Dosa</v>
      </c>
      <c r="AC932" s="2" t="str">
        <f t="shared" si="75"/>
        <v xml:space="preserve"> ROSEMERE </v>
      </c>
      <c r="AD932" s="26">
        <f t="shared" si="77"/>
        <v>5</v>
      </c>
      <c r="AE932" s="26">
        <f t="shared" ca="1" si="74"/>
        <v>54.197996180555492</v>
      </c>
      <c r="AF932" s="35"/>
    </row>
    <row r="933" spans="1:32" hidden="1">
      <c r="A933" s="209">
        <v>9299956</v>
      </c>
      <c r="B933" s="209" t="s">
        <v>101</v>
      </c>
      <c r="C933" s="210" t="s">
        <v>1761</v>
      </c>
      <c r="D933" s="214"/>
      <c r="E933" s="214">
        <v>1732000206001</v>
      </c>
      <c r="F933" s="209" t="s">
        <v>29</v>
      </c>
      <c r="G933" s="209" t="s">
        <v>53</v>
      </c>
      <c r="H933" s="209" t="s">
        <v>177</v>
      </c>
      <c r="I933" s="209" t="s">
        <v>178</v>
      </c>
      <c r="J933" s="209" t="s">
        <v>164</v>
      </c>
      <c r="K933" s="210" t="s">
        <v>34</v>
      </c>
      <c r="L933" s="210"/>
      <c r="M933" s="209" t="s">
        <v>35</v>
      </c>
      <c r="N933" s="209">
        <v>42318949</v>
      </c>
      <c r="O933" s="209" t="s">
        <v>105</v>
      </c>
      <c r="P933" s="215">
        <v>44932.478275462963</v>
      </c>
      <c r="Q933" s="209"/>
      <c r="R933" s="209" t="s">
        <v>38</v>
      </c>
      <c r="S933" s="209"/>
      <c r="T933" s="209" t="s">
        <v>74</v>
      </c>
      <c r="U933" s="215">
        <v>44932.75</v>
      </c>
      <c r="V933" s="209" t="s">
        <v>41</v>
      </c>
      <c r="W933" s="209" t="s">
        <v>49</v>
      </c>
      <c r="X933" s="13" t="str">
        <f>IF(RIGHT(H933,2)&lt;&gt;"00",H933,"")</f>
        <v/>
      </c>
      <c r="Y933" s="26">
        <f ca="1">NETWORKDAYS(P933,$Y$1)</f>
        <v>39</v>
      </c>
      <c r="Z933" s="34">
        <v>1</v>
      </c>
      <c r="AA933" s="25" t="str">
        <f t="shared" ca="1" si="73"/>
        <v>A VENCER</v>
      </c>
      <c r="AB933" s="25" t="str">
        <f t="shared" si="76"/>
        <v>Dosa</v>
      </c>
      <c r="AC933" s="2" t="str">
        <f t="shared" si="75"/>
        <v xml:space="preserve"> ROSEMERE </v>
      </c>
      <c r="AD933" s="26">
        <f t="shared" si="77"/>
        <v>5</v>
      </c>
      <c r="AE933" s="26">
        <f t="shared" ca="1" si="74"/>
        <v>54.197996180555492</v>
      </c>
      <c r="AF933" s="35"/>
    </row>
    <row r="934" spans="1:32" hidden="1">
      <c r="A934" s="209">
        <v>9299911</v>
      </c>
      <c r="B934" s="209" t="s">
        <v>101</v>
      </c>
      <c r="C934" s="210" t="s">
        <v>1761</v>
      </c>
      <c r="D934" s="214"/>
      <c r="E934" s="214">
        <v>1650000206001</v>
      </c>
      <c r="F934" s="209" t="s">
        <v>29</v>
      </c>
      <c r="G934" s="209" t="s">
        <v>53</v>
      </c>
      <c r="H934" s="209" t="s">
        <v>620</v>
      </c>
      <c r="I934" s="209" t="s">
        <v>621</v>
      </c>
      <c r="J934" s="209" t="s">
        <v>141</v>
      </c>
      <c r="K934" s="210" t="s">
        <v>34</v>
      </c>
      <c r="L934" s="210"/>
      <c r="M934" s="209" t="s">
        <v>35</v>
      </c>
      <c r="N934" s="209">
        <v>42318949</v>
      </c>
      <c r="O934" s="209" t="s">
        <v>105</v>
      </c>
      <c r="P934" s="215">
        <v>44932.478206018517</v>
      </c>
      <c r="Q934" s="209"/>
      <c r="R934" s="209" t="s">
        <v>38</v>
      </c>
      <c r="S934" s="209"/>
      <c r="T934" s="209" t="s">
        <v>74</v>
      </c>
      <c r="U934" s="215">
        <v>44932.75</v>
      </c>
      <c r="V934" s="209" t="s">
        <v>41</v>
      </c>
      <c r="W934" s="209" t="s">
        <v>49</v>
      </c>
      <c r="X934" s="13" t="str">
        <f>IF(RIGHT(H934,2)&lt;&gt;"00",H934,"")</f>
        <v/>
      </c>
      <c r="Y934" s="26">
        <f ca="1">NETWORKDAYS(P934,$Y$1)</f>
        <v>39</v>
      </c>
      <c r="Z934" s="34">
        <v>1</v>
      </c>
      <c r="AA934" s="25" t="str">
        <f t="shared" ca="1" si="73"/>
        <v>A VENCER</v>
      </c>
      <c r="AB934" s="25" t="str">
        <f t="shared" si="76"/>
        <v>Dosa</v>
      </c>
      <c r="AC934" s="2" t="str">
        <f t="shared" si="75"/>
        <v xml:space="preserve"> CRISTINA </v>
      </c>
      <c r="AD934" s="26">
        <f t="shared" si="77"/>
        <v>5</v>
      </c>
      <c r="AE934" s="26">
        <f t="shared" ca="1" si="74"/>
        <v>54.198065625001618</v>
      </c>
      <c r="AF934" s="35"/>
    </row>
    <row r="935" spans="1:32" hidden="1">
      <c r="A935" s="209">
        <v>9299910</v>
      </c>
      <c r="B935" s="209" t="s">
        <v>101</v>
      </c>
      <c r="C935" s="210" t="s">
        <v>1761</v>
      </c>
      <c r="D935" s="214"/>
      <c r="E935" s="214">
        <v>1650000206001</v>
      </c>
      <c r="F935" s="209" t="s">
        <v>29</v>
      </c>
      <c r="G935" s="209" t="s">
        <v>53</v>
      </c>
      <c r="H935" s="209" t="s">
        <v>620</v>
      </c>
      <c r="I935" s="209" t="s">
        <v>621</v>
      </c>
      <c r="J935" s="209" t="s">
        <v>141</v>
      </c>
      <c r="K935" s="210" t="s">
        <v>34</v>
      </c>
      <c r="L935" s="210"/>
      <c r="M935" s="209" t="s">
        <v>35</v>
      </c>
      <c r="N935" s="209">
        <v>42318949</v>
      </c>
      <c r="O935" s="209" t="s">
        <v>105</v>
      </c>
      <c r="P935" s="215">
        <v>44932.478206018517</v>
      </c>
      <c r="Q935" s="209"/>
      <c r="R935" s="209" t="s">
        <v>38</v>
      </c>
      <c r="S935" s="209"/>
      <c r="T935" s="209" t="s">
        <v>74</v>
      </c>
      <c r="U935" s="215">
        <v>44932.75</v>
      </c>
      <c r="V935" s="209" t="s">
        <v>41</v>
      </c>
      <c r="W935" s="209" t="s">
        <v>49</v>
      </c>
      <c r="X935" s="13" t="str">
        <f>IF(RIGHT(H935,2)&lt;&gt;"00",H935,"")</f>
        <v/>
      </c>
      <c r="Y935" s="26">
        <f ca="1">NETWORKDAYS(P935,$Y$1)</f>
        <v>39</v>
      </c>
      <c r="Z935" s="34">
        <v>1</v>
      </c>
      <c r="AA935" s="25" t="str">
        <f t="shared" ca="1" si="73"/>
        <v>A VENCER</v>
      </c>
      <c r="AB935" s="25" t="str">
        <f t="shared" si="76"/>
        <v>Dosa</v>
      </c>
      <c r="AC935" s="2" t="str">
        <f t="shared" si="75"/>
        <v xml:space="preserve"> CRISTINA </v>
      </c>
      <c r="AD935" s="26">
        <f t="shared" si="77"/>
        <v>5</v>
      </c>
      <c r="AE935" s="26">
        <f t="shared" ca="1" si="74"/>
        <v>54.198065625001618</v>
      </c>
      <c r="AF935" s="35"/>
    </row>
    <row r="936" spans="1:32" hidden="1">
      <c r="A936" s="209">
        <v>9299909</v>
      </c>
      <c r="B936" s="209" t="s">
        <v>101</v>
      </c>
      <c r="C936" s="210" t="s">
        <v>1761</v>
      </c>
      <c r="D936" s="214"/>
      <c r="E936" s="214">
        <v>1650000206001</v>
      </c>
      <c r="F936" s="209" t="s">
        <v>29</v>
      </c>
      <c r="G936" s="209" t="s">
        <v>53</v>
      </c>
      <c r="H936" s="209" t="s">
        <v>620</v>
      </c>
      <c r="I936" s="209" t="s">
        <v>621</v>
      </c>
      <c r="J936" s="209" t="s">
        <v>141</v>
      </c>
      <c r="K936" s="210" t="s">
        <v>34</v>
      </c>
      <c r="L936" s="210"/>
      <c r="M936" s="209" t="s">
        <v>35</v>
      </c>
      <c r="N936" s="209">
        <v>42318949</v>
      </c>
      <c r="O936" s="209" t="s">
        <v>105</v>
      </c>
      <c r="P936" s="215">
        <v>44932.478206018517</v>
      </c>
      <c r="Q936" s="209"/>
      <c r="R936" s="209" t="s">
        <v>38</v>
      </c>
      <c r="S936" s="209"/>
      <c r="T936" s="209" t="s">
        <v>74</v>
      </c>
      <c r="U936" s="215">
        <v>44932.75</v>
      </c>
      <c r="V936" s="209" t="s">
        <v>41</v>
      </c>
      <c r="W936" s="209" t="s">
        <v>49</v>
      </c>
      <c r="X936" s="13" t="str">
        <f>IF(RIGHT(H936,2)&lt;&gt;"00",H936,"")</f>
        <v/>
      </c>
      <c r="Y936" s="26">
        <f ca="1">NETWORKDAYS(P936,$Y$1)</f>
        <v>39</v>
      </c>
      <c r="Z936" s="34">
        <v>1</v>
      </c>
      <c r="AA936" s="25" t="str">
        <f t="shared" ca="1" si="73"/>
        <v>A VENCER</v>
      </c>
      <c r="AB936" s="25" t="str">
        <f t="shared" si="76"/>
        <v>Dosa</v>
      </c>
      <c r="AC936" s="2" t="str">
        <f t="shared" si="75"/>
        <v xml:space="preserve"> CRISTINA </v>
      </c>
      <c r="AD936" s="26">
        <f t="shared" si="77"/>
        <v>5</v>
      </c>
      <c r="AE936" s="26">
        <f t="shared" ca="1" si="74"/>
        <v>54.198065625001618</v>
      </c>
      <c r="AF936" s="35"/>
    </row>
    <row r="937" spans="1:32" hidden="1">
      <c r="A937" s="209">
        <v>9299908</v>
      </c>
      <c r="B937" s="209" t="s">
        <v>101</v>
      </c>
      <c r="C937" s="210" t="s">
        <v>1761</v>
      </c>
      <c r="D937" s="214"/>
      <c r="E937" s="214">
        <v>1643000206001</v>
      </c>
      <c r="F937" s="209" t="s">
        <v>29</v>
      </c>
      <c r="G937" s="209" t="s">
        <v>53</v>
      </c>
      <c r="H937" s="209" t="s">
        <v>361</v>
      </c>
      <c r="I937" s="209" t="s">
        <v>362</v>
      </c>
      <c r="J937" s="209" t="s">
        <v>261</v>
      </c>
      <c r="K937" s="210" t="s">
        <v>34</v>
      </c>
      <c r="L937" s="210"/>
      <c r="M937" s="209" t="s">
        <v>35</v>
      </c>
      <c r="N937" s="209">
        <v>42318949</v>
      </c>
      <c r="O937" s="209" t="s">
        <v>105</v>
      </c>
      <c r="P937" s="215">
        <v>44932.478206018517</v>
      </c>
      <c r="Q937" s="209"/>
      <c r="R937" s="209" t="s">
        <v>38</v>
      </c>
      <c r="S937" s="209"/>
      <c r="T937" s="209" t="s">
        <v>74</v>
      </c>
      <c r="U937" s="215">
        <v>44932.75</v>
      </c>
      <c r="V937" s="209" t="s">
        <v>41</v>
      </c>
      <c r="W937" s="209" t="s">
        <v>49</v>
      </c>
      <c r="X937" s="13" t="str">
        <f>IF(RIGHT(H937,2)&lt;&gt;"00",H937,"")</f>
        <v/>
      </c>
      <c r="Y937" s="26">
        <f ca="1">NETWORKDAYS(P937,$Y$1)</f>
        <v>39</v>
      </c>
      <c r="Z937" s="34">
        <v>1</v>
      </c>
      <c r="AA937" s="25" t="str">
        <f t="shared" ca="1" si="73"/>
        <v>A VENCER</v>
      </c>
      <c r="AB937" s="25" t="str">
        <f t="shared" si="76"/>
        <v>Dosa</v>
      </c>
      <c r="AC937" s="2" t="str">
        <f t="shared" si="75"/>
        <v xml:space="preserve"> CRISTINA </v>
      </c>
      <c r="AD937" s="26">
        <f t="shared" si="77"/>
        <v>5</v>
      </c>
      <c r="AE937" s="26">
        <f t="shared" ca="1" si="74"/>
        <v>54.198065625001618</v>
      </c>
      <c r="AF937" s="35"/>
    </row>
    <row r="938" spans="1:32" hidden="1">
      <c r="A938" s="209">
        <v>9299907</v>
      </c>
      <c r="B938" s="209" t="s">
        <v>101</v>
      </c>
      <c r="C938" s="210" t="s">
        <v>1761</v>
      </c>
      <c r="D938" s="214"/>
      <c r="E938" s="214">
        <v>1643000206001</v>
      </c>
      <c r="F938" s="209" t="s">
        <v>29</v>
      </c>
      <c r="G938" s="209" t="s">
        <v>53</v>
      </c>
      <c r="H938" s="209" t="s">
        <v>361</v>
      </c>
      <c r="I938" s="209" t="s">
        <v>362</v>
      </c>
      <c r="J938" s="209" t="s">
        <v>261</v>
      </c>
      <c r="K938" s="210" t="s">
        <v>34</v>
      </c>
      <c r="L938" s="210"/>
      <c r="M938" s="209" t="s">
        <v>35</v>
      </c>
      <c r="N938" s="209">
        <v>42318949</v>
      </c>
      <c r="O938" s="209" t="s">
        <v>105</v>
      </c>
      <c r="P938" s="215">
        <v>44932.478206018517</v>
      </c>
      <c r="Q938" s="209"/>
      <c r="R938" s="209" t="s">
        <v>38</v>
      </c>
      <c r="S938" s="209"/>
      <c r="T938" s="209" t="s">
        <v>74</v>
      </c>
      <c r="U938" s="215">
        <v>44932.75</v>
      </c>
      <c r="V938" s="209" t="s">
        <v>41</v>
      </c>
      <c r="W938" s="209" t="s">
        <v>49</v>
      </c>
      <c r="X938" s="13" t="str">
        <f>IF(RIGHT(H938,2)&lt;&gt;"00",H938,"")</f>
        <v/>
      </c>
      <c r="Y938" s="26">
        <f ca="1">NETWORKDAYS(P938,$Y$1)</f>
        <v>39</v>
      </c>
      <c r="Z938" s="34">
        <v>1</v>
      </c>
      <c r="AA938" s="25" t="str">
        <f t="shared" ca="1" si="73"/>
        <v>A VENCER</v>
      </c>
      <c r="AB938" s="25" t="str">
        <f t="shared" si="76"/>
        <v>Dosa</v>
      </c>
      <c r="AC938" s="2" t="str">
        <f t="shared" si="75"/>
        <v xml:space="preserve"> CRISTINA </v>
      </c>
      <c r="AD938" s="26">
        <f t="shared" si="77"/>
        <v>5</v>
      </c>
      <c r="AE938" s="26">
        <f t="shared" ca="1" si="74"/>
        <v>54.198065625001618</v>
      </c>
      <c r="AF938" s="35"/>
    </row>
    <row r="939" spans="1:32" hidden="1">
      <c r="A939" s="209">
        <v>9299906</v>
      </c>
      <c r="B939" s="209" t="s">
        <v>101</v>
      </c>
      <c r="C939" s="210" t="s">
        <v>1761</v>
      </c>
      <c r="D939" s="214"/>
      <c r="E939" s="214">
        <v>1643000206001</v>
      </c>
      <c r="F939" s="209" t="s">
        <v>29</v>
      </c>
      <c r="G939" s="209" t="s">
        <v>53</v>
      </c>
      <c r="H939" s="209" t="s">
        <v>361</v>
      </c>
      <c r="I939" s="209" t="s">
        <v>362</v>
      </c>
      <c r="J939" s="209" t="s">
        <v>261</v>
      </c>
      <c r="K939" s="210" t="s">
        <v>34</v>
      </c>
      <c r="L939" s="210"/>
      <c r="M939" s="209" t="s">
        <v>35</v>
      </c>
      <c r="N939" s="209">
        <v>42318949</v>
      </c>
      <c r="O939" s="209" t="s">
        <v>105</v>
      </c>
      <c r="P939" s="215">
        <v>44932.478206018517</v>
      </c>
      <c r="Q939" s="209"/>
      <c r="R939" s="209" t="s">
        <v>38</v>
      </c>
      <c r="S939" s="209"/>
      <c r="T939" s="209" t="s">
        <v>74</v>
      </c>
      <c r="U939" s="215">
        <v>44932.75</v>
      </c>
      <c r="V939" s="209" t="s">
        <v>41</v>
      </c>
      <c r="W939" s="209" t="s">
        <v>49</v>
      </c>
      <c r="X939" s="13" t="str">
        <f>IF(RIGHT(H939,2)&lt;&gt;"00",H939,"")</f>
        <v/>
      </c>
      <c r="Y939" s="26">
        <f ca="1">NETWORKDAYS(P939,$Y$1)</f>
        <v>39</v>
      </c>
      <c r="Z939" s="34">
        <v>1</v>
      </c>
      <c r="AA939" s="25" t="str">
        <f t="shared" ca="1" si="73"/>
        <v>A VENCER</v>
      </c>
      <c r="AB939" s="25" t="str">
        <f t="shared" si="76"/>
        <v>Dosa</v>
      </c>
      <c r="AC939" s="2" t="str">
        <f t="shared" si="75"/>
        <v xml:space="preserve"> CRISTINA </v>
      </c>
      <c r="AD939" s="26">
        <f t="shared" si="77"/>
        <v>5</v>
      </c>
      <c r="AE939" s="26">
        <f t="shared" ca="1" si="74"/>
        <v>54.198065625001618</v>
      </c>
      <c r="AF939" s="35"/>
    </row>
    <row r="940" spans="1:32" hidden="1">
      <c r="A940" s="209">
        <v>9299748</v>
      </c>
      <c r="B940" s="209" t="s">
        <v>101</v>
      </c>
      <c r="C940" s="210" t="s">
        <v>1761</v>
      </c>
      <c r="D940" s="214"/>
      <c r="E940" s="214">
        <v>1363000206001</v>
      </c>
      <c r="F940" s="209" t="s">
        <v>29</v>
      </c>
      <c r="G940" s="209" t="s">
        <v>53</v>
      </c>
      <c r="H940" s="209" t="s">
        <v>108</v>
      </c>
      <c r="I940" s="209" t="s">
        <v>109</v>
      </c>
      <c r="J940" s="209" t="s">
        <v>110</v>
      </c>
      <c r="K940" s="210" t="s">
        <v>34</v>
      </c>
      <c r="L940" s="210"/>
      <c r="M940" s="209" t="s">
        <v>35</v>
      </c>
      <c r="N940" s="209">
        <v>42318949</v>
      </c>
      <c r="O940" s="209" t="s">
        <v>105</v>
      </c>
      <c r="P940" s="215">
        <v>44932.47797453704</v>
      </c>
      <c r="Q940" s="209"/>
      <c r="R940" s="209" t="s">
        <v>38</v>
      </c>
      <c r="S940" s="209"/>
      <c r="T940" s="209" t="s">
        <v>74</v>
      </c>
      <c r="U940" s="215">
        <v>44932.75</v>
      </c>
      <c r="V940" s="209" t="s">
        <v>41</v>
      </c>
      <c r="W940" s="209" t="s">
        <v>49</v>
      </c>
      <c r="X940" s="13" t="str">
        <f>IF(RIGHT(H940,2)&lt;&gt;"00",H940,"")</f>
        <v/>
      </c>
      <c r="Y940" s="26">
        <f ca="1">NETWORKDAYS(P940,$Y$1)</f>
        <v>39</v>
      </c>
      <c r="Z940" s="34">
        <v>1</v>
      </c>
      <c r="AA940" s="25" t="str">
        <f t="shared" ca="1" si="73"/>
        <v>A VENCER</v>
      </c>
      <c r="AB940" s="25" t="str">
        <f t="shared" si="76"/>
        <v>Dosa</v>
      </c>
      <c r="AC940" s="2" t="str">
        <f t="shared" si="75"/>
        <v xml:space="preserve"> CRISTINA </v>
      </c>
      <c r="AD940" s="26">
        <f t="shared" si="77"/>
        <v>5</v>
      </c>
      <c r="AE940" s="26">
        <f t="shared" ca="1" si="74"/>
        <v>54.198297106479004</v>
      </c>
      <c r="AF940" s="35"/>
    </row>
    <row r="941" spans="1:32" hidden="1">
      <c r="A941" s="209">
        <v>9299747</v>
      </c>
      <c r="B941" s="209" t="s">
        <v>101</v>
      </c>
      <c r="C941" s="210" t="s">
        <v>1761</v>
      </c>
      <c r="D941" s="214"/>
      <c r="E941" s="214">
        <v>1363000206001</v>
      </c>
      <c r="F941" s="209" t="s">
        <v>29</v>
      </c>
      <c r="G941" s="209" t="s">
        <v>53</v>
      </c>
      <c r="H941" s="209" t="s">
        <v>108</v>
      </c>
      <c r="I941" s="209" t="s">
        <v>109</v>
      </c>
      <c r="J941" s="209" t="s">
        <v>110</v>
      </c>
      <c r="K941" s="210" t="s">
        <v>34</v>
      </c>
      <c r="L941" s="210"/>
      <c r="M941" s="209" t="s">
        <v>35</v>
      </c>
      <c r="N941" s="209">
        <v>42318949</v>
      </c>
      <c r="O941" s="209" t="s">
        <v>105</v>
      </c>
      <c r="P941" s="215">
        <v>44932.47797453704</v>
      </c>
      <c r="Q941" s="209"/>
      <c r="R941" s="209" t="s">
        <v>38</v>
      </c>
      <c r="S941" s="209"/>
      <c r="T941" s="209" t="s">
        <v>74</v>
      </c>
      <c r="U941" s="215">
        <v>44932.75</v>
      </c>
      <c r="V941" s="209" t="s">
        <v>41</v>
      </c>
      <c r="W941" s="209" t="s">
        <v>49</v>
      </c>
      <c r="X941" s="13" t="str">
        <f>IF(RIGHT(H941,2)&lt;&gt;"00",H941,"")</f>
        <v/>
      </c>
      <c r="Y941" s="26">
        <f ca="1">NETWORKDAYS(P941,$Y$1)</f>
        <v>39</v>
      </c>
      <c r="Z941" s="34">
        <v>1</v>
      </c>
      <c r="AA941" s="25" t="str">
        <f t="shared" ca="1" si="73"/>
        <v>A VENCER</v>
      </c>
      <c r="AB941" s="25" t="str">
        <f t="shared" si="76"/>
        <v>Dosa</v>
      </c>
      <c r="AC941" s="2" t="str">
        <f t="shared" si="75"/>
        <v xml:space="preserve"> CRISTINA </v>
      </c>
      <c r="AD941" s="26">
        <f t="shared" si="77"/>
        <v>5</v>
      </c>
      <c r="AE941" s="26">
        <f t="shared" ca="1" si="74"/>
        <v>54.198297106479004</v>
      </c>
      <c r="AF941" s="35"/>
    </row>
    <row r="942" spans="1:32" hidden="1">
      <c r="A942" s="209">
        <v>9299712</v>
      </c>
      <c r="B942" s="209" t="s">
        <v>101</v>
      </c>
      <c r="C942" s="210" t="s">
        <v>1761</v>
      </c>
      <c r="D942" s="214"/>
      <c r="E942" s="214">
        <v>1291000206001</v>
      </c>
      <c r="F942" s="209" t="s">
        <v>29</v>
      </c>
      <c r="G942" s="209" t="s">
        <v>53</v>
      </c>
      <c r="H942" s="209" t="s">
        <v>136</v>
      </c>
      <c r="I942" s="209" t="s">
        <v>137</v>
      </c>
      <c r="J942" s="209" t="s">
        <v>33</v>
      </c>
      <c r="K942" s="210" t="s">
        <v>34</v>
      </c>
      <c r="L942" s="210"/>
      <c r="M942" s="209" t="s">
        <v>35</v>
      </c>
      <c r="N942" s="209">
        <v>42318949</v>
      </c>
      <c r="O942" s="209" t="s">
        <v>105</v>
      </c>
      <c r="P942" s="215">
        <v>44932.47792824074</v>
      </c>
      <c r="Q942" s="209"/>
      <c r="R942" s="209" t="s">
        <v>38</v>
      </c>
      <c r="S942" s="209"/>
      <c r="T942" s="209" t="s">
        <v>74</v>
      </c>
      <c r="U942" s="215">
        <v>44932.75</v>
      </c>
      <c r="V942" s="209" t="s">
        <v>41</v>
      </c>
      <c r="W942" s="209" t="s">
        <v>42</v>
      </c>
      <c r="X942" s="13" t="str">
        <f>IF(RIGHT(H942,2)&lt;&gt;"00",H942,"")</f>
        <v/>
      </c>
      <c r="Y942" s="26">
        <f ca="1">NETWORKDAYS(P942,$Y$1)</f>
        <v>39</v>
      </c>
      <c r="Z942" s="34">
        <v>1</v>
      </c>
      <c r="AA942" s="25" t="str">
        <f t="shared" ca="1" si="73"/>
        <v>A VENCER</v>
      </c>
      <c r="AB942" s="25" t="str">
        <f t="shared" si="76"/>
        <v>Dosa</v>
      </c>
      <c r="AC942" s="2" t="str">
        <f t="shared" si="75"/>
        <v xml:space="preserve"> ROSEMERE </v>
      </c>
      <c r="AD942" s="26">
        <f t="shared" si="77"/>
        <v>5</v>
      </c>
      <c r="AE942" s="26">
        <f t="shared" ca="1" si="74"/>
        <v>54.198343402778846</v>
      </c>
      <c r="AF942" s="35"/>
    </row>
    <row r="943" spans="1:32" hidden="1">
      <c r="A943" s="209">
        <v>9299701</v>
      </c>
      <c r="B943" s="209" t="s">
        <v>101</v>
      </c>
      <c r="C943" s="210" t="s">
        <v>1761</v>
      </c>
      <c r="D943" s="214"/>
      <c r="E943" s="214">
        <v>1264000206001</v>
      </c>
      <c r="F943" s="209" t="s">
        <v>29</v>
      </c>
      <c r="G943" s="209" t="s">
        <v>53</v>
      </c>
      <c r="H943" s="209" t="s">
        <v>351</v>
      </c>
      <c r="I943" s="209" t="s">
        <v>352</v>
      </c>
      <c r="J943" s="209" t="s">
        <v>110</v>
      </c>
      <c r="K943" s="210" t="s">
        <v>34</v>
      </c>
      <c r="L943" s="210"/>
      <c r="M943" s="209" t="s">
        <v>35</v>
      </c>
      <c r="N943" s="209">
        <v>42318949</v>
      </c>
      <c r="O943" s="209" t="s">
        <v>105</v>
      </c>
      <c r="P943" s="215">
        <v>44932.477905092594</v>
      </c>
      <c r="Q943" s="209"/>
      <c r="R943" s="209" t="s">
        <v>38</v>
      </c>
      <c r="S943" s="209"/>
      <c r="T943" s="209" t="s">
        <v>74</v>
      </c>
      <c r="U943" s="215">
        <v>44932.75</v>
      </c>
      <c r="V943" s="209" t="s">
        <v>41</v>
      </c>
      <c r="W943" s="209" t="s">
        <v>49</v>
      </c>
      <c r="X943" s="13" t="str">
        <f>IF(RIGHT(H943,2)&lt;&gt;"00",H943,"")</f>
        <v/>
      </c>
      <c r="Y943" s="26">
        <f ca="1">NETWORKDAYS(P943,$Y$1)</f>
        <v>39</v>
      </c>
      <c r="Z943" s="34">
        <v>1</v>
      </c>
      <c r="AA943" s="25" t="str">
        <f t="shared" ca="1" si="73"/>
        <v>A VENCER</v>
      </c>
      <c r="AB943" s="25" t="str">
        <f t="shared" si="76"/>
        <v>Dosa</v>
      </c>
      <c r="AC943" s="2" t="str">
        <f t="shared" si="75"/>
        <v xml:space="preserve"> CRISTINA </v>
      </c>
      <c r="AD943" s="26">
        <f t="shared" si="77"/>
        <v>5</v>
      </c>
      <c r="AE943" s="26">
        <f t="shared" ca="1" si="74"/>
        <v>54.19836655092513</v>
      </c>
      <c r="AF943" s="35"/>
    </row>
    <row r="944" spans="1:32" hidden="1">
      <c r="A944" s="209">
        <v>9299700</v>
      </c>
      <c r="B944" s="209" t="s">
        <v>101</v>
      </c>
      <c r="C944" s="210" t="s">
        <v>1761</v>
      </c>
      <c r="D944" s="214"/>
      <c r="E944" s="214">
        <v>1264000206001</v>
      </c>
      <c r="F944" s="209" t="s">
        <v>29</v>
      </c>
      <c r="G944" s="209" t="s">
        <v>53</v>
      </c>
      <c r="H944" s="209" t="s">
        <v>351</v>
      </c>
      <c r="I944" s="209" t="s">
        <v>352</v>
      </c>
      <c r="J944" s="209" t="s">
        <v>110</v>
      </c>
      <c r="K944" s="210" t="s">
        <v>34</v>
      </c>
      <c r="L944" s="210"/>
      <c r="M944" s="209" t="s">
        <v>35</v>
      </c>
      <c r="N944" s="209">
        <v>42318949</v>
      </c>
      <c r="O944" s="209" t="s">
        <v>105</v>
      </c>
      <c r="P944" s="215">
        <v>44932.477905092594</v>
      </c>
      <c r="Q944" s="209"/>
      <c r="R944" s="209" t="s">
        <v>38</v>
      </c>
      <c r="S944" s="209"/>
      <c r="T944" s="209" t="s">
        <v>74</v>
      </c>
      <c r="U944" s="215">
        <v>44932.75</v>
      </c>
      <c r="V944" s="209" t="s">
        <v>41</v>
      </c>
      <c r="W944" s="209" t="s">
        <v>49</v>
      </c>
      <c r="X944" s="13" t="str">
        <f>IF(RIGHT(H944,2)&lt;&gt;"00",H944,"")</f>
        <v/>
      </c>
      <c r="Y944" s="26">
        <f ca="1">NETWORKDAYS(P944,$Y$1)</f>
        <v>39</v>
      </c>
      <c r="Z944" s="34">
        <v>1</v>
      </c>
      <c r="AA944" s="25" t="str">
        <f t="shared" ca="1" si="73"/>
        <v>A VENCER</v>
      </c>
      <c r="AB944" s="25" t="str">
        <f t="shared" si="76"/>
        <v>Dosa</v>
      </c>
      <c r="AC944" s="2" t="str">
        <f t="shared" si="75"/>
        <v xml:space="preserve"> CRISTINA </v>
      </c>
      <c r="AD944" s="26">
        <f t="shared" si="77"/>
        <v>5</v>
      </c>
      <c r="AE944" s="26">
        <f t="shared" ca="1" si="74"/>
        <v>54.19836655092513</v>
      </c>
      <c r="AF944" s="35"/>
    </row>
    <row r="945" spans="1:32" hidden="1">
      <c r="A945" s="209">
        <v>9299699</v>
      </c>
      <c r="B945" s="209" t="s">
        <v>101</v>
      </c>
      <c r="C945" s="210" t="s">
        <v>1761</v>
      </c>
      <c r="D945" s="214"/>
      <c r="E945" s="214">
        <v>1264000206001</v>
      </c>
      <c r="F945" s="209" t="s">
        <v>29</v>
      </c>
      <c r="G945" s="209" t="s">
        <v>53</v>
      </c>
      <c r="H945" s="209" t="s">
        <v>351</v>
      </c>
      <c r="I945" s="209" t="s">
        <v>352</v>
      </c>
      <c r="J945" s="209" t="s">
        <v>110</v>
      </c>
      <c r="K945" s="210" t="s">
        <v>34</v>
      </c>
      <c r="L945" s="210"/>
      <c r="M945" s="209" t="s">
        <v>35</v>
      </c>
      <c r="N945" s="209">
        <v>42318949</v>
      </c>
      <c r="O945" s="209" t="s">
        <v>105</v>
      </c>
      <c r="P945" s="215">
        <v>44932.477905092594</v>
      </c>
      <c r="Q945" s="209"/>
      <c r="R945" s="209" t="s">
        <v>38</v>
      </c>
      <c r="S945" s="209"/>
      <c r="T945" s="209" t="s">
        <v>74</v>
      </c>
      <c r="U945" s="215">
        <v>44932.75</v>
      </c>
      <c r="V945" s="209" t="s">
        <v>41</v>
      </c>
      <c r="W945" s="209" t="s">
        <v>49</v>
      </c>
      <c r="X945" s="13" t="str">
        <f>IF(RIGHT(H945,2)&lt;&gt;"00",H945,"")</f>
        <v/>
      </c>
      <c r="Y945" s="26">
        <f ca="1">NETWORKDAYS(P945,$Y$1)</f>
        <v>39</v>
      </c>
      <c r="Z945" s="34">
        <v>1</v>
      </c>
      <c r="AA945" s="25" t="str">
        <f t="shared" ca="1" si="73"/>
        <v>A VENCER</v>
      </c>
      <c r="AB945" s="25" t="str">
        <f t="shared" si="76"/>
        <v>Dosa</v>
      </c>
      <c r="AC945" s="2" t="str">
        <f t="shared" si="75"/>
        <v xml:space="preserve"> CRISTINA </v>
      </c>
      <c r="AD945" s="26">
        <f t="shared" si="77"/>
        <v>5</v>
      </c>
      <c r="AE945" s="26">
        <f t="shared" ca="1" si="74"/>
        <v>54.19836655092513</v>
      </c>
      <c r="AF945" s="35"/>
    </row>
    <row r="946" spans="1:32" hidden="1">
      <c r="A946" s="209">
        <v>9299638</v>
      </c>
      <c r="B946" s="209" t="s">
        <v>101</v>
      </c>
      <c r="C946" s="210" t="s">
        <v>1761</v>
      </c>
      <c r="D946" s="214"/>
      <c r="E946" s="214">
        <v>1153000206001</v>
      </c>
      <c r="F946" s="209" t="s">
        <v>29</v>
      </c>
      <c r="G946" s="209" t="s">
        <v>53</v>
      </c>
      <c r="H946" s="209" t="s">
        <v>1031</v>
      </c>
      <c r="I946" s="209" t="s">
        <v>1032</v>
      </c>
      <c r="J946" s="209" t="s">
        <v>79</v>
      </c>
      <c r="K946" s="210" t="s">
        <v>34</v>
      </c>
      <c r="L946" s="210"/>
      <c r="M946" s="209" t="s">
        <v>35</v>
      </c>
      <c r="N946" s="209">
        <v>42318949</v>
      </c>
      <c r="O946" s="209" t="s">
        <v>105</v>
      </c>
      <c r="P946" s="213">
        <v>44932.477824074071</v>
      </c>
      <c r="Q946" s="209"/>
      <c r="R946" s="209" t="s">
        <v>38</v>
      </c>
      <c r="S946" s="209"/>
      <c r="T946" s="209" t="s">
        <v>74</v>
      </c>
      <c r="U946" s="213">
        <v>44932.75</v>
      </c>
      <c r="V946" s="209" t="s">
        <v>41</v>
      </c>
      <c r="W946" s="209" t="s">
        <v>49</v>
      </c>
      <c r="X946" s="13" t="str">
        <f>IF(RIGHT(H946,2)&lt;&gt;"00",H946,"")</f>
        <v/>
      </c>
      <c r="Y946" s="26">
        <f ca="1">NETWORKDAYS(P946,$Y$1)</f>
        <v>39</v>
      </c>
      <c r="Z946" s="34">
        <v>1</v>
      </c>
      <c r="AA946" s="25" t="str">
        <f t="shared" ca="1" si="73"/>
        <v>A VENCER</v>
      </c>
      <c r="AB946" s="25" t="str">
        <f t="shared" si="76"/>
        <v>Dosa</v>
      </c>
      <c r="AC946" s="2" t="str">
        <f t="shared" si="75"/>
        <v xml:space="preserve"> ROSEMERE </v>
      </c>
      <c r="AD946" s="26">
        <f t="shared" si="77"/>
        <v>5</v>
      </c>
      <c r="AE946" s="26">
        <f t="shared" ca="1" si="74"/>
        <v>54.198447569448035</v>
      </c>
      <c r="AF946" s="35"/>
    </row>
    <row r="947" spans="1:32" hidden="1">
      <c r="A947" s="209">
        <v>9299629</v>
      </c>
      <c r="B947" s="209" t="s">
        <v>101</v>
      </c>
      <c r="C947" s="210" t="s">
        <v>1761</v>
      </c>
      <c r="D947" s="214"/>
      <c r="E947" s="214">
        <v>1120000206001</v>
      </c>
      <c r="F947" s="209" t="s">
        <v>29</v>
      </c>
      <c r="G947" s="209" t="s">
        <v>53</v>
      </c>
      <c r="H947" s="209" t="s">
        <v>181</v>
      </c>
      <c r="I947" s="209" t="s">
        <v>182</v>
      </c>
      <c r="J947" s="209" t="s">
        <v>164</v>
      </c>
      <c r="K947" s="210" t="s">
        <v>34</v>
      </c>
      <c r="L947" s="210"/>
      <c r="M947" s="209" t="s">
        <v>35</v>
      </c>
      <c r="N947" s="209">
        <v>42318949</v>
      </c>
      <c r="O947" s="209" t="s">
        <v>105</v>
      </c>
      <c r="P947" s="213">
        <v>44932.477812500001</v>
      </c>
      <c r="Q947" s="209"/>
      <c r="R947" s="209" t="s">
        <v>38</v>
      </c>
      <c r="S947" s="209"/>
      <c r="T947" s="209" t="s">
        <v>74</v>
      </c>
      <c r="U947" s="213">
        <v>44932.75</v>
      </c>
      <c r="V947" s="209" t="s">
        <v>41</v>
      </c>
      <c r="W947" s="209" t="s">
        <v>49</v>
      </c>
      <c r="X947" s="13" t="str">
        <f>IF(RIGHT(H947,2)&lt;&gt;"00",H947,"")</f>
        <v/>
      </c>
      <c r="Y947" s="26">
        <f ca="1">NETWORKDAYS(P947,$Y$1)</f>
        <v>39</v>
      </c>
      <c r="Z947" s="34">
        <v>1</v>
      </c>
      <c r="AA947" s="25" t="str">
        <f t="shared" ca="1" si="73"/>
        <v>A VENCER</v>
      </c>
      <c r="AB947" s="25" t="str">
        <f t="shared" si="76"/>
        <v>Dosa</v>
      </c>
      <c r="AC947" s="2" t="str">
        <f t="shared" si="75"/>
        <v xml:space="preserve"> ROSEMERE </v>
      </c>
      <c r="AD947" s="26">
        <f t="shared" si="77"/>
        <v>5</v>
      </c>
      <c r="AE947" s="26">
        <f t="shared" ca="1" si="74"/>
        <v>54.198459143517539</v>
      </c>
      <c r="AF947" s="35"/>
    </row>
    <row r="948" spans="1:32" hidden="1">
      <c r="A948" s="209">
        <v>9299628</v>
      </c>
      <c r="B948" s="209" t="s">
        <v>101</v>
      </c>
      <c r="C948" s="210" t="s">
        <v>1761</v>
      </c>
      <c r="D948" s="214"/>
      <c r="E948" s="214">
        <v>1120000206001</v>
      </c>
      <c r="F948" s="209" t="s">
        <v>29</v>
      </c>
      <c r="G948" s="209" t="s">
        <v>53</v>
      </c>
      <c r="H948" s="209" t="s">
        <v>181</v>
      </c>
      <c r="I948" s="209" t="s">
        <v>182</v>
      </c>
      <c r="J948" s="209" t="s">
        <v>164</v>
      </c>
      <c r="K948" s="210" t="s">
        <v>34</v>
      </c>
      <c r="L948" s="210"/>
      <c r="M948" s="209" t="s">
        <v>35</v>
      </c>
      <c r="N948" s="209">
        <v>42318949</v>
      </c>
      <c r="O948" s="209" t="s">
        <v>105</v>
      </c>
      <c r="P948" s="213">
        <v>44932.477800925924</v>
      </c>
      <c r="Q948" s="209"/>
      <c r="R948" s="209" t="s">
        <v>38</v>
      </c>
      <c r="S948" s="209"/>
      <c r="T948" s="209" t="s">
        <v>74</v>
      </c>
      <c r="U948" s="213">
        <v>44932.75</v>
      </c>
      <c r="V948" s="209" t="s">
        <v>41</v>
      </c>
      <c r="W948" s="209" t="s">
        <v>49</v>
      </c>
      <c r="X948" s="13" t="str">
        <f>IF(RIGHT(H948,2)&lt;&gt;"00",H948,"")</f>
        <v/>
      </c>
      <c r="Y948" s="26">
        <f ca="1">NETWORKDAYS(P948,$Y$1)</f>
        <v>39</v>
      </c>
      <c r="Z948" s="34">
        <v>1</v>
      </c>
      <c r="AA948" s="25" t="str">
        <f t="shared" ca="1" si="73"/>
        <v>A VENCER</v>
      </c>
      <c r="AB948" s="25" t="str">
        <f t="shared" si="76"/>
        <v>Dosa</v>
      </c>
      <c r="AC948" s="2" t="str">
        <f t="shared" si="75"/>
        <v xml:space="preserve"> ROSEMERE </v>
      </c>
      <c r="AD948" s="26">
        <f t="shared" si="77"/>
        <v>5</v>
      </c>
      <c r="AE948" s="26">
        <f t="shared" ca="1" si="74"/>
        <v>54.198470717594319</v>
      </c>
      <c r="AF948" s="35"/>
    </row>
    <row r="949" spans="1:32" hidden="1">
      <c r="A949" s="209">
        <v>9299585</v>
      </c>
      <c r="B949" s="209" t="s">
        <v>101</v>
      </c>
      <c r="C949" s="210" t="s">
        <v>1761</v>
      </c>
      <c r="D949" s="214"/>
      <c r="E949" s="214">
        <v>1060000206001</v>
      </c>
      <c r="F949" s="209" t="s">
        <v>29</v>
      </c>
      <c r="G949" s="209" t="s">
        <v>53</v>
      </c>
      <c r="H949" s="209" t="s">
        <v>284</v>
      </c>
      <c r="I949" s="209" t="s">
        <v>285</v>
      </c>
      <c r="J949" s="209" t="s">
        <v>148</v>
      </c>
      <c r="K949" s="210" t="s">
        <v>34</v>
      </c>
      <c r="L949" s="210"/>
      <c r="M949" s="209" t="s">
        <v>35</v>
      </c>
      <c r="N949" s="209">
        <v>42318949</v>
      </c>
      <c r="O949" s="209" t="s">
        <v>105</v>
      </c>
      <c r="P949" s="213">
        <v>44932.477743055555</v>
      </c>
      <c r="Q949" s="209"/>
      <c r="R949" s="209" t="s">
        <v>38</v>
      </c>
      <c r="S949" s="209"/>
      <c r="T949" s="209" t="s">
        <v>74</v>
      </c>
      <c r="U949" s="213">
        <v>44932.75</v>
      </c>
      <c r="V949" s="209" t="s">
        <v>41</v>
      </c>
      <c r="W949" s="209" t="s">
        <v>49</v>
      </c>
      <c r="X949" s="13" t="str">
        <f>IF(RIGHT(H949,2)&lt;&gt;"00",H949,"")</f>
        <v/>
      </c>
      <c r="Y949" s="26">
        <f ca="1">NETWORKDAYS(P949,$Y$1)</f>
        <v>39</v>
      </c>
      <c r="Z949" s="34">
        <v>1</v>
      </c>
      <c r="AA949" s="25" t="str">
        <f t="shared" ca="1" si="73"/>
        <v>A VENCER</v>
      </c>
      <c r="AB949" s="25" t="str">
        <f t="shared" si="76"/>
        <v>Dosa</v>
      </c>
      <c r="AC949" s="2" t="str">
        <f t="shared" si="75"/>
        <v xml:space="preserve"> RINALDO </v>
      </c>
      <c r="AD949" s="26">
        <f t="shared" si="77"/>
        <v>5</v>
      </c>
      <c r="AE949" s="26">
        <f t="shared" ca="1" si="74"/>
        <v>54.198528587963665</v>
      </c>
      <c r="AF949" s="35"/>
    </row>
    <row r="950" spans="1:32" hidden="1">
      <c r="A950" s="209">
        <v>9299584</v>
      </c>
      <c r="B950" s="209" t="s">
        <v>101</v>
      </c>
      <c r="C950" s="210" t="s">
        <v>1761</v>
      </c>
      <c r="D950" s="214"/>
      <c r="E950" s="214">
        <v>1060000206001</v>
      </c>
      <c r="F950" s="209" t="s">
        <v>29</v>
      </c>
      <c r="G950" s="209" t="s">
        <v>53</v>
      </c>
      <c r="H950" s="209" t="s">
        <v>284</v>
      </c>
      <c r="I950" s="209" t="s">
        <v>285</v>
      </c>
      <c r="J950" s="209" t="s">
        <v>148</v>
      </c>
      <c r="K950" s="210" t="s">
        <v>34</v>
      </c>
      <c r="L950" s="210"/>
      <c r="M950" s="209" t="s">
        <v>35</v>
      </c>
      <c r="N950" s="209">
        <v>42318949</v>
      </c>
      <c r="O950" s="209" t="s">
        <v>105</v>
      </c>
      <c r="P950" s="213">
        <v>44932.477743055555</v>
      </c>
      <c r="Q950" s="209"/>
      <c r="R950" s="209" t="s">
        <v>38</v>
      </c>
      <c r="S950" s="209"/>
      <c r="T950" s="209" t="s">
        <v>74</v>
      </c>
      <c r="U950" s="213">
        <v>44932.75</v>
      </c>
      <c r="V950" s="209" t="s">
        <v>41</v>
      </c>
      <c r="W950" s="209" t="s">
        <v>49</v>
      </c>
      <c r="X950" s="13" t="str">
        <f>IF(RIGHT(H950,2)&lt;&gt;"00",H950,"")</f>
        <v/>
      </c>
      <c r="Y950" s="26">
        <f ca="1">NETWORKDAYS(P950,$Y$1)</f>
        <v>39</v>
      </c>
      <c r="Z950" s="34">
        <v>1</v>
      </c>
      <c r="AA950" s="25" t="str">
        <f t="shared" ca="1" si="73"/>
        <v>A VENCER</v>
      </c>
      <c r="AB950" s="25" t="str">
        <f t="shared" si="76"/>
        <v>Dosa</v>
      </c>
      <c r="AC950" s="2" t="str">
        <f t="shared" si="75"/>
        <v xml:space="preserve"> RINALDO </v>
      </c>
      <c r="AD950" s="26">
        <f t="shared" si="77"/>
        <v>5</v>
      </c>
      <c r="AE950" s="26">
        <f t="shared" ca="1" si="74"/>
        <v>54.198528587963665</v>
      </c>
      <c r="AF950" s="35"/>
    </row>
    <row r="951" spans="1:32" hidden="1">
      <c r="A951" s="209">
        <v>9299582</v>
      </c>
      <c r="B951" s="209" t="s">
        <v>101</v>
      </c>
      <c r="C951" s="210" t="s">
        <v>1761</v>
      </c>
      <c r="D951" s="214"/>
      <c r="E951" s="214">
        <v>1059000206001</v>
      </c>
      <c r="F951" s="209" t="s">
        <v>29</v>
      </c>
      <c r="G951" s="209" t="s">
        <v>53</v>
      </c>
      <c r="H951" s="209" t="s">
        <v>88</v>
      </c>
      <c r="I951" s="209" t="s">
        <v>89</v>
      </c>
      <c r="J951" s="209" t="s">
        <v>90</v>
      </c>
      <c r="K951" s="210" t="s">
        <v>34</v>
      </c>
      <c r="L951" s="210"/>
      <c r="M951" s="209" t="s">
        <v>35</v>
      </c>
      <c r="N951" s="209">
        <v>42318949</v>
      </c>
      <c r="O951" s="209" t="s">
        <v>105</v>
      </c>
      <c r="P951" s="213">
        <v>44932.477743055555</v>
      </c>
      <c r="Q951" s="209"/>
      <c r="R951" s="209" t="s">
        <v>38</v>
      </c>
      <c r="S951" s="209"/>
      <c r="T951" s="209" t="s">
        <v>74</v>
      </c>
      <c r="U951" s="213">
        <v>44932.75</v>
      </c>
      <c r="V951" s="209" t="s">
        <v>41</v>
      </c>
      <c r="W951" s="209" t="s">
        <v>49</v>
      </c>
      <c r="X951" s="13" t="str">
        <f>IF(RIGHT(H951,2)&lt;&gt;"00",H951,"")</f>
        <v/>
      </c>
      <c r="Y951" s="26">
        <f ca="1">NETWORKDAYS(P951,$Y$1)</f>
        <v>39</v>
      </c>
      <c r="Z951" s="34">
        <v>1</v>
      </c>
      <c r="AA951" s="25" t="str">
        <f t="shared" ca="1" si="73"/>
        <v>A VENCER</v>
      </c>
      <c r="AB951" s="25" t="str">
        <f t="shared" si="76"/>
        <v>Dosa</v>
      </c>
      <c r="AC951" s="2" t="str">
        <f t="shared" si="75"/>
        <v xml:space="preserve"> RINALDO </v>
      </c>
      <c r="AD951" s="26">
        <f t="shared" si="77"/>
        <v>5</v>
      </c>
      <c r="AE951" s="26">
        <f t="shared" ca="1" si="74"/>
        <v>54.198528587963665</v>
      </c>
      <c r="AF951" s="35"/>
    </row>
    <row r="952" spans="1:32" hidden="1">
      <c r="A952" s="209">
        <v>9299581</v>
      </c>
      <c r="B952" s="209" t="s">
        <v>101</v>
      </c>
      <c r="C952" s="210" t="s">
        <v>1761</v>
      </c>
      <c r="D952" s="214"/>
      <c r="E952" s="214">
        <v>1058000206001</v>
      </c>
      <c r="F952" s="209" t="s">
        <v>29</v>
      </c>
      <c r="G952" s="209" t="s">
        <v>53</v>
      </c>
      <c r="H952" s="209" t="s">
        <v>289</v>
      </c>
      <c r="I952" s="209" t="s">
        <v>290</v>
      </c>
      <c r="J952" s="209" t="s">
        <v>56</v>
      </c>
      <c r="K952" s="210" t="s">
        <v>34</v>
      </c>
      <c r="L952" s="210"/>
      <c r="M952" s="209" t="s">
        <v>35</v>
      </c>
      <c r="N952" s="209">
        <v>42318949</v>
      </c>
      <c r="O952" s="209" t="s">
        <v>36</v>
      </c>
      <c r="P952" s="213">
        <v>44932.477743055555</v>
      </c>
      <c r="Q952" s="209"/>
      <c r="R952" s="209" t="s">
        <v>38</v>
      </c>
      <c r="S952" s="209"/>
      <c r="T952" s="209" t="s">
        <v>74</v>
      </c>
      <c r="U952" s="213">
        <v>44932.75</v>
      </c>
      <c r="V952" s="209" t="s">
        <v>41</v>
      </c>
      <c r="W952" s="209" t="s">
        <v>49</v>
      </c>
      <c r="X952" s="13" t="str">
        <f>IF(RIGHT(H952,2)&lt;&gt;"00",H952,"")</f>
        <v/>
      </c>
      <c r="Y952" s="26">
        <f ca="1">NETWORKDAYS(P952,$Y$1)</f>
        <v>39</v>
      </c>
      <c r="Z952" s="34">
        <v>1</v>
      </c>
      <c r="AA952" s="25" t="str">
        <f t="shared" ca="1" si="73"/>
        <v>A VENCER</v>
      </c>
      <c r="AB952" s="25" t="str">
        <f t="shared" si="76"/>
        <v>Dosa</v>
      </c>
      <c r="AC952" s="2" t="str">
        <f t="shared" si="75"/>
        <v xml:space="preserve"> CRISTINA </v>
      </c>
      <c r="AD952" s="26">
        <f t="shared" si="77"/>
        <v>5</v>
      </c>
      <c r="AE952" s="26">
        <f t="shared" ca="1" si="74"/>
        <v>54.198528587963665</v>
      </c>
      <c r="AF952" s="35"/>
    </row>
    <row r="953" spans="1:32" hidden="1">
      <c r="A953" s="209">
        <v>9299580</v>
      </c>
      <c r="B953" s="209" t="s">
        <v>101</v>
      </c>
      <c r="C953" s="210" t="s">
        <v>1761</v>
      </c>
      <c r="D953" s="214"/>
      <c r="E953" s="214">
        <v>1058000206001</v>
      </c>
      <c r="F953" s="209" t="s">
        <v>29</v>
      </c>
      <c r="G953" s="209" t="s">
        <v>53</v>
      </c>
      <c r="H953" s="209" t="s">
        <v>289</v>
      </c>
      <c r="I953" s="209" t="s">
        <v>290</v>
      </c>
      <c r="J953" s="209" t="s">
        <v>56</v>
      </c>
      <c r="K953" s="210" t="s">
        <v>34</v>
      </c>
      <c r="L953" s="210"/>
      <c r="M953" s="209" t="s">
        <v>35</v>
      </c>
      <c r="N953" s="209">
        <v>42318949</v>
      </c>
      <c r="O953" s="209" t="s">
        <v>105</v>
      </c>
      <c r="P953" s="213">
        <v>44932.477743055555</v>
      </c>
      <c r="Q953" s="209"/>
      <c r="R953" s="209" t="s">
        <v>38</v>
      </c>
      <c r="S953" s="209"/>
      <c r="T953" s="209" t="s">
        <v>74</v>
      </c>
      <c r="U953" s="213">
        <v>44932.75</v>
      </c>
      <c r="V953" s="209" t="s">
        <v>41</v>
      </c>
      <c r="W953" s="209" t="s">
        <v>49</v>
      </c>
      <c r="X953" s="13" t="str">
        <f>IF(RIGHT(H953,2)&lt;&gt;"00",H953,"")</f>
        <v/>
      </c>
      <c r="Y953" s="26">
        <f ca="1">NETWORKDAYS(P953,$Y$1)</f>
        <v>39</v>
      </c>
      <c r="Z953" s="34">
        <v>1</v>
      </c>
      <c r="AA953" s="25" t="str">
        <f t="shared" ca="1" si="73"/>
        <v>A VENCER</v>
      </c>
      <c r="AB953" s="25" t="str">
        <f t="shared" si="76"/>
        <v>Dosa</v>
      </c>
      <c r="AC953" s="2" t="str">
        <f t="shared" si="75"/>
        <v xml:space="preserve"> CRISTINA </v>
      </c>
      <c r="AD953" s="26">
        <f t="shared" si="77"/>
        <v>5</v>
      </c>
      <c r="AE953" s="26">
        <f t="shared" ca="1" si="74"/>
        <v>54.198528587963665</v>
      </c>
      <c r="AF953" s="35"/>
    </row>
    <row r="954" spans="1:32" hidden="1">
      <c r="A954" s="209">
        <v>9299579</v>
      </c>
      <c r="B954" s="209" t="s">
        <v>101</v>
      </c>
      <c r="C954" s="210" t="s">
        <v>1761</v>
      </c>
      <c r="D954" s="214"/>
      <c r="E954" s="214">
        <v>1058000206001</v>
      </c>
      <c r="F954" s="209" t="s">
        <v>29</v>
      </c>
      <c r="G954" s="209" t="s">
        <v>53</v>
      </c>
      <c r="H954" s="209" t="s">
        <v>289</v>
      </c>
      <c r="I954" s="209" t="s">
        <v>290</v>
      </c>
      <c r="J954" s="209" t="s">
        <v>56</v>
      </c>
      <c r="K954" s="210" t="s">
        <v>34</v>
      </c>
      <c r="L954" s="210"/>
      <c r="M954" s="209" t="s">
        <v>35</v>
      </c>
      <c r="N954" s="209">
        <v>42318949</v>
      </c>
      <c r="O954" s="209" t="s">
        <v>105</v>
      </c>
      <c r="P954" s="213">
        <v>44932.477743055555</v>
      </c>
      <c r="Q954" s="209"/>
      <c r="R954" s="209" t="s">
        <v>38</v>
      </c>
      <c r="S954" s="209"/>
      <c r="T954" s="209" t="s">
        <v>74</v>
      </c>
      <c r="U954" s="213">
        <v>44932.75</v>
      </c>
      <c r="V954" s="209" t="s">
        <v>41</v>
      </c>
      <c r="W954" s="209" t="s">
        <v>49</v>
      </c>
      <c r="X954" s="13" t="str">
        <f>IF(RIGHT(H954,2)&lt;&gt;"00",H954,"")</f>
        <v/>
      </c>
      <c r="Y954" s="26">
        <f ca="1">NETWORKDAYS(P954,$Y$1)</f>
        <v>39</v>
      </c>
      <c r="Z954" s="34">
        <v>1</v>
      </c>
      <c r="AA954" s="25" t="str">
        <f t="shared" ca="1" si="73"/>
        <v>A VENCER</v>
      </c>
      <c r="AB954" s="25" t="str">
        <f t="shared" si="76"/>
        <v>Dosa</v>
      </c>
      <c r="AC954" s="2" t="str">
        <f t="shared" si="75"/>
        <v xml:space="preserve"> CRISTINA </v>
      </c>
      <c r="AD954" s="26">
        <f t="shared" si="77"/>
        <v>5</v>
      </c>
      <c r="AE954" s="26">
        <f t="shared" ca="1" si="74"/>
        <v>54.198528587963665</v>
      </c>
      <c r="AF954" s="35"/>
    </row>
    <row r="955" spans="1:32" hidden="1">
      <c r="A955" s="209">
        <v>9299578</v>
      </c>
      <c r="B955" s="209" t="s">
        <v>101</v>
      </c>
      <c r="C955" s="210" t="s">
        <v>1761</v>
      </c>
      <c r="D955" s="214"/>
      <c r="E955" s="214">
        <v>1058000206001</v>
      </c>
      <c r="F955" s="209" t="s">
        <v>29</v>
      </c>
      <c r="G955" s="209" t="s">
        <v>53</v>
      </c>
      <c r="H955" s="209" t="s">
        <v>289</v>
      </c>
      <c r="I955" s="209" t="s">
        <v>290</v>
      </c>
      <c r="J955" s="209" t="s">
        <v>56</v>
      </c>
      <c r="K955" s="210" t="s">
        <v>34</v>
      </c>
      <c r="L955" s="210"/>
      <c r="M955" s="209" t="s">
        <v>35</v>
      </c>
      <c r="N955" s="209">
        <v>42318949</v>
      </c>
      <c r="O955" s="209" t="s">
        <v>105</v>
      </c>
      <c r="P955" s="213">
        <v>44932.477743055555</v>
      </c>
      <c r="Q955" s="209"/>
      <c r="R955" s="209" t="s">
        <v>38</v>
      </c>
      <c r="S955" s="209"/>
      <c r="T955" s="209" t="s">
        <v>74</v>
      </c>
      <c r="U955" s="213">
        <v>44932.75</v>
      </c>
      <c r="V955" s="209" t="s">
        <v>41</v>
      </c>
      <c r="W955" s="209" t="s">
        <v>49</v>
      </c>
      <c r="X955" s="13" t="str">
        <f>IF(RIGHT(H955,2)&lt;&gt;"00",H955,"")</f>
        <v/>
      </c>
      <c r="Y955" s="26">
        <f ca="1">NETWORKDAYS(P955,$Y$1)</f>
        <v>39</v>
      </c>
      <c r="Z955" s="34">
        <v>1</v>
      </c>
      <c r="AA955" s="25" t="str">
        <f t="shared" ca="1" si="73"/>
        <v>A VENCER</v>
      </c>
      <c r="AB955" s="25" t="str">
        <f t="shared" si="76"/>
        <v>Dosa</v>
      </c>
      <c r="AC955" s="2" t="str">
        <f t="shared" si="75"/>
        <v xml:space="preserve"> CRISTINA </v>
      </c>
      <c r="AD955" s="26">
        <f t="shared" si="77"/>
        <v>5</v>
      </c>
      <c r="AE955" s="26">
        <f t="shared" ca="1" si="74"/>
        <v>54.198528587963665</v>
      </c>
      <c r="AF955" s="35"/>
    </row>
    <row r="956" spans="1:32" hidden="1">
      <c r="A956" s="209">
        <v>9299577</v>
      </c>
      <c r="B956" s="209" t="s">
        <v>101</v>
      </c>
      <c r="C956" s="210" t="s">
        <v>1761</v>
      </c>
      <c r="D956" s="214"/>
      <c r="E956" s="214">
        <v>1058000206001</v>
      </c>
      <c r="F956" s="209" t="s">
        <v>29</v>
      </c>
      <c r="G956" s="209" t="s">
        <v>53</v>
      </c>
      <c r="H956" s="209" t="s">
        <v>289</v>
      </c>
      <c r="I956" s="209" t="s">
        <v>290</v>
      </c>
      <c r="J956" s="209" t="s">
        <v>56</v>
      </c>
      <c r="K956" s="210" t="s">
        <v>34</v>
      </c>
      <c r="L956" s="210"/>
      <c r="M956" s="209" t="s">
        <v>35</v>
      </c>
      <c r="N956" s="209">
        <v>42318949</v>
      </c>
      <c r="O956" s="209" t="s">
        <v>105</v>
      </c>
      <c r="P956" s="213">
        <v>44932.477743055555</v>
      </c>
      <c r="Q956" s="209"/>
      <c r="R956" s="209" t="s">
        <v>38</v>
      </c>
      <c r="S956" s="209"/>
      <c r="T956" s="209" t="s">
        <v>74</v>
      </c>
      <c r="U956" s="213">
        <v>44932.75</v>
      </c>
      <c r="V956" s="209" t="s">
        <v>41</v>
      </c>
      <c r="W956" s="209" t="s">
        <v>49</v>
      </c>
      <c r="X956" s="13" t="str">
        <f>IF(RIGHT(H956,2)&lt;&gt;"00",H956,"")</f>
        <v/>
      </c>
      <c r="Y956" s="26">
        <f ca="1">NETWORKDAYS(P956,$Y$1)</f>
        <v>39</v>
      </c>
      <c r="Z956" s="34">
        <v>1</v>
      </c>
      <c r="AA956" s="25" t="str">
        <f t="shared" ca="1" si="73"/>
        <v>A VENCER</v>
      </c>
      <c r="AB956" s="25" t="str">
        <f t="shared" si="76"/>
        <v>Dosa</v>
      </c>
      <c r="AC956" s="2" t="str">
        <f t="shared" si="75"/>
        <v xml:space="preserve"> CRISTINA </v>
      </c>
      <c r="AD956" s="26">
        <f t="shared" si="77"/>
        <v>5</v>
      </c>
      <c r="AE956" s="26">
        <f t="shared" ca="1" si="74"/>
        <v>54.198528587963665</v>
      </c>
      <c r="AF956" s="35"/>
    </row>
    <row r="957" spans="1:32" hidden="1">
      <c r="A957" s="209">
        <v>9299576</v>
      </c>
      <c r="B957" s="209" t="s">
        <v>101</v>
      </c>
      <c r="C957" s="210" t="s">
        <v>1761</v>
      </c>
      <c r="D957" s="214"/>
      <c r="E957" s="214">
        <v>1058000206001</v>
      </c>
      <c r="F957" s="209" t="s">
        <v>29</v>
      </c>
      <c r="G957" s="209" t="s">
        <v>53</v>
      </c>
      <c r="H957" s="209" t="s">
        <v>289</v>
      </c>
      <c r="I957" s="209" t="s">
        <v>290</v>
      </c>
      <c r="J957" s="209" t="s">
        <v>56</v>
      </c>
      <c r="K957" s="210" t="s">
        <v>34</v>
      </c>
      <c r="L957" s="210"/>
      <c r="M957" s="209" t="s">
        <v>35</v>
      </c>
      <c r="N957" s="209">
        <v>42318949</v>
      </c>
      <c r="O957" s="209" t="s">
        <v>105</v>
      </c>
      <c r="P957" s="213">
        <v>44932.477731481478</v>
      </c>
      <c r="Q957" s="209"/>
      <c r="R957" s="209" t="s">
        <v>38</v>
      </c>
      <c r="S957" s="209"/>
      <c r="T957" s="209" t="s">
        <v>74</v>
      </c>
      <c r="U957" s="213">
        <v>44932.75</v>
      </c>
      <c r="V957" s="209" t="s">
        <v>41</v>
      </c>
      <c r="W957" s="209" t="s">
        <v>49</v>
      </c>
      <c r="X957" s="13" t="str">
        <f>IF(RIGHT(H957,2)&lt;&gt;"00",H957,"")</f>
        <v/>
      </c>
      <c r="Y957" s="26">
        <f ca="1">NETWORKDAYS(P957,$Y$1)</f>
        <v>39</v>
      </c>
      <c r="Z957" s="34">
        <v>1</v>
      </c>
      <c r="AA957" s="25" t="str">
        <f t="shared" ca="1" si="73"/>
        <v>A VENCER</v>
      </c>
      <c r="AB957" s="25" t="str">
        <f t="shared" si="76"/>
        <v>Dosa</v>
      </c>
      <c r="AC957" s="2" t="str">
        <f t="shared" si="75"/>
        <v xml:space="preserve"> CRISTINA </v>
      </c>
      <c r="AD957" s="26">
        <f t="shared" si="77"/>
        <v>5</v>
      </c>
      <c r="AE957" s="26">
        <f t="shared" ca="1" si="74"/>
        <v>54.198540162040445</v>
      </c>
      <c r="AF957" s="35"/>
    </row>
    <row r="958" spans="1:32" hidden="1">
      <c r="A958" s="209">
        <v>9299572</v>
      </c>
      <c r="B958" s="209" t="s">
        <v>101</v>
      </c>
      <c r="C958" s="210" t="s">
        <v>1761</v>
      </c>
      <c r="D958" s="214"/>
      <c r="E958" s="214">
        <v>1052000206001</v>
      </c>
      <c r="F958" s="209" t="s">
        <v>29</v>
      </c>
      <c r="G958" s="209" t="s">
        <v>53</v>
      </c>
      <c r="H958" s="209" t="s">
        <v>329</v>
      </c>
      <c r="I958" s="209" t="s">
        <v>330</v>
      </c>
      <c r="J958" s="209" t="s">
        <v>79</v>
      </c>
      <c r="K958" s="210" t="s">
        <v>34</v>
      </c>
      <c r="L958" s="210"/>
      <c r="M958" s="209" t="s">
        <v>35</v>
      </c>
      <c r="N958" s="209">
        <v>42318949</v>
      </c>
      <c r="O958" s="209" t="s">
        <v>105</v>
      </c>
      <c r="P958" s="213">
        <v>44932.477731481478</v>
      </c>
      <c r="Q958" s="209"/>
      <c r="R958" s="209" t="s">
        <v>38</v>
      </c>
      <c r="S958" s="209"/>
      <c r="T958" s="209" t="s">
        <v>74</v>
      </c>
      <c r="U958" s="213">
        <v>44932.75</v>
      </c>
      <c r="V958" s="209" t="s">
        <v>41</v>
      </c>
      <c r="W958" s="209" t="s">
        <v>49</v>
      </c>
      <c r="X958" s="13" t="str">
        <f>IF(RIGHT(H958,2)&lt;&gt;"00",H958,"")</f>
        <v/>
      </c>
      <c r="Y958" s="26">
        <f ca="1">NETWORKDAYS(P958,$Y$1)</f>
        <v>39</v>
      </c>
      <c r="Z958" s="34">
        <v>1</v>
      </c>
      <c r="AA958" s="25" t="str">
        <f t="shared" ca="1" si="73"/>
        <v>A VENCER</v>
      </c>
      <c r="AB958" s="25" t="str">
        <f t="shared" si="76"/>
        <v>Dosa</v>
      </c>
      <c r="AC958" s="2" t="str">
        <f t="shared" si="75"/>
        <v xml:space="preserve"> ROSEMERE </v>
      </c>
      <c r="AD958" s="26">
        <f t="shared" si="77"/>
        <v>5</v>
      </c>
      <c r="AE958" s="26">
        <f t="shared" ca="1" si="74"/>
        <v>54.198540162040445</v>
      </c>
      <c r="AF958" s="35"/>
    </row>
    <row r="959" spans="1:32" hidden="1">
      <c r="A959" s="209">
        <v>9299571</v>
      </c>
      <c r="B959" s="209" t="s">
        <v>101</v>
      </c>
      <c r="C959" s="210" t="s">
        <v>1761</v>
      </c>
      <c r="D959" s="214"/>
      <c r="E959" s="214">
        <v>1052000206001</v>
      </c>
      <c r="F959" s="209" t="s">
        <v>29</v>
      </c>
      <c r="G959" s="209" t="s">
        <v>53</v>
      </c>
      <c r="H959" s="209" t="s">
        <v>329</v>
      </c>
      <c r="I959" s="209" t="s">
        <v>330</v>
      </c>
      <c r="J959" s="209" t="s">
        <v>79</v>
      </c>
      <c r="K959" s="210" t="s">
        <v>34</v>
      </c>
      <c r="L959" s="210"/>
      <c r="M959" s="209" t="s">
        <v>35</v>
      </c>
      <c r="N959" s="209">
        <v>42318949</v>
      </c>
      <c r="O959" s="209" t="s">
        <v>105</v>
      </c>
      <c r="P959" s="213">
        <v>44932.477731481478</v>
      </c>
      <c r="Q959" s="209"/>
      <c r="R959" s="209" t="s">
        <v>38</v>
      </c>
      <c r="S959" s="209"/>
      <c r="T959" s="209" t="s">
        <v>74</v>
      </c>
      <c r="U959" s="213">
        <v>44932.75</v>
      </c>
      <c r="V959" s="209" t="s">
        <v>41</v>
      </c>
      <c r="W959" s="209" t="s">
        <v>49</v>
      </c>
      <c r="X959" s="13" t="str">
        <f>IF(RIGHT(H959,2)&lt;&gt;"00",H959,"")</f>
        <v/>
      </c>
      <c r="Y959" s="26">
        <f ca="1">NETWORKDAYS(P959,$Y$1)</f>
        <v>39</v>
      </c>
      <c r="Z959" s="34">
        <v>1</v>
      </c>
      <c r="AA959" s="25" t="str">
        <f t="shared" ca="1" si="73"/>
        <v>A VENCER</v>
      </c>
      <c r="AB959" s="25" t="str">
        <f t="shared" si="76"/>
        <v>Dosa</v>
      </c>
      <c r="AC959" s="2" t="str">
        <f t="shared" si="75"/>
        <v xml:space="preserve"> ROSEMERE </v>
      </c>
      <c r="AD959" s="26">
        <f t="shared" si="77"/>
        <v>5</v>
      </c>
      <c r="AE959" s="26">
        <f t="shared" ca="1" si="74"/>
        <v>54.198540162040445</v>
      </c>
      <c r="AF959" s="35"/>
    </row>
    <row r="960" spans="1:32" hidden="1">
      <c r="A960" s="209">
        <v>9299552</v>
      </c>
      <c r="B960" s="209" t="s">
        <v>101</v>
      </c>
      <c r="C960" s="210" t="s">
        <v>1761</v>
      </c>
      <c r="D960" s="214"/>
      <c r="E960" s="214">
        <v>1011000206001</v>
      </c>
      <c r="F960" s="209" t="s">
        <v>29</v>
      </c>
      <c r="G960" s="209" t="s">
        <v>53</v>
      </c>
      <c r="H960" s="209" t="s">
        <v>272</v>
      </c>
      <c r="I960" s="209" t="s">
        <v>273</v>
      </c>
      <c r="J960" s="209" t="s">
        <v>33</v>
      </c>
      <c r="K960" s="210" t="s">
        <v>34</v>
      </c>
      <c r="L960" s="210"/>
      <c r="M960" s="209" t="s">
        <v>35</v>
      </c>
      <c r="N960" s="209">
        <v>42318949</v>
      </c>
      <c r="O960" s="209" t="s">
        <v>105</v>
      </c>
      <c r="P960" s="213">
        <v>44932.477708333332</v>
      </c>
      <c r="Q960" s="209"/>
      <c r="R960" s="209" t="s">
        <v>38</v>
      </c>
      <c r="S960" s="209"/>
      <c r="T960" s="209" t="s">
        <v>74</v>
      </c>
      <c r="U960" s="213">
        <v>44932.75</v>
      </c>
      <c r="V960" s="209" t="s">
        <v>41</v>
      </c>
      <c r="W960" s="209" t="s">
        <v>49</v>
      </c>
      <c r="X960" s="13" t="str">
        <f>IF(RIGHT(H960,2)&lt;&gt;"00",H960,"")</f>
        <v/>
      </c>
      <c r="Y960" s="26">
        <f ca="1">NETWORKDAYS(P960,$Y$1)</f>
        <v>39</v>
      </c>
      <c r="Z960" s="34">
        <v>1</v>
      </c>
      <c r="AA960" s="25" t="str">
        <f t="shared" ca="1" si="73"/>
        <v>A VENCER</v>
      </c>
      <c r="AB960" s="25" t="str">
        <f t="shared" si="76"/>
        <v>Dosa</v>
      </c>
      <c r="AC960" s="2" t="str">
        <f t="shared" si="75"/>
        <v xml:space="preserve"> ROSEMERE </v>
      </c>
      <c r="AD960" s="26">
        <f t="shared" si="77"/>
        <v>5</v>
      </c>
      <c r="AE960" s="26">
        <f t="shared" ca="1" si="74"/>
        <v>54.198563310186728</v>
      </c>
      <c r="AF960" s="35"/>
    </row>
    <row r="961" spans="1:31" hidden="1">
      <c r="A961" s="209">
        <v>9299516</v>
      </c>
      <c r="B961" s="209" t="s">
        <v>101</v>
      </c>
      <c r="C961" s="210" t="s">
        <v>1761</v>
      </c>
      <c r="D961" s="214"/>
      <c r="E961" s="214">
        <v>981000206001</v>
      </c>
      <c r="F961" s="209" t="s">
        <v>29</v>
      </c>
      <c r="G961" s="209" t="s">
        <v>53</v>
      </c>
      <c r="H961" s="209" t="s">
        <v>410</v>
      </c>
      <c r="I961" s="209" t="s">
        <v>411</v>
      </c>
      <c r="J961" s="209" t="s">
        <v>85</v>
      </c>
      <c r="K961" s="210" t="s">
        <v>34</v>
      </c>
      <c r="L961" s="210"/>
      <c r="M961" s="209" t="s">
        <v>35</v>
      </c>
      <c r="N961" s="209">
        <v>42318949</v>
      </c>
      <c r="O961" s="209" t="s">
        <v>105</v>
      </c>
      <c r="P961" s="213">
        <v>44932.477662037039</v>
      </c>
      <c r="Q961" s="209"/>
      <c r="R961" s="209" t="s">
        <v>38</v>
      </c>
      <c r="S961" s="209"/>
      <c r="T961" s="209" t="s">
        <v>74</v>
      </c>
      <c r="U961" s="213">
        <v>44932.75</v>
      </c>
      <c r="V961" s="209" t="s">
        <v>41</v>
      </c>
      <c r="W961" s="209" t="s">
        <v>49</v>
      </c>
      <c r="X961" s="13" t="str">
        <f>IF(RIGHT(H961,2)&lt;&gt;"00",H961,"")</f>
        <v/>
      </c>
      <c r="Y961" s="26">
        <f ca="1">NETWORKDAYS(P961,$Y$1)</f>
        <v>39</v>
      </c>
      <c r="Z961" s="34">
        <v>1</v>
      </c>
      <c r="AA961" s="25" t="str">
        <f t="shared" ca="1" si="73"/>
        <v>A VENCER</v>
      </c>
      <c r="AB961" s="25" t="str">
        <f t="shared" si="76"/>
        <v>Dosa</v>
      </c>
      <c r="AC961" s="2" t="str">
        <f t="shared" si="75"/>
        <v xml:space="preserve"> RINALDO </v>
      </c>
      <c r="AD961" s="26">
        <f t="shared" si="77"/>
        <v>5</v>
      </c>
      <c r="AE961" s="26">
        <f t="shared" ca="1" si="74"/>
        <v>54.198609606479295</v>
      </c>
    </row>
    <row r="962" spans="1:31" hidden="1">
      <c r="A962" s="209">
        <v>9299457</v>
      </c>
      <c r="B962" s="209" t="s">
        <v>101</v>
      </c>
      <c r="C962" s="210" t="s">
        <v>1761</v>
      </c>
      <c r="D962" s="214"/>
      <c r="E962" s="214">
        <v>917000206001</v>
      </c>
      <c r="F962" s="209" t="s">
        <v>29</v>
      </c>
      <c r="G962" s="209" t="s">
        <v>53</v>
      </c>
      <c r="H962" s="209" t="s">
        <v>83</v>
      </c>
      <c r="I962" s="209" t="s">
        <v>84</v>
      </c>
      <c r="J962" s="209" t="s">
        <v>85</v>
      </c>
      <c r="K962" s="210" t="s">
        <v>34</v>
      </c>
      <c r="L962" s="210"/>
      <c r="M962" s="209" t="s">
        <v>35</v>
      </c>
      <c r="N962" s="209">
        <v>42318949</v>
      </c>
      <c r="O962" s="209" t="s">
        <v>105</v>
      </c>
      <c r="P962" s="213">
        <v>44932.477581018517</v>
      </c>
      <c r="Q962" s="209"/>
      <c r="R962" s="209" t="s">
        <v>38</v>
      </c>
      <c r="S962" s="209"/>
      <c r="T962" s="209" t="s">
        <v>74</v>
      </c>
      <c r="U962" s="213">
        <v>44932.75</v>
      </c>
      <c r="V962" s="209" t="s">
        <v>41</v>
      </c>
      <c r="W962" s="209" t="s">
        <v>49</v>
      </c>
      <c r="X962" s="13" t="str">
        <f>IF(RIGHT(H962,2)&lt;&gt;"00",H962,"")</f>
        <v/>
      </c>
      <c r="Y962" s="26">
        <f ca="1">NETWORKDAYS(P962,$Y$1)</f>
        <v>39</v>
      </c>
      <c r="Z962" s="34">
        <v>1</v>
      </c>
      <c r="AA962" s="25" t="str">
        <f t="shared" ref="AA962:AA1025" ca="1" si="78">IF(AE962=0,"HOJE",IF(AE962&gt;0,"A VENCER",IF(AE962&lt;0,"VENCIDO")))</f>
        <v>A VENCER</v>
      </c>
      <c r="AB962" s="25" t="str">
        <f t="shared" si="76"/>
        <v>Dosa</v>
      </c>
      <c r="AC962" s="2" t="str">
        <f t="shared" si="75"/>
        <v xml:space="preserve"> RINALDO </v>
      </c>
      <c r="AD962" s="26">
        <f t="shared" si="77"/>
        <v>5</v>
      </c>
      <c r="AE962" s="26">
        <f t="shared" ref="AE962:AE1025" ca="1" si="79">IF(P962=$AE$1,"",$AE$1-P962)</f>
        <v>54.1986906250022</v>
      </c>
    </row>
    <row r="963" spans="1:31" hidden="1">
      <c r="A963" s="209">
        <v>9299432</v>
      </c>
      <c r="B963" s="209" t="s">
        <v>101</v>
      </c>
      <c r="C963" s="210" t="s">
        <v>1761</v>
      </c>
      <c r="D963" s="214"/>
      <c r="E963" s="214">
        <v>834000206001</v>
      </c>
      <c r="F963" s="209" t="s">
        <v>29</v>
      </c>
      <c r="G963" s="209" t="s">
        <v>53</v>
      </c>
      <c r="H963" s="209" t="s">
        <v>367</v>
      </c>
      <c r="I963" s="209" t="s">
        <v>368</v>
      </c>
      <c r="J963" s="209" t="s">
        <v>261</v>
      </c>
      <c r="K963" s="210" t="s">
        <v>34</v>
      </c>
      <c r="L963" s="210"/>
      <c r="M963" s="209" t="s">
        <v>35</v>
      </c>
      <c r="N963" s="209">
        <v>42318949</v>
      </c>
      <c r="O963" s="209" t="s">
        <v>105</v>
      </c>
      <c r="P963" s="213">
        <v>44932.477546296293</v>
      </c>
      <c r="Q963" s="209"/>
      <c r="R963" s="209" t="s">
        <v>38</v>
      </c>
      <c r="S963" s="209"/>
      <c r="T963" s="209" t="s">
        <v>74</v>
      </c>
      <c r="U963" s="213">
        <v>44932.75</v>
      </c>
      <c r="V963" s="209" t="s">
        <v>41</v>
      </c>
      <c r="W963" s="209" t="s">
        <v>49</v>
      </c>
      <c r="X963" s="13" t="str">
        <f>IF(RIGHT(H963,2)&lt;&gt;"00",H963,"")</f>
        <v/>
      </c>
      <c r="Y963" s="26">
        <f ca="1">NETWORKDAYS(P963,$Y$1)</f>
        <v>39</v>
      </c>
      <c r="Z963" s="34">
        <v>1</v>
      </c>
      <c r="AA963" s="25" t="str">
        <f t="shared" ca="1" si="78"/>
        <v>A VENCER</v>
      </c>
      <c r="AB963" s="25" t="str">
        <f t="shared" si="76"/>
        <v>Dosa</v>
      </c>
      <c r="AC963" s="2" t="str">
        <f t="shared" ref="AC963:AC1026" si="80">IF(J963="TR-PETROLINA"," ROSEMERE ",IF(J963="TR-GARANHUNS"," ROSEMERE ",IF(J963="TR-CARUARU"," ROSEMERE ",IF(J963="TR-RIBEIRAO"," CRISTINA ",IF(J963="TR-GRAVATA"," CRISTINA ",IF(J963="TR-GOIANA"," CRISTINA ",IF(J963="TR-LIMOEIRO"," CRISTINA ",IF(J963="TR-SERRA TALHADA"," RINALDO ",IF(J963="TR-SALGUEIRO"," RINALDO ",IF(J963="TR-CARNAIBA"," RINALDO ",IF(J963="TR-ARCOVERDE"," RINALDO ",IF(J963="CAT-RECIFE"," CLEITON ",))))))))))))</f>
        <v xml:space="preserve"> CRISTINA </v>
      </c>
      <c r="AD963" s="26">
        <f t="shared" si="77"/>
        <v>5</v>
      </c>
      <c r="AE963" s="26">
        <f t="shared" ca="1" si="79"/>
        <v>54.198725347225263</v>
      </c>
    </row>
    <row r="964" spans="1:31" hidden="1">
      <c r="A964" s="209">
        <v>9299374</v>
      </c>
      <c r="B964" s="209" t="s">
        <v>101</v>
      </c>
      <c r="C964" s="210" t="s">
        <v>1761</v>
      </c>
      <c r="D964" s="214"/>
      <c r="E964" s="214">
        <v>711000206001</v>
      </c>
      <c r="F964" s="209" t="s">
        <v>29</v>
      </c>
      <c r="G964" s="209" t="s">
        <v>53</v>
      </c>
      <c r="H964" s="209" t="s">
        <v>77</v>
      </c>
      <c r="I964" s="209" t="s">
        <v>78</v>
      </c>
      <c r="J964" s="209" t="s">
        <v>79</v>
      </c>
      <c r="K964" s="210" t="s">
        <v>34</v>
      </c>
      <c r="L964" s="210"/>
      <c r="M964" s="209" t="s">
        <v>35</v>
      </c>
      <c r="N964" s="209">
        <v>42318949</v>
      </c>
      <c r="O964" s="209" t="s">
        <v>105</v>
      </c>
      <c r="P964" s="213">
        <v>44932.477465277778</v>
      </c>
      <c r="Q964" s="209"/>
      <c r="R964" s="209" t="s">
        <v>38</v>
      </c>
      <c r="S964" s="209"/>
      <c r="T964" s="209" t="s">
        <v>74</v>
      </c>
      <c r="U964" s="213">
        <v>44932.75</v>
      </c>
      <c r="V964" s="209" t="s">
        <v>41</v>
      </c>
      <c r="W964" s="209" t="s">
        <v>49</v>
      </c>
      <c r="X964" s="13" t="str">
        <f>IF(RIGHT(H964,2)&lt;&gt;"00",H964,"")</f>
        <v/>
      </c>
      <c r="Y964" s="26">
        <f ca="1">NETWORKDAYS(P964,$Y$1)</f>
        <v>39</v>
      </c>
      <c r="Z964" s="34">
        <v>1</v>
      </c>
      <c r="AA964" s="25" t="str">
        <f t="shared" ca="1" si="78"/>
        <v>A VENCER</v>
      </c>
      <c r="AB964" s="25" t="str">
        <f t="shared" si="76"/>
        <v>Dosa</v>
      </c>
      <c r="AC964" s="2" t="str">
        <f t="shared" si="80"/>
        <v xml:space="preserve"> ROSEMERE </v>
      </c>
      <c r="AD964" s="26">
        <f t="shared" si="77"/>
        <v>5</v>
      </c>
      <c r="AE964" s="26">
        <f t="shared" ca="1" si="79"/>
        <v>54.198806365740893</v>
      </c>
    </row>
    <row r="965" spans="1:31" hidden="1">
      <c r="A965" s="209">
        <v>9299373</v>
      </c>
      <c r="B965" s="209" t="s">
        <v>101</v>
      </c>
      <c r="C965" s="210" t="s">
        <v>1761</v>
      </c>
      <c r="D965" s="214"/>
      <c r="E965" s="214">
        <v>711000206001</v>
      </c>
      <c r="F965" s="209" t="s">
        <v>29</v>
      </c>
      <c r="G965" s="209" t="s">
        <v>53</v>
      </c>
      <c r="H965" s="209" t="s">
        <v>77</v>
      </c>
      <c r="I965" s="209" t="s">
        <v>78</v>
      </c>
      <c r="J965" s="209" t="s">
        <v>79</v>
      </c>
      <c r="K965" s="210" t="s">
        <v>34</v>
      </c>
      <c r="L965" s="210"/>
      <c r="M965" s="209" t="s">
        <v>35</v>
      </c>
      <c r="N965" s="209">
        <v>42318949</v>
      </c>
      <c r="O965" s="209" t="s">
        <v>105</v>
      </c>
      <c r="P965" s="213">
        <v>44932.477465277778</v>
      </c>
      <c r="Q965" s="209"/>
      <c r="R965" s="209" t="s">
        <v>38</v>
      </c>
      <c r="S965" s="209"/>
      <c r="T965" s="209" t="s">
        <v>74</v>
      </c>
      <c r="U965" s="213">
        <v>44932.75</v>
      </c>
      <c r="V965" s="209" t="s">
        <v>41</v>
      </c>
      <c r="W965" s="209" t="s">
        <v>49</v>
      </c>
      <c r="X965" s="13" t="str">
        <f>IF(RIGHT(H965,2)&lt;&gt;"00",H965,"")</f>
        <v/>
      </c>
      <c r="Y965" s="26">
        <f ca="1">NETWORKDAYS(P965,$Y$1)</f>
        <v>39</v>
      </c>
      <c r="Z965" s="34">
        <v>1</v>
      </c>
      <c r="AA965" s="25" t="str">
        <f t="shared" ca="1" si="78"/>
        <v>A VENCER</v>
      </c>
      <c r="AB965" s="25" t="str">
        <f t="shared" si="76"/>
        <v>Dosa</v>
      </c>
      <c r="AC965" s="2" t="str">
        <f t="shared" si="80"/>
        <v xml:space="preserve"> ROSEMERE </v>
      </c>
      <c r="AD965" s="26">
        <f t="shared" si="77"/>
        <v>5</v>
      </c>
      <c r="AE965" s="26">
        <f t="shared" ca="1" si="79"/>
        <v>54.198806365740893</v>
      </c>
    </row>
    <row r="966" spans="1:31" hidden="1">
      <c r="A966" s="209">
        <v>9299372</v>
      </c>
      <c r="B966" s="209" t="s">
        <v>101</v>
      </c>
      <c r="C966" s="210" t="s">
        <v>1761</v>
      </c>
      <c r="D966" s="214"/>
      <c r="E966" s="214">
        <v>711000206001</v>
      </c>
      <c r="F966" s="209" t="s">
        <v>29</v>
      </c>
      <c r="G966" s="209" t="s">
        <v>53</v>
      </c>
      <c r="H966" s="209" t="s">
        <v>77</v>
      </c>
      <c r="I966" s="209" t="s">
        <v>78</v>
      </c>
      <c r="J966" s="209" t="s">
        <v>79</v>
      </c>
      <c r="K966" s="210" t="s">
        <v>34</v>
      </c>
      <c r="L966" s="210"/>
      <c r="M966" s="209" t="s">
        <v>35</v>
      </c>
      <c r="N966" s="209">
        <v>42318949</v>
      </c>
      <c r="O966" s="209" t="s">
        <v>105</v>
      </c>
      <c r="P966" s="213">
        <v>44932.477465277778</v>
      </c>
      <c r="Q966" s="209"/>
      <c r="R966" s="209" t="s">
        <v>38</v>
      </c>
      <c r="S966" s="209"/>
      <c r="T966" s="209" t="s">
        <v>74</v>
      </c>
      <c r="U966" s="213">
        <v>44932.75</v>
      </c>
      <c r="V966" s="209" t="s">
        <v>41</v>
      </c>
      <c r="W966" s="209" t="s">
        <v>49</v>
      </c>
      <c r="X966" s="13" t="str">
        <f>IF(RIGHT(H966,2)&lt;&gt;"00",H966,"")</f>
        <v/>
      </c>
      <c r="Y966" s="26">
        <f ca="1">NETWORKDAYS(P966,$Y$1)</f>
        <v>39</v>
      </c>
      <c r="Z966" s="34">
        <v>1</v>
      </c>
      <c r="AA966" s="25" t="str">
        <f t="shared" ca="1" si="78"/>
        <v>A VENCER</v>
      </c>
      <c r="AB966" s="25" t="str">
        <f t="shared" si="76"/>
        <v>Dosa</v>
      </c>
      <c r="AC966" s="2" t="str">
        <f t="shared" si="80"/>
        <v xml:space="preserve"> ROSEMERE </v>
      </c>
      <c r="AD966" s="26">
        <f t="shared" si="77"/>
        <v>5</v>
      </c>
      <c r="AE966" s="26">
        <f t="shared" ca="1" si="79"/>
        <v>54.198806365740893</v>
      </c>
    </row>
    <row r="967" spans="1:31" hidden="1">
      <c r="A967" s="209">
        <v>9299371</v>
      </c>
      <c r="B967" s="209" t="s">
        <v>101</v>
      </c>
      <c r="C967" s="210" t="s">
        <v>1761</v>
      </c>
      <c r="D967" s="214"/>
      <c r="E967" s="214">
        <v>711000206001</v>
      </c>
      <c r="F967" s="209" t="s">
        <v>29</v>
      </c>
      <c r="G967" s="209" t="s">
        <v>53</v>
      </c>
      <c r="H967" s="209" t="s">
        <v>77</v>
      </c>
      <c r="I967" s="209" t="s">
        <v>78</v>
      </c>
      <c r="J967" s="209" t="s">
        <v>79</v>
      </c>
      <c r="K967" s="210" t="s">
        <v>34</v>
      </c>
      <c r="L967" s="210"/>
      <c r="M967" s="209" t="s">
        <v>35</v>
      </c>
      <c r="N967" s="209">
        <v>42318949</v>
      </c>
      <c r="O967" s="209" t="s">
        <v>105</v>
      </c>
      <c r="P967" s="213">
        <v>44932.477465277778</v>
      </c>
      <c r="Q967" s="209"/>
      <c r="R967" s="209" t="s">
        <v>38</v>
      </c>
      <c r="S967" s="209"/>
      <c r="T967" s="209" t="s">
        <v>74</v>
      </c>
      <c r="U967" s="213">
        <v>44932.75</v>
      </c>
      <c r="V967" s="209" t="s">
        <v>41</v>
      </c>
      <c r="W967" s="209" t="s">
        <v>49</v>
      </c>
      <c r="X967" s="13" t="str">
        <f>IF(RIGHT(H967,2)&lt;&gt;"00",H967,"")</f>
        <v/>
      </c>
      <c r="Y967" s="26">
        <f ca="1">NETWORKDAYS(P967,$Y$1)</f>
        <v>39</v>
      </c>
      <c r="Z967" s="34">
        <v>1</v>
      </c>
      <c r="AA967" s="25" t="str">
        <f t="shared" ca="1" si="78"/>
        <v>A VENCER</v>
      </c>
      <c r="AB967" s="25" t="str">
        <f t="shared" si="76"/>
        <v>Dosa</v>
      </c>
      <c r="AC967" s="2" t="str">
        <f t="shared" si="80"/>
        <v xml:space="preserve"> ROSEMERE </v>
      </c>
      <c r="AD967" s="26">
        <f t="shared" si="77"/>
        <v>5</v>
      </c>
      <c r="AE967" s="26">
        <f t="shared" ca="1" si="79"/>
        <v>54.198806365740893</v>
      </c>
    </row>
    <row r="968" spans="1:31" hidden="1">
      <c r="A968" s="209">
        <v>9299370</v>
      </c>
      <c r="B968" s="209" t="s">
        <v>101</v>
      </c>
      <c r="C968" s="210" t="s">
        <v>1761</v>
      </c>
      <c r="D968" s="214"/>
      <c r="E968" s="214">
        <v>711000206001</v>
      </c>
      <c r="F968" s="209" t="s">
        <v>29</v>
      </c>
      <c r="G968" s="209" t="s">
        <v>53</v>
      </c>
      <c r="H968" s="209" t="s">
        <v>77</v>
      </c>
      <c r="I968" s="209" t="s">
        <v>78</v>
      </c>
      <c r="J968" s="209" t="s">
        <v>79</v>
      </c>
      <c r="K968" s="210" t="s">
        <v>34</v>
      </c>
      <c r="L968" s="210"/>
      <c r="M968" s="209" t="s">
        <v>35</v>
      </c>
      <c r="N968" s="209">
        <v>42318949</v>
      </c>
      <c r="O968" s="209" t="s">
        <v>105</v>
      </c>
      <c r="P968" s="213">
        <v>44932.477465277778</v>
      </c>
      <c r="Q968" s="209"/>
      <c r="R968" s="209" t="s">
        <v>38</v>
      </c>
      <c r="S968" s="209"/>
      <c r="T968" s="209" t="s">
        <v>74</v>
      </c>
      <c r="U968" s="213">
        <v>44932.75</v>
      </c>
      <c r="V968" s="209" t="s">
        <v>41</v>
      </c>
      <c r="W968" s="209" t="s">
        <v>49</v>
      </c>
      <c r="X968" s="13" t="str">
        <f>IF(RIGHT(H968,2)&lt;&gt;"00",H968,"")</f>
        <v/>
      </c>
      <c r="Y968" s="26">
        <f ca="1">NETWORKDAYS(P968,$Y$1)</f>
        <v>39</v>
      </c>
      <c r="Z968" s="34">
        <v>1</v>
      </c>
      <c r="AA968" s="25" t="str">
        <f t="shared" ca="1" si="78"/>
        <v>A VENCER</v>
      </c>
      <c r="AB968" s="25" t="str">
        <f t="shared" si="76"/>
        <v>Dosa</v>
      </c>
      <c r="AC968" s="2" t="str">
        <f t="shared" si="80"/>
        <v xml:space="preserve"> ROSEMERE </v>
      </c>
      <c r="AD968" s="26">
        <f t="shared" si="77"/>
        <v>5</v>
      </c>
      <c r="AE968" s="26">
        <f t="shared" ca="1" si="79"/>
        <v>54.198806365740893</v>
      </c>
    </row>
    <row r="969" spans="1:31" hidden="1">
      <c r="A969" s="209">
        <v>9299369</v>
      </c>
      <c r="B969" s="209" t="s">
        <v>101</v>
      </c>
      <c r="C969" s="210" t="s">
        <v>1761</v>
      </c>
      <c r="D969" s="214"/>
      <c r="E969" s="214">
        <v>710000206001</v>
      </c>
      <c r="F969" s="209" t="s">
        <v>29</v>
      </c>
      <c r="G969" s="209" t="s">
        <v>53</v>
      </c>
      <c r="H969" s="209" t="s">
        <v>390</v>
      </c>
      <c r="I969" s="209" t="s">
        <v>391</v>
      </c>
      <c r="J969" s="209" t="s">
        <v>56</v>
      </c>
      <c r="K969" s="210" t="s">
        <v>34</v>
      </c>
      <c r="L969" s="210"/>
      <c r="M969" s="209" t="s">
        <v>35</v>
      </c>
      <c r="N969" s="209">
        <v>42318949</v>
      </c>
      <c r="O969" s="209" t="s">
        <v>105</v>
      </c>
      <c r="P969" s="213">
        <v>44932.477465277778</v>
      </c>
      <c r="Q969" s="209"/>
      <c r="R969" s="209" t="s">
        <v>38</v>
      </c>
      <c r="S969" s="209"/>
      <c r="T969" s="209" t="s">
        <v>74</v>
      </c>
      <c r="U969" s="213">
        <v>44932.75</v>
      </c>
      <c r="V969" s="209" t="s">
        <v>41</v>
      </c>
      <c r="W969" s="209" t="s">
        <v>49</v>
      </c>
      <c r="X969" s="13" t="str">
        <f>IF(RIGHT(H969,2)&lt;&gt;"00",H969,"")</f>
        <v/>
      </c>
      <c r="Y969" s="26">
        <f ca="1">NETWORKDAYS(P969,$Y$1)</f>
        <v>39</v>
      </c>
      <c r="Z969" s="34">
        <v>1</v>
      </c>
      <c r="AA969" s="25" t="str">
        <f t="shared" ca="1" si="78"/>
        <v>A VENCER</v>
      </c>
      <c r="AB969" s="25" t="str">
        <f t="shared" si="76"/>
        <v>Dosa</v>
      </c>
      <c r="AC969" s="2" t="str">
        <f t="shared" si="80"/>
        <v xml:space="preserve"> CRISTINA </v>
      </c>
      <c r="AD969" s="26">
        <f t="shared" si="77"/>
        <v>5</v>
      </c>
      <c r="AE969" s="26">
        <f t="shared" ca="1" si="79"/>
        <v>54.198806365740893</v>
      </c>
    </row>
    <row r="970" spans="1:31" hidden="1">
      <c r="A970" s="209">
        <v>9299368</v>
      </c>
      <c r="B970" s="209" t="s">
        <v>101</v>
      </c>
      <c r="C970" s="210" t="s">
        <v>1761</v>
      </c>
      <c r="D970" s="214"/>
      <c r="E970" s="214">
        <v>710000206001</v>
      </c>
      <c r="F970" s="209" t="s">
        <v>29</v>
      </c>
      <c r="G970" s="209" t="s">
        <v>53</v>
      </c>
      <c r="H970" s="209" t="s">
        <v>390</v>
      </c>
      <c r="I970" s="209" t="s">
        <v>391</v>
      </c>
      <c r="J970" s="209" t="s">
        <v>56</v>
      </c>
      <c r="K970" s="210" t="s">
        <v>34</v>
      </c>
      <c r="L970" s="210"/>
      <c r="M970" s="209" t="s">
        <v>35</v>
      </c>
      <c r="N970" s="209">
        <v>42318949</v>
      </c>
      <c r="O970" s="209" t="s">
        <v>105</v>
      </c>
      <c r="P970" s="213">
        <v>44932.477465277778</v>
      </c>
      <c r="Q970" s="209"/>
      <c r="R970" s="209" t="s">
        <v>38</v>
      </c>
      <c r="S970" s="209"/>
      <c r="T970" s="209" t="s">
        <v>74</v>
      </c>
      <c r="U970" s="213">
        <v>44932.75</v>
      </c>
      <c r="V970" s="209" t="s">
        <v>41</v>
      </c>
      <c r="W970" s="209" t="s">
        <v>49</v>
      </c>
      <c r="X970" s="13" t="str">
        <f>IF(RIGHT(H970,2)&lt;&gt;"00",H970,"")</f>
        <v/>
      </c>
      <c r="Y970" s="26">
        <f ca="1">NETWORKDAYS(P970,$Y$1)</f>
        <v>39</v>
      </c>
      <c r="Z970" s="34">
        <v>1</v>
      </c>
      <c r="AA970" s="25" t="str">
        <f t="shared" ca="1" si="78"/>
        <v>A VENCER</v>
      </c>
      <c r="AB970" s="25" t="str">
        <f t="shared" si="76"/>
        <v>Dosa</v>
      </c>
      <c r="AC970" s="2" t="str">
        <f t="shared" si="80"/>
        <v xml:space="preserve"> CRISTINA </v>
      </c>
      <c r="AD970" s="26">
        <f t="shared" si="77"/>
        <v>5</v>
      </c>
      <c r="AE970" s="26">
        <f t="shared" ca="1" si="79"/>
        <v>54.198806365740893</v>
      </c>
    </row>
    <row r="971" spans="1:31" hidden="1">
      <c r="A971" s="209">
        <v>9299367</v>
      </c>
      <c r="B971" s="209" t="s">
        <v>101</v>
      </c>
      <c r="C971" s="210" t="s">
        <v>1761</v>
      </c>
      <c r="D971" s="214"/>
      <c r="E971" s="214">
        <v>710000206001</v>
      </c>
      <c r="F971" s="209" t="s">
        <v>29</v>
      </c>
      <c r="G971" s="209" t="s">
        <v>53</v>
      </c>
      <c r="H971" s="209" t="s">
        <v>390</v>
      </c>
      <c r="I971" s="209" t="s">
        <v>391</v>
      </c>
      <c r="J971" s="209" t="s">
        <v>56</v>
      </c>
      <c r="K971" s="210" t="s">
        <v>34</v>
      </c>
      <c r="L971" s="210"/>
      <c r="M971" s="209" t="s">
        <v>35</v>
      </c>
      <c r="N971" s="209">
        <v>42318949</v>
      </c>
      <c r="O971" s="209" t="s">
        <v>105</v>
      </c>
      <c r="P971" s="213">
        <v>44932.477465277778</v>
      </c>
      <c r="Q971" s="209"/>
      <c r="R971" s="209" t="s">
        <v>38</v>
      </c>
      <c r="S971" s="209"/>
      <c r="T971" s="209" t="s">
        <v>74</v>
      </c>
      <c r="U971" s="213">
        <v>44932.75</v>
      </c>
      <c r="V971" s="209" t="s">
        <v>41</v>
      </c>
      <c r="W971" s="209" t="s">
        <v>49</v>
      </c>
      <c r="X971" s="13" t="str">
        <f>IF(RIGHT(H971,2)&lt;&gt;"00",H971,"")</f>
        <v/>
      </c>
      <c r="Y971" s="26">
        <f ca="1">NETWORKDAYS(P971,$Y$1)</f>
        <v>39</v>
      </c>
      <c r="Z971" s="34">
        <v>1</v>
      </c>
      <c r="AA971" s="25" t="str">
        <f t="shared" ca="1" si="78"/>
        <v>A VENCER</v>
      </c>
      <c r="AB971" s="25" t="str">
        <f t="shared" si="76"/>
        <v>Dosa</v>
      </c>
      <c r="AC971" s="2" t="str">
        <f t="shared" si="80"/>
        <v xml:space="preserve"> CRISTINA </v>
      </c>
      <c r="AD971" s="26">
        <f t="shared" si="77"/>
        <v>5</v>
      </c>
      <c r="AE971" s="26">
        <f t="shared" ca="1" si="79"/>
        <v>54.198806365740893</v>
      </c>
    </row>
    <row r="972" spans="1:31" hidden="1">
      <c r="A972" s="209">
        <v>9299366</v>
      </c>
      <c r="B972" s="209" t="s">
        <v>101</v>
      </c>
      <c r="C972" s="210" t="s">
        <v>1761</v>
      </c>
      <c r="D972" s="214"/>
      <c r="E972" s="214">
        <v>710000206001</v>
      </c>
      <c r="F972" s="209" t="s">
        <v>29</v>
      </c>
      <c r="G972" s="209" t="s">
        <v>53</v>
      </c>
      <c r="H972" s="209" t="s">
        <v>390</v>
      </c>
      <c r="I972" s="209" t="s">
        <v>391</v>
      </c>
      <c r="J972" s="209" t="s">
        <v>56</v>
      </c>
      <c r="K972" s="210" t="s">
        <v>34</v>
      </c>
      <c r="L972" s="210"/>
      <c r="M972" s="209" t="s">
        <v>35</v>
      </c>
      <c r="N972" s="209">
        <v>42318949</v>
      </c>
      <c r="O972" s="209" t="s">
        <v>36</v>
      </c>
      <c r="P972" s="213">
        <v>44932.477465277778</v>
      </c>
      <c r="Q972" s="209"/>
      <c r="R972" s="209" t="s">
        <v>38</v>
      </c>
      <c r="S972" s="209"/>
      <c r="T972" s="209" t="s">
        <v>74</v>
      </c>
      <c r="U972" s="213">
        <v>44932.75</v>
      </c>
      <c r="V972" s="209" t="s">
        <v>41</v>
      </c>
      <c r="W972" s="209" t="s">
        <v>49</v>
      </c>
      <c r="X972" s="13" t="str">
        <f>IF(RIGHT(H972,2)&lt;&gt;"00",H972,"")</f>
        <v/>
      </c>
      <c r="Y972" s="26">
        <f ca="1">NETWORKDAYS(P972,$Y$1)</f>
        <v>39</v>
      </c>
      <c r="Z972" s="34">
        <v>1</v>
      </c>
      <c r="AA972" s="25" t="str">
        <f t="shared" ca="1" si="78"/>
        <v>A VENCER</v>
      </c>
      <c r="AB972" s="25" t="str">
        <f t="shared" si="76"/>
        <v>Dosa</v>
      </c>
      <c r="AC972" s="2" t="str">
        <f t="shared" si="80"/>
        <v xml:space="preserve"> CRISTINA </v>
      </c>
      <c r="AD972" s="26">
        <f t="shared" si="77"/>
        <v>5</v>
      </c>
      <c r="AE972" s="26">
        <f t="shared" ca="1" si="79"/>
        <v>54.198806365740893</v>
      </c>
    </row>
    <row r="973" spans="1:31" hidden="1">
      <c r="A973" s="209">
        <v>9299314</v>
      </c>
      <c r="B973" s="209" t="s">
        <v>101</v>
      </c>
      <c r="C973" s="210" t="s">
        <v>1761</v>
      </c>
      <c r="D973" s="214"/>
      <c r="E973" s="214">
        <v>608000206001</v>
      </c>
      <c r="F973" s="209" t="s">
        <v>29</v>
      </c>
      <c r="G973" s="209" t="s">
        <v>53</v>
      </c>
      <c r="H973" s="209" t="s">
        <v>438</v>
      </c>
      <c r="I973" s="209" t="s">
        <v>439</v>
      </c>
      <c r="J973" s="209" t="s">
        <v>148</v>
      </c>
      <c r="K973" s="210" t="s">
        <v>34</v>
      </c>
      <c r="L973" s="210"/>
      <c r="M973" s="209" t="s">
        <v>35</v>
      </c>
      <c r="N973" s="209">
        <v>42318949</v>
      </c>
      <c r="O973" s="209" t="s">
        <v>105</v>
      </c>
      <c r="P973" s="213">
        <v>44932.477384259262</v>
      </c>
      <c r="Q973" s="209"/>
      <c r="R973" s="209" t="s">
        <v>38</v>
      </c>
      <c r="S973" s="209"/>
      <c r="T973" s="209" t="s">
        <v>74</v>
      </c>
      <c r="U973" s="213">
        <v>44932.75</v>
      </c>
      <c r="V973" s="209" t="s">
        <v>41</v>
      </c>
      <c r="W973" s="209" t="s">
        <v>49</v>
      </c>
      <c r="X973" s="13" t="str">
        <f>IF(RIGHT(H973,2)&lt;&gt;"00",H973,"")</f>
        <v/>
      </c>
      <c r="Y973" s="26">
        <f ca="1">NETWORKDAYS(P973,$Y$1)</f>
        <v>39</v>
      </c>
      <c r="Z973" s="34">
        <v>1</v>
      </c>
      <c r="AA973" s="25" t="str">
        <f t="shared" ca="1" si="78"/>
        <v>A VENCER</v>
      </c>
      <c r="AB973" s="25" t="str">
        <f t="shared" si="76"/>
        <v>Dosa</v>
      </c>
      <c r="AC973" s="2" t="str">
        <f t="shared" si="80"/>
        <v xml:space="preserve"> RINALDO </v>
      </c>
      <c r="AD973" s="26">
        <f t="shared" si="77"/>
        <v>5</v>
      </c>
      <c r="AE973" s="26">
        <f t="shared" ca="1" si="79"/>
        <v>54.198887384256523</v>
      </c>
    </row>
    <row r="974" spans="1:31" hidden="1">
      <c r="A974" s="209">
        <v>9299313</v>
      </c>
      <c r="B974" s="209" t="s">
        <v>101</v>
      </c>
      <c r="C974" s="210" t="s">
        <v>1761</v>
      </c>
      <c r="D974" s="214"/>
      <c r="E974" s="214">
        <v>608000206001</v>
      </c>
      <c r="F974" s="209" t="s">
        <v>29</v>
      </c>
      <c r="G974" s="209" t="s">
        <v>53</v>
      </c>
      <c r="H974" s="209" t="s">
        <v>438</v>
      </c>
      <c r="I974" s="209" t="s">
        <v>439</v>
      </c>
      <c r="J974" s="209" t="s">
        <v>148</v>
      </c>
      <c r="K974" s="210" t="s">
        <v>34</v>
      </c>
      <c r="L974" s="210"/>
      <c r="M974" s="209" t="s">
        <v>35</v>
      </c>
      <c r="N974" s="209">
        <v>42318949</v>
      </c>
      <c r="O974" s="209" t="s">
        <v>105</v>
      </c>
      <c r="P974" s="213">
        <v>44932.477384259262</v>
      </c>
      <c r="Q974" s="209"/>
      <c r="R974" s="209" t="s">
        <v>38</v>
      </c>
      <c r="S974" s="209"/>
      <c r="T974" s="209" t="s">
        <v>74</v>
      </c>
      <c r="U974" s="213">
        <v>44932.75</v>
      </c>
      <c r="V974" s="209" t="s">
        <v>41</v>
      </c>
      <c r="W974" s="209" t="s">
        <v>49</v>
      </c>
      <c r="X974" s="13" t="str">
        <f>IF(RIGHT(H974,2)&lt;&gt;"00",H974,"")</f>
        <v/>
      </c>
      <c r="Y974" s="26">
        <f ca="1">NETWORKDAYS(P974,$Y$1)</f>
        <v>39</v>
      </c>
      <c r="Z974" s="34">
        <v>1</v>
      </c>
      <c r="AA974" s="25" t="str">
        <f t="shared" ca="1" si="78"/>
        <v>A VENCER</v>
      </c>
      <c r="AB974" s="25" t="str">
        <f t="shared" si="76"/>
        <v>Dosa</v>
      </c>
      <c r="AC974" s="2" t="str">
        <f t="shared" si="80"/>
        <v xml:space="preserve"> RINALDO </v>
      </c>
      <c r="AD974" s="26">
        <f t="shared" si="77"/>
        <v>5</v>
      </c>
      <c r="AE974" s="26">
        <f t="shared" ca="1" si="79"/>
        <v>54.198887384256523</v>
      </c>
    </row>
    <row r="975" spans="1:31" hidden="1">
      <c r="A975" s="209">
        <v>9299309</v>
      </c>
      <c r="B975" s="209" t="s">
        <v>101</v>
      </c>
      <c r="C975" s="210" t="s">
        <v>1761</v>
      </c>
      <c r="D975" s="214"/>
      <c r="E975" s="214">
        <v>605000206001</v>
      </c>
      <c r="F975" s="209" t="s">
        <v>29</v>
      </c>
      <c r="G975" s="209" t="s">
        <v>53</v>
      </c>
      <c r="H975" s="209" t="s">
        <v>420</v>
      </c>
      <c r="I975" s="209" t="s">
        <v>421</v>
      </c>
      <c r="J975" s="209" t="s">
        <v>90</v>
      </c>
      <c r="K975" s="210" t="s">
        <v>34</v>
      </c>
      <c r="L975" s="210"/>
      <c r="M975" s="209" t="s">
        <v>35</v>
      </c>
      <c r="N975" s="209">
        <v>42318949</v>
      </c>
      <c r="O975" s="209" t="s">
        <v>105</v>
      </c>
      <c r="P975" s="213">
        <v>44932.477372685185</v>
      </c>
      <c r="Q975" s="209"/>
      <c r="R975" s="209" t="s">
        <v>38</v>
      </c>
      <c r="S975" s="209"/>
      <c r="T975" s="209" t="s">
        <v>74</v>
      </c>
      <c r="U975" s="213">
        <v>44932.75</v>
      </c>
      <c r="V975" s="209" t="s">
        <v>41</v>
      </c>
      <c r="W975" s="209" t="s">
        <v>49</v>
      </c>
      <c r="X975" s="13" t="str">
        <f>IF(RIGHT(H975,2)&lt;&gt;"00",H975,"")</f>
        <v/>
      </c>
      <c r="Y975" s="26">
        <f ca="1">NETWORKDAYS(P975,$Y$1)</f>
        <v>39</v>
      </c>
      <c r="Z975" s="34">
        <v>1</v>
      </c>
      <c r="AA975" s="25" t="str">
        <f t="shared" ca="1" si="78"/>
        <v>A VENCER</v>
      </c>
      <c r="AB975" s="25" t="str">
        <f t="shared" si="76"/>
        <v>Dosa</v>
      </c>
      <c r="AC975" s="2" t="str">
        <f t="shared" si="80"/>
        <v xml:space="preserve"> RINALDO </v>
      </c>
      <c r="AD975" s="26">
        <f t="shared" si="77"/>
        <v>5</v>
      </c>
      <c r="AE975" s="26">
        <f t="shared" ca="1" si="79"/>
        <v>54.198898958333302</v>
      </c>
    </row>
    <row r="976" spans="1:31" hidden="1">
      <c r="A976" s="209">
        <v>9299279</v>
      </c>
      <c r="B976" s="209" t="s">
        <v>101</v>
      </c>
      <c r="C976" s="210" t="s">
        <v>1761</v>
      </c>
      <c r="D976" s="214"/>
      <c r="E976" s="214">
        <v>550000206001</v>
      </c>
      <c r="F976" s="209" t="s">
        <v>29</v>
      </c>
      <c r="G976" s="209" t="s">
        <v>53</v>
      </c>
      <c r="H976" s="209" t="s">
        <v>337</v>
      </c>
      <c r="I976" s="209" t="s">
        <v>338</v>
      </c>
      <c r="J976" s="209" t="s">
        <v>164</v>
      </c>
      <c r="K976" s="210" t="s">
        <v>34</v>
      </c>
      <c r="L976" s="210"/>
      <c r="M976" s="209" t="s">
        <v>35</v>
      </c>
      <c r="N976" s="209">
        <v>42318949</v>
      </c>
      <c r="O976" s="209" t="s">
        <v>105</v>
      </c>
      <c r="P976" s="213">
        <v>44932.477337962962</v>
      </c>
      <c r="Q976" s="209"/>
      <c r="R976" s="209" t="s">
        <v>38</v>
      </c>
      <c r="S976" s="209"/>
      <c r="T976" s="209" t="s">
        <v>74</v>
      </c>
      <c r="U976" s="213">
        <v>44932.75</v>
      </c>
      <c r="V976" s="209" t="s">
        <v>41</v>
      </c>
      <c r="W976" s="209" t="s">
        <v>49</v>
      </c>
      <c r="X976" s="13" t="str">
        <f>IF(RIGHT(H976,2)&lt;&gt;"00",H976,"")</f>
        <v/>
      </c>
      <c r="Y976" s="26">
        <f ca="1">NETWORKDAYS(P976,$Y$1)</f>
        <v>39</v>
      </c>
      <c r="Z976" s="34">
        <v>1</v>
      </c>
      <c r="AA976" s="25" t="str">
        <f t="shared" ca="1" si="78"/>
        <v>A VENCER</v>
      </c>
      <c r="AB976" s="25" t="str">
        <f t="shared" si="76"/>
        <v>Dosa</v>
      </c>
      <c r="AC976" s="2" t="str">
        <f t="shared" si="80"/>
        <v xml:space="preserve"> ROSEMERE </v>
      </c>
      <c r="AD976" s="26">
        <f t="shared" si="77"/>
        <v>5</v>
      </c>
      <c r="AE976" s="26">
        <f t="shared" ca="1" si="79"/>
        <v>54.198933680556365</v>
      </c>
    </row>
    <row r="977" spans="1:31" hidden="1">
      <c r="A977" s="209">
        <v>9299275</v>
      </c>
      <c r="B977" s="209" t="s">
        <v>101</v>
      </c>
      <c r="C977" s="210" t="s">
        <v>1761</v>
      </c>
      <c r="D977" s="214"/>
      <c r="E977" s="214">
        <v>537000206001</v>
      </c>
      <c r="F977" s="209" t="s">
        <v>29</v>
      </c>
      <c r="G977" s="209" t="s">
        <v>53</v>
      </c>
      <c r="H977" s="209" t="s">
        <v>442</v>
      </c>
      <c r="I977" s="209" t="s">
        <v>443</v>
      </c>
      <c r="J977" s="209" t="s">
        <v>79</v>
      </c>
      <c r="K977" s="210" t="s">
        <v>34</v>
      </c>
      <c r="L977" s="210"/>
      <c r="M977" s="209" t="s">
        <v>35</v>
      </c>
      <c r="N977" s="209">
        <v>42318949</v>
      </c>
      <c r="O977" s="209" t="s">
        <v>105</v>
      </c>
      <c r="P977" s="213">
        <v>44932.477326388886</v>
      </c>
      <c r="Q977" s="209"/>
      <c r="R977" s="209" t="s">
        <v>38</v>
      </c>
      <c r="S977" s="209"/>
      <c r="T977" s="209" t="s">
        <v>74</v>
      </c>
      <c r="U977" s="213">
        <v>44932.75</v>
      </c>
      <c r="V977" s="209" t="s">
        <v>41</v>
      </c>
      <c r="W977" s="209" t="s">
        <v>49</v>
      </c>
      <c r="X977" s="13" t="str">
        <f>IF(RIGHT(H977,2)&lt;&gt;"00",H977,"")</f>
        <v/>
      </c>
      <c r="Y977" s="26">
        <f ca="1">NETWORKDAYS(P977,$Y$1)</f>
        <v>39</v>
      </c>
      <c r="Z977" s="34">
        <v>1</v>
      </c>
      <c r="AA977" s="25" t="str">
        <f t="shared" ca="1" si="78"/>
        <v>A VENCER</v>
      </c>
      <c r="AB977" s="25" t="str">
        <f t="shared" si="76"/>
        <v>Dosa</v>
      </c>
      <c r="AC977" s="2" t="str">
        <f t="shared" si="80"/>
        <v xml:space="preserve"> ROSEMERE </v>
      </c>
      <c r="AD977" s="26">
        <f t="shared" si="77"/>
        <v>5</v>
      </c>
      <c r="AE977" s="26">
        <f t="shared" ca="1" si="79"/>
        <v>54.198945254633145</v>
      </c>
    </row>
    <row r="978" spans="1:31" hidden="1">
      <c r="A978" s="209">
        <v>9299274</v>
      </c>
      <c r="B978" s="209" t="s">
        <v>101</v>
      </c>
      <c r="C978" s="210" t="s">
        <v>1761</v>
      </c>
      <c r="D978" s="214"/>
      <c r="E978" s="214">
        <v>537000206001</v>
      </c>
      <c r="F978" s="209" t="s">
        <v>29</v>
      </c>
      <c r="G978" s="209" t="s">
        <v>53</v>
      </c>
      <c r="H978" s="209" t="s">
        <v>442</v>
      </c>
      <c r="I978" s="209" t="s">
        <v>443</v>
      </c>
      <c r="J978" s="209" t="s">
        <v>79</v>
      </c>
      <c r="K978" s="210" t="s">
        <v>34</v>
      </c>
      <c r="L978" s="210"/>
      <c r="M978" s="209" t="s">
        <v>35</v>
      </c>
      <c r="N978" s="209">
        <v>42318949</v>
      </c>
      <c r="O978" s="209" t="s">
        <v>105</v>
      </c>
      <c r="P978" s="213">
        <v>44932.477326388886</v>
      </c>
      <c r="Q978" s="209"/>
      <c r="R978" s="209" t="s">
        <v>38</v>
      </c>
      <c r="S978" s="209"/>
      <c r="T978" s="209" t="s">
        <v>74</v>
      </c>
      <c r="U978" s="213">
        <v>44932.75</v>
      </c>
      <c r="V978" s="209" t="s">
        <v>41</v>
      </c>
      <c r="W978" s="209" t="s">
        <v>49</v>
      </c>
      <c r="X978" s="13" t="str">
        <f>IF(RIGHT(H978,2)&lt;&gt;"00",H978,"")</f>
        <v/>
      </c>
      <c r="Y978" s="26">
        <f ca="1">NETWORKDAYS(P978,$Y$1)</f>
        <v>39</v>
      </c>
      <c r="Z978" s="34">
        <v>1</v>
      </c>
      <c r="AA978" s="25" t="str">
        <f t="shared" ca="1" si="78"/>
        <v>A VENCER</v>
      </c>
      <c r="AB978" s="25" t="str">
        <f t="shared" si="76"/>
        <v>Dosa</v>
      </c>
      <c r="AC978" s="2" t="str">
        <f t="shared" si="80"/>
        <v xml:space="preserve"> ROSEMERE </v>
      </c>
      <c r="AD978" s="26">
        <f t="shared" si="77"/>
        <v>5</v>
      </c>
      <c r="AE978" s="26">
        <f t="shared" ca="1" si="79"/>
        <v>54.198945254633145</v>
      </c>
    </row>
    <row r="979" spans="1:31" hidden="1">
      <c r="A979" s="209">
        <v>9299223</v>
      </c>
      <c r="B979" s="209" t="s">
        <v>101</v>
      </c>
      <c r="C979" s="210" t="s">
        <v>1761</v>
      </c>
      <c r="D979" s="214"/>
      <c r="E979" s="214">
        <v>446000206001</v>
      </c>
      <c r="F979" s="209" t="s">
        <v>29</v>
      </c>
      <c r="G979" s="209" t="s">
        <v>53</v>
      </c>
      <c r="H979" s="209" t="s">
        <v>432</v>
      </c>
      <c r="I979" s="209" t="s">
        <v>433</v>
      </c>
      <c r="J979" s="209" t="s">
        <v>110</v>
      </c>
      <c r="K979" s="210" t="s">
        <v>34</v>
      </c>
      <c r="L979" s="210"/>
      <c r="M979" s="209" t="s">
        <v>35</v>
      </c>
      <c r="N979" s="209">
        <v>42318949</v>
      </c>
      <c r="O979" s="209" t="s">
        <v>105</v>
      </c>
      <c r="P979" s="213">
        <v>44932.477256944447</v>
      </c>
      <c r="Q979" s="209"/>
      <c r="R979" s="209" t="s">
        <v>38</v>
      </c>
      <c r="S979" s="209"/>
      <c r="T979" s="209" t="s">
        <v>74</v>
      </c>
      <c r="U979" s="213">
        <v>44932.75</v>
      </c>
      <c r="V979" s="209" t="s">
        <v>41</v>
      </c>
      <c r="W979" s="209" t="s">
        <v>49</v>
      </c>
      <c r="X979" s="13" t="str">
        <f>IF(RIGHT(H979,2)&lt;&gt;"00",H979,"")</f>
        <v/>
      </c>
      <c r="Y979" s="26">
        <f ca="1">NETWORKDAYS(P979,$Y$1)</f>
        <v>39</v>
      </c>
      <c r="Z979" s="34">
        <v>1</v>
      </c>
      <c r="AA979" s="25" t="str">
        <f t="shared" ca="1" si="78"/>
        <v>A VENCER</v>
      </c>
      <c r="AB979" s="25" t="str">
        <f t="shared" si="76"/>
        <v>Dosa</v>
      </c>
      <c r="AC979" s="2" t="str">
        <f t="shared" si="80"/>
        <v xml:space="preserve"> CRISTINA </v>
      </c>
      <c r="AD979" s="26">
        <f t="shared" si="77"/>
        <v>5</v>
      </c>
      <c r="AE979" s="26">
        <f t="shared" ca="1" si="79"/>
        <v>54.199014699071995</v>
      </c>
    </row>
    <row r="980" spans="1:31" hidden="1">
      <c r="A980" s="209">
        <v>9299222</v>
      </c>
      <c r="B980" s="209" t="s">
        <v>101</v>
      </c>
      <c r="C980" s="210" t="s">
        <v>1761</v>
      </c>
      <c r="D980" s="214"/>
      <c r="E980" s="214">
        <v>446000206001</v>
      </c>
      <c r="F980" s="209" t="s">
        <v>29</v>
      </c>
      <c r="G980" s="209" t="s">
        <v>53</v>
      </c>
      <c r="H980" s="209" t="s">
        <v>432</v>
      </c>
      <c r="I980" s="209" t="s">
        <v>433</v>
      </c>
      <c r="J980" s="209" t="s">
        <v>110</v>
      </c>
      <c r="K980" s="210" t="s">
        <v>34</v>
      </c>
      <c r="L980" s="210"/>
      <c r="M980" s="209" t="s">
        <v>35</v>
      </c>
      <c r="N980" s="209">
        <v>42318949</v>
      </c>
      <c r="O980" s="209" t="s">
        <v>105</v>
      </c>
      <c r="P980" s="213">
        <v>44932.477256944447</v>
      </c>
      <c r="Q980" s="209"/>
      <c r="R980" s="209" t="s">
        <v>38</v>
      </c>
      <c r="S980" s="209"/>
      <c r="T980" s="209" t="s">
        <v>74</v>
      </c>
      <c r="U980" s="213">
        <v>44932.75</v>
      </c>
      <c r="V980" s="209" t="s">
        <v>41</v>
      </c>
      <c r="W980" s="209" t="s">
        <v>49</v>
      </c>
      <c r="X980" s="13" t="str">
        <f>IF(RIGHT(H980,2)&lt;&gt;"00",H980,"")</f>
        <v/>
      </c>
      <c r="Y980" s="26">
        <f ca="1">NETWORKDAYS(P980,$Y$1)</f>
        <v>39</v>
      </c>
      <c r="Z980" s="34">
        <v>1</v>
      </c>
      <c r="AA980" s="25" t="str">
        <f t="shared" ca="1" si="78"/>
        <v>A VENCER</v>
      </c>
      <c r="AB980" s="25" t="str">
        <f t="shared" si="76"/>
        <v>Dosa</v>
      </c>
      <c r="AC980" s="2" t="str">
        <f t="shared" si="80"/>
        <v xml:space="preserve"> CRISTINA </v>
      </c>
      <c r="AD980" s="26">
        <f t="shared" si="77"/>
        <v>5</v>
      </c>
      <c r="AE980" s="26">
        <f t="shared" ca="1" si="79"/>
        <v>54.199014699071995</v>
      </c>
    </row>
    <row r="981" spans="1:31" hidden="1">
      <c r="A981" s="209">
        <v>9299221</v>
      </c>
      <c r="B981" s="209" t="s">
        <v>101</v>
      </c>
      <c r="C981" s="210" t="s">
        <v>1761</v>
      </c>
      <c r="D981" s="214"/>
      <c r="E981" s="214">
        <v>446000206001</v>
      </c>
      <c r="F981" s="209" t="s">
        <v>29</v>
      </c>
      <c r="G981" s="209" t="s">
        <v>53</v>
      </c>
      <c r="H981" s="209" t="s">
        <v>432</v>
      </c>
      <c r="I981" s="209" t="s">
        <v>433</v>
      </c>
      <c r="J981" s="209" t="s">
        <v>110</v>
      </c>
      <c r="K981" s="210" t="s">
        <v>34</v>
      </c>
      <c r="L981" s="210"/>
      <c r="M981" s="209" t="s">
        <v>35</v>
      </c>
      <c r="N981" s="209">
        <v>42318949</v>
      </c>
      <c r="O981" s="209" t="s">
        <v>105</v>
      </c>
      <c r="P981" s="213">
        <v>44932.477256944447</v>
      </c>
      <c r="Q981" s="209"/>
      <c r="R981" s="209" t="s">
        <v>38</v>
      </c>
      <c r="S981" s="209"/>
      <c r="T981" s="209" t="s">
        <v>74</v>
      </c>
      <c r="U981" s="213">
        <v>44932.75</v>
      </c>
      <c r="V981" s="209" t="s">
        <v>41</v>
      </c>
      <c r="W981" s="209" t="s">
        <v>49</v>
      </c>
      <c r="X981" s="13" t="str">
        <f>IF(RIGHT(H981,2)&lt;&gt;"00",H981,"")</f>
        <v/>
      </c>
      <c r="Y981" s="26">
        <f ca="1">NETWORKDAYS(P981,$Y$1)</f>
        <v>39</v>
      </c>
      <c r="Z981" s="34">
        <v>1</v>
      </c>
      <c r="AA981" s="25" t="str">
        <f t="shared" ca="1" si="78"/>
        <v>A VENCER</v>
      </c>
      <c r="AB981" s="25" t="str">
        <f t="shared" si="76"/>
        <v>Dosa</v>
      </c>
      <c r="AC981" s="2" t="str">
        <f t="shared" si="80"/>
        <v xml:space="preserve"> CRISTINA </v>
      </c>
      <c r="AD981" s="26">
        <f t="shared" si="77"/>
        <v>5</v>
      </c>
      <c r="AE981" s="26">
        <f t="shared" ca="1" si="79"/>
        <v>54.199014699071995</v>
      </c>
    </row>
    <row r="982" spans="1:31" hidden="1">
      <c r="A982" s="209">
        <v>9299220</v>
      </c>
      <c r="B982" s="209" t="s">
        <v>101</v>
      </c>
      <c r="C982" s="210" t="s">
        <v>1761</v>
      </c>
      <c r="D982" s="214"/>
      <c r="E982" s="214">
        <v>446000206001</v>
      </c>
      <c r="F982" s="209" t="s">
        <v>29</v>
      </c>
      <c r="G982" s="209" t="s">
        <v>53</v>
      </c>
      <c r="H982" s="209" t="s">
        <v>432</v>
      </c>
      <c r="I982" s="209" t="s">
        <v>433</v>
      </c>
      <c r="J982" s="209" t="s">
        <v>110</v>
      </c>
      <c r="K982" s="210" t="s">
        <v>34</v>
      </c>
      <c r="L982" s="210"/>
      <c r="M982" s="209" t="s">
        <v>35</v>
      </c>
      <c r="N982" s="209">
        <v>42318949</v>
      </c>
      <c r="O982" s="209" t="s">
        <v>105</v>
      </c>
      <c r="P982" s="213">
        <v>44932.477256944447</v>
      </c>
      <c r="Q982" s="209"/>
      <c r="R982" s="209" t="s">
        <v>38</v>
      </c>
      <c r="S982" s="209"/>
      <c r="T982" s="209" t="s">
        <v>74</v>
      </c>
      <c r="U982" s="213">
        <v>44932.75</v>
      </c>
      <c r="V982" s="209" t="s">
        <v>41</v>
      </c>
      <c r="W982" s="209" t="s">
        <v>49</v>
      </c>
      <c r="X982" s="13" t="str">
        <f>IF(RIGHT(H982,2)&lt;&gt;"00",H982,"")</f>
        <v/>
      </c>
      <c r="Y982" s="26">
        <f ca="1">NETWORKDAYS(P982,$Y$1)</f>
        <v>39</v>
      </c>
      <c r="Z982" s="34">
        <v>1</v>
      </c>
      <c r="AA982" s="25" t="str">
        <f t="shared" ca="1" si="78"/>
        <v>A VENCER</v>
      </c>
      <c r="AB982" s="25" t="str">
        <f t="shared" si="76"/>
        <v>Dosa</v>
      </c>
      <c r="AC982" s="2" t="str">
        <f t="shared" si="80"/>
        <v xml:space="preserve"> CRISTINA </v>
      </c>
      <c r="AD982" s="26">
        <f t="shared" si="77"/>
        <v>5</v>
      </c>
      <c r="AE982" s="26">
        <f t="shared" ca="1" si="79"/>
        <v>54.199014699071995</v>
      </c>
    </row>
    <row r="983" spans="1:31" hidden="1">
      <c r="A983" s="209">
        <v>9299075</v>
      </c>
      <c r="B983" s="209" t="s">
        <v>101</v>
      </c>
      <c r="C983" s="210" t="s">
        <v>1761</v>
      </c>
      <c r="D983" s="214"/>
      <c r="E983" s="214">
        <v>246000206001</v>
      </c>
      <c r="F983" s="209" t="s">
        <v>29</v>
      </c>
      <c r="G983" s="209" t="s">
        <v>53</v>
      </c>
      <c r="H983" s="209" t="s">
        <v>1193</v>
      </c>
      <c r="I983" s="209" t="s">
        <v>1194</v>
      </c>
      <c r="J983" s="209" t="s">
        <v>85</v>
      </c>
      <c r="K983" s="210" t="s">
        <v>34</v>
      </c>
      <c r="L983" s="210"/>
      <c r="M983" s="209" t="s">
        <v>35</v>
      </c>
      <c r="N983" s="209">
        <v>42318949</v>
      </c>
      <c r="O983" s="209" t="s">
        <v>105</v>
      </c>
      <c r="P983" s="213">
        <v>44932.477048611108</v>
      </c>
      <c r="Q983" s="209"/>
      <c r="R983" s="209" t="s">
        <v>38</v>
      </c>
      <c r="S983" s="209"/>
      <c r="T983" s="209" t="s">
        <v>74</v>
      </c>
      <c r="U983" s="213">
        <v>44932.75</v>
      </c>
      <c r="V983" s="209" t="s">
        <v>41</v>
      </c>
      <c r="W983" s="209" t="s">
        <v>49</v>
      </c>
      <c r="X983" s="13" t="str">
        <f>IF(RIGHT(H983,2)&lt;&gt;"00",H983,"")</f>
        <v/>
      </c>
      <c r="Y983" s="26">
        <f ca="1">NETWORKDAYS(P983,$Y$1)</f>
        <v>39</v>
      </c>
      <c r="Z983" s="34">
        <v>1</v>
      </c>
      <c r="AA983" s="25" t="str">
        <f t="shared" ca="1" si="78"/>
        <v>A VENCER</v>
      </c>
      <c r="AB983" s="25" t="str">
        <f t="shared" si="76"/>
        <v>Dosa</v>
      </c>
      <c r="AC983" s="2" t="str">
        <f t="shared" si="80"/>
        <v xml:space="preserve"> RINALDO </v>
      </c>
      <c r="AD983" s="26">
        <f t="shared" si="77"/>
        <v>5</v>
      </c>
      <c r="AE983" s="26">
        <f t="shared" ca="1" si="79"/>
        <v>54.199223032410373</v>
      </c>
    </row>
    <row r="984" spans="1:31" hidden="1">
      <c r="A984" s="209">
        <v>9299074</v>
      </c>
      <c r="B984" s="209" t="s">
        <v>101</v>
      </c>
      <c r="C984" s="210" t="s">
        <v>1761</v>
      </c>
      <c r="D984" s="214"/>
      <c r="E984" s="214">
        <v>246000206001</v>
      </c>
      <c r="F984" s="209" t="s">
        <v>29</v>
      </c>
      <c r="G984" s="209" t="s">
        <v>53</v>
      </c>
      <c r="H984" s="209" t="s">
        <v>1193</v>
      </c>
      <c r="I984" s="209" t="s">
        <v>1194</v>
      </c>
      <c r="J984" s="209" t="s">
        <v>85</v>
      </c>
      <c r="K984" s="210" t="s">
        <v>34</v>
      </c>
      <c r="L984" s="210"/>
      <c r="M984" s="209" t="s">
        <v>35</v>
      </c>
      <c r="N984" s="209">
        <v>42318949</v>
      </c>
      <c r="O984" s="209" t="s">
        <v>105</v>
      </c>
      <c r="P984" s="213">
        <v>44932.477048611108</v>
      </c>
      <c r="Q984" s="209"/>
      <c r="R984" s="209" t="s">
        <v>38</v>
      </c>
      <c r="S984" s="209"/>
      <c r="T984" s="209" t="s">
        <v>74</v>
      </c>
      <c r="U984" s="213">
        <v>44932.75</v>
      </c>
      <c r="V984" s="209" t="s">
        <v>41</v>
      </c>
      <c r="W984" s="209" t="s">
        <v>49</v>
      </c>
      <c r="X984" s="13" t="str">
        <f>IF(RIGHT(H984,2)&lt;&gt;"00",H984,"")</f>
        <v/>
      </c>
      <c r="Y984" s="26">
        <f ca="1">NETWORKDAYS(P984,$Y$1)</f>
        <v>39</v>
      </c>
      <c r="Z984" s="34">
        <v>1</v>
      </c>
      <c r="AA984" s="25" t="str">
        <f t="shared" ca="1" si="78"/>
        <v>A VENCER</v>
      </c>
      <c r="AB984" s="25" t="str">
        <f t="shared" si="76"/>
        <v>Dosa</v>
      </c>
      <c r="AC984" s="2" t="str">
        <f t="shared" si="80"/>
        <v xml:space="preserve"> RINALDO </v>
      </c>
      <c r="AD984" s="26">
        <f t="shared" si="77"/>
        <v>5</v>
      </c>
      <c r="AE984" s="26">
        <f t="shared" ca="1" si="79"/>
        <v>54.199223032410373</v>
      </c>
    </row>
    <row r="985" spans="1:31" hidden="1">
      <c r="A985" s="209">
        <v>9299073</v>
      </c>
      <c r="B985" s="209" t="s">
        <v>101</v>
      </c>
      <c r="C985" s="210" t="s">
        <v>1761</v>
      </c>
      <c r="D985" s="214"/>
      <c r="E985" s="214">
        <v>246000206001</v>
      </c>
      <c r="F985" s="209" t="s">
        <v>29</v>
      </c>
      <c r="G985" s="209" t="s">
        <v>53</v>
      </c>
      <c r="H985" s="209" t="s">
        <v>1193</v>
      </c>
      <c r="I985" s="209" t="s">
        <v>1194</v>
      </c>
      <c r="J985" s="209" t="s">
        <v>85</v>
      </c>
      <c r="K985" s="210" t="s">
        <v>34</v>
      </c>
      <c r="L985" s="210"/>
      <c r="M985" s="209" t="s">
        <v>35</v>
      </c>
      <c r="N985" s="209">
        <v>42318949</v>
      </c>
      <c r="O985" s="209" t="s">
        <v>105</v>
      </c>
      <c r="P985" s="213">
        <v>44932.477048611108</v>
      </c>
      <c r="Q985" s="209"/>
      <c r="R985" s="209" t="s">
        <v>38</v>
      </c>
      <c r="S985" s="209"/>
      <c r="T985" s="209" t="s">
        <v>74</v>
      </c>
      <c r="U985" s="213">
        <v>44932.75</v>
      </c>
      <c r="V985" s="209" t="s">
        <v>41</v>
      </c>
      <c r="W985" s="209" t="s">
        <v>49</v>
      </c>
      <c r="X985" s="13" t="str">
        <f>IF(RIGHT(H985,2)&lt;&gt;"00",H985,"")</f>
        <v/>
      </c>
      <c r="Y985" s="26">
        <f ca="1">NETWORKDAYS(P985,$Y$1)</f>
        <v>39</v>
      </c>
      <c r="Z985" s="34">
        <v>1</v>
      </c>
      <c r="AA985" s="25" t="str">
        <f t="shared" ca="1" si="78"/>
        <v>A VENCER</v>
      </c>
      <c r="AB985" s="25" t="str">
        <f t="shared" si="76"/>
        <v>Dosa</v>
      </c>
      <c r="AC985" s="2" t="str">
        <f t="shared" si="80"/>
        <v xml:space="preserve"> RINALDO </v>
      </c>
      <c r="AD985" s="26">
        <f t="shared" si="77"/>
        <v>5</v>
      </c>
      <c r="AE985" s="26">
        <f t="shared" ca="1" si="79"/>
        <v>54.199223032410373</v>
      </c>
    </row>
    <row r="986" spans="1:31" hidden="1">
      <c r="A986" s="209">
        <v>9299072</v>
      </c>
      <c r="B986" s="209" t="s">
        <v>101</v>
      </c>
      <c r="C986" s="210" t="s">
        <v>1761</v>
      </c>
      <c r="D986" s="214"/>
      <c r="E986" s="214">
        <v>246000206001</v>
      </c>
      <c r="F986" s="209" t="s">
        <v>29</v>
      </c>
      <c r="G986" s="209" t="s">
        <v>53</v>
      </c>
      <c r="H986" s="209" t="s">
        <v>1193</v>
      </c>
      <c r="I986" s="209" t="s">
        <v>1194</v>
      </c>
      <c r="J986" s="209" t="s">
        <v>85</v>
      </c>
      <c r="K986" s="210" t="s">
        <v>34</v>
      </c>
      <c r="L986" s="210"/>
      <c r="M986" s="209" t="s">
        <v>35</v>
      </c>
      <c r="N986" s="209">
        <v>42318949</v>
      </c>
      <c r="O986" s="209" t="s">
        <v>105</v>
      </c>
      <c r="P986" s="213">
        <v>44932.477048611108</v>
      </c>
      <c r="Q986" s="209"/>
      <c r="R986" s="209" t="s">
        <v>38</v>
      </c>
      <c r="S986" s="209"/>
      <c r="T986" s="209" t="s">
        <v>74</v>
      </c>
      <c r="U986" s="213">
        <v>44932.75</v>
      </c>
      <c r="V986" s="209" t="s">
        <v>41</v>
      </c>
      <c r="W986" s="209" t="s">
        <v>49</v>
      </c>
      <c r="X986" s="13" t="str">
        <f>IF(RIGHT(H986,2)&lt;&gt;"00",H986,"")</f>
        <v/>
      </c>
      <c r="Y986" s="26">
        <f ca="1">NETWORKDAYS(P986,$Y$1)</f>
        <v>39</v>
      </c>
      <c r="Z986" s="34">
        <v>1</v>
      </c>
      <c r="AA986" s="25" t="str">
        <f t="shared" ca="1" si="78"/>
        <v>A VENCER</v>
      </c>
      <c r="AB986" s="25" t="str">
        <f t="shared" si="76"/>
        <v>Dosa</v>
      </c>
      <c r="AC986" s="2" t="str">
        <f t="shared" si="80"/>
        <v xml:space="preserve"> RINALDO </v>
      </c>
      <c r="AD986" s="26">
        <f t="shared" si="77"/>
        <v>5</v>
      </c>
      <c r="AE986" s="26">
        <f t="shared" ca="1" si="79"/>
        <v>54.199223032410373</v>
      </c>
    </row>
    <row r="987" spans="1:31" hidden="1">
      <c r="A987" s="209">
        <v>9299071</v>
      </c>
      <c r="B987" s="209" t="s">
        <v>101</v>
      </c>
      <c r="C987" s="210" t="s">
        <v>1761</v>
      </c>
      <c r="D987" s="214"/>
      <c r="E987" s="214">
        <v>244000206001</v>
      </c>
      <c r="F987" s="209" t="s">
        <v>29</v>
      </c>
      <c r="G987" s="209" t="s">
        <v>53</v>
      </c>
      <c r="H987" s="209" t="s">
        <v>313</v>
      </c>
      <c r="I987" s="209" t="s">
        <v>314</v>
      </c>
      <c r="J987" s="209" t="s">
        <v>56</v>
      </c>
      <c r="K987" s="210" t="s">
        <v>34</v>
      </c>
      <c r="L987" s="210"/>
      <c r="M987" s="209" t="s">
        <v>35</v>
      </c>
      <c r="N987" s="209">
        <v>42318949</v>
      </c>
      <c r="O987" s="209" t="s">
        <v>105</v>
      </c>
      <c r="P987" s="213">
        <v>44932.477037037039</v>
      </c>
      <c r="Q987" s="209"/>
      <c r="R987" s="209" t="s">
        <v>38</v>
      </c>
      <c r="S987" s="209"/>
      <c r="T987" s="209" t="s">
        <v>74</v>
      </c>
      <c r="U987" s="213">
        <v>44932.75</v>
      </c>
      <c r="V987" s="209" t="s">
        <v>41</v>
      </c>
      <c r="W987" s="209" t="s">
        <v>49</v>
      </c>
      <c r="X987" s="13" t="str">
        <f>IF(RIGHT(H987,2)&lt;&gt;"00",H987,"")</f>
        <v/>
      </c>
      <c r="Y987" s="26">
        <f ca="1">NETWORKDAYS(P987,$Y$1)</f>
        <v>39</v>
      </c>
      <c r="Z987" s="34">
        <v>1</v>
      </c>
      <c r="AA987" s="25" t="str">
        <f t="shared" ca="1" si="78"/>
        <v>A VENCER</v>
      </c>
      <c r="AB987" s="25" t="str">
        <f t="shared" si="76"/>
        <v>Dosa</v>
      </c>
      <c r="AC987" s="2" t="str">
        <f t="shared" si="80"/>
        <v xml:space="preserve"> CRISTINA </v>
      </c>
      <c r="AD987" s="26">
        <f t="shared" si="77"/>
        <v>5</v>
      </c>
      <c r="AE987" s="26">
        <f t="shared" ca="1" si="79"/>
        <v>54.199234606479877</v>
      </c>
    </row>
    <row r="988" spans="1:31" hidden="1">
      <c r="A988" s="209">
        <v>9299059</v>
      </c>
      <c r="B988" s="209" t="s">
        <v>101</v>
      </c>
      <c r="C988" s="210" t="s">
        <v>1761</v>
      </c>
      <c r="D988" s="214"/>
      <c r="E988" s="214">
        <v>220000206001</v>
      </c>
      <c r="F988" s="209" t="s">
        <v>29</v>
      </c>
      <c r="G988" s="209" t="s">
        <v>53</v>
      </c>
      <c r="H988" s="209" t="s">
        <v>588</v>
      </c>
      <c r="I988" s="209" t="s">
        <v>589</v>
      </c>
      <c r="J988" s="209" t="s">
        <v>110</v>
      </c>
      <c r="K988" s="210" t="s">
        <v>34</v>
      </c>
      <c r="L988" s="210"/>
      <c r="M988" s="209" t="s">
        <v>35</v>
      </c>
      <c r="N988" s="209">
        <v>42318949</v>
      </c>
      <c r="O988" s="209" t="s">
        <v>105</v>
      </c>
      <c r="P988" s="213">
        <v>44932.477025462962</v>
      </c>
      <c r="Q988" s="209"/>
      <c r="R988" s="209" t="s">
        <v>38</v>
      </c>
      <c r="S988" s="209"/>
      <c r="T988" s="209" t="s">
        <v>74</v>
      </c>
      <c r="U988" s="213">
        <v>44932.75</v>
      </c>
      <c r="V988" s="209" t="s">
        <v>41</v>
      </c>
      <c r="W988" s="209" t="s">
        <v>49</v>
      </c>
      <c r="X988" s="13" t="str">
        <f>IF(RIGHT(H988,2)&lt;&gt;"00",H988,"")</f>
        <v/>
      </c>
      <c r="Y988" s="26">
        <f ca="1">NETWORKDAYS(P988,$Y$1)</f>
        <v>39</v>
      </c>
      <c r="Z988" s="34">
        <v>1</v>
      </c>
      <c r="AA988" s="25" t="str">
        <f t="shared" ca="1" si="78"/>
        <v>A VENCER</v>
      </c>
      <c r="AB988" s="25" t="str">
        <f t="shared" si="76"/>
        <v>Dosa</v>
      </c>
      <c r="AC988" s="2" t="str">
        <f t="shared" si="80"/>
        <v xml:space="preserve"> CRISTINA </v>
      </c>
      <c r="AD988" s="26">
        <f t="shared" si="77"/>
        <v>5</v>
      </c>
      <c r="AE988" s="26">
        <f t="shared" ca="1" si="79"/>
        <v>54.199246180556656</v>
      </c>
    </row>
    <row r="989" spans="1:31" hidden="1">
      <c r="A989" s="209">
        <v>9299058</v>
      </c>
      <c r="B989" s="209" t="s">
        <v>101</v>
      </c>
      <c r="C989" s="210" t="s">
        <v>1761</v>
      </c>
      <c r="D989" s="214"/>
      <c r="E989" s="214">
        <v>220000206001</v>
      </c>
      <c r="F989" s="209" t="s">
        <v>29</v>
      </c>
      <c r="G989" s="209" t="s">
        <v>53</v>
      </c>
      <c r="H989" s="209" t="s">
        <v>588</v>
      </c>
      <c r="I989" s="209" t="s">
        <v>589</v>
      </c>
      <c r="J989" s="209" t="s">
        <v>110</v>
      </c>
      <c r="K989" s="210" t="s">
        <v>34</v>
      </c>
      <c r="L989" s="210"/>
      <c r="M989" s="209" t="s">
        <v>35</v>
      </c>
      <c r="N989" s="209">
        <v>42318949</v>
      </c>
      <c r="O989" s="209" t="s">
        <v>105</v>
      </c>
      <c r="P989" s="213">
        <v>44932.477025462962</v>
      </c>
      <c r="Q989" s="209"/>
      <c r="R989" s="209" t="s">
        <v>38</v>
      </c>
      <c r="S989" s="209"/>
      <c r="T989" s="209" t="s">
        <v>74</v>
      </c>
      <c r="U989" s="213">
        <v>44932.75</v>
      </c>
      <c r="V989" s="209" t="s">
        <v>41</v>
      </c>
      <c r="W989" s="209" t="s">
        <v>49</v>
      </c>
      <c r="X989" s="13" t="str">
        <f>IF(RIGHT(H989,2)&lt;&gt;"00",H989,"")</f>
        <v/>
      </c>
      <c r="Y989" s="26">
        <f ca="1">NETWORKDAYS(P989,$Y$1)</f>
        <v>39</v>
      </c>
      <c r="Z989" s="34">
        <v>1</v>
      </c>
      <c r="AA989" s="25" t="str">
        <f t="shared" ca="1" si="78"/>
        <v>A VENCER</v>
      </c>
      <c r="AB989" s="25" t="str">
        <f t="shared" ref="AB989:AB1052" si="81">IF(F989="GRPE-000001","C-14",IF(F989="GRPE-000002","C-14",IF(F989="GRPE-000003","C-14",IF(F989="GRPE-000004","SL-On",IF(F989="GRPE-000038","C-14",IF(F989="GRPE-900022","Dosa",IF(F989="GRPE-000029","Dosa",IF(F989="ATOS-000222","Dose","TAAe+"))))))))</f>
        <v>Dosa</v>
      </c>
      <c r="AC989" s="2" t="str">
        <f t="shared" si="80"/>
        <v xml:space="preserve"> CRISTINA </v>
      </c>
      <c r="AD989" s="26">
        <f t="shared" ref="AD989:AD1052" si="82">IF(F989="GRPE-000001",5,IF(F989="GRPE-000002",5,IF(F989="GRPE-000003",15,IF(F989="GRPE-000004",1,IF(F989="GRPE-000038",5,IF(F989="GRPE-900022",5,IF(F989="GRPE-000029",5,IF(F989="ATOS-000222",5,8))))))))</f>
        <v>5</v>
      </c>
      <c r="AE989" s="26">
        <f t="shared" ca="1" si="79"/>
        <v>54.199246180556656</v>
      </c>
    </row>
    <row r="990" spans="1:31" hidden="1">
      <c r="A990" s="209">
        <v>9299057</v>
      </c>
      <c r="B990" s="209" t="s">
        <v>101</v>
      </c>
      <c r="C990" s="210" t="s">
        <v>1761</v>
      </c>
      <c r="D990" s="214"/>
      <c r="E990" s="214">
        <v>220000206001</v>
      </c>
      <c r="F990" s="209" t="s">
        <v>29</v>
      </c>
      <c r="G990" s="209" t="s">
        <v>53</v>
      </c>
      <c r="H990" s="209" t="s">
        <v>588</v>
      </c>
      <c r="I990" s="209" t="s">
        <v>589</v>
      </c>
      <c r="J990" s="209" t="s">
        <v>110</v>
      </c>
      <c r="K990" s="210" t="s">
        <v>34</v>
      </c>
      <c r="L990" s="210"/>
      <c r="M990" s="209" t="s">
        <v>35</v>
      </c>
      <c r="N990" s="209">
        <v>42318949</v>
      </c>
      <c r="O990" s="209" t="s">
        <v>105</v>
      </c>
      <c r="P990" s="213">
        <v>44932.477025462962</v>
      </c>
      <c r="Q990" s="209"/>
      <c r="R990" s="209" t="s">
        <v>38</v>
      </c>
      <c r="S990" s="209"/>
      <c r="T990" s="209" t="s">
        <v>74</v>
      </c>
      <c r="U990" s="213">
        <v>44932.75</v>
      </c>
      <c r="V990" s="209" t="s">
        <v>41</v>
      </c>
      <c r="W990" s="209" t="s">
        <v>49</v>
      </c>
      <c r="X990" s="13" t="str">
        <f>IF(RIGHT(H990,2)&lt;&gt;"00",H990,"")</f>
        <v/>
      </c>
      <c r="Y990" s="26">
        <f ca="1">NETWORKDAYS(P990,$Y$1)</f>
        <v>39</v>
      </c>
      <c r="Z990" s="34">
        <v>1</v>
      </c>
      <c r="AA990" s="25" t="str">
        <f t="shared" ca="1" si="78"/>
        <v>A VENCER</v>
      </c>
      <c r="AB990" s="25" t="str">
        <f t="shared" si="81"/>
        <v>Dosa</v>
      </c>
      <c r="AC990" s="2" t="str">
        <f t="shared" si="80"/>
        <v xml:space="preserve"> CRISTINA </v>
      </c>
      <c r="AD990" s="26">
        <f t="shared" si="82"/>
        <v>5</v>
      </c>
      <c r="AE990" s="26">
        <f t="shared" ca="1" si="79"/>
        <v>54.199246180556656</v>
      </c>
    </row>
    <row r="991" spans="1:31" hidden="1">
      <c r="A991" s="209">
        <v>9299056</v>
      </c>
      <c r="B991" s="209" t="s">
        <v>101</v>
      </c>
      <c r="C991" s="210" t="s">
        <v>1761</v>
      </c>
      <c r="D991" s="214"/>
      <c r="E991" s="214">
        <v>220000206001</v>
      </c>
      <c r="F991" s="209" t="s">
        <v>29</v>
      </c>
      <c r="G991" s="209" t="s">
        <v>53</v>
      </c>
      <c r="H991" s="209" t="s">
        <v>588</v>
      </c>
      <c r="I991" s="209" t="s">
        <v>589</v>
      </c>
      <c r="J991" s="209" t="s">
        <v>110</v>
      </c>
      <c r="K991" s="210" t="s">
        <v>34</v>
      </c>
      <c r="L991" s="210"/>
      <c r="M991" s="209" t="s">
        <v>35</v>
      </c>
      <c r="N991" s="209">
        <v>42318949</v>
      </c>
      <c r="O991" s="209" t="s">
        <v>105</v>
      </c>
      <c r="P991" s="213">
        <v>44932.477025462962</v>
      </c>
      <c r="Q991" s="209"/>
      <c r="R991" s="209" t="s">
        <v>38</v>
      </c>
      <c r="S991" s="209"/>
      <c r="T991" s="209" t="s">
        <v>74</v>
      </c>
      <c r="U991" s="213">
        <v>44932.75</v>
      </c>
      <c r="V991" s="209" t="s">
        <v>41</v>
      </c>
      <c r="W991" s="209" t="s">
        <v>49</v>
      </c>
      <c r="X991" s="13" t="str">
        <f>IF(RIGHT(H991,2)&lt;&gt;"00",H991,"")</f>
        <v/>
      </c>
      <c r="Y991" s="26">
        <f ca="1">NETWORKDAYS(P991,$Y$1)</f>
        <v>39</v>
      </c>
      <c r="Z991" s="34">
        <v>1</v>
      </c>
      <c r="AA991" s="25" t="str">
        <f t="shared" ca="1" si="78"/>
        <v>A VENCER</v>
      </c>
      <c r="AB991" s="25" t="str">
        <f t="shared" si="81"/>
        <v>Dosa</v>
      </c>
      <c r="AC991" s="2" t="str">
        <f t="shared" si="80"/>
        <v xml:space="preserve"> CRISTINA </v>
      </c>
      <c r="AD991" s="26">
        <f t="shared" si="82"/>
        <v>5</v>
      </c>
      <c r="AE991" s="26">
        <f t="shared" ca="1" si="79"/>
        <v>54.199246180556656</v>
      </c>
    </row>
    <row r="992" spans="1:31" hidden="1">
      <c r="A992" s="209">
        <v>9299055</v>
      </c>
      <c r="B992" s="209" t="s">
        <v>101</v>
      </c>
      <c r="C992" s="210" t="s">
        <v>1761</v>
      </c>
      <c r="D992" s="214"/>
      <c r="E992" s="214">
        <v>220000206001</v>
      </c>
      <c r="F992" s="209" t="s">
        <v>29</v>
      </c>
      <c r="G992" s="209" t="s">
        <v>53</v>
      </c>
      <c r="H992" s="209" t="s">
        <v>588</v>
      </c>
      <c r="I992" s="209" t="s">
        <v>589</v>
      </c>
      <c r="J992" s="209" t="s">
        <v>110</v>
      </c>
      <c r="K992" s="210" t="s">
        <v>34</v>
      </c>
      <c r="L992" s="210"/>
      <c r="M992" s="209" t="s">
        <v>35</v>
      </c>
      <c r="N992" s="209">
        <v>42318949</v>
      </c>
      <c r="O992" s="209" t="s">
        <v>105</v>
      </c>
      <c r="P992" s="213">
        <v>44932.477013888885</v>
      </c>
      <c r="Q992" s="209"/>
      <c r="R992" s="209" t="s">
        <v>38</v>
      </c>
      <c r="S992" s="209"/>
      <c r="T992" s="209" t="s">
        <v>74</v>
      </c>
      <c r="U992" s="213">
        <v>44932.75</v>
      </c>
      <c r="V992" s="209" t="s">
        <v>41</v>
      </c>
      <c r="W992" s="209" t="s">
        <v>49</v>
      </c>
      <c r="X992" s="13" t="str">
        <f>IF(RIGHT(H992,2)&lt;&gt;"00",H992,"")</f>
        <v/>
      </c>
      <c r="Y992" s="26">
        <f ca="1">NETWORKDAYS(P992,$Y$1)</f>
        <v>39</v>
      </c>
      <c r="Z992" s="34">
        <v>1</v>
      </c>
      <c r="AA992" s="25" t="str">
        <f t="shared" ca="1" si="78"/>
        <v>A VENCER</v>
      </c>
      <c r="AB992" s="25" t="str">
        <f t="shared" si="81"/>
        <v>Dosa</v>
      </c>
      <c r="AC992" s="2" t="str">
        <f t="shared" si="80"/>
        <v xml:space="preserve"> CRISTINA </v>
      </c>
      <c r="AD992" s="26">
        <f t="shared" si="82"/>
        <v>5</v>
      </c>
      <c r="AE992" s="26">
        <f t="shared" ca="1" si="79"/>
        <v>54.199257754633436</v>
      </c>
    </row>
    <row r="993" spans="1:31" hidden="1">
      <c r="A993" s="209">
        <v>9298528</v>
      </c>
      <c r="B993" s="209" t="s">
        <v>101</v>
      </c>
      <c r="C993" s="210" t="s">
        <v>1810</v>
      </c>
      <c r="D993" s="214"/>
      <c r="E993" s="214">
        <v>9704000206001</v>
      </c>
      <c r="F993" s="209" t="s">
        <v>29</v>
      </c>
      <c r="G993" s="209" t="s">
        <v>53</v>
      </c>
      <c r="H993" s="209" t="s">
        <v>488</v>
      </c>
      <c r="I993" s="209" t="s">
        <v>489</v>
      </c>
      <c r="J993" s="209" t="s">
        <v>164</v>
      </c>
      <c r="K993" s="210" t="s">
        <v>34</v>
      </c>
      <c r="L993" s="210"/>
      <c r="M993" s="209" t="s">
        <v>35</v>
      </c>
      <c r="N993" s="209">
        <v>42318949</v>
      </c>
      <c r="O993" s="209" t="s">
        <v>105</v>
      </c>
      <c r="P993" s="213">
        <v>44932.437754629631</v>
      </c>
      <c r="Q993" s="209"/>
      <c r="R993" s="209" t="s">
        <v>38</v>
      </c>
      <c r="S993" s="209"/>
      <c r="T993" s="209" t="s">
        <v>74</v>
      </c>
      <c r="U993" s="213">
        <v>44932.75</v>
      </c>
      <c r="V993" s="209" t="s">
        <v>41</v>
      </c>
      <c r="W993" s="209" t="s">
        <v>49</v>
      </c>
      <c r="X993" s="13" t="str">
        <f>IF(RIGHT(H993,2)&lt;&gt;"00",H993,"")</f>
        <v/>
      </c>
      <c r="Y993" s="26">
        <f ca="1">NETWORKDAYS(P993,$Y$1)</f>
        <v>39</v>
      </c>
      <c r="Z993" s="34">
        <v>1</v>
      </c>
      <c r="AA993" s="25" t="str">
        <f t="shared" ca="1" si="78"/>
        <v>A VENCER</v>
      </c>
      <c r="AB993" s="25" t="str">
        <f t="shared" si="81"/>
        <v>Dosa</v>
      </c>
      <c r="AC993" s="2" t="str">
        <f t="shared" si="80"/>
        <v xml:space="preserve"> ROSEMERE </v>
      </c>
      <c r="AD993" s="26">
        <f t="shared" si="82"/>
        <v>5</v>
      </c>
      <c r="AE993" s="26">
        <f t="shared" ca="1" si="79"/>
        <v>54.238517013887758</v>
      </c>
    </row>
    <row r="994" spans="1:31" hidden="1">
      <c r="A994" s="209">
        <v>9298527</v>
      </c>
      <c r="B994" s="209" t="s">
        <v>101</v>
      </c>
      <c r="C994" s="210" t="s">
        <v>1810</v>
      </c>
      <c r="D994" s="214"/>
      <c r="E994" s="214">
        <v>9700000206001</v>
      </c>
      <c r="F994" s="209" t="s">
        <v>29</v>
      </c>
      <c r="G994" s="209" t="s">
        <v>53</v>
      </c>
      <c r="H994" s="209" t="s">
        <v>209</v>
      </c>
      <c r="I994" s="209" t="s">
        <v>210</v>
      </c>
      <c r="J994" s="209" t="s">
        <v>211</v>
      </c>
      <c r="K994" s="210" t="s">
        <v>34</v>
      </c>
      <c r="L994" s="210"/>
      <c r="M994" s="209" t="s">
        <v>35</v>
      </c>
      <c r="N994" s="209">
        <v>42318949</v>
      </c>
      <c r="O994" s="209" t="s">
        <v>105</v>
      </c>
      <c r="P994" s="213">
        <v>44932.437754629631</v>
      </c>
      <c r="Q994" s="209"/>
      <c r="R994" s="209" t="s">
        <v>38</v>
      </c>
      <c r="S994" s="209"/>
      <c r="T994" s="209" t="s">
        <v>74</v>
      </c>
      <c r="U994" s="213">
        <v>44932.75</v>
      </c>
      <c r="V994" s="209" t="s">
        <v>41</v>
      </c>
      <c r="W994" s="209" t="s">
        <v>49</v>
      </c>
      <c r="X994" s="13" t="str">
        <f>IF(RIGHT(H994,2)&lt;&gt;"00",H994,"")</f>
        <v/>
      </c>
      <c r="Y994" s="26">
        <f ca="1">NETWORKDAYS(P994,$Y$1)</f>
        <v>39</v>
      </c>
      <c r="Z994" s="34">
        <v>1</v>
      </c>
      <c r="AA994" s="25" t="str">
        <f t="shared" ca="1" si="78"/>
        <v>A VENCER</v>
      </c>
      <c r="AB994" s="25" t="str">
        <f t="shared" si="81"/>
        <v>Dosa</v>
      </c>
      <c r="AC994" s="2" t="str">
        <f t="shared" si="80"/>
        <v xml:space="preserve"> RINALDO </v>
      </c>
      <c r="AD994" s="26">
        <f t="shared" si="82"/>
        <v>5</v>
      </c>
      <c r="AE994" s="26">
        <f t="shared" ca="1" si="79"/>
        <v>54.238517013887758</v>
      </c>
    </row>
    <row r="995" spans="1:31" hidden="1">
      <c r="A995" s="209">
        <v>9298454</v>
      </c>
      <c r="B995" s="209" t="s">
        <v>101</v>
      </c>
      <c r="C995" s="210" t="s">
        <v>1810</v>
      </c>
      <c r="D995" s="214"/>
      <c r="E995" s="214">
        <v>9406000206001</v>
      </c>
      <c r="F995" s="209" t="s">
        <v>29</v>
      </c>
      <c r="G995" s="209" t="s">
        <v>53</v>
      </c>
      <c r="H995" s="209" t="s">
        <v>114</v>
      </c>
      <c r="I995" s="209" t="s">
        <v>115</v>
      </c>
      <c r="J995" s="209" t="s">
        <v>46</v>
      </c>
      <c r="K995" s="210" t="s">
        <v>34</v>
      </c>
      <c r="L995" s="210"/>
      <c r="M995" s="209" t="s">
        <v>35</v>
      </c>
      <c r="N995" s="209">
        <v>42318949</v>
      </c>
      <c r="O995" s="209" t="s">
        <v>105</v>
      </c>
      <c r="P995" s="213">
        <v>44932.437627314815</v>
      </c>
      <c r="Q995" s="209"/>
      <c r="R995" s="209" t="s">
        <v>38</v>
      </c>
      <c r="S995" s="209"/>
      <c r="T995" s="209" t="s">
        <v>74</v>
      </c>
      <c r="U995" s="213">
        <v>44932.75</v>
      </c>
      <c r="V995" s="209" t="s">
        <v>41</v>
      </c>
      <c r="W995" s="209" t="s">
        <v>49</v>
      </c>
      <c r="X995" s="13" t="str">
        <f>IF(RIGHT(H995,2)&lt;&gt;"00",H995,"")</f>
        <v/>
      </c>
      <c r="Y995" s="26">
        <f ca="1">NETWORKDAYS(P995,$Y$1)</f>
        <v>39</v>
      </c>
      <c r="Z995" s="34">
        <v>1</v>
      </c>
      <c r="AA995" s="25" t="str">
        <f t="shared" ca="1" si="78"/>
        <v>A VENCER</v>
      </c>
      <c r="AB995" s="25" t="str">
        <f t="shared" si="81"/>
        <v>Dosa</v>
      </c>
      <c r="AC995" s="2" t="str">
        <f t="shared" si="80"/>
        <v xml:space="preserve"> CLEITON </v>
      </c>
      <c r="AD995" s="26">
        <f t="shared" si="82"/>
        <v>5</v>
      </c>
      <c r="AE995" s="26">
        <f t="shared" ca="1" si="79"/>
        <v>54.238644328703231</v>
      </c>
    </row>
    <row r="996" spans="1:31" hidden="1">
      <c r="A996" s="209">
        <v>9298409</v>
      </c>
      <c r="B996" s="209" t="s">
        <v>101</v>
      </c>
      <c r="C996" s="210" t="s">
        <v>1810</v>
      </c>
      <c r="D996" s="214"/>
      <c r="E996" s="214">
        <v>8634000206001</v>
      </c>
      <c r="F996" s="209" t="s">
        <v>29</v>
      </c>
      <c r="G996" s="209" t="s">
        <v>53</v>
      </c>
      <c r="H996" s="209" t="s">
        <v>293</v>
      </c>
      <c r="I996" s="209" t="s">
        <v>294</v>
      </c>
      <c r="J996" s="209" t="s">
        <v>46</v>
      </c>
      <c r="K996" s="210" t="s">
        <v>34</v>
      </c>
      <c r="L996" s="210"/>
      <c r="M996" s="209" t="s">
        <v>35</v>
      </c>
      <c r="N996" s="209">
        <v>42318949</v>
      </c>
      <c r="O996" s="209" t="s">
        <v>105</v>
      </c>
      <c r="P996" s="213">
        <v>44932.437557870369</v>
      </c>
      <c r="Q996" s="209"/>
      <c r="R996" s="209" t="s">
        <v>38</v>
      </c>
      <c r="S996" s="209"/>
      <c r="T996" s="209" t="s">
        <v>74</v>
      </c>
      <c r="U996" s="213">
        <v>44932.75</v>
      </c>
      <c r="V996" s="209" t="s">
        <v>41</v>
      </c>
      <c r="W996" s="209" t="s">
        <v>49</v>
      </c>
      <c r="X996" s="13" t="str">
        <f>IF(RIGHT(H996,2)&lt;&gt;"00",H996,"")</f>
        <v/>
      </c>
      <c r="Y996" s="26">
        <f ca="1">NETWORKDAYS(P996,$Y$1)</f>
        <v>39</v>
      </c>
      <c r="Z996" s="34">
        <v>1</v>
      </c>
      <c r="AA996" s="25" t="str">
        <f t="shared" ca="1" si="78"/>
        <v>A VENCER</v>
      </c>
      <c r="AB996" s="25" t="str">
        <f t="shared" si="81"/>
        <v>Dosa</v>
      </c>
      <c r="AC996" s="2" t="str">
        <f t="shared" si="80"/>
        <v xml:space="preserve"> CLEITON </v>
      </c>
      <c r="AD996" s="26">
        <f t="shared" si="82"/>
        <v>5</v>
      </c>
      <c r="AE996" s="26">
        <f t="shared" ca="1" si="79"/>
        <v>54.238713773149357</v>
      </c>
    </row>
    <row r="997" spans="1:31" hidden="1">
      <c r="A997" s="209">
        <v>9298408</v>
      </c>
      <c r="B997" s="209" t="s">
        <v>101</v>
      </c>
      <c r="C997" s="210" t="s">
        <v>1810</v>
      </c>
      <c r="D997" s="214"/>
      <c r="E997" s="214">
        <v>8633000206001</v>
      </c>
      <c r="F997" s="209" t="s">
        <v>29</v>
      </c>
      <c r="G997" s="209" t="s">
        <v>53</v>
      </c>
      <c r="H997" s="209" t="s">
        <v>835</v>
      </c>
      <c r="I997" s="209" t="s">
        <v>836</v>
      </c>
      <c r="J997" s="209" t="s">
        <v>46</v>
      </c>
      <c r="K997" s="210" t="s">
        <v>34</v>
      </c>
      <c r="L997" s="210"/>
      <c r="M997" s="209" t="s">
        <v>35</v>
      </c>
      <c r="N997" s="209">
        <v>42318949</v>
      </c>
      <c r="O997" s="209" t="s">
        <v>105</v>
      </c>
      <c r="P997" s="213">
        <v>44932.4375462963</v>
      </c>
      <c r="Q997" s="209"/>
      <c r="R997" s="209" t="s">
        <v>38</v>
      </c>
      <c r="S997" s="209"/>
      <c r="T997" s="209" t="s">
        <v>74</v>
      </c>
      <c r="U997" s="213">
        <v>44932.75</v>
      </c>
      <c r="V997" s="209" t="s">
        <v>41</v>
      </c>
      <c r="W997" s="209" t="s">
        <v>49</v>
      </c>
      <c r="X997" s="13" t="str">
        <f>IF(RIGHT(H997,2)&lt;&gt;"00",H997,"")</f>
        <v/>
      </c>
      <c r="Y997" s="26">
        <f ca="1">NETWORKDAYS(P997,$Y$1)</f>
        <v>39</v>
      </c>
      <c r="Z997" s="34">
        <v>1</v>
      </c>
      <c r="AA997" s="25" t="str">
        <f t="shared" ca="1" si="78"/>
        <v>A VENCER</v>
      </c>
      <c r="AB997" s="25" t="str">
        <f t="shared" si="81"/>
        <v>Dosa</v>
      </c>
      <c r="AC997" s="2" t="str">
        <f t="shared" si="80"/>
        <v xml:space="preserve"> CLEITON </v>
      </c>
      <c r="AD997" s="26">
        <f t="shared" si="82"/>
        <v>5</v>
      </c>
      <c r="AE997" s="26">
        <f t="shared" ca="1" si="79"/>
        <v>54.23872534721886</v>
      </c>
    </row>
    <row r="998" spans="1:31" hidden="1">
      <c r="A998" s="209">
        <v>9298263</v>
      </c>
      <c r="B998" s="209" t="s">
        <v>101</v>
      </c>
      <c r="C998" s="210" t="s">
        <v>1810</v>
      </c>
      <c r="D998" s="214"/>
      <c r="E998" s="214">
        <v>8074000206001</v>
      </c>
      <c r="F998" s="209" t="s">
        <v>29</v>
      </c>
      <c r="G998" s="209" t="s">
        <v>53</v>
      </c>
      <c r="H998" s="209" t="s">
        <v>1257</v>
      </c>
      <c r="I998" s="209" t="s">
        <v>1258</v>
      </c>
      <c r="J998" s="209" t="s">
        <v>33</v>
      </c>
      <c r="K998" s="210" t="s">
        <v>34</v>
      </c>
      <c r="L998" s="210"/>
      <c r="M998" s="209" t="s">
        <v>35</v>
      </c>
      <c r="N998" s="209">
        <v>42318949</v>
      </c>
      <c r="O998" s="209" t="s">
        <v>105</v>
      </c>
      <c r="P998" s="213">
        <v>44932.437280092592</v>
      </c>
      <c r="Q998" s="209"/>
      <c r="R998" s="209" t="s">
        <v>38</v>
      </c>
      <c r="S998" s="209"/>
      <c r="T998" s="209" t="s">
        <v>74</v>
      </c>
      <c r="U998" s="213">
        <v>44932.75</v>
      </c>
      <c r="V998" s="209" t="s">
        <v>41</v>
      </c>
      <c r="W998" s="209" t="s">
        <v>49</v>
      </c>
      <c r="X998" s="13" t="str">
        <f>IF(RIGHT(H998,2)&lt;&gt;"00",H998,"")</f>
        <v/>
      </c>
      <c r="Y998" s="26">
        <f ca="1">NETWORKDAYS(P998,$Y$1)</f>
        <v>39</v>
      </c>
      <c r="Z998" s="34">
        <v>1</v>
      </c>
      <c r="AA998" s="25" t="str">
        <f t="shared" ca="1" si="78"/>
        <v>A VENCER</v>
      </c>
      <c r="AB998" s="25" t="str">
        <f t="shared" si="81"/>
        <v>Dosa</v>
      </c>
      <c r="AC998" s="2" t="str">
        <f t="shared" si="80"/>
        <v xml:space="preserve"> ROSEMERE </v>
      </c>
      <c r="AD998" s="26">
        <f t="shared" si="82"/>
        <v>5</v>
      </c>
      <c r="AE998" s="26">
        <f t="shared" ca="1" si="79"/>
        <v>54.238991550926585</v>
      </c>
    </row>
    <row r="999" spans="1:31" hidden="1">
      <c r="A999" s="209">
        <v>9298238</v>
      </c>
      <c r="B999" s="209" t="s">
        <v>101</v>
      </c>
      <c r="C999" s="210" t="s">
        <v>1810</v>
      </c>
      <c r="D999" s="214"/>
      <c r="E999" s="214">
        <v>7420000206001</v>
      </c>
      <c r="F999" s="209" t="s">
        <v>29</v>
      </c>
      <c r="G999" s="209" t="s">
        <v>53</v>
      </c>
      <c r="H999" s="209" t="s">
        <v>1076</v>
      </c>
      <c r="I999" s="209" t="s">
        <v>1077</v>
      </c>
      <c r="J999" s="209" t="s">
        <v>46</v>
      </c>
      <c r="K999" s="210" t="s">
        <v>34</v>
      </c>
      <c r="L999" s="210"/>
      <c r="M999" s="209" t="s">
        <v>35</v>
      </c>
      <c r="N999" s="209">
        <v>42318949</v>
      </c>
      <c r="O999" s="209" t="s">
        <v>105</v>
      </c>
      <c r="P999" s="213">
        <v>44932.4372337963</v>
      </c>
      <c r="Q999" s="209"/>
      <c r="R999" s="209" t="s">
        <v>38</v>
      </c>
      <c r="S999" s="209"/>
      <c r="T999" s="209" t="s">
        <v>74</v>
      </c>
      <c r="U999" s="213">
        <v>44932.75</v>
      </c>
      <c r="V999" s="209" t="s">
        <v>41</v>
      </c>
      <c r="W999" s="209" t="s">
        <v>49</v>
      </c>
      <c r="X999" s="13" t="str">
        <f>IF(RIGHT(H999,2)&lt;&gt;"00",H999,"")</f>
        <v/>
      </c>
      <c r="Y999" s="26">
        <f ca="1">NETWORKDAYS(P999,$Y$1)</f>
        <v>39</v>
      </c>
      <c r="Z999" s="34">
        <v>1</v>
      </c>
      <c r="AA999" s="25" t="str">
        <f t="shared" ca="1" si="78"/>
        <v>A VENCER</v>
      </c>
      <c r="AB999" s="25" t="str">
        <f t="shared" si="81"/>
        <v>Dosa</v>
      </c>
      <c r="AC999" s="2" t="str">
        <f t="shared" si="80"/>
        <v xml:space="preserve"> CLEITON </v>
      </c>
      <c r="AD999" s="26">
        <f t="shared" si="82"/>
        <v>5</v>
      </c>
      <c r="AE999" s="26">
        <f t="shared" ca="1" si="79"/>
        <v>54.239037847219151</v>
      </c>
    </row>
    <row r="1000" spans="1:31" hidden="1">
      <c r="A1000" s="209">
        <v>9297776</v>
      </c>
      <c r="B1000" s="209" t="s">
        <v>101</v>
      </c>
      <c r="C1000" s="210" t="s">
        <v>1810</v>
      </c>
      <c r="D1000" s="214"/>
      <c r="E1000" s="214">
        <v>5898000206001</v>
      </c>
      <c r="F1000" s="209" t="s">
        <v>29</v>
      </c>
      <c r="G1000" s="209" t="s">
        <v>53</v>
      </c>
      <c r="H1000" s="209" t="s">
        <v>365</v>
      </c>
      <c r="I1000" s="209" t="s">
        <v>366</v>
      </c>
      <c r="J1000" s="209" t="s">
        <v>164</v>
      </c>
      <c r="K1000" s="210" t="s">
        <v>34</v>
      </c>
      <c r="L1000" s="210"/>
      <c r="M1000" s="209" t="s">
        <v>35</v>
      </c>
      <c r="N1000" s="209">
        <v>42318949</v>
      </c>
      <c r="O1000" s="209" t="s">
        <v>105</v>
      </c>
      <c r="P1000" s="213">
        <v>44932.436226851853</v>
      </c>
      <c r="Q1000" s="209"/>
      <c r="R1000" s="209" t="s">
        <v>38</v>
      </c>
      <c r="S1000" s="209"/>
      <c r="T1000" s="209" t="s">
        <v>74</v>
      </c>
      <c r="U1000" s="213">
        <v>44932.75</v>
      </c>
      <c r="V1000" s="209" t="s">
        <v>41</v>
      </c>
      <c r="W1000" s="209" t="s">
        <v>49</v>
      </c>
      <c r="X1000" s="13" t="str">
        <f>IF(RIGHT(H1000,2)&lt;&gt;"00",H1000,"")</f>
        <v/>
      </c>
      <c r="Y1000" s="26">
        <f ca="1">NETWORKDAYS(P1000,$Y$1)</f>
        <v>39</v>
      </c>
      <c r="Z1000" s="34">
        <v>1</v>
      </c>
      <c r="AA1000" s="25" t="str">
        <f t="shared" ca="1" si="78"/>
        <v>A VENCER</v>
      </c>
      <c r="AB1000" s="25" t="str">
        <f t="shared" si="81"/>
        <v>Dosa</v>
      </c>
      <c r="AC1000" s="2" t="str">
        <f t="shared" si="80"/>
        <v xml:space="preserve"> ROSEMERE </v>
      </c>
      <c r="AD1000" s="26">
        <f t="shared" si="82"/>
        <v>5</v>
      </c>
      <c r="AE1000" s="26">
        <f t="shared" ca="1" si="79"/>
        <v>54.240044791666151</v>
      </c>
    </row>
    <row r="1001" spans="1:31" hidden="1">
      <c r="A1001" s="209">
        <v>9297748</v>
      </c>
      <c r="B1001" s="209" t="s">
        <v>101</v>
      </c>
      <c r="C1001" s="210" t="s">
        <v>1810</v>
      </c>
      <c r="D1001" s="214"/>
      <c r="E1001" s="214">
        <v>5816000206001</v>
      </c>
      <c r="F1001" s="209" t="s">
        <v>29</v>
      </c>
      <c r="G1001" s="209" t="s">
        <v>53</v>
      </c>
      <c r="H1001" s="209" t="s">
        <v>412</v>
      </c>
      <c r="I1001" s="209" t="s">
        <v>413</v>
      </c>
      <c r="J1001" s="209" t="s">
        <v>46</v>
      </c>
      <c r="K1001" s="210" t="s">
        <v>34</v>
      </c>
      <c r="L1001" s="210"/>
      <c r="M1001" s="209" t="s">
        <v>35</v>
      </c>
      <c r="N1001" s="209">
        <v>42318949</v>
      </c>
      <c r="O1001" s="209" t="s">
        <v>105</v>
      </c>
      <c r="P1001" s="213">
        <v>44932.436122685183</v>
      </c>
      <c r="Q1001" s="209"/>
      <c r="R1001" s="209" t="s">
        <v>38</v>
      </c>
      <c r="S1001" s="209"/>
      <c r="T1001" s="209" t="s">
        <v>74</v>
      </c>
      <c r="U1001" s="213">
        <v>44932.75</v>
      </c>
      <c r="V1001" s="209" t="s">
        <v>41</v>
      </c>
      <c r="W1001" s="209" t="s">
        <v>49</v>
      </c>
      <c r="X1001" s="13" t="str">
        <f>IF(RIGHT(H1001,2)&lt;&gt;"00",H1001,"")</f>
        <v/>
      </c>
      <c r="Y1001" s="26">
        <f ca="1">NETWORKDAYS(P1001,$Y$1)</f>
        <v>39</v>
      </c>
      <c r="Z1001" s="34">
        <v>1</v>
      </c>
      <c r="AA1001" s="25" t="str">
        <f t="shared" ca="1" si="78"/>
        <v>A VENCER</v>
      </c>
      <c r="AB1001" s="25" t="str">
        <f t="shared" si="81"/>
        <v>Dosa</v>
      </c>
      <c r="AC1001" s="2" t="str">
        <f t="shared" si="80"/>
        <v xml:space="preserve"> CLEITON </v>
      </c>
      <c r="AD1001" s="26">
        <f t="shared" si="82"/>
        <v>5</v>
      </c>
      <c r="AE1001" s="26">
        <f t="shared" ca="1" si="79"/>
        <v>54.24014895833534</v>
      </c>
    </row>
    <row r="1002" spans="1:31" hidden="1">
      <c r="A1002" s="209">
        <v>9297710</v>
      </c>
      <c r="B1002" s="209" t="s">
        <v>101</v>
      </c>
      <c r="C1002" s="210" t="s">
        <v>1810</v>
      </c>
      <c r="D1002" s="214"/>
      <c r="E1002" s="214">
        <v>5755000206001</v>
      </c>
      <c r="F1002" s="209" t="s">
        <v>29</v>
      </c>
      <c r="G1002" s="209" t="s">
        <v>53</v>
      </c>
      <c r="H1002" s="209" t="s">
        <v>841</v>
      </c>
      <c r="I1002" s="209" t="s">
        <v>842</v>
      </c>
      <c r="J1002" s="209" t="s">
        <v>46</v>
      </c>
      <c r="K1002" s="210" t="s">
        <v>34</v>
      </c>
      <c r="L1002" s="210"/>
      <c r="M1002" s="209" t="s">
        <v>35</v>
      </c>
      <c r="N1002" s="209">
        <v>42318949</v>
      </c>
      <c r="O1002" s="209" t="s">
        <v>105</v>
      </c>
      <c r="P1002" s="213">
        <v>44932.436064814814</v>
      </c>
      <c r="Q1002" s="209"/>
      <c r="R1002" s="209" t="s">
        <v>38</v>
      </c>
      <c r="S1002" s="209"/>
      <c r="T1002" s="209" t="s">
        <v>74</v>
      </c>
      <c r="U1002" s="213">
        <v>44932.75</v>
      </c>
      <c r="V1002" s="209" t="s">
        <v>41</v>
      </c>
      <c r="W1002" s="209" t="s">
        <v>49</v>
      </c>
      <c r="X1002" s="13" t="str">
        <f>IF(RIGHT(H1002,2)&lt;&gt;"00",H1002,"")</f>
        <v/>
      </c>
      <c r="Y1002" s="26">
        <f ca="1">NETWORKDAYS(P1002,$Y$1)</f>
        <v>39</v>
      </c>
      <c r="Z1002" s="34">
        <v>1</v>
      </c>
      <c r="AA1002" s="25" t="str">
        <f t="shared" ca="1" si="78"/>
        <v>A VENCER</v>
      </c>
      <c r="AB1002" s="25" t="str">
        <f t="shared" si="81"/>
        <v>Dosa</v>
      </c>
      <c r="AC1002" s="2" t="str">
        <f t="shared" si="80"/>
        <v xml:space="preserve"> CLEITON </v>
      </c>
      <c r="AD1002" s="26">
        <f t="shared" si="82"/>
        <v>5</v>
      </c>
      <c r="AE1002" s="26">
        <f t="shared" ca="1" si="79"/>
        <v>54.240206828704686</v>
      </c>
    </row>
    <row r="1003" spans="1:31" hidden="1">
      <c r="A1003" s="209">
        <v>9297706</v>
      </c>
      <c r="B1003" s="209" t="s">
        <v>101</v>
      </c>
      <c r="C1003" s="210" t="s">
        <v>1810</v>
      </c>
      <c r="D1003" s="214"/>
      <c r="E1003" s="214">
        <v>5749000206001</v>
      </c>
      <c r="F1003" s="209" t="s">
        <v>29</v>
      </c>
      <c r="G1003" s="209" t="s">
        <v>53</v>
      </c>
      <c r="H1003" s="209" t="s">
        <v>1811</v>
      </c>
      <c r="I1003" s="209" t="s">
        <v>1812</v>
      </c>
      <c r="J1003" s="209" t="s">
        <v>33</v>
      </c>
      <c r="K1003" s="210" t="s">
        <v>34</v>
      </c>
      <c r="L1003" s="210"/>
      <c r="M1003" s="209" t="s">
        <v>35</v>
      </c>
      <c r="N1003" s="209">
        <v>42318949</v>
      </c>
      <c r="O1003" s="209" t="s">
        <v>105</v>
      </c>
      <c r="P1003" s="213">
        <v>44932.436053240737</v>
      </c>
      <c r="Q1003" s="209"/>
      <c r="R1003" s="209" t="s">
        <v>38</v>
      </c>
      <c r="S1003" s="209"/>
      <c r="T1003" s="209" t="s">
        <v>74</v>
      </c>
      <c r="U1003" s="213">
        <v>44932.75</v>
      </c>
      <c r="V1003" s="209" t="s">
        <v>41</v>
      </c>
      <c r="W1003" s="209" t="s">
        <v>42</v>
      </c>
      <c r="X1003" s="13" t="str">
        <f>IF(RIGHT(H1003,2)&lt;&gt;"00",H1003,"")</f>
        <v/>
      </c>
      <c r="Y1003" s="26">
        <f ca="1">NETWORKDAYS(P1003,$Y$1)</f>
        <v>39</v>
      </c>
      <c r="Z1003" s="34">
        <v>1</v>
      </c>
      <c r="AA1003" s="25" t="str">
        <f t="shared" ca="1" si="78"/>
        <v>A VENCER</v>
      </c>
      <c r="AB1003" s="25" t="str">
        <f t="shared" si="81"/>
        <v>Dosa</v>
      </c>
      <c r="AC1003" s="2" t="str">
        <f t="shared" si="80"/>
        <v xml:space="preserve"> ROSEMERE </v>
      </c>
      <c r="AD1003" s="26">
        <f t="shared" si="82"/>
        <v>5</v>
      </c>
      <c r="AE1003" s="26">
        <f t="shared" ca="1" si="79"/>
        <v>54.240218402781466</v>
      </c>
    </row>
    <row r="1004" spans="1:31" hidden="1">
      <c r="A1004" s="209">
        <v>9297704</v>
      </c>
      <c r="B1004" s="209" t="s">
        <v>101</v>
      </c>
      <c r="C1004" s="210" t="s">
        <v>1810</v>
      </c>
      <c r="D1004" s="214"/>
      <c r="E1004" s="214">
        <v>5742000206001</v>
      </c>
      <c r="F1004" s="209" t="s">
        <v>29</v>
      </c>
      <c r="G1004" s="209" t="s">
        <v>53</v>
      </c>
      <c r="H1004" s="209" t="s">
        <v>430</v>
      </c>
      <c r="I1004" s="209" t="s">
        <v>431</v>
      </c>
      <c r="J1004" s="209" t="s">
        <v>79</v>
      </c>
      <c r="K1004" s="210" t="s">
        <v>34</v>
      </c>
      <c r="L1004" s="210"/>
      <c r="M1004" s="209" t="s">
        <v>35</v>
      </c>
      <c r="N1004" s="209">
        <v>42318949</v>
      </c>
      <c r="O1004" s="209" t="s">
        <v>105</v>
      </c>
      <c r="P1004" s="213">
        <v>44932.436053240737</v>
      </c>
      <c r="Q1004" s="209"/>
      <c r="R1004" s="209" t="s">
        <v>38</v>
      </c>
      <c r="S1004" s="209"/>
      <c r="T1004" s="209" t="s">
        <v>74</v>
      </c>
      <c r="U1004" s="213">
        <v>44932.75</v>
      </c>
      <c r="V1004" s="209" t="s">
        <v>41</v>
      </c>
      <c r="W1004" s="209" t="s">
        <v>49</v>
      </c>
      <c r="X1004" s="13" t="str">
        <f>IF(RIGHT(H1004,2)&lt;&gt;"00",H1004,"")</f>
        <v/>
      </c>
      <c r="Y1004" s="26">
        <f ca="1">NETWORKDAYS(P1004,$Y$1)</f>
        <v>39</v>
      </c>
      <c r="Z1004" s="34">
        <v>1</v>
      </c>
      <c r="AA1004" s="25" t="str">
        <f t="shared" ca="1" si="78"/>
        <v>A VENCER</v>
      </c>
      <c r="AB1004" s="25" t="str">
        <f t="shared" si="81"/>
        <v>Dosa</v>
      </c>
      <c r="AC1004" s="2" t="str">
        <f t="shared" si="80"/>
        <v xml:space="preserve"> ROSEMERE </v>
      </c>
      <c r="AD1004" s="26">
        <f t="shared" si="82"/>
        <v>5</v>
      </c>
      <c r="AE1004" s="26">
        <f t="shared" ca="1" si="79"/>
        <v>54.240218402781466</v>
      </c>
    </row>
    <row r="1005" spans="1:31" hidden="1">
      <c r="A1005" s="209">
        <v>9297703</v>
      </c>
      <c r="B1005" s="209" t="s">
        <v>101</v>
      </c>
      <c r="C1005" s="210" t="s">
        <v>1810</v>
      </c>
      <c r="D1005" s="214"/>
      <c r="E1005" s="214">
        <v>5740000206001</v>
      </c>
      <c r="F1005" s="209" t="s">
        <v>29</v>
      </c>
      <c r="G1005" s="209" t="s">
        <v>53</v>
      </c>
      <c r="H1005" s="209" t="s">
        <v>626</v>
      </c>
      <c r="I1005" s="209" t="s">
        <v>627</v>
      </c>
      <c r="J1005" s="209" t="s">
        <v>46</v>
      </c>
      <c r="K1005" s="210" t="s">
        <v>34</v>
      </c>
      <c r="L1005" s="210"/>
      <c r="M1005" s="209" t="s">
        <v>35</v>
      </c>
      <c r="N1005" s="209">
        <v>42318949</v>
      </c>
      <c r="O1005" s="209" t="s">
        <v>105</v>
      </c>
      <c r="P1005" s="213">
        <v>44932.436053240737</v>
      </c>
      <c r="Q1005" s="209"/>
      <c r="R1005" s="209" t="s">
        <v>38</v>
      </c>
      <c r="S1005" s="209"/>
      <c r="T1005" s="209" t="s">
        <v>74</v>
      </c>
      <c r="U1005" s="213">
        <v>44932.75</v>
      </c>
      <c r="V1005" s="209" t="s">
        <v>41</v>
      </c>
      <c r="W1005" s="209" t="s">
        <v>49</v>
      </c>
      <c r="X1005" s="13" t="str">
        <f>IF(RIGHT(H1005,2)&lt;&gt;"00",H1005,"")</f>
        <v/>
      </c>
      <c r="Y1005" s="26">
        <f ca="1">NETWORKDAYS(P1005,$Y$1)</f>
        <v>39</v>
      </c>
      <c r="Z1005" s="34">
        <v>1</v>
      </c>
      <c r="AA1005" s="25" t="str">
        <f t="shared" ca="1" si="78"/>
        <v>A VENCER</v>
      </c>
      <c r="AB1005" s="25" t="str">
        <f t="shared" si="81"/>
        <v>Dosa</v>
      </c>
      <c r="AC1005" s="2" t="str">
        <f t="shared" si="80"/>
        <v xml:space="preserve"> CLEITON </v>
      </c>
      <c r="AD1005" s="26">
        <f t="shared" si="82"/>
        <v>5</v>
      </c>
      <c r="AE1005" s="26">
        <f t="shared" ca="1" si="79"/>
        <v>54.240218402781466</v>
      </c>
    </row>
    <row r="1006" spans="1:31" hidden="1">
      <c r="A1006" s="209">
        <v>9297518</v>
      </c>
      <c r="B1006" s="209" t="s">
        <v>101</v>
      </c>
      <c r="C1006" s="210" t="s">
        <v>1810</v>
      </c>
      <c r="D1006" s="214"/>
      <c r="E1006" s="214">
        <v>4997000206001</v>
      </c>
      <c r="F1006" s="209" t="s">
        <v>29</v>
      </c>
      <c r="G1006" s="209" t="s">
        <v>53</v>
      </c>
      <c r="H1006" s="209" t="s">
        <v>406</v>
      </c>
      <c r="I1006" s="209" t="s">
        <v>407</v>
      </c>
      <c r="J1006" s="209" t="s">
        <v>79</v>
      </c>
      <c r="K1006" s="210" t="s">
        <v>34</v>
      </c>
      <c r="L1006" s="210"/>
      <c r="M1006" s="209" t="s">
        <v>35</v>
      </c>
      <c r="N1006" s="209">
        <v>42318949</v>
      </c>
      <c r="O1006" s="209" t="s">
        <v>105</v>
      </c>
      <c r="P1006" s="213">
        <v>44932.435624999998</v>
      </c>
      <c r="Q1006" s="209"/>
      <c r="R1006" s="209" t="s">
        <v>38</v>
      </c>
      <c r="S1006" s="209"/>
      <c r="T1006" s="209" t="s">
        <v>74</v>
      </c>
      <c r="U1006" s="213">
        <v>44932.75</v>
      </c>
      <c r="V1006" s="209" t="s">
        <v>41</v>
      </c>
      <c r="W1006" s="209" t="s">
        <v>49</v>
      </c>
      <c r="X1006" s="13" t="str">
        <f>IF(RIGHT(H1006,2)&lt;&gt;"00",H1006,"")</f>
        <v/>
      </c>
      <c r="Y1006" s="26">
        <f ca="1">NETWORKDAYS(P1006,$Y$1)</f>
        <v>39</v>
      </c>
      <c r="Z1006" s="34">
        <v>1</v>
      </c>
      <c r="AA1006" s="25" t="str">
        <f t="shared" ca="1" si="78"/>
        <v>A VENCER</v>
      </c>
      <c r="AB1006" s="25" t="str">
        <f t="shared" si="81"/>
        <v>Dosa</v>
      </c>
      <c r="AC1006" s="2" t="str">
        <f t="shared" si="80"/>
        <v xml:space="preserve"> ROSEMERE </v>
      </c>
      <c r="AD1006" s="26">
        <f t="shared" si="82"/>
        <v>5</v>
      </c>
      <c r="AE1006" s="26">
        <f t="shared" ca="1" si="79"/>
        <v>54.240646643520449</v>
      </c>
    </row>
    <row r="1007" spans="1:31" hidden="1">
      <c r="A1007" s="209">
        <v>9297463</v>
      </c>
      <c r="B1007" s="209" t="s">
        <v>101</v>
      </c>
      <c r="C1007" s="210" t="s">
        <v>1810</v>
      </c>
      <c r="D1007" s="214"/>
      <c r="E1007" s="214">
        <v>4844920206001</v>
      </c>
      <c r="F1007" s="209" t="s">
        <v>29</v>
      </c>
      <c r="G1007" s="209" t="s">
        <v>53</v>
      </c>
      <c r="H1007" s="209" t="s">
        <v>1815</v>
      </c>
      <c r="I1007" s="209" t="s">
        <v>1816</v>
      </c>
      <c r="J1007" s="209" t="s">
        <v>211</v>
      </c>
      <c r="K1007" s="210" t="s">
        <v>34</v>
      </c>
      <c r="L1007" s="210"/>
      <c r="M1007" s="209" t="s">
        <v>35</v>
      </c>
      <c r="N1007" s="209">
        <v>42318949</v>
      </c>
      <c r="O1007" s="209" t="s">
        <v>105</v>
      </c>
      <c r="P1007" s="213">
        <v>44932.435555555552</v>
      </c>
      <c r="Q1007" s="209"/>
      <c r="R1007" s="209" t="s">
        <v>38</v>
      </c>
      <c r="S1007" s="209"/>
      <c r="T1007" s="209" t="s">
        <v>74</v>
      </c>
      <c r="U1007" s="213">
        <v>44932.75</v>
      </c>
      <c r="V1007" s="209" t="s">
        <v>41</v>
      </c>
      <c r="W1007" s="209" t="s">
        <v>49</v>
      </c>
      <c r="X1007" s="13" t="str">
        <f>IF(RIGHT(H1007,2)&lt;&gt;"00",H1007,"")</f>
        <v>4844.92</v>
      </c>
      <c r="Y1007" s="26">
        <f ca="1">NETWORKDAYS(P1007,$Y$1)</f>
        <v>39</v>
      </c>
      <c r="Z1007" s="34">
        <v>1</v>
      </c>
      <c r="AA1007" s="25" t="str">
        <f t="shared" ca="1" si="78"/>
        <v>A VENCER</v>
      </c>
      <c r="AB1007" s="25" t="str">
        <f t="shared" si="81"/>
        <v>Dosa</v>
      </c>
      <c r="AC1007" s="2" t="str">
        <f t="shared" si="80"/>
        <v xml:space="preserve"> RINALDO </v>
      </c>
      <c r="AD1007" s="26">
        <f t="shared" si="82"/>
        <v>5</v>
      </c>
      <c r="AE1007" s="26">
        <f t="shared" ca="1" si="79"/>
        <v>54.240716087966575</v>
      </c>
    </row>
    <row r="1008" spans="1:31" hidden="1">
      <c r="A1008" s="209">
        <v>9297342</v>
      </c>
      <c r="B1008" s="209" t="s">
        <v>101</v>
      </c>
      <c r="C1008" s="210" t="s">
        <v>1810</v>
      </c>
      <c r="D1008" s="214"/>
      <c r="E1008" s="214">
        <v>4637000206001</v>
      </c>
      <c r="F1008" s="209" t="s">
        <v>29</v>
      </c>
      <c r="G1008" s="209" t="s">
        <v>53</v>
      </c>
      <c r="H1008" s="209" t="s">
        <v>848</v>
      </c>
      <c r="I1008" s="209" t="s">
        <v>849</v>
      </c>
      <c r="J1008" s="209" t="s">
        <v>79</v>
      </c>
      <c r="K1008" s="210" t="s">
        <v>34</v>
      </c>
      <c r="L1008" s="210"/>
      <c r="M1008" s="209" t="s">
        <v>35</v>
      </c>
      <c r="N1008" s="209">
        <v>42318949</v>
      </c>
      <c r="O1008" s="209" t="s">
        <v>105</v>
      </c>
      <c r="P1008" s="213">
        <v>44932.435243055559</v>
      </c>
      <c r="Q1008" s="209"/>
      <c r="R1008" s="209" t="s">
        <v>38</v>
      </c>
      <c r="S1008" s="209"/>
      <c r="T1008" s="209" t="s">
        <v>74</v>
      </c>
      <c r="U1008" s="213">
        <v>44932.75</v>
      </c>
      <c r="V1008" s="209" t="s">
        <v>41</v>
      </c>
      <c r="W1008" s="209" t="s">
        <v>49</v>
      </c>
      <c r="X1008" s="13" t="str">
        <f>IF(RIGHT(H1008,2)&lt;&gt;"00",H1008,"")</f>
        <v/>
      </c>
      <c r="Y1008" s="26">
        <f ca="1">NETWORKDAYS(P1008,$Y$1)</f>
        <v>39</v>
      </c>
      <c r="Z1008" s="34">
        <v>1</v>
      </c>
      <c r="AA1008" s="25" t="str">
        <f t="shared" ca="1" si="78"/>
        <v>A VENCER</v>
      </c>
      <c r="AB1008" s="25" t="str">
        <f t="shared" si="81"/>
        <v>Dosa</v>
      </c>
      <c r="AC1008" s="2" t="str">
        <f t="shared" si="80"/>
        <v xml:space="preserve"> ROSEMERE </v>
      </c>
      <c r="AD1008" s="26">
        <f t="shared" si="82"/>
        <v>5</v>
      </c>
      <c r="AE1008" s="26">
        <f t="shared" ca="1" si="79"/>
        <v>54.24102858795959</v>
      </c>
    </row>
    <row r="1009" spans="1:31" hidden="1">
      <c r="A1009" s="209">
        <v>9297329</v>
      </c>
      <c r="B1009" s="209" t="s">
        <v>101</v>
      </c>
      <c r="C1009" s="210" t="s">
        <v>1810</v>
      </c>
      <c r="D1009" s="214"/>
      <c r="E1009" s="214">
        <v>4623000206001</v>
      </c>
      <c r="F1009" s="209" t="s">
        <v>29</v>
      </c>
      <c r="G1009" s="209" t="s">
        <v>53</v>
      </c>
      <c r="H1009" s="209" t="s">
        <v>669</v>
      </c>
      <c r="I1009" s="209" t="s">
        <v>670</v>
      </c>
      <c r="J1009" s="209" t="s">
        <v>33</v>
      </c>
      <c r="K1009" s="210" t="s">
        <v>34</v>
      </c>
      <c r="L1009" s="210"/>
      <c r="M1009" s="209" t="s">
        <v>35</v>
      </c>
      <c r="N1009" s="209">
        <v>42318949</v>
      </c>
      <c r="O1009" s="209" t="s">
        <v>105</v>
      </c>
      <c r="P1009" s="213">
        <v>44932.435219907406</v>
      </c>
      <c r="Q1009" s="209"/>
      <c r="R1009" s="209" t="s">
        <v>38</v>
      </c>
      <c r="S1009" s="209"/>
      <c r="T1009" s="209" t="s">
        <v>74</v>
      </c>
      <c r="U1009" s="213">
        <v>44932.75</v>
      </c>
      <c r="V1009" s="209" t="s">
        <v>41</v>
      </c>
      <c r="W1009" s="209" t="s">
        <v>42</v>
      </c>
      <c r="X1009" s="13" t="str">
        <f>IF(RIGHT(H1009,2)&lt;&gt;"00",H1009,"")</f>
        <v/>
      </c>
      <c r="Y1009" s="26">
        <f ca="1">NETWORKDAYS(P1009,$Y$1)</f>
        <v>39</v>
      </c>
      <c r="Z1009" s="34">
        <v>1</v>
      </c>
      <c r="AA1009" s="25" t="str">
        <f t="shared" ca="1" si="78"/>
        <v>A VENCER</v>
      </c>
      <c r="AB1009" s="25" t="str">
        <f t="shared" si="81"/>
        <v>Dosa</v>
      </c>
      <c r="AC1009" s="2" t="str">
        <f t="shared" si="80"/>
        <v xml:space="preserve"> ROSEMERE </v>
      </c>
      <c r="AD1009" s="26">
        <f t="shared" si="82"/>
        <v>5</v>
      </c>
      <c r="AE1009" s="26">
        <f t="shared" ca="1" si="79"/>
        <v>54.24105173611315</v>
      </c>
    </row>
    <row r="1010" spans="1:31" hidden="1">
      <c r="A1010" s="209">
        <v>9297061</v>
      </c>
      <c r="B1010" s="209" t="s">
        <v>101</v>
      </c>
      <c r="C1010" s="210" t="s">
        <v>1810</v>
      </c>
      <c r="D1010" s="214"/>
      <c r="E1010" s="214">
        <v>4235000206001</v>
      </c>
      <c r="F1010" s="209" t="s">
        <v>29</v>
      </c>
      <c r="G1010" s="209" t="s">
        <v>53</v>
      </c>
      <c r="H1010" s="209" t="s">
        <v>291</v>
      </c>
      <c r="I1010" s="209" t="s">
        <v>292</v>
      </c>
      <c r="J1010" s="209" t="s">
        <v>46</v>
      </c>
      <c r="K1010" s="210" t="s">
        <v>34</v>
      </c>
      <c r="L1010" s="210"/>
      <c r="M1010" s="209" t="s">
        <v>35</v>
      </c>
      <c r="N1010" s="209">
        <v>42318949</v>
      </c>
      <c r="O1010" s="209" t="s">
        <v>105</v>
      </c>
      <c r="P1010" s="213">
        <v>44932.434629629628</v>
      </c>
      <c r="Q1010" s="209"/>
      <c r="R1010" s="209" t="s">
        <v>38</v>
      </c>
      <c r="S1010" s="209"/>
      <c r="T1010" s="209" t="s">
        <v>74</v>
      </c>
      <c r="U1010" s="213">
        <v>44932.75</v>
      </c>
      <c r="V1010" s="209" t="s">
        <v>41</v>
      </c>
      <c r="W1010" s="209" t="s">
        <v>49</v>
      </c>
      <c r="X1010" s="13" t="str">
        <f>IF(RIGHT(H1010,2)&lt;&gt;"00",H1010,"")</f>
        <v/>
      </c>
      <c r="Y1010" s="26">
        <f ca="1">NETWORKDAYS(P1010,$Y$1)</f>
        <v>39</v>
      </c>
      <c r="Z1010" s="34">
        <v>1</v>
      </c>
      <c r="AA1010" s="25" t="str">
        <f t="shared" ca="1" si="78"/>
        <v>A VENCER</v>
      </c>
      <c r="AB1010" s="25" t="str">
        <f t="shared" si="81"/>
        <v>Dosa</v>
      </c>
      <c r="AC1010" s="2" t="str">
        <f t="shared" si="80"/>
        <v xml:space="preserve"> CLEITON </v>
      </c>
      <c r="AD1010" s="26">
        <f t="shared" si="82"/>
        <v>5</v>
      </c>
      <c r="AE1010" s="26">
        <f t="shared" ca="1" si="79"/>
        <v>54.241642013890669</v>
      </c>
    </row>
    <row r="1011" spans="1:31" hidden="1">
      <c r="A1011" s="209">
        <v>9296970</v>
      </c>
      <c r="B1011" s="209" t="s">
        <v>101</v>
      </c>
      <c r="C1011" s="210" t="s">
        <v>1810</v>
      </c>
      <c r="D1011" s="214"/>
      <c r="E1011" s="214">
        <v>4118000206001</v>
      </c>
      <c r="F1011" s="209" t="s">
        <v>29</v>
      </c>
      <c r="G1011" s="209" t="s">
        <v>53</v>
      </c>
      <c r="H1011" s="209" t="s">
        <v>71</v>
      </c>
      <c r="I1011" s="209" t="s">
        <v>72</v>
      </c>
      <c r="J1011" s="209" t="s">
        <v>46</v>
      </c>
      <c r="K1011" s="210" t="s">
        <v>34</v>
      </c>
      <c r="L1011" s="210"/>
      <c r="M1011" s="209" t="s">
        <v>35</v>
      </c>
      <c r="N1011" s="209">
        <v>42318949</v>
      </c>
      <c r="O1011" s="209" t="s">
        <v>105</v>
      </c>
      <c r="P1011" s="213">
        <v>44932.434421296297</v>
      </c>
      <c r="Q1011" s="209"/>
      <c r="R1011" s="209" t="s">
        <v>38</v>
      </c>
      <c r="S1011" s="209"/>
      <c r="T1011" s="209" t="s">
        <v>74</v>
      </c>
      <c r="U1011" s="213">
        <v>44932.75</v>
      </c>
      <c r="V1011" s="209" t="s">
        <v>41</v>
      </c>
      <c r="W1011" s="209" t="s">
        <v>49</v>
      </c>
      <c r="X1011" s="13" t="str">
        <f>IF(RIGHT(H1011,2)&lt;&gt;"00",H1011,"")</f>
        <v/>
      </c>
      <c r="Y1011" s="26">
        <f ca="1">NETWORKDAYS(P1011,$Y$1)</f>
        <v>39</v>
      </c>
      <c r="Z1011" s="34">
        <v>1</v>
      </c>
      <c r="AA1011" s="25" t="str">
        <f t="shared" ca="1" si="78"/>
        <v>A VENCER</v>
      </c>
      <c r="AB1011" s="25" t="str">
        <f t="shared" si="81"/>
        <v>Dosa</v>
      </c>
      <c r="AC1011" s="2" t="str">
        <f t="shared" si="80"/>
        <v xml:space="preserve"> CLEITON </v>
      </c>
      <c r="AD1011" s="26">
        <f t="shared" si="82"/>
        <v>5</v>
      </c>
      <c r="AE1011" s="26">
        <f t="shared" ca="1" si="79"/>
        <v>54.241850347221771</v>
      </c>
    </row>
    <row r="1012" spans="1:31" hidden="1">
      <c r="A1012" s="209">
        <v>9296940</v>
      </c>
      <c r="B1012" s="209" t="s">
        <v>101</v>
      </c>
      <c r="C1012" s="210" t="s">
        <v>1810</v>
      </c>
      <c r="D1012" s="214"/>
      <c r="E1012" s="214">
        <v>4076000206001</v>
      </c>
      <c r="F1012" s="209" t="s">
        <v>29</v>
      </c>
      <c r="G1012" s="209" t="s">
        <v>53</v>
      </c>
      <c r="H1012" s="209" t="s">
        <v>426</v>
      </c>
      <c r="I1012" s="209" t="s">
        <v>427</v>
      </c>
      <c r="J1012" s="209" t="s">
        <v>79</v>
      </c>
      <c r="K1012" s="210" t="s">
        <v>34</v>
      </c>
      <c r="L1012" s="210"/>
      <c r="M1012" s="209" t="s">
        <v>35</v>
      </c>
      <c r="N1012" s="209">
        <v>42318949</v>
      </c>
      <c r="O1012" s="209" t="s">
        <v>105</v>
      </c>
      <c r="P1012" s="213">
        <v>44932.434317129628</v>
      </c>
      <c r="Q1012" s="209"/>
      <c r="R1012" s="209" t="s">
        <v>38</v>
      </c>
      <c r="S1012" s="209"/>
      <c r="T1012" s="209" t="s">
        <v>74</v>
      </c>
      <c r="U1012" s="213">
        <v>44932.75</v>
      </c>
      <c r="V1012" s="209" t="s">
        <v>41</v>
      </c>
      <c r="W1012" s="209" t="s">
        <v>49</v>
      </c>
      <c r="X1012" s="13" t="str">
        <f>IF(RIGHT(H1012,2)&lt;&gt;"00",H1012,"")</f>
        <v/>
      </c>
      <c r="Y1012" s="26">
        <f ca="1">NETWORKDAYS(P1012,$Y$1)</f>
        <v>39</v>
      </c>
      <c r="Z1012" s="34">
        <v>1</v>
      </c>
      <c r="AA1012" s="25" t="str">
        <f t="shared" ca="1" si="78"/>
        <v>A VENCER</v>
      </c>
      <c r="AB1012" s="25" t="str">
        <f t="shared" si="81"/>
        <v>Dosa</v>
      </c>
      <c r="AC1012" s="2" t="str">
        <f t="shared" si="80"/>
        <v xml:space="preserve"> ROSEMERE </v>
      </c>
      <c r="AD1012" s="26">
        <f t="shared" si="82"/>
        <v>5</v>
      </c>
      <c r="AE1012" s="26">
        <f t="shared" ca="1" si="79"/>
        <v>54.24195451389096</v>
      </c>
    </row>
    <row r="1013" spans="1:31" hidden="1">
      <c r="A1013" s="209">
        <v>9296891</v>
      </c>
      <c r="B1013" s="209" t="s">
        <v>101</v>
      </c>
      <c r="C1013" s="210" t="s">
        <v>1810</v>
      </c>
      <c r="D1013" s="214"/>
      <c r="E1013" s="214">
        <v>4012000206001</v>
      </c>
      <c r="F1013" s="209" t="s">
        <v>29</v>
      </c>
      <c r="G1013" s="209" t="s">
        <v>53</v>
      </c>
      <c r="H1013" s="209" t="s">
        <v>349</v>
      </c>
      <c r="I1013" s="209" t="s">
        <v>350</v>
      </c>
      <c r="J1013" s="209" t="s">
        <v>261</v>
      </c>
      <c r="K1013" s="210" t="s">
        <v>34</v>
      </c>
      <c r="L1013" s="210"/>
      <c r="M1013" s="209" t="s">
        <v>35</v>
      </c>
      <c r="N1013" s="209">
        <v>42318949</v>
      </c>
      <c r="O1013" s="209" t="s">
        <v>105</v>
      </c>
      <c r="P1013" s="213">
        <v>44932.434236111112</v>
      </c>
      <c r="Q1013" s="209"/>
      <c r="R1013" s="209" t="s">
        <v>38</v>
      </c>
      <c r="S1013" s="209"/>
      <c r="T1013" s="209" t="s">
        <v>74</v>
      </c>
      <c r="U1013" s="213">
        <v>44932.75</v>
      </c>
      <c r="V1013" s="209" t="s">
        <v>41</v>
      </c>
      <c r="W1013" s="209" t="s">
        <v>49</v>
      </c>
      <c r="X1013" s="13" t="str">
        <f>IF(RIGHT(H1013,2)&lt;&gt;"00",H1013,"")</f>
        <v/>
      </c>
      <c r="Y1013" s="26">
        <f ca="1">NETWORKDAYS(P1013,$Y$1)</f>
        <v>39</v>
      </c>
      <c r="Z1013" s="34">
        <v>1</v>
      </c>
      <c r="AA1013" s="25" t="str">
        <f t="shared" ca="1" si="78"/>
        <v>A VENCER</v>
      </c>
      <c r="AB1013" s="25" t="str">
        <f t="shared" si="81"/>
        <v>Dosa</v>
      </c>
      <c r="AC1013" s="2" t="str">
        <f t="shared" si="80"/>
        <v xml:space="preserve"> CRISTINA </v>
      </c>
      <c r="AD1013" s="26">
        <f t="shared" si="82"/>
        <v>5</v>
      </c>
      <c r="AE1013" s="26">
        <f t="shared" ca="1" si="79"/>
        <v>54.242035532406589</v>
      </c>
    </row>
    <row r="1014" spans="1:31" hidden="1">
      <c r="A1014" s="209">
        <v>9296815</v>
      </c>
      <c r="B1014" s="209" t="s">
        <v>101</v>
      </c>
      <c r="C1014" s="210" t="s">
        <v>1810</v>
      </c>
      <c r="D1014" s="214"/>
      <c r="E1014" s="214">
        <v>3924000206001</v>
      </c>
      <c r="F1014" s="209" t="s">
        <v>29</v>
      </c>
      <c r="G1014" s="209" t="s">
        <v>53</v>
      </c>
      <c r="H1014" s="209" t="s">
        <v>153</v>
      </c>
      <c r="I1014" s="209" t="s">
        <v>154</v>
      </c>
      <c r="J1014" s="209" t="s">
        <v>56</v>
      </c>
      <c r="K1014" s="210" t="s">
        <v>34</v>
      </c>
      <c r="L1014" s="210"/>
      <c r="M1014" s="209" t="s">
        <v>35</v>
      </c>
      <c r="N1014" s="209">
        <v>42318949</v>
      </c>
      <c r="O1014" s="209" t="s">
        <v>105</v>
      </c>
      <c r="P1014" s="213">
        <v>44932.434120370373</v>
      </c>
      <c r="Q1014" s="209"/>
      <c r="R1014" s="209" t="s">
        <v>38</v>
      </c>
      <c r="S1014" s="209"/>
      <c r="T1014" s="209" t="s">
        <v>74</v>
      </c>
      <c r="U1014" s="213">
        <v>44932.75</v>
      </c>
      <c r="V1014" s="209" t="s">
        <v>41</v>
      </c>
      <c r="W1014" s="209" t="s">
        <v>49</v>
      </c>
      <c r="X1014" s="13" t="str">
        <f>IF(RIGHT(H1014,2)&lt;&gt;"00",H1014,"")</f>
        <v/>
      </c>
      <c r="Y1014" s="26">
        <f ca="1">NETWORKDAYS(P1014,$Y$1)</f>
        <v>39</v>
      </c>
      <c r="Z1014" s="34">
        <v>1</v>
      </c>
      <c r="AA1014" s="25" t="str">
        <f t="shared" ca="1" si="78"/>
        <v>A VENCER</v>
      </c>
      <c r="AB1014" s="25" t="str">
        <f t="shared" si="81"/>
        <v>Dosa</v>
      </c>
      <c r="AC1014" s="2" t="str">
        <f t="shared" si="80"/>
        <v xml:space="preserve"> CRISTINA </v>
      </c>
      <c r="AD1014" s="26">
        <f t="shared" si="82"/>
        <v>5</v>
      </c>
      <c r="AE1014" s="26">
        <f t="shared" ca="1" si="79"/>
        <v>54.242151273145282</v>
      </c>
    </row>
    <row r="1015" spans="1:31" hidden="1">
      <c r="A1015" s="209">
        <v>9296722</v>
      </c>
      <c r="B1015" s="209" t="s">
        <v>101</v>
      </c>
      <c r="C1015" s="210" t="s">
        <v>1810</v>
      </c>
      <c r="D1015" s="214"/>
      <c r="E1015" s="214">
        <v>3802000206001</v>
      </c>
      <c r="F1015" s="209" t="s">
        <v>29</v>
      </c>
      <c r="G1015" s="209" t="s">
        <v>53</v>
      </c>
      <c r="H1015" s="209" t="s">
        <v>319</v>
      </c>
      <c r="I1015" s="209" t="s">
        <v>320</v>
      </c>
      <c r="J1015" s="209" t="s">
        <v>148</v>
      </c>
      <c r="K1015" s="210" t="s">
        <v>34</v>
      </c>
      <c r="L1015" s="210"/>
      <c r="M1015" s="209" t="s">
        <v>35</v>
      </c>
      <c r="N1015" s="209">
        <v>42318949</v>
      </c>
      <c r="O1015" s="209" t="s">
        <v>105</v>
      </c>
      <c r="P1015" s="213">
        <v>44932.433958333335</v>
      </c>
      <c r="Q1015" s="209"/>
      <c r="R1015" s="209" t="s">
        <v>38</v>
      </c>
      <c r="S1015" s="209"/>
      <c r="T1015" s="209" t="s">
        <v>74</v>
      </c>
      <c r="U1015" s="213">
        <v>44932.75</v>
      </c>
      <c r="V1015" s="209" t="s">
        <v>41</v>
      </c>
      <c r="W1015" s="209" t="s">
        <v>49</v>
      </c>
      <c r="X1015" s="13" t="str">
        <f>IF(RIGHT(H1015,2)&lt;&gt;"00",H1015,"")</f>
        <v/>
      </c>
      <c r="Y1015" s="26">
        <f ca="1">NETWORKDAYS(P1015,$Y$1)</f>
        <v>39</v>
      </c>
      <c r="Z1015" s="34">
        <v>1</v>
      </c>
      <c r="AA1015" s="25" t="str">
        <f t="shared" ca="1" si="78"/>
        <v>A VENCER</v>
      </c>
      <c r="AB1015" s="25" t="str">
        <f t="shared" si="81"/>
        <v>Dosa</v>
      </c>
      <c r="AC1015" s="2" t="str">
        <f t="shared" si="80"/>
        <v xml:space="preserve"> RINALDO </v>
      </c>
      <c r="AD1015" s="26">
        <f t="shared" si="82"/>
        <v>5</v>
      </c>
      <c r="AE1015" s="26">
        <f t="shared" ca="1" si="79"/>
        <v>54.242313310183818</v>
      </c>
    </row>
    <row r="1016" spans="1:31" hidden="1">
      <c r="A1016" s="209">
        <v>9296577</v>
      </c>
      <c r="B1016" s="209" t="s">
        <v>101</v>
      </c>
      <c r="C1016" s="210" t="s">
        <v>1810</v>
      </c>
      <c r="D1016" s="214"/>
      <c r="E1016" s="214">
        <v>3613200206001</v>
      </c>
      <c r="F1016" s="209" t="s">
        <v>29</v>
      </c>
      <c r="G1016" s="209" t="s">
        <v>53</v>
      </c>
      <c r="H1016" s="209" t="s">
        <v>496</v>
      </c>
      <c r="I1016" s="209" t="s">
        <v>198</v>
      </c>
      <c r="J1016" s="209" t="s">
        <v>46</v>
      </c>
      <c r="K1016" s="210" t="s">
        <v>34</v>
      </c>
      <c r="L1016" s="210"/>
      <c r="M1016" s="209" t="s">
        <v>35</v>
      </c>
      <c r="N1016" s="209">
        <v>42318949</v>
      </c>
      <c r="O1016" s="209" t="s">
        <v>105</v>
      </c>
      <c r="P1016" s="213">
        <v>44932.433738425927</v>
      </c>
      <c r="Q1016" s="209"/>
      <c r="R1016" s="209" t="s">
        <v>38</v>
      </c>
      <c r="S1016" s="209"/>
      <c r="T1016" s="209" t="s">
        <v>74</v>
      </c>
      <c r="U1016" s="213">
        <v>44932.75</v>
      </c>
      <c r="V1016" s="209" t="s">
        <v>41</v>
      </c>
      <c r="W1016" s="209" t="s">
        <v>49</v>
      </c>
      <c r="X1016" s="13" t="str">
        <f>IF(RIGHT(H1016,2)&lt;&gt;"00",H1016,"")</f>
        <v>3613.20</v>
      </c>
      <c r="Y1016" s="26">
        <f ca="1">NETWORKDAYS(P1016,$Y$1)</f>
        <v>39</v>
      </c>
      <c r="Z1016" s="34">
        <v>1</v>
      </c>
      <c r="AA1016" s="25" t="str">
        <f t="shared" ca="1" si="78"/>
        <v>A VENCER</v>
      </c>
      <c r="AB1016" s="25" t="str">
        <f t="shared" si="81"/>
        <v>Dosa</v>
      </c>
      <c r="AC1016" s="2" t="str">
        <f t="shared" si="80"/>
        <v xml:space="preserve"> CLEITON </v>
      </c>
      <c r="AD1016" s="26">
        <f t="shared" si="82"/>
        <v>5</v>
      </c>
      <c r="AE1016" s="26">
        <f t="shared" ca="1" si="79"/>
        <v>54.242533217591699</v>
      </c>
    </row>
    <row r="1017" spans="1:31" hidden="1">
      <c r="A1017" s="209">
        <v>9296500</v>
      </c>
      <c r="B1017" s="209" t="s">
        <v>101</v>
      </c>
      <c r="C1017" s="210" t="s">
        <v>1810</v>
      </c>
      <c r="D1017" s="214"/>
      <c r="E1017" s="214">
        <v>3504000206001</v>
      </c>
      <c r="F1017" s="209" t="s">
        <v>29</v>
      </c>
      <c r="G1017" s="209" t="s">
        <v>53</v>
      </c>
      <c r="H1017" s="209" t="s">
        <v>585</v>
      </c>
      <c r="I1017" s="209" t="s">
        <v>586</v>
      </c>
      <c r="J1017" s="209" t="s">
        <v>46</v>
      </c>
      <c r="K1017" s="210" t="s">
        <v>34</v>
      </c>
      <c r="L1017" s="210"/>
      <c r="M1017" s="209" t="s">
        <v>35</v>
      </c>
      <c r="N1017" s="209">
        <v>42318949</v>
      </c>
      <c r="O1017" s="209" t="s">
        <v>105</v>
      </c>
      <c r="P1017" s="213">
        <v>44932.433541666665</v>
      </c>
      <c r="Q1017" s="209"/>
      <c r="R1017" s="209" t="s">
        <v>38</v>
      </c>
      <c r="S1017" s="209"/>
      <c r="T1017" s="209" t="s">
        <v>74</v>
      </c>
      <c r="U1017" s="213">
        <v>44932.75</v>
      </c>
      <c r="V1017" s="209" t="s">
        <v>41</v>
      </c>
      <c r="W1017" s="209" t="s">
        <v>49</v>
      </c>
      <c r="X1017" s="13" t="str">
        <f>IF(RIGHT(H1017,2)&lt;&gt;"00",H1017,"")</f>
        <v/>
      </c>
      <c r="Y1017" s="26">
        <f ca="1">NETWORKDAYS(P1017,$Y$1)</f>
        <v>39</v>
      </c>
      <c r="Z1017" s="34">
        <v>1</v>
      </c>
      <c r="AA1017" s="25" t="str">
        <f t="shared" ca="1" si="78"/>
        <v>A VENCER</v>
      </c>
      <c r="AB1017" s="25" t="str">
        <f t="shared" si="81"/>
        <v>Dosa</v>
      </c>
      <c r="AC1017" s="2" t="str">
        <f t="shared" si="80"/>
        <v xml:space="preserve"> CLEITON </v>
      </c>
      <c r="AD1017" s="26">
        <f t="shared" si="82"/>
        <v>5</v>
      </c>
      <c r="AE1017" s="26">
        <f t="shared" ca="1" si="79"/>
        <v>54.242729976853298</v>
      </c>
    </row>
    <row r="1018" spans="1:31" hidden="1">
      <c r="A1018" s="209">
        <v>9296499</v>
      </c>
      <c r="B1018" s="209" t="s">
        <v>101</v>
      </c>
      <c r="C1018" s="210" t="s">
        <v>1810</v>
      </c>
      <c r="D1018" s="214"/>
      <c r="E1018" s="214">
        <v>3503000206001</v>
      </c>
      <c r="F1018" s="209" t="s">
        <v>29</v>
      </c>
      <c r="G1018" s="209" t="s">
        <v>53</v>
      </c>
      <c r="H1018" s="209" t="s">
        <v>398</v>
      </c>
      <c r="I1018" s="209" t="s">
        <v>399</v>
      </c>
      <c r="J1018" s="209" t="s">
        <v>46</v>
      </c>
      <c r="K1018" s="210" t="s">
        <v>34</v>
      </c>
      <c r="L1018" s="210"/>
      <c r="M1018" s="209" t="s">
        <v>35</v>
      </c>
      <c r="N1018" s="209">
        <v>42318949</v>
      </c>
      <c r="O1018" s="209" t="s">
        <v>105</v>
      </c>
      <c r="P1018" s="213">
        <v>44932.433541666665</v>
      </c>
      <c r="Q1018" s="209"/>
      <c r="R1018" s="209" t="s">
        <v>38</v>
      </c>
      <c r="S1018" s="209"/>
      <c r="T1018" s="209" t="s">
        <v>74</v>
      </c>
      <c r="U1018" s="213">
        <v>44932.75</v>
      </c>
      <c r="V1018" s="209" t="s">
        <v>41</v>
      </c>
      <c r="W1018" s="209" t="s">
        <v>49</v>
      </c>
      <c r="X1018" s="13" t="str">
        <f>IF(RIGHT(H1018,2)&lt;&gt;"00",H1018,"")</f>
        <v/>
      </c>
      <c r="Y1018" s="26">
        <f ca="1">NETWORKDAYS(P1018,$Y$1)</f>
        <v>39</v>
      </c>
      <c r="Z1018" s="34">
        <v>1</v>
      </c>
      <c r="AA1018" s="25" t="str">
        <f t="shared" ca="1" si="78"/>
        <v>A VENCER</v>
      </c>
      <c r="AB1018" s="25" t="str">
        <f t="shared" si="81"/>
        <v>Dosa</v>
      </c>
      <c r="AC1018" s="2" t="str">
        <f t="shared" si="80"/>
        <v xml:space="preserve"> CLEITON </v>
      </c>
      <c r="AD1018" s="26">
        <f t="shared" si="82"/>
        <v>5</v>
      </c>
      <c r="AE1018" s="26">
        <f t="shared" ca="1" si="79"/>
        <v>54.242729976853298</v>
      </c>
    </row>
    <row r="1019" spans="1:31" hidden="1">
      <c r="A1019" s="209">
        <v>9296322</v>
      </c>
      <c r="B1019" s="209" t="s">
        <v>101</v>
      </c>
      <c r="C1019" s="210" t="s">
        <v>1810</v>
      </c>
      <c r="D1019" s="214"/>
      <c r="E1019" s="214">
        <v>3258000206001</v>
      </c>
      <c r="F1019" s="209" t="s">
        <v>29</v>
      </c>
      <c r="G1019" s="209" t="s">
        <v>53</v>
      </c>
      <c r="H1019" s="209" t="s">
        <v>321</v>
      </c>
      <c r="I1019" s="209" t="s">
        <v>322</v>
      </c>
      <c r="J1019" s="209" t="s">
        <v>46</v>
      </c>
      <c r="K1019" s="210" t="s">
        <v>34</v>
      </c>
      <c r="L1019" s="210"/>
      <c r="M1019" s="209" t="s">
        <v>35</v>
      </c>
      <c r="N1019" s="209">
        <v>42318949</v>
      </c>
      <c r="O1019" s="209" t="s">
        <v>105</v>
      </c>
      <c r="P1019" s="213">
        <v>44932.433171296296</v>
      </c>
      <c r="Q1019" s="209"/>
      <c r="R1019" s="209" t="s">
        <v>38</v>
      </c>
      <c r="S1019" s="209"/>
      <c r="T1019" s="209" t="s">
        <v>74</v>
      </c>
      <c r="U1019" s="213">
        <v>44932.75</v>
      </c>
      <c r="V1019" s="209" t="s">
        <v>41</v>
      </c>
      <c r="W1019" s="209" t="s">
        <v>49</v>
      </c>
      <c r="X1019" s="13" t="str">
        <f>IF(RIGHT(H1019,2)&lt;&gt;"00",H1019,"")</f>
        <v/>
      </c>
      <c r="Y1019" s="26">
        <f ca="1">NETWORKDAYS(P1019,$Y$1)</f>
        <v>39</v>
      </c>
      <c r="Z1019" s="34">
        <v>1</v>
      </c>
      <c r="AA1019" s="25" t="str">
        <f t="shared" ca="1" si="78"/>
        <v>A VENCER</v>
      </c>
      <c r="AB1019" s="25" t="str">
        <f t="shared" si="81"/>
        <v>Dosa</v>
      </c>
      <c r="AC1019" s="2" t="str">
        <f t="shared" si="80"/>
        <v xml:space="preserve"> CLEITON </v>
      </c>
      <c r="AD1019" s="26">
        <f t="shared" si="82"/>
        <v>5</v>
      </c>
      <c r="AE1019" s="26">
        <f t="shared" ca="1" si="79"/>
        <v>54.243100347222935</v>
      </c>
    </row>
    <row r="1020" spans="1:31" hidden="1">
      <c r="A1020" s="209">
        <v>9296314</v>
      </c>
      <c r="B1020" s="209" t="s">
        <v>101</v>
      </c>
      <c r="C1020" s="210" t="s">
        <v>1810</v>
      </c>
      <c r="D1020" s="214"/>
      <c r="E1020" s="214">
        <v>3250000206001</v>
      </c>
      <c r="F1020" s="209" t="s">
        <v>29</v>
      </c>
      <c r="G1020" s="209" t="s">
        <v>53</v>
      </c>
      <c r="H1020" s="209" t="s">
        <v>371</v>
      </c>
      <c r="I1020" s="209" t="s">
        <v>372</v>
      </c>
      <c r="J1020" s="209" t="s">
        <v>46</v>
      </c>
      <c r="K1020" s="210" t="s">
        <v>34</v>
      </c>
      <c r="L1020" s="210"/>
      <c r="M1020" s="209" t="s">
        <v>35</v>
      </c>
      <c r="N1020" s="209">
        <v>42318949</v>
      </c>
      <c r="O1020" s="209" t="s">
        <v>105</v>
      </c>
      <c r="P1020" s="213">
        <v>44932.433159722219</v>
      </c>
      <c r="Q1020" s="209"/>
      <c r="R1020" s="209" t="s">
        <v>38</v>
      </c>
      <c r="S1020" s="209"/>
      <c r="T1020" s="209" t="s">
        <v>74</v>
      </c>
      <c r="U1020" s="213">
        <v>44932.75</v>
      </c>
      <c r="V1020" s="209" t="s">
        <v>41</v>
      </c>
      <c r="W1020" s="209" t="s">
        <v>49</v>
      </c>
      <c r="X1020" s="13" t="str">
        <f>IF(RIGHT(H1020,2)&lt;&gt;"00",H1020,"")</f>
        <v/>
      </c>
      <c r="Y1020" s="26">
        <f ca="1">NETWORKDAYS(P1020,$Y$1)</f>
        <v>39</v>
      </c>
      <c r="Z1020" s="34">
        <v>1</v>
      </c>
      <c r="AA1020" s="25" t="str">
        <f t="shared" ca="1" si="78"/>
        <v>A VENCER</v>
      </c>
      <c r="AB1020" s="25" t="str">
        <f t="shared" si="81"/>
        <v>Dosa</v>
      </c>
      <c r="AC1020" s="2" t="str">
        <f t="shared" si="80"/>
        <v xml:space="preserve"> CLEITON </v>
      </c>
      <c r="AD1020" s="26">
        <f t="shared" si="82"/>
        <v>5</v>
      </c>
      <c r="AE1020" s="26">
        <f t="shared" ca="1" si="79"/>
        <v>54.243111921299715</v>
      </c>
    </row>
    <row r="1021" spans="1:31" hidden="1">
      <c r="A1021" s="209">
        <v>9296309</v>
      </c>
      <c r="B1021" s="209" t="s">
        <v>101</v>
      </c>
      <c r="C1021" s="210" t="s">
        <v>1810</v>
      </c>
      <c r="D1021" s="214"/>
      <c r="E1021" s="214">
        <v>3243000206001</v>
      </c>
      <c r="F1021" s="209" t="s">
        <v>29</v>
      </c>
      <c r="G1021" s="209" t="s">
        <v>53</v>
      </c>
      <c r="H1021" s="209" t="s">
        <v>282</v>
      </c>
      <c r="I1021" s="209" t="s">
        <v>283</v>
      </c>
      <c r="J1021" s="209" t="s">
        <v>46</v>
      </c>
      <c r="K1021" s="210" t="s">
        <v>34</v>
      </c>
      <c r="L1021" s="210"/>
      <c r="M1021" s="209" t="s">
        <v>35</v>
      </c>
      <c r="N1021" s="209">
        <v>42318949</v>
      </c>
      <c r="O1021" s="209" t="s">
        <v>105</v>
      </c>
      <c r="P1021" s="213">
        <v>44932.433159722219</v>
      </c>
      <c r="Q1021" s="209"/>
      <c r="R1021" s="209" t="s">
        <v>38</v>
      </c>
      <c r="S1021" s="209"/>
      <c r="T1021" s="209" t="s">
        <v>74</v>
      </c>
      <c r="U1021" s="213">
        <v>44932.75</v>
      </c>
      <c r="V1021" s="209" t="s">
        <v>41</v>
      </c>
      <c r="W1021" s="209" t="s">
        <v>49</v>
      </c>
      <c r="X1021" s="13" t="str">
        <f>IF(RIGHT(H1021,2)&lt;&gt;"00",H1021,"")</f>
        <v/>
      </c>
      <c r="Y1021" s="26">
        <f ca="1">NETWORKDAYS(P1021,$Y$1)</f>
        <v>39</v>
      </c>
      <c r="Z1021" s="34">
        <v>1</v>
      </c>
      <c r="AA1021" s="25" t="str">
        <f t="shared" ca="1" si="78"/>
        <v>A VENCER</v>
      </c>
      <c r="AB1021" s="25" t="str">
        <f t="shared" si="81"/>
        <v>Dosa</v>
      </c>
      <c r="AC1021" s="2" t="str">
        <f t="shared" si="80"/>
        <v xml:space="preserve"> CLEITON </v>
      </c>
      <c r="AD1021" s="26">
        <f t="shared" si="82"/>
        <v>5</v>
      </c>
      <c r="AE1021" s="26">
        <f t="shared" ca="1" si="79"/>
        <v>54.243111921299715</v>
      </c>
    </row>
    <row r="1022" spans="1:31" hidden="1">
      <c r="A1022" s="209">
        <v>9296308</v>
      </c>
      <c r="B1022" s="209" t="s">
        <v>101</v>
      </c>
      <c r="C1022" s="210" t="s">
        <v>1810</v>
      </c>
      <c r="D1022" s="214"/>
      <c r="E1022" s="214">
        <v>3242000206001</v>
      </c>
      <c r="F1022" s="209" t="s">
        <v>29</v>
      </c>
      <c r="G1022" s="209" t="s">
        <v>53</v>
      </c>
      <c r="H1022" s="209" t="s">
        <v>461</v>
      </c>
      <c r="I1022" s="209" t="s">
        <v>462</v>
      </c>
      <c r="J1022" s="209" t="s">
        <v>46</v>
      </c>
      <c r="K1022" s="210" t="s">
        <v>34</v>
      </c>
      <c r="L1022" s="210"/>
      <c r="M1022" s="209" t="s">
        <v>35</v>
      </c>
      <c r="N1022" s="209">
        <v>42318949</v>
      </c>
      <c r="O1022" s="209" t="s">
        <v>105</v>
      </c>
      <c r="P1022" s="213">
        <v>44932.433148148149</v>
      </c>
      <c r="Q1022" s="209"/>
      <c r="R1022" s="209" t="s">
        <v>38</v>
      </c>
      <c r="S1022" s="209"/>
      <c r="T1022" s="209" t="s">
        <v>74</v>
      </c>
      <c r="U1022" s="213">
        <v>44932.75</v>
      </c>
      <c r="V1022" s="209" t="s">
        <v>41</v>
      </c>
      <c r="W1022" s="209" t="s">
        <v>49</v>
      </c>
      <c r="X1022" s="13" t="str">
        <f>IF(RIGHT(H1022,2)&lt;&gt;"00",H1022,"")</f>
        <v/>
      </c>
      <c r="Y1022" s="26">
        <f ca="1">NETWORKDAYS(P1022,$Y$1)</f>
        <v>39</v>
      </c>
      <c r="Z1022" s="34">
        <v>1</v>
      </c>
      <c r="AA1022" s="25" t="str">
        <f t="shared" ca="1" si="78"/>
        <v>A VENCER</v>
      </c>
      <c r="AB1022" s="25" t="str">
        <f t="shared" si="81"/>
        <v>Dosa</v>
      </c>
      <c r="AC1022" s="2" t="str">
        <f t="shared" si="80"/>
        <v xml:space="preserve"> CLEITON </v>
      </c>
      <c r="AD1022" s="26">
        <f t="shared" si="82"/>
        <v>5</v>
      </c>
      <c r="AE1022" s="26">
        <f t="shared" ca="1" si="79"/>
        <v>54.243123495369218</v>
      </c>
    </row>
    <row r="1023" spans="1:31" hidden="1">
      <c r="A1023" s="209">
        <v>9296305</v>
      </c>
      <c r="B1023" s="209" t="s">
        <v>101</v>
      </c>
      <c r="C1023" s="210" t="s">
        <v>1810</v>
      </c>
      <c r="D1023" s="214"/>
      <c r="E1023" s="214">
        <v>3237000206001</v>
      </c>
      <c r="F1023" s="209" t="s">
        <v>29</v>
      </c>
      <c r="G1023" s="209" t="s">
        <v>53</v>
      </c>
      <c r="H1023" s="209" t="s">
        <v>287</v>
      </c>
      <c r="I1023" s="209" t="s">
        <v>288</v>
      </c>
      <c r="J1023" s="209" t="s">
        <v>46</v>
      </c>
      <c r="K1023" s="210" t="s">
        <v>34</v>
      </c>
      <c r="L1023" s="210"/>
      <c r="M1023" s="209" t="s">
        <v>35</v>
      </c>
      <c r="N1023" s="209">
        <v>42318949</v>
      </c>
      <c r="O1023" s="209" t="s">
        <v>105</v>
      </c>
      <c r="P1023" s="213">
        <v>44932.433148148149</v>
      </c>
      <c r="Q1023" s="209"/>
      <c r="R1023" s="209" t="s">
        <v>38</v>
      </c>
      <c r="S1023" s="209"/>
      <c r="T1023" s="209" t="s">
        <v>74</v>
      </c>
      <c r="U1023" s="213">
        <v>44932.75</v>
      </c>
      <c r="V1023" s="209" t="s">
        <v>41</v>
      </c>
      <c r="W1023" s="209" t="s">
        <v>49</v>
      </c>
      <c r="X1023" s="13" t="str">
        <f>IF(RIGHT(H1023,2)&lt;&gt;"00",H1023,"")</f>
        <v/>
      </c>
      <c r="Y1023" s="26">
        <f ca="1">NETWORKDAYS(P1023,$Y$1)</f>
        <v>39</v>
      </c>
      <c r="Z1023" s="34">
        <v>1</v>
      </c>
      <c r="AA1023" s="25" t="str">
        <f t="shared" ca="1" si="78"/>
        <v>A VENCER</v>
      </c>
      <c r="AB1023" s="25" t="str">
        <f t="shared" si="81"/>
        <v>Dosa</v>
      </c>
      <c r="AC1023" s="2" t="str">
        <f t="shared" si="80"/>
        <v xml:space="preserve"> CLEITON </v>
      </c>
      <c r="AD1023" s="26">
        <f t="shared" si="82"/>
        <v>5</v>
      </c>
      <c r="AE1023" s="26">
        <f t="shared" ca="1" si="79"/>
        <v>54.243123495369218</v>
      </c>
    </row>
    <row r="1024" spans="1:31" hidden="1">
      <c r="A1024" s="209">
        <v>9296304</v>
      </c>
      <c r="B1024" s="209" t="s">
        <v>101</v>
      </c>
      <c r="C1024" s="210" t="s">
        <v>1810</v>
      </c>
      <c r="D1024" s="214"/>
      <c r="E1024" s="214">
        <v>3234000206001</v>
      </c>
      <c r="F1024" s="209" t="s">
        <v>29</v>
      </c>
      <c r="G1024" s="209" t="s">
        <v>53</v>
      </c>
      <c r="H1024" s="209" t="s">
        <v>1830</v>
      </c>
      <c r="I1024" s="209" t="s">
        <v>1831</v>
      </c>
      <c r="J1024" s="209" t="s">
        <v>46</v>
      </c>
      <c r="K1024" s="210" t="s">
        <v>34</v>
      </c>
      <c r="L1024" s="210"/>
      <c r="M1024" s="209" t="s">
        <v>35</v>
      </c>
      <c r="N1024" s="209">
        <v>42318949</v>
      </c>
      <c r="O1024" s="209" t="s">
        <v>105</v>
      </c>
      <c r="P1024" s="213">
        <v>44932.433148148149</v>
      </c>
      <c r="Q1024" s="209"/>
      <c r="R1024" s="209" t="s">
        <v>38</v>
      </c>
      <c r="S1024" s="209"/>
      <c r="T1024" s="209" t="s">
        <v>74</v>
      </c>
      <c r="U1024" s="213">
        <v>44932.75</v>
      </c>
      <c r="V1024" s="209" t="s">
        <v>41</v>
      </c>
      <c r="W1024" s="209" t="s">
        <v>49</v>
      </c>
      <c r="X1024" s="13" t="str">
        <f>IF(RIGHT(H1024,2)&lt;&gt;"00",H1024,"")</f>
        <v/>
      </c>
      <c r="Y1024" s="26">
        <f ca="1">NETWORKDAYS(P1024,$Y$1)</f>
        <v>39</v>
      </c>
      <c r="Z1024" s="34">
        <v>1</v>
      </c>
      <c r="AA1024" s="25" t="str">
        <f t="shared" ca="1" si="78"/>
        <v>A VENCER</v>
      </c>
      <c r="AB1024" s="25" t="str">
        <f t="shared" si="81"/>
        <v>Dosa</v>
      </c>
      <c r="AC1024" s="2" t="str">
        <f t="shared" si="80"/>
        <v xml:space="preserve"> CLEITON </v>
      </c>
      <c r="AD1024" s="26">
        <f t="shared" si="82"/>
        <v>5</v>
      </c>
      <c r="AE1024" s="26">
        <f t="shared" ca="1" si="79"/>
        <v>54.243123495369218</v>
      </c>
    </row>
    <row r="1025" spans="1:31" hidden="1">
      <c r="A1025" s="209">
        <v>9296208</v>
      </c>
      <c r="B1025" s="209" t="s">
        <v>101</v>
      </c>
      <c r="C1025" s="210" t="s">
        <v>1810</v>
      </c>
      <c r="D1025" s="214"/>
      <c r="E1025" s="214">
        <v>3108010206001</v>
      </c>
      <c r="F1025" s="209" t="s">
        <v>29</v>
      </c>
      <c r="G1025" s="209" t="s">
        <v>53</v>
      </c>
      <c r="H1025" s="209" t="s">
        <v>503</v>
      </c>
      <c r="I1025" s="209" t="s">
        <v>504</v>
      </c>
      <c r="J1025" s="209" t="s">
        <v>46</v>
      </c>
      <c r="K1025" s="210" t="s">
        <v>34</v>
      </c>
      <c r="L1025" s="210"/>
      <c r="M1025" s="209" t="s">
        <v>35</v>
      </c>
      <c r="N1025" s="209">
        <v>42318949</v>
      </c>
      <c r="O1025" s="209" t="s">
        <v>105</v>
      </c>
      <c r="P1025" s="213">
        <v>44932.432997685188</v>
      </c>
      <c r="Q1025" s="209"/>
      <c r="R1025" s="209" t="s">
        <v>38</v>
      </c>
      <c r="S1025" s="209"/>
      <c r="T1025" s="209" t="s">
        <v>74</v>
      </c>
      <c r="U1025" s="213">
        <v>44932.75</v>
      </c>
      <c r="V1025" s="209" t="s">
        <v>41</v>
      </c>
      <c r="W1025" s="209" t="s">
        <v>49</v>
      </c>
      <c r="X1025" s="13" t="str">
        <f>IF(RIGHT(H1025,2)&lt;&gt;"00",H1025,"")</f>
        <v>3108.01</v>
      </c>
      <c r="Y1025" s="26">
        <f ca="1">NETWORKDAYS(P1025,$Y$1)</f>
        <v>39</v>
      </c>
      <c r="Z1025" s="34">
        <v>1</v>
      </c>
      <c r="AA1025" s="25" t="str">
        <f t="shared" ca="1" si="78"/>
        <v>A VENCER</v>
      </c>
      <c r="AB1025" s="25" t="str">
        <f t="shared" si="81"/>
        <v>Dosa</v>
      </c>
      <c r="AC1025" s="2" t="str">
        <f t="shared" si="80"/>
        <v xml:space="preserve"> CLEITON </v>
      </c>
      <c r="AD1025" s="26">
        <f t="shared" si="82"/>
        <v>5</v>
      </c>
      <c r="AE1025" s="26">
        <f t="shared" ca="1" si="79"/>
        <v>54.243273958330974</v>
      </c>
    </row>
    <row r="1026" spans="1:31" hidden="1">
      <c r="A1026" s="209">
        <v>9296118</v>
      </c>
      <c r="B1026" s="209" t="s">
        <v>101</v>
      </c>
      <c r="C1026" s="210" t="s">
        <v>1810</v>
      </c>
      <c r="D1026" s="214"/>
      <c r="E1026" s="214">
        <v>2988000206001</v>
      </c>
      <c r="F1026" s="209" t="s">
        <v>29</v>
      </c>
      <c r="G1026" s="209" t="s">
        <v>53</v>
      </c>
      <c r="H1026" s="209" t="s">
        <v>536</v>
      </c>
      <c r="I1026" s="209" t="s">
        <v>537</v>
      </c>
      <c r="J1026" s="209" t="s">
        <v>46</v>
      </c>
      <c r="K1026" s="210" t="s">
        <v>34</v>
      </c>
      <c r="L1026" s="210"/>
      <c r="M1026" s="209" t="s">
        <v>35</v>
      </c>
      <c r="N1026" s="209">
        <v>42318949</v>
      </c>
      <c r="O1026" s="209" t="s">
        <v>105</v>
      </c>
      <c r="P1026" s="213">
        <v>44932.432847222219</v>
      </c>
      <c r="Q1026" s="209"/>
      <c r="R1026" s="209" t="s">
        <v>38</v>
      </c>
      <c r="S1026" s="209"/>
      <c r="T1026" s="209" t="s">
        <v>74</v>
      </c>
      <c r="U1026" s="213">
        <v>44932.75</v>
      </c>
      <c r="V1026" s="209" t="s">
        <v>41</v>
      </c>
      <c r="W1026" s="209" t="s">
        <v>49</v>
      </c>
      <c r="X1026" s="13" t="str">
        <f>IF(RIGHT(H1026,2)&lt;&gt;"00",H1026,"")</f>
        <v/>
      </c>
      <c r="Y1026" s="26">
        <f ca="1">NETWORKDAYS(P1026,$Y$1)</f>
        <v>39</v>
      </c>
      <c r="Z1026" s="34">
        <v>1</v>
      </c>
      <c r="AA1026" s="25" t="str">
        <f t="shared" ref="AA1026:AA1089" ca="1" si="83">IF(AE1026=0,"HOJE",IF(AE1026&gt;0,"A VENCER",IF(AE1026&lt;0,"VENCIDO")))</f>
        <v>A VENCER</v>
      </c>
      <c r="AB1026" s="25" t="str">
        <f t="shared" si="81"/>
        <v>Dosa</v>
      </c>
      <c r="AC1026" s="2" t="str">
        <f t="shared" si="80"/>
        <v xml:space="preserve"> CLEITON </v>
      </c>
      <c r="AD1026" s="26">
        <f t="shared" si="82"/>
        <v>5</v>
      </c>
      <c r="AE1026" s="26">
        <f t="shared" ref="AE1026:AE1089" ca="1" si="84">IF(P1026=$AE$1,"",$AE$1-P1026)</f>
        <v>54.243424421300006</v>
      </c>
    </row>
    <row r="1027" spans="1:31" hidden="1">
      <c r="A1027" s="209">
        <v>9296006</v>
      </c>
      <c r="B1027" s="209" t="s">
        <v>101</v>
      </c>
      <c r="C1027" s="210" t="s">
        <v>1810</v>
      </c>
      <c r="D1027" s="214"/>
      <c r="E1027" s="214">
        <v>2855000206001</v>
      </c>
      <c r="F1027" s="209" t="s">
        <v>29</v>
      </c>
      <c r="G1027" s="209" t="s">
        <v>53</v>
      </c>
      <c r="H1027" s="209" t="s">
        <v>249</v>
      </c>
      <c r="I1027" s="209" t="s">
        <v>250</v>
      </c>
      <c r="J1027" s="209" t="s">
        <v>56</v>
      </c>
      <c r="K1027" s="210" t="s">
        <v>34</v>
      </c>
      <c r="L1027" s="210"/>
      <c r="M1027" s="209" t="s">
        <v>35</v>
      </c>
      <c r="N1027" s="209">
        <v>42318949</v>
      </c>
      <c r="O1027" s="209" t="s">
        <v>105</v>
      </c>
      <c r="P1027" s="213">
        <v>44932.432662037034</v>
      </c>
      <c r="Q1027" s="209"/>
      <c r="R1027" s="209" t="s">
        <v>38</v>
      </c>
      <c r="S1027" s="209"/>
      <c r="T1027" s="209" t="s">
        <v>74</v>
      </c>
      <c r="U1027" s="213">
        <v>44932.75</v>
      </c>
      <c r="V1027" s="209" t="s">
        <v>41</v>
      </c>
      <c r="W1027" s="209" t="s">
        <v>49</v>
      </c>
      <c r="X1027" s="13" t="str">
        <f>IF(RIGHT(H1027,2)&lt;&gt;"00",H1027,"")</f>
        <v/>
      </c>
      <c r="Y1027" s="26">
        <f ca="1">NETWORKDAYS(P1027,$Y$1)</f>
        <v>39</v>
      </c>
      <c r="Z1027" s="34">
        <v>1</v>
      </c>
      <c r="AA1027" s="25" t="str">
        <f t="shared" ca="1" si="83"/>
        <v>A VENCER</v>
      </c>
      <c r="AB1027" s="25" t="str">
        <f t="shared" si="81"/>
        <v>Dosa</v>
      </c>
      <c r="AC1027" s="2" t="str">
        <f t="shared" ref="AC1027:AC1090" si="85">IF(J1027="TR-PETROLINA"," ROSEMERE ",IF(J1027="TR-GARANHUNS"," ROSEMERE ",IF(J1027="TR-CARUARU"," ROSEMERE ",IF(J1027="TR-RIBEIRAO"," CRISTINA ",IF(J1027="TR-GRAVATA"," CRISTINA ",IF(J1027="TR-GOIANA"," CRISTINA ",IF(J1027="TR-LIMOEIRO"," CRISTINA ",IF(J1027="TR-SERRA TALHADA"," RINALDO ",IF(J1027="TR-SALGUEIRO"," RINALDO ",IF(J1027="TR-CARNAIBA"," RINALDO ",IF(J1027="TR-ARCOVERDE"," RINALDO ",IF(J1027="CAT-RECIFE"," CLEITON ",))))))))))))</f>
        <v xml:space="preserve"> CRISTINA </v>
      </c>
      <c r="AD1027" s="26">
        <f t="shared" si="82"/>
        <v>5</v>
      </c>
      <c r="AE1027" s="26">
        <f t="shared" ca="1" si="84"/>
        <v>54.243609606484824</v>
      </c>
    </row>
    <row r="1028" spans="1:31" hidden="1">
      <c r="A1028" s="209">
        <v>9295960</v>
      </c>
      <c r="B1028" s="209" t="s">
        <v>101</v>
      </c>
      <c r="C1028" s="210" t="s">
        <v>1810</v>
      </c>
      <c r="D1028" s="214"/>
      <c r="E1028" s="214">
        <v>2802080206001</v>
      </c>
      <c r="F1028" s="209" t="s">
        <v>29</v>
      </c>
      <c r="G1028" s="209" t="s">
        <v>53</v>
      </c>
      <c r="H1028" s="209" t="s">
        <v>1834</v>
      </c>
      <c r="I1028" s="209" t="s">
        <v>500</v>
      </c>
      <c r="J1028" s="209" t="s">
        <v>46</v>
      </c>
      <c r="K1028" s="210" t="s">
        <v>34</v>
      </c>
      <c r="L1028" s="210"/>
      <c r="M1028" s="209" t="s">
        <v>35</v>
      </c>
      <c r="N1028" s="209">
        <v>42318949</v>
      </c>
      <c r="O1028" s="209" t="s">
        <v>105</v>
      </c>
      <c r="P1028" s="213">
        <v>44932.432604166665</v>
      </c>
      <c r="Q1028" s="209"/>
      <c r="R1028" s="209" t="s">
        <v>38</v>
      </c>
      <c r="S1028" s="209"/>
      <c r="T1028" s="209" t="s">
        <v>74</v>
      </c>
      <c r="U1028" s="213">
        <v>44932.75</v>
      </c>
      <c r="V1028" s="209" t="s">
        <v>41</v>
      </c>
      <c r="W1028" s="209" t="s">
        <v>49</v>
      </c>
      <c r="X1028" s="13" t="str">
        <f>IF(RIGHT(H1028,2)&lt;&gt;"00",H1028,"")</f>
        <v>2802.08</v>
      </c>
      <c r="Y1028" s="26">
        <f ca="1">NETWORKDAYS(P1028,$Y$1)</f>
        <v>39</v>
      </c>
      <c r="Z1028" s="34">
        <v>1</v>
      </c>
      <c r="AA1028" s="25" t="str">
        <f t="shared" ca="1" si="83"/>
        <v>A VENCER</v>
      </c>
      <c r="AB1028" s="25" t="str">
        <f t="shared" si="81"/>
        <v>Dosa</v>
      </c>
      <c r="AC1028" s="2" t="str">
        <f t="shared" si="85"/>
        <v xml:space="preserve"> CLEITON </v>
      </c>
      <c r="AD1028" s="26">
        <f t="shared" si="82"/>
        <v>5</v>
      </c>
      <c r="AE1028" s="26">
        <f t="shared" ca="1" si="84"/>
        <v>54.243667476854171</v>
      </c>
    </row>
    <row r="1029" spans="1:31" hidden="1">
      <c r="A1029" s="209">
        <v>9295959</v>
      </c>
      <c r="B1029" s="209" t="s">
        <v>101</v>
      </c>
      <c r="C1029" s="210" t="s">
        <v>1810</v>
      </c>
      <c r="D1029" s="214"/>
      <c r="E1029" s="214">
        <v>2802000206001</v>
      </c>
      <c r="F1029" s="209" t="s">
        <v>29</v>
      </c>
      <c r="G1029" s="209" t="s">
        <v>53</v>
      </c>
      <c r="H1029" s="209" t="s">
        <v>388</v>
      </c>
      <c r="I1029" s="209" t="s">
        <v>389</v>
      </c>
      <c r="J1029" s="209" t="s">
        <v>46</v>
      </c>
      <c r="K1029" s="210" t="s">
        <v>34</v>
      </c>
      <c r="L1029" s="210"/>
      <c r="M1029" s="209" t="s">
        <v>35</v>
      </c>
      <c r="N1029" s="209">
        <v>42318949</v>
      </c>
      <c r="O1029" s="209" t="s">
        <v>105</v>
      </c>
      <c r="P1029" s="213">
        <v>44932.432592592595</v>
      </c>
      <c r="Q1029" s="209"/>
      <c r="R1029" s="209" t="s">
        <v>38</v>
      </c>
      <c r="S1029" s="209"/>
      <c r="T1029" s="209" t="s">
        <v>74</v>
      </c>
      <c r="U1029" s="213">
        <v>44932.75</v>
      </c>
      <c r="V1029" s="209" t="s">
        <v>41</v>
      </c>
      <c r="W1029" s="209" t="s">
        <v>49</v>
      </c>
      <c r="X1029" s="13" t="str">
        <f>IF(RIGHT(H1029,2)&lt;&gt;"00",H1029,"")</f>
        <v/>
      </c>
      <c r="Y1029" s="26">
        <f ca="1">NETWORKDAYS(P1029,$Y$1)</f>
        <v>39</v>
      </c>
      <c r="Z1029" s="34">
        <v>1</v>
      </c>
      <c r="AA1029" s="25" t="str">
        <f t="shared" ca="1" si="83"/>
        <v>A VENCER</v>
      </c>
      <c r="AB1029" s="25" t="str">
        <f t="shared" si="81"/>
        <v>Dosa</v>
      </c>
      <c r="AC1029" s="2" t="str">
        <f t="shared" si="85"/>
        <v xml:space="preserve"> CLEITON </v>
      </c>
      <c r="AD1029" s="26">
        <f t="shared" si="82"/>
        <v>5</v>
      </c>
      <c r="AE1029" s="26">
        <f t="shared" ca="1" si="84"/>
        <v>54.243679050923674</v>
      </c>
    </row>
    <row r="1030" spans="1:31" hidden="1">
      <c r="A1030" s="209">
        <v>9295897</v>
      </c>
      <c r="B1030" s="209" t="s">
        <v>101</v>
      </c>
      <c r="C1030" s="210" t="s">
        <v>1810</v>
      </c>
      <c r="D1030" s="214"/>
      <c r="E1030" s="214">
        <v>2737000206001</v>
      </c>
      <c r="F1030" s="209" t="s">
        <v>29</v>
      </c>
      <c r="G1030" s="209" t="s">
        <v>53</v>
      </c>
      <c r="H1030" s="209" t="s">
        <v>311</v>
      </c>
      <c r="I1030" s="209" t="s">
        <v>312</v>
      </c>
      <c r="J1030" s="209" t="s">
        <v>90</v>
      </c>
      <c r="K1030" s="210" t="s">
        <v>34</v>
      </c>
      <c r="L1030" s="210"/>
      <c r="M1030" s="209" t="s">
        <v>35</v>
      </c>
      <c r="N1030" s="209">
        <v>42318949</v>
      </c>
      <c r="O1030" s="209" t="s">
        <v>105</v>
      </c>
      <c r="P1030" s="213">
        <v>44932.432511574072</v>
      </c>
      <c r="Q1030" s="209"/>
      <c r="R1030" s="209" t="s">
        <v>38</v>
      </c>
      <c r="S1030" s="209"/>
      <c r="T1030" s="209" t="s">
        <v>74</v>
      </c>
      <c r="U1030" s="213">
        <v>44932.75</v>
      </c>
      <c r="V1030" s="209" t="s">
        <v>41</v>
      </c>
      <c r="W1030" s="209" t="s">
        <v>49</v>
      </c>
      <c r="X1030" s="13" t="str">
        <f>IF(RIGHT(H1030,2)&lt;&gt;"00",H1030,"")</f>
        <v/>
      </c>
      <c r="Y1030" s="26">
        <f ca="1">NETWORKDAYS(P1030,$Y$1)</f>
        <v>39</v>
      </c>
      <c r="Z1030" s="34">
        <v>1</v>
      </c>
      <c r="AA1030" s="25" t="str">
        <f t="shared" ca="1" si="83"/>
        <v>A VENCER</v>
      </c>
      <c r="AB1030" s="25" t="str">
        <f t="shared" si="81"/>
        <v>Dosa</v>
      </c>
      <c r="AC1030" s="2" t="str">
        <f t="shared" si="85"/>
        <v xml:space="preserve"> RINALDO </v>
      </c>
      <c r="AD1030" s="26">
        <f t="shared" si="82"/>
        <v>5</v>
      </c>
      <c r="AE1030" s="26">
        <f t="shared" ca="1" si="84"/>
        <v>54.24376006944658</v>
      </c>
    </row>
    <row r="1031" spans="1:31" hidden="1">
      <c r="A1031" s="209">
        <v>9295858</v>
      </c>
      <c r="B1031" s="209" t="s">
        <v>101</v>
      </c>
      <c r="C1031" s="210" t="s">
        <v>1810</v>
      </c>
      <c r="D1031" s="214"/>
      <c r="E1031" s="214">
        <v>2693000206001</v>
      </c>
      <c r="F1031" s="209" t="s">
        <v>29</v>
      </c>
      <c r="G1031" s="209" t="s">
        <v>53</v>
      </c>
      <c r="H1031" s="209" t="s">
        <v>253</v>
      </c>
      <c r="I1031" s="209" t="s">
        <v>254</v>
      </c>
      <c r="J1031" s="209" t="s">
        <v>56</v>
      </c>
      <c r="K1031" s="210" t="s">
        <v>34</v>
      </c>
      <c r="L1031" s="210"/>
      <c r="M1031" s="209" t="s">
        <v>35</v>
      </c>
      <c r="N1031" s="209">
        <v>42318949</v>
      </c>
      <c r="O1031" s="209" t="s">
        <v>105</v>
      </c>
      <c r="P1031" s="213">
        <v>44932.432453703703</v>
      </c>
      <c r="Q1031" s="209"/>
      <c r="R1031" s="209" t="s">
        <v>38</v>
      </c>
      <c r="S1031" s="209"/>
      <c r="T1031" s="209" t="s">
        <v>74</v>
      </c>
      <c r="U1031" s="213">
        <v>44932.75</v>
      </c>
      <c r="V1031" s="209" t="s">
        <v>41</v>
      </c>
      <c r="W1031" s="209" t="s">
        <v>49</v>
      </c>
      <c r="X1031" s="13" t="str">
        <f>IF(RIGHT(H1031,2)&lt;&gt;"00",H1031,"")</f>
        <v/>
      </c>
      <c r="Y1031" s="26">
        <f ca="1">NETWORKDAYS(P1031,$Y$1)</f>
        <v>39</v>
      </c>
      <c r="Z1031" s="34">
        <v>1</v>
      </c>
      <c r="AA1031" s="25" t="str">
        <f t="shared" ca="1" si="83"/>
        <v>A VENCER</v>
      </c>
      <c r="AB1031" s="25" t="str">
        <f t="shared" si="81"/>
        <v>Dosa</v>
      </c>
      <c r="AC1031" s="2" t="str">
        <f t="shared" si="85"/>
        <v xml:space="preserve"> CRISTINA </v>
      </c>
      <c r="AD1031" s="26">
        <f t="shared" si="82"/>
        <v>5</v>
      </c>
      <c r="AE1031" s="26">
        <f t="shared" ca="1" si="84"/>
        <v>54.243817939815926</v>
      </c>
    </row>
    <row r="1032" spans="1:31" hidden="1">
      <c r="A1032" s="209">
        <v>9295849</v>
      </c>
      <c r="B1032" s="209" t="s">
        <v>101</v>
      </c>
      <c r="C1032" s="210" t="s">
        <v>1810</v>
      </c>
      <c r="D1032" s="214"/>
      <c r="E1032" s="214">
        <v>2683000206001</v>
      </c>
      <c r="F1032" s="209" t="s">
        <v>29</v>
      </c>
      <c r="G1032" s="209" t="s">
        <v>53</v>
      </c>
      <c r="H1032" s="209" t="s">
        <v>276</v>
      </c>
      <c r="I1032" s="209" t="s">
        <v>277</v>
      </c>
      <c r="J1032" s="209" t="s">
        <v>90</v>
      </c>
      <c r="K1032" s="210" t="s">
        <v>34</v>
      </c>
      <c r="L1032" s="210"/>
      <c r="M1032" s="209" t="s">
        <v>35</v>
      </c>
      <c r="N1032" s="209">
        <v>42318949</v>
      </c>
      <c r="O1032" s="209" t="s">
        <v>105</v>
      </c>
      <c r="P1032" s="213">
        <v>44932.432442129626</v>
      </c>
      <c r="Q1032" s="209"/>
      <c r="R1032" s="209" t="s">
        <v>38</v>
      </c>
      <c r="S1032" s="209"/>
      <c r="T1032" s="209" t="s">
        <v>74</v>
      </c>
      <c r="U1032" s="213">
        <v>44932.75</v>
      </c>
      <c r="V1032" s="209" t="s">
        <v>41</v>
      </c>
      <c r="W1032" s="209" t="s">
        <v>49</v>
      </c>
      <c r="X1032" s="13" t="str">
        <f>IF(RIGHT(H1032,2)&lt;&gt;"00",H1032,"")</f>
        <v/>
      </c>
      <c r="Y1032" s="26">
        <f ca="1">NETWORKDAYS(P1032,$Y$1)</f>
        <v>39</v>
      </c>
      <c r="Z1032" s="34">
        <v>1</v>
      </c>
      <c r="AA1032" s="25" t="str">
        <f t="shared" ca="1" si="83"/>
        <v>A VENCER</v>
      </c>
      <c r="AB1032" s="25" t="str">
        <f t="shared" si="81"/>
        <v>Dosa</v>
      </c>
      <c r="AC1032" s="2" t="str">
        <f t="shared" si="85"/>
        <v xml:space="preserve"> RINALDO </v>
      </c>
      <c r="AD1032" s="26">
        <f t="shared" si="82"/>
        <v>5</v>
      </c>
      <c r="AE1032" s="26">
        <f t="shared" ca="1" si="84"/>
        <v>54.243829513892706</v>
      </c>
    </row>
    <row r="1033" spans="1:31" hidden="1">
      <c r="A1033" s="209">
        <v>9295845</v>
      </c>
      <c r="B1033" s="209" t="s">
        <v>101</v>
      </c>
      <c r="C1033" s="210" t="s">
        <v>1810</v>
      </c>
      <c r="D1033" s="214"/>
      <c r="E1033" s="214">
        <v>2678000206001</v>
      </c>
      <c r="F1033" s="209" t="s">
        <v>29</v>
      </c>
      <c r="G1033" s="209" t="s">
        <v>53</v>
      </c>
      <c r="H1033" s="209" t="s">
        <v>992</v>
      </c>
      <c r="I1033" s="209" t="s">
        <v>993</v>
      </c>
      <c r="J1033" s="209" t="s">
        <v>33</v>
      </c>
      <c r="K1033" s="210" t="s">
        <v>34</v>
      </c>
      <c r="L1033" s="210"/>
      <c r="M1033" s="209" t="s">
        <v>35</v>
      </c>
      <c r="N1033" s="209">
        <v>42318949</v>
      </c>
      <c r="O1033" s="209" t="s">
        <v>105</v>
      </c>
      <c r="P1033" s="213">
        <v>44932.432442129626</v>
      </c>
      <c r="Q1033" s="209"/>
      <c r="R1033" s="209" t="s">
        <v>38</v>
      </c>
      <c r="S1033" s="209"/>
      <c r="T1033" s="209" t="s">
        <v>74</v>
      </c>
      <c r="U1033" s="213">
        <v>44932.75</v>
      </c>
      <c r="V1033" s="209" t="s">
        <v>41</v>
      </c>
      <c r="W1033" s="209" t="s">
        <v>42</v>
      </c>
      <c r="X1033" s="13" t="str">
        <f>IF(RIGHT(H1033,2)&lt;&gt;"00",H1033,"")</f>
        <v/>
      </c>
      <c r="Y1033" s="26">
        <f ca="1">NETWORKDAYS(P1033,$Y$1)</f>
        <v>39</v>
      </c>
      <c r="Z1033" s="34">
        <v>1</v>
      </c>
      <c r="AA1033" s="25" t="str">
        <f t="shared" ca="1" si="83"/>
        <v>A VENCER</v>
      </c>
      <c r="AB1033" s="25" t="str">
        <f t="shared" si="81"/>
        <v>Dosa</v>
      </c>
      <c r="AC1033" s="2" t="str">
        <f t="shared" si="85"/>
        <v xml:space="preserve"> ROSEMERE </v>
      </c>
      <c r="AD1033" s="26">
        <f t="shared" si="82"/>
        <v>5</v>
      </c>
      <c r="AE1033" s="26">
        <f t="shared" ca="1" si="84"/>
        <v>54.243829513892706</v>
      </c>
    </row>
    <row r="1034" spans="1:31" hidden="1">
      <c r="A1034" s="209">
        <v>9295840</v>
      </c>
      <c r="B1034" s="209" t="s">
        <v>101</v>
      </c>
      <c r="C1034" s="210" t="s">
        <v>1810</v>
      </c>
      <c r="D1034" s="214"/>
      <c r="E1034" s="214">
        <v>2669000206001</v>
      </c>
      <c r="F1034" s="209" t="s">
        <v>29</v>
      </c>
      <c r="G1034" s="209" t="s">
        <v>53</v>
      </c>
      <c r="H1034" s="209" t="s">
        <v>561</v>
      </c>
      <c r="I1034" s="209" t="s">
        <v>562</v>
      </c>
      <c r="J1034" s="209" t="s">
        <v>110</v>
      </c>
      <c r="K1034" s="210" t="s">
        <v>34</v>
      </c>
      <c r="L1034" s="210"/>
      <c r="M1034" s="209" t="s">
        <v>35</v>
      </c>
      <c r="N1034" s="209">
        <v>42318949</v>
      </c>
      <c r="O1034" s="209" t="s">
        <v>36</v>
      </c>
      <c r="P1034" s="213">
        <v>44932.432430555556</v>
      </c>
      <c r="Q1034" s="209"/>
      <c r="R1034" s="209" t="s">
        <v>38</v>
      </c>
      <c r="S1034" s="209"/>
      <c r="T1034" s="209" t="s">
        <v>74</v>
      </c>
      <c r="U1034" s="213">
        <v>44932.75</v>
      </c>
      <c r="V1034" s="209" t="s">
        <v>41</v>
      </c>
      <c r="W1034" s="209" t="s">
        <v>49</v>
      </c>
      <c r="X1034" s="13" t="str">
        <f>IF(RIGHT(H1034,2)&lt;&gt;"00",H1034,"")</f>
        <v/>
      </c>
      <c r="Y1034" s="26">
        <f ca="1">NETWORKDAYS(P1034,$Y$1)</f>
        <v>39</v>
      </c>
      <c r="Z1034" s="34">
        <v>1</v>
      </c>
      <c r="AA1034" s="25" t="str">
        <f t="shared" ca="1" si="83"/>
        <v>A VENCER</v>
      </c>
      <c r="AB1034" s="25" t="str">
        <f t="shared" si="81"/>
        <v>Dosa</v>
      </c>
      <c r="AC1034" s="2" t="str">
        <f t="shared" si="85"/>
        <v xml:space="preserve"> CRISTINA </v>
      </c>
      <c r="AD1034" s="26">
        <f t="shared" si="82"/>
        <v>5</v>
      </c>
      <c r="AE1034" s="26">
        <f t="shared" ca="1" si="84"/>
        <v>54.24384108796221</v>
      </c>
    </row>
    <row r="1035" spans="1:31" hidden="1">
      <c r="A1035" s="209">
        <v>9295800</v>
      </c>
      <c r="B1035" s="209" t="s">
        <v>101</v>
      </c>
      <c r="C1035" s="210" t="s">
        <v>1810</v>
      </c>
      <c r="D1035" s="214"/>
      <c r="E1035" s="214">
        <v>2625000206001</v>
      </c>
      <c r="F1035" s="209" t="s">
        <v>29</v>
      </c>
      <c r="G1035" s="209" t="s">
        <v>53</v>
      </c>
      <c r="H1035" s="209" t="s">
        <v>317</v>
      </c>
      <c r="I1035" s="209" t="s">
        <v>318</v>
      </c>
      <c r="J1035" s="209" t="s">
        <v>164</v>
      </c>
      <c r="K1035" s="210" t="s">
        <v>34</v>
      </c>
      <c r="L1035" s="210"/>
      <c r="M1035" s="209" t="s">
        <v>35</v>
      </c>
      <c r="N1035" s="209">
        <v>42318949</v>
      </c>
      <c r="O1035" s="209" t="s">
        <v>105</v>
      </c>
      <c r="P1035" s="213">
        <v>44932.432384259257</v>
      </c>
      <c r="Q1035" s="209"/>
      <c r="R1035" s="209" t="s">
        <v>38</v>
      </c>
      <c r="S1035" s="209"/>
      <c r="T1035" s="209" t="s">
        <v>74</v>
      </c>
      <c r="U1035" s="213">
        <v>44932.75</v>
      </c>
      <c r="V1035" s="209" t="s">
        <v>41</v>
      </c>
      <c r="W1035" s="209" t="s">
        <v>49</v>
      </c>
      <c r="X1035" s="13" t="str">
        <f>IF(RIGHT(H1035,2)&lt;&gt;"00",H1035,"")</f>
        <v/>
      </c>
      <c r="Y1035" s="26">
        <f ca="1">NETWORKDAYS(P1035,$Y$1)</f>
        <v>39</v>
      </c>
      <c r="Z1035" s="34">
        <v>1</v>
      </c>
      <c r="AA1035" s="25" t="str">
        <f t="shared" ca="1" si="83"/>
        <v>A VENCER</v>
      </c>
      <c r="AB1035" s="25" t="str">
        <f t="shared" si="81"/>
        <v>Dosa</v>
      </c>
      <c r="AC1035" s="2" t="str">
        <f t="shared" si="85"/>
        <v xml:space="preserve"> ROSEMERE </v>
      </c>
      <c r="AD1035" s="26">
        <f t="shared" si="82"/>
        <v>5</v>
      </c>
      <c r="AE1035" s="26">
        <f t="shared" ca="1" si="84"/>
        <v>54.243887384262052</v>
      </c>
    </row>
    <row r="1036" spans="1:31" hidden="1">
      <c r="A1036" s="209">
        <v>9295771</v>
      </c>
      <c r="B1036" s="209" t="s">
        <v>101</v>
      </c>
      <c r="C1036" s="210" t="s">
        <v>1810</v>
      </c>
      <c r="D1036" s="214"/>
      <c r="E1036" s="214">
        <v>2590000206001</v>
      </c>
      <c r="F1036" s="209" t="s">
        <v>29</v>
      </c>
      <c r="G1036" s="209" t="s">
        <v>53</v>
      </c>
      <c r="H1036" s="209" t="s">
        <v>394</v>
      </c>
      <c r="I1036" s="209" t="s">
        <v>395</v>
      </c>
      <c r="J1036" s="209" t="s">
        <v>148</v>
      </c>
      <c r="K1036" s="210" t="s">
        <v>34</v>
      </c>
      <c r="L1036" s="210"/>
      <c r="M1036" s="209" t="s">
        <v>35</v>
      </c>
      <c r="N1036" s="209">
        <v>42318949</v>
      </c>
      <c r="O1036" s="209" t="s">
        <v>105</v>
      </c>
      <c r="P1036" s="213">
        <v>44932.432337962964</v>
      </c>
      <c r="Q1036" s="209"/>
      <c r="R1036" s="209" t="s">
        <v>38</v>
      </c>
      <c r="S1036" s="209"/>
      <c r="T1036" s="209" t="s">
        <v>74</v>
      </c>
      <c r="U1036" s="213">
        <v>44932.75</v>
      </c>
      <c r="V1036" s="209" t="s">
        <v>41</v>
      </c>
      <c r="W1036" s="209" t="s">
        <v>49</v>
      </c>
      <c r="X1036" s="13" t="str">
        <f>IF(RIGHT(H1036,2)&lt;&gt;"00",H1036,"")</f>
        <v/>
      </c>
      <c r="Y1036" s="26">
        <f ca="1">NETWORKDAYS(P1036,$Y$1)</f>
        <v>39</v>
      </c>
      <c r="Z1036" s="34">
        <v>1</v>
      </c>
      <c r="AA1036" s="25" t="str">
        <f t="shared" ca="1" si="83"/>
        <v>A VENCER</v>
      </c>
      <c r="AB1036" s="25" t="str">
        <f t="shared" si="81"/>
        <v>Dosa</v>
      </c>
      <c r="AC1036" s="2" t="str">
        <f t="shared" si="85"/>
        <v xml:space="preserve"> RINALDO </v>
      </c>
      <c r="AD1036" s="26">
        <f t="shared" si="82"/>
        <v>5</v>
      </c>
      <c r="AE1036" s="26">
        <f t="shared" ca="1" si="84"/>
        <v>54.243933680554619</v>
      </c>
    </row>
    <row r="1037" spans="1:31" hidden="1">
      <c r="A1037" s="209">
        <v>9295742</v>
      </c>
      <c r="B1037" s="209" t="s">
        <v>101</v>
      </c>
      <c r="C1037" s="210" t="s">
        <v>1810</v>
      </c>
      <c r="D1037" s="214"/>
      <c r="E1037" s="214">
        <v>2564000206001</v>
      </c>
      <c r="F1037" s="209" t="s">
        <v>29</v>
      </c>
      <c r="G1037" s="209" t="s">
        <v>53</v>
      </c>
      <c r="H1037" s="209" t="s">
        <v>255</v>
      </c>
      <c r="I1037" s="209" t="s">
        <v>256</v>
      </c>
      <c r="J1037" s="209" t="s">
        <v>164</v>
      </c>
      <c r="K1037" s="210" t="s">
        <v>34</v>
      </c>
      <c r="L1037" s="210"/>
      <c r="M1037" s="209" t="s">
        <v>35</v>
      </c>
      <c r="N1037" s="209">
        <v>42318949</v>
      </c>
      <c r="O1037" s="209" t="s">
        <v>105</v>
      </c>
      <c r="P1037" s="213">
        <v>44932.432303240741</v>
      </c>
      <c r="Q1037" s="209"/>
      <c r="R1037" s="209" t="s">
        <v>38</v>
      </c>
      <c r="S1037" s="209"/>
      <c r="T1037" s="209" t="s">
        <v>74</v>
      </c>
      <c r="U1037" s="213">
        <v>44932.75</v>
      </c>
      <c r="V1037" s="209" t="s">
        <v>41</v>
      </c>
      <c r="W1037" s="209" t="s">
        <v>49</v>
      </c>
      <c r="X1037" s="13" t="str">
        <f>IF(RIGHT(H1037,2)&lt;&gt;"00",H1037,"")</f>
        <v/>
      </c>
      <c r="Y1037" s="26">
        <f ca="1">NETWORKDAYS(P1037,$Y$1)</f>
        <v>39</v>
      </c>
      <c r="Z1037" s="34">
        <v>1</v>
      </c>
      <c r="AA1037" s="25" t="str">
        <f t="shared" ca="1" si="83"/>
        <v>A VENCER</v>
      </c>
      <c r="AB1037" s="25" t="str">
        <f t="shared" si="81"/>
        <v>Dosa</v>
      </c>
      <c r="AC1037" s="2" t="str">
        <f t="shared" si="85"/>
        <v xml:space="preserve"> ROSEMERE </v>
      </c>
      <c r="AD1037" s="26">
        <f t="shared" si="82"/>
        <v>5</v>
      </c>
      <c r="AE1037" s="26">
        <f t="shared" ca="1" si="84"/>
        <v>54.243968402777682</v>
      </c>
    </row>
    <row r="1038" spans="1:31" hidden="1">
      <c r="A1038" s="209">
        <v>9295739</v>
      </c>
      <c r="B1038" s="209" t="s">
        <v>101</v>
      </c>
      <c r="C1038" s="210" t="s">
        <v>1810</v>
      </c>
      <c r="D1038" s="214"/>
      <c r="E1038" s="214">
        <v>2559000206001</v>
      </c>
      <c r="F1038" s="209" t="s">
        <v>29</v>
      </c>
      <c r="G1038" s="209" t="s">
        <v>53</v>
      </c>
      <c r="H1038" s="209" t="s">
        <v>259</v>
      </c>
      <c r="I1038" s="209" t="s">
        <v>260</v>
      </c>
      <c r="J1038" s="209" t="s">
        <v>261</v>
      </c>
      <c r="K1038" s="210" t="s">
        <v>34</v>
      </c>
      <c r="L1038" s="210"/>
      <c r="M1038" s="209" t="s">
        <v>35</v>
      </c>
      <c r="N1038" s="209">
        <v>42318949</v>
      </c>
      <c r="O1038" s="209" t="s">
        <v>105</v>
      </c>
      <c r="P1038" s="213">
        <v>44932.432291666664</v>
      </c>
      <c r="Q1038" s="209"/>
      <c r="R1038" s="209" t="s">
        <v>38</v>
      </c>
      <c r="S1038" s="209"/>
      <c r="T1038" s="209" t="s">
        <v>74</v>
      </c>
      <c r="U1038" s="213">
        <v>44932.75</v>
      </c>
      <c r="V1038" s="209" t="s">
        <v>41</v>
      </c>
      <c r="W1038" s="209" t="s">
        <v>49</v>
      </c>
      <c r="X1038" s="13" t="str">
        <f>IF(RIGHT(H1038,2)&lt;&gt;"00",H1038,"")</f>
        <v/>
      </c>
      <c r="Y1038" s="26">
        <f ca="1">NETWORKDAYS(P1038,$Y$1)</f>
        <v>39</v>
      </c>
      <c r="Z1038" s="34">
        <v>1</v>
      </c>
      <c r="AA1038" s="25" t="str">
        <f t="shared" ca="1" si="83"/>
        <v>A VENCER</v>
      </c>
      <c r="AB1038" s="25" t="str">
        <f t="shared" si="81"/>
        <v>Dosa</v>
      </c>
      <c r="AC1038" s="2" t="str">
        <f t="shared" si="85"/>
        <v xml:space="preserve"> CRISTINA </v>
      </c>
      <c r="AD1038" s="26">
        <f t="shared" si="82"/>
        <v>5</v>
      </c>
      <c r="AE1038" s="26">
        <f t="shared" ca="1" si="84"/>
        <v>54.243979976854462</v>
      </c>
    </row>
    <row r="1039" spans="1:31" hidden="1">
      <c r="A1039" s="209">
        <v>9295672</v>
      </c>
      <c r="B1039" s="209" t="s">
        <v>101</v>
      </c>
      <c r="C1039" s="210" t="s">
        <v>1810</v>
      </c>
      <c r="D1039" s="214"/>
      <c r="E1039" s="214">
        <v>2473000206001</v>
      </c>
      <c r="F1039" s="209" t="s">
        <v>29</v>
      </c>
      <c r="G1039" s="209" t="s">
        <v>53</v>
      </c>
      <c r="H1039" s="209" t="s">
        <v>1459</v>
      </c>
      <c r="I1039" s="209" t="s">
        <v>1460</v>
      </c>
      <c r="J1039" s="209" t="s">
        <v>261</v>
      </c>
      <c r="K1039" s="210" t="s">
        <v>34</v>
      </c>
      <c r="L1039" s="210"/>
      <c r="M1039" s="209" t="s">
        <v>35</v>
      </c>
      <c r="N1039" s="209">
        <v>42318949</v>
      </c>
      <c r="O1039" s="209" t="s">
        <v>105</v>
      </c>
      <c r="P1039" s="213">
        <v>44932.432199074072</v>
      </c>
      <c r="Q1039" s="209"/>
      <c r="R1039" s="209" t="s">
        <v>38</v>
      </c>
      <c r="S1039" s="209"/>
      <c r="T1039" s="209" t="s">
        <v>74</v>
      </c>
      <c r="U1039" s="213">
        <v>44932.75</v>
      </c>
      <c r="V1039" s="209" t="s">
        <v>41</v>
      </c>
      <c r="W1039" s="209" t="s">
        <v>49</v>
      </c>
      <c r="X1039" s="13" t="str">
        <f>IF(RIGHT(H1039,2)&lt;&gt;"00",H1039,"")</f>
        <v/>
      </c>
      <c r="Y1039" s="26">
        <f ca="1">NETWORKDAYS(P1039,$Y$1)</f>
        <v>39</v>
      </c>
      <c r="Z1039" s="34">
        <v>1</v>
      </c>
      <c r="AA1039" s="25" t="str">
        <f t="shared" ca="1" si="83"/>
        <v>A VENCER</v>
      </c>
      <c r="AB1039" s="25" t="str">
        <f t="shared" si="81"/>
        <v>Dosa</v>
      </c>
      <c r="AC1039" s="2" t="str">
        <f t="shared" si="85"/>
        <v xml:space="preserve"> CRISTINA </v>
      </c>
      <c r="AD1039" s="26">
        <f t="shared" si="82"/>
        <v>5</v>
      </c>
      <c r="AE1039" s="26">
        <f t="shared" ca="1" si="84"/>
        <v>54.244072569446871</v>
      </c>
    </row>
    <row r="1040" spans="1:31" hidden="1">
      <c r="A1040" s="209">
        <v>9295637</v>
      </c>
      <c r="B1040" s="209" t="s">
        <v>101</v>
      </c>
      <c r="C1040" s="210" t="s">
        <v>1810</v>
      </c>
      <c r="D1040" s="214"/>
      <c r="E1040" s="214">
        <v>2437000206001</v>
      </c>
      <c r="F1040" s="209" t="s">
        <v>29</v>
      </c>
      <c r="G1040" s="209" t="s">
        <v>53</v>
      </c>
      <c r="H1040" s="209" t="s">
        <v>416</v>
      </c>
      <c r="I1040" s="209" t="s">
        <v>417</v>
      </c>
      <c r="J1040" s="209" t="s">
        <v>211</v>
      </c>
      <c r="K1040" s="210" t="s">
        <v>34</v>
      </c>
      <c r="L1040" s="210"/>
      <c r="M1040" s="209" t="s">
        <v>35</v>
      </c>
      <c r="N1040" s="209">
        <v>42318949</v>
      </c>
      <c r="O1040" s="209" t="s">
        <v>105</v>
      </c>
      <c r="P1040" s="213">
        <v>44932.432141203702</v>
      </c>
      <c r="Q1040" s="209"/>
      <c r="R1040" s="209" t="s">
        <v>38</v>
      </c>
      <c r="S1040" s="209"/>
      <c r="T1040" s="209" t="s">
        <v>74</v>
      </c>
      <c r="U1040" s="213">
        <v>44932.75</v>
      </c>
      <c r="V1040" s="209" t="s">
        <v>41</v>
      </c>
      <c r="W1040" s="209" t="s">
        <v>49</v>
      </c>
      <c r="X1040" s="13" t="str">
        <f>IF(RIGHT(H1040,2)&lt;&gt;"00",H1040,"")</f>
        <v/>
      </c>
      <c r="Y1040" s="26">
        <f ca="1">NETWORKDAYS(P1040,$Y$1)</f>
        <v>39</v>
      </c>
      <c r="Z1040" s="34">
        <v>1</v>
      </c>
      <c r="AA1040" s="25" t="str">
        <f t="shared" ca="1" si="83"/>
        <v>A VENCER</v>
      </c>
      <c r="AB1040" s="25" t="str">
        <f t="shared" si="81"/>
        <v>Dosa</v>
      </c>
      <c r="AC1040" s="2" t="str">
        <f t="shared" si="85"/>
        <v xml:space="preserve"> RINALDO </v>
      </c>
      <c r="AD1040" s="26">
        <f t="shared" si="82"/>
        <v>5</v>
      </c>
      <c r="AE1040" s="26">
        <f t="shared" ca="1" si="84"/>
        <v>54.244130439816217</v>
      </c>
    </row>
    <row r="1041" spans="1:31" hidden="1">
      <c r="A1041" s="209">
        <v>9295622</v>
      </c>
      <c r="B1041" s="209" t="s">
        <v>101</v>
      </c>
      <c r="C1041" s="210" t="s">
        <v>1810</v>
      </c>
      <c r="D1041" s="214"/>
      <c r="E1041" s="214">
        <v>2422000206001</v>
      </c>
      <c r="F1041" s="209" t="s">
        <v>29</v>
      </c>
      <c r="G1041" s="209" t="s">
        <v>53</v>
      </c>
      <c r="H1041" s="209" t="s">
        <v>1844</v>
      </c>
      <c r="I1041" s="209" t="s">
        <v>1845</v>
      </c>
      <c r="J1041" s="209" t="s">
        <v>211</v>
      </c>
      <c r="K1041" s="210" t="s">
        <v>34</v>
      </c>
      <c r="L1041" s="210"/>
      <c r="M1041" s="209" t="s">
        <v>35</v>
      </c>
      <c r="N1041" s="209">
        <v>42318949</v>
      </c>
      <c r="O1041" s="209" t="s">
        <v>105</v>
      </c>
      <c r="P1041" s="213">
        <v>44932.432118055556</v>
      </c>
      <c r="Q1041" s="209"/>
      <c r="R1041" s="209" t="s">
        <v>38</v>
      </c>
      <c r="S1041" s="209"/>
      <c r="T1041" s="209" t="s">
        <v>74</v>
      </c>
      <c r="U1041" s="213">
        <v>44932.75</v>
      </c>
      <c r="V1041" s="209" t="s">
        <v>41</v>
      </c>
      <c r="W1041" s="209" t="s">
        <v>49</v>
      </c>
      <c r="X1041" s="13" t="str">
        <f>IF(RIGHT(H1041,2)&lt;&gt;"00",H1041,"")</f>
        <v/>
      </c>
      <c r="Y1041" s="26">
        <f ca="1">NETWORKDAYS(P1041,$Y$1)</f>
        <v>39</v>
      </c>
      <c r="Z1041" s="34">
        <v>1</v>
      </c>
      <c r="AA1041" s="25" t="str">
        <f t="shared" ca="1" si="83"/>
        <v>A VENCER</v>
      </c>
      <c r="AB1041" s="25" t="str">
        <f t="shared" si="81"/>
        <v>Dosa</v>
      </c>
      <c r="AC1041" s="2" t="str">
        <f t="shared" si="85"/>
        <v xml:space="preserve"> RINALDO </v>
      </c>
      <c r="AD1041" s="26">
        <f t="shared" si="82"/>
        <v>5</v>
      </c>
      <c r="AE1041" s="26">
        <f t="shared" ca="1" si="84"/>
        <v>54.244153587962501</v>
      </c>
    </row>
    <row r="1042" spans="1:31" hidden="1">
      <c r="A1042" s="209">
        <v>9295613</v>
      </c>
      <c r="B1042" s="209" t="s">
        <v>101</v>
      </c>
      <c r="C1042" s="210" t="s">
        <v>1810</v>
      </c>
      <c r="D1042" s="214"/>
      <c r="E1042" s="214">
        <v>2413000206001</v>
      </c>
      <c r="F1042" s="209" t="s">
        <v>29</v>
      </c>
      <c r="G1042" s="209" t="s">
        <v>53</v>
      </c>
      <c r="H1042" s="209" t="s">
        <v>505</v>
      </c>
      <c r="I1042" s="209" t="s">
        <v>506</v>
      </c>
      <c r="J1042" s="209" t="s">
        <v>141</v>
      </c>
      <c r="K1042" s="210" t="s">
        <v>34</v>
      </c>
      <c r="L1042" s="210"/>
      <c r="M1042" s="209" t="s">
        <v>35</v>
      </c>
      <c r="N1042" s="209">
        <v>42318949</v>
      </c>
      <c r="O1042" s="209" t="s">
        <v>105</v>
      </c>
      <c r="P1042" s="213">
        <v>44932.432106481479</v>
      </c>
      <c r="Q1042" s="209"/>
      <c r="R1042" s="209" t="s">
        <v>38</v>
      </c>
      <c r="S1042" s="209"/>
      <c r="T1042" s="209" t="s">
        <v>74</v>
      </c>
      <c r="U1042" s="213">
        <v>44932.75</v>
      </c>
      <c r="V1042" s="209" t="s">
        <v>41</v>
      </c>
      <c r="W1042" s="209" t="s">
        <v>49</v>
      </c>
      <c r="X1042" s="13" t="str">
        <f>IF(RIGHT(H1042,2)&lt;&gt;"00",H1042,"")</f>
        <v/>
      </c>
      <c r="Y1042" s="26">
        <f ca="1">NETWORKDAYS(P1042,$Y$1)</f>
        <v>39</v>
      </c>
      <c r="Z1042" s="34">
        <v>1</v>
      </c>
      <c r="AA1042" s="25" t="str">
        <f t="shared" ca="1" si="83"/>
        <v>A VENCER</v>
      </c>
      <c r="AB1042" s="25" t="str">
        <f t="shared" si="81"/>
        <v>Dosa</v>
      </c>
      <c r="AC1042" s="2" t="str">
        <f t="shared" si="85"/>
        <v xml:space="preserve"> CRISTINA </v>
      </c>
      <c r="AD1042" s="26">
        <f t="shared" si="82"/>
        <v>5</v>
      </c>
      <c r="AE1042" s="26">
        <f t="shared" ca="1" si="84"/>
        <v>54.24416516203928</v>
      </c>
    </row>
    <row r="1043" spans="1:31" hidden="1">
      <c r="A1043" s="209">
        <v>9295593</v>
      </c>
      <c r="B1043" s="209" t="s">
        <v>101</v>
      </c>
      <c r="C1043" s="210" t="s">
        <v>1810</v>
      </c>
      <c r="D1043" s="214"/>
      <c r="E1043" s="214">
        <v>2388000206001</v>
      </c>
      <c r="F1043" s="209" t="s">
        <v>29</v>
      </c>
      <c r="G1043" s="209" t="s">
        <v>53</v>
      </c>
      <c r="H1043" s="209" t="s">
        <v>299</v>
      </c>
      <c r="I1043" s="209" t="s">
        <v>300</v>
      </c>
      <c r="J1043" s="209" t="s">
        <v>79</v>
      </c>
      <c r="K1043" s="210" t="s">
        <v>34</v>
      </c>
      <c r="L1043" s="210"/>
      <c r="M1043" s="209" t="s">
        <v>35</v>
      </c>
      <c r="N1043" s="209">
        <v>42318949</v>
      </c>
      <c r="O1043" s="209" t="s">
        <v>105</v>
      </c>
      <c r="P1043" s="213">
        <v>44932.432083333333</v>
      </c>
      <c r="Q1043" s="209"/>
      <c r="R1043" s="209" t="s">
        <v>38</v>
      </c>
      <c r="S1043" s="209"/>
      <c r="T1043" s="209" t="s">
        <v>74</v>
      </c>
      <c r="U1043" s="213">
        <v>44932.75</v>
      </c>
      <c r="V1043" s="209" t="s">
        <v>41</v>
      </c>
      <c r="W1043" s="209" t="s">
        <v>49</v>
      </c>
      <c r="X1043" s="13" t="str">
        <f>IF(RIGHT(H1043,2)&lt;&gt;"00",H1043,"")</f>
        <v/>
      </c>
      <c r="Y1043" s="26">
        <f ca="1">NETWORKDAYS(P1043,$Y$1)</f>
        <v>39</v>
      </c>
      <c r="Z1043" s="34">
        <v>1</v>
      </c>
      <c r="AA1043" s="25" t="str">
        <f t="shared" ca="1" si="83"/>
        <v>A VENCER</v>
      </c>
      <c r="AB1043" s="25" t="str">
        <f t="shared" si="81"/>
        <v>Dosa</v>
      </c>
      <c r="AC1043" s="2" t="str">
        <f t="shared" si="85"/>
        <v xml:space="preserve"> ROSEMERE </v>
      </c>
      <c r="AD1043" s="26">
        <f t="shared" si="82"/>
        <v>5</v>
      </c>
      <c r="AE1043" s="26">
        <f t="shared" ca="1" si="84"/>
        <v>54.244188310185564</v>
      </c>
    </row>
    <row r="1044" spans="1:31" hidden="1">
      <c r="A1044" s="209">
        <v>9295576</v>
      </c>
      <c r="B1044" s="209" t="s">
        <v>101</v>
      </c>
      <c r="C1044" s="210" t="s">
        <v>1810</v>
      </c>
      <c r="D1044" s="214"/>
      <c r="E1044" s="214">
        <v>2371000206001</v>
      </c>
      <c r="F1044" s="209" t="s">
        <v>29</v>
      </c>
      <c r="G1044" s="209" t="s">
        <v>53</v>
      </c>
      <c r="H1044" s="209" t="s">
        <v>1000</v>
      </c>
      <c r="I1044" s="209" t="s">
        <v>1001</v>
      </c>
      <c r="J1044" s="209" t="s">
        <v>90</v>
      </c>
      <c r="K1044" s="210" t="s">
        <v>34</v>
      </c>
      <c r="L1044" s="210"/>
      <c r="M1044" s="209" t="s">
        <v>35</v>
      </c>
      <c r="N1044" s="209">
        <v>42318949</v>
      </c>
      <c r="O1044" s="209" t="s">
        <v>36</v>
      </c>
      <c r="P1044" s="213">
        <v>44932.432060185187</v>
      </c>
      <c r="Q1044" s="209"/>
      <c r="R1044" s="209" t="s">
        <v>38</v>
      </c>
      <c r="S1044" s="209"/>
      <c r="T1044" s="209" t="s">
        <v>74</v>
      </c>
      <c r="U1044" s="213">
        <v>44932.75</v>
      </c>
      <c r="V1044" s="209" t="s">
        <v>41</v>
      </c>
      <c r="W1044" s="209" t="s">
        <v>49</v>
      </c>
      <c r="X1044" s="13" t="str">
        <f>IF(RIGHT(H1044,2)&lt;&gt;"00",H1044,"")</f>
        <v/>
      </c>
      <c r="Y1044" s="26">
        <f ca="1">NETWORKDAYS(P1044,$Y$1)</f>
        <v>39</v>
      </c>
      <c r="Z1044" s="34">
        <v>1</v>
      </c>
      <c r="AA1044" s="25" t="str">
        <f t="shared" ca="1" si="83"/>
        <v>A VENCER</v>
      </c>
      <c r="AB1044" s="25" t="str">
        <f t="shared" si="81"/>
        <v>Dosa</v>
      </c>
      <c r="AC1044" s="2" t="str">
        <f t="shared" si="85"/>
        <v xml:space="preserve"> RINALDO </v>
      </c>
      <c r="AD1044" s="26">
        <f t="shared" si="82"/>
        <v>5</v>
      </c>
      <c r="AE1044" s="26">
        <f t="shared" ca="1" si="84"/>
        <v>54.244211458331847</v>
      </c>
    </row>
    <row r="1045" spans="1:31" hidden="1">
      <c r="A1045" s="209">
        <v>9295575</v>
      </c>
      <c r="B1045" s="209" t="s">
        <v>101</v>
      </c>
      <c r="C1045" s="210" t="s">
        <v>1810</v>
      </c>
      <c r="D1045" s="214"/>
      <c r="E1045" s="214">
        <v>2369000206001</v>
      </c>
      <c r="F1045" s="209" t="s">
        <v>29</v>
      </c>
      <c r="G1045" s="209" t="s">
        <v>53</v>
      </c>
      <c r="H1045" s="209" t="s">
        <v>701</v>
      </c>
      <c r="I1045" s="209" t="s">
        <v>702</v>
      </c>
      <c r="J1045" s="209" t="s">
        <v>141</v>
      </c>
      <c r="K1045" s="210" t="s">
        <v>34</v>
      </c>
      <c r="L1045" s="210"/>
      <c r="M1045" s="209" t="s">
        <v>35</v>
      </c>
      <c r="N1045" s="209">
        <v>42318949</v>
      </c>
      <c r="O1045" s="209" t="s">
        <v>105</v>
      </c>
      <c r="P1045" s="213">
        <v>44932.432060185187</v>
      </c>
      <c r="Q1045" s="209"/>
      <c r="R1045" s="209" t="s">
        <v>38</v>
      </c>
      <c r="S1045" s="209"/>
      <c r="T1045" s="209" t="s">
        <v>74</v>
      </c>
      <c r="U1045" s="213">
        <v>44932.75</v>
      </c>
      <c r="V1045" s="209" t="s">
        <v>41</v>
      </c>
      <c r="W1045" s="209" t="s">
        <v>49</v>
      </c>
      <c r="X1045" s="13" t="str">
        <f>IF(RIGHT(H1045,2)&lt;&gt;"00",H1045,"")</f>
        <v/>
      </c>
      <c r="Y1045" s="26">
        <f ca="1">NETWORKDAYS(P1045,$Y$1)</f>
        <v>39</v>
      </c>
      <c r="Z1045" s="34">
        <v>1</v>
      </c>
      <c r="AA1045" s="25" t="str">
        <f t="shared" ca="1" si="83"/>
        <v>A VENCER</v>
      </c>
      <c r="AB1045" s="25" t="str">
        <f t="shared" si="81"/>
        <v>Dosa</v>
      </c>
      <c r="AC1045" s="2" t="str">
        <f t="shared" si="85"/>
        <v xml:space="preserve"> CRISTINA </v>
      </c>
      <c r="AD1045" s="26">
        <f t="shared" si="82"/>
        <v>5</v>
      </c>
      <c r="AE1045" s="26">
        <f t="shared" ca="1" si="84"/>
        <v>54.244211458331847</v>
      </c>
    </row>
    <row r="1046" spans="1:31" hidden="1">
      <c r="A1046" s="209">
        <v>9295544</v>
      </c>
      <c r="B1046" s="209" t="s">
        <v>101</v>
      </c>
      <c r="C1046" s="210" t="s">
        <v>1810</v>
      </c>
      <c r="D1046" s="214"/>
      <c r="E1046" s="214">
        <v>2335000206001</v>
      </c>
      <c r="F1046" s="209" t="s">
        <v>29</v>
      </c>
      <c r="G1046" s="209" t="s">
        <v>53</v>
      </c>
      <c r="H1046" s="209" t="s">
        <v>194</v>
      </c>
      <c r="I1046" s="209" t="s">
        <v>195</v>
      </c>
      <c r="J1046" s="209" t="s">
        <v>110</v>
      </c>
      <c r="K1046" s="210" t="s">
        <v>34</v>
      </c>
      <c r="L1046" s="210"/>
      <c r="M1046" s="209" t="s">
        <v>35</v>
      </c>
      <c r="N1046" s="209">
        <v>42318949</v>
      </c>
      <c r="O1046" s="209" t="s">
        <v>105</v>
      </c>
      <c r="P1046" s="213">
        <v>44932.432013888887</v>
      </c>
      <c r="Q1046" s="209"/>
      <c r="R1046" s="209" t="s">
        <v>38</v>
      </c>
      <c r="S1046" s="209"/>
      <c r="T1046" s="209" t="s">
        <v>74</v>
      </c>
      <c r="U1046" s="213">
        <v>44932.75</v>
      </c>
      <c r="V1046" s="209" t="s">
        <v>41</v>
      </c>
      <c r="W1046" s="209" t="s">
        <v>49</v>
      </c>
      <c r="X1046" s="13" t="str">
        <f>IF(RIGHT(H1046,2)&lt;&gt;"00",H1046,"")</f>
        <v/>
      </c>
      <c r="Y1046" s="26">
        <f ca="1">NETWORKDAYS(P1046,$Y$1)</f>
        <v>39</v>
      </c>
      <c r="Z1046" s="34">
        <v>1</v>
      </c>
      <c r="AA1046" s="25" t="str">
        <f t="shared" ca="1" si="83"/>
        <v>A VENCER</v>
      </c>
      <c r="AB1046" s="25" t="str">
        <f t="shared" si="81"/>
        <v>Dosa</v>
      </c>
      <c r="AC1046" s="2" t="str">
        <f t="shared" si="85"/>
        <v xml:space="preserve"> CRISTINA </v>
      </c>
      <c r="AD1046" s="26">
        <f t="shared" si="82"/>
        <v>5</v>
      </c>
      <c r="AE1046" s="26">
        <f t="shared" ca="1" si="84"/>
        <v>54.24425775463169</v>
      </c>
    </row>
    <row r="1047" spans="1:31" hidden="1">
      <c r="A1047" s="209">
        <v>9295538</v>
      </c>
      <c r="B1047" s="209" t="s">
        <v>101</v>
      </c>
      <c r="C1047" s="210" t="s">
        <v>1810</v>
      </c>
      <c r="D1047" s="214"/>
      <c r="E1047" s="214">
        <v>2326000206001</v>
      </c>
      <c r="F1047" s="209" t="s">
        <v>29</v>
      </c>
      <c r="G1047" s="209" t="s">
        <v>53</v>
      </c>
      <c r="H1047" s="209" t="s">
        <v>191</v>
      </c>
      <c r="I1047" s="209" t="s">
        <v>192</v>
      </c>
      <c r="J1047" s="209" t="s">
        <v>46</v>
      </c>
      <c r="K1047" s="210" t="s">
        <v>34</v>
      </c>
      <c r="L1047" s="210"/>
      <c r="M1047" s="209" t="s">
        <v>35</v>
      </c>
      <c r="N1047" s="209">
        <v>42318949</v>
      </c>
      <c r="O1047" s="209" t="s">
        <v>105</v>
      </c>
      <c r="P1047" s="213">
        <v>44932.432002314818</v>
      </c>
      <c r="Q1047" s="209"/>
      <c r="R1047" s="209" t="s">
        <v>38</v>
      </c>
      <c r="S1047" s="209"/>
      <c r="T1047" s="209" t="s">
        <v>74</v>
      </c>
      <c r="U1047" s="213">
        <v>44932.75</v>
      </c>
      <c r="V1047" s="209" t="s">
        <v>41</v>
      </c>
      <c r="W1047" s="209" t="s">
        <v>49</v>
      </c>
      <c r="X1047" s="13" t="str">
        <f>IF(RIGHT(H1047,2)&lt;&gt;"00",H1047,"")</f>
        <v/>
      </c>
      <c r="Y1047" s="26">
        <f ca="1">NETWORKDAYS(P1047,$Y$1)</f>
        <v>39</v>
      </c>
      <c r="Z1047" s="34">
        <v>1</v>
      </c>
      <c r="AA1047" s="25" t="str">
        <f t="shared" ca="1" si="83"/>
        <v>A VENCER</v>
      </c>
      <c r="AB1047" s="25" t="str">
        <f t="shared" si="81"/>
        <v>Dosa</v>
      </c>
      <c r="AC1047" s="2" t="str">
        <f t="shared" si="85"/>
        <v xml:space="preserve"> CLEITON </v>
      </c>
      <c r="AD1047" s="26">
        <f t="shared" si="82"/>
        <v>5</v>
      </c>
      <c r="AE1047" s="26">
        <f t="shared" ca="1" si="84"/>
        <v>54.244269328701193</v>
      </c>
    </row>
    <row r="1048" spans="1:31" hidden="1">
      <c r="A1048" s="209">
        <v>9295476</v>
      </c>
      <c r="B1048" s="209" t="s">
        <v>101</v>
      </c>
      <c r="C1048" s="210" t="s">
        <v>1810</v>
      </c>
      <c r="D1048" s="214"/>
      <c r="E1048" s="214">
        <v>2257000206001</v>
      </c>
      <c r="F1048" s="209" t="s">
        <v>29</v>
      </c>
      <c r="G1048" s="209" t="s">
        <v>53</v>
      </c>
      <c r="H1048" s="209" t="s">
        <v>381</v>
      </c>
      <c r="I1048" s="209" t="s">
        <v>382</v>
      </c>
      <c r="J1048" s="209" t="s">
        <v>110</v>
      </c>
      <c r="K1048" s="210" t="s">
        <v>34</v>
      </c>
      <c r="L1048" s="210"/>
      <c r="M1048" s="209" t="s">
        <v>35</v>
      </c>
      <c r="N1048" s="209">
        <v>42318949</v>
      </c>
      <c r="O1048" s="209" t="s">
        <v>105</v>
      </c>
      <c r="P1048" s="213">
        <v>44932.431921296295</v>
      </c>
      <c r="Q1048" s="209"/>
      <c r="R1048" s="209" t="s">
        <v>38</v>
      </c>
      <c r="S1048" s="209"/>
      <c r="T1048" s="209" t="s">
        <v>74</v>
      </c>
      <c r="U1048" s="213">
        <v>44932.75</v>
      </c>
      <c r="V1048" s="209" t="s">
        <v>41</v>
      </c>
      <c r="W1048" s="209" t="s">
        <v>49</v>
      </c>
      <c r="X1048" s="13" t="str">
        <f>IF(RIGHT(H1048,2)&lt;&gt;"00",H1048,"")</f>
        <v/>
      </c>
      <c r="Y1048" s="26">
        <f ca="1">NETWORKDAYS(P1048,$Y$1)</f>
        <v>39</v>
      </c>
      <c r="Z1048" s="34">
        <v>1</v>
      </c>
      <c r="AA1048" s="25" t="str">
        <f t="shared" ca="1" si="83"/>
        <v>A VENCER</v>
      </c>
      <c r="AB1048" s="25" t="str">
        <f t="shared" si="81"/>
        <v>Dosa</v>
      </c>
      <c r="AC1048" s="2" t="str">
        <f t="shared" si="85"/>
        <v xml:space="preserve"> CRISTINA </v>
      </c>
      <c r="AD1048" s="26">
        <f t="shared" si="82"/>
        <v>5</v>
      </c>
      <c r="AE1048" s="26">
        <f t="shared" ca="1" si="84"/>
        <v>54.244350347224099</v>
      </c>
    </row>
    <row r="1049" spans="1:31" hidden="1">
      <c r="A1049" s="209">
        <v>9295463</v>
      </c>
      <c r="B1049" s="209" t="s">
        <v>101</v>
      </c>
      <c r="C1049" s="210" t="s">
        <v>1810</v>
      </c>
      <c r="D1049" s="214"/>
      <c r="E1049" s="214">
        <v>2244000206001</v>
      </c>
      <c r="F1049" s="209" t="s">
        <v>29</v>
      </c>
      <c r="G1049" s="209" t="s">
        <v>53</v>
      </c>
      <c r="H1049" s="209" t="s">
        <v>1853</v>
      </c>
      <c r="I1049" s="209" t="s">
        <v>1854</v>
      </c>
      <c r="J1049" s="209" t="s">
        <v>79</v>
      </c>
      <c r="K1049" s="210" t="s">
        <v>34</v>
      </c>
      <c r="L1049" s="210"/>
      <c r="M1049" s="209" t="s">
        <v>35</v>
      </c>
      <c r="N1049" s="209">
        <v>42318949</v>
      </c>
      <c r="O1049" s="209" t="s">
        <v>105</v>
      </c>
      <c r="P1049" s="213">
        <v>44932.431909722225</v>
      </c>
      <c r="Q1049" s="209"/>
      <c r="R1049" s="209" t="s">
        <v>38</v>
      </c>
      <c r="S1049" s="209"/>
      <c r="T1049" s="209" t="s">
        <v>74</v>
      </c>
      <c r="U1049" s="213">
        <v>44932.75</v>
      </c>
      <c r="V1049" s="209" t="s">
        <v>41</v>
      </c>
      <c r="W1049" s="209" t="s">
        <v>49</v>
      </c>
      <c r="X1049" s="13" t="str">
        <f>IF(RIGHT(H1049,2)&lt;&gt;"00",H1049,"")</f>
        <v/>
      </c>
      <c r="Y1049" s="26">
        <f ca="1">NETWORKDAYS(P1049,$Y$1)</f>
        <v>39</v>
      </c>
      <c r="Z1049" s="34">
        <v>1</v>
      </c>
      <c r="AA1049" s="25" t="str">
        <f t="shared" ca="1" si="83"/>
        <v>A VENCER</v>
      </c>
      <c r="AB1049" s="25" t="str">
        <f t="shared" si="81"/>
        <v>Dosa</v>
      </c>
      <c r="AC1049" s="2" t="str">
        <f t="shared" si="85"/>
        <v xml:space="preserve"> ROSEMERE </v>
      </c>
      <c r="AD1049" s="26">
        <f t="shared" si="82"/>
        <v>5</v>
      </c>
      <c r="AE1049" s="26">
        <f t="shared" ca="1" si="84"/>
        <v>54.244361921293603</v>
      </c>
    </row>
    <row r="1050" spans="1:31" hidden="1">
      <c r="A1050" s="209">
        <v>9295457</v>
      </c>
      <c r="B1050" s="209" t="s">
        <v>101</v>
      </c>
      <c r="C1050" s="210" t="s">
        <v>1810</v>
      </c>
      <c r="D1050" s="214"/>
      <c r="E1050" s="214">
        <v>2238000206001</v>
      </c>
      <c r="F1050" s="209" t="s">
        <v>29</v>
      </c>
      <c r="G1050" s="209" t="s">
        <v>53</v>
      </c>
      <c r="H1050" s="209" t="s">
        <v>707</v>
      </c>
      <c r="I1050" s="209" t="s">
        <v>708</v>
      </c>
      <c r="J1050" s="209" t="s">
        <v>79</v>
      </c>
      <c r="K1050" s="210" t="s">
        <v>34</v>
      </c>
      <c r="L1050" s="210"/>
      <c r="M1050" s="209" t="s">
        <v>35</v>
      </c>
      <c r="N1050" s="209">
        <v>42318949</v>
      </c>
      <c r="O1050" s="209" t="s">
        <v>105</v>
      </c>
      <c r="P1050" s="213">
        <v>44932.431898148148</v>
      </c>
      <c r="Q1050" s="209"/>
      <c r="R1050" s="209" t="s">
        <v>38</v>
      </c>
      <c r="S1050" s="209"/>
      <c r="T1050" s="209" t="s">
        <v>74</v>
      </c>
      <c r="U1050" s="213">
        <v>44932.75</v>
      </c>
      <c r="V1050" s="209" t="s">
        <v>41</v>
      </c>
      <c r="W1050" s="209" t="s">
        <v>49</v>
      </c>
      <c r="X1050" s="13" t="str">
        <f>IF(RIGHT(H1050,2)&lt;&gt;"00",H1050,"")</f>
        <v/>
      </c>
      <c r="Y1050" s="26">
        <f ca="1">NETWORKDAYS(P1050,$Y$1)</f>
        <v>39</v>
      </c>
      <c r="Z1050" s="34">
        <v>1</v>
      </c>
      <c r="AA1050" s="25" t="str">
        <f t="shared" ca="1" si="83"/>
        <v>A VENCER</v>
      </c>
      <c r="AB1050" s="25" t="str">
        <f t="shared" si="81"/>
        <v>Dosa</v>
      </c>
      <c r="AC1050" s="2" t="str">
        <f t="shared" si="85"/>
        <v xml:space="preserve"> ROSEMERE </v>
      </c>
      <c r="AD1050" s="26">
        <f t="shared" si="82"/>
        <v>5</v>
      </c>
      <c r="AE1050" s="26">
        <f t="shared" ca="1" si="84"/>
        <v>54.244373495370382</v>
      </c>
    </row>
    <row r="1051" spans="1:31" hidden="1">
      <c r="A1051" s="209">
        <v>9295448</v>
      </c>
      <c r="B1051" s="209" t="s">
        <v>101</v>
      </c>
      <c r="C1051" s="210" t="s">
        <v>1810</v>
      </c>
      <c r="D1051" s="214"/>
      <c r="E1051" s="214">
        <v>2229000206001</v>
      </c>
      <c r="F1051" s="209" t="s">
        <v>29</v>
      </c>
      <c r="G1051" s="209" t="s">
        <v>53</v>
      </c>
      <c r="H1051" s="209" t="s">
        <v>339</v>
      </c>
      <c r="I1051" s="209" t="s">
        <v>340</v>
      </c>
      <c r="J1051" s="209" t="s">
        <v>211</v>
      </c>
      <c r="K1051" s="210" t="s">
        <v>34</v>
      </c>
      <c r="L1051" s="210"/>
      <c r="M1051" s="209" t="s">
        <v>35</v>
      </c>
      <c r="N1051" s="209">
        <v>42318949</v>
      </c>
      <c r="O1051" s="209" t="s">
        <v>105</v>
      </c>
      <c r="P1051" s="213">
        <v>44932.431886574072</v>
      </c>
      <c r="Q1051" s="209"/>
      <c r="R1051" s="209" t="s">
        <v>38</v>
      </c>
      <c r="S1051" s="209"/>
      <c r="T1051" s="209" t="s">
        <v>74</v>
      </c>
      <c r="U1051" s="213">
        <v>44932.75</v>
      </c>
      <c r="V1051" s="209" t="s">
        <v>41</v>
      </c>
      <c r="W1051" s="209" t="s">
        <v>49</v>
      </c>
      <c r="X1051" s="13" t="str">
        <f>IF(RIGHT(H1051,2)&lt;&gt;"00",H1051,"")</f>
        <v/>
      </c>
      <c r="Y1051" s="26">
        <f ca="1">NETWORKDAYS(P1051,$Y$1)</f>
        <v>39</v>
      </c>
      <c r="Z1051" s="34">
        <v>1</v>
      </c>
      <c r="AA1051" s="25" t="str">
        <f t="shared" ca="1" si="83"/>
        <v>A VENCER</v>
      </c>
      <c r="AB1051" s="25" t="str">
        <f t="shared" si="81"/>
        <v>Dosa</v>
      </c>
      <c r="AC1051" s="2" t="str">
        <f t="shared" si="85"/>
        <v xml:space="preserve"> RINALDO </v>
      </c>
      <c r="AD1051" s="26">
        <f t="shared" si="82"/>
        <v>5</v>
      </c>
      <c r="AE1051" s="26">
        <f t="shared" ca="1" si="84"/>
        <v>54.244385069447162</v>
      </c>
    </row>
    <row r="1052" spans="1:31" hidden="1">
      <c r="A1052" s="209">
        <v>9295438</v>
      </c>
      <c r="B1052" s="209" t="s">
        <v>101</v>
      </c>
      <c r="C1052" s="210" t="s">
        <v>1810</v>
      </c>
      <c r="D1052" s="214"/>
      <c r="E1052" s="214">
        <v>2219000206001</v>
      </c>
      <c r="F1052" s="209" t="s">
        <v>29</v>
      </c>
      <c r="G1052" s="209" t="s">
        <v>53</v>
      </c>
      <c r="H1052" s="209" t="s">
        <v>893</v>
      </c>
      <c r="I1052" s="209" t="s">
        <v>894</v>
      </c>
      <c r="J1052" s="209" t="s">
        <v>141</v>
      </c>
      <c r="K1052" s="210" t="s">
        <v>34</v>
      </c>
      <c r="L1052" s="210"/>
      <c r="M1052" s="209" t="s">
        <v>35</v>
      </c>
      <c r="N1052" s="209">
        <v>42318949</v>
      </c>
      <c r="O1052" s="209" t="s">
        <v>105</v>
      </c>
      <c r="P1052" s="213">
        <v>44932.431875000002</v>
      </c>
      <c r="Q1052" s="209"/>
      <c r="R1052" s="209" t="s">
        <v>38</v>
      </c>
      <c r="S1052" s="209"/>
      <c r="T1052" s="209" t="s">
        <v>74</v>
      </c>
      <c r="U1052" s="213">
        <v>44932.75</v>
      </c>
      <c r="V1052" s="209" t="s">
        <v>41</v>
      </c>
      <c r="W1052" s="209" t="s">
        <v>49</v>
      </c>
      <c r="X1052" s="13" t="str">
        <f>IF(RIGHT(H1052,2)&lt;&gt;"00",H1052,"")</f>
        <v/>
      </c>
      <c r="Y1052" s="26">
        <f ca="1">NETWORKDAYS(P1052,$Y$1)</f>
        <v>39</v>
      </c>
      <c r="Z1052" s="34">
        <v>1</v>
      </c>
      <c r="AA1052" s="25" t="str">
        <f t="shared" ca="1" si="83"/>
        <v>A VENCER</v>
      </c>
      <c r="AB1052" s="25" t="str">
        <f t="shared" si="81"/>
        <v>Dosa</v>
      </c>
      <c r="AC1052" s="2" t="str">
        <f t="shared" si="85"/>
        <v xml:space="preserve"> CRISTINA </v>
      </c>
      <c r="AD1052" s="26">
        <f t="shared" si="82"/>
        <v>5</v>
      </c>
      <c r="AE1052" s="26">
        <f t="shared" ca="1" si="84"/>
        <v>54.244396643516666</v>
      </c>
    </row>
    <row r="1053" spans="1:31" hidden="1">
      <c r="A1053" s="209">
        <v>9295414</v>
      </c>
      <c r="B1053" s="209" t="s">
        <v>101</v>
      </c>
      <c r="C1053" s="210" t="s">
        <v>1810</v>
      </c>
      <c r="D1053" s="214"/>
      <c r="E1053" s="214">
        <v>2196000206001</v>
      </c>
      <c r="F1053" s="209" t="s">
        <v>29</v>
      </c>
      <c r="G1053" s="209" t="s">
        <v>53</v>
      </c>
      <c r="H1053" s="209" t="s">
        <v>1252</v>
      </c>
      <c r="I1053" s="209" t="s">
        <v>1253</v>
      </c>
      <c r="J1053" s="209" t="s">
        <v>33</v>
      </c>
      <c r="K1053" s="210" t="s">
        <v>34</v>
      </c>
      <c r="L1053" s="210"/>
      <c r="M1053" s="209" t="s">
        <v>35</v>
      </c>
      <c r="N1053" s="209">
        <v>42318949</v>
      </c>
      <c r="O1053" s="209" t="s">
        <v>36</v>
      </c>
      <c r="P1053" s="213">
        <v>44932.431840277779</v>
      </c>
      <c r="Q1053" s="209"/>
      <c r="R1053" s="209" t="s">
        <v>38</v>
      </c>
      <c r="S1053" s="209"/>
      <c r="T1053" s="209" t="s">
        <v>74</v>
      </c>
      <c r="U1053" s="213">
        <v>44932.75</v>
      </c>
      <c r="V1053" s="209" t="s">
        <v>41</v>
      </c>
      <c r="W1053" s="209" t="s">
        <v>42</v>
      </c>
      <c r="X1053" s="13" t="str">
        <f>IF(RIGHT(H1053,2)&lt;&gt;"00",H1053,"")</f>
        <v/>
      </c>
      <c r="Y1053" s="26">
        <f ca="1">NETWORKDAYS(P1053,$Y$1)</f>
        <v>39</v>
      </c>
      <c r="Z1053" s="34">
        <v>1</v>
      </c>
      <c r="AA1053" s="25" t="str">
        <f t="shared" ca="1" si="83"/>
        <v>A VENCER</v>
      </c>
      <c r="AB1053" s="25" t="str">
        <f t="shared" ref="AB1053:AB1116" si="86">IF(F1053="GRPE-000001","C-14",IF(F1053="GRPE-000002","C-14",IF(F1053="GRPE-000003","C-14",IF(F1053="GRPE-000004","SL-On",IF(F1053="GRPE-000038","C-14",IF(F1053="GRPE-900022","Dosa",IF(F1053="GRPE-000029","Dosa",IF(F1053="ATOS-000222","Dose","TAAe+"))))))))</f>
        <v>Dosa</v>
      </c>
      <c r="AC1053" s="2" t="str">
        <f t="shared" si="85"/>
        <v xml:space="preserve"> ROSEMERE </v>
      </c>
      <c r="AD1053" s="26">
        <f t="shared" ref="AD1053:AD1116" si="87">IF(F1053="GRPE-000001",5,IF(F1053="GRPE-000002",5,IF(F1053="GRPE-000003",15,IF(F1053="GRPE-000004",1,IF(F1053="GRPE-000038",5,IF(F1053="GRPE-900022",5,IF(F1053="GRPE-000029",5,IF(F1053="ATOS-000222",5,8))))))))</f>
        <v>5</v>
      </c>
      <c r="AE1053" s="26">
        <f t="shared" ca="1" si="84"/>
        <v>54.244431365739729</v>
      </c>
    </row>
    <row r="1054" spans="1:31" hidden="1">
      <c r="A1054" s="209">
        <v>9295358</v>
      </c>
      <c r="B1054" s="209" t="s">
        <v>101</v>
      </c>
      <c r="C1054" s="210" t="s">
        <v>1810</v>
      </c>
      <c r="D1054" s="214"/>
      <c r="E1054" s="214">
        <v>2138000206001</v>
      </c>
      <c r="F1054" s="209" t="s">
        <v>29</v>
      </c>
      <c r="G1054" s="209" t="s">
        <v>53</v>
      </c>
      <c r="H1054" s="209" t="s">
        <v>379</v>
      </c>
      <c r="I1054" s="209" t="s">
        <v>380</v>
      </c>
      <c r="J1054" s="209" t="s">
        <v>46</v>
      </c>
      <c r="K1054" s="210" t="s">
        <v>34</v>
      </c>
      <c r="L1054" s="210"/>
      <c r="M1054" s="209" t="s">
        <v>35</v>
      </c>
      <c r="N1054" s="209">
        <v>42318949</v>
      </c>
      <c r="O1054" s="209" t="s">
        <v>105</v>
      </c>
      <c r="P1054" s="213">
        <v>44932.431759259256</v>
      </c>
      <c r="Q1054" s="209"/>
      <c r="R1054" s="209" t="s">
        <v>38</v>
      </c>
      <c r="S1054" s="209"/>
      <c r="T1054" s="209" t="s">
        <v>74</v>
      </c>
      <c r="U1054" s="213">
        <v>44932.75</v>
      </c>
      <c r="V1054" s="209" t="s">
        <v>41</v>
      </c>
      <c r="W1054" s="209" t="s">
        <v>49</v>
      </c>
      <c r="X1054" s="13" t="str">
        <f>IF(RIGHT(H1054,2)&lt;&gt;"00",H1054,"")</f>
        <v/>
      </c>
      <c r="Y1054" s="26">
        <f ca="1">NETWORKDAYS(P1054,$Y$1)</f>
        <v>39</v>
      </c>
      <c r="Z1054" s="34">
        <v>1</v>
      </c>
      <c r="AA1054" s="25" t="str">
        <f t="shared" ca="1" si="83"/>
        <v>A VENCER</v>
      </c>
      <c r="AB1054" s="25" t="str">
        <f t="shared" si="86"/>
        <v>Dosa</v>
      </c>
      <c r="AC1054" s="2" t="str">
        <f t="shared" si="85"/>
        <v xml:space="preserve"> CLEITON </v>
      </c>
      <c r="AD1054" s="26">
        <f t="shared" si="87"/>
        <v>5</v>
      </c>
      <c r="AE1054" s="26">
        <f t="shared" ca="1" si="84"/>
        <v>54.244512384262634</v>
      </c>
    </row>
    <row r="1055" spans="1:31" hidden="1">
      <c r="A1055" s="209">
        <v>9295348</v>
      </c>
      <c r="B1055" s="209" t="s">
        <v>101</v>
      </c>
      <c r="C1055" s="210" t="s">
        <v>1810</v>
      </c>
      <c r="D1055" s="214"/>
      <c r="E1055" s="214">
        <v>2125000206001</v>
      </c>
      <c r="F1055" s="209" t="s">
        <v>29</v>
      </c>
      <c r="G1055" s="209" t="s">
        <v>53</v>
      </c>
      <c r="H1055" s="209" t="s">
        <v>1399</v>
      </c>
      <c r="I1055" s="209" t="s">
        <v>1400</v>
      </c>
      <c r="J1055" s="209" t="s">
        <v>211</v>
      </c>
      <c r="K1055" s="210" t="s">
        <v>34</v>
      </c>
      <c r="L1055" s="210"/>
      <c r="M1055" s="209" t="s">
        <v>35</v>
      </c>
      <c r="N1055" s="209">
        <v>42318949</v>
      </c>
      <c r="O1055" s="209" t="s">
        <v>105</v>
      </c>
      <c r="P1055" s="213">
        <v>44932.431747685187</v>
      </c>
      <c r="Q1055" s="209"/>
      <c r="R1055" s="209" t="s">
        <v>38</v>
      </c>
      <c r="S1055" s="209"/>
      <c r="T1055" s="209" t="s">
        <v>74</v>
      </c>
      <c r="U1055" s="213">
        <v>44932.75</v>
      </c>
      <c r="V1055" s="209" t="s">
        <v>41</v>
      </c>
      <c r="W1055" s="209" t="s">
        <v>49</v>
      </c>
      <c r="X1055" s="13" t="str">
        <f>IF(RIGHT(H1055,2)&lt;&gt;"00",H1055,"")</f>
        <v/>
      </c>
      <c r="Y1055" s="26">
        <f ca="1">NETWORKDAYS(P1055,$Y$1)</f>
        <v>39</v>
      </c>
      <c r="Z1055" s="34">
        <v>1</v>
      </c>
      <c r="AA1055" s="25" t="str">
        <f t="shared" ca="1" si="83"/>
        <v>A VENCER</v>
      </c>
      <c r="AB1055" s="25" t="str">
        <f t="shared" si="86"/>
        <v>Dosa</v>
      </c>
      <c r="AC1055" s="2" t="str">
        <f t="shared" si="85"/>
        <v xml:space="preserve"> RINALDO </v>
      </c>
      <c r="AD1055" s="26">
        <f t="shared" si="87"/>
        <v>5</v>
      </c>
      <c r="AE1055" s="26">
        <f t="shared" ca="1" si="84"/>
        <v>54.244523958332138</v>
      </c>
    </row>
    <row r="1056" spans="1:31" hidden="1">
      <c r="A1056" s="209">
        <v>9295334</v>
      </c>
      <c r="B1056" s="209" t="s">
        <v>101</v>
      </c>
      <c r="C1056" s="210" t="s">
        <v>1810</v>
      </c>
      <c r="D1056" s="214"/>
      <c r="E1056" s="214">
        <v>2107000206001</v>
      </c>
      <c r="F1056" s="209" t="s">
        <v>29</v>
      </c>
      <c r="G1056" s="209" t="s">
        <v>53</v>
      </c>
      <c r="H1056" s="209" t="s">
        <v>262</v>
      </c>
      <c r="I1056" s="209" t="s">
        <v>263</v>
      </c>
      <c r="J1056" s="209" t="s">
        <v>164</v>
      </c>
      <c r="K1056" s="210" t="s">
        <v>34</v>
      </c>
      <c r="L1056" s="210"/>
      <c r="M1056" s="209" t="s">
        <v>35</v>
      </c>
      <c r="N1056" s="209">
        <v>42318949</v>
      </c>
      <c r="O1056" s="209" t="s">
        <v>105</v>
      </c>
      <c r="P1056" s="213">
        <v>44932.43172453704</v>
      </c>
      <c r="Q1056" s="209"/>
      <c r="R1056" s="209" t="s">
        <v>38</v>
      </c>
      <c r="S1056" s="209"/>
      <c r="T1056" s="209" t="s">
        <v>74</v>
      </c>
      <c r="U1056" s="213">
        <v>44932.75</v>
      </c>
      <c r="V1056" s="209" t="s">
        <v>41</v>
      </c>
      <c r="W1056" s="209" t="s">
        <v>49</v>
      </c>
      <c r="X1056" s="13" t="str">
        <f>IF(RIGHT(H1056,2)&lt;&gt;"00",H1056,"")</f>
        <v/>
      </c>
      <c r="Y1056" s="26">
        <f ca="1">NETWORKDAYS(P1056,$Y$1)</f>
        <v>39</v>
      </c>
      <c r="Z1056" s="34">
        <v>1</v>
      </c>
      <c r="AA1056" s="25" t="str">
        <f t="shared" ca="1" si="83"/>
        <v>A VENCER</v>
      </c>
      <c r="AB1056" s="25" t="str">
        <f t="shared" si="86"/>
        <v>Dosa</v>
      </c>
      <c r="AC1056" s="2" t="str">
        <f t="shared" si="85"/>
        <v xml:space="preserve"> ROSEMERE </v>
      </c>
      <c r="AD1056" s="26">
        <f t="shared" si="87"/>
        <v>5</v>
      </c>
      <c r="AE1056" s="26">
        <f t="shared" ca="1" si="84"/>
        <v>54.244547106478421</v>
      </c>
    </row>
    <row r="1057" spans="1:31" hidden="1">
      <c r="A1057" s="209">
        <v>9295312</v>
      </c>
      <c r="B1057" s="209" t="s">
        <v>101</v>
      </c>
      <c r="C1057" s="210" t="s">
        <v>1810</v>
      </c>
      <c r="D1057" s="214"/>
      <c r="E1057" s="214">
        <v>2081000206001</v>
      </c>
      <c r="F1057" s="209" t="s">
        <v>29</v>
      </c>
      <c r="G1057" s="209" t="s">
        <v>53</v>
      </c>
      <c r="H1057" s="209" t="s">
        <v>590</v>
      </c>
      <c r="I1057" s="209" t="s">
        <v>591</v>
      </c>
      <c r="J1057" s="209" t="s">
        <v>261</v>
      </c>
      <c r="K1057" s="210" t="s">
        <v>34</v>
      </c>
      <c r="L1057" s="210"/>
      <c r="M1057" s="209" t="s">
        <v>35</v>
      </c>
      <c r="N1057" s="209">
        <v>42318949</v>
      </c>
      <c r="O1057" s="209" t="s">
        <v>105</v>
      </c>
      <c r="P1057" s="213">
        <v>44932.431689814817</v>
      </c>
      <c r="Q1057" s="209"/>
      <c r="R1057" s="209" t="s">
        <v>38</v>
      </c>
      <c r="S1057" s="209"/>
      <c r="T1057" s="209" t="s">
        <v>74</v>
      </c>
      <c r="U1057" s="213">
        <v>44932.75</v>
      </c>
      <c r="V1057" s="209" t="s">
        <v>41</v>
      </c>
      <c r="W1057" s="209" t="s">
        <v>49</v>
      </c>
      <c r="X1057" s="13" t="str">
        <f>IF(RIGHT(H1057,2)&lt;&gt;"00",H1057,"")</f>
        <v/>
      </c>
      <c r="Y1057" s="26">
        <f ca="1">NETWORKDAYS(P1057,$Y$1)</f>
        <v>39</v>
      </c>
      <c r="Z1057" s="34">
        <v>1</v>
      </c>
      <c r="AA1057" s="25" t="str">
        <f t="shared" ca="1" si="83"/>
        <v>A VENCER</v>
      </c>
      <c r="AB1057" s="25" t="str">
        <f t="shared" si="86"/>
        <v>Dosa</v>
      </c>
      <c r="AC1057" s="2" t="str">
        <f t="shared" si="85"/>
        <v xml:space="preserve"> CRISTINA </v>
      </c>
      <c r="AD1057" s="26">
        <f t="shared" si="87"/>
        <v>5</v>
      </c>
      <c r="AE1057" s="26">
        <f t="shared" ca="1" si="84"/>
        <v>54.244581828701484</v>
      </c>
    </row>
    <row r="1058" spans="1:31" hidden="1">
      <c r="A1058" s="209">
        <v>9295301</v>
      </c>
      <c r="B1058" s="209" t="s">
        <v>101</v>
      </c>
      <c r="C1058" s="210" t="s">
        <v>1810</v>
      </c>
      <c r="D1058" s="214"/>
      <c r="E1058" s="214">
        <v>2069000206001</v>
      </c>
      <c r="F1058" s="209" t="s">
        <v>29</v>
      </c>
      <c r="G1058" s="209" t="s">
        <v>53</v>
      </c>
      <c r="H1058" s="209" t="s">
        <v>557</v>
      </c>
      <c r="I1058" s="209" t="s">
        <v>558</v>
      </c>
      <c r="J1058" s="209" t="s">
        <v>90</v>
      </c>
      <c r="K1058" s="210" t="s">
        <v>34</v>
      </c>
      <c r="L1058" s="210"/>
      <c r="M1058" s="209" t="s">
        <v>35</v>
      </c>
      <c r="N1058" s="209">
        <v>42318949</v>
      </c>
      <c r="O1058" s="209" t="s">
        <v>105</v>
      </c>
      <c r="P1058" s="213">
        <v>44932.43167824074</v>
      </c>
      <c r="Q1058" s="209"/>
      <c r="R1058" s="209" t="s">
        <v>38</v>
      </c>
      <c r="S1058" s="209"/>
      <c r="T1058" s="209" t="s">
        <v>74</v>
      </c>
      <c r="U1058" s="213">
        <v>44932.75</v>
      </c>
      <c r="V1058" s="209" t="s">
        <v>41</v>
      </c>
      <c r="W1058" s="209" t="s">
        <v>49</v>
      </c>
      <c r="X1058" s="13" t="str">
        <f>IF(RIGHT(H1058,2)&lt;&gt;"00",H1058,"")</f>
        <v/>
      </c>
      <c r="Y1058" s="26">
        <f ca="1">NETWORKDAYS(P1058,$Y$1)</f>
        <v>39</v>
      </c>
      <c r="Z1058" s="34">
        <v>1</v>
      </c>
      <c r="AA1058" s="25" t="str">
        <f t="shared" ca="1" si="83"/>
        <v>A VENCER</v>
      </c>
      <c r="AB1058" s="25" t="str">
        <f t="shared" si="86"/>
        <v>Dosa</v>
      </c>
      <c r="AC1058" s="2" t="str">
        <f t="shared" si="85"/>
        <v xml:space="preserve"> RINALDO </v>
      </c>
      <c r="AD1058" s="26">
        <f t="shared" si="87"/>
        <v>5</v>
      </c>
      <c r="AE1058" s="26">
        <f t="shared" ca="1" si="84"/>
        <v>54.244593402778264</v>
      </c>
    </row>
    <row r="1059" spans="1:31" hidden="1">
      <c r="A1059" s="209">
        <v>9295258</v>
      </c>
      <c r="B1059" s="209" t="s">
        <v>101</v>
      </c>
      <c r="C1059" s="210" t="s">
        <v>1810</v>
      </c>
      <c r="D1059" s="214"/>
      <c r="E1059" s="214">
        <v>2018000206001</v>
      </c>
      <c r="F1059" s="209" t="s">
        <v>29</v>
      </c>
      <c r="G1059" s="209" t="s">
        <v>53</v>
      </c>
      <c r="H1059" s="209" t="s">
        <v>598</v>
      </c>
      <c r="I1059" s="209" t="s">
        <v>599</v>
      </c>
      <c r="J1059" s="209" t="s">
        <v>79</v>
      </c>
      <c r="K1059" s="210" t="s">
        <v>34</v>
      </c>
      <c r="L1059" s="210"/>
      <c r="M1059" s="209" t="s">
        <v>35</v>
      </c>
      <c r="N1059" s="209">
        <v>42318949</v>
      </c>
      <c r="O1059" s="209" t="s">
        <v>105</v>
      </c>
      <c r="P1059" s="213">
        <v>44932.431597222225</v>
      </c>
      <c r="Q1059" s="209"/>
      <c r="R1059" s="209" t="s">
        <v>38</v>
      </c>
      <c r="S1059" s="209"/>
      <c r="T1059" s="209" t="s">
        <v>74</v>
      </c>
      <c r="U1059" s="213">
        <v>44932.75</v>
      </c>
      <c r="V1059" s="209" t="s">
        <v>41</v>
      </c>
      <c r="W1059" s="209" t="s">
        <v>49</v>
      </c>
      <c r="X1059" s="13" t="str">
        <f>IF(RIGHT(H1059,2)&lt;&gt;"00",H1059,"")</f>
        <v/>
      </c>
      <c r="Y1059" s="26">
        <f ca="1">NETWORKDAYS(P1059,$Y$1)</f>
        <v>39</v>
      </c>
      <c r="Z1059" s="34">
        <v>1</v>
      </c>
      <c r="AA1059" s="25" t="str">
        <f t="shared" ca="1" si="83"/>
        <v>A VENCER</v>
      </c>
      <c r="AB1059" s="25" t="str">
        <f t="shared" si="86"/>
        <v>Dosa</v>
      </c>
      <c r="AC1059" s="2" t="str">
        <f t="shared" si="85"/>
        <v xml:space="preserve"> ROSEMERE </v>
      </c>
      <c r="AD1059" s="26">
        <f t="shared" si="87"/>
        <v>5</v>
      </c>
      <c r="AE1059" s="26">
        <f t="shared" ca="1" si="84"/>
        <v>54.244674421293894</v>
      </c>
    </row>
    <row r="1060" spans="1:31" hidden="1">
      <c r="A1060" s="209">
        <v>9295224</v>
      </c>
      <c r="B1060" s="209" t="s">
        <v>101</v>
      </c>
      <c r="C1060" s="210" t="s">
        <v>1810</v>
      </c>
      <c r="D1060" s="214"/>
      <c r="E1060" s="214">
        <v>1943000206001</v>
      </c>
      <c r="F1060" s="209" t="s">
        <v>29</v>
      </c>
      <c r="G1060" s="209" t="s">
        <v>53</v>
      </c>
      <c r="H1060" s="209" t="s">
        <v>264</v>
      </c>
      <c r="I1060" s="209" t="s">
        <v>265</v>
      </c>
      <c r="J1060" s="209" t="s">
        <v>56</v>
      </c>
      <c r="K1060" s="210" t="s">
        <v>34</v>
      </c>
      <c r="L1060" s="210"/>
      <c r="M1060" s="209" t="s">
        <v>35</v>
      </c>
      <c r="N1060" s="209">
        <v>42318949</v>
      </c>
      <c r="O1060" s="209" t="s">
        <v>105</v>
      </c>
      <c r="P1060" s="213">
        <v>44932.431550925925</v>
      </c>
      <c r="Q1060" s="209"/>
      <c r="R1060" s="209" t="s">
        <v>38</v>
      </c>
      <c r="S1060" s="209"/>
      <c r="T1060" s="209" t="s">
        <v>74</v>
      </c>
      <c r="U1060" s="213">
        <v>44932.75</v>
      </c>
      <c r="V1060" s="209" t="s">
        <v>41</v>
      </c>
      <c r="W1060" s="209" t="s">
        <v>49</v>
      </c>
      <c r="X1060" s="13" t="str">
        <f>IF(RIGHT(H1060,2)&lt;&gt;"00",H1060,"")</f>
        <v/>
      </c>
      <c r="Y1060" s="26">
        <f ca="1">NETWORKDAYS(P1060,$Y$1)</f>
        <v>39</v>
      </c>
      <c r="Z1060" s="34">
        <v>1</v>
      </c>
      <c r="AA1060" s="25" t="str">
        <f t="shared" ca="1" si="83"/>
        <v>A VENCER</v>
      </c>
      <c r="AB1060" s="25" t="str">
        <f t="shared" si="86"/>
        <v>Dosa</v>
      </c>
      <c r="AC1060" s="2" t="str">
        <f t="shared" si="85"/>
        <v xml:space="preserve"> CRISTINA </v>
      </c>
      <c r="AD1060" s="26">
        <f t="shared" si="87"/>
        <v>5</v>
      </c>
      <c r="AE1060" s="26">
        <f t="shared" ca="1" si="84"/>
        <v>54.244720717593736</v>
      </c>
    </row>
    <row r="1061" spans="1:31" hidden="1">
      <c r="A1061" s="209">
        <v>9295212</v>
      </c>
      <c r="B1061" s="209" t="s">
        <v>101</v>
      </c>
      <c r="C1061" s="210" t="s">
        <v>1810</v>
      </c>
      <c r="D1061" s="214"/>
      <c r="E1061" s="214">
        <v>1924000206001</v>
      </c>
      <c r="F1061" s="209" t="s">
        <v>29</v>
      </c>
      <c r="G1061" s="209" t="s">
        <v>53</v>
      </c>
      <c r="H1061" s="209" t="s">
        <v>568</v>
      </c>
      <c r="I1061" s="209" t="s">
        <v>569</v>
      </c>
      <c r="J1061" s="209" t="s">
        <v>33</v>
      </c>
      <c r="K1061" s="210" t="s">
        <v>34</v>
      </c>
      <c r="L1061" s="210"/>
      <c r="M1061" s="209" t="s">
        <v>35</v>
      </c>
      <c r="N1061" s="209">
        <v>42318949</v>
      </c>
      <c r="O1061" s="209" t="s">
        <v>105</v>
      </c>
      <c r="P1061" s="213">
        <v>44932.431539351855</v>
      </c>
      <c r="Q1061" s="209"/>
      <c r="R1061" s="209" t="s">
        <v>38</v>
      </c>
      <c r="S1061" s="209"/>
      <c r="T1061" s="209" t="s">
        <v>74</v>
      </c>
      <c r="U1061" s="213">
        <v>44932.75</v>
      </c>
      <c r="V1061" s="209" t="s">
        <v>41</v>
      </c>
      <c r="W1061" s="209" t="s">
        <v>49</v>
      </c>
      <c r="X1061" s="13" t="str">
        <f>IF(RIGHT(H1061,2)&lt;&gt;"00",H1061,"")</f>
        <v/>
      </c>
      <c r="Y1061" s="26">
        <f ca="1">NETWORKDAYS(P1061,$Y$1)</f>
        <v>39</v>
      </c>
      <c r="Z1061" s="34">
        <v>1</v>
      </c>
      <c r="AA1061" s="25" t="str">
        <f t="shared" ca="1" si="83"/>
        <v>A VENCER</v>
      </c>
      <c r="AB1061" s="25" t="str">
        <f t="shared" si="86"/>
        <v>Dosa</v>
      </c>
      <c r="AC1061" s="2" t="str">
        <f t="shared" si="85"/>
        <v xml:space="preserve"> ROSEMERE </v>
      </c>
      <c r="AD1061" s="26">
        <f t="shared" si="87"/>
        <v>5</v>
      </c>
      <c r="AE1061" s="26">
        <f t="shared" ca="1" si="84"/>
        <v>54.24473229166324</v>
      </c>
    </row>
    <row r="1062" spans="1:31" hidden="1">
      <c r="A1062" s="209">
        <v>9295207</v>
      </c>
      <c r="B1062" s="209" t="s">
        <v>101</v>
      </c>
      <c r="C1062" s="210" t="s">
        <v>1810</v>
      </c>
      <c r="D1062" s="214"/>
      <c r="E1062" s="214">
        <v>1903220206001</v>
      </c>
      <c r="F1062" s="209" t="s">
        <v>29</v>
      </c>
      <c r="G1062" s="209" t="s">
        <v>53</v>
      </c>
      <c r="H1062" s="209" t="s">
        <v>1867</v>
      </c>
      <c r="I1062" s="209" t="s">
        <v>1868</v>
      </c>
      <c r="J1062" s="209" t="s">
        <v>211</v>
      </c>
      <c r="K1062" s="210" t="s">
        <v>34</v>
      </c>
      <c r="L1062" s="210"/>
      <c r="M1062" s="209" t="s">
        <v>35</v>
      </c>
      <c r="N1062" s="209">
        <v>42318949</v>
      </c>
      <c r="O1062" s="209" t="s">
        <v>105</v>
      </c>
      <c r="P1062" s="213">
        <v>44932.431527777779</v>
      </c>
      <c r="Q1062" s="209"/>
      <c r="R1062" s="209" t="s">
        <v>38</v>
      </c>
      <c r="S1062" s="209"/>
      <c r="T1062" s="209" t="s">
        <v>74</v>
      </c>
      <c r="U1062" s="213">
        <v>44932.75</v>
      </c>
      <c r="V1062" s="209" t="s">
        <v>41</v>
      </c>
      <c r="W1062" s="209" t="s">
        <v>49</v>
      </c>
      <c r="X1062" s="13" t="str">
        <f>IF(RIGHT(H1062,2)&lt;&gt;"00",H1062,"")</f>
        <v>1903.22</v>
      </c>
      <c r="Y1062" s="26">
        <f ca="1">NETWORKDAYS(P1062,$Y$1)</f>
        <v>39</v>
      </c>
      <c r="Z1062" s="34">
        <v>1</v>
      </c>
      <c r="AA1062" s="25" t="str">
        <f t="shared" ca="1" si="83"/>
        <v>A VENCER</v>
      </c>
      <c r="AB1062" s="25" t="str">
        <f t="shared" si="86"/>
        <v>Dosa</v>
      </c>
      <c r="AC1062" s="2" t="str">
        <f t="shared" si="85"/>
        <v xml:space="preserve"> RINALDO </v>
      </c>
      <c r="AD1062" s="26">
        <f t="shared" si="87"/>
        <v>5</v>
      </c>
      <c r="AE1062" s="26">
        <f t="shared" ca="1" si="84"/>
        <v>54.24474386574002</v>
      </c>
    </row>
    <row r="1063" spans="1:31" hidden="1">
      <c r="A1063" s="209">
        <v>9295158</v>
      </c>
      <c r="B1063" s="209" t="s">
        <v>101</v>
      </c>
      <c r="C1063" s="210" t="s">
        <v>1810</v>
      </c>
      <c r="D1063" s="214"/>
      <c r="E1063" s="214">
        <v>1838000206001</v>
      </c>
      <c r="F1063" s="209" t="s">
        <v>29</v>
      </c>
      <c r="G1063" s="209" t="s">
        <v>53</v>
      </c>
      <c r="H1063" s="209" t="s">
        <v>357</v>
      </c>
      <c r="I1063" s="209" t="s">
        <v>358</v>
      </c>
      <c r="J1063" s="209" t="s">
        <v>46</v>
      </c>
      <c r="K1063" s="210" t="s">
        <v>34</v>
      </c>
      <c r="L1063" s="210"/>
      <c r="M1063" s="209" t="s">
        <v>35</v>
      </c>
      <c r="N1063" s="209">
        <v>42318949</v>
      </c>
      <c r="O1063" s="209" t="s">
        <v>105</v>
      </c>
      <c r="P1063" s="213">
        <v>44932.431458333333</v>
      </c>
      <c r="Q1063" s="209"/>
      <c r="R1063" s="209" t="s">
        <v>38</v>
      </c>
      <c r="S1063" s="209"/>
      <c r="T1063" s="209" t="s">
        <v>74</v>
      </c>
      <c r="U1063" s="213">
        <v>44932.75</v>
      </c>
      <c r="V1063" s="209" t="s">
        <v>41</v>
      </c>
      <c r="W1063" s="209" t="s">
        <v>49</v>
      </c>
      <c r="X1063" s="13" t="str">
        <f>IF(RIGHT(H1063,2)&lt;&gt;"00",H1063,"")</f>
        <v/>
      </c>
      <c r="Y1063" s="26">
        <f ca="1">NETWORKDAYS(P1063,$Y$1)</f>
        <v>39</v>
      </c>
      <c r="Z1063" s="34">
        <v>1</v>
      </c>
      <c r="AA1063" s="25" t="str">
        <f t="shared" ca="1" si="83"/>
        <v>A VENCER</v>
      </c>
      <c r="AB1063" s="25" t="str">
        <f t="shared" si="86"/>
        <v>Dosa</v>
      </c>
      <c r="AC1063" s="2" t="str">
        <f t="shared" si="85"/>
        <v xml:space="preserve"> CLEITON </v>
      </c>
      <c r="AD1063" s="26">
        <f t="shared" si="87"/>
        <v>5</v>
      </c>
      <c r="AE1063" s="26">
        <f t="shared" ca="1" si="84"/>
        <v>54.244813310186146</v>
      </c>
    </row>
    <row r="1064" spans="1:31" hidden="1">
      <c r="A1064" s="209">
        <v>9295157</v>
      </c>
      <c r="B1064" s="209" t="s">
        <v>101</v>
      </c>
      <c r="C1064" s="210" t="s">
        <v>1810</v>
      </c>
      <c r="D1064" s="214"/>
      <c r="E1064" s="214">
        <v>1837000206001</v>
      </c>
      <c r="F1064" s="209" t="s">
        <v>29</v>
      </c>
      <c r="G1064" s="209" t="s">
        <v>53</v>
      </c>
      <c r="H1064" s="209" t="s">
        <v>1785</v>
      </c>
      <c r="I1064" s="209" t="s">
        <v>1786</v>
      </c>
      <c r="J1064" s="209" t="s">
        <v>46</v>
      </c>
      <c r="K1064" s="210" t="s">
        <v>34</v>
      </c>
      <c r="L1064" s="210"/>
      <c r="M1064" s="209" t="s">
        <v>35</v>
      </c>
      <c r="N1064" s="209">
        <v>42318949</v>
      </c>
      <c r="O1064" s="209" t="s">
        <v>105</v>
      </c>
      <c r="P1064" s="213">
        <v>44932.431458333333</v>
      </c>
      <c r="Q1064" s="209"/>
      <c r="R1064" s="209" t="s">
        <v>38</v>
      </c>
      <c r="S1064" s="209"/>
      <c r="T1064" s="209" t="s">
        <v>74</v>
      </c>
      <c r="U1064" s="213">
        <v>44932.75</v>
      </c>
      <c r="V1064" s="209" t="s">
        <v>41</v>
      </c>
      <c r="W1064" s="209" t="s">
        <v>49</v>
      </c>
      <c r="X1064" s="13" t="str">
        <f>IF(RIGHT(H1064,2)&lt;&gt;"00",H1064,"")</f>
        <v/>
      </c>
      <c r="Y1064" s="26">
        <f ca="1">NETWORKDAYS(P1064,$Y$1)</f>
        <v>39</v>
      </c>
      <c r="Z1064" s="34">
        <v>1</v>
      </c>
      <c r="AA1064" s="25" t="str">
        <f t="shared" ca="1" si="83"/>
        <v>A VENCER</v>
      </c>
      <c r="AB1064" s="25" t="str">
        <f t="shared" si="86"/>
        <v>Dosa</v>
      </c>
      <c r="AC1064" s="2" t="str">
        <f t="shared" si="85"/>
        <v xml:space="preserve"> CLEITON </v>
      </c>
      <c r="AD1064" s="26">
        <f t="shared" si="87"/>
        <v>5</v>
      </c>
      <c r="AE1064" s="26">
        <f t="shared" ca="1" si="84"/>
        <v>54.244813310186146</v>
      </c>
    </row>
    <row r="1065" spans="1:31" hidden="1">
      <c r="A1065" s="209">
        <v>9295156</v>
      </c>
      <c r="B1065" s="209" t="s">
        <v>101</v>
      </c>
      <c r="C1065" s="210" t="s">
        <v>1810</v>
      </c>
      <c r="D1065" s="214"/>
      <c r="E1065" s="214">
        <v>1835000206001</v>
      </c>
      <c r="F1065" s="209" t="s">
        <v>29</v>
      </c>
      <c r="G1065" s="209" t="s">
        <v>53</v>
      </c>
      <c r="H1065" s="209" t="s">
        <v>305</v>
      </c>
      <c r="I1065" s="209" t="s">
        <v>306</v>
      </c>
      <c r="J1065" s="209" t="s">
        <v>46</v>
      </c>
      <c r="K1065" s="210" t="s">
        <v>34</v>
      </c>
      <c r="L1065" s="210"/>
      <c r="M1065" s="209" t="s">
        <v>35</v>
      </c>
      <c r="N1065" s="209">
        <v>42318949</v>
      </c>
      <c r="O1065" s="209" t="s">
        <v>105</v>
      </c>
      <c r="P1065" s="213">
        <v>44932.431458333333</v>
      </c>
      <c r="Q1065" s="209"/>
      <c r="R1065" s="209" t="s">
        <v>38</v>
      </c>
      <c r="S1065" s="209"/>
      <c r="T1065" s="209" t="s">
        <v>74</v>
      </c>
      <c r="U1065" s="213">
        <v>44932.75</v>
      </c>
      <c r="V1065" s="209" t="s">
        <v>41</v>
      </c>
      <c r="W1065" s="209" t="s">
        <v>49</v>
      </c>
      <c r="X1065" s="13" t="str">
        <f>IF(RIGHT(H1065,2)&lt;&gt;"00",H1065,"")</f>
        <v/>
      </c>
      <c r="Y1065" s="26">
        <f ca="1">NETWORKDAYS(P1065,$Y$1)</f>
        <v>39</v>
      </c>
      <c r="Z1065" s="34">
        <v>1</v>
      </c>
      <c r="AA1065" s="25" t="str">
        <f t="shared" ca="1" si="83"/>
        <v>A VENCER</v>
      </c>
      <c r="AB1065" s="25" t="str">
        <f t="shared" si="86"/>
        <v>Dosa</v>
      </c>
      <c r="AC1065" s="2" t="str">
        <f t="shared" si="85"/>
        <v xml:space="preserve"> CLEITON </v>
      </c>
      <c r="AD1065" s="26">
        <f t="shared" si="87"/>
        <v>5</v>
      </c>
      <c r="AE1065" s="26">
        <f t="shared" ca="1" si="84"/>
        <v>54.244813310186146</v>
      </c>
    </row>
    <row r="1066" spans="1:31" hidden="1">
      <c r="A1066" s="209">
        <v>9295154</v>
      </c>
      <c r="B1066" s="209" t="s">
        <v>101</v>
      </c>
      <c r="C1066" s="210" t="s">
        <v>1810</v>
      </c>
      <c r="D1066" s="214"/>
      <c r="E1066" s="214">
        <v>1833000206001</v>
      </c>
      <c r="F1066" s="209" t="s">
        <v>29</v>
      </c>
      <c r="G1066" s="209" t="s">
        <v>53</v>
      </c>
      <c r="H1066" s="209" t="s">
        <v>369</v>
      </c>
      <c r="I1066" s="209" t="s">
        <v>370</v>
      </c>
      <c r="J1066" s="209" t="s">
        <v>46</v>
      </c>
      <c r="K1066" s="210" t="s">
        <v>34</v>
      </c>
      <c r="L1066" s="210"/>
      <c r="M1066" s="209" t="s">
        <v>35</v>
      </c>
      <c r="N1066" s="209">
        <v>42318949</v>
      </c>
      <c r="O1066" s="209" t="s">
        <v>105</v>
      </c>
      <c r="P1066" s="213">
        <v>44932.431446759256</v>
      </c>
      <c r="Q1066" s="209"/>
      <c r="R1066" s="209" t="s">
        <v>38</v>
      </c>
      <c r="S1066" s="209"/>
      <c r="T1066" s="209" t="s">
        <v>74</v>
      </c>
      <c r="U1066" s="213">
        <v>44932.75</v>
      </c>
      <c r="V1066" s="209" t="s">
        <v>41</v>
      </c>
      <c r="W1066" s="209" t="s">
        <v>49</v>
      </c>
      <c r="X1066" s="13" t="str">
        <f>IF(RIGHT(H1066,2)&lt;&gt;"00",H1066,"")</f>
        <v/>
      </c>
      <c r="Y1066" s="26">
        <f ca="1">NETWORKDAYS(P1066,$Y$1)</f>
        <v>39</v>
      </c>
      <c r="Z1066" s="34">
        <v>1</v>
      </c>
      <c r="AA1066" s="25" t="str">
        <f t="shared" ca="1" si="83"/>
        <v>A VENCER</v>
      </c>
      <c r="AB1066" s="25" t="str">
        <f t="shared" si="86"/>
        <v>Dosa</v>
      </c>
      <c r="AC1066" s="2" t="str">
        <f t="shared" si="85"/>
        <v xml:space="preserve"> CLEITON </v>
      </c>
      <c r="AD1066" s="26">
        <f t="shared" si="87"/>
        <v>5</v>
      </c>
      <c r="AE1066" s="26">
        <f t="shared" ca="1" si="84"/>
        <v>54.244824884262925</v>
      </c>
    </row>
    <row r="1067" spans="1:31" hidden="1">
      <c r="A1067" s="209">
        <v>9295142</v>
      </c>
      <c r="B1067" s="209" t="s">
        <v>101</v>
      </c>
      <c r="C1067" s="210" t="s">
        <v>1810</v>
      </c>
      <c r="D1067" s="214"/>
      <c r="E1067" s="214">
        <v>1814000206001</v>
      </c>
      <c r="F1067" s="209" t="s">
        <v>29</v>
      </c>
      <c r="G1067" s="209" t="s">
        <v>53</v>
      </c>
      <c r="H1067" s="209" t="s">
        <v>396</v>
      </c>
      <c r="I1067" s="209" t="s">
        <v>397</v>
      </c>
      <c r="J1067" s="209" t="s">
        <v>46</v>
      </c>
      <c r="K1067" s="210" t="s">
        <v>34</v>
      </c>
      <c r="L1067" s="210"/>
      <c r="M1067" s="209" t="s">
        <v>35</v>
      </c>
      <c r="N1067" s="209">
        <v>42318949</v>
      </c>
      <c r="O1067" s="209" t="s">
        <v>105</v>
      </c>
      <c r="P1067" s="213">
        <v>44932.431435185186</v>
      </c>
      <c r="Q1067" s="209"/>
      <c r="R1067" s="209" t="s">
        <v>38</v>
      </c>
      <c r="S1067" s="209"/>
      <c r="T1067" s="209" t="s">
        <v>74</v>
      </c>
      <c r="U1067" s="213">
        <v>44932.75</v>
      </c>
      <c r="V1067" s="209" t="s">
        <v>41</v>
      </c>
      <c r="W1067" s="209" t="s">
        <v>49</v>
      </c>
      <c r="X1067" s="13" t="str">
        <f>IF(RIGHT(H1067,2)&lt;&gt;"00",H1067,"")</f>
        <v/>
      </c>
      <c r="Y1067" s="26">
        <f ca="1">NETWORKDAYS(P1067,$Y$1)</f>
        <v>39</v>
      </c>
      <c r="Z1067" s="34">
        <v>1</v>
      </c>
      <c r="AA1067" s="25" t="str">
        <f t="shared" ca="1" si="83"/>
        <v>A VENCER</v>
      </c>
      <c r="AB1067" s="25" t="str">
        <f t="shared" si="86"/>
        <v>Dosa</v>
      </c>
      <c r="AC1067" s="2" t="str">
        <f t="shared" si="85"/>
        <v xml:space="preserve"> CLEITON </v>
      </c>
      <c r="AD1067" s="26">
        <f t="shared" si="87"/>
        <v>5</v>
      </c>
      <c r="AE1067" s="26">
        <f t="shared" ca="1" si="84"/>
        <v>54.244836458332429</v>
      </c>
    </row>
    <row r="1068" spans="1:31" hidden="1">
      <c r="A1068" s="209">
        <v>9295124</v>
      </c>
      <c r="B1068" s="209" t="s">
        <v>101</v>
      </c>
      <c r="C1068" s="210" t="s">
        <v>1810</v>
      </c>
      <c r="D1068" s="214"/>
      <c r="E1068" s="214">
        <v>1792000206001</v>
      </c>
      <c r="F1068" s="209" t="s">
        <v>29</v>
      </c>
      <c r="G1068" s="209" t="s">
        <v>53</v>
      </c>
      <c r="H1068" s="209" t="s">
        <v>467</v>
      </c>
      <c r="I1068" s="209" t="s">
        <v>468</v>
      </c>
      <c r="J1068" s="209" t="s">
        <v>110</v>
      </c>
      <c r="K1068" s="210" t="s">
        <v>34</v>
      </c>
      <c r="L1068" s="210"/>
      <c r="M1068" s="209" t="s">
        <v>35</v>
      </c>
      <c r="N1068" s="209">
        <v>42318949</v>
      </c>
      <c r="O1068" s="209" t="s">
        <v>105</v>
      </c>
      <c r="P1068" s="213">
        <v>44932.431400462963</v>
      </c>
      <c r="Q1068" s="209"/>
      <c r="R1068" s="209" t="s">
        <v>38</v>
      </c>
      <c r="S1068" s="209"/>
      <c r="T1068" s="209" t="s">
        <v>74</v>
      </c>
      <c r="U1068" s="213">
        <v>44932.75</v>
      </c>
      <c r="V1068" s="209" t="s">
        <v>41</v>
      </c>
      <c r="W1068" s="209" t="s">
        <v>49</v>
      </c>
      <c r="X1068" s="13" t="str">
        <f>IF(RIGHT(H1068,2)&lt;&gt;"00",H1068,"")</f>
        <v/>
      </c>
      <c r="Y1068" s="26">
        <f ca="1">NETWORKDAYS(P1068,$Y$1)</f>
        <v>39</v>
      </c>
      <c r="Z1068" s="34">
        <v>1</v>
      </c>
      <c r="AA1068" s="25" t="str">
        <f t="shared" ca="1" si="83"/>
        <v>A VENCER</v>
      </c>
      <c r="AB1068" s="25" t="str">
        <f t="shared" si="86"/>
        <v>Dosa</v>
      </c>
      <c r="AC1068" s="2" t="str">
        <f t="shared" si="85"/>
        <v xml:space="preserve"> CRISTINA </v>
      </c>
      <c r="AD1068" s="26">
        <f t="shared" si="87"/>
        <v>5</v>
      </c>
      <c r="AE1068" s="26">
        <f t="shared" ca="1" si="84"/>
        <v>54.244871180555492</v>
      </c>
    </row>
    <row r="1069" spans="1:31" hidden="1">
      <c r="A1069" s="209">
        <v>9295100</v>
      </c>
      <c r="B1069" s="209" t="s">
        <v>101</v>
      </c>
      <c r="C1069" s="210" t="s">
        <v>1810</v>
      </c>
      <c r="D1069" s="214"/>
      <c r="E1069" s="214">
        <v>1764000206001</v>
      </c>
      <c r="F1069" s="209" t="s">
        <v>29</v>
      </c>
      <c r="G1069" s="209" t="s">
        <v>53</v>
      </c>
      <c r="H1069" s="209" t="s">
        <v>722</v>
      </c>
      <c r="I1069" s="209" t="s">
        <v>723</v>
      </c>
      <c r="J1069" s="209" t="s">
        <v>90</v>
      </c>
      <c r="K1069" s="210" t="s">
        <v>34</v>
      </c>
      <c r="L1069" s="210"/>
      <c r="M1069" s="209" t="s">
        <v>35</v>
      </c>
      <c r="N1069" s="209">
        <v>42318949</v>
      </c>
      <c r="O1069" s="209" t="s">
        <v>105</v>
      </c>
      <c r="P1069" s="213">
        <v>44932.43136574074</v>
      </c>
      <c r="Q1069" s="209"/>
      <c r="R1069" s="209" t="s">
        <v>38</v>
      </c>
      <c r="S1069" s="209"/>
      <c r="T1069" s="209" t="s">
        <v>74</v>
      </c>
      <c r="U1069" s="213">
        <v>44932.75</v>
      </c>
      <c r="V1069" s="209" t="s">
        <v>41</v>
      </c>
      <c r="W1069" s="209" t="s">
        <v>49</v>
      </c>
      <c r="X1069" s="13" t="str">
        <f>IF(RIGHT(H1069,2)&lt;&gt;"00",H1069,"")</f>
        <v/>
      </c>
      <c r="Y1069" s="26">
        <f ca="1">NETWORKDAYS(P1069,$Y$1)</f>
        <v>39</v>
      </c>
      <c r="Z1069" s="34">
        <v>1</v>
      </c>
      <c r="AA1069" s="25" t="str">
        <f t="shared" ca="1" si="83"/>
        <v>A VENCER</v>
      </c>
      <c r="AB1069" s="25" t="str">
        <f t="shared" si="86"/>
        <v>Dosa</v>
      </c>
      <c r="AC1069" s="2" t="str">
        <f t="shared" si="85"/>
        <v xml:space="preserve"> RINALDO </v>
      </c>
      <c r="AD1069" s="26">
        <f t="shared" si="87"/>
        <v>5</v>
      </c>
      <c r="AE1069" s="26">
        <f t="shared" ca="1" si="84"/>
        <v>54.244905902778555</v>
      </c>
    </row>
    <row r="1070" spans="1:31" hidden="1">
      <c r="A1070" s="209">
        <v>9295076</v>
      </c>
      <c r="B1070" s="209" t="s">
        <v>101</v>
      </c>
      <c r="C1070" s="210" t="s">
        <v>1810</v>
      </c>
      <c r="D1070" s="214"/>
      <c r="E1070" s="214">
        <v>1739000206001</v>
      </c>
      <c r="F1070" s="209" t="s">
        <v>29</v>
      </c>
      <c r="G1070" s="209" t="s">
        <v>53</v>
      </c>
      <c r="H1070" s="209" t="s">
        <v>162</v>
      </c>
      <c r="I1070" s="209" t="s">
        <v>163</v>
      </c>
      <c r="J1070" s="209" t="s">
        <v>164</v>
      </c>
      <c r="K1070" s="210" t="s">
        <v>34</v>
      </c>
      <c r="L1070" s="210"/>
      <c r="M1070" s="209" t="s">
        <v>35</v>
      </c>
      <c r="N1070" s="209">
        <v>42318949</v>
      </c>
      <c r="O1070" s="209" t="s">
        <v>105</v>
      </c>
      <c r="P1070" s="213">
        <v>44932.431331018517</v>
      </c>
      <c r="Q1070" s="209"/>
      <c r="R1070" s="209" t="s">
        <v>38</v>
      </c>
      <c r="S1070" s="209"/>
      <c r="T1070" s="209" t="s">
        <v>74</v>
      </c>
      <c r="U1070" s="213">
        <v>44932.75</v>
      </c>
      <c r="V1070" s="209" t="s">
        <v>41</v>
      </c>
      <c r="W1070" s="209" t="s">
        <v>49</v>
      </c>
      <c r="X1070" s="13" t="str">
        <f>IF(RIGHT(H1070,2)&lt;&gt;"00",H1070,"")</f>
        <v/>
      </c>
      <c r="Y1070" s="26">
        <f ca="1">NETWORKDAYS(P1070,$Y$1)</f>
        <v>39</v>
      </c>
      <c r="Z1070" s="34">
        <v>1</v>
      </c>
      <c r="AA1070" s="25" t="str">
        <f t="shared" ca="1" si="83"/>
        <v>A VENCER</v>
      </c>
      <c r="AB1070" s="25" t="str">
        <f t="shared" si="86"/>
        <v>Dosa</v>
      </c>
      <c r="AC1070" s="2" t="str">
        <f t="shared" si="85"/>
        <v xml:space="preserve"> ROSEMERE </v>
      </c>
      <c r="AD1070" s="26">
        <f t="shared" si="87"/>
        <v>5</v>
      </c>
      <c r="AE1070" s="26">
        <f t="shared" ca="1" si="84"/>
        <v>54.244940625001618</v>
      </c>
    </row>
    <row r="1071" spans="1:31" hidden="1">
      <c r="A1071" s="209">
        <v>9295072</v>
      </c>
      <c r="B1071" s="209" t="s">
        <v>101</v>
      </c>
      <c r="C1071" s="210" t="s">
        <v>1810</v>
      </c>
      <c r="D1071" s="214"/>
      <c r="E1071" s="214">
        <v>1732000206001</v>
      </c>
      <c r="F1071" s="209" t="s">
        <v>29</v>
      </c>
      <c r="G1071" s="209" t="s">
        <v>53</v>
      </c>
      <c r="H1071" s="209" t="s">
        <v>177</v>
      </c>
      <c r="I1071" s="209" t="s">
        <v>178</v>
      </c>
      <c r="J1071" s="209" t="s">
        <v>164</v>
      </c>
      <c r="K1071" s="210" t="s">
        <v>34</v>
      </c>
      <c r="L1071" s="210"/>
      <c r="M1071" s="209" t="s">
        <v>35</v>
      </c>
      <c r="N1071" s="209">
        <v>42318949</v>
      </c>
      <c r="O1071" s="209" t="s">
        <v>105</v>
      </c>
      <c r="P1071" s="213">
        <v>44932.431331018517</v>
      </c>
      <c r="Q1071" s="209"/>
      <c r="R1071" s="209" t="s">
        <v>38</v>
      </c>
      <c r="S1071" s="209"/>
      <c r="T1071" s="209" t="s">
        <v>74</v>
      </c>
      <c r="U1071" s="213">
        <v>44932.75</v>
      </c>
      <c r="V1071" s="209" t="s">
        <v>41</v>
      </c>
      <c r="W1071" s="209" t="s">
        <v>49</v>
      </c>
      <c r="X1071" s="13" t="str">
        <f>IF(RIGHT(H1071,2)&lt;&gt;"00",H1071,"")</f>
        <v/>
      </c>
      <c r="Y1071" s="26">
        <f ca="1">NETWORKDAYS(P1071,$Y$1)</f>
        <v>39</v>
      </c>
      <c r="Z1071" s="34">
        <v>1</v>
      </c>
      <c r="AA1071" s="25" t="str">
        <f t="shared" ca="1" si="83"/>
        <v>A VENCER</v>
      </c>
      <c r="AB1071" s="25" t="str">
        <f t="shared" si="86"/>
        <v>Dosa</v>
      </c>
      <c r="AC1071" s="2" t="str">
        <f t="shared" si="85"/>
        <v xml:space="preserve"> ROSEMERE </v>
      </c>
      <c r="AD1071" s="26">
        <f t="shared" si="87"/>
        <v>5</v>
      </c>
      <c r="AE1071" s="26">
        <f t="shared" ca="1" si="84"/>
        <v>54.244940625001618</v>
      </c>
    </row>
    <row r="1072" spans="1:31" hidden="1">
      <c r="A1072" s="209">
        <v>9295049</v>
      </c>
      <c r="B1072" s="209" t="s">
        <v>101</v>
      </c>
      <c r="C1072" s="210" t="s">
        <v>1810</v>
      </c>
      <c r="D1072" s="214"/>
      <c r="E1072" s="214">
        <v>1710000206001</v>
      </c>
      <c r="F1072" s="209" t="s">
        <v>29</v>
      </c>
      <c r="G1072" s="209" t="s">
        <v>53</v>
      </c>
      <c r="H1072" s="209" t="s">
        <v>327</v>
      </c>
      <c r="I1072" s="209" t="s">
        <v>328</v>
      </c>
      <c r="J1072" s="209" t="s">
        <v>261</v>
      </c>
      <c r="K1072" s="210" t="s">
        <v>34</v>
      </c>
      <c r="L1072" s="210"/>
      <c r="M1072" s="209" t="s">
        <v>35</v>
      </c>
      <c r="N1072" s="209">
        <v>42318949</v>
      </c>
      <c r="O1072" s="209" t="s">
        <v>105</v>
      </c>
      <c r="P1072" s="213">
        <v>44932.431296296294</v>
      </c>
      <c r="Q1072" s="209"/>
      <c r="R1072" s="209" t="s">
        <v>38</v>
      </c>
      <c r="S1072" s="209"/>
      <c r="T1072" s="209" t="s">
        <v>74</v>
      </c>
      <c r="U1072" s="213">
        <v>44932.75</v>
      </c>
      <c r="V1072" s="209" t="s">
        <v>41</v>
      </c>
      <c r="W1072" s="209" t="s">
        <v>49</v>
      </c>
      <c r="X1072" s="13" t="str">
        <f>IF(RIGHT(H1072,2)&lt;&gt;"00",H1072,"")</f>
        <v/>
      </c>
      <c r="Y1072" s="26">
        <f ca="1">NETWORKDAYS(P1072,$Y$1)</f>
        <v>39</v>
      </c>
      <c r="Z1072" s="34">
        <v>1</v>
      </c>
      <c r="AA1072" s="25" t="str">
        <f t="shared" ca="1" si="83"/>
        <v>A VENCER</v>
      </c>
      <c r="AB1072" s="25" t="str">
        <f t="shared" si="86"/>
        <v>Dosa</v>
      </c>
      <c r="AC1072" s="2" t="str">
        <f t="shared" si="85"/>
        <v xml:space="preserve"> CRISTINA </v>
      </c>
      <c r="AD1072" s="26">
        <f t="shared" si="87"/>
        <v>5</v>
      </c>
      <c r="AE1072" s="26">
        <f t="shared" ca="1" si="84"/>
        <v>54.244975347224681</v>
      </c>
    </row>
    <row r="1073" spans="1:31" hidden="1">
      <c r="A1073" s="209">
        <v>9295007</v>
      </c>
      <c r="B1073" s="209" t="s">
        <v>101</v>
      </c>
      <c r="C1073" s="210" t="s">
        <v>1810</v>
      </c>
      <c r="D1073" s="214"/>
      <c r="E1073" s="214">
        <v>1666000206001</v>
      </c>
      <c r="F1073" s="209" t="s">
        <v>29</v>
      </c>
      <c r="G1073" s="209" t="s">
        <v>53</v>
      </c>
      <c r="H1073" s="209" t="s">
        <v>414</v>
      </c>
      <c r="I1073" s="209" t="s">
        <v>415</v>
      </c>
      <c r="J1073" s="209" t="s">
        <v>79</v>
      </c>
      <c r="K1073" s="210" t="s">
        <v>34</v>
      </c>
      <c r="L1073" s="210"/>
      <c r="M1073" s="209" t="s">
        <v>35</v>
      </c>
      <c r="N1073" s="209">
        <v>42318949</v>
      </c>
      <c r="O1073" s="209" t="s">
        <v>36</v>
      </c>
      <c r="P1073" s="213">
        <v>44932.431215277778</v>
      </c>
      <c r="Q1073" s="209"/>
      <c r="R1073" s="209" t="s">
        <v>38</v>
      </c>
      <c r="S1073" s="209"/>
      <c r="T1073" s="209" t="s">
        <v>74</v>
      </c>
      <c r="U1073" s="213">
        <v>44932.75</v>
      </c>
      <c r="V1073" s="209" t="s">
        <v>41</v>
      </c>
      <c r="W1073" s="209" t="s">
        <v>49</v>
      </c>
      <c r="X1073" s="13" t="str">
        <f>IF(RIGHT(H1073,2)&lt;&gt;"00",H1073,"")</f>
        <v/>
      </c>
      <c r="Y1073" s="26">
        <f ca="1">NETWORKDAYS(P1073,$Y$1)</f>
        <v>39</v>
      </c>
      <c r="Z1073" s="34">
        <v>1</v>
      </c>
      <c r="AA1073" s="25" t="str">
        <f t="shared" ca="1" si="83"/>
        <v>A VENCER</v>
      </c>
      <c r="AB1073" s="25" t="str">
        <f t="shared" si="86"/>
        <v>Dosa</v>
      </c>
      <c r="AC1073" s="2" t="str">
        <f t="shared" si="85"/>
        <v xml:space="preserve"> ROSEMERE </v>
      </c>
      <c r="AD1073" s="26">
        <f t="shared" si="87"/>
        <v>5</v>
      </c>
      <c r="AE1073" s="26">
        <f t="shared" ca="1" si="84"/>
        <v>54.245056365740311</v>
      </c>
    </row>
    <row r="1074" spans="1:31" hidden="1">
      <c r="A1074" s="209">
        <v>9295003</v>
      </c>
      <c r="B1074" s="209" t="s">
        <v>101</v>
      </c>
      <c r="C1074" s="210" t="s">
        <v>1810</v>
      </c>
      <c r="D1074" s="214"/>
      <c r="E1074" s="214">
        <v>1664000206001</v>
      </c>
      <c r="F1074" s="209" t="s">
        <v>29</v>
      </c>
      <c r="G1074" s="209" t="s">
        <v>53</v>
      </c>
      <c r="H1074" s="209" t="s">
        <v>307</v>
      </c>
      <c r="I1074" s="209" t="s">
        <v>308</v>
      </c>
      <c r="J1074" s="209" t="s">
        <v>164</v>
      </c>
      <c r="K1074" s="210" t="s">
        <v>34</v>
      </c>
      <c r="L1074" s="210"/>
      <c r="M1074" s="209" t="s">
        <v>35</v>
      </c>
      <c r="N1074" s="209">
        <v>42318949</v>
      </c>
      <c r="O1074" s="209" t="s">
        <v>105</v>
      </c>
      <c r="P1074" s="213">
        <v>44932.431215277778</v>
      </c>
      <c r="Q1074" s="209"/>
      <c r="R1074" s="209" t="s">
        <v>38</v>
      </c>
      <c r="S1074" s="209"/>
      <c r="T1074" s="209" t="s">
        <v>74</v>
      </c>
      <c r="U1074" s="213">
        <v>44932.75</v>
      </c>
      <c r="V1074" s="209" t="s">
        <v>41</v>
      </c>
      <c r="W1074" s="209" t="s">
        <v>49</v>
      </c>
      <c r="X1074" s="13" t="str">
        <f>IF(RIGHT(H1074,2)&lt;&gt;"00",H1074,"")</f>
        <v/>
      </c>
      <c r="Y1074" s="26">
        <f ca="1">NETWORKDAYS(P1074,$Y$1)</f>
        <v>39</v>
      </c>
      <c r="Z1074" s="34">
        <v>1</v>
      </c>
      <c r="AA1074" s="25" t="str">
        <f t="shared" ca="1" si="83"/>
        <v>A VENCER</v>
      </c>
      <c r="AB1074" s="25" t="str">
        <f t="shared" si="86"/>
        <v>Dosa</v>
      </c>
      <c r="AC1074" s="2" t="str">
        <f t="shared" si="85"/>
        <v xml:space="preserve"> ROSEMERE </v>
      </c>
      <c r="AD1074" s="26">
        <f t="shared" si="87"/>
        <v>5</v>
      </c>
      <c r="AE1074" s="26">
        <f t="shared" ca="1" si="84"/>
        <v>54.245056365740311</v>
      </c>
    </row>
    <row r="1075" spans="1:31" hidden="1">
      <c r="A1075" s="209">
        <v>9294987</v>
      </c>
      <c r="B1075" s="209" t="s">
        <v>101</v>
      </c>
      <c r="C1075" s="210" t="s">
        <v>1810</v>
      </c>
      <c r="D1075" s="214"/>
      <c r="E1075" s="214">
        <v>1650000206001</v>
      </c>
      <c r="F1075" s="209" t="s">
        <v>29</v>
      </c>
      <c r="G1075" s="209" t="s">
        <v>53</v>
      </c>
      <c r="H1075" s="209" t="s">
        <v>620</v>
      </c>
      <c r="I1075" s="209" t="s">
        <v>621</v>
      </c>
      <c r="J1075" s="209" t="s">
        <v>141</v>
      </c>
      <c r="K1075" s="210" t="s">
        <v>34</v>
      </c>
      <c r="L1075" s="210"/>
      <c r="M1075" s="209" t="s">
        <v>35</v>
      </c>
      <c r="N1075" s="209">
        <v>42318949</v>
      </c>
      <c r="O1075" s="209" t="s">
        <v>105</v>
      </c>
      <c r="P1075" s="213">
        <v>44932.431192129632</v>
      </c>
      <c r="Q1075" s="209"/>
      <c r="R1075" s="209" t="s">
        <v>38</v>
      </c>
      <c r="S1075" s="209"/>
      <c r="T1075" s="209" t="s">
        <v>74</v>
      </c>
      <c r="U1075" s="213">
        <v>44932.75</v>
      </c>
      <c r="V1075" s="209" t="s">
        <v>41</v>
      </c>
      <c r="W1075" s="209" t="s">
        <v>49</v>
      </c>
      <c r="X1075" s="13" t="str">
        <f>IF(RIGHT(H1075,2)&lt;&gt;"00",H1075,"")</f>
        <v/>
      </c>
      <c r="Y1075" s="26">
        <f ca="1">NETWORKDAYS(P1075,$Y$1)</f>
        <v>39</v>
      </c>
      <c r="Z1075" s="34">
        <v>1</v>
      </c>
      <c r="AA1075" s="25" t="str">
        <f t="shared" ca="1" si="83"/>
        <v>A VENCER</v>
      </c>
      <c r="AB1075" s="25" t="str">
        <f t="shared" si="86"/>
        <v>Dosa</v>
      </c>
      <c r="AC1075" s="2" t="str">
        <f t="shared" si="85"/>
        <v xml:space="preserve"> CRISTINA </v>
      </c>
      <c r="AD1075" s="26">
        <f t="shared" si="87"/>
        <v>5</v>
      </c>
      <c r="AE1075" s="26">
        <f t="shared" ca="1" si="84"/>
        <v>54.245079513886594</v>
      </c>
    </row>
    <row r="1076" spans="1:31" hidden="1">
      <c r="A1076" s="209">
        <v>9294979</v>
      </c>
      <c r="B1076" s="209" t="s">
        <v>101</v>
      </c>
      <c r="C1076" s="210" t="s">
        <v>1810</v>
      </c>
      <c r="D1076" s="214"/>
      <c r="E1076" s="214">
        <v>1643000206001</v>
      </c>
      <c r="F1076" s="209" t="s">
        <v>29</v>
      </c>
      <c r="G1076" s="209" t="s">
        <v>53</v>
      </c>
      <c r="H1076" s="209" t="s">
        <v>361</v>
      </c>
      <c r="I1076" s="209" t="s">
        <v>362</v>
      </c>
      <c r="J1076" s="209" t="s">
        <v>261</v>
      </c>
      <c r="K1076" s="210" t="s">
        <v>34</v>
      </c>
      <c r="L1076" s="210"/>
      <c r="M1076" s="209" t="s">
        <v>35</v>
      </c>
      <c r="N1076" s="209">
        <v>42318949</v>
      </c>
      <c r="O1076" s="209" t="s">
        <v>105</v>
      </c>
      <c r="P1076" s="213">
        <v>44932.431168981479</v>
      </c>
      <c r="Q1076" s="209"/>
      <c r="R1076" s="209" t="s">
        <v>38</v>
      </c>
      <c r="S1076" s="209"/>
      <c r="T1076" s="209" t="s">
        <v>74</v>
      </c>
      <c r="U1076" s="213">
        <v>44932.75</v>
      </c>
      <c r="V1076" s="209" t="s">
        <v>41</v>
      </c>
      <c r="W1076" s="209" t="s">
        <v>49</v>
      </c>
      <c r="X1076" s="13" t="str">
        <f>IF(RIGHT(H1076,2)&lt;&gt;"00",H1076,"")</f>
        <v/>
      </c>
      <c r="Y1076" s="26">
        <f ca="1">NETWORKDAYS(P1076,$Y$1)</f>
        <v>39</v>
      </c>
      <c r="Z1076" s="34">
        <v>1</v>
      </c>
      <c r="AA1076" s="25" t="str">
        <f t="shared" ca="1" si="83"/>
        <v>A VENCER</v>
      </c>
      <c r="AB1076" s="25" t="str">
        <f t="shared" si="86"/>
        <v>Dosa</v>
      </c>
      <c r="AC1076" s="2" t="str">
        <f t="shared" si="85"/>
        <v xml:space="preserve"> CRISTINA </v>
      </c>
      <c r="AD1076" s="26">
        <f t="shared" si="87"/>
        <v>5</v>
      </c>
      <c r="AE1076" s="26">
        <f t="shared" ca="1" si="84"/>
        <v>54.245102662040154</v>
      </c>
    </row>
    <row r="1077" spans="1:31" hidden="1">
      <c r="A1077" s="209">
        <v>9294958</v>
      </c>
      <c r="B1077" s="209" t="s">
        <v>101</v>
      </c>
      <c r="C1077" s="210" t="s">
        <v>1810</v>
      </c>
      <c r="D1077" s="214"/>
      <c r="E1077" s="214">
        <v>1620000206001</v>
      </c>
      <c r="F1077" s="209" t="s">
        <v>29</v>
      </c>
      <c r="G1077" s="209" t="s">
        <v>53</v>
      </c>
      <c r="H1077" s="209" t="s">
        <v>402</v>
      </c>
      <c r="I1077" s="209" t="s">
        <v>403</v>
      </c>
      <c r="J1077" s="209" t="s">
        <v>46</v>
      </c>
      <c r="K1077" s="210" t="s">
        <v>34</v>
      </c>
      <c r="L1077" s="210"/>
      <c r="M1077" s="209" t="s">
        <v>35</v>
      </c>
      <c r="N1077" s="209">
        <v>42318949</v>
      </c>
      <c r="O1077" s="209" t="s">
        <v>105</v>
      </c>
      <c r="P1077" s="213">
        <v>44932.431145833332</v>
      </c>
      <c r="Q1077" s="209"/>
      <c r="R1077" s="209" t="s">
        <v>38</v>
      </c>
      <c r="S1077" s="209"/>
      <c r="T1077" s="209" t="s">
        <v>74</v>
      </c>
      <c r="U1077" s="213">
        <v>44932.75</v>
      </c>
      <c r="V1077" s="209" t="s">
        <v>41</v>
      </c>
      <c r="W1077" s="209" t="s">
        <v>49</v>
      </c>
      <c r="X1077" s="13" t="str">
        <f>IF(RIGHT(H1077,2)&lt;&gt;"00",H1077,"")</f>
        <v/>
      </c>
      <c r="Y1077" s="26">
        <f ca="1">NETWORKDAYS(P1077,$Y$1)</f>
        <v>39</v>
      </c>
      <c r="Z1077" s="34">
        <v>1</v>
      </c>
      <c r="AA1077" s="25" t="str">
        <f t="shared" ca="1" si="83"/>
        <v>A VENCER</v>
      </c>
      <c r="AB1077" s="25" t="str">
        <f t="shared" si="86"/>
        <v>Dosa</v>
      </c>
      <c r="AC1077" s="2" t="str">
        <f t="shared" si="85"/>
        <v xml:space="preserve"> CLEITON </v>
      </c>
      <c r="AD1077" s="26">
        <f t="shared" si="87"/>
        <v>5</v>
      </c>
      <c r="AE1077" s="26">
        <f t="shared" ca="1" si="84"/>
        <v>54.245125810186437</v>
      </c>
    </row>
    <row r="1078" spans="1:31" hidden="1">
      <c r="A1078" s="209">
        <v>9294857</v>
      </c>
      <c r="B1078" s="209" t="s">
        <v>101</v>
      </c>
      <c r="C1078" s="210" t="s">
        <v>1810</v>
      </c>
      <c r="D1078" s="214"/>
      <c r="E1078" s="214">
        <v>1509000206001</v>
      </c>
      <c r="F1078" s="209" t="s">
        <v>29</v>
      </c>
      <c r="G1078" s="209" t="s">
        <v>53</v>
      </c>
      <c r="H1078" s="209" t="s">
        <v>731</v>
      </c>
      <c r="I1078" s="209" t="s">
        <v>732</v>
      </c>
      <c r="J1078" s="209" t="s">
        <v>46</v>
      </c>
      <c r="K1078" s="210" t="s">
        <v>34</v>
      </c>
      <c r="L1078" s="210"/>
      <c r="M1078" s="209" t="s">
        <v>35</v>
      </c>
      <c r="N1078" s="209">
        <v>42318949</v>
      </c>
      <c r="O1078" s="209" t="s">
        <v>105</v>
      </c>
      <c r="P1078" s="213">
        <v>44932.430960648147</v>
      </c>
      <c r="Q1078" s="209"/>
      <c r="R1078" s="209" t="s">
        <v>38</v>
      </c>
      <c r="S1078" s="209"/>
      <c r="T1078" s="209" t="s">
        <v>74</v>
      </c>
      <c r="U1078" s="213">
        <v>44932.75</v>
      </c>
      <c r="V1078" s="209" t="s">
        <v>41</v>
      </c>
      <c r="W1078" s="209" t="s">
        <v>49</v>
      </c>
      <c r="X1078" s="13" t="str">
        <f>IF(RIGHT(H1078,2)&lt;&gt;"00",H1078,"")</f>
        <v/>
      </c>
      <c r="Y1078" s="26">
        <f ca="1">NETWORKDAYS(P1078,$Y$1)</f>
        <v>39</v>
      </c>
      <c r="Z1078" s="34">
        <v>1</v>
      </c>
      <c r="AA1078" s="25" t="str">
        <f t="shared" ca="1" si="83"/>
        <v>A VENCER</v>
      </c>
      <c r="AB1078" s="25" t="str">
        <f t="shared" si="86"/>
        <v>Dosa</v>
      </c>
      <c r="AC1078" s="2" t="str">
        <f t="shared" si="85"/>
        <v xml:space="preserve"> CLEITON </v>
      </c>
      <c r="AD1078" s="26">
        <f t="shared" si="87"/>
        <v>5</v>
      </c>
      <c r="AE1078" s="26">
        <f t="shared" ca="1" si="84"/>
        <v>54.245310995371256</v>
      </c>
    </row>
    <row r="1079" spans="1:31" hidden="1">
      <c r="A1079" s="209">
        <v>9294767</v>
      </c>
      <c r="B1079" s="209" t="s">
        <v>101</v>
      </c>
      <c r="C1079" s="210" t="s">
        <v>1810</v>
      </c>
      <c r="D1079" s="214"/>
      <c r="E1079" s="214">
        <v>1421000206001</v>
      </c>
      <c r="F1079" s="209" t="s">
        <v>29</v>
      </c>
      <c r="G1079" s="209" t="s">
        <v>53</v>
      </c>
      <c r="H1079" s="209" t="s">
        <v>179</v>
      </c>
      <c r="I1079" s="209" t="s">
        <v>180</v>
      </c>
      <c r="J1079" s="209" t="s">
        <v>79</v>
      </c>
      <c r="K1079" s="210" t="s">
        <v>34</v>
      </c>
      <c r="L1079" s="210"/>
      <c r="M1079" s="209" t="s">
        <v>35</v>
      </c>
      <c r="N1079" s="209">
        <v>42318949</v>
      </c>
      <c r="O1079" s="209" t="s">
        <v>105</v>
      </c>
      <c r="P1079" s="213">
        <v>44932.430775462963</v>
      </c>
      <c r="Q1079" s="209"/>
      <c r="R1079" s="209" t="s">
        <v>38</v>
      </c>
      <c r="S1079" s="209"/>
      <c r="T1079" s="209" t="s">
        <v>74</v>
      </c>
      <c r="U1079" s="213">
        <v>44932.75</v>
      </c>
      <c r="V1079" s="209" t="s">
        <v>41</v>
      </c>
      <c r="W1079" s="209" t="s">
        <v>49</v>
      </c>
      <c r="X1079" s="13" t="str">
        <f>IF(RIGHT(H1079,2)&lt;&gt;"00",H1079,"")</f>
        <v/>
      </c>
      <c r="Y1079" s="26">
        <f ca="1">NETWORKDAYS(P1079,$Y$1)</f>
        <v>39</v>
      </c>
      <c r="Z1079" s="34">
        <v>1</v>
      </c>
      <c r="AA1079" s="25" t="str">
        <f t="shared" ca="1" si="83"/>
        <v>A VENCER</v>
      </c>
      <c r="AB1079" s="25" t="str">
        <f t="shared" si="86"/>
        <v>Dosa</v>
      </c>
      <c r="AC1079" s="2" t="str">
        <f t="shared" si="85"/>
        <v xml:space="preserve"> ROSEMERE </v>
      </c>
      <c r="AD1079" s="26">
        <f t="shared" si="87"/>
        <v>5</v>
      </c>
      <c r="AE1079" s="26">
        <f t="shared" ca="1" si="84"/>
        <v>54.245496180556074</v>
      </c>
    </row>
    <row r="1080" spans="1:31" hidden="1">
      <c r="A1080" s="209">
        <v>9294711</v>
      </c>
      <c r="B1080" s="209" t="s">
        <v>101</v>
      </c>
      <c r="C1080" s="210" t="s">
        <v>1810</v>
      </c>
      <c r="D1080" s="214"/>
      <c r="E1080" s="214">
        <v>1363000206001</v>
      </c>
      <c r="F1080" s="209" t="s">
        <v>29</v>
      </c>
      <c r="G1080" s="209" t="s">
        <v>53</v>
      </c>
      <c r="H1080" s="209" t="s">
        <v>108</v>
      </c>
      <c r="I1080" s="209" t="s">
        <v>109</v>
      </c>
      <c r="J1080" s="209" t="s">
        <v>110</v>
      </c>
      <c r="K1080" s="210" t="s">
        <v>34</v>
      </c>
      <c r="L1080" s="210"/>
      <c r="M1080" s="209" t="s">
        <v>35</v>
      </c>
      <c r="N1080" s="209">
        <v>42318949</v>
      </c>
      <c r="O1080" s="209" t="s">
        <v>105</v>
      </c>
      <c r="P1080" s="213">
        <v>44932.430659722224</v>
      </c>
      <c r="Q1080" s="209"/>
      <c r="R1080" s="209" t="s">
        <v>38</v>
      </c>
      <c r="S1080" s="209"/>
      <c r="T1080" s="209" t="s">
        <v>74</v>
      </c>
      <c r="U1080" s="213">
        <v>44932.75</v>
      </c>
      <c r="V1080" s="209" t="s">
        <v>41</v>
      </c>
      <c r="W1080" s="209" t="s">
        <v>49</v>
      </c>
      <c r="X1080" s="13" t="str">
        <f>IF(RIGHT(H1080,2)&lt;&gt;"00",H1080,"")</f>
        <v/>
      </c>
      <c r="Y1080" s="26">
        <f ca="1">NETWORKDAYS(P1080,$Y$1)</f>
        <v>39</v>
      </c>
      <c r="Z1080" s="34">
        <v>1</v>
      </c>
      <c r="AA1080" s="25" t="str">
        <f t="shared" ca="1" si="83"/>
        <v>A VENCER</v>
      </c>
      <c r="AB1080" s="25" t="str">
        <f t="shared" si="86"/>
        <v>Dosa</v>
      </c>
      <c r="AC1080" s="2" t="str">
        <f t="shared" si="85"/>
        <v xml:space="preserve"> CRISTINA </v>
      </c>
      <c r="AD1080" s="26">
        <f t="shared" si="87"/>
        <v>5</v>
      </c>
      <c r="AE1080" s="26">
        <f t="shared" ca="1" si="84"/>
        <v>54.245611921294767</v>
      </c>
    </row>
    <row r="1081" spans="1:31" hidden="1">
      <c r="A1081" s="209">
        <v>9294710</v>
      </c>
      <c r="B1081" s="209" t="s">
        <v>101</v>
      </c>
      <c r="C1081" s="210" t="s">
        <v>1810</v>
      </c>
      <c r="D1081" s="214"/>
      <c r="E1081" s="214">
        <v>1362000206001</v>
      </c>
      <c r="F1081" s="209" t="s">
        <v>29</v>
      </c>
      <c r="G1081" s="209" t="s">
        <v>53</v>
      </c>
      <c r="H1081" s="209" t="s">
        <v>268</v>
      </c>
      <c r="I1081" s="209" t="s">
        <v>269</v>
      </c>
      <c r="J1081" s="209" t="s">
        <v>90</v>
      </c>
      <c r="K1081" s="210" t="s">
        <v>34</v>
      </c>
      <c r="L1081" s="210"/>
      <c r="M1081" s="209" t="s">
        <v>35</v>
      </c>
      <c r="N1081" s="209">
        <v>42318949</v>
      </c>
      <c r="O1081" s="209" t="s">
        <v>105</v>
      </c>
      <c r="P1081" s="213">
        <v>44932.430659722224</v>
      </c>
      <c r="Q1081" s="209"/>
      <c r="R1081" s="209" t="s">
        <v>38</v>
      </c>
      <c r="S1081" s="209"/>
      <c r="T1081" s="209" t="s">
        <v>74</v>
      </c>
      <c r="U1081" s="213">
        <v>44932.75</v>
      </c>
      <c r="V1081" s="209" t="s">
        <v>41</v>
      </c>
      <c r="W1081" s="209" t="s">
        <v>49</v>
      </c>
      <c r="X1081" s="13" t="str">
        <f>IF(RIGHT(H1081,2)&lt;&gt;"00",H1081,"")</f>
        <v/>
      </c>
      <c r="Y1081" s="26">
        <f ca="1">NETWORKDAYS(P1081,$Y$1)</f>
        <v>39</v>
      </c>
      <c r="Z1081" s="34">
        <v>1</v>
      </c>
      <c r="AA1081" s="25" t="str">
        <f t="shared" ca="1" si="83"/>
        <v>A VENCER</v>
      </c>
      <c r="AB1081" s="25" t="str">
        <f t="shared" si="86"/>
        <v>Dosa</v>
      </c>
      <c r="AC1081" s="2" t="str">
        <f t="shared" si="85"/>
        <v xml:space="preserve"> RINALDO </v>
      </c>
      <c r="AD1081" s="26">
        <f t="shared" si="87"/>
        <v>5</v>
      </c>
      <c r="AE1081" s="26">
        <f t="shared" ca="1" si="84"/>
        <v>54.245611921294767</v>
      </c>
    </row>
    <row r="1082" spans="1:31" hidden="1">
      <c r="A1082" s="209">
        <v>9294709</v>
      </c>
      <c r="B1082" s="209" t="s">
        <v>101</v>
      </c>
      <c r="C1082" s="210" t="s">
        <v>1810</v>
      </c>
      <c r="D1082" s="214"/>
      <c r="E1082" s="214">
        <v>1361000206001</v>
      </c>
      <c r="F1082" s="209" t="s">
        <v>29</v>
      </c>
      <c r="G1082" s="209" t="s">
        <v>53</v>
      </c>
      <c r="H1082" s="209" t="s">
        <v>309</v>
      </c>
      <c r="I1082" s="209" t="s">
        <v>310</v>
      </c>
      <c r="J1082" s="209" t="s">
        <v>46</v>
      </c>
      <c r="K1082" s="210" t="s">
        <v>34</v>
      </c>
      <c r="L1082" s="210"/>
      <c r="M1082" s="209" t="s">
        <v>35</v>
      </c>
      <c r="N1082" s="209">
        <v>42318949</v>
      </c>
      <c r="O1082" s="209" t="s">
        <v>105</v>
      </c>
      <c r="P1082" s="213">
        <v>44932.430659722224</v>
      </c>
      <c r="Q1082" s="209"/>
      <c r="R1082" s="209" t="s">
        <v>38</v>
      </c>
      <c r="S1082" s="209"/>
      <c r="T1082" s="209" t="s">
        <v>74</v>
      </c>
      <c r="U1082" s="213">
        <v>44932.75</v>
      </c>
      <c r="V1082" s="209" t="s">
        <v>41</v>
      </c>
      <c r="W1082" s="209" t="s">
        <v>49</v>
      </c>
      <c r="X1082" s="13" t="str">
        <f>IF(RIGHT(H1082,2)&lt;&gt;"00",H1082,"")</f>
        <v/>
      </c>
      <c r="Y1082" s="26">
        <f ca="1">NETWORKDAYS(P1082,$Y$1)</f>
        <v>39</v>
      </c>
      <c r="Z1082" s="34">
        <v>1</v>
      </c>
      <c r="AA1082" s="25" t="str">
        <f t="shared" ca="1" si="83"/>
        <v>A VENCER</v>
      </c>
      <c r="AB1082" s="25" t="str">
        <f t="shared" si="86"/>
        <v>Dosa</v>
      </c>
      <c r="AC1082" s="2" t="str">
        <f t="shared" si="85"/>
        <v xml:space="preserve"> CLEITON </v>
      </c>
      <c r="AD1082" s="26">
        <f t="shared" si="87"/>
        <v>5</v>
      </c>
      <c r="AE1082" s="26">
        <f t="shared" ca="1" si="84"/>
        <v>54.245611921294767</v>
      </c>
    </row>
    <row r="1083" spans="1:31" hidden="1">
      <c r="A1083" s="209">
        <v>9294708</v>
      </c>
      <c r="B1083" s="209" t="s">
        <v>101</v>
      </c>
      <c r="C1083" s="210" t="s">
        <v>1810</v>
      </c>
      <c r="D1083" s="214"/>
      <c r="E1083" s="214">
        <v>1360000206001</v>
      </c>
      <c r="F1083" s="209" t="s">
        <v>29</v>
      </c>
      <c r="G1083" s="209" t="s">
        <v>53</v>
      </c>
      <c r="H1083" s="209" t="s">
        <v>303</v>
      </c>
      <c r="I1083" s="209" t="s">
        <v>304</v>
      </c>
      <c r="J1083" s="209" t="s">
        <v>261</v>
      </c>
      <c r="K1083" s="210" t="s">
        <v>34</v>
      </c>
      <c r="L1083" s="210"/>
      <c r="M1083" s="209" t="s">
        <v>35</v>
      </c>
      <c r="N1083" s="209">
        <v>42318949</v>
      </c>
      <c r="O1083" s="209" t="s">
        <v>105</v>
      </c>
      <c r="P1083" s="213">
        <v>44932.430659722224</v>
      </c>
      <c r="Q1083" s="209"/>
      <c r="R1083" s="209" t="s">
        <v>38</v>
      </c>
      <c r="S1083" s="209"/>
      <c r="T1083" s="209" t="s">
        <v>74</v>
      </c>
      <c r="U1083" s="213">
        <v>44932.75</v>
      </c>
      <c r="V1083" s="209" t="s">
        <v>41</v>
      </c>
      <c r="W1083" s="209" t="s">
        <v>49</v>
      </c>
      <c r="X1083" s="13" t="str">
        <f>IF(RIGHT(H1083,2)&lt;&gt;"00",H1083,"")</f>
        <v/>
      </c>
      <c r="Y1083" s="26">
        <f ca="1">NETWORKDAYS(P1083,$Y$1)</f>
        <v>39</v>
      </c>
      <c r="Z1083" s="34">
        <v>1</v>
      </c>
      <c r="AA1083" s="25" t="str">
        <f t="shared" ca="1" si="83"/>
        <v>A VENCER</v>
      </c>
      <c r="AB1083" s="25" t="str">
        <f t="shared" si="86"/>
        <v>Dosa</v>
      </c>
      <c r="AC1083" s="2" t="str">
        <f t="shared" si="85"/>
        <v xml:space="preserve"> CRISTINA </v>
      </c>
      <c r="AD1083" s="26">
        <f t="shared" si="87"/>
        <v>5</v>
      </c>
      <c r="AE1083" s="26">
        <f t="shared" ca="1" si="84"/>
        <v>54.245611921294767</v>
      </c>
    </row>
    <row r="1084" spans="1:31" hidden="1">
      <c r="A1084" s="209">
        <v>9294706</v>
      </c>
      <c r="B1084" s="209" t="s">
        <v>101</v>
      </c>
      <c r="C1084" s="210" t="s">
        <v>1810</v>
      </c>
      <c r="D1084" s="214"/>
      <c r="E1084" s="214">
        <v>1358000206001</v>
      </c>
      <c r="F1084" s="209" t="s">
        <v>29</v>
      </c>
      <c r="G1084" s="209" t="s">
        <v>53</v>
      </c>
      <c r="H1084" s="209" t="s">
        <v>593</v>
      </c>
      <c r="I1084" s="209" t="s">
        <v>594</v>
      </c>
      <c r="J1084" s="209" t="s">
        <v>261</v>
      </c>
      <c r="K1084" s="210" t="s">
        <v>34</v>
      </c>
      <c r="L1084" s="210"/>
      <c r="M1084" s="209" t="s">
        <v>35</v>
      </c>
      <c r="N1084" s="209">
        <v>42318949</v>
      </c>
      <c r="O1084" s="209" t="s">
        <v>105</v>
      </c>
      <c r="P1084" s="213">
        <v>44932.430659722224</v>
      </c>
      <c r="Q1084" s="209"/>
      <c r="R1084" s="209" t="s">
        <v>38</v>
      </c>
      <c r="S1084" s="209"/>
      <c r="T1084" s="209" t="s">
        <v>74</v>
      </c>
      <c r="U1084" s="213">
        <v>44932.75</v>
      </c>
      <c r="V1084" s="209" t="s">
        <v>41</v>
      </c>
      <c r="W1084" s="209" t="s">
        <v>49</v>
      </c>
      <c r="X1084" s="13" t="str">
        <f>IF(RIGHT(H1084,2)&lt;&gt;"00",H1084,"")</f>
        <v/>
      </c>
      <c r="Y1084" s="26">
        <f ca="1">NETWORKDAYS(P1084,$Y$1)</f>
        <v>39</v>
      </c>
      <c r="Z1084" s="34">
        <v>1</v>
      </c>
      <c r="AA1084" s="25" t="str">
        <f t="shared" ca="1" si="83"/>
        <v>A VENCER</v>
      </c>
      <c r="AB1084" s="25" t="str">
        <f t="shared" si="86"/>
        <v>Dosa</v>
      </c>
      <c r="AC1084" s="2" t="str">
        <f t="shared" si="85"/>
        <v xml:space="preserve"> CRISTINA </v>
      </c>
      <c r="AD1084" s="26">
        <f t="shared" si="87"/>
        <v>5</v>
      </c>
      <c r="AE1084" s="26">
        <f t="shared" ca="1" si="84"/>
        <v>54.245611921294767</v>
      </c>
    </row>
    <row r="1085" spans="1:31" hidden="1">
      <c r="A1085" s="209">
        <v>9294610</v>
      </c>
      <c r="B1085" s="209" t="s">
        <v>101</v>
      </c>
      <c r="C1085" s="210" t="s">
        <v>1810</v>
      </c>
      <c r="D1085" s="214"/>
      <c r="E1085" s="214">
        <v>1245000206001</v>
      </c>
      <c r="F1085" s="209" t="s">
        <v>29</v>
      </c>
      <c r="G1085" s="209" t="s">
        <v>53</v>
      </c>
      <c r="H1085" s="209" t="s">
        <v>408</v>
      </c>
      <c r="I1085" s="209" t="s">
        <v>409</v>
      </c>
      <c r="J1085" s="209" t="s">
        <v>46</v>
      </c>
      <c r="K1085" s="210" t="s">
        <v>34</v>
      </c>
      <c r="L1085" s="210"/>
      <c r="M1085" s="209" t="s">
        <v>35</v>
      </c>
      <c r="N1085" s="209">
        <v>42318949</v>
      </c>
      <c r="O1085" s="209" t="s">
        <v>105</v>
      </c>
      <c r="P1085" s="213">
        <v>44932.430462962962</v>
      </c>
      <c r="Q1085" s="209"/>
      <c r="R1085" s="209" t="s">
        <v>38</v>
      </c>
      <c r="S1085" s="209"/>
      <c r="T1085" s="209" t="s">
        <v>74</v>
      </c>
      <c r="U1085" s="213">
        <v>44932.75</v>
      </c>
      <c r="V1085" s="209" t="s">
        <v>41</v>
      </c>
      <c r="W1085" s="209" t="s">
        <v>49</v>
      </c>
      <c r="X1085" s="13" t="str">
        <f>IF(RIGHT(H1085,2)&lt;&gt;"00",H1085,"")</f>
        <v/>
      </c>
      <c r="Y1085" s="26">
        <f ca="1">NETWORKDAYS(P1085,$Y$1)</f>
        <v>39</v>
      </c>
      <c r="Z1085" s="34">
        <v>1</v>
      </c>
      <c r="AA1085" s="25" t="str">
        <f t="shared" ca="1" si="83"/>
        <v>A VENCER</v>
      </c>
      <c r="AB1085" s="25" t="str">
        <f t="shared" si="86"/>
        <v>Dosa</v>
      </c>
      <c r="AC1085" s="2" t="str">
        <f t="shared" si="85"/>
        <v xml:space="preserve"> CLEITON </v>
      </c>
      <c r="AD1085" s="26">
        <f t="shared" si="87"/>
        <v>5</v>
      </c>
      <c r="AE1085" s="26">
        <f t="shared" ca="1" si="84"/>
        <v>54.245808680556365</v>
      </c>
    </row>
    <row r="1086" spans="1:31" hidden="1">
      <c r="A1086" s="209">
        <v>9294550</v>
      </c>
      <c r="B1086" s="209" t="s">
        <v>101</v>
      </c>
      <c r="C1086" s="210" t="s">
        <v>1810</v>
      </c>
      <c r="D1086" s="214"/>
      <c r="E1086" s="214">
        <v>1185000206001</v>
      </c>
      <c r="F1086" s="209" t="s">
        <v>29</v>
      </c>
      <c r="G1086" s="209" t="s">
        <v>53</v>
      </c>
      <c r="H1086" s="209" t="s">
        <v>539</v>
      </c>
      <c r="I1086" s="209" t="s">
        <v>540</v>
      </c>
      <c r="J1086" s="209" t="s">
        <v>33</v>
      </c>
      <c r="K1086" s="210" t="s">
        <v>34</v>
      </c>
      <c r="L1086" s="210"/>
      <c r="M1086" s="209" t="s">
        <v>35</v>
      </c>
      <c r="N1086" s="209">
        <v>42318949</v>
      </c>
      <c r="O1086" s="209" t="s">
        <v>36</v>
      </c>
      <c r="P1086" s="213">
        <v>44932.430358796293</v>
      </c>
      <c r="Q1086" s="209"/>
      <c r="R1086" s="209" t="s">
        <v>38</v>
      </c>
      <c r="S1086" s="209"/>
      <c r="T1086" s="209" t="s">
        <v>74</v>
      </c>
      <c r="U1086" s="213">
        <v>44932.75</v>
      </c>
      <c r="V1086" s="209" t="s">
        <v>41</v>
      </c>
      <c r="W1086" s="209" t="s">
        <v>42</v>
      </c>
      <c r="X1086" s="13" t="str">
        <f>IF(RIGHT(H1086,2)&lt;&gt;"00",H1086,"")</f>
        <v/>
      </c>
      <c r="Y1086" s="26">
        <f ca="1">NETWORKDAYS(P1086,$Y$1)</f>
        <v>39</v>
      </c>
      <c r="Z1086" s="34">
        <v>1</v>
      </c>
      <c r="AA1086" s="25" t="str">
        <f t="shared" ca="1" si="83"/>
        <v>A VENCER</v>
      </c>
      <c r="AB1086" s="25" t="str">
        <f t="shared" si="86"/>
        <v>Dosa</v>
      </c>
      <c r="AC1086" s="2" t="str">
        <f t="shared" si="85"/>
        <v xml:space="preserve"> ROSEMERE </v>
      </c>
      <c r="AD1086" s="26">
        <f t="shared" si="87"/>
        <v>5</v>
      </c>
      <c r="AE1086" s="26">
        <f t="shared" ca="1" si="84"/>
        <v>54.245912847225554</v>
      </c>
    </row>
    <row r="1087" spans="1:31" hidden="1">
      <c r="A1087" s="209">
        <v>9294531</v>
      </c>
      <c r="B1087" s="209" t="s">
        <v>101</v>
      </c>
      <c r="C1087" s="210" t="s">
        <v>1810</v>
      </c>
      <c r="D1087" s="214"/>
      <c r="E1087" s="214">
        <v>1162000206001</v>
      </c>
      <c r="F1087" s="209" t="s">
        <v>29</v>
      </c>
      <c r="G1087" s="209" t="s">
        <v>53</v>
      </c>
      <c r="H1087" s="209" t="s">
        <v>280</v>
      </c>
      <c r="I1087" s="209" t="s">
        <v>281</v>
      </c>
      <c r="J1087" s="209" t="s">
        <v>211</v>
      </c>
      <c r="K1087" s="210" t="s">
        <v>34</v>
      </c>
      <c r="L1087" s="210"/>
      <c r="M1087" s="209" t="s">
        <v>35</v>
      </c>
      <c r="N1087" s="209">
        <v>42318949</v>
      </c>
      <c r="O1087" s="209" t="s">
        <v>105</v>
      </c>
      <c r="P1087" s="213">
        <v>44932.430324074077</v>
      </c>
      <c r="Q1087" s="209"/>
      <c r="R1087" s="209" t="s">
        <v>38</v>
      </c>
      <c r="S1087" s="209"/>
      <c r="T1087" s="209" t="s">
        <v>74</v>
      </c>
      <c r="U1087" s="213">
        <v>44932.75</v>
      </c>
      <c r="V1087" s="209" t="s">
        <v>41</v>
      </c>
      <c r="W1087" s="209" t="s">
        <v>49</v>
      </c>
      <c r="X1087" s="13" t="str">
        <f>IF(RIGHT(H1087,2)&lt;&gt;"00",H1087,"")</f>
        <v/>
      </c>
      <c r="Y1087" s="26">
        <f ca="1">NETWORKDAYS(P1087,$Y$1)</f>
        <v>39</v>
      </c>
      <c r="Z1087" s="34">
        <v>1</v>
      </c>
      <c r="AA1087" s="25" t="str">
        <f t="shared" ca="1" si="83"/>
        <v>A VENCER</v>
      </c>
      <c r="AB1087" s="25" t="str">
        <f t="shared" si="86"/>
        <v>Dosa</v>
      </c>
      <c r="AC1087" s="2" t="str">
        <f t="shared" si="85"/>
        <v xml:space="preserve"> RINALDO </v>
      </c>
      <c r="AD1087" s="26">
        <f t="shared" si="87"/>
        <v>5</v>
      </c>
      <c r="AE1087" s="26">
        <f t="shared" ca="1" si="84"/>
        <v>54.245947569441341</v>
      </c>
    </row>
    <row r="1088" spans="1:31" hidden="1">
      <c r="A1088" s="209">
        <v>9294523</v>
      </c>
      <c r="B1088" s="209" t="s">
        <v>101</v>
      </c>
      <c r="C1088" s="210" t="s">
        <v>1810</v>
      </c>
      <c r="D1088" s="214"/>
      <c r="E1088" s="214">
        <v>1153000206001</v>
      </c>
      <c r="F1088" s="209" t="s">
        <v>29</v>
      </c>
      <c r="G1088" s="209" t="s">
        <v>53</v>
      </c>
      <c r="H1088" s="209" t="s">
        <v>1031</v>
      </c>
      <c r="I1088" s="209" t="s">
        <v>1032</v>
      </c>
      <c r="J1088" s="209" t="s">
        <v>79</v>
      </c>
      <c r="K1088" s="210" t="s">
        <v>34</v>
      </c>
      <c r="L1088" s="210"/>
      <c r="M1088" s="209" t="s">
        <v>35</v>
      </c>
      <c r="N1088" s="209">
        <v>42318949</v>
      </c>
      <c r="O1088" s="209" t="s">
        <v>105</v>
      </c>
      <c r="P1088" s="213">
        <v>44932.430312500001</v>
      </c>
      <c r="Q1088" s="209"/>
      <c r="R1088" s="209" t="s">
        <v>38</v>
      </c>
      <c r="S1088" s="209"/>
      <c r="T1088" s="209" t="s">
        <v>74</v>
      </c>
      <c r="U1088" s="213">
        <v>44932.75</v>
      </c>
      <c r="V1088" s="209" t="s">
        <v>41</v>
      </c>
      <c r="W1088" s="209" t="s">
        <v>49</v>
      </c>
      <c r="X1088" s="13" t="str">
        <f>IF(RIGHT(H1088,2)&lt;&gt;"00",H1088,"")</f>
        <v/>
      </c>
      <c r="Y1088" s="26">
        <f ca="1">NETWORKDAYS(P1088,$Y$1)</f>
        <v>39</v>
      </c>
      <c r="Z1088" s="34">
        <v>1</v>
      </c>
      <c r="AA1088" s="25" t="str">
        <f t="shared" ca="1" si="83"/>
        <v>A VENCER</v>
      </c>
      <c r="AB1088" s="25" t="str">
        <f t="shared" si="86"/>
        <v>Dosa</v>
      </c>
      <c r="AC1088" s="2" t="str">
        <f t="shared" si="85"/>
        <v xml:space="preserve"> ROSEMERE </v>
      </c>
      <c r="AD1088" s="26">
        <f t="shared" si="87"/>
        <v>5</v>
      </c>
      <c r="AE1088" s="26">
        <f t="shared" ca="1" si="84"/>
        <v>54.245959143518121</v>
      </c>
    </row>
    <row r="1089" spans="1:31" hidden="1">
      <c r="A1089" s="209">
        <v>9294508</v>
      </c>
      <c r="B1089" s="209" t="s">
        <v>101</v>
      </c>
      <c r="C1089" s="210" t="s">
        <v>1810</v>
      </c>
      <c r="D1089" s="214"/>
      <c r="E1089" s="214">
        <v>1138000206001</v>
      </c>
      <c r="F1089" s="209" t="s">
        <v>29</v>
      </c>
      <c r="G1089" s="209" t="s">
        <v>53</v>
      </c>
      <c r="H1089" s="209" t="s">
        <v>548</v>
      </c>
      <c r="I1089" s="209" t="s">
        <v>549</v>
      </c>
      <c r="J1089" s="209" t="s">
        <v>46</v>
      </c>
      <c r="K1089" s="210" t="s">
        <v>34</v>
      </c>
      <c r="L1089" s="210"/>
      <c r="M1089" s="209" t="s">
        <v>35</v>
      </c>
      <c r="N1089" s="209">
        <v>42318949</v>
      </c>
      <c r="O1089" s="209" t="s">
        <v>105</v>
      </c>
      <c r="P1089" s="213">
        <v>44932.430289351854</v>
      </c>
      <c r="Q1089" s="209"/>
      <c r="R1089" s="209" t="s">
        <v>38</v>
      </c>
      <c r="S1089" s="209"/>
      <c r="T1089" s="209" t="s">
        <v>74</v>
      </c>
      <c r="U1089" s="213">
        <v>44932.75</v>
      </c>
      <c r="V1089" s="209" t="s">
        <v>41</v>
      </c>
      <c r="W1089" s="209" t="s">
        <v>49</v>
      </c>
      <c r="X1089" s="13" t="str">
        <f>IF(RIGHT(H1089,2)&lt;&gt;"00",H1089,"")</f>
        <v/>
      </c>
      <c r="Y1089" s="26">
        <f ca="1">NETWORKDAYS(P1089,$Y$1)</f>
        <v>39</v>
      </c>
      <c r="Z1089" s="34">
        <v>1</v>
      </c>
      <c r="AA1089" s="25" t="str">
        <f t="shared" ca="1" si="83"/>
        <v>A VENCER</v>
      </c>
      <c r="AB1089" s="25" t="str">
        <f t="shared" si="86"/>
        <v>Dosa</v>
      </c>
      <c r="AC1089" s="2" t="str">
        <f t="shared" si="85"/>
        <v xml:space="preserve"> CLEITON </v>
      </c>
      <c r="AD1089" s="26">
        <f t="shared" si="87"/>
        <v>5</v>
      </c>
      <c r="AE1089" s="26">
        <f t="shared" ca="1" si="84"/>
        <v>54.245982291664404</v>
      </c>
    </row>
    <row r="1090" spans="1:31" hidden="1">
      <c r="A1090" s="209">
        <v>9294499</v>
      </c>
      <c r="B1090" s="209" t="s">
        <v>101</v>
      </c>
      <c r="C1090" s="210" t="s">
        <v>1810</v>
      </c>
      <c r="D1090" s="214"/>
      <c r="E1090" s="214">
        <v>1128000206001</v>
      </c>
      <c r="F1090" s="209" t="s">
        <v>29</v>
      </c>
      <c r="G1090" s="209" t="s">
        <v>53</v>
      </c>
      <c r="H1090" s="209" t="s">
        <v>1191</v>
      </c>
      <c r="I1090" s="209" t="s">
        <v>1192</v>
      </c>
      <c r="J1090" s="209" t="s">
        <v>33</v>
      </c>
      <c r="K1090" s="210" t="s">
        <v>34</v>
      </c>
      <c r="L1090" s="210"/>
      <c r="M1090" s="209" t="s">
        <v>35</v>
      </c>
      <c r="N1090" s="209">
        <v>42318949</v>
      </c>
      <c r="O1090" s="209" t="s">
        <v>36</v>
      </c>
      <c r="P1090" s="213">
        <v>44932.430277777778</v>
      </c>
      <c r="Q1090" s="209"/>
      <c r="R1090" s="209" t="s">
        <v>38</v>
      </c>
      <c r="S1090" s="209"/>
      <c r="T1090" s="209" t="s">
        <v>74</v>
      </c>
      <c r="U1090" s="213">
        <v>44932.75</v>
      </c>
      <c r="V1090" s="209" t="s">
        <v>41</v>
      </c>
      <c r="W1090" s="209" t="s">
        <v>49</v>
      </c>
      <c r="X1090" s="13" t="str">
        <f>IF(RIGHT(H1090,2)&lt;&gt;"00",H1090,"")</f>
        <v/>
      </c>
      <c r="Y1090" s="26">
        <f ca="1">NETWORKDAYS(P1090,$Y$1)</f>
        <v>39</v>
      </c>
      <c r="Z1090" s="34">
        <v>1</v>
      </c>
      <c r="AA1090" s="25" t="str">
        <f t="shared" ref="AA1090:AA1153" ca="1" si="88">IF(AE1090=0,"HOJE",IF(AE1090&gt;0,"A VENCER",IF(AE1090&lt;0,"VENCIDO")))</f>
        <v>A VENCER</v>
      </c>
      <c r="AB1090" s="25" t="str">
        <f t="shared" si="86"/>
        <v>Dosa</v>
      </c>
      <c r="AC1090" s="2" t="str">
        <f t="shared" si="85"/>
        <v xml:space="preserve"> ROSEMERE </v>
      </c>
      <c r="AD1090" s="26">
        <f t="shared" si="87"/>
        <v>5</v>
      </c>
      <c r="AE1090" s="26">
        <f t="shared" ref="AE1090:AE1153" ca="1" si="89">IF(P1090=$AE$1,"",$AE$1-P1090)</f>
        <v>54.245993865741184</v>
      </c>
    </row>
    <row r="1091" spans="1:31" hidden="1">
      <c r="A1091" s="209">
        <v>9294491</v>
      </c>
      <c r="B1091" s="209" t="s">
        <v>101</v>
      </c>
      <c r="C1091" s="210" t="s">
        <v>1810</v>
      </c>
      <c r="D1091" s="214"/>
      <c r="E1091" s="214">
        <v>1120000206001</v>
      </c>
      <c r="F1091" s="209" t="s">
        <v>29</v>
      </c>
      <c r="G1091" s="209" t="s">
        <v>53</v>
      </c>
      <c r="H1091" s="209" t="s">
        <v>181</v>
      </c>
      <c r="I1091" s="209" t="s">
        <v>182</v>
      </c>
      <c r="J1091" s="209" t="s">
        <v>164</v>
      </c>
      <c r="K1091" s="210" t="s">
        <v>34</v>
      </c>
      <c r="L1091" s="210"/>
      <c r="M1091" s="209" t="s">
        <v>35</v>
      </c>
      <c r="N1091" s="209">
        <v>42318949</v>
      </c>
      <c r="O1091" s="209" t="s">
        <v>105</v>
      </c>
      <c r="P1091" s="213">
        <v>44932.430266203701</v>
      </c>
      <c r="Q1091" s="209"/>
      <c r="R1091" s="209" t="s">
        <v>38</v>
      </c>
      <c r="S1091" s="209"/>
      <c r="T1091" s="209" t="s">
        <v>74</v>
      </c>
      <c r="U1091" s="213">
        <v>44932.75</v>
      </c>
      <c r="V1091" s="209" t="s">
        <v>41</v>
      </c>
      <c r="W1091" s="209" t="s">
        <v>49</v>
      </c>
      <c r="X1091" s="13" t="str">
        <f>IF(RIGHT(H1091,2)&lt;&gt;"00",H1091,"")</f>
        <v/>
      </c>
      <c r="Y1091" s="26">
        <f ca="1">NETWORKDAYS(P1091,$Y$1)</f>
        <v>39</v>
      </c>
      <c r="Z1091" s="34">
        <v>1</v>
      </c>
      <c r="AA1091" s="25" t="str">
        <f t="shared" ca="1" si="88"/>
        <v>A VENCER</v>
      </c>
      <c r="AB1091" s="25" t="str">
        <f t="shared" si="86"/>
        <v>Dosa</v>
      </c>
      <c r="AC1091" s="2" t="str">
        <f t="shared" ref="AC1091:AC1154" si="90">IF(J1091="TR-PETROLINA"," ROSEMERE ",IF(J1091="TR-GARANHUNS"," ROSEMERE ",IF(J1091="TR-CARUARU"," ROSEMERE ",IF(J1091="TR-RIBEIRAO"," CRISTINA ",IF(J1091="TR-GRAVATA"," CRISTINA ",IF(J1091="TR-GOIANA"," CRISTINA ",IF(J1091="TR-LIMOEIRO"," CRISTINA ",IF(J1091="TR-SERRA TALHADA"," RINALDO ",IF(J1091="TR-SALGUEIRO"," RINALDO ",IF(J1091="TR-CARNAIBA"," RINALDO ",IF(J1091="TR-ARCOVERDE"," RINALDO ",IF(J1091="CAT-RECIFE"," CLEITON ",))))))))))))</f>
        <v xml:space="preserve"> ROSEMERE </v>
      </c>
      <c r="AD1091" s="26">
        <f t="shared" si="87"/>
        <v>5</v>
      </c>
      <c r="AE1091" s="26">
        <f t="shared" ca="1" si="89"/>
        <v>54.246005439817964</v>
      </c>
    </row>
    <row r="1092" spans="1:31" hidden="1">
      <c r="A1092" s="209">
        <v>9294445</v>
      </c>
      <c r="B1092" s="209" t="s">
        <v>101</v>
      </c>
      <c r="C1092" s="210" t="s">
        <v>1810</v>
      </c>
      <c r="D1092" s="214"/>
      <c r="E1092" s="214">
        <v>1069000206001</v>
      </c>
      <c r="F1092" s="209" t="s">
        <v>29</v>
      </c>
      <c r="G1092" s="209" t="s">
        <v>53</v>
      </c>
      <c r="H1092" s="209" t="s">
        <v>353</v>
      </c>
      <c r="I1092" s="209" t="s">
        <v>354</v>
      </c>
      <c r="J1092" s="209" t="s">
        <v>211</v>
      </c>
      <c r="K1092" s="210" t="s">
        <v>34</v>
      </c>
      <c r="L1092" s="210"/>
      <c r="M1092" s="209" t="s">
        <v>35</v>
      </c>
      <c r="N1092" s="209">
        <v>42318949</v>
      </c>
      <c r="O1092" s="209" t="s">
        <v>105</v>
      </c>
      <c r="P1092" s="213">
        <v>44932.430208333331</v>
      </c>
      <c r="Q1092" s="209"/>
      <c r="R1092" s="209" t="s">
        <v>38</v>
      </c>
      <c r="S1092" s="209"/>
      <c r="T1092" s="209" t="s">
        <v>74</v>
      </c>
      <c r="U1092" s="213">
        <v>44932.75</v>
      </c>
      <c r="V1092" s="209" t="s">
        <v>41</v>
      </c>
      <c r="W1092" s="209" t="s">
        <v>49</v>
      </c>
      <c r="X1092" s="13" t="str">
        <f>IF(RIGHT(H1092,2)&lt;&gt;"00",H1092,"")</f>
        <v/>
      </c>
      <c r="Y1092" s="26">
        <f ca="1">NETWORKDAYS(P1092,$Y$1)</f>
        <v>39</v>
      </c>
      <c r="Z1092" s="34">
        <v>1</v>
      </c>
      <c r="AA1092" s="25" t="str">
        <f t="shared" ca="1" si="88"/>
        <v>A VENCER</v>
      </c>
      <c r="AB1092" s="25" t="str">
        <f t="shared" si="86"/>
        <v>Dosa</v>
      </c>
      <c r="AC1092" s="2" t="str">
        <f t="shared" si="90"/>
        <v xml:space="preserve"> RINALDO </v>
      </c>
      <c r="AD1092" s="26">
        <f t="shared" si="87"/>
        <v>5</v>
      </c>
      <c r="AE1092" s="26">
        <f t="shared" ca="1" si="89"/>
        <v>54.24606331018731</v>
      </c>
    </row>
    <row r="1093" spans="1:31" hidden="1">
      <c r="A1093" s="209">
        <v>9294436</v>
      </c>
      <c r="B1093" s="209" t="s">
        <v>101</v>
      </c>
      <c r="C1093" s="210" t="s">
        <v>1810</v>
      </c>
      <c r="D1093" s="214"/>
      <c r="E1093" s="214">
        <v>1059000206001</v>
      </c>
      <c r="F1093" s="209" t="s">
        <v>29</v>
      </c>
      <c r="G1093" s="209" t="s">
        <v>53</v>
      </c>
      <c r="H1093" s="209" t="s">
        <v>88</v>
      </c>
      <c r="I1093" s="209" t="s">
        <v>89</v>
      </c>
      <c r="J1093" s="209" t="s">
        <v>90</v>
      </c>
      <c r="K1093" s="210" t="s">
        <v>34</v>
      </c>
      <c r="L1093" s="210"/>
      <c r="M1093" s="209" t="s">
        <v>35</v>
      </c>
      <c r="N1093" s="209">
        <v>42318949</v>
      </c>
      <c r="O1093" s="209" t="s">
        <v>105</v>
      </c>
      <c r="P1093" s="213">
        <v>44932.430196759262</v>
      </c>
      <c r="Q1093" s="209"/>
      <c r="R1093" s="209" t="s">
        <v>38</v>
      </c>
      <c r="S1093" s="209"/>
      <c r="T1093" s="209" t="s">
        <v>74</v>
      </c>
      <c r="U1093" s="213">
        <v>44932.75</v>
      </c>
      <c r="V1093" s="209" t="s">
        <v>41</v>
      </c>
      <c r="W1093" s="209" t="s">
        <v>49</v>
      </c>
      <c r="X1093" s="13" t="str">
        <f>IF(RIGHT(H1093,2)&lt;&gt;"00",H1093,"")</f>
        <v/>
      </c>
      <c r="Y1093" s="26">
        <f ca="1">NETWORKDAYS(P1093,$Y$1)</f>
        <v>39</v>
      </c>
      <c r="Z1093" s="34">
        <v>1</v>
      </c>
      <c r="AA1093" s="25" t="str">
        <f t="shared" ca="1" si="88"/>
        <v>A VENCER</v>
      </c>
      <c r="AB1093" s="25" t="str">
        <f t="shared" si="86"/>
        <v>Dosa</v>
      </c>
      <c r="AC1093" s="2" t="str">
        <f t="shared" si="90"/>
        <v xml:space="preserve"> RINALDO </v>
      </c>
      <c r="AD1093" s="26">
        <f t="shared" si="87"/>
        <v>5</v>
      </c>
      <c r="AE1093" s="26">
        <f t="shared" ca="1" si="89"/>
        <v>54.246074884256814</v>
      </c>
    </row>
    <row r="1094" spans="1:31" hidden="1">
      <c r="A1094" s="209">
        <v>9294435</v>
      </c>
      <c r="B1094" s="209" t="s">
        <v>101</v>
      </c>
      <c r="C1094" s="210" t="s">
        <v>1810</v>
      </c>
      <c r="D1094" s="214"/>
      <c r="E1094" s="214">
        <v>1058000206001</v>
      </c>
      <c r="F1094" s="209" t="s">
        <v>29</v>
      </c>
      <c r="G1094" s="209" t="s">
        <v>53</v>
      </c>
      <c r="H1094" s="209" t="s">
        <v>289</v>
      </c>
      <c r="I1094" s="209" t="s">
        <v>290</v>
      </c>
      <c r="J1094" s="209" t="s">
        <v>56</v>
      </c>
      <c r="K1094" s="210" t="s">
        <v>34</v>
      </c>
      <c r="L1094" s="210"/>
      <c r="M1094" s="209" t="s">
        <v>35</v>
      </c>
      <c r="N1094" s="209">
        <v>42318949</v>
      </c>
      <c r="O1094" s="209" t="s">
        <v>105</v>
      </c>
      <c r="P1094" s="213">
        <v>44932.430196759262</v>
      </c>
      <c r="Q1094" s="209"/>
      <c r="R1094" s="209" t="s">
        <v>38</v>
      </c>
      <c r="S1094" s="209"/>
      <c r="T1094" s="209" t="s">
        <v>74</v>
      </c>
      <c r="U1094" s="213">
        <v>44932.75</v>
      </c>
      <c r="V1094" s="209" t="s">
        <v>41</v>
      </c>
      <c r="W1094" s="209" t="s">
        <v>49</v>
      </c>
      <c r="X1094" s="13" t="str">
        <f>IF(RIGHT(H1094,2)&lt;&gt;"00",H1094,"")</f>
        <v/>
      </c>
      <c r="Y1094" s="26">
        <f ca="1">NETWORKDAYS(P1094,$Y$1)</f>
        <v>39</v>
      </c>
      <c r="Z1094" s="34">
        <v>1</v>
      </c>
      <c r="AA1094" s="25" t="str">
        <f t="shared" ca="1" si="88"/>
        <v>A VENCER</v>
      </c>
      <c r="AB1094" s="25" t="str">
        <f t="shared" si="86"/>
        <v>Dosa</v>
      </c>
      <c r="AC1094" s="2" t="str">
        <f t="shared" si="90"/>
        <v xml:space="preserve"> CRISTINA </v>
      </c>
      <c r="AD1094" s="26">
        <f t="shared" si="87"/>
        <v>5</v>
      </c>
      <c r="AE1094" s="26">
        <f t="shared" ca="1" si="89"/>
        <v>54.246074884256814</v>
      </c>
    </row>
    <row r="1095" spans="1:31" hidden="1">
      <c r="A1095" s="209">
        <v>9294424</v>
      </c>
      <c r="B1095" s="209" t="s">
        <v>101</v>
      </c>
      <c r="C1095" s="210" t="s">
        <v>1810</v>
      </c>
      <c r="D1095" s="214"/>
      <c r="E1095" s="214">
        <v>1049000206001</v>
      </c>
      <c r="F1095" s="209" t="s">
        <v>29</v>
      </c>
      <c r="G1095" s="209" t="s">
        <v>53</v>
      </c>
      <c r="H1095" s="209" t="s">
        <v>169</v>
      </c>
      <c r="I1095" s="209" t="s">
        <v>170</v>
      </c>
      <c r="J1095" s="209" t="s">
        <v>164</v>
      </c>
      <c r="K1095" s="210" t="s">
        <v>34</v>
      </c>
      <c r="L1095" s="210"/>
      <c r="M1095" s="209" t="s">
        <v>35</v>
      </c>
      <c r="N1095" s="209">
        <v>42318949</v>
      </c>
      <c r="O1095" s="209" t="s">
        <v>105</v>
      </c>
      <c r="P1095" s="213">
        <v>44932.430173611108</v>
      </c>
      <c r="Q1095" s="209"/>
      <c r="R1095" s="209" t="s">
        <v>38</v>
      </c>
      <c r="S1095" s="209"/>
      <c r="T1095" s="209" t="s">
        <v>74</v>
      </c>
      <c r="U1095" s="213">
        <v>44932.75</v>
      </c>
      <c r="V1095" s="209" t="s">
        <v>41</v>
      </c>
      <c r="W1095" s="209" t="s">
        <v>49</v>
      </c>
      <c r="X1095" s="13" t="str">
        <f>IF(RIGHT(H1095,2)&lt;&gt;"00",H1095,"")</f>
        <v/>
      </c>
      <c r="Y1095" s="26">
        <f ca="1">NETWORKDAYS(P1095,$Y$1)</f>
        <v>39</v>
      </c>
      <c r="Z1095" s="34">
        <v>1</v>
      </c>
      <c r="AA1095" s="25" t="str">
        <f t="shared" ca="1" si="88"/>
        <v>A VENCER</v>
      </c>
      <c r="AB1095" s="25" t="str">
        <f t="shared" si="86"/>
        <v>Dosa</v>
      </c>
      <c r="AC1095" s="2" t="str">
        <f t="shared" si="90"/>
        <v xml:space="preserve"> ROSEMERE </v>
      </c>
      <c r="AD1095" s="26">
        <f t="shared" si="87"/>
        <v>5</v>
      </c>
      <c r="AE1095" s="26">
        <f t="shared" ca="1" si="89"/>
        <v>54.246098032410373</v>
      </c>
    </row>
    <row r="1096" spans="1:31" hidden="1">
      <c r="A1096" s="209">
        <v>9294406</v>
      </c>
      <c r="B1096" s="209" t="s">
        <v>101</v>
      </c>
      <c r="C1096" s="210" t="s">
        <v>1810</v>
      </c>
      <c r="D1096" s="214"/>
      <c r="E1096" s="214">
        <v>1028000206001</v>
      </c>
      <c r="F1096" s="209" t="s">
        <v>29</v>
      </c>
      <c r="G1096" s="209" t="s">
        <v>53</v>
      </c>
      <c r="H1096" s="209" t="s">
        <v>1079</v>
      </c>
      <c r="I1096" s="209" t="s">
        <v>1080</v>
      </c>
      <c r="J1096" s="209" t="s">
        <v>85</v>
      </c>
      <c r="K1096" s="210" t="s">
        <v>34</v>
      </c>
      <c r="L1096" s="210"/>
      <c r="M1096" s="209" t="s">
        <v>35</v>
      </c>
      <c r="N1096" s="209">
        <v>42318949</v>
      </c>
      <c r="O1096" s="209" t="s">
        <v>105</v>
      </c>
      <c r="P1096" s="213">
        <v>44932.430150462962</v>
      </c>
      <c r="Q1096" s="209"/>
      <c r="R1096" s="209" t="s">
        <v>38</v>
      </c>
      <c r="S1096" s="209"/>
      <c r="T1096" s="209" t="s">
        <v>74</v>
      </c>
      <c r="U1096" s="213">
        <v>44932.75</v>
      </c>
      <c r="V1096" s="209" t="s">
        <v>41</v>
      </c>
      <c r="W1096" s="209" t="s">
        <v>49</v>
      </c>
      <c r="X1096" s="13" t="str">
        <f>IF(RIGHT(H1096,2)&lt;&gt;"00",H1096,"")</f>
        <v/>
      </c>
      <c r="Y1096" s="26">
        <f ca="1">NETWORKDAYS(P1096,$Y$1)</f>
        <v>39</v>
      </c>
      <c r="Z1096" s="34">
        <v>1</v>
      </c>
      <c r="AA1096" s="25" t="str">
        <f t="shared" ca="1" si="88"/>
        <v>A VENCER</v>
      </c>
      <c r="AB1096" s="25" t="str">
        <f t="shared" si="86"/>
        <v>Dosa</v>
      </c>
      <c r="AC1096" s="2" t="str">
        <f t="shared" si="90"/>
        <v xml:space="preserve"> RINALDO </v>
      </c>
      <c r="AD1096" s="26">
        <f t="shared" si="87"/>
        <v>5</v>
      </c>
      <c r="AE1096" s="26">
        <f t="shared" ca="1" si="89"/>
        <v>54.246121180556656</v>
      </c>
    </row>
    <row r="1097" spans="1:31" hidden="1">
      <c r="A1097" s="209">
        <v>9294391</v>
      </c>
      <c r="B1097" s="209" t="s">
        <v>101</v>
      </c>
      <c r="C1097" s="210" t="s">
        <v>1810</v>
      </c>
      <c r="D1097" s="214"/>
      <c r="E1097" s="214">
        <v>1012000206001</v>
      </c>
      <c r="F1097" s="209" t="s">
        <v>29</v>
      </c>
      <c r="G1097" s="209" t="s">
        <v>53</v>
      </c>
      <c r="H1097" s="209" t="s">
        <v>172</v>
      </c>
      <c r="I1097" s="209" t="s">
        <v>173</v>
      </c>
      <c r="J1097" s="209" t="s">
        <v>164</v>
      </c>
      <c r="K1097" s="210" t="s">
        <v>34</v>
      </c>
      <c r="L1097" s="210"/>
      <c r="M1097" s="209" t="s">
        <v>35</v>
      </c>
      <c r="N1097" s="209">
        <v>42318949</v>
      </c>
      <c r="O1097" s="209" t="s">
        <v>105</v>
      </c>
      <c r="P1097" s="213">
        <v>44932.430138888885</v>
      </c>
      <c r="Q1097" s="209"/>
      <c r="R1097" s="209" t="s">
        <v>38</v>
      </c>
      <c r="S1097" s="209"/>
      <c r="T1097" s="209" t="s">
        <v>74</v>
      </c>
      <c r="U1097" s="213">
        <v>44932.75</v>
      </c>
      <c r="V1097" s="209" t="s">
        <v>41</v>
      </c>
      <c r="W1097" s="209" t="s">
        <v>49</v>
      </c>
      <c r="X1097" s="13" t="str">
        <f>IF(RIGHT(H1097,2)&lt;&gt;"00",H1097,"")</f>
        <v/>
      </c>
      <c r="Y1097" s="26">
        <f ca="1">NETWORKDAYS(P1097,$Y$1)</f>
        <v>39</v>
      </c>
      <c r="Z1097" s="34">
        <v>1</v>
      </c>
      <c r="AA1097" s="25" t="str">
        <f t="shared" ca="1" si="88"/>
        <v>A VENCER</v>
      </c>
      <c r="AB1097" s="25" t="str">
        <f t="shared" si="86"/>
        <v>Dosa</v>
      </c>
      <c r="AC1097" s="2" t="str">
        <f t="shared" si="90"/>
        <v xml:space="preserve"> ROSEMERE </v>
      </c>
      <c r="AD1097" s="26">
        <f t="shared" si="87"/>
        <v>5</v>
      </c>
      <c r="AE1097" s="26">
        <f t="shared" ca="1" si="89"/>
        <v>54.246132754633436</v>
      </c>
    </row>
    <row r="1098" spans="1:31" hidden="1">
      <c r="A1098" s="209">
        <v>9294359</v>
      </c>
      <c r="B1098" s="209" t="s">
        <v>101</v>
      </c>
      <c r="C1098" s="210" t="s">
        <v>1810</v>
      </c>
      <c r="D1098" s="214"/>
      <c r="E1098" s="214">
        <v>981000206001</v>
      </c>
      <c r="F1098" s="209" t="s">
        <v>29</v>
      </c>
      <c r="G1098" s="209" t="s">
        <v>53</v>
      </c>
      <c r="H1098" s="209" t="s">
        <v>410</v>
      </c>
      <c r="I1098" s="209" t="s">
        <v>411</v>
      </c>
      <c r="J1098" s="209" t="s">
        <v>85</v>
      </c>
      <c r="K1098" s="210" t="s">
        <v>34</v>
      </c>
      <c r="L1098" s="210"/>
      <c r="M1098" s="209" t="s">
        <v>35</v>
      </c>
      <c r="N1098" s="209">
        <v>42318949</v>
      </c>
      <c r="O1098" s="209" t="s">
        <v>105</v>
      </c>
      <c r="P1098" s="213">
        <v>44932.430081018516</v>
      </c>
      <c r="Q1098" s="209"/>
      <c r="R1098" s="209" t="s">
        <v>38</v>
      </c>
      <c r="S1098" s="209"/>
      <c r="T1098" s="209" t="s">
        <v>74</v>
      </c>
      <c r="U1098" s="213">
        <v>44932.75</v>
      </c>
      <c r="V1098" s="209" t="s">
        <v>41</v>
      </c>
      <c r="W1098" s="209" t="s">
        <v>49</v>
      </c>
      <c r="X1098" s="13" t="str">
        <f>IF(RIGHT(H1098,2)&lt;&gt;"00",H1098,"")</f>
        <v/>
      </c>
      <c r="Y1098" s="26">
        <f ca="1">NETWORKDAYS(P1098,$Y$1)</f>
        <v>39</v>
      </c>
      <c r="Z1098" s="34">
        <v>1</v>
      </c>
      <c r="AA1098" s="25" t="str">
        <f t="shared" ca="1" si="88"/>
        <v>A VENCER</v>
      </c>
      <c r="AB1098" s="25" t="str">
        <f t="shared" si="86"/>
        <v>Dosa</v>
      </c>
      <c r="AC1098" s="2" t="str">
        <f t="shared" si="90"/>
        <v xml:space="preserve"> RINALDO </v>
      </c>
      <c r="AD1098" s="26">
        <f t="shared" si="87"/>
        <v>5</v>
      </c>
      <c r="AE1098" s="26">
        <f t="shared" ca="1" si="89"/>
        <v>54.246190625002782</v>
      </c>
    </row>
    <row r="1099" spans="1:31" hidden="1">
      <c r="A1099" s="209">
        <v>9294339</v>
      </c>
      <c r="B1099" s="209" t="s">
        <v>101</v>
      </c>
      <c r="C1099" s="210" t="s">
        <v>1810</v>
      </c>
      <c r="D1099" s="214"/>
      <c r="E1099" s="214">
        <v>963000206001</v>
      </c>
      <c r="F1099" s="209" t="s">
        <v>29</v>
      </c>
      <c r="G1099" s="209" t="s">
        <v>53</v>
      </c>
      <c r="H1099" s="209" t="s">
        <v>531</v>
      </c>
      <c r="I1099" s="209" t="s">
        <v>532</v>
      </c>
      <c r="J1099" s="209" t="s">
        <v>33</v>
      </c>
      <c r="K1099" s="210" t="s">
        <v>34</v>
      </c>
      <c r="L1099" s="210"/>
      <c r="M1099" s="209" t="s">
        <v>35</v>
      </c>
      <c r="N1099" s="209">
        <v>42318949</v>
      </c>
      <c r="O1099" s="209" t="s">
        <v>105</v>
      </c>
      <c r="P1099" s="213">
        <v>44932.430046296293</v>
      </c>
      <c r="Q1099" s="209"/>
      <c r="R1099" s="209" t="s">
        <v>38</v>
      </c>
      <c r="S1099" s="209"/>
      <c r="T1099" s="209" t="s">
        <v>74</v>
      </c>
      <c r="U1099" s="213">
        <v>44932.75</v>
      </c>
      <c r="V1099" s="209" t="s">
        <v>41</v>
      </c>
      <c r="W1099" s="209" t="s">
        <v>49</v>
      </c>
      <c r="X1099" s="13" t="str">
        <f>IF(RIGHT(H1099,2)&lt;&gt;"00",H1099,"")</f>
        <v/>
      </c>
      <c r="Y1099" s="26">
        <f ca="1">NETWORKDAYS(P1099,$Y$1)</f>
        <v>39</v>
      </c>
      <c r="Z1099" s="34">
        <v>1</v>
      </c>
      <c r="AA1099" s="25" t="str">
        <f t="shared" ca="1" si="88"/>
        <v>A VENCER</v>
      </c>
      <c r="AB1099" s="25" t="str">
        <f t="shared" si="86"/>
        <v>Dosa</v>
      </c>
      <c r="AC1099" s="2" t="str">
        <f t="shared" si="90"/>
        <v xml:space="preserve"> ROSEMERE </v>
      </c>
      <c r="AD1099" s="26">
        <f t="shared" si="87"/>
        <v>5</v>
      </c>
      <c r="AE1099" s="26">
        <f t="shared" ca="1" si="89"/>
        <v>54.246225347225845</v>
      </c>
    </row>
    <row r="1100" spans="1:31" hidden="1">
      <c r="A1100" s="209">
        <v>9294307</v>
      </c>
      <c r="B1100" s="209" t="s">
        <v>101</v>
      </c>
      <c r="C1100" s="210" t="s">
        <v>1810</v>
      </c>
      <c r="D1100" s="214"/>
      <c r="E1100" s="214">
        <v>934000206001</v>
      </c>
      <c r="F1100" s="209" t="s">
        <v>29</v>
      </c>
      <c r="G1100" s="209" t="s">
        <v>53</v>
      </c>
      <c r="H1100" s="209" t="s">
        <v>428</v>
      </c>
      <c r="I1100" s="209" t="s">
        <v>429</v>
      </c>
      <c r="J1100" s="209" t="s">
        <v>46</v>
      </c>
      <c r="K1100" s="210" t="s">
        <v>34</v>
      </c>
      <c r="L1100" s="210"/>
      <c r="M1100" s="209" t="s">
        <v>35</v>
      </c>
      <c r="N1100" s="209">
        <v>42318949</v>
      </c>
      <c r="O1100" s="209" t="s">
        <v>105</v>
      </c>
      <c r="P1100" s="213">
        <v>44932.43</v>
      </c>
      <c r="Q1100" s="209"/>
      <c r="R1100" s="209" t="s">
        <v>38</v>
      </c>
      <c r="S1100" s="209"/>
      <c r="T1100" s="209" t="s">
        <v>74</v>
      </c>
      <c r="U1100" s="213">
        <v>44932.75</v>
      </c>
      <c r="V1100" s="209" t="s">
        <v>41</v>
      </c>
      <c r="W1100" s="209" t="s">
        <v>49</v>
      </c>
      <c r="X1100" s="13" t="str">
        <f>IF(RIGHT(H1100,2)&lt;&gt;"00",H1100,"")</f>
        <v/>
      </c>
      <c r="Y1100" s="26">
        <f ca="1">NETWORKDAYS(P1100,$Y$1)</f>
        <v>39</v>
      </c>
      <c r="Z1100" s="34">
        <v>1</v>
      </c>
      <c r="AA1100" s="25" t="str">
        <f t="shared" ca="1" si="88"/>
        <v>A VENCER</v>
      </c>
      <c r="AB1100" s="25" t="str">
        <f t="shared" si="86"/>
        <v>Dosa</v>
      </c>
      <c r="AC1100" s="2" t="str">
        <f t="shared" si="90"/>
        <v xml:space="preserve"> CLEITON </v>
      </c>
      <c r="AD1100" s="26">
        <f t="shared" si="87"/>
        <v>5</v>
      </c>
      <c r="AE1100" s="26">
        <f t="shared" ca="1" si="89"/>
        <v>54.246271643518412</v>
      </c>
    </row>
    <row r="1101" spans="1:31" hidden="1">
      <c r="A1101" s="209">
        <v>9294293</v>
      </c>
      <c r="B1101" s="209" t="s">
        <v>101</v>
      </c>
      <c r="C1101" s="210" t="s">
        <v>1810</v>
      </c>
      <c r="D1101" s="214"/>
      <c r="E1101" s="214">
        <v>922000206001</v>
      </c>
      <c r="F1101" s="209" t="s">
        <v>29</v>
      </c>
      <c r="G1101" s="209" t="s">
        <v>53</v>
      </c>
      <c r="H1101" s="209" t="s">
        <v>1375</v>
      </c>
      <c r="I1101" s="209" t="s">
        <v>1376</v>
      </c>
      <c r="J1101" s="209" t="s">
        <v>261</v>
      </c>
      <c r="K1101" s="210" t="s">
        <v>34</v>
      </c>
      <c r="L1101" s="210"/>
      <c r="M1101" s="209" t="s">
        <v>35</v>
      </c>
      <c r="N1101" s="209">
        <v>42318949</v>
      </c>
      <c r="O1101" s="209" t="s">
        <v>105</v>
      </c>
      <c r="P1101" s="213">
        <v>44932.429988425924</v>
      </c>
      <c r="Q1101" s="209"/>
      <c r="R1101" s="209" t="s">
        <v>38</v>
      </c>
      <c r="S1101" s="209"/>
      <c r="T1101" s="209" t="s">
        <v>74</v>
      </c>
      <c r="U1101" s="213">
        <v>44932.75</v>
      </c>
      <c r="V1101" s="209" t="s">
        <v>41</v>
      </c>
      <c r="W1101" s="209" t="s">
        <v>49</v>
      </c>
      <c r="X1101" s="13" t="str">
        <f>IF(RIGHT(H1101,2)&lt;&gt;"00",H1101,"")</f>
        <v/>
      </c>
      <c r="Y1101" s="26">
        <f ca="1">NETWORKDAYS(P1101,$Y$1)</f>
        <v>39</v>
      </c>
      <c r="Z1101" s="34">
        <v>1</v>
      </c>
      <c r="AA1101" s="25" t="str">
        <f t="shared" ca="1" si="88"/>
        <v>A VENCER</v>
      </c>
      <c r="AB1101" s="25" t="str">
        <f t="shared" si="86"/>
        <v>Dosa</v>
      </c>
      <c r="AC1101" s="2" t="str">
        <f t="shared" si="90"/>
        <v xml:space="preserve"> CRISTINA </v>
      </c>
      <c r="AD1101" s="26">
        <f t="shared" si="87"/>
        <v>5</v>
      </c>
      <c r="AE1101" s="26">
        <f t="shared" ca="1" si="89"/>
        <v>54.246283217595192</v>
      </c>
    </row>
    <row r="1102" spans="1:31" hidden="1">
      <c r="A1102" s="209">
        <v>9294269</v>
      </c>
      <c r="B1102" s="209" t="s">
        <v>101</v>
      </c>
      <c r="C1102" s="210" t="s">
        <v>1810</v>
      </c>
      <c r="D1102" s="214"/>
      <c r="E1102" s="214">
        <v>899000206001</v>
      </c>
      <c r="F1102" s="209" t="s">
        <v>29</v>
      </c>
      <c r="G1102" s="209" t="s">
        <v>53</v>
      </c>
      <c r="H1102" s="209" t="s">
        <v>175</v>
      </c>
      <c r="I1102" s="209" t="s">
        <v>176</v>
      </c>
      <c r="J1102" s="209" t="s">
        <v>90</v>
      </c>
      <c r="K1102" s="210" t="s">
        <v>34</v>
      </c>
      <c r="L1102" s="210"/>
      <c r="M1102" s="209" t="s">
        <v>35</v>
      </c>
      <c r="N1102" s="209">
        <v>42318949</v>
      </c>
      <c r="O1102" s="209" t="s">
        <v>36</v>
      </c>
      <c r="P1102" s="213">
        <v>44932.429942129631</v>
      </c>
      <c r="Q1102" s="209"/>
      <c r="R1102" s="209" t="s">
        <v>38</v>
      </c>
      <c r="S1102" s="209"/>
      <c r="T1102" s="209" t="s">
        <v>74</v>
      </c>
      <c r="U1102" s="213">
        <v>44932.75</v>
      </c>
      <c r="V1102" s="209" t="s">
        <v>41</v>
      </c>
      <c r="W1102" s="209" t="s">
        <v>49</v>
      </c>
      <c r="X1102" s="13" t="str">
        <f>IF(RIGHT(H1102,2)&lt;&gt;"00",H1102,"")</f>
        <v/>
      </c>
      <c r="Y1102" s="26">
        <f ca="1">NETWORKDAYS(P1102,$Y$1)</f>
        <v>39</v>
      </c>
      <c r="Z1102" s="34">
        <v>1</v>
      </c>
      <c r="AA1102" s="25" t="str">
        <f t="shared" ca="1" si="88"/>
        <v>A VENCER</v>
      </c>
      <c r="AB1102" s="25" t="str">
        <f t="shared" si="86"/>
        <v>Dosa</v>
      </c>
      <c r="AC1102" s="2" t="str">
        <f t="shared" si="90"/>
        <v xml:space="preserve"> RINALDO </v>
      </c>
      <c r="AD1102" s="26">
        <f t="shared" si="87"/>
        <v>5</v>
      </c>
      <c r="AE1102" s="26">
        <f t="shared" ca="1" si="89"/>
        <v>54.246329513887758</v>
      </c>
    </row>
    <row r="1103" spans="1:31" hidden="1">
      <c r="A1103" s="209">
        <v>9294239</v>
      </c>
      <c r="B1103" s="209" t="s">
        <v>101</v>
      </c>
      <c r="C1103" s="210" t="s">
        <v>1810</v>
      </c>
      <c r="D1103" s="214"/>
      <c r="E1103" s="214">
        <v>870000206001</v>
      </c>
      <c r="F1103" s="209" t="s">
        <v>29</v>
      </c>
      <c r="G1103" s="209" t="s">
        <v>53</v>
      </c>
      <c r="H1103" s="209" t="s">
        <v>183</v>
      </c>
      <c r="I1103" s="209" t="s">
        <v>184</v>
      </c>
      <c r="J1103" s="209" t="s">
        <v>90</v>
      </c>
      <c r="K1103" s="210" t="s">
        <v>34</v>
      </c>
      <c r="L1103" s="210"/>
      <c r="M1103" s="209" t="s">
        <v>35</v>
      </c>
      <c r="N1103" s="209">
        <v>42318949</v>
      </c>
      <c r="O1103" s="209" t="s">
        <v>105</v>
      </c>
      <c r="P1103" s="213">
        <v>44932.429907407408</v>
      </c>
      <c r="Q1103" s="209"/>
      <c r="R1103" s="209" t="s">
        <v>38</v>
      </c>
      <c r="S1103" s="209"/>
      <c r="T1103" s="209" t="s">
        <v>74</v>
      </c>
      <c r="U1103" s="213">
        <v>44932.75</v>
      </c>
      <c r="V1103" s="209" t="s">
        <v>41</v>
      </c>
      <c r="W1103" s="209" t="s">
        <v>49</v>
      </c>
      <c r="X1103" s="13" t="str">
        <f>IF(RIGHT(H1103,2)&lt;&gt;"00",H1103,"")</f>
        <v/>
      </c>
      <c r="Y1103" s="26">
        <f ca="1">NETWORKDAYS(P1103,$Y$1)</f>
        <v>39</v>
      </c>
      <c r="Z1103" s="34">
        <v>1</v>
      </c>
      <c r="AA1103" s="25" t="str">
        <f t="shared" ca="1" si="88"/>
        <v>A VENCER</v>
      </c>
      <c r="AB1103" s="25" t="str">
        <f t="shared" si="86"/>
        <v>Dosa</v>
      </c>
      <c r="AC1103" s="2" t="str">
        <f t="shared" si="90"/>
        <v xml:space="preserve"> RINALDO </v>
      </c>
      <c r="AD1103" s="26">
        <f t="shared" si="87"/>
        <v>5</v>
      </c>
      <c r="AE1103" s="26">
        <f t="shared" ca="1" si="89"/>
        <v>54.246364236110821</v>
      </c>
    </row>
    <row r="1104" spans="1:31" hidden="1">
      <c r="A1104" s="209">
        <v>9294195</v>
      </c>
      <c r="B1104" s="209" t="s">
        <v>101</v>
      </c>
      <c r="C1104" s="210" t="s">
        <v>1810</v>
      </c>
      <c r="D1104" s="214"/>
      <c r="E1104" s="214">
        <v>834000206001</v>
      </c>
      <c r="F1104" s="209" t="s">
        <v>29</v>
      </c>
      <c r="G1104" s="209" t="s">
        <v>53</v>
      </c>
      <c r="H1104" s="209" t="s">
        <v>367</v>
      </c>
      <c r="I1104" s="209" t="s">
        <v>368</v>
      </c>
      <c r="J1104" s="209" t="s">
        <v>261</v>
      </c>
      <c r="K1104" s="210" t="s">
        <v>34</v>
      </c>
      <c r="L1104" s="210"/>
      <c r="M1104" s="209" t="s">
        <v>35</v>
      </c>
      <c r="N1104" s="209">
        <v>42318949</v>
      </c>
      <c r="O1104" s="209" t="s">
        <v>105</v>
      </c>
      <c r="P1104" s="213">
        <v>44932.429837962962</v>
      </c>
      <c r="Q1104" s="209"/>
      <c r="R1104" s="209" t="s">
        <v>38</v>
      </c>
      <c r="S1104" s="209"/>
      <c r="T1104" s="209" t="s">
        <v>74</v>
      </c>
      <c r="U1104" s="213">
        <v>44932.75</v>
      </c>
      <c r="V1104" s="209" t="s">
        <v>41</v>
      </c>
      <c r="W1104" s="209" t="s">
        <v>49</v>
      </c>
      <c r="X1104" s="13" t="str">
        <f>IF(RIGHT(H1104,2)&lt;&gt;"00",H1104,"")</f>
        <v/>
      </c>
      <c r="Y1104" s="26">
        <f ca="1">NETWORKDAYS(P1104,$Y$1)</f>
        <v>39</v>
      </c>
      <c r="Z1104" s="34">
        <v>1</v>
      </c>
      <c r="AA1104" s="25" t="str">
        <f t="shared" ca="1" si="88"/>
        <v>A VENCER</v>
      </c>
      <c r="AB1104" s="25" t="str">
        <f t="shared" si="86"/>
        <v>Dosa</v>
      </c>
      <c r="AC1104" s="2" t="str">
        <f t="shared" si="90"/>
        <v xml:space="preserve"> CRISTINA </v>
      </c>
      <c r="AD1104" s="26">
        <f t="shared" si="87"/>
        <v>5</v>
      </c>
      <c r="AE1104" s="26">
        <f t="shared" ca="1" si="89"/>
        <v>54.246433680556947</v>
      </c>
    </row>
    <row r="1105" spans="1:31" hidden="1">
      <c r="A1105" s="209">
        <v>9294183</v>
      </c>
      <c r="B1105" s="209" t="s">
        <v>101</v>
      </c>
      <c r="C1105" s="210" t="s">
        <v>1810</v>
      </c>
      <c r="D1105" s="214"/>
      <c r="E1105" s="214">
        <v>821000206001</v>
      </c>
      <c r="F1105" s="209" t="s">
        <v>29</v>
      </c>
      <c r="G1105" s="209" t="s">
        <v>53</v>
      </c>
      <c r="H1105" s="209" t="s">
        <v>1351</v>
      </c>
      <c r="I1105" s="209" t="s">
        <v>1352</v>
      </c>
      <c r="J1105" s="209" t="s">
        <v>46</v>
      </c>
      <c r="K1105" s="210" t="s">
        <v>34</v>
      </c>
      <c r="L1105" s="210"/>
      <c r="M1105" s="209" t="s">
        <v>35</v>
      </c>
      <c r="N1105" s="209">
        <v>42318949</v>
      </c>
      <c r="O1105" s="209" t="s">
        <v>105</v>
      </c>
      <c r="P1105" s="213">
        <v>44932.429814814815</v>
      </c>
      <c r="Q1105" s="209"/>
      <c r="R1105" s="209" t="s">
        <v>38</v>
      </c>
      <c r="S1105" s="209"/>
      <c r="T1105" s="209" t="s">
        <v>74</v>
      </c>
      <c r="U1105" s="213">
        <v>44932.75</v>
      </c>
      <c r="V1105" s="209" t="s">
        <v>41</v>
      </c>
      <c r="W1105" s="209" t="s">
        <v>49</v>
      </c>
      <c r="X1105" s="13" t="str">
        <f>IF(RIGHT(H1105,2)&lt;&gt;"00",H1105,"")</f>
        <v/>
      </c>
      <c r="Y1105" s="26">
        <f ca="1">NETWORKDAYS(P1105,$Y$1)</f>
        <v>39</v>
      </c>
      <c r="Z1105" s="34">
        <v>1</v>
      </c>
      <c r="AA1105" s="25" t="str">
        <f t="shared" ca="1" si="88"/>
        <v>A VENCER</v>
      </c>
      <c r="AB1105" s="25" t="str">
        <f t="shared" si="86"/>
        <v>Dosa</v>
      </c>
      <c r="AC1105" s="2" t="str">
        <f t="shared" si="90"/>
        <v xml:space="preserve"> CLEITON </v>
      </c>
      <c r="AD1105" s="26">
        <f t="shared" si="87"/>
        <v>5</v>
      </c>
      <c r="AE1105" s="26">
        <f t="shared" ca="1" si="89"/>
        <v>54.246456828703231</v>
      </c>
    </row>
    <row r="1106" spans="1:31" ht="13.5" hidden="1" customHeight="1">
      <c r="A1106" s="209">
        <v>9294081</v>
      </c>
      <c r="B1106" s="209" t="s">
        <v>101</v>
      </c>
      <c r="C1106" s="210" t="s">
        <v>1810</v>
      </c>
      <c r="D1106" s="214"/>
      <c r="E1106" s="214">
        <v>721000206001</v>
      </c>
      <c r="F1106" s="209" t="s">
        <v>29</v>
      </c>
      <c r="G1106" s="209" t="s">
        <v>53</v>
      </c>
      <c r="H1106" s="209" t="s">
        <v>422</v>
      </c>
      <c r="I1106" s="209" t="s">
        <v>423</v>
      </c>
      <c r="J1106" s="209" t="s">
        <v>79</v>
      </c>
      <c r="K1106" s="210" t="s">
        <v>34</v>
      </c>
      <c r="L1106" s="210"/>
      <c r="M1106" s="209" t="s">
        <v>35</v>
      </c>
      <c r="N1106" s="209">
        <v>42318949</v>
      </c>
      <c r="O1106" s="209" t="s">
        <v>105</v>
      </c>
      <c r="P1106" s="213">
        <v>44932.429664351854</v>
      </c>
      <c r="Q1106" s="209"/>
      <c r="R1106" s="209" t="s">
        <v>38</v>
      </c>
      <c r="S1106" s="209"/>
      <c r="T1106" s="209" t="s">
        <v>74</v>
      </c>
      <c r="U1106" s="213">
        <v>44932.75</v>
      </c>
      <c r="V1106" s="209" t="s">
        <v>41</v>
      </c>
      <c r="W1106" s="209" t="s">
        <v>49</v>
      </c>
      <c r="X1106" s="13" t="str">
        <f>IF(RIGHT(H1106,2)&lt;&gt;"00",H1106,"")</f>
        <v/>
      </c>
      <c r="Y1106" s="26">
        <f ca="1">NETWORKDAYS(P1106,$Y$1)</f>
        <v>39</v>
      </c>
      <c r="Z1106" s="34">
        <v>1</v>
      </c>
      <c r="AA1106" s="25" t="str">
        <f t="shared" ca="1" si="88"/>
        <v>A VENCER</v>
      </c>
      <c r="AB1106" s="25" t="str">
        <f t="shared" si="86"/>
        <v>Dosa</v>
      </c>
      <c r="AC1106" s="2" t="str">
        <f t="shared" si="90"/>
        <v xml:space="preserve"> ROSEMERE </v>
      </c>
      <c r="AD1106" s="26">
        <f t="shared" si="87"/>
        <v>5</v>
      </c>
      <c r="AE1106" s="26">
        <f t="shared" ca="1" si="89"/>
        <v>54.246607291664986</v>
      </c>
    </row>
    <row r="1107" spans="1:31" hidden="1">
      <c r="A1107" s="209">
        <v>9294073</v>
      </c>
      <c r="B1107" s="209" t="s">
        <v>101</v>
      </c>
      <c r="C1107" s="210" t="s">
        <v>1810</v>
      </c>
      <c r="D1107" s="214"/>
      <c r="E1107" s="214">
        <v>714000206001</v>
      </c>
      <c r="F1107" s="209" t="s">
        <v>29</v>
      </c>
      <c r="G1107" s="209" t="s">
        <v>53</v>
      </c>
      <c r="H1107" s="209" t="s">
        <v>377</v>
      </c>
      <c r="I1107" s="209" t="s">
        <v>378</v>
      </c>
      <c r="J1107" s="209" t="s">
        <v>46</v>
      </c>
      <c r="K1107" s="210" t="s">
        <v>34</v>
      </c>
      <c r="L1107" s="210"/>
      <c r="M1107" s="209" t="s">
        <v>35</v>
      </c>
      <c r="N1107" s="209">
        <v>42318949</v>
      </c>
      <c r="O1107" s="209" t="s">
        <v>105</v>
      </c>
      <c r="P1107" s="213">
        <v>44932.429652777777</v>
      </c>
      <c r="Q1107" s="209"/>
      <c r="R1107" s="209" t="s">
        <v>38</v>
      </c>
      <c r="S1107" s="209"/>
      <c r="T1107" s="209" t="s">
        <v>74</v>
      </c>
      <c r="U1107" s="213">
        <v>44932.75</v>
      </c>
      <c r="V1107" s="209" t="s">
        <v>41</v>
      </c>
      <c r="W1107" s="209" t="s">
        <v>49</v>
      </c>
      <c r="X1107" s="13" t="str">
        <f>IF(RIGHT(H1107,2)&lt;&gt;"00",H1107,"")</f>
        <v/>
      </c>
      <c r="Y1107" s="26">
        <f ca="1">NETWORKDAYS(P1107,$Y$1)</f>
        <v>39</v>
      </c>
      <c r="Z1107" s="34">
        <v>1</v>
      </c>
      <c r="AA1107" s="25" t="str">
        <f t="shared" ca="1" si="88"/>
        <v>A VENCER</v>
      </c>
      <c r="AB1107" s="25" t="str">
        <f t="shared" si="86"/>
        <v>Dosa</v>
      </c>
      <c r="AC1107" s="2" t="str">
        <f t="shared" si="90"/>
        <v xml:space="preserve"> CLEITON </v>
      </c>
      <c r="AD1107" s="26">
        <f t="shared" si="87"/>
        <v>5</v>
      </c>
      <c r="AE1107" s="26">
        <f t="shared" ca="1" si="89"/>
        <v>54.246618865741766</v>
      </c>
    </row>
    <row r="1108" spans="1:31" hidden="1">
      <c r="A1108" s="209">
        <v>9294069</v>
      </c>
      <c r="B1108" s="209" t="s">
        <v>101</v>
      </c>
      <c r="C1108" s="210" t="s">
        <v>1810</v>
      </c>
      <c r="D1108" s="214"/>
      <c r="E1108" s="214">
        <v>711000206001</v>
      </c>
      <c r="F1108" s="209" t="s">
        <v>29</v>
      </c>
      <c r="G1108" s="209" t="s">
        <v>53</v>
      </c>
      <c r="H1108" s="209" t="s">
        <v>77</v>
      </c>
      <c r="I1108" s="209" t="s">
        <v>78</v>
      </c>
      <c r="J1108" s="209" t="s">
        <v>79</v>
      </c>
      <c r="K1108" s="210" t="s">
        <v>34</v>
      </c>
      <c r="L1108" s="210"/>
      <c r="M1108" s="209" t="s">
        <v>35</v>
      </c>
      <c r="N1108" s="209">
        <v>42318949</v>
      </c>
      <c r="O1108" s="209" t="s">
        <v>105</v>
      </c>
      <c r="P1108" s="213">
        <v>44932.4296412037</v>
      </c>
      <c r="Q1108" s="209"/>
      <c r="R1108" s="209" t="s">
        <v>38</v>
      </c>
      <c r="S1108" s="209"/>
      <c r="T1108" s="209" t="s">
        <v>74</v>
      </c>
      <c r="U1108" s="213">
        <v>44932.75</v>
      </c>
      <c r="V1108" s="209" t="s">
        <v>41</v>
      </c>
      <c r="W1108" s="209" t="s">
        <v>49</v>
      </c>
      <c r="X1108" s="13" t="str">
        <f>IF(RIGHT(H1108,2)&lt;&gt;"00",H1108,"")</f>
        <v/>
      </c>
      <c r="Y1108" s="26">
        <f ca="1">NETWORKDAYS(P1108,$Y$1)</f>
        <v>39</v>
      </c>
      <c r="Z1108" s="34">
        <v>1</v>
      </c>
      <c r="AA1108" s="25" t="str">
        <f t="shared" ca="1" si="88"/>
        <v>A VENCER</v>
      </c>
      <c r="AB1108" s="25" t="str">
        <f t="shared" si="86"/>
        <v>Dosa</v>
      </c>
      <c r="AC1108" s="2" t="str">
        <f t="shared" si="90"/>
        <v xml:space="preserve"> ROSEMERE </v>
      </c>
      <c r="AD1108" s="26">
        <f t="shared" si="87"/>
        <v>5</v>
      </c>
      <c r="AE1108" s="26">
        <f t="shared" ca="1" si="89"/>
        <v>54.246630439818546</v>
      </c>
    </row>
    <row r="1109" spans="1:31" hidden="1">
      <c r="A1109" s="209">
        <v>9294068</v>
      </c>
      <c r="B1109" s="209" t="s">
        <v>101</v>
      </c>
      <c r="C1109" s="210" t="s">
        <v>1810</v>
      </c>
      <c r="D1109" s="214"/>
      <c r="E1109" s="214">
        <v>710000206001</v>
      </c>
      <c r="F1109" s="209" t="s">
        <v>29</v>
      </c>
      <c r="G1109" s="209" t="s">
        <v>53</v>
      </c>
      <c r="H1109" s="209" t="s">
        <v>390</v>
      </c>
      <c r="I1109" s="209" t="s">
        <v>391</v>
      </c>
      <c r="J1109" s="209" t="s">
        <v>56</v>
      </c>
      <c r="K1109" s="210" t="s">
        <v>34</v>
      </c>
      <c r="L1109" s="210"/>
      <c r="M1109" s="209" t="s">
        <v>35</v>
      </c>
      <c r="N1109" s="209">
        <v>42318949</v>
      </c>
      <c r="O1109" s="209" t="s">
        <v>36</v>
      </c>
      <c r="P1109" s="213">
        <v>44932.4296412037</v>
      </c>
      <c r="Q1109" s="209"/>
      <c r="R1109" s="209" t="s">
        <v>38</v>
      </c>
      <c r="S1109" s="209"/>
      <c r="T1109" s="209" t="s">
        <v>74</v>
      </c>
      <c r="U1109" s="213">
        <v>44932.75</v>
      </c>
      <c r="V1109" s="209" t="s">
        <v>41</v>
      </c>
      <c r="W1109" s="209" t="s">
        <v>49</v>
      </c>
      <c r="X1109" s="13" t="str">
        <f>IF(RIGHT(H1109,2)&lt;&gt;"00",H1109,"")</f>
        <v/>
      </c>
      <c r="Y1109" s="26">
        <f ca="1">NETWORKDAYS(P1109,$Y$1)</f>
        <v>39</v>
      </c>
      <c r="Z1109" s="34">
        <v>1</v>
      </c>
      <c r="AA1109" s="25" t="str">
        <f t="shared" ca="1" si="88"/>
        <v>A VENCER</v>
      </c>
      <c r="AB1109" s="25" t="str">
        <f t="shared" si="86"/>
        <v>Dosa</v>
      </c>
      <c r="AC1109" s="2" t="str">
        <f t="shared" si="90"/>
        <v xml:space="preserve"> CRISTINA </v>
      </c>
      <c r="AD1109" s="26">
        <f t="shared" si="87"/>
        <v>5</v>
      </c>
      <c r="AE1109" s="26">
        <f t="shared" ca="1" si="89"/>
        <v>54.246630439818546</v>
      </c>
    </row>
    <row r="1110" spans="1:31" hidden="1">
      <c r="A1110" s="209">
        <v>9294054</v>
      </c>
      <c r="B1110" s="209" t="s">
        <v>101</v>
      </c>
      <c r="C1110" s="210" t="s">
        <v>1810</v>
      </c>
      <c r="D1110" s="214"/>
      <c r="E1110" s="214">
        <v>697000206001</v>
      </c>
      <c r="F1110" s="209" t="s">
        <v>29</v>
      </c>
      <c r="G1110" s="209" t="s">
        <v>53</v>
      </c>
      <c r="H1110" s="209" t="s">
        <v>65</v>
      </c>
      <c r="I1110" s="209" t="s">
        <v>66</v>
      </c>
      <c r="J1110" s="209" t="s">
        <v>46</v>
      </c>
      <c r="K1110" s="210" t="s">
        <v>34</v>
      </c>
      <c r="L1110" s="210"/>
      <c r="M1110" s="209" t="s">
        <v>35</v>
      </c>
      <c r="N1110" s="209">
        <v>42318949</v>
      </c>
      <c r="O1110" s="209" t="s">
        <v>105</v>
      </c>
      <c r="P1110" s="213">
        <v>44932.429618055554</v>
      </c>
      <c r="Q1110" s="209"/>
      <c r="R1110" s="209" t="s">
        <v>38</v>
      </c>
      <c r="S1110" s="209"/>
      <c r="T1110" s="209" t="s">
        <v>74</v>
      </c>
      <c r="U1110" s="213">
        <v>44932.75</v>
      </c>
      <c r="V1110" s="209" t="s">
        <v>41</v>
      </c>
      <c r="W1110" s="209" t="s">
        <v>49</v>
      </c>
      <c r="X1110" s="13" t="str">
        <f>IF(RIGHT(H1110,2)&lt;&gt;"00",H1110,"")</f>
        <v/>
      </c>
      <c r="Y1110" s="26">
        <f ca="1">NETWORKDAYS(P1110,$Y$1)</f>
        <v>39</v>
      </c>
      <c r="Z1110" s="34">
        <v>1</v>
      </c>
      <c r="AA1110" s="25" t="str">
        <f t="shared" ca="1" si="88"/>
        <v>A VENCER</v>
      </c>
      <c r="AB1110" s="25" t="str">
        <f t="shared" si="86"/>
        <v>Dosa</v>
      </c>
      <c r="AC1110" s="2" t="str">
        <f t="shared" si="90"/>
        <v xml:space="preserve"> CLEITON </v>
      </c>
      <c r="AD1110" s="26">
        <f t="shared" si="87"/>
        <v>5</v>
      </c>
      <c r="AE1110" s="26">
        <f t="shared" ca="1" si="89"/>
        <v>54.246653587964829</v>
      </c>
    </row>
    <row r="1111" spans="1:31" hidden="1">
      <c r="A1111" s="209">
        <v>9294030</v>
      </c>
      <c r="B1111" s="209" t="s">
        <v>101</v>
      </c>
      <c r="C1111" s="210" t="s">
        <v>1810</v>
      </c>
      <c r="D1111" s="214"/>
      <c r="E1111" s="214">
        <v>673000206001</v>
      </c>
      <c r="F1111" s="209" t="s">
        <v>29</v>
      </c>
      <c r="G1111" s="209" t="s">
        <v>53</v>
      </c>
      <c r="H1111" s="209" t="s">
        <v>581</v>
      </c>
      <c r="I1111" s="209" t="s">
        <v>582</v>
      </c>
      <c r="J1111" s="209" t="s">
        <v>110</v>
      </c>
      <c r="K1111" s="210" t="s">
        <v>34</v>
      </c>
      <c r="L1111" s="210"/>
      <c r="M1111" s="209" t="s">
        <v>35</v>
      </c>
      <c r="N1111" s="209">
        <v>42318949</v>
      </c>
      <c r="O1111" s="209" t="s">
        <v>105</v>
      </c>
      <c r="P1111" s="213">
        <v>44932.429583333331</v>
      </c>
      <c r="Q1111" s="209"/>
      <c r="R1111" s="209" t="s">
        <v>38</v>
      </c>
      <c r="S1111" s="209"/>
      <c r="T1111" s="209" t="s">
        <v>74</v>
      </c>
      <c r="U1111" s="213">
        <v>44932.75</v>
      </c>
      <c r="V1111" s="209" t="s">
        <v>41</v>
      </c>
      <c r="W1111" s="209" t="s">
        <v>49</v>
      </c>
      <c r="X1111" s="13" t="str">
        <f>IF(RIGHT(H1111,2)&lt;&gt;"00",H1111,"")</f>
        <v/>
      </c>
      <c r="Y1111" s="26">
        <f ca="1">NETWORKDAYS(P1111,$Y$1)</f>
        <v>39</v>
      </c>
      <c r="Z1111" s="34">
        <v>1</v>
      </c>
      <c r="AA1111" s="25" t="str">
        <f t="shared" ca="1" si="88"/>
        <v>A VENCER</v>
      </c>
      <c r="AB1111" s="25" t="str">
        <f t="shared" si="86"/>
        <v>Dosa</v>
      </c>
      <c r="AC1111" s="2" t="str">
        <f t="shared" si="90"/>
        <v xml:space="preserve"> CRISTINA </v>
      </c>
      <c r="AD1111" s="26">
        <f t="shared" si="87"/>
        <v>5</v>
      </c>
      <c r="AE1111" s="26">
        <f t="shared" ca="1" si="89"/>
        <v>54.246688310187892</v>
      </c>
    </row>
    <row r="1112" spans="1:31" hidden="1">
      <c r="A1112" s="209">
        <v>9293955</v>
      </c>
      <c r="B1112" s="209" t="s">
        <v>101</v>
      </c>
      <c r="C1112" s="210" t="s">
        <v>1810</v>
      </c>
      <c r="D1112" s="214"/>
      <c r="E1112" s="214">
        <v>608000206001</v>
      </c>
      <c r="F1112" s="209" t="s">
        <v>29</v>
      </c>
      <c r="G1112" s="209" t="s">
        <v>53</v>
      </c>
      <c r="H1112" s="209" t="s">
        <v>438</v>
      </c>
      <c r="I1112" s="209" t="s">
        <v>439</v>
      </c>
      <c r="J1112" s="209" t="s">
        <v>148</v>
      </c>
      <c r="K1112" s="210" t="s">
        <v>34</v>
      </c>
      <c r="L1112" s="210"/>
      <c r="M1112" s="209" t="s">
        <v>35</v>
      </c>
      <c r="N1112" s="209">
        <v>42318949</v>
      </c>
      <c r="O1112" s="209" t="s">
        <v>105</v>
      </c>
      <c r="P1112" s="213">
        <v>44932.429467592592</v>
      </c>
      <c r="Q1112" s="209"/>
      <c r="R1112" s="209" t="s">
        <v>38</v>
      </c>
      <c r="S1112" s="209"/>
      <c r="T1112" s="209" t="s">
        <v>74</v>
      </c>
      <c r="U1112" s="213">
        <v>44932.75</v>
      </c>
      <c r="V1112" s="209" t="s">
        <v>41</v>
      </c>
      <c r="W1112" s="209" t="s">
        <v>49</v>
      </c>
      <c r="X1112" s="13" t="str">
        <f>IF(RIGHT(H1112,2)&lt;&gt;"00",H1112,"")</f>
        <v/>
      </c>
      <c r="Y1112" s="26">
        <f ca="1">NETWORKDAYS(P1112,$Y$1)</f>
        <v>39</v>
      </c>
      <c r="Z1112" s="34">
        <v>1</v>
      </c>
      <c r="AA1112" s="25" t="str">
        <f t="shared" ca="1" si="88"/>
        <v>A VENCER</v>
      </c>
      <c r="AB1112" s="25" t="str">
        <f t="shared" si="86"/>
        <v>Dosa</v>
      </c>
      <c r="AC1112" s="2" t="str">
        <f t="shared" si="90"/>
        <v xml:space="preserve"> RINALDO </v>
      </c>
      <c r="AD1112" s="26">
        <f t="shared" si="87"/>
        <v>5</v>
      </c>
      <c r="AE1112" s="26">
        <f t="shared" ca="1" si="89"/>
        <v>54.246804050926585</v>
      </c>
    </row>
    <row r="1113" spans="1:31" hidden="1">
      <c r="A1113" s="209">
        <v>9293952</v>
      </c>
      <c r="B1113" s="209" t="s">
        <v>101</v>
      </c>
      <c r="C1113" s="210" t="s">
        <v>1810</v>
      </c>
      <c r="D1113" s="214"/>
      <c r="E1113" s="214">
        <v>605000206001</v>
      </c>
      <c r="F1113" s="209" t="s">
        <v>29</v>
      </c>
      <c r="G1113" s="209" t="s">
        <v>53</v>
      </c>
      <c r="H1113" s="209" t="s">
        <v>420</v>
      </c>
      <c r="I1113" s="209" t="s">
        <v>421</v>
      </c>
      <c r="J1113" s="209" t="s">
        <v>90</v>
      </c>
      <c r="K1113" s="210" t="s">
        <v>34</v>
      </c>
      <c r="L1113" s="210"/>
      <c r="M1113" s="209" t="s">
        <v>35</v>
      </c>
      <c r="N1113" s="209">
        <v>42318949</v>
      </c>
      <c r="O1113" s="209" t="s">
        <v>105</v>
      </c>
      <c r="P1113" s="213">
        <v>44932.429456018515</v>
      </c>
      <c r="Q1113" s="209"/>
      <c r="R1113" s="209" t="s">
        <v>38</v>
      </c>
      <c r="S1113" s="209"/>
      <c r="T1113" s="209" t="s">
        <v>74</v>
      </c>
      <c r="U1113" s="213">
        <v>44932.75</v>
      </c>
      <c r="V1113" s="209" t="s">
        <v>41</v>
      </c>
      <c r="W1113" s="209" t="s">
        <v>49</v>
      </c>
      <c r="X1113" s="13" t="str">
        <f>IF(RIGHT(H1113,2)&lt;&gt;"00",H1113,"")</f>
        <v/>
      </c>
      <c r="Y1113" s="26">
        <f ca="1">NETWORKDAYS(P1113,$Y$1)</f>
        <v>39</v>
      </c>
      <c r="Z1113" s="34">
        <v>1</v>
      </c>
      <c r="AA1113" s="25" t="str">
        <f t="shared" ca="1" si="88"/>
        <v>A VENCER</v>
      </c>
      <c r="AB1113" s="25" t="str">
        <f t="shared" si="86"/>
        <v>Dosa</v>
      </c>
      <c r="AC1113" s="2" t="str">
        <f t="shared" si="90"/>
        <v xml:space="preserve"> RINALDO </v>
      </c>
      <c r="AD1113" s="26">
        <f t="shared" si="87"/>
        <v>5</v>
      </c>
      <c r="AE1113" s="26">
        <f t="shared" ca="1" si="89"/>
        <v>54.246815625003364</v>
      </c>
    </row>
    <row r="1114" spans="1:31" hidden="1">
      <c r="A1114" s="209">
        <v>9293925</v>
      </c>
      <c r="B1114" s="209" t="s">
        <v>101</v>
      </c>
      <c r="C1114" s="210" t="s">
        <v>1810</v>
      </c>
      <c r="D1114" s="214"/>
      <c r="E1114" s="214">
        <v>582000206001</v>
      </c>
      <c r="F1114" s="209" t="s">
        <v>29</v>
      </c>
      <c r="G1114" s="209" t="s">
        <v>53</v>
      </c>
      <c r="H1114" s="209" t="s">
        <v>139</v>
      </c>
      <c r="I1114" s="209" t="s">
        <v>140</v>
      </c>
      <c r="J1114" s="209" t="s">
        <v>141</v>
      </c>
      <c r="K1114" s="210" t="s">
        <v>34</v>
      </c>
      <c r="L1114" s="210"/>
      <c r="M1114" s="209" t="s">
        <v>35</v>
      </c>
      <c r="N1114" s="209">
        <v>42318949</v>
      </c>
      <c r="O1114" s="209" t="s">
        <v>105</v>
      </c>
      <c r="P1114" s="213">
        <v>44932.4294212963</v>
      </c>
      <c r="Q1114" s="209"/>
      <c r="R1114" s="209" t="s">
        <v>38</v>
      </c>
      <c r="S1114" s="209"/>
      <c r="T1114" s="209" t="s">
        <v>74</v>
      </c>
      <c r="U1114" s="213">
        <v>44932.75</v>
      </c>
      <c r="V1114" s="209" t="s">
        <v>41</v>
      </c>
      <c r="W1114" s="209" t="s">
        <v>49</v>
      </c>
      <c r="X1114" s="13" t="str">
        <f>IF(RIGHT(H1114,2)&lt;&gt;"00",H1114,"")</f>
        <v/>
      </c>
      <c r="Y1114" s="26">
        <f ca="1">NETWORKDAYS(P1114,$Y$1)</f>
        <v>39</v>
      </c>
      <c r="Z1114" s="34">
        <v>1</v>
      </c>
      <c r="AA1114" s="25" t="str">
        <f t="shared" ca="1" si="88"/>
        <v>A VENCER</v>
      </c>
      <c r="AB1114" s="25" t="str">
        <f t="shared" si="86"/>
        <v>Dosa</v>
      </c>
      <c r="AC1114" s="2" t="str">
        <f t="shared" si="90"/>
        <v xml:space="preserve"> CRISTINA </v>
      </c>
      <c r="AD1114" s="26">
        <f t="shared" si="87"/>
        <v>5</v>
      </c>
      <c r="AE1114" s="26">
        <f t="shared" ca="1" si="89"/>
        <v>54.246850347219151</v>
      </c>
    </row>
    <row r="1115" spans="1:31" hidden="1">
      <c r="A1115" s="209">
        <v>9293892</v>
      </c>
      <c r="B1115" s="209" t="s">
        <v>101</v>
      </c>
      <c r="C1115" s="210" t="s">
        <v>1810</v>
      </c>
      <c r="D1115" s="214"/>
      <c r="E1115" s="214">
        <v>550000206001</v>
      </c>
      <c r="F1115" s="209" t="s">
        <v>29</v>
      </c>
      <c r="G1115" s="209" t="s">
        <v>53</v>
      </c>
      <c r="H1115" s="209" t="s">
        <v>337</v>
      </c>
      <c r="I1115" s="209" t="s">
        <v>338</v>
      </c>
      <c r="J1115" s="209" t="s">
        <v>164</v>
      </c>
      <c r="K1115" s="210" t="s">
        <v>34</v>
      </c>
      <c r="L1115" s="210"/>
      <c r="M1115" s="209" t="s">
        <v>35</v>
      </c>
      <c r="N1115" s="209">
        <v>42318949</v>
      </c>
      <c r="O1115" s="209" t="s">
        <v>105</v>
      </c>
      <c r="P1115" s="213">
        <v>44932.429363425923</v>
      </c>
      <c r="Q1115" s="209"/>
      <c r="R1115" s="209" t="s">
        <v>38</v>
      </c>
      <c r="S1115" s="209"/>
      <c r="T1115" s="209" t="s">
        <v>74</v>
      </c>
      <c r="U1115" s="213">
        <v>44932.75</v>
      </c>
      <c r="V1115" s="209" t="s">
        <v>41</v>
      </c>
      <c r="W1115" s="209" t="s">
        <v>49</v>
      </c>
      <c r="X1115" s="13" t="str">
        <f>IF(RIGHT(H1115,2)&lt;&gt;"00",H1115,"")</f>
        <v/>
      </c>
      <c r="Y1115" s="26">
        <f ca="1">NETWORKDAYS(P1115,$Y$1)</f>
        <v>39</v>
      </c>
      <c r="Z1115" s="34">
        <v>1</v>
      </c>
      <c r="AA1115" s="25" t="str">
        <f t="shared" ca="1" si="88"/>
        <v>A VENCER</v>
      </c>
      <c r="AB1115" s="25" t="str">
        <f t="shared" si="86"/>
        <v>Dosa</v>
      </c>
      <c r="AC1115" s="2" t="str">
        <f t="shared" si="90"/>
        <v xml:space="preserve"> ROSEMERE </v>
      </c>
      <c r="AD1115" s="26">
        <f t="shared" si="87"/>
        <v>5</v>
      </c>
      <c r="AE1115" s="26">
        <f t="shared" ca="1" si="89"/>
        <v>54.246908217595774</v>
      </c>
    </row>
    <row r="1116" spans="1:31" hidden="1">
      <c r="A1116" s="209">
        <v>9293880</v>
      </c>
      <c r="B1116" s="209" t="s">
        <v>101</v>
      </c>
      <c r="C1116" s="210" t="s">
        <v>1810</v>
      </c>
      <c r="D1116" s="214"/>
      <c r="E1116" s="214">
        <v>537000206001</v>
      </c>
      <c r="F1116" s="209" t="s">
        <v>29</v>
      </c>
      <c r="G1116" s="209" t="s">
        <v>53</v>
      </c>
      <c r="H1116" s="209" t="s">
        <v>442</v>
      </c>
      <c r="I1116" s="209" t="s">
        <v>443</v>
      </c>
      <c r="J1116" s="209" t="s">
        <v>79</v>
      </c>
      <c r="K1116" s="210" t="s">
        <v>34</v>
      </c>
      <c r="L1116" s="210"/>
      <c r="M1116" s="209" t="s">
        <v>35</v>
      </c>
      <c r="N1116" s="209">
        <v>42318949</v>
      </c>
      <c r="O1116" s="209" t="s">
        <v>105</v>
      </c>
      <c r="P1116" s="213">
        <v>44932.429351851853</v>
      </c>
      <c r="Q1116" s="209"/>
      <c r="R1116" s="209" t="s">
        <v>38</v>
      </c>
      <c r="S1116" s="209"/>
      <c r="T1116" s="209" t="s">
        <v>74</v>
      </c>
      <c r="U1116" s="213">
        <v>44932.75</v>
      </c>
      <c r="V1116" s="209" t="s">
        <v>41</v>
      </c>
      <c r="W1116" s="209" t="s">
        <v>49</v>
      </c>
      <c r="X1116" s="13" t="str">
        <f>IF(RIGHT(H1116,2)&lt;&gt;"00",H1116,"")</f>
        <v/>
      </c>
      <c r="Y1116" s="26">
        <f ca="1">NETWORKDAYS(P1116,$Y$1)</f>
        <v>39</v>
      </c>
      <c r="Z1116" s="34">
        <v>1</v>
      </c>
      <c r="AA1116" s="25" t="str">
        <f t="shared" ca="1" si="88"/>
        <v>A VENCER</v>
      </c>
      <c r="AB1116" s="25" t="str">
        <f t="shared" si="86"/>
        <v>Dosa</v>
      </c>
      <c r="AC1116" s="2" t="str">
        <f t="shared" si="90"/>
        <v xml:space="preserve"> ROSEMERE </v>
      </c>
      <c r="AD1116" s="26">
        <f t="shared" si="87"/>
        <v>5</v>
      </c>
      <c r="AE1116" s="26">
        <f t="shared" ca="1" si="89"/>
        <v>54.246919791665277</v>
      </c>
    </row>
    <row r="1117" spans="1:31" hidden="1">
      <c r="A1117" s="209">
        <v>9293775</v>
      </c>
      <c r="B1117" s="209" t="s">
        <v>101</v>
      </c>
      <c r="C1117" s="210" t="s">
        <v>1810</v>
      </c>
      <c r="D1117" s="214"/>
      <c r="E1117" s="214">
        <v>446000206001</v>
      </c>
      <c r="F1117" s="209" t="s">
        <v>29</v>
      </c>
      <c r="G1117" s="209" t="s">
        <v>53</v>
      </c>
      <c r="H1117" s="209" t="s">
        <v>432</v>
      </c>
      <c r="I1117" s="209" t="s">
        <v>433</v>
      </c>
      <c r="J1117" s="209" t="s">
        <v>110</v>
      </c>
      <c r="K1117" s="210" t="s">
        <v>34</v>
      </c>
      <c r="L1117" s="210"/>
      <c r="M1117" s="209" t="s">
        <v>35</v>
      </c>
      <c r="N1117" s="209">
        <v>42318949</v>
      </c>
      <c r="O1117" s="209" t="s">
        <v>36</v>
      </c>
      <c r="P1117" s="213">
        <v>44932.429189814815</v>
      </c>
      <c r="Q1117" s="209"/>
      <c r="R1117" s="209" t="s">
        <v>38</v>
      </c>
      <c r="S1117" s="209"/>
      <c r="T1117" s="209" t="s">
        <v>74</v>
      </c>
      <c r="U1117" s="213">
        <v>44932.75</v>
      </c>
      <c r="V1117" s="209" t="s">
        <v>41</v>
      </c>
      <c r="W1117" s="209" t="s">
        <v>49</v>
      </c>
      <c r="X1117" s="13" t="str">
        <f>IF(RIGHT(H1117,2)&lt;&gt;"00",H1117,"")</f>
        <v/>
      </c>
      <c r="Y1117" s="26">
        <f ca="1">NETWORKDAYS(P1117,$Y$1)</f>
        <v>39</v>
      </c>
      <c r="Z1117" s="34">
        <v>1</v>
      </c>
      <c r="AA1117" s="25" t="str">
        <f t="shared" ca="1" si="88"/>
        <v>A VENCER</v>
      </c>
      <c r="AB1117" s="25" t="str">
        <f t="shared" ref="AB1117:AB1180" si="91">IF(F1117="GRPE-000001","C-14",IF(F1117="GRPE-000002","C-14",IF(F1117="GRPE-000003","C-14",IF(F1117="GRPE-000004","SL-On",IF(F1117="GRPE-000038","C-14",IF(F1117="GRPE-900022","Dosa",IF(F1117="GRPE-000029","Dosa",IF(F1117="ATOS-000222","Dose","TAAe+"))))))))</f>
        <v>Dosa</v>
      </c>
      <c r="AC1117" s="2" t="str">
        <f t="shared" si="90"/>
        <v xml:space="preserve"> CRISTINA </v>
      </c>
      <c r="AD1117" s="26">
        <f t="shared" ref="AD1117:AD1180" si="92">IF(F1117="GRPE-000001",5,IF(F1117="GRPE-000002",5,IF(F1117="GRPE-000003",15,IF(F1117="GRPE-000004",1,IF(F1117="GRPE-000038",5,IF(F1117="GRPE-900022",5,IF(F1117="GRPE-000029",5,IF(F1117="ATOS-000222",5,8))))))))</f>
        <v>5</v>
      </c>
      <c r="AE1117" s="26">
        <f t="shared" ca="1" si="89"/>
        <v>54.247081828703813</v>
      </c>
    </row>
    <row r="1118" spans="1:31" hidden="1">
      <c r="A1118" s="209">
        <v>9293508</v>
      </c>
      <c r="B1118" s="209" t="s">
        <v>101</v>
      </c>
      <c r="C1118" s="210" t="s">
        <v>1810</v>
      </c>
      <c r="D1118" s="214"/>
      <c r="E1118" s="214">
        <v>233000206001</v>
      </c>
      <c r="F1118" s="209" t="s">
        <v>29</v>
      </c>
      <c r="G1118" s="209" t="s">
        <v>53</v>
      </c>
      <c r="H1118" s="209" t="s">
        <v>424</v>
      </c>
      <c r="I1118" s="209" t="s">
        <v>425</v>
      </c>
      <c r="J1118" s="209" t="s">
        <v>261</v>
      </c>
      <c r="K1118" s="210" t="s">
        <v>34</v>
      </c>
      <c r="L1118" s="210"/>
      <c r="M1118" s="209" t="s">
        <v>35</v>
      </c>
      <c r="N1118" s="209">
        <v>42318949</v>
      </c>
      <c r="O1118" s="209" t="s">
        <v>105</v>
      </c>
      <c r="P1118" s="213">
        <v>44932.428796296299</v>
      </c>
      <c r="Q1118" s="209"/>
      <c r="R1118" s="209" t="s">
        <v>38</v>
      </c>
      <c r="S1118" s="209"/>
      <c r="T1118" s="209" t="s">
        <v>74</v>
      </c>
      <c r="U1118" s="213">
        <v>44932.75</v>
      </c>
      <c r="V1118" s="209" t="s">
        <v>41</v>
      </c>
      <c r="W1118" s="209" t="s">
        <v>49</v>
      </c>
      <c r="X1118" s="13" t="str">
        <f>IF(RIGHT(H1118,2)&lt;&gt;"00",H1118,"")</f>
        <v/>
      </c>
      <c r="Y1118" s="26">
        <f ca="1">NETWORKDAYS(P1118,$Y$1)</f>
        <v>39</v>
      </c>
      <c r="Z1118" s="34">
        <v>1</v>
      </c>
      <c r="AA1118" s="25" t="str">
        <f t="shared" ca="1" si="88"/>
        <v>A VENCER</v>
      </c>
      <c r="AB1118" s="25" t="str">
        <f t="shared" si="91"/>
        <v>Dosa</v>
      </c>
      <c r="AC1118" s="2" t="str">
        <f t="shared" si="90"/>
        <v xml:space="preserve"> CRISTINA </v>
      </c>
      <c r="AD1118" s="26">
        <f t="shared" si="92"/>
        <v>5</v>
      </c>
      <c r="AE1118" s="26">
        <f t="shared" ca="1" si="89"/>
        <v>54.247475347219734</v>
      </c>
    </row>
    <row r="1119" spans="1:31" hidden="1">
      <c r="A1119" s="209">
        <v>9293507</v>
      </c>
      <c r="B1119" s="209" t="s">
        <v>101</v>
      </c>
      <c r="C1119" s="210" t="s">
        <v>1810</v>
      </c>
      <c r="D1119" s="214"/>
      <c r="E1119" s="214">
        <v>232000206001</v>
      </c>
      <c r="F1119" s="209" t="s">
        <v>29</v>
      </c>
      <c r="G1119" s="209" t="s">
        <v>53</v>
      </c>
      <c r="H1119" s="209" t="s">
        <v>1363</v>
      </c>
      <c r="I1119" s="209" t="s">
        <v>1364</v>
      </c>
      <c r="J1119" s="209" t="s">
        <v>141</v>
      </c>
      <c r="K1119" s="210" t="s">
        <v>34</v>
      </c>
      <c r="L1119" s="210"/>
      <c r="M1119" s="209" t="s">
        <v>35</v>
      </c>
      <c r="N1119" s="209">
        <v>42318949</v>
      </c>
      <c r="O1119" s="209" t="s">
        <v>105</v>
      </c>
      <c r="P1119" s="213">
        <v>44932.428796296299</v>
      </c>
      <c r="Q1119" s="209"/>
      <c r="R1119" s="209" t="s">
        <v>38</v>
      </c>
      <c r="S1119" s="209"/>
      <c r="T1119" s="209" t="s">
        <v>74</v>
      </c>
      <c r="U1119" s="213">
        <v>44932.75</v>
      </c>
      <c r="V1119" s="209" t="s">
        <v>41</v>
      </c>
      <c r="W1119" s="209" t="s">
        <v>49</v>
      </c>
      <c r="X1119" s="13" t="str">
        <f>IF(RIGHT(H1119,2)&lt;&gt;"00",H1119,"")</f>
        <v/>
      </c>
      <c r="Y1119" s="26">
        <f ca="1">NETWORKDAYS(P1119,$Y$1)</f>
        <v>39</v>
      </c>
      <c r="Z1119" s="34">
        <v>1</v>
      </c>
      <c r="AA1119" s="25" t="str">
        <f t="shared" ca="1" si="88"/>
        <v>A VENCER</v>
      </c>
      <c r="AB1119" s="25" t="str">
        <f t="shared" si="91"/>
        <v>Dosa</v>
      </c>
      <c r="AC1119" s="2" t="str">
        <f t="shared" si="90"/>
        <v xml:space="preserve"> CRISTINA </v>
      </c>
      <c r="AD1119" s="26">
        <f t="shared" si="92"/>
        <v>5</v>
      </c>
      <c r="AE1119" s="26">
        <f t="shared" ca="1" si="89"/>
        <v>54.247475347219734</v>
      </c>
    </row>
    <row r="1120" spans="1:31" hidden="1">
      <c r="A1120" s="209">
        <v>9293492</v>
      </c>
      <c r="B1120" s="209" t="s">
        <v>101</v>
      </c>
      <c r="C1120" s="210" t="s">
        <v>1810</v>
      </c>
      <c r="D1120" s="214"/>
      <c r="E1120" s="214">
        <v>220000206001</v>
      </c>
      <c r="F1120" s="209" t="s">
        <v>29</v>
      </c>
      <c r="G1120" s="209" t="s">
        <v>53</v>
      </c>
      <c r="H1120" s="209" t="s">
        <v>588</v>
      </c>
      <c r="I1120" s="209" t="s">
        <v>589</v>
      </c>
      <c r="J1120" s="209" t="s">
        <v>110</v>
      </c>
      <c r="K1120" s="210" t="s">
        <v>34</v>
      </c>
      <c r="L1120" s="210"/>
      <c r="M1120" s="209" t="s">
        <v>35</v>
      </c>
      <c r="N1120" s="209">
        <v>42318949</v>
      </c>
      <c r="O1120" s="209" t="s">
        <v>105</v>
      </c>
      <c r="P1120" s="213">
        <v>44932.428784722222</v>
      </c>
      <c r="Q1120" s="209"/>
      <c r="R1120" s="209" t="s">
        <v>38</v>
      </c>
      <c r="S1120" s="209"/>
      <c r="T1120" s="209" t="s">
        <v>74</v>
      </c>
      <c r="U1120" s="213">
        <v>44932.75</v>
      </c>
      <c r="V1120" s="209" t="s">
        <v>41</v>
      </c>
      <c r="W1120" s="209" t="s">
        <v>49</v>
      </c>
      <c r="X1120" s="13" t="str">
        <f>IF(RIGHT(H1120,2)&lt;&gt;"00",H1120,"")</f>
        <v/>
      </c>
      <c r="Y1120" s="26">
        <f ca="1">NETWORKDAYS(P1120,$Y$1)</f>
        <v>39</v>
      </c>
      <c r="Z1120" s="34">
        <v>1</v>
      </c>
      <c r="AA1120" s="25" t="str">
        <f t="shared" ca="1" si="88"/>
        <v>A VENCER</v>
      </c>
      <c r="AB1120" s="25" t="str">
        <f t="shared" si="91"/>
        <v>Dosa</v>
      </c>
      <c r="AC1120" s="2" t="str">
        <f t="shared" si="90"/>
        <v xml:space="preserve"> CRISTINA </v>
      </c>
      <c r="AD1120" s="26">
        <f t="shared" si="92"/>
        <v>5</v>
      </c>
      <c r="AE1120" s="26">
        <f t="shared" ca="1" si="89"/>
        <v>54.247486921296513</v>
      </c>
    </row>
    <row r="1121" spans="1:31" hidden="1">
      <c r="A1121" s="209">
        <v>9293462</v>
      </c>
      <c r="B1121" s="209" t="s">
        <v>101</v>
      </c>
      <c r="C1121" s="210" t="s">
        <v>1810</v>
      </c>
      <c r="D1121" s="214"/>
      <c r="E1121" s="214">
        <v>196000206001</v>
      </c>
      <c r="F1121" s="209" t="s">
        <v>29</v>
      </c>
      <c r="G1121" s="209" t="s">
        <v>53</v>
      </c>
      <c r="H1121" s="209" t="s">
        <v>1060</v>
      </c>
      <c r="I1121" s="209" t="s">
        <v>1061</v>
      </c>
      <c r="J1121" s="209" t="s">
        <v>79</v>
      </c>
      <c r="K1121" s="210" t="s">
        <v>34</v>
      </c>
      <c r="L1121" s="210"/>
      <c r="M1121" s="209" t="s">
        <v>35</v>
      </c>
      <c r="N1121" s="209">
        <v>42318949</v>
      </c>
      <c r="O1121" s="209" t="s">
        <v>105</v>
      </c>
      <c r="P1121" s="213">
        <v>44932.428738425922</v>
      </c>
      <c r="Q1121" s="209"/>
      <c r="R1121" s="209" t="s">
        <v>38</v>
      </c>
      <c r="S1121" s="209"/>
      <c r="T1121" s="209" t="s">
        <v>74</v>
      </c>
      <c r="U1121" s="213">
        <v>44932.75</v>
      </c>
      <c r="V1121" s="209" t="s">
        <v>41</v>
      </c>
      <c r="W1121" s="209" t="s">
        <v>49</v>
      </c>
      <c r="X1121" s="13" t="str">
        <f>IF(RIGHT(H1121,2)&lt;&gt;"00",H1121,"")</f>
        <v/>
      </c>
      <c r="Y1121" s="26">
        <f ca="1">NETWORKDAYS(P1121,$Y$1)</f>
        <v>39</v>
      </c>
      <c r="Z1121" s="34">
        <v>1</v>
      </c>
      <c r="AA1121" s="25" t="str">
        <f t="shared" ca="1" si="88"/>
        <v>A VENCER</v>
      </c>
      <c r="AB1121" s="25" t="str">
        <f t="shared" si="91"/>
        <v>Dosa</v>
      </c>
      <c r="AC1121" s="2" t="str">
        <f t="shared" si="90"/>
        <v xml:space="preserve"> ROSEMERE </v>
      </c>
      <c r="AD1121" s="26">
        <f t="shared" si="92"/>
        <v>5</v>
      </c>
      <c r="AE1121" s="26">
        <f t="shared" ca="1" si="89"/>
        <v>54.247533217596356</v>
      </c>
    </row>
    <row r="1122" spans="1:31" hidden="1">
      <c r="A1122" s="209">
        <v>9293363</v>
      </c>
      <c r="B1122" s="209" t="s">
        <v>101</v>
      </c>
      <c r="C1122" s="210" t="s">
        <v>1810</v>
      </c>
      <c r="D1122" s="214"/>
      <c r="E1122" s="214">
        <v>115000206001</v>
      </c>
      <c r="F1122" s="209" t="s">
        <v>29</v>
      </c>
      <c r="G1122" s="209" t="s">
        <v>53</v>
      </c>
      <c r="H1122" s="209" t="s">
        <v>542</v>
      </c>
      <c r="I1122" s="209" t="s">
        <v>543</v>
      </c>
      <c r="J1122" s="209" t="s">
        <v>56</v>
      </c>
      <c r="K1122" s="210" t="s">
        <v>34</v>
      </c>
      <c r="L1122" s="210"/>
      <c r="M1122" s="209" t="s">
        <v>35</v>
      </c>
      <c r="N1122" s="209">
        <v>42318949</v>
      </c>
      <c r="O1122" s="209" t="s">
        <v>105</v>
      </c>
      <c r="P1122" s="213">
        <v>44932.428587962961</v>
      </c>
      <c r="Q1122" s="209"/>
      <c r="R1122" s="209" t="s">
        <v>38</v>
      </c>
      <c r="S1122" s="209"/>
      <c r="T1122" s="209" t="s">
        <v>74</v>
      </c>
      <c r="U1122" s="213">
        <v>44932.75</v>
      </c>
      <c r="V1122" s="209" t="s">
        <v>41</v>
      </c>
      <c r="W1122" s="209" t="s">
        <v>49</v>
      </c>
      <c r="X1122" s="13" t="str">
        <f>IF(RIGHT(H1122,2)&lt;&gt;"00",H1122,"")</f>
        <v/>
      </c>
      <c r="Y1122" s="26">
        <f ca="1">NETWORKDAYS(P1122,$Y$1)</f>
        <v>39</v>
      </c>
      <c r="Z1122" s="34">
        <v>1</v>
      </c>
      <c r="AA1122" s="25" t="str">
        <f t="shared" ca="1" si="88"/>
        <v>A VENCER</v>
      </c>
      <c r="AB1122" s="25" t="str">
        <f t="shared" si="91"/>
        <v>Dosa</v>
      </c>
      <c r="AC1122" s="2" t="str">
        <f t="shared" si="90"/>
        <v xml:space="preserve"> CRISTINA </v>
      </c>
      <c r="AD1122" s="26">
        <f t="shared" si="92"/>
        <v>5</v>
      </c>
      <c r="AE1122" s="26">
        <f t="shared" ca="1" si="89"/>
        <v>54.247683680558112</v>
      </c>
    </row>
    <row r="1123" spans="1:31" hidden="1">
      <c r="A1123" s="209">
        <v>9293306</v>
      </c>
      <c r="B1123" s="209" t="s">
        <v>101</v>
      </c>
      <c r="C1123" s="210" t="s">
        <v>1810</v>
      </c>
      <c r="D1123" s="214"/>
      <c r="E1123" s="214">
        <v>68000206001</v>
      </c>
      <c r="F1123" s="209" t="s">
        <v>29</v>
      </c>
      <c r="G1123" s="209" t="s">
        <v>53</v>
      </c>
      <c r="H1123" s="209" t="s">
        <v>1330</v>
      </c>
      <c r="I1123" s="209" t="s">
        <v>1331</v>
      </c>
      <c r="J1123" s="209" t="s">
        <v>211</v>
      </c>
      <c r="K1123" s="210" t="s">
        <v>34</v>
      </c>
      <c r="L1123" s="210"/>
      <c r="M1123" s="209" t="s">
        <v>35</v>
      </c>
      <c r="N1123" s="209">
        <v>42318949</v>
      </c>
      <c r="O1123" s="209" t="s">
        <v>105</v>
      </c>
      <c r="P1123" s="213">
        <v>44932.428495370368</v>
      </c>
      <c r="Q1123" s="209"/>
      <c r="R1123" s="209" t="s">
        <v>38</v>
      </c>
      <c r="S1123" s="209"/>
      <c r="T1123" s="209" t="s">
        <v>74</v>
      </c>
      <c r="U1123" s="213">
        <v>44932.75</v>
      </c>
      <c r="V1123" s="209" t="s">
        <v>41</v>
      </c>
      <c r="W1123" s="209" t="s">
        <v>49</v>
      </c>
      <c r="X1123" s="13" t="str">
        <f>IF(RIGHT(H1123,2)&lt;&gt;"00",H1123,"")</f>
        <v/>
      </c>
      <c r="Y1123" s="26">
        <f ca="1">NETWORKDAYS(P1123,$Y$1)</f>
        <v>39</v>
      </c>
      <c r="Z1123" s="34">
        <v>1</v>
      </c>
      <c r="AA1123" s="25" t="str">
        <f t="shared" ca="1" si="88"/>
        <v>A VENCER</v>
      </c>
      <c r="AB1123" s="25" t="str">
        <f t="shared" si="91"/>
        <v>Dosa</v>
      </c>
      <c r="AC1123" s="2" t="str">
        <f t="shared" si="90"/>
        <v xml:space="preserve"> RINALDO </v>
      </c>
      <c r="AD1123" s="26">
        <f t="shared" si="92"/>
        <v>5</v>
      </c>
      <c r="AE1123" s="26">
        <f t="shared" ca="1" si="89"/>
        <v>54.247776273150521</v>
      </c>
    </row>
    <row r="1124" spans="1:31" hidden="1">
      <c r="A1124" s="209">
        <v>9293305</v>
      </c>
      <c r="B1124" s="209" t="s">
        <v>101</v>
      </c>
      <c r="C1124" s="210" t="s">
        <v>1810</v>
      </c>
      <c r="D1124" s="214"/>
      <c r="E1124" s="214">
        <v>67000206001</v>
      </c>
      <c r="F1124" s="209" t="s">
        <v>29</v>
      </c>
      <c r="G1124" s="209" t="s">
        <v>53</v>
      </c>
      <c r="H1124" s="209" t="s">
        <v>404</v>
      </c>
      <c r="I1124" s="209" t="s">
        <v>405</v>
      </c>
      <c r="J1124" s="209" t="s">
        <v>164</v>
      </c>
      <c r="K1124" s="210" t="s">
        <v>34</v>
      </c>
      <c r="L1124" s="210"/>
      <c r="M1124" s="209" t="s">
        <v>35</v>
      </c>
      <c r="N1124" s="209">
        <v>42318949</v>
      </c>
      <c r="O1124" s="209" t="s">
        <v>105</v>
      </c>
      <c r="P1124" s="213">
        <v>44932.428495370368</v>
      </c>
      <c r="Q1124" s="209"/>
      <c r="R1124" s="209" t="s">
        <v>38</v>
      </c>
      <c r="S1124" s="209"/>
      <c r="T1124" s="209" t="s">
        <v>74</v>
      </c>
      <c r="U1124" s="213">
        <v>44932.75</v>
      </c>
      <c r="V1124" s="209" t="s">
        <v>41</v>
      </c>
      <c r="W1124" s="209" t="s">
        <v>49</v>
      </c>
      <c r="X1124" s="13" t="str">
        <f>IF(RIGHT(H1124,2)&lt;&gt;"00",H1124,"")</f>
        <v/>
      </c>
      <c r="Y1124" s="26">
        <f ca="1">NETWORKDAYS(P1124,$Y$1)</f>
        <v>39</v>
      </c>
      <c r="Z1124" s="34">
        <v>1</v>
      </c>
      <c r="AA1124" s="25" t="str">
        <f t="shared" ca="1" si="88"/>
        <v>A VENCER</v>
      </c>
      <c r="AB1124" s="25" t="str">
        <f t="shared" si="91"/>
        <v>Dosa</v>
      </c>
      <c r="AC1124" s="2" t="str">
        <f t="shared" si="90"/>
        <v xml:space="preserve"> ROSEMERE </v>
      </c>
      <c r="AD1124" s="26">
        <f t="shared" si="92"/>
        <v>5</v>
      </c>
      <c r="AE1124" s="26">
        <f t="shared" ca="1" si="89"/>
        <v>54.247776273150521</v>
      </c>
    </row>
    <row r="1125" spans="1:31" hidden="1">
      <c r="A1125" s="209">
        <v>9293222</v>
      </c>
      <c r="B1125" s="209" t="s">
        <v>101</v>
      </c>
      <c r="C1125" s="210" t="s">
        <v>1810</v>
      </c>
      <c r="D1125" s="214"/>
      <c r="E1125" s="214">
        <v>7710206001</v>
      </c>
      <c r="F1125" s="209" t="s">
        <v>29</v>
      </c>
      <c r="G1125" s="209" t="s">
        <v>53</v>
      </c>
      <c r="H1125" s="209" t="s">
        <v>228</v>
      </c>
      <c r="I1125" s="209" t="s">
        <v>229</v>
      </c>
      <c r="J1125" s="209" t="s">
        <v>46</v>
      </c>
      <c r="K1125" s="210" t="s">
        <v>34</v>
      </c>
      <c r="L1125" s="210"/>
      <c r="M1125" s="209" t="s">
        <v>35</v>
      </c>
      <c r="N1125" s="209">
        <v>42318949</v>
      </c>
      <c r="O1125" s="209" t="s">
        <v>105</v>
      </c>
      <c r="P1125" s="213">
        <v>44932.428368055553</v>
      </c>
      <c r="Q1125" s="209"/>
      <c r="R1125" s="209" t="s">
        <v>38</v>
      </c>
      <c r="S1125" s="209"/>
      <c r="T1125" s="209" t="s">
        <v>74</v>
      </c>
      <c r="U1125" s="213">
        <v>44932.75</v>
      </c>
      <c r="V1125" s="209" t="s">
        <v>41</v>
      </c>
      <c r="W1125" s="209" t="s">
        <v>49</v>
      </c>
      <c r="X1125" s="13" t="str">
        <f>IF(RIGHT(H1125,2)&lt;&gt;"00",H1125,"")</f>
        <v>0007.71</v>
      </c>
      <c r="Y1125" s="26">
        <f ca="1">NETWORKDAYS(P1125,$Y$1)</f>
        <v>39</v>
      </c>
      <c r="Z1125" s="34">
        <v>1</v>
      </c>
      <c r="AA1125" s="25" t="str">
        <f t="shared" ca="1" si="88"/>
        <v>A VENCER</v>
      </c>
      <c r="AB1125" s="25" t="str">
        <f t="shared" si="91"/>
        <v>Dosa</v>
      </c>
      <c r="AC1125" s="2" t="str">
        <f t="shared" si="90"/>
        <v xml:space="preserve"> CLEITON </v>
      </c>
      <c r="AD1125" s="26">
        <f t="shared" si="92"/>
        <v>5</v>
      </c>
      <c r="AE1125" s="26">
        <f t="shared" ca="1" si="89"/>
        <v>54.247903587965993</v>
      </c>
    </row>
    <row r="1126" spans="1:31" hidden="1">
      <c r="A1126" s="209">
        <v>9316562</v>
      </c>
      <c r="B1126" s="209" t="s">
        <v>1924</v>
      </c>
      <c r="C1126" s="210" t="s">
        <v>1925</v>
      </c>
      <c r="D1126" s="214">
        <v>20234623000002</v>
      </c>
      <c r="E1126" s="214">
        <v>7417202020353</v>
      </c>
      <c r="F1126" s="209" t="s">
        <v>1213</v>
      </c>
      <c r="G1126" s="209" t="s">
        <v>53</v>
      </c>
      <c r="H1126" s="209" t="s">
        <v>1926</v>
      </c>
      <c r="I1126" s="209" t="s">
        <v>1927</v>
      </c>
      <c r="J1126" s="209" t="s">
        <v>33</v>
      </c>
      <c r="K1126" s="210" t="s">
        <v>1214</v>
      </c>
      <c r="L1126" s="210"/>
      <c r="M1126" s="209" t="s">
        <v>58</v>
      </c>
      <c r="N1126" s="209">
        <v>0</v>
      </c>
      <c r="O1126" s="209" t="s">
        <v>36</v>
      </c>
      <c r="P1126" s="215">
        <v>44935.666909722226</v>
      </c>
      <c r="Q1126" s="209"/>
      <c r="R1126" s="209">
        <v>14</v>
      </c>
      <c r="S1126" s="209"/>
      <c r="T1126" s="209" t="s">
        <v>238</v>
      </c>
      <c r="U1126" s="215">
        <v>44937.999305555553</v>
      </c>
      <c r="V1126" s="209" t="s">
        <v>41</v>
      </c>
      <c r="W1126" s="209" t="s">
        <v>42</v>
      </c>
      <c r="X1126" s="13" t="str">
        <f>IF(RIGHT(H1126,2)&lt;&gt;"00",H1126,"")</f>
        <v>4623.91</v>
      </c>
      <c r="Y1126" s="26">
        <f ca="1">NETWORKDAYS(P1126,$Y$1)</f>
        <v>38</v>
      </c>
      <c r="Z1126" s="34">
        <v>1</v>
      </c>
      <c r="AA1126" s="25" t="str">
        <f t="shared" ca="1" si="88"/>
        <v>A VENCER</v>
      </c>
      <c r="AB1126" s="25" t="str">
        <f t="shared" si="91"/>
        <v>TAAe+</v>
      </c>
      <c r="AC1126" s="2" t="str">
        <f t="shared" si="90"/>
        <v xml:space="preserve"> ROSEMERE </v>
      </c>
      <c r="AD1126" s="26">
        <f t="shared" si="92"/>
        <v>8</v>
      </c>
      <c r="AE1126" s="26">
        <f t="shared" ca="1" si="89"/>
        <v>51.009361921293021</v>
      </c>
    </row>
    <row r="1127" spans="1:31" hidden="1">
      <c r="A1127" s="209">
        <v>9314411</v>
      </c>
      <c r="B1127" s="209" t="s">
        <v>1153</v>
      </c>
      <c r="C1127" s="210" t="s">
        <v>1930</v>
      </c>
      <c r="D1127" s="214">
        <v>20231850000003</v>
      </c>
      <c r="E1127" s="214">
        <v>7417193050573</v>
      </c>
      <c r="F1127" s="209" t="s">
        <v>1719</v>
      </c>
      <c r="G1127" s="209" t="s">
        <v>53</v>
      </c>
      <c r="H1127" s="209" t="s">
        <v>1931</v>
      </c>
      <c r="I1127" s="209" t="s">
        <v>1932</v>
      </c>
      <c r="J1127" s="209" t="s">
        <v>46</v>
      </c>
      <c r="K1127" s="210" t="s">
        <v>1720</v>
      </c>
      <c r="L1127" s="210"/>
      <c r="M1127" s="209" t="s">
        <v>58</v>
      </c>
      <c r="N1127" s="209">
        <v>0</v>
      </c>
      <c r="O1127" s="209" t="s">
        <v>36</v>
      </c>
      <c r="P1127" s="215">
        <v>44935.42359953704</v>
      </c>
      <c r="Q1127" s="209"/>
      <c r="R1127" s="209">
        <v>22</v>
      </c>
      <c r="S1127" s="209"/>
      <c r="T1127" s="209" t="s">
        <v>1160</v>
      </c>
      <c r="U1127" s="215">
        <v>44937.631932870368</v>
      </c>
      <c r="V1127" s="209" t="s">
        <v>41</v>
      </c>
      <c r="W1127" s="209" t="s">
        <v>49</v>
      </c>
      <c r="X1127" s="13" t="str">
        <f>IF(RIGHT(H1127,2)&lt;&gt;"00",H1127,"")</f>
        <v/>
      </c>
      <c r="Y1127" s="26">
        <f ca="1">NETWORKDAYS(P1127,$Y$1)</f>
        <v>38</v>
      </c>
      <c r="Z1127" s="34">
        <v>1</v>
      </c>
      <c r="AA1127" s="25" t="str">
        <f t="shared" ca="1" si="88"/>
        <v>A VENCER</v>
      </c>
      <c r="AB1127" s="25" t="str">
        <f t="shared" si="91"/>
        <v>TAAe+</v>
      </c>
      <c r="AC1127" s="2" t="str">
        <f t="shared" si="90"/>
        <v xml:space="preserve"> CLEITON </v>
      </c>
      <c r="AD1127" s="26">
        <f t="shared" si="92"/>
        <v>8</v>
      </c>
      <c r="AE1127" s="26">
        <f t="shared" ca="1" si="89"/>
        <v>51.252672106478713</v>
      </c>
    </row>
    <row r="1128" spans="1:31" hidden="1">
      <c r="A1128" s="209">
        <v>9326301</v>
      </c>
      <c r="B1128" s="209" t="s">
        <v>81</v>
      </c>
      <c r="C1128" s="210" t="s">
        <v>1935</v>
      </c>
      <c r="D1128" s="214"/>
      <c r="E1128" s="214">
        <v>7417211830514</v>
      </c>
      <c r="F1128" s="209" t="s">
        <v>1936</v>
      </c>
      <c r="G1128" s="209" t="s">
        <v>53</v>
      </c>
      <c r="H1128" s="209" t="s">
        <v>1937</v>
      </c>
      <c r="I1128" s="209" t="s">
        <v>1938</v>
      </c>
      <c r="J1128" s="209" t="s">
        <v>90</v>
      </c>
      <c r="K1128" s="210" t="s">
        <v>1939</v>
      </c>
      <c r="L1128" s="210"/>
      <c r="M1128" s="209" t="s">
        <v>58</v>
      </c>
      <c r="N1128" s="209">
        <v>0</v>
      </c>
      <c r="O1128" s="209" t="s">
        <v>105</v>
      </c>
      <c r="P1128" s="215">
        <v>44937.678877314815</v>
      </c>
      <c r="Q1128" s="209"/>
      <c r="R1128" s="209">
        <v>14</v>
      </c>
      <c r="S1128" s="209"/>
      <c r="T1128" s="209" t="s">
        <v>238</v>
      </c>
      <c r="U1128" s="215">
        <v>44938.679988425924</v>
      </c>
      <c r="V1128" s="209" t="s">
        <v>41</v>
      </c>
      <c r="W1128" s="209" t="s">
        <v>49</v>
      </c>
      <c r="X1128" s="13" t="str">
        <f>IF(RIGHT(H1128,2)&lt;&gt;"00",H1128,"")</f>
        <v>2069.91</v>
      </c>
      <c r="Y1128" s="26">
        <f ca="1">NETWORKDAYS(P1128,$Y$1)</f>
        <v>36</v>
      </c>
      <c r="Z1128" s="34">
        <v>1</v>
      </c>
      <c r="AA1128" s="25" t="str">
        <f t="shared" ca="1" si="88"/>
        <v>A VENCER</v>
      </c>
      <c r="AB1128" s="25" t="str">
        <f t="shared" si="91"/>
        <v>TAAe+</v>
      </c>
      <c r="AC1128" s="2" t="str">
        <f t="shared" si="90"/>
        <v xml:space="preserve"> RINALDO </v>
      </c>
      <c r="AD1128" s="26">
        <f t="shared" si="92"/>
        <v>8</v>
      </c>
      <c r="AE1128" s="26">
        <f t="shared" ca="1" si="89"/>
        <v>48.997394328704104</v>
      </c>
    </row>
    <row r="1129" spans="1:31" hidden="1">
      <c r="A1129" s="209">
        <v>9331062</v>
      </c>
      <c r="B1129" s="209" t="s">
        <v>62</v>
      </c>
      <c r="C1129" s="210" t="s">
        <v>1942</v>
      </c>
      <c r="D1129" s="214"/>
      <c r="E1129" s="214">
        <v>2039000203000</v>
      </c>
      <c r="F1129" s="209" t="s">
        <v>454</v>
      </c>
      <c r="G1129" s="209" t="s">
        <v>53</v>
      </c>
      <c r="H1129" s="209" t="s">
        <v>1943</v>
      </c>
      <c r="I1129" s="209" t="s">
        <v>1944</v>
      </c>
      <c r="J1129" s="209" t="s">
        <v>110</v>
      </c>
      <c r="K1129" s="210" t="s">
        <v>457</v>
      </c>
      <c r="L1129" s="210"/>
      <c r="M1129" s="209" t="s">
        <v>58</v>
      </c>
      <c r="N1129" s="209">
        <v>0</v>
      </c>
      <c r="O1129" s="209" t="s">
        <v>36</v>
      </c>
      <c r="P1129" s="215">
        <v>44938.635578703703</v>
      </c>
      <c r="Q1129" s="209"/>
      <c r="R1129" s="209">
        <v>1</v>
      </c>
      <c r="S1129" s="209"/>
      <c r="T1129" s="209" t="s">
        <v>157</v>
      </c>
      <c r="U1129" s="215">
        <v>44972.75</v>
      </c>
      <c r="V1129" s="209" t="s">
        <v>41</v>
      </c>
      <c r="W1129" s="209" t="s">
        <v>49</v>
      </c>
      <c r="X1129" s="13" t="str">
        <f>IF(RIGHT(H1129,2)&lt;&gt;"00",H1129,"")</f>
        <v/>
      </c>
      <c r="Y1129" s="26">
        <f ca="1">NETWORKDAYS(P1129,$Y$1)</f>
        <v>35</v>
      </c>
      <c r="Z1129" s="34">
        <v>1</v>
      </c>
      <c r="AA1129" s="25" t="str">
        <f t="shared" ca="1" si="88"/>
        <v>A VENCER</v>
      </c>
      <c r="AB1129" s="25" t="str">
        <f t="shared" si="91"/>
        <v>C-14</v>
      </c>
      <c r="AC1129" s="2" t="str">
        <f t="shared" si="90"/>
        <v xml:space="preserve"> CRISTINA </v>
      </c>
      <c r="AD1129" s="26">
        <f t="shared" si="92"/>
        <v>5</v>
      </c>
      <c r="AE1129" s="26">
        <f t="shared" ca="1" si="89"/>
        <v>48.040692939815926</v>
      </c>
    </row>
    <row r="1130" spans="1:31" hidden="1">
      <c r="A1130" s="209">
        <v>9348557</v>
      </c>
      <c r="B1130" s="209" t="s">
        <v>81</v>
      </c>
      <c r="C1130" s="210" t="s">
        <v>1947</v>
      </c>
      <c r="D1130" s="214"/>
      <c r="E1130" s="214">
        <v>9600113561034</v>
      </c>
      <c r="F1130" s="209" t="s">
        <v>233</v>
      </c>
      <c r="G1130" s="209" t="s">
        <v>30</v>
      </c>
      <c r="H1130" s="209" t="s">
        <v>1948</v>
      </c>
      <c r="I1130" s="209" t="s">
        <v>1949</v>
      </c>
      <c r="J1130" s="209" t="s">
        <v>46</v>
      </c>
      <c r="K1130" s="210" t="s">
        <v>236</v>
      </c>
      <c r="L1130" s="210"/>
      <c r="M1130" s="209" t="s">
        <v>58</v>
      </c>
      <c r="N1130" s="209">
        <v>0</v>
      </c>
      <c r="O1130" s="209" t="s">
        <v>105</v>
      </c>
      <c r="P1130" s="215">
        <v>44942.725347222222</v>
      </c>
      <c r="Q1130" s="209"/>
      <c r="R1130" s="209">
        <v>15</v>
      </c>
      <c r="S1130" s="209"/>
      <c r="T1130" s="209" t="s">
        <v>238</v>
      </c>
      <c r="U1130" s="215">
        <v>44943.726122685184</v>
      </c>
      <c r="V1130" s="209" t="s">
        <v>41</v>
      </c>
      <c r="W1130" s="209" t="s">
        <v>49</v>
      </c>
      <c r="X1130" s="13" t="str">
        <f>IF(RIGHT(H1130,2)&lt;&gt;"00",H1130,"")</f>
        <v>0721.08</v>
      </c>
      <c r="Y1130" s="26">
        <f ca="1">NETWORKDAYS(P1130,$Y$1)</f>
        <v>33</v>
      </c>
      <c r="Z1130" s="34">
        <v>1</v>
      </c>
      <c r="AA1130" s="25" t="str">
        <f t="shared" ca="1" si="88"/>
        <v>A VENCER</v>
      </c>
      <c r="AB1130" s="25" t="str">
        <f t="shared" si="91"/>
        <v>TAAe+</v>
      </c>
      <c r="AC1130" s="2" t="str">
        <f t="shared" si="90"/>
        <v xml:space="preserve"> CLEITON </v>
      </c>
      <c r="AD1130" s="26">
        <f t="shared" si="92"/>
        <v>8</v>
      </c>
      <c r="AE1130" s="26">
        <f t="shared" ca="1" si="89"/>
        <v>43.950924421296804</v>
      </c>
    </row>
    <row r="1131" spans="1:31" hidden="1">
      <c r="A1131" s="209">
        <v>9352258</v>
      </c>
      <c r="B1131" s="209" t="s">
        <v>62</v>
      </c>
      <c r="C1131" s="210" t="s">
        <v>3620</v>
      </c>
      <c r="D1131" s="214"/>
      <c r="E1131" s="214">
        <v>1049000206001</v>
      </c>
      <c r="F1131" s="209" t="s">
        <v>29</v>
      </c>
      <c r="G1131" s="209" t="s">
        <v>53</v>
      </c>
      <c r="H1131" s="209" t="s">
        <v>169</v>
      </c>
      <c r="I1131" s="209" t="s">
        <v>170</v>
      </c>
      <c r="J1131" s="209" t="s">
        <v>164</v>
      </c>
      <c r="K1131" s="210" t="s">
        <v>34</v>
      </c>
      <c r="L1131" s="210"/>
      <c r="M1131" s="209" t="s">
        <v>35</v>
      </c>
      <c r="N1131" s="209">
        <v>42318949</v>
      </c>
      <c r="O1131" s="209" t="s">
        <v>36</v>
      </c>
      <c r="P1131" s="215">
        <v>44943.557488425926</v>
      </c>
      <c r="Q1131" s="209"/>
      <c r="R1131" s="209" t="s">
        <v>38</v>
      </c>
      <c r="S1131" s="209"/>
      <c r="T1131" s="209" t="s">
        <v>74</v>
      </c>
      <c r="U1131" s="215">
        <v>44986.75</v>
      </c>
      <c r="V1131" s="209" t="s">
        <v>41</v>
      </c>
      <c r="W1131" s="209" t="s">
        <v>49</v>
      </c>
      <c r="X1131" s="13" t="str">
        <f>IF(RIGHT(H1131,2)&lt;&gt;"00",H1131,"")</f>
        <v/>
      </c>
      <c r="Y1131" s="26">
        <f ca="1">NETWORKDAYS(P1131,$Y$1)</f>
        <v>32</v>
      </c>
      <c r="Z1131" s="34">
        <v>1</v>
      </c>
      <c r="AA1131" s="25" t="str">
        <f t="shared" ca="1" si="88"/>
        <v>A VENCER</v>
      </c>
      <c r="AB1131" s="25" t="str">
        <f t="shared" si="91"/>
        <v>Dosa</v>
      </c>
      <c r="AC1131" s="2" t="str">
        <f t="shared" si="90"/>
        <v xml:space="preserve"> ROSEMERE </v>
      </c>
      <c r="AD1131" s="26">
        <f t="shared" si="92"/>
        <v>5</v>
      </c>
      <c r="AE1131" s="26">
        <f t="shared" ca="1" si="89"/>
        <v>43.118783217592863</v>
      </c>
    </row>
    <row r="1132" spans="1:31" hidden="1">
      <c r="A1132" s="209">
        <v>9351974</v>
      </c>
      <c r="B1132" s="209" t="s">
        <v>62</v>
      </c>
      <c r="C1132" s="210" t="s">
        <v>1955</v>
      </c>
      <c r="D1132" s="214"/>
      <c r="E1132" s="214">
        <v>2442000203000</v>
      </c>
      <c r="F1132" s="209" t="s">
        <v>454</v>
      </c>
      <c r="G1132" s="209" t="s">
        <v>53</v>
      </c>
      <c r="H1132" s="209" t="s">
        <v>1956</v>
      </c>
      <c r="I1132" s="209" t="s">
        <v>1957</v>
      </c>
      <c r="J1132" s="209" t="s">
        <v>33</v>
      </c>
      <c r="K1132" s="210" t="s">
        <v>457</v>
      </c>
      <c r="L1132" s="210"/>
      <c r="M1132" s="209" t="s">
        <v>58</v>
      </c>
      <c r="N1132" s="209">
        <v>0</v>
      </c>
      <c r="O1132" s="209" t="s">
        <v>36</v>
      </c>
      <c r="P1132" s="215">
        <v>44943.516550925924</v>
      </c>
      <c r="Q1132" s="209"/>
      <c r="R1132" s="209">
        <v>1</v>
      </c>
      <c r="S1132" s="209"/>
      <c r="T1132" s="209" t="s">
        <v>157</v>
      </c>
      <c r="U1132" s="215">
        <v>44979.75</v>
      </c>
      <c r="V1132" s="209" t="s">
        <v>41</v>
      </c>
      <c r="W1132" s="209" t="s">
        <v>42</v>
      </c>
      <c r="X1132" s="13" t="str">
        <f>IF(RIGHT(H1132,2)&lt;&gt;"00",H1132,"")</f>
        <v/>
      </c>
      <c r="Y1132" s="26">
        <f ca="1">NETWORKDAYS(P1132,$Y$1)</f>
        <v>32</v>
      </c>
      <c r="Z1132" s="34">
        <v>1</v>
      </c>
      <c r="AA1132" s="25" t="str">
        <f t="shared" ca="1" si="88"/>
        <v>A VENCER</v>
      </c>
      <c r="AB1132" s="25" t="str">
        <f t="shared" si="91"/>
        <v>C-14</v>
      </c>
      <c r="AC1132" s="2" t="str">
        <f t="shared" si="90"/>
        <v xml:space="preserve"> ROSEMERE </v>
      </c>
      <c r="AD1132" s="26">
        <f t="shared" si="92"/>
        <v>5</v>
      </c>
      <c r="AE1132" s="26">
        <f t="shared" ca="1" si="89"/>
        <v>43.15972071759461</v>
      </c>
    </row>
    <row r="1133" spans="1:31" hidden="1">
      <c r="A1133" s="209">
        <v>9357204</v>
      </c>
      <c r="B1133" s="209" t="s">
        <v>1153</v>
      </c>
      <c r="C1133" s="210" t="s">
        <v>1984</v>
      </c>
      <c r="D1133" s="214">
        <v>20230605000012</v>
      </c>
      <c r="E1133" s="214">
        <v>7417163280932</v>
      </c>
      <c r="F1133" s="209" t="s">
        <v>131</v>
      </c>
      <c r="G1133" s="209" t="s">
        <v>53</v>
      </c>
      <c r="H1133" s="209" t="s">
        <v>1985</v>
      </c>
      <c r="I1133" s="209" t="s">
        <v>1986</v>
      </c>
      <c r="J1133" s="209" t="s">
        <v>90</v>
      </c>
      <c r="K1133" s="210" t="s">
        <v>132</v>
      </c>
      <c r="L1133" s="210"/>
      <c r="M1133" s="209" t="s">
        <v>58</v>
      </c>
      <c r="N1133" s="209">
        <v>0</v>
      </c>
      <c r="O1133" s="209" t="s">
        <v>36</v>
      </c>
      <c r="P1133" s="215">
        <v>44944.579340277778</v>
      </c>
      <c r="Q1133" s="209"/>
      <c r="R1133" s="209">
        <v>14</v>
      </c>
      <c r="S1133" s="209"/>
      <c r="T1133" s="209" t="s">
        <v>238</v>
      </c>
      <c r="U1133" s="215">
        <v>44944.579340277778</v>
      </c>
      <c r="V1133" s="209" t="s">
        <v>41</v>
      </c>
      <c r="W1133" s="209" t="s">
        <v>49</v>
      </c>
      <c r="X1133" s="13" t="str">
        <f>IF(RIGHT(H1133,2)&lt;&gt;"00",H1133,"")</f>
        <v>0605.91</v>
      </c>
      <c r="Y1133" s="26">
        <f ca="1">NETWORKDAYS(P1133,$Y$1)</f>
        <v>31</v>
      </c>
      <c r="Z1133" s="34">
        <v>1</v>
      </c>
      <c r="AA1133" s="25" t="str">
        <f t="shared" ca="1" si="88"/>
        <v>A VENCER</v>
      </c>
      <c r="AB1133" s="25" t="str">
        <f t="shared" si="91"/>
        <v>TAAe+</v>
      </c>
      <c r="AC1133" s="2" t="str">
        <f t="shared" si="90"/>
        <v xml:space="preserve"> RINALDO </v>
      </c>
      <c r="AD1133" s="26">
        <f t="shared" si="92"/>
        <v>8</v>
      </c>
      <c r="AE1133" s="26">
        <f t="shared" ca="1" si="89"/>
        <v>42.096931365740602</v>
      </c>
    </row>
    <row r="1134" spans="1:31" hidden="1">
      <c r="A1134" s="209">
        <v>9356193</v>
      </c>
      <c r="B1134" s="209" t="s">
        <v>1153</v>
      </c>
      <c r="C1134" s="210" t="s">
        <v>1988</v>
      </c>
      <c r="D1134" s="214">
        <v>20238259000001</v>
      </c>
      <c r="E1134" s="214">
        <v>7417172796319</v>
      </c>
      <c r="F1134" s="209" t="s">
        <v>1989</v>
      </c>
      <c r="G1134" s="209" t="s">
        <v>53</v>
      </c>
      <c r="H1134" s="209" t="s">
        <v>245</v>
      </c>
      <c r="I1134" s="209" t="s">
        <v>246</v>
      </c>
      <c r="J1134" s="209" t="s">
        <v>56</v>
      </c>
      <c r="K1134" s="210" t="s">
        <v>1990</v>
      </c>
      <c r="L1134" s="210"/>
      <c r="M1134" s="209" t="s">
        <v>58</v>
      </c>
      <c r="N1134" s="209">
        <v>0</v>
      </c>
      <c r="O1134" s="209" t="s">
        <v>36</v>
      </c>
      <c r="P1134" s="215">
        <v>44944.44734953704</v>
      </c>
      <c r="Q1134" s="209"/>
      <c r="R1134" s="209">
        <v>22</v>
      </c>
      <c r="S1134" s="209"/>
      <c r="T1134" s="209" t="s">
        <v>1160</v>
      </c>
      <c r="U1134" s="215">
        <v>44946.655682870369</v>
      </c>
      <c r="V1134" s="209" t="s">
        <v>41</v>
      </c>
      <c r="W1134" s="209" t="s">
        <v>49</v>
      </c>
      <c r="X1134" s="13" t="str">
        <f>IF(RIGHT(H1134,2)&lt;&gt;"00",H1134,"")</f>
        <v/>
      </c>
      <c r="Y1134" s="26">
        <f ca="1">NETWORKDAYS(P1134,$Y$1)</f>
        <v>31</v>
      </c>
      <c r="Z1134" s="34">
        <v>1</v>
      </c>
      <c r="AA1134" s="25" t="str">
        <f t="shared" ca="1" si="88"/>
        <v>A VENCER</v>
      </c>
      <c r="AB1134" s="25" t="str">
        <f t="shared" si="91"/>
        <v>TAAe+</v>
      </c>
      <c r="AC1134" s="2" t="str">
        <f t="shared" si="90"/>
        <v xml:space="preserve"> CRISTINA </v>
      </c>
      <c r="AD1134" s="26">
        <f t="shared" si="92"/>
        <v>8</v>
      </c>
      <c r="AE1134" s="26">
        <f t="shared" ca="1" si="89"/>
        <v>42.228922106478421</v>
      </c>
    </row>
    <row r="1135" spans="1:31" hidden="1">
      <c r="A1135" s="209">
        <v>9363015</v>
      </c>
      <c r="B1135" s="209" t="s">
        <v>62</v>
      </c>
      <c r="C1135" s="210" t="s">
        <v>3621</v>
      </c>
      <c r="D1135" s="214"/>
      <c r="E1135" s="214">
        <v>1837000203000</v>
      </c>
      <c r="F1135" s="209" t="s">
        <v>454</v>
      </c>
      <c r="G1135" s="209" t="s">
        <v>53</v>
      </c>
      <c r="H1135" s="209" t="s">
        <v>1785</v>
      </c>
      <c r="I1135" s="209" t="s">
        <v>1786</v>
      </c>
      <c r="J1135" s="209" t="s">
        <v>46</v>
      </c>
      <c r="K1135" s="210" t="s">
        <v>457</v>
      </c>
      <c r="L1135" s="210"/>
      <c r="M1135" s="209" t="s">
        <v>58</v>
      </c>
      <c r="N1135" s="209">
        <v>0</v>
      </c>
      <c r="O1135" s="209" t="s">
        <v>36</v>
      </c>
      <c r="P1135" s="215">
        <v>44945.70008101852</v>
      </c>
      <c r="Q1135" s="209"/>
      <c r="R1135" s="209">
        <v>1</v>
      </c>
      <c r="S1135" s="209"/>
      <c r="T1135" s="209" t="s">
        <v>157</v>
      </c>
      <c r="U1135" s="215">
        <v>44981.75</v>
      </c>
      <c r="V1135" s="209" t="s">
        <v>41</v>
      </c>
      <c r="W1135" s="209" t="s">
        <v>49</v>
      </c>
      <c r="X1135" s="13" t="str">
        <f>IF(RIGHT(H1135,2)&lt;&gt;"00",H1135,"")</f>
        <v/>
      </c>
      <c r="Y1135" s="26">
        <f ca="1">NETWORKDAYS(P1135,$Y$1)</f>
        <v>30</v>
      </c>
      <c r="Z1135" s="34">
        <v>1</v>
      </c>
      <c r="AA1135" s="25" t="str">
        <f t="shared" ca="1" si="88"/>
        <v>A VENCER</v>
      </c>
      <c r="AB1135" s="25" t="str">
        <f t="shared" si="91"/>
        <v>C-14</v>
      </c>
      <c r="AC1135" s="2" t="str">
        <f t="shared" si="90"/>
        <v xml:space="preserve"> CLEITON </v>
      </c>
      <c r="AD1135" s="26">
        <f t="shared" si="92"/>
        <v>5</v>
      </c>
      <c r="AE1135" s="26">
        <f t="shared" ca="1" si="89"/>
        <v>40.976190624998708</v>
      </c>
    </row>
    <row r="1136" spans="1:31" hidden="1">
      <c r="A1136" s="209">
        <v>9361190</v>
      </c>
      <c r="B1136" s="209" t="s">
        <v>62</v>
      </c>
      <c r="C1136" s="210" t="s">
        <v>2011</v>
      </c>
      <c r="D1136" s="214"/>
      <c r="E1136" s="214">
        <v>3918000203000</v>
      </c>
      <c r="F1136" s="209" t="s">
        <v>454</v>
      </c>
      <c r="G1136" s="209" t="s">
        <v>53</v>
      </c>
      <c r="H1136" s="209" t="s">
        <v>858</v>
      </c>
      <c r="I1136" s="209" t="s">
        <v>859</v>
      </c>
      <c r="J1136" s="209" t="s">
        <v>33</v>
      </c>
      <c r="K1136" s="210" t="s">
        <v>457</v>
      </c>
      <c r="L1136" s="210"/>
      <c r="M1136" s="209" t="s">
        <v>58</v>
      </c>
      <c r="N1136" s="209">
        <v>0</v>
      </c>
      <c r="O1136" s="209" t="s">
        <v>105</v>
      </c>
      <c r="P1136" s="215">
        <v>44945.429432870369</v>
      </c>
      <c r="Q1136" s="209"/>
      <c r="R1136" s="209">
        <v>1</v>
      </c>
      <c r="S1136" s="209"/>
      <c r="T1136" s="209" t="s">
        <v>157</v>
      </c>
      <c r="U1136" s="215">
        <v>44981.75</v>
      </c>
      <c r="V1136" s="209" t="s">
        <v>41</v>
      </c>
      <c r="W1136" s="209" t="s">
        <v>49</v>
      </c>
      <c r="X1136" s="13" t="str">
        <f>IF(RIGHT(H1136,2)&lt;&gt;"00",H1136,"")</f>
        <v/>
      </c>
      <c r="Y1136" s="26">
        <f ca="1">NETWORKDAYS(P1136,$Y$1)</f>
        <v>30</v>
      </c>
      <c r="Z1136" s="34">
        <v>1</v>
      </c>
      <c r="AA1136" s="25" t="str">
        <f t="shared" ca="1" si="88"/>
        <v>A VENCER</v>
      </c>
      <c r="AB1136" s="25" t="str">
        <f t="shared" si="91"/>
        <v>C-14</v>
      </c>
      <c r="AC1136" s="2" t="str">
        <f t="shared" si="90"/>
        <v xml:space="preserve"> ROSEMERE </v>
      </c>
      <c r="AD1136" s="26">
        <f t="shared" si="92"/>
        <v>5</v>
      </c>
      <c r="AE1136" s="26">
        <f t="shared" ca="1" si="89"/>
        <v>41.246838773149648</v>
      </c>
    </row>
    <row r="1137" spans="1:31" hidden="1">
      <c r="A1137" s="209">
        <v>9378351</v>
      </c>
      <c r="B1137" s="209" t="s">
        <v>62</v>
      </c>
      <c r="C1137" s="210" t="s">
        <v>2013</v>
      </c>
      <c r="D1137" s="214"/>
      <c r="E1137" s="214">
        <v>2238000206001</v>
      </c>
      <c r="F1137" s="209" t="s">
        <v>29</v>
      </c>
      <c r="G1137" s="209" t="s">
        <v>53</v>
      </c>
      <c r="H1137" s="209" t="s">
        <v>707</v>
      </c>
      <c r="I1137" s="209" t="s">
        <v>708</v>
      </c>
      <c r="J1137" s="209" t="s">
        <v>79</v>
      </c>
      <c r="K1137" s="210" t="s">
        <v>34</v>
      </c>
      <c r="L1137" s="210"/>
      <c r="M1137" s="209" t="s">
        <v>35</v>
      </c>
      <c r="N1137" s="209">
        <v>42318949</v>
      </c>
      <c r="O1137" s="209" t="s">
        <v>36</v>
      </c>
      <c r="P1137" s="215">
        <v>44949.719247685185</v>
      </c>
      <c r="Q1137" s="209"/>
      <c r="R1137" s="209" t="s">
        <v>38</v>
      </c>
      <c r="S1137" s="209"/>
      <c r="T1137" s="209" t="s">
        <v>74</v>
      </c>
      <c r="U1137" s="215">
        <v>44993.75</v>
      </c>
      <c r="V1137" s="209" t="s">
        <v>41</v>
      </c>
      <c r="W1137" s="209" t="s">
        <v>49</v>
      </c>
      <c r="X1137" s="13" t="str">
        <f>IF(RIGHT(H1137,2)&lt;&gt;"00",H1137,"")</f>
        <v/>
      </c>
      <c r="Y1137" s="26">
        <f ca="1">NETWORKDAYS(P1137,$Y$1)</f>
        <v>28</v>
      </c>
      <c r="Z1137" s="34">
        <v>1</v>
      </c>
      <c r="AA1137" s="25" t="str">
        <f t="shared" ca="1" si="88"/>
        <v>A VENCER</v>
      </c>
      <c r="AB1137" s="25" t="str">
        <f t="shared" si="91"/>
        <v>Dosa</v>
      </c>
      <c r="AC1137" s="2" t="str">
        <f t="shared" si="90"/>
        <v xml:space="preserve"> ROSEMERE </v>
      </c>
      <c r="AD1137" s="26">
        <f t="shared" si="92"/>
        <v>5</v>
      </c>
      <c r="AE1137" s="26">
        <f t="shared" ca="1" si="89"/>
        <v>36.957023958333593</v>
      </c>
    </row>
    <row r="1138" spans="1:31" hidden="1">
      <c r="A1138" s="216">
        <v>9376105</v>
      </c>
      <c r="B1138" s="216" t="s">
        <v>1153</v>
      </c>
      <c r="C1138" s="182" t="s">
        <v>3981</v>
      </c>
      <c r="D1138" s="217">
        <v>20230870000010</v>
      </c>
      <c r="E1138" s="217">
        <v>7419141893543</v>
      </c>
      <c r="F1138" s="216" t="s">
        <v>128</v>
      </c>
      <c r="G1138" s="216" t="s">
        <v>53</v>
      </c>
      <c r="H1138" s="216" t="s">
        <v>519</v>
      </c>
      <c r="I1138" s="216" t="s">
        <v>520</v>
      </c>
      <c r="J1138" s="216" t="s">
        <v>90</v>
      </c>
      <c r="K1138" s="210" t="s">
        <v>129</v>
      </c>
      <c r="L1138" s="210"/>
      <c r="M1138" s="209" t="s">
        <v>58</v>
      </c>
      <c r="N1138" s="209">
        <v>0</v>
      </c>
      <c r="O1138" s="209" t="s">
        <v>36</v>
      </c>
      <c r="P1138" s="215">
        <v>44949.420578703706</v>
      </c>
      <c r="Q1138" s="209"/>
      <c r="R1138" s="209">
        <v>14</v>
      </c>
      <c r="S1138" s="209"/>
      <c r="T1138" s="209" t="s">
        <v>238</v>
      </c>
      <c r="U1138" s="215">
        <v>44949.420578703706</v>
      </c>
      <c r="V1138" s="209" t="s">
        <v>41</v>
      </c>
      <c r="W1138" s="209" t="s">
        <v>49</v>
      </c>
      <c r="X1138" s="13" t="str">
        <f>IF(RIGHT(H1138,2)&lt;&gt;"00",H1138,"")</f>
        <v>0870.91</v>
      </c>
      <c r="Y1138" s="26">
        <f ca="1">NETWORKDAYS(P1138,$Y$1)</f>
        <v>28</v>
      </c>
      <c r="Z1138" s="34">
        <v>1</v>
      </c>
      <c r="AA1138" s="25" t="str">
        <f t="shared" ca="1" si="88"/>
        <v>A VENCER</v>
      </c>
      <c r="AB1138" s="25" t="str">
        <f t="shared" si="91"/>
        <v>TAAe+</v>
      </c>
      <c r="AC1138" s="2" t="str">
        <f t="shared" si="90"/>
        <v xml:space="preserve"> RINALDO </v>
      </c>
      <c r="AD1138" s="26">
        <f t="shared" si="92"/>
        <v>8</v>
      </c>
      <c r="AE1138" s="26">
        <f t="shared" ca="1" si="89"/>
        <v>37.255692939812434</v>
      </c>
    </row>
    <row r="1139" spans="1:31" hidden="1">
      <c r="A1139" s="209">
        <v>9381861</v>
      </c>
      <c r="B1139" s="209" t="s">
        <v>62</v>
      </c>
      <c r="C1139" s="210" t="s">
        <v>2027</v>
      </c>
      <c r="D1139" s="214"/>
      <c r="E1139" s="214">
        <v>1069000203000</v>
      </c>
      <c r="F1139" s="209" t="s">
        <v>454</v>
      </c>
      <c r="G1139" s="209" t="s">
        <v>53</v>
      </c>
      <c r="H1139" s="209" t="s">
        <v>353</v>
      </c>
      <c r="I1139" s="209" t="s">
        <v>354</v>
      </c>
      <c r="J1139" s="209" t="s">
        <v>211</v>
      </c>
      <c r="K1139" s="210" t="s">
        <v>457</v>
      </c>
      <c r="L1139" s="210"/>
      <c r="M1139" s="209" t="s">
        <v>58</v>
      </c>
      <c r="N1139" s="209">
        <v>0</v>
      </c>
      <c r="O1139" s="209" t="s">
        <v>105</v>
      </c>
      <c r="P1139" s="215">
        <v>44950.51898148148</v>
      </c>
      <c r="Q1139" s="209"/>
      <c r="R1139" s="209">
        <v>1</v>
      </c>
      <c r="S1139" s="209"/>
      <c r="T1139" s="209" t="s">
        <v>157</v>
      </c>
      <c r="U1139" s="215">
        <v>44986.75</v>
      </c>
      <c r="V1139" s="209" t="s">
        <v>41</v>
      </c>
      <c r="W1139" s="209" t="s">
        <v>49</v>
      </c>
      <c r="X1139" s="13" t="str">
        <f>IF(RIGHT(H1139,2)&lt;&gt;"00",H1139,"")</f>
        <v/>
      </c>
      <c r="Y1139" s="26">
        <f ca="1">NETWORKDAYS(P1139,$Y$1)</f>
        <v>27</v>
      </c>
      <c r="Z1139" s="34">
        <v>1</v>
      </c>
      <c r="AA1139" s="25" t="str">
        <f t="shared" ca="1" si="88"/>
        <v>A VENCER</v>
      </c>
      <c r="AB1139" s="25" t="str">
        <f t="shared" si="91"/>
        <v>C-14</v>
      </c>
      <c r="AC1139" s="2" t="str">
        <f t="shared" si="90"/>
        <v xml:space="preserve"> RINALDO </v>
      </c>
      <c r="AD1139" s="26">
        <f t="shared" si="92"/>
        <v>5</v>
      </c>
      <c r="AE1139" s="26">
        <f t="shared" ca="1" si="89"/>
        <v>36.157290162038407</v>
      </c>
    </row>
    <row r="1140" spans="1:31" hidden="1">
      <c r="A1140" s="209">
        <v>9386899</v>
      </c>
      <c r="B1140" s="209" t="s">
        <v>1153</v>
      </c>
      <c r="C1140" s="210" t="s">
        <v>4137</v>
      </c>
      <c r="D1140" s="214">
        <v>230012987</v>
      </c>
      <c r="E1140" s="214">
        <v>1162001400010</v>
      </c>
      <c r="F1140" s="209" t="s">
        <v>936</v>
      </c>
      <c r="G1140" s="209" t="s">
        <v>53</v>
      </c>
      <c r="H1140" s="209" t="s">
        <v>280</v>
      </c>
      <c r="I1140" s="209" t="s">
        <v>281</v>
      </c>
      <c r="J1140" s="209" t="s">
        <v>211</v>
      </c>
      <c r="K1140" s="210" t="s">
        <v>937</v>
      </c>
      <c r="L1140" s="210"/>
      <c r="M1140" s="209" t="s">
        <v>58</v>
      </c>
      <c r="N1140" s="209">
        <v>0</v>
      </c>
      <c r="O1140" s="209" t="s">
        <v>36</v>
      </c>
      <c r="P1140" s="215">
        <v>44951.551388888889</v>
      </c>
      <c r="Q1140" s="209"/>
      <c r="R1140" s="209">
        <v>3</v>
      </c>
      <c r="S1140" s="209"/>
      <c r="T1140" s="209" t="s">
        <v>646</v>
      </c>
      <c r="U1140" s="215">
        <v>44992.586805555555</v>
      </c>
      <c r="V1140" s="209" t="s">
        <v>41</v>
      </c>
      <c r="W1140" s="209" t="s">
        <v>49</v>
      </c>
      <c r="X1140" s="13" t="str">
        <f>IF(RIGHT(H1140,2)&lt;&gt;"00",H1140,"")</f>
        <v/>
      </c>
      <c r="Y1140" s="26">
        <f ca="1">NETWORKDAYS(P1140,$Y$1)</f>
        <v>26</v>
      </c>
      <c r="Z1140" s="34">
        <v>1</v>
      </c>
      <c r="AA1140" s="25" t="str">
        <f t="shared" ca="1" si="88"/>
        <v>A VENCER</v>
      </c>
      <c r="AB1140" s="25" t="str">
        <f t="shared" si="91"/>
        <v>C-14</v>
      </c>
      <c r="AC1140" s="2" t="str">
        <f t="shared" si="90"/>
        <v xml:space="preserve"> RINALDO </v>
      </c>
      <c r="AD1140" s="26">
        <f t="shared" si="92"/>
        <v>5</v>
      </c>
      <c r="AE1140" s="26">
        <f t="shared" ca="1" si="89"/>
        <v>35.124882754629652</v>
      </c>
    </row>
    <row r="1141" spans="1:31" hidden="1">
      <c r="A1141" s="209">
        <v>9396912</v>
      </c>
      <c r="B1141" s="209" t="s">
        <v>62</v>
      </c>
      <c r="C1141" s="210" t="s">
        <v>2045</v>
      </c>
      <c r="D1141" s="214">
        <v>230014141</v>
      </c>
      <c r="E1141" s="214">
        <v>870001400020</v>
      </c>
      <c r="F1141" s="209" t="s">
        <v>1961</v>
      </c>
      <c r="G1141" s="209" t="s">
        <v>53</v>
      </c>
      <c r="H1141" s="209" t="s">
        <v>183</v>
      </c>
      <c r="I1141" s="209" t="s">
        <v>184</v>
      </c>
      <c r="J1141" s="209" t="s">
        <v>90</v>
      </c>
      <c r="K1141" s="210" t="s">
        <v>1962</v>
      </c>
      <c r="L1141" s="210"/>
      <c r="M1141" s="209" t="s">
        <v>58</v>
      </c>
      <c r="N1141" s="209">
        <v>0</v>
      </c>
      <c r="O1141" s="209" t="s">
        <v>36</v>
      </c>
      <c r="P1141" s="211" t="s">
        <v>2046</v>
      </c>
      <c r="Q1141" s="209"/>
      <c r="R1141" s="209">
        <v>4</v>
      </c>
      <c r="S1141" s="209"/>
      <c r="T1141" s="209" t="s">
        <v>646</v>
      </c>
      <c r="U1141" s="211" t="s">
        <v>2047</v>
      </c>
      <c r="V1141" s="209" t="s">
        <v>41</v>
      </c>
      <c r="W1141" s="209" t="s">
        <v>49</v>
      </c>
      <c r="X1141" s="13" t="str">
        <f>IF(RIGHT(H1141,2)&lt;&gt;"00",H1141,"")</f>
        <v/>
      </c>
      <c r="Y1141" s="26">
        <f ca="1">NETWORKDAYS(P1141,$Y$1)</f>
        <v>24</v>
      </c>
      <c r="Z1141" s="34">
        <v>1</v>
      </c>
      <c r="AA1141" s="25" t="str">
        <f t="shared" ca="1" si="88"/>
        <v>A VENCER</v>
      </c>
      <c r="AB1141" s="25" t="str">
        <f t="shared" si="91"/>
        <v>C-14</v>
      </c>
      <c r="AC1141" s="2" t="str">
        <f t="shared" si="90"/>
        <v xml:space="preserve"> RINALDO </v>
      </c>
      <c r="AD1141" s="26">
        <f t="shared" si="92"/>
        <v>5</v>
      </c>
      <c r="AE1141" s="26">
        <f t="shared" ca="1" si="89"/>
        <v>33.022672106482787</v>
      </c>
    </row>
    <row r="1142" spans="1:31" hidden="1">
      <c r="A1142" s="209">
        <v>9396835</v>
      </c>
      <c r="B1142" s="209" t="s">
        <v>1153</v>
      </c>
      <c r="C1142" s="210" t="s">
        <v>4139</v>
      </c>
      <c r="D1142" s="214">
        <v>20231069000005</v>
      </c>
      <c r="E1142" s="214">
        <v>7417210950276</v>
      </c>
      <c r="F1142" s="209" t="s">
        <v>1213</v>
      </c>
      <c r="G1142" s="209" t="s">
        <v>53</v>
      </c>
      <c r="H1142" s="209" t="s">
        <v>2049</v>
      </c>
      <c r="I1142" s="209" t="s">
        <v>2050</v>
      </c>
      <c r="J1142" s="209" t="s">
        <v>211</v>
      </c>
      <c r="K1142" s="210" t="s">
        <v>1214</v>
      </c>
      <c r="L1142" s="210"/>
      <c r="M1142" s="209" t="s">
        <v>58</v>
      </c>
      <c r="N1142" s="209">
        <v>0</v>
      </c>
      <c r="O1142" s="209" t="s">
        <v>36</v>
      </c>
      <c r="P1142" s="211" t="s">
        <v>2051</v>
      </c>
      <c r="Q1142" s="209"/>
      <c r="R1142" s="209">
        <v>14</v>
      </c>
      <c r="S1142" s="209"/>
      <c r="T1142" s="209" t="s">
        <v>238</v>
      </c>
      <c r="U1142" s="211" t="s">
        <v>2051</v>
      </c>
      <c r="V1142" s="209" t="s">
        <v>41</v>
      </c>
      <c r="W1142" s="209" t="s">
        <v>49</v>
      </c>
      <c r="X1142" s="13" t="str">
        <f>IF(RIGHT(H1142,2)&lt;&gt;"00",H1142,"")</f>
        <v>1069.91</v>
      </c>
      <c r="Y1142" s="26">
        <f ca="1">NETWORKDAYS(P1142,$Y$1)</f>
        <v>24</v>
      </c>
      <c r="Z1142" s="34">
        <v>1</v>
      </c>
      <c r="AA1142" s="25" t="str">
        <f t="shared" ca="1" si="88"/>
        <v>A VENCER</v>
      </c>
      <c r="AB1142" s="25" t="str">
        <f t="shared" si="91"/>
        <v>TAAe+</v>
      </c>
      <c r="AC1142" s="2" t="str">
        <f t="shared" si="90"/>
        <v xml:space="preserve"> RINALDO </v>
      </c>
      <c r="AD1142" s="26">
        <f t="shared" si="92"/>
        <v>8</v>
      </c>
      <c r="AE1142" s="26">
        <f t="shared" ca="1" si="89"/>
        <v>33.04433877315023</v>
      </c>
    </row>
    <row r="1143" spans="1:31" hidden="1">
      <c r="A1143" s="209">
        <v>9395597</v>
      </c>
      <c r="B1143" s="209" t="s">
        <v>62</v>
      </c>
      <c r="C1143" s="210" t="s">
        <v>2055</v>
      </c>
      <c r="D1143" s="214"/>
      <c r="E1143" s="214">
        <v>9406000206001</v>
      </c>
      <c r="F1143" s="209" t="s">
        <v>29</v>
      </c>
      <c r="G1143" s="209" t="s">
        <v>53</v>
      </c>
      <c r="H1143" s="209" t="s">
        <v>114</v>
      </c>
      <c r="I1143" s="209" t="s">
        <v>115</v>
      </c>
      <c r="J1143" s="209" t="s">
        <v>46</v>
      </c>
      <c r="K1143" s="210" t="s">
        <v>34</v>
      </c>
      <c r="L1143" s="210"/>
      <c r="M1143" s="209" t="s">
        <v>35</v>
      </c>
      <c r="N1143" s="209">
        <v>42318949</v>
      </c>
      <c r="O1143" s="209" t="s">
        <v>105</v>
      </c>
      <c r="P1143" s="211" t="s">
        <v>3038</v>
      </c>
      <c r="Q1143" s="209"/>
      <c r="R1143" s="209" t="s">
        <v>38</v>
      </c>
      <c r="S1143" s="209"/>
      <c r="T1143" s="209" t="s">
        <v>74</v>
      </c>
      <c r="U1143" s="211" t="s">
        <v>2057</v>
      </c>
      <c r="V1143" s="209" t="s">
        <v>41</v>
      </c>
      <c r="W1143" s="209" t="s">
        <v>49</v>
      </c>
      <c r="X1143" s="13" t="str">
        <f>IF(RIGHT(H1143,2)&lt;&gt;"00",H1143,"")</f>
        <v/>
      </c>
      <c r="Y1143" s="26">
        <f ca="1">NETWORKDAYS(P1143,$Y$1)</f>
        <v>24</v>
      </c>
      <c r="Z1143" s="34">
        <v>1</v>
      </c>
      <c r="AA1143" s="25" t="str">
        <f t="shared" ca="1" si="88"/>
        <v>A VENCER</v>
      </c>
      <c r="AB1143" s="25" t="str">
        <f t="shared" si="91"/>
        <v>Dosa</v>
      </c>
      <c r="AC1143" s="2" t="str">
        <f t="shared" si="90"/>
        <v xml:space="preserve"> CLEITON </v>
      </c>
      <c r="AD1143" s="26">
        <f t="shared" si="92"/>
        <v>5</v>
      </c>
      <c r="AE1143" s="26">
        <f t="shared" ca="1" si="89"/>
        <v>33.233563310182944</v>
      </c>
    </row>
    <row r="1144" spans="1:31" hidden="1">
      <c r="A1144" s="209">
        <v>9395595</v>
      </c>
      <c r="B1144" s="209" t="s">
        <v>62</v>
      </c>
      <c r="C1144" s="210" t="s">
        <v>2055</v>
      </c>
      <c r="D1144" s="214"/>
      <c r="E1144" s="214">
        <v>9406000206001</v>
      </c>
      <c r="F1144" s="209" t="s">
        <v>29</v>
      </c>
      <c r="G1144" s="209" t="s">
        <v>53</v>
      </c>
      <c r="H1144" s="209" t="s">
        <v>114</v>
      </c>
      <c r="I1144" s="209" t="s">
        <v>115</v>
      </c>
      <c r="J1144" s="209" t="s">
        <v>46</v>
      </c>
      <c r="K1144" s="210" t="s">
        <v>34</v>
      </c>
      <c r="L1144" s="210"/>
      <c r="M1144" s="209" t="s">
        <v>35</v>
      </c>
      <c r="N1144" s="209">
        <v>42318949</v>
      </c>
      <c r="O1144" s="209" t="s">
        <v>105</v>
      </c>
      <c r="P1144" s="211" t="s">
        <v>2056</v>
      </c>
      <c r="Q1144" s="209"/>
      <c r="R1144" s="209" t="s">
        <v>38</v>
      </c>
      <c r="S1144" s="209"/>
      <c r="T1144" s="209" t="s">
        <v>74</v>
      </c>
      <c r="U1144" s="211" t="s">
        <v>2057</v>
      </c>
      <c r="V1144" s="209" t="s">
        <v>41</v>
      </c>
      <c r="W1144" s="209" t="s">
        <v>49</v>
      </c>
      <c r="X1144" s="13" t="str">
        <f>IF(RIGHT(H1144,2)&lt;&gt;"00",H1144,"")</f>
        <v/>
      </c>
      <c r="Y1144" s="26">
        <f ca="1">NETWORKDAYS(P1144,$Y$1)</f>
        <v>24</v>
      </c>
      <c r="Z1144" s="34">
        <v>1</v>
      </c>
      <c r="AA1144" s="25" t="str">
        <f t="shared" ca="1" si="88"/>
        <v>A VENCER</v>
      </c>
      <c r="AB1144" s="25" t="str">
        <f t="shared" si="91"/>
        <v>Dosa</v>
      </c>
      <c r="AC1144" s="2" t="str">
        <f t="shared" si="90"/>
        <v xml:space="preserve"> CLEITON </v>
      </c>
      <c r="AD1144" s="26">
        <f t="shared" si="92"/>
        <v>5</v>
      </c>
      <c r="AE1144" s="26">
        <f t="shared" ca="1" si="89"/>
        <v>33.234026273144991</v>
      </c>
    </row>
    <row r="1145" spans="1:31" hidden="1">
      <c r="A1145" s="209">
        <v>9395577</v>
      </c>
      <c r="B1145" s="209" t="s">
        <v>1153</v>
      </c>
      <c r="C1145" s="210" t="s">
        <v>2019</v>
      </c>
      <c r="D1145" s="214">
        <v>20234844000256</v>
      </c>
      <c r="E1145" s="214">
        <v>7419151140206</v>
      </c>
      <c r="F1145" s="209" t="s">
        <v>2058</v>
      </c>
      <c r="G1145" s="209" t="s">
        <v>53</v>
      </c>
      <c r="H1145" s="209" t="s">
        <v>2059</v>
      </c>
      <c r="I1145" s="209" t="s">
        <v>2060</v>
      </c>
      <c r="J1145" s="209" t="s">
        <v>46</v>
      </c>
      <c r="K1145" s="210" t="s">
        <v>2061</v>
      </c>
      <c r="L1145" s="210"/>
      <c r="M1145" s="209" t="s">
        <v>58</v>
      </c>
      <c r="N1145" s="209">
        <v>0</v>
      </c>
      <c r="O1145" s="209" t="s">
        <v>36</v>
      </c>
      <c r="P1145" s="211" t="s">
        <v>2062</v>
      </c>
      <c r="Q1145" s="209"/>
      <c r="R1145" s="209">
        <v>13</v>
      </c>
      <c r="S1145" s="209"/>
      <c r="T1145" s="209" t="s">
        <v>238</v>
      </c>
      <c r="U1145" s="211" t="s">
        <v>2062</v>
      </c>
      <c r="V1145" s="209" t="s">
        <v>41</v>
      </c>
      <c r="W1145" s="209" t="s">
        <v>49</v>
      </c>
      <c r="X1145" s="13" t="str">
        <f>IF(RIGHT(H1145,2)&lt;&gt;"00",H1145,"")</f>
        <v>4844.35</v>
      </c>
      <c r="Y1145" s="26">
        <f ca="1">NETWORKDAYS(P1145,$Y$1)</f>
        <v>24</v>
      </c>
      <c r="Z1145" s="34">
        <v>1</v>
      </c>
      <c r="AA1145" s="25" t="str">
        <f t="shared" ca="1" si="88"/>
        <v>A VENCER</v>
      </c>
      <c r="AB1145" s="25" t="str">
        <f t="shared" si="91"/>
        <v>TAAe+</v>
      </c>
      <c r="AC1145" s="2" t="str">
        <f t="shared" si="90"/>
        <v xml:space="preserve"> CLEITON </v>
      </c>
      <c r="AD1145" s="26">
        <f t="shared" si="92"/>
        <v>8</v>
      </c>
      <c r="AE1145" s="26">
        <f t="shared" ca="1" si="89"/>
        <v>33.245380439817382</v>
      </c>
    </row>
    <row r="1146" spans="1:31" hidden="1">
      <c r="A1146" s="209">
        <v>9395035</v>
      </c>
      <c r="B1146" s="209" t="s">
        <v>81</v>
      </c>
      <c r="C1146" s="210" t="s">
        <v>2063</v>
      </c>
      <c r="D1146" s="214"/>
      <c r="E1146" s="214">
        <v>7417163050344</v>
      </c>
      <c r="F1146" s="209" t="s">
        <v>1741</v>
      </c>
      <c r="G1146" s="209" t="s">
        <v>53</v>
      </c>
      <c r="H1146" s="209" t="s">
        <v>2064</v>
      </c>
      <c r="I1146" s="209" t="s">
        <v>2065</v>
      </c>
      <c r="J1146" s="209" t="s">
        <v>46</v>
      </c>
      <c r="K1146" s="210" t="s">
        <v>1744</v>
      </c>
      <c r="L1146" s="210"/>
      <c r="M1146" s="209" t="s">
        <v>58</v>
      </c>
      <c r="N1146" s="209">
        <v>0</v>
      </c>
      <c r="O1146" s="209" t="s">
        <v>105</v>
      </c>
      <c r="P1146" s="211" t="s">
        <v>2066</v>
      </c>
      <c r="Q1146" s="209"/>
      <c r="R1146" s="209">
        <v>14</v>
      </c>
      <c r="S1146" s="209"/>
      <c r="T1146" s="209" t="s">
        <v>238</v>
      </c>
      <c r="U1146" s="211" t="s">
        <v>2067</v>
      </c>
      <c r="V1146" s="209" t="s">
        <v>41</v>
      </c>
      <c r="W1146" s="209" t="s">
        <v>49</v>
      </c>
      <c r="X1146" s="13" t="str">
        <f>IF(RIGHT(H1146,2)&lt;&gt;"00",H1146,"")</f>
        <v>2473.91</v>
      </c>
      <c r="Y1146" s="26">
        <f ca="1">NETWORKDAYS(P1146,$Y$1)</f>
        <v>24</v>
      </c>
      <c r="Z1146" s="34">
        <v>1</v>
      </c>
      <c r="AA1146" s="25" t="str">
        <f t="shared" ca="1" si="88"/>
        <v>A VENCER</v>
      </c>
      <c r="AB1146" s="25" t="str">
        <f t="shared" si="91"/>
        <v>TAAe+</v>
      </c>
      <c r="AC1146" s="2" t="str">
        <f t="shared" si="90"/>
        <v xml:space="preserve"> CLEITON </v>
      </c>
      <c r="AD1146" s="26">
        <f t="shared" si="92"/>
        <v>8</v>
      </c>
      <c r="AE1146" s="26">
        <f t="shared" ca="1" si="89"/>
        <v>33.311931365744385</v>
      </c>
    </row>
    <row r="1147" spans="1:31" hidden="1">
      <c r="A1147" s="209">
        <v>9412308</v>
      </c>
      <c r="B1147" s="209" t="s">
        <v>1153</v>
      </c>
      <c r="C1147" s="210" t="s">
        <v>2095</v>
      </c>
      <c r="D1147" s="214">
        <v>230015317</v>
      </c>
      <c r="E1147" s="214">
        <v>2365001400030</v>
      </c>
      <c r="F1147" s="209" t="s">
        <v>647</v>
      </c>
      <c r="G1147" s="209" t="s">
        <v>53</v>
      </c>
      <c r="H1147" s="209" t="s">
        <v>159</v>
      </c>
      <c r="I1147" s="209" t="s">
        <v>160</v>
      </c>
      <c r="J1147" s="209" t="s">
        <v>46</v>
      </c>
      <c r="K1147" s="210" t="s">
        <v>650</v>
      </c>
      <c r="L1147" s="210"/>
      <c r="M1147" s="209" t="s">
        <v>58</v>
      </c>
      <c r="N1147" s="209">
        <v>0</v>
      </c>
      <c r="O1147" s="209" t="s">
        <v>36</v>
      </c>
      <c r="P1147" s="211" t="s">
        <v>3046</v>
      </c>
      <c r="Q1147" s="209"/>
      <c r="R1147" s="209">
        <v>4</v>
      </c>
      <c r="S1147" s="209"/>
      <c r="T1147" s="209" t="s">
        <v>646</v>
      </c>
      <c r="U1147" s="211" t="s">
        <v>3047</v>
      </c>
      <c r="V1147" s="209" t="s">
        <v>41</v>
      </c>
      <c r="W1147" s="209" t="s">
        <v>49</v>
      </c>
      <c r="X1147" s="13" t="str">
        <f>IF(RIGHT(H1147,2)&lt;&gt;"00",H1147,"")</f>
        <v/>
      </c>
      <c r="Y1147" s="26">
        <f ca="1">NETWORKDAYS(P1147,$Y$1)</f>
        <v>22</v>
      </c>
      <c r="Z1147" s="34">
        <v>1</v>
      </c>
      <c r="AA1147" s="25" t="str">
        <f t="shared" ca="1" si="88"/>
        <v>A VENCER</v>
      </c>
      <c r="AB1147" s="25" t="str">
        <f t="shared" si="91"/>
        <v>C-14</v>
      </c>
      <c r="AC1147" s="2" t="str">
        <f t="shared" si="90"/>
        <v xml:space="preserve"> CLEITON </v>
      </c>
      <c r="AD1147" s="26">
        <f t="shared" si="92"/>
        <v>15</v>
      </c>
      <c r="AE1147" s="26">
        <f t="shared" ca="1" si="89"/>
        <v>29.237093402778555</v>
      </c>
    </row>
    <row r="1148" spans="1:31" hidden="1">
      <c r="A1148" s="209">
        <v>9423924</v>
      </c>
      <c r="B1148" s="209" t="s">
        <v>101</v>
      </c>
      <c r="C1148" s="210" t="s">
        <v>643</v>
      </c>
      <c r="D1148" s="214">
        <v>230021340</v>
      </c>
      <c r="E1148" s="214">
        <v>1764001400040</v>
      </c>
      <c r="F1148" s="209" t="s">
        <v>644</v>
      </c>
      <c r="G1148" s="209" t="s">
        <v>53</v>
      </c>
      <c r="H1148" s="209" t="s">
        <v>722</v>
      </c>
      <c r="I1148" s="209" t="s">
        <v>723</v>
      </c>
      <c r="J1148" s="209" t="s">
        <v>90</v>
      </c>
      <c r="K1148" s="210" t="s">
        <v>645</v>
      </c>
      <c r="L1148" s="210"/>
      <c r="M1148" s="209" t="s">
        <v>58</v>
      </c>
      <c r="N1148" s="209">
        <v>0</v>
      </c>
      <c r="O1148" s="209" t="s">
        <v>105</v>
      </c>
      <c r="P1148" s="211" t="s">
        <v>2098</v>
      </c>
      <c r="Q1148" s="209"/>
      <c r="R1148" s="209">
        <v>2</v>
      </c>
      <c r="S1148" s="209"/>
      <c r="T1148" s="209" t="s">
        <v>646</v>
      </c>
      <c r="U1148" s="211" t="s">
        <v>2099</v>
      </c>
      <c r="V1148" s="209" t="s">
        <v>41</v>
      </c>
      <c r="W1148" s="209" t="s">
        <v>49</v>
      </c>
      <c r="X1148" s="13" t="str">
        <f>IF(RIGHT(H1148,2)&lt;&gt;"00",H1148,"")</f>
        <v/>
      </c>
      <c r="Y1148" s="26">
        <f ca="1">NETWORKDAYS(P1148,$Y$1)</f>
        <v>21</v>
      </c>
      <c r="Z1148" s="34">
        <v>1</v>
      </c>
      <c r="AA1148" s="25" t="str">
        <f t="shared" ca="1" si="88"/>
        <v>A VENCER</v>
      </c>
      <c r="AB1148" s="25" t="str">
        <f t="shared" si="91"/>
        <v>SL-On</v>
      </c>
      <c r="AC1148" s="2" t="str">
        <f t="shared" si="90"/>
        <v xml:space="preserve"> RINALDO </v>
      </c>
      <c r="AD1148" s="26">
        <f t="shared" si="92"/>
        <v>1</v>
      </c>
      <c r="AE1148" s="26">
        <f t="shared" ca="1" si="89"/>
        <v>27.93685034722148</v>
      </c>
    </row>
    <row r="1149" spans="1:31" hidden="1">
      <c r="A1149" s="209">
        <v>9423767</v>
      </c>
      <c r="B1149" s="209" t="s">
        <v>101</v>
      </c>
      <c r="C1149" s="210" t="s">
        <v>643</v>
      </c>
      <c r="D1149" s="214">
        <v>230020919</v>
      </c>
      <c r="E1149" s="214">
        <v>711001400040</v>
      </c>
      <c r="F1149" s="209" t="s">
        <v>644</v>
      </c>
      <c r="G1149" s="209" t="s">
        <v>53</v>
      </c>
      <c r="H1149" s="209" t="s">
        <v>77</v>
      </c>
      <c r="I1149" s="209" t="s">
        <v>78</v>
      </c>
      <c r="J1149" s="209" t="s">
        <v>79</v>
      </c>
      <c r="K1149" s="210" t="s">
        <v>645</v>
      </c>
      <c r="L1149" s="210"/>
      <c r="M1149" s="209" t="s">
        <v>58</v>
      </c>
      <c r="N1149" s="209">
        <v>0</v>
      </c>
      <c r="O1149" s="209" t="s">
        <v>105</v>
      </c>
      <c r="P1149" s="211" t="s">
        <v>2101</v>
      </c>
      <c r="Q1149" s="209"/>
      <c r="R1149" s="209">
        <v>2</v>
      </c>
      <c r="S1149" s="209"/>
      <c r="T1149" s="209" t="s">
        <v>646</v>
      </c>
      <c r="U1149" s="211" t="s">
        <v>2102</v>
      </c>
      <c r="V1149" s="209" t="s">
        <v>41</v>
      </c>
      <c r="W1149" s="209" t="s">
        <v>49</v>
      </c>
      <c r="X1149" s="13" t="str">
        <f>IF(RIGHT(H1149,2)&lt;&gt;"00",H1149,"")</f>
        <v/>
      </c>
      <c r="Y1149" s="26">
        <f ca="1">NETWORKDAYS(P1149,$Y$1)</f>
        <v>21</v>
      </c>
      <c r="Z1149" s="34">
        <v>1</v>
      </c>
      <c r="AA1149" s="25" t="str">
        <f t="shared" ca="1" si="88"/>
        <v>A VENCER</v>
      </c>
      <c r="AB1149" s="25" t="str">
        <f t="shared" si="91"/>
        <v>SL-On</v>
      </c>
      <c r="AC1149" s="2" t="str">
        <f t="shared" si="90"/>
        <v xml:space="preserve"> ROSEMERE </v>
      </c>
      <c r="AD1149" s="26">
        <f t="shared" si="92"/>
        <v>1</v>
      </c>
      <c r="AE1149" s="26">
        <f t="shared" ca="1" si="89"/>
        <v>27.947706828701484</v>
      </c>
    </row>
    <row r="1150" spans="1:31" hidden="1">
      <c r="A1150" s="209">
        <v>9423601</v>
      </c>
      <c r="B1150" s="209" t="s">
        <v>101</v>
      </c>
      <c r="C1150" s="210" t="s">
        <v>643</v>
      </c>
      <c r="D1150" s="214">
        <v>230020893</v>
      </c>
      <c r="E1150" s="214">
        <v>605001400040</v>
      </c>
      <c r="F1150" s="209" t="s">
        <v>644</v>
      </c>
      <c r="G1150" s="209" t="s">
        <v>53</v>
      </c>
      <c r="H1150" s="209" t="s">
        <v>420</v>
      </c>
      <c r="I1150" s="209" t="s">
        <v>421</v>
      </c>
      <c r="J1150" s="209" t="s">
        <v>90</v>
      </c>
      <c r="K1150" s="210" t="s">
        <v>645</v>
      </c>
      <c r="L1150" s="210"/>
      <c r="M1150" s="209" t="s">
        <v>58</v>
      </c>
      <c r="N1150" s="209">
        <v>0</v>
      </c>
      <c r="O1150" s="209" t="s">
        <v>105</v>
      </c>
      <c r="P1150" s="211" t="s">
        <v>2103</v>
      </c>
      <c r="Q1150" s="209"/>
      <c r="R1150" s="209">
        <v>3</v>
      </c>
      <c r="S1150" s="209"/>
      <c r="T1150" s="209" t="s">
        <v>646</v>
      </c>
      <c r="U1150" s="211" t="s">
        <v>2104</v>
      </c>
      <c r="V1150" s="209" t="s">
        <v>41</v>
      </c>
      <c r="W1150" s="209" t="s">
        <v>49</v>
      </c>
      <c r="X1150" s="13" t="str">
        <f>IF(RIGHT(H1150,2)&lt;&gt;"00",H1150,"")</f>
        <v/>
      </c>
      <c r="Y1150" s="26">
        <f ca="1">NETWORKDAYS(P1150,$Y$1)</f>
        <v>21</v>
      </c>
      <c r="Z1150" s="34">
        <v>1</v>
      </c>
      <c r="AA1150" s="25" t="str">
        <f t="shared" ca="1" si="88"/>
        <v>A VENCER</v>
      </c>
      <c r="AB1150" s="25" t="str">
        <f t="shared" si="91"/>
        <v>SL-On</v>
      </c>
      <c r="AC1150" s="2" t="str">
        <f t="shared" si="90"/>
        <v xml:space="preserve"> RINALDO </v>
      </c>
      <c r="AD1150" s="26">
        <f t="shared" si="92"/>
        <v>1</v>
      </c>
      <c r="AE1150" s="26">
        <f t="shared" ca="1" si="89"/>
        <v>27.954014699076652</v>
      </c>
    </row>
    <row r="1151" spans="1:31" hidden="1">
      <c r="A1151" s="209">
        <v>9423596</v>
      </c>
      <c r="B1151" s="209" t="s">
        <v>101</v>
      </c>
      <c r="C1151" s="210" t="s">
        <v>643</v>
      </c>
      <c r="D1151" s="214">
        <v>230020890</v>
      </c>
      <c r="E1151" s="214">
        <v>600001400040</v>
      </c>
      <c r="F1151" s="209" t="s">
        <v>644</v>
      </c>
      <c r="G1151" s="209" t="s">
        <v>53</v>
      </c>
      <c r="H1151" s="209" t="s">
        <v>1084</v>
      </c>
      <c r="I1151" s="209" t="s">
        <v>1085</v>
      </c>
      <c r="J1151" s="209" t="s">
        <v>90</v>
      </c>
      <c r="K1151" s="210" t="s">
        <v>645</v>
      </c>
      <c r="L1151" s="210"/>
      <c r="M1151" s="209" t="s">
        <v>58</v>
      </c>
      <c r="N1151" s="209">
        <v>0</v>
      </c>
      <c r="O1151" s="209" t="s">
        <v>105</v>
      </c>
      <c r="P1151" s="211" t="s">
        <v>2105</v>
      </c>
      <c r="Q1151" s="209"/>
      <c r="R1151" s="209">
        <v>2</v>
      </c>
      <c r="S1151" s="209"/>
      <c r="T1151" s="209" t="s">
        <v>646</v>
      </c>
      <c r="U1151" s="211" t="s">
        <v>3049</v>
      </c>
      <c r="V1151" s="209" t="s">
        <v>41</v>
      </c>
      <c r="W1151" s="209" t="s">
        <v>49</v>
      </c>
      <c r="X1151" s="13" t="str">
        <f>IF(RIGHT(H1151,2)&lt;&gt;"00",H1151,"")</f>
        <v/>
      </c>
      <c r="Y1151" s="26">
        <f ca="1">NETWORKDAYS(P1151,$Y$1)</f>
        <v>21</v>
      </c>
      <c r="Z1151" s="34">
        <v>1</v>
      </c>
      <c r="AA1151" s="25" t="str">
        <f t="shared" ca="1" si="88"/>
        <v>A VENCER</v>
      </c>
      <c r="AB1151" s="25" t="str">
        <f t="shared" si="91"/>
        <v>SL-On</v>
      </c>
      <c r="AC1151" s="2" t="str">
        <f t="shared" si="90"/>
        <v xml:space="preserve"> RINALDO </v>
      </c>
      <c r="AD1151" s="26">
        <f t="shared" si="92"/>
        <v>1</v>
      </c>
      <c r="AE1151" s="26">
        <f t="shared" ca="1" si="89"/>
        <v>27.954176736107911</v>
      </c>
    </row>
    <row r="1152" spans="1:31" hidden="1">
      <c r="A1152" s="209">
        <v>9423511</v>
      </c>
      <c r="B1152" s="209" t="s">
        <v>1153</v>
      </c>
      <c r="C1152" s="210" t="s">
        <v>2110</v>
      </c>
      <c r="D1152" s="214">
        <v>230022801</v>
      </c>
      <c r="E1152" s="214">
        <v>3250001400030</v>
      </c>
      <c r="F1152" s="209" t="s">
        <v>647</v>
      </c>
      <c r="G1152" s="209" t="s">
        <v>53</v>
      </c>
      <c r="H1152" s="209" t="s">
        <v>371</v>
      </c>
      <c r="I1152" s="209" t="s">
        <v>372</v>
      </c>
      <c r="J1152" s="209" t="s">
        <v>46</v>
      </c>
      <c r="K1152" s="210" t="s">
        <v>650</v>
      </c>
      <c r="L1152" s="210"/>
      <c r="M1152" s="209" t="s">
        <v>58</v>
      </c>
      <c r="N1152" s="209">
        <v>0</v>
      </c>
      <c r="O1152" s="209" t="s">
        <v>36</v>
      </c>
      <c r="P1152" s="211" t="s">
        <v>2111</v>
      </c>
      <c r="Q1152" s="209"/>
      <c r="R1152" s="209">
        <v>4</v>
      </c>
      <c r="S1152" s="209"/>
      <c r="T1152" s="209" t="s">
        <v>646</v>
      </c>
      <c r="U1152" s="211" t="s">
        <v>2112</v>
      </c>
      <c r="V1152" s="209" t="s">
        <v>41</v>
      </c>
      <c r="W1152" s="209" t="s">
        <v>49</v>
      </c>
      <c r="X1152" s="13" t="str">
        <f>IF(RIGHT(H1152,2)&lt;&gt;"00",H1152,"")</f>
        <v/>
      </c>
      <c r="Y1152" s="26">
        <f ca="1">NETWORKDAYS(P1152,$Y$1)</f>
        <v>21</v>
      </c>
      <c r="Z1152" s="34">
        <v>1</v>
      </c>
      <c r="AA1152" s="25" t="str">
        <f t="shared" ca="1" si="88"/>
        <v>A VENCER</v>
      </c>
      <c r="AB1152" s="25" t="str">
        <f t="shared" si="91"/>
        <v>C-14</v>
      </c>
      <c r="AC1152" s="2" t="str">
        <f t="shared" si="90"/>
        <v xml:space="preserve"> CLEITON </v>
      </c>
      <c r="AD1152" s="26">
        <f t="shared" si="92"/>
        <v>15</v>
      </c>
      <c r="AE1152" s="26">
        <f t="shared" ca="1" si="89"/>
        <v>27.957695254626742</v>
      </c>
    </row>
    <row r="1153" spans="1:31" hidden="1">
      <c r="A1153" s="209">
        <v>9423443</v>
      </c>
      <c r="B1153" s="209" t="s">
        <v>101</v>
      </c>
      <c r="C1153" s="210" t="s">
        <v>643</v>
      </c>
      <c r="D1153" s="214">
        <v>230021326</v>
      </c>
      <c r="E1153" s="214">
        <v>1739001400040</v>
      </c>
      <c r="F1153" s="209" t="s">
        <v>644</v>
      </c>
      <c r="G1153" s="209" t="s">
        <v>53</v>
      </c>
      <c r="H1153" s="209" t="s">
        <v>162</v>
      </c>
      <c r="I1153" s="209" t="s">
        <v>163</v>
      </c>
      <c r="J1153" s="209" t="s">
        <v>164</v>
      </c>
      <c r="K1153" s="210" t="s">
        <v>645</v>
      </c>
      <c r="L1153" s="210"/>
      <c r="M1153" s="209" t="s">
        <v>58</v>
      </c>
      <c r="N1153" s="209">
        <v>0</v>
      </c>
      <c r="O1153" s="209" t="s">
        <v>105</v>
      </c>
      <c r="P1153" s="211" t="s">
        <v>2113</v>
      </c>
      <c r="Q1153" s="209"/>
      <c r="R1153" s="209">
        <v>3</v>
      </c>
      <c r="S1153" s="209"/>
      <c r="T1153" s="209" t="s">
        <v>646</v>
      </c>
      <c r="U1153" s="211" t="s">
        <v>2114</v>
      </c>
      <c r="V1153" s="209" t="s">
        <v>41</v>
      </c>
      <c r="W1153" s="209" t="s">
        <v>49</v>
      </c>
      <c r="X1153" s="13" t="str">
        <f>IF(RIGHT(H1153,2)&lt;&gt;"00",H1153,"")</f>
        <v/>
      </c>
      <c r="Y1153" s="26">
        <f ca="1">NETWORKDAYS(P1153,$Y$1)</f>
        <v>21</v>
      </c>
      <c r="Z1153" s="34">
        <v>1</v>
      </c>
      <c r="AA1153" s="25" t="str">
        <f t="shared" ca="1" si="88"/>
        <v>A VENCER</v>
      </c>
      <c r="AB1153" s="25" t="str">
        <f t="shared" si="91"/>
        <v>SL-On</v>
      </c>
      <c r="AC1153" s="2" t="str">
        <f t="shared" si="90"/>
        <v xml:space="preserve"> ROSEMERE </v>
      </c>
      <c r="AD1153" s="26">
        <f t="shared" si="92"/>
        <v>1</v>
      </c>
      <c r="AE1153" s="26">
        <f t="shared" ca="1" si="89"/>
        <v>27.96159571759199</v>
      </c>
    </row>
    <row r="1154" spans="1:31" hidden="1">
      <c r="A1154" s="209">
        <v>9423416</v>
      </c>
      <c r="B1154" s="209" t="s">
        <v>101</v>
      </c>
      <c r="C1154" s="210" t="s">
        <v>643</v>
      </c>
      <c r="D1154" s="214">
        <v>230021315</v>
      </c>
      <c r="E1154" s="214">
        <v>1710001400040</v>
      </c>
      <c r="F1154" s="209" t="s">
        <v>644</v>
      </c>
      <c r="G1154" s="209" t="s">
        <v>53</v>
      </c>
      <c r="H1154" s="209" t="s">
        <v>327</v>
      </c>
      <c r="I1154" s="209" t="s">
        <v>328</v>
      </c>
      <c r="J1154" s="209" t="s">
        <v>261</v>
      </c>
      <c r="K1154" s="210" t="s">
        <v>645</v>
      </c>
      <c r="L1154" s="210"/>
      <c r="M1154" s="209" t="s">
        <v>58</v>
      </c>
      <c r="N1154" s="209">
        <v>0</v>
      </c>
      <c r="O1154" s="209" t="s">
        <v>105</v>
      </c>
      <c r="P1154" s="211" t="s">
        <v>2115</v>
      </c>
      <c r="Q1154" s="209"/>
      <c r="R1154" s="209">
        <v>2</v>
      </c>
      <c r="S1154" s="209"/>
      <c r="T1154" s="209" t="s">
        <v>646</v>
      </c>
      <c r="U1154" s="211" t="s">
        <v>2116</v>
      </c>
      <c r="V1154" s="209" t="s">
        <v>41</v>
      </c>
      <c r="W1154" s="209" t="s">
        <v>49</v>
      </c>
      <c r="X1154" s="13" t="str">
        <f>IF(RIGHT(H1154,2)&lt;&gt;"00",H1154,"")</f>
        <v/>
      </c>
      <c r="Y1154" s="26">
        <f ca="1">NETWORKDAYS(P1154,$Y$1)</f>
        <v>21</v>
      </c>
      <c r="Z1154" s="34">
        <v>1</v>
      </c>
      <c r="AA1154" s="25" t="str">
        <f t="shared" ref="AA1154:AA1217" ca="1" si="93">IF(AE1154=0,"HOJE",IF(AE1154&gt;0,"A VENCER",IF(AE1154&lt;0,"VENCIDO")))</f>
        <v>A VENCER</v>
      </c>
      <c r="AB1154" s="25" t="str">
        <f t="shared" si="91"/>
        <v>SL-On</v>
      </c>
      <c r="AC1154" s="2" t="str">
        <f t="shared" si="90"/>
        <v xml:space="preserve"> CRISTINA </v>
      </c>
      <c r="AD1154" s="26">
        <f t="shared" si="92"/>
        <v>1</v>
      </c>
      <c r="AE1154" s="26">
        <f t="shared" ref="AE1154:AE1217" ca="1" si="94">IF(P1154=$AE$1,"",$AE$1-P1154)</f>
        <v>27.962949884262343</v>
      </c>
    </row>
    <row r="1155" spans="1:31" hidden="1">
      <c r="A1155" s="209">
        <v>9423359</v>
      </c>
      <c r="B1155" s="209" t="s">
        <v>101</v>
      </c>
      <c r="C1155" s="210" t="s">
        <v>643</v>
      </c>
      <c r="D1155" s="214">
        <v>230021290</v>
      </c>
      <c r="E1155" s="214">
        <v>1650001400040</v>
      </c>
      <c r="F1155" s="209" t="s">
        <v>644</v>
      </c>
      <c r="G1155" s="209" t="s">
        <v>53</v>
      </c>
      <c r="H1155" s="209" t="s">
        <v>620</v>
      </c>
      <c r="I1155" s="209" t="s">
        <v>621</v>
      </c>
      <c r="J1155" s="209" t="s">
        <v>141</v>
      </c>
      <c r="K1155" s="210" t="s">
        <v>645</v>
      </c>
      <c r="L1155" s="210"/>
      <c r="M1155" s="209" t="s">
        <v>58</v>
      </c>
      <c r="N1155" s="209">
        <v>0</v>
      </c>
      <c r="O1155" s="209" t="s">
        <v>105</v>
      </c>
      <c r="P1155" s="211" t="s">
        <v>2120</v>
      </c>
      <c r="Q1155" s="209"/>
      <c r="R1155" s="209">
        <v>2</v>
      </c>
      <c r="S1155" s="209"/>
      <c r="T1155" s="209" t="s">
        <v>646</v>
      </c>
      <c r="U1155" s="211" t="s">
        <v>2121</v>
      </c>
      <c r="V1155" s="209" t="s">
        <v>41</v>
      </c>
      <c r="W1155" s="209" t="s">
        <v>49</v>
      </c>
      <c r="X1155" s="13" t="str">
        <f>IF(RIGHT(H1155,2)&lt;&gt;"00",H1155,"")</f>
        <v/>
      </c>
      <c r="Y1155" s="26">
        <f ca="1">NETWORKDAYS(P1155,$Y$1)</f>
        <v>21</v>
      </c>
      <c r="Z1155" s="34">
        <v>1</v>
      </c>
      <c r="AA1155" s="25" t="str">
        <f t="shared" ca="1" si="93"/>
        <v>A VENCER</v>
      </c>
      <c r="AB1155" s="25" t="str">
        <f t="shared" si="91"/>
        <v>SL-On</v>
      </c>
      <c r="AC1155" s="2" t="str">
        <f t="shared" ref="AC1155:AC1218" si="95">IF(J1155="TR-PETROLINA"," ROSEMERE ",IF(J1155="TR-GARANHUNS"," ROSEMERE ",IF(J1155="TR-CARUARU"," ROSEMERE ",IF(J1155="TR-RIBEIRAO"," CRISTINA ",IF(J1155="TR-GRAVATA"," CRISTINA ",IF(J1155="TR-GOIANA"," CRISTINA ",IF(J1155="TR-LIMOEIRO"," CRISTINA ",IF(J1155="TR-SERRA TALHADA"," RINALDO ",IF(J1155="TR-SALGUEIRO"," RINALDO ",IF(J1155="TR-CARNAIBA"," RINALDO ",IF(J1155="TR-ARCOVERDE"," RINALDO ",IF(J1155="CAT-RECIFE"," CLEITON ",))))))))))))</f>
        <v xml:space="preserve"> CRISTINA </v>
      </c>
      <c r="AD1155" s="26">
        <f t="shared" si="92"/>
        <v>1</v>
      </c>
      <c r="AE1155" s="26">
        <f t="shared" ca="1" si="94"/>
        <v>27.96620219907345</v>
      </c>
    </row>
    <row r="1156" spans="1:31" hidden="1">
      <c r="A1156" s="209">
        <v>9422866</v>
      </c>
      <c r="B1156" s="209" t="s">
        <v>101</v>
      </c>
      <c r="C1156" s="210" t="s">
        <v>643</v>
      </c>
      <c r="D1156" s="214">
        <v>230019683</v>
      </c>
      <c r="E1156" s="214">
        <v>2069001400030</v>
      </c>
      <c r="F1156" s="209" t="s">
        <v>647</v>
      </c>
      <c r="G1156" s="209" t="s">
        <v>53</v>
      </c>
      <c r="H1156" s="209" t="s">
        <v>557</v>
      </c>
      <c r="I1156" s="209" t="s">
        <v>558</v>
      </c>
      <c r="J1156" s="209" t="s">
        <v>90</v>
      </c>
      <c r="K1156" s="210" t="s">
        <v>650</v>
      </c>
      <c r="L1156" s="210"/>
      <c r="M1156" s="209" t="s">
        <v>58</v>
      </c>
      <c r="N1156" s="209">
        <v>0</v>
      </c>
      <c r="O1156" s="209" t="s">
        <v>105</v>
      </c>
      <c r="P1156" s="211" t="s">
        <v>2128</v>
      </c>
      <c r="Q1156" s="209"/>
      <c r="R1156" s="209">
        <v>4</v>
      </c>
      <c r="S1156" s="209"/>
      <c r="T1156" s="209" t="s">
        <v>646</v>
      </c>
      <c r="U1156" s="211" t="s">
        <v>2129</v>
      </c>
      <c r="V1156" s="209" t="s">
        <v>41</v>
      </c>
      <c r="W1156" s="209" t="s">
        <v>49</v>
      </c>
      <c r="X1156" s="13" t="str">
        <f>IF(RIGHT(H1156,2)&lt;&gt;"00",H1156,"")</f>
        <v/>
      </c>
      <c r="Y1156" s="26">
        <f ca="1">NETWORKDAYS(P1156,$Y$1)</f>
        <v>21</v>
      </c>
      <c r="Z1156" s="34">
        <v>1</v>
      </c>
      <c r="AA1156" s="25" t="str">
        <f t="shared" ca="1" si="93"/>
        <v>A VENCER</v>
      </c>
      <c r="AB1156" s="25" t="str">
        <f t="shared" si="91"/>
        <v>C-14</v>
      </c>
      <c r="AC1156" s="2" t="str">
        <f t="shared" si="95"/>
        <v xml:space="preserve"> RINALDO </v>
      </c>
      <c r="AD1156" s="26">
        <f t="shared" si="92"/>
        <v>15</v>
      </c>
      <c r="AE1156" s="26">
        <f t="shared" ca="1" si="94"/>
        <v>27.993632754631108</v>
      </c>
    </row>
    <row r="1157" spans="1:31" hidden="1">
      <c r="A1157" s="209">
        <v>9422511</v>
      </c>
      <c r="B1157" s="209" t="s">
        <v>101</v>
      </c>
      <c r="C1157" s="210" t="s">
        <v>643</v>
      </c>
      <c r="D1157" s="214">
        <v>230019646</v>
      </c>
      <c r="E1157" s="214">
        <v>1838001400030</v>
      </c>
      <c r="F1157" s="209" t="s">
        <v>647</v>
      </c>
      <c r="G1157" s="209" t="s">
        <v>53</v>
      </c>
      <c r="H1157" s="209" t="s">
        <v>357</v>
      </c>
      <c r="I1157" s="209" t="s">
        <v>358</v>
      </c>
      <c r="J1157" s="209" t="s">
        <v>46</v>
      </c>
      <c r="K1157" s="210" t="s">
        <v>650</v>
      </c>
      <c r="L1157" s="210"/>
      <c r="M1157" s="209" t="s">
        <v>58</v>
      </c>
      <c r="N1157" s="209">
        <v>0</v>
      </c>
      <c r="O1157" s="209" t="s">
        <v>105</v>
      </c>
      <c r="P1157" s="211" t="s">
        <v>2134</v>
      </c>
      <c r="Q1157" s="209"/>
      <c r="R1157" s="209">
        <v>4</v>
      </c>
      <c r="S1157" s="209"/>
      <c r="T1157" s="209" t="s">
        <v>646</v>
      </c>
      <c r="U1157" s="211" t="s">
        <v>2135</v>
      </c>
      <c r="V1157" s="209" t="s">
        <v>41</v>
      </c>
      <c r="W1157" s="209" t="s">
        <v>49</v>
      </c>
      <c r="X1157" s="13" t="str">
        <f>IF(RIGHT(H1157,2)&lt;&gt;"00",H1157,"")</f>
        <v/>
      </c>
      <c r="Y1157" s="26">
        <f ca="1">NETWORKDAYS(P1157,$Y$1)</f>
        <v>21</v>
      </c>
      <c r="Z1157" s="34">
        <v>1</v>
      </c>
      <c r="AA1157" s="25" t="str">
        <f t="shared" ca="1" si="93"/>
        <v>A VENCER</v>
      </c>
      <c r="AB1157" s="25" t="str">
        <f t="shared" si="91"/>
        <v>C-14</v>
      </c>
      <c r="AC1157" s="2" t="str">
        <f t="shared" si="95"/>
        <v xml:space="preserve"> CLEITON </v>
      </c>
      <c r="AD1157" s="26">
        <f t="shared" si="92"/>
        <v>15</v>
      </c>
      <c r="AE1157" s="26">
        <f t="shared" ca="1" si="94"/>
        <v>28.040773958331556</v>
      </c>
    </row>
    <row r="1158" spans="1:31" hidden="1">
      <c r="A1158" s="209">
        <v>9422510</v>
      </c>
      <c r="B1158" s="209" t="s">
        <v>101</v>
      </c>
      <c r="C1158" s="210" t="s">
        <v>643</v>
      </c>
      <c r="D1158" s="214">
        <v>230019645</v>
      </c>
      <c r="E1158" s="214">
        <v>1837001400030</v>
      </c>
      <c r="F1158" s="209" t="s">
        <v>647</v>
      </c>
      <c r="G1158" s="209" t="s">
        <v>53</v>
      </c>
      <c r="H1158" s="209" t="s">
        <v>1785</v>
      </c>
      <c r="I1158" s="209" t="s">
        <v>1786</v>
      </c>
      <c r="J1158" s="209" t="s">
        <v>46</v>
      </c>
      <c r="K1158" s="210" t="s">
        <v>650</v>
      </c>
      <c r="L1158" s="210"/>
      <c r="M1158" s="209" t="s">
        <v>58</v>
      </c>
      <c r="N1158" s="209">
        <v>0</v>
      </c>
      <c r="O1158" s="209" t="s">
        <v>105</v>
      </c>
      <c r="P1158" s="211" t="s">
        <v>2136</v>
      </c>
      <c r="Q1158" s="209"/>
      <c r="R1158" s="209">
        <v>4</v>
      </c>
      <c r="S1158" s="209"/>
      <c r="T1158" s="209" t="s">
        <v>646</v>
      </c>
      <c r="U1158" s="211" t="s">
        <v>2137</v>
      </c>
      <c r="V1158" s="209" t="s">
        <v>41</v>
      </c>
      <c r="W1158" s="209" t="s">
        <v>49</v>
      </c>
      <c r="X1158" s="13" t="str">
        <f>IF(RIGHT(H1158,2)&lt;&gt;"00",H1158,"")</f>
        <v/>
      </c>
      <c r="Y1158" s="26">
        <f ca="1">NETWORKDAYS(P1158,$Y$1)</f>
        <v>21</v>
      </c>
      <c r="Z1158" s="34">
        <v>1</v>
      </c>
      <c r="AA1158" s="25" t="str">
        <f t="shared" ca="1" si="93"/>
        <v>A VENCER</v>
      </c>
      <c r="AB1158" s="25" t="str">
        <f t="shared" si="91"/>
        <v>C-14</v>
      </c>
      <c r="AC1158" s="2" t="str">
        <f t="shared" si="95"/>
        <v xml:space="preserve"> CLEITON </v>
      </c>
      <c r="AD1158" s="26">
        <f t="shared" si="92"/>
        <v>15</v>
      </c>
      <c r="AE1158" s="26">
        <f t="shared" ca="1" si="94"/>
        <v>28.040866550923965</v>
      </c>
    </row>
    <row r="1159" spans="1:31" hidden="1">
      <c r="A1159" s="209">
        <v>9422508</v>
      </c>
      <c r="B1159" s="209" t="s">
        <v>101</v>
      </c>
      <c r="C1159" s="210" t="s">
        <v>643</v>
      </c>
      <c r="D1159" s="214">
        <v>230019643</v>
      </c>
      <c r="E1159" s="214">
        <v>1835001400030</v>
      </c>
      <c r="F1159" s="209" t="s">
        <v>647</v>
      </c>
      <c r="G1159" s="209" t="s">
        <v>53</v>
      </c>
      <c r="H1159" s="209" t="s">
        <v>305</v>
      </c>
      <c r="I1159" s="209" t="s">
        <v>306</v>
      </c>
      <c r="J1159" s="209" t="s">
        <v>46</v>
      </c>
      <c r="K1159" s="210" t="s">
        <v>650</v>
      </c>
      <c r="L1159" s="210"/>
      <c r="M1159" s="209" t="s">
        <v>58</v>
      </c>
      <c r="N1159" s="209">
        <v>0</v>
      </c>
      <c r="O1159" s="209" t="s">
        <v>105</v>
      </c>
      <c r="P1159" s="211" t="s">
        <v>2140</v>
      </c>
      <c r="Q1159" s="209"/>
      <c r="R1159" s="209">
        <v>4</v>
      </c>
      <c r="S1159" s="209"/>
      <c r="T1159" s="209" t="s">
        <v>646</v>
      </c>
      <c r="U1159" s="211" t="s">
        <v>2141</v>
      </c>
      <c r="V1159" s="209" t="s">
        <v>41</v>
      </c>
      <c r="W1159" s="209" t="s">
        <v>49</v>
      </c>
      <c r="X1159" s="13" t="str">
        <f>IF(RIGHT(H1159,2)&lt;&gt;"00",H1159,"")</f>
        <v/>
      </c>
      <c r="Y1159" s="26">
        <f ca="1">NETWORKDAYS(P1159,$Y$1)</f>
        <v>21</v>
      </c>
      <c r="Z1159" s="34">
        <v>1</v>
      </c>
      <c r="AA1159" s="25" t="str">
        <f t="shared" ca="1" si="93"/>
        <v>A VENCER</v>
      </c>
      <c r="AB1159" s="25" t="str">
        <f t="shared" si="91"/>
        <v>C-14</v>
      </c>
      <c r="AC1159" s="2" t="str">
        <f t="shared" si="95"/>
        <v xml:space="preserve"> CLEITON </v>
      </c>
      <c r="AD1159" s="26">
        <f t="shared" si="92"/>
        <v>15</v>
      </c>
      <c r="AE1159" s="26">
        <f t="shared" ca="1" si="94"/>
        <v>28.041051736108784</v>
      </c>
    </row>
    <row r="1160" spans="1:31" hidden="1">
      <c r="A1160" s="209">
        <v>9422506</v>
      </c>
      <c r="B1160" s="209" t="s">
        <v>101</v>
      </c>
      <c r="C1160" s="210" t="s">
        <v>643</v>
      </c>
      <c r="D1160" s="214">
        <v>230019641</v>
      </c>
      <c r="E1160" s="214">
        <v>1833001400030</v>
      </c>
      <c r="F1160" s="209" t="s">
        <v>647</v>
      </c>
      <c r="G1160" s="209" t="s">
        <v>53</v>
      </c>
      <c r="H1160" s="209" t="s">
        <v>369</v>
      </c>
      <c r="I1160" s="209" t="s">
        <v>370</v>
      </c>
      <c r="J1160" s="209" t="s">
        <v>46</v>
      </c>
      <c r="K1160" s="210" t="s">
        <v>650</v>
      </c>
      <c r="L1160" s="210"/>
      <c r="M1160" s="209" t="s">
        <v>58</v>
      </c>
      <c r="N1160" s="209">
        <v>0</v>
      </c>
      <c r="O1160" s="209" t="s">
        <v>105</v>
      </c>
      <c r="P1160" s="211" t="s">
        <v>2144</v>
      </c>
      <c r="Q1160" s="209"/>
      <c r="R1160" s="209">
        <v>4</v>
      </c>
      <c r="S1160" s="209"/>
      <c r="T1160" s="209" t="s">
        <v>646</v>
      </c>
      <c r="U1160" s="211" t="s">
        <v>2145</v>
      </c>
      <c r="V1160" s="209" t="s">
        <v>41</v>
      </c>
      <c r="W1160" s="209" t="s">
        <v>49</v>
      </c>
      <c r="X1160" s="13" t="str">
        <f>IF(RIGHT(H1160,2)&lt;&gt;"00",H1160,"")</f>
        <v/>
      </c>
      <c r="Y1160" s="26">
        <f ca="1">NETWORKDAYS(P1160,$Y$1)</f>
        <v>21</v>
      </c>
      <c r="Z1160" s="34">
        <v>1</v>
      </c>
      <c r="AA1160" s="25" t="str">
        <f t="shared" ca="1" si="93"/>
        <v>A VENCER</v>
      </c>
      <c r="AB1160" s="25" t="str">
        <f t="shared" si="91"/>
        <v>C-14</v>
      </c>
      <c r="AC1160" s="2" t="str">
        <f t="shared" si="95"/>
        <v xml:space="preserve"> CLEITON </v>
      </c>
      <c r="AD1160" s="26">
        <f t="shared" si="92"/>
        <v>15</v>
      </c>
      <c r="AE1160" s="26">
        <f t="shared" ca="1" si="94"/>
        <v>28.041236921293603</v>
      </c>
    </row>
    <row r="1161" spans="1:31" hidden="1">
      <c r="A1161" s="209">
        <v>9422497</v>
      </c>
      <c r="B1161" s="209" t="s">
        <v>101</v>
      </c>
      <c r="C1161" s="210" t="s">
        <v>643</v>
      </c>
      <c r="D1161" s="214">
        <v>230019632</v>
      </c>
      <c r="E1161" s="214">
        <v>1814001400030</v>
      </c>
      <c r="F1161" s="209" t="s">
        <v>647</v>
      </c>
      <c r="G1161" s="209" t="s">
        <v>53</v>
      </c>
      <c r="H1161" s="209" t="s">
        <v>396</v>
      </c>
      <c r="I1161" s="209" t="s">
        <v>397</v>
      </c>
      <c r="J1161" s="209" t="s">
        <v>46</v>
      </c>
      <c r="K1161" s="210" t="s">
        <v>650</v>
      </c>
      <c r="L1161" s="210"/>
      <c r="M1161" s="209" t="s">
        <v>58</v>
      </c>
      <c r="N1161" s="209">
        <v>0</v>
      </c>
      <c r="O1161" s="209" t="s">
        <v>105</v>
      </c>
      <c r="P1161" s="211" t="s">
        <v>2148</v>
      </c>
      <c r="Q1161" s="209"/>
      <c r="R1161" s="209">
        <v>4</v>
      </c>
      <c r="S1161" s="209"/>
      <c r="T1161" s="209" t="s">
        <v>646</v>
      </c>
      <c r="U1161" s="211" t="s">
        <v>2149</v>
      </c>
      <c r="V1161" s="209" t="s">
        <v>41</v>
      </c>
      <c r="W1161" s="209" t="s">
        <v>49</v>
      </c>
      <c r="X1161" s="13" t="str">
        <f>IF(RIGHT(H1161,2)&lt;&gt;"00",H1161,"")</f>
        <v/>
      </c>
      <c r="Y1161" s="26">
        <f ca="1">NETWORKDAYS(P1161,$Y$1)</f>
        <v>21</v>
      </c>
      <c r="Z1161" s="34">
        <v>1</v>
      </c>
      <c r="AA1161" s="25" t="str">
        <f t="shared" ca="1" si="93"/>
        <v>A VENCER</v>
      </c>
      <c r="AB1161" s="25" t="str">
        <f t="shared" si="91"/>
        <v>C-14</v>
      </c>
      <c r="AC1161" s="2" t="str">
        <f t="shared" si="95"/>
        <v xml:space="preserve"> CLEITON </v>
      </c>
      <c r="AD1161" s="26">
        <f t="shared" si="92"/>
        <v>15</v>
      </c>
      <c r="AE1161" s="26">
        <f t="shared" ca="1" si="94"/>
        <v>28.041977662040154</v>
      </c>
    </row>
    <row r="1162" spans="1:31" hidden="1">
      <c r="A1162" s="209">
        <v>9422255</v>
      </c>
      <c r="B1162" s="209" t="s">
        <v>101</v>
      </c>
      <c r="C1162" s="210" t="s">
        <v>643</v>
      </c>
      <c r="D1162" s="214">
        <v>230018197</v>
      </c>
      <c r="E1162" s="214">
        <v>2257001400010</v>
      </c>
      <c r="F1162" s="209" t="s">
        <v>936</v>
      </c>
      <c r="G1162" s="209" t="s">
        <v>53</v>
      </c>
      <c r="H1162" s="209" t="s">
        <v>381</v>
      </c>
      <c r="I1162" s="209" t="s">
        <v>382</v>
      </c>
      <c r="J1162" s="209" t="s">
        <v>110</v>
      </c>
      <c r="K1162" s="210" t="s">
        <v>937</v>
      </c>
      <c r="L1162" s="210"/>
      <c r="M1162" s="209" t="s">
        <v>58</v>
      </c>
      <c r="N1162" s="209">
        <v>0</v>
      </c>
      <c r="O1162" s="209" t="s">
        <v>105</v>
      </c>
      <c r="P1162" s="211" t="s">
        <v>2150</v>
      </c>
      <c r="Q1162" s="209"/>
      <c r="R1162" s="209">
        <v>3</v>
      </c>
      <c r="S1162" s="209"/>
      <c r="T1162" s="209" t="s">
        <v>646</v>
      </c>
      <c r="U1162" s="211" t="s">
        <v>2151</v>
      </c>
      <c r="V1162" s="209" t="s">
        <v>41</v>
      </c>
      <c r="W1162" s="209" t="s">
        <v>49</v>
      </c>
      <c r="X1162" s="13" t="str">
        <f>IF(RIGHT(H1162,2)&lt;&gt;"00",H1162,"")</f>
        <v/>
      </c>
      <c r="Y1162" s="26">
        <f ca="1">NETWORKDAYS(P1162,$Y$1)</f>
        <v>21</v>
      </c>
      <c r="Z1162" s="34">
        <v>1</v>
      </c>
      <c r="AA1162" s="25" t="str">
        <f t="shared" ca="1" si="93"/>
        <v>A VENCER</v>
      </c>
      <c r="AB1162" s="25" t="str">
        <f t="shared" si="91"/>
        <v>C-14</v>
      </c>
      <c r="AC1162" s="2" t="str">
        <f t="shared" si="95"/>
        <v xml:space="preserve"> CRISTINA </v>
      </c>
      <c r="AD1162" s="26">
        <f t="shared" si="92"/>
        <v>5</v>
      </c>
      <c r="AE1162" s="26">
        <f t="shared" ca="1" si="94"/>
        <v>28.059338773149648</v>
      </c>
    </row>
    <row r="1163" spans="1:31" hidden="1">
      <c r="A1163" s="209">
        <v>9422243</v>
      </c>
      <c r="B1163" s="209" t="s">
        <v>101</v>
      </c>
      <c r="C1163" s="210" t="s">
        <v>643</v>
      </c>
      <c r="D1163" s="214">
        <v>230017788</v>
      </c>
      <c r="E1163" s="214">
        <v>1153001400010</v>
      </c>
      <c r="F1163" s="209" t="s">
        <v>936</v>
      </c>
      <c r="G1163" s="209" t="s">
        <v>53</v>
      </c>
      <c r="H1163" s="209" t="s">
        <v>1031</v>
      </c>
      <c r="I1163" s="209" t="s">
        <v>1032</v>
      </c>
      <c r="J1163" s="209" t="s">
        <v>79</v>
      </c>
      <c r="K1163" s="210" t="s">
        <v>937</v>
      </c>
      <c r="L1163" s="210"/>
      <c r="M1163" s="209" t="s">
        <v>58</v>
      </c>
      <c r="N1163" s="209">
        <v>0</v>
      </c>
      <c r="O1163" s="209" t="s">
        <v>105</v>
      </c>
      <c r="P1163" s="211" t="s">
        <v>2152</v>
      </c>
      <c r="Q1163" s="209"/>
      <c r="R1163" s="209">
        <v>3</v>
      </c>
      <c r="S1163" s="209"/>
      <c r="T1163" s="209" t="s">
        <v>646</v>
      </c>
      <c r="U1163" s="211" t="s">
        <v>2153</v>
      </c>
      <c r="V1163" s="209" t="s">
        <v>41</v>
      </c>
      <c r="W1163" s="209" t="s">
        <v>49</v>
      </c>
      <c r="X1163" s="13" t="str">
        <f>IF(RIGHT(H1163,2)&lt;&gt;"00",H1163,"")</f>
        <v/>
      </c>
      <c r="Y1163" s="26">
        <f ca="1">NETWORKDAYS(P1163,$Y$1)</f>
        <v>21</v>
      </c>
      <c r="Z1163" s="34">
        <v>1</v>
      </c>
      <c r="AA1163" s="25" t="str">
        <f t="shared" ca="1" si="93"/>
        <v>A VENCER</v>
      </c>
      <c r="AB1163" s="25" t="str">
        <f t="shared" si="91"/>
        <v>C-14</v>
      </c>
      <c r="AC1163" s="2" t="str">
        <f t="shared" si="95"/>
        <v xml:space="preserve"> ROSEMERE </v>
      </c>
      <c r="AD1163" s="26">
        <f t="shared" si="92"/>
        <v>5</v>
      </c>
      <c r="AE1163" s="26">
        <f t="shared" ca="1" si="94"/>
        <v>28.060415162035497</v>
      </c>
    </row>
    <row r="1164" spans="1:31" hidden="1">
      <c r="A1164" s="209">
        <v>9422222</v>
      </c>
      <c r="B1164" s="209" t="s">
        <v>101</v>
      </c>
      <c r="C1164" s="210" t="s">
        <v>643</v>
      </c>
      <c r="D1164" s="214">
        <v>230021493</v>
      </c>
      <c r="E1164" s="214">
        <v>2257001400040</v>
      </c>
      <c r="F1164" s="209" t="s">
        <v>644</v>
      </c>
      <c r="G1164" s="209" t="s">
        <v>53</v>
      </c>
      <c r="H1164" s="209" t="s">
        <v>381</v>
      </c>
      <c r="I1164" s="209" t="s">
        <v>382</v>
      </c>
      <c r="J1164" s="209" t="s">
        <v>110</v>
      </c>
      <c r="K1164" s="210" t="s">
        <v>645</v>
      </c>
      <c r="L1164" s="210"/>
      <c r="M1164" s="209" t="s">
        <v>58</v>
      </c>
      <c r="N1164" s="209">
        <v>0</v>
      </c>
      <c r="O1164" s="209" t="s">
        <v>105</v>
      </c>
      <c r="P1164" s="211" t="s">
        <v>2154</v>
      </c>
      <c r="Q1164" s="209"/>
      <c r="R1164" s="209">
        <v>3</v>
      </c>
      <c r="S1164" s="209"/>
      <c r="T1164" s="209" t="s">
        <v>646</v>
      </c>
      <c r="U1164" s="211" t="s">
        <v>2155</v>
      </c>
      <c r="V1164" s="209" t="s">
        <v>41</v>
      </c>
      <c r="W1164" s="209" t="s">
        <v>49</v>
      </c>
      <c r="X1164" s="13" t="str">
        <f>IF(RIGHT(H1164,2)&lt;&gt;"00",H1164,"")</f>
        <v/>
      </c>
      <c r="Y1164" s="26">
        <f ca="1">NETWORKDAYS(P1164,$Y$1)</f>
        <v>21</v>
      </c>
      <c r="Z1164" s="34">
        <v>1</v>
      </c>
      <c r="AA1164" s="25" t="str">
        <f t="shared" ca="1" si="93"/>
        <v>A VENCER</v>
      </c>
      <c r="AB1164" s="25" t="str">
        <f t="shared" si="91"/>
        <v>SL-On</v>
      </c>
      <c r="AC1164" s="2" t="str">
        <f t="shared" si="95"/>
        <v xml:space="preserve"> CRISTINA </v>
      </c>
      <c r="AD1164" s="26">
        <f t="shared" si="92"/>
        <v>1</v>
      </c>
      <c r="AE1164" s="26">
        <f t="shared" ca="1" si="94"/>
        <v>28.062232291667897</v>
      </c>
    </row>
    <row r="1165" spans="1:31" hidden="1">
      <c r="A1165" s="209">
        <v>9422108</v>
      </c>
      <c r="B1165" s="209" t="s">
        <v>101</v>
      </c>
      <c r="C1165" s="210" t="s">
        <v>643</v>
      </c>
      <c r="D1165" s="214">
        <v>230021478</v>
      </c>
      <c r="E1165" s="214">
        <v>2229001400040</v>
      </c>
      <c r="F1165" s="209" t="s">
        <v>644</v>
      </c>
      <c r="G1165" s="209" t="s">
        <v>53</v>
      </c>
      <c r="H1165" s="209" t="s">
        <v>339</v>
      </c>
      <c r="I1165" s="209" t="s">
        <v>340</v>
      </c>
      <c r="J1165" s="209" t="s">
        <v>211</v>
      </c>
      <c r="K1165" s="210" t="s">
        <v>645</v>
      </c>
      <c r="L1165" s="210"/>
      <c r="M1165" s="209" t="s">
        <v>58</v>
      </c>
      <c r="N1165" s="209">
        <v>0</v>
      </c>
      <c r="O1165" s="209" t="s">
        <v>105</v>
      </c>
      <c r="P1165" s="211" t="s">
        <v>2158</v>
      </c>
      <c r="Q1165" s="209"/>
      <c r="R1165" s="209">
        <v>2</v>
      </c>
      <c r="S1165" s="209"/>
      <c r="T1165" s="209" t="s">
        <v>646</v>
      </c>
      <c r="U1165" s="211" t="s">
        <v>2159</v>
      </c>
      <c r="V1165" s="209" t="s">
        <v>41</v>
      </c>
      <c r="W1165" s="209" t="s">
        <v>49</v>
      </c>
      <c r="X1165" s="13" t="str">
        <f>IF(RIGHT(H1165,2)&lt;&gt;"00",H1165,"")</f>
        <v/>
      </c>
      <c r="Y1165" s="26">
        <f ca="1">NETWORKDAYS(P1165,$Y$1)</f>
        <v>21</v>
      </c>
      <c r="Z1165" s="34">
        <v>1</v>
      </c>
      <c r="AA1165" s="25" t="str">
        <f t="shared" ca="1" si="93"/>
        <v>A VENCER</v>
      </c>
      <c r="AB1165" s="25" t="str">
        <f t="shared" si="91"/>
        <v>SL-On</v>
      </c>
      <c r="AC1165" s="2" t="str">
        <f t="shared" si="95"/>
        <v xml:space="preserve"> RINALDO </v>
      </c>
      <c r="AD1165" s="26">
        <f t="shared" si="92"/>
        <v>1</v>
      </c>
      <c r="AE1165" s="26">
        <f t="shared" ca="1" si="94"/>
        <v>28.069535532406007</v>
      </c>
    </row>
    <row r="1166" spans="1:31" hidden="1">
      <c r="A1166" s="209">
        <v>9421550</v>
      </c>
      <c r="B1166" s="209" t="s">
        <v>101</v>
      </c>
      <c r="C1166" s="210" t="s">
        <v>643</v>
      </c>
      <c r="D1166" s="214">
        <v>230019696</v>
      </c>
      <c r="E1166" s="214">
        <v>2107001400030</v>
      </c>
      <c r="F1166" s="209" t="s">
        <v>647</v>
      </c>
      <c r="G1166" s="209" t="s">
        <v>53</v>
      </c>
      <c r="H1166" s="209" t="s">
        <v>262</v>
      </c>
      <c r="I1166" s="209" t="s">
        <v>263</v>
      </c>
      <c r="J1166" s="209" t="s">
        <v>164</v>
      </c>
      <c r="K1166" s="210" t="s">
        <v>650</v>
      </c>
      <c r="L1166" s="210"/>
      <c r="M1166" s="209" t="s">
        <v>58</v>
      </c>
      <c r="N1166" s="209">
        <v>0</v>
      </c>
      <c r="O1166" s="209" t="s">
        <v>105</v>
      </c>
      <c r="P1166" s="211" t="s">
        <v>2162</v>
      </c>
      <c r="Q1166" s="209"/>
      <c r="R1166" s="209">
        <v>4</v>
      </c>
      <c r="S1166" s="209"/>
      <c r="T1166" s="209" t="s">
        <v>646</v>
      </c>
      <c r="U1166" s="211" t="s">
        <v>2163</v>
      </c>
      <c r="V1166" s="209" t="s">
        <v>41</v>
      </c>
      <c r="W1166" s="209" t="s">
        <v>49</v>
      </c>
      <c r="X1166" s="13" t="str">
        <f>IF(RIGHT(H1166,2)&lt;&gt;"00",H1166,"")</f>
        <v/>
      </c>
      <c r="Y1166" s="26">
        <f ca="1">NETWORKDAYS(P1166,$Y$1)</f>
        <v>21</v>
      </c>
      <c r="Z1166" s="34">
        <v>1</v>
      </c>
      <c r="AA1166" s="25" t="str">
        <f t="shared" ca="1" si="93"/>
        <v>A VENCER</v>
      </c>
      <c r="AB1166" s="25" t="str">
        <f t="shared" si="91"/>
        <v>C-14</v>
      </c>
      <c r="AC1166" s="2" t="str">
        <f t="shared" si="95"/>
        <v xml:space="preserve"> ROSEMERE </v>
      </c>
      <c r="AD1166" s="26">
        <f t="shared" si="92"/>
        <v>15</v>
      </c>
      <c r="AE1166" s="26">
        <f t="shared" ca="1" si="94"/>
        <v>28.104315625001618</v>
      </c>
    </row>
    <row r="1167" spans="1:31" hidden="1">
      <c r="A1167" s="209">
        <v>9421489</v>
      </c>
      <c r="B1167" s="209" t="s">
        <v>101</v>
      </c>
      <c r="C1167" s="210" t="s">
        <v>643</v>
      </c>
      <c r="D1167" s="214">
        <v>230021042</v>
      </c>
      <c r="E1167" s="214">
        <v>1028001400040</v>
      </c>
      <c r="F1167" s="209" t="s">
        <v>644</v>
      </c>
      <c r="G1167" s="209" t="s">
        <v>53</v>
      </c>
      <c r="H1167" s="209" t="s">
        <v>1079</v>
      </c>
      <c r="I1167" s="209" t="s">
        <v>1080</v>
      </c>
      <c r="J1167" s="209" t="s">
        <v>85</v>
      </c>
      <c r="K1167" s="210" t="s">
        <v>645</v>
      </c>
      <c r="L1167" s="210"/>
      <c r="M1167" s="209" t="s">
        <v>58</v>
      </c>
      <c r="N1167" s="209">
        <v>0</v>
      </c>
      <c r="O1167" s="209" t="s">
        <v>105</v>
      </c>
      <c r="P1167" s="211" t="s">
        <v>2164</v>
      </c>
      <c r="Q1167" s="209"/>
      <c r="R1167" s="209">
        <v>3</v>
      </c>
      <c r="S1167" s="209"/>
      <c r="T1167" s="209" t="s">
        <v>646</v>
      </c>
      <c r="U1167" s="211" t="s">
        <v>2165</v>
      </c>
      <c r="V1167" s="209" t="s">
        <v>41</v>
      </c>
      <c r="W1167" s="209" t="s">
        <v>49</v>
      </c>
      <c r="X1167" s="13" t="str">
        <f>IF(RIGHT(H1167,2)&lt;&gt;"00",H1167,"")</f>
        <v/>
      </c>
      <c r="Y1167" s="26">
        <f ca="1">NETWORKDAYS(P1167,$Y$1)</f>
        <v>21</v>
      </c>
      <c r="Z1167" s="34">
        <v>1</v>
      </c>
      <c r="AA1167" s="25" t="str">
        <f t="shared" ca="1" si="93"/>
        <v>A VENCER</v>
      </c>
      <c r="AB1167" s="25" t="str">
        <f t="shared" si="91"/>
        <v>SL-On</v>
      </c>
      <c r="AC1167" s="2" t="str">
        <f t="shared" si="95"/>
        <v xml:space="preserve"> RINALDO </v>
      </c>
      <c r="AD1167" s="26">
        <f t="shared" si="92"/>
        <v>1</v>
      </c>
      <c r="AE1167" s="26">
        <f t="shared" ca="1" si="94"/>
        <v>28.108424421297968</v>
      </c>
    </row>
    <row r="1168" spans="1:31" hidden="1">
      <c r="A1168" s="209">
        <v>9421441</v>
      </c>
      <c r="B1168" s="209" t="s">
        <v>101</v>
      </c>
      <c r="C1168" s="210" t="s">
        <v>643</v>
      </c>
      <c r="D1168" s="214">
        <v>230019840</v>
      </c>
      <c r="E1168" s="214">
        <v>2422001400030</v>
      </c>
      <c r="F1168" s="209" t="s">
        <v>647</v>
      </c>
      <c r="G1168" s="209" t="s">
        <v>53</v>
      </c>
      <c r="H1168" s="209" t="s">
        <v>1844</v>
      </c>
      <c r="I1168" s="209" t="s">
        <v>1845</v>
      </c>
      <c r="J1168" s="209" t="s">
        <v>211</v>
      </c>
      <c r="K1168" s="210" t="s">
        <v>650</v>
      </c>
      <c r="L1168" s="210"/>
      <c r="M1168" s="209" t="s">
        <v>58</v>
      </c>
      <c r="N1168" s="209">
        <v>0</v>
      </c>
      <c r="O1168" s="209" t="s">
        <v>105</v>
      </c>
      <c r="P1168" s="211" t="s">
        <v>2166</v>
      </c>
      <c r="Q1168" s="209"/>
      <c r="R1168" s="209">
        <v>4</v>
      </c>
      <c r="S1168" s="209"/>
      <c r="T1168" s="209" t="s">
        <v>646</v>
      </c>
      <c r="U1168" s="211" t="s">
        <v>2167</v>
      </c>
      <c r="V1168" s="209" t="s">
        <v>41</v>
      </c>
      <c r="W1168" s="209" t="s">
        <v>49</v>
      </c>
      <c r="X1168" s="13" t="str">
        <f>IF(RIGHT(H1168,2)&lt;&gt;"00",H1168,"")</f>
        <v/>
      </c>
      <c r="Y1168" s="26">
        <f ca="1">NETWORKDAYS(P1168,$Y$1)</f>
        <v>21</v>
      </c>
      <c r="Z1168" s="34">
        <v>1</v>
      </c>
      <c r="AA1168" s="25" t="str">
        <f t="shared" ca="1" si="93"/>
        <v>A VENCER</v>
      </c>
      <c r="AB1168" s="25" t="str">
        <f t="shared" si="91"/>
        <v>C-14</v>
      </c>
      <c r="AC1168" s="2" t="str">
        <f t="shared" si="95"/>
        <v xml:space="preserve"> RINALDO </v>
      </c>
      <c r="AD1168" s="26">
        <f t="shared" si="92"/>
        <v>15</v>
      </c>
      <c r="AE1168" s="26">
        <f t="shared" ca="1" si="94"/>
        <v>28.111144328700902</v>
      </c>
    </row>
    <row r="1169" spans="1:31" hidden="1">
      <c r="A1169" s="209">
        <v>9421337</v>
      </c>
      <c r="B1169" s="209" t="s">
        <v>101</v>
      </c>
      <c r="C1169" s="210" t="s">
        <v>643</v>
      </c>
      <c r="D1169" s="214">
        <v>230021014</v>
      </c>
      <c r="E1169" s="214">
        <v>963001400040</v>
      </c>
      <c r="F1169" s="209" t="s">
        <v>644</v>
      </c>
      <c r="G1169" s="209" t="s">
        <v>53</v>
      </c>
      <c r="H1169" s="209" t="s">
        <v>531</v>
      </c>
      <c r="I1169" s="209" t="s">
        <v>532</v>
      </c>
      <c r="J1169" s="209" t="s">
        <v>33</v>
      </c>
      <c r="K1169" s="210" t="s">
        <v>645</v>
      </c>
      <c r="L1169" s="210"/>
      <c r="M1169" s="209" t="s">
        <v>58</v>
      </c>
      <c r="N1169" s="209">
        <v>0</v>
      </c>
      <c r="O1169" s="209" t="s">
        <v>105</v>
      </c>
      <c r="P1169" s="211" t="s">
        <v>2168</v>
      </c>
      <c r="Q1169" s="209"/>
      <c r="R1169" s="209">
        <v>3</v>
      </c>
      <c r="S1169" s="209"/>
      <c r="T1169" s="209" t="s">
        <v>646</v>
      </c>
      <c r="U1169" s="211" t="s">
        <v>2169</v>
      </c>
      <c r="V1169" s="209" t="s">
        <v>41</v>
      </c>
      <c r="W1169" s="209" t="s">
        <v>49</v>
      </c>
      <c r="X1169" s="13" t="str">
        <f>IF(RIGHT(H1169,2)&lt;&gt;"00",H1169,"")</f>
        <v/>
      </c>
      <c r="Y1169" s="26">
        <f ca="1">NETWORKDAYS(P1169,$Y$1)</f>
        <v>21</v>
      </c>
      <c r="Z1169" s="34">
        <v>1</v>
      </c>
      <c r="AA1169" s="25" t="str">
        <f t="shared" ca="1" si="93"/>
        <v>A VENCER</v>
      </c>
      <c r="AB1169" s="25" t="str">
        <f t="shared" si="91"/>
        <v>SL-On</v>
      </c>
      <c r="AC1169" s="2" t="str">
        <f t="shared" si="95"/>
        <v xml:space="preserve"> ROSEMERE </v>
      </c>
      <c r="AD1169" s="26">
        <f t="shared" si="92"/>
        <v>1</v>
      </c>
      <c r="AE1169" s="26">
        <f t="shared" ca="1" si="94"/>
        <v>28.117093402775936</v>
      </c>
    </row>
    <row r="1170" spans="1:31" hidden="1">
      <c r="A1170" s="209">
        <v>9421295</v>
      </c>
      <c r="B1170" s="209" t="s">
        <v>101</v>
      </c>
      <c r="C1170" s="210" t="s">
        <v>643</v>
      </c>
      <c r="D1170" s="214">
        <v>230019817</v>
      </c>
      <c r="E1170" s="214">
        <v>2365001400030</v>
      </c>
      <c r="F1170" s="209" t="s">
        <v>647</v>
      </c>
      <c r="G1170" s="209" t="s">
        <v>53</v>
      </c>
      <c r="H1170" s="209" t="s">
        <v>159</v>
      </c>
      <c r="I1170" s="209" t="s">
        <v>160</v>
      </c>
      <c r="J1170" s="209" t="s">
        <v>46</v>
      </c>
      <c r="K1170" s="210" t="s">
        <v>650</v>
      </c>
      <c r="L1170" s="210"/>
      <c r="M1170" s="209" t="s">
        <v>58</v>
      </c>
      <c r="N1170" s="209">
        <v>0</v>
      </c>
      <c r="O1170" s="209" t="s">
        <v>36</v>
      </c>
      <c r="P1170" s="211" t="s">
        <v>2170</v>
      </c>
      <c r="Q1170" s="209"/>
      <c r="R1170" s="209">
        <v>4</v>
      </c>
      <c r="S1170" s="209"/>
      <c r="T1170" s="209" t="s">
        <v>646</v>
      </c>
      <c r="U1170" s="211" t="s">
        <v>2171</v>
      </c>
      <c r="V1170" s="209" t="s">
        <v>41</v>
      </c>
      <c r="W1170" s="209" t="s">
        <v>49</v>
      </c>
      <c r="X1170" s="13" t="str">
        <f>IF(RIGHT(H1170,2)&lt;&gt;"00",H1170,"")</f>
        <v/>
      </c>
      <c r="Y1170" s="26">
        <f ca="1">NETWORKDAYS(P1170,$Y$1)</f>
        <v>21</v>
      </c>
      <c r="Z1170" s="34">
        <v>1</v>
      </c>
      <c r="AA1170" s="25" t="str">
        <f t="shared" ca="1" si="93"/>
        <v>A VENCER</v>
      </c>
      <c r="AB1170" s="25" t="str">
        <f t="shared" si="91"/>
        <v>C-14</v>
      </c>
      <c r="AC1170" s="2" t="str">
        <f t="shared" si="95"/>
        <v xml:space="preserve"> CLEITON </v>
      </c>
      <c r="AD1170" s="26">
        <f t="shared" si="92"/>
        <v>15</v>
      </c>
      <c r="AE1170" s="26">
        <f t="shared" ca="1" si="94"/>
        <v>28.119269328701193</v>
      </c>
    </row>
    <row r="1171" spans="1:31" hidden="1">
      <c r="A1171" s="209">
        <v>9421222</v>
      </c>
      <c r="B1171" s="209" t="s">
        <v>101</v>
      </c>
      <c r="C1171" s="210" t="s">
        <v>643</v>
      </c>
      <c r="D1171" s="214">
        <v>230019179</v>
      </c>
      <c r="E1171" s="214">
        <v>721001400030</v>
      </c>
      <c r="F1171" s="209" t="s">
        <v>647</v>
      </c>
      <c r="G1171" s="209" t="s">
        <v>53</v>
      </c>
      <c r="H1171" s="209" t="s">
        <v>422</v>
      </c>
      <c r="I1171" s="209" t="s">
        <v>423</v>
      </c>
      <c r="J1171" s="209" t="s">
        <v>79</v>
      </c>
      <c r="K1171" s="210" t="s">
        <v>650</v>
      </c>
      <c r="L1171" s="210"/>
      <c r="M1171" s="209" t="s">
        <v>58</v>
      </c>
      <c r="N1171" s="209">
        <v>0</v>
      </c>
      <c r="O1171" s="209" t="s">
        <v>105</v>
      </c>
      <c r="P1171" s="211" t="s">
        <v>2172</v>
      </c>
      <c r="Q1171" s="209"/>
      <c r="R1171" s="209">
        <v>4</v>
      </c>
      <c r="S1171" s="209"/>
      <c r="T1171" s="209" t="s">
        <v>646</v>
      </c>
      <c r="U1171" s="211" t="s">
        <v>2173</v>
      </c>
      <c r="V1171" s="209" t="s">
        <v>41</v>
      </c>
      <c r="W1171" s="209" t="s">
        <v>49</v>
      </c>
      <c r="X1171" s="13" t="str">
        <f>IF(RIGHT(H1171,2)&lt;&gt;"00",H1171,"")</f>
        <v/>
      </c>
      <c r="Y1171" s="26">
        <f ca="1">NETWORKDAYS(P1171,$Y$1)</f>
        <v>21</v>
      </c>
      <c r="Z1171" s="34">
        <v>1</v>
      </c>
      <c r="AA1171" s="25" t="str">
        <f t="shared" ca="1" si="93"/>
        <v>A VENCER</v>
      </c>
      <c r="AB1171" s="25" t="str">
        <f t="shared" si="91"/>
        <v>C-14</v>
      </c>
      <c r="AC1171" s="2" t="str">
        <f t="shared" si="95"/>
        <v xml:space="preserve"> ROSEMERE </v>
      </c>
      <c r="AD1171" s="26">
        <f t="shared" si="92"/>
        <v>15</v>
      </c>
      <c r="AE1171" s="26">
        <f t="shared" ca="1" si="94"/>
        <v>28.123667476851551</v>
      </c>
    </row>
    <row r="1172" spans="1:31" hidden="1">
      <c r="A1172" s="209">
        <v>9421220</v>
      </c>
      <c r="B1172" s="209" t="s">
        <v>101</v>
      </c>
      <c r="C1172" s="210" t="s">
        <v>643</v>
      </c>
      <c r="D1172" s="214">
        <v>230019177</v>
      </c>
      <c r="E1172" s="214">
        <v>711001400030</v>
      </c>
      <c r="F1172" s="209" t="s">
        <v>647</v>
      </c>
      <c r="G1172" s="209" t="s">
        <v>53</v>
      </c>
      <c r="H1172" s="209" t="s">
        <v>77</v>
      </c>
      <c r="I1172" s="209" t="s">
        <v>78</v>
      </c>
      <c r="J1172" s="209" t="s">
        <v>79</v>
      </c>
      <c r="K1172" s="210" t="s">
        <v>650</v>
      </c>
      <c r="L1172" s="210"/>
      <c r="M1172" s="209" t="s">
        <v>58</v>
      </c>
      <c r="N1172" s="209">
        <v>0</v>
      </c>
      <c r="O1172" s="209" t="s">
        <v>105</v>
      </c>
      <c r="P1172" s="211" t="s">
        <v>2174</v>
      </c>
      <c r="Q1172" s="209"/>
      <c r="R1172" s="209">
        <v>4</v>
      </c>
      <c r="S1172" s="209"/>
      <c r="T1172" s="209" t="s">
        <v>646</v>
      </c>
      <c r="U1172" s="211" t="s">
        <v>3050</v>
      </c>
      <c r="V1172" s="209" t="s">
        <v>41</v>
      </c>
      <c r="W1172" s="209" t="s">
        <v>49</v>
      </c>
      <c r="X1172" s="13" t="str">
        <f>IF(RIGHT(H1172,2)&lt;&gt;"00",H1172,"")</f>
        <v/>
      </c>
      <c r="Y1172" s="26">
        <f ca="1">NETWORKDAYS(P1172,$Y$1)</f>
        <v>21</v>
      </c>
      <c r="Z1172" s="34">
        <v>1</v>
      </c>
      <c r="AA1172" s="25" t="str">
        <f t="shared" ca="1" si="93"/>
        <v>A VENCER</v>
      </c>
      <c r="AB1172" s="25" t="str">
        <f t="shared" si="91"/>
        <v>C-14</v>
      </c>
      <c r="AC1172" s="2" t="str">
        <f t="shared" si="95"/>
        <v xml:space="preserve"> ROSEMERE </v>
      </c>
      <c r="AD1172" s="26">
        <f t="shared" si="92"/>
        <v>15</v>
      </c>
      <c r="AE1172" s="26">
        <f t="shared" ca="1" si="94"/>
        <v>28.12384108795959</v>
      </c>
    </row>
    <row r="1173" spans="1:31" hidden="1">
      <c r="A1173" s="209">
        <v>9421182</v>
      </c>
      <c r="B1173" s="209" t="s">
        <v>101</v>
      </c>
      <c r="C1173" s="210" t="s">
        <v>643</v>
      </c>
      <c r="D1173" s="214">
        <v>230019149</v>
      </c>
      <c r="E1173" s="214">
        <v>605001400030</v>
      </c>
      <c r="F1173" s="209" t="s">
        <v>647</v>
      </c>
      <c r="G1173" s="209" t="s">
        <v>53</v>
      </c>
      <c r="H1173" s="209" t="s">
        <v>420</v>
      </c>
      <c r="I1173" s="209" t="s">
        <v>421</v>
      </c>
      <c r="J1173" s="209" t="s">
        <v>90</v>
      </c>
      <c r="K1173" s="210" t="s">
        <v>650</v>
      </c>
      <c r="L1173" s="210"/>
      <c r="M1173" s="209" t="s">
        <v>58</v>
      </c>
      <c r="N1173" s="209">
        <v>0</v>
      </c>
      <c r="O1173" s="209" t="s">
        <v>105</v>
      </c>
      <c r="P1173" s="211" t="s">
        <v>2175</v>
      </c>
      <c r="Q1173" s="209"/>
      <c r="R1173" s="209">
        <v>4</v>
      </c>
      <c r="S1173" s="209"/>
      <c r="T1173" s="209" t="s">
        <v>646</v>
      </c>
      <c r="U1173" s="211" t="s">
        <v>2176</v>
      </c>
      <c r="V1173" s="209" t="s">
        <v>41</v>
      </c>
      <c r="W1173" s="209" t="s">
        <v>49</v>
      </c>
      <c r="X1173" s="13" t="str">
        <f>IF(RIGHT(H1173,2)&lt;&gt;"00",H1173,"")</f>
        <v/>
      </c>
      <c r="Y1173" s="26">
        <f ca="1">NETWORKDAYS(P1173,$Y$1)</f>
        <v>21</v>
      </c>
      <c r="Z1173" s="34">
        <v>1</v>
      </c>
      <c r="AA1173" s="25" t="str">
        <f t="shared" ca="1" si="93"/>
        <v>A VENCER</v>
      </c>
      <c r="AB1173" s="25" t="str">
        <f t="shared" si="91"/>
        <v>C-14</v>
      </c>
      <c r="AC1173" s="2" t="str">
        <f t="shared" si="95"/>
        <v xml:space="preserve"> RINALDO </v>
      </c>
      <c r="AD1173" s="26">
        <f t="shared" si="92"/>
        <v>15</v>
      </c>
      <c r="AE1173" s="26">
        <f t="shared" ca="1" si="94"/>
        <v>28.126260069446289</v>
      </c>
    </row>
    <row r="1174" spans="1:31" hidden="1">
      <c r="A1174" s="209">
        <v>9421178</v>
      </c>
      <c r="B1174" s="209" t="s">
        <v>101</v>
      </c>
      <c r="C1174" s="210" t="s">
        <v>643</v>
      </c>
      <c r="D1174" s="214">
        <v>230019146</v>
      </c>
      <c r="E1174" s="214">
        <v>600001400030</v>
      </c>
      <c r="F1174" s="209" t="s">
        <v>647</v>
      </c>
      <c r="G1174" s="209" t="s">
        <v>53</v>
      </c>
      <c r="H1174" s="209" t="s">
        <v>1084</v>
      </c>
      <c r="I1174" s="209" t="s">
        <v>1085</v>
      </c>
      <c r="J1174" s="209" t="s">
        <v>90</v>
      </c>
      <c r="K1174" s="210" t="s">
        <v>650</v>
      </c>
      <c r="L1174" s="210"/>
      <c r="M1174" s="209" t="s">
        <v>58</v>
      </c>
      <c r="N1174" s="209">
        <v>0</v>
      </c>
      <c r="O1174" s="209" t="s">
        <v>105</v>
      </c>
      <c r="P1174" s="211" t="s">
        <v>2177</v>
      </c>
      <c r="Q1174" s="209"/>
      <c r="R1174" s="209">
        <v>4</v>
      </c>
      <c r="S1174" s="209"/>
      <c r="T1174" s="209" t="s">
        <v>646</v>
      </c>
      <c r="U1174" s="211" t="s">
        <v>2178</v>
      </c>
      <c r="V1174" s="209" t="s">
        <v>41</v>
      </c>
      <c r="W1174" s="209" t="s">
        <v>49</v>
      </c>
      <c r="X1174" s="13" t="str">
        <f>IF(RIGHT(H1174,2)&lt;&gt;"00",H1174,"")</f>
        <v/>
      </c>
      <c r="Y1174" s="26">
        <f ca="1">NETWORKDAYS(P1174,$Y$1)</f>
        <v>21</v>
      </c>
      <c r="Z1174" s="34">
        <v>1</v>
      </c>
      <c r="AA1174" s="25" t="str">
        <f t="shared" ca="1" si="93"/>
        <v>A VENCER</v>
      </c>
      <c r="AB1174" s="25" t="str">
        <f t="shared" si="91"/>
        <v>C-14</v>
      </c>
      <c r="AC1174" s="2" t="str">
        <f t="shared" si="95"/>
        <v xml:space="preserve"> RINALDO </v>
      </c>
      <c r="AD1174" s="26">
        <f t="shared" si="92"/>
        <v>15</v>
      </c>
      <c r="AE1174" s="26">
        <f t="shared" ca="1" si="94"/>
        <v>28.126537847223517</v>
      </c>
    </row>
    <row r="1175" spans="1:31" hidden="1">
      <c r="A1175" s="209">
        <v>9421140</v>
      </c>
      <c r="B1175" s="209" t="s">
        <v>101</v>
      </c>
      <c r="C1175" s="210" t="s">
        <v>643</v>
      </c>
      <c r="D1175" s="214">
        <v>230019315</v>
      </c>
      <c r="E1175" s="214">
        <v>1059001400030</v>
      </c>
      <c r="F1175" s="209" t="s">
        <v>647</v>
      </c>
      <c r="G1175" s="209" t="s">
        <v>53</v>
      </c>
      <c r="H1175" s="209" t="s">
        <v>88</v>
      </c>
      <c r="I1175" s="209" t="s">
        <v>89</v>
      </c>
      <c r="J1175" s="209" t="s">
        <v>90</v>
      </c>
      <c r="K1175" s="210" t="s">
        <v>650</v>
      </c>
      <c r="L1175" s="210"/>
      <c r="M1175" s="209" t="s">
        <v>58</v>
      </c>
      <c r="N1175" s="209">
        <v>0</v>
      </c>
      <c r="O1175" s="209" t="s">
        <v>105</v>
      </c>
      <c r="P1175" s="211" t="s">
        <v>2184</v>
      </c>
      <c r="Q1175" s="209"/>
      <c r="R1175" s="209">
        <v>4</v>
      </c>
      <c r="S1175" s="209"/>
      <c r="T1175" s="209" t="s">
        <v>646</v>
      </c>
      <c r="U1175" s="211" t="s">
        <v>2185</v>
      </c>
      <c r="V1175" s="209" t="s">
        <v>41</v>
      </c>
      <c r="W1175" s="209" t="s">
        <v>49</v>
      </c>
      <c r="X1175" s="13" t="str">
        <f>IF(RIGHT(H1175,2)&lt;&gt;"00",H1175,"")</f>
        <v/>
      </c>
      <c r="Y1175" s="26">
        <f ca="1">NETWORKDAYS(P1175,$Y$1)</f>
        <v>21</v>
      </c>
      <c r="Z1175" s="34">
        <v>1</v>
      </c>
      <c r="AA1175" s="25" t="str">
        <f t="shared" ca="1" si="93"/>
        <v>A VENCER</v>
      </c>
      <c r="AB1175" s="25" t="str">
        <f t="shared" si="91"/>
        <v>C-14</v>
      </c>
      <c r="AC1175" s="2" t="str">
        <f t="shared" si="95"/>
        <v xml:space="preserve"> RINALDO </v>
      </c>
      <c r="AD1175" s="26">
        <f t="shared" si="92"/>
        <v>15</v>
      </c>
      <c r="AE1175" s="26">
        <f t="shared" ca="1" si="94"/>
        <v>28.128991550926003</v>
      </c>
    </row>
    <row r="1176" spans="1:31" hidden="1">
      <c r="A1176" s="209">
        <v>9421115</v>
      </c>
      <c r="B1176" s="209" t="s">
        <v>101</v>
      </c>
      <c r="C1176" s="210" t="s">
        <v>643</v>
      </c>
      <c r="D1176" s="214">
        <v>230019301</v>
      </c>
      <c r="E1176" s="214">
        <v>1028001400030</v>
      </c>
      <c r="F1176" s="209" t="s">
        <v>647</v>
      </c>
      <c r="G1176" s="209" t="s">
        <v>53</v>
      </c>
      <c r="H1176" s="209" t="s">
        <v>1079</v>
      </c>
      <c r="I1176" s="209" t="s">
        <v>1080</v>
      </c>
      <c r="J1176" s="209" t="s">
        <v>85</v>
      </c>
      <c r="K1176" s="210" t="s">
        <v>650</v>
      </c>
      <c r="L1176" s="210"/>
      <c r="M1176" s="209" t="s">
        <v>58</v>
      </c>
      <c r="N1176" s="209">
        <v>0</v>
      </c>
      <c r="O1176" s="209" t="s">
        <v>105</v>
      </c>
      <c r="P1176" s="211" t="s">
        <v>2186</v>
      </c>
      <c r="Q1176" s="209"/>
      <c r="R1176" s="209">
        <v>4</v>
      </c>
      <c r="S1176" s="209"/>
      <c r="T1176" s="209" t="s">
        <v>646</v>
      </c>
      <c r="U1176" s="211" t="s">
        <v>2187</v>
      </c>
      <c r="V1176" s="209" t="s">
        <v>41</v>
      </c>
      <c r="W1176" s="209" t="s">
        <v>49</v>
      </c>
      <c r="X1176" s="13" t="str">
        <f>IF(RIGHT(H1176,2)&lt;&gt;"00",H1176,"")</f>
        <v/>
      </c>
      <c r="Y1176" s="26">
        <f ca="1">NETWORKDAYS(P1176,$Y$1)</f>
        <v>21</v>
      </c>
      <c r="Z1176" s="34">
        <v>1</v>
      </c>
      <c r="AA1176" s="25" t="str">
        <f t="shared" ca="1" si="93"/>
        <v>A VENCER</v>
      </c>
      <c r="AB1176" s="25" t="str">
        <f t="shared" si="91"/>
        <v>C-14</v>
      </c>
      <c r="AC1176" s="2" t="str">
        <f t="shared" si="95"/>
        <v xml:space="preserve"> RINALDO </v>
      </c>
      <c r="AD1176" s="26">
        <f t="shared" si="92"/>
        <v>15</v>
      </c>
      <c r="AE1176" s="26">
        <f t="shared" ca="1" si="94"/>
        <v>28.130507754627615</v>
      </c>
    </row>
    <row r="1177" spans="1:31" hidden="1">
      <c r="A1177" s="209">
        <v>9421027</v>
      </c>
      <c r="B1177" s="209" t="s">
        <v>101</v>
      </c>
      <c r="C1177" s="210" t="s">
        <v>643</v>
      </c>
      <c r="D1177" s="214">
        <v>230018996</v>
      </c>
      <c r="E1177" s="214">
        <v>115001400030</v>
      </c>
      <c r="F1177" s="209" t="s">
        <v>647</v>
      </c>
      <c r="G1177" s="209" t="s">
        <v>53</v>
      </c>
      <c r="H1177" s="209" t="s">
        <v>542</v>
      </c>
      <c r="I1177" s="209" t="s">
        <v>543</v>
      </c>
      <c r="J1177" s="209" t="s">
        <v>56</v>
      </c>
      <c r="K1177" s="210" t="s">
        <v>650</v>
      </c>
      <c r="L1177" s="210"/>
      <c r="M1177" s="209" t="s">
        <v>58</v>
      </c>
      <c r="N1177" s="209">
        <v>0</v>
      </c>
      <c r="O1177" s="209" t="s">
        <v>105</v>
      </c>
      <c r="P1177" s="211" t="s">
        <v>2188</v>
      </c>
      <c r="Q1177" s="209"/>
      <c r="R1177" s="209">
        <v>4</v>
      </c>
      <c r="S1177" s="209"/>
      <c r="T1177" s="209" t="s">
        <v>646</v>
      </c>
      <c r="U1177" s="211" t="s">
        <v>2189</v>
      </c>
      <c r="V1177" s="209" t="s">
        <v>41</v>
      </c>
      <c r="W1177" s="209" t="s">
        <v>49</v>
      </c>
      <c r="X1177" s="13" t="str">
        <f>IF(RIGHT(H1177,2)&lt;&gt;"00",H1177,"")</f>
        <v/>
      </c>
      <c r="Y1177" s="26">
        <f ca="1">NETWORKDAYS(P1177,$Y$1)</f>
        <v>21</v>
      </c>
      <c r="Z1177" s="34">
        <v>1</v>
      </c>
      <c r="AA1177" s="25" t="str">
        <f t="shared" ca="1" si="93"/>
        <v>A VENCER</v>
      </c>
      <c r="AB1177" s="25" t="str">
        <f t="shared" si="91"/>
        <v>C-14</v>
      </c>
      <c r="AC1177" s="2" t="str">
        <f t="shared" si="95"/>
        <v xml:space="preserve"> CRISTINA </v>
      </c>
      <c r="AD1177" s="26">
        <f t="shared" si="92"/>
        <v>15</v>
      </c>
      <c r="AE1177" s="26">
        <f t="shared" ca="1" si="94"/>
        <v>28.136109606479295</v>
      </c>
    </row>
    <row r="1178" spans="1:31" hidden="1">
      <c r="A1178" s="209">
        <v>9420968</v>
      </c>
      <c r="B1178" s="209" t="s">
        <v>101</v>
      </c>
      <c r="C1178" s="210" t="s">
        <v>643</v>
      </c>
      <c r="D1178" s="214">
        <v>230019349</v>
      </c>
      <c r="E1178" s="214">
        <v>1153001400030</v>
      </c>
      <c r="F1178" s="209" t="s">
        <v>647</v>
      </c>
      <c r="G1178" s="209" t="s">
        <v>53</v>
      </c>
      <c r="H1178" s="209" t="s">
        <v>1031</v>
      </c>
      <c r="I1178" s="209" t="s">
        <v>1032</v>
      </c>
      <c r="J1178" s="209" t="s">
        <v>79</v>
      </c>
      <c r="K1178" s="210" t="s">
        <v>650</v>
      </c>
      <c r="L1178" s="210"/>
      <c r="M1178" s="209" t="s">
        <v>58</v>
      </c>
      <c r="N1178" s="209">
        <v>0</v>
      </c>
      <c r="O1178" s="209" t="s">
        <v>105</v>
      </c>
      <c r="P1178" s="211" t="s">
        <v>2190</v>
      </c>
      <c r="Q1178" s="209"/>
      <c r="R1178" s="209">
        <v>4</v>
      </c>
      <c r="S1178" s="209"/>
      <c r="T1178" s="209" t="s">
        <v>646</v>
      </c>
      <c r="U1178" s="211" t="s">
        <v>2191</v>
      </c>
      <c r="V1178" s="209" t="s">
        <v>41</v>
      </c>
      <c r="W1178" s="209" t="s">
        <v>49</v>
      </c>
      <c r="X1178" s="13" t="str">
        <f>IF(RIGHT(H1178,2)&lt;&gt;"00",H1178,"")</f>
        <v/>
      </c>
      <c r="Y1178" s="26">
        <f ca="1">NETWORKDAYS(P1178,$Y$1)</f>
        <v>21</v>
      </c>
      <c r="Z1178" s="34">
        <v>1</v>
      </c>
      <c r="AA1178" s="25" t="str">
        <f t="shared" ca="1" si="93"/>
        <v>A VENCER</v>
      </c>
      <c r="AB1178" s="25" t="str">
        <f t="shared" si="91"/>
        <v>C-14</v>
      </c>
      <c r="AC1178" s="2" t="str">
        <f t="shared" si="95"/>
        <v xml:space="preserve"> ROSEMERE </v>
      </c>
      <c r="AD1178" s="26">
        <f t="shared" si="92"/>
        <v>15</v>
      </c>
      <c r="AE1178" s="26">
        <f t="shared" ca="1" si="94"/>
        <v>28.140322569444834</v>
      </c>
    </row>
    <row r="1179" spans="1:31" hidden="1">
      <c r="A1179" s="209">
        <v>9420756</v>
      </c>
      <c r="B1179" s="209" t="s">
        <v>101</v>
      </c>
      <c r="C1179" s="210" t="s">
        <v>643</v>
      </c>
      <c r="D1179" s="214">
        <v>230018030</v>
      </c>
      <c r="E1179" s="214">
        <v>1739001400010</v>
      </c>
      <c r="F1179" s="209" t="s">
        <v>936</v>
      </c>
      <c r="G1179" s="209" t="s">
        <v>53</v>
      </c>
      <c r="H1179" s="209" t="s">
        <v>162</v>
      </c>
      <c r="I1179" s="209" t="s">
        <v>163</v>
      </c>
      <c r="J1179" s="209" t="s">
        <v>164</v>
      </c>
      <c r="K1179" s="210" t="s">
        <v>937</v>
      </c>
      <c r="L1179" s="210"/>
      <c r="M1179" s="209" t="s">
        <v>58</v>
      </c>
      <c r="N1179" s="209">
        <v>0</v>
      </c>
      <c r="O1179" s="209" t="s">
        <v>105</v>
      </c>
      <c r="P1179" s="211" t="s">
        <v>2194</v>
      </c>
      <c r="Q1179" s="209"/>
      <c r="R1179" s="209">
        <v>3</v>
      </c>
      <c r="S1179" s="209"/>
      <c r="T1179" s="209" t="s">
        <v>646</v>
      </c>
      <c r="U1179" s="211" t="s">
        <v>2195</v>
      </c>
      <c r="V1179" s="209" t="s">
        <v>41</v>
      </c>
      <c r="W1179" s="209" t="s">
        <v>49</v>
      </c>
      <c r="X1179" s="13" t="str">
        <f>IF(RIGHT(H1179,2)&lt;&gt;"00",H1179,"")</f>
        <v/>
      </c>
      <c r="Y1179" s="26">
        <f ca="1">NETWORKDAYS(P1179,$Y$1)</f>
        <v>21</v>
      </c>
      <c r="Z1179" s="34">
        <v>1</v>
      </c>
      <c r="AA1179" s="25" t="str">
        <f t="shared" ca="1" si="93"/>
        <v>A VENCER</v>
      </c>
      <c r="AB1179" s="25" t="str">
        <f t="shared" si="91"/>
        <v>C-14</v>
      </c>
      <c r="AC1179" s="2" t="str">
        <f t="shared" si="95"/>
        <v xml:space="preserve"> ROSEMERE </v>
      </c>
      <c r="AD1179" s="26">
        <f t="shared" si="92"/>
        <v>5</v>
      </c>
      <c r="AE1179" s="26">
        <f t="shared" ca="1" si="94"/>
        <v>28.148875810184109</v>
      </c>
    </row>
    <row r="1180" spans="1:31" hidden="1">
      <c r="A1180" s="209">
        <v>9420700</v>
      </c>
      <c r="B1180" s="209" t="s">
        <v>101</v>
      </c>
      <c r="C1180" s="210" t="s">
        <v>643</v>
      </c>
      <c r="D1180" s="214">
        <v>230018183</v>
      </c>
      <c r="E1180" s="214">
        <v>2229001400010</v>
      </c>
      <c r="F1180" s="209" t="s">
        <v>936</v>
      </c>
      <c r="G1180" s="209" t="s">
        <v>53</v>
      </c>
      <c r="H1180" s="209" t="s">
        <v>339</v>
      </c>
      <c r="I1180" s="209" t="s">
        <v>340</v>
      </c>
      <c r="J1180" s="209" t="s">
        <v>211</v>
      </c>
      <c r="K1180" s="210" t="s">
        <v>937</v>
      </c>
      <c r="L1180" s="210"/>
      <c r="M1180" s="209" t="s">
        <v>58</v>
      </c>
      <c r="N1180" s="209">
        <v>0</v>
      </c>
      <c r="O1180" s="209" t="s">
        <v>105</v>
      </c>
      <c r="P1180" s="211" t="s">
        <v>2200</v>
      </c>
      <c r="Q1180" s="209"/>
      <c r="R1180" s="209">
        <v>3</v>
      </c>
      <c r="S1180" s="209"/>
      <c r="T1180" s="209" t="s">
        <v>646</v>
      </c>
      <c r="U1180" s="211" t="s">
        <v>2201</v>
      </c>
      <c r="V1180" s="209" t="s">
        <v>41</v>
      </c>
      <c r="W1180" s="209" t="s">
        <v>49</v>
      </c>
      <c r="X1180" s="13" t="str">
        <f>IF(RIGHT(H1180,2)&lt;&gt;"00",H1180,"")</f>
        <v/>
      </c>
      <c r="Y1180" s="26">
        <f ca="1">NETWORKDAYS(P1180,$Y$1)</f>
        <v>21</v>
      </c>
      <c r="Z1180" s="34">
        <v>1</v>
      </c>
      <c r="AA1180" s="25" t="str">
        <f t="shared" ca="1" si="93"/>
        <v>A VENCER</v>
      </c>
      <c r="AB1180" s="25" t="str">
        <f t="shared" si="91"/>
        <v>C-14</v>
      </c>
      <c r="AC1180" s="2" t="str">
        <f t="shared" si="95"/>
        <v xml:space="preserve"> RINALDO </v>
      </c>
      <c r="AD1180" s="26">
        <f t="shared" si="92"/>
        <v>5</v>
      </c>
      <c r="AE1180" s="26">
        <f t="shared" ca="1" si="94"/>
        <v>28.151676736109948</v>
      </c>
    </row>
    <row r="1181" spans="1:31" hidden="1">
      <c r="A1181" s="209">
        <v>9420634</v>
      </c>
      <c r="B1181" s="209" t="s">
        <v>101</v>
      </c>
      <c r="C1181" s="210" t="s">
        <v>643</v>
      </c>
      <c r="D1181" s="214">
        <v>230018019</v>
      </c>
      <c r="E1181" s="214">
        <v>1710001400010</v>
      </c>
      <c r="F1181" s="209" t="s">
        <v>936</v>
      </c>
      <c r="G1181" s="209" t="s">
        <v>53</v>
      </c>
      <c r="H1181" s="209" t="s">
        <v>327</v>
      </c>
      <c r="I1181" s="209" t="s">
        <v>328</v>
      </c>
      <c r="J1181" s="209" t="s">
        <v>261</v>
      </c>
      <c r="K1181" s="210" t="s">
        <v>937</v>
      </c>
      <c r="L1181" s="210"/>
      <c r="M1181" s="209" t="s">
        <v>58</v>
      </c>
      <c r="N1181" s="209">
        <v>0</v>
      </c>
      <c r="O1181" s="209" t="s">
        <v>105</v>
      </c>
      <c r="P1181" s="211" t="s">
        <v>2204</v>
      </c>
      <c r="Q1181" s="209"/>
      <c r="R1181" s="209">
        <v>3</v>
      </c>
      <c r="S1181" s="209"/>
      <c r="T1181" s="209" t="s">
        <v>646</v>
      </c>
      <c r="U1181" s="211" t="s">
        <v>2205</v>
      </c>
      <c r="V1181" s="209" t="s">
        <v>41</v>
      </c>
      <c r="W1181" s="209" t="s">
        <v>49</v>
      </c>
      <c r="X1181" s="13" t="str">
        <f>IF(RIGHT(H1181,2)&lt;&gt;"00",H1181,"")</f>
        <v/>
      </c>
      <c r="Y1181" s="26">
        <f ca="1">NETWORKDAYS(P1181,$Y$1)</f>
        <v>21</v>
      </c>
      <c r="Z1181" s="34">
        <v>1</v>
      </c>
      <c r="AA1181" s="25" t="str">
        <f t="shared" ca="1" si="93"/>
        <v>A VENCER</v>
      </c>
      <c r="AB1181" s="25" t="str">
        <f t="shared" ref="AB1181:AB1244" si="96">IF(F1181="GRPE-000001","C-14",IF(F1181="GRPE-000002","C-14",IF(F1181="GRPE-000003","C-14",IF(F1181="GRPE-000004","SL-On",IF(F1181="GRPE-000038","C-14",IF(F1181="GRPE-900022","Dosa",IF(F1181="GRPE-000029","Dosa",IF(F1181="ATOS-000222","Dose","TAAe+"))))))))</f>
        <v>C-14</v>
      </c>
      <c r="AC1181" s="2" t="str">
        <f t="shared" si="95"/>
        <v xml:space="preserve"> CRISTINA </v>
      </c>
      <c r="AD1181" s="26">
        <f t="shared" ref="AD1181:AD1244" si="97">IF(F1181="GRPE-000001",5,IF(F1181="GRPE-000002",5,IF(F1181="GRPE-000003",15,IF(F1181="GRPE-000004",1,IF(F1181="GRPE-000038",5,IF(F1181="GRPE-900022",5,IF(F1181="GRPE-000029",5,IF(F1181="ATOS-000222",5,8))))))))</f>
        <v>5</v>
      </c>
      <c r="AE1181" s="26">
        <f t="shared" ca="1" si="94"/>
        <v>28.155218402775063</v>
      </c>
    </row>
    <row r="1182" spans="1:31" hidden="1">
      <c r="A1182" s="209">
        <v>9420518</v>
      </c>
      <c r="B1182" s="209" t="s">
        <v>101</v>
      </c>
      <c r="C1182" s="210" t="s">
        <v>643</v>
      </c>
      <c r="D1182" s="214">
        <v>230018414</v>
      </c>
      <c r="E1182" s="214">
        <v>2889001400010</v>
      </c>
      <c r="F1182" s="209" t="s">
        <v>936</v>
      </c>
      <c r="G1182" s="209" t="s">
        <v>53</v>
      </c>
      <c r="H1182" s="209" t="s">
        <v>418</v>
      </c>
      <c r="I1182" s="209" t="s">
        <v>419</v>
      </c>
      <c r="J1182" s="209" t="s">
        <v>46</v>
      </c>
      <c r="K1182" s="210" t="s">
        <v>937</v>
      </c>
      <c r="L1182" s="210"/>
      <c r="M1182" s="209" t="s">
        <v>58</v>
      </c>
      <c r="N1182" s="209">
        <v>0</v>
      </c>
      <c r="O1182" s="209" t="s">
        <v>36</v>
      </c>
      <c r="P1182" s="211" t="s">
        <v>2208</v>
      </c>
      <c r="Q1182" s="209"/>
      <c r="R1182" s="209">
        <v>3</v>
      </c>
      <c r="S1182" s="209"/>
      <c r="T1182" s="209" t="s">
        <v>646</v>
      </c>
      <c r="U1182" s="211" t="s">
        <v>2209</v>
      </c>
      <c r="V1182" s="209" t="s">
        <v>41</v>
      </c>
      <c r="W1182" s="209" t="s">
        <v>49</v>
      </c>
      <c r="X1182" s="13" t="str">
        <f>IF(RIGHT(H1182,2)&lt;&gt;"00",H1182,"")</f>
        <v/>
      </c>
      <c r="Y1182" s="26">
        <f ca="1">NETWORKDAYS(P1182,$Y$1)</f>
        <v>21</v>
      </c>
      <c r="Z1182" s="34">
        <v>1</v>
      </c>
      <c r="AA1182" s="25" t="str">
        <f t="shared" ca="1" si="93"/>
        <v>A VENCER</v>
      </c>
      <c r="AB1182" s="25" t="str">
        <f t="shared" si="96"/>
        <v>C-14</v>
      </c>
      <c r="AC1182" s="2" t="str">
        <f t="shared" si="95"/>
        <v xml:space="preserve"> CLEITON </v>
      </c>
      <c r="AD1182" s="26">
        <f t="shared" si="97"/>
        <v>5</v>
      </c>
      <c r="AE1182" s="26">
        <f t="shared" ca="1" si="94"/>
        <v>28.161121180557529</v>
      </c>
    </row>
    <row r="1183" spans="1:31" hidden="1">
      <c r="A1183" s="209">
        <v>9420284</v>
      </c>
      <c r="B1183" s="209" t="s">
        <v>101</v>
      </c>
      <c r="C1183" s="210" t="s">
        <v>643</v>
      </c>
      <c r="D1183" s="214">
        <v>230017858</v>
      </c>
      <c r="E1183" s="214">
        <v>1361001400010</v>
      </c>
      <c r="F1183" s="209" t="s">
        <v>936</v>
      </c>
      <c r="G1183" s="209" t="s">
        <v>53</v>
      </c>
      <c r="H1183" s="209" t="s">
        <v>309</v>
      </c>
      <c r="I1183" s="209" t="s">
        <v>310</v>
      </c>
      <c r="J1183" s="209" t="s">
        <v>46</v>
      </c>
      <c r="K1183" s="210" t="s">
        <v>937</v>
      </c>
      <c r="L1183" s="210"/>
      <c r="M1183" s="209" t="s">
        <v>58</v>
      </c>
      <c r="N1183" s="209">
        <v>0</v>
      </c>
      <c r="O1183" s="209" t="s">
        <v>105</v>
      </c>
      <c r="P1183" s="211" t="s">
        <v>2212</v>
      </c>
      <c r="Q1183" s="209"/>
      <c r="R1183" s="209">
        <v>3</v>
      </c>
      <c r="S1183" s="209"/>
      <c r="T1183" s="209" t="s">
        <v>646</v>
      </c>
      <c r="U1183" s="211" t="s">
        <v>2213</v>
      </c>
      <c r="V1183" s="209" t="s">
        <v>41</v>
      </c>
      <c r="W1183" s="209" t="s">
        <v>49</v>
      </c>
      <c r="X1183" s="13" t="str">
        <f>IF(RIGHT(H1183,2)&lt;&gt;"00",H1183,"")</f>
        <v/>
      </c>
      <c r="Y1183" s="26">
        <f ca="1">NETWORKDAYS(P1183,$Y$1)</f>
        <v>21</v>
      </c>
      <c r="Z1183" s="34">
        <v>1</v>
      </c>
      <c r="AA1183" s="25" t="str">
        <f t="shared" ca="1" si="93"/>
        <v>A VENCER</v>
      </c>
      <c r="AB1183" s="25" t="str">
        <f t="shared" si="96"/>
        <v>C-14</v>
      </c>
      <c r="AC1183" s="2" t="str">
        <f t="shared" si="95"/>
        <v xml:space="preserve"> CLEITON </v>
      </c>
      <c r="AD1183" s="26">
        <f t="shared" si="97"/>
        <v>5</v>
      </c>
      <c r="AE1183" s="26">
        <f t="shared" ca="1" si="94"/>
        <v>28.173054050923383</v>
      </c>
    </row>
    <row r="1184" spans="1:31" hidden="1">
      <c r="A1184" s="209">
        <v>9420231</v>
      </c>
      <c r="B1184" s="209" t="s">
        <v>101</v>
      </c>
      <c r="C1184" s="210" t="s">
        <v>643</v>
      </c>
      <c r="D1184" s="214">
        <v>230017980</v>
      </c>
      <c r="E1184" s="214">
        <v>1620001400010</v>
      </c>
      <c r="F1184" s="209" t="s">
        <v>936</v>
      </c>
      <c r="G1184" s="209" t="s">
        <v>53</v>
      </c>
      <c r="H1184" s="209" t="s">
        <v>402</v>
      </c>
      <c r="I1184" s="209" t="s">
        <v>403</v>
      </c>
      <c r="J1184" s="209" t="s">
        <v>46</v>
      </c>
      <c r="K1184" s="210" t="s">
        <v>937</v>
      </c>
      <c r="L1184" s="210"/>
      <c r="M1184" s="209" t="s">
        <v>58</v>
      </c>
      <c r="N1184" s="209">
        <v>0</v>
      </c>
      <c r="O1184" s="209" t="s">
        <v>105</v>
      </c>
      <c r="P1184" s="211" t="s">
        <v>2214</v>
      </c>
      <c r="Q1184" s="209"/>
      <c r="R1184" s="209">
        <v>3</v>
      </c>
      <c r="S1184" s="209"/>
      <c r="T1184" s="209" t="s">
        <v>646</v>
      </c>
      <c r="U1184" s="211" t="s">
        <v>2215</v>
      </c>
      <c r="V1184" s="209" t="s">
        <v>41</v>
      </c>
      <c r="W1184" s="209" t="s">
        <v>49</v>
      </c>
      <c r="X1184" s="13" t="str">
        <f>IF(RIGHT(H1184,2)&lt;&gt;"00",H1184,"")</f>
        <v/>
      </c>
      <c r="Y1184" s="26">
        <f ca="1">NETWORKDAYS(P1184,$Y$1)</f>
        <v>21</v>
      </c>
      <c r="Z1184" s="34">
        <v>1</v>
      </c>
      <c r="AA1184" s="25" t="str">
        <f t="shared" ca="1" si="93"/>
        <v>A VENCER</v>
      </c>
      <c r="AB1184" s="25" t="str">
        <f t="shared" si="96"/>
        <v>C-14</v>
      </c>
      <c r="AC1184" s="2" t="str">
        <f t="shared" si="95"/>
        <v xml:space="preserve"> CLEITON </v>
      </c>
      <c r="AD1184" s="26">
        <f t="shared" si="97"/>
        <v>5</v>
      </c>
      <c r="AE1184" s="26">
        <f t="shared" ca="1" si="94"/>
        <v>28.17622534721886</v>
      </c>
    </row>
    <row r="1185" spans="1:31" hidden="1">
      <c r="A1185" s="209">
        <v>9420175</v>
      </c>
      <c r="B1185" s="209" t="s">
        <v>101</v>
      </c>
      <c r="C1185" s="210" t="s">
        <v>643</v>
      </c>
      <c r="D1185" s="214">
        <v>230017622</v>
      </c>
      <c r="E1185" s="214">
        <v>721001400010</v>
      </c>
      <c r="F1185" s="209" t="s">
        <v>936</v>
      </c>
      <c r="G1185" s="209" t="s">
        <v>53</v>
      </c>
      <c r="H1185" s="209" t="s">
        <v>422</v>
      </c>
      <c r="I1185" s="209" t="s">
        <v>423</v>
      </c>
      <c r="J1185" s="209" t="s">
        <v>79</v>
      </c>
      <c r="K1185" s="210" t="s">
        <v>937</v>
      </c>
      <c r="L1185" s="210"/>
      <c r="M1185" s="209" t="s">
        <v>58</v>
      </c>
      <c r="N1185" s="209">
        <v>0</v>
      </c>
      <c r="O1185" s="209" t="s">
        <v>105</v>
      </c>
      <c r="P1185" s="211" t="s">
        <v>2216</v>
      </c>
      <c r="Q1185" s="209"/>
      <c r="R1185" s="209">
        <v>3</v>
      </c>
      <c r="S1185" s="209"/>
      <c r="T1185" s="209" t="s">
        <v>646</v>
      </c>
      <c r="U1185" s="211" t="s">
        <v>2217</v>
      </c>
      <c r="V1185" s="209" t="s">
        <v>41</v>
      </c>
      <c r="W1185" s="209" t="s">
        <v>49</v>
      </c>
      <c r="X1185" s="13" t="str">
        <f>IF(RIGHT(H1185,2)&lt;&gt;"00",H1185,"")</f>
        <v/>
      </c>
      <c r="Y1185" s="26">
        <f ca="1">NETWORKDAYS(P1185,$Y$1)</f>
        <v>21</v>
      </c>
      <c r="Z1185" s="34">
        <v>1</v>
      </c>
      <c r="AA1185" s="25" t="str">
        <f t="shared" ca="1" si="93"/>
        <v>A VENCER</v>
      </c>
      <c r="AB1185" s="25" t="str">
        <f t="shared" si="96"/>
        <v>C-14</v>
      </c>
      <c r="AC1185" s="2" t="str">
        <f t="shared" si="95"/>
        <v xml:space="preserve"> ROSEMERE </v>
      </c>
      <c r="AD1185" s="26">
        <f t="shared" si="97"/>
        <v>5</v>
      </c>
      <c r="AE1185" s="26">
        <f t="shared" ca="1" si="94"/>
        <v>28.178852662036661</v>
      </c>
    </row>
    <row r="1186" spans="1:31" hidden="1">
      <c r="A1186" s="209">
        <v>9419921</v>
      </c>
      <c r="B1186" s="209" t="s">
        <v>101</v>
      </c>
      <c r="C1186" s="210" t="s">
        <v>643</v>
      </c>
      <c r="D1186" s="214">
        <v>230021431</v>
      </c>
      <c r="E1186" s="214">
        <v>2138001400040</v>
      </c>
      <c r="F1186" s="209" t="s">
        <v>644</v>
      </c>
      <c r="G1186" s="209" t="s">
        <v>53</v>
      </c>
      <c r="H1186" s="209" t="s">
        <v>379</v>
      </c>
      <c r="I1186" s="209" t="s">
        <v>380</v>
      </c>
      <c r="J1186" s="209" t="s">
        <v>46</v>
      </c>
      <c r="K1186" s="210" t="s">
        <v>645</v>
      </c>
      <c r="L1186" s="210"/>
      <c r="M1186" s="209" t="s">
        <v>58</v>
      </c>
      <c r="N1186" s="209">
        <v>0</v>
      </c>
      <c r="O1186" s="209" t="s">
        <v>105</v>
      </c>
      <c r="P1186" s="211" t="s">
        <v>2220</v>
      </c>
      <c r="Q1186" s="209"/>
      <c r="R1186" s="209">
        <v>3</v>
      </c>
      <c r="S1186" s="209"/>
      <c r="T1186" s="209" t="s">
        <v>646</v>
      </c>
      <c r="U1186" s="211" t="s">
        <v>2221</v>
      </c>
      <c r="V1186" s="209" t="s">
        <v>41</v>
      </c>
      <c r="W1186" s="209" t="s">
        <v>49</v>
      </c>
      <c r="X1186" s="13" t="str">
        <f>IF(RIGHT(H1186,2)&lt;&gt;"00",H1186,"")</f>
        <v/>
      </c>
      <c r="Y1186" s="26">
        <f ca="1">NETWORKDAYS(P1186,$Y$1)</f>
        <v>21</v>
      </c>
      <c r="Z1186" s="34">
        <v>1</v>
      </c>
      <c r="AA1186" s="25" t="str">
        <f t="shared" ca="1" si="93"/>
        <v>A VENCER</v>
      </c>
      <c r="AB1186" s="25" t="str">
        <f t="shared" si="96"/>
        <v>SL-On</v>
      </c>
      <c r="AC1186" s="2" t="str">
        <f t="shared" si="95"/>
        <v xml:space="preserve"> CLEITON </v>
      </c>
      <c r="AD1186" s="26">
        <f t="shared" si="97"/>
        <v>1</v>
      </c>
      <c r="AE1186" s="26">
        <f t="shared" ca="1" si="94"/>
        <v>28.192868865742639</v>
      </c>
    </row>
    <row r="1187" spans="1:31" hidden="1">
      <c r="A1187" s="209">
        <v>9419909</v>
      </c>
      <c r="B1187" s="209" t="s">
        <v>101</v>
      </c>
      <c r="C1187" s="210" t="s">
        <v>643</v>
      </c>
      <c r="D1187" s="214">
        <v>230021419</v>
      </c>
      <c r="E1187" s="214">
        <v>2107001400040</v>
      </c>
      <c r="F1187" s="209" t="s">
        <v>644</v>
      </c>
      <c r="G1187" s="209" t="s">
        <v>53</v>
      </c>
      <c r="H1187" s="209" t="s">
        <v>262</v>
      </c>
      <c r="I1187" s="209" t="s">
        <v>263</v>
      </c>
      <c r="J1187" s="209" t="s">
        <v>164</v>
      </c>
      <c r="K1187" s="210" t="s">
        <v>645</v>
      </c>
      <c r="L1187" s="210"/>
      <c r="M1187" s="209" t="s">
        <v>58</v>
      </c>
      <c r="N1187" s="209">
        <v>0</v>
      </c>
      <c r="O1187" s="209" t="s">
        <v>105</v>
      </c>
      <c r="P1187" s="211" t="s">
        <v>2222</v>
      </c>
      <c r="Q1187" s="209"/>
      <c r="R1187" s="209">
        <v>3</v>
      </c>
      <c r="S1187" s="209"/>
      <c r="T1187" s="209" t="s">
        <v>646</v>
      </c>
      <c r="U1187" s="211" t="s">
        <v>2223</v>
      </c>
      <c r="V1187" s="209" t="s">
        <v>41</v>
      </c>
      <c r="W1187" s="209" t="s">
        <v>49</v>
      </c>
      <c r="X1187" s="13" t="str">
        <f>IF(RIGHT(H1187,2)&lt;&gt;"00",H1187,"")</f>
        <v/>
      </c>
      <c r="Y1187" s="26">
        <f ca="1">NETWORKDAYS(P1187,$Y$1)</f>
        <v>21</v>
      </c>
      <c r="Z1187" s="34">
        <v>1</v>
      </c>
      <c r="AA1187" s="25" t="str">
        <f t="shared" ca="1" si="93"/>
        <v>A VENCER</v>
      </c>
      <c r="AB1187" s="25" t="str">
        <f t="shared" si="96"/>
        <v>SL-On</v>
      </c>
      <c r="AC1187" s="2" t="str">
        <f t="shared" si="95"/>
        <v xml:space="preserve"> ROSEMERE </v>
      </c>
      <c r="AD1187" s="26">
        <f t="shared" si="97"/>
        <v>1</v>
      </c>
      <c r="AE1187" s="26">
        <f t="shared" ca="1" si="94"/>
        <v>28.194072569443961</v>
      </c>
    </row>
    <row r="1188" spans="1:31" hidden="1">
      <c r="A1188" s="209">
        <v>9419884</v>
      </c>
      <c r="B1188" s="209" t="s">
        <v>101</v>
      </c>
      <c r="C1188" s="210" t="s">
        <v>643</v>
      </c>
      <c r="D1188" s="214">
        <v>230021406</v>
      </c>
      <c r="E1188" s="214">
        <v>2069001400040</v>
      </c>
      <c r="F1188" s="209" t="s">
        <v>644</v>
      </c>
      <c r="G1188" s="209" t="s">
        <v>53</v>
      </c>
      <c r="H1188" s="209" t="s">
        <v>557</v>
      </c>
      <c r="I1188" s="209" t="s">
        <v>558</v>
      </c>
      <c r="J1188" s="209" t="s">
        <v>90</v>
      </c>
      <c r="K1188" s="210" t="s">
        <v>645</v>
      </c>
      <c r="L1188" s="210"/>
      <c r="M1188" s="209" t="s">
        <v>58</v>
      </c>
      <c r="N1188" s="209">
        <v>0</v>
      </c>
      <c r="O1188" s="209" t="s">
        <v>105</v>
      </c>
      <c r="P1188" s="211" t="s">
        <v>2224</v>
      </c>
      <c r="Q1188" s="209"/>
      <c r="R1188" s="209">
        <v>2</v>
      </c>
      <c r="S1188" s="209"/>
      <c r="T1188" s="209" t="s">
        <v>646</v>
      </c>
      <c r="U1188" s="211" t="s">
        <v>2225</v>
      </c>
      <c r="V1188" s="209" t="s">
        <v>41</v>
      </c>
      <c r="W1188" s="209" t="s">
        <v>49</v>
      </c>
      <c r="X1188" s="13" t="str">
        <f>IF(RIGHT(H1188,2)&lt;&gt;"00",H1188,"")</f>
        <v/>
      </c>
      <c r="Y1188" s="26">
        <f ca="1">NETWORKDAYS(P1188,$Y$1)</f>
        <v>21</v>
      </c>
      <c r="Z1188" s="34">
        <v>1</v>
      </c>
      <c r="AA1188" s="25" t="str">
        <f t="shared" ca="1" si="93"/>
        <v>A VENCER</v>
      </c>
      <c r="AB1188" s="25" t="str">
        <f t="shared" si="96"/>
        <v>SL-On</v>
      </c>
      <c r="AC1188" s="2" t="str">
        <f t="shared" si="95"/>
        <v xml:space="preserve"> RINALDO </v>
      </c>
      <c r="AD1188" s="26">
        <f t="shared" si="97"/>
        <v>1</v>
      </c>
      <c r="AE1188" s="26">
        <f t="shared" ca="1" si="94"/>
        <v>28.195345717591408</v>
      </c>
    </row>
    <row r="1189" spans="1:31" hidden="1">
      <c r="A1189" s="209">
        <v>9419831</v>
      </c>
      <c r="B1189" s="209" t="s">
        <v>101</v>
      </c>
      <c r="C1189" s="210" t="s">
        <v>643</v>
      </c>
      <c r="D1189" s="214">
        <v>230021369</v>
      </c>
      <c r="E1189" s="214">
        <v>1838001400040</v>
      </c>
      <c r="F1189" s="209" t="s">
        <v>644</v>
      </c>
      <c r="G1189" s="209" t="s">
        <v>53</v>
      </c>
      <c r="H1189" s="209" t="s">
        <v>357</v>
      </c>
      <c r="I1189" s="209" t="s">
        <v>358</v>
      </c>
      <c r="J1189" s="209" t="s">
        <v>46</v>
      </c>
      <c r="K1189" s="210" t="s">
        <v>645</v>
      </c>
      <c r="L1189" s="210"/>
      <c r="M1189" s="209" t="s">
        <v>58</v>
      </c>
      <c r="N1189" s="209">
        <v>0</v>
      </c>
      <c r="O1189" s="209" t="s">
        <v>105</v>
      </c>
      <c r="P1189" s="211" t="s">
        <v>2226</v>
      </c>
      <c r="Q1189" s="209"/>
      <c r="R1189" s="209">
        <v>2</v>
      </c>
      <c r="S1189" s="209"/>
      <c r="T1189" s="209" t="s">
        <v>646</v>
      </c>
      <c r="U1189" s="211" t="s">
        <v>2227</v>
      </c>
      <c r="V1189" s="209" t="s">
        <v>41</v>
      </c>
      <c r="W1189" s="209" t="s">
        <v>49</v>
      </c>
      <c r="X1189" s="13" t="str">
        <f>IF(RIGHT(H1189,2)&lt;&gt;"00",H1189,"")</f>
        <v/>
      </c>
      <c r="Y1189" s="26">
        <f ca="1">NETWORKDAYS(P1189,$Y$1)</f>
        <v>21</v>
      </c>
      <c r="Z1189" s="34">
        <v>1</v>
      </c>
      <c r="AA1189" s="25" t="str">
        <f t="shared" ca="1" si="93"/>
        <v>A VENCER</v>
      </c>
      <c r="AB1189" s="25" t="str">
        <f t="shared" si="96"/>
        <v>SL-On</v>
      </c>
      <c r="AC1189" s="2" t="str">
        <f t="shared" si="95"/>
        <v xml:space="preserve"> CLEITON </v>
      </c>
      <c r="AD1189" s="26">
        <f t="shared" si="97"/>
        <v>1</v>
      </c>
      <c r="AE1189" s="26">
        <f t="shared" ca="1" si="94"/>
        <v>28.199165162033751</v>
      </c>
    </row>
    <row r="1190" spans="1:31" hidden="1">
      <c r="A1190" s="209">
        <v>9419830</v>
      </c>
      <c r="B1190" s="209" t="s">
        <v>101</v>
      </c>
      <c r="C1190" s="210" t="s">
        <v>643</v>
      </c>
      <c r="D1190" s="214">
        <v>230021368</v>
      </c>
      <c r="E1190" s="214">
        <v>1837001400040</v>
      </c>
      <c r="F1190" s="209" t="s">
        <v>644</v>
      </c>
      <c r="G1190" s="209" t="s">
        <v>53</v>
      </c>
      <c r="H1190" s="209" t="s">
        <v>1785</v>
      </c>
      <c r="I1190" s="209" t="s">
        <v>1786</v>
      </c>
      <c r="J1190" s="209" t="s">
        <v>46</v>
      </c>
      <c r="K1190" s="210" t="s">
        <v>645</v>
      </c>
      <c r="L1190" s="210"/>
      <c r="M1190" s="209" t="s">
        <v>58</v>
      </c>
      <c r="N1190" s="209">
        <v>0</v>
      </c>
      <c r="O1190" s="209" t="s">
        <v>105</v>
      </c>
      <c r="P1190" s="211" t="s">
        <v>2228</v>
      </c>
      <c r="Q1190" s="209"/>
      <c r="R1190" s="209">
        <v>2</v>
      </c>
      <c r="S1190" s="209"/>
      <c r="T1190" s="209" t="s">
        <v>646</v>
      </c>
      <c r="U1190" s="211" t="s">
        <v>2229</v>
      </c>
      <c r="V1190" s="209" t="s">
        <v>41</v>
      </c>
      <c r="W1190" s="209" t="s">
        <v>49</v>
      </c>
      <c r="X1190" s="13" t="str">
        <f>IF(RIGHT(H1190,2)&lt;&gt;"00",H1190,"")</f>
        <v/>
      </c>
      <c r="Y1190" s="26">
        <f ca="1">NETWORKDAYS(P1190,$Y$1)</f>
        <v>21</v>
      </c>
      <c r="Z1190" s="34">
        <v>1</v>
      </c>
      <c r="AA1190" s="25" t="str">
        <f t="shared" ca="1" si="93"/>
        <v>A VENCER</v>
      </c>
      <c r="AB1190" s="25" t="str">
        <f t="shared" si="96"/>
        <v>SL-On</v>
      </c>
      <c r="AC1190" s="2" t="str">
        <f t="shared" si="95"/>
        <v xml:space="preserve"> CLEITON </v>
      </c>
      <c r="AD1190" s="26">
        <f t="shared" si="97"/>
        <v>1</v>
      </c>
      <c r="AE1190" s="26">
        <f t="shared" ca="1" si="94"/>
        <v>28.199257754633436</v>
      </c>
    </row>
    <row r="1191" spans="1:31" hidden="1">
      <c r="A1191" s="209">
        <v>9419827</v>
      </c>
      <c r="B1191" s="209" t="s">
        <v>101</v>
      </c>
      <c r="C1191" s="210" t="s">
        <v>643</v>
      </c>
      <c r="D1191" s="214">
        <v>230021366</v>
      </c>
      <c r="E1191" s="214">
        <v>1835001400040</v>
      </c>
      <c r="F1191" s="209" t="s">
        <v>644</v>
      </c>
      <c r="G1191" s="209" t="s">
        <v>53</v>
      </c>
      <c r="H1191" s="209" t="s">
        <v>305</v>
      </c>
      <c r="I1191" s="209" t="s">
        <v>306</v>
      </c>
      <c r="J1191" s="209" t="s">
        <v>46</v>
      </c>
      <c r="K1191" s="210" t="s">
        <v>645</v>
      </c>
      <c r="L1191" s="210"/>
      <c r="M1191" s="209" t="s">
        <v>58</v>
      </c>
      <c r="N1191" s="209">
        <v>0</v>
      </c>
      <c r="O1191" s="209" t="s">
        <v>105</v>
      </c>
      <c r="P1191" s="211" t="s">
        <v>2232</v>
      </c>
      <c r="Q1191" s="209"/>
      <c r="R1191" s="209">
        <v>3</v>
      </c>
      <c r="S1191" s="209"/>
      <c r="T1191" s="209" t="s">
        <v>646</v>
      </c>
      <c r="U1191" s="211" t="s">
        <v>2233</v>
      </c>
      <c r="V1191" s="209" t="s">
        <v>41</v>
      </c>
      <c r="W1191" s="209" t="s">
        <v>49</v>
      </c>
      <c r="X1191" s="13" t="str">
        <f>IF(RIGHT(H1191,2)&lt;&gt;"00",H1191,"")</f>
        <v/>
      </c>
      <c r="Y1191" s="26">
        <f ca="1">NETWORKDAYS(P1191,$Y$1)</f>
        <v>21</v>
      </c>
      <c r="Z1191" s="34">
        <v>1</v>
      </c>
      <c r="AA1191" s="25" t="str">
        <f t="shared" ca="1" si="93"/>
        <v>A VENCER</v>
      </c>
      <c r="AB1191" s="25" t="str">
        <f t="shared" si="96"/>
        <v>SL-On</v>
      </c>
      <c r="AC1191" s="2" t="str">
        <f t="shared" si="95"/>
        <v xml:space="preserve"> CLEITON </v>
      </c>
      <c r="AD1191" s="26">
        <f t="shared" si="97"/>
        <v>1</v>
      </c>
      <c r="AE1191" s="26">
        <f t="shared" ca="1" si="94"/>
        <v>28.199558680556947</v>
      </c>
    </row>
    <row r="1192" spans="1:31" hidden="1">
      <c r="A1192" s="209">
        <v>9419826</v>
      </c>
      <c r="B1192" s="209" t="s">
        <v>101</v>
      </c>
      <c r="C1192" s="210" t="s">
        <v>643</v>
      </c>
      <c r="D1192" s="214">
        <v>230021365</v>
      </c>
      <c r="E1192" s="214">
        <v>1833001400040</v>
      </c>
      <c r="F1192" s="209" t="s">
        <v>644</v>
      </c>
      <c r="G1192" s="209" t="s">
        <v>53</v>
      </c>
      <c r="H1192" s="209" t="s">
        <v>369</v>
      </c>
      <c r="I1192" s="209" t="s">
        <v>370</v>
      </c>
      <c r="J1192" s="209" t="s">
        <v>46</v>
      </c>
      <c r="K1192" s="210" t="s">
        <v>645</v>
      </c>
      <c r="L1192" s="210"/>
      <c r="M1192" s="209" t="s">
        <v>58</v>
      </c>
      <c r="N1192" s="209">
        <v>0</v>
      </c>
      <c r="O1192" s="209" t="s">
        <v>105</v>
      </c>
      <c r="P1192" s="211" t="s">
        <v>2234</v>
      </c>
      <c r="Q1192" s="209"/>
      <c r="R1192" s="209">
        <v>3</v>
      </c>
      <c r="S1192" s="209"/>
      <c r="T1192" s="209" t="s">
        <v>646</v>
      </c>
      <c r="U1192" s="211" t="s">
        <v>2235</v>
      </c>
      <c r="V1192" s="209" t="s">
        <v>41</v>
      </c>
      <c r="W1192" s="209" t="s">
        <v>49</v>
      </c>
      <c r="X1192" s="13" t="str">
        <f>IF(RIGHT(H1192,2)&lt;&gt;"00",H1192,"")</f>
        <v/>
      </c>
      <c r="Y1192" s="26">
        <f ca="1">NETWORKDAYS(P1192,$Y$1)</f>
        <v>21</v>
      </c>
      <c r="Z1192" s="34">
        <v>1</v>
      </c>
      <c r="AA1192" s="25" t="str">
        <f t="shared" ca="1" si="93"/>
        <v>A VENCER</v>
      </c>
      <c r="AB1192" s="25" t="str">
        <f t="shared" si="96"/>
        <v>SL-On</v>
      </c>
      <c r="AC1192" s="2" t="str">
        <f t="shared" si="95"/>
        <v xml:space="preserve"> CLEITON </v>
      </c>
      <c r="AD1192" s="26">
        <f t="shared" si="97"/>
        <v>1</v>
      </c>
      <c r="AE1192" s="26">
        <f t="shared" ca="1" si="94"/>
        <v>28.19966284721886</v>
      </c>
    </row>
    <row r="1193" spans="1:31" hidden="1">
      <c r="A1193" s="209">
        <v>9419654</v>
      </c>
      <c r="B1193" s="209" t="s">
        <v>101</v>
      </c>
      <c r="C1193" s="210" t="s">
        <v>643</v>
      </c>
      <c r="D1193" s="214">
        <v>230021562</v>
      </c>
      <c r="E1193" s="214">
        <v>2422001400040</v>
      </c>
      <c r="F1193" s="209" t="s">
        <v>644</v>
      </c>
      <c r="G1193" s="209" t="s">
        <v>53</v>
      </c>
      <c r="H1193" s="209" t="s">
        <v>1844</v>
      </c>
      <c r="I1193" s="209" t="s">
        <v>1845</v>
      </c>
      <c r="J1193" s="209" t="s">
        <v>211</v>
      </c>
      <c r="K1193" s="210" t="s">
        <v>645</v>
      </c>
      <c r="L1193" s="210"/>
      <c r="M1193" s="209" t="s">
        <v>58</v>
      </c>
      <c r="N1193" s="209">
        <v>0</v>
      </c>
      <c r="O1193" s="209" t="s">
        <v>105</v>
      </c>
      <c r="P1193" s="211" t="s">
        <v>2240</v>
      </c>
      <c r="Q1193" s="209"/>
      <c r="R1193" s="209">
        <v>2</v>
      </c>
      <c r="S1193" s="209"/>
      <c r="T1193" s="209" t="s">
        <v>646</v>
      </c>
      <c r="U1193" s="211" t="s">
        <v>2241</v>
      </c>
      <c r="V1193" s="209" t="s">
        <v>41</v>
      </c>
      <c r="W1193" s="209" t="s">
        <v>49</v>
      </c>
      <c r="X1193" s="13" t="str">
        <f>IF(RIGHT(H1193,2)&lt;&gt;"00",H1193,"")</f>
        <v/>
      </c>
      <c r="Y1193" s="26">
        <f ca="1">NETWORKDAYS(P1193,$Y$1)</f>
        <v>21</v>
      </c>
      <c r="Z1193" s="34">
        <v>1</v>
      </c>
      <c r="AA1193" s="25" t="str">
        <f t="shared" ca="1" si="93"/>
        <v>A VENCER</v>
      </c>
      <c r="AB1193" s="25" t="str">
        <f t="shared" si="96"/>
        <v>SL-On</v>
      </c>
      <c r="AC1193" s="2" t="str">
        <f t="shared" si="95"/>
        <v xml:space="preserve"> RINALDO </v>
      </c>
      <c r="AD1193" s="26">
        <f t="shared" si="97"/>
        <v>1</v>
      </c>
      <c r="AE1193" s="26">
        <f t="shared" ca="1" si="94"/>
        <v>28.212579513892706</v>
      </c>
    </row>
    <row r="1194" spans="1:31" hidden="1">
      <c r="A1194" s="209">
        <v>9419577</v>
      </c>
      <c r="B1194" s="209" t="s">
        <v>101</v>
      </c>
      <c r="C1194" s="210" t="s">
        <v>643</v>
      </c>
      <c r="D1194" s="214">
        <v>230021757</v>
      </c>
      <c r="E1194" s="214">
        <v>2988001400040</v>
      </c>
      <c r="F1194" s="209" t="s">
        <v>644</v>
      </c>
      <c r="G1194" s="209" t="s">
        <v>53</v>
      </c>
      <c r="H1194" s="209" t="s">
        <v>536</v>
      </c>
      <c r="I1194" s="209" t="s">
        <v>537</v>
      </c>
      <c r="J1194" s="209" t="s">
        <v>46</v>
      </c>
      <c r="K1194" s="210" t="s">
        <v>645</v>
      </c>
      <c r="L1194" s="210"/>
      <c r="M1194" s="209" t="s">
        <v>58</v>
      </c>
      <c r="N1194" s="209">
        <v>0</v>
      </c>
      <c r="O1194" s="209" t="s">
        <v>105</v>
      </c>
      <c r="P1194" s="211" t="s">
        <v>2242</v>
      </c>
      <c r="Q1194" s="209"/>
      <c r="R1194" s="209">
        <v>2</v>
      </c>
      <c r="S1194" s="209"/>
      <c r="T1194" s="209" t="s">
        <v>646</v>
      </c>
      <c r="U1194" s="211" t="s">
        <v>2243</v>
      </c>
      <c r="V1194" s="209" t="s">
        <v>41</v>
      </c>
      <c r="W1194" s="209" t="s">
        <v>49</v>
      </c>
      <c r="X1194" s="13" t="str">
        <f>IF(RIGHT(H1194,2)&lt;&gt;"00",H1194,"")</f>
        <v/>
      </c>
      <c r="Y1194" s="26">
        <f ca="1">NETWORKDAYS(P1194,$Y$1)</f>
        <v>21</v>
      </c>
      <c r="Z1194" s="34">
        <v>1</v>
      </c>
      <c r="AA1194" s="25" t="str">
        <f t="shared" ca="1" si="93"/>
        <v>A VENCER</v>
      </c>
      <c r="AB1194" s="25" t="str">
        <f t="shared" si="96"/>
        <v>SL-On</v>
      </c>
      <c r="AC1194" s="2" t="str">
        <f t="shared" si="95"/>
        <v xml:space="preserve"> CLEITON </v>
      </c>
      <c r="AD1194" s="26">
        <f t="shared" si="97"/>
        <v>1</v>
      </c>
      <c r="AE1194" s="26">
        <f t="shared" ca="1" si="94"/>
        <v>28.218030902775354</v>
      </c>
    </row>
    <row r="1195" spans="1:31" hidden="1">
      <c r="A1195" s="209">
        <v>9419561</v>
      </c>
      <c r="B1195" s="209" t="s">
        <v>101</v>
      </c>
      <c r="C1195" s="210" t="s">
        <v>643</v>
      </c>
      <c r="D1195" s="214">
        <v>230021447</v>
      </c>
      <c r="E1195" s="214">
        <v>2170001400040</v>
      </c>
      <c r="F1195" s="209" t="s">
        <v>644</v>
      </c>
      <c r="G1195" s="209" t="s">
        <v>53</v>
      </c>
      <c r="H1195" s="209" t="s">
        <v>477</v>
      </c>
      <c r="I1195" s="209" t="s">
        <v>478</v>
      </c>
      <c r="J1195" s="209" t="s">
        <v>148</v>
      </c>
      <c r="K1195" s="210" t="s">
        <v>645</v>
      </c>
      <c r="L1195" s="210"/>
      <c r="M1195" s="209" t="s">
        <v>58</v>
      </c>
      <c r="N1195" s="209">
        <v>0</v>
      </c>
      <c r="O1195" s="209" t="s">
        <v>105</v>
      </c>
      <c r="P1195" s="211" t="s">
        <v>2244</v>
      </c>
      <c r="Q1195" s="209"/>
      <c r="R1195" s="209">
        <v>3</v>
      </c>
      <c r="S1195" s="209"/>
      <c r="T1195" s="209" t="s">
        <v>646</v>
      </c>
      <c r="U1195" s="211" t="s">
        <v>2245</v>
      </c>
      <c r="V1195" s="209" t="s">
        <v>41</v>
      </c>
      <c r="W1195" s="209" t="s">
        <v>49</v>
      </c>
      <c r="X1195" s="13" t="str">
        <f>IF(RIGHT(H1195,2)&lt;&gt;"00",H1195,"")</f>
        <v/>
      </c>
      <c r="Y1195" s="26">
        <f ca="1">NETWORKDAYS(P1195,$Y$1)</f>
        <v>21</v>
      </c>
      <c r="Z1195" s="34">
        <v>1</v>
      </c>
      <c r="AA1195" s="25" t="str">
        <f t="shared" ca="1" si="93"/>
        <v>A VENCER</v>
      </c>
      <c r="AB1195" s="25" t="str">
        <f t="shared" si="96"/>
        <v>SL-On</v>
      </c>
      <c r="AC1195" s="2" t="str">
        <f t="shared" si="95"/>
        <v xml:space="preserve"> RINALDO </v>
      </c>
      <c r="AD1195" s="26">
        <f t="shared" si="97"/>
        <v>1</v>
      </c>
      <c r="AE1195" s="26">
        <f t="shared" ca="1" si="94"/>
        <v>28.219269328707014</v>
      </c>
    </row>
    <row r="1196" spans="1:31" hidden="1">
      <c r="A1196" s="209">
        <v>9419525</v>
      </c>
      <c r="B1196" s="209" t="s">
        <v>101</v>
      </c>
      <c r="C1196" s="210" t="s">
        <v>643</v>
      </c>
      <c r="D1196" s="214">
        <v>230021156</v>
      </c>
      <c r="E1196" s="214">
        <v>1361001400040</v>
      </c>
      <c r="F1196" s="209" t="s">
        <v>644</v>
      </c>
      <c r="G1196" s="209" t="s">
        <v>53</v>
      </c>
      <c r="H1196" s="209" t="s">
        <v>309</v>
      </c>
      <c r="I1196" s="209" t="s">
        <v>310</v>
      </c>
      <c r="J1196" s="209" t="s">
        <v>46</v>
      </c>
      <c r="K1196" s="210" t="s">
        <v>645</v>
      </c>
      <c r="L1196" s="210"/>
      <c r="M1196" s="209" t="s">
        <v>58</v>
      </c>
      <c r="N1196" s="209">
        <v>0</v>
      </c>
      <c r="O1196" s="209" t="s">
        <v>105</v>
      </c>
      <c r="P1196" s="211" t="s">
        <v>2246</v>
      </c>
      <c r="Q1196" s="209"/>
      <c r="R1196" s="209">
        <v>3</v>
      </c>
      <c r="S1196" s="209"/>
      <c r="T1196" s="209" t="s">
        <v>646</v>
      </c>
      <c r="U1196" s="211" t="s">
        <v>2247</v>
      </c>
      <c r="V1196" s="209" t="s">
        <v>41</v>
      </c>
      <c r="W1196" s="209" t="s">
        <v>49</v>
      </c>
      <c r="X1196" s="13" t="str">
        <f>IF(RIGHT(H1196,2)&lt;&gt;"00",H1196,"")</f>
        <v/>
      </c>
      <c r="Y1196" s="26">
        <f ca="1">NETWORKDAYS(P1196,$Y$1)</f>
        <v>21</v>
      </c>
      <c r="Z1196" s="34">
        <v>1</v>
      </c>
      <c r="AA1196" s="25" t="str">
        <f t="shared" ca="1" si="93"/>
        <v>A VENCER</v>
      </c>
      <c r="AB1196" s="25" t="str">
        <f t="shared" si="96"/>
        <v>SL-On</v>
      </c>
      <c r="AC1196" s="2" t="str">
        <f t="shared" si="95"/>
        <v xml:space="preserve"> CLEITON </v>
      </c>
      <c r="AD1196" s="26">
        <f t="shared" si="97"/>
        <v>1</v>
      </c>
      <c r="AE1196" s="26">
        <f t="shared" ca="1" si="94"/>
        <v>28.221526273147902</v>
      </c>
    </row>
    <row r="1197" spans="1:31" hidden="1">
      <c r="A1197" s="209">
        <v>9419422</v>
      </c>
      <c r="B1197" s="209" t="s">
        <v>101</v>
      </c>
      <c r="C1197" s="210" t="s">
        <v>643</v>
      </c>
      <c r="D1197" s="214">
        <v>230021088</v>
      </c>
      <c r="E1197" s="214">
        <v>1153001400040</v>
      </c>
      <c r="F1197" s="209" t="s">
        <v>644</v>
      </c>
      <c r="G1197" s="209" t="s">
        <v>53</v>
      </c>
      <c r="H1197" s="209" t="s">
        <v>1031</v>
      </c>
      <c r="I1197" s="209" t="s">
        <v>1032</v>
      </c>
      <c r="J1197" s="209" t="s">
        <v>79</v>
      </c>
      <c r="K1197" s="210" t="s">
        <v>645</v>
      </c>
      <c r="L1197" s="210"/>
      <c r="M1197" s="209" t="s">
        <v>58</v>
      </c>
      <c r="N1197" s="209">
        <v>0</v>
      </c>
      <c r="O1197" s="209" t="s">
        <v>105</v>
      </c>
      <c r="P1197" s="211" t="s">
        <v>2248</v>
      </c>
      <c r="Q1197" s="209"/>
      <c r="R1197" s="209">
        <v>3</v>
      </c>
      <c r="S1197" s="209"/>
      <c r="T1197" s="209" t="s">
        <v>646</v>
      </c>
      <c r="U1197" s="211" t="s">
        <v>2249</v>
      </c>
      <c r="V1197" s="209" t="s">
        <v>41</v>
      </c>
      <c r="W1197" s="209" t="s">
        <v>49</v>
      </c>
      <c r="X1197" s="13" t="str">
        <f>IF(RIGHT(H1197,2)&lt;&gt;"00",H1197,"")</f>
        <v/>
      </c>
      <c r="Y1197" s="26">
        <f ca="1">NETWORKDAYS(P1197,$Y$1)</f>
        <v>21</v>
      </c>
      <c r="Z1197" s="34">
        <v>1</v>
      </c>
      <c r="AA1197" s="25" t="str">
        <f t="shared" ca="1" si="93"/>
        <v>A VENCER</v>
      </c>
      <c r="AB1197" s="25" t="str">
        <f t="shared" si="96"/>
        <v>SL-On</v>
      </c>
      <c r="AC1197" s="2" t="str">
        <f t="shared" si="95"/>
        <v xml:space="preserve"> ROSEMERE </v>
      </c>
      <c r="AD1197" s="26">
        <f t="shared" si="97"/>
        <v>1</v>
      </c>
      <c r="AE1197" s="26">
        <f t="shared" ca="1" si="94"/>
        <v>28.22770682870032</v>
      </c>
    </row>
    <row r="1198" spans="1:31" hidden="1">
      <c r="A1198" s="209">
        <v>9419377</v>
      </c>
      <c r="B1198" s="209" t="s">
        <v>101</v>
      </c>
      <c r="C1198" s="210" t="s">
        <v>643</v>
      </c>
      <c r="D1198" s="214">
        <v>230021055</v>
      </c>
      <c r="E1198" s="214">
        <v>1059001400040</v>
      </c>
      <c r="F1198" s="209" t="s">
        <v>644</v>
      </c>
      <c r="G1198" s="209" t="s">
        <v>53</v>
      </c>
      <c r="H1198" s="209" t="s">
        <v>88</v>
      </c>
      <c r="I1198" s="209" t="s">
        <v>89</v>
      </c>
      <c r="J1198" s="209" t="s">
        <v>90</v>
      </c>
      <c r="K1198" s="210" t="s">
        <v>645</v>
      </c>
      <c r="L1198" s="210"/>
      <c r="M1198" s="209" t="s">
        <v>58</v>
      </c>
      <c r="N1198" s="209">
        <v>0</v>
      </c>
      <c r="O1198" s="209" t="s">
        <v>105</v>
      </c>
      <c r="P1198" s="211" t="s">
        <v>3051</v>
      </c>
      <c r="Q1198" s="209"/>
      <c r="R1198" s="209">
        <v>2</v>
      </c>
      <c r="S1198" s="209"/>
      <c r="T1198" s="209" t="s">
        <v>646</v>
      </c>
      <c r="U1198" s="211" t="s">
        <v>4140</v>
      </c>
      <c r="V1198" s="209" t="s">
        <v>41</v>
      </c>
      <c r="W1198" s="209" t="s">
        <v>49</v>
      </c>
      <c r="X1198" s="13" t="str">
        <f>IF(RIGHT(H1198,2)&lt;&gt;"00",H1198,"")</f>
        <v/>
      </c>
      <c r="Y1198" s="26">
        <f ca="1">NETWORKDAYS(P1198,$Y$1)</f>
        <v>21</v>
      </c>
      <c r="Z1198" s="34">
        <v>1</v>
      </c>
      <c r="AA1198" s="25" t="str">
        <f t="shared" ca="1" si="93"/>
        <v>A VENCER</v>
      </c>
      <c r="AB1198" s="25" t="str">
        <f t="shared" si="96"/>
        <v>SL-On</v>
      </c>
      <c r="AC1198" s="2" t="str">
        <f t="shared" si="95"/>
        <v xml:space="preserve"> RINALDO </v>
      </c>
      <c r="AD1198" s="26">
        <f t="shared" si="97"/>
        <v>1</v>
      </c>
      <c r="AE1198" s="26">
        <f t="shared" ca="1" si="94"/>
        <v>28.23084340278001</v>
      </c>
    </row>
    <row r="1199" spans="1:31" hidden="1">
      <c r="A1199" s="209">
        <v>9419293</v>
      </c>
      <c r="B1199" s="209" t="s">
        <v>101</v>
      </c>
      <c r="C1199" s="210" t="s">
        <v>643</v>
      </c>
      <c r="D1199" s="214">
        <v>230021183</v>
      </c>
      <c r="E1199" s="214">
        <v>1421001400040</v>
      </c>
      <c r="F1199" s="209" t="s">
        <v>644</v>
      </c>
      <c r="G1199" s="209" t="s">
        <v>53</v>
      </c>
      <c r="H1199" s="209" t="s">
        <v>179</v>
      </c>
      <c r="I1199" s="209" t="s">
        <v>180</v>
      </c>
      <c r="J1199" s="209" t="s">
        <v>79</v>
      </c>
      <c r="K1199" s="210" t="s">
        <v>645</v>
      </c>
      <c r="L1199" s="210"/>
      <c r="M1199" s="209" t="s">
        <v>58</v>
      </c>
      <c r="N1199" s="209">
        <v>0</v>
      </c>
      <c r="O1199" s="209" t="s">
        <v>105</v>
      </c>
      <c r="P1199" s="211" t="s">
        <v>3052</v>
      </c>
      <c r="Q1199" s="209"/>
      <c r="R1199" s="209">
        <v>2</v>
      </c>
      <c r="S1199" s="209"/>
      <c r="T1199" s="209" t="s">
        <v>646</v>
      </c>
      <c r="U1199" s="211" t="s">
        <v>4141</v>
      </c>
      <c r="V1199" s="209" t="s">
        <v>41</v>
      </c>
      <c r="W1199" s="209" t="s">
        <v>49</v>
      </c>
      <c r="X1199" s="13" t="str">
        <f>IF(RIGHT(H1199,2)&lt;&gt;"00",H1199,"")</f>
        <v/>
      </c>
      <c r="Y1199" s="26">
        <f ca="1">NETWORKDAYS(P1199,$Y$1)</f>
        <v>21</v>
      </c>
      <c r="Z1199" s="34">
        <v>1</v>
      </c>
      <c r="AA1199" s="25" t="str">
        <f t="shared" ca="1" si="93"/>
        <v>A VENCER</v>
      </c>
      <c r="AB1199" s="25" t="str">
        <f t="shared" si="96"/>
        <v>SL-On</v>
      </c>
      <c r="AC1199" s="2" t="str">
        <f t="shared" si="95"/>
        <v xml:space="preserve"> ROSEMERE </v>
      </c>
      <c r="AD1199" s="26">
        <f t="shared" si="97"/>
        <v>1</v>
      </c>
      <c r="AE1199" s="26">
        <f t="shared" ca="1" si="94"/>
        <v>28.235901273146737</v>
      </c>
    </row>
    <row r="1200" spans="1:31" hidden="1">
      <c r="A1200" s="209">
        <v>9419109</v>
      </c>
      <c r="B1200" s="209" t="s">
        <v>101</v>
      </c>
      <c r="C1200" s="210" t="s">
        <v>643</v>
      </c>
      <c r="D1200" s="214">
        <v>230020746</v>
      </c>
      <c r="E1200" s="214">
        <v>115001400040</v>
      </c>
      <c r="F1200" s="209" t="s">
        <v>644</v>
      </c>
      <c r="G1200" s="209" t="s">
        <v>53</v>
      </c>
      <c r="H1200" s="209" t="s">
        <v>542</v>
      </c>
      <c r="I1200" s="209" t="s">
        <v>543</v>
      </c>
      <c r="J1200" s="209" t="s">
        <v>56</v>
      </c>
      <c r="K1200" s="210" t="s">
        <v>645</v>
      </c>
      <c r="L1200" s="210"/>
      <c r="M1200" s="209" t="s">
        <v>58</v>
      </c>
      <c r="N1200" s="209">
        <v>0</v>
      </c>
      <c r="O1200" s="209" t="s">
        <v>105</v>
      </c>
      <c r="P1200" s="211" t="s">
        <v>3053</v>
      </c>
      <c r="Q1200" s="209"/>
      <c r="R1200" s="209">
        <v>3</v>
      </c>
      <c r="S1200" s="209"/>
      <c r="T1200" s="209" t="s">
        <v>646</v>
      </c>
      <c r="U1200" s="211" t="s">
        <v>4142</v>
      </c>
      <c r="V1200" s="209" t="s">
        <v>41</v>
      </c>
      <c r="W1200" s="209" t="s">
        <v>49</v>
      </c>
      <c r="X1200" s="13" t="str">
        <f>IF(RIGHT(H1200,2)&lt;&gt;"00",H1200,"")</f>
        <v/>
      </c>
      <c r="Y1200" s="26">
        <f ca="1">NETWORKDAYS(P1200,$Y$1)</f>
        <v>21</v>
      </c>
      <c r="Z1200" s="34">
        <v>1</v>
      </c>
      <c r="AA1200" s="25" t="str">
        <f t="shared" ca="1" si="93"/>
        <v>A VENCER</v>
      </c>
      <c r="AB1200" s="25" t="str">
        <f t="shared" si="96"/>
        <v>SL-On</v>
      </c>
      <c r="AC1200" s="2" t="str">
        <f t="shared" si="95"/>
        <v xml:space="preserve"> CRISTINA </v>
      </c>
      <c r="AD1200" s="26">
        <f t="shared" si="97"/>
        <v>1</v>
      </c>
      <c r="AE1200" s="26">
        <f t="shared" ca="1" si="94"/>
        <v>28.244095717593154</v>
      </c>
    </row>
    <row r="1201" spans="1:31" hidden="1">
      <c r="A1201" s="209">
        <v>9418769</v>
      </c>
      <c r="B1201" s="209" t="s">
        <v>101</v>
      </c>
      <c r="C1201" s="210" t="s">
        <v>643</v>
      </c>
      <c r="D1201" s="214">
        <v>230020782</v>
      </c>
      <c r="E1201" s="214">
        <v>244001400040</v>
      </c>
      <c r="F1201" s="209" t="s">
        <v>644</v>
      </c>
      <c r="G1201" s="209" t="s">
        <v>53</v>
      </c>
      <c r="H1201" s="209" t="s">
        <v>313</v>
      </c>
      <c r="I1201" s="209" t="s">
        <v>314</v>
      </c>
      <c r="J1201" s="209" t="s">
        <v>56</v>
      </c>
      <c r="K1201" s="210" t="s">
        <v>645</v>
      </c>
      <c r="L1201" s="210"/>
      <c r="M1201" s="209" t="s">
        <v>58</v>
      </c>
      <c r="N1201" s="209">
        <v>0</v>
      </c>
      <c r="O1201" s="209" t="s">
        <v>105</v>
      </c>
      <c r="P1201" s="211" t="s">
        <v>2254</v>
      </c>
      <c r="Q1201" s="209"/>
      <c r="R1201" s="209">
        <v>3</v>
      </c>
      <c r="S1201" s="209"/>
      <c r="T1201" s="209" t="s">
        <v>646</v>
      </c>
      <c r="U1201" s="211" t="s">
        <v>2255</v>
      </c>
      <c r="V1201" s="209" t="s">
        <v>41</v>
      </c>
      <c r="W1201" s="209" t="s">
        <v>49</v>
      </c>
      <c r="X1201" s="13" t="str">
        <f>IF(RIGHT(H1201,2)&lt;&gt;"00",H1201,"")</f>
        <v/>
      </c>
      <c r="Y1201" s="26">
        <f ca="1">NETWORKDAYS(P1201,$Y$1)</f>
        <v>21</v>
      </c>
      <c r="Z1201" s="34">
        <v>1</v>
      </c>
      <c r="AA1201" s="25" t="str">
        <f t="shared" ca="1" si="93"/>
        <v>A VENCER</v>
      </c>
      <c r="AB1201" s="25" t="str">
        <f t="shared" si="96"/>
        <v>SL-On</v>
      </c>
      <c r="AC1201" s="2" t="str">
        <f t="shared" si="95"/>
        <v xml:space="preserve"> CRISTINA </v>
      </c>
      <c r="AD1201" s="26">
        <f t="shared" si="97"/>
        <v>1</v>
      </c>
      <c r="AE1201" s="26">
        <f t="shared" ca="1" si="94"/>
        <v>28.262382754626742</v>
      </c>
    </row>
    <row r="1202" spans="1:31" hidden="1">
      <c r="A1202" s="209">
        <v>9418760</v>
      </c>
      <c r="B1202" s="209" t="s">
        <v>101</v>
      </c>
      <c r="C1202" s="210" t="s">
        <v>643</v>
      </c>
      <c r="D1202" s="214">
        <v>230020773</v>
      </c>
      <c r="E1202" s="214">
        <v>196001400040</v>
      </c>
      <c r="F1202" s="209" t="s">
        <v>644</v>
      </c>
      <c r="G1202" s="209" t="s">
        <v>53</v>
      </c>
      <c r="H1202" s="209" t="s">
        <v>1060</v>
      </c>
      <c r="I1202" s="209" t="s">
        <v>1061</v>
      </c>
      <c r="J1202" s="209" t="s">
        <v>79</v>
      </c>
      <c r="K1202" s="210" t="s">
        <v>645</v>
      </c>
      <c r="L1202" s="210"/>
      <c r="M1202" s="209" t="s">
        <v>58</v>
      </c>
      <c r="N1202" s="209">
        <v>0</v>
      </c>
      <c r="O1202" s="209" t="s">
        <v>105</v>
      </c>
      <c r="P1202" s="211" t="s">
        <v>2256</v>
      </c>
      <c r="Q1202" s="209"/>
      <c r="R1202" s="209">
        <v>2</v>
      </c>
      <c r="S1202" s="209"/>
      <c r="T1202" s="209" t="s">
        <v>646</v>
      </c>
      <c r="U1202" s="211" t="s">
        <v>3055</v>
      </c>
      <c r="V1202" s="209" t="s">
        <v>41</v>
      </c>
      <c r="W1202" s="209" t="s">
        <v>49</v>
      </c>
      <c r="X1202" s="13" t="str">
        <f>IF(RIGHT(H1202,2)&lt;&gt;"00",H1202,"")</f>
        <v/>
      </c>
      <c r="Y1202" s="26">
        <f ca="1">NETWORKDAYS(P1202,$Y$1)</f>
        <v>21</v>
      </c>
      <c r="Z1202" s="34">
        <v>1</v>
      </c>
      <c r="AA1202" s="25" t="str">
        <f t="shared" ca="1" si="93"/>
        <v>A VENCER</v>
      </c>
      <c r="AB1202" s="25" t="str">
        <f t="shared" si="96"/>
        <v>SL-On</v>
      </c>
      <c r="AC1202" s="2" t="str">
        <f t="shared" si="95"/>
        <v xml:space="preserve"> ROSEMERE </v>
      </c>
      <c r="AD1202" s="26">
        <f t="shared" si="97"/>
        <v>1</v>
      </c>
      <c r="AE1202" s="26">
        <f t="shared" ca="1" si="94"/>
        <v>28.26299618055782</v>
      </c>
    </row>
    <row r="1203" spans="1:31" hidden="1">
      <c r="A1203" s="209">
        <v>9418531</v>
      </c>
      <c r="B1203" s="209" t="s">
        <v>101</v>
      </c>
      <c r="C1203" s="210" t="s">
        <v>643</v>
      </c>
      <c r="D1203" s="214">
        <v>230019757</v>
      </c>
      <c r="E1203" s="214">
        <v>2229001400030</v>
      </c>
      <c r="F1203" s="209" t="s">
        <v>647</v>
      </c>
      <c r="G1203" s="209" t="s">
        <v>53</v>
      </c>
      <c r="H1203" s="209" t="s">
        <v>339</v>
      </c>
      <c r="I1203" s="209" t="s">
        <v>340</v>
      </c>
      <c r="J1203" s="209" t="s">
        <v>211</v>
      </c>
      <c r="K1203" s="210" t="s">
        <v>650</v>
      </c>
      <c r="L1203" s="210"/>
      <c r="M1203" s="209" t="s">
        <v>58</v>
      </c>
      <c r="N1203" s="209">
        <v>0</v>
      </c>
      <c r="O1203" s="209" t="s">
        <v>105</v>
      </c>
      <c r="P1203" s="211" t="s">
        <v>2257</v>
      </c>
      <c r="Q1203" s="209"/>
      <c r="R1203" s="209">
        <v>4</v>
      </c>
      <c r="S1203" s="209"/>
      <c r="T1203" s="209" t="s">
        <v>646</v>
      </c>
      <c r="U1203" s="211" t="s">
        <v>3056</v>
      </c>
      <c r="V1203" s="209" t="s">
        <v>41</v>
      </c>
      <c r="W1203" s="209" t="s">
        <v>49</v>
      </c>
      <c r="X1203" s="13" t="str">
        <f>IF(RIGHT(H1203,2)&lt;&gt;"00",H1203,"")</f>
        <v/>
      </c>
      <c r="Y1203" s="26">
        <f ca="1">NETWORKDAYS(P1203,$Y$1)</f>
        <v>21</v>
      </c>
      <c r="Z1203" s="34">
        <v>1</v>
      </c>
      <c r="AA1203" s="25" t="str">
        <f t="shared" ca="1" si="93"/>
        <v>A VENCER</v>
      </c>
      <c r="AB1203" s="25" t="str">
        <f t="shared" si="96"/>
        <v>C-14</v>
      </c>
      <c r="AC1203" s="2" t="str">
        <f t="shared" si="95"/>
        <v xml:space="preserve"> RINALDO </v>
      </c>
      <c r="AD1203" s="26">
        <f t="shared" si="97"/>
        <v>15</v>
      </c>
      <c r="AE1203" s="26">
        <f t="shared" ca="1" si="94"/>
        <v>28.276549421294476</v>
      </c>
    </row>
    <row r="1204" spans="1:31" hidden="1">
      <c r="A1204" s="209">
        <v>9418473</v>
      </c>
      <c r="B1204" s="209" t="s">
        <v>101</v>
      </c>
      <c r="C1204" s="210" t="s">
        <v>643</v>
      </c>
      <c r="D1204" s="214">
        <v>230019725</v>
      </c>
      <c r="E1204" s="214">
        <v>2170001400030</v>
      </c>
      <c r="F1204" s="209" t="s">
        <v>647</v>
      </c>
      <c r="G1204" s="209" t="s">
        <v>53</v>
      </c>
      <c r="H1204" s="209" t="s">
        <v>477</v>
      </c>
      <c r="I1204" s="209" t="s">
        <v>478</v>
      </c>
      <c r="J1204" s="209" t="s">
        <v>148</v>
      </c>
      <c r="K1204" s="210" t="s">
        <v>650</v>
      </c>
      <c r="L1204" s="210"/>
      <c r="M1204" s="209" t="s">
        <v>58</v>
      </c>
      <c r="N1204" s="209">
        <v>0</v>
      </c>
      <c r="O1204" s="209" t="s">
        <v>105</v>
      </c>
      <c r="P1204" s="211" t="s">
        <v>2262</v>
      </c>
      <c r="Q1204" s="209"/>
      <c r="R1204" s="209">
        <v>4</v>
      </c>
      <c r="S1204" s="209"/>
      <c r="T1204" s="209" t="s">
        <v>646</v>
      </c>
      <c r="U1204" s="211" t="s">
        <v>2263</v>
      </c>
      <c r="V1204" s="209" t="s">
        <v>41</v>
      </c>
      <c r="W1204" s="209" t="s">
        <v>49</v>
      </c>
      <c r="X1204" s="13" t="str">
        <f>IF(RIGHT(H1204,2)&lt;&gt;"00",H1204,"")</f>
        <v/>
      </c>
      <c r="Y1204" s="26">
        <f ca="1">NETWORKDAYS(P1204,$Y$1)</f>
        <v>21</v>
      </c>
      <c r="Z1204" s="34">
        <v>1</v>
      </c>
      <c r="AA1204" s="25" t="str">
        <f t="shared" ca="1" si="93"/>
        <v>A VENCER</v>
      </c>
      <c r="AB1204" s="25" t="str">
        <f t="shared" si="96"/>
        <v>C-14</v>
      </c>
      <c r="AC1204" s="2" t="str">
        <f t="shared" si="95"/>
        <v xml:space="preserve"> RINALDO </v>
      </c>
      <c r="AD1204" s="26">
        <f t="shared" si="97"/>
        <v>15</v>
      </c>
      <c r="AE1204" s="26">
        <f t="shared" ca="1" si="94"/>
        <v>28.28010266203637</v>
      </c>
    </row>
    <row r="1205" spans="1:31" hidden="1">
      <c r="A1205" s="209">
        <v>9418455</v>
      </c>
      <c r="B1205" s="209" t="s">
        <v>101</v>
      </c>
      <c r="C1205" s="210" t="s">
        <v>643</v>
      </c>
      <c r="D1205" s="214">
        <v>230019708</v>
      </c>
      <c r="E1205" s="214">
        <v>2138001400030</v>
      </c>
      <c r="F1205" s="209" t="s">
        <v>647</v>
      </c>
      <c r="G1205" s="209" t="s">
        <v>53</v>
      </c>
      <c r="H1205" s="209" t="s">
        <v>379</v>
      </c>
      <c r="I1205" s="209" t="s">
        <v>380</v>
      </c>
      <c r="J1205" s="209" t="s">
        <v>46</v>
      </c>
      <c r="K1205" s="210" t="s">
        <v>650</v>
      </c>
      <c r="L1205" s="210"/>
      <c r="M1205" s="209" t="s">
        <v>58</v>
      </c>
      <c r="N1205" s="209">
        <v>0</v>
      </c>
      <c r="O1205" s="209" t="s">
        <v>105</v>
      </c>
      <c r="P1205" s="211" t="s">
        <v>2264</v>
      </c>
      <c r="Q1205" s="209"/>
      <c r="R1205" s="209">
        <v>4</v>
      </c>
      <c r="S1205" s="209"/>
      <c r="T1205" s="209" t="s">
        <v>646</v>
      </c>
      <c r="U1205" s="211" t="s">
        <v>2265</v>
      </c>
      <c r="V1205" s="209" t="s">
        <v>41</v>
      </c>
      <c r="W1205" s="209" t="s">
        <v>49</v>
      </c>
      <c r="X1205" s="13" t="str">
        <f>IF(RIGHT(H1205,2)&lt;&gt;"00",H1205,"")</f>
        <v/>
      </c>
      <c r="Y1205" s="26">
        <f ca="1">NETWORKDAYS(P1205,$Y$1)</f>
        <v>21</v>
      </c>
      <c r="Z1205" s="34">
        <v>1</v>
      </c>
      <c r="AA1205" s="25" t="str">
        <f t="shared" ca="1" si="93"/>
        <v>A VENCER</v>
      </c>
      <c r="AB1205" s="25" t="str">
        <f t="shared" si="96"/>
        <v>C-14</v>
      </c>
      <c r="AC1205" s="2" t="str">
        <f t="shared" si="95"/>
        <v xml:space="preserve"> CLEITON </v>
      </c>
      <c r="AD1205" s="26">
        <f t="shared" si="97"/>
        <v>15</v>
      </c>
      <c r="AE1205" s="26">
        <f t="shared" ca="1" si="94"/>
        <v>28.28151469907607</v>
      </c>
    </row>
    <row r="1206" spans="1:31" hidden="1">
      <c r="A1206" s="209">
        <v>9418331</v>
      </c>
      <c r="B1206" s="209" t="s">
        <v>101</v>
      </c>
      <c r="C1206" s="210" t="s">
        <v>643</v>
      </c>
      <c r="D1206" s="214">
        <v>230019888</v>
      </c>
      <c r="E1206" s="214">
        <v>2590001400030</v>
      </c>
      <c r="F1206" s="209" t="s">
        <v>647</v>
      </c>
      <c r="G1206" s="209" t="s">
        <v>53</v>
      </c>
      <c r="H1206" s="209" t="s">
        <v>394</v>
      </c>
      <c r="I1206" s="209" t="s">
        <v>395</v>
      </c>
      <c r="J1206" s="209" t="s">
        <v>148</v>
      </c>
      <c r="K1206" s="210" t="s">
        <v>650</v>
      </c>
      <c r="L1206" s="210"/>
      <c r="M1206" s="209" t="s">
        <v>58</v>
      </c>
      <c r="N1206" s="209">
        <v>0</v>
      </c>
      <c r="O1206" s="209" t="s">
        <v>105</v>
      </c>
      <c r="P1206" s="211" t="s">
        <v>2267</v>
      </c>
      <c r="Q1206" s="209"/>
      <c r="R1206" s="209">
        <v>4</v>
      </c>
      <c r="S1206" s="209"/>
      <c r="T1206" s="209" t="s">
        <v>646</v>
      </c>
      <c r="U1206" s="211" t="s">
        <v>2268</v>
      </c>
      <c r="V1206" s="209" t="s">
        <v>41</v>
      </c>
      <c r="W1206" s="209" t="s">
        <v>49</v>
      </c>
      <c r="X1206" s="13" t="str">
        <f>IF(RIGHT(H1206,2)&lt;&gt;"00",H1206,"")</f>
        <v/>
      </c>
      <c r="Y1206" s="26">
        <f ca="1">NETWORKDAYS(P1206,$Y$1)</f>
        <v>21</v>
      </c>
      <c r="Z1206" s="34">
        <v>1</v>
      </c>
      <c r="AA1206" s="25" t="str">
        <f t="shared" ca="1" si="93"/>
        <v>A VENCER</v>
      </c>
      <c r="AB1206" s="25" t="str">
        <f t="shared" si="96"/>
        <v>C-14</v>
      </c>
      <c r="AC1206" s="2" t="str">
        <f t="shared" si="95"/>
        <v xml:space="preserve"> RINALDO </v>
      </c>
      <c r="AD1206" s="26">
        <f t="shared" si="97"/>
        <v>15</v>
      </c>
      <c r="AE1206" s="26">
        <f t="shared" ca="1" si="94"/>
        <v>28.289072569445125</v>
      </c>
    </row>
    <row r="1207" spans="1:31" hidden="1">
      <c r="A1207" s="209">
        <v>9418162</v>
      </c>
      <c r="B1207" s="209" t="s">
        <v>101</v>
      </c>
      <c r="C1207" s="210" t="s">
        <v>643</v>
      </c>
      <c r="D1207" s="214">
        <v>230020107</v>
      </c>
      <c r="E1207" s="214">
        <v>3108011400030</v>
      </c>
      <c r="F1207" s="209" t="s">
        <v>647</v>
      </c>
      <c r="G1207" s="209" t="s">
        <v>53</v>
      </c>
      <c r="H1207" s="209" t="s">
        <v>503</v>
      </c>
      <c r="I1207" s="209" t="s">
        <v>504</v>
      </c>
      <c r="J1207" s="209" t="s">
        <v>46</v>
      </c>
      <c r="K1207" s="210" t="s">
        <v>650</v>
      </c>
      <c r="L1207" s="210"/>
      <c r="M1207" s="209" t="s">
        <v>58</v>
      </c>
      <c r="N1207" s="209">
        <v>0</v>
      </c>
      <c r="O1207" s="209" t="s">
        <v>105</v>
      </c>
      <c r="P1207" s="211" t="s">
        <v>3057</v>
      </c>
      <c r="Q1207" s="209"/>
      <c r="R1207" s="209">
        <v>4</v>
      </c>
      <c r="S1207" s="209"/>
      <c r="T1207" s="209" t="s">
        <v>646</v>
      </c>
      <c r="U1207" s="211" t="s">
        <v>3058</v>
      </c>
      <c r="V1207" s="209" t="s">
        <v>41</v>
      </c>
      <c r="W1207" s="209" t="s">
        <v>49</v>
      </c>
      <c r="X1207" s="13" t="str">
        <f>IF(RIGHT(H1207,2)&lt;&gt;"00",H1207,"")</f>
        <v>3108.01</v>
      </c>
      <c r="Y1207" s="26">
        <f ca="1">NETWORKDAYS(P1207,$Y$1)</f>
        <v>21</v>
      </c>
      <c r="Z1207" s="34">
        <v>1</v>
      </c>
      <c r="AA1207" s="25" t="str">
        <f t="shared" ca="1" si="93"/>
        <v>A VENCER</v>
      </c>
      <c r="AB1207" s="25" t="str">
        <f t="shared" si="96"/>
        <v>C-14</v>
      </c>
      <c r="AC1207" s="2" t="str">
        <f t="shared" si="95"/>
        <v xml:space="preserve"> CLEITON </v>
      </c>
      <c r="AD1207" s="26">
        <f t="shared" si="97"/>
        <v>15</v>
      </c>
      <c r="AE1207" s="26">
        <f t="shared" ca="1" si="94"/>
        <v>28.299385069447453</v>
      </c>
    </row>
    <row r="1208" spans="1:31" hidden="1">
      <c r="A1208" s="209">
        <v>9418133</v>
      </c>
      <c r="B1208" s="209" t="s">
        <v>101</v>
      </c>
      <c r="C1208" s="210" t="s">
        <v>643</v>
      </c>
      <c r="D1208" s="214">
        <v>230020053</v>
      </c>
      <c r="E1208" s="214">
        <v>2988001400030</v>
      </c>
      <c r="F1208" s="209" t="s">
        <v>647</v>
      </c>
      <c r="G1208" s="209" t="s">
        <v>53</v>
      </c>
      <c r="H1208" s="209" t="s">
        <v>536</v>
      </c>
      <c r="I1208" s="209" t="s">
        <v>537</v>
      </c>
      <c r="J1208" s="209" t="s">
        <v>46</v>
      </c>
      <c r="K1208" s="210" t="s">
        <v>650</v>
      </c>
      <c r="L1208" s="210"/>
      <c r="M1208" s="209" t="s">
        <v>58</v>
      </c>
      <c r="N1208" s="209">
        <v>0</v>
      </c>
      <c r="O1208" s="209" t="s">
        <v>105</v>
      </c>
      <c r="P1208" s="211" t="s">
        <v>3059</v>
      </c>
      <c r="Q1208" s="209"/>
      <c r="R1208" s="209">
        <v>4</v>
      </c>
      <c r="S1208" s="209"/>
      <c r="T1208" s="209" t="s">
        <v>646</v>
      </c>
      <c r="U1208" s="211" t="s">
        <v>3060</v>
      </c>
      <c r="V1208" s="209" t="s">
        <v>41</v>
      </c>
      <c r="W1208" s="209" t="s">
        <v>49</v>
      </c>
      <c r="X1208" s="13" t="str">
        <f>IF(RIGHT(H1208,2)&lt;&gt;"00",H1208,"")</f>
        <v/>
      </c>
      <c r="Y1208" s="26">
        <f ca="1">NETWORKDAYS(P1208,$Y$1)</f>
        <v>21</v>
      </c>
      <c r="Z1208" s="34">
        <v>1</v>
      </c>
      <c r="AA1208" s="25" t="str">
        <f t="shared" ca="1" si="93"/>
        <v>A VENCER</v>
      </c>
      <c r="AB1208" s="25" t="str">
        <f t="shared" si="96"/>
        <v>C-14</v>
      </c>
      <c r="AC1208" s="2" t="str">
        <f t="shared" si="95"/>
        <v xml:space="preserve"> CLEITON </v>
      </c>
      <c r="AD1208" s="26">
        <f t="shared" si="97"/>
        <v>15</v>
      </c>
      <c r="AE1208" s="26">
        <f t="shared" ca="1" si="94"/>
        <v>28.301329513888049</v>
      </c>
    </row>
    <row r="1209" spans="1:31" hidden="1">
      <c r="A1209" s="209">
        <v>9418017</v>
      </c>
      <c r="B1209" s="209" t="s">
        <v>101</v>
      </c>
      <c r="C1209" s="210" t="s">
        <v>643</v>
      </c>
      <c r="D1209" s="214">
        <v>230019614</v>
      </c>
      <c r="E1209" s="214">
        <v>1764001400030</v>
      </c>
      <c r="F1209" s="209" t="s">
        <v>647</v>
      </c>
      <c r="G1209" s="209" t="s">
        <v>53</v>
      </c>
      <c r="H1209" s="209" t="s">
        <v>722</v>
      </c>
      <c r="I1209" s="209" t="s">
        <v>723</v>
      </c>
      <c r="J1209" s="209" t="s">
        <v>90</v>
      </c>
      <c r="K1209" s="210" t="s">
        <v>650</v>
      </c>
      <c r="L1209" s="210"/>
      <c r="M1209" s="209" t="s">
        <v>58</v>
      </c>
      <c r="N1209" s="209">
        <v>0</v>
      </c>
      <c r="O1209" s="209" t="s">
        <v>105</v>
      </c>
      <c r="P1209" s="211" t="s">
        <v>3061</v>
      </c>
      <c r="Q1209" s="209"/>
      <c r="R1209" s="209">
        <v>4</v>
      </c>
      <c r="S1209" s="209"/>
      <c r="T1209" s="209" t="s">
        <v>646</v>
      </c>
      <c r="U1209" s="211" t="s">
        <v>3062</v>
      </c>
      <c r="V1209" s="209" t="s">
        <v>41</v>
      </c>
      <c r="W1209" s="209" t="s">
        <v>49</v>
      </c>
      <c r="X1209" s="13" t="str">
        <f>IF(RIGHT(H1209,2)&lt;&gt;"00",H1209,"")</f>
        <v/>
      </c>
      <c r="Y1209" s="26">
        <f ca="1">NETWORKDAYS(P1209,$Y$1)</f>
        <v>21</v>
      </c>
      <c r="Z1209" s="34">
        <v>1</v>
      </c>
      <c r="AA1209" s="25" t="str">
        <f t="shared" ca="1" si="93"/>
        <v>A VENCER</v>
      </c>
      <c r="AB1209" s="25" t="str">
        <f t="shared" si="96"/>
        <v>C-14</v>
      </c>
      <c r="AC1209" s="2" t="str">
        <f t="shared" si="95"/>
        <v xml:space="preserve"> RINALDO </v>
      </c>
      <c r="AD1209" s="26">
        <f t="shared" si="97"/>
        <v>15</v>
      </c>
      <c r="AE1209" s="26">
        <f t="shared" ca="1" si="94"/>
        <v>28.308320254633145</v>
      </c>
    </row>
    <row r="1210" spans="1:31" hidden="1">
      <c r="A1210" s="209">
        <v>9417996</v>
      </c>
      <c r="B1210" s="209" t="s">
        <v>101</v>
      </c>
      <c r="C1210" s="210" t="s">
        <v>643</v>
      </c>
      <c r="D1210" s="214">
        <v>230019599</v>
      </c>
      <c r="E1210" s="214">
        <v>1739001400030</v>
      </c>
      <c r="F1210" s="209" t="s">
        <v>647</v>
      </c>
      <c r="G1210" s="209" t="s">
        <v>53</v>
      </c>
      <c r="H1210" s="209" t="s">
        <v>162</v>
      </c>
      <c r="I1210" s="209" t="s">
        <v>163</v>
      </c>
      <c r="J1210" s="209" t="s">
        <v>164</v>
      </c>
      <c r="K1210" s="210" t="s">
        <v>650</v>
      </c>
      <c r="L1210" s="210"/>
      <c r="M1210" s="209" t="s">
        <v>58</v>
      </c>
      <c r="N1210" s="209">
        <v>0</v>
      </c>
      <c r="O1210" s="209" t="s">
        <v>105</v>
      </c>
      <c r="P1210" s="211" t="s">
        <v>2270</v>
      </c>
      <c r="Q1210" s="209"/>
      <c r="R1210" s="209">
        <v>4</v>
      </c>
      <c r="S1210" s="209"/>
      <c r="T1210" s="209" t="s">
        <v>646</v>
      </c>
      <c r="U1210" s="211" t="s">
        <v>2271</v>
      </c>
      <c r="V1210" s="209" t="s">
        <v>41</v>
      </c>
      <c r="W1210" s="209" t="s">
        <v>49</v>
      </c>
      <c r="X1210" s="13" t="str">
        <f>IF(RIGHT(H1210,2)&lt;&gt;"00",H1210,"")</f>
        <v/>
      </c>
      <c r="Y1210" s="26">
        <f ca="1">NETWORKDAYS(P1210,$Y$1)</f>
        <v>21</v>
      </c>
      <c r="Z1210" s="34">
        <v>1</v>
      </c>
      <c r="AA1210" s="25" t="str">
        <f t="shared" ca="1" si="93"/>
        <v>A VENCER</v>
      </c>
      <c r="AB1210" s="25" t="str">
        <f t="shared" si="96"/>
        <v>C-14</v>
      </c>
      <c r="AC1210" s="2" t="str">
        <f t="shared" si="95"/>
        <v xml:space="preserve"> ROSEMERE </v>
      </c>
      <c r="AD1210" s="26">
        <f t="shared" si="97"/>
        <v>15</v>
      </c>
      <c r="AE1210" s="26">
        <f t="shared" ca="1" si="94"/>
        <v>28.309767013888631</v>
      </c>
    </row>
    <row r="1211" spans="1:31" hidden="1">
      <c r="A1211" s="209">
        <v>9417969</v>
      </c>
      <c r="B1211" s="209" t="s">
        <v>101</v>
      </c>
      <c r="C1211" s="210" t="s">
        <v>643</v>
      </c>
      <c r="D1211" s="214">
        <v>230019588</v>
      </c>
      <c r="E1211" s="214">
        <v>1710001400030</v>
      </c>
      <c r="F1211" s="209" t="s">
        <v>647</v>
      </c>
      <c r="G1211" s="209" t="s">
        <v>53</v>
      </c>
      <c r="H1211" s="209" t="s">
        <v>327</v>
      </c>
      <c r="I1211" s="209" t="s">
        <v>328</v>
      </c>
      <c r="J1211" s="209" t="s">
        <v>261</v>
      </c>
      <c r="K1211" s="210" t="s">
        <v>650</v>
      </c>
      <c r="L1211" s="210"/>
      <c r="M1211" s="209" t="s">
        <v>58</v>
      </c>
      <c r="N1211" s="209">
        <v>0</v>
      </c>
      <c r="O1211" s="209" t="s">
        <v>105</v>
      </c>
      <c r="P1211" s="211" t="s">
        <v>2272</v>
      </c>
      <c r="Q1211" s="209"/>
      <c r="R1211" s="209">
        <v>4</v>
      </c>
      <c r="S1211" s="209"/>
      <c r="T1211" s="209" t="s">
        <v>646</v>
      </c>
      <c r="U1211" s="211" t="s">
        <v>2273</v>
      </c>
      <c r="V1211" s="209" t="s">
        <v>41</v>
      </c>
      <c r="W1211" s="209" t="s">
        <v>49</v>
      </c>
      <c r="X1211" s="13" t="str">
        <f>IF(RIGHT(H1211,2)&lt;&gt;"00",H1211,"")</f>
        <v/>
      </c>
      <c r="Y1211" s="26">
        <f ca="1">NETWORKDAYS(P1211,$Y$1)</f>
        <v>21</v>
      </c>
      <c r="Z1211" s="34">
        <v>1</v>
      </c>
      <c r="AA1211" s="25" t="str">
        <f t="shared" ca="1" si="93"/>
        <v>A VENCER</v>
      </c>
      <c r="AB1211" s="25" t="str">
        <f t="shared" si="96"/>
        <v>C-14</v>
      </c>
      <c r="AC1211" s="2" t="str">
        <f t="shared" si="95"/>
        <v xml:space="preserve"> CRISTINA </v>
      </c>
      <c r="AD1211" s="26">
        <f t="shared" si="97"/>
        <v>15</v>
      </c>
      <c r="AE1211" s="26">
        <f t="shared" ca="1" si="94"/>
        <v>28.310820254628197</v>
      </c>
    </row>
    <row r="1212" spans="1:31" hidden="1">
      <c r="A1212" s="209">
        <v>9417939</v>
      </c>
      <c r="B1212" s="209" t="s">
        <v>101</v>
      </c>
      <c r="C1212" s="210" t="s">
        <v>643</v>
      </c>
      <c r="D1212" s="214">
        <v>230019562</v>
      </c>
      <c r="E1212" s="214">
        <v>1650001400030</v>
      </c>
      <c r="F1212" s="209" t="s">
        <v>647</v>
      </c>
      <c r="G1212" s="209" t="s">
        <v>53</v>
      </c>
      <c r="H1212" s="209" t="s">
        <v>620</v>
      </c>
      <c r="I1212" s="209" t="s">
        <v>621</v>
      </c>
      <c r="J1212" s="209" t="s">
        <v>141</v>
      </c>
      <c r="K1212" s="210" t="s">
        <v>650</v>
      </c>
      <c r="L1212" s="210"/>
      <c r="M1212" s="209" t="s">
        <v>58</v>
      </c>
      <c r="N1212" s="209">
        <v>0</v>
      </c>
      <c r="O1212" s="209" t="s">
        <v>105</v>
      </c>
      <c r="P1212" s="211" t="s">
        <v>2274</v>
      </c>
      <c r="Q1212" s="209"/>
      <c r="R1212" s="209">
        <v>4</v>
      </c>
      <c r="S1212" s="209"/>
      <c r="T1212" s="209" t="s">
        <v>646</v>
      </c>
      <c r="U1212" s="211" t="s">
        <v>2275</v>
      </c>
      <c r="V1212" s="209" t="s">
        <v>41</v>
      </c>
      <c r="W1212" s="209" t="s">
        <v>49</v>
      </c>
      <c r="X1212" s="13" t="str">
        <f>IF(RIGHT(H1212,2)&lt;&gt;"00",H1212,"")</f>
        <v/>
      </c>
      <c r="Y1212" s="26">
        <f ca="1">NETWORKDAYS(P1212,$Y$1)</f>
        <v>21</v>
      </c>
      <c r="Z1212" s="34">
        <v>1</v>
      </c>
      <c r="AA1212" s="25" t="str">
        <f t="shared" ca="1" si="93"/>
        <v>A VENCER</v>
      </c>
      <c r="AB1212" s="25" t="str">
        <f t="shared" si="96"/>
        <v>C-14</v>
      </c>
      <c r="AC1212" s="2" t="str">
        <f t="shared" si="95"/>
        <v xml:space="preserve"> CRISTINA </v>
      </c>
      <c r="AD1212" s="26">
        <f t="shared" si="97"/>
        <v>15</v>
      </c>
      <c r="AE1212" s="26">
        <f t="shared" ca="1" si="94"/>
        <v>28.312961458330392</v>
      </c>
    </row>
    <row r="1213" spans="1:31" hidden="1">
      <c r="A1213" s="209">
        <v>9417911</v>
      </c>
      <c r="B1213" s="209" t="s">
        <v>101</v>
      </c>
      <c r="C1213" s="210" t="s">
        <v>643</v>
      </c>
      <c r="D1213" s="214">
        <v>230019546</v>
      </c>
      <c r="E1213" s="214">
        <v>1620001400030</v>
      </c>
      <c r="F1213" s="209" t="s">
        <v>647</v>
      </c>
      <c r="G1213" s="209" t="s">
        <v>53</v>
      </c>
      <c r="H1213" s="209" t="s">
        <v>402</v>
      </c>
      <c r="I1213" s="209" t="s">
        <v>403</v>
      </c>
      <c r="J1213" s="209" t="s">
        <v>46</v>
      </c>
      <c r="K1213" s="210" t="s">
        <v>650</v>
      </c>
      <c r="L1213" s="210"/>
      <c r="M1213" s="209" t="s">
        <v>58</v>
      </c>
      <c r="N1213" s="209">
        <v>0</v>
      </c>
      <c r="O1213" s="209" t="s">
        <v>105</v>
      </c>
      <c r="P1213" s="211" t="s">
        <v>2276</v>
      </c>
      <c r="Q1213" s="209"/>
      <c r="R1213" s="209">
        <v>4</v>
      </c>
      <c r="S1213" s="209"/>
      <c r="T1213" s="209" t="s">
        <v>646</v>
      </c>
      <c r="U1213" s="211" t="s">
        <v>2277</v>
      </c>
      <c r="V1213" s="209" t="s">
        <v>41</v>
      </c>
      <c r="W1213" s="209" t="s">
        <v>49</v>
      </c>
      <c r="X1213" s="13" t="str">
        <f>IF(RIGHT(H1213,2)&lt;&gt;"00",H1213,"")</f>
        <v/>
      </c>
      <c r="Y1213" s="26">
        <f ca="1">NETWORKDAYS(P1213,$Y$1)</f>
        <v>21</v>
      </c>
      <c r="Z1213" s="34">
        <v>1</v>
      </c>
      <c r="AA1213" s="25" t="str">
        <f t="shared" ca="1" si="93"/>
        <v>A VENCER</v>
      </c>
      <c r="AB1213" s="25" t="str">
        <f t="shared" si="96"/>
        <v>C-14</v>
      </c>
      <c r="AC1213" s="2" t="str">
        <f t="shared" si="95"/>
        <v xml:space="preserve"> CLEITON </v>
      </c>
      <c r="AD1213" s="26">
        <f t="shared" si="97"/>
        <v>15</v>
      </c>
      <c r="AE1213" s="26">
        <f t="shared" ca="1" si="94"/>
        <v>28.314350347223808</v>
      </c>
    </row>
    <row r="1214" spans="1:31" hidden="1">
      <c r="A1214" s="209">
        <v>9417871</v>
      </c>
      <c r="B1214" s="209" t="s">
        <v>101</v>
      </c>
      <c r="C1214" s="210" t="s">
        <v>643</v>
      </c>
      <c r="D1214" s="214">
        <v>230019450</v>
      </c>
      <c r="E1214" s="214">
        <v>1421001400030</v>
      </c>
      <c r="F1214" s="209" t="s">
        <v>647</v>
      </c>
      <c r="G1214" s="209" t="s">
        <v>53</v>
      </c>
      <c r="H1214" s="209" t="s">
        <v>179</v>
      </c>
      <c r="I1214" s="209" t="s">
        <v>180</v>
      </c>
      <c r="J1214" s="209" t="s">
        <v>79</v>
      </c>
      <c r="K1214" s="210" t="s">
        <v>650</v>
      </c>
      <c r="L1214" s="210"/>
      <c r="M1214" s="209" t="s">
        <v>58</v>
      </c>
      <c r="N1214" s="209">
        <v>0</v>
      </c>
      <c r="O1214" s="209" t="s">
        <v>105</v>
      </c>
      <c r="P1214" s="211" t="s">
        <v>3065</v>
      </c>
      <c r="Q1214" s="209"/>
      <c r="R1214" s="209">
        <v>4</v>
      </c>
      <c r="S1214" s="209"/>
      <c r="T1214" s="209" t="s">
        <v>646</v>
      </c>
      <c r="U1214" s="211" t="s">
        <v>3066</v>
      </c>
      <c r="V1214" s="209" t="s">
        <v>41</v>
      </c>
      <c r="W1214" s="209" t="s">
        <v>49</v>
      </c>
      <c r="X1214" s="13" t="str">
        <f>IF(RIGHT(H1214,2)&lt;&gt;"00",H1214,"")</f>
        <v/>
      </c>
      <c r="Y1214" s="26">
        <f ca="1">NETWORKDAYS(P1214,$Y$1)</f>
        <v>21</v>
      </c>
      <c r="Z1214" s="34">
        <v>1</v>
      </c>
      <c r="AA1214" s="25" t="str">
        <f t="shared" ca="1" si="93"/>
        <v>A VENCER</v>
      </c>
      <c r="AB1214" s="25" t="str">
        <f t="shared" si="96"/>
        <v>C-14</v>
      </c>
      <c r="AC1214" s="2" t="str">
        <f t="shared" si="95"/>
        <v xml:space="preserve"> ROSEMERE </v>
      </c>
      <c r="AD1214" s="26">
        <f t="shared" si="97"/>
        <v>15</v>
      </c>
      <c r="AE1214" s="26">
        <f t="shared" ca="1" si="94"/>
        <v>28.317417476850096</v>
      </c>
    </row>
    <row r="1215" spans="1:31" hidden="1">
      <c r="A1215" s="209">
        <v>9417830</v>
      </c>
      <c r="B1215" s="209" t="s">
        <v>101</v>
      </c>
      <c r="C1215" s="210" t="s">
        <v>643</v>
      </c>
      <c r="D1215" s="214">
        <v>230019421</v>
      </c>
      <c r="E1215" s="214">
        <v>1361001400030</v>
      </c>
      <c r="F1215" s="209" t="s">
        <v>647</v>
      </c>
      <c r="G1215" s="209" t="s">
        <v>53</v>
      </c>
      <c r="H1215" s="209" t="s">
        <v>309</v>
      </c>
      <c r="I1215" s="209" t="s">
        <v>310</v>
      </c>
      <c r="J1215" s="209" t="s">
        <v>46</v>
      </c>
      <c r="K1215" s="210" t="s">
        <v>650</v>
      </c>
      <c r="L1215" s="210"/>
      <c r="M1215" s="209" t="s">
        <v>58</v>
      </c>
      <c r="N1215" s="209">
        <v>0</v>
      </c>
      <c r="O1215" s="209" t="s">
        <v>105</v>
      </c>
      <c r="P1215" s="211" t="s">
        <v>2278</v>
      </c>
      <c r="Q1215" s="209"/>
      <c r="R1215" s="209">
        <v>4</v>
      </c>
      <c r="S1215" s="209"/>
      <c r="T1215" s="209" t="s">
        <v>646</v>
      </c>
      <c r="U1215" s="211" t="s">
        <v>2279</v>
      </c>
      <c r="V1215" s="209" t="s">
        <v>41</v>
      </c>
      <c r="W1215" s="209" t="s">
        <v>49</v>
      </c>
      <c r="X1215" s="13" t="str">
        <f>IF(RIGHT(H1215,2)&lt;&gt;"00",H1215,"")</f>
        <v/>
      </c>
      <c r="Y1215" s="26">
        <f ca="1">NETWORKDAYS(P1215,$Y$1)</f>
        <v>21</v>
      </c>
      <c r="Z1215" s="34">
        <v>1</v>
      </c>
      <c r="AA1215" s="25" t="str">
        <f t="shared" ca="1" si="93"/>
        <v>A VENCER</v>
      </c>
      <c r="AB1215" s="25" t="str">
        <f t="shared" si="96"/>
        <v>C-14</v>
      </c>
      <c r="AC1215" s="2" t="str">
        <f t="shared" si="95"/>
        <v xml:space="preserve"> CLEITON </v>
      </c>
      <c r="AD1215" s="26">
        <f t="shared" si="97"/>
        <v>15</v>
      </c>
      <c r="AE1215" s="26">
        <f t="shared" ca="1" si="94"/>
        <v>28.319790162036952</v>
      </c>
    </row>
    <row r="1216" spans="1:31" hidden="1">
      <c r="A1216" s="209">
        <v>9417682</v>
      </c>
      <c r="B1216" s="209" t="s">
        <v>101</v>
      </c>
      <c r="C1216" s="210" t="s">
        <v>643</v>
      </c>
      <c r="D1216" s="214">
        <v>230019273</v>
      </c>
      <c r="E1216" s="214">
        <v>963001400030</v>
      </c>
      <c r="F1216" s="209" t="s">
        <v>647</v>
      </c>
      <c r="G1216" s="209" t="s">
        <v>53</v>
      </c>
      <c r="H1216" s="209" t="s">
        <v>531</v>
      </c>
      <c r="I1216" s="209" t="s">
        <v>532</v>
      </c>
      <c r="J1216" s="209" t="s">
        <v>33</v>
      </c>
      <c r="K1216" s="210" t="s">
        <v>650</v>
      </c>
      <c r="L1216" s="210"/>
      <c r="M1216" s="209" t="s">
        <v>58</v>
      </c>
      <c r="N1216" s="209">
        <v>0</v>
      </c>
      <c r="O1216" s="209" t="s">
        <v>105</v>
      </c>
      <c r="P1216" s="211" t="s">
        <v>3067</v>
      </c>
      <c r="Q1216" s="209"/>
      <c r="R1216" s="209">
        <v>4</v>
      </c>
      <c r="S1216" s="209"/>
      <c r="T1216" s="209" t="s">
        <v>646</v>
      </c>
      <c r="U1216" s="211" t="s">
        <v>3068</v>
      </c>
      <c r="V1216" s="209" t="s">
        <v>41</v>
      </c>
      <c r="W1216" s="209" t="s">
        <v>49</v>
      </c>
      <c r="X1216" s="13" t="str">
        <f>IF(RIGHT(H1216,2)&lt;&gt;"00",H1216,"")</f>
        <v/>
      </c>
      <c r="Y1216" s="26">
        <f ca="1">NETWORKDAYS(P1216,$Y$1)</f>
        <v>21</v>
      </c>
      <c r="Z1216" s="34">
        <v>1</v>
      </c>
      <c r="AA1216" s="25" t="str">
        <f t="shared" ca="1" si="93"/>
        <v>A VENCER</v>
      </c>
      <c r="AB1216" s="25" t="str">
        <f t="shared" si="96"/>
        <v>C-14</v>
      </c>
      <c r="AC1216" s="2" t="str">
        <f t="shared" si="95"/>
        <v xml:space="preserve"> ROSEMERE </v>
      </c>
      <c r="AD1216" s="26">
        <f t="shared" si="97"/>
        <v>15</v>
      </c>
      <c r="AE1216" s="26">
        <f t="shared" ca="1" si="94"/>
        <v>28.328123495368345</v>
      </c>
    </row>
    <row r="1217" spans="1:31" hidden="1">
      <c r="A1217" s="209">
        <v>9417663</v>
      </c>
      <c r="B1217" s="209" t="s">
        <v>101</v>
      </c>
      <c r="C1217" s="210" t="s">
        <v>643</v>
      </c>
      <c r="D1217" s="214">
        <v>230019027</v>
      </c>
      <c r="E1217" s="214">
        <v>196001400030</v>
      </c>
      <c r="F1217" s="209" t="s">
        <v>647</v>
      </c>
      <c r="G1217" s="209" t="s">
        <v>53</v>
      </c>
      <c r="H1217" s="209" t="s">
        <v>1060</v>
      </c>
      <c r="I1217" s="209" t="s">
        <v>1061</v>
      </c>
      <c r="J1217" s="209" t="s">
        <v>79</v>
      </c>
      <c r="K1217" s="210" t="s">
        <v>650</v>
      </c>
      <c r="L1217" s="210"/>
      <c r="M1217" s="209" t="s">
        <v>58</v>
      </c>
      <c r="N1217" s="209">
        <v>0</v>
      </c>
      <c r="O1217" s="209" t="s">
        <v>105</v>
      </c>
      <c r="P1217" s="211" t="s">
        <v>2280</v>
      </c>
      <c r="Q1217" s="209"/>
      <c r="R1217" s="209">
        <v>4</v>
      </c>
      <c r="S1217" s="209"/>
      <c r="T1217" s="209" t="s">
        <v>646</v>
      </c>
      <c r="U1217" s="211" t="s">
        <v>2281</v>
      </c>
      <c r="V1217" s="209" t="s">
        <v>41</v>
      </c>
      <c r="W1217" s="209" t="s">
        <v>49</v>
      </c>
      <c r="X1217" s="13" t="str">
        <f>IF(RIGHT(H1217,2)&lt;&gt;"00",H1217,"")</f>
        <v/>
      </c>
      <c r="Y1217" s="26">
        <f ca="1">NETWORKDAYS(P1217,$Y$1)</f>
        <v>21</v>
      </c>
      <c r="Z1217" s="34">
        <v>1</v>
      </c>
      <c r="AA1217" s="25" t="str">
        <f t="shared" ca="1" si="93"/>
        <v>A VENCER</v>
      </c>
      <c r="AB1217" s="25" t="str">
        <f t="shared" si="96"/>
        <v>C-14</v>
      </c>
      <c r="AC1217" s="2" t="str">
        <f t="shared" si="95"/>
        <v xml:space="preserve"> ROSEMERE </v>
      </c>
      <c r="AD1217" s="26">
        <f t="shared" si="97"/>
        <v>15</v>
      </c>
      <c r="AE1217" s="26">
        <f t="shared" ca="1" si="94"/>
        <v>28.329454513892415</v>
      </c>
    </row>
    <row r="1218" spans="1:31" hidden="1">
      <c r="A1218" s="209">
        <v>9417398</v>
      </c>
      <c r="B1218" s="209" t="s">
        <v>101</v>
      </c>
      <c r="C1218" s="210" t="s">
        <v>643</v>
      </c>
      <c r="D1218" s="214">
        <v>230019037</v>
      </c>
      <c r="E1218" s="214">
        <v>244001400030</v>
      </c>
      <c r="F1218" s="209" t="s">
        <v>647</v>
      </c>
      <c r="G1218" s="209" t="s">
        <v>53</v>
      </c>
      <c r="H1218" s="209" t="s">
        <v>313</v>
      </c>
      <c r="I1218" s="209" t="s">
        <v>314</v>
      </c>
      <c r="J1218" s="209" t="s">
        <v>56</v>
      </c>
      <c r="K1218" s="210" t="s">
        <v>650</v>
      </c>
      <c r="L1218" s="210"/>
      <c r="M1218" s="209" t="s">
        <v>58</v>
      </c>
      <c r="N1218" s="209">
        <v>0</v>
      </c>
      <c r="O1218" s="209" t="s">
        <v>105</v>
      </c>
      <c r="P1218" s="211" t="s">
        <v>3070</v>
      </c>
      <c r="Q1218" s="209"/>
      <c r="R1218" s="209">
        <v>4</v>
      </c>
      <c r="S1218" s="209"/>
      <c r="T1218" s="209" t="s">
        <v>646</v>
      </c>
      <c r="U1218" s="211" t="s">
        <v>4615</v>
      </c>
      <c r="V1218" s="209" t="s">
        <v>41</v>
      </c>
      <c r="W1218" s="209" t="s">
        <v>49</v>
      </c>
      <c r="X1218" s="13" t="str">
        <f>IF(RIGHT(H1218,2)&lt;&gt;"00",H1218,"")</f>
        <v/>
      </c>
      <c r="Y1218" s="26">
        <f ca="1">NETWORKDAYS(P1218,$Y$1)</f>
        <v>21</v>
      </c>
      <c r="Z1218" s="34">
        <v>1</v>
      </c>
      <c r="AA1218" s="25" t="str">
        <f t="shared" ref="AA1218:AA1264" ca="1" si="98">IF(AE1218=0,"HOJE",IF(AE1218&gt;0,"A VENCER",IF(AE1218&lt;0,"VENCIDO")))</f>
        <v>A VENCER</v>
      </c>
      <c r="AB1218" s="25" t="str">
        <f t="shared" si="96"/>
        <v>C-14</v>
      </c>
      <c r="AC1218" s="2" t="str">
        <f t="shared" si="95"/>
        <v xml:space="preserve"> CRISTINA </v>
      </c>
      <c r="AD1218" s="26">
        <f t="shared" si="97"/>
        <v>15</v>
      </c>
      <c r="AE1218" s="26">
        <f t="shared" ref="AE1218:AE1264" ca="1" si="99">IF(P1218=$AE$1,"",$AE$1-P1218)</f>
        <v>28.344848032407754</v>
      </c>
    </row>
    <row r="1219" spans="1:31" hidden="1">
      <c r="A1219" s="209">
        <v>9417212</v>
      </c>
      <c r="B1219" s="209" t="s">
        <v>101</v>
      </c>
      <c r="C1219" s="210" t="s">
        <v>643</v>
      </c>
      <c r="D1219" s="214">
        <v>230018456</v>
      </c>
      <c r="E1219" s="214">
        <v>2988001400010</v>
      </c>
      <c r="F1219" s="209" t="s">
        <v>936</v>
      </c>
      <c r="G1219" s="209" t="s">
        <v>53</v>
      </c>
      <c r="H1219" s="209" t="s">
        <v>536</v>
      </c>
      <c r="I1219" s="209" t="s">
        <v>537</v>
      </c>
      <c r="J1219" s="209" t="s">
        <v>46</v>
      </c>
      <c r="K1219" s="210" t="s">
        <v>937</v>
      </c>
      <c r="L1219" s="210"/>
      <c r="M1219" s="209" t="s">
        <v>58</v>
      </c>
      <c r="N1219" s="209">
        <v>0</v>
      </c>
      <c r="O1219" s="209" t="s">
        <v>105</v>
      </c>
      <c r="P1219" s="211" t="s">
        <v>2282</v>
      </c>
      <c r="Q1219" s="209"/>
      <c r="R1219" s="209">
        <v>3</v>
      </c>
      <c r="S1219" s="209"/>
      <c r="T1219" s="209" t="s">
        <v>646</v>
      </c>
      <c r="U1219" s="211" t="s">
        <v>2283</v>
      </c>
      <c r="V1219" s="209" t="s">
        <v>41</v>
      </c>
      <c r="W1219" s="209" t="s">
        <v>49</v>
      </c>
      <c r="X1219" s="13" t="str">
        <f>IF(RIGHT(H1219,2)&lt;&gt;"00",H1219,"")</f>
        <v/>
      </c>
      <c r="Y1219" s="26">
        <f ca="1">NETWORKDAYS(P1219,$Y$1)</f>
        <v>21</v>
      </c>
      <c r="Z1219" s="34">
        <v>1</v>
      </c>
      <c r="AA1219" s="25" t="str">
        <f t="shared" ca="1" si="98"/>
        <v>A VENCER</v>
      </c>
      <c r="AB1219" s="25" t="str">
        <f t="shared" si="96"/>
        <v>C-14</v>
      </c>
      <c r="AC1219" s="2" t="str">
        <f t="shared" ref="AC1219:AC1282" si="100">IF(J1219="TR-PETROLINA"," ROSEMERE ",IF(J1219="TR-GARANHUNS"," ROSEMERE ",IF(J1219="TR-CARUARU"," ROSEMERE ",IF(J1219="TR-RIBEIRAO"," CRISTINA ",IF(J1219="TR-GRAVATA"," CRISTINA ",IF(J1219="TR-GOIANA"," CRISTINA ",IF(J1219="TR-LIMOEIRO"," CRISTINA ",IF(J1219="TR-SERRA TALHADA"," RINALDO ",IF(J1219="TR-SALGUEIRO"," RINALDO ",IF(J1219="TR-CARNAIBA"," RINALDO ",IF(J1219="TR-ARCOVERDE"," RINALDO ",IF(J1219="CAT-RECIFE"," CLEITON ",))))))))))))</f>
        <v xml:space="preserve"> CLEITON </v>
      </c>
      <c r="AD1219" s="26">
        <f t="shared" si="97"/>
        <v>5</v>
      </c>
      <c r="AE1219" s="26">
        <f t="shared" ca="1" si="99"/>
        <v>28.356896643519576</v>
      </c>
    </row>
    <row r="1220" spans="1:31" hidden="1">
      <c r="A1220" s="209">
        <v>9417149</v>
      </c>
      <c r="B1220" s="209" t="s">
        <v>101</v>
      </c>
      <c r="C1220" s="210" t="s">
        <v>643</v>
      </c>
      <c r="D1220" s="214">
        <v>230018509</v>
      </c>
      <c r="E1220" s="214">
        <v>3108011400010</v>
      </c>
      <c r="F1220" s="209" t="s">
        <v>936</v>
      </c>
      <c r="G1220" s="209" t="s">
        <v>53</v>
      </c>
      <c r="H1220" s="209" t="s">
        <v>503</v>
      </c>
      <c r="I1220" s="209" t="s">
        <v>504</v>
      </c>
      <c r="J1220" s="209" t="s">
        <v>46</v>
      </c>
      <c r="K1220" s="210" t="s">
        <v>937</v>
      </c>
      <c r="L1220" s="210"/>
      <c r="M1220" s="209" t="s">
        <v>58</v>
      </c>
      <c r="N1220" s="209">
        <v>0</v>
      </c>
      <c r="O1220" s="209" t="s">
        <v>105</v>
      </c>
      <c r="P1220" s="211" t="s">
        <v>2284</v>
      </c>
      <c r="Q1220" s="209"/>
      <c r="R1220" s="209">
        <v>3</v>
      </c>
      <c r="S1220" s="209"/>
      <c r="T1220" s="209" t="s">
        <v>646</v>
      </c>
      <c r="U1220" s="211" t="s">
        <v>2285</v>
      </c>
      <c r="V1220" s="209" t="s">
        <v>41</v>
      </c>
      <c r="W1220" s="209" t="s">
        <v>49</v>
      </c>
      <c r="X1220" s="13" t="str">
        <f>IF(RIGHT(H1220,2)&lt;&gt;"00",H1220,"")</f>
        <v>3108.01</v>
      </c>
      <c r="Y1220" s="26">
        <f ca="1">NETWORKDAYS(P1220,$Y$1)</f>
        <v>21</v>
      </c>
      <c r="Z1220" s="34">
        <v>1</v>
      </c>
      <c r="AA1220" s="25" t="str">
        <f t="shared" ca="1" si="98"/>
        <v>A VENCER</v>
      </c>
      <c r="AB1220" s="25" t="str">
        <f t="shared" si="96"/>
        <v>C-14</v>
      </c>
      <c r="AC1220" s="2" t="str">
        <f t="shared" si="100"/>
        <v xml:space="preserve"> CLEITON </v>
      </c>
      <c r="AD1220" s="26">
        <f t="shared" si="97"/>
        <v>5</v>
      </c>
      <c r="AE1220" s="26">
        <f t="shared" ca="1" si="99"/>
        <v>28.360831828700611</v>
      </c>
    </row>
    <row r="1221" spans="1:31" hidden="1">
      <c r="A1221" s="209">
        <v>9417113</v>
      </c>
      <c r="B1221" s="209" t="s">
        <v>101</v>
      </c>
      <c r="C1221" s="210" t="s">
        <v>643</v>
      </c>
      <c r="D1221" s="214">
        <v>230018311</v>
      </c>
      <c r="E1221" s="214">
        <v>2590001400010</v>
      </c>
      <c r="F1221" s="209" t="s">
        <v>936</v>
      </c>
      <c r="G1221" s="209" t="s">
        <v>53</v>
      </c>
      <c r="H1221" s="209" t="s">
        <v>394</v>
      </c>
      <c r="I1221" s="209" t="s">
        <v>395</v>
      </c>
      <c r="J1221" s="209" t="s">
        <v>148</v>
      </c>
      <c r="K1221" s="210" t="s">
        <v>937</v>
      </c>
      <c r="L1221" s="210"/>
      <c r="M1221" s="209" t="s">
        <v>58</v>
      </c>
      <c r="N1221" s="209">
        <v>0</v>
      </c>
      <c r="O1221" s="209" t="s">
        <v>105</v>
      </c>
      <c r="P1221" s="211" t="s">
        <v>2286</v>
      </c>
      <c r="Q1221" s="209"/>
      <c r="R1221" s="209">
        <v>3</v>
      </c>
      <c r="S1221" s="209"/>
      <c r="T1221" s="209" t="s">
        <v>646</v>
      </c>
      <c r="U1221" s="211" t="s">
        <v>2287</v>
      </c>
      <c r="V1221" s="209" t="s">
        <v>41</v>
      </c>
      <c r="W1221" s="209" t="s">
        <v>49</v>
      </c>
      <c r="X1221" s="13" t="str">
        <f>IF(RIGHT(H1221,2)&lt;&gt;"00",H1221,"")</f>
        <v/>
      </c>
      <c r="Y1221" s="26">
        <f ca="1">NETWORKDAYS(P1221,$Y$1)</f>
        <v>21</v>
      </c>
      <c r="Z1221" s="34">
        <v>1</v>
      </c>
      <c r="AA1221" s="25" t="str">
        <f t="shared" ca="1" si="98"/>
        <v>A VENCER</v>
      </c>
      <c r="AB1221" s="25" t="str">
        <f t="shared" si="96"/>
        <v>C-14</v>
      </c>
      <c r="AC1221" s="2" t="str">
        <f t="shared" si="100"/>
        <v xml:space="preserve"> RINALDO </v>
      </c>
      <c r="AD1221" s="26">
        <f t="shared" si="97"/>
        <v>5</v>
      </c>
      <c r="AE1221" s="26">
        <f t="shared" ca="1" si="99"/>
        <v>28.363609606480168</v>
      </c>
    </row>
    <row r="1222" spans="1:31" hidden="1">
      <c r="A1222" s="209">
        <v>9417043</v>
      </c>
      <c r="B1222" s="209" t="s">
        <v>101</v>
      </c>
      <c r="C1222" s="210" t="s">
        <v>643</v>
      </c>
      <c r="D1222" s="214">
        <v>230018262</v>
      </c>
      <c r="E1222" s="214">
        <v>2422001400010</v>
      </c>
      <c r="F1222" s="209" t="s">
        <v>936</v>
      </c>
      <c r="G1222" s="209" t="s">
        <v>53</v>
      </c>
      <c r="H1222" s="209" t="s">
        <v>1844</v>
      </c>
      <c r="I1222" s="209" t="s">
        <v>1845</v>
      </c>
      <c r="J1222" s="209" t="s">
        <v>211</v>
      </c>
      <c r="K1222" s="210" t="s">
        <v>937</v>
      </c>
      <c r="L1222" s="210"/>
      <c r="M1222" s="209" t="s">
        <v>58</v>
      </c>
      <c r="N1222" s="209">
        <v>0</v>
      </c>
      <c r="O1222" s="209" t="s">
        <v>105</v>
      </c>
      <c r="P1222" s="211" t="s">
        <v>2288</v>
      </c>
      <c r="Q1222" s="209"/>
      <c r="R1222" s="209">
        <v>3</v>
      </c>
      <c r="S1222" s="209"/>
      <c r="T1222" s="209" t="s">
        <v>646</v>
      </c>
      <c r="U1222" s="211" t="s">
        <v>2289</v>
      </c>
      <c r="V1222" s="209" t="s">
        <v>41</v>
      </c>
      <c r="W1222" s="209" t="s">
        <v>49</v>
      </c>
      <c r="X1222" s="13" t="str">
        <f>IF(RIGHT(H1222,2)&lt;&gt;"00",H1222,"")</f>
        <v/>
      </c>
      <c r="Y1222" s="26">
        <f ca="1">NETWORKDAYS(P1222,$Y$1)</f>
        <v>21</v>
      </c>
      <c r="Z1222" s="34">
        <v>1</v>
      </c>
      <c r="AA1222" s="25" t="str">
        <f t="shared" ca="1" si="98"/>
        <v>A VENCER</v>
      </c>
      <c r="AB1222" s="25" t="str">
        <f t="shared" si="96"/>
        <v>C-14</v>
      </c>
      <c r="AC1222" s="2" t="str">
        <f t="shared" si="100"/>
        <v xml:space="preserve"> RINALDO </v>
      </c>
      <c r="AD1222" s="26">
        <f t="shared" si="97"/>
        <v>5</v>
      </c>
      <c r="AE1222" s="26">
        <f t="shared" ca="1" si="99"/>
        <v>28.367348032406881</v>
      </c>
    </row>
    <row r="1223" spans="1:31" hidden="1">
      <c r="A1223" s="209">
        <v>9416985</v>
      </c>
      <c r="B1223" s="209" t="s">
        <v>101</v>
      </c>
      <c r="C1223" s="210" t="s">
        <v>643</v>
      </c>
      <c r="D1223" s="214">
        <v>230018075</v>
      </c>
      <c r="E1223" s="214">
        <v>1838001400010</v>
      </c>
      <c r="F1223" s="209" t="s">
        <v>936</v>
      </c>
      <c r="G1223" s="209" t="s">
        <v>53</v>
      </c>
      <c r="H1223" s="209" t="s">
        <v>357</v>
      </c>
      <c r="I1223" s="209" t="s">
        <v>358</v>
      </c>
      <c r="J1223" s="209" t="s">
        <v>46</v>
      </c>
      <c r="K1223" s="210" t="s">
        <v>937</v>
      </c>
      <c r="L1223" s="210"/>
      <c r="M1223" s="209" t="s">
        <v>58</v>
      </c>
      <c r="N1223" s="209">
        <v>0</v>
      </c>
      <c r="O1223" s="209" t="s">
        <v>105</v>
      </c>
      <c r="P1223" s="211" t="s">
        <v>2290</v>
      </c>
      <c r="Q1223" s="209"/>
      <c r="R1223" s="209">
        <v>3</v>
      </c>
      <c r="S1223" s="209"/>
      <c r="T1223" s="209" t="s">
        <v>646</v>
      </c>
      <c r="U1223" s="211" t="s">
        <v>2291</v>
      </c>
      <c r="V1223" s="209" t="s">
        <v>41</v>
      </c>
      <c r="W1223" s="209" t="s">
        <v>49</v>
      </c>
      <c r="X1223" s="13" t="str">
        <f>IF(RIGHT(H1223,2)&lt;&gt;"00",H1223,"")</f>
        <v/>
      </c>
      <c r="Y1223" s="26">
        <f ca="1">NETWORKDAYS(P1223,$Y$1)</f>
        <v>21</v>
      </c>
      <c r="Z1223" s="34">
        <v>1</v>
      </c>
      <c r="AA1223" s="25" t="str">
        <f t="shared" ca="1" si="98"/>
        <v>A VENCER</v>
      </c>
      <c r="AB1223" s="25" t="str">
        <f t="shared" si="96"/>
        <v>C-14</v>
      </c>
      <c r="AC1223" s="2" t="str">
        <f t="shared" si="100"/>
        <v xml:space="preserve"> CLEITON </v>
      </c>
      <c r="AD1223" s="26">
        <f t="shared" si="97"/>
        <v>5</v>
      </c>
      <c r="AE1223" s="26">
        <f t="shared" ca="1" si="99"/>
        <v>28.370206828702067</v>
      </c>
    </row>
    <row r="1224" spans="1:31" hidden="1">
      <c r="A1224" s="209">
        <v>9416984</v>
      </c>
      <c r="B1224" s="209" t="s">
        <v>101</v>
      </c>
      <c r="C1224" s="210" t="s">
        <v>643</v>
      </c>
      <c r="D1224" s="214">
        <v>230018074</v>
      </c>
      <c r="E1224" s="214">
        <v>1837001400010</v>
      </c>
      <c r="F1224" s="209" t="s">
        <v>936</v>
      </c>
      <c r="G1224" s="209" t="s">
        <v>53</v>
      </c>
      <c r="H1224" s="209" t="s">
        <v>1785</v>
      </c>
      <c r="I1224" s="209" t="s">
        <v>1786</v>
      </c>
      <c r="J1224" s="209" t="s">
        <v>46</v>
      </c>
      <c r="K1224" s="210" t="s">
        <v>937</v>
      </c>
      <c r="L1224" s="210"/>
      <c r="M1224" s="209" t="s">
        <v>58</v>
      </c>
      <c r="N1224" s="209">
        <v>0</v>
      </c>
      <c r="O1224" s="209" t="s">
        <v>105</v>
      </c>
      <c r="P1224" s="211" t="s">
        <v>2292</v>
      </c>
      <c r="Q1224" s="209"/>
      <c r="R1224" s="209">
        <v>3</v>
      </c>
      <c r="S1224" s="209"/>
      <c r="T1224" s="209" t="s">
        <v>646</v>
      </c>
      <c r="U1224" s="211" t="s">
        <v>2293</v>
      </c>
      <c r="V1224" s="209" t="s">
        <v>41</v>
      </c>
      <c r="W1224" s="209" t="s">
        <v>49</v>
      </c>
      <c r="X1224" s="13" t="str">
        <f>IF(RIGHT(H1224,2)&lt;&gt;"00",H1224,"")</f>
        <v/>
      </c>
      <c r="Y1224" s="26">
        <f ca="1">NETWORKDAYS(P1224,$Y$1)</f>
        <v>21</v>
      </c>
      <c r="Z1224" s="34">
        <v>1</v>
      </c>
      <c r="AA1224" s="25" t="str">
        <f t="shared" ca="1" si="98"/>
        <v>A VENCER</v>
      </c>
      <c r="AB1224" s="25" t="str">
        <f t="shared" si="96"/>
        <v>C-14</v>
      </c>
      <c r="AC1224" s="2" t="str">
        <f t="shared" si="100"/>
        <v xml:space="preserve"> CLEITON </v>
      </c>
      <c r="AD1224" s="26">
        <f t="shared" si="97"/>
        <v>5</v>
      </c>
      <c r="AE1224" s="26">
        <f t="shared" ca="1" si="99"/>
        <v>28.370276273148193</v>
      </c>
    </row>
    <row r="1225" spans="1:31" hidden="1">
      <c r="A1225" s="209">
        <v>9416982</v>
      </c>
      <c r="B1225" s="209" t="s">
        <v>101</v>
      </c>
      <c r="C1225" s="210" t="s">
        <v>643</v>
      </c>
      <c r="D1225" s="214">
        <v>230018072</v>
      </c>
      <c r="E1225" s="214">
        <v>1835001400010</v>
      </c>
      <c r="F1225" s="209" t="s">
        <v>936</v>
      </c>
      <c r="G1225" s="209" t="s">
        <v>53</v>
      </c>
      <c r="H1225" s="209" t="s">
        <v>305</v>
      </c>
      <c r="I1225" s="209" t="s">
        <v>306</v>
      </c>
      <c r="J1225" s="209" t="s">
        <v>46</v>
      </c>
      <c r="K1225" s="210" t="s">
        <v>937</v>
      </c>
      <c r="L1225" s="210"/>
      <c r="M1225" s="209" t="s">
        <v>58</v>
      </c>
      <c r="N1225" s="209">
        <v>0</v>
      </c>
      <c r="O1225" s="209" t="s">
        <v>105</v>
      </c>
      <c r="P1225" s="211" t="s">
        <v>2296</v>
      </c>
      <c r="Q1225" s="209"/>
      <c r="R1225" s="209">
        <v>3</v>
      </c>
      <c r="S1225" s="209"/>
      <c r="T1225" s="209" t="s">
        <v>646</v>
      </c>
      <c r="U1225" s="211" t="s">
        <v>2297</v>
      </c>
      <c r="V1225" s="209" t="s">
        <v>41</v>
      </c>
      <c r="W1225" s="209" t="s">
        <v>49</v>
      </c>
      <c r="X1225" s="13" t="str">
        <f>IF(RIGHT(H1225,2)&lt;&gt;"00",H1225,"")</f>
        <v/>
      </c>
      <c r="Y1225" s="26">
        <f ca="1">NETWORKDAYS(P1225,$Y$1)</f>
        <v>21</v>
      </c>
      <c r="Z1225" s="34">
        <v>1</v>
      </c>
      <c r="AA1225" s="25" t="str">
        <f t="shared" ca="1" si="98"/>
        <v>A VENCER</v>
      </c>
      <c r="AB1225" s="25" t="str">
        <f t="shared" si="96"/>
        <v>C-14</v>
      </c>
      <c r="AC1225" s="2" t="str">
        <f t="shared" si="100"/>
        <v xml:space="preserve"> CLEITON </v>
      </c>
      <c r="AD1225" s="26">
        <f t="shared" si="97"/>
        <v>5</v>
      </c>
      <c r="AE1225" s="26">
        <f t="shared" ca="1" si="99"/>
        <v>28.370380439817382</v>
      </c>
    </row>
    <row r="1226" spans="1:31" hidden="1">
      <c r="A1226" s="209">
        <v>9416980</v>
      </c>
      <c r="B1226" s="209" t="s">
        <v>101</v>
      </c>
      <c r="C1226" s="210" t="s">
        <v>643</v>
      </c>
      <c r="D1226" s="214">
        <v>230018070</v>
      </c>
      <c r="E1226" s="214">
        <v>1833001400010</v>
      </c>
      <c r="F1226" s="209" t="s">
        <v>936</v>
      </c>
      <c r="G1226" s="209" t="s">
        <v>53</v>
      </c>
      <c r="H1226" s="209" t="s">
        <v>369</v>
      </c>
      <c r="I1226" s="209" t="s">
        <v>370</v>
      </c>
      <c r="J1226" s="209" t="s">
        <v>46</v>
      </c>
      <c r="K1226" s="210" t="s">
        <v>937</v>
      </c>
      <c r="L1226" s="210"/>
      <c r="M1226" s="209" t="s">
        <v>58</v>
      </c>
      <c r="N1226" s="209">
        <v>0</v>
      </c>
      <c r="O1226" s="209" t="s">
        <v>105</v>
      </c>
      <c r="P1226" s="211" t="s">
        <v>2298</v>
      </c>
      <c r="Q1226" s="209"/>
      <c r="R1226" s="209">
        <v>3</v>
      </c>
      <c r="S1226" s="209"/>
      <c r="T1226" s="209" t="s">
        <v>646</v>
      </c>
      <c r="U1226" s="211" t="s">
        <v>2299</v>
      </c>
      <c r="V1226" s="209" t="s">
        <v>41</v>
      </c>
      <c r="W1226" s="209" t="s">
        <v>49</v>
      </c>
      <c r="X1226" s="13" t="str">
        <f>IF(RIGHT(H1226,2)&lt;&gt;"00",H1226,"")</f>
        <v/>
      </c>
      <c r="Y1226" s="26">
        <f ca="1">NETWORKDAYS(P1226,$Y$1)</f>
        <v>21</v>
      </c>
      <c r="Z1226" s="34">
        <v>1</v>
      </c>
      <c r="AA1226" s="25" t="str">
        <f t="shared" ca="1" si="98"/>
        <v>A VENCER</v>
      </c>
      <c r="AB1226" s="25" t="str">
        <f t="shared" si="96"/>
        <v>C-14</v>
      </c>
      <c r="AC1226" s="2" t="str">
        <f t="shared" si="100"/>
        <v xml:space="preserve"> CLEITON </v>
      </c>
      <c r="AD1226" s="26">
        <f t="shared" si="97"/>
        <v>5</v>
      </c>
      <c r="AE1226" s="26">
        <f t="shared" ca="1" si="99"/>
        <v>28.370484606479295</v>
      </c>
    </row>
    <row r="1227" spans="1:31" hidden="1">
      <c r="A1227" s="209">
        <v>9416968</v>
      </c>
      <c r="B1227" s="209" t="s">
        <v>101</v>
      </c>
      <c r="C1227" s="210" t="s">
        <v>643</v>
      </c>
      <c r="D1227" s="214">
        <v>230018062</v>
      </c>
      <c r="E1227" s="214">
        <v>1814001400010</v>
      </c>
      <c r="F1227" s="209" t="s">
        <v>936</v>
      </c>
      <c r="G1227" s="209" t="s">
        <v>53</v>
      </c>
      <c r="H1227" s="209" t="s">
        <v>396</v>
      </c>
      <c r="I1227" s="209" t="s">
        <v>397</v>
      </c>
      <c r="J1227" s="209" t="s">
        <v>46</v>
      </c>
      <c r="K1227" s="210" t="s">
        <v>937</v>
      </c>
      <c r="L1227" s="210"/>
      <c r="M1227" s="209" t="s">
        <v>58</v>
      </c>
      <c r="N1227" s="209">
        <v>0</v>
      </c>
      <c r="O1227" s="209" t="s">
        <v>105</v>
      </c>
      <c r="P1227" s="211" t="s">
        <v>3073</v>
      </c>
      <c r="Q1227" s="209"/>
      <c r="R1227" s="209">
        <v>3</v>
      </c>
      <c r="S1227" s="209"/>
      <c r="T1227" s="209" t="s">
        <v>646</v>
      </c>
      <c r="U1227" s="211" t="s">
        <v>4616</v>
      </c>
      <c r="V1227" s="209" t="s">
        <v>41</v>
      </c>
      <c r="W1227" s="209" t="s">
        <v>49</v>
      </c>
      <c r="X1227" s="13" t="str">
        <f>IF(RIGHT(H1227,2)&lt;&gt;"00",H1227,"")</f>
        <v/>
      </c>
      <c r="Y1227" s="26">
        <f ca="1">NETWORKDAYS(P1227,$Y$1)</f>
        <v>21</v>
      </c>
      <c r="Z1227" s="34">
        <v>1</v>
      </c>
      <c r="AA1227" s="25" t="str">
        <f t="shared" ca="1" si="98"/>
        <v>A VENCER</v>
      </c>
      <c r="AB1227" s="25" t="str">
        <f t="shared" si="96"/>
        <v>C-14</v>
      </c>
      <c r="AC1227" s="2" t="str">
        <f t="shared" si="100"/>
        <v xml:space="preserve"> CLEITON </v>
      </c>
      <c r="AD1227" s="26">
        <f t="shared" si="97"/>
        <v>5</v>
      </c>
      <c r="AE1227" s="26">
        <f t="shared" ca="1" si="99"/>
        <v>28.370901273148775</v>
      </c>
    </row>
    <row r="1228" spans="1:31" hidden="1">
      <c r="A1228" s="209">
        <v>9416942</v>
      </c>
      <c r="B1228" s="209" t="s">
        <v>101</v>
      </c>
      <c r="C1228" s="210" t="s">
        <v>643</v>
      </c>
      <c r="D1228" s="214">
        <v>230018044</v>
      </c>
      <c r="E1228" s="214">
        <v>1764001400010</v>
      </c>
      <c r="F1228" s="209" t="s">
        <v>936</v>
      </c>
      <c r="G1228" s="209" t="s">
        <v>53</v>
      </c>
      <c r="H1228" s="209" t="s">
        <v>722</v>
      </c>
      <c r="I1228" s="209" t="s">
        <v>723</v>
      </c>
      <c r="J1228" s="209" t="s">
        <v>90</v>
      </c>
      <c r="K1228" s="210" t="s">
        <v>937</v>
      </c>
      <c r="L1228" s="210"/>
      <c r="M1228" s="209" t="s">
        <v>58</v>
      </c>
      <c r="N1228" s="209">
        <v>0</v>
      </c>
      <c r="O1228" s="209" t="s">
        <v>105</v>
      </c>
      <c r="P1228" s="211" t="s">
        <v>2300</v>
      </c>
      <c r="Q1228" s="209"/>
      <c r="R1228" s="209">
        <v>3</v>
      </c>
      <c r="S1228" s="209"/>
      <c r="T1228" s="209" t="s">
        <v>646</v>
      </c>
      <c r="U1228" s="211" t="s">
        <v>2301</v>
      </c>
      <c r="V1228" s="209" t="s">
        <v>41</v>
      </c>
      <c r="W1228" s="209" t="s">
        <v>49</v>
      </c>
      <c r="X1228" s="13" t="str">
        <f>IF(RIGHT(H1228,2)&lt;&gt;"00",H1228,"")</f>
        <v/>
      </c>
      <c r="Y1228" s="26">
        <f ca="1">NETWORKDAYS(P1228,$Y$1)</f>
        <v>21</v>
      </c>
      <c r="Z1228" s="34">
        <v>1</v>
      </c>
      <c r="AA1228" s="25" t="str">
        <f t="shared" ca="1" si="98"/>
        <v>A VENCER</v>
      </c>
      <c r="AB1228" s="25" t="str">
        <f t="shared" si="96"/>
        <v>C-14</v>
      </c>
      <c r="AC1228" s="2" t="str">
        <f t="shared" si="100"/>
        <v xml:space="preserve"> RINALDO </v>
      </c>
      <c r="AD1228" s="26">
        <f t="shared" si="97"/>
        <v>5</v>
      </c>
      <c r="AE1228" s="26">
        <f t="shared" ca="1" si="99"/>
        <v>28.371827199072868</v>
      </c>
    </row>
    <row r="1229" spans="1:31" hidden="1">
      <c r="A1229" s="209">
        <v>9416933</v>
      </c>
      <c r="B1229" s="209" t="s">
        <v>101</v>
      </c>
      <c r="C1229" s="210" t="s">
        <v>643</v>
      </c>
      <c r="D1229" s="214">
        <v>230018135</v>
      </c>
      <c r="E1229" s="214">
        <v>2138001400010</v>
      </c>
      <c r="F1229" s="209" t="s">
        <v>936</v>
      </c>
      <c r="G1229" s="209" t="s">
        <v>53</v>
      </c>
      <c r="H1229" s="209" t="s">
        <v>379</v>
      </c>
      <c r="I1229" s="209" t="s">
        <v>380</v>
      </c>
      <c r="J1229" s="209" t="s">
        <v>46</v>
      </c>
      <c r="K1229" s="210" t="s">
        <v>937</v>
      </c>
      <c r="L1229" s="210"/>
      <c r="M1229" s="209" t="s">
        <v>58</v>
      </c>
      <c r="N1229" s="209">
        <v>0</v>
      </c>
      <c r="O1229" s="209" t="s">
        <v>105</v>
      </c>
      <c r="P1229" s="211" t="s">
        <v>3074</v>
      </c>
      <c r="Q1229" s="209"/>
      <c r="R1229" s="209">
        <v>3</v>
      </c>
      <c r="S1229" s="209"/>
      <c r="T1229" s="209" t="s">
        <v>646</v>
      </c>
      <c r="U1229" s="211" t="s">
        <v>2302</v>
      </c>
      <c r="V1229" s="209" t="s">
        <v>41</v>
      </c>
      <c r="W1229" s="209" t="s">
        <v>49</v>
      </c>
      <c r="X1229" s="13" t="str">
        <f>IF(RIGHT(H1229,2)&lt;&gt;"00",H1229,"")</f>
        <v/>
      </c>
      <c r="Y1229" s="26">
        <f ca="1">NETWORKDAYS(P1229,$Y$1)</f>
        <v>21</v>
      </c>
      <c r="Z1229" s="34">
        <v>1</v>
      </c>
      <c r="AA1229" s="25" t="str">
        <f t="shared" ca="1" si="98"/>
        <v>A VENCER</v>
      </c>
      <c r="AB1229" s="25" t="str">
        <f t="shared" si="96"/>
        <v>C-14</v>
      </c>
      <c r="AC1229" s="2" t="str">
        <f t="shared" si="100"/>
        <v xml:space="preserve"> CLEITON </v>
      </c>
      <c r="AD1229" s="26">
        <f t="shared" si="97"/>
        <v>5</v>
      </c>
      <c r="AE1229" s="26">
        <f t="shared" ca="1" si="99"/>
        <v>28.372290162034915</v>
      </c>
    </row>
    <row r="1230" spans="1:31" hidden="1">
      <c r="A1230" s="209">
        <v>9416921</v>
      </c>
      <c r="B1230" s="209" t="s">
        <v>101</v>
      </c>
      <c r="C1230" s="210" t="s">
        <v>643</v>
      </c>
      <c r="D1230" s="214">
        <v>230018123</v>
      </c>
      <c r="E1230" s="214">
        <v>2107001400010</v>
      </c>
      <c r="F1230" s="209" t="s">
        <v>936</v>
      </c>
      <c r="G1230" s="209" t="s">
        <v>53</v>
      </c>
      <c r="H1230" s="209" t="s">
        <v>262</v>
      </c>
      <c r="I1230" s="209" t="s">
        <v>263</v>
      </c>
      <c r="J1230" s="209" t="s">
        <v>164</v>
      </c>
      <c r="K1230" s="210" t="s">
        <v>937</v>
      </c>
      <c r="L1230" s="210"/>
      <c r="M1230" s="209" t="s">
        <v>58</v>
      </c>
      <c r="N1230" s="209">
        <v>0</v>
      </c>
      <c r="O1230" s="209" t="s">
        <v>105</v>
      </c>
      <c r="P1230" s="211" t="s">
        <v>2303</v>
      </c>
      <c r="Q1230" s="209"/>
      <c r="R1230" s="209">
        <v>3</v>
      </c>
      <c r="S1230" s="209"/>
      <c r="T1230" s="209" t="s">
        <v>646</v>
      </c>
      <c r="U1230" s="211" t="s">
        <v>4143</v>
      </c>
      <c r="V1230" s="209" t="s">
        <v>41</v>
      </c>
      <c r="W1230" s="209" t="s">
        <v>49</v>
      </c>
      <c r="X1230" s="13" t="str">
        <f>IF(RIGHT(H1230,2)&lt;&gt;"00",H1230,"")</f>
        <v/>
      </c>
      <c r="Y1230" s="26">
        <f ca="1">NETWORKDAYS(P1230,$Y$1)</f>
        <v>21</v>
      </c>
      <c r="Z1230" s="34">
        <v>1</v>
      </c>
      <c r="AA1230" s="25" t="str">
        <f t="shared" ca="1" si="98"/>
        <v>A VENCER</v>
      </c>
      <c r="AB1230" s="25" t="str">
        <f t="shared" si="96"/>
        <v>C-14</v>
      </c>
      <c r="AC1230" s="2" t="str">
        <f t="shared" si="100"/>
        <v xml:space="preserve"> ROSEMERE </v>
      </c>
      <c r="AD1230" s="26">
        <f t="shared" si="97"/>
        <v>5</v>
      </c>
      <c r="AE1230" s="26">
        <f t="shared" ca="1" si="99"/>
        <v>28.372926736112277</v>
      </c>
    </row>
    <row r="1231" spans="1:31" hidden="1">
      <c r="A1231" s="209">
        <v>9416908</v>
      </c>
      <c r="B1231" s="209" t="s">
        <v>101</v>
      </c>
      <c r="C1231" s="210" t="s">
        <v>643</v>
      </c>
      <c r="D1231" s="214">
        <v>230018110</v>
      </c>
      <c r="E1231" s="214">
        <v>2069001400010</v>
      </c>
      <c r="F1231" s="209" t="s">
        <v>936</v>
      </c>
      <c r="G1231" s="209" t="s">
        <v>53</v>
      </c>
      <c r="H1231" s="209" t="s">
        <v>557</v>
      </c>
      <c r="I1231" s="209" t="s">
        <v>558</v>
      </c>
      <c r="J1231" s="209" t="s">
        <v>90</v>
      </c>
      <c r="K1231" s="210" t="s">
        <v>937</v>
      </c>
      <c r="L1231" s="210"/>
      <c r="M1231" s="209" t="s">
        <v>58</v>
      </c>
      <c r="N1231" s="209">
        <v>0</v>
      </c>
      <c r="O1231" s="209" t="s">
        <v>105</v>
      </c>
      <c r="P1231" s="211" t="s">
        <v>2304</v>
      </c>
      <c r="Q1231" s="209"/>
      <c r="R1231" s="209">
        <v>3</v>
      </c>
      <c r="S1231" s="209"/>
      <c r="T1231" s="209" t="s">
        <v>646</v>
      </c>
      <c r="U1231" s="211" t="s">
        <v>2305</v>
      </c>
      <c r="V1231" s="209" t="s">
        <v>41</v>
      </c>
      <c r="W1231" s="209" t="s">
        <v>49</v>
      </c>
      <c r="X1231" s="13" t="str">
        <f>IF(RIGHT(H1231,2)&lt;&gt;"00",H1231,"")</f>
        <v/>
      </c>
      <c r="Y1231" s="26">
        <f ca="1">NETWORKDAYS(P1231,$Y$1)</f>
        <v>21</v>
      </c>
      <c r="Z1231" s="34">
        <v>1</v>
      </c>
      <c r="AA1231" s="25" t="str">
        <f t="shared" ca="1" si="98"/>
        <v>A VENCER</v>
      </c>
      <c r="AB1231" s="25" t="str">
        <f t="shared" si="96"/>
        <v>C-14</v>
      </c>
      <c r="AC1231" s="2" t="str">
        <f t="shared" si="100"/>
        <v xml:space="preserve"> RINALDO </v>
      </c>
      <c r="AD1231" s="26">
        <f t="shared" si="97"/>
        <v>5</v>
      </c>
      <c r="AE1231" s="26">
        <f t="shared" ca="1" si="99"/>
        <v>28.373609606482205</v>
      </c>
    </row>
    <row r="1232" spans="1:31" hidden="1">
      <c r="A1232" s="209">
        <v>9416812</v>
      </c>
      <c r="B1232" s="209" t="s">
        <v>101</v>
      </c>
      <c r="C1232" s="210" t="s">
        <v>643</v>
      </c>
      <c r="D1232" s="214">
        <v>230017885</v>
      </c>
      <c r="E1232" s="214">
        <v>1421001400010</v>
      </c>
      <c r="F1232" s="209" t="s">
        <v>936</v>
      </c>
      <c r="G1232" s="209" t="s">
        <v>53</v>
      </c>
      <c r="H1232" s="209" t="s">
        <v>179</v>
      </c>
      <c r="I1232" s="209" t="s">
        <v>180</v>
      </c>
      <c r="J1232" s="209" t="s">
        <v>79</v>
      </c>
      <c r="K1232" s="210" t="s">
        <v>937</v>
      </c>
      <c r="L1232" s="210"/>
      <c r="M1232" s="209" t="s">
        <v>58</v>
      </c>
      <c r="N1232" s="209">
        <v>0</v>
      </c>
      <c r="O1232" s="209" t="s">
        <v>105</v>
      </c>
      <c r="P1232" s="211" t="s">
        <v>2308</v>
      </c>
      <c r="Q1232" s="209"/>
      <c r="R1232" s="209">
        <v>3</v>
      </c>
      <c r="S1232" s="209"/>
      <c r="T1232" s="209" t="s">
        <v>646</v>
      </c>
      <c r="U1232" s="211" t="s">
        <v>2309</v>
      </c>
      <c r="V1232" s="209" t="s">
        <v>41</v>
      </c>
      <c r="W1232" s="209" t="s">
        <v>49</v>
      </c>
      <c r="X1232" s="13" t="str">
        <f>IF(RIGHT(H1232,2)&lt;&gt;"00",H1232,"")</f>
        <v/>
      </c>
      <c r="Y1232" s="26">
        <f ca="1">NETWORKDAYS(P1232,$Y$1)</f>
        <v>21</v>
      </c>
      <c r="Z1232" s="34">
        <v>1</v>
      </c>
      <c r="AA1232" s="25" t="str">
        <f t="shared" ca="1" si="98"/>
        <v>A VENCER</v>
      </c>
      <c r="AB1232" s="25" t="str">
        <f t="shared" si="96"/>
        <v>C-14</v>
      </c>
      <c r="AC1232" s="2" t="str">
        <f t="shared" si="100"/>
        <v xml:space="preserve"> ROSEMERE </v>
      </c>
      <c r="AD1232" s="26">
        <f t="shared" si="97"/>
        <v>5</v>
      </c>
      <c r="AE1232" s="26">
        <f t="shared" ca="1" si="99"/>
        <v>28.378262384256232</v>
      </c>
    </row>
    <row r="1233" spans="1:31" hidden="1">
      <c r="A1233" s="209">
        <v>9416765</v>
      </c>
      <c r="B1233" s="209" t="s">
        <v>101</v>
      </c>
      <c r="C1233" s="210" t="s">
        <v>643</v>
      </c>
      <c r="D1233" s="214">
        <v>230017755</v>
      </c>
      <c r="E1233" s="214">
        <v>1059001400010</v>
      </c>
      <c r="F1233" s="209" t="s">
        <v>936</v>
      </c>
      <c r="G1233" s="209" t="s">
        <v>53</v>
      </c>
      <c r="H1233" s="209" t="s">
        <v>88</v>
      </c>
      <c r="I1233" s="209" t="s">
        <v>89</v>
      </c>
      <c r="J1233" s="209" t="s">
        <v>90</v>
      </c>
      <c r="K1233" s="210" t="s">
        <v>937</v>
      </c>
      <c r="L1233" s="210"/>
      <c r="M1233" s="209" t="s">
        <v>58</v>
      </c>
      <c r="N1233" s="209">
        <v>0</v>
      </c>
      <c r="O1233" s="209" t="s">
        <v>105</v>
      </c>
      <c r="P1233" s="211" t="s">
        <v>2310</v>
      </c>
      <c r="Q1233" s="209"/>
      <c r="R1233" s="209">
        <v>3</v>
      </c>
      <c r="S1233" s="209"/>
      <c r="T1233" s="209" t="s">
        <v>646</v>
      </c>
      <c r="U1233" s="211" t="s">
        <v>2311</v>
      </c>
      <c r="V1233" s="209" t="s">
        <v>41</v>
      </c>
      <c r="W1233" s="209" t="s">
        <v>49</v>
      </c>
      <c r="X1233" s="13" t="str">
        <f>IF(RIGHT(H1233,2)&lt;&gt;"00",H1233,"")</f>
        <v/>
      </c>
      <c r="Y1233" s="26">
        <f ca="1">NETWORKDAYS(P1233,$Y$1)</f>
        <v>21</v>
      </c>
      <c r="Z1233" s="34">
        <v>1</v>
      </c>
      <c r="AA1233" s="25" t="str">
        <f t="shared" ca="1" si="98"/>
        <v>A VENCER</v>
      </c>
      <c r="AB1233" s="25" t="str">
        <f t="shared" si="96"/>
        <v>C-14</v>
      </c>
      <c r="AC1233" s="2" t="str">
        <f t="shared" si="100"/>
        <v xml:space="preserve"> RINALDO </v>
      </c>
      <c r="AD1233" s="26">
        <f t="shared" si="97"/>
        <v>5</v>
      </c>
      <c r="AE1233" s="26">
        <f t="shared" ca="1" si="99"/>
        <v>28.380507754627615</v>
      </c>
    </row>
    <row r="1234" spans="1:31" hidden="1">
      <c r="A1234" s="209">
        <v>9416764</v>
      </c>
      <c r="B1234" s="209" t="s">
        <v>101</v>
      </c>
      <c r="C1234" s="210" t="s">
        <v>643</v>
      </c>
      <c r="D1234" s="214">
        <v>230017754</v>
      </c>
      <c r="E1234" s="214">
        <v>1058001400010</v>
      </c>
      <c r="F1234" s="209" t="s">
        <v>936</v>
      </c>
      <c r="G1234" s="209" t="s">
        <v>53</v>
      </c>
      <c r="H1234" s="209" t="s">
        <v>289</v>
      </c>
      <c r="I1234" s="209" t="s">
        <v>290</v>
      </c>
      <c r="J1234" s="209" t="s">
        <v>56</v>
      </c>
      <c r="K1234" s="210" t="s">
        <v>937</v>
      </c>
      <c r="L1234" s="210"/>
      <c r="M1234" s="209" t="s">
        <v>58</v>
      </c>
      <c r="N1234" s="209">
        <v>0</v>
      </c>
      <c r="O1234" s="209" t="s">
        <v>105</v>
      </c>
      <c r="P1234" s="211" t="s">
        <v>3075</v>
      </c>
      <c r="Q1234" s="209"/>
      <c r="R1234" s="209">
        <v>3</v>
      </c>
      <c r="S1234" s="209"/>
      <c r="T1234" s="209" t="s">
        <v>646</v>
      </c>
      <c r="U1234" s="211" t="s">
        <v>3076</v>
      </c>
      <c r="V1234" s="209" t="s">
        <v>41</v>
      </c>
      <c r="W1234" s="209" t="s">
        <v>49</v>
      </c>
      <c r="X1234" s="13" t="str">
        <f>IF(RIGHT(H1234,2)&lt;&gt;"00",H1234,"")</f>
        <v/>
      </c>
      <c r="Y1234" s="26">
        <f ca="1">NETWORKDAYS(P1234,$Y$1)</f>
        <v>21</v>
      </c>
      <c r="Z1234" s="34">
        <v>1</v>
      </c>
      <c r="AA1234" s="25" t="str">
        <f t="shared" ca="1" si="98"/>
        <v>A VENCER</v>
      </c>
      <c r="AB1234" s="25" t="str">
        <f t="shared" si="96"/>
        <v>C-14</v>
      </c>
      <c r="AC1234" s="2" t="str">
        <f t="shared" si="100"/>
        <v xml:space="preserve"> CRISTINA </v>
      </c>
      <c r="AD1234" s="26">
        <f t="shared" si="97"/>
        <v>5</v>
      </c>
      <c r="AE1234" s="26">
        <f t="shared" ca="1" si="99"/>
        <v>28.380554050927458</v>
      </c>
    </row>
    <row r="1235" spans="1:31" hidden="1">
      <c r="A1235" s="209">
        <v>9416746</v>
      </c>
      <c r="B1235" s="209" t="s">
        <v>101</v>
      </c>
      <c r="C1235" s="210" t="s">
        <v>643</v>
      </c>
      <c r="D1235" s="214">
        <v>230017740</v>
      </c>
      <c r="E1235" s="214">
        <v>1028001400010</v>
      </c>
      <c r="F1235" s="209" t="s">
        <v>936</v>
      </c>
      <c r="G1235" s="209" t="s">
        <v>53</v>
      </c>
      <c r="H1235" s="209" t="s">
        <v>1079</v>
      </c>
      <c r="I1235" s="209" t="s">
        <v>1080</v>
      </c>
      <c r="J1235" s="209" t="s">
        <v>85</v>
      </c>
      <c r="K1235" s="210" t="s">
        <v>937</v>
      </c>
      <c r="L1235" s="210"/>
      <c r="M1235" s="209" t="s">
        <v>58</v>
      </c>
      <c r="N1235" s="209">
        <v>0</v>
      </c>
      <c r="O1235" s="209" t="s">
        <v>105</v>
      </c>
      <c r="P1235" s="211" t="s">
        <v>2312</v>
      </c>
      <c r="Q1235" s="209"/>
      <c r="R1235" s="209">
        <v>3</v>
      </c>
      <c r="S1235" s="209"/>
      <c r="T1235" s="209" t="s">
        <v>646</v>
      </c>
      <c r="U1235" s="211" t="s">
        <v>2313</v>
      </c>
      <c r="V1235" s="209" t="s">
        <v>41</v>
      </c>
      <c r="W1235" s="209" t="s">
        <v>49</v>
      </c>
      <c r="X1235" s="13" t="str">
        <f>IF(RIGHT(H1235,2)&lt;&gt;"00",H1235,"")</f>
        <v/>
      </c>
      <c r="Y1235" s="26">
        <f ca="1">NETWORKDAYS(P1235,$Y$1)</f>
        <v>21</v>
      </c>
      <c r="Z1235" s="34">
        <v>1</v>
      </c>
      <c r="AA1235" s="25" t="str">
        <f t="shared" ca="1" si="98"/>
        <v>A VENCER</v>
      </c>
      <c r="AB1235" s="25" t="str">
        <f t="shared" si="96"/>
        <v>C-14</v>
      </c>
      <c r="AC1235" s="2" t="str">
        <f t="shared" si="100"/>
        <v xml:space="preserve"> RINALDO </v>
      </c>
      <c r="AD1235" s="26">
        <f t="shared" si="97"/>
        <v>5</v>
      </c>
      <c r="AE1235" s="26">
        <f t="shared" ca="1" si="99"/>
        <v>28.381294791666733</v>
      </c>
    </row>
    <row r="1236" spans="1:31" hidden="1">
      <c r="A1236" s="209">
        <v>9416578</v>
      </c>
      <c r="B1236" s="209" t="s">
        <v>101</v>
      </c>
      <c r="C1236" s="210" t="s">
        <v>643</v>
      </c>
      <c r="D1236" s="214">
        <v>230017619</v>
      </c>
      <c r="E1236" s="214">
        <v>711001400010</v>
      </c>
      <c r="F1236" s="209" t="s">
        <v>936</v>
      </c>
      <c r="G1236" s="209" t="s">
        <v>53</v>
      </c>
      <c r="H1236" s="209" t="s">
        <v>77</v>
      </c>
      <c r="I1236" s="209" t="s">
        <v>78</v>
      </c>
      <c r="J1236" s="209" t="s">
        <v>79</v>
      </c>
      <c r="K1236" s="210" t="s">
        <v>937</v>
      </c>
      <c r="L1236" s="210"/>
      <c r="M1236" s="209" t="s">
        <v>58</v>
      </c>
      <c r="N1236" s="209">
        <v>0</v>
      </c>
      <c r="O1236" s="209" t="s">
        <v>105</v>
      </c>
      <c r="P1236" s="211" t="s">
        <v>2316</v>
      </c>
      <c r="Q1236" s="209"/>
      <c r="R1236" s="209">
        <v>3</v>
      </c>
      <c r="S1236" s="209"/>
      <c r="T1236" s="209" t="s">
        <v>646</v>
      </c>
      <c r="U1236" s="211" t="s">
        <v>2317</v>
      </c>
      <c r="V1236" s="209" t="s">
        <v>41</v>
      </c>
      <c r="W1236" s="209" t="s">
        <v>49</v>
      </c>
      <c r="X1236" s="13" t="str">
        <f>IF(RIGHT(H1236,2)&lt;&gt;"00",H1236,"")</f>
        <v/>
      </c>
      <c r="Y1236" s="26">
        <f ca="1">NETWORKDAYS(P1236,$Y$1)</f>
        <v>21</v>
      </c>
      <c r="Z1236" s="34">
        <v>1</v>
      </c>
      <c r="AA1236" s="25" t="str">
        <f t="shared" ca="1" si="98"/>
        <v>A VENCER</v>
      </c>
      <c r="AB1236" s="25" t="str">
        <f t="shared" si="96"/>
        <v>C-14</v>
      </c>
      <c r="AC1236" s="2" t="str">
        <f t="shared" si="100"/>
        <v xml:space="preserve"> ROSEMERE </v>
      </c>
      <c r="AD1236" s="26">
        <f t="shared" si="97"/>
        <v>5</v>
      </c>
      <c r="AE1236" s="26">
        <f t="shared" ca="1" si="99"/>
        <v>28.38948923611315</v>
      </c>
    </row>
    <row r="1237" spans="1:31" hidden="1">
      <c r="A1237" s="209">
        <v>9416566</v>
      </c>
      <c r="B1237" s="209" t="s">
        <v>101</v>
      </c>
      <c r="C1237" s="210" t="s">
        <v>643</v>
      </c>
      <c r="D1237" s="214">
        <v>230017592</v>
      </c>
      <c r="E1237" s="214">
        <v>605001400010</v>
      </c>
      <c r="F1237" s="209" t="s">
        <v>936</v>
      </c>
      <c r="G1237" s="209" t="s">
        <v>53</v>
      </c>
      <c r="H1237" s="209" t="s">
        <v>420</v>
      </c>
      <c r="I1237" s="209" t="s">
        <v>421</v>
      </c>
      <c r="J1237" s="209" t="s">
        <v>90</v>
      </c>
      <c r="K1237" s="210" t="s">
        <v>937</v>
      </c>
      <c r="L1237" s="210"/>
      <c r="M1237" s="209" t="s">
        <v>58</v>
      </c>
      <c r="N1237" s="209">
        <v>0</v>
      </c>
      <c r="O1237" s="209" t="s">
        <v>105</v>
      </c>
      <c r="P1237" s="211" t="s">
        <v>3079</v>
      </c>
      <c r="Q1237" s="209"/>
      <c r="R1237" s="209">
        <v>3</v>
      </c>
      <c r="S1237" s="209"/>
      <c r="T1237" s="209" t="s">
        <v>646</v>
      </c>
      <c r="U1237" s="211" t="s">
        <v>3080</v>
      </c>
      <c r="V1237" s="209" t="s">
        <v>41</v>
      </c>
      <c r="W1237" s="209" t="s">
        <v>49</v>
      </c>
      <c r="X1237" s="13" t="str">
        <f>IF(RIGHT(H1237,2)&lt;&gt;"00",H1237,"")</f>
        <v/>
      </c>
      <c r="Y1237" s="26">
        <f ca="1">NETWORKDAYS(P1237,$Y$1)</f>
        <v>21</v>
      </c>
      <c r="Z1237" s="34">
        <v>1</v>
      </c>
      <c r="AA1237" s="25" t="str">
        <f t="shared" ca="1" si="98"/>
        <v>A VENCER</v>
      </c>
      <c r="AB1237" s="25" t="str">
        <f t="shared" si="96"/>
        <v>C-14</v>
      </c>
      <c r="AC1237" s="2" t="str">
        <f t="shared" si="100"/>
        <v xml:space="preserve"> RINALDO </v>
      </c>
      <c r="AD1237" s="26">
        <f t="shared" si="97"/>
        <v>5</v>
      </c>
      <c r="AE1237" s="26">
        <f t="shared" ca="1" si="99"/>
        <v>28.390125810183235</v>
      </c>
    </row>
    <row r="1238" spans="1:31" hidden="1">
      <c r="A1238" s="209">
        <v>9416563</v>
      </c>
      <c r="B1238" s="209" t="s">
        <v>101</v>
      </c>
      <c r="C1238" s="210" t="s">
        <v>643</v>
      </c>
      <c r="D1238" s="214">
        <v>230017589</v>
      </c>
      <c r="E1238" s="214">
        <v>600001400010</v>
      </c>
      <c r="F1238" s="209" t="s">
        <v>936</v>
      </c>
      <c r="G1238" s="209" t="s">
        <v>53</v>
      </c>
      <c r="H1238" s="209" t="s">
        <v>1084</v>
      </c>
      <c r="I1238" s="209" t="s">
        <v>1085</v>
      </c>
      <c r="J1238" s="209" t="s">
        <v>90</v>
      </c>
      <c r="K1238" s="210" t="s">
        <v>937</v>
      </c>
      <c r="L1238" s="210"/>
      <c r="M1238" s="209" t="s">
        <v>58</v>
      </c>
      <c r="N1238" s="209">
        <v>0</v>
      </c>
      <c r="O1238" s="209" t="s">
        <v>105</v>
      </c>
      <c r="P1238" s="211" t="s">
        <v>3081</v>
      </c>
      <c r="Q1238" s="209"/>
      <c r="R1238" s="209">
        <v>3</v>
      </c>
      <c r="S1238" s="209"/>
      <c r="T1238" s="209" t="s">
        <v>646</v>
      </c>
      <c r="U1238" s="211" t="s">
        <v>3082</v>
      </c>
      <c r="V1238" s="209" t="s">
        <v>41</v>
      </c>
      <c r="W1238" s="209" t="s">
        <v>49</v>
      </c>
      <c r="X1238" s="13" t="str">
        <f>IF(RIGHT(H1238,2)&lt;&gt;"00",H1238,"")</f>
        <v/>
      </c>
      <c r="Y1238" s="26">
        <f ca="1">NETWORKDAYS(P1238,$Y$1)</f>
        <v>21</v>
      </c>
      <c r="Z1238" s="34">
        <v>1</v>
      </c>
      <c r="AA1238" s="25" t="str">
        <f t="shared" ca="1" si="98"/>
        <v>A VENCER</v>
      </c>
      <c r="AB1238" s="25" t="str">
        <f t="shared" si="96"/>
        <v>C-14</v>
      </c>
      <c r="AC1238" s="2" t="str">
        <f t="shared" si="100"/>
        <v xml:space="preserve"> RINALDO </v>
      </c>
      <c r="AD1238" s="26">
        <f t="shared" si="97"/>
        <v>5</v>
      </c>
      <c r="AE1238" s="26">
        <f t="shared" ca="1" si="99"/>
        <v>28.390276273144991</v>
      </c>
    </row>
    <row r="1239" spans="1:31" hidden="1">
      <c r="A1239" s="209">
        <v>9416512</v>
      </c>
      <c r="B1239" s="209" t="s">
        <v>101</v>
      </c>
      <c r="C1239" s="210" t="s">
        <v>643</v>
      </c>
      <c r="D1239" s="214">
        <v>230017447</v>
      </c>
      <c r="E1239" s="214">
        <v>115001400010</v>
      </c>
      <c r="F1239" s="209" t="s">
        <v>936</v>
      </c>
      <c r="G1239" s="209" t="s">
        <v>53</v>
      </c>
      <c r="H1239" s="209" t="s">
        <v>542</v>
      </c>
      <c r="I1239" s="209" t="s">
        <v>543</v>
      </c>
      <c r="J1239" s="209" t="s">
        <v>56</v>
      </c>
      <c r="K1239" s="210" t="s">
        <v>937</v>
      </c>
      <c r="L1239" s="210"/>
      <c r="M1239" s="209" t="s">
        <v>58</v>
      </c>
      <c r="N1239" s="209">
        <v>0</v>
      </c>
      <c r="O1239" s="209" t="s">
        <v>105</v>
      </c>
      <c r="P1239" s="211" t="s">
        <v>3083</v>
      </c>
      <c r="Q1239" s="209"/>
      <c r="R1239" s="209">
        <v>3</v>
      </c>
      <c r="S1239" s="209"/>
      <c r="T1239" s="209" t="s">
        <v>646</v>
      </c>
      <c r="U1239" s="211" t="s">
        <v>3084</v>
      </c>
      <c r="V1239" s="209" t="s">
        <v>41</v>
      </c>
      <c r="W1239" s="209" t="s">
        <v>49</v>
      </c>
      <c r="X1239" s="13" t="str">
        <f>IF(RIGHT(H1239,2)&lt;&gt;"00",H1239,"")</f>
        <v/>
      </c>
      <c r="Y1239" s="26">
        <f ca="1">NETWORKDAYS(P1239,$Y$1)</f>
        <v>21</v>
      </c>
      <c r="Z1239" s="34">
        <v>1</v>
      </c>
      <c r="AA1239" s="25" t="str">
        <f t="shared" ca="1" si="98"/>
        <v>A VENCER</v>
      </c>
      <c r="AB1239" s="25" t="str">
        <f t="shared" si="96"/>
        <v>C-14</v>
      </c>
      <c r="AC1239" s="2" t="str">
        <f t="shared" si="100"/>
        <v xml:space="preserve"> CRISTINA </v>
      </c>
      <c r="AD1239" s="26">
        <f t="shared" si="97"/>
        <v>5</v>
      </c>
      <c r="AE1239" s="26">
        <f t="shared" ca="1" si="99"/>
        <v>28.393864236109948</v>
      </c>
    </row>
    <row r="1240" spans="1:31" hidden="1">
      <c r="A1240" s="209">
        <v>9416477</v>
      </c>
      <c r="B1240" s="209" t="s">
        <v>101</v>
      </c>
      <c r="C1240" s="210" t="s">
        <v>643</v>
      </c>
      <c r="D1240" s="214">
        <v>230017483</v>
      </c>
      <c r="E1240" s="214">
        <v>244001400010</v>
      </c>
      <c r="F1240" s="209" t="s">
        <v>936</v>
      </c>
      <c r="G1240" s="209" t="s">
        <v>53</v>
      </c>
      <c r="H1240" s="209" t="s">
        <v>313</v>
      </c>
      <c r="I1240" s="209" t="s">
        <v>314</v>
      </c>
      <c r="J1240" s="209" t="s">
        <v>56</v>
      </c>
      <c r="K1240" s="210" t="s">
        <v>937</v>
      </c>
      <c r="L1240" s="210"/>
      <c r="M1240" s="209" t="s">
        <v>58</v>
      </c>
      <c r="N1240" s="209">
        <v>0</v>
      </c>
      <c r="O1240" s="209" t="s">
        <v>105</v>
      </c>
      <c r="P1240" s="211" t="s">
        <v>3085</v>
      </c>
      <c r="Q1240" s="209"/>
      <c r="R1240" s="209">
        <v>3</v>
      </c>
      <c r="S1240" s="209"/>
      <c r="T1240" s="209" t="s">
        <v>646</v>
      </c>
      <c r="U1240" s="211" t="s">
        <v>3086</v>
      </c>
      <c r="V1240" s="209" t="s">
        <v>41</v>
      </c>
      <c r="W1240" s="209" t="s">
        <v>49</v>
      </c>
      <c r="X1240" s="13" t="str">
        <f>IF(RIGHT(H1240,2)&lt;&gt;"00",H1240,"")</f>
        <v/>
      </c>
      <c r="Y1240" s="26">
        <f ca="1">NETWORKDAYS(P1240,$Y$1)</f>
        <v>21</v>
      </c>
      <c r="Z1240" s="34">
        <v>1</v>
      </c>
      <c r="AA1240" s="25" t="str">
        <f t="shared" ca="1" si="98"/>
        <v>A VENCER</v>
      </c>
      <c r="AB1240" s="25" t="str">
        <f t="shared" si="96"/>
        <v>C-14</v>
      </c>
      <c r="AC1240" s="2" t="str">
        <f t="shared" si="100"/>
        <v xml:space="preserve"> CRISTINA </v>
      </c>
      <c r="AD1240" s="26">
        <f t="shared" si="97"/>
        <v>5</v>
      </c>
      <c r="AE1240" s="26">
        <f t="shared" ca="1" si="99"/>
        <v>28.39547303240397</v>
      </c>
    </row>
    <row r="1241" spans="1:31" hidden="1">
      <c r="A1241" s="209">
        <v>9416437</v>
      </c>
      <c r="B1241" s="209" t="s">
        <v>101</v>
      </c>
      <c r="C1241" s="210" t="s">
        <v>643</v>
      </c>
      <c r="D1241" s="214">
        <v>230017474</v>
      </c>
      <c r="E1241" s="214">
        <v>196001400010</v>
      </c>
      <c r="F1241" s="209" t="s">
        <v>936</v>
      </c>
      <c r="G1241" s="209" t="s">
        <v>53</v>
      </c>
      <c r="H1241" s="209" t="s">
        <v>1060</v>
      </c>
      <c r="I1241" s="209" t="s">
        <v>1061</v>
      </c>
      <c r="J1241" s="209" t="s">
        <v>79</v>
      </c>
      <c r="K1241" s="210" t="s">
        <v>937</v>
      </c>
      <c r="L1241" s="210"/>
      <c r="M1241" s="209" t="s">
        <v>58</v>
      </c>
      <c r="N1241" s="209">
        <v>0</v>
      </c>
      <c r="O1241" s="209" t="s">
        <v>105</v>
      </c>
      <c r="P1241" s="211" t="s">
        <v>3087</v>
      </c>
      <c r="Q1241" s="209"/>
      <c r="R1241" s="209">
        <v>3</v>
      </c>
      <c r="S1241" s="209"/>
      <c r="T1241" s="209" t="s">
        <v>646</v>
      </c>
      <c r="U1241" s="211" t="s">
        <v>3088</v>
      </c>
      <c r="V1241" s="209" t="s">
        <v>41</v>
      </c>
      <c r="W1241" s="209" t="s">
        <v>49</v>
      </c>
      <c r="X1241" s="13" t="str">
        <f>IF(RIGHT(H1241,2)&lt;&gt;"00",H1241,"")</f>
        <v/>
      </c>
      <c r="Y1241" s="26">
        <f ca="1">NETWORKDAYS(P1241,$Y$1)</f>
        <v>21</v>
      </c>
      <c r="Z1241" s="34">
        <v>1</v>
      </c>
      <c r="AA1241" s="25" t="str">
        <f t="shared" ca="1" si="98"/>
        <v>A VENCER</v>
      </c>
      <c r="AB1241" s="25" t="str">
        <f t="shared" si="96"/>
        <v>C-14</v>
      </c>
      <c r="AC1241" s="2" t="str">
        <f t="shared" si="100"/>
        <v xml:space="preserve"> ROSEMERE </v>
      </c>
      <c r="AD1241" s="26">
        <f t="shared" si="97"/>
        <v>5</v>
      </c>
      <c r="AE1241" s="26">
        <f t="shared" ca="1" si="99"/>
        <v>28.397093402774772</v>
      </c>
    </row>
    <row r="1242" spans="1:31" hidden="1">
      <c r="A1242" s="209">
        <v>9428127</v>
      </c>
      <c r="B1242" s="209" t="s">
        <v>1153</v>
      </c>
      <c r="C1242" s="210" t="s">
        <v>4144</v>
      </c>
      <c r="D1242" s="214"/>
      <c r="E1242" s="214">
        <v>2590000206001</v>
      </c>
      <c r="F1242" s="209" t="s">
        <v>29</v>
      </c>
      <c r="G1242" s="209" t="s">
        <v>53</v>
      </c>
      <c r="H1242" s="209" t="s">
        <v>394</v>
      </c>
      <c r="I1242" s="209" t="s">
        <v>395</v>
      </c>
      <c r="J1242" s="209" t="s">
        <v>148</v>
      </c>
      <c r="K1242" s="210" t="s">
        <v>34</v>
      </c>
      <c r="L1242" s="210"/>
      <c r="M1242" s="209" t="s">
        <v>35</v>
      </c>
      <c r="N1242" s="209">
        <v>42318949</v>
      </c>
      <c r="O1242" s="209" t="s">
        <v>36</v>
      </c>
      <c r="P1242" s="211" t="s">
        <v>3091</v>
      </c>
      <c r="Q1242" s="209"/>
      <c r="R1242" s="209" t="s">
        <v>38</v>
      </c>
      <c r="S1242" s="209"/>
      <c r="T1242" s="209" t="s">
        <v>74</v>
      </c>
      <c r="U1242" s="211" t="s">
        <v>4145</v>
      </c>
      <c r="V1242" s="209" t="s">
        <v>41</v>
      </c>
      <c r="W1242" s="209" t="s">
        <v>49</v>
      </c>
      <c r="X1242" s="13" t="str">
        <f>IF(RIGHT(H1242,2)&lt;&gt;"00",H1242,"")</f>
        <v/>
      </c>
      <c r="Y1242" s="26">
        <f ca="1">NETWORKDAYS(P1242,$Y$1)</f>
        <v>20</v>
      </c>
      <c r="Z1242" s="34">
        <v>1</v>
      </c>
      <c r="AA1242" s="25" t="str">
        <f t="shared" ca="1" si="98"/>
        <v>A VENCER</v>
      </c>
      <c r="AB1242" s="25" t="str">
        <f t="shared" si="96"/>
        <v>Dosa</v>
      </c>
      <c r="AC1242" s="2" t="str">
        <f t="shared" si="100"/>
        <v xml:space="preserve"> RINALDO </v>
      </c>
      <c r="AD1242" s="26">
        <f t="shared" si="97"/>
        <v>5</v>
      </c>
      <c r="AE1242" s="26">
        <f t="shared" ca="1" si="99"/>
        <v>27.050866550926003</v>
      </c>
    </row>
    <row r="1243" spans="1:31" hidden="1">
      <c r="A1243" s="209">
        <v>9426501</v>
      </c>
      <c r="B1243" s="209" t="s">
        <v>1153</v>
      </c>
      <c r="C1243" s="210" t="s">
        <v>2339</v>
      </c>
      <c r="D1243" s="214">
        <v>20235718000299</v>
      </c>
      <c r="E1243" s="214">
        <v>7417192423265</v>
      </c>
      <c r="F1243" s="209" t="s">
        <v>1727</v>
      </c>
      <c r="G1243" s="209" t="s">
        <v>53</v>
      </c>
      <c r="H1243" s="209" t="s">
        <v>1244</v>
      </c>
      <c r="I1243" s="209" t="s">
        <v>1245</v>
      </c>
      <c r="J1243" s="209" t="s">
        <v>46</v>
      </c>
      <c r="K1243" s="210" t="s">
        <v>1728</v>
      </c>
      <c r="L1243" s="210"/>
      <c r="M1243" s="209" t="s">
        <v>58</v>
      </c>
      <c r="N1243" s="209">
        <v>0</v>
      </c>
      <c r="O1243" s="209" t="s">
        <v>36</v>
      </c>
      <c r="P1243" s="211" t="s">
        <v>2340</v>
      </c>
      <c r="Q1243" s="209"/>
      <c r="R1243" s="209">
        <v>22</v>
      </c>
      <c r="S1243" s="209"/>
      <c r="T1243" s="209" t="s">
        <v>1160</v>
      </c>
      <c r="U1243" s="211" t="s">
        <v>2341</v>
      </c>
      <c r="V1243" s="209" t="s">
        <v>41</v>
      </c>
      <c r="W1243" s="209" t="s">
        <v>49</v>
      </c>
      <c r="X1243" s="13" t="str">
        <f>IF(RIGHT(H1243,2)&lt;&gt;"00",H1243,"")</f>
        <v/>
      </c>
      <c r="Y1243" s="26">
        <f ca="1">NETWORKDAYS(P1243,$Y$1)</f>
        <v>20</v>
      </c>
      <c r="Z1243" s="34">
        <v>1</v>
      </c>
      <c r="AA1243" s="25" t="str">
        <f t="shared" ca="1" si="98"/>
        <v>A VENCER</v>
      </c>
      <c r="AB1243" s="25" t="str">
        <f t="shared" si="96"/>
        <v>TAAe+</v>
      </c>
      <c r="AC1243" s="2" t="str">
        <f t="shared" si="100"/>
        <v xml:space="preserve"> CLEITON </v>
      </c>
      <c r="AD1243" s="26">
        <f t="shared" si="97"/>
        <v>8</v>
      </c>
      <c r="AE1243" s="26">
        <f t="shared" ca="1" si="99"/>
        <v>27.279685995374166</v>
      </c>
    </row>
    <row r="1244" spans="1:31" hidden="1">
      <c r="A1244" s="209">
        <v>9432437</v>
      </c>
      <c r="B1244" s="209" t="s">
        <v>62</v>
      </c>
      <c r="C1244" s="210" t="s">
        <v>2372</v>
      </c>
      <c r="D1244" s="214"/>
      <c r="E1244" s="214">
        <v>1833000206001</v>
      </c>
      <c r="F1244" s="209" t="s">
        <v>29</v>
      </c>
      <c r="G1244" s="209" t="s">
        <v>53</v>
      </c>
      <c r="H1244" s="209" t="s">
        <v>369</v>
      </c>
      <c r="I1244" s="209" t="s">
        <v>370</v>
      </c>
      <c r="J1244" s="209" t="s">
        <v>46</v>
      </c>
      <c r="K1244" s="210" t="s">
        <v>34</v>
      </c>
      <c r="L1244" s="210"/>
      <c r="M1244" s="209" t="s">
        <v>35</v>
      </c>
      <c r="N1244" s="209">
        <v>42318949</v>
      </c>
      <c r="O1244" s="209" t="s">
        <v>36</v>
      </c>
      <c r="P1244" s="211" t="s">
        <v>3099</v>
      </c>
      <c r="Q1244" s="209"/>
      <c r="R1244" s="209" t="s">
        <v>38</v>
      </c>
      <c r="S1244" s="209"/>
      <c r="T1244" s="209" t="s">
        <v>74</v>
      </c>
      <c r="U1244" s="211" t="s">
        <v>3100</v>
      </c>
      <c r="V1244" s="209" t="s">
        <v>41</v>
      </c>
      <c r="W1244" s="209" t="s">
        <v>49</v>
      </c>
      <c r="X1244" s="13" t="str">
        <f>IF(RIGHT(H1244,2)&lt;&gt;"00",H1244,"")</f>
        <v/>
      </c>
      <c r="Y1244" s="26">
        <f ca="1">NETWORKDAYS(P1244,$Y$1)</f>
        <v>19</v>
      </c>
      <c r="Z1244" s="34">
        <v>1</v>
      </c>
      <c r="AA1244" s="25" t="str">
        <f t="shared" ca="1" si="98"/>
        <v>A VENCER</v>
      </c>
      <c r="AB1244" s="25" t="str">
        <f t="shared" si="96"/>
        <v>Dosa</v>
      </c>
      <c r="AC1244" s="2" t="str">
        <f t="shared" si="100"/>
        <v xml:space="preserve"> CLEITON </v>
      </c>
      <c r="AD1244" s="26">
        <f t="shared" si="97"/>
        <v>5</v>
      </c>
      <c r="AE1244" s="26">
        <f t="shared" ca="1" si="99"/>
        <v>26.131132754628197</v>
      </c>
    </row>
    <row r="1245" spans="1:31" hidden="1">
      <c r="A1245" s="209">
        <v>9432115</v>
      </c>
      <c r="B1245" s="209" t="s">
        <v>1153</v>
      </c>
      <c r="C1245" s="210" t="s">
        <v>2373</v>
      </c>
      <c r="D1245" s="214">
        <v>20232257000015</v>
      </c>
      <c r="E1245" s="214">
        <v>7417183022203</v>
      </c>
      <c r="F1245" s="209" t="s">
        <v>1313</v>
      </c>
      <c r="G1245" s="209" t="s">
        <v>53</v>
      </c>
      <c r="H1245" s="209" t="s">
        <v>2326</v>
      </c>
      <c r="I1245" s="209" t="s">
        <v>2327</v>
      </c>
      <c r="J1245" s="209" t="s">
        <v>110</v>
      </c>
      <c r="K1245" s="210" t="s">
        <v>1316</v>
      </c>
      <c r="L1245" s="210"/>
      <c r="M1245" s="209" t="s">
        <v>58</v>
      </c>
      <c r="N1245" s="209">
        <v>0</v>
      </c>
      <c r="O1245" s="209" t="s">
        <v>36</v>
      </c>
      <c r="P1245" s="211" t="s">
        <v>2374</v>
      </c>
      <c r="Q1245" s="209"/>
      <c r="R1245" s="209">
        <v>14</v>
      </c>
      <c r="S1245" s="209"/>
      <c r="T1245" s="209" t="s">
        <v>238</v>
      </c>
      <c r="U1245" s="211" t="s">
        <v>2374</v>
      </c>
      <c r="V1245" s="209" t="s">
        <v>41</v>
      </c>
      <c r="W1245" s="209" t="s">
        <v>49</v>
      </c>
      <c r="X1245" s="13" t="str">
        <f>IF(RIGHT(H1245,2)&lt;&gt;"00",H1245,"")</f>
        <v>2257.91</v>
      </c>
      <c r="Y1245" s="26">
        <f ca="1">NETWORKDAYS(P1245,$Y$1)</f>
        <v>19</v>
      </c>
      <c r="Z1245" s="34">
        <v>1</v>
      </c>
      <c r="AA1245" s="25" t="str">
        <f t="shared" ca="1" si="98"/>
        <v>A VENCER</v>
      </c>
      <c r="AB1245" s="25" t="str">
        <f t="shared" ref="AB1245:AB1264" si="101">IF(F1245="GRPE-000001","C-14",IF(F1245="GRPE-000002","C-14",IF(F1245="GRPE-000003","C-14",IF(F1245="GRPE-000004","SL-On",IF(F1245="GRPE-000038","C-14",IF(F1245="GRPE-900022","Dosa",IF(F1245="GRPE-000029","Dosa",IF(F1245="ATOS-000222","Dose","TAAe+"))))))))</f>
        <v>TAAe+</v>
      </c>
      <c r="AC1245" s="2" t="str">
        <f t="shared" si="100"/>
        <v xml:space="preserve"> CRISTINA </v>
      </c>
      <c r="AD1245" s="26">
        <f t="shared" ref="AD1245:AD1264" si="102">IF(F1245="GRPE-000001",5,IF(F1245="GRPE-000002",5,IF(F1245="GRPE-000003",15,IF(F1245="GRPE-000004",1,IF(F1245="GRPE-000038",5,IF(F1245="GRPE-900022",5,IF(F1245="GRPE-000029",5,IF(F1245="ATOS-000222",5,8))))))))</f>
        <v>8</v>
      </c>
      <c r="AE1245" s="26">
        <f t="shared" ca="1" si="99"/>
        <v>26.188829513892415</v>
      </c>
    </row>
    <row r="1246" spans="1:31" hidden="1">
      <c r="A1246" s="209">
        <v>9431494</v>
      </c>
      <c r="B1246" s="209" t="s">
        <v>1153</v>
      </c>
      <c r="C1246" s="210" t="s">
        <v>2378</v>
      </c>
      <c r="D1246" s="214">
        <v>20237712000002</v>
      </c>
      <c r="E1246" s="214">
        <v>7417193051914</v>
      </c>
      <c r="F1246" s="209" t="s">
        <v>1719</v>
      </c>
      <c r="G1246" s="209" t="s">
        <v>53</v>
      </c>
      <c r="H1246" s="209" t="s">
        <v>2379</v>
      </c>
      <c r="I1246" s="209" t="s">
        <v>2380</v>
      </c>
      <c r="J1246" s="209" t="s">
        <v>46</v>
      </c>
      <c r="K1246" s="210" t="s">
        <v>1720</v>
      </c>
      <c r="L1246" s="210"/>
      <c r="M1246" s="209" t="s">
        <v>58</v>
      </c>
      <c r="N1246" s="209">
        <v>0</v>
      </c>
      <c r="O1246" s="209" t="s">
        <v>36</v>
      </c>
      <c r="P1246" s="211" t="s">
        <v>2381</v>
      </c>
      <c r="Q1246" s="209"/>
      <c r="R1246" s="209">
        <v>22</v>
      </c>
      <c r="S1246" s="209"/>
      <c r="T1246" s="209" t="s">
        <v>1160</v>
      </c>
      <c r="U1246" s="211" t="s">
        <v>2382</v>
      </c>
      <c r="V1246" s="209" t="s">
        <v>41</v>
      </c>
      <c r="W1246" s="209" t="s">
        <v>49</v>
      </c>
      <c r="X1246" s="13" t="str">
        <f>IF(RIGHT(H1246,2)&lt;&gt;"00",H1246,"")</f>
        <v/>
      </c>
      <c r="Y1246" s="26">
        <f ca="1">NETWORKDAYS(P1246,$Y$1)</f>
        <v>19</v>
      </c>
      <c r="Z1246" s="34">
        <v>1</v>
      </c>
      <c r="AA1246" s="25" t="str">
        <f t="shared" ca="1" si="98"/>
        <v>A VENCER</v>
      </c>
      <c r="AB1246" s="25" t="str">
        <f t="shared" si="101"/>
        <v>TAAe+</v>
      </c>
      <c r="AC1246" s="2" t="str">
        <f t="shared" si="100"/>
        <v xml:space="preserve"> CLEITON </v>
      </c>
      <c r="AD1246" s="26">
        <f t="shared" si="102"/>
        <v>8</v>
      </c>
      <c r="AE1246" s="26">
        <f t="shared" ca="1" si="99"/>
        <v>26.262822569442505</v>
      </c>
    </row>
    <row r="1247" spans="1:31" hidden="1">
      <c r="A1247" s="209">
        <v>9431491</v>
      </c>
      <c r="B1247" s="209" t="s">
        <v>1153</v>
      </c>
      <c r="C1247" s="210" t="s">
        <v>2383</v>
      </c>
      <c r="D1247" s="214">
        <v>20237712000001</v>
      </c>
      <c r="E1247" s="214">
        <v>7417193051942</v>
      </c>
      <c r="F1247" s="209" t="s">
        <v>1719</v>
      </c>
      <c r="G1247" s="209" t="s">
        <v>53</v>
      </c>
      <c r="H1247" s="209" t="s">
        <v>2379</v>
      </c>
      <c r="I1247" s="209" t="s">
        <v>2380</v>
      </c>
      <c r="J1247" s="209" t="s">
        <v>46</v>
      </c>
      <c r="K1247" s="210" t="s">
        <v>1720</v>
      </c>
      <c r="L1247" s="210"/>
      <c r="M1247" s="209" t="s">
        <v>58</v>
      </c>
      <c r="N1247" s="209">
        <v>0</v>
      </c>
      <c r="O1247" s="209" t="s">
        <v>36</v>
      </c>
      <c r="P1247" s="211" t="s">
        <v>2384</v>
      </c>
      <c r="Q1247" s="209"/>
      <c r="R1247" s="209">
        <v>22</v>
      </c>
      <c r="S1247" s="209"/>
      <c r="T1247" s="209" t="s">
        <v>1160</v>
      </c>
      <c r="U1247" s="211" t="s">
        <v>2385</v>
      </c>
      <c r="V1247" s="209" t="s">
        <v>41</v>
      </c>
      <c r="W1247" s="209" t="s">
        <v>49</v>
      </c>
      <c r="X1247" s="13" t="str">
        <f>IF(RIGHT(H1247,2)&lt;&gt;"00",H1247,"")</f>
        <v/>
      </c>
      <c r="Y1247" s="26">
        <f ca="1">NETWORKDAYS(P1247,$Y$1)</f>
        <v>19</v>
      </c>
      <c r="Z1247" s="34">
        <v>1</v>
      </c>
      <c r="AA1247" s="25" t="str">
        <f t="shared" ca="1" si="98"/>
        <v>A VENCER</v>
      </c>
      <c r="AB1247" s="25" t="str">
        <f t="shared" si="101"/>
        <v>TAAe+</v>
      </c>
      <c r="AC1247" s="2" t="str">
        <f t="shared" si="100"/>
        <v xml:space="preserve"> CLEITON </v>
      </c>
      <c r="AD1247" s="26">
        <f t="shared" si="102"/>
        <v>8</v>
      </c>
      <c r="AE1247" s="26">
        <f t="shared" ca="1" si="99"/>
        <v>26.270635069442505</v>
      </c>
    </row>
    <row r="1248" spans="1:31" hidden="1">
      <c r="A1248" s="209">
        <v>9430989</v>
      </c>
      <c r="B1248" s="209" t="s">
        <v>62</v>
      </c>
      <c r="C1248" s="210" t="s">
        <v>2390</v>
      </c>
      <c r="D1248" s="214"/>
      <c r="E1248" s="214">
        <v>3258000206001</v>
      </c>
      <c r="F1248" s="209" t="s">
        <v>29</v>
      </c>
      <c r="G1248" s="209" t="s">
        <v>53</v>
      </c>
      <c r="H1248" s="209" t="s">
        <v>321</v>
      </c>
      <c r="I1248" s="209" t="s">
        <v>322</v>
      </c>
      <c r="J1248" s="209" t="s">
        <v>46</v>
      </c>
      <c r="K1248" s="210" t="s">
        <v>34</v>
      </c>
      <c r="L1248" s="210"/>
      <c r="M1248" s="209" t="s">
        <v>35</v>
      </c>
      <c r="N1248" s="209">
        <v>42318949</v>
      </c>
      <c r="O1248" s="209" t="s">
        <v>105</v>
      </c>
      <c r="P1248" s="211" t="s">
        <v>3101</v>
      </c>
      <c r="Q1248" s="209"/>
      <c r="R1248" s="209" t="s">
        <v>38</v>
      </c>
      <c r="S1248" s="209"/>
      <c r="T1248" s="209" t="s">
        <v>74</v>
      </c>
      <c r="U1248" s="211" t="s">
        <v>3100</v>
      </c>
      <c r="V1248" s="209" t="s">
        <v>41</v>
      </c>
      <c r="W1248" s="209" t="s">
        <v>49</v>
      </c>
      <c r="X1248" s="13" t="str">
        <f>IF(RIGHT(H1248,2)&lt;&gt;"00",H1248,"")</f>
        <v/>
      </c>
      <c r="Y1248" s="26">
        <f ca="1">NETWORKDAYS(P1248,$Y$1)</f>
        <v>19</v>
      </c>
      <c r="Z1248" s="34">
        <v>1</v>
      </c>
      <c r="AA1248" s="25" t="str">
        <f t="shared" ca="1" si="98"/>
        <v>A VENCER</v>
      </c>
      <c r="AB1248" s="25" t="str">
        <f t="shared" si="101"/>
        <v>Dosa</v>
      </c>
      <c r="AC1248" s="2" t="str">
        <f t="shared" si="100"/>
        <v xml:space="preserve"> CLEITON </v>
      </c>
      <c r="AD1248" s="26">
        <f t="shared" si="102"/>
        <v>5</v>
      </c>
      <c r="AE1248" s="26">
        <f t="shared" ca="1" si="99"/>
        <v>26.333956828704686</v>
      </c>
    </row>
    <row r="1249" spans="1:31" hidden="1">
      <c r="A1249" s="209">
        <v>9445712</v>
      </c>
      <c r="B1249" s="209" t="s">
        <v>1153</v>
      </c>
      <c r="C1249" s="210" t="s">
        <v>2391</v>
      </c>
      <c r="D1249" s="214">
        <v>230024766</v>
      </c>
      <c r="E1249" s="214">
        <v>3924001400030</v>
      </c>
      <c r="F1249" s="209" t="s">
        <v>647</v>
      </c>
      <c r="G1249" s="209" t="s">
        <v>53</v>
      </c>
      <c r="H1249" s="209" t="s">
        <v>153</v>
      </c>
      <c r="I1249" s="209" t="s">
        <v>154</v>
      </c>
      <c r="J1249" s="209" t="s">
        <v>56</v>
      </c>
      <c r="K1249" s="210" t="s">
        <v>650</v>
      </c>
      <c r="L1249" s="210"/>
      <c r="M1249" s="209" t="s">
        <v>58</v>
      </c>
      <c r="N1249" s="209">
        <v>0</v>
      </c>
      <c r="O1249" s="209" t="s">
        <v>36</v>
      </c>
      <c r="P1249" s="211" t="s">
        <v>3102</v>
      </c>
      <c r="Q1249" s="209"/>
      <c r="R1249" s="209">
        <v>4</v>
      </c>
      <c r="S1249" s="209"/>
      <c r="T1249" s="209" t="s">
        <v>646</v>
      </c>
      <c r="U1249" s="211" t="s">
        <v>3103</v>
      </c>
      <c r="V1249" s="209" t="s">
        <v>41</v>
      </c>
      <c r="W1249" s="209" t="s">
        <v>49</v>
      </c>
      <c r="X1249" s="13" t="str">
        <f>IF(RIGHT(H1249,2)&lt;&gt;"00",H1249,"")</f>
        <v/>
      </c>
      <c r="Y1249" s="26">
        <f ca="1">NETWORKDAYS(P1249,$Y$1)</f>
        <v>18</v>
      </c>
      <c r="Z1249" s="34">
        <v>1</v>
      </c>
      <c r="AA1249" s="25" t="str">
        <f t="shared" ca="1" si="98"/>
        <v>A VENCER</v>
      </c>
      <c r="AB1249" s="25" t="str">
        <f t="shared" si="101"/>
        <v>C-14</v>
      </c>
      <c r="AC1249" s="2" t="str">
        <f t="shared" si="100"/>
        <v xml:space="preserve"> CRISTINA </v>
      </c>
      <c r="AD1249" s="26">
        <f t="shared" si="102"/>
        <v>15</v>
      </c>
      <c r="AE1249" s="26">
        <f t="shared" ca="1" si="99"/>
        <v>22.964153587963665</v>
      </c>
    </row>
    <row r="1250" spans="1:31" hidden="1">
      <c r="A1250" s="209">
        <v>9445662</v>
      </c>
      <c r="B1250" s="209" t="s">
        <v>1153</v>
      </c>
      <c r="C1250" s="210" t="s">
        <v>2398</v>
      </c>
      <c r="D1250" s="214">
        <v>20231153000011</v>
      </c>
      <c r="E1250" s="214">
        <v>7417163284286</v>
      </c>
      <c r="F1250" s="209" t="s">
        <v>131</v>
      </c>
      <c r="G1250" s="209" t="s">
        <v>53</v>
      </c>
      <c r="H1250" s="209" t="s">
        <v>2399</v>
      </c>
      <c r="I1250" s="209" t="s">
        <v>2400</v>
      </c>
      <c r="J1250" s="209" t="s">
        <v>79</v>
      </c>
      <c r="K1250" s="210" t="s">
        <v>132</v>
      </c>
      <c r="L1250" s="210"/>
      <c r="M1250" s="209" t="s">
        <v>58</v>
      </c>
      <c r="N1250" s="209">
        <v>0</v>
      </c>
      <c r="O1250" s="209" t="s">
        <v>36</v>
      </c>
      <c r="P1250" s="211" t="s">
        <v>2401</v>
      </c>
      <c r="Q1250" s="209"/>
      <c r="R1250" s="209">
        <v>14</v>
      </c>
      <c r="S1250" s="209"/>
      <c r="T1250" s="209" t="s">
        <v>238</v>
      </c>
      <c r="U1250" s="211" t="s">
        <v>2401</v>
      </c>
      <c r="V1250" s="209" t="s">
        <v>41</v>
      </c>
      <c r="W1250" s="209" t="s">
        <v>49</v>
      </c>
      <c r="X1250" s="13" t="str">
        <f>IF(RIGHT(H1250,2)&lt;&gt;"00",H1250,"")</f>
        <v>1153.91</v>
      </c>
      <c r="Y1250" s="26">
        <f ca="1">NETWORKDAYS(P1250,$Y$1)</f>
        <v>18</v>
      </c>
      <c r="Z1250" s="34">
        <v>1</v>
      </c>
      <c r="AA1250" s="25" t="str">
        <f t="shared" ca="1" si="98"/>
        <v>A VENCER</v>
      </c>
      <c r="AB1250" s="25" t="str">
        <f t="shared" si="101"/>
        <v>TAAe+</v>
      </c>
      <c r="AC1250" s="2" t="str">
        <f t="shared" si="100"/>
        <v xml:space="preserve"> ROSEMERE </v>
      </c>
      <c r="AD1250" s="26">
        <f t="shared" si="102"/>
        <v>8</v>
      </c>
      <c r="AE1250" s="26">
        <f t="shared" ca="1" si="99"/>
        <v>22.977371180553746</v>
      </c>
    </row>
    <row r="1251" spans="1:31" hidden="1">
      <c r="A1251" s="209">
        <v>9444909</v>
      </c>
      <c r="B1251" s="209" t="s">
        <v>62</v>
      </c>
      <c r="C1251" s="210" t="s">
        <v>3627</v>
      </c>
      <c r="D1251" s="214"/>
      <c r="E1251" s="214">
        <v>2156000203000</v>
      </c>
      <c r="F1251" s="209" t="s">
        <v>454</v>
      </c>
      <c r="G1251" s="209" t="s">
        <v>53</v>
      </c>
      <c r="H1251" s="209" t="s">
        <v>278</v>
      </c>
      <c r="I1251" s="209" t="s">
        <v>279</v>
      </c>
      <c r="J1251" s="209" t="s">
        <v>211</v>
      </c>
      <c r="K1251" s="210" t="s">
        <v>457</v>
      </c>
      <c r="L1251" s="210"/>
      <c r="M1251" s="209" t="s">
        <v>58</v>
      </c>
      <c r="N1251" s="209">
        <v>0</v>
      </c>
      <c r="O1251" s="209" t="s">
        <v>105</v>
      </c>
      <c r="P1251" s="211" t="s">
        <v>2415</v>
      </c>
      <c r="Q1251" s="209"/>
      <c r="R1251" s="209">
        <v>1</v>
      </c>
      <c r="S1251" s="209"/>
      <c r="T1251" s="209" t="s">
        <v>157</v>
      </c>
      <c r="U1251" s="211" t="s">
        <v>2416</v>
      </c>
      <c r="V1251" s="209" t="s">
        <v>41</v>
      </c>
      <c r="W1251" s="209" t="s">
        <v>49</v>
      </c>
      <c r="X1251" s="13" t="str">
        <f>IF(RIGHT(H1251,2)&lt;&gt;"00",H1251,"")</f>
        <v/>
      </c>
      <c r="Y1251" s="26">
        <f ca="1">NETWORKDAYS(P1251,$Y$1)</f>
        <v>18</v>
      </c>
      <c r="Z1251" s="34">
        <v>1</v>
      </c>
      <c r="AA1251" s="25" t="str">
        <f t="shared" ca="1" si="98"/>
        <v>A VENCER</v>
      </c>
      <c r="AB1251" s="25" t="str">
        <f t="shared" si="101"/>
        <v>C-14</v>
      </c>
      <c r="AC1251" s="2" t="str">
        <f t="shared" si="100"/>
        <v xml:space="preserve"> RINALDO </v>
      </c>
      <c r="AD1251" s="26">
        <f t="shared" si="102"/>
        <v>5</v>
      </c>
      <c r="AE1251" s="26">
        <f t="shared" ca="1" si="99"/>
        <v>23.073354976855626</v>
      </c>
    </row>
    <row r="1252" spans="1:31" hidden="1">
      <c r="A1252" s="209">
        <v>9444862</v>
      </c>
      <c r="B1252" s="209" t="s">
        <v>1153</v>
      </c>
      <c r="C1252" s="210" t="s">
        <v>4147</v>
      </c>
      <c r="D1252" s="214">
        <v>20232437000020</v>
      </c>
      <c r="E1252" s="214">
        <v>7419141893534</v>
      </c>
      <c r="F1252" s="209" t="s">
        <v>128</v>
      </c>
      <c r="G1252" s="209" t="s">
        <v>53</v>
      </c>
      <c r="H1252" s="209" t="s">
        <v>2418</v>
      </c>
      <c r="I1252" s="209" t="s">
        <v>2419</v>
      </c>
      <c r="J1252" s="209" t="s">
        <v>211</v>
      </c>
      <c r="K1252" s="210" t="s">
        <v>129</v>
      </c>
      <c r="L1252" s="210"/>
      <c r="M1252" s="209" t="s">
        <v>58</v>
      </c>
      <c r="N1252" s="209">
        <v>0</v>
      </c>
      <c r="O1252" s="209" t="s">
        <v>36</v>
      </c>
      <c r="P1252" s="211" t="s">
        <v>2420</v>
      </c>
      <c r="Q1252" s="209"/>
      <c r="R1252" s="209">
        <v>14</v>
      </c>
      <c r="S1252" s="209"/>
      <c r="T1252" s="209" t="s">
        <v>238</v>
      </c>
      <c r="U1252" s="211" t="s">
        <v>2420</v>
      </c>
      <c r="V1252" s="209" t="s">
        <v>41</v>
      </c>
      <c r="W1252" s="209" t="s">
        <v>49</v>
      </c>
      <c r="X1252" s="13" t="str">
        <f>IF(RIGHT(H1252,2)&lt;&gt;"00",H1252,"")</f>
        <v>2437.91</v>
      </c>
      <c r="Y1252" s="26">
        <f ca="1">NETWORKDAYS(P1252,$Y$1)</f>
        <v>18</v>
      </c>
      <c r="Z1252" s="34">
        <v>1</v>
      </c>
      <c r="AA1252" s="25" t="str">
        <f t="shared" ca="1" si="98"/>
        <v>A VENCER</v>
      </c>
      <c r="AB1252" s="25" t="str">
        <f t="shared" si="101"/>
        <v>TAAe+</v>
      </c>
      <c r="AC1252" s="2" t="str">
        <f t="shared" si="100"/>
        <v xml:space="preserve"> RINALDO </v>
      </c>
      <c r="AD1252" s="26">
        <f t="shared" si="102"/>
        <v>8</v>
      </c>
      <c r="AE1252" s="26">
        <f t="shared" ca="1" si="99"/>
        <v>23.088447569447453</v>
      </c>
    </row>
    <row r="1253" spans="1:31" hidden="1">
      <c r="A1253" s="209">
        <v>9443716</v>
      </c>
      <c r="B1253" s="209" t="s">
        <v>1153</v>
      </c>
      <c r="C1253" s="210" t="s">
        <v>2443</v>
      </c>
      <c r="D1253" s="214">
        <v>20234844000359</v>
      </c>
      <c r="E1253" s="214">
        <v>7417163283005</v>
      </c>
      <c r="F1253" s="209" t="s">
        <v>131</v>
      </c>
      <c r="G1253" s="209" t="s">
        <v>53</v>
      </c>
      <c r="H1253" s="209" t="s">
        <v>2444</v>
      </c>
      <c r="I1253" s="209" t="s">
        <v>2445</v>
      </c>
      <c r="J1253" s="209" t="s">
        <v>46</v>
      </c>
      <c r="K1253" s="210" t="s">
        <v>132</v>
      </c>
      <c r="L1253" s="210"/>
      <c r="M1253" s="209" t="s">
        <v>58</v>
      </c>
      <c r="N1253" s="209">
        <v>0</v>
      </c>
      <c r="O1253" s="209" t="s">
        <v>36</v>
      </c>
      <c r="P1253" s="211" t="s">
        <v>2446</v>
      </c>
      <c r="Q1253" s="209"/>
      <c r="R1253" s="209">
        <v>13</v>
      </c>
      <c r="S1253" s="209"/>
      <c r="T1253" s="209" t="s">
        <v>238</v>
      </c>
      <c r="U1253" s="211" t="s">
        <v>2446</v>
      </c>
      <c r="V1253" s="209" t="s">
        <v>41</v>
      </c>
      <c r="W1253" s="209" t="s">
        <v>49</v>
      </c>
      <c r="X1253" s="13" t="str">
        <f>IF(RIGHT(H1253,2)&lt;&gt;"00",H1253,"")</f>
        <v>4844.80</v>
      </c>
      <c r="Y1253" s="26">
        <f ca="1">NETWORKDAYS(P1253,$Y$1)</f>
        <v>18</v>
      </c>
      <c r="Z1253" s="34">
        <v>1</v>
      </c>
      <c r="AA1253" s="25" t="str">
        <f t="shared" ca="1" si="98"/>
        <v>A VENCER</v>
      </c>
      <c r="AB1253" s="25" t="str">
        <f t="shared" si="101"/>
        <v>TAAe+</v>
      </c>
      <c r="AC1253" s="2" t="str">
        <f t="shared" si="100"/>
        <v xml:space="preserve"> CLEITON </v>
      </c>
      <c r="AD1253" s="26">
        <f t="shared" si="102"/>
        <v>8</v>
      </c>
      <c r="AE1253" s="26">
        <f t="shared" ca="1" si="99"/>
        <v>23.230773958333884</v>
      </c>
    </row>
    <row r="1254" spans="1:31" hidden="1">
      <c r="A1254" s="209">
        <v>9443139</v>
      </c>
      <c r="B1254" s="209" t="s">
        <v>27</v>
      </c>
      <c r="C1254" s="210" t="s">
        <v>2450</v>
      </c>
      <c r="D1254" s="214"/>
      <c r="E1254" s="214">
        <v>594000206001</v>
      </c>
      <c r="F1254" s="209" t="s">
        <v>29</v>
      </c>
      <c r="G1254" s="209" t="s">
        <v>53</v>
      </c>
      <c r="H1254" s="209" t="s">
        <v>444</v>
      </c>
      <c r="I1254" s="209" t="s">
        <v>445</v>
      </c>
      <c r="J1254" s="209" t="s">
        <v>33</v>
      </c>
      <c r="K1254" s="210" t="s">
        <v>34</v>
      </c>
      <c r="L1254" s="210"/>
      <c r="M1254" s="209" t="s">
        <v>35</v>
      </c>
      <c r="N1254" s="209">
        <v>42318949</v>
      </c>
      <c r="O1254" s="209" t="s">
        <v>36</v>
      </c>
      <c r="P1254" s="211" t="s">
        <v>2451</v>
      </c>
      <c r="Q1254" s="209"/>
      <c r="R1254" s="209" t="s">
        <v>38</v>
      </c>
      <c r="S1254" s="209"/>
      <c r="T1254" s="209" t="s">
        <v>74</v>
      </c>
      <c r="U1254" s="211" t="s">
        <v>2452</v>
      </c>
      <c r="V1254" s="209" t="s">
        <v>41</v>
      </c>
      <c r="W1254" s="209" t="s">
        <v>42</v>
      </c>
      <c r="X1254" s="13" t="str">
        <f>IF(RIGHT(H1254,2)&lt;&gt;"00",H1254,"")</f>
        <v/>
      </c>
      <c r="Y1254" s="26">
        <f ca="1">NETWORKDAYS(P1254,$Y$1)</f>
        <v>18</v>
      </c>
      <c r="Z1254" s="34">
        <v>1</v>
      </c>
      <c r="AA1254" s="25" t="str">
        <f t="shared" ca="1" si="98"/>
        <v>A VENCER</v>
      </c>
      <c r="AB1254" s="25" t="str">
        <f t="shared" si="101"/>
        <v>Dosa</v>
      </c>
      <c r="AC1254" s="2" t="str">
        <f t="shared" si="100"/>
        <v xml:space="preserve"> ROSEMERE </v>
      </c>
      <c r="AD1254" s="26">
        <f t="shared" si="102"/>
        <v>5</v>
      </c>
      <c r="AE1254" s="26">
        <f t="shared" ca="1" si="99"/>
        <v>23.280762384260015</v>
      </c>
    </row>
    <row r="1255" spans="1:31" hidden="1">
      <c r="A1255" s="209">
        <v>9439699</v>
      </c>
      <c r="B1255" s="209" t="s">
        <v>1153</v>
      </c>
      <c r="C1255" s="210" t="s">
        <v>2465</v>
      </c>
      <c r="D1255" s="214"/>
      <c r="E1255" s="214">
        <v>1792000206001</v>
      </c>
      <c r="F1255" s="209" t="s">
        <v>29</v>
      </c>
      <c r="G1255" s="209" t="s">
        <v>53</v>
      </c>
      <c r="H1255" s="209" t="s">
        <v>467</v>
      </c>
      <c r="I1255" s="209" t="s">
        <v>468</v>
      </c>
      <c r="J1255" s="209" t="s">
        <v>110</v>
      </c>
      <c r="K1255" s="210" t="s">
        <v>34</v>
      </c>
      <c r="L1255" s="210"/>
      <c r="M1255" s="209" t="s">
        <v>35</v>
      </c>
      <c r="N1255" s="209">
        <v>42318949</v>
      </c>
      <c r="O1255" s="209" t="s">
        <v>36</v>
      </c>
      <c r="P1255" s="211" t="s">
        <v>2466</v>
      </c>
      <c r="Q1255" s="209"/>
      <c r="R1255" s="209" t="s">
        <v>38</v>
      </c>
      <c r="S1255" s="209"/>
      <c r="T1255" s="209" t="s">
        <v>74</v>
      </c>
      <c r="U1255" s="211" t="s">
        <v>4148</v>
      </c>
      <c r="V1255" s="209" t="s">
        <v>41</v>
      </c>
      <c r="W1255" s="209" t="s">
        <v>49</v>
      </c>
      <c r="X1255" s="13" t="str">
        <f>IF(RIGHT(H1255,2)&lt;&gt;"00",H1255,"")</f>
        <v/>
      </c>
      <c r="Y1255" s="26">
        <f ca="1">NETWORKDAYS(P1255,$Y$1)</f>
        <v>18</v>
      </c>
      <c r="Z1255" s="34">
        <v>1</v>
      </c>
      <c r="AA1255" s="25" t="str">
        <f t="shared" ca="1" si="98"/>
        <v>A VENCER</v>
      </c>
      <c r="AB1255" s="25" t="str">
        <f t="shared" si="101"/>
        <v>Dosa</v>
      </c>
      <c r="AC1255" s="2" t="str">
        <f t="shared" si="100"/>
        <v xml:space="preserve"> CRISTINA </v>
      </c>
      <c r="AD1255" s="26">
        <f t="shared" si="102"/>
        <v>5</v>
      </c>
      <c r="AE1255" s="26">
        <f t="shared" ca="1" si="99"/>
        <v>24.19597071759199</v>
      </c>
    </row>
    <row r="1256" spans="1:31" hidden="1">
      <c r="A1256" s="209">
        <v>9439691</v>
      </c>
      <c r="B1256" s="209" t="s">
        <v>1153</v>
      </c>
      <c r="C1256" s="210" t="s">
        <v>2467</v>
      </c>
      <c r="D1256" s="214"/>
      <c r="E1256" s="214">
        <v>5898000206001</v>
      </c>
      <c r="F1256" s="209" t="s">
        <v>29</v>
      </c>
      <c r="G1256" s="209" t="s">
        <v>53</v>
      </c>
      <c r="H1256" s="209" t="s">
        <v>365</v>
      </c>
      <c r="I1256" s="209" t="s">
        <v>366</v>
      </c>
      <c r="J1256" s="209" t="s">
        <v>164</v>
      </c>
      <c r="K1256" s="210" t="s">
        <v>34</v>
      </c>
      <c r="L1256" s="210"/>
      <c r="M1256" s="209" t="s">
        <v>35</v>
      </c>
      <c r="N1256" s="209">
        <v>42318949</v>
      </c>
      <c r="O1256" s="209" t="s">
        <v>36</v>
      </c>
      <c r="P1256" s="211" t="s">
        <v>2468</v>
      </c>
      <c r="Q1256" s="209"/>
      <c r="R1256" s="209" t="s">
        <v>38</v>
      </c>
      <c r="S1256" s="209"/>
      <c r="T1256" s="209" t="s">
        <v>74</v>
      </c>
      <c r="U1256" s="211" t="s">
        <v>4149</v>
      </c>
      <c r="V1256" s="209" t="s">
        <v>41</v>
      </c>
      <c r="W1256" s="209" t="s">
        <v>49</v>
      </c>
      <c r="X1256" s="13" t="str">
        <f>IF(RIGHT(H1256,2)&lt;&gt;"00",H1256,"")</f>
        <v/>
      </c>
      <c r="Y1256" s="26">
        <f ca="1">NETWORKDAYS(P1256,$Y$1)</f>
        <v>18</v>
      </c>
      <c r="Z1256" s="34">
        <v>1</v>
      </c>
      <c r="AA1256" s="25" t="str">
        <f t="shared" ca="1" si="98"/>
        <v>A VENCER</v>
      </c>
      <c r="AB1256" s="25" t="str">
        <f t="shared" si="101"/>
        <v>Dosa</v>
      </c>
      <c r="AC1256" s="2" t="str">
        <f t="shared" si="100"/>
        <v xml:space="preserve"> ROSEMERE </v>
      </c>
      <c r="AD1256" s="26">
        <f t="shared" si="102"/>
        <v>5</v>
      </c>
      <c r="AE1256" s="26">
        <f t="shared" ca="1" si="99"/>
        <v>24.196526273146446</v>
      </c>
    </row>
    <row r="1257" spans="1:31" hidden="1">
      <c r="A1257" s="209">
        <v>9439434</v>
      </c>
      <c r="B1257" s="209" t="s">
        <v>1153</v>
      </c>
      <c r="C1257" s="210" t="s">
        <v>2472</v>
      </c>
      <c r="D1257" s="214"/>
      <c r="E1257" s="214">
        <v>2564000203000</v>
      </c>
      <c r="F1257" s="209" t="s">
        <v>454</v>
      </c>
      <c r="G1257" s="209" t="s">
        <v>53</v>
      </c>
      <c r="H1257" s="209" t="s">
        <v>255</v>
      </c>
      <c r="I1257" s="209" t="s">
        <v>256</v>
      </c>
      <c r="J1257" s="209" t="s">
        <v>164</v>
      </c>
      <c r="K1257" s="210" t="s">
        <v>457</v>
      </c>
      <c r="L1257" s="210"/>
      <c r="M1257" s="209" t="s">
        <v>58</v>
      </c>
      <c r="N1257" s="209">
        <v>0</v>
      </c>
      <c r="O1257" s="209" t="s">
        <v>36</v>
      </c>
      <c r="P1257" s="211" t="s">
        <v>2473</v>
      </c>
      <c r="Q1257" s="209"/>
      <c r="R1257" s="209">
        <v>1</v>
      </c>
      <c r="S1257" s="209"/>
      <c r="T1257" s="209" t="s">
        <v>157</v>
      </c>
      <c r="U1257" s="211" t="s">
        <v>2474</v>
      </c>
      <c r="V1257" s="209" t="s">
        <v>41</v>
      </c>
      <c r="W1257" s="209" t="s">
        <v>49</v>
      </c>
      <c r="X1257" s="13" t="str">
        <f>IF(RIGHT(H1257,2)&lt;&gt;"00",H1257,"")</f>
        <v/>
      </c>
      <c r="Y1257" s="26">
        <f ca="1">NETWORKDAYS(P1257,$Y$1)</f>
        <v>18</v>
      </c>
      <c r="Z1257" s="34">
        <v>1</v>
      </c>
      <c r="AA1257" s="25" t="str">
        <f t="shared" ca="1" si="98"/>
        <v>A VENCER</v>
      </c>
      <c r="AB1257" s="25" t="str">
        <f t="shared" si="101"/>
        <v>C-14</v>
      </c>
      <c r="AC1257" s="2" t="str">
        <f t="shared" si="100"/>
        <v xml:space="preserve"> ROSEMERE </v>
      </c>
      <c r="AD1257" s="26">
        <f t="shared" si="102"/>
        <v>5</v>
      </c>
      <c r="AE1257" s="26">
        <f t="shared" ca="1" si="99"/>
        <v>24.248598032405425</v>
      </c>
    </row>
    <row r="1258" spans="1:31" hidden="1">
      <c r="A1258" s="209">
        <v>9450561</v>
      </c>
      <c r="B1258" s="209" t="s">
        <v>1153</v>
      </c>
      <c r="C1258" s="210" t="s">
        <v>2492</v>
      </c>
      <c r="D1258" s="214">
        <v>20234844000396</v>
      </c>
      <c r="E1258" s="214">
        <v>7419141893520</v>
      </c>
      <c r="F1258" s="209" t="s">
        <v>128</v>
      </c>
      <c r="G1258" s="209" t="s">
        <v>53</v>
      </c>
      <c r="H1258" s="209" t="s">
        <v>2493</v>
      </c>
      <c r="I1258" s="209" t="s">
        <v>2494</v>
      </c>
      <c r="J1258" s="209" t="s">
        <v>46</v>
      </c>
      <c r="K1258" s="210" t="s">
        <v>129</v>
      </c>
      <c r="L1258" s="210"/>
      <c r="M1258" s="209" t="s">
        <v>58</v>
      </c>
      <c r="N1258" s="209">
        <v>0</v>
      </c>
      <c r="O1258" s="209" t="s">
        <v>36</v>
      </c>
      <c r="P1258" s="211" t="s">
        <v>2495</v>
      </c>
      <c r="Q1258" s="209"/>
      <c r="R1258" s="209">
        <v>13</v>
      </c>
      <c r="S1258" s="209"/>
      <c r="T1258" s="209" t="s">
        <v>238</v>
      </c>
      <c r="U1258" s="211" t="s">
        <v>2495</v>
      </c>
      <c r="V1258" s="209" t="s">
        <v>41</v>
      </c>
      <c r="W1258" s="209" t="s">
        <v>49</v>
      </c>
      <c r="X1258" s="13" t="str">
        <f>IF(RIGHT(H1258,2)&lt;&gt;"00",H1258,"")</f>
        <v>4844.10</v>
      </c>
      <c r="Y1258" s="26">
        <f ca="1">NETWORKDAYS(P1258,$Y$1)</f>
        <v>17</v>
      </c>
      <c r="Z1258" s="34">
        <v>1</v>
      </c>
      <c r="AA1258" s="25" t="str">
        <f t="shared" ca="1" si="98"/>
        <v>A VENCER</v>
      </c>
      <c r="AB1258" s="25" t="str">
        <f t="shared" si="101"/>
        <v>TAAe+</v>
      </c>
      <c r="AC1258" s="2" t="str">
        <f t="shared" si="100"/>
        <v xml:space="preserve"> CLEITON </v>
      </c>
      <c r="AD1258" s="26">
        <f t="shared" si="102"/>
        <v>8</v>
      </c>
      <c r="AE1258" s="26">
        <f t="shared" ca="1" si="99"/>
        <v>22.005808680558403</v>
      </c>
    </row>
    <row r="1259" spans="1:31" hidden="1">
      <c r="A1259" s="209">
        <v>9450304</v>
      </c>
      <c r="B1259" s="209" t="s">
        <v>2497</v>
      </c>
      <c r="C1259" s="210" t="s">
        <v>2498</v>
      </c>
      <c r="D1259" s="214"/>
      <c r="E1259" s="214">
        <v>9406000206021</v>
      </c>
      <c r="F1259" s="209" t="s">
        <v>103</v>
      </c>
      <c r="G1259" s="209" t="s">
        <v>53</v>
      </c>
      <c r="H1259" s="209" t="s">
        <v>114</v>
      </c>
      <c r="I1259" s="209" t="s">
        <v>115</v>
      </c>
      <c r="J1259" s="209" t="s">
        <v>46</v>
      </c>
      <c r="K1259" s="210" t="s">
        <v>104</v>
      </c>
      <c r="L1259" s="210"/>
      <c r="M1259" s="209" t="s">
        <v>35</v>
      </c>
      <c r="N1259" s="209">
        <v>42318949</v>
      </c>
      <c r="O1259" s="209" t="s">
        <v>105</v>
      </c>
      <c r="P1259" s="211" t="s">
        <v>3107</v>
      </c>
      <c r="Q1259" s="209"/>
      <c r="R1259" s="209" t="s">
        <v>38</v>
      </c>
      <c r="S1259" s="209"/>
      <c r="T1259" s="209" t="s">
        <v>74</v>
      </c>
      <c r="U1259" s="211" t="s">
        <v>3631</v>
      </c>
      <c r="V1259" s="209" t="s">
        <v>41</v>
      </c>
      <c r="W1259" s="209" t="s">
        <v>49</v>
      </c>
      <c r="X1259" s="13" t="str">
        <f>IF(RIGHT(H1259,2)&lt;&gt;"00",H1259,"")</f>
        <v/>
      </c>
      <c r="Y1259" s="26">
        <f ca="1">NETWORKDAYS(P1259,$Y$1)</f>
        <v>17</v>
      </c>
      <c r="Z1259" s="34">
        <v>1</v>
      </c>
      <c r="AA1259" s="25" t="str">
        <f t="shared" ca="1" si="98"/>
        <v>A VENCER</v>
      </c>
      <c r="AB1259" s="25" t="str">
        <f t="shared" si="101"/>
        <v>Dosa</v>
      </c>
      <c r="AC1259" s="2" t="str">
        <f t="shared" si="100"/>
        <v xml:space="preserve"> CLEITON </v>
      </c>
      <c r="AD1259" s="26">
        <f t="shared" si="102"/>
        <v>5</v>
      </c>
      <c r="AE1259" s="26">
        <f t="shared" ca="1" si="99"/>
        <v>22.015519328706432</v>
      </c>
    </row>
    <row r="1260" spans="1:31" hidden="1">
      <c r="A1260" s="209">
        <v>9449888</v>
      </c>
      <c r="B1260" s="209" t="s">
        <v>1153</v>
      </c>
      <c r="C1260" s="210" t="s">
        <v>2510</v>
      </c>
      <c r="D1260" s="214">
        <v>20230582000007</v>
      </c>
      <c r="E1260" s="214">
        <v>7417183023862</v>
      </c>
      <c r="F1260" s="209" t="s">
        <v>1313</v>
      </c>
      <c r="G1260" s="209" t="s">
        <v>53</v>
      </c>
      <c r="H1260" s="209" t="s">
        <v>2511</v>
      </c>
      <c r="I1260" s="209" t="s">
        <v>2512</v>
      </c>
      <c r="J1260" s="209" t="s">
        <v>141</v>
      </c>
      <c r="K1260" s="210" t="s">
        <v>1316</v>
      </c>
      <c r="L1260" s="210"/>
      <c r="M1260" s="209" t="s">
        <v>58</v>
      </c>
      <c r="N1260" s="209">
        <v>0</v>
      </c>
      <c r="O1260" s="209" t="s">
        <v>36</v>
      </c>
      <c r="P1260" s="211" t="s">
        <v>2513</v>
      </c>
      <c r="Q1260" s="209"/>
      <c r="R1260" s="209">
        <v>14</v>
      </c>
      <c r="S1260" s="209"/>
      <c r="T1260" s="209" t="s">
        <v>238</v>
      </c>
      <c r="U1260" s="211" t="s">
        <v>2513</v>
      </c>
      <c r="V1260" s="209" t="s">
        <v>41</v>
      </c>
      <c r="W1260" s="209" t="s">
        <v>49</v>
      </c>
      <c r="X1260" s="13" t="str">
        <f>IF(RIGHT(H1260,2)&lt;&gt;"00",H1260,"")</f>
        <v>0582.91</v>
      </c>
      <c r="Y1260" s="26">
        <f ca="1">NETWORKDAYS(P1260,$Y$1)</f>
        <v>17</v>
      </c>
      <c r="Z1260" s="34">
        <v>1</v>
      </c>
      <c r="AA1260" s="25" t="str">
        <f t="shared" ca="1" si="98"/>
        <v>A VENCER</v>
      </c>
      <c r="AB1260" s="25" t="str">
        <f t="shared" si="101"/>
        <v>TAAe+</v>
      </c>
      <c r="AC1260" s="2" t="str">
        <f t="shared" si="100"/>
        <v xml:space="preserve"> CRISTINA </v>
      </c>
      <c r="AD1260" s="26">
        <f t="shared" si="102"/>
        <v>8</v>
      </c>
      <c r="AE1260" s="26">
        <f t="shared" ca="1" si="99"/>
        <v>22.105773958333884</v>
      </c>
    </row>
    <row r="1261" spans="1:31" hidden="1">
      <c r="A1261" s="209">
        <v>9449450</v>
      </c>
      <c r="B1261" s="209" t="s">
        <v>1153</v>
      </c>
      <c r="C1261" s="210" t="s">
        <v>2519</v>
      </c>
      <c r="D1261" s="214">
        <v>20233433000006</v>
      </c>
      <c r="E1261" s="214">
        <v>7417191614659</v>
      </c>
      <c r="F1261" s="209" t="s">
        <v>1719</v>
      </c>
      <c r="G1261" s="209" t="s">
        <v>53</v>
      </c>
      <c r="H1261" s="209" t="s">
        <v>2520</v>
      </c>
      <c r="I1261" s="209" t="s">
        <v>2521</v>
      </c>
      <c r="J1261" s="209" t="s">
        <v>46</v>
      </c>
      <c r="K1261" s="210" t="s">
        <v>1720</v>
      </c>
      <c r="L1261" s="210"/>
      <c r="M1261" s="209" t="s">
        <v>58</v>
      </c>
      <c r="N1261" s="209">
        <v>0</v>
      </c>
      <c r="O1261" s="209" t="s">
        <v>36</v>
      </c>
      <c r="P1261" s="211" t="s">
        <v>2522</v>
      </c>
      <c r="Q1261" s="209"/>
      <c r="R1261" s="209">
        <v>22</v>
      </c>
      <c r="S1261" s="209"/>
      <c r="T1261" s="209" t="s">
        <v>1160</v>
      </c>
      <c r="U1261" s="211" t="s">
        <v>2523</v>
      </c>
      <c r="V1261" s="209" t="s">
        <v>41</v>
      </c>
      <c r="W1261" s="209" t="s">
        <v>49</v>
      </c>
      <c r="X1261" s="13" t="str">
        <f>IF(RIGHT(H1261,2)&lt;&gt;"00",H1261,"")</f>
        <v/>
      </c>
      <c r="Y1261" s="26">
        <f ca="1">NETWORKDAYS(P1261,$Y$1)</f>
        <v>17</v>
      </c>
      <c r="Z1261" s="34">
        <v>1</v>
      </c>
      <c r="AA1261" s="25" t="str">
        <f t="shared" ca="1" si="98"/>
        <v>A VENCER</v>
      </c>
      <c r="AB1261" s="25" t="str">
        <f t="shared" si="101"/>
        <v>TAAe+</v>
      </c>
      <c r="AC1261" s="2" t="str">
        <f t="shared" si="100"/>
        <v xml:space="preserve"> CLEITON </v>
      </c>
      <c r="AD1261" s="26">
        <f t="shared" si="102"/>
        <v>8</v>
      </c>
      <c r="AE1261" s="26">
        <f t="shared" ca="1" si="99"/>
        <v>22.160392013887758</v>
      </c>
    </row>
    <row r="1262" spans="1:31" hidden="1">
      <c r="A1262" s="209">
        <v>9449008</v>
      </c>
      <c r="B1262" s="209" t="s">
        <v>1153</v>
      </c>
      <c r="C1262" s="210" t="s">
        <v>2440</v>
      </c>
      <c r="D1262" s="214">
        <v>20234981000001</v>
      </c>
      <c r="E1262" s="214">
        <v>7419152405218</v>
      </c>
      <c r="F1262" s="209" t="s">
        <v>2533</v>
      </c>
      <c r="G1262" s="209" t="s">
        <v>53</v>
      </c>
      <c r="H1262" s="209" t="s">
        <v>2534</v>
      </c>
      <c r="I1262" s="209" t="s">
        <v>2535</v>
      </c>
      <c r="J1262" s="209" t="s">
        <v>46</v>
      </c>
      <c r="K1262" s="210" t="s">
        <v>2536</v>
      </c>
      <c r="L1262" s="210"/>
      <c r="M1262" s="209" t="s">
        <v>58</v>
      </c>
      <c r="N1262" s="209">
        <v>0</v>
      </c>
      <c r="O1262" s="209" t="s">
        <v>36</v>
      </c>
      <c r="P1262" s="211" t="s">
        <v>2537</v>
      </c>
      <c r="Q1262" s="209"/>
      <c r="R1262" s="209">
        <v>22</v>
      </c>
      <c r="S1262" s="209"/>
      <c r="T1262" s="209" t="s">
        <v>1160</v>
      </c>
      <c r="U1262" s="211" t="s">
        <v>2538</v>
      </c>
      <c r="V1262" s="209" t="s">
        <v>41</v>
      </c>
      <c r="W1262" s="209" t="s">
        <v>49</v>
      </c>
      <c r="X1262" s="13" t="str">
        <f>IF(RIGHT(H1262,2)&lt;&gt;"00",H1262,"")</f>
        <v/>
      </c>
      <c r="Y1262" s="26">
        <f ca="1">NETWORKDAYS(P1262,$Y$1)</f>
        <v>17</v>
      </c>
      <c r="Z1262" s="34">
        <v>1</v>
      </c>
      <c r="AA1262" s="25" t="str">
        <f t="shared" ca="1" si="98"/>
        <v>A VENCER</v>
      </c>
      <c r="AB1262" s="25" t="str">
        <f t="shared" si="101"/>
        <v>TAAe+</v>
      </c>
      <c r="AC1262" s="2" t="str">
        <f t="shared" si="100"/>
        <v xml:space="preserve"> CLEITON </v>
      </c>
      <c r="AD1262" s="26">
        <f t="shared" si="102"/>
        <v>8</v>
      </c>
      <c r="AE1262" s="26">
        <f t="shared" ca="1" si="99"/>
        <v>22.224709143520158</v>
      </c>
    </row>
    <row r="1263" spans="1:31" hidden="1">
      <c r="A1263" s="209">
        <v>9448626</v>
      </c>
      <c r="B1263" s="209" t="s">
        <v>1153</v>
      </c>
      <c r="C1263" s="210" t="s">
        <v>2555</v>
      </c>
      <c r="D1263" s="214">
        <v>20230710000007</v>
      </c>
      <c r="E1263" s="214">
        <v>7419141894913</v>
      </c>
      <c r="F1263" s="209" t="s">
        <v>128</v>
      </c>
      <c r="G1263" s="209" t="s">
        <v>53</v>
      </c>
      <c r="H1263" s="209" t="s">
        <v>2556</v>
      </c>
      <c r="I1263" s="209" t="s">
        <v>2557</v>
      </c>
      <c r="J1263" s="209" t="s">
        <v>56</v>
      </c>
      <c r="K1263" s="210" t="s">
        <v>129</v>
      </c>
      <c r="L1263" s="210"/>
      <c r="M1263" s="209" t="s">
        <v>58</v>
      </c>
      <c r="N1263" s="209">
        <v>0</v>
      </c>
      <c r="O1263" s="209" t="s">
        <v>36</v>
      </c>
      <c r="P1263" s="211" t="s">
        <v>2558</v>
      </c>
      <c r="Q1263" s="209"/>
      <c r="R1263" s="209">
        <v>14</v>
      </c>
      <c r="S1263" s="209"/>
      <c r="T1263" s="209" t="s">
        <v>238</v>
      </c>
      <c r="U1263" s="211" t="s">
        <v>2558</v>
      </c>
      <c r="V1263" s="209" t="s">
        <v>41</v>
      </c>
      <c r="W1263" s="209" t="s">
        <v>49</v>
      </c>
      <c r="X1263" s="13" t="str">
        <f>IF(RIGHT(H1263,2)&lt;&gt;"00",H1263,"")</f>
        <v>0710.91</v>
      </c>
      <c r="Y1263" s="26">
        <f ca="1">NETWORKDAYS(P1263,$Y$1)</f>
        <v>17</v>
      </c>
      <c r="Z1263" s="34">
        <v>1</v>
      </c>
      <c r="AA1263" s="25" t="str">
        <f t="shared" ca="1" si="98"/>
        <v>A VENCER</v>
      </c>
      <c r="AB1263" s="25" t="str">
        <f t="shared" si="101"/>
        <v>TAAe+</v>
      </c>
      <c r="AC1263" s="2" t="str">
        <f t="shared" si="100"/>
        <v xml:space="preserve"> CRISTINA </v>
      </c>
      <c r="AD1263" s="26">
        <f t="shared" si="102"/>
        <v>8</v>
      </c>
      <c r="AE1263" s="26">
        <f t="shared" ca="1" si="99"/>
        <v>22.265010069444543</v>
      </c>
    </row>
    <row r="1264" spans="1:31" hidden="1">
      <c r="A1264" s="209">
        <v>9455659</v>
      </c>
      <c r="B1264" s="209" t="s">
        <v>62</v>
      </c>
      <c r="C1264" s="210" t="s">
        <v>2582</v>
      </c>
      <c r="D1264" s="214"/>
      <c r="E1264" s="214">
        <v>3258000206001</v>
      </c>
      <c r="F1264" s="209" t="s">
        <v>29</v>
      </c>
      <c r="G1264" s="209" t="s">
        <v>53</v>
      </c>
      <c r="H1264" s="209" t="s">
        <v>321</v>
      </c>
      <c r="I1264" s="209" t="s">
        <v>322</v>
      </c>
      <c r="J1264" s="209" t="s">
        <v>46</v>
      </c>
      <c r="K1264" s="210" t="s">
        <v>34</v>
      </c>
      <c r="L1264" s="210"/>
      <c r="M1264" s="209" t="s">
        <v>35</v>
      </c>
      <c r="N1264" s="209">
        <v>42318949</v>
      </c>
      <c r="O1264" s="209" t="s">
        <v>36</v>
      </c>
      <c r="P1264" s="211" t="s">
        <v>2583</v>
      </c>
      <c r="Q1264" s="209"/>
      <c r="R1264" s="209" t="s">
        <v>38</v>
      </c>
      <c r="S1264" s="209"/>
      <c r="T1264" s="209" t="s">
        <v>74</v>
      </c>
      <c r="U1264" s="211" t="s">
        <v>2584</v>
      </c>
      <c r="V1264" s="209" t="s">
        <v>41</v>
      </c>
      <c r="W1264" s="209" t="s">
        <v>49</v>
      </c>
      <c r="X1264" s="13" t="str">
        <f>IF(RIGHT(H1264,2)&lt;&gt;"00",H1264,"")</f>
        <v/>
      </c>
      <c r="Y1264" s="26">
        <f ca="1">NETWORKDAYS(P1264,$Y$1)</f>
        <v>16</v>
      </c>
      <c r="Z1264" s="34">
        <v>1</v>
      </c>
      <c r="AA1264" s="25" t="str">
        <f t="shared" ca="1" si="98"/>
        <v>A VENCER</v>
      </c>
      <c r="AB1264" s="25" t="str">
        <f t="shared" si="101"/>
        <v>Dosa</v>
      </c>
      <c r="AC1264" s="2" t="str">
        <f t="shared" si="100"/>
        <v xml:space="preserve"> CLEITON </v>
      </c>
      <c r="AD1264" s="26">
        <f t="shared" si="102"/>
        <v>5</v>
      </c>
      <c r="AE1264" s="26">
        <f t="shared" ca="1" si="99"/>
        <v>20.969732291669061</v>
      </c>
    </row>
    <row r="1265" spans="1:31" hidden="1">
      <c r="A1265" s="209">
        <v>9454830</v>
      </c>
      <c r="B1265" s="209" t="s">
        <v>1153</v>
      </c>
      <c r="C1265" s="210" t="s">
        <v>2594</v>
      </c>
      <c r="D1265" s="214">
        <v>20230582000008</v>
      </c>
      <c r="E1265" s="214">
        <v>7417183023985</v>
      </c>
      <c r="F1265" s="209" t="s">
        <v>1313</v>
      </c>
      <c r="G1265" s="209" t="s">
        <v>53</v>
      </c>
      <c r="H1265" s="209" t="s">
        <v>2511</v>
      </c>
      <c r="I1265" s="209" t="s">
        <v>2512</v>
      </c>
      <c r="J1265" s="209" t="s">
        <v>141</v>
      </c>
      <c r="K1265" s="210" t="s">
        <v>1316</v>
      </c>
      <c r="L1265" s="210"/>
      <c r="M1265" s="209" t="s">
        <v>58</v>
      </c>
      <c r="N1265" s="209">
        <v>0</v>
      </c>
      <c r="O1265" s="209" t="s">
        <v>36</v>
      </c>
      <c r="P1265" s="211" t="s">
        <v>3110</v>
      </c>
      <c r="Q1265" s="209"/>
      <c r="R1265" s="209">
        <v>14</v>
      </c>
      <c r="S1265" s="209"/>
      <c r="T1265" s="209" t="s">
        <v>238</v>
      </c>
      <c r="U1265" s="211" t="s">
        <v>3110</v>
      </c>
      <c r="V1265" s="209" t="s">
        <v>41</v>
      </c>
      <c r="W1265" s="209" t="s">
        <v>49</v>
      </c>
      <c r="X1265" s="13" t="str">
        <f>IF(RIGHT(H1265,2)&lt;&gt;"00",H1265,"")</f>
        <v>0582.91</v>
      </c>
      <c r="Y1265" s="26">
        <f ca="1">NETWORKDAYS(P1265,$Y$1)</f>
        <v>16</v>
      </c>
      <c r="Z1265" s="34">
        <v>1</v>
      </c>
      <c r="AA1265" s="25" t="str">
        <f t="shared" ref="AA1265:AA1271" ca="1" si="103">IF(AE1265=0,"HOJE",IF(AE1265&gt;0,"A VENCER",IF(AE1265&lt;0,"VENCIDO")))</f>
        <v>A VENCER</v>
      </c>
      <c r="AB1265" s="25" t="str">
        <f t="shared" ref="AB1265:AB1271" si="104">IF(F1265="GRPE-000001","C-14",IF(F1265="GRPE-000002","C-14",IF(F1265="GRPE-000003","C-14",IF(F1265="GRPE-000004","SL-On",IF(F1265="GRPE-000038","C-14",IF(F1265="GRPE-900022","Dosa",IF(F1265="GRPE-000029","Dosa",IF(F1265="ATOS-000222","Dose","TAAe+"))))))))</f>
        <v>TAAe+</v>
      </c>
      <c r="AC1265" s="2" t="str">
        <f t="shared" si="100"/>
        <v xml:space="preserve"> CRISTINA </v>
      </c>
      <c r="AD1265" s="26">
        <f t="shared" ref="AD1265:AD1271" si="105">IF(F1265="GRPE-000001",5,IF(F1265="GRPE-000002",5,IF(F1265="GRPE-000003",15,IF(F1265="GRPE-000004",1,IF(F1265="GRPE-000038",5,IF(F1265="GRPE-900022",5,IF(F1265="GRPE-000029",5,IF(F1265="ATOS-000222",5,8))))))))</f>
        <v>8</v>
      </c>
      <c r="AE1265" s="26">
        <f t="shared" ref="AE1265:AE1271" ca="1" si="106">IF(P1265=$AE$1,"",$AE$1-P1265)</f>
        <v>21.101931365737983</v>
      </c>
    </row>
    <row r="1266" spans="1:31" hidden="1">
      <c r="A1266" s="209">
        <v>9453394</v>
      </c>
      <c r="B1266" s="209" t="s">
        <v>1153</v>
      </c>
      <c r="C1266" s="210" t="s">
        <v>2613</v>
      </c>
      <c r="D1266" s="214"/>
      <c r="E1266" s="214">
        <v>2125000206001</v>
      </c>
      <c r="F1266" s="209" t="s">
        <v>29</v>
      </c>
      <c r="G1266" s="209" t="s">
        <v>53</v>
      </c>
      <c r="H1266" s="209" t="s">
        <v>1399</v>
      </c>
      <c r="I1266" s="209" t="s">
        <v>1400</v>
      </c>
      <c r="J1266" s="209" t="s">
        <v>211</v>
      </c>
      <c r="K1266" s="210" t="s">
        <v>34</v>
      </c>
      <c r="L1266" s="210"/>
      <c r="M1266" s="209" t="s">
        <v>35</v>
      </c>
      <c r="N1266" s="209">
        <v>42318949</v>
      </c>
      <c r="O1266" s="209" t="s">
        <v>36</v>
      </c>
      <c r="P1266" s="211" t="s">
        <v>2614</v>
      </c>
      <c r="Q1266" s="209"/>
      <c r="R1266" s="209" t="s">
        <v>38</v>
      </c>
      <c r="S1266" s="209"/>
      <c r="T1266" s="209" t="s">
        <v>74</v>
      </c>
      <c r="U1266" s="211" t="s">
        <v>4476</v>
      </c>
      <c r="V1266" s="209" t="s">
        <v>41</v>
      </c>
      <c r="W1266" s="209" t="s">
        <v>49</v>
      </c>
      <c r="X1266" s="13" t="str">
        <f>IF(RIGHT(H1266,2)&lt;&gt;"00",H1266,"")</f>
        <v/>
      </c>
      <c r="Y1266" s="26">
        <f ca="1">NETWORKDAYS(P1266,$Y$1)</f>
        <v>16</v>
      </c>
      <c r="Z1266" s="34">
        <v>1</v>
      </c>
      <c r="AA1266" s="25" t="str">
        <f t="shared" ca="1" si="103"/>
        <v>A VENCER</v>
      </c>
      <c r="AB1266" s="25" t="str">
        <f t="shared" si="104"/>
        <v>Dosa</v>
      </c>
      <c r="AC1266" s="2" t="str">
        <f t="shared" si="100"/>
        <v xml:space="preserve"> RINALDO </v>
      </c>
      <c r="AD1266" s="26">
        <f t="shared" si="105"/>
        <v>5</v>
      </c>
      <c r="AE1266" s="26">
        <f t="shared" ca="1" si="106"/>
        <v>21.279929050928331</v>
      </c>
    </row>
    <row r="1267" spans="1:31" hidden="1">
      <c r="A1267" s="209">
        <v>9460685</v>
      </c>
      <c r="B1267" s="209" t="s">
        <v>1153</v>
      </c>
      <c r="C1267" s="210" t="s">
        <v>2635</v>
      </c>
      <c r="D1267" s="214">
        <v>20234844000424</v>
      </c>
      <c r="E1267" s="214">
        <v>7417163285131</v>
      </c>
      <c r="F1267" s="209" t="s">
        <v>131</v>
      </c>
      <c r="G1267" s="209" t="s">
        <v>53</v>
      </c>
      <c r="H1267" s="209" t="s">
        <v>2632</v>
      </c>
      <c r="I1267" s="209" t="s">
        <v>2633</v>
      </c>
      <c r="J1267" s="209" t="s">
        <v>46</v>
      </c>
      <c r="K1267" s="210" t="s">
        <v>132</v>
      </c>
      <c r="L1267" s="210"/>
      <c r="M1267" s="209" t="s">
        <v>58</v>
      </c>
      <c r="N1267" s="209">
        <v>0</v>
      </c>
      <c r="O1267" s="209" t="s">
        <v>36</v>
      </c>
      <c r="P1267" s="211" t="s">
        <v>2636</v>
      </c>
      <c r="Q1267" s="209"/>
      <c r="R1267" s="209">
        <v>13</v>
      </c>
      <c r="S1267" s="209"/>
      <c r="T1267" s="209" t="s">
        <v>238</v>
      </c>
      <c r="U1267" s="213">
        <v>44967.395833333336</v>
      </c>
      <c r="V1267" s="209" t="s">
        <v>41</v>
      </c>
      <c r="W1267" s="209" t="s">
        <v>49</v>
      </c>
      <c r="X1267" s="13" t="str">
        <f>IF(RIGHT(H1267,2)&lt;&gt;"00",H1267,"")</f>
        <v>4844.20</v>
      </c>
      <c r="Y1267" s="26">
        <f ca="1">NETWORKDAYS(P1267,$Y$1)</f>
        <v>15</v>
      </c>
      <c r="Z1267" s="34">
        <v>1</v>
      </c>
      <c r="AA1267" s="25" t="str">
        <f t="shared" ca="1" si="103"/>
        <v>A VENCER</v>
      </c>
      <c r="AB1267" s="25" t="str">
        <f t="shared" si="104"/>
        <v>TAAe+</v>
      </c>
      <c r="AC1267" s="2" t="str">
        <f t="shared" si="100"/>
        <v xml:space="preserve"> CLEITON </v>
      </c>
      <c r="AD1267" s="26">
        <f t="shared" si="105"/>
        <v>8</v>
      </c>
      <c r="AE1267" s="26">
        <f t="shared" ca="1" si="106"/>
        <v>19.956352662040445</v>
      </c>
    </row>
    <row r="1268" spans="1:31" hidden="1">
      <c r="A1268" s="209">
        <v>9460151</v>
      </c>
      <c r="B1268" s="209" t="s">
        <v>1153</v>
      </c>
      <c r="C1268" s="210" t="s">
        <v>2654</v>
      </c>
      <c r="D1268" s="214">
        <v>20234844000423</v>
      </c>
      <c r="E1268" s="214">
        <v>7417163284187</v>
      </c>
      <c r="F1268" s="209" t="s">
        <v>131</v>
      </c>
      <c r="G1268" s="209" t="s">
        <v>53</v>
      </c>
      <c r="H1268" s="209" t="s">
        <v>2655</v>
      </c>
      <c r="I1268" s="209" t="s">
        <v>2656</v>
      </c>
      <c r="J1268" s="209" t="s">
        <v>46</v>
      </c>
      <c r="K1268" s="210" t="s">
        <v>132</v>
      </c>
      <c r="L1268" s="210"/>
      <c r="M1268" s="209" t="s">
        <v>58</v>
      </c>
      <c r="N1268" s="209">
        <v>0</v>
      </c>
      <c r="O1268" s="209" t="s">
        <v>36</v>
      </c>
      <c r="P1268" s="211" t="s">
        <v>2657</v>
      </c>
      <c r="Q1268" s="209"/>
      <c r="R1268" s="209">
        <v>13</v>
      </c>
      <c r="S1268" s="209"/>
      <c r="T1268" s="209" t="s">
        <v>238</v>
      </c>
      <c r="U1268" s="211" t="s">
        <v>2657</v>
      </c>
      <c r="V1268" s="209" t="s">
        <v>41</v>
      </c>
      <c r="W1268" s="209" t="s">
        <v>49</v>
      </c>
      <c r="X1268" s="13" t="str">
        <f>IF(RIGHT(H1268,2)&lt;&gt;"00",H1268,"")</f>
        <v>4844.01</v>
      </c>
      <c r="Y1268" s="26">
        <f ca="1">NETWORKDAYS(P1268,$Y$1)</f>
        <v>15</v>
      </c>
      <c r="Z1268" s="34">
        <v>1</v>
      </c>
      <c r="AA1268" s="25" t="str">
        <f t="shared" ca="1" si="103"/>
        <v>A VENCER</v>
      </c>
      <c r="AB1268" s="25" t="str">
        <f t="shared" si="104"/>
        <v>TAAe+</v>
      </c>
      <c r="AC1268" s="2" t="str">
        <f t="shared" si="100"/>
        <v xml:space="preserve"> CLEITON </v>
      </c>
      <c r="AD1268" s="26">
        <f t="shared" si="105"/>
        <v>8</v>
      </c>
      <c r="AE1268" s="26">
        <f t="shared" ca="1" si="106"/>
        <v>20.028690624996671</v>
      </c>
    </row>
    <row r="1269" spans="1:31" hidden="1">
      <c r="A1269" s="209">
        <v>9460038</v>
      </c>
      <c r="B1269" s="209" t="s">
        <v>62</v>
      </c>
      <c r="C1269" s="210" t="s">
        <v>2658</v>
      </c>
      <c r="D1269" s="214"/>
      <c r="E1269" s="214">
        <v>5749000203000</v>
      </c>
      <c r="F1269" s="209" t="s">
        <v>454</v>
      </c>
      <c r="G1269" s="209" t="s">
        <v>53</v>
      </c>
      <c r="H1269" s="209" t="s">
        <v>1811</v>
      </c>
      <c r="I1269" s="209" t="s">
        <v>1812</v>
      </c>
      <c r="J1269" s="209" t="s">
        <v>33</v>
      </c>
      <c r="K1269" s="210" t="s">
        <v>457</v>
      </c>
      <c r="L1269" s="210"/>
      <c r="M1269" s="209" t="s">
        <v>58</v>
      </c>
      <c r="N1269" s="209">
        <v>0</v>
      </c>
      <c r="O1269" s="209" t="s">
        <v>36</v>
      </c>
      <c r="P1269" s="211" t="s">
        <v>2659</v>
      </c>
      <c r="Q1269" s="209"/>
      <c r="R1269" s="209">
        <v>1</v>
      </c>
      <c r="S1269" s="209"/>
      <c r="T1269" s="209" t="s">
        <v>157</v>
      </c>
      <c r="U1269" s="211" t="s">
        <v>2660</v>
      </c>
      <c r="V1269" s="209" t="s">
        <v>41</v>
      </c>
      <c r="W1269" s="209" t="s">
        <v>42</v>
      </c>
      <c r="X1269" s="13" t="str">
        <f>IF(RIGHT(H1269,2)&lt;&gt;"00",H1269,"")</f>
        <v/>
      </c>
      <c r="Y1269" s="26">
        <f ca="1">NETWORKDAYS(P1269,$Y$1)</f>
        <v>15</v>
      </c>
      <c r="Z1269" s="34">
        <v>1</v>
      </c>
      <c r="AA1269" s="25" t="str">
        <f t="shared" ca="1" si="103"/>
        <v>A VENCER</v>
      </c>
      <c r="AB1269" s="25" t="str">
        <f t="shared" si="104"/>
        <v>C-14</v>
      </c>
      <c r="AC1269" s="2" t="str">
        <f t="shared" si="100"/>
        <v xml:space="preserve"> ROSEMERE </v>
      </c>
      <c r="AD1269" s="26">
        <f t="shared" si="105"/>
        <v>5</v>
      </c>
      <c r="AE1269" s="26">
        <f t="shared" ca="1" si="106"/>
        <v>20.031410532406881</v>
      </c>
    </row>
    <row r="1270" spans="1:31" hidden="1">
      <c r="A1270" s="209">
        <v>9459066</v>
      </c>
      <c r="B1270" s="209" t="s">
        <v>1153</v>
      </c>
      <c r="C1270" s="210" t="s">
        <v>2675</v>
      </c>
      <c r="D1270" s="214"/>
      <c r="E1270" s="214">
        <v>2437000206001</v>
      </c>
      <c r="F1270" s="209" t="s">
        <v>29</v>
      </c>
      <c r="G1270" s="209" t="s">
        <v>53</v>
      </c>
      <c r="H1270" s="209" t="s">
        <v>416</v>
      </c>
      <c r="I1270" s="209" t="s">
        <v>417</v>
      </c>
      <c r="J1270" s="209" t="s">
        <v>211</v>
      </c>
      <c r="K1270" s="210" t="s">
        <v>34</v>
      </c>
      <c r="L1270" s="210"/>
      <c r="M1270" s="209" t="s">
        <v>35</v>
      </c>
      <c r="N1270" s="209">
        <v>42318949</v>
      </c>
      <c r="O1270" s="209" t="s">
        <v>36</v>
      </c>
      <c r="P1270" s="211" t="s">
        <v>3118</v>
      </c>
      <c r="Q1270" s="209"/>
      <c r="R1270" s="209" t="s">
        <v>38</v>
      </c>
      <c r="S1270" s="209"/>
      <c r="T1270" s="209" t="s">
        <v>74</v>
      </c>
      <c r="U1270" s="211" t="s">
        <v>4167</v>
      </c>
      <c r="V1270" s="209" t="s">
        <v>41</v>
      </c>
      <c r="W1270" s="209" t="s">
        <v>49</v>
      </c>
      <c r="X1270" s="13" t="str">
        <f>IF(RIGHT(H1270,2)&lt;&gt;"00",H1270,"")</f>
        <v/>
      </c>
      <c r="Y1270" s="26">
        <f ca="1">NETWORKDAYS(P1270,$Y$1)</f>
        <v>15</v>
      </c>
      <c r="Z1270" s="34">
        <v>1</v>
      </c>
      <c r="AA1270" s="25" t="str">
        <f t="shared" ca="1" si="103"/>
        <v>A VENCER</v>
      </c>
      <c r="AB1270" s="25" t="str">
        <f t="shared" si="104"/>
        <v>Dosa</v>
      </c>
      <c r="AC1270" s="2" t="str">
        <f t="shared" si="100"/>
        <v xml:space="preserve"> RINALDO </v>
      </c>
      <c r="AD1270" s="26">
        <f t="shared" si="105"/>
        <v>5</v>
      </c>
      <c r="AE1270" s="26">
        <f t="shared" ca="1" si="106"/>
        <v>20.185912847220607</v>
      </c>
    </row>
    <row r="1271" spans="1:31" hidden="1">
      <c r="A1271" s="209">
        <v>9458689</v>
      </c>
      <c r="B1271" s="209" t="s">
        <v>1153</v>
      </c>
      <c r="C1271" s="210" t="s">
        <v>2684</v>
      </c>
      <c r="D1271" s="214">
        <v>20234923000059</v>
      </c>
      <c r="E1271" s="214">
        <v>7417183022494</v>
      </c>
      <c r="F1271" s="209" t="s">
        <v>1313</v>
      </c>
      <c r="G1271" s="209" t="s">
        <v>53</v>
      </c>
      <c r="H1271" s="209" t="s">
        <v>2685</v>
      </c>
      <c r="I1271" s="209" t="s">
        <v>2686</v>
      </c>
      <c r="J1271" s="209" t="s">
        <v>46</v>
      </c>
      <c r="K1271" s="210" t="s">
        <v>1316</v>
      </c>
      <c r="L1271" s="210"/>
      <c r="M1271" s="209" t="s">
        <v>58</v>
      </c>
      <c r="N1271" s="209">
        <v>0</v>
      </c>
      <c r="O1271" s="209" t="s">
        <v>36</v>
      </c>
      <c r="P1271" s="211" t="s">
        <v>3121</v>
      </c>
      <c r="Q1271" s="209"/>
      <c r="R1271" s="209">
        <v>14</v>
      </c>
      <c r="S1271" s="209"/>
      <c r="T1271" s="209" t="s">
        <v>238</v>
      </c>
      <c r="U1271" s="211" t="s">
        <v>3121</v>
      </c>
      <c r="V1271" s="209" t="s">
        <v>41</v>
      </c>
      <c r="W1271" s="209" t="s">
        <v>49</v>
      </c>
      <c r="X1271" s="13" t="str">
        <f>IF(RIGHT(H1271,2)&lt;&gt;"00",H1271,"")</f>
        <v>4923.03</v>
      </c>
      <c r="Y1271" s="26">
        <f ca="1">NETWORKDAYS(P1271,$Y$1)</f>
        <v>15</v>
      </c>
      <c r="Z1271" s="34">
        <v>1</v>
      </c>
      <c r="AA1271" s="25" t="str">
        <f t="shared" ca="1" si="103"/>
        <v>A VENCER</v>
      </c>
      <c r="AB1271" s="25" t="str">
        <f t="shared" si="104"/>
        <v>TAAe+</v>
      </c>
      <c r="AC1271" s="2" t="str">
        <f t="shared" si="100"/>
        <v xml:space="preserve"> CLEITON </v>
      </c>
      <c r="AD1271" s="26">
        <f t="shared" si="105"/>
        <v>8</v>
      </c>
      <c r="AE1271" s="26">
        <f t="shared" ca="1" si="106"/>
        <v>20.243898958331556</v>
      </c>
    </row>
    <row r="1272" spans="1:31" hidden="1">
      <c r="A1272" s="209">
        <v>9458173</v>
      </c>
      <c r="B1272" s="209" t="s">
        <v>1153</v>
      </c>
      <c r="C1272" s="210" t="s">
        <v>2697</v>
      </c>
      <c r="D1272" s="214">
        <v>20234804001469</v>
      </c>
      <c r="E1272" s="214">
        <v>7417193471170</v>
      </c>
      <c r="F1272" s="209" t="s">
        <v>2698</v>
      </c>
      <c r="G1272" s="209" t="s">
        <v>53</v>
      </c>
      <c r="H1272" s="209" t="s">
        <v>2699</v>
      </c>
      <c r="I1272" s="209" t="s">
        <v>2700</v>
      </c>
      <c r="J1272" s="209" t="s">
        <v>46</v>
      </c>
      <c r="K1272" s="210" t="s">
        <v>2701</v>
      </c>
      <c r="L1272" s="210"/>
      <c r="M1272" s="209" t="s">
        <v>58</v>
      </c>
      <c r="N1272" s="209">
        <v>0</v>
      </c>
      <c r="O1272" s="209" t="s">
        <v>36</v>
      </c>
      <c r="P1272" s="211" t="s">
        <v>2702</v>
      </c>
      <c r="Q1272" s="209"/>
      <c r="R1272" s="209">
        <v>13</v>
      </c>
      <c r="S1272" s="209">
        <v>4804</v>
      </c>
      <c r="T1272" s="209" t="s">
        <v>238</v>
      </c>
      <c r="U1272" s="211" t="s">
        <v>2577</v>
      </c>
      <c r="V1272" s="209" t="s">
        <v>41</v>
      </c>
      <c r="W1272" s="209" t="s">
        <v>49</v>
      </c>
      <c r="X1272" s="13" t="str">
        <f>IF(RIGHT(H1272,2)&lt;&gt;"00",H1272,"")</f>
        <v>4357.03</v>
      </c>
      <c r="Y1272" s="26">
        <f ca="1">NETWORKDAYS(P1272,$Y$1)</f>
        <v>15</v>
      </c>
      <c r="Z1272" s="34">
        <v>1</v>
      </c>
      <c r="AA1272" s="25" t="str">
        <f t="shared" ref="AA1272:AA1303" ca="1" si="107">IF(AE1272=0,"HOJE",IF(AE1272&gt;0,"A VENCER",IF(AE1272&lt;0,"VENCIDO")))</f>
        <v>A VENCER</v>
      </c>
      <c r="AB1272" s="25" t="str">
        <f>IF(G1272="GRPE-000001","C-14",IF(G1272="GRPE-000002","C-14",IF(G1272="GRPE-000003","C-14",IF(G1272="GRPE-000004","SL-On",IF(G1272="GRPE-000038","C-14",IF(G1272="GRPE-900022","Dosa",IF(G1272="GRPE-000029","Dosa",IF(G1272="ATOS-000222","Dose","TAAe+"))))))))</f>
        <v>TAAe+</v>
      </c>
      <c r="AC1272" s="2" t="str">
        <f t="shared" si="100"/>
        <v xml:space="preserve"> CLEITON </v>
      </c>
      <c r="AD1272" s="26">
        <f>IF(G1272="GRPE-000001",5,IF(G1272="GRPE-000002",5,IF(G1272="GRPE-000003",15,IF(G1272="GRPE-000004",1,IF(G1272="GRPE-000038",5,IF(G1272="GRPE-900022",5,IF(G1272="GRPE-000029",5,IF(G1272="ATOS-000222",5,8))))))))</f>
        <v>8</v>
      </c>
      <c r="AE1272" s="26">
        <f t="shared" ref="AE1272:AE1303" ca="1" si="108">IF(P1272=$AE$1,"",$AE$1-P1272)</f>
        <v>20.311098032405425</v>
      </c>
    </row>
    <row r="1273" spans="1:31" hidden="1">
      <c r="A1273" s="209">
        <v>9465880</v>
      </c>
      <c r="B1273" s="209" t="s">
        <v>1153</v>
      </c>
      <c r="C1273" s="210" t="s">
        <v>2704</v>
      </c>
      <c r="D1273" s="214">
        <v>230027811</v>
      </c>
      <c r="E1273" s="214">
        <v>68001400030</v>
      </c>
      <c r="F1273" s="209" t="s">
        <v>647</v>
      </c>
      <c r="G1273" s="209" t="s">
        <v>53</v>
      </c>
      <c r="H1273" s="209" t="s">
        <v>1330</v>
      </c>
      <c r="I1273" s="209" t="s">
        <v>1331</v>
      </c>
      <c r="J1273" s="209" t="s">
        <v>211</v>
      </c>
      <c r="K1273" s="210" t="s">
        <v>650</v>
      </c>
      <c r="L1273" s="210"/>
      <c r="M1273" s="209" t="s">
        <v>58</v>
      </c>
      <c r="N1273" s="209">
        <v>0</v>
      </c>
      <c r="O1273" s="209" t="s">
        <v>36</v>
      </c>
      <c r="P1273" s="211" t="s">
        <v>2705</v>
      </c>
      <c r="Q1273" s="209"/>
      <c r="R1273" s="209">
        <v>4</v>
      </c>
      <c r="S1273" s="209"/>
      <c r="T1273" s="209" t="s">
        <v>646</v>
      </c>
      <c r="U1273" s="211" t="s">
        <v>2449</v>
      </c>
      <c r="V1273" s="209" t="s">
        <v>41</v>
      </c>
      <c r="W1273" s="209" t="s">
        <v>49</v>
      </c>
      <c r="X1273" s="13" t="str">
        <f>IF(RIGHT(H1273,2)&lt;&gt;"00",H1273,"")</f>
        <v/>
      </c>
      <c r="Y1273" s="26">
        <f ca="1">NETWORKDAYS(P1273,$Y$1)</f>
        <v>14</v>
      </c>
      <c r="Z1273" s="34">
        <v>1</v>
      </c>
      <c r="AA1273" s="25" t="str">
        <f t="shared" ca="1" si="107"/>
        <v>A VENCER</v>
      </c>
      <c r="AB1273" s="25" t="str">
        <f>IF(G1273="GRPE-000001","C-14",IF(G1273="GRPE-000002","C-14",IF(G1273="GRPE-000003","C-14",IF(G1273="GRPE-000004","SL-On",IF(G1273="GRPE-000038","C-14",IF(G1273="GRPE-900022","Dosa",IF(G1273="GRPE-000029","Dosa",IF(G1273="ATOS-000222","Dose","TAAe+"))))))))</f>
        <v>TAAe+</v>
      </c>
      <c r="AC1273" s="2" t="str">
        <f t="shared" si="100"/>
        <v xml:space="preserve"> RINALDO </v>
      </c>
      <c r="AD1273" s="26">
        <f>IF(G1273="GRPE-000001",5,IF(G1273="GRPE-000002",5,IF(G1273="GRPE-000003",15,IF(G1273="GRPE-000004",1,IF(G1273="GRPE-000038",5,IF(G1273="GRPE-900022",5,IF(G1273="GRPE-000029",5,IF(G1273="ATOS-000222",5,8))))))))</f>
        <v>8</v>
      </c>
      <c r="AE1273" s="26">
        <f t="shared" ca="1" si="108"/>
        <v>18.874882754629652</v>
      </c>
    </row>
    <row r="1274" spans="1:31" hidden="1">
      <c r="A1274" s="209">
        <v>9465855</v>
      </c>
      <c r="B1274" s="209" t="s">
        <v>1153</v>
      </c>
      <c r="C1274" s="210" t="s">
        <v>2704</v>
      </c>
      <c r="D1274" s="214">
        <v>230027810</v>
      </c>
      <c r="E1274" s="214">
        <v>68001400030</v>
      </c>
      <c r="F1274" s="209" t="s">
        <v>647</v>
      </c>
      <c r="G1274" s="209" t="s">
        <v>53</v>
      </c>
      <c r="H1274" s="209" t="s">
        <v>1330</v>
      </c>
      <c r="I1274" s="209" t="s">
        <v>1331</v>
      </c>
      <c r="J1274" s="209" t="s">
        <v>211</v>
      </c>
      <c r="K1274" s="210" t="s">
        <v>650</v>
      </c>
      <c r="L1274" s="210"/>
      <c r="M1274" s="209" t="s">
        <v>58</v>
      </c>
      <c r="N1274" s="209">
        <v>0</v>
      </c>
      <c r="O1274" s="209" t="s">
        <v>36</v>
      </c>
      <c r="P1274" s="211" t="s">
        <v>2707</v>
      </c>
      <c r="Q1274" s="209"/>
      <c r="R1274" s="209">
        <v>4</v>
      </c>
      <c r="S1274" s="209"/>
      <c r="T1274" s="209" t="s">
        <v>646</v>
      </c>
      <c r="U1274" s="211" t="s">
        <v>2449</v>
      </c>
      <c r="V1274" s="209" t="s">
        <v>41</v>
      </c>
      <c r="W1274" s="209" t="s">
        <v>49</v>
      </c>
      <c r="X1274" s="13" t="str">
        <f>IF(RIGHT(H1274,2)&lt;&gt;"00",H1274,"")</f>
        <v/>
      </c>
      <c r="Y1274" s="26">
        <f ca="1">NETWORKDAYS(P1274,$Y$1)</f>
        <v>14</v>
      </c>
      <c r="Z1274" s="34">
        <v>1</v>
      </c>
      <c r="AA1274" s="25" t="str">
        <f t="shared" ca="1" si="107"/>
        <v>A VENCER</v>
      </c>
      <c r="AB1274" s="25" t="str">
        <f>IF(G1274="GRPE-000001","C-14",IF(G1274="GRPE-000002","C-14",IF(G1274="GRPE-000003","C-14",IF(G1274="GRPE-000004","SL-On",IF(G1274="GRPE-000038","C-14",IF(G1274="GRPE-900022","Dosa",IF(G1274="GRPE-000029","Dosa",IF(G1274="ATOS-000222","Dose","TAAe+"))))))))</f>
        <v>TAAe+</v>
      </c>
      <c r="AC1274" s="2" t="str">
        <f t="shared" si="100"/>
        <v xml:space="preserve"> RINALDO </v>
      </c>
      <c r="AD1274" s="26">
        <f>IF(G1274="GRPE-000001",5,IF(G1274="GRPE-000002",5,IF(G1274="GRPE-000003",15,IF(G1274="GRPE-000004",1,IF(G1274="GRPE-000038",5,IF(G1274="GRPE-900022",5,IF(G1274="GRPE-000029",5,IF(G1274="ATOS-000222",5,8))))))))</f>
        <v>8</v>
      </c>
      <c r="AE1274" s="26">
        <f t="shared" ca="1" si="108"/>
        <v>18.881132754628197</v>
      </c>
    </row>
    <row r="1275" spans="1:31" hidden="1">
      <c r="A1275" s="209">
        <v>9465602</v>
      </c>
      <c r="B1275" s="209" t="s">
        <v>1153</v>
      </c>
      <c r="C1275" s="210" t="s">
        <v>2708</v>
      </c>
      <c r="D1275" s="214">
        <v>230027784</v>
      </c>
      <c r="E1275" s="214">
        <v>2335001400030</v>
      </c>
      <c r="F1275" s="209" t="s">
        <v>647</v>
      </c>
      <c r="G1275" s="209" t="s">
        <v>53</v>
      </c>
      <c r="H1275" s="209" t="s">
        <v>194</v>
      </c>
      <c r="I1275" s="209" t="s">
        <v>195</v>
      </c>
      <c r="J1275" s="209" t="s">
        <v>261</v>
      </c>
      <c r="K1275" s="210" t="s">
        <v>650</v>
      </c>
      <c r="L1275" s="210"/>
      <c r="M1275" s="209" t="s">
        <v>58</v>
      </c>
      <c r="N1275" s="209">
        <v>0</v>
      </c>
      <c r="O1275" s="209" t="s">
        <v>36</v>
      </c>
      <c r="P1275" s="211" t="s">
        <v>2709</v>
      </c>
      <c r="Q1275" s="209"/>
      <c r="R1275" s="209">
        <v>4</v>
      </c>
      <c r="S1275" s="209"/>
      <c r="T1275" s="209" t="s">
        <v>646</v>
      </c>
      <c r="U1275" s="211" t="s">
        <v>2710</v>
      </c>
      <c r="V1275" s="209" t="s">
        <v>41</v>
      </c>
      <c r="W1275" s="209" t="s">
        <v>49</v>
      </c>
      <c r="X1275" s="13" t="str">
        <f>IF(RIGHT(H1275,2)&lt;&gt;"00",H1275,"")</f>
        <v/>
      </c>
      <c r="Y1275" s="26">
        <f ca="1">NETWORKDAYS(P1275,$Y$1)</f>
        <v>14</v>
      </c>
      <c r="Z1275" s="34">
        <v>1</v>
      </c>
      <c r="AA1275" s="25" t="str">
        <f t="shared" ca="1" si="107"/>
        <v>A VENCER</v>
      </c>
      <c r="AB1275" s="25" t="str">
        <f>IF(F1275="GRPE-000001","C-14",IF(F1275="GRPE-000002","C-14",IF(F1275="GRPE-000003","C-14",IF(F1275="GRPE-000004","SL-On",IF(F1275="GRPE-000038","C-14",IF(F1275="GRPE-900022","Dosa",IF(F1275="GRPE-000029","Dosa",IF(F1275="ATOS-000222","Dose","TAAe+"))))))))</f>
        <v>C-14</v>
      </c>
      <c r="AC1275" s="2" t="str">
        <f t="shared" si="100"/>
        <v xml:space="preserve"> CRISTINA </v>
      </c>
      <c r="AD1275" s="26">
        <f>IF(F1275="GRPE-000001",5,IF(F1275="GRPE-000002",5,IF(F1275="GRPE-000003",15,IF(F1275="GRPE-000004",1,IF(F1275="GRPE-000038",5,IF(F1275="GRPE-900022",5,IF(F1275="GRPE-000029",5,IF(F1275="ATOS-000222",5,8))))))))</f>
        <v>15</v>
      </c>
      <c r="AE1275" s="26">
        <f t="shared" ca="1" si="108"/>
        <v>18.945716087961046</v>
      </c>
    </row>
    <row r="1276" spans="1:31" hidden="1">
      <c r="A1276" s="209">
        <v>9465182</v>
      </c>
      <c r="B1276" s="209" t="s">
        <v>1153</v>
      </c>
      <c r="C1276" s="210" t="s">
        <v>2721</v>
      </c>
      <c r="D1276" s="214">
        <v>230027724</v>
      </c>
      <c r="E1276" s="214">
        <v>1049001400010</v>
      </c>
      <c r="F1276" s="209" t="s">
        <v>936</v>
      </c>
      <c r="G1276" s="209" t="s">
        <v>53</v>
      </c>
      <c r="H1276" s="209" t="s">
        <v>169</v>
      </c>
      <c r="I1276" s="209" t="s">
        <v>170</v>
      </c>
      <c r="J1276" s="209" t="s">
        <v>164</v>
      </c>
      <c r="K1276" s="210" t="s">
        <v>937</v>
      </c>
      <c r="L1276" s="210"/>
      <c r="M1276" s="209" t="s">
        <v>58</v>
      </c>
      <c r="N1276" s="209">
        <v>0</v>
      </c>
      <c r="O1276" s="209" t="s">
        <v>36</v>
      </c>
      <c r="P1276" s="211" t="s">
        <v>2722</v>
      </c>
      <c r="Q1276" s="209"/>
      <c r="R1276" s="209">
        <v>3</v>
      </c>
      <c r="S1276" s="209"/>
      <c r="T1276" s="209" t="s">
        <v>646</v>
      </c>
      <c r="U1276" s="211" t="s">
        <v>3643</v>
      </c>
      <c r="V1276" s="209" t="s">
        <v>41</v>
      </c>
      <c r="W1276" s="209" t="s">
        <v>49</v>
      </c>
      <c r="X1276" s="13" t="str">
        <f>IF(RIGHT(H1276,2)&lt;&gt;"00",H1276,"")</f>
        <v/>
      </c>
      <c r="Y1276" s="26">
        <f ca="1">NETWORKDAYS(P1276,$Y$1)</f>
        <v>14</v>
      </c>
      <c r="Z1276" s="34">
        <v>1</v>
      </c>
      <c r="AA1276" s="25" t="str">
        <f t="shared" ca="1" si="107"/>
        <v>A VENCER</v>
      </c>
      <c r="AB1276" s="25" t="str">
        <f t="shared" ref="AB1276:AB1285" si="109">IF(G1276="GRPE-000001","C-14",IF(G1276="GRPE-000002","C-14",IF(G1276="GRPE-000003","C-14",IF(G1276="GRPE-000004","SL-On",IF(G1276="GRPE-000038","C-14",IF(G1276="GRPE-900022","Dosa",IF(G1276="GRPE-000029","Dosa",IF(G1276="ATOS-000222","Dose","TAAe+"))))))))</f>
        <v>TAAe+</v>
      </c>
      <c r="AC1276" s="2" t="str">
        <f t="shared" si="100"/>
        <v xml:space="preserve"> ROSEMERE </v>
      </c>
      <c r="AD1276" s="26">
        <f t="shared" ref="AD1276:AD1285" si="110">IF(G1276="GRPE-000001",5,IF(G1276="GRPE-000002",5,IF(G1276="GRPE-000003",15,IF(G1276="GRPE-000004",1,IF(G1276="GRPE-000038",5,IF(G1276="GRPE-900022",5,IF(G1276="GRPE-000029",5,IF(G1276="ATOS-000222",5,8))))))))</f>
        <v>8</v>
      </c>
      <c r="AE1276" s="26">
        <f t="shared" ca="1" si="108"/>
        <v>18.999882754629652</v>
      </c>
    </row>
    <row r="1277" spans="1:31" hidden="1">
      <c r="A1277" s="209">
        <v>9464595</v>
      </c>
      <c r="B1277" s="209" t="s">
        <v>81</v>
      </c>
      <c r="C1277" s="210" t="s">
        <v>2733</v>
      </c>
      <c r="D1277" s="214"/>
      <c r="E1277" s="214">
        <v>2564000206001</v>
      </c>
      <c r="F1277" s="209" t="s">
        <v>29</v>
      </c>
      <c r="G1277" s="209" t="s">
        <v>53</v>
      </c>
      <c r="H1277" s="209" t="s">
        <v>255</v>
      </c>
      <c r="I1277" s="209" t="s">
        <v>256</v>
      </c>
      <c r="J1277" s="209" t="s">
        <v>164</v>
      </c>
      <c r="K1277" s="210" t="s">
        <v>34</v>
      </c>
      <c r="L1277" s="210"/>
      <c r="M1277" s="209" t="s">
        <v>35</v>
      </c>
      <c r="N1277" s="209">
        <v>42318949</v>
      </c>
      <c r="O1277" s="209" t="s">
        <v>105</v>
      </c>
      <c r="P1277" s="211" t="s">
        <v>2734</v>
      </c>
      <c r="Q1277" s="209"/>
      <c r="R1277" s="209" t="s">
        <v>38</v>
      </c>
      <c r="S1277" s="209"/>
      <c r="T1277" s="209" t="s">
        <v>74</v>
      </c>
      <c r="U1277" s="211" t="s">
        <v>2735</v>
      </c>
      <c r="V1277" s="209" t="s">
        <v>41</v>
      </c>
      <c r="W1277" s="209" t="s">
        <v>49</v>
      </c>
      <c r="X1277" s="13" t="str">
        <f>IF(RIGHT(H1277,2)&lt;&gt;"00",H1277,"")</f>
        <v/>
      </c>
      <c r="Y1277" s="26">
        <f ca="1">NETWORKDAYS(P1277,$Y$1)</f>
        <v>14</v>
      </c>
      <c r="Z1277" s="34">
        <v>1</v>
      </c>
      <c r="AA1277" s="25" t="str">
        <f t="shared" ca="1" si="107"/>
        <v>A VENCER</v>
      </c>
      <c r="AB1277" s="25" t="str">
        <f t="shared" si="109"/>
        <v>TAAe+</v>
      </c>
      <c r="AC1277" s="2" t="str">
        <f t="shared" si="100"/>
        <v xml:space="preserve"> ROSEMERE </v>
      </c>
      <c r="AD1277" s="26">
        <f t="shared" si="110"/>
        <v>8</v>
      </c>
      <c r="AE1277" s="26">
        <f t="shared" ca="1" si="108"/>
        <v>19.086098032406881</v>
      </c>
    </row>
    <row r="1278" spans="1:31" hidden="1">
      <c r="A1278" s="209">
        <v>9464591</v>
      </c>
      <c r="B1278" s="209" t="s">
        <v>81</v>
      </c>
      <c r="C1278" s="210" t="s">
        <v>2733</v>
      </c>
      <c r="D1278" s="214"/>
      <c r="E1278" s="214">
        <v>2257000206001</v>
      </c>
      <c r="F1278" s="209" t="s">
        <v>29</v>
      </c>
      <c r="G1278" s="209" t="s">
        <v>53</v>
      </c>
      <c r="H1278" s="209" t="s">
        <v>381</v>
      </c>
      <c r="I1278" s="209" t="s">
        <v>382</v>
      </c>
      <c r="J1278" s="209" t="s">
        <v>110</v>
      </c>
      <c r="K1278" s="210" t="s">
        <v>34</v>
      </c>
      <c r="L1278" s="210"/>
      <c r="M1278" s="209" t="s">
        <v>35</v>
      </c>
      <c r="N1278" s="209">
        <v>42318949</v>
      </c>
      <c r="O1278" s="209" t="s">
        <v>105</v>
      </c>
      <c r="P1278" s="211" t="s">
        <v>3132</v>
      </c>
      <c r="Q1278" s="209"/>
      <c r="R1278" s="209" t="s">
        <v>38</v>
      </c>
      <c r="S1278" s="209"/>
      <c r="T1278" s="209" t="s">
        <v>74</v>
      </c>
      <c r="U1278" s="211" t="s">
        <v>4617</v>
      </c>
      <c r="V1278" s="209" t="s">
        <v>41</v>
      </c>
      <c r="W1278" s="209" t="s">
        <v>49</v>
      </c>
      <c r="X1278" s="13" t="str">
        <f>IF(RIGHT(H1278,2)&lt;&gt;"00",H1278,"")</f>
        <v/>
      </c>
      <c r="Y1278" s="26">
        <f ca="1">NETWORKDAYS(P1278,$Y$1)</f>
        <v>14</v>
      </c>
      <c r="Z1278" s="34">
        <v>1</v>
      </c>
      <c r="AA1278" s="25" t="str">
        <f t="shared" ca="1" si="107"/>
        <v>A VENCER</v>
      </c>
      <c r="AB1278" s="25" t="str">
        <f t="shared" si="109"/>
        <v>TAAe+</v>
      </c>
      <c r="AC1278" s="2" t="str">
        <f t="shared" si="100"/>
        <v xml:space="preserve"> CRISTINA </v>
      </c>
      <c r="AD1278" s="26">
        <f t="shared" si="110"/>
        <v>8</v>
      </c>
      <c r="AE1278" s="26">
        <f t="shared" ca="1" si="108"/>
        <v>19.08610960648366</v>
      </c>
    </row>
    <row r="1279" spans="1:31" hidden="1">
      <c r="A1279" s="209">
        <v>9464589</v>
      </c>
      <c r="B1279" s="209" t="s">
        <v>81</v>
      </c>
      <c r="C1279" s="210" t="s">
        <v>2733</v>
      </c>
      <c r="D1279" s="214"/>
      <c r="E1279" s="214">
        <v>2156000206001</v>
      </c>
      <c r="F1279" s="209" t="s">
        <v>29</v>
      </c>
      <c r="G1279" s="209" t="s">
        <v>53</v>
      </c>
      <c r="H1279" s="209" t="s">
        <v>278</v>
      </c>
      <c r="I1279" s="209" t="s">
        <v>279</v>
      </c>
      <c r="J1279" s="209" t="s">
        <v>211</v>
      </c>
      <c r="K1279" s="210" t="s">
        <v>34</v>
      </c>
      <c r="L1279" s="210"/>
      <c r="M1279" s="209" t="s">
        <v>35</v>
      </c>
      <c r="N1279" s="209">
        <v>42318949</v>
      </c>
      <c r="O1279" s="209" t="s">
        <v>36</v>
      </c>
      <c r="P1279" s="211" t="s">
        <v>3132</v>
      </c>
      <c r="Q1279" s="209"/>
      <c r="R1279" s="209" t="s">
        <v>38</v>
      </c>
      <c r="S1279" s="209"/>
      <c r="T1279" s="209" t="s">
        <v>74</v>
      </c>
      <c r="U1279" s="211" t="s">
        <v>4617</v>
      </c>
      <c r="V1279" s="209" t="s">
        <v>41</v>
      </c>
      <c r="W1279" s="209" t="s">
        <v>49</v>
      </c>
      <c r="X1279" s="13" t="str">
        <f>IF(RIGHT(H1279,2)&lt;&gt;"00",H1279,"")</f>
        <v/>
      </c>
      <c r="Y1279" s="26">
        <f ca="1">NETWORKDAYS(P1279,$Y$1)</f>
        <v>14</v>
      </c>
      <c r="Z1279" s="34">
        <v>1</v>
      </c>
      <c r="AA1279" s="25" t="str">
        <f t="shared" ca="1" si="107"/>
        <v>A VENCER</v>
      </c>
      <c r="AB1279" s="25" t="str">
        <f t="shared" si="109"/>
        <v>TAAe+</v>
      </c>
      <c r="AC1279" s="2" t="str">
        <f t="shared" si="100"/>
        <v xml:space="preserve"> RINALDO </v>
      </c>
      <c r="AD1279" s="26">
        <f t="shared" si="110"/>
        <v>8</v>
      </c>
      <c r="AE1279" s="26">
        <f t="shared" ca="1" si="108"/>
        <v>19.08610960648366</v>
      </c>
    </row>
    <row r="1280" spans="1:31" hidden="1">
      <c r="A1280" s="209">
        <v>9464504</v>
      </c>
      <c r="B1280" s="209" t="s">
        <v>81</v>
      </c>
      <c r="C1280" s="210" t="s">
        <v>2733</v>
      </c>
      <c r="D1280" s="214"/>
      <c r="E1280" s="214">
        <v>2802000206001</v>
      </c>
      <c r="F1280" s="209" t="s">
        <v>29</v>
      </c>
      <c r="G1280" s="209" t="s">
        <v>53</v>
      </c>
      <c r="H1280" s="209" t="s">
        <v>388</v>
      </c>
      <c r="I1280" s="209" t="s">
        <v>389</v>
      </c>
      <c r="J1280" s="209" t="s">
        <v>46</v>
      </c>
      <c r="K1280" s="210" t="s">
        <v>34</v>
      </c>
      <c r="L1280" s="210"/>
      <c r="M1280" s="209" t="s">
        <v>35</v>
      </c>
      <c r="N1280" s="209">
        <v>42318949</v>
      </c>
      <c r="O1280" s="209" t="s">
        <v>36</v>
      </c>
      <c r="P1280" s="211" t="s">
        <v>3134</v>
      </c>
      <c r="Q1280" s="209"/>
      <c r="R1280" s="209" t="s">
        <v>38</v>
      </c>
      <c r="S1280" s="209"/>
      <c r="T1280" s="209" t="s">
        <v>74</v>
      </c>
      <c r="U1280" s="211" t="s">
        <v>4618</v>
      </c>
      <c r="V1280" s="209" t="s">
        <v>41</v>
      </c>
      <c r="W1280" s="209" t="s">
        <v>49</v>
      </c>
      <c r="X1280" s="13" t="str">
        <f>IF(RIGHT(H1280,2)&lt;&gt;"00",H1280,"")</f>
        <v/>
      </c>
      <c r="Y1280" s="26">
        <f ca="1">NETWORKDAYS(P1280,$Y$1)</f>
        <v>14</v>
      </c>
      <c r="Z1280" s="34">
        <v>1</v>
      </c>
      <c r="AA1280" s="25" t="str">
        <f t="shared" ca="1" si="107"/>
        <v>A VENCER</v>
      </c>
      <c r="AB1280" s="25" t="str">
        <f t="shared" si="109"/>
        <v>TAAe+</v>
      </c>
      <c r="AC1280" s="2" t="str">
        <f t="shared" si="100"/>
        <v xml:space="preserve"> CLEITON </v>
      </c>
      <c r="AD1280" s="26">
        <f t="shared" si="110"/>
        <v>8</v>
      </c>
      <c r="AE1280" s="26">
        <f t="shared" ca="1" si="108"/>
        <v>19.086260069445416</v>
      </c>
    </row>
    <row r="1281" spans="1:31" hidden="1">
      <c r="A1281" s="209">
        <v>9464461</v>
      </c>
      <c r="B1281" s="209" t="s">
        <v>81</v>
      </c>
      <c r="C1281" s="210" t="s">
        <v>2733</v>
      </c>
      <c r="D1281" s="214"/>
      <c r="E1281" s="214">
        <v>1245000206001</v>
      </c>
      <c r="F1281" s="209" t="s">
        <v>29</v>
      </c>
      <c r="G1281" s="209" t="s">
        <v>53</v>
      </c>
      <c r="H1281" s="209" t="s">
        <v>408</v>
      </c>
      <c r="I1281" s="209" t="s">
        <v>409</v>
      </c>
      <c r="J1281" s="209" t="s">
        <v>46</v>
      </c>
      <c r="K1281" s="210" t="s">
        <v>34</v>
      </c>
      <c r="L1281" s="210"/>
      <c r="M1281" s="209" t="s">
        <v>35</v>
      </c>
      <c r="N1281" s="209">
        <v>42318949</v>
      </c>
      <c r="O1281" s="209" t="s">
        <v>36</v>
      </c>
      <c r="P1281" s="211" t="s">
        <v>3135</v>
      </c>
      <c r="Q1281" s="209"/>
      <c r="R1281" s="209" t="s">
        <v>38</v>
      </c>
      <c r="S1281" s="209"/>
      <c r="T1281" s="209" t="s">
        <v>74</v>
      </c>
      <c r="U1281" s="211" t="s">
        <v>2737</v>
      </c>
      <c r="V1281" s="209" t="s">
        <v>41</v>
      </c>
      <c r="W1281" s="209" t="s">
        <v>49</v>
      </c>
      <c r="X1281" s="13" t="str">
        <f>IF(RIGHT(H1281,2)&lt;&gt;"00",H1281,"")</f>
        <v/>
      </c>
      <c r="Y1281" s="26">
        <f ca="1">NETWORKDAYS(P1281,$Y$1)</f>
        <v>14</v>
      </c>
      <c r="Z1281" s="34">
        <v>1</v>
      </c>
      <c r="AA1281" s="25" t="str">
        <f t="shared" ca="1" si="107"/>
        <v>A VENCER</v>
      </c>
      <c r="AB1281" s="25" t="str">
        <f t="shared" si="109"/>
        <v>TAAe+</v>
      </c>
      <c r="AC1281" s="2" t="str">
        <f t="shared" si="100"/>
        <v xml:space="preserve"> CLEITON </v>
      </c>
      <c r="AD1281" s="26">
        <f t="shared" si="110"/>
        <v>8</v>
      </c>
      <c r="AE1281" s="26">
        <f t="shared" ca="1" si="108"/>
        <v>19.086341087961046</v>
      </c>
    </row>
    <row r="1282" spans="1:31" hidden="1">
      <c r="A1282" s="209">
        <v>9464457</v>
      </c>
      <c r="B1282" s="209" t="s">
        <v>81</v>
      </c>
      <c r="C1282" s="210" t="s">
        <v>2733</v>
      </c>
      <c r="D1282" s="214"/>
      <c r="E1282" s="214">
        <v>1128000206001</v>
      </c>
      <c r="F1282" s="209" t="s">
        <v>29</v>
      </c>
      <c r="G1282" s="209" t="s">
        <v>53</v>
      </c>
      <c r="H1282" s="209" t="s">
        <v>1191</v>
      </c>
      <c r="I1282" s="209" t="s">
        <v>1192</v>
      </c>
      <c r="J1282" s="209" t="s">
        <v>33</v>
      </c>
      <c r="K1282" s="210" t="s">
        <v>34</v>
      </c>
      <c r="L1282" s="210"/>
      <c r="M1282" s="209" t="s">
        <v>35</v>
      </c>
      <c r="N1282" s="209">
        <v>42318949</v>
      </c>
      <c r="O1282" s="209" t="s">
        <v>105</v>
      </c>
      <c r="P1282" s="211" t="s">
        <v>2736</v>
      </c>
      <c r="Q1282" s="209"/>
      <c r="R1282" s="209" t="s">
        <v>38</v>
      </c>
      <c r="S1282" s="209"/>
      <c r="T1282" s="209" t="s">
        <v>74</v>
      </c>
      <c r="U1282" s="211" t="s">
        <v>2737</v>
      </c>
      <c r="V1282" s="209" t="s">
        <v>41</v>
      </c>
      <c r="W1282" s="209" t="s">
        <v>49</v>
      </c>
      <c r="X1282" s="13" t="str">
        <f>IF(RIGHT(H1282,2)&lt;&gt;"00",H1282,"")</f>
        <v/>
      </c>
      <c r="Y1282" s="26">
        <f ca="1">NETWORKDAYS(P1282,$Y$1)</f>
        <v>14</v>
      </c>
      <c r="Z1282" s="34">
        <v>1</v>
      </c>
      <c r="AA1282" s="25" t="str">
        <f t="shared" ca="1" si="107"/>
        <v>A VENCER</v>
      </c>
      <c r="AB1282" s="25" t="str">
        <f t="shared" si="109"/>
        <v>TAAe+</v>
      </c>
      <c r="AC1282" s="2" t="str">
        <f t="shared" si="100"/>
        <v xml:space="preserve"> ROSEMERE </v>
      </c>
      <c r="AD1282" s="26">
        <f t="shared" si="110"/>
        <v>8</v>
      </c>
      <c r="AE1282" s="26">
        <f t="shared" ca="1" si="108"/>
        <v>19.086352662037825</v>
      </c>
    </row>
    <row r="1283" spans="1:31" hidden="1">
      <c r="A1283" s="209">
        <v>9464451</v>
      </c>
      <c r="B1283" s="209" t="s">
        <v>81</v>
      </c>
      <c r="C1283" s="210" t="s">
        <v>2733</v>
      </c>
      <c r="D1283" s="214"/>
      <c r="E1283" s="214">
        <v>963000206001</v>
      </c>
      <c r="F1283" s="209" t="s">
        <v>29</v>
      </c>
      <c r="G1283" s="209" t="s">
        <v>53</v>
      </c>
      <c r="H1283" s="209" t="s">
        <v>531</v>
      </c>
      <c r="I1283" s="209" t="s">
        <v>532</v>
      </c>
      <c r="J1283" s="209" t="s">
        <v>33</v>
      </c>
      <c r="K1283" s="210" t="s">
        <v>34</v>
      </c>
      <c r="L1283" s="210"/>
      <c r="M1283" s="209" t="s">
        <v>35</v>
      </c>
      <c r="N1283" s="209">
        <v>42318949</v>
      </c>
      <c r="O1283" s="209" t="s">
        <v>105</v>
      </c>
      <c r="P1283" s="211" t="s">
        <v>2736</v>
      </c>
      <c r="Q1283" s="209"/>
      <c r="R1283" s="209" t="s">
        <v>38</v>
      </c>
      <c r="S1283" s="209"/>
      <c r="T1283" s="209" t="s">
        <v>74</v>
      </c>
      <c r="U1283" s="211" t="s">
        <v>4619</v>
      </c>
      <c r="V1283" s="209" t="s">
        <v>41</v>
      </c>
      <c r="W1283" s="209" t="s">
        <v>49</v>
      </c>
      <c r="X1283" s="13" t="str">
        <f>IF(RIGHT(H1283,2)&lt;&gt;"00",H1283,"")</f>
        <v/>
      </c>
      <c r="Y1283" s="26">
        <f ca="1">NETWORKDAYS(P1283,$Y$1)</f>
        <v>14</v>
      </c>
      <c r="Z1283" s="34">
        <v>1</v>
      </c>
      <c r="AA1283" s="25" t="str">
        <f t="shared" ca="1" si="107"/>
        <v>A VENCER</v>
      </c>
      <c r="AB1283" s="25" t="str">
        <f t="shared" si="109"/>
        <v>TAAe+</v>
      </c>
      <c r="AC1283" s="2" t="str">
        <f t="shared" ref="AC1283:AC1346" si="111">IF(J1283="TR-PETROLINA"," ROSEMERE ",IF(J1283="TR-GARANHUNS"," ROSEMERE ",IF(J1283="TR-CARUARU"," ROSEMERE ",IF(J1283="TR-RIBEIRAO"," CRISTINA ",IF(J1283="TR-GRAVATA"," CRISTINA ",IF(J1283="TR-GOIANA"," CRISTINA ",IF(J1283="TR-LIMOEIRO"," CRISTINA ",IF(J1283="TR-SERRA TALHADA"," RINALDO ",IF(J1283="TR-SALGUEIRO"," RINALDO ",IF(J1283="TR-CARNAIBA"," RINALDO ",IF(J1283="TR-ARCOVERDE"," RINALDO ",IF(J1283="CAT-RECIFE"," CLEITON ",))))))))))))</f>
        <v xml:space="preserve"> ROSEMERE </v>
      </c>
      <c r="AD1283" s="26">
        <f t="shared" si="110"/>
        <v>8</v>
      </c>
      <c r="AE1283" s="26">
        <f t="shared" ca="1" si="108"/>
        <v>19.086352662037825</v>
      </c>
    </row>
    <row r="1284" spans="1:31" hidden="1">
      <c r="A1284" s="209">
        <v>9464394</v>
      </c>
      <c r="B1284" s="209" t="s">
        <v>81</v>
      </c>
      <c r="C1284" s="210" t="s">
        <v>2733</v>
      </c>
      <c r="D1284" s="214"/>
      <c r="E1284" s="214">
        <v>67000206001</v>
      </c>
      <c r="F1284" s="209" t="s">
        <v>29</v>
      </c>
      <c r="G1284" s="209" t="s">
        <v>53</v>
      </c>
      <c r="H1284" s="209" t="s">
        <v>404</v>
      </c>
      <c r="I1284" s="209" t="s">
        <v>405</v>
      </c>
      <c r="J1284" s="209" t="s">
        <v>164</v>
      </c>
      <c r="K1284" s="210" t="s">
        <v>34</v>
      </c>
      <c r="L1284" s="210"/>
      <c r="M1284" s="209" t="s">
        <v>35</v>
      </c>
      <c r="N1284" s="209">
        <v>42318949</v>
      </c>
      <c r="O1284" s="209" t="s">
        <v>105</v>
      </c>
      <c r="P1284" s="211" t="s">
        <v>2738</v>
      </c>
      <c r="Q1284" s="209"/>
      <c r="R1284" s="209" t="s">
        <v>38</v>
      </c>
      <c r="S1284" s="209"/>
      <c r="T1284" s="209" t="s">
        <v>74</v>
      </c>
      <c r="U1284" s="211" t="s">
        <v>2739</v>
      </c>
      <c r="V1284" s="209" t="s">
        <v>41</v>
      </c>
      <c r="W1284" s="209" t="s">
        <v>49</v>
      </c>
      <c r="X1284" s="13" t="str">
        <f>IF(RIGHT(H1284,2)&lt;&gt;"00",H1284,"")</f>
        <v/>
      </c>
      <c r="Y1284" s="26">
        <f ca="1">NETWORKDAYS(P1284,$Y$1)</f>
        <v>14</v>
      </c>
      <c r="Z1284" s="34">
        <v>1</v>
      </c>
      <c r="AA1284" s="25" t="str">
        <f t="shared" ca="1" si="107"/>
        <v>A VENCER</v>
      </c>
      <c r="AB1284" s="25" t="str">
        <f t="shared" si="109"/>
        <v>TAAe+</v>
      </c>
      <c r="AC1284" s="2" t="str">
        <f t="shared" si="111"/>
        <v xml:space="preserve"> ROSEMERE </v>
      </c>
      <c r="AD1284" s="26">
        <f t="shared" si="110"/>
        <v>8</v>
      </c>
      <c r="AE1284" s="26">
        <f t="shared" ca="1" si="108"/>
        <v>19.086456828707014</v>
      </c>
    </row>
    <row r="1285" spans="1:31" hidden="1">
      <c r="A1285" s="209">
        <v>9463997</v>
      </c>
      <c r="B1285" s="209" t="s">
        <v>1153</v>
      </c>
      <c r="C1285" s="210" t="s">
        <v>2759</v>
      </c>
      <c r="D1285" s="214">
        <v>20234844000431</v>
      </c>
      <c r="E1285" s="214">
        <v>7417193390971</v>
      </c>
      <c r="F1285" s="209" t="s">
        <v>2760</v>
      </c>
      <c r="G1285" s="209" t="s">
        <v>53</v>
      </c>
      <c r="H1285" s="209" t="s">
        <v>626</v>
      </c>
      <c r="I1285" s="209" t="s">
        <v>627</v>
      </c>
      <c r="J1285" s="209" t="s">
        <v>46</v>
      </c>
      <c r="K1285" s="210" t="s">
        <v>2761</v>
      </c>
      <c r="L1285" s="210"/>
      <c r="M1285" s="209" t="s">
        <v>58</v>
      </c>
      <c r="N1285" s="209">
        <v>0</v>
      </c>
      <c r="O1285" s="209" t="s">
        <v>36</v>
      </c>
      <c r="P1285" s="211" t="s">
        <v>2762</v>
      </c>
      <c r="Q1285" s="209"/>
      <c r="R1285" s="209">
        <v>22</v>
      </c>
      <c r="S1285" s="209"/>
      <c r="T1285" s="209" t="s">
        <v>1160</v>
      </c>
      <c r="U1285" s="211" t="s">
        <v>2763</v>
      </c>
      <c r="V1285" s="209" t="s">
        <v>41</v>
      </c>
      <c r="W1285" s="209" t="s">
        <v>49</v>
      </c>
      <c r="X1285" s="13" t="str">
        <f>IF(RIGHT(H1285,2)&lt;&gt;"00",H1285,"")</f>
        <v/>
      </c>
      <c r="Y1285" s="26">
        <f ca="1">NETWORKDAYS(P1285,$Y$1)</f>
        <v>14</v>
      </c>
      <c r="Z1285" s="34">
        <v>1</v>
      </c>
      <c r="AA1285" s="25" t="str">
        <f t="shared" ca="1" si="107"/>
        <v>A VENCER</v>
      </c>
      <c r="AB1285" s="25" t="str">
        <f t="shared" si="109"/>
        <v>TAAe+</v>
      </c>
      <c r="AC1285" s="2" t="str">
        <f t="shared" si="111"/>
        <v xml:space="preserve"> CLEITON </v>
      </c>
      <c r="AD1285" s="26">
        <f t="shared" si="110"/>
        <v>8</v>
      </c>
      <c r="AE1285" s="26">
        <f t="shared" ca="1" si="108"/>
        <v>19.166398958332138</v>
      </c>
    </row>
    <row r="1286" spans="1:31" hidden="1">
      <c r="A1286" s="209">
        <v>9463988</v>
      </c>
      <c r="B1286" s="209" t="s">
        <v>1153</v>
      </c>
      <c r="C1286" s="210" t="s">
        <v>3136</v>
      </c>
      <c r="D1286" s="214">
        <v>20234119000009</v>
      </c>
      <c r="E1286" s="214">
        <v>7419152172053</v>
      </c>
      <c r="F1286" s="209" t="s">
        <v>52</v>
      </c>
      <c r="G1286" s="209" t="s">
        <v>53</v>
      </c>
      <c r="H1286" s="209" t="s">
        <v>297</v>
      </c>
      <c r="I1286" s="209" t="s">
        <v>298</v>
      </c>
      <c r="J1286" s="209" t="s">
        <v>211</v>
      </c>
      <c r="K1286" s="210" t="s">
        <v>57</v>
      </c>
      <c r="L1286" s="210"/>
      <c r="M1286" s="209" t="s">
        <v>58</v>
      </c>
      <c r="N1286" s="209">
        <v>0</v>
      </c>
      <c r="O1286" s="209" t="s">
        <v>36</v>
      </c>
      <c r="P1286" s="211" t="s">
        <v>2765</v>
      </c>
      <c r="Q1286" s="209"/>
      <c r="R1286" s="209">
        <v>8</v>
      </c>
      <c r="S1286" s="209"/>
      <c r="T1286" s="209" t="s">
        <v>238</v>
      </c>
      <c r="U1286" s="211" t="s">
        <v>2766</v>
      </c>
      <c r="V1286" s="209" t="s">
        <v>41</v>
      </c>
      <c r="W1286" s="209" t="s">
        <v>49</v>
      </c>
      <c r="X1286" s="13" t="str">
        <f>IF(RIGHT(H1286,2)&lt;&gt;"00",H1286,"")</f>
        <v/>
      </c>
      <c r="Y1286" s="26">
        <f ca="1">NETWORKDAYS(P1286,$Y$1)</f>
        <v>14</v>
      </c>
      <c r="Z1286" s="34">
        <v>1</v>
      </c>
      <c r="AA1286" s="25" t="str">
        <f t="shared" ca="1" si="107"/>
        <v>A VENCER</v>
      </c>
      <c r="AB1286" s="25" t="str">
        <f>IF(F1286="GRPE-000001","C-14",IF(F1286="GRPE-000002","C-14",IF(F1286="GRPE-000003","C-14",IF(F1286="GRPE-000004","SL-On",IF(F1286="GRPE-000038","C-14",IF(F1286="GRPE-900022","Dosa",IF(F1286="GRPE-000029","Dosa",IF(F1286="ATOS-000222","Dose","TAAe+"))))))))</f>
        <v>TAAe+</v>
      </c>
      <c r="AC1286" s="2" t="str">
        <f t="shared" si="111"/>
        <v xml:space="preserve"> RINALDO </v>
      </c>
      <c r="AD1286" s="26">
        <f>IF(F1286="GRPE-000001",5,IF(F1286="GRPE-000002",5,IF(F1286="GRPE-000003",15,IF(F1286="GRPE-000004",1,IF(F1286="GRPE-000038",5,IF(F1286="GRPE-900022",5,IF(F1286="GRPE-000029",5,IF(F1286="ATOS-000222",5,8))))))))</f>
        <v>8</v>
      </c>
      <c r="AE1286" s="26">
        <f t="shared" ca="1" si="108"/>
        <v>19.166260069447162</v>
      </c>
    </row>
    <row r="1287" spans="1:31" hidden="1">
      <c r="A1287" s="209">
        <v>9463914</v>
      </c>
      <c r="B1287" s="209" t="s">
        <v>1153</v>
      </c>
      <c r="C1287" s="210" t="s">
        <v>2774</v>
      </c>
      <c r="D1287" s="214">
        <v>20232107000001</v>
      </c>
      <c r="E1287" s="214">
        <v>7417183023328</v>
      </c>
      <c r="F1287" s="209" t="s">
        <v>1313</v>
      </c>
      <c r="G1287" s="209" t="s">
        <v>53</v>
      </c>
      <c r="H1287" s="209" t="s">
        <v>2775</v>
      </c>
      <c r="I1287" s="209" t="s">
        <v>2776</v>
      </c>
      <c r="J1287" s="209" t="s">
        <v>164</v>
      </c>
      <c r="K1287" s="210" t="s">
        <v>1316</v>
      </c>
      <c r="L1287" s="210"/>
      <c r="M1287" s="209" t="s">
        <v>58</v>
      </c>
      <c r="N1287" s="209">
        <v>0</v>
      </c>
      <c r="O1287" s="209" t="s">
        <v>36</v>
      </c>
      <c r="P1287" s="211" t="s">
        <v>3138</v>
      </c>
      <c r="Q1287" s="209"/>
      <c r="R1287" s="209">
        <v>14</v>
      </c>
      <c r="S1287" s="209"/>
      <c r="T1287" s="209" t="s">
        <v>238</v>
      </c>
      <c r="U1287" s="211" t="s">
        <v>3138</v>
      </c>
      <c r="V1287" s="209" t="s">
        <v>41</v>
      </c>
      <c r="W1287" s="209" t="s">
        <v>49</v>
      </c>
      <c r="X1287" s="13" t="str">
        <f>IF(RIGHT(H1287,2)&lt;&gt;"00",H1287,"")</f>
        <v>2107.91</v>
      </c>
      <c r="Y1287" s="26">
        <f ca="1">NETWORKDAYS(P1287,$Y$1)</f>
        <v>14</v>
      </c>
      <c r="Z1287" s="34">
        <v>1</v>
      </c>
      <c r="AA1287" s="25" t="str">
        <f t="shared" ca="1" si="107"/>
        <v>A VENCER</v>
      </c>
      <c r="AB1287" s="25" t="str">
        <f>IF(F1287="GRPE-000001","C-14",IF(F1287="GRPE-000002","C-14",IF(F1287="GRPE-000003","C-14",IF(F1287="GRPE-000004","SL-On",IF(F1287="GRPE-000038","C-14",IF(F1287="GRPE-900022","Dosa",IF(F1287="GRPE-000029","Dosa",IF(F1287="ATOS-000222","Dose","TAAe+"))))))))</f>
        <v>TAAe+</v>
      </c>
      <c r="AC1287" s="2" t="str">
        <f t="shared" si="111"/>
        <v xml:space="preserve"> ROSEMERE </v>
      </c>
      <c r="AD1287" s="26">
        <f>IF(F1287="GRPE-000001",5,IF(F1287="GRPE-000002",5,IF(F1287="GRPE-000003",15,IF(F1287="GRPE-000004",1,IF(F1287="GRPE-000038",5,IF(F1287="GRPE-900022",5,IF(F1287="GRPE-000029",5,IF(F1287="ATOS-000222",5,8))))))))</f>
        <v>8</v>
      </c>
      <c r="AE1287" s="26">
        <f t="shared" ca="1" si="108"/>
        <v>19.176908217596065</v>
      </c>
    </row>
    <row r="1288" spans="1:31" hidden="1">
      <c r="A1288" s="209">
        <v>9463157</v>
      </c>
      <c r="B1288" s="209" t="s">
        <v>1153</v>
      </c>
      <c r="C1288" s="210" t="s">
        <v>2803</v>
      </c>
      <c r="D1288" s="214">
        <v>230027366</v>
      </c>
      <c r="E1288" s="214">
        <v>4637001400010</v>
      </c>
      <c r="F1288" s="209" t="s">
        <v>936</v>
      </c>
      <c r="G1288" s="209" t="s">
        <v>53</v>
      </c>
      <c r="H1288" s="209" t="s">
        <v>848</v>
      </c>
      <c r="I1288" s="209" t="s">
        <v>849</v>
      </c>
      <c r="J1288" s="209" t="s">
        <v>79</v>
      </c>
      <c r="K1288" s="210" t="s">
        <v>937</v>
      </c>
      <c r="L1288" s="210"/>
      <c r="M1288" s="209" t="s">
        <v>58</v>
      </c>
      <c r="N1288" s="209">
        <v>0</v>
      </c>
      <c r="O1288" s="209" t="s">
        <v>36</v>
      </c>
      <c r="P1288" s="211" t="s">
        <v>2804</v>
      </c>
      <c r="Q1288" s="209"/>
      <c r="R1288" s="209">
        <v>3</v>
      </c>
      <c r="S1288" s="209"/>
      <c r="T1288" s="209" t="s">
        <v>646</v>
      </c>
      <c r="U1288" s="211" t="s">
        <v>4620</v>
      </c>
      <c r="V1288" s="209" t="s">
        <v>41</v>
      </c>
      <c r="W1288" s="209" t="s">
        <v>49</v>
      </c>
      <c r="X1288" s="13" t="str">
        <f>IF(RIGHT(H1288,2)&lt;&gt;"00",H1288,"")</f>
        <v/>
      </c>
      <c r="Y1288" s="26">
        <f ca="1">NETWORKDAYS(P1288,$Y$1)</f>
        <v>14</v>
      </c>
      <c r="Z1288" s="34">
        <v>1</v>
      </c>
      <c r="AA1288" s="25" t="str">
        <f t="shared" ca="1" si="107"/>
        <v>A VENCER</v>
      </c>
      <c r="AB1288" s="25" t="str">
        <f>IF(G1288="GRPE-000001","C-14",IF(G1288="GRPE-000002","C-14",IF(G1288="GRPE-000003","C-14",IF(G1288="GRPE-000004","SL-On",IF(G1288="GRPE-000038","C-14",IF(G1288="GRPE-900022","Dosa",IF(G1288="GRPE-000029","Dosa",IF(G1288="ATOS-000222","Dose","TAAe+"))))))))</f>
        <v>TAAe+</v>
      </c>
      <c r="AC1288" s="2" t="str">
        <f t="shared" si="111"/>
        <v xml:space="preserve"> ROSEMERE </v>
      </c>
      <c r="AD1288" s="26">
        <f>IF(G1288="GRPE-000001",5,IF(G1288="GRPE-000002",5,IF(G1288="GRPE-000003",15,IF(G1288="GRPE-000004",1,IF(G1288="GRPE-000038",5,IF(G1288="GRPE-900022",5,IF(G1288="GRPE-000029",5,IF(G1288="ATOS-000222",5,8))))))))</f>
        <v>8</v>
      </c>
      <c r="AE1288" s="26">
        <f t="shared" ca="1" si="108"/>
        <v>19.272799421298259</v>
      </c>
    </row>
    <row r="1289" spans="1:31" hidden="1">
      <c r="A1289" s="209">
        <v>9478527</v>
      </c>
      <c r="B1289" s="209" t="s">
        <v>101</v>
      </c>
      <c r="C1289" s="210" t="s">
        <v>1978</v>
      </c>
      <c r="D1289" s="214">
        <v>20232437000021</v>
      </c>
      <c r="E1289" s="214">
        <v>7419141893524</v>
      </c>
      <c r="F1289" s="209" t="s">
        <v>128</v>
      </c>
      <c r="G1289" s="209" t="s">
        <v>53</v>
      </c>
      <c r="H1289" s="209" t="s">
        <v>2418</v>
      </c>
      <c r="I1289" s="209" t="s">
        <v>2419</v>
      </c>
      <c r="J1289" s="209" t="s">
        <v>211</v>
      </c>
      <c r="K1289" s="210" t="s">
        <v>129</v>
      </c>
      <c r="L1289" s="210"/>
      <c r="M1289" s="209" t="s">
        <v>58</v>
      </c>
      <c r="N1289" s="209">
        <v>0</v>
      </c>
      <c r="O1289" s="209" t="s">
        <v>105</v>
      </c>
      <c r="P1289" s="211" t="s">
        <v>3142</v>
      </c>
      <c r="Q1289" s="209"/>
      <c r="R1289" s="209">
        <v>14</v>
      </c>
      <c r="S1289" s="209"/>
      <c r="T1289" s="209" t="s">
        <v>238</v>
      </c>
      <c r="U1289" s="211" t="s">
        <v>3142</v>
      </c>
      <c r="V1289" s="209" t="s">
        <v>41</v>
      </c>
      <c r="W1289" s="209" t="s">
        <v>49</v>
      </c>
      <c r="X1289" s="13" t="str">
        <f>IF(RIGHT(H1289,2)&lt;&gt;"00",H1289,"")</f>
        <v>2437.91</v>
      </c>
      <c r="Y1289" s="26">
        <f ca="1">NETWORKDAYS(P1289,$Y$1)</f>
        <v>13</v>
      </c>
      <c r="Z1289" s="34">
        <v>1</v>
      </c>
      <c r="AA1289" s="25" t="str">
        <f t="shared" ca="1" si="107"/>
        <v>A VENCER</v>
      </c>
      <c r="AB1289" s="25" t="str">
        <f>IF(G1289="GRPE-000001","C-14",IF(G1289="GRPE-000002","C-14",IF(G1289="GRPE-000003","C-14",IF(G1289="GRPE-000004","SL-On",IF(G1289="GRPE-000038","C-14",IF(G1289="GRPE-900022","Dosa",IF(G1289="GRPE-000029","Dosa",IF(G1289="ATOS-000222","Dose","TAAe+"))))))))</f>
        <v>TAAe+</v>
      </c>
      <c r="AC1289" s="2" t="str">
        <f t="shared" si="111"/>
        <v xml:space="preserve"> RINALDO </v>
      </c>
      <c r="AD1289" s="26">
        <f>IF(G1289="GRPE-000001",5,IF(G1289="GRPE-000002",5,IF(G1289="GRPE-000003",15,IF(G1289="GRPE-000004",1,IF(G1289="GRPE-000038",5,IF(G1289="GRPE-900022",5,IF(G1289="GRPE-000029",5,IF(G1289="ATOS-000222",5,8))))))))</f>
        <v>8</v>
      </c>
      <c r="AE1289" s="26">
        <f t="shared" ca="1" si="108"/>
        <v>15.910403587964538</v>
      </c>
    </row>
    <row r="1290" spans="1:31" hidden="1">
      <c r="A1290" s="209">
        <v>9478476</v>
      </c>
      <c r="B1290" s="209" t="s">
        <v>101</v>
      </c>
      <c r="C1290" s="210" t="s">
        <v>1978</v>
      </c>
      <c r="D1290" s="214">
        <v>20232678000014</v>
      </c>
      <c r="E1290" s="214">
        <v>7417163281860</v>
      </c>
      <c r="F1290" s="209" t="s">
        <v>131</v>
      </c>
      <c r="G1290" s="209" t="s">
        <v>53</v>
      </c>
      <c r="H1290" s="209" t="s">
        <v>2814</v>
      </c>
      <c r="I1290" s="209" t="s">
        <v>2815</v>
      </c>
      <c r="J1290" s="209" t="s">
        <v>33</v>
      </c>
      <c r="K1290" s="210" t="s">
        <v>132</v>
      </c>
      <c r="L1290" s="210"/>
      <c r="M1290" s="209" t="s">
        <v>58</v>
      </c>
      <c r="N1290" s="209">
        <v>0</v>
      </c>
      <c r="O1290" s="209" t="s">
        <v>36</v>
      </c>
      <c r="P1290" s="211" t="s">
        <v>3143</v>
      </c>
      <c r="Q1290" s="209"/>
      <c r="R1290" s="209">
        <v>15</v>
      </c>
      <c r="S1290" s="209"/>
      <c r="T1290" s="209" t="s">
        <v>238</v>
      </c>
      <c r="U1290" s="211" t="s">
        <v>3143</v>
      </c>
      <c r="V1290" s="209" t="s">
        <v>41</v>
      </c>
      <c r="W1290" s="209" t="s">
        <v>42</v>
      </c>
      <c r="X1290" s="13" t="str">
        <f>IF(RIGHT(H1290,2)&lt;&gt;"00",H1290,"")</f>
        <v>2678.91</v>
      </c>
      <c r="Y1290" s="26">
        <f ca="1">NETWORKDAYS(P1290,$Y$1)</f>
        <v>13</v>
      </c>
      <c r="Z1290" s="34">
        <v>1</v>
      </c>
      <c r="AA1290" s="25" t="str">
        <f t="shared" ca="1" si="107"/>
        <v>A VENCER</v>
      </c>
      <c r="AB1290" s="25" t="str">
        <f>IF(G1290="GRPE-000001","C-14",IF(G1290="GRPE-000002","C-14",IF(G1290="GRPE-000003","C-14",IF(G1290="GRPE-000004","SL-On",IF(G1290="GRPE-000038","C-14",IF(G1290="GRPE-900022","Dosa",IF(G1290="GRPE-000029","Dosa",IF(G1290="ATOS-000222","Dose","TAAe+"))))))))</f>
        <v>TAAe+</v>
      </c>
      <c r="AC1290" s="2" t="str">
        <f t="shared" si="111"/>
        <v xml:space="preserve"> ROSEMERE </v>
      </c>
      <c r="AD1290" s="26">
        <f>IF(G1290="GRPE-000001",5,IF(G1290="GRPE-000002",5,IF(G1290="GRPE-000003",15,IF(G1290="GRPE-000004",1,IF(G1290="GRPE-000038",5,IF(G1290="GRPE-900022",5,IF(G1290="GRPE-000029",5,IF(G1290="ATOS-000222",5,8))))))))</f>
        <v>8</v>
      </c>
      <c r="AE1290" s="26">
        <f t="shared" ca="1" si="108"/>
        <v>15.915901273147028</v>
      </c>
    </row>
    <row r="1291" spans="1:31" hidden="1">
      <c r="A1291" s="209">
        <v>9478382</v>
      </c>
      <c r="B1291" s="209" t="s">
        <v>101</v>
      </c>
      <c r="C1291" s="210" t="s">
        <v>1978</v>
      </c>
      <c r="D1291" s="214">
        <v>20234923000067</v>
      </c>
      <c r="E1291" s="214">
        <v>7419141892150</v>
      </c>
      <c r="F1291" s="209" t="s">
        <v>128</v>
      </c>
      <c r="G1291" s="209" t="s">
        <v>53</v>
      </c>
      <c r="H1291" s="209" t="s">
        <v>1966</v>
      </c>
      <c r="I1291" s="209" t="s">
        <v>1967</v>
      </c>
      <c r="J1291" s="209" t="s">
        <v>46</v>
      </c>
      <c r="K1291" s="210" t="s">
        <v>129</v>
      </c>
      <c r="L1291" s="210"/>
      <c r="M1291" s="209" t="s">
        <v>58</v>
      </c>
      <c r="N1291" s="209">
        <v>0</v>
      </c>
      <c r="O1291" s="209" t="s">
        <v>36</v>
      </c>
      <c r="P1291" s="211" t="s">
        <v>3144</v>
      </c>
      <c r="Q1291" s="209"/>
      <c r="R1291" s="209">
        <v>13</v>
      </c>
      <c r="S1291" s="209"/>
      <c r="T1291" s="209" t="s">
        <v>238</v>
      </c>
      <c r="U1291" s="211" t="s">
        <v>3144</v>
      </c>
      <c r="V1291" s="209" t="s">
        <v>41</v>
      </c>
      <c r="W1291" s="209" t="s">
        <v>49</v>
      </c>
      <c r="X1291" s="13" t="str">
        <f>IF(RIGHT(H1291,2)&lt;&gt;"00",H1291,"")</f>
        <v>4923.01</v>
      </c>
      <c r="Y1291" s="26">
        <f ca="1">NETWORKDAYS(P1291,$Y$1)</f>
        <v>13</v>
      </c>
      <c r="Z1291" s="34">
        <v>1</v>
      </c>
      <c r="AA1291" s="25" t="str">
        <f t="shared" ca="1" si="107"/>
        <v>A VENCER</v>
      </c>
      <c r="AB1291" s="25" t="str">
        <f t="shared" ref="AB1291:AB1300" si="112">IF(F1291="GRPE-000001","C-14",IF(F1291="GRPE-000002","C-14",IF(F1291="GRPE-000003","C-14",IF(F1291="GRPE-000004","SL-On",IF(F1291="GRPE-000038","C-14",IF(F1291="GRPE-900022","Dosa",IF(F1291="GRPE-000029","Dosa",IF(F1291="ATOS-000222","Dose","TAAe+"))))))))</f>
        <v>TAAe+</v>
      </c>
      <c r="AC1291" s="2" t="str">
        <f t="shared" si="111"/>
        <v xml:space="preserve"> CLEITON </v>
      </c>
      <c r="AD1291" s="26">
        <f t="shared" ref="AD1291:AD1300" si="113">IF(F1291="GRPE-000001",5,IF(F1291="GRPE-000002",5,IF(F1291="GRPE-000003",15,IF(F1291="GRPE-000004",1,IF(F1291="GRPE-000038",5,IF(F1291="GRPE-900022",5,IF(F1291="GRPE-000029",5,IF(F1291="ATOS-000222",5,8))))))))</f>
        <v>8</v>
      </c>
      <c r="AE1291" s="26">
        <f t="shared" ca="1" si="108"/>
        <v>15.91982488425856</v>
      </c>
    </row>
    <row r="1292" spans="1:31" hidden="1">
      <c r="A1292" s="209">
        <v>9478325</v>
      </c>
      <c r="B1292" s="209" t="s">
        <v>101</v>
      </c>
      <c r="C1292" s="210" t="s">
        <v>1978</v>
      </c>
      <c r="D1292" s="214">
        <v>20234844000453</v>
      </c>
      <c r="E1292" s="214">
        <v>7417163282352</v>
      </c>
      <c r="F1292" s="209" t="s">
        <v>131</v>
      </c>
      <c r="G1292" s="209" t="s">
        <v>53</v>
      </c>
      <c r="H1292" s="209" t="s">
        <v>2816</v>
      </c>
      <c r="I1292" s="209" t="s">
        <v>2817</v>
      </c>
      <c r="J1292" s="209" t="s">
        <v>46</v>
      </c>
      <c r="K1292" s="210" t="s">
        <v>132</v>
      </c>
      <c r="L1292" s="210"/>
      <c r="M1292" s="209" t="s">
        <v>58</v>
      </c>
      <c r="N1292" s="209">
        <v>0</v>
      </c>
      <c r="O1292" s="209" t="s">
        <v>105</v>
      </c>
      <c r="P1292" s="211" t="s">
        <v>3145</v>
      </c>
      <c r="Q1292" s="209"/>
      <c r="R1292" s="209">
        <v>13</v>
      </c>
      <c r="S1292" s="209"/>
      <c r="T1292" s="209" t="s">
        <v>238</v>
      </c>
      <c r="U1292" s="211" t="s">
        <v>3145</v>
      </c>
      <c r="V1292" s="209" t="s">
        <v>41</v>
      </c>
      <c r="W1292" s="209" t="s">
        <v>49</v>
      </c>
      <c r="X1292" s="13" t="str">
        <f>IF(RIGHT(H1292,2)&lt;&gt;"00",H1292,"")</f>
        <v>4844.64</v>
      </c>
      <c r="Y1292" s="26">
        <f ca="1">NETWORKDAYS(P1292,$Y$1)</f>
        <v>13</v>
      </c>
      <c r="Z1292" s="34">
        <v>1</v>
      </c>
      <c r="AA1292" s="25" t="str">
        <f t="shared" ca="1" si="107"/>
        <v>A VENCER</v>
      </c>
      <c r="AB1292" s="25" t="str">
        <f t="shared" si="112"/>
        <v>TAAe+</v>
      </c>
      <c r="AC1292" s="2" t="str">
        <f t="shared" si="111"/>
        <v xml:space="preserve"> CLEITON </v>
      </c>
      <c r="AD1292" s="26">
        <f t="shared" si="113"/>
        <v>8</v>
      </c>
      <c r="AE1292" s="26">
        <f t="shared" ca="1" si="108"/>
        <v>15.925554050925712</v>
      </c>
    </row>
    <row r="1293" spans="1:31" hidden="1">
      <c r="A1293" s="209">
        <v>9478324</v>
      </c>
      <c r="B1293" s="209" t="s">
        <v>101</v>
      </c>
      <c r="C1293" s="210" t="s">
        <v>1978</v>
      </c>
      <c r="D1293" s="214">
        <v>20234637000008</v>
      </c>
      <c r="E1293" s="214">
        <v>7417163284105</v>
      </c>
      <c r="F1293" s="209" t="s">
        <v>131</v>
      </c>
      <c r="G1293" s="209" t="s">
        <v>53</v>
      </c>
      <c r="H1293" s="209" t="s">
        <v>2004</v>
      </c>
      <c r="I1293" s="209" t="s">
        <v>2005</v>
      </c>
      <c r="J1293" s="209" t="s">
        <v>79</v>
      </c>
      <c r="K1293" s="210" t="s">
        <v>132</v>
      </c>
      <c r="L1293" s="210"/>
      <c r="M1293" s="209" t="s">
        <v>58</v>
      </c>
      <c r="N1293" s="209">
        <v>0</v>
      </c>
      <c r="O1293" s="209" t="s">
        <v>36</v>
      </c>
      <c r="P1293" s="211" t="s">
        <v>3146</v>
      </c>
      <c r="Q1293" s="209"/>
      <c r="R1293" s="209">
        <v>14</v>
      </c>
      <c r="S1293" s="209"/>
      <c r="T1293" s="209" t="s">
        <v>238</v>
      </c>
      <c r="U1293" s="211" t="s">
        <v>3146</v>
      </c>
      <c r="V1293" s="209" t="s">
        <v>41</v>
      </c>
      <c r="W1293" s="209" t="s">
        <v>49</v>
      </c>
      <c r="X1293" s="13" t="str">
        <f>IF(RIGHT(H1293,2)&lt;&gt;"00",H1293,"")</f>
        <v>4637.91</v>
      </c>
      <c r="Y1293" s="26">
        <f ca="1">NETWORKDAYS(P1293,$Y$1)</f>
        <v>13</v>
      </c>
      <c r="Z1293" s="34">
        <v>1</v>
      </c>
      <c r="AA1293" s="25" t="str">
        <f t="shared" ca="1" si="107"/>
        <v>A VENCER</v>
      </c>
      <c r="AB1293" s="25" t="str">
        <f t="shared" si="112"/>
        <v>TAAe+</v>
      </c>
      <c r="AC1293" s="2" t="str">
        <f t="shared" si="111"/>
        <v xml:space="preserve"> ROSEMERE </v>
      </c>
      <c r="AD1293" s="26">
        <f t="shared" si="113"/>
        <v>8</v>
      </c>
      <c r="AE1293" s="26">
        <f t="shared" ca="1" si="108"/>
        <v>15.925565625002491</v>
      </c>
    </row>
    <row r="1294" spans="1:31" hidden="1">
      <c r="A1294" s="209">
        <v>9478256</v>
      </c>
      <c r="B1294" s="209" t="s">
        <v>101</v>
      </c>
      <c r="C1294" s="210" t="s">
        <v>1978</v>
      </c>
      <c r="D1294" s="214">
        <v>20234844000452</v>
      </c>
      <c r="E1294" s="214">
        <v>7417183020637</v>
      </c>
      <c r="F1294" s="209" t="s">
        <v>1313</v>
      </c>
      <c r="G1294" s="209" t="s">
        <v>53</v>
      </c>
      <c r="H1294" s="209" t="s">
        <v>2816</v>
      </c>
      <c r="I1294" s="209" t="s">
        <v>2817</v>
      </c>
      <c r="J1294" s="209" t="s">
        <v>46</v>
      </c>
      <c r="K1294" s="210" t="s">
        <v>1316</v>
      </c>
      <c r="L1294" s="210"/>
      <c r="M1294" s="209" t="s">
        <v>58</v>
      </c>
      <c r="N1294" s="209">
        <v>0</v>
      </c>
      <c r="O1294" s="209" t="s">
        <v>105</v>
      </c>
      <c r="P1294" s="211" t="s">
        <v>3147</v>
      </c>
      <c r="Q1294" s="209"/>
      <c r="R1294" s="209">
        <v>13</v>
      </c>
      <c r="S1294" s="209"/>
      <c r="T1294" s="209" t="s">
        <v>238</v>
      </c>
      <c r="U1294" s="211" t="s">
        <v>3147</v>
      </c>
      <c r="V1294" s="209" t="s">
        <v>41</v>
      </c>
      <c r="W1294" s="209" t="s">
        <v>49</v>
      </c>
      <c r="X1294" s="13" t="str">
        <f>IF(RIGHT(H1294,2)&lt;&gt;"00",H1294,"")</f>
        <v>4844.64</v>
      </c>
      <c r="Y1294" s="26">
        <f ca="1">NETWORKDAYS(P1294,$Y$1)</f>
        <v>13</v>
      </c>
      <c r="Z1294" s="34">
        <v>1</v>
      </c>
      <c r="AA1294" s="25" t="str">
        <f t="shared" ca="1" si="107"/>
        <v>A VENCER</v>
      </c>
      <c r="AB1294" s="25" t="str">
        <f t="shared" si="112"/>
        <v>TAAe+</v>
      </c>
      <c r="AC1294" s="2" t="str">
        <f t="shared" si="111"/>
        <v xml:space="preserve"> CLEITON </v>
      </c>
      <c r="AD1294" s="26">
        <f t="shared" si="113"/>
        <v>8</v>
      </c>
      <c r="AE1294" s="26">
        <f t="shared" ca="1" si="108"/>
        <v>15.927475347220025</v>
      </c>
    </row>
    <row r="1295" spans="1:31" hidden="1">
      <c r="A1295" s="209">
        <v>9478195</v>
      </c>
      <c r="B1295" s="209" t="s">
        <v>101</v>
      </c>
      <c r="C1295" s="210" t="s">
        <v>1978</v>
      </c>
      <c r="D1295" s="214">
        <v>20234844000451</v>
      </c>
      <c r="E1295" s="214">
        <v>7417163282362</v>
      </c>
      <c r="F1295" s="209" t="s">
        <v>131</v>
      </c>
      <c r="G1295" s="209" t="s">
        <v>53</v>
      </c>
      <c r="H1295" s="209" t="s">
        <v>2821</v>
      </c>
      <c r="I1295" s="209" t="s">
        <v>2822</v>
      </c>
      <c r="J1295" s="209" t="s">
        <v>46</v>
      </c>
      <c r="K1295" s="210" t="s">
        <v>132</v>
      </c>
      <c r="L1295" s="210"/>
      <c r="M1295" s="209" t="s">
        <v>58</v>
      </c>
      <c r="N1295" s="209">
        <v>0</v>
      </c>
      <c r="O1295" s="209" t="s">
        <v>36</v>
      </c>
      <c r="P1295" s="211" t="s">
        <v>3148</v>
      </c>
      <c r="Q1295" s="209"/>
      <c r="R1295" s="209">
        <v>13</v>
      </c>
      <c r="S1295" s="209"/>
      <c r="T1295" s="209" t="s">
        <v>238</v>
      </c>
      <c r="U1295" s="211" t="s">
        <v>3148</v>
      </c>
      <c r="V1295" s="209" t="s">
        <v>41</v>
      </c>
      <c r="W1295" s="209" t="s">
        <v>49</v>
      </c>
      <c r="X1295" s="13" t="str">
        <f>IF(RIGHT(H1295,2)&lt;&gt;"00",H1295,"")</f>
        <v>4844.17</v>
      </c>
      <c r="Y1295" s="26">
        <f ca="1">NETWORKDAYS(P1295,$Y$1)</f>
        <v>13</v>
      </c>
      <c r="Z1295" s="34">
        <v>1</v>
      </c>
      <c r="AA1295" s="25" t="str">
        <f t="shared" ca="1" si="107"/>
        <v>A VENCER</v>
      </c>
      <c r="AB1295" s="25" t="str">
        <f t="shared" si="112"/>
        <v>TAAe+</v>
      </c>
      <c r="AC1295" s="2" t="str">
        <f t="shared" si="111"/>
        <v xml:space="preserve"> CLEITON </v>
      </c>
      <c r="AD1295" s="26">
        <f t="shared" si="113"/>
        <v>8</v>
      </c>
      <c r="AE1295" s="26">
        <f t="shared" ca="1" si="108"/>
        <v>15.934442939811561</v>
      </c>
    </row>
    <row r="1296" spans="1:31" hidden="1">
      <c r="A1296" s="209">
        <v>9478110</v>
      </c>
      <c r="B1296" s="209" t="s">
        <v>1970</v>
      </c>
      <c r="C1296" s="210" t="s">
        <v>1971</v>
      </c>
      <c r="D1296" s="214">
        <v>20231059000017</v>
      </c>
      <c r="E1296" s="214">
        <v>7419141894708</v>
      </c>
      <c r="F1296" s="209" t="s">
        <v>128</v>
      </c>
      <c r="G1296" s="209" t="s">
        <v>53</v>
      </c>
      <c r="H1296" s="209" t="s">
        <v>1972</v>
      </c>
      <c r="I1296" s="209" t="s">
        <v>1973</v>
      </c>
      <c r="J1296" s="209" t="s">
        <v>90</v>
      </c>
      <c r="K1296" s="210" t="s">
        <v>129</v>
      </c>
      <c r="L1296" s="210"/>
      <c r="M1296" s="209" t="s">
        <v>58</v>
      </c>
      <c r="N1296" s="209">
        <v>0</v>
      </c>
      <c r="O1296" s="209" t="s">
        <v>36</v>
      </c>
      <c r="P1296" s="211" t="s">
        <v>3150</v>
      </c>
      <c r="Q1296" s="209"/>
      <c r="R1296" s="209">
        <v>14</v>
      </c>
      <c r="S1296" s="209"/>
      <c r="T1296" s="209" t="s">
        <v>238</v>
      </c>
      <c r="U1296" s="211" t="s">
        <v>3151</v>
      </c>
      <c r="V1296" s="209" t="s">
        <v>41</v>
      </c>
      <c r="W1296" s="209" t="s">
        <v>49</v>
      </c>
      <c r="X1296" s="13" t="str">
        <f>IF(RIGHT(H1296,2)&lt;&gt;"00",H1296,"")</f>
        <v>1059.91</v>
      </c>
      <c r="Y1296" s="26">
        <f ca="1">NETWORKDAYS(P1296,$Y$1)</f>
        <v>13</v>
      </c>
      <c r="Z1296" s="34">
        <v>1</v>
      </c>
      <c r="AA1296" s="25" t="str">
        <f t="shared" ca="1" si="107"/>
        <v>A VENCER</v>
      </c>
      <c r="AB1296" s="25" t="str">
        <f t="shared" si="112"/>
        <v>TAAe+</v>
      </c>
      <c r="AC1296" s="2" t="str">
        <f t="shared" si="111"/>
        <v xml:space="preserve"> RINALDO </v>
      </c>
      <c r="AD1296" s="26">
        <f t="shared" si="113"/>
        <v>8</v>
      </c>
      <c r="AE1296" s="26">
        <f t="shared" ca="1" si="108"/>
        <v>15.939454513885721</v>
      </c>
    </row>
    <row r="1297" spans="1:31" hidden="1">
      <c r="A1297" s="209">
        <v>9478042</v>
      </c>
      <c r="B1297" s="209" t="s">
        <v>1970</v>
      </c>
      <c r="C1297" s="210" t="s">
        <v>1971</v>
      </c>
      <c r="D1297" s="214">
        <v>20231052000013</v>
      </c>
      <c r="E1297" s="214">
        <v>7417163285093</v>
      </c>
      <c r="F1297" s="209" t="s">
        <v>131</v>
      </c>
      <c r="G1297" s="209" t="s">
        <v>53</v>
      </c>
      <c r="H1297" s="209" t="s">
        <v>2560</v>
      </c>
      <c r="I1297" s="209" t="s">
        <v>2561</v>
      </c>
      <c r="J1297" s="209" t="s">
        <v>79</v>
      </c>
      <c r="K1297" s="210" t="s">
        <v>132</v>
      </c>
      <c r="L1297" s="210"/>
      <c r="M1297" s="209" t="s">
        <v>58</v>
      </c>
      <c r="N1297" s="209">
        <v>0</v>
      </c>
      <c r="O1297" s="209" t="s">
        <v>36</v>
      </c>
      <c r="P1297" s="211" t="s">
        <v>3154</v>
      </c>
      <c r="Q1297" s="209"/>
      <c r="R1297" s="209">
        <v>14</v>
      </c>
      <c r="S1297" s="209"/>
      <c r="T1297" s="209" t="s">
        <v>238</v>
      </c>
      <c r="U1297" s="211" t="s">
        <v>3153</v>
      </c>
      <c r="V1297" s="209" t="s">
        <v>41</v>
      </c>
      <c r="W1297" s="209" t="s">
        <v>49</v>
      </c>
      <c r="X1297" s="13" t="str">
        <f>IF(RIGHT(H1297,2)&lt;&gt;"00",H1297,"")</f>
        <v>1052.91</v>
      </c>
      <c r="Y1297" s="26">
        <f ca="1">NETWORKDAYS(P1297,$Y$1)</f>
        <v>13</v>
      </c>
      <c r="Z1297" s="34">
        <v>1</v>
      </c>
      <c r="AA1297" s="25" t="str">
        <f t="shared" ca="1" si="107"/>
        <v>A VENCER</v>
      </c>
      <c r="AB1297" s="25" t="str">
        <f t="shared" si="112"/>
        <v>TAAe+</v>
      </c>
      <c r="AC1297" s="2" t="str">
        <f t="shared" si="111"/>
        <v xml:space="preserve"> ROSEMERE </v>
      </c>
      <c r="AD1297" s="26">
        <f t="shared" si="113"/>
        <v>8</v>
      </c>
      <c r="AE1297" s="26">
        <f t="shared" ca="1" si="108"/>
        <v>15.94696608796221</v>
      </c>
    </row>
    <row r="1298" spans="1:31" hidden="1">
      <c r="A1298" s="209">
        <v>9477977</v>
      </c>
      <c r="B1298" s="209" t="s">
        <v>1970</v>
      </c>
      <c r="C1298" s="210" t="s">
        <v>1971</v>
      </c>
      <c r="D1298" s="214">
        <v>20230870000025</v>
      </c>
      <c r="E1298" s="214">
        <v>7417163283610</v>
      </c>
      <c r="F1298" s="209" t="s">
        <v>131</v>
      </c>
      <c r="G1298" s="209" t="s">
        <v>53</v>
      </c>
      <c r="H1298" s="209" t="s">
        <v>519</v>
      </c>
      <c r="I1298" s="209" t="s">
        <v>520</v>
      </c>
      <c r="J1298" s="209" t="s">
        <v>90</v>
      </c>
      <c r="K1298" s="210" t="s">
        <v>132</v>
      </c>
      <c r="L1298" s="210"/>
      <c r="M1298" s="209" t="s">
        <v>58</v>
      </c>
      <c r="N1298" s="209">
        <v>0</v>
      </c>
      <c r="O1298" s="209" t="s">
        <v>105</v>
      </c>
      <c r="P1298" s="211" t="s">
        <v>3155</v>
      </c>
      <c r="Q1298" s="209"/>
      <c r="R1298" s="209">
        <v>14</v>
      </c>
      <c r="S1298" s="209"/>
      <c r="T1298" s="209" t="s">
        <v>238</v>
      </c>
      <c r="U1298" s="211" t="s">
        <v>3156</v>
      </c>
      <c r="V1298" s="209" t="s">
        <v>41</v>
      </c>
      <c r="W1298" s="209" t="s">
        <v>49</v>
      </c>
      <c r="X1298" s="13" t="str">
        <f>IF(RIGHT(H1298,2)&lt;&gt;"00",H1298,"")</f>
        <v>0870.91</v>
      </c>
      <c r="Y1298" s="26">
        <f ca="1">NETWORKDAYS(P1298,$Y$1)</f>
        <v>13</v>
      </c>
      <c r="Z1298" s="34">
        <v>1</v>
      </c>
      <c r="AA1298" s="25" t="str">
        <f t="shared" ca="1" si="107"/>
        <v>A VENCER</v>
      </c>
      <c r="AB1298" s="25" t="str">
        <f t="shared" si="112"/>
        <v>TAAe+</v>
      </c>
      <c r="AC1298" s="2" t="str">
        <f t="shared" si="111"/>
        <v xml:space="preserve"> RINALDO </v>
      </c>
      <c r="AD1298" s="26">
        <f t="shared" si="113"/>
        <v>8</v>
      </c>
      <c r="AE1298" s="26">
        <f t="shared" ca="1" si="108"/>
        <v>15.94876006944105</v>
      </c>
    </row>
    <row r="1299" spans="1:31" hidden="1">
      <c r="A1299" s="209">
        <v>9477885</v>
      </c>
      <c r="B1299" s="209" t="s">
        <v>1970</v>
      </c>
      <c r="C1299" s="210" t="s">
        <v>1971</v>
      </c>
      <c r="D1299" s="214">
        <v>20231059000016</v>
      </c>
      <c r="E1299" s="214">
        <v>7417161482599</v>
      </c>
      <c r="F1299" s="209" t="s">
        <v>1217</v>
      </c>
      <c r="G1299" s="209" t="s">
        <v>53</v>
      </c>
      <c r="H1299" s="209" t="s">
        <v>1972</v>
      </c>
      <c r="I1299" s="209" t="s">
        <v>1973</v>
      </c>
      <c r="J1299" s="209" t="s">
        <v>90</v>
      </c>
      <c r="K1299" s="210" t="s">
        <v>1218</v>
      </c>
      <c r="L1299" s="210"/>
      <c r="M1299" s="209" t="s">
        <v>58</v>
      </c>
      <c r="N1299" s="209">
        <v>0</v>
      </c>
      <c r="O1299" s="209" t="s">
        <v>36</v>
      </c>
      <c r="P1299" s="211" t="s">
        <v>2826</v>
      </c>
      <c r="Q1299" s="209"/>
      <c r="R1299" s="209">
        <v>14</v>
      </c>
      <c r="S1299" s="209"/>
      <c r="T1299" s="209" t="s">
        <v>238</v>
      </c>
      <c r="U1299" s="211" t="s">
        <v>2827</v>
      </c>
      <c r="V1299" s="209" t="s">
        <v>41</v>
      </c>
      <c r="W1299" s="209" t="s">
        <v>49</v>
      </c>
      <c r="X1299" s="13" t="str">
        <f>IF(RIGHT(H1299,2)&lt;&gt;"00",H1299,"")</f>
        <v>1059.91</v>
      </c>
      <c r="Y1299" s="26">
        <f ca="1">NETWORKDAYS(P1299,$Y$1)</f>
        <v>13</v>
      </c>
      <c r="Z1299" s="34">
        <v>1</v>
      </c>
      <c r="AA1299" s="25" t="str">
        <f t="shared" ca="1" si="107"/>
        <v>A VENCER</v>
      </c>
      <c r="AB1299" s="25" t="str">
        <f t="shared" si="112"/>
        <v>TAAe+</v>
      </c>
      <c r="AC1299" s="2" t="str">
        <f t="shared" si="111"/>
        <v xml:space="preserve"> RINALDO </v>
      </c>
      <c r="AD1299" s="26">
        <f t="shared" si="113"/>
        <v>8</v>
      </c>
      <c r="AE1299" s="26">
        <f t="shared" ca="1" si="108"/>
        <v>15.958123495373002</v>
      </c>
    </row>
    <row r="1300" spans="1:31" hidden="1">
      <c r="A1300" s="209">
        <v>9477533</v>
      </c>
      <c r="B1300" s="209" t="s">
        <v>62</v>
      </c>
      <c r="C1300" s="210" t="s">
        <v>2845</v>
      </c>
      <c r="D1300" s="214"/>
      <c r="E1300" s="214">
        <v>7417183022889</v>
      </c>
      <c r="F1300" s="209" t="s">
        <v>1313</v>
      </c>
      <c r="G1300" s="209" t="s">
        <v>53</v>
      </c>
      <c r="H1300" s="209" t="s">
        <v>2846</v>
      </c>
      <c r="I1300" s="209" t="s">
        <v>2847</v>
      </c>
      <c r="J1300" s="209" t="s">
        <v>110</v>
      </c>
      <c r="K1300" s="210" t="s">
        <v>1316</v>
      </c>
      <c r="L1300" s="210"/>
      <c r="M1300" s="209" t="s">
        <v>58</v>
      </c>
      <c r="N1300" s="209">
        <v>0</v>
      </c>
      <c r="O1300" s="209" t="s">
        <v>105</v>
      </c>
      <c r="P1300" s="211" t="s">
        <v>3159</v>
      </c>
      <c r="Q1300" s="209"/>
      <c r="R1300" s="209">
        <v>14</v>
      </c>
      <c r="S1300" s="209"/>
      <c r="T1300" s="209" t="s">
        <v>238</v>
      </c>
      <c r="U1300" s="211" t="s">
        <v>3160</v>
      </c>
      <c r="V1300" s="209" t="s">
        <v>41</v>
      </c>
      <c r="W1300" s="209" t="s">
        <v>49</v>
      </c>
      <c r="X1300" s="13" t="str">
        <f>IF(RIGHT(H1300,2)&lt;&gt;"00",H1300,"")</f>
        <v>1363.91</v>
      </c>
      <c r="Y1300" s="26">
        <f ca="1">NETWORKDAYS(P1300,$Y$1)</f>
        <v>13</v>
      </c>
      <c r="Z1300" s="34">
        <v>1</v>
      </c>
      <c r="AA1300" s="25" t="str">
        <f t="shared" ca="1" si="107"/>
        <v>A VENCER</v>
      </c>
      <c r="AB1300" s="25" t="str">
        <f t="shared" si="112"/>
        <v>TAAe+</v>
      </c>
      <c r="AC1300" s="2" t="str">
        <f t="shared" si="111"/>
        <v xml:space="preserve"> CRISTINA </v>
      </c>
      <c r="AD1300" s="26">
        <f t="shared" si="113"/>
        <v>8</v>
      </c>
      <c r="AE1300" s="26">
        <f t="shared" ca="1" si="108"/>
        <v>15.990901273151394</v>
      </c>
    </row>
    <row r="1301" spans="1:31">
      <c r="A1301" s="221">
        <v>9477367</v>
      </c>
      <c r="B1301" s="221" t="s">
        <v>1153</v>
      </c>
      <c r="C1301" s="178" t="s">
        <v>3501</v>
      </c>
      <c r="D1301" s="222"/>
      <c r="E1301" s="222">
        <v>246000206021</v>
      </c>
      <c r="F1301" s="221" t="s">
        <v>103</v>
      </c>
      <c r="G1301" s="221" t="s">
        <v>53</v>
      </c>
      <c r="H1301" s="221" t="s">
        <v>1193</v>
      </c>
      <c r="I1301" s="221" t="s">
        <v>1194</v>
      </c>
      <c r="J1301" s="221" t="s">
        <v>85</v>
      </c>
      <c r="K1301" s="210" t="s">
        <v>104</v>
      </c>
      <c r="L1301" s="210"/>
      <c r="M1301" s="209" t="s">
        <v>58</v>
      </c>
      <c r="N1301" s="209">
        <v>0</v>
      </c>
      <c r="O1301" s="209" t="s">
        <v>36</v>
      </c>
      <c r="P1301" s="211" t="s">
        <v>3162</v>
      </c>
      <c r="Q1301" s="209"/>
      <c r="R1301" s="209" t="s">
        <v>38</v>
      </c>
      <c r="S1301" s="209"/>
      <c r="T1301" s="209" t="s">
        <v>74</v>
      </c>
      <c r="U1301" s="211" t="s">
        <v>4621</v>
      </c>
      <c r="V1301" s="209" t="s">
        <v>41</v>
      </c>
      <c r="W1301" s="209" t="s">
        <v>49</v>
      </c>
      <c r="X1301" s="13" t="str">
        <f>IF(RIGHT(H1301,2)&lt;&gt;"00",H1301,"")</f>
        <v/>
      </c>
      <c r="Y1301" s="26">
        <f ca="1">NETWORKDAYS(P1301,$Y$1)</f>
        <v>13</v>
      </c>
      <c r="Z1301" s="34">
        <v>1</v>
      </c>
      <c r="AA1301" s="25" t="str">
        <f t="shared" ca="1" si="107"/>
        <v>A VENCER</v>
      </c>
      <c r="AB1301" s="25" t="str">
        <f>IF(G1301="GRPE-000001","C-14",IF(G1301="GRPE-000002","C-14",IF(G1301="GRPE-000003","C-14",IF(G1301="GRPE-000004","SL-On",IF(G1301="GRPE-000038","C-14",IF(G1301="GRPE-900022","Dosa",IF(G1301="GRPE-000029","Dosa",IF(G1301="ATOS-000222","Dose","TAAe+"))))))))</f>
        <v>TAAe+</v>
      </c>
      <c r="AC1301" s="2" t="str">
        <f t="shared" si="111"/>
        <v xml:space="preserve"> RINALDO </v>
      </c>
      <c r="AD1301" s="26">
        <f>IF(G1301="GRPE-000001",5,IF(G1301="GRPE-000002",5,IF(G1301="GRPE-000003",15,IF(G1301="GRPE-000004",1,IF(G1301="GRPE-000038",5,IF(G1301="GRPE-900022",5,IF(G1301="GRPE-000029",5,IF(G1301="ATOS-000222",5,8))))))))</f>
        <v>8</v>
      </c>
      <c r="AE1301" s="26">
        <f t="shared" ca="1" si="108"/>
        <v>16.014049421297386</v>
      </c>
    </row>
    <row r="1302" spans="1:31" hidden="1">
      <c r="A1302" s="209">
        <v>9476939</v>
      </c>
      <c r="B1302" s="209" t="s">
        <v>1153</v>
      </c>
      <c r="C1302" s="210" t="s">
        <v>2862</v>
      </c>
      <c r="D1302" s="214">
        <v>230028336</v>
      </c>
      <c r="E1302" s="214">
        <v>1128001400020</v>
      </c>
      <c r="F1302" s="209" t="s">
        <v>1961</v>
      </c>
      <c r="G1302" s="209" t="s">
        <v>53</v>
      </c>
      <c r="H1302" s="209" t="s">
        <v>1191</v>
      </c>
      <c r="I1302" s="209" t="s">
        <v>1192</v>
      </c>
      <c r="J1302" s="209" t="s">
        <v>33</v>
      </c>
      <c r="K1302" s="210" t="s">
        <v>1962</v>
      </c>
      <c r="L1302" s="210"/>
      <c r="M1302" s="209" t="s">
        <v>58</v>
      </c>
      <c r="N1302" s="209">
        <v>0</v>
      </c>
      <c r="O1302" s="209" t="s">
        <v>36</v>
      </c>
      <c r="P1302" s="211" t="s">
        <v>3167</v>
      </c>
      <c r="Q1302" s="209"/>
      <c r="R1302" s="209">
        <v>4</v>
      </c>
      <c r="S1302" s="209"/>
      <c r="T1302" s="209" t="s">
        <v>646</v>
      </c>
      <c r="U1302" s="211" t="s">
        <v>4154</v>
      </c>
      <c r="V1302" s="209" t="s">
        <v>41</v>
      </c>
      <c r="W1302" s="209" t="s">
        <v>49</v>
      </c>
      <c r="X1302" s="13" t="str">
        <f>IF(RIGHT(H1302,2)&lt;&gt;"00",H1302,"")</f>
        <v/>
      </c>
      <c r="Y1302" s="26">
        <f ca="1">NETWORKDAYS(P1302,$Y$1)</f>
        <v>13</v>
      </c>
      <c r="Z1302" s="34">
        <v>1</v>
      </c>
      <c r="AA1302" s="25" t="str">
        <f t="shared" ca="1" si="107"/>
        <v>A VENCER</v>
      </c>
      <c r="AB1302" s="25" t="str">
        <f t="shared" ref="AB1302:AB1333" si="114">IF(F1302="GRPE-000001","C-14",IF(F1302="GRPE-000002","C-14",IF(F1302="GRPE-000003","C-14",IF(F1302="GRPE-000004","SL-On",IF(F1302="GRPE-000038","C-14",IF(F1302="GRPE-900022","Dosa",IF(F1302="GRPE-000029","Dosa",IF(F1302="ATOS-000222","Dose","TAAe+"))))))))</f>
        <v>C-14</v>
      </c>
      <c r="AC1302" s="2" t="str">
        <f t="shared" si="111"/>
        <v xml:space="preserve"> ROSEMERE </v>
      </c>
      <c r="AD1302" s="26">
        <f t="shared" ref="AD1302:AD1333" si="115">IF(F1302="GRPE-000001",5,IF(F1302="GRPE-000002",5,IF(F1302="GRPE-000003",15,IF(F1302="GRPE-000004",1,IF(F1302="GRPE-000038",5,IF(F1302="GRPE-900022",5,IF(F1302="GRPE-000029",5,IF(F1302="ATOS-000222",5,8))))))))</f>
        <v>5</v>
      </c>
      <c r="AE1302" s="26">
        <f t="shared" ca="1" si="108"/>
        <v>16.07696608795959</v>
      </c>
    </row>
    <row r="1303" spans="1:31" hidden="1">
      <c r="A1303" s="209">
        <v>9476515</v>
      </c>
      <c r="B1303" s="209" t="s">
        <v>1153</v>
      </c>
      <c r="C1303" s="210" t="e" cm="1">
        <f t="array" aca="1" ref="C1303" ca="1">-SKIMMING DETECTADON</f>
        <v>#NAME?</v>
      </c>
      <c r="D1303" s="214">
        <v>20231421000011</v>
      </c>
      <c r="E1303" s="214">
        <v>7417202021230</v>
      </c>
      <c r="F1303" s="209" t="s">
        <v>1213</v>
      </c>
      <c r="G1303" s="209" t="s">
        <v>53</v>
      </c>
      <c r="H1303" s="209" t="s">
        <v>2854</v>
      </c>
      <c r="I1303" s="209" t="s">
        <v>2855</v>
      </c>
      <c r="J1303" s="209" t="s">
        <v>79</v>
      </c>
      <c r="K1303" s="210" t="s">
        <v>1214</v>
      </c>
      <c r="L1303" s="210"/>
      <c r="M1303" s="209" t="s">
        <v>58</v>
      </c>
      <c r="N1303" s="209">
        <v>0</v>
      </c>
      <c r="O1303" s="209" t="s">
        <v>36</v>
      </c>
      <c r="P1303" s="211" t="s">
        <v>3176</v>
      </c>
      <c r="Q1303" s="209"/>
      <c r="R1303" s="209">
        <v>14</v>
      </c>
      <c r="S1303" s="209"/>
      <c r="T1303" s="209" t="s">
        <v>238</v>
      </c>
      <c r="U1303" s="211" t="s">
        <v>3176</v>
      </c>
      <c r="V1303" s="209" t="s">
        <v>41</v>
      </c>
      <c r="W1303" s="209" t="s">
        <v>49</v>
      </c>
      <c r="X1303" s="13" t="str">
        <f>IF(RIGHT(H1303,2)&lt;&gt;"00",H1303,"")</f>
        <v>1421.91</v>
      </c>
      <c r="Y1303" s="26">
        <f ca="1">NETWORKDAYS(P1303,$Y$1)</f>
        <v>13</v>
      </c>
      <c r="Z1303" s="34">
        <v>1</v>
      </c>
      <c r="AA1303" s="25" t="str">
        <f t="shared" ca="1" si="107"/>
        <v>A VENCER</v>
      </c>
      <c r="AB1303" s="25" t="str">
        <f t="shared" si="114"/>
        <v>TAAe+</v>
      </c>
      <c r="AC1303" s="2" t="str">
        <f t="shared" si="111"/>
        <v xml:space="preserve"> ROSEMERE </v>
      </c>
      <c r="AD1303" s="26">
        <f t="shared" si="115"/>
        <v>8</v>
      </c>
      <c r="AE1303" s="26">
        <f t="shared" ca="1" si="108"/>
        <v>16.153019328703522</v>
      </c>
    </row>
    <row r="1304" spans="1:31" hidden="1">
      <c r="A1304" s="209">
        <v>9476194</v>
      </c>
      <c r="B1304" s="209" t="s">
        <v>1153</v>
      </c>
      <c r="C1304" s="210" t="s">
        <v>2890</v>
      </c>
      <c r="D1304" s="214">
        <v>20231739000003</v>
      </c>
      <c r="E1304" s="214">
        <v>7417210950311</v>
      </c>
      <c r="F1304" s="209" t="s">
        <v>1213</v>
      </c>
      <c r="G1304" s="209" t="s">
        <v>53</v>
      </c>
      <c r="H1304" s="209" t="s">
        <v>2891</v>
      </c>
      <c r="I1304" s="209" t="s">
        <v>2892</v>
      </c>
      <c r="J1304" s="209" t="s">
        <v>164</v>
      </c>
      <c r="K1304" s="210" t="s">
        <v>1214</v>
      </c>
      <c r="L1304" s="210"/>
      <c r="M1304" s="209" t="s">
        <v>58</v>
      </c>
      <c r="N1304" s="209">
        <v>0</v>
      </c>
      <c r="O1304" s="209" t="s">
        <v>36</v>
      </c>
      <c r="P1304" s="211" t="s">
        <v>3184</v>
      </c>
      <c r="Q1304" s="209"/>
      <c r="R1304" s="209">
        <v>14</v>
      </c>
      <c r="S1304" s="209"/>
      <c r="T1304" s="209" t="s">
        <v>238</v>
      </c>
      <c r="U1304" s="211" t="s">
        <v>3184</v>
      </c>
      <c r="V1304" s="209" t="s">
        <v>41</v>
      </c>
      <c r="W1304" s="209" t="s">
        <v>49</v>
      </c>
      <c r="X1304" s="13" t="str">
        <f>IF(RIGHT(H1304,2)&lt;&gt;"00",H1304,"")</f>
        <v>1739.91</v>
      </c>
      <c r="Y1304" s="26">
        <f ca="1">NETWORKDAYS(P1304,$Y$1)</f>
        <v>13</v>
      </c>
      <c r="Z1304" s="34">
        <v>1</v>
      </c>
      <c r="AA1304" s="25" t="str">
        <f t="shared" ref="AA1304:AA1335" ca="1" si="116">IF(AE1304=0,"HOJE",IF(AE1304&gt;0,"A VENCER",IF(AE1304&lt;0,"VENCIDO")))</f>
        <v>A VENCER</v>
      </c>
      <c r="AB1304" s="25" t="str">
        <f t="shared" si="114"/>
        <v>TAAe+</v>
      </c>
      <c r="AC1304" s="2" t="str">
        <f t="shared" si="111"/>
        <v xml:space="preserve"> ROSEMERE </v>
      </c>
      <c r="AD1304" s="26">
        <f t="shared" si="115"/>
        <v>8</v>
      </c>
      <c r="AE1304" s="26">
        <f t="shared" ref="AE1304:AE1335" ca="1" si="117">IF(P1304=$AE$1,"",$AE$1-P1304)</f>
        <v>16.193922106482205</v>
      </c>
    </row>
    <row r="1305" spans="1:31" hidden="1">
      <c r="A1305" s="209">
        <v>9475757</v>
      </c>
      <c r="B1305" s="209" t="s">
        <v>1153</v>
      </c>
      <c r="C1305" s="210" t="s">
        <v>2903</v>
      </c>
      <c r="D1305" s="214">
        <v>230028057</v>
      </c>
      <c r="E1305" s="214">
        <v>2437001400010</v>
      </c>
      <c r="F1305" s="209" t="s">
        <v>936</v>
      </c>
      <c r="G1305" s="209" t="s">
        <v>53</v>
      </c>
      <c r="H1305" s="209" t="s">
        <v>416</v>
      </c>
      <c r="I1305" s="209" t="s">
        <v>417</v>
      </c>
      <c r="J1305" s="209" t="s">
        <v>211</v>
      </c>
      <c r="K1305" s="210" t="s">
        <v>937</v>
      </c>
      <c r="L1305" s="210"/>
      <c r="M1305" s="209" t="s">
        <v>58</v>
      </c>
      <c r="N1305" s="209">
        <v>0</v>
      </c>
      <c r="O1305" s="209" t="s">
        <v>36</v>
      </c>
      <c r="P1305" s="211" t="s">
        <v>2904</v>
      </c>
      <c r="Q1305" s="209"/>
      <c r="R1305" s="209">
        <v>3</v>
      </c>
      <c r="S1305" s="209"/>
      <c r="T1305" s="209" t="s">
        <v>646</v>
      </c>
      <c r="U1305" s="211" t="s">
        <v>4138</v>
      </c>
      <c r="V1305" s="209" t="s">
        <v>41</v>
      </c>
      <c r="W1305" s="209" t="s">
        <v>49</v>
      </c>
      <c r="X1305" s="13" t="str">
        <f>IF(RIGHT(H1305,2)&lt;&gt;"00",H1305,"")</f>
        <v/>
      </c>
      <c r="Y1305" s="26">
        <f ca="1">NETWORKDAYS(P1305,$Y$1)</f>
        <v>13</v>
      </c>
      <c r="Z1305" s="34">
        <v>1</v>
      </c>
      <c r="AA1305" s="25" t="str">
        <f t="shared" ca="1" si="116"/>
        <v>A VENCER</v>
      </c>
      <c r="AB1305" s="25" t="str">
        <f t="shared" si="114"/>
        <v>C-14</v>
      </c>
      <c r="AC1305" s="2" t="str">
        <f t="shared" si="111"/>
        <v xml:space="preserve"> RINALDO </v>
      </c>
      <c r="AD1305" s="26">
        <f t="shared" si="115"/>
        <v>5</v>
      </c>
      <c r="AE1305" s="26">
        <f t="shared" ca="1" si="117"/>
        <v>16.230646643518412</v>
      </c>
    </row>
    <row r="1306" spans="1:31" hidden="1">
      <c r="A1306" s="209">
        <v>9475024</v>
      </c>
      <c r="B1306" s="209" t="s">
        <v>1153</v>
      </c>
      <c r="C1306" s="210" t="s">
        <v>3193</v>
      </c>
      <c r="D1306" s="214">
        <v>230027889</v>
      </c>
      <c r="E1306" s="214">
        <v>1108001400030</v>
      </c>
      <c r="F1306" s="209" t="s">
        <v>647</v>
      </c>
      <c r="G1306" s="209" t="s">
        <v>53</v>
      </c>
      <c r="H1306" s="209" t="s">
        <v>295</v>
      </c>
      <c r="I1306" s="209" t="s">
        <v>296</v>
      </c>
      <c r="J1306" s="209" t="s">
        <v>90</v>
      </c>
      <c r="K1306" s="210" t="s">
        <v>650</v>
      </c>
      <c r="L1306" s="210"/>
      <c r="M1306" s="209" t="s">
        <v>58</v>
      </c>
      <c r="N1306" s="209">
        <v>0</v>
      </c>
      <c r="O1306" s="209" t="s">
        <v>36</v>
      </c>
      <c r="P1306" s="211" t="s">
        <v>3194</v>
      </c>
      <c r="Q1306" s="209"/>
      <c r="R1306" s="209">
        <v>4</v>
      </c>
      <c r="S1306" s="209"/>
      <c r="T1306" s="209" t="s">
        <v>646</v>
      </c>
      <c r="U1306" s="211" t="s">
        <v>1959</v>
      </c>
      <c r="V1306" s="209" t="s">
        <v>41</v>
      </c>
      <c r="W1306" s="209" t="s">
        <v>49</v>
      </c>
      <c r="X1306" s="13" t="str">
        <f>IF(RIGHT(H1306,2)&lt;&gt;"00",H1306,"")</f>
        <v/>
      </c>
      <c r="Y1306" s="26">
        <f ca="1">NETWORKDAYS(P1306,$Y$1)</f>
        <v>13</v>
      </c>
      <c r="Z1306" s="34">
        <v>1</v>
      </c>
      <c r="AA1306" s="25" t="str">
        <f t="shared" ca="1" si="116"/>
        <v>A VENCER</v>
      </c>
      <c r="AB1306" s="25" t="str">
        <f t="shared" si="114"/>
        <v>C-14</v>
      </c>
      <c r="AC1306" s="2" t="str">
        <f t="shared" si="111"/>
        <v xml:space="preserve"> RINALDO </v>
      </c>
      <c r="AD1306" s="26">
        <f t="shared" si="115"/>
        <v>15</v>
      </c>
      <c r="AE1306" s="26">
        <f t="shared" ca="1" si="117"/>
        <v>16.291306365739729</v>
      </c>
    </row>
    <row r="1307" spans="1:31" hidden="1">
      <c r="A1307" s="209">
        <v>9471628</v>
      </c>
      <c r="B1307" s="209" t="s">
        <v>1153</v>
      </c>
      <c r="C1307" s="210" t="s">
        <v>2960</v>
      </c>
      <c r="D1307" s="214"/>
      <c r="E1307" s="214">
        <v>5742000206001</v>
      </c>
      <c r="F1307" s="209" t="s">
        <v>29</v>
      </c>
      <c r="G1307" s="209" t="s">
        <v>53</v>
      </c>
      <c r="H1307" s="209" t="s">
        <v>430</v>
      </c>
      <c r="I1307" s="209" t="s">
        <v>431</v>
      </c>
      <c r="J1307" s="209" t="s">
        <v>79</v>
      </c>
      <c r="K1307" s="210" t="s">
        <v>34</v>
      </c>
      <c r="L1307" s="210"/>
      <c r="M1307" s="209" t="s">
        <v>35</v>
      </c>
      <c r="N1307" s="209">
        <v>42318949</v>
      </c>
      <c r="O1307" s="209" t="s">
        <v>36</v>
      </c>
      <c r="P1307" s="211" t="s">
        <v>3201</v>
      </c>
      <c r="Q1307" s="209"/>
      <c r="R1307" s="209" t="s">
        <v>38</v>
      </c>
      <c r="S1307" s="209"/>
      <c r="T1307" s="209" t="s">
        <v>74</v>
      </c>
      <c r="U1307" s="211" t="s">
        <v>4622</v>
      </c>
      <c r="V1307" s="209" t="s">
        <v>41</v>
      </c>
      <c r="W1307" s="209" t="s">
        <v>49</v>
      </c>
      <c r="X1307" s="13" t="str">
        <f>IF(RIGHT(H1307,2)&lt;&gt;"00",H1307,"")</f>
        <v/>
      </c>
      <c r="Y1307" s="26">
        <f ca="1">NETWORKDAYS(P1307,$Y$1)</f>
        <v>13</v>
      </c>
      <c r="Z1307" s="34">
        <v>1</v>
      </c>
      <c r="AA1307" s="25" t="str">
        <f t="shared" ca="1" si="116"/>
        <v>A VENCER</v>
      </c>
      <c r="AB1307" s="25" t="str">
        <f t="shared" si="114"/>
        <v>Dosa</v>
      </c>
      <c r="AC1307" s="2" t="str">
        <f t="shared" si="111"/>
        <v xml:space="preserve"> ROSEMERE </v>
      </c>
      <c r="AD1307" s="26">
        <f t="shared" si="115"/>
        <v>5</v>
      </c>
      <c r="AE1307" s="26">
        <f t="shared" ca="1" si="117"/>
        <v>17.206653587963956</v>
      </c>
    </row>
    <row r="1308" spans="1:31" hidden="1">
      <c r="A1308" s="209">
        <v>9471368</v>
      </c>
      <c r="B1308" s="209" t="s">
        <v>1153</v>
      </c>
      <c r="C1308" s="210" t="s">
        <v>2966</v>
      </c>
      <c r="D1308" s="214"/>
      <c r="E1308" s="214">
        <v>1011000203000</v>
      </c>
      <c r="F1308" s="209" t="s">
        <v>454</v>
      </c>
      <c r="G1308" s="209" t="s">
        <v>53</v>
      </c>
      <c r="H1308" s="209" t="s">
        <v>272</v>
      </c>
      <c r="I1308" s="209" t="s">
        <v>273</v>
      </c>
      <c r="J1308" s="209" t="s">
        <v>33</v>
      </c>
      <c r="K1308" s="210" t="s">
        <v>457</v>
      </c>
      <c r="L1308" s="210"/>
      <c r="M1308" s="209" t="s">
        <v>58</v>
      </c>
      <c r="N1308" s="209">
        <v>0</v>
      </c>
      <c r="O1308" s="209" t="s">
        <v>36</v>
      </c>
      <c r="P1308" s="211" t="s">
        <v>2972</v>
      </c>
      <c r="Q1308" s="209"/>
      <c r="R1308" s="209">
        <v>1</v>
      </c>
      <c r="S1308" s="209"/>
      <c r="T1308" s="209" t="s">
        <v>157</v>
      </c>
      <c r="U1308" s="211" t="s">
        <v>2973</v>
      </c>
      <c r="V1308" s="209" t="s">
        <v>41</v>
      </c>
      <c r="W1308" s="209" t="s">
        <v>49</v>
      </c>
      <c r="X1308" s="13" t="str">
        <f>IF(RIGHT(H1308,2)&lt;&gt;"00",H1308,"")</f>
        <v/>
      </c>
      <c r="Y1308" s="26">
        <f ca="1">NETWORKDAYS(P1308,$Y$1)</f>
        <v>13</v>
      </c>
      <c r="Z1308" s="34">
        <v>1</v>
      </c>
      <c r="AA1308" s="25" t="str">
        <f t="shared" ca="1" si="116"/>
        <v>A VENCER</v>
      </c>
      <c r="AB1308" s="25" t="str">
        <f t="shared" si="114"/>
        <v>C-14</v>
      </c>
      <c r="AC1308" s="2" t="str">
        <f t="shared" si="111"/>
        <v xml:space="preserve"> ROSEMERE </v>
      </c>
      <c r="AD1308" s="26">
        <f t="shared" si="115"/>
        <v>5</v>
      </c>
      <c r="AE1308" s="26">
        <f t="shared" ca="1" si="117"/>
        <v>17.259049421300006</v>
      </c>
    </row>
    <row r="1309" spans="1:31" hidden="1">
      <c r="A1309" s="209">
        <v>9483056</v>
      </c>
      <c r="B1309" s="209" t="s">
        <v>62</v>
      </c>
      <c r="C1309" s="210" t="s">
        <v>3211</v>
      </c>
      <c r="D1309" s="214"/>
      <c r="E1309" s="214">
        <v>68000203000</v>
      </c>
      <c r="F1309" s="209" t="s">
        <v>454</v>
      </c>
      <c r="G1309" s="209" t="s">
        <v>53</v>
      </c>
      <c r="H1309" s="209" t="s">
        <v>1330</v>
      </c>
      <c r="I1309" s="209" t="s">
        <v>1331</v>
      </c>
      <c r="J1309" s="209" t="s">
        <v>211</v>
      </c>
      <c r="K1309" s="210" t="s">
        <v>457</v>
      </c>
      <c r="L1309" s="210"/>
      <c r="M1309" s="209" t="s">
        <v>58</v>
      </c>
      <c r="N1309" s="209">
        <v>0</v>
      </c>
      <c r="O1309" s="209" t="s">
        <v>105</v>
      </c>
      <c r="P1309" s="211" t="s">
        <v>3212</v>
      </c>
      <c r="Q1309" s="209"/>
      <c r="R1309" s="209">
        <v>1</v>
      </c>
      <c r="S1309" s="209"/>
      <c r="T1309" s="209" t="s">
        <v>157</v>
      </c>
      <c r="U1309" s="211" t="s">
        <v>3631</v>
      </c>
      <c r="V1309" s="209" t="s">
        <v>41</v>
      </c>
      <c r="W1309" s="209" t="s">
        <v>49</v>
      </c>
      <c r="X1309" s="13" t="str">
        <f>IF(RIGHT(H1309,2)&lt;&gt;"00",H1309,"")</f>
        <v/>
      </c>
      <c r="Y1309" s="26">
        <f ca="1">NETWORKDAYS(P1309,$Y$1)</f>
        <v>12</v>
      </c>
      <c r="Z1309" s="34">
        <v>1</v>
      </c>
      <c r="AA1309" s="25" t="str">
        <f t="shared" ca="1" si="116"/>
        <v>A VENCER</v>
      </c>
      <c r="AB1309" s="25" t="str">
        <f t="shared" si="114"/>
        <v>C-14</v>
      </c>
      <c r="AC1309" s="2" t="str">
        <f t="shared" si="111"/>
        <v xml:space="preserve"> RINALDO </v>
      </c>
      <c r="AD1309" s="26">
        <f t="shared" si="115"/>
        <v>5</v>
      </c>
      <c r="AE1309" s="26">
        <f t="shared" ca="1" si="117"/>
        <v>14.943204513889214</v>
      </c>
    </row>
    <row r="1310" spans="1:31" hidden="1">
      <c r="A1310" s="209">
        <v>9482851</v>
      </c>
      <c r="B1310" s="209" t="s">
        <v>1153</v>
      </c>
      <c r="C1310" s="210" t="s">
        <v>3219</v>
      </c>
      <c r="D1310" s="214">
        <v>20234844000465</v>
      </c>
      <c r="E1310" s="214">
        <v>7419141893532</v>
      </c>
      <c r="F1310" s="209" t="s">
        <v>128</v>
      </c>
      <c r="G1310" s="209" t="s">
        <v>53</v>
      </c>
      <c r="H1310" s="209" t="s">
        <v>2395</v>
      </c>
      <c r="I1310" s="209" t="s">
        <v>2396</v>
      </c>
      <c r="J1310" s="209" t="s">
        <v>46</v>
      </c>
      <c r="K1310" s="210" t="s">
        <v>129</v>
      </c>
      <c r="L1310" s="210"/>
      <c r="M1310" s="209" t="s">
        <v>58</v>
      </c>
      <c r="N1310" s="209">
        <v>0</v>
      </c>
      <c r="O1310" s="209" t="s">
        <v>36</v>
      </c>
      <c r="P1310" s="211" t="s">
        <v>3220</v>
      </c>
      <c r="Q1310" s="209"/>
      <c r="R1310" s="209">
        <v>13</v>
      </c>
      <c r="S1310" s="209"/>
      <c r="T1310" s="209" t="s">
        <v>238</v>
      </c>
      <c r="U1310" s="211" t="s">
        <v>3220</v>
      </c>
      <c r="V1310" s="209" t="s">
        <v>41</v>
      </c>
      <c r="W1310" s="209" t="s">
        <v>49</v>
      </c>
      <c r="X1310" s="13" t="str">
        <f>IF(RIGHT(H1310,2)&lt;&gt;"00",H1310,"")</f>
        <v>4844.08</v>
      </c>
      <c r="Y1310" s="26">
        <f ca="1">NETWORKDAYS(P1310,$Y$1)</f>
        <v>12</v>
      </c>
      <c r="Z1310" s="34">
        <v>1</v>
      </c>
      <c r="AA1310" s="25" t="str">
        <f t="shared" ca="1" si="116"/>
        <v>A VENCER</v>
      </c>
      <c r="AB1310" s="25" t="str">
        <f t="shared" si="114"/>
        <v>TAAe+</v>
      </c>
      <c r="AC1310" s="2" t="str">
        <f t="shared" si="111"/>
        <v xml:space="preserve"> CLEITON </v>
      </c>
      <c r="AD1310" s="26">
        <f t="shared" si="115"/>
        <v>8</v>
      </c>
      <c r="AE1310" s="26">
        <f t="shared" ca="1" si="117"/>
        <v>14.989014699072868</v>
      </c>
    </row>
    <row r="1311" spans="1:31" hidden="1">
      <c r="A1311" s="209">
        <v>9482660</v>
      </c>
      <c r="B1311" s="209" t="s">
        <v>1153</v>
      </c>
      <c r="C1311" s="210" t="s">
        <v>3225</v>
      </c>
      <c r="D1311" s="214">
        <v>20232219000013</v>
      </c>
      <c r="E1311" s="214">
        <v>7417202020217</v>
      </c>
      <c r="F1311" s="209" t="s">
        <v>1213</v>
      </c>
      <c r="G1311" s="209" t="s">
        <v>53</v>
      </c>
      <c r="H1311" s="209" t="s">
        <v>1980</v>
      </c>
      <c r="I1311" s="209" t="s">
        <v>1981</v>
      </c>
      <c r="J1311" s="209" t="s">
        <v>141</v>
      </c>
      <c r="K1311" s="210" t="s">
        <v>1214</v>
      </c>
      <c r="L1311" s="210"/>
      <c r="M1311" s="209" t="s">
        <v>58</v>
      </c>
      <c r="N1311" s="209">
        <v>0</v>
      </c>
      <c r="O1311" s="209" t="s">
        <v>36</v>
      </c>
      <c r="P1311" s="211" t="s">
        <v>3226</v>
      </c>
      <c r="Q1311" s="209"/>
      <c r="R1311" s="209">
        <v>14</v>
      </c>
      <c r="S1311" s="209"/>
      <c r="T1311" s="209" t="s">
        <v>238</v>
      </c>
      <c r="U1311" s="211" t="s">
        <v>3226</v>
      </c>
      <c r="V1311" s="209" t="s">
        <v>41</v>
      </c>
      <c r="W1311" s="209" t="s">
        <v>49</v>
      </c>
      <c r="X1311" s="13" t="str">
        <f>IF(RIGHT(H1311,2)&lt;&gt;"00",H1311,"")</f>
        <v>2219.91</v>
      </c>
      <c r="Y1311" s="26">
        <f ca="1">NETWORKDAYS(P1311,$Y$1)</f>
        <v>12</v>
      </c>
      <c r="Z1311" s="34">
        <v>1</v>
      </c>
      <c r="AA1311" s="25" t="str">
        <f t="shared" ca="1" si="116"/>
        <v>A VENCER</v>
      </c>
      <c r="AB1311" s="25" t="str">
        <f t="shared" si="114"/>
        <v>TAAe+</v>
      </c>
      <c r="AC1311" s="2" t="str">
        <f t="shared" si="111"/>
        <v xml:space="preserve"> CRISTINA </v>
      </c>
      <c r="AD1311" s="26">
        <f t="shared" si="115"/>
        <v>8</v>
      </c>
      <c r="AE1311" s="26">
        <f t="shared" ca="1" si="117"/>
        <v>15.019778587964538</v>
      </c>
    </row>
    <row r="1312" spans="1:31" hidden="1">
      <c r="A1312" s="209">
        <v>9482633</v>
      </c>
      <c r="B1312" s="209" t="s">
        <v>1153</v>
      </c>
      <c r="C1312" s="210" t="s">
        <v>3233</v>
      </c>
      <c r="D1312" s="214">
        <v>20231850000009</v>
      </c>
      <c r="E1312" s="214">
        <v>7417193050600</v>
      </c>
      <c r="F1312" s="209" t="s">
        <v>1719</v>
      </c>
      <c r="G1312" s="209" t="s">
        <v>30</v>
      </c>
      <c r="H1312" s="209" t="s">
        <v>1931</v>
      </c>
      <c r="I1312" s="209" t="s">
        <v>1932</v>
      </c>
      <c r="J1312" s="209" t="s">
        <v>46</v>
      </c>
      <c r="K1312" s="210" t="s">
        <v>1720</v>
      </c>
      <c r="L1312" s="210"/>
      <c r="M1312" s="209" t="s">
        <v>58</v>
      </c>
      <c r="N1312" s="209">
        <v>0</v>
      </c>
      <c r="O1312" s="209" t="s">
        <v>36</v>
      </c>
      <c r="P1312" s="211" t="s">
        <v>3234</v>
      </c>
      <c r="Q1312" s="209"/>
      <c r="R1312" s="209">
        <v>22</v>
      </c>
      <c r="S1312" s="209"/>
      <c r="T1312" s="209" t="s">
        <v>1160</v>
      </c>
      <c r="U1312" s="211" t="s">
        <v>3652</v>
      </c>
      <c r="V1312" s="209" t="s">
        <v>41</v>
      </c>
      <c r="W1312" s="209" t="s">
        <v>49</v>
      </c>
      <c r="X1312" s="13" t="str">
        <f>IF(RIGHT(H1312,2)&lt;&gt;"00",H1312,"")</f>
        <v/>
      </c>
      <c r="Y1312" s="26">
        <f ca="1">NETWORKDAYS(P1312,$Y$1)</f>
        <v>12</v>
      </c>
      <c r="Z1312" s="34">
        <v>1</v>
      </c>
      <c r="AA1312" s="25" t="str">
        <f t="shared" ca="1" si="116"/>
        <v>A VENCER</v>
      </c>
      <c r="AB1312" s="25" t="str">
        <f t="shared" si="114"/>
        <v>TAAe+</v>
      </c>
      <c r="AC1312" s="2" t="str">
        <f t="shared" si="111"/>
        <v xml:space="preserve"> CLEITON </v>
      </c>
      <c r="AD1312" s="26">
        <f t="shared" si="115"/>
        <v>8</v>
      </c>
      <c r="AE1312" s="26">
        <f t="shared" ca="1" si="117"/>
        <v>15.016723032407754</v>
      </c>
    </row>
    <row r="1313" spans="1:31" hidden="1">
      <c r="A1313" s="209">
        <v>9482481</v>
      </c>
      <c r="B1313" s="209" t="s">
        <v>1153</v>
      </c>
      <c r="C1313" s="210" t="s">
        <v>3243</v>
      </c>
      <c r="D1313" s="214"/>
      <c r="E1313" s="214">
        <v>9704000206200</v>
      </c>
      <c r="F1313" s="209" t="s">
        <v>208</v>
      </c>
      <c r="G1313" s="209" t="s">
        <v>53</v>
      </c>
      <c r="H1313" s="209" t="s">
        <v>488</v>
      </c>
      <c r="I1313" s="209" t="s">
        <v>489</v>
      </c>
      <c r="J1313" s="209" t="s">
        <v>164</v>
      </c>
      <c r="K1313" s="210" t="s">
        <v>212</v>
      </c>
      <c r="L1313" s="210"/>
      <c r="M1313" s="209" t="s">
        <v>35</v>
      </c>
      <c r="N1313" s="209">
        <v>42318949</v>
      </c>
      <c r="O1313" s="209" t="s">
        <v>36</v>
      </c>
      <c r="P1313" s="211" t="s">
        <v>3244</v>
      </c>
      <c r="Q1313" s="209"/>
      <c r="R1313" s="209" t="s">
        <v>38</v>
      </c>
      <c r="S1313" s="209"/>
      <c r="T1313" s="209" t="s">
        <v>74</v>
      </c>
      <c r="U1313" s="211" t="s">
        <v>4149</v>
      </c>
      <c r="V1313" s="209" t="s">
        <v>41</v>
      </c>
      <c r="W1313" s="209" t="s">
        <v>49</v>
      </c>
      <c r="X1313" s="13" t="str">
        <f>IF(RIGHT(H1313,2)&lt;&gt;"00",H1313,"")</f>
        <v/>
      </c>
      <c r="Y1313" s="26">
        <f ca="1">NETWORKDAYS(P1313,$Y$1)</f>
        <v>12</v>
      </c>
      <c r="Z1313" s="34">
        <v>1</v>
      </c>
      <c r="AA1313" s="25" t="str">
        <f t="shared" ca="1" si="116"/>
        <v>A VENCER</v>
      </c>
      <c r="AB1313" s="25" t="str">
        <f t="shared" si="114"/>
        <v>TAAe+</v>
      </c>
      <c r="AC1313" s="2" t="str">
        <f t="shared" si="111"/>
        <v xml:space="preserve"> ROSEMERE </v>
      </c>
      <c r="AD1313" s="26">
        <f t="shared" si="115"/>
        <v>8</v>
      </c>
      <c r="AE1313" s="26">
        <f t="shared" ca="1" si="117"/>
        <v>15.029917476851551</v>
      </c>
    </row>
    <row r="1314" spans="1:31" hidden="1">
      <c r="A1314" s="209">
        <v>9482426</v>
      </c>
      <c r="B1314" s="209" t="s">
        <v>1153</v>
      </c>
      <c r="C1314" s="210" t="s">
        <v>3245</v>
      </c>
      <c r="D1314" s="214">
        <v>20231012000004</v>
      </c>
      <c r="E1314" s="214">
        <v>7417183020615</v>
      </c>
      <c r="F1314" s="209" t="s">
        <v>1313</v>
      </c>
      <c r="G1314" s="209" t="s">
        <v>53</v>
      </c>
      <c r="H1314" s="209" t="s">
        <v>2481</v>
      </c>
      <c r="I1314" s="209" t="s">
        <v>2482</v>
      </c>
      <c r="J1314" s="209" t="s">
        <v>164</v>
      </c>
      <c r="K1314" s="210" t="s">
        <v>1316</v>
      </c>
      <c r="L1314" s="210"/>
      <c r="M1314" s="209" t="s">
        <v>58</v>
      </c>
      <c r="N1314" s="209">
        <v>0</v>
      </c>
      <c r="O1314" s="209" t="s">
        <v>36</v>
      </c>
      <c r="P1314" s="211" t="s">
        <v>3246</v>
      </c>
      <c r="Q1314" s="209"/>
      <c r="R1314" s="209">
        <v>15</v>
      </c>
      <c r="S1314" s="209"/>
      <c r="T1314" s="209" t="s">
        <v>238</v>
      </c>
      <c r="U1314" s="211" t="s">
        <v>3246</v>
      </c>
      <c r="V1314" s="209" t="s">
        <v>41</v>
      </c>
      <c r="W1314" s="209" t="s">
        <v>49</v>
      </c>
      <c r="X1314" s="13" t="str">
        <f>IF(RIGHT(H1314,2)&lt;&gt;"00",H1314,"")</f>
        <v>1012.91</v>
      </c>
      <c r="Y1314" s="26">
        <f ca="1">NETWORKDAYS(P1314,$Y$1)</f>
        <v>12</v>
      </c>
      <c r="Z1314" s="34">
        <v>1</v>
      </c>
      <c r="AA1314" s="25" t="str">
        <f t="shared" ca="1" si="116"/>
        <v>A VENCER</v>
      </c>
      <c r="AB1314" s="25" t="str">
        <f t="shared" si="114"/>
        <v>TAAe+</v>
      </c>
      <c r="AC1314" s="2" t="str">
        <f t="shared" si="111"/>
        <v xml:space="preserve"> ROSEMERE </v>
      </c>
      <c r="AD1314" s="26">
        <f t="shared" si="115"/>
        <v>8</v>
      </c>
      <c r="AE1314" s="26">
        <f t="shared" ca="1" si="117"/>
        <v>15.050843402779719</v>
      </c>
    </row>
    <row r="1315" spans="1:31" hidden="1">
      <c r="A1315" s="209">
        <v>9482130</v>
      </c>
      <c r="B1315" s="209" t="s">
        <v>1153</v>
      </c>
      <c r="C1315" s="210" t="s">
        <v>3256</v>
      </c>
      <c r="D1315" s="214"/>
      <c r="E1315" s="214">
        <v>2855000206001</v>
      </c>
      <c r="F1315" s="209" t="s">
        <v>29</v>
      </c>
      <c r="G1315" s="209" t="s">
        <v>53</v>
      </c>
      <c r="H1315" s="209" t="s">
        <v>249</v>
      </c>
      <c r="I1315" s="209" t="s">
        <v>250</v>
      </c>
      <c r="J1315" s="209" t="s">
        <v>56</v>
      </c>
      <c r="K1315" s="210" t="s">
        <v>34</v>
      </c>
      <c r="L1315" s="210"/>
      <c r="M1315" s="209" t="s">
        <v>35</v>
      </c>
      <c r="N1315" s="209">
        <v>42318949</v>
      </c>
      <c r="O1315" s="209" t="s">
        <v>36</v>
      </c>
      <c r="P1315" s="211" t="s">
        <v>3257</v>
      </c>
      <c r="Q1315" s="209"/>
      <c r="R1315" s="209" t="s">
        <v>38</v>
      </c>
      <c r="S1315" s="209"/>
      <c r="T1315" s="209" t="s">
        <v>74</v>
      </c>
      <c r="U1315" s="211" t="s">
        <v>4458</v>
      </c>
      <c r="V1315" s="209" t="s">
        <v>41</v>
      </c>
      <c r="W1315" s="209" t="s">
        <v>49</v>
      </c>
      <c r="X1315" s="13" t="str">
        <f>IF(RIGHT(H1315,2)&lt;&gt;"00",H1315,"")</f>
        <v/>
      </c>
      <c r="Y1315" s="26">
        <f ca="1">NETWORKDAYS(P1315,$Y$1)</f>
        <v>12</v>
      </c>
      <c r="Z1315" s="34">
        <v>1</v>
      </c>
      <c r="AA1315" s="25" t="str">
        <f t="shared" ca="1" si="116"/>
        <v>A VENCER</v>
      </c>
      <c r="AB1315" s="25" t="str">
        <f t="shared" si="114"/>
        <v>Dosa</v>
      </c>
      <c r="AC1315" s="2" t="str">
        <f t="shared" si="111"/>
        <v xml:space="preserve"> CRISTINA </v>
      </c>
      <c r="AD1315" s="26">
        <f t="shared" si="115"/>
        <v>5</v>
      </c>
      <c r="AE1315" s="26">
        <f t="shared" ca="1" si="117"/>
        <v>15.082023958333593</v>
      </c>
    </row>
    <row r="1316" spans="1:31" hidden="1">
      <c r="A1316" s="209">
        <v>9481874</v>
      </c>
      <c r="B1316" s="209" t="s">
        <v>1153</v>
      </c>
      <c r="C1316" s="210" t="s">
        <v>2994</v>
      </c>
      <c r="D1316" s="214">
        <v>20231650000004</v>
      </c>
      <c r="E1316" s="214">
        <v>8558100222966</v>
      </c>
      <c r="F1316" s="209" t="s">
        <v>2995</v>
      </c>
      <c r="G1316" s="209" t="s">
        <v>53</v>
      </c>
      <c r="H1316" s="209" t="s">
        <v>620</v>
      </c>
      <c r="I1316" s="209" t="s">
        <v>621</v>
      </c>
      <c r="J1316" s="209" t="s">
        <v>141</v>
      </c>
      <c r="K1316" s="210" t="s">
        <v>2996</v>
      </c>
      <c r="L1316" s="210"/>
      <c r="M1316" s="209" t="s">
        <v>58</v>
      </c>
      <c r="N1316" s="209">
        <v>0</v>
      </c>
      <c r="O1316" s="209" t="s">
        <v>36</v>
      </c>
      <c r="P1316" s="211" t="s">
        <v>3263</v>
      </c>
      <c r="Q1316" s="209"/>
      <c r="R1316" s="209">
        <v>21</v>
      </c>
      <c r="S1316" s="209"/>
      <c r="T1316" s="209" t="s">
        <v>1160</v>
      </c>
      <c r="U1316" s="211" t="s">
        <v>3264</v>
      </c>
      <c r="V1316" s="209" t="s">
        <v>41</v>
      </c>
      <c r="W1316" s="209" t="s">
        <v>49</v>
      </c>
      <c r="X1316" s="13" t="str">
        <f>IF(RIGHT(H1316,2)&lt;&gt;"00",H1316,"")</f>
        <v/>
      </c>
      <c r="Y1316" s="26">
        <f ca="1">NETWORKDAYS(P1316,$Y$1)</f>
        <v>12</v>
      </c>
      <c r="Z1316" s="34">
        <v>1</v>
      </c>
      <c r="AA1316" s="25" t="str">
        <f t="shared" ca="1" si="116"/>
        <v>A VENCER</v>
      </c>
      <c r="AB1316" s="25" t="str">
        <f t="shared" si="114"/>
        <v>TAAe+</v>
      </c>
      <c r="AC1316" s="2" t="str">
        <f t="shared" si="111"/>
        <v xml:space="preserve"> CRISTINA </v>
      </c>
      <c r="AD1316" s="26">
        <f t="shared" si="115"/>
        <v>8</v>
      </c>
      <c r="AE1316" s="26">
        <f t="shared" ca="1" si="117"/>
        <v>15.144118865740893</v>
      </c>
    </row>
    <row r="1317" spans="1:31" hidden="1">
      <c r="A1317" s="209">
        <v>9481771</v>
      </c>
      <c r="B1317" s="209" t="s">
        <v>62</v>
      </c>
      <c r="C1317" s="210" t="s">
        <v>2999</v>
      </c>
      <c r="D1317" s="214"/>
      <c r="E1317" s="214">
        <v>3108010206001</v>
      </c>
      <c r="F1317" s="209" t="s">
        <v>29</v>
      </c>
      <c r="G1317" s="209" t="s">
        <v>53</v>
      </c>
      <c r="H1317" s="209" t="s">
        <v>503</v>
      </c>
      <c r="I1317" s="209" t="s">
        <v>504</v>
      </c>
      <c r="J1317" s="209" t="s">
        <v>46</v>
      </c>
      <c r="K1317" s="210" t="s">
        <v>34</v>
      </c>
      <c r="L1317" s="210"/>
      <c r="M1317" s="209" t="s">
        <v>35</v>
      </c>
      <c r="N1317" s="209">
        <v>42318949</v>
      </c>
      <c r="O1317" s="209" t="s">
        <v>105</v>
      </c>
      <c r="P1317" s="211" t="s">
        <v>3267</v>
      </c>
      <c r="Q1317" s="209"/>
      <c r="R1317" s="209" t="s">
        <v>38</v>
      </c>
      <c r="S1317" s="209"/>
      <c r="T1317" s="209" t="s">
        <v>74</v>
      </c>
      <c r="U1317" s="211" t="s">
        <v>3268</v>
      </c>
      <c r="V1317" s="209" t="s">
        <v>41</v>
      </c>
      <c r="W1317" s="209" t="s">
        <v>49</v>
      </c>
      <c r="X1317" s="13" t="str">
        <f>IF(RIGHT(H1317,2)&lt;&gt;"00",H1317,"")</f>
        <v>3108.01</v>
      </c>
      <c r="Y1317" s="26">
        <f ca="1">NETWORKDAYS(P1317,$Y$1)</f>
        <v>12</v>
      </c>
      <c r="Z1317" s="34">
        <v>1</v>
      </c>
      <c r="AA1317" s="25" t="str">
        <f t="shared" ca="1" si="116"/>
        <v>A VENCER</v>
      </c>
      <c r="AB1317" s="25" t="str">
        <f t="shared" si="114"/>
        <v>Dosa</v>
      </c>
      <c r="AC1317" s="2" t="str">
        <f t="shared" si="111"/>
        <v xml:space="preserve"> CLEITON </v>
      </c>
      <c r="AD1317" s="26">
        <f t="shared" si="115"/>
        <v>5</v>
      </c>
      <c r="AE1317" s="26">
        <f t="shared" ca="1" si="117"/>
        <v>15.144639699072286</v>
      </c>
    </row>
    <row r="1318" spans="1:31" hidden="1">
      <c r="A1318" s="209">
        <v>9481708</v>
      </c>
      <c r="B1318" s="209" t="s">
        <v>1153</v>
      </c>
      <c r="C1318" s="210" t="s">
        <v>3000</v>
      </c>
      <c r="D1318" s="214"/>
      <c r="E1318" s="214">
        <v>2437000206001</v>
      </c>
      <c r="F1318" s="209" t="s">
        <v>29</v>
      </c>
      <c r="G1318" s="209" t="s">
        <v>53</v>
      </c>
      <c r="H1318" s="209" t="s">
        <v>416</v>
      </c>
      <c r="I1318" s="209" t="s">
        <v>417</v>
      </c>
      <c r="J1318" s="209" t="s">
        <v>211</v>
      </c>
      <c r="K1318" s="210" t="s">
        <v>34</v>
      </c>
      <c r="L1318" s="210"/>
      <c r="M1318" s="209" t="s">
        <v>35</v>
      </c>
      <c r="N1318" s="209">
        <v>42318949</v>
      </c>
      <c r="O1318" s="209" t="s">
        <v>36</v>
      </c>
      <c r="P1318" s="211" t="s">
        <v>3269</v>
      </c>
      <c r="Q1318" s="209"/>
      <c r="R1318" s="209" t="s">
        <v>38</v>
      </c>
      <c r="S1318" s="209"/>
      <c r="T1318" s="209" t="s">
        <v>74</v>
      </c>
      <c r="U1318" s="211" t="s">
        <v>4476</v>
      </c>
      <c r="V1318" s="209" t="s">
        <v>41</v>
      </c>
      <c r="W1318" s="209" t="s">
        <v>49</v>
      </c>
      <c r="X1318" s="13" t="str">
        <f>IF(RIGHT(H1318,2)&lt;&gt;"00",H1318,"")</f>
        <v/>
      </c>
      <c r="Y1318" s="26">
        <f ca="1">NETWORKDAYS(P1318,$Y$1)</f>
        <v>12</v>
      </c>
      <c r="Z1318" s="34">
        <v>1</v>
      </c>
      <c r="AA1318" s="25" t="str">
        <f t="shared" ca="1" si="116"/>
        <v>A VENCER</v>
      </c>
      <c r="AB1318" s="25" t="str">
        <f t="shared" si="114"/>
        <v>Dosa</v>
      </c>
      <c r="AC1318" s="2" t="str">
        <f t="shared" si="111"/>
        <v xml:space="preserve"> RINALDO </v>
      </c>
      <c r="AD1318" s="26">
        <f t="shared" si="115"/>
        <v>5</v>
      </c>
      <c r="AE1318" s="26">
        <f t="shared" ca="1" si="117"/>
        <v>15.154662847220607</v>
      </c>
    </row>
    <row r="1319" spans="1:31" hidden="1">
      <c r="A1319" s="209">
        <v>9481422</v>
      </c>
      <c r="B1319" s="209" t="s">
        <v>1153</v>
      </c>
      <c r="C1319" s="210" t="s">
        <v>3004</v>
      </c>
      <c r="D1319" s="214">
        <v>230028843</v>
      </c>
      <c r="E1319" s="214">
        <v>3699001400030</v>
      </c>
      <c r="F1319" s="209" t="s">
        <v>647</v>
      </c>
      <c r="G1319" s="209" t="s">
        <v>53</v>
      </c>
      <c r="H1319" s="209" t="s">
        <v>343</v>
      </c>
      <c r="I1319" s="209" t="s">
        <v>344</v>
      </c>
      <c r="J1319" s="209" t="s">
        <v>46</v>
      </c>
      <c r="K1319" s="210" t="s">
        <v>650</v>
      </c>
      <c r="L1319" s="210"/>
      <c r="M1319" s="209" t="s">
        <v>58</v>
      </c>
      <c r="N1319" s="209">
        <v>0</v>
      </c>
      <c r="O1319" s="209" t="s">
        <v>36</v>
      </c>
      <c r="P1319" s="211" t="s">
        <v>3271</v>
      </c>
      <c r="Q1319" s="209"/>
      <c r="R1319" s="209">
        <v>4</v>
      </c>
      <c r="S1319" s="209"/>
      <c r="T1319" s="209" t="s">
        <v>646</v>
      </c>
      <c r="U1319" s="211" t="s">
        <v>3272</v>
      </c>
      <c r="V1319" s="209" t="s">
        <v>41</v>
      </c>
      <c r="W1319" s="209" t="s">
        <v>49</v>
      </c>
      <c r="X1319" s="13" t="str">
        <f>IF(RIGHT(H1319,2)&lt;&gt;"00",H1319,"")</f>
        <v/>
      </c>
      <c r="Y1319" s="26">
        <f ca="1">NETWORKDAYS(P1319,$Y$1)</f>
        <v>12</v>
      </c>
      <c r="Z1319" s="34">
        <v>1</v>
      </c>
      <c r="AA1319" s="25" t="str">
        <f t="shared" ca="1" si="116"/>
        <v>A VENCER</v>
      </c>
      <c r="AB1319" s="25" t="str">
        <f t="shared" si="114"/>
        <v>C-14</v>
      </c>
      <c r="AC1319" s="2" t="str">
        <f t="shared" si="111"/>
        <v xml:space="preserve"> CLEITON </v>
      </c>
      <c r="AD1319" s="26">
        <f t="shared" si="115"/>
        <v>15</v>
      </c>
      <c r="AE1319" s="26">
        <f t="shared" ca="1" si="117"/>
        <v>15.195658217591699</v>
      </c>
    </row>
    <row r="1320" spans="1:31" hidden="1">
      <c r="A1320" s="209">
        <v>9481389</v>
      </c>
      <c r="B1320" s="209" t="s">
        <v>1153</v>
      </c>
      <c r="C1320" s="210" t="s">
        <v>3006</v>
      </c>
      <c r="D1320" s="214">
        <v>20232369000007</v>
      </c>
      <c r="E1320" s="214">
        <v>7417161480604</v>
      </c>
      <c r="F1320" s="209" t="s">
        <v>1979</v>
      </c>
      <c r="G1320" s="209" t="s">
        <v>53</v>
      </c>
      <c r="H1320" s="209" t="s">
        <v>2809</v>
      </c>
      <c r="I1320" s="209" t="s">
        <v>2810</v>
      </c>
      <c r="J1320" s="209" t="s">
        <v>141</v>
      </c>
      <c r="K1320" s="210" t="s">
        <v>1982</v>
      </c>
      <c r="L1320" s="210"/>
      <c r="M1320" s="209" t="s">
        <v>58</v>
      </c>
      <c r="N1320" s="209">
        <v>0</v>
      </c>
      <c r="O1320" s="209" t="s">
        <v>36</v>
      </c>
      <c r="P1320" s="211" t="s">
        <v>3273</v>
      </c>
      <c r="Q1320" s="209"/>
      <c r="R1320" s="209">
        <v>14</v>
      </c>
      <c r="S1320" s="209"/>
      <c r="T1320" s="209" t="s">
        <v>238</v>
      </c>
      <c r="U1320" s="211" t="s">
        <v>3273</v>
      </c>
      <c r="V1320" s="209" t="s">
        <v>41</v>
      </c>
      <c r="W1320" s="209" t="s">
        <v>49</v>
      </c>
      <c r="X1320" s="13" t="str">
        <f>IF(RIGHT(H1320,2)&lt;&gt;"00",H1320,"")</f>
        <v>2369.91</v>
      </c>
      <c r="Y1320" s="26">
        <f ca="1">NETWORKDAYS(P1320,$Y$1)</f>
        <v>12</v>
      </c>
      <c r="Z1320" s="34">
        <v>1</v>
      </c>
      <c r="AA1320" s="25" t="str">
        <f t="shared" ca="1" si="116"/>
        <v>A VENCER</v>
      </c>
      <c r="AB1320" s="25" t="str">
        <f t="shared" si="114"/>
        <v>TAAe+</v>
      </c>
      <c r="AC1320" s="2" t="str">
        <f t="shared" si="111"/>
        <v xml:space="preserve"> CRISTINA </v>
      </c>
      <c r="AD1320" s="26">
        <f t="shared" si="115"/>
        <v>8</v>
      </c>
      <c r="AE1320" s="26">
        <f t="shared" ca="1" si="117"/>
        <v>15.210241550928913</v>
      </c>
    </row>
    <row r="1321" spans="1:31" hidden="1">
      <c r="A1321" s="209">
        <v>9481183</v>
      </c>
      <c r="B1321" s="209" t="s">
        <v>1153</v>
      </c>
      <c r="C1321" s="210" t="s">
        <v>3009</v>
      </c>
      <c r="D1321" s="214">
        <v>20231739000004</v>
      </c>
      <c r="E1321" s="214">
        <v>7417161480638</v>
      </c>
      <c r="F1321" s="209" t="s">
        <v>1979</v>
      </c>
      <c r="G1321" s="209" t="s">
        <v>53</v>
      </c>
      <c r="H1321" s="209" t="s">
        <v>2891</v>
      </c>
      <c r="I1321" s="209" t="s">
        <v>2892</v>
      </c>
      <c r="J1321" s="209" t="s">
        <v>164</v>
      </c>
      <c r="K1321" s="210" t="s">
        <v>1982</v>
      </c>
      <c r="L1321" s="210"/>
      <c r="M1321" s="209" t="s">
        <v>58</v>
      </c>
      <c r="N1321" s="209">
        <v>0</v>
      </c>
      <c r="O1321" s="209" t="s">
        <v>36</v>
      </c>
      <c r="P1321" s="211" t="s">
        <v>3276</v>
      </c>
      <c r="Q1321" s="209"/>
      <c r="R1321" s="209">
        <v>14</v>
      </c>
      <c r="S1321" s="209"/>
      <c r="T1321" s="209" t="s">
        <v>238</v>
      </c>
      <c r="U1321" s="211" t="s">
        <v>3276</v>
      </c>
      <c r="V1321" s="209" t="s">
        <v>41</v>
      </c>
      <c r="W1321" s="209" t="s">
        <v>49</v>
      </c>
      <c r="X1321" s="13" t="str">
        <f>IF(RIGHT(H1321,2)&lt;&gt;"00",H1321,"")</f>
        <v>1739.91</v>
      </c>
      <c r="Y1321" s="26">
        <f ca="1">NETWORKDAYS(P1321,$Y$1)</f>
        <v>12</v>
      </c>
      <c r="Z1321" s="34">
        <v>1</v>
      </c>
      <c r="AA1321" s="25" t="str">
        <f t="shared" ca="1" si="116"/>
        <v>A VENCER</v>
      </c>
      <c r="AB1321" s="25" t="str">
        <f t="shared" si="114"/>
        <v>TAAe+</v>
      </c>
      <c r="AC1321" s="2" t="str">
        <f t="shared" si="111"/>
        <v xml:space="preserve"> ROSEMERE </v>
      </c>
      <c r="AD1321" s="26">
        <f t="shared" si="115"/>
        <v>8</v>
      </c>
      <c r="AE1321" s="26">
        <f t="shared" ca="1" si="117"/>
        <v>15.232996180558985</v>
      </c>
    </row>
    <row r="1322" spans="1:31" hidden="1">
      <c r="A1322" s="209">
        <v>9481147</v>
      </c>
      <c r="B1322" s="209" t="s">
        <v>1153</v>
      </c>
      <c r="C1322" s="210" t="s">
        <v>3010</v>
      </c>
      <c r="D1322" s="214">
        <v>20232678000016</v>
      </c>
      <c r="E1322" s="214">
        <v>7417163281860</v>
      </c>
      <c r="F1322" s="209" t="s">
        <v>131</v>
      </c>
      <c r="G1322" s="209" t="s">
        <v>53</v>
      </c>
      <c r="H1322" s="209" t="s">
        <v>2814</v>
      </c>
      <c r="I1322" s="209" t="s">
        <v>2815</v>
      </c>
      <c r="J1322" s="209" t="s">
        <v>33</v>
      </c>
      <c r="K1322" s="210" t="s">
        <v>132</v>
      </c>
      <c r="L1322" s="210"/>
      <c r="M1322" s="209" t="s">
        <v>58</v>
      </c>
      <c r="N1322" s="209">
        <v>0</v>
      </c>
      <c r="O1322" s="209" t="s">
        <v>36</v>
      </c>
      <c r="P1322" s="211" t="s">
        <v>3277</v>
      </c>
      <c r="Q1322" s="209"/>
      <c r="R1322" s="209">
        <v>15</v>
      </c>
      <c r="S1322" s="209"/>
      <c r="T1322" s="209" t="s">
        <v>238</v>
      </c>
      <c r="U1322" s="211" t="s">
        <v>3277</v>
      </c>
      <c r="V1322" s="209" t="s">
        <v>41</v>
      </c>
      <c r="W1322" s="209" t="s">
        <v>42</v>
      </c>
      <c r="X1322" s="13" t="str">
        <f>IF(RIGHT(H1322,2)&lt;&gt;"00",H1322,"")</f>
        <v>2678.91</v>
      </c>
      <c r="Y1322" s="26">
        <f ca="1">NETWORKDAYS(P1322,$Y$1)</f>
        <v>12</v>
      </c>
      <c r="Z1322" s="34">
        <v>1</v>
      </c>
      <c r="AA1322" s="25" t="str">
        <f t="shared" ca="1" si="116"/>
        <v>A VENCER</v>
      </c>
      <c r="AB1322" s="25" t="str">
        <f t="shared" si="114"/>
        <v>TAAe+</v>
      </c>
      <c r="AC1322" s="2" t="str">
        <f t="shared" si="111"/>
        <v xml:space="preserve"> ROSEMERE </v>
      </c>
      <c r="AD1322" s="26">
        <f t="shared" si="115"/>
        <v>8</v>
      </c>
      <c r="AE1322" s="26">
        <f t="shared" ca="1" si="117"/>
        <v>15.24063506944367</v>
      </c>
    </row>
    <row r="1323" spans="1:31" hidden="1">
      <c r="A1323" s="209">
        <v>9481146</v>
      </c>
      <c r="B1323" s="209" t="s">
        <v>1153</v>
      </c>
      <c r="C1323" s="210" t="s">
        <v>3011</v>
      </c>
      <c r="D1323" s="214">
        <v>20232678000015</v>
      </c>
      <c r="E1323" s="214">
        <v>7417163282981</v>
      </c>
      <c r="F1323" s="209" t="s">
        <v>131</v>
      </c>
      <c r="G1323" s="209" t="s">
        <v>53</v>
      </c>
      <c r="H1323" s="209" t="s">
        <v>2814</v>
      </c>
      <c r="I1323" s="209" t="s">
        <v>2815</v>
      </c>
      <c r="J1323" s="209" t="s">
        <v>33</v>
      </c>
      <c r="K1323" s="210" t="s">
        <v>132</v>
      </c>
      <c r="L1323" s="210"/>
      <c r="M1323" s="209" t="s">
        <v>58</v>
      </c>
      <c r="N1323" s="209">
        <v>0</v>
      </c>
      <c r="O1323" s="209" t="s">
        <v>36</v>
      </c>
      <c r="P1323" s="211" t="s">
        <v>3278</v>
      </c>
      <c r="Q1323" s="209"/>
      <c r="R1323" s="209">
        <v>15</v>
      </c>
      <c r="S1323" s="209"/>
      <c r="T1323" s="209" t="s">
        <v>238</v>
      </c>
      <c r="U1323" s="211" t="s">
        <v>3278</v>
      </c>
      <c r="V1323" s="209" t="s">
        <v>41</v>
      </c>
      <c r="W1323" s="209" t="s">
        <v>42</v>
      </c>
      <c r="X1323" s="13" t="str">
        <f>IF(RIGHT(H1323,2)&lt;&gt;"00",H1323,"")</f>
        <v>2678.91</v>
      </c>
      <c r="Y1323" s="26">
        <f ca="1">NETWORKDAYS(P1323,$Y$1)</f>
        <v>12</v>
      </c>
      <c r="Z1323" s="34">
        <v>1</v>
      </c>
      <c r="AA1323" s="25" t="str">
        <f t="shared" ca="1" si="116"/>
        <v>A VENCER</v>
      </c>
      <c r="AB1323" s="25" t="str">
        <f t="shared" si="114"/>
        <v>TAAe+</v>
      </c>
      <c r="AC1323" s="2" t="str">
        <f t="shared" si="111"/>
        <v xml:space="preserve"> ROSEMERE </v>
      </c>
      <c r="AD1323" s="26">
        <f t="shared" si="115"/>
        <v>8</v>
      </c>
      <c r="AE1323" s="26">
        <f t="shared" ca="1" si="117"/>
        <v>15.240681365743512</v>
      </c>
    </row>
    <row r="1324" spans="1:31" hidden="1">
      <c r="A1324" s="209">
        <v>9480717</v>
      </c>
      <c r="B1324" s="209" t="s">
        <v>1153</v>
      </c>
      <c r="C1324" s="210" t="s">
        <v>3017</v>
      </c>
      <c r="D1324" s="214"/>
      <c r="E1324" s="214">
        <v>2625000206001</v>
      </c>
      <c r="F1324" s="209" t="s">
        <v>29</v>
      </c>
      <c r="G1324" s="209" t="s">
        <v>53</v>
      </c>
      <c r="H1324" s="209" t="s">
        <v>317</v>
      </c>
      <c r="I1324" s="209" t="s">
        <v>318</v>
      </c>
      <c r="J1324" s="209" t="s">
        <v>164</v>
      </c>
      <c r="K1324" s="210" t="s">
        <v>34</v>
      </c>
      <c r="L1324" s="210"/>
      <c r="M1324" s="209" t="s">
        <v>35</v>
      </c>
      <c r="N1324" s="209">
        <v>42318949</v>
      </c>
      <c r="O1324" s="209" t="s">
        <v>36</v>
      </c>
      <c r="P1324" s="211" t="s">
        <v>3284</v>
      </c>
      <c r="Q1324" s="209"/>
      <c r="R1324" s="209" t="s">
        <v>38</v>
      </c>
      <c r="S1324" s="209"/>
      <c r="T1324" s="209" t="s">
        <v>74</v>
      </c>
      <c r="U1324" s="211" t="s">
        <v>4149</v>
      </c>
      <c r="V1324" s="209" t="s">
        <v>41</v>
      </c>
      <c r="W1324" s="209" t="s">
        <v>49</v>
      </c>
      <c r="X1324" s="13" t="str">
        <f>IF(RIGHT(H1324,2)&lt;&gt;"00",H1324,"")</f>
        <v/>
      </c>
      <c r="Y1324" s="26">
        <f ca="1">NETWORKDAYS(P1324,$Y$1)</f>
        <v>12</v>
      </c>
      <c r="Z1324" s="34">
        <v>1</v>
      </c>
      <c r="AA1324" s="25" t="str">
        <f t="shared" ca="1" si="116"/>
        <v>A VENCER</v>
      </c>
      <c r="AB1324" s="25" t="str">
        <f t="shared" si="114"/>
        <v>Dosa</v>
      </c>
      <c r="AC1324" s="2" t="str">
        <f t="shared" si="111"/>
        <v xml:space="preserve"> ROSEMERE </v>
      </c>
      <c r="AD1324" s="26">
        <f t="shared" si="115"/>
        <v>5</v>
      </c>
      <c r="AE1324" s="26">
        <f t="shared" ca="1" si="117"/>
        <v>15.290507754631108</v>
      </c>
    </row>
    <row r="1325" spans="1:31" hidden="1">
      <c r="A1325" s="216">
        <v>9480428</v>
      </c>
      <c r="B1325" s="216" t="s">
        <v>1153</v>
      </c>
      <c r="C1325" s="182" t="s">
        <v>4623</v>
      </c>
      <c r="D1325" s="217"/>
      <c r="E1325" s="217">
        <v>870000206001</v>
      </c>
      <c r="F1325" s="216" t="s">
        <v>29</v>
      </c>
      <c r="G1325" s="216" t="s">
        <v>53</v>
      </c>
      <c r="H1325" s="216" t="s">
        <v>183</v>
      </c>
      <c r="I1325" s="216" t="s">
        <v>184</v>
      </c>
      <c r="J1325" s="216" t="s">
        <v>90</v>
      </c>
      <c r="K1325" s="210" t="s">
        <v>34</v>
      </c>
      <c r="L1325" s="210"/>
      <c r="M1325" s="209" t="s">
        <v>35</v>
      </c>
      <c r="N1325" s="209">
        <v>42318949</v>
      </c>
      <c r="O1325" s="209" t="s">
        <v>36</v>
      </c>
      <c r="P1325" s="211" t="s">
        <v>3285</v>
      </c>
      <c r="Q1325" s="209"/>
      <c r="R1325" s="209" t="s">
        <v>38</v>
      </c>
      <c r="S1325" s="209"/>
      <c r="T1325" s="209" t="s">
        <v>74</v>
      </c>
      <c r="U1325" s="211" t="s">
        <v>4476</v>
      </c>
      <c r="V1325" s="209" t="s">
        <v>41</v>
      </c>
      <c r="W1325" s="209" t="s">
        <v>49</v>
      </c>
      <c r="X1325" s="13" t="str">
        <f>IF(RIGHT(H1325,2)&lt;&gt;"00",H1325,"")</f>
        <v/>
      </c>
      <c r="Y1325" s="26">
        <f ca="1">NETWORKDAYS(P1325,$Y$1)</f>
        <v>12</v>
      </c>
      <c r="Z1325" s="34">
        <v>1</v>
      </c>
      <c r="AA1325" s="25" t="str">
        <f t="shared" ca="1" si="116"/>
        <v>A VENCER</v>
      </c>
      <c r="AB1325" s="25" t="str">
        <f t="shared" si="114"/>
        <v>Dosa</v>
      </c>
      <c r="AC1325" s="2" t="str">
        <f t="shared" si="111"/>
        <v xml:space="preserve"> RINALDO </v>
      </c>
      <c r="AD1325" s="26">
        <f t="shared" si="115"/>
        <v>5</v>
      </c>
      <c r="AE1325" s="26">
        <f t="shared" ca="1" si="117"/>
        <v>15.341919791666442</v>
      </c>
    </row>
    <row r="1326" spans="1:31" hidden="1">
      <c r="A1326" s="209">
        <v>9488077</v>
      </c>
      <c r="B1326" s="209" t="s">
        <v>1153</v>
      </c>
      <c r="C1326" s="210" t="s">
        <v>3513</v>
      </c>
      <c r="D1326" s="214">
        <v>20234844000484</v>
      </c>
      <c r="E1326" s="214">
        <v>7417183020090</v>
      </c>
      <c r="F1326" s="209" t="s">
        <v>1313</v>
      </c>
      <c r="G1326" s="209" t="s">
        <v>53</v>
      </c>
      <c r="H1326" s="209" t="s">
        <v>2606</v>
      </c>
      <c r="I1326" s="209" t="s">
        <v>2607</v>
      </c>
      <c r="J1326" s="209" t="s">
        <v>46</v>
      </c>
      <c r="K1326" s="210" t="s">
        <v>1316</v>
      </c>
      <c r="L1326" s="210"/>
      <c r="M1326" s="209" t="s">
        <v>58</v>
      </c>
      <c r="N1326" s="209">
        <v>0</v>
      </c>
      <c r="O1326" s="209" t="s">
        <v>36</v>
      </c>
      <c r="P1326" s="211" t="s">
        <v>4155</v>
      </c>
      <c r="Q1326" s="209"/>
      <c r="R1326" s="209">
        <v>13</v>
      </c>
      <c r="S1326" s="209"/>
      <c r="T1326" s="209" t="s">
        <v>238</v>
      </c>
      <c r="U1326" s="213">
        <v>44973.395833333336</v>
      </c>
      <c r="V1326" s="209" t="s">
        <v>41</v>
      </c>
      <c r="W1326" s="209" t="s">
        <v>49</v>
      </c>
      <c r="X1326" s="13" t="str">
        <f>IF(RIGHT(H1326,2)&lt;&gt;"00",H1326,"")</f>
        <v>4844.28</v>
      </c>
      <c r="Y1326" s="26">
        <f ca="1">NETWORKDAYS(P1326,$Y$1)</f>
        <v>11</v>
      </c>
      <c r="Z1326" s="34">
        <v>1</v>
      </c>
      <c r="AA1326" s="25" t="str">
        <f t="shared" ca="1" si="116"/>
        <v>A VENCER</v>
      </c>
      <c r="AB1326" s="25" t="str">
        <f t="shared" si="114"/>
        <v>TAAe+</v>
      </c>
      <c r="AC1326" s="2" t="str">
        <f t="shared" si="111"/>
        <v xml:space="preserve"> CLEITON </v>
      </c>
      <c r="AD1326" s="26">
        <f t="shared" si="115"/>
        <v>8</v>
      </c>
      <c r="AE1326" s="26">
        <f t="shared" ca="1" si="117"/>
        <v>13.881804050928622</v>
      </c>
    </row>
    <row r="1327" spans="1:31" hidden="1">
      <c r="A1327" s="209">
        <v>9487960</v>
      </c>
      <c r="B1327" s="209" t="s">
        <v>1153</v>
      </c>
      <c r="C1327" s="210" t="s">
        <v>3515</v>
      </c>
      <c r="D1327" s="214">
        <v>20234844000482</v>
      </c>
      <c r="E1327" s="214">
        <v>7419141894858</v>
      </c>
      <c r="F1327" s="209" t="s">
        <v>128</v>
      </c>
      <c r="G1327" s="209" t="s">
        <v>53</v>
      </c>
      <c r="H1327" s="209" t="s">
        <v>2655</v>
      </c>
      <c r="I1327" s="209" t="s">
        <v>2656</v>
      </c>
      <c r="J1327" s="209" t="s">
        <v>46</v>
      </c>
      <c r="K1327" s="210" t="s">
        <v>129</v>
      </c>
      <c r="L1327" s="210"/>
      <c r="M1327" s="209" t="s">
        <v>58</v>
      </c>
      <c r="N1327" s="209">
        <v>0</v>
      </c>
      <c r="O1327" s="209" t="s">
        <v>36</v>
      </c>
      <c r="P1327" s="211" t="s">
        <v>4157</v>
      </c>
      <c r="Q1327" s="209"/>
      <c r="R1327" s="209">
        <v>13</v>
      </c>
      <c r="S1327" s="209"/>
      <c r="T1327" s="209" t="s">
        <v>238</v>
      </c>
      <c r="U1327" s="213">
        <v>44973.395833333336</v>
      </c>
      <c r="V1327" s="209" t="s">
        <v>41</v>
      </c>
      <c r="W1327" s="209" t="s">
        <v>49</v>
      </c>
      <c r="X1327" s="13" t="str">
        <f>IF(RIGHT(H1327,2)&lt;&gt;"00",H1327,"")</f>
        <v>4844.01</v>
      </c>
      <c r="Y1327" s="26">
        <f ca="1">NETWORKDAYS(P1327,$Y$1)</f>
        <v>11</v>
      </c>
      <c r="Z1327" s="34">
        <v>1</v>
      </c>
      <c r="AA1327" s="25" t="str">
        <f t="shared" ca="1" si="116"/>
        <v>A VENCER</v>
      </c>
      <c r="AB1327" s="25" t="str">
        <f t="shared" si="114"/>
        <v>TAAe+</v>
      </c>
      <c r="AC1327" s="2" t="str">
        <f t="shared" si="111"/>
        <v xml:space="preserve"> CLEITON </v>
      </c>
      <c r="AD1327" s="26">
        <f t="shared" si="115"/>
        <v>8</v>
      </c>
      <c r="AE1327" s="26">
        <f t="shared" ca="1" si="117"/>
        <v>13.921028587959881</v>
      </c>
    </row>
    <row r="1328" spans="1:31" hidden="1">
      <c r="A1328" s="209">
        <v>9487760</v>
      </c>
      <c r="B1328" s="209" t="s">
        <v>1153</v>
      </c>
      <c r="C1328" s="210" t="s">
        <v>3522</v>
      </c>
      <c r="D1328" s="214"/>
      <c r="E1328" s="214">
        <v>2564000203000</v>
      </c>
      <c r="F1328" s="209" t="s">
        <v>454</v>
      </c>
      <c r="G1328" s="209" t="s">
        <v>53</v>
      </c>
      <c r="H1328" s="209" t="s">
        <v>255</v>
      </c>
      <c r="I1328" s="209" t="s">
        <v>256</v>
      </c>
      <c r="J1328" s="209" t="s">
        <v>164</v>
      </c>
      <c r="K1328" s="210" t="s">
        <v>457</v>
      </c>
      <c r="L1328" s="210"/>
      <c r="M1328" s="209" t="s">
        <v>58</v>
      </c>
      <c r="N1328" s="209">
        <v>0</v>
      </c>
      <c r="O1328" s="209" t="s">
        <v>36</v>
      </c>
      <c r="P1328" s="211" t="s">
        <v>4158</v>
      </c>
      <c r="Q1328" s="209"/>
      <c r="R1328" s="209">
        <v>1</v>
      </c>
      <c r="S1328" s="209"/>
      <c r="T1328" s="209" t="s">
        <v>157</v>
      </c>
      <c r="U1328" s="213">
        <v>44973.73</v>
      </c>
      <c r="V1328" s="209" t="s">
        <v>41</v>
      </c>
      <c r="W1328" s="209" t="s">
        <v>49</v>
      </c>
      <c r="X1328" s="13" t="str">
        <f>IF(RIGHT(H1328,2)&lt;&gt;"00",H1328,"")</f>
        <v/>
      </c>
      <c r="Y1328" s="26">
        <f ca="1">NETWORKDAYS(P1328,$Y$1)</f>
        <v>11</v>
      </c>
      <c r="Z1328" s="34">
        <v>1</v>
      </c>
      <c r="AA1328" s="25" t="str">
        <f t="shared" ca="1" si="116"/>
        <v>A VENCER</v>
      </c>
      <c r="AB1328" s="25" t="str">
        <f t="shared" si="114"/>
        <v>C-14</v>
      </c>
      <c r="AC1328" s="2" t="str">
        <f t="shared" si="111"/>
        <v xml:space="preserve"> ROSEMERE </v>
      </c>
      <c r="AD1328" s="26">
        <f t="shared" si="115"/>
        <v>5</v>
      </c>
      <c r="AE1328" s="26">
        <f t="shared" ca="1" si="117"/>
        <v>13.946271643515502</v>
      </c>
    </row>
    <row r="1329" spans="1:31" hidden="1">
      <c r="A1329" s="209">
        <v>9487733</v>
      </c>
      <c r="B1329" s="209" t="s">
        <v>1153</v>
      </c>
      <c r="C1329" s="210" t="s">
        <v>3524</v>
      </c>
      <c r="D1329" s="214">
        <v>20232678000017</v>
      </c>
      <c r="E1329" s="214">
        <v>7417193470505</v>
      </c>
      <c r="F1329" s="209" t="s">
        <v>2698</v>
      </c>
      <c r="G1329" s="209" t="s">
        <v>53</v>
      </c>
      <c r="H1329" s="209" t="s">
        <v>3525</v>
      </c>
      <c r="I1329" s="209" t="s">
        <v>3526</v>
      </c>
      <c r="J1329" s="209" t="s">
        <v>33</v>
      </c>
      <c r="K1329" s="210" t="s">
        <v>2701</v>
      </c>
      <c r="L1329" s="210"/>
      <c r="M1329" s="209" t="s">
        <v>58</v>
      </c>
      <c r="N1329" s="209">
        <v>0</v>
      </c>
      <c r="O1329" s="209" t="s">
        <v>36</v>
      </c>
      <c r="P1329" s="211" t="s">
        <v>4160</v>
      </c>
      <c r="Q1329" s="209"/>
      <c r="R1329" s="209">
        <v>15</v>
      </c>
      <c r="S1329" s="209"/>
      <c r="T1329" s="209" t="s">
        <v>238</v>
      </c>
      <c r="U1329" s="213">
        <v>44973.416666666664</v>
      </c>
      <c r="V1329" s="209" t="s">
        <v>41</v>
      </c>
      <c r="W1329" s="209" t="s">
        <v>42</v>
      </c>
      <c r="X1329" s="13" t="str">
        <f>IF(RIGHT(H1329,2)&lt;&gt;"00",H1329,"")</f>
        <v>2678.01</v>
      </c>
      <c r="Y1329" s="26">
        <f ca="1">NETWORKDAYS(P1329,$Y$1)</f>
        <v>11</v>
      </c>
      <c r="Z1329" s="34">
        <v>1</v>
      </c>
      <c r="AA1329" s="25" t="str">
        <f t="shared" ca="1" si="116"/>
        <v>A VENCER</v>
      </c>
      <c r="AB1329" s="25" t="str">
        <f t="shared" si="114"/>
        <v>TAAe+</v>
      </c>
      <c r="AC1329" s="2" t="str">
        <f t="shared" si="111"/>
        <v xml:space="preserve"> ROSEMERE </v>
      </c>
      <c r="AD1329" s="26">
        <f t="shared" si="115"/>
        <v>8</v>
      </c>
      <c r="AE1329" s="26">
        <f t="shared" ca="1" si="117"/>
        <v>13.960102662036661</v>
      </c>
    </row>
    <row r="1330" spans="1:31" hidden="1">
      <c r="A1330" s="209">
        <v>9487119</v>
      </c>
      <c r="B1330" s="209" t="s">
        <v>1153</v>
      </c>
      <c r="C1330" s="210" t="s">
        <v>3296</v>
      </c>
      <c r="D1330" s="214">
        <v>20234923000068</v>
      </c>
      <c r="E1330" s="214">
        <v>7417183020181</v>
      </c>
      <c r="F1330" s="209" t="s">
        <v>1313</v>
      </c>
      <c r="G1330" s="209" t="s">
        <v>53</v>
      </c>
      <c r="H1330" s="209" t="s">
        <v>2870</v>
      </c>
      <c r="I1330" s="209" t="s">
        <v>2871</v>
      </c>
      <c r="J1330" s="209" t="s">
        <v>46</v>
      </c>
      <c r="K1330" s="210" t="s">
        <v>1316</v>
      </c>
      <c r="L1330" s="210"/>
      <c r="M1330" s="209" t="s">
        <v>58</v>
      </c>
      <c r="N1330" s="209">
        <v>0</v>
      </c>
      <c r="O1330" s="209" t="s">
        <v>36</v>
      </c>
      <c r="P1330" s="211" t="s">
        <v>3297</v>
      </c>
      <c r="Q1330" s="209"/>
      <c r="R1330" s="209">
        <v>13</v>
      </c>
      <c r="S1330" s="209"/>
      <c r="T1330" s="209" t="s">
        <v>238</v>
      </c>
      <c r="U1330" s="213">
        <v>44972.616956018515</v>
      </c>
      <c r="V1330" s="209" t="s">
        <v>41</v>
      </c>
      <c r="W1330" s="209" t="s">
        <v>49</v>
      </c>
      <c r="X1330" s="13" t="str">
        <f>IF(RIGHT(H1330,2)&lt;&gt;"00",H1330,"")</f>
        <v>4923.04</v>
      </c>
      <c r="Y1330" s="26">
        <f ca="1">NETWORKDAYS(P1330,$Y$1)</f>
        <v>11</v>
      </c>
      <c r="Z1330" s="34">
        <v>1</v>
      </c>
      <c r="AA1330" s="25" t="str">
        <f t="shared" ca="1" si="116"/>
        <v>A VENCER</v>
      </c>
      <c r="AB1330" s="25" t="str">
        <f t="shared" si="114"/>
        <v>TAAe+</v>
      </c>
      <c r="AC1330" s="2" t="str">
        <f t="shared" si="111"/>
        <v xml:space="preserve"> CLEITON </v>
      </c>
      <c r="AD1330" s="26">
        <f t="shared" si="115"/>
        <v>8</v>
      </c>
      <c r="AE1330" s="26">
        <f t="shared" ca="1" si="117"/>
        <v>14.059315625003364</v>
      </c>
    </row>
    <row r="1331" spans="1:31" hidden="1">
      <c r="A1331" s="209">
        <v>9487087</v>
      </c>
      <c r="B1331" s="209" t="s">
        <v>3298</v>
      </c>
      <c r="C1331" s="210" t="s">
        <v>3299</v>
      </c>
      <c r="D1331" s="214">
        <v>20233433000007</v>
      </c>
      <c r="E1331" s="214">
        <v>7417203360125</v>
      </c>
      <c r="F1331" s="209" t="s">
        <v>3300</v>
      </c>
      <c r="G1331" s="209" t="s">
        <v>53</v>
      </c>
      <c r="H1331" s="209" t="s">
        <v>2520</v>
      </c>
      <c r="I1331" s="209" t="s">
        <v>2521</v>
      </c>
      <c r="J1331" s="209" t="s">
        <v>46</v>
      </c>
      <c r="K1331" s="210" t="s">
        <v>3301</v>
      </c>
      <c r="L1331" s="210"/>
      <c r="M1331" s="209" t="s">
        <v>58</v>
      </c>
      <c r="N1331" s="209">
        <v>0</v>
      </c>
      <c r="O1331" s="209" t="s">
        <v>36</v>
      </c>
      <c r="P1331" s="211" t="s">
        <v>4162</v>
      </c>
      <c r="Q1331" s="209"/>
      <c r="R1331" s="209">
        <v>22</v>
      </c>
      <c r="S1331" s="209"/>
      <c r="T1331" s="209" t="s">
        <v>1160</v>
      </c>
      <c r="U1331" s="213">
        <v>44973.627870370372</v>
      </c>
      <c r="V1331" s="209" t="s">
        <v>41</v>
      </c>
      <c r="W1331" s="209" t="s">
        <v>49</v>
      </c>
      <c r="X1331" s="13" t="str">
        <f>IF(RIGHT(H1331,2)&lt;&gt;"00",H1331,"")</f>
        <v/>
      </c>
      <c r="Y1331" s="26">
        <f ca="1">NETWORKDAYS(P1331,$Y$1)</f>
        <v>11</v>
      </c>
      <c r="Z1331" s="34">
        <v>1</v>
      </c>
      <c r="AA1331" s="25" t="str">
        <f t="shared" ca="1" si="116"/>
        <v>A VENCER</v>
      </c>
      <c r="AB1331" s="25" t="str">
        <f t="shared" si="114"/>
        <v>TAAe+</v>
      </c>
      <c r="AC1331" s="2" t="str">
        <f t="shared" si="111"/>
        <v xml:space="preserve"> CLEITON </v>
      </c>
      <c r="AD1331" s="26">
        <f t="shared" si="115"/>
        <v>8</v>
      </c>
      <c r="AE1331" s="26">
        <f t="shared" ca="1" si="117"/>
        <v>14.05403784722148</v>
      </c>
    </row>
    <row r="1332" spans="1:31" hidden="1">
      <c r="A1332" s="209">
        <v>9487032</v>
      </c>
      <c r="B1332" s="209" t="s">
        <v>1153</v>
      </c>
      <c r="C1332" s="210" t="s">
        <v>3306</v>
      </c>
      <c r="D1332" s="214">
        <v>20230233000018</v>
      </c>
      <c r="E1332" s="214">
        <v>7417183020061</v>
      </c>
      <c r="F1332" s="209" t="s">
        <v>1313</v>
      </c>
      <c r="G1332" s="209" t="s">
        <v>53</v>
      </c>
      <c r="H1332" s="209" t="s">
        <v>2716</v>
      </c>
      <c r="I1332" s="209" t="s">
        <v>2717</v>
      </c>
      <c r="J1332" s="209" t="s">
        <v>261</v>
      </c>
      <c r="K1332" s="210" t="s">
        <v>1316</v>
      </c>
      <c r="L1332" s="210"/>
      <c r="M1332" s="209" t="s">
        <v>58</v>
      </c>
      <c r="N1332" s="209">
        <v>0</v>
      </c>
      <c r="O1332" s="209" t="s">
        <v>36</v>
      </c>
      <c r="P1332" s="211" t="s">
        <v>3307</v>
      </c>
      <c r="Q1332" s="209"/>
      <c r="R1332" s="209">
        <v>14</v>
      </c>
      <c r="S1332" s="209"/>
      <c r="T1332" s="209" t="s">
        <v>238</v>
      </c>
      <c r="U1332" s="213">
        <v>44972.60465277778</v>
      </c>
      <c r="V1332" s="209" t="s">
        <v>41</v>
      </c>
      <c r="W1332" s="209" t="s">
        <v>49</v>
      </c>
      <c r="X1332" s="13" t="str">
        <f>IF(RIGHT(H1332,2)&lt;&gt;"00",H1332,"")</f>
        <v>0233.91</v>
      </c>
      <c r="Y1332" s="26">
        <f ca="1">NETWORKDAYS(P1332,$Y$1)</f>
        <v>11</v>
      </c>
      <c r="Z1332" s="34">
        <v>1</v>
      </c>
      <c r="AA1332" s="25" t="str">
        <f t="shared" ca="1" si="116"/>
        <v>A VENCER</v>
      </c>
      <c r="AB1332" s="25" t="str">
        <f t="shared" si="114"/>
        <v>TAAe+</v>
      </c>
      <c r="AC1332" s="2" t="str">
        <f t="shared" si="111"/>
        <v xml:space="preserve"> CRISTINA </v>
      </c>
      <c r="AD1332" s="26">
        <f t="shared" si="115"/>
        <v>8</v>
      </c>
      <c r="AE1332" s="26">
        <f t="shared" ca="1" si="117"/>
        <v>14.071618865738856</v>
      </c>
    </row>
    <row r="1333" spans="1:31" hidden="1">
      <c r="A1333" s="209">
        <v>9486990</v>
      </c>
      <c r="B1333" s="209" t="s">
        <v>62</v>
      </c>
      <c r="C1333" s="210" t="s">
        <v>3308</v>
      </c>
      <c r="D1333" s="214"/>
      <c r="E1333" s="214">
        <v>1924000203000</v>
      </c>
      <c r="F1333" s="209" t="s">
        <v>454</v>
      </c>
      <c r="G1333" s="209" t="s">
        <v>53</v>
      </c>
      <c r="H1333" s="209" t="s">
        <v>568</v>
      </c>
      <c r="I1333" s="209" t="s">
        <v>569</v>
      </c>
      <c r="J1333" s="209" t="s">
        <v>33</v>
      </c>
      <c r="K1333" s="210" t="s">
        <v>457</v>
      </c>
      <c r="L1333" s="210"/>
      <c r="M1333" s="209" t="s">
        <v>58</v>
      </c>
      <c r="N1333" s="209">
        <v>0</v>
      </c>
      <c r="O1333" s="209" t="s">
        <v>36</v>
      </c>
      <c r="P1333" s="211" t="s">
        <v>4164</v>
      </c>
      <c r="Q1333" s="209"/>
      <c r="R1333" s="209" t="s">
        <v>38</v>
      </c>
      <c r="S1333" s="209"/>
      <c r="T1333" s="209" t="s">
        <v>157</v>
      </c>
      <c r="U1333" s="213">
        <v>45008.75</v>
      </c>
      <c r="V1333" s="209" t="s">
        <v>41</v>
      </c>
      <c r="W1333" s="209" t="s">
        <v>49</v>
      </c>
      <c r="X1333" s="13" t="str">
        <f>IF(RIGHT(H1333,2)&lt;&gt;"00",H1333,"")</f>
        <v/>
      </c>
      <c r="Y1333" s="26">
        <f ca="1">NETWORKDAYS(P1333,$Y$1)</f>
        <v>11</v>
      </c>
      <c r="Z1333" s="34">
        <v>1</v>
      </c>
      <c r="AA1333" s="25" t="str">
        <f t="shared" ca="1" si="116"/>
        <v>A VENCER</v>
      </c>
      <c r="AB1333" s="25" t="str">
        <f t="shared" si="114"/>
        <v>C-14</v>
      </c>
      <c r="AC1333" s="2" t="str">
        <f t="shared" si="111"/>
        <v xml:space="preserve"> ROSEMERE </v>
      </c>
      <c r="AD1333" s="26">
        <f t="shared" si="115"/>
        <v>5</v>
      </c>
      <c r="AE1333" s="26">
        <f t="shared" ca="1" si="117"/>
        <v>14.063354976853589</v>
      </c>
    </row>
    <row r="1334" spans="1:31" hidden="1">
      <c r="A1334" s="209">
        <v>9486956</v>
      </c>
      <c r="B1334" s="209" t="s">
        <v>1153</v>
      </c>
      <c r="C1334" s="210" t="s">
        <v>3309</v>
      </c>
      <c r="D1334" s="214">
        <v>20231761000013</v>
      </c>
      <c r="E1334" s="214">
        <v>7419141893216</v>
      </c>
      <c r="F1334" s="209" t="s">
        <v>128</v>
      </c>
      <c r="G1334" s="209" t="s">
        <v>53</v>
      </c>
      <c r="H1334" s="209" t="s">
        <v>54</v>
      </c>
      <c r="I1334" s="209" t="s">
        <v>55</v>
      </c>
      <c r="J1334" s="209" t="s">
        <v>56</v>
      </c>
      <c r="K1334" s="210" t="s">
        <v>129</v>
      </c>
      <c r="L1334" s="210"/>
      <c r="M1334" s="209" t="s">
        <v>58</v>
      </c>
      <c r="N1334" s="209">
        <v>0</v>
      </c>
      <c r="O1334" s="209" t="s">
        <v>36</v>
      </c>
      <c r="P1334" s="211" t="s">
        <v>3310</v>
      </c>
      <c r="Q1334" s="209"/>
      <c r="R1334" s="209">
        <v>14</v>
      </c>
      <c r="S1334" s="209"/>
      <c r="T1334" s="209" t="s">
        <v>238</v>
      </c>
      <c r="U1334" s="213">
        <v>44972.590462962966</v>
      </c>
      <c r="V1334" s="209" t="s">
        <v>41</v>
      </c>
      <c r="W1334" s="209" t="s">
        <v>49</v>
      </c>
      <c r="X1334" s="13" t="str">
        <f>IF(RIGHT(H1334,2)&lt;&gt;"00",H1334,"")</f>
        <v>1761.91</v>
      </c>
      <c r="Y1334" s="26">
        <f ca="1">NETWORKDAYS(P1334,$Y$1)</f>
        <v>11</v>
      </c>
      <c r="Z1334" s="34">
        <v>1</v>
      </c>
      <c r="AA1334" s="25" t="str">
        <f t="shared" ca="1" si="116"/>
        <v>A VENCER</v>
      </c>
      <c r="AB1334" s="25" t="str">
        <f t="shared" ref="AB1334:AB1365" si="118">IF(F1334="GRPE-000001","C-14",IF(F1334="GRPE-000002","C-14",IF(F1334="GRPE-000003","C-14",IF(F1334="GRPE-000004","SL-On",IF(F1334="GRPE-000038","C-14",IF(F1334="GRPE-900022","Dosa",IF(F1334="GRPE-000029","Dosa",IF(F1334="ATOS-000222","Dose","TAAe+"))))))))</f>
        <v>TAAe+</v>
      </c>
      <c r="AC1334" s="2" t="str">
        <f t="shared" si="111"/>
        <v xml:space="preserve"> CRISTINA </v>
      </c>
      <c r="AD1334" s="26">
        <f t="shared" ref="AD1334:AD1365" si="119">IF(F1334="GRPE-000001",5,IF(F1334="GRPE-000002",5,IF(F1334="GRPE-000003",15,IF(F1334="GRPE-000004",1,IF(F1334="GRPE-000038",5,IF(F1334="GRPE-900022",5,IF(F1334="GRPE-000029",5,IF(F1334="ATOS-000222",5,8))))))))</f>
        <v>8</v>
      </c>
      <c r="AE1334" s="26">
        <f t="shared" ca="1" si="117"/>
        <v>14.085808680552873</v>
      </c>
    </row>
    <row r="1335" spans="1:31" hidden="1">
      <c r="A1335" s="209">
        <v>9486673</v>
      </c>
      <c r="B1335" s="209" t="s">
        <v>1153</v>
      </c>
      <c r="C1335" s="210" t="s">
        <v>3323</v>
      </c>
      <c r="D1335" s="214">
        <v>20230446000013</v>
      </c>
      <c r="E1335" s="214">
        <v>7417163284281</v>
      </c>
      <c r="F1335" s="209" t="s">
        <v>131</v>
      </c>
      <c r="G1335" s="209" t="s">
        <v>53</v>
      </c>
      <c r="H1335" s="209" t="s">
        <v>3324</v>
      </c>
      <c r="I1335" s="209" t="s">
        <v>3325</v>
      </c>
      <c r="J1335" s="209" t="s">
        <v>110</v>
      </c>
      <c r="K1335" s="210" t="s">
        <v>132</v>
      </c>
      <c r="L1335" s="210"/>
      <c r="M1335" s="209" t="s">
        <v>58</v>
      </c>
      <c r="N1335" s="209">
        <v>0</v>
      </c>
      <c r="O1335" s="209" t="s">
        <v>36</v>
      </c>
      <c r="P1335" s="211" t="s">
        <v>3326</v>
      </c>
      <c r="Q1335" s="209"/>
      <c r="R1335" s="209">
        <v>14</v>
      </c>
      <c r="S1335" s="209"/>
      <c r="T1335" s="209" t="s">
        <v>238</v>
      </c>
      <c r="U1335" s="213">
        <v>44972.550717592596</v>
      </c>
      <c r="V1335" s="209" t="s">
        <v>41</v>
      </c>
      <c r="W1335" s="209" t="s">
        <v>49</v>
      </c>
      <c r="X1335" s="13" t="str">
        <f>IF(RIGHT(H1335,2)&lt;&gt;"00",H1335,"")</f>
        <v>0446.91</v>
      </c>
      <c r="Y1335" s="26">
        <f ca="1">NETWORKDAYS(P1335,$Y$1)</f>
        <v>11</v>
      </c>
      <c r="Z1335" s="34">
        <v>1</v>
      </c>
      <c r="AA1335" s="25" t="str">
        <f t="shared" ca="1" si="116"/>
        <v>A VENCER</v>
      </c>
      <c r="AB1335" s="25" t="str">
        <f t="shared" si="118"/>
        <v>TAAe+</v>
      </c>
      <c r="AC1335" s="2" t="str">
        <f t="shared" si="111"/>
        <v xml:space="preserve"> CRISTINA </v>
      </c>
      <c r="AD1335" s="26">
        <f t="shared" si="119"/>
        <v>8</v>
      </c>
      <c r="AE1335" s="26">
        <f t="shared" ca="1" si="117"/>
        <v>14.125554050922801</v>
      </c>
    </row>
    <row r="1336" spans="1:31" hidden="1">
      <c r="A1336" s="209">
        <v>9486166</v>
      </c>
      <c r="B1336" s="209" t="s">
        <v>1153</v>
      </c>
      <c r="C1336" s="210" t="s">
        <v>3341</v>
      </c>
      <c r="D1336" s="214">
        <v>20234844000473</v>
      </c>
      <c r="E1336" s="214">
        <v>7419143322502</v>
      </c>
      <c r="F1336" s="209" t="s">
        <v>1222</v>
      </c>
      <c r="G1336" s="209" t="s">
        <v>53</v>
      </c>
      <c r="H1336" s="209" t="s">
        <v>2395</v>
      </c>
      <c r="I1336" s="209" t="s">
        <v>2396</v>
      </c>
      <c r="J1336" s="209" t="s">
        <v>46</v>
      </c>
      <c r="K1336" s="210" t="s">
        <v>1223</v>
      </c>
      <c r="L1336" s="210"/>
      <c r="M1336" s="209" t="s">
        <v>58</v>
      </c>
      <c r="N1336" s="209">
        <v>0</v>
      </c>
      <c r="O1336" s="209" t="s">
        <v>36</v>
      </c>
      <c r="P1336" s="211" t="s">
        <v>3342</v>
      </c>
      <c r="Q1336" s="209"/>
      <c r="R1336" s="209">
        <v>13</v>
      </c>
      <c r="S1336" s="209"/>
      <c r="T1336" s="209" t="s">
        <v>238</v>
      </c>
      <c r="U1336" s="213">
        <v>44972.46837962963</v>
      </c>
      <c r="V1336" s="209" t="s">
        <v>41</v>
      </c>
      <c r="W1336" s="209" t="s">
        <v>49</v>
      </c>
      <c r="X1336" s="13" t="str">
        <f>IF(RIGHT(H1336,2)&lt;&gt;"00",H1336,"")</f>
        <v>4844.08</v>
      </c>
      <c r="Y1336" s="26">
        <f ca="1">NETWORKDAYS(P1336,$Y$1)</f>
        <v>11</v>
      </c>
      <c r="Z1336" s="34">
        <v>1</v>
      </c>
      <c r="AA1336" s="25" t="str">
        <f t="shared" ref="AA1336:AA1367" ca="1" si="120">IF(AE1336=0,"HOJE",IF(AE1336&gt;0,"A VENCER",IF(AE1336&lt;0,"VENCIDO")))</f>
        <v>A VENCER</v>
      </c>
      <c r="AB1336" s="25" t="str">
        <f t="shared" si="118"/>
        <v>TAAe+</v>
      </c>
      <c r="AC1336" s="2" t="str">
        <f t="shared" si="111"/>
        <v xml:space="preserve"> CLEITON </v>
      </c>
      <c r="AD1336" s="26">
        <f t="shared" si="119"/>
        <v>8</v>
      </c>
      <c r="AE1336" s="26">
        <f t="shared" ref="AE1336:AE1367" ca="1" si="121">IF(P1336=$AE$1,"",$AE$1-P1336)</f>
        <v>14.20789201388834</v>
      </c>
    </row>
    <row r="1337" spans="1:31" hidden="1">
      <c r="A1337" s="209">
        <v>9485948</v>
      </c>
      <c r="B1337" s="209" t="s">
        <v>1153</v>
      </c>
      <c r="C1337" s="210" t="s">
        <v>3353</v>
      </c>
      <c r="D1337" s="214">
        <v>230029375</v>
      </c>
      <c r="E1337" s="214">
        <v>2669001400020</v>
      </c>
      <c r="F1337" s="209" t="s">
        <v>1961</v>
      </c>
      <c r="G1337" s="209" t="s">
        <v>53</v>
      </c>
      <c r="H1337" s="209" t="s">
        <v>561</v>
      </c>
      <c r="I1337" s="209" t="s">
        <v>562</v>
      </c>
      <c r="J1337" s="209" t="s">
        <v>110</v>
      </c>
      <c r="K1337" s="210" t="s">
        <v>1962</v>
      </c>
      <c r="L1337" s="210"/>
      <c r="M1337" s="209" t="s">
        <v>58</v>
      </c>
      <c r="N1337" s="209">
        <v>0</v>
      </c>
      <c r="O1337" s="209" t="s">
        <v>36</v>
      </c>
      <c r="P1337" s="211" t="s">
        <v>3354</v>
      </c>
      <c r="Q1337" s="209"/>
      <c r="R1337" s="209">
        <v>4</v>
      </c>
      <c r="S1337" s="209"/>
      <c r="T1337" s="209" t="s">
        <v>646</v>
      </c>
      <c r="U1337" s="213">
        <v>44994.729166666664</v>
      </c>
      <c r="V1337" s="209" t="s">
        <v>41</v>
      </c>
      <c r="W1337" s="209" t="s">
        <v>49</v>
      </c>
      <c r="X1337" s="13" t="str">
        <f>IF(RIGHT(H1337,2)&lt;&gt;"00",H1337,"")</f>
        <v/>
      </c>
      <c r="Y1337" s="26">
        <f ca="1">NETWORKDAYS(P1337,$Y$1)</f>
        <v>11</v>
      </c>
      <c r="Z1337" s="34">
        <v>1</v>
      </c>
      <c r="AA1337" s="25" t="str">
        <f t="shared" ca="1" si="120"/>
        <v>A VENCER</v>
      </c>
      <c r="AB1337" s="25" t="str">
        <f t="shared" si="118"/>
        <v>C-14</v>
      </c>
      <c r="AC1337" s="2" t="str">
        <f t="shared" si="111"/>
        <v xml:space="preserve"> CRISTINA </v>
      </c>
      <c r="AD1337" s="26">
        <f t="shared" si="119"/>
        <v>5</v>
      </c>
      <c r="AE1337" s="26">
        <f t="shared" ca="1" si="121"/>
        <v>14.21850543981418</v>
      </c>
    </row>
    <row r="1338" spans="1:31" hidden="1">
      <c r="A1338" s="209">
        <v>9485898</v>
      </c>
      <c r="B1338" s="209" t="s">
        <v>1153</v>
      </c>
      <c r="C1338" s="210" t="s">
        <v>3356</v>
      </c>
      <c r="D1338" s="214">
        <v>20230067000019</v>
      </c>
      <c r="E1338" s="214">
        <v>7417183020616</v>
      </c>
      <c r="F1338" s="209" t="s">
        <v>1313</v>
      </c>
      <c r="G1338" s="209" t="s">
        <v>53</v>
      </c>
      <c r="H1338" s="209" t="s">
        <v>2091</v>
      </c>
      <c r="I1338" s="209" t="s">
        <v>2092</v>
      </c>
      <c r="J1338" s="209" t="s">
        <v>164</v>
      </c>
      <c r="K1338" s="210" t="s">
        <v>1316</v>
      </c>
      <c r="L1338" s="210"/>
      <c r="M1338" s="209" t="s">
        <v>58</v>
      </c>
      <c r="N1338" s="209">
        <v>0</v>
      </c>
      <c r="O1338" s="209" t="s">
        <v>36</v>
      </c>
      <c r="P1338" s="211" t="s">
        <v>3357</v>
      </c>
      <c r="Q1338" s="209"/>
      <c r="R1338" s="209">
        <v>14</v>
      </c>
      <c r="S1338" s="209"/>
      <c r="T1338" s="209" t="s">
        <v>238</v>
      </c>
      <c r="U1338" s="213">
        <v>44972.437141203707</v>
      </c>
      <c r="V1338" s="209" t="s">
        <v>41</v>
      </c>
      <c r="W1338" s="209" t="s">
        <v>49</v>
      </c>
      <c r="X1338" s="13" t="str">
        <f>IF(RIGHT(H1338,2)&lt;&gt;"00",H1338,"")</f>
        <v>0067.91</v>
      </c>
      <c r="Y1338" s="26">
        <f ca="1">NETWORKDAYS(P1338,$Y$1)</f>
        <v>11</v>
      </c>
      <c r="Z1338" s="34">
        <v>1</v>
      </c>
      <c r="AA1338" s="25" t="str">
        <f t="shared" ca="1" si="120"/>
        <v>A VENCER</v>
      </c>
      <c r="AB1338" s="25" t="str">
        <f t="shared" si="118"/>
        <v>TAAe+</v>
      </c>
      <c r="AC1338" s="2" t="str">
        <f t="shared" si="111"/>
        <v xml:space="preserve"> ROSEMERE </v>
      </c>
      <c r="AD1338" s="26">
        <f t="shared" si="119"/>
        <v>8</v>
      </c>
      <c r="AE1338" s="26">
        <f t="shared" ca="1" si="121"/>
        <v>14.239130439811561</v>
      </c>
    </row>
    <row r="1339" spans="1:31" hidden="1">
      <c r="A1339" s="209">
        <v>9485890</v>
      </c>
      <c r="B1339" s="209" t="s">
        <v>1153</v>
      </c>
      <c r="C1339" s="210" t="s">
        <v>3358</v>
      </c>
      <c r="D1339" s="214">
        <v>230029350</v>
      </c>
      <c r="E1339" s="214">
        <v>2138001400030</v>
      </c>
      <c r="F1339" s="209" t="s">
        <v>647</v>
      </c>
      <c r="G1339" s="209" t="s">
        <v>53</v>
      </c>
      <c r="H1339" s="209" t="s">
        <v>379</v>
      </c>
      <c r="I1339" s="209" t="s">
        <v>380</v>
      </c>
      <c r="J1339" s="209" t="s">
        <v>46</v>
      </c>
      <c r="K1339" s="210" t="s">
        <v>650</v>
      </c>
      <c r="L1339" s="210"/>
      <c r="M1339" s="209" t="s">
        <v>58</v>
      </c>
      <c r="N1339" s="209">
        <v>0</v>
      </c>
      <c r="O1339" s="209" t="s">
        <v>36</v>
      </c>
      <c r="P1339" s="211" t="s">
        <v>3359</v>
      </c>
      <c r="Q1339" s="209"/>
      <c r="R1339" s="209">
        <v>4</v>
      </c>
      <c r="S1339" s="209"/>
      <c r="T1339" s="209" t="s">
        <v>646</v>
      </c>
      <c r="U1339" s="213">
        <v>44979.645833333336</v>
      </c>
      <c r="V1339" s="209" t="s">
        <v>41</v>
      </c>
      <c r="W1339" s="209" t="s">
        <v>49</v>
      </c>
      <c r="X1339" s="13" t="str">
        <f>IF(RIGHT(H1339,2)&lt;&gt;"00",H1339,"")</f>
        <v/>
      </c>
      <c r="Y1339" s="26">
        <f ca="1">NETWORKDAYS(P1339,$Y$1)</f>
        <v>11</v>
      </c>
      <c r="Z1339" s="34">
        <v>1</v>
      </c>
      <c r="AA1339" s="25" t="str">
        <f t="shared" ca="1" si="120"/>
        <v>A VENCER</v>
      </c>
      <c r="AB1339" s="25" t="str">
        <f t="shared" si="118"/>
        <v>C-14</v>
      </c>
      <c r="AC1339" s="2" t="str">
        <f t="shared" si="111"/>
        <v xml:space="preserve"> CLEITON </v>
      </c>
      <c r="AD1339" s="26">
        <f t="shared" si="119"/>
        <v>15</v>
      </c>
      <c r="AE1339" s="26">
        <f t="shared" ca="1" si="121"/>
        <v>14.224882754628197</v>
      </c>
    </row>
    <row r="1340" spans="1:31" hidden="1">
      <c r="A1340" s="218">
        <v>9485767</v>
      </c>
      <c r="B1340" s="218" t="s">
        <v>1153</v>
      </c>
      <c r="C1340" s="219" t="s">
        <v>3368</v>
      </c>
      <c r="D1340" s="220"/>
      <c r="E1340" s="220">
        <v>9705000206205</v>
      </c>
      <c r="F1340" s="218" t="s">
        <v>208</v>
      </c>
      <c r="G1340" s="218" t="s">
        <v>53</v>
      </c>
      <c r="H1340" s="218" t="s">
        <v>204</v>
      </c>
      <c r="I1340" s="218" t="s">
        <v>205</v>
      </c>
      <c r="J1340" s="218" t="s">
        <v>90</v>
      </c>
      <c r="K1340" s="210" t="s">
        <v>212</v>
      </c>
      <c r="L1340" s="210"/>
      <c r="M1340" s="209" t="s">
        <v>35</v>
      </c>
      <c r="N1340" s="209">
        <v>42318949</v>
      </c>
      <c r="O1340" s="209" t="s">
        <v>36</v>
      </c>
      <c r="P1340" s="211" t="s">
        <v>3369</v>
      </c>
      <c r="Q1340" s="209"/>
      <c r="R1340" s="209" t="s">
        <v>38</v>
      </c>
      <c r="S1340" s="209"/>
      <c r="T1340" s="209" t="s">
        <v>74</v>
      </c>
      <c r="U1340" s="213">
        <v>44988.607638888891</v>
      </c>
      <c r="V1340" s="209" t="s">
        <v>41</v>
      </c>
      <c r="W1340" s="209" t="s">
        <v>49</v>
      </c>
      <c r="X1340" s="13" t="str">
        <f>IF(RIGHT(H1340,2)&lt;&gt;"00",H1340,"")</f>
        <v/>
      </c>
      <c r="Y1340" s="26">
        <f ca="1">NETWORKDAYS(P1340,$Y$1)</f>
        <v>11</v>
      </c>
      <c r="Z1340" s="34">
        <v>1</v>
      </c>
      <c r="AA1340" s="25" t="str">
        <f t="shared" ca="1" si="120"/>
        <v>A VENCER</v>
      </c>
      <c r="AB1340" s="25" t="str">
        <f t="shared" si="118"/>
        <v>TAAe+</v>
      </c>
      <c r="AC1340" s="2" t="str">
        <f t="shared" si="111"/>
        <v xml:space="preserve"> RINALDO </v>
      </c>
      <c r="AD1340" s="26">
        <f t="shared" si="119"/>
        <v>8</v>
      </c>
      <c r="AE1340" s="26">
        <f t="shared" ca="1" si="121"/>
        <v>14.237949884256523</v>
      </c>
    </row>
    <row r="1341" spans="1:31" hidden="1">
      <c r="A1341" s="209">
        <v>9485709</v>
      </c>
      <c r="B1341" s="209" t="s">
        <v>1153</v>
      </c>
      <c r="C1341" s="210" t="s">
        <v>3372</v>
      </c>
      <c r="D1341" s="214">
        <v>20230922000026</v>
      </c>
      <c r="E1341" s="214">
        <v>7417183020103</v>
      </c>
      <c r="F1341" s="209" t="s">
        <v>1313</v>
      </c>
      <c r="G1341" s="209" t="s">
        <v>53</v>
      </c>
      <c r="H1341" s="209" t="s">
        <v>2410</v>
      </c>
      <c r="I1341" s="209" t="s">
        <v>2411</v>
      </c>
      <c r="J1341" s="209" t="s">
        <v>261</v>
      </c>
      <c r="K1341" s="210" t="s">
        <v>1316</v>
      </c>
      <c r="L1341" s="210"/>
      <c r="M1341" s="209" t="s">
        <v>58</v>
      </c>
      <c r="N1341" s="209">
        <v>0</v>
      </c>
      <c r="O1341" s="209" t="s">
        <v>36</v>
      </c>
      <c r="P1341" s="211" t="s">
        <v>3373</v>
      </c>
      <c r="Q1341" s="209"/>
      <c r="R1341" s="209">
        <v>14</v>
      </c>
      <c r="S1341" s="209"/>
      <c r="T1341" s="209" t="s">
        <v>238</v>
      </c>
      <c r="U1341" s="211" t="s">
        <v>3373</v>
      </c>
      <c r="V1341" s="209" t="s">
        <v>41</v>
      </c>
      <c r="W1341" s="209" t="s">
        <v>49</v>
      </c>
      <c r="X1341" s="13" t="str">
        <f>IF(RIGHT(H1341,2)&lt;&gt;"00",H1341,"")</f>
        <v>0922.91</v>
      </c>
      <c r="Y1341" s="26">
        <f ca="1">NETWORKDAYS(P1341,$Y$1)</f>
        <v>11</v>
      </c>
      <c r="Z1341" s="34">
        <v>1</v>
      </c>
      <c r="AA1341" s="25" t="str">
        <f t="shared" ca="1" si="120"/>
        <v>A VENCER</v>
      </c>
      <c r="AB1341" s="25" t="str">
        <f t="shared" si="118"/>
        <v>TAAe+</v>
      </c>
      <c r="AC1341" s="2" t="str">
        <f t="shared" si="111"/>
        <v xml:space="preserve"> CRISTINA </v>
      </c>
      <c r="AD1341" s="26">
        <f t="shared" si="119"/>
        <v>8</v>
      </c>
      <c r="AE1341" s="26">
        <f t="shared" ca="1" si="121"/>
        <v>14.254720717595774</v>
      </c>
    </row>
    <row r="1342" spans="1:31" hidden="1">
      <c r="A1342" s="209">
        <v>9491727</v>
      </c>
      <c r="B1342" s="209" t="s">
        <v>1153</v>
      </c>
      <c r="C1342" s="210" t="s">
        <v>3662</v>
      </c>
      <c r="D1342" s="214">
        <v>20230600000010</v>
      </c>
      <c r="E1342" s="214">
        <v>7417172780612</v>
      </c>
      <c r="F1342" s="209" t="s">
        <v>1989</v>
      </c>
      <c r="G1342" s="209" t="s">
        <v>53</v>
      </c>
      <c r="H1342" s="209" t="s">
        <v>1084</v>
      </c>
      <c r="I1342" s="209" t="s">
        <v>1085</v>
      </c>
      <c r="J1342" s="209" t="s">
        <v>90</v>
      </c>
      <c r="K1342" s="210" t="s">
        <v>1990</v>
      </c>
      <c r="L1342" s="210"/>
      <c r="M1342" s="209" t="s">
        <v>58</v>
      </c>
      <c r="N1342" s="209">
        <v>0</v>
      </c>
      <c r="O1342" s="209" t="s">
        <v>36</v>
      </c>
      <c r="P1342" s="211" t="s">
        <v>4168</v>
      </c>
      <c r="Q1342" s="209"/>
      <c r="R1342" s="209">
        <v>22</v>
      </c>
      <c r="S1342" s="209"/>
      <c r="T1342" s="209" t="s">
        <v>1160</v>
      </c>
      <c r="U1342" s="213">
        <v>44980.541585648149</v>
      </c>
      <c r="V1342" s="209" t="s">
        <v>41</v>
      </c>
      <c r="W1342" s="209" t="s">
        <v>49</v>
      </c>
      <c r="X1342" s="13" t="str">
        <f>IF(RIGHT(H1342,2)&lt;&gt;"00",H1342,"")</f>
        <v/>
      </c>
      <c r="Y1342" s="26">
        <f ca="1">NETWORKDAYS(P1342,$Y$1)</f>
        <v>10</v>
      </c>
      <c r="Z1342" s="34">
        <v>1</v>
      </c>
      <c r="AA1342" s="25" t="str">
        <f t="shared" ca="1" si="120"/>
        <v>A VENCER</v>
      </c>
      <c r="AB1342" s="25" t="str">
        <f t="shared" si="118"/>
        <v>TAAe+</v>
      </c>
      <c r="AC1342" s="2" t="str">
        <f t="shared" si="111"/>
        <v xml:space="preserve"> RINALDO </v>
      </c>
      <c r="AD1342" s="26">
        <f t="shared" si="119"/>
        <v>8</v>
      </c>
      <c r="AE1342" s="26">
        <f t="shared" ca="1" si="121"/>
        <v>12.96801932870585</v>
      </c>
    </row>
    <row r="1343" spans="1:31" hidden="1">
      <c r="A1343" s="209">
        <v>9491726</v>
      </c>
      <c r="B1343" s="209" t="s">
        <v>1153</v>
      </c>
      <c r="C1343" s="210" t="s">
        <v>3662</v>
      </c>
      <c r="D1343" s="214">
        <v>20230600000009</v>
      </c>
      <c r="E1343" s="214">
        <v>7417172780624</v>
      </c>
      <c r="F1343" s="209" t="s">
        <v>1989</v>
      </c>
      <c r="G1343" s="209" t="s">
        <v>53</v>
      </c>
      <c r="H1343" s="209" t="s">
        <v>1084</v>
      </c>
      <c r="I1343" s="209" t="s">
        <v>1085</v>
      </c>
      <c r="J1343" s="209" t="s">
        <v>90</v>
      </c>
      <c r="K1343" s="210" t="s">
        <v>1990</v>
      </c>
      <c r="L1343" s="210"/>
      <c r="M1343" s="209" t="s">
        <v>58</v>
      </c>
      <c r="N1343" s="209">
        <v>0</v>
      </c>
      <c r="O1343" s="209" t="s">
        <v>36</v>
      </c>
      <c r="P1343" s="211" t="s">
        <v>4170</v>
      </c>
      <c r="Q1343" s="209"/>
      <c r="R1343" s="209">
        <v>22</v>
      </c>
      <c r="S1343" s="209"/>
      <c r="T1343" s="209" t="s">
        <v>1160</v>
      </c>
      <c r="U1343" s="211" t="s">
        <v>4171</v>
      </c>
      <c r="V1343" s="209" t="s">
        <v>41</v>
      </c>
      <c r="W1343" s="209" t="s">
        <v>49</v>
      </c>
      <c r="X1343" s="13" t="str">
        <f>IF(RIGHT(H1343,2)&lt;&gt;"00",H1343,"")</f>
        <v/>
      </c>
      <c r="Y1343" s="26">
        <f ca="1">NETWORKDAYS(P1343,$Y$1)</f>
        <v>10</v>
      </c>
      <c r="Z1343" s="34">
        <v>1</v>
      </c>
      <c r="AA1343" s="25" t="str">
        <f t="shared" ca="1" si="120"/>
        <v>A VENCER</v>
      </c>
      <c r="AB1343" s="25" t="str">
        <f t="shared" si="118"/>
        <v>TAAe+</v>
      </c>
      <c r="AC1343" s="2" t="str">
        <f t="shared" si="111"/>
        <v xml:space="preserve"> RINALDO </v>
      </c>
      <c r="AD1343" s="26">
        <f t="shared" si="119"/>
        <v>8</v>
      </c>
      <c r="AE1343" s="26">
        <f t="shared" ca="1" si="121"/>
        <v>12.96842442129855</v>
      </c>
    </row>
    <row r="1344" spans="1:31" hidden="1">
      <c r="A1344" s="209">
        <v>9491434</v>
      </c>
      <c r="B1344" s="209" t="s">
        <v>1153</v>
      </c>
      <c r="C1344" s="210" t="s">
        <v>3666</v>
      </c>
      <c r="D1344" s="214">
        <v>20231291000008</v>
      </c>
      <c r="E1344" s="214">
        <v>7417163283751</v>
      </c>
      <c r="F1344" s="209" t="s">
        <v>131</v>
      </c>
      <c r="G1344" s="209" t="s">
        <v>53</v>
      </c>
      <c r="H1344" s="209" t="s">
        <v>3667</v>
      </c>
      <c r="I1344" s="209" t="s">
        <v>3668</v>
      </c>
      <c r="J1344" s="209" t="s">
        <v>33</v>
      </c>
      <c r="K1344" s="210" t="s">
        <v>132</v>
      </c>
      <c r="L1344" s="210"/>
      <c r="M1344" s="209" t="s">
        <v>58</v>
      </c>
      <c r="N1344" s="209">
        <v>0</v>
      </c>
      <c r="O1344" s="209" t="s">
        <v>36</v>
      </c>
      <c r="P1344" s="211" t="s">
        <v>4172</v>
      </c>
      <c r="Q1344" s="209"/>
      <c r="R1344" s="209">
        <v>14</v>
      </c>
      <c r="S1344" s="209"/>
      <c r="T1344" s="209" t="s">
        <v>238</v>
      </c>
      <c r="U1344" s="211" t="s">
        <v>4172</v>
      </c>
      <c r="V1344" s="209" t="s">
        <v>41</v>
      </c>
      <c r="W1344" s="209" t="s">
        <v>42</v>
      </c>
      <c r="X1344" s="13" t="str">
        <f>IF(RIGHT(H1344,2)&lt;&gt;"00",H1344,"")</f>
        <v>1291.91</v>
      </c>
      <c r="Y1344" s="26">
        <f ca="1">NETWORKDAYS(P1344,$Y$1)</f>
        <v>10</v>
      </c>
      <c r="Z1344" s="34">
        <v>1</v>
      </c>
      <c r="AA1344" s="25" t="str">
        <f t="shared" ca="1" si="120"/>
        <v>A VENCER</v>
      </c>
      <c r="AB1344" s="25" t="str">
        <f t="shared" si="118"/>
        <v>TAAe+</v>
      </c>
      <c r="AC1344" s="2" t="str">
        <f t="shared" si="111"/>
        <v xml:space="preserve"> ROSEMERE </v>
      </c>
      <c r="AD1344" s="26">
        <f t="shared" si="119"/>
        <v>8</v>
      </c>
      <c r="AE1344" s="26">
        <f t="shared" ca="1" si="121"/>
        <v>13.036769328704395</v>
      </c>
    </row>
    <row r="1345" spans="1:31" hidden="1">
      <c r="A1345" s="209">
        <v>9491359</v>
      </c>
      <c r="B1345" s="209" t="s">
        <v>1153</v>
      </c>
      <c r="C1345" s="210" t="s">
        <v>3669</v>
      </c>
      <c r="D1345" s="214">
        <v>20230594000014</v>
      </c>
      <c r="E1345" s="214">
        <v>7417163280924</v>
      </c>
      <c r="F1345" s="209" t="s">
        <v>131</v>
      </c>
      <c r="G1345" s="209" t="s">
        <v>53</v>
      </c>
      <c r="H1345" s="209" t="s">
        <v>3670</v>
      </c>
      <c r="I1345" s="209" t="s">
        <v>3671</v>
      </c>
      <c r="J1345" s="209" t="s">
        <v>33</v>
      </c>
      <c r="K1345" s="210" t="s">
        <v>132</v>
      </c>
      <c r="L1345" s="210"/>
      <c r="M1345" s="209" t="s">
        <v>58</v>
      </c>
      <c r="N1345" s="209">
        <v>0</v>
      </c>
      <c r="O1345" s="209" t="s">
        <v>36</v>
      </c>
      <c r="P1345" s="211" t="s">
        <v>4173</v>
      </c>
      <c r="Q1345" s="209"/>
      <c r="R1345" s="209">
        <v>15</v>
      </c>
      <c r="S1345" s="209"/>
      <c r="T1345" s="209" t="s">
        <v>238</v>
      </c>
      <c r="U1345" s="211" t="s">
        <v>4173</v>
      </c>
      <c r="V1345" s="209" t="s">
        <v>41</v>
      </c>
      <c r="W1345" s="209" t="s">
        <v>42</v>
      </c>
      <c r="X1345" s="13" t="str">
        <f>IF(RIGHT(H1345,2)&lt;&gt;"00",H1345,"")</f>
        <v>0594.91</v>
      </c>
      <c r="Y1345" s="26">
        <f ca="1">NETWORKDAYS(P1345,$Y$1)</f>
        <v>10</v>
      </c>
      <c r="Z1345" s="34">
        <v>1</v>
      </c>
      <c r="AA1345" s="25" t="str">
        <f t="shared" ca="1" si="120"/>
        <v>A VENCER</v>
      </c>
      <c r="AB1345" s="25" t="str">
        <f t="shared" si="118"/>
        <v>TAAe+</v>
      </c>
      <c r="AC1345" s="2" t="str">
        <f t="shared" si="111"/>
        <v xml:space="preserve"> ROSEMERE </v>
      </c>
      <c r="AD1345" s="26">
        <f t="shared" si="119"/>
        <v>8</v>
      </c>
      <c r="AE1345" s="26">
        <f t="shared" ca="1" si="121"/>
        <v>13.055380439815053</v>
      </c>
    </row>
    <row r="1346" spans="1:31">
      <c r="A1346" s="216">
        <v>9491259</v>
      </c>
      <c r="B1346" s="216" t="s">
        <v>1153</v>
      </c>
      <c r="C1346" s="182" t="s">
        <v>3991</v>
      </c>
      <c r="D1346" s="217">
        <v>20231061000013</v>
      </c>
      <c r="E1346" s="217">
        <v>7419141892055</v>
      </c>
      <c r="F1346" s="216" t="s">
        <v>128</v>
      </c>
      <c r="G1346" s="216" t="s">
        <v>53</v>
      </c>
      <c r="H1346" s="216" t="s">
        <v>3674</v>
      </c>
      <c r="I1346" s="216" t="s">
        <v>3675</v>
      </c>
      <c r="J1346" s="216" t="s">
        <v>85</v>
      </c>
      <c r="K1346" s="210" t="s">
        <v>129</v>
      </c>
      <c r="L1346" s="210"/>
      <c r="M1346" s="209" t="s">
        <v>58</v>
      </c>
      <c r="N1346" s="209">
        <v>0</v>
      </c>
      <c r="O1346" s="209" t="s">
        <v>36</v>
      </c>
      <c r="P1346" s="211" t="s">
        <v>4174</v>
      </c>
      <c r="Q1346" s="209"/>
      <c r="R1346" s="209">
        <v>14</v>
      </c>
      <c r="S1346" s="209"/>
      <c r="T1346" s="209" t="s">
        <v>238</v>
      </c>
      <c r="U1346" s="211" t="s">
        <v>4174</v>
      </c>
      <c r="V1346" s="209" t="s">
        <v>41</v>
      </c>
      <c r="W1346" s="209" t="s">
        <v>49</v>
      </c>
      <c r="X1346" s="13" t="str">
        <f>IF(RIGHT(H1346,2)&lt;&gt;"00",H1346,"")</f>
        <v>1061.91</v>
      </c>
      <c r="Y1346" s="26">
        <f ca="1">NETWORKDAYS(P1346,$Y$1)</f>
        <v>10</v>
      </c>
      <c r="Z1346" s="34">
        <v>1</v>
      </c>
      <c r="AA1346" s="25" t="str">
        <f t="shared" ca="1" si="120"/>
        <v>A VENCER</v>
      </c>
      <c r="AB1346" s="25" t="str">
        <f t="shared" si="118"/>
        <v>TAAe+</v>
      </c>
      <c r="AC1346" s="2" t="str">
        <f t="shared" si="111"/>
        <v xml:space="preserve"> RINALDO </v>
      </c>
      <c r="AD1346" s="26">
        <f t="shared" si="119"/>
        <v>8</v>
      </c>
      <c r="AE1346" s="26">
        <f t="shared" ca="1" si="121"/>
        <v>13.077810995368054</v>
      </c>
    </row>
    <row r="1347" spans="1:31" hidden="1">
      <c r="A1347" s="209">
        <v>9491033</v>
      </c>
      <c r="B1347" s="209" t="s">
        <v>1153</v>
      </c>
      <c r="C1347" s="210" t="s">
        <v>3676</v>
      </c>
      <c r="D1347" s="214">
        <v>20230067000021</v>
      </c>
      <c r="E1347" s="214">
        <v>7417163283166</v>
      </c>
      <c r="F1347" s="209" t="s">
        <v>131</v>
      </c>
      <c r="G1347" s="209" t="s">
        <v>53</v>
      </c>
      <c r="H1347" s="209" t="s">
        <v>2091</v>
      </c>
      <c r="I1347" s="209" t="s">
        <v>2092</v>
      </c>
      <c r="J1347" s="209" t="s">
        <v>164</v>
      </c>
      <c r="K1347" s="210" t="s">
        <v>132</v>
      </c>
      <c r="L1347" s="210"/>
      <c r="M1347" s="209" t="s">
        <v>58</v>
      </c>
      <c r="N1347" s="209">
        <v>0</v>
      </c>
      <c r="O1347" s="209" t="s">
        <v>36</v>
      </c>
      <c r="P1347" s="211" t="s">
        <v>4175</v>
      </c>
      <c r="Q1347" s="209"/>
      <c r="R1347" s="209">
        <v>14</v>
      </c>
      <c r="S1347" s="209"/>
      <c r="T1347" s="209" t="s">
        <v>238</v>
      </c>
      <c r="U1347" s="211" t="s">
        <v>4175</v>
      </c>
      <c r="V1347" s="209" t="s">
        <v>41</v>
      </c>
      <c r="W1347" s="209" t="s">
        <v>49</v>
      </c>
      <c r="X1347" s="13" t="str">
        <f>IF(RIGHT(H1347,2)&lt;&gt;"00",H1347,"")</f>
        <v>0067.91</v>
      </c>
      <c r="Y1347" s="26">
        <f ca="1">NETWORKDAYS(P1347,$Y$1)</f>
        <v>10</v>
      </c>
      <c r="Z1347" s="34">
        <v>1</v>
      </c>
      <c r="AA1347" s="25" t="str">
        <f t="shared" ca="1" si="120"/>
        <v>A VENCER</v>
      </c>
      <c r="AB1347" s="25" t="str">
        <f t="shared" si="118"/>
        <v>TAAe+</v>
      </c>
      <c r="AC1347" s="2" t="str">
        <f t="shared" ref="AC1347:AC1410" si="122">IF(J1347="TR-PETROLINA"," ROSEMERE ",IF(J1347="TR-GARANHUNS"," ROSEMERE ",IF(J1347="TR-CARUARU"," ROSEMERE ",IF(J1347="TR-RIBEIRAO"," CRISTINA ",IF(J1347="TR-GRAVATA"," CRISTINA ",IF(J1347="TR-GOIANA"," CRISTINA ",IF(J1347="TR-LIMOEIRO"," CRISTINA ",IF(J1347="TR-SERRA TALHADA"," RINALDO ",IF(J1347="TR-SALGUEIRO"," RINALDO ",IF(J1347="TR-CARNAIBA"," RINALDO ",IF(J1347="TR-ARCOVERDE"," RINALDO ",IF(J1347="CAT-RECIFE"," CLEITON ",))))))))))))</f>
        <v xml:space="preserve"> ROSEMERE </v>
      </c>
      <c r="AD1347" s="26">
        <f t="shared" si="119"/>
        <v>8</v>
      </c>
      <c r="AE1347" s="26">
        <f t="shared" ca="1" si="121"/>
        <v>13.139581828705559</v>
      </c>
    </row>
    <row r="1348" spans="1:31" hidden="1">
      <c r="A1348" s="209">
        <v>9490757</v>
      </c>
      <c r="B1348" s="209" t="s">
        <v>1153</v>
      </c>
      <c r="C1348" s="210" t="s">
        <v>3680</v>
      </c>
      <c r="D1348" s="214">
        <v>20234844000490</v>
      </c>
      <c r="E1348" s="214">
        <v>7417183020653</v>
      </c>
      <c r="F1348" s="209" t="s">
        <v>1313</v>
      </c>
      <c r="G1348" s="209" t="s">
        <v>53</v>
      </c>
      <c r="H1348" s="209" t="s">
        <v>2357</v>
      </c>
      <c r="I1348" s="209" t="s">
        <v>2358</v>
      </c>
      <c r="J1348" s="209" t="s">
        <v>46</v>
      </c>
      <c r="K1348" s="210" t="s">
        <v>1316</v>
      </c>
      <c r="L1348" s="210"/>
      <c r="M1348" s="209" t="s">
        <v>58</v>
      </c>
      <c r="N1348" s="209">
        <v>0</v>
      </c>
      <c r="O1348" s="209" t="s">
        <v>36</v>
      </c>
      <c r="P1348" s="211" t="s">
        <v>4176</v>
      </c>
      <c r="Q1348" s="209"/>
      <c r="R1348" s="209">
        <v>13</v>
      </c>
      <c r="S1348" s="209"/>
      <c r="T1348" s="209" t="s">
        <v>238</v>
      </c>
      <c r="U1348" s="213">
        <v>44973.468148148146</v>
      </c>
      <c r="V1348" s="209" t="s">
        <v>41</v>
      </c>
      <c r="W1348" s="209" t="s">
        <v>49</v>
      </c>
      <c r="X1348" s="13" t="str">
        <f>IF(RIGHT(H1348,2)&lt;&gt;"00",H1348,"")</f>
        <v>4844.12</v>
      </c>
      <c r="Y1348" s="26">
        <f ca="1">NETWORKDAYS(P1348,$Y$1)</f>
        <v>10</v>
      </c>
      <c r="Z1348" s="34">
        <v>1</v>
      </c>
      <c r="AA1348" s="25" t="str">
        <f t="shared" ca="1" si="120"/>
        <v>A VENCER</v>
      </c>
      <c r="AB1348" s="25" t="str">
        <f t="shared" si="118"/>
        <v>TAAe+</v>
      </c>
      <c r="AC1348" s="2" t="str">
        <f t="shared" si="122"/>
        <v xml:space="preserve"> CLEITON </v>
      </c>
      <c r="AD1348" s="26">
        <f t="shared" si="119"/>
        <v>8</v>
      </c>
      <c r="AE1348" s="26">
        <f t="shared" ca="1" si="121"/>
        <v>13.208123495373002</v>
      </c>
    </row>
    <row r="1349" spans="1:31" hidden="1">
      <c r="A1349" s="209">
        <v>9490716</v>
      </c>
      <c r="B1349" s="209" t="s">
        <v>1153</v>
      </c>
      <c r="C1349" s="210" t="s">
        <v>3681</v>
      </c>
      <c r="D1349" s="214">
        <v>20232437000024</v>
      </c>
      <c r="E1349" s="214">
        <v>7417210550033</v>
      </c>
      <c r="F1349" s="209" t="s">
        <v>1936</v>
      </c>
      <c r="G1349" s="209" t="s">
        <v>53</v>
      </c>
      <c r="H1349" s="209" t="s">
        <v>2418</v>
      </c>
      <c r="I1349" s="209" t="s">
        <v>2419</v>
      </c>
      <c r="J1349" s="209" t="s">
        <v>211</v>
      </c>
      <c r="K1349" s="210" t="s">
        <v>1939</v>
      </c>
      <c r="L1349" s="210"/>
      <c r="M1349" s="209" t="s">
        <v>58</v>
      </c>
      <c r="N1349" s="209">
        <v>0</v>
      </c>
      <c r="O1349" s="209" t="s">
        <v>36</v>
      </c>
      <c r="P1349" s="211" t="s">
        <v>4177</v>
      </c>
      <c r="Q1349" s="209"/>
      <c r="R1349" s="209">
        <v>14</v>
      </c>
      <c r="S1349" s="209"/>
      <c r="T1349" s="209" t="s">
        <v>238</v>
      </c>
      <c r="U1349" s="213">
        <v>44973.469571759262</v>
      </c>
      <c r="V1349" s="209" t="s">
        <v>41</v>
      </c>
      <c r="W1349" s="209" t="s">
        <v>49</v>
      </c>
      <c r="X1349" s="13" t="str">
        <f>IF(RIGHT(H1349,2)&lt;&gt;"00",H1349,"")</f>
        <v>2437.91</v>
      </c>
      <c r="Y1349" s="26">
        <f ca="1">NETWORKDAYS(P1349,$Y$1)</f>
        <v>10</v>
      </c>
      <c r="Z1349" s="34">
        <v>1</v>
      </c>
      <c r="AA1349" s="25" t="str">
        <f t="shared" ca="1" si="120"/>
        <v>A VENCER</v>
      </c>
      <c r="AB1349" s="25" t="str">
        <f t="shared" si="118"/>
        <v>TAAe+</v>
      </c>
      <c r="AC1349" s="2" t="str">
        <f t="shared" si="122"/>
        <v xml:space="preserve"> RINALDO </v>
      </c>
      <c r="AD1349" s="26">
        <f t="shared" si="119"/>
        <v>8</v>
      </c>
      <c r="AE1349" s="26">
        <f t="shared" ca="1" si="121"/>
        <v>13.206699884256523</v>
      </c>
    </row>
    <row r="1350" spans="1:31" hidden="1">
      <c r="A1350" s="209">
        <v>9490707</v>
      </c>
      <c r="B1350" s="209" t="s">
        <v>1153</v>
      </c>
      <c r="C1350" s="210" t="s">
        <v>3682</v>
      </c>
      <c r="D1350" s="214">
        <v>20235898000008</v>
      </c>
      <c r="E1350" s="214">
        <v>7417202020387</v>
      </c>
      <c r="F1350" s="209" t="s">
        <v>1213</v>
      </c>
      <c r="G1350" s="209" t="s">
        <v>53</v>
      </c>
      <c r="H1350" s="209" t="s">
        <v>3683</v>
      </c>
      <c r="I1350" s="209" t="s">
        <v>3684</v>
      </c>
      <c r="J1350" s="209" t="s">
        <v>164</v>
      </c>
      <c r="K1350" s="210" t="s">
        <v>1214</v>
      </c>
      <c r="L1350" s="210"/>
      <c r="M1350" s="209" t="s">
        <v>58</v>
      </c>
      <c r="N1350" s="209">
        <v>0</v>
      </c>
      <c r="O1350" s="209" t="s">
        <v>36</v>
      </c>
      <c r="P1350" s="211" t="s">
        <v>4178</v>
      </c>
      <c r="Q1350" s="209"/>
      <c r="R1350" s="209">
        <v>14</v>
      </c>
      <c r="S1350" s="209"/>
      <c r="T1350" s="209" t="s">
        <v>238</v>
      </c>
      <c r="U1350" s="213">
        <v>44973.467847222222</v>
      </c>
      <c r="V1350" s="209" t="s">
        <v>41</v>
      </c>
      <c r="W1350" s="209" t="s">
        <v>49</v>
      </c>
      <c r="X1350" s="13" t="str">
        <f>IF(RIGHT(H1350,2)&lt;&gt;"00",H1350,"")</f>
        <v>5898.91</v>
      </c>
      <c r="Y1350" s="26">
        <f ca="1">NETWORKDAYS(P1350,$Y$1)</f>
        <v>10</v>
      </c>
      <c r="Z1350" s="34">
        <v>1</v>
      </c>
      <c r="AA1350" s="25" t="str">
        <f t="shared" ca="1" si="120"/>
        <v>A VENCER</v>
      </c>
      <c r="AB1350" s="25" t="str">
        <f t="shared" si="118"/>
        <v>TAAe+</v>
      </c>
      <c r="AC1350" s="2" t="str">
        <f t="shared" si="122"/>
        <v xml:space="preserve"> ROSEMERE </v>
      </c>
      <c r="AD1350" s="26">
        <f t="shared" si="119"/>
        <v>8</v>
      </c>
      <c r="AE1350" s="26">
        <f t="shared" ca="1" si="121"/>
        <v>13.208424421296513</v>
      </c>
    </row>
    <row r="1351" spans="1:31" hidden="1">
      <c r="A1351" s="209">
        <v>9490620</v>
      </c>
      <c r="B1351" s="209" t="s">
        <v>1153</v>
      </c>
      <c r="C1351" s="210" t="s">
        <v>3685</v>
      </c>
      <c r="D1351" s="214">
        <v>20234844000489</v>
      </c>
      <c r="E1351" s="214">
        <v>7417163282354</v>
      </c>
      <c r="F1351" s="209" t="s">
        <v>131</v>
      </c>
      <c r="G1351" s="209" t="s">
        <v>53</v>
      </c>
      <c r="H1351" s="209" t="s">
        <v>2059</v>
      </c>
      <c r="I1351" s="209" t="s">
        <v>2060</v>
      </c>
      <c r="J1351" s="209" t="s">
        <v>46</v>
      </c>
      <c r="K1351" s="210" t="s">
        <v>132</v>
      </c>
      <c r="L1351" s="210"/>
      <c r="M1351" s="209" t="s">
        <v>58</v>
      </c>
      <c r="N1351" s="209">
        <v>0</v>
      </c>
      <c r="O1351" s="209" t="s">
        <v>36</v>
      </c>
      <c r="P1351" s="211" t="s">
        <v>4179</v>
      </c>
      <c r="Q1351" s="209"/>
      <c r="R1351" s="209">
        <v>13</v>
      </c>
      <c r="S1351" s="209"/>
      <c r="T1351" s="209" t="s">
        <v>238</v>
      </c>
      <c r="U1351" s="213">
        <v>44973.439270833333</v>
      </c>
      <c r="V1351" s="209" t="s">
        <v>41</v>
      </c>
      <c r="W1351" s="209" t="s">
        <v>49</v>
      </c>
      <c r="X1351" s="13" t="str">
        <f>IF(RIGHT(H1351,2)&lt;&gt;"00",H1351,"")</f>
        <v>4844.35</v>
      </c>
      <c r="Y1351" s="26">
        <f ca="1">NETWORKDAYS(P1351,$Y$1)</f>
        <v>10</v>
      </c>
      <c r="Z1351" s="34">
        <v>1</v>
      </c>
      <c r="AA1351" s="25" t="str">
        <f t="shared" ca="1" si="120"/>
        <v>A VENCER</v>
      </c>
      <c r="AB1351" s="25" t="str">
        <f t="shared" si="118"/>
        <v>TAAe+</v>
      </c>
      <c r="AC1351" s="2" t="str">
        <f t="shared" si="122"/>
        <v xml:space="preserve"> CLEITON </v>
      </c>
      <c r="AD1351" s="26">
        <f t="shared" si="119"/>
        <v>8</v>
      </c>
      <c r="AE1351" s="26">
        <f t="shared" ca="1" si="121"/>
        <v>13.237000810186146</v>
      </c>
    </row>
    <row r="1352" spans="1:31" hidden="1">
      <c r="A1352" s="209">
        <v>9490369</v>
      </c>
      <c r="B1352" s="209" t="s">
        <v>1153</v>
      </c>
      <c r="C1352" s="210" t="s">
        <v>3561</v>
      </c>
      <c r="D1352" s="214">
        <v>20231049000002</v>
      </c>
      <c r="E1352" s="214">
        <v>7417193391053</v>
      </c>
      <c r="F1352" s="209" t="s">
        <v>2760</v>
      </c>
      <c r="G1352" s="209" t="s">
        <v>53</v>
      </c>
      <c r="H1352" s="209" t="s">
        <v>169</v>
      </c>
      <c r="I1352" s="209" t="s">
        <v>170</v>
      </c>
      <c r="J1352" s="209" t="s">
        <v>164</v>
      </c>
      <c r="K1352" s="210" t="s">
        <v>2761</v>
      </c>
      <c r="L1352" s="210"/>
      <c r="M1352" s="209" t="s">
        <v>58</v>
      </c>
      <c r="N1352" s="209">
        <v>0</v>
      </c>
      <c r="O1352" s="209" t="s">
        <v>36</v>
      </c>
      <c r="P1352" s="211" t="s">
        <v>4181</v>
      </c>
      <c r="Q1352" s="209"/>
      <c r="R1352" s="209">
        <v>22</v>
      </c>
      <c r="S1352" s="209"/>
      <c r="T1352" s="209" t="s">
        <v>1160</v>
      </c>
      <c r="U1352" s="213">
        <v>44979.611678240741</v>
      </c>
      <c r="V1352" s="209" t="s">
        <v>41</v>
      </c>
      <c r="W1352" s="209" t="s">
        <v>49</v>
      </c>
      <c r="X1352" s="13" t="str">
        <f>IF(RIGHT(H1352,2)&lt;&gt;"00",H1352,"")</f>
        <v/>
      </c>
      <c r="Y1352" s="26">
        <f ca="1">NETWORKDAYS(P1352,$Y$1)</f>
        <v>10</v>
      </c>
      <c r="Z1352" s="34">
        <v>1</v>
      </c>
      <c r="AA1352" s="25" t="str">
        <f t="shared" ca="1" si="120"/>
        <v>A VENCER</v>
      </c>
      <c r="AB1352" s="25" t="str">
        <f t="shared" si="118"/>
        <v>TAAe+</v>
      </c>
      <c r="AC1352" s="2" t="str">
        <f t="shared" si="122"/>
        <v xml:space="preserve"> ROSEMERE </v>
      </c>
      <c r="AD1352" s="26">
        <f t="shared" si="119"/>
        <v>8</v>
      </c>
      <c r="AE1352" s="26">
        <f t="shared" ca="1" si="121"/>
        <v>13.272926736113732</v>
      </c>
    </row>
    <row r="1353" spans="1:31" hidden="1">
      <c r="A1353" s="209">
        <v>9489928</v>
      </c>
      <c r="B1353" s="209" t="s">
        <v>1153</v>
      </c>
      <c r="C1353" s="210" t="s">
        <v>3569</v>
      </c>
      <c r="D1353" s="214"/>
      <c r="E1353" s="214">
        <v>1902016242200</v>
      </c>
      <c r="F1353" s="209" t="s">
        <v>64</v>
      </c>
      <c r="G1353" s="209" t="s">
        <v>53</v>
      </c>
      <c r="H1353" s="209" t="s">
        <v>1844</v>
      </c>
      <c r="I1353" s="209" t="s">
        <v>1845</v>
      </c>
      <c r="J1353" s="209" t="s">
        <v>211</v>
      </c>
      <c r="K1353" s="210" t="s">
        <v>67</v>
      </c>
      <c r="L1353" s="210"/>
      <c r="M1353" s="209" t="s">
        <v>35</v>
      </c>
      <c r="N1353" s="209">
        <v>42318949</v>
      </c>
      <c r="O1353" s="209" t="s">
        <v>36</v>
      </c>
      <c r="P1353" s="211" t="s">
        <v>4183</v>
      </c>
      <c r="Q1353" s="209"/>
      <c r="R1353" s="209" t="s">
        <v>571</v>
      </c>
      <c r="S1353" s="209"/>
      <c r="T1353" s="209" t="s">
        <v>69</v>
      </c>
      <c r="U1353" s="213">
        <v>44985.607638888891</v>
      </c>
      <c r="V1353" s="209" t="s">
        <v>41</v>
      </c>
      <c r="W1353" s="209" t="s">
        <v>49</v>
      </c>
      <c r="X1353" s="13" t="str">
        <f>IF(RIGHT(H1353,2)&lt;&gt;"00",H1353,"")</f>
        <v/>
      </c>
      <c r="Y1353" s="26">
        <f ca="1">NETWORKDAYS(P1353,$Y$1)</f>
        <v>10</v>
      </c>
      <c r="Z1353" s="34">
        <v>1</v>
      </c>
      <c r="AA1353" s="25" t="str">
        <f t="shared" ca="1" si="120"/>
        <v>A VENCER</v>
      </c>
      <c r="AB1353" s="25" t="str">
        <f t="shared" si="118"/>
        <v>TAAe+</v>
      </c>
      <c r="AC1353" s="2" t="str">
        <f t="shared" si="122"/>
        <v xml:space="preserve"> RINALDO </v>
      </c>
      <c r="AD1353" s="26">
        <f t="shared" si="119"/>
        <v>8</v>
      </c>
      <c r="AE1353" s="26">
        <f t="shared" ca="1" si="121"/>
        <v>13.32378321759461</v>
      </c>
    </row>
    <row r="1354" spans="1:31" hidden="1">
      <c r="A1354" s="209">
        <v>9494552</v>
      </c>
      <c r="B1354" s="209" t="s">
        <v>1153</v>
      </c>
      <c r="C1354" s="210" t="s">
        <v>4184</v>
      </c>
      <c r="D1354" s="214">
        <v>230031041</v>
      </c>
      <c r="E1354" s="214">
        <v>2156001400020</v>
      </c>
      <c r="F1354" s="209" t="s">
        <v>1961</v>
      </c>
      <c r="G1354" s="209" t="s">
        <v>53</v>
      </c>
      <c r="H1354" s="209" t="s">
        <v>278</v>
      </c>
      <c r="I1354" s="209" t="s">
        <v>279</v>
      </c>
      <c r="J1354" s="209" t="s">
        <v>211</v>
      </c>
      <c r="K1354" s="210" t="s">
        <v>1962</v>
      </c>
      <c r="L1354" s="210"/>
      <c r="M1354" s="209" t="s">
        <v>58</v>
      </c>
      <c r="N1354" s="209">
        <v>0</v>
      </c>
      <c r="O1354" s="209" t="s">
        <v>36</v>
      </c>
      <c r="P1354" s="211" t="s">
        <v>3689</v>
      </c>
      <c r="Q1354" s="209"/>
      <c r="R1354" s="209">
        <v>4</v>
      </c>
      <c r="S1354" s="209"/>
      <c r="T1354" s="209" t="s">
        <v>646</v>
      </c>
      <c r="U1354" s="211" t="s">
        <v>4624</v>
      </c>
      <c r="V1354" s="209" t="s">
        <v>41</v>
      </c>
      <c r="W1354" s="209" t="s">
        <v>49</v>
      </c>
      <c r="X1354" s="13" t="str">
        <f>IF(RIGHT(H1354,2)&lt;&gt;"00",H1354,"")</f>
        <v/>
      </c>
      <c r="Y1354" s="26">
        <f ca="1">NETWORKDAYS(P1354,$Y$1)</f>
        <v>9</v>
      </c>
      <c r="Z1354" s="34">
        <v>1</v>
      </c>
      <c r="AA1354" s="25" t="str">
        <f t="shared" ca="1" si="120"/>
        <v>A VENCER</v>
      </c>
      <c r="AB1354" s="25" t="str">
        <f t="shared" si="118"/>
        <v>C-14</v>
      </c>
      <c r="AC1354" s="2" t="str">
        <f t="shared" si="122"/>
        <v xml:space="preserve"> RINALDO </v>
      </c>
      <c r="AD1354" s="26">
        <f t="shared" si="119"/>
        <v>5</v>
      </c>
      <c r="AE1354" s="26">
        <f t="shared" ca="1" si="121"/>
        <v>11.695716087961046</v>
      </c>
    </row>
    <row r="1355" spans="1:31" hidden="1">
      <c r="A1355" s="209">
        <v>9494234</v>
      </c>
      <c r="B1355" s="209" t="s">
        <v>1153</v>
      </c>
      <c r="C1355" s="210" t="s">
        <v>3699</v>
      </c>
      <c r="D1355" s="214">
        <v>20238889000065</v>
      </c>
      <c r="E1355" s="214">
        <v>7417163282971</v>
      </c>
      <c r="F1355" s="209" t="s">
        <v>131</v>
      </c>
      <c r="G1355" s="209" t="s">
        <v>53</v>
      </c>
      <c r="H1355" s="209" t="s">
        <v>2917</v>
      </c>
      <c r="I1355" s="209" t="s">
        <v>2918</v>
      </c>
      <c r="J1355" s="209" t="s">
        <v>33</v>
      </c>
      <c r="K1355" s="210" t="s">
        <v>132</v>
      </c>
      <c r="L1355" s="210"/>
      <c r="M1355" s="209" t="s">
        <v>58</v>
      </c>
      <c r="N1355" s="209">
        <v>0</v>
      </c>
      <c r="O1355" s="209" t="s">
        <v>36</v>
      </c>
      <c r="P1355" s="211" t="s">
        <v>3700</v>
      </c>
      <c r="Q1355" s="209"/>
      <c r="R1355" s="209">
        <v>14</v>
      </c>
      <c r="S1355" s="209"/>
      <c r="T1355" s="209" t="s">
        <v>238</v>
      </c>
      <c r="U1355" s="211" t="s">
        <v>3694</v>
      </c>
      <c r="V1355" s="209" t="s">
        <v>41</v>
      </c>
      <c r="W1355" s="209" t="s">
        <v>49</v>
      </c>
      <c r="X1355" s="13" t="str">
        <f>IF(RIGHT(H1355,2)&lt;&gt;"00",H1355,"")</f>
        <v>8889.02</v>
      </c>
      <c r="Y1355" s="26">
        <f ca="1">NETWORKDAYS(P1355,$Y$1)</f>
        <v>9</v>
      </c>
      <c r="Z1355" s="34">
        <v>1</v>
      </c>
      <c r="AA1355" s="25" t="str">
        <f t="shared" ca="1" si="120"/>
        <v>A VENCER</v>
      </c>
      <c r="AB1355" s="25" t="str">
        <f t="shared" si="118"/>
        <v>TAAe+</v>
      </c>
      <c r="AC1355" s="2" t="str">
        <f t="shared" si="122"/>
        <v xml:space="preserve"> ROSEMERE </v>
      </c>
      <c r="AD1355" s="26">
        <f t="shared" si="119"/>
        <v>8</v>
      </c>
      <c r="AE1355" s="26">
        <f t="shared" ca="1" si="121"/>
        <v>11.95049618055782</v>
      </c>
    </row>
    <row r="1356" spans="1:31" hidden="1">
      <c r="A1356" s="209">
        <v>9494138</v>
      </c>
      <c r="B1356" s="209" t="s">
        <v>1153</v>
      </c>
      <c r="C1356" s="210" t="s">
        <v>3704</v>
      </c>
      <c r="D1356" s="214">
        <v>20234844000511</v>
      </c>
      <c r="E1356" s="214">
        <v>7419141891764</v>
      </c>
      <c r="F1356" s="209" t="s">
        <v>128</v>
      </c>
      <c r="G1356" s="209" t="s">
        <v>53</v>
      </c>
      <c r="H1356" s="209" t="s">
        <v>2606</v>
      </c>
      <c r="I1356" s="209" t="s">
        <v>2607</v>
      </c>
      <c r="J1356" s="209" t="s">
        <v>46</v>
      </c>
      <c r="K1356" s="210" t="s">
        <v>129</v>
      </c>
      <c r="L1356" s="210"/>
      <c r="M1356" s="209" t="s">
        <v>58</v>
      </c>
      <c r="N1356" s="209">
        <v>0</v>
      </c>
      <c r="O1356" s="209" t="s">
        <v>36</v>
      </c>
      <c r="P1356" s="211" t="s">
        <v>3705</v>
      </c>
      <c r="Q1356" s="209"/>
      <c r="R1356" s="209">
        <v>13</v>
      </c>
      <c r="S1356" s="209"/>
      <c r="T1356" s="209" t="s">
        <v>238</v>
      </c>
      <c r="U1356" s="211" t="s">
        <v>3694</v>
      </c>
      <c r="V1356" s="209" t="s">
        <v>41</v>
      </c>
      <c r="W1356" s="209" t="s">
        <v>49</v>
      </c>
      <c r="X1356" s="13" t="str">
        <f>IF(RIGHT(H1356,2)&lt;&gt;"00",H1356,"")</f>
        <v>4844.28</v>
      </c>
      <c r="Y1356" s="26">
        <f ca="1">NETWORKDAYS(P1356,$Y$1)</f>
        <v>9</v>
      </c>
      <c r="Z1356" s="34">
        <v>1</v>
      </c>
      <c r="AA1356" s="25" t="str">
        <f t="shared" ca="1" si="120"/>
        <v>A VENCER</v>
      </c>
      <c r="AB1356" s="25" t="str">
        <f t="shared" si="118"/>
        <v>TAAe+</v>
      </c>
      <c r="AC1356" s="2" t="str">
        <f t="shared" si="122"/>
        <v xml:space="preserve"> CLEITON </v>
      </c>
      <c r="AD1356" s="26">
        <f t="shared" si="119"/>
        <v>8</v>
      </c>
      <c r="AE1356" s="26">
        <f t="shared" ca="1" si="121"/>
        <v>11.966584143519867</v>
      </c>
    </row>
    <row r="1357" spans="1:31" hidden="1">
      <c r="A1357" s="209">
        <v>9494034</v>
      </c>
      <c r="B1357" s="209" t="s">
        <v>1153</v>
      </c>
      <c r="C1357" s="210" t="s">
        <v>3715</v>
      </c>
      <c r="D1357" s="214"/>
      <c r="E1357" s="214">
        <v>934000203000</v>
      </c>
      <c r="F1357" s="209" t="s">
        <v>454</v>
      </c>
      <c r="G1357" s="209" t="s">
        <v>53</v>
      </c>
      <c r="H1357" s="209" t="s">
        <v>428</v>
      </c>
      <c r="I1357" s="209" t="s">
        <v>429</v>
      </c>
      <c r="J1357" s="209" t="s">
        <v>46</v>
      </c>
      <c r="K1357" s="210" t="s">
        <v>457</v>
      </c>
      <c r="L1357" s="210"/>
      <c r="M1357" s="209" t="s">
        <v>58</v>
      </c>
      <c r="N1357" s="209">
        <v>0</v>
      </c>
      <c r="O1357" s="209" t="s">
        <v>36</v>
      </c>
      <c r="P1357" s="211" t="s">
        <v>4185</v>
      </c>
      <c r="Q1357" s="209"/>
      <c r="R1357" s="209">
        <v>1</v>
      </c>
      <c r="S1357" s="209"/>
      <c r="T1357" s="209" t="s">
        <v>157</v>
      </c>
      <c r="U1357" s="213">
        <v>44975.698240740741</v>
      </c>
      <c r="V1357" s="209" t="s">
        <v>41</v>
      </c>
      <c r="W1357" s="209" t="s">
        <v>49</v>
      </c>
      <c r="X1357" s="13" t="str">
        <f>IF(RIGHT(H1357,2)&lt;&gt;"00",H1357,"")</f>
        <v/>
      </c>
      <c r="Y1357" s="26">
        <f ca="1">NETWORKDAYS(P1357,$Y$1)</f>
        <v>9</v>
      </c>
      <c r="Z1357" s="34">
        <v>1</v>
      </c>
      <c r="AA1357" s="25" t="str">
        <f t="shared" ca="1" si="120"/>
        <v>A VENCER</v>
      </c>
      <c r="AB1357" s="25" t="str">
        <f t="shared" si="118"/>
        <v>C-14</v>
      </c>
      <c r="AC1357" s="2" t="str">
        <f t="shared" si="122"/>
        <v xml:space="preserve"> CLEITON </v>
      </c>
      <c r="AD1357" s="26">
        <f t="shared" si="119"/>
        <v>5</v>
      </c>
      <c r="AE1357" s="26">
        <f t="shared" ca="1" si="121"/>
        <v>11.978030902777391</v>
      </c>
    </row>
    <row r="1358" spans="1:31" hidden="1">
      <c r="A1358" s="209">
        <v>9493855</v>
      </c>
      <c r="B1358" s="209" t="s">
        <v>1153</v>
      </c>
      <c r="C1358" s="210" t="s">
        <v>3720</v>
      </c>
      <c r="D1358" s="214">
        <v>20234844000502</v>
      </c>
      <c r="E1358" s="214">
        <v>7419143322034</v>
      </c>
      <c r="F1358" s="209" t="s">
        <v>1222</v>
      </c>
      <c r="G1358" s="209" t="s">
        <v>53</v>
      </c>
      <c r="H1358" s="209" t="s">
        <v>2796</v>
      </c>
      <c r="I1358" s="209" t="s">
        <v>2797</v>
      </c>
      <c r="J1358" s="209" t="s">
        <v>46</v>
      </c>
      <c r="K1358" s="210" t="s">
        <v>1223</v>
      </c>
      <c r="L1358" s="210"/>
      <c r="M1358" s="209" t="s">
        <v>58</v>
      </c>
      <c r="N1358" s="209">
        <v>0</v>
      </c>
      <c r="O1358" s="209" t="s">
        <v>36</v>
      </c>
      <c r="P1358" s="211" t="s">
        <v>4186</v>
      </c>
      <c r="Q1358" s="209"/>
      <c r="R1358" s="209">
        <v>13</v>
      </c>
      <c r="S1358" s="209"/>
      <c r="T1358" s="209" t="s">
        <v>238</v>
      </c>
      <c r="U1358" s="211" t="s">
        <v>4186</v>
      </c>
      <c r="V1358" s="209" t="s">
        <v>41</v>
      </c>
      <c r="W1358" s="209" t="s">
        <v>49</v>
      </c>
      <c r="X1358" s="13" t="str">
        <f>IF(RIGHT(H1358,2)&lt;&gt;"00",H1358,"")</f>
        <v>4844.30</v>
      </c>
      <c r="Y1358" s="26">
        <f ca="1">NETWORKDAYS(P1358,$Y$1)</f>
        <v>9</v>
      </c>
      <c r="Z1358" s="34">
        <v>1</v>
      </c>
      <c r="AA1358" s="25" t="str">
        <f t="shared" ca="1" si="120"/>
        <v>A VENCER</v>
      </c>
      <c r="AB1358" s="25" t="str">
        <f t="shared" si="118"/>
        <v>TAAe+</v>
      </c>
      <c r="AC1358" s="2" t="str">
        <f t="shared" si="122"/>
        <v xml:space="preserve"> CLEITON </v>
      </c>
      <c r="AD1358" s="26">
        <f t="shared" si="119"/>
        <v>8</v>
      </c>
      <c r="AE1358" s="26">
        <f t="shared" ca="1" si="121"/>
        <v>12.030403587959881</v>
      </c>
    </row>
    <row r="1359" spans="1:31" hidden="1">
      <c r="A1359" s="209">
        <v>9493727</v>
      </c>
      <c r="B1359" s="209" t="s">
        <v>1153</v>
      </c>
      <c r="C1359" s="210" t="s">
        <v>3722</v>
      </c>
      <c r="D1359" s="214">
        <v>20230605000016</v>
      </c>
      <c r="E1359" s="214">
        <v>7417162430096</v>
      </c>
      <c r="F1359" s="209" t="s">
        <v>3543</v>
      </c>
      <c r="G1359" s="209" t="s">
        <v>53</v>
      </c>
      <c r="H1359" s="209" t="s">
        <v>420</v>
      </c>
      <c r="I1359" s="209" t="s">
        <v>421</v>
      </c>
      <c r="J1359" s="209" t="s">
        <v>90</v>
      </c>
      <c r="K1359" s="210" t="s">
        <v>3544</v>
      </c>
      <c r="L1359" s="210"/>
      <c r="M1359" s="209" t="s">
        <v>58</v>
      </c>
      <c r="N1359" s="209">
        <v>0</v>
      </c>
      <c r="O1359" s="209" t="s">
        <v>36</v>
      </c>
      <c r="P1359" s="211" t="s">
        <v>4187</v>
      </c>
      <c r="Q1359" s="209"/>
      <c r="R1359" s="209">
        <v>22</v>
      </c>
      <c r="S1359" s="209"/>
      <c r="T1359" s="209" t="s">
        <v>1160</v>
      </c>
      <c r="U1359" s="211" t="s">
        <v>4625</v>
      </c>
      <c r="V1359" s="209" t="s">
        <v>41</v>
      </c>
      <c r="W1359" s="209" t="s">
        <v>49</v>
      </c>
      <c r="X1359" s="13" t="str">
        <f>IF(RIGHT(H1359,2)&lt;&gt;"00",H1359,"")</f>
        <v/>
      </c>
      <c r="Y1359" s="26">
        <f ca="1">NETWORKDAYS(P1359,$Y$1)</f>
        <v>9</v>
      </c>
      <c r="Z1359" s="34">
        <v>1</v>
      </c>
      <c r="AA1359" s="25" t="str">
        <f t="shared" ca="1" si="120"/>
        <v>A VENCER</v>
      </c>
      <c r="AB1359" s="25" t="str">
        <f t="shared" si="118"/>
        <v>TAAe+</v>
      </c>
      <c r="AC1359" s="2" t="str">
        <f t="shared" si="122"/>
        <v xml:space="preserve"> RINALDO </v>
      </c>
      <c r="AD1359" s="26">
        <f t="shared" si="119"/>
        <v>8</v>
      </c>
      <c r="AE1359" s="26">
        <f t="shared" ca="1" si="121"/>
        <v>12.070334143521904</v>
      </c>
    </row>
    <row r="1360" spans="1:31" hidden="1">
      <c r="A1360" s="209">
        <v>9493705</v>
      </c>
      <c r="B1360" s="209" t="s">
        <v>1153</v>
      </c>
      <c r="C1360" s="210" t="s">
        <v>3723</v>
      </c>
      <c r="D1360" s="214"/>
      <c r="E1360" s="214">
        <v>2889000206001</v>
      </c>
      <c r="F1360" s="209" t="s">
        <v>29</v>
      </c>
      <c r="G1360" s="209" t="s">
        <v>53</v>
      </c>
      <c r="H1360" s="209" t="s">
        <v>418</v>
      </c>
      <c r="I1360" s="209" t="s">
        <v>419</v>
      </c>
      <c r="J1360" s="209" t="s">
        <v>46</v>
      </c>
      <c r="K1360" s="210" t="s">
        <v>34</v>
      </c>
      <c r="L1360" s="210"/>
      <c r="M1360" s="209" t="s">
        <v>35</v>
      </c>
      <c r="N1360" s="209">
        <v>42318949</v>
      </c>
      <c r="O1360" s="209" t="s">
        <v>36</v>
      </c>
      <c r="P1360" s="211" t="s">
        <v>4188</v>
      </c>
      <c r="Q1360" s="209"/>
      <c r="R1360" s="209" t="s">
        <v>38</v>
      </c>
      <c r="S1360" s="209"/>
      <c r="T1360" s="209" t="s">
        <v>74</v>
      </c>
      <c r="U1360" s="211" t="s">
        <v>4626</v>
      </c>
      <c r="V1360" s="209" t="s">
        <v>41</v>
      </c>
      <c r="W1360" s="209" t="s">
        <v>49</v>
      </c>
      <c r="X1360" s="13" t="str">
        <f>IF(RIGHT(H1360,2)&lt;&gt;"00",H1360,"")</f>
        <v/>
      </c>
      <c r="Y1360" s="26">
        <f ca="1">NETWORKDAYS(P1360,$Y$1)</f>
        <v>9</v>
      </c>
      <c r="Z1360" s="34">
        <v>1</v>
      </c>
      <c r="AA1360" s="25" t="str">
        <f t="shared" ca="1" si="120"/>
        <v>A VENCER</v>
      </c>
      <c r="AB1360" s="25" t="str">
        <f t="shared" si="118"/>
        <v>Dosa</v>
      </c>
      <c r="AC1360" s="2" t="str">
        <f t="shared" si="122"/>
        <v xml:space="preserve"> CLEITON </v>
      </c>
      <c r="AD1360" s="26">
        <f t="shared" si="119"/>
        <v>5</v>
      </c>
      <c r="AE1360" s="26">
        <f t="shared" ca="1" si="121"/>
        <v>12.06136423611315</v>
      </c>
    </row>
    <row r="1361" spans="1:31" hidden="1">
      <c r="A1361" s="209">
        <v>9493696</v>
      </c>
      <c r="B1361" s="209" t="s">
        <v>1153</v>
      </c>
      <c r="C1361" s="210" t="s">
        <v>3724</v>
      </c>
      <c r="D1361" s="214">
        <v>20234844000501</v>
      </c>
      <c r="E1361" s="214">
        <v>7419141892252</v>
      </c>
      <c r="F1361" s="209" t="s">
        <v>128</v>
      </c>
      <c r="G1361" s="209" t="s">
        <v>53</v>
      </c>
      <c r="H1361" s="209" t="s">
        <v>2493</v>
      </c>
      <c r="I1361" s="209" t="s">
        <v>2494</v>
      </c>
      <c r="J1361" s="209" t="s">
        <v>46</v>
      </c>
      <c r="K1361" s="210" t="s">
        <v>129</v>
      </c>
      <c r="L1361" s="210"/>
      <c r="M1361" s="209" t="s">
        <v>58</v>
      </c>
      <c r="N1361" s="209">
        <v>0</v>
      </c>
      <c r="O1361" s="209" t="s">
        <v>105</v>
      </c>
      <c r="P1361" s="211" t="s">
        <v>4189</v>
      </c>
      <c r="Q1361" s="209"/>
      <c r="R1361" s="209">
        <v>13</v>
      </c>
      <c r="S1361" s="209"/>
      <c r="T1361" s="209" t="s">
        <v>238</v>
      </c>
      <c r="U1361" s="211" t="s">
        <v>4189</v>
      </c>
      <c r="V1361" s="209" t="s">
        <v>41</v>
      </c>
      <c r="W1361" s="209" t="s">
        <v>49</v>
      </c>
      <c r="X1361" s="13" t="str">
        <f>IF(RIGHT(H1361,2)&lt;&gt;"00",H1361,"")</f>
        <v>4844.10</v>
      </c>
      <c r="Y1361" s="26">
        <f ca="1">NETWORKDAYS(P1361,$Y$1)</f>
        <v>9</v>
      </c>
      <c r="Z1361" s="34">
        <v>1</v>
      </c>
      <c r="AA1361" s="25" t="str">
        <f t="shared" ca="1" si="120"/>
        <v>A VENCER</v>
      </c>
      <c r="AB1361" s="25" t="str">
        <f t="shared" si="118"/>
        <v>TAAe+</v>
      </c>
      <c r="AC1361" s="2" t="str">
        <f t="shared" si="122"/>
        <v xml:space="preserve"> CLEITON </v>
      </c>
      <c r="AD1361" s="26">
        <f t="shared" si="119"/>
        <v>8</v>
      </c>
      <c r="AE1361" s="26">
        <f t="shared" ca="1" si="121"/>
        <v>12.07237118055491</v>
      </c>
    </row>
    <row r="1362" spans="1:31" hidden="1">
      <c r="A1362" s="209">
        <v>9493576</v>
      </c>
      <c r="B1362" s="209" t="s">
        <v>1153</v>
      </c>
      <c r="C1362" s="210" t="s">
        <v>3725</v>
      </c>
      <c r="D1362" s="214">
        <v>20230446000014</v>
      </c>
      <c r="E1362" s="214">
        <v>7419151141153</v>
      </c>
      <c r="F1362" s="209" t="s">
        <v>123</v>
      </c>
      <c r="G1362" s="209" t="s">
        <v>53</v>
      </c>
      <c r="H1362" s="209" t="s">
        <v>3324</v>
      </c>
      <c r="I1362" s="209" t="s">
        <v>3325</v>
      </c>
      <c r="J1362" s="209" t="s">
        <v>110</v>
      </c>
      <c r="K1362" s="210" t="s">
        <v>126</v>
      </c>
      <c r="L1362" s="210"/>
      <c r="M1362" s="209" t="s">
        <v>58</v>
      </c>
      <c r="N1362" s="209">
        <v>0</v>
      </c>
      <c r="O1362" s="209" t="s">
        <v>36</v>
      </c>
      <c r="P1362" s="211" t="s">
        <v>4190</v>
      </c>
      <c r="Q1362" s="209"/>
      <c r="R1362" s="209">
        <v>14</v>
      </c>
      <c r="S1362" s="209"/>
      <c r="T1362" s="209" t="s">
        <v>238</v>
      </c>
      <c r="U1362" s="211" t="s">
        <v>4190</v>
      </c>
      <c r="V1362" s="209" t="s">
        <v>41</v>
      </c>
      <c r="W1362" s="209" t="s">
        <v>49</v>
      </c>
      <c r="X1362" s="13" t="str">
        <f>IF(RIGHT(H1362,2)&lt;&gt;"00",H1362,"")</f>
        <v>0446.91</v>
      </c>
      <c r="Y1362" s="26">
        <f ca="1">NETWORKDAYS(P1362,$Y$1)</f>
        <v>9</v>
      </c>
      <c r="Z1362" s="34">
        <v>1</v>
      </c>
      <c r="AA1362" s="25" t="str">
        <f t="shared" ca="1" si="120"/>
        <v>A VENCER</v>
      </c>
      <c r="AB1362" s="25" t="str">
        <f t="shared" si="118"/>
        <v>TAAe+</v>
      </c>
      <c r="AC1362" s="2" t="str">
        <f t="shared" si="122"/>
        <v xml:space="preserve"> CRISTINA </v>
      </c>
      <c r="AD1362" s="26">
        <f t="shared" si="119"/>
        <v>8</v>
      </c>
      <c r="AE1362" s="26">
        <f t="shared" ca="1" si="121"/>
        <v>12.105067939817673</v>
      </c>
    </row>
    <row r="1363" spans="1:31">
      <c r="A1363" s="216">
        <v>9492969</v>
      </c>
      <c r="B1363" s="216" t="s">
        <v>1153</v>
      </c>
      <c r="C1363" s="182" t="s">
        <v>4192</v>
      </c>
      <c r="D1363" s="217">
        <v>20230246000011</v>
      </c>
      <c r="E1363" s="217">
        <v>7419141894924</v>
      </c>
      <c r="F1363" s="216" t="s">
        <v>128</v>
      </c>
      <c r="G1363" s="216" t="s">
        <v>53</v>
      </c>
      <c r="H1363" s="216" t="s">
        <v>2321</v>
      </c>
      <c r="I1363" s="216" t="s">
        <v>2322</v>
      </c>
      <c r="J1363" s="216" t="s">
        <v>85</v>
      </c>
      <c r="K1363" s="210" t="s">
        <v>129</v>
      </c>
      <c r="L1363" s="210"/>
      <c r="M1363" s="209" t="s">
        <v>58</v>
      </c>
      <c r="N1363" s="209">
        <v>0</v>
      </c>
      <c r="O1363" s="209" t="s">
        <v>36</v>
      </c>
      <c r="P1363" s="211" t="s">
        <v>4193</v>
      </c>
      <c r="Q1363" s="209"/>
      <c r="R1363" s="209">
        <v>14</v>
      </c>
      <c r="S1363" s="209"/>
      <c r="T1363" s="209" t="s">
        <v>238</v>
      </c>
      <c r="U1363" s="213">
        <v>44974.451736111114</v>
      </c>
      <c r="V1363" s="209" t="s">
        <v>41</v>
      </c>
      <c r="W1363" s="209" t="s">
        <v>49</v>
      </c>
      <c r="X1363" s="13" t="str">
        <f>IF(RIGHT(H1363,2)&lt;&gt;"00",H1363,"")</f>
        <v>0246.91</v>
      </c>
      <c r="Y1363" s="26">
        <f ca="1">NETWORKDAYS(P1363,$Y$1)</f>
        <v>9</v>
      </c>
      <c r="Z1363" s="34">
        <v>1</v>
      </c>
      <c r="AA1363" s="25" t="str">
        <f t="shared" ca="1" si="120"/>
        <v>A VENCER</v>
      </c>
      <c r="AB1363" s="25" t="str">
        <f t="shared" si="118"/>
        <v>TAAe+</v>
      </c>
      <c r="AC1363" s="2" t="str">
        <f t="shared" si="122"/>
        <v xml:space="preserve"> RINALDO </v>
      </c>
      <c r="AD1363" s="26">
        <f t="shared" si="119"/>
        <v>8</v>
      </c>
      <c r="AE1363" s="26">
        <f t="shared" ca="1" si="121"/>
        <v>12.224535532404843</v>
      </c>
    </row>
    <row r="1364" spans="1:31" hidden="1">
      <c r="A1364" s="209">
        <v>9492956</v>
      </c>
      <c r="B1364" s="209" t="s">
        <v>1153</v>
      </c>
      <c r="C1364" s="210" t="s">
        <v>3739</v>
      </c>
      <c r="D1364" s="214">
        <v>20231012000006</v>
      </c>
      <c r="E1364" s="214">
        <v>7417202020564</v>
      </c>
      <c r="F1364" s="209" t="s">
        <v>1213</v>
      </c>
      <c r="G1364" s="209" t="s">
        <v>53</v>
      </c>
      <c r="H1364" s="209" t="s">
        <v>2481</v>
      </c>
      <c r="I1364" s="209" t="s">
        <v>2482</v>
      </c>
      <c r="J1364" s="209" t="s">
        <v>164</v>
      </c>
      <c r="K1364" s="210" t="s">
        <v>1214</v>
      </c>
      <c r="L1364" s="210"/>
      <c r="M1364" s="209" t="s">
        <v>58</v>
      </c>
      <c r="N1364" s="209">
        <v>0</v>
      </c>
      <c r="O1364" s="209" t="s">
        <v>36</v>
      </c>
      <c r="P1364" s="211" t="s">
        <v>4194</v>
      </c>
      <c r="Q1364" s="209"/>
      <c r="R1364" s="209">
        <v>15</v>
      </c>
      <c r="S1364" s="209"/>
      <c r="T1364" s="209" t="s">
        <v>238</v>
      </c>
      <c r="U1364" s="213">
        <v>44974.449236111112</v>
      </c>
      <c r="V1364" s="209" t="s">
        <v>41</v>
      </c>
      <c r="W1364" s="209" t="s">
        <v>49</v>
      </c>
      <c r="X1364" s="13" t="str">
        <f>IF(RIGHT(H1364,2)&lt;&gt;"00",H1364,"")</f>
        <v>1012.91</v>
      </c>
      <c r="Y1364" s="26">
        <f ca="1">NETWORKDAYS(P1364,$Y$1)</f>
        <v>9</v>
      </c>
      <c r="Z1364" s="34">
        <v>1</v>
      </c>
      <c r="AA1364" s="25" t="str">
        <f t="shared" ca="1" si="120"/>
        <v>A VENCER</v>
      </c>
      <c r="AB1364" s="25" t="str">
        <f t="shared" si="118"/>
        <v>TAAe+</v>
      </c>
      <c r="AC1364" s="2" t="str">
        <f t="shared" si="122"/>
        <v xml:space="preserve"> ROSEMERE </v>
      </c>
      <c r="AD1364" s="26">
        <f t="shared" si="119"/>
        <v>8</v>
      </c>
      <c r="AE1364" s="26">
        <f t="shared" ca="1" si="121"/>
        <v>12.227035532407172</v>
      </c>
    </row>
    <row r="1365" spans="1:31" hidden="1">
      <c r="A1365" s="209">
        <v>9492873</v>
      </c>
      <c r="B1365" s="209" t="s">
        <v>1153</v>
      </c>
      <c r="C1365" s="210" t="s">
        <v>2963</v>
      </c>
      <c r="D1365" s="214"/>
      <c r="E1365" s="214">
        <v>1943000206001</v>
      </c>
      <c r="F1365" s="209" t="s">
        <v>29</v>
      </c>
      <c r="G1365" s="209" t="s">
        <v>53</v>
      </c>
      <c r="H1365" s="209" t="s">
        <v>264</v>
      </c>
      <c r="I1365" s="209" t="s">
        <v>265</v>
      </c>
      <c r="J1365" s="209" t="s">
        <v>56</v>
      </c>
      <c r="K1365" s="210" t="s">
        <v>34</v>
      </c>
      <c r="L1365" s="210"/>
      <c r="M1365" s="209" t="s">
        <v>35</v>
      </c>
      <c r="N1365" s="209">
        <v>42318949</v>
      </c>
      <c r="O1365" s="209" t="s">
        <v>36</v>
      </c>
      <c r="P1365" s="211" t="s">
        <v>4196</v>
      </c>
      <c r="Q1365" s="209"/>
      <c r="R1365" s="209" t="s">
        <v>38</v>
      </c>
      <c r="S1365" s="209"/>
      <c r="T1365" s="209" t="s">
        <v>74</v>
      </c>
      <c r="U1365" s="213">
        <v>44994.708333333336</v>
      </c>
      <c r="V1365" s="209" t="s">
        <v>41</v>
      </c>
      <c r="W1365" s="209" t="s">
        <v>49</v>
      </c>
      <c r="X1365" s="13" t="str">
        <f>IF(RIGHT(H1365,2)&lt;&gt;"00",H1365,"")</f>
        <v/>
      </c>
      <c r="Y1365" s="26">
        <f ca="1">NETWORKDAYS(P1365,$Y$1)</f>
        <v>9</v>
      </c>
      <c r="Z1365" s="34">
        <v>1</v>
      </c>
      <c r="AA1365" s="25" t="str">
        <f t="shared" ca="1" si="120"/>
        <v>A VENCER</v>
      </c>
      <c r="AB1365" s="25" t="str">
        <f t="shared" si="118"/>
        <v>Dosa</v>
      </c>
      <c r="AC1365" s="2" t="str">
        <f t="shared" si="122"/>
        <v xml:space="preserve"> CRISTINA </v>
      </c>
      <c r="AD1365" s="26">
        <f t="shared" si="119"/>
        <v>5</v>
      </c>
      <c r="AE1365" s="26">
        <f t="shared" ca="1" si="121"/>
        <v>12.228019328700611</v>
      </c>
    </row>
    <row r="1366" spans="1:31" hidden="1">
      <c r="A1366" s="209">
        <v>9492616</v>
      </c>
      <c r="B1366" s="209" t="s">
        <v>1153</v>
      </c>
      <c r="C1366" s="210" t="s">
        <v>3742</v>
      </c>
      <c r="D1366" s="214"/>
      <c r="E1366" s="214">
        <v>2018000203000</v>
      </c>
      <c r="F1366" s="209" t="s">
        <v>454</v>
      </c>
      <c r="G1366" s="209" t="s">
        <v>53</v>
      </c>
      <c r="H1366" s="209" t="s">
        <v>598</v>
      </c>
      <c r="I1366" s="209" t="s">
        <v>599</v>
      </c>
      <c r="J1366" s="209" t="s">
        <v>79</v>
      </c>
      <c r="K1366" s="210" t="s">
        <v>457</v>
      </c>
      <c r="L1366" s="210"/>
      <c r="M1366" s="209" t="s">
        <v>58</v>
      </c>
      <c r="N1366" s="209">
        <v>0</v>
      </c>
      <c r="O1366" s="209" t="s">
        <v>36</v>
      </c>
      <c r="P1366" s="211" t="s">
        <v>4197</v>
      </c>
      <c r="Q1366" s="209"/>
      <c r="R1366" s="209">
        <v>1</v>
      </c>
      <c r="S1366" s="209"/>
      <c r="T1366" s="209" t="s">
        <v>157</v>
      </c>
      <c r="U1366" s="213">
        <v>44975.365543981483</v>
      </c>
      <c r="V1366" s="209" t="s">
        <v>41</v>
      </c>
      <c r="W1366" s="209" t="s">
        <v>49</v>
      </c>
      <c r="X1366" s="13" t="str">
        <f>IF(RIGHT(H1366,2)&lt;&gt;"00",H1366,"")</f>
        <v/>
      </c>
      <c r="Y1366" s="26">
        <f ca="1">NETWORKDAYS(P1366,$Y$1)</f>
        <v>9</v>
      </c>
      <c r="Z1366" s="34">
        <v>1</v>
      </c>
      <c r="AA1366" s="25" t="str">
        <f t="shared" ca="1" si="120"/>
        <v>A VENCER</v>
      </c>
      <c r="AB1366" s="25" t="str">
        <f t="shared" ref="AB1366:AB1378" si="123">IF(F1366="GRPE-000001","C-14",IF(F1366="GRPE-000002","C-14",IF(F1366="GRPE-000003","C-14",IF(F1366="GRPE-000004","SL-On",IF(F1366="GRPE-000038","C-14",IF(F1366="GRPE-900022","Dosa",IF(F1366="GRPE-000029","Dosa",IF(F1366="ATOS-000222","Dose","TAAe+"))))))))</f>
        <v>C-14</v>
      </c>
      <c r="AC1366" s="2" t="str">
        <f t="shared" si="122"/>
        <v xml:space="preserve"> ROSEMERE </v>
      </c>
      <c r="AD1366" s="26">
        <f t="shared" ref="AD1366:AD1378" si="124">IF(F1366="GRPE-000001",5,IF(F1366="GRPE-000002",5,IF(F1366="GRPE-000003",15,IF(F1366="GRPE-000004",1,IF(F1366="GRPE-000038",5,IF(F1366="GRPE-900022",5,IF(F1366="GRPE-000029",5,IF(F1366="ATOS-000222",5,8))))))))</f>
        <v>5</v>
      </c>
      <c r="AE1366" s="26">
        <f t="shared" ca="1" si="121"/>
        <v>12.310739236112568</v>
      </c>
    </row>
    <row r="1367" spans="1:31" hidden="1">
      <c r="A1367" s="209">
        <v>9497643</v>
      </c>
      <c r="B1367" s="209" t="s">
        <v>1153</v>
      </c>
      <c r="C1367" s="210" t="s">
        <v>3748</v>
      </c>
      <c r="D1367" s="214"/>
      <c r="E1367" s="214">
        <v>1138000206001</v>
      </c>
      <c r="F1367" s="209" t="s">
        <v>29</v>
      </c>
      <c r="G1367" s="209" t="s">
        <v>53</v>
      </c>
      <c r="H1367" s="209" t="s">
        <v>548</v>
      </c>
      <c r="I1367" s="209" t="s">
        <v>549</v>
      </c>
      <c r="J1367" s="209" t="s">
        <v>46</v>
      </c>
      <c r="K1367" s="210" t="s">
        <v>34</v>
      </c>
      <c r="L1367" s="210"/>
      <c r="M1367" s="209" t="s">
        <v>35</v>
      </c>
      <c r="N1367" s="209">
        <v>42318949</v>
      </c>
      <c r="O1367" s="209" t="s">
        <v>36</v>
      </c>
      <c r="P1367" s="211" t="s">
        <v>3749</v>
      </c>
      <c r="Q1367" s="209"/>
      <c r="R1367" s="209" t="s">
        <v>38</v>
      </c>
      <c r="S1367" s="209"/>
      <c r="T1367" s="209" t="s">
        <v>74</v>
      </c>
      <c r="U1367" s="211" t="s">
        <v>4627</v>
      </c>
      <c r="V1367" s="209" t="s">
        <v>41</v>
      </c>
      <c r="W1367" s="209" t="s">
        <v>49</v>
      </c>
      <c r="X1367" s="13" t="str">
        <f>IF(RIGHT(H1367,2)&lt;&gt;"00",H1367,"")</f>
        <v/>
      </c>
      <c r="Y1367" s="26">
        <f ca="1">NETWORKDAYS(P1367,$Y$1)</f>
        <v>8</v>
      </c>
      <c r="Z1367" s="34">
        <v>1</v>
      </c>
      <c r="AA1367" s="25" t="str">
        <f t="shared" ca="1" si="120"/>
        <v>A VENCER</v>
      </c>
      <c r="AB1367" s="25" t="str">
        <f t="shared" si="123"/>
        <v>Dosa</v>
      </c>
      <c r="AC1367" s="2" t="str">
        <f t="shared" si="122"/>
        <v xml:space="preserve"> CLEITON </v>
      </c>
      <c r="AD1367" s="26">
        <f t="shared" si="124"/>
        <v>5</v>
      </c>
      <c r="AE1367" s="26">
        <f t="shared" ca="1" si="121"/>
        <v>9.2456119212947669</v>
      </c>
    </row>
    <row r="1368" spans="1:31" hidden="1">
      <c r="A1368" s="209">
        <v>9497593</v>
      </c>
      <c r="B1368" s="209" t="s">
        <v>1153</v>
      </c>
      <c r="C1368" s="210" t="s">
        <v>3752</v>
      </c>
      <c r="D1368" s="214"/>
      <c r="E1368" s="214">
        <v>2811000206001</v>
      </c>
      <c r="F1368" s="209" t="s">
        <v>29</v>
      </c>
      <c r="G1368" s="209" t="s">
        <v>53</v>
      </c>
      <c r="H1368" s="209" t="s">
        <v>44</v>
      </c>
      <c r="I1368" s="209" t="s">
        <v>45</v>
      </c>
      <c r="J1368" s="209" t="s">
        <v>46</v>
      </c>
      <c r="K1368" s="210" t="s">
        <v>34</v>
      </c>
      <c r="L1368" s="210"/>
      <c r="M1368" s="209" t="s">
        <v>35</v>
      </c>
      <c r="N1368" s="209">
        <v>42318949</v>
      </c>
      <c r="O1368" s="209" t="s">
        <v>36</v>
      </c>
      <c r="P1368" s="211" t="s">
        <v>3753</v>
      </c>
      <c r="Q1368" s="209"/>
      <c r="R1368" s="209" t="s">
        <v>38</v>
      </c>
      <c r="S1368" s="209"/>
      <c r="T1368" s="209" t="s">
        <v>74</v>
      </c>
      <c r="U1368" s="211" t="s">
        <v>4627</v>
      </c>
      <c r="V1368" s="209" t="s">
        <v>41</v>
      </c>
      <c r="W1368" s="209" t="s">
        <v>49</v>
      </c>
      <c r="X1368" s="13" t="str">
        <f>IF(RIGHT(H1368,2)&lt;&gt;"00",H1368,"")</f>
        <v/>
      </c>
      <c r="Y1368" s="26">
        <f ca="1">NETWORKDAYS(P1368,$Y$1)</f>
        <v>8</v>
      </c>
      <c r="Z1368" s="34">
        <v>1</v>
      </c>
      <c r="AA1368" s="25" t="str">
        <f t="shared" ref="AA1368:AA1378" ca="1" si="125">IF(AE1368=0,"HOJE",IF(AE1368&gt;0,"A VENCER",IF(AE1368&lt;0,"VENCIDO")))</f>
        <v>A VENCER</v>
      </c>
      <c r="AB1368" s="25" t="str">
        <f t="shared" si="123"/>
        <v>Dosa</v>
      </c>
      <c r="AC1368" s="2" t="str">
        <f t="shared" si="122"/>
        <v xml:space="preserve"> CLEITON </v>
      </c>
      <c r="AD1368" s="26">
        <f t="shared" si="124"/>
        <v>5</v>
      </c>
      <c r="AE1368" s="26">
        <f t="shared" ref="AE1368:AE1378" ca="1" si="126">IF(P1368=$AE$1,"",$AE$1-P1368)</f>
        <v>9.2870818287046859</v>
      </c>
    </row>
    <row r="1369" spans="1:31" hidden="1">
      <c r="A1369" s="209">
        <v>9497586</v>
      </c>
      <c r="B1369" s="209" t="s">
        <v>1153</v>
      </c>
      <c r="C1369" s="210" t="s">
        <v>3754</v>
      </c>
      <c r="D1369" s="214"/>
      <c r="E1369" s="214">
        <v>2811000206001</v>
      </c>
      <c r="F1369" s="209" t="s">
        <v>29</v>
      </c>
      <c r="G1369" s="209" t="s">
        <v>53</v>
      </c>
      <c r="H1369" s="209" t="s">
        <v>44</v>
      </c>
      <c r="I1369" s="209" t="s">
        <v>45</v>
      </c>
      <c r="J1369" s="209" t="s">
        <v>46</v>
      </c>
      <c r="K1369" s="210" t="s">
        <v>34</v>
      </c>
      <c r="L1369" s="210"/>
      <c r="M1369" s="209" t="s">
        <v>35</v>
      </c>
      <c r="N1369" s="209">
        <v>42318949</v>
      </c>
      <c r="O1369" s="209" t="s">
        <v>36</v>
      </c>
      <c r="P1369" s="211" t="s">
        <v>3755</v>
      </c>
      <c r="Q1369" s="209"/>
      <c r="R1369" s="209" t="s">
        <v>38</v>
      </c>
      <c r="S1369" s="209"/>
      <c r="T1369" s="209" t="s">
        <v>74</v>
      </c>
      <c r="U1369" s="213">
        <v>44988.625</v>
      </c>
      <c r="V1369" s="209" t="s">
        <v>41</v>
      </c>
      <c r="W1369" s="209" t="s">
        <v>49</v>
      </c>
      <c r="X1369" s="13" t="str">
        <f>IF(RIGHT(H1369,2)&lt;&gt;"00",H1369,"")</f>
        <v/>
      </c>
      <c r="Y1369" s="26">
        <f ca="1">NETWORKDAYS(P1369,$Y$1)</f>
        <v>8</v>
      </c>
      <c r="Z1369" s="34">
        <v>1</v>
      </c>
      <c r="AA1369" s="25" t="str">
        <f t="shared" ca="1" si="125"/>
        <v>A VENCER</v>
      </c>
      <c r="AB1369" s="25" t="str">
        <f t="shared" si="123"/>
        <v>Dosa</v>
      </c>
      <c r="AC1369" s="2" t="str">
        <f t="shared" si="122"/>
        <v xml:space="preserve"> CLEITON </v>
      </c>
      <c r="AD1369" s="26">
        <f t="shared" si="124"/>
        <v>5</v>
      </c>
      <c r="AE1369" s="26">
        <f t="shared" ca="1" si="126"/>
        <v>9.2872322916664416</v>
      </c>
    </row>
    <row r="1370" spans="1:31" hidden="1">
      <c r="A1370" s="209">
        <v>9497574</v>
      </c>
      <c r="B1370" s="209" t="s">
        <v>1153</v>
      </c>
      <c r="C1370" s="210" t="s">
        <v>3756</v>
      </c>
      <c r="D1370" s="214"/>
      <c r="E1370" s="214">
        <v>1245000206001</v>
      </c>
      <c r="F1370" s="209" t="s">
        <v>29</v>
      </c>
      <c r="G1370" s="209" t="s">
        <v>53</v>
      </c>
      <c r="H1370" s="209" t="s">
        <v>408</v>
      </c>
      <c r="I1370" s="209" t="s">
        <v>409</v>
      </c>
      <c r="J1370" s="209" t="s">
        <v>46</v>
      </c>
      <c r="K1370" s="210" t="s">
        <v>34</v>
      </c>
      <c r="L1370" s="210"/>
      <c r="M1370" s="209" t="s">
        <v>35</v>
      </c>
      <c r="N1370" s="209">
        <v>42318949</v>
      </c>
      <c r="O1370" s="209" t="s">
        <v>36</v>
      </c>
      <c r="P1370" s="211" t="s">
        <v>3757</v>
      </c>
      <c r="Q1370" s="209"/>
      <c r="R1370" s="209" t="s">
        <v>38</v>
      </c>
      <c r="S1370" s="209"/>
      <c r="T1370" s="209" t="s">
        <v>74</v>
      </c>
      <c r="U1370" s="213">
        <v>44991.625</v>
      </c>
      <c r="V1370" s="209" t="s">
        <v>41</v>
      </c>
      <c r="W1370" s="209" t="s">
        <v>49</v>
      </c>
      <c r="X1370" s="13" t="str">
        <f>IF(RIGHT(H1370,2)&lt;&gt;"00",H1370,"")</f>
        <v/>
      </c>
      <c r="Y1370" s="26">
        <f ca="1">NETWORKDAYS(P1370,$Y$1)</f>
        <v>8</v>
      </c>
      <c r="Z1370" s="34">
        <v>1</v>
      </c>
      <c r="AA1370" s="25" t="str">
        <f t="shared" ca="1" si="125"/>
        <v>A VENCER</v>
      </c>
      <c r="AB1370" s="25" t="str">
        <f t="shared" si="123"/>
        <v>Dosa</v>
      </c>
      <c r="AC1370" s="2" t="str">
        <f t="shared" si="122"/>
        <v xml:space="preserve"> CLEITON </v>
      </c>
      <c r="AD1370" s="26">
        <f t="shared" si="124"/>
        <v>5</v>
      </c>
      <c r="AE1370" s="26">
        <f t="shared" ca="1" si="126"/>
        <v>9.2969892361143138</v>
      </c>
    </row>
    <row r="1371" spans="1:31" hidden="1">
      <c r="A1371" s="209">
        <v>9496417</v>
      </c>
      <c r="B1371" s="209" t="s">
        <v>1153</v>
      </c>
      <c r="C1371" s="210" t="s">
        <v>3773</v>
      </c>
      <c r="D1371" s="214"/>
      <c r="E1371" s="214">
        <v>2564000203000</v>
      </c>
      <c r="F1371" s="209" t="s">
        <v>454</v>
      </c>
      <c r="G1371" s="209" t="s">
        <v>53</v>
      </c>
      <c r="H1371" s="209" t="s">
        <v>255</v>
      </c>
      <c r="I1371" s="209" t="s">
        <v>256</v>
      </c>
      <c r="J1371" s="209" t="s">
        <v>164</v>
      </c>
      <c r="K1371" s="210" t="s">
        <v>457</v>
      </c>
      <c r="L1371" s="210"/>
      <c r="M1371" s="209" t="s">
        <v>58</v>
      </c>
      <c r="N1371" s="209">
        <v>0</v>
      </c>
      <c r="O1371" s="209" t="s">
        <v>36</v>
      </c>
      <c r="P1371" s="211" t="s">
        <v>3774</v>
      </c>
      <c r="Q1371" s="209"/>
      <c r="R1371" s="209">
        <v>1</v>
      </c>
      <c r="S1371" s="209"/>
      <c r="T1371" s="209" t="s">
        <v>157</v>
      </c>
      <c r="U1371" s="213">
        <v>44977.509027777778</v>
      </c>
      <c r="V1371" s="209" t="s">
        <v>41</v>
      </c>
      <c r="W1371" s="209" t="s">
        <v>49</v>
      </c>
      <c r="X1371" s="13" t="str">
        <f>IF(RIGHT(H1371,2)&lt;&gt;"00",H1371,"")</f>
        <v/>
      </c>
      <c r="Y1371" s="26">
        <f ca="1">NETWORKDAYS(P1371,$Y$1)</f>
        <v>8</v>
      </c>
      <c r="Z1371" s="34">
        <v>1</v>
      </c>
      <c r="AA1371" s="25" t="str">
        <f t="shared" ca="1" si="125"/>
        <v>A VENCER</v>
      </c>
      <c r="AB1371" s="25" t="str">
        <f t="shared" si="123"/>
        <v>C-14</v>
      </c>
      <c r="AC1371" s="2" t="str">
        <f t="shared" si="122"/>
        <v xml:space="preserve"> ROSEMERE </v>
      </c>
      <c r="AD1371" s="26">
        <f t="shared" si="124"/>
        <v>5</v>
      </c>
      <c r="AE1371" s="26">
        <f t="shared" ca="1" si="126"/>
        <v>10.167243865740602</v>
      </c>
    </row>
    <row r="1372" spans="1:31" hidden="1">
      <c r="A1372" s="209">
        <v>9496406</v>
      </c>
      <c r="B1372" s="209" t="s">
        <v>1153</v>
      </c>
      <c r="C1372" s="210" t="s">
        <v>4198</v>
      </c>
      <c r="D1372" s="214"/>
      <c r="E1372" s="214">
        <v>2590000206001</v>
      </c>
      <c r="F1372" s="209" t="s">
        <v>29</v>
      </c>
      <c r="G1372" s="209" t="s">
        <v>53</v>
      </c>
      <c r="H1372" s="209" t="s">
        <v>394</v>
      </c>
      <c r="I1372" s="209" t="s">
        <v>395</v>
      </c>
      <c r="J1372" s="209" t="s">
        <v>148</v>
      </c>
      <c r="K1372" s="210" t="s">
        <v>34</v>
      </c>
      <c r="L1372" s="210"/>
      <c r="M1372" s="209" t="s">
        <v>35</v>
      </c>
      <c r="N1372" s="209">
        <v>42318949</v>
      </c>
      <c r="O1372" s="209" t="s">
        <v>36</v>
      </c>
      <c r="P1372" s="211" t="s">
        <v>3780</v>
      </c>
      <c r="Q1372" s="209"/>
      <c r="R1372" s="209" t="s">
        <v>38</v>
      </c>
      <c r="S1372" s="209"/>
      <c r="T1372" s="209" t="s">
        <v>74</v>
      </c>
      <c r="U1372" s="213">
        <v>44994.649305555555</v>
      </c>
      <c r="V1372" s="209" t="s">
        <v>41</v>
      </c>
      <c r="W1372" s="209" t="s">
        <v>49</v>
      </c>
      <c r="X1372" s="13" t="str">
        <f>IF(RIGHT(H1372,2)&lt;&gt;"00",H1372,"")</f>
        <v/>
      </c>
      <c r="Y1372" s="26">
        <f ca="1">NETWORKDAYS(P1372,$Y$1)</f>
        <v>8</v>
      </c>
      <c r="Z1372" s="34">
        <v>1</v>
      </c>
      <c r="AA1372" s="25" t="str">
        <f t="shared" ca="1" si="125"/>
        <v>A VENCER</v>
      </c>
      <c r="AB1372" s="25" t="str">
        <f t="shared" si="123"/>
        <v>Dosa</v>
      </c>
      <c r="AC1372" s="2" t="str">
        <f t="shared" si="122"/>
        <v xml:space="preserve"> RINALDO </v>
      </c>
      <c r="AD1372" s="26">
        <f t="shared" si="124"/>
        <v>5</v>
      </c>
      <c r="AE1372" s="26">
        <f t="shared" ca="1" si="126"/>
        <v>10.168042476849223</v>
      </c>
    </row>
    <row r="1373" spans="1:31" hidden="1">
      <c r="A1373" s="209">
        <v>9496332</v>
      </c>
      <c r="B1373" s="209" t="s">
        <v>1153</v>
      </c>
      <c r="C1373" s="210" t="s">
        <v>3786</v>
      </c>
      <c r="D1373" s="214"/>
      <c r="E1373" s="214">
        <v>1664000206001</v>
      </c>
      <c r="F1373" s="209" t="s">
        <v>29</v>
      </c>
      <c r="G1373" s="209" t="s">
        <v>53</v>
      </c>
      <c r="H1373" s="209" t="s">
        <v>307</v>
      </c>
      <c r="I1373" s="209" t="s">
        <v>308</v>
      </c>
      <c r="J1373" s="209" t="s">
        <v>164</v>
      </c>
      <c r="K1373" s="210" t="s">
        <v>34</v>
      </c>
      <c r="L1373" s="210"/>
      <c r="M1373" s="209" t="s">
        <v>35</v>
      </c>
      <c r="N1373" s="209">
        <v>42318949</v>
      </c>
      <c r="O1373" s="209" t="s">
        <v>36</v>
      </c>
      <c r="P1373" s="211" t="s">
        <v>3787</v>
      </c>
      <c r="Q1373" s="209"/>
      <c r="R1373" s="209" t="s">
        <v>38</v>
      </c>
      <c r="S1373" s="209"/>
      <c r="T1373" s="209" t="s">
        <v>74</v>
      </c>
      <c r="U1373" s="213">
        <v>44992.458333333336</v>
      </c>
      <c r="V1373" s="209" t="s">
        <v>41</v>
      </c>
      <c r="W1373" s="209" t="s">
        <v>49</v>
      </c>
      <c r="X1373" s="13" t="str">
        <f>IF(RIGHT(H1373,2)&lt;&gt;"00",H1373,"")</f>
        <v/>
      </c>
      <c r="Y1373" s="26">
        <f ca="1">NETWORKDAYS(P1373,$Y$1)</f>
        <v>8</v>
      </c>
      <c r="Z1373" s="34">
        <v>1</v>
      </c>
      <c r="AA1373" s="25" t="str">
        <f t="shared" ca="1" si="125"/>
        <v>A VENCER</v>
      </c>
      <c r="AB1373" s="25" t="str">
        <f t="shared" si="123"/>
        <v>Dosa</v>
      </c>
      <c r="AC1373" s="2" t="str">
        <f t="shared" si="122"/>
        <v xml:space="preserve"> ROSEMERE </v>
      </c>
      <c r="AD1373" s="26">
        <f t="shared" si="124"/>
        <v>5</v>
      </c>
      <c r="AE1373" s="26">
        <f t="shared" ca="1" si="126"/>
        <v>10.199014699071995</v>
      </c>
    </row>
    <row r="1374" spans="1:31">
      <c r="A1374" s="218">
        <v>9496178</v>
      </c>
      <c r="B1374" s="218" t="s">
        <v>1153</v>
      </c>
      <c r="C1374" s="219" t="s">
        <v>3792</v>
      </c>
      <c r="D1374" s="220"/>
      <c r="E1374" s="220">
        <v>2304000206001</v>
      </c>
      <c r="F1374" s="218" t="s">
        <v>29</v>
      </c>
      <c r="G1374" s="218" t="s">
        <v>53</v>
      </c>
      <c r="H1374" s="218" t="s">
        <v>2711</v>
      </c>
      <c r="I1374" s="218" t="s">
        <v>2712</v>
      </c>
      <c r="J1374" s="218" t="s">
        <v>85</v>
      </c>
      <c r="K1374" s="210" t="s">
        <v>34</v>
      </c>
      <c r="L1374" s="210"/>
      <c r="M1374" s="209" t="s">
        <v>35</v>
      </c>
      <c r="N1374" s="209">
        <v>42318949</v>
      </c>
      <c r="O1374" s="209" t="s">
        <v>36</v>
      </c>
      <c r="P1374" s="211" t="s">
        <v>3793</v>
      </c>
      <c r="Q1374" s="209"/>
      <c r="R1374" s="209" t="s">
        <v>38</v>
      </c>
      <c r="S1374" s="209"/>
      <c r="T1374" s="209" t="s">
        <v>74</v>
      </c>
      <c r="U1374" s="211" t="s">
        <v>4476</v>
      </c>
      <c r="V1374" s="209" t="s">
        <v>41</v>
      </c>
      <c r="W1374" s="209" t="s">
        <v>49</v>
      </c>
      <c r="X1374" s="13" t="str">
        <f>IF(RIGHT(H1374,2)&lt;&gt;"00",H1374,"")</f>
        <v/>
      </c>
      <c r="Y1374" s="26">
        <f ca="1">NETWORKDAYS(P1374,$Y$1)</f>
        <v>8</v>
      </c>
      <c r="Z1374" s="34">
        <v>1</v>
      </c>
      <c r="AA1374" s="25" t="str">
        <f t="shared" ca="1" si="125"/>
        <v>A VENCER</v>
      </c>
      <c r="AB1374" s="25" t="str">
        <f t="shared" si="123"/>
        <v>Dosa</v>
      </c>
      <c r="AC1374" s="2" t="str">
        <f t="shared" si="122"/>
        <v xml:space="preserve"> RINALDO </v>
      </c>
      <c r="AD1374" s="26">
        <f t="shared" si="124"/>
        <v>5</v>
      </c>
      <c r="AE1374" s="26">
        <f t="shared" ca="1" si="126"/>
        <v>10.272104976851551</v>
      </c>
    </row>
    <row r="1375" spans="1:31" hidden="1">
      <c r="A1375" s="209">
        <v>9499146</v>
      </c>
      <c r="B1375" s="209" t="s">
        <v>1153</v>
      </c>
      <c r="C1375" s="210" t="s">
        <v>3808</v>
      </c>
      <c r="D1375" s="214"/>
      <c r="E1375" s="214">
        <v>3108010206001</v>
      </c>
      <c r="F1375" s="209" t="s">
        <v>29</v>
      </c>
      <c r="G1375" s="209" t="s">
        <v>53</v>
      </c>
      <c r="H1375" s="209" t="s">
        <v>503</v>
      </c>
      <c r="I1375" s="209" t="s">
        <v>504</v>
      </c>
      <c r="J1375" s="209" t="s">
        <v>46</v>
      </c>
      <c r="K1375" s="210" t="s">
        <v>34</v>
      </c>
      <c r="L1375" s="210"/>
      <c r="M1375" s="209" t="s">
        <v>35</v>
      </c>
      <c r="N1375" s="209">
        <v>42318949</v>
      </c>
      <c r="O1375" s="209" t="s">
        <v>36</v>
      </c>
      <c r="P1375" s="211" t="s">
        <v>3809</v>
      </c>
      <c r="Q1375" s="209"/>
      <c r="R1375" s="209" t="s">
        <v>38</v>
      </c>
      <c r="S1375" s="209"/>
      <c r="T1375" s="209" t="s">
        <v>74</v>
      </c>
      <c r="U1375" s="213">
        <v>44991.416666666664</v>
      </c>
      <c r="V1375" s="209" t="s">
        <v>41</v>
      </c>
      <c r="W1375" s="209" t="s">
        <v>49</v>
      </c>
      <c r="X1375" s="13" t="str">
        <f>IF(RIGHT(H1375,2)&lt;&gt;"00",H1375,"")</f>
        <v>3108.01</v>
      </c>
      <c r="Y1375" s="26">
        <f ca="1">NETWORKDAYS(P1375,$Y$1)</f>
        <v>7</v>
      </c>
      <c r="Z1375" s="34">
        <v>1</v>
      </c>
      <c r="AA1375" s="25" t="str">
        <f t="shared" ca="1" si="125"/>
        <v>A VENCER</v>
      </c>
      <c r="AB1375" s="25" t="str">
        <f t="shared" si="123"/>
        <v>Dosa</v>
      </c>
      <c r="AC1375" s="2" t="str">
        <f t="shared" si="122"/>
        <v xml:space="preserve"> CLEITON </v>
      </c>
      <c r="AD1375" s="26">
        <f t="shared" si="124"/>
        <v>5</v>
      </c>
      <c r="AE1375" s="26">
        <f t="shared" ca="1" si="126"/>
        <v>8.0282855324039701</v>
      </c>
    </row>
    <row r="1376" spans="1:31" hidden="1">
      <c r="A1376" s="209">
        <v>9498887</v>
      </c>
      <c r="B1376" s="209" t="s">
        <v>1153</v>
      </c>
      <c r="C1376" s="210" t="s">
        <v>3810</v>
      </c>
      <c r="D1376" s="214"/>
      <c r="E1376" s="214">
        <v>2196000206001</v>
      </c>
      <c r="F1376" s="209" t="s">
        <v>29</v>
      </c>
      <c r="G1376" s="209" t="s">
        <v>53</v>
      </c>
      <c r="H1376" s="209" t="s">
        <v>1252</v>
      </c>
      <c r="I1376" s="209" t="s">
        <v>1253</v>
      </c>
      <c r="J1376" s="209" t="s">
        <v>33</v>
      </c>
      <c r="K1376" s="210" t="s">
        <v>34</v>
      </c>
      <c r="L1376" s="210"/>
      <c r="M1376" s="209" t="s">
        <v>35</v>
      </c>
      <c r="N1376" s="209">
        <v>42318949</v>
      </c>
      <c r="O1376" s="209" t="s">
        <v>36</v>
      </c>
      <c r="P1376" s="211" t="s">
        <v>3811</v>
      </c>
      <c r="Q1376" s="209"/>
      <c r="R1376" s="209" t="s">
        <v>38</v>
      </c>
      <c r="S1376" s="209"/>
      <c r="T1376" s="209" t="s">
        <v>74</v>
      </c>
      <c r="U1376" s="213">
        <v>44991.5</v>
      </c>
      <c r="V1376" s="209" t="s">
        <v>41</v>
      </c>
      <c r="W1376" s="209" t="s">
        <v>42</v>
      </c>
      <c r="X1376" s="13" t="str">
        <f>IF(RIGHT(H1376,2)&lt;&gt;"00",H1376,"")</f>
        <v/>
      </c>
      <c r="Y1376" s="26">
        <f ca="1">NETWORKDAYS(P1376,$Y$1)</f>
        <v>7</v>
      </c>
      <c r="Z1376" s="34">
        <v>1</v>
      </c>
      <c r="AA1376" s="25" t="str">
        <f t="shared" ca="1" si="125"/>
        <v>A VENCER</v>
      </c>
      <c r="AB1376" s="25" t="str">
        <f t="shared" si="123"/>
        <v>Dosa</v>
      </c>
      <c r="AC1376" s="2" t="str">
        <f t="shared" si="122"/>
        <v xml:space="preserve"> ROSEMERE </v>
      </c>
      <c r="AD1376" s="26">
        <f t="shared" si="124"/>
        <v>5</v>
      </c>
      <c r="AE1376" s="26">
        <f t="shared" ca="1" si="126"/>
        <v>8.2367809027782641</v>
      </c>
    </row>
    <row r="1377" spans="1:31" hidden="1">
      <c r="A1377" s="209">
        <v>9502037</v>
      </c>
      <c r="B1377" s="209" t="s">
        <v>1153</v>
      </c>
      <c r="C1377" s="210" t="s">
        <v>3822</v>
      </c>
      <c r="D1377" s="214">
        <v>20231666000016</v>
      </c>
      <c r="E1377" s="214">
        <v>7417163285374</v>
      </c>
      <c r="F1377" s="209" t="s">
        <v>131</v>
      </c>
      <c r="G1377" s="209" t="s">
        <v>53</v>
      </c>
      <c r="H1377" s="209" t="s">
        <v>2679</v>
      </c>
      <c r="I1377" s="209" t="s">
        <v>2680</v>
      </c>
      <c r="J1377" s="209" t="s">
        <v>79</v>
      </c>
      <c r="K1377" s="210" t="s">
        <v>132</v>
      </c>
      <c r="L1377" s="210"/>
      <c r="M1377" s="209" t="s">
        <v>58</v>
      </c>
      <c r="N1377" s="209">
        <v>0</v>
      </c>
      <c r="O1377" s="209" t="s">
        <v>36</v>
      </c>
      <c r="P1377" s="211" t="s">
        <v>3823</v>
      </c>
      <c r="Q1377" s="209"/>
      <c r="R1377" s="209">
        <v>14</v>
      </c>
      <c r="S1377" s="209"/>
      <c r="T1377" s="209" t="s">
        <v>238</v>
      </c>
      <c r="U1377" s="211" t="s">
        <v>3819</v>
      </c>
      <c r="V1377" s="209" t="s">
        <v>41</v>
      </c>
      <c r="W1377" s="209" t="s">
        <v>49</v>
      </c>
      <c r="X1377" s="13" t="str">
        <f>IF(RIGHT(H1377,2)&lt;&gt;"00",H1377,"")</f>
        <v>1666.91</v>
      </c>
      <c r="Y1377" s="26">
        <f ca="1">NETWORKDAYS(P1377,$Y$1)</f>
        <v>6</v>
      </c>
      <c r="Z1377" s="34">
        <v>1</v>
      </c>
      <c r="AA1377" s="25" t="str">
        <f t="shared" ca="1" si="125"/>
        <v>A VENCER</v>
      </c>
      <c r="AB1377" s="25" t="str">
        <f t="shared" si="123"/>
        <v>TAAe+</v>
      </c>
      <c r="AC1377" s="2" t="str">
        <f t="shared" si="122"/>
        <v xml:space="preserve"> ROSEMERE </v>
      </c>
      <c r="AD1377" s="26">
        <f t="shared" si="124"/>
        <v>8</v>
      </c>
      <c r="AE1377" s="26">
        <f t="shared" ca="1" si="126"/>
        <v>6.9537021990763606</v>
      </c>
    </row>
    <row r="1378" spans="1:31" hidden="1">
      <c r="A1378" s="209">
        <v>9501854</v>
      </c>
      <c r="B1378" s="209" t="s">
        <v>1153</v>
      </c>
      <c r="C1378" s="210" t="s">
        <v>3837</v>
      </c>
      <c r="D1378" s="214">
        <v>20234924000068</v>
      </c>
      <c r="E1378" s="214">
        <v>7419141893227</v>
      </c>
      <c r="F1378" s="209" t="s">
        <v>128</v>
      </c>
      <c r="G1378" s="209" t="s">
        <v>53</v>
      </c>
      <c r="H1378" s="209" t="s">
        <v>3328</v>
      </c>
      <c r="I1378" s="209" t="s">
        <v>3329</v>
      </c>
      <c r="J1378" s="209" t="s">
        <v>79</v>
      </c>
      <c r="K1378" s="210" t="s">
        <v>129</v>
      </c>
      <c r="L1378" s="210"/>
      <c r="M1378" s="209" t="s">
        <v>58</v>
      </c>
      <c r="N1378" s="209">
        <v>0</v>
      </c>
      <c r="O1378" s="209" t="s">
        <v>36</v>
      </c>
      <c r="P1378" s="211" t="s">
        <v>3838</v>
      </c>
      <c r="Q1378" s="209"/>
      <c r="R1378" s="209">
        <v>14</v>
      </c>
      <c r="S1378" s="209"/>
      <c r="T1378" s="209" t="s">
        <v>238</v>
      </c>
      <c r="U1378" s="211" t="s">
        <v>3838</v>
      </c>
      <c r="V1378" s="209" t="s">
        <v>41</v>
      </c>
      <c r="W1378" s="209" t="s">
        <v>49</v>
      </c>
      <c r="X1378" s="13" t="str">
        <f>IF(RIGHT(H1378,2)&lt;&gt;"00",H1378,"")</f>
        <v>4924.01</v>
      </c>
      <c r="Y1378" s="26">
        <f ca="1">NETWORKDAYS(P1378,$Y$1)</f>
        <v>6</v>
      </c>
      <c r="Z1378" s="34">
        <v>1</v>
      </c>
      <c r="AA1378" s="25" t="str">
        <f t="shared" ca="1" si="125"/>
        <v>A VENCER</v>
      </c>
      <c r="AB1378" s="25" t="str">
        <f t="shared" si="123"/>
        <v>TAAe+</v>
      </c>
      <c r="AC1378" s="2" t="str">
        <f t="shared" si="122"/>
        <v xml:space="preserve"> ROSEMERE </v>
      </c>
      <c r="AD1378" s="26">
        <f t="shared" si="124"/>
        <v>8</v>
      </c>
      <c r="AE1378" s="26">
        <f t="shared" ca="1" si="126"/>
        <v>6.9888063657417661</v>
      </c>
    </row>
    <row r="1379" spans="1:31" hidden="1">
      <c r="A1379" s="209">
        <v>9501790</v>
      </c>
      <c r="B1379" s="209" t="s">
        <v>1153</v>
      </c>
      <c r="C1379" s="210" t="s">
        <v>3844</v>
      </c>
      <c r="D1379" s="214">
        <v>20234923000074</v>
      </c>
      <c r="E1379" s="214">
        <v>7419141893152</v>
      </c>
      <c r="F1379" s="209" t="s">
        <v>128</v>
      </c>
      <c r="G1379" s="209" t="s">
        <v>53</v>
      </c>
      <c r="H1379" s="209" t="s">
        <v>2870</v>
      </c>
      <c r="I1379" s="209" t="s">
        <v>2871</v>
      </c>
      <c r="J1379" s="209" t="s">
        <v>46</v>
      </c>
      <c r="K1379" s="210" t="s">
        <v>129</v>
      </c>
      <c r="L1379" s="210"/>
      <c r="M1379" s="209" t="s">
        <v>58</v>
      </c>
      <c r="N1379" s="209">
        <v>0</v>
      </c>
      <c r="O1379" s="209" t="s">
        <v>36</v>
      </c>
      <c r="P1379" s="211" t="s">
        <v>3845</v>
      </c>
      <c r="Q1379" s="209"/>
      <c r="R1379" s="209">
        <v>13</v>
      </c>
      <c r="S1379" s="209"/>
      <c r="T1379" s="209" t="s">
        <v>238</v>
      </c>
      <c r="U1379" s="211" t="s">
        <v>3845</v>
      </c>
      <c r="V1379" s="209" t="s">
        <v>41</v>
      </c>
      <c r="W1379" s="209" t="s">
        <v>49</v>
      </c>
      <c r="X1379" s="13" t="str">
        <f>IF(RIGHT(H1379,2)&lt;&gt;"00",H1379,"")</f>
        <v>4923.04</v>
      </c>
      <c r="Y1379" s="26">
        <f ca="1">NETWORKDAYS(P1379,$Y$1)</f>
        <v>6</v>
      </c>
      <c r="Z1379" s="34">
        <v>1</v>
      </c>
      <c r="AA1379" s="25" t="str">
        <f t="shared" ref="AA1379:AA1442" ca="1" si="127">IF(AE1379=0,"HOJE",IF(AE1379&gt;0,"A VENCER",IF(AE1379&lt;0,"VENCIDO")))</f>
        <v>A VENCER</v>
      </c>
      <c r="AB1379" s="25" t="str">
        <f t="shared" ref="AB1379:AB1442" si="128">IF(F1379="GRPE-000001","C-14",IF(F1379="GRPE-000002","C-14",IF(F1379="GRPE-000003","C-14",IF(F1379="GRPE-000004","SL-On",IF(F1379="GRPE-000038","C-14",IF(F1379="GRPE-900022","Dosa",IF(F1379="GRPE-000029","Dosa",IF(F1379="ATOS-000222","Dose","TAAe+"))))))))</f>
        <v>TAAe+</v>
      </c>
      <c r="AC1379" s="2" t="str">
        <f t="shared" si="122"/>
        <v xml:space="preserve"> CLEITON </v>
      </c>
      <c r="AD1379" s="26">
        <f t="shared" ref="AD1379:AD1442" si="129">IF(F1379="GRPE-000001",5,IF(F1379="GRPE-000002",5,IF(F1379="GRPE-000003",15,IF(F1379="GRPE-000004",1,IF(F1379="GRPE-000038",5,IF(F1379="GRPE-900022",5,IF(F1379="GRPE-000029",5,IF(F1379="ATOS-000222",5,8))))))))</f>
        <v>8</v>
      </c>
      <c r="AE1379" s="26">
        <f t="shared" ref="AE1379:AE1442" ca="1" si="130">IF(P1379=$AE$1,"",$AE$1-P1379)</f>
        <v>7.0183665509248385</v>
      </c>
    </row>
    <row r="1380" spans="1:31" hidden="1">
      <c r="A1380" s="209">
        <v>9501765</v>
      </c>
      <c r="B1380" s="209" t="s">
        <v>1153</v>
      </c>
      <c r="C1380" s="210" t="s">
        <v>4002</v>
      </c>
      <c r="D1380" s="214">
        <v>20238896000029</v>
      </c>
      <c r="E1380" s="214">
        <v>7417172315875</v>
      </c>
      <c r="F1380" s="209" t="s">
        <v>1155</v>
      </c>
      <c r="G1380" s="209" t="s">
        <v>53</v>
      </c>
      <c r="H1380" s="209" t="s">
        <v>4003</v>
      </c>
      <c r="I1380" s="209" t="s">
        <v>4004</v>
      </c>
      <c r="J1380" s="209" t="s">
        <v>46</v>
      </c>
      <c r="K1380" s="210" t="s">
        <v>1158</v>
      </c>
      <c r="L1380" s="210"/>
      <c r="M1380" s="209" t="s">
        <v>58</v>
      </c>
      <c r="N1380" s="209">
        <v>0</v>
      </c>
      <c r="O1380" s="209" t="s">
        <v>36</v>
      </c>
      <c r="P1380" s="211" t="s">
        <v>4628</v>
      </c>
      <c r="Q1380" s="209"/>
      <c r="R1380" s="209">
        <v>22</v>
      </c>
      <c r="S1380" s="209"/>
      <c r="T1380" s="209" t="s">
        <v>1160</v>
      </c>
      <c r="U1380" s="211" t="s">
        <v>4629</v>
      </c>
      <c r="V1380" s="209" t="s">
        <v>41</v>
      </c>
      <c r="W1380" s="209" t="s">
        <v>4005</v>
      </c>
      <c r="X1380" s="13" t="str">
        <f>IF(RIGHT(H1380,2)&lt;&gt;"00",H1380,"")</f>
        <v/>
      </c>
      <c r="Y1380" s="26">
        <f ca="1">NETWORKDAYS(P1380,$Y$1)</f>
        <v>6</v>
      </c>
      <c r="Z1380" s="34">
        <v>1</v>
      </c>
      <c r="AA1380" s="25" t="str">
        <f t="shared" ca="1" si="127"/>
        <v>A VENCER</v>
      </c>
      <c r="AB1380" s="25" t="str">
        <f t="shared" si="128"/>
        <v>TAAe+</v>
      </c>
      <c r="AC1380" s="2" t="str">
        <f t="shared" si="122"/>
        <v xml:space="preserve"> CLEITON </v>
      </c>
      <c r="AD1380" s="26">
        <f t="shared" si="129"/>
        <v>8</v>
      </c>
      <c r="AE1380" s="26">
        <f t="shared" ca="1" si="130"/>
        <v>7.0158434027762269</v>
      </c>
    </row>
    <row r="1381" spans="1:31">
      <c r="A1381" s="218">
        <v>9501693</v>
      </c>
      <c r="B1381" s="218" t="s">
        <v>1153</v>
      </c>
      <c r="C1381" s="219" t="s">
        <v>3861</v>
      </c>
      <c r="D1381" s="220"/>
      <c r="E1381" s="220">
        <v>2304000206001</v>
      </c>
      <c r="F1381" s="218" t="s">
        <v>29</v>
      </c>
      <c r="G1381" s="218" t="s">
        <v>53</v>
      </c>
      <c r="H1381" s="218" t="s">
        <v>2711</v>
      </c>
      <c r="I1381" s="218" t="s">
        <v>2712</v>
      </c>
      <c r="J1381" s="218" t="s">
        <v>85</v>
      </c>
      <c r="K1381" s="210" t="s">
        <v>34</v>
      </c>
      <c r="L1381" s="210"/>
      <c r="M1381" s="209" t="s">
        <v>35</v>
      </c>
      <c r="N1381" s="209">
        <v>42318949</v>
      </c>
      <c r="O1381" s="209" t="s">
        <v>36</v>
      </c>
      <c r="P1381" s="211" t="s">
        <v>3862</v>
      </c>
      <c r="Q1381" s="209"/>
      <c r="R1381" s="209" t="s">
        <v>38</v>
      </c>
      <c r="S1381" s="209"/>
      <c r="T1381" s="209" t="s">
        <v>74</v>
      </c>
      <c r="U1381" s="211" t="s">
        <v>4630</v>
      </c>
      <c r="V1381" s="209" t="s">
        <v>41</v>
      </c>
      <c r="W1381" s="209" t="s">
        <v>49</v>
      </c>
      <c r="X1381" s="13" t="str">
        <f>IF(RIGHT(H1381,2)&lt;&gt;"00",H1381,"")</f>
        <v/>
      </c>
      <c r="Y1381" s="26">
        <f ca="1">NETWORKDAYS(P1381,$Y$1)</f>
        <v>6</v>
      </c>
      <c r="Z1381" s="34">
        <v>1</v>
      </c>
      <c r="AA1381" s="25" t="str">
        <f t="shared" ca="1" si="127"/>
        <v>A VENCER</v>
      </c>
      <c r="AB1381" s="25" t="str">
        <f t="shared" si="128"/>
        <v>Dosa</v>
      </c>
      <c r="AC1381" s="2" t="str">
        <f t="shared" si="122"/>
        <v xml:space="preserve"> RINALDO </v>
      </c>
      <c r="AD1381" s="26">
        <f t="shared" si="129"/>
        <v>5</v>
      </c>
      <c r="AE1381" s="26">
        <f t="shared" ca="1" si="130"/>
        <v>6.9578109953727107</v>
      </c>
    </row>
    <row r="1382" spans="1:31" hidden="1">
      <c r="A1382" s="209">
        <v>9501669</v>
      </c>
      <c r="B1382" s="209" t="s">
        <v>1153</v>
      </c>
      <c r="C1382" s="210" t="s">
        <v>3866</v>
      </c>
      <c r="D1382" s="214">
        <v>20230244000009</v>
      </c>
      <c r="E1382" s="214">
        <v>7419151141159</v>
      </c>
      <c r="F1382" s="209" t="s">
        <v>123</v>
      </c>
      <c r="G1382" s="209" t="s">
        <v>53</v>
      </c>
      <c r="H1382" s="209" t="s">
        <v>2579</v>
      </c>
      <c r="I1382" s="209" t="s">
        <v>2580</v>
      </c>
      <c r="J1382" s="209" t="s">
        <v>56</v>
      </c>
      <c r="K1382" s="210" t="s">
        <v>126</v>
      </c>
      <c r="L1382" s="210"/>
      <c r="M1382" s="209" t="s">
        <v>58</v>
      </c>
      <c r="N1382" s="209">
        <v>0</v>
      </c>
      <c r="O1382" s="209" t="s">
        <v>105</v>
      </c>
      <c r="P1382" s="211" t="s">
        <v>3867</v>
      </c>
      <c r="Q1382" s="209"/>
      <c r="R1382" s="209">
        <v>14</v>
      </c>
      <c r="S1382" s="209"/>
      <c r="T1382" s="209" t="s">
        <v>238</v>
      </c>
      <c r="U1382" s="211" t="s">
        <v>3867</v>
      </c>
      <c r="V1382" s="209" t="s">
        <v>41</v>
      </c>
      <c r="W1382" s="209" t="s">
        <v>49</v>
      </c>
      <c r="X1382" s="13" t="str">
        <f>IF(RIGHT(H1382,2)&lt;&gt;"00",H1382,"")</f>
        <v>0244.91</v>
      </c>
      <c r="Y1382" s="26">
        <f ca="1">NETWORKDAYS(P1382,$Y$1)</f>
        <v>6</v>
      </c>
      <c r="Z1382" s="34">
        <v>1</v>
      </c>
      <c r="AA1382" s="25" t="str">
        <f t="shared" ca="1" si="127"/>
        <v>A VENCER</v>
      </c>
      <c r="AB1382" s="25" t="str">
        <f t="shared" si="128"/>
        <v>TAAe+</v>
      </c>
      <c r="AC1382" s="2" t="str">
        <f t="shared" si="122"/>
        <v xml:space="preserve"> CRISTINA </v>
      </c>
      <c r="AD1382" s="26">
        <f t="shared" si="129"/>
        <v>8</v>
      </c>
      <c r="AE1382" s="26">
        <f t="shared" ca="1" si="130"/>
        <v>7.0409938657394378</v>
      </c>
    </row>
    <row r="1383" spans="1:31" hidden="1">
      <c r="A1383" s="209">
        <v>9501617</v>
      </c>
      <c r="B1383" s="209" t="s">
        <v>1153</v>
      </c>
      <c r="C1383" s="210" t="s">
        <v>3868</v>
      </c>
      <c r="D1383" s="214">
        <v>20230244000008</v>
      </c>
      <c r="E1383" s="214">
        <v>7417211830098</v>
      </c>
      <c r="F1383" s="209" t="s">
        <v>1936</v>
      </c>
      <c r="G1383" s="209" t="s">
        <v>53</v>
      </c>
      <c r="H1383" s="209" t="s">
        <v>2579</v>
      </c>
      <c r="I1383" s="209" t="s">
        <v>2580</v>
      </c>
      <c r="J1383" s="209" t="s">
        <v>56</v>
      </c>
      <c r="K1383" s="210" t="s">
        <v>1939</v>
      </c>
      <c r="L1383" s="210"/>
      <c r="M1383" s="209" t="s">
        <v>58</v>
      </c>
      <c r="N1383" s="209">
        <v>0</v>
      </c>
      <c r="O1383" s="209" t="s">
        <v>105</v>
      </c>
      <c r="P1383" s="211" t="s">
        <v>3869</v>
      </c>
      <c r="Q1383" s="209"/>
      <c r="R1383" s="209">
        <v>14</v>
      </c>
      <c r="S1383" s="209"/>
      <c r="T1383" s="209" t="s">
        <v>238</v>
      </c>
      <c r="U1383" s="213">
        <v>44979.633125</v>
      </c>
      <c r="V1383" s="209" t="s">
        <v>41</v>
      </c>
      <c r="W1383" s="209" t="s">
        <v>49</v>
      </c>
      <c r="X1383" s="13" t="str">
        <f>IF(RIGHT(H1383,2)&lt;&gt;"00",H1383,"")</f>
        <v>0244.91</v>
      </c>
      <c r="Y1383" s="26">
        <f ca="1">NETWORKDAYS(P1383,$Y$1)</f>
        <v>6</v>
      </c>
      <c r="Z1383" s="34">
        <v>1</v>
      </c>
      <c r="AA1383" s="25" t="str">
        <f t="shared" ca="1" si="127"/>
        <v>A VENCER</v>
      </c>
      <c r="AB1383" s="25" t="str">
        <f t="shared" si="128"/>
        <v>TAAe+</v>
      </c>
      <c r="AC1383" s="2" t="str">
        <f t="shared" si="122"/>
        <v xml:space="preserve"> CRISTINA </v>
      </c>
      <c r="AD1383" s="26">
        <f t="shared" si="129"/>
        <v>8</v>
      </c>
      <c r="AE1383" s="26">
        <f t="shared" ca="1" si="130"/>
        <v>7.043146643518412</v>
      </c>
    </row>
    <row r="1384" spans="1:31" hidden="1">
      <c r="A1384" s="209">
        <v>9501569</v>
      </c>
      <c r="B1384" s="209" t="s">
        <v>1153</v>
      </c>
      <c r="C1384" s="210" t="s">
        <v>3870</v>
      </c>
      <c r="D1384" s="214">
        <v>20231689000010</v>
      </c>
      <c r="E1384" s="214">
        <v>7419141892184</v>
      </c>
      <c r="F1384" s="209" t="s">
        <v>128</v>
      </c>
      <c r="G1384" s="209" t="s">
        <v>53</v>
      </c>
      <c r="H1384" s="209" t="s">
        <v>2131</v>
      </c>
      <c r="I1384" s="209" t="s">
        <v>2132</v>
      </c>
      <c r="J1384" s="209" t="s">
        <v>79</v>
      </c>
      <c r="K1384" s="210" t="s">
        <v>129</v>
      </c>
      <c r="L1384" s="210"/>
      <c r="M1384" s="209" t="s">
        <v>58</v>
      </c>
      <c r="N1384" s="209">
        <v>0</v>
      </c>
      <c r="O1384" s="209" t="s">
        <v>36</v>
      </c>
      <c r="P1384" s="211" t="s">
        <v>3871</v>
      </c>
      <c r="Q1384" s="209"/>
      <c r="R1384" s="209">
        <v>13</v>
      </c>
      <c r="S1384" s="209"/>
      <c r="T1384" s="209" t="s">
        <v>238</v>
      </c>
      <c r="U1384" s="213">
        <v>44979.619814814818</v>
      </c>
      <c r="V1384" s="209" t="s">
        <v>41</v>
      </c>
      <c r="W1384" s="209" t="s">
        <v>49</v>
      </c>
      <c r="X1384" s="13" t="str">
        <f>IF(RIGHT(H1384,2)&lt;&gt;"00",H1384,"")</f>
        <v>1689.91</v>
      </c>
      <c r="Y1384" s="26">
        <f ca="1">NETWORKDAYS(P1384,$Y$1)</f>
        <v>6</v>
      </c>
      <c r="Z1384" s="34">
        <v>1</v>
      </c>
      <c r="AA1384" s="25" t="str">
        <f t="shared" ca="1" si="127"/>
        <v>A VENCER</v>
      </c>
      <c r="AB1384" s="25" t="str">
        <f t="shared" si="128"/>
        <v>TAAe+</v>
      </c>
      <c r="AC1384" s="2" t="str">
        <f t="shared" si="122"/>
        <v xml:space="preserve"> ROSEMERE </v>
      </c>
      <c r="AD1384" s="26">
        <f t="shared" si="129"/>
        <v>8</v>
      </c>
      <c r="AE1384" s="26">
        <f t="shared" ca="1" si="130"/>
        <v>7.0564568287009024</v>
      </c>
    </row>
    <row r="1385" spans="1:31" hidden="1">
      <c r="A1385" s="209">
        <v>9501466</v>
      </c>
      <c r="B1385" s="209" t="s">
        <v>1153</v>
      </c>
      <c r="C1385" s="210" t="s">
        <v>3875</v>
      </c>
      <c r="D1385" s="214">
        <v>20234844000528</v>
      </c>
      <c r="E1385" s="214">
        <v>7419141892255</v>
      </c>
      <c r="F1385" s="209" t="s">
        <v>128</v>
      </c>
      <c r="G1385" s="209" t="s">
        <v>53</v>
      </c>
      <c r="H1385" s="209" t="s">
        <v>2059</v>
      </c>
      <c r="I1385" s="209" t="s">
        <v>2060</v>
      </c>
      <c r="J1385" s="209" t="s">
        <v>46</v>
      </c>
      <c r="K1385" s="210" t="s">
        <v>129</v>
      </c>
      <c r="L1385" s="210"/>
      <c r="M1385" s="209" t="s">
        <v>58</v>
      </c>
      <c r="N1385" s="209">
        <v>0</v>
      </c>
      <c r="O1385" s="209" t="s">
        <v>36</v>
      </c>
      <c r="P1385" s="211" t="s">
        <v>3876</v>
      </c>
      <c r="Q1385" s="209"/>
      <c r="R1385" s="209">
        <v>13</v>
      </c>
      <c r="S1385" s="209"/>
      <c r="T1385" s="209" t="s">
        <v>238</v>
      </c>
      <c r="U1385" s="211" t="s">
        <v>3876</v>
      </c>
      <c r="V1385" s="209" t="s">
        <v>41</v>
      </c>
      <c r="W1385" s="209" t="s">
        <v>49</v>
      </c>
      <c r="X1385" s="13" t="str">
        <f>IF(RIGHT(H1385,2)&lt;&gt;"00",H1385,"")</f>
        <v>4844.35</v>
      </c>
      <c r="Y1385" s="26">
        <f ca="1">NETWORKDAYS(P1385,$Y$1)</f>
        <v>6</v>
      </c>
      <c r="Z1385" s="34">
        <v>1</v>
      </c>
      <c r="AA1385" s="25" t="str">
        <f t="shared" ca="1" si="127"/>
        <v>A VENCER</v>
      </c>
      <c r="AB1385" s="25" t="str">
        <f t="shared" si="128"/>
        <v>TAAe+</v>
      </c>
      <c r="AC1385" s="2" t="str">
        <f t="shared" si="122"/>
        <v xml:space="preserve"> CLEITON </v>
      </c>
      <c r="AD1385" s="26">
        <f t="shared" si="129"/>
        <v>8</v>
      </c>
      <c r="AE1385" s="26">
        <f t="shared" ca="1" si="130"/>
        <v>7.084720717590244</v>
      </c>
    </row>
    <row r="1386" spans="1:31" hidden="1">
      <c r="A1386" s="209">
        <v>9501453</v>
      </c>
      <c r="B1386" s="209" t="s">
        <v>62</v>
      </c>
      <c r="C1386" s="210" t="s">
        <v>3877</v>
      </c>
      <c r="D1386" s="214"/>
      <c r="E1386" s="214">
        <v>3699000203000</v>
      </c>
      <c r="F1386" s="209" t="s">
        <v>454</v>
      </c>
      <c r="G1386" s="209" t="s">
        <v>53</v>
      </c>
      <c r="H1386" s="209" t="s">
        <v>343</v>
      </c>
      <c r="I1386" s="209" t="s">
        <v>344</v>
      </c>
      <c r="J1386" s="209" t="s">
        <v>46</v>
      </c>
      <c r="K1386" s="210" t="s">
        <v>457</v>
      </c>
      <c r="L1386" s="210"/>
      <c r="M1386" s="209" t="s">
        <v>58</v>
      </c>
      <c r="N1386" s="209">
        <v>0</v>
      </c>
      <c r="O1386" s="209" t="s">
        <v>105</v>
      </c>
      <c r="P1386" s="211" t="s">
        <v>3878</v>
      </c>
      <c r="Q1386" s="209"/>
      <c r="R1386" s="209">
        <v>1</v>
      </c>
      <c r="S1386" s="209"/>
      <c r="T1386" s="209" t="s">
        <v>157</v>
      </c>
      <c r="U1386" s="211" t="s">
        <v>3879</v>
      </c>
      <c r="V1386" s="209" t="s">
        <v>41</v>
      </c>
      <c r="W1386" s="209" t="s">
        <v>49</v>
      </c>
      <c r="X1386" s="13" t="str">
        <f>IF(RIGHT(H1386,2)&lt;&gt;"00",H1386,"")</f>
        <v/>
      </c>
      <c r="Y1386" s="26">
        <f ca="1">NETWORKDAYS(P1386,$Y$1)</f>
        <v>6</v>
      </c>
      <c r="Z1386" s="34">
        <v>1</v>
      </c>
      <c r="AA1386" s="25" t="str">
        <f t="shared" ca="1" si="127"/>
        <v>A VENCER</v>
      </c>
      <c r="AB1386" s="25" t="str">
        <f t="shared" si="128"/>
        <v>C-14</v>
      </c>
      <c r="AC1386" s="2" t="str">
        <f t="shared" si="122"/>
        <v xml:space="preserve"> CLEITON </v>
      </c>
      <c r="AD1386" s="26">
        <f t="shared" si="129"/>
        <v>5</v>
      </c>
      <c r="AE1386" s="26">
        <f t="shared" ca="1" si="130"/>
        <v>6.9738758101884741</v>
      </c>
    </row>
    <row r="1387" spans="1:31" hidden="1">
      <c r="A1387" s="209">
        <v>9500616</v>
      </c>
      <c r="B1387" s="209" t="s">
        <v>1153</v>
      </c>
      <c r="C1387" s="210" t="s">
        <v>3909</v>
      </c>
      <c r="D1387" s="214">
        <v>20234844000521</v>
      </c>
      <c r="E1387" s="214">
        <v>7419143322539</v>
      </c>
      <c r="F1387" s="209" t="s">
        <v>1222</v>
      </c>
      <c r="G1387" s="209" t="s">
        <v>53</v>
      </c>
      <c r="H1387" s="209" t="s">
        <v>2357</v>
      </c>
      <c r="I1387" s="209" t="s">
        <v>2358</v>
      </c>
      <c r="J1387" s="209" t="s">
        <v>46</v>
      </c>
      <c r="K1387" s="210" t="s">
        <v>1223</v>
      </c>
      <c r="L1387" s="210"/>
      <c r="M1387" s="209" t="s">
        <v>58</v>
      </c>
      <c r="N1387" s="209">
        <v>0</v>
      </c>
      <c r="O1387" s="209" t="s">
        <v>105</v>
      </c>
      <c r="P1387" s="211" t="s">
        <v>3910</v>
      </c>
      <c r="Q1387" s="209"/>
      <c r="R1387" s="209">
        <v>13</v>
      </c>
      <c r="S1387" s="209"/>
      <c r="T1387" s="209" t="s">
        <v>238</v>
      </c>
      <c r="U1387" s="211" t="s">
        <v>3910</v>
      </c>
      <c r="V1387" s="209" t="s">
        <v>41</v>
      </c>
      <c r="W1387" s="209" t="s">
        <v>49</v>
      </c>
      <c r="X1387" s="13" t="str">
        <f>IF(RIGHT(H1387,2)&lt;&gt;"00",H1387,"")</f>
        <v>4844.12</v>
      </c>
      <c r="Y1387" s="26">
        <f ca="1">NETWORKDAYS(P1387,$Y$1)</f>
        <v>6</v>
      </c>
      <c r="Z1387" s="34">
        <v>1</v>
      </c>
      <c r="AA1387" s="25" t="str">
        <f t="shared" ca="1" si="127"/>
        <v>A VENCER</v>
      </c>
      <c r="AB1387" s="25" t="str">
        <f t="shared" si="128"/>
        <v>TAAe+</v>
      </c>
      <c r="AC1387" s="2" t="str">
        <f t="shared" si="122"/>
        <v xml:space="preserve"> CLEITON </v>
      </c>
      <c r="AD1387" s="26">
        <f t="shared" si="129"/>
        <v>8</v>
      </c>
      <c r="AE1387" s="26">
        <f t="shared" ca="1" si="130"/>
        <v>7.1757045138874673</v>
      </c>
    </row>
    <row r="1388" spans="1:31" hidden="1">
      <c r="A1388" s="209">
        <v>9504628</v>
      </c>
      <c r="B1388" s="209" t="s">
        <v>1153</v>
      </c>
      <c r="C1388" s="210" t="s">
        <v>4008</v>
      </c>
      <c r="D1388" s="214">
        <v>20234844000554</v>
      </c>
      <c r="E1388" s="214">
        <v>7417161480607</v>
      </c>
      <c r="F1388" s="209" t="s">
        <v>1979</v>
      </c>
      <c r="G1388" s="209" t="s">
        <v>53</v>
      </c>
      <c r="H1388" s="209" t="s">
        <v>2333</v>
      </c>
      <c r="I1388" s="209" t="s">
        <v>2334</v>
      </c>
      <c r="J1388" s="209" t="s">
        <v>46</v>
      </c>
      <c r="K1388" s="210" t="s">
        <v>1982</v>
      </c>
      <c r="L1388" s="210"/>
      <c r="M1388" s="209" t="s">
        <v>58</v>
      </c>
      <c r="N1388" s="209">
        <v>0</v>
      </c>
      <c r="O1388" s="209" t="s">
        <v>36</v>
      </c>
      <c r="P1388" s="211" t="s">
        <v>4631</v>
      </c>
      <c r="Q1388" s="209"/>
      <c r="R1388" s="209">
        <v>13</v>
      </c>
      <c r="S1388" s="209"/>
      <c r="T1388" s="209" t="s">
        <v>238</v>
      </c>
      <c r="U1388" s="211" t="s">
        <v>4631</v>
      </c>
      <c r="V1388" s="209" t="s">
        <v>41</v>
      </c>
      <c r="W1388" s="209" t="s">
        <v>49</v>
      </c>
      <c r="X1388" s="13" t="str">
        <f>IF(RIGHT(H1388,2)&lt;&gt;"00",H1388,"")</f>
        <v>4844.25</v>
      </c>
      <c r="Y1388" s="26">
        <f ca="1">NETWORKDAYS(P1388,$Y$1)</f>
        <v>5</v>
      </c>
      <c r="Z1388" s="34">
        <v>1</v>
      </c>
      <c r="AA1388" s="25" t="str">
        <f t="shared" ca="1" si="127"/>
        <v>A VENCER</v>
      </c>
      <c r="AB1388" s="25" t="str">
        <f t="shared" si="128"/>
        <v>TAAe+</v>
      </c>
      <c r="AC1388" s="2" t="str">
        <f t="shared" si="122"/>
        <v xml:space="preserve"> CLEITON </v>
      </c>
      <c r="AD1388" s="26">
        <f t="shared" si="129"/>
        <v>8</v>
      </c>
      <c r="AE1388" s="26">
        <f t="shared" ca="1" si="130"/>
        <v>5.9970586805575294</v>
      </c>
    </row>
    <row r="1389" spans="1:31" hidden="1">
      <c r="A1389" s="209">
        <v>9504341</v>
      </c>
      <c r="B1389" s="209" t="s">
        <v>1153</v>
      </c>
      <c r="C1389" s="210" t="s">
        <v>4009</v>
      </c>
      <c r="D1389" s="214">
        <v>20231764000001</v>
      </c>
      <c r="E1389" s="214">
        <v>7417183025968</v>
      </c>
      <c r="F1389" s="209" t="s">
        <v>1313</v>
      </c>
      <c r="G1389" s="209" t="s">
        <v>53</v>
      </c>
      <c r="H1389" s="209" t="s">
        <v>4010</v>
      </c>
      <c r="I1389" s="209" t="s">
        <v>4011</v>
      </c>
      <c r="J1389" s="209" t="s">
        <v>90</v>
      </c>
      <c r="K1389" s="210" t="s">
        <v>1316</v>
      </c>
      <c r="L1389" s="210"/>
      <c r="M1389" s="209" t="s">
        <v>58</v>
      </c>
      <c r="N1389" s="209">
        <v>0</v>
      </c>
      <c r="O1389" s="209" t="s">
        <v>105</v>
      </c>
      <c r="P1389" s="211" t="s">
        <v>4632</v>
      </c>
      <c r="Q1389" s="209"/>
      <c r="R1389" s="209">
        <v>14</v>
      </c>
      <c r="S1389" s="209"/>
      <c r="T1389" s="209" t="s">
        <v>238</v>
      </c>
      <c r="U1389" s="211" t="s">
        <v>4632</v>
      </c>
      <c r="V1389" s="209" t="s">
        <v>41</v>
      </c>
      <c r="W1389" s="209" t="s">
        <v>49</v>
      </c>
      <c r="X1389" s="13" t="str">
        <f>IF(RIGHT(H1389,2)&lt;&gt;"00",H1389,"")</f>
        <v>1764.91</v>
      </c>
      <c r="Y1389" s="26">
        <f ca="1">NETWORKDAYS(P1389,$Y$1)</f>
        <v>5</v>
      </c>
      <c r="Z1389" s="34">
        <v>1</v>
      </c>
      <c r="AA1389" s="25" t="str">
        <f t="shared" ca="1" si="127"/>
        <v>A VENCER</v>
      </c>
      <c r="AB1389" s="25" t="str">
        <f t="shared" si="128"/>
        <v>TAAe+</v>
      </c>
      <c r="AC1389" s="2" t="str">
        <f t="shared" si="122"/>
        <v xml:space="preserve"> RINALDO </v>
      </c>
      <c r="AD1389" s="26">
        <f t="shared" si="129"/>
        <v>8</v>
      </c>
      <c r="AE1389" s="26">
        <f t="shared" ca="1" si="130"/>
        <v>6.0133434027811745</v>
      </c>
    </row>
    <row r="1390" spans="1:31" hidden="1">
      <c r="A1390" s="209">
        <v>9504340</v>
      </c>
      <c r="B1390" s="209" t="s">
        <v>1153</v>
      </c>
      <c r="C1390" s="210" t="s">
        <v>4012</v>
      </c>
      <c r="D1390" s="214">
        <v>20238889000072</v>
      </c>
      <c r="E1390" s="214">
        <v>7417163280453</v>
      </c>
      <c r="F1390" s="209" t="s">
        <v>131</v>
      </c>
      <c r="G1390" s="209" t="s">
        <v>53</v>
      </c>
      <c r="H1390" s="209" t="s">
        <v>4013</v>
      </c>
      <c r="I1390" s="209" t="s">
        <v>4014</v>
      </c>
      <c r="J1390" s="209" t="s">
        <v>33</v>
      </c>
      <c r="K1390" s="210" t="s">
        <v>132</v>
      </c>
      <c r="L1390" s="210"/>
      <c r="M1390" s="209" t="s">
        <v>58</v>
      </c>
      <c r="N1390" s="209">
        <v>0</v>
      </c>
      <c r="O1390" s="209" t="s">
        <v>105</v>
      </c>
      <c r="P1390" s="211" t="s">
        <v>4633</v>
      </c>
      <c r="Q1390" s="209"/>
      <c r="R1390" s="209">
        <v>14</v>
      </c>
      <c r="S1390" s="209"/>
      <c r="T1390" s="209" t="s">
        <v>238</v>
      </c>
      <c r="U1390" s="211" t="s">
        <v>4633</v>
      </c>
      <c r="V1390" s="209" t="s">
        <v>41</v>
      </c>
      <c r="W1390" s="209" t="s">
        <v>42</v>
      </c>
      <c r="X1390" s="13" t="str">
        <f>IF(RIGHT(H1390,2)&lt;&gt;"00",H1390,"")</f>
        <v>8889.01</v>
      </c>
      <c r="Y1390" s="26">
        <f ca="1">NETWORKDAYS(P1390,$Y$1)</f>
        <v>5</v>
      </c>
      <c r="Z1390" s="34">
        <v>1</v>
      </c>
      <c r="AA1390" s="25" t="str">
        <f t="shared" ca="1" si="127"/>
        <v>A VENCER</v>
      </c>
      <c r="AB1390" s="25" t="str">
        <f t="shared" si="128"/>
        <v>TAAe+</v>
      </c>
      <c r="AC1390" s="2" t="str">
        <f t="shared" si="122"/>
        <v xml:space="preserve"> ROSEMERE </v>
      </c>
      <c r="AD1390" s="26">
        <f t="shared" si="129"/>
        <v>8</v>
      </c>
      <c r="AE1390" s="26">
        <f t="shared" ca="1" si="130"/>
        <v>6.0136327546279063</v>
      </c>
    </row>
    <row r="1391" spans="1:31" hidden="1">
      <c r="A1391" s="209">
        <v>9504291</v>
      </c>
      <c r="B1391" s="209" t="s">
        <v>1153</v>
      </c>
      <c r="C1391" s="210" t="s">
        <v>4200</v>
      </c>
      <c r="D1391" s="214"/>
      <c r="E1391" s="214">
        <v>9700000206001</v>
      </c>
      <c r="F1391" s="209" t="s">
        <v>29</v>
      </c>
      <c r="G1391" s="209" t="s">
        <v>53</v>
      </c>
      <c r="H1391" s="209" t="s">
        <v>209</v>
      </c>
      <c r="I1391" s="209" t="s">
        <v>210</v>
      </c>
      <c r="J1391" s="209" t="s">
        <v>211</v>
      </c>
      <c r="K1391" s="210" t="s">
        <v>34</v>
      </c>
      <c r="L1391" s="210"/>
      <c r="M1391" s="209" t="s">
        <v>35</v>
      </c>
      <c r="N1391" s="209">
        <v>42318949</v>
      </c>
      <c r="O1391" s="209" t="s">
        <v>36</v>
      </c>
      <c r="P1391" s="211" t="s">
        <v>4634</v>
      </c>
      <c r="Q1391" s="209"/>
      <c r="R1391" s="209" t="s">
        <v>38</v>
      </c>
      <c r="S1391" s="209"/>
      <c r="T1391" s="209" t="s">
        <v>74</v>
      </c>
      <c r="U1391" s="211" t="s">
        <v>4635</v>
      </c>
      <c r="V1391" s="209" t="s">
        <v>41</v>
      </c>
      <c r="W1391" s="209" t="s">
        <v>49</v>
      </c>
      <c r="X1391" s="13" t="str">
        <f>IF(RIGHT(H1391,2)&lt;&gt;"00",H1391,"")</f>
        <v/>
      </c>
      <c r="Y1391" s="26">
        <f ca="1">NETWORKDAYS(P1391,$Y$1)</f>
        <v>5</v>
      </c>
      <c r="Z1391" s="34">
        <v>1</v>
      </c>
      <c r="AA1391" s="25" t="str">
        <f t="shared" ca="1" si="127"/>
        <v>A VENCER</v>
      </c>
      <c r="AB1391" s="25" t="str">
        <f t="shared" si="128"/>
        <v>Dosa</v>
      </c>
      <c r="AC1391" s="2" t="str">
        <f t="shared" si="122"/>
        <v xml:space="preserve"> RINALDO </v>
      </c>
      <c r="AD1391" s="26">
        <f t="shared" si="129"/>
        <v>5</v>
      </c>
      <c r="AE1391" s="26">
        <f t="shared" ca="1" si="130"/>
        <v>6.0125795138883404</v>
      </c>
    </row>
    <row r="1392" spans="1:31" hidden="1">
      <c r="A1392" s="209">
        <v>9504030</v>
      </c>
      <c r="B1392" s="209" t="s">
        <v>1153</v>
      </c>
      <c r="C1392" s="210" t="s">
        <v>4018</v>
      </c>
      <c r="D1392" s="214">
        <v>230032130</v>
      </c>
      <c r="E1392" s="214">
        <v>1814001400020</v>
      </c>
      <c r="F1392" s="209" t="s">
        <v>1961</v>
      </c>
      <c r="G1392" s="209" t="s">
        <v>53</v>
      </c>
      <c r="H1392" s="209" t="s">
        <v>396</v>
      </c>
      <c r="I1392" s="209" t="s">
        <v>397</v>
      </c>
      <c r="J1392" s="209" t="s">
        <v>46</v>
      </c>
      <c r="K1392" s="210" t="s">
        <v>1962</v>
      </c>
      <c r="L1392" s="210"/>
      <c r="M1392" s="209" t="s">
        <v>58</v>
      </c>
      <c r="N1392" s="209">
        <v>0</v>
      </c>
      <c r="O1392" s="209" t="s">
        <v>36</v>
      </c>
      <c r="P1392" s="211" t="s">
        <v>4636</v>
      </c>
      <c r="Q1392" s="209"/>
      <c r="R1392" s="209">
        <v>4</v>
      </c>
      <c r="S1392" s="209"/>
      <c r="T1392" s="209" t="s">
        <v>646</v>
      </c>
      <c r="U1392" s="213">
        <v>44986.604166666664</v>
      </c>
      <c r="V1392" s="209" t="s">
        <v>41</v>
      </c>
      <c r="W1392" s="209" t="s">
        <v>49</v>
      </c>
      <c r="X1392" s="13" t="str">
        <f>IF(RIGHT(H1392,2)&lt;&gt;"00",H1392,"")</f>
        <v/>
      </c>
      <c r="Y1392" s="26">
        <f ca="1">NETWORKDAYS(P1392,$Y$1)</f>
        <v>5</v>
      </c>
      <c r="Z1392" s="34">
        <v>1</v>
      </c>
      <c r="AA1392" s="25" t="str">
        <f t="shared" ca="1" si="127"/>
        <v>A VENCER</v>
      </c>
      <c r="AB1392" s="25" t="str">
        <f t="shared" si="128"/>
        <v>C-14</v>
      </c>
      <c r="AC1392" s="2" t="str">
        <f t="shared" si="122"/>
        <v xml:space="preserve"> CLEITON </v>
      </c>
      <c r="AD1392" s="26">
        <f t="shared" si="129"/>
        <v>5</v>
      </c>
      <c r="AE1392" s="26">
        <f t="shared" ca="1" si="130"/>
        <v>6.0707160879610456</v>
      </c>
    </row>
    <row r="1393" spans="1:31" hidden="1">
      <c r="A1393" s="209">
        <v>9503979</v>
      </c>
      <c r="B1393" s="209" t="s">
        <v>1153</v>
      </c>
      <c r="C1393" s="210" t="s">
        <v>2366</v>
      </c>
      <c r="D1393" s="214">
        <v>20238935000001</v>
      </c>
      <c r="E1393" s="214">
        <v>7417202239393</v>
      </c>
      <c r="F1393" s="209" t="s">
        <v>2819</v>
      </c>
      <c r="G1393" s="209" t="s">
        <v>53</v>
      </c>
      <c r="H1393" s="209" t="s">
        <v>4020</v>
      </c>
      <c r="I1393" s="209" t="s">
        <v>4021</v>
      </c>
      <c r="J1393" s="209" t="s">
        <v>46</v>
      </c>
      <c r="K1393" s="210" t="s">
        <v>2820</v>
      </c>
      <c r="L1393" s="210"/>
      <c r="M1393" s="209" t="s">
        <v>58</v>
      </c>
      <c r="N1393" s="209">
        <v>0</v>
      </c>
      <c r="O1393" s="209" t="s">
        <v>36</v>
      </c>
      <c r="P1393" s="211" t="s">
        <v>4637</v>
      </c>
      <c r="Q1393" s="209"/>
      <c r="R1393" s="209">
        <v>22</v>
      </c>
      <c r="S1393" s="209"/>
      <c r="T1393" s="209" t="s">
        <v>1160</v>
      </c>
      <c r="U1393" s="213">
        <v>44985.408043981479</v>
      </c>
      <c r="V1393" s="209" t="s">
        <v>41</v>
      </c>
      <c r="W1393" s="209" t="s">
        <v>49</v>
      </c>
      <c r="X1393" s="13" t="str">
        <f>IF(RIGHT(H1393,2)&lt;&gt;"00",H1393,"")</f>
        <v>8935.01</v>
      </c>
      <c r="Y1393" s="26">
        <f ca="1">NETWORKDAYS(P1393,$Y$1)</f>
        <v>5</v>
      </c>
      <c r="Z1393" s="34">
        <v>1</v>
      </c>
      <c r="AA1393" s="25" t="str">
        <f t="shared" ca="1" si="127"/>
        <v>A VENCER</v>
      </c>
      <c r="AB1393" s="25" t="str">
        <f t="shared" si="128"/>
        <v>TAAe+</v>
      </c>
      <c r="AC1393" s="2" t="str">
        <f t="shared" si="122"/>
        <v xml:space="preserve"> CLEITON </v>
      </c>
      <c r="AD1393" s="26">
        <f t="shared" si="129"/>
        <v>8</v>
      </c>
      <c r="AE1393" s="26">
        <f t="shared" ca="1" si="130"/>
        <v>6.1015609953683452</v>
      </c>
    </row>
    <row r="1394" spans="1:31" hidden="1">
      <c r="A1394" s="209">
        <v>9503828</v>
      </c>
      <c r="B1394" s="209" t="s">
        <v>1153</v>
      </c>
      <c r="C1394" s="210" t="s">
        <v>4024</v>
      </c>
      <c r="D1394" s="214">
        <v>20234923000077</v>
      </c>
      <c r="E1394" s="214">
        <v>7417161480617</v>
      </c>
      <c r="F1394" s="209" t="s">
        <v>1979</v>
      </c>
      <c r="G1394" s="209" t="s">
        <v>53</v>
      </c>
      <c r="H1394" s="209" t="s">
        <v>2870</v>
      </c>
      <c r="I1394" s="209" t="s">
        <v>2871</v>
      </c>
      <c r="J1394" s="209" t="s">
        <v>46</v>
      </c>
      <c r="K1394" s="210" t="s">
        <v>1982</v>
      </c>
      <c r="L1394" s="210"/>
      <c r="M1394" s="209" t="s">
        <v>58</v>
      </c>
      <c r="N1394" s="209">
        <v>0</v>
      </c>
      <c r="O1394" s="209" t="s">
        <v>105</v>
      </c>
      <c r="P1394" s="211" t="s">
        <v>4638</v>
      </c>
      <c r="Q1394" s="209"/>
      <c r="R1394" s="209">
        <v>13</v>
      </c>
      <c r="S1394" s="209"/>
      <c r="T1394" s="209" t="s">
        <v>238</v>
      </c>
      <c r="U1394" s="213">
        <v>44980.537245370368</v>
      </c>
      <c r="V1394" s="209" t="s">
        <v>41</v>
      </c>
      <c r="W1394" s="209" t="s">
        <v>49</v>
      </c>
      <c r="X1394" s="13" t="str">
        <f>IF(RIGHT(H1394,2)&lt;&gt;"00",H1394,"")</f>
        <v>4923.04</v>
      </c>
      <c r="Y1394" s="26">
        <f ca="1">NETWORKDAYS(P1394,$Y$1)</f>
        <v>5</v>
      </c>
      <c r="Z1394" s="34">
        <v>1</v>
      </c>
      <c r="AA1394" s="25" t="str">
        <f t="shared" ca="1" si="127"/>
        <v>A VENCER</v>
      </c>
      <c r="AB1394" s="25" t="str">
        <f t="shared" si="128"/>
        <v>TAAe+</v>
      </c>
      <c r="AC1394" s="2" t="str">
        <f t="shared" si="122"/>
        <v xml:space="preserve"> CLEITON </v>
      </c>
      <c r="AD1394" s="26">
        <f t="shared" si="129"/>
        <v>8</v>
      </c>
      <c r="AE1394" s="26">
        <f t="shared" ca="1" si="130"/>
        <v>6.1390262731511029</v>
      </c>
    </row>
    <row r="1395" spans="1:31" hidden="1">
      <c r="A1395" s="209">
        <v>9503682</v>
      </c>
      <c r="B1395" s="209" t="s">
        <v>1153</v>
      </c>
      <c r="C1395" s="210" t="s">
        <v>4025</v>
      </c>
      <c r="D1395" s="214">
        <v>20234923000076</v>
      </c>
      <c r="E1395" s="214">
        <v>7419143323427</v>
      </c>
      <c r="F1395" s="209" t="s">
        <v>1222</v>
      </c>
      <c r="G1395" s="209" t="s">
        <v>53</v>
      </c>
      <c r="H1395" s="209" t="s">
        <v>2682</v>
      </c>
      <c r="I1395" s="209" t="s">
        <v>2683</v>
      </c>
      <c r="J1395" s="209" t="s">
        <v>46</v>
      </c>
      <c r="K1395" s="210" t="s">
        <v>1223</v>
      </c>
      <c r="L1395" s="210"/>
      <c r="M1395" s="209" t="s">
        <v>58</v>
      </c>
      <c r="N1395" s="209">
        <v>0</v>
      </c>
      <c r="O1395" s="209" t="s">
        <v>105</v>
      </c>
      <c r="P1395" s="211" t="s">
        <v>4639</v>
      </c>
      <c r="Q1395" s="209"/>
      <c r="R1395" s="209">
        <v>13</v>
      </c>
      <c r="S1395" s="209"/>
      <c r="T1395" s="209" t="s">
        <v>238</v>
      </c>
      <c r="U1395" s="213">
        <v>44980.509918981479</v>
      </c>
      <c r="V1395" s="209" t="s">
        <v>41</v>
      </c>
      <c r="W1395" s="209" t="s">
        <v>49</v>
      </c>
      <c r="X1395" s="13" t="str">
        <f>IF(RIGHT(H1395,2)&lt;&gt;"00",H1395,"")</f>
        <v>4923.02</v>
      </c>
      <c r="Y1395" s="26">
        <f ca="1">NETWORKDAYS(P1395,$Y$1)</f>
        <v>5</v>
      </c>
      <c r="Z1395" s="34">
        <v>1</v>
      </c>
      <c r="AA1395" s="25" t="str">
        <f t="shared" ca="1" si="127"/>
        <v>A VENCER</v>
      </c>
      <c r="AB1395" s="25" t="str">
        <f t="shared" si="128"/>
        <v>TAAe+</v>
      </c>
      <c r="AC1395" s="2" t="str">
        <f t="shared" si="122"/>
        <v xml:space="preserve"> CLEITON </v>
      </c>
      <c r="AD1395" s="26">
        <f t="shared" si="129"/>
        <v>8</v>
      </c>
      <c r="AE1395" s="26">
        <f t="shared" ca="1" si="130"/>
        <v>6.1663526620395714</v>
      </c>
    </row>
    <row r="1396" spans="1:31" hidden="1">
      <c r="A1396" s="209">
        <v>9503637</v>
      </c>
      <c r="B1396" s="209" t="s">
        <v>1153</v>
      </c>
      <c r="C1396" s="210" t="s">
        <v>4026</v>
      </c>
      <c r="D1396" s="214">
        <v>20234923000075</v>
      </c>
      <c r="E1396" s="214">
        <v>7417163283700</v>
      </c>
      <c r="F1396" s="209" t="s">
        <v>131</v>
      </c>
      <c r="G1396" s="209" t="s">
        <v>53</v>
      </c>
      <c r="H1396" s="209" t="s">
        <v>2685</v>
      </c>
      <c r="I1396" s="209" t="s">
        <v>2686</v>
      </c>
      <c r="J1396" s="209" t="s">
        <v>46</v>
      </c>
      <c r="K1396" s="210" t="s">
        <v>132</v>
      </c>
      <c r="L1396" s="210"/>
      <c r="M1396" s="209" t="s">
        <v>58</v>
      </c>
      <c r="N1396" s="209">
        <v>0</v>
      </c>
      <c r="O1396" s="209" t="s">
        <v>105</v>
      </c>
      <c r="P1396" s="211" t="s">
        <v>4640</v>
      </c>
      <c r="Q1396" s="209"/>
      <c r="R1396" s="209">
        <v>14</v>
      </c>
      <c r="S1396" s="209"/>
      <c r="T1396" s="209" t="s">
        <v>238</v>
      </c>
      <c r="U1396" s="213">
        <v>44980.500590277778</v>
      </c>
      <c r="V1396" s="209" t="s">
        <v>41</v>
      </c>
      <c r="W1396" s="209" t="s">
        <v>49</v>
      </c>
      <c r="X1396" s="13" t="str">
        <f>IF(RIGHT(H1396,2)&lt;&gt;"00",H1396,"")</f>
        <v>4923.03</v>
      </c>
      <c r="Y1396" s="26">
        <f ca="1">NETWORKDAYS(P1396,$Y$1)</f>
        <v>5</v>
      </c>
      <c r="Z1396" s="34">
        <v>1</v>
      </c>
      <c r="AA1396" s="25" t="str">
        <f t="shared" ca="1" si="127"/>
        <v>A VENCER</v>
      </c>
      <c r="AB1396" s="25" t="str">
        <f t="shared" si="128"/>
        <v>TAAe+</v>
      </c>
      <c r="AC1396" s="2" t="str">
        <f t="shared" si="122"/>
        <v xml:space="preserve"> CLEITON </v>
      </c>
      <c r="AD1396" s="26">
        <f t="shared" si="129"/>
        <v>8</v>
      </c>
      <c r="AE1396" s="26">
        <f t="shared" ca="1" si="130"/>
        <v>6.175681365741184</v>
      </c>
    </row>
    <row r="1397" spans="1:31" hidden="1">
      <c r="A1397" s="209">
        <v>9503387</v>
      </c>
      <c r="B1397" s="209" t="s">
        <v>1153</v>
      </c>
      <c r="C1397" s="210" t="s">
        <v>4030</v>
      </c>
      <c r="D1397" s="214">
        <v>20234844000546</v>
      </c>
      <c r="E1397" s="214">
        <v>7417183020657</v>
      </c>
      <c r="F1397" s="209" t="s">
        <v>1313</v>
      </c>
      <c r="G1397" s="209" t="s">
        <v>53</v>
      </c>
      <c r="H1397" s="209" t="s">
        <v>2357</v>
      </c>
      <c r="I1397" s="209" t="s">
        <v>2358</v>
      </c>
      <c r="J1397" s="209" t="s">
        <v>46</v>
      </c>
      <c r="K1397" s="210" t="s">
        <v>1316</v>
      </c>
      <c r="L1397" s="210"/>
      <c r="M1397" s="209" t="s">
        <v>58</v>
      </c>
      <c r="N1397" s="209">
        <v>0</v>
      </c>
      <c r="O1397" s="209" t="s">
        <v>36</v>
      </c>
      <c r="P1397" s="211" t="s">
        <v>4641</v>
      </c>
      <c r="Q1397" s="209"/>
      <c r="R1397" s="209">
        <v>13</v>
      </c>
      <c r="S1397" s="209"/>
      <c r="T1397" s="209" t="s">
        <v>238</v>
      </c>
      <c r="U1397" s="213">
        <v>44980.456979166665</v>
      </c>
      <c r="V1397" s="209" t="s">
        <v>41</v>
      </c>
      <c r="W1397" s="209" t="s">
        <v>49</v>
      </c>
      <c r="X1397" s="13" t="str">
        <f>IF(RIGHT(H1397,2)&lt;&gt;"00",H1397,"")</f>
        <v>4844.12</v>
      </c>
      <c r="Y1397" s="26">
        <f ca="1">NETWORKDAYS(P1397,$Y$1)</f>
        <v>5</v>
      </c>
      <c r="Z1397" s="34">
        <v>1</v>
      </c>
      <c r="AA1397" s="25" t="str">
        <f t="shared" ca="1" si="127"/>
        <v>A VENCER</v>
      </c>
      <c r="AB1397" s="25" t="str">
        <f t="shared" si="128"/>
        <v>TAAe+</v>
      </c>
      <c r="AC1397" s="2" t="str">
        <f t="shared" si="122"/>
        <v xml:space="preserve"> CLEITON </v>
      </c>
      <c r="AD1397" s="26">
        <f t="shared" si="129"/>
        <v>8</v>
      </c>
      <c r="AE1397" s="26">
        <f t="shared" ca="1" si="130"/>
        <v>6.2192924768532976</v>
      </c>
    </row>
    <row r="1398" spans="1:31" hidden="1">
      <c r="A1398" s="209">
        <v>9503385</v>
      </c>
      <c r="B1398" s="209" t="s">
        <v>1153</v>
      </c>
      <c r="C1398" s="210" t="s">
        <v>4031</v>
      </c>
      <c r="D1398" s="214">
        <v>20234844000545</v>
      </c>
      <c r="E1398" s="214">
        <v>7417183022062</v>
      </c>
      <c r="F1398" s="209" t="s">
        <v>1313</v>
      </c>
      <c r="G1398" s="209" t="s">
        <v>53</v>
      </c>
      <c r="H1398" s="209" t="s">
        <v>2357</v>
      </c>
      <c r="I1398" s="209" t="s">
        <v>2358</v>
      </c>
      <c r="J1398" s="209" t="s">
        <v>46</v>
      </c>
      <c r="K1398" s="210" t="s">
        <v>1316</v>
      </c>
      <c r="L1398" s="210"/>
      <c r="M1398" s="209" t="s">
        <v>58</v>
      </c>
      <c r="N1398" s="209">
        <v>0</v>
      </c>
      <c r="O1398" s="209" t="s">
        <v>36</v>
      </c>
      <c r="P1398" s="211" t="s">
        <v>4642</v>
      </c>
      <c r="Q1398" s="209"/>
      <c r="R1398" s="209">
        <v>13</v>
      </c>
      <c r="S1398" s="209"/>
      <c r="T1398" s="209" t="s">
        <v>238</v>
      </c>
      <c r="U1398" s="213">
        <v>44980.456273148149</v>
      </c>
      <c r="V1398" s="209" t="s">
        <v>41</v>
      </c>
      <c r="W1398" s="209" t="s">
        <v>49</v>
      </c>
      <c r="X1398" s="13" t="str">
        <f>IF(RIGHT(H1398,2)&lt;&gt;"00",H1398,"")</f>
        <v>4844.12</v>
      </c>
      <c r="Y1398" s="26">
        <f ca="1">NETWORKDAYS(P1398,$Y$1)</f>
        <v>5</v>
      </c>
      <c r="Z1398" s="34">
        <v>1</v>
      </c>
      <c r="AA1398" s="25" t="str">
        <f t="shared" ca="1" si="127"/>
        <v>A VENCER</v>
      </c>
      <c r="AB1398" s="25" t="str">
        <f t="shared" si="128"/>
        <v>TAAe+</v>
      </c>
      <c r="AC1398" s="2" t="str">
        <f t="shared" si="122"/>
        <v xml:space="preserve"> CLEITON </v>
      </c>
      <c r="AD1398" s="26">
        <f t="shared" si="129"/>
        <v>8</v>
      </c>
      <c r="AE1398" s="26">
        <f t="shared" ca="1" si="130"/>
        <v>6.2199984953695093</v>
      </c>
    </row>
    <row r="1399" spans="1:31" hidden="1">
      <c r="A1399" s="209">
        <v>9503382</v>
      </c>
      <c r="B1399" s="209" t="s">
        <v>1153</v>
      </c>
      <c r="C1399" s="210" t="s">
        <v>4033</v>
      </c>
      <c r="D1399" s="214">
        <v>20234844000543</v>
      </c>
      <c r="E1399" s="214">
        <v>7417161480625</v>
      </c>
      <c r="F1399" s="209" t="s">
        <v>1979</v>
      </c>
      <c r="G1399" s="209" t="s">
        <v>53</v>
      </c>
      <c r="H1399" s="209" t="s">
        <v>2087</v>
      </c>
      <c r="I1399" s="209" t="s">
        <v>2088</v>
      </c>
      <c r="J1399" s="209" t="s">
        <v>46</v>
      </c>
      <c r="K1399" s="210" t="s">
        <v>1982</v>
      </c>
      <c r="L1399" s="210"/>
      <c r="M1399" s="209" t="s">
        <v>58</v>
      </c>
      <c r="N1399" s="209">
        <v>0</v>
      </c>
      <c r="O1399" s="209" t="s">
        <v>105</v>
      </c>
      <c r="P1399" s="211" t="s">
        <v>4643</v>
      </c>
      <c r="Q1399" s="209"/>
      <c r="R1399" s="209">
        <v>13</v>
      </c>
      <c r="S1399" s="209"/>
      <c r="T1399" s="209" t="s">
        <v>238</v>
      </c>
      <c r="U1399" s="211" t="s">
        <v>4643</v>
      </c>
      <c r="V1399" s="209" t="s">
        <v>41</v>
      </c>
      <c r="W1399" s="209" t="s">
        <v>49</v>
      </c>
      <c r="X1399" s="13" t="str">
        <f>IF(RIGHT(H1399,2)&lt;&gt;"00",H1399,"")</f>
        <v>4844.13</v>
      </c>
      <c r="Y1399" s="26">
        <f ca="1">NETWORKDAYS(P1399,$Y$1)</f>
        <v>5</v>
      </c>
      <c r="Z1399" s="34">
        <v>1</v>
      </c>
      <c r="AA1399" s="25" t="str">
        <f t="shared" ca="1" si="127"/>
        <v>A VENCER</v>
      </c>
      <c r="AB1399" s="25" t="str">
        <f t="shared" si="128"/>
        <v>TAAe+</v>
      </c>
      <c r="AC1399" s="2" t="str">
        <f t="shared" si="122"/>
        <v xml:space="preserve"> CLEITON </v>
      </c>
      <c r="AD1399" s="26">
        <f t="shared" si="129"/>
        <v>8</v>
      </c>
      <c r="AE1399" s="26">
        <f t="shared" ca="1" si="130"/>
        <v>6.2260633101832354</v>
      </c>
    </row>
    <row r="1400" spans="1:31" hidden="1">
      <c r="A1400" s="209">
        <v>9503381</v>
      </c>
      <c r="B1400" s="209" t="s">
        <v>1153</v>
      </c>
      <c r="C1400" s="210" t="s">
        <v>4034</v>
      </c>
      <c r="D1400" s="214">
        <v>20234844000542</v>
      </c>
      <c r="E1400" s="214">
        <v>7417163282357</v>
      </c>
      <c r="F1400" s="209" t="s">
        <v>131</v>
      </c>
      <c r="G1400" s="209" t="s">
        <v>53</v>
      </c>
      <c r="H1400" s="209" t="s">
        <v>2478</v>
      </c>
      <c r="I1400" s="209" t="s">
        <v>2479</v>
      </c>
      <c r="J1400" s="209" t="s">
        <v>46</v>
      </c>
      <c r="K1400" s="210" t="s">
        <v>132</v>
      </c>
      <c r="L1400" s="210"/>
      <c r="M1400" s="209" t="s">
        <v>58</v>
      </c>
      <c r="N1400" s="209">
        <v>0</v>
      </c>
      <c r="O1400" s="209" t="s">
        <v>36</v>
      </c>
      <c r="P1400" s="211" t="s">
        <v>4644</v>
      </c>
      <c r="Q1400" s="209"/>
      <c r="R1400" s="209">
        <v>13</v>
      </c>
      <c r="S1400" s="209"/>
      <c r="T1400" s="209" t="s">
        <v>238</v>
      </c>
      <c r="U1400" s="211" t="s">
        <v>4644</v>
      </c>
      <c r="V1400" s="209" t="s">
        <v>41</v>
      </c>
      <c r="W1400" s="209" t="s">
        <v>49</v>
      </c>
      <c r="X1400" s="13" t="str">
        <f>IF(RIGHT(H1400,2)&lt;&gt;"00",H1400,"")</f>
        <v>4844.38</v>
      </c>
      <c r="Y1400" s="26">
        <f ca="1">NETWORKDAYS(P1400,$Y$1)</f>
        <v>5</v>
      </c>
      <c r="Z1400" s="34">
        <v>1</v>
      </c>
      <c r="AA1400" s="25" t="str">
        <f t="shared" ca="1" si="127"/>
        <v>A VENCER</v>
      </c>
      <c r="AB1400" s="25" t="str">
        <f t="shared" si="128"/>
        <v>TAAe+</v>
      </c>
      <c r="AC1400" s="2" t="str">
        <f t="shared" si="122"/>
        <v xml:space="preserve"> CLEITON </v>
      </c>
      <c r="AD1400" s="26">
        <f t="shared" si="129"/>
        <v>8</v>
      </c>
      <c r="AE1400" s="26">
        <f t="shared" ca="1" si="130"/>
        <v>6.2267230324068805</v>
      </c>
    </row>
    <row r="1401" spans="1:31" hidden="1">
      <c r="A1401" s="209">
        <v>9503278</v>
      </c>
      <c r="B1401" s="209" t="s">
        <v>1153</v>
      </c>
      <c r="C1401" s="210" t="s">
        <v>4202</v>
      </c>
      <c r="D1401" s="214"/>
      <c r="E1401" s="214">
        <v>9705000206021</v>
      </c>
      <c r="F1401" s="209" t="s">
        <v>103</v>
      </c>
      <c r="G1401" s="209" t="s">
        <v>53</v>
      </c>
      <c r="H1401" s="209" t="s">
        <v>204</v>
      </c>
      <c r="I1401" s="209" t="s">
        <v>205</v>
      </c>
      <c r="J1401" s="209" t="s">
        <v>90</v>
      </c>
      <c r="K1401" s="210" t="s">
        <v>104</v>
      </c>
      <c r="L1401" s="210"/>
      <c r="M1401" s="209" t="s">
        <v>58</v>
      </c>
      <c r="N1401" s="209">
        <v>0</v>
      </c>
      <c r="O1401" s="209" t="s">
        <v>36</v>
      </c>
      <c r="P1401" s="211" t="s">
        <v>4645</v>
      </c>
      <c r="Q1401" s="209"/>
      <c r="R1401" s="209" t="s">
        <v>38</v>
      </c>
      <c r="S1401" s="209"/>
      <c r="T1401" s="209" t="s">
        <v>74</v>
      </c>
      <c r="U1401" s="211" t="s">
        <v>4149</v>
      </c>
      <c r="V1401" s="209" t="s">
        <v>41</v>
      </c>
      <c r="W1401" s="209" t="s">
        <v>49</v>
      </c>
      <c r="X1401" s="13" t="str">
        <f>IF(RIGHT(H1401,2)&lt;&gt;"00",H1401,"")</f>
        <v/>
      </c>
      <c r="Y1401" s="26">
        <f ca="1">NETWORKDAYS(P1401,$Y$1)</f>
        <v>5</v>
      </c>
      <c r="Z1401" s="34">
        <v>1</v>
      </c>
      <c r="AA1401" s="25" t="str">
        <f t="shared" ca="1" si="127"/>
        <v>A VENCER</v>
      </c>
      <c r="AB1401" s="25" t="str">
        <f t="shared" si="128"/>
        <v>Dosa</v>
      </c>
      <c r="AC1401" s="2" t="str">
        <f t="shared" si="122"/>
        <v xml:space="preserve"> RINALDO </v>
      </c>
      <c r="AD1401" s="26">
        <f t="shared" si="129"/>
        <v>5</v>
      </c>
      <c r="AE1401" s="26">
        <f t="shared" ca="1" si="130"/>
        <v>6.220253125000454</v>
      </c>
    </row>
    <row r="1402" spans="1:31" hidden="1">
      <c r="A1402" s="209">
        <v>9503267</v>
      </c>
      <c r="B1402" s="209" t="s">
        <v>1153</v>
      </c>
      <c r="C1402" s="210" t="s">
        <v>4040</v>
      </c>
      <c r="D1402" s="214">
        <v>20230196000013</v>
      </c>
      <c r="E1402" s="214">
        <v>7419152432339</v>
      </c>
      <c r="F1402" s="209" t="s">
        <v>2744</v>
      </c>
      <c r="G1402" s="209" t="s">
        <v>53</v>
      </c>
      <c r="H1402" s="209" t="s">
        <v>1060</v>
      </c>
      <c r="I1402" s="209" t="s">
        <v>1061</v>
      </c>
      <c r="J1402" s="209" t="s">
        <v>79</v>
      </c>
      <c r="K1402" s="210" t="s">
        <v>2745</v>
      </c>
      <c r="L1402" s="210"/>
      <c r="M1402" s="209" t="s">
        <v>58</v>
      </c>
      <c r="N1402" s="209">
        <v>0</v>
      </c>
      <c r="O1402" s="209" t="s">
        <v>105</v>
      </c>
      <c r="P1402" s="211" t="s">
        <v>4646</v>
      </c>
      <c r="Q1402" s="209"/>
      <c r="R1402" s="209">
        <v>22</v>
      </c>
      <c r="S1402" s="209"/>
      <c r="T1402" s="209" t="s">
        <v>1160</v>
      </c>
      <c r="U1402" s="211" t="s">
        <v>4647</v>
      </c>
      <c r="V1402" s="209" t="s">
        <v>41</v>
      </c>
      <c r="W1402" s="209" t="s">
        <v>49</v>
      </c>
      <c r="X1402" s="13" t="str">
        <f>IF(RIGHT(H1402,2)&lt;&gt;"00",H1402,"")</f>
        <v/>
      </c>
      <c r="Y1402" s="26">
        <f ca="1">NETWORKDAYS(P1402,$Y$1)</f>
        <v>5</v>
      </c>
      <c r="Z1402" s="34">
        <v>1</v>
      </c>
      <c r="AA1402" s="25" t="str">
        <f t="shared" ca="1" si="127"/>
        <v>A VENCER</v>
      </c>
      <c r="AB1402" s="25" t="str">
        <f t="shared" si="128"/>
        <v>TAAe+</v>
      </c>
      <c r="AC1402" s="2" t="str">
        <f t="shared" si="122"/>
        <v xml:space="preserve"> ROSEMERE </v>
      </c>
      <c r="AD1402" s="26">
        <f t="shared" si="129"/>
        <v>8</v>
      </c>
      <c r="AE1402" s="26">
        <f t="shared" ca="1" si="130"/>
        <v>6.2286906250010361</v>
      </c>
    </row>
    <row r="1403" spans="1:31" hidden="1">
      <c r="A1403" s="209">
        <v>9503266</v>
      </c>
      <c r="B1403" s="209" t="s">
        <v>1153</v>
      </c>
      <c r="C1403" s="210" t="s">
        <v>4041</v>
      </c>
      <c r="D1403" s="214">
        <v>20231011000005</v>
      </c>
      <c r="E1403" s="214">
        <v>7417192425878</v>
      </c>
      <c r="F1403" s="209" t="s">
        <v>1727</v>
      </c>
      <c r="G1403" s="209" t="s">
        <v>53</v>
      </c>
      <c r="H1403" s="209" t="s">
        <v>272</v>
      </c>
      <c r="I1403" s="209" t="s">
        <v>273</v>
      </c>
      <c r="J1403" s="209" t="s">
        <v>33</v>
      </c>
      <c r="K1403" s="210" t="s">
        <v>1728</v>
      </c>
      <c r="L1403" s="210"/>
      <c r="M1403" s="209" t="s">
        <v>58</v>
      </c>
      <c r="N1403" s="209">
        <v>0</v>
      </c>
      <c r="O1403" s="209" t="s">
        <v>105</v>
      </c>
      <c r="P1403" s="211" t="s">
        <v>4648</v>
      </c>
      <c r="Q1403" s="209"/>
      <c r="R1403" s="209">
        <v>22</v>
      </c>
      <c r="S1403" s="209"/>
      <c r="T1403" s="209" t="s">
        <v>1160</v>
      </c>
      <c r="U1403" s="211" t="s">
        <v>4649</v>
      </c>
      <c r="V1403" s="209" t="s">
        <v>41</v>
      </c>
      <c r="W1403" s="209" t="s">
        <v>49</v>
      </c>
      <c r="X1403" s="13" t="str">
        <f>IF(RIGHT(H1403,2)&lt;&gt;"00",H1403,"")</f>
        <v/>
      </c>
      <c r="Y1403" s="26">
        <f ca="1">NETWORKDAYS(P1403,$Y$1)</f>
        <v>5</v>
      </c>
      <c r="Z1403" s="34">
        <v>1</v>
      </c>
      <c r="AA1403" s="25" t="str">
        <f t="shared" ca="1" si="127"/>
        <v>A VENCER</v>
      </c>
      <c r="AB1403" s="25" t="str">
        <f t="shared" si="128"/>
        <v>TAAe+</v>
      </c>
      <c r="AC1403" s="2" t="str">
        <f t="shared" si="122"/>
        <v xml:space="preserve"> ROSEMERE </v>
      </c>
      <c r="AD1403" s="26">
        <f t="shared" si="129"/>
        <v>8</v>
      </c>
      <c r="AE1403" s="26">
        <f t="shared" ca="1" si="130"/>
        <v>6.2362137731470284</v>
      </c>
    </row>
    <row r="1404" spans="1:31" hidden="1">
      <c r="A1404" s="209">
        <v>9503225</v>
      </c>
      <c r="B1404" s="209" t="s">
        <v>1153</v>
      </c>
      <c r="C1404" s="210" t="s">
        <v>4043</v>
      </c>
      <c r="D1404" s="214">
        <v>230031738</v>
      </c>
      <c r="E1404" s="214">
        <v>1620001400030</v>
      </c>
      <c r="F1404" s="209" t="s">
        <v>647</v>
      </c>
      <c r="G1404" s="209" t="s">
        <v>53</v>
      </c>
      <c r="H1404" s="209" t="s">
        <v>402</v>
      </c>
      <c r="I1404" s="209" t="s">
        <v>403</v>
      </c>
      <c r="J1404" s="209" t="s">
        <v>46</v>
      </c>
      <c r="K1404" s="210" t="s">
        <v>650</v>
      </c>
      <c r="L1404" s="210"/>
      <c r="M1404" s="209" t="s">
        <v>58</v>
      </c>
      <c r="N1404" s="209">
        <v>0</v>
      </c>
      <c r="O1404" s="209" t="s">
        <v>36</v>
      </c>
      <c r="P1404" s="211" t="s">
        <v>4650</v>
      </c>
      <c r="Q1404" s="209"/>
      <c r="R1404" s="209">
        <v>4</v>
      </c>
      <c r="S1404" s="209"/>
      <c r="T1404" s="209" t="s">
        <v>646</v>
      </c>
      <c r="U1404" s="211" t="s">
        <v>4483</v>
      </c>
      <c r="V1404" s="209" t="s">
        <v>41</v>
      </c>
      <c r="W1404" s="209" t="s">
        <v>49</v>
      </c>
      <c r="X1404" s="13" t="str">
        <f>IF(RIGHT(H1404,2)&lt;&gt;"00",H1404,"")</f>
        <v/>
      </c>
      <c r="Y1404" s="26">
        <f ca="1">NETWORKDAYS(P1404,$Y$1)</f>
        <v>5</v>
      </c>
      <c r="Z1404" s="34">
        <v>1</v>
      </c>
      <c r="AA1404" s="25" t="str">
        <f t="shared" ca="1" si="127"/>
        <v>A VENCER</v>
      </c>
      <c r="AB1404" s="25" t="str">
        <f t="shared" si="128"/>
        <v>C-14</v>
      </c>
      <c r="AC1404" s="2" t="str">
        <f t="shared" si="122"/>
        <v xml:space="preserve"> CLEITON </v>
      </c>
      <c r="AD1404" s="26">
        <f t="shared" si="129"/>
        <v>15</v>
      </c>
      <c r="AE1404" s="26">
        <f t="shared" ca="1" si="130"/>
        <v>6.230577199072286</v>
      </c>
    </row>
    <row r="1405" spans="1:31" hidden="1">
      <c r="A1405" s="209">
        <v>9503214</v>
      </c>
      <c r="B1405" s="209" t="s">
        <v>1153</v>
      </c>
      <c r="C1405" s="210" t="s">
        <v>4043</v>
      </c>
      <c r="D1405" s="214">
        <v>230031745</v>
      </c>
      <c r="E1405" s="214">
        <v>2039001400030</v>
      </c>
      <c r="F1405" s="209" t="s">
        <v>647</v>
      </c>
      <c r="G1405" s="209" t="s">
        <v>53</v>
      </c>
      <c r="H1405" s="209" t="s">
        <v>1943</v>
      </c>
      <c r="I1405" s="209" t="s">
        <v>1944</v>
      </c>
      <c r="J1405" s="209" t="s">
        <v>110</v>
      </c>
      <c r="K1405" s="210" t="s">
        <v>650</v>
      </c>
      <c r="L1405" s="210"/>
      <c r="M1405" s="209" t="s">
        <v>58</v>
      </c>
      <c r="N1405" s="209">
        <v>0</v>
      </c>
      <c r="O1405" s="209" t="s">
        <v>36</v>
      </c>
      <c r="P1405" s="211" t="s">
        <v>4651</v>
      </c>
      <c r="Q1405" s="209"/>
      <c r="R1405" s="209">
        <v>4</v>
      </c>
      <c r="S1405" s="209"/>
      <c r="T1405" s="209" t="s">
        <v>646</v>
      </c>
      <c r="U1405" s="211" t="s">
        <v>4652</v>
      </c>
      <c r="V1405" s="209" t="s">
        <v>41</v>
      </c>
      <c r="W1405" s="209" t="s">
        <v>49</v>
      </c>
      <c r="X1405" s="13" t="str">
        <f>IF(RIGHT(H1405,2)&lt;&gt;"00",H1405,"")</f>
        <v/>
      </c>
      <c r="Y1405" s="26">
        <f ca="1">NETWORKDAYS(P1405,$Y$1)</f>
        <v>5</v>
      </c>
      <c r="Z1405" s="34">
        <v>1</v>
      </c>
      <c r="AA1405" s="25" t="str">
        <f t="shared" ca="1" si="127"/>
        <v>A VENCER</v>
      </c>
      <c r="AB1405" s="25" t="str">
        <f t="shared" si="128"/>
        <v>C-14</v>
      </c>
      <c r="AC1405" s="2" t="str">
        <f t="shared" si="122"/>
        <v xml:space="preserve"> CRISTINA </v>
      </c>
      <c r="AD1405" s="26">
        <f t="shared" si="129"/>
        <v>15</v>
      </c>
      <c r="AE1405" s="26">
        <f t="shared" ca="1" si="130"/>
        <v>6.2311327546267421</v>
      </c>
    </row>
    <row r="1406" spans="1:31" hidden="1">
      <c r="A1406" s="209">
        <v>9503207</v>
      </c>
      <c r="B1406" s="209" t="s">
        <v>1153</v>
      </c>
      <c r="C1406" s="210" t="s">
        <v>4044</v>
      </c>
      <c r="D1406" s="214">
        <v>20234844000540</v>
      </c>
      <c r="E1406" s="214">
        <v>7417161481978</v>
      </c>
      <c r="F1406" s="209" t="s">
        <v>1979</v>
      </c>
      <c r="G1406" s="209" t="s">
        <v>53</v>
      </c>
      <c r="H1406" s="209" t="s">
        <v>2083</v>
      </c>
      <c r="I1406" s="209" t="s">
        <v>2084</v>
      </c>
      <c r="J1406" s="209" t="s">
        <v>46</v>
      </c>
      <c r="K1406" s="210" t="s">
        <v>1982</v>
      </c>
      <c r="L1406" s="210"/>
      <c r="M1406" s="209" t="s">
        <v>58</v>
      </c>
      <c r="N1406" s="209">
        <v>0</v>
      </c>
      <c r="O1406" s="209" t="s">
        <v>36</v>
      </c>
      <c r="P1406" s="211" t="s">
        <v>4653</v>
      </c>
      <c r="Q1406" s="209"/>
      <c r="R1406" s="209">
        <v>13</v>
      </c>
      <c r="S1406" s="209"/>
      <c r="T1406" s="209" t="s">
        <v>238</v>
      </c>
      <c r="U1406" s="211" t="s">
        <v>4653</v>
      </c>
      <c r="V1406" s="209" t="s">
        <v>41</v>
      </c>
      <c r="W1406" s="209" t="s">
        <v>49</v>
      </c>
      <c r="X1406" s="13" t="str">
        <f>IF(RIGHT(H1406,2)&lt;&gt;"00",H1406,"")</f>
        <v>4844.39</v>
      </c>
      <c r="Y1406" s="26">
        <f ca="1">NETWORKDAYS(P1406,$Y$1)</f>
        <v>5</v>
      </c>
      <c r="Z1406" s="34">
        <v>1</v>
      </c>
      <c r="AA1406" s="25" t="str">
        <f t="shared" ca="1" si="127"/>
        <v>A VENCER</v>
      </c>
      <c r="AB1406" s="25" t="str">
        <f t="shared" si="128"/>
        <v>TAAe+</v>
      </c>
      <c r="AC1406" s="2" t="str">
        <f t="shared" si="122"/>
        <v xml:space="preserve"> CLEITON </v>
      </c>
      <c r="AD1406" s="26">
        <f t="shared" si="129"/>
        <v>8</v>
      </c>
      <c r="AE1406" s="26">
        <f t="shared" ca="1" si="130"/>
        <v>6.248505439813016</v>
      </c>
    </row>
    <row r="1407" spans="1:31" hidden="1">
      <c r="A1407" s="209">
        <v>9502654</v>
      </c>
      <c r="B1407" s="209" t="s">
        <v>1153</v>
      </c>
      <c r="C1407" s="210" t="s">
        <v>3955</v>
      </c>
      <c r="D1407" s="214">
        <v>20234804001850</v>
      </c>
      <c r="E1407" s="214">
        <v>7419141893217</v>
      </c>
      <c r="F1407" s="209" t="s">
        <v>128</v>
      </c>
      <c r="G1407" s="209" t="s">
        <v>53</v>
      </c>
      <c r="H1407" s="209" t="s">
        <v>3956</v>
      </c>
      <c r="I1407" s="209" t="s">
        <v>3957</v>
      </c>
      <c r="J1407" s="209" t="s">
        <v>46</v>
      </c>
      <c r="K1407" s="210" t="s">
        <v>129</v>
      </c>
      <c r="L1407" s="210"/>
      <c r="M1407" s="209" t="s">
        <v>58</v>
      </c>
      <c r="N1407" s="209">
        <v>0</v>
      </c>
      <c r="O1407" s="209" t="s">
        <v>36</v>
      </c>
      <c r="P1407" s="211" t="s">
        <v>3958</v>
      </c>
      <c r="Q1407" s="209"/>
      <c r="R1407" s="209">
        <v>12</v>
      </c>
      <c r="S1407" s="209">
        <v>4804</v>
      </c>
      <c r="T1407" s="209" t="s">
        <v>238</v>
      </c>
      <c r="U1407" s="211" t="s">
        <v>3959</v>
      </c>
      <c r="V1407" s="209" t="s">
        <v>41</v>
      </c>
      <c r="W1407" s="209" t="s">
        <v>49</v>
      </c>
      <c r="X1407" s="13" t="str">
        <f>IF(RIGHT(H1407,2)&lt;&gt;"00",H1407,"")</f>
        <v>0325.18</v>
      </c>
      <c r="Y1407" s="26">
        <f ca="1">NETWORKDAYS(P1407,$Y$1)</f>
        <v>5</v>
      </c>
      <c r="Z1407" s="34">
        <v>1</v>
      </c>
      <c r="AA1407" s="25" t="str">
        <f t="shared" ca="1" si="127"/>
        <v>A VENCER</v>
      </c>
      <c r="AB1407" s="25" t="str">
        <f t="shared" si="128"/>
        <v>TAAe+</v>
      </c>
      <c r="AC1407" s="2" t="str">
        <f t="shared" si="122"/>
        <v xml:space="preserve"> CLEITON </v>
      </c>
      <c r="AD1407" s="26">
        <f t="shared" si="129"/>
        <v>8</v>
      </c>
      <c r="AE1407" s="26">
        <f t="shared" ca="1" si="130"/>
        <v>6.344801736107911</v>
      </c>
    </row>
    <row r="1408" spans="1:31" hidden="1">
      <c r="A1408" s="209">
        <v>9508060</v>
      </c>
      <c r="B1408" s="209" t="s">
        <v>1153</v>
      </c>
      <c r="C1408" s="210" t="s">
        <v>4050</v>
      </c>
      <c r="D1408" s="214"/>
      <c r="E1408" s="214">
        <v>1902016219600</v>
      </c>
      <c r="F1408" s="209" t="s">
        <v>64</v>
      </c>
      <c r="G1408" s="209" t="s">
        <v>53</v>
      </c>
      <c r="H1408" s="209" t="s">
        <v>1252</v>
      </c>
      <c r="I1408" s="209" t="s">
        <v>1253</v>
      </c>
      <c r="J1408" s="209" t="s">
        <v>33</v>
      </c>
      <c r="K1408" s="210" t="s">
        <v>67</v>
      </c>
      <c r="L1408" s="210"/>
      <c r="M1408" s="209" t="s">
        <v>35</v>
      </c>
      <c r="N1408" s="209">
        <v>42318949</v>
      </c>
      <c r="O1408" s="209" t="s">
        <v>105</v>
      </c>
      <c r="P1408" s="211" t="s">
        <v>4203</v>
      </c>
      <c r="Q1408" s="209"/>
      <c r="R1408" s="209" t="s">
        <v>571</v>
      </c>
      <c r="S1408" s="209"/>
      <c r="T1408" s="209" t="s">
        <v>69</v>
      </c>
      <c r="U1408" s="211" t="s">
        <v>4204</v>
      </c>
      <c r="V1408" s="209" t="s">
        <v>41</v>
      </c>
      <c r="W1408" s="209" t="s">
        <v>42</v>
      </c>
      <c r="X1408" s="13" t="str">
        <f>IF(RIGHT(H1408,2)&lt;&gt;"00",H1408,"")</f>
        <v/>
      </c>
      <c r="Y1408" s="26">
        <f ca="1">NETWORKDAYS(P1408,$Y$1)</f>
        <v>4</v>
      </c>
      <c r="Z1408" s="34">
        <v>1</v>
      </c>
      <c r="AA1408" s="25" t="str">
        <f t="shared" ca="1" si="127"/>
        <v>A VENCER</v>
      </c>
      <c r="AB1408" s="25" t="str">
        <f t="shared" si="128"/>
        <v>TAAe+</v>
      </c>
      <c r="AC1408" s="2" t="str">
        <f t="shared" si="122"/>
        <v xml:space="preserve"> ROSEMERE </v>
      </c>
      <c r="AD1408" s="26">
        <f t="shared" si="129"/>
        <v>8</v>
      </c>
      <c r="AE1408" s="26">
        <f t="shared" ca="1" si="130"/>
        <v>4.9548711805546191</v>
      </c>
    </row>
    <row r="1409" spans="1:31" hidden="1">
      <c r="A1409" s="209">
        <v>9507962</v>
      </c>
      <c r="B1409" s="209" t="s">
        <v>1153</v>
      </c>
      <c r="C1409" s="210" t="s">
        <v>4205</v>
      </c>
      <c r="D1409" s="214">
        <v>20234119000011</v>
      </c>
      <c r="E1409" s="214">
        <v>7419151141024</v>
      </c>
      <c r="F1409" s="209" t="s">
        <v>123</v>
      </c>
      <c r="G1409" s="209" t="s">
        <v>53</v>
      </c>
      <c r="H1409" s="209" t="s">
        <v>2053</v>
      </c>
      <c r="I1409" s="209" t="s">
        <v>2054</v>
      </c>
      <c r="J1409" s="209" t="s">
        <v>211</v>
      </c>
      <c r="K1409" s="210" t="s">
        <v>126</v>
      </c>
      <c r="L1409" s="210"/>
      <c r="M1409" s="209" t="s">
        <v>58</v>
      </c>
      <c r="N1409" s="209">
        <v>0</v>
      </c>
      <c r="O1409" s="209" t="s">
        <v>36</v>
      </c>
      <c r="P1409" s="211" t="s">
        <v>4654</v>
      </c>
      <c r="Q1409" s="209"/>
      <c r="R1409" s="209">
        <v>14</v>
      </c>
      <c r="S1409" s="209"/>
      <c r="T1409" s="209" t="s">
        <v>238</v>
      </c>
      <c r="U1409" s="211" t="s">
        <v>4654</v>
      </c>
      <c r="V1409" s="209" t="s">
        <v>41</v>
      </c>
      <c r="W1409" s="209" t="s">
        <v>49</v>
      </c>
      <c r="X1409" s="13" t="str">
        <f>IF(RIGHT(H1409,2)&lt;&gt;"00",H1409,"")</f>
        <v>4119.91</v>
      </c>
      <c r="Y1409" s="26">
        <f ca="1">NETWORKDAYS(P1409,$Y$1)</f>
        <v>4</v>
      </c>
      <c r="Z1409" s="34">
        <v>1</v>
      </c>
      <c r="AA1409" s="25" t="str">
        <f t="shared" ca="1" si="127"/>
        <v>A VENCER</v>
      </c>
      <c r="AB1409" s="25" t="str">
        <f t="shared" si="128"/>
        <v>TAAe+</v>
      </c>
      <c r="AC1409" s="2" t="str">
        <f t="shared" si="122"/>
        <v xml:space="preserve"> RINALDO </v>
      </c>
      <c r="AD1409" s="26">
        <f t="shared" si="129"/>
        <v>8</v>
      </c>
      <c r="AE1409" s="26">
        <f t="shared" ca="1" si="130"/>
        <v>4.9851952546305256</v>
      </c>
    </row>
    <row r="1410" spans="1:31" hidden="1">
      <c r="A1410" s="209">
        <v>9507802</v>
      </c>
      <c r="B1410" s="209" t="s">
        <v>1153</v>
      </c>
      <c r="C1410" s="210" t="s">
        <v>3659</v>
      </c>
      <c r="D1410" s="214">
        <v>20234844000568</v>
      </c>
      <c r="E1410" s="214">
        <v>7417163284242</v>
      </c>
      <c r="F1410" s="209" t="s">
        <v>131</v>
      </c>
      <c r="G1410" s="209" t="s">
        <v>53</v>
      </c>
      <c r="H1410" s="209" t="s">
        <v>2992</v>
      </c>
      <c r="I1410" s="209" t="s">
        <v>2993</v>
      </c>
      <c r="J1410" s="209" t="s">
        <v>46</v>
      </c>
      <c r="K1410" s="210" t="s">
        <v>132</v>
      </c>
      <c r="L1410" s="210"/>
      <c r="M1410" s="209" t="s">
        <v>58</v>
      </c>
      <c r="N1410" s="209">
        <v>0</v>
      </c>
      <c r="O1410" s="209" t="s">
        <v>105</v>
      </c>
      <c r="P1410" s="211" t="s">
        <v>4655</v>
      </c>
      <c r="Q1410" s="209"/>
      <c r="R1410" s="209">
        <v>13</v>
      </c>
      <c r="S1410" s="209"/>
      <c r="T1410" s="209" t="s">
        <v>238</v>
      </c>
      <c r="U1410" s="211" t="s">
        <v>4655</v>
      </c>
      <c r="V1410" s="209" t="s">
        <v>41</v>
      </c>
      <c r="W1410" s="209" t="s">
        <v>49</v>
      </c>
      <c r="X1410" s="13" t="str">
        <f>IF(RIGHT(H1410,2)&lt;&gt;"00",H1410,"")</f>
        <v>4844.03</v>
      </c>
      <c r="Y1410" s="26">
        <f ca="1">NETWORKDAYS(P1410,$Y$1)</f>
        <v>4</v>
      </c>
      <c r="Z1410" s="34">
        <v>1</v>
      </c>
      <c r="AA1410" s="25" t="str">
        <f t="shared" ca="1" si="127"/>
        <v>A VENCER</v>
      </c>
      <c r="AB1410" s="25" t="str">
        <f t="shared" si="128"/>
        <v>TAAe+</v>
      </c>
      <c r="AC1410" s="2" t="str">
        <f t="shared" si="122"/>
        <v xml:space="preserve"> CLEITON </v>
      </c>
      <c r="AD1410" s="26">
        <f t="shared" si="129"/>
        <v>8</v>
      </c>
      <c r="AE1410" s="26">
        <f t="shared" ca="1" si="130"/>
        <v>5.0192346064795856</v>
      </c>
    </row>
    <row r="1411" spans="1:31" hidden="1">
      <c r="A1411" s="209">
        <v>9507753</v>
      </c>
      <c r="B1411" s="209" t="s">
        <v>1153</v>
      </c>
      <c r="C1411" s="210" t="s">
        <v>4053</v>
      </c>
      <c r="D1411" s="214">
        <v>20231120000007</v>
      </c>
      <c r="E1411" s="214">
        <v>7417183020600</v>
      </c>
      <c r="F1411" s="209" t="s">
        <v>1313</v>
      </c>
      <c r="G1411" s="209" t="s">
        <v>53</v>
      </c>
      <c r="H1411" s="209" t="s">
        <v>2528</v>
      </c>
      <c r="I1411" s="209" t="s">
        <v>2529</v>
      </c>
      <c r="J1411" s="209" t="s">
        <v>164</v>
      </c>
      <c r="K1411" s="210" t="s">
        <v>1316</v>
      </c>
      <c r="L1411" s="210"/>
      <c r="M1411" s="209" t="s">
        <v>58</v>
      </c>
      <c r="N1411" s="209">
        <v>0</v>
      </c>
      <c r="O1411" s="209" t="s">
        <v>36</v>
      </c>
      <c r="P1411" s="211" t="s">
        <v>4656</v>
      </c>
      <c r="Q1411" s="209"/>
      <c r="R1411" s="209">
        <v>14</v>
      </c>
      <c r="S1411" s="209"/>
      <c r="T1411" s="209" t="s">
        <v>238</v>
      </c>
      <c r="U1411" s="211" t="s">
        <v>4656</v>
      </c>
      <c r="V1411" s="209" t="s">
        <v>41</v>
      </c>
      <c r="W1411" s="209" t="s">
        <v>49</v>
      </c>
      <c r="X1411" s="13" t="str">
        <f>IF(RIGHT(H1411,2)&lt;&gt;"00",H1411,"")</f>
        <v>1120.91</v>
      </c>
      <c r="Y1411" s="26">
        <f ca="1">NETWORKDAYS(P1411,$Y$1)</f>
        <v>4</v>
      </c>
      <c r="Z1411" s="34">
        <v>1</v>
      </c>
      <c r="AA1411" s="25" t="str">
        <f t="shared" ca="1" si="127"/>
        <v>A VENCER</v>
      </c>
      <c r="AB1411" s="25" t="str">
        <f t="shared" si="128"/>
        <v>TAAe+</v>
      </c>
      <c r="AC1411" s="2" t="str">
        <f t="shared" ref="AC1411:AC1474" si="131">IF(J1411="TR-PETROLINA"," ROSEMERE ",IF(J1411="TR-GARANHUNS"," ROSEMERE ",IF(J1411="TR-CARUARU"," ROSEMERE ",IF(J1411="TR-RIBEIRAO"," CRISTINA ",IF(J1411="TR-GRAVATA"," CRISTINA ",IF(J1411="TR-GOIANA"," CRISTINA ",IF(J1411="TR-LIMOEIRO"," CRISTINA ",IF(J1411="TR-SERRA TALHADA"," RINALDO ",IF(J1411="TR-SALGUEIRO"," RINALDO ",IF(J1411="TR-CARNAIBA"," RINALDO ",IF(J1411="TR-ARCOVERDE"," RINALDO ",IF(J1411="CAT-RECIFE"," CLEITON ",))))))))))))</f>
        <v xml:space="preserve"> ROSEMERE </v>
      </c>
      <c r="AD1411" s="26">
        <f t="shared" si="129"/>
        <v>8</v>
      </c>
      <c r="AE1411" s="26">
        <f t="shared" ca="1" si="130"/>
        <v>5.0286096064810408</v>
      </c>
    </row>
    <row r="1412" spans="1:31" hidden="1">
      <c r="A1412" s="209">
        <v>9507743</v>
      </c>
      <c r="B1412" s="209" t="s">
        <v>1153</v>
      </c>
      <c r="C1412" s="210" t="s">
        <v>4054</v>
      </c>
      <c r="D1412" s="214">
        <v>20234844000567</v>
      </c>
      <c r="E1412" s="214">
        <v>7417183020614</v>
      </c>
      <c r="F1412" s="209" t="s">
        <v>1313</v>
      </c>
      <c r="G1412" s="209" t="s">
        <v>53</v>
      </c>
      <c r="H1412" s="209" t="s">
        <v>2395</v>
      </c>
      <c r="I1412" s="209" t="s">
        <v>2396</v>
      </c>
      <c r="J1412" s="209" t="s">
        <v>46</v>
      </c>
      <c r="K1412" s="210" t="s">
        <v>1316</v>
      </c>
      <c r="L1412" s="210"/>
      <c r="M1412" s="209" t="s">
        <v>58</v>
      </c>
      <c r="N1412" s="209">
        <v>0</v>
      </c>
      <c r="O1412" s="209" t="s">
        <v>105</v>
      </c>
      <c r="P1412" s="211" t="s">
        <v>4657</v>
      </c>
      <c r="Q1412" s="209"/>
      <c r="R1412" s="209">
        <v>13</v>
      </c>
      <c r="S1412" s="209"/>
      <c r="T1412" s="209" t="s">
        <v>238</v>
      </c>
      <c r="U1412" s="213">
        <v>44981.644016203703</v>
      </c>
      <c r="V1412" s="209" t="s">
        <v>41</v>
      </c>
      <c r="W1412" s="209" t="s">
        <v>49</v>
      </c>
      <c r="X1412" s="13" t="str">
        <f>IF(RIGHT(H1412,2)&lt;&gt;"00",H1412,"")</f>
        <v>4844.08</v>
      </c>
      <c r="Y1412" s="26">
        <f ca="1">NETWORKDAYS(P1412,$Y$1)</f>
        <v>4</v>
      </c>
      <c r="Z1412" s="34">
        <v>1</v>
      </c>
      <c r="AA1412" s="25" t="str">
        <f t="shared" ca="1" si="127"/>
        <v>A VENCER</v>
      </c>
      <c r="AB1412" s="25" t="str">
        <f t="shared" si="128"/>
        <v>TAAe+</v>
      </c>
      <c r="AC1412" s="2" t="str">
        <f t="shared" si="131"/>
        <v xml:space="preserve"> CLEITON </v>
      </c>
      <c r="AD1412" s="26">
        <f t="shared" si="129"/>
        <v>8</v>
      </c>
      <c r="AE1412" s="26">
        <f t="shared" ca="1" si="130"/>
        <v>5.0322554398153443</v>
      </c>
    </row>
    <row r="1413" spans="1:31" hidden="1">
      <c r="A1413" s="209">
        <v>9507670</v>
      </c>
      <c r="B1413" s="209" t="s">
        <v>62</v>
      </c>
      <c r="C1413" s="210" t="s">
        <v>4055</v>
      </c>
      <c r="D1413" s="214"/>
      <c r="E1413" s="214">
        <v>963000206001</v>
      </c>
      <c r="F1413" s="209" t="s">
        <v>29</v>
      </c>
      <c r="G1413" s="209" t="s">
        <v>53</v>
      </c>
      <c r="H1413" s="209" t="s">
        <v>531</v>
      </c>
      <c r="I1413" s="209" t="s">
        <v>532</v>
      </c>
      <c r="J1413" s="209" t="s">
        <v>33</v>
      </c>
      <c r="K1413" s="210" t="s">
        <v>34</v>
      </c>
      <c r="L1413" s="210"/>
      <c r="M1413" s="209" t="s">
        <v>35</v>
      </c>
      <c r="N1413" s="209">
        <v>42318949</v>
      </c>
      <c r="O1413" s="209" t="s">
        <v>105</v>
      </c>
      <c r="P1413" s="211" t="s">
        <v>4658</v>
      </c>
      <c r="Q1413" s="209"/>
      <c r="R1413" s="209" t="s">
        <v>38</v>
      </c>
      <c r="S1413" s="209"/>
      <c r="T1413" s="209" t="s">
        <v>74</v>
      </c>
      <c r="U1413" s="213">
        <v>45022.75</v>
      </c>
      <c r="V1413" s="209" t="s">
        <v>41</v>
      </c>
      <c r="W1413" s="209" t="s">
        <v>49</v>
      </c>
      <c r="X1413" s="13" t="str">
        <f>IF(RIGHT(H1413,2)&lt;&gt;"00",H1413,"")</f>
        <v/>
      </c>
      <c r="Y1413" s="26">
        <f ca="1">NETWORKDAYS(P1413,$Y$1)</f>
        <v>4</v>
      </c>
      <c r="Z1413" s="34">
        <v>1</v>
      </c>
      <c r="AA1413" s="25" t="str">
        <f t="shared" ca="1" si="127"/>
        <v>A VENCER</v>
      </c>
      <c r="AB1413" s="25" t="str">
        <f t="shared" si="128"/>
        <v>Dosa</v>
      </c>
      <c r="AC1413" s="2" t="str">
        <f t="shared" si="131"/>
        <v xml:space="preserve"> ROSEMERE </v>
      </c>
      <c r="AD1413" s="26">
        <f t="shared" si="129"/>
        <v>5</v>
      </c>
      <c r="AE1413" s="26">
        <f t="shared" ca="1" si="130"/>
        <v>5.0298827546284883</v>
      </c>
    </row>
    <row r="1414" spans="1:31" hidden="1">
      <c r="A1414" s="209">
        <v>9507669</v>
      </c>
      <c r="B1414" s="209" t="s">
        <v>1153</v>
      </c>
      <c r="C1414" s="210" t="s">
        <v>4056</v>
      </c>
      <c r="D1414" s="214"/>
      <c r="E1414" s="214">
        <v>963000206001</v>
      </c>
      <c r="F1414" s="209" t="s">
        <v>29</v>
      </c>
      <c r="G1414" s="209" t="s">
        <v>53</v>
      </c>
      <c r="H1414" s="209" t="s">
        <v>531</v>
      </c>
      <c r="I1414" s="209" t="s">
        <v>532</v>
      </c>
      <c r="J1414" s="209" t="s">
        <v>33</v>
      </c>
      <c r="K1414" s="210" t="s">
        <v>34</v>
      </c>
      <c r="L1414" s="210"/>
      <c r="M1414" s="209" t="s">
        <v>35</v>
      </c>
      <c r="N1414" s="209">
        <v>42318949</v>
      </c>
      <c r="O1414" s="209" t="s">
        <v>36</v>
      </c>
      <c r="P1414" s="211" t="s">
        <v>4659</v>
      </c>
      <c r="Q1414" s="209"/>
      <c r="R1414" s="209" t="s">
        <v>38</v>
      </c>
      <c r="S1414" s="209"/>
      <c r="T1414" s="209" t="s">
        <v>74</v>
      </c>
      <c r="U1414" s="213">
        <v>44991.458333333336</v>
      </c>
      <c r="V1414" s="209" t="s">
        <v>41</v>
      </c>
      <c r="W1414" s="209" t="s">
        <v>49</v>
      </c>
      <c r="X1414" s="13" t="str">
        <f>IF(RIGHT(H1414,2)&lt;&gt;"00",H1414,"")</f>
        <v/>
      </c>
      <c r="Y1414" s="26">
        <f ca="1">NETWORKDAYS(P1414,$Y$1)</f>
        <v>4</v>
      </c>
      <c r="Z1414" s="34">
        <v>1</v>
      </c>
      <c r="AA1414" s="25" t="str">
        <f t="shared" ca="1" si="127"/>
        <v>A VENCER</v>
      </c>
      <c r="AB1414" s="25" t="str">
        <f t="shared" si="128"/>
        <v>Dosa</v>
      </c>
      <c r="AC1414" s="2" t="str">
        <f t="shared" si="131"/>
        <v xml:space="preserve"> ROSEMERE </v>
      </c>
      <c r="AD1414" s="26">
        <f t="shared" si="129"/>
        <v>5</v>
      </c>
      <c r="AE1414" s="26">
        <f t="shared" ca="1" si="130"/>
        <v>5.0323480324077536</v>
      </c>
    </row>
    <row r="1415" spans="1:31" hidden="1">
      <c r="A1415" s="209">
        <v>9507655</v>
      </c>
      <c r="B1415" s="209" t="s">
        <v>1153</v>
      </c>
      <c r="C1415" s="210" t="s">
        <v>4206</v>
      </c>
      <c r="D1415" s="214">
        <v>20231059000019</v>
      </c>
      <c r="E1415" s="214">
        <v>7417161482599</v>
      </c>
      <c r="F1415" s="209" t="s">
        <v>1217</v>
      </c>
      <c r="G1415" s="209" t="s">
        <v>53</v>
      </c>
      <c r="H1415" s="209" t="s">
        <v>1972</v>
      </c>
      <c r="I1415" s="209" t="s">
        <v>1973</v>
      </c>
      <c r="J1415" s="209" t="s">
        <v>90</v>
      </c>
      <c r="K1415" s="210" t="s">
        <v>1218</v>
      </c>
      <c r="L1415" s="210"/>
      <c r="M1415" s="209" t="s">
        <v>58</v>
      </c>
      <c r="N1415" s="209">
        <v>0</v>
      </c>
      <c r="O1415" s="209" t="s">
        <v>36</v>
      </c>
      <c r="P1415" s="211" t="s">
        <v>4660</v>
      </c>
      <c r="Q1415" s="209"/>
      <c r="R1415" s="209">
        <v>14</v>
      </c>
      <c r="S1415" s="209"/>
      <c r="T1415" s="209" t="s">
        <v>238</v>
      </c>
      <c r="U1415" s="213">
        <v>44981.627314814818</v>
      </c>
      <c r="V1415" s="209" t="s">
        <v>41</v>
      </c>
      <c r="W1415" s="209" t="s">
        <v>49</v>
      </c>
      <c r="X1415" s="13" t="str">
        <f>IF(RIGHT(H1415,2)&lt;&gt;"00",H1415,"")</f>
        <v>1059.91</v>
      </c>
      <c r="Y1415" s="26">
        <f ca="1">NETWORKDAYS(P1415,$Y$1)</f>
        <v>4</v>
      </c>
      <c r="Z1415" s="34">
        <v>1</v>
      </c>
      <c r="AA1415" s="25" t="str">
        <f t="shared" ca="1" si="127"/>
        <v>A VENCER</v>
      </c>
      <c r="AB1415" s="25" t="str">
        <f t="shared" si="128"/>
        <v>TAAe+</v>
      </c>
      <c r="AC1415" s="2" t="str">
        <f t="shared" si="131"/>
        <v xml:space="preserve"> RINALDO </v>
      </c>
      <c r="AD1415" s="26">
        <f t="shared" si="129"/>
        <v>8</v>
      </c>
      <c r="AE1415" s="26">
        <f t="shared" ca="1" si="130"/>
        <v>5.0489568287011934</v>
      </c>
    </row>
    <row r="1416" spans="1:31" hidden="1">
      <c r="A1416" s="209">
        <v>9507650</v>
      </c>
      <c r="B1416" s="209" t="s">
        <v>1153</v>
      </c>
      <c r="C1416" s="210" t="s">
        <v>4058</v>
      </c>
      <c r="D1416" s="214">
        <v>20231059000020</v>
      </c>
      <c r="E1416" s="214">
        <v>7419152172708</v>
      </c>
      <c r="F1416" s="209" t="s">
        <v>52</v>
      </c>
      <c r="G1416" s="209" t="s">
        <v>53</v>
      </c>
      <c r="H1416" s="209" t="s">
        <v>1972</v>
      </c>
      <c r="I1416" s="209" t="s">
        <v>1973</v>
      </c>
      <c r="J1416" s="209" t="s">
        <v>90</v>
      </c>
      <c r="K1416" s="210" t="s">
        <v>57</v>
      </c>
      <c r="L1416" s="210"/>
      <c r="M1416" s="209" t="s">
        <v>58</v>
      </c>
      <c r="N1416" s="209">
        <v>0</v>
      </c>
      <c r="O1416" s="209" t="s">
        <v>105</v>
      </c>
      <c r="P1416" s="211" t="s">
        <v>4661</v>
      </c>
      <c r="Q1416" s="209"/>
      <c r="R1416" s="209">
        <v>8</v>
      </c>
      <c r="S1416" s="209"/>
      <c r="T1416" s="209" t="s">
        <v>238</v>
      </c>
      <c r="U1416" s="213">
        <v>44982.639641203707</v>
      </c>
      <c r="V1416" s="209" t="s">
        <v>41</v>
      </c>
      <c r="W1416" s="209" t="s">
        <v>49</v>
      </c>
      <c r="X1416" s="13" t="str">
        <f>IF(RIGHT(H1416,2)&lt;&gt;"00",H1416,"")</f>
        <v>1059.91</v>
      </c>
      <c r="Y1416" s="26">
        <f ca="1">NETWORKDAYS(P1416,$Y$1)</f>
        <v>4</v>
      </c>
      <c r="Z1416" s="34">
        <v>1</v>
      </c>
      <c r="AA1416" s="25" t="str">
        <f t="shared" ca="1" si="127"/>
        <v>A VENCER</v>
      </c>
      <c r="AB1416" s="25" t="str">
        <f t="shared" si="128"/>
        <v>TAAe+</v>
      </c>
      <c r="AC1416" s="2" t="str">
        <f t="shared" si="131"/>
        <v xml:space="preserve"> RINALDO </v>
      </c>
      <c r="AD1416" s="26">
        <f t="shared" si="129"/>
        <v>8</v>
      </c>
      <c r="AE1416" s="26">
        <f t="shared" ca="1" si="130"/>
        <v>5.0471975694454159</v>
      </c>
    </row>
    <row r="1417" spans="1:31" hidden="1">
      <c r="A1417" s="209">
        <v>9507602</v>
      </c>
      <c r="B1417" s="209" t="s">
        <v>1153</v>
      </c>
      <c r="C1417" s="210" t="s">
        <v>4059</v>
      </c>
      <c r="D1417" s="214">
        <v>20238935000003</v>
      </c>
      <c r="E1417" s="214">
        <v>7417191553969</v>
      </c>
      <c r="F1417" s="209" t="s">
        <v>2819</v>
      </c>
      <c r="G1417" s="209" t="s">
        <v>53</v>
      </c>
      <c r="H1417" s="209" t="s">
        <v>4020</v>
      </c>
      <c r="I1417" s="209" t="s">
        <v>4021</v>
      </c>
      <c r="J1417" s="209" t="s">
        <v>46</v>
      </c>
      <c r="K1417" s="210" t="s">
        <v>2820</v>
      </c>
      <c r="L1417" s="210"/>
      <c r="M1417" s="209" t="s">
        <v>58</v>
      </c>
      <c r="N1417" s="209">
        <v>0</v>
      </c>
      <c r="O1417" s="209" t="s">
        <v>36</v>
      </c>
      <c r="P1417" s="211" t="s">
        <v>4662</v>
      </c>
      <c r="Q1417" s="209"/>
      <c r="R1417" s="209">
        <v>22</v>
      </c>
      <c r="S1417" s="209"/>
      <c r="T1417" s="209" t="s">
        <v>1160</v>
      </c>
      <c r="U1417" s="213">
        <v>44986.449594907404</v>
      </c>
      <c r="V1417" s="209" t="s">
        <v>41</v>
      </c>
      <c r="W1417" s="209" t="s">
        <v>49</v>
      </c>
      <c r="X1417" s="13" t="str">
        <f>IF(RIGHT(H1417,2)&lt;&gt;"00",H1417,"")</f>
        <v>8935.01</v>
      </c>
      <c r="Y1417" s="26">
        <f ca="1">NETWORKDAYS(P1417,$Y$1)</f>
        <v>4</v>
      </c>
      <c r="Z1417" s="34">
        <v>1</v>
      </c>
      <c r="AA1417" s="25" t="str">
        <f t="shared" ca="1" si="127"/>
        <v>A VENCER</v>
      </c>
      <c r="AB1417" s="25" t="str">
        <f t="shared" si="128"/>
        <v>TAAe+</v>
      </c>
      <c r="AC1417" s="2" t="str">
        <f t="shared" si="131"/>
        <v xml:space="preserve"> CLEITON </v>
      </c>
      <c r="AD1417" s="26">
        <f t="shared" si="129"/>
        <v>8</v>
      </c>
      <c r="AE1417" s="26">
        <f t="shared" ca="1" si="130"/>
        <v>5.0600100694427965</v>
      </c>
    </row>
    <row r="1418" spans="1:31" hidden="1">
      <c r="A1418" s="209">
        <v>9507584</v>
      </c>
      <c r="B1418" s="209" t="s">
        <v>1153</v>
      </c>
      <c r="C1418" s="210" t="s">
        <v>4060</v>
      </c>
      <c r="D1418" s="214"/>
      <c r="E1418" s="214">
        <v>5749000203010</v>
      </c>
      <c r="F1418" s="209" t="s">
        <v>152</v>
      </c>
      <c r="G1418" s="209" t="s">
        <v>53</v>
      </c>
      <c r="H1418" s="209" t="s">
        <v>1811</v>
      </c>
      <c r="I1418" s="209" t="s">
        <v>1812</v>
      </c>
      <c r="J1418" s="209" t="s">
        <v>33</v>
      </c>
      <c r="K1418" s="210" t="s">
        <v>155</v>
      </c>
      <c r="L1418" s="210"/>
      <c r="M1418" s="209" t="s">
        <v>35</v>
      </c>
      <c r="N1418" s="209">
        <v>42318949</v>
      </c>
      <c r="O1418" s="209" t="s">
        <v>36</v>
      </c>
      <c r="P1418" s="211" t="s">
        <v>4663</v>
      </c>
      <c r="Q1418" s="209"/>
      <c r="R1418" s="209">
        <v>1</v>
      </c>
      <c r="S1418" s="209"/>
      <c r="T1418" s="209" t="s">
        <v>157</v>
      </c>
      <c r="U1418" s="213">
        <v>44982.632233796299</v>
      </c>
      <c r="V1418" s="209" t="s">
        <v>41</v>
      </c>
      <c r="W1418" s="209" t="s">
        <v>42</v>
      </c>
      <c r="X1418" s="13" t="str">
        <f>IF(RIGHT(H1418,2)&lt;&gt;"00",H1418,"")</f>
        <v/>
      </c>
      <c r="Y1418" s="26">
        <f ca="1">NETWORKDAYS(P1418,$Y$1)</f>
        <v>4</v>
      </c>
      <c r="Z1418" s="34">
        <v>1</v>
      </c>
      <c r="AA1418" s="25" t="str">
        <f t="shared" ca="1" si="127"/>
        <v>A VENCER</v>
      </c>
      <c r="AB1418" s="25" t="str">
        <f t="shared" si="128"/>
        <v>TAAe+</v>
      </c>
      <c r="AC1418" s="2" t="str">
        <f t="shared" si="131"/>
        <v xml:space="preserve"> ROSEMERE </v>
      </c>
      <c r="AD1418" s="26">
        <f t="shared" si="129"/>
        <v>8</v>
      </c>
      <c r="AE1418" s="26">
        <f t="shared" ca="1" si="130"/>
        <v>5.0440378472194425</v>
      </c>
    </row>
    <row r="1419" spans="1:31" hidden="1">
      <c r="A1419" s="209">
        <v>9507578</v>
      </c>
      <c r="B1419" s="209" t="s">
        <v>81</v>
      </c>
      <c r="C1419" s="210" t="s">
        <v>1210</v>
      </c>
      <c r="D1419" s="214"/>
      <c r="E1419" s="214">
        <v>7417172142605</v>
      </c>
      <c r="F1419" s="209" t="s">
        <v>4061</v>
      </c>
      <c r="G1419" s="209" t="s">
        <v>53</v>
      </c>
      <c r="H1419" s="209" t="s">
        <v>4062</v>
      </c>
      <c r="I1419" s="209" t="s">
        <v>4063</v>
      </c>
      <c r="J1419" s="209" t="s">
        <v>46</v>
      </c>
      <c r="K1419" s="210" t="s">
        <v>4064</v>
      </c>
      <c r="L1419" s="210"/>
      <c r="M1419" s="209" t="s">
        <v>58</v>
      </c>
      <c r="N1419" s="209">
        <v>0</v>
      </c>
      <c r="O1419" s="209" t="s">
        <v>105</v>
      </c>
      <c r="P1419" s="211" t="s">
        <v>4664</v>
      </c>
      <c r="Q1419" s="209"/>
      <c r="R1419" s="209">
        <v>11</v>
      </c>
      <c r="S1419" s="209"/>
      <c r="T1419" s="209" t="s">
        <v>238</v>
      </c>
      <c r="U1419" s="213">
        <v>44982.62976851852</v>
      </c>
      <c r="V1419" s="209" t="s">
        <v>41</v>
      </c>
      <c r="W1419" s="209" t="s">
        <v>49</v>
      </c>
      <c r="X1419" s="13" t="str">
        <f>IF(RIGHT(H1419,2)&lt;&gt;"00",H1419,"")</f>
        <v>4845.23</v>
      </c>
      <c r="Y1419" s="26">
        <f ca="1">NETWORKDAYS(P1419,$Y$1)</f>
        <v>4</v>
      </c>
      <c r="Z1419" s="34">
        <v>1</v>
      </c>
      <c r="AA1419" s="25" t="str">
        <f t="shared" ca="1" si="127"/>
        <v>A VENCER</v>
      </c>
      <c r="AB1419" s="25" t="str">
        <f t="shared" si="128"/>
        <v>TAAe+</v>
      </c>
      <c r="AC1419" s="2" t="str">
        <f t="shared" si="131"/>
        <v xml:space="preserve"> CLEITON </v>
      </c>
      <c r="AD1419" s="26">
        <f t="shared" si="129"/>
        <v>8</v>
      </c>
      <c r="AE1419" s="26">
        <f t="shared" ca="1" si="130"/>
        <v>5.047926736107911</v>
      </c>
    </row>
    <row r="1420" spans="1:31" hidden="1">
      <c r="A1420" s="209">
        <v>9507408</v>
      </c>
      <c r="B1420" s="209" t="s">
        <v>1153</v>
      </c>
      <c r="C1420" s="210" t="s">
        <v>4065</v>
      </c>
      <c r="D1420" s="214">
        <v>20232326000011</v>
      </c>
      <c r="E1420" s="214">
        <v>7417183020154</v>
      </c>
      <c r="F1420" s="209" t="s">
        <v>1313</v>
      </c>
      <c r="G1420" s="209" t="s">
        <v>53</v>
      </c>
      <c r="H1420" s="209" t="s">
        <v>3236</v>
      </c>
      <c r="I1420" s="209" t="s">
        <v>3237</v>
      </c>
      <c r="J1420" s="209" t="s">
        <v>46</v>
      </c>
      <c r="K1420" s="210" t="s">
        <v>1316</v>
      </c>
      <c r="L1420" s="210"/>
      <c r="M1420" s="209" t="s">
        <v>58</v>
      </c>
      <c r="N1420" s="209">
        <v>0</v>
      </c>
      <c r="O1420" s="209" t="s">
        <v>105</v>
      </c>
      <c r="P1420" s="211" t="s">
        <v>4665</v>
      </c>
      <c r="Q1420" s="209"/>
      <c r="R1420" s="209">
        <v>13</v>
      </c>
      <c r="S1420" s="209"/>
      <c r="T1420" s="209" t="s">
        <v>238</v>
      </c>
      <c r="U1420" s="213">
        <v>44981.583611111113</v>
      </c>
      <c r="V1420" s="209" t="s">
        <v>41</v>
      </c>
      <c r="W1420" s="209" t="s">
        <v>49</v>
      </c>
      <c r="X1420" s="13" t="str">
        <f>IF(RIGHT(H1420,2)&lt;&gt;"00",H1420,"")</f>
        <v>2326.91</v>
      </c>
      <c r="Y1420" s="26">
        <f ca="1">NETWORKDAYS(P1420,$Y$1)</f>
        <v>4</v>
      </c>
      <c r="Z1420" s="34">
        <v>1</v>
      </c>
      <c r="AA1420" s="25" t="str">
        <f t="shared" ca="1" si="127"/>
        <v>A VENCER</v>
      </c>
      <c r="AB1420" s="25" t="str">
        <f t="shared" si="128"/>
        <v>TAAe+</v>
      </c>
      <c r="AC1420" s="2" t="str">
        <f t="shared" si="131"/>
        <v xml:space="preserve"> CLEITON </v>
      </c>
      <c r="AD1420" s="26">
        <f t="shared" si="129"/>
        <v>8</v>
      </c>
      <c r="AE1420" s="26">
        <f t="shared" ca="1" si="130"/>
        <v>5.0926605324057164</v>
      </c>
    </row>
    <row r="1421" spans="1:31" hidden="1">
      <c r="A1421" s="209">
        <v>9507332</v>
      </c>
      <c r="B1421" s="209" t="s">
        <v>1153</v>
      </c>
      <c r="C1421" s="210" t="s">
        <v>4059</v>
      </c>
      <c r="D1421" s="214">
        <v>20238935000002</v>
      </c>
      <c r="E1421" s="214">
        <v>7419152401379</v>
      </c>
      <c r="F1421" s="209" t="s">
        <v>2533</v>
      </c>
      <c r="G1421" s="209" t="s">
        <v>53</v>
      </c>
      <c r="H1421" s="209" t="s">
        <v>4020</v>
      </c>
      <c r="I1421" s="209" t="s">
        <v>4021</v>
      </c>
      <c r="J1421" s="209" t="s">
        <v>46</v>
      </c>
      <c r="K1421" s="210" t="s">
        <v>2536</v>
      </c>
      <c r="L1421" s="210"/>
      <c r="M1421" s="209" t="s">
        <v>58</v>
      </c>
      <c r="N1421" s="209">
        <v>0</v>
      </c>
      <c r="O1421" s="209" t="s">
        <v>36</v>
      </c>
      <c r="P1421" s="211" t="s">
        <v>4666</v>
      </c>
      <c r="Q1421" s="209"/>
      <c r="R1421" s="209">
        <v>22</v>
      </c>
      <c r="S1421" s="209"/>
      <c r="T1421" s="209" t="s">
        <v>1160</v>
      </c>
      <c r="U1421" s="211" t="s">
        <v>4667</v>
      </c>
      <c r="V1421" s="209" t="s">
        <v>41</v>
      </c>
      <c r="W1421" s="209" t="s">
        <v>49</v>
      </c>
      <c r="X1421" s="13" t="str">
        <f>IF(RIGHT(H1421,2)&lt;&gt;"00",H1421,"")</f>
        <v>8935.01</v>
      </c>
      <c r="Y1421" s="26">
        <f ca="1">NETWORKDAYS(P1421,$Y$1)</f>
        <v>4</v>
      </c>
      <c r="Z1421" s="34">
        <v>1</v>
      </c>
      <c r="AA1421" s="25" t="str">
        <f t="shared" ca="1" si="127"/>
        <v>A VENCER</v>
      </c>
      <c r="AB1421" s="25" t="str">
        <f t="shared" si="128"/>
        <v>TAAe+</v>
      </c>
      <c r="AC1421" s="2" t="str">
        <f t="shared" si="131"/>
        <v xml:space="preserve"> CLEITON </v>
      </c>
      <c r="AD1421" s="26">
        <f t="shared" si="129"/>
        <v>8</v>
      </c>
      <c r="AE1421" s="26">
        <f t="shared" ca="1" si="130"/>
        <v>5.1116651620395714</v>
      </c>
    </row>
    <row r="1422" spans="1:31" hidden="1">
      <c r="A1422" s="209">
        <v>9507327</v>
      </c>
      <c r="B1422" s="209" t="s">
        <v>1153</v>
      </c>
      <c r="C1422" s="210" t="s">
        <v>4066</v>
      </c>
      <c r="D1422" s="214">
        <v>20234844000566</v>
      </c>
      <c r="E1422" s="214">
        <v>7417211830683</v>
      </c>
      <c r="F1422" s="209" t="s">
        <v>1936</v>
      </c>
      <c r="G1422" s="209" t="s">
        <v>53</v>
      </c>
      <c r="H1422" s="209" t="s">
        <v>3946</v>
      </c>
      <c r="I1422" s="209" t="s">
        <v>3947</v>
      </c>
      <c r="J1422" s="209" t="s">
        <v>46</v>
      </c>
      <c r="K1422" s="210" t="s">
        <v>1939</v>
      </c>
      <c r="L1422" s="210"/>
      <c r="M1422" s="209" t="s">
        <v>58</v>
      </c>
      <c r="N1422" s="209">
        <v>0</v>
      </c>
      <c r="O1422" s="209" t="s">
        <v>105</v>
      </c>
      <c r="P1422" s="211" t="s">
        <v>4668</v>
      </c>
      <c r="Q1422" s="209"/>
      <c r="R1422" s="209">
        <v>13</v>
      </c>
      <c r="S1422" s="209"/>
      <c r="T1422" s="209" t="s">
        <v>238</v>
      </c>
      <c r="U1422" s="213">
        <v>44981.555787037039</v>
      </c>
      <c r="V1422" s="209" t="s">
        <v>41</v>
      </c>
      <c r="W1422" s="209" t="s">
        <v>49</v>
      </c>
      <c r="X1422" s="13" t="str">
        <f>IF(RIGHT(H1422,2)&lt;&gt;"00",H1422,"")</f>
        <v>4844.82</v>
      </c>
      <c r="Y1422" s="26">
        <f ca="1">NETWORKDAYS(P1422,$Y$1)</f>
        <v>4</v>
      </c>
      <c r="Z1422" s="34">
        <v>1</v>
      </c>
      <c r="AA1422" s="25" t="str">
        <f t="shared" ca="1" si="127"/>
        <v>A VENCER</v>
      </c>
      <c r="AB1422" s="25" t="str">
        <f t="shared" si="128"/>
        <v>TAAe+</v>
      </c>
      <c r="AC1422" s="2" t="str">
        <f t="shared" si="131"/>
        <v xml:space="preserve"> CLEITON </v>
      </c>
      <c r="AD1422" s="26">
        <f t="shared" si="129"/>
        <v>8</v>
      </c>
      <c r="AE1422" s="26">
        <f t="shared" ca="1" si="130"/>
        <v>5.1204846064792946</v>
      </c>
    </row>
    <row r="1423" spans="1:31" hidden="1">
      <c r="A1423" s="209">
        <v>9507326</v>
      </c>
      <c r="B1423" s="209" t="s">
        <v>1153</v>
      </c>
      <c r="C1423" s="210" t="s">
        <v>4067</v>
      </c>
      <c r="D1423" s="214">
        <v>20234844000565</v>
      </c>
      <c r="E1423" s="214">
        <v>7417183022041</v>
      </c>
      <c r="F1423" s="209" t="s">
        <v>1313</v>
      </c>
      <c r="G1423" s="209" t="s">
        <v>53</v>
      </c>
      <c r="H1423" s="209" t="s">
        <v>3946</v>
      </c>
      <c r="I1423" s="209" t="s">
        <v>3947</v>
      </c>
      <c r="J1423" s="209" t="s">
        <v>46</v>
      </c>
      <c r="K1423" s="210" t="s">
        <v>1316</v>
      </c>
      <c r="L1423" s="210"/>
      <c r="M1423" s="209" t="s">
        <v>58</v>
      </c>
      <c r="N1423" s="209">
        <v>0</v>
      </c>
      <c r="O1423" s="209" t="s">
        <v>105</v>
      </c>
      <c r="P1423" s="211" t="s">
        <v>4669</v>
      </c>
      <c r="Q1423" s="209"/>
      <c r="R1423" s="209">
        <v>13</v>
      </c>
      <c r="S1423" s="209"/>
      <c r="T1423" s="209" t="s">
        <v>238</v>
      </c>
      <c r="U1423" s="213">
        <v>44981.554988425924</v>
      </c>
      <c r="V1423" s="209" t="s">
        <v>41</v>
      </c>
      <c r="W1423" s="209" t="s">
        <v>49</v>
      </c>
      <c r="X1423" s="13" t="str">
        <f>IF(RIGHT(H1423,2)&lt;&gt;"00",H1423,"")</f>
        <v>4844.82</v>
      </c>
      <c r="Y1423" s="26">
        <f ca="1">NETWORKDAYS(P1423,$Y$1)</f>
        <v>4</v>
      </c>
      <c r="Z1423" s="34">
        <v>1</v>
      </c>
      <c r="AA1423" s="25" t="str">
        <f t="shared" ca="1" si="127"/>
        <v>A VENCER</v>
      </c>
      <c r="AB1423" s="25" t="str">
        <f t="shared" si="128"/>
        <v>TAAe+</v>
      </c>
      <c r="AC1423" s="2" t="str">
        <f t="shared" si="131"/>
        <v xml:space="preserve"> CLEITON </v>
      </c>
      <c r="AD1423" s="26">
        <f t="shared" si="129"/>
        <v>8</v>
      </c>
      <c r="AE1423" s="26">
        <f t="shared" ca="1" si="130"/>
        <v>5.1212832175951917</v>
      </c>
    </row>
    <row r="1424" spans="1:31" hidden="1">
      <c r="A1424" s="209">
        <v>9507208</v>
      </c>
      <c r="B1424" s="209" t="s">
        <v>1153</v>
      </c>
      <c r="C1424" s="210" t="s">
        <v>4070</v>
      </c>
      <c r="D1424" s="214">
        <v>20234844000564</v>
      </c>
      <c r="E1424" s="214">
        <v>7419143322419</v>
      </c>
      <c r="F1424" s="209" t="s">
        <v>1222</v>
      </c>
      <c r="G1424" s="209" t="s">
        <v>53</v>
      </c>
      <c r="H1424" s="209" t="s">
        <v>2632</v>
      </c>
      <c r="I1424" s="209" t="s">
        <v>2633</v>
      </c>
      <c r="J1424" s="209" t="s">
        <v>46</v>
      </c>
      <c r="K1424" s="210" t="s">
        <v>1223</v>
      </c>
      <c r="L1424" s="210"/>
      <c r="M1424" s="209" t="s">
        <v>58</v>
      </c>
      <c r="N1424" s="209">
        <v>0</v>
      </c>
      <c r="O1424" s="209" t="s">
        <v>36</v>
      </c>
      <c r="P1424" s="211" t="s">
        <v>4670</v>
      </c>
      <c r="Q1424" s="209"/>
      <c r="R1424" s="209">
        <v>13</v>
      </c>
      <c r="S1424" s="209"/>
      <c r="T1424" s="209" t="s">
        <v>238</v>
      </c>
      <c r="U1424" s="211" t="s">
        <v>4670</v>
      </c>
      <c r="V1424" s="209" t="s">
        <v>41</v>
      </c>
      <c r="W1424" s="209" t="s">
        <v>49</v>
      </c>
      <c r="X1424" s="13" t="str">
        <f>IF(RIGHT(H1424,2)&lt;&gt;"00",H1424,"")</f>
        <v>4844.20</v>
      </c>
      <c r="Y1424" s="26">
        <f ca="1">NETWORKDAYS(P1424,$Y$1)</f>
        <v>4</v>
      </c>
      <c r="Z1424" s="34">
        <v>1</v>
      </c>
      <c r="AA1424" s="25" t="str">
        <f t="shared" ca="1" si="127"/>
        <v>A VENCER</v>
      </c>
      <c r="AB1424" s="25" t="str">
        <f t="shared" si="128"/>
        <v>TAAe+</v>
      </c>
      <c r="AC1424" s="2" t="str">
        <f t="shared" si="131"/>
        <v xml:space="preserve"> CLEITON </v>
      </c>
      <c r="AD1424" s="26">
        <f t="shared" si="129"/>
        <v>8</v>
      </c>
      <c r="AE1424" s="26">
        <f t="shared" ca="1" si="130"/>
        <v>5.1365609953718376</v>
      </c>
    </row>
    <row r="1425" spans="1:31" hidden="1">
      <c r="A1425" s="209">
        <v>9506898</v>
      </c>
      <c r="B1425" s="209" t="s">
        <v>1153</v>
      </c>
      <c r="C1425" s="210" t="s">
        <v>4075</v>
      </c>
      <c r="D1425" s="214">
        <v>20234924000070</v>
      </c>
      <c r="E1425" s="214">
        <v>7417183024946</v>
      </c>
      <c r="F1425" s="209" t="s">
        <v>1313</v>
      </c>
      <c r="G1425" s="209" t="s">
        <v>53</v>
      </c>
      <c r="H1425" s="209" t="s">
        <v>1748</v>
      </c>
      <c r="I1425" s="209" t="s">
        <v>1749</v>
      </c>
      <c r="J1425" s="209" t="s">
        <v>79</v>
      </c>
      <c r="K1425" s="210" t="s">
        <v>1316</v>
      </c>
      <c r="L1425" s="210"/>
      <c r="M1425" s="209" t="s">
        <v>58</v>
      </c>
      <c r="N1425" s="209">
        <v>0</v>
      </c>
      <c r="O1425" s="209" t="s">
        <v>105</v>
      </c>
      <c r="P1425" s="211" t="s">
        <v>4671</v>
      </c>
      <c r="Q1425" s="209"/>
      <c r="R1425" s="209">
        <v>14</v>
      </c>
      <c r="S1425" s="209"/>
      <c r="T1425" s="209" t="s">
        <v>238</v>
      </c>
      <c r="U1425" s="211" t="s">
        <v>4671</v>
      </c>
      <c r="V1425" s="209" t="s">
        <v>41</v>
      </c>
      <c r="W1425" s="209" t="s">
        <v>49</v>
      </c>
      <c r="X1425" s="13" t="str">
        <f>IF(RIGHT(H1425,2)&lt;&gt;"00",H1425,"")</f>
        <v>4924.02</v>
      </c>
      <c r="Y1425" s="26">
        <f ca="1">NETWORKDAYS(P1425,$Y$1)</f>
        <v>4</v>
      </c>
      <c r="Z1425" s="34">
        <v>1</v>
      </c>
      <c r="AA1425" s="25" t="str">
        <f t="shared" ca="1" si="127"/>
        <v>A VENCER</v>
      </c>
      <c r="AB1425" s="25" t="str">
        <f t="shared" si="128"/>
        <v>TAAe+</v>
      </c>
      <c r="AC1425" s="2" t="str">
        <f t="shared" si="131"/>
        <v xml:space="preserve"> ROSEMERE </v>
      </c>
      <c r="AD1425" s="26">
        <f t="shared" si="129"/>
        <v>8</v>
      </c>
      <c r="AE1425" s="26">
        <f t="shared" ca="1" si="130"/>
        <v>5.2092346064819139</v>
      </c>
    </row>
    <row r="1426" spans="1:31" hidden="1">
      <c r="A1426" s="209">
        <v>9506863</v>
      </c>
      <c r="B1426" s="209" t="s">
        <v>1153</v>
      </c>
      <c r="C1426" s="210" t="s">
        <v>4076</v>
      </c>
      <c r="D1426" s="214">
        <v>20230067000025</v>
      </c>
      <c r="E1426" s="214">
        <v>7419141892111</v>
      </c>
      <c r="F1426" s="209" t="s">
        <v>128</v>
      </c>
      <c r="G1426" s="209" t="s">
        <v>53</v>
      </c>
      <c r="H1426" s="209" t="s">
        <v>2091</v>
      </c>
      <c r="I1426" s="209" t="s">
        <v>2092</v>
      </c>
      <c r="J1426" s="209" t="s">
        <v>164</v>
      </c>
      <c r="K1426" s="210" t="s">
        <v>129</v>
      </c>
      <c r="L1426" s="210"/>
      <c r="M1426" s="209" t="s">
        <v>58</v>
      </c>
      <c r="N1426" s="209">
        <v>0</v>
      </c>
      <c r="O1426" s="209" t="s">
        <v>105</v>
      </c>
      <c r="P1426" s="211" t="s">
        <v>4672</v>
      </c>
      <c r="Q1426" s="209"/>
      <c r="R1426" s="209">
        <v>14</v>
      </c>
      <c r="S1426" s="209"/>
      <c r="T1426" s="209" t="s">
        <v>238</v>
      </c>
      <c r="U1426" s="211" t="s">
        <v>4672</v>
      </c>
      <c r="V1426" s="209" t="s">
        <v>41</v>
      </c>
      <c r="W1426" s="209" t="s">
        <v>49</v>
      </c>
      <c r="X1426" s="13" t="str">
        <f>IF(RIGHT(H1426,2)&lt;&gt;"00",H1426,"")</f>
        <v>0067.91</v>
      </c>
      <c r="Y1426" s="26">
        <f ca="1">NETWORKDAYS(P1426,$Y$1)</f>
        <v>4</v>
      </c>
      <c r="Z1426" s="34">
        <v>1</v>
      </c>
      <c r="AA1426" s="25" t="str">
        <f t="shared" ca="1" si="127"/>
        <v>A VENCER</v>
      </c>
      <c r="AB1426" s="25" t="str">
        <f t="shared" si="128"/>
        <v>TAAe+</v>
      </c>
      <c r="AC1426" s="2" t="str">
        <f t="shared" si="131"/>
        <v xml:space="preserve"> ROSEMERE </v>
      </c>
      <c r="AD1426" s="26">
        <f t="shared" si="129"/>
        <v>8</v>
      </c>
      <c r="AE1426" s="26">
        <f t="shared" ca="1" si="130"/>
        <v>5.2068040509257116</v>
      </c>
    </row>
    <row r="1427" spans="1:31" hidden="1">
      <c r="A1427" s="209">
        <v>9506810</v>
      </c>
      <c r="B1427" s="209" t="s">
        <v>1153</v>
      </c>
      <c r="C1427" s="210" t="s">
        <v>4077</v>
      </c>
      <c r="D1427" s="214"/>
      <c r="E1427" s="214">
        <v>233000206001</v>
      </c>
      <c r="F1427" s="209" t="s">
        <v>29</v>
      </c>
      <c r="G1427" s="209" t="s">
        <v>53</v>
      </c>
      <c r="H1427" s="209" t="s">
        <v>424</v>
      </c>
      <c r="I1427" s="209" t="s">
        <v>425</v>
      </c>
      <c r="J1427" s="209" t="s">
        <v>261</v>
      </c>
      <c r="K1427" s="210" t="s">
        <v>34</v>
      </c>
      <c r="L1427" s="210"/>
      <c r="M1427" s="209" t="s">
        <v>35</v>
      </c>
      <c r="N1427" s="209">
        <v>42318949</v>
      </c>
      <c r="O1427" s="209" t="s">
        <v>36</v>
      </c>
      <c r="P1427" s="211" t="s">
        <v>4673</v>
      </c>
      <c r="Q1427" s="209"/>
      <c r="R1427" s="209" t="s">
        <v>38</v>
      </c>
      <c r="S1427" s="209"/>
      <c r="T1427" s="209" t="s">
        <v>74</v>
      </c>
      <c r="U1427" s="211" t="s">
        <v>4463</v>
      </c>
      <c r="V1427" s="209" t="s">
        <v>41</v>
      </c>
      <c r="W1427" s="209" t="s">
        <v>49</v>
      </c>
      <c r="X1427" s="13" t="str">
        <f>IF(RIGHT(H1427,2)&lt;&gt;"00",H1427,"")</f>
        <v/>
      </c>
      <c r="Y1427" s="26">
        <f ca="1">NETWORKDAYS(P1427,$Y$1)</f>
        <v>4</v>
      </c>
      <c r="Z1427" s="34">
        <v>1</v>
      </c>
      <c r="AA1427" s="25" t="str">
        <f t="shared" ca="1" si="127"/>
        <v>A VENCER</v>
      </c>
      <c r="AB1427" s="25" t="str">
        <f t="shared" si="128"/>
        <v>Dosa</v>
      </c>
      <c r="AC1427" s="2" t="str">
        <f t="shared" si="131"/>
        <v xml:space="preserve"> CRISTINA </v>
      </c>
      <c r="AD1427" s="26">
        <f t="shared" si="129"/>
        <v>5</v>
      </c>
      <c r="AE1427" s="26">
        <f t="shared" ca="1" si="130"/>
        <v>5.2053572916702251</v>
      </c>
    </row>
    <row r="1428" spans="1:31" hidden="1">
      <c r="A1428" s="209">
        <v>9506776</v>
      </c>
      <c r="B1428" s="209" t="s">
        <v>1153</v>
      </c>
      <c r="C1428" s="210" t="s">
        <v>4078</v>
      </c>
      <c r="D1428" s="214"/>
      <c r="E1428" s="214">
        <v>9406000206001</v>
      </c>
      <c r="F1428" s="209" t="s">
        <v>29</v>
      </c>
      <c r="G1428" s="209" t="s">
        <v>53</v>
      </c>
      <c r="H1428" s="209" t="s">
        <v>114</v>
      </c>
      <c r="I1428" s="209" t="s">
        <v>115</v>
      </c>
      <c r="J1428" s="209" t="s">
        <v>46</v>
      </c>
      <c r="K1428" s="210" t="s">
        <v>34</v>
      </c>
      <c r="L1428" s="210"/>
      <c r="M1428" s="209" t="s">
        <v>35</v>
      </c>
      <c r="N1428" s="209">
        <v>42318949</v>
      </c>
      <c r="O1428" s="209" t="s">
        <v>36</v>
      </c>
      <c r="P1428" s="211" t="s">
        <v>4674</v>
      </c>
      <c r="Q1428" s="209"/>
      <c r="R1428" s="209" t="s">
        <v>38</v>
      </c>
      <c r="S1428" s="209"/>
      <c r="T1428" s="209" t="s">
        <v>74</v>
      </c>
      <c r="U1428" s="211" t="s">
        <v>4626</v>
      </c>
      <c r="V1428" s="209" t="s">
        <v>41</v>
      </c>
      <c r="W1428" s="209" t="s">
        <v>49</v>
      </c>
      <c r="X1428" s="13" t="str">
        <f>IF(RIGHT(H1428,2)&lt;&gt;"00",H1428,"")</f>
        <v/>
      </c>
      <c r="Y1428" s="26">
        <f ca="1">NETWORKDAYS(P1428,$Y$1)</f>
        <v>4</v>
      </c>
      <c r="Z1428" s="34">
        <v>1</v>
      </c>
      <c r="AA1428" s="25" t="str">
        <f t="shared" ca="1" si="127"/>
        <v>A VENCER</v>
      </c>
      <c r="AB1428" s="25" t="str">
        <f t="shared" si="128"/>
        <v>Dosa</v>
      </c>
      <c r="AC1428" s="2" t="str">
        <f t="shared" si="131"/>
        <v xml:space="preserve"> CLEITON </v>
      </c>
      <c r="AD1428" s="26">
        <f t="shared" si="129"/>
        <v>5</v>
      </c>
      <c r="AE1428" s="26">
        <f t="shared" ca="1" si="130"/>
        <v>5.2113989583303919</v>
      </c>
    </row>
    <row r="1429" spans="1:31" hidden="1">
      <c r="A1429" s="209">
        <v>9506463</v>
      </c>
      <c r="B1429" s="209" t="s">
        <v>1153</v>
      </c>
      <c r="C1429" s="210" t="s">
        <v>4083</v>
      </c>
      <c r="D1429" s="214">
        <v>20234923000078</v>
      </c>
      <c r="E1429" s="214">
        <v>7417183020098</v>
      </c>
      <c r="F1429" s="209" t="s">
        <v>1313</v>
      </c>
      <c r="G1429" s="209" t="s">
        <v>53</v>
      </c>
      <c r="H1429" s="209" t="s">
        <v>1966</v>
      </c>
      <c r="I1429" s="209" t="s">
        <v>1967</v>
      </c>
      <c r="J1429" s="209" t="s">
        <v>46</v>
      </c>
      <c r="K1429" s="210" t="s">
        <v>1316</v>
      </c>
      <c r="L1429" s="210"/>
      <c r="M1429" s="209" t="s">
        <v>58</v>
      </c>
      <c r="N1429" s="209">
        <v>0</v>
      </c>
      <c r="O1429" s="209" t="s">
        <v>36</v>
      </c>
      <c r="P1429" s="211" t="s">
        <v>4675</v>
      </c>
      <c r="Q1429" s="209"/>
      <c r="R1429" s="209">
        <v>13</v>
      </c>
      <c r="S1429" s="209"/>
      <c r="T1429" s="209" t="s">
        <v>238</v>
      </c>
      <c r="U1429" s="211" t="s">
        <v>4675</v>
      </c>
      <c r="V1429" s="209" t="s">
        <v>41</v>
      </c>
      <c r="W1429" s="209" t="s">
        <v>49</v>
      </c>
      <c r="X1429" s="13" t="str">
        <f>IF(RIGHT(H1429,2)&lt;&gt;"00",H1429,"")</f>
        <v>4923.01</v>
      </c>
      <c r="Y1429" s="26">
        <f ca="1">NETWORKDAYS(P1429,$Y$1)</f>
        <v>4</v>
      </c>
      <c r="Z1429" s="34">
        <v>1</v>
      </c>
      <c r="AA1429" s="25" t="str">
        <f t="shared" ca="1" si="127"/>
        <v>A VENCER</v>
      </c>
      <c r="AB1429" s="25" t="str">
        <f t="shared" si="128"/>
        <v>TAAe+</v>
      </c>
      <c r="AC1429" s="2" t="str">
        <f t="shared" si="131"/>
        <v xml:space="preserve"> CLEITON </v>
      </c>
      <c r="AD1429" s="26">
        <f t="shared" si="129"/>
        <v>8</v>
      </c>
      <c r="AE1429" s="26">
        <f t="shared" ca="1" si="130"/>
        <v>5.2775447916646954</v>
      </c>
    </row>
    <row r="1430" spans="1:31" hidden="1">
      <c r="A1430" s="209">
        <v>9506461</v>
      </c>
      <c r="B1430" s="209" t="s">
        <v>1153</v>
      </c>
      <c r="C1430" s="210" t="s">
        <v>4084</v>
      </c>
      <c r="D1430" s="214"/>
      <c r="E1430" s="214">
        <v>673000206001</v>
      </c>
      <c r="F1430" s="209" t="s">
        <v>29</v>
      </c>
      <c r="G1430" s="209" t="s">
        <v>53</v>
      </c>
      <c r="H1430" s="209" t="s">
        <v>581</v>
      </c>
      <c r="I1430" s="209" t="s">
        <v>582</v>
      </c>
      <c r="J1430" s="209" t="s">
        <v>110</v>
      </c>
      <c r="K1430" s="210" t="s">
        <v>34</v>
      </c>
      <c r="L1430" s="210"/>
      <c r="M1430" s="209" t="s">
        <v>35</v>
      </c>
      <c r="N1430" s="209">
        <v>42318949</v>
      </c>
      <c r="O1430" s="209" t="s">
        <v>36</v>
      </c>
      <c r="P1430" s="211" t="s">
        <v>4676</v>
      </c>
      <c r="Q1430" s="209"/>
      <c r="R1430" s="209" t="s">
        <v>38</v>
      </c>
      <c r="S1430" s="209"/>
      <c r="T1430" s="209" t="s">
        <v>74</v>
      </c>
      <c r="U1430" s="211" t="s">
        <v>4635</v>
      </c>
      <c r="V1430" s="209" t="s">
        <v>41</v>
      </c>
      <c r="W1430" s="209" t="s">
        <v>49</v>
      </c>
      <c r="X1430" s="13" t="str">
        <f>IF(RIGHT(H1430,2)&lt;&gt;"00",H1430,"")</f>
        <v/>
      </c>
      <c r="Y1430" s="26">
        <f ca="1">NETWORKDAYS(P1430,$Y$1)</f>
        <v>4</v>
      </c>
      <c r="Z1430" s="34">
        <v>1</v>
      </c>
      <c r="AA1430" s="25" t="str">
        <f t="shared" ca="1" si="127"/>
        <v>A VENCER</v>
      </c>
      <c r="AB1430" s="25" t="str">
        <f t="shared" si="128"/>
        <v>Dosa</v>
      </c>
      <c r="AC1430" s="2" t="str">
        <f t="shared" si="131"/>
        <v xml:space="preserve"> CRISTINA </v>
      </c>
      <c r="AD1430" s="26">
        <f t="shared" si="129"/>
        <v>5</v>
      </c>
      <c r="AE1430" s="26">
        <f t="shared" ca="1" si="130"/>
        <v>5.2629151620349148</v>
      </c>
    </row>
    <row r="1431" spans="1:31" hidden="1">
      <c r="A1431" s="209">
        <v>9506454</v>
      </c>
      <c r="B1431" s="209" t="s">
        <v>1153</v>
      </c>
      <c r="C1431" s="210" t="s">
        <v>4085</v>
      </c>
      <c r="D1431" s="214"/>
      <c r="E1431" s="214">
        <v>3108000206001</v>
      </c>
      <c r="F1431" s="209" t="s">
        <v>29</v>
      </c>
      <c r="G1431" s="209" t="s">
        <v>53</v>
      </c>
      <c r="H1431" s="209" t="s">
        <v>325</v>
      </c>
      <c r="I1431" s="209" t="s">
        <v>326</v>
      </c>
      <c r="J1431" s="209" t="s">
        <v>46</v>
      </c>
      <c r="K1431" s="210" t="s">
        <v>34</v>
      </c>
      <c r="L1431" s="210"/>
      <c r="M1431" s="209" t="s">
        <v>35</v>
      </c>
      <c r="N1431" s="209">
        <v>42318949</v>
      </c>
      <c r="O1431" s="209" t="s">
        <v>36</v>
      </c>
      <c r="P1431" s="211" t="s">
        <v>4677</v>
      </c>
      <c r="Q1431" s="209"/>
      <c r="R1431" s="209" t="s">
        <v>38</v>
      </c>
      <c r="S1431" s="209"/>
      <c r="T1431" s="209" t="s">
        <v>74</v>
      </c>
      <c r="U1431" s="211" t="s">
        <v>4458</v>
      </c>
      <c r="V1431" s="209" t="s">
        <v>41</v>
      </c>
      <c r="W1431" s="209" t="s">
        <v>49</v>
      </c>
      <c r="X1431" s="13" t="str">
        <f>IF(RIGHT(H1431,2)&lt;&gt;"00",H1431,"")</f>
        <v/>
      </c>
      <c r="Y1431" s="26">
        <f ca="1">NETWORKDAYS(P1431,$Y$1)</f>
        <v>4</v>
      </c>
      <c r="Z1431" s="34">
        <v>1</v>
      </c>
      <c r="AA1431" s="25" t="str">
        <f t="shared" ca="1" si="127"/>
        <v>A VENCER</v>
      </c>
      <c r="AB1431" s="25" t="str">
        <f t="shared" si="128"/>
        <v>Dosa</v>
      </c>
      <c r="AC1431" s="2" t="str">
        <f t="shared" si="131"/>
        <v xml:space="preserve"> CLEITON </v>
      </c>
      <c r="AD1431" s="26">
        <f t="shared" si="129"/>
        <v>5</v>
      </c>
      <c r="AE1431" s="26">
        <f t="shared" ca="1" si="130"/>
        <v>5.2630656249966705</v>
      </c>
    </row>
    <row r="1432" spans="1:31" hidden="1">
      <c r="A1432" s="209">
        <v>9506359</v>
      </c>
      <c r="B1432" s="209" t="s">
        <v>1153</v>
      </c>
      <c r="C1432" s="210" t="s">
        <v>2806</v>
      </c>
      <c r="D1432" s="214">
        <v>20234844000556</v>
      </c>
      <c r="E1432" s="214">
        <v>7417183020641</v>
      </c>
      <c r="F1432" s="209" t="s">
        <v>1313</v>
      </c>
      <c r="G1432" s="209" t="s">
        <v>53</v>
      </c>
      <c r="H1432" s="209" t="s">
        <v>2444</v>
      </c>
      <c r="I1432" s="209" t="s">
        <v>2445</v>
      </c>
      <c r="J1432" s="209" t="s">
        <v>46</v>
      </c>
      <c r="K1432" s="210" t="s">
        <v>1316</v>
      </c>
      <c r="L1432" s="210"/>
      <c r="M1432" s="209" t="s">
        <v>58</v>
      </c>
      <c r="N1432" s="209">
        <v>0</v>
      </c>
      <c r="O1432" s="209" t="s">
        <v>36</v>
      </c>
      <c r="P1432" s="211" t="s">
        <v>4678</v>
      </c>
      <c r="Q1432" s="209"/>
      <c r="R1432" s="209">
        <v>13</v>
      </c>
      <c r="S1432" s="209"/>
      <c r="T1432" s="209" t="s">
        <v>238</v>
      </c>
      <c r="U1432" s="211" t="s">
        <v>4679</v>
      </c>
      <c r="V1432" s="209" t="s">
        <v>41</v>
      </c>
      <c r="W1432" s="209" t="s">
        <v>49</v>
      </c>
      <c r="X1432" s="13" t="str">
        <f>IF(RIGHT(H1432,2)&lt;&gt;"00",H1432,"")</f>
        <v>4844.80</v>
      </c>
      <c r="Y1432" s="26">
        <f ca="1">NETWORKDAYS(P1432,$Y$1)</f>
        <v>4</v>
      </c>
      <c r="Z1432" s="34">
        <v>1</v>
      </c>
      <c r="AA1432" s="25" t="str">
        <f t="shared" ca="1" si="127"/>
        <v>A VENCER</v>
      </c>
      <c r="AB1432" s="25" t="str">
        <f t="shared" si="128"/>
        <v>TAAe+</v>
      </c>
      <c r="AC1432" s="2" t="str">
        <f t="shared" si="131"/>
        <v xml:space="preserve"> CLEITON </v>
      </c>
      <c r="AD1432" s="26">
        <f t="shared" si="129"/>
        <v>8</v>
      </c>
      <c r="AE1432" s="26">
        <f t="shared" ca="1" si="130"/>
        <v>5.2946281249969616</v>
      </c>
    </row>
    <row r="1433" spans="1:31" hidden="1">
      <c r="A1433" s="209">
        <v>9506334</v>
      </c>
      <c r="B1433" s="209" t="s">
        <v>1153</v>
      </c>
      <c r="C1433" s="210" t="s">
        <v>4088</v>
      </c>
      <c r="D1433" s="214">
        <v>20230834000008</v>
      </c>
      <c r="E1433" s="214">
        <v>7417202020458</v>
      </c>
      <c r="F1433" s="209" t="s">
        <v>1213</v>
      </c>
      <c r="G1433" s="209" t="s">
        <v>53</v>
      </c>
      <c r="H1433" s="209" t="s">
        <v>4089</v>
      </c>
      <c r="I1433" s="209" t="s">
        <v>4090</v>
      </c>
      <c r="J1433" s="209" t="s">
        <v>261</v>
      </c>
      <c r="K1433" s="210" t="s">
        <v>1214</v>
      </c>
      <c r="L1433" s="210"/>
      <c r="M1433" s="209" t="s">
        <v>58</v>
      </c>
      <c r="N1433" s="209">
        <v>0</v>
      </c>
      <c r="O1433" s="209" t="s">
        <v>105</v>
      </c>
      <c r="P1433" s="211" t="s">
        <v>4680</v>
      </c>
      <c r="Q1433" s="209"/>
      <c r="R1433" s="209">
        <v>14</v>
      </c>
      <c r="S1433" s="209"/>
      <c r="T1433" s="209" t="s">
        <v>238</v>
      </c>
      <c r="U1433" s="211" t="s">
        <v>4679</v>
      </c>
      <c r="V1433" s="209" t="s">
        <v>41</v>
      </c>
      <c r="W1433" s="209" t="s">
        <v>49</v>
      </c>
      <c r="X1433" s="13" t="str">
        <f>IF(RIGHT(H1433,2)&lt;&gt;"00",H1433,"")</f>
        <v>0834.91</v>
      </c>
      <c r="Y1433" s="26">
        <f ca="1">NETWORKDAYS(P1433,$Y$1)</f>
        <v>4</v>
      </c>
      <c r="Z1433" s="34">
        <v>1</v>
      </c>
      <c r="AA1433" s="25" t="str">
        <f t="shared" ca="1" si="127"/>
        <v>A VENCER</v>
      </c>
      <c r="AB1433" s="25" t="str">
        <f t="shared" si="128"/>
        <v>TAAe+</v>
      </c>
      <c r="AC1433" s="2" t="str">
        <f t="shared" si="131"/>
        <v xml:space="preserve"> CRISTINA </v>
      </c>
      <c r="AD1433" s="26">
        <f t="shared" si="129"/>
        <v>8</v>
      </c>
      <c r="AE1433" s="26">
        <f t="shared" ca="1" si="130"/>
        <v>5.2971165509225102</v>
      </c>
    </row>
    <row r="1434" spans="1:31" hidden="1">
      <c r="A1434" s="209">
        <v>9506279</v>
      </c>
      <c r="B1434" s="209" t="s">
        <v>1153</v>
      </c>
      <c r="C1434" s="210" t="s">
        <v>4091</v>
      </c>
      <c r="D1434" s="214">
        <v>20231120000006</v>
      </c>
      <c r="E1434" s="214">
        <v>7419143150434</v>
      </c>
      <c r="F1434" s="209" t="s">
        <v>1222</v>
      </c>
      <c r="G1434" s="209" t="s">
        <v>53</v>
      </c>
      <c r="H1434" s="209" t="s">
        <v>648</v>
      </c>
      <c r="I1434" s="209" t="s">
        <v>649</v>
      </c>
      <c r="J1434" s="209" t="s">
        <v>164</v>
      </c>
      <c r="K1434" s="210" t="s">
        <v>1223</v>
      </c>
      <c r="L1434" s="210"/>
      <c r="M1434" s="209" t="s">
        <v>58</v>
      </c>
      <c r="N1434" s="209">
        <v>0</v>
      </c>
      <c r="O1434" s="209" t="s">
        <v>105</v>
      </c>
      <c r="P1434" s="211" t="s">
        <v>4681</v>
      </c>
      <c r="Q1434" s="209"/>
      <c r="R1434" s="209">
        <v>14</v>
      </c>
      <c r="S1434" s="209"/>
      <c r="T1434" s="209" t="s">
        <v>238</v>
      </c>
      <c r="U1434" s="211" t="s">
        <v>4679</v>
      </c>
      <c r="V1434" s="209" t="s">
        <v>41</v>
      </c>
      <c r="W1434" s="209" t="s">
        <v>49</v>
      </c>
      <c r="X1434" s="13" t="str">
        <f>IF(RIGHT(H1434,2)&lt;&gt;"00",H1434,"")</f>
        <v>1120.01</v>
      </c>
      <c r="Y1434" s="26">
        <f ca="1">NETWORKDAYS(P1434,$Y$1)</f>
        <v>4</v>
      </c>
      <c r="Z1434" s="34">
        <v>1</v>
      </c>
      <c r="AA1434" s="25" t="str">
        <f t="shared" ca="1" si="127"/>
        <v>A VENCER</v>
      </c>
      <c r="AB1434" s="25" t="str">
        <f t="shared" si="128"/>
        <v>TAAe+</v>
      </c>
      <c r="AC1434" s="2" t="str">
        <f t="shared" si="131"/>
        <v xml:space="preserve"> ROSEMERE </v>
      </c>
      <c r="AD1434" s="26">
        <f t="shared" si="129"/>
        <v>8</v>
      </c>
      <c r="AE1434" s="26">
        <f t="shared" ca="1" si="130"/>
        <v>5.2977299768535886</v>
      </c>
    </row>
    <row r="1435" spans="1:31" hidden="1">
      <c r="A1435" s="209">
        <v>9506277</v>
      </c>
      <c r="B1435" s="209" t="s">
        <v>1153</v>
      </c>
      <c r="C1435" s="210" t="s">
        <v>4092</v>
      </c>
      <c r="D1435" s="214">
        <v>20230834000007</v>
      </c>
      <c r="E1435" s="214">
        <v>7417202020388</v>
      </c>
      <c r="F1435" s="209" t="s">
        <v>1213</v>
      </c>
      <c r="G1435" s="209" t="s">
        <v>53</v>
      </c>
      <c r="H1435" s="209" t="s">
        <v>4089</v>
      </c>
      <c r="I1435" s="209" t="s">
        <v>4090</v>
      </c>
      <c r="J1435" s="209" t="s">
        <v>261</v>
      </c>
      <c r="K1435" s="210" t="s">
        <v>1214</v>
      </c>
      <c r="L1435" s="210"/>
      <c r="M1435" s="209" t="s">
        <v>58</v>
      </c>
      <c r="N1435" s="209">
        <v>0</v>
      </c>
      <c r="O1435" s="209" t="s">
        <v>105</v>
      </c>
      <c r="P1435" s="211" t="s">
        <v>4682</v>
      </c>
      <c r="Q1435" s="209"/>
      <c r="R1435" s="209">
        <v>14</v>
      </c>
      <c r="S1435" s="209"/>
      <c r="T1435" s="209" t="s">
        <v>238</v>
      </c>
      <c r="U1435" s="211" t="s">
        <v>4679</v>
      </c>
      <c r="V1435" s="209" t="s">
        <v>41</v>
      </c>
      <c r="W1435" s="209" t="s">
        <v>49</v>
      </c>
      <c r="X1435" s="13" t="str">
        <f>IF(RIGHT(H1435,2)&lt;&gt;"00",H1435,"")</f>
        <v>0834.91</v>
      </c>
      <c r="Y1435" s="26">
        <f ca="1">NETWORKDAYS(P1435,$Y$1)</f>
        <v>4</v>
      </c>
      <c r="Z1435" s="34">
        <v>1</v>
      </c>
      <c r="AA1435" s="25" t="str">
        <f t="shared" ca="1" si="127"/>
        <v>A VENCER</v>
      </c>
      <c r="AB1435" s="25" t="str">
        <f t="shared" si="128"/>
        <v>TAAe+</v>
      </c>
      <c r="AC1435" s="2" t="str">
        <f t="shared" si="131"/>
        <v xml:space="preserve"> CRISTINA </v>
      </c>
      <c r="AD1435" s="26">
        <f t="shared" si="129"/>
        <v>8</v>
      </c>
      <c r="AE1435" s="26">
        <f t="shared" ca="1" si="130"/>
        <v>5.2982855324080447</v>
      </c>
    </row>
    <row r="1436" spans="1:31" hidden="1">
      <c r="A1436" s="209">
        <v>9506191</v>
      </c>
      <c r="B1436" s="209" t="s">
        <v>1153</v>
      </c>
      <c r="C1436" s="210" t="s">
        <v>4095</v>
      </c>
      <c r="D1436" s="214"/>
      <c r="E1436" s="214">
        <v>1739000203000</v>
      </c>
      <c r="F1436" s="209" t="s">
        <v>454</v>
      </c>
      <c r="G1436" s="209" t="s">
        <v>53</v>
      </c>
      <c r="H1436" s="209" t="s">
        <v>162</v>
      </c>
      <c r="I1436" s="209" t="s">
        <v>163</v>
      </c>
      <c r="J1436" s="209" t="s">
        <v>164</v>
      </c>
      <c r="K1436" s="210" t="s">
        <v>457</v>
      </c>
      <c r="L1436" s="210"/>
      <c r="M1436" s="209" t="s">
        <v>58</v>
      </c>
      <c r="N1436" s="209">
        <v>0</v>
      </c>
      <c r="O1436" s="209" t="s">
        <v>36</v>
      </c>
      <c r="P1436" s="211" t="s">
        <v>4683</v>
      </c>
      <c r="Q1436" s="209"/>
      <c r="R1436" s="209">
        <v>1</v>
      </c>
      <c r="S1436" s="209"/>
      <c r="T1436" s="209" t="s">
        <v>157</v>
      </c>
      <c r="U1436" s="211" t="s">
        <v>4684</v>
      </c>
      <c r="V1436" s="209" t="s">
        <v>41</v>
      </c>
      <c r="W1436" s="209" t="s">
        <v>49</v>
      </c>
      <c r="X1436" s="13" t="str">
        <f>IF(RIGHT(H1436,2)&lt;&gt;"00",H1436,"")</f>
        <v/>
      </c>
      <c r="Y1436" s="26">
        <f ca="1">NETWORKDAYS(P1436,$Y$1)</f>
        <v>4</v>
      </c>
      <c r="Z1436" s="34">
        <v>1</v>
      </c>
      <c r="AA1436" s="25" t="str">
        <f t="shared" ca="1" si="127"/>
        <v>A VENCER</v>
      </c>
      <c r="AB1436" s="25" t="str">
        <f t="shared" si="128"/>
        <v>C-14</v>
      </c>
      <c r="AC1436" s="2" t="str">
        <f t="shared" si="131"/>
        <v xml:space="preserve"> ROSEMERE </v>
      </c>
      <c r="AD1436" s="26">
        <f t="shared" si="129"/>
        <v>5</v>
      </c>
      <c r="AE1436" s="26">
        <f t="shared" ca="1" si="130"/>
        <v>5.3051373842608882</v>
      </c>
    </row>
    <row r="1437" spans="1:31" hidden="1">
      <c r="A1437" s="209">
        <v>9506073</v>
      </c>
      <c r="B1437" s="209" t="s">
        <v>1153</v>
      </c>
      <c r="C1437" s="210" t="s">
        <v>4207</v>
      </c>
      <c r="D1437" s="214"/>
      <c r="E1437" s="214">
        <v>9705000206001</v>
      </c>
      <c r="F1437" s="209" t="s">
        <v>29</v>
      </c>
      <c r="G1437" s="209" t="s">
        <v>53</v>
      </c>
      <c r="H1437" s="209" t="s">
        <v>204</v>
      </c>
      <c r="I1437" s="209" t="s">
        <v>205</v>
      </c>
      <c r="J1437" s="209" t="s">
        <v>90</v>
      </c>
      <c r="K1437" s="210" t="s">
        <v>34</v>
      </c>
      <c r="L1437" s="210"/>
      <c r="M1437" s="209" t="s">
        <v>35</v>
      </c>
      <c r="N1437" s="209">
        <v>42318949</v>
      </c>
      <c r="O1437" s="209" t="s">
        <v>36</v>
      </c>
      <c r="P1437" s="211" t="s">
        <v>4685</v>
      </c>
      <c r="Q1437" s="209"/>
      <c r="R1437" s="209" t="s">
        <v>38</v>
      </c>
      <c r="S1437" s="209"/>
      <c r="T1437" s="209" t="s">
        <v>74</v>
      </c>
      <c r="U1437" s="211" t="s">
        <v>4149</v>
      </c>
      <c r="V1437" s="209" t="s">
        <v>41</v>
      </c>
      <c r="W1437" s="209" t="s">
        <v>49</v>
      </c>
      <c r="X1437" s="13" t="str">
        <f>IF(RIGHT(H1437,2)&lt;&gt;"00",H1437,"")</f>
        <v/>
      </c>
      <c r="Y1437" s="26">
        <f ca="1">NETWORKDAYS(P1437,$Y$1)</f>
        <v>4</v>
      </c>
      <c r="Z1437" s="34">
        <v>1</v>
      </c>
      <c r="AA1437" s="25" t="str">
        <f t="shared" ca="1" si="127"/>
        <v>A VENCER</v>
      </c>
      <c r="AB1437" s="25" t="str">
        <f t="shared" si="128"/>
        <v>Dosa</v>
      </c>
      <c r="AC1437" s="2" t="str">
        <f t="shared" si="131"/>
        <v xml:space="preserve"> RINALDO </v>
      </c>
      <c r="AD1437" s="26">
        <f t="shared" si="129"/>
        <v>5</v>
      </c>
      <c r="AE1437" s="26">
        <f t="shared" ca="1" si="130"/>
        <v>5.3358781249989988</v>
      </c>
    </row>
    <row r="1438" spans="1:31" hidden="1">
      <c r="A1438" s="209">
        <v>9506067</v>
      </c>
      <c r="B1438" s="209" t="s">
        <v>1153</v>
      </c>
      <c r="C1438" s="210" t="s">
        <v>4099</v>
      </c>
      <c r="D1438" s="214"/>
      <c r="E1438" s="214">
        <v>2529000206001</v>
      </c>
      <c r="F1438" s="209" t="s">
        <v>29</v>
      </c>
      <c r="G1438" s="209" t="s">
        <v>53</v>
      </c>
      <c r="H1438" s="209" t="s">
        <v>355</v>
      </c>
      <c r="I1438" s="209" t="s">
        <v>356</v>
      </c>
      <c r="J1438" s="209" t="s">
        <v>56</v>
      </c>
      <c r="K1438" s="210" t="s">
        <v>34</v>
      </c>
      <c r="L1438" s="210"/>
      <c r="M1438" s="209" t="s">
        <v>35</v>
      </c>
      <c r="N1438" s="209">
        <v>42318949</v>
      </c>
      <c r="O1438" s="209" t="s">
        <v>36</v>
      </c>
      <c r="P1438" s="211" t="s">
        <v>4686</v>
      </c>
      <c r="Q1438" s="209"/>
      <c r="R1438" s="209" t="s">
        <v>38</v>
      </c>
      <c r="S1438" s="209"/>
      <c r="T1438" s="209" t="s">
        <v>74</v>
      </c>
      <c r="U1438" s="211" t="s">
        <v>4635</v>
      </c>
      <c r="V1438" s="209" t="s">
        <v>41</v>
      </c>
      <c r="W1438" s="209" t="s">
        <v>49</v>
      </c>
      <c r="X1438" s="13" t="str">
        <f>IF(RIGHT(H1438,2)&lt;&gt;"00",H1438,"")</f>
        <v/>
      </c>
      <c r="Y1438" s="26">
        <f ca="1">NETWORKDAYS(P1438,$Y$1)</f>
        <v>4</v>
      </c>
      <c r="Z1438" s="34">
        <v>1</v>
      </c>
      <c r="AA1438" s="25" t="str">
        <f t="shared" ca="1" si="127"/>
        <v>A VENCER</v>
      </c>
      <c r="AB1438" s="25" t="str">
        <f t="shared" si="128"/>
        <v>Dosa</v>
      </c>
      <c r="AC1438" s="2" t="str">
        <f t="shared" si="131"/>
        <v xml:space="preserve"> CRISTINA </v>
      </c>
      <c r="AD1438" s="26">
        <f t="shared" si="129"/>
        <v>5</v>
      </c>
      <c r="AE1438" s="26">
        <f t="shared" ca="1" si="130"/>
        <v>5.3362369212991325</v>
      </c>
    </row>
    <row r="1439" spans="1:31" hidden="1">
      <c r="A1439" s="209">
        <v>9519964</v>
      </c>
      <c r="B1439" s="209" t="s">
        <v>1153</v>
      </c>
      <c r="C1439" s="210" t="s">
        <v>4208</v>
      </c>
      <c r="D1439" s="214">
        <v>20234012000006</v>
      </c>
      <c r="E1439" s="214">
        <v>7417183023647</v>
      </c>
      <c r="F1439" s="209" t="s">
        <v>1313</v>
      </c>
      <c r="G1439" s="209" t="s">
        <v>53</v>
      </c>
      <c r="H1439" s="209" t="s">
        <v>3528</v>
      </c>
      <c r="I1439" s="209" t="s">
        <v>3529</v>
      </c>
      <c r="J1439" s="209" t="s">
        <v>261</v>
      </c>
      <c r="K1439" s="210" t="s">
        <v>1316</v>
      </c>
      <c r="L1439" s="210"/>
      <c r="M1439" s="209" t="s">
        <v>58</v>
      </c>
      <c r="N1439" s="209">
        <v>0</v>
      </c>
      <c r="O1439" s="209" t="s">
        <v>105</v>
      </c>
      <c r="P1439" s="211" t="s">
        <v>4687</v>
      </c>
      <c r="Q1439" s="209"/>
      <c r="R1439" s="209">
        <v>14</v>
      </c>
      <c r="S1439" s="209"/>
      <c r="T1439" s="209" t="s">
        <v>238</v>
      </c>
      <c r="U1439" s="213">
        <v>44985.395833333336</v>
      </c>
      <c r="V1439" s="209" t="s">
        <v>41</v>
      </c>
      <c r="W1439" s="209" t="s">
        <v>49</v>
      </c>
      <c r="X1439" s="13" t="str">
        <f>IF(RIGHT(H1439,2)&lt;&gt;"00",H1439,"")</f>
        <v>4012.91</v>
      </c>
      <c r="Y1439" s="26">
        <f ca="1">NETWORKDAYS(P1439,$Y$1)</f>
        <v>3</v>
      </c>
      <c r="Z1439" s="34">
        <v>1</v>
      </c>
      <c r="AA1439" s="25" t="str">
        <f t="shared" ca="1" si="127"/>
        <v>A VENCER</v>
      </c>
      <c r="AB1439" s="25" t="str">
        <f t="shared" si="128"/>
        <v>TAAe+</v>
      </c>
      <c r="AC1439" s="2" t="str">
        <f t="shared" si="131"/>
        <v xml:space="preserve"> CRISTINA </v>
      </c>
      <c r="AD1439" s="26">
        <f t="shared" si="129"/>
        <v>8</v>
      </c>
      <c r="AE1439" s="26">
        <f t="shared" ca="1" si="130"/>
        <v>1.9441420138900867</v>
      </c>
    </row>
    <row r="1440" spans="1:31" hidden="1">
      <c r="A1440" s="209">
        <v>9519897</v>
      </c>
      <c r="B1440" s="209" t="s">
        <v>1153</v>
      </c>
      <c r="C1440" s="210" t="s">
        <v>4209</v>
      </c>
      <c r="D1440" s="214">
        <v>20234844000587</v>
      </c>
      <c r="E1440" s="214">
        <v>7417161484714</v>
      </c>
      <c r="F1440" s="209" t="s">
        <v>1217</v>
      </c>
      <c r="G1440" s="209" t="s">
        <v>53</v>
      </c>
      <c r="H1440" s="209" t="s">
        <v>2422</v>
      </c>
      <c r="I1440" s="209" t="s">
        <v>2423</v>
      </c>
      <c r="J1440" s="209" t="s">
        <v>46</v>
      </c>
      <c r="K1440" s="210" t="s">
        <v>1218</v>
      </c>
      <c r="L1440" s="210"/>
      <c r="M1440" s="209" t="s">
        <v>58</v>
      </c>
      <c r="N1440" s="209">
        <v>0</v>
      </c>
      <c r="O1440" s="209" t="s">
        <v>105</v>
      </c>
      <c r="P1440" s="211" t="s">
        <v>4688</v>
      </c>
      <c r="Q1440" s="209"/>
      <c r="R1440" s="209">
        <v>13</v>
      </c>
      <c r="S1440" s="209"/>
      <c r="T1440" s="209" t="s">
        <v>238</v>
      </c>
      <c r="U1440" s="211" t="s">
        <v>4689</v>
      </c>
      <c r="V1440" s="209" t="s">
        <v>41</v>
      </c>
      <c r="W1440" s="209" t="s">
        <v>49</v>
      </c>
      <c r="X1440" s="13" t="str">
        <f>IF(RIGHT(H1440,2)&lt;&gt;"00",H1440,"")</f>
        <v>4844.05</v>
      </c>
      <c r="Y1440" s="26">
        <f ca="1">NETWORKDAYS(P1440,$Y$1)</f>
        <v>3</v>
      </c>
      <c r="Z1440" s="34">
        <v>1</v>
      </c>
      <c r="AA1440" s="25" t="str">
        <f t="shared" ca="1" si="127"/>
        <v>A VENCER</v>
      </c>
      <c r="AB1440" s="25" t="str">
        <f t="shared" si="128"/>
        <v>TAAe+</v>
      </c>
      <c r="AC1440" s="2" t="str">
        <f t="shared" si="131"/>
        <v xml:space="preserve"> CLEITON </v>
      </c>
      <c r="AD1440" s="26">
        <f t="shared" si="129"/>
        <v>8</v>
      </c>
      <c r="AE1440" s="26">
        <f t="shared" ca="1" si="130"/>
        <v>1.9669892361125676</v>
      </c>
    </row>
    <row r="1441" spans="1:31" hidden="1">
      <c r="A1441" s="209">
        <v>9519836</v>
      </c>
      <c r="B1441" s="209" t="s">
        <v>81</v>
      </c>
      <c r="C1441" s="210" t="s">
        <v>4210</v>
      </c>
      <c r="D1441" s="214"/>
      <c r="E1441" s="214">
        <v>9705000206001</v>
      </c>
      <c r="F1441" s="209" t="s">
        <v>29</v>
      </c>
      <c r="G1441" s="209" t="s">
        <v>53</v>
      </c>
      <c r="H1441" s="209" t="s">
        <v>204</v>
      </c>
      <c r="I1441" s="209" t="s">
        <v>205</v>
      </c>
      <c r="J1441" s="209" t="s">
        <v>90</v>
      </c>
      <c r="K1441" s="210" t="s">
        <v>34</v>
      </c>
      <c r="L1441" s="210"/>
      <c r="M1441" s="209" t="s">
        <v>35</v>
      </c>
      <c r="N1441" s="209">
        <v>42318949</v>
      </c>
      <c r="O1441" s="209" t="s">
        <v>105</v>
      </c>
      <c r="P1441" s="211" t="s">
        <v>4690</v>
      </c>
      <c r="Q1441" s="209"/>
      <c r="R1441" s="209" t="s">
        <v>38</v>
      </c>
      <c r="S1441" s="209"/>
      <c r="T1441" s="209" t="s">
        <v>74</v>
      </c>
      <c r="U1441" s="211" t="s">
        <v>4691</v>
      </c>
      <c r="V1441" s="209" t="s">
        <v>41</v>
      </c>
      <c r="W1441" s="209" t="s">
        <v>49</v>
      </c>
      <c r="X1441" s="13" t="str">
        <f>IF(RIGHT(H1441,2)&lt;&gt;"00",H1441,"")</f>
        <v/>
      </c>
      <c r="Y1441" s="26">
        <f ca="1">NETWORKDAYS(P1441,$Y$1)</f>
        <v>3</v>
      </c>
      <c r="Z1441" s="34">
        <v>1</v>
      </c>
      <c r="AA1441" s="25" t="str">
        <f t="shared" ca="1" si="127"/>
        <v>A VENCER</v>
      </c>
      <c r="AB1441" s="25" t="str">
        <f t="shared" si="128"/>
        <v>Dosa</v>
      </c>
      <c r="AC1441" s="2" t="str">
        <f t="shared" si="131"/>
        <v xml:space="preserve"> RINALDO </v>
      </c>
      <c r="AD1441" s="26">
        <f t="shared" si="129"/>
        <v>5</v>
      </c>
      <c r="AE1441" s="26">
        <f t="shared" ca="1" si="130"/>
        <v>1.9517230324054253</v>
      </c>
    </row>
    <row r="1442" spans="1:31" hidden="1">
      <c r="A1442" s="209">
        <v>9519835</v>
      </c>
      <c r="B1442" s="209" t="s">
        <v>81</v>
      </c>
      <c r="C1442" s="210" t="s">
        <v>4210</v>
      </c>
      <c r="D1442" s="214"/>
      <c r="E1442" s="214">
        <v>9704000206001</v>
      </c>
      <c r="F1442" s="209" t="s">
        <v>29</v>
      </c>
      <c r="G1442" s="209" t="s">
        <v>53</v>
      </c>
      <c r="H1442" s="209" t="s">
        <v>488</v>
      </c>
      <c r="I1442" s="209" t="s">
        <v>489</v>
      </c>
      <c r="J1442" s="209" t="s">
        <v>164</v>
      </c>
      <c r="K1442" s="210" t="s">
        <v>34</v>
      </c>
      <c r="L1442" s="210"/>
      <c r="M1442" s="209" t="s">
        <v>35</v>
      </c>
      <c r="N1442" s="209">
        <v>42318949</v>
      </c>
      <c r="O1442" s="209" t="s">
        <v>105</v>
      </c>
      <c r="P1442" s="211" t="s">
        <v>4690</v>
      </c>
      <c r="Q1442" s="209"/>
      <c r="R1442" s="209" t="s">
        <v>38</v>
      </c>
      <c r="S1442" s="209"/>
      <c r="T1442" s="209" t="s">
        <v>74</v>
      </c>
      <c r="U1442" s="211" t="s">
        <v>4691</v>
      </c>
      <c r="V1442" s="209" t="s">
        <v>41</v>
      </c>
      <c r="W1442" s="209" t="s">
        <v>49</v>
      </c>
      <c r="X1442" s="13" t="str">
        <f>IF(RIGHT(H1442,2)&lt;&gt;"00",H1442,"")</f>
        <v/>
      </c>
      <c r="Y1442" s="26">
        <f ca="1">NETWORKDAYS(P1442,$Y$1)</f>
        <v>3</v>
      </c>
      <c r="Z1442" s="34">
        <v>1</v>
      </c>
      <c r="AA1442" s="25" t="str">
        <f t="shared" ca="1" si="127"/>
        <v>A VENCER</v>
      </c>
      <c r="AB1442" s="25" t="str">
        <f t="shared" si="128"/>
        <v>Dosa</v>
      </c>
      <c r="AC1442" s="2" t="str">
        <f t="shared" si="131"/>
        <v xml:space="preserve"> ROSEMERE </v>
      </c>
      <c r="AD1442" s="26">
        <f t="shared" si="129"/>
        <v>5</v>
      </c>
      <c r="AE1442" s="26">
        <f t="shared" ca="1" si="130"/>
        <v>1.9517230324054253</v>
      </c>
    </row>
    <row r="1443" spans="1:31" hidden="1">
      <c r="A1443" s="209">
        <v>9519834</v>
      </c>
      <c r="B1443" s="209" t="s">
        <v>81</v>
      </c>
      <c r="C1443" s="210" t="s">
        <v>4210</v>
      </c>
      <c r="D1443" s="214"/>
      <c r="E1443" s="214">
        <v>9700000206001</v>
      </c>
      <c r="F1443" s="209" t="s">
        <v>29</v>
      </c>
      <c r="G1443" s="209" t="s">
        <v>53</v>
      </c>
      <c r="H1443" s="209" t="s">
        <v>209</v>
      </c>
      <c r="I1443" s="209" t="s">
        <v>210</v>
      </c>
      <c r="J1443" s="209" t="s">
        <v>211</v>
      </c>
      <c r="K1443" s="210" t="s">
        <v>34</v>
      </c>
      <c r="L1443" s="210"/>
      <c r="M1443" s="209" t="s">
        <v>35</v>
      </c>
      <c r="N1443" s="209">
        <v>42318949</v>
      </c>
      <c r="O1443" s="209" t="s">
        <v>105</v>
      </c>
      <c r="P1443" s="211" t="s">
        <v>4690</v>
      </c>
      <c r="Q1443" s="209"/>
      <c r="R1443" s="209" t="s">
        <v>38</v>
      </c>
      <c r="S1443" s="209"/>
      <c r="T1443" s="209" t="s">
        <v>74</v>
      </c>
      <c r="U1443" s="211" t="s">
        <v>4691</v>
      </c>
      <c r="V1443" s="209" t="s">
        <v>41</v>
      </c>
      <c r="W1443" s="209" t="s">
        <v>49</v>
      </c>
      <c r="X1443" s="13" t="str">
        <f>IF(RIGHT(H1443,2)&lt;&gt;"00",H1443,"")</f>
        <v/>
      </c>
      <c r="Y1443" s="26">
        <f ca="1">NETWORKDAYS(P1443,$Y$1)</f>
        <v>3</v>
      </c>
      <c r="Z1443" s="34">
        <v>1</v>
      </c>
      <c r="AA1443" s="25" t="str">
        <f t="shared" ref="AA1443:AA1504" ca="1" si="132">IF(AE1443=0,"HOJE",IF(AE1443&gt;0,"A VENCER",IF(AE1443&lt;0,"VENCIDO")))</f>
        <v>A VENCER</v>
      </c>
      <c r="AB1443" s="25" t="str">
        <f t="shared" ref="AB1443:AB1504" si="133">IF(F1443="GRPE-000001","C-14",IF(F1443="GRPE-000002","C-14",IF(F1443="GRPE-000003","C-14",IF(F1443="GRPE-000004","SL-On",IF(F1443="GRPE-000038","C-14",IF(F1443="GRPE-900022","Dosa",IF(F1443="GRPE-000029","Dosa",IF(F1443="ATOS-000222","Dose","TAAe+"))))))))</f>
        <v>Dosa</v>
      </c>
      <c r="AC1443" s="2" t="str">
        <f t="shared" si="131"/>
        <v xml:space="preserve"> RINALDO </v>
      </c>
      <c r="AD1443" s="26">
        <f t="shared" ref="AD1443:AD1504" si="134">IF(F1443="GRPE-000001",5,IF(F1443="GRPE-000002",5,IF(F1443="GRPE-000003",15,IF(F1443="GRPE-000004",1,IF(F1443="GRPE-000038",5,IF(F1443="GRPE-900022",5,IF(F1443="GRPE-000029",5,IF(F1443="ATOS-000222",5,8))))))))</f>
        <v>5</v>
      </c>
      <c r="AE1443" s="26">
        <f t="shared" ref="AE1443:AE1504" ca="1" si="135">IF(P1443=$AE$1,"",$AE$1-P1443)</f>
        <v>1.9517230324054253</v>
      </c>
    </row>
    <row r="1444" spans="1:31" hidden="1">
      <c r="A1444" s="209">
        <v>9519802</v>
      </c>
      <c r="B1444" s="209" t="s">
        <v>81</v>
      </c>
      <c r="C1444" s="210" t="s">
        <v>4210</v>
      </c>
      <c r="D1444" s="214"/>
      <c r="E1444" s="214">
        <v>9661000206001</v>
      </c>
      <c r="F1444" s="209" t="s">
        <v>29</v>
      </c>
      <c r="G1444" s="209" t="s">
        <v>53</v>
      </c>
      <c r="H1444" s="209" t="s">
        <v>31</v>
      </c>
      <c r="I1444" s="209" t="s">
        <v>32</v>
      </c>
      <c r="J1444" s="209" t="s">
        <v>33</v>
      </c>
      <c r="K1444" s="210" t="s">
        <v>34</v>
      </c>
      <c r="L1444" s="210"/>
      <c r="M1444" s="209" t="s">
        <v>35</v>
      </c>
      <c r="N1444" s="209">
        <v>42318949</v>
      </c>
      <c r="O1444" s="209" t="s">
        <v>105</v>
      </c>
      <c r="P1444" s="211" t="s">
        <v>4692</v>
      </c>
      <c r="Q1444" s="209"/>
      <c r="R1444" s="209" t="s">
        <v>38</v>
      </c>
      <c r="S1444" s="209"/>
      <c r="T1444" s="209" t="s">
        <v>74</v>
      </c>
      <c r="U1444" s="211" t="s">
        <v>4693</v>
      </c>
      <c r="V1444" s="209" t="s">
        <v>41</v>
      </c>
      <c r="W1444" s="209" t="s">
        <v>42</v>
      </c>
      <c r="X1444" s="13" t="str">
        <f>IF(RIGHT(H1444,2)&lt;&gt;"00",H1444,"")</f>
        <v/>
      </c>
      <c r="Y1444" s="26">
        <f ca="1">NETWORKDAYS(P1444,$Y$1)</f>
        <v>3</v>
      </c>
      <c r="Z1444" s="34">
        <v>1</v>
      </c>
      <c r="AA1444" s="25" t="str">
        <f t="shared" ca="1" si="132"/>
        <v>A VENCER</v>
      </c>
      <c r="AB1444" s="25" t="str">
        <f t="shared" si="133"/>
        <v>Dosa</v>
      </c>
      <c r="AC1444" s="2" t="str">
        <f t="shared" si="131"/>
        <v xml:space="preserve"> ROSEMERE </v>
      </c>
      <c r="AD1444" s="26">
        <f t="shared" si="134"/>
        <v>5</v>
      </c>
      <c r="AE1444" s="26">
        <f t="shared" ca="1" si="135"/>
        <v>1.951769328705268</v>
      </c>
    </row>
    <row r="1445" spans="1:31" hidden="1">
      <c r="A1445" s="209">
        <v>9519762</v>
      </c>
      <c r="B1445" s="209" t="s">
        <v>81</v>
      </c>
      <c r="C1445" s="210" t="s">
        <v>4210</v>
      </c>
      <c r="D1445" s="214"/>
      <c r="E1445" s="214">
        <v>9406000206001</v>
      </c>
      <c r="F1445" s="209" t="s">
        <v>29</v>
      </c>
      <c r="G1445" s="209" t="s">
        <v>53</v>
      </c>
      <c r="H1445" s="209" t="s">
        <v>114</v>
      </c>
      <c r="I1445" s="209" t="s">
        <v>115</v>
      </c>
      <c r="J1445" s="209" t="s">
        <v>46</v>
      </c>
      <c r="K1445" s="210" t="s">
        <v>34</v>
      </c>
      <c r="L1445" s="210"/>
      <c r="M1445" s="209" t="s">
        <v>35</v>
      </c>
      <c r="N1445" s="209">
        <v>42318949</v>
      </c>
      <c r="O1445" s="209" t="s">
        <v>105</v>
      </c>
      <c r="P1445" s="211" t="s">
        <v>4694</v>
      </c>
      <c r="Q1445" s="209"/>
      <c r="R1445" s="209" t="s">
        <v>38</v>
      </c>
      <c r="S1445" s="209"/>
      <c r="T1445" s="209" t="s">
        <v>74</v>
      </c>
      <c r="U1445" s="211" t="s">
        <v>4695</v>
      </c>
      <c r="V1445" s="209" t="s">
        <v>41</v>
      </c>
      <c r="W1445" s="209" t="s">
        <v>49</v>
      </c>
      <c r="X1445" s="13" t="str">
        <f>IF(RIGHT(H1445,2)&lt;&gt;"00",H1445,"")</f>
        <v/>
      </c>
      <c r="Y1445" s="26">
        <f ca="1">NETWORKDAYS(P1445,$Y$1)</f>
        <v>3</v>
      </c>
      <c r="Z1445" s="34">
        <v>1</v>
      </c>
      <c r="AA1445" s="25" t="str">
        <f t="shared" ca="1" si="132"/>
        <v>A VENCER</v>
      </c>
      <c r="AB1445" s="25" t="str">
        <f t="shared" si="133"/>
        <v>Dosa</v>
      </c>
      <c r="AC1445" s="2" t="str">
        <f t="shared" si="131"/>
        <v xml:space="preserve"> CLEITON </v>
      </c>
      <c r="AD1445" s="26">
        <f t="shared" si="134"/>
        <v>5</v>
      </c>
      <c r="AE1445" s="26">
        <f t="shared" ca="1" si="135"/>
        <v>1.9518271990746143</v>
      </c>
    </row>
    <row r="1446" spans="1:31" hidden="1">
      <c r="A1446" s="209">
        <v>9519717</v>
      </c>
      <c r="B1446" s="209" t="s">
        <v>81</v>
      </c>
      <c r="C1446" s="210" t="s">
        <v>4210</v>
      </c>
      <c r="D1446" s="214"/>
      <c r="E1446" s="214">
        <v>8634000206001</v>
      </c>
      <c r="F1446" s="209" t="s">
        <v>29</v>
      </c>
      <c r="G1446" s="209" t="s">
        <v>53</v>
      </c>
      <c r="H1446" s="209" t="s">
        <v>293</v>
      </c>
      <c r="I1446" s="209" t="s">
        <v>294</v>
      </c>
      <c r="J1446" s="209" t="s">
        <v>46</v>
      </c>
      <c r="K1446" s="210" t="s">
        <v>34</v>
      </c>
      <c r="L1446" s="210"/>
      <c r="M1446" s="209" t="s">
        <v>35</v>
      </c>
      <c r="N1446" s="209">
        <v>42318949</v>
      </c>
      <c r="O1446" s="209" t="s">
        <v>105</v>
      </c>
      <c r="P1446" s="211" t="s">
        <v>4696</v>
      </c>
      <c r="Q1446" s="209"/>
      <c r="R1446" s="209" t="s">
        <v>38</v>
      </c>
      <c r="S1446" s="209"/>
      <c r="T1446" s="209" t="s">
        <v>74</v>
      </c>
      <c r="U1446" s="211" t="s">
        <v>4697</v>
      </c>
      <c r="V1446" s="209" t="s">
        <v>41</v>
      </c>
      <c r="W1446" s="209" t="s">
        <v>49</v>
      </c>
      <c r="X1446" s="13" t="str">
        <f>IF(RIGHT(H1446,2)&lt;&gt;"00",H1446,"")</f>
        <v/>
      </c>
      <c r="Y1446" s="26">
        <f ca="1">NETWORKDAYS(P1446,$Y$1)</f>
        <v>3</v>
      </c>
      <c r="Z1446" s="34">
        <v>1</v>
      </c>
      <c r="AA1446" s="25" t="str">
        <f t="shared" ca="1" si="132"/>
        <v>A VENCER</v>
      </c>
      <c r="AB1446" s="25" t="str">
        <f t="shared" si="133"/>
        <v>Dosa</v>
      </c>
      <c r="AC1446" s="2" t="str">
        <f t="shared" si="131"/>
        <v xml:space="preserve"> CLEITON </v>
      </c>
      <c r="AD1446" s="26">
        <f t="shared" si="134"/>
        <v>5</v>
      </c>
      <c r="AE1446" s="26">
        <f t="shared" ca="1" si="135"/>
        <v>1.9518850694439607</v>
      </c>
    </row>
    <row r="1447" spans="1:31" hidden="1">
      <c r="A1447" s="209">
        <v>9519716</v>
      </c>
      <c r="B1447" s="209" t="s">
        <v>81</v>
      </c>
      <c r="C1447" s="210" t="s">
        <v>4210</v>
      </c>
      <c r="D1447" s="214"/>
      <c r="E1447" s="214">
        <v>8633000206001</v>
      </c>
      <c r="F1447" s="209" t="s">
        <v>29</v>
      </c>
      <c r="G1447" s="209" t="s">
        <v>53</v>
      </c>
      <c r="H1447" s="209" t="s">
        <v>835</v>
      </c>
      <c r="I1447" s="209" t="s">
        <v>836</v>
      </c>
      <c r="J1447" s="209" t="s">
        <v>46</v>
      </c>
      <c r="K1447" s="210" t="s">
        <v>34</v>
      </c>
      <c r="L1447" s="210"/>
      <c r="M1447" s="209" t="s">
        <v>35</v>
      </c>
      <c r="N1447" s="209">
        <v>42318949</v>
      </c>
      <c r="O1447" s="209" t="s">
        <v>105</v>
      </c>
      <c r="P1447" s="211" t="s">
        <v>4696</v>
      </c>
      <c r="Q1447" s="209"/>
      <c r="R1447" s="209" t="s">
        <v>38</v>
      </c>
      <c r="S1447" s="209"/>
      <c r="T1447" s="209" t="s">
        <v>74</v>
      </c>
      <c r="U1447" s="211" t="s">
        <v>4697</v>
      </c>
      <c r="V1447" s="209" t="s">
        <v>41</v>
      </c>
      <c r="W1447" s="209" t="s">
        <v>49</v>
      </c>
      <c r="X1447" s="13" t="str">
        <f>IF(RIGHT(H1447,2)&lt;&gt;"00",H1447,"")</f>
        <v/>
      </c>
      <c r="Y1447" s="26">
        <f ca="1">NETWORKDAYS(P1447,$Y$1)</f>
        <v>3</v>
      </c>
      <c r="Z1447" s="34">
        <v>1</v>
      </c>
      <c r="AA1447" s="25" t="str">
        <f t="shared" ca="1" si="132"/>
        <v>A VENCER</v>
      </c>
      <c r="AB1447" s="25" t="str">
        <f t="shared" si="133"/>
        <v>Dosa</v>
      </c>
      <c r="AC1447" s="2" t="str">
        <f t="shared" si="131"/>
        <v xml:space="preserve"> CLEITON </v>
      </c>
      <c r="AD1447" s="26">
        <f t="shared" si="134"/>
        <v>5</v>
      </c>
      <c r="AE1447" s="26">
        <f t="shared" ca="1" si="135"/>
        <v>1.9518850694439607</v>
      </c>
    </row>
    <row r="1448" spans="1:31" hidden="1">
      <c r="A1448" s="209">
        <v>9519630</v>
      </c>
      <c r="B1448" s="209" t="s">
        <v>81</v>
      </c>
      <c r="C1448" s="210" t="s">
        <v>4210</v>
      </c>
      <c r="D1448" s="214"/>
      <c r="E1448" s="214">
        <v>8259000206001</v>
      </c>
      <c r="F1448" s="209" t="s">
        <v>29</v>
      </c>
      <c r="G1448" s="209" t="s">
        <v>53</v>
      </c>
      <c r="H1448" s="209" t="s">
        <v>245</v>
      </c>
      <c r="I1448" s="209" t="s">
        <v>246</v>
      </c>
      <c r="J1448" s="209" t="s">
        <v>56</v>
      </c>
      <c r="K1448" s="210" t="s">
        <v>34</v>
      </c>
      <c r="L1448" s="210"/>
      <c r="M1448" s="209" t="s">
        <v>35</v>
      </c>
      <c r="N1448" s="209">
        <v>42318949</v>
      </c>
      <c r="O1448" s="209" t="s">
        <v>105</v>
      </c>
      <c r="P1448" s="211" t="s">
        <v>4211</v>
      </c>
      <c r="Q1448" s="209"/>
      <c r="R1448" s="209" t="s">
        <v>38</v>
      </c>
      <c r="S1448" s="209"/>
      <c r="T1448" s="209" t="s">
        <v>74</v>
      </c>
      <c r="U1448" s="211" t="s">
        <v>4212</v>
      </c>
      <c r="V1448" s="209" t="s">
        <v>41</v>
      </c>
      <c r="W1448" s="209" t="s">
        <v>49</v>
      </c>
      <c r="X1448" s="13" t="str">
        <f>IF(RIGHT(H1448,2)&lt;&gt;"00",H1448,"")</f>
        <v/>
      </c>
      <c r="Y1448" s="26">
        <f ca="1">NETWORKDAYS(P1448,$Y$1)</f>
        <v>3</v>
      </c>
      <c r="Z1448" s="34">
        <v>1</v>
      </c>
      <c r="AA1448" s="25" t="str">
        <f t="shared" ca="1" si="132"/>
        <v>A VENCER</v>
      </c>
      <c r="AB1448" s="25" t="str">
        <f t="shared" si="133"/>
        <v>Dosa</v>
      </c>
      <c r="AC1448" s="2" t="str">
        <f t="shared" si="131"/>
        <v xml:space="preserve"> CRISTINA </v>
      </c>
      <c r="AD1448" s="26">
        <f t="shared" si="134"/>
        <v>5</v>
      </c>
      <c r="AE1448" s="26">
        <f t="shared" ca="1" si="135"/>
        <v>1.952012384259433</v>
      </c>
    </row>
    <row r="1449" spans="1:31" hidden="1">
      <c r="A1449" s="209">
        <v>9519573</v>
      </c>
      <c r="B1449" s="209" t="s">
        <v>81</v>
      </c>
      <c r="C1449" s="210" t="s">
        <v>4210</v>
      </c>
      <c r="D1449" s="214"/>
      <c r="E1449" s="214">
        <v>8074000206001</v>
      </c>
      <c r="F1449" s="209" t="s">
        <v>29</v>
      </c>
      <c r="G1449" s="209" t="s">
        <v>53</v>
      </c>
      <c r="H1449" s="209" t="s">
        <v>1257</v>
      </c>
      <c r="I1449" s="209" t="s">
        <v>1258</v>
      </c>
      <c r="J1449" s="209" t="s">
        <v>33</v>
      </c>
      <c r="K1449" s="210" t="s">
        <v>34</v>
      </c>
      <c r="L1449" s="210"/>
      <c r="M1449" s="209" t="s">
        <v>35</v>
      </c>
      <c r="N1449" s="209">
        <v>42318949</v>
      </c>
      <c r="O1449" s="209" t="s">
        <v>105</v>
      </c>
      <c r="P1449" s="211" t="s">
        <v>4213</v>
      </c>
      <c r="Q1449" s="209"/>
      <c r="R1449" s="209" t="s">
        <v>38</v>
      </c>
      <c r="S1449" s="209"/>
      <c r="T1449" s="209" t="s">
        <v>74</v>
      </c>
      <c r="U1449" s="211" t="s">
        <v>4214</v>
      </c>
      <c r="V1449" s="209" t="s">
        <v>41</v>
      </c>
      <c r="W1449" s="209" t="s">
        <v>49</v>
      </c>
      <c r="X1449" s="13" t="str">
        <f>IF(RIGHT(H1449,2)&lt;&gt;"00",H1449,"")</f>
        <v/>
      </c>
      <c r="Y1449" s="26">
        <f ca="1">NETWORKDAYS(P1449,$Y$1)</f>
        <v>3</v>
      </c>
      <c r="Z1449" s="34">
        <v>1</v>
      </c>
      <c r="AA1449" s="25" t="str">
        <f t="shared" ca="1" si="132"/>
        <v>A VENCER</v>
      </c>
      <c r="AB1449" s="25" t="str">
        <f t="shared" si="133"/>
        <v>Dosa</v>
      </c>
      <c r="AC1449" s="2" t="str">
        <f t="shared" si="131"/>
        <v xml:space="preserve"> ROSEMERE </v>
      </c>
      <c r="AD1449" s="26">
        <f t="shared" si="134"/>
        <v>5</v>
      </c>
      <c r="AE1449" s="26">
        <f t="shared" ca="1" si="135"/>
        <v>1.9520934027750627</v>
      </c>
    </row>
    <row r="1450" spans="1:31" hidden="1">
      <c r="A1450" s="209">
        <v>9519548</v>
      </c>
      <c r="B1450" s="209" t="s">
        <v>81</v>
      </c>
      <c r="C1450" s="210" t="s">
        <v>4210</v>
      </c>
      <c r="D1450" s="214"/>
      <c r="E1450" s="214">
        <v>7420000206001</v>
      </c>
      <c r="F1450" s="209" t="s">
        <v>29</v>
      </c>
      <c r="G1450" s="209" t="s">
        <v>53</v>
      </c>
      <c r="H1450" s="209" t="s">
        <v>1076</v>
      </c>
      <c r="I1450" s="209" t="s">
        <v>1077</v>
      </c>
      <c r="J1450" s="209" t="s">
        <v>46</v>
      </c>
      <c r="K1450" s="210" t="s">
        <v>34</v>
      </c>
      <c r="L1450" s="210"/>
      <c r="M1450" s="209" t="s">
        <v>35</v>
      </c>
      <c r="N1450" s="209">
        <v>42318949</v>
      </c>
      <c r="O1450" s="209" t="s">
        <v>105</v>
      </c>
      <c r="P1450" s="211" t="s">
        <v>4215</v>
      </c>
      <c r="Q1450" s="209"/>
      <c r="R1450" s="209" t="s">
        <v>38</v>
      </c>
      <c r="S1450" s="209"/>
      <c r="T1450" s="209" t="s">
        <v>74</v>
      </c>
      <c r="U1450" s="211" t="s">
        <v>4698</v>
      </c>
      <c r="V1450" s="209" t="s">
        <v>41</v>
      </c>
      <c r="W1450" s="209" t="s">
        <v>49</v>
      </c>
      <c r="X1450" s="13" t="str">
        <f>IF(RIGHT(H1450,2)&lt;&gt;"00",H1450,"")</f>
        <v/>
      </c>
      <c r="Y1450" s="26">
        <f ca="1">NETWORKDAYS(P1450,$Y$1)</f>
        <v>3</v>
      </c>
      <c r="Z1450" s="34">
        <v>1</v>
      </c>
      <c r="AA1450" s="25" t="str">
        <f t="shared" ca="1" si="132"/>
        <v>A VENCER</v>
      </c>
      <c r="AB1450" s="25" t="str">
        <f t="shared" si="133"/>
        <v>Dosa</v>
      </c>
      <c r="AC1450" s="2" t="str">
        <f t="shared" si="131"/>
        <v xml:space="preserve"> CLEITON </v>
      </c>
      <c r="AD1450" s="26">
        <f t="shared" si="134"/>
        <v>5</v>
      </c>
      <c r="AE1450" s="26">
        <f t="shared" ca="1" si="135"/>
        <v>1.9521281249981257</v>
      </c>
    </row>
    <row r="1451" spans="1:31" hidden="1">
      <c r="A1451" s="209">
        <v>9519089</v>
      </c>
      <c r="B1451" s="209" t="s">
        <v>81</v>
      </c>
      <c r="C1451" s="210" t="s">
        <v>4210</v>
      </c>
      <c r="D1451" s="214"/>
      <c r="E1451" s="214">
        <v>5898000206001</v>
      </c>
      <c r="F1451" s="209" t="s">
        <v>29</v>
      </c>
      <c r="G1451" s="209" t="s">
        <v>53</v>
      </c>
      <c r="H1451" s="209" t="s">
        <v>365</v>
      </c>
      <c r="I1451" s="209" t="s">
        <v>366</v>
      </c>
      <c r="J1451" s="209" t="s">
        <v>164</v>
      </c>
      <c r="K1451" s="210" t="s">
        <v>34</v>
      </c>
      <c r="L1451" s="210"/>
      <c r="M1451" s="209" t="s">
        <v>35</v>
      </c>
      <c r="N1451" s="209">
        <v>42318949</v>
      </c>
      <c r="O1451" s="209" t="s">
        <v>105</v>
      </c>
      <c r="P1451" s="211" t="s">
        <v>4216</v>
      </c>
      <c r="Q1451" s="209"/>
      <c r="R1451" s="209" t="s">
        <v>38</v>
      </c>
      <c r="S1451" s="209"/>
      <c r="T1451" s="209" t="s">
        <v>74</v>
      </c>
      <c r="U1451" s="211" t="s">
        <v>4217</v>
      </c>
      <c r="V1451" s="209" t="s">
        <v>41</v>
      </c>
      <c r="W1451" s="209" t="s">
        <v>49</v>
      </c>
      <c r="X1451" s="13" t="str">
        <f>IF(RIGHT(H1451,2)&lt;&gt;"00",H1451,"")</f>
        <v/>
      </c>
      <c r="Y1451" s="26">
        <f ca="1">NETWORKDAYS(P1451,$Y$1)</f>
        <v>3</v>
      </c>
      <c r="Z1451" s="34">
        <v>1</v>
      </c>
      <c r="AA1451" s="25" t="str">
        <f t="shared" ca="1" si="132"/>
        <v>A VENCER</v>
      </c>
      <c r="AB1451" s="25" t="str">
        <f t="shared" si="133"/>
        <v>Dosa</v>
      </c>
      <c r="AC1451" s="2" t="str">
        <f t="shared" si="131"/>
        <v xml:space="preserve"> ROSEMERE </v>
      </c>
      <c r="AD1451" s="26">
        <f t="shared" si="134"/>
        <v>5</v>
      </c>
      <c r="AE1451" s="26">
        <f t="shared" ca="1" si="135"/>
        <v>1.9528225694448338</v>
      </c>
    </row>
    <row r="1452" spans="1:31" hidden="1">
      <c r="A1452" s="209">
        <v>9519063</v>
      </c>
      <c r="B1452" s="209" t="s">
        <v>81</v>
      </c>
      <c r="C1452" s="210" t="s">
        <v>4210</v>
      </c>
      <c r="D1452" s="214"/>
      <c r="E1452" s="214">
        <v>5816000206001</v>
      </c>
      <c r="F1452" s="209" t="s">
        <v>29</v>
      </c>
      <c r="G1452" s="209" t="s">
        <v>53</v>
      </c>
      <c r="H1452" s="209" t="s">
        <v>412</v>
      </c>
      <c r="I1452" s="209" t="s">
        <v>413</v>
      </c>
      <c r="J1452" s="209" t="s">
        <v>46</v>
      </c>
      <c r="K1452" s="210" t="s">
        <v>34</v>
      </c>
      <c r="L1452" s="210"/>
      <c r="M1452" s="209" t="s">
        <v>35</v>
      </c>
      <c r="N1452" s="209">
        <v>42318949</v>
      </c>
      <c r="O1452" s="209" t="s">
        <v>105</v>
      </c>
      <c r="P1452" s="211" t="s">
        <v>4218</v>
      </c>
      <c r="Q1452" s="209"/>
      <c r="R1452" s="209" t="s">
        <v>38</v>
      </c>
      <c r="S1452" s="209"/>
      <c r="T1452" s="209" t="s">
        <v>74</v>
      </c>
      <c r="U1452" s="211" t="s">
        <v>4219</v>
      </c>
      <c r="V1452" s="209" t="s">
        <v>41</v>
      </c>
      <c r="W1452" s="209" t="s">
        <v>49</v>
      </c>
      <c r="X1452" s="13" t="str">
        <f>IF(RIGHT(H1452,2)&lt;&gt;"00",H1452,"")</f>
        <v/>
      </c>
      <c r="Y1452" s="26">
        <f ca="1">NETWORKDAYS(P1452,$Y$1)</f>
        <v>3</v>
      </c>
      <c r="Z1452" s="34">
        <v>1</v>
      </c>
      <c r="AA1452" s="25" t="str">
        <f t="shared" ca="1" si="132"/>
        <v>A VENCER</v>
      </c>
      <c r="AB1452" s="25" t="str">
        <f t="shared" si="133"/>
        <v>Dosa</v>
      </c>
      <c r="AC1452" s="2" t="str">
        <f t="shared" si="131"/>
        <v xml:space="preserve"> CLEITON </v>
      </c>
      <c r="AD1452" s="26">
        <f t="shared" si="134"/>
        <v>5</v>
      </c>
      <c r="AE1452" s="26">
        <f t="shared" ca="1" si="135"/>
        <v>1.9528688657374005</v>
      </c>
    </row>
    <row r="1453" spans="1:31" hidden="1">
      <c r="A1453" s="209">
        <v>9519025</v>
      </c>
      <c r="B1453" s="209" t="s">
        <v>81</v>
      </c>
      <c r="C1453" s="210" t="s">
        <v>4210</v>
      </c>
      <c r="D1453" s="214"/>
      <c r="E1453" s="214">
        <v>5755000206001</v>
      </c>
      <c r="F1453" s="209" t="s">
        <v>29</v>
      </c>
      <c r="G1453" s="209" t="s">
        <v>53</v>
      </c>
      <c r="H1453" s="209" t="s">
        <v>841</v>
      </c>
      <c r="I1453" s="209" t="s">
        <v>842</v>
      </c>
      <c r="J1453" s="209" t="s">
        <v>46</v>
      </c>
      <c r="K1453" s="210" t="s">
        <v>34</v>
      </c>
      <c r="L1453" s="210"/>
      <c r="M1453" s="209" t="s">
        <v>35</v>
      </c>
      <c r="N1453" s="209">
        <v>42318949</v>
      </c>
      <c r="O1453" s="209" t="s">
        <v>105</v>
      </c>
      <c r="P1453" s="211" t="s">
        <v>4220</v>
      </c>
      <c r="Q1453" s="209"/>
      <c r="R1453" s="209" t="s">
        <v>38</v>
      </c>
      <c r="S1453" s="209"/>
      <c r="T1453" s="209" t="s">
        <v>74</v>
      </c>
      <c r="U1453" s="211" t="s">
        <v>4221</v>
      </c>
      <c r="V1453" s="209" t="s">
        <v>41</v>
      </c>
      <c r="W1453" s="209" t="s">
        <v>49</v>
      </c>
      <c r="X1453" s="13" t="str">
        <f>IF(RIGHT(H1453,2)&lt;&gt;"00",H1453,"")</f>
        <v/>
      </c>
      <c r="Y1453" s="26">
        <f ca="1">NETWORKDAYS(P1453,$Y$1)</f>
        <v>3</v>
      </c>
      <c r="Z1453" s="34">
        <v>1</v>
      </c>
      <c r="AA1453" s="25" t="str">
        <f t="shared" ca="1" si="132"/>
        <v>A VENCER</v>
      </c>
      <c r="AB1453" s="25" t="str">
        <f t="shared" si="133"/>
        <v>Dosa</v>
      </c>
      <c r="AC1453" s="2" t="str">
        <f t="shared" si="131"/>
        <v xml:space="preserve"> CLEITON </v>
      </c>
      <c r="AD1453" s="26">
        <f t="shared" si="134"/>
        <v>5</v>
      </c>
      <c r="AE1453" s="26">
        <f t="shared" ca="1" si="135"/>
        <v>1.9529151620372431</v>
      </c>
    </row>
    <row r="1454" spans="1:31" hidden="1">
      <c r="A1454" s="209">
        <v>9519021</v>
      </c>
      <c r="B1454" s="209" t="s">
        <v>81</v>
      </c>
      <c r="C1454" s="210" t="s">
        <v>4210</v>
      </c>
      <c r="D1454" s="214"/>
      <c r="E1454" s="214">
        <v>5749000206001</v>
      </c>
      <c r="F1454" s="209" t="s">
        <v>29</v>
      </c>
      <c r="G1454" s="209" t="s">
        <v>53</v>
      </c>
      <c r="H1454" s="209" t="s">
        <v>1811</v>
      </c>
      <c r="I1454" s="209" t="s">
        <v>1812</v>
      </c>
      <c r="J1454" s="209" t="s">
        <v>33</v>
      </c>
      <c r="K1454" s="210" t="s">
        <v>34</v>
      </c>
      <c r="L1454" s="210"/>
      <c r="M1454" s="209" t="s">
        <v>35</v>
      </c>
      <c r="N1454" s="209">
        <v>42318949</v>
      </c>
      <c r="O1454" s="209" t="s">
        <v>105</v>
      </c>
      <c r="P1454" s="211" t="s">
        <v>4222</v>
      </c>
      <c r="Q1454" s="209"/>
      <c r="R1454" s="209" t="s">
        <v>38</v>
      </c>
      <c r="S1454" s="209"/>
      <c r="T1454" s="209" t="s">
        <v>74</v>
      </c>
      <c r="U1454" s="211" t="s">
        <v>4223</v>
      </c>
      <c r="V1454" s="209" t="s">
        <v>41</v>
      </c>
      <c r="W1454" s="209" t="s">
        <v>42</v>
      </c>
      <c r="X1454" s="13" t="str">
        <f>IF(RIGHT(H1454,2)&lt;&gt;"00",H1454,"")</f>
        <v/>
      </c>
      <c r="Y1454" s="26">
        <f ca="1">NETWORKDAYS(P1454,$Y$1)</f>
        <v>3</v>
      </c>
      <c r="Z1454" s="34">
        <v>1</v>
      </c>
      <c r="AA1454" s="25" t="str">
        <f t="shared" ca="1" si="132"/>
        <v>A VENCER</v>
      </c>
      <c r="AB1454" s="25" t="str">
        <f t="shared" si="133"/>
        <v>Dosa</v>
      </c>
      <c r="AC1454" s="2" t="str">
        <f t="shared" si="131"/>
        <v xml:space="preserve"> ROSEMERE </v>
      </c>
      <c r="AD1454" s="26">
        <f t="shared" si="134"/>
        <v>5</v>
      </c>
      <c r="AE1454" s="26">
        <f t="shared" ca="1" si="135"/>
        <v>1.9529267361140228</v>
      </c>
    </row>
    <row r="1455" spans="1:31" hidden="1">
      <c r="A1455" s="209">
        <v>9519019</v>
      </c>
      <c r="B1455" s="209" t="s">
        <v>81</v>
      </c>
      <c r="C1455" s="210" t="s">
        <v>4210</v>
      </c>
      <c r="D1455" s="214"/>
      <c r="E1455" s="214">
        <v>5742000206001</v>
      </c>
      <c r="F1455" s="209" t="s">
        <v>29</v>
      </c>
      <c r="G1455" s="209" t="s">
        <v>53</v>
      </c>
      <c r="H1455" s="209" t="s">
        <v>430</v>
      </c>
      <c r="I1455" s="209" t="s">
        <v>431</v>
      </c>
      <c r="J1455" s="209" t="s">
        <v>79</v>
      </c>
      <c r="K1455" s="210" t="s">
        <v>34</v>
      </c>
      <c r="L1455" s="210"/>
      <c r="M1455" s="209" t="s">
        <v>35</v>
      </c>
      <c r="N1455" s="209">
        <v>42318949</v>
      </c>
      <c r="O1455" s="209" t="s">
        <v>105</v>
      </c>
      <c r="P1455" s="211" t="s">
        <v>4222</v>
      </c>
      <c r="Q1455" s="209"/>
      <c r="R1455" s="209" t="s">
        <v>38</v>
      </c>
      <c r="S1455" s="209"/>
      <c r="T1455" s="209" t="s">
        <v>74</v>
      </c>
      <c r="U1455" s="211" t="s">
        <v>4223</v>
      </c>
      <c r="V1455" s="209" t="s">
        <v>41</v>
      </c>
      <c r="W1455" s="209" t="s">
        <v>49</v>
      </c>
      <c r="X1455" s="13" t="str">
        <f>IF(RIGHT(H1455,2)&lt;&gt;"00",H1455,"")</f>
        <v/>
      </c>
      <c r="Y1455" s="26">
        <f ca="1">NETWORKDAYS(P1455,$Y$1)</f>
        <v>3</v>
      </c>
      <c r="Z1455" s="34">
        <v>1</v>
      </c>
      <c r="AA1455" s="25" t="str">
        <f t="shared" ca="1" si="132"/>
        <v>A VENCER</v>
      </c>
      <c r="AB1455" s="25" t="str">
        <f t="shared" si="133"/>
        <v>Dosa</v>
      </c>
      <c r="AC1455" s="2" t="str">
        <f t="shared" si="131"/>
        <v xml:space="preserve"> ROSEMERE </v>
      </c>
      <c r="AD1455" s="26">
        <f t="shared" si="134"/>
        <v>5</v>
      </c>
      <c r="AE1455" s="26">
        <f t="shared" ca="1" si="135"/>
        <v>1.9529267361140228</v>
      </c>
    </row>
    <row r="1456" spans="1:31" hidden="1">
      <c r="A1456" s="209">
        <v>9519018</v>
      </c>
      <c r="B1456" s="209" t="s">
        <v>81</v>
      </c>
      <c r="C1456" s="210" t="s">
        <v>4210</v>
      </c>
      <c r="D1456" s="214"/>
      <c r="E1456" s="214">
        <v>5740000206001</v>
      </c>
      <c r="F1456" s="209" t="s">
        <v>29</v>
      </c>
      <c r="G1456" s="209" t="s">
        <v>53</v>
      </c>
      <c r="H1456" s="209" t="s">
        <v>626</v>
      </c>
      <c r="I1456" s="209" t="s">
        <v>627</v>
      </c>
      <c r="J1456" s="209" t="s">
        <v>46</v>
      </c>
      <c r="K1456" s="210" t="s">
        <v>34</v>
      </c>
      <c r="L1456" s="210"/>
      <c r="M1456" s="209" t="s">
        <v>35</v>
      </c>
      <c r="N1456" s="209">
        <v>42318949</v>
      </c>
      <c r="O1456" s="209" t="s">
        <v>105</v>
      </c>
      <c r="P1456" s="211" t="s">
        <v>4222</v>
      </c>
      <c r="Q1456" s="209"/>
      <c r="R1456" s="209" t="s">
        <v>38</v>
      </c>
      <c r="S1456" s="209"/>
      <c r="T1456" s="209" t="s">
        <v>74</v>
      </c>
      <c r="U1456" s="211" t="s">
        <v>4223</v>
      </c>
      <c r="V1456" s="209" t="s">
        <v>41</v>
      </c>
      <c r="W1456" s="209" t="s">
        <v>49</v>
      </c>
      <c r="X1456" s="13" t="str">
        <f>IF(RIGHT(H1456,2)&lt;&gt;"00",H1456,"")</f>
        <v/>
      </c>
      <c r="Y1456" s="26">
        <f ca="1">NETWORKDAYS(P1456,$Y$1)</f>
        <v>3</v>
      </c>
      <c r="Z1456" s="34">
        <v>1</v>
      </c>
      <c r="AA1456" s="25" t="str">
        <f t="shared" ca="1" si="132"/>
        <v>A VENCER</v>
      </c>
      <c r="AB1456" s="25" t="str">
        <f t="shared" si="133"/>
        <v>Dosa</v>
      </c>
      <c r="AC1456" s="2" t="str">
        <f t="shared" si="131"/>
        <v xml:space="preserve"> CLEITON </v>
      </c>
      <c r="AD1456" s="26">
        <f t="shared" si="134"/>
        <v>5</v>
      </c>
      <c r="AE1456" s="26">
        <f t="shared" ca="1" si="135"/>
        <v>1.9529267361140228</v>
      </c>
    </row>
    <row r="1457" spans="1:31" hidden="1">
      <c r="A1457" s="209">
        <v>9518836</v>
      </c>
      <c r="B1457" s="209" t="s">
        <v>81</v>
      </c>
      <c r="C1457" s="210" t="s">
        <v>4210</v>
      </c>
      <c r="D1457" s="214"/>
      <c r="E1457" s="214">
        <v>4997000206001</v>
      </c>
      <c r="F1457" s="209" t="s">
        <v>29</v>
      </c>
      <c r="G1457" s="209" t="s">
        <v>53</v>
      </c>
      <c r="H1457" s="209" t="s">
        <v>406</v>
      </c>
      <c r="I1457" s="209" t="s">
        <v>407</v>
      </c>
      <c r="J1457" s="209" t="s">
        <v>79</v>
      </c>
      <c r="K1457" s="210" t="s">
        <v>34</v>
      </c>
      <c r="L1457" s="210"/>
      <c r="M1457" s="209" t="s">
        <v>35</v>
      </c>
      <c r="N1457" s="209">
        <v>42318949</v>
      </c>
      <c r="O1457" s="209" t="s">
        <v>105</v>
      </c>
      <c r="P1457" s="211" t="s">
        <v>4224</v>
      </c>
      <c r="Q1457" s="209"/>
      <c r="R1457" s="209" t="s">
        <v>38</v>
      </c>
      <c r="S1457" s="209"/>
      <c r="T1457" s="209" t="s">
        <v>74</v>
      </c>
      <c r="U1457" s="211" t="s">
        <v>4225</v>
      </c>
      <c r="V1457" s="209" t="s">
        <v>41</v>
      </c>
      <c r="W1457" s="209" t="s">
        <v>49</v>
      </c>
      <c r="X1457" s="13" t="str">
        <f>IF(RIGHT(H1457,2)&lt;&gt;"00",H1457,"")</f>
        <v/>
      </c>
      <c r="Y1457" s="26">
        <f ca="1">NETWORKDAYS(P1457,$Y$1)</f>
        <v>3</v>
      </c>
      <c r="Z1457" s="34">
        <v>1</v>
      </c>
      <c r="AA1457" s="25" t="str">
        <f t="shared" ca="1" si="132"/>
        <v>A VENCER</v>
      </c>
      <c r="AB1457" s="25" t="str">
        <f t="shared" si="133"/>
        <v>Dosa</v>
      </c>
      <c r="AC1457" s="2" t="str">
        <f t="shared" si="131"/>
        <v xml:space="preserve"> ROSEMERE </v>
      </c>
      <c r="AD1457" s="26">
        <f t="shared" si="134"/>
        <v>5</v>
      </c>
      <c r="AE1457" s="26">
        <f t="shared" ca="1" si="135"/>
        <v>1.9532160879607545</v>
      </c>
    </row>
    <row r="1458" spans="1:31" hidden="1">
      <c r="A1458" s="209">
        <v>9518824</v>
      </c>
      <c r="B1458" s="209" t="s">
        <v>81</v>
      </c>
      <c r="C1458" s="210" t="s">
        <v>4210</v>
      </c>
      <c r="D1458" s="214"/>
      <c r="E1458" s="214">
        <v>4930000206001</v>
      </c>
      <c r="F1458" s="209" t="s">
        <v>29</v>
      </c>
      <c r="G1458" s="209" t="s">
        <v>53</v>
      </c>
      <c r="H1458" s="209" t="s">
        <v>1813</v>
      </c>
      <c r="I1458" s="209" t="s">
        <v>1814</v>
      </c>
      <c r="J1458" s="209" t="s">
        <v>46</v>
      </c>
      <c r="K1458" s="210" t="s">
        <v>34</v>
      </c>
      <c r="L1458" s="210"/>
      <c r="M1458" s="209" t="s">
        <v>35</v>
      </c>
      <c r="N1458" s="209">
        <v>42318949</v>
      </c>
      <c r="O1458" s="209" t="s">
        <v>105</v>
      </c>
      <c r="P1458" s="211" t="s">
        <v>4226</v>
      </c>
      <c r="Q1458" s="209"/>
      <c r="R1458" s="209" t="s">
        <v>38</v>
      </c>
      <c r="S1458" s="209"/>
      <c r="T1458" s="209" t="s">
        <v>74</v>
      </c>
      <c r="U1458" s="211" t="s">
        <v>4227</v>
      </c>
      <c r="V1458" s="209" t="s">
        <v>41</v>
      </c>
      <c r="W1458" s="209" t="s">
        <v>49</v>
      </c>
      <c r="X1458" s="13" t="str">
        <f>IF(RIGHT(H1458,2)&lt;&gt;"00",H1458,"")</f>
        <v/>
      </c>
      <c r="Y1458" s="26">
        <f ca="1">NETWORKDAYS(P1458,$Y$1)</f>
        <v>3</v>
      </c>
      <c r="Z1458" s="34">
        <v>1</v>
      </c>
      <c r="AA1458" s="25" t="str">
        <f t="shared" ca="1" si="132"/>
        <v>A VENCER</v>
      </c>
      <c r="AB1458" s="25" t="str">
        <f t="shared" si="133"/>
        <v>Dosa</v>
      </c>
      <c r="AC1458" s="2" t="str">
        <f t="shared" si="131"/>
        <v xml:space="preserve"> CLEITON </v>
      </c>
      <c r="AD1458" s="26">
        <f t="shared" si="134"/>
        <v>5</v>
      </c>
      <c r="AE1458" s="26">
        <f t="shared" ca="1" si="135"/>
        <v>1.9532276620375342</v>
      </c>
    </row>
    <row r="1459" spans="1:31" hidden="1">
      <c r="A1459" s="209">
        <v>9518781</v>
      </c>
      <c r="B1459" s="209" t="s">
        <v>81</v>
      </c>
      <c r="C1459" s="210" t="s">
        <v>4210</v>
      </c>
      <c r="D1459" s="214"/>
      <c r="E1459" s="214">
        <v>4844920206001</v>
      </c>
      <c r="F1459" s="209" t="s">
        <v>29</v>
      </c>
      <c r="G1459" s="209" t="s">
        <v>53</v>
      </c>
      <c r="H1459" s="209" t="s">
        <v>1815</v>
      </c>
      <c r="I1459" s="209" t="s">
        <v>1816</v>
      </c>
      <c r="J1459" s="209" t="s">
        <v>211</v>
      </c>
      <c r="K1459" s="210" t="s">
        <v>34</v>
      </c>
      <c r="L1459" s="210"/>
      <c r="M1459" s="209" t="s">
        <v>35</v>
      </c>
      <c r="N1459" s="209">
        <v>42318949</v>
      </c>
      <c r="O1459" s="209" t="s">
        <v>105</v>
      </c>
      <c r="P1459" s="211" t="s">
        <v>4228</v>
      </c>
      <c r="Q1459" s="209"/>
      <c r="R1459" s="209" t="s">
        <v>38</v>
      </c>
      <c r="S1459" s="209"/>
      <c r="T1459" s="209" t="s">
        <v>74</v>
      </c>
      <c r="U1459" s="211" t="s">
        <v>4229</v>
      </c>
      <c r="V1459" s="209" t="s">
        <v>41</v>
      </c>
      <c r="W1459" s="209" t="s">
        <v>49</v>
      </c>
      <c r="X1459" s="13" t="str">
        <f>IF(RIGHT(H1459,2)&lt;&gt;"00",H1459,"")</f>
        <v>4844.92</v>
      </c>
      <c r="Y1459" s="26">
        <f ca="1">NETWORKDAYS(P1459,$Y$1)</f>
        <v>3</v>
      </c>
      <c r="Z1459" s="34">
        <v>1</v>
      </c>
      <c r="AA1459" s="25" t="str">
        <f t="shared" ca="1" si="132"/>
        <v>A VENCER</v>
      </c>
      <c r="AB1459" s="25" t="str">
        <f t="shared" si="133"/>
        <v>Dosa</v>
      </c>
      <c r="AC1459" s="2" t="str">
        <f t="shared" si="131"/>
        <v xml:space="preserve"> RINALDO </v>
      </c>
      <c r="AD1459" s="26">
        <f t="shared" si="134"/>
        <v>5</v>
      </c>
      <c r="AE1459" s="26">
        <f t="shared" ca="1" si="135"/>
        <v>1.9532971064836602</v>
      </c>
    </row>
    <row r="1460" spans="1:31" hidden="1">
      <c r="A1460" s="209">
        <v>9518664</v>
      </c>
      <c r="B1460" s="209" t="s">
        <v>81</v>
      </c>
      <c r="C1460" s="210" t="s">
        <v>4210</v>
      </c>
      <c r="D1460" s="214"/>
      <c r="E1460" s="214">
        <v>4637000206001</v>
      </c>
      <c r="F1460" s="209" t="s">
        <v>29</v>
      </c>
      <c r="G1460" s="209" t="s">
        <v>53</v>
      </c>
      <c r="H1460" s="209" t="s">
        <v>848</v>
      </c>
      <c r="I1460" s="209" t="s">
        <v>849</v>
      </c>
      <c r="J1460" s="209" t="s">
        <v>79</v>
      </c>
      <c r="K1460" s="210" t="s">
        <v>34</v>
      </c>
      <c r="L1460" s="210"/>
      <c r="M1460" s="209" t="s">
        <v>35</v>
      </c>
      <c r="N1460" s="209">
        <v>42318949</v>
      </c>
      <c r="O1460" s="209" t="s">
        <v>105</v>
      </c>
      <c r="P1460" s="211" t="s">
        <v>4230</v>
      </c>
      <c r="Q1460" s="209"/>
      <c r="R1460" s="209" t="s">
        <v>38</v>
      </c>
      <c r="S1460" s="209"/>
      <c r="T1460" s="209" t="s">
        <v>74</v>
      </c>
      <c r="U1460" s="211" t="s">
        <v>4699</v>
      </c>
      <c r="V1460" s="209" t="s">
        <v>41</v>
      </c>
      <c r="W1460" s="209" t="s">
        <v>49</v>
      </c>
      <c r="X1460" s="13" t="str">
        <f>IF(RIGHT(H1460,2)&lt;&gt;"00",H1460,"")</f>
        <v/>
      </c>
      <c r="Y1460" s="26">
        <f ca="1">NETWORKDAYS(P1460,$Y$1)</f>
        <v>3</v>
      </c>
      <c r="Z1460" s="34">
        <v>1</v>
      </c>
      <c r="AA1460" s="25" t="str">
        <f t="shared" ca="1" si="132"/>
        <v>A VENCER</v>
      </c>
      <c r="AB1460" s="25" t="str">
        <f t="shared" si="133"/>
        <v>Dosa</v>
      </c>
      <c r="AC1460" s="2" t="str">
        <f t="shared" si="131"/>
        <v xml:space="preserve"> ROSEMERE </v>
      </c>
      <c r="AD1460" s="26">
        <f t="shared" si="134"/>
        <v>5</v>
      </c>
      <c r="AE1460" s="26">
        <f t="shared" ca="1" si="135"/>
        <v>1.9534707175916992</v>
      </c>
    </row>
    <row r="1461" spans="1:31" hidden="1">
      <c r="A1461" s="209">
        <v>9518651</v>
      </c>
      <c r="B1461" s="209" t="s">
        <v>81</v>
      </c>
      <c r="C1461" s="210" t="s">
        <v>4210</v>
      </c>
      <c r="D1461" s="214"/>
      <c r="E1461" s="214">
        <v>4623000206001</v>
      </c>
      <c r="F1461" s="209" t="s">
        <v>29</v>
      </c>
      <c r="G1461" s="209" t="s">
        <v>53</v>
      </c>
      <c r="H1461" s="209" t="s">
        <v>669</v>
      </c>
      <c r="I1461" s="209" t="s">
        <v>670</v>
      </c>
      <c r="J1461" s="209" t="s">
        <v>33</v>
      </c>
      <c r="K1461" s="210" t="s">
        <v>34</v>
      </c>
      <c r="L1461" s="210"/>
      <c r="M1461" s="209" t="s">
        <v>35</v>
      </c>
      <c r="N1461" s="209">
        <v>42318949</v>
      </c>
      <c r="O1461" s="209" t="s">
        <v>105</v>
      </c>
      <c r="P1461" s="211" t="s">
        <v>4231</v>
      </c>
      <c r="Q1461" s="209"/>
      <c r="R1461" s="209" t="s">
        <v>38</v>
      </c>
      <c r="S1461" s="209"/>
      <c r="T1461" s="209" t="s">
        <v>74</v>
      </c>
      <c r="U1461" s="211" t="s">
        <v>4700</v>
      </c>
      <c r="V1461" s="209" t="s">
        <v>41</v>
      </c>
      <c r="W1461" s="209" t="s">
        <v>42</v>
      </c>
      <c r="X1461" s="13" t="str">
        <f>IF(RIGHT(H1461,2)&lt;&gt;"00",H1461,"")</f>
        <v/>
      </c>
      <c r="Y1461" s="26">
        <f ca="1">NETWORKDAYS(P1461,$Y$1)</f>
        <v>3</v>
      </c>
      <c r="Z1461" s="34">
        <v>1</v>
      </c>
      <c r="AA1461" s="25" t="str">
        <f t="shared" ca="1" si="132"/>
        <v>A VENCER</v>
      </c>
      <c r="AB1461" s="25" t="str">
        <f t="shared" si="133"/>
        <v>Dosa</v>
      </c>
      <c r="AC1461" s="2" t="str">
        <f t="shared" si="131"/>
        <v xml:space="preserve"> ROSEMERE </v>
      </c>
      <c r="AD1461" s="26">
        <f t="shared" si="134"/>
        <v>5</v>
      </c>
      <c r="AE1461" s="26">
        <f t="shared" ca="1" si="135"/>
        <v>1.9534938657379826</v>
      </c>
    </row>
    <row r="1462" spans="1:31" hidden="1">
      <c r="A1462" s="209">
        <v>9518407</v>
      </c>
      <c r="B1462" s="209" t="s">
        <v>81</v>
      </c>
      <c r="C1462" s="210" t="s">
        <v>4210</v>
      </c>
      <c r="D1462" s="214"/>
      <c r="E1462" s="214">
        <v>4274000206001</v>
      </c>
      <c r="F1462" s="209" t="s">
        <v>29</v>
      </c>
      <c r="G1462" s="209" t="s">
        <v>53</v>
      </c>
      <c r="H1462" s="209" t="s">
        <v>386</v>
      </c>
      <c r="I1462" s="209" t="s">
        <v>387</v>
      </c>
      <c r="J1462" s="209" t="s">
        <v>46</v>
      </c>
      <c r="K1462" s="210" t="s">
        <v>34</v>
      </c>
      <c r="L1462" s="210"/>
      <c r="M1462" s="209" t="s">
        <v>35</v>
      </c>
      <c r="N1462" s="209">
        <v>42318949</v>
      </c>
      <c r="O1462" s="209" t="s">
        <v>105</v>
      </c>
      <c r="P1462" s="211" t="s">
        <v>4232</v>
      </c>
      <c r="Q1462" s="209"/>
      <c r="R1462" s="209" t="s">
        <v>38</v>
      </c>
      <c r="S1462" s="209"/>
      <c r="T1462" s="209" t="s">
        <v>74</v>
      </c>
      <c r="U1462" s="211" t="s">
        <v>4701</v>
      </c>
      <c r="V1462" s="209" t="s">
        <v>41</v>
      </c>
      <c r="W1462" s="209" t="s">
        <v>49</v>
      </c>
      <c r="X1462" s="13" t="str">
        <f>IF(RIGHT(H1462,2)&lt;&gt;"00",H1462,"")</f>
        <v/>
      </c>
      <c r="Y1462" s="26">
        <f ca="1">NETWORKDAYS(P1462,$Y$1)</f>
        <v>3</v>
      </c>
      <c r="Z1462" s="34">
        <v>1</v>
      </c>
      <c r="AA1462" s="25" t="str">
        <f t="shared" ca="1" si="132"/>
        <v>A VENCER</v>
      </c>
      <c r="AB1462" s="25" t="str">
        <f t="shared" si="133"/>
        <v>Dosa</v>
      </c>
      <c r="AC1462" s="2" t="str">
        <f t="shared" si="131"/>
        <v xml:space="preserve"> CLEITON </v>
      </c>
      <c r="AD1462" s="26">
        <f t="shared" si="134"/>
        <v>5</v>
      </c>
      <c r="AE1462" s="26">
        <f t="shared" ca="1" si="135"/>
        <v>1.9538758101843996</v>
      </c>
    </row>
    <row r="1463" spans="1:31" hidden="1">
      <c r="A1463" s="209">
        <v>9518386</v>
      </c>
      <c r="B1463" s="209" t="s">
        <v>81</v>
      </c>
      <c r="C1463" s="210" t="s">
        <v>4210</v>
      </c>
      <c r="D1463" s="214"/>
      <c r="E1463" s="214">
        <v>4235000206001</v>
      </c>
      <c r="F1463" s="209" t="s">
        <v>29</v>
      </c>
      <c r="G1463" s="209" t="s">
        <v>53</v>
      </c>
      <c r="H1463" s="209" t="s">
        <v>291</v>
      </c>
      <c r="I1463" s="209" t="s">
        <v>292</v>
      </c>
      <c r="J1463" s="209" t="s">
        <v>46</v>
      </c>
      <c r="K1463" s="210" t="s">
        <v>34</v>
      </c>
      <c r="L1463" s="210"/>
      <c r="M1463" s="209" t="s">
        <v>35</v>
      </c>
      <c r="N1463" s="209">
        <v>42318949</v>
      </c>
      <c r="O1463" s="209" t="s">
        <v>105</v>
      </c>
      <c r="P1463" s="211" t="s">
        <v>4233</v>
      </c>
      <c r="Q1463" s="209"/>
      <c r="R1463" s="209" t="s">
        <v>38</v>
      </c>
      <c r="S1463" s="209"/>
      <c r="T1463" s="209" t="s">
        <v>74</v>
      </c>
      <c r="U1463" s="211" t="s">
        <v>4702</v>
      </c>
      <c r="V1463" s="209" t="s">
        <v>41</v>
      </c>
      <c r="W1463" s="209" t="s">
        <v>49</v>
      </c>
      <c r="X1463" s="13" t="str">
        <f>IF(RIGHT(H1463,2)&lt;&gt;"00",H1463,"")</f>
        <v/>
      </c>
      <c r="Y1463" s="26">
        <f ca="1">NETWORKDAYS(P1463,$Y$1)</f>
        <v>3</v>
      </c>
      <c r="Z1463" s="34">
        <v>1</v>
      </c>
      <c r="AA1463" s="25" t="str">
        <f t="shared" ca="1" si="132"/>
        <v>A VENCER</v>
      </c>
      <c r="AB1463" s="25" t="str">
        <f t="shared" si="133"/>
        <v>Dosa</v>
      </c>
      <c r="AC1463" s="2" t="str">
        <f t="shared" si="131"/>
        <v xml:space="preserve"> CLEITON </v>
      </c>
      <c r="AD1463" s="26">
        <f t="shared" si="134"/>
        <v>5</v>
      </c>
      <c r="AE1463" s="26">
        <f t="shared" ca="1" si="135"/>
        <v>1.9539105324074626</v>
      </c>
    </row>
    <row r="1464" spans="1:31" hidden="1">
      <c r="A1464" s="209">
        <v>9518298</v>
      </c>
      <c r="B1464" s="209" t="s">
        <v>81</v>
      </c>
      <c r="C1464" s="210" t="s">
        <v>4210</v>
      </c>
      <c r="D1464" s="214"/>
      <c r="E1464" s="214">
        <v>4119000206001</v>
      </c>
      <c r="F1464" s="209" t="s">
        <v>29</v>
      </c>
      <c r="G1464" s="209" t="s">
        <v>53</v>
      </c>
      <c r="H1464" s="209" t="s">
        <v>297</v>
      </c>
      <c r="I1464" s="209" t="s">
        <v>298</v>
      </c>
      <c r="J1464" s="209" t="s">
        <v>211</v>
      </c>
      <c r="K1464" s="210" t="s">
        <v>34</v>
      </c>
      <c r="L1464" s="210"/>
      <c r="M1464" s="209" t="s">
        <v>35</v>
      </c>
      <c r="N1464" s="209">
        <v>42318949</v>
      </c>
      <c r="O1464" s="209" t="s">
        <v>105</v>
      </c>
      <c r="P1464" s="211" t="s">
        <v>4234</v>
      </c>
      <c r="Q1464" s="209"/>
      <c r="R1464" s="209" t="s">
        <v>38</v>
      </c>
      <c r="S1464" s="209"/>
      <c r="T1464" s="209" t="s">
        <v>74</v>
      </c>
      <c r="U1464" s="211" t="s">
        <v>4703</v>
      </c>
      <c r="V1464" s="209" t="s">
        <v>41</v>
      </c>
      <c r="W1464" s="209" t="s">
        <v>49</v>
      </c>
      <c r="X1464" s="13" t="str">
        <f>IF(RIGHT(H1464,2)&lt;&gt;"00",H1464,"")</f>
        <v/>
      </c>
      <c r="Y1464" s="26">
        <f ca="1">NETWORKDAYS(P1464,$Y$1)</f>
        <v>3</v>
      </c>
      <c r="Z1464" s="34">
        <v>1</v>
      </c>
      <c r="AA1464" s="25" t="str">
        <f t="shared" ca="1" si="132"/>
        <v>A VENCER</v>
      </c>
      <c r="AB1464" s="25" t="str">
        <f t="shared" si="133"/>
        <v>Dosa</v>
      </c>
      <c r="AC1464" s="2" t="str">
        <f t="shared" si="131"/>
        <v xml:space="preserve"> RINALDO </v>
      </c>
      <c r="AD1464" s="26">
        <f t="shared" si="134"/>
        <v>5</v>
      </c>
      <c r="AE1464" s="26">
        <f t="shared" ca="1" si="135"/>
        <v>1.9540494212997146</v>
      </c>
    </row>
    <row r="1465" spans="1:31" hidden="1">
      <c r="A1465" s="209">
        <v>9518297</v>
      </c>
      <c r="B1465" s="209" t="s">
        <v>81</v>
      </c>
      <c r="C1465" s="210" t="s">
        <v>4210</v>
      </c>
      <c r="D1465" s="214"/>
      <c r="E1465" s="214">
        <v>4118000206001</v>
      </c>
      <c r="F1465" s="209" t="s">
        <v>29</v>
      </c>
      <c r="G1465" s="209" t="s">
        <v>53</v>
      </c>
      <c r="H1465" s="209" t="s">
        <v>71</v>
      </c>
      <c r="I1465" s="209" t="s">
        <v>72</v>
      </c>
      <c r="J1465" s="209" t="s">
        <v>46</v>
      </c>
      <c r="K1465" s="210" t="s">
        <v>34</v>
      </c>
      <c r="L1465" s="210"/>
      <c r="M1465" s="209" t="s">
        <v>35</v>
      </c>
      <c r="N1465" s="209">
        <v>42318949</v>
      </c>
      <c r="O1465" s="209" t="s">
        <v>105</v>
      </c>
      <c r="P1465" s="211" t="s">
        <v>4234</v>
      </c>
      <c r="Q1465" s="209"/>
      <c r="R1465" s="209" t="s">
        <v>38</v>
      </c>
      <c r="S1465" s="209"/>
      <c r="T1465" s="209" t="s">
        <v>74</v>
      </c>
      <c r="U1465" s="211" t="s">
        <v>4703</v>
      </c>
      <c r="V1465" s="209" t="s">
        <v>41</v>
      </c>
      <c r="W1465" s="209" t="s">
        <v>49</v>
      </c>
      <c r="X1465" s="13" t="str">
        <f>IF(RIGHT(H1465,2)&lt;&gt;"00",H1465,"")</f>
        <v/>
      </c>
      <c r="Y1465" s="26">
        <f ca="1">NETWORKDAYS(P1465,$Y$1)</f>
        <v>3</v>
      </c>
      <c r="Z1465" s="34">
        <v>1</v>
      </c>
      <c r="AA1465" s="25" t="str">
        <f t="shared" ca="1" si="132"/>
        <v>A VENCER</v>
      </c>
      <c r="AB1465" s="25" t="str">
        <f t="shared" si="133"/>
        <v>Dosa</v>
      </c>
      <c r="AC1465" s="2" t="str">
        <f t="shared" si="131"/>
        <v xml:space="preserve"> CLEITON </v>
      </c>
      <c r="AD1465" s="26">
        <f t="shared" si="134"/>
        <v>5</v>
      </c>
      <c r="AE1465" s="26">
        <f t="shared" ca="1" si="135"/>
        <v>1.9540494212997146</v>
      </c>
    </row>
    <row r="1466" spans="1:31" hidden="1">
      <c r="A1466" s="209">
        <v>9518269</v>
      </c>
      <c r="B1466" s="209" t="s">
        <v>81</v>
      </c>
      <c r="C1466" s="210" t="s">
        <v>4210</v>
      </c>
      <c r="D1466" s="214"/>
      <c r="E1466" s="214">
        <v>4076000206001</v>
      </c>
      <c r="F1466" s="209" t="s">
        <v>29</v>
      </c>
      <c r="G1466" s="209" t="s">
        <v>53</v>
      </c>
      <c r="H1466" s="209" t="s">
        <v>426</v>
      </c>
      <c r="I1466" s="209" t="s">
        <v>427</v>
      </c>
      <c r="J1466" s="209" t="s">
        <v>79</v>
      </c>
      <c r="K1466" s="210" t="s">
        <v>34</v>
      </c>
      <c r="L1466" s="210"/>
      <c r="M1466" s="209" t="s">
        <v>35</v>
      </c>
      <c r="N1466" s="209">
        <v>42318949</v>
      </c>
      <c r="O1466" s="209" t="s">
        <v>105</v>
      </c>
      <c r="P1466" s="211" t="s">
        <v>4704</v>
      </c>
      <c r="Q1466" s="209"/>
      <c r="R1466" s="209" t="s">
        <v>38</v>
      </c>
      <c r="S1466" s="209"/>
      <c r="T1466" s="209" t="s">
        <v>74</v>
      </c>
      <c r="U1466" s="211" t="s">
        <v>4705</v>
      </c>
      <c r="V1466" s="209" t="s">
        <v>41</v>
      </c>
      <c r="W1466" s="209" t="s">
        <v>49</v>
      </c>
      <c r="X1466" s="13" t="str">
        <f>IF(RIGHT(H1466,2)&lt;&gt;"00",H1466,"")</f>
        <v/>
      </c>
      <c r="Y1466" s="26">
        <f ca="1">NETWORKDAYS(P1466,$Y$1)</f>
        <v>3</v>
      </c>
      <c r="Z1466" s="34">
        <v>1</v>
      </c>
      <c r="AA1466" s="25" t="str">
        <f t="shared" ca="1" si="132"/>
        <v>A VENCER</v>
      </c>
      <c r="AB1466" s="25" t="str">
        <f t="shared" si="133"/>
        <v>Dosa</v>
      </c>
      <c r="AC1466" s="2" t="str">
        <f t="shared" si="131"/>
        <v xml:space="preserve"> ROSEMERE </v>
      </c>
      <c r="AD1466" s="26">
        <f t="shared" si="134"/>
        <v>5</v>
      </c>
      <c r="AE1466" s="26">
        <f t="shared" ca="1" si="135"/>
        <v>1.9540841435155016</v>
      </c>
    </row>
    <row r="1467" spans="1:31" hidden="1">
      <c r="A1467" s="209">
        <v>9518221</v>
      </c>
      <c r="B1467" s="209" t="s">
        <v>81</v>
      </c>
      <c r="C1467" s="210" t="s">
        <v>4210</v>
      </c>
      <c r="D1467" s="214"/>
      <c r="E1467" s="214">
        <v>4012000206001</v>
      </c>
      <c r="F1467" s="209" t="s">
        <v>29</v>
      </c>
      <c r="G1467" s="209" t="s">
        <v>53</v>
      </c>
      <c r="H1467" s="209" t="s">
        <v>349</v>
      </c>
      <c r="I1467" s="209" t="s">
        <v>350</v>
      </c>
      <c r="J1467" s="209" t="s">
        <v>261</v>
      </c>
      <c r="K1467" s="210" t="s">
        <v>34</v>
      </c>
      <c r="L1467" s="210"/>
      <c r="M1467" s="209" t="s">
        <v>35</v>
      </c>
      <c r="N1467" s="209">
        <v>42318949</v>
      </c>
      <c r="O1467" s="209" t="s">
        <v>105</v>
      </c>
      <c r="P1467" s="211" t="s">
        <v>4706</v>
      </c>
      <c r="Q1467" s="209"/>
      <c r="R1467" s="209" t="s">
        <v>38</v>
      </c>
      <c r="S1467" s="209"/>
      <c r="T1467" s="209" t="s">
        <v>74</v>
      </c>
      <c r="U1467" s="211" t="s">
        <v>4707</v>
      </c>
      <c r="V1467" s="209" t="s">
        <v>41</v>
      </c>
      <c r="W1467" s="209" t="s">
        <v>49</v>
      </c>
      <c r="X1467" s="13" t="str">
        <f>IF(RIGHT(H1467,2)&lt;&gt;"00",H1467,"")</f>
        <v/>
      </c>
      <c r="Y1467" s="26">
        <f ca="1">NETWORKDAYS(P1467,$Y$1)</f>
        <v>3</v>
      </c>
      <c r="Z1467" s="34">
        <v>1</v>
      </c>
      <c r="AA1467" s="25" t="str">
        <f t="shared" ca="1" si="132"/>
        <v>A VENCER</v>
      </c>
      <c r="AB1467" s="25" t="str">
        <f t="shared" si="133"/>
        <v>Dosa</v>
      </c>
      <c r="AC1467" s="2" t="str">
        <f t="shared" si="131"/>
        <v xml:space="preserve"> CRISTINA </v>
      </c>
      <c r="AD1467" s="26">
        <f t="shared" si="134"/>
        <v>5</v>
      </c>
      <c r="AE1467" s="26">
        <f t="shared" ca="1" si="135"/>
        <v>1.9541651620384073</v>
      </c>
    </row>
    <row r="1468" spans="1:31" hidden="1">
      <c r="A1468" s="209">
        <v>9518146</v>
      </c>
      <c r="B1468" s="209" t="s">
        <v>81</v>
      </c>
      <c r="C1468" s="210" t="s">
        <v>4210</v>
      </c>
      <c r="D1468" s="214"/>
      <c r="E1468" s="214">
        <v>3924000206001</v>
      </c>
      <c r="F1468" s="209" t="s">
        <v>29</v>
      </c>
      <c r="G1468" s="209" t="s">
        <v>53</v>
      </c>
      <c r="H1468" s="209" t="s">
        <v>153</v>
      </c>
      <c r="I1468" s="209" t="s">
        <v>154</v>
      </c>
      <c r="J1468" s="209" t="s">
        <v>56</v>
      </c>
      <c r="K1468" s="210" t="s">
        <v>34</v>
      </c>
      <c r="L1468" s="210"/>
      <c r="M1468" s="209" t="s">
        <v>35</v>
      </c>
      <c r="N1468" s="209">
        <v>42318949</v>
      </c>
      <c r="O1468" s="209" t="s">
        <v>105</v>
      </c>
      <c r="P1468" s="211" t="s">
        <v>4708</v>
      </c>
      <c r="Q1468" s="209"/>
      <c r="R1468" s="209" t="s">
        <v>38</v>
      </c>
      <c r="S1468" s="209"/>
      <c r="T1468" s="209" t="s">
        <v>74</v>
      </c>
      <c r="U1468" s="211" t="s">
        <v>4709</v>
      </c>
      <c r="V1468" s="209" t="s">
        <v>41</v>
      </c>
      <c r="W1468" s="209" t="s">
        <v>49</v>
      </c>
      <c r="X1468" s="13" t="str">
        <f>IF(RIGHT(H1468,2)&lt;&gt;"00",H1468,"")</f>
        <v/>
      </c>
      <c r="Y1468" s="26">
        <f ca="1">NETWORKDAYS(P1468,$Y$1)</f>
        <v>3</v>
      </c>
      <c r="Z1468" s="34">
        <v>1</v>
      </c>
      <c r="AA1468" s="25" t="str">
        <f t="shared" ca="1" si="132"/>
        <v>A VENCER</v>
      </c>
      <c r="AB1468" s="25" t="str">
        <f t="shared" si="133"/>
        <v>Dosa</v>
      </c>
      <c r="AC1468" s="2" t="str">
        <f t="shared" si="131"/>
        <v xml:space="preserve"> CRISTINA </v>
      </c>
      <c r="AD1468" s="26">
        <f t="shared" si="134"/>
        <v>5</v>
      </c>
      <c r="AE1468" s="26">
        <f t="shared" ca="1" si="135"/>
        <v>1.9542693287003203</v>
      </c>
    </row>
    <row r="1469" spans="1:31" hidden="1">
      <c r="A1469" s="209">
        <v>9518142</v>
      </c>
      <c r="B1469" s="209" t="s">
        <v>81</v>
      </c>
      <c r="C1469" s="210" t="s">
        <v>4210</v>
      </c>
      <c r="D1469" s="214"/>
      <c r="E1469" s="214">
        <v>3918000206001</v>
      </c>
      <c r="F1469" s="209" t="s">
        <v>29</v>
      </c>
      <c r="G1469" s="209" t="s">
        <v>53</v>
      </c>
      <c r="H1469" s="209" t="s">
        <v>858</v>
      </c>
      <c r="I1469" s="209" t="s">
        <v>859</v>
      </c>
      <c r="J1469" s="209" t="s">
        <v>33</v>
      </c>
      <c r="K1469" s="210" t="s">
        <v>34</v>
      </c>
      <c r="L1469" s="210"/>
      <c r="M1469" s="209" t="s">
        <v>35</v>
      </c>
      <c r="N1469" s="209">
        <v>42318949</v>
      </c>
      <c r="O1469" s="209" t="s">
        <v>105</v>
      </c>
      <c r="P1469" s="211" t="s">
        <v>4708</v>
      </c>
      <c r="Q1469" s="209"/>
      <c r="R1469" s="209" t="s">
        <v>38</v>
      </c>
      <c r="S1469" s="209"/>
      <c r="T1469" s="209" t="s">
        <v>74</v>
      </c>
      <c r="U1469" s="211" t="s">
        <v>4709</v>
      </c>
      <c r="V1469" s="209" t="s">
        <v>41</v>
      </c>
      <c r="W1469" s="209" t="s">
        <v>49</v>
      </c>
      <c r="X1469" s="13" t="str">
        <f>IF(RIGHT(H1469,2)&lt;&gt;"00",H1469,"")</f>
        <v/>
      </c>
      <c r="Y1469" s="26">
        <f ca="1">NETWORKDAYS(P1469,$Y$1)</f>
        <v>3</v>
      </c>
      <c r="Z1469" s="34">
        <v>1</v>
      </c>
      <c r="AA1469" s="25" t="str">
        <f t="shared" ca="1" si="132"/>
        <v>A VENCER</v>
      </c>
      <c r="AB1469" s="25" t="str">
        <f t="shared" si="133"/>
        <v>Dosa</v>
      </c>
      <c r="AC1469" s="2" t="str">
        <f t="shared" si="131"/>
        <v xml:space="preserve"> ROSEMERE </v>
      </c>
      <c r="AD1469" s="26">
        <f t="shared" si="134"/>
        <v>5</v>
      </c>
      <c r="AE1469" s="26">
        <f t="shared" ca="1" si="135"/>
        <v>1.9542693287003203</v>
      </c>
    </row>
    <row r="1470" spans="1:31" hidden="1">
      <c r="A1470" s="209">
        <v>9518054</v>
      </c>
      <c r="B1470" s="209" t="s">
        <v>81</v>
      </c>
      <c r="C1470" s="210" t="s">
        <v>4210</v>
      </c>
      <c r="D1470" s="214"/>
      <c r="E1470" s="214">
        <v>3802000206001</v>
      </c>
      <c r="F1470" s="209" t="s">
        <v>29</v>
      </c>
      <c r="G1470" s="209" t="s">
        <v>53</v>
      </c>
      <c r="H1470" s="209" t="s">
        <v>319</v>
      </c>
      <c r="I1470" s="209" t="s">
        <v>320</v>
      </c>
      <c r="J1470" s="209" t="s">
        <v>148</v>
      </c>
      <c r="K1470" s="210" t="s">
        <v>34</v>
      </c>
      <c r="L1470" s="210"/>
      <c r="M1470" s="209" t="s">
        <v>35</v>
      </c>
      <c r="N1470" s="209">
        <v>42318949</v>
      </c>
      <c r="O1470" s="209" t="s">
        <v>105</v>
      </c>
      <c r="P1470" s="211" t="s">
        <v>4710</v>
      </c>
      <c r="Q1470" s="209"/>
      <c r="R1470" s="209" t="s">
        <v>38</v>
      </c>
      <c r="S1470" s="209"/>
      <c r="T1470" s="209" t="s">
        <v>74</v>
      </c>
      <c r="U1470" s="211" t="s">
        <v>4711</v>
      </c>
      <c r="V1470" s="209" t="s">
        <v>41</v>
      </c>
      <c r="W1470" s="209" t="s">
        <v>49</v>
      </c>
      <c r="X1470" s="13" t="str">
        <f>IF(RIGHT(H1470,2)&lt;&gt;"00",H1470,"")</f>
        <v/>
      </c>
      <c r="Y1470" s="26">
        <f ca="1">NETWORKDAYS(P1470,$Y$1)</f>
        <v>3</v>
      </c>
      <c r="Z1470" s="34">
        <v>1</v>
      </c>
      <c r="AA1470" s="25" t="str">
        <f t="shared" ca="1" si="132"/>
        <v>A VENCER</v>
      </c>
      <c r="AB1470" s="25" t="str">
        <f t="shared" si="133"/>
        <v>Dosa</v>
      </c>
      <c r="AC1470" s="2" t="str">
        <f t="shared" si="131"/>
        <v xml:space="preserve"> RINALDO </v>
      </c>
      <c r="AD1470" s="26">
        <f t="shared" si="134"/>
        <v>5</v>
      </c>
      <c r="AE1470" s="26">
        <f t="shared" ca="1" si="135"/>
        <v>1.9544082175925723</v>
      </c>
    </row>
    <row r="1471" spans="1:31" hidden="1">
      <c r="A1471" s="209">
        <v>9517985</v>
      </c>
      <c r="B1471" s="209" t="s">
        <v>81</v>
      </c>
      <c r="C1471" s="210" t="s">
        <v>4210</v>
      </c>
      <c r="D1471" s="214"/>
      <c r="E1471" s="214">
        <v>3699000206001</v>
      </c>
      <c r="F1471" s="209" t="s">
        <v>29</v>
      </c>
      <c r="G1471" s="209" t="s">
        <v>53</v>
      </c>
      <c r="H1471" s="209" t="s">
        <v>343</v>
      </c>
      <c r="I1471" s="209" t="s">
        <v>344</v>
      </c>
      <c r="J1471" s="209" t="s">
        <v>46</v>
      </c>
      <c r="K1471" s="210" t="s">
        <v>34</v>
      </c>
      <c r="L1471" s="210"/>
      <c r="M1471" s="209" t="s">
        <v>35</v>
      </c>
      <c r="N1471" s="209">
        <v>42318949</v>
      </c>
      <c r="O1471" s="209" t="s">
        <v>105</v>
      </c>
      <c r="P1471" s="211" t="s">
        <v>4712</v>
      </c>
      <c r="Q1471" s="209"/>
      <c r="R1471" s="209" t="s">
        <v>38</v>
      </c>
      <c r="S1471" s="209"/>
      <c r="T1471" s="209" t="s">
        <v>74</v>
      </c>
      <c r="U1471" s="211" t="s">
        <v>4713</v>
      </c>
      <c r="V1471" s="209" t="s">
        <v>41</v>
      </c>
      <c r="W1471" s="209" t="s">
        <v>49</v>
      </c>
      <c r="X1471" s="13" t="str">
        <f>IF(RIGHT(H1471,2)&lt;&gt;"00",H1471,"")</f>
        <v/>
      </c>
      <c r="Y1471" s="26">
        <f ca="1">NETWORKDAYS(P1471,$Y$1)</f>
        <v>3</v>
      </c>
      <c r="Z1471" s="34">
        <v>1</v>
      </c>
      <c r="AA1471" s="25" t="str">
        <f t="shared" ca="1" si="132"/>
        <v>A VENCER</v>
      </c>
      <c r="AB1471" s="25" t="str">
        <f t="shared" si="133"/>
        <v>Dosa</v>
      </c>
      <c r="AC1471" s="2" t="str">
        <f t="shared" si="131"/>
        <v xml:space="preserve"> CLEITON </v>
      </c>
      <c r="AD1471" s="26">
        <f t="shared" si="134"/>
        <v>5</v>
      </c>
      <c r="AE1471" s="26">
        <f t="shared" ca="1" si="135"/>
        <v>1.9545123842617613</v>
      </c>
    </row>
    <row r="1472" spans="1:31" hidden="1">
      <c r="A1472" s="209">
        <v>9517910</v>
      </c>
      <c r="B1472" s="209" t="s">
        <v>81</v>
      </c>
      <c r="C1472" s="210" t="s">
        <v>4210</v>
      </c>
      <c r="D1472" s="214"/>
      <c r="E1472" s="214">
        <v>3613200206001</v>
      </c>
      <c r="F1472" s="209" t="s">
        <v>29</v>
      </c>
      <c r="G1472" s="209" t="s">
        <v>53</v>
      </c>
      <c r="H1472" s="209" t="s">
        <v>496</v>
      </c>
      <c r="I1472" s="209" t="s">
        <v>198</v>
      </c>
      <c r="J1472" s="209" t="s">
        <v>46</v>
      </c>
      <c r="K1472" s="210" t="s">
        <v>34</v>
      </c>
      <c r="L1472" s="210"/>
      <c r="M1472" s="209" t="s">
        <v>35</v>
      </c>
      <c r="N1472" s="209">
        <v>42318949</v>
      </c>
      <c r="O1472" s="209" t="s">
        <v>105</v>
      </c>
      <c r="P1472" s="211" t="s">
        <v>4714</v>
      </c>
      <c r="Q1472" s="209"/>
      <c r="R1472" s="209" t="s">
        <v>38</v>
      </c>
      <c r="S1472" s="209"/>
      <c r="T1472" s="209" t="s">
        <v>74</v>
      </c>
      <c r="U1472" s="211" t="s">
        <v>4715</v>
      </c>
      <c r="V1472" s="209" t="s">
        <v>41</v>
      </c>
      <c r="W1472" s="209" t="s">
        <v>49</v>
      </c>
      <c r="X1472" s="13" t="str">
        <f>IF(RIGHT(H1472,2)&lt;&gt;"00",H1472,"")</f>
        <v>3613.20</v>
      </c>
      <c r="Y1472" s="26">
        <f ca="1">NETWORKDAYS(P1472,$Y$1)</f>
        <v>3</v>
      </c>
      <c r="Z1472" s="34">
        <v>1</v>
      </c>
      <c r="AA1472" s="25" t="str">
        <f t="shared" ca="1" si="132"/>
        <v>A VENCER</v>
      </c>
      <c r="AB1472" s="25" t="str">
        <f t="shared" si="133"/>
        <v>Dosa</v>
      </c>
      <c r="AC1472" s="2" t="str">
        <f t="shared" si="131"/>
        <v xml:space="preserve"> CLEITON </v>
      </c>
      <c r="AD1472" s="26">
        <f t="shared" si="134"/>
        <v>5</v>
      </c>
      <c r="AE1472" s="26">
        <f t="shared" ca="1" si="135"/>
        <v>1.9546165509236744</v>
      </c>
    </row>
    <row r="1473" spans="1:31" hidden="1">
      <c r="A1473" s="209">
        <v>9517909</v>
      </c>
      <c r="B1473" s="209" t="s">
        <v>81</v>
      </c>
      <c r="C1473" s="210" t="s">
        <v>4210</v>
      </c>
      <c r="D1473" s="214"/>
      <c r="E1473" s="214">
        <v>3613000206001</v>
      </c>
      <c r="F1473" s="209" t="s">
        <v>29</v>
      </c>
      <c r="G1473" s="209" t="s">
        <v>53</v>
      </c>
      <c r="H1473" s="209" t="s">
        <v>679</v>
      </c>
      <c r="I1473" s="209" t="s">
        <v>680</v>
      </c>
      <c r="J1473" s="209" t="s">
        <v>46</v>
      </c>
      <c r="K1473" s="210" t="s">
        <v>34</v>
      </c>
      <c r="L1473" s="210"/>
      <c r="M1473" s="209" t="s">
        <v>35</v>
      </c>
      <c r="N1473" s="209">
        <v>42318949</v>
      </c>
      <c r="O1473" s="209" t="s">
        <v>105</v>
      </c>
      <c r="P1473" s="211" t="s">
        <v>4714</v>
      </c>
      <c r="Q1473" s="209"/>
      <c r="R1473" s="209" t="s">
        <v>38</v>
      </c>
      <c r="S1473" s="209"/>
      <c r="T1473" s="209" t="s">
        <v>74</v>
      </c>
      <c r="U1473" s="211" t="s">
        <v>4715</v>
      </c>
      <c r="V1473" s="209" t="s">
        <v>41</v>
      </c>
      <c r="W1473" s="209" t="s">
        <v>49</v>
      </c>
      <c r="X1473" s="13" t="str">
        <f>IF(RIGHT(H1473,2)&lt;&gt;"00",H1473,"")</f>
        <v/>
      </c>
      <c r="Y1473" s="26">
        <f ca="1">NETWORKDAYS(P1473,$Y$1)</f>
        <v>3</v>
      </c>
      <c r="Z1473" s="34">
        <v>1</v>
      </c>
      <c r="AA1473" s="25" t="str">
        <f t="shared" ca="1" si="132"/>
        <v>A VENCER</v>
      </c>
      <c r="AB1473" s="25" t="str">
        <f t="shared" si="133"/>
        <v>Dosa</v>
      </c>
      <c r="AC1473" s="2" t="str">
        <f t="shared" si="131"/>
        <v xml:space="preserve"> CLEITON </v>
      </c>
      <c r="AD1473" s="26">
        <f t="shared" si="134"/>
        <v>5</v>
      </c>
      <c r="AE1473" s="26">
        <f t="shared" ca="1" si="135"/>
        <v>1.9546165509236744</v>
      </c>
    </row>
    <row r="1474" spans="1:31" hidden="1">
      <c r="A1474" s="209">
        <v>9517833</v>
      </c>
      <c r="B1474" s="209" t="s">
        <v>81</v>
      </c>
      <c r="C1474" s="210" t="s">
        <v>4210</v>
      </c>
      <c r="D1474" s="214"/>
      <c r="E1474" s="214">
        <v>3504000206001</v>
      </c>
      <c r="F1474" s="209" t="s">
        <v>29</v>
      </c>
      <c r="G1474" s="209" t="s">
        <v>53</v>
      </c>
      <c r="H1474" s="209" t="s">
        <v>585</v>
      </c>
      <c r="I1474" s="209" t="s">
        <v>586</v>
      </c>
      <c r="J1474" s="209" t="s">
        <v>46</v>
      </c>
      <c r="K1474" s="210" t="s">
        <v>34</v>
      </c>
      <c r="L1474" s="210"/>
      <c r="M1474" s="209" t="s">
        <v>35</v>
      </c>
      <c r="N1474" s="209">
        <v>42318949</v>
      </c>
      <c r="O1474" s="209" t="s">
        <v>105</v>
      </c>
      <c r="P1474" s="211" t="s">
        <v>4716</v>
      </c>
      <c r="Q1474" s="209"/>
      <c r="R1474" s="209" t="s">
        <v>38</v>
      </c>
      <c r="S1474" s="209"/>
      <c r="T1474" s="209" t="s">
        <v>74</v>
      </c>
      <c r="U1474" s="211" t="s">
        <v>4717</v>
      </c>
      <c r="V1474" s="209" t="s">
        <v>41</v>
      </c>
      <c r="W1474" s="209" t="s">
        <v>49</v>
      </c>
      <c r="X1474" s="13" t="str">
        <f>IF(RIGHT(H1474,2)&lt;&gt;"00",H1474,"")</f>
        <v/>
      </c>
      <c r="Y1474" s="26">
        <f ca="1">NETWORKDAYS(P1474,$Y$1)</f>
        <v>3</v>
      </c>
      <c r="Z1474" s="34">
        <v>1</v>
      </c>
      <c r="AA1474" s="25" t="str">
        <f t="shared" ca="1" si="132"/>
        <v>A VENCER</v>
      </c>
      <c r="AB1474" s="25" t="str">
        <f t="shared" si="133"/>
        <v>Dosa</v>
      </c>
      <c r="AC1474" s="2" t="str">
        <f t="shared" si="131"/>
        <v xml:space="preserve"> CLEITON </v>
      </c>
      <c r="AD1474" s="26">
        <f t="shared" si="134"/>
        <v>5</v>
      </c>
      <c r="AE1474" s="26">
        <f t="shared" ca="1" si="135"/>
        <v>1.954732291669643</v>
      </c>
    </row>
    <row r="1475" spans="1:31" hidden="1">
      <c r="A1475" s="209">
        <v>9517832</v>
      </c>
      <c r="B1475" s="209" t="s">
        <v>81</v>
      </c>
      <c r="C1475" s="210" t="s">
        <v>4210</v>
      </c>
      <c r="D1475" s="214"/>
      <c r="E1475" s="214">
        <v>3503000206001</v>
      </c>
      <c r="F1475" s="209" t="s">
        <v>29</v>
      </c>
      <c r="G1475" s="209" t="s">
        <v>53</v>
      </c>
      <c r="H1475" s="209" t="s">
        <v>398</v>
      </c>
      <c r="I1475" s="209" t="s">
        <v>399</v>
      </c>
      <c r="J1475" s="209" t="s">
        <v>46</v>
      </c>
      <c r="K1475" s="210" t="s">
        <v>34</v>
      </c>
      <c r="L1475" s="210"/>
      <c r="M1475" s="209" t="s">
        <v>35</v>
      </c>
      <c r="N1475" s="209">
        <v>42318949</v>
      </c>
      <c r="O1475" s="209" t="s">
        <v>105</v>
      </c>
      <c r="P1475" s="211" t="s">
        <v>4716</v>
      </c>
      <c r="Q1475" s="209"/>
      <c r="R1475" s="209" t="s">
        <v>38</v>
      </c>
      <c r="S1475" s="209"/>
      <c r="T1475" s="209" t="s">
        <v>74</v>
      </c>
      <c r="U1475" s="211" t="s">
        <v>4717</v>
      </c>
      <c r="V1475" s="209" t="s">
        <v>41</v>
      </c>
      <c r="W1475" s="209" t="s">
        <v>49</v>
      </c>
      <c r="X1475" s="13" t="str">
        <f>IF(RIGHT(H1475,2)&lt;&gt;"00",H1475,"")</f>
        <v/>
      </c>
      <c r="Y1475" s="26">
        <f ca="1">NETWORKDAYS(P1475,$Y$1)</f>
        <v>3</v>
      </c>
      <c r="Z1475" s="34">
        <v>1</v>
      </c>
      <c r="AA1475" s="25" t="str">
        <f t="shared" ca="1" si="132"/>
        <v>A VENCER</v>
      </c>
      <c r="AB1475" s="25" t="str">
        <f t="shared" si="133"/>
        <v>Dosa</v>
      </c>
      <c r="AC1475" s="2" t="str">
        <f t="shared" ref="AC1475:AC1538" si="136">IF(J1475="TR-PETROLINA"," ROSEMERE ",IF(J1475="TR-GARANHUNS"," ROSEMERE ",IF(J1475="TR-CARUARU"," ROSEMERE ",IF(J1475="TR-RIBEIRAO"," CRISTINA ",IF(J1475="TR-GRAVATA"," CRISTINA ",IF(J1475="TR-GOIANA"," CRISTINA ",IF(J1475="TR-LIMOEIRO"," CRISTINA ",IF(J1475="TR-SERRA TALHADA"," RINALDO ",IF(J1475="TR-SALGUEIRO"," RINALDO ",IF(J1475="TR-CARNAIBA"," RINALDO ",IF(J1475="TR-ARCOVERDE"," RINALDO ",IF(J1475="CAT-RECIFE"," CLEITON ",))))))))))))</f>
        <v xml:space="preserve"> CLEITON </v>
      </c>
      <c r="AD1475" s="26">
        <f t="shared" si="134"/>
        <v>5</v>
      </c>
      <c r="AE1475" s="26">
        <f t="shared" ca="1" si="135"/>
        <v>1.954732291669643</v>
      </c>
    </row>
    <row r="1476" spans="1:31" hidden="1">
      <c r="A1476" s="209">
        <v>9517788</v>
      </c>
      <c r="B1476" s="209" t="s">
        <v>81</v>
      </c>
      <c r="C1476" s="210" t="s">
        <v>4210</v>
      </c>
      <c r="D1476" s="214"/>
      <c r="E1476" s="214">
        <v>3434000206001</v>
      </c>
      <c r="F1476" s="209" t="s">
        <v>29</v>
      </c>
      <c r="G1476" s="209" t="s">
        <v>53</v>
      </c>
      <c r="H1476" s="209" t="s">
        <v>1825</v>
      </c>
      <c r="I1476" s="209" t="s">
        <v>1826</v>
      </c>
      <c r="J1476" s="209" t="s">
        <v>46</v>
      </c>
      <c r="K1476" s="210" t="s">
        <v>34</v>
      </c>
      <c r="L1476" s="210"/>
      <c r="M1476" s="209" t="s">
        <v>35</v>
      </c>
      <c r="N1476" s="209">
        <v>42318949</v>
      </c>
      <c r="O1476" s="209" t="s">
        <v>105</v>
      </c>
      <c r="P1476" s="211" t="s">
        <v>4718</v>
      </c>
      <c r="Q1476" s="209"/>
      <c r="R1476" s="209" t="s">
        <v>38</v>
      </c>
      <c r="S1476" s="209"/>
      <c r="T1476" s="209" t="s">
        <v>74</v>
      </c>
      <c r="U1476" s="211" t="s">
        <v>4719</v>
      </c>
      <c r="V1476" s="209" t="s">
        <v>41</v>
      </c>
      <c r="W1476" s="209" t="s">
        <v>49</v>
      </c>
      <c r="X1476" s="13" t="str">
        <f>IF(RIGHT(H1476,2)&lt;&gt;"00",H1476,"")</f>
        <v/>
      </c>
      <c r="Y1476" s="26">
        <f ca="1">NETWORKDAYS(P1476,$Y$1)</f>
        <v>3</v>
      </c>
      <c r="Z1476" s="34">
        <v>1</v>
      </c>
      <c r="AA1476" s="25" t="str">
        <f t="shared" ca="1" si="132"/>
        <v>A VENCER</v>
      </c>
      <c r="AB1476" s="25" t="str">
        <f t="shared" si="133"/>
        <v>Dosa</v>
      </c>
      <c r="AC1476" s="2" t="str">
        <f t="shared" si="136"/>
        <v xml:space="preserve"> CLEITON </v>
      </c>
      <c r="AD1476" s="26">
        <f t="shared" si="134"/>
        <v>5</v>
      </c>
      <c r="AE1476" s="26">
        <f t="shared" ca="1" si="135"/>
        <v>1.9547901620389894</v>
      </c>
    </row>
    <row r="1477" spans="1:31" hidden="1">
      <c r="A1477" s="209">
        <v>9517659</v>
      </c>
      <c r="B1477" s="209" t="s">
        <v>81</v>
      </c>
      <c r="C1477" s="210" t="s">
        <v>4210</v>
      </c>
      <c r="D1477" s="214"/>
      <c r="E1477" s="214">
        <v>3258000206001</v>
      </c>
      <c r="F1477" s="209" t="s">
        <v>29</v>
      </c>
      <c r="G1477" s="209" t="s">
        <v>53</v>
      </c>
      <c r="H1477" s="209" t="s">
        <v>321</v>
      </c>
      <c r="I1477" s="209" t="s">
        <v>322</v>
      </c>
      <c r="J1477" s="209" t="s">
        <v>46</v>
      </c>
      <c r="K1477" s="210" t="s">
        <v>34</v>
      </c>
      <c r="L1477" s="210"/>
      <c r="M1477" s="209" t="s">
        <v>35</v>
      </c>
      <c r="N1477" s="209">
        <v>42318949</v>
      </c>
      <c r="O1477" s="209" t="s">
        <v>105</v>
      </c>
      <c r="P1477" s="211" t="s">
        <v>4720</v>
      </c>
      <c r="Q1477" s="209"/>
      <c r="R1477" s="209" t="s">
        <v>38</v>
      </c>
      <c r="S1477" s="209"/>
      <c r="T1477" s="209" t="s">
        <v>74</v>
      </c>
      <c r="U1477" s="211" t="s">
        <v>4721</v>
      </c>
      <c r="V1477" s="209" t="s">
        <v>41</v>
      </c>
      <c r="W1477" s="209" t="s">
        <v>49</v>
      </c>
      <c r="X1477" s="13" t="str">
        <f>IF(RIGHT(H1477,2)&lt;&gt;"00",H1477,"")</f>
        <v/>
      </c>
      <c r="Y1477" s="26">
        <f ca="1">NETWORKDAYS(P1477,$Y$1)</f>
        <v>3</v>
      </c>
      <c r="Z1477" s="34">
        <v>1</v>
      </c>
      <c r="AA1477" s="25" t="str">
        <f t="shared" ca="1" si="132"/>
        <v>A VENCER</v>
      </c>
      <c r="AB1477" s="25" t="str">
        <f t="shared" si="133"/>
        <v>Dosa</v>
      </c>
      <c r="AC1477" s="2" t="str">
        <f t="shared" si="136"/>
        <v xml:space="preserve"> CLEITON </v>
      </c>
      <c r="AD1477" s="26">
        <f t="shared" si="134"/>
        <v>5</v>
      </c>
      <c r="AE1477" s="26">
        <f t="shared" ca="1" si="135"/>
        <v>1.9549869212933118</v>
      </c>
    </row>
    <row r="1478" spans="1:31" hidden="1">
      <c r="A1478" s="209">
        <v>9517651</v>
      </c>
      <c r="B1478" s="209" t="s">
        <v>81</v>
      </c>
      <c r="C1478" s="210" t="s">
        <v>4210</v>
      </c>
      <c r="D1478" s="214"/>
      <c r="E1478" s="214">
        <v>3250000206001</v>
      </c>
      <c r="F1478" s="209" t="s">
        <v>29</v>
      </c>
      <c r="G1478" s="209" t="s">
        <v>53</v>
      </c>
      <c r="H1478" s="209" t="s">
        <v>371</v>
      </c>
      <c r="I1478" s="209" t="s">
        <v>372</v>
      </c>
      <c r="J1478" s="209" t="s">
        <v>46</v>
      </c>
      <c r="K1478" s="210" t="s">
        <v>34</v>
      </c>
      <c r="L1478" s="210"/>
      <c r="M1478" s="209" t="s">
        <v>35</v>
      </c>
      <c r="N1478" s="209">
        <v>42318949</v>
      </c>
      <c r="O1478" s="209" t="s">
        <v>105</v>
      </c>
      <c r="P1478" s="211" t="s">
        <v>4722</v>
      </c>
      <c r="Q1478" s="209"/>
      <c r="R1478" s="209" t="s">
        <v>38</v>
      </c>
      <c r="S1478" s="209"/>
      <c r="T1478" s="209" t="s">
        <v>74</v>
      </c>
      <c r="U1478" s="211" t="s">
        <v>4723</v>
      </c>
      <c r="V1478" s="209" t="s">
        <v>41</v>
      </c>
      <c r="W1478" s="209" t="s">
        <v>49</v>
      </c>
      <c r="X1478" s="13" t="str">
        <f>IF(RIGHT(H1478,2)&lt;&gt;"00",H1478,"")</f>
        <v/>
      </c>
      <c r="Y1478" s="26">
        <f ca="1">NETWORKDAYS(P1478,$Y$1)</f>
        <v>3</v>
      </c>
      <c r="Z1478" s="34">
        <v>1</v>
      </c>
      <c r="AA1478" s="25" t="str">
        <f t="shared" ca="1" si="132"/>
        <v>A VENCER</v>
      </c>
      <c r="AB1478" s="25" t="str">
        <f t="shared" si="133"/>
        <v>Dosa</v>
      </c>
      <c r="AC1478" s="2" t="str">
        <f t="shared" si="136"/>
        <v xml:space="preserve"> CLEITON </v>
      </c>
      <c r="AD1478" s="26">
        <f t="shared" si="134"/>
        <v>5</v>
      </c>
      <c r="AE1478" s="26">
        <f t="shared" ca="1" si="135"/>
        <v>1.9550100694468711</v>
      </c>
    </row>
    <row r="1479" spans="1:31" hidden="1">
      <c r="A1479" s="209">
        <v>9517646</v>
      </c>
      <c r="B1479" s="209" t="s">
        <v>81</v>
      </c>
      <c r="C1479" s="210" t="s">
        <v>4210</v>
      </c>
      <c r="D1479" s="214"/>
      <c r="E1479" s="214">
        <v>3243000206001</v>
      </c>
      <c r="F1479" s="209" t="s">
        <v>29</v>
      </c>
      <c r="G1479" s="209" t="s">
        <v>53</v>
      </c>
      <c r="H1479" s="209" t="s">
        <v>282</v>
      </c>
      <c r="I1479" s="209" t="s">
        <v>283</v>
      </c>
      <c r="J1479" s="209" t="s">
        <v>46</v>
      </c>
      <c r="K1479" s="210" t="s">
        <v>34</v>
      </c>
      <c r="L1479" s="210"/>
      <c r="M1479" s="209" t="s">
        <v>35</v>
      </c>
      <c r="N1479" s="209">
        <v>42318949</v>
      </c>
      <c r="O1479" s="209" t="s">
        <v>105</v>
      </c>
      <c r="P1479" s="211" t="s">
        <v>4722</v>
      </c>
      <c r="Q1479" s="209"/>
      <c r="R1479" s="209" t="s">
        <v>38</v>
      </c>
      <c r="S1479" s="209"/>
      <c r="T1479" s="209" t="s">
        <v>74</v>
      </c>
      <c r="U1479" s="211" t="s">
        <v>4724</v>
      </c>
      <c r="V1479" s="209" t="s">
        <v>41</v>
      </c>
      <c r="W1479" s="209" t="s">
        <v>49</v>
      </c>
      <c r="X1479" s="13" t="str">
        <f>IF(RIGHT(H1479,2)&lt;&gt;"00",H1479,"")</f>
        <v/>
      </c>
      <c r="Y1479" s="26">
        <f ca="1">NETWORKDAYS(P1479,$Y$1)</f>
        <v>3</v>
      </c>
      <c r="Z1479" s="34">
        <v>1</v>
      </c>
      <c r="AA1479" s="25" t="str">
        <f t="shared" ca="1" si="132"/>
        <v>A VENCER</v>
      </c>
      <c r="AB1479" s="25" t="str">
        <f t="shared" si="133"/>
        <v>Dosa</v>
      </c>
      <c r="AC1479" s="2" t="str">
        <f t="shared" si="136"/>
        <v xml:space="preserve"> CLEITON </v>
      </c>
      <c r="AD1479" s="26">
        <f t="shared" si="134"/>
        <v>5</v>
      </c>
      <c r="AE1479" s="26">
        <f t="shared" ca="1" si="135"/>
        <v>1.9550100694468711</v>
      </c>
    </row>
    <row r="1480" spans="1:31" hidden="1">
      <c r="A1480" s="209">
        <v>9517645</v>
      </c>
      <c r="B1480" s="209" t="s">
        <v>81</v>
      </c>
      <c r="C1480" s="210" t="s">
        <v>4210</v>
      </c>
      <c r="D1480" s="214"/>
      <c r="E1480" s="214">
        <v>3242000206001</v>
      </c>
      <c r="F1480" s="209" t="s">
        <v>29</v>
      </c>
      <c r="G1480" s="209" t="s">
        <v>53</v>
      </c>
      <c r="H1480" s="209" t="s">
        <v>461</v>
      </c>
      <c r="I1480" s="209" t="s">
        <v>462</v>
      </c>
      <c r="J1480" s="209" t="s">
        <v>46</v>
      </c>
      <c r="K1480" s="210" t="s">
        <v>34</v>
      </c>
      <c r="L1480" s="210"/>
      <c r="M1480" s="209" t="s">
        <v>35</v>
      </c>
      <c r="N1480" s="209">
        <v>42318949</v>
      </c>
      <c r="O1480" s="209" t="s">
        <v>105</v>
      </c>
      <c r="P1480" s="211" t="s">
        <v>4722</v>
      </c>
      <c r="Q1480" s="209"/>
      <c r="R1480" s="209" t="s">
        <v>38</v>
      </c>
      <c r="S1480" s="209"/>
      <c r="T1480" s="209" t="s">
        <v>74</v>
      </c>
      <c r="U1480" s="211" t="s">
        <v>4724</v>
      </c>
      <c r="V1480" s="209" t="s">
        <v>41</v>
      </c>
      <c r="W1480" s="209" t="s">
        <v>49</v>
      </c>
      <c r="X1480" s="13" t="str">
        <f>IF(RIGHT(H1480,2)&lt;&gt;"00",H1480,"")</f>
        <v/>
      </c>
      <c r="Y1480" s="26">
        <f ca="1">NETWORKDAYS(P1480,$Y$1)</f>
        <v>3</v>
      </c>
      <c r="Z1480" s="34">
        <v>1</v>
      </c>
      <c r="AA1480" s="25" t="str">
        <f t="shared" ca="1" si="132"/>
        <v>A VENCER</v>
      </c>
      <c r="AB1480" s="25" t="str">
        <f t="shared" si="133"/>
        <v>Dosa</v>
      </c>
      <c r="AC1480" s="2" t="str">
        <f t="shared" si="136"/>
        <v xml:space="preserve"> CLEITON </v>
      </c>
      <c r="AD1480" s="26">
        <f t="shared" si="134"/>
        <v>5</v>
      </c>
      <c r="AE1480" s="26">
        <f t="shared" ca="1" si="135"/>
        <v>1.9550100694468711</v>
      </c>
    </row>
    <row r="1481" spans="1:31" hidden="1">
      <c r="A1481" s="209">
        <v>9517642</v>
      </c>
      <c r="B1481" s="209" t="s">
        <v>81</v>
      </c>
      <c r="C1481" s="210" t="s">
        <v>4210</v>
      </c>
      <c r="D1481" s="214"/>
      <c r="E1481" s="214">
        <v>3237000206001</v>
      </c>
      <c r="F1481" s="209" t="s">
        <v>29</v>
      </c>
      <c r="G1481" s="209" t="s">
        <v>53</v>
      </c>
      <c r="H1481" s="209" t="s">
        <v>287</v>
      </c>
      <c r="I1481" s="209" t="s">
        <v>288</v>
      </c>
      <c r="J1481" s="209" t="s">
        <v>46</v>
      </c>
      <c r="K1481" s="210" t="s">
        <v>34</v>
      </c>
      <c r="L1481" s="210"/>
      <c r="M1481" s="209" t="s">
        <v>35</v>
      </c>
      <c r="N1481" s="209">
        <v>42318949</v>
      </c>
      <c r="O1481" s="209" t="s">
        <v>105</v>
      </c>
      <c r="P1481" s="211" t="s">
        <v>4725</v>
      </c>
      <c r="Q1481" s="209"/>
      <c r="R1481" s="209" t="s">
        <v>38</v>
      </c>
      <c r="S1481" s="209"/>
      <c r="T1481" s="209" t="s">
        <v>74</v>
      </c>
      <c r="U1481" s="211" t="s">
        <v>4726</v>
      </c>
      <c r="V1481" s="209" t="s">
        <v>41</v>
      </c>
      <c r="W1481" s="209" t="s">
        <v>49</v>
      </c>
      <c r="X1481" s="13" t="str">
        <f>IF(RIGHT(H1481,2)&lt;&gt;"00",H1481,"")</f>
        <v/>
      </c>
      <c r="Y1481" s="26">
        <f ca="1">NETWORKDAYS(P1481,$Y$1)</f>
        <v>3</v>
      </c>
      <c r="Z1481" s="34">
        <v>1</v>
      </c>
      <c r="AA1481" s="25" t="str">
        <f t="shared" ca="1" si="132"/>
        <v>A VENCER</v>
      </c>
      <c r="AB1481" s="25" t="str">
        <f t="shared" si="133"/>
        <v>Dosa</v>
      </c>
      <c r="AC1481" s="2" t="str">
        <f t="shared" si="136"/>
        <v xml:space="preserve"> CLEITON </v>
      </c>
      <c r="AD1481" s="26">
        <f t="shared" si="134"/>
        <v>5</v>
      </c>
      <c r="AE1481" s="26">
        <f t="shared" ca="1" si="135"/>
        <v>1.9550216435163748</v>
      </c>
    </row>
    <row r="1482" spans="1:31" hidden="1">
      <c r="A1482" s="209">
        <v>9517641</v>
      </c>
      <c r="B1482" s="209" t="s">
        <v>81</v>
      </c>
      <c r="C1482" s="210" t="s">
        <v>4210</v>
      </c>
      <c r="D1482" s="214"/>
      <c r="E1482" s="214">
        <v>3234000206001</v>
      </c>
      <c r="F1482" s="209" t="s">
        <v>29</v>
      </c>
      <c r="G1482" s="209" t="s">
        <v>53</v>
      </c>
      <c r="H1482" s="209" t="s">
        <v>1830</v>
      </c>
      <c r="I1482" s="209" t="s">
        <v>1831</v>
      </c>
      <c r="J1482" s="209" t="s">
        <v>46</v>
      </c>
      <c r="K1482" s="210" t="s">
        <v>34</v>
      </c>
      <c r="L1482" s="210"/>
      <c r="M1482" s="209" t="s">
        <v>35</v>
      </c>
      <c r="N1482" s="209">
        <v>42318949</v>
      </c>
      <c r="O1482" s="209" t="s">
        <v>105</v>
      </c>
      <c r="P1482" s="211" t="s">
        <v>4725</v>
      </c>
      <c r="Q1482" s="209"/>
      <c r="R1482" s="209" t="s">
        <v>38</v>
      </c>
      <c r="S1482" s="209"/>
      <c r="T1482" s="209" t="s">
        <v>74</v>
      </c>
      <c r="U1482" s="211" t="s">
        <v>4726</v>
      </c>
      <c r="V1482" s="209" t="s">
        <v>41</v>
      </c>
      <c r="W1482" s="209" t="s">
        <v>49</v>
      </c>
      <c r="X1482" s="13" t="str">
        <f>IF(RIGHT(H1482,2)&lt;&gt;"00",H1482,"")</f>
        <v/>
      </c>
      <c r="Y1482" s="26">
        <f ca="1">NETWORKDAYS(P1482,$Y$1)</f>
        <v>3</v>
      </c>
      <c r="Z1482" s="34">
        <v>1</v>
      </c>
      <c r="AA1482" s="25" t="str">
        <f t="shared" ca="1" si="132"/>
        <v>A VENCER</v>
      </c>
      <c r="AB1482" s="25" t="str">
        <f t="shared" si="133"/>
        <v>Dosa</v>
      </c>
      <c r="AC1482" s="2" t="str">
        <f t="shared" si="136"/>
        <v xml:space="preserve"> CLEITON </v>
      </c>
      <c r="AD1482" s="26">
        <f t="shared" si="134"/>
        <v>5</v>
      </c>
      <c r="AE1482" s="26">
        <f t="shared" ca="1" si="135"/>
        <v>1.9550216435163748</v>
      </c>
    </row>
    <row r="1483" spans="1:31" hidden="1">
      <c r="A1483" s="209">
        <v>9517546</v>
      </c>
      <c r="B1483" s="209" t="s">
        <v>81</v>
      </c>
      <c r="C1483" s="210" t="s">
        <v>4210</v>
      </c>
      <c r="D1483" s="214"/>
      <c r="E1483" s="214">
        <v>3108010206001</v>
      </c>
      <c r="F1483" s="209" t="s">
        <v>29</v>
      </c>
      <c r="G1483" s="209" t="s">
        <v>53</v>
      </c>
      <c r="H1483" s="209" t="s">
        <v>503</v>
      </c>
      <c r="I1483" s="209" t="s">
        <v>504</v>
      </c>
      <c r="J1483" s="209" t="s">
        <v>46</v>
      </c>
      <c r="K1483" s="210" t="s">
        <v>34</v>
      </c>
      <c r="L1483" s="210"/>
      <c r="M1483" s="209" t="s">
        <v>35</v>
      </c>
      <c r="N1483" s="209">
        <v>42318949</v>
      </c>
      <c r="O1483" s="209" t="s">
        <v>105</v>
      </c>
      <c r="P1483" s="211" t="s">
        <v>4727</v>
      </c>
      <c r="Q1483" s="209"/>
      <c r="R1483" s="209" t="s">
        <v>38</v>
      </c>
      <c r="S1483" s="209"/>
      <c r="T1483" s="209" t="s">
        <v>74</v>
      </c>
      <c r="U1483" s="211" t="s">
        <v>4728</v>
      </c>
      <c r="V1483" s="209" t="s">
        <v>41</v>
      </c>
      <c r="W1483" s="209" t="s">
        <v>49</v>
      </c>
      <c r="X1483" s="13" t="str">
        <f>IF(RIGHT(H1483,2)&lt;&gt;"00",H1483,"")</f>
        <v>3108.01</v>
      </c>
      <c r="Y1483" s="26">
        <f ca="1">NETWORKDAYS(P1483,$Y$1)</f>
        <v>3</v>
      </c>
      <c r="Z1483" s="34">
        <v>1</v>
      </c>
      <c r="AA1483" s="25" t="str">
        <f t="shared" ca="1" si="132"/>
        <v>A VENCER</v>
      </c>
      <c r="AB1483" s="25" t="str">
        <f t="shared" si="133"/>
        <v>Dosa</v>
      </c>
      <c r="AC1483" s="2" t="str">
        <f t="shared" si="136"/>
        <v xml:space="preserve"> CLEITON </v>
      </c>
      <c r="AD1483" s="26">
        <f t="shared" si="134"/>
        <v>5</v>
      </c>
      <c r="AE1483" s="26">
        <f t="shared" ca="1" si="135"/>
        <v>1.9551721064781304</v>
      </c>
    </row>
    <row r="1484" spans="1:31" hidden="1">
      <c r="A1484" s="209">
        <v>9517545</v>
      </c>
      <c r="B1484" s="209" t="s">
        <v>81</v>
      </c>
      <c r="C1484" s="210" t="s">
        <v>4210</v>
      </c>
      <c r="D1484" s="214"/>
      <c r="E1484" s="214">
        <v>3108000206001</v>
      </c>
      <c r="F1484" s="209" t="s">
        <v>29</v>
      </c>
      <c r="G1484" s="209" t="s">
        <v>53</v>
      </c>
      <c r="H1484" s="209" t="s">
        <v>325</v>
      </c>
      <c r="I1484" s="209" t="s">
        <v>326</v>
      </c>
      <c r="J1484" s="209" t="s">
        <v>46</v>
      </c>
      <c r="K1484" s="210" t="s">
        <v>34</v>
      </c>
      <c r="L1484" s="210"/>
      <c r="M1484" s="209" t="s">
        <v>35</v>
      </c>
      <c r="N1484" s="209">
        <v>42318949</v>
      </c>
      <c r="O1484" s="209" t="s">
        <v>105</v>
      </c>
      <c r="P1484" s="211" t="s">
        <v>4727</v>
      </c>
      <c r="Q1484" s="209"/>
      <c r="R1484" s="209" t="s">
        <v>38</v>
      </c>
      <c r="S1484" s="209"/>
      <c r="T1484" s="209" t="s">
        <v>74</v>
      </c>
      <c r="U1484" s="211" t="s">
        <v>4728</v>
      </c>
      <c r="V1484" s="209" t="s">
        <v>41</v>
      </c>
      <c r="W1484" s="209" t="s">
        <v>49</v>
      </c>
      <c r="X1484" s="13" t="str">
        <f>IF(RIGHT(H1484,2)&lt;&gt;"00",H1484,"")</f>
        <v/>
      </c>
      <c r="Y1484" s="26">
        <f ca="1">NETWORKDAYS(P1484,$Y$1)</f>
        <v>3</v>
      </c>
      <c r="Z1484" s="34">
        <v>1</v>
      </c>
      <c r="AA1484" s="25" t="str">
        <f t="shared" ca="1" si="132"/>
        <v>A VENCER</v>
      </c>
      <c r="AB1484" s="25" t="str">
        <f t="shared" si="133"/>
        <v>Dosa</v>
      </c>
      <c r="AC1484" s="2" t="str">
        <f t="shared" si="136"/>
        <v xml:space="preserve"> CLEITON </v>
      </c>
      <c r="AD1484" s="26">
        <f t="shared" si="134"/>
        <v>5</v>
      </c>
      <c r="AE1484" s="26">
        <f t="shared" ca="1" si="135"/>
        <v>1.9551721064781304</v>
      </c>
    </row>
    <row r="1485" spans="1:31" hidden="1">
      <c r="A1485" s="209">
        <v>9517457</v>
      </c>
      <c r="B1485" s="209" t="s">
        <v>81</v>
      </c>
      <c r="C1485" s="210" t="s">
        <v>4210</v>
      </c>
      <c r="D1485" s="214"/>
      <c r="E1485" s="214">
        <v>2988000206001</v>
      </c>
      <c r="F1485" s="209" t="s">
        <v>29</v>
      </c>
      <c r="G1485" s="209" t="s">
        <v>53</v>
      </c>
      <c r="H1485" s="209" t="s">
        <v>536</v>
      </c>
      <c r="I1485" s="209" t="s">
        <v>537</v>
      </c>
      <c r="J1485" s="209" t="s">
        <v>46</v>
      </c>
      <c r="K1485" s="210" t="s">
        <v>34</v>
      </c>
      <c r="L1485" s="210"/>
      <c r="M1485" s="209" t="s">
        <v>35</v>
      </c>
      <c r="N1485" s="209">
        <v>42318949</v>
      </c>
      <c r="O1485" s="209" t="s">
        <v>105</v>
      </c>
      <c r="P1485" s="211" t="s">
        <v>4729</v>
      </c>
      <c r="Q1485" s="209"/>
      <c r="R1485" s="209" t="s">
        <v>38</v>
      </c>
      <c r="S1485" s="209"/>
      <c r="T1485" s="209" t="s">
        <v>74</v>
      </c>
      <c r="U1485" s="211" t="s">
        <v>4730</v>
      </c>
      <c r="V1485" s="209" t="s">
        <v>41</v>
      </c>
      <c r="W1485" s="209" t="s">
        <v>49</v>
      </c>
      <c r="X1485" s="13" t="str">
        <f>IF(RIGHT(H1485,2)&lt;&gt;"00",H1485,"")</f>
        <v/>
      </c>
      <c r="Y1485" s="26">
        <f ca="1">NETWORKDAYS(P1485,$Y$1)</f>
        <v>3</v>
      </c>
      <c r="Z1485" s="34">
        <v>1</v>
      </c>
      <c r="AA1485" s="25" t="str">
        <f t="shared" ca="1" si="132"/>
        <v>A VENCER</v>
      </c>
      <c r="AB1485" s="25" t="str">
        <f t="shared" si="133"/>
        <v>Dosa</v>
      </c>
      <c r="AC1485" s="2" t="str">
        <f t="shared" si="136"/>
        <v xml:space="preserve"> CLEITON </v>
      </c>
      <c r="AD1485" s="26">
        <f t="shared" si="134"/>
        <v>5</v>
      </c>
      <c r="AE1485" s="26">
        <f t="shared" ca="1" si="135"/>
        <v>1.9552994212936028</v>
      </c>
    </row>
    <row r="1486" spans="1:31" hidden="1">
      <c r="A1486" s="209">
        <v>9517374</v>
      </c>
      <c r="B1486" s="209" t="s">
        <v>81</v>
      </c>
      <c r="C1486" s="210" t="s">
        <v>4210</v>
      </c>
      <c r="D1486" s="214"/>
      <c r="E1486" s="214">
        <v>2889000206001</v>
      </c>
      <c r="F1486" s="209" t="s">
        <v>29</v>
      </c>
      <c r="G1486" s="209" t="s">
        <v>53</v>
      </c>
      <c r="H1486" s="209" t="s">
        <v>418</v>
      </c>
      <c r="I1486" s="209" t="s">
        <v>419</v>
      </c>
      <c r="J1486" s="209" t="s">
        <v>46</v>
      </c>
      <c r="K1486" s="210" t="s">
        <v>34</v>
      </c>
      <c r="L1486" s="210"/>
      <c r="M1486" s="209" t="s">
        <v>35</v>
      </c>
      <c r="N1486" s="209">
        <v>42318949</v>
      </c>
      <c r="O1486" s="209" t="s">
        <v>105</v>
      </c>
      <c r="P1486" s="211" t="s">
        <v>4731</v>
      </c>
      <c r="Q1486" s="209"/>
      <c r="R1486" s="209" t="s">
        <v>38</v>
      </c>
      <c r="S1486" s="209"/>
      <c r="T1486" s="209" t="s">
        <v>74</v>
      </c>
      <c r="U1486" s="211" t="s">
        <v>4732</v>
      </c>
      <c r="V1486" s="209" t="s">
        <v>41</v>
      </c>
      <c r="W1486" s="209" t="s">
        <v>49</v>
      </c>
      <c r="X1486" s="13" t="str">
        <f>IF(RIGHT(H1486,2)&lt;&gt;"00",H1486,"")</f>
        <v/>
      </c>
      <c r="Y1486" s="26">
        <f ca="1">NETWORKDAYS(P1486,$Y$1)</f>
        <v>3</v>
      </c>
      <c r="Z1486" s="34">
        <v>1</v>
      </c>
      <c r="AA1486" s="25" t="str">
        <f t="shared" ca="1" si="132"/>
        <v>A VENCER</v>
      </c>
      <c r="AB1486" s="25" t="str">
        <f t="shared" si="133"/>
        <v>Dosa</v>
      </c>
      <c r="AC1486" s="2" t="str">
        <f t="shared" si="136"/>
        <v xml:space="preserve"> CLEITON </v>
      </c>
      <c r="AD1486" s="26">
        <f t="shared" si="134"/>
        <v>5</v>
      </c>
      <c r="AE1486" s="26">
        <f t="shared" ca="1" si="135"/>
        <v>1.9554151620395714</v>
      </c>
    </row>
    <row r="1487" spans="1:31" hidden="1">
      <c r="A1487" s="209">
        <v>9517345</v>
      </c>
      <c r="B1487" s="209" t="s">
        <v>81</v>
      </c>
      <c r="C1487" s="210" t="s">
        <v>4210</v>
      </c>
      <c r="D1487" s="214"/>
      <c r="E1487" s="214">
        <v>2855000206001</v>
      </c>
      <c r="F1487" s="209" t="s">
        <v>29</v>
      </c>
      <c r="G1487" s="209" t="s">
        <v>53</v>
      </c>
      <c r="H1487" s="209" t="s">
        <v>249</v>
      </c>
      <c r="I1487" s="209" t="s">
        <v>250</v>
      </c>
      <c r="J1487" s="209" t="s">
        <v>56</v>
      </c>
      <c r="K1487" s="210" t="s">
        <v>34</v>
      </c>
      <c r="L1487" s="210"/>
      <c r="M1487" s="209" t="s">
        <v>35</v>
      </c>
      <c r="N1487" s="209">
        <v>42318949</v>
      </c>
      <c r="O1487" s="209" t="s">
        <v>105</v>
      </c>
      <c r="P1487" s="211" t="s">
        <v>4733</v>
      </c>
      <c r="Q1487" s="209"/>
      <c r="R1487" s="209" t="s">
        <v>38</v>
      </c>
      <c r="S1487" s="209"/>
      <c r="T1487" s="209" t="s">
        <v>74</v>
      </c>
      <c r="U1487" s="211" t="s">
        <v>4734</v>
      </c>
      <c r="V1487" s="209" t="s">
        <v>41</v>
      </c>
      <c r="W1487" s="209" t="s">
        <v>49</v>
      </c>
      <c r="X1487" s="13" t="str">
        <f>IF(RIGHT(H1487,2)&lt;&gt;"00",H1487,"")</f>
        <v/>
      </c>
      <c r="Y1487" s="26">
        <f ca="1">NETWORKDAYS(P1487,$Y$1)</f>
        <v>3</v>
      </c>
      <c r="Z1487" s="34">
        <v>1</v>
      </c>
      <c r="AA1487" s="25" t="str">
        <f t="shared" ca="1" si="132"/>
        <v>A VENCER</v>
      </c>
      <c r="AB1487" s="25" t="str">
        <f t="shared" si="133"/>
        <v>Dosa</v>
      </c>
      <c r="AC1487" s="2" t="str">
        <f t="shared" si="136"/>
        <v xml:space="preserve"> CRISTINA </v>
      </c>
      <c r="AD1487" s="26">
        <f t="shared" si="134"/>
        <v>5</v>
      </c>
      <c r="AE1487" s="26">
        <f t="shared" ca="1" si="135"/>
        <v>1.9554614583321381</v>
      </c>
    </row>
    <row r="1488" spans="1:31" hidden="1">
      <c r="A1488" s="209">
        <v>9517325</v>
      </c>
      <c r="B1488" s="209" t="s">
        <v>81</v>
      </c>
      <c r="C1488" s="210" t="s">
        <v>4210</v>
      </c>
      <c r="D1488" s="214"/>
      <c r="E1488" s="214">
        <v>2830000206001</v>
      </c>
      <c r="F1488" s="209" t="s">
        <v>29</v>
      </c>
      <c r="G1488" s="209" t="s">
        <v>53</v>
      </c>
      <c r="H1488" s="209" t="s">
        <v>448</v>
      </c>
      <c r="I1488" s="209" t="s">
        <v>449</v>
      </c>
      <c r="J1488" s="209" t="s">
        <v>33</v>
      </c>
      <c r="K1488" s="210" t="s">
        <v>34</v>
      </c>
      <c r="L1488" s="210"/>
      <c r="M1488" s="209" t="s">
        <v>35</v>
      </c>
      <c r="N1488" s="209">
        <v>42318949</v>
      </c>
      <c r="O1488" s="209" t="s">
        <v>105</v>
      </c>
      <c r="P1488" s="211" t="s">
        <v>4735</v>
      </c>
      <c r="Q1488" s="209"/>
      <c r="R1488" s="209" t="s">
        <v>38</v>
      </c>
      <c r="S1488" s="209"/>
      <c r="T1488" s="209" t="s">
        <v>74</v>
      </c>
      <c r="U1488" s="211" t="s">
        <v>4736</v>
      </c>
      <c r="V1488" s="209" t="s">
        <v>41</v>
      </c>
      <c r="W1488" s="209" t="s">
        <v>42</v>
      </c>
      <c r="X1488" s="13" t="str">
        <f>IF(RIGHT(H1488,2)&lt;&gt;"00",H1488,"")</f>
        <v/>
      </c>
      <c r="Y1488" s="26">
        <f ca="1">NETWORKDAYS(P1488,$Y$1)</f>
        <v>3</v>
      </c>
      <c r="Z1488" s="34">
        <v>1</v>
      </c>
      <c r="AA1488" s="25" t="str">
        <f t="shared" ca="1" si="132"/>
        <v>A VENCER</v>
      </c>
      <c r="AB1488" s="25" t="str">
        <f t="shared" si="133"/>
        <v>Dosa</v>
      </c>
      <c r="AC1488" s="2" t="str">
        <f t="shared" si="136"/>
        <v xml:space="preserve"> ROSEMERE </v>
      </c>
      <c r="AD1488" s="26">
        <f t="shared" si="134"/>
        <v>5</v>
      </c>
      <c r="AE1488" s="26">
        <f t="shared" ca="1" si="135"/>
        <v>1.9554846064784215</v>
      </c>
    </row>
    <row r="1489" spans="1:31" hidden="1">
      <c r="A1489" s="209">
        <v>9517309</v>
      </c>
      <c r="B1489" s="209" t="s">
        <v>81</v>
      </c>
      <c r="C1489" s="210" t="s">
        <v>4210</v>
      </c>
      <c r="D1489" s="214"/>
      <c r="E1489" s="214">
        <v>2811000206001</v>
      </c>
      <c r="F1489" s="209" t="s">
        <v>29</v>
      </c>
      <c r="G1489" s="209" t="s">
        <v>53</v>
      </c>
      <c r="H1489" s="209" t="s">
        <v>44</v>
      </c>
      <c r="I1489" s="209" t="s">
        <v>45</v>
      </c>
      <c r="J1489" s="209" t="s">
        <v>46</v>
      </c>
      <c r="K1489" s="210" t="s">
        <v>34</v>
      </c>
      <c r="L1489" s="210"/>
      <c r="M1489" s="209" t="s">
        <v>35</v>
      </c>
      <c r="N1489" s="209">
        <v>42318949</v>
      </c>
      <c r="O1489" s="209" t="s">
        <v>105</v>
      </c>
      <c r="P1489" s="211" t="s">
        <v>4737</v>
      </c>
      <c r="Q1489" s="209"/>
      <c r="R1489" s="209" t="s">
        <v>38</v>
      </c>
      <c r="S1489" s="209"/>
      <c r="T1489" s="209" t="s">
        <v>74</v>
      </c>
      <c r="U1489" s="211" t="s">
        <v>4738</v>
      </c>
      <c r="V1489" s="209" t="s">
        <v>41</v>
      </c>
      <c r="W1489" s="209" t="s">
        <v>49</v>
      </c>
      <c r="X1489" s="13" t="str">
        <f>IF(RIGHT(H1489,2)&lt;&gt;"00",H1489,"")</f>
        <v/>
      </c>
      <c r="Y1489" s="26">
        <f ca="1">NETWORKDAYS(P1489,$Y$1)</f>
        <v>3</v>
      </c>
      <c r="Z1489" s="34">
        <v>1</v>
      </c>
      <c r="AA1489" s="25" t="str">
        <f t="shared" ca="1" si="132"/>
        <v>A VENCER</v>
      </c>
      <c r="AB1489" s="25" t="str">
        <f t="shared" si="133"/>
        <v>Dosa</v>
      </c>
      <c r="AC1489" s="2" t="str">
        <f t="shared" si="136"/>
        <v xml:space="preserve"> CLEITON </v>
      </c>
      <c r="AD1489" s="26">
        <f t="shared" si="134"/>
        <v>5</v>
      </c>
      <c r="AE1489" s="26">
        <f t="shared" ca="1" si="135"/>
        <v>1.9555077546319808</v>
      </c>
    </row>
    <row r="1490" spans="1:31" hidden="1">
      <c r="A1490" s="209">
        <v>9517299</v>
      </c>
      <c r="B1490" s="209" t="s">
        <v>81</v>
      </c>
      <c r="C1490" s="210" t="s">
        <v>4210</v>
      </c>
      <c r="D1490" s="214"/>
      <c r="E1490" s="214">
        <v>2802080206001</v>
      </c>
      <c r="F1490" s="209" t="s">
        <v>29</v>
      </c>
      <c r="G1490" s="209" t="s">
        <v>53</v>
      </c>
      <c r="H1490" s="209" t="s">
        <v>1834</v>
      </c>
      <c r="I1490" s="209" t="s">
        <v>500</v>
      </c>
      <c r="J1490" s="209" t="s">
        <v>46</v>
      </c>
      <c r="K1490" s="210" t="s">
        <v>34</v>
      </c>
      <c r="L1490" s="210"/>
      <c r="M1490" s="209" t="s">
        <v>35</v>
      </c>
      <c r="N1490" s="209">
        <v>42318949</v>
      </c>
      <c r="O1490" s="209" t="s">
        <v>105</v>
      </c>
      <c r="P1490" s="211" t="s">
        <v>4739</v>
      </c>
      <c r="Q1490" s="209"/>
      <c r="R1490" s="209" t="s">
        <v>38</v>
      </c>
      <c r="S1490" s="209"/>
      <c r="T1490" s="209" t="s">
        <v>74</v>
      </c>
      <c r="U1490" s="211" t="s">
        <v>4740</v>
      </c>
      <c r="V1490" s="209" t="s">
        <v>41</v>
      </c>
      <c r="W1490" s="209" t="s">
        <v>49</v>
      </c>
      <c r="X1490" s="13" t="str">
        <f>IF(RIGHT(H1490,2)&lt;&gt;"00",H1490,"")</f>
        <v>2802.08</v>
      </c>
      <c r="Y1490" s="26">
        <f ca="1">NETWORKDAYS(P1490,$Y$1)</f>
        <v>3</v>
      </c>
      <c r="Z1490" s="34">
        <v>1</v>
      </c>
      <c r="AA1490" s="25" t="str">
        <f t="shared" ca="1" si="132"/>
        <v>A VENCER</v>
      </c>
      <c r="AB1490" s="25" t="str">
        <f t="shared" si="133"/>
        <v>Dosa</v>
      </c>
      <c r="AC1490" s="2" t="str">
        <f t="shared" si="136"/>
        <v xml:space="preserve"> CLEITON </v>
      </c>
      <c r="AD1490" s="26">
        <f t="shared" si="134"/>
        <v>5</v>
      </c>
      <c r="AE1490" s="26">
        <f t="shared" ca="1" si="135"/>
        <v>1.9555193287014845</v>
      </c>
    </row>
    <row r="1491" spans="1:31" hidden="1">
      <c r="A1491" s="209">
        <v>9517298</v>
      </c>
      <c r="B1491" s="209" t="s">
        <v>81</v>
      </c>
      <c r="C1491" s="210" t="s">
        <v>4210</v>
      </c>
      <c r="D1491" s="214"/>
      <c r="E1491" s="214">
        <v>2802000206001</v>
      </c>
      <c r="F1491" s="209" t="s">
        <v>29</v>
      </c>
      <c r="G1491" s="209" t="s">
        <v>53</v>
      </c>
      <c r="H1491" s="209" t="s">
        <v>388</v>
      </c>
      <c r="I1491" s="209" t="s">
        <v>389</v>
      </c>
      <c r="J1491" s="209" t="s">
        <v>46</v>
      </c>
      <c r="K1491" s="210" t="s">
        <v>34</v>
      </c>
      <c r="L1491" s="210"/>
      <c r="M1491" s="209" t="s">
        <v>35</v>
      </c>
      <c r="N1491" s="209">
        <v>42318949</v>
      </c>
      <c r="O1491" s="209" t="s">
        <v>105</v>
      </c>
      <c r="P1491" s="211" t="s">
        <v>4739</v>
      </c>
      <c r="Q1491" s="209"/>
      <c r="R1491" s="209" t="s">
        <v>38</v>
      </c>
      <c r="S1491" s="209"/>
      <c r="T1491" s="209" t="s">
        <v>74</v>
      </c>
      <c r="U1491" s="211" t="s">
        <v>4740</v>
      </c>
      <c r="V1491" s="209" t="s">
        <v>41</v>
      </c>
      <c r="W1491" s="209" t="s">
        <v>49</v>
      </c>
      <c r="X1491" s="13" t="str">
        <f>IF(RIGHT(H1491,2)&lt;&gt;"00",H1491,"")</f>
        <v/>
      </c>
      <c r="Y1491" s="26">
        <f ca="1">NETWORKDAYS(P1491,$Y$1)</f>
        <v>3</v>
      </c>
      <c r="Z1491" s="34">
        <v>1</v>
      </c>
      <c r="AA1491" s="25" t="str">
        <f t="shared" ca="1" si="132"/>
        <v>A VENCER</v>
      </c>
      <c r="AB1491" s="25" t="str">
        <f t="shared" si="133"/>
        <v>Dosa</v>
      </c>
      <c r="AC1491" s="2" t="str">
        <f t="shared" si="136"/>
        <v xml:space="preserve"> CLEITON </v>
      </c>
      <c r="AD1491" s="26">
        <f t="shared" si="134"/>
        <v>5</v>
      </c>
      <c r="AE1491" s="26">
        <f t="shared" ca="1" si="135"/>
        <v>1.9555193287014845</v>
      </c>
    </row>
    <row r="1492" spans="1:31" hidden="1">
      <c r="A1492" s="209">
        <v>9517239</v>
      </c>
      <c r="B1492" s="209" t="s">
        <v>81</v>
      </c>
      <c r="C1492" s="210" t="s">
        <v>4210</v>
      </c>
      <c r="D1492" s="214"/>
      <c r="E1492" s="214">
        <v>2739000206001</v>
      </c>
      <c r="F1492" s="209" t="s">
        <v>29</v>
      </c>
      <c r="G1492" s="209" t="s">
        <v>53</v>
      </c>
      <c r="H1492" s="209" t="s">
        <v>359</v>
      </c>
      <c r="I1492" s="209" t="s">
        <v>360</v>
      </c>
      <c r="J1492" s="209" t="s">
        <v>85</v>
      </c>
      <c r="K1492" s="210" t="s">
        <v>34</v>
      </c>
      <c r="L1492" s="210"/>
      <c r="M1492" s="209" t="s">
        <v>35</v>
      </c>
      <c r="N1492" s="209">
        <v>42318949</v>
      </c>
      <c r="O1492" s="209" t="s">
        <v>105</v>
      </c>
      <c r="P1492" s="211" t="s">
        <v>4741</v>
      </c>
      <c r="Q1492" s="209"/>
      <c r="R1492" s="209" t="s">
        <v>38</v>
      </c>
      <c r="S1492" s="209"/>
      <c r="T1492" s="209" t="s">
        <v>74</v>
      </c>
      <c r="U1492" s="211" t="s">
        <v>4742</v>
      </c>
      <c r="V1492" s="209" t="s">
        <v>41</v>
      </c>
      <c r="W1492" s="209" t="s">
        <v>49</v>
      </c>
      <c r="X1492" s="13" t="str">
        <f>IF(RIGHT(H1492,2)&lt;&gt;"00",H1492,"")</f>
        <v/>
      </c>
      <c r="Y1492" s="26">
        <f ca="1">NETWORKDAYS(P1492,$Y$1)</f>
        <v>3</v>
      </c>
      <c r="Z1492" s="34">
        <v>1</v>
      </c>
      <c r="AA1492" s="25" t="str">
        <f t="shared" ca="1" si="132"/>
        <v>A VENCER</v>
      </c>
      <c r="AB1492" s="25" t="str">
        <f t="shared" si="133"/>
        <v>Dosa</v>
      </c>
      <c r="AC1492" s="2" t="str">
        <f t="shared" si="136"/>
        <v xml:space="preserve"> RINALDO </v>
      </c>
      <c r="AD1492" s="26">
        <f t="shared" si="134"/>
        <v>5</v>
      </c>
      <c r="AE1492" s="26">
        <f t="shared" ca="1" si="135"/>
        <v>1.9556003472243901</v>
      </c>
    </row>
    <row r="1493" spans="1:31" hidden="1">
      <c r="A1493" s="209">
        <v>9517237</v>
      </c>
      <c r="B1493" s="209" t="s">
        <v>81</v>
      </c>
      <c r="C1493" s="210" t="s">
        <v>4210</v>
      </c>
      <c r="D1493" s="214"/>
      <c r="E1493" s="214">
        <v>2737000206001</v>
      </c>
      <c r="F1493" s="209" t="s">
        <v>29</v>
      </c>
      <c r="G1493" s="209" t="s">
        <v>53</v>
      </c>
      <c r="H1493" s="209" t="s">
        <v>311</v>
      </c>
      <c r="I1493" s="209" t="s">
        <v>312</v>
      </c>
      <c r="J1493" s="209" t="s">
        <v>90</v>
      </c>
      <c r="K1493" s="210" t="s">
        <v>34</v>
      </c>
      <c r="L1493" s="210"/>
      <c r="M1493" s="209" t="s">
        <v>35</v>
      </c>
      <c r="N1493" s="209">
        <v>42318949</v>
      </c>
      <c r="O1493" s="209" t="s">
        <v>105</v>
      </c>
      <c r="P1493" s="211" t="s">
        <v>4743</v>
      </c>
      <c r="Q1493" s="209"/>
      <c r="R1493" s="209" t="s">
        <v>38</v>
      </c>
      <c r="S1493" s="209"/>
      <c r="T1493" s="209" t="s">
        <v>74</v>
      </c>
      <c r="U1493" s="211" t="s">
        <v>4742</v>
      </c>
      <c r="V1493" s="209" t="s">
        <v>41</v>
      </c>
      <c r="W1493" s="209" t="s">
        <v>49</v>
      </c>
      <c r="X1493" s="13" t="str">
        <f>IF(RIGHT(H1493,2)&lt;&gt;"00",H1493,"")</f>
        <v/>
      </c>
      <c r="Y1493" s="26">
        <f ca="1">NETWORKDAYS(P1493,$Y$1)</f>
        <v>3</v>
      </c>
      <c r="Z1493" s="34">
        <v>1</v>
      </c>
      <c r="AA1493" s="25" t="str">
        <f t="shared" ca="1" si="132"/>
        <v>A VENCER</v>
      </c>
      <c r="AB1493" s="25" t="str">
        <f t="shared" si="133"/>
        <v>Dosa</v>
      </c>
      <c r="AC1493" s="2" t="str">
        <f t="shared" si="136"/>
        <v xml:space="preserve"> RINALDO </v>
      </c>
      <c r="AD1493" s="26">
        <f t="shared" si="134"/>
        <v>5</v>
      </c>
      <c r="AE1493" s="26">
        <f t="shared" ca="1" si="135"/>
        <v>1.9556119212938938</v>
      </c>
    </row>
    <row r="1494" spans="1:31" hidden="1">
      <c r="A1494" s="209">
        <v>9517205</v>
      </c>
      <c r="B1494" s="209" t="s">
        <v>81</v>
      </c>
      <c r="C1494" s="210" t="s">
        <v>4210</v>
      </c>
      <c r="D1494" s="214"/>
      <c r="E1494" s="214">
        <v>2699000206001</v>
      </c>
      <c r="F1494" s="209" t="s">
        <v>29</v>
      </c>
      <c r="G1494" s="209" t="s">
        <v>53</v>
      </c>
      <c r="H1494" s="209" t="s">
        <v>347</v>
      </c>
      <c r="I1494" s="209" t="s">
        <v>348</v>
      </c>
      <c r="J1494" s="209" t="s">
        <v>148</v>
      </c>
      <c r="K1494" s="210" t="s">
        <v>34</v>
      </c>
      <c r="L1494" s="210"/>
      <c r="M1494" s="209" t="s">
        <v>35</v>
      </c>
      <c r="N1494" s="209">
        <v>42318949</v>
      </c>
      <c r="O1494" s="209" t="s">
        <v>105</v>
      </c>
      <c r="P1494" s="211" t="s">
        <v>4744</v>
      </c>
      <c r="Q1494" s="209"/>
      <c r="R1494" s="209" t="s">
        <v>38</v>
      </c>
      <c r="S1494" s="209"/>
      <c r="T1494" s="209" t="s">
        <v>74</v>
      </c>
      <c r="U1494" s="211" t="s">
        <v>4745</v>
      </c>
      <c r="V1494" s="209" t="s">
        <v>41</v>
      </c>
      <c r="W1494" s="209" t="s">
        <v>49</v>
      </c>
      <c r="X1494" s="13" t="str">
        <f>IF(RIGHT(H1494,2)&lt;&gt;"00",H1494,"")</f>
        <v/>
      </c>
      <c r="Y1494" s="26">
        <f ca="1">NETWORKDAYS(P1494,$Y$1)</f>
        <v>3</v>
      </c>
      <c r="Z1494" s="34">
        <v>1</v>
      </c>
      <c r="AA1494" s="25" t="str">
        <f t="shared" ca="1" si="132"/>
        <v>A VENCER</v>
      </c>
      <c r="AB1494" s="25" t="str">
        <f t="shared" si="133"/>
        <v>Dosa</v>
      </c>
      <c r="AC1494" s="2" t="str">
        <f t="shared" si="136"/>
        <v xml:space="preserve"> RINALDO </v>
      </c>
      <c r="AD1494" s="26">
        <f t="shared" si="134"/>
        <v>5</v>
      </c>
      <c r="AE1494" s="26">
        <f t="shared" ca="1" si="135"/>
        <v>1.9556582175937365</v>
      </c>
    </row>
    <row r="1495" spans="1:31" hidden="1">
      <c r="A1495" s="209">
        <v>9517198</v>
      </c>
      <c r="B1495" s="209" t="s">
        <v>81</v>
      </c>
      <c r="C1495" s="210" t="s">
        <v>4210</v>
      </c>
      <c r="D1495" s="214"/>
      <c r="E1495" s="214">
        <v>2693000206001</v>
      </c>
      <c r="F1495" s="209" t="s">
        <v>29</v>
      </c>
      <c r="G1495" s="209" t="s">
        <v>53</v>
      </c>
      <c r="H1495" s="209" t="s">
        <v>253</v>
      </c>
      <c r="I1495" s="209" t="s">
        <v>254</v>
      </c>
      <c r="J1495" s="209" t="s">
        <v>56</v>
      </c>
      <c r="K1495" s="210" t="s">
        <v>34</v>
      </c>
      <c r="L1495" s="210"/>
      <c r="M1495" s="209" t="s">
        <v>35</v>
      </c>
      <c r="N1495" s="209">
        <v>42318949</v>
      </c>
      <c r="O1495" s="209" t="s">
        <v>105</v>
      </c>
      <c r="P1495" s="211" t="s">
        <v>4744</v>
      </c>
      <c r="Q1495" s="209"/>
      <c r="R1495" s="209" t="s">
        <v>38</v>
      </c>
      <c r="S1495" s="209"/>
      <c r="T1495" s="209" t="s">
        <v>74</v>
      </c>
      <c r="U1495" s="211" t="s">
        <v>4746</v>
      </c>
      <c r="V1495" s="209" t="s">
        <v>41</v>
      </c>
      <c r="W1495" s="209" t="s">
        <v>49</v>
      </c>
      <c r="X1495" s="13" t="str">
        <f>IF(RIGHT(H1495,2)&lt;&gt;"00",H1495,"")</f>
        <v/>
      </c>
      <c r="Y1495" s="26">
        <f ca="1">NETWORKDAYS(P1495,$Y$1)</f>
        <v>3</v>
      </c>
      <c r="Z1495" s="34">
        <v>1</v>
      </c>
      <c r="AA1495" s="25" t="str">
        <f t="shared" ca="1" si="132"/>
        <v>A VENCER</v>
      </c>
      <c r="AB1495" s="25" t="str">
        <f t="shared" si="133"/>
        <v>Dosa</v>
      </c>
      <c r="AC1495" s="2" t="str">
        <f t="shared" si="136"/>
        <v xml:space="preserve"> CRISTINA </v>
      </c>
      <c r="AD1495" s="26">
        <f t="shared" si="134"/>
        <v>5</v>
      </c>
      <c r="AE1495" s="26">
        <f t="shared" ca="1" si="135"/>
        <v>1.9556582175937365</v>
      </c>
    </row>
    <row r="1496" spans="1:31" hidden="1">
      <c r="A1496" s="209">
        <v>9517189</v>
      </c>
      <c r="B1496" s="209" t="s">
        <v>81</v>
      </c>
      <c r="C1496" s="210" t="s">
        <v>4210</v>
      </c>
      <c r="D1496" s="214"/>
      <c r="E1496" s="214">
        <v>2683000206001</v>
      </c>
      <c r="F1496" s="209" t="s">
        <v>29</v>
      </c>
      <c r="G1496" s="209" t="s">
        <v>53</v>
      </c>
      <c r="H1496" s="209" t="s">
        <v>276</v>
      </c>
      <c r="I1496" s="209" t="s">
        <v>277</v>
      </c>
      <c r="J1496" s="209" t="s">
        <v>90</v>
      </c>
      <c r="K1496" s="210" t="s">
        <v>34</v>
      </c>
      <c r="L1496" s="210"/>
      <c r="M1496" s="209" t="s">
        <v>35</v>
      </c>
      <c r="N1496" s="209">
        <v>42318949</v>
      </c>
      <c r="O1496" s="209" t="s">
        <v>105</v>
      </c>
      <c r="P1496" s="211" t="s">
        <v>4747</v>
      </c>
      <c r="Q1496" s="209"/>
      <c r="R1496" s="209" t="s">
        <v>38</v>
      </c>
      <c r="S1496" s="209"/>
      <c r="T1496" s="209" t="s">
        <v>74</v>
      </c>
      <c r="U1496" s="211" t="s">
        <v>4748</v>
      </c>
      <c r="V1496" s="209" t="s">
        <v>41</v>
      </c>
      <c r="W1496" s="209" t="s">
        <v>49</v>
      </c>
      <c r="X1496" s="13" t="str">
        <f>IF(RIGHT(H1496,2)&lt;&gt;"00",H1496,"")</f>
        <v/>
      </c>
      <c r="Y1496" s="26">
        <f ca="1">NETWORKDAYS(P1496,$Y$1)</f>
        <v>3</v>
      </c>
      <c r="Z1496" s="34">
        <v>1</v>
      </c>
      <c r="AA1496" s="25" t="str">
        <f t="shared" ca="1" si="132"/>
        <v>A VENCER</v>
      </c>
      <c r="AB1496" s="25" t="str">
        <f t="shared" si="133"/>
        <v>Dosa</v>
      </c>
      <c r="AC1496" s="2" t="str">
        <f t="shared" si="136"/>
        <v xml:space="preserve"> RINALDO </v>
      </c>
      <c r="AD1496" s="26">
        <f t="shared" si="134"/>
        <v>5</v>
      </c>
      <c r="AE1496" s="26">
        <f t="shared" ca="1" si="135"/>
        <v>1.9556697916632402</v>
      </c>
    </row>
    <row r="1497" spans="1:31" hidden="1">
      <c r="A1497" s="209">
        <v>9517185</v>
      </c>
      <c r="B1497" s="209" t="s">
        <v>81</v>
      </c>
      <c r="C1497" s="210" t="s">
        <v>4210</v>
      </c>
      <c r="D1497" s="214"/>
      <c r="E1497" s="214">
        <v>2678000206001</v>
      </c>
      <c r="F1497" s="209" t="s">
        <v>29</v>
      </c>
      <c r="G1497" s="209" t="s">
        <v>53</v>
      </c>
      <c r="H1497" s="209" t="s">
        <v>992</v>
      </c>
      <c r="I1497" s="209" t="s">
        <v>993</v>
      </c>
      <c r="J1497" s="209" t="s">
        <v>33</v>
      </c>
      <c r="K1497" s="210" t="s">
        <v>34</v>
      </c>
      <c r="L1497" s="210"/>
      <c r="M1497" s="209" t="s">
        <v>35</v>
      </c>
      <c r="N1497" s="209">
        <v>42318949</v>
      </c>
      <c r="O1497" s="209" t="s">
        <v>105</v>
      </c>
      <c r="P1497" s="211" t="s">
        <v>4749</v>
      </c>
      <c r="Q1497" s="209"/>
      <c r="R1497" s="209" t="s">
        <v>38</v>
      </c>
      <c r="S1497" s="209"/>
      <c r="T1497" s="209" t="s">
        <v>74</v>
      </c>
      <c r="U1497" s="211" t="s">
        <v>4750</v>
      </c>
      <c r="V1497" s="209" t="s">
        <v>41</v>
      </c>
      <c r="W1497" s="209" t="s">
        <v>42</v>
      </c>
      <c r="X1497" s="13" t="str">
        <f>IF(RIGHT(H1497,2)&lt;&gt;"00",H1497,"")</f>
        <v/>
      </c>
      <c r="Y1497" s="26">
        <f ca="1">NETWORKDAYS(P1497,$Y$1)</f>
        <v>3</v>
      </c>
      <c r="Z1497" s="34">
        <v>1</v>
      </c>
      <c r="AA1497" s="25" t="str">
        <f t="shared" ca="1" si="132"/>
        <v>A VENCER</v>
      </c>
      <c r="AB1497" s="25" t="str">
        <f t="shared" si="133"/>
        <v>Dosa</v>
      </c>
      <c r="AC1497" s="2" t="str">
        <f t="shared" si="136"/>
        <v xml:space="preserve"> ROSEMERE </v>
      </c>
      <c r="AD1497" s="26">
        <f t="shared" si="134"/>
        <v>5</v>
      </c>
      <c r="AE1497" s="26">
        <f t="shared" ca="1" si="135"/>
        <v>1.9556813657400198</v>
      </c>
    </row>
    <row r="1498" spans="1:31" hidden="1">
      <c r="A1498" s="209">
        <v>9517180</v>
      </c>
      <c r="B1498" s="209" t="s">
        <v>81</v>
      </c>
      <c r="C1498" s="210" t="s">
        <v>4210</v>
      </c>
      <c r="D1498" s="214"/>
      <c r="E1498" s="214">
        <v>2669000206001</v>
      </c>
      <c r="F1498" s="209" t="s">
        <v>29</v>
      </c>
      <c r="G1498" s="209" t="s">
        <v>53</v>
      </c>
      <c r="H1498" s="209" t="s">
        <v>561</v>
      </c>
      <c r="I1498" s="209" t="s">
        <v>562</v>
      </c>
      <c r="J1498" s="209" t="s">
        <v>110</v>
      </c>
      <c r="K1498" s="210" t="s">
        <v>34</v>
      </c>
      <c r="L1498" s="210"/>
      <c r="M1498" s="209" t="s">
        <v>35</v>
      </c>
      <c r="N1498" s="209">
        <v>42318949</v>
      </c>
      <c r="O1498" s="209" t="s">
        <v>105</v>
      </c>
      <c r="P1498" s="211" t="s">
        <v>4751</v>
      </c>
      <c r="Q1498" s="209"/>
      <c r="R1498" s="209" t="s">
        <v>38</v>
      </c>
      <c r="S1498" s="209"/>
      <c r="T1498" s="209" t="s">
        <v>74</v>
      </c>
      <c r="U1498" s="211" t="s">
        <v>4750</v>
      </c>
      <c r="V1498" s="209" t="s">
        <v>41</v>
      </c>
      <c r="W1498" s="209" t="s">
        <v>49</v>
      </c>
      <c r="X1498" s="13" t="str">
        <f>IF(RIGHT(H1498,2)&lt;&gt;"00",H1498,"")</f>
        <v/>
      </c>
      <c r="Y1498" s="26">
        <f ca="1">NETWORKDAYS(P1498,$Y$1)</f>
        <v>3</v>
      </c>
      <c r="Z1498" s="34">
        <v>1</v>
      </c>
      <c r="AA1498" s="25" t="str">
        <f t="shared" ca="1" si="132"/>
        <v>A VENCER</v>
      </c>
      <c r="AB1498" s="25" t="str">
        <f t="shared" si="133"/>
        <v>Dosa</v>
      </c>
      <c r="AC1498" s="2" t="str">
        <f t="shared" si="136"/>
        <v xml:space="preserve"> CRISTINA </v>
      </c>
      <c r="AD1498" s="26">
        <f t="shared" si="134"/>
        <v>5</v>
      </c>
      <c r="AE1498" s="26">
        <f t="shared" ca="1" si="135"/>
        <v>1.9556929398167995</v>
      </c>
    </row>
    <row r="1499" spans="1:31" hidden="1">
      <c r="A1499" s="209">
        <v>9517141</v>
      </c>
      <c r="B1499" s="209" t="s">
        <v>81</v>
      </c>
      <c r="C1499" s="210" t="s">
        <v>4210</v>
      </c>
      <c r="D1499" s="214"/>
      <c r="E1499" s="214">
        <v>2625000206001</v>
      </c>
      <c r="F1499" s="209" t="s">
        <v>29</v>
      </c>
      <c r="G1499" s="209" t="s">
        <v>53</v>
      </c>
      <c r="H1499" s="209" t="s">
        <v>317</v>
      </c>
      <c r="I1499" s="209" t="s">
        <v>318</v>
      </c>
      <c r="J1499" s="209" t="s">
        <v>164</v>
      </c>
      <c r="K1499" s="210" t="s">
        <v>34</v>
      </c>
      <c r="L1499" s="210"/>
      <c r="M1499" s="209" t="s">
        <v>35</v>
      </c>
      <c r="N1499" s="209">
        <v>42318949</v>
      </c>
      <c r="O1499" s="209" t="s">
        <v>105</v>
      </c>
      <c r="P1499" s="211" t="s">
        <v>4235</v>
      </c>
      <c r="Q1499" s="209"/>
      <c r="R1499" s="209" t="s">
        <v>38</v>
      </c>
      <c r="S1499" s="209"/>
      <c r="T1499" s="209" t="s">
        <v>74</v>
      </c>
      <c r="U1499" s="211" t="s">
        <v>4236</v>
      </c>
      <c r="V1499" s="209" t="s">
        <v>41</v>
      </c>
      <c r="W1499" s="209" t="s">
        <v>49</v>
      </c>
      <c r="X1499" s="13" t="str">
        <f>IF(RIGHT(H1499,2)&lt;&gt;"00",H1499,"")</f>
        <v/>
      </c>
      <c r="Y1499" s="26">
        <f ca="1">NETWORKDAYS(P1499,$Y$1)</f>
        <v>3</v>
      </c>
      <c r="Z1499" s="34">
        <v>1</v>
      </c>
      <c r="AA1499" s="25" t="str">
        <f t="shared" ca="1" si="132"/>
        <v>A VENCER</v>
      </c>
      <c r="AB1499" s="25" t="str">
        <f t="shared" si="133"/>
        <v>Dosa</v>
      </c>
      <c r="AC1499" s="2" t="str">
        <f t="shared" si="136"/>
        <v xml:space="preserve"> ROSEMERE </v>
      </c>
      <c r="AD1499" s="26">
        <f t="shared" si="134"/>
        <v>5</v>
      </c>
      <c r="AE1499" s="26">
        <f t="shared" ca="1" si="135"/>
        <v>1.9557392361093662</v>
      </c>
    </row>
    <row r="1500" spans="1:31" hidden="1">
      <c r="A1500" s="209">
        <v>9517112</v>
      </c>
      <c r="B1500" s="209" t="s">
        <v>81</v>
      </c>
      <c r="C1500" s="210" t="s">
        <v>4210</v>
      </c>
      <c r="D1500" s="214"/>
      <c r="E1500" s="214">
        <v>2590000206001</v>
      </c>
      <c r="F1500" s="209" t="s">
        <v>29</v>
      </c>
      <c r="G1500" s="209" t="s">
        <v>53</v>
      </c>
      <c r="H1500" s="209" t="s">
        <v>394</v>
      </c>
      <c r="I1500" s="209" t="s">
        <v>395</v>
      </c>
      <c r="J1500" s="209" t="s">
        <v>148</v>
      </c>
      <c r="K1500" s="210" t="s">
        <v>34</v>
      </c>
      <c r="L1500" s="210"/>
      <c r="M1500" s="209" t="s">
        <v>35</v>
      </c>
      <c r="N1500" s="209">
        <v>42318949</v>
      </c>
      <c r="O1500" s="209" t="s">
        <v>105</v>
      </c>
      <c r="P1500" s="211" t="s">
        <v>4237</v>
      </c>
      <c r="Q1500" s="209"/>
      <c r="R1500" s="209" t="s">
        <v>38</v>
      </c>
      <c r="S1500" s="209"/>
      <c r="T1500" s="209" t="s">
        <v>74</v>
      </c>
      <c r="U1500" s="211" t="s">
        <v>4238</v>
      </c>
      <c r="V1500" s="209" t="s">
        <v>41</v>
      </c>
      <c r="W1500" s="209" t="s">
        <v>49</v>
      </c>
      <c r="X1500" s="13" t="str">
        <f>IF(RIGHT(H1500,2)&lt;&gt;"00",H1500,"")</f>
        <v/>
      </c>
      <c r="Y1500" s="26">
        <f ca="1">NETWORKDAYS(P1500,$Y$1)</f>
        <v>3</v>
      </c>
      <c r="Z1500" s="34">
        <v>1</v>
      </c>
      <c r="AA1500" s="25" t="str">
        <f t="shared" ca="1" si="132"/>
        <v>A VENCER</v>
      </c>
      <c r="AB1500" s="25" t="str">
        <f t="shared" si="133"/>
        <v>Dosa</v>
      </c>
      <c r="AC1500" s="2" t="str">
        <f t="shared" si="136"/>
        <v xml:space="preserve"> RINALDO </v>
      </c>
      <c r="AD1500" s="26">
        <f t="shared" si="134"/>
        <v>5</v>
      </c>
      <c r="AE1500" s="26">
        <f t="shared" ca="1" si="135"/>
        <v>1.9557855324092088</v>
      </c>
    </row>
    <row r="1501" spans="1:31" hidden="1">
      <c r="A1501" s="209">
        <v>9517083</v>
      </c>
      <c r="B1501" s="209" t="s">
        <v>81</v>
      </c>
      <c r="C1501" s="210" t="s">
        <v>4210</v>
      </c>
      <c r="D1501" s="214"/>
      <c r="E1501" s="214">
        <v>2564000206001</v>
      </c>
      <c r="F1501" s="209" t="s">
        <v>29</v>
      </c>
      <c r="G1501" s="209" t="s">
        <v>53</v>
      </c>
      <c r="H1501" s="209" t="s">
        <v>255</v>
      </c>
      <c r="I1501" s="209" t="s">
        <v>256</v>
      </c>
      <c r="J1501" s="209" t="s">
        <v>164</v>
      </c>
      <c r="K1501" s="210" t="s">
        <v>34</v>
      </c>
      <c r="L1501" s="210"/>
      <c r="M1501" s="209" t="s">
        <v>35</v>
      </c>
      <c r="N1501" s="209">
        <v>42318949</v>
      </c>
      <c r="O1501" s="209" t="s">
        <v>105</v>
      </c>
      <c r="P1501" s="211" t="s">
        <v>4239</v>
      </c>
      <c r="Q1501" s="209"/>
      <c r="R1501" s="209" t="s">
        <v>38</v>
      </c>
      <c r="S1501" s="209"/>
      <c r="T1501" s="209" t="s">
        <v>74</v>
      </c>
      <c r="U1501" s="211" t="s">
        <v>4240</v>
      </c>
      <c r="V1501" s="209" t="s">
        <v>41</v>
      </c>
      <c r="W1501" s="209" t="s">
        <v>49</v>
      </c>
      <c r="X1501" s="13" t="str">
        <f>IF(RIGHT(H1501,2)&lt;&gt;"00",H1501,"")</f>
        <v/>
      </c>
      <c r="Y1501" s="26">
        <f ca="1">NETWORKDAYS(P1501,$Y$1)</f>
        <v>3</v>
      </c>
      <c r="Z1501" s="34">
        <v>1</v>
      </c>
      <c r="AA1501" s="25" t="str">
        <f t="shared" ca="1" si="132"/>
        <v>A VENCER</v>
      </c>
      <c r="AB1501" s="25" t="str">
        <f t="shared" si="133"/>
        <v>Dosa</v>
      </c>
      <c r="AC1501" s="2" t="str">
        <f t="shared" si="136"/>
        <v xml:space="preserve"> ROSEMERE </v>
      </c>
      <c r="AD1501" s="26">
        <f t="shared" si="134"/>
        <v>5</v>
      </c>
      <c r="AE1501" s="26">
        <f t="shared" ca="1" si="135"/>
        <v>1.9558202546322718</v>
      </c>
    </row>
    <row r="1502" spans="1:31" hidden="1">
      <c r="A1502" s="209">
        <v>9517080</v>
      </c>
      <c r="B1502" s="209" t="s">
        <v>81</v>
      </c>
      <c r="C1502" s="210" t="s">
        <v>4210</v>
      </c>
      <c r="D1502" s="214"/>
      <c r="E1502" s="214">
        <v>2559000206001</v>
      </c>
      <c r="F1502" s="209" t="s">
        <v>29</v>
      </c>
      <c r="G1502" s="209" t="s">
        <v>53</v>
      </c>
      <c r="H1502" s="209" t="s">
        <v>259</v>
      </c>
      <c r="I1502" s="209" t="s">
        <v>260</v>
      </c>
      <c r="J1502" s="209" t="s">
        <v>261</v>
      </c>
      <c r="K1502" s="210" t="s">
        <v>34</v>
      </c>
      <c r="L1502" s="210"/>
      <c r="M1502" s="209" t="s">
        <v>35</v>
      </c>
      <c r="N1502" s="209">
        <v>42318949</v>
      </c>
      <c r="O1502" s="209" t="s">
        <v>105</v>
      </c>
      <c r="P1502" s="211" t="s">
        <v>4241</v>
      </c>
      <c r="Q1502" s="209"/>
      <c r="R1502" s="209" t="s">
        <v>38</v>
      </c>
      <c r="S1502" s="209"/>
      <c r="T1502" s="209" t="s">
        <v>74</v>
      </c>
      <c r="U1502" s="211" t="s">
        <v>4242</v>
      </c>
      <c r="V1502" s="209" t="s">
        <v>41</v>
      </c>
      <c r="W1502" s="209" t="s">
        <v>49</v>
      </c>
      <c r="X1502" s="13" t="str">
        <f>IF(RIGHT(H1502,2)&lt;&gt;"00",H1502,"")</f>
        <v/>
      </c>
      <c r="Y1502" s="26">
        <f ca="1">NETWORKDAYS(P1502,$Y$1)</f>
        <v>3</v>
      </c>
      <c r="Z1502" s="34">
        <v>1</v>
      </c>
      <c r="AA1502" s="25" t="str">
        <f t="shared" ca="1" si="132"/>
        <v>A VENCER</v>
      </c>
      <c r="AB1502" s="25" t="str">
        <f t="shared" si="133"/>
        <v>Dosa</v>
      </c>
      <c r="AC1502" s="2" t="str">
        <f t="shared" si="136"/>
        <v xml:space="preserve"> CRISTINA </v>
      </c>
      <c r="AD1502" s="26">
        <f t="shared" si="134"/>
        <v>5</v>
      </c>
      <c r="AE1502" s="26">
        <f t="shared" ca="1" si="135"/>
        <v>1.9558318287017755</v>
      </c>
    </row>
    <row r="1503" spans="1:31" hidden="1">
      <c r="A1503" s="209">
        <v>9517056</v>
      </c>
      <c r="B1503" s="209" t="s">
        <v>81</v>
      </c>
      <c r="C1503" s="210" t="s">
        <v>4210</v>
      </c>
      <c r="D1503" s="214"/>
      <c r="E1503" s="214">
        <v>2529000206001</v>
      </c>
      <c r="F1503" s="209" t="s">
        <v>29</v>
      </c>
      <c r="G1503" s="209" t="s">
        <v>53</v>
      </c>
      <c r="H1503" s="209" t="s">
        <v>355</v>
      </c>
      <c r="I1503" s="209" t="s">
        <v>356</v>
      </c>
      <c r="J1503" s="209" t="s">
        <v>56</v>
      </c>
      <c r="K1503" s="210" t="s">
        <v>34</v>
      </c>
      <c r="L1503" s="210"/>
      <c r="M1503" s="209" t="s">
        <v>35</v>
      </c>
      <c r="N1503" s="209">
        <v>42318949</v>
      </c>
      <c r="O1503" s="209" t="s">
        <v>105</v>
      </c>
      <c r="P1503" s="211" t="s">
        <v>4243</v>
      </c>
      <c r="Q1503" s="209"/>
      <c r="R1503" s="209" t="s">
        <v>38</v>
      </c>
      <c r="S1503" s="209"/>
      <c r="T1503" s="209" t="s">
        <v>74</v>
      </c>
      <c r="U1503" s="211" t="s">
        <v>4244</v>
      </c>
      <c r="V1503" s="209" t="s">
        <v>41</v>
      </c>
      <c r="W1503" s="209" t="s">
        <v>49</v>
      </c>
      <c r="X1503" s="13" t="str">
        <f>IF(RIGHT(H1503,2)&lt;&gt;"00",H1503,"")</f>
        <v/>
      </c>
      <c r="Y1503" s="26">
        <f ca="1">NETWORKDAYS(P1503,$Y$1)</f>
        <v>3</v>
      </c>
      <c r="Z1503" s="34">
        <v>1</v>
      </c>
      <c r="AA1503" s="25" t="str">
        <f t="shared" ca="1" si="132"/>
        <v>A VENCER</v>
      </c>
      <c r="AB1503" s="25" t="str">
        <f t="shared" si="133"/>
        <v>Dosa</v>
      </c>
      <c r="AC1503" s="2" t="str">
        <f t="shared" si="136"/>
        <v xml:space="preserve"> CRISTINA </v>
      </c>
      <c r="AD1503" s="26">
        <f t="shared" si="134"/>
        <v>5</v>
      </c>
      <c r="AE1503" s="26">
        <f t="shared" ca="1" si="135"/>
        <v>1.9558665509248385</v>
      </c>
    </row>
    <row r="1504" spans="1:31" hidden="1">
      <c r="A1504" s="209">
        <v>9517014</v>
      </c>
      <c r="B1504" s="209" t="s">
        <v>81</v>
      </c>
      <c r="C1504" s="210" t="s">
        <v>4210</v>
      </c>
      <c r="D1504" s="214"/>
      <c r="E1504" s="214">
        <v>2473000206001</v>
      </c>
      <c r="F1504" s="209" t="s">
        <v>29</v>
      </c>
      <c r="G1504" s="209" t="s">
        <v>53</v>
      </c>
      <c r="H1504" s="209" t="s">
        <v>1459</v>
      </c>
      <c r="I1504" s="209" t="s">
        <v>1460</v>
      </c>
      <c r="J1504" s="209" t="s">
        <v>261</v>
      </c>
      <c r="K1504" s="210" t="s">
        <v>34</v>
      </c>
      <c r="L1504" s="210"/>
      <c r="M1504" s="209" t="s">
        <v>35</v>
      </c>
      <c r="N1504" s="209">
        <v>42318949</v>
      </c>
      <c r="O1504" s="209" t="s">
        <v>105</v>
      </c>
      <c r="P1504" s="211" t="s">
        <v>4245</v>
      </c>
      <c r="Q1504" s="209"/>
      <c r="R1504" s="209" t="s">
        <v>38</v>
      </c>
      <c r="S1504" s="209"/>
      <c r="T1504" s="209" t="s">
        <v>74</v>
      </c>
      <c r="U1504" s="211" t="s">
        <v>4246</v>
      </c>
      <c r="V1504" s="209" t="s">
        <v>41</v>
      </c>
      <c r="W1504" s="209" t="s">
        <v>49</v>
      </c>
      <c r="X1504" s="13" t="str">
        <f>IF(RIGHT(H1504,2)&lt;&gt;"00",H1504,"")</f>
        <v/>
      </c>
      <c r="Y1504" s="26">
        <f ca="1">NETWORKDAYS(P1504,$Y$1)</f>
        <v>3</v>
      </c>
      <c r="Z1504" s="34">
        <v>1</v>
      </c>
      <c r="AA1504" s="25" t="str">
        <f t="shared" ca="1" si="132"/>
        <v>A VENCER</v>
      </c>
      <c r="AB1504" s="25" t="str">
        <f t="shared" si="133"/>
        <v>Dosa</v>
      </c>
      <c r="AC1504" s="2" t="str">
        <f t="shared" si="136"/>
        <v xml:space="preserve"> CRISTINA </v>
      </c>
      <c r="AD1504" s="26">
        <f t="shared" si="134"/>
        <v>5</v>
      </c>
      <c r="AE1504" s="26">
        <f t="shared" ca="1" si="135"/>
        <v>1.9559244212941849</v>
      </c>
    </row>
    <row r="1505" spans="1:31" hidden="1">
      <c r="A1505" s="209">
        <v>9516983</v>
      </c>
      <c r="B1505" s="209" t="s">
        <v>81</v>
      </c>
      <c r="C1505" s="210" t="s">
        <v>4210</v>
      </c>
      <c r="D1505" s="214"/>
      <c r="E1505" s="214">
        <v>2442000206001</v>
      </c>
      <c r="F1505" s="209" t="s">
        <v>29</v>
      </c>
      <c r="G1505" s="209" t="s">
        <v>53</v>
      </c>
      <c r="H1505" s="209" t="s">
        <v>1956</v>
      </c>
      <c r="I1505" s="209" t="s">
        <v>1957</v>
      </c>
      <c r="J1505" s="209" t="s">
        <v>33</v>
      </c>
      <c r="K1505" s="210" t="s">
        <v>34</v>
      </c>
      <c r="L1505" s="210"/>
      <c r="M1505" s="209" t="s">
        <v>35</v>
      </c>
      <c r="N1505" s="209">
        <v>42318949</v>
      </c>
      <c r="O1505" s="209" t="s">
        <v>105</v>
      </c>
      <c r="P1505" s="211" t="s">
        <v>4247</v>
      </c>
      <c r="Q1505" s="209"/>
      <c r="R1505" s="209" t="s">
        <v>38</v>
      </c>
      <c r="S1505" s="209"/>
      <c r="T1505" s="209" t="s">
        <v>74</v>
      </c>
      <c r="U1505" s="211" t="s">
        <v>4248</v>
      </c>
      <c r="V1505" s="209" t="s">
        <v>41</v>
      </c>
      <c r="W1505" s="209" t="s">
        <v>42</v>
      </c>
      <c r="X1505" s="13" t="str">
        <f>IF(RIGHT(H1505,2)&lt;&gt;"00",H1505,"")</f>
        <v/>
      </c>
      <c r="Y1505" s="26">
        <f ca="1">NETWORKDAYS(P1505,$Y$1)</f>
        <v>3</v>
      </c>
      <c r="Z1505" s="34">
        <v>1</v>
      </c>
      <c r="AA1505" s="25" t="str">
        <f t="shared" ref="AA1505:AA1567" ca="1" si="137">IF(AE1505=0,"HOJE",IF(AE1505&gt;0,"A VENCER",IF(AE1505&lt;0,"VENCIDO")))</f>
        <v>A VENCER</v>
      </c>
      <c r="AB1505" s="25" t="str">
        <f t="shared" ref="AB1505:AB1567" si="138">IF(F1505="GRPE-000001","C-14",IF(F1505="GRPE-000002","C-14",IF(F1505="GRPE-000003","C-14",IF(F1505="GRPE-000004","SL-On",IF(F1505="GRPE-000038","C-14",IF(F1505="GRPE-900022","Dosa",IF(F1505="GRPE-000029","Dosa",IF(F1505="ATOS-000222","Dose","TAAe+"))))))))</f>
        <v>Dosa</v>
      </c>
      <c r="AC1505" s="2" t="str">
        <f t="shared" si="136"/>
        <v xml:space="preserve"> ROSEMERE </v>
      </c>
      <c r="AD1505" s="26">
        <f t="shared" ref="AD1505:AD1567" si="139">IF(F1505="GRPE-000001",5,IF(F1505="GRPE-000002",5,IF(F1505="GRPE-000003",15,IF(F1505="GRPE-000004",1,IF(F1505="GRPE-000038",5,IF(F1505="GRPE-900022",5,IF(F1505="GRPE-000029",5,IF(F1505="ATOS-000222",5,8))))))))</f>
        <v>5</v>
      </c>
      <c r="AE1505" s="26">
        <f t="shared" ref="AE1505:AE1567" ca="1" si="140">IF(P1505=$AE$1,"",$AE$1-P1505)</f>
        <v>1.9559707175940275</v>
      </c>
    </row>
    <row r="1506" spans="1:31" hidden="1">
      <c r="A1506" s="209">
        <v>9516979</v>
      </c>
      <c r="B1506" s="209" t="s">
        <v>81</v>
      </c>
      <c r="C1506" s="210" t="s">
        <v>4210</v>
      </c>
      <c r="D1506" s="214"/>
      <c r="E1506" s="214">
        <v>2437000206001</v>
      </c>
      <c r="F1506" s="209" t="s">
        <v>29</v>
      </c>
      <c r="G1506" s="209" t="s">
        <v>53</v>
      </c>
      <c r="H1506" s="209" t="s">
        <v>416</v>
      </c>
      <c r="I1506" s="209" t="s">
        <v>417</v>
      </c>
      <c r="J1506" s="209" t="s">
        <v>211</v>
      </c>
      <c r="K1506" s="210" t="s">
        <v>34</v>
      </c>
      <c r="L1506" s="210"/>
      <c r="M1506" s="209" t="s">
        <v>35</v>
      </c>
      <c r="N1506" s="209">
        <v>42318949</v>
      </c>
      <c r="O1506" s="209" t="s">
        <v>105</v>
      </c>
      <c r="P1506" s="211" t="s">
        <v>4247</v>
      </c>
      <c r="Q1506" s="209"/>
      <c r="R1506" s="209" t="s">
        <v>38</v>
      </c>
      <c r="S1506" s="209"/>
      <c r="T1506" s="209" t="s">
        <v>74</v>
      </c>
      <c r="U1506" s="211" t="s">
        <v>4249</v>
      </c>
      <c r="V1506" s="209" t="s">
        <v>41</v>
      </c>
      <c r="W1506" s="209" t="s">
        <v>49</v>
      </c>
      <c r="X1506" s="13" t="str">
        <f>IF(RIGHT(H1506,2)&lt;&gt;"00",H1506,"")</f>
        <v/>
      </c>
      <c r="Y1506" s="26">
        <f ca="1">NETWORKDAYS(P1506,$Y$1)</f>
        <v>3</v>
      </c>
      <c r="Z1506" s="34">
        <v>1</v>
      </c>
      <c r="AA1506" s="25" t="str">
        <f t="shared" ca="1" si="137"/>
        <v>A VENCER</v>
      </c>
      <c r="AB1506" s="25" t="str">
        <f t="shared" si="138"/>
        <v>Dosa</v>
      </c>
      <c r="AC1506" s="2" t="str">
        <f t="shared" si="136"/>
        <v xml:space="preserve"> RINALDO </v>
      </c>
      <c r="AD1506" s="26">
        <f t="shared" si="139"/>
        <v>5</v>
      </c>
      <c r="AE1506" s="26">
        <f t="shared" ca="1" si="140"/>
        <v>1.9559707175940275</v>
      </c>
    </row>
    <row r="1507" spans="1:31" hidden="1">
      <c r="A1507" s="209">
        <v>9516965</v>
      </c>
      <c r="B1507" s="209" t="s">
        <v>81</v>
      </c>
      <c r="C1507" s="210" t="s">
        <v>4210</v>
      </c>
      <c r="D1507" s="214"/>
      <c r="E1507" s="214">
        <v>2422000206001</v>
      </c>
      <c r="F1507" s="209" t="s">
        <v>29</v>
      </c>
      <c r="G1507" s="209" t="s">
        <v>53</v>
      </c>
      <c r="H1507" s="209" t="s">
        <v>1844</v>
      </c>
      <c r="I1507" s="209" t="s">
        <v>1845</v>
      </c>
      <c r="J1507" s="209" t="s">
        <v>211</v>
      </c>
      <c r="K1507" s="210" t="s">
        <v>34</v>
      </c>
      <c r="L1507" s="210"/>
      <c r="M1507" s="209" t="s">
        <v>35</v>
      </c>
      <c r="N1507" s="209">
        <v>42318949</v>
      </c>
      <c r="O1507" s="209" t="s">
        <v>105</v>
      </c>
      <c r="P1507" s="211" t="s">
        <v>4250</v>
      </c>
      <c r="Q1507" s="209"/>
      <c r="R1507" s="209" t="s">
        <v>38</v>
      </c>
      <c r="S1507" s="209"/>
      <c r="T1507" s="209" t="s">
        <v>74</v>
      </c>
      <c r="U1507" s="211" t="s">
        <v>4251</v>
      </c>
      <c r="V1507" s="209" t="s">
        <v>41</v>
      </c>
      <c r="W1507" s="209" t="s">
        <v>49</v>
      </c>
      <c r="X1507" s="13" t="str">
        <f>IF(RIGHT(H1507,2)&lt;&gt;"00",H1507,"")</f>
        <v/>
      </c>
      <c r="Y1507" s="26">
        <f ca="1">NETWORKDAYS(P1507,$Y$1)</f>
        <v>3</v>
      </c>
      <c r="Z1507" s="34">
        <v>1</v>
      </c>
      <c r="AA1507" s="25" t="str">
        <f t="shared" ca="1" si="137"/>
        <v>A VENCER</v>
      </c>
      <c r="AB1507" s="25" t="str">
        <f t="shared" si="138"/>
        <v>Dosa</v>
      </c>
      <c r="AC1507" s="2" t="str">
        <f t="shared" si="136"/>
        <v xml:space="preserve"> RINALDO </v>
      </c>
      <c r="AD1507" s="26">
        <f t="shared" si="139"/>
        <v>5</v>
      </c>
      <c r="AE1507" s="26">
        <f t="shared" ca="1" si="140"/>
        <v>1.9559938657403109</v>
      </c>
    </row>
    <row r="1508" spans="1:31" hidden="1">
      <c r="A1508" s="209">
        <v>9516956</v>
      </c>
      <c r="B1508" s="209" t="s">
        <v>81</v>
      </c>
      <c r="C1508" s="210" t="s">
        <v>4210</v>
      </c>
      <c r="D1508" s="214"/>
      <c r="E1508" s="214">
        <v>2413000206001</v>
      </c>
      <c r="F1508" s="209" t="s">
        <v>29</v>
      </c>
      <c r="G1508" s="209" t="s">
        <v>53</v>
      </c>
      <c r="H1508" s="209" t="s">
        <v>505</v>
      </c>
      <c r="I1508" s="209" t="s">
        <v>506</v>
      </c>
      <c r="J1508" s="209" t="s">
        <v>141</v>
      </c>
      <c r="K1508" s="210" t="s">
        <v>34</v>
      </c>
      <c r="L1508" s="210"/>
      <c r="M1508" s="209" t="s">
        <v>35</v>
      </c>
      <c r="N1508" s="209">
        <v>42318949</v>
      </c>
      <c r="O1508" s="209" t="s">
        <v>105</v>
      </c>
      <c r="P1508" s="211" t="s">
        <v>4252</v>
      </c>
      <c r="Q1508" s="209"/>
      <c r="R1508" s="209" t="s">
        <v>38</v>
      </c>
      <c r="S1508" s="209"/>
      <c r="T1508" s="209" t="s">
        <v>74</v>
      </c>
      <c r="U1508" s="211" t="s">
        <v>4253</v>
      </c>
      <c r="V1508" s="209" t="s">
        <v>41</v>
      </c>
      <c r="W1508" s="209" t="s">
        <v>49</v>
      </c>
      <c r="X1508" s="13" t="str">
        <f>IF(RIGHT(H1508,2)&lt;&gt;"00",H1508,"")</f>
        <v/>
      </c>
      <c r="Y1508" s="26">
        <f ca="1">NETWORKDAYS(P1508,$Y$1)</f>
        <v>3</v>
      </c>
      <c r="Z1508" s="34">
        <v>1</v>
      </c>
      <c r="AA1508" s="25" t="str">
        <f t="shared" ca="1" si="137"/>
        <v>A VENCER</v>
      </c>
      <c r="AB1508" s="25" t="str">
        <f t="shared" si="138"/>
        <v>Dosa</v>
      </c>
      <c r="AC1508" s="2" t="str">
        <f t="shared" si="136"/>
        <v xml:space="preserve"> CRISTINA </v>
      </c>
      <c r="AD1508" s="26">
        <f t="shared" si="139"/>
        <v>5</v>
      </c>
      <c r="AE1508" s="26">
        <f t="shared" ca="1" si="140"/>
        <v>1.9560054398170905</v>
      </c>
    </row>
    <row r="1509" spans="1:31" hidden="1">
      <c r="A1509" s="209">
        <v>9516936</v>
      </c>
      <c r="B1509" s="209" t="s">
        <v>81</v>
      </c>
      <c r="C1509" s="210" t="s">
        <v>4210</v>
      </c>
      <c r="D1509" s="214"/>
      <c r="E1509" s="214">
        <v>2388000206001</v>
      </c>
      <c r="F1509" s="209" t="s">
        <v>29</v>
      </c>
      <c r="G1509" s="209" t="s">
        <v>53</v>
      </c>
      <c r="H1509" s="209" t="s">
        <v>299</v>
      </c>
      <c r="I1509" s="209" t="s">
        <v>300</v>
      </c>
      <c r="J1509" s="209" t="s">
        <v>79</v>
      </c>
      <c r="K1509" s="210" t="s">
        <v>34</v>
      </c>
      <c r="L1509" s="210"/>
      <c r="M1509" s="209" t="s">
        <v>35</v>
      </c>
      <c r="N1509" s="209">
        <v>42318949</v>
      </c>
      <c r="O1509" s="209" t="s">
        <v>105</v>
      </c>
      <c r="P1509" s="211" t="s">
        <v>4752</v>
      </c>
      <c r="Q1509" s="209"/>
      <c r="R1509" s="209" t="s">
        <v>38</v>
      </c>
      <c r="S1509" s="209"/>
      <c r="T1509" s="209" t="s">
        <v>74</v>
      </c>
      <c r="U1509" s="211" t="s">
        <v>4753</v>
      </c>
      <c r="V1509" s="209" t="s">
        <v>41</v>
      </c>
      <c r="W1509" s="209" t="s">
        <v>49</v>
      </c>
      <c r="X1509" s="13" t="str">
        <f>IF(RIGHT(H1509,2)&lt;&gt;"00",H1509,"")</f>
        <v/>
      </c>
      <c r="Y1509" s="26">
        <f ca="1">NETWORKDAYS(P1509,$Y$1)</f>
        <v>3</v>
      </c>
      <c r="Z1509" s="34">
        <v>1</v>
      </c>
      <c r="AA1509" s="25" t="str">
        <f t="shared" ca="1" si="137"/>
        <v>A VENCER</v>
      </c>
      <c r="AB1509" s="25" t="str">
        <f t="shared" si="138"/>
        <v>Dosa</v>
      </c>
      <c r="AC1509" s="2" t="str">
        <f t="shared" si="136"/>
        <v xml:space="preserve"> ROSEMERE </v>
      </c>
      <c r="AD1509" s="26">
        <f t="shared" si="139"/>
        <v>5</v>
      </c>
      <c r="AE1509" s="26">
        <f t="shared" ca="1" si="140"/>
        <v>1.9560285879633739</v>
      </c>
    </row>
    <row r="1510" spans="1:31" hidden="1">
      <c r="A1510" s="209">
        <v>9516919</v>
      </c>
      <c r="B1510" s="209" t="s">
        <v>81</v>
      </c>
      <c r="C1510" s="210" t="s">
        <v>4210</v>
      </c>
      <c r="D1510" s="214"/>
      <c r="E1510" s="214">
        <v>2371000206001</v>
      </c>
      <c r="F1510" s="209" t="s">
        <v>29</v>
      </c>
      <c r="G1510" s="209" t="s">
        <v>53</v>
      </c>
      <c r="H1510" s="209" t="s">
        <v>1000</v>
      </c>
      <c r="I1510" s="209" t="s">
        <v>1001</v>
      </c>
      <c r="J1510" s="209" t="s">
        <v>90</v>
      </c>
      <c r="K1510" s="210" t="s">
        <v>34</v>
      </c>
      <c r="L1510" s="210"/>
      <c r="M1510" s="209" t="s">
        <v>35</v>
      </c>
      <c r="N1510" s="209">
        <v>42318949</v>
      </c>
      <c r="O1510" s="209" t="s">
        <v>105</v>
      </c>
      <c r="P1510" s="211" t="s">
        <v>4754</v>
      </c>
      <c r="Q1510" s="209"/>
      <c r="R1510" s="209" t="s">
        <v>38</v>
      </c>
      <c r="S1510" s="209"/>
      <c r="T1510" s="209" t="s">
        <v>74</v>
      </c>
      <c r="U1510" s="211" t="s">
        <v>4755</v>
      </c>
      <c r="V1510" s="209" t="s">
        <v>41</v>
      </c>
      <c r="W1510" s="209" t="s">
        <v>49</v>
      </c>
      <c r="X1510" s="13" t="str">
        <f>IF(RIGHT(H1510,2)&lt;&gt;"00",H1510,"")</f>
        <v/>
      </c>
      <c r="Y1510" s="26">
        <f ca="1">NETWORKDAYS(P1510,$Y$1)</f>
        <v>3</v>
      </c>
      <c r="Z1510" s="34">
        <v>1</v>
      </c>
      <c r="AA1510" s="25" t="str">
        <f t="shared" ca="1" si="137"/>
        <v>A VENCER</v>
      </c>
      <c r="AB1510" s="25" t="str">
        <f t="shared" si="138"/>
        <v>Dosa</v>
      </c>
      <c r="AC1510" s="2" t="str">
        <f t="shared" si="136"/>
        <v xml:space="preserve"> RINALDO </v>
      </c>
      <c r="AD1510" s="26">
        <f t="shared" si="139"/>
        <v>5</v>
      </c>
      <c r="AE1510" s="26">
        <f t="shared" ca="1" si="140"/>
        <v>1.9560517361096572</v>
      </c>
    </row>
    <row r="1511" spans="1:31" hidden="1">
      <c r="A1511" s="209">
        <v>9516918</v>
      </c>
      <c r="B1511" s="209" t="s">
        <v>81</v>
      </c>
      <c r="C1511" s="210" t="s">
        <v>4210</v>
      </c>
      <c r="D1511" s="214"/>
      <c r="E1511" s="214">
        <v>2369000206001</v>
      </c>
      <c r="F1511" s="209" t="s">
        <v>29</v>
      </c>
      <c r="G1511" s="209" t="s">
        <v>53</v>
      </c>
      <c r="H1511" s="209" t="s">
        <v>701</v>
      </c>
      <c r="I1511" s="209" t="s">
        <v>702</v>
      </c>
      <c r="J1511" s="209" t="s">
        <v>141</v>
      </c>
      <c r="K1511" s="210" t="s">
        <v>34</v>
      </c>
      <c r="L1511" s="210"/>
      <c r="M1511" s="209" t="s">
        <v>35</v>
      </c>
      <c r="N1511" s="209">
        <v>42318949</v>
      </c>
      <c r="O1511" s="209" t="s">
        <v>105</v>
      </c>
      <c r="P1511" s="211" t="s">
        <v>4754</v>
      </c>
      <c r="Q1511" s="209"/>
      <c r="R1511" s="209" t="s">
        <v>38</v>
      </c>
      <c r="S1511" s="209"/>
      <c r="T1511" s="209" t="s">
        <v>74</v>
      </c>
      <c r="U1511" s="211" t="s">
        <v>4755</v>
      </c>
      <c r="V1511" s="209" t="s">
        <v>41</v>
      </c>
      <c r="W1511" s="209" t="s">
        <v>49</v>
      </c>
      <c r="X1511" s="13" t="str">
        <f>IF(RIGHT(H1511,2)&lt;&gt;"00",H1511,"")</f>
        <v/>
      </c>
      <c r="Y1511" s="26">
        <f ca="1">NETWORKDAYS(P1511,$Y$1)</f>
        <v>3</v>
      </c>
      <c r="Z1511" s="34">
        <v>1</v>
      </c>
      <c r="AA1511" s="25" t="str">
        <f t="shared" ca="1" si="137"/>
        <v>A VENCER</v>
      </c>
      <c r="AB1511" s="25" t="str">
        <f t="shared" si="138"/>
        <v>Dosa</v>
      </c>
      <c r="AC1511" s="2" t="str">
        <f t="shared" si="136"/>
        <v xml:space="preserve"> CRISTINA </v>
      </c>
      <c r="AD1511" s="26">
        <f t="shared" si="139"/>
        <v>5</v>
      </c>
      <c r="AE1511" s="26">
        <f t="shared" ca="1" si="140"/>
        <v>1.9560517361096572</v>
      </c>
    </row>
    <row r="1512" spans="1:31" hidden="1">
      <c r="A1512" s="209">
        <v>9516915</v>
      </c>
      <c r="B1512" s="209" t="s">
        <v>81</v>
      </c>
      <c r="C1512" s="210" t="s">
        <v>4210</v>
      </c>
      <c r="D1512" s="214"/>
      <c r="E1512" s="214">
        <v>2365000206001</v>
      </c>
      <c r="F1512" s="209" t="s">
        <v>29</v>
      </c>
      <c r="G1512" s="209" t="s">
        <v>53</v>
      </c>
      <c r="H1512" s="209" t="s">
        <v>159</v>
      </c>
      <c r="I1512" s="209" t="s">
        <v>160</v>
      </c>
      <c r="J1512" s="209" t="s">
        <v>46</v>
      </c>
      <c r="K1512" s="210" t="s">
        <v>34</v>
      </c>
      <c r="L1512" s="210"/>
      <c r="M1512" s="209" t="s">
        <v>35</v>
      </c>
      <c r="N1512" s="209">
        <v>42318949</v>
      </c>
      <c r="O1512" s="209" t="s">
        <v>105</v>
      </c>
      <c r="P1512" s="211" t="s">
        <v>4756</v>
      </c>
      <c r="Q1512" s="209"/>
      <c r="R1512" s="209" t="s">
        <v>38</v>
      </c>
      <c r="S1512" s="209"/>
      <c r="T1512" s="209" t="s">
        <v>74</v>
      </c>
      <c r="U1512" s="211" t="s">
        <v>4755</v>
      </c>
      <c r="V1512" s="209" t="s">
        <v>41</v>
      </c>
      <c r="W1512" s="209" t="s">
        <v>49</v>
      </c>
      <c r="X1512" s="13" t="str">
        <f>IF(RIGHT(H1512,2)&lt;&gt;"00",H1512,"")</f>
        <v/>
      </c>
      <c r="Y1512" s="26">
        <f ca="1">NETWORKDAYS(P1512,$Y$1)</f>
        <v>3</v>
      </c>
      <c r="Z1512" s="34">
        <v>1</v>
      </c>
      <c r="AA1512" s="25" t="str">
        <f t="shared" ca="1" si="137"/>
        <v>A VENCER</v>
      </c>
      <c r="AB1512" s="25" t="str">
        <f t="shared" si="138"/>
        <v>Dosa</v>
      </c>
      <c r="AC1512" s="2" t="str">
        <f t="shared" si="136"/>
        <v xml:space="preserve"> CLEITON </v>
      </c>
      <c r="AD1512" s="26">
        <f t="shared" si="139"/>
        <v>5</v>
      </c>
      <c r="AE1512" s="26">
        <f t="shared" ca="1" si="140"/>
        <v>1.9560633101864369</v>
      </c>
    </row>
    <row r="1513" spans="1:31" hidden="1">
      <c r="A1513" s="209">
        <v>9516887</v>
      </c>
      <c r="B1513" s="209" t="s">
        <v>81</v>
      </c>
      <c r="C1513" s="210" t="s">
        <v>4210</v>
      </c>
      <c r="D1513" s="214"/>
      <c r="E1513" s="214">
        <v>2335000206001</v>
      </c>
      <c r="F1513" s="209" t="s">
        <v>29</v>
      </c>
      <c r="G1513" s="209" t="s">
        <v>53</v>
      </c>
      <c r="H1513" s="209" t="s">
        <v>194</v>
      </c>
      <c r="I1513" s="209" t="s">
        <v>195</v>
      </c>
      <c r="J1513" s="209" t="s">
        <v>110</v>
      </c>
      <c r="K1513" s="210" t="s">
        <v>34</v>
      </c>
      <c r="L1513" s="210"/>
      <c r="M1513" s="209" t="s">
        <v>35</v>
      </c>
      <c r="N1513" s="209">
        <v>42318949</v>
      </c>
      <c r="O1513" s="209" t="s">
        <v>105</v>
      </c>
      <c r="P1513" s="211" t="s">
        <v>4757</v>
      </c>
      <c r="Q1513" s="209"/>
      <c r="R1513" s="209" t="s">
        <v>38</v>
      </c>
      <c r="S1513" s="209"/>
      <c r="T1513" s="209" t="s">
        <v>74</v>
      </c>
      <c r="U1513" s="211" t="s">
        <v>4758</v>
      </c>
      <c r="V1513" s="209" t="s">
        <v>41</v>
      </c>
      <c r="W1513" s="209" t="s">
        <v>49</v>
      </c>
      <c r="X1513" s="13" t="str">
        <f>IF(RIGHT(H1513,2)&lt;&gt;"00",H1513,"")</f>
        <v/>
      </c>
      <c r="Y1513" s="26">
        <f ca="1">NETWORKDAYS(P1513,$Y$1)</f>
        <v>3</v>
      </c>
      <c r="Z1513" s="34">
        <v>1</v>
      </c>
      <c r="AA1513" s="25" t="str">
        <f t="shared" ca="1" si="137"/>
        <v>A VENCER</v>
      </c>
      <c r="AB1513" s="25" t="str">
        <f t="shared" si="138"/>
        <v>Dosa</v>
      </c>
      <c r="AC1513" s="2" t="str">
        <f t="shared" si="136"/>
        <v xml:space="preserve"> CRISTINA </v>
      </c>
      <c r="AD1513" s="26">
        <f t="shared" si="139"/>
        <v>5</v>
      </c>
      <c r="AE1513" s="26">
        <f t="shared" ca="1" si="140"/>
        <v>1.9560980324094999</v>
      </c>
    </row>
    <row r="1514" spans="1:31" hidden="1">
      <c r="A1514" s="209">
        <v>9516881</v>
      </c>
      <c r="B1514" s="209" t="s">
        <v>81</v>
      </c>
      <c r="C1514" s="210" t="s">
        <v>4210</v>
      </c>
      <c r="D1514" s="214"/>
      <c r="E1514" s="214">
        <v>2326000206001</v>
      </c>
      <c r="F1514" s="209" t="s">
        <v>29</v>
      </c>
      <c r="G1514" s="209" t="s">
        <v>53</v>
      </c>
      <c r="H1514" s="209" t="s">
        <v>191</v>
      </c>
      <c r="I1514" s="209" t="s">
        <v>192</v>
      </c>
      <c r="J1514" s="209" t="s">
        <v>46</v>
      </c>
      <c r="K1514" s="210" t="s">
        <v>34</v>
      </c>
      <c r="L1514" s="210"/>
      <c r="M1514" s="209" t="s">
        <v>35</v>
      </c>
      <c r="N1514" s="209">
        <v>42318949</v>
      </c>
      <c r="O1514" s="209" t="s">
        <v>105</v>
      </c>
      <c r="P1514" s="211" t="s">
        <v>4759</v>
      </c>
      <c r="Q1514" s="209"/>
      <c r="R1514" s="209" t="s">
        <v>38</v>
      </c>
      <c r="S1514" s="209"/>
      <c r="T1514" s="209" t="s">
        <v>74</v>
      </c>
      <c r="U1514" s="211" t="s">
        <v>4760</v>
      </c>
      <c r="V1514" s="209" t="s">
        <v>41</v>
      </c>
      <c r="W1514" s="209" t="s">
        <v>49</v>
      </c>
      <c r="X1514" s="13" t="str">
        <f>IF(RIGHT(H1514,2)&lt;&gt;"00",H1514,"")</f>
        <v/>
      </c>
      <c r="Y1514" s="26">
        <f ca="1">NETWORKDAYS(P1514,$Y$1)</f>
        <v>3</v>
      </c>
      <c r="Z1514" s="34">
        <v>1</v>
      </c>
      <c r="AA1514" s="25" t="str">
        <f t="shared" ca="1" si="137"/>
        <v>A VENCER</v>
      </c>
      <c r="AB1514" s="25" t="str">
        <f t="shared" si="138"/>
        <v>Dosa</v>
      </c>
      <c r="AC1514" s="2" t="str">
        <f t="shared" si="136"/>
        <v xml:space="preserve"> CLEITON </v>
      </c>
      <c r="AD1514" s="26">
        <f t="shared" si="139"/>
        <v>5</v>
      </c>
      <c r="AE1514" s="26">
        <f t="shared" ca="1" si="140"/>
        <v>1.9561096064790036</v>
      </c>
    </row>
    <row r="1515" spans="1:31" hidden="1">
      <c r="A1515" s="209">
        <v>9516862</v>
      </c>
      <c r="B1515" s="209" t="s">
        <v>81</v>
      </c>
      <c r="C1515" s="210" t="s">
        <v>4210</v>
      </c>
      <c r="D1515" s="214"/>
      <c r="E1515" s="214">
        <v>2304000206001</v>
      </c>
      <c r="F1515" s="209" t="s">
        <v>29</v>
      </c>
      <c r="G1515" s="209" t="s">
        <v>53</v>
      </c>
      <c r="H1515" s="209" t="s">
        <v>2711</v>
      </c>
      <c r="I1515" s="209" t="s">
        <v>2712</v>
      </c>
      <c r="J1515" s="209" t="s">
        <v>85</v>
      </c>
      <c r="K1515" s="210" t="s">
        <v>34</v>
      </c>
      <c r="L1515" s="210"/>
      <c r="M1515" s="209" t="s">
        <v>35</v>
      </c>
      <c r="N1515" s="209">
        <v>42318949</v>
      </c>
      <c r="O1515" s="209" t="s">
        <v>105</v>
      </c>
      <c r="P1515" s="211" t="s">
        <v>4761</v>
      </c>
      <c r="Q1515" s="209"/>
      <c r="R1515" s="209" t="s">
        <v>38</v>
      </c>
      <c r="S1515" s="209"/>
      <c r="T1515" s="209" t="s">
        <v>74</v>
      </c>
      <c r="U1515" s="211" t="s">
        <v>4762</v>
      </c>
      <c r="V1515" s="209" t="s">
        <v>41</v>
      </c>
      <c r="W1515" s="209" t="s">
        <v>49</v>
      </c>
      <c r="X1515" s="13" t="str">
        <f>IF(RIGHT(H1515,2)&lt;&gt;"00",H1515,"")</f>
        <v/>
      </c>
      <c r="Y1515" s="26">
        <f ca="1">NETWORKDAYS(P1515,$Y$1)</f>
        <v>3</v>
      </c>
      <c r="Z1515" s="34">
        <v>1</v>
      </c>
      <c r="AA1515" s="25" t="str">
        <f t="shared" ca="1" si="137"/>
        <v>A VENCER</v>
      </c>
      <c r="AB1515" s="25" t="str">
        <f t="shared" si="138"/>
        <v>Dosa</v>
      </c>
      <c r="AC1515" s="2" t="str">
        <f t="shared" si="136"/>
        <v xml:space="preserve"> RINALDO </v>
      </c>
      <c r="AD1515" s="26">
        <f t="shared" si="139"/>
        <v>5</v>
      </c>
      <c r="AE1515" s="26">
        <f t="shared" ca="1" si="140"/>
        <v>1.9561327546325629</v>
      </c>
    </row>
    <row r="1516" spans="1:31" hidden="1">
      <c r="A1516" s="209">
        <v>9516816</v>
      </c>
      <c r="B1516" s="209" t="s">
        <v>81</v>
      </c>
      <c r="C1516" s="210" t="s">
        <v>4210</v>
      </c>
      <c r="D1516" s="214"/>
      <c r="E1516" s="214">
        <v>2257000206001</v>
      </c>
      <c r="F1516" s="209" t="s">
        <v>29</v>
      </c>
      <c r="G1516" s="209" t="s">
        <v>53</v>
      </c>
      <c r="H1516" s="209" t="s">
        <v>381</v>
      </c>
      <c r="I1516" s="209" t="s">
        <v>382</v>
      </c>
      <c r="J1516" s="209" t="s">
        <v>110</v>
      </c>
      <c r="K1516" s="210" t="s">
        <v>34</v>
      </c>
      <c r="L1516" s="210"/>
      <c r="M1516" s="209" t="s">
        <v>35</v>
      </c>
      <c r="N1516" s="209">
        <v>42318949</v>
      </c>
      <c r="O1516" s="209" t="s">
        <v>105</v>
      </c>
      <c r="P1516" s="211" t="s">
        <v>4763</v>
      </c>
      <c r="Q1516" s="209"/>
      <c r="R1516" s="209" t="s">
        <v>38</v>
      </c>
      <c r="S1516" s="209"/>
      <c r="T1516" s="209" t="s">
        <v>74</v>
      </c>
      <c r="U1516" s="211" t="s">
        <v>4764</v>
      </c>
      <c r="V1516" s="209" t="s">
        <v>41</v>
      </c>
      <c r="W1516" s="209" t="s">
        <v>49</v>
      </c>
      <c r="X1516" s="13" t="str">
        <f>IF(RIGHT(H1516,2)&lt;&gt;"00",H1516,"")</f>
        <v/>
      </c>
      <c r="Y1516" s="26">
        <f ca="1">NETWORKDAYS(P1516,$Y$1)</f>
        <v>3</v>
      </c>
      <c r="Z1516" s="34">
        <v>1</v>
      </c>
      <c r="AA1516" s="25" t="str">
        <f t="shared" ca="1" si="137"/>
        <v>A VENCER</v>
      </c>
      <c r="AB1516" s="25" t="str">
        <f t="shared" si="138"/>
        <v>Dosa</v>
      </c>
      <c r="AC1516" s="2" t="str">
        <f t="shared" si="136"/>
        <v xml:space="preserve"> CRISTINA </v>
      </c>
      <c r="AD1516" s="26">
        <f t="shared" si="139"/>
        <v>5</v>
      </c>
      <c r="AE1516" s="26">
        <f t="shared" ca="1" si="140"/>
        <v>1.9561906250019092</v>
      </c>
    </row>
    <row r="1517" spans="1:31" hidden="1">
      <c r="A1517" s="209">
        <v>9516803</v>
      </c>
      <c r="B1517" s="209" t="s">
        <v>81</v>
      </c>
      <c r="C1517" s="210" t="s">
        <v>4210</v>
      </c>
      <c r="D1517" s="214"/>
      <c r="E1517" s="214">
        <v>2244000206001</v>
      </c>
      <c r="F1517" s="209" t="s">
        <v>29</v>
      </c>
      <c r="G1517" s="209" t="s">
        <v>53</v>
      </c>
      <c r="H1517" s="209" t="s">
        <v>1853</v>
      </c>
      <c r="I1517" s="209" t="s">
        <v>1854</v>
      </c>
      <c r="J1517" s="209" t="s">
        <v>79</v>
      </c>
      <c r="K1517" s="210" t="s">
        <v>34</v>
      </c>
      <c r="L1517" s="210"/>
      <c r="M1517" s="209" t="s">
        <v>35</v>
      </c>
      <c r="N1517" s="209">
        <v>42318949</v>
      </c>
      <c r="O1517" s="209" t="s">
        <v>105</v>
      </c>
      <c r="P1517" s="211" t="s">
        <v>4765</v>
      </c>
      <c r="Q1517" s="209"/>
      <c r="R1517" s="209" t="s">
        <v>38</v>
      </c>
      <c r="S1517" s="209"/>
      <c r="T1517" s="209" t="s">
        <v>74</v>
      </c>
      <c r="U1517" s="211" t="s">
        <v>4766</v>
      </c>
      <c r="V1517" s="209" t="s">
        <v>41</v>
      </c>
      <c r="W1517" s="209" t="s">
        <v>49</v>
      </c>
      <c r="X1517" s="13" t="str">
        <f>IF(RIGHT(H1517,2)&lt;&gt;"00",H1517,"")</f>
        <v/>
      </c>
      <c r="Y1517" s="26">
        <f ca="1">NETWORKDAYS(P1517,$Y$1)</f>
        <v>3</v>
      </c>
      <c r="Z1517" s="34">
        <v>1</v>
      </c>
      <c r="AA1517" s="25" t="str">
        <f t="shared" ca="1" si="137"/>
        <v>A VENCER</v>
      </c>
      <c r="AB1517" s="25" t="str">
        <f t="shared" si="138"/>
        <v>Dosa</v>
      </c>
      <c r="AC1517" s="2" t="str">
        <f t="shared" si="136"/>
        <v xml:space="preserve"> ROSEMERE </v>
      </c>
      <c r="AD1517" s="26">
        <f t="shared" si="139"/>
        <v>5</v>
      </c>
      <c r="AE1517" s="26">
        <f t="shared" ca="1" si="140"/>
        <v>1.9562137731481926</v>
      </c>
    </row>
    <row r="1518" spans="1:31" hidden="1">
      <c r="A1518" s="209">
        <v>9516798</v>
      </c>
      <c r="B1518" s="209" t="s">
        <v>81</v>
      </c>
      <c r="C1518" s="210" t="s">
        <v>4210</v>
      </c>
      <c r="D1518" s="214"/>
      <c r="E1518" s="214">
        <v>2239000206001</v>
      </c>
      <c r="F1518" s="209" t="s">
        <v>29</v>
      </c>
      <c r="G1518" s="209" t="s">
        <v>53</v>
      </c>
      <c r="H1518" s="209" t="s">
        <v>333</v>
      </c>
      <c r="I1518" s="209" t="s">
        <v>334</v>
      </c>
      <c r="J1518" s="209" t="s">
        <v>261</v>
      </c>
      <c r="K1518" s="210" t="s">
        <v>34</v>
      </c>
      <c r="L1518" s="210"/>
      <c r="M1518" s="209" t="s">
        <v>35</v>
      </c>
      <c r="N1518" s="209">
        <v>42318949</v>
      </c>
      <c r="O1518" s="209" t="s">
        <v>105</v>
      </c>
      <c r="P1518" s="211" t="s">
        <v>4767</v>
      </c>
      <c r="Q1518" s="209"/>
      <c r="R1518" s="209" t="s">
        <v>38</v>
      </c>
      <c r="S1518" s="209"/>
      <c r="T1518" s="209" t="s">
        <v>74</v>
      </c>
      <c r="U1518" s="211" t="s">
        <v>4766</v>
      </c>
      <c r="V1518" s="209" t="s">
        <v>41</v>
      </c>
      <c r="W1518" s="209" t="s">
        <v>49</v>
      </c>
      <c r="X1518" s="13" t="str">
        <f>IF(RIGHT(H1518,2)&lt;&gt;"00",H1518,"")</f>
        <v/>
      </c>
      <c r="Y1518" s="26">
        <f ca="1">NETWORKDAYS(P1518,$Y$1)</f>
        <v>3</v>
      </c>
      <c r="Z1518" s="34">
        <v>1</v>
      </c>
      <c r="AA1518" s="25" t="str">
        <f t="shared" ca="1" si="137"/>
        <v>A VENCER</v>
      </c>
      <c r="AB1518" s="25" t="str">
        <f t="shared" si="138"/>
        <v>Dosa</v>
      </c>
      <c r="AC1518" s="2" t="str">
        <f t="shared" si="136"/>
        <v xml:space="preserve"> CRISTINA </v>
      </c>
      <c r="AD1518" s="26">
        <f t="shared" si="139"/>
        <v>5</v>
      </c>
      <c r="AE1518" s="26">
        <f t="shared" ca="1" si="140"/>
        <v>1.9562253472249722</v>
      </c>
    </row>
    <row r="1519" spans="1:31" hidden="1">
      <c r="A1519" s="209">
        <v>9516797</v>
      </c>
      <c r="B1519" s="209" t="s">
        <v>81</v>
      </c>
      <c r="C1519" s="210" t="s">
        <v>4210</v>
      </c>
      <c r="D1519" s="214"/>
      <c r="E1519" s="214">
        <v>2238000206001</v>
      </c>
      <c r="F1519" s="209" t="s">
        <v>29</v>
      </c>
      <c r="G1519" s="209" t="s">
        <v>53</v>
      </c>
      <c r="H1519" s="209" t="s">
        <v>707</v>
      </c>
      <c r="I1519" s="209" t="s">
        <v>708</v>
      </c>
      <c r="J1519" s="209" t="s">
        <v>79</v>
      </c>
      <c r="K1519" s="210" t="s">
        <v>34</v>
      </c>
      <c r="L1519" s="210"/>
      <c r="M1519" s="209" t="s">
        <v>35</v>
      </c>
      <c r="N1519" s="209">
        <v>42318949</v>
      </c>
      <c r="O1519" s="209" t="s">
        <v>105</v>
      </c>
      <c r="P1519" s="211" t="s">
        <v>4767</v>
      </c>
      <c r="Q1519" s="209"/>
      <c r="R1519" s="209" t="s">
        <v>38</v>
      </c>
      <c r="S1519" s="209"/>
      <c r="T1519" s="209" t="s">
        <v>74</v>
      </c>
      <c r="U1519" s="211" t="s">
        <v>4768</v>
      </c>
      <c r="V1519" s="209" t="s">
        <v>41</v>
      </c>
      <c r="W1519" s="209" t="s">
        <v>49</v>
      </c>
      <c r="X1519" s="13" t="str">
        <f>IF(RIGHT(H1519,2)&lt;&gt;"00",H1519,"")</f>
        <v/>
      </c>
      <c r="Y1519" s="26">
        <f ca="1">NETWORKDAYS(P1519,$Y$1)</f>
        <v>3</v>
      </c>
      <c r="Z1519" s="34">
        <v>1</v>
      </c>
      <c r="AA1519" s="25" t="str">
        <f t="shared" ca="1" si="137"/>
        <v>A VENCER</v>
      </c>
      <c r="AB1519" s="25" t="str">
        <f t="shared" si="138"/>
        <v>Dosa</v>
      </c>
      <c r="AC1519" s="2" t="str">
        <f t="shared" si="136"/>
        <v xml:space="preserve"> ROSEMERE </v>
      </c>
      <c r="AD1519" s="26">
        <f t="shared" si="139"/>
        <v>5</v>
      </c>
      <c r="AE1519" s="26">
        <f t="shared" ca="1" si="140"/>
        <v>1.9562253472249722</v>
      </c>
    </row>
    <row r="1520" spans="1:31" hidden="1">
      <c r="A1520" s="209">
        <v>9516788</v>
      </c>
      <c r="B1520" s="209" t="s">
        <v>81</v>
      </c>
      <c r="C1520" s="210" t="s">
        <v>4210</v>
      </c>
      <c r="D1520" s="214"/>
      <c r="E1520" s="214">
        <v>2229000206001</v>
      </c>
      <c r="F1520" s="209" t="s">
        <v>29</v>
      </c>
      <c r="G1520" s="209" t="s">
        <v>53</v>
      </c>
      <c r="H1520" s="209" t="s">
        <v>339</v>
      </c>
      <c r="I1520" s="209" t="s">
        <v>340</v>
      </c>
      <c r="J1520" s="209" t="s">
        <v>211</v>
      </c>
      <c r="K1520" s="210" t="s">
        <v>34</v>
      </c>
      <c r="L1520" s="210"/>
      <c r="M1520" s="209" t="s">
        <v>35</v>
      </c>
      <c r="N1520" s="209">
        <v>42318949</v>
      </c>
      <c r="O1520" s="209" t="s">
        <v>105</v>
      </c>
      <c r="P1520" s="211" t="s">
        <v>4769</v>
      </c>
      <c r="Q1520" s="209"/>
      <c r="R1520" s="209" t="s">
        <v>38</v>
      </c>
      <c r="S1520" s="209"/>
      <c r="T1520" s="209" t="s">
        <v>74</v>
      </c>
      <c r="U1520" s="211" t="s">
        <v>4770</v>
      </c>
      <c r="V1520" s="209" t="s">
        <v>41</v>
      </c>
      <c r="W1520" s="209" t="s">
        <v>49</v>
      </c>
      <c r="X1520" s="13" t="str">
        <f>IF(RIGHT(H1520,2)&lt;&gt;"00",H1520,"")</f>
        <v/>
      </c>
      <c r="Y1520" s="26">
        <f ca="1">NETWORKDAYS(P1520,$Y$1)</f>
        <v>3</v>
      </c>
      <c r="Z1520" s="34">
        <v>1</v>
      </c>
      <c r="AA1520" s="25" t="str">
        <f t="shared" ca="1" si="137"/>
        <v>A VENCER</v>
      </c>
      <c r="AB1520" s="25" t="str">
        <f t="shared" si="138"/>
        <v>Dosa</v>
      </c>
      <c r="AC1520" s="2" t="str">
        <f t="shared" si="136"/>
        <v xml:space="preserve"> RINALDO </v>
      </c>
      <c r="AD1520" s="26">
        <f t="shared" si="139"/>
        <v>5</v>
      </c>
      <c r="AE1520" s="26">
        <f t="shared" ca="1" si="140"/>
        <v>1.9562369212944759</v>
      </c>
    </row>
    <row r="1521" spans="1:31" hidden="1">
      <c r="A1521" s="209">
        <v>9516778</v>
      </c>
      <c r="B1521" s="209" t="s">
        <v>81</v>
      </c>
      <c r="C1521" s="210" t="s">
        <v>4210</v>
      </c>
      <c r="D1521" s="214"/>
      <c r="E1521" s="214">
        <v>2219000206001</v>
      </c>
      <c r="F1521" s="209" t="s">
        <v>29</v>
      </c>
      <c r="G1521" s="209" t="s">
        <v>53</v>
      </c>
      <c r="H1521" s="209" t="s">
        <v>893</v>
      </c>
      <c r="I1521" s="209" t="s">
        <v>894</v>
      </c>
      <c r="J1521" s="209" t="s">
        <v>141</v>
      </c>
      <c r="K1521" s="210" t="s">
        <v>34</v>
      </c>
      <c r="L1521" s="210"/>
      <c r="M1521" s="209" t="s">
        <v>35</v>
      </c>
      <c r="N1521" s="209">
        <v>42318949</v>
      </c>
      <c r="O1521" s="209" t="s">
        <v>105</v>
      </c>
      <c r="P1521" s="211" t="s">
        <v>4771</v>
      </c>
      <c r="Q1521" s="209"/>
      <c r="R1521" s="209" t="s">
        <v>38</v>
      </c>
      <c r="S1521" s="209"/>
      <c r="T1521" s="209" t="s">
        <v>74</v>
      </c>
      <c r="U1521" s="213">
        <v>44985.720023148147</v>
      </c>
      <c r="V1521" s="209" t="s">
        <v>41</v>
      </c>
      <c r="W1521" s="209" t="s">
        <v>49</v>
      </c>
      <c r="X1521" s="13" t="str">
        <f>IF(RIGHT(H1521,2)&lt;&gt;"00",H1521,"")</f>
        <v/>
      </c>
      <c r="Y1521" s="26">
        <f ca="1">NETWORKDAYS(P1521,$Y$1)</f>
        <v>3</v>
      </c>
      <c r="Z1521" s="34">
        <v>1</v>
      </c>
      <c r="AA1521" s="25" t="str">
        <f t="shared" ca="1" si="137"/>
        <v>A VENCER</v>
      </c>
      <c r="AB1521" s="25" t="str">
        <f t="shared" si="138"/>
        <v>Dosa</v>
      </c>
      <c r="AC1521" s="2" t="str">
        <f t="shared" si="136"/>
        <v xml:space="preserve"> CRISTINA </v>
      </c>
      <c r="AD1521" s="26">
        <f t="shared" si="139"/>
        <v>5</v>
      </c>
      <c r="AE1521" s="26">
        <f t="shared" ca="1" si="140"/>
        <v>1.9562484953712556</v>
      </c>
    </row>
    <row r="1522" spans="1:31" hidden="1">
      <c r="A1522" s="209">
        <v>9516755</v>
      </c>
      <c r="B1522" s="209" t="s">
        <v>81</v>
      </c>
      <c r="C1522" s="210" t="s">
        <v>4210</v>
      </c>
      <c r="D1522" s="214"/>
      <c r="E1522" s="214">
        <v>2196000206001</v>
      </c>
      <c r="F1522" s="209" t="s">
        <v>29</v>
      </c>
      <c r="G1522" s="209" t="s">
        <v>53</v>
      </c>
      <c r="H1522" s="209" t="s">
        <v>1252</v>
      </c>
      <c r="I1522" s="209" t="s">
        <v>1253</v>
      </c>
      <c r="J1522" s="209" t="s">
        <v>33</v>
      </c>
      <c r="K1522" s="210" t="s">
        <v>34</v>
      </c>
      <c r="L1522" s="210"/>
      <c r="M1522" s="209" t="s">
        <v>35</v>
      </c>
      <c r="N1522" s="209">
        <v>42318949</v>
      </c>
      <c r="O1522" s="209" t="s">
        <v>105</v>
      </c>
      <c r="P1522" s="211" t="s">
        <v>4772</v>
      </c>
      <c r="Q1522" s="209"/>
      <c r="R1522" s="209" t="s">
        <v>38</v>
      </c>
      <c r="S1522" s="209"/>
      <c r="T1522" s="209" t="s">
        <v>74</v>
      </c>
      <c r="U1522" s="211" t="s">
        <v>4773</v>
      </c>
      <c r="V1522" s="209" t="s">
        <v>41</v>
      </c>
      <c r="W1522" s="209" t="s">
        <v>42</v>
      </c>
      <c r="X1522" s="13" t="str">
        <f>IF(RIGHT(H1522,2)&lt;&gt;"00",H1522,"")</f>
        <v/>
      </c>
      <c r="Y1522" s="26">
        <f ca="1">NETWORKDAYS(P1522,$Y$1)</f>
        <v>3</v>
      </c>
      <c r="Z1522" s="34">
        <v>1</v>
      </c>
      <c r="AA1522" s="25" t="str">
        <f t="shared" ca="1" si="137"/>
        <v>A VENCER</v>
      </c>
      <c r="AB1522" s="25" t="str">
        <f t="shared" si="138"/>
        <v>Dosa</v>
      </c>
      <c r="AC1522" s="2" t="str">
        <f t="shared" si="136"/>
        <v xml:space="preserve"> ROSEMERE </v>
      </c>
      <c r="AD1522" s="26">
        <f t="shared" si="139"/>
        <v>5</v>
      </c>
      <c r="AE1522" s="26">
        <f t="shared" ca="1" si="140"/>
        <v>1.9562832175943186</v>
      </c>
    </row>
    <row r="1523" spans="1:31" hidden="1">
      <c r="A1523" s="209">
        <v>9516728</v>
      </c>
      <c r="B1523" s="209" t="s">
        <v>81</v>
      </c>
      <c r="C1523" s="210" t="s">
        <v>4210</v>
      </c>
      <c r="D1523" s="214"/>
      <c r="E1523" s="214">
        <v>2170000206001</v>
      </c>
      <c r="F1523" s="209" t="s">
        <v>29</v>
      </c>
      <c r="G1523" s="209" t="s">
        <v>53</v>
      </c>
      <c r="H1523" s="209" t="s">
        <v>477</v>
      </c>
      <c r="I1523" s="209" t="s">
        <v>478</v>
      </c>
      <c r="J1523" s="209" t="s">
        <v>148</v>
      </c>
      <c r="K1523" s="210" t="s">
        <v>34</v>
      </c>
      <c r="L1523" s="210"/>
      <c r="M1523" s="209" t="s">
        <v>35</v>
      </c>
      <c r="N1523" s="209">
        <v>42318949</v>
      </c>
      <c r="O1523" s="209" t="s">
        <v>105</v>
      </c>
      <c r="P1523" s="211" t="s">
        <v>4774</v>
      </c>
      <c r="Q1523" s="209"/>
      <c r="R1523" s="209" t="s">
        <v>38</v>
      </c>
      <c r="S1523" s="209"/>
      <c r="T1523" s="209" t="s">
        <v>74</v>
      </c>
      <c r="U1523" s="211" t="s">
        <v>4775</v>
      </c>
      <c r="V1523" s="209" t="s">
        <v>41</v>
      </c>
      <c r="W1523" s="209" t="s">
        <v>49</v>
      </c>
      <c r="X1523" s="13" t="str">
        <f>IF(RIGHT(H1523,2)&lt;&gt;"00",H1523,"")</f>
        <v/>
      </c>
      <c r="Y1523" s="26">
        <f ca="1">NETWORKDAYS(P1523,$Y$1)</f>
        <v>3</v>
      </c>
      <c r="Z1523" s="34">
        <v>1</v>
      </c>
      <c r="AA1523" s="25" t="str">
        <f t="shared" ca="1" si="137"/>
        <v>A VENCER</v>
      </c>
      <c r="AB1523" s="25" t="str">
        <f t="shared" si="138"/>
        <v>Dosa</v>
      </c>
      <c r="AC1523" s="2" t="str">
        <f t="shared" si="136"/>
        <v xml:space="preserve"> RINALDO </v>
      </c>
      <c r="AD1523" s="26">
        <f t="shared" si="139"/>
        <v>5</v>
      </c>
      <c r="AE1523" s="26">
        <f t="shared" ca="1" si="140"/>
        <v>1.9563295138868853</v>
      </c>
    </row>
    <row r="1524" spans="1:31" hidden="1">
      <c r="A1524" s="209">
        <v>9516714</v>
      </c>
      <c r="B1524" s="209" t="s">
        <v>81</v>
      </c>
      <c r="C1524" s="210" t="s">
        <v>4210</v>
      </c>
      <c r="D1524" s="214"/>
      <c r="E1524" s="214">
        <v>2156000206001</v>
      </c>
      <c r="F1524" s="209" t="s">
        <v>29</v>
      </c>
      <c r="G1524" s="209" t="s">
        <v>53</v>
      </c>
      <c r="H1524" s="209" t="s">
        <v>278</v>
      </c>
      <c r="I1524" s="209" t="s">
        <v>279</v>
      </c>
      <c r="J1524" s="209" t="s">
        <v>211</v>
      </c>
      <c r="K1524" s="210" t="s">
        <v>34</v>
      </c>
      <c r="L1524" s="210"/>
      <c r="M1524" s="209" t="s">
        <v>35</v>
      </c>
      <c r="N1524" s="209">
        <v>42318949</v>
      </c>
      <c r="O1524" s="209" t="s">
        <v>105</v>
      </c>
      <c r="P1524" s="211" t="s">
        <v>4776</v>
      </c>
      <c r="Q1524" s="209"/>
      <c r="R1524" s="209" t="s">
        <v>38</v>
      </c>
      <c r="S1524" s="209"/>
      <c r="T1524" s="209" t="s">
        <v>74</v>
      </c>
      <c r="U1524" s="211" t="s">
        <v>4777</v>
      </c>
      <c r="V1524" s="209" t="s">
        <v>41</v>
      </c>
      <c r="W1524" s="209" t="s">
        <v>49</v>
      </c>
      <c r="X1524" s="13" t="str">
        <f>IF(RIGHT(H1524,2)&lt;&gt;"00",H1524,"")</f>
        <v/>
      </c>
      <c r="Y1524" s="26">
        <f ca="1">NETWORKDAYS(P1524,$Y$1)</f>
        <v>3</v>
      </c>
      <c r="Z1524" s="34">
        <v>1</v>
      </c>
      <c r="AA1524" s="25" t="str">
        <f t="shared" ca="1" si="137"/>
        <v>A VENCER</v>
      </c>
      <c r="AB1524" s="25" t="str">
        <f t="shared" si="138"/>
        <v>Dosa</v>
      </c>
      <c r="AC1524" s="2" t="str">
        <f t="shared" si="136"/>
        <v xml:space="preserve"> RINALDO </v>
      </c>
      <c r="AD1524" s="26">
        <f t="shared" si="139"/>
        <v>5</v>
      </c>
      <c r="AE1524" s="26">
        <f t="shared" ca="1" si="140"/>
        <v>1.9563526620404446</v>
      </c>
    </row>
    <row r="1525" spans="1:31" hidden="1">
      <c r="A1525" s="209">
        <v>9516699</v>
      </c>
      <c r="B1525" s="209" t="s">
        <v>81</v>
      </c>
      <c r="C1525" s="210" t="s">
        <v>4210</v>
      </c>
      <c r="D1525" s="214"/>
      <c r="E1525" s="214">
        <v>2138000206001</v>
      </c>
      <c r="F1525" s="209" t="s">
        <v>29</v>
      </c>
      <c r="G1525" s="209" t="s">
        <v>53</v>
      </c>
      <c r="H1525" s="209" t="s">
        <v>379</v>
      </c>
      <c r="I1525" s="209" t="s">
        <v>380</v>
      </c>
      <c r="J1525" s="209" t="s">
        <v>46</v>
      </c>
      <c r="K1525" s="210" t="s">
        <v>34</v>
      </c>
      <c r="L1525" s="210"/>
      <c r="M1525" s="209" t="s">
        <v>35</v>
      </c>
      <c r="N1525" s="209">
        <v>42318949</v>
      </c>
      <c r="O1525" s="209" t="s">
        <v>105</v>
      </c>
      <c r="P1525" s="211" t="s">
        <v>4778</v>
      </c>
      <c r="Q1525" s="209"/>
      <c r="R1525" s="209" t="s">
        <v>38</v>
      </c>
      <c r="S1525" s="209"/>
      <c r="T1525" s="209" t="s">
        <v>74</v>
      </c>
      <c r="U1525" s="211" t="s">
        <v>4779</v>
      </c>
      <c r="V1525" s="209" t="s">
        <v>41</v>
      </c>
      <c r="W1525" s="209" t="s">
        <v>49</v>
      </c>
      <c r="X1525" s="13" t="str">
        <f>IF(RIGHT(H1525,2)&lt;&gt;"00",H1525,"")</f>
        <v/>
      </c>
      <c r="Y1525" s="26">
        <f ca="1">NETWORKDAYS(P1525,$Y$1)</f>
        <v>3</v>
      </c>
      <c r="Z1525" s="34">
        <v>1</v>
      </c>
      <c r="AA1525" s="25" t="str">
        <f t="shared" ca="1" si="137"/>
        <v>A VENCER</v>
      </c>
      <c r="AB1525" s="25" t="str">
        <f t="shared" si="138"/>
        <v>Dosa</v>
      </c>
      <c r="AC1525" s="2" t="str">
        <f t="shared" si="136"/>
        <v xml:space="preserve"> CLEITON </v>
      </c>
      <c r="AD1525" s="26">
        <f t="shared" si="139"/>
        <v>5</v>
      </c>
      <c r="AE1525" s="26">
        <f t="shared" ca="1" si="140"/>
        <v>1.9563642361099483</v>
      </c>
    </row>
    <row r="1526" spans="1:31" hidden="1">
      <c r="A1526" s="209">
        <v>9516689</v>
      </c>
      <c r="B1526" s="209" t="s">
        <v>81</v>
      </c>
      <c r="C1526" s="210" t="s">
        <v>4210</v>
      </c>
      <c r="D1526" s="214"/>
      <c r="E1526" s="214">
        <v>2125000206001</v>
      </c>
      <c r="F1526" s="209" t="s">
        <v>29</v>
      </c>
      <c r="G1526" s="209" t="s">
        <v>53</v>
      </c>
      <c r="H1526" s="209" t="s">
        <v>1399</v>
      </c>
      <c r="I1526" s="209" t="s">
        <v>1400</v>
      </c>
      <c r="J1526" s="209" t="s">
        <v>211</v>
      </c>
      <c r="K1526" s="210" t="s">
        <v>34</v>
      </c>
      <c r="L1526" s="210"/>
      <c r="M1526" s="209" t="s">
        <v>35</v>
      </c>
      <c r="N1526" s="209">
        <v>42318949</v>
      </c>
      <c r="O1526" s="209" t="s">
        <v>105</v>
      </c>
      <c r="P1526" s="211" t="s">
        <v>4780</v>
      </c>
      <c r="Q1526" s="209"/>
      <c r="R1526" s="209" t="s">
        <v>38</v>
      </c>
      <c r="S1526" s="209"/>
      <c r="T1526" s="209" t="s">
        <v>74</v>
      </c>
      <c r="U1526" s="213">
        <v>44985.719895833332</v>
      </c>
      <c r="V1526" s="209" t="s">
        <v>41</v>
      </c>
      <c r="W1526" s="209" t="s">
        <v>49</v>
      </c>
      <c r="X1526" s="13" t="str">
        <f>IF(RIGHT(H1526,2)&lt;&gt;"00",H1526,"")</f>
        <v/>
      </c>
      <c r="Y1526" s="26">
        <f ca="1">NETWORKDAYS(P1526,$Y$1)</f>
        <v>3</v>
      </c>
      <c r="Z1526" s="34">
        <v>1</v>
      </c>
      <c r="AA1526" s="25" t="str">
        <f t="shared" ca="1" si="137"/>
        <v>A VENCER</v>
      </c>
      <c r="AB1526" s="25" t="str">
        <f t="shared" si="138"/>
        <v>Dosa</v>
      </c>
      <c r="AC1526" s="2" t="str">
        <f t="shared" si="136"/>
        <v xml:space="preserve"> RINALDO </v>
      </c>
      <c r="AD1526" s="26">
        <f t="shared" si="139"/>
        <v>5</v>
      </c>
      <c r="AE1526" s="26">
        <f t="shared" ca="1" si="140"/>
        <v>1.9563873842562316</v>
      </c>
    </row>
    <row r="1527" spans="1:31" hidden="1">
      <c r="A1527" s="209">
        <v>9516675</v>
      </c>
      <c r="B1527" s="209" t="s">
        <v>81</v>
      </c>
      <c r="C1527" s="210" t="s">
        <v>4210</v>
      </c>
      <c r="D1527" s="214"/>
      <c r="E1527" s="214">
        <v>2107000206001</v>
      </c>
      <c r="F1527" s="209" t="s">
        <v>29</v>
      </c>
      <c r="G1527" s="209" t="s">
        <v>53</v>
      </c>
      <c r="H1527" s="209" t="s">
        <v>262</v>
      </c>
      <c r="I1527" s="209" t="s">
        <v>263</v>
      </c>
      <c r="J1527" s="209" t="s">
        <v>164</v>
      </c>
      <c r="K1527" s="210" t="s">
        <v>34</v>
      </c>
      <c r="L1527" s="210"/>
      <c r="M1527" s="209" t="s">
        <v>35</v>
      </c>
      <c r="N1527" s="209">
        <v>42318949</v>
      </c>
      <c r="O1527" s="209" t="s">
        <v>105</v>
      </c>
      <c r="P1527" s="211" t="s">
        <v>4781</v>
      </c>
      <c r="Q1527" s="209"/>
      <c r="R1527" s="209" t="s">
        <v>38</v>
      </c>
      <c r="S1527" s="209"/>
      <c r="T1527" s="209" t="s">
        <v>74</v>
      </c>
      <c r="U1527" s="213">
        <v>44985.719872685186</v>
      </c>
      <c r="V1527" s="209" t="s">
        <v>41</v>
      </c>
      <c r="W1527" s="209" t="s">
        <v>49</v>
      </c>
      <c r="X1527" s="13" t="str">
        <f>IF(RIGHT(H1527,2)&lt;&gt;"00",H1527,"")</f>
        <v/>
      </c>
      <c r="Y1527" s="26">
        <f ca="1">NETWORKDAYS(P1527,$Y$1)</f>
        <v>3</v>
      </c>
      <c r="Z1527" s="34">
        <v>1</v>
      </c>
      <c r="AA1527" s="25" t="str">
        <f t="shared" ca="1" si="137"/>
        <v>A VENCER</v>
      </c>
      <c r="AB1527" s="25" t="str">
        <f t="shared" si="138"/>
        <v>Dosa</v>
      </c>
      <c r="AC1527" s="2" t="str">
        <f t="shared" si="136"/>
        <v xml:space="preserve"> ROSEMERE </v>
      </c>
      <c r="AD1527" s="26">
        <f t="shared" si="139"/>
        <v>5</v>
      </c>
      <c r="AE1527" s="26">
        <f t="shared" ca="1" si="140"/>
        <v>1.9563989583330113</v>
      </c>
    </row>
    <row r="1528" spans="1:31" hidden="1">
      <c r="A1528" s="209">
        <v>9516654</v>
      </c>
      <c r="B1528" s="209" t="s">
        <v>81</v>
      </c>
      <c r="C1528" s="210" t="s">
        <v>4210</v>
      </c>
      <c r="D1528" s="214"/>
      <c r="E1528" s="214">
        <v>2081000206001</v>
      </c>
      <c r="F1528" s="209" t="s">
        <v>29</v>
      </c>
      <c r="G1528" s="209" t="s">
        <v>53</v>
      </c>
      <c r="H1528" s="209" t="s">
        <v>590</v>
      </c>
      <c r="I1528" s="209" t="s">
        <v>591</v>
      </c>
      <c r="J1528" s="209" t="s">
        <v>261</v>
      </c>
      <c r="K1528" s="210" t="s">
        <v>34</v>
      </c>
      <c r="L1528" s="210"/>
      <c r="M1528" s="209" t="s">
        <v>35</v>
      </c>
      <c r="N1528" s="209">
        <v>42318949</v>
      </c>
      <c r="O1528" s="209" t="s">
        <v>105</v>
      </c>
      <c r="P1528" s="211" t="s">
        <v>4782</v>
      </c>
      <c r="Q1528" s="209"/>
      <c r="R1528" s="209" t="s">
        <v>38</v>
      </c>
      <c r="S1528" s="209"/>
      <c r="T1528" s="209" t="s">
        <v>74</v>
      </c>
      <c r="U1528" s="213">
        <v>44985.719837962963</v>
      </c>
      <c r="V1528" s="209" t="s">
        <v>41</v>
      </c>
      <c r="W1528" s="209" t="s">
        <v>49</v>
      </c>
      <c r="X1528" s="13" t="str">
        <f>IF(RIGHT(H1528,2)&lt;&gt;"00",H1528,"")</f>
        <v/>
      </c>
      <c r="Y1528" s="26">
        <f ca="1">NETWORKDAYS(P1528,$Y$1)</f>
        <v>3</v>
      </c>
      <c r="Z1528" s="34">
        <v>1</v>
      </c>
      <c r="AA1528" s="25" t="str">
        <f t="shared" ca="1" si="137"/>
        <v>A VENCER</v>
      </c>
      <c r="AB1528" s="25" t="str">
        <f t="shared" si="138"/>
        <v>Dosa</v>
      </c>
      <c r="AC1528" s="2" t="str">
        <f t="shared" si="136"/>
        <v xml:space="preserve"> CRISTINA </v>
      </c>
      <c r="AD1528" s="26">
        <f t="shared" si="139"/>
        <v>5</v>
      </c>
      <c r="AE1528" s="26">
        <f t="shared" ca="1" si="140"/>
        <v>1.9564336805560743</v>
      </c>
    </row>
    <row r="1529" spans="1:31" hidden="1">
      <c r="A1529" s="209">
        <v>9516643</v>
      </c>
      <c r="B1529" s="209" t="s">
        <v>81</v>
      </c>
      <c r="C1529" s="210" t="s">
        <v>4210</v>
      </c>
      <c r="D1529" s="214"/>
      <c r="E1529" s="214">
        <v>2069000206001</v>
      </c>
      <c r="F1529" s="209" t="s">
        <v>29</v>
      </c>
      <c r="G1529" s="209" t="s">
        <v>53</v>
      </c>
      <c r="H1529" s="209" t="s">
        <v>557</v>
      </c>
      <c r="I1529" s="209" t="s">
        <v>558</v>
      </c>
      <c r="J1529" s="209" t="s">
        <v>90</v>
      </c>
      <c r="K1529" s="210" t="s">
        <v>34</v>
      </c>
      <c r="L1529" s="210"/>
      <c r="M1529" s="209" t="s">
        <v>35</v>
      </c>
      <c r="N1529" s="209">
        <v>42318949</v>
      </c>
      <c r="O1529" s="209" t="s">
        <v>105</v>
      </c>
      <c r="P1529" s="211" t="s">
        <v>4783</v>
      </c>
      <c r="Q1529" s="209"/>
      <c r="R1529" s="209" t="s">
        <v>38</v>
      </c>
      <c r="S1529" s="209"/>
      <c r="T1529" s="209" t="s">
        <v>74</v>
      </c>
      <c r="U1529" s="213">
        <v>44985.719826388886</v>
      </c>
      <c r="V1529" s="209" t="s">
        <v>41</v>
      </c>
      <c r="W1529" s="209" t="s">
        <v>49</v>
      </c>
      <c r="X1529" s="13" t="str">
        <f>IF(RIGHT(H1529,2)&lt;&gt;"00",H1529,"")</f>
        <v/>
      </c>
      <c r="Y1529" s="26">
        <f ca="1">NETWORKDAYS(P1529,$Y$1)</f>
        <v>3</v>
      </c>
      <c r="Z1529" s="34">
        <v>1</v>
      </c>
      <c r="AA1529" s="25" t="str">
        <f t="shared" ca="1" si="137"/>
        <v>A VENCER</v>
      </c>
      <c r="AB1529" s="25" t="str">
        <f t="shared" si="138"/>
        <v>Dosa</v>
      </c>
      <c r="AC1529" s="2" t="str">
        <f t="shared" si="136"/>
        <v xml:space="preserve"> RINALDO </v>
      </c>
      <c r="AD1529" s="26">
        <f t="shared" si="139"/>
        <v>5</v>
      </c>
      <c r="AE1529" s="26">
        <f t="shared" ca="1" si="140"/>
        <v>1.9564452546328539</v>
      </c>
    </row>
    <row r="1530" spans="1:31" hidden="1">
      <c r="A1530" s="209">
        <v>9516619</v>
      </c>
      <c r="B1530" s="209" t="s">
        <v>81</v>
      </c>
      <c r="C1530" s="210" t="s">
        <v>4210</v>
      </c>
      <c r="D1530" s="214"/>
      <c r="E1530" s="214">
        <v>2039000206001</v>
      </c>
      <c r="F1530" s="209" t="s">
        <v>29</v>
      </c>
      <c r="G1530" s="209" t="s">
        <v>53</v>
      </c>
      <c r="H1530" s="209" t="s">
        <v>1943</v>
      </c>
      <c r="I1530" s="209" t="s">
        <v>1944</v>
      </c>
      <c r="J1530" s="209" t="s">
        <v>110</v>
      </c>
      <c r="K1530" s="210" t="s">
        <v>34</v>
      </c>
      <c r="L1530" s="210"/>
      <c r="M1530" s="209" t="s">
        <v>35</v>
      </c>
      <c r="N1530" s="209">
        <v>42318949</v>
      </c>
      <c r="O1530" s="209" t="s">
        <v>105</v>
      </c>
      <c r="P1530" s="211" t="s">
        <v>4784</v>
      </c>
      <c r="Q1530" s="209"/>
      <c r="R1530" s="209" t="s">
        <v>38</v>
      </c>
      <c r="S1530" s="209"/>
      <c r="T1530" s="209" t="s">
        <v>74</v>
      </c>
      <c r="U1530" s="213">
        <v>44985.71979166667</v>
      </c>
      <c r="V1530" s="209" t="s">
        <v>41</v>
      </c>
      <c r="W1530" s="209" t="s">
        <v>49</v>
      </c>
      <c r="X1530" s="13" t="str">
        <f>IF(RIGHT(H1530,2)&lt;&gt;"00",H1530,"")</f>
        <v/>
      </c>
      <c r="Y1530" s="26">
        <f ca="1">NETWORKDAYS(P1530,$Y$1)</f>
        <v>3</v>
      </c>
      <c r="Z1530" s="34">
        <v>1</v>
      </c>
      <c r="AA1530" s="25" t="str">
        <f t="shared" ca="1" si="137"/>
        <v>A VENCER</v>
      </c>
      <c r="AB1530" s="25" t="str">
        <f t="shared" si="138"/>
        <v>Dosa</v>
      </c>
      <c r="AC1530" s="2" t="str">
        <f t="shared" si="136"/>
        <v xml:space="preserve"> CRISTINA </v>
      </c>
      <c r="AD1530" s="26">
        <f t="shared" si="139"/>
        <v>5</v>
      </c>
      <c r="AE1530" s="26">
        <f t="shared" ca="1" si="140"/>
        <v>1.9564915509254206</v>
      </c>
    </row>
    <row r="1531" spans="1:31" hidden="1">
      <c r="A1531" s="209">
        <v>9516600</v>
      </c>
      <c r="B1531" s="209" t="s">
        <v>81</v>
      </c>
      <c r="C1531" s="210" t="s">
        <v>4210</v>
      </c>
      <c r="D1531" s="214"/>
      <c r="E1531" s="214">
        <v>2018000206001</v>
      </c>
      <c r="F1531" s="209" t="s">
        <v>29</v>
      </c>
      <c r="G1531" s="209" t="s">
        <v>53</v>
      </c>
      <c r="H1531" s="209" t="s">
        <v>598</v>
      </c>
      <c r="I1531" s="209" t="s">
        <v>599</v>
      </c>
      <c r="J1531" s="209" t="s">
        <v>79</v>
      </c>
      <c r="K1531" s="210" t="s">
        <v>34</v>
      </c>
      <c r="L1531" s="210"/>
      <c r="M1531" s="209" t="s">
        <v>35</v>
      </c>
      <c r="N1531" s="209">
        <v>42318949</v>
      </c>
      <c r="O1531" s="209" t="s">
        <v>105</v>
      </c>
      <c r="P1531" s="211" t="s">
        <v>4785</v>
      </c>
      <c r="Q1531" s="209"/>
      <c r="R1531" s="209" t="s">
        <v>38</v>
      </c>
      <c r="S1531" s="209"/>
      <c r="T1531" s="209" t="s">
        <v>74</v>
      </c>
      <c r="U1531" s="213">
        <v>44985.719756944447</v>
      </c>
      <c r="V1531" s="209" t="s">
        <v>41</v>
      </c>
      <c r="W1531" s="209" t="s">
        <v>49</v>
      </c>
      <c r="X1531" s="13" t="str">
        <f>IF(RIGHT(H1531,2)&lt;&gt;"00",H1531,"")</f>
        <v/>
      </c>
      <c r="Y1531" s="26">
        <f ca="1">NETWORKDAYS(P1531,$Y$1)</f>
        <v>3</v>
      </c>
      <c r="Z1531" s="34">
        <v>1</v>
      </c>
      <c r="AA1531" s="25" t="str">
        <f t="shared" ca="1" si="137"/>
        <v>A VENCER</v>
      </c>
      <c r="AB1531" s="25" t="str">
        <f t="shared" si="138"/>
        <v>Dosa</v>
      </c>
      <c r="AC1531" s="2" t="str">
        <f t="shared" si="136"/>
        <v xml:space="preserve"> ROSEMERE </v>
      </c>
      <c r="AD1531" s="26">
        <f t="shared" si="139"/>
        <v>5</v>
      </c>
      <c r="AE1531" s="26">
        <f t="shared" ca="1" si="140"/>
        <v>1.9565146990717039</v>
      </c>
    </row>
    <row r="1532" spans="1:31" hidden="1">
      <c r="A1532" s="209">
        <v>9516566</v>
      </c>
      <c r="B1532" s="209" t="s">
        <v>81</v>
      </c>
      <c r="C1532" s="210" t="s">
        <v>4210</v>
      </c>
      <c r="D1532" s="214"/>
      <c r="E1532" s="214">
        <v>1943000206001</v>
      </c>
      <c r="F1532" s="209" t="s">
        <v>29</v>
      </c>
      <c r="G1532" s="209" t="s">
        <v>53</v>
      </c>
      <c r="H1532" s="209" t="s">
        <v>264</v>
      </c>
      <c r="I1532" s="209" t="s">
        <v>265</v>
      </c>
      <c r="J1532" s="209" t="s">
        <v>56</v>
      </c>
      <c r="K1532" s="210" t="s">
        <v>34</v>
      </c>
      <c r="L1532" s="210"/>
      <c r="M1532" s="209" t="s">
        <v>35</v>
      </c>
      <c r="N1532" s="209">
        <v>42318949</v>
      </c>
      <c r="O1532" s="209" t="s">
        <v>105</v>
      </c>
      <c r="P1532" s="211" t="s">
        <v>4786</v>
      </c>
      <c r="Q1532" s="209"/>
      <c r="R1532" s="209" t="s">
        <v>38</v>
      </c>
      <c r="S1532" s="209"/>
      <c r="T1532" s="209" t="s">
        <v>74</v>
      </c>
      <c r="U1532" s="213">
        <v>44985.719710648147</v>
      </c>
      <c r="V1532" s="209" t="s">
        <v>41</v>
      </c>
      <c r="W1532" s="209" t="s">
        <v>49</v>
      </c>
      <c r="X1532" s="13" t="str">
        <f>IF(RIGHT(H1532,2)&lt;&gt;"00",H1532,"")</f>
        <v/>
      </c>
      <c r="Y1532" s="26">
        <f ca="1">NETWORKDAYS(P1532,$Y$1)</f>
        <v>3</v>
      </c>
      <c r="Z1532" s="34">
        <v>1</v>
      </c>
      <c r="AA1532" s="25" t="str">
        <f t="shared" ca="1" si="137"/>
        <v>A VENCER</v>
      </c>
      <c r="AB1532" s="25" t="str">
        <f t="shared" si="138"/>
        <v>Dosa</v>
      </c>
      <c r="AC1532" s="2" t="str">
        <f t="shared" si="136"/>
        <v xml:space="preserve"> CRISTINA </v>
      </c>
      <c r="AD1532" s="26">
        <f t="shared" si="139"/>
        <v>5</v>
      </c>
      <c r="AE1532" s="26">
        <f t="shared" ca="1" si="140"/>
        <v>1.9565609953715466</v>
      </c>
    </row>
    <row r="1533" spans="1:31" hidden="1">
      <c r="A1533" s="209">
        <v>9516555</v>
      </c>
      <c r="B1533" s="209" t="s">
        <v>81</v>
      </c>
      <c r="C1533" s="210" t="s">
        <v>4210</v>
      </c>
      <c r="D1533" s="214"/>
      <c r="E1533" s="214">
        <v>1924000206001</v>
      </c>
      <c r="F1533" s="209" t="s">
        <v>29</v>
      </c>
      <c r="G1533" s="209" t="s">
        <v>53</v>
      </c>
      <c r="H1533" s="209" t="s">
        <v>568</v>
      </c>
      <c r="I1533" s="209" t="s">
        <v>569</v>
      </c>
      <c r="J1533" s="209" t="s">
        <v>33</v>
      </c>
      <c r="K1533" s="210" t="s">
        <v>34</v>
      </c>
      <c r="L1533" s="210"/>
      <c r="M1533" s="209" t="s">
        <v>35</v>
      </c>
      <c r="N1533" s="209">
        <v>42318949</v>
      </c>
      <c r="O1533" s="209" t="s">
        <v>105</v>
      </c>
      <c r="P1533" s="211" t="s">
        <v>4787</v>
      </c>
      <c r="Q1533" s="209"/>
      <c r="R1533" s="209" t="s">
        <v>38</v>
      </c>
      <c r="S1533" s="209"/>
      <c r="T1533" s="209" t="s">
        <v>74</v>
      </c>
      <c r="U1533" s="213">
        <v>44985.719699074078</v>
      </c>
      <c r="V1533" s="209" t="s">
        <v>41</v>
      </c>
      <c r="W1533" s="209" t="s">
        <v>49</v>
      </c>
      <c r="X1533" s="13" t="str">
        <f>IF(RIGHT(H1533,2)&lt;&gt;"00",H1533,"")</f>
        <v/>
      </c>
      <c r="Y1533" s="26">
        <f ca="1">NETWORKDAYS(P1533,$Y$1)</f>
        <v>3</v>
      </c>
      <c r="Z1533" s="34">
        <v>1</v>
      </c>
      <c r="AA1533" s="25" t="str">
        <f t="shared" ca="1" si="137"/>
        <v>A VENCER</v>
      </c>
      <c r="AB1533" s="25" t="str">
        <f t="shared" si="138"/>
        <v>Dosa</v>
      </c>
      <c r="AC1533" s="2" t="str">
        <f t="shared" si="136"/>
        <v xml:space="preserve"> ROSEMERE </v>
      </c>
      <c r="AD1533" s="26">
        <f t="shared" si="139"/>
        <v>5</v>
      </c>
      <c r="AE1533" s="26">
        <f t="shared" ca="1" si="140"/>
        <v>1.9565841435178299</v>
      </c>
    </row>
    <row r="1534" spans="1:31" hidden="1">
      <c r="A1534" s="209">
        <v>9516550</v>
      </c>
      <c r="B1534" s="209" t="s">
        <v>81</v>
      </c>
      <c r="C1534" s="210" t="s">
        <v>4210</v>
      </c>
      <c r="D1534" s="214"/>
      <c r="E1534" s="214">
        <v>1903220206001</v>
      </c>
      <c r="F1534" s="209" t="s">
        <v>29</v>
      </c>
      <c r="G1534" s="209" t="s">
        <v>53</v>
      </c>
      <c r="H1534" s="209" t="s">
        <v>1867</v>
      </c>
      <c r="I1534" s="209" t="s">
        <v>1868</v>
      </c>
      <c r="J1534" s="209" t="s">
        <v>211</v>
      </c>
      <c r="K1534" s="210" t="s">
        <v>34</v>
      </c>
      <c r="L1534" s="210"/>
      <c r="M1534" s="209" t="s">
        <v>35</v>
      </c>
      <c r="N1534" s="209">
        <v>42318949</v>
      </c>
      <c r="O1534" s="209" t="s">
        <v>105</v>
      </c>
      <c r="P1534" s="211" t="s">
        <v>4787</v>
      </c>
      <c r="Q1534" s="209"/>
      <c r="R1534" s="209" t="s">
        <v>38</v>
      </c>
      <c r="S1534" s="209"/>
      <c r="T1534" s="209" t="s">
        <v>74</v>
      </c>
      <c r="U1534" s="213">
        <v>44985.719687500001</v>
      </c>
      <c r="V1534" s="209" t="s">
        <v>41</v>
      </c>
      <c r="W1534" s="209" t="s">
        <v>49</v>
      </c>
      <c r="X1534" s="13" t="str">
        <f>IF(RIGHT(H1534,2)&lt;&gt;"00",H1534,"")</f>
        <v>1903.22</v>
      </c>
      <c r="Y1534" s="26">
        <f ca="1">NETWORKDAYS(P1534,$Y$1)</f>
        <v>3</v>
      </c>
      <c r="Z1534" s="34">
        <v>1</v>
      </c>
      <c r="AA1534" s="25" t="str">
        <f t="shared" ca="1" si="137"/>
        <v>A VENCER</v>
      </c>
      <c r="AB1534" s="25" t="str">
        <f t="shared" si="138"/>
        <v>Dosa</v>
      </c>
      <c r="AC1534" s="2" t="str">
        <f t="shared" si="136"/>
        <v xml:space="preserve"> RINALDO </v>
      </c>
      <c r="AD1534" s="26">
        <f t="shared" si="139"/>
        <v>5</v>
      </c>
      <c r="AE1534" s="26">
        <f t="shared" ca="1" si="140"/>
        <v>1.9565841435178299</v>
      </c>
    </row>
    <row r="1535" spans="1:31" hidden="1">
      <c r="A1535" s="209">
        <v>9516501</v>
      </c>
      <c r="B1535" s="209" t="s">
        <v>81</v>
      </c>
      <c r="C1535" s="210" t="s">
        <v>4210</v>
      </c>
      <c r="D1535" s="214"/>
      <c r="E1535" s="214">
        <v>1838000206001</v>
      </c>
      <c r="F1535" s="209" t="s">
        <v>29</v>
      </c>
      <c r="G1535" s="209" t="s">
        <v>53</v>
      </c>
      <c r="H1535" s="209" t="s">
        <v>357</v>
      </c>
      <c r="I1535" s="209" t="s">
        <v>358</v>
      </c>
      <c r="J1535" s="209" t="s">
        <v>46</v>
      </c>
      <c r="K1535" s="210" t="s">
        <v>34</v>
      </c>
      <c r="L1535" s="210"/>
      <c r="M1535" s="209" t="s">
        <v>35</v>
      </c>
      <c r="N1535" s="209">
        <v>42318949</v>
      </c>
      <c r="O1535" s="209" t="s">
        <v>105</v>
      </c>
      <c r="P1535" s="211" t="s">
        <v>4788</v>
      </c>
      <c r="Q1535" s="209"/>
      <c r="R1535" s="209" t="s">
        <v>38</v>
      </c>
      <c r="S1535" s="209"/>
      <c r="T1535" s="209" t="s">
        <v>74</v>
      </c>
      <c r="U1535" s="213">
        <v>44985.719618055555</v>
      </c>
      <c r="V1535" s="209" t="s">
        <v>41</v>
      </c>
      <c r="W1535" s="209" t="s">
        <v>49</v>
      </c>
      <c r="X1535" s="13" t="str">
        <f>IF(RIGHT(H1535,2)&lt;&gt;"00",H1535,"")</f>
        <v/>
      </c>
      <c r="Y1535" s="26">
        <f ca="1">NETWORKDAYS(P1535,$Y$1)</f>
        <v>3</v>
      </c>
      <c r="Z1535" s="34">
        <v>1</v>
      </c>
      <c r="AA1535" s="25" t="str">
        <f t="shared" ca="1" si="137"/>
        <v>A VENCER</v>
      </c>
      <c r="AB1535" s="25" t="str">
        <f t="shared" si="138"/>
        <v>Dosa</v>
      </c>
      <c r="AC1535" s="2" t="str">
        <f t="shared" si="136"/>
        <v xml:space="preserve"> CLEITON </v>
      </c>
      <c r="AD1535" s="26">
        <f t="shared" si="139"/>
        <v>5</v>
      </c>
      <c r="AE1535" s="26">
        <f t="shared" ca="1" si="140"/>
        <v>1.9566535879639559</v>
      </c>
    </row>
    <row r="1536" spans="1:31" hidden="1">
      <c r="A1536" s="209">
        <v>9516500</v>
      </c>
      <c r="B1536" s="209" t="s">
        <v>81</v>
      </c>
      <c r="C1536" s="210" t="s">
        <v>4210</v>
      </c>
      <c r="D1536" s="214"/>
      <c r="E1536" s="214">
        <v>1837000206001</v>
      </c>
      <c r="F1536" s="209" t="s">
        <v>29</v>
      </c>
      <c r="G1536" s="209" t="s">
        <v>53</v>
      </c>
      <c r="H1536" s="209" t="s">
        <v>1785</v>
      </c>
      <c r="I1536" s="209" t="s">
        <v>1786</v>
      </c>
      <c r="J1536" s="209" t="s">
        <v>46</v>
      </c>
      <c r="K1536" s="210" t="s">
        <v>34</v>
      </c>
      <c r="L1536" s="210"/>
      <c r="M1536" s="209" t="s">
        <v>35</v>
      </c>
      <c r="N1536" s="209">
        <v>42318949</v>
      </c>
      <c r="O1536" s="209" t="s">
        <v>105</v>
      </c>
      <c r="P1536" s="211" t="s">
        <v>4788</v>
      </c>
      <c r="Q1536" s="209"/>
      <c r="R1536" s="209" t="s">
        <v>38</v>
      </c>
      <c r="S1536" s="209"/>
      <c r="T1536" s="209" t="s">
        <v>74</v>
      </c>
      <c r="U1536" s="213">
        <v>44985.719618055555</v>
      </c>
      <c r="V1536" s="209" t="s">
        <v>41</v>
      </c>
      <c r="W1536" s="209" t="s">
        <v>49</v>
      </c>
      <c r="X1536" s="13" t="str">
        <f>IF(RIGHT(H1536,2)&lt;&gt;"00",H1536,"")</f>
        <v/>
      </c>
      <c r="Y1536" s="26">
        <f ca="1">NETWORKDAYS(P1536,$Y$1)</f>
        <v>3</v>
      </c>
      <c r="Z1536" s="34">
        <v>1</v>
      </c>
      <c r="AA1536" s="25" t="str">
        <f t="shared" ca="1" si="137"/>
        <v>A VENCER</v>
      </c>
      <c r="AB1536" s="25" t="str">
        <f t="shared" si="138"/>
        <v>Dosa</v>
      </c>
      <c r="AC1536" s="2" t="str">
        <f t="shared" si="136"/>
        <v xml:space="preserve"> CLEITON </v>
      </c>
      <c r="AD1536" s="26">
        <f t="shared" si="139"/>
        <v>5</v>
      </c>
      <c r="AE1536" s="26">
        <f t="shared" ca="1" si="140"/>
        <v>1.9566535879639559</v>
      </c>
    </row>
    <row r="1537" spans="1:31" hidden="1">
      <c r="A1537" s="209">
        <v>9516499</v>
      </c>
      <c r="B1537" s="209" t="s">
        <v>81</v>
      </c>
      <c r="C1537" s="210" t="s">
        <v>4210</v>
      </c>
      <c r="D1537" s="214"/>
      <c r="E1537" s="214">
        <v>1835000206001</v>
      </c>
      <c r="F1537" s="209" t="s">
        <v>29</v>
      </c>
      <c r="G1537" s="209" t="s">
        <v>53</v>
      </c>
      <c r="H1537" s="209" t="s">
        <v>305</v>
      </c>
      <c r="I1537" s="209" t="s">
        <v>306</v>
      </c>
      <c r="J1537" s="209" t="s">
        <v>46</v>
      </c>
      <c r="K1537" s="210" t="s">
        <v>34</v>
      </c>
      <c r="L1537" s="210"/>
      <c r="M1537" s="209" t="s">
        <v>35</v>
      </c>
      <c r="N1537" s="209">
        <v>42318949</v>
      </c>
      <c r="O1537" s="209" t="s">
        <v>105</v>
      </c>
      <c r="P1537" s="211" t="s">
        <v>4788</v>
      </c>
      <c r="Q1537" s="209"/>
      <c r="R1537" s="209" t="s">
        <v>38</v>
      </c>
      <c r="S1537" s="209"/>
      <c r="T1537" s="209" t="s">
        <v>74</v>
      </c>
      <c r="U1537" s="213">
        <v>44985.719618055555</v>
      </c>
      <c r="V1537" s="209" t="s">
        <v>41</v>
      </c>
      <c r="W1537" s="209" t="s">
        <v>49</v>
      </c>
      <c r="X1537" s="13" t="str">
        <f>IF(RIGHT(H1537,2)&lt;&gt;"00",H1537,"")</f>
        <v/>
      </c>
      <c r="Y1537" s="26">
        <f ca="1">NETWORKDAYS(P1537,$Y$1)</f>
        <v>3</v>
      </c>
      <c r="Z1537" s="34">
        <v>1</v>
      </c>
      <c r="AA1537" s="25" t="str">
        <f t="shared" ca="1" si="137"/>
        <v>A VENCER</v>
      </c>
      <c r="AB1537" s="25" t="str">
        <f t="shared" si="138"/>
        <v>Dosa</v>
      </c>
      <c r="AC1537" s="2" t="str">
        <f t="shared" si="136"/>
        <v xml:space="preserve"> CLEITON </v>
      </c>
      <c r="AD1537" s="26">
        <f t="shared" si="139"/>
        <v>5</v>
      </c>
      <c r="AE1537" s="26">
        <f t="shared" ca="1" si="140"/>
        <v>1.9566535879639559</v>
      </c>
    </row>
    <row r="1538" spans="1:31" hidden="1">
      <c r="A1538" s="209">
        <v>9516497</v>
      </c>
      <c r="B1538" s="209" t="s">
        <v>81</v>
      </c>
      <c r="C1538" s="210" t="s">
        <v>4210</v>
      </c>
      <c r="D1538" s="214"/>
      <c r="E1538" s="214">
        <v>1833000206001</v>
      </c>
      <c r="F1538" s="209" t="s">
        <v>29</v>
      </c>
      <c r="G1538" s="209" t="s">
        <v>53</v>
      </c>
      <c r="H1538" s="209" t="s">
        <v>369</v>
      </c>
      <c r="I1538" s="209" t="s">
        <v>370</v>
      </c>
      <c r="J1538" s="209" t="s">
        <v>46</v>
      </c>
      <c r="K1538" s="210" t="s">
        <v>34</v>
      </c>
      <c r="L1538" s="210"/>
      <c r="M1538" s="209" t="s">
        <v>35</v>
      </c>
      <c r="N1538" s="209">
        <v>42318949</v>
      </c>
      <c r="O1538" s="209" t="s">
        <v>105</v>
      </c>
      <c r="P1538" s="211" t="s">
        <v>4788</v>
      </c>
      <c r="Q1538" s="209"/>
      <c r="R1538" s="209" t="s">
        <v>38</v>
      </c>
      <c r="S1538" s="209"/>
      <c r="T1538" s="209" t="s">
        <v>74</v>
      </c>
      <c r="U1538" s="213">
        <v>44985.719618055555</v>
      </c>
      <c r="V1538" s="209" t="s">
        <v>41</v>
      </c>
      <c r="W1538" s="209" t="s">
        <v>49</v>
      </c>
      <c r="X1538" s="13" t="str">
        <f>IF(RIGHT(H1538,2)&lt;&gt;"00",H1538,"")</f>
        <v/>
      </c>
      <c r="Y1538" s="26">
        <f ca="1">NETWORKDAYS(P1538,$Y$1)</f>
        <v>3</v>
      </c>
      <c r="Z1538" s="34">
        <v>1</v>
      </c>
      <c r="AA1538" s="25" t="str">
        <f t="shared" ca="1" si="137"/>
        <v>A VENCER</v>
      </c>
      <c r="AB1538" s="25" t="str">
        <f t="shared" si="138"/>
        <v>Dosa</v>
      </c>
      <c r="AC1538" s="2" t="str">
        <f t="shared" si="136"/>
        <v xml:space="preserve"> CLEITON </v>
      </c>
      <c r="AD1538" s="26">
        <f t="shared" si="139"/>
        <v>5</v>
      </c>
      <c r="AE1538" s="26">
        <f t="shared" ca="1" si="140"/>
        <v>1.9566535879639559</v>
      </c>
    </row>
    <row r="1539" spans="1:31" hidden="1">
      <c r="A1539" s="209">
        <v>9516485</v>
      </c>
      <c r="B1539" s="209" t="s">
        <v>81</v>
      </c>
      <c r="C1539" s="210" t="s">
        <v>4210</v>
      </c>
      <c r="D1539" s="214"/>
      <c r="E1539" s="214">
        <v>1814000206001</v>
      </c>
      <c r="F1539" s="209" t="s">
        <v>29</v>
      </c>
      <c r="G1539" s="209" t="s">
        <v>53</v>
      </c>
      <c r="H1539" s="209" t="s">
        <v>396</v>
      </c>
      <c r="I1539" s="209" t="s">
        <v>397</v>
      </c>
      <c r="J1539" s="209" t="s">
        <v>46</v>
      </c>
      <c r="K1539" s="210" t="s">
        <v>34</v>
      </c>
      <c r="L1539" s="210"/>
      <c r="M1539" s="209" t="s">
        <v>35</v>
      </c>
      <c r="N1539" s="209">
        <v>42318949</v>
      </c>
      <c r="O1539" s="209" t="s">
        <v>105</v>
      </c>
      <c r="P1539" s="211" t="s">
        <v>4789</v>
      </c>
      <c r="Q1539" s="209"/>
      <c r="R1539" s="209" t="s">
        <v>38</v>
      </c>
      <c r="S1539" s="209"/>
      <c r="T1539" s="209" t="s">
        <v>74</v>
      </c>
      <c r="U1539" s="213">
        <v>44985.719594907408</v>
      </c>
      <c r="V1539" s="209" t="s">
        <v>41</v>
      </c>
      <c r="W1539" s="209" t="s">
        <v>49</v>
      </c>
      <c r="X1539" s="13" t="str">
        <f>IF(RIGHT(H1539,2)&lt;&gt;"00",H1539,"")</f>
        <v/>
      </c>
      <c r="Y1539" s="26">
        <f ca="1">NETWORKDAYS(P1539,$Y$1)</f>
        <v>3</v>
      </c>
      <c r="Z1539" s="34">
        <v>1</v>
      </c>
      <c r="AA1539" s="25" t="str">
        <f t="shared" ca="1" si="137"/>
        <v>A VENCER</v>
      </c>
      <c r="AB1539" s="25" t="str">
        <f t="shared" si="138"/>
        <v>Dosa</v>
      </c>
      <c r="AC1539" s="2" t="str">
        <f t="shared" ref="AC1539:AC1597" si="141">IF(J1539="TR-PETROLINA"," ROSEMERE ",IF(J1539="TR-GARANHUNS"," ROSEMERE ",IF(J1539="TR-CARUARU"," ROSEMERE ",IF(J1539="TR-RIBEIRAO"," CRISTINA ",IF(J1539="TR-GRAVATA"," CRISTINA ",IF(J1539="TR-GOIANA"," CRISTINA ",IF(J1539="TR-LIMOEIRO"," CRISTINA ",IF(J1539="TR-SERRA TALHADA"," RINALDO ",IF(J1539="TR-SALGUEIRO"," RINALDO ",IF(J1539="TR-CARNAIBA"," RINALDO ",IF(J1539="TR-ARCOVERDE"," RINALDO ",IF(J1539="CAT-RECIFE"," CLEITON ",))))))))))))</f>
        <v xml:space="preserve"> CLEITON </v>
      </c>
      <c r="AD1539" s="26">
        <f t="shared" si="139"/>
        <v>5</v>
      </c>
      <c r="AE1539" s="26">
        <f t="shared" ca="1" si="140"/>
        <v>1.9566767361102393</v>
      </c>
    </row>
    <row r="1540" spans="1:31" hidden="1">
      <c r="A1540" s="209">
        <v>9516467</v>
      </c>
      <c r="B1540" s="209" t="s">
        <v>81</v>
      </c>
      <c r="C1540" s="210" t="s">
        <v>4210</v>
      </c>
      <c r="D1540" s="214"/>
      <c r="E1540" s="214">
        <v>1792000206001</v>
      </c>
      <c r="F1540" s="209" t="s">
        <v>29</v>
      </c>
      <c r="G1540" s="209" t="s">
        <v>53</v>
      </c>
      <c r="H1540" s="209" t="s">
        <v>467</v>
      </c>
      <c r="I1540" s="209" t="s">
        <v>468</v>
      </c>
      <c r="J1540" s="209" t="s">
        <v>110</v>
      </c>
      <c r="K1540" s="210" t="s">
        <v>34</v>
      </c>
      <c r="L1540" s="210"/>
      <c r="M1540" s="209" t="s">
        <v>35</v>
      </c>
      <c r="N1540" s="209">
        <v>42318949</v>
      </c>
      <c r="O1540" s="209" t="s">
        <v>105</v>
      </c>
      <c r="P1540" s="211" t="s">
        <v>4254</v>
      </c>
      <c r="Q1540" s="209"/>
      <c r="R1540" s="209" t="s">
        <v>38</v>
      </c>
      <c r="S1540" s="209"/>
      <c r="T1540" s="209" t="s">
        <v>74</v>
      </c>
      <c r="U1540" s="213">
        <v>44985.719571759262</v>
      </c>
      <c r="V1540" s="209" t="s">
        <v>41</v>
      </c>
      <c r="W1540" s="209" t="s">
        <v>49</v>
      </c>
      <c r="X1540" s="13" t="str">
        <f>IF(RIGHT(H1540,2)&lt;&gt;"00",H1540,"")</f>
        <v/>
      </c>
      <c r="Y1540" s="26">
        <f ca="1">NETWORKDAYS(P1540,$Y$1)</f>
        <v>3</v>
      </c>
      <c r="Z1540" s="34">
        <v>1</v>
      </c>
      <c r="AA1540" s="25" t="str">
        <f t="shared" ca="1" si="137"/>
        <v>A VENCER</v>
      </c>
      <c r="AB1540" s="25" t="str">
        <f t="shared" si="138"/>
        <v>Dosa</v>
      </c>
      <c r="AC1540" s="2" t="str">
        <f t="shared" si="141"/>
        <v xml:space="preserve"> CRISTINA </v>
      </c>
      <c r="AD1540" s="26">
        <f t="shared" si="139"/>
        <v>5</v>
      </c>
      <c r="AE1540" s="26">
        <f t="shared" ca="1" si="140"/>
        <v>1.9566998842565226</v>
      </c>
    </row>
    <row r="1541" spans="1:31" hidden="1">
      <c r="A1541" s="209">
        <v>9516449</v>
      </c>
      <c r="B1541" s="209" t="s">
        <v>81</v>
      </c>
      <c r="C1541" s="210" t="s">
        <v>4210</v>
      </c>
      <c r="D1541" s="214"/>
      <c r="E1541" s="214">
        <v>1771000206001</v>
      </c>
      <c r="F1541" s="209" t="s">
        <v>29</v>
      </c>
      <c r="G1541" s="209" t="s">
        <v>53</v>
      </c>
      <c r="H1541" s="209" t="s">
        <v>615</v>
      </c>
      <c r="I1541" s="209" t="s">
        <v>616</v>
      </c>
      <c r="J1541" s="209" t="s">
        <v>261</v>
      </c>
      <c r="K1541" s="210" t="s">
        <v>34</v>
      </c>
      <c r="L1541" s="210"/>
      <c r="M1541" s="209" t="s">
        <v>35</v>
      </c>
      <c r="N1541" s="209">
        <v>42318949</v>
      </c>
      <c r="O1541" s="209" t="s">
        <v>105</v>
      </c>
      <c r="P1541" s="211" t="s">
        <v>4256</v>
      </c>
      <c r="Q1541" s="209"/>
      <c r="R1541" s="209" t="s">
        <v>38</v>
      </c>
      <c r="S1541" s="209"/>
      <c r="T1541" s="209" t="s">
        <v>74</v>
      </c>
      <c r="U1541" s="213">
        <v>44985.719537037039</v>
      </c>
      <c r="V1541" s="209" t="s">
        <v>41</v>
      </c>
      <c r="W1541" s="209" t="s">
        <v>49</v>
      </c>
      <c r="X1541" s="13" t="str">
        <f>IF(RIGHT(H1541,2)&lt;&gt;"00",H1541,"")</f>
        <v/>
      </c>
      <c r="Y1541" s="26">
        <f ca="1">NETWORKDAYS(P1541,$Y$1)</f>
        <v>3</v>
      </c>
      <c r="Z1541" s="34">
        <v>1</v>
      </c>
      <c r="AA1541" s="25" t="str">
        <f t="shared" ca="1" si="137"/>
        <v>A VENCER</v>
      </c>
      <c r="AB1541" s="25" t="str">
        <f t="shared" si="138"/>
        <v>Dosa</v>
      </c>
      <c r="AC1541" s="2" t="str">
        <f t="shared" si="141"/>
        <v xml:space="preserve"> CRISTINA </v>
      </c>
      <c r="AD1541" s="26">
        <f t="shared" si="139"/>
        <v>5</v>
      </c>
      <c r="AE1541" s="26">
        <f t="shared" ca="1" si="140"/>
        <v>1.9567346064795856</v>
      </c>
    </row>
    <row r="1542" spans="1:31" hidden="1">
      <c r="A1542" s="209">
        <v>9516444</v>
      </c>
      <c r="B1542" s="209" t="s">
        <v>81</v>
      </c>
      <c r="C1542" s="210" t="s">
        <v>4210</v>
      </c>
      <c r="D1542" s="214"/>
      <c r="E1542" s="214">
        <v>1764000206001</v>
      </c>
      <c r="F1542" s="209" t="s">
        <v>29</v>
      </c>
      <c r="G1542" s="209" t="s">
        <v>53</v>
      </c>
      <c r="H1542" s="209" t="s">
        <v>722</v>
      </c>
      <c r="I1542" s="209" t="s">
        <v>723</v>
      </c>
      <c r="J1542" s="209" t="s">
        <v>90</v>
      </c>
      <c r="K1542" s="210" t="s">
        <v>34</v>
      </c>
      <c r="L1542" s="210"/>
      <c r="M1542" s="209" t="s">
        <v>35</v>
      </c>
      <c r="N1542" s="209">
        <v>42318949</v>
      </c>
      <c r="O1542" s="209" t="s">
        <v>105</v>
      </c>
      <c r="P1542" s="211" t="s">
        <v>4256</v>
      </c>
      <c r="Q1542" s="209"/>
      <c r="R1542" s="209" t="s">
        <v>38</v>
      </c>
      <c r="S1542" s="209"/>
      <c r="T1542" s="209" t="s">
        <v>74</v>
      </c>
      <c r="U1542" s="213">
        <v>44985.719537037039</v>
      </c>
      <c r="V1542" s="209" t="s">
        <v>41</v>
      </c>
      <c r="W1542" s="209" t="s">
        <v>49</v>
      </c>
      <c r="X1542" s="13" t="str">
        <f>IF(RIGHT(H1542,2)&lt;&gt;"00",H1542,"")</f>
        <v/>
      </c>
      <c r="Y1542" s="26">
        <f ca="1">NETWORKDAYS(P1542,$Y$1)</f>
        <v>3</v>
      </c>
      <c r="Z1542" s="34">
        <v>1</v>
      </c>
      <c r="AA1542" s="25" t="str">
        <f t="shared" ca="1" si="137"/>
        <v>A VENCER</v>
      </c>
      <c r="AB1542" s="25" t="str">
        <f t="shared" si="138"/>
        <v>Dosa</v>
      </c>
      <c r="AC1542" s="2" t="str">
        <f t="shared" si="141"/>
        <v xml:space="preserve"> RINALDO </v>
      </c>
      <c r="AD1542" s="26">
        <f t="shared" si="139"/>
        <v>5</v>
      </c>
      <c r="AE1542" s="26">
        <f t="shared" ca="1" si="140"/>
        <v>1.9567346064795856</v>
      </c>
    </row>
    <row r="1543" spans="1:31" hidden="1">
      <c r="A1543" s="209">
        <v>9516441</v>
      </c>
      <c r="B1543" s="209" t="s">
        <v>81</v>
      </c>
      <c r="C1543" s="210" t="s">
        <v>4210</v>
      </c>
      <c r="D1543" s="214"/>
      <c r="E1543" s="214">
        <v>1761000206001</v>
      </c>
      <c r="F1543" s="209" t="s">
        <v>29</v>
      </c>
      <c r="G1543" s="209" t="s">
        <v>53</v>
      </c>
      <c r="H1543" s="209" t="s">
        <v>375</v>
      </c>
      <c r="I1543" s="209" t="s">
        <v>376</v>
      </c>
      <c r="J1543" s="209" t="s">
        <v>56</v>
      </c>
      <c r="K1543" s="210" t="s">
        <v>34</v>
      </c>
      <c r="L1543" s="210"/>
      <c r="M1543" s="209" t="s">
        <v>35</v>
      </c>
      <c r="N1543" s="209">
        <v>42318949</v>
      </c>
      <c r="O1543" s="209" t="s">
        <v>105</v>
      </c>
      <c r="P1543" s="211" t="s">
        <v>4258</v>
      </c>
      <c r="Q1543" s="209"/>
      <c r="R1543" s="209" t="s">
        <v>38</v>
      </c>
      <c r="S1543" s="209"/>
      <c r="T1543" s="209" t="s">
        <v>74</v>
      </c>
      <c r="U1543" s="213">
        <v>44985.719525462962</v>
      </c>
      <c r="V1543" s="209" t="s">
        <v>41</v>
      </c>
      <c r="W1543" s="209" t="s">
        <v>49</v>
      </c>
      <c r="X1543" s="13" t="str">
        <f>IF(RIGHT(H1543,2)&lt;&gt;"00",H1543,"")</f>
        <v/>
      </c>
      <c r="Y1543" s="26">
        <f ca="1">NETWORKDAYS(P1543,$Y$1)</f>
        <v>3</v>
      </c>
      <c r="Z1543" s="34">
        <v>1</v>
      </c>
      <c r="AA1543" s="25" t="str">
        <f t="shared" ca="1" si="137"/>
        <v>A VENCER</v>
      </c>
      <c r="AB1543" s="25" t="str">
        <f t="shared" si="138"/>
        <v>Dosa</v>
      </c>
      <c r="AC1543" s="2" t="str">
        <f t="shared" si="141"/>
        <v xml:space="preserve"> CRISTINA </v>
      </c>
      <c r="AD1543" s="26">
        <f t="shared" si="139"/>
        <v>5</v>
      </c>
      <c r="AE1543" s="26">
        <f t="shared" ca="1" si="140"/>
        <v>1.9567461805563653</v>
      </c>
    </row>
    <row r="1544" spans="1:31" hidden="1">
      <c r="A1544" s="209">
        <v>9516433</v>
      </c>
      <c r="B1544" s="209" t="s">
        <v>81</v>
      </c>
      <c r="C1544" s="210" t="s">
        <v>4210</v>
      </c>
      <c r="D1544" s="214"/>
      <c r="E1544" s="214">
        <v>1754000206001</v>
      </c>
      <c r="F1544" s="209" t="s">
        <v>29</v>
      </c>
      <c r="G1544" s="209" t="s">
        <v>53</v>
      </c>
      <c r="H1544" s="209" t="s">
        <v>146</v>
      </c>
      <c r="I1544" s="209" t="s">
        <v>147</v>
      </c>
      <c r="J1544" s="209" t="s">
        <v>148</v>
      </c>
      <c r="K1544" s="210" t="s">
        <v>34</v>
      </c>
      <c r="L1544" s="210"/>
      <c r="M1544" s="209" t="s">
        <v>35</v>
      </c>
      <c r="N1544" s="209">
        <v>42318949</v>
      </c>
      <c r="O1544" s="209" t="s">
        <v>105</v>
      </c>
      <c r="P1544" s="211" t="s">
        <v>4260</v>
      </c>
      <c r="Q1544" s="209"/>
      <c r="R1544" s="209" t="s">
        <v>38</v>
      </c>
      <c r="S1544" s="209"/>
      <c r="T1544" s="209" t="s">
        <v>74</v>
      </c>
      <c r="U1544" s="213">
        <v>44985.719513888886</v>
      </c>
      <c r="V1544" s="209" t="s">
        <v>41</v>
      </c>
      <c r="W1544" s="209" t="s">
        <v>49</v>
      </c>
      <c r="X1544" s="13" t="str">
        <f>IF(RIGHT(H1544,2)&lt;&gt;"00",H1544,"")</f>
        <v/>
      </c>
      <c r="Y1544" s="26">
        <f ca="1">NETWORKDAYS(P1544,$Y$1)</f>
        <v>3</v>
      </c>
      <c r="Z1544" s="34">
        <v>1</v>
      </c>
      <c r="AA1544" s="25" t="str">
        <f t="shared" ca="1" si="137"/>
        <v>A VENCER</v>
      </c>
      <c r="AB1544" s="25" t="str">
        <f t="shared" si="138"/>
        <v>Dosa</v>
      </c>
      <c r="AC1544" s="2" t="str">
        <f t="shared" si="141"/>
        <v xml:space="preserve"> RINALDO </v>
      </c>
      <c r="AD1544" s="26">
        <f t="shared" si="139"/>
        <v>5</v>
      </c>
      <c r="AE1544" s="26">
        <f t="shared" ca="1" si="140"/>
        <v>1.9567577546331449</v>
      </c>
    </row>
    <row r="1545" spans="1:31" hidden="1">
      <c r="A1545" s="209">
        <v>9516420</v>
      </c>
      <c r="B1545" s="209" t="s">
        <v>81</v>
      </c>
      <c r="C1545" s="210" t="s">
        <v>4210</v>
      </c>
      <c r="D1545" s="214"/>
      <c r="E1545" s="214">
        <v>1739000206001</v>
      </c>
      <c r="F1545" s="209" t="s">
        <v>29</v>
      </c>
      <c r="G1545" s="209" t="s">
        <v>53</v>
      </c>
      <c r="H1545" s="209" t="s">
        <v>162</v>
      </c>
      <c r="I1545" s="209" t="s">
        <v>163</v>
      </c>
      <c r="J1545" s="209" t="s">
        <v>164</v>
      </c>
      <c r="K1545" s="210" t="s">
        <v>34</v>
      </c>
      <c r="L1545" s="210"/>
      <c r="M1545" s="209" t="s">
        <v>35</v>
      </c>
      <c r="N1545" s="209">
        <v>42318949</v>
      </c>
      <c r="O1545" s="209" t="s">
        <v>105</v>
      </c>
      <c r="P1545" s="211" t="s">
        <v>4262</v>
      </c>
      <c r="Q1545" s="209"/>
      <c r="R1545" s="209" t="s">
        <v>38</v>
      </c>
      <c r="S1545" s="209"/>
      <c r="T1545" s="209" t="s">
        <v>74</v>
      </c>
      <c r="U1545" s="213">
        <v>44985.719502314816</v>
      </c>
      <c r="V1545" s="209" t="s">
        <v>41</v>
      </c>
      <c r="W1545" s="209" t="s">
        <v>49</v>
      </c>
      <c r="X1545" s="13" t="str">
        <f>IF(RIGHT(H1545,2)&lt;&gt;"00",H1545,"")</f>
        <v/>
      </c>
      <c r="Y1545" s="26">
        <f ca="1">NETWORKDAYS(P1545,$Y$1)</f>
        <v>3</v>
      </c>
      <c r="Z1545" s="34">
        <v>1</v>
      </c>
      <c r="AA1545" s="25" t="str">
        <f t="shared" ca="1" si="137"/>
        <v>A VENCER</v>
      </c>
      <c r="AB1545" s="25" t="str">
        <f t="shared" si="138"/>
        <v>Dosa</v>
      </c>
      <c r="AC1545" s="2" t="str">
        <f t="shared" si="141"/>
        <v xml:space="preserve"> ROSEMERE </v>
      </c>
      <c r="AD1545" s="26">
        <f t="shared" si="139"/>
        <v>5</v>
      </c>
      <c r="AE1545" s="26">
        <f t="shared" ca="1" si="140"/>
        <v>1.9567693287026486</v>
      </c>
    </row>
    <row r="1546" spans="1:31" hidden="1">
      <c r="A1546" s="209">
        <v>9516416</v>
      </c>
      <c r="B1546" s="209" t="s">
        <v>81</v>
      </c>
      <c r="C1546" s="210" t="s">
        <v>4210</v>
      </c>
      <c r="D1546" s="214"/>
      <c r="E1546" s="214">
        <v>1732000206001</v>
      </c>
      <c r="F1546" s="209" t="s">
        <v>29</v>
      </c>
      <c r="G1546" s="209" t="s">
        <v>53</v>
      </c>
      <c r="H1546" s="209" t="s">
        <v>177</v>
      </c>
      <c r="I1546" s="209" t="s">
        <v>178</v>
      </c>
      <c r="J1546" s="209" t="s">
        <v>164</v>
      </c>
      <c r="K1546" s="210" t="s">
        <v>34</v>
      </c>
      <c r="L1546" s="210"/>
      <c r="M1546" s="209" t="s">
        <v>35</v>
      </c>
      <c r="N1546" s="209">
        <v>42318949</v>
      </c>
      <c r="O1546" s="209" t="s">
        <v>105</v>
      </c>
      <c r="P1546" s="211" t="s">
        <v>4264</v>
      </c>
      <c r="Q1546" s="209"/>
      <c r="R1546" s="209" t="s">
        <v>38</v>
      </c>
      <c r="S1546" s="209"/>
      <c r="T1546" s="209" t="s">
        <v>74</v>
      </c>
      <c r="U1546" s="213">
        <v>44985.719490740739</v>
      </c>
      <c r="V1546" s="209" t="s">
        <v>41</v>
      </c>
      <c r="W1546" s="209" t="s">
        <v>49</v>
      </c>
      <c r="X1546" s="13" t="str">
        <f>IF(RIGHT(H1546,2)&lt;&gt;"00",H1546,"")</f>
        <v/>
      </c>
      <c r="Y1546" s="26">
        <f ca="1">NETWORKDAYS(P1546,$Y$1)</f>
        <v>3</v>
      </c>
      <c r="Z1546" s="34">
        <v>1</v>
      </c>
      <c r="AA1546" s="25" t="str">
        <f t="shared" ca="1" si="137"/>
        <v>A VENCER</v>
      </c>
      <c r="AB1546" s="25" t="str">
        <f t="shared" si="138"/>
        <v>Dosa</v>
      </c>
      <c r="AC1546" s="2" t="str">
        <f t="shared" si="141"/>
        <v xml:space="preserve"> ROSEMERE </v>
      </c>
      <c r="AD1546" s="26">
        <f t="shared" si="139"/>
        <v>5</v>
      </c>
      <c r="AE1546" s="26">
        <f t="shared" ca="1" si="140"/>
        <v>1.9567809027794283</v>
      </c>
    </row>
    <row r="1547" spans="1:31" hidden="1">
      <c r="A1547" s="209">
        <v>9516393</v>
      </c>
      <c r="B1547" s="209" t="s">
        <v>81</v>
      </c>
      <c r="C1547" s="210" t="s">
        <v>4210</v>
      </c>
      <c r="D1547" s="214"/>
      <c r="E1547" s="214">
        <v>1710000206001</v>
      </c>
      <c r="F1547" s="209" t="s">
        <v>29</v>
      </c>
      <c r="G1547" s="209" t="s">
        <v>53</v>
      </c>
      <c r="H1547" s="209" t="s">
        <v>327</v>
      </c>
      <c r="I1547" s="209" t="s">
        <v>328</v>
      </c>
      <c r="J1547" s="209" t="s">
        <v>261</v>
      </c>
      <c r="K1547" s="210" t="s">
        <v>34</v>
      </c>
      <c r="L1547" s="210"/>
      <c r="M1547" s="209" t="s">
        <v>35</v>
      </c>
      <c r="N1547" s="209">
        <v>42318949</v>
      </c>
      <c r="O1547" s="209" t="s">
        <v>105</v>
      </c>
      <c r="P1547" s="211" t="s">
        <v>4266</v>
      </c>
      <c r="Q1547" s="209"/>
      <c r="R1547" s="209" t="s">
        <v>38</v>
      </c>
      <c r="S1547" s="209"/>
      <c r="T1547" s="209" t="s">
        <v>74</v>
      </c>
      <c r="U1547" s="213">
        <v>44985.719456018516</v>
      </c>
      <c r="V1547" s="209" t="s">
        <v>41</v>
      </c>
      <c r="W1547" s="209" t="s">
        <v>49</v>
      </c>
      <c r="X1547" s="13" t="str">
        <f>IF(RIGHT(H1547,2)&lt;&gt;"00",H1547,"")</f>
        <v/>
      </c>
      <c r="Y1547" s="26">
        <f ca="1">NETWORKDAYS(P1547,$Y$1)</f>
        <v>3</v>
      </c>
      <c r="Z1547" s="34">
        <v>1</v>
      </c>
      <c r="AA1547" s="25" t="str">
        <f t="shared" ca="1" si="137"/>
        <v>A VENCER</v>
      </c>
      <c r="AB1547" s="25" t="str">
        <f t="shared" si="138"/>
        <v>Dosa</v>
      </c>
      <c r="AC1547" s="2" t="str">
        <f t="shared" si="141"/>
        <v xml:space="preserve"> CRISTINA </v>
      </c>
      <c r="AD1547" s="26">
        <f t="shared" si="139"/>
        <v>5</v>
      </c>
      <c r="AE1547" s="26">
        <f t="shared" ca="1" si="140"/>
        <v>1.9568156250024913</v>
      </c>
    </row>
    <row r="1548" spans="1:31" hidden="1">
      <c r="A1548" s="209">
        <v>9516373</v>
      </c>
      <c r="B1548" s="209" t="s">
        <v>81</v>
      </c>
      <c r="C1548" s="210" t="s">
        <v>4210</v>
      </c>
      <c r="D1548" s="214"/>
      <c r="E1548" s="214">
        <v>1689000206001</v>
      </c>
      <c r="F1548" s="209" t="s">
        <v>29</v>
      </c>
      <c r="G1548" s="209" t="s">
        <v>53</v>
      </c>
      <c r="H1548" s="209" t="s">
        <v>2117</v>
      </c>
      <c r="I1548" s="209" t="s">
        <v>2118</v>
      </c>
      <c r="J1548" s="209" t="s">
        <v>79</v>
      </c>
      <c r="K1548" s="210" t="s">
        <v>34</v>
      </c>
      <c r="L1548" s="210"/>
      <c r="M1548" s="209" t="s">
        <v>35</v>
      </c>
      <c r="N1548" s="209">
        <v>42318949</v>
      </c>
      <c r="O1548" s="209" t="s">
        <v>105</v>
      </c>
      <c r="P1548" s="211" t="s">
        <v>4268</v>
      </c>
      <c r="Q1548" s="209"/>
      <c r="R1548" s="209" t="s">
        <v>38</v>
      </c>
      <c r="S1548" s="209"/>
      <c r="T1548" s="209" t="s">
        <v>74</v>
      </c>
      <c r="U1548" s="213">
        <v>44985.71943287037</v>
      </c>
      <c r="V1548" s="209" t="s">
        <v>41</v>
      </c>
      <c r="W1548" s="209" t="s">
        <v>49</v>
      </c>
      <c r="X1548" s="13" t="str">
        <f>IF(RIGHT(H1548,2)&lt;&gt;"00",H1548,"")</f>
        <v/>
      </c>
      <c r="Y1548" s="26">
        <f ca="1">NETWORKDAYS(P1548,$Y$1)</f>
        <v>3</v>
      </c>
      <c r="Z1548" s="34">
        <v>1</v>
      </c>
      <c r="AA1548" s="25" t="str">
        <f t="shared" ca="1" si="137"/>
        <v>A VENCER</v>
      </c>
      <c r="AB1548" s="25" t="str">
        <f t="shared" si="138"/>
        <v>Dosa</v>
      </c>
      <c r="AC1548" s="2" t="str">
        <f t="shared" si="141"/>
        <v xml:space="preserve"> ROSEMERE </v>
      </c>
      <c r="AD1548" s="26">
        <f t="shared" si="139"/>
        <v>5</v>
      </c>
      <c r="AE1548" s="26">
        <f t="shared" ca="1" si="140"/>
        <v>1.9568503472255543</v>
      </c>
    </row>
    <row r="1549" spans="1:31" hidden="1">
      <c r="A1549" s="209">
        <v>9516352</v>
      </c>
      <c r="B1549" s="209" t="s">
        <v>81</v>
      </c>
      <c r="C1549" s="210" t="s">
        <v>4210</v>
      </c>
      <c r="D1549" s="214"/>
      <c r="E1549" s="214">
        <v>1666000206001</v>
      </c>
      <c r="F1549" s="209" t="s">
        <v>29</v>
      </c>
      <c r="G1549" s="209" t="s">
        <v>53</v>
      </c>
      <c r="H1549" s="209" t="s">
        <v>414</v>
      </c>
      <c r="I1549" s="209" t="s">
        <v>415</v>
      </c>
      <c r="J1549" s="209" t="s">
        <v>79</v>
      </c>
      <c r="K1549" s="210" t="s">
        <v>34</v>
      </c>
      <c r="L1549" s="210"/>
      <c r="M1549" s="209" t="s">
        <v>35</v>
      </c>
      <c r="N1549" s="209">
        <v>42318949</v>
      </c>
      <c r="O1549" s="209" t="s">
        <v>105</v>
      </c>
      <c r="P1549" s="211" t="s">
        <v>4270</v>
      </c>
      <c r="Q1549" s="209"/>
      <c r="R1549" s="209" t="s">
        <v>38</v>
      </c>
      <c r="S1549" s="209"/>
      <c r="T1549" s="209" t="s">
        <v>74</v>
      </c>
      <c r="U1549" s="213">
        <v>44985.719386574077</v>
      </c>
      <c r="V1549" s="209" t="s">
        <v>41</v>
      </c>
      <c r="W1549" s="209" t="s">
        <v>49</v>
      </c>
      <c r="X1549" s="13" t="str">
        <f>IF(RIGHT(H1549,2)&lt;&gt;"00",H1549,"")</f>
        <v/>
      </c>
      <c r="Y1549" s="26">
        <f ca="1">NETWORKDAYS(P1549,$Y$1)</f>
        <v>3</v>
      </c>
      <c r="Z1549" s="34">
        <v>1</v>
      </c>
      <c r="AA1549" s="25" t="str">
        <f t="shared" ca="1" si="137"/>
        <v>A VENCER</v>
      </c>
      <c r="AB1549" s="25" t="str">
        <f t="shared" si="138"/>
        <v>Dosa</v>
      </c>
      <c r="AC1549" s="2" t="str">
        <f t="shared" si="141"/>
        <v xml:space="preserve"> ROSEMERE </v>
      </c>
      <c r="AD1549" s="26">
        <f t="shared" si="139"/>
        <v>5</v>
      </c>
      <c r="AE1549" s="26">
        <f t="shared" ca="1" si="140"/>
        <v>1.9568850694413413</v>
      </c>
    </row>
    <row r="1550" spans="1:31" hidden="1">
      <c r="A1550" s="209">
        <v>9516350</v>
      </c>
      <c r="B1550" s="209" t="s">
        <v>81</v>
      </c>
      <c r="C1550" s="210" t="s">
        <v>4210</v>
      </c>
      <c r="D1550" s="214"/>
      <c r="E1550" s="214">
        <v>1664000206001</v>
      </c>
      <c r="F1550" s="209" t="s">
        <v>29</v>
      </c>
      <c r="G1550" s="209" t="s">
        <v>53</v>
      </c>
      <c r="H1550" s="209" t="s">
        <v>307</v>
      </c>
      <c r="I1550" s="209" t="s">
        <v>308</v>
      </c>
      <c r="J1550" s="209" t="s">
        <v>164</v>
      </c>
      <c r="K1550" s="210" t="s">
        <v>34</v>
      </c>
      <c r="L1550" s="210"/>
      <c r="M1550" s="209" t="s">
        <v>35</v>
      </c>
      <c r="N1550" s="209">
        <v>42318949</v>
      </c>
      <c r="O1550" s="209" t="s">
        <v>105</v>
      </c>
      <c r="P1550" s="211" t="s">
        <v>4270</v>
      </c>
      <c r="Q1550" s="209"/>
      <c r="R1550" s="209" t="s">
        <v>38</v>
      </c>
      <c r="S1550" s="209"/>
      <c r="T1550" s="209" t="s">
        <v>74</v>
      </c>
      <c r="U1550" s="213">
        <v>44985.719386574077</v>
      </c>
      <c r="V1550" s="209" t="s">
        <v>41</v>
      </c>
      <c r="W1550" s="209" t="s">
        <v>49</v>
      </c>
      <c r="X1550" s="13" t="str">
        <f>IF(RIGHT(H1550,2)&lt;&gt;"00",H1550,"")</f>
        <v/>
      </c>
      <c r="Y1550" s="26">
        <f ca="1">NETWORKDAYS(P1550,$Y$1)</f>
        <v>3</v>
      </c>
      <c r="Z1550" s="34">
        <v>1</v>
      </c>
      <c r="AA1550" s="25" t="str">
        <f t="shared" ca="1" si="137"/>
        <v>A VENCER</v>
      </c>
      <c r="AB1550" s="25" t="str">
        <f t="shared" si="138"/>
        <v>Dosa</v>
      </c>
      <c r="AC1550" s="2" t="str">
        <f t="shared" si="141"/>
        <v xml:space="preserve"> ROSEMERE </v>
      </c>
      <c r="AD1550" s="26">
        <f t="shared" si="139"/>
        <v>5</v>
      </c>
      <c r="AE1550" s="26">
        <f t="shared" ca="1" si="140"/>
        <v>1.9568850694413413</v>
      </c>
    </row>
    <row r="1551" spans="1:31" hidden="1">
      <c r="A1551" s="209">
        <v>9516336</v>
      </c>
      <c r="B1551" s="209" t="s">
        <v>81</v>
      </c>
      <c r="C1551" s="210" t="s">
        <v>4210</v>
      </c>
      <c r="D1551" s="214"/>
      <c r="E1551" s="214">
        <v>1650000206001</v>
      </c>
      <c r="F1551" s="209" t="s">
        <v>29</v>
      </c>
      <c r="G1551" s="209" t="s">
        <v>53</v>
      </c>
      <c r="H1551" s="209" t="s">
        <v>620</v>
      </c>
      <c r="I1551" s="209" t="s">
        <v>621</v>
      </c>
      <c r="J1551" s="209" t="s">
        <v>141</v>
      </c>
      <c r="K1551" s="210" t="s">
        <v>34</v>
      </c>
      <c r="L1551" s="210"/>
      <c r="M1551" s="209" t="s">
        <v>35</v>
      </c>
      <c r="N1551" s="209">
        <v>42318949</v>
      </c>
      <c r="O1551" s="209" t="s">
        <v>105</v>
      </c>
      <c r="P1551" s="211" t="s">
        <v>4272</v>
      </c>
      <c r="Q1551" s="209"/>
      <c r="R1551" s="209" t="s">
        <v>38</v>
      </c>
      <c r="S1551" s="209"/>
      <c r="T1551" s="209" t="s">
        <v>74</v>
      </c>
      <c r="U1551" s="213">
        <v>44985.719363425924</v>
      </c>
      <c r="V1551" s="209" t="s">
        <v>41</v>
      </c>
      <c r="W1551" s="209" t="s">
        <v>49</v>
      </c>
      <c r="X1551" s="13" t="str">
        <f>IF(RIGHT(H1551,2)&lt;&gt;"00",H1551,"")</f>
        <v/>
      </c>
      <c r="Y1551" s="26">
        <f ca="1">NETWORKDAYS(P1551,$Y$1)</f>
        <v>3</v>
      </c>
      <c r="Z1551" s="34">
        <v>1</v>
      </c>
      <c r="AA1551" s="25" t="str">
        <f t="shared" ref="AA1551:AA1565" ca="1" si="142">IF(AE1551=0,"HOJE",IF(AE1551&gt;0,"A VENCER",IF(AE1551&lt;0,"VENCIDO")))</f>
        <v>A VENCER</v>
      </c>
      <c r="AB1551" s="25" t="str">
        <f t="shared" ref="AB1551:AB1565" si="143">IF(F1551="GRPE-000001","C-14",IF(F1551="GRPE-000002","C-14",IF(F1551="GRPE-000003","C-14",IF(F1551="GRPE-000004","SL-On",IF(F1551="GRPE-000038","C-14",IF(F1551="GRPE-900022","Dosa",IF(F1551="GRPE-000029","Dosa",IF(F1551="ATOS-000222","Dose","TAAe+"))))))))</f>
        <v>Dosa</v>
      </c>
      <c r="AC1551" s="2" t="str">
        <f t="shared" ref="AC1551:AC1565" si="144">IF(J1551="TR-PETROLINA"," ROSEMERE ",IF(J1551="TR-GARANHUNS"," ROSEMERE ",IF(J1551="TR-CARUARU"," ROSEMERE ",IF(J1551="TR-RIBEIRAO"," CRISTINA ",IF(J1551="TR-GRAVATA"," CRISTINA ",IF(J1551="TR-GOIANA"," CRISTINA ",IF(J1551="TR-LIMOEIRO"," CRISTINA ",IF(J1551="TR-SERRA TALHADA"," RINALDO ",IF(J1551="TR-SALGUEIRO"," RINALDO ",IF(J1551="TR-CARNAIBA"," RINALDO ",IF(J1551="TR-ARCOVERDE"," RINALDO ",IF(J1551="CAT-RECIFE"," CLEITON ",))))))))))))</f>
        <v xml:space="preserve"> CRISTINA </v>
      </c>
      <c r="AD1551" s="26">
        <f t="shared" ref="AD1551:AD1565" si="145">IF(F1551="GRPE-000001",5,IF(F1551="GRPE-000002",5,IF(F1551="GRPE-000003",15,IF(F1551="GRPE-000004",1,IF(F1551="GRPE-000038",5,IF(F1551="GRPE-900022",5,IF(F1551="GRPE-000029",5,IF(F1551="ATOS-000222",5,8))))))))</f>
        <v>5</v>
      </c>
      <c r="AE1551" s="26">
        <f t="shared" ref="AE1551:AE1565" ca="1" si="146">IF(P1551=$AE$1,"",$AE$1-P1551)</f>
        <v>1.9569082175949006</v>
      </c>
    </row>
    <row r="1552" spans="1:31" hidden="1">
      <c r="A1552" s="209">
        <v>9516328</v>
      </c>
      <c r="B1552" s="209" t="s">
        <v>81</v>
      </c>
      <c r="C1552" s="210" t="s">
        <v>4210</v>
      </c>
      <c r="D1552" s="214"/>
      <c r="E1552" s="214">
        <v>1643000206001</v>
      </c>
      <c r="F1552" s="209" t="s">
        <v>29</v>
      </c>
      <c r="G1552" s="209" t="s">
        <v>53</v>
      </c>
      <c r="H1552" s="209" t="s">
        <v>361</v>
      </c>
      <c r="I1552" s="209" t="s">
        <v>362</v>
      </c>
      <c r="J1552" s="209" t="s">
        <v>261</v>
      </c>
      <c r="K1552" s="210" t="s">
        <v>34</v>
      </c>
      <c r="L1552" s="210"/>
      <c r="M1552" s="209" t="s">
        <v>35</v>
      </c>
      <c r="N1552" s="209">
        <v>42318949</v>
      </c>
      <c r="O1552" s="209" t="s">
        <v>105</v>
      </c>
      <c r="P1552" s="211" t="s">
        <v>4274</v>
      </c>
      <c r="Q1552" s="209"/>
      <c r="R1552" s="209" t="s">
        <v>38</v>
      </c>
      <c r="S1552" s="209"/>
      <c r="T1552" s="209" t="s">
        <v>74</v>
      </c>
      <c r="U1552" s="213">
        <v>44985.719351851854</v>
      </c>
      <c r="V1552" s="209" t="s">
        <v>41</v>
      </c>
      <c r="W1552" s="209" t="s">
        <v>49</v>
      </c>
      <c r="X1552" s="13" t="str">
        <f>IF(RIGHT(H1552,2)&lt;&gt;"00",H1552,"")</f>
        <v/>
      </c>
      <c r="Y1552" s="26">
        <f ca="1">NETWORKDAYS(P1552,$Y$1)</f>
        <v>3</v>
      </c>
      <c r="Z1552" s="34">
        <v>1</v>
      </c>
      <c r="AA1552" s="25" t="str">
        <f t="shared" ca="1" si="142"/>
        <v>A VENCER</v>
      </c>
      <c r="AB1552" s="25" t="str">
        <f t="shared" si="143"/>
        <v>Dosa</v>
      </c>
      <c r="AC1552" s="2" t="str">
        <f t="shared" si="144"/>
        <v xml:space="preserve"> CRISTINA </v>
      </c>
      <c r="AD1552" s="26">
        <f t="shared" si="145"/>
        <v>5</v>
      </c>
      <c r="AE1552" s="26">
        <f t="shared" ca="1" si="146"/>
        <v>1.9569197916644043</v>
      </c>
    </row>
    <row r="1553" spans="1:31" hidden="1">
      <c r="A1553" s="209">
        <v>9516307</v>
      </c>
      <c r="B1553" s="209" t="s">
        <v>81</v>
      </c>
      <c r="C1553" s="210" t="s">
        <v>4210</v>
      </c>
      <c r="D1553" s="214"/>
      <c r="E1553" s="214">
        <v>1620000206001</v>
      </c>
      <c r="F1553" s="209" t="s">
        <v>29</v>
      </c>
      <c r="G1553" s="209" t="s">
        <v>53</v>
      </c>
      <c r="H1553" s="209" t="s">
        <v>402</v>
      </c>
      <c r="I1553" s="209" t="s">
        <v>403</v>
      </c>
      <c r="J1553" s="209" t="s">
        <v>46</v>
      </c>
      <c r="K1553" s="210" t="s">
        <v>34</v>
      </c>
      <c r="L1553" s="210"/>
      <c r="M1553" s="209" t="s">
        <v>35</v>
      </c>
      <c r="N1553" s="209">
        <v>42318949</v>
      </c>
      <c r="O1553" s="209" t="s">
        <v>105</v>
      </c>
      <c r="P1553" s="211" t="s">
        <v>4276</v>
      </c>
      <c r="Q1553" s="209"/>
      <c r="R1553" s="209" t="s">
        <v>38</v>
      </c>
      <c r="S1553" s="209"/>
      <c r="T1553" s="209" t="s">
        <v>74</v>
      </c>
      <c r="U1553" s="213">
        <v>44985.719328703701</v>
      </c>
      <c r="V1553" s="209" t="s">
        <v>41</v>
      </c>
      <c r="W1553" s="209" t="s">
        <v>49</v>
      </c>
      <c r="X1553" s="13" t="str">
        <f>IF(RIGHT(H1553,2)&lt;&gt;"00",H1553,"")</f>
        <v/>
      </c>
      <c r="Y1553" s="26">
        <f ca="1">NETWORKDAYS(P1553,$Y$1)</f>
        <v>3</v>
      </c>
      <c r="Z1553" s="34">
        <v>1</v>
      </c>
      <c r="AA1553" s="25" t="str">
        <f t="shared" ca="1" si="142"/>
        <v>A VENCER</v>
      </c>
      <c r="AB1553" s="25" t="str">
        <f t="shared" si="143"/>
        <v>Dosa</v>
      </c>
      <c r="AC1553" s="2" t="str">
        <f t="shared" si="144"/>
        <v xml:space="preserve"> CLEITON </v>
      </c>
      <c r="AD1553" s="26">
        <f t="shared" si="145"/>
        <v>5</v>
      </c>
      <c r="AE1553" s="26">
        <f t="shared" ca="1" si="146"/>
        <v>1.9569545138874673</v>
      </c>
    </row>
    <row r="1554" spans="1:31" hidden="1">
      <c r="A1554" s="209">
        <v>9516205</v>
      </c>
      <c r="B1554" s="209" t="s">
        <v>81</v>
      </c>
      <c r="C1554" s="210" t="s">
        <v>4210</v>
      </c>
      <c r="D1554" s="214"/>
      <c r="E1554" s="214">
        <v>1509000206001</v>
      </c>
      <c r="F1554" s="209" t="s">
        <v>29</v>
      </c>
      <c r="G1554" s="209" t="s">
        <v>53</v>
      </c>
      <c r="H1554" s="209" t="s">
        <v>731</v>
      </c>
      <c r="I1554" s="209" t="s">
        <v>732</v>
      </c>
      <c r="J1554" s="209" t="s">
        <v>46</v>
      </c>
      <c r="K1554" s="210" t="s">
        <v>34</v>
      </c>
      <c r="L1554" s="210"/>
      <c r="M1554" s="209" t="s">
        <v>35</v>
      </c>
      <c r="N1554" s="209">
        <v>42318949</v>
      </c>
      <c r="O1554" s="209" t="s">
        <v>105</v>
      </c>
      <c r="P1554" s="211" t="s">
        <v>4278</v>
      </c>
      <c r="Q1554" s="209"/>
      <c r="R1554" s="209" t="s">
        <v>38</v>
      </c>
      <c r="S1554" s="209"/>
      <c r="T1554" s="209" t="s">
        <v>74</v>
      </c>
      <c r="U1554" s="213">
        <v>44985.719178240739</v>
      </c>
      <c r="V1554" s="209" t="s">
        <v>41</v>
      </c>
      <c r="W1554" s="209" t="s">
        <v>49</v>
      </c>
      <c r="X1554" s="13" t="str">
        <f>IF(RIGHT(H1554,2)&lt;&gt;"00",H1554,"")</f>
        <v/>
      </c>
      <c r="Y1554" s="26">
        <f ca="1">NETWORKDAYS(P1554,$Y$1)</f>
        <v>3</v>
      </c>
      <c r="Z1554" s="34">
        <v>1</v>
      </c>
      <c r="AA1554" s="25" t="str">
        <f t="shared" ca="1" si="142"/>
        <v>A VENCER</v>
      </c>
      <c r="AB1554" s="25" t="str">
        <f t="shared" si="143"/>
        <v>Dosa</v>
      </c>
      <c r="AC1554" s="2" t="str">
        <f t="shared" si="144"/>
        <v xml:space="preserve"> CLEITON </v>
      </c>
      <c r="AD1554" s="26">
        <f t="shared" si="145"/>
        <v>5</v>
      </c>
      <c r="AE1554" s="26">
        <f t="shared" ca="1" si="146"/>
        <v>1.957104976849223</v>
      </c>
    </row>
    <row r="1555" spans="1:31" hidden="1">
      <c r="A1555" s="209">
        <v>9516115</v>
      </c>
      <c r="B1555" s="209" t="s">
        <v>81</v>
      </c>
      <c r="C1555" s="210" t="s">
        <v>4210</v>
      </c>
      <c r="D1555" s="214"/>
      <c r="E1555" s="214">
        <v>1421000206001</v>
      </c>
      <c r="F1555" s="209" t="s">
        <v>29</v>
      </c>
      <c r="G1555" s="209" t="s">
        <v>53</v>
      </c>
      <c r="H1555" s="209" t="s">
        <v>179</v>
      </c>
      <c r="I1555" s="209" t="s">
        <v>180</v>
      </c>
      <c r="J1555" s="209" t="s">
        <v>79</v>
      </c>
      <c r="K1555" s="210" t="s">
        <v>34</v>
      </c>
      <c r="L1555" s="210"/>
      <c r="M1555" s="209" t="s">
        <v>35</v>
      </c>
      <c r="N1555" s="209">
        <v>42318949</v>
      </c>
      <c r="O1555" s="209" t="s">
        <v>105</v>
      </c>
      <c r="P1555" s="211" t="s">
        <v>4279</v>
      </c>
      <c r="Q1555" s="209"/>
      <c r="R1555" s="209" t="s">
        <v>38</v>
      </c>
      <c r="S1555" s="209"/>
      <c r="T1555" s="209" t="s">
        <v>74</v>
      </c>
      <c r="U1555" s="213">
        <v>44985.719027777777</v>
      </c>
      <c r="V1555" s="209" t="s">
        <v>41</v>
      </c>
      <c r="W1555" s="209" t="s">
        <v>49</v>
      </c>
      <c r="X1555" s="13" t="str">
        <f>IF(RIGHT(H1555,2)&lt;&gt;"00",H1555,"")</f>
        <v/>
      </c>
      <c r="Y1555" s="26">
        <f ca="1">NETWORKDAYS(P1555,$Y$1)</f>
        <v>3</v>
      </c>
      <c r="Z1555" s="34">
        <v>1</v>
      </c>
      <c r="AA1555" s="25" t="str">
        <f t="shared" ca="1" si="142"/>
        <v>A VENCER</v>
      </c>
      <c r="AB1555" s="25" t="str">
        <f t="shared" si="143"/>
        <v>Dosa</v>
      </c>
      <c r="AC1555" s="2" t="str">
        <f t="shared" si="144"/>
        <v xml:space="preserve"> ROSEMERE </v>
      </c>
      <c r="AD1555" s="26">
        <f t="shared" si="145"/>
        <v>5</v>
      </c>
      <c r="AE1555" s="26">
        <f t="shared" ca="1" si="146"/>
        <v>1.957243865741475</v>
      </c>
    </row>
    <row r="1556" spans="1:31" hidden="1">
      <c r="A1556" s="209">
        <v>9516059</v>
      </c>
      <c r="B1556" s="209" t="s">
        <v>81</v>
      </c>
      <c r="C1556" s="210" t="s">
        <v>4210</v>
      </c>
      <c r="D1556" s="214"/>
      <c r="E1556" s="214">
        <v>1363000206001</v>
      </c>
      <c r="F1556" s="209" t="s">
        <v>29</v>
      </c>
      <c r="G1556" s="209" t="s">
        <v>53</v>
      </c>
      <c r="H1556" s="209" t="s">
        <v>108</v>
      </c>
      <c r="I1556" s="209" t="s">
        <v>109</v>
      </c>
      <c r="J1556" s="209" t="s">
        <v>110</v>
      </c>
      <c r="K1556" s="210" t="s">
        <v>34</v>
      </c>
      <c r="L1556" s="210"/>
      <c r="M1556" s="209" t="s">
        <v>35</v>
      </c>
      <c r="N1556" s="209">
        <v>42318949</v>
      </c>
      <c r="O1556" s="209" t="s">
        <v>105</v>
      </c>
      <c r="P1556" s="211" t="s">
        <v>4280</v>
      </c>
      <c r="Q1556" s="209"/>
      <c r="R1556" s="209" t="s">
        <v>38</v>
      </c>
      <c r="S1556" s="209"/>
      <c r="T1556" s="209" t="s">
        <v>74</v>
      </c>
      <c r="U1556" s="213">
        <v>44985.718946759262</v>
      </c>
      <c r="V1556" s="209" t="s">
        <v>41</v>
      </c>
      <c r="W1556" s="209" t="s">
        <v>49</v>
      </c>
      <c r="X1556" s="13" t="str">
        <f>IF(RIGHT(H1556,2)&lt;&gt;"00",H1556,"")</f>
        <v/>
      </c>
      <c r="Y1556" s="26">
        <f ca="1">NETWORKDAYS(P1556,$Y$1)</f>
        <v>3</v>
      </c>
      <c r="Z1556" s="34">
        <v>1</v>
      </c>
      <c r="AA1556" s="25" t="str">
        <f t="shared" ca="1" si="142"/>
        <v>A VENCER</v>
      </c>
      <c r="AB1556" s="25" t="str">
        <f t="shared" si="143"/>
        <v>Dosa</v>
      </c>
      <c r="AC1556" s="2" t="str">
        <f t="shared" si="144"/>
        <v xml:space="preserve"> CRISTINA </v>
      </c>
      <c r="AD1556" s="26">
        <f t="shared" si="145"/>
        <v>5</v>
      </c>
      <c r="AE1556" s="26">
        <f t="shared" ca="1" si="146"/>
        <v>1.9573248842571047</v>
      </c>
    </row>
    <row r="1557" spans="1:31" hidden="1">
      <c r="A1557" s="209">
        <v>9516058</v>
      </c>
      <c r="B1557" s="209" t="s">
        <v>81</v>
      </c>
      <c r="C1557" s="210" t="s">
        <v>4210</v>
      </c>
      <c r="D1557" s="214"/>
      <c r="E1557" s="214">
        <v>1362000206001</v>
      </c>
      <c r="F1557" s="209" t="s">
        <v>29</v>
      </c>
      <c r="G1557" s="209" t="s">
        <v>53</v>
      </c>
      <c r="H1557" s="209" t="s">
        <v>268</v>
      </c>
      <c r="I1557" s="209" t="s">
        <v>269</v>
      </c>
      <c r="J1557" s="209" t="s">
        <v>90</v>
      </c>
      <c r="K1557" s="210" t="s">
        <v>34</v>
      </c>
      <c r="L1557" s="210"/>
      <c r="M1557" s="209" t="s">
        <v>35</v>
      </c>
      <c r="N1557" s="209">
        <v>42318949</v>
      </c>
      <c r="O1557" s="209" t="s">
        <v>105</v>
      </c>
      <c r="P1557" s="211" t="s">
        <v>4280</v>
      </c>
      <c r="Q1557" s="209"/>
      <c r="R1557" s="209" t="s">
        <v>38</v>
      </c>
      <c r="S1557" s="209"/>
      <c r="T1557" s="209" t="s">
        <v>74</v>
      </c>
      <c r="U1557" s="213">
        <v>44985.718946759262</v>
      </c>
      <c r="V1557" s="209" t="s">
        <v>41</v>
      </c>
      <c r="W1557" s="209" t="s">
        <v>49</v>
      </c>
      <c r="X1557" s="13" t="str">
        <f>IF(RIGHT(H1557,2)&lt;&gt;"00",H1557,"")</f>
        <v/>
      </c>
      <c r="Y1557" s="26">
        <f ca="1">NETWORKDAYS(P1557,$Y$1)</f>
        <v>3</v>
      </c>
      <c r="Z1557" s="34">
        <v>1</v>
      </c>
      <c r="AA1557" s="25" t="str">
        <f t="shared" ca="1" si="142"/>
        <v>A VENCER</v>
      </c>
      <c r="AB1557" s="25" t="str">
        <f t="shared" si="143"/>
        <v>Dosa</v>
      </c>
      <c r="AC1557" s="2" t="str">
        <f t="shared" si="144"/>
        <v xml:space="preserve"> RINALDO </v>
      </c>
      <c r="AD1557" s="26">
        <f t="shared" si="145"/>
        <v>5</v>
      </c>
      <c r="AE1557" s="26">
        <f t="shared" ca="1" si="146"/>
        <v>1.9573248842571047</v>
      </c>
    </row>
    <row r="1558" spans="1:31" hidden="1">
      <c r="A1558" s="209">
        <v>9516057</v>
      </c>
      <c r="B1558" s="209" t="s">
        <v>81</v>
      </c>
      <c r="C1558" s="210" t="s">
        <v>4210</v>
      </c>
      <c r="D1558" s="214"/>
      <c r="E1558" s="214">
        <v>1361000206001</v>
      </c>
      <c r="F1558" s="209" t="s">
        <v>29</v>
      </c>
      <c r="G1558" s="209" t="s">
        <v>53</v>
      </c>
      <c r="H1558" s="209" t="s">
        <v>309</v>
      </c>
      <c r="I1558" s="209" t="s">
        <v>310</v>
      </c>
      <c r="J1558" s="209" t="s">
        <v>46</v>
      </c>
      <c r="K1558" s="210" t="s">
        <v>34</v>
      </c>
      <c r="L1558" s="210"/>
      <c r="M1558" s="209" t="s">
        <v>35</v>
      </c>
      <c r="N1558" s="209">
        <v>42318949</v>
      </c>
      <c r="O1558" s="209" t="s">
        <v>105</v>
      </c>
      <c r="P1558" s="211" t="s">
        <v>4280</v>
      </c>
      <c r="Q1558" s="209"/>
      <c r="R1558" s="209" t="s">
        <v>38</v>
      </c>
      <c r="S1558" s="209"/>
      <c r="T1558" s="209" t="s">
        <v>74</v>
      </c>
      <c r="U1558" s="213">
        <v>44985.718946759262</v>
      </c>
      <c r="V1558" s="209" t="s">
        <v>41</v>
      </c>
      <c r="W1558" s="209" t="s">
        <v>49</v>
      </c>
      <c r="X1558" s="13" t="str">
        <f>IF(RIGHT(H1558,2)&lt;&gt;"00",H1558,"")</f>
        <v/>
      </c>
      <c r="Y1558" s="26">
        <f ca="1">NETWORKDAYS(P1558,$Y$1)</f>
        <v>3</v>
      </c>
      <c r="Z1558" s="34">
        <v>1</v>
      </c>
      <c r="AA1558" s="25" t="str">
        <f t="shared" ca="1" si="142"/>
        <v>A VENCER</v>
      </c>
      <c r="AB1558" s="25" t="str">
        <f t="shared" si="143"/>
        <v>Dosa</v>
      </c>
      <c r="AC1558" s="2" t="str">
        <f t="shared" si="144"/>
        <v xml:space="preserve"> CLEITON </v>
      </c>
      <c r="AD1558" s="26">
        <f t="shared" si="145"/>
        <v>5</v>
      </c>
      <c r="AE1558" s="26">
        <f t="shared" ca="1" si="146"/>
        <v>1.9573248842571047</v>
      </c>
    </row>
    <row r="1559" spans="1:31" hidden="1">
      <c r="A1559" s="209">
        <v>9516056</v>
      </c>
      <c r="B1559" s="209" t="s">
        <v>81</v>
      </c>
      <c r="C1559" s="210" t="s">
        <v>4210</v>
      </c>
      <c r="D1559" s="214"/>
      <c r="E1559" s="214">
        <v>1360000206001</v>
      </c>
      <c r="F1559" s="209" t="s">
        <v>29</v>
      </c>
      <c r="G1559" s="209" t="s">
        <v>53</v>
      </c>
      <c r="H1559" s="209" t="s">
        <v>303</v>
      </c>
      <c r="I1559" s="209" t="s">
        <v>304</v>
      </c>
      <c r="J1559" s="209" t="s">
        <v>261</v>
      </c>
      <c r="K1559" s="210" t="s">
        <v>34</v>
      </c>
      <c r="L1559" s="210"/>
      <c r="M1559" s="209" t="s">
        <v>35</v>
      </c>
      <c r="N1559" s="209">
        <v>42318949</v>
      </c>
      <c r="O1559" s="209" t="s">
        <v>105</v>
      </c>
      <c r="P1559" s="211" t="s">
        <v>4282</v>
      </c>
      <c r="Q1559" s="209"/>
      <c r="R1559" s="209" t="s">
        <v>38</v>
      </c>
      <c r="S1559" s="209"/>
      <c r="T1559" s="209" t="s">
        <v>74</v>
      </c>
      <c r="U1559" s="213">
        <v>44985.718935185185</v>
      </c>
      <c r="V1559" s="209" t="s">
        <v>41</v>
      </c>
      <c r="W1559" s="209" t="s">
        <v>49</v>
      </c>
      <c r="X1559" s="13" t="str">
        <f>IF(RIGHT(H1559,2)&lt;&gt;"00",H1559,"")</f>
        <v/>
      </c>
      <c r="Y1559" s="26">
        <f ca="1">NETWORKDAYS(P1559,$Y$1)</f>
        <v>3</v>
      </c>
      <c r="Z1559" s="34">
        <v>1</v>
      </c>
      <c r="AA1559" s="25" t="str">
        <f t="shared" ca="1" si="142"/>
        <v>A VENCER</v>
      </c>
      <c r="AB1559" s="25" t="str">
        <f t="shared" si="143"/>
        <v>Dosa</v>
      </c>
      <c r="AC1559" s="2" t="str">
        <f t="shared" si="144"/>
        <v xml:space="preserve"> CRISTINA </v>
      </c>
      <c r="AD1559" s="26">
        <f t="shared" si="145"/>
        <v>5</v>
      </c>
      <c r="AE1559" s="26">
        <f t="shared" ca="1" si="146"/>
        <v>1.9573364583338844</v>
      </c>
    </row>
    <row r="1560" spans="1:31" hidden="1">
      <c r="A1560" s="209">
        <v>9516055</v>
      </c>
      <c r="B1560" s="209" t="s">
        <v>81</v>
      </c>
      <c r="C1560" s="210" t="s">
        <v>4210</v>
      </c>
      <c r="D1560" s="214"/>
      <c r="E1560" s="214">
        <v>1359000206001</v>
      </c>
      <c r="F1560" s="209" t="s">
        <v>29</v>
      </c>
      <c r="G1560" s="209" t="s">
        <v>53</v>
      </c>
      <c r="H1560" s="209" t="s">
        <v>270</v>
      </c>
      <c r="I1560" s="209" t="s">
        <v>271</v>
      </c>
      <c r="J1560" s="209" t="s">
        <v>141</v>
      </c>
      <c r="K1560" s="210" t="s">
        <v>34</v>
      </c>
      <c r="L1560" s="210"/>
      <c r="M1560" s="209" t="s">
        <v>35</v>
      </c>
      <c r="N1560" s="209">
        <v>42318949</v>
      </c>
      <c r="O1560" s="209" t="s">
        <v>105</v>
      </c>
      <c r="P1560" s="211" t="s">
        <v>4282</v>
      </c>
      <c r="Q1560" s="209"/>
      <c r="R1560" s="209" t="s">
        <v>38</v>
      </c>
      <c r="S1560" s="209"/>
      <c r="T1560" s="209" t="s">
        <v>74</v>
      </c>
      <c r="U1560" s="213">
        <v>44985.718935185185</v>
      </c>
      <c r="V1560" s="209" t="s">
        <v>41</v>
      </c>
      <c r="W1560" s="209" t="s">
        <v>49</v>
      </c>
      <c r="X1560" s="13" t="str">
        <f>IF(RIGHT(H1560,2)&lt;&gt;"00",H1560,"")</f>
        <v/>
      </c>
      <c r="Y1560" s="26">
        <f ca="1">NETWORKDAYS(P1560,$Y$1)</f>
        <v>3</v>
      </c>
      <c r="Z1560" s="34">
        <v>1</v>
      </c>
      <c r="AA1560" s="25" t="str">
        <f t="shared" ca="1" si="142"/>
        <v>A VENCER</v>
      </c>
      <c r="AB1560" s="25" t="str">
        <f t="shared" si="143"/>
        <v>Dosa</v>
      </c>
      <c r="AC1560" s="2" t="str">
        <f t="shared" si="144"/>
        <v xml:space="preserve"> CRISTINA </v>
      </c>
      <c r="AD1560" s="26">
        <f t="shared" si="145"/>
        <v>5</v>
      </c>
      <c r="AE1560" s="26">
        <f t="shared" ca="1" si="146"/>
        <v>1.9573364583338844</v>
      </c>
    </row>
    <row r="1561" spans="1:31" hidden="1">
      <c r="A1561" s="209">
        <v>9516054</v>
      </c>
      <c r="B1561" s="209" t="s">
        <v>81</v>
      </c>
      <c r="C1561" s="210" t="s">
        <v>4210</v>
      </c>
      <c r="D1561" s="214"/>
      <c r="E1561" s="214">
        <v>1358000206001</v>
      </c>
      <c r="F1561" s="209" t="s">
        <v>29</v>
      </c>
      <c r="G1561" s="209" t="s">
        <v>53</v>
      </c>
      <c r="H1561" s="209" t="s">
        <v>593</v>
      </c>
      <c r="I1561" s="209" t="s">
        <v>594</v>
      </c>
      <c r="J1561" s="209" t="s">
        <v>261</v>
      </c>
      <c r="K1561" s="210" t="s">
        <v>34</v>
      </c>
      <c r="L1561" s="210"/>
      <c r="M1561" s="209" t="s">
        <v>35</v>
      </c>
      <c r="N1561" s="209">
        <v>42318949</v>
      </c>
      <c r="O1561" s="209" t="s">
        <v>105</v>
      </c>
      <c r="P1561" s="211" t="s">
        <v>4282</v>
      </c>
      <c r="Q1561" s="209"/>
      <c r="R1561" s="209" t="s">
        <v>38</v>
      </c>
      <c r="S1561" s="209"/>
      <c r="T1561" s="209" t="s">
        <v>74</v>
      </c>
      <c r="U1561" s="213">
        <v>44985.718935185185</v>
      </c>
      <c r="V1561" s="209" t="s">
        <v>41</v>
      </c>
      <c r="W1561" s="209" t="s">
        <v>49</v>
      </c>
      <c r="X1561" s="13" t="str">
        <f>IF(RIGHT(H1561,2)&lt;&gt;"00",H1561,"")</f>
        <v/>
      </c>
      <c r="Y1561" s="26">
        <f ca="1">NETWORKDAYS(P1561,$Y$1)</f>
        <v>3</v>
      </c>
      <c r="Z1561" s="34">
        <v>1</v>
      </c>
      <c r="AA1561" s="25" t="str">
        <f t="shared" ca="1" si="142"/>
        <v>A VENCER</v>
      </c>
      <c r="AB1561" s="25" t="str">
        <f t="shared" si="143"/>
        <v>Dosa</v>
      </c>
      <c r="AC1561" s="2" t="str">
        <f t="shared" si="144"/>
        <v xml:space="preserve"> CRISTINA </v>
      </c>
      <c r="AD1561" s="26">
        <f t="shared" si="145"/>
        <v>5</v>
      </c>
      <c r="AE1561" s="26">
        <f t="shared" ca="1" si="146"/>
        <v>1.9573364583338844</v>
      </c>
    </row>
    <row r="1562" spans="1:31" hidden="1">
      <c r="A1562" s="209">
        <v>9515994</v>
      </c>
      <c r="B1562" s="209" t="s">
        <v>81</v>
      </c>
      <c r="C1562" s="210" t="s">
        <v>4210</v>
      </c>
      <c r="D1562" s="214"/>
      <c r="E1562" s="214">
        <v>1291000206001</v>
      </c>
      <c r="F1562" s="209" t="s">
        <v>29</v>
      </c>
      <c r="G1562" s="209" t="s">
        <v>53</v>
      </c>
      <c r="H1562" s="209" t="s">
        <v>136</v>
      </c>
      <c r="I1562" s="209" t="s">
        <v>137</v>
      </c>
      <c r="J1562" s="209" t="s">
        <v>33</v>
      </c>
      <c r="K1562" s="210" t="s">
        <v>34</v>
      </c>
      <c r="L1562" s="210"/>
      <c r="M1562" s="209" t="s">
        <v>35</v>
      </c>
      <c r="N1562" s="209">
        <v>42318949</v>
      </c>
      <c r="O1562" s="209" t="s">
        <v>105</v>
      </c>
      <c r="P1562" s="211" t="s">
        <v>4283</v>
      </c>
      <c r="Q1562" s="209"/>
      <c r="R1562" s="209" t="s">
        <v>38</v>
      </c>
      <c r="S1562" s="209"/>
      <c r="T1562" s="209" t="s">
        <v>74</v>
      </c>
      <c r="U1562" s="213">
        <v>44985.718842592592</v>
      </c>
      <c r="V1562" s="209" t="s">
        <v>41</v>
      </c>
      <c r="W1562" s="209" t="s">
        <v>42</v>
      </c>
      <c r="X1562" s="13" t="str">
        <f>IF(RIGHT(H1562,2)&lt;&gt;"00",H1562,"")</f>
        <v/>
      </c>
      <c r="Y1562" s="26">
        <f ca="1">NETWORKDAYS(P1562,$Y$1)</f>
        <v>3</v>
      </c>
      <c r="Z1562" s="34">
        <v>1</v>
      </c>
      <c r="AA1562" s="25" t="str">
        <f t="shared" ca="1" si="142"/>
        <v>A VENCER</v>
      </c>
      <c r="AB1562" s="25" t="str">
        <f t="shared" si="143"/>
        <v>Dosa</v>
      </c>
      <c r="AC1562" s="2" t="str">
        <f t="shared" si="144"/>
        <v xml:space="preserve"> ROSEMERE </v>
      </c>
      <c r="AD1562" s="26">
        <f t="shared" si="145"/>
        <v>5</v>
      </c>
      <c r="AE1562" s="26">
        <f t="shared" ca="1" si="146"/>
        <v>1.9574290509262937</v>
      </c>
    </row>
    <row r="1563" spans="1:31" hidden="1">
      <c r="A1563" s="209">
        <v>9515975</v>
      </c>
      <c r="B1563" s="209" t="s">
        <v>81</v>
      </c>
      <c r="C1563" s="210" t="s">
        <v>4210</v>
      </c>
      <c r="D1563" s="214"/>
      <c r="E1563" s="214">
        <v>1264000206001</v>
      </c>
      <c r="F1563" s="209" t="s">
        <v>29</v>
      </c>
      <c r="G1563" s="209" t="s">
        <v>53</v>
      </c>
      <c r="H1563" s="209" t="s">
        <v>351</v>
      </c>
      <c r="I1563" s="209" t="s">
        <v>352</v>
      </c>
      <c r="J1563" s="209" t="s">
        <v>110</v>
      </c>
      <c r="K1563" s="210" t="s">
        <v>34</v>
      </c>
      <c r="L1563" s="210"/>
      <c r="M1563" s="209" t="s">
        <v>35</v>
      </c>
      <c r="N1563" s="209">
        <v>42318949</v>
      </c>
      <c r="O1563" s="209" t="s">
        <v>105</v>
      </c>
      <c r="P1563" s="211" t="s">
        <v>4284</v>
      </c>
      <c r="Q1563" s="209"/>
      <c r="R1563" s="209" t="s">
        <v>38</v>
      </c>
      <c r="S1563" s="209"/>
      <c r="T1563" s="209" t="s">
        <v>74</v>
      </c>
      <c r="U1563" s="213">
        <v>44985.718819444446</v>
      </c>
      <c r="V1563" s="209" t="s">
        <v>41</v>
      </c>
      <c r="W1563" s="209" t="s">
        <v>49</v>
      </c>
      <c r="X1563" s="13" t="str">
        <f>IF(RIGHT(H1563,2)&lt;&gt;"00",H1563,"")</f>
        <v/>
      </c>
      <c r="Y1563" s="26">
        <f ca="1">NETWORKDAYS(P1563,$Y$1)</f>
        <v>3</v>
      </c>
      <c r="Z1563" s="34">
        <v>1</v>
      </c>
      <c r="AA1563" s="25" t="str">
        <f t="shared" ref="AA1563:AA1601" ca="1" si="147">IF(AE1563=0,"HOJE",IF(AE1563&gt;0,"A VENCER",IF(AE1563&lt;0,"VENCIDO")))</f>
        <v>A VENCER</v>
      </c>
      <c r="AB1563" s="25" t="str">
        <f t="shared" ref="AB1563:AB1601" si="148">IF(F1563="GRPE-000001","C-14",IF(F1563="GRPE-000002","C-14",IF(F1563="GRPE-000003","C-14",IF(F1563="GRPE-000004","SL-On",IF(F1563="GRPE-000038","C-14",IF(F1563="GRPE-900022","Dosa",IF(F1563="GRPE-000029","Dosa",IF(F1563="ATOS-000222","Dose","TAAe+"))))))))</f>
        <v>Dosa</v>
      </c>
      <c r="AC1563" s="2" t="str">
        <f t="shared" ref="AC1563:AC1601" si="149">IF(J1563="TR-PETROLINA"," ROSEMERE ",IF(J1563="TR-GARANHUNS"," ROSEMERE ",IF(J1563="TR-CARUARU"," ROSEMERE ",IF(J1563="TR-RIBEIRAO"," CRISTINA ",IF(J1563="TR-GRAVATA"," CRISTINA ",IF(J1563="TR-GOIANA"," CRISTINA ",IF(J1563="TR-LIMOEIRO"," CRISTINA ",IF(J1563="TR-SERRA TALHADA"," RINALDO ",IF(J1563="TR-SALGUEIRO"," RINALDO ",IF(J1563="TR-CARNAIBA"," RINALDO ",IF(J1563="TR-ARCOVERDE"," RINALDO ",IF(J1563="CAT-RECIFE"," CLEITON ",))))))))))))</f>
        <v xml:space="preserve"> CRISTINA </v>
      </c>
      <c r="AD1563" s="26">
        <f t="shared" ref="AD1563:AD1601" si="150">IF(F1563="GRPE-000001",5,IF(F1563="GRPE-000002",5,IF(F1563="GRPE-000003",15,IF(F1563="GRPE-000004",1,IF(F1563="GRPE-000038",5,IF(F1563="GRPE-900022",5,IF(F1563="GRPE-000029",5,IF(F1563="ATOS-000222",5,8))))))))</f>
        <v>5</v>
      </c>
      <c r="AE1563" s="26">
        <f t="shared" ref="AE1563:AE1601" ca="1" si="151">IF(P1563=$AE$1,"",$AE$1-P1563)</f>
        <v>1.9574521990725771</v>
      </c>
    </row>
    <row r="1564" spans="1:31" hidden="1">
      <c r="A1564" s="209">
        <v>9515958</v>
      </c>
      <c r="B1564" s="209" t="s">
        <v>81</v>
      </c>
      <c r="C1564" s="210" t="s">
        <v>4210</v>
      </c>
      <c r="D1564" s="214"/>
      <c r="E1564" s="214">
        <v>1245000206001</v>
      </c>
      <c r="F1564" s="209" t="s">
        <v>29</v>
      </c>
      <c r="G1564" s="209" t="s">
        <v>53</v>
      </c>
      <c r="H1564" s="209" t="s">
        <v>408</v>
      </c>
      <c r="I1564" s="209" t="s">
        <v>409</v>
      </c>
      <c r="J1564" s="209" t="s">
        <v>46</v>
      </c>
      <c r="K1564" s="210" t="s">
        <v>34</v>
      </c>
      <c r="L1564" s="210"/>
      <c r="M1564" s="209" t="s">
        <v>35</v>
      </c>
      <c r="N1564" s="209">
        <v>42318949</v>
      </c>
      <c r="O1564" s="209" t="s">
        <v>105</v>
      </c>
      <c r="P1564" s="211" t="s">
        <v>4286</v>
      </c>
      <c r="Q1564" s="209"/>
      <c r="R1564" s="209" t="s">
        <v>38</v>
      </c>
      <c r="S1564" s="209"/>
      <c r="T1564" s="209" t="s">
        <v>74</v>
      </c>
      <c r="U1564" s="213">
        <v>44985.718784722223</v>
      </c>
      <c r="V1564" s="209" t="s">
        <v>41</v>
      </c>
      <c r="W1564" s="209" t="s">
        <v>49</v>
      </c>
      <c r="X1564" s="13" t="str">
        <f>IF(RIGHT(H1564,2)&lt;&gt;"00",H1564,"")</f>
        <v/>
      </c>
      <c r="Y1564" s="26">
        <f ca="1">NETWORKDAYS(P1564,$Y$1)</f>
        <v>3</v>
      </c>
      <c r="Z1564" s="34">
        <v>1</v>
      </c>
      <c r="AA1564" s="25" t="str">
        <f t="shared" ca="1" si="147"/>
        <v>A VENCER</v>
      </c>
      <c r="AB1564" s="25" t="str">
        <f t="shared" si="148"/>
        <v>Dosa</v>
      </c>
      <c r="AC1564" s="2" t="str">
        <f t="shared" si="149"/>
        <v xml:space="preserve"> CLEITON </v>
      </c>
      <c r="AD1564" s="26">
        <f t="shared" si="150"/>
        <v>5</v>
      </c>
      <c r="AE1564" s="26">
        <f t="shared" ca="1" si="151"/>
        <v>1.9574869212956401</v>
      </c>
    </row>
    <row r="1565" spans="1:31" hidden="1">
      <c r="A1565" s="209">
        <v>9515898</v>
      </c>
      <c r="B1565" s="209" t="s">
        <v>81</v>
      </c>
      <c r="C1565" s="210" t="s">
        <v>4210</v>
      </c>
      <c r="D1565" s="214"/>
      <c r="E1565" s="214">
        <v>1185000206001</v>
      </c>
      <c r="F1565" s="209" t="s">
        <v>29</v>
      </c>
      <c r="G1565" s="209" t="s">
        <v>53</v>
      </c>
      <c r="H1565" s="209" t="s">
        <v>539</v>
      </c>
      <c r="I1565" s="209" t="s">
        <v>540</v>
      </c>
      <c r="J1565" s="209" t="s">
        <v>33</v>
      </c>
      <c r="K1565" s="210" t="s">
        <v>34</v>
      </c>
      <c r="L1565" s="210"/>
      <c r="M1565" s="209" t="s">
        <v>35</v>
      </c>
      <c r="N1565" s="209">
        <v>42318949</v>
      </c>
      <c r="O1565" s="209" t="s">
        <v>105</v>
      </c>
      <c r="P1565" s="211" t="s">
        <v>4288</v>
      </c>
      <c r="Q1565" s="209"/>
      <c r="R1565" s="209" t="s">
        <v>38</v>
      </c>
      <c r="S1565" s="209"/>
      <c r="T1565" s="209" t="s">
        <v>74</v>
      </c>
      <c r="U1565" s="213">
        <v>44985.7187037037</v>
      </c>
      <c r="V1565" s="209" t="s">
        <v>41</v>
      </c>
      <c r="W1565" s="209" t="s">
        <v>42</v>
      </c>
      <c r="X1565" s="13" t="str">
        <f>IF(RIGHT(H1565,2)&lt;&gt;"00",H1565,"")</f>
        <v/>
      </c>
      <c r="Y1565" s="26">
        <f ca="1">NETWORKDAYS(P1565,$Y$1)</f>
        <v>3</v>
      </c>
      <c r="Z1565" s="34">
        <v>1</v>
      </c>
      <c r="AA1565" s="25" t="str">
        <f t="shared" ca="1" si="147"/>
        <v>A VENCER</v>
      </c>
      <c r="AB1565" s="25" t="str">
        <f t="shared" si="148"/>
        <v>Dosa</v>
      </c>
      <c r="AC1565" s="2" t="str">
        <f t="shared" si="149"/>
        <v xml:space="preserve"> ROSEMERE </v>
      </c>
      <c r="AD1565" s="26">
        <f t="shared" si="150"/>
        <v>5</v>
      </c>
      <c r="AE1565" s="26">
        <f t="shared" ca="1" si="151"/>
        <v>1.9575679398185457</v>
      </c>
    </row>
    <row r="1566" spans="1:31" hidden="1">
      <c r="A1566" s="209">
        <v>9515879</v>
      </c>
      <c r="B1566" s="209" t="s">
        <v>81</v>
      </c>
      <c r="C1566" s="210" t="s">
        <v>4210</v>
      </c>
      <c r="D1566" s="214"/>
      <c r="E1566" s="214">
        <v>1162000206001</v>
      </c>
      <c r="F1566" s="209" t="s">
        <v>29</v>
      </c>
      <c r="G1566" s="209" t="s">
        <v>53</v>
      </c>
      <c r="H1566" s="209" t="s">
        <v>280</v>
      </c>
      <c r="I1566" s="209" t="s">
        <v>281</v>
      </c>
      <c r="J1566" s="209" t="s">
        <v>211</v>
      </c>
      <c r="K1566" s="210" t="s">
        <v>34</v>
      </c>
      <c r="L1566" s="210"/>
      <c r="M1566" s="209" t="s">
        <v>35</v>
      </c>
      <c r="N1566" s="209">
        <v>42318949</v>
      </c>
      <c r="O1566" s="209" t="s">
        <v>105</v>
      </c>
      <c r="P1566" s="211" t="s">
        <v>4290</v>
      </c>
      <c r="Q1566" s="209"/>
      <c r="R1566" s="209" t="s">
        <v>38</v>
      </c>
      <c r="S1566" s="209"/>
      <c r="T1566" s="209" t="s">
        <v>74</v>
      </c>
      <c r="U1566" s="213">
        <v>44985.718680555554</v>
      </c>
      <c r="V1566" s="209" t="s">
        <v>41</v>
      </c>
      <c r="W1566" s="209" t="s">
        <v>49</v>
      </c>
      <c r="X1566" s="13" t="str">
        <f>IF(RIGHT(H1566,2)&lt;&gt;"00",H1566,"")</f>
        <v/>
      </c>
      <c r="Y1566" s="26">
        <f ca="1">NETWORKDAYS(P1566,$Y$1)</f>
        <v>3</v>
      </c>
      <c r="Z1566" s="34">
        <v>1</v>
      </c>
      <c r="AA1566" s="25" t="str">
        <f t="shared" ca="1" si="147"/>
        <v>A VENCER</v>
      </c>
      <c r="AB1566" s="25" t="str">
        <f t="shared" si="148"/>
        <v>Dosa</v>
      </c>
      <c r="AC1566" s="2" t="str">
        <f t="shared" si="149"/>
        <v xml:space="preserve"> RINALDO </v>
      </c>
      <c r="AD1566" s="26">
        <f t="shared" si="150"/>
        <v>5</v>
      </c>
      <c r="AE1566" s="26">
        <f t="shared" ca="1" si="151"/>
        <v>1.9575910879648291</v>
      </c>
    </row>
    <row r="1567" spans="1:31" hidden="1">
      <c r="A1567" s="209">
        <v>9515871</v>
      </c>
      <c r="B1567" s="209" t="s">
        <v>81</v>
      </c>
      <c r="C1567" s="210" t="s">
        <v>4210</v>
      </c>
      <c r="D1567" s="214"/>
      <c r="E1567" s="214">
        <v>1153000206001</v>
      </c>
      <c r="F1567" s="209" t="s">
        <v>29</v>
      </c>
      <c r="G1567" s="209" t="s">
        <v>53</v>
      </c>
      <c r="H1567" s="209" t="s">
        <v>1031</v>
      </c>
      <c r="I1567" s="209" t="s">
        <v>1032</v>
      </c>
      <c r="J1567" s="209" t="s">
        <v>79</v>
      </c>
      <c r="K1567" s="210" t="s">
        <v>34</v>
      </c>
      <c r="L1567" s="210"/>
      <c r="M1567" s="209" t="s">
        <v>35</v>
      </c>
      <c r="N1567" s="209">
        <v>42318949</v>
      </c>
      <c r="O1567" s="209" t="s">
        <v>105</v>
      </c>
      <c r="P1567" s="211" t="s">
        <v>4292</v>
      </c>
      <c r="Q1567" s="209"/>
      <c r="R1567" s="209" t="s">
        <v>38</v>
      </c>
      <c r="S1567" s="209"/>
      <c r="T1567" s="209" t="s">
        <v>74</v>
      </c>
      <c r="U1567" s="213">
        <v>44985.718657407408</v>
      </c>
      <c r="V1567" s="209" t="s">
        <v>41</v>
      </c>
      <c r="W1567" s="209" t="s">
        <v>49</v>
      </c>
      <c r="X1567" s="13" t="str">
        <f>IF(RIGHT(H1567,2)&lt;&gt;"00",H1567,"")</f>
        <v/>
      </c>
      <c r="Y1567" s="26">
        <f ca="1">NETWORKDAYS(P1567,$Y$1)</f>
        <v>3</v>
      </c>
      <c r="Z1567" s="34">
        <v>1</v>
      </c>
      <c r="AA1567" s="25" t="str">
        <f t="shared" ca="1" si="147"/>
        <v>A VENCER</v>
      </c>
      <c r="AB1567" s="25" t="str">
        <f t="shared" si="148"/>
        <v>Dosa</v>
      </c>
      <c r="AC1567" s="2" t="str">
        <f t="shared" si="149"/>
        <v xml:space="preserve"> ROSEMERE </v>
      </c>
      <c r="AD1567" s="26">
        <f t="shared" si="150"/>
        <v>5</v>
      </c>
      <c r="AE1567" s="26">
        <f t="shared" ca="1" si="151"/>
        <v>1.9576142361111124</v>
      </c>
    </row>
    <row r="1568" spans="1:31" hidden="1">
      <c r="A1568" s="209">
        <v>9515864</v>
      </c>
      <c r="B1568" s="209" t="s">
        <v>81</v>
      </c>
      <c r="C1568" s="210" t="s">
        <v>4210</v>
      </c>
      <c r="D1568" s="214"/>
      <c r="E1568" s="214">
        <v>1146000206001</v>
      </c>
      <c r="F1568" s="209" t="s">
        <v>29</v>
      </c>
      <c r="G1568" s="209" t="s">
        <v>53</v>
      </c>
      <c r="H1568" s="209" t="s">
        <v>315</v>
      </c>
      <c r="I1568" s="209" t="s">
        <v>316</v>
      </c>
      <c r="J1568" s="209" t="s">
        <v>148</v>
      </c>
      <c r="K1568" s="210" t="s">
        <v>34</v>
      </c>
      <c r="L1568" s="210"/>
      <c r="M1568" s="209" t="s">
        <v>35</v>
      </c>
      <c r="N1568" s="209">
        <v>42318949</v>
      </c>
      <c r="O1568" s="209" t="s">
        <v>105</v>
      </c>
      <c r="P1568" s="211" t="s">
        <v>4293</v>
      </c>
      <c r="Q1568" s="209"/>
      <c r="R1568" s="209" t="s">
        <v>38</v>
      </c>
      <c r="S1568" s="209"/>
      <c r="T1568" s="209" t="s">
        <v>74</v>
      </c>
      <c r="U1568" s="213">
        <v>44985.718645833331</v>
      </c>
      <c r="V1568" s="209" t="s">
        <v>41</v>
      </c>
      <c r="W1568" s="209" t="s">
        <v>49</v>
      </c>
      <c r="X1568" s="13" t="str">
        <f>IF(RIGHT(H1568,2)&lt;&gt;"00",H1568,"")</f>
        <v/>
      </c>
      <c r="Y1568" s="26">
        <f ca="1">NETWORKDAYS(P1568,$Y$1)</f>
        <v>3</v>
      </c>
      <c r="Z1568" s="34">
        <v>1</v>
      </c>
      <c r="AA1568" s="25" t="str">
        <f t="shared" ca="1" si="147"/>
        <v>A VENCER</v>
      </c>
      <c r="AB1568" s="25" t="str">
        <f t="shared" si="148"/>
        <v>Dosa</v>
      </c>
      <c r="AC1568" s="2" t="str">
        <f t="shared" si="149"/>
        <v xml:space="preserve"> RINALDO </v>
      </c>
      <c r="AD1568" s="26">
        <f t="shared" si="150"/>
        <v>5</v>
      </c>
      <c r="AE1568" s="26">
        <f t="shared" ca="1" si="151"/>
        <v>1.9576258101878921</v>
      </c>
    </row>
    <row r="1569" spans="1:31" hidden="1">
      <c r="A1569" s="209">
        <v>9515856</v>
      </c>
      <c r="B1569" s="209" t="s">
        <v>81</v>
      </c>
      <c r="C1569" s="210" t="s">
        <v>4210</v>
      </c>
      <c r="D1569" s="214"/>
      <c r="E1569" s="214">
        <v>1138000206001</v>
      </c>
      <c r="F1569" s="209" t="s">
        <v>29</v>
      </c>
      <c r="G1569" s="209" t="s">
        <v>53</v>
      </c>
      <c r="H1569" s="209" t="s">
        <v>548</v>
      </c>
      <c r="I1569" s="209" t="s">
        <v>549</v>
      </c>
      <c r="J1569" s="209" t="s">
        <v>46</v>
      </c>
      <c r="K1569" s="210" t="s">
        <v>34</v>
      </c>
      <c r="L1569" s="210"/>
      <c r="M1569" s="209" t="s">
        <v>35</v>
      </c>
      <c r="N1569" s="209">
        <v>42318949</v>
      </c>
      <c r="O1569" s="209" t="s">
        <v>105</v>
      </c>
      <c r="P1569" s="211" t="s">
        <v>4295</v>
      </c>
      <c r="Q1569" s="209"/>
      <c r="R1569" s="209" t="s">
        <v>38</v>
      </c>
      <c r="S1569" s="209"/>
      <c r="T1569" s="209" t="s">
        <v>74</v>
      </c>
      <c r="U1569" s="213">
        <v>44985.718634259261</v>
      </c>
      <c r="V1569" s="209" t="s">
        <v>41</v>
      </c>
      <c r="W1569" s="209" t="s">
        <v>49</v>
      </c>
      <c r="X1569" s="13" t="str">
        <f>IF(RIGHT(H1569,2)&lt;&gt;"00",H1569,"")</f>
        <v/>
      </c>
      <c r="Y1569" s="26">
        <f ca="1">NETWORKDAYS(P1569,$Y$1)</f>
        <v>3</v>
      </c>
      <c r="Z1569" s="34">
        <v>1</v>
      </c>
      <c r="AA1569" s="25" t="str">
        <f t="shared" ca="1" si="147"/>
        <v>A VENCER</v>
      </c>
      <c r="AB1569" s="25" t="str">
        <f t="shared" si="148"/>
        <v>Dosa</v>
      </c>
      <c r="AC1569" s="2" t="str">
        <f t="shared" si="149"/>
        <v xml:space="preserve"> CLEITON </v>
      </c>
      <c r="AD1569" s="26">
        <f t="shared" si="150"/>
        <v>5</v>
      </c>
      <c r="AE1569" s="26">
        <f t="shared" ca="1" si="151"/>
        <v>1.9576373842573958</v>
      </c>
    </row>
    <row r="1570" spans="1:31" hidden="1">
      <c r="A1570" s="209">
        <v>9515847</v>
      </c>
      <c r="B1570" s="209" t="s">
        <v>81</v>
      </c>
      <c r="C1570" s="210" t="s">
        <v>4210</v>
      </c>
      <c r="D1570" s="214"/>
      <c r="E1570" s="214">
        <v>1128000206001</v>
      </c>
      <c r="F1570" s="209" t="s">
        <v>29</v>
      </c>
      <c r="G1570" s="209" t="s">
        <v>53</v>
      </c>
      <c r="H1570" s="209" t="s">
        <v>1191</v>
      </c>
      <c r="I1570" s="209" t="s">
        <v>1192</v>
      </c>
      <c r="J1570" s="209" t="s">
        <v>33</v>
      </c>
      <c r="K1570" s="210" t="s">
        <v>34</v>
      </c>
      <c r="L1570" s="210"/>
      <c r="M1570" s="209" t="s">
        <v>35</v>
      </c>
      <c r="N1570" s="209">
        <v>42318949</v>
      </c>
      <c r="O1570" s="209" t="s">
        <v>105</v>
      </c>
      <c r="P1570" s="211" t="s">
        <v>4297</v>
      </c>
      <c r="Q1570" s="209"/>
      <c r="R1570" s="209" t="s">
        <v>38</v>
      </c>
      <c r="S1570" s="209"/>
      <c r="T1570" s="209" t="s">
        <v>74</v>
      </c>
      <c r="U1570" s="213">
        <v>44985.718622685185</v>
      </c>
      <c r="V1570" s="209" t="s">
        <v>41</v>
      </c>
      <c r="W1570" s="209" t="s">
        <v>49</v>
      </c>
      <c r="X1570" s="13" t="str">
        <f>IF(RIGHT(H1570,2)&lt;&gt;"00",H1570,"")</f>
        <v/>
      </c>
      <c r="Y1570" s="26">
        <f ca="1">NETWORKDAYS(P1570,$Y$1)</f>
        <v>3</v>
      </c>
      <c r="Z1570" s="34">
        <v>1</v>
      </c>
      <c r="AA1570" s="25" t="str">
        <f t="shared" ca="1" si="147"/>
        <v>A VENCER</v>
      </c>
      <c r="AB1570" s="25" t="str">
        <f t="shared" si="148"/>
        <v>Dosa</v>
      </c>
      <c r="AC1570" s="2" t="str">
        <f t="shared" si="149"/>
        <v xml:space="preserve"> ROSEMERE </v>
      </c>
      <c r="AD1570" s="26">
        <f t="shared" si="150"/>
        <v>5</v>
      </c>
      <c r="AE1570" s="26">
        <f t="shared" ca="1" si="151"/>
        <v>1.9576489583341754</v>
      </c>
    </row>
    <row r="1571" spans="1:31" hidden="1">
      <c r="A1571" s="209">
        <v>9515839</v>
      </c>
      <c r="B1571" s="209" t="s">
        <v>81</v>
      </c>
      <c r="C1571" s="210" t="s">
        <v>4210</v>
      </c>
      <c r="D1571" s="214"/>
      <c r="E1571" s="214">
        <v>1120000206001</v>
      </c>
      <c r="F1571" s="209" t="s">
        <v>29</v>
      </c>
      <c r="G1571" s="209" t="s">
        <v>53</v>
      </c>
      <c r="H1571" s="209" t="s">
        <v>181</v>
      </c>
      <c r="I1571" s="209" t="s">
        <v>182</v>
      </c>
      <c r="J1571" s="209" t="s">
        <v>164</v>
      </c>
      <c r="K1571" s="210" t="s">
        <v>34</v>
      </c>
      <c r="L1571" s="210"/>
      <c r="M1571" s="209" t="s">
        <v>35</v>
      </c>
      <c r="N1571" s="209">
        <v>42318949</v>
      </c>
      <c r="O1571" s="209" t="s">
        <v>105</v>
      </c>
      <c r="P1571" s="211" t="s">
        <v>4299</v>
      </c>
      <c r="Q1571" s="209"/>
      <c r="R1571" s="209" t="s">
        <v>38</v>
      </c>
      <c r="S1571" s="209"/>
      <c r="T1571" s="209" t="s">
        <v>74</v>
      </c>
      <c r="U1571" s="213">
        <v>44985.718611111108</v>
      </c>
      <c r="V1571" s="209" t="s">
        <v>41</v>
      </c>
      <c r="W1571" s="209" t="s">
        <v>49</v>
      </c>
      <c r="X1571" s="13" t="str">
        <f>IF(RIGHT(H1571,2)&lt;&gt;"00",H1571,"")</f>
        <v/>
      </c>
      <c r="Y1571" s="26">
        <f ca="1">NETWORKDAYS(P1571,$Y$1)</f>
        <v>3</v>
      </c>
      <c r="Z1571" s="34">
        <v>1</v>
      </c>
      <c r="AA1571" s="25" t="str">
        <f t="shared" ca="1" si="147"/>
        <v>A VENCER</v>
      </c>
      <c r="AB1571" s="25" t="str">
        <f t="shared" si="148"/>
        <v>Dosa</v>
      </c>
      <c r="AC1571" s="2" t="str">
        <f t="shared" si="149"/>
        <v xml:space="preserve"> ROSEMERE </v>
      </c>
      <c r="AD1571" s="26">
        <f t="shared" si="150"/>
        <v>5</v>
      </c>
      <c r="AE1571" s="26">
        <f t="shared" ca="1" si="151"/>
        <v>1.9576605324109551</v>
      </c>
    </row>
    <row r="1572" spans="1:31" hidden="1">
      <c r="A1572" s="209">
        <v>9515827</v>
      </c>
      <c r="B1572" s="209" t="s">
        <v>81</v>
      </c>
      <c r="C1572" s="210" t="s">
        <v>4210</v>
      </c>
      <c r="D1572" s="214"/>
      <c r="E1572" s="214">
        <v>1108000206001</v>
      </c>
      <c r="F1572" s="209" t="s">
        <v>29</v>
      </c>
      <c r="G1572" s="209" t="s">
        <v>53</v>
      </c>
      <c r="H1572" s="209" t="s">
        <v>295</v>
      </c>
      <c r="I1572" s="209" t="s">
        <v>296</v>
      </c>
      <c r="J1572" s="209" t="s">
        <v>90</v>
      </c>
      <c r="K1572" s="210" t="s">
        <v>34</v>
      </c>
      <c r="L1572" s="210"/>
      <c r="M1572" s="209" t="s">
        <v>35</v>
      </c>
      <c r="N1572" s="209">
        <v>42318949</v>
      </c>
      <c r="O1572" s="209" t="s">
        <v>105</v>
      </c>
      <c r="P1572" s="211" t="s">
        <v>4301</v>
      </c>
      <c r="Q1572" s="209"/>
      <c r="R1572" s="209" t="s">
        <v>38</v>
      </c>
      <c r="S1572" s="209"/>
      <c r="T1572" s="209" t="s">
        <v>74</v>
      </c>
      <c r="U1572" s="213">
        <v>44985.718599537038</v>
      </c>
      <c r="V1572" s="209" t="s">
        <v>41</v>
      </c>
      <c r="W1572" s="209" t="s">
        <v>49</v>
      </c>
      <c r="X1572" s="13" t="str">
        <f>IF(RIGHT(H1572,2)&lt;&gt;"00",H1572,"")</f>
        <v/>
      </c>
      <c r="Y1572" s="26">
        <f ca="1">NETWORKDAYS(P1572,$Y$1)</f>
        <v>3</v>
      </c>
      <c r="Z1572" s="34">
        <v>1</v>
      </c>
      <c r="AA1572" s="25" t="str">
        <f t="shared" ca="1" si="147"/>
        <v>A VENCER</v>
      </c>
      <c r="AB1572" s="25" t="str">
        <f t="shared" si="148"/>
        <v>Dosa</v>
      </c>
      <c r="AC1572" s="2" t="str">
        <f t="shared" si="149"/>
        <v xml:space="preserve"> RINALDO </v>
      </c>
      <c r="AD1572" s="26">
        <f t="shared" si="150"/>
        <v>5</v>
      </c>
      <c r="AE1572" s="26">
        <f t="shared" ca="1" si="151"/>
        <v>1.9576721064804588</v>
      </c>
    </row>
    <row r="1573" spans="1:31" hidden="1">
      <c r="A1573" s="209">
        <v>9515793</v>
      </c>
      <c r="B1573" s="209" t="s">
        <v>81</v>
      </c>
      <c r="C1573" s="210" t="s">
        <v>4210</v>
      </c>
      <c r="D1573" s="214"/>
      <c r="E1573" s="214">
        <v>1069000206001</v>
      </c>
      <c r="F1573" s="209" t="s">
        <v>29</v>
      </c>
      <c r="G1573" s="209" t="s">
        <v>53</v>
      </c>
      <c r="H1573" s="209" t="s">
        <v>353</v>
      </c>
      <c r="I1573" s="209" t="s">
        <v>354</v>
      </c>
      <c r="J1573" s="209" t="s">
        <v>211</v>
      </c>
      <c r="K1573" s="210" t="s">
        <v>34</v>
      </c>
      <c r="L1573" s="210"/>
      <c r="M1573" s="209" t="s">
        <v>35</v>
      </c>
      <c r="N1573" s="209">
        <v>42318949</v>
      </c>
      <c r="O1573" s="209" t="s">
        <v>105</v>
      </c>
      <c r="P1573" s="211" t="s">
        <v>4303</v>
      </c>
      <c r="Q1573" s="209"/>
      <c r="R1573" s="209" t="s">
        <v>38</v>
      </c>
      <c r="S1573" s="209"/>
      <c r="T1573" s="209" t="s">
        <v>74</v>
      </c>
      <c r="U1573" s="213">
        <v>44985.718553240738</v>
      </c>
      <c r="V1573" s="209" t="s">
        <v>41</v>
      </c>
      <c r="W1573" s="209" t="s">
        <v>49</v>
      </c>
      <c r="X1573" s="13" t="str">
        <f>IF(RIGHT(H1573,2)&lt;&gt;"00",H1573,"")</f>
        <v/>
      </c>
      <c r="Y1573" s="26">
        <f ca="1">NETWORKDAYS(P1573,$Y$1)</f>
        <v>3</v>
      </c>
      <c r="Z1573" s="34">
        <v>1</v>
      </c>
      <c r="AA1573" s="25" t="str">
        <f t="shared" ca="1" si="147"/>
        <v>A VENCER</v>
      </c>
      <c r="AB1573" s="25" t="str">
        <f t="shared" si="148"/>
        <v>Dosa</v>
      </c>
      <c r="AC1573" s="2" t="str">
        <f t="shared" si="149"/>
        <v xml:space="preserve"> RINALDO </v>
      </c>
      <c r="AD1573" s="26">
        <f t="shared" si="150"/>
        <v>5</v>
      </c>
      <c r="AE1573" s="26">
        <f t="shared" ca="1" si="151"/>
        <v>1.9577184027803014</v>
      </c>
    </row>
    <row r="1574" spans="1:31" hidden="1">
      <c r="A1574" s="209">
        <v>9515786</v>
      </c>
      <c r="B1574" s="209" t="s">
        <v>81</v>
      </c>
      <c r="C1574" s="210" t="s">
        <v>4210</v>
      </c>
      <c r="D1574" s="214"/>
      <c r="E1574" s="214">
        <v>1061000206001</v>
      </c>
      <c r="F1574" s="209" t="s">
        <v>29</v>
      </c>
      <c r="G1574" s="209" t="s">
        <v>53</v>
      </c>
      <c r="H1574" s="209" t="s">
        <v>166</v>
      </c>
      <c r="I1574" s="209" t="s">
        <v>167</v>
      </c>
      <c r="J1574" s="209" t="s">
        <v>85</v>
      </c>
      <c r="K1574" s="210" t="s">
        <v>34</v>
      </c>
      <c r="L1574" s="210"/>
      <c r="M1574" s="209" t="s">
        <v>35</v>
      </c>
      <c r="N1574" s="209">
        <v>42318949</v>
      </c>
      <c r="O1574" s="209" t="s">
        <v>105</v>
      </c>
      <c r="P1574" s="211" t="s">
        <v>4304</v>
      </c>
      <c r="Q1574" s="209"/>
      <c r="R1574" s="209" t="s">
        <v>38</v>
      </c>
      <c r="S1574" s="209"/>
      <c r="T1574" s="209" t="s">
        <v>74</v>
      </c>
      <c r="U1574" s="213">
        <v>44985.718553240738</v>
      </c>
      <c r="V1574" s="209" t="s">
        <v>41</v>
      </c>
      <c r="W1574" s="209" t="s">
        <v>49</v>
      </c>
      <c r="X1574" s="13" t="str">
        <f>IF(RIGHT(H1574,2)&lt;&gt;"00",H1574,"")</f>
        <v/>
      </c>
      <c r="Y1574" s="26">
        <f ca="1">NETWORKDAYS(P1574,$Y$1)</f>
        <v>3</v>
      </c>
      <c r="Z1574" s="34">
        <v>1</v>
      </c>
      <c r="AA1574" s="25" t="str">
        <f t="shared" ca="1" si="147"/>
        <v>A VENCER</v>
      </c>
      <c r="AB1574" s="25" t="str">
        <f t="shared" si="148"/>
        <v>Dosa</v>
      </c>
      <c r="AC1574" s="2" t="str">
        <f t="shared" si="149"/>
        <v xml:space="preserve"> RINALDO </v>
      </c>
      <c r="AD1574" s="26">
        <f t="shared" si="150"/>
        <v>5</v>
      </c>
      <c r="AE1574" s="26">
        <f t="shared" ca="1" si="151"/>
        <v>1.9577299768498051</v>
      </c>
    </row>
    <row r="1575" spans="1:31" hidden="1">
      <c r="A1575" s="209">
        <v>9515785</v>
      </c>
      <c r="B1575" s="209" t="s">
        <v>81</v>
      </c>
      <c r="C1575" s="210" t="s">
        <v>4210</v>
      </c>
      <c r="D1575" s="214"/>
      <c r="E1575" s="214">
        <v>1060000206001</v>
      </c>
      <c r="F1575" s="209" t="s">
        <v>29</v>
      </c>
      <c r="G1575" s="209" t="s">
        <v>53</v>
      </c>
      <c r="H1575" s="209" t="s">
        <v>284</v>
      </c>
      <c r="I1575" s="209" t="s">
        <v>285</v>
      </c>
      <c r="J1575" s="209" t="s">
        <v>148</v>
      </c>
      <c r="K1575" s="210" t="s">
        <v>34</v>
      </c>
      <c r="L1575" s="210"/>
      <c r="M1575" s="209" t="s">
        <v>35</v>
      </c>
      <c r="N1575" s="209">
        <v>42318949</v>
      </c>
      <c r="O1575" s="209" t="s">
        <v>105</v>
      </c>
      <c r="P1575" s="211" t="s">
        <v>4304</v>
      </c>
      <c r="Q1575" s="209"/>
      <c r="R1575" s="209" t="s">
        <v>38</v>
      </c>
      <c r="S1575" s="209"/>
      <c r="T1575" s="209" t="s">
        <v>74</v>
      </c>
      <c r="U1575" s="213">
        <v>44985.718541666669</v>
      </c>
      <c r="V1575" s="209" t="s">
        <v>41</v>
      </c>
      <c r="W1575" s="209" t="s">
        <v>49</v>
      </c>
      <c r="X1575" s="13" t="str">
        <f>IF(RIGHT(H1575,2)&lt;&gt;"00",H1575,"")</f>
        <v/>
      </c>
      <c r="Y1575" s="26">
        <f ca="1">NETWORKDAYS(P1575,$Y$1)</f>
        <v>3</v>
      </c>
      <c r="Z1575" s="34">
        <v>1</v>
      </c>
      <c r="AA1575" s="25" t="str">
        <f t="shared" ca="1" si="147"/>
        <v>A VENCER</v>
      </c>
      <c r="AB1575" s="25" t="str">
        <f t="shared" si="148"/>
        <v>Dosa</v>
      </c>
      <c r="AC1575" s="2" t="str">
        <f t="shared" si="149"/>
        <v xml:space="preserve"> RINALDO </v>
      </c>
      <c r="AD1575" s="26">
        <f t="shared" si="150"/>
        <v>5</v>
      </c>
      <c r="AE1575" s="26">
        <f t="shared" ca="1" si="151"/>
        <v>1.9577299768498051</v>
      </c>
    </row>
    <row r="1576" spans="1:31" hidden="1">
      <c r="A1576" s="209">
        <v>9515784</v>
      </c>
      <c r="B1576" s="209" t="s">
        <v>81</v>
      </c>
      <c r="C1576" s="210" t="s">
        <v>4210</v>
      </c>
      <c r="D1576" s="214"/>
      <c r="E1576" s="214">
        <v>1059000206001</v>
      </c>
      <c r="F1576" s="209" t="s">
        <v>29</v>
      </c>
      <c r="G1576" s="209" t="s">
        <v>53</v>
      </c>
      <c r="H1576" s="209" t="s">
        <v>88</v>
      </c>
      <c r="I1576" s="209" t="s">
        <v>89</v>
      </c>
      <c r="J1576" s="209" t="s">
        <v>90</v>
      </c>
      <c r="K1576" s="210" t="s">
        <v>34</v>
      </c>
      <c r="L1576" s="210"/>
      <c r="M1576" s="209" t="s">
        <v>35</v>
      </c>
      <c r="N1576" s="209">
        <v>42318949</v>
      </c>
      <c r="O1576" s="209" t="s">
        <v>105</v>
      </c>
      <c r="P1576" s="211" t="s">
        <v>4304</v>
      </c>
      <c r="Q1576" s="209"/>
      <c r="R1576" s="209" t="s">
        <v>38</v>
      </c>
      <c r="S1576" s="209"/>
      <c r="T1576" s="209" t="s">
        <v>74</v>
      </c>
      <c r="U1576" s="213">
        <v>44985.718541666669</v>
      </c>
      <c r="V1576" s="209" t="s">
        <v>41</v>
      </c>
      <c r="W1576" s="209" t="s">
        <v>49</v>
      </c>
      <c r="X1576" s="13" t="str">
        <f>IF(RIGHT(H1576,2)&lt;&gt;"00",H1576,"")</f>
        <v/>
      </c>
      <c r="Y1576" s="26">
        <f ca="1">NETWORKDAYS(P1576,$Y$1)</f>
        <v>3</v>
      </c>
      <c r="Z1576" s="34">
        <v>1</v>
      </c>
      <c r="AA1576" s="25" t="str">
        <f t="shared" ca="1" si="147"/>
        <v>A VENCER</v>
      </c>
      <c r="AB1576" s="25" t="str">
        <f t="shared" si="148"/>
        <v>Dosa</v>
      </c>
      <c r="AC1576" s="2" t="str">
        <f t="shared" si="149"/>
        <v xml:space="preserve"> RINALDO </v>
      </c>
      <c r="AD1576" s="26">
        <f t="shared" si="150"/>
        <v>5</v>
      </c>
      <c r="AE1576" s="26">
        <f t="shared" ca="1" si="151"/>
        <v>1.9577299768498051</v>
      </c>
    </row>
    <row r="1577" spans="1:31" hidden="1">
      <c r="A1577" s="209">
        <v>9515783</v>
      </c>
      <c r="B1577" s="209" t="s">
        <v>81</v>
      </c>
      <c r="C1577" s="210" t="s">
        <v>4210</v>
      </c>
      <c r="D1577" s="214"/>
      <c r="E1577" s="214">
        <v>1058000206001</v>
      </c>
      <c r="F1577" s="209" t="s">
        <v>29</v>
      </c>
      <c r="G1577" s="209" t="s">
        <v>53</v>
      </c>
      <c r="H1577" s="209" t="s">
        <v>289</v>
      </c>
      <c r="I1577" s="209" t="s">
        <v>290</v>
      </c>
      <c r="J1577" s="209" t="s">
        <v>56</v>
      </c>
      <c r="K1577" s="210" t="s">
        <v>34</v>
      </c>
      <c r="L1577" s="210"/>
      <c r="M1577" s="209" t="s">
        <v>35</v>
      </c>
      <c r="N1577" s="209">
        <v>42318949</v>
      </c>
      <c r="O1577" s="209" t="s">
        <v>105</v>
      </c>
      <c r="P1577" s="211" t="s">
        <v>4304</v>
      </c>
      <c r="Q1577" s="209"/>
      <c r="R1577" s="209" t="s">
        <v>38</v>
      </c>
      <c r="S1577" s="209"/>
      <c r="T1577" s="209" t="s">
        <v>74</v>
      </c>
      <c r="U1577" s="213">
        <v>44985.718541666669</v>
      </c>
      <c r="V1577" s="209" t="s">
        <v>41</v>
      </c>
      <c r="W1577" s="209" t="s">
        <v>49</v>
      </c>
      <c r="X1577" s="13" t="str">
        <f>IF(RIGHT(H1577,2)&lt;&gt;"00",H1577,"")</f>
        <v/>
      </c>
      <c r="Y1577" s="26">
        <f ca="1">NETWORKDAYS(P1577,$Y$1)</f>
        <v>3</v>
      </c>
      <c r="Z1577" s="34">
        <v>1</v>
      </c>
      <c r="AA1577" s="25" t="str">
        <f t="shared" ca="1" si="147"/>
        <v>A VENCER</v>
      </c>
      <c r="AB1577" s="25" t="str">
        <f t="shared" si="148"/>
        <v>Dosa</v>
      </c>
      <c r="AC1577" s="2" t="str">
        <f t="shared" si="149"/>
        <v xml:space="preserve"> CRISTINA </v>
      </c>
      <c r="AD1577" s="26">
        <f t="shared" si="150"/>
        <v>5</v>
      </c>
      <c r="AE1577" s="26">
        <f t="shared" ca="1" si="151"/>
        <v>1.9577299768498051</v>
      </c>
    </row>
    <row r="1578" spans="1:31" hidden="1">
      <c r="A1578" s="209">
        <v>9515776</v>
      </c>
      <c r="B1578" s="209" t="s">
        <v>81</v>
      </c>
      <c r="C1578" s="210" t="s">
        <v>4210</v>
      </c>
      <c r="D1578" s="214"/>
      <c r="E1578" s="214">
        <v>1052000206001</v>
      </c>
      <c r="F1578" s="209" t="s">
        <v>29</v>
      </c>
      <c r="G1578" s="209" t="s">
        <v>53</v>
      </c>
      <c r="H1578" s="209" t="s">
        <v>329</v>
      </c>
      <c r="I1578" s="209" t="s">
        <v>330</v>
      </c>
      <c r="J1578" s="209" t="s">
        <v>79</v>
      </c>
      <c r="K1578" s="210" t="s">
        <v>34</v>
      </c>
      <c r="L1578" s="210"/>
      <c r="M1578" s="209" t="s">
        <v>35</v>
      </c>
      <c r="N1578" s="209">
        <v>42318949</v>
      </c>
      <c r="O1578" s="209" t="s">
        <v>105</v>
      </c>
      <c r="P1578" s="211" t="s">
        <v>4306</v>
      </c>
      <c r="Q1578" s="209"/>
      <c r="R1578" s="209" t="s">
        <v>38</v>
      </c>
      <c r="S1578" s="209"/>
      <c r="T1578" s="209" t="s">
        <v>74</v>
      </c>
      <c r="U1578" s="213">
        <v>44985.718530092592</v>
      </c>
      <c r="V1578" s="209" t="s">
        <v>41</v>
      </c>
      <c r="W1578" s="209" t="s">
        <v>49</v>
      </c>
      <c r="X1578" s="13" t="str">
        <f>IF(RIGHT(H1578,2)&lt;&gt;"00",H1578,"")</f>
        <v/>
      </c>
      <c r="Y1578" s="26">
        <f ca="1">NETWORKDAYS(P1578,$Y$1)</f>
        <v>3</v>
      </c>
      <c r="Z1578" s="34">
        <v>1</v>
      </c>
      <c r="AA1578" s="25" t="str">
        <f t="shared" ca="1" si="147"/>
        <v>A VENCER</v>
      </c>
      <c r="AB1578" s="25" t="str">
        <f t="shared" si="148"/>
        <v>Dosa</v>
      </c>
      <c r="AC1578" s="2" t="str">
        <f t="shared" si="149"/>
        <v xml:space="preserve"> ROSEMERE </v>
      </c>
      <c r="AD1578" s="26">
        <f t="shared" si="150"/>
        <v>5</v>
      </c>
      <c r="AE1578" s="26">
        <f t="shared" ca="1" si="151"/>
        <v>1.9577415509265848</v>
      </c>
    </row>
    <row r="1579" spans="1:31" hidden="1">
      <c r="A1579" s="209">
        <v>9515772</v>
      </c>
      <c r="B1579" s="209" t="s">
        <v>81</v>
      </c>
      <c r="C1579" s="210" t="s">
        <v>4210</v>
      </c>
      <c r="D1579" s="214"/>
      <c r="E1579" s="214">
        <v>1049000206001</v>
      </c>
      <c r="F1579" s="209" t="s">
        <v>29</v>
      </c>
      <c r="G1579" s="209" t="s">
        <v>53</v>
      </c>
      <c r="H1579" s="209" t="s">
        <v>169</v>
      </c>
      <c r="I1579" s="209" t="s">
        <v>170</v>
      </c>
      <c r="J1579" s="209" t="s">
        <v>164</v>
      </c>
      <c r="K1579" s="210" t="s">
        <v>34</v>
      </c>
      <c r="L1579" s="210"/>
      <c r="M1579" s="209" t="s">
        <v>35</v>
      </c>
      <c r="N1579" s="209">
        <v>42318949</v>
      </c>
      <c r="O1579" s="209" t="s">
        <v>105</v>
      </c>
      <c r="P1579" s="211" t="s">
        <v>4306</v>
      </c>
      <c r="Q1579" s="209"/>
      <c r="R1579" s="209" t="s">
        <v>38</v>
      </c>
      <c r="S1579" s="209"/>
      <c r="T1579" s="209" t="s">
        <v>74</v>
      </c>
      <c r="U1579" s="213">
        <v>44985.718530092592</v>
      </c>
      <c r="V1579" s="209" t="s">
        <v>41</v>
      </c>
      <c r="W1579" s="209" t="s">
        <v>49</v>
      </c>
      <c r="X1579" s="13" t="str">
        <f>IF(RIGHT(H1579,2)&lt;&gt;"00",H1579,"")</f>
        <v/>
      </c>
      <c r="Y1579" s="26">
        <f ca="1">NETWORKDAYS(P1579,$Y$1)</f>
        <v>3</v>
      </c>
      <c r="Z1579" s="34">
        <v>1</v>
      </c>
      <c r="AA1579" s="25" t="str">
        <f t="shared" ca="1" si="147"/>
        <v>A VENCER</v>
      </c>
      <c r="AB1579" s="25" t="str">
        <f t="shared" si="148"/>
        <v>Dosa</v>
      </c>
      <c r="AC1579" s="2" t="str">
        <f t="shared" si="149"/>
        <v xml:space="preserve"> ROSEMERE </v>
      </c>
      <c r="AD1579" s="26">
        <f t="shared" si="150"/>
        <v>5</v>
      </c>
      <c r="AE1579" s="26">
        <f t="shared" ca="1" si="151"/>
        <v>1.9577415509265848</v>
      </c>
    </row>
    <row r="1580" spans="1:31" hidden="1">
      <c r="A1580" s="209">
        <v>9515754</v>
      </c>
      <c r="B1580" s="209" t="s">
        <v>81</v>
      </c>
      <c r="C1580" s="210" t="s">
        <v>4210</v>
      </c>
      <c r="D1580" s="214"/>
      <c r="E1580" s="214">
        <v>1028000206001</v>
      </c>
      <c r="F1580" s="209" t="s">
        <v>29</v>
      </c>
      <c r="G1580" s="209" t="s">
        <v>53</v>
      </c>
      <c r="H1580" s="209" t="s">
        <v>1079</v>
      </c>
      <c r="I1580" s="209" t="s">
        <v>1080</v>
      </c>
      <c r="J1580" s="209" t="s">
        <v>85</v>
      </c>
      <c r="K1580" s="210" t="s">
        <v>34</v>
      </c>
      <c r="L1580" s="210"/>
      <c r="M1580" s="209" t="s">
        <v>35</v>
      </c>
      <c r="N1580" s="209">
        <v>42318949</v>
      </c>
      <c r="O1580" s="209" t="s">
        <v>105</v>
      </c>
      <c r="P1580" s="211" t="s">
        <v>4308</v>
      </c>
      <c r="Q1580" s="209"/>
      <c r="R1580" s="209" t="s">
        <v>38</v>
      </c>
      <c r="S1580" s="209"/>
      <c r="T1580" s="209" t="s">
        <v>74</v>
      </c>
      <c r="U1580" s="213">
        <v>44985.718506944446</v>
      </c>
      <c r="V1580" s="209" t="s">
        <v>41</v>
      </c>
      <c r="W1580" s="209" t="s">
        <v>49</v>
      </c>
      <c r="X1580" s="13" t="str">
        <f>IF(RIGHT(H1580,2)&lt;&gt;"00",H1580,"")</f>
        <v/>
      </c>
      <c r="Y1580" s="26">
        <f ca="1">NETWORKDAYS(P1580,$Y$1)</f>
        <v>3</v>
      </c>
      <c r="Z1580" s="34">
        <v>1</v>
      </c>
      <c r="AA1580" s="25" t="str">
        <f t="shared" ca="1" si="147"/>
        <v>A VENCER</v>
      </c>
      <c r="AB1580" s="25" t="str">
        <f t="shared" si="148"/>
        <v>Dosa</v>
      </c>
      <c r="AC1580" s="2" t="str">
        <f t="shared" si="149"/>
        <v xml:space="preserve"> RINALDO </v>
      </c>
      <c r="AD1580" s="26">
        <f t="shared" si="150"/>
        <v>5</v>
      </c>
      <c r="AE1580" s="26">
        <f t="shared" ca="1" si="151"/>
        <v>1.9577646990728681</v>
      </c>
    </row>
    <row r="1581" spans="1:31" hidden="1">
      <c r="A1581" s="209">
        <v>9515739</v>
      </c>
      <c r="B1581" s="209" t="s">
        <v>81</v>
      </c>
      <c r="C1581" s="210" t="s">
        <v>4210</v>
      </c>
      <c r="D1581" s="214"/>
      <c r="E1581" s="214">
        <v>1012000206001</v>
      </c>
      <c r="F1581" s="209" t="s">
        <v>29</v>
      </c>
      <c r="G1581" s="209" t="s">
        <v>53</v>
      </c>
      <c r="H1581" s="209" t="s">
        <v>172</v>
      </c>
      <c r="I1581" s="209" t="s">
        <v>173</v>
      </c>
      <c r="J1581" s="209" t="s">
        <v>164</v>
      </c>
      <c r="K1581" s="210" t="s">
        <v>34</v>
      </c>
      <c r="L1581" s="210"/>
      <c r="M1581" s="209" t="s">
        <v>35</v>
      </c>
      <c r="N1581" s="209">
        <v>42318949</v>
      </c>
      <c r="O1581" s="209" t="s">
        <v>105</v>
      </c>
      <c r="P1581" s="211" t="s">
        <v>4310</v>
      </c>
      <c r="Q1581" s="209"/>
      <c r="R1581" s="209" t="s">
        <v>38</v>
      </c>
      <c r="S1581" s="209"/>
      <c r="T1581" s="209" t="s">
        <v>74</v>
      </c>
      <c r="U1581" s="213">
        <v>44985.718495370369</v>
      </c>
      <c r="V1581" s="209" t="s">
        <v>41</v>
      </c>
      <c r="W1581" s="209" t="s">
        <v>49</v>
      </c>
      <c r="X1581" s="13" t="str">
        <f>IF(RIGHT(H1581,2)&lt;&gt;"00",H1581,"")</f>
        <v/>
      </c>
      <c r="Y1581" s="26">
        <f ca="1">NETWORKDAYS(P1581,$Y$1)</f>
        <v>3</v>
      </c>
      <c r="Z1581" s="34">
        <v>1</v>
      </c>
      <c r="AA1581" s="25" t="str">
        <f t="shared" ca="1" si="147"/>
        <v>A VENCER</v>
      </c>
      <c r="AB1581" s="25" t="str">
        <f t="shared" si="148"/>
        <v>Dosa</v>
      </c>
      <c r="AC1581" s="2" t="str">
        <f t="shared" si="149"/>
        <v xml:space="preserve"> ROSEMERE </v>
      </c>
      <c r="AD1581" s="26">
        <f t="shared" si="150"/>
        <v>5</v>
      </c>
      <c r="AE1581" s="26">
        <f t="shared" ca="1" si="151"/>
        <v>1.9577878472191514</v>
      </c>
    </row>
    <row r="1582" spans="1:31" hidden="1">
      <c r="A1582" s="209">
        <v>9515738</v>
      </c>
      <c r="B1582" s="209" t="s">
        <v>81</v>
      </c>
      <c r="C1582" s="210" t="s">
        <v>4210</v>
      </c>
      <c r="D1582" s="214"/>
      <c r="E1582" s="214">
        <v>1011000206001</v>
      </c>
      <c r="F1582" s="209" t="s">
        <v>29</v>
      </c>
      <c r="G1582" s="209" t="s">
        <v>53</v>
      </c>
      <c r="H1582" s="209" t="s">
        <v>272</v>
      </c>
      <c r="I1582" s="209" t="s">
        <v>273</v>
      </c>
      <c r="J1582" s="209" t="s">
        <v>33</v>
      </c>
      <c r="K1582" s="210" t="s">
        <v>34</v>
      </c>
      <c r="L1582" s="210"/>
      <c r="M1582" s="209" t="s">
        <v>35</v>
      </c>
      <c r="N1582" s="209">
        <v>42318949</v>
      </c>
      <c r="O1582" s="209" t="s">
        <v>105</v>
      </c>
      <c r="P1582" s="211" t="s">
        <v>4310</v>
      </c>
      <c r="Q1582" s="209"/>
      <c r="R1582" s="209" t="s">
        <v>38</v>
      </c>
      <c r="S1582" s="209"/>
      <c r="T1582" s="209" t="s">
        <v>74</v>
      </c>
      <c r="U1582" s="213">
        <v>44985.7184837963</v>
      </c>
      <c r="V1582" s="209" t="s">
        <v>41</v>
      </c>
      <c r="W1582" s="209" t="s">
        <v>49</v>
      </c>
      <c r="X1582" s="13" t="str">
        <f>IF(RIGHT(H1582,2)&lt;&gt;"00",H1582,"")</f>
        <v/>
      </c>
      <c r="Y1582" s="26">
        <f ca="1">NETWORKDAYS(P1582,$Y$1)</f>
        <v>3</v>
      </c>
      <c r="Z1582" s="34">
        <v>1</v>
      </c>
      <c r="AA1582" s="25" t="str">
        <f t="shared" ca="1" si="147"/>
        <v>A VENCER</v>
      </c>
      <c r="AB1582" s="25" t="str">
        <f t="shared" si="148"/>
        <v>Dosa</v>
      </c>
      <c r="AC1582" s="2" t="str">
        <f t="shared" si="149"/>
        <v xml:space="preserve"> ROSEMERE </v>
      </c>
      <c r="AD1582" s="26">
        <f t="shared" si="150"/>
        <v>5</v>
      </c>
      <c r="AE1582" s="26">
        <f t="shared" ca="1" si="151"/>
        <v>1.9577878472191514</v>
      </c>
    </row>
    <row r="1583" spans="1:31" hidden="1">
      <c r="A1583" s="209">
        <v>9515707</v>
      </c>
      <c r="B1583" s="209" t="s">
        <v>81</v>
      </c>
      <c r="C1583" s="210" t="s">
        <v>4210</v>
      </c>
      <c r="D1583" s="214"/>
      <c r="E1583" s="214">
        <v>981000206001</v>
      </c>
      <c r="F1583" s="209" t="s">
        <v>29</v>
      </c>
      <c r="G1583" s="209" t="s">
        <v>53</v>
      </c>
      <c r="H1583" s="209" t="s">
        <v>410</v>
      </c>
      <c r="I1583" s="209" t="s">
        <v>411</v>
      </c>
      <c r="J1583" s="209" t="s">
        <v>85</v>
      </c>
      <c r="K1583" s="210" t="s">
        <v>34</v>
      </c>
      <c r="L1583" s="210"/>
      <c r="M1583" s="209" t="s">
        <v>35</v>
      </c>
      <c r="N1583" s="209">
        <v>42318949</v>
      </c>
      <c r="O1583" s="209" t="s">
        <v>105</v>
      </c>
      <c r="P1583" s="211" t="s">
        <v>4313</v>
      </c>
      <c r="Q1583" s="209"/>
      <c r="R1583" s="209" t="s">
        <v>38</v>
      </c>
      <c r="S1583" s="209"/>
      <c r="T1583" s="209" t="s">
        <v>74</v>
      </c>
      <c r="U1583" s="213">
        <v>44985.718449074076</v>
      </c>
      <c r="V1583" s="209" t="s">
        <v>41</v>
      </c>
      <c r="W1583" s="209" t="s">
        <v>49</v>
      </c>
      <c r="X1583" s="13" t="str">
        <f>IF(RIGHT(H1583,2)&lt;&gt;"00",H1583,"")</f>
        <v/>
      </c>
      <c r="Y1583" s="26">
        <f ca="1">NETWORKDAYS(P1583,$Y$1)</f>
        <v>3</v>
      </c>
      <c r="Z1583" s="34">
        <v>1</v>
      </c>
      <c r="AA1583" s="25" t="str">
        <f t="shared" ca="1" si="147"/>
        <v>A VENCER</v>
      </c>
      <c r="AB1583" s="25" t="str">
        <f t="shared" si="148"/>
        <v>Dosa</v>
      </c>
      <c r="AC1583" s="2" t="str">
        <f t="shared" si="149"/>
        <v xml:space="preserve"> RINALDO </v>
      </c>
      <c r="AD1583" s="26">
        <f t="shared" si="150"/>
        <v>5</v>
      </c>
      <c r="AE1583" s="26">
        <f t="shared" ca="1" si="151"/>
        <v>1.9578225694422144</v>
      </c>
    </row>
    <row r="1584" spans="1:31" hidden="1">
      <c r="A1584" s="209">
        <v>9515687</v>
      </c>
      <c r="B1584" s="209" t="s">
        <v>81</v>
      </c>
      <c r="C1584" s="210" t="s">
        <v>4210</v>
      </c>
      <c r="D1584" s="214"/>
      <c r="E1584" s="214">
        <v>963000206001</v>
      </c>
      <c r="F1584" s="209" t="s">
        <v>29</v>
      </c>
      <c r="G1584" s="209" t="s">
        <v>53</v>
      </c>
      <c r="H1584" s="209" t="s">
        <v>531</v>
      </c>
      <c r="I1584" s="209" t="s">
        <v>532</v>
      </c>
      <c r="J1584" s="209" t="s">
        <v>33</v>
      </c>
      <c r="K1584" s="210" t="s">
        <v>34</v>
      </c>
      <c r="L1584" s="210"/>
      <c r="M1584" s="209" t="s">
        <v>35</v>
      </c>
      <c r="N1584" s="209">
        <v>42318949</v>
      </c>
      <c r="O1584" s="209" t="s">
        <v>105</v>
      </c>
      <c r="P1584" s="211" t="s">
        <v>4315</v>
      </c>
      <c r="Q1584" s="209"/>
      <c r="R1584" s="209" t="s">
        <v>38</v>
      </c>
      <c r="S1584" s="209"/>
      <c r="T1584" s="209" t="s">
        <v>74</v>
      </c>
      <c r="U1584" s="213">
        <v>44985.718414351853</v>
      </c>
      <c r="V1584" s="209" t="s">
        <v>41</v>
      </c>
      <c r="W1584" s="209" t="s">
        <v>49</v>
      </c>
      <c r="X1584" s="13" t="str">
        <f>IF(RIGHT(H1584,2)&lt;&gt;"00",H1584,"")</f>
        <v/>
      </c>
      <c r="Y1584" s="26">
        <f ca="1">NETWORKDAYS(P1584,$Y$1)</f>
        <v>3</v>
      </c>
      <c r="Z1584" s="34">
        <v>1</v>
      </c>
      <c r="AA1584" s="25" t="str">
        <f t="shared" ca="1" si="147"/>
        <v>A VENCER</v>
      </c>
      <c r="AB1584" s="25" t="str">
        <f t="shared" si="148"/>
        <v>Dosa</v>
      </c>
      <c r="AC1584" s="2" t="str">
        <f t="shared" si="149"/>
        <v xml:space="preserve"> ROSEMERE </v>
      </c>
      <c r="AD1584" s="26">
        <f t="shared" si="150"/>
        <v>5</v>
      </c>
      <c r="AE1584" s="26">
        <f t="shared" ca="1" si="151"/>
        <v>1.9578572916652774</v>
      </c>
    </row>
    <row r="1585" spans="1:31" hidden="1">
      <c r="A1585" s="209">
        <v>9515655</v>
      </c>
      <c r="B1585" s="209" t="s">
        <v>81</v>
      </c>
      <c r="C1585" s="210" t="s">
        <v>4210</v>
      </c>
      <c r="D1585" s="214"/>
      <c r="E1585" s="214">
        <v>934000206001</v>
      </c>
      <c r="F1585" s="209" t="s">
        <v>29</v>
      </c>
      <c r="G1585" s="209" t="s">
        <v>53</v>
      </c>
      <c r="H1585" s="209" t="s">
        <v>428</v>
      </c>
      <c r="I1585" s="209" t="s">
        <v>429</v>
      </c>
      <c r="J1585" s="209" t="s">
        <v>46</v>
      </c>
      <c r="K1585" s="210" t="s">
        <v>34</v>
      </c>
      <c r="L1585" s="210"/>
      <c r="M1585" s="209" t="s">
        <v>35</v>
      </c>
      <c r="N1585" s="209">
        <v>42318949</v>
      </c>
      <c r="O1585" s="209" t="s">
        <v>105</v>
      </c>
      <c r="P1585" s="211" t="s">
        <v>4317</v>
      </c>
      <c r="Q1585" s="209"/>
      <c r="R1585" s="209" t="s">
        <v>38</v>
      </c>
      <c r="S1585" s="209"/>
      <c r="T1585" s="209" t="s">
        <v>74</v>
      </c>
      <c r="U1585" s="213">
        <v>44985.718368055554</v>
      </c>
      <c r="V1585" s="209" t="s">
        <v>41</v>
      </c>
      <c r="W1585" s="209" t="s">
        <v>49</v>
      </c>
      <c r="X1585" s="13" t="str">
        <f>IF(RIGHT(H1585,2)&lt;&gt;"00",H1585,"")</f>
        <v/>
      </c>
      <c r="Y1585" s="26">
        <f ca="1">NETWORKDAYS(P1585,$Y$1)</f>
        <v>3</v>
      </c>
      <c r="Z1585" s="34">
        <v>1</v>
      </c>
      <c r="AA1585" s="25" t="str">
        <f t="shared" ca="1" si="147"/>
        <v>A VENCER</v>
      </c>
      <c r="AB1585" s="25" t="str">
        <f t="shared" si="148"/>
        <v>Dosa</v>
      </c>
      <c r="AC1585" s="2" t="str">
        <f t="shared" si="149"/>
        <v xml:space="preserve"> CLEITON </v>
      </c>
      <c r="AD1585" s="26">
        <f t="shared" si="150"/>
        <v>5</v>
      </c>
      <c r="AE1585" s="26">
        <f t="shared" ca="1" si="151"/>
        <v>1.9579035879651201</v>
      </c>
    </row>
    <row r="1586" spans="1:31" hidden="1">
      <c r="A1586" s="209">
        <v>9515641</v>
      </c>
      <c r="B1586" s="209" t="s">
        <v>81</v>
      </c>
      <c r="C1586" s="210" t="s">
        <v>4210</v>
      </c>
      <c r="D1586" s="214"/>
      <c r="E1586" s="214">
        <v>922000206001</v>
      </c>
      <c r="F1586" s="209" t="s">
        <v>29</v>
      </c>
      <c r="G1586" s="209" t="s">
        <v>53</v>
      </c>
      <c r="H1586" s="209" t="s">
        <v>1375</v>
      </c>
      <c r="I1586" s="209" t="s">
        <v>1376</v>
      </c>
      <c r="J1586" s="209" t="s">
        <v>261</v>
      </c>
      <c r="K1586" s="210" t="s">
        <v>34</v>
      </c>
      <c r="L1586" s="210"/>
      <c r="M1586" s="209" t="s">
        <v>35</v>
      </c>
      <c r="N1586" s="209">
        <v>42318949</v>
      </c>
      <c r="O1586" s="209" t="s">
        <v>105</v>
      </c>
      <c r="P1586" s="211" t="s">
        <v>4319</v>
      </c>
      <c r="Q1586" s="209"/>
      <c r="R1586" s="209" t="s">
        <v>38</v>
      </c>
      <c r="S1586" s="209"/>
      <c r="T1586" s="209" t="s">
        <v>74</v>
      </c>
      <c r="U1586" s="213">
        <v>44985.718344907407</v>
      </c>
      <c r="V1586" s="209" t="s">
        <v>41</v>
      </c>
      <c r="W1586" s="209" t="s">
        <v>49</v>
      </c>
      <c r="X1586" s="13" t="str">
        <f>IF(RIGHT(H1586,2)&lt;&gt;"00",H1586,"")</f>
        <v/>
      </c>
      <c r="Y1586" s="26">
        <f ca="1">NETWORKDAYS(P1586,$Y$1)</f>
        <v>3</v>
      </c>
      <c r="Z1586" s="34">
        <v>1</v>
      </c>
      <c r="AA1586" s="25" t="str">
        <f t="shared" ca="1" si="147"/>
        <v>A VENCER</v>
      </c>
      <c r="AB1586" s="25" t="str">
        <f t="shared" si="148"/>
        <v>Dosa</v>
      </c>
      <c r="AC1586" s="2" t="str">
        <f t="shared" si="149"/>
        <v xml:space="preserve"> CRISTINA </v>
      </c>
      <c r="AD1586" s="26">
        <f t="shared" si="150"/>
        <v>5</v>
      </c>
      <c r="AE1586" s="26">
        <f t="shared" ca="1" si="151"/>
        <v>1.9579267361114034</v>
      </c>
    </row>
    <row r="1587" spans="1:31" hidden="1">
      <c r="A1587" s="209">
        <v>9515635</v>
      </c>
      <c r="B1587" s="209" t="s">
        <v>81</v>
      </c>
      <c r="C1587" s="210" t="s">
        <v>4210</v>
      </c>
      <c r="D1587" s="214"/>
      <c r="E1587" s="214">
        <v>917000206001</v>
      </c>
      <c r="F1587" s="209" t="s">
        <v>29</v>
      </c>
      <c r="G1587" s="209" t="s">
        <v>53</v>
      </c>
      <c r="H1587" s="209" t="s">
        <v>83</v>
      </c>
      <c r="I1587" s="209" t="s">
        <v>84</v>
      </c>
      <c r="J1587" s="209" t="s">
        <v>85</v>
      </c>
      <c r="K1587" s="210" t="s">
        <v>34</v>
      </c>
      <c r="L1587" s="210"/>
      <c r="M1587" s="209" t="s">
        <v>35</v>
      </c>
      <c r="N1587" s="209">
        <v>42318949</v>
      </c>
      <c r="O1587" s="209" t="s">
        <v>105</v>
      </c>
      <c r="P1587" s="211" t="s">
        <v>4321</v>
      </c>
      <c r="Q1587" s="209"/>
      <c r="R1587" s="209" t="s">
        <v>38</v>
      </c>
      <c r="S1587" s="209"/>
      <c r="T1587" s="209" t="s">
        <v>74</v>
      </c>
      <c r="U1587" s="213">
        <v>44985.718333333331</v>
      </c>
      <c r="V1587" s="209" t="s">
        <v>41</v>
      </c>
      <c r="W1587" s="209" t="s">
        <v>49</v>
      </c>
      <c r="X1587" s="13" t="str">
        <f>IF(RIGHT(H1587,2)&lt;&gt;"00",H1587,"")</f>
        <v/>
      </c>
      <c r="Y1587" s="26">
        <f ca="1">NETWORKDAYS(P1587,$Y$1)</f>
        <v>3</v>
      </c>
      <c r="Z1587" s="34">
        <v>1</v>
      </c>
      <c r="AA1587" s="25" t="str">
        <f t="shared" ca="1" si="147"/>
        <v>A VENCER</v>
      </c>
      <c r="AB1587" s="25" t="str">
        <f t="shared" si="148"/>
        <v>Dosa</v>
      </c>
      <c r="AC1587" s="2" t="str">
        <f t="shared" si="149"/>
        <v xml:space="preserve"> RINALDO </v>
      </c>
      <c r="AD1587" s="26">
        <f t="shared" si="150"/>
        <v>5</v>
      </c>
      <c r="AE1587" s="26">
        <f t="shared" ca="1" si="151"/>
        <v>1.9579383101881831</v>
      </c>
    </row>
    <row r="1588" spans="1:31" hidden="1">
      <c r="A1588" s="209">
        <v>9515617</v>
      </c>
      <c r="B1588" s="209" t="s">
        <v>81</v>
      </c>
      <c r="C1588" s="210" t="s">
        <v>4210</v>
      </c>
      <c r="D1588" s="214"/>
      <c r="E1588" s="214">
        <v>899000206001</v>
      </c>
      <c r="F1588" s="209" t="s">
        <v>29</v>
      </c>
      <c r="G1588" s="209" t="s">
        <v>53</v>
      </c>
      <c r="H1588" s="209" t="s">
        <v>175</v>
      </c>
      <c r="I1588" s="209" t="s">
        <v>176</v>
      </c>
      <c r="J1588" s="209" t="s">
        <v>90</v>
      </c>
      <c r="K1588" s="210" t="s">
        <v>34</v>
      </c>
      <c r="L1588" s="210"/>
      <c r="M1588" s="209" t="s">
        <v>35</v>
      </c>
      <c r="N1588" s="209">
        <v>42318949</v>
      </c>
      <c r="O1588" s="209" t="s">
        <v>105</v>
      </c>
      <c r="P1588" s="211" t="s">
        <v>4323</v>
      </c>
      <c r="Q1588" s="209"/>
      <c r="R1588" s="209" t="s">
        <v>38</v>
      </c>
      <c r="S1588" s="209"/>
      <c r="T1588" s="209" t="s">
        <v>74</v>
      </c>
      <c r="U1588" s="213">
        <v>44985.718310185184</v>
      </c>
      <c r="V1588" s="209" t="s">
        <v>41</v>
      </c>
      <c r="W1588" s="209" t="s">
        <v>49</v>
      </c>
      <c r="X1588" s="13" t="str">
        <f>IF(RIGHT(H1588,2)&lt;&gt;"00",H1588,"")</f>
        <v/>
      </c>
      <c r="Y1588" s="26">
        <f ca="1">NETWORKDAYS(P1588,$Y$1)</f>
        <v>3</v>
      </c>
      <c r="Z1588" s="34">
        <v>1</v>
      </c>
      <c r="AA1588" s="25" t="str">
        <f t="shared" ca="1" si="147"/>
        <v>A VENCER</v>
      </c>
      <c r="AB1588" s="25" t="str">
        <f t="shared" si="148"/>
        <v>Dosa</v>
      </c>
      <c r="AC1588" s="2" t="str">
        <f t="shared" si="149"/>
        <v xml:space="preserve"> RINALDO </v>
      </c>
      <c r="AD1588" s="26">
        <f t="shared" si="150"/>
        <v>5</v>
      </c>
      <c r="AE1588" s="26">
        <f t="shared" ca="1" si="151"/>
        <v>1.9579614583344664</v>
      </c>
    </row>
    <row r="1589" spans="1:31" hidden="1">
      <c r="A1589" s="209">
        <v>9515587</v>
      </c>
      <c r="B1589" s="209" t="s">
        <v>81</v>
      </c>
      <c r="C1589" s="210" t="s">
        <v>4210</v>
      </c>
      <c r="D1589" s="214"/>
      <c r="E1589" s="214">
        <v>870000206001</v>
      </c>
      <c r="F1589" s="209" t="s">
        <v>29</v>
      </c>
      <c r="G1589" s="209" t="s">
        <v>53</v>
      </c>
      <c r="H1589" s="209" t="s">
        <v>183</v>
      </c>
      <c r="I1589" s="209" t="s">
        <v>184</v>
      </c>
      <c r="J1589" s="209" t="s">
        <v>90</v>
      </c>
      <c r="K1589" s="210" t="s">
        <v>34</v>
      </c>
      <c r="L1589" s="210"/>
      <c r="M1589" s="209" t="s">
        <v>35</v>
      </c>
      <c r="N1589" s="209">
        <v>42318949</v>
      </c>
      <c r="O1589" s="209" t="s">
        <v>105</v>
      </c>
      <c r="P1589" s="211" t="s">
        <v>4325</v>
      </c>
      <c r="Q1589" s="209"/>
      <c r="R1589" s="209" t="s">
        <v>38</v>
      </c>
      <c r="S1589" s="209"/>
      <c r="T1589" s="209" t="s">
        <v>74</v>
      </c>
      <c r="U1589" s="213">
        <v>44985.718275462961</v>
      </c>
      <c r="V1589" s="209" t="s">
        <v>41</v>
      </c>
      <c r="W1589" s="209" t="s">
        <v>49</v>
      </c>
      <c r="X1589" s="13" t="str">
        <f>IF(RIGHT(H1589,2)&lt;&gt;"00",H1589,"")</f>
        <v/>
      </c>
      <c r="Y1589" s="26">
        <f ca="1">NETWORKDAYS(P1589,$Y$1)</f>
        <v>3</v>
      </c>
      <c r="Z1589" s="34">
        <v>1</v>
      </c>
      <c r="AA1589" s="25" t="str">
        <f t="shared" ca="1" si="147"/>
        <v>A VENCER</v>
      </c>
      <c r="AB1589" s="25" t="str">
        <f t="shared" si="148"/>
        <v>Dosa</v>
      </c>
      <c r="AC1589" s="2" t="str">
        <f t="shared" si="149"/>
        <v xml:space="preserve"> RINALDO </v>
      </c>
      <c r="AD1589" s="26">
        <f t="shared" si="150"/>
        <v>5</v>
      </c>
      <c r="AE1589" s="26">
        <f t="shared" ca="1" si="151"/>
        <v>1.9580077546270331</v>
      </c>
    </row>
    <row r="1590" spans="1:31" hidden="1">
      <c r="A1590" s="209">
        <v>9515543</v>
      </c>
      <c r="B1590" s="209" t="s">
        <v>81</v>
      </c>
      <c r="C1590" s="210" t="s">
        <v>4210</v>
      </c>
      <c r="D1590" s="214"/>
      <c r="E1590" s="214">
        <v>834000206001</v>
      </c>
      <c r="F1590" s="209" t="s">
        <v>29</v>
      </c>
      <c r="G1590" s="209" t="s">
        <v>53</v>
      </c>
      <c r="H1590" s="209" t="s">
        <v>367</v>
      </c>
      <c r="I1590" s="209" t="s">
        <v>368</v>
      </c>
      <c r="J1590" s="209" t="s">
        <v>261</v>
      </c>
      <c r="K1590" s="210" t="s">
        <v>34</v>
      </c>
      <c r="L1590" s="210"/>
      <c r="M1590" s="209" t="s">
        <v>35</v>
      </c>
      <c r="N1590" s="209">
        <v>42318949</v>
      </c>
      <c r="O1590" s="209" t="s">
        <v>105</v>
      </c>
      <c r="P1590" s="211" t="s">
        <v>4327</v>
      </c>
      <c r="Q1590" s="209"/>
      <c r="R1590" s="209" t="s">
        <v>38</v>
      </c>
      <c r="S1590" s="209"/>
      <c r="T1590" s="209" t="s">
        <v>74</v>
      </c>
      <c r="U1590" s="213">
        <v>44985.718206018515</v>
      </c>
      <c r="V1590" s="209" t="s">
        <v>41</v>
      </c>
      <c r="W1590" s="209" t="s">
        <v>49</v>
      </c>
      <c r="X1590" s="13" t="str">
        <f>IF(RIGHT(H1590,2)&lt;&gt;"00",H1590,"")</f>
        <v/>
      </c>
      <c r="Y1590" s="26">
        <f ca="1">NETWORKDAYS(P1590,$Y$1)</f>
        <v>3</v>
      </c>
      <c r="Z1590" s="34">
        <v>1</v>
      </c>
      <c r="AA1590" s="25" t="str">
        <f t="shared" ca="1" si="147"/>
        <v>A VENCER</v>
      </c>
      <c r="AB1590" s="25" t="str">
        <f t="shared" si="148"/>
        <v>Dosa</v>
      </c>
      <c r="AC1590" s="2" t="str">
        <f t="shared" si="149"/>
        <v xml:space="preserve"> CRISTINA </v>
      </c>
      <c r="AD1590" s="26">
        <f t="shared" si="150"/>
        <v>5</v>
      </c>
      <c r="AE1590" s="26">
        <f t="shared" ca="1" si="151"/>
        <v>1.9580656250036554</v>
      </c>
    </row>
    <row r="1591" spans="1:31" hidden="1">
      <c r="A1591" s="209">
        <v>9515531</v>
      </c>
      <c r="B1591" s="209" t="s">
        <v>81</v>
      </c>
      <c r="C1591" s="210" t="s">
        <v>4210</v>
      </c>
      <c r="D1591" s="214"/>
      <c r="E1591" s="214">
        <v>821000206001</v>
      </c>
      <c r="F1591" s="209" t="s">
        <v>29</v>
      </c>
      <c r="G1591" s="209" t="s">
        <v>53</v>
      </c>
      <c r="H1591" s="209" t="s">
        <v>1351</v>
      </c>
      <c r="I1591" s="209" t="s">
        <v>1352</v>
      </c>
      <c r="J1591" s="209" t="s">
        <v>46</v>
      </c>
      <c r="K1591" s="210" t="s">
        <v>34</v>
      </c>
      <c r="L1591" s="210"/>
      <c r="M1591" s="209" t="s">
        <v>35</v>
      </c>
      <c r="N1591" s="209">
        <v>42318949</v>
      </c>
      <c r="O1591" s="209" t="s">
        <v>105</v>
      </c>
      <c r="P1591" s="211" t="s">
        <v>4329</v>
      </c>
      <c r="Q1591" s="209"/>
      <c r="R1591" s="209" t="s">
        <v>38</v>
      </c>
      <c r="S1591" s="209"/>
      <c r="T1591" s="209" t="s">
        <v>74</v>
      </c>
      <c r="U1591" s="213">
        <v>44985.718182870369</v>
      </c>
      <c r="V1591" s="209" t="s">
        <v>41</v>
      </c>
      <c r="W1591" s="209" t="s">
        <v>49</v>
      </c>
      <c r="X1591" s="13" t="str">
        <f>IF(RIGHT(H1591,2)&lt;&gt;"00",H1591,"")</f>
        <v/>
      </c>
      <c r="Y1591" s="26">
        <f ca="1">NETWORKDAYS(P1591,$Y$1)</f>
        <v>3</v>
      </c>
      <c r="Z1591" s="34">
        <v>1</v>
      </c>
      <c r="AA1591" s="25" t="str">
        <f t="shared" ca="1" si="147"/>
        <v>A VENCER</v>
      </c>
      <c r="AB1591" s="25" t="str">
        <f t="shared" si="148"/>
        <v>Dosa</v>
      </c>
      <c r="AC1591" s="2" t="str">
        <f t="shared" si="149"/>
        <v xml:space="preserve"> CLEITON </v>
      </c>
      <c r="AD1591" s="26">
        <f t="shared" si="150"/>
        <v>5</v>
      </c>
      <c r="AE1591" s="26">
        <f t="shared" ca="1" si="151"/>
        <v>1.9580887731499388</v>
      </c>
    </row>
    <row r="1592" spans="1:31" hidden="1">
      <c r="A1592" s="209">
        <v>9515429</v>
      </c>
      <c r="B1592" s="209" t="s">
        <v>81</v>
      </c>
      <c r="C1592" s="210" t="s">
        <v>4210</v>
      </c>
      <c r="D1592" s="214"/>
      <c r="E1592" s="214">
        <v>721000206001</v>
      </c>
      <c r="F1592" s="209" t="s">
        <v>29</v>
      </c>
      <c r="G1592" s="209" t="s">
        <v>53</v>
      </c>
      <c r="H1592" s="209" t="s">
        <v>422</v>
      </c>
      <c r="I1592" s="209" t="s">
        <v>423</v>
      </c>
      <c r="J1592" s="209" t="s">
        <v>79</v>
      </c>
      <c r="K1592" s="210" t="s">
        <v>34</v>
      </c>
      <c r="L1592" s="210"/>
      <c r="M1592" s="209" t="s">
        <v>35</v>
      </c>
      <c r="N1592" s="209">
        <v>42318949</v>
      </c>
      <c r="O1592" s="209" t="s">
        <v>105</v>
      </c>
      <c r="P1592" s="211" t="s">
        <v>4330</v>
      </c>
      <c r="Q1592" s="209"/>
      <c r="R1592" s="209" t="s">
        <v>38</v>
      </c>
      <c r="S1592" s="209"/>
      <c r="T1592" s="209" t="s">
        <v>74</v>
      </c>
      <c r="U1592" s="213">
        <v>44985.71802083333</v>
      </c>
      <c r="V1592" s="209" t="s">
        <v>41</v>
      </c>
      <c r="W1592" s="209" t="s">
        <v>49</v>
      </c>
      <c r="X1592" s="13" t="str">
        <f>IF(RIGHT(H1592,2)&lt;&gt;"00",H1592,"")</f>
        <v/>
      </c>
      <c r="Y1592" s="26">
        <f ca="1">NETWORKDAYS(P1592,$Y$1)</f>
        <v>3</v>
      </c>
      <c r="Z1592" s="34">
        <v>1</v>
      </c>
      <c r="AA1592" s="25" t="str">
        <f t="shared" ca="1" si="147"/>
        <v>A VENCER</v>
      </c>
      <c r="AB1592" s="25" t="str">
        <f t="shared" si="148"/>
        <v>Dosa</v>
      </c>
      <c r="AC1592" s="2" t="str">
        <f t="shared" si="149"/>
        <v xml:space="preserve"> ROSEMERE </v>
      </c>
      <c r="AD1592" s="26">
        <f t="shared" si="150"/>
        <v>5</v>
      </c>
      <c r="AE1592" s="26">
        <f t="shared" ca="1" si="151"/>
        <v>1.9582508101884741</v>
      </c>
    </row>
    <row r="1593" spans="1:31" hidden="1">
      <c r="A1593" s="209">
        <v>9515421</v>
      </c>
      <c r="B1593" s="209" t="s">
        <v>81</v>
      </c>
      <c r="C1593" s="210" t="s">
        <v>4210</v>
      </c>
      <c r="D1593" s="214"/>
      <c r="E1593" s="214">
        <v>714000206001</v>
      </c>
      <c r="F1593" s="209" t="s">
        <v>29</v>
      </c>
      <c r="G1593" s="209" t="s">
        <v>53</v>
      </c>
      <c r="H1593" s="209" t="s">
        <v>377</v>
      </c>
      <c r="I1593" s="209" t="s">
        <v>378</v>
      </c>
      <c r="J1593" s="209" t="s">
        <v>46</v>
      </c>
      <c r="K1593" s="210" t="s">
        <v>34</v>
      </c>
      <c r="L1593" s="210"/>
      <c r="M1593" s="209" t="s">
        <v>35</v>
      </c>
      <c r="N1593" s="209">
        <v>42318949</v>
      </c>
      <c r="O1593" s="209" t="s">
        <v>105</v>
      </c>
      <c r="P1593" s="211" t="s">
        <v>4331</v>
      </c>
      <c r="Q1593" s="209"/>
      <c r="R1593" s="209" t="s">
        <v>38</v>
      </c>
      <c r="S1593" s="209"/>
      <c r="T1593" s="209" t="s">
        <v>74</v>
      </c>
      <c r="U1593" s="213">
        <v>44985.718009259261</v>
      </c>
      <c r="V1593" s="209" t="s">
        <v>41</v>
      </c>
      <c r="W1593" s="209" t="s">
        <v>49</v>
      </c>
      <c r="X1593" s="13" t="str">
        <f>IF(RIGHT(H1593,2)&lt;&gt;"00",H1593,"")</f>
        <v/>
      </c>
      <c r="Y1593" s="26">
        <f ca="1">NETWORKDAYS(P1593,$Y$1)</f>
        <v>3</v>
      </c>
      <c r="Z1593" s="34">
        <v>1</v>
      </c>
      <c r="AA1593" s="25" t="str">
        <f t="shared" ca="1" si="147"/>
        <v>A VENCER</v>
      </c>
      <c r="AB1593" s="25" t="str">
        <f t="shared" si="148"/>
        <v>Dosa</v>
      </c>
      <c r="AC1593" s="2" t="str">
        <f t="shared" si="149"/>
        <v xml:space="preserve"> CLEITON </v>
      </c>
      <c r="AD1593" s="26">
        <f t="shared" si="150"/>
        <v>5</v>
      </c>
      <c r="AE1593" s="26">
        <f t="shared" ca="1" si="151"/>
        <v>1.9582623842579778</v>
      </c>
    </row>
    <row r="1594" spans="1:31" hidden="1">
      <c r="A1594" s="209">
        <v>9515417</v>
      </c>
      <c r="B1594" s="209" t="s">
        <v>81</v>
      </c>
      <c r="C1594" s="210" t="s">
        <v>4210</v>
      </c>
      <c r="D1594" s="214"/>
      <c r="E1594" s="214">
        <v>711000206001</v>
      </c>
      <c r="F1594" s="209" t="s">
        <v>29</v>
      </c>
      <c r="G1594" s="209" t="s">
        <v>53</v>
      </c>
      <c r="H1594" s="209" t="s">
        <v>77</v>
      </c>
      <c r="I1594" s="209" t="s">
        <v>78</v>
      </c>
      <c r="J1594" s="209" t="s">
        <v>79</v>
      </c>
      <c r="K1594" s="210" t="s">
        <v>34</v>
      </c>
      <c r="L1594" s="210"/>
      <c r="M1594" s="209" t="s">
        <v>35</v>
      </c>
      <c r="N1594" s="209">
        <v>42318949</v>
      </c>
      <c r="O1594" s="209" t="s">
        <v>105</v>
      </c>
      <c r="P1594" s="211" t="s">
        <v>4333</v>
      </c>
      <c r="Q1594" s="209"/>
      <c r="R1594" s="209" t="s">
        <v>38</v>
      </c>
      <c r="S1594" s="209"/>
      <c r="T1594" s="209" t="s">
        <v>74</v>
      </c>
      <c r="U1594" s="213">
        <v>44985.717997685184</v>
      </c>
      <c r="V1594" s="209" t="s">
        <v>41</v>
      </c>
      <c r="W1594" s="209" t="s">
        <v>49</v>
      </c>
      <c r="X1594" s="13" t="str">
        <f>IF(RIGHT(H1594,2)&lt;&gt;"00",H1594,"")</f>
        <v/>
      </c>
      <c r="Y1594" s="26">
        <f ca="1">NETWORKDAYS(P1594,$Y$1)</f>
        <v>3</v>
      </c>
      <c r="Z1594" s="34">
        <v>1</v>
      </c>
      <c r="AA1594" s="25" t="str">
        <f t="shared" ca="1" si="147"/>
        <v>A VENCER</v>
      </c>
      <c r="AB1594" s="25" t="str">
        <f t="shared" si="148"/>
        <v>Dosa</v>
      </c>
      <c r="AC1594" s="2" t="str">
        <f t="shared" si="149"/>
        <v xml:space="preserve"> ROSEMERE </v>
      </c>
      <c r="AD1594" s="26">
        <f t="shared" si="150"/>
        <v>5</v>
      </c>
      <c r="AE1594" s="26">
        <f t="shared" ca="1" si="151"/>
        <v>1.9582739583347575</v>
      </c>
    </row>
    <row r="1595" spans="1:31" hidden="1">
      <c r="A1595" s="209">
        <v>9515416</v>
      </c>
      <c r="B1595" s="209" t="s">
        <v>81</v>
      </c>
      <c r="C1595" s="210" t="s">
        <v>4210</v>
      </c>
      <c r="D1595" s="214"/>
      <c r="E1595" s="214">
        <v>710000206001</v>
      </c>
      <c r="F1595" s="209" t="s">
        <v>29</v>
      </c>
      <c r="G1595" s="209" t="s">
        <v>53</v>
      </c>
      <c r="H1595" s="209" t="s">
        <v>390</v>
      </c>
      <c r="I1595" s="209" t="s">
        <v>391</v>
      </c>
      <c r="J1595" s="209" t="s">
        <v>56</v>
      </c>
      <c r="K1595" s="210" t="s">
        <v>34</v>
      </c>
      <c r="L1595" s="210"/>
      <c r="M1595" s="209" t="s">
        <v>35</v>
      </c>
      <c r="N1595" s="209">
        <v>42318949</v>
      </c>
      <c r="O1595" s="209" t="s">
        <v>105</v>
      </c>
      <c r="P1595" s="211" t="s">
        <v>4333</v>
      </c>
      <c r="Q1595" s="209"/>
      <c r="R1595" s="209" t="s">
        <v>38</v>
      </c>
      <c r="S1595" s="209"/>
      <c r="T1595" s="209" t="s">
        <v>74</v>
      </c>
      <c r="U1595" s="213">
        <v>44985.717997685184</v>
      </c>
      <c r="V1595" s="209" t="s">
        <v>41</v>
      </c>
      <c r="W1595" s="209" t="s">
        <v>49</v>
      </c>
      <c r="X1595" s="13" t="str">
        <f>IF(RIGHT(H1595,2)&lt;&gt;"00",H1595,"")</f>
        <v/>
      </c>
      <c r="Y1595" s="26">
        <f ca="1">NETWORKDAYS(P1595,$Y$1)</f>
        <v>3</v>
      </c>
      <c r="Z1595" s="34">
        <v>1</v>
      </c>
      <c r="AA1595" s="25" t="str">
        <f t="shared" ca="1" si="147"/>
        <v>A VENCER</v>
      </c>
      <c r="AB1595" s="25" t="str">
        <f t="shared" si="148"/>
        <v>Dosa</v>
      </c>
      <c r="AC1595" s="2" t="str">
        <f t="shared" si="149"/>
        <v xml:space="preserve"> CRISTINA </v>
      </c>
      <c r="AD1595" s="26">
        <f t="shared" si="150"/>
        <v>5</v>
      </c>
      <c r="AE1595" s="26">
        <f t="shared" ca="1" si="151"/>
        <v>1.9582739583347575</v>
      </c>
    </row>
    <row r="1596" spans="1:31" hidden="1">
      <c r="A1596" s="209">
        <v>9515402</v>
      </c>
      <c r="B1596" s="209" t="s">
        <v>81</v>
      </c>
      <c r="C1596" s="210" t="s">
        <v>4210</v>
      </c>
      <c r="D1596" s="214"/>
      <c r="E1596" s="214">
        <v>697000206001</v>
      </c>
      <c r="F1596" s="209" t="s">
        <v>29</v>
      </c>
      <c r="G1596" s="209" t="s">
        <v>53</v>
      </c>
      <c r="H1596" s="209" t="s">
        <v>65</v>
      </c>
      <c r="I1596" s="209" t="s">
        <v>66</v>
      </c>
      <c r="J1596" s="209" t="s">
        <v>46</v>
      </c>
      <c r="K1596" s="210" t="s">
        <v>34</v>
      </c>
      <c r="L1596" s="210"/>
      <c r="M1596" s="209" t="s">
        <v>35</v>
      </c>
      <c r="N1596" s="209">
        <v>42318949</v>
      </c>
      <c r="O1596" s="209" t="s">
        <v>105</v>
      </c>
      <c r="P1596" s="211" t="s">
        <v>4335</v>
      </c>
      <c r="Q1596" s="209"/>
      <c r="R1596" s="209" t="s">
        <v>38</v>
      </c>
      <c r="S1596" s="209"/>
      <c r="T1596" s="209" t="s">
        <v>74</v>
      </c>
      <c r="U1596" s="213">
        <v>44985.717974537038</v>
      </c>
      <c r="V1596" s="209" t="s">
        <v>41</v>
      </c>
      <c r="W1596" s="209" t="s">
        <v>49</v>
      </c>
      <c r="X1596" s="13" t="str">
        <f>IF(RIGHT(H1596,2)&lt;&gt;"00",H1596,"")</f>
        <v/>
      </c>
      <c r="Y1596" s="26">
        <f ca="1">NETWORKDAYS(P1596,$Y$1)</f>
        <v>3</v>
      </c>
      <c r="Z1596" s="34">
        <v>1</v>
      </c>
      <c r="AA1596" s="25" t="str">
        <f t="shared" ca="1" si="147"/>
        <v>A VENCER</v>
      </c>
      <c r="AB1596" s="25" t="str">
        <f t="shared" si="148"/>
        <v>Dosa</v>
      </c>
      <c r="AC1596" s="2" t="str">
        <f t="shared" si="149"/>
        <v xml:space="preserve"> CLEITON </v>
      </c>
      <c r="AD1596" s="26">
        <f t="shared" si="150"/>
        <v>5</v>
      </c>
      <c r="AE1596" s="26">
        <f t="shared" ca="1" si="151"/>
        <v>1.9582971064810408</v>
      </c>
    </row>
    <row r="1597" spans="1:31" hidden="1">
      <c r="A1597" s="209">
        <v>9515378</v>
      </c>
      <c r="B1597" s="209" t="s">
        <v>81</v>
      </c>
      <c r="C1597" s="210" t="s">
        <v>4210</v>
      </c>
      <c r="D1597" s="214"/>
      <c r="E1597" s="214">
        <v>673000206001</v>
      </c>
      <c r="F1597" s="209" t="s">
        <v>29</v>
      </c>
      <c r="G1597" s="209" t="s">
        <v>53</v>
      </c>
      <c r="H1597" s="209" t="s">
        <v>581</v>
      </c>
      <c r="I1597" s="209" t="s">
        <v>582</v>
      </c>
      <c r="J1597" s="209" t="s">
        <v>110</v>
      </c>
      <c r="K1597" s="210" t="s">
        <v>34</v>
      </c>
      <c r="L1597" s="210"/>
      <c r="M1597" s="209" t="s">
        <v>35</v>
      </c>
      <c r="N1597" s="209">
        <v>42318949</v>
      </c>
      <c r="O1597" s="209" t="s">
        <v>105</v>
      </c>
      <c r="P1597" s="211" t="s">
        <v>4337</v>
      </c>
      <c r="Q1597" s="209"/>
      <c r="R1597" s="209" t="s">
        <v>38</v>
      </c>
      <c r="S1597" s="209"/>
      <c r="T1597" s="209" t="s">
        <v>74</v>
      </c>
      <c r="U1597" s="213">
        <v>44985.717928240738</v>
      </c>
      <c r="V1597" s="209" t="s">
        <v>41</v>
      </c>
      <c r="W1597" s="209" t="s">
        <v>49</v>
      </c>
      <c r="X1597" s="13" t="str">
        <f>IF(RIGHT(H1597,2)&lt;&gt;"00",H1597,"")</f>
        <v/>
      </c>
      <c r="Y1597" s="26">
        <f ca="1">NETWORKDAYS(P1597,$Y$1)</f>
        <v>3</v>
      </c>
      <c r="Z1597" s="34">
        <v>1</v>
      </c>
      <c r="AA1597" s="25" t="str">
        <f t="shared" ca="1" si="147"/>
        <v>A VENCER</v>
      </c>
      <c r="AB1597" s="25" t="str">
        <f t="shared" si="148"/>
        <v>Dosa</v>
      </c>
      <c r="AC1597" s="2" t="str">
        <f t="shared" si="149"/>
        <v xml:space="preserve"> CRISTINA </v>
      </c>
      <c r="AD1597" s="26">
        <f t="shared" si="150"/>
        <v>5</v>
      </c>
      <c r="AE1597" s="26">
        <f t="shared" ca="1" si="151"/>
        <v>1.9583434027808835</v>
      </c>
    </row>
    <row r="1598" spans="1:31" hidden="1">
      <c r="A1598" s="209">
        <v>9515303</v>
      </c>
      <c r="B1598" s="209" t="s">
        <v>81</v>
      </c>
      <c r="C1598" s="210" t="s">
        <v>4210</v>
      </c>
      <c r="D1598" s="214"/>
      <c r="E1598" s="214">
        <v>608000206001</v>
      </c>
      <c r="F1598" s="209" t="s">
        <v>29</v>
      </c>
      <c r="G1598" s="209" t="s">
        <v>53</v>
      </c>
      <c r="H1598" s="209" t="s">
        <v>438</v>
      </c>
      <c r="I1598" s="209" t="s">
        <v>439</v>
      </c>
      <c r="J1598" s="209" t="s">
        <v>148</v>
      </c>
      <c r="K1598" s="210" t="s">
        <v>34</v>
      </c>
      <c r="L1598" s="210"/>
      <c r="M1598" s="209" t="s">
        <v>35</v>
      </c>
      <c r="N1598" s="209">
        <v>42318949</v>
      </c>
      <c r="O1598" s="209" t="s">
        <v>105</v>
      </c>
      <c r="P1598" s="211" t="s">
        <v>4339</v>
      </c>
      <c r="Q1598" s="209"/>
      <c r="R1598" s="209" t="s">
        <v>38</v>
      </c>
      <c r="S1598" s="209"/>
      <c r="T1598" s="209" t="s">
        <v>74</v>
      </c>
      <c r="U1598" s="213">
        <v>44985.717800925922</v>
      </c>
      <c r="V1598" s="209" t="s">
        <v>41</v>
      </c>
      <c r="W1598" s="209" t="s">
        <v>49</v>
      </c>
      <c r="X1598" s="13" t="str">
        <f>IF(RIGHT(H1598,2)&lt;&gt;"00",H1598,"")</f>
        <v/>
      </c>
      <c r="Y1598" s="26">
        <f ca="1">NETWORKDAYS(P1598,$Y$1)</f>
        <v>3</v>
      </c>
      <c r="Z1598" s="34">
        <v>1</v>
      </c>
      <c r="AA1598" s="25" t="str">
        <f t="shared" ca="1" si="147"/>
        <v>A VENCER</v>
      </c>
      <c r="AB1598" s="25" t="str">
        <f t="shared" si="148"/>
        <v>Dosa</v>
      </c>
      <c r="AC1598" s="2" t="str">
        <f t="shared" si="149"/>
        <v xml:space="preserve"> RINALDO </v>
      </c>
      <c r="AD1598" s="26">
        <f t="shared" si="150"/>
        <v>5</v>
      </c>
      <c r="AE1598" s="26">
        <f t="shared" ca="1" si="151"/>
        <v>1.9584707175963558</v>
      </c>
    </row>
    <row r="1599" spans="1:31" hidden="1">
      <c r="A1599" s="209">
        <v>9515300</v>
      </c>
      <c r="B1599" s="209" t="s">
        <v>81</v>
      </c>
      <c r="C1599" s="210" t="s">
        <v>4210</v>
      </c>
      <c r="D1599" s="214"/>
      <c r="E1599" s="214">
        <v>605000206001</v>
      </c>
      <c r="F1599" s="209" t="s">
        <v>29</v>
      </c>
      <c r="G1599" s="209" t="s">
        <v>53</v>
      </c>
      <c r="H1599" s="209" t="s">
        <v>420</v>
      </c>
      <c r="I1599" s="209" t="s">
        <v>421</v>
      </c>
      <c r="J1599" s="209" t="s">
        <v>90</v>
      </c>
      <c r="K1599" s="210" t="s">
        <v>34</v>
      </c>
      <c r="L1599" s="210"/>
      <c r="M1599" s="209" t="s">
        <v>35</v>
      </c>
      <c r="N1599" s="209">
        <v>42318949</v>
      </c>
      <c r="O1599" s="209" t="s">
        <v>105</v>
      </c>
      <c r="P1599" s="211" t="s">
        <v>4339</v>
      </c>
      <c r="Q1599" s="209"/>
      <c r="R1599" s="209" t="s">
        <v>38</v>
      </c>
      <c r="S1599" s="209"/>
      <c r="T1599" s="209" t="s">
        <v>74</v>
      </c>
      <c r="U1599" s="213">
        <v>44985.717800925922</v>
      </c>
      <c r="V1599" s="209" t="s">
        <v>41</v>
      </c>
      <c r="W1599" s="209" t="s">
        <v>49</v>
      </c>
      <c r="X1599" s="13" t="str">
        <f>IF(RIGHT(H1599,2)&lt;&gt;"00",H1599,"")</f>
        <v/>
      </c>
      <c r="Y1599" s="26">
        <f ca="1">NETWORKDAYS(P1599,$Y$1)</f>
        <v>3</v>
      </c>
      <c r="Z1599" s="34">
        <v>1</v>
      </c>
      <c r="AA1599" s="25" t="str">
        <f t="shared" ca="1" si="147"/>
        <v>A VENCER</v>
      </c>
      <c r="AB1599" s="25" t="str">
        <f t="shared" si="148"/>
        <v>Dosa</v>
      </c>
      <c r="AC1599" s="2" t="str">
        <f t="shared" si="149"/>
        <v xml:space="preserve"> RINALDO </v>
      </c>
      <c r="AD1599" s="26">
        <f t="shared" si="150"/>
        <v>5</v>
      </c>
      <c r="AE1599" s="26">
        <f t="shared" ca="1" si="151"/>
        <v>1.9584707175963558</v>
      </c>
    </row>
    <row r="1600" spans="1:31" hidden="1">
      <c r="A1600" s="209">
        <v>9515294</v>
      </c>
      <c r="B1600" s="209" t="s">
        <v>81</v>
      </c>
      <c r="C1600" s="210" t="s">
        <v>4210</v>
      </c>
      <c r="D1600" s="214"/>
      <c r="E1600" s="214">
        <v>600000206001</v>
      </c>
      <c r="F1600" s="209" t="s">
        <v>29</v>
      </c>
      <c r="G1600" s="209" t="s">
        <v>53</v>
      </c>
      <c r="H1600" s="209" t="s">
        <v>1084</v>
      </c>
      <c r="I1600" s="209" t="s">
        <v>1085</v>
      </c>
      <c r="J1600" s="209" t="s">
        <v>90</v>
      </c>
      <c r="K1600" s="210" t="s">
        <v>34</v>
      </c>
      <c r="L1600" s="210"/>
      <c r="M1600" s="209" t="s">
        <v>35</v>
      </c>
      <c r="N1600" s="209">
        <v>42318949</v>
      </c>
      <c r="O1600" s="209" t="s">
        <v>105</v>
      </c>
      <c r="P1600" s="211" t="s">
        <v>4341</v>
      </c>
      <c r="Q1600" s="209"/>
      <c r="R1600" s="209" t="s">
        <v>38</v>
      </c>
      <c r="S1600" s="209"/>
      <c r="T1600" s="209" t="s">
        <v>74</v>
      </c>
      <c r="U1600" s="213">
        <v>44985.717789351853</v>
      </c>
      <c r="V1600" s="209" t="s">
        <v>41</v>
      </c>
      <c r="W1600" s="209" t="s">
        <v>49</v>
      </c>
      <c r="X1600" s="13" t="str">
        <f>IF(RIGHT(H1600,2)&lt;&gt;"00",H1600,"")</f>
        <v/>
      </c>
      <c r="Y1600" s="26">
        <f ca="1">NETWORKDAYS(P1600,$Y$1)</f>
        <v>3</v>
      </c>
      <c r="Z1600" s="34">
        <v>1</v>
      </c>
      <c r="AA1600" s="25" t="str">
        <f t="shared" ca="1" si="147"/>
        <v>A VENCER</v>
      </c>
      <c r="AB1600" s="25" t="str">
        <f t="shared" si="148"/>
        <v>Dosa</v>
      </c>
      <c r="AC1600" s="2" t="str">
        <f t="shared" si="149"/>
        <v xml:space="preserve"> RINALDO </v>
      </c>
      <c r="AD1600" s="26">
        <f t="shared" si="150"/>
        <v>5</v>
      </c>
      <c r="AE1600" s="26">
        <f t="shared" ca="1" si="151"/>
        <v>1.9584822916658595</v>
      </c>
    </row>
    <row r="1601" spans="1:31" hidden="1">
      <c r="A1601" s="209">
        <v>9515286</v>
      </c>
      <c r="B1601" s="209" t="s">
        <v>81</v>
      </c>
      <c r="C1601" s="210" t="s">
        <v>4210</v>
      </c>
      <c r="D1601" s="214"/>
      <c r="E1601" s="214">
        <v>594000206001</v>
      </c>
      <c r="F1601" s="209" t="s">
        <v>29</v>
      </c>
      <c r="G1601" s="209" t="s">
        <v>53</v>
      </c>
      <c r="H1601" s="209" t="s">
        <v>444</v>
      </c>
      <c r="I1601" s="209" t="s">
        <v>445</v>
      </c>
      <c r="J1601" s="209" t="s">
        <v>33</v>
      </c>
      <c r="K1601" s="210" t="s">
        <v>34</v>
      </c>
      <c r="L1601" s="210"/>
      <c r="M1601" s="209" t="s">
        <v>35</v>
      </c>
      <c r="N1601" s="209">
        <v>42318949</v>
      </c>
      <c r="O1601" s="209" t="s">
        <v>105</v>
      </c>
      <c r="P1601" s="211" t="s">
        <v>4343</v>
      </c>
      <c r="Q1601" s="209"/>
      <c r="R1601" s="209" t="s">
        <v>38</v>
      </c>
      <c r="S1601" s="209"/>
      <c r="T1601" s="209" t="s">
        <v>74</v>
      </c>
      <c r="U1601" s="213">
        <v>44985.717766203707</v>
      </c>
      <c r="V1601" s="209" t="s">
        <v>41</v>
      </c>
      <c r="W1601" s="209" t="s">
        <v>42</v>
      </c>
      <c r="X1601" s="13" t="str">
        <f>IF(RIGHT(H1601,2)&lt;&gt;"00",H1601,"")</f>
        <v/>
      </c>
      <c r="Y1601" s="26">
        <f ca="1">NETWORKDAYS(P1601,$Y$1)</f>
        <v>3</v>
      </c>
      <c r="Z1601" s="34">
        <v>1</v>
      </c>
      <c r="AA1601" s="25" t="str">
        <f t="shared" ref="AA1601:AA1643" ca="1" si="152">IF(AE1601=0,"HOJE",IF(AE1601&gt;0,"A VENCER",IF(AE1601&lt;0,"VENCIDO")))</f>
        <v>A VENCER</v>
      </c>
      <c r="AB1601" s="25" t="str">
        <f t="shared" ref="AB1601:AB1643" si="153">IF(F1601="GRPE-000001","C-14",IF(F1601="GRPE-000002","C-14",IF(F1601="GRPE-000003","C-14",IF(F1601="GRPE-000004","SL-On",IF(F1601="GRPE-000038","C-14",IF(F1601="GRPE-900022","Dosa",IF(F1601="GRPE-000029","Dosa",IF(F1601="ATOS-000222","Dose","TAAe+"))))))))</f>
        <v>Dosa</v>
      </c>
      <c r="AC1601" s="2" t="str">
        <f t="shared" ref="AC1601:AC1643" si="154">IF(J1601="TR-PETROLINA"," ROSEMERE ",IF(J1601="TR-GARANHUNS"," ROSEMERE ",IF(J1601="TR-CARUARU"," ROSEMERE ",IF(J1601="TR-RIBEIRAO"," CRISTINA ",IF(J1601="TR-GRAVATA"," CRISTINA ",IF(J1601="TR-GOIANA"," CRISTINA ",IF(J1601="TR-LIMOEIRO"," CRISTINA ",IF(J1601="TR-SERRA TALHADA"," RINALDO ",IF(J1601="TR-SALGUEIRO"," RINALDO ",IF(J1601="TR-CARNAIBA"," RINALDO ",IF(J1601="TR-ARCOVERDE"," RINALDO ",IF(J1601="CAT-RECIFE"," CLEITON ",))))))))))))</f>
        <v xml:space="preserve"> ROSEMERE </v>
      </c>
      <c r="AD1601" s="26">
        <f t="shared" ref="AD1601:AD1643" si="155">IF(F1601="GRPE-000001",5,IF(F1601="GRPE-000002",5,IF(F1601="GRPE-000003",15,IF(F1601="GRPE-000004",1,IF(F1601="GRPE-000038",5,IF(F1601="GRPE-900022",5,IF(F1601="GRPE-000029",5,IF(F1601="ATOS-000222",5,8))))))))</f>
        <v>5</v>
      </c>
      <c r="AE1601" s="26">
        <f t="shared" ref="AE1601:AE1643" ca="1" si="156">IF(P1601=$AE$1,"",$AE$1-P1601)</f>
        <v>1.9585054398121429</v>
      </c>
    </row>
    <row r="1602" spans="1:31" hidden="1">
      <c r="A1602" s="209">
        <v>9515273</v>
      </c>
      <c r="B1602" s="209" t="s">
        <v>81</v>
      </c>
      <c r="C1602" s="210" t="s">
        <v>4210</v>
      </c>
      <c r="D1602" s="214"/>
      <c r="E1602" s="214">
        <v>582000206001</v>
      </c>
      <c r="F1602" s="209" t="s">
        <v>29</v>
      </c>
      <c r="G1602" s="209" t="s">
        <v>53</v>
      </c>
      <c r="H1602" s="209" t="s">
        <v>139</v>
      </c>
      <c r="I1602" s="209" t="s">
        <v>140</v>
      </c>
      <c r="J1602" s="209" t="s">
        <v>141</v>
      </c>
      <c r="K1602" s="210" t="s">
        <v>34</v>
      </c>
      <c r="L1602" s="210"/>
      <c r="M1602" s="209" t="s">
        <v>35</v>
      </c>
      <c r="N1602" s="209">
        <v>42318949</v>
      </c>
      <c r="O1602" s="209" t="s">
        <v>105</v>
      </c>
      <c r="P1602" s="211" t="s">
        <v>4345</v>
      </c>
      <c r="Q1602" s="209"/>
      <c r="R1602" s="209" t="s">
        <v>38</v>
      </c>
      <c r="S1602" s="209"/>
      <c r="T1602" s="209" t="s">
        <v>74</v>
      </c>
      <c r="U1602" s="213">
        <v>44985.717743055553</v>
      </c>
      <c r="V1602" s="209" t="s">
        <v>41</v>
      </c>
      <c r="W1602" s="209" t="s">
        <v>49</v>
      </c>
      <c r="X1602" s="13" t="str">
        <f>IF(RIGHT(H1602,2)&lt;&gt;"00",H1602,"")</f>
        <v/>
      </c>
      <c r="Y1602" s="26">
        <f ca="1">NETWORKDAYS(P1602,$Y$1)</f>
        <v>3</v>
      </c>
      <c r="Z1602" s="34">
        <v>1</v>
      </c>
      <c r="AA1602" s="25" t="str">
        <f t="shared" ca="1" si="152"/>
        <v>A VENCER</v>
      </c>
      <c r="AB1602" s="25" t="str">
        <f t="shared" si="153"/>
        <v>Dosa</v>
      </c>
      <c r="AC1602" s="2" t="str">
        <f t="shared" si="154"/>
        <v xml:space="preserve"> CRISTINA </v>
      </c>
      <c r="AD1602" s="26">
        <f t="shared" si="155"/>
        <v>5</v>
      </c>
      <c r="AE1602" s="26">
        <f t="shared" ca="1" si="156"/>
        <v>1.9585285879657022</v>
      </c>
    </row>
    <row r="1603" spans="1:31" hidden="1">
      <c r="A1603" s="209">
        <v>9515261</v>
      </c>
      <c r="B1603" s="209" t="s">
        <v>81</v>
      </c>
      <c r="C1603" s="210" t="s">
        <v>4210</v>
      </c>
      <c r="D1603" s="214"/>
      <c r="E1603" s="214">
        <v>570000206001</v>
      </c>
      <c r="F1603" s="209" t="s">
        <v>29</v>
      </c>
      <c r="G1603" s="209" t="s">
        <v>53</v>
      </c>
      <c r="H1603" s="209" t="s">
        <v>434</v>
      </c>
      <c r="I1603" s="209" t="s">
        <v>435</v>
      </c>
      <c r="J1603" s="209" t="s">
        <v>148</v>
      </c>
      <c r="K1603" s="210" t="s">
        <v>34</v>
      </c>
      <c r="L1603" s="210"/>
      <c r="M1603" s="209" t="s">
        <v>35</v>
      </c>
      <c r="N1603" s="209">
        <v>42318949</v>
      </c>
      <c r="O1603" s="209" t="s">
        <v>105</v>
      </c>
      <c r="P1603" s="211" t="s">
        <v>4347</v>
      </c>
      <c r="Q1603" s="209"/>
      <c r="R1603" s="209" t="s">
        <v>38</v>
      </c>
      <c r="S1603" s="209"/>
      <c r="T1603" s="209" t="s">
        <v>74</v>
      </c>
      <c r="U1603" s="213">
        <v>44985.717731481483</v>
      </c>
      <c r="V1603" s="209" t="s">
        <v>41</v>
      </c>
      <c r="W1603" s="209" t="s">
        <v>49</v>
      </c>
      <c r="X1603" s="13" t="str">
        <f>IF(RIGHT(H1603,2)&lt;&gt;"00",H1603,"")</f>
        <v/>
      </c>
      <c r="Y1603" s="26">
        <f ca="1">NETWORKDAYS(P1603,$Y$1)</f>
        <v>3</v>
      </c>
      <c r="Z1603" s="34">
        <v>1</v>
      </c>
      <c r="AA1603" s="25" t="str">
        <f t="shared" ca="1" si="152"/>
        <v>A VENCER</v>
      </c>
      <c r="AB1603" s="25" t="str">
        <f t="shared" si="153"/>
        <v>Dosa</v>
      </c>
      <c r="AC1603" s="2" t="str">
        <f t="shared" si="154"/>
        <v xml:space="preserve"> RINALDO </v>
      </c>
      <c r="AD1603" s="26">
        <f t="shared" si="155"/>
        <v>5</v>
      </c>
      <c r="AE1603" s="26">
        <f t="shared" ca="1" si="156"/>
        <v>1.9585517361119855</v>
      </c>
    </row>
    <row r="1604" spans="1:31" hidden="1">
      <c r="A1604" s="209">
        <v>9515240</v>
      </c>
      <c r="B1604" s="209" t="s">
        <v>81</v>
      </c>
      <c r="C1604" s="210" t="s">
        <v>4210</v>
      </c>
      <c r="D1604" s="214"/>
      <c r="E1604" s="214">
        <v>550000206001</v>
      </c>
      <c r="F1604" s="209" t="s">
        <v>29</v>
      </c>
      <c r="G1604" s="209" t="s">
        <v>53</v>
      </c>
      <c r="H1604" s="209" t="s">
        <v>337</v>
      </c>
      <c r="I1604" s="209" t="s">
        <v>338</v>
      </c>
      <c r="J1604" s="209" t="s">
        <v>164</v>
      </c>
      <c r="K1604" s="210" t="s">
        <v>34</v>
      </c>
      <c r="L1604" s="210"/>
      <c r="M1604" s="209" t="s">
        <v>35</v>
      </c>
      <c r="N1604" s="209">
        <v>42318949</v>
      </c>
      <c r="O1604" s="209" t="s">
        <v>105</v>
      </c>
      <c r="P1604" s="211" t="s">
        <v>4349</v>
      </c>
      <c r="Q1604" s="209"/>
      <c r="R1604" s="209" t="s">
        <v>38</v>
      </c>
      <c r="S1604" s="209"/>
      <c r="T1604" s="209" t="s">
        <v>74</v>
      </c>
      <c r="U1604" s="213">
        <v>44985.71769675926</v>
      </c>
      <c r="V1604" s="209" t="s">
        <v>41</v>
      </c>
      <c r="W1604" s="209" t="s">
        <v>49</v>
      </c>
      <c r="X1604" s="13" t="str">
        <f>IF(RIGHT(H1604,2)&lt;&gt;"00",H1604,"")</f>
        <v/>
      </c>
      <c r="Y1604" s="26">
        <f ca="1">NETWORKDAYS(P1604,$Y$1)</f>
        <v>3</v>
      </c>
      <c r="Z1604" s="34">
        <v>1</v>
      </c>
      <c r="AA1604" s="25" t="str">
        <f t="shared" ca="1" si="152"/>
        <v>A VENCER</v>
      </c>
      <c r="AB1604" s="25" t="str">
        <f t="shared" si="153"/>
        <v>Dosa</v>
      </c>
      <c r="AC1604" s="2" t="str">
        <f t="shared" si="154"/>
        <v xml:space="preserve"> ROSEMERE </v>
      </c>
      <c r="AD1604" s="26">
        <f t="shared" si="155"/>
        <v>5</v>
      </c>
      <c r="AE1604" s="26">
        <f t="shared" ca="1" si="156"/>
        <v>1.9585864583350485</v>
      </c>
    </row>
    <row r="1605" spans="1:31" hidden="1">
      <c r="A1605" s="209">
        <v>9515228</v>
      </c>
      <c r="B1605" s="209" t="s">
        <v>81</v>
      </c>
      <c r="C1605" s="210" t="s">
        <v>4210</v>
      </c>
      <c r="D1605" s="214"/>
      <c r="E1605" s="214">
        <v>537000206001</v>
      </c>
      <c r="F1605" s="209" t="s">
        <v>29</v>
      </c>
      <c r="G1605" s="209" t="s">
        <v>53</v>
      </c>
      <c r="H1605" s="209" t="s">
        <v>442</v>
      </c>
      <c r="I1605" s="209" t="s">
        <v>443</v>
      </c>
      <c r="J1605" s="209" t="s">
        <v>79</v>
      </c>
      <c r="K1605" s="210" t="s">
        <v>34</v>
      </c>
      <c r="L1605" s="210"/>
      <c r="M1605" s="209" t="s">
        <v>35</v>
      </c>
      <c r="N1605" s="209">
        <v>42318949</v>
      </c>
      <c r="O1605" s="209" t="s">
        <v>105</v>
      </c>
      <c r="P1605" s="211" t="s">
        <v>4351</v>
      </c>
      <c r="Q1605" s="209"/>
      <c r="R1605" s="209" t="s">
        <v>38</v>
      </c>
      <c r="S1605" s="209"/>
      <c r="T1605" s="209" t="s">
        <v>74</v>
      </c>
      <c r="U1605" s="213">
        <v>44985.717673611114</v>
      </c>
      <c r="V1605" s="209" t="s">
        <v>41</v>
      </c>
      <c r="W1605" s="209" t="s">
        <v>49</v>
      </c>
      <c r="X1605" s="13" t="str">
        <f>IF(RIGHT(H1605,2)&lt;&gt;"00",H1605,"")</f>
        <v/>
      </c>
      <c r="Y1605" s="26">
        <f ca="1">NETWORKDAYS(P1605,$Y$1)</f>
        <v>3</v>
      </c>
      <c r="Z1605" s="34">
        <v>1</v>
      </c>
      <c r="AA1605" s="25" t="str">
        <f t="shared" ca="1" si="152"/>
        <v>A VENCER</v>
      </c>
      <c r="AB1605" s="25" t="str">
        <f t="shared" si="153"/>
        <v>Dosa</v>
      </c>
      <c r="AC1605" s="2" t="str">
        <f t="shared" si="154"/>
        <v xml:space="preserve"> ROSEMERE </v>
      </c>
      <c r="AD1605" s="26">
        <f t="shared" si="155"/>
        <v>5</v>
      </c>
      <c r="AE1605" s="26">
        <f t="shared" ca="1" si="156"/>
        <v>1.9585980324045522</v>
      </c>
    </row>
    <row r="1606" spans="1:31" hidden="1">
      <c r="A1606" s="209">
        <v>9515123</v>
      </c>
      <c r="B1606" s="209" t="s">
        <v>81</v>
      </c>
      <c r="C1606" s="210" t="s">
        <v>4210</v>
      </c>
      <c r="D1606" s="214"/>
      <c r="E1606" s="214">
        <v>446000206001</v>
      </c>
      <c r="F1606" s="209" t="s">
        <v>29</v>
      </c>
      <c r="G1606" s="209" t="s">
        <v>53</v>
      </c>
      <c r="H1606" s="209" t="s">
        <v>432</v>
      </c>
      <c r="I1606" s="209" t="s">
        <v>433</v>
      </c>
      <c r="J1606" s="209" t="s">
        <v>110</v>
      </c>
      <c r="K1606" s="210" t="s">
        <v>34</v>
      </c>
      <c r="L1606" s="210"/>
      <c r="M1606" s="209" t="s">
        <v>35</v>
      </c>
      <c r="N1606" s="209">
        <v>42318949</v>
      </c>
      <c r="O1606" s="209" t="s">
        <v>105</v>
      </c>
      <c r="P1606" s="211" t="s">
        <v>4353</v>
      </c>
      <c r="Q1606" s="209"/>
      <c r="R1606" s="209" t="s">
        <v>38</v>
      </c>
      <c r="S1606" s="209"/>
      <c r="T1606" s="209" t="s">
        <v>74</v>
      </c>
      <c r="U1606" s="213">
        <v>44985.717511574076</v>
      </c>
      <c r="V1606" s="209" t="s">
        <v>41</v>
      </c>
      <c r="W1606" s="209" t="s">
        <v>49</v>
      </c>
      <c r="X1606" s="13" t="str">
        <f>IF(RIGHT(H1606,2)&lt;&gt;"00",H1606,"")</f>
        <v/>
      </c>
      <c r="Y1606" s="26">
        <f ca="1">NETWORKDAYS(P1606,$Y$1)</f>
        <v>3</v>
      </c>
      <c r="Z1606" s="34">
        <v>1</v>
      </c>
      <c r="AA1606" s="25" t="str">
        <f t="shared" ca="1" si="152"/>
        <v>A VENCER</v>
      </c>
      <c r="AB1606" s="25" t="str">
        <f t="shared" si="153"/>
        <v>Dosa</v>
      </c>
      <c r="AC1606" s="2" t="str">
        <f t="shared" si="154"/>
        <v xml:space="preserve"> CRISTINA </v>
      </c>
      <c r="AD1606" s="26">
        <f t="shared" si="155"/>
        <v>5</v>
      </c>
      <c r="AE1606" s="26">
        <f t="shared" ca="1" si="156"/>
        <v>1.9587600694430876</v>
      </c>
    </row>
    <row r="1607" spans="1:31" hidden="1">
      <c r="A1607" s="209">
        <v>9514974</v>
      </c>
      <c r="B1607" s="209" t="s">
        <v>81</v>
      </c>
      <c r="C1607" s="210" t="s">
        <v>4210</v>
      </c>
      <c r="D1607" s="214"/>
      <c r="E1607" s="214">
        <v>325000206001</v>
      </c>
      <c r="F1607" s="209" t="s">
        <v>29</v>
      </c>
      <c r="G1607" s="209" t="s">
        <v>53</v>
      </c>
      <c r="H1607" s="209" t="s">
        <v>345</v>
      </c>
      <c r="I1607" s="209" t="s">
        <v>346</v>
      </c>
      <c r="J1607" s="209" t="s">
        <v>46</v>
      </c>
      <c r="K1607" s="210" t="s">
        <v>34</v>
      </c>
      <c r="L1607" s="210"/>
      <c r="M1607" s="209" t="s">
        <v>35</v>
      </c>
      <c r="N1607" s="209">
        <v>42318949</v>
      </c>
      <c r="O1607" s="209" t="s">
        <v>105</v>
      </c>
      <c r="P1607" s="211" t="s">
        <v>4355</v>
      </c>
      <c r="Q1607" s="209"/>
      <c r="R1607" s="209" t="s">
        <v>38</v>
      </c>
      <c r="S1607" s="209"/>
      <c r="T1607" s="209" t="s">
        <v>74</v>
      </c>
      <c r="U1607" s="213">
        <v>44985.717268518521</v>
      </c>
      <c r="V1607" s="209" t="s">
        <v>41</v>
      </c>
      <c r="W1607" s="209" t="s">
        <v>49</v>
      </c>
      <c r="X1607" s="13" t="str">
        <f>IF(RIGHT(H1607,2)&lt;&gt;"00",H1607,"")</f>
        <v/>
      </c>
      <c r="Y1607" s="26">
        <f ca="1">NETWORKDAYS(P1607,$Y$1)</f>
        <v>3</v>
      </c>
      <c r="Z1607" s="34">
        <v>1</v>
      </c>
      <c r="AA1607" s="25" t="str">
        <f t="shared" ca="1" si="152"/>
        <v>A VENCER</v>
      </c>
      <c r="AB1607" s="25" t="str">
        <f t="shared" si="153"/>
        <v>Dosa</v>
      </c>
      <c r="AC1607" s="2" t="str">
        <f t="shared" si="154"/>
        <v xml:space="preserve"> CLEITON </v>
      </c>
      <c r="AD1607" s="26">
        <f t="shared" si="155"/>
        <v>5</v>
      </c>
      <c r="AE1607" s="26">
        <f t="shared" ca="1" si="156"/>
        <v>1.9590031249972526</v>
      </c>
    </row>
    <row r="1608" spans="1:31" hidden="1">
      <c r="A1608" s="209">
        <v>9514868</v>
      </c>
      <c r="B1608" s="209" t="s">
        <v>81</v>
      </c>
      <c r="C1608" s="210" t="s">
        <v>4210</v>
      </c>
      <c r="D1608" s="214"/>
      <c r="E1608" s="214">
        <v>246000206001</v>
      </c>
      <c r="F1608" s="209" t="s">
        <v>29</v>
      </c>
      <c r="G1608" s="209" t="s">
        <v>53</v>
      </c>
      <c r="H1608" s="209" t="s">
        <v>1193</v>
      </c>
      <c r="I1608" s="209" t="s">
        <v>1194</v>
      </c>
      <c r="J1608" s="209" t="s">
        <v>85</v>
      </c>
      <c r="K1608" s="210" t="s">
        <v>34</v>
      </c>
      <c r="L1608" s="210"/>
      <c r="M1608" s="209" t="s">
        <v>35</v>
      </c>
      <c r="N1608" s="209">
        <v>42318949</v>
      </c>
      <c r="O1608" s="209" t="s">
        <v>105</v>
      </c>
      <c r="P1608" s="211" t="s">
        <v>4357</v>
      </c>
      <c r="Q1608" s="209"/>
      <c r="R1608" s="209" t="s">
        <v>38</v>
      </c>
      <c r="S1608" s="209"/>
      <c r="T1608" s="209" t="s">
        <v>74</v>
      </c>
      <c r="U1608" s="213">
        <v>44985.717106481483</v>
      </c>
      <c r="V1608" s="209" t="s">
        <v>41</v>
      </c>
      <c r="W1608" s="209" t="s">
        <v>49</v>
      </c>
      <c r="X1608" s="13" t="str">
        <f>IF(RIGHT(H1608,2)&lt;&gt;"00",H1608,"")</f>
        <v/>
      </c>
      <c r="Y1608" s="26">
        <f ca="1">NETWORKDAYS(P1608,$Y$1)</f>
        <v>3</v>
      </c>
      <c r="Z1608" s="34">
        <v>1</v>
      </c>
      <c r="AA1608" s="25" t="str">
        <f t="shared" ca="1" si="152"/>
        <v>A VENCER</v>
      </c>
      <c r="AB1608" s="25" t="str">
        <f t="shared" si="153"/>
        <v>Dosa</v>
      </c>
      <c r="AC1608" s="2" t="str">
        <f t="shared" si="154"/>
        <v xml:space="preserve"> RINALDO </v>
      </c>
      <c r="AD1608" s="26">
        <f t="shared" si="155"/>
        <v>5</v>
      </c>
      <c r="AE1608" s="26">
        <f t="shared" ca="1" si="156"/>
        <v>1.9591651620357879</v>
      </c>
    </row>
    <row r="1609" spans="1:31" hidden="1">
      <c r="A1609" s="209">
        <v>9514866</v>
      </c>
      <c r="B1609" s="209" t="s">
        <v>81</v>
      </c>
      <c r="C1609" s="210" t="s">
        <v>4210</v>
      </c>
      <c r="D1609" s="214"/>
      <c r="E1609" s="214">
        <v>244000206001</v>
      </c>
      <c r="F1609" s="209" t="s">
        <v>29</v>
      </c>
      <c r="G1609" s="209" t="s">
        <v>53</v>
      </c>
      <c r="H1609" s="209" t="s">
        <v>313</v>
      </c>
      <c r="I1609" s="209" t="s">
        <v>314</v>
      </c>
      <c r="J1609" s="209" t="s">
        <v>56</v>
      </c>
      <c r="K1609" s="210" t="s">
        <v>34</v>
      </c>
      <c r="L1609" s="210"/>
      <c r="M1609" s="209" t="s">
        <v>35</v>
      </c>
      <c r="N1609" s="209">
        <v>42318949</v>
      </c>
      <c r="O1609" s="209" t="s">
        <v>105</v>
      </c>
      <c r="P1609" s="211" t="s">
        <v>4357</v>
      </c>
      <c r="Q1609" s="209"/>
      <c r="R1609" s="209" t="s">
        <v>38</v>
      </c>
      <c r="S1609" s="209"/>
      <c r="T1609" s="209" t="s">
        <v>74</v>
      </c>
      <c r="U1609" s="213">
        <v>44985.717106481483</v>
      </c>
      <c r="V1609" s="209" t="s">
        <v>41</v>
      </c>
      <c r="W1609" s="209" t="s">
        <v>49</v>
      </c>
      <c r="X1609" s="13" t="str">
        <f>IF(RIGHT(H1609,2)&lt;&gt;"00",H1609,"")</f>
        <v/>
      </c>
      <c r="Y1609" s="26">
        <f ca="1">NETWORKDAYS(P1609,$Y$1)</f>
        <v>3</v>
      </c>
      <c r="Z1609" s="34">
        <v>1</v>
      </c>
      <c r="AA1609" s="25" t="str">
        <f t="shared" ca="1" si="152"/>
        <v>A VENCER</v>
      </c>
      <c r="AB1609" s="25" t="str">
        <f t="shared" si="153"/>
        <v>Dosa</v>
      </c>
      <c r="AC1609" s="2" t="str">
        <f t="shared" si="154"/>
        <v xml:space="preserve"> CRISTINA </v>
      </c>
      <c r="AD1609" s="26">
        <f t="shared" si="155"/>
        <v>5</v>
      </c>
      <c r="AE1609" s="26">
        <f t="shared" ca="1" si="156"/>
        <v>1.9591651620357879</v>
      </c>
    </row>
    <row r="1610" spans="1:31" hidden="1">
      <c r="A1610" s="209">
        <v>9514855</v>
      </c>
      <c r="B1610" s="209" t="s">
        <v>81</v>
      </c>
      <c r="C1610" s="210" t="s">
        <v>4210</v>
      </c>
      <c r="D1610" s="214"/>
      <c r="E1610" s="214">
        <v>233000206001</v>
      </c>
      <c r="F1610" s="209" t="s">
        <v>29</v>
      </c>
      <c r="G1610" s="209" t="s">
        <v>53</v>
      </c>
      <c r="H1610" s="209" t="s">
        <v>424</v>
      </c>
      <c r="I1610" s="209" t="s">
        <v>425</v>
      </c>
      <c r="J1610" s="209" t="s">
        <v>261</v>
      </c>
      <c r="K1610" s="210" t="s">
        <v>34</v>
      </c>
      <c r="L1610" s="210"/>
      <c r="M1610" s="209" t="s">
        <v>35</v>
      </c>
      <c r="N1610" s="209">
        <v>42318949</v>
      </c>
      <c r="O1610" s="209" t="s">
        <v>105</v>
      </c>
      <c r="P1610" s="211" t="s">
        <v>4358</v>
      </c>
      <c r="Q1610" s="209"/>
      <c r="R1610" s="209" t="s">
        <v>38</v>
      </c>
      <c r="S1610" s="209"/>
      <c r="T1610" s="209" t="s">
        <v>74</v>
      </c>
      <c r="U1610" s="213">
        <v>44985.717083333337</v>
      </c>
      <c r="V1610" s="209" t="s">
        <v>41</v>
      </c>
      <c r="W1610" s="209" t="s">
        <v>49</v>
      </c>
      <c r="X1610" s="13" t="str">
        <f>IF(RIGHT(H1610,2)&lt;&gt;"00",H1610,"")</f>
        <v/>
      </c>
      <c r="Y1610" s="26">
        <f ca="1">NETWORKDAYS(P1610,$Y$1)</f>
        <v>3</v>
      </c>
      <c r="Z1610" s="34">
        <v>1</v>
      </c>
      <c r="AA1610" s="25" t="str">
        <f t="shared" ca="1" si="152"/>
        <v>A VENCER</v>
      </c>
      <c r="AB1610" s="25" t="str">
        <f t="shared" si="153"/>
        <v>Dosa</v>
      </c>
      <c r="AC1610" s="2" t="str">
        <f t="shared" si="154"/>
        <v xml:space="preserve"> CRISTINA </v>
      </c>
      <c r="AD1610" s="26">
        <f t="shared" si="155"/>
        <v>5</v>
      </c>
      <c r="AE1610" s="26">
        <f t="shared" ca="1" si="156"/>
        <v>1.9591883101820713</v>
      </c>
    </row>
    <row r="1611" spans="1:31" hidden="1">
      <c r="A1611" s="209">
        <v>9514854</v>
      </c>
      <c r="B1611" s="209" t="s">
        <v>81</v>
      </c>
      <c r="C1611" s="210" t="s">
        <v>4210</v>
      </c>
      <c r="D1611" s="214"/>
      <c r="E1611" s="214">
        <v>232000206001</v>
      </c>
      <c r="F1611" s="209" t="s">
        <v>29</v>
      </c>
      <c r="G1611" s="209" t="s">
        <v>53</v>
      </c>
      <c r="H1611" s="209" t="s">
        <v>1363</v>
      </c>
      <c r="I1611" s="209" t="s">
        <v>1364</v>
      </c>
      <c r="J1611" s="209" t="s">
        <v>141</v>
      </c>
      <c r="K1611" s="210" t="s">
        <v>34</v>
      </c>
      <c r="L1611" s="210"/>
      <c r="M1611" s="209" t="s">
        <v>35</v>
      </c>
      <c r="N1611" s="209">
        <v>42318949</v>
      </c>
      <c r="O1611" s="209" t="s">
        <v>105</v>
      </c>
      <c r="P1611" s="211" t="s">
        <v>4358</v>
      </c>
      <c r="Q1611" s="209"/>
      <c r="R1611" s="209" t="s">
        <v>38</v>
      </c>
      <c r="S1611" s="209"/>
      <c r="T1611" s="209" t="s">
        <v>74</v>
      </c>
      <c r="U1611" s="213">
        <v>44985.717083333337</v>
      </c>
      <c r="V1611" s="209" t="s">
        <v>41</v>
      </c>
      <c r="W1611" s="209" t="s">
        <v>49</v>
      </c>
      <c r="X1611" s="13" t="str">
        <f>IF(RIGHT(H1611,2)&lt;&gt;"00",H1611,"")</f>
        <v/>
      </c>
      <c r="Y1611" s="26">
        <f ca="1">NETWORKDAYS(P1611,$Y$1)</f>
        <v>3</v>
      </c>
      <c r="Z1611" s="34">
        <v>1</v>
      </c>
      <c r="AA1611" s="25" t="str">
        <f t="shared" ca="1" si="152"/>
        <v>A VENCER</v>
      </c>
      <c r="AB1611" s="25" t="str">
        <f t="shared" si="153"/>
        <v>Dosa</v>
      </c>
      <c r="AC1611" s="2" t="str">
        <f t="shared" si="154"/>
        <v xml:space="preserve"> CRISTINA </v>
      </c>
      <c r="AD1611" s="26">
        <f t="shared" si="155"/>
        <v>5</v>
      </c>
      <c r="AE1611" s="26">
        <f t="shared" ca="1" si="156"/>
        <v>1.9591883101820713</v>
      </c>
    </row>
    <row r="1612" spans="1:31" hidden="1">
      <c r="A1612" s="209">
        <v>9514843</v>
      </c>
      <c r="B1612" s="209" t="s">
        <v>81</v>
      </c>
      <c r="C1612" s="210" t="s">
        <v>4210</v>
      </c>
      <c r="D1612" s="214"/>
      <c r="E1612" s="214">
        <v>220000206001</v>
      </c>
      <c r="F1612" s="209" t="s">
        <v>29</v>
      </c>
      <c r="G1612" s="209" t="s">
        <v>53</v>
      </c>
      <c r="H1612" s="209" t="s">
        <v>588</v>
      </c>
      <c r="I1612" s="209" t="s">
        <v>589</v>
      </c>
      <c r="J1612" s="209" t="s">
        <v>110</v>
      </c>
      <c r="K1612" s="210" t="s">
        <v>34</v>
      </c>
      <c r="L1612" s="210"/>
      <c r="M1612" s="209" t="s">
        <v>35</v>
      </c>
      <c r="N1612" s="209">
        <v>42318949</v>
      </c>
      <c r="O1612" s="209" t="s">
        <v>105</v>
      </c>
      <c r="P1612" s="211" t="s">
        <v>4359</v>
      </c>
      <c r="Q1612" s="209"/>
      <c r="R1612" s="209" t="s">
        <v>38</v>
      </c>
      <c r="S1612" s="209"/>
      <c r="T1612" s="209" t="s">
        <v>74</v>
      </c>
      <c r="U1612" s="213">
        <v>44985.71707175926</v>
      </c>
      <c r="V1612" s="209" t="s">
        <v>41</v>
      </c>
      <c r="W1612" s="209" t="s">
        <v>49</v>
      </c>
      <c r="X1612" s="13" t="str">
        <f>IF(RIGHT(H1612,2)&lt;&gt;"00",H1612,"")</f>
        <v/>
      </c>
      <c r="Y1612" s="26">
        <f ca="1">NETWORKDAYS(P1612,$Y$1)</f>
        <v>3</v>
      </c>
      <c r="Z1612" s="34">
        <v>1</v>
      </c>
      <c r="AA1612" s="25" t="str">
        <f t="shared" ca="1" si="152"/>
        <v>A VENCER</v>
      </c>
      <c r="AB1612" s="25" t="str">
        <f t="shared" si="153"/>
        <v>Dosa</v>
      </c>
      <c r="AC1612" s="2" t="str">
        <f t="shared" si="154"/>
        <v xml:space="preserve"> CRISTINA </v>
      </c>
      <c r="AD1612" s="26">
        <f t="shared" si="155"/>
        <v>5</v>
      </c>
      <c r="AE1612" s="26">
        <f t="shared" ca="1" si="156"/>
        <v>1.9591998842588509</v>
      </c>
    </row>
    <row r="1613" spans="1:31" hidden="1">
      <c r="A1613" s="209">
        <v>9514813</v>
      </c>
      <c r="B1613" s="209" t="s">
        <v>81</v>
      </c>
      <c r="C1613" s="210" t="s">
        <v>4210</v>
      </c>
      <c r="D1613" s="214"/>
      <c r="E1613" s="214">
        <v>196000206001</v>
      </c>
      <c r="F1613" s="209" t="s">
        <v>29</v>
      </c>
      <c r="G1613" s="209" t="s">
        <v>53</v>
      </c>
      <c r="H1613" s="209" t="s">
        <v>1060</v>
      </c>
      <c r="I1613" s="209" t="s">
        <v>1061</v>
      </c>
      <c r="J1613" s="209" t="s">
        <v>79</v>
      </c>
      <c r="K1613" s="210" t="s">
        <v>34</v>
      </c>
      <c r="L1613" s="210"/>
      <c r="M1613" s="209" t="s">
        <v>35</v>
      </c>
      <c r="N1613" s="209">
        <v>42318949</v>
      </c>
      <c r="O1613" s="209" t="s">
        <v>105</v>
      </c>
      <c r="P1613" s="211" t="s">
        <v>4360</v>
      </c>
      <c r="Q1613" s="209"/>
      <c r="R1613" s="209" t="s">
        <v>38</v>
      </c>
      <c r="S1613" s="209"/>
      <c r="T1613" s="209" t="s">
        <v>74</v>
      </c>
      <c r="U1613" s="213">
        <v>44985.71702546296</v>
      </c>
      <c r="V1613" s="209" t="s">
        <v>41</v>
      </c>
      <c r="W1613" s="209" t="s">
        <v>49</v>
      </c>
      <c r="X1613" s="13" t="str">
        <f>IF(RIGHT(H1613,2)&lt;&gt;"00",H1613,"")</f>
        <v/>
      </c>
      <c r="Y1613" s="26">
        <f ca="1">NETWORKDAYS(P1613,$Y$1)</f>
        <v>3</v>
      </c>
      <c r="Z1613" s="34">
        <v>1</v>
      </c>
      <c r="AA1613" s="25" t="str">
        <f t="shared" ca="1" si="152"/>
        <v>A VENCER</v>
      </c>
      <c r="AB1613" s="25" t="str">
        <f t="shared" si="153"/>
        <v>Dosa</v>
      </c>
      <c r="AC1613" s="2" t="str">
        <f t="shared" si="154"/>
        <v xml:space="preserve"> ROSEMERE </v>
      </c>
      <c r="AD1613" s="26">
        <f t="shared" si="155"/>
        <v>5</v>
      </c>
      <c r="AE1613" s="26">
        <f t="shared" ca="1" si="156"/>
        <v>1.9592461805586936</v>
      </c>
    </row>
    <row r="1614" spans="1:31" hidden="1">
      <c r="A1614" s="209">
        <v>9514767</v>
      </c>
      <c r="B1614" s="209" t="s">
        <v>81</v>
      </c>
      <c r="C1614" s="210" t="s">
        <v>4210</v>
      </c>
      <c r="D1614" s="214"/>
      <c r="E1614" s="214">
        <v>159000206001</v>
      </c>
      <c r="F1614" s="209" t="s">
        <v>29</v>
      </c>
      <c r="G1614" s="209" t="s">
        <v>53</v>
      </c>
      <c r="H1614" s="209" t="s">
        <v>331</v>
      </c>
      <c r="I1614" s="209" t="s">
        <v>332</v>
      </c>
      <c r="J1614" s="209" t="s">
        <v>79</v>
      </c>
      <c r="K1614" s="210" t="s">
        <v>34</v>
      </c>
      <c r="L1614" s="210"/>
      <c r="M1614" s="209" t="s">
        <v>35</v>
      </c>
      <c r="N1614" s="209">
        <v>42318949</v>
      </c>
      <c r="O1614" s="209" t="s">
        <v>105</v>
      </c>
      <c r="P1614" s="211" t="s">
        <v>4361</v>
      </c>
      <c r="Q1614" s="209"/>
      <c r="R1614" s="209" t="s">
        <v>38</v>
      </c>
      <c r="S1614" s="209"/>
      <c r="T1614" s="209" t="s">
        <v>74</v>
      </c>
      <c r="U1614" s="213">
        <v>44985.716956018521</v>
      </c>
      <c r="V1614" s="209" t="s">
        <v>41</v>
      </c>
      <c r="W1614" s="209" t="s">
        <v>49</v>
      </c>
      <c r="X1614" s="13" t="str">
        <f>IF(RIGHT(H1614,2)&lt;&gt;"00",H1614,"")</f>
        <v/>
      </c>
      <c r="Y1614" s="26">
        <f ca="1">NETWORKDAYS(P1614,$Y$1)</f>
        <v>3</v>
      </c>
      <c r="Z1614" s="34">
        <v>1</v>
      </c>
      <c r="AA1614" s="25" t="str">
        <f t="shared" ca="1" si="152"/>
        <v>A VENCER</v>
      </c>
      <c r="AB1614" s="25" t="str">
        <f t="shared" si="153"/>
        <v>Dosa</v>
      </c>
      <c r="AC1614" s="2" t="str">
        <f t="shared" si="154"/>
        <v xml:space="preserve"> ROSEMERE </v>
      </c>
      <c r="AD1614" s="26">
        <f t="shared" si="155"/>
        <v>5</v>
      </c>
      <c r="AE1614" s="26">
        <f t="shared" ca="1" si="156"/>
        <v>1.9593156249975436</v>
      </c>
    </row>
    <row r="1615" spans="1:31" hidden="1">
      <c r="A1615" s="209">
        <v>9514714</v>
      </c>
      <c r="B1615" s="209" t="s">
        <v>81</v>
      </c>
      <c r="C1615" s="210" t="s">
        <v>4210</v>
      </c>
      <c r="D1615" s="214"/>
      <c r="E1615" s="214">
        <v>115000206001</v>
      </c>
      <c r="F1615" s="209" t="s">
        <v>29</v>
      </c>
      <c r="G1615" s="209" t="s">
        <v>53</v>
      </c>
      <c r="H1615" s="209" t="s">
        <v>542</v>
      </c>
      <c r="I1615" s="209" t="s">
        <v>543</v>
      </c>
      <c r="J1615" s="209" t="s">
        <v>56</v>
      </c>
      <c r="K1615" s="210" t="s">
        <v>34</v>
      </c>
      <c r="L1615" s="210"/>
      <c r="M1615" s="209" t="s">
        <v>35</v>
      </c>
      <c r="N1615" s="209">
        <v>42318949</v>
      </c>
      <c r="O1615" s="209" t="s">
        <v>105</v>
      </c>
      <c r="P1615" s="211" t="s">
        <v>4362</v>
      </c>
      <c r="Q1615" s="209"/>
      <c r="R1615" s="209" t="s">
        <v>38</v>
      </c>
      <c r="S1615" s="209"/>
      <c r="T1615" s="209" t="s">
        <v>74</v>
      </c>
      <c r="U1615" s="213">
        <v>44985.716863425929</v>
      </c>
      <c r="V1615" s="209" t="s">
        <v>41</v>
      </c>
      <c r="W1615" s="209" t="s">
        <v>49</v>
      </c>
      <c r="X1615" s="13" t="str">
        <f>IF(RIGHT(H1615,2)&lt;&gt;"00",H1615,"")</f>
        <v/>
      </c>
      <c r="Y1615" s="26">
        <f ca="1">NETWORKDAYS(P1615,$Y$1)</f>
        <v>3</v>
      </c>
      <c r="Z1615" s="34">
        <v>1</v>
      </c>
      <c r="AA1615" s="25" t="str">
        <f t="shared" ca="1" si="152"/>
        <v>A VENCER</v>
      </c>
      <c r="AB1615" s="25" t="str">
        <f t="shared" si="153"/>
        <v>Dosa</v>
      </c>
      <c r="AC1615" s="2" t="str">
        <f t="shared" si="154"/>
        <v xml:space="preserve"> CRISTINA </v>
      </c>
      <c r="AD1615" s="26">
        <f t="shared" si="155"/>
        <v>5</v>
      </c>
      <c r="AE1615" s="26">
        <f t="shared" ca="1" si="156"/>
        <v>1.9594197916667326</v>
      </c>
    </row>
    <row r="1616" spans="1:31" hidden="1">
      <c r="A1616" s="209">
        <v>9514657</v>
      </c>
      <c r="B1616" s="209" t="s">
        <v>81</v>
      </c>
      <c r="C1616" s="210" t="s">
        <v>4210</v>
      </c>
      <c r="D1616" s="214"/>
      <c r="E1616" s="214">
        <v>69000206001</v>
      </c>
      <c r="F1616" s="209" t="s">
        <v>29</v>
      </c>
      <c r="G1616" s="209" t="s">
        <v>53</v>
      </c>
      <c r="H1616" s="209" t="s">
        <v>1206</v>
      </c>
      <c r="I1616" s="209" t="s">
        <v>1207</v>
      </c>
      <c r="J1616" s="209" t="s">
        <v>33</v>
      </c>
      <c r="K1616" s="210" t="s">
        <v>34</v>
      </c>
      <c r="L1616" s="210"/>
      <c r="M1616" s="209" t="s">
        <v>35</v>
      </c>
      <c r="N1616" s="209">
        <v>42318949</v>
      </c>
      <c r="O1616" s="209" t="s">
        <v>105</v>
      </c>
      <c r="P1616" s="211" t="s">
        <v>4363</v>
      </c>
      <c r="Q1616" s="209"/>
      <c r="R1616" s="209" t="s">
        <v>38</v>
      </c>
      <c r="S1616" s="209"/>
      <c r="T1616" s="209" t="s">
        <v>74</v>
      </c>
      <c r="U1616" s="213">
        <v>44985.716770833336</v>
      </c>
      <c r="V1616" s="209" t="s">
        <v>41</v>
      </c>
      <c r="W1616" s="209" t="s">
        <v>42</v>
      </c>
      <c r="X1616" s="13" t="str">
        <f>IF(RIGHT(H1616,2)&lt;&gt;"00",H1616,"")</f>
        <v/>
      </c>
      <c r="Y1616" s="26">
        <f ca="1">NETWORKDAYS(P1616,$Y$1)</f>
        <v>3</v>
      </c>
      <c r="Z1616" s="34">
        <v>1</v>
      </c>
      <c r="AA1616" s="25" t="str">
        <f t="shared" ca="1" si="152"/>
        <v>A VENCER</v>
      </c>
      <c r="AB1616" s="25" t="str">
        <f t="shared" si="153"/>
        <v>Dosa</v>
      </c>
      <c r="AC1616" s="2" t="str">
        <f t="shared" si="154"/>
        <v xml:space="preserve"> ROSEMERE </v>
      </c>
      <c r="AD1616" s="26">
        <f t="shared" si="155"/>
        <v>5</v>
      </c>
      <c r="AE1616" s="26">
        <f t="shared" ca="1" si="156"/>
        <v>1.9595008101823623</v>
      </c>
    </row>
    <row r="1617" spans="1:31" hidden="1">
      <c r="A1617" s="209">
        <v>9514656</v>
      </c>
      <c r="B1617" s="209" t="s">
        <v>81</v>
      </c>
      <c r="C1617" s="210" t="s">
        <v>4210</v>
      </c>
      <c r="D1617" s="214"/>
      <c r="E1617" s="214">
        <v>68000206001</v>
      </c>
      <c r="F1617" s="209" t="s">
        <v>29</v>
      </c>
      <c r="G1617" s="209" t="s">
        <v>53</v>
      </c>
      <c r="H1617" s="209" t="s">
        <v>1330</v>
      </c>
      <c r="I1617" s="209" t="s">
        <v>1331</v>
      </c>
      <c r="J1617" s="209" t="s">
        <v>211</v>
      </c>
      <c r="K1617" s="210" t="s">
        <v>34</v>
      </c>
      <c r="L1617" s="210"/>
      <c r="M1617" s="209" t="s">
        <v>35</v>
      </c>
      <c r="N1617" s="209">
        <v>42318949</v>
      </c>
      <c r="O1617" s="209" t="s">
        <v>105</v>
      </c>
      <c r="P1617" s="211" t="s">
        <v>4364</v>
      </c>
      <c r="Q1617" s="209"/>
      <c r="R1617" s="209" t="s">
        <v>38</v>
      </c>
      <c r="S1617" s="209"/>
      <c r="T1617" s="209" t="s">
        <v>74</v>
      </c>
      <c r="U1617" s="213">
        <v>44985.716770833336</v>
      </c>
      <c r="V1617" s="209" t="s">
        <v>41</v>
      </c>
      <c r="W1617" s="209" t="s">
        <v>49</v>
      </c>
      <c r="X1617" s="13" t="str">
        <f>IF(RIGHT(H1617,2)&lt;&gt;"00",H1617,"")</f>
        <v/>
      </c>
      <c r="Y1617" s="26">
        <f ca="1">NETWORKDAYS(P1617,$Y$1)</f>
        <v>3</v>
      </c>
      <c r="Z1617" s="34">
        <v>1</v>
      </c>
      <c r="AA1617" s="25" t="str">
        <f t="shared" ca="1" si="152"/>
        <v>A VENCER</v>
      </c>
      <c r="AB1617" s="25" t="str">
        <f t="shared" si="153"/>
        <v>Dosa</v>
      </c>
      <c r="AC1617" s="2" t="str">
        <f t="shared" si="154"/>
        <v xml:space="preserve"> RINALDO </v>
      </c>
      <c r="AD1617" s="26">
        <f t="shared" si="155"/>
        <v>5</v>
      </c>
      <c r="AE1617" s="26">
        <f t="shared" ca="1" si="156"/>
        <v>1.959512384259142</v>
      </c>
    </row>
    <row r="1618" spans="1:31" hidden="1">
      <c r="A1618" s="209">
        <v>9514655</v>
      </c>
      <c r="B1618" s="209" t="s">
        <v>81</v>
      </c>
      <c r="C1618" s="210" t="s">
        <v>4210</v>
      </c>
      <c r="D1618" s="214"/>
      <c r="E1618" s="214">
        <v>67000206001</v>
      </c>
      <c r="F1618" s="209" t="s">
        <v>29</v>
      </c>
      <c r="G1618" s="209" t="s">
        <v>53</v>
      </c>
      <c r="H1618" s="209" t="s">
        <v>404</v>
      </c>
      <c r="I1618" s="209" t="s">
        <v>405</v>
      </c>
      <c r="J1618" s="209" t="s">
        <v>164</v>
      </c>
      <c r="K1618" s="210" t="s">
        <v>34</v>
      </c>
      <c r="L1618" s="210"/>
      <c r="M1618" s="209" t="s">
        <v>35</v>
      </c>
      <c r="N1618" s="209">
        <v>42318949</v>
      </c>
      <c r="O1618" s="209" t="s">
        <v>105</v>
      </c>
      <c r="P1618" s="211" t="s">
        <v>4364</v>
      </c>
      <c r="Q1618" s="209"/>
      <c r="R1618" s="209" t="s">
        <v>38</v>
      </c>
      <c r="S1618" s="209"/>
      <c r="T1618" s="209" t="s">
        <v>74</v>
      </c>
      <c r="U1618" s="213">
        <v>44985.71675925926</v>
      </c>
      <c r="V1618" s="209" t="s">
        <v>41</v>
      </c>
      <c r="W1618" s="209" t="s">
        <v>49</v>
      </c>
      <c r="X1618" s="13" t="str">
        <f>IF(RIGHT(H1618,2)&lt;&gt;"00",H1618,"")</f>
        <v/>
      </c>
      <c r="Y1618" s="26">
        <f ca="1">NETWORKDAYS(P1618,$Y$1)</f>
        <v>3</v>
      </c>
      <c r="Z1618" s="34">
        <v>1</v>
      </c>
      <c r="AA1618" s="25" t="str">
        <f t="shared" ca="1" si="152"/>
        <v>A VENCER</v>
      </c>
      <c r="AB1618" s="25" t="str">
        <f t="shared" si="153"/>
        <v>Dosa</v>
      </c>
      <c r="AC1618" s="2" t="str">
        <f t="shared" si="154"/>
        <v xml:space="preserve"> ROSEMERE </v>
      </c>
      <c r="AD1618" s="26">
        <f t="shared" si="155"/>
        <v>5</v>
      </c>
      <c r="AE1618" s="26">
        <f t="shared" ca="1" si="156"/>
        <v>1.959512384259142</v>
      </c>
    </row>
    <row r="1619" spans="1:31" hidden="1">
      <c r="A1619" s="209">
        <v>9514573</v>
      </c>
      <c r="B1619" s="209" t="s">
        <v>81</v>
      </c>
      <c r="C1619" s="210" t="s">
        <v>4210</v>
      </c>
      <c r="D1619" s="214"/>
      <c r="E1619" s="214">
        <v>7750206001</v>
      </c>
      <c r="F1619" s="209" t="s">
        <v>29</v>
      </c>
      <c r="G1619" s="209" t="s">
        <v>53</v>
      </c>
      <c r="H1619" s="209" t="s">
        <v>1921</v>
      </c>
      <c r="I1619" s="209" t="s">
        <v>630</v>
      </c>
      <c r="J1619" s="209" t="s">
        <v>46</v>
      </c>
      <c r="K1619" s="210" t="s">
        <v>34</v>
      </c>
      <c r="L1619" s="210"/>
      <c r="M1619" s="209" t="s">
        <v>35</v>
      </c>
      <c r="N1619" s="209">
        <v>42318949</v>
      </c>
      <c r="O1619" s="209" t="s">
        <v>105</v>
      </c>
      <c r="P1619" s="211" t="s">
        <v>4365</v>
      </c>
      <c r="Q1619" s="209"/>
      <c r="R1619" s="209" t="s">
        <v>38</v>
      </c>
      <c r="S1619" s="209"/>
      <c r="T1619" s="209" t="s">
        <v>74</v>
      </c>
      <c r="U1619" s="213">
        <v>44985.716643518521</v>
      </c>
      <c r="V1619" s="209" t="s">
        <v>41</v>
      </c>
      <c r="W1619" s="209" t="s">
        <v>49</v>
      </c>
      <c r="X1619" s="13" t="str">
        <f>IF(RIGHT(H1619,2)&lt;&gt;"00",H1619,"")</f>
        <v>0007.75</v>
      </c>
      <c r="Y1619" s="26">
        <f ca="1">NETWORKDAYS(P1619,$Y$1)</f>
        <v>3</v>
      </c>
      <c r="Z1619" s="34">
        <v>1</v>
      </c>
      <c r="AA1619" s="25" t="str">
        <f t="shared" ca="1" si="152"/>
        <v>A VENCER</v>
      </c>
      <c r="AB1619" s="25" t="str">
        <f t="shared" si="153"/>
        <v>Dosa</v>
      </c>
      <c r="AC1619" s="2" t="str">
        <f t="shared" si="154"/>
        <v xml:space="preserve"> CLEITON </v>
      </c>
      <c r="AD1619" s="26">
        <f t="shared" si="155"/>
        <v>5</v>
      </c>
      <c r="AE1619" s="26">
        <f t="shared" ca="1" si="156"/>
        <v>1.9596396990746143</v>
      </c>
    </row>
    <row r="1620" spans="1:31" hidden="1">
      <c r="A1620" s="209">
        <v>9514572</v>
      </c>
      <c r="B1620" s="209" t="s">
        <v>81</v>
      </c>
      <c r="C1620" s="210" t="s">
        <v>4210</v>
      </c>
      <c r="D1620" s="214"/>
      <c r="E1620" s="214">
        <v>7740206001</v>
      </c>
      <c r="F1620" s="209" t="s">
        <v>29</v>
      </c>
      <c r="G1620" s="209" t="s">
        <v>53</v>
      </c>
      <c r="H1620" s="209" t="s">
        <v>187</v>
      </c>
      <c r="I1620" s="209" t="s">
        <v>188</v>
      </c>
      <c r="J1620" s="209" t="s">
        <v>46</v>
      </c>
      <c r="K1620" s="210" t="s">
        <v>34</v>
      </c>
      <c r="L1620" s="210"/>
      <c r="M1620" s="209" t="s">
        <v>35</v>
      </c>
      <c r="N1620" s="209">
        <v>42318949</v>
      </c>
      <c r="O1620" s="209" t="s">
        <v>105</v>
      </c>
      <c r="P1620" s="211" t="s">
        <v>4365</v>
      </c>
      <c r="Q1620" s="209"/>
      <c r="R1620" s="209" t="s">
        <v>38</v>
      </c>
      <c r="S1620" s="209"/>
      <c r="T1620" s="209" t="s">
        <v>74</v>
      </c>
      <c r="U1620" s="213">
        <v>44985.716631944444</v>
      </c>
      <c r="V1620" s="209" t="s">
        <v>41</v>
      </c>
      <c r="W1620" s="209" t="s">
        <v>49</v>
      </c>
      <c r="X1620" s="13" t="str">
        <f>IF(RIGHT(H1620,2)&lt;&gt;"00",H1620,"")</f>
        <v>0007.74</v>
      </c>
      <c r="Y1620" s="26">
        <f ca="1">NETWORKDAYS(P1620,$Y$1)</f>
        <v>3</v>
      </c>
      <c r="Z1620" s="34">
        <v>1</v>
      </c>
      <c r="AA1620" s="25" t="str">
        <f t="shared" ca="1" si="152"/>
        <v>A VENCER</v>
      </c>
      <c r="AB1620" s="25" t="str">
        <f t="shared" si="153"/>
        <v>Dosa</v>
      </c>
      <c r="AC1620" s="2" t="str">
        <f t="shared" si="154"/>
        <v xml:space="preserve"> CLEITON </v>
      </c>
      <c r="AD1620" s="26">
        <f t="shared" si="155"/>
        <v>5</v>
      </c>
      <c r="AE1620" s="26">
        <f t="shared" ca="1" si="156"/>
        <v>1.9596396990746143</v>
      </c>
    </row>
    <row r="1621" spans="1:31" hidden="1">
      <c r="A1621" s="209">
        <v>9514571</v>
      </c>
      <c r="B1621" s="209" t="s">
        <v>81</v>
      </c>
      <c r="C1621" s="210" t="s">
        <v>4210</v>
      </c>
      <c r="D1621" s="214"/>
      <c r="E1621" s="214">
        <v>7710206001</v>
      </c>
      <c r="F1621" s="209" t="s">
        <v>29</v>
      </c>
      <c r="G1621" s="209" t="s">
        <v>53</v>
      </c>
      <c r="H1621" s="209" t="s">
        <v>228</v>
      </c>
      <c r="I1621" s="209" t="s">
        <v>229</v>
      </c>
      <c r="J1621" s="209" t="s">
        <v>46</v>
      </c>
      <c r="K1621" s="210" t="s">
        <v>34</v>
      </c>
      <c r="L1621" s="210"/>
      <c r="M1621" s="209" t="s">
        <v>35</v>
      </c>
      <c r="N1621" s="209">
        <v>42318949</v>
      </c>
      <c r="O1621" s="209" t="s">
        <v>105</v>
      </c>
      <c r="P1621" s="211" t="s">
        <v>4365</v>
      </c>
      <c r="Q1621" s="209"/>
      <c r="R1621" s="209" t="s">
        <v>38</v>
      </c>
      <c r="S1621" s="209"/>
      <c r="T1621" s="209" t="s">
        <v>74</v>
      </c>
      <c r="U1621" s="213">
        <v>44985.716631944444</v>
      </c>
      <c r="V1621" s="209" t="s">
        <v>41</v>
      </c>
      <c r="W1621" s="209" t="s">
        <v>49</v>
      </c>
      <c r="X1621" s="13" t="str">
        <f>IF(RIGHT(H1621,2)&lt;&gt;"00",H1621,"")</f>
        <v>0007.71</v>
      </c>
      <c r="Y1621" s="26">
        <f ca="1">NETWORKDAYS(P1621,$Y$1)</f>
        <v>3</v>
      </c>
      <c r="Z1621" s="34">
        <v>1</v>
      </c>
      <c r="AA1621" s="25" t="str">
        <f t="shared" ca="1" si="152"/>
        <v>A VENCER</v>
      </c>
      <c r="AB1621" s="25" t="str">
        <f t="shared" si="153"/>
        <v>Dosa</v>
      </c>
      <c r="AC1621" s="2" t="str">
        <f t="shared" si="154"/>
        <v xml:space="preserve"> CLEITON </v>
      </c>
      <c r="AD1621" s="26">
        <f t="shared" si="155"/>
        <v>5</v>
      </c>
      <c r="AE1621" s="26">
        <f t="shared" ca="1" si="156"/>
        <v>1.9596396990746143</v>
      </c>
    </row>
    <row r="1622" spans="1:31" hidden="1">
      <c r="A1622" s="209">
        <v>9514570</v>
      </c>
      <c r="B1622" s="209" t="s">
        <v>81</v>
      </c>
      <c r="C1622" s="210" t="s">
        <v>4210</v>
      </c>
      <c r="D1622" s="214"/>
      <c r="E1622" s="214">
        <v>7000206001</v>
      </c>
      <c r="F1622" s="209" t="s">
        <v>29</v>
      </c>
      <c r="G1622" s="209" t="s">
        <v>53</v>
      </c>
      <c r="H1622" s="209" t="s">
        <v>383</v>
      </c>
      <c r="I1622" s="209" t="s">
        <v>384</v>
      </c>
      <c r="J1622" s="209" t="s">
        <v>46</v>
      </c>
      <c r="K1622" s="210" t="s">
        <v>34</v>
      </c>
      <c r="L1622" s="210"/>
      <c r="M1622" s="209" t="s">
        <v>35</v>
      </c>
      <c r="N1622" s="209">
        <v>42318949</v>
      </c>
      <c r="O1622" s="209" t="s">
        <v>105</v>
      </c>
      <c r="P1622" s="211" t="s">
        <v>4365</v>
      </c>
      <c r="Q1622" s="209"/>
      <c r="R1622" s="209" t="s">
        <v>38</v>
      </c>
      <c r="S1622" s="209"/>
      <c r="T1622" s="209" t="s">
        <v>74</v>
      </c>
      <c r="U1622" s="213">
        <v>44985.716631944444</v>
      </c>
      <c r="V1622" s="209" t="s">
        <v>41</v>
      </c>
      <c r="W1622" s="209" t="s">
        <v>49</v>
      </c>
      <c r="X1622" s="13" t="str">
        <f>IF(RIGHT(H1622,2)&lt;&gt;"00",H1622,"")</f>
        <v/>
      </c>
      <c r="Y1622" s="26">
        <f ca="1">NETWORKDAYS(P1622,$Y$1)</f>
        <v>3</v>
      </c>
      <c r="Z1622" s="34">
        <v>1</v>
      </c>
      <c r="AA1622" s="25" t="str">
        <f t="shared" ca="1" si="152"/>
        <v>A VENCER</v>
      </c>
      <c r="AB1622" s="25" t="str">
        <f t="shared" si="153"/>
        <v>Dosa</v>
      </c>
      <c r="AC1622" s="2" t="str">
        <f t="shared" si="154"/>
        <v xml:space="preserve"> CLEITON </v>
      </c>
      <c r="AD1622" s="26">
        <f t="shared" si="155"/>
        <v>5</v>
      </c>
      <c r="AE1622" s="26">
        <f t="shared" ca="1" si="156"/>
        <v>1.9596396990746143</v>
      </c>
    </row>
    <row r="1623" spans="1:31" hidden="1">
      <c r="A1623" s="209">
        <v>9514554</v>
      </c>
      <c r="B1623" s="209" t="s">
        <v>1153</v>
      </c>
      <c r="C1623" s="210" t="s">
        <v>4366</v>
      </c>
      <c r="D1623" s="214">
        <v>20234923000083</v>
      </c>
      <c r="E1623" s="214">
        <v>7417163284583</v>
      </c>
      <c r="F1623" s="209" t="s">
        <v>131</v>
      </c>
      <c r="G1623" s="209" t="s">
        <v>53</v>
      </c>
      <c r="H1623" s="209" t="s">
        <v>2685</v>
      </c>
      <c r="I1623" s="209" t="s">
        <v>2686</v>
      </c>
      <c r="J1623" s="209" t="s">
        <v>46</v>
      </c>
      <c r="K1623" s="210" t="s">
        <v>132</v>
      </c>
      <c r="L1623" s="210"/>
      <c r="M1623" s="209" t="s">
        <v>58</v>
      </c>
      <c r="N1623" s="209">
        <v>0</v>
      </c>
      <c r="O1623" s="209" t="s">
        <v>105</v>
      </c>
      <c r="P1623" s="211" t="s">
        <v>4367</v>
      </c>
      <c r="Q1623" s="209"/>
      <c r="R1623" s="209">
        <v>14</v>
      </c>
      <c r="S1623" s="209"/>
      <c r="T1623" s="209" t="s">
        <v>238</v>
      </c>
      <c r="U1623" s="213">
        <v>44984.702210648145</v>
      </c>
      <c r="V1623" s="209" t="s">
        <v>41</v>
      </c>
      <c r="W1623" s="209" t="s">
        <v>49</v>
      </c>
      <c r="X1623" s="13" t="str">
        <f>IF(RIGHT(H1623,2)&lt;&gt;"00",H1623,"")</f>
        <v>4923.03</v>
      </c>
      <c r="Y1623" s="26">
        <f ca="1">NETWORKDAYS(P1623,$Y$1)</f>
        <v>3</v>
      </c>
      <c r="Z1623" s="34">
        <v>1</v>
      </c>
      <c r="AA1623" s="25" t="str">
        <f t="shared" ca="1" si="152"/>
        <v>A VENCER</v>
      </c>
      <c r="AB1623" s="25" t="str">
        <f t="shared" si="153"/>
        <v>TAAe+</v>
      </c>
      <c r="AC1623" s="2" t="str">
        <f t="shared" si="154"/>
        <v xml:space="preserve"> CLEITON </v>
      </c>
      <c r="AD1623" s="26">
        <f t="shared" si="155"/>
        <v>8</v>
      </c>
      <c r="AE1623" s="26">
        <f t="shared" ca="1" si="156"/>
        <v>1.9740609953732928</v>
      </c>
    </row>
    <row r="1624" spans="1:31" hidden="1">
      <c r="A1624" s="209">
        <v>9514476</v>
      </c>
      <c r="B1624" s="209" t="s">
        <v>1153</v>
      </c>
      <c r="C1624" s="210" t="s">
        <v>4368</v>
      </c>
      <c r="D1624" s="214">
        <v>20230570000010</v>
      </c>
      <c r="E1624" s="214">
        <v>7417202020537</v>
      </c>
      <c r="F1624" s="209" t="s">
        <v>1213</v>
      </c>
      <c r="G1624" s="209" t="s">
        <v>53</v>
      </c>
      <c r="H1624" s="209" t="s">
        <v>4369</v>
      </c>
      <c r="I1624" s="209" t="s">
        <v>4370</v>
      </c>
      <c r="J1624" s="209" t="s">
        <v>148</v>
      </c>
      <c r="K1624" s="210" t="s">
        <v>1214</v>
      </c>
      <c r="L1624" s="210"/>
      <c r="M1624" s="209" t="s">
        <v>58</v>
      </c>
      <c r="N1624" s="209">
        <v>0</v>
      </c>
      <c r="O1624" s="209" t="s">
        <v>105</v>
      </c>
      <c r="P1624" s="211" t="s">
        <v>4371</v>
      </c>
      <c r="Q1624" s="209"/>
      <c r="R1624" s="209">
        <v>14</v>
      </c>
      <c r="S1624" s="209"/>
      <c r="T1624" s="209" t="s">
        <v>238</v>
      </c>
      <c r="U1624" s="213">
        <v>44984.687824074077</v>
      </c>
      <c r="V1624" s="209" t="s">
        <v>41</v>
      </c>
      <c r="W1624" s="209" t="s">
        <v>49</v>
      </c>
      <c r="X1624" s="13" t="str">
        <f>IF(RIGHT(H1624,2)&lt;&gt;"00",H1624,"")</f>
        <v>0570.91</v>
      </c>
      <c r="Y1624" s="26">
        <f ca="1">NETWORKDAYS(P1624,$Y$1)</f>
        <v>3</v>
      </c>
      <c r="Z1624" s="34">
        <v>1</v>
      </c>
      <c r="AA1624" s="25" t="str">
        <f t="shared" ca="1" si="152"/>
        <v>A VENCER</v>
      </c>
      <c r="AB1624" s="25" t="str">
        <f t="shared" si="153"/>
        <v>TAAe+</v>
      </c>
      <c r="AC1624" s="2" t="str">
        <f t="shared" si="154"/>
        <v xml:space="preserve"> RINALDO </v>
      </c>
      <c r="AD1624" s="26">
        <f t="shared" si="155"/>
        <v>8</v>
      </c>
      <c r="AE1624" s="26">
        <f t="shared" ca="1" si="156"/>
        <v>1.9884475694416324</v>
      </c>
    </row>
    <row r="1625" spans="1:31" hidden="1">
      <c r="A1625" s="209">
        <v>9514414</v>
      </c>
      <c r="B1625" s="209" t="s">
        <v>1153</v>
      </c>
      <c r="C1625" s="210" t="s">
        <v>4372</v>
      </c>
      <c r="D1625" s="214">
        <v>20231650000005</v>
      </c>
      <c r="E1625" s="214">
        <v>7417163283082</v>
      </c>
      <c r="F1625" s="209" t="s">
        <v>131</v>
      </c>
      <c r="G1625" s="209" t="s">
        <v>53</v>
      </c>
      <c r="H1625" s="209" t="s">
        <v>4373</v>
      </c>
      <c r="I1625" s="209" t="s">
        <v>4374</v>
      </c>
      <c r="J1625" s="209" t="s">
        <v>141</v>
      </c>
      <c r="K1625" s="210" t="s">
        <v>132</v>
      </c>
      <c r="L1625" s="210"/>
      <c r="M1625" s="209" t="s">
        <v>58</v>
      </c>
      <c r="N1625" s="209">
        <v>0</v>
      </c>
      <c r="O1625" s="209" t="s">
        <v>36</v>
      </c>
      <c r="P1625" s="211" t="s">
        <v>4375</v>
      </c>
      <c r="Q1625" s="209"/>
      <c r="R1625" s="209">
        <v>14</v>
      </c>
      <c r="S1625" s="209"/>
      <c r="T1625" s="209" t="s">
        <v>238</v>
      </c>
      <c r="U1625" s="213">
        <v>44984.676354166666</v>
      </c>
      <c r="V1625" s="209" t="s">
        <v>41</v>
      </c>
      <c r="W1625" s="209" t="s">
        <v>49</v>
      </c>
      <c r="X1625" s="13" t="str">
        <f>IF(RIGHT(H1625,2)&lt;&gt;"00",H1625,"")</f>
        <v>1650.91</v>
      </c>
      <c r="Y1625" s="26">
        <f ca="1">NETWORKDAYS(P1625,$Y$1)</f>
        <v>3</v>
      </c>
      <c r="Z1625" s="34">
        <v>1</v>
      </c>
      <c r="AA1625" s="25" t="str">
        <f t="shared" ca="1" si="152"/>
        <v>A VENCER</v>
      </c>
      <c r="AB1625" s="25" t="str">
        <f t="shared" si="153"/>
        <v>TAAe+</v>
      </c>
      <c r="AC1625" s="2" t="str">
        <f t="shared" si="154"/>
        <v xml:space="preserve"> CRISTINA </v>
      </c>
      <c r="AD1625" s="26">
        <f t="shared" si="155"/>
        <v>8</v>
      </c>
      <c r="AE1625" s="26">
        <f t="shared" ca="1" si="156"/>
        <v>1.9999174768527155</v>
      </c>
    </row>
    <row r="1626" spans="1:31" hidden="1">
      <c r="A1626" s="209">
        <v>9514400</v>
      </c>
      <c r="B1626" s="209" t="s">
        <v>1153</v>
      </c>
      <c r="C1626" s="210" t="s">
        <v>4376</v>
      </c>
      <c r="D1626" s="214">
        <v>20230232000015</v>
      </c>
      <c r="E1626" s="214">
        <v>7419142690722</v>
      </c>
      <c r="F1626" s="209" t="s">
        <v>4377</v>
      </c>
      <c r="G1626" s="209" t="s">
        <v>53</v>
      </c>
      <c r="H1626" s="209" t="s">
        <v>1363</v>
      </c>
      <c r="I1626" s="209" t="s">
        <v>1364</v>
      </c>
      <c r="J1626" s="209" t="s">
        <v>141</v>
      </c>
      <c r="K1626" s="210" t="s">
        <v>4378</v>
      </c>
      <c r="L1626" s="210"/>
      <c r="M1626" s="209" t="s">
        <v>58</v>
      </c>
      <c r="N1626" s="209">
        <v>0</v>
      </c>
      <c r="O1626" s="209" t="s">
        <v>36</v>
      </c>
      <c r="P1626" s="211" t="s">
        <v>4379</v>
      </c>
      <c r="Q1626" s="209"/>
      <c r="R1626" s="209">
        <v>21</v>
      </c>
      <c r="S1626" s="209"/>
      <c r="T1626" s="209" t="s">
        <v>1160</v>
      </c>
      <c r="U1626" s="213">
        <v>44987.38958333333</v>
      </c>
      <c r="V1626" s="209" t="s">
        <v>41</v>
      </c>
      <c r="W1626" s="209" t="s">
        <v>49</v>
      </c>
      <c r="X1626" s="13" t="str">
        <f>IF(RIGHT(H1626,2)&lt;&gt;"00",H1626,"")</f>
        <v/>
      </c>
      <c r="Y1626" s="26">
        <f ca="1">NETWORKDAYS(P1626,$Y$1)</f>
        <v>3</v>
      </c>
      <c r="Z1626" s="34">
        <v>1</v>
      </c>
      <c r="AA1626" s="25" t="str">
        <f t="shared" ref="AA1626:AA1689" ca="1" si="157">IF(AE1626=0,"HOJE",IF(AE1626&gt;0,"A VENCER",IF(AE1626&lt;0,"VENCIDO")))</f>
        <v>A VENCER</v>
      </c>
      <c r="AB1626" s="25" t="str">
        <f t="shared" ref="AB1626:AB1689" si="158">IF(F1626="GRPE-000001","C-14",IF(F1626="GRPE-000002","C-14",IF(F1626="GRPE-000003","C-14",IF(F1626="GRPE-000004","SL-On",IF(F1626="GRPE-000038","C-14",IF(F1626="GRPE-900022","Dosa",IF(F1626="GRPE-000029","Dosa",IF(F1626="ATOS-000222","Dose","TAAe+"))))))))</f>
        <v>TAAe+</v>
      </c>
      <c r="AC1626" s="2" t="str">
        <f t="shared" ref="AC1626:AC1689" si="159">IF(J1626="TR-PETROLINA"," ROSEMERE ",IF(J1626="TR-GARANHUNS"," ROSEMERE ",IF(J1626="TR-CARUARU"," ROSEMERE ",IF(J1626="TR-RIBEIRAO"," CRISTINA ",IF(J1626="TR-GRAVATA"," CRISTINA ",IF(J1626="TR-GOIANA"," CRISTINA ",IF(J1626="TR-LIMOEIRO"," CRISTINA ",IF(J1626="TR-SERRA TALHADA"," RINALDO ",IF(J1626="TR-SALGUEIRO"," RINALDO ",IF(J1626="TR-CARNAIBA"," RINALDO ",IF(J1626="TR-ARCOVERDE"," RINALDO ",IF(J1626="CAT-RECIFE"," CLEITON ",))))))))))))</f>
        <v xml:space="preserve"> CRISTINA </v>
      </c>
      <c r="AD1626" s="26">
        <f t="shared" ref="AD1626:AD1689" si="160">IF(F1626="GRPE-000001",5,IF(F1626="GRPE-000002",5,IF(F1626="GRPE-000003",15,IF(F1626="GRPE-000004",1,IF(F1626="GRPE-000038",5,IF(F1626="GRPE-900022",5,IF(F1626="GRPE-000029",5,IF(F1626="ATOS-000222",5,8))))))))</f>
        <v>8</v>
      </c>
      <c r="AE1626" s="26">
        <f t="shared" ref="AE1626:AE1689" ca="1" si="161">IF(P1626=$AE$1,"",$AE$1-P1626)</f>
        <v>1.9950216435172479</v>
      </c>
    </row>
    <row r="1627" spans="1:31">
      <c r="A1627" s="218">
        <v>9514335</v>
      </c>
      <c r="B1627" s="218" t="s">
        <v>1153</v>
      </c>
      <c r="C1627" s="219" t="s">
        <v>4382</v>
      </c>
      <c r="D1627" s="220">
        <v>20232304000002</v>
      </c>
      <c r="E1627" s="220">
        <v>7417183020604</v>
      </c>
      <c r="F1627" s="218" t="s">
        <v>1313</v>
      </c>
      <c r="G1627" s="218" t="s">
        <v>53</v>
      </c>
      <c r="H1627" s="218" t="s">
        <v>4383</v>
      </c>
      <c r="I1627" s="218" t="s">
        <v>4384</v>
      </c>
      <c r="J1627" s="218" t="s">
        <v>85</v>
      </c>
      <c r="K1627" s="210" t="s">
        <v>1316</v>
      </c>
      <c r="L1627" s="210"/>
      <c r="M1627" s="209" t="s">
        <v>58</v>
      </c>
      <c r="N1627" s="209">
        <v>0</v>
      </c>
      <c r="O1627" s="209" t="s">
        <v>105</v>
      </c>
      <c r="P1627" s="211" t="s">
        <v>4385</v>
      </c>
      <c r="Q1627" s="209"/>
      <c r="R1627" s="209">
        <v>14</v>
      </c>
      <c r="S1627" s="209"/>
      <c r="T1627" s="209" t="s">
        <v>238</v>
      </c>
      <c r="U1627" s="213">
        <v>44984.667546296296</v>
      </c>
      <c r="V1627" s="209" t="s">
        <v>41</v>
      </c>
      <c r="W1627" s="209" t="s">
        <v>49</v>
      </c>
      <c r="X1627" s="13" t="str">
        <f>IF(RIGHT(H1627,2)&lt;&gt;"00",H1627,"")</f>
        <v>2304.91</v>
      </c>
      <c r="Y1627" s="26">
        <f ca="1">NETWORKDAYS(P1627,$Y$1)</f>
        <v>3</v>
      </c>
      <c r="Z1627" s="34">
        <v>1</v>
      </c>
      <c r="AA1627" s="25" t="str">
        <f t="shared" ca="1" si="157"/>
        <v>A VENCER</v>
      </c>
      <c r="AB1627" s="25" t="str">
        <f t="shared" si="158"/>
        <v>TAAe+</v>
      </c>
      <c r="AC1627" s="2" t="str">
        <f t="shared" si="159"/>
        <v xml:space="preserve"> RINALDO </v>
      </c>
      <c r="AD1627" s="26">
        <f t="shared" si="160"/>
        <v>8</v>
      </c>
      <c r="AE1627" s="26">
        <f t="shared" ca="1" si="161"/>
        <v>2.0087253472229349</v>
      </c>
    </row>
    <row r="1628" spans="1:31" hidden="1">
      <c r="A1628" s="209">
        <v>9514312</v>
      </c>
      <c r="B1628" s="209" t="s">
        <v>1153</v>
      </c>
      <c r="C1628" s="210" t="s">
        <v>4386</v>
      </c>
      <c r="D1628" s="214">
        <v>20234923000082</v>
      </c>
      <c r="E1628" s="214">
        <v>7417163282360</v>
      </c>
      <c r="F1628" s="209" t="s">
        <v>131</v>
      </c>
      <c r="G1628" s="209" t="s">
        <v>53</v>
      </c>
      <c r="H1628" s="209" t="s">
        <v>2682</v>
      </c>
      <c r="I1628" s="209" t="s">
        <v>2683</v>
      </c>
      <c r="J1628" s="209" t="s">
        <v>46</v>
      </c>
      <c r="K1628" s="210" t="s">
        <v>132</v>
      </c>
      <c r="L1628" s="210"/>
      <c r="M1628" s="209" t="s">
        <v>58</v>
      </c>
      <c r="N1628" s="209">
        <v>0</v>
      </c>
      <c r="O1628" s="209" t="s">
        <v>105</v>
      </c>
      <c r="P1628" s="211" t="s">
        <v>4387</v>
      </c>
      <c r="Q1628" s="209"/>
      <c r="R1628" s="209">
        <v>13</v>
      </c>
      <c r="S1628" s="209"/>
      <c r="T1628" s="209" t="s">
        <v>238</v>
      </c>
      <c r="U1628" s="213">
        <v>44984.661956018521</v>
      </c>
      <c r="V1628" s="209" t="s">
        <v>41</v>
      </c>
      <c r="W1628" s="209" t="s">
        <v>49</v>
      </c>
      <c r="X1628" s="13" t="str">
        <f>IF(RIGHT(H1628,2)&lt;&gt;"00",H1628,"")</f>
        <v>4923.02</v>
      </c>
      <c r="Y1628" s="26">
        <f ca="1">NETWORKDAYS(P1628,$Y$1)</f>
        <v>3</v>
      </c>
      <c r="Z1628" s="34">
        <v>1</v>
      </c>
      <c r="AA1628" s="25" t="str">
        <f t="shared" ca="1" si="157"/>
        <v>A VENCER</v>
      </c>
      <c r="AB1628" s="25" t="str">
        <f t="shared" si="158"/>
        <v>TAAe+</v>
      </c>
      <c r="AC1628" s="2" t="str">
        <f t="shared" si="159"/>
        <v xml:space="preserve"> CLEITON </v>
      </c>
      <c r="AD1628" s="26">
        <f t="shared" si="160"/>
        <v>8</v>
      </c>
      <c r="AE1628" s="26">
        <f t="shared" ca="1" si="161"/>
        <v>2.0143156249978347</v>
      </c>
    </row>
    <row r="1629" spans="1:31" hidden="1">
      <c r="A1629" s="209">
        <v>9514198</v>
      </c>
      <c r="B1629" s="209" t="s">
        <v>1153</v>
      </c>
      <c r="C1629" s="210" t="s">
        <v>4388</v>
      </c>
      <c r="D1629" s="214">
        <v>20230594000016</v>
      </c>
      <c r="E1629" s="214">
        <v>7417202020500</v>
      </c>
      <c r="F1629" s="209" t="s">
        <v>1213</v>
      </c>
      <c r="G1629" s="209" t="s">
        <v>53</v>
      </c>
      <c r="H1629" s="209" t="s">
        <v>3670</v>
      </c>
      <c r="I1629" s="209" t="s">
        <v>3671</v>
      </c>
      <c r="J1629" s="209" t="s">
        <v>33</v>
      </c>
      <c r="K1629" s="210" t="s">
        <v>1214</v>
      </c>
      <c r="L1629" s="210"/>
      <c r="M1629" s="209" t="s">
        <v>58</v>
      </c>
      <c r="N1629" s="209">
        <v>0</v>
      </c>
      <c r="O1629" s="209" t="s">
        <v>105</v>
      </c>
      <c r="P1629" s="211" t="s">
        <v>4389</v>
      </c>
      <c r="Q1629" s="209"/>
      <c r="R1629" s="209">
        <v>15</v>
      </c>
      <c r="S1629" s="209"/>
      <c r="T1629" s="209" t="s">
        <v>238</v>
      </c>
      <c r="U1629" s="213">
        <v>44984.632916666669</v>
      </c>
      <c r="V1629" s="209" t="s">
        <v>41</v>
      </c>
      <c r="W1629" s="209" t="s">
        <v>42</v>
      </c>
      <c r="X1629" s="13" t="str">
        <f>IF(RIGHT(H1629,2)&lt;&gt;"00",H1629,"")</f>
        <v>0594.91</v>
      </c>
      <c r="Y1629" s="26">
        <f ca="1">NETWORKDAYS(P1629,$Y$1)</f>
        <v>3</v>
      </c>
      <c r="Z1629" s="34">
        <v>1</v>
      </c>
      <c r="AA1629" s="25" t="str">
        <f t="shared" ca="1" si="157"/>
        <v>A VENCER</v>
      </c>
      <c r="AB1629" s="25" t="str">
        <f t="shared" si="158"/>
        <v>TAAe+</v>
      </c>
      <c r="AC1629" s="2" t="str">
        <f t="shared" si="159"/>
        <v xml:space="preserve"> ROSEMERE </v>
      </c>
      <c r="AD1629" s="26">
        <f t="shared" si="160"/>
        <v>8</v>
      </c>
      <c r="AE1629" s="26">
        <f t="shared" ca="1" si="161"/>
        <v>2.0433549768495141</v>
      </c>
    </row>
    <row r="1630" spans="1:31" hidden="1">
      <c r="A1630" s="209">
        <v>9514083</v>
      </c>
      <c r="B1630" s="209" t="s">
        <v>1153</v>
      </c>
      <c r="C1630" s="210" t="s">
        <v>4390</v>
      </c>
      <c r="D1630" s="214">
        <v>20230673000012</v>
      </c>
      <c r="E1630" s="214">
        <v>7417163283586</v>
      </c>
      <c r="F1630" s="209" t="s">
        <v>131</v>
      </c>
      <c r="G1630" s="209" t="s">
        <v>53</v>
      </c>
      <c r="H1630" s="209" t="s">
        <v>4391</v>
      </c>
      <c r="I1630" s="209" t="s">
        <v>4392</v>
      </c>
      <c r="J1630" s="209" t="s">
        <v>110</v>
      </c>
      <c r="K1630" s="210" t="s">
        <v>132</v>
      </c>
      <c r="L1630" s="210"/>
      <c r="M1630" s="209" t="s">
        <v>58</v>
      </c>
      <c r="N1630" s="209">
        <v>0</v>
      </c>
      <c r="O1630" s="209" t="s">
        <v>105</v>
      </c>
      <c r="P1630" s="211" t="s">
        <v>4393</v>
      </c>
      <c r="Q1630" s="209"/>
      <c r="R1630" s="209">
        <v>14</v>
      </c>
      <c r="S1630" s="209"/>
      <c r="T1630" s="209" t="s">
        <v>238</v>
      </c>
      <c r="U1630" s="211" t="s">
        <v>4393</v>
      </c>
      <c r="V1630" s="209" t="s">
        <v>41</v>
      </c>
      <c r="W1630" s="209" t="s">
        <v>49</v>
      </c>
      <c r="X1630" s="13" t="str">
        <f>IF(RIGHT(H1630,2)&lt;&gt;"00",H1630,"")</f>
        <v>0673.91</v>
      </c>
      <c r="Y1630" s="26">
        <f ca="1">NETWORKDAYS(P1630,$Y$1)</f>
        <v>3</v>
      </c>
      <c r="Z1630" s="34">
        <v>1</v>
      </c>
      <c r="AA1630" s="25" t="str">
        <f t="shared" ca="1" si="157"/>
        <v>A VENCER</v>
      </c>
      <c r="AB1630" s="25" t="str">
        <f t="shared" si="158"/>
        <v>TAAe+</v>
      </c>
      <c r="AC1630" s="2" t="str">
        <f t="shared" si="159"/>
        <v xml:space="preserve"> CRISTINA </v>
      </c>
      <c r="AD1630" s="26">
        <f t="shared" si="160"/>
        <v>8</v>
      </c>
      <c r="AE1630" s="26">
        <f t="shared" ca="1" si="161"/>
        <v>2.0631003472226439</v>
      </c>
    </row>
    <row r="1631" spans="1:31" hidden="1">
      <c r="A1631" s="209">
        <v>9514040</v>
      </c>
      <c r="B1631" s="209" t="s">
        <v>1153</v>
      </c>
      <c r="C1631" s="210" t="s">
        <v>4394</v>
      </c>
      <c r="D1631" s="214"/>
      <c r="E1631" s="214">
        <v>3242000206001</v>
      </c>
      <c r="F1631" s="209" t="s">
        <v>29</v>
      </c>
      <c r="G1631" s="209" t="s">
        <v>53</v>
      </c>
      <c r="H1631" s="209" t="s">
        <v>461</v>
      </c>
      <c r="I1631" s="209" t="s">
        <v>462</v>
      </c>
      <c r="J1631" s="209" t="s">
        <v>46</v>
      </c>
      <c r="K1631" s="210" t="s">
        <v>34</v>
      </c>
      <c r="L1631" s="210"/>
      <c r="M1631" s="209" t="s">
        <v>35</v>
      </c>
      <c r="N1631" s="209">
        <v>42318949</v>
      </c>
      <c r="O1631" s="209" t="s">
        <v>36</v>
      </c>
      <c r="P1631" s="211" t="s">
        <v>4395</v>
      </c>
      <c r="Q1631" s="209"/>
      <c r="R1631" s="209" t="s">
        <v>38</v>
      </c>
      <c r="S1631" s="209"/>
      <c r="T1631" s="209" t="s">
        <v>74</v>
      </c>
      <c r="U1631" s="213">
        <v>44991.625</v>
      </c>
      <c r="V1631" s="209" t="s">
        <v>41</v>
      </c>
      <c r="W1631" s="209" t="s">
        <v>49</v>
      </c>
      <c r="X1631" s="13" t="str">
        <f>IF(RIGHT(H1631,2)&lt;&gt;"00",H1631,"")</f>
        <v/>
      </c>
      <c r="Y1631" s="26">
        <f ca="1">NETWORKDAYS(P1631,$Y$1)</f>
        <v>3</v>
      </c>
      <c r="Z1631" s="34">
        <v>1</v>
      </c>
      <c r="AA1631" s="25" t="str">
        <f t="shared" ca="1" si="157"/>
        <v>A VENCER</v>
      </c>
      <c r="AB1631" s="25" t="str">
        <f t="shared" si="158"/>
        <v>Dosa</v>
      </c>
      <c r="AC1631" s="2" t="str">
        <f t="shared" si="159"/>
        <v xml:space="preserve"> CLEITON </v>
      </c>
      <c r="AD1631" s="26">
        <f t="shared" si="160"/>
        <v>5</v>
      </c>
      <c r="AE1631" s="26">
        <f t="shared" ca="1" si="161"/>
        <v>2.0551142361146049</v>
      </c>
    </row>
    <row r="1632" spans="1:31" hidden="1">
      <c r="A1632" s="209">
        <v>9514012</v>
      </c>
      <c r="B1632" s="209" t="s">
        <v>1153</v>
      </c>
      <c r="C1632" s="210" t="s">
        <v>4397</v>
      </c>
      <c r="D1632" s="214">
        <v>20234844000585</v>
      </c>
      <c r="E1632" s="214">
        <v>7419143323103</v>
      </c>
      <c r="F1632" s="209" t="s">
        <v>1222</v>
      </c>
      <c r="G1632" s="209" t="s">
        <v>53</v>
      </c>
      <c r="H1632" s="209" t="s">
        <v>2690</v>
      </c>
      <c r="I1632" s="209" t="s">
        <v>2691</v>
      </c>
      <c r="J1632" s="209" t="s">
        <v>46</v>
      </c>
      <c r="K1632" s="210" t="s">
        <v>1223</v>
      </c>
      <c r="L1632" s="210"/>
      <c r="M1632" s="209" t="s">
        <v>58</v>
      </c>
      <c r="N1632" s="209">
        <v>0</v>
      </c>
      <c r="O1632" s="209" t="s">
        <v>105</v>
      </c>
      <c r="P1632" s="211" t="s">
        <v>4398</v>
      </c>
      <c r="Q1632" s="209"/>
      <c r="R1632" s="209">
        <v>13</v>
      </c>
      <c r="S1632" s="209"/>
      <c r="T1632" s="209" t="s">
        <v>238</v>
      </c>
      <c r="U1632" s="213">
        <v>44984.604074074072</v>
      </c>
      <c r="V1632" s="209" t="s">
        <v>41</v>
      </c>
      <c r="W1632" s="209" t="s">
        <v>49</v>
      </c>
      <c r="X1632" s="13" t="str">
        <f>IF(RIGHT(H1632,2)&lt;&gt;"00",H1632,"")</f>
        <v>4844.16</v>
      </c>
      <c r="Y1632" s="26">
        <f ca="1">NETWORKDAYS(P1632,$Y$1)</f>
        <v>3</v>
      </c>
      <c r="Z1632" s="34">
        <v>1</v>
      </c>
      <c r="AA1632" s="25" t="str">
        <f t="shared" ca="1" si="157"/>
        <v>A VENCER</v>
      </c>
      <c r="AB1632" s="25" t="str">
        <f t="shared" si="158"/>
        <v>TAAe+</v>
      </c>
      <c r="AC1632" s="2" t="str">
        <f t="shared" si="159"/>
        <v xml:space="preserve"> CLEITON </v>
      </c>
      <c r="AD1632" s="26">
        <f t="shared" si="160"/>
        <v>8</v>
      </c>
      <c r="AE1632" s="26">
        <f t="shared" ca="1" si="161"/>
        <v>2.0721975694468711</v>
      </c>
    </row>
    <row r="1633" spans="1:31" hidden="1">
      <c r="A1633" s="209">
        <v>9513970</v>
      </c>
      <c r="B1633" s="209" t="s">
        <v>1153</v>
      </c>
      <c r="C1633" s="210" t="s">
        <v>4399</v>
      </c>
      <c r="D1633" s="214">
        <v>20234844000583</v>
      </c>
      <c r="E1633" s="214">
        <v>7417161481310</v>
      </c>
      <c r="F1633" s="209" t="s">
        <v>1979</v>
      </c>
      <c r="G1633" s="209" t="s">
        <v>53</v>
      </c>
      <c r="H1633" s="209" t="s">
        <v>2816</v>
      </c>
      <c r="I1633" s="209" t="s">
        <v>2817</v>
      </c>
      <c r="J1633" s="209" t="s">
        <v>46</v>
      </c>
      <c r="K1633" s="210" t="s">
        <v>1982</v>
      </c>
      <c r="L1633" s="210"/>
      <c r="M1633" s="209" t="s">
        <v>58</v>
      </c>
      <c r="N1633" s="209">
        <v>0</v>
      </c>
      <c r="O1633" s="209" t="s">
        <v>105</v>
      </c>
      <c r="P1633" s="211" t="s">
        <v>4400</v>
      </c>
      <c r="Q1633" s="209"/>
      <c r="R1633" s="209">
        <v>13</v>
      </c>
      <c r="S1633" s="209"/>
      <c r="T1633" s="209" t="s">
        <v>238</v>
      </c>
      <c r="U1633" s="213">
        <v>44984.588437500002</v>
      </c>
      <c r="V1633" s="209" t="s">
        <v>41</v>
      </c>
      <c r="W1633" s="209" t="s">
        <v>49</v>
      </c>
      <c r="X1633" s="13" t="str">
        <f>IF(RIGHT(H1633,2)&lt;&gt;"00",H1633,"")</f>
        <v>4844.64</v>
      </c>
      <c r="Y1633" s="26">
        <f ca="1">NETWORKDAYS(P1633,$Y$1)</f>
        <v>3</v>
      </c>
      <c r="Z1633" s="34">
        <v>1</v>
      </c>
      <c r="AA1633" s="25" t="str">
        <f t="shared" ca="1" si="157"/>
        <v>A VENCER</v>
      </c>
      <c r="AB1633" s="25" t="str">
        <f t="shared" si="158"/>
        <v>TAAe+</v>
      </c>
      <c r="AC1633" s="2" t="str">
        <f t="shared" si="159"/>
        <v xml:space="preserve"> CLEITON </v>
      </c>
      <c r="AD1633" s="26">
        <f t="shared" si="160"/>
        <v>8</v>
      </c>
      <c r="AE1633" s="26">
        <f t="shared" ca="1" si="161"/>
        <v>2.0878341435163748</v>
      </c>
    </row>
    <row r="1634" spans="1:31" hidden="1">
      <c r="A1634" s="209">
        <v>9513961</v>
      </c>
      <c r="B1634" s="209" t="s">
        <v>1153</v>
      </c>
      <c r="C1634" s="210" t="s">
        <v>4401</v>
      </c>
      <c r="D1634" s="214">
        <v>20234844000584</v>
      </c>
      <c r="E1634" s="214">
        <v>7417161483340</v>
      </c>
      <c r="F1634" s="209" t="s">
        <v>1217</v>
      </c>
      <c r="G1634" s="209" t="s">
        <v>53</v>
      </c>
      <c r="H1634" s="209" t="s">
        <v>2444</v>
      </c>
      <c r="I1634" s="209" t="s">
        <v>2445</v>
      </c>
      <c r="J1634" s="209" t="s">
        <v>46</v>
      </c>
      <c r="K1634" s="210" t="s">
        <v>1218</v>
      </c>
      <c r="L1634" s="210"/>
      <c r="M1634" s="209" t="s">
        <v>58</v>
      </c>
      <c r="N1634" s="209">
        <v>0</v>
      </c>
      <c r="O1634" s="209" t="s">
        <v>105</v>
      </c>
      <c r="P1634" s="211" t="s">
        <v>4402</v>
      </c>
      <c r="Q1634" s="209"/>
      <c r="R1634" s="209">
        <v>13</v>
      </c>
      <c r="S1634" s="209"/>
      <c r="T1634" s="209" t="s">
        <v>238</v>
      </c>
      <c r="U1634" s="213">
        <v>44984.589212962965</v>
      </c>
      <c r="V1634" s="209" t="s">
        <v>41</v>
      </c>
      <c r="W1634" s="209" t="s">
        <v>49</v>
      </c>
      <c r="X1634" s="13" t="str">
        <f>IF(RIGHT(H1634,2)&lt;&gt;"00",H1634,"")</f>
        <v>4844.80</v>
      </c>
      <c r="Y1634" s="26">
        <f ca="1">NETWORKDAYS(P1634,$Y$1)</f>
        <v>3</v>
      </c>
      <c r="Z1634" s="34">
        <v>1</v>
      </c>
      <c r="AA1634" s="25" t="str">
        <f t="shared" ca="1" si="157"/>
        <v>A VENCER</v>
      </c>
      <c r="AB1634" s="25" t="str">
        <f t="shared" si="158"/>
        <v>TAAe+</v>
      </c>
      <c r="AC1634" s="2" t="str">
        <f t="shared" si="159"/>
        <v xml:space="preserve"> CLEITON </v>
      </c>
      <c r="AD1634" s="26">
        <f t="shared" si="160"/>
        <v>8</v>
      </c>
      <c r="AE1634" s="26">
        <f t="shared" ca="1" si="161"/>
        <v>2.087058680554037</v>
      </c>
    </row>
    <row r="1635" spans="1:31" hidden="1">
      <c r="A1635" s="209">
        <v>9513926</v>
      </c>
      <c r="B1635" s="209" t="s">
        <v>1153</v>
      </c>
      <c r="C1635" s="210" t="s">
        <v>4403</v>
      </c>
      <c r="D1635" s="214">
        <v>20234844000582</v>
      </c>
      <c r="E1635" s="214">
        <v>7419141893209</v>
      </c>
      <c r="F1635" s="209" t="s">
        <v>128</v>
      </c>
      <c r="G1635" s="209" t="s">
        <v>53</v>
      </c>
      <c r="H1635" s="209" t="s">
        <v>3946</v>
      </c>
      <c r="I1635" s="209" t="s">
        <v>3947</v>
      </c>
      <c r="J1635" s="209" t="s">
        <v>46</v>
      </c>
      <c r="K1635" s="210" t="s">
        <v>129</v>
      </c>
      <c r="L1635" s="210"/>
      <c r="M1635" s="209" t="s">
        <v>58</v>
      </c>
      <c r="N1635" s="209">
        <v>0</v>
      </c>
      <c r="O1635" s="209" t="s">
        <v>105</v>
      </c>
      <c r="P1635" s="211" t="s">
        <v>4404</v>
      </c>
      <c r="Q1635" s="209"/>
      <c r="R1635" s="209">
        <v>13</v>
      </c>
      <c r="S1635" s="209"/>
      <c r="T1635" s="209" t="s">
        <v>238</v>
      </c>
      <c r="U1635" s="213">
        <v>44984.585509259261</v>
      </c>
      <c r="V1635" s="209" t="s">
        <v>41</v>
      </c>
      <c r="W1635" s="209" t="s">
        <v>49</v>
      </c>
      <c r="X1635" s="13" t="str">
        <f>IF(RIGHT(H1635,2)&lt;&gt;"00",H1635,"")</f>
        <v>4844.82</v>
      </c>
      <c r="Y1635" s="26">
        <f ca="1">NETWORKDAYS(P1635,$Y$1)</f>
        <v>3</v>
      </c>
      <c r="Z1635" s="34">
        <v>1</v>
      </c>
      <c r="AA1635" s="25" t="str">
        <f t="shared" ca="1" si="157"/>
        <v>A VENCER</v>
      </c>
      <c r="AB1635" s="25" t="str">
        <f t="shared" si="158"/>
        <v>TAAe+</v>
      </c>
      <c r="AC1635" s="2" t="str">
        <f t="shared" si="159"/>
        <v xml:space="preserve"> CLEITON </v>
      </c>
      <c r="AD1635" s="26">
        <f t="shared" si="160"/>
        <v>8</v>
      </c>
      <c r="AE1635" s="26">
        <f t="shared" ca="1" si="161"/>
        <v>2.0907623842576868</v>
      </c>
    </row>
    <row r="1636" spans="1:31" hidden="1">
      <c r="A1636" s="209">
        <v>9513922</v>
      </c>
      <c r="B1636" s="209" t="s">
        <v>1153</v>
      </c>
      <c r="C1636" s="210" t="s">
        <v>4405</v>
      </c>
      <c r="D1636" s="214">
        <v>20230834000010</v>
      </c>
      <c r="E1636" s="214">
        <v>7417163285089</v>
      </c>
      <c r="F1636" s="209" t="s">
        <v>131</v>
      </c>
      <c r="G1636" s="209" t="s">
        <v>53</v>
      </c>
      <c r="H1636" s="209" t="s">
        <v>4089</v>
      </c>
      <c r="I1636" s="209" t="s">
        <v>4090</v>
      </c>
      <c r="J1636" s="209" t="s">
        <v>261</v>
      </c>
      <c r="K1636" s="210" t="s">
        <v>132</v>
      </c>
      <c r="L1636" s="210"/>
      <c r="M1636" s="209" t="s">
        <v>58</v>
      </c>
      <c r="N1636" s="209">
        <v>0</v>
      </c>
      <c r="O1636" s="209" t="s">
        <v>105</v>
      </c>
      <c r="P1636" s="211" t="s">
        <v>4406</v>
      </c>
      <c r="Q1636" s="209"/>
      <c r="R1636" s="209">
        <v>14</v>
      </c>
      <c r="S1636" s="209"/>
      <c r="T1636" s="209" t="s">
        <v>238</v>
      </c>
      <c r="U1636" s="213">
        <v>44984.585914351854</v>
      </c>
      <c r="V1636" s="209" t="s">
        <v>41</v>
      </c>
      <c r="W1636" s="209" t="s">
        <v>49</v>
      </c>
      <c r="X1636" s="13" t="str">
        <f>IF(RIGHT(H1636,2)&lt;&gt;"00",H1636,"")</f>
        <v>0834.91</v>
      </c>
      <c r="Y1636" s="26">
        <f ca="1">NETWORKDAYS(P1636,$Y$1)</f>
        <v>3</v>
      </c>
      <c r="Z1636" s="34">
        <v>1</v>
      </c>
      <c r="AA1636" s="25" t="str">
        <f t="shared" ca="1" si="157"/>
        <v>A VENCER</v>
      </c>
      <c r="AB1636" s="25" t="str">
        <f t="shared" si="158"/>
        <v>TAAe+</v>
      </c>
      <c r="AC1636" s="2" t="str">
        <f t="shared" si="159"/>
        <v xml:space="preserve"> CRISTINA </v>
      </c>
      <c r="AD1636" s="26">
        <f t="shared" si="160"/>
        <v>8</v>
      </c>
      <c r="AE1636" s="26">
        <f t="shared" ca="1" si="161"/>
        <v>2.0903572916649864</v>
      </c>
    </row>
    <row r="1637" spans="1:31" hidden="1">
      <c r="A1637" s="209">
        <v>9513921</v>
      </c>
      <c r="B1637" s="209" t="s">
        <v>1153</v>
      </c>
      <c r="C1637" s="210" t="s">
        <v>4407</v>
      </c>
      <c r="D1637" s="214">
        <v>20230834000009</v>
      </c>
      <c r="E1637" s="214">
        <v>7417172788843</v>
      </c>
      <c r="F1637" s="209" t="s">
        <v>1989</v>
      </c>
      <c r="G1637" s="209" t="s">
        <v>53</v>
      </c>
      <c r="H1637" s="209" t="s">
        <v>367</v>
      </c>
      <c r="I1637" s="209" t="s">
        <v>368</v>
      </c>
      <c r="J1637" s="209" t="s">
        <v>261</v>
      </c>
      <c r="K1637" s="210" t="s">
        <v>1990</v>
      </c>
      <c r="L1637" s="210"/>
      <c r="M1637" s="209" t="s">
        <v>58</v>
      </c>
      <c r="N1637" s="209">
        <v>0</v>
      </c>
      <c r="O1637" s="209" t="s">
        <v>105</v>
      </c>
      <c r="P1637" s="211" t="s">
        <v>4408</v>
      </c>
      <c r="Q1637" s="209"/>
      <c r="R1637" s="209">
        <v>22</v>
      </c>
      <c r="S1637" s="209"/>
      <c r="T1637" s="209" t="s">
        <v>1160</v>
      </c>
      <c r="U1637" s="213">
        <v>44987.41814814815</v>
      </c>
      <c r="V1637" s="209" t="s">
        <v>41</v>
      </c>
      <c r="W1637" s="209" t="s">
        <v>49</v>
      </c>
      <c r="X1637" s="13" t="str">
        <f>IF(RIGHT(H1637,2)&lt;&gt;"00",H1637,"")</f>
        <v/>
      </c>
      <c r="Y1637" s="26">
        <f ca="1">NETWORKDAYS(P1637,$Y$1)</f>
        <v>3</v>
      </c>
      <c r="Z1637" s="34">
        <v>1</v>
      </c>
      <c r="AA1637" s="25" t="str">
        <f t="shared" ca="1" si="157"/>
        <v>A VENCER</v>
      </c>
      <c r="AB1637" s="25" t="str">
        <f t="shared" si="158"/>
        <v>TAAe+</v>
      </c>
      <c r="AC1637" s="2" t="str">
        <f t="shared" si="159"/>
        <v xml:space="preserve"> CRISTINA </v>
      </c>
      <c r="AD1637" s="26">
        <f t="shared" si="160"/>
        <v>8</v>
      </c>
      <c r="AE1637" s="26">
        <f t="shared" ca="1" si="161"/>
        <v>2.0914568287043949</v>
      </c>
    </row>
    <row r="1638" spans="1:31" hidden="1">
      <c r="A1638" s="209">
        <v>9513884</v>
      </c>
      <c r="B1638" s="209" t="s">
        <v>1153</v>
      </c>
      <c r="C1638" s="210" t="s">
        <v>4410</v>
      </c>
      <c r="D1638" s="214">
        <v>20231710000014</v>
      </c>
      <c r="E1638" s="214">
        <v>7417160929230</v>
      </c>
      <c r="F1638" s="209" t="s">
        <v>2770</v>
      </c>
      <c r="G1638" s="209" t="s">
        <v>53</v>
      </c>
      <c r="H1638" s="209" t="s">
        <v>327</v>
      </c>
      <c r="I1638" s="209" t="s">
        <v>328</v>
      </c>
      <c r="J1638" s="209" t="s">
        <v>261</v>
      </c>
      <c r="K1638" s="210" t="s">
        <v>2771</v>
      </c>
      <c r="L1638" s="210"/>
      <c r="M1638" s="209" t="s">
        <v>58</v>
      </c>
      <c r="N1638" s="209">
        <v>0</v>
      </c>
      <c r="O1638" s="209" t="s">
        <v>36</v>
      </c>
      <c r="P1638" s="211" t="s">
        <v>4411</v>
      </c>
      <c r="Q1638" s="209"/>
      <c r="R1638" s="209">
        <v>23</v>
      </c>
      <c r="S1638" s="209"/>
      <c r="T1638" s="209" t="s">
        <v>1160</v>
      </c>
      <c r="U1638" s="213">
        <v>44988.569837962961</v>
      </c>
      <c r="V1638" s="209" t="s">
        <v>41</v>
      </c>
      <c r="W1638" s="209" t="s">
        <v>49</v>
      </c>
      <c r="X1638" s="13" t="str">
        <f>IF(RIGHT(H1638,2)&lt;&gt;"00",H1638,"")</f>
        <v/>
      </c>
      <c r="Y1638" s="26">
        <f ca="1">NETWORKDAYS(P1638,$Y$1)</f>
        <v>3</v>
      </c>
      <c r="Z1638" s="34">
        <v>1</v>
      </c>
      <c r="AA1638" s="25" t="str">
        <f t="shared" ca="1" si="157"/>
        <v>A VENCER</v>
      </c>
      <c r="AB1638" s="25" t="str">
        <f t="shared" si="158"/>
        <v>TAAe+</v>
      </c>
      <c r="AC1638" s="2" t="str">
        <f t="shared" si="159"/>
        <v xml:space="preserve"> CRISTINA </v>
      </c>
      <c r="AD1638" s="26">
        <f t="shared" si="160"/>
        <v>8</v>
      </c>
      <c r="AE1638" s="26">
        <f t="shared" ca="1" si="161"/>
        <v>2.1064336805575294</v>
      </c>
    </row>
    <row r="1639" spans="1:31">
      <c r="A1639" s="216">
        <v>9513837</v>
      </c>
      <c r="B1639" s="216" t="s">
        <v>1153</v>
      </c>
      <c r="C1639" s="182" t="s">
        <v>4790</v>
      </c>
      <c r="D1639" s="217">
        <v>20230981000010</v>
      </c>
      <c r="E1639" s="217">
        <v>7419141892156</v>
      </c>
      <c r="F1639" s="216" t="s">
        <v>128</v>
      </c>
      <c r="G1639" s="216" t="s">
        <v>53</v>
      </c>
      <c r="H1639" s="216" t="s">
        <v>4414</v>
      </c>
      <c r="I1639" s="216" t="s">
        <v>4415</v>
      </c>
      <c r="J1639" s="216" t="s">
        <v>85</v>
      </c>
      <c r="K1639" s="210" t="s">
        <v>129</v>
      </c>
      <c r="L1639" s="210"/>
      <c r="M1639" s="209" t="s">
        <v>58</v>
      </c>
      <c r="N1639" s="209">
        <v>0</v>
      </c>
      <c r="O1639" s="209" t="s">
        <v>105</v>
      </c>
      <c r="P1639" s="211" t="s">
        <v>4416</v>
      </c>
      <c r="Q1639" s="209"/>
      <c r="R1639" s="209">
        <v>14</v>
      </c>
      <c r="S1639" s="209"/>
      <c r="T1639" s="209" t="s">
        <v>238</v>
      </c>
      <c r="U1639" s="211" t="s">
        <v>4416</v>
      </c>
      <c r="V1639" s="209" t="s">
        <v>41</v>
      </c>
      <c r="W1639" s="209" t="s">
        <v>49</v>
      </c>
      <c r="X1639" s="13" t="str">
        <f>IF(RIGHT(H1639,2)&lt;&gt;"00",H1639,"")</f>
        <v>0981.91</v>
      </c>
      <c r="Y1639" s="26">
        <f ca="1">NETWORKDAYS(P1639,$Y$1)</f>
        <v>3</v>
      </c>
      <c r="Z1639" s="34">
        <v>1</v>
      </c>
      <c r="AA1639" s="25" t="str">
        <f t="shared" ca="1" si="157"/>
        <v>A VENCER</v>
      </c>
      <c r="AB1639" s="25" t="str">
        <f t="shared" si="158"/>
        <v>TAAe+</v>
      </c>
      <c r="AC1639" s="2" t="str">
        <f t="shared" si="159"/>
        <v xml:space="preserve"> RINALDO </v>
      </c>
      <c r="AD1639" s="26">
        <f t="shared" si="160"/>
        <v>8</v>
      </c>
      <c r="AE1639" s="26">
        <f t="shared" ca="1" si="161"/>
        <v>2.1120934027785552</v>
      </c>
    </row>
    <row r="1640" spans="1:31" hidden="1">
      <c r="A1640" s="209">
        <v>9513822</v>
      </c>
      <c r="B1640" s="209" t="s">
        <v>1153</v>
      </c>
      <c r="C1640" s="210" t="s">
        <v>4417</v>
      </c>
      <c r="D1640" s="214">
        <v>20234844000580</v>
      </c>
      <c r="E1640" s="214">
        <v>7419151140107</v>
      </c>
      <c r="F1640" s="209" t="s">
        <v>2058</v>
      </c>
      <c r="G1640" s="209" t="s">
        <v>53</v>
      </c>
      <c r="H1640" s="209" t="s">
        <v>2690</v>
      </c>
      <c r="I1640" s="209" t="s">
        <v>2691</v>
      </c>
      <c r="J1640" s="209" t="s">
        <v>46</v>
      </c>
      <c r="K1640" s="210" t="s">
        <v>2061</v>
      </c>
      <c r="L1640" s="210"/>
      <c r="M1640" s="209" t="s">
        <v>58</v>
      </c>
      <c r="N1640" s="209">
        <v>0</v>
      </c>
      <c r="O1640" s="209" t="s">
        <v>105</v>
      </c>
      <c r="P1640" s="211" t="s">
        <v>4418</v>
      </c>
      <c r="Q1640" s="209"/>
      <c r="R1640" s="209">
        <v>13</v>
      </c>
      <c r="S1640" s="209"/>
      <c r="T1640" s="209" t="s">
        <v>238</v>
      </c>
      <c r="U1640" s="211" t="s">
        <v>4418</v>
      </c>
      <c r="V1640" s="209" t="s">
        <v>41</v>
      </c>
      <c r="W1640" s="209" t="s">
        <v>49</v>
      </c>
      <c r="X1640" s="13" t="str">
        <f>IF(RIGHT(H1640,2)&lt;&gt;"00",H1640,"")</f>
        <v>4844.16</v>
      </c>
      <c r="Y1640" s="26">
        <f ca="1">NETWORKDAYS(P1640,$Y$1)</f>
        <v>3</v>
      </c>
      <c r="Z1640" s="34">
        <v>1</v>
      </c>
      <c r="AA1640" s="25" t="str">
        <f t="shared" ca="1" si="157"/>
        <v>A VENCER</v>
      </c>
      <c r="AB1640" s="25" t="str">
        <f t="shared" si="158"/>
        <v>TAAe+</v>
      </c>
      <c r="AC1640" s="2" t="str">
        <f t="shared" si="159"/>
        <v xml:space="preserve"> CLEITON </v>
      </c>
      <c r="AD1640" s="26">
        <f t="shared" si="160"/>
        <v>8</v>
      </c>
      <c r="AE1640" s="26">
        <f t="shared" ca="1" si="161"/>
        <v>2.1144892361116945</v>
      </c>
    </row>
    <row r="1641" spans="1:31" hidden="1">
      <c r="A1641" s="209">
        <v>9513591</v>
      </c>
      <c r="B1641" s="209" t="s">
        <v>1153</v>
      </c>
      <c r="C1641" s="210" t="s">
        <v>4419</v>
      </c>
      <c r="D1641" s="214">
        <v>20234844000576</v>
      </c>
      <c r="E1641" s="214">
        <v>7419151140113</v>
      </c>
      <c r="F1641" s="209" t="s">
        <v>2058</v>
      </c>
      <c r="G1641" s="209" t="s">
        <v>53</v>
      </c>
      <c r="H1641" s="209" t="s">
        <v>2816</v>
      </c>
      <c r="I1641" s="209" t="s">
        <v>2817</v>
      </c>
      <c r="J1641" s="209" t="s">
        <v>46</v>
      </c>
      <c r="K1641" s="210" t="s">
        <v>2061</v>
      </c>
      <c r="L1641" s="210"/>
      <c r="M1641" s="209" t="s">
        <v>58</v>
      </c>
      <c r="N1641" s="209">
        <v>0</v>
      </c>
      <c r="O1641" s="209" t="s">
        <v>105</v>
      </c>
      <c r="P1641" s="211" t="s">
        <v>4420</v>
      </c>
      <c r="Q1641" s="209"/>
      <c r="R1641" s="209">
        <v>13</v>
      </c>
      <c r="S1641" s="209"/>
      <c r="T1641" s="209" t="s">
        <v>238</v>
      </c>
      <c r="U1641" s="211" t="s">
        <v>4420</v>
      </c>
      <c r="V1641" s="209" t="s">
        <v>41</v>
      </c>
      <c r="W1641" s="209" t="s">
        <v>49</v>
      </c>
      <c r="X1641" s="13" t="str">
        <f>IF(RIGHT(H1641,2)&lt;&gt;"00",H1641,"")</f>
        <v>4844.64</v>
      </c>
      <c r="Y1641" s="26">
        <f ca="1">NETWORKDAYS(P1641,$Y$1)</f>
        <v>3</v>
      </c>
      <c r="Z1641" s="34">
        <v>1</v>
      </c>
      <c r="AA1641" s="25" t="str">
        <f t="shared" ca="1" si="157"/>
        <v>A VENCER</v>
      </c>
      <c r="AB1641" s="25" t="str">
        <f t="shared" si="158"/>
        <v>TAAe+</v>
      </c>
      <c r="AC1641" s="2" t="str">
        <f t="shared" si="159"/>
        <v xml:space="preserve"> CLEITON </v>
      </c>
      <c r="AD1641" s="26">
        <f t="shared" si="160"/>
        <v>8</v>
      </c>
      <c r="AE1641" s="26">
        <f t="shared" ca="1" si="161"/>
        <v>2.1755887731487746</v>
      </c>
    </row>
    <row r="1642" spans="1:31" hidden="1">
      <c r="A1642" s="209">
        <v>9513574</v>
      </c>
      <c r="B1642" s="209" t="s">
        <v>1153</v>
      </c>
      <c r="C1642" s="210" t="s">
        <v>4421</v>
      </c>
      <c r="D1642" s="214"/>
      <c r="E1642" s="214">
        <v>446000206001</v>
      </c>
      <c r="F1642" s="209" t="s">
        <v>29</v>
      </c>
      <c r="G1642" s="209" t="s">
        <v>53</v>
      </c>
      <c r="H1642" s="209" t="s">
        <v>432</v>
      </c>
      <c r="I1642" s="209" t="s">
        <v>433</v>
      </c>
      <c r="J1642" s="209" t="s">
        <v>110</v>
      </c>
      <c r="K1642" s="210" t="s">
        <v>34</v>
      </c>
      <c r="L1642" s="210"/>
      <c r="M1642" s="209" t="s">
        <v>35</v>
      </c>
      <c r="N1642" s="209">
        <v>42318949</v>
      </c>
      <c r="O1642" s="209" t="s">
        <v>36</v>
      </c>
      <c r="P1642" s="211" t="s">
        <v>4422</v>
      </c>
      <c r="Q1642" s="209"/>
      <c r="R1642" s="209" t="s">
        <v>38</v>
      </c>
      <c r="S1642" s="209"/>
      <c r="T1642" s="209" t="s">
        <v>74</v>
      </c>
      <c r="U1642" s="211" t="s">
        <v>4423</v>
      </c>
      <c r="V1642" s="209" t="s">
        <v>41</v>
      </c>
      <c r="W1642" s="209" t="s">
        <v>49</v>
      </c>
      <c r="X1642" s="13" t="str">
        <f>IF(RIGHT(H1642,2)&lt;&gt;"00",H1642,"")</f>
        <v/>
      </c>
      <c r="Y1642" s="26">
        <f ca="1">NETWORKDAYS(P1642,$Y$1)</f>
        <v>3</v>
      </c>
      <c r="Z1642" s="34">
        <v>1</v>
      </c>
      <c r="AA1642" s="25" t="str">
        <f t="shared" ca="1" si="157"/>
        <v>A VENCER</v>
      </c>
      <c r="AB1642" s="25" t="str">
        <f t="shared" si="158"/>
        <v>Dosa</v>
      </c>
      <c r="AC1642" s="2" t="str">
        <f t="shared" si="159"/>
        <v xml:space="preserve"> CRISTINA </v>
      </c>
      <c r="AD1642" s="26">
        <f t="shared" si="160"/>
        <v>5</v>
      </c>
      <c r="AE1642" s="26">
        <f t="shared" ca="1" si="161"/>
        <v>2.1592346064790036</v>
      </c>
    </row>
    <row r="1643" spans="1:31" hidden="1">
      <c r="A1643" s="209">
        <v>9513536</v>
      </c>
      <c r="B1643" s="209" t="s">
        <v>1153</v>
      </c>
      <c r="C1643" s="210" t="s">
        <v>4426</v>
      </c>
      <c r="D1643" s="214">
        <v>20234844000575</v>
      </c>
      <c r="E1643" s="214">
        <v>7419143322489</v>
      </c>
      <c r="F1643" s="209" t="s">
        <v>1222</v>
      </c>
      <c r="G1643" s="209" t="s">
        <v>53</v>
      </c>
      <c r="H1643" s="209" t="s">
        <v>2992</v>
      </c>
      <c r="I1643" s="209" t="s">
        <v>2993</v>
      </c>
      <c r="J1643" s="209" t="s">
        <v>46</v>
      </c>
      <c r="K1643" s="210" t="s">
        <v>1223</v>
      </c>
      <c r="L1643" s="210"/>
      <c r="M1643" s="209" t="s">
        <v>58</v>
      </c>
      <c r="N1643" s="209">
        <v>0</v>
      </c>
      <c r="O1643" s="209" t="s">
        <v>105</v>
      </c>
      <c r="P1643" s="211" t="s">
        <v>4427</v>
      </c>
      <c r="Q1643" s="209"/>
      <c r="R1643" s="209">
        <v>13</v>
      </c>
      <c r="S1643" s="209"/>
      <c r="T1643" s="209" t="s">
        <v>238</v>
      </c>
      <c r="U1643" s="211" t="s">
        <v>4427</v>
      </c>
      <c r="V1643" s="209" t="s">
        <v>41</v>
      </c>
      <c r="W1643" s="209" t="s">
        <v>49</v>
      </c>
      <c r="X1643" s="13" t="str">
        <f>IF(RIGHT(H1643,2)&lt;&gt;"00",H1643,"")</f>
        <v>4844.03</v>
      </c>
      <c r="Y1643" s="26">
        <f ca="1">NETWORKDAYS(P1643,$Y$1)</f>
        <v>3</v>
      </c>
      <c r="Z1643" s="34">
        <v>1</v>
      </c>
      <c r="AA1643" s="25" t="str">
        <f t="shared" ca="1" si="157"/>
        <v>A VENCER</v>
      </c>
      <c r="AB1643" s="25" t="str">
        <f t="shared" si="158"/>
        <v>TAAe+</v>
      </c>
      <c r="AC1643" s="2" t="str">
        <f t="shared" si="159"/>
        <v xml:space="preserve"> CLEITON </v>
      </c>
      <c r="AD1643" s="26">
        <f t="shared" si="160"/>
        <v>8</v>
      </c>
      <c r="AE1643" s="26">
        <f t="shared" ca="1" si="161"/>
        <v>2.1824059027785552</v>
      </c>
    </row>
    <row r="1644" spans="1:31" hidden="1">
      <c r="A1644" s="209">
        <v>9513412</v>
      </c>
      <c r="B1644" s="209" t="s">
        <v>1153</v>
      </c>
      <c r="C1644" s="210" t="s">
        <v>4428</v>
      </c>
      <c r="D1644" s="214">
        <v>20232239000014</v>
      </c>
      <c r="E1644" s="214">
        <v>7417211830539</v>
      </c>
      <c r="F1644" s="209" t="s">
        <v>1936</v>
      </c>
      <c r="G1644" s="209" t="s">
        <v>53</v>
      </c>
      <c r="H1644" s="209" t="s">
        <v>2838</v>
      </c>
      <c r="I1644" s="209" t="s">
        <v>2839</v>
      </c>
      <c r="J1644" s="209" t="s">
        <v>261</v>
      </c>
      <c r="K1644" s="210" t="s">
        <v>1939</v>
      </c>
      <c r="L1644" s="210"/>
      <c r="M1644" s="209" t="s">
        <v>58</v>
      </c>
      <c r="N1644" s="209">
        <v>0</v>
      </c>
      <c r="O1644" s="209" t="s">
        <v>105</v>
      </c>
      <c r="P1644" s="211" t="s">
        <v>4429</v>
      </c>
      <c r="Q1644" s="209"/>
      <c r="R1644" s="209">
        <v>14</v>
      </c>
      <c r="S1644" s="209"/>
      <c r="T1644" s="209" t="s">
        <v>238</v>
      </c>
      <c r="U1644" s="211" t="s">
        <v>4429</v>
      </c>
      <c r="V1644" s="209" t="s">
        <v>41</v>
      </c>
      <c r="W1644" s="209" t="s">
        <v>49</v>
      </c>
      <c r="X1644" s="13" t="str">
        <f>IF(RIGHT(H1644,2)&lt;&gt;"00",H1644,"")</f>
        <v>2239.91</v>
      </c>
      <c r="Y1644" s="26">
        <f ca="1">NETWORKDAYS(P1644,$Y$1)</f>
        <v>3</v>
      </c>
      <c r="Z1644" s="34">
        <v>1</v>
      </c>
      <c r="AA1644" s="25" t="str">
        <f t="shared" ca="1" si="157"/>
        <v>A VENCER</v>
      </c>
      <c r="AB1644" s="25" t="str">
        <f t="shared" si="158"/>
        <v>TAAe+</v>
      </c>
      <c r="AC1644" s="2" t="str">
        <f t="shared" si="159"/>
        <v xml:space="preserve"> CRISTINA </v>
      </c>
      <c r="AD1644" s="26">
        <f t="shared" si="160"/>
        <v>8</v>
      </c>
      <c r="AE1644" s="26">
        <f t="shared" ca="1" si="161"/>
        <v>2.2054846064784215</v>
      </c>
    </row>
    <row r="1645" spans="1:31" hidden="1">
      <c r="A1645" s="209">
        <v>9513402</v>
      </c>
      <c r="B1645" s="209" t="s">
        <v>1153</v>
      </c>
      <c r="C1645" s="210" t="s">
        <v>4430</v>
      </c>
      <c r="D1645" s="214">
        <v>20232335000006</v>
      </c>
      <c r="E1645" s="214">
        <v>7419141892794</v>
      </c>
      <c r="F1645" s="209" t="s">
        <v>128</v>
      </c>
      <c r="G1645" s="209" t="s">
        <v>53</v>
      </c>
      <c r="H1645" s="209" t="s">
        <v>2643</v>
      </c>
      <c r="I1645" s="209" t="s">
        <v>2644</v>
      </c>
      <c r="J1645" s="209" t="s">
        <v>110</v>
      </c>
      <c r="K1645" s="210" t="s">
        <v>129</v>
      </c>
      <c r="L1645" s="210"/>
      <c r="M1645" s="209" t="s">
        <v>58</v>
      </c>
      <c r="N1645" s="209">
        <v>0</v>
      </c>
      <c r="O1645" s="209" t="s">
        <v>105</v>
      </c>
      <c r="P1645" s="211" t="s">
        <v>4431</v>
      </c>
      <c r="Q1645" s="209"/>
      <c r="R1645" s="209">
        <v>14</v>
      </c>
      <c r="S1645" s="209"/>
      <c r="T1645" s="209" t="s">
        <v>238</v>
      </c>
      <c r="U1645" s="211" t="s">
        <v>4431</v>
      </c>
      <c r="V1645" s="209" t="s">
        <v>41</v>
      </c>
      <c r="W1645" s="209" t="s">
        <v>49</v>
      </c>
      <c r="X1645" s="13" t="str">
        <f>IF(RIGHT(H1645,2)&lt;&gt;"00",H1645,"")</f>
        <v>2335.91</v>
      </c>
      <c r="Y1645" s="26">
        <f ca="1">NETWORKDAYS(P1645,$Y$1)</f>
        <v>3</v>
      </c>
      <c r="Z1645" s="34">
        <v>1</v>
      </c>
      <c r="AA1645" s="25" t="str">
        <f t="shared" ca="1" si="157"/>
        <v>A VENCER</v>
      </c>
      <c r="AB1645" s="25" t="str">
        <f t="shared" si="158"/>
        <v>TAAe+</v>
      </c>
      <c r="AC1645" s="2" t="str">
        <f t="shared" si="159"/>
        <v xml:space="preserve"> CRISTINA </v>
      </c>
      <c r="AD1645" s="26">
        <f t="shared" si="160"/>
        <v>8</v>
      </c>
      <c r="AE1645" s="26">
        <f t="shared" ca="1" si="161"/>
        <v>2.2090378472203156</v>
      </c>
    </row>
    <row r="1646" spans="1:31">
      <c r="A1646" s="216">
        <v>9513345</v>
      </c>
      <c r="B1646" s="216" t="s">
        <v>1153</v>
      </c>
      <c r="C1646" s="182" t="s">
        <v>4791</v>
      </c>
      <c r="D1646" s="217"/>
      <c r="E1646" s="217">
        <v>2304000206021</v>
      </c>
      <c r="F1646" s="216" t="s">
        <v>103</v>
      </c>
      <c r="G1646" s="216" t="s">
        <v>53</v>
      </c>
      <c r="H1646" s="216" t="s">
        <v>2711</v>
      </c>
      <c r="I1646" s="216" t="s">
        <v>2712</v>
      </c>
      <c r="J1646" s="216" t="s">
        <v>85</v>
      </c>
      <c r="K1646" s="210" t="s">
        <v>104</v>
      </c>
      <c r="L1646" s="210"/>
      <c r="M1646" s="209" t="s">
        <v>58</v>
      </c>
      <c r="N1646" s="209">
        <v>0</v>
      </c>
      <c r="O1646" s="209" t="s">
        <v>36</v>
      </c>
      <c r="P1646" s="211" t="s">
        <v>4433</v>
      </c>
      <c r="Q1646" s="209"/>
      <c r="R1646" s="209" t="s">
        <v>38</v>
      </c>
      <c r="S1646" s="209"/>
      <c r="T1646" s="209" t="s">
        <v>74</v>
      </c>
      <c r="U1646" s="211" t="s">
        <v>4434</v>
      </c>
      <c r="V1646" s="209" t="s">
        <v>41</v>
      </c>
      <c r="W1646" s="209" t="s">
        <v>49</v>
      </c>
      <c r="X1646" s="13" t="str">
        <f>IF(RIGHT(H1646,2)&lt;&gt;"00",H1646,"")</f>
        <v/>
      </c>
      <c r="Y1646" s="26">
        <f ca="1">NETWORKDAYS(P1646,$Y$1)</f>
        <v>3</v>
      </c>
      <c r="Z1646" s="34">
        <v>1</v>
      </c>
      <c r="AA1646" s="25" t="str">
        <f t="shared" ca="1" si="157"/>
        <v>A VENCER</v>
      </c>
      <c r="AB1646" s="25" t="str">
        <f t="shared" si="158"/>
        <v>Dosa</v>
      </c>
      <c r="AC1646" s="2" t="str">
        <f t="shared" si="159"/>
        <v xml:space="preserve"> RINALDO </v>
      </c>
      <c r="AD1646" s="26">
        <f t="shared" si="160"/>
        <v>5</v>
      </c>
      <c r="AE1646" s="26">
        <f t="shared" ca="1" si="161"/>
        <v>2.1997785879648291</v>
      </c>
    </row>
    <row r="1647" spans="1:31" hidden="1">
      <c r="A1647" s="209">
        <v>9513334</v>
      </c>
      <c r="B1647" s="209" t="s">
        <v>1153</v>
      </c>
      <c r="C1647" s="210" t="s">
        <v>4435</v>
      </c>
      <c r="D1647" s="214">
        <v>20230711000021</v>
      </c>
      <c r="E1647" s="214">
        <v>7419141893475</v>
      </c>
      <c r="F1647" s="209" t="s">
        <v>128</v>
      </c>
      <c r="G1647" s="209" t="s">
        <v>53</v>
      </c>
      <c r="H1647" s="209" t="s">
        <v>2858</v>
      </c>
      <c r="I1647" s="209" t="s">
        <v>2859</v>
      </c>
      <c r="J1647" s="209" t="s">
        <v>79</v>
      </c>
      <c r="K1647" s="210" t="s">
        <v>129</v>
      </c>
      <c r="L1647" s="210"/>
      <c r="M1647" s="209" t="s">
        <v>58</v>
      </c>
      <c r="N1647" s="209">
        <v>0</v>
      </c>
      <c r="O1647" s="209" t="s">
        <v>105</v>
      </c>
      <c r="P1647" s="211" t="s">
        <v>4436</v>
      </c>
      <c r="Q1647" s="209"/>
      <c r="R1647" s="209">
        <v>14</v>
      </c>
      <c r="S1647" s="209"/>
      <c r="T1647" s="209" t="s">
        <v>238</v>
      </c>
      <c r="U1647" s="211" t="s">
        <v>4436</v>
      </c>
      <c r="V1647" s="209" t="s">
        <v>41</v>
      </c>
      <c r="W1647" s="209" t="s">
        <v>49</v>
      </c>
      <c r="X1647" s="13" t="str">
        <f>IF(RIGHT(H1647,2)&lt;&gt;"00",H1647,"")</f>
        <v>0711.91</v>
      </c>
      <c r="Y1647" s="26">
        <f ca="1">NETWORKDAYS(P1647,$Y$1)</f>
        <v>3</v>
      </c>
      <c r="Z1647" s="34">
        <v>1</v>
      </c>
      <c r="AA1647" s="25" t="str">
        <f t="shared" ca="1" si="157"/>
        <v>A VENCER</v>
      </c>
      <c r="AB1647" s="25" t="str">
        <f t="shared" si="158"/>
        <v>TAAe+</v>
      </c>
      <c r="AC1647" s="2" t="str">
        <f t="shared" si="159"/>
        <v xml:space="preserve"> ROSEMERE </v>
      </c>
      <c r="AD1647" s="26">
        <f t="shared" si="160"/>
        <v>8</v>
      </c>
      <c r="AE1647" s="26">
        <f t="shared" ca="1" si="161"/>
        <v>2.2163758101887652</v>
      </c>
    </row>
    <row r="1648" spans="1:31" hidden="1">
      <c r="A1648" s="209">
        <v>9513314</v>
      </c>
      <c r="B1648" s="209" t="s">
        <v>1153</v>
      </c>
      <c r="C1648" s="210" t="s">
        <v>4437</v>
      </c>
      <c r="D1648" s="214">
        <v>20234844000573</v>
      </c>
      <c r="E1648" s="214">
        <v>7417163282352</v>
      </c>
      <c r="F1648" s="209" t="s">
        <v>131</v>
      </c>
      <c r="G1648" s="209" t="s">
        <v>53</v>
      </c>
      <c r="H1648" s="209" t="s">
        <v>2816</v>
      </c>
      <c r="I1648" s="209" t="s">
        <v>2817</v>
      </c>
      <c r="J1648" s="209" t="s">
        <v>46</v>
      </c>
      <c r="K1648" s="210" t="s">
        <v>132</v>
      </c>
      <c r="L1648" s="210"/>
      <c r="M1648" s="209" t="s">
        <v>58</v>
      </c>
      <c r="N1648" s="209">
        <v>0</v>
      </c>
      <c r="O1648" s="209" t="s">
        <v>105</v>
      </c>
      <c r="P1648" s="211" t="s">
        <v>4438</v>
      </c>
      <c r="Q1648" s="209"/>
      <c r="R1648" s="209">
        <v>13</v>
      </c>
      <c r="S1648" s="209"/>
      <c r="T1648" s="209" t="s">
        <v>238</v>
      </c>
      <c r="U1648" s="211" t="s">
        <v>4438</v>
      </c>
      <c r="V1648" s="209" t="s">
        <v>41</v>
      </c>
      <c r="W1648" s="209" t="s">
        <v>49</v>
      </c>
      <c r="X1648" s="13" t="str">
        <f>IF(RIGHT(H1648,2)&lt;&gt;"00",H1648,"")</f>
        <v>4844.64</v>
      </c>
      <c r="Y1648" s="26">
        <f ca="1">NETWORKDAYS(P1648,$Y$1)</f>
        <v>3</v>
      </c>
      <c r="Z1648" s="34">
        <v>1</v>
      </c>
      <c r="AA1648" s="25" t="str">
        <f t="shared" ca="1" si="157"/>
        <v>A VENCER</v>
      </c>
      <c r="AB1648" s="25" t="str">
        <f t="shared" si="158"/>
        <v>TAAe+</v>
      </c>
      <c r="AC1648" s="2" t="str">
        <f t="shared" si="159"/>
        <v xml:space="preserve"> CLEITON </v>
      </c>
      <c r="AD1648" s="26">
        <f t="shared" si="160"/>
        <v>8</v>
      </c>
      <c r="AE1648" s="26">
        <f t="shared" ca="1" si="161"/>
        <v>2.2109475694451248</v>
      </c>
    </row>
    <row r="1649" spans="1:31" hidden="1">
      <c r="A1649" s="209">
        <v>9513210</v>
      </c>
      <c r="B1649" s="209" t="s">
        <v>1153</v>
      </c>
      <c r="C1649" s="210" t="s">
        <v>4439</v>
      </c>
      <c r="D1649" s="214"/>
      <c r="E1649" s="214">
        <v>1902016136000</v>
      </c>
      <c r="F1649" s="209" t="s">
        <v>64</v>
      </c>
      <c r="G1649" s="209" t="s">
        <v>53</v>
      </c>
      <c r="H1649" s="209" t="s">
        <v>303</v>
      </c>
      <c r="I1649" s="209" t="s">
        <v>304</v>
      </c>
      <c r="J1649" s="209" t="s">
        <v>261</v>
      </c>
      <c r="K1649" s="210" t="s">
        <v>67</v>
      </c>
      <c r="L1649" s="210"/>
      <c r="M1649" s="209" t="s">
        <v>35</v>
      </c>
      <c r="N1649" s="209">
        <v>42318949</v>
      </c>
      <c r="O1649" s="209" t="s">
        <v>36</v>
      </c>
      <c r="P1649" s="211" t="s">
        <v>4440</v>
      </c>
      <c r="Q1649" s="209"/>
      <c r="R1649" s="209" t="s">
        <v>571</v>
      </c>
      <c r="S1649" s="209"/>
      <c r="T1649" s="209" t="s">
        <v>69</v>
      </c>
      <c r="U1649" s="211" t="s">
        <v>4441</v>
      </c>
      <c r="V1649" s="209" t="s">
        <v>41</v>
      </c>
      <c r="W1649" s="209" t="s">
        <v>49</v>
      </c>
      <c r="X1649" s="13" t="str">
        <f>IF(RIGHT(H1649,2)&lt;&gt;"00",H1649,"")</f>
        <v/>
      </c>
      <c r="Y1649" s="26">
        <f ca="1">NETWORKDAYS(P1649,$Y$1)</f>
        <v>3</v>
      </c>
      <c r="Z1649" s="34">
        <v>1</v>
      </c>
      <c r="AA1649" s="25" t="str">
        <f t="shared" ca="1" si="157"/>
        <v>A VENCER</v>
      </c>
      <c r="AB1649" s="25" t="str">
        <f t="shared" si="158"/>
        <v>TAAe+</v>
      </c>
      <c r="AC1649" s="2" t="str">
        <f t="shared" si="159"/>
        <v xml:space="preserve"> CRISTINA </v>
      </c>
      <c r="AD1649" s="26">
        <f t="shared" si="160"/>
        <v>8</v>
      </c>
      <c r="AE1649" s="26">
        <f t="shared" ca="1" si="161"/>
        <v>2.2184938657374005</v>
      </c>
    </row>
    <row r="1650" spans="1:31" hidden="1">
      <c r="A1650" s="209">
        <v>9513179</v>
      </c>
      <c r="B1650" s="209" t="s">
        <v>1153</v>
      </c>
      <c r="C1650" s="210" t="s">
        <v>4442</v>
      </c>
      <c r="D1650" s="214">
        <v>20234844000571</v>
      </c>
      <c r="E1650" s="214">
        <v>7417183020603</v>
      </c>
      <c r="F1650" s="209" t="s">
        <v>1313</v>
      </c>
      <c r="G1650" s="209" t="s">
        <v>53</v>
      </c>
      <c r="H1650" s="209" t="s">
        <v>2850</v>
      </c>
      <c r="I1650" s="209" t="s">
        <v>2851</v>
      </c>
      <c r="J1650" s="209" t="s">
        <v>46</v>
      </c>
      <c r="K1650" s="210" t="s">
        <v>1316</v>
      </c>
      <c r="L1650" s="210"/>
      <c r="M1650" s="209" t="s">
        <v>58</v>
      </c>
      <c r="N1650" s="209">
        <v>0</v>
      </c>
      <c r="O1650" s="209" t="s">
        <v>36</v>
      </c>
      <c r="P1650" s="211" t="s">
        <v>4443</v>
      </c>
      <c r="Q1650" s="209"/>
      <c r="R1650" s="209">
        <v>13</v>
      </c>
      <c r="S1650" s="209"/>
      <c r="T1650" s="209" t="s">
        <v>238</v>
      </c>
      <c r="U1650" s="211" t="s">
        <v>4443</v>
      </c>
      <c r="V1650" s="209" t="s">
        <v>41</v>
      </c>
      <c r="W1650" s="209" t="s">
        <v>49</v>
      </c>
      <c r="X1650" s="13" t="str">
        <f>IF(RIGHT(H1650,2)&lt;&gt;"00",H1650,"")</f>
        <v>4844.02</v>
      </c>
      <c r="Y1650" s="26">
        <f ca="1">NETWORKDAYS(P1650,$Y$1)</f>
        <v>3</v>
      </c>
      <c r="Z1650" s="34">
        <v>1</v>
      </c>
      <c r="AA1650" s="25" t="str">
        <f t="shared" ca="1" si="157"/>
        <v>A VENCER</v>
      </c>
      <c r="AB1650" s="25" t="str">
        <f t="shared" si="158"/>
        <v>TAAe+</v>
      </c>
      <c r="AC1650" s="2" t="str">
        <f t="shared" si="159"/>
        <v xml:space="preserve"> CLEITON </v>
      </c>
      <c r="AD1650" s="26">
        <f t="shared" si="160"/>
        <v>8</v>
      </c>
      <c r="AE1650" s="26">
        <f t="shared" ca="1" si="161"/>
        <v>2.2347785879610456</v>
      </c>
    </row>
    <row r="1651" spans="1:31" hidden="1">
      <c r="A1651" s="209">
        <v>9513174</v>
      </c>
      <c r="B1651" s="209" t="s">
        <v>1153</v>
      </c>
      <c r="C1651" s="210" t="s">
        <v>4444</v>
      </c>
      <c r="D1651" s="214">
        <v>20234844000570</v>
      </c>
      <c r="E1651" s="214">
        <v>7417183022026</v>
      </c>
      <c r="F1651" s="209" t="s">
        <v>1313</v>
      </c>
      <c r="G1651" s="209" t="s">
        <v>53</v>
      </c>
      <c r="H1651" s="209" t="s">
        <v>3946</v>
      </c>
      <c r="I1651" s="209" t="s">
        <v>3947</v>
      </c>
      <c r="J1651" s="209" t="s">
        <v>46</v>
      </c>
      <c r="K1651" s="210" t="s">
        <v>1316</v>
      </c>
      <c r="L1651" s="210"/>
      <c r="M1651" s="209" t="s">
        <v>58</v>
      </c>
      <c r="N1651" s="209">
        <v>0</v>
      </c>
      <c r="O1651" s="209" t="s">
        <v>105</v>
      </c>
      <c r="P1651" s="211" t="s">
        <v>4445</v>
      </c>
      <c r="Q1651" s="209"/>
      <c r="R1651" s="209">
        <v>13</v>
      </c>
      <c r="S1651" s="209"/>
      <c r="T1651" s="209" t="s">
        <v>238</v>
      </c>
      <c r="U1651" s="211" t="s">
        <v>4445</v>
      </c>
      <c r="V1651" s="209" t="s">
        <v>41</v>
      </c>
      <c r="W1651" s="209" t="s">
        <v>49</v>
      </c>
      <c r="X1651" s="13" t="str">
        <f>IF(RIGHT(H1651,2)&lt;&gt;"00",H1651,"")</f>
        <v>4844.82</v>
      </c>
      <c r="Y1651" s="26">
        <f ca="1">NETWORKDAYS(P1651,$Y$1)</f>
        <v>3</v>
      </c>
      <c r="Z1651" s="34">
        <v>1</v>
      </c>
      <c r="AA1651" s="25" t="str">
        <f t="shared" ca="1" si="157"/>
        <v>A VENCER</v>
      </c>
      <c r="AB1651" s="25" t="str">
        <f t="shared" si="158"/>
        <v>TAAe+</v>
      </c>
      <c r="AC1651" s="2" t="str">
        <f t="shared" si="159"/>
        <v xml:space="preserve"> CLEITON </v>
      </c>
      <c r="AD1651" s="26">
        <f t="shared" si="160"/>
        <v>8</v>
      </c>
      <c r="AE1651" s="26">
        <f t="shared" ca="1" si="161"/>
        <v>2.2410980324057164</v>
      </c>
    </row>
    <row r="1652" spans="1:31">
      <c r="A1652" s="216">
        <v>9513110</v>
      </c>
      <c r="B1652" s="216" t="s">
        <v>1153</v>
      </c>
      <c r="C1652" s="182" t="s">
        <v>4792</v>
      </c>
      <c r="D1652" s="217">
        <v>20231028000011</v>
      </c>
      <c r="E1652" s="217">
        <v>7417163283625</v>
      </c>
      <c r="F1652" s="216" t="s">
        <v>131</v>
      </c>
      <c r="G1652" s="216" t="s">
        <v>53</v>
      </c>
      <c r="H1652" s="216" t="s">
        <v>2107</v>
      </c>
      <c r="I1652" s="216" t="s">
        <v>2108</v>
      </c>
      <c r="J1652" s="216" t="s">
        <v>85</v>
      </c>
      <c r="K1652" s="210" t="s">
        <v>132</v>
      </c>
      <c r="L1652" s="210"/>
      <c r="M1652" s="209" t="s">
        <v>58</v>
      </c>
      <c r="N1652" s="209">
        <v>0</v>
      </c>
      <c r="O1652" s="209" t="s">
        <v>105</v>
      </c>
      <c r="P1652" s="211" t="s">
        <v>4447</v>
      </c>
      <c r="Q1652" s="209"/>
      <c r="R1652" s="209">
        <v>14</v>
      </c>
      <c r="S1652" s="209"/>
      <c r="T1652" s="209" t="s">
        <v>238</v>
      </c>
      <c r="U1652" s="211" t="s">
        <v>4447</v>
      </c>
      <c r="V1652" s="209" t="s">
        <v>41</v>
      </c>
      <c r="W1652" s="209" t="s">
        <v>49</v>
      </c>
      <c r="X1652" s="13" t="str">
        <f>IF(RIGHT(H1652,2)&lt;&gt;"00",H1652,"")</f>
        <v>1028.91</v>
      </c>
      <c r="Y1652" s="26">
        <f ca="1">NETWORKDAYS(P1652,$Y$1)</f>
        <v>3</v>
      </c>
      <c r="Z1652" s="34">
        <v>1</v>
      </c>
      <c r="AA1652" s="25" t="str">
        <f t="shared" ca="1" si="157"/>
        <v>A VENCER</v>
      </c>
      <c r="AB1652" s="25" t="str">
        <f t="shared" si="158"/>
        <v>TAAe+</v>
      </c>
      <c r="AC1652" s="2" t="str">
        <f t="shared" si="159"/>
        <v xml:space="preserve"> RINALDO </v>
      </c>
      <c r="AD1652" s="26">
        <f t="shared" si="160"/>
        <v>8</v>
      </c>
      <c r="AE1652" s="26">
        <f t="shared" ca="1" si="161"/>
        <v>2.2437137731467374</v>
      </c>
    </row>
    <row r="1653" spans="1:31" hidden="1">
      <c r="A1653" s="209">
        <v>9513049</v>
      </c>
      <c r="B1653" s="209" t="s">
        <v>1153</v>
      </c>
      <c r="C1653" s="210" t="s">
        <v>4448</v>
      </c>
      <c r="D1653" s="214"/>
      <c r="E1653" s="214">
        <v>1363000203000</v>
      </c>
      <c r="F1653" s="209" t="s">
        <v>454</v>
      </c>
      <c r="G1653" s="209" t="s">
        <v>53</v>
      </c>
      <c r="H1653" s="209" t="s">
        <v>108</v>
      </c>
      <c r="I1653" s="209" t="s">
        <v>109</v>
      </c>
      <c r="J1653" s="209" t="s">
        <v>110</v>
      </c>
      <c r="K1653" s="210" t="s">
        <v>457</v>
      </c>
      <c r="L1653" s="210"/>
      <c r="M1653" s="209" t="s">
        <v>58</v>
      </c>
      <c r="N1653" s="209">
        <v>0</v>
      </c>
      <c r="O1653" s="209" t="s">
        <v>36</v>
      </c>
      <c r="P1653" s="211" t="s">
        <v>4449</v>
      </c>
      <c r="Q1653" s="209"/>
      <c r="R1653" s="209">
        <v>1</v>
      </c>
      <c r="S1653" s="209"/>
      <c r="T1653" s="209" t="s">
        <v>157</v>
      </c>
      <c r="U1653" s="211" t="s">
        <v>4450</v>
      </c>
      <c r="V1653" s="209" t="s">
        <v>41</v>
      </c>
      <c r="W1653" s="209" t="s">
        <v>49</v>
      </c>
      <c r="X1653" s="13" t="str">
        <f>IF(RIGHT(H1653,2)&lt;&gt;"00",H1653,"")</f>
        <v/>
      </c>
      <c r="Y1653" s="26">
        <f ca="1">NETWORKDAYS(P1653,$Y$1)</f>
        <v>3</v>
      </c>
      <c r="Z1653" s="34">
        <v>1</v>
      </c>
      <c r="AA1653" s="25" t="str">
        <f t="shared" ca="1" si="157"/>
        <v>A VENCER</v>
      </c>
      <c r="AB1653" s="25" t="str">
        <f t="shared" si="158"/>
        <v>C-14</v>
      </c>
      <c r="AC1653" s="2" t="str">
        <f t="shared" si="159"/>
        <v xml:space="preserve"> CRISTINA </v>
      </c>
      <c r="AD1653" s="26">
        <f t="shared" si="160"/>
        <v>5</v>
      </c>
      <c r="AE1653" s="26">
        <f t="shared" ca="1" si="161"/>
        <v>2.2419313657374005</v>
      </c>
    </row>
    <row r="1654" spans="1:31" hidden="1">
      <c r="A1654" s="209">
        <v>9512960</v>
      </c>
      <c r="B1654" s="209" t="s">
        <v>1153</v>
      </c>
      <c r="C1654" s="210" t="s">
        <v>4451</v>
      </c>
      <c r="D1654" s="214"/>
      <c r="E1654" s="214">
        <v>3802000206001</v>
      </c>
      <c r="F1654" s="209" t="s">
        <v>29</v>
      </c>
      <c r="G1654" s="209" t="s">
        <v>53</v>
      </c>
      <c r="H1654" s="209" t="s">
        <v>319</v>
      </c>
      <c r="I1654" s="209" t="s">
        <v>320</v>
      </c>
      <c r="J1654" s="209" t="s">
        <v>148</v>
      </c>
      <c r="K1654" s="210" t="s">
        <v>34</v>
      </c>
      <c r="L1654" s="210"/>
      <c r="M1654" s="209" t="s">
        <v>35</v>
      </c>
      <c r="N1654" s="209">
        <v>42318949</v>
      </c>
      <c r="O1654" s="209" t="s">
        <v>36</v>
      </c>
      <c r="P1654" s="211" t="s">
        <v>4452</v>
      </c>
      <c r="Q1654" s="209"/>
      <c r="R1654" s="209" t="s">
        <v>38</v>
      </c>
      <c r="S1654" s="209"/>
      <c r="T1654" s="209" t="s">
        <v>74</v>
      </c>
      <c r="U1654" s="211" t="s">
        <v>4453</v>
      </c>
      <c r="V1654" s="209" t="s">
        <v>41</v>
      </c>
      <c r="W1654" s="209" t="s">
        <v>49</v>
      </c>
      <c r="X1654" s="13" t="str">
        <f>IF(RIGHT(H1654,2)&lt;&gt;"00",H1654,"")</f>
        <v/>
      </c>
      <c r="Y1654" s="26">
        <f ca="1">NETWORKDAYS(P1654,$Y$1)</f>
        <v>3</v>
      </c>
      <c r="Z1654" s="34">
        <v>1</v>
      </c>
      <c r="AA1654" s="25" t="str">
        <f t="shared" ca="1" si="157"/>
        <v>A VENCER</v>
      </c>
      <c r="AB1654" s="25" t="str">
        <f t="shared" si="158"/>
        <v>Dosa</v>
      </c>
      <c r="AC1654" s="2" t="str">
        <f t="shared" si="159"/>
        <v xml:space="preserve"> RINALDO </v>
      </c>
      <c r="AD1654" s="26">
        <f t="shared" si="160"/>
        <v>5</v>
      </c>
      <c r="AE1654" s="26">
        <f t="shared" ca="1" si="161"/>
        <v>2.2531234953712556</v>
      </c>
    </row>
    <row r="1655" spans="1:31" hidden="1">
      <c r="A1655" s="209">
        <v>9512809</v>
      </c>
      <c r="B1655" s="209" t="s">
        <v>1153</v>
      </c>
      <c r="C1655" s="210" t="s">
        <v>4454</v>
      </c>
      <c r="D1655" s="214"/>
      <c r="E1655" s="214">
        <v>2156000206021</v>
      </c>
      <c r="F1655" s="209" t="s">
        <v>103</v>
      </c>
      <c r="G1655" s="209" t="s">
        <v>53</v>
      </c>
      <c r="H1655" s="209" t="s">
        <v>278</v>
      </c>
      <c r="I1655" s="209" t="s">
        <v>279</v>
      </c>
      <c r="J1655" s="209" t="s">
        <v>211</v>
      </c>
      <c r="K1655" s="210" t="s">
        <v>104</v>
      </c>
      <c r="L1655" s="210"/>
      <c r="M1655" s="209" t="s">
        <v>58</v>
      </c>
      <c r="N1655" s="209">
        <v>0</v>
      </c>
      <c r="O1655" s="209" t="s">
        <v>36</v>
      </c>
      <c r="P1655" s="211" t="s">
        <v>4455</v>
      </c>
      <c r="Q1655" s="209"/>
      <c r="R1655" s="209" t="s">
        <v>38</v>
      </c>
      <c r="S1655" s="209"/>
      <c r="T1655" s="209" t="s">
        <v>74</v>
      </c>
      <c r="U1655" s="211" t="s">
        <v>4456</v>
      </c>
      <c r="V1655" s="209" t="s">
        <v>41</v>
      </c>
      <c r="W1655" s="209" t="s">
        <v>49</v>
      </c>
      <c r="X1655" s="13" t="str">
        <f>IF(RIGHT(H1655,2)&lt;&gt;"00",H1655,"")</f>
        <v/>
      </c>
      <c r="Y1655" s="26">
        <f ca="1">NETWORKDAYS(P1655,$Y$1)</f>
        <v>3</v>
      </c>
      <c r="Z1655" s="34">
        <v>1</v>
      </c>
      <c r="AA1655" s="25" t="str">
        <f t="shared" ca="1" si="157"/>
        <v>A VENCER</v>
      </c>
      <c r="AB1655" s="25" t="str">
        <f t="shared" si="158"/>
        <v>Dosa</v>
      </c>
      <c r="AC1655" s="2" t="str">
        <f t="shared" si="159"/>
        <v xml:space="preserve"> RINALDO </v>
      </c>
      <c r="AD1655" s="26">
        <f t="shared" si="160"/>
        <v>5</v>
      </c>
      <c r="AE1655" s="26">
        <f t="shared" ca="1" si="161"/>
        <v>2.2792114583353396</v>
      </c>
    </row>
    <row r="1656" spans="1:31" hidden="1">
      <c r="A1656" s="209">
        <v>9512739</v>
      </c>
      <c r="B1656" s="209" t="s">
        <v>1153</v>
      </c>
      <c r="C1656" s="210" t="s">
        <v>4100</v>
      </c>
      <c r="D1656" s="214"/>
      <c r="E1656" s="214">
        <v>3250000206001</v>
      </c>
      <c r="F1656" s="209" t="s">
        <v>29</v>
      </c>
      <c r="G1656" s="209" t="s">
        <v>53</v>
      </c>
      <c r="H1656" s="209" t="s">
        <v>371</v>
      </c>
      <c r="I1656" s="209" t="s">
        <v>372</v>
      </c>
      <c r="J1656" s="209" t="s">
        <v>46</v>
      </c>
      <c r="K1656" s="210" t="s">
        <v>34</v>
      </c>
      <c r="L1656" s="210"/>
      <c r="M1656" s="209" t="s">
        <v>35</v>
      </c>
      <c r="N1656" s="209">
        <v>42318949</v>
      </c>
      <c r="O1656" s="209" t="s">
        <v>36</v>
      </c>
      <c r="P1656" s="211" t="s">
        <v>4457</v>
      </c>
      <c r="Q1656" s="209"/>
      <c r="R1656" s="209" t="s">
        <v>38</v>
      </c>
      <c r="S1656" s="209"/>
      <c r="T1656" s="209" t="s">
        <v>74</v>
      </c>
      <c r="U1656" s="211" t="s">
        <v>4458</v>
      </c>
      <c r="V1656" s="209" t="s">
        <v>41</v>
      </c>
      <c r="W1656" s="209" t="s">
        <v>49</v>
      </c>
      <c r="X1656" s="13" t="str">
        <f>IF(RIGHT(H1656,2)&lt;&gt;"00",H1656,"")</f>
        <v/>
      </c>
      <c r="Y1656" s="26">
        <f ca="1">NETWORKDAYS(P1656,$Y$1)</f>
        <v>3</v>
      </c>
      <c r="Z1656" s="34">
        <v>1</v>
      </c>
      <c r="AA1656" s="25" t="str">
        <f t="shared" ca="1" si="157"/>
        <v>A VENCER</v>
      </c>
      <c r="AB1656" s="25" t="str">
        <f t="shared" si="158"/>
        <v>Dosa</v>
      </c>
      <c r="AC1656" s="2" t="str">
        <f t="shared" si="159"/>
        <v xml:space="preserve"> CLEITON </v>
      </c>
      <c r="AD1656" s="26">
        <f t="shared" si="160"/>
        <v>5</v>
      </c>
      <c r="AE1656" s="26">
        <f t="shared" ca="1" si="161"/>
        <v>2.2889799768527155</v>
      </c>
    </row>
    <row r="1657" spans="1:31" hidden="1">
      <c r="A1657" s="209">
        <v>9512586</v>
      </c>
      <c r="B1657" s="209" t="s">
        <v>1153</v>
      </c>
      <c r="C1657" s="210" t="s">
        <v>4104</v>
      </c>
      <c r="D1657" s="214"/>
      <c r="E1657" s="214">
        <v>3613200206001</v>
      </c>
      <c r="F1657" s="209" t="s">
        <v>29</v>
      </c>
      <c r="G1657" s="209" t="s">
        <v>53</v>
      </c>
      <c r="H1657" s="209" t="s">
        <v>496</v>
      </c>
      <c r="I1657" s="209" t="s">
        <v>198</v>
      </c>
      <c r="J1657" s="209" t="s">
        <v>46</v>
      </c>
      <c r="K1657" s="210" t="s">
        <v>34</v>
      </c>
      <c r="L1657" s="210"/>
      <c r="M1657" s="209" t="s">
        <v>35</v>
      </c>
      <c r="N1657" s="209">
        <v>42318949</v>
      </c>
      <c r="O1657" s="209" t="s">
        <v>36</v>
      </c>
      <c r="P1657" s="211" t="s">
        <v>4460</v>
      </c>
      <c r="Q1657" s="209"/>
      <c r="R1657" s="209" t="s">
        <v>38</v>
      </c>
      <c r="S1657" s="209"/>
      <c r="T1657" s="209" t="s">
        <v>74</v>
      </c>
      <c r="U1657" s="211" t="s">
        <v>4458</v>
      </c>
      <c r="V1657" s="209" t="s">
        <v>41</v>
      </c>
      <c r="W1657" s="209" t="s">
        <v>49</v>
      </c>
      <c r="X1657" s="13" t="str">
        <f>IF(RIGHT(H1657,2)&lt;&gt;"00",H1657,"")</f>
        <v>3613.20</v>
      </c>
      <c r="Y1657" s="26">
        <f ca="1">NETWORKDAYS(P1657,$Y$1)</f>
        <v>3</v>
      </c>
      <c r="Z1657" s="34">
        <v>1</v>
      </c>
      <c r="AA1657" s="25" t="str">
        <f t="shared" ca="1" si="157"/>
        <v>A VENCER</v>
      </c>
      <c r="AB1657" s="25" t="str">
        <f t="shared" si="158"/>
        <v>Dosa</v>
      </c>
      <c r="AC1657" s="2" t="str">
        <f t="shared" si="159"/>
        <v xml:space="preserve"> CLEITON </v>
      </c>
      <c r="AD1657" s="26">
        <f t="shared" si="160"/>
        <v>5</v>
      </c>
      <c r="AE1657" s="26">
        <f t="shared" ca="1" si="161"/>
        <v>2.3048017361143138</v>
      </c>
    </row>
    <row r="1658" spans="1:31" hidden="1">
      <c r="A1658" s="209">
        <v>9512585</v>
      </c>
      <c r="B1658" s="209" t="s">
        <v>1153</v>
      </c>
      <c r="C1658" s="210" t="s">
        <v>4105</v>
      </c>
      <c r="D1658" s="214"/>
      <c r="E1658" s="214">
        <v>220000206001</v>
      </c>
      <c r="F1658" s="209" t="s">
        <v>29</v>
      </c>
      <c r="G1658" s="209" t="s">
        <v>53</v>
      </c>
      <c r="H1658" s="209" t="s">
        <v>588</v>
      </c>
      <c r="I1658" s="209" t="s">
        <v>589</v>
      </c>
      <c r="J1658" s="209" t="s">
        <v>110</v>
      </c>
      <c r="K1658" s="210" t="s">
        <v>34</v>
      </c>
      <c r="L1658" s="210"/>
      <c r="M1658" s="209" t="s">
        <v>35</v>
      </c>
      <c r="N1658" s="209">
        <v>42318949</v>
      </c>
      <c r="O1658" s="209" t="s">
        <v>36</v>
      </c>
      <c r="P1658" s="211" t="s">
        <v>4462</v>
      </c>
      <c r="Q1658" s="209"/>
      <c r="R1658" s="209" t="s">
        <v>38</v>
      </c>
      <c r="S1658" s="209"/>
      <c r="T1658" s="209" t="s">
        <v>74</v>
      </c>
      <c r="U1658" s="211" t="s">
        <v>4463</v>
      </c>
      <c r="V1658" s="209" t="s">
        <v>41</v>
      </c>
      <c r="W1658" s="209" t="s">
        <v>49</v>
      </c>
      <c r="X1658" s="13" t="str">
        <f>IF(RIGHT(H1658,2)&lt;&gt;"00",H1658,"")</f>
        <v/>
      </c>
      <c r="Y1658" s="26">
        <f ca="1">NETWORKDAYS(P1658,$Y$1)</f>
        <v>3</v>
      </c>
      <c r="Z1658" s="34">
        <v>1</v>
      </c>
      <c r="AA1658" s="25" t="str">
        <f t="shared" ca="1" si="157"/>
        <v>A VENCER</v>
      </c>
      <c r="AB1658" s="25" t="str">
        <f t="shared" si="158"/>
        <v>Dosa</v>
      </c>
      <c r="AC1658" s="2" t="str">
        <f t="shared" si="159"/>
        <v xml:space="preserve"> CRISTINA </v>
      </c>
      <c r="AD1658" s="26">
        <f t="shared" si="160"/>
        <v>5</v>
      </c>
      <c r="AE1658" s="26">
        <f t="shared" ca="1" si="161"/>
        <v>2.3048596064836602</v>
      </c>
    </row>
    <row r="1659" spans="1:31" hidden="1">
      <c r="A1659" s="209">
        <v>9512576</v>
      </c>
      <c r="B1659" s="209" t="s">
        <v>1153</v>
      </c>
      <c r="C1659" s="210" t="s">
        <v>4106</v>
      </c>
      <c r="D1659" s="214"/>
      <c r="E1659" s="214">
        <v>3918000203000</v>
      </c>
      <c r="F1659" s="209" t="s">
        <v>454</v>
      </c>
      <c r="G1659" s="209" t="s">
        <v>53</v>
      </c>
      <c r="H1659" s="209" t="s">
        <v>858</v>
      </c>
      <c r="I1659" s="209" t="s">
        <v>859</v>
      </c>
      <c r="J1659" s="209" t="s">
        <v>33</v>
      </c>
      <c r="K1659" s="210" t="s">
        <v>457</v>
      </c>
      <c r="L1659" s="210"/>
      <c r="M1659" s="209" t="s">
        <v>58</v>
      </c>
      <c r="N1659" s="209">
        <v>0</v>
      </c>
      <c r="O1659" s="209" t="s">
        <v>36</v>
      </c>
      <c r="P1659" s="211" t="s">
        <v>4464</v>
      </c>
      <c r="Q1659" s="209"/>
      <c r="R1659" s="209">
        <v>1</v>
      </c>
      <c r="S1659" s="209"/>
      <c r="T1659" s="209" t="s">
        <v>157</v>
      </c>
      <c r="U1659" s="211" t="s">
        <v>4465</v>
      </c>
      <c r="V1659" s="209" t="s">
        <v>41</v>
      </c>
      <c r="W1659" s="209" t="s">
        <v>49</v>
      </c>
      <c r="X1659" s="13" t="str">
        <f>IF(RIGHT(H1659,2)&lt;&gt;"00",H1659,"")</f>
        <v/>
      </c>
      <c r="Y1659" s="26">
        <f ca="1">NETWORKDAYS(P1659,$Y$1)</f>
        <v>3</v>
      </c>
      <c r="Z1659" s="34">
        <v>1</v>
      </c>
      <c r="AA1659" s="25" t="str">
        <f t="shared" ca="1" si="157"/>
        <v>A VENCER</v>
      </c>
      <c r="AB1659" s="25" t="str">
        <f t="shared" si="158"/>
        <v>C-14</v>
      </c>
      <c r="AC1659" s="2" t="str">
        <f t="shared" si="159"/>
        <v xml:space="preserve"> ROSEMERE </v>
      </c>
      <c r="AD1659" s="26">
        <f t="shared" si="160"/>
        <v>5</v>
      </c>
      <c r="AE1659" s="26">
        <f t="shared" ca="1" si="161"/>
        <v>2.3152994212941849</v>
      </c>
    </row>
    <row r="1660" spans="1:31" hidden="1">
      <c r="A1660" s="209">
        <v>9512572</v>
      </c>
      <c r="B1660" s="209" t="s">
        <v>1153</v>
      </c>
      <c r="C1660" s="210" t="s">
        <v>4107</v>
      </c>
      <c r="D1660" s="214"/>
      <c r="E1660" s="214">
        <v>1049000203000</v>
      </c>
      <c r="F1660" s="209" t="s">
        <v>454</v>
      </c>
      <c r="G1660" s="209" t="s">
        <v>53</v>
      </c>
      <c r="H1660" s="209" t="s">
        <v>169</v>
      </c>
      <c r="I1660" s="209" t="s">
        <v>170</v>
      </c>
      <c r="J1660" s="209" t="s">
        <v>164</v>
      </c>
      <c r="K1660" s="210" t="s">
        <v>457</v>
      </c>
      <c r="L1660" s="210"/>
      <c r="M1660" s="209" t="s">
        <v>58</v>
      </c>
      <c r="N1660" s="209">
        <v>0</v>
      </c>
      <c r="O1660" s="209" t="s">
        <v>36</v>
      </c>
      <c r="P1660" s="211" t="s">
        <v>4466</v>
      </c>
      <c r="Q1660" s="209"/>
      <c r="R1660" s="209">
        <v>1</v>
      </c>
      <c r="S1660" s="209"/>
      <c r="T1660" s="209" t="s">
        <v>157</v>
      </c>
      <c r="U1660" s="211" t="s">
        <v>4467</v>
      </c>
      <c r="V1660" s="209" t="s">
        <v>41</v>
      </c>
      <c r="W1660" s="209" t="s">
        <v>49</v>
      </c>
      <c r="X1660" s="13" t="str">
        <f>IF(RIGHT(H1660,2)&lt;&gt;"00",H1660,"")</f>
        <v/>
      </c>
      <c r="Y1660" s="26">
        <f ca="1">NETWORKDAYS(P1660,$Y$1)</f>
        <v>3</v>
      </c>
      <c r="Z1660" s="34">
        <v>1</v>
      </c>
      <c r="AA1660" s="25" t="str">
        <f t="shared" ca="1" si="157"/>
        <v>A VENCER</v>
      </c>
      <c r="AB1660" s="25" t="str">
        <f t="shared" si="158"/>
        <v>C-14</v>
      </c>
      <c r="AC1660" s="2" t="str">
        <f t="shared" si="159"/>
        <v xml:space="preserve"> ROSEMERE </v>
      </c>
      <c r="AD1660" s="26">
        <f t="shared" si="160"/>
        <v>5</v>
      </c>
      <c r="AE1660" s="26">
        <f t="shared" ca="1" si="161"/>
        <v>2.3155077546325629</v>
      </c>
    </row>
    <row r="1661" spans="1:31" hidden="1">
      <c r="A1661" s="209">
        <v>9512570</v>
      </c>
      <c r="B1661" s="209" t="s">
        <v>1153</v>
      </c>
      <c r="C1661" s="210" t="s">
        <v>4108</v>
      </c>
      <c r="D1661" s="214"/>
      <c r="E1661" s="214">
        <v>2156000203000</v>
      </c>
      <c r="F1661" s="209" t="s">
        <v>454</v>
      </c>
      <c r="G1661" s="209" t="s">
        <v>53</v>
      </c>
      <c r="H1661" s="209" t="s">
        <v>278</v>
      </c>
      <c r="I1661" s="209" t="s">
        <v>279</v>
      </c>
      <c r="J1661" s="209" t="s">
        <v>211</v>
      </c>
      <c r="K1661" s="210" t="s">
        <v>457</v>
      </c>
      <c r="L1661" s="210"/>
      <c r="M1661" s="209" t="s">
        <v>58</v>
      </c>
      <c r="N1661" s="209">
        <v>0</v>
      </c>
      <c r="O1661" s="209" t="s">
        <v>36</v>
      </c>
      <c r="P1661" s="211" t="s">
        <v>4468</v>
      </c>
      <c r="Q1661" s="209"/>
      <c r="R1661" s="209">
        <v>1</v>
      </c>
      <c r="S1661" s="209"/>
      <c r="T1661" s="209" t="s">
        <v>157</v>
      </c>
      <c r="U1661" s="211" t="s">
        <v>4469</v>
      </c>
      <c r="V1661" s="209" t="s">
        <v>41</v>
      </c>
      <c r="W1661" s="209" t="s">
        <v>49</v>
      </c>
      <c r="X1661" s="13" t="str">
        <f>IF(RIGHT(H1661,2)&lt;&gt;"00",H1661,"")</f>
        <v/>
      </c>
      <c r="Y1661" s="26">
        <f ca="1">NETWORKDAYS(P1661,$Y$1)</f>
        <v>3</v>
      </c>
      <c r="Z1661" s="34">
        <v>1</v>
      </c>
      <c r="AA1661" s="25" t="str">
        <f t="shared" ca="1" si="157"/>
        <v>A VENCER</v>
      </c>
      <c r="AB1661" s="25" t="str">
        <f t="shared" si="158"/>
        <v>C-14</v>
      </c>
      <c r="AC1661" s="2" t="str">
        <f t="shared" si="159"/>
        <v xml:space="preserve"> RINALDO </v>
      </c>
      <c r="AD1661" s="26">
        <f t="shared" si="160"/>
        <v>5</v>
      </c>
      <c r="AE1661" s="26">
        <f t="shared" ca="1" si="161"/>
        <v>2.3156234953712556</v>
      </c>
    </row>
    <row r="1662" spans="1:31" hidden="1">
      <c r="A1662" s="209">
        <v>9512560</v>
      </c>
      <c r="B1662" s="209" t="s">
        <v>1153</v>
      </c>
      <c r="C1662" s="210" t="s">
        <v>4110</v>
      </c>
      <c r="D1662" s="214"/>
      <c r="E1662" s="214">
        <v>1245000206001</v>
      </c>
      <c r="F1662" s="209" t="s">
        <v>29</v>
      </c>
      <c r="G1662" s="209" t="s">
        <v>53</v>
      </c>
      <c r="H1662" s="209" t="s">
        <v>408</v>
      </c>
      <c r="I1662" s="209" t="s">
        <v>409</v>
      </c>
      <c r="J1662" s="209" t="s">
        <v>46</v>
      </c>
      <c r="K1662" s="210" t="s">
        <v>34</v>
      </c>
      <c r="L1662" s="210"/>
      <c r="M1662" s="209" t="s">
        <v>35</v>
      </c>
      <c r="N1662" s="209">
        <v>42318949</v>
      </c>
      <c r="O1662" s="209" t="s">
        <v>36</v>
      </c>
      <c r="P1662" s="211" t="s">
        <v>4470</v>
      </c>
      <c r="Q1662" s="209"/>
      <c r="R1662" s="209" t="s">
        <v>38</v>
      </c>
      <c r="S1662" s="209"/>
      <c r="T1662" s="209" t="s">
        <v>74</v>
      </c>
      <c r="U1662" s="211" t="s">
        <v>4458</v>
      </c>
      <c r="V1662" s="209" t="s">
        <v>41</v>
      </c>
      <c r="W1662" s="209" t="s">
        <v>49</v>
      </c>
      <c r="X1662" s="13" t="str">
        <f>IF(RIGHT(H1662,2)&lt;&gt;"00",H1662,"")</f>
        <v/>
      </c>
      <c r="Y1662" s="26">
        <f ca="1">NETWORKDAYS(P1662,$Y$1)</f>
        <v>3</v>
      </c>
      <c r="Z1662" s="34">
        <v>1</v>
      </c>
      <c r="AA1662" s="25" t="str">
        <f t="shared" ca="1" si="157"/>
        <v>A VENCER</v>
      </c>
      <c r="AB1662" s="25" t="str">
        <f t="shared" si="158"/>
        <v>Dosa</v>
      </c>
      <c r="AC1662" s="2" t="str">
        <f t="shared" si="159"/>
        <v xml:space="preserve"> CLEITON </v>
      </c>
      <c r="AD1662" s="26">
        <f t="shared" si="160"/>
        <v>5</v>
      </c>
      <c r="AE1662" s="26">
        <f t="shared" ca="1" si="161"/>
        <v>2.3259938657429302</v>
      </c>
    </row>
    <row r="1663" spans="1:31" hidden="1">
      <c r="A1663" s="209">
        <v>9512556</v>
      </c>
      <c r="B1663" s="209" t="s">
        <v>1153</v>
      </c>
      <c r="C1663" s="210" t="s">
        <v>4111</v>
      </c>
      <c r="D1663" s="214"/>
      <c r="E1663" s="214">
        <v>1943000206001</v>
      </c>
      <c r="F1663" s="209" t="s">
        <v>29</v>
      </c>
      <c r="G1663" s="209" t="s">
        <v>53</v>
      </c>
      <c r="H1663" s="209" t="s">
        <v>264</v>
      </c>
      <c r="I1663" s="209" t="s">
        <v>265</v>
      </c>
      <c r="J1663" s="209" t="s">
        <v>56</v>
      </c>
      <c r="K1663" s="210" t="s">
        <v>34</v>
      </c>
      <c r="L1663" s="210"/>
      <c r="M1663" s="209" t="s">
        <v>35</v>
      </c>
      <c r="N1663" s="209">
        <v>42318949</v>
      </c>
      <c r="O1663" s="209" t="s">
        <v>36</v>
      </c>
      <c r="P1663" s="211" t="s">
        <v>4472</v>
      </c>
      <c r="Q1663" s="209"/>
      <c r="R1663" s="209" t="s">
        <v>38</v>
      </c>
      <c r="S1663" s="209"/>
      <c r="T1663" s="209" t="s">
        <v>74</v>
      </c>
      <c r="U1663" s="211" t="s">
        <v>4463</v>
      </c>
      <c r="V1663" s="209" t="s">
        <v>41</v>
      </c>
      <c r="W1663" s="209" t="s">
        <v>49</v>
      </c>
      <c r="X1663" s="13" t="str">
        <f>IF(RIGHT(H1663,2)&lt;&gt;"00",H1663,"")</f>
        <v/>
      </c>
      <c r="Y1663" s="26">
        <f ca="1">NETWORKDAYS(P1663,$Y$1)</f>
        <v>3</v>
      </c>
      <c r="Z1663" s="34">
        <v>1</v>
      </c>
      <c r="AA1663" s="25" t="str">
        <f t="shared" ca="1" si="157"/>
        <v>A VENCER</v>
      </c>
      <c r="AB1663" s="25" t="str">
        <f t="shared" si="158"/>
        <v>Dosa</v>
      </c>
      <c r="AC1663" s="2" t="str">
        <f t="shared" si="159"/>
        <v xml:space="preserve"> CRISTINA </v>
      </c>
      <c r="AD1663" s="26">
        <f t="shared" si="160"/>
        <v>5</v>
      </c>
      <c r="AE1663" s="26">
        <f t="shared" ca="1" si="161"/>
        <v>2.3361443287067232</v>
      </c>
    </row>
    <row r="1664" spans="1:31" hidden="1">
      <c r="A1664" s="209">
        <v>9512544</v>
      </c>
      <c r="B1664" s="209" t="s">
        <v>1153</v>
      </c>
      <c r="C1664" s="210" t="s">
        <v>4113</v>
      </c>
      <c r="D1664" s="214"/>
      <c r="E1664" s="214">
        <v>2988000206001</v>
      </c>
      <c r="F1664" s="209" t="s">
        <v>29</v>
      </c>
      <c r="G1664" s="209" t="s">
        <v>53</v>
      </c>
      <c r="H1664" s="209" t="s">
        <v>536</v>
      </c>
      <c r="I1664" s="209" t="s">
        <v>537</v>
      </c>
      <c r="J1664" s="209" t="s">
        <v>46</v>
      </c>
      <c r="K1664" s="210" t="s">
        <v>34</v>
      </c>
      <c r="L1664" s="210"/>
      <c r="M1664" s="209" t="s">
        <v>35</v>
      </c>
      <c r="N1664" s="209">
        <v>42318949</v>
      </c>
      <c r="O1664" s="209" t="s">
        <v>36</v>
      </c>
      <c r="P1664" s="211" t="s">
        <v>4473</v>
      </c>
      <c r="Q1664" s="209"/>
      <c r="R1664" s="209" t="s">
        <v>38</v>
      </c>
      <c r="S1664" s="209"/>
      <c r="T1664" s="209" t="s">
        <v>74</v>
      </c>
      <c r="U1664" s="211" t="s">
        <v>4458</v>
      </c>
      <c r="V1664" s="209" t="s">
        <v>41</v>
      </c>
      <c r="W1664" s="209" t="s">
        <v>49</v>
      </c>
      <c r="X1664" s="13" t="str">
        <f>IF(RIGHT(H1664,2)&lt;&gt;"00",H1664,"")</f>
        <v/>
      </c>
      <c r="Y1664" s="26">
        <f ca="1">NETWORKDAYS(P1664,$Y$1)</f>
        <v>3</v>
      </c>
      <c r="Z1664" s="34">
        <v>1</v>
      </c>
      <c r="AA1664" s="25" t="str">
        <f t="shared" ca="1" si="157"/>
        <v>A VENCER</v>
      </c>
      <c r="AB1664" s="25" t="str">
        <f t="shared" si="158"/>
        <v>Dosa</v>
      </c>
      <c r="AC1664" s="2" t="str">
        <f t="shared" si="159"/>
        <v xml:space="preserve"> CLEITON </v>
      </c>
      <c r="AD1664" s="26">
        <f t="shared" si="160"/>
        <v>5</v>
      </c>
      <c r="AE1664" s="26">
        <f t="shared" ca="1" si="161"/>
        <v>2.9607739583370858</v>
      </c>
    </row>
    <row r="1665" spans="1:31" hidden="1">
      <c r="A1665" s="209">
        <v>9512400</v>
      </c>
      <c r="B1665" s="209" t="s">
        <v>1153</v>
      </c>
      <c r="C1665" s="210" t="s">
        <v>4117</v>
      </c>
      <c r="D1665" s="214"/>
      <c r="E1665" s="214">
        <v>1792000206001</v>
      </c>
      <c r="F1665" s="209" t="s">
        <v>29</v>
      </c>
      <c r="G1665" s="209" t="s">
        <v>53</v>
      </c>
      <c r="H1665" s="209" t="s">
        <v>467</v>
      </c>
      <c r="I1665" s="209" t="s">
        <v>468</v>
      </c>
      <c r="J1665" s="209" t="s">
        <v>110</v>
      </c>
      <c r="K1665" s="210" t="s">
        <v>34</v>
      </c>
      <c r="L1665" s="210"/>
      <c r="M1665" s="209" t="s">
        <v>35</v>
      </c>
      <c r="N1665" s="209">
        <v>42318949</v>
      </c>
      <c r="O1665" s="209" t="s">
        <v>36</v>
      </c>
      <c r="P1665" s="211" t="s">
        <v>4474</v>
      </c>
      <c r="Q1665" s="209"/>
      <c r="R1665" s="209" t="s">
        <v>38</v>
      </c>
      <c r="S1665" s="209"/>
      <c r="T1665" s="209" t="s">
        <v>74</v>
      </c>
      <c r="U1665" s="211" t="s">
        <v>4148</v>
      </c>
      <c r="V1665" s="209" t="s">
        <v>41</v>
      </c>
      <c r="W1665" s="209" t="s">
        <v>49</v>
      </c>
      <c r="X1665" s="13" t="str">
        <f>IF(RIGHT(H1665,2)&lt;&gt;"00",H1665,"")</f>
        <v/>
      </c>
      <c r="Y1665" s="26">
        <f ca="1">NETWORKDAYS(P1665,$Y$1)</f>
        <v>3</v>
      </c>
      <c r="Z1665" s="34">
        <v>1</v>
      </c>
      <c r="AA1665" s="25" t="str">
        <f t="shared" ca="1" si="157"/>
        <v>A VENCER</v>
      </c>
      <c r="AB1665" s="25" t="str">
        <f t="shared" si="158"/>
        <v>Dosa</v>
      </c>
      <c r="AC1665" s="2" t="str">
        <f t="shared" si="159"/>
        <v xml:space="preserve"> CRISTINA </v>
      </c>
      <c r="AD1665" s="26">
        <f t="shared" si="160"/>
        <v>5</v>
      </c>
      <c r="AE1665" s="26">
        <f t="shared" ca="1" si="161"/>
        <v>3.1791188657443854</v>
      </c>
    </row>
    <row r="1666" spans="1:31">
      <c r="A1666" s="216">
        <v>9512325</v>
      </c>
      <c r="B1666" s="216" t="s">
        <v>1153</v>
      </c>
      <c r="C1666" s="182" t="s">
        <v>4793</v>
      </c>
      <c r="D1666" s="217"/>
      <c r="E1666" s="217">
        <v>981000206001</v>
      </c>
      <c r="F1666" s="216" t="s">
        <v>29</v>
      </c>
      <c r="G1666" s="216" t="s">
        <v>53</v>
      </c>
      <c r="H1666" s="216" t="s">
        <v>410</v>
      </c>
      <c r="I1666" s="216" t="s">
        <v>411</v>
      </c>
      <c r="J1666" s="216" t="s">
        <v>85</v>
      </c>
      <c r="K1666" s="210" t="s">
        <v>34</v>
      </c>
      <c r="L1666" s="210"/>
      <c r="M1666" s="209" t="s">
        <v>35</v>
      </c>
      <c r="N1666" s="209">
        <v>42318949</v>
      </c>
      <c r="O1666" s="209" t="s">
        <v>36</v>
      </c>
      <c r="P1666" s="211" t="s">
        <v>4475</v>
      </c>
      <c r="Q1666" s="209"/>
      <c r="R1666" s="209" t="s">
        <v>38</v>
      </c>
      <c r="S1666" s="209"/>
      <c r="T1666" s="209" t="s">
        <v>74</v>
      </c>
      <c r="U1666" s="211" t="s">
        <v>4476</v>
      </c>
      <c r="V1666" s="209" t="s">
        <v>41</v>
      </c>
      <c r="W1666" s="209" t="s">
        <v>49</v>
      </c>
      <c r="X1666" s="13" t="str">
        <f>IF(RIGHT(H1666,2)&lt;&gt;"00",H1666,"")</f>
        <v/>
      </c>
      <c r="Y1666" s="26">
        <f ca="1">NETWORKDAYS(P1666,$Y$1)</f>
        <v>3</v>
      </c>
      <c r="Z1666" s="34">
        <v>1</v>
      </c>
      <c r="AA1666" s="25" t="str">
        <f t="shared" ca="1" si="157"/>
        <v>A VENCER</v>
      </c>
      <c r="AB1666" s="25" t="str">
        <f t="shared" si="158"/>
        <v>Dosa</v>
      </c>
      <c r="AC1666" s="2" t="str">
        <f t="shared" si="159"/>
        <v xml:space="preserve"> RINALDO </v>
      </c>
      <c r="AD1666" s="26">
        <f t="shared" si="160"/>
        <v>5</v>
      </c>
      <c r="AE1666" s="26">
        <f t="shared" ca="1" si="161"/>
        <v>3.1997670138880494</v>
      </c>
    </row>
    <row r="1667" spans="1:31" hidden="1">
      <c r="A1667" s="209">
        <v>9512236</v>
      </c>
      <c r="B1667" s="209" t="s">
        <v>1153</v>
      </c>
      <c r="C1667" s="210" t="s">
        <v>4120</v>
      </c>
      <c r="D1667" s="214"/>
      <c r="E1667" s="214">
        <v>4076000206001</v>
      </c>
      <c r="F1667" s="209" t="s">
        <v>29</v>
      </c>
      <c r="G1667" s="209" t="s">
        <v>53</v>
      </c>
      <c r="H1667" s="209" t="s">
        <v>426</v>
      </c>
      <c r="I1667" s="209" t="s">
        <v>427</v>
      </c>
      <c r="J1667" s="209" t="s">
        <v>79</v>
      </c>
      <c r="K1667" s="210" t="s">
        <v>34</v>
      </c>
      <c r="L1667" s="210"/>
      <c r="M1667" s="209" t="s">
        <v>35</v>
      </c>
      <c r="N1667" s="209">
        <v>42318949</v>
      </c>
      <c r="O1667" s="209" t="s">
        <v>36</v>
      </c>
      <c r="P1667" s="211" t="s">
        <v>4477</v>
      </c>
      <c r="Q1667" s="209"/>
      <c r="R1667" s="209" t="s">
        <v>38</v>
      </c>
      <c r="S1667" s="209"/>
      <c r="T1667" s="209" t="s">
        <v>74</v>
      </c>
      <c r="U1667" s="211" t="s">
        <v>4149</v>
      </c>
      <c r="V1667" s="209" t="s">
        <v>41</v>
      </c>
      <c r="W1667" s="209" t="s">
        <v>49</v>
      </c>
      <c r="X1667" s="13" t="str">
        <f>IF(RIGHT(H1667,2)&lt;&gt;"00",H1667,"")</f>
        <v/>
      </c>
      <c r="Y1667" s="26">
        <f ca="1">NETWORKDAYS(P1667,$Y$1)</f>
        <v>3</v>
      </c>
      <c r="Z1667" s="34">
        <v>1</v>
      </c>
      <c r="AA1667" s="25" t="str">
        <f t="shared" ca="1" si="157"/>
        <v>A VENCER</v>
      </c>
      <c r="AB1667" s="25" t="str">
        <f t="shared" si="158"/>
        <v>Dosa</v>
      </c>
      <c r="AC1667" s="2" t="str">
        <f t="shared" si="159"/>
        <v xml:space="preserve"> ROSEMERE </v>
      </c>
      <c r="AD1667" s="26">
        <f t="shared" si="160"/>
        <v>5</v>
      </c>
      <c r="AE1667" s="26">
        <f t="shared" ca="1" si="161"/>
        <v>3.2211674768550438</v>
      </c>
    </row>
    <row r="1668" spans="1:31" hidden="1">
      <c r="A1668" s="209">
        <v>9512203</v>
      </c>
      <c r="B1668" s="209" t="s">
        <v>1153</v>
      </c>
      <c r="C1668" s="210" t="s">
        <v>4121</v>
      </c>
      <c r="D1668" s="214"/>
      <c r="E1668" s="214">
        <v>570000203000</v>
      </c>
      <c r="F1668" s="209" t="s">
        <v>454</v>
      </c>
      <c r="G1668" s="209" t="s">
        <v>53</v>
      </c>
      <c r="H1668" s="209" t="s">
        <v>434</v>
      </c>
      <c r="I1668" s="209" t="s">
        <v>435</v>
      </c>
      <c r="J1668" s="209" t="s">
        <v>148</v>
      </c>
      <c r="K1668" s="210" t="s">
        <v>457</v>
      </c>
      <c r="L1668" s="210"/>
      <c r="M1668" s="209" t="s">
        <v>58</v>
      </c>
      <c r="N1668" s="209">
        <v>0</v>
      </c>
      <c r="O1668" s="209" t="s">
        <v>36</v>
      </c>
      <c r="P1668" s="211" t="s">
        <v>4478</v>
      </c>
      <c r="Q1668" s="209"/>
      <c r="R1668" s="209">
        <v>1</v>
      </c>
      <c r="S1668" s="209"/>
      <c r="T1668" s="209" t="s">
        <v>157</v>
      </c>
      <c r="U1668" s="211" t="s">
        <v>4479</v>
      </c>
      <c r="V1668" s="209" t="s">
        <v>41</v>
      </c>
      <c r="W1668" s="209" t="s">
        <v>49</v>
      </c>
      <c r="X1668" s="13" t="str">
        <f>IF(RIGHT(H1668,2)&lt;&gt;"00",H1668,"")</f>
        <v/>
      </c>
      <c r="Y1668" s="26">
        <f ca="1">NETWORKDAYS(P1668,$Y$1)</f>
        <v>3</v>
      </c>
      <c r="Z1668" s="34">
        <v>1</v>
      </c>
      <c r="AA1668" s="25" t="str">
        <f t="shared" ca="1" si="157"/>
        <v>A VENCER</v>
      </c>
      <c r="AB1668" s="25" t="str">
        <f t="shared" si="158"/>
        <v>C-14</v>
      </c>
      <c r="AC1668" s="2" t="str">
        <f t="shared" si="159"/>
        <v xml:space="preserve"> RINALDO </v>
      </c>
      <c r="AD1668" s="26">
        <f t="shared" si="160"/>
        <v>5</v>
      </c>
      <c r="AE1668" s="26">
        <f t="shared" ca="1" si="161"/>
        <v>3.2312369212959311</v>
      </c>
    </row>
    <row r="1669" spans="1:31" hidden="1">
      <c r="A1669" s="209">
        <v>9512167</v>
      </c>
      <c r="B1669" s="209" t="s">
        <v>1153</v>
      </c>
      <c r="C1669" s="210" t="s">
        <v>4122</v>
      </c>
      <c r="D1669" s="214"/>
      <c r="E1669" s="214">
        <v>2238000206001</v>
      </c>
      <c r="F1669" s="209" t="s">
        <v>29</v>
      </c>
      <c r="G1669" s="209" t="s">
        <v>53</v>
      </c>
      <c r="H1669" s="209" t="s">
        <v>707</v>
      </c>
      <c r="I1669" s="209" t="s">
        <v>708</v>
      </c>
      <c r="J1669" s="209" t="s">
        <v>79</v>
      </c>
      <c r="K1669" s="210" t="s">
        <v>34</v>
      </c>
      <c r="L1669" s="210"/>
      <c r="M1669" s="209" t="s">
        <v>35</v>
      </c>
      <c r="N1669" s="209">
        <v>42318949</v>
      </c>
      <c r="O1669" s="209" t="s">
        <v>36</v>
      </c>
      <c r="P1669" s="211" t="s">
        <v>4480</v>
      </c>
      <c r="Q1669" s="209"/>
      <c r="R1669" s="209" t="s">
        <v>38</v>
      </c>
      <c r="S1669" s="209"/>
      <c r="T1669" s="209" t="s">
        <v>74</v>
      </c>
      <c r="U1669" s="211" t="s">
        <v>4149</v>
      </c>
      <c r="V1669" s="209" t="s">
        <v>41</v>
      </c>
      <c r="W1669" s="209" t="s">
        <v>49</v>
      </c>
      <c r="X1669" s="13" t="str">
        <f>IF(RIGHT(H1669,2)&lt;&gt;"00",H1669,"")</f>
        <v/>
      </c>
      <c r="Y1669" s="26">
        <f ca="1">NETWORKDAYS(P1669,$Y$1)</f>
        <v>3</v>
      </c>
      <c r="Z1669" s="34">
        <v>1</v>
      </c>
      <c r="AA1669" s="25" t="str">
        <f t="shared" ca="1" si="157"/>
        <v>A VENCER</v>
      </c>
      <c r="AB1669" s="25" t="str">
        <f t="shared" si="158"/>
        <v>Dosa</v>
      </c>
      <c r="AC1669" s="2" t="str">
        <f t="shared" si="159"/>
        <v xml:space="preserve"> ROSEMERE </v>
      </c>
      <c r="AD1669" s="26">
        <f t="shared" si="160"/>
        <v>5</v>
      </c>
      <c r="AE1669" s="26">
        <f t="shared" ca="1" si="161"/>
        <v>3.2414336805522908</v>
      </c>
    </row>
    <row r="1670" spans="1:31" hidden="1">
      <c r="A1670" s="209">
        <v>9512076</v>
      </c>
      <c r="B1670" s="209" t="s">
        <v>1153</v>
      </c>
      <c r="C1670" s="210" t="s">
        <v>4123</v>
      </c>
      <c r="D1670" s="214"/>
      <c r="E1670" s="214">
        <v>325000206001</v>
      </c>
      <c r="F1670" s="209" t="s">
        <v>29</v>
      </c>
      <c r="G1670" s="209" t="s">
        <v>53</v>
      </c>
      <c r="H1670" s="209" t="s">
        <v>345</v>
      </c>
      <c r="I1670" s="209" t="s">
        <v>346</v>
      </c>
      <c r="J1670" s="209" t="s">
        <v>46</v>
      </c>
      <c r="K1670" s="210" t="s">
        <v>34</v>
      </c>
      <c r="L1670" s="210"/>
      <c r="M1670" s="209" t="s">
        <v>35</v>
      </c>
      <c r="N1670" s="209">
        <v>42318949</v>
      </c>
      <c r="O1670" s="209" t="s">
        <v>36</v>
      </c>
      <c r="P1670" s="211" t="s">
        <v>4481</v>
      </c>
      <c r="Q1670" s="209"/>
      <c r="R1670" s="209" t="s">
        <v>38</v>
      </c>
      <c r="S1670" s="209"/>
      <c r="T1670" s="209" t="s">
        <v>74</v>
      </c>
      <c r="U1670" s="211" t="s">
        <v>4458</v>
      </c>
      <c r="V1670" s="209" t="s">
        <v>41</v>
      </c>
      <c r="W1670" s="209" t="s">
        <v>49</v>
      </c>
      <c r="X1670" s="13" t="str">
        <f>IF(RIGHT(H1670,2)&lt;&gt;"00",H1670,"")</f>
        <v/>
      </c>
      <c r="Y1670" s="26">
        <f ca="1">NETWORKDAYS(P1670,$Y$1)</f>
        <v>3</v>
      </c>
      <c r="Z1670" s="34">
        <v>1</v>
      </c>
      <c r="AA1670" s="25" t="str">
        <f t="shared" ca="1" si="157"/>
        <v>A VENCER</v>
      </c>
      <c r="AB1670" s="25" t="str">
        <f t="shared" si="158"/>
        <v>Dosa</v>
      </c>
      <c r="AC1670" s="2" t="str">
        <f t="shared" si="159"/>
        <v xml:space="preserve"> CLEITON </v>
      </c>
      <c r="AD1670" s="26">
        <f t="shared" si="160"/>
        <v>5</v>
      </c>
      <c r="AE1670" s="26">
        <f t="shared" ca="1" si="161"/>
        <v>3.2629961805578205</v>
      </c>
    </row>
    <row r="1671" spans="1:31" hidden="1">
      <c r="A1671" s="209">
        <v>9512011</v>
      </c>
      <c r="B1671" s="209" t="s">
        <v>1153</v>
      </c>
      <c r="C1671" s="210" t="s">
        <v>4124</v>
      </c>
      <c r="D1671" s="214"/>
      <c r="E1671" s="214">
        <v>3243000206001</v>
      </c>
      <c r="F1671" s="209" t="s">
        <v>29</v>
      </c>
      <c r="G1671" s="209" t="s">
        <v>53</v>
      </c>
      <c r="H1671" s="209" t="s">
        <v>282</v>
      </c>
      <c r="I1671" s="209" t="s">
        <v>283</v>
      </c>
      <c r="J1671" s="209" t="s">
        <v>46</v>
      </c>
      <c r="K1671" s="210" t="s">
        <v>34</v>
      </c>
      <c r="L1671" s="210"/>
      <c r="M1671" s="209" t="s">
        <v>35</v>
      </c>
      <c r="N1671" s="209">
        <v>42318949</v>
      </c>
      <c r="O1671" s="209" t="s">
        <v>36</v>
      </c>
      <c r="P1671" s="211" t="s">
        <v>4482</v>
      </c>
      <c r="Q1671" s="209"/>
      <c r="R1671" s="209" t="s">
        <v>38</v>
      </c>
      <c r="S1671" s="209"/>
      <c r="T1671" s="209" t="s">
        <v>74</v>
      </c>
      <c r="U1671" s="211" t="s">
        <v>4483</v>
      </c>
      <c r="V1671" s="209" t="s">
        <v>41</v>
      </c>
      <c r="W1671" s="209" t="s">
        <v>49</v>
      </c>
      <c r="X1671" s="13" t="str">
        <f>IF(RIGHT(H1671,2)&lt;&gt;"00",H1671,"")</f>
        <v/>
      </c>
      <c r="Y1671" s="26">
        <f ca="1">NETWORKDAYS(P1671,$Y$1)</f>
        <v>3</v>
      </c>
      <c r="Z1671" s="34">
        <v>1</v>
      </c>
      <c r="AA1671" s="25" t="str">
        <f t="shared" ca="1" si="157"/>
        <v>A VENCER</v>
      </c>
      <c r="AB1671" s="25" t="str">
        <f t="shared" si="158"/>
        <v>Dosa</v>
      </c>
      <c r="AC1671" s="2" t="str">
        <f t="shared" si="159"/>
        <v xml:space="preserve"> CLEITON </v>
      </c>
      <c r="AD1671" s="26">
        <f t="shared" si="160"/>
        <v>5</v>
      </c>
      <c r="AE1671" s="26">
        <f t="shared" ca="1" si="161"/>
        <v>3.2834822916702251</v>
      </c>
    </row>
    <row r="1672" spans="1:31" hidden="1">
      <c r="A1672" s="209">
        <v>9512006</v>
      </c>
      <c r="B1672" s="209" t="s">
        <v>1153</v>
      </c>
      <c r="C1672" s="210" t="s">
        <v>4125</v>
      </c>
      <c r="D1672" s="214"/>
      <c r="E1672" s="214">
        <v>2590000203000</v>
      </c>
      <c r="F1672" s="209" t="s">
        <v>454</v>
      </c>
      <c r="G1672" s="209" t="s">
        <v>53</v>
      </c>
      <c r="H1672" s="209" t="s">
        <v>394</v>
      </c>
      <c r="I1672" s="209" t="s">
        <v>395</v>
      </c>
      <c r="J1672" s="209" t="s">
        <v>148</v>
      </c>
      <c r="K1672" s="210" t="s">
        <v>457</v>
      </c>
      <c r="L1672" s="210"/>
      <c r="M1672" s="209" t="s">
        <v>58</v>
      </c>
      <c r="N1672" s="209">
        <v>0</v>
      </c>
      <c r="O1672" s="209" t="s">
        <v>36</v>
      </c>
      <c r="P1672" s="211" t="s">
        <v>4484</v>
      </c>
      <c r="Q1672" s="209"/>
      <c r="R1672" s="209">
        <v>1</v>
      </c>
      <c r="S1672" s="209"/>
      <c r="T1672" s="209" t="s">
        <v>157</v>
      </c>
      <c r="U1672" s="211" t="s">
        <v>4485</v>
      </c>
      <c r="V1672" s="209" t="s">
        <v>41</v>
      </c>
      <c r="W1672" s="209" t="s">
        <v>49</v>
      </c>
      <c r="X1672" s="13" t="str">
        <f>IF(RIGHT(H1672,2)&lt;&gt;"00",H1672,"")</f>
        <v/>
      </c>
      <c r="Y1672" s="26">
        <f ca="1">NETWORKDAYS(P1672,$Y$1)</f>
        <v>3</v>
      </c>
      <c r="Z1672" s="34">
        <v>1</v>
      </c>
      <c r="AA1672" s="25" t="str">
        <f t="shared" ca="1" si="157"/>
        <v>A VENCER</v>
      </c>
      <c r="AB1672" s="25" t="str">
        <f t="shared" si="158"/>
        <v>C-14</v>
      </c>
      <c r="AC1672" s="2" t="str">
        <f t="shared" si="159"/>
        <v xml:space="preserve"> RINALDO </v>
      </c>
      <c r="AD1672" s="26">
        <f t="shared" si="160"/>
        <v>5</v>
      </c>
      <c r="AE1672" s="26">
        <f t="shared" ca="1" si="161"/>
        <v>3.2837716435169568</v>
      </c>
    </row>
    <row r="1673" spans="1:31" hidden="1">
      <c r="A1673" s="209">
        <v>9511852</v>
      </c>
      <c r="B1673" s="209" t="s">
        <v>1153</v>
      </c>
      <c r="C1673" s="210" t="s">
        <v>4126</v>
      </c>
      <c r="D1673" s="214"/>
      <c r="E1673" s="214">
        <v>7000206001</v>
      </c>
      <c r="F1673" s="209" t="s">
        <v>29</v>
      </c>
      <c r="G1673" s="209" t="s">
        <v>53</v>
      </c>
      <c r="H1673" s="209" t="s">
        <v>383</v>
      </c>
      <c r="I1673" s="209" t="s">
        <v>384</v>
      </c>
      <c r="J1673" s="209" t="s">
        <v>46</v>
      </c>
      <c r="K1673" s="210" t="s">
        <v>34</v>
      </c>
      <c r="L1673" s="210"/>
      <c r="M1673" s="209" t="s">
        <v>35</v>
      </c>
      <c r="N1673" s="209">
        <v>42318949</v>
      </c>
      <c r="O1673" s="209" t="s">
        <v>36</v>
      </c>
      <c r="P1673" s="211" t="s">
        <v>4486</v>
      </c>
      <c r="Q1673" s="209"/>
      <c r="R1673" s="209" t="s">
        <v>38</v>
      </c>
      <c r="S1673" s="209"/>
      <c r="T1673" s="209" t="s">
        <v>74</v>
      </c>
      <c r="U1673" s="211" t="s">
        <v>4458</v>
      </c>
      <c r="V1673" s="209" t="s">
        <v>41</v>
      </c>
      <c r="W1673" s="209" t="s">
        <v>49</v>
      </c>
      <c r="X1673" s="13" t="str">
        <f>IF(RIGHT(H1673,2)&lt;&gt;"00",H1673,"")</f>
        <v/>
      </c>
      <c r="Y1673" s="26">
        <f ca="1">NETWORKDAYS(P1673,$Y$1)</f>
        <v>3</v>
      </c>
      <c r="Z1673" s="34">
        <v>1</v>
      </c>
      <c r="AA1673" s="25" t="str">
        <f t="shared" ca="1" si="157"/>
        <v>A VENCER</v>
      </c>
      <c r="AB1673" s="25" t="str">
        <f t="shared" si="158"/>
        <v>Dosa</v>
      </c>
      <c r="AC1673" s="2" t="str">
        <f t="shared" si="159"/>
        <v xml:space="preserve"> CLEITON </v>
      </c>
      <c r="AD1673" s="26">
        <f t="shared" si="160"/>
        <v>5</v>
      </c>
      <c r="AE1673" s="26">
        <f t="shared" ca="1" si="161"/>
        <v>3.3255656249966705</v>
      </c>
    </row>
    <row r="1674" spans="1:31" hidden="1">
      <c r="A1674" s="209">
        <v>9511825</v>
      </c>
      <c r="B1674" s="209" t="s">
        <v>1153</v>
      </c>
      <c r="C1674" s="210" t="s">
        <v>4127</v>
      </c>
      <c r="D1674" s="214"/>
      <c r="E1674" s="214">
        <v>1903220206001</v>
      </c>
      <c r="F1674" s="209" t="s">
        <v>29</v>
      </c>
      <c r="G1674" s="209" t="s">
        <v>53</v>
      </c>
      <c r="H1674" s="209" t="s">
        <v>1867</v>
      </c>
      <c r="I1674" s="209" t="s">
        <v>1868</v>
      </c>
      <c r="J1674" s="209" t="s">
        <v>211</v>
      </c>
      <c r="K1674" s="210" t="s">
        <v>34</v>
      </c>
      <c r="L1674" s="210"/>
      <c r="M1674" s="209" t="s">
        <v>35</v>
      </c>
      <c r="N1674" s="209">
        <v>42318949</v>
      </c>
      <c r="O1674" s="209" t="s">
        <v>36</v>
      </c>
      <c r="P1674" s="211" t="s">
        <v>4487</v>
      </c>
      <c r="Q1674" s="209"/>
      <c r="R1674" s="209" t="s">
        <v>38</v>
      </c>
      <c r="S1674" s="209"/>
      <c r="T1674" s="209" t="s">
        <v>74</v>
      </c>
      <c r="U1674" s="211" t="s">
        <v>4476</v>
      </c>
      <c r="V1674" s="209" t="s">
        <v>41</v>
      </c>
      <c r="W1674" s="209" t="s">
        <v>49</v>
      </c>
      <c r="X1674" s="13" t="str">
        <f>IF(RIGHT(H1674,2)&lt;&gt;"00",H1674,"")</f>
        <v>1903.22</v>
      </c>
      <c r="Y1674" s="26">
        <f ca="1">NETWORKDAYS(P1674,$Y$1)</f>
        <v>3</v>
      </c>
      <c r="Z1674" s="34">
        <v>1</v>
      </c>
      <c r="AA1674" s="25" t="str">
        <f t="shared" ca="1" si="157"/>
        <v>A VENCER</v>
      </c>
      <c r="AB1674" s="25" t="str">
        <f t="shared" si="158"/>
        <v>Dosa</v>
      </c>
      <c r="AC1674" s="2" t="str">
        <f t="shared" si="159"/>
        <v xml:space="preserve"> RINALDO </v>
      </c>
      <c r="AD1674" s="26">
        <f t="shared" si="160"/>
        <v>5</v>
      </c>
      <c r="AE1674" s="26">
        <f t="shared" ca="1" si="161"/>
        <v>3.3354846064830781</v>
      </c>
    </row>
    <row r="1675" spans="1:31" hidden="1">
      <c r="A1675" s="209">
        <v>9522827</v>
      </c>
      <c r="B1675" s="209" t="s">
        <v>62</v>
      </c>
      <c r="C1675" s="210" t="s">
        <v>4794</v>
      </c>
      <c r="D1675" s="214"/>
      <c r="E1675" s="214">
        <v>1902016280200</v>
      </c>
      <c r="F1675" s="209" t="s">
        <v>64</v>
      </c>
      <c r="G1675" s="209" t="s">
        <v>53</v>
      </c>
      <c r="H1675" s="209" t="s">
        <v>388</v>
      </c>
      <c r="I1675" s="209" t="s">
        <v>389</v>
      </c>
      <c r="J1675" s="209" t="s">
        <v>46</v>
      </c>
      <c r="K1675" s="210" t="s">
        <v>67</v>
      </c>
      <c r="L1675" s="210"/>
      <c r="M1675" s="209" t="s">
        <v>35</v>
      </c>
      <c r="N1675" s="209">
        <v>42318949</v>
      </c>
      <c r="O1675" s="209" t="s">
        <v>105</v>
      </c>
      <c r="P1675" s="212">
        <v>44985.778009259258</v>
      </c>
      <c r="Q1675" s="209"/>
      <c r="R1675" s="209">
        <v>1</v>
      </c>
      <c r="S1675" s="209"/>
      <c r="T1675" s="209" t="s">
        <v>69</v>
      </c>
      <c r="U1675" s="213">
        <v>44986.778020833335</v>
      </c>
      <c r="V1675" s="209" t="s">
        <v>41</v>
      </c>
      <c r="W1675" s="209" t="s">
        <v>49</v>
      </c>
      <c r="X1675" s="13" t="str">
        <f>IF(RIGHT(H1675,2)&lt;&gt;"00",H1675,"")</f>
        <v/>
      </c>
      <c r="Y1675" s="26">
        <f ca="1">NETWORKDAYS(P1675,$Y$1)</f>
        <v>2</v>
      </c>
      <c r="Z1675" s="34">
        <v>1</v>
      </c>
      <c r="AA1675" s="25" t="str">
        <f t="shared" ca="1" si="157"/>
        <v>A VENCER</v>
      </c>
      <c r="AB1675" s="25" t="str">
        <f t="shared" si="158"/>
        <v>TAAe+</v>
      </c>
      <c r="AC1675" s="2" t="str">
        <f t="shared" si="159"/>
        <v xml:space="preserve"> CLEITON </v>
      </c>
      <c r="AD1675" s="26">
        <f t="shared" si="160"/>
        <v>8</v>
      </c>
      <c r="AE1675" s="26">
        <f t="shared" ca="1" si="161"/>
        <v>0.89826238426030613</v>
      </c>
    </row>
    <row r="1676" spans="1:31" hidden="1">
      <c r="A1676" s="209">
        <v>9522703</v>
      </c>
      <c r="B1676" s="209" t="s">
        <v>1153</v>
      </c>
      <c r="C1676" s="210" t="s">
        <v>4795</v>
      </c>
      <c r="D1676" s="214">
        <v>20234804002055</v>
      </c>
      <c r="E1676" s="214">
        <v>7417183020662</v>
      </c>
      <c r="F1676" s="209" t="s">
        <v>1313</v>
      </c>
      <c r="G1676" s="209" t="s">
        <v>53</v>
      </c>
      <c r="H1676" s="209" t="s">
        <v>3556</v>
      </c>
      <c r="I1676" s="209" t="s">
        <v>3557</v>
      </c>
      <c r="J1676" s="209" t="s">
        <v>110</v>
      </c>
      <c r="K1676" s="210" t="s">
        <v>1316</v>
      </c>
      <c r="L1676" s="210"/>
      <c r="M1676" s="209" t="s">
        <v>58</v>
      </c>
      <c r="N1676" s="209">
        <v>0</v>
      </c>
      <c r="O1676" s="209" t="s">
        <v>105</v>
      </c>
      <c r="P1676" s="212">
        <v>44985.743287037039</v>
      </c>
      <c r="Q1676" s="209"/>
      <c r="R1676" s="209">
        <v>13</v>
      </c>
      <c r="S1676" s="209">
        <v>4804</v>
      </c>
      <c r="T1676" s="209" t="s">
        <v>238</v>
      </c>
      <c r="U1676" s="211" t="s">
        <v>4796</v>
      </c>
      <c r="V1676" s="209" t="s">
        <v>41</v>
      </c>
      <c r="W1676" s="209" t="s">
        <v>49</v>
      </c>
      <c r="X1676" s="13" t="str">
        <f>IF(RIGHT(H1676,2)&lt;&gt;"00",H1676,"")</f>
        <v>2039.91</v>
      </c>
      <c r="Y1676" s="26">
        <f ca="1">NETWORKDAYS(P1676,$Y$1)</f>
        <v>2</v>
      </c>
      <c r="Z1676" s="34">
        <v>1</v>
      </c>
      <c r="AA1676" s="25" t="str">
        <f t="shared" ca="1" si="157"/>
        <v>A VENCER</v>
      </c>
      <c r="AB1676" s="25" t="str">
        <f t="shared" si="158"/>
        <v>TAAe+</v>
      </c>
      <c r="AC1676" s="2" t="str">
        <f t="shared" si="159"/>
        <v xml:space="preserve"> CRISTINA </v>
      </c>
      <c r="AD1676" s="26">
        <f t="shared" si="160"/>
        <v>8</v>
      </c>
      <c r="AE1676" s="26">
        <f t="shared" ca="1" si="161"/>
        <v>0.9329846064792946</v>
      </c>
    </row>
    <row r="1677" spans="1:31" hidden="1">
      <c r="A1677" s="209">
        <v>9522642</v>
      </c>
      <c r="B1677" s="209" t="s">
        <v>1153</v>
      </c>
      <c r="C1677" s="210" t="s">
        <v>4797</v>
      </c>
      <c r="D1677" s="214"/>
      <c r="E1677" s="214">
        <v>697000203000</v>
      </c>
      <c r="F1677" s="209" t="s">
        <v>454</v>
      </c>
      <c r="G1677" s="209" t="s">
        <v>53</v>
      </c>
      <c r="H1677" s="209" t="s">
        <v>65</v>
      </c>
      <c r="I1677" s="209" t="s">
        <v>66</v>
      </c>
      <c r="J1677" s="209" t="s">
        <v>46</v>
      </c>
      <c r="K1677" s="210" t="s">
        <v>457</v>
      </c>
      <c r="L1677" s="210"/>
      <c r="M1677" s="209" t="s">
        <v>58</v>
      </c>
      <c r="N1677" s="209">
        <v>0</v>
      </c>
      <c r="O1677" s="209" t="s">
        <v>36</v>
      </c>
      <c r="P1677" s="212">
        <v>44985.74628472222</v>
      </c>
      <c r="Q1677" s="209"/>
      <c r="R1677" s="209">
        <v>1</v>
      </c>
      <c r="S1677" s="209"/>
      <c r="T1677" s="209" t="s">
        <v>157</v>
      </c>
      <c r="U1677" s="211" t="s">
        <v>4798</v>
      </c>
      <c r="V1677" s="209" t="s">
        <v>41</v>
      </c>
      <c r="W1677" s="209" t="s">
        <v>49</v>
      </c>
      <c r="X1677" s="13" t="str">
        <f>IF(RIGHT(H1677,2)&lt;&gt;"00",H1677,"")</f>
        <v/>
      </c>
      <c r="Y1677" s="26">
        <f ca="1">NETWORKDAYS(P1677,$Y$1)</f>
        <v>2</v>
      </c>
      <c r="Z1677" s="34">
        <v>1</v>
      </c>
      <c r="AA1677" s="25" t="str">
        <f t="shared" ca="1" si="157"/>
        <v>A VENCER</v>
      </c>
      <c r="AB1677" s="25" t="str">
        <f t="shared" si="158"/>
        <v>C-14</v>
      </c>
      <c r="AC1677" s="2" t="str">
        <f t="shared" si="159"/>
        <v xml:space="preserve"> CLEITON </v>
      </c>
      <c r="AD1677" s="26">
        <f t="shared" si="160"/>
        <v>5</v>
      </c>
      <c r="AE1677" s="26">
        <f t="shared" ca="1" si="161"/>
        <v>0.92998692129913252</v>
      </c>
    </row>
    <row r="1678" spans="1:31" hidden="1">
      <c r="A1678" s="209">
        <v>9522495</v>
      </c>
      <c r="B1678" s="209" t="s">
        <v>1153</v>
      </c>
      <c r="C1678" s="210" t="s">
        <v>4799</v>
      </c>
      <c r="D1678" s="214">
        <v>20230196000016</v>
      </c>
      <c r="E1678" s="214">
        <v>7417211830079</v>
      </c>
      <c r="F1678" s="209" t="s">
        <v>1936</v>
      </c>
      <c r="G1678" s="209" t="s">
        <v>53</v>
      </c>
      <c r="H1678" s="209" t="s">
        <v>4800</v>
      </c>
      <c r="I1678" s="209" t="s">
        <v>4801</v>
      </c>
      <c r="J1678" s="209" t="s">
        <v>79</v>
      </c>
      <c r="K1678" s="210" t="s">
        <v>1939</v>
      </c>
      <c r="L1678" s="210"/>
      <c r="M1678" s="209" t="s">
        <v>58</v>
      </c>
      <c r="N1678" s="209">
        <v>0</v>
      </c>
      <c r="O1678" s="209" t="s">
        <v>105</v>
      </c>
      <c r="P1678" s="212">
        <v>44985.70585648148</v>
      </c>
      <c r="Q1678" s="209"/>
      <c r="R1678" s="209">
        <v>14</v>
      </c>
      <c r="S1678" s="209"/>
      <c r="T1678" s="209" t="s">
        <v>238</v>
      </c>
      <c r="U1678" s="211" t="s">
        <v>4802</v>
      </c>
      <c r="V1678" s="209" t="s">
        <v>41</v>
      </c>
      <c r="W1678" s="209" t="s">
        <v>49</v>
      </c>
      <c r="X1678" s="13" t="str">
        <f>IF(RIGHT(H1678,2)&lt;&gt;"00",H1678,"")</f>
        <v>0196.91</v>
      </c>
      <c r="Y1678" s="26">
        <f ca="1">NETWORKDAYS(P1678,$Y$1)</f>
        <v>2</v>
      </c>
      <c r="Z1678" s="34">
        <v>1</v>
      </c>
      <c r="AA1678" s="25" t="str">
        <f t="shared" ca="1" si="157"/>
        <v>A VENCER</v>
      </c>
      <c r="AB1678" s="25" t="str">
        <f t="shared" si="158"/>
        <v>TAAe+</v>
      </c>
      <c r="AC1678" s="2" t="str">
        <f t="shared" si="159"/>
        <v xml:space="preserve"> ROSEMERE </v>
      </c>
      <c r="AD1678" s="26">
        <f t="shared" si="160"/>
        <v>8</v>
      </c>
      <c r="AE1678" s="26">
        <f t="shared" ca="1" si="161"/>
        <v>0.97041516203898937</v>
      </c>
    </row>
    <row r="1679" spans="1:31" hidden="1">
      <c r="A1679" s="209">
        <v>9522467</v>
      </c>
      <c r="B1679" s="209" t="s">
        <v>1153</v>
      </c>
      <c r="C1679" s="210" t="s">
        <v>4803</v>
      </c>
      <c r="D1679" s="214"/>
      <c r="E1679" s="214">
        <v>1049000206001</v>
      </c>
      <c r="F1679" s="209" t="s">
        <v>29</v>
      </c>
      <c r="G1679" s="209" t="s">
        <v>53</v>
      </c>
      <c r="H1679" s="209" t="s">
        <v>169</v>
      </c>
      <c r="I1679" s="209" t="s">
        <v>170</v>
      </c>
      <c r="J1679" s="209" t="s">
        <v>164</v>
      </c>
      <c r="K1679" s="210" t="s">
        <v>34</v>
      </c>
      <c r="L1679" s="210"/>
      <c r="M1679" s="209" t="s">
        <v>35</v>
      </c>
      <c r="N1679" s="209">
        <v>42318949</v>
      </c>
      <c r="O1679" s="209" t="s">
        <v>36</v>
      </c>
      <c r="P1679" s="212">
        <v>44985.715069444443</v>
      </c>
      <c r="Q1679" s="209"/>
      <c r="R1679" s="209" t="s">
        <v>38</v>
      </c>
      <c r="S1679" s="209"/>
      <c r="T1679" s="209" t="s">
        <v>74</v>
      </c>
      <c r="U1679" s="211" t="s">
        <v>4804</v>
      </c>
      <c r="V1679" s="209" t="s">
        <v>41</v>
      </c>
      <c r="W1679" s="209" t="s">
        <v>49</v>
      </c>
      <c r="X1679" s="13" t="str">
        <f>IF(RIGHT(H1679,2)&lt;&gt;"00",H1679,"")</f>
        <v/>
      </c>
      <c r="Y1679" s="26">
        <f ca="1">NETWORKDAYS(P1679,$Y$1)</f>
        <v>2</v>
      </c>
      <c r="Z1679" s="34">
        <v>1</v>
      </c>
      <c r="AA1679" s="25" t="str">
        <f t="shared" ca="1" si="157"/>
        <v>A VENCER</v>
      </c>
      <c r="AB1679" s="25" t="str">
        <f t="shared" si="158"/>
        <v>Dosa</v>
      </c>
      <c r="AC1679" s="2" t="str">
        <f t="shared" si="159"/>
        <v xml:space="preserve"> ROSEMERE </v>
      </c>
      <c r="AD1679" s="26">
        <f t="shared" si="160"/>
        <v>5</v>
      </c>
      <c r="AE1679" s="26">
        <f t="shared" ca="1" si="161"/>
        <v>0.96120219907606952</v>
      </c>
    </row>
    <row r="1680" spans="1:31" hidden="1">
      <c r="A1680" s="209">
        <v>9522411</v>
      </c>
      <c r="B1680" s="209" t="s">
        <v>1153</v>
      </c>
      <c r="C1680" s="210" t="s">
        <v>4805</v>
      </c>
      <c r="D1680" s="214"/>
      <c r="E1680" s="214">
        <v>1049000206001</v>
      </c>
      <c r="F1680" s="209" t="s">
        <v>29</v>
      </c>
      <c r="G1680" s="209" t="s">
        <v>53</v>
      </c>
      <c r="H1680" s="209" t="s">
        <v>169</v>
      </c>
      <c r="I1680" s="209" t="s">
        <v>170</v>
      </c>
      <c r="J1680" s="209" t="s">
        <v>164</v>
      </c>
      <c r="K1680" s="210" t="s">
        <v>34</v>
      </c>
      <c r="L1680" s="210"/>
      <c r="M1680" s="209" t="s">
        <v>35</v>
      </c>
      <c r="N1680" s="209">
        <v>42318949</v>
      </c>
      <c r="O1680" s="209" t="s">
        <v>36</v>
      </c>
      <c r="P1680" s="212">
        <v>44985.704745370371</v>
      </c>
      <c r="Q1680" s="209"/>
      <c r="R1680" s="209" t="s">
        <v>38</v>
      </c>
      <c r="S1680" s="209"/>
      <c r="T1680" s="209" t="s">
        <v>74</v>
      </c>
      <c r="U1680" s="211" t="s">
        <v>4806</v>
      </c>
      <c r="V1680" s="209" t="s">
        <v>41</v>
      </c>
      <c r="W1680" s="209" t="s">
        <v>49</v>
      </c>
      <c r="X1680" s="13" t="str">
        <f>IF(RIGHT(H1680,2)&lt;&gt;"00",H1680,"")</f>
        <v/>
      </c>
      <c r="Y1680" s="26">
        <f ca="1">NETWORKDAYS(P1680,$Y$1)</f>
        <v>2</v>
      </c>
      <c r="Z1680" s="34">
        <v>1</v>
      </c>
      <c r="AA1680" s="25" t="str">
        <f t="shared" ca="1" si="157"/>
        <v>A VENCER</v>
      </c>
      <c r="AB1680" s="25" t="str">
        <f t="shared" si="158"/>
        <v>Dosa</v>
      </c>
      <c r="AC1680" s="2" t="str">
        <f t="shared" si="159"/>
        <v xml:space="preserve"> ROSEMERE </v>
      </c>
      <c r="AD1680" s="26">
        <f t="shared" si="160"/>
        <v>5</v>
      </c>
      <c r="AE1680" s="26">
        <f t="shared" ca="1" si="161"/>
        <v>0.97152627314790152</v>
      </c>
    </row>
    <row r="1681" spans="1:31" hidden="1">
      <c r="A1681" s="209">
        <v>9522395</v>
      </c>
      <c r="B1681" s="209" t="s">
        <v>1153</v>
      </c>
      <c r="C1681" s="210" t="s">
        <v>4807</v>
      </c>
      <c r="D1681" s="214">
        <v>20230220000023</v>
      </c>
      <c r="E1681" s="214">
        <v>7417163284481</v>
      </c>
      <c r="F1681" s="209" t="s">
        <v>131</v>
      </c>
      <c r="G1681" s="209" t="s">
        <v>53</v>
      </c>
      <c r="H1681" s="209" t="s">
        <v>2030</v>
      </c>
      <c r="I1681" s="209" t="s">
        <v>2031</v>
      </c>
      <c r="J1681" s="209" t="s">
        <v>110</v>
      </c>
      <c r="K1681" s="210" t="s">
        <v>132</v>
      </c>
      <c r="L1681" s="210"/>
      <c r="M1681" s="209" t="s">
        <v>58</v>
      </c>
      <c r="N1681" s="209">
        <v>0</v>
      </c>
      <c r="O1681" s="209" t="s">
        <v>105</v>
      </c>
      <c r="P1681" s="212">
        <v>44985.682488425926</v>
      </c>
      <c r="Q1681" s="209"/>
      <c r="R1681" s="209">
        <v>14</v>
      </c>
      <c r="S1681" s="209"/>
      <c r="T1681" s="209" t="s">
        <v>238</v>
      </c>
      <c r="U1681" s="211" t="s">
        <v>4808</v>
      </c>
      <c r="V1681" s="209" t="s">
        <v>41</v>
      </c>
      <c r="W1681" s="209" t="s">
        <v>49</v>
      </c>
      <c r="X1681" s="13" t="str">
        <f>IF(RIGHT(H1681,2)&lt;&gt;"00",H1681,"")</f>
        <v>0220.91</v>
      </c>
      <c r="Y1681" s="26">
        <f ca="1">NETWORKDAYS(P1681,$Y$1)</f>
        <v>2</v>
      </c>
      <c r="Z1681" s="34">
        <v>1</v>
      </c>
      <c r="AA1681" s="25" t="str">
        <f t="shared" ca="1" si="157"/>
        <v>A VENCER</v>
      </c>
      <c r="AB1681" s="25" t="str">
        <f t="shared" si="158"/>
        <v>TAAe+</v>
      </c>
      <c r="AC1681" s="2" t="str">
        <f t="shared" si="159"/>
        <v xml:space="preserve"> CRISTINA </v>
      </c>
      <c r="AD1681" s="26">
        <f t="shared" si="160"/>
        <v>8</v>
      </c>
      <c r="AE1681" s="26">
        <f t="shared" ca="1" si="161"/>
        <v>0.99378321759286337</v>
      </c>
    </row>
    <row r="1682" spans="1:31" hidden="1">
      <c r="A1682" s="209">
        <v>9522384</v>
      </c>
      <c r="B1682" s="209" t="s">
        <v>1153</v>
      </c>
      <c r="C1682" s="210" t="s">
        <v>4809</v>
      </c>
      <c r="D1682" s="214">
        <v>20232239000016</v>
      </c>
      <c r="E1682" s="214">
        <v>7417183024313</v>
      </c>
      <c r="F1682" s="209" t="s">
        <v>1313</v>
      </c>
      <c r="G1682" s="209" t="s">
        <v>53</v>
      </c>
      <c r="H1682" s="209" t="s">
        <v>2838</v>
      </c>
      <c r="I1682" s="209" t="s">
        <v>2839</v>
      </c>
      <c r="J1682" s="209" t="s">
        <v>261</v>
      </c>
      <c r="K1682" s="210" t="s">
        <v>1316</v>
      </c>
      <c r="L1682" s="210"/>
      <c r="M1682" s="209" t="s">
        <v>58</v>
      </c>
      <c r="N1682" s="209">
        <v>0</v>
      </c>
      <c r="O1682" s="209" t="s">
        <v>105</v>
      </c>
      <c r="P1682" s="212">
        <v>44985.68173611111</v>
      </c>
      <c r="Q1682" s="209"/>
      <c r="R1682" s="209">
        <v>14</v>
      </c>
      <c r="S1682" s="209"/>
      <c r="T1682" s="209" t="s">
        <v>238</v>
      </c>
      <c r="U1682" s="211" t="s">
        <v>4810</v>
      </c>
      <c r="V1682" s="209" t="s">
        <v>41</v>
      </c>
      <c r="W1682" s="209" t="s">
        <v>49</v>
      </c>
      <c r="X1682" s="13" t="str">
        <f>IF(RIGHT(H1682,2)&lt;&gt;"00",H1682,"")</f>
        <v>2239.91</v>
      </c>
      <c r="Y1682" s="26">
        <f ca="1">NETWORKDAYS(P1682,$Y$1)</f>
        <v>2</v>
      </c>
      <c r="Z1682" s="34">
        <v>1</v>
      </c>
      <c r="AA1682" s="25" t="str">
        <f t="shared" ca="1" si="157"/>
        <v>A VENCER</v>
      </c>
      <c r="AB1682" s="25" t="str">
        <f t="shared" si="158"/>
        <v>TAAe+</v>
      </c>
      <c r="AC1682" s="2" t="str">
        <f t="shared" si="159"/>
        <v xml:space="preserve"> CRISTINA </v>
      </c>
      <c r="AD1682" s="26">
        <f t="shared" si="160"/>
        <v>8</v>
      </c>
      <c r="AE1682" s="26">
        <f t="shared" ca="1" si="161"/>
        <v>0.99453553240891779</v>
      </c>
    </row>
    <row r="1683" spans="1:31" hidden="1">
      <c r="A1683" s="209">
        <v>9522362</v>
      </c>
      <c r="B1683" s="209" t="s">
        <v>1153</v>
      </c>
      <c r="C1683" s="210" t="s">
        <v>4811</v>
      </c>
      <c r="D1683" s="214"/>
      <c r="E1683" s="214">
        <v>2244000206001</v>
      </c>
      <c r="F1683" s="209" t="s">
        <v>29</v>
      </c>
      <c r="G1683" s="209" t="s">
        <v>53</v>
      </c>
      <c r="H1683" s="209" t="s">
        <v>1853</v>
      </c>
      <c r="I1683" s="209" t="s">
        <v>1854</v>
      </c>
      <c r="J1683" s="209" t="s">
        <v>79</v>
      </c>
      <c r="K1683" s="210" t="s">
        <v>34</v>
      </c>
      <c r="L1683" s="210"/>
      <c r="M1683" s="209" t="s">
        <v>35</v>
      </c>
      <c r="N1683" s="209">
        <v>42318949</v>
      </c>
      <c r="O1683" s="209" t="s">
        <v>36</v>
      </c>
      <c r="P1683" s="212">
        <v>44985.694108796299</v>
      </c>
      <c r="Q1683" s="209"/>
      <c r="R1683" s="209" t="s">
        <v>38</v>
      </c>
      <c r="S1683" s="209"/>
      <c r="T1683" s="209" t="s">
        <v>74</v>
      </c>
      <c r="U1683" s="211" t="s">
        <v>4804</v>
      </c>
      <c r="V1683" s="209" t="s">
        <v>41</v>
      </c>
      <c r="W1683" s="209" t="s">
        <v>49</v>
      </c>
      <c r="X1683" s="13" t="str">
        <f>IF(RIGHT(H1683,2)&lt;&gt;"00",H1683,"")</f>
        <v/>
      </c>
      <c r="Y1683" s="26">
        <f ca="1">NETWORKDAYS(P1683,$Y$1)</f>
        <v>2</v>
      </c>
      <c r="Z1683" s="34">
        <v>1</v>
      </c>
      <c r="AA1683" s="25" t="str">
        <f t="shared" ca="1" si="157"/>
        <v>A VENCER</v>
      </c>
      <c r="AB1683" s="25" t="str">
        <f t="shared" si="158"/>
        <v>Dosa</v>
      </c>
      <c r="AC1683" s="2" t="str">
        <f t="shared" si="159"/>
        <v xml:space="preserve"> ROSEMERE </v>
      </c>
      <c r="AD1683" s="26">
        <f t="shared" si="160"/>
        <v>5</v>
      </c>
      <c r="AE1683" s="26">
        <f t="shared" ca="1" si="161"/>
        <v>0.98216284722002456</v>
      </c>
    </row>
    <row r="1684" spans="1:31" hidden="1">
      <c r="A1684" s="209">
        <v>9522332</v>
      </c>
      <c r="B1684" s="209" t="s">
        <v>1153</v>
      </c>
      <c r="C1684" s="210" t="s">
        <v>4812</v>
      </c>
      <c r="D1684" s="214">
        <v>20232442000024</v>
      </c>
      <c r="E1684" s="214">
        <v>7417163281771</v>
      </c>
      <c r="F1684" s="209" t="s">
        <v>131</v>
      </c>
      <c r="G1684" s="209" t="s">
        <v>53</v>
      </c>
      <c r="H1684" s="209" t="s">
        <v>2489</v>
      </c>
      <c r="I1684" s="209" t="s">
        <v>2490</v>
      </c>
      <c r="J1684" s="209" t="s">
        <v>33</v>
      </c>
      <c r="K1684" s="210" t="s">
        <v>132</v>
      </c>
      <c r="L1684" s="210"/>
      <c r="M1684" s="209" t="s">
        <v>58</v>
      </c>
      <c r="N1684" s="209">
        <v>0</v>
      </c>
      <c r="O1684" s="209" t="s">
        <v>105</v>
      </c>
      <c r="P1684" s="212">
        <v>44985.669664351852</v>
      </c>
      <c r="Q1684" s="209"/>
      <c r="R1684" s="209">
        <v>15</v>
      </c>
      <c r="S1684" s="209"/>
      <c r="T1684" s="209" t="s">
        <v>238</v>
      </c>
      <c r="U1684" s="211" t="s">
        <v>4813</v>
      </c>
      <c r="V1684" s="209" t="s">
        <v>41</v>
      </c>
      <c r="W1684" s="209" t="s">
        <v>42</v>
      </c>
      <c r="X1684" s="13" t="str">
        <f>IF(RIGHT(H1684,2)&lt;&gt;"00",H1684,"")</f>
        <v>2442.91</v>
      </c>
      <c r="Y1684" s="26">
        <f ca="1">NETWORKDAYS(P1684,$Y$1)</f>
        <v>2</v>
      </c>
      <c r="Z1684" s="34">
        <v>1</v>
      </c>
      <c r="AA1684" s="25" t="str">
        <f t="shared" ca="1" si="157"/>
        <v>A VENCER</v>
      </c>
      <c r="AB1684" s="25" t="str">
        <f t="shared" si="158"/>
        <v>TAAe+</v>
      </c>
      <c r="AC1684" s="2" t="str">
        <f t="shared" si="159"/>
        <v xml:space="preserve"> ROSEMERE </v>
      </c>
      <c r="AD1684" s="26">
        <f t="shared" si="160"/>
        <v>8</v>
      </c>
      <c r="AE1684" s="26">
        <f t="shared" ca="1" si="161"/>
        <v>1.0066072916670237</v>
      </c>
    </row>
    <row r="1685" spans="1:31" hidden="1">
      <c r="A1685" s="209">
        <v>9522300</v>
      </c>
      <c r="B1685" s="209" t="s">
        <v>1153</v>
      </c>
      <c r="C1685" s="210" t="s">
        <v>4488</v>
      </c>
      <c r="D1685" s="214">
        <v>20234923000088</v>
      </c>
      <c r="E1685" s="214">
        <v>7417183022495</v>
      </c>
      <c r="F1685" s="209" t="s">
        <v>1313</v>
      </c>
      <c r="G1685" s="209" t="s">
        <v>53</v>
      </c>
      <c r="H1685" s="209" t="s">
        <v>2685</v>
      </c>
      <c r="I1685" s="209" t="s">
        <v>2686</v>
      </c>
      <c r="J1685" s="209" t="s">
        <v>46</v>
      </c>
      <c r="K1685" s="210" t="s">
        <v>1316</v>
      </c>
      <c r="L1685" s="210"/>
      <c r="M1685" s="209" t="s">
        <v>58</v>
      </c>
      <c r="N1685" s="209">
        <v>0</v>
      </c>
      <c r="O1685" s="209" t="s">
        <v>36</v>
      </c>
      <c r="P1685" s="212">
        <v>44985.6640625</v>
      </c>
      <c r="Q1685" s="209"/>
      <c r="R1685" s="209">
        <v>14</v>
      </c>
      <c r="S1685" s="209"/>
      <c r="T1685" s="209" t="s">
        <v>238</v>
      </c>
      <c r="U1685" s="211" t="s">
        <v>4489</v>
      </c>
      <c r="V1685" s="209" t="s">
        <v>41</v>
      </c>
      <c r="W1685" s="209" t="s">
        <v>49</v>
      </c>
      <c r="X1685" s="13" t="str">
        <f>IF(RIGHT(H1685,2)&lt;&gt;"00",H1685,"")</f>
        <v>4923.03</v>
      </c>
      <c r="Y1685" s="26">
        <f ca="1">NETWORKDAYS(P1685,$Y$1)</f>
        <v>2</v>
      </c>
      <c r="Z1685" s="34">
        <v>1</v>
      </c>
      <c r="AA1685" s="25" t="str">
        <f t="shared" ca="1" si="157"/>
        <v>A VENCER</v>
      </c>
      <c r="AB1685" s="25" t="str">
        <f t="shared" si="158"/>
        <v>TAAe+</v>
      </c>
      <c r="AC1685" s="2" t="str">
        <f t="shared" si="159"/>
        <v xml:space="preserve"> CLEITON </v>
      </c>
      <c r="AD1685" s="26">
        <f t="shared" si="160"/>
        <v>8</v>
      </c>
      <c r="AE1685" s="26">
        <f t="shared" ca="1" si="161"/>
        <v>1.0122091435187031</v>
      </c>
    </row>
    <row r="1686" spans="1:31" hidden="1">
      <c r="A1686" s="209">
        <v>9522291</v>
      </c>
      <c r="B1686" s="209" t="s">
        <v>1153</v>
      </c>
      <c r="C1686" s="210" t="s">
        <v>4490</v>
      </c>
      <c r="D1686" s="214">
        <v>20238889000083</v>
      </c>
      <c r="E1686" s="214">
        <v>7417163285355</v>
      </c>
      <c r="F1686" s="209" t="s">
        <v>131</v>
      </c>
      <c r="G1686" s="209" t="s">
        <v>53</v>
      </c>
      <c r="H1686" s="209" t="s">
        <v>2917</v>
      </c>
      <c r="I1686" s="209" t="s">
        <v>2918</v>
      </c>
      <c r="J1686" s="209" t="s">
        <v>33</v>
      </c>
      <c r="K1686" s="210" t="s">
        <v>132</v>
      </c>
      <c r="L1686" s="210"/>
      <c r="M1686" s="209" t="s">
        <v>58</v>
      </c>
      <c r="N1686" s="209">
        <v>0</v>
      </c>
      <c r="O1686" s="209" t="s">
        <v>105</v>
      </c>
      <c r="P1686" s="212">
        <v>44985.65761574074</v>
      </c>
      <c r="Q1686" s="209"/>
      <c r="R1686" s="209">
        <v>14</v>
      </c>
      <c r="S1686" s="209"/>
      <c r="T1686" s="209" t="s">
        <v>238</v>
      </c>
      <c r="U1686" s="211" t="s">
        <v>4491</v>
      </c>
      <c r="V1686" s="209" t="s">
        <v>41</v>
      </c>
      <c r="W1686" s="209" t="s">
        <v>49</v>
      </c>
      <c r="X1686" s="13" t="str">
        <f>IF(RIGHT(H1686,2)&lt;&gt;"00",H1686,"")</f>
        <v>8889.02</v>
      </c>
      <c r="Y1686" s="26">
        <f ca="1">NETWORKDAYS(P1686,$Y$1)</f>
        <v>2</v>
      </c>
      <c r="Z1686" s="34">
        <v>1</v>
      </c>
      <c r="AA1686" s="25" t="str">
        <f t="shared" ca="1" si="157"/>
        <v>A VENCER</v>
      </c>
      <c r="AB1686" s="25" t="str">
        <f t="shared" si="158"/>
        <v>TAAe+</v>
      </c>
      <c r="AC1686" s="2" t="str">
        <f t="shared" si="159"/>
        <v xml:space="preserve"> ROSEMERE </v>
      </c>
      <c r="AD1686" s="26">
        <f t="shared" si="160"/>
        <v>8</v>
      </c>
      <c r="AE1686" s="26">
        <f t="shared" ca="1" si="161"/>
        <v>1.0186559027788462</v>
      </c>
    </row>
    <row r="1687" spans="1:31" hidden="1">
      <c r="A1687" s="209">
        <v>9522237</v>
      </c>
      <c r="B1687" s="209" t="s">
        <v>1153</v>
      </c>
      <c r="C1687" s="210" t="s">
        <v>4492</v>
      </c>
      <c r="D1687" s="214"/>
      <c r="E1687" s="214">
        <v>1902016135900</v>
      </c>
      <c r="F1687" s="209" t="s">
        <v>64</v>
      </c>
      <c r="G1687" s="209" t="s">
        <v>53</v>
      </c>
      <c r="H1687" s="209" t="s">
        <v>270</v>
      </c>
      <c r="I1687" s="209" t="s">
        <v>271</v>
      </c>
      <c r="J1687" s="209" t="s">
        <v>141</v>
      </c>
      <c r="K1687" s="210" t="s">
        <v>67</v>
      </c>
      <c r="L1687" s="210"/>
      <c r="M1687" s="209" t="s">
        <v>35</v>
      </c>
      <c r="N1687" s="209">
        <v>42318949</v>
      </c>
      <c r="O1687" s="209" t="s">
        <v>105</v>
      </c>
      <c r="P1687" s="212">
        <v>44985.665370370371</v>
      </c>
      <c r="Q1687" s="209"/>
      <c r="R1687" s="209" t="s">
        <v>571</v>
      </c>
      <c r="S1687" s="209"/>
      <c r="T1687" s="209" t="s">
        <v>69</v>
      </c>
      <c r="U1687" s="211" t="s">
        <v>4494</v>
      </c>
      <c r="V1687" s="209" t="s">
        <v>41</v>
      </c>
      <c r="W1687" s="209" t="s">
        <v>49</v>
      </c>
      <c r="X1687" s="13" t="str">
        <f>IF(RIGHT(H1687,2)&lt;&gt;"00",H1687,"")</f>
        <v/>
      </c>
      <c r="Y1687" s="26">
        <f ca="1">NETWORKDAYS(P1687,$Y$1)</f>
        <v>2</v>
      </c>
      <c r="Z1687" s="34">
        <v>1</v>
      </c>
      <c r="AA1687" s="25" t="str">
        <f t="shared" ca="1" si="157"/>
        <v>A VENCER</v>
      </c>
      <c r="AB1687" s="25" t="str">
        <f t="shared" si="158"/>
        <v>TAAe+</v>
      </c>
      <c r="AC1687" s="2" t="str">
        <f t="shared" si="159"/>
        <v xml:space="preserve"> CRISTINA </v>
      </c>
      <c r="AD1687" s="26">
        <f t="shared" si="160"/>
        <v>8</v>
      </c>
      <c r="AE1687" s="26">
        <f t="shared" ca="1" si="161"/>
        <v>1.0109012731481926</v>
      </c>
    </row>
    <row r="1688" spans="1:31" hidden="1">
      <c r="A1688" s="209">
        <v>9522235</v>
      </c>
      <c r="B1688" s="209" t="s">
        <v>1153</v>
      </c>
      <c r="C1688" s="210" t="s">
        <v>4495</v>
      </c>
      <c r="D1688" s="214">
        <v>20234923000087</v>
      </c>
      <c r="E1688" s="214">
        <v>7417163283075</v>
      </c>
      <c r="F1688" s="209" t="s">
        <v>131</v>
      </c>
      <c r="G1688" s="209" t="s">
        <v>53</v>
      </c>
      <c r="H1688" s="209" t="s">
        <v>2685</v>
      </c>
      <c r="I1688" s="209" t="s">
        <v>2686</v>
      </c>
      <c r="J1688" s="209" t="s">
        <v>46</v>
      </c>
      <c r="K1688" s="210" t="s">
        <v>132</v>
      </c>
      <c r="L1688" s="210"/>
      <c r="M1688" s="209" t="s">
        <v>58</v>
      </c>
      <c r="N1688" s="209">
        <v>0</v>
      </c>
      <c r="O1688" s="209" t="s">
        <v>36</v>
      </c>
      <c r="P1688" s="212">
        <v>44985.649942129632</v>
      </c>
      <c r="Q1688" s="209"/>
      <c r="R1688" s="209">
        <v>14</v>
      </c>
      <c r="S1688" s="209"/>
      <c r="T1688" s="209" t="s">
        <v>238</v>
      </c>
      <c r="U1688" s="211" t="s">
        <v>4496</v>
      </c>
      <c r="V1688" s="209" t="s">
        <v>41</v>
      </c>
      <c r="W1688" s="209" t="s">
        <v>49</v>
      </c>
      <c r="X1688" s="13" t="str">
        <f>IF(RIGHT(H1688,2)&lt;&gt;"00",H1688,"")</f>
        <v>4923.03</v>
      </c>
      <c r="Y1688" s="26">
        <f ca="1">NETWORKDAYS(P1688,$Y$1)</f>
        <v>2</v>
      </c>
      <c r="Z1688" s="34">
        <v>1</v>
      </c>
      <c r="AA1688" s="25" t="str">
        <f t="shared" ca="1" si="157"/>
        <v>A VENCER</v>
      </c>
      <c r="AB1688" s="25" t="str">
        <f t="shared" si="158"/>
        <v>TAAe+</v>
      </c>
      <c r="AC1688" s="2" t="str">
        <f t="shared" si="159"/>
        <v xml:space="preserve"> CLEITON </v>
      </c>
      <c r="AD1688" s="26">
        <f t="shared" si="160"/>
        <v>8</v>
      </c>
      <c r="AE1688" s="26">
        <f t="shared" ca="1" si="161"/>
        <v>1.0263295138865942</v>
      </c>
    </row>
    <row r="1689" spans="1:31" hidden="1">
      <c r="A1689" s="209">
        <v>9522188</v>
      </c>
      <c r="B1689" s="209" t="s">
        <v>1153</v>
      </c>
      <c r="C1689" s="210" t="s">
        <v>4497</v>
      </c>
      <c r="D1689" s="214">
        <v>20234844000606</v>
      </c>
      <c r="E1689" s="214">
        <v>7417163282350</v>
      </c>
      <c r="F1689" s="209" t="s">
        <v>131</v>
      </c>
      <c r="G1689" s="209" t="s">
        <v>53</v>
      </c>
      <c r="H1689" s="209" t="s">
        <v>2992</v>
      </c>
      <c r="I1689" s="209" t="s">
        <v>2993</v>
      </c>
      <c r="J1689" s="209" t="s">
        <v>46</v>
      </c>
      <c r="K1689" s="210" t="s">
        <v>132</v>
      </c>
      <c r="L1689" s="210"/>
      <c r="M1689" s="209" t="s">
        <v>58</v>
      </c>
      <c r="N1689" s="209">
        <v>0</v>
      </c>
      <c r="O1689" s="209" t="s">
        <v>105</v>
      </c>
      <c r="P1689" s="212">
        <v>44985.64261574074</v>
      </c>
      <c r="Q1689" s="209"/>
      <c r="R1689" s="209">
        <v>13</v>
      </c>
      <c r="S1689" s="209"/>
      <c r="T1689" s="209" t="s">
        <v>238</v>
      </c>
      <c r="U1689" s="211" t="s">
        <v>4498</v>
      </c>
      <c r="V1689" s="209" t="s">
        <v>41</v>
      </c>
      <c r="W1689" s="209" t="s">
        <v>49</v>
      </c>
      <c r="X1689" s="13" t="str">
        <f>IF(RIGHT(H1689,2)&lt;&gt;"00",H1689,"")</f>
        <v>4844.03</v>
      </c>
      <c r="Y1689" s="26">
        <f ca="1">NETWORKDAYS(P1689,$Y$1)</f>
        <v>2</v>
      </c>
      <c r="Z1689" s="34">
        <v>1</v>
      </c>
      <c r="AA1689" s="25" t="str">
        <f t="shared" ca="1" si="157"/>
        <v>A VENCER</v>
      </c>
      <c r="AB1689" s="25" t="str">
        <f t="shared" si="158"/>
        <v>TAAe+</v>
      </c>
      <c r="AC1689" s="2" t="str">
        <f t="shared" si="159"/>
        <v xml:space="preserve"> CLEITON </v>
      </c>
      <c r="AD1689" s="26">
        <f t="shared" si="160"/>
        <v>8</v>
      </c>
      <c r="AE1689" s="26">
        <f t="shared" ca="1" si="161"/>
        <v>1.0336559027782641</v>
      </c>
    </row>
    <row r="1690" spans="1:31" hidden="1">
      <c r="A1690" s="209">
        <v>9522151</v>
      </c>
      <c r="B1690" s="209" t="s">
        <v>1153</v>
      </c>
      <c r="C1690" s="210" t="s">
        <v>4502</v>
      </c>
      <c r="D1690" s="214"/>
      <c r="E1690" s="214">
        <v>2693000206001</v>
      </c>
      <c r="F1690" s="209" t="s">
        <v>29</v>
      </c>
      <c r="G1690" s="209" t="s">
        <v>53</v>
      </c>
      <c r="H1690" s="209" t="s">
        <v>253</v>
      </c>
      <c r="I1690" s="209" t="s">
        <v>254</v>
      </c>
      <c r="J1690" s="209" t="s">
        <v>56</v>
      </c>
      <c r="K1690" s="210" t="s">
        <v>34</v>
      </c>
      <c r="L1690" s="210"/>
      <c r="M1690" s="209" t="s">
        <v>35</v>
      </c>
      <c r="N1690" s="209">
        <v>42318949</v>
      </c>
      <c r="O1690" s="209" t="s">
        <v>36</v>
      </c>
      <c r="P1690" s="211" t="s">
        <v>4503</v>
      </c>
      <c r="Q1690" s="209"/>
      <c r="R1690" s="209" t="s">
        <v>38</v>
      </c>
      <c r="S1690" s="209"/>
      <c r="T1690" s="209" t="s">
        <v>74</v>
      </c>
      <c r="U1690" s="211" t="s">
        <v>4504</v>
      </c>
      <c r="V1690" s="209" t="s">
        <v>41</v>
      </c>
      <c r="W1690" s="209" t="s">
        <v>49</v>
      </c>
      <c r="X1690" s="13" t="str">
        <f>IF(RIGHT(H1690,2)&lt;&gt;"00",H1690,"")</f>
        <v/>
      </c>
      <c r="Y1690" s="26">
        <f ca="1">NETWORKDAYS(P1690,$Y$1)</f>
        <v>2</v>
      </c>
      <c r="Z1690" s="34">
        <v>1</v>
      </c>
      <c r="AA1690" s="25" t="str">
        <f t="shared" ref="AA1690:AA1750" ca="1" si="162">IF(AE1690=0,"HOJE",IF(AE1690&gt;0,"A VENCER",IF(AE1690&lt;0,"VENCIDO")))</f>
        <v>A VENCER</v>
      </c>
      <c r="AB1690" s="25" t="str">
        <f t="shared" ref="AB1690:AB1750" si="163">IF(F1690="GRPE-000001","C-14",IF(F1690="GRPE-000002","C-14",IF(F1690="GRPE-000003","C-14",IF(F1690="GRPE-000004","SL-On",IF(F1690="GRPE-000038","C-14",IF(F1690="GRPE-900022","Dosa",IF(F1690="GRPE-000029","Dosa",IF(F1690="ATOS-000222","Dose","TAAe+"))))))))</f>
        <v>Dosa</v>
      </c>
      <c r="AC1690" s="2" t="str">
        <f t="shared" ref="AC1690:AC1750" si="164">IF(J1690="TR-PETROLINA"," ROSEMERE ",IF(J1690="TR-GARANHUNS"," ROSEMERE ",IF(J1690="TR-CARUARU"," ROSEMERE ",IF(J1690="TR-RIBEIRAO"," CRISTINA ",IF(J1690="TR-GRAVATA"," CRISTINA ",IF(J1690="TR-GOIANA"," CRISTINA ",IF(J1690="TR-LIMOEIRO"," CRISTINA ",IF(J1690="TR-SERRA TALHADA"," RINALDO ",IF(J1690="TR-SALGUEIRO"," RINALDO ",IF(J1690="TR-CARNAIBA"," RINALDO ",IF(J1690="TR-ARCOVERDE"," RINALDO ",IF(J1690="CAT-RECIFE"," CLEITON ",))))))))))))</f>
        <v xml:space="preserve"> CRISTINA </v>
      </c>
      <c r="AD1690" s="26">
        <f t="shared" ref="AD1690:AD1750" si="165">IF(F1690="GRPE-000001",5,IF(F1690="GRPE-000002",5,IF(F1690="GRPE-000003",15,IF(F1690="GRPE-000004",1,IF(F1690="GRPE-000038",5,IF(F1690="GRPE-900022",5,IF(F1690="GRPE-000029",5,IF(F1690="ATOS-000222",5,8))))))))</f>
        <v>5</v>
      </c>
      <c r="AE1690" s="26">
        <f t="shared" ref="AE1690:AE1750" ca="1" si="166">IF(P1690=$AE$1,"",$AE$1-P1690)</f>
        <v>1.0340146990711219</v>
      </c>
    </row>
    <row r="1691" spans="1:31" hidden="1">
      <c r="A1691" s="209">
        <v>9522147</v>
      </c>
      <c r="B1691" s="209" t="s">
        <v>1153</v>
      </c>
      <c r="C1691" s="210" t="s">
        <v>4505</v>
      </c>
      <c r="D1691" s="214"/>
      <c r="E1691" s="214">
        <v>2081000206001</v>
      </c>
      <c r="F1691" s="209" t="s">
        <v>29</v>
      </c>
      <c r="G1691" s="209" t="s">
        <v>53</v>
      </c>
      <c r="H1691" s="209" t="s">
        <v>590</v>
      </c>
      <c r="I1691" s="209" t="s">
        <v>591</v>
      </c>
      <c r="J1691" s="1" t="s">
        <v>261</v>
      </c>
      <c r="K1691" s="210" t="s">
        <v>34</v>
      </c>
      <c r="L1691" s="210"/>
      <c r="M1691" s="209" t="s">
        <v>35</v>
      </c>
      <c r="N1691" s="209">
        <v>42318949</v>
      </c>
      <c r="O1691" s="209" t="s">
        <v>36</v>
      </c>
      <c r="P1691" s="211" t="s">
        <v>4506</v>
      </c>
      <c r="Q1691" s="209"/>
      <c r="R1691" s="209" t="s">
        <v>38</v>
      </c>
      <c r="S1691" s="209"/>
      <c r="T1691" s="209" t="s">
        <v>74</v>
      </c>
      <c r="U1691" s="211" t="s">
        <v>4463</v>
      </c>
      <c r="V1691" s="209" t="s">
        <v>41</v>
      </c>
      <c r="W1691" s="209" t="s">
        <v>49</v>
      </c>
      <c r="X1691" s="13" t="str">
        <f>IF(RIGHT(H1691,2)&lt;&gt;"00",H1691,"")</f>
        <v/>
      </c>
      <c r="Y1691" s="26">
        <f ca="1">NETWORKDAYS(P1691,$Y$1)</f>
        <v>2</v>
      </c>
      <c r="Z1691" s="34">
        <v>1</v>
      </c>
      <c r="AA1691" s="25" t="str">
        <f t="shared" ca="1" si="162"/>
        <v>A VENCER</v>
      </c>
      <c r="AB1691" s="25" t="str">
        <f t="shared" si="163"/>
        <v>Dosa</v>
      </c>
      <c r="AC1691" s="2" t="str">
        <f t="shared" si="164"/>
        <v xml:space="preserve"> CRISTINA </v>
      </c>
      <c r="AD1691" s="26">
        <f t="shared" si="165"/>
        <v>5</v>
      </c>
      <c r="AE1691" s="26">
        <f t="shared" ca="1" si="166"/>
        <v>1.0342693287020666</v>
      </c>
    </row>
    <row r="1692" spans="1:31" hidden="1">
      <c r="A1692" s="209">
        <v>9522130</v>
      </c>
      <c r="B1692" s="209" t="s">
        <v>1153</v>
      </c>
      <c r="C1692" s="210" t="s">
        <v>4508</v>
      </c>
      <c r="D1692" s="214">
        <v>20234637000015</v>
      </c>
      <c r="E1692" s="214">
        <v>7417163284105</v>
      </c>
      <c r="F1692" s="209" t="s">
        <v>131</v>
      </c>
      <c r="G1692" s="209" t="s">
        <v>53</v>
      </c>
      <c r="H1692" s="209" t="s">
        <v>2004</v>
      </c>
      <c r="I1692" s="209" t="s">
        <v>2005</v>
      </c>
      <c r="J1692" s="209" t="s">
        <v>79</v>
      </c>
      <c r="K1692" s="210" t="s">
        <v>132</v>
      </c>
      <c r="L1692" s="210"/>
      <c r="M1692" s="209" t="s">
        <v>58</v>
      </c>
      <c r="N1692" s="209">
        <v>0</v>
      </c>
      <c r="O1692" s="209" t="s">
        <v>105</v>
      </c>
      <c r="P1692" s="211" t="s">
        <v>4509</v>
      </c>
      <c r="Q1692" s="209"/>
      <c r="R1692" s="209">
        <v>14</v>
      </c>
      <c r="S1692" s="209"/>
      <c r="T1692" s="209" t="s">
        <v>238</v>
      </c>
      <c r="U1692" s="211" t="s">
        <v>4509</v>
      </c>
      <c r="V1692" s="209" t="s">
        <v>41</v>
      </c>
      <c r="W1692" s="209" t="s">
        <v>49</v>
      </c>
      <c r="X1692" s="13" t="str">
        <f>IF(RIGHT(H1692,2)&lt;&gt;"00",H1692,"")</f>
        <v>4637.91</v>
      </c>
      <c r="Y1692" s="26">
        <f ca="1">NETWORKDAYS(P1692,$Y$1)</f>
        <v>2</v>
      </c>
      <c r="Z1692" s="34">
        <v>1</v>
      </c>
      <c r="AA1692" s="25" t="str">
        <f t="shared" ca="1" si="162"/>
        <v>A VENCER</v>
      </c>
      <c r="AB1692" s="25" t="str">
        <f t="shared" si="163"/>
        <v>TAAe+</v>
      </c>
      <c r="AC1692" s="2" t="str">
        <f t="shared" si="164"/>
        <v xml:space="preserve"> ROSEMERE </v>
      </c>
      <c r="AD1692" s="26">
        <f t="shared" si="165"/>
        <v>8</v>
      </c>
      <c r="AE1692" s="26">
        <f t="shared" ca="1" si="166"/>
        <v>1.0436559027803014</v>
      </c>
    </row>
    <row r="1693" spans="1:31" hidden="1">
      <c r="A1693" s="209">
        <v>9522124</v>
      </c>
      <c r="B1693" s="209" t="s">
        <v>1153</v>
      </c>
      <c r="C1693" s="210" t="s">
        <v>4510</v>
      </c>
      <c r="D1693" s="214">
        <v>20232239000015</v>
      </c>
      <c r="E1693" s="214">
        <v>7417163281692</v>
      </c>
      <c r="F1693" s="209" t="s">
        <v>131</v>
      </c>
      <c r="G1693" s="209" t="s">
        <v>53</v>
      </c>
      <c r="H1693" s="209" t="s">
        <v>2838</v>
      </c>
      <c r="I1693" s="209" t="s">
        <v>2839</v>
      </c>
      <c r="J1693" s="209" t="s">
        <v>261</v>
      </c>
      <c r="K1693" s="210" t="s">
        <v>132</v>
      </c>
      <c r="L1693" s="210"/>
      <c r="M1693" s="209" t="s">
        <v>58</v>
      </c>
      <c r="N1693" s="209">
        <v>0</v>
      </c>
      <c r="O1693" s="209" t="s">
        <v>105</v>
      </c>
      <c r="P1693" s="211" t="s">
        <v>4511</v>
      </c>
      <c r="Q1693" s="209"/>
      <c r="R1693" s="209">
        <v>14</v>
      </c>
      <c r="S1693" s="209"/>
      <c r="T1693" s="209" t="s">
        <v>238</v>
      </c>
      <c r="U1693" s="211" t="s">
        <v>4511</v>
      </c>
      <c r="V1693" s="209" t="s">
        <v>41</v>
      </c>
      <c r="W1693" s="209" t="s">
        <v>49</v>
      </c>
      <c r="X1693" s="13" t="str">
        <f>IF(RIGHT(H1693,2)&lt;&gt;"00",H1693,"")</f>
        <v>2239.91</v>
      </c>
      <c r="Y1693" s="26">
        <f ca="1">NETWORKDAYS(P1693,$Y$1)</f>
        <v>2</v>
      </c>
      <c r="Z1693" s="34">
        <v>1</v>
      </c>
      <c r="AA1693" s="25" t="str">
        <f t="shared" ca="1" si="162"/>
        <v>A VENCER</v>
      </c>
      <c r="AB1693" s="25" t="str">
        <f t="shared" si="163"/>
        <v>TAAe+</v>
      </c>
      <c r="AC1693" s="2" t="str">
        <f t="shared" si="164"/>
        <v xml:space="preserve"> CRISTINA </v>
      </c>
      <c r="AD1693" s="26">
        <f t="shared" si="165"/>
        <v>8</v>
      </c>
      <c r="AE1693" s="26">
        <f t="shared" ca="1" si="166"/>
        <v>1.05354016203637</v>
      </c>
    </row>
    <row r="1694" spans="1:31" hidden="1">
      <c r="A1694" s="209">
        <v>9522104</v>
      </c>
      <c r="B1694" s="209" t="s">
        <v>1153</v>
      </c>
      <c r="C1694" s="210" t="s">
        <v>4512</v>
      </c>
      <c r="D1694" s="214"/>
      <c r="E1694" s="214">
        <v>2365000206001</v>
      </c>
      <c r="F1694" s="209" t="s">
        <v>29</v>
      </c>
      <c r="G1694" s="209" t="s">
        <v>53</v>
      </c>
      <c r="H1694" s="209" t="s">
        <v>159</v>
      </c>
      <c r="I1694" s="209" t="s">
        <v>160</v>
      </c>
      <c r="J1694" s="209" t="s">
        <v>46</v>
      </c>
      <c r="K1694" s="210" t="s">
        <v>34</v>
      </c>
      <c r="L1694" s="210"/>
      <c r="M1694" s="209" t="s">
        <v>35</v>
      </c>
      <c r="N1694" s="209">
        <v>42318949</v>
      </c>
      <c r="O1694" s="209" t="s">
        <v>36</v>
      </c>
      <c r="P1694" s="211" t="s">
        <v>4513</v>
      </c>
      <c r="Q1694" s="209"/>
      <c r="R1694" s="209" t="s">
        <v>38</v>
      </c>
      <c r="S1694" s="209"/>
      <c r="T1694" s="209" t="s">
        <v>74</v>
      </c>
      <c r="U1694" s="211" t="s">
        <v>4514</v>
      </c>
      <c r="V1694" s="209" t="s">
        <v>41</v>
      </c>
      <c r="W1694" s="209" t="s">
        <v>49</v>
      </c>
      <c r="X1694" s="13" t="str">
        <f>IF(RIGHT(H1694,2)&lt;&gt;"00",H1694,"")</f>
        <v/>
      </c>
      <c r="Y1694" s="26">
        <f ca="1">NETWORKDAYS(P1694,$Y$1)</f>
        <v>2</v>
      </c>
      <c r="Z1694" s="34">
        <v>1</v>
      </c>
      <c r="AA1694" s="25" t="str">
        <f t="shared" ca="1" si="162"/>
        <v>A VENCER</v>
      </c>
      <c r="AB1694" s="25" t="str">
        <f t="shared" si="163"/>
        <v>Dosa</v>
      </c>
      <c r="AC1694" s="2" t="str">
        <f t="shared" si="164"/>
        <v xml:space="preserve"> CLEITON </v>
      </c>
      <c r="AD1694" s="26">
        <f t="shared" si="165"/>
        <v>5</v>
      </c>
      <c r="AE1694" s="26">
        <f t="shared" ca="1" si="166"/>
        <v>1.0398596064842422</v>
      </c>
    </row>
    <row r="1695" spans="1:31" hidden="1">
      <c r="A1695" s="209">
        <v>9522103</v>
      </c>
      <c r="B1695" s="209" t="s">
        <v>62</v>
      </c>
      <c r="C1695" s="210" t="s">
        <v>4515</v>
      </c>
      <c r="D1695" s="214"/>
      <c r="E1695" s="214">
        <v>1069000203000</v>
      </c>
      <c r="F1695" s="209" t="s">
        <v>454</v>
      </c>
      <c r="G1695" s="209" t="s">
        <v>53</v>
      </c>
      <c r="H1695" s="209" t="s">
        <v>353</v>
      </c>
      <c r="I1695" s="209" t="s">
        <v>354</v>
      </c>
      <c r="J1695" s="209" t="s">
        <v>211</v>
      </c>
      <c r="K1695" s="210" t="s">
        <v>457</v>
      </c>
      <c r="L1695" s="210"/>
      <c r="M1695" s="209" t="s">
        <v>58</v>
      </c>
      <c r="N1695" s="209">
        <v>0</v>
      </c>
      <c r="O1695" s="209" t="s">
        <v>105</v>
      </c>
      <c r="P1695" s="211" t="s">
        <v>4516</v>
      </c>
      <c r="Q1695" s="209"/>
      <c r="R1695" s="209">
        <v>1</v>
      </c>
      <c r="S1695" s="209"/>
      <c r="T1695" s="209" t="s">
        <v>157</v>
      </c>
      <c r="U1695" s="211" t="s">
        <v>4517</v>
      </c>
      <c r="V1695" s="209" t="s">
        <v>41</v>
      </c>
      <c r="W1695" s="209" t="s">
        <v>49</v>
      </c>
      <c r="X1695" s="13" t="str">
        <f>IF(RIGHT(H1695,2)&lt;&gt;"00",H1695,"")</f>
        <v/>
      </c>
      <c r="Y1695" s="26">
        <f ca="1">NETWORKDAYS(P1695,$Y$1)</f>
        <v>2</v>
      </c>
      <c r="Z1695" s="34">
        <v>1</v>
      </c>
      <c r="AA1695" s="25" t="str">
        <f t="shared" ca="1" si="162"/>
        <v>A VENCER</v>
      </c>
      <c r="AB1695" s="25" t="str">
        <f t="shared" si="163"/>
        <v>C-14</v>
      </c>
      <c r="AC1695" s="2" t="str">
        <f t="shared" si="164"/>
        <v xml:space="preserve"> RINALDO </v>
      </c>
      <c r="AD1695" s="26">
        <f t="shared" si="165"/>
        <v>5</v>
      </c>
      <c r="AE1695" s="26">
        <f t="shared" ca="1" si="166"/>
        <v>1.0408318287009024</v>
      </c>
    </row>
    <row r="1696" spans="1:31" hidden="1">
      <c r="A1696" s="209">
        <v>9521971</v>
      </c>
      <c r="B1696" s="209" t="s">
        <v>1153</v>
      </c>
      <c r="C1696" s="210" t="s">
        <v>4518</v>
      </c>
      <c r="D1696" s="214"/>
      <c r="E1696" s="214">
        <v>2889000206001</v>
      </c>
      <c r="F1696" s="209" t="s">
        <v>29</v>
      </c>
      <c r="G1696" s="209" t="s">
        <v>53</v>
      </c>
      <c r="H1696" s="209" t="s">
        <v>418</v>
      </c>
      <c r="I1696" s="209" t="s">
        <v>419</v>
      </c>
      <c r="J1696" s="209" t="s">
        <v>46</v>
      </c>
      <c r="K1696" s="210" t="s">
        <v>34</v>
      </c>
      <c r="L1696" s="210"/>
      <c r="M1696" s="209" t="s">
        <v>35</v>
      </c>
      <c r="N1696" s="209">
        <v>42318949</v>
      </c>
      <c r="O1696" s="209" t="s">
        <v>36</v>
      </c>
      <c r="P1696" s="211" t="s">
        <v>4519</v>
      </c>
      <c r="Q1696" s="209"/>
      <c r="R1696" s="209" t="s">
        <v>38</v>
      </c>
      <c r="S1696" s="209"/>
      <c r="T1696" s="209" t="s">
        <v>74</v>
      </c>
      <c r="U1696" s="211" t="s">
        <v>4520</v>
      </c>
      <c r="V1696" s="209" t="s">
        <v>41</v>
      </c>
      <c r="W1696" s="209" t="s">
        <v>49</v>
      </c>
      <c r="X1696" s="13" t="str">
        <f>IF(RIGHT(H1696,2)&lt;&gt;"00",H1696,"")</f>
        <v/>
      </c>
      <c r="Y1696" s="26">
        <f ca="1">NETWORKDAYS(P1696,$Y$1)</f>
        <v>2</v>
      </c>
      <c r="Z1696" s="34">
        <v>1</v>
      </c>
      <c r="AA1696" s="25" t="str">
        <f t="shared" ca="1" si="162"/>
        <v>A VENCER</v>
      </c>
      <c r="AB1696" s="25" t="str">
        <f t="shared" si="163"/>
        <v>Dosa</v>
      </c>
      <c r="AC1696" s="2" t="str">
        <f t="shared" si="164"/>
        <v xml:space="preserve"> CLEITON </v>
      </c>
      <c r="AD1696" s="26">
        <f t="shared" si="165"/>
        <v>5</v>
      </c>
      <c r="AE1696" s="26">
        <f t="shared" ca="1" si="166"/>
        <v>1.0759591435198672</v>
      </c>
    </row>
    <row r="1697" spans="1:31" hidden="1">
      <c r="A1697" s="209">
        <v>9521964</v>
      </c>
      <c r="B1697" s="209" t="s">
        <v>1153</v>
      </c>
      <c r="C1697" s="210" t="s">
        <v>4521</v>
      </c>
      <c r="D1697" s="214">
        <v>20234637000014</v>
      </c>
      <c r="E1697" s="214">
        <v>7419151141178</v>
      </c>
      <c r="F1697" s="209" t="s">
        <v>123</v>
      </c>
      <c r="G1697" s="209" t="s">
        <v>53</v>
      </c>
      <c r="H1697" s="209" t="s">
        <v>2004</v>
      </c>
      <c r="I1697" s="209" t="s">
        <v>2005</v>
      </c>
      <c r="J1697" s="209" t="s">
        <v>79</v>
      </c>
      <c r="K1697" s="210" t="s">
        <v>126</v>
      </c>
      <c r="L1697" s="210"/>
      <c r="M1697" s="209" t="s">
        <v>58</v>
      </c>
      <c r="N1697" s="209">
        <v>0</v>
      </c>
      <c r="O1697" s="209" t="s">
        <v>105</v>
      </c>
      <c r="P1697" s="211" t="s">
        <v>4522</v>
      </c>
      <c r="Q1697" s="209"/>
      <c r="R1697" s="209">
        <v>14</v>
      </c>
      <c r="S1697" s="209"/>
      <c r="T1697" s="209" t="s">
        <v>238</v>
      </c>
      <c r="U1697" s="211" t="s">
        <v>4522</v>
      </c>
      <c r="V1697" s="209" t="s">
        <v>41</v>
      </c>
      <c r="W1697" s="209" t="s">
        <v>49</v>
      </c>
      <c r="X1697" s="13" t="str">
        <f>IF(RIGHT(H1697,2)&lt;&gt;"00",H1697,"")</f>
        <v>4637.91</v>
      </c>
      <c r="Y1697" s="26">
        <f ca="1">NETWORKDAYS(P1697,$Y$1)</f>
        <v>2</v>
      </c>
      <c r="Z1697" s="34">
        <v>1</v>
      </c>
      <c r="AA1697" s="25" t="str">
        <f t="shared" ca="1" si="162"/>
        <v>A VENCER</v>
      </c>
      <c r="AB1697" s="25" t="str">
        <f t="shared" si="163"/>
        <v>TAAe+</v>
      </c>
      <c r="AC1697" s="2" t="str">
        <f t="shared" si="164"/>
        <v xml:space="preserve"> ROSEMERE </v>
      </c>
      <c r="AD1697" s="26">
        <f t="shared" si="165"/>
        <v>8</v>
      </c>
      <c r="AE1697" s="26">
        <f t="shared" ca="1" si="166"/>
        <v>1.0959475694471621</v>
      </c>
    </row>
    <row r="1698" spans="1:31" hidden="1">
      <c r="A1698" s="209">
        <v>9521955</v>
      </c>
      <c r="B1698" s="209" t="s">
        <v>1153</v>
      </c>
      <c r="C1698" s="210" t="s">
        <v>4523</v>
      </c>
      <c r="D1698" s="214">
        <v>20230870000036</v>
      </c>
      <c r="E1698" s="214">
        <v>7417211830315</v>
      </c>
      <c r="F1698" s="209" t="s">
        <v>1936</v>
      </c>
      <c r="G1698" s="209" t="s">
        <v>53</v>
      </c>
      <c r="H1698" s="209" t="s">
        <v>519</v>
      </c>
      <c r="I1698" s="209" t="s">
        <v>520</v>
      </c>
      <c r="J1698" s="209" t="s">
        <v>90</v>
      </c>
      <c r="K1698" s="210" t="s">
        <v>1939</v>
      </c>
      <c r="L1698" s="210"/>
      <c r="M1698" s="209" t="s">
        <v>58</v>
      </c>
      <c r="N1698" s="209">
        <v>0</v>
      </c>
      <c r="O1698" s="209" t="s">
        <v>105</v>
      </c>
      <c r="P1698" s="211" t="s">
        <v>4524</v>
      </c>
      <c r="Q1698" s="209"/>
      <c r="R1698" s="209">
        <v>14</v>
      </c>
      <c r="S1698" s="209"/>
      <c r="T1698" s="209" t="s">
        <v>238</v>
      </c>
      <c r="U1698" s="211" t="s">
        <v>4524</v>
      </c>
      <c r="V1698" s="209" t="s">
        <v>41</v>
      </c>
      <c r="W1698" s="209" t="s">
        <v>49</v>
      </c>
      <c r="X1698" s="13" t="str">
        <f>IF(RIGHT(H1698,2)&lt;&gt;"00",H1698,"")</f>
        <v>0870.91</v>
      </c>
      <c r="Y1698" s="26">
        <f ca="1">NETWORKDAYS(P1698,$Y$1)</f>
        <v>2</v>
      </c>
      <c r="Z1698" s="34">
        <v>1</v>
      </c>
      <c r="AA1698" s="25" t="str">
        <f t="shared" ca="1" si="162"/>
        <v>A VENCER</v>
      </c>
      <c r="AB1698" s="25" t="str">
        <f t="shared" si="163"/>
        <v>TAAe+</v>
      </c>
      <c r="AC1698" s="2" t="str">
        <f t="shared" si="164"/>
        <v xml:space="preserve"> RINALDO </v>
      </c>
      <c r="AD1698" s="26">
        <f t="shared" si="165"/>
        <v>8</v>
      </c>
      <c r="AE1698" s="26">
        <f t="shared" ca="1" si="166"/>
        <v>1.0922091435204493</v>
      </c>
    </row>
    <row r="1699" spans="1:31" hidden="1">
      <c r="A1699" s="209">
        <v>9521922</v>
      </c>
      <c r="B1699" s="209" t="s">
        <v>1153</v>
      </c>
      <c r="C1699" s="210" t="s">
        <v>4525</v>
      </c>
      <c r="D1699" s="214">
        <v>20230711000023</v>
      </c>
      <c r="E1699" s="214">
        <v>7417210950238</v>
      </c>
      <c r="F1699" s="209" t="s">
        <v>1213</v>
      </c>
      <c r="G1699" s="209" t="s">
        <v>53</v>
      </c>
      <c r="H1699" s="209" t="s">
        <v>2858</v>
      </c>
      <c r="I1699" s="209" t="s">
        <v>2859</v>
      </c>
      <c r="J1699" s="209" t="s">
        <v>79</v>
      </c>
      <c r="K1699" s="210" t="s">
        <v>1214</v>
      </c>
      <c r="L1699" s="210"/>
      <c r="M1699" s="209" t="s">
        <v>58</v>
      </c>
      <c r="N1699" s="209">
        <v>0</v>
      </c>
      <c r="O1699" s="209" t="s">
        <v>105</v>
      </c>
      <c r="P1699" s="211" t="s">
        <v>4526</v>
      </c>
      <c r="Q1699" s="209"/>
      <c r="R1699" s="209">
        <v>14</v>
      </c>
      <c r="S1699" s="209"/>
      <c r="T1699" s="209" t="s">
        <v>238</v>
      </c>
      <c r="U1699" s="211" t="s">
        <v>4526</v>
      </c>
      <c r="V1699" s="209" t="s">
        <v>41</v>
      </c>
      <c r="W1699" s="209" t="s">
        <v>49</v>
      </c>
      <c r="X1699" s="13" t="str">
        <f>IF(RIGHT(H1699,2)&lt;&gt;"00",H1699,"")</f>
        <v>0711.91</v>
      </c>
      <c r="Y1699" s="26">
        <f ca="1">NETWORKDAYS(P1699,$Y$1)</f>
        <v>2</v>
      </c>
      <c r="Z1699" s="34">
        <v>1</v>
      </c>
      <c r="AA1699" s="25" t="str">
        <f t="shared" ca="1" si="162"/>
        <v>A VENCER</v>
      </c>
      <c r="AB1699" s="25" t="str">
        <f t="shared" si="163"/>
        <v>TAAe+</v>
      </c>
      <c r="AC1699" s="2" t="str">
        <f t="shared" si="164"/>
        <v xml:space="preserve"> ROSEMERE </v>
      </c>
      <c r="AD1699" s="26">
        <f t="shared" si="165"/>
        <v>8</v>
      </c>
      <c r="AE1699" s="26">
        <f t="shared" ca="1" si="166"/>
        <v>1.1047322916638223</v>
      </c>
    </row>
    <row r="1700" spans="1:31" hidden="1">
      <c r="A1700" s="209">
        <v>9521836</v>
      </c>
      <c r="B1700" s="209" t="s">
        <v>1153</v>
      </c>
      <c r="C1700" s="210" t="s">
        <v>4527</v>
      </c>
      <c r="D1700" s="214">
        <v>20230711000022</v>
      </c>
      <c r="E1700" s="214">
        <v>7417211830257</v>
      </c>
      <c r="F1700" s="209" t="s">
        <v>1936</v>
      </c>
      <c r="G1700" s="209" t="s">
        <v>53</v>
      </c>
      <c r="H1700" s="209" t="s">
        <v>2858</v>
      </c>
      <c r="I1700" s="209" t="s">
        <v>2859</v>
      </c>
      <c r="J1700" s="209" t="s">
        <v>79</v>
      </c>
      <c r="K1700" s="210" t="s">
        <v>1939</v>
      </c>
      <c r="L1700" s="210"/>
      <c r="M1700" s="209" t="s">
        <v>58</v>
      </c>
      <c r="N1700" s="209">
        <v>0</v>
      </c>
      <c r="O1700" s="209" t="s">
        <v>105</v>
      </c>
      <c r="P1700" s="211" t="s">
        <v>4528</v>
      </c>
      <c r="Q1700" s="209"/>
      <c r="R1700" s="209">
        <v>14</v>
      </c>
      <c r="S1700" s="209"/>
      <c r="T1700" s="209" t="s">
        <v>238</v>
      </c>
      <c r="U1700" s="213">
        <v>44985.555208333331</v>
      </c>
      <c r="V1700" s="209" t="s">
        <v>41</v>
      </c>
      <c r="W1700" s="209" t="s">
        <v>49</v>
      </c>
      <c r="X1700" s="13" t="str">
        <f>IF(RIGHT(H1700,2)&lt;&gt;"00",H1700,"")</f>
        <v>0711.91</v>
      </c>
      <c r="Y1700" s="26">
        <f ca="1">NETWORKDAYS(P1700,$Y$1)</f>
        <v>2</v>
      </c>
      <c r="Z1700" s="34">
        <v>1</v>
      </c>
      <c r="AA1700" s="25" t="str">
        <f t="shared" ca="1" si="162"/>
        <v>A VENCER</v>
      </c>
      <c r="AB1700" s="25" t="str">
        <f t="shared" si="163"/>
        <v>TAAe+</v>
      </c>
      <c r="AC1700" s="2" t="str">
        <f t="shared" si="164"/>
        <v xml:space="preserve"> ROSEMERE </v>
      </c>
      <c r="AD1700" s="26">
        <f t="shared" si="165"/>
        <v>8</v>
      </c>
      <c r="AE1700" s="26">
        <f t="shared" ca="1" si="166"/>
        <v>1.12106331018731</v>
      </c>
    </row>
    <row r="1701" spans="1:31" hidden="1">
      <c r="A1701" s="209">
        <v>9521780</v>
      </c>
      <c r="B1701" s="209" t="s">
        <v>1153</v>
      </c>
      <c r="C1701" s="210" t="s">
        <v>4529</v>
      </c>
      <c r="D1701" s="214">
        <v>20234834000423</v>
      </c>
      <c r="E1701" s="214">
        <v>7417183020663</v>
      </c>
      <c r="F1701" s="209" t="s">
        <v>1313</v>
      </c>
      <c r="G1701" s="209" t="s">
        <v>53</v>
      </c>
      <c r="H1701" s="209" t="s">
        <v>2685</v>
      </c>
      <c r="I1701" s="209" t="s">
        <v>2686</v>
      </c>
      <c r="J1701" s="209" t="s">
        <v>46</v>
      </c>
      <c r="K1701" s="210" t="s">
        <v>1316</v>
      </c>
      <c r="L1701" s="210"/>
      <c r="M1701" s="209" t="s">
        <v>58</v>
      </c>
      <c r="N1701" s="209">
        <v>0</v>
      </c>
      <c r="O1701" s="209" t="s">
        <v>105</v>
      </c>
      <c r="P1701" s="211" t="s">
        <v>4530</v>
      </c>
      <c r="Q1701" s="209"/>
      <c r="R1701" s="209">
        <v>14</v>
      </c>
      <c r="S1701" s="209"/>
      <c r="T1701" s="209" t="s">
        <v>238</v>
      </c>
      <c r="U1701" s="213">
        <v>44985.536041666666</v>
      </c>
      <c r="V1701" s="209" t="s">
        <v>41</v>
      </c>
      <c r="W1701" s="209" t="s">
        <v>49</v>
      </c>
      <c r="X1701" s="13" t="str">
        <f>IF(RIGHT(H1701,2)&lt;&gt;"00",H1701,"")</f>
        <v>4923.03</v>
      </c>
      <c r="Y1701" s="26">
        <f ca="1">NETWORKDAYS(P1701,$Y$1)</f>
        <v>2</v>
      </c>
      <c r="Z1701" s="34">
        <v>1</v>
      </c>
      <c r="AA1701" s="25" t="str">
        <f t="shared" ca="1" si="162"/>
        <v>A VENCER</v>
      </c>
      <c r="AB1701" s="25" t="str">
        <f t="shared" si="163"/>
        <v>TAAe+</v>
      </c>
      <c r="AC1701" s="2" t="str">
        <f t="shared" si="164"/>
        <v xml:space="preserve"> CLEITON </v>
      </c>
      <c r="AD1701" s="26">
        <f t="shared" si="165"/>
        <v>8</v>
      </c>
      <c r="AE1701" s="26">
        <f t="shared" ca="1" si="166"/>
        <v>1.1402299768524244</v>
      </c>
    </row>
    <row r="1702" spans="1:31" hidden="1">
      <c r="A1702" s="209">
        <v>9521737</v>
      </c>
      <c r="B1702" s="209" t="s">
        <v>1153</v>
      </c>
      <c r="C1702" s="210" t="s">
        <v>4531</v>
      </c>
      <c r="D1702" s="214">
        <v>20232257000020</v>
      </c>
      <c r="E1702" s="214">
        <v>7419151141279</v>
      </c>
      <c r="F1702" s="209" t="s">
        <v>123</v>
      </c>
      <c r="G1702" s="209" t="s">
        <v>53</v>
      </c>
      <c r="H1702" s="209" t="s">
        <v>2326</v>
      </c>
      <c r="I1702" s="209" t="s">
        <v>2327</v>
      </c>
      <c r="J1702" s="209" t="s">
        <v>110</v>
      </c>
      <c r="K1702" s="210" t="s">
        <v>126</v>
      </c>
      <c r="L1702" s="210"/>
      <c r="M1702" s="209" t="s">
        <v>58</v>
      </c>
      <c r="N1702" s="209">
        <v>0</v>
      </c>
      <c r="O1702" s="209" t="s">
        <v>105</v>
      </c>
      <c r="P1702" s="211" t="s">
        <v>4532</v>
      </c>
      <c r="Q1702" s="209"/>
      <c r="R1702" s="209">
        <v>14</v>
      </c>
      <c r="S1702" s="209"/>
      <c r="T1702" s="209" t="s">
        <v>238</v>
      </c>
      <c r="U1702" s="213">
        <v>44985.528912037036</v>
      </c>
      <c r="V1702" s="209" t="s">
        <v>41</v>
      </c>
      <c r="W1702" s="209" t="s">
        <v>49</v>
      </c>
      <c r="X1702" s="13" t="str">
        <f>IF(RIGHT(H1702,2)&lt;&gt;"00",H1702,"")</f>
        <v>2257.91</v>
      </c>
      <c r="Y1702" s="26">
        <f ca="1">NETWORKDAYS(P1702,$Y$1)</f>
        <v>2</v>
      </c>
      <c r="Z1702" s="34">
        <v>1</v>
      </c>
      <c r="AA1702" s="25" t="str">
        <f t="shared" ca="1" si="162"/>
        <v>A VENCER</v>
      </c>
      <c r="AB1702" s="25" t="str">
        <f t="shared" si="163"/>
        <v>TAAe+</v>
      </c>
      <c r="AC1702" s="2" t="str">
        <f t="shared" si="164"/>
        <v xml:space="preserve"> CRISTINA </v>
      </c>
      <c r="AD1702" s="26">
        <f t="shared" si="165"/>
        <v>8</v>
      </c>
      <c r="AE1702" s="26">
        <f t="shared" ca="1" si="166"/>
        <v>1.147359606482496</v>
      </c>
    </row>
    <row r="1703" spans="1:31" hidden="1">
      <c r="A1703" s="209">
        <v>9521687</v>
      </c>
      <c r="B1703" s="209" t="s">
        <v>1153</v>
      </c>
      <c r="C1703" s="210" t="s">
        <v>4533</v>
      </c>
      <c r="D1703" s="214">
        <v>20230600000014</v>
      </c>
      <c r="E1703" s="214">
        <v>7417183023816</v>
      </c>
      <c r="F1703" s="209" t="s">
        <v>1313</v>
      </c>
      <c r="G1703" s="209" t="s">
        <v>53</v>
      </c>
      <c r="H1703" s="209" t="s">
        <v>4534</v>
      </c>
      <c r="I1703" s="209" t="s">
        <v>4535</v>
      </c>
      <c r="J1703" s="209" t="s">
        <v>90</v>
      </c>
      <c r="K1703" s="210" t="s">
        <v>1316</v>
      </c>
      <c r="L1703" s="210"/>
      <c r="M1703" s="209" t="s">
        <v>58</v>
      </c>
      <c r="N1703" s="209">
        <v>0</v>
      </c>
      <c r="O1703" s="209" t="s">
        <v>105</v>
      </c>
      <c r="P1703" s="211" t="s">
        <v>4536</v>
      </c>
      <c r="Q1703" s="209"/>
      <c r="R1703" s="209">
        <v>14</v>
      </c>
      <c r="S1703" s="209"/>
      <c r="T1703" s="209" t="s">
        <v>238</v>
      </c>
      <c r="U1703" s="213">
        <v>44985.512997685182</v>
      </c>
      <c r="V1703" s="209" t="s">
        <v>41</v>
      </c>
      <c r="W1703" s="209" t="s">
        <v>49</v>
      </c>
      <c r="X1703" s="13" t="str">
        <f>IF(RIGHT(H1703,2)&lt;&gt;"00",H1703,"")</f>
        <v>0600.91</v>
      </c>
      <c r="Y1703" s="26">
        <f ca="1">NETWORKDAYS(P1703,$Y$1)</f>
        <v>2</v>
      </c>
      <c r="Z1703" s="34">
        <v>1</v>
      </c>
      <c r="AA1703" s="25" t="str">
        <f t="shared" ca="1" si="162"/>
        <v>A VENCER</v>
      </c>
      <c r="AB1703" s="25" t="str">
        <f t="shared" si="163"/>
        <v>TAAe+</v>
      </c>
      <c r="AC1703" s="2" t="str">
        <f t="shared" si="164"/>
        <v xml:space="preserve"> RINALDO </v>
      </c>
      <c r="AD1703" s="26">
        <f t="shared" si="165"/>
        <v>8</v>
      </c>
      <c r="AE1703" s="26">
        <f t="shared" ca="1" si="166"/>
        <v>1.1632739583365037</v>
      </c>
    </row>
    <row r="1704" spans="1:31" hidden="1">
      <c r="A1704" s="209">
        <v>9521671</v>
      </c>
      <c r="B1704" s="209" t="s">
        <v>1153</v>
      </c>
      <c r="C1704" s="210" t="s">
        <v>4537</v>
      </c>
      <c r="D1704" s="214">
        <v>20234923000086</v>
      </c>
      <c r="E1704" s="214">
        <v>7417183020097</v>
      </c>
      <c r="F1704" s="209" t="s">
        <v>1313</v>
      </c>
      <c r="G1704" s="209" t="s">
        <v>53</v>
      </c>
      <c r="H1704" s="209" t="s">
        <v>1966</v>
      </c>
      <c r="I1704" s="209" t="s">
        <v>1967</v>
      </c>
      <c r="J1704" s="209" t="s">
        <v>46</v>
      </c>
      <c r="K1704" s="210" t="s">
        <v>1316</v>
      </c>
      <c r="L1704" s="210"/>
      <c r="M1704" s="209" t="s">
        <v>58</v>
      </c>
      <c r="N1704" s="209">
        <v>0</v>
      </c>
      <c r="O1704" s="209" t="s">
        <v>105</v>
      </c>
      <c r="P1704" s="211" t="s">
        <v>4538</v>
      </c>
      <c r="Q1704" s="209"/>
      <c r="R1704" s="209">
        <v>13</v>
      </c>
      <c r="S1704" s="209"/>
      <c r="T1704" s="209" t="s">
        <v>238</v>
      </c>
      <c r="U1704" s="211" t="s">
        <v>4538</v>
      </c>
      <c r="V1704" s="209" t="s">
        <v>41</v>
      </c>
      <c r="W1704" s="209" t="s">
        <v>49</v>
      </c>
      <c r="X1704" s="13" t="str">
        <f>IF(RIGHT(H1704,2)&lt;&gt;"00",H1704,"")</f>
        <v>4923.01</v>
      </c>
      <c r="Y1704" s="26">
        <f ca="1">NETWORKDAYS(P1704,$Y$1)</f>
        <v>2</v>
      </c>
      <c r="Z1704" s="34">
        <v>1</v>
      </c>
      <c r="AA1704" s="25" t="str">
        <f t="shared" ca="1" si="162"/>
        <v>A VENCER</v>
      </c>
      <c r="AB1704" s="25" t="str">
        <f t="shared" si="163"/>
        <v>TAAe+</v>
      </c>
      <c r="AC1704" s="2" t="str">
        <f t="shared" si="164"/>
        <v xml:space="preserve"> CLEITON </v>
      </c>
      <c r="AD1704" s="26">
        <f t="shared" si="165"/>
        <v>8</v>
      </c>
      <c r="AE1704" s="26">
        <f t="shared" ca="1" si="166"/>
        <v>1.1709591435210314</v>
      </c>
    </row>
    <row r="1705" spans="1:31" hidden="1">
      <c r="A1705" s="209">
        <v>9521670</v>
      </c>
      <c r="B1705" s="209" t="s">
        <v>1153</v>
      </c>
      <c r="C1705" s="210" t="s">
        <v>4539</v>
      </c>
      <c r="D1705" s="214">
        <v>20234923000085</v>
      </c>
      <c r="E1705" s="214">
        <v>7417163284808</v>
      </c>
      <c r="F1705" s="209" t="s">
        <v>131</v>
      </c>
      <c r="G1705" s="209" t="s">
        <v>53</v>
      </c>
      <c r="H1705" s="209" t="s">
        <v>1966</v>
      </c>
      <c r="I1705" s="209" t="s">
        <v>1967</v>
      </c>
      <c r="J1705" s="209" t="s">
        <v>46</v>
      </c>
      <c r="K1705" s="210" t="s">
        <v>132</v>
      </c>
      <c r="L1705" s="210"/>
      <c r="M1705" s="209" t="s">
        <v>58</v>
      </c>
      <c r="N1705" s="209">
        <v>0</v>
      </c>
      <c r="O1705" s="209" t="s">
        <v>105</v>
      </c>
      <c r="P1705" s="211" t="s">
        <v>4540</v>
      </c>
      <c r="Q1705" s="209"/>
      <c r="R1705" s="209">
        <v>13</v>
      </c>
      <c r="S1705" s="209"/>
      <c r="T1705" s="209" t="s">
        <v>238</v>
      </c>
      <c r="U1705" s="213">
        <v>44985.504351851851</v>
      </c>
      <c r="V1705" s="209" t="s">
        <v>41</v>
      </c>
      <c r="W1705" s="209" t="s">
        <v>49</v>
      </c>
      <c r="X1705" s="13" t="str">
        <f>IF(RIGHT(H1705,2)&lt;&gt;"00",H1705,"")</f>
        <v>4923.01</v>
      </c>
      <c r="Y1705" s="26">
        <f ca="1">NETWORKDAYS(P1705,$Y$1)</f>
        <v>2</v>
      </c>
      <c r="Z1705" s="34">
        <v>1</v>
      </c>
      <c r="AA1705" s="25" t="str">
        <f t="shared" ca="1" si="162"/>
        <v>A VENCER</v>
      </c>
      <c r="AB1705" s="25" t="str">
        <f t="shared" si="163"/>
        <v>TAAe+</v>
      </c>
      <c r="AC1705" s="2" t="str">
        <f t="shared" si="164"/>
        <v xml:space="preserve"> CLEITON </v>
      </c>
      <c r="AD1705" s="26">
        <f t="shared" si="165"/>
        <v>8</v>
      </c>
      <c r="AE1705" s="26">
        <f t="shared" ca="1" si="166"/>
        <v>1.1719197916681878</v>
      </c>
    </row>
    <row r="1706" spans="1:31" hidden="1">
      <c r="A1706" s="209">
        <v>9521659</v>
      </c>
      <c r="B1706" s="209" t="s">
        <v>1153</v>
      </c>
      <c r="C1706" s="210" t="s">
        <v>4541</v>
      </c>
      <c r="D1706" s="214">
        <v>20234844000599</v>
      </c>
      <c r="E1706" s="214">
        <v>7417163283696</v>
      </c>
      <c r="F1706" s="209" t="s">
        <v>131</v>
      </c>
      <c r="G1706" s="209" t="s">
        <v>53</v>
      </c>
      <c r="H1706" s="209" t="s">
        <v>2992</v>
      </c>
      <c r="I1706" s="209" t="s">
        <v>2993</v>
      </c>
      <c r="J1706" s="209" t="s">
        <v>46</v>
      </c>
      <c r="K1706" s="210" t="s">
        <v>132</v>
      </c>
      <c r="L1706" s="210"/>
      <c r="M1706" s="209" t="s">
        <v>58</v>
      </c>
      <c r="N1706" s="209">
        <v>0</v>
      </c>
      <c r="O1706" s="209" t="s">
        <v>105</v>
      </c>
      <c r="P1706" s="211" t="s">
        <v>4542</v>
      </c>
      <c r="Q1706" s="209"/>
      <c r="R1706" s="209">
        <v>13</v>
      </c>
      <c r="S1706" s="209"/>
      <c r="T1706" s="209" t="s">
        <v>238</v>
      </c>
      <c r="U1706" s="213">
        <v>44985.508935185186</v>
      </c>
      <c r="V1706" s="209" t="s">
        <v>41</v>
      </c>
      <c r="W1706" s="209" t="s">
        <v>49</v>
      </c>
      <c r="X1706" s="13" t="str">
        <f>IF(RIGHT(H1706,2)&lt;&gt;"00",H1706,"")</f>
        <v>4844.03</v>
      </c>
      <c r="Y1706" s="26">
        <f ca="1">NETWORKDAYS(P1706,$Y$1)</f>
        <v>2</v>
      </c>
      <c r="Z1706" s="34">
        <v>1</v>
      </c>
      <c r="AA1706" s="25" t="str">
        <f t="shared" ca="1" si="162"/>
        <v>A VENCER</v>
      </c>
      <c r="AB1706" s="25" t="str">
        <f t="shared" si="163"/>
        <v>TAAe+</v>
      </c>
      <c r="AC1706" s="2" t="str">
        <f t="shared" si="164"/>
        <v xml:space="preserve"> CLEITON </v>
      </c>
      <c r="AD1706" s="26">
        <f t="shared" si="165"/>
        <v>8</v>
      </c>
      <c r="AE1706" s="26">
        <f t="shared" ca="1" si="166"/>
        <v>1.1673364583330113</v>
      </c>
    </row>
    <row r="1707" spans="1:31" hidden="1">
      <c r="A1707" s="209">
        <v>9521639</v>
      </c>
      <c r="B1707" s="209" t="s">
        <v>1153</v>
      </c>
      <c r="C1707" s="210" t="s">
        <v>4543</v>
      </c>
      <c r="D1707" s="214">
        <v>20232437000026</v>
      </c>
      <c r="E1707" s="214">
        <v>7417163282839</v>
      </c>
      <c r="F1707" s="209" t="s">
        <v>131</v>
      </c>
      <c r="G1707" s="209" t="s">
        <v>53</v>
      </c>
      <c r="H1707" s="209" t="s">
        <v>2418</v>
      </c>
      <c r="I1707" s="209" t="s">
        <v>2419</v>
      </c>
      <c r="J1707" s="209" t="s">
        <v>211</v>
      </c>
      <c r="K1707" s="210" t="s">
        <v>132</v>
      </c>
      <c r="L1707" s="210"/>
      <c r="M1707" s="209" t="s">
        <v>58</v>
      </c>
      <c r="N1707" s="209">
        <v>0</v>
      </c>
      <c r="O1707" s="209" t="s">
        <v>105</v>
      </c>
      <c r="P1707" s="211" t="s">
        <v>4544</v>
      </c>
      <c r="Q1707" s="209"/>
      <c r="R1707" s="209">
        <v>14</v>
      </c>
      <c r="S1707" s="209"/>
      <c r="T1707" s="209" t="s">
        <v>238</v>
      </c>
      <c r="U1707" s="213">
        <v>44985.505057870374</v>
      </c>
      <c r="V1707" s="209" t="s">
        <v>41</v>
      </c>
      <c r="W1707" s="209" t="s">
        <v>49</v>
      </c>
      <c r="X1707" s="13" t="str">
        <f>IF(RIGHT(H1707,2)&lt;&gt;"00",H1707,"")</f>
        <v>2437.91</v>
      </c>
      <c r="Y1707" s="26">
        <f ca="1">NETWORKDAYS(P1707,$Y$1)</f>
        <v>2</v>
      </c>
      <c r="Z1707" s="34">
        <v>1</v>
      </c>
      <c r="AA1707" s="25" t="str">
        <f t="shared" ca="1" si="162"/>
        <v>A VENCER</v>
      </c>
      <c r="AB1707" s="25" t="str">
        <f t="shared" si="163"/>
        <v>TAAe+</v>
      </c>
      <c r="AC1707" s="2" t="str">
        <f t="shared" si="164"/>
        <v xml:space="preserve"> RINALDO </v>
      </c>
      <c r="AD1707" s="26">
        <f t="shared" si="165"/>
        <v>8</v>
      </c>
      <c r="AE1707" s="26">
        <f t="shared" ca="1" si="166"/>
        <v>1.1712137731447001</v>
      </c>
    </row>
    <row r="1708" spans="1:31" hidden="1">
      <c r="A1708" s="209">
        <v>9521627</v>
      </c>
      <c r="B1708" s="209" t="s">
        <v>1153</v>
      </c>
      <c r="C1708" s="210" t="s">
        <v>4545</v>
      </c>
      <c r="D1708" s="214"/>
      <c r="E1708" s="214">
        <v>1264000203000</v>
      </c>
      <c r="F1708" s="209" t="s">
        <v>454</v>
      </c>
      <c r="G1708" s="209" t="s">
        <v>53</v>
      </c>
      <c r="H1708" s="209" t="s">
        <v>351</v>
      </c>
      <c r="I1708" s="209" t="s">
        <v>352</v>
      </c>
      <c r="J1708" s="209" t="s">
        <v>110</v>
      </c>
      <c r="K1708" s="210" t="s">
        <v>457</v>
      </c>
      <c r="L1708" s="210"/>
      <c r="M1708" s="209" t="s">
        <v>58</v>
      </c>
      <c r="N1708" s="209">
        <v>0</v>
      </c>
      <c r="O1708" s="209" t="s">
        <v>36</v>
      </c>
      <c r="P1708" s="211" t="s">
        <v>4546</v>
      </c>
      <c r="Q1708" s="209"/>
      <c r="R1708" s="209">
        <v>1</v>
      </c>
      <c r="S1708" s="209"/>
      <c r="T1708" s="209" t="s">
        <v>157</v>
      </c>
      <c r="U1708" s="213">
        <v>44986.516944444447</v>
      </c>
      <c r="V1708" s="209" t="s">
        <v>41</v>
      </c>
      <c r="W1708" s="209" t="s">
        <v>49</v>
      </c>
      <c r="X1708" s="13" t="str">
        <f>IF(RIGHT(H1708,2)&lt;&gt;"00",H1708,"")</f>
        <v/>
      </c>
      <c r="Y1708" s="26">
        <f ca="1">NETWORKDAYS(P1708,$Y$1)</f>
        <v>2</v>
      </c>
      <c r="Z1708" s="34">
        <v>1</v>
      </c>
      <c r="AA1708" s="25" t="str">
        <f t="shared" ca="1" si="162"/>
        <v>A VENCER</v>
      </c>
      <c r="AB1708" s="25" t="str">
        <f t="shared" si="163"/>
        <v>C-14</v>
      </c>
      <c r="AC1708" s="2" t="str">
        <f t="shared" si="164"/>
        <v xml:space="preserve"> CRISTINA </v>
      </c>
      <c r="AD1708" s="26">
        <f t="shared" si="165"/>
        <v>5</v>
      </c>
      <c r="AE1708" s="26">
        <f t="shared" ca="1" si="166"/>
        <v>1.1593271990714129</v>
      </c>
    </row>
    <row r="1709" spans="1:31" hidden="1">
      <c r="A1709" s="209">
        <v>9521613</v>
      </c>
      <c r="B1709" s="209" t="s">
        <v>1153</v>
      </c>
      <c r="C1709" s="210" t="s">
        <v>4553</v>
      </c>
      <c r="D1709" s="214">
        <v>20234844000598</v>
      </c>
      <c r="E1709" s="214">
        <v>7417163283018</v>
      </c>
      <c r="F1709" s="209" t="s">
        <v>131</v>
      </c>
      <c r="G1709" s="209" t="s">
        <v>53</v>
      </c>
      <c r="H1709" s="209" t="s">
        <v>2992</v>
      </c>
      <c r="I1709" s="209" t="s">
        <v>2993</v>
      </c>
      <c r="J1709" s="209" t="s">
        <v>46</v>
      </c>
      <c r="K1709" s="210" t="s">
        <v>132</v>
      </c>
      <c r="L1709" s="210"/>
      <c r="M1709" s="209" t="s">
        <v>58</v>
      </c>
      <c r="N1709" s="209">
        <v>0</v>
      </c>
      <c r="O1709" s="209" t="s">
        <v>105</v>
      </c>
      <c r="P1709" s="211" t="s">
        <v>4554</v>
      </c>
      <c r="Q1709" s="209"/>
      <c r="R1709" s="209">
        <v>13</v>
      </c>
      <c r="S1709" s="209"/>
      <c r="T1709" s="209" t="s">
        <v>238</v>
      </c>
      <c r="U1709" s="213">
        <v>44985.495081018518</v>
      </c>
      <c r="V1709" s="209" t="s">
        <v>41</v>
      </c>
      <c r="W1709" s="209" t="s">
        <v>49</v>
      </c>
      <c r="X1709" s="13" t="str">
        <f>IF(RIGHT(H1709,2)&lt;&gt;"00",H1709,"")</f>
        <v>4844.03</v>
      </c>
      <c r="Y1709" s="26">
        <f ca="1">NETWORKDAYS(P1709,$Y$1)</f>
        <v>2</v>
      </c>
      <c r="Z1709" s="34">
        <v>1</v>
      </c>
      <c r="AA1709" s="25" t="str">
        <f t="shared" ca="1" si="162"/>
        <v>A VENCER</v>
      </c>
      <c r="AB1709" s="25" t="str">
        <f t="shared" si="163"/>
        <v>TAAe+</v>
      </c>
      <c r="AC1709" s="2" t="str">
        <f t="shared" si="164"/>
        <v xml:space="preserve"> CLEITON </v>
      </c>
      <c r="AD1709" s="26">
        <f t="shared" si="165"/>
        <v>8</v>
      </c>
      <c r="AE1709" s="26">
        <f t="shared" ca="1" si="166"/>
        <v>1.181190625000454</v>
      </c>
    </row>
    <row r="1710" spans="1:31" hidden="1">
      <c r="A1710" s="209">
        <v>9521604</v>
      </c>
      <c r="B1710" s="209" t="s">
        <v>1153</v>
      </c>
      <c r="C1710" s="210" t="s">
        <v>4555</v>
      </c>
      <c r="D1710" s="214">
        <v>20233924000006</v>
      </c>
      <c r="E1710" s="214">
        <v>7417210950100</v>
      </c>
      <c r="F1710" s="209" t="s">
        <v>1213</v>
      </c>
      <c r="G1710" s="209" t="s">
        <v>53</v>
      </c>
      <c r="H1710" s="209" t="s">
        <v>4556</v>
      </c>
      <c r="I1710" s="209" t="s">
        <v>4557</v>
      </c>
      <c r="J1710" s="209" t="s">
        <v>56</v>
      </c>
      <c r="K1710" s="210" t="s">
        <v>1214</v>
      </c>
      <c r="L1710" s="210"/>
      <c r="M1710" s="209" t="s">
        <v>58</v>
      </c>
      <c r="N1710" s="209">
        <v>0</v>
      </c>
      <c r="O1710" s="209" t="s">
        <v>105</v>
      </c>
      <c r="P1710" s="211" t="s">
        <v>4558</v>
      </c>
      <c r="Q1710" s="209"/>
      <c r="R1710" s="209">
        <v>14</v>
      </c>
      <c r="S1710" s="209"/>
      <c r="T1710" s="209" t="s">
        <v>238</v>
      </c>
      <c r="U1710" s="213">
        <v>44985.496944444443</v>
      </c>
      <c r="V1710" s="209" t="s">
        <v>41</v>
      </c>
      <c r="W1710" s="209" t="s">
        <v>49</v>
      </c>
      <c r="X1710" s="13" t="str">
        <f>IF(RIGHT(H1710,2)&lt;&gt;"00",H1710,"")</f>
        <v>3924.91</v>
      </c>
      <c r="Y1710" s="26">
        <f ca="1">NETWORKDAYS(P1710,$Y$1)</f>
        <v>2</v>
      </c>
      <c r="Z1710" s="34">
        <v>1</v>
      </c>
      <c r="AA1710" s="25" t="str">
        <f t="shared" ca="1" si="162"/>
        <v>A VENCER</v>
      </c>
      <c r="AB1710" s="25" t="str">
        <f t="shared" si="163"/>
        <v>TAAe+</v>
      </c>
      <c r="AC1710" s="2" t="str">
        <f t="shared" si="164"/>
        <v xml:space="preserve"> CRISTINA </v>
      </c>
      <c r="AD1710" s="26">
        <f t="shared" si="165"/>
        <v>8</v>
      </c>
      <c r="AE1710" s="26">
        <f t="shared" ca="1" si="166"/>
        <v>1.1793271990754874</v>
      </c>
    </row>
    <row r="1711" spans="1:31" hidden="1">
      <c r="A1711" s="209">
        <v>9521591</v>
      </c>
      <c r="B1711" s="209" t="s">
        <v>1153</v>
      </c>
      <c r="C1711" s="210" t="s">
        <v>4562</v>
      </c>
      <c r="D1711" s="214"/>
      <c r="E1711" s="214">
        <v>1814000203000</v>
      </c>
      <c r="F1711" s="209" t="s">
        <v>454</v>
      </c>
      <c r="G1711" s="209" t="s">
        <v>53</v>
      </c>
      <c r="H1711" s="209" t="s">
        <v>396</v>
      </c>
      <c r="I1711" s="209" t="s">
        <v>397</v>
      </c>
      <c r="J1711" s="209" t="s">
        <v>46</v>
      </c>
      <c r="K1711" s="210" t="s">
        <v>457</v>
      </c>
      <c r="L1711" s="210"/>
      <c r="M1711" s="209" t="s">
        <v>58</v>
      </c>
      <c r="N1711" s="209">
        <v>0</v>
      </c>
      <c r="O1711" s="209" t="s">
        <v>36</v>
      </c>
      <c r="P1711" s="211" t="s">
        <v>4563</v>
      </c>
      <c r="Q1711" s="209"/>
      <c r="R1711" s="209">
        <v>1</v>
      </c>
      <c r="S1711" s="209"/>
      <c r="T1711" s="209" t="s">
        <v>157</v>
      </c>
      <c r="U1711" s="213">
        <v>44986.506782407407</v>
      </c>
      <c r="V1711" s="209" t="s">
        <v>41</v>
      </c>
      <c r="W1711" s="209" t="s">
        <v>49</v>
      </c>
      <c r="X1711" s="13" t="str">
        <f>IF(RIGHT(H1711,2)&lt;&gt;"00",H1711,"")</f>
        <v/>
      </c>
      <c r="Y1711" s="26">
        <f ca="1">NETWORKDAYS(P1711,$Y$1)</f>
        <v>2</v>
      </c>
      <c r="Z1711" s="34">
        <v>1</v>
      </c>
      <c r="AA1711" s="25" t="str">
        <f t="shared" ca="1" si="162"/>
        <v>A VENCER</v>
      </c>
      <c r="AB1711" s="25" t="str">
        <f t="shared" si="163"/>
        <v>C-14</v>
      </c>
      <c r="AC1711" s="2" t="str">
        <f t="shared" si="164"/>
        <v xml:space="preserve"> CLEITON </v>
      </c>
      <c r="AD1711" s="26">
        <f t="shared" si="165"/>
        <v>5</v>
      </c>
      <c r="AE1711" s="26">
        <f t="shared" ca="1" si="166"/>
        <v>1.1694892361119855</v>
      </c>
    </row>
    <row r="1712" spans="1:31" hidden="1">
      <c r="A1712" s="209">
        <v>9521567</v>
      </c>
      <c r="B1712" s="209" t="s">
        <v>1153</v>
      </c>
      <c r="C1712" s="210" t="s">
        <v>4565</v>
      </c>
      <c r="D1712" s="214">
        <v>20234844000597</v>
      </c>
      <c r="E1712" s="214">
        <v>7417183020609</v>
      </c>
      <c r="F1712" s="209" t="s">
        <v>1313</v>
      </c>
      <c r="G1712" s="209" t="s">
        <v>53</v>
      </c>
      <c r="H1712" s="209" t="s">
        <v>2540</v>
      </c>
      <c r="I1712" s="209" t="s">
        <v>2541</v>
      </c>
      <c r="J1712" s="209" t="s">
        <v>46</v>
      </c>
      <c r="K1712" s="210" t="s">
        <v>1316</v>
      </c>
      <c r="L1712" s="210"/>
      <c r="M1712" s="209" t="s">
        <v>58</v>
      </c>
      <c r="N1712" s="209">
        <v>0</v>
      </c>
      <c r="O1712" s="209" t="s">
        <v>105</v>
      </c>
      <c r="P1712" s="211" t="s">
        <v>4566</v>
      </c>
      <c r="Q1712" s="209"/>
      <c r="R1712" s="209">
        <v>13</v>
      </c>
      <c r="S1712" s="209"/>
      <c r="T1712" s="209" t="s">
        <v>238</v>
      </c>
      <c r="U1712" s="211" t="s">
        <v>4566</v>
      </c>
      <c r="V1712" s="209" t="s">
        <v>41</v>
      </c>
      <c r="W1712" s="209" t="s">
        <v>49</v>
      </c>
      <c r="X1712" s="13" t="str">
        <f>IF(RIGHT(H1712,2)&lt;&gt;"00",H1712,"")</f>
        <v>4844.04</v>
      </c>
      <c r="Y1712" s="26">
        <f ca="1">NETWORKDAYS(P1712,$Y$1)</f>
        <v>2</v>
      </c>
      <c r="Z1712" s="34">
        <v>1</v>
      </c>
      <c r="AA1712" s="25" t="str">
        <f t="shared" ca="1" si="162"/>
        <v>A VENCER</v>
      </c>
      <c r="AB1712" s="25" t="str">
        <f t="shared" si="163"/>
        <v>TAAe+</v>
      </c>
      <c r="AC1712" s="2" t="str">
        <f t="shared" si="164"/>
        <v xml:space="preserve"> CLEITON </v>
      </c>
      <c r="AD1712" s="26">
        <f t="shared" si="165"/>
        <v>8</v>
      </c>
      <c r="AE1712" s="26">
        <f t="shared" ca="1" si="166"/>
        <v>1.1865031249981257</v>
      </c>
    </row>
    <row r="1713" spans="1:31" hidden="1">
      <c r="A1713" s="209">
        <v>9521494</v>
      </c>
      <c r="B1713" s="209" t="s">
        <v>1153</v>
      </c>
      <c r="C1713" s="210" t="s">
        <v>4567</v>
      </c>
      <c r="D1713" s="214">
        <v>20234844000596</v>
      </c>
      <c r="E1713" s="214">
        <v>8558100222953</v>
      </c>
      <c r="F1713" s="209" t="s">
        <v>2995</v>
      </c>
      <c r="G1713" s="209" t="s">
        <v>53</v>
      </c>
      <c r="H1713" s="209" t="s">
        <v>548</v>
      </c>
      <c r="I1713" s="209" t="s">
        <v>549</v>
      </c>
      <c r="J1713" s="209" t="s">
        <v>46</v>
      </c>
      <c r="K1713" s="210" t="s">
        <v>2996</v>
      </c>
      <c r="L1713" s="210"/>
      <c r="M1713" s="209" t="s">
        <v>58</v>
      </c>
      <c r="N1713" s="209">
        <v>0</v>
      </c>
      <c r="O1713" s="209" t="s">
        <v>105</v>
      </c>
      <c r="P1713" s="211" t="s">
        <v>4568</v>
      </c>
      <c r="Q1713" s="209"/>
      <c r="R1713" s="209">
        <v>21</v>
      </c>
      <c r="S1713" s="209"/>
      <c r="T1713" s="209" t="s">
        <v>1160</v>
      </c>
      <c r="U1713" s="211" t="s">
        <v>4569</v>
      </c>
      <c r="V1713" s="209" t="s">
        <v>41</v>
      </c>
      <c r="W1713" s="209" t="s">
        <v>49</v>
      </c>
      <c r="X1713" s="13" t="str">
        <f>IF(RIGHT(H1713,2)&lt;&gt;"00",H1713,"")</f>
        <v/>
      </c>
      <c r="Y1713" s="26">
        <f ca="1">NETWORKDAYS(P1713,$Y$1)</f>
        <v>2</v>
      </c>
      <c r="Z1713" s="34">
        <v>1</v>
      </c>
      <c r="AA1713" s="25" t="str">
        <f t="shared" ca="1" si="162"/>
        <v>A VENCER</v>
      </c>
      <c r="AB1713" s="25" t="str">
        <f t="shared" si="163"/>
        <v>TAAe+</v>
      </c>
      <c r="AC1713" s="2" t="str">
        <f t="shared" si="164"/>
        <v xml:space="preserve"> CLEITON </v>
      </c>
      <c r="AD1713" s="26">
        <f t="shared" si="165"/>
        <v>8</v>
      </c>
      <c r="AE1713" s="26">
        <f t="shared" ca="1" si="166"/>
        <v>1.207209143518412</v>
      </c>
    </row>
    <row r="1714" spans="1:31" hidden="1">
      <c r="A1714" s="209">
        <v>9521475</v>
      </c>
      <c r="B1714" s="209" t="s">
        <v>1153</v>
      </c>
      <c r="C1714" s="210" t="s">
        <v>4570</v>
      </c>
      <c r="D1714" s="214">
        <v>20230922000029</v>
      </c>
      <c r="E1714" s="214">
        <v>7417183020102</v>
      </c>
      <c r="F1714" s="209" t="s">
        <v>1313</v>
      </c>
      <c r="G1714" s="209" t="s">
        <v>53</v>
      </c>
      <c r="H1714" s="209" t="s">
        <v>2410</v>
      </c>
      <c r="I1714" s="209" t="s">
        <v>2411</v>
      </c>
      <c r="J1714" s="209" t="s">
        <v>261</v>
      </c>
      <c r="K1714" s="210" t="s">
        <v>1316</v>
      </c>
      <c r="L1714" s="210"/>
      <c r="M1714" s="209" t="s">
        <v>58</v>
      </c>
      <c r="N1714" s="209">
        <v>0</v>
      </c>
      <c r="O1714" s="209" t="s">
        <v>105</v>
      </c>
      <c r="P1714" s="211" t="s">
        <v>4571</v>
      </c>
      <c r="Q1714" s="209"/>
      <c r="R1714" s="209">
        <v>14</v>
      </c>
      <c r="S1714" s="209"/>
      <c r="T1714" s="209" t="s">
        <v>238</v>
      </c>
      <c r="U1714" s="213">
        <v>44985.471747685187</v>
      </c>
      <c r="V1714" s="209" t="s">
        <v>41</v>
      </c>
      <c r="W1714" s="209" t="s">
        <v>49</v>
      </c>
      <c r="X1714" s="13" t="str">
        <f>IF(RIGHT(H1714,2)&lt;&gt;"00",H1714,"")</f>
        <v>0922.91</v>
      </c>
      <c r="Y1714" s="26">
        <f ca="1">NETWORKDAYS(P1714,$Y$1)</f>
        <v>2</v>
      </c>
      <c r="Z1714" s="34">
        <v>1</v>
      </c>
      <c r="AA1714" s="25" t="str">
        <f t="shared" ca="1" si="162"/>
        <v>A VENCER</v>
      </c>
      <c r="AB1714" s="25" t="str">
        <f t="shared" si="163"/>
        <v>TAAe+</v>
      </c>
      <c r="AC1714" s="2" t="str">
        <f t="shared" si="164"/>
        <v xml:space="preserve"> CRISTINA </v>
      </c>
      <c r="AD1714" s="26">
        <f t="shared" si="165"/>
        <v>8</v>
      </c>
      <c r="AE1714" s="26">
        <f t="shared" ca="1" si="166"/>
        <v>1.204523958331265</v>
      </c>
    </row>
    <row r="1715" spans="1:31" hidden="1">
      <c r="A1715" s="209">
        <v>9521438</v>
      </c>
      <c r="B1715" s="209" t="s">
        <v>1153</v>
      </c>
      <c r="C1715" s="210" t="s">
        <v>4572</v>
      </c>
      <c r="D1715" s="214">
        <v>20234844000595</v>
      </c>
      <c r="E1715" s="214">
        <v>7417161483349</v>
      </c>
      <c r="F1715" s="209" t="s">
        <v>1217</v>
      </c>
      <c r="G1715" s="209" t="s">
        <v>53</v>
      </c>
      <c r="H1715" s="209" t="s">
        <v>2059</v>
      </c>
      <c r="I1715" s="209" t="s">
        <v>2060</v>
      </c>
      <c r="J1715" s="209" t="s">
        <v>46</v>
      </c>
      <c r="K1715" s="210" t="s">
        <v>1218</v>
      </c>
      <c r="L1715" s="210"/>
      <c r="M1715" s="209" t="s">
        <v>58</v>
      </c>
      <c r="N1715" s="209">
        <v>0</v>
      </c>
      <c r="O1715" s="209" t="s">
        <v>105</v>
      </c>
      <c r="P1715" s="211" t="s">
        <v>4573</v>
      </c>
      <c r="Q1715" s="209"/>
      <c r="R1715" s="209">
        <v>13</v>
      </c>
      <c r="S1715" s="209"/>
      <c r="T1715" s="209" t="s">
        <v>238</v>
      </c>
      <c r="U1715" s="213">
        <v>44985.466956018521</v>
      </c>
      <c r="V1715" s="209" t="s">
        <v>41</v>
      </c>
      <c r="W1715" s="209" t="s">
        <v>49</v>
      </c>
      <c r="X1715" s="13" t="str">
        <f>IF(RIGHT(H1715,2)&lt;&gt;"00",H1715,"")</f>
        <v>4844.35</v>
      </c>
      <c r="Y1715" s="26">
        <f ca="1">NETWORKDAYS(P1715,$Y$1)</f>
        <v>2</v>
      </c>
      <c r="Z1715" s="34">
        <v>1</v>
      </c>
      <c r="AA1715" s="25" t="str">
        <f t="shared" ca="1" si="162"/>
        <v>A VENCER</v>
      </c>
      <c r="AB1715" s="25" t="str">
        <f t="shared" si="163"/>
        <v>TAAe+</v>
      </c>
      <c r="AC1715" s="2" t="str">
        <f t="shared" si="164"/>
        <v xml:space="preserve"> CLEITON </v>
      </c>
      <c r="AD1715" s="26">
        <f t="shared" si="165"/>
        <v>8</v>
      </c>
      <c r="AE1715" s="26">
        <f t="shared" ca="1" si="166"/>
        <v>1.2093156249975436</v>
      </c>
    </row>
    <row r="1716" spans="1:31" hidden="1">
      <c r="A1716" s="209">
        <v>9521396</v>
      </c>
      <c r="B1716" s="209" t="s">
        <v>1153</v>
      </c>
      <c r="C1716" s="210" t="s">
        <v>4574</v>
      </c>
      <c r="D1716" s="214">
        <v>20234844000594</v>
      </c>
      <c r="E1716" s="214">
        <v>7417183020608</v>
      </c>
      <c r="F1716" s="209" t="s">
        <v>1313</v>
      </c>
      <c r="G1716" s="209" t="s">
        <v>53</v>
      </c>
      <c r="H1716" s="209" t="s">
        <v>2540</v>
      </c>
      <c r="I1716" s="209" t="s">
        <v>2541</v>
      </c>
      <c r="J1716" s="209" t="s">
        <v>46</v>
      </c>
      <c r="K1716" s="210" t="s">
        <v>1316</v>
      </c>
      <c r="L1716" s="210"/>
      <c r="M1716" s="209" t="s">
        <v>58</v>
      </c>
      <c r="N1716" s="209">
        <v>0</v>
      </c>
      <c r="O1716" s="209" t="s">
        <v>105</v>
      </c>
      <c r="P1716" s="211" t="s">
        <v>4575</v>
      </c>
      <c r="Q1716" s="209"/>
      <c r="R1716" s="209">
        <v>13</v>
      </c>
      <c r="S1716" s="209"/>
      <c r="T1716" s="209" t="s">
        <v>238</v>
      </c>
      <c r="U1716" s="213">
        <v>44985.457025462965</v>
      </c>
      <c r="V1716" s="209" t="s">
        <v>41</v>
      </c>
      <c r="W1716" s="209" t="s">
        <v>49</v>
      </c>
      <c r="X1716" s="13" t="str">
        <f>IF(RIGHT(H1716,2)&lt;&gt;"00",H1716,"")</f>
        <v>4844.04</v>
      </c>
      <c r="Y1716" s="26">
        <f ca="1">NETWORKDAYS(P1716,$Y$1)</f>
        <v>2</v>
      </c>
      <c r="Z1716" s="34">
        <v>1</v>
      </c>
      <c r="AA1716" s="25" t="str">
        <f t="shared" ca="1" si="162"/>
        <v>A VENCER</v>
      </c>
      <c r="AB1716" s="25" t="str">
        <f t="shared" si="163"/>
        <v>TAAe+</v>
      </c>
      <c r="AC1716" s="2" t="str">
        <f t="shared" si="164"/>
        <v xml:space="preserve"> CLEITON </v>
      </c>
      <c r="AD1716" s="26">
        <f t="shared" si="165"/>
        <v>8</v>
      </c>
      <c r="AE1716" s="26">
        <f t="shared" ca="1" si="166"/>
        <v>1.2192461805534549</v>
      </c>
    </row>
    <row r="1717" spans="1:31" hidden="1">
      <c r="A1717" s="209">
        <v>9521343</v>
      </c>
      <c r="B1717" s="209" t="s">
        <v>1153</v>
      </c>
      <c r="C1717" s="210" t="s">
        <v>2666</v>
      </c>
      <c r="D1717" s="214" t="s">
        <v>4576</v>
      </c>
      <c r="E1717" s="214">
        <v>2442001400020</v>
      </c>
      <c r="F1717" s="209" t="s">
        <v>1961</v>
      </c>
      <c r="G1717" s="209" t="s">
        <v>53</v>
      </c>
      <c r="H1717" s="209" t="s">
        <v>1956</v>
      </c>
      <c r="I1717" s="209" t="s">
        <v>1957</v>
      </c>
      <c r="J1717" s="209" t="s">
        <v>33</v>
      </c>
      <c r="K1717" s="210" t="s">
        <v>1962</v>
      </c>
      <c r="L1717" s="210"/>
      <c r="M1717" s="209" t="s">
        <v>58</v>
      </c>
      <c r="N1717" s="209">
        <v>0</v>
      </c>
      <c r="O1717" s="209" t="s">
        <v>36</v>
      </c>
      <c r="P1717" s="211" t="s">
        <v>4577</v>
      </c>
      <c r="Q1717" s="209"/>
      <c r="R1717" s="209">
        <v>4</v>
      </c>
      <c r="S1717" s="209"/>
      <c r="T1717" s="209" t="s">
        <v>646</v>
      </c>
      <c r="U1717" s="213">
        <v>44988.604166666664</v>
      </c>
      <c r="V1717" s="209" t="s">
        <v>41</v>
      </c>
      <c r="W1717" s="209" t="s">
        <v>42</v>
      </c>
      <c r="X1717" s="13" t="str">
        <f>IF(RIGHT(H1717,2)&lt;&gt;"00",H1717,"")</f>
        <v/>
      </c>
      <c r="Y1717" s="26">
        <f ca="1">NETWORKDAYS(P1717,$Y$1)</f>
        <v>2</v>
      </c>
      <c r="Z1717" s="34">
        <v>1</v>
      </c>
      <c r="AA1717" s="25" t="str">
        <f t="shared" ca="1" si="162"/>
        <v>A VENCER</v>
      </c>
      <c r="AB1717" s="25" t="str">
        <f t="shared" si="163"/>
        <v>C-14</v>
      </c>
      <c r="AC1717" s="2" t="str">
        <f t="shared" si="164"/>
        <v xml:space="preserve"> ROSEMERE </v>
      </c>
      <c r="AD1717" s="26">
        <f t="shared" si="165"/>
        <v>5</v>
      </c>
      <c r="AE1717" s="26">
        <f t="shared" ca="1" si="166"/>
        <v>1.2144660879639559</v>
      </c>
    </row>
    <row r="1718" spans="1:31" hidden="1">
      <c r="A1718" s="209">
        <v>9521341</v>
      </c>
      <c r="B1718" s="209" t="s">
        <v>62</v>
      </c>
      <c r="C1718" s="210" t="s">
        <v>4579</v>
      </c>
      <c r="D1718" s="214"/>
      <c r="E1718" s="214">
        <v>115000203000</v>
      </c>
      <c r="F1718" s="209" t="s">
        <v>454</v>
      </c>
      <c r="G1718" s="209" t="s">
        <v>53</v>
      </c>
      <c r="H1718" s="209" t="s">
        <v>542</v>
      </c>
      <c r="I1718" s="209" t="s">
        <v>543</v>
      </c>
      <c r="J1718" s="209" t="s">
        <v>56</v>
      </c>
      <c r="K1718" s="210" t="s">
        <v>457</v>
      </c>
      <c r="L1718" s="210"/>
      <c r="M1718" s="209" t="s">
        <v>58</v>
      </c>
      <c r="N1718" s="209">
        <v>0</v>
      </c>
      <c r="O1718" s="209" t="s">
        <v>105</v>
      </c>
      <c r="P1718" s="211" t="s">
        <v>4580</v>
      </c>
      <c r="Q1718" s="209"/>
      <c r="R1718" s="209">
        <v>1</v>
      </c>
      <c r="S1718" s="209"/>
      <c r="T1718" s="209" t="s">
        <v>157</v>
      </c>
      <c r="U1718" s="213">
        <v>45019.75</v>
      </c>
      <c r="V1718" s="209" t="s">
        <v>41</v>
      </c>
      <c r="W1718" s="209" t="s">
        <v>49</v>
      </c>
      <c r="X1718" s="13" t="str">
        <f>IF(RIGHT(H1718,2)&lt;&gt;"00",H1718,"")</f>
        <v/>
      </c>
      <c r="Y1718" s="26">
        <f ca="1">NETWORKDAYS(P1718,$Y$1)</f>
        <v>2</v>
      </c>
      <c r="Z1718" s="34">
        <v>1</v>
      </c>
      <c r="AA1718" s="25" t="str">
        <f t="shared" ca="1" si="162"/>
        <v>A VENCER</v>
      </c>
      <c r="AB1718" s="25" t="str">
        <f t="shared" si="163"/>
        <v>C-14</v>
      </c>
      <c r="AC1718" s="2" t="str">
        <f t="shared" si="164"/>
        <v xml:space="preserve"> CRISTINA </v>
      </c>
      <c r="AD1718" s="26">
        <f t="shared" si="165"/>
        <v>5</v>
      </c>
      <c r="AE1718" s="26">
        <f t="shared" ca="1" si="166"/>
        <v>1.2171281249975436</v>
      </c>
    </row>
    <row r="1719" spans="1:31" hidden="1">
      <c r="A1719" s="209">
        <v>9521243</v>
      </c>
      <c r="B1719" s="209" t="s">
        <v>1153</v>
      </c>
      <c r="C1719" s="210" t="s">
        <v>4581</v>
      </c>
      <c r="D1719" s="214"/>
      <c r="E1719" s="214">
        <v>2437000206001</v>
      </c>
      <c r="F1719" s="209" t="s">
        <v>29</v>
      </c>
      <c r="G1719" s="209" t="s">
        <v>53</v>
      </c>
      <c r="H1719" s="209" t="s">
        <v>416</v>
      </c>
      <c r="I1719" s="209" t="s">
        <v>417</v>
      </c>
      <c r="J1719" s="209" t="s">
        <v>211</v>
      </c>
      <c r="K1719" s="210" t="s">
        <v>34</v>
      </c>
      <c r="L1719" s="210"/>
      <c r="M1719" s="209" t="s">
        <v>35</v>
      </c>
      <c r="N1719" s="209">
        <v>42318949</v>
      </c>
      <c r="O1719" s="209" t="s">
        <v>36</v>
      </c>
      <c r="P1719" s="211" t="s">
        <v>4582</v>
      </c>
      <c r="Q1719" s="209"/>
      <c r="R1719" s="209" t="s">
        <v>38</v>
      </c>
      <c r="S1719" s="209"/>
      <c r="T1719" s="209" t="s">
        <v>74</v>
      </c>
      <c r="U1719" s="213">
        <v>44993.607638888891</v>
      </c>
      <c r="V1719" s="209" t="s">
        <v>41</v>
      </c>
      <c r="W1719" s="209" t="s">
        <v>49</v>
      </c>
      <c r="X1719" s="13" t="str">
        <f>IF(RIGHT(H1719,2)&lt;&gt;"00",H1719,"")</f>
        <v/>
      </c>
      <c r="Y1719" s="26">
        <f ca="1">NETWORKDAYS(P1719,$Y$1)</f>
        <v>2</v>
      </c>
      <c r="Z1719" s="34">
        <v>1</v>
      </c>
      <c r="AA1719" s="25" t="str">
        <f t="shared" ca="1" si="162"/>
        <v>A VENCER</v>
      </c>
      <c r="AB1719" s="25" t="str">
        <f t="shared" si="163"/>
        <v>Dosa</v>
      </c>
      <c r="AC1719" s="2" t="str">
        <f t="shared" si="164"/>
        <v xml:space="preserve"> RINALDO </v>
      </c>
      <c r="AD1719" s="26">
        <f t="shared" si="165"/>
        <v>5</v>
      </c>
      <c r="AE1719" s="26">
        <f t="shared" ca="1" si="166"/>
        <v>1.2322785879659932</v>
      </c>
    </row>
    <row r="1720" spans="1:31" hidden="1">
      <c r="A1720" s="209">
        <v>9521239</v>
      </c>
      <c r="B1720" s="209" t="s">
        <v>1153</v>
      </c>
      <c r="C1720" s="210" t="s">
        <v>4584</v>
      </c>
      <c r="D1720" s="214">
        <v>20234844000593</v>
      </c>
      <c r="E1720" s="214">
        <v>7419152434395</v>
      </c>
      <c r="F1720" s="209" t="s">
        <v>2744</v>
      </c>
      <c r="G1720" s="209" t="s">
        <v>53</v>
      </c>
      <c r="H1720" s="209" t="s">
        <v>345</v>
      </c>
      <c r="I1720" s="209" t="s">
        <v>346</v>
      </c>
      <c r="J1720" s="209" t="s">
        <v>46</v>
      </c>
      <c r="K1720" s="210" t="s">
        <v>2745</v>
      </c>
      <c r="L1720" s="210"/>
      <c r="M1720" s="209" t="s">
        <v>58</v>
      </c>
      <c r="N1720" s="209">
        <v>0</v>
      </c>
      <c r="O1720" s="209" t="s">
        <v>105</v>
      </c>
      <c r="P1720" s="211" t="s">
        <v>4585</v>
      </c>
      <c r="Q1720" s="209"/>
      <c r="R1720" s="209">
        <v>22</v>
      </c>
      <c r="S1720" s="209"/>
      <c r="T1720" s="209" t="s">
        <v>1160</v>
      </c>
      <c r="U1720" s="213">
        <v>44987.637881944444</v>
      </c>
      <c r="V1720" s="209" t="s">
        <v>41</v>
      </c>
      <c r="W1720" s="209" t="s">
        <v>49</v>
      </c>
      <c r="X1720" s="13" t="str">
        <f>IF(RIGHT(H1720,2)&lt;&gt;"00",H1720,"")</f>
        <v/>
      </c>
      <c r="Y1720" s="26">
        <f ca="1">NETWORKDAYS(P1720,$Y$1)</f>
        <v>2</v>
      </c>
      <c r="Z1720" s="34">
        <v>1</v>
      </c>
      <c r="AA1720" s="25" t="str">
        <f t="shared" ca="1" si="162"/>
        <v>A VENCER</v>
      </c>
      <c r="AB1720" s="25" t="str">
        <f t="shared" si="163"/>
        <v>TAAe+</v>
      </c>
      <c r="AC1720" s="2" t="str">
        <f t="shared" si="164"/>
        <v xml:space="preserve"> CLEITON </v>
      </c>
      <c r="AD1720" s="26">
        <f t="shared" si="165"/>
        <v>8</v>
      </c>
      <c r="AE1720" s="26">
        <f t="shared" ca="1" si="166"/>
        <v>1.2467230324109551</v>
      </c>
    </row>
    <row r="1721" spans="1:31" hidden="1">
      <c r="A1721" s="209">
        <v>9521238</v>
      </c>
      <c r="B1721" s="209" t="s">
        <v>1153</v>
      </c>
      <c r="C1721" s="210" t="s">
        <v>4587</v>
      </c>
      <c r="D1721" s="214">
        <v>20234844000592</v>
      </c>
      <c r="E1721" s="214">
        <v>7419152434401</v>
      </c>
      <c r="F1721" s="209" t="s">
        <v>2744</v>
      </c>
      <c r="G1721" s="209" t="s">
        <v>53</v>
      </c>
      <c r="H1721" s="209" t="s">
        <v>345</v>
      </c>
      <c r="I1721" s="209" t="s">
        <v>346</v>
      </c>
      <c r="J1721" s="209" t="s">
        <v>46</v>
      </c>
      <c r="K1721" s="210" t="s">
        <v>2745</v>
      </c>
      <c r="L1721" s="210"/>
      <c r="M1721" s="209" t="s">
        <v>58</v>
      </c>
      <c r="N1721" s="209">
        <v>0</v>
      </c>
      <c r="O1721" s="209" t="s">
        <v>36</v>
      </c>
      <c r="P1721" s="211" t="s">
        <v>4588</v>
      </c>
      <c r="Q1721" s="209"/>
      <c r="R1721" s="209">
        <v>22</v>
      </c>
      <c r="S1721" s="209"/>
      <c r="T1721" s="209" t="s">
        <v>1160</v>
      </c>
      <c r="U1721" s="213">
        <v>44987.636678240742</v>
      </c>
      <c r="V1721" s="209" t="s">
        <v>41</v>
      </c>
      <c r="W1721" s="209" t="s">
        <v>49</v>
      </c>
      <c r="X1721" s="13" t="str">
        <f>IF(RIGHT(H1721,2)&lt;&gt;"00",H1721,"")</f>
        <v/>
      </c>
      <c r="Y1721" s="26">
        <f ca="1">NETWORKDAYS(P1721,$Y$1)</f>
        <v>2</v>
      </c>
      <c r="Z1721" s="34">
        <v>1</v>
      </c>
      <c r="AA1721" s="25" t="str">
        <f t="shared" ca="1" si="162"/>
        <v>A VENCER</v>
      </c>
      <c r="AB1721" s="25" t="str">
        <f t="shared" si="163"/>
        <v>TAAe+</v>
      </c>
      <c r="AC1721" s="2" t="str">
        <f t="shared" si="164"/>
        <v xml:space="preserve"> CLEITON </v>
      </c>
      <c r="AD1721" s="26">
        <f t="shared" si="165"/>
        <v>8</v>
      </c>
      <c r="AE1721" s="26">
        <f t="shared" ca="1" si="166"/>
        <v>1.2479267361122766</v>
      </c>
    </row>
    <row r="1722" spans="1:31" hidden="1">
      <c r="A1722" s="209">
        <v>9521237</v>
      </c>
      <c r="B1722" s="209" t="s">
        <v>1153</v>
      </c>
      <c r="C1722" s="210" t="s">
        <v>4590</v>
      </c>
      <c r="D1722" s="214">
        <v>20234844000591</v>
      </c>
      <c r="E1722" s="214">
        <v>7419152467013</v>
      </c>
      <c r="F1722" s="209" t="s">
        <v>2744</v>
      </c>
      <c r="G1722" s="209" t="s">
        <v>53</v>
      </c>
      <c r="H1722" s="209" t="s">
        <v>345</v>
      </c>
      <c r="I1722" s="209" t="s">
        <v>346</v>
      </c>
      <c r="J1722" s="209" t="s">
        <v>46</v>
      </c>
      <c r="K1722" s="210" t="s">
        <v>2745</v>
      </c>
      <c r="L1722" s="210"/>
      <c r="M1722" s="209" t="s">
        <v>58</v>
      </c>
      <c r="N1722" s="209">
        <v>0</v>
      </c>
      <c r="O1722" s="209" t="s">
        <v>105</v>
      </c>
      <c r="P1722" s="211" t="s">
        <v>4814</v>
      </c>
      <c r="Q1722" s="209"/>
      <c r="R1722" s="209">
        <v>22</v>
      </c>
      <c r="S1722" s="209"/>
      <c r="T1722" s="209" t="s">
        <v>1160</v>
      </c>
      <c r="U1722" s="213">
        <v>44987.636111111111</v>
      </c>
      <c r="V1722" s="209" t="s">
        <v>41</v>
      </c>
      <c r="W1722" s="209" t="s">
        <v>49</v>
      </c>
      <c r="X1722" s="13" t="str">
        <f>IF(RIGHT(H1722,2)&lt;&gt;"00",H1722,"")</f>
        <v/>
      </c>
      <c r="Y1722" s="26">
        <f ca="1">NETWORKDAYS(P1722,$Y$1)</f>
        <v>2</v>
      </c>
      <c r="Z1722" s="34">
        <v>1</v>
      </c>
      <c r="AA1722" s="25" t="str">
        <f t="shared" ca="1" si="162"/>
        <v>A VENCER</v>
      </c>
      <c r="AB1722" s="25" t="str">
        <f t="shared" si="163"/>
        <v>TAAe+</v>
      </c>
      <c r="AC1722" s="2" t="str">
        <f t="shared" si="164"/>
        <v xml:space="preserve"> CLEITON </v>
      </c>
      <c r="AD1722" s="26">
        <f t="shared" si="165"/>
        <v>8</v>
      </c>
      <c r="AE1722" s="26">
        <f t="shared" ca="1" si="166"/>
        <v>1.2484938657435123</v>
      </c>
    </row>
    <row r="1723" spans="1:31" hidden="1">
      <c r="A1723" s="209">
        <v>9521118</v>
      </c>
      <c r="B1723" s="209" t="s">
        <v>1153</v>
      </c>
      <c r="C1723" s="210" t="s">
        <v>4591</v>
      </c>
      <c r="D1723" s="214"/>
      <c r="E1723" s="214">
        <v>1833000206001</v>
      </c>
      <c r="F1723" s="209" t="s">
        <v>29</v>
      </c>
      <c r="G1723" s="209" t="s">
        <v>53</v>
      </c>
      <c r="H1723" s="209" t="s">
        <v>369</v>
      </c>
      <c r="I1723" s="209" t="s">
        <v>370</v>
      </c>
      <c r="J1723" s="209" t="s">
        <v>46</v>
      </c>
      <c r="K1723" s="210" t="s">
        <v>34</v>
      </c>
      <c r="L1723" s="210"/>
      <c r="M1723" s="209" t="s">
        <v>35</v>
      </c>
      <c r="N1723" s="209">
        <v>42318949</v>
      </c>
      <c r="O1723" s="209" t="s">
        <v>36</v>
      </c>
      <c r="P1723" s="211" t="s">
        <v>4815</v>
      </c>
      <c r="Q1723" s="209"/>
      <c r="R1723" s="209" t="s">
        <v>38</v>
      </c>
      <c r="S1723" s="209"/>
      <c r="T1723" s="209" t="s">
        <v>74</v>
      </c>
      <c r="U1723" s="213">
        <v>44986.42392361111</v>
      </c>
      <c r="V1723" s="209" t="s">
        <v>41</v>
      </c>
      <c r="W1723" s="209" t="s">
        <v>49</v>
      </c>
      <c r="X1723" s="13" t="str">
        <f>IF(RIGHT(H1723,2)&lt;&gt;"00",H1723,"")</f>
        <v/>
      </c>
      <c r="Y1723" s="26">
        <f ca="1">NETWORKDAYS(P1723,$Y$1)</f>
        <v>2</v>
      </c>
      <c r="Z1723" s="34">
        <v>1</v>
      </c>
      <c r="AA1723" s="25" t="str">
        <f t="shared" ca="1" si="162"/>
        <v>A VENCER</v>
      </c>
      <c r="AB1723" s="25" t="str">
        <f t="shared" si="163"/>
        <v>Dosa</v>
      </c>
      <c r="AC1723" s="2" t="str">
        <f t="shared" si="164"/>
        <v xml:space="preserve"> CLEITON </v>
      </c>
      <c r="AD1723" s="26">
        <f t="shared" si="165"/>
        <v>5</v>
      </c>
      <c r="AE1723" s="26">
        <f t="shared" ca="1" si="166"/>
        <v>1.2523480324089178</v>
      </c>
    </row>
    <row r="1724" spans="1:31" hidden="1">
      <c r="A1724" s="209">
        <v>9521106</v>
      </c>
      <c r="B1724" s="209" t="s">
        <v>1153</v>
      </c>
      <c r="C1724" s="210" t="s">
        <v>4592</v>
      </c>
      <c r="D1724" s="214"/>
      <c r="E1724" s="214">
        <v>9700000206001</v>
      </c>
      <c r="F1724" s="209" t="s">
        <v>29</v>
      </c>
      <c r="G1724" s="209" t="s">
        <v>53</v>
      </c>
      <c r="H1724" s="209" t="s">
        <v>209</v>
      </c>
      <c r="I1724" s="209" t="s">
        <v>210</v>
      </c>
      <c r="J1724" s="209" t="s">
        <v>211</v>
      </c>
      <c r="K1724" s="210" t="s">
        <v>34</v>
      </c>
      <c r="L1724" s="210"/>
      <c r="M1724" s="209" t="s">
        <v>35</v>
      </c>
      <c r="N1724" s="209">
        <v>42318949</v>
      </c>
      <c r="O1724" s="209" t="s">
        <v>36</v>
      </c>
      <c r="P1724" s="211" t="s">
        <v>4816</v>
      </c>
      <c r="Q1724" s="209"/>
      <c r="R1724" s="209" t="s">
        <v>38</v>
      </c>
      <c r="S1724" s="209"/>
      <c r="T1724" s="209" t="s">
        <v>74</v>
      </c>
      <c r="U1724" s="213">
        <v>44993.607638888891</v>
      </c>
      <c r="V1724" s="209" t="s">
        <v>41</v>
      </c>
      <c r="W1724" s="209" t="s">
        <v>49</v>
      </c>
      <c r="X1724" s="13" t="str">
        <f>IF(RIGHT(H1724,2)&lt;&gt;"00",H1724,"")</f>
        <v/>
      </c>
      <c r="Y1724" s="26">
        <f ca="1">NETWORKDAYS(P1724,$Y$1)</f>
        <v>2</v>
      </c>
      <c r="Z1724" s="34">
        <v>1</v>
      </c>
      <c r="AA1724" s="25" t="str">
        <f t="shared" ca="1" si="162"/>
        <v>A VENCER</v>
      </c>
      <c r="AB1724" s="25" t="str">
        <f t="shared" si="163"/>
        <v>Dosa</v>
      </c>
      <c r="AC1724" s="2" t="str">
        <f t="shared" si="164"/>
        <v xml:space="preserve"> RINALDO </v>
      </c>
      <c r="AD1724" s="26">
        <f t="shared" si="165"/>
        <v>5</v>
      </c>
      <c r="AE1724" s="26">
        <f t="shared" ca="1" si="166"/>
        <v>1.2530656250019092</v>
      </c>
    </row>
    <row r="1725" spans="1:31" hidden="1">
      <c r="A1725" s="209">
        <v>9521010</v>
      </c>
      <c r="B1725" s="209" t="s">
        <v>1153</v>
      </c>
      <c r="C1725" s="210" t="s">
        <v>4593</v>
      </c>
      <c r="D1725" s="214">
        <v>20230710000010</v>
      </c>
      <c r="E1725" s="214">
        <v>7417211830256</v>
      </c>
      <c r="F1725" s="209" t="s">
        <v>1936</v>
      </c>
      <c r="G1725" s="209" t="s">
        <v>53</v>
      </c>
      <c r="H1725" s="209" t="s">
        <v>2556</v>
      </c>
      <c r="I1725" s="209" t="s">
        <v>2557</v>
      </c>
      <c r="J1725" s="209" t="s">
        <v>56</v>
      </c>
      <c r="K1725" s="210" t="s">
        <v>1939</v>
      </c>
      <c r="L1725" s="210"/>
      <c r="M1725" s="209" t="s">
        <v>58</v>
      </c>
      <c r="N1725" s="209">
        <v>0</v>
      </c>
      <c r="O1725" s="209" t="s">
        <v>105</v>
      </c>
      <c r="P1725" s="211" t="s">
        <v>4817</v>
      </c>
      <c r="Q1725" s="209"/>
      <c r="R1725" s="209">
        <v>14</v>
      </c>
      <c r="S1725" s="209"/>
      <c r="T1725" s="209" t="s">
        <v>238</v>
      </c>
      <c r="U1725" s="213">
        <v>44985.395833333336</v>
      </c>
      <c r="V1725" s="209" t="s">
        <v>41</v>
      </c>
      <c r="W1725" s="209" t="s">
        <v>49</v>
      </c>
      <c r="X1725" s="13" t="str">
        <f>IF(RIGHT(H1725,2)&lt;&gt;"00",H1725,"")</f>
        <v>0710.91</v>
      </c>
      <c r="Y1725" s="26">
        <f ca="1">NETWORKDAYS(P1725,$Y$1)</f>
        <v>2</v>
      </c>
      <c r="Z1725" s="34">
        <v>1</v>
      </c>
      <c r="AA1725" s="25" t="str">
        <f t="shared" ca="1" si="162"/>
        <v>A VENCER</v>
      </c>
      <c r="AB1725" s="25" t="str">
        <f t="shared" si="163"/>
        <v>TAAe+</v>
      </c>
      <c r="AC1725" s="2" t="str">
        <f t="shared" si="164"/>
        <v xml:space="preserve"> CRISTINA </v>
      </c>
      <c r="AD1725" s="26">
        <f t="shared" si="165"/>
        <v>8</v>
      </c>
      <c r="AE1725" s="26">
        <f t="shared" ca="1" si="166"/>
        <v>1.2807623842600151</v>
      </c>
    </row>
    <row r="1726" spans="1:31" hidden="1">
      <c r="A1726" s="209">
        <v>9520959</v>
      </c>
      <c r="B1726" s="209" t="s">
        <v>1153</v>
      </c>
      <c r="C1726" s="210" t="s">
        <v>4594</v>
      </c>
      <c r="D1726" s="214">
        <v>20231689000011</v>
      </c>
      <c r="E1726" s="214">
        <v>7419143322525</v>
      </c>
      <c r="F1726" s="209" t="s">
        <v>1222</v>
      </c>
      <c r="G1726" s="209" t="s">
        <v>53</v>
      </c>
      <c r="H1726" s="209" t="s">
        <v>2131</v>
      </c>
      <c r="I1726" s="209" t="s">
        <v>2132</v>
      </c>
      <c r="J1726" s="209" t="s">
        <v>79</v>
      </c>
      <c r="K1726" s="210" t="s">
        <v>1223</v>
      </c>
      <c r="L1726" s="210"/>
      <c r="M1726" s="209" t="s">
        <v>58</v>
      </c>
      <c r="N1726" s="209">
        <v>0</v>
      </c>
      <c r="O1726" s="209" t="s">
        <v>105</v>
      </c>
      <c r="P1726" s="211" t="s">
        <v>4818</v>
      </c>
      <c r="Q1726" s="209"/>
      <c r="R1726" s="209">
        <v>13</v>
      </c>
      <c r="S1726" s="209"/>
      <c r="T1726" s="209" t="s">
        <v>238</v>
      </c>
      <c r="U1726" s="213">
        <v>44985.395833333336</v>
      </c>
      <c r="V1726" s="209" t="s">
        <v>41</v>
      </c>
      <c r="W1726" s="209" t="s">
        <v>49</v>
      </c>
      <c r="X1726" s="13" t="str">
        <f>IF(RIGHT(H1726,2)&lt;&gt;"00",H1726,"")</f>
        <v>1689.91</v>
      </c>
      <c r="Y1726" s="26">
        <f ca="1">NETWORKDAYS(P1726,$Y$1)</f>
        <v>2</v>
      </c>
      <c r="Z1726" s="34">
        <v>1</v>
      </c>
      <c r="AA1726" s="25" t="str">
        <f t="shared" ca="1" si="162"/>
        <v>A VENCER</v>
      </c>
      <c r="AB1726" s="25" t="str">
        <f t="shared" si="163"/>
        <v>TAAe+</v>
      </c>
      <c r="AC1726" s="2" t="str">
        <f t="shared" si="164"/>
        <v xml:space="preserve"> ROSEMERE </v>
      </c>
      <c r="AD1726" s="26">
        <f t="shared" si="165"/>
        <v>8</v>
      </c>
      <c r="AE1726" s="26">
        <f t="shared" ca="1" si="166"/>
        <v>1.290426736108202</v>
      </c>
    </row>
    <row r="1727" spans="1:31" hidden="1">
      <c r="A1727" s="209">
        <v>9520891</v>
      </c>
      <c r="B1727" s="209" t="s">
        <v>1153</v>
      </c>
      <c r="C1727" s="210" t="s">
        <v>4595</v>
      </c>
      <c r="D1727" s="214">
        <v>20232257000019</v>
      </c>
      <c r="E1727" s="214">
        <v>7417192425450</v>
      </c>
      <c r="F1727" s="209" t="s">
        <v>1727</v>
      </c>
      <c r="G1727" s="209" t="s">
        <v>53</v>
      </c>
      <c r="H1727" s="209" t="s">
        <v>381</v>
      </c>
      <c r="I1727" s="209" t="s">
        <v>382</v>
      </c>
      <c r="J1727" s="209" t="s">
        <v>110</v>
      </c>
      <c r="K1727" s="210" t="s">
        <v>1728</v>
      </c>
      <c r="L1727" s="210"/>
      <c r="M1727" s="209" t="s">
        <v>58</v>
      </c>
      <c r="N1727" s="209">
        <v>0</v>
      </c>
      <c r="O1727" s="209" t="s">
        <v>105</v>
      </c>
      <c r="P1727" s="211" t="s">
        <v>4819</v>
      </c>
      <c r="Q1727" s="209"/>
      <c r="R1727" s="209">
        <v>22</v>
      </c>
      <c r="S1727" s="209"/>
      <c r="T1727" s="209" t="s">
        <v>1160</v>
      </c>
      <c r="U1727" s="213">
        <v>44987.583333333336</v>
      </c>
      <c r="V1727" s="209" t="s">
        <v>41</v>
      </c>
      <c r="W1727" s="209" t="s">
        <v>49</v>
      </c>
      <c r="X1727" s="13" t="str">
        <f>IF(RIGHT(H1727,2)&lt;&gt;"00",H1727,"")</f>
        <v/>
      </c>
      <c r="Y1727" s="26">
        <f ca="1">NETWORKDAYS(P1727,$Y$1)</f>
        <v>2</v>
      </c>
      <c r="Z1727" s="34">
        <v>1</v>
      </c>
      <c r="AA1727" s="25" t="str">
        <f t="shared" ca="1" si="162"/>
        <v>A VENCER</v>
      </c>
      <c r="AB1727" s="25" t="str">
        <f t="shared" si="163"/>
        <v>TAAe+</v>
      </c>
      <c r="AC1727" s="2" t="str">
        <f t="shared" si="164"/>
        <v xml:space="preserve"> CRISTINA </v>
      </c>
      <c r="AD1727" s="26">
        <f t="shared" si="165"/>
        <v>8</v>
      </c>
      <c r="AE1727" s="26">
        <f t="shared" ca="1" si="166"/>
        <v>1.3020702546273242</v>
      </c>
    </row>
    <row r="1728" spans="1:31" hidden="1">
      <c r="A1728" s="209">
        <v>9520864</v>
      </c>
      <c r="B1728" s="209" t="s">
        <v>1153</v>
      </c>
      <c r="C1728" s="210" t="s">
        <v>4596</v>
      </c>
      <c r="D1728" s="214"/>
      <c r="E1728" s="214">
        <v>68000206001</v>
      </c>
      <c r="F1728" s="209" t="s">
        <v>29</v>
      </c>
      <c r="G1728" s="209" t="s">
        <v>53</v>
      </c>
      <c r="H1728" s="209" t="s">
        <v>1330</v>
      </c>
      <c r="I1728" s="209" t="s">
        <v>1331</v>
      </c>
      <c r="J1728" s="209" t="s">
        <v>211</v>
      </c>
      <c r="K1728" s="210" t="s">
        <v>34</v>
      </c>
      <c r="L1728" s="210"/>
      <c r="M1728" s="209" t="s">
        <v>35</v>
      </c>
      <c r="N1728" s="209">
        <v>42318949</v>
      </c>
      <c r="O1728" s="209" t="s">
        <v>36</v>
      </c>
      <c r="P1728" s="211" t="s">
        <v>4820</v>
      </c>
      <c r="Q1728" s="209"/>
      <c r="R1728" s="209" t="s">
        <v>38</v>
      </c>
      <c r="S1728" s="209"/>
      <c r="T1728" s="209" t="s">
        <v>74</v>
      </c>
      <c r="U1728" s="213">
        <v>44995.565972222219</v>
      </c>
      <c r="V1728" s="209" t="s">
        <v>41</v>
      </c>
      <c r="W1728" s="209" t="s">
        <v>49</v>
      </c>
      <c r="X1728" s="13" t="str">
        <f>IF(RIGHT(H1728,2)&lt;&gt;"00",H1728,"")</f>
        <v/>
      </c>
      <c r="Y1728" s="26">
        <f ca="1">NETWORKDAYS(P1728,$Y$1)</f>
        <v>2</v>
      </c>
      <c r="Z1728" s="34">
        <v>1</v>
      </c>
      <c r="AA1728" s="25" t="str">
        <f t="shared" ca="1" si="162"/>
        <v>A VENCER</v>
      </c>
      <c r="AB1728" s="25" t="str">
        <f t="shared" si="163"/>
        <v>Dosa</v>
      </c>
      <c r="AC1728" s="2" t="str">
        <f t="shared" si="164"/>
        <v xml:space="preserve"> RINALDO </v>
      </c>
      <c r="AD1728" s="26">
        <f t="shared" si="165"/>
        <v>5</v>
      </c>
      <c r="AE1728" s="26">
        <f t="shared" ca="1" si="166"/>
        <v>1.2943156249966705</v>
      </c>
    </row>
    <row r="1729" spans="1:31" hidden="1">
      <c r="A1729" s="209">
        <v>9520862</v>
      </c>
      <c r="B1729" s="209" t="s">
        <v>1153</v>
      </c>
      <c r="C1729" s="210" t="s">
        <v>4821</v>
      </c>
      <c r="D1729" s="214"/>
      <c r="E1729" s="214">
        <v>1710000206001</v>
      </c>
      <c r="F1729" s="209" t="s">
        <v>29</v>
      </c>
      <c r="G1729" s="209" t="s">
        <v>53</v>
      </c>
      <c r="H1729" s="209" t="s">
        <v>327</v>
      </c>
      <c r="I1729" s="209" t="s">
        <v>328</v>
      </c>
      <c r="J1729" s="209" t="s">
        <v>261</v>
      </c>
      <c r="K1729" s="210" t="s">
        <v>34</v>
      </c>
      <c r="L1729" s="210"/>
      <c r="M1729" s="209" t="s">
        <v>35</v>
      </c>
      <c r="N1729" s="209">
        <v>42318949</v>
      </c>
      <c r="O1729" s="209" t="s">
        <v>36</v>
      </c>
      <c r="P1729" s="211" t="s">
        <v>4822</v>
      </c>
      <c r="Q1729" s="209"/>
      <c r="R1729" s="209" t="s">
        <v>38</v>
      </c>
      <c r="S1729" s="209"/>
      <c r="T1729" s="209" t="s">
        <v>74</v>
      </c>
      <c r="U1729" s="213">
        <v>44993.708333333336</v>
      </c>
      <c r="V1729" s="209" t="s">
        <v>41</v>
      </c>
      <c r="W1729" s="209" t="s">
        <v>49</v>
      </c>
      <c r="X1729" s="13" t="str">
        <f>IF(RIGHT(H1729,2)&lt;&gt;"00",H1729,"")</f>
        <v/>
      </c>
      <c r="Y1729" s="26">
        <f ca="1">NETWORKDAYS(P1729,$Y$1)</f>
        <v>2</v>
      </c>
      <c r="Z1729" s="34">
        <v>1</v>
      </c>
      <c r="AA1729" s="25" t="str">
        <f t="shared" ca="1" si="162"/>
        <v>A VENCER</v>
      </c>
      <c r="AB1729" s="25" t="str">
        <f t="shared" si="163"/>
        <v>Dosa</v>
      </c>
      <c r="AC1729" s="2" t="str">
        <f t="shared" si="164"/>
        <v xml:space="preserve"> CRISTINA </v>
      </c>
      <c r="AD1729" s="26">
        <f t="shared" si="165"/>
        <v>5</v>
      </c>
      <c r="AE1729" s="26">
        <f t="shared" ca="1" si="166"/>
        <v>1.2944545138889225</v>
      </c>
    </row>
    <row r="1730" spans="1:31" hidden="1">
      <c r="A1730" s="209">
        <v>9520833</v>
      </c>
      <c r="B1730" s="209" t="s">
        <v>1153</v>
      </c>
      <c r="C1730" s="210" t="s">
        <v>4598</v>
      </c>
      <c r="D1730" s="214">
        <v>20233802000003</v>
      </c>
      <c r="E1730" s="214">
        <v>7417183240775</v>
      </c>
      <c r="F1730" s="209" t="s">
        <v>4599</v>
      </c>
      <c r="G1730" s="209" t="s">
        <v>53</v>
      </c>
      <c r="H1730" s="209" t="s">
        <v>319</v>
      </c>
      <c r="I1730" s="209" t="s">
        <v>320</v>
      </c>
      <c r="J1730" s="209" t="s">
        <v>148</v>
      </c>
      <c r="K1730" s="210" t="s">
        <v>4600</v>
      </c>
      <c r="L1730" s="210"/>
      <c r="M1730" s="209" t="s">
        <v>58</v>
      </c>
      <c r="N1730" s="209">
        <v>0</v>
      </c>
      <c r="O1730" s="209" t="s">
        <v>105</v>
      </c>
      <c r="P1730" s="211" t="s">
        <v>4823</v>
      </c>
      <c r="Q1730" s="209"/>
      <c r="R1730" s="209">
        <v>22</v>
      </c>
      <c r="S1730" s="209"/>
      <c r="T1730" s="209" t="s">
        <v>1160</v>
      </c>
      <c r="U1730" s="211" t="s">
        <v>4146</v>
      </c>
      <c r="V1730" s="209" t="s">
        <v>41</v>
      </c>
      <c r="W1730" s="209" t="s">
        <v>49</v>
      </c>
      <c r="X1730" s="13" t="str">
        <f>IF(RIGHT(H1730,2)&lt;&gt;"00",H1730,"")</f>
        <v/>
      </c>
      <c r="Y1730" s="26">
        <f ca="1">NETWORKDAYS(P1730,$Y$1)</f>
        <v>2</v>
      </c>
      <c r="Z1730" s="34">
        <v>1</v>
      </c>
      <c r="AA1730" s="25" t="str">
        <f t="shared" ca="1" si="162"/>
        <v>A VENCER</v>
      </c>
      <c r="AB1730" s="25" t="str">
        <f t="shared" si="163"/>
        <v>TAAe+</v>
      </c>
      <c r="AC1730" s="2" t="str">
        <f t="shared" si="164"/>
        <v xml:space="preserve"> RINALDO </v>
      </c>
      <c r="AD1730" s="26">
        <f t="shared" si="165"/>
        <v>8</v>
      </c>
      <c r="AE1730" s="26">
        <f t="shared" ca="1" si="166"/>
        <v>1.3136327546308166</v>
      </c>
    </row>
    <row r="1731" spans="1:31" hidden="1">
      <c r="A1731" s="209">
        <v>9520811</v>
      </c>
      <c r="B1731" s="209" t="s">
        <v>1153</v>
      </c>
      <c r="C1731" s="210" t="s">
        <v>4824</v>
      </c>
      <c r="D1731" s="214"/>
      <c r="E1731" s="214">
        <v>1362000206001</v>
      </c>
      <c r="F1731" s="209" t="s">
        <v>29</v>
      </c>
      <c r="G1731" s="209" t="s">
        <v>53</v>
      </c>
      <c r="H1731" s="209" t="s">
        <v>268</v>
      </c>
      <c r="I1731" s="209" t="s">
        <v>269</v>
      </c>
      <c r="J1731" s="209" t="s">
        <v>90</v>
      </c>
      <c r="K1731" s="210" t="s">
        <v>34</v>
      </c>
      <c r="L1731" s="210"/>
      <c r="M1731" s="209" t="s">
        <v>35</v>
      </c>
      <c r="N1731" s="209">
        <v>42318949</v>
      </c>
      <c r="O1731" s="209" t="s">
        <v>36</v>
      </c>
      <c r="P1731" s="211" t="s">
        <v>4825</v>
      </c>
      <c r="Q1731" s="209"/>
      <c r="R1731" s="209" t="s">
        <v>38</v>
      </c>
      <c r="S1731" s="209"/>
      <c r="T1731" s="209" t="s">
        <v>74</v>
      </c>
      <c r="U1731" s="211" t="s">
        <v>4453</v>
      </c>
      <c r="V1731" s="209" t="s">
        <v>41</v>
      </c>
      <c r="W1731" s="209" t="s">
        <v>49</v>
      </c>
      <c r="X1731" s="13" t="str">
        <f>IF(RIGHT(H1731,2)&lt;&gt;"00",H1731,"")</f>
        <v/>
      </c>
      <c r="Y1731" s="26">
        <f ca="1">NETWORKDAYS(P1731,$Y$1)</f>
        <v>2</v>
      </c>
      <c r="Z1731" s="34">
        <v>1</v>
      </c>
      <c r="AA1731" s="25" t="str">
        <f t="shared" ca="1" si="162"/>
        <v>A VENCER</v>
      </c>
      <c r="AB1731" s="25" t="str">
        <f t="shared" si="163"/>
        <v>Dosa</v>
      </c>
      <c r="AC1731" s="2" t="str">
        <f t="shared" si="164"/>
        <v xml:space="preserve"> RINALDO </v>
      </c>
      <c r="AD1731" s="26">
        <f t="shared" si="165"/>
        <v>5</v>
      </c>
      <c r="AE1731" s="26">
        <f t="shared" ca="1" si="166"/>
        <v>1.3046281249989988</v>
      </c>
    </row>
    <row r="1732" spans="1:31" hidden="1">
      <c r="A1732" s="209">
        <v>9520809</v>
      </c>
      <c r="B1732" s="209" t="s">
        <v>1153</v>
      </c>
      <c r="C1732" s="210" t="s">
        <v>4602</v>
      </c>
      <c r="D1732" s="214"/>
      <c r="E1732" s="214">
        <v>1264000206001</v>
      </c>
      <c r="F1732" s="209" t="s">
        <v>29</v>
      </c>
      <c r="G1732" s="209" t="s">
        <v>53</v>
      </c>
      <c r="H1732" s="209" t="s">
        <v>351</v>
      </c>
      <c r="I1732" s="209" t="s">
        <v>352</v>
      </c>
      <c r="J1732" s="209" t="s">
        <v>110</v>
      </c>
      <c r="K1732" s="210" t="s">
        <v>34</v>
      </c>
      <c r="L1732" s="210"/>
      <c r="M1732" s="209" t="s">
        <v>35</v>
      </c>
      <c r="N1732" s="209">
        <v>42318949</v>
      </c>
      <c r="O1732" s="209" t="s">
        <v>36</v>
      </c>
      <c r="P1732" s="211" t="s">
        <v>4826</v>
      </c>
      <c r="Q1732" s="209"/>
      <c r="R1732" s="209" t="s">
        <v>38</v>
      </c>
      <c r="S1732" s="209"/>
      <c r="T1732" s="209" t="s">
        <v>74</v>
      </c>
      <c r="U1732" s="211" t="s">
        <v>4148</v>
      </c>
      <c r="V1732" s="209" t="s">
        <v>41</v>
      </c>
      <c r="W1732" s="209" t="s">
        <v>49</v>
      </c>
      <c r="X1732" s="13" t="str">
        <f>IF(RIGHT(H1732,2)&lt;&gt;"00",H1732,"")</f>
        <v/>
      </c>
      <c r="Y1732" s="26">
        <f ca="1">NETWORKDAYS(P1732,$Y$1)</f>
        <v>2</v>
      </c>
      <c r="Z1732" s="34">
        <v>1</v>
      </c>
      <c r="AA1732" s="25" t="str">
        <f t="shared" ca="1" si="162"/>
        <v>A VENCER</v>
      </c>
      <c r="AB1732" s="25" t="str">
        <f t="shared" si="163"/>
        <v>Dosa</v>
      </c>
      <c r="AC1732" s="2" t="str">
        <f t="shared" si="164"/>
        <v xml:space="preserve"> CRISTINA </v>
      </c>
      <c r="AD1732" s="26">
        <f t="shared" si="165"/>
        <v>5</v>
      </c>
      <c r="AE1732" s="26">
        <f t="shared" ca="1" si="166"/>
        <v>1.3047670138912508</v>
      </c>
    </row>
    <row r="1733" spans="1:31" hidden="1">
      <c r="A1733" s="209">
        <v>9520795</v>
      </c>
      <c r="B1733" s="209" t="s">
        <v>1153</v>
      </c>
      <c r="C1733" s="210" t="s">
        <v>4603</v>
      </c>
      <c r="D1733" s="214">
        <v>20234804001995</v>
      </c>
      <c r="E1733" s="214">
        <v>7419143322528</v>
      </c>
      <c r="F1733" s="209" t="s">
        <v>1222</v>
      </c>
      <c r="G1733" s="209" t="s">
        <v>53</v>
      </c>
      <c r="H1733" s="209" t="s">
        <v>4604</v>
      </c>
      <c r="I1733" s="209" t="s">
        <v>4605</v>
      </c>
      <c r="J1733" s="209" t="s">
        <v>46</v>
      </c>
      <c r="K1733" s="210" t="s">
        <v>1223</v>
      </c>
      <c r="L1733" s="210"/>
      <c r="M1733" s="209" t="s">
        <v>58</v>
      </c>
      <c r="N1733" s="209">
        <v>0</v>
      </c>
      <c r="O1733" s="209" t="s">
        <v>105</v>
      </c>
      <c r="P1733" s="211" t="s">
        <v>4827</v>
      </c>
      <c r="Q1733" s="209"/>
      <c r="R1733" s="209">
        <v>13</v>
      </c>
      <c r="S1733" s="209">
        <v>4804</v>
      </c>
      <c r="T1733" s="209" t="s">
        <v>238</v>
      </c>
      <c r="U1733" s="211" t="s">
        <v>4689</v>
      </c>
      <c r="V1733" s="209" t="s">
        <v>41</v>
      </c>
      <c r="W1733" s="209" t="s">
        <v>49</v>
      </c>
      <c r="X1733" s="13" t="str">
        <f>IF(RIGHT(H1733,2)&lt;&gt;"00",H1733,"")</f>
        <v>4844.59</v>
      </c>
      <c r="Y1733" s="26">
        <f ca="1">NETWORKDAYS(P1733,$Y$1)</f>
        <v>2</v>
      </c>
      <c r="Z1733" s="34">
        <v>1</v>
      </c>
      <c r="AA1733" s="25" t="str">
        <f t="shared" ca="1" si="162"/>
        <v>A VENCER</v>
      </c>
      <c r="AB1733" s="25" t="str">
        <f t="shared" si="163"/>
        <v>TAAe+</v>
      </c>
      <c r="AC1733" s="2" t="str">
        <f t="shared" si="164"/>
        <v xml:space="preserve"> CLEITON </v>
      </c>
      <c r="AD1733" s="26">
        <f t="shared" si="165"/>
        <v>8</v>
      </c>
      <c r="AE1733" s="26">
        <f t="shared" ca="1" si="166"/>
        <v>1.3258549768506782</v>
      </c>
    </row>
    <row r="1734" spans="1:31" hidden="1">
      <c r="A1734" s="209">
        <v>9520794</v>
      </c>
      <c r="B1734" s="209" t="s">
        <v>1153</v>
      </c>
      <c r="C1734" s="210" t="s">
        <v>4606</v>
      </c>
      <c r="D1734" s="214">
        <v>20234804001994</v>
      </c>
      <c r="E1734" s="214">
        <v>7417193471530</v>
      </c>
      <c r="F1734" s="209" t="s">
        <v>2698</v>
      </c>
      <c r="G1734" s="209" t="s">
        <v>53</v>
      </c>
      <c r="H1734" s="209" t="s">
        <v>805</v>
      </c>
      <c r="I1734" s="209" t="s">
        <v>806</v>
      </c>
      <c r="J1734" s="209" t="s">
        <v>46</v>
      </c>
      <c r="K1734" s="210" t="s">
        <v>2701</v>
      </c>
      <c r="L1734" s="210"/>
      <c r="M1734" s="209" t="s">
        <v>58</v>
      </c>
      <c r="N1734" s="209">
        <v>0</v>
      </c>
      <c r="O1734" s="209" t="s">
        <v>105</v>
      </c>
      <c r="P1734" s="211" t="s">
        <v>4828</v>
      </c>
      <c r="Q1734" s="209"/>
      <c r="R1734" s="209">
        <v>13</v>
      </c>
      <c r="S1734" s="209">
        <v>4804</v>
      </c>
      <c r="T1734" s="209" t="s">
        <v>238</v>
      </c>
      <c r="U1734" s="211" t="s">
        <v>4689</v>
      </c>
      <c r="V1734" s="209" t="s">
        <v>41</v>
      </c>
      <c r="W1734" s="209" t="s">
        <v>49</v>
      </c>
      <c r="X1734" s="13" t="str">
        <f>IF(RIGHT(H1734,2)&lt;&gt;"00",H1734,"")</f>
        <v>2889.01</v>
      </c>
      <c r="Y1734" s="26">
        <f ca="1">NETWORKDAYS(P1734,$Y$1)</f>
        <v>2</v>
      </c>
      <c r="Z1734" s="34">
        <v>1</v>
      </c>
      <c r="AA1734" s="25" t="str">
        <f t="shared" ca="1" si="162"/>
        <v>A VENCER</v>
      </c>
      <c r="AB1734" s="25" t="str">
        <f t="shared" si="163"/>
        <v>TAAe+</v>
      </c>
      <c r="AC1734" s="2" t="str">
        <f t="shared" si="164"/>
        <v xml:space="preserve"> CLEITON </v>
      </c>
      <c r="AD1734" s="26">
        <f t="shared" si="165"/>
        <v>8</v>
      </c>
      <c r="AE1734" s="26">
        <f t="shared" ca="1" si="166"/>
        <v>1.3272901620366611</v>
      </c>
    </row>
    <row r="1735" spans="1:31" hidden="1">
      <c r="A1735" s="209">
        <v>9520762</v>
      </c>
      <c r="B1735" s="209" t="s">
        <v>1153</v>
      </c>
      <c r="C1735" s="210" t="s">
        <v>4118</v>
      </c>
      <c r="D1735" s="214"/>
      <c r="E1735" s="214">
        <v>1059000206001</v>
      </c>
      <c r="F1735" s="209" t="s">
        <v>29</v>
      </c>
      <c r="G1735" s="209" t="s">
        <v>53</v>
      </c>
      <c r="H1735" s="209" t="s">
        <v>88</v>
      </c>
      <c r="I1735" s="209" t="s">
        <v>89</v>
      </c>
      <c r="J1735" s="209" t="s">
        <v>90</v>
      </c>
      <c r="K1735" s="210" t="s">
        <v>34</v>
      </c>
      <c r="L1735" s="210"/>
      <c r="M1735" s="209" t="s">
        <v>35</v>
      </c>
      <c r="N1735" s="209">
        <v>42318949</v>
      </c>
      <c r="O1735" s="209" t="s">
        <v>36</v>
      </c>
      <c r="P1735" s="211" t="s">
        <v>4829</v>
      </c>
      <c r="Q1735" s="209"/>
      <c r="R1735" s="209" t="s">
        <v>38</v>
      </c>
      <c r="S1735" s="209"/>
      <c r="T1735" s="209" t="s">
        <v>74</v>
      </c>
      <c r="U1735" s="211" t="s">
        <v>4830</v>
      </c>
      <c r="V1735" s="209" t="s">
        <v>41</v>
      </c>
      <c r="W1735" s="209" t="s">
        <v>49</v>
      </c>
      <c r="X1735" s="13" t="str">
        <f>IF(RIGHT(H1735,2)&lt;&gt;"00",H1735,"")</f>
        <v/>
      </c>
      <c r="Y1735" s="26">
        <f ca="1">NETWORKDAYS(P1735,$Y$1)</f>
        <v>2</v>
      </c>
      <c r="Z1735" s="34">
        <v>1</v>
      </c>
      <c r="AA1735" s="25" t="str">
        <f t="shared" ca="1" si="162"/>
        <v>A VENCER</v>
      </c>
      <c r="AB1735" s="25" t="str">
        <f t="shared" si="163"/>
        <v>Dosa</v>
      </c>
      <c r="AC1735" s="2" t="str">
        <f t="shared" si="164"/>
        <v xml:space="preserve"> RINALDO </v>
      </c>
      <c r="AD1735" s="26">
        <f t="shared" si="165"/>
        <v>5</v>
      </c>
      <c r="AE1735" s="26">
        <f t="shared" ca="1" si="166"/>
        <v>1.3151952546322718</v>
      </c>
    </row>
    <row r="1736" spans="1:31" hidden="1">
      <c r="A1736" s="209">
        <v>9520740</v>
      </c>
      <c r="B1736" s="209" t="s">
        <v>1153</v>
      </c>
      <c r="C1736" s="210" t="s">
        <v>4607</v>
      </c>
      <c r="D1736" s="214">
        <v>20232219000015</v>
      </c>
      <c r="E1736" s="214">
        <v>7417163283335</v>
      </c>
      <c r="F1736" s="209" t="s">
        <v>131</v>
      </c>
      <c r="G1736" s="209" t="s">
        <v>53</v>
      </c>
      <c r="H1736" s="209" t="s">
        <v>1980</v>
      </c>
      <c r="I1736" s="209" t="s">
        <v>1981</v>
      </c>
      <c r="J1736" s="209" t="s">
        <v>141</v>
      </c>
      <c r="K1736" s="210" t="s">
        <v>132</v>
      </c>
      <c r="L1736" s="210"/>
      <c r="M1736" s="209" t="s">
        <v>58</v>
      </c>
      <c r="N1736" s="209">
        <v>0</v>
      </c>
      <c r="O1736" s="209" t="s">
        <v>105</v>
      </c>
      <c r="P1736" s="211" t="s">
        <v>4831</v>
      </c>
      <c r="Q1736" s="209"/>
      <c r="R1736" s="209">
        <v>14</v>
      </c>
      <c r="S1736" s="209"/>
      <c r="T1736" s="209" t="s">
        <v>238</v>
      </c>
      <c r="U1736" s="211" t="s">
        <v>4689</v>
      </c>
      <c r="V1736" s="209" t="s">
        <v>41</v>
      </c>
      <c r="W1736" s="209" t="s">
        <v>49</v>
      </c>
      <c r="X1736" s="13" t="str">
        <f>IF(RIGHT(H1736,2)&lt;&gt;"00",H1736,"")</f>
        <v>2219.91</v>
      </c>
      <c r="Y1736" s="26">
        <f ca="1">NETWORKDAYS(P1736,$Y$1)</f>
        <v>2</v>
      </c>
      <c r="Z1736" s="34">
        <v>1</v>
      </c>
      <c r="AA1736" s="25" t="str">
        <f t="shared" ca="1" si="162"/>
        <v>A VENCER</v>
      </c>
      <c r="AB1736" s="25" t="str">
        <f t="shared" si="163"/>
        <v>TAAe+</v>
      </c>
      <c r="AC1736" s="2" t="str">
        <f t="shared" si="164"/>
        <v xml:space="preserve"> CRISTINA </v>
      </c>
      <c r="AD1736" s="26">
        <f t="shared" si="165"/>
        <v>8</v>
      </c>
      <c r="AE1736" s="26">
        <f t="shared" ca="1" si="166"/>
        <v>1.3300679398162174</v>
      </c>
    </row>
    <row r="1737" spans="1:31" hidden="1">
      <c r="A1737" s="209">
        <v>9520726</v>
      </c>
      <c r="B1737" s="209" t="s">
        <v>62</v>
      </c>
      <c r="C1737" s="210" t="s">
        <v>4608</v>
      </c>
      <c r="D1737" s="214"/>
      <c r="E1737" s="214">
        <v>1814000203000</v>
      </c>
      <c r="F1737" s="209" t="s">
        <v>454</v>
      </c>
      <c r="G1737" s="209" t="s">
        <v>53</v>
      </c>
      <c r="H1737" s="209" t="s">
        <v>396</v>
      </c>
      <c r="I1737" s="209" t="s">
        <v>397</v>
      </c>
      <c r="J1737" s="209" t="s">
        <v>46</v>
      </c>
      <c r="K1737" s="210" t="s">
        <v>457</v>
      </c>
      <c r="L1737" s="210"/>
      <c r="M1737" s="209" t="s">
        <v>58</v>
      </c>
      <c r="N1737" s="209">
        <v>0</v>
      </c>
      <c r="O1737" s="209" t="s">
        <v>105</v>
      </c>
      <c r="P1737" s="211" t="s">
        <v>4832</v>
      </c>
      <c r="Q1737" s="209"/>
      <c r="R1737" s="209">
        <v>1</v>
      </c>
      <c r="S1737" s="209"/>
      <c r="T1737" s="209" t="s">
        <v>157</v>
      </c>
      <c r="U1737" s="213">
        <v>45019.75</v>
      </c>
      <c r="V1737" s="209" t="s">
        <v>41</v>
      </c>
      <c r="W1737" s="209" t="s">
        <v>49</v>
      </c>
      <c r="X1737" s="13" t="str">
        <f>IF(RIGHT(H1737,2)&lt;&gt;"00",H1737,"")</f>
        <v/>
      </c>
      <c r="Y1737" s="26">
        <f ca="1">NETWORKDAYS(P1737,$Y$1)</f>
        <v>2</v>
      </c>
      <c r="Z1737" s="34">
        <v>1</v>
      </c>
      <c r="AA1737" s="25" t="str">
        <f t="shared" ca="1" si="162"/>
        <v>A VENCER</v>
      </c>
      <c r="AB1737" s="25" t="str">
        <f t="shared" si="163"/>
        <v>C-14</v>
      </c>
      <c r="AC1737" s="2" t="str">
        <f t="shared" si="164"/>
        <v xml:space="preserve"> CLEITON </v>
      </c>
      <c r="AD1737" s="26">
        <f t="shared" si="165"/>
        <v>5</v>
      </c>
      <c r="AE1737" s="26">
        <f t="shared" ca="1" si="166"/>
        <v>1.324327199072286</v>
      </c>
    </row>
    <row r="1738" spans="1:31" hidden="1">
      <c r="A1738" s="209">
        <v>9520725</v>
      </c>
      <c r="B1738" s="209" t="s">
        <v>62</v>
      </c>
      <c r="C1738" s="210" t="s">
        <v>4609</v>
      </c>
      <c r="D1738" s="214"/>
      <c r="E1738" s="214">
        <v>3924000206001</v>
      </c>
      <c r="F1738" s="209" t="s">
        <v>29</v>
      </c>
      <c r="G1738" s="209" t="s">
        <v>53</v>
      </c>
      <c r="H1738" s="209" t="s">
        <v>153</v>
      </c>
      <c r="I1738" s="209" t="s">
        <v>154</v>
      </c>
      <c r="J1738" s="209" t="s">
        <v>56</v>
      </c>
      <c r="K1738" s="210" t="s">
        <v>34</v>
      </c>
      <c r="L1738" s="210"/>
      <c r="M1738" s="209" t="s">
        <v>35</v>
      </c>
      <c r="N1738" s="209">
        <v>42318949</v>
      </c>
      <c r="O1738" s="209" t="s">
        <v>105</v>
      </c>
      <c r="P1738" s="211" t="s">
        <v>4833</v>
      </c>
      <c r="Q1738" s="209"/>
      <c r="R1738" s="209" t="s">
        <v>38</v>
      </c>
      <c r="S1738" s="209"/>
      <c r="T1738" s="209" t="s">
        <v>74</v>
      </c>
      <c r="U1738" s="213">
        <v>45027.75</v>
      </c>
      <c r="V1738" s="209" t="s">
        <v>41</v>
      </c>
      <c r="W1738" s="209" t="s">
        <v>49</v>
      </c>
      <c r="X1738" s="13" t="str">
        <f>IF(RIGHT(H1738,2)&lt;&gt;"00",H1738,"")</f>
        <v/>
      </c>
      <c r="Y1738" s="26">
        <f ca="1">NETWORKDAYS(P1738,$Y$1)</f>
        <v>2</v>
      </c>
      <c r="Z1738" s="34">
        <v>1</v>
      </c>
      <c r="AA1738" s="25" t="str">
        <f t="shared" ca="1" si="162"/>
        <v>A VENCER</v>
      </c>
      <c r="AB1738" s="25" t="str">
        <f t="shared" si="163"/>
        <v>Dosa</v>
      </c>
      <c r="AC1738" s="2" t="str">
        <f t="shared" si="164"/>
        <v xml:space="preserve"> CRISTINA </v>
      </c>
      <c r="AD1738" s="26">
        <f t="shared" si="165"/>
        <v>5</v>
      </c>
      <c r="AE1738" s="26">
        <f t="shared" ca="1" si="166"/>
        <v>1.3248480324109551</v>
      </c>
    </row>
    <row r="1739" spans="1:31" hidden="1">
      <c r="A1739" s="209">
        <v>9520688</v>
      </c>
      <c r="B1739" s="209" t="s">
        <v>1153</v>
      </c>
      <c r="C1739" s="210" t="s">
        <v>4610</v>
      </c>
      <c r="D1739" s="214"/>
      <c r="E1739" s="214">
        <v>3258000206001</v>
      </c>
      <c r="F1739" s="209" t="s">
        <v>29</v>
      </c>
      <c r="G1739" s="209" t="s">
        <v>53</v>
      </c>
      <c r="H1739" s="209" t="s">
        <v>321</v>
      </c>
      <c r="I1739" s="209" t="s">
        <v>322</v>
      </c>
      <c r="J1739" s="209" t="s">
        <v>46</v>
      </c>
      <c r="K1739" s="210" t="s">
        <v>34</v>
      </c>
      <c r="L1739" s="210"/>
      <c r="M1739" s="209" t="s">
        <v>35</v>
      </c>
      <c r="N1739" s="209">
        <v>42318949</v>
      </c>
      <c r="O1739" s="209" t="s">
        <v>36</v>
      </c>
      <c r="P1739" s="211" t="s">
        <v>4834</v>
      </c>
      <c r="Q1739" s="209"/>
      <c r="R1739" s="209" t="s">
        <v>38</v>
      </c>
      <c r="S1739" s="209"/>
      <c r="T1739" s="209" t="s">
        <v>74</v>
      </c>
      <c r="U1739" s="213">
        <v>44991.645833333336</v>
      </c>
      <c r="V1739" s="209" t="s">
        <v>41</v>
      </c>
      <c r="W1739" s="209" t="s">
        <v>49</v>
      </c>
      <c r="X1739" s="13" t="str">
        <f>IF(RIGHT(H1739,2)&lt;&gt;"00",H1739,"")</f>
        <v/>
      </c>
      <c r="Y1739" s="26">
        <f ca="1">NETWORKDAYS(P1739,$Y$1)</f>
        <v>2</v>
      </c>
      <c r="Z1739" s="34">
        <v>1</v>
      </c>
      <c r="AA1739" s="25" t="str">
        <f t="shared" ca="1" si="162"/>
        <v>A VENCER</v>
      </c>
      <c r="AB1739" s="25" t="str">
        <f t="shared" si="163"/>
        <v>Dosa</v>
      </c>
      <c r="AC1739" s="2" t="str">
        <f t="shared" si="164"/>
        <v xml:space="preserve"> CLEITON </v>
      </c>
      <c r="AD1739" s="26">
        <f t="shared" si="165"/>
        <v>5</v>
      </c>
      <c r="AE1739" s="26">
        <f t="shared" ca="1" si="166"/>
        <v>1.3359938657376915</v>
      </c>
    </row>
    <row r="1740" spans="1:31" hidden="1">
      <c r="A1740" s="209">
        <v>9523867</v>
      </c>
      <c r="B1740" s="209" t="s">
        <v>1153</v>
      </c>
      <c r="C1740" s="210" t="s">
        <v>4835</v>
      </c>
      <c r="D1740" s="214"/>
      <c r="E1740" s="214">
        <v>9705000206001</v>
      </c>
      <c r="F1740" s="209" t="s">
        <v>29</v>
      </c>
      <c r="G1740" s="209" t="s">
        <v>53</v>
      </c>
      <c r="H1740" s="209" t="s">
        <v>204</v>
      </c>
      <c r="I1740" s="209" t="s">
        <v>205</v>
      </c>
      <c r="J1740" s="1" t="s">
        <v>90</v>
      </c>
      <c r="K1740" s="210" t="s">
        <v>34</v>
      </c>
      <c r="L1740" s="210"/>
      <c r="M1740" s="209" t="s">
        <v>35</v>
      </c>
      <c r="N1740" s="209">
        <v>42318949</v>
      </c>
      <c r="O1740" s="209" t="s">
        <v>105</v>
      </c>
      <c r="P1740" s="211" t="s">
        <v>4836</v>
      </c>
      <c r="Q1740" s="209"/>
      <c r="R1740" s="209" t="s">
        <v>38</v>
      </c>
      <c r="S1740" s="209"/>
      <c r="T1740" s="209" t="s">
        <v>74</v>
      </c>
      <c r="U1740" s="211" t="s">
        <v>4837</v>
      </c>
      <c r="V1740" s="209" t="s">
        <v>41</v>
      </c>
      <c r="W1740" s="209" t="s">
        <v>49</v>
      </c>
      <c r="X1740" s="13" t="str">
        <f>IF(RIGHT(H1740,2)&lt;&gt;"00",H1740,"")</f>
        <v/>
      </c>
      <c r="Y1740" s="26">
        <f ca="1">NETWORKDAYS(P1740,$Y$1)</f>
        <v>1</v>
      </c>
      <c r="Z1740" s="34">
        <v>1</v>
      </c>
      <c r="AA1740" s="25" t="str">
        <f t="shared" ca="1" si="162"/>
        <v>A VENCER</v>
      </c>
      <c r="AB1740" s="25" t="str">
        <f t="shared" si="163"/>
        <v>Dosa</v>
      </c>
      <c r="AC1740" s="2" t="str">
        <f t="shared" si="164"/>
        <v xml:space="preserve"> RINALDO </v>
      </c>
      <c r="AD1740" s="26">
        <f t="shared" si="165"/>
        <v>5</v>
      </c>
      <c r="AE1740" s="26">
        <f t="shared" ca="1" si="166"/>
        <v>0.25230173610907514</v>
      </c>
    </row>
    <row r="1741" spans="1:31" hidden="1">
      <c r="A1741" s="209">
        <v>9523779</v>
      </c>
      <c r="B1741" s="209" t="s">
        <v>1153</v>
      </c>
      <c r="C1741" s="210" t="s">
        <v>4838</v>
      </c>
      <c r="D1741" s="214">
        <v>20235898000009</v>
      </c>
      <c r="E1741" s="214">
        <v>7417202020237</v>
      </c>
      <c r="F1741" s="209" t="s">
        <v>1213</v>
      </c>
      <c r="G1741" s="209" t="s">
        <v>53</v>
      </c>
      <c r="H1741" s="209" t="s">
        <v>3683</v>
      </c>
      <c r="I1741" s="209" t="s">
        <v>3684</v>
      </c>
      <c r="J1741" s="209" t="s">
        <v>164</v>
      </c>
      <c r="K1741" s="210" t="s">
        <v>1214</v>
      </c>
      <c r="L1741" s="210"/>
      <c r="M1741" s="209" t="s">
        <v>58</v>
      </c>
      <c r="N1741" s="209">
        <v>0</v>
      </c>
      <c r="O1741" s="209" t="s">
        <v>105</v>
      </c>
      <c r="P1741" s="211" t="s">
        <v>4839</v>
      </c>
      <c r="Q1741" s="209"/>
      <c r="R1741" s="209">
        <v>14</v>
      </c>
      <c r="S1741" s="209"/>
      <c r="T1741" s="209" t="s">
        <v>238</v>
      </c>
      <c r="U1741" s="211" t="s">
        <v>4796</v>
      </c>
      <c r="V1741" s="209" t="s">
        <v>41</v>
      </c>
      <c r="W1741" s="209" t="s">
        <v>49</v>
      </c>
      <c r="X1741" s="13" t="str">
        <f>IF(RIGHT(H1741,2)&lt;&gt;"00",H1741,"")</f>
        <v>5898.91</v>
      </c>
      <c r="Y1741" s="26">
        <f ca="1">NETWORKDAYS(P1741,$Y$1)</f>
        <v>1</v>
      </c>
      <c r="Z1741" s="34">
        <v>1</v>
      </c>
      <c r="AA1741" s="25" t="str">
        <f t="shared" ca="1" si="162"/>
        <v>A VENCER</v>
      </c>
      <c r="AB1741" s="25" t="str">
        <f t="shared" si="163"/>
        <v>TAAe+</v>
      </c>
      <c r="AC1741" s="2" t="str">
        <f t="shared" si="164"/>
        <v xml:space="preserve"> ROSEMERE </v>
      </c>
      <c r="AD1741" s="26">
        <f t="shared" si="165"/>
        <v>8</v>
      </c>
      <c r="AE1741" s="26">
        <f t="shared" ca="1" si="166"/>
        <v>0.28281099536980037</v>
      </c>
    </row>
    <row r="1742" spans="1:31" hidden="1">
      <c r="A1742" s="209">
        <v>9523760</v>
      </c>
      <c r="B1742" s="209" t="s">
        <v>1153</v>
      </c>
      <c r="C1742" s="210" t="s">
        <v>4840</v>
      </c>
      <c r="D1742" s="214">
        <v>20230710000011</v>
      </c>
      <c r="E1742" s="214">
        <v>7419151141232</v>
      </c>
      <c r="F1742" s="209" t="s">
        <v>123</v>
      </c>
      <c r="G1742" s="209" t="s">
        <v>53</v>
      </c>
      <c r="H1742" s="209" t="s">
        <v>2556</v>
      </c>
      <c r="I1742" s="209" t="s">
        <v>2557</v>
      </c>
      <c r="J1742" s="209" t="s">
        <v>56</v>
      </c>
      <c r="K1742" s="210" t="s">
        <v>126</v>
      </c>
      <c r="L1742" s="210"/>
      <c r="M1742" s="209" t="s">
        <v>58</v>
      </c>
      <c r="N1742" s="209">
        <v>0</v>
      </c>
      <c r="O1742" s="209" t="s">
        <v>105</v>
      </c>
      <c r="P1742" s="211" t="s">
        <v>4841</v>
      </c>
      <c r="Q1742" s="209"/>
      <c r="R1742" s="209">
        <v>14</v>
      </c>
      <c r="S1742" s="209"/>
      <c r="T1742" s="209" t="s">
        <v>238</v>
      </c>
      <c r="U1742" s="211" t="s">
        <v>4796</v>
      </c>
      <c r="V1742" s="209" t="s">
        <v>41</v>
      </c>
      <c r="W1742" s="209" t="s">
        <v>49</v>
      </c>
      <c r="X1742" s="13" t="str">
        <f>IF(RIGHT(H1742,2)&lt;&gt;"00",H1742,"")</f>
        <v>0710.91</v>
      </c>
      <c r="Y1742" s="26">
        <f ca="1">NETWORKDAYS(P1742,$Y$1)</f>
        <v>1</v>
      </c>
      <c r="Z1742" s="34">
        <v>1</v>
      </c>
      <c r="AA1742" s="25" t="str">
        <f t="shared" ca="1" si="162"/>
        <v>A VENCER</v>
      </c>
      <c r="AB1742" s="25" t="str">
        <f t="shared" si="163"/>
        <v>TAAe+</v>
      </c>
      <c r="AC1742" s="2" t="str">
        <f t="shared" si="164"/>
        <v xml:space="preserve"> CRISTINA </v>
      </c>
      <c r="AD1742" s="26">
        <f t="shared" si="165"/>
        <v>8</v>
      </c>
      <c r="AE1742" s="26">
        <f t="shared" ca="1" si="166"/>
        <v>0.28097071759111714</v>
      </c>
    </row>
    <row r="1743" spans="1:31" hidden="1">
      <c r="A1743" s="209">
        <v>9523723</v>
      </c>
      <c r="B1743" s="209" t="s">
        <v>1153</v>
      </c>
      <c r="C1743" s="210" t="s">
        <v>4842</v>
      </c>
      <c r="D1743" s="214">
        <v>20234844000607</v>
      </c>
      <c r="E1743" s="214">
        <v>7417183020687</v>
      </c>
      <c r="F1743" s="209" t="s">
        <v>1313</v>
      </c>
      <c r="G1743" s="209" t="s">
        <v>53</v>
      </c>
      <c r="H1743" s="209" t="s">
        <v>2432</v>
      </c>
      <c r="I1743" s="209" t="s">
        <v>2433</v>
      </c>
      <c r="J1743" s="209" t="s">
        <v>46</v>
      </c>
      <c r="K1743" s="210" t="s">
        <v>1316</v>
      </c>
      <c r="L1743" s="210"/>
      <c r="M1743" s="209" t="s">
        <v>58</v>
      </c>
      <c r="N1743" s="209">
        <v>0</v>
      </c>
      <c r="O1743" s="209" t="s">
        <v>105</v>
      </c>
      <c r="P1743" s="211" t="s">
        <v>4843</v>
      </c>
      <c r="Q1743" s="209"/>
      <c r="R1743" s="209">
        <v>13</v>
      </c>
      <c r="S1743" s="209"/>
      <c r="T1743" s="209" t="s">
        <v>238</v>
      </c>
      <c r="U1743" s="211" t="s">
        <v>4796</v>
      </c>
      <c r="V1743" s="209" t="s">
        <v>41</v>
      </c>
      <c r="W1743" s="209" t="s">
        <v>49</v>
      </c>
      <c r="X1743" s="13" t="str">
        <f>IF(RIGHT(H1743,2)&lt;&gt;"00",H1743,"")</f>
        <v>4844.06</v>
      </c>
      <c r="Y1743" s="26">
        <f ca="1">NETWORKDAYS(P1743,$Y$1)</f>
        <v>1</v>
      </c>
      <c r="Z1743" s="34">
        <v>1</v>
      </c>
      <c r="AA1743" s="25" t="str">
        <f t="shared" ca="1" si="162"/>
        <v>A VENCER</v>
      </c>
      <c r="AB1743" s="25" t="str">
        <f t="shared" si="163"/>
        <v>TAAe+</v>
      </c>
      <c r="AC1743" s="2" t="str">
        <f t="shared" si="164"/>
        <v xml:space="preserve"> CLEITON </v>
      </c>
      <c r="AD1743" s="26">
        <f t="shared" si="165"/>
        <v>8</v>
      </c>
      <c r="AE1743" s="26">
        <f t="shared" ca="1" si="166"/>
        <v>0.28560034721886041</v>
      </c>
    </row>
    <row r="1744" spans="1:31" hidden="1">
      <c r="A1744" s="209">
        <v>9523669</v>
      </c>
      <c r="B1744" s="209" t="s">
        <v>1153</v>
      </c>
      <c r="C1744" s="210" t="s">
        <v>4844</v>
      </c>
      <c r="D1744" s="214">
        <v>20232219000016</v>
      </c>
      <c r="E1744" s="214">
        <v>7417163284045</v>
      </c>
      <c r="F1744" s="209" t="s">
        <v>131</v>
      </c>
      <c r="G1744" s="209" t="s">
        <v>53</v>
      </c>
      <c r="H1744" s="209" t="s">
        <v>1980</v>
      </c>
      <c r="I1744" s="209" t="s">
        <v>1981</v>
      </c>
      <c r="J1744" s="209" t="s">
        <v>141</v>
      </c>
      <c r="K1744" s="210" t="s">
        <v>132</v>
      </c>
      <c r="L1744" s="210"/>
      <c r="M1744" s="209" t="s">
        <v>58</v>
      </c>
      <c r="N1744" s="209">
        <v>0</v>
      </c>
      <c r="O1744" s="209" t="s">
        <v>105</v>
      </c>
      <c r="P1744" s="212">
        <v>44986.374618055554</v>
      </c>
      <c r="Q1744" s="209"/>
      <c r="R1744" s="209">
        <v>14</v>
      </c>
      <c r="S1744" s="209"/>
      <c r="T1744" s="209" t="s">
        <v>238</v>
      </c>
      <c r="U1744" s="213">
        <v>44986.395833333336</v>
      </c>
      <c r="V1744" s="209" t="s">
        <v>41</v>
      </c>
      <c r="W1744" s="209" t="s">
        <v>49</v>
      </c>
      <c r="X1744" s="13" t="str">
        <f>IF(RIGHT(H1744,2)&lt;&gt;"00",H1744,"")</f>
        <v>2219.91</v>
      </c>
      <c r="Y1744" s="26">
        <f ca="1">NETWORKDAYS(P1744,$Y$1)</f>
        <v>1</v>
      </c>
      <c r="Z1744" s="34">
        <v>1</v>
      </c>
      <c r="AA1744" s="25" t="str">
        <f t="shared" ca="1" si="162"/>
        <v>A VENCER</v>
      </c>
      <c r="AB1744" s="25" t="str">
        <f t="shared" si="163"/>
        <v>TAAe+</v>
      </c>
      <c r="AC1744" s="2" t="str">
        <f t="shared" si="164"/>
        <v xml:space="preserve"> CRISTINA </v>
      </c>
      <c r="AD1744" s="26">
        <f t="shared" si="165"/>
        <v>8</v>
      </c>
      <c r="AE1744" s="26">
        <f t="shared" ca="1" si="166"/>
        <v>0.3016535879651201</v>
      </c>
    </row>
    <row r="1745" spans="1:31" hidden="1">
      <c r="A1745" s="209">
        <v>9523592</v>
      </c>
      <c r="B1745" s="209" t="s">
        <v>1153</v>
      </c>
      <c r="C1745" s="210" t="s">
        <v>4845</v>
      </c>
      <c r="D1745" s="214"/>
      <c r="E1745" s="214">
        <v>5749000206001</v>
      </c>
      <c r="F1745" s="209" t="s">
        <v>29</v>
      </c>
      <c r="G1745" s="209" t="s">
        <v>53</v>
      </c>
      <c r="H1745" s="209" t="s">
        <v>1811</v>
      </c>
      <c r="I1745" s="209" t="s">
        <v>1812</v>
      </c>
      <c r="J1745" s="209" t="s">
        <v>33</v>
      </c>
      <c r="K1745" s="210" t="s">
        <v>34</v>
      </c>
      <c r="L1745" s="210"/>
      <c r="M1745" s="209" t="s">
        <v>35</v>
      </c>
      <c r="N1745" s="209">
        <v>42318949</v>
      </c>
      <c r="O1745" s="209" t="s">
        <v>36</v>
      </c>
      <c r="P1745" s="212">
        <v>44986.37122685185</v>
      </c>
      <c r="Q1745" s="209"/>
      <c r="R1745" s="209" t="s">
        <v>38</v>
      </c>
      <c r="S1745" s="209"/>
      <c r="T1745" s="209" t="s">
        <v>74</v>
      </c>
      <c r="U1745" s="211" t="s">
        <v>4804</v>
      </c>
      <c r="V1745" s="209" t="s">
        <v>41</v>
      </c>
      <c r="W1745" s="209" t="s">
        <v>42</v>
      </c>
      <c r="X1745" s="13" t="str">
        <f>IF(RIGHT(H1745,2)&lt;&gt;"00",H1745,"")</f>
        <v/>
      </c>
      <c r="Y1745" s="26">
        <f ca="1">NETWORKDAYS(P1745,$Y$1)</f>
        <v>1</v>
      </c>
      <c r="Z1745" s="34">
        <v>1</v>
      </c>
      <c r="AA1745" s="25" t="str">
        <f t="shared" ca="1" si="162"/>
        <v>A VENCER</v>
      </c>
      <c r="AB1745" s="25" t="str">
        <f t="shared" si="163"/>
        <v>Dosa</v>
      </c>
      <c r="AC1745" s="2" t="str">
        <f t="shared" si="164"/>
        <v xml:space="preserve"> ROSEMERE </v>
      </c>
      <c r="AD1745" s="26">
        <f t="shared" si="165"/>
        <v>5</v>
      </c>
      <c r="AE1745" s="26">
        <f t="shared" ca="1" si="166"/>
        <v>0.30504479166847887</v>
      </c>
    </row>
    <row r="1746" spans="1:31" hidden="1">
      <c r="A1746" s="209">
        <v>9523590</v>
      </c>
      <c r="B1746" s="209" t="s">
        <v>1153</v>
      </c>
      <c r="C1746" s="210" t="s">
        <v>4846</v>
      </c>
      <c r="D1746" s="214"/>
      <c r="E1746" s="214">
        <v>4118000206001</v>
      </c>
      <c r="F1746" s="209" t="s">
        <v>29</v>
      </c>
      <c r="G1746" s="209" t="s">
        <v>53</v>
      </c>
      <c r="H1746" s="209" t="s">
        <v>71</v>
      </c>
      <c r="I1746" s="209" t="s">
        <v>72</v>
      </c>
      <c r="J1746" s="209" t="s">
        <v>46</v>
      </c>
      <c r="K1746" s="210" t="s">
        <v>34</v>
      </c>
      <c r="L1746" s="210"/>
      <c r="M1746" s="209" t="s">
        <v>35</v>
      </c>
      <c r="N1746" s="209">
        <v>42318949</v>
      </c>
      <c r="O1746" s="209" t="s">
        <v>36</v>
      </c>
      <c r="P1746" s="212">
        <v>44986.371099537035</v>
      </c>
      <c r="Q1746" s="209"/>
      <c r="R1746" s="209" t="s">
        <v>38</v>
      </c>
      <c r="S1746" s="209"/>
      <c r="T1746" s="209" t="s">
        <v>74</v>
      </c>
      <c r="U1746" s="211" t="s">
        <v>4847</v>
      </c>
      <c r="V1746" s="209" t="s">
        <v>41</v>
      </c>
      <c r="W1746" s="209" t="s">
        <v>49</v>
      </c>
      <c r="X1746" s="13" t="str">
        <f>IF(RIGHT(H1746,2)&lt;&gt;"00",H1746,"")</f>
        <v/>
      </c>
      <c r="Y1746" s="26">
        <f ca="1">NETWORKDAYS(P1746,$Y$1)</f>
        <v>1</v>
      </c>
      <c r="Z1746" s="34">
        <v>1</v>
      </c>
      <c r="AA1746" s="25" t="str">
        <f t="shared" ca="1" si="162"/>
        <v>A VENCER</v>
      </c>
      <c r="AB1746" s="25" t="str">
        <f t="shared" si="163"/>
        <v>Dosa</v>
      </c>
      <c r="AC1746" s="2" t="str">
        <f t="shared" si="164"/>
        <v xml:space="preserve"> CLEITON </v>
      </c>
      <c r="AD1746" s="26">
        <f t="shared" si="165"/>
        <v>5</v>
      </c>
      <c r="AE1746" s="26">
        <f t="shared" ca="1" si="166"/>
        <v>0.30517210648395121</v>
      </c>
    </row>
    <row r="1747" spans="1:31" hidden="1">
      <c r="A1747" s="209">
        <v>9523560</v>
      </c>
      <c r="B1747" s="209" t="s">
        <v>1153</v>
      </c>
      <c r="C1747" s="210" t="s">
        <v>4848</v>
      </c>
      <c r="D1747" s="214">
        <v>20234804002067</v>
      </c>
      <c r="E1747" s="214">
        <v>7417183020640</v>
      </c>
      <c r="F1747" s="209" t="s">
        <v>1313</v>
      </c>
      <c r="G1747" s="209" t="s">
        <v>53</v>
      </c>
      <c r="H1747" s="209" t="s">
        <v>3571</v>
      </c>
      <c r="I1747" s="209" t="s">
        <v>3572</v>
      </c>
      <c r="J1747" s="209" t="s">
        <v>46</v>
      </c>
      <c r="K1747" s="210" t="s">
        <v>1316</v>
      </c>
      <c r="L1747" s="210"/>
      <c r="M1747" s="209" t="s">
        <v>58</v>
      </c>
      <c r="N1747" s="209">
        <v>0</v>
      </c>
      <c r="O1747" s="209" t="s">
        <v>105</v>
      </c>
      <c r="P1747" s="212">
        <v>44986.344733796293</v>
      </c>
      <c r="Q1747" s="209"/>
      <c r="R1747" s="209">
        <v>13</v>
      </c>
      <c r="S1747" s="209">
        <v>4804</v>
      </c>
      <c r="T1747" s="209" t="s">
        <v>238</v>
      </c>
      <c r="U1747" s="211" t="s">
        <v>4796</v>
      </c>
      <c r="V1747" s="209" t="s">
        <v>41</v>
      </c>
      <c r="W1747" s="209" t="s">
        <v>49</v>
      </c>
      <c r="X1747" s="13" t="str">
        <f>IF(RIGHT(H1747,2)&lt;&gt;"00",H1747,"")</f>
        <v>4923.05</v>
      </c>
      <c r="Y1747" s="26">
        <f ca="1">NETWORKDAYS(P1747,$Y$1)</f>
        <v>1</v>
      </c>
      <c r="Z1747" s="34">
        <v>1</v>
      </c>
      <c r="AA1747" s="25" t="str">
        <f t="shared" ca="1" si="162"/>
        <v>A VENCER</v>
      </c>
      <c r="AB1747" s="25" t="str">
        <f t="shared" si="163"/>
        <v>TAAe+</v>
      </c>
      <c r="AC1747" s="2" t="str">
        <f t="shared" si="164"/>
        <v xml:space="preserve"> CLEITON </v>
      </c>
      <c r="AD1747" s="26">
        <f t="shared" si="165"/>
        <v>8</v>
      </c>
      <c r="AE1747" s="26">
        <f t="shared" ca="1" si="166"/>
        <v>0.33153784722526325</v>
      </c>
    </row>
    <row r="1748" spans="1:31" hidden="1">
      <c r="A1748" s="209"/>
      <c r="B1748" s="209"/>
      <c r="C1748" s="210"/>
      <c r="D1748" s="214"/>
      <c r="E1748" s="214"/>
      <c r="F1748" s="209"/>
      <c r="G1748" s="209"/>
      <c r="H1748" s="209"/>
      <c r="I1748" s="209"/>
      <c r="J1748" s="209"/>
      <c r="K1748" s="210"/>
      <c r="L1748" s="210"/>
      <c r="M1748" s="209"/>
      <c r="N1748" s="209"/>
      <c r="O1748" s="209"/>
      <c r="P1748" s="215"/>
      <c r="Q1748" s="209"/>
      <c r="R1748" s="209"/>
      <c r="S1748" s="209"/>
      <c r="T1748" s="209"/>
      <c r="U1748" s="215"/>
      <c r="V1748" s="209"/>
      <c r="W1748" s="209"/>
      <c r="X1748" s="13">
        <f>IF(RIGHT(H1748,2)&lt;&gt;"00",H1748,"")</f>
        <v>0</v>
      </c>
      <c r="Y1748" s="26">
        <f ca="1">NETWORKDAYS(P1748,$Y$1)</f>
        <v>32133</v>
      </c>
      <c r="Z1748" s="34">
        <v>1</v>
      </c>
      <c r="AA1748" s="25" t="str">
        <f t="shared" ca="1" si="162"/>
        <v>A VENCER</v>
      </c>
      <c r="AB1748" s="25" t="str">
        <f t="shared" si="163"/>
        <v>TAAe+</v>
      </c>
      <c r="AC1748" s="2">
        <f t="shared" si="164"/>
        <v>0</v>
      </c>
      <c r="AD1748" s="26">
        <f t="shared" si="165"/>
        <v>8</v>
      </c>
      <c r="AE1748" s="26">
        <f t="shared" ca="1" si="166"/>
        <v>44986.676271643519</v>
      </c>
    </row>
    <row r="1749" spans="1:31" hidden="1">
      <c r="A1749" s="209"/>
      <c r="B1749" s="209"/>
      <c r="C1749" s="210"/>
      <c r="D1749" s="214"/>
      <c r="E1749" s="214"/>
      <c r="F1749" s="209"/>
      <c r="G1749" s="209"/>
      <c r="H1749" s="209"/>
      <c r="I1749" s="209"/>
      <c r="J1749" s="209"/>
      <c r="K1749" s="210"/>
      <c r="L1749" s="210"/>
      <c r="M1749" s="209"/>
      <c r="N1749" s="209"/>
      <c r="O1749" s="209"/>
      <c r="P1749" s="215"/>
      <c r="Q1749" s="209"/>
      <c r="R1749" s="209"/>
      <c r="S1749" s="209"/>
      <c r="T1749" s="209"/>
      <c r="U1749" s="215"/>
      <c r="V1749" s="209"/>
      <c r="W1749" s="209"/>
      <c r="X1749" s="13">
        <f>IF(RIGHT(H1749,2)&lt;&gt;"00",H1749,"")</f>
        <v>0</v>
      </c>
      <c r="Y1749" s="26">
        <f ca="1">NETWORKDAYS(P1749,$Y$1)</f>
        <v>32133</v>
      </c>
      <c r="Z1749" s="34">
        <v>1</v>
      </c>
      <c r="AA1749" s="25" t="str">
        <f t="shared" ca="1" si="162"/>
        <v>A VENCER</v>
      </c>
      <c r="AB1749" s="25" t="str">
        <f t="shared" si="163"/>
        <v>TAAe+</v>
      </c>
      <c r="AC1749" s="2">
        <f t="shared" si="164"/>
        <v>0</v>
      </c>
      <c r="AD1749" s="26">
        <f t="shared" si="165"/>
        <v>8</v>
      </c>
      <c r="AE1749" s="26">
        <f t="shared" ca="1" si="166"/>
        <v>44986.676271643519</v>
      </c>
    </row>
    <row r="1750" spans="1:31" hidden="1">
      <c r="A1750" s="209"/>
      <c r="B1750" s="209"/>
      <c r="C1750" s="210"/>
      <c r="D1750" s="214"/>
      <c r="E1750" s="214"/>
      <c r="F1750" s="209"/>
      <c r="G1750" s="209"/>
      <c r="H1750" s="209"/>
      <c r="I1750" s="209"/>
      <c r="J1750" s="209"/>
      <c r="K1750" s="210"/>
      <c r="L1750" s="210"/>
      <c r="M1750" s="209"/>
      <c r="N1750" s="209"/>
      <c r="O1750" s="209"/>
      <c r="P1750" s="215"/>
      <c r="Q1750" s="209"/>
      <c r="R1750" s="209"/>
      <c r="S1750" s="209"/>
      <c r="T1750" s="209"/>
      <c r="U1750" s="215"/>
      <c r="V1750" s="209"/>
      <c r="W1750" s="209"/>
      <c r="X1750" s="13">
        <f>IF(RIGHT(H1750,2)&lt;&gt;"00",H1750,"")</f>
        <v>0</v>
      </c>
      <c r="Y1750" s="26">
        <f ca="1">NETWORKDAYS(P1750,$Y$1)</f>
        <v>32133</v>
      </c>
      <c r="Z1750" s="34">
        <v>1</v>
      </c>
      <c r="AA1750" s="25" t="str">
        <f t="shared" ca="1" si="162"/>
        <v>A VENCER</v>
      </c>
      <c r="AB1750" s="25" t="str">
        <f t="shared" si="163"/>
        <v>TAAe+</v>
      </c>
      <c r="AC1750" s="2">
        <f t="shared" si="164"/>
        <v>0</v>
      </c>
      <c r="AD1750" s="26">
        <f t="shared" si="165"/>
        <v>8</v>
      </c>
      <c r="AE1750" s="26">
        <f t="shared" ca="1" si="166"/>
        <v>44986.676271643519</v>
      </c>
    </row>
  </sheetData>
  <autoFilter ref="A1:AC1750" xr:uid="{00000000-0009-0000-0000-000006000000}">
    <filterColumn colId="1">
      <filters>
        <filter val="Manutenção Corretiva"/>
      </filters>
    </filterColumn>
    <filterColumn colId="9">
      <filters>
        <filter val="TR-SERRA TALHADA"/>
      </filters>
    </filterColumn>
  </autoFilter>
  <sortState xmlns:xlrd2="http://schemas.microsoft.com/office/spreadsheetml/2017/richdata2" ref="A2:Y1747">
    <sortCondition descending="1" ref="Y2:Y1747"/>
  </sortState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0277C-3BA5-451A-BDC5-4F6E6BADC424}">
  <sheetPr filterMode="1"/>
  <dimension ref="A1:Q248"/>
  <sheetViews>
    <sheetView topLeftCell="A154" zoomScale="110" zoomScaleNormal="110" workbookViewId="0">
      <selection activeCell="D173" sqref="D173"/>
    </sheetView>
  </sheetViews>
  <sheetFormatPr defaultColWidth="9.28515625" defaultRowHeight="18.75"/>
  <cols>
    <col min="1" max="1" width="12.28515625" style="51" customWidth="1"/>
    <col min="2" max="2" width="31.7109375" style="51" customWidth="1"/>
    <col min="3" max="3" width="24" style="51" customWidth="1"/>
    <col min="4" max="4" width="95.140625" style="52" customWidth="1"/>
    <col min="5" max="5" width="29.140625" style="53" customWidth="1"/>
    <col min="6" max="6" width="9.140625"/>
    <col min="7" max="7" width="16" customWidth="1"/>
    <col min="8" max="8" width="18.140625" style="16" customWidth="1"/>
    <col min="9" max="9" width="12.7109375" style="16" customWidth="1"/>
    <col min="10" max="10" width="9.140625"/>
    <col min="11" max="11" width="17.5703125" customWidth="1"/>
    <col min="12" max="12" width="23.42578125" customWidth="1"/>
    <col min="13" max="13" width="15.5703125" customWidth="1"/>
    <col min="14" max="14" width="17.28515625" customWidth="1"/>
    <col min="15" max="15" width="13.5703125" customWidth="1"/>
  </cols>
  <sheetData>
    <row r="1" spans="1:10" ht="21">
      <c r="A1" s="54" t="s">
        <v>4849</v>
      </c>
      <c r="B1" s="54" t="s">
        <v>4850</v>
      </c>
      <c r="C1" s="54" t="s">
        <v>9</v>
      </c>
      <c r="D1" s="55" t="s">
        <v>4851</v>
      </c>
      <c r="E1" s="55" t="s">
        <v>4852</v>
      </c>
      <c r="G1" s="56"/>
      <c r="H1" s="56"/>
      <c r="I1" s="56"/>
    </row>
    <row r="2" spans="1:10" hidden="1">
      <c r="A2" s="57">
        <v>7</v>
      </c>
      <c r="B2" s="57" t="s">
        <v>384</v>
      </c>
      <c r="C2" s="57" t="s">
        <v>46</v>
      </c>
      <c r="D2" s="58" t="s">
        <v>4853</v>
      </c>
      <c r="E2" s="59" t="s">
        <v>4854</v>
      </c>
    </row>
    <row r="3" spans="1:10" hidden="1">
      <c r="A3" s="57">
        <v>325</v>
      </c>
      <c r="B3" s="57" t="s">
        <v>346</v>
      </c>
      <c r="C3" s="57" t="s">
        <v>46</v>
      </c>
      <c r="D3" s="58" t="s">
        <v>4855</v>
      </c>
      <c r="E3" s="59" t="s">
        <v>4856</v>
      </c>
      <c r="G3" s="60"/>
      <c r="H3" s="60"/>
      <c r="I3" s="62"/>
      <c r="J3" s="24"/>
    </row>
    <row r="4" spans="1:10" hidden="1">
      <c r="A4" s="57">
        <v>697</v>
      </c>
      <c r="B4" s="57" t="s">
        <v>66</v>
      </c>
      <c r="C4" s="57" t="s">
        <v>46</v>
      </c>
      <c r="D4" s="58" t="s">
        <v>4857</v>
      </c>
      <c r="E4" s="59" t="s">
        <v>4858</v>
      </c>
      <c r="G4" s="23" t="s">
        <v>4859</v>
      </c>
      <c r="H4" s="60"/>
      <c r="I4" s="63"/>
      <c r="J4" s="64"/>
    </row>
    <row r="5" spans="1:10" ht="18.75" hidden="1" customHeight="1">
      <c r="A5" s="57">
        <v>714</v>
      </c>
      <c r="B5" s="57" t="s">
        <v>378</v>
      </c>
      <c r="C5" s="57" t="s">
        <v>46</v>
      </c>
      <c r="D5" s="58" t="s">
        <v>4860</v>
      </c>
      <c r="E5" s="59" t="s">
        <v>4861</v>
      </c>
      <c r="G5" s="23" t="s">
        <v>4859</v>
      </c>
      <c r="H5" s="60"/>
      <c r="I5" s="63"/>
      <c r="J5" s="65"/>
    </row>
    <row r="6" spans="1:10" ht="18.75" hidden="1" customHeight="1">
      <c r="A6" s="57">
        <v>821</v>
      </c>
      <c r="B6" s="57" t="s">
        <v>1352</v>
      </c>
      <c r="C6" s="57" t="s">
        <v>46</v>
      </c>
      <c r="D6" s="58" t="s">
        <v>4862</v>
      </c>
      <c r="E6" s="59" t="s">
        <v>4863</v>
      </c>
      <c r="G6" s="60"/>
      <c r="H6" s="60"/>
      <c r="I6" s="63"/>
      <c r="J6" s="65"/>
    </row>
    <row r="7" spans="1:10" hidden="1">
      <c r="A7" s="57">
        <v>934</v>
      </c>
      <c r="B7" s="57" t="s">
        <v>429</v>
      </c>
      <c r="C7" s="57" t="s">
        <v>46</v>
      </c>
      <c r="D7" s="58" t="s">
        <v>4864</v>
      </c>
      <c r="E7" s="59" t="s">
        <v>4865</v>
      </c>
      <c r="G7" s="60"/>
      <c r="H7" s="60"/>
      <c r="I7" s="63"/>
      <c r="J7" s="65"/>
    </row>
    <row r="8" spans="1:10" hidden="1">
      <c r="A8" s="57">
        <v>1138</v>
      </c>
      <c r="B8" s="57" t="s">
        <v>549</v>
      </c>
      <c r="C8" s="57" t="s">
        <v>46</v>
      </c>
      <c r="D8" s="58" t="s">
        <v>4866</v>
      </c>
      <c r="E8" s="59" t="s">
        <v>4867</v>
      </c>
      <c r="G8" s="60"/>
      <c r="H8" s="60"/>
      <c r="I8" s="63"/>
      <c r="J8" s="65"/>
    </row>
    <row r="9" spans="1:10" hidden="1">
      <c r="A9" s="57">
        <v>1245</v>
      </c>
      <c r="B9" s="57" t="s">
        <v>409</v>
      </c>
      <c r="C9" s="57" t="s">
        <v>46</v>
      </c>
      <c r="D9" s="58" t="s">
        <v>4868</v>
      </c>
      <c r="E9" s="59" t="s">
        <v>4869</v>
      </c>
      <c r="F9" s="61"/>
      <c r="G9" s="60"/>
      <c r="H9" s="60"/>
      <c r="I9" s="63"/>
      <c r="J9" s="65"/>
    </row>
    <row r="10" spans="1:10" hidden="1">
      <c r="A10" s="57">
        <v>1361</v>
      </c>
      <c r="B10" s="57" t="s">
        <v>310</v>
      </c>
      <c r="C10" s="57" t="s">
        <v>46</v>
      </c>
      <c r="D10" s="58" t="s">
        <v>4870</v>
      </c>
      <c r="E10" s="59" t="s">
        <v>4871</v>
      </c>
      <c r="G10" s="60"/>
      <c r="H10" s="60"/>
      <c r="I10" s="60"/>
    </row>
    <row r="11" spans="1:10" hidden="1">
      <c r="A11" s="57">
        <v>1509</v>
      </c>
      <c r="B11" s="57" t="s">
        <v>732</v>
      </c>
      <c r="C11" s="57" t="s">
        <v>46</v>
      </c>
      <c r="D11" s="58" t="s">
        <v>4872</v>
      </c>
      <c r="E11" s="59" t="s">
        <v>4873</v>
      </c>
      <c r="G11" s="60"/>
      <c r="H11" s="60"/>
      <c r="I11" s="60"/>
    </row>
    <row r="12" spans="1:10" ht="18.75" hidden="1" customHeight="1">
      <c r="A12" s="57">
        <v>1620</v>
      </c>
      <c r="B12" s="57" t="s">
        <v>403</v>
      </c>
      <c r="C12" s="57" t="s">
        <v>46</v>
      </c>
      <c r="D12" s="58" t="s">
        <v>4874</v>
      </c>
      <c r="E12" s="59" t="s">
        <v>4875</v>
      </c>
      <c r="G12" s="60"/>
      <c r="H12" s="60"/>
      <c r="I12" s="60"/>
    </row>
    <row r="13" spans="1:10" hidden="1">
      <c r="A13" s="57">
        <v>1814</v>
      </c>
      <c r="B13" s="57" t="s">
        <v>397</v>
      </c>
      <c r="C13" s="57" t="s">
        <v>46</v>
      </c>
      <c r="D13" s="58" t="s">
        <v>4876</v>
      </c>
      <c r="E13" s="59" t="s">
        <v>4877</v>
      </c>
      <c r="G13" s="60"/>
      <c r="H13" s="60"/>
      <c r="I13" s="60"/>
    </row>
    <row r="14" spans="1:10" hidden="1">
      <c r="A14" s="57">
        <v>1833</v>
      </c>
      <c r="B14" s="57" t="s">
        <v>370</v>
      </c>
      <c r="C14" s="57" t="s">
        <v>46</v>
      </c>
      <c r="D14" s="58" t="s">
        <v>4878</v>
      </c>
      <c r="E14" s="59" t="s">
        <v>4879</v>
      </c>
      <c r="G14" s="60"/>
      <c r="H14" s="60"/>
      <c r="I14" s="60"/>
    </row>
    <row r="15" spans="1:10" hidden="1">
      <c r="A15" s="57">
        <v>1835</v>
      </c>
      <c r="B15" s="57" t="s">
        <v>306</v>
      </c>
      <c r="C15" s="57" t="s">
        <v>46</v>
      </c>
      <c r="D15" s="58" t="s">
        <v>4880</v>
      </c>
      <c r="E15" s="59" t="s">
        <v>4881</v>
      </c>
      <c r="H15" s="60"/>
    </row>
    <row r="16" spans="1:10" hidden="1">
      <c r="A16" s="57">
        <v>1836</v>
      </c>
      <c r="B16" s="57" t="s">
        <v>456</v>
      </c>
      <c r="C16" s="57" t="s">
        <v>46</v>
      </c>
      <c r="D16" s="58" t="s">
        <v>4882</v>
      </c>
      <c r="E16" s="59" t="s">
        <v>4883</v>
      </c>
      <c r="H16" s="60"/>
      <c r="I16" s="62"/>
      <c r="J16" s="24"/>
    </row>
    <row r="17" spans="1:10" ht="18.75" hidden="1" customHeight="1">
      <c r="A17" s="57">
        <v>1837</v>
      </c>
      <c r="B17" s="57" t="s">
        <v>1786</v>
      </c>
      <c r="C17" s="57" t="s">
        <v>46</v>
      </c>
      <c r="D17" s="58" t="s">
        <v>4884</v>
      </c>
      <c r="E17" s="59" t="s">
        <v>4885</v>
      </c>
      <c r="H17" s="60"/>
      <c r="I17" s="63"/>
      <c r="J17" s="64"/>
    </row>
    <row r="18" spans="1:10" ht="18.75" hidden="1" customHeight="1">
      <c r="A18" s="57">
        <v>1838</v>
      </c>
      <c r="B18" s="57" t="s">
        <v>358</v>
      </c>
      <c r="C18" s="57" t="s">
        <v>46</v>
      </c>
      <c r="D18" s="58" t="s">
        <v>4878</v>
      </c>
      <c r="E18" s="59" t="s">
        <v>4886</v>
      </c>
      <c r="H18" s="60"/>
      <c r="I18" s="63"/>
      <c r="J18" s="65"/>
    </row>
    <row r="19" spans="1:10" hidden="1">
      <c r="A19" s="57">
        <v>2138</v>
      </c>
      <c r="B19" s="57" t="s">
        <v>380</v>
      </c>
      <c r="C19" s="57" t="s">
        <v>46</v>
      </c>
      <c r="D19" s="58" t="s">
        <v>4887</v>
      </c>
      <c r="E19" s="59" t="s">
        <v>4888</v>
      </c>
      <c r="H19" s="60"/>
      <c r="I19" s="63"/>
      <c r="J19" s="65"/>
    </row>
    <row r="20" spans="1:10" hidden="1">
      <c r="A20" s="57">
        <v>2326</v>
      </c>
      <c r="B20" s="57" t="s">
        <v>192</v>
      </c>
      <c r="C20" s="57" t="s">
        <v>46</v>
      </c>
      <c r="D20" s="58" t="s">
        <v>4889</v>
      </c>
      <c r="E20" s="59" t="s">
        <v>4890</v>
      </c>
      <c r="H20" s="60"/>
      <c r="I20" s="63"/>
      <c r="J20" s="65"/>
    </row>
    <row r="21" spans="1:10" hidden="1">
      <c r="A21" s="57">
        <v>2365</v>
      </c>
      <c r="B21" s="57" t="s">
        <v>160</v>
      </c>
      <c r="C21" s="57" t="s">
        <v>46</v>
      </c>
      <c r="D21" s="58" t="s">
        <v>4891</v>
      </c>
      <c r="E21" s="59" t="s">
        <v>4892</v>
      </c>
      <c r="H21" s="60"/>
      <c r="I21" s="63"/>
      <c r="J21" s="65"/>
    </row>
    <row r="22" spans="1:10" hidden="1">
      <c r="A22" s="57">
        <v>2805</v>
      </c>
      <c r="B22" s="57" t="s">
        <v>4893</v>
      </c>
      <c r="C22" s="57" t="s">
        <v>46</v>
      </c>
      <c r="D22" s="58" t="s">
        <v>4894</v>
      </c>
      <c r="E22" s="59" t="s">
        <v>4895</v>
      </c>
      <c r="H22" s="60"/>
      <c r="I22" s="63"/>
      <c r="J22" s="65"/>
    </row>
    <row r="23" spans="1:10" hidden="1">
      <c r="A23" s="57">
        <v>2811</v>
      </c>
      <c r="B23" s="57" t="s">
        <v>45</v>
      </c>
      <c r="C23" s="57" t="s">
        <v>46</v>
      </c>
      <c r="D23" s="58" t="s">
        <v>4896</v>
      </c>
      <c r="E23" s="59" t="s">
        <v>4897</v>
      </c>
      <c r="H23" s="60"/>
      <c r="I23" s="63"/>
    </row>
    <row r="24" spans="1:10" hidden="1">
      <c r="A24" s="57">
        <v>2889</v>
      </c>
      <c r="B24" s="57" t="s">
        <v>419</v>
      </c>
      <c r="C24" s="57" t="s">
        <v>46</v>
      </c>
      <c r="D24" s="58" t="s">
        <v>4898</v>
      </c>
      <c r="E24" s="59" t="s">
        <v>4899</v>
      </c>
    </row>
    <row r="25" spans="1:10" hidden="1">
      <c r="A25" s="57">
        <v>2988</v>
      </c>
      <c r="B25" s="57" t="s">
        <v>537</v>
      </c>
      <c r="C25" s="57" t="s">
        <v>46</v>
      </c>
      <c r="D25" s="58" t="s">
        <v>4900</v>
      </c>
      <c r="E25" s="59" t="s">
        <v>4901</v>
      </c>
    </row>
    <row r="26" spans="1:10" hidden="1">
      <c r="A26" s="57">
        <v>3056</v>
      </c>
      <c r="B26" s="57" t="s">
        <v>1773</v>
      </c>
      <c r="C26" s="57" t="s">
        <v>46</v>
      </c>
      <c r="D26" s="58" t="s">
        <v>4902</v>
      </c>
      <c r="E26" s="59" t="s">
        <v>4903</v>
      </c>
    </row>
    <row r="27" spans="1:10" ht="18.75" hidden="1" customHeight="1">
      <c r="A27" s="57">
        <v>3108</v>
      </c>
      <c r="B27" s="57" t="s">
        <v>326</v>
      </c>
      <c r="C27" s="57" t="s">
        <v>46</v>
      </c>
      <c r="D27" s="58" t="s">
        <v>4904</v>
      </c>
      <c r="E27" s="59" t="s">
        <v>4905</v>
      </c>
    </row>
    <row r="28" spans="1:10" ht="18.75" hidden="1" customHeight="1">
      <c r="A28" s="57">
        <v>3234</v>
      </c>
      <c r="B28" s="57" t="s">
        <v>1831</v>
      </c>
      <c r="C28" s="57" t="s">
        <v>46</v>
      </c>
      <c r="D28" s="58" t="s">
        <v>4906</v>
      </c>
      <c r="E28" s="59" t="s">
        <v>4907</v>
      </c>
    </row>
    <row r="29" spans="1:10" hidden="1">
      <c r="A29" s="57">
        <v>3237</v>
      </c>
      <c r="B29" s="57" t="s">
        <v>288</v>
      </c>
      <c r="C29" s="57" t="s">
        <v>46</v>
      </c>
      <c r="D29" s="58" t="s">
        <v>4908</v>
      </c>
      <c r="E29" s="59" t="s">
        <v>4909</v>
      </c>
    </row>
    <row r="30" spans="1:10" hidden="1">
      <c r="A30" s="51">
        <v>3242</v>
      </c>
      <c r="B30" s="51" t="s">
        <v>462</v>
      </c>
      <c r="C30" s="51" t="s">
        <v>46</v>
      </c>
      <c r="D30" s="58" t="s">
        <v>4910</v>
      </c>
      <c r="E30" s="59" t="s">
        <v>4911</v>
      </c>
    </row>
    <row r="31" spans="1:10" ht="18.75" hidden="1" customHeight="1">
      <c r="A31" s="57">
        <v>3243</v>
      </c>
      <c r="B31" s="57" t="s">
        <v>283</v>
      </c>
      <c r="C31" s="57" t="s">
        <v>46</v>
      </c>
      <c r="D31" s="58" t="s">
        <v>4912</v>
      </c>
      <c r="E31" s="59" t="s">
        <v>4913</v>
      </c>
    </row>
    <row r="32" spans="1:10" hidden="1">
      <c r="A32" s="57">
        <v>3250</v>
      </c>
      <c r="B32" s="57" t="s">
        <v>372</v>
      </c>
      <c r="C32" s="57" t="s">
        <v>46</v>
      </c>
      <c r="D32" s="58" t="s">
        <v>4914</v>
      </c>
      <c r="E32" s="59" t="s">
        <v>4915</v>
      </c>
    </row>
    <row r="33" spans="1:17" ht="18.75" hidden="1" customHeight="1">
      <c r="A33" s="57">
        <v>3258</v>
      </c>
      <c r="B33" s="57" t="s">
        <v>322</v>
      </c>
      <c r="C33" s="57" t="s">
        <v>46</v>
      </c>
      <c r="D33" s="58" t="s">
        <v>4916</v>
      </c>
      <c r="E33" s="59" t="s">
        <v>4917</v>
      </c>
    </row>
    <row r="34" spans="1:17" ht="18.75" hidden="1" customHeight="1">
      <c r="A34" s="57">
        <v>3503</v>
      </c>
      <c r="B34" s="57" t="s">
        <v>399</v>
      </c>
      <c r="C34" s="57" t="s">
        <v>46</v>
      </c>
      <c r="D34" s="58" t="s">
        <v>4918</v>
      </c>
      <c r="E34" s="59" t="s">
        <v>4919</v>
      </c>
    </row>
    <row r="35" spans="1:17" hidden="1">
      <c r="A35" s="57">
        <v>3613</v>
      </c>
      <c r="B35" s="57" t="s">
        <v>680</v>
      </c>
      <c r="C35" s="57" t="s">
        <v>46</v>
      </c>
      <c r="D35" s="58" t="s">
        <v>4920</v>
      </c>
      <c r="E35" s="59" t="s">
        <v>4921</v>
      </c>
    </row>
    <row r="36" spans="1:17" hidden="1">
      <c r="A36" s="57">
        <v>3699</v>
      </c>
      <c r="B36" s="57" t="s">
        <v>344</v>
      </c>
      <c r="C36" s="57" t="s">
        <v>46</v>
      </c>
      <c r="D36" s="58" t="s">
        <v>4922</v>
      </c>
      <c r="E36" s="59" t="s">
        <v>4923</v>
      </c>
    </row>
    <row r="37" spans="1:17" ht="18" hidden="1" customHeight="1">
      <c r="A37" s="57">
        <v>4118</v>
      </c>
      <c r="B37" s="57" t="s">
        <v>72</v>
      </c>
      <c r="C37" s="57" t="s">
        <v>46</v>
      </c>
      <c r="D37" s="58" t="s">
        <v>4924</v>
      </c>
      <c r="E37" s="59" t="s">
        <v>4925</v>
      </c>
      <c r="F37" s="53"/>
      <c r="G37" s="53"/>
      <c r="H37" s="68"/>
      <c r="I37" s="17"/>
      <c r="J37" s="53"/>
      <c r="K37" s="53"/>
      <c r="L37" s="53"/>
      <c r="M37" s="53"/>
      <c r="N37" s="53"/>
      <c r="O37" s="53"/>
      <c r="P37" s="53"/>
      <c r="Q37" s="53"/>
    </row>
    <row r="38" spans="1:17" hidden="1">
      <c r="A38" s="57">
        <v>4235</v>
      </c>
      <c r="B38" s="57" t="s">
        <v>292</v>
      </c>
      <c r="C38" s="57" t="s">
        <v>46</v>
      </c>
      <c r="D38" s="58" t="s">
        <v>4926</v>
      </c>
      <c r="E38" s="59" t="s">
        <v>4927</v>
      </c>
    </row>
    <row r="39" spans="1:17" hidden="1">
      <c r="A39" s="57">
        <v>4274</v>
      </c>
      <c r="B39" s="57" t="s">
        <v>387</v>
      </c>
      <c r="C39" s="57" t="s">
        <v>46</v>
      </c>
      <c r="D39" s="58" t="s">
        <v>4928</v>
      </c>
      <c r="E39" s="59" t="s">
        <v>4929</v>
      </c>
      <c r="G39" s="23" t="s">
        <v>4859</v>
      </c>
      <c r="H39" s="63"/>
    </row>
    <row r="40" spans="1:17" hidden="1">
      <c r="A40" s="57">
        <v>4930</v>
      </c>
      <c r="B40" s="57" t="s">
        <v>1814</v>
      </c>
      <c r="C40" s="57" t="s">
        <v>46</v>
      </c>
      <c r="D40" s="58" t="s">
        <v>4930</v>
      </c>
      <c r="E40" s="59" t="s">
        <v>4931</v>
      </c>
    </row>
    <row r="41" spans="1:17" hidden="1">
      <c r="A41" s="57">
        <v>5740</v>
      </c>
      <c r="B41" s="57" t="s">
        <v>627</v>
      </c>
      <c r="C41" s="57" t="s">
        <v>46</v>
      </c>
      <c r="D41" s="58" t="s">
        <v>4932</v>
      </c>
      <c r="E41" s="59" t="s">
        <v>4933</v>
      </c>
      <c r="H41" s="69"/>
    </row>
    <row r="42" spans="1:17" ht="18" hidden="1" customHeight="1">
      <c r="A42" s="57">
        <v>5755</v>
      </c>
      <c r="B42" s="57" t="s">
        <v>842</v>
      </c>
      <c r="C42" s="57" t="s">
        <v>46</v>
      </c>
      <c r="D42" s="58" t="s">
        <v>4934</v>
      </c>
      <c r="E42" s="59" t="s">
        <v>4935</v>
      </c>
      <c r="J42" s="1"/>
      <c r="K42" s="195"/>
      <c r="L42" s="35"/>
      <c r="M42" s="26"/>
      <c r="N42" s="25"/>
      <c r="O42" s="25"/>
      <c r="P42" s="70"/>
      <c r="Q42" s="35"/>
    </row>
    <row r="43" spans="1:17" hidden="1">
      <c r="A43" s="57">
        <v>5816</v>
      </c>
      <c r="B43" s="57" t="s">
        <v>413</v>
      </c>
      <c r="C43" s="57" t="s">
        <v>46</v>
      </c>
      <c r="D43" s="58" t="s">
        <v>4936</v>
      </c>
      <c r="E43" s="59" t="s">
        <v>4937</v>
      </c>
      <c r="H43" s="196"/>
      <c r="J43" s="197"/>
      <c r="K43" s="2"/>
      <c r="M43" s="25"/>
      <c r="N43" s="25"/>
      <c r="O43" s="25"/>
      <c r="P43" s="70"/>
      <c r="Q43" s="35"/>
    </row>
    <row r="44" spans="1:17" hidden="1">
      <c r="A44" s="57">
        <v>8633</v>
      </c>
      <c r="B44" s="57" t="s">
        <v>836</v>
      </c>
      <c r="C44" s="57" t="s">
        <v>46</v>
      </c>
      <c r="D44" s="58" t="s">
        <v>4938</v>
      </c>
      <c r="E44" s="59" t="s">
        <v>4939</v>
      </c>
      <c r="H44" s="196"/>
      <c r="J44" s="1"/>
      <c r="K44" s="2"/>
      <c r="M44" s="26"/>
      <c r="N44" s="25"/>
      <c r="O44" s="25"/>
      <c r="P44" s="70"/>
      <c r="Q44" s="35"/>
    </row>
    <row r="45" spans="1:17" hidden="1">
      <c r="A45" s="57">
        <v>8634</v>
      </c>
      <c r="B45" s="57" t="s">
        <v>294</v>
      </c>
      <c r="C45" s="57" t="s">
        <v>46</v>
      </c>
      <c r="D45" s="58" t="s">
        <v>4940</v>
      </c>
      <c r="E45" s="59" t="s">
        <v>4941</v>
      </c>
      <c r="F45" s="61"/>
      <c r="H45" s="196"/>
      <c r="J45" s="1"/>
      <c r="K45" s="2"/>
      <c r="M45" s="26"/>
      <c r="N45" s="25"/>
      <c r="O45" s="25"/>
      <c r="P45" s="70"/>
      <c r="Q45" s="35"/>
    </row>
    <row r="46" spans="1:17" ht="18.75" hidden="1" customHeight="1">
      <c r="A46" s="57">
        <v>9406</v>
      </c>
      <c r="B46" s="57" t="s">
        <v>115</v>
      </c>
      <c r="C46" s="57" t="s">
        <v>46</v>
      </c>
      <c r="D46" s="58" t="s">
        <v>4942</v>
      </c>
      <c r="E46" s="59" t="s">
        <v>4943</v>
      </c>
      <c r="H46" s="196"/>
      <c r="J46" s="1"/>
      <c r="K46" s="2"/>
      <c r="L46" s="15"/>
      <c r="M46" s="26"/>
      <c r="N46" s="25"/>
      <c r="O46" s="25"/>
    </row>
    <row r="47" spans="1:17" ht="18.75" hidden="1" customHeight="1">
      <c r="A47" s="57">
        <v>9406</v>
      </c>
      <c r="B47" s="57" t="s">
        <v>115</v>
      </c>
      <c r="C47" s="57" t="s">
        <v>46</v>
      </c>
      <c r="D47" s="58" t="s">
        <v>4944</v>
      </c>
      <c r="E47" s="59" t="s">
        <v>4943</v>
      </c>
      <c r="H47" s="196"/>
      <c r="J47" s="1"/>
      <c r="K47" s="2"/>
    </row>
    <row r="48" spans="1:17" ht="18.75" customHeight="1">
      <c r="A48" s="57">
        <v>68</v>
      </c>
      <c r="B48" s="57" t="s">
        <v>1331</v>
      </c>
      <c r="C48" s="57" t="s">
        <v>211</v>
      </c>
      <c r="D48" s="58" t="s">
        <v>4945</v>
      </c>
      <c r="E48" s="59" t="s">
        <v>4946</v>
      </c>
      <c r="H48" s="196"/>
      <c r="J48" s="1"/>
      <c r="K48" s="2"/>
      <c r="M48" s="26"/>
      <c r="N48" s="25"/>
      <c r="O48" s="25"/>
    </row>
    <row r="49" spans="1:17" ht="18.75" customHeight="1">
      <c r="A49" s="57">
        <v>1069</v>
      </c>
      <c r="B49" s="57" t="s">
        <v>354</v>
      </c>
      <c r="C49" s="57" t="s">
        <v>211</v>
      </c>
      <c r="D49" s="58" t="s">
        <v>4947</v>
      </c>
      <c r="E49" s="59" t="s">
        <v>4948</v>
      </c>
      <c r="H49" s="196"/>
      <c r="J49" s="1"/>
      <c r="K49" s="2"/>
      <c r="M49" s="26"/>
      <c r="N49" s="25"/>
      <c r="O49" s="25"/>
    </row>
    <row r="50" spans="1:17" ht="18.75" customHeight="1">
      <c r="A50" s="57">
        <v>1120</v>
      </c>
      <c r="B50" s="57" t="s">
        <v>182</v>
      </c>
      <c r="C50" s="57" t="s">
        <v>211</v>
      </c>
      <c r="D50" s="58" t="s">
        <v>4949</v>
      </c>
      <c r="E50" s="59" t="s">
        <v>4950</v>
      </c>
      <c r="H50" s="196"/>
      <c r="J50" s="1"/>
      <c r="K50" s="2"/>
      <c r="M50" s="26"/>
      <c r="N50" s="25"/>
      <c r="O50" s="25"/>
      <c r="P50" s="1"/>
      <c r="Q50" s="35"/>
    </row>
    <row r="51" spans="1:17" ht="18.75" customHeight="1">
      <c r="A51" s="57">
        <v>1162</v>
      </c>
      <c r="B51" s="57" t="s">
        <v>281</v>
      </c>
      <c r="C51" s="57" t="s">
        <v>211</v>
      </c>
      <c r="D51" s="58" t="s">
        <v>4951</v>
      </c>
      <c r="E51" s="59" t="s">
        <v>4952</v>
      </c>
      <c r="H51" s="196"/>
      <c r="J51" s="1"/>
      <c r="K51" s="2"/>
      <c r="M51" s="26"/>
      <c r="N51" s="25"/>
      <c r="O51" s="25"/>
      <c r="P51" s="70"/>
    </row>
    <row r="52" spans="1:17" ht="18.75" customHeight="1">
      <c r="A52" s="57">
        <v>1903</v>
      </c>
      <c r="B52" s="57" t="s">
        <v>1868</v>
      </c>
      <c r="C52" s="57" t="s">
        <v>211</v>
      </c>
      <c r="D52" s="58" t="s">
        <v>4953</v>
      </c>
      <c r="E52" s="59" t="s">
        <v>4954</v>
      </c>
      <c r="J52" s="1"/>
      <c r="K52" s="2"/>
    </row>
    <row r="53" spans="1:17" ht="18.75" customHeight="1">
      <c r="A53" s="57">
        <v>2125</v>
      </c>
      <c r="B53" s="57" t="s">
        <v>1400</v>
      </c>
      <c r="C53" s="57" t="s">
        <v>211</v>
      </c>
      <c r="D53" s="58" t="s">
        <v>4955</v>
      </c>
      <c r="E53" s="59" t="s">
        <v>4956</v>
      </c>
      <c r="J53" s="1"/>
      <c r="K53" s="2"/>
    </row>
    <row r="54" spans="1:17" ht="18.75" customHeight="1">
      <c r="A54" s="57">
        <v>2156</v>
      </c>
      <c r="B54" s="57" t="s">
        <v>279</v>
      </c>
      <c r="C54" s="57" t="s">
        <v>211</v>
      </c>
      <c r="D54" s="58" t="s">
        <v>4957</v>
      </c>
      <c r="E54" s="59" t="s">
        <v>4958</v>
      </c>
      <c r="J54" s="1"/>
      <c r="K54" s="2"/>
    </row>
    <row r="55" spans="1:17" ht="18.75" customHeight="1">
      <c r="A55" s="57">
        <v>2229</v>
      </c>
      <c r="B55" s="57" t="s">
        <v>340</v>
      </c>
      <c r="C55" s="57" t="s">
        <v>211</v>
      </c>
      <c r="D55" s="58" t="s">
        <v>4959</v>
      </c>
      <c r="E55" s="59" t="s">
        <v>4960</v>
      </c>
      <c r="J55" s="1"/>
      <c r="K55" s="2"/>
    </row>
    <row r="56" spans="1:17" ht="18.75" customHeight="1">
      <c r="A56" s="57">
        <v>2422</v>
      </c>
      <c r="B56" s="57" t="s">
        <v>1845</v>
      </c>
      <c r="C56" s="57" t="s">
        <v>211</v>
      </c>
      <c r="D56" s="58" t="s">
        <v>4961</v>
      </c>
      <c r="E56" s="59" t="s">
        <v>4962</v>
      </c>
      <c r="J56" s="1"/>
      <c r="K56" s="2"/>
    </row>
    <row r="57" spans="1:17" ht="18.75" customHeight="1">
      <c r="A57" s="57">
        <v>2437</v>
      </c>
      <c r="B57" s="57" t="s">
        <v>417</v>
      </c>
      <c r="C57" s="57" t="s">
        <v>211</v>
      </c>
      <c r="D57" s="58" t="s">
        <v>4963</v>
      </c>
      <c r="E57" s="59" t="s">
        <v>4964</v>
      </c>
      <c r="J57" s="1"/>
      <c r="K57" s="2"/>
    </row>
    <row r="58" spans="1:17" ht="18.75" customHeight="1">
      <c r="A58" s="57">
        <v>4119</v>
      </c>
      <c r="B58" s="57" t="s">
        <v>298</v>
      </c>
      <c r="C58" s="57" t="s">
        <v>211</v>
      </c>
      <c r="D58" s="58" t="s">
        <v>4965</v>
      </c>
      <c r="E58" s="59" t="s">
        <v>4966</v>
      </c>
      <c r="I58" s="198"/>
      <c r="J58" s="1"/>
      <c r="K58" s="2"/>
    </row>
    <row r="59" spans="1:17" ht="18.75" customHeight="1">
      <c r="A59" s="57">
        <v>8257</v>
      </c>
      <c r="B59" s="57" t="s">
        <v>1999</v>
      </c>
      <c r="C59" s="57" t="s">
        <v>211</v>
      </c>
      <c r="D59" s="58" t="s">
        <v>4967</v>
      </c>
      <c r="E59" s="59" t="s">
        <v>4968</v>
      </c>
    </row>
    <row r="60" spans="1:17" ht="18.75" customHeight="1">
      <c r="A60" s="57">
        <v>9700</v>
      </c>
      <c r="B60" s="57" t="s">
        <v>210</v>
      </c>
      <c r="C60" s="57" t="s">
        <v>211</v>
      </c>
      <c r="D60" s="58" t="s">
        <v>4969</v>
      </c>
      <c r="E60" s="59" t="s">
        <v>4970</v>
      </c>
    </row>
    <row r="61" spans="1:17" ht="18.75" customHeight="1">
      <c r="A61" s="57">
        <v>570</v>
      </c>
      <c r="B61" s="57" t="s">
        <v>4971</v>
      </c>
      <c r="C61" s="57" t="s">
        <v>148</v>
      </c>
      <c r="D61" s="58" t="s">
        <v>4972</v>
      </c>
      <c r="E61" s="59" t="s">
        <v>4973</v>
      </c>
    </row>
    <row r="62" spans="1:17" ht="18.75" customHeight="1">
      <c r="A62" s="57">
        <v>608</v>
      </c>
      <c r="B62" s="57" t="s">
        <v>439</v>
      </c>
      <c r="C62" s="57" t="s">
        <v>148</v>
      </c>
      <c r="D62" s="58" t="s">
        <v>4974</v>
      </c>
      <c r="E62" s="59" t="s">
        <v>4975</v>
      </c>
    </row>
    <row r="63" spans="1:17" ht="18.75" customHeight="1">
      <c r="A63" s="57">
        <v>1060</v>
      </c>
      <c r="B63" s="57" t="s">
        <v>285</v>
      </c>
      <c r="C63" s="57" t="s">
        <v>148</v>
      </c>
      <c r="D63" s="58" t="s">
        <v>4976</v>
      </c>
      <c r="E63" s="59" t="s">
        <v>4977</v>
      </c>
    </row>
    <row r="64" spans="1:17" ht="18.75" customHeight="1">
      <c r="A64" s="57">
        <v>1146</v>
      </c>
      <c r="B64" s="57" t="s">
        <v>316</v>
      </c>
      <c r="C64" s="57" t="s">
        <v>148</v>
      </c>
      <c r="D64" s="58" t="s">
        <v>4978</v>
      </c>
      <c r="E64" s="59" t="s">
        <v>4979</v>
      </c>
    </row>
    <row r="65" spans="1:5" ht="18.75" customHeight="1">
      <c r="A65" s="57">
        <v>1754</v>
      </c>
      <c r="B65" s="57" t="s">
        <v>147</v>
      </c>
      <c r="C65" s="57" t="s">
        <v>148</v>
      </c>
      <c r="D65" s="58" t="s">
        <v>4980</v>
      </c>
      <c r="E65" s="59" t="s">
        <v>4981</v>
      </c>
    </row>
    <row r="66" spans="1:5">
      <c r="A66" s="57">
        <v>2170</v>
      </c>
      <c r="B66" s="57" t="s">
        <v>478</v>
      </c>
      <c r="C66" s="57" t="s">
        <v>148</v>
      </c>
      <c r="D66" s="58" t="s">
        <v>4982</v>
      </c>
      <c r="E66" s="59" t="s">
        <v>4983</v>
      </c>
    </row>
    <row r="67" spans="1:5">
      <c r="A67" s="57">
        <v>2590</v>
      </c>
      <c r="B67" s="57" t="s">
        <v>395</v>
      </c>
      <c r="C67" s="57" t="s">
        <v>148</v>
      </c>
      <c r="D67" s="58" t="s">
        <v>4984</v>
      </c>
      <c r="E67" s="59" t="s">
        <v>4985</v>
      </c>
    </row>
    <row r="68" spans="1:5">
      <c r="A68" s="57">
        <v>2699</v>
      </c>
      <c r="B68" s="57" t="s">
        <v>348</v>
      </c>
      <c r="C68" s="57" t="s">
        <v>148</v>
      </c>
      <c r="D68" s="58" t="s">
        <v>4986</v>
      </c>
      <c r="E68" s="59" t="s">
        <v>4987</v>
      </c>
    </row>
    <row r="69" spans="1:5">
      <c r="A69" s="57">
        <v>3802</v>
      </c>
      <c r="B69" s="57" t="s">
        <v>320</v>
      </c>
      <c r="C69" s="57" t="s">
        <v>148</v>
      </c>
      <c r="D69" s="58" t="s">
        <v>4988</v>
      </c>
      <c r="E69" s="59" t="s">
        <v>4989</v>
      </c>
    </row>
    <row r="70" spans="1:5" ht="18.75" hidden="1" customHeight="1">
      <c r="A70" s="57">
        <v>159</v>
      </c>
      <c r="B70" s="57" t="s">
        <v>332</v>
      </c>
      <c r="C70" s="57" t="s">
        <v>79</v>
      </c>
      <c r="D70" s="58" t="s">
        <v>4990</v>
      </c>
      <c r="E70" s="59" t="s">
        <v>4991</v>
      </c>
    </row>
    <row r="71" spans="1:5" ht="18.75" hidden="1" customHeight="1">
      <c r="A71" s="57">
        <v>537</v>
      </c>
      <c r="B71" s="57" t="s">
        <v>4992</v>
      </c>
      <c r="C71" s="57" t="s">
        <v>79</v>
      </c>
      <c r="D71" s="58" t="s">
        <v>4993</v>
      </c>
      <c r="E71" s="59" t="s">
        <v>4994</v>
      </c>
    </row>
    <row r="72" spans="1:5" hidden="1">
      <c r="A72" s="57">
        <v>711</v>
      </c>
      <c r="B72" s="57" t="s">
        <v>78</v>
      </c>
      <c r="C72" s="57" t="s">
        <v>79</v>
      </c>
      <c r="D72" s="58" t="s">
        <v>4995</v>
      </c>
      <c r="E72" s="59" t="s">
        <v>4996</v>
      </c>
    </row>
    <row r="73" spans="1:5" ht="18.75" hidden="1" customHeight="1">
      <c r="A73" s="57">
        <v>721</v>
      </c>
      <c r="B73" s="57" t="s">
        <v>423</v>
      </c>
      <c r="C73" s="57" t="s">
        <v>79</v>
      </c>
      <c r="D73" s="58" t="s">
        <v>4997</v>
      </c>
      <c r="E73" s="59" t="s">
        <v>4998</v>
      </c>
    </row>
    <row r="74" spans="1:5" ht="18.75" hidden="1" customHeight="1">
      <c r="A74" s="57">
        <v>1052</v>
      </c>
      <c r="B74" s="57" t="s">
        <v>330</v>
      </c>
      <c r="C74" s="57" t="s">
        <v>79</v>
      </c>
      <c r="D74" s="58" t="s">
        <v>4999</v>
      </c>
      <c r="E74" s="59" t="s">
        <v>5000</v>
      </c>
    </row>
    <row r="75" spans="1:5" ht="18.75" hidden="1" customHeight="1">
      <c r="A75" s="57">
        <v>1153</v>
      </c>
      <c r="B75" s="57" t="s">
        <v>1032</v>
      </c>
      <c r="C75" s="57" t="s">
        <v>79</v>
      </c>
      <c r="D75" s="58" t="s">
        <v>5001</v>
      </c>
      <c r="E75" s="59" t="s">
        <v>5002</v>
      </c>
    </row>
    <row r="76" spans="1:5" ht="18.75" hidden="1" customHeight="1">
      <c r="A76" s="57">
        <v>1421</v>
      </c>
      <c r="B76" s="57" t="s">
        <v>180</v>
      </c>
      <c r="C76" s="57" t="s">
        <v>79</v>
      </c>
      <c r="D76" s="58" t="s">
        <v>5003</v>
      </c>
      <c r="E76" s="59" t="s">
        <v>5004</v>
      </c>
    </row>
    <row r="77" spans="1:5" ht="18.75" hidden="1" customHeight="1">
      <c r="A77" s="51">
        <v>1666</v>
      </c>
      <c r="B77" s="51" t="s">
        <v>415</v>
      </c>
      <c r="C77" s="51" t="s">
        <v>79</v>
      </c>
      <c r="D77" s="52" t="s">
        <v>5005</v>
      </c>
      <c r="E77" s="59" t="s">
        <v>5006</v>
      </c>
    </row>
    <row r="78" spans="1:5" ht="18.75" hidden="1" customHeight="1">
      <c r="A78" s="57">
        <v>1689</v>
      </c>
      <c r="B78" s="57" t="s">
        <v>2118</v>
      </c>
      <c r="C78" s="57" t="s">
        <v>79</v>
      </c>
      <c r="D78" s="58" t="s">
        <v>5007</v>
      </c>
      <c r="E78" s="59" t="s">
        <v>5008</v>
      </c>
    </row>
    <row r="79" spans="1:5" hidden="1">
      <c r="A79" s="57">
        <v>2238</v>
      </c>
      <c r="B79" s="57" t="s">
        <v>708</v>
      </c>
      <c r="C79" s="57" t="s">
        <v>79</v>
      </c>
      <c r="D79" s="58" t="s">
        <v>5009</v>
      </c>
      <c r="E79" s="59" t="s">
        <v>5010</v>
      </c>
    </row>
    <row r="80" spans="1:5" hidden="1">
      <c r="A80" s="57">
        <v>2244</v>
      </c>
      <c r="B80" s="57" t="s">
        <v>1854</v>
      </c>
      <c r="C80" s="57" t="s">
        <v>79</v>
      </c>
      <c r="D80" s="58" t="s">
        <v>5011</v>
      </c>
      <c r="E80" s="59" t="s">
        <v>5012</v>
      </c>
    </row>
    <row r="81" spans="1:5" ht="18.75" hidden="1" customHeight="1">
      <c r="A81" s="57">
        <v>2388</v>
      </c>
      <c r="B81" s="57" t="s">
        <v>300</v>
      </c>
      <c r="C81" s="57" t="s">
        <v>79</v>
      </c>
      <c r="D81" s="58" t="s">
        <v>5013</v>
      </c>
      <c r="E81" s="59" t="s">
        <v>5014</v>
      </c>
    </row>
    <row r="82" spans="1:5" ht="18.75" hidden="1" customHeight="1">
      <c r="A82" s="57">
        <v>4076</v>
      </c>
      <c r="B82" s="57" t="s">
        <v>427</v>
      </c>
      <c r="C82" s="57" t="s">
        <v>79</v>
      </c>
      <c r="D82" s="58" t="s">
        <v>5015</v>
      </c>
      <c r="E82" s="59" t="s">
        <v>5016</v>
      </c>
    </row>
    <row r="83" spans="1:5" ht="18.75" hidden="1" customHeight="1">
      <c r="A83" s="57">
        <v>4637</v>
      </c>
      <c r="B83" s="57" t="s">
        <v>849</v>
      </c>
      <c r="C83" s="57" t="s">
        <v>79</v>
      </c>
      <c r="D83" s="58" t="s">
        <v>5017</v>
      </c>
      <c r="E83" s="59" t="s">
        <v>5018</v>
      </c>
    </row>
    <row r="84" spans="1:5" ht="18.75" hidden="1" customHeight="1">
      <c r="A84" s="57">
        <v>4997</v>
      </c>
      <c r="B84" s="57" t="s">
        <v>407</v>
      </c>
      <c r="C84" s="57" t="s">
        <v>79</v>
      </c>
      <c r="D84" s="58" t="s">
        <v>5019</v>
      </c>
      <c r="E84" s="59" t="s">
        <v>5020</v>
      </c>
    </row>
    <row r="85" spans="1:5" ht="18.75" hidden="1" customHeight="1">
      <c r="A85" s="57">
        <v>5742</v>
      </c>
      <c r="B85" s="57" t="s">
        <v>431</v>
      </c>
      <c r="C85" s="57" t="s">
        <v>79</v>
      </c>
      <c r="D85" s="58" t="s">
        <v>5021</v>
      </c>
      <c r="E85" s="59" t="s">
        <v>5022</v>
      </c>
    </row>
    <row r="86" spans="1:5" ht="18.75" hidden="1" customHeight="1">
      <c r="A86" s="57">
        <v>9703</v>
      </c>
      <c r="B86" s="57" t="s">
        <v>495</v>
      </c>
      <c r="C86" s="57" t="s">
        <v>79</v>
      </c>
      <c r="D86" s="58" t="s">
        <v>5023</v>
      </c>
      <c r="E86" s="59" t="s">
        <v>5024</v>
      </c>
    </row>
    <row r="87" spans="1:5" ht="18.75" hidden="1" customHeight="1">
      <c r="A87" s="57">
        <v>67</v>
      </c>
      <c r="B87" s="57" t="s">
        <v>405</v>
      </c>
      <c r="C87" s="57" t="s">
        <v>164</v>
      </c>
      <c r="D87" s="58" t="s">
        <v>5025</v>
      </c>
      <c r="E87" s="59" t="s">
        <v>5026</v>
      </c>
    </row>
    <row r="88" spans="1:5" ht="18.75" hidden="1" customHeight="1">
      <c r="A88" s="57">
        <v>550</v>
      </c>
      <c r="B88" s="57" t="s">
        <v>338</v>
      </c>
      <c r="C88" s="57" t="s">
        <v>164</v>
      </c>
      <c r="D88" s="58" t="s">
        <v>5027</v>
      </c>
      <c r="E88" s="59" t="s">
        <v>5028</v>
      </c>
    </row>
    <row r="89" spans="1:5" ht="18.75" hidden="1" customHeight="1">
      <c r="A89" s="57">
        <v>1012</v>
      </c>
      <c r="B89" s="57" t="s">
        <v>173</v>
      </c>
      <c r="C89" s="57" t="s">
        <v>164</v>
      </c>
      <c r="D89" s="58" t="s">
        <v>5029</v>
      </c>
      <c r="E89" s="59" t="s">
        <v>5030</v>
      </c>
    </row>
    <row r="90" spans="1:5" ht="18.75" hidden="1" customHeight="1">
      <c r="A90" s="57">
        <v>1049</v>
      </c>
      <c r="B90" s="57" t="s">
        <v>170</v>
      </c>
      <c r="C90" s="57" t="s">
        <v>164</v>
      </c>
      <c r="D90" s="58" t="s">
        <v>4928</v>
      </c>
      <c r="E90" s="59" t="s">
        <v>5031</v>
      </c>
    </row>
    <row r="91" spans="1:5" ht="18.75" hidden="1" customHeight="1">
      <c r="A91" s="57">
        <v>1664</v>
      </c>
      <c r="B91" s="57" t="s">
        <v>308</v>
      </c>
      <c r="C91" s="57" t="s">
        <v>164</v>
      </c>
      <c r="D91" s="58" t="s">
        <v>5032</v>
      </c>
      <c r="E91" s="59" t="s">
        <v>5033</v>
      </c>
    </row>
    <row r="92" spans="1:5" ht="18.75" hidden="1" customHeight="1">
      <c r="A92" s="57">
        <v>1732</v>
      </c>
      <c r="B92" s="57" t="s">
        <v>178</v>
      </c>
      <c r="C92" s="57" t="s">
        <v>164</v>
      </c>
      <c r="D92" s="58" t="s">
        <v>5034</v>
      </c>
      <c r="E92" s="59" t="s">
        <v>5035</v>
      </c>
    </row>
    <row r="93" spans="1:5" ht="18.75" hidden="1" customHeight="1">
      <c r="A93" s="57">
        <v>2564</v>
      </c>
      <c r="B93" s="57" t="s">
        <v>256</v>
      </c>
      <c r="C93" s="57" t="s">
        <v>164</v>
      </c>
      <c r="D93" s="58" t="s">
        <v>5036</v>
      </c>
      <c r="E93" s="59" t="s">
        <v>5037</v>
      </c>
    </row>
    <row r="94" spans="1:5" ht="18.75" hidden="1" customHeight="1">
      <c r="A94" s="57">
        <v>2625</v>
      </c>
      <c r="B94" s="57" t="s">
        <v>318</v>
      </c>
      <c r="C94" s="57" t="s">
        <v>164</v>
      </c>
      <c r="D94" s="58" t="s">
        <v>5038</v>
      </c>
      <c r="E94" s="59" t="s">
        <v>5039</v>
      </c>
    </row>
    <row r="95" spans="1:5" ht="18.75" hidden="1" customHeight="1">
      <c r="A95" s="57">
        <v>5898</v>
      </c>
      <c r="B95" s="57" t="s">
        <v>366</v>
      </c>
      <c r="C95" s="57" t="s">
        <v>164</v>
      </c>
      <c r="D95" s="58" t="s">
        <v>5040</v>
      </c>
      <c r="E95" s="59" t="s">
        <v>5041</v>
      </c>
    </row>
    <row r="96" spans="1:5" ht="18.75" hidden="1" customHeight="1">
      <c r="A96" s="57">
        <v>9704</v>
      </c>
      <c r="B96" s="57" t="s">
        <v>489</v>
      </c>
      <c r="C96" s="57" t="s">
        <v>164</v>
      </c>
      <c r="D96" s="58" t="s">
        <v>5042</v>
      </c>
      <c r="E96" s="59" t="s">
        <v>5043</v>
      </c>
    </row>
    <row r="97" spans="1:8" hidden="1">
      <c r="A97" s="57">
        <v>220</v>
      </c>
      <c r="B97" s="57" t="s">
        <v>589</v>
      </c>
      <c r="C97" s="57" t="s">
        <v>110</v>
      </c>
      <c r="D97" s="58" t="s">
        <v>5044</v>
      </c>
      <c r="E97" s="59" t="s">
        <v>5045</v>
      </c>
    </row>
    <row r="98" spans="1:8" ht="18.75" hidden="1" customHeight="1">
      <c r="A98" s="57">
        <v>446</v>
      </c>
      <c r="B98" s="57" t="s">
        <v>433</v>
      </c>
      <c r="C98" s="57" t="s">
        <v>110</v>
      </c>
      <c r="D98" s="58" t="s">
        <v>5046</v>
      </c>
      <c r="E98" s="59" t="s">
        <v>5047</v>
      </c>
    </row>
    <row r="99" spans="1:8" ht="18.75" hidden="1" customHeight="1">
      <c r="A99" s="57">
        <v>673</v>
      </c>
      <c r="B99" s="57" t="s">
        <v>582</v>
      </c>
      <c r="C99" s="57" t="s">
        <v>110</v>
      </c>
      <c r="D99" s="58" t="s">
        <v>5048</v>
      </c>
      <c r="E99" s="59" t="s">
        <v>5049</v>
      </c>
    </row>
    <row r="100" spans="1:8" ht="18.75" hidden="1" customHeight="1">
      <c r="A100" s="57">
        <v>1264</v>
      </c>
      <c r="B100" s="57" t="s">
        <v>352</v>
      </c>
      <c r="C100" s="57" t="s">
        <v>110</v>
      </c>
      <c r="D100" s="58" t="s">
        <v>5050</v>
      </c>
      <c r="E100" s="59" t="s">
        <v>5051</v>
      </c>
    </row>
    <row r="101" spans="1:8" ht="18.75" hidden="1" customHeight="1">
      <c r="A101" s="57">
        <v>1363</v>
      </c>
      <c r="B101" s="57" t="s">
        <v>109</v>
      </c>
      <c r="C101" s="57" t="s">
        <v>110</v>
      </c>
      <c r="D101" s="58" t="s">
        <v>5052</v>
      </c>
      <c r="E101" s="59" t="s">
        <v>5053</v>
      </c>
    </row>
    <row r="102" spans="1:8" ht="18.75" hidden="1" customHeight="1">
      <c r="A102" s="71">
        <v>1672</v>
      </c>
      <c r="B102" s="71" t="s">
        <v>5054</v>
      </c>
      <c r="C102" s="71" t="s">
        <v>110</v>
      </c>
      <c r="D102" s="72" t="s">
        <v>5055</v>
      </c>
      <c r="E102" s="73" t="s">
        <v>5056</v>
      </c>
    </row>
    <row r="103" spans="1:8" ht="18.75" hidden="1" customHeight="1">
      <c r="A103" s="57">
        <v>1792</v>
      </c>
      <c r="B103" s="57" t="s">
        <v>468</v>
      </c>
      <c r="C103" s="57" t="s">
        <v>110</v>
      </c>
      <c r="D103" s="58" t="s">
        <v>5057</v>
      </c>
      <c r="E103" s="59" t="s">
        <v>5058</v>
      </c>
    </row>
    <row r="104" spans="1:8" ht="18.75" hidden="1" customHeight="1">
      <c r="A104" s="57">
        <v>2039</v>
      </c>
      <c r="B104" s="57" t="s">
        <v>1944</v>
      </c>
      <c r="C104" s="57" t="s">
        <v>110</v>
      </c>
      <c r="D104" s="58" t="s">
        <v>5059</v>
      </c>
      <c r="E104" s="59" t="s">
        <v>5060</v>
      </c>
    </row>
    <row r="105" spans="1:8" hidden="1">
      <c r="A105" s="57">
        <v>2257</v>
      </c>
      <c r="B105" s="57" t="s">
        <v>382</v>
      </c>
      <c r="C105" s="57" t="s">
        <v>110</v>
      </c>
      <c r="D105" s="58" t="s">
        <v>5061</v>
      </c>
      <c r="E105" s="59" t="s">
        <v>5062</v>
      </c>
    </row>
    <row r="106" spans="1:8" hidden="1">
      <c r="A106" s="57">
        <v>2335</v>
      </c>
      <c r="B106" s="57" t="s">
        <v>195</v>
      </c>
      <c r="C106" s="57" t="s">
        <v>110</v>
      </c>
      <c r="D106" s="58" t="s">
        <v>5063</v>
      </c>
      <c r="E106" s="59" t="s">
        <v>5064</v>
      </c>
    </row>
    <row r="107" spans="1:8" hidden="1">
      <c r="A107" s="57">
        <v>2669</v>
      </c>
      <c r="B107" s="57" t="s">
        <v>562</v>
      </c>
      <c r="C107" s="57" t="s">
        <v>110</v>
      </c>
      <c r="D107" s="58" t="s">
        <v>5065</v>
      </c>
      <c r="E107" s="59" t="s">
        <v>5066</v>
      </c>
    </row>
    <row r="108" spans="1:8" hidden="1">
      <c r="A108" s="57">
        <v>233</v>
      </c>
      <c r="B108" s="57" t="s">
        <v>425</v>
      </c>
      <c r="C108" s="57" t="s">
        <v>261</v>
      </c>
      <c r="D108" s="58" t="s">
        <v>5067</v>
      </c>
      <c r="E108" s="59" t="s">
        <v>5068</v>
      </c>
    </row>
    <row r="109" spans="1:8" hidden="1">
      <c r="A109" s="57">
        <v>834</v>
      </c>
      <c r="B109" s="57" t="s">
        <v>368</v>
      </c>
      <c r="C109" s="57" t="s">
        <v>261</v>
      </c>
      <c r="D109" s="58" t="s">
        <v>5069</v>
      </c>
      <c r="E109" s="59" t="s">
        <v>5070</v>
      </c>
    </row>
    <row r="110" spans="1:8" hidden="1">
      <c r="A110" s="57">
        <v>922</v>
      </c>
      <c r="B110" s="57" t="s">
        <v>1376</v>
      </c>
      <c r="C110" s="57" t="s">
        <v>261</v>
      </c>
      <c r="D110" s="58" t="s">
        <v>5071</v>
      </c>
      <c r="E110" s="59" t="s">
        <v>5072</v>
      </c>
      <c r="G110" s="61"/>
    </row>
    <row r="111" spans="1:8" hidden="1">
      <c r="A111" s="57">
        <v>1358</v>
      </c>
      <c r="B111" s="57" t="s">
        <v>594</v>
      </c>
      <c r="C111" s="57" t="s">
        <v>261</v>
      </c>
      <c r="D111" s="58" t="s">
        <v>5073</v>
      </c>
      <c r="E111" s="59" t="s">
        <v>5074</v>
      </c>
      <c r="G111" s="74"/>
      <c r="H111" s="75"/>
    </row>
    <row r="112" spans="1:8" ht="18.75" hidden="1" customHeight="1">
      <c r="A112" s="57">
        <v>1360</v>
      </c>
      <c r="B112" s="57" t="s">
        <v>304</v>
      </c>
      <c r="C112" s="57" t="s">
        <v>261</v>
      </c>
      <c r="D112" s="58" t="s">
        <v>5075</v>
      </c>
      <c r="E112" s="59" t="s">
        <v>5076</v>
      </c>
    </row>
    <row r="113" spans="1:10" ht="18.75" hidden="1" customHeight="1">
      <c r="A113" s="57">
        <v>1643</v>
      </c>
      <c r="B113" s="57" t="s">
        <v>362</v>
      </c>
      <c r="C113" s="57" t="s">
        <v>261</v>
      </c>
      <c r="D113" s="58" t="s">
        <v>5077</v>
      </c>
      <c r="E113" s="59" t="s">
        <v>5078</v>
      </c>
    </row>
    <row r="114" spans="1:10" ht="18.75" hidden="1" customHeight="1">
      <c r="A114" s="57">
        <v>1710</v>
      </c>
      <c r="B114" s="57" t="s">
        <v>328</v>
      </c>
      <c r="C114" s="57" t="s">
        <v>261</v>
      </c>
      <c r="D114" s="58" t="s">
        <v>5079</v>
      </c>
      <c r="E114" s="59" t="s">
        <v>5080</v>
      </c>
    </row>
    <row r="115" spans="1:10" ht="18.75" hidden="1" customHeight="1">
      <c r="A115" s="57">
        <v>1771</v>
      </c>
      <c r="B115" s="57" t="s">
        <v>616</v>
      </c>
      <c r="C115" s="57" t="s">
        <v>261</v>
      </c>
      <c r="D115" s="58" t="s">
        <v>5081</v>
      </c>
      <c r="E115" s="59" t="s">
        <v>5082</v>
      </c>
    </row>
    <row r="116" spans="1:10" ht="18.75" hidden="1" customHeight="1">
      <c r="A116" s="57">
        <v>2081</v>
      </c>
      <c r="B116" s="57" t="s">
        <v>591</v>
      </c>
      <c r="C116" s="57" t="s">
        <v>261</v>
      </c>
      <c r="D116" s="58" t="s">
        <v>5083</v>
      </c>
      <c r="E116" s="59" t="s">
        <v>5084</v>
      </c>
    </row>
    <row r="117" spans="1:10" ht="18.75" hidden="1" customHeight="1">
      <c r="A117" s="57">
        <v>2239</v>
      </c>
      <c r="B117" s="57" t="s">
        <v>334</v>
      </c>
      <c r="C117" s="57" t="s">
        <v>261</v>
      </c>
      <c r="D117" s="58" t="s">
        <v>5085</v>
      </c>
      <c r="E117" s="59" t="s">
        <v>5086</v>
      </c>
    </row>
    <row r="118" spans="1:10" ht="18.75" hidden="1" customHeight="1">
      <c r="A118" s="57">
        <v>2473</v>
      </c>
      <c r="B118" s="57" t="s">
        <v>1460</v>
      </c>
      <c r="C118" s="57" t="s">
        <v>261</v>
      </c>
      <c r="D118" s="58" t="s">
        <v>5087</v>
      </c>
      <c r="E118" s="59" t="s">
        <v>5088</v>
      </c>
    </row>
    <row r="119" spans="1:10" ht="18.75" hidden="1" customHeight="1">
      <c r="A119" s="57">
        <v>2559</v>
      </c>
      <c r="B119" s="57" t="s">
        <v>260</v>
      </c>
      <c r="C119" s="57" t="s">
        <v>261</v>
      </c>
      <c r="D119" s="58" t="s">
        <v>5089</v>
      </c>
      <c r="E119" s="59" t="s">
        <v>5090</v>
      </c>
    </row>
    <row r="120" spans="1:10" ht="18.75" hidden="1" customHeight="1">
      <c r="A120" s="57">
        <v>4012</v>
      </c>
      <c r="B120" s="57" t="s">
        <v>350</v>
      </c>
      <c r="C120" s="57" t="s">
        <v>261</v>
      </c>
      <c r="D120" s="58" t="s">
        <v>5091</v>
      </c>
      <c r="E120" s="59" t="s">
        <v>5092</v>
      </c>
    </row>
    <row r="121" spans="1:10" ht="18.75" hidden="1" customHeight="1">
      <c r="A121" s="57">
        <v>232</v>
      </c>
      <c r="B121" s="57" t="s">
        <v>1364</v>
      </c>
      <c r="C121" s="57" t="s">
        <v>141</v>
      </c>
      <c r="D121" s="58" t="s">
        <v>5093</v>
      </c>
      <c r="E121" s="59" t="s">
        <v>5094</v>
      </c>
    </row>
    <row r="122" spans="1:10" ht="18.75" hidden="1" customHeight="1">
      <c r="A122" s="57">
        <v>582</v>
      </c>
      <c r="B122" s="57" t="s">
        <v>140</v>
      </c>
      <c r="C122" s="57" t="s">
        <v>141</v>
      </c>
      <c r="D122" s="58" t="s">
        <v>5095</v>
      </c>
      <c r="E122" s="59" t="s">
        <v>5096</v>
      </c>
    </row>
    <row r="123" spans="1:10" ht="18.75" hidden="1" customHeight="1">
      <c r="A123" s="57">
        <v>1359</v>
      </c>
      <c r="B123" s="57" t="s">
        <v>271</v>
      </c>
      <c r="C123" s="57" t="s">
        <v>141</v>
      </c>
      <c r="D123" s="58" t="s">
        <v>5097</v>
      </c>
      <c r="E123" s="59" t="s">
        <v>5098</v>
      </c>
    </row>
    <row r="124" spans="1:10" ht="18.75" hidden="1" customHeight="1">
      <c r="A124" s="57">
        <v>1650</v>
      </c>
      <c r="B124" s="57" t="s">
        <v>621</v>
      </c>
      <c r="C124" s="57" t="s">
        <v>141</v>
      </c>
      <c r="D124" s="58" t="s">
        <v>5099</v>
      </c>
      <c r="E124" s="59" t="s">
        <v>5100</v>
      </c>
    </row>
    <row r="125" spans="1:10" ht="18.75" hidden="1" customHeight="1">
      <c r="A125" s="57">
        <v>2219</v>
      </c>
      <c r="B125" s="57" t="s">
        <v>894</v>
      </c>
      <c r="C125" s="57" t="s">
        <v>141</v>
      </c>
      <c r="D125" s="58" t="s">
        <v>5101</v>
      </c>
      <c r="E125" s="59" t="s">
        <v>5102</v>
      </c>
    </row>
    <row r="126" spans="1:10" ht="18.75" hidden="1" customHeight="1">
      <c r="A126" s="57">
        <v>2369</v>
      </c>
      <c r="B126" s="57" t="s">
        <v>702</v>
      </c>
      <c r="C126" s="57" t="s">
        <v>141</v>
      </c>
      <c r="D126" s="58" t="s">
        <v>5103</v>
      </c>
      <c r="E126" s="59" t="s">
        <v>5104</v>
      </c>
    </row>
    <row r="127" spans="1:10" ht="18.75" hidden="1" customHeight="1">
      <c r="A127" s="57">
        <v>2413</v>
      </c>
      <c r="B127" s="57" t="s">
        <v>506</v>
      </c>
      <c r="C127" s="57" t="s">
        <v>141</v>
      </c>
      <c r="D127" s="58" t="s">
        <v>5105</v>
      </c>
      <c r="E127" s="59" t="s">
        <v>5106</v>
      </c>
      <c r="J127" s="15"/>
    </row>
    <row r="128" spans="1:10" ht="18.75" hidden="1" customHeight="1">
      <c r="A128" s="57">
        <v>8264</v>
      </c>
      <c r="B128" s="57" t="s">
        <v>5107</v>
      </c>
      <c r="C128" s="57" t="s">
        <v>141</v>
      </c>
      <c r="D128" s="58" t="s">
        <v>5108</v>
      </c>
      <c r="E128" s="59" t="s">
        <v>5109</v>
      </c>
    </row>
    <row r="129" spans="1:10" ht="18.75" hidden="1" customHeight="1">
      <c r="A129" s="51">
        <v>69</v>
      </c>
      <c r="B129" s="51" t="s">
        <v>1207</v>
      </c>
      <c r="C129" s="57" t="s">
        <v>33</v>
      </c>
      <c r="D129" s="52" t="s">
        <v>5110</v>
      </c>
      <c r="E129" s="59" t="s">
        <v>5111</v>
      </c>
    </row>
    <row r="130" spans="1:10" ht="18.75" hidden="1" customHeight="1">
      <c r="A130" s="57">
        <v>594</v>
      </c>
      <c r="B130" s="57" t="s">
        <v>445</v>
      </c>
      <c r="C130" s="57" t="s">
        <v>33</v>
      </c>
      <c r="D130" s="58" t="s">
        <v>5112</v>
      </c>
      <c r="E130" s="59" t="s">
        <v>5113</v>
      </c>
      <c r="H130" s="60"/>
    </row>
    <row r="131" spans="1:10" ht="18.75" hidden="1" customHeight="1">
      <c r="A131" s="57">
        <v>963</v>
      </c>
      <c r="B131" s="57" t="s">
        <v>532</v>
      </c>
      <c r="C131" s="57" t="s">
        <v>33</v>
      </c>
      <c r="D131" s="58" t="s">
        <v>5114</v>
      </c>
      <c r="E131" s="59" t="s">
        <v>5115</v>
      </c>
      <c r="H131" s="60"/>
    </row>
    <row r="132" spans="1:10" ht="18.75" hidden="1" customHeight="1">
      <c r="A132" s="57">
        <v>1185</v>
      </c>
      <c r="B132" s="57" t="s">
        <v>540</v>
      </c>
      <c r="C132" s="57" t="s">
        <v>33</v>
      </c>
      <c r="D132" s="58" t="s">
        <v>5116</v>
      </c>
      <c r="E132" s="59" t="s">
        <v>5117</v>
      </c>
      <c r="H132" s="60"/>
    </row>
    <row r="133" spans="1:10" ht="18.75" hidden="1" customHeight="1">
      <c r="A133" s="57">
        <v>1291</v>
      </c>
      <c r="B133" s="57" t="s">
        <v>137</v>
      </c>
      <c r="C133" s="57" t="s">
        <v>33</v>
      </c>
      <c r="D133" s="58" t="s">
        <v>5118</v>
      </c>
      <c r="E133" s="59" t="s">
        <v>5119</v>
      </c>
      <c r="H133" s="60"/>
    </row>
    <row r="134" spans="1:10" ht="18.75" hidden="1" customHeight="1">
      <c r="A134" s="57">
        <v>2442</v>
      </c>
      <c r="B134" s="57" t="s">
        <v>1957</v>
      </c>
      <c r="C134" s="57" t="s">
        <v>33</v>
      </c>
      <c r="D134" s="58" t="s">
        <v>5120</v>
      </c>
      <c r="E134" s="59" t="s">
        <v>5121</v>
      </c>
    </row>
    <row r="135" spans="1:10" ht="18.75" hidden="1" customHeight="1">
      <c r="A135" s="57">
        <v>2678</v>
      </c>
      <c r="B135" s="57" t="s">
        <v>993</v>
      </c>
      <c r="C135" s="57" t="s">
        <v>33</v>
      </c>
      <c r="D135" s="58" t="s">
        <v>5122</v>
      </c>
      <c r="E135" s="59" t="s">
        <v>5123</v>
      </c>
    </row>
    <row r="136" spans="1:10" ht="18.75" hidden="1" customHeight="1">
      <c r="A136" s="57">
        <v>3918</v>
      </c>
      <c r="B136" s="57" t="s">
        <v>859</v>
      </c>
      <c r="C136" s="57" t="s">
        <v>33</v>
      </c>
      <c r="D136" s="58" t="s">
        <v>5124</v>
      </c>
      <c r="E136" s="59" t="s">
        <v>5125</v>
      </c>
    </row>
    <row r="137" spans="1:10" ht="18.75" hidden="1" customHeight="1">
      <c r="A137" s="57">
        <v>4264</v>
      </c>
      <c r="B137" s="57" t="s">
        <v>5126</v>
      </c>
      <c r="C137" s="57" t="s">
        <v>33</v>
      </c>
      <c r="D137" s="58" t="s">
        <v>5127</v>
      </c>
      <c r="E137" s="59" t="s">
        <v>5128</v>
      </c>
    </row>
    <row r="138" spans="1:10" ht="18.75" hidden="1" customHeight="1">
      <c r="A138" s="57">
        <v>4561</v>
      </c>
      <c r="B138" s="57" t="s">
        <v>5129</v>
      </c>
      <c r="C138" s="57" t="s">
        <v>33</v>
      </c>
      <c r="D138" s="58" t="s">
        <v>5130</v>
      </c>
      <c r="E138" s="59" t="s">
        <v>5131</v>
      </c>
    </row>
    <row r="139" spans="1:10" ht="18.75" hidden="1" customHeight="1">
      <c r="A139" s="51">
        <v>4623</v>
      </c>
      <c r="B139" s="51" t="s">
        <v>670</v>
      </c>
      <c r="C139" s="51" t="s">
        <v>33</v>
      </c>
      <c r="D139" s="67" t="s">
        <v>5132</v>
      </c>
      <c r="E139" s="59" t="s">
        <v>5133</v>
      </c>
    </row>
    <row r="140" spans="1:10" ht="18.75" hidden="1" customHeight="1">
      <c r="A140" s="57">
        <v>5749</v>
      </c>
      <c r="B140" s="57" t="s">
        <v>1812</v>
      </c>
      <c r="C140" s="57" t="s">
        <v>33</v>
      </c>
      <c r="D140" s="58" t="s">
        <v>5134</v>
      </c>
      <c r="E140" s="59" t="s">
        <v>5135</v>
      </c>
    </row>
    <row r="141" spans="1:10" ht="18.75" hidden="1" customHeight="1">
      <c r="A141" s="57">
        <v>5815</v>
      </c>
      <c r="B141" s="57" t="s">
        <v>5136</v>
      </c>
      <c r="C141" s="57" t="s">
        <v>33</v>
      </c>
      <c r="D141" s="58" t="s">
        <v>5137</v>
      </c>
      <c r="E141" s="59" t="s">
        <v>5138</v>
      </c>
    </row>
    <row r="142" spans="1:10" hidden="1">
      <c r="A142" s="57">
        <v>8074</v>
      </c>
      <c r="B142" s="57" t="s">
        <v>1258</v>
      </c>
      <c r="C142" s="57" t="s">
        <v>33</v>
      </c>
      <c r="D142" s="58" t="s">
        <v>5139</v>
      </c>
      <c r="E142" s="59" t="s">
        <v>5140</v>
      </c>
    </row>
    <row r="143" spans="1:10" ht="18.75" hidden="1" customHeight="1">
      <c r="A143" s="57">
        <v>115</v>
      </c>
      <c r="B143" s="57" t="s">
        <v>543</v>
      </c>
      <c r="C143" s="57" t="s">
        <v>56</v>
      </c>
      <c r="D143" s="58" t="s">
        <v>5141</v>
      </c>
      <c r="E143" s="59" t="s">
        <v>5142</v>
      </c>
    </row>
    <row r="144" spans="1:10" ht="18.75" hidden="1" customHeight="1">
      <c r="A144" s="57">
        <v>244</v>
      </c>
      <c r="B144" s="57" t="s">
        <v>314</v>
      </c>
      <c r="C144" s="57" t="s">
        <v>56</v>
      </c>
      <c r="D144" s="58" t="s">
        <v>5143</v>
      </c>
      <c r="E144" s="59" t="s">
        <v>5144</v>
      </c>
      <c r="H144" s="60"/>
      <c r="I144" s="62"/>
      <c r="J144" s="24"/>
    </row>
    <row r="145" spans="1:10" ht="18.75" hidden="1" customHeight="1">
      <c r="A145" s="57">
        <v>710</v>
      </c>
      <c r="B145" s="57" t="s">
        <v>391</v>
      </c>
      <c r="C145" s="57" t="s">
        <v>56</v>
      </c>
      <c r="D145" s="58" t="s">
        <v>4876</v>
      </c>
      <c r="E145" s="59" t="s">
        <v>5145</v>
      </c>
      <c r="H145" s="60"/>
      <c r="I145" s="63"/>
      <c r="J145" s="64"/>
    </row>
    <row r="146" spans="1:10" ht="18.75" hidden="1" customHeight="1">
      <c r="A146" s="57">
        <v>1058</v>
      </c>
      <c r="B146" s="57" t="s">
        <v>290</v>
      </c>
      <c r="C146" s="57" t="s">
        <v>56</v>
      </c>
      <c r="D146" s="58" t="s">
        <v>5146</v>
      </c>
      <c r="E146" s="59" t="s">
        <v>5147</v>
      </c>
      <c r="H146" s="60"/>
      <c r="I146" s="63"/>
      <c r="J146" s="65"/>
    </row>
    <row r="147" spans="1:10" ht="18.75" hidden="1" customHeight="1">
      <c r="A147" s="57">
        <v>1761</v>
      </c>
      <c r="B147" s="57" t="s">
        <v>376</v>
      </c>
      <c r="C147" s="57" t="s">
        <v>56</v>
      </c>
      <c r="D147" s="58" t="s">
        <v>5148</v>
      </c>
      <c r="E147" s="59" t="s">
        <v>5149</v>
      </c>
      <c r="H147" s="60"/>
      <c r="I147" s="63"/>
      <c r="J147" s="65"/>
    </row>
    <row r="148" spans="1:10" hidden="1">
      <c r="A148" s="57">
        <v>1943</v>
      </c>
      <c r="B148" s="57" t="s">
        <v>265</v>
      </c>
      <c r="C148" s="57" t="s">
        <v>56</v>
      </c>
      <c r="D148" s="58" t="s">
        <v>5150</v>
      </c>
      <c r="E148" s="59" t="s">
        <v>5151</v>
      </c>
      <c r="H148" s="60"/>
      <c r="I148" s="63"/>
      <c r="J148" s="65"/>
    </row>
    <row r="149" spans="1:10" hidden="1">
      <c r="A149" s="57">
        <v>2529</v>
      </c>
      <c r="B149" s="57" t="s">
        <v>356</v>
      </c>
      <c r="C149" s="57" t="s">
        <v>56</v>
      </c>
      <c r="D149" s="58" t="s">
        <v>5152</v>
      </c>
      <c r="E149" s="59" t="s">
        <v>5153</v>
      </c>
      <c r="H149" s="60"/>
      <c r="I149" s="63"/>
      <c r="J149" s="65"/>
    </row>
    <row r="150" spans="1:10" hidden="1">
      <c r="A150" s="57">
        <v>2693</v>
      </c>
      <c r="B150" s="57" t="s">
        <v>254</v>
      </c>
      <c r="C150" s="57" t="s">
        <v>56</v>
      </c>
      <c r="D150" s="58" t="s">
        <v>5154</v>
      </c>
      <c r="E150" s="59" t="s">
        <v>5155</v>
      </c>
      <c r="H150" s="60"/>
      <c r="I150" s="63"/>
      <c r="J150" s="65"/>
    </row>
    <row r="151" spans="1:10" hidden="1">
      <c r="A151" s="57">
        <v>2855</v>
      </c>
      <c r="B151" s="57" t="s">
        <v>250</v>
      </c>
      <c r="C151" s="57" t="s">
        <v>56</v>
      </c>
      <c r="D151" s="58" t="s">
        <v>5156</v>
      </c>
      <c r="E151" s="59" t="s">
        <v>5157</v>
      </c>
    </row>
    <row r="152" spans="1:10" hidden="1">
      <c r="A152" s="57">
        <v>3924</v>
      </c>
      <c r="B152" s="57" t="s">
        <v>154</v>
      </c>
      <c r="C152" s="57" t="s">
        <v>56</v>
      </c>
      <c r="D152" s="58" t="s">
        <v>5158</v>
      </c>
      <c r="E152" s="59" t="s">
        <v>5159</v>
      </c>
    </row>
    <row r="153" spans="1:10" hidden="1">
      <c r="A153" s="57">
        <v>8259</v>
      </c>
      <c r="B153" s="57" t="s">
        <v>246</v>
      </c>
      <c r="C153" s="57" t="s">
        <v>56</v>
      </c>
      <c r="D153" s="58" t="s">
        <v>5160</v>
      </c>
      <c r="E153" s="59" t="s">
        <v>5161</v>
      </c>
    </row>
    <row r="154" spans="1:10">
      <c r="A154" s="57">
        <v>600</v>
      </c>
      <c r="B154" s="57" t="s">
        <v>1085</v>
      </c>
      <c r="C154" s="57" t="s">
        <v>90</v>
      </c>
      <c r="D154" s="58" t="s">
        <v>5162</v>
      </c>
      <c r="E154" s="59" t="s">
        <v>5163</v>
      </c>
    </row>
    <row r="155" spans="1:10">
      <c r="A155" s="57">
        <v>605</v>
      </c>
      <c r="B155" s="57" t="s">
        <v>421</v>
      </c>
      <c r="C155" s="57" t="s">
        <v>90</v>
      </c>
      <c r="D155" s="58" t="s">
        <v>5164</v>
      </c>
      <c r="E155" s="59" t="s">
        <v>5165</v>
      </c>
    </row>
    <row r="156" spans="1:10">
      <c r="A156" s="51">
        <v>870</v>
      </c>
      <c r="B156" s="51" t="s">
        <v>184</v>
      </c>
      <c r="C156" s="57" t="s">
        <v>90</v>
      </c>
      <c r="D156" s="52" t="s">
        <v>5166</v>
      </c>
      <c r="E156" s="59" t="s">
        <v>5167</v>
      </c>
      <c r="G156" s="23" t="s">
        <v>4859</v>
      </c>
    </row>
    <row r="157" spans="1:10">
      <c r="A157" s="57">
        <v>899</v>
      </c>
      <c r="B157" s="57" t="s">
        <v>176</v>
      </c>
      <c r="C157" s="57" t="s">
        <v>90</v>
      </c>
      <c r="D157" s="58" t="s">
        <v>5168</v>
      </c>
      <c r="E157" s="59" t="s">
        <v>5169</v>
      </c>
    </row>
    <row r="158" spans="1:10">
      <c r="A158" s="57">
        <v>1059</v>
      </c>
      <c r="B158" s="57" t="s">
        <v>89</v>
      </c>
      <c r="C158" s="57" t="s">
        <v>90</v>
      </c>
      <c r="D158" s="58" t="s">
        <v>5170</v>
      </c>
      <c r="E158" s="59" t="s">
        <v>5171</v>
      </c>
    </row>
    <row r="159" spans="1:10">
      <c r="A159" s="57">
        <v>1108</v>
      </c>
      <c r="B159" s="57" t="s">
        <v>296</v>
      </c>
      <c r="C159" s="57" t="s">
        <v>90</v>
      </c>
      <c r="D159" s="58" t="s">
        <v>5172</v>
      </c>
      <c r="E159" s="59" t="s">
        <v>5173</v>
      </c>
    </row>
    <row r="160" spans="1:10">
      <c r="A160" s="57">
        <v>1362</v>
      </c>
      <c r="B160" s="57" t="s">
        <v>269</v>
      </c>
      <c r="C160" s="57" t="s">
        <v>90</v>
      </c>
      <c r="D160" s="58" t="s">
        <v>5174</v>
      </c>
      <c r="E160" s="59" t="s">
        <v>5175</v>
      </c>
    </row>
    <row r="161" spans="1:7">
      <c r="A161" s="57">
        <v>1764</v>
      </c>
      <c r="B161" s="57" t="s">
        <v>723</v>
      </c>
      <c r="C161" s="57" t="s">
        <v>90</v>
      </c>
      <c r="D161" s="58" t="s">
        <v>5176</v>
      </c>
      <c r="E161" s="59" t="s">
        <v>5177</v>
      </c>
    </row>
    <row r="162" spans="1:7">
      <c r="A162" s="57">
        <v>2069</v>
      </c>
      <c r="B162" s="57" t="s">
        <v>558</v>
      </c>
      <c r="C162" s="57" t="s">
        <v>90</v>
      </c>
      <c r="D162" s="58" t="s">
        <v>5178</v>
      </c>
      <c r="E162" s="59" t="s">
        <v>5179</v>
      </c>
    </row>
    <row r="163" spans="1:7">
      <c r="A163" s="57">
        <v>2371</v>
      </c>
      <c r="B163" s="57" t="s">
        <v>1001</v>
      </c>
      <c r="C163" s="57" t="s">
        <v>90</v>
      </c>
      <c r="D163" s="58" t="s">
        <v>5180</v>
      </c>
      <c r="E163" s="59" t="s">
        <v>5181</v>
      </c>
    </row>
    <row r="164" spans="1:7">
      <c r="A164" s="57">
        <v>2683</v>
      </c>
      <c r="B164" s="57" t="s">
        <v>277</v>
      </c>
      <c r="C164" s="57" t="s">
        <v>90</v>
      </c>
      <c r="D164" s="58" t="s">
        <v>5182</v>
      </c>
      <c r="E164" s="59" t="s">
        <v>5183</v>
      </c>
    </row>
    <row r="165" spans="1:7" ht="18.75" customHeight="1">
      <c r="A165" s="51">
        <v>2737</v>
      </c>
      <c r="B165" s="51" t="s">
        <v>312</v>
      </c>
      <c r="C165" s="57" t="s">
        <v>90</v>
      </c>
      <c r="D165" s="52" t="s">
        <v>5184</v>
      </c>
      <c r="E165" s="59" t="s">
        <v>5185</v>
      </c>
    </row>
    <row r="166" spans="1:7">
      <c r="A166" s="57">
        <v>9705</v>
      </c>
      <c r="B166" s="57" t="s">
        <v>205</v>
      </c>
      <c r="C166" s="57" t="s">
        <v>90</v>
      </c>
      <c r="D166" s="58" t="s">
        <v>5186</v>
      </c>
      <c r="E166" s="59" t="s">
        <v>5187</v>
      </c>
    </row>
    <row r="167" spans="1:7">
      <c r="A167" s="57">
        <v>246</v>
      </c>
      <c r="B167" s="57" t="s">
        <v>1194</v>
      </c>
      <c r="C167" s="57" t="s">
        <v>85</v>
      </c>
      <c r="D167" s="58" t="s">
        <v>5188</v>
      </c>
      <c r="E167" s="59" t="s">
        <v>5189</v>
      </c>
    </row>
    <row r="168" spans="1:7" ht="18.75" customHeight="1">
      <c r="A168" s="57">
        <v>917</v>
      </c>
      <c r="B168" s="57" t="s">
        <v>84</v>
      </c>
      <c r="C168" s="57" t="s">
        <v>85</v>
      </c>
      <c r="D168" s="58" t="s">
        <v>5190</v>
      </c>
      <c r="E168" s="59" t="s">
        <v>5191</v>
      </c>
    </row>
    <row r="169" spans="1:7">
      <c r="A169" s="51">
        <v>981</v>
      </c>
      <c r="B169" s="57" t="s">
        <v>411</v>
      </c>
      <c r="C169" s="57" t="s">
        <v>85</v>
      </c>
      <c r="D169" s="58" t="s">
        <v>5192</v>
      </c>
      <c r="E169" s="59" t="s">
        <v>5193</v>
      </c>
      <c r="G169" s="23" t="s">
        <v>4859</v>
      </c>
    </row>
    <row r="170" spans="1:7">
      <c r="A170" s="57">
        <v>1028</v>
      </c>
      <c r="B170" s="57" t="s">
        <v>1080</v>
      </c>
      <c r="C170" s="57" t="s">
        <v>85</v>
      </c>
      <c r="D170" s="58" t="s">
        <v>5194</v>
      </c>
      <c r="E170" s="59" t="s">
        <v>5195</v>
      </c>
    </row>
    <row r="171" spans="1:7">
      <c r="A171" s="66">
        <v>1061</v>
      </c>
      <c r="B171" s="66" t="s">
        <v>167</v>
      </c>
      <c r="C171" s="57" t="s">
        <v>85</v>
      </c>
      <c r="D171" s="67" t="s">
        <v>5196</v>
      </c>
      <c r="E171" s="53" t="s">
        <v>5197</v>
      </c>
    </row>
    <row r="172" spans="1:7">
      <c r="A172" s="57">
        <v>2739</v>
      </c>
      <c r="B172" s="57" t="s">
        <v>360</v>
      </c>
      <c r="C172" s="57" t="s">
        <v>85</v>
      </c>
      <c r="D172" s="58" t="s">
        <v>5198</v>
      </c>
      <c r="E172" s="59" t="s">
        <v>5199</v>
      </c>
    </row>
    <row r="173" spans="1:7">
      <c r="A173" s="57">
        <v>2304</v>
      </c>
      <c r="B173" s="57" t="s">
        <v>2712</v>
      </c>
      <c r="C173" s="57" t="s">
        <v>85</v>
      </c>
      <c r="D173" s="58" t="s">
        <v>5200</v>
      </c>
      <c r="E173" s="59" t="s">
        <v>5201</v>
      </c>
    </row>
    <row r="174" spans="1:7">
      <c r="B174" s="76"/>
    </row>
    <row r="175" spans="1:7">
      <c r="B175" s="76"/>
    </row>
    <row r="178" spans="8:10">
      <c r="H178" s="60" t="s">
        <v>110</v>
      </c>
      <c r="I178" s="62" t="s">
        <v>5202</v>
      </c>
      <c r="J178" s="24" t="s">
        <v>5203</v>
      </c>
    </row>
    <row r="179" spans="8:10">
      <c r="H179" s="60" t="s">
        <v>110</v>
      </c>
      <c r="I179" s="63" t="s">
        <v>5204</v>
      </c>
      <c r="J179" s="64" t="s">
        <v>5205</v>
      </c>
    </row>
    <row r="180" spans="8:10">
      <c r="H180" s="60" t="s">
        <v>261</v>
      </c>
      <c r="I180" s="63" t="s">
        <v>5206</v>
      </c>
      <c r="J180" s="65" t="s">
        <v>5207</v>
      </c>
    </row>
    <row r="181" spans="8:10">
      <c r="H181" s="60" t="s">
        <v>261</v>
      </c>
      <c r="I181" s="63" t="s">
        <v>5208</v>
      </c>
      <c r="J181" s="65" t="s">
        <v>5209</v>
      </c>
    </row>
    <row r="182" spans="8:10">
      <c r="H182" s="60" t="s">
        <v>141</v>
      </c>
      <c r="I182" s="63" t="s">
        <v>5210</v>
      </c>
      <c r="J182" s="65" t="s">
        <v>5211</v>
      </c>
    </row>
    <row r="183" spans="8:10">
      <c r="H183" s="60" t="s">
        <v>141</v>
      </c>
      <c r="I183" s="63" t="s">
        <v>5212</v>
      </c>
      <c r="J183" s="65" t="s">
        <v>5213</v>
      </c>
    </row>
    <row r="184" spans="8:10">
      <c r="H184" s="60" t="s">
        <v>56</v>
      </c>
      <c r="I184" s="63" t="s">
        <v>5214</v>
      </c>
      <c r="J184" s="65" t="s">
        <v>5215</v>
      </c>
    </row>
    <row r="188" spans="8:10">
      <c r="I188"/>
    </row>
    <row r="189" spans="8:10">
      <c r="H189" s="16" t="s">
        <v>2567</v>
      </c>
      <c r="I189" t="s">
        <v>5216</v>
      </c>
    </row>
    <row r="190" spans="8:10">
      <c r="H190" s="16" t="s">
        <v>208</v>
      </c>
      <c r="I190" t="s">
        <v>5217</v>
      </c>
    </row>
    <row r="191" spans="8:10">
      <c r="H191" s="16" t="s">
        <v>113</v>
      </c>
      <c r="I191" t="s">
        <v>5218</v>
      </c>
    </row>
    <row r="192" spans="8:10">
      <c r="I192"/>
    </row>
    <row r="193" spans="8:9">
      <c r="H193" s="16" t="s">
        <v>5219</v>
      </c>
      <c r="I193" t="s">
        <v>5220</v>
      </c>
    </row>
    <row r="194" spans="8:9">
      <c r="I194"/>
    </row>
    <row r="195" spans="8:9">
      <c r="H195" s="16" t="s">
        <v>5221</v>
      </c>
      <c r="I195" t="s">
        <v>5222</v>
      </c>
    </row>
    <row r="196" spans="8:9">
      <c r="H196" s="16" t="s">
        <v>5223</v>
      </c>
      <c r="I196" t="s">
        <v>5224</v>
      </c>
    </row>
    <row r="197" spans="8:9">
      <c r="H197" s="16" t="s">
        <v>5225</v>
      </c>
      <c r="I197" t="s">
        <v>5226</v>
      </c>
    </row>
    <row r="198" spans="8:9">
      <c r="H198" s="16" t="s">
        <v>5227</v>
      </c>
      <c r="I198" t="s">
        <v>5228</v>
      </c>
    </row>
    <row r="199" spans="8:9">
      <c r="H199" s="16" t="s">
        <v>119</v>
      </c>
      <c r="I199" t="s">
        <v>5229</v>
      </c>
    </row>
    <row r="200" spans="8:9">
      <c r="H200" s="16" t="s">
        <v>233</v>
      </c>
      <c r="I200" t="s">
        <v>5230</v>
      </c>
    </row>
    <row r="201" spans="8:9">
      <c r="H201" s="16" t="s">
        <v>5231</v>
      </c>
      <c r="I201" t="s">
        <v>5232</v>
      </c>
    </row>
    <row r="202" spans="8:9">
      <c r="H202" s="16" t="s">
        <v>5233</v>
      </c>
      <c r="I202" t="s">
        <v>5234</v>
      </c>
    </row>
    <row r="203" spans="8:9">
      <c r="H203" s="16" t="s">
        <v>128</v>
      </c>
      <c r="I203" t="s">
        <v>5235</v>
      </c>
    </row>
    <row r="204" spans="8:9">
      <c r="H204" s="16" t="s">
        <v>123</v>
      </c>
      <c r="I204" t="s">
        <v>5236</v>
      </c>
    </row>
    <row r="205" spans="8:9">
      <c r="H205" s="16" t="s">
        <v>2058</v>
      </c>
      <c r="I205" t="s">
        <v>5237</v>
      </c>
    </row>
    <row r="206" spans="8:9">
      <c r="H206" s="16" t="s">
        <v>1222</v>
      </c>
      <c r="I206" t="s">
        <v>5238</v>
      </c>
    </row>
    <row r="207" spans="8:9">
      <c r="H207" s="16" t="s">
        <v>1217</v>
      </c>
      <c r="I207" t="s">
        <v>5239</v>
      </c>
    </row>
    <row r="208" spans="8:9">
      <c r="H208" s="16" t="s">
        <v>1979</v>
      </c>
      <c r="I208" t="s">
        <v>5240</v>
      </c>
    </row>
    <row r="209" spans="8:9">
      <c r="H209" s="16" t="s">
        <v>131</v>
      </c>
      <c r="I209" t="s">
        <v>5241</v>
      </c>
    </row>
    <row r="210" spans="8:9">
      <c r="H210" s="16" t="s">
        <v>2698</v>
      </c>
      <c r="I210" t="s">
        <v>5242</v>
      </c>
    </row>
    <row r="211" spans="8:9">
      <c r="I211"/>
    </row>
    <row r="212" spans="8:9">
      <c r="H212" s="16" t="s">
        <v>1313</v>
      </c>
      <c r="I212" t="s">
        <v>5243</v>
      </c>
    </row>
    <row r="213" spans="8:9">
      <c r="H213" s="16" t="s">
        <v>1213</v>
      </c>
      <c r="I213" t="s">
        <v>5244</v>
      </c>
    </row>
    <row r="214" spans="8:9">
      <c r="H214" s="16" t="s">
        <v>2819</v>
      </c>
      <c r="I214" t="s">
        <v>5245</v>
      </c>
    </row>
    <row r="215" spans="8:9">
      <c r="H215" s="16" t="s">
        <v>52</v>
      </c>
      <c r="I215" t="s">
        <v>5246</v>
      </c>
    </row>
    <row r="216" spans="8:9">
      <c r="I216"/>
    </row>
    <row r="217" spans="8:9">
      <c r="H217" s="16" t="s">
        <v>2770</v>
      </c>
      <c r="I217" t="s">
        <v>5247</v>
      </c>
    </row>
    <row r="218" spans="8:9">
      <c r="I218"/>
    </row>
    <row r="219" spans="8:9">
      <c r="H219" s="16" t="s">
        <v>2995</v>
      </c>
      <c r="I219" t="s">
        <v>5248</v>
      </c>
    </row>
    <row r="220" spans="8:9">
      <c r="H220" s="16" t="s">
        <v>5249</v>
      </c>
      <c r="I220" t="s">
        <v>5250</v>
      </c>
    </row>
    <row r="221" spans="8:9">
      <c r="H221" s="16" t="s">
        <v>5251</v>
      </c>
      <c r="I221" t="s">
        <v>5252</v>
      </c>
    </row>
    <row r="222" spans="8:9">
      <c r="I222"/>
    </row>
    <row r="223" spans="8:9">
      <c r="H223" s="16" t="s">
        <v>2792</v>
      </c>
      <c r="I223" t="s">
        <v>5253</v>
      </c>
    </row>
    <row r="224" spans="8:9">
      <c r="H224" s="16" t="s">
        <v>5254</v>
      </c>
      <c r="I224" t="s">
        <v>5255</v>
      </c>
    </row>
    <row r="225" spans="8:9">
      <c r="H225" s="16" t="s">
        <v>2760</v>
      </c>
      <c r="I225" t="s">
        <v>5256</v>
      </c>
    </row>
    <row r="226" spans="8:9">
      <c r="I226"/>
    </row>
    <row r="227" spans="8:9">
      <c r="H227" s="16" t="s">
        <v>5257</v>
      </c>
      <c r="I227" t="s">
        <v>5258</v>
      </c>
    </row>
    <row r="228" spans="8:9">
      <c r="H228" s="16" t="s">
        <v>5259</v>
      </c>
      <c r="I228" t="s">
        <v>5260</v>
      </c>
    </row>
    <row r="229" spans="8:9">
      <c r="H229" s="16" t="s">
        <v>3543</v>
      </c>
      <c r="I229" t="s">
        <v>5261</v>
      </c>
    </row>
    <row r="230" spans="8:9">
      <c r="H230" s="16" t="s">
        <v>5262</v>
      </c>
      <c r="I230" t="s">
        <v>5263</v>
      </c>
    </row>
    <row r="231" spans="8:9">
      <c r="H231" s="16" t="s">
        <v>2533</v>
      </c>
      <c r="I231" t="s">
        <v>5264</v>
      </c>
    </row>
    <row r="232" spans="8:9">
      <c r="H232" s="16" t="s">
        <v>2744</v>
      </c>
      <c r="I232" t="s">
        <v>5265</v>
      </c>
    </row>
    <row r="233" spans="8:9">
      <c r="H233" s="16" t="s">
        <v>1155</v>
      </c>
      <c r="I233" t="s">
        <v>5266</v>
      </c>
    </row>
    <row r="234" spans="8:9">
      <c r="H234" s="16" t="s">
        <v>1989</v>
      </c>
      <c r="I234" t="s">
        <v>5267</v>
      </c>
    </row>
    <row r="235" spans="8:9">
      <c r="H235" s="16" t="s">
        <v>3916</v>
      </c>
      <c r="I235" t="s">
        <v>5268</v>
      </c>
    </row>
    <row r="236" spans="8:9">
      <c r="H236" s="16" t="s">
        <v>1727</v>
      </c>
      <c r="I236" t="s">
        <v>5269</v>
      </c>
    </row>
    <row r="237" spans="8:9">
      <c r="I237"/>
    </row>
    <row r="238" spans="8:9">
      <c r="H238" s="16" t="s">
        <v>1961</v>
      </c>
      <c r="I238" t="s">
        <v>5270</v>
      </c>
    </row>
    <row r="239" spans="8:9">
      <c r="H239" s="16" t="s">
        <v>152</v>
      </c>
      <c r="I239" s="15" t="s">
        <v>5271</v>
      </c>
    </row>
    <row r="240" spans="8:9">
      <c r="I240"/>
    </row>
    <row r="241" spans="8:9">
      <c r="H241" s="16" t="s">
        <v>454</v>
      </c>
      <c r="I241" t="s">
        <v>5272</v>
      </c>
    </row>
    <row r="242" spans="8:9">
      <c r="I242"/>
    </row>
    <row r="243" spans="8:9">
      <c r="H243" s="16" t="s">
        <v>936</v>
      </c>
      <c r="I243" t="s">
        <v>5273</v>
      </c>
    </row>
    <row r="244" spans="8:9">
      <c r="H244" s="16" t="s">
        <v>647</v>
      </c>
      <c r="I244" t="s">
        <v>5274</v>
      </c>
    </row>
    <row r="245" spans="8:9">
      <c r="H245" s="16" t="s">
        <v>644</v>
      </c>
      <c r="I245" t="s">
        <v>5275</v>
      </c>
    </row>
    <row r="246" spans="8:9">
      <c r="I246"/>
    </row>
    <row r="247" spans="8:9">
      <c r="H247" s="16" t="s">
        <v>64</v>
      </c>
      <c r="I247" t="s">
        <v>5276</v>
      </c>
    </row>
    <row r="248" spans="8:9">
      <c r="H248" s="16" t="s">
        <v>103</v>
      </c>
      <c r="I248" t="s">
        <v>5277</v>
      </c>
    </row>
  </sheetData>
  <autoFilter ref="A1:E173" xr:uid="{00000000-0009-0000-0000-00000A000000}">
    <filterColumn colId="2">
      <filters>
        <filter val="TR-ARCOVERDE"/>
        <filter val="TR-CARNAIBA"/>
        <filter val="TR-SALGUEIRO"/>
        <filter val="TR-SERRA TALHADA"/>
      </filters>
    </filterColumn>
    <sortState xmlns:xlrd2="http://schemas.microsoft.com/office/spreadsheetml/2017/richdata2" ref="A2:E173">
      <sortCondition ref="C2:C173"/>
    </sortState>
  </autoFilter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Roman,Normal"&amp;12&amp;Kffffff&amp;A</oddHeader>
    <oddFooter>&amp;C&amp;"Times New Roman,Normal"&amp;12&amp;KffffffPágina &amp;P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59C6-95B8-45DB-86C7-E2016989ECE9}">
  <dimension ref="A1:AH1238"/>
  <sheetViews>
    <sheetView zoomScale="90" zoomScaleNormal="90" workbookViewId="0">
      <pane xSplit="10" ySplit="1" topLeftCell="K2" activePane="bottomRight" state="frozen"/>
      <selection pane="bottomRight" activeCell="A2" sqref="A2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698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>
      <c r="D2" s="1"/>
      <c r="E2" s="1"/>
      <c r="P2" s="11"/>
      <c r="U2" s="11"/>
      <c r="X2" s="13">
        <f>IF(RIGHT(H2,2)&lt;&gt;"00",H2,"")</f>
        <v>0</v>
      </c>
      <c r="Y2" s="2">
        <f t="shared" ref="Y2:Y65" ca="1" si="0">NETWORKDAYS(P2,$Y$1)</f>
        <v>32133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TAAe+</v>
      </c>
      <c r="AC2" s="2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>0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8</v>
      </c>
      <c r="AE2" s="2">
        <f t="shared" ref="AE2:AE65" ca="1" si="4">IF(U2=$AE$1,"",U2-$AE$1)</f>
        <v>-44986.676271643519</v>
      </c>
      <c r="AF2" s="15"/>
      <c r="AH2" s="16"/>
    </row>
    <row r="3" spans="1:34">
      <c r="D3" s="1"/>
      <c r="E3" s="1"/>
      <c r="P3" s="11"/>
      <c r="U3" s="11"/>
      <c r="X3" s="13">
        <f t="shared" ref="X3:X66" si="5">IF(RIGHT(H3,2)&lt;&gt;"00",H3,"")</f>
        <v>0</v>
      </c>
      <c r="Y3" s="2">
        <f t="shared" ca="1" si="0"/>
        <v>32133</v>
      </c>
      <c r="Z3" s="14">
        <v>1</v>
      </c>
      <c r="AA3" s="1" t="str">
        <f t="shared" ca="1" si="1"/>
        <v>VENCIDO</v>
      </c>
      <c r="AB3" s="1" t="str">
        <f t="shared" si="2"/>
        <v>TAAe+</v>
      </c>
      <c r="AC3" s="2">
        <f t="shared" ref="AC3:AC66" si="6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>0</v>
      </c>
      <c r="AD3" s="2">
        <f t="shared" si="3"/>
        <v>8</v>
      </c>
      <c r="AE3" s="2">
        <f t="shared" ca="1" si="4"/>
        <v>-44986.676271643519</v>
      </c>
      <c r="AF3" s="15"/>
      <c r="AH3" s="17"/>
    </row>
    <row r="4" spans="1:34">
      <c r="D4" s="1"/>
      <c r="E4" s="1"/>
      <c r="P4" s="11"/>
      <c r="U4" s="11"/>
      <c r="X4" s="13">
        <f t="shared" si="5"/>
        <v>0</v>
      </c>
      <c r="Y4" s="2">
        <f t="shared" ca="1" si="0"/>
        <v>32133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>
        <f t="shared" si="6"/>
        <v>0</v>
      </c>
      <c r="AD4" s="2">
        <f t="shared" si="3"/>
        <v>8</v>
      </c>
      <c r="AE4" s="2">
        <f t="shared" ca="1" si="4"/>
        <v>-44986.676271643519</v>
      </c>
      <c r="AF4" s="15"/>
      <c r="AH4" s="16"/>
    </row>
    <row r="5" spans="1:34">
      <c r="C5" s="23"/>
      <c r="D5" s="1"/>
      <c r="E5" s="1"/>
      <c r="P5" s="11"/>
      <c r="U5" s="11"/>
      <c r="X5" s="13">
        <f t="shared" si="5"/>
        <v>0</v>
      </c>
      <c r="Y5" s="2">
        <f t="shared" ca="1" si="0"/>
        <v>32133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>
        <f t="shared" si="6"/>
        <v>0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>
      <c r="D6" s="1"/>
      <c r="E6" s="1"/>
      <c r="P6" s="48"/>
      <c r="X6" s="13">
        <f t="shared" si="5"/>
        <v>0</v>
      </c>
      <c r="Y6" s="2">
        <f t="shared" ca="1" si="0"/>
        <v>32133</v>
      </c>
      <c r="Z6" s="14">
        <v>1</v>
      </c>
      <c r="AA6" s="1" t="str">
        <f t="shared" ca="1" si="1"/>
        <v>VENCIDO</v>
      </c>
      <c r="AB6" s="1" t="str">
        <f t="shared" si="2"/>
        <v>TAAe+</v>
      </c>
      <c r="AC6" s="2">
        <f t="shared" si="6"/>
        <v>0</v>
      </c>
      <c r="AD6" s="2">
        <f t="shared" si="3"/>
        <v>8</v>
      </c>
      <c r="AE6" s="2">
        <f t="shared" ca="1" si="4"/>
        <v>-44986.676271643519</v>
      </c>
      <c r="AF6" s="15"/>
      <c r="AH6" s="16"/>
    </row>
    <row r="7" spans="1:34">
      <c r="D7" s="1"/>
      <c r="E7" s="1"/>
      <c r="P7" s="48"/>
      <c r="U7" s="11"/>
      <c r="X7" s="13">
        <f t="shared" si="5"/>
        <v>0</v>
      </c>
      <c r="Y7" s="2">
        <f t="shared" ca="1" si="0"/>
        <v>32133</v>
      </c>
      <c r="Z7" s="14">
        <v>1</v>
      </c>
      <c r="AA7" s="1" t="str">
        <f t="shared" ca="1" si="1"/>
        <v>VENCIDO</v>
      </c>
      <c r="AB7" s="1" t="str">
        <f t="shared" si="2"/>
        <v>TAAe+</v>
      </c>
      <c r="AC7" s="2">
        <f t="shared" si="6"/>
        <v>0</v>
      </c>
      <c r="AD7" s="2">
        <f t="shared" si="3"/>
        <v>8</v>
      </c>
      <c r="AE7" s="2">
        <f t="shared" ca="1" si="4"/>
        <v>-44986.676271643519</v>
      </c>
      <c r="AF7" s="15"/>
      <c r="AH7" s="16"/>
    </row>
    <row r="8" spans="1:34">
      <c r="C8" s="23"/>
      <c r="D8" s="1"/>
      <c r="E8" s="1"/>
      <c r="P8" s="48"/>
      <c r="U8" s="11"/>
      <c r="X8" s="13">
        <f t="shared" si="5"/>
        <v>0</v>
      </c>
      <c r="Y8" s="2">
        <f t="shared" ca="1" si="0"/>
        <v>32133</v>
      </c>
      <c r="Z8" s="14">
        <v>1</v>
      </c>
      <c r="AA8" s="1" t="str">
        <f t="shared" ca="1" si="1"/>
        <v>VENCIDO</v>
      </c>
      <c r="AB8" s="1" t="str">
        <f t="shared" si="2"/>
        <v>TAAe+</v>
      </c>
      <c r="AC8" s="2">
        <f t="shared" si="6"/>
        <v>0</v>
      </c>
      <c r="AD8" s="2">
        <f t="shared" si="3"/>
        <v>8</v>
      </c>
      <c r="AE8" s="2">
        <f t="shared" ca="1" si="4"/>
        <v>-44986.676271643519</v>
      </c>
      <c r="AF8" s="15"/>
      <c r="AH8" s="16"/>
    </row>
    <row r="9" spans="1:34">
      <c r="D9" s="1"/>
      <c r="E9" s="1"/>
      <c r="P9" s="48"/>
      <c r="U9" s="11"/>
      <c r="X9" s="13">
        <f t="shared" si="5"/>
        <v>0</v>
      </c>
      <c r="Y9" s="2">
        <f t="shared" ca="1" si="0"/>
        <v>32133</v>
      </c>
      <c r="Z9" s="14">
        <v>1</v>
      </c>
      <c r="AA9" s="1" t="str">
        <f t="shared" ca="1" si="1"/>
        <v>VENCIDO</v>
      </c>
      <c r="AB9" s="1" t="str">
        <f t="shared" si="2"/>
        <v>TAAe+</v>
      </c>
      <c r="AC9" s="2">
        <f t="shared" si="6"/>
        <v>0</v>
      </c>
      <c r="AD9" s="2">
        <f t="shared" si="3"/>
        <v>8</v>
      </c>
      <c r="AE9" s="2">
        <f t="shared" ca="1" si="4"/>
        <v>-44986.676271643519</v>
      </c>
      <c r="AF9" s="15"/>
      <c r="AH9" s="16"/>
    </row>
    <row r="10" spans="1:34">
      <c r="D10" s="1"/>
      <c r="E10" s="1"/>
      <c r="P10" s="48"/>
      <c r="X10" s="13">
        <f t="shared" si="5"/>
        <v>0</v>
      </c>
      <c r="Y10" s="2">
        <f t="shared" ca="1" si="0"/>
        <v>32133</v>
      </c>
      <c r="Z10" s="14">
        <v>1</v>
      </c>
      <c r="AA10" s="1" t="str">
        <f t="shared" ca="1" si="1"/>
        <v>VENCIDO</v>
      </c>
      <c r="AB10" s="1" t="str">
        <f t="shared" si="2"/>
        <v>TAAe+</v>
      </c>
      <c r="AC10" s="2">
        <f t="shared" si="6"/>
        <v>0</v>
      </c>
      <c r="AD10" s="2">
        <f t="shared" si="3"/>
        <v>8</v>
      </c>
      <c r="AE10" s="2">
        <f t="shared" ca="1" si="4"/>
        <v>-44986.676271643519</v>
      </c>
      <c r="AF10" s="15"/>
    </row>
    <row r="11" spans="1:34">
      <c r="D11" s="1"/>
      <c r="E11" s="1"/>
      <c r="P11" s="48"/>
      <c r="U11" s="11"/>
      <c r="X11" s="13">
        <f t="shared" si="5"/>
        <v>0</v>
      </c>
      <c r="Y11" s="2">
        <f t="shared" ca="1" si="0"/>
        <v>32133</v>
      </c>
      <c r="Z11" s="14">
        <v>1</v>
      </c>
      <c r="AA11" s="1" t="str">
        <f t="shared" ca="1" si="1"/>
        <v>VENCIDO</v>
      </c>
      <c r="AB11" s="1" t="str">
        <f t="shared" si="2"/>
        <v>TAAe+</v>
      </c>
      <c r="AC11" s="2">
        <f t="shared" si="6"/>
        <v>0</v>
      </c>
      <c r="AD11" s="2">
        <f t="shared" si="3"/>
        <v>8</v>
      </c>
      <c r="AE11" s="2">
        <f t="shared" ca="1" si="4"/>
        <v>-44986.676271643519</v>
      </c>
      <c r="AF11" s="15"/>
    </row>
    <row r="12" spans="1:34">
      <c r="D12" s="1"/>
      <c r="E12" s="1"/>
      <c r="P12" s="48"/>
      <c r="U12" s="11"/>
      <c r="X12" s="13">
        <f t="shared" si="5"/>
        <v>0</v>
      </c>
      <c r="Y12" s="2">
        <f t="shared" ca="1" si="0"/>
        <v>32133</v>
      </c>
      <c r="Z12" s="14">
        <v>1</v>
      </c>
      <c r="AA12" s="1" t="str">
        <f t="shared" ca="1" si="1"/>
        <v>VENCIDO</v>
      </c>
      <c r="AB12" s="1" t="str">
        <f t="shared" si="2"/>
        <v>TAAe+</v>
      </c>
      <c r="AC12" s="2">
        <f t="shared" si="6"/>
        <v>0</v>
      </c>
      <c r="AD12" s="2">
        <f t="shared" si="3"/>
        <v>8</v>
      </c>
      <c r="AE12" s="2">
        <f t="shared" ca="1" si="4"/>
        <v>-44986.676271643519</v>
      </c>
      <c r="AF12" s="15"/>
    </row>
    <row r="13" spans="1:34">
      <c r="D13" s="1"/>
      <c r="E13" s="1"/>
      <c r="P13" s="48"/>
      <c r="U13" s="11"/>
      <c r="X13" s="13">
        <f t="shared" si="5"/>
        <v>0</v>
      </c>
      <c r="Y13" s="2">
        <f t="shared" ca="1" si="0"/>
        <v>32133</v>
      </c>
      <c r="Z13" s="14">
        <v>1</v>
      </c>
      <c r="AA13" s="1" t="str">
        <f t="shared" ca="1" si="1"/>
        <v>VENCIDO</v>
      </c>
      <c r="AB13" s="1" t="str">
        <f t="shared" si="2"/>
        <v>TAAe+</v>
      </c>
      <c r="AC13" s="2">
        <f t="shared" si="6"/>
        <v>0</v>
      </c>
      <c r="AD13" s="2">
        <f t="shared" si="3"/>
        <v>8</v>
      </c>
      <c r="AE13" s="2">
        <f t="shared" ca="1" si="4"/>
        <v>-44986.676271643519</v>
      </c>
      <c r="AF13" s="15"/>
    </row>
    <row r="14" spans="1:34">
      <c r="D14" s="1"/>
      <c r="E14" s="1"/>
      <c r="P14" s="48"/>
      <c r="U14" s="11"/>
      <c r="X14" s="13">
        <f t="shared" si="5"/>
        <v>0</v>
      </c>
      <c r="Y14" s="2">
        <f t="shared" ca="1" si="0"/>
        <v>32133</v>
      </c>
      <c r="Z14" s="14">
        <v>1</v>
      </c>
      <c r="AA14" s="1" t="str">
        <f t="shared" ca="1" si="1"/>
        <v>VENCIDO</v>
      </c>
      <c r="AB14" s="1" t="str">
        <f t="shared" si="2"/>
        <v>TAAe+</v>
      </c>
      <c r="AC14" s="2">
        <f t="shared" si="6"/>
        <v>0</v>
      </c>
      <c r="AD14" s="2">
        <f t="shared" si="3"/>
        <v>8</v>
      </c>
      <c r="AE14" s="2">
        <f t="shared" ca="1" si="4"/>
        <v>-44986.676271643519</v>
      </c>
      <c r="AF14" s="15"/>
    </row>
    <row r="15" spans="1:34">
      <c r="D15" s="1"/>
      <c r="E15" s="1"/>
      <c r="P15" s="48"/>
      <c r="U15" s="11"/>
      <c r="X15" s="13">
        <f t="shared" si="5"/>
        <v>0</v>
      </c>
      <c r="Y15" s="2">
        <f t="shared" ca="1" si="0"/>
        <v>32133</v>
      </c>
      <c r="Z15" s="14">
        <v>1</v>
      </c>
      <c r="AA15" s="1" t="str">
        <f t="shared" ca="1" si="1"/>
        <v>VENCIDO</v>
      </c>
      <c r="AB15" s="1" t="str">
        <f t="shared" si="2"/>
        <v>TAAe+</v>
      </c>
      <c r="AC15" s="2">
        <f t="shared" si="6"/>
        <v>0</v>
      </c>
      <c r="AD15" s="2">
        <f t="shared" si="3"/>
        <v>8</v>
      </c>
      <c r="AE15" s="2">
        <f t="shared" ca="1" si="4"/>
        <v>-44986.676271643519</v>
      </c>
      <c r="AF15" s="15"/>
    </row>
    <row r="16" spans="1:34">
      <c r="D16" s="1"/>
      <c r="E16" s="1"/>
      <c r="P16" s="48"/>
      <c r="U16" s="11"/>
      <c r="X16" s="13">
        <f t="shared" si="5"/>
        <v>0</v>
      </c>
      <c r="Y16" s="2">
        <f t="shared" ca="1" si="0"/>
        <v>32133</v>
      </c>
      <c r="Z16" s="14">
        <v>1</v>
      </c>
      <c r="AA16" s="1" t="str">
        <f t="shared" ca="1" si="1"/>
        <v>VENCIDO</v>
      </c>
      <c r="AB16" s="1" t="str">
        <f t="shared" si="2"/>
        <v>TAAe+</v>
      </c>
      <c r="AC16" s="2">
        <f t="shared" si="6"/>
        <v>0</v>
      </c>
      <c r="AD16" s="2">
        <f t="shared" si="3"/>
        <v>8</v>
      </c>
      <c r="AE16" s="2">
        <f t="shared" ca="1" si="4"/>
        <v>-44986.676271643519</v>
      </c>
      <c r="AF16" s="15"/>
    </row>
    <row r="17" spans="3:32">
      <c r="D17" s="1"/>
      <c r="E17" s="1"/>
      <c r="P17" s="48"/>
      <c r="U17" s="11"/>
      <c r="X17" s="13">
        <f t="shared" si="5"/>
        <v>0</v>
      </c>
      <c r="Y17" s="2">
        <f t="shared" ca="1" si="0"/>
        <v>32133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>
        <f t="shared" si="6"/>
        <v>0</v>
      </c>
      <c r="AD17" s="2">
        <f t="shared" si="3"/>
        <v>8</v>
      </c>
      <c r="AE17" s="2">
        <f t="shared" ca="1" si="4"/>
        <v>-44986.676271643519</v>
      </c>
      <c r="AF17" s="15"/>
    </row>
    <row r="18" spans="3:32">
      <c r="D18" s="1"/>
      <c r="E18" s="1"/>
      <c r="P18" s="48"/>
      <c r="U18" s="11"/>
      <c r="X18" s="13">
        <f t="shared" si="5"/>
        <v>0</v>
      </c>
      <c r="Y18" s="2">
        <f t="shared" ca="1" si="0"/>
        <v>32133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>
        <f t="shared" si="6"/>
        <v>0</v>
      </c>
      <c r="AD18" s="2">
        <f t="shared" si="3"/>
        <v>8</v>
      </c>
      <c r="AE18" s="2">
        <f t="shared" ca="1" si="4"/>
        <v>-44986.676271643519</v>
      </c>
      <c r="AF18" s="15"/>
    </row>
    <row r="19" spans="3:32">
      <c r="D19" s="1"/>
      <c r="E19" s="1"/>
      <c r="P19" s="48"/>
      <c r="U19" s="11"/>
      <c r="X19" s="13">
        <f t="shared" si="5"/>
        <v>0</v>
      </c>
      <c r="Y19" s="2">
        <f t="shared" ca="1" si="0"/>
        <v>32133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>
        <f t="shared" si="6"/>
        <v>0</v>
      </c>
      <c r="AD19" s="2">
        <f t="shared" si="3"/>
        <v>8</v>
      </c>
      <c r="AE19" s="2">
        <f t="shared" ca="1" si="4"/>
        <v>-44986.676271643519</v>
      </c>
      <c r="AF19" s="15"/>
    </row>
    <row r="20" spans="3:32">
      <c r="C20" s="23"/>
      <c r="D20" s="1"/>
      <c r="E20" s="1"/>
      <c r="P20" s="48"/>
      <c r="U20" s="11"/>
      <c r="X20" s="13">
        <f t="shared" si="5"/>
        <v>0</v>
      </c>
      <c r="Y20" s="2">
        <f t="shared" ca="1" si="0"/>
        <v>32133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>
        <f t="shared" si="6"/>
        <v>0</v>
      </c>
      <c r="AD20" s="2">
        <f t="shared" si="3"/>
        <v>8</v>
      </c>
      <c r="AE20" s="2">
        <f t="shared" ca="1" si="4"/>
        <v>-44986.676271643519</v>
      </c>
      <c r="AF20" s="15"/>
    </row>
    <row r="21" spans="3:32">
      <c r="D21" s="1"/>
      <c r="E21" s="1"/>
      <c r="P21" s="48"/>
      <c r="U21" s="11"/>
      <c r="X21" s="13">
        <f t="shared" si="5"/>
        <v>0</v>
      </c>
      <c r="Y21" s="2">
        <f t="shared" ca="1" si="0"/>
        <v>32133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>
        <f t="shared" si="6"/>
        <v>0</v>
      </c>
      <c r="AD21" s="2">
        <f t="shared" si="3"/>
        <v>8</v>
      </c>
      <c r="AE21" s="2">
        <f t="shared" ca="1" si="4"/>
        <v>-44986.676271643519</v>
      </c>
      <c r="AF21" s="15"/>
    </row>
    <row r="22" spans="3:32">
      <c r="D22" s="1"/>
      <c r="E22" s="1"/>
      <c r="P22" s="48"/>
      <c r="U22" s="11"/>
      <c r="X22" s="13">
        <f t="shared" si="5"/>
        <v>0</v>
      </c>
      <c r="Y22" s="2">
        <f t="shared" ca="1" si="0"/>
        <v>32133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>
        <f t="shared" si="6"/>
        <v>0</v>
      </c>
      <c r="AD22" s="2">
        <f t="shared" si="3"/>
        <v>8</v>
      </c>
      <c r="AE22" s="2">
        <f t="shared" ca="1" si="4"/>
        <v>-44986.676271643519</v>
      </c>
      <c r="AF22" s="15"/>
    </row>
    <row r="23" spans="3:32">
      <c r="D23" s="1"/>
      <c r="E23" s="1"/>
      <c r="P23" s="48"/>
      <c r="U23" s="11"/>
      <c r="X23" s="13">
        <f t="shared" si="5"/>
        <v>0</v>
      </c>
      <c r="Y23" s="2">
        <f t="shared" ca="1" si="0"/>
        <v>32133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>
        <f t="shared" si="6"/>
        <v>0</v>
      </c>
      <c r="AD23" s="2">
        <f t="shared" si="3"/>
        <v>8</v>
      </c>
      <c r="AE23" s="2">
        <f t="shared" ca="1" si="4"/>
        <v>-44986.676271643519</v>
      </c>
      <c r="AF23" s="15"/>
    </row>
    <row r="24" spans="3:32">
      <c r="D24" s="1"/>
      <c r="E24" s="1"/>
      <c r="P24" s="48"/>
      <c r="U24" s="11"/>
      <c r="X24" s="13">
        <f t="shared" si="5"/>
        <v>0</v>
      </c>
      <c r="Y24" s="2">
        <f t="shared" ca="1" si="0"/>
        <v>32133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>
        <f t="shared" si="6"/>
        <v>0</v>
      </c>
      <c r="AD24" s="2">
        <f t="shared" si="3"/>
        <v>8</v>
      </c>
      <c r="AE24" s="2">
        <f t="shared" ca="1" si="4"/>
        <v>-44986.676271643519</v>
      </c>
      <c r="AF24" s="15"/>
    </row>
    <row r="25" spans="3:32">
      <c r="D25" s="1"/>
      <c r="E25" s="1"/>
      <c r="P25" s="11"/>
      <c r="U25" s="11"/>
      <c r="X25" s="13">
        <f t="shared" si="5"/>
        <v>0</v>
      </c>
      <c r="Y25" s="2">
        <f t="shared" ca="1" si="0"/>
        <v>32133</v>
      </c>
      <c r="Z25" s="14">
        <v>1</v>
      </c>
      <c r="AA25" s="1" t="str">
        <f t="shared" ca="1" si="1"/>
        <v>VENCIDO</v>
      </c>
      <c r="AB25" s="1" t="str">
        <f t="shared" si="2"/>
        <v>TAAe+</v>
      </c>
      <c r="AC25" s="2">
        <f t="shared" si="6"/>
        <v>0</v>
      </c>
      <c r="AD25" s="2">
        <f t="shared" si="3"/>
        <v>8</v>
      </c>
      <c r="AE25" s="2">
        <f t="shared" ca="1" si="4"/>
        <v>-44986.676271643519</v>
      </c>
      <c r="AF25" s="15"/>
    </row>
    <row r="26" spans="3:32">
      <c r="D26" s="1"/>
      <c r="E26" s="1"/>
      <c r="P26" s="11"/>
      <c r="U26" s="11"/>
      <c r="X26" s="13">
        <f t="shared" si="5"/>
        <v>0</v>
      </c>
      <c r="Y26" s="2">
        <f t="shared" ca="1" si="0"/>
        <v>32133</v>
      </c>
      <c r="Z26" s="14">
        <v>1</v>
      </c>
      <c r="AA26" s="1" t="str">
        <f t="shared" ca="1" si="1"/>
        <v>VENCIDO</v>
      </c>
      <c r="AB26" s="1" t="str">
        <f t="shared" si="2"/>
        <v>TAAe+</v>
      </c>
      <c r="AC26" s="2">
        <f t="shared" si="6"/>
        <v>0</v>
      </c>
      <c r="AD26" s="2">
        <f t="shared" si="3"/>
        <v>8</v>
      </c>
      <c r="AE26" s="2">
        <f t="shared" ca="1" si="4"/>
        <v>-44986.676271643519</v>
      </c>
      <c r="AF26" s="15"/>
    </row>
    <row r="27" spans="3:32">
      <c r="D27" s="1"/>
      <c r="E27" s="1"/>
      <c r="P27" s="11"/>
      <c r="U27" s="11"/>
      <c r="X27" s="13">
        <f t="shared" si="5"/>
        <v>0</v>
      </c>
      <c r="Y27" s="2">
        <f t="shared" ca="1" si="0"/>
        <v>32133</v>
      </c>
      <c r="Z27" s="14">
        <v>1</v>
      </c>
      <c r="AA27" s="1" t="str">
        <f t="shared" ca="1" si="1"/>
        <v>VENCIDO</v>
      </c>
      <c r="AB27" s="1" t="str">
        <f t="shared" si="2"/>
        <v>TAAe+</v>
      </c>
      <c r="AC27" s="2">
        <f t="shared" si="6"/>
        <v>0</v>
      </c>
      <c r="AD27" s="2">
        <f t="shared" si="3"/>
        <v>8</v>
      </c>
      <c r="AE27" s="2">
        <f t="shared" ca="1" si="4"/>
        <v>-44986.676271643519</v>
      </c>
      <c r="AF27" s="15"/>
    </row>
    <row r="28" spans="3:32">
      <c r="D28" s="1"/>
      <c r="E28" s="1"/>
      <c r="P28" s="11"/>
      <c r="U28" s="11"/>
      <c r="X28" s="13">
        <f t="shared" si="5"/>
        <v>0</v>
      </c>
      <c r="Y28" s="2">
        <f t="shared" ca="1" si="0"/>
        <v>32133</v>
      </c>
      <c r="Z28" s="14">
        <v>1</v>
      </c>
      <c r="AA28" s="1" t="str">
        <f t="shared" ca="1" si="1"/>
        <v>VENCIDO</v>
      </c>
      <c r="AB28" s="1" t="str">
        <f t="shared" si="2"/>
        <v>TAAe+</v>
      </c>
      <c r="AC28" s="2">
        <f t="shared" si="6"/>
        <v>0</v>
      </c>
      <c r="AD28" s="2">
        <f t="shared" si="3"/>
        <v>8</v>
      </c>
      <c r="AE28" s="2">
        <f t="shared" ca="1" si="4"/>
        <v>-44986.676271643519</v>
      </c>
      <c r="AF28" s="15"/>
    </row>
    <row r="29" spans="3:32">
      <c r="D29" s="1"/>
      <c r="E29" s="1"/>
      <c r="P29" s="11"/>
      <c r="U29" s="11"/>
      <c r="X29" s="13">
        <f t="shared" si="5"/>
        <v>0</v>
      </c>
      <c r="Y29" s="2">
        <f t="shared" ca="1" si="0"/>
        <v>32133</v>
      </c>
      <c r="Z29" s="14">
        <v>1</v>
      </c>
      <c r="AA29" s="1" t="str">
        <f t="shared" ca="1" si="1"/>
        <v>VENCIDO</v>
      </c>
      <c r="AB29" s="1" t="str">
        <f t="shared" si="2"/>
        <v>TAAe+</v>
      </c>
      <c r="AC29" s="2">
        <f t="shared" si="6"/>
        <v>0</v>
      </c>
      <c r="AD29" s="2">
        <f t="shared" si="3"/>
        <v>8</v>
      </c>
      <c r="AE29" s="2">
        <f t="shared" ca="1" si="4"/>
        <v>-44986.676271643519</v>
      </c>
      <c r="AF29" s="15"/>
    </row>
    <row r="30" spans="3:32">
      <c r="D30" s="1"/>
      <c r="E30" s="1"/>
      <c r="P30" s="11"/>
      <c r="U30" s="11"/>
      <c r="X30" s="13">
        <f t="shared" si="5"/>
        <v>0</v>
      </c>
      <c r="Y30" s="2">
        <f t="shared" ca="1" si="0"/>
        <v>32133</v>
      </c>
      <c r="Z30" s="14">
        <v>1</v>
      </c>
      <c r="AA30" s="1" t="str">
        <f t="shared" ca="1" si="1"/>
        <v>VENCIDO</v>
      </c>
      <c r="AB30" s="1" t="str">
        <f t="shared" si="2"/>
        <v>TAAe+</v>
      </c>
      <c r="AC30" s="2">
        <f t="shared" si="6"/>
        <v>0</v>
      </c>
      <c r="AD30" s="2">
        <f t="shared" si="3"/>
        <v>8</v>
      </c>
      <c r="AE30" s="2">
        <f t="shared" ca="1" si="4"/>
        <v>-44986.676271643519</v>
      </c>
      <c r="AF30" s="15"/>
    </row>
    <row r="31" spans="3:32">
      <c r="D31" s="1"/>
      <c r="E31" s="1"/>
      <c r="P31" s="11"/>
      <c r="U31" s="11"/>
      <c r="X31" s="13">
        <f t="shared" si="5"/>
        <v>0</v>
      </c>
      <c r="Y31" s="2">
        <f t="shared" ca="1" si="0"/>
        <v>32133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>
        <f t="shared" si="6"/>
        <v>0</v>
      </c>
      <c r="AD31" s="2">
        <f t="shared" si="3"/>
        <v>8</v>
      </c>
      <c r="AE31" s="2">
        <f t="shared" ca="1" si="4"/>
        <v>-44986.676271643519</v>
      </c>
      <c r="AF31" s="15"/>
    </row>
    <row r="32" spans="3:32">
      <c r="D32" s="1"/>
      <c r="E32" s="1"/>
      <c r="P32" s="11"/>
      <c r="U32" s="11"/>
      <c r="X32" s="13">
        <f t="shared" si="5"/>
        <v>0</v>
      </c>
      <c r="Y32" s="2">
        <f t="shared" ca="1" si="0"/>
        <v>32133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>
        <f t="shared" si="6"/>
        <v>0</v>
      </c>
      <c r="AD32" s="2">
        <f t="shared" si="3"/>
        <v>8</v>
      </c>
      <c r="AE32" s="2">
        <f t="shared" ca="1" si="4"/>
        <v>-44986.676271643519</v>
      </c>
      <c r="AF32" s="15"/>
    </row>
    <row r="33" spans="4:32">
      <c r="D33" s="1"/>
      <c r="E33" s="1"/>
      <c r="P33" s="11"/>
      <c r="U33" s="11"/>
      <c r="X33" s="13">
        <f t="shared" si="5"/>
        <v>0</v>
      </c>
      <c r="Y33" s="2">
        <f t="shared" ca="1" si="0"/>
        <v>32133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>
        <f t="shared" si="6"/>
        <v>0</v>
      </c>
      <c r="AD33" s="2">
        <f t="shared" si="3"/>
        <v>8</v>
      </c>
      <c r="AE33" s="2">
        <f t="shared" ca="1" si="4"/>
        <v>-44986.676271643519</v>
      </c>
      <c r="AF33" s="15"/>
    </row>
    <row r="34" spans="4:32">
      <c r="D34" s="1"/>
      <c r="E34" s="1"/>
      <c r="P34" s="11"/>
      <c r="U34" s="11"/>
      <c r="X34" s="13">
        <f t="shared" si="5"/>
        <v>0</v>
      </c>
      <c r="Y34" s="2">
        <f t="shared" ca="1" si="0"/>
        <v>32133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>
        <f t="shared" si="6"/>
        <v>0</v>
      </c>
      <c r="AD34" s="2">
        <f t="shared" si="3"/>
        <v>8</v>
      </c>
      <c r="AE34" s="2">
        <f t="shared" ca="1" si="4"/>
        <v>-44986.676271643519</v>
      </c>
      <c r="AF34" s="15"/>
    </row>
    <row r="35" spans="4:32">
      <c r="D35" s="1"/>
      <c r="E35" s="1"/>
      <c r="P35" s="11"/>
      <c r="X35" s="13">
        <f t="shared" si="5"/>
        <v>0</v>
      </c>
      <c r="Y35" s="2">
        <f t="shared" ca="1" si="0"/>
        <v>32133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>
        <f t="shared" si="6"/>
        <v>0</v>
      </c>
      <c r="AD35" s="2">
        <f t="shared" si="3"/>
        <v>8</v>
      </c>
      <c r="AE35" s="2">
        <f t="shared" ca="1" si="4"/>
        <v>-44986.676271643519</v>
      </c>
      <c r="AF35" s="15"/>
    </row>
    <row r="36" spans="4:32">
      <c r="D36" s="1"/>
      <c r="E36" s="1"/>
      <c r="P36" s="11"/>
      <c r="X36" s="13">
        <f t="shared" si="5"/>
        <v>0</v>
      </c>
      <c r="Y36" s="2">
        <f t="shared" ca="1" si="0"/>
        <v>32133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>
        <f t="shared" si="6"/>
        <v>0</v>
      </c>
      <c r="AD36" s="2">
        <f t="shared" si="3"/>
        <v>8</v>
      </c>
      <c r="AE36" s="2">
        <f t="shared" ca="1" si="4"/>
        <v>-44986.676271643519</v>
      </c>
      <c r="AF36" s="15"/>
    </row>
    <row r="37" spans="4:32">
      <c r="D37" s="1"/>
      <c r="E37" s="1"/>
      <c r="P37" s="11"/>
      <c r="X37" s="13">
        <f t="shared" si="5"/>
        <v>0</v>
      </c>
      <c r="Y37" s="2">
        <f t="shared" ca="1" si="0"/>
        <v>32133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>
        <f t="shared" si="6"/>
        <v>0</v>
      </c>
      <c r="AD37" s="2">
        <f t="shared" si="3"/>
        <v>8</v>
      </c>
      <c r="AE37" s="2">
        <f t="shared" ca="1" si="4"/>
        <v>-44986.676271643519</v>
      </c>
      <c r="AF37" s="15"/>
    </row>
    <row r="38" spans="4:32">
      <c r="D38" s="1"/>
      <c r="E38" s="1"/>
      <c r="P38" s="11"/>
      <c r="X38" s="13">
        <f t="shared" si="5"/>
        <v>0</v>
      </c>
      <c r="Y38" s="2">
        <f t="shared" ca="1" si="0"/>
        <v>32133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>
        <f t="shared" si="6"/>
        <v>0</v>
      </c>
      <c r="AD38" s="2">
        <f t="shared" si="3"/>
        <v>8</v>
      </c>
      <c r="AE38" s="2">
        <f t="shared" ca="1" si="4"/>
        <v>-44986.676271643519</v>
      </c>
      <c r="AF38" s="15"/>
    </row>
    <row r="39" spans="4:32">
      <c r="D39" s="1"/>
      <c r="E39" s="1"/>
      <c r="P39" s="11"/>
      <c r="U39" s="11"/>
      <c r="X39" s="13">
        <f t="shared" si="5"/>
        <v>0</v>
      </c>
      <c r="Y39" s="2">
        <f t="shared" ca="1" si="0"/>
        <v>32133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>
        <f t="shared" si="6"/>
        <v>0</v>
      </c>
      <c r="AD39" s="2">
        <f t="shared" si="3"/>
        <v>8</v>
      </c>
      <c r="AE39" s="2">
        <f t="shared" ca="1" si="4"/>
        <v>-44986.676271643519</v>
      </c>
      <c r="AF39" s="15"/>
    </row>
    <row r="40" spans="4:32">
      <c r="D40" s="1"/>
      <c r="E40" s="1"/>
      <c r="P40" s="11"/>
      <c r="X40" s="13">
        <f t="shared" si="5"/>
        <v>0</v>
      </c>
      <c r="Y40" s="2">
        <f t="shared" ca="1" si="0"/>
        <v>32133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>
        <f t="shared" si="6"/>
        <v>0</v>
      </c>
      <c r="AD40" s="2">
        <f t="shared" si="3"/>
        <v>8</v>
      </c>
      <c r="AE40" s="2">
        <f t="shared" ca="1" si="4"/>
        <v>-44986.676271643519</v>
      </c>
      <c r="AF40" s="15"/>
    </row>
    <row r="41" spans="4:32">
      <c r="D41" s="1"/>
      <c r="E41" s="1"/>
      <c r="P41" s="11"/>
      <c r="X41" s="13">
        <f t="shared" si="5"/>
        <v>0</v>
      </c>
      <c r="Y41" s="2">
        <f t="shared" ca="1" si="0"/>
        <v>32133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>
        <f t="shared" si="6"/>
        <v>0</v>
      </c>
      <c r="AD41" s="2">
        <f t="shared" si="3"/>
        <v>8</v>
      </c>
      <c r="AE41" s="2">
        <f t="shared" ca="1" si="4"/>
        <v>-44986.676271643519</v>
      </c>
      <c r="AF41" s="15"/>
    </row>
    <row r="42" spans="4:32">
      <c r="D42" s="1"/>
      <c r="E42" s="1"/>
      <c r="P42" s="11"/>
      <c r="X42" s="13">
        <f t="shared" si="5"/>
        <v>0</v>
      </c>
      <c r="Y42" s="2">
        <f t="shared" ca="1" si="0"/>
        <v>32133</v>
      </c>
      <c r="Z42" s="14">
        <v>1</v>
      </c>
      <c r="AA42" s="1" t="str">
        <f t="shared" ca="1" si="1"/>
        <v>VENCIDO</v>
      </c>
      <c r="AB42" s="1" t="str">
        <f t="shared" si="2"/>
        <v>TAAe+</v>
      </c>
      <c r="AC42" s="2">
        <f t="shared" si="6"/>
        <v>0</v>
      </c>
      <c r="AD42" s="2">
        <f t="shared" si="3"/>
        <v>8</v>
      </c>
      <c r="AE42" s="2">
        <f t="shared" ca="1" si="4"/>
        <v>-44986.676271643519</v>
      </c>
      <c r="AF42" s="15"/>
    </row>
    <row r="43" spans="4:32">
      <c r="D43" s="1"/>
      <c r="E43" s="1"/>
      <c r="P43" s="11"/>
      <c r="X43" s="13">
        <f t="shared" si="5"/>
        <v>0</v>
      </c>
      <c r="Y43" s="2">
        <f t="shared" ca="1" si="0"/>
        <v>32133</v>
      </c>
      <c r="Z43" s="14">
        <v>1</v>
      </c>
      <c r="AA43" s="1" t="str">
        <f t="shared" ca="1" si="1"/>
        <v>VENCIDO</v>
      </c>
      <c r="AB43" s="1" t="str">
        <f t="shared" si="2"/>
        <v>TAAe+</v>
      </c>
      <c r="AC43" s="2">
        <f t="shared" si="6"/>
        <v>0</v>
      </c>
      <c r="AD43" s="2">
        <f t="shared" si="3"/>
        <v>8</v>
      </c>
      <c r="AE43" s="2">
        <f t="shared" ca="1" si="4"/>
        <v>-44986.676271643519</v>
      </c>
      <c r="AF43" s="15"/>
    </row>
    <row r="44" spans="4:32">
      <c r="D44" s="1"/>
      <c r="E44" s="1"/>
      <c r="P44" s="11"/>
      <c r="X44" s="13">
        <f t="shared" si="5"/>
        <v>0</v>
      </c>
      <c r="Y44" s="2">
        <f t="shared" ca="1" si="0"/>
        <v>32133</v>
      </c>
      <c r="Z44" s="14">
        <v>1</v>
      </c>
      <c r="AA44" s="1" t="str">
        <f t="shared" ca="1" si="1"/>
        <v>VENCIDO</v>
      </c>
      <c r="AB44" s="1" t="str">
        <f t="shared" si="2"/>
        <v>TAAe+</v>
      </c>
      <c r="AC44" s="2">
        <f t="shared" si="6"/>
        <v>0</v>
      </c>
      <c r="AD44" s="2">
        <f t="shared" si="3"/>
        <v>8</v>
      </c>
      <c r="AE44" s="2">
        <f t="shared" ca="1" si="4"/>
        <v>-44986.676271643519</v>
      </c>
      <c r="AF44" s="15"/>
    </row>
    <row r="45" spans="4:32">
      <c r="D45" s="1"/>
      <c r="E45" s="1"/>
      <c r="P45" s="11"/>
      <c r="X45" s="13">
        <f t="shared" si="5"/>
        <v>0</v>
      </c>
      <c r="Y45" s="2">
        <f t="shared" ca="1" si="0"/>
        <v>32133</v>
      </c>
      <c r="Z45" s="14">
        <v>1</v>
      </c>
      <c r="AA45" s="1" t="str">
        <f t="shared" ca="1" si="1"/>
        <v>VENCIDO</v>
      </c>
      <c r="AB45" s="1" t="str">
        <f t="shared" si="2"/>
        <v>TAAe+</v>
      </c>
      <c r="AC45" s="2">
        <f t="shared" si="6"/>
        <v>0</v>
      </c>
      <c r="AD45" s="2">
        <f t="shared" si="3"/>
        <v>8</v>
      </c>
      <c r="AE45" s="2">
        <f t="shared" ca="1" si="4"/>
        <v>-44986.676271643519</v>
      </c>
      <c r="AF45" s="15"/>
    </row>
    <row r="46" spans="4:32">
      <c r="D46" s="1"/>
      <c r="E46" s="1"/>
      <c r="P46" s="11"/>
      <c r="X46" s="13">
        <f t="shared" si="5"/>
        <v>0</v>
      </c>
      <c r="Y46" s="2">
        <f t="shared" ca="1" si="0"/>
        <v>32133</v>
      </c>
      <c r="Z46" s="14">
        <v>1</v>
      </c>
      <c r="AA46" s="1" t="str">
        <f t="shared" ca="1" si="1"/>
        <v>VENCIDO</v>
      </c>
      <c r="AB46" s="1" t="str">
        <f t="shared" si="2"/>
        <v>TAAe+</v>
      </c>
      <c r="AC46" s="2">
        <f t="shared" si="6"/>
        <v>0</v>
      </c>
      <c r="AD46" s="2">
        <f t="shared" si="3"/>
        <v>8</v>
      </c>
      <c r="AE46" s="2">
        <f t="shared" ca="1" si="4"/>
        <v>-44986.676271643519</v>
      </c>
      <c r="AF46" s="15"/>
    </row>
    <row r="47" spans="4:32">
      <c r="D47" s="1"/>
      <c r="E47" s="1"/>
      <c r="P47" s="11"/>
      <c r="U47" s="11"/>
      <c r="X47" s="13">
        <f t="shared" si="5"/>
        <v>0</v>
      </c>
      <c r="Y47" s="2">
        <f t="shared" ca="1" si="0"/>
        <v>32133</v>
      </c>
      <c r="Z47" s="14">
        <v>1</v>
      </c>
      <c r="AA47" s="1" t="str">
        <f t="shared" ca="1" si="1"/>
        <v>VENCIDO</v>
      </c>
      <c r="AB47" s="1" t="str">
        <f t="shared" si="2"/>
        <v>TAAe+</v>
      </c>
      <c r="AC47" s="2">
        <f t="shared" si="6"/>
        <v>0</v>
      </c>
      <c r="AD47" s="2">
        <f t="shared" si="3"/>
        <v>8</v>
      </c>
      <c r="AE47" s="2">
        <f t="shared" ca="1" si="4"/>
        <v>-44986.676271643519</v>
      </c>
      <c r="AF47" s="15"/>
    </row>
    <row r="48" spans="4:32">
      <c r="D48" s="1"/>
      <c r="E48" s="1"/>
      <c r="P48" s="11"/>
      <c r="U48" s="11"/>
      <c r="X48" s="13">
        <f t="shared" si="5"/>
        <v>0</v>
      </c>
      <c r="Y48" s="2">
        <f t="shared" ca="1" si="0"/>
        <v>32133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>
        <f t="shared" si="6"/>
        <v>0</v>
      </c>
      <c r="AD48" s="2">
        <f t="shared" si="3"/>
        <v>8</v>
      </c>
      <c r="AE48" s="2">
        <f t="shared" ca="1" si="4"/>
        <v>-44986.676271643519</v>
      </c>
      <c r="AF48" s="15"/>
    </row>
    <row r="49" spans="4:32">
      <c r="D49" s="1"/>
      <c r="E49" s="1"/>
      <c r="P49" s="11"/>
      <c r="X49" s="13">
        <f t="shared" si="5"/>
        <v>0</v>
      </c>
      <c r="Y49" s="2">
        <f t="shared" ca="1" si="0"/>
        <v>32133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>
        <f t="shared" si="6"/>
        <v>0</v>
      </c>
      <c r="AD49" s="2">
        <f t="shared" si="3"/>
        <v>8</v>
      </c>
      <c r="AE49" s="2">
        <f t="shared" ca="1" si="4"/>
        <v>-44986.676271643519</v>
      </c>
      <c r="AF49" s="15"/>
    </row>
    <row r="50" spans="4:32">
      <c r="D50" s="1"/>
      <c r="E50" s="1"/>
      <c r="P50" s="11"/>
      <c r="X50" s="13">
        <f t="shared" si="5"/>
        <v>0</v>
      </c>
      <c r="Y50" s="2">
        <f t="shared" ca="1" si="0"/>
        <v>32133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>
        <f t="shared" si="6"/>
        <v>0</v>
      </c>
      <c r="AD50" s="2">
        <f t="shared" si="3"/>
        <v>8</v>
      </c>
      <c r="AE50" s="2">
        <f t="shared" ca="1" si="4"/>
        <v>-44986.676271643519</v>
      </c>
      <c r="AF50" s="15"/>
    </row>
    <row r="51" spans="4:32">
      <c r="D51" s="1"/>
      <c r="E51" s="1"/>
      <c r="P51" s="11"/>
      <c r="X51" s="13">
        <f t="shared" si="5"/>
        <v>0</v>
      </c>
      <c r="Y51" s="2">
        <f t="shared" ca="1" si="0"/>
        <v>32133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>
        <f t="shared" si="6"/>
        <v>0</v>
      </c>
      <c r="AD51" s="2">
        <f t="shared" si="3"/>
        <v>8</v>
      </c>
      <c r="AE51" s="2">
        <f t="shared" ca="1" si="4"/>
        <v>-44986.676271643519</v>
      </c>
      <c r="AF51" s="15"/>
    </row>
    <row r="52" spans="4:32">
      <c r="D52" s="1"/>
      <c r="E52" s="1"/>
      <c r="P52" s="11"/>
      <c r="X52" s="13">
        <f t="shared" si="5"/>
        <v>0</v>
      </c>
      <c r="Y52" s="2">
        <f t="shared" ca="1" si="0"/>
        <v>32133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>
        <f t="shared" si="6"/>
        <v>0</v>
      </c>
      <c r="AD52" s="2">
        <f t="shared" si="3"/>
        <v>8</v>
      </c>
      <c r="AE52" s="2">
        <f t="shared" ca="1" si="4"/>
        <v>-44986.676271643519</v>
      </c>
      <c r="AF52" s="15"/>
    </row>
    <row r="53" spans="4:32">
      <c r="D53" s="1"/>
      <c r="E53" s="1"/>
      <c r="P53" s="11"/>
      <c r="X53" s="13">
        <f t="shared" si="5"/>
        <v>0</v>
      </c>
      <c r="Y53" s="2">
        <f t="shared" ca="1" si="0"/>
        <v>32133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>
        <f t="shared" si="6"/>
        <v>0</v>
      </c>
      <c r="AD53" s="2">
        <f t="shared" si="3"/>
        <v>8</v>
      </c>
      <c r="AE53" s="2">
        <f t="shared" ca="1" si="4"/>
        <v>-44986.676271643519</v>
      </c>
      <c r="AF53" s="15"/>
    </row>
    <row r="54" spans="4:32">
      <c r="D54" s="1"/>
      <c r="E54" s="1"/>
      <c r="P54" s="11"/>
      <c r="X54" s="13">
        <f t="shared" si="5"/>
        <v>0</v>
      </c>
      <c r="Y54" s="2">
        <f t="shared" ca="1" si="0"/>
        <v>32133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>
        <f t="shared" si="6"/>
        <v>0</v>
      </c>
      <c r="AD54" s="2">
        <f t="shared" si="3"/>
        <v>8</v>
      </c>
      <c r="AE54" s="2">
        <f t="shared" ca="1" si="4"/>
        <v>-44986.676271643519</v>
      </c>
      <c r="AF54" s="15"/>
    </row>
    <row r="55" spans="4:32">
      <c r="D55" s="1"/>
      <c r="E55" s="1"/>
      <c r="P55" s="11"/>
      <c r="X55" s="13">
        <f t="shared" si="5"/>
        <v>0</v>
      </c>
      <c r="Y55" s="2">
        <f t="shared" ca="1" si="0"/>
        <v>32133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>
        <f t="shared" si="6"/>
        <v>0</v>
      </c>
      <c r="AD55" s="2">
        <f t="shared" si="3"/>
        <v>8</v>
      </c>
      <c r="AE55" s="2">
        <f t="shared" ca="1" si="4"/>
        <v>-44986.676271643519</v>
      </c>
      <c r="AF55" s="15"/>
    </row>
    <row r="56" spans="4:32">
      <c r="D56" s="1"/>
      <c r="E56" s="1"/>
      <c r="P56" s="11"/>
      <c r="X56" s="13">
        <f t="shared" si="5"/>
        <v>0</v>
      </c>
      <c r="Y56" s="2">
        <f t="shared" ca="1" si="0"/>
        <v>32133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>
        <f t="shared" si="6"/>
        <v>0</v>
      </c>
      <c r="AD56" s="2">
        <f t="shared" si="3"/>
        <v>8</v>
      </c>
      <c r="AE56" s="2">
        <f t="shared" ca="1" si="4"/>
        <v>-44986.676271643519</v>
      </c>
      <c r="AF56" s="15"/>
    </row>
    <row r="57" spans="4:32">
      <c r="D57" s="1"/>
      <c r="E57" s="1"/>
      <c r="P57" s="11"/>
      <c r="X57" s="13">
        <f t="shared" si="5"/>
        <v>0</v>
      </c>
      <c r="Y57" s="2">
        <f t="shared" ca="1" si="0"/>
        <v>32133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>
        <f t="shared" si="6"/>
        <v>0</v>
      </c>
      <c r="AD57" s="2">
        <f t="shared" si="3"/>
        <v>8</v>
      </c>
      <c r="AE57" s="2">
        <f t="shared" ca="1" si="4"/>
        <v>-44986.676271643519</v>
      </c>
      <c r="AF57" s="15"/>
    </row>
    <row r="58" spans="4:32">
      <c r="D58" s="1"/>
      <c r="E58" s="1"/>
      <c r="P58" s="11"/>
      <c r="X58" s="13">
        <f t="shared" si="5"/>
        <v>0</v>
      </c>
      <c r="Y58" s="2">
        <f t="shared" ca="1" si="0"/>
        <v>32133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>
        <f t="shared" si="6"/>
        <v>0</v>
      </c>
      <c r="AD58" s="2">
        <f t="shared" si="3"/>
        <v>8</v>
      </c>
      <c r="AE58" s="2">
        <f t="shared" ca="1" si="4"/>
        <v>-44986.676271643519</v>
      </c>
      <c r="AF58" s="15"/>
    </row>
    <row r="59" spans="4:32">
      <c r="D59" s="1"/>
      <c r="E59" s="1"/>
      <c r="P59" s="11"/>
      <c r="X59" s="13">
        <f t="shared" si="5"/>
        <v>0</v>
      </c>
      <c r="Y59" s="2">
        <f t="shared" ca="1" si="0"/>
        <v>32133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>
        <f t="shared" si="6"/>
        <v>0</v>
      </c>
      <c r="AD59" s="2">
        <f t="shared" si="3"/>
        <v>8</v>
      </c>
      <c r="AE59" s="2">
        <f t="shared" ca="1" si="4"/>
        <v>-44986.676271643519</v>
      </c>
      <c r="AF59" s="15"/>
    </row>
    <row r="60" spans="4:32">
      <c r="D60" s="1"/>
      <c r="E60" s="1"/>
      <c r="P60" s="11"/>
      <c r="X60" s="13">
        <f t="shared" si="5"/>
        <v>0</v>
      </c>
      <c r="Y60" s="2">
        <f t="shared" ca="1" si="0"/>
        <v>32133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>
        <f t="shared" si="6"/>
        <v>0</v>
      </c>
      <c r="AD60" s="2">
        <f t="shared" si="3"/>
        <v>8</v>
      </c>
      <c r="AE60" s="2">
        <f t="shared" ca="1" si="4"/>
        <v>-44986.676271643519</v>
      </c>
      <c r="AF60" s="15"/>
    </row>
    <row r="61" spans="4:32">
      <c r="D61" s="1"/>
      <c r="E61" s="1"/>
      <c r="P61" s="11"/>
      <c r="X61" s="13">
        <f t="shared" si="5"/>
        <v>0</v>
      </c>
      <c r="Y61" s="2">
        <f t="shared" ca="1" si="0"/>
        <v>32133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>
        <f t="shared" si="6"/>
        <v>0</v>
      </c>
      <c r="AD61" s="2">
        <f t="shared" si="3"/>
        <v>8</v>
      </c>
      <c r="AE61" s="2">
        <f t="shared" ca="1" si="4"/>
        <v>-44986.676271643519</v>
      </c>
      <c r="AF61" s="15"/>
    </row>
    <row r="62" spans="4:32">
      <c r="D62" s="1"/>
      <c r="E62" s="1"/>
      <c r="P62" s="11"/>
      <c r="X62" s="13">
        <f t="shared" si="5"/>
        <v>0</v>
      </c>
      <c r="Y62" s="2">
        <f t="shared" ca="1" si="0"/>
        <v>32133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>
        <f t="shared" si="6"/>
        <v>0</v>
      </c>
      <c r="AD62" s="2">
        <f t="shared" si="3"/>
        <v>8</v>
      </c>
      <c r="AE62" s="2">
        <f t="shared" ca="1" si="4"/>
        <v>-44986.676271643519</v>
      </c>
      <c r="AF62" s="15"/>
    </row>
    <row r="63" spans="4:32">
      <c r="D63" s="1"/>
      <c r="E63" s="1"/>
      <c r="P63" s="11"/>
      <c r="X63" s="13">
        <f t="shared" si="5"/>
        <v>0</v>
      </c>
      <c r="Y63" s="2">
        <f t="shared" ca="1" si="0"/>
        <v>32133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>
        <f t="shared" si="6"/>
        <v>0</v>
      </c>
      <c r="AD63" s="2">
        <f t="shared" si="3"/>
        <v>8</v>
      </c>
      <c r="AE63" s="2">
        <f t="shared" ca="1" si="4"/>
        <v>-44986.676271643519</v>
      </c>
      <c r="AF63" s="15"/>
    </row>
    <row r="64" spans="4:32">
      <c r="D64" s="1"/>
      <c r="E64" s="1"/>
      <c r="P64" s="11"/>
      <c r="X64" s="13">
        <f t="shared" si="5"/>
        <v>0</v>
      </c>
      <c r="Y64" s="2">
        <f t="shared" ca="1" si="0"/>
        <v>32133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>
        <f t="shared" si="6"/>
        <v>0</v>
      </c>
      <c r="AD64" s="2">
        <f t="shared" si="3"/>
        <v>8</v>
      </c>
      <c r="AE64" s="2">
        <f t="shared" ca="1" si="4"/>
        <v>-44986.676271643519</v>
      </c>
      <c r="AF64" s="15"/>
    </row>
    <row r="65" spans="3:32">
      <c r="D65" s="1"/>
      <c r="E65" s="1"/>
      <c r="P65" s="11"/>
      <c r="U65" s="11"/>
      <c r="X65" s="13">
        <f t="shared" si="5"/>
        <v>0</v>
      </c>
      <c r="Y65" s="2">
        <f t="shared" ca="1" si="0"/>
        <v>32133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>
        <f t="shared" si="6"/>
        <v>0</v>
      </c>
      <c r="AD65" s="2">
        <f t="shared" si="3"/>
        <v>8</v>
      </c>
      <c r="AE65" s="2">
        <f t="shared" ca="1" si="4"/>
        <v>-44986.676271643519</v>
      </c>
      <c r="AF65" s="15"/>
    </row>
    <row r="66" spans="3:32">
      <c r="D66" s="1"/>
      <c r="E66" s="1"/>
      <c r="P66" s="11"/>
      <c r="U66" s="11"/>
      <c r="X66" s="13">
        <f t="shared" si="5"/>
        <v>0</v>
      </c>
      <c r="Y66" s="2">
        <f t="shared" ref="Y66:Y129" ca="1" si="7">NETWORKDAYS(P66,$Y$1)</f>
        <v>32133</v>
      </c>
      <c r="Z66" s="14">
        <v>1</v>
      </c>
      <c r="AA66" s="1" t="str">
        <f t="shared" ref="AA66:AA129" ca="1" si="8">IF(AE66=0,"HOJE",IF(AE66&gt;0,"A VENCER",IF(AE66&lt;0,"VENCIDO")))</f>
        <v>VENCIDO</v>
      </c>
      <c r="AB66" s="1" t="str">
        <f t="shared" ref="AB66:AB129" si="9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>
        <f t="shared" si="6"/>
        <v>0</v>
      </c>
      <c r="AD66" s="2">
        <f t="shared" ref="AD66:AD129" si="10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1">IF(U66=$AE$1,"",U66-$AE$1)</f>
        <v>-44986.676271643519</v>
      </c>
      <c r="AF66" s="15"/>
    </row>
    <row r="67" spans="3:32">
      <c r="C67" s="23"/>
      <c r="D67" s="1"/>
      <c r="E67" s="1"/>
      <c r="P67" s="11"/>
      <c r="U67" s="11"/>
      <c r="X67" s="13">
        <f t="shared" ref="X67:X130" si="12">IF(RIGHT(H67,2)&lt;&gt;"00",H67,"")</f>
        <v>0</v>
      </c>
      <c r="Y67" s="2">
        <f t="shared" ca="1" si="7"/>
        <v>32133</v>
      </c>
      <c r="Z67" s="14">
        <v>1</v>
      </c>
      <c r="AA67" s="1" t="str">
        <f t="shared" ca="1" si="8"/>
        <v>VENCIDO</v>
      </c>
      <c r="AB67" s="1" t="str">
        <f t="shared" si="9"/>
        <v>TAAe+</v>
      </c>
      <c r="AC67" s="2">
        <f t="shared" ref="AC67:AC130" si="13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>0</v>
      </c>
      <c r="AD67" s="2">
        <f t="shared" si="10"/>
        <v>8</v>
      </c>
      <c r="AE67" s="2">
        <f t="shared" ca="1" si="11"/>
        <v>-44986.676271643519</v>
      </c>
      <c r="AF67" s="15"/>
    </row>
    <row r="68" spans="3:32">
      <c r="C68" s="23"/>
      <c r="D68" s="1"/>
      <c r="E68" s="1"/>
      <c r="P68" s="11"/>
      <c r="U68" s="11"/>
      <c r="X68" s="13">
        <f t="shared" si="12"/>
        <v>0</v>
      </c>
      <c r="Y68" s="2">
        <f t="shared" ca="1" si="7"/>
        <v>32133</v>
      </c>
      <c r="Z68" s="14">
        <v>1</v>
      </c>
      <c r="AA68" s="1" t="str">
        <f t="shared" ca="1" si="8"/>
        <v>VENCIDO</v>
      </c>
      <c r="AB68" s="1" t="str">
        <f t="shared" si="9"/>
        <v>TAAe+</v>
      </c>
      <c r="AC68" s="2">
        <f t="shared" si="13"/>
        <v>0</v>
      </c>
      <c r="AD68" s="2">
        <f t="shared" si="10"/>
        <v>8</v>
      </c>
      <c r="AE68" s="2">
        <f t="shared" ca="1" si="11"/>
        <v>-44986.676271643519</v>
      </c>
      <c r="AF68" s="15"/>
    </row>
    <row r="69" spans="3:32">
      <c r="C69" s="23"/>
      <c r="D69" s="1"/>
      <c r="E69" s="1"/>
      <c r="P69" s="11"/>
      <c r="U69" s="11"/>
      <c r="X69" s="13">
        <f t="shared" si="12"/>
        <v>0</v>
      </c>
      <c r="Y69" s="2">
        <f t="shared" ca="1" si="7"/>
        <v>32133</v>
      </c>
      <c r="Z69" s="14">
        <v>1</v>
      </c>
      <c r="AA69" s="1" t="str">
        <f t="shared" ca="1" si="8"/>
        <v>VENCIDO</v>
      </c>
      <c r="AB69" s="1" t="str">
        <f t="shared" si="9"/>
        <v>TAAe+</v>
      </c>
      <c r="AC69" s="2">
        <f t="shared" si="13"/>
        <v>0</v>
      </c>
      <c r="AD69" s="2">
        <f t="shared" si="10"/>
        <v>8</v>
      </c>
      <c r="AE69" s="2">
        <f t="shared" ca="1" si="11"/>
        <v>-44986.676271643519</v>
      </c>
      <c r="AF69" s="15"/>
    </row>
    <row r="70" spans="3:32">
      <c r="C70" s="23"/>
      <c r="D70" s="1"/>
      <c r="E70" s="1"/>
      <c r="P70" s="11"/>
      <c r="U70" s="11"/>
      <c r="X70" s="13">
        <f t="shared" si="12"/>
        <v>0</v>
      </c>
      <c r="Y70" s="2">
        <f t="shared" ca="1" si="7"/>
        <v>32133</v>
      </c>
      <c r="Z70" s="14">
        <v>1</v>
      </c>
      <c r="AA70" s="1" t="str">
        <f t="shared" ca="1" si="8"/>
        <v>VENCIDO</v>
      </c>
      <c r="AB70" s="1" t="str">
        <f t="shared" si="9"/>
        <v>TAAe+</v>
      </c>
      <c r="AC70" s="2">
        <f t="shared" si="13"/>
        <v>0</v>
      </c>
      <c r="AD70" s="2">
        <f t="shared" si="10"/>
        <v>8</v>
      </c>
      <c r="AE70" s="2">
        <f t="shared" ca="1" si="11"/>
        <v>-44986.676271643519</v>
      </c>
      <c r="AF70" s="15"/>
    </row>
    <row r="71" spans="3:32">
      <c r="D71" s="1"/>
      <c r="E71" s="1"/>
      <c r="P71" s="11"/>
      <c r="U71" s="11"/>
      <c r="X71" s="13">
        <f t="shared" si="12"/>
        <v>0</v>
      </c>
      <c r="Y71" s="2">
        <f t="shared" ca="1" si="7"/>
        <v>32133</v>
      </c>
      <c r="Z71" s="14">
        <v>1</v>
      </c>
      <c r="AA71" s="1" t="str">
        <f t="shared" ca="1" si="8"/>
        <v>VENCIDO</v>
      </c>
      <c r="AB71" s="1" t="str">
        <f t="shared" si="9"/>
        <v>TAAe+</v>
      </c>
      <c r="AC71" s="2">
        <f t="shared" si="13"/>
        <v>0</v>
      </c>
      <c r="AD71" s="2">
        <f t="shared" si="10"/>
        <v>8</v>
      </c>
      <c r="AE71" s="2">
        <f t="shared" ca="1" si="11"/>
        <v>-44986.676271643519</v>
      </c>
      <c r="AF71" s="15"/>
    </row>
    <row r="72" spans="3:32">
      <c r="D72" s="1"/>
      <c r="E72" s="1"/>
      <c r="P72" s="11"/>
      <c r="X72" s="13">
        <f t="shared" si="12"/>
        <v>0</v>
      </c>
      <c r="Y72" s="2">
        <f t="shared" ca="1" si="7"/>
        <v>32133</v>
      </c>
      <c r="Z72" s="14">
        <v>1</v>
      </c>
      <c r="AA72" s="1" t="str">
        <f t="shared" ca="1" si="8"/>
        <v>VENCIDO</v>
      </c>
      <c r="AB72" s="1" t="str">
        <f t="shared" si="9"/>
        <v>TAAe+</v>
      </c>
      <c r="AC72" s="2">
        <f t="shared" si="13"/>
        <v>0</v>
      </c>
      <c r="AD72" s="2">
        <f t="shared" si="10"/>
        <v>8</v>
      </c>
      <c r="AE72" s="2">
        <f t="shared" ca="1" si="11"/>
        <v>-44986.676271643519</v>
      </c>
      <c r="AF72" s="15"/>
    </row>
    <row r="73" spans="3:32">
      <c r="D73" s="1"/>
      <c r="E73" s="1"/>
      <c r="P73" s="11"/>
      <c r="X73" s="13">
        <f t="shared" si="12"/>
        <v>0</v>
      </c>
      <c r="Y73" s="2">
        <f t="shared" ca="1" si="7"/>
        <v>32133</v>
      </c>
      <c r="Z73" s="14">
        <v>1</v>
      </c>
      <c r="AA73" s="1" t="str">
        <f t="shared" ca="1" si="8"/>
        <v>VENCIDO</v>
      </c>
      <c r="AB73" s="1" t="str">
        <f t="shared" si="9"/>
        <v>TAAe+</v>
      </c>
      <c r="AC73" s="2">
        <f t="shared" si="13"/>
        <v>0</v>
      </c>
      <c r="AD73" s="2">
        <f t="shared" si="10"/>
        <v>8</v>
      </c>
      <c r="AE73" s="2">
        <f t="shared" ca="1" si="11"/>
        <v>-44986.676271643519</v>
      </c>
      <c r="AF73" s="15"/>
    </row>
    <row r="74" spans="3:32">
      <c r="D74" s="1"/>
      <c r="E74" s="1"/>
      <c r="P74" s="11"/>
      <c r="X74" s="13">
        <f t="shared" si="12"/>
        <v>0</v>
      </c>
      <c r="Y74" s="2">
        <f t="shared" ca="1" si="7"/>
        <v>32133</v>
      </c>
      <c r="Z74" s="14">
        <v>1</v>
      </c>
      <c r="AA74" s="1" t="str">
        <f t="shared" ca="1" si="8"/>
        <v>VENCIDO</v>
      </c>
      <c r="AB74" s="1" t="str">
        <f t="shared" si="9"/>
        <v>TAAe+</v>
      </c>
      <c r="AC74" s="2">
        <f t="shared" si="13"/>
        <v>0</v>
      </c>
      <c r="AD74" s="2">
        <f t="shared" si="10"/>
        <v>8</v>
      </c>
      <c r="AE74" s="2">
        <f t="shared" ca="1" si="11"/>
        <v>-44986.676271643519</v>
      </c>
      <c r="AF74" s="15"/>
    </row>
    <row r="75" spans="3:32">
      <c r="D75" s="1"/>
      <c r="E75" s="1"/>
      <c r="P75" s="11"/>
      <c r="X75" s="13">
        <f t="shared" si="12"/>
        <v>0</v>
      </c>
      <c r="Y75" s="2">
        <f t="shared" ca="1" si="7"/>
        <v>32133</v>
      </c>
      <c r="Z75" s="14">
        <v>1</v>
      </c>
      <c r="AA75" s="1" t="str">
        <f t="shared" ca="1" si="8"/>
        <v>VENCIDO</v>
      </c>
      <c r="AB75" s="1" t="str">
        <f t="shared" si="9"/>
        <v>TAAe+</v>
      </c>
      <c r="AC75" s="2">
        <f t="shared" si="13"/>
        <v>0</v>
      </c>
      <c r="AD75" s="2">
        <f t="shared" si="10"/>
        <v>8</v>
      </c>
      <c r="AE75" s="2">
        <f t="shared" ca="1" si="11"/>
        <v>-44986.676271643519</v>
      </c>
      <c r="AF75" s="15"/>
    </row>
    <row r="76" spans="3:32">
      <c r="D76" s="1"/>
      <c r="E76" s="1"/>
      <c r="P76" s="11"/>
      <c r="U76" s="11"/>
      <c r="X76" s="13">
        <f t="shared" si="12"/>
        <v>0</v>
      </c>
      <c r="Y76" s="2">
        <f t="shared" ca="1" si="7"/>
        <v>32133</v>
      </c>
      <c r="Z76" s="14">
        <v>1</v>
      </c>
      <c r="AA76" s="1" t="str">
        <f t="shared" ca="1" si="8"/>
        <v>VENCIDO</v>
      </c>
      <c r="AB76" s="1" t="str">
        <f t="shared" si="9"/>
        <v>TAAe+</v>
      </c>
      <c r="AC76" s="2">
        <f t="shared" si="13"/>
        <v>0</v>
      </c>
      <c r="AD76" s="2">
        <f t="shared" si="10"/>
        <v>8</v>
      </c>
      <c r="AE76" s="2">
        <f t="shared" ca="1" si="11"/>
        <v>-44986.676271643519</v>
      </c>
      <c r="AF76" s="15"/>
    </row>
    <row r="77" spans="3:32">
      <c r="D77" s="1"/>
      <c r="E77" s="1"/>
      <c r="P77" s="11"/>
      <c r="U77" s="11"/>
      <c r="X77" s="13">
        <f t="shared" si="12"/>
        <v>0</v>
      </c>
      <c r="Y77" s="2">
        <f t="shared" ca="1" si="7"/>
        <v>32133</v>
      </c>
      <c r="Z77" s="14">
        <v>1</v>
      </c>
      <c r="AA77" s="1" t="str">
        <f t="shared" ca="1" si="8"/>
        <v>VENCIDO</v>
      </c>
      <c r="AB77" s="1" t="str">
        <f t="shared" si="9"/>
        <v>TAAe+</v>
      </c>
      <c r="AC77" s="2">
        <f t="shared" si="13"/>
        <v>0</v>
      </c>
      <c r="AD77" s="2">
        <f t="shared" si="10"/>
        <v>8</v>
      </c>
      <c r="AE77" s="2">
        <f t="shared" ca="1" si="11"/>
        <v>-44986.676271643519</v>
      </c>
      <c r="AF77" s="15"/>
    </row>
    <row r="78" spans="3:32">
      <c r="D78" s="1"/>
      <c r="E78" s="1"/>
      <c r="P78" s="11"/>
      <c r="U78" s="11"/>
      <c r="X78" s="13">
        <f t="shared" si="12"/>
        <v>0</v>
      </c>
      <c r="Y78" s="2">
        <f t="shared" ca="1" si="7"/>
        <v>32133</v>
      </c>
      <c r="Z78" s="14">
        <v>1</v>
      </c>
      <c r="AA78" s="1" t="str">
        <f t="shared" ca="1" si="8"/>
        <v>VENCIDO</v>
      </c>
      <c r="AB78" s="1" t="str">
        <f t="shared" si="9"/>
        <v>TAAe+</v>
      </c>
      <c r="AC78" s="2">
        <f t="shared" si="13"/>
        <v>0</v>
      </c>
      <c r="AD78" s="2">
        <f t="shared" si="10"/>
        <v>8</v>
      </c>
      <c r="AE78" s="2">
        <f t="shared" ca="1" si="11"/>
        <v>-44986.676271643519</v>
      </c>
      <c r="AF78" s="15"/>
    </row>
    <row r="79" spans="3:32">
      <c r="D79" s="1"/>
      <c r="E79" s="1"/>
      <c r="P79" s="11"/>
      <c r="U79" s="11"/>
      <c r="X79" s="13">
        <f t="shared" si="12"/>
        <v>0</v>
      </c>
      <c r="Y79" s="2">
        <f t="shared" ca="1" si="7"/>
        <v>32133</v>
      </c>
      <c r="Z79" s="14">
        <v>1</v>
      </c>
      <c r="AA79" s="1" t="str">
        <f t="shared" ca="1" si="8"/>
        <v>VENCIDO</v>
      </c>
      <c r="AB79" s="1" t="str">
        <f t="shared" si="9"/>
        <v>TAAe+</v>
      </c>
      <c r="AC79" s="2">
        <f t="shared" si="13"/>
        <v>0</v>
      </c>
      <c r="AD79" s="2">
        <f t="shared" si="10"/>
        <v>8</v>
      </c>
      <c r="AE79" s="2">
        <f t="shared" ca="1" si="11"/>
        <v>-44986.676271643519</v>
      </c>
      <c r="AF79" s="15"/>
    </row>
    <row r="80" spans="3:32">
      <c r="D80" s="1"/>
      <c r="E80" s="1"/>
      <c r="P80" s="11"/>
      <c r="U80" s="11"/>
      <c r="X80" s="13">
        <f t="shared" si="12"/>
        <v>0</v>
      </c>
      <c r="Y80" s="2">
        <f t="shared" ca="1" si="7"/>
        <v>32133</v>
      </c>
      <c r="Z80" s="14">
        <v>1</v>
      </c>
      <c r="AA80" s="1" t="str">
        <f t="shared" ca="1" si="8"/>
        <v>VENCIDO</v>
      </c>
      <c r="AB80" s="1" t="str">
        <f t="shared" si="9"/>
        <v>TAAe+</v>
      </c>
      <c r="AC80" s="2">
        <f t="shared" si="13"/>
        <v>0</v>
      </c>
      <c r="AD80" s="2">
        <f t="shared" si="10"/>
        <v>8</v>
      </c>
      <c r="AE80" s="2">
        <f t="shared" ca="1" si="11"/>
        <v>-44986.676271643519</v>
      </c>
      <c r="AF80" s="15"/>
    </row>
    <row r="81" spans="3:32">
      <c r="D81" s="1"/>
      <c r="E81" s="1"/>
      <c r="P81" s="11"/>
      <c r="U81" s="11"/>
      <c r="X81" s="13">
        <f t="shared" si="12"/>
        <v>0</v>
      </c>
      <c r="Y81" s="2">
        <f t="shared" ca="1" si="7"/>
        <v>32133</v>
      </c>
      <c r="Z81" s="14">
        <v>1</v>
      </c>
      <c r="AA81" s="1" t="str">
        <f t="shared" ca="1" si="8"/>
        <v>VENCIDO</v>
      </c>
      <c r="AB81" s="1" t="str">
        <f t="shared" si="9"/>
        <v>TAAe+</v>
      </c>
      <c r="AC81" s="2">
        <f t="shared" si="13"/>
        <v>0</v>
      </c>
      <c r="AD81" s="2">
        <f t="shared" si="10"/>
        <v>8</v>
      </c>
      <c r="AE81" s="2">
        <f t="shared" ca="1" si="11"/>
        <v>-44986.676271643519</v>
      </c>
      <c r="AF81" s="15"/>
    </row>
    <row r="82" spans="3:32">
      <c r="D82" s="1"/>
      <c r="E82" s="1"/>
      <c r="P82" s="11"/>
      <c r="U82" s="11"/>
      <c r="X82" s="13">
        <f t="shared" si="12"/>
        <v>0</v>
      </c>
      <c r="Y82" s="2">
        <f t="shared" ca="1" si="7"/>
        <v>32133</v>
      </c>
      <c r="Z82" s="14">
        <v>1</v>
      </c>
      <c r="AA82" s="1" t="str">
        <f t="shared" ca="1" si="8"/>
        <v>VENCIDO</v>
      </c>
      <c r="AB82" s="1" t="str">
        <f t="shared" si="9"/>
        <v>TAAe+</v>
      </c>
      <c r="AC82" s="2">
        <f t="shared" si="13"/>
        <v>0</v>
      </c>
      <c r="AD82" s="2">
        <f t="shared" si="10"/>
        <v>8</v>
      </c>
      <c r="AE82" s="2">
        <f t="shared" ca="1" si="11"/>
        <v>-44986.676271643519</v>
      </c>
      <c r="AF82" s="15"/>
    </row>
    <row r="83" spans="3:32">
      <c r="D83" s="1"/>
      <c r="E83" s="1"/>
      <c r="P83" s="11"/>
      <c r="U83" s="11"/>
      <c r="X83" s="13">
        <f t="shared" si="12"/>
        <v>0</v>
      </c>
      <c r="Y83" s="2">
        <f t="shared" ca="1" si="7"/>
        <v>32133</v>
      </c>
      <c r="Z83" s="14">
        <v>1</v>
      </c>
      <c r="AA83" s="1" t="str">
        <f t="shared" ca="1" si="8"/>
        <v>VENCIDO</v>
      </c>
      <c r="AB83" s="1" t="str">
        <f t="shared" si="9"/>
        <v>TAAe+</v>
      </c>
      <c r="AC83" s="2">
        <f t="shared" si="13"/>
        <v>0</v>
      </c>
      <c r="AD83" s="2">
        <f t="shared" si="10"/>
        <v>8</v>
      </c>
      <c r="AE83" s="2">
        <f t="shared" ca="1" si="11"/>
        <v>-44986.676271643519</v>
      </c>
      <c r="AF83" s="15"/>
    </row>
    <row r="84" spans="3:32">
      <c r="D84" s="1"/>
      <c r="E84" s="1"/>
      <c r="P84" s="11"/>
      <c r="U84" s="11"/>
      <c r="X84" s="13">
        <f t="shared" si="12"/>
        <v>0</v>
      </c>
      <c r="Y84" s="2">
        <f t="shared" ca="1" si="7"/>
        <v>32133</v>
      </c>
      <c r="Z84" s="14">
        <v>1</v>
      </c>
      <c r="AA84" s="1" t="str">
        <f t="shared" ca="1" si="8"/>
        <v>VENCIDO</v>
      </c>
      <c r="AB84" s="1" t="str">
        <f t="shared" si="9"/>
        <v>TAAe+</v>
      </c>
      <c r="AC84" s="2">
        <f t="shared" si="13"/>
        <v>0</v>
      </c>
      <c r="AD84" s="2">
        <f t="shared" si="10"/>
        <v>8</v>
      </c>
      <c r="AE84" s="2">
        <f t="shared" ca="1" si="11"/>
        <v>-44986.676271643519</v>
      </c>
      <c r="AF84" s="15"/>
    </row>
    <row r="85" spans="3:32">
      <c r="D85" s="1"/>
      <c r="E85" s="1"/>
      <c r="P85" s="11"/>
      <c r="U85" s="11"/>
      <c r="X85" s="13">
        <f t="shared" si="12"/>
        <v>0</v>
      </c>
      <c r="Y85" s="2">
        <f t="shared" ca="1" si="7"/>
        <v>32133</v>
      </c>
      <c r="Z85" s="14">
        <v>1</v>
      </c>
      <c r="AA85" s="1" t="str">
        <f t="shared" ca="1" si="8"/>
        <v>VENCIDO</v>
      </c>
      <c r="AB85" s="1" t="str">
        <f t="shared" si="9"/>
        <v>TAAe+</v>
      </c>
      <c r="AC85" s="2">
        <f t="shared" si="13"/>
        <v>0</v>
      </c>
      <c r="AD85" s="2">
        <f t="shared" si="10"/>
        <v>8</v>
      </c>
      <c r="AE85" s="2">
        <f t="shared" ca="1" si="11"/>
        <v>-44986.676271643519</v>
      </c>
      <c r="AF85" s="15"/>
    </row>
    <row r="86" spans="3:32">
      <c r="D86" s="1"/>
      <c r="E86" s="1"/>
      <c r="P86" s="11"/>
      <c r="U86" s="11"/>
      <c r="X86" s="13">
        <f t="shared" si="12"/>
        <v>0</v>
      </c>
      <c r="Y86" s="2">
        <f t="shared" ca="1" si="7"/>
        <v>32133</v>
      </c>
      <c r="Z86" s="14">
        <v>1</v>
      </c>
      <c r="AA86" s="1" t="str">
        <f t="shared" ca="1" si="8"/>
        <v>VENCIDO</v>
      </c>
      <c r="AB86" s="1" t="str">
        <f t="shared" si="9"/>
        <v>TAAe+</v>
      </c>
      <c r="AC86" s="2">
        <f t="shared" si="13"/>
        <v>0</v>
      </c>
      <c r="AD86" s="2">
        <f t="shared" si="10"/>
        <v>8</v>
      </c>
      <c r="AE86" s="2">
        <f t="shared" ca="1" si="11"/>
        <v>-44986.676271643519</v>
      </c>
      <c r="AF86" s="15"/>
    </row>
    <row r="87" spans="3:32">
      <c r="D87" s="1"/>
      <c r="E87" s="1"/>
      <c r="P87" s="11"/>
      <c r="U87" s="11"/>
      <c r="X87" s="13">
        <f t="shared" si="12"/>
        <v>0</v>
      </c>
      <c r="Y87" s="2">
        <f t="shared" ca="1" si="7"/>
        <v>32133</v>
      </c>
      <c r="Z87" s="14">
        <v>1</v>
      </c>
      <c r="AA87" s="1" t="str">
        <f t="shared" ca="1" si="8"/>
        <v>VENCIDO</v>
      </c>
      <c r="AB87" s="1" t="str">
        <f t="shared" si="9"/>
        <v>TAAe+</v>
      </c>
      <c r="AC87" s="2">
        <f t="shared" si="13"/>
        <v>0</v>
      </c>
      <c r="AD87" s="2">
        <f t="shared" si="10"/>
        <v>8</v>
      </c>
      <c r="AE87" s="2">
        <f t="shared" ca="1" si="11"/>
        <v>-44986.676271643519</v>
      </c>
      <c r="AF87" s="15"/>
    </row>
    <row r="88" spans="3:32">
      <c r="D88" s="1"/>
      <c r="E88" s="1"/>
      <c r="P88" s="11"/>
      <c r="U88" s="11"/>
      <c r="X88" s="13">
        <f t="shared" si="12"/>
        <v>0</v>
      </c>
      <c r="Y88" s="2">
        <f t="shared" ca="1" si="7"/>
        <v>32133</v>
      </c>
      <c r="Z88" s="14">
        <v>1</v>
      </c>
      <c r="AA88" s="1" t="str">
        <f t="shared" ca="1" si="8"/>
        <v>VENCIDO</v>
      </c>
      <c r="AB88" s="1" t="str">
        <f t="shared" si="9"/>
        <v>TAAe+</v>
      </c>
      <c r="AC88" s="2">
        <f t="shared" si="13"/>
        <v>0</v>
      </c>
      <c r="AD88" s="2">
        <f t="shared" si="10"/>
        <v>8</v>
      </c>
      <c r="AE88" s="2">
        <f t="shared" ca="1" si="11"/>
        <v>-44986.676271643519</v>
      </c>
      <c r="AF88" s="15"/>
    </row>
    <row r="89" spans="3:32">
      <c r="C89" s="23"/>
      <c r="D89" s="1"/>
      <c r="E89" s="1"/>
      <c r="P89" s="11"/>
      <c r="U89" s="11"/>
      <c r="X89" s="13">
        <f t="shared" si="12"/>
        <v>0</v>
      </c>
      <c r="Y89" s="2">
        <f t="shared" ca="1" si="7"/>
        <v>32133</v>
      </c>
      <c r="Z89" s="14">
        <v>1</v>
      </c>
      <c r="AA89" s="1" t="str">
        <f t="shared" ca="1" si="8"/>
        <v>VENCIDO</v>
      </c>
      <c r="AB89" s="1" t="str">
        <f t="shared" si="9"/>
        <v>TAAe+</v>
      </c>
      <c r="AC89" s="2">
        <f t="shared" si="13"/>
        <v>0</v>
      </c>
      <c r="AD89" s="2">
        <f t="shared" si="10"/>
        <v>8</v>
      </c>
      <c r="AE89" s="2">
        <f t="shared" ca="1" si="11"/>
        <v>-44986.676271643519</v>
      </c>
      <c r="AF89" s="15"/>
    </row>
    <row r="90" spans="3:32">
      <c r="D90" s="1"/>
      <c r="E90" s="1"/>
      <c r="P90" s="11"/>
      <c r="U90" s="11"/>
      <c r="X90" s="13">
        <f t="shared" si="12"/>
        <v>0</v>
      </c>
      <c r="Y90" s="2">
        <f t="shared" ca="1" si="7"/>
        <v>32133</v>
      </c>
      <c r="Z90" s="14">
        <v>1</v>
      </c>
      <c r="AA90" s="1" t="str">
        <f t="shared" ca="1" si="8"/>
        <v>VENCIDO</v>
      </c>
      <c r="AB90" s="1" t="str">
        <f t="shared" si="9"/>
        <v>TAAe+</v>
      </c>
      <c r="AC90" s="2">
        <f t="shared" si="13"/>
        <v>0</v>
      </c>
      <c r="AD90" s="2">
        <f t="shared" si="10"/>
        <v>8</v>
      </c>
      <c r="AE90" s="2">
        <f t="shared" ca="1" si="11"/>
        <v>-44986.676271643519</v>
      </c>
      <c r="AF90" s="15"/>
    </row>
    <row r="91" spans="3:32">
      <c r="D91" s="1"/>
      <c r="E91" s="1"/>
      <c r="P91" s="11"/>
      <c r="U91" s="11"/>
      <c r="X91" s="13">
        <f t="shared" si="12"/>
        <v>0</v>
      </c>
      <c r="Y91" s="2">
        <f t="shared" ca="1" si="7"/>
        <v>32133</v>
      </c>
      <c r="Z91" s="14">
        <v>1</v>
      </c>
      <c r="AA91" s="1" t="str">
        <f t="shared" ca="1" si="8"/>
        <v>VENCIDO</v>
      </c>
      <c r="AB91" s="1" t="str">
        <f t="shared" si="9"/>
        <v>TAAe+</v>
      </c>
      <c r="AC91" s="2">
        <f t="shared" si="13"/>
        <v>0</v>
      </c>
      <c r="AD91" s="2">
        <f t="shared" si="10"/>
        <v>8</v>
      </c>
      <c r="AE91" s="2">
        <f t="shared" ca="1" si="11"/>
        <v>-44986.676271643519</v>
      </c>
      <c r="AF91" s="15"/>
    </row>
    <row r="92" spans="3:32">
      <c r="D92" s="1"/>
      <c r="E92" s="1"/>
      <c r="P92" s="11"/>
      <c r="U92" s="11"/>
      <c r="X92" s="13">
        <f t="shared" si="12"/>
        <v>0</v>
      </c>
      <c r="Y92" s="2">
        <f t="shared" ca="1" si="7"/>
        <v>32133</v>
      </c>
      <c r="Z92" s="14">
        <v>1</v>
      </c>
      <c r="AA92" s="1" t="str">
        <f t="shared" ca="1" si="8"/>
        <v>VENCIDO</v>
      </c>
      <c r="AB92" s="1" t="str">
        <f t="shared" si="9"/>
        <v>TAAe+</v>
      </c>
      <c r="AC92" s="2">
        <f t="shared" si="13"/>
        <v>0</v>
      </c>
      <c r="AD92" s="2">
        <f t="shared" si="10"/>
        <v>8</v>
      </c>
      <c r="AE92" s="2">
        <f t="shared" ca="1" si="11"/>
        <v>-44986.676271643519</v>
      </c>
      <c r="AF92" s="15"/>
    </row>
    <row r="93" spans="3:32">
      <c r="D93" s="1"/>
      <c r="E93" s="1"/>
      <c r="P93" s="11"/>
      <c r="U93" s="11"/>
      <c r="X93" s="13">
        <f t="shared" si="12"/>
        <v>0</v>
      </c>
      <c r="Y93" s="2">
        <f t="shared" ca="1" si="7"/>
        <v>32133</v>
      </c>
      <c r="Z93" s="14">
        <v>1</v>
      </c>
      <c r="AA93" s="1" t="str">
        <f t="shared" ca="1" si="8"/>
        <v>VENCIDO</v>
      </c>
      <c r="AB93" s="1" t="str">
        <f t="shared" si="9"/>
        <v>TAAe+</v>
      </c>
      <c r="AC93" s="2">
        <f t="shared" si="13"/>
        <v>0</v>
      </c>
      <c r="AD93" s="2">
        <f t="shared" si="10"/>
        <v>8</v>
      </c>
      <c r="AE93" s="2">
        <f t="shared" ca="1" si="11"/>
        <v>-44986.676271643519</v>
      </c>
      <c r="AF93" s="15"/>
    </row>
    <row r="94" spans="3:32">
      <c r="D94" s="1"/>
      <c r="E94" s="1"/>
      <c r="P94" s="11"/>
      <c r="U94" s="11"/>
      <c r="X94" s="13">
        <f t="shared" si="12"/>
        <v>0</v>
      </c>
      <c r="Y94" s="2">
        <f t="shared" ca="1" si="7"/>
        <v>32133</v>
      </c>
      <c r="Z94" s="14">
        <v>1</v>
      </c>
      <c r="AA94" s="1" t="str">
        <f t="shared" ca="1" si="8"/>
        <v>VENCIDO</v>
      </c>
      <c r="AB94" s="1" t="str">
        <f t="shared" si="9"/>
        <v>TAAe+</v>
      </c>
      <c r="AC94" s="2">
        <f t="shared" si="13"/>
        <v>0</v>
      </c>
      <c r="AD94" s="2">
        <f t="shared" si="10"/>
        <v>8</v>
      </c>
      <c r="AE94" s="2">
        <f t="shared" ca="1" si="11"/>
        <v>-44986.676271643519</v>
      </c>
      <c r="AF94" s="15"/>
    </row>
    <row r="95" spans="3:32">
      <c r="D95" s="1"/>
      <c r="E95" s="1"/>
      <c r="P95" s="11"/>
      <c r="U95" s="11"/>
      <c r="X95" s="13">
        <f t="shared" si="12"/>
        <v>0</v>
      </c>
      <c r="Y95" s="2">
        <f t="shared" ca="1" si="7"/>
        <v>32133</v>
      </c>
      <c r="Z95" s="14">
        <v>1</v>
      </c>
      <c r="AA95" s="1" t="str">
        <f t="shared" ca="1" si="8"/>
        <v>VENCIDO</v>
      </c>
      <c r="AB95" s="1" t="str">
        <f t="shared" si="9"/>
        <v>TAAe+</v>
      </c>
      <c r="AC95" s="2">
        <f t="shared" si="13"/>
        <v>0</v>
      </c>
      <c r="AD95" s="2">
        <f t="shared" si="10"/>
        <v>8</v>
      </c>
      <c r="AE95" s="2">
        <f t="shared" ca="1" si="11"/>
        <v>-44986.676271643519</v>
      </c>
      <c r="AF95" s="15"/>
    </row>
    <row r="96" spans="3:32">
      <c r="D96" s="1"/>
      <c r="E96" s="1"/>
      <c r="P96" s="11"/>
      <c r="U96" s="11"/>
      <c r="X96" s="13">
        <f t="shared" si="12"/>
        <v>0</v>
      </c>
      <c r="Y96" s="2">
        <f t="shared" ca="1" si="7"/>
        <v>32133</v>
      </c>
      <c r="Z96" s="14">
        <v>1</v>
      </c>
      <c r="AA96" s="1" t="str">
        <f t="shared" ca="1" si="8"/>
        <v>VENCIDO</v>
      </c>
      <c r="AB96" s="1" t="str">
        <f t="shared" si="9"/>
        <v>TAAe+</v>
      </c>
      <c r="AC96" s="2">
        <f t="shared" si="13"/>
        <v>0</v>
      </c>
      <c r="AD96" s="2">
        <f t="shared" si="10"/>
        <v>8</v>
      </c>
      <c r="AE96" s="2">
        <f t="shared" ca="1" si="11"/>
        <v>-44986.676271643519</v>
      </c>
      <c r="AF96" s="15"/>
    </row>
    <row r="97" spans="3:32">
      <c r="D97" s="1"/>
      <c r="E97" s="1"/>
      <c r="P97" s="11"/>
      <c r="U97" s="11"/>
      <c r="X97" s="13">
        <f t="shared" si="12"/>
        <v>0</v>
      </c>
      <c r="Y97" s="2">
        <f t="shared" ca="1" si="7"/>
        <v>32133</v>
      </c>
      <c r="Z97" s="14">
        <v>1</v>
      </c>
      <c r="AA97" s="1" t="str">
        <f t="shared" ca="1" si="8"/>
        <v>VENCIDO</v>
      </c>
      <c r="AB97" s="1" t="str">
        <f t="shared" si="9"/>
        <v>TAAe+</v>
      </c>
      <c r="AC97" s="2">
        <f t="shared" si="13"/>
        <v>0</v>
      </c>
      <c r="AD97" s="2">
        <f t="shared" si="10"/>
        <v>8</v>
      </c>
      <c r="AE97" s="2">
        <f t="shared" ca="1" si="11"/>
        <v>-44986.676271643519</v>
      </c>
      <c r="AF97" s="15"/>
    </row>
    <row r="98" spans="3:32">
      <c r="C98" s="23"/>
      <c r="D98" s="1"/>
      <c r="E98" s="1"/>
      <c r="P98" s="11"/>
      <c r="U98" s="11"/>
      <c r="X98" s="13">
        <f t="shared" si="12"/>
        <v>0</v>
      </c>
      <c r="Y98" s="2">
        <f t="shared" ca="1" si="7"/>
        <v>32133</v>
      </c>
      <c r="Z98" s="14">
        <v>1</v>
      </c>
      <c r="AA98" s="1" t="str">
        <f t="shared" ca="1" si="8"/>
        <v>VENCIDO</v>
      </c>
      <c r="AB98" s="1" t="str">
        <f t="shared" si="9"/>
        <v>TAAe+</v>
      </c>
      <c r="AC98" s="2">
        <f t="shared" si="13"/>
        <v>0</v>
      </c>
      <c r="AD98" s="2">
        <f t="shared" si="10"/>
        <v>8</v>
      </c>
      <c r="AE98" s="2">
        <f t="shared" ca="1" si="11"/>
        <v>-44986.676271643519</v>
      </c>
      <c r="AF98" s="15"/>
    </row>
    <row r="99" spans="3:32">
      <c r="D99" s="1"/>
      <c r="E99" s="1"/>
      <c r="P99" s="11"/>
      <c r="U99" s="11"/>
      <c r="X99" s="13">
        <f t="shared" si="12"/>
        <v>0</v>
      </c>
      <c r="Y99" s="2">
        <f t="shared" ca="1" si="7"/>
        <v>32133</v>
      </c>
      <c r="Z99" s="14">
        <v>1</v>
      </c>
      <c r="AA99" s="1" t="str">
        <f t="shared" ca="1" si="8"/>
        <v>VENCIDO</v>
      </c>
      <c r="AB99" s="1" t="str">
        <f t="shared" si="9"/>
        <v>TAAe+</v>
      </c>
      <c r="AC99" s="2">
        <f t="shared" si="13"/>
        <v>0</v>
      </c>
      <c r="AD99" s="2">
        <f t="shared" si="10"/>
        <v>8</v>
      </c>
      <c r="AE99" s="2">
        <f t="shared" ca="1" si="11"/>
        <v>-44986.676271643519</v>
      </c>
      <c r="AF99" s="15"/>
    </row>
    <row r="100" spans="3:32">
      <c r="D100" s="1"/>
      <c r="E100" s="1"/>
      <c r="P100" s="11"/>
      <c r="U100" s="11"/>
      <c r="X100" s="13">
        <f t="shared" si="12"/>
        <v>0</v>
      </c>
      <c r="Y100" s="2">
        <f t="shared" ca="1" si="7"/>
        <v>32133</v>
      </c>
      <c r="Z100" s="14">
        <v>1</v>
      </c>
      <c r="AA100" s="1" t="str">
        <f t="shared" ca="1" si="8"/>
        <v>VENCIDO</v>
      </c>
      <c r="AB100" s="1" t="str">
        <f t="shared" si="9"/>
        <v>TAAe+</v>
      </c>
      <c r="AC100" s="2">
        <f t="shared" si="13"/>
        <v>0</v>
      </c>
      <c r="AD100" s="2">
        <f t="shared" si="10"/>
        <v>8</v>
      </c>
      <c r="AE100" s="2">
        <f t="shared" ca="1" si="11"/>
        <v>-44986.676271643519</v>
      </c>
      <c r="AF100" s="15"/>
    </row>
    <row r="101" spans="3:32">
      <c r="D101" s="1"/>
      <c r="E101" s="1"/>
      <c r="P101" s="11"/>
      <c r="U101" s="11"/>
      <c r="X101" s="13">
        <f t="shared" si="12"/>
        <v>0</v>
      </c>
      <c r="Y101" s="2">
        <f t="shared" ca="1" si="7"/>
        <v>32133</v>
      </c>
      <c r="Z101" s="14">
        <v>1</v>
      </c>
      <c r="AA101" s="1" t="str">
        <f t="shared" ca="1" si="8"/>
        <v>VENCIDO</v>
      </c>
      <c r="AB101" s="1" t="str">
        <f t="shared" si="9"/>
        <v>TAAe+</v>
      </c>
      <c r="AC101" s="2">
        <f t="shared" si="13"/>
        <v>0</v>
      </c>
      <c r="AD101" s="2">
        <f t="shared" si="10"/>
        <v>8</v>
      </c>
      <c r="AE101" s="2">
        <f t="shared" ca="1" si="11"/>
        <v>-44986.676271643519</v>
      </c>
      <c r="AF101" s="15"/>
    </row>
    <row r="102" spans="3:32">
      <c r="D102" s="1"/>
      <c r="E102" s="1"/>
      <c r="P102" s="11"/>
      <c r="U102" s="11"/>
      <c r="X102" s="13">
        <f t="shared" si="12"/>
        <v>0</v>
      </c>
      <c r="Y102" s="2">
        <f t="shared" ca="1" si="7"/>
        <v>32133</v>
      </c>
      <c r="Z102" s="14">
        <v>1</v>
      </c>
      <c r="AA102" s="1" t="str">
        <f t="shared" ca="1" si="8"/>
        <v>VENCIDO</v>
      </c>
      <c r="AB102" s="1" t="str">
        <f t="shared" si="9"/>
        <v>TAAe+</v>
      </c>
      <c r="AC102" s="2">
        <f t="shared" si="13"/>
        <v>0</v>
      </c>
      <c r="AD102" s="2">
        <f t="shared" si="10"/>
        <v>8</v>
      </c>
      <c r="AE102" s="2">
        <f t="shared" ca="1" si="11"/>
        <v>-44986.676271643519</v>
      </c>
      <c r="AF102" s="15"/>
    </row>
    <row r="103" spans="3:32">
      <c r="C103" s="23"/>
      <c r="D103" s="1"/>
      <c r="E103" s="1"/>
      <c r="P103" s="11"/>
      <c r="U103" s="11"/>
      <c r="X103" s="13">
        <f t="shared" si="12"/>
        <v>0</v>
      </c>
      <c r="Y103" s="2">
        <f t="shared" ca="1" si="7"/>
        <v>32133</v>
      </c>
      <c r="Z103" s="14">
        <v>1</v>
      </c>
      <c r="AA103" s="1" t="str">
        <f t="shared" ca="1" si="8"/>
        <v>VENCIDO</v>
      </c>
      <c r="AB103" s="1" t="str">
        <f t="shared" si="9"/>
        <v>TAAe+</v>
      </c>
      <c r="AC103" s="2">
        <f t="shared" si="13"/>
        <v>0</v>
      </c>
      <c r="AD103" s="2">
        <f t="shared" si="10"/>
        <v>8</v>
      </c>
      <c r="AE103" s="2">
        <f t="shared" ca="1" si="11"/>
        <v>-44986.676271643519</v>
      </c>
      <c r="AF103" s="15"/>
    </row>
    <row r="104" spans="3:32">
      <c r="D104" s="1"/>
      <c r="E104" s="1"/>
      <c r="P104" s="11"/>
      <c r="U104" s="11"/>
      <c r="X104" s="13">
        <f t="shared" si="12"/>
        <v>0</v>
      </c>
      <c r="Y104" s="2">
        <f t="shared" ca="1" si="7"/>
        <v>32133</v>
      </c>
      <c r="Z104" s="14">
        <v>1</v>
      </c>
      <c r="AA104" s="1" t="str">
        <f t="shared" ca="1" si="8"/>
        <v>VENCIDO</v>
      </c>
      <c r="AB104" s="1" t="str">
        <f t="shared" si="9"/>
        <v>TAAe+</v>
      </c>
      <c r="AC104" s="2">
        <f t="shared" si="13"/>
        <v>0</v>
      </c>
      <c r="AD104" s="2">
        <f t="shared" si="10"/>
        <v>8</v>
      </c>
      <c r="AE104" s="2">
        <f t="shared" ca="1" si="11"/>
        <v>-44986.676271643519</v>
      </c>
      <c r="AF104" s="15"/>
    </row>
    <row r="105" spans="3:32">
      <c r="D105" s="1"/>
      <c r="E105" s="1"/>
      <c r="P105" s="11"/>
      <c r="U105" s="11"/>
      <c r="X105" s="13">
        <f t="shared" si="12"/>
        <v>0</v>
      </c>
      <c r="Y105" s="2">
        <f t="shared" ca="1" si="7"/>
        <v>32133</v>
      </c>
      <c r="Z105" s="14">
        <v>1</v>
      </c>
      <c r="AA105" s="1" t="str">
        <f t="shared" ca="1" si="8"/>
        <v>VENCIDO</v>
      </c>
      <c r="AB105" s="1" t="str">
        <f t="shared" si="9"/>
        <v>TAAe+</v>
      </c>
      <c r="AC105" s="2">
        <f t="shared" si="13"/>
        <v>0</v>
      </c>
      <c r="AD105" s="2">
        <f t="shared" si="10"/>
        <v>8</v>
      </c>
      <c r="AE105" s="2">
        <f t="shared" ca="1" si="11"/>
        <v>-44986.676271643519</v>
      </c>
      <c r="AF105" s="15"/>
    </row>
    <row r="106" spans="3:32">
      <c r="D106" s="1"/>
      <c r="E106" s="1"/>
      <c r="P106" s="11"/>
      <c r="U106" s="11"/>
      <c r="X106" s="13">
        <f t="shared" si="12"/>
        <v>0</v>
      </c>
      <c r="Y106" s="2">
        <f t="shared" ca="1" si="7"/>
        <v>32133</v>
      </c>
      <c r="Z106" s="14">
        <v>1</v>
      </c>
      <c r="AA106" s="1" t="str">
        <f t="shared" ca="1" si="8"/>
        <v>VENCIDO</v>
      </c>
      <c r="AB106" s="1" t="str">
        <f t="shared" si="9"/>
        <v>TAAe+</v>
      </c>
      <c r="AC106" s="2">
        <f t="shared" si="13"/>
        <v>0</v>
      </c>
      <c r="AD106" s="2">
        <f t="shared" si="10"/>
        <v>8</v>
      </c>
      <c r="AE106" s="2">
        <f t="shared" ca="1" si="11"/>
        <v>-44986.676271643519</v>
      </c>
      <c r="AF106" s="15"/>
    </row>
    <row r="107" spans="3:32">
      <c r="D107" s="1"/>
      <c r="E107" s="1"/>
      <c r="P107" s="11"/>
      <c r="U107" s="11"/>
      <c r="X107" s="13">
        <f t="shared" si="12"/>
        <v>0</v>
      </c>
      <c r="Y107" s="2">
        <f t="shared" ca="1" si="7"/>
        <v>32133</v>
      </c>
      <c r="Z107" s="14">
        <v>1</v>
      </c>
      <c r="AA107" s="1" t="str">
        <f t="shared" ca="1" si="8"/>
        <v>VENCIDO</v>
      </c>
      <c r="AB107" s="1" t="str">
        <f t="shared" si="9"/>
        <v>TAAe+</v>
      </c>
      <c r="AC107" s="2">
        <f t="shared" si="13"/>
        <v>0</v>
      </c>
      <c r="AD107" s="2">
        <f t="shared" si="10"/>
        <v>8</v>
      </c>
      <c r="AE107" s="2">
        <f t="shared" ca="1" si="11"/>
        <v>-44986.676271643519</v>
      </c>
      <c r="AF107" s="15"/>
    </row>
    <row r="108" spans="3:32">
      <c r="D108" s="1"/>
      <c r="E108" s="1"/>
      <c r="P108" s="11"/>
      <c r="U108" s="11"/>
      <c r="X108" s="13">
        <f t="shared" si="12"/>
        <v>0</v>
      </c>
      <c r="Y108" s="2">
        <f t="shared" ca="1" si="7"/>
        <v>32133</v>
      </c>
      <c r="Z108" s="14">
        <v>1</v>
      </c>
      <c r="AA108" s="1" t="str">
        <f t="shared" ca="1" si="8"/>
        <v>VENCIDO</v>
      </c>
      <c r="AB108" s="1" t="str">
        <f t="shared" si="9"/>
        <v>TAAe+</v>
      </c>
      <c r="AC108" s="2">
        <f t="shared" si="13"/>
        <v>0</v>
      </c>
      <c r="AD108" s="2">
        <f t="shared" si="10"/>
        <v>8</v>
      </c>
      <c r="AE108" s="2">
        <f t="shared" ca="1" si="11"/>
        <v>-44986.676271643519</v>
      </c>
      <c r="AF108" s="15"/>
    </row>
    <row r="109" spans="3:32">
      <c r="D109" s="1"/>
      <c r="E109" s="1"/>
      <c r="P109" s="11"/>
      <c r="U109" s="11"/>
      <c r="X109" s="13">
        <f t="shared" si="12"/>
        <v>0</v>
      </c>
      <c r="Y109" s="2">
        <f t="shared" ca="1" si="7"/>
        <v>32133</v>
      </c>
      <c r="Z109" s="14">
        <v>1</v>
      </c>
      <c r="AA109" s="1" t="str">
        <f t="shared" ca="1" si="8"/>
        <v>VENCIDO</v>
      </c>
      <c r="AB109" s="1" t="str">
        <f t="shared" si="9"/>
        <v>TAAe+</v>
      </c>
      <c r="AC109" s="2">
        <f t="shared" si="13"/>
        <v>0</v>
      </c>
      <c r="AD109" s="2">
        <f t="shared" si="10"/>
        <v>8</v>
      </c>
      <c r="AE109" s="2">
        <f t="shared" ca="1" si="11"/>
        <v>-44986.676271643519</v>
      </c>
      <c r="AF109" s="15"/>
    </row>
    <row r="110" spans="3:32">
      <c r="D110" s="1"/>
      <c r="E110" s="1"/>
      <c r="P110" s="11"/>
      <c r="U110" s="11"/>
      <c r="X110" s="13">
        <f t="shared" si="12"/>
        <v>0</v>
      </c>
      <c r="Y110" s="2">
        <f t="shared" ca="1" si="7"/>
        <v>32133</v>
      </c>
      <c r="Z110" s="14">
        <v>1</v>
      </c>
      <c r="AA110" s="1" t="str">
        <f t="shared" ca="1" si="8"/>
        <v>VENCIDO</v>
      </c>
      <c r="AB110" s="1" t="str">
        <f t="shared" si="9"/>
        <v>TAAe+</v>
      </c>
      <c r="AC110" s="2">
        <f t="shared" si="13"/>
        <v>0</v>
      </c>
      <c r="AD110" s="2">
        <f t="shared" si="10"/>
        <v>8</v>
      </c>
      <c r="AE110" s="2">
        <f t="shared" ca="1" si="11"/>
        <v>-44986.676271643519</v>
      </c>
      <c r="AF110" s="15"/>
    </row>
    <row r="111" spans="3:32">
      <c r="C111" s="23"/>
      <c r="D111" s="1"/>
      <c r="E111" s="1"/>
      <c r="P111" s="11"/>
      <c r="U111" s="11"/>
      <c r="X111" s="13">
        <f t="shared" si="12"/>
        <v>0</v>
      </c>
      <c r="Y111" s="2">
        <f t="shared" ca="1" si="7"/>
        <v>32133</v>
      </c>
      <c r="Z111" s="14">
        <v>1</v>
      </c>
      <c r="AA111" s="1" t="str">
        <f t="shared" ca="1" si="8"/>
        <v>VENCIDO</v>
      </c>
      <c r="AB111" s="1" t="str">
        <f t="shared" si="9"/>
        <v>TAAe+</v>
      </c>
      <c r="AC111" s="2">
        <f t="shared" si="13"/>
        <v>0</v>
      </c>
      <c r="AD111" s="2">
        <f t="shared" si="10"/>
        <v>8</v>
      </c>
      <c r="AE111" s="2">
        <f t="shared" ca="1" si="11"/>
        <v>-44986.676271643519</v>
      </c>
      <c r="AF111" s="15"/>
    </row>
    <row r="112" spans="3:32">
      <c r="D112" s="1"/>
      <c r="E112" s="1"/>
      <c r="P112" s="11"/>
      <c r="U112" s="11"/>
      <c r="X112" s="13">
        <f t="shared" si="12"/>
        <v>0</v>
      </c>
      <c r="Y112" s="2">
        <f t="shared" ca="1" si="7"/>
        <v>32133</v>
      </c>
      <c r="Z112" s="14">
        <v>1</v>
      </c>
      <c r="AA112" s="1" t="str">
        <f t="shared" ca="1" si="8"/>
        <v>VENCIDO</v>
      </c>
      <c r="AB112" s="1" t="str">
        <f t="shared" si="9"/>
        <v>TAAe+</v>
      </c>
      <c r="AC112" s="2">
        <f t="shared" si="13"/>
        <v>0</v>
      </c>
      <c r="AD112" s="2">
        <f t="shared" si="10"/>
        <v>8</v>
      </c>
      <c r="AE112" s="2">
        <f t="shared" ca="1" si="11"/>
        <v>-44986.676271643519</v>
      </c>
      <c r="AF112" s="15"/>
    </row>
    <row r="113" spans="3:32">
      <c r="D113" s="1"/>
      <c r="E113" s="1"/>
      <c r="P113" s="11"/>
      <c r="U113" s="11"/>
      <c r="X113" s="13">
        <f t="shared" si="12"/>
        <v>0</v>
      </c>
      <c r="Y113" s="2">
        <f t="shared" ca="1" si="7"/>
        <v>32133</v>
      </c>
      <c r="Z113" s="14">
        <v>1</v>
      </c>
      <c r="AA113" s="1" t="str">
        <f t="shared" ca="1" si="8"/>
        <v>VENCIDO</v>
      </c>
      <c r="AB113" s="1" t="str">
        <f t="shared" si="9"/>
        <v>TAAe+</v>
      </c>
      <c r="AC113" s="2">
        <f t="shared" si="13"/>
        <v>0</v>
      </c>
      <c r="AD113" s="2">
        <f t="shared" si="10"/>
        <v>8</v>
      </c>
      <c r="AE113" s="2">
        <f t="shared" ca="1" si="11"/>
        <v>-44986.676271643519</v>
      </c>
      <c r="AF113" s="15"/>
    </row>
    <row r="114" spans="3:32">
      <c r="C114" s="23"/>
      <c r="D114" s="1"/>
      <c r="E114" s="1"/>
      <c r="P114" s="11"/>
      <c r="U114" s="11"/>
      <c r="X114" s="13">
        <f t="shared" si="12"/>
        <v>0</v>
      </c>
      <c r="Y114" s="2">
        <f t="shared" ca="1" si="7"/>
        <v>32133</v>
      </c>
      <c r="Z114" s="14">
        <v>1</v>
      </c>
      <c r="AA114" s="1" t="str">
        <f t="shared" ca="1" si="8"/>
        <v>VENCIDO</v>
      </c>
      <c r="AB114" s="1" t="str">
        <f t="shared" si="9"/>
        <v>TAAe+</v>
      </c>
      <c r="AC114" s="2">
        <f t="shared" si="13"/>
        <v>0</v>
      </c>
      <c r="AD114" s="2">
        <f t="shared" si="10"/>
        <v>8</v>
      </c>
      <c r="AE114" s="2">
        <f t="shared" ca="1" si="11"/>
        <v>-44986.676271643519</v>
      </c>
      <c r="AF114" s="15"/>
    </row>
    <row r="115" spans="3:32">
      <c r="D115" s="1"/>
      <c r="E115" s="1"/>
      <c r="P115" s="11"/>
      <c r="U115" s="11"/>
      <c r="X115" s="13">
        <f t="shared" si="12"/>
        <v>0</v>
      </c>
      <c r="Y115" s="2">
        <f t="shared" ca="1" si="7"/>
        <v>32133</v>
      </c>
      <c r="Z115" s="14">
        <v>1</v>
      </c>
      <c r="AA115" s="1" t="str">
        <f t="shared" ca="1" si="8"/>
        <v>VENCIDO</v>
      </c>
      <c r="AB115" s="1" t="str">
        <f t="shared" si="9"/>
        <v>TAAe+</v>
      </c>
      <c r="AC115" s="2">
        <f t="shared" si="13"/>
        <v>0</v>
      </c>
      <c r="AD115" s="2">
        <f t="shared" si="10"/>
        <v>8</v>
      </c>
      <c r="AE115" s="2">
        <f t="shared" ca="1" si="11"/>
        <v>-44986.676271643519</v>
      </c>
      <c r="AF115" s="15"/>
    </row>
    <row r="116" spans="3:32">
      <c r="D116" s="1"/>
      <c r="E116" s="1"/>
      <c r="P116" s="11"/>
      <c r="U116" s="11"/>
      <c r="X116" s="13">
        <f t="shared" si="12"/>
        <v>0</v>
      </c>
      <c r="Y116" s="2">
        <f t="shared" ca="1" si="7"/>
        <v>32133</v>
      </c>
      <c r="Z116" s="14">
        <v>1</v>
      </c>
      <c r="AA116" s="1" t="str">
        <f t="shared" ca="1" si="8"/>
        <v>VENCIDO</v>
      </c>
      <c r="AB116" s="1" t="str">
        <f t="shared" si="9"/>
        <v>TAAe+</v>
      </c>
      <c r="AC116" s="2">
        <f t="shared" si="13"/>
        <v>0</v>
      </c>
      <c r="AD116" s="2">
        <f t="shared" si="10"/>
        <v>8</v>
      </c>
      <c r="AE116" s="2">
        <f t="shared" ca="1" si="11"/>
        <v>-44986.676271643519</v>
      </c>
      <c r="AF116" s="15"/>
    </row>
    <row r="117" spans="3:32">
      <c r="D117" s="1"/>
      <c r="E117" s="1"/>
      <c r="P117" s="11"/>
      <c r="U117" s="11"/>
      <c r="X117" s="13">
        <f t="shared" si="12"/>
        <v>0</v>
      </c>
      <c r="Y117" s="2">
        <f t="shared" ca="1" si="7"/>
        <v>32133</v>
      </c>
      <c r="Z117" s="14">
        <v>1</v>
      </c>
      <c r="AA117" s="1" t="str">
        <f t="shared" ca="1" si="8"/>
        <v>VENCIDO</v>
      </c>
      <c r="AB117" s="1" t="str">
        <f t="shared" si="9"/>
        <v>TAAe+</v>
      </c>
      <c r="AC117" s="2">
        <f t="shared" si="13"/>
        <v>0</v>
      </c>
      <c r="AD117" s="2">
        <f t="shared" si="10"/>
        <v>8</v>
      </c>
      <c r="AE117" s="2">
        <f t="shared" ca="1" si="11"/>
        <v>-44986.676271643519</v>
      </c>
      <c r="AF117" s="15"/>
    </row>
    <row r="118" spans="3:32">
      <c r="C118" s="23"/>
      <c r="D118" s="1"/>
      <c r="E118" s="1"/>
      <c r="P118" s="11"/>
      <c r="U118" s="11"/>
      <c r="X118" s="13">
        <f t="shared" si="12"/>
        <v>0</v>
      </c>
      <c r="Y118" s="2">
        <f t="shared" ca="1" si="7"/>
        <v>32133</v>
      </c>
      <c r="Z118" s="14">
        <v>1</v>
      </c>
      <c r="AA118" s="1" t="str">
        <f t="shared" ca="1" si="8"/>
        <v>VENCIDO</v>
      </c>
      <c r="AB118" s="1" t="str">
        <f t="shared" si="9"/>
        <v>TAAe+</v>
      </c>
      <c r="AC118" s="2">
        <f t="shared" si="13"/>
        <v>0</v>
      </c>
      <c r="AD118" s="2">
        <f t="shared" si="10"/>
        <v>8</v>
      </c>
      <c r="AE118" s="2">
        <f t="shared" ca="1" si="11"/>
        <v>-44986.676271643519</v>
      </c>
      <c r="AF118" s="15"/>
    </row>
    <row r="119" spans="3:32">
      <c r="D119" s="1"/>
      <c r="E119" s="1"/>
      <c r="P119" s="11"/>
      <c r="U119" s="11"/>
      <c r="X119" s="13">
        <f t="shared" si="12"/>
        <v>0</v>
      </c>
      <c r="Y119" s="2">
        <f t="shared" ca="1" si="7"/>
        <v>32133</v>
      </c>
      <c r="Z119" s="14">
        <v>1</v>
      </c>
      <c r="AA119" s="1" t="str">
        <f t="shared" ca="1" si="8"/>
        <v>VENCIDO</v>
      </c>
      <c r="AB119" s="1" t="str">
        <f t="shared" si="9"/>
        <v>TAAe+</v>
      </c>
      <c r="AC119" s="2">
        <f t="shared" si="13"/>
        <v>0</v>
      </c>
      <c r="AD119" s="2">
        <f t="shared" si="10"/>
        <v>8</v>
      </c>
      <c r="AE119" s="2">
        <f t="shared" ca="1" si="11"/>
        <v>-44986.676271643519</v>
      </c>
      <c r="AF119" s="15"/>
    </row>
    <row r="120" spans="3:32">
      <c r="D120" s="1"/>
      <c r="E120" s="1"/>
      <c r="P120" s="11"/>
      <c r="U120" s="11"/>
      <c r="X120" s="13">
        <f t="shared" si="12"/>
        <v>0</v>
      </c>
      <c r="Y120" s="2">
        <f t="shared" ca="1" si="7"/>
        <v>32133</v>
      </c>
      <c r="Z120" s="14">
        <v>1</v>
      </c>
      <c r="AA120" s="1" t="str">
        <f t="shared" ca="1" si="8"/>
        <v>VENCIDO</v>
      </c>
      <c r="AB120" s="1" t="str">
        <f t="shared" si="9"/>
        <v>TAAe+</v>
      </c>
      <c r="AC120" s="2">
        <f t="shared" si="13"/>
        <v>0</v>
      </c>
      <c r="AD120" s="2">
        <f t="shared" si="10"/>
        <v>8</v>
      </c>
      <c r="AE120" s="2">
        <f t="shared" ca="1" si="11"/>
        <v>-44986.676271643519</v>
      </c>
      <c r="AF120" s="15"/>
    </row>
    <row r="121" spans="3:32">
      <c r="D121" s="1"/>
      <c r="E121" s="1"/>
      <c r="P121" s="11"/>
      <c r="U121" s="11"/>
      <c r="X121" s="13">
        <f t="shared" si="12"/>
        <v>0</v>
      </c>
      <c r="Y121" s="2">
        <f t="shared" ca="1" si="7"/>
        <v>32133</v>
      </c>
      <c r="Z121" s="14">
        <v>1</v>
      </c>
      <c r="AA121" s="1" t="str">
        <f t="shared" ca="1" si="8"/>
        <v>VENCIDO</v>
      </c>
      <c r="AB121" s="1" t="str">
        <f t="shared" si="9"/>
        <v>TAAe+</v>
      </c>
      <c r="AC121" s="2">
        <f t="shared" si="13"/>
        <v>0</v>
      </c>
      <c r="AD121" s="2">
        <f t="shared" si="10"/>
        <v>8</v>
      </c>
      <c r="AE121" s="2">
        <f t="shared" ca="1" si="11"/>
        <v>-44986.676271643519</v>
      </c>
      <c r="AF121" s="15"/>
    </row>
    <row r="122" spans="3:32">
      <c r="C122" s="23"/>
      <c r="D122" s="1"/>
      <c r="E122" s="1"/>
      <c r="P122" s="11"/>
      <c r="U122" s="11"/>
      <c r="X122" s="13">
        <f t="shared" si="12"/>
        <v>0</v>
      </c>
      <c r="Y122" s="2">
        <f t="shared" ca="1" si="7"/>
        <v>32133</v>
      </c>
      <c r="Z122" s="14">
        <v>1</v>
      </c>
      <c r="AA122" s="1" t="str">
        <f t="shared" ca="1" si="8"/>
        <v>VENCIDO</v>
      </c>
      <c r="AB122" s="1" t="str">
        <f t="shared" si="9"/>
        <v>TAAe+</v>
      </c>
      <c r="AC122" s="2">
        <f t="shared" si="13"/>
        <v>0</v>
      </c>
      <c r="AD122" s="2">
        <f t="shared" si="10"/>
        <v>8</v>
      </c>
      <c r="AE122" s="2">
        <f t="shared" ca="1" si="11"/>
        <v>-44986.676271643519</v>
      </c>
      <c r="AF122" s="15"/>
    </row>
    <row r="123" spans="3:32">
      <c r="C123" s="23"/>
      <c r="D123" s="1"/>
      <c r="E123" s="1"/>
      <c r="P123" s="11"/>
      <c r="U123" s="11"/>
      <c r="X123" s="13">
        <f t="shared" si="12"/>
        <v>0</v>
      </c>
      <c r="Y123" s="2">
        <f t="shared" ca="1" si="7"/>
        <v>32133</v>
      </c>
      <c r="Z123" s="14">
        <v>1</v>
      </c>
      <c r="AA123" s="1" t="str">
        <f t="shared" ca="1" si="8"/>
        <v>VENCIDO</v>
      </c>
      <c r="AB123" s="1" t="str">
        <f t="shared" si="9"/>
        <v>TAAe+</v>
      </c>
      <c r="AC123" s="2">
        <f t="shared" si="13"/>
        <v>0</v>
      </c>
      <c r="AD123" s="2">
        <f t="shared" si="10"/>
        <v>8</v>
      </c>
      <c r="AE123" s="2">
        <f t="shared" ca="1" si="11"/>
        <v>-44986.676271643519</v>
      </c>
      <c r="AF123" s="15"/>
    </row>
    <row r="124" spans="3:32">
      <c r="D124" s="1"/>
      <c r="E124" s="1"/>
      <c r="P124" s="11"/>
      <c r="U124" s="11"/>
      <c r="X124" s="13">
        <f t="shared" si="12"/>
        <v>0</v>
      </c>
      <c r="Y124" s="2">
        <f t="shared" ca="1" si="7"/>
        <v>32133</v>
      </c>
      <c r="Z124" s="14">
        <v>1</v>
      </c>
      <c r="AA124" s="1" t="str">
        <f t="shared" ca="1" si="8"/>
        <v>VENCIDO</v>
      </c>
      <c r="AB124" s="1" t="str">
        <f t="shared" si="9"/>
        <v>TAAe+</v>
      </c>
      <c r="AC124" s="2">
        <f t="shared" si="13"/>
        <v>0</v>
      </c>
      <c r="AD124" s="2">
        <f t="shared" si="10"/>
        <v>8</v>
      </c>
      <c r="AE124" s="2">
        <f t="shared" ca="1" si="11"/>
        <v>-44986.676271643519</v>
      </c>
      <c r="AF124" s="15"/>
    </row>
    <row r="125" spans="3:32">
      <c r="D125" s="1"/>
      <c r="E125" s="1"/>
      <c r="P125" s="11"/>
      <c r="U125" s="11"/>
      <c r="X125" s="13">
        <f t="shared" si="12"/>
        <v>0</v>
      </c>
      <c r="Y125" s="2">
        <f t="shared" ca="1" si="7"/>
        <v>32133</v>
      </c>
      <c r="Z125" s="14">
        <v>1</v>
      </c>
      <c r="AA125" s="1" t="str">
        <f t="shared" ca="1" si="8"/>
        <v>VENCIDO</v>
      </c>
      <c r="AB125" s="1" t="str">
        <f t="shared" si="9"/>
        <v>TAAe+</v>
      </c>
      <c r="AC125" s="2">
        <f t="shared" si="13"/>
        <v>0</v>
      </c>
      <c r="AD125" s="2">
        <f t="shared" si="10"/>
        <v>8</v>
      </c>
      <c r="AE125" s="2">
        <f t="shared" ca="1" si="11"/>
        <v>-44986.676271643519</v>
      </c>
      <c r="AF125" s="15"/>
    </row>
    <row r="126" spans="3:32">
      <c r="D126" s="1"/>
      <c r="E126" s="1"/>
      <c r="P126" s="11"/>
      <c r="U126" s="11"/>
      <c r="X126" s="13">
        <f t="shared" si="12"/>
        <v>0</v>
      </c>
      <c r="Y126" s="2">
        <f t="shared" ca="1" si="7"/>
        <v>32133</v>
      </c>
      <c r="Z126" s="14">
        <v>1</v>
      </c>
      <c r="AA126" s="1" t="str">
        <f t="shared" ca="1" si="8"/>
        <v>VENCIDO</v>
      </c>
      <c r="AB126" s="1" t="str">
        <f t="shared" si="9"/>
        <v>TAAe+</v>
      </c>
      <c r="AC126" s="2">
        <f t="shared" si="13"/>
        <v>0</v>
      </c>
      <c r="AD126" s="2">
        <f t="shared" si="10"/>
        <v>8</v>
      </c>
      <c r="AE126" s="2">
        <f t="shared" ca="1" si="11"/>
        <v>-44986.676271643519</v>
      </c>
      <c r="AF126" s="15"/>
    </row>
    <row r="127" spans="3:32">
      <c r="D127" s="1"/>
      <c r="E127" s="1"/>
      <c r="P127" s="11"/>
      <c r="U127" s="11"/>
      <c r="X127" s="13">
        <f t="shared" si="12"/>
        <v>0</v>
      </c>
      <c r="Y127" s="2">
        <f t="shared" ca="1" si="7"/>
        <v>32133</v>
      </c>
      <c r="Z127" s="14">
        <v>1</v>
      </c>
      <c r="AA127" s="1" t="str">
        <f t="shared" ca="1" si="8"/>
        <v>VENCIDO</v>
      </c>
      <c r="AB127" s="1" t="str">
        <f t="shared" si="9"/>
        <v>TAAe+</v>
      </c>
      <c r="AC127" s="2">
        <f t="shared" si="13"/>
        <v>0</v>
      </c>
      <c r="AD127" s="2">
        <f t="shared" si="10"/>
        <v>8</v>
      </c>
      <c r="AE127" s="2">
        <f t="shared" ca="1" si="11"/>
        <v>-44986.676271643519</v>
      </c>
      <c r="AF127" s="15"/>
    </row>
    <row r="128" spans="3:32">
      <c r="D128" s="1"/>
      <c r="E128" s="1"/>
      <c r="P128" s="11"/>
      <c r="U128" s="11"/>
      <c r="X128" s="13">
        <f t="shared" si="12"/>
        <v>0</v>
      </c>
      <c r="Y128" s="2">
        <f t="shared" ca="1" si="7"/>
        <v>32133</v>
      </c>
      <c r="Z128" s="14">
        <v>1</v>
      </c>
      <c r="AA128" s="1" t="str">
        <f t="shared" ca="1" si="8"/>
        <v>VENCIDO</v>
      </c>
      <c r="AB128" s="1" t="str">
        <f t="shared" si="9"/>
        <v>TAAe+</v>
      </c>
      <c r="AC128" s="2">
        <f t="shared" si="13"/>
        <v>0</v>
      </c>
      <c r="AD128" s="2">
        <f t="shared" si="10"/>
        <v>8</v>
      </c>
      <c r="AE128" s="2">
        <f t="shared" ca="1" si="11"/>
        <v>-44986.676271643519</v>
      </c>
      <c r="AF128" s="15"/>
    </row>
    <row r="129" spans="4:32">
      <c r="D129" s="1"/>
      <c r="E129" s="1"/>
      <c r="P129" s="11"/>
      <c r="U129" s="11"/>
      <c r="X129" s="13">
        <f t="shared" si="12"/>
        <v>0</v>
      </c>
      <c r="Y129" s="2">
        <f t="shared" ca="1" si="7"/>
        <v>32133</v>
      </c>
      <c r="Z129" s="14">
        <v>1</v>
      </c>
      <c r="AA129" s="1" t="str">
        <f t="shared" ca="1" si="8"/>
        <v>VENCIDO</v>
      </c>
      <c r="AB129" s="1" t="str">
        <f t="shared" si="9"/>
        <v>TAAe+</v>
      </c>
      <c r="AC129" s="2">
        <f t="shared" si="13"/>
        <v>0</v>
      </c>
      <c r="AD129" s="2">
        <f t="shared" si="10"/>
        <v>8</v>
      </c>
      <c r="AE129" s="2">
        <f t="shared" ca="1" si="11"/>
        <v>-44986.676271643519</v>
      </c>
      <c r="AF129" s="15"/>
    </row>
    <row r="130" spans="4:32">
      <c r="D130" s="1"/>
      <c r="E130" s="1"/>
      <c r="P130" s="11"/>
      <c r="U130" s="11"/>
      <c r="X130" s="13">
        <f t="shared" si="12"/>
        <v>0</v>
      </c>
      <c r="Y130" s="2">
        <f t="shared" ref="Y130:Y193" ca="1" si="14">NETWORKDAYS(P130,$Y$1)</f>
        <v>32133</v>
      </c>
      <c r="Z130" s="14">
        <v>1</v>
      </c>
      <c r="AA130" s="1" t="str">
        <f t="shared" ref="AA130:AA193" ca="1" si="15">IF(AE130=0,"HOJE",IF(AE130&gt;0,"A VENCER",IF(AE130&lt;0,"VENCIDO")))</f>
        <v>VENCIDO</v>
      </c>
      <c r="AB130" s="1" t="str">
        <f t="shared" ref="AB130:AB193" si="16">IF(F130="GRPE-000001","C-14",IF(F130="GRPE-000002","C-14",IF(F130="GRPE-000003","C-14",IF(F130="GRPE-000004","SL-On",IF(F130="GRPE-000038","C-14",IF(F130="GRPE-900022","Dosa",IF(F130="GRPE-000029","Dosa",IF(F130="ATOS-000222","Dose","TAAe+"))))))))</f>
        <v>TAAe+</v>
      </c>
      <c r="AC130" s="2">
        <f t="shared" si="13"/>
        <v>0</v>
      </c>
      <c r="AD130" s="2">
        <f t="shared" ref="AD130:AD193" si="17">IF(F130="GRPE-000001",5,IF(F130="GRPE-000002",5,IF(F130="GRPE-000003",15,IF(F130="GRPE-000004",1,IF(F130="GRPE-000038",5,IF(F130="GRPE-900022",5,IF(F130="GRPE-000029",5,IF(F130="ATOS-000222",5,8))))))))</f>
        <v>8</v>
      </c>
      <c r="AE130" s="2">
        <f t="shared" ref="AE130:AE193" ca="1" si="18">IF(U130=$AE$1,"",U130-$AE$1)</f>
        <v>-44986.676271643519</v>
      </c>
      <c r="AF130" s="15"/>
    </row>
    <row r="131" spans="4:32">
      <c r="D131" s="1"/>
      <c r="E131" s="1"/>
      <c r="P131" s="11"/>
      <c r="U131" s="11"/>
      <c r="X131" s="13">
        <f t="shared" ref="X131:X194" si="19">IF(RIGHT(H131,2)&lt;&gt;"00",H131,"")</f>
        <v>0</v>
      </c>
      <c r="Y131" s="2">
        <f t="shared" ca="1" si="14"/>
        <v>32133</v>
      </c>
      <c r="Z131" s="14">
        <v>1</v>
      </c>
      <c r="AA131" s="1" t="str">
        <f t="shared" ca="1" si="15"/>
        <v>VENCIDO</v>
      </c>
      <c r="AB131" s="1" t="str">
        <f t="shared" si="16"/>
        <v>TAAe+</v>
      </c>
      <c r="AC131" s="2">
        <f t="shared" ref="AC131:AC194" si="20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>0</v>
      </c>
      <c r="AD131" s="2">
        <f t="shared" si="17"/>
        <v>8</v>
      </c>
      <c r="AE131" s="2">
        <f t="shared" ca="1" si="18"/>
        <v>-44986.676271643519</v>
      </c>
      <c r="AF131" s="15"/>
    </row>
    <row r="132" spans="4:32">
      <c r="D132" s="1"/>
      <c r="E132" s="1"/>
      <c r="P132" s="11"/>
      <c r="U132" s="11"/>
      <c r="X132" s="13">
        <f t="shared" si="19"/>
        <v>0</v>
      </c>
      <c r="Y132" s="2">
        <f t="shared" ca="1" si="14"/>
        <v>32133</v>
      </c>
      <c r="Z132" s="14">
        <v>1</v>
      </c>
      <c r="AA132" s="1" t="str">
        <f t="shared" ca="1" si="15"/>
        <v>VENCIDO</v>
      </c>
      <c r="AB132" s="1" t="str">
        <f t="shared" si="16"/>
        <v>TAAe+</v>
      </c>
      <c r="AC132" s="2">
        <f t="shared" si="20"/>
        <v>0</v>
      </c>
      <c r="AD132" s="2">
        <f t="shared" si="17"/>
        <v>8</v>
      </c>
      <c r="AE132" s="2">
        <f t="shared" ca="1" si="18"/>
        <v>-44986.676271643519</v>
      </c>
      <c r="AF132" s="15"/>
    </row>
    <row r="133" spans="4:32">
      <c r="D133" s="1"/>
      <c r="E133" s="1"/>
      <c r="P133" s="11"/>
      <c r="U133" s="11"/>
      <c r="X133" s="13">
        <f t="shared" si="19"/>
        <v>0</v>
      </c>
      <c r="Y133" s="2">
        <f t="shared" ca="1" si="14"/>
        <v>32133</v>
      </c>
      <c r="Z133" s="14">
        <v>1</v>
      </c>
      <c r="AA133" s="1" t="str">
        <f t="shared" ca="1" si="15"/>
        <v>VENCIDO</v>
      </c>
      <c r="AB133" s="1" t="str">
        <f t="shared" si="16"/>
        <v>TAAe+</v>
      </c>
      <c r="AC133" s="2">
        <f t="shared" si="20"/>
        <v>0</v>
      </c>
      <c r="AD133" s="2">
        <f t="shared" si="17"/>
        <v>8</v>
      </c>
      <c r="AE133" s="2">
        <f t="shared" ca="1" si="18"/>
        <v>-44986.676271643519</v>
      </c>
      <c r="AF133" s="15"/>
    </row>
    <row r="134" spans="4:32">
      <c r="D134" s="1"/>
      <c r="E134" s="1"/>
      <c r="P134" s="11"/>
      <c r="U134" s="11"/>
      <c r="X134" s="13">
        <f t="shared" si="19"/>
        <v>0</v>
      </c>
      <c r="Y134" s="2">
        <f t="shared" ca="1" si="14"/>
        <v>32133</v>
      </c>
      <c r="Z134" s="14">
        <v>1</v>
      </c>
      <c r="AA134" s="1" t="str">
        <f t="shared" ca="1" si="15"/>
        <v>VENCIDO</v>
      </c>
      <c r="AB134" s="1" t="str">
        <f t="shared" si="16"/>
        <v>TAAe+</v>
      </c>
      <c r="AC134" s="2">
        <f t="shared" si="20"/>
        <v>0</v>
      </c>
      <c r="AD134" s="2">
        <f t="shared" si="17"/>
        <v>8</v>
      </c>
      <c r="AE134" s="2">
        <f t="shared" ca="1" si="18"/>
        <v>-44986.676271643519</v>
      </c>
      <c r="AF134" s="15"/>
    </row>
    <row r="135" spans="4:32">
      <c r="D135" s="1"/>
      <c r="E135" s="1"/>
      <c r="P135" s="11"/>
      <c r="U135" s="11"/>
      <c r="X135" s="13">
        <f t="shared" si="19"/>
        <v>0</v>
      </c>
      <c r="Y135" s="2">
        <f t="shared" ca="1" si="14"/>
        <v>32133</v>
      </c>
      <c r="Z135" s="14">
        <v>1</v>
      </c>
      <c r="AA135" s="1" t="str">
        <f t="shared" ca="1" si="15"/>
        <v>VENCIDO</v>
      </c>
      <c r="AB135" s="1" t="str">
        <f t="shared" si="16"/>
        <v>TAAe+</v>
      </c>
      <c r="AC135" s="2">
        <f t="shared" si="20"/>
        <v>0</v>
      </c>
      <c r="AD135" s="2">
        <f t="shared" si="17"/>
        <v>8</v>
      </c>
      <c r="AE135" s="2">
        <f t="shared" ca="1" si="18"/>
        <v>-44986.676271643519</v>
      </c>
      <c r="AF135" s="15"/>
    </row>
    <row r="136" spans="4:32">
      <c r="D136" s="1"/>
      <c r="E136" s="1"/>
      <c r="P136" s="11"/>
      <c r="U136" s="11"/>
      <c r="X136" s="13">
        <f t="shared" si="19"/>
        <v>0</v>
      </c>
      <c r="Y136" s="2">
        <f t="shared" ca="1" si="14"/>
        <v>32133</v>
      </c>
      <c r="Z136" s="14">
        <v>1</v>
      </c>
      <c r="AA136" s="1" t="str">
        <f t="shared" ca="1" si="15"/>
        <v>VENCIDO</v>
      </c>
      <c r="AB136" s="1" t="str">
        <f t="shared" si="16"/>
        <v>TAAe+</v>
      </c>
      <c r="AC136" s="2">
        <f t="shared" si="20"/>
        <v>0</v>
      </c>
      <c r="AD136" s="2">
        <f t="shared" si="17"/>
        <v>8</v>
      </c>
      <c r="AE136" s="2">
        <f t="shared" ca="1" si="18"/>
        <v>-44986.676271643519</v>
      </c>
      <c r="AF136" s="15"/>
    </row>
    <row r="137" spans="4:32">
      <c r="D137" s="1"/>
      <c r="E137" s="1"/>
      <c r="P137" s="11"/>
      <c r="U137" s="11"/>
      <c r="X137" s="13">
        <f t="shared" si="19"/>
        <v>0</v>
      </c>
      <c r="Y137" s="2">
        <f t="shared" ca="1" si="14"/>
        <v>32133</v>
      </c>
      <c r="Z137" s="14">
        <v>1</v>
      </c>
      <c r="AA137" s="1" t="str">
        <f t="shared" ca="1" si="15"/>
        <v>VENCIDO</v>
      </c>
      <c r="AB137" s="1" t="str">
        <f t="shared" si="16"/>
        <v>TAAe+</v>
      </c>
      <c r="AC137" s="2">
        <f t="shared" si="20"/>
        <v>0</v>
      </c>
      <c r="AD137" s="2">
        <f t="shared" si="17"/>
        <v>8</v>
      </c>
      <c r="AE137" s="2">
        <f t="shared" ca="1" si="18"/>
        <v>-44986.676271643519</v>
      </c>
      <c r="AF137" s="15"/>
    </row>
    <row r="138" spans="4:32">
      <c r="D138" s="1"/>
      <c r="E138" s="1"/>
      <c r="P138" s="11"/>
      <c r="U138" s="11"/>
      <c r="X138" s="13">
        <f t="shared" si="19"/>
        <v>0</v>
      </c>
      <c r="Y138" s="2">
        <f t="shared" ca="1" si="14"/>
        <v>32133</v>
      </c>
      <c r="Z138" s="14">
        <v>1</v>
      </c>
      <c r="AA138" s="1" t="str">
        <f t="shared" ca="1" si="15"/>
        <v>VENCIDO</v>
      </c>
      <c r="AB138" s="1" t="str">
        <f t="shared" si="16"/>
        <v>TAAe+</v>
      </c>
      <c r="AC138" s="2">
        <f t="shared" si="20"/>
        <v>0</v>
      </c>
      <c r="AD138" s="2">
        <f t="shared" si="17"/>
        <v>8</v>
      </c>
      <c r="AE138" s="2">
        <f t="shared" ca="1" si="18"/>
        <v>-44986.676271643519</v>
      </c>
      <c r="AF138" s="15"/>
    </row>
    <row r="139" spans="4:32">
      <c r="D139" s="1"/>
      <c r="E139" s="1"/>
      <c r="P139" s="11"/>
      <c r="U139" s="11"/>
      <c r="X139" s="13">
        <f t="shared" si="19"/>
        <v>0</v>
      </c>
      <c r="Y139" s="2">
        <f t="shared" ca="1" si="14"/>
        <v>32133</v>
      </c>
      <c r="Z139" s="14">
        <v>1</v>
      </c>
      <c r="AA139" s="1" t="str">
        <f t="shared" ca="1" si="15"/>
        <v>VENCIDO</v>
      </c>
      <c r="AB139" s="1" t="str">
        <f t="shared" si="16"/>
        <v>TAAe+</v>
      </c>
      <c r="AC139" s="2">
        <f t="shared" si="20"/>
        <v>0</v>
      </c>
      <c r="AD139" s="2">
        <f t="shared" si="17"/>
        <v>8</v>
      </c>
      <c r="AE139" s="2">
        <f t="shared" ca="1" si="18"/>
        <v>-44986.676271643519</v>
      </c>
      <c r="AF139" s="15"/>
    </row>
    <row r="140" spans="4:32">
      <c r="D140" s="1"/>
      <c r="E140" s="1"/>
      <c r="P140" s="11"/>
      <c r="U140" s="11"/>
      <c r="X140" s="13">
        <f t="shared" si="19"/>
        <v>0</v>
      </c>
      <c r="Y140" s="2">
        <f t="shared" ca="1" si="14"/>
        <v>32133</v>
      </c>
      <c r="Z140" s="14">
        <v>1</v>
      </c>
      <c r="AA140" s="1" t="str">
        <f t="shared" ca="1" si="15"/>
        <v>VENCIDO</v>
      </c>
      <c r="AB140" s="1" t="str">
        <f t="shared" si="16"/>
        <v>TAAe+</v>
      </c>
      <c r="AC140" s="2">
        <f t="shared" si="20"/>
        <v>0</v>
      </c>
      <c r="AD140" s="2">
        <f t="shared" si="17"/>
        <v>8</v>
      </c>
      <c r="AE140" s="2">
        <f t="shared" ca="1" si="18"/>
        <v>-44986.676271643519</v>
      </c>
      <c r="AF140" s="15"/>
    </row>
    <row r="141" spans="4:32">
      <c r="D141" s="1"/>
      <c r="E141" s="1"/>
      <c r="P141" s="11"/>
      <c r="U141" s="11"/>
      <c r="X141" s="13">
        <f t="shared" si="19"/>
        <v>0</v>
      </c>
      <c r="Y141" s="2">
        <f t="shared" ca="1" si="14"/>
        <v>32133</v>
      </c>
      <c r="Z141" s="14">
        <v>1</v>
      </c>
      <c r="AA141" s="1" t="str">
        <f t="shared" ca="1" si="15"/>
        <v>VENCIDO</v>
      </c>
      <c r="AB141" s="1" t="str">
        <f t="shared" si="16"/>
        <v>TAAe+</v>
      </c>
      <c r="AC141" s="2">
        <f t="shared" si="20"/>
        <v>0</v>
      </c>
      <c r="AD141" s="2">
        <f t="shared" si="17"/>
        <v>8</v>
      </c>
      <c r="AE141" s="2">
        <f t="shared" ca="1" si="18"/>
        <v>-44986.676271643519</v>
      </c>
      <c r="AF141" s="15"/>
    </row>
    <row r="142" spans="4:32">
      <c r="D142" s="1"/>
      <c r="E142" s="1"/>
      <c r="P142" s="11"/>
      <c r="U142" s="11"/>
      <c r="X142" s="13">
        <f t="shared" si="19"/>
        <v>0</v>
      </c>
      <c r="Y142" s="2">
        <f t="shared" ca="1" si="14"/>
        <v>32133</v>
      </c>
      <c r="Z142" s="14">
        <v>1</v>
      </c>
      <c r="AA142" s="1" t="str">
        <f t="shared" ca="1" si="15"/>
        <v>VENCIDO</v>
      </c>
      <c r="AB142" s="1" t="str">
        <f t="shared" si="16"/>
        <v>TAAe+</v>
      </c>
      <c r="AC142" s="2">
        <f t="shared" si="20"/>
        <v>0</v>
      </c>
      <c r="AD142" s="2">
        <f t="shared" si="17"/>
        <v>8</v>
      </c>
      <c r="AE142" s="2">
        <f t="shared" ca="1" si="18"/>
        <v>-44986.676271643519</v>
      </c>
      <c r="AF142" s="15"/>
    </row>
    <row r="143" spans="4:32">
      <c r="D143" s="1"/>
      <c r="E143" s="1"/>
      <c r="P143" s="11"/>
      <c r="U143" s="11"/>
      <c r="X143" s="13">
        <f t="shared" si="19"/>
        <v>0</v>
      </c>
      <c r="Y143" s="2">
        <f t="shared" ca="1" si="14"/>
        <v>32133</v>
      </c>
      <c r="Z143" s="14">
        <v>1</v>
      </c>
      <c r="AA143" s="1" t="str">
        <f t="shared" ca="1" si="15"/>
        <v>VENCIDO</v>
      </c>
      <c r="AB143" s="1" t="str">
        <f t="shared" si="16"/>
        <v>TAAe+</v>
      </c>
      <c r="AC143" s="2">
        <f t="shared" si="20"/>
        <v>0</v>
      </c>
      <c r="AD143" s="2">
        <f t="shared" si="17"/>
        <v>8</v>
      </c>
      <c r="AE143" s="2">
        <f t="shared" ca="1" si="18"/>
        <v>-44986.676271643519</v>
      </c>
      <c r="AF143" s="15"/>
    </row>
    <row r="144" spans="4:32">
      <c r="D144" s="1"/>
      <c r="E144" s="1"/>
      <c r="P144" s="11"/>
      <c r="U144" s="11"/>
      <c r="X144" s="13">
        <f t="shared" si="19"/>
        <v>0</v>
      </c>
      <c r="Y144" s="2">
        <f t="shared" ca="1" si="14"/>
        <v>32133</v>
      </c>
      <c r="Z144" s="14">
        <v>1</v>
      </c>
      <c r="AA144" s="1" t="str">
        <f t="shared" ca="1" si="15"/>
        <v>VENCIDO</v>
      </c>
      <c r="AB144" s="1" t="str">
        <f t="shared" si="16"/>
        <v>TAAe+</v>
      </c>
      <c r="AC144" s="2">
        <f t="shared" si="20"/>
        <v>0</v>
      </c>
      <c r="AD144" s="2">
        <f t="shared" si="17"/>
        <v>8</v>
      </c>
      <c r="AE144" s="2">
        <f t="shared" ca="1" si="18"/>
        <v>-44986.676271643519</v>
      </c>
      <c r="AF144" s="15"/>
    </row>
    <row r="145" spans="4:32">
      <c r="D145" s="1"/>
      <c r="E145" s="1"/>
      <c r="P145" s="11"/>
      <c r="U145" s="11"/>
      <c r="X145" s="13">
        <f t="shared" si="19"/>
        <v>0</v>
      </c>
      <c r="Y145" s="2">
        <f t="shared" ca="1" si="14"/>
        <v>32133</v>
      </c>
      <c r="Z145" s="14">
        <v>1</v>
      </c>
      <c r="AA145" s="1" t="str">
        <f t="shared" ca="1" si="15"/>
        <v>VENCIDO</v>
      </c>
      <c r="AB145" s="1" t="str">
        <f t="shared" si="16"/>
        <v>TAAe+</v>
      </c>
      <c r="AC145" s="2">
        <f t="shared" si="20"/>
        <v>0</v>
      </c>
      <c r="AD145" s="2">
        <f t="shared" si="17"/>
        <v>8</v>
      </c>
      <c r="AE145" s="2">
        <f t="shared" ca="1" si="18"/>
        <v>-44986.676271643519</v>
      </c>
      <c r="AF145" s="15"/>
    </row>
    <row r="146" spans="4:32">
      <c r="D146" s="1"/>
      <c r="E146" s="1"/>
      <c r="P146" s="11"/>
      <c r="U146" s="11"/>
      <c r="X146" s="13">
        <f t="shared" si="19"/>
        <v>0</v>
      </c>
      <c r="Y146" s="2">
        <f t="shared" ca="1" si="14"/>
        <v>32133</v>
      </c>
      <c r="Z146" s="14">
        <v>1</v>
      </c>
      <c r="AA146" s="1" t="str">
        <f t="shared" ca="1" si="15"/>
        <v>VENCIDO</v>
      </c>
      <c r="AB146" s="1" t="str">
        <f t="shared" si="16"/>
        <v>TAAe+</v>
      </c>
      <c r="AC146" s="2">
        <f t="shared" si="20"/>
        <v>0</v>
      </c>
      <c r="AD146" s="2">
        <f t="shared" si="17"/>
        <v>8</v>
      </c>
      <c r="AE146" s="2">
        <f t="shared" ca="1" si="18"/>
        <v>-44986.676271643519</v>
      </c>
      <c r="AF146" s="15"/>
    </row>
    <row r="147" spans="4:32">
      <c r="D147" s="1"/>
      <c r="E147" s="1"/>
      <c r="P147" s="11"/>
      <c r="U147" s="11"/>
      <c r="X147" s="13">
        <f t="shared" si="19"/>
        <v>0</v>
      </c>
      <c r="Y147" s="2">
        <f t="shared" ca="1" si="14"/>
        <v>32133</v>
      </c>
      <c r="Z147" s="14">
        <v>1</v>
      </c>
      <c r="AA147" s="1" t="str">
        <f t="shared" ca="1" si="15"/>
        <v>VENCIDO</v>
      </c>
      <c r="AB147" s="1" t="str">
        <f t="shared" si="16"/>
        <v>TAAe+</v>
      </c>
      <c r="AC147" s="2">
        <f t="shared" si="20"/>
        <v>0</v>
      </c>
      <c r="AD147" s="2">
        <f t="shared" si="17"/>
        <v>8</v>
      </c>
      <c r="AE147" s="2">
        <f t="shared" ca="1" si="18"/>
        <v>-44986.676271643519</v>
      </c>
      <c r="AF147" s="15"/>
    </row>
    <row r="148" spans="4:32">
      <c r="D148" s="1"/>
      <c r="E148" s="1"/>
      <c r="P148" s="11"/>
      <c r="U148" s="11"/>
      <c r="X148" s="13">
        <f t="shared" si="19"/>
        <v>0</v>
      </c>
      <c r="Y148" s="2">
        <f t="shared" ca="1" si="14"/>
        <v>32133</v>
      </c>
      <c r="Z148" s="14">
        <v>1</v>
      </c>
      <c r="AA148" s="1" t="str">
        <f t="shared" ca="1" si="15"/>
        <v>VENCIDO</v>
      </c>
      <c r="AB148" s="1" t="str">
        <f t="shared" si="16"/>
        <v>TAAe+</v>
      </c>
      <c r="AC148" s="2">
        <f t="shared" si="20"/>
        <v>0</v>
      </c>
      <c r="AD148" s="2">
        <f t="shared" si="17"/>
        <v>8</v>
      </c>
      <c r="AE148" s="2">
        <f t="shared" ca="1" si="18"/>
        <v>-44986.676271643519</v>
      </c>
      <c r="AF148" s="15"/>
    </row>
    <row r="149" spans="4:32">
      <c r="D149" s="1"/>
      <c r="E149" s="1"/>
      <c r="P149" s="11"/>
      <c r="U149" s="11"/>
      <c r="X149" s="13">
        <f t="shared" si="19"/>
        <v>0</v>
      </c>
      <c r="Y149" s="2">
        <f t="shared" ca="1" si="14"/>
        <v>32133</v>
      </c>
      <c r="Z149" s="14">
        <v>1</v>
      </c>
      <c r="AA149" s="1" t="str">
        <f t="shared" ca="1" si="15"/>
        <v>VENCIDO</v>
      </c>
      <c r="AB149" s="1" t="str">
        <f t="shared" si="16"/>
        <v>TAAe+</v>
      </c>
      <c r="AC149" s="2">
        <f t="shared" si="20"/>
        <v>0</v>
      </c>
      <c r="AD149" s="2">
        <f t="shared" si="17"/>
        <v>8</v>
      </c>
      <c r="AE149" s="2">
        <f t="shared" ca="1" si="18"/>
        <v>-44986.676271643519</v>
      </c>
      <c r="AF149" s="15"/>
    </row>
    <row r="150" spans="4:32">
      <c r="D150" s="1"/>
      <c r="E150" s="1"/>
      <c r="P150" s="11"/>
      <c r="U150" s="11"/>
      <c r="X150" s="13">
        <f t="shared" si="19"/>
        <v>0</v>
      </c>
      <c r="Y150" s="2">
        <f t="shared" ca="1" si="14"/>
        <v>32133</v>
      </c>
      <c r="Z150" s="14">
        <v>1</v>
      </c>
      <c r="AA150" s="1" t="str">
        <f t="shared" ca="1" si="15"/>
        <v>VENCIDO</v>
      </c>
      <c r="AB150" s="1" t="str">
        <f t="shared" si="16"/>
        <v>TAAe+</v>
      </c>
      <c r="AC150" s="2">
        <f t="shared" si="20"/>
        <v>0</v>
      </c>
      <c r="AD150" s="2">
        <f t="shared" si="17"/>
        <v>8</v>
      </c>
      <c r="AE150" s="2">
        <f t="shared" ca="1" si="18"/>
        <v>-44986.676271643519</v>
      </c>
      <c r="AF150" s="15"/>
    </row>
    <row r="151" spans="4:32">
      <c r="D151" s="1"/>
      <c r="E151" s="1"/>
      <c r="P151" s="11"/>
      <c r="U151" s="11"/>
      <c r="X151" s="13">
        <f t="shared" si="19"/>
        <v>0</v>
      </c>
      <c r="Y151" s="2">
        <f t="shared" ca="1" si="14"/>
        <v>32133</v>
      </c>
      <c r="Z151" s="14">
        <v>1</v>
      </c>
      <c r="AA151" s="1" t="str">
        <f t="shared" ca="1" si="15"/>
        <v>VENCIDO</v>
      </c>
      <c r="AB151" s="1" t="str">
        <f t="shared" si="16"/>
        <v>TAAe+</v>
      </c>
      <c r="AC151" s="2">
        <f t="shared" si="20"/>
        <v>0</v>
      </c>
      <c r="AD151" s="2">
        <f t="shared" si="17"/>
        <v>8</v>
      </c>
      <c r="AE151" s="2">
        <f t="shared" ca="1" si="18"/>
        <v>-44986.676271643519</v>
      </c>
      <c r="AF151" s="15"/>
    </row>
    <row r="152" spans="4:32">
      <c r="D152" s="1"/>
      <c r="E152" s="1"/>
      <c r="P152" s="11"/>
      <c r="U152" s="11"/>
      <c r="X152" s="13">
        <f t="shared" si="19"/>
        <v>0</v>
      </c>
      <c r="Y152" s="2">
        <f t="shared" ca="1" si="14"/>
        <v>32133</v>
      </c>
      <c r="Z152" s="14">
        <v>1</v>
      </c>
      <c r="AA152" s="1" t="str">
        <f t="shared" ca="1" si="15"/>
        <v>VENCIDO</v>
      </c>
      <c r="AB152" s="1" t="str">
        <f t="shared" si="16"/>
        <v>TAAe+</v>
      </c>
      <c r="AC152" s="2">
        <f t="shared" si="20"/>
        <v>0</v>
      </c>
      <c r="AD152" s="2">
        <f t="shared" si="17"/>
        <v>8</v>
      </c>
      <c r="AE152" s="2">
        <f t="shared" ca="1" si="18"/>
        <v>-44986.676271643519</v>
      </c>
      <c r="AF152" s="15"/>
    </row>
    <row r="153" spans="4:32">
      <c r="D153" s="1"/>
      <c r="E153" s="1"/>
      <c r="P153" s="11"/>
      <c r="U153" s="11"/>
      <c r="X153" s="13">
        <f t="shared" si="19"/>
        <v>0</v>
      </c>
      <c r="Y153" s="2">
        <f t="shared" ca="1" si="14"/>
        <v>32133</v>
      </c>
      <c r="Z153" s="14">
        <v>1</v>
      </c>
      <c r="AA153" s="1" t="str">
        <f t="shared" ca="1" si="15"/>
        <v>VENCIDO</v>
      </c>
      <c r="AB153" s="1" t="str">
        <f t="shared" si="16"/>
        <v>TAAe+</v>
      </c>
      <c r="AC153" s="2">
        <f t="shared" si="20"/>
        <v>0</v>
      </c>
      <c r="AD153" s="2">
        <f t="shared" si="17"/>
        <v>8</v>
      </c>
      <c r="AE153" s="2">
        <f t="shared" ca="1" si="18"/>
        <v>-44986.676271643519</v>
      </c>
      <c r="AF153" s="15"/>
    </row>
    <row r="154" spans="4:32">
      <c r="D154" s="1"/>
      <c r="E154" s="1"/>
      <c r="P154" s="11"/>
      <c r="U154" s="11"/>
      <c r="X154" s="13">
        <f t="shared" si="19"/>
        <v>0</v>
      </c>
      <c r="Y154" s="2">
        <f t="shared" ca="1" si="14"/>
        <v>32133</v>
      </c>
      <c r="Z154" s="14">
        <v>1</v>
      </c>
      <c r="AA154" s="1" t="str">
        <f t="shared" ca="1" si="15"/>
        <v>VENCIDO</v>
      </c>
      <c r="AB154" s="1" t="str">
        <f t="shared" si="16"/>
        <v>TAAe+</v>
      </c>
      <c r="AC154" s="2">
        <f t="shared" si="20"/>
        <v>0</v>
      </c>
      <c r="AD154" s="2">
        <f t="shared" si="17"/>
        <v>8</v>
      </c>
      <c r="AE154" s="2">
        <f t="shared" ca="1" si="18"/>
        <v>-44986.676271643519</v>
      </c>
      <c r="AF154" s="15"/>
    </row>
    <row r="155" spans="4:32">
      <c r="D155" s="1"/>
      <c r="E155" s="1"/>
      <c r="P155" s="11"/>
      <c r="U155" s="11"/>
      <c r="X155" s="13">
        <f t="shared" si="19"/>
        <v>0</v>
      </c>
      <c r="Y155" s="2">
        <f t="shared" ca="1" si="14"/>
        <v>32133</v>
      </c>
      <c r="Z155" s="14">
        <v>1</v>
      </c>
      <c r="AA155" s="1" t="str">
        <f t="shared" ca="1" si="15"/>
        <v>VENCIDO</v>
      </c>
      <c r="AB155" s="1" t="str">
        <f t="shared" si="16"/>
        <v>TAAe+</v>
      </c>
      <c r="AC155" s="2">
        <f t="shared" si="20"/>
        <v>0</v>
      </c>
      <c r="AD155" s="2">
        <f t="shared" si="17"/>
        <v>8</v>
      </c>
      <c r="AE155" s="2">
        <f t="shared" ca="1" si="18"/>
        <v>-44986.676271643519</v>
      </c>
      <c r="AF155" s="15"/>
    </row>
    <row r="156" spans="4:32">
      <c r="D156" s="1"/>
      <c r="E156" s="1"/>
      <c r="P156" s="11"/>
      <c r="U156" s="11"/>
      <c r="X156" s="13">
        <f t="shared" si="19"/>
        <v>0</v>
      </c>
      <c r="Y156" s="2">
        <f t="shared" ca="1" si="14"/>
        <v>32133</v>
      </c>
      <c r="Z156" s="14">
        <v>1</v>
      </c>
      <c r="AA156" s="1" t="str">
        <f t="shared" ca="1" si="15"/>
        <v>VENCIDO</v>
      </c>
      <c r="AB156" s="1" t="str">
        <f t="shared" si="16"/>
        <v>TAAe+</v>
      </c>
      <c r="AC156" s="2">
        <f t="shared" si="20"/>
        <v>0</v>
      </c>
      <c r="AD156" s="2">
        <f t="shared" si="17"/>
        <v>8</v>
      </c>
      <c r="AE156" s="2">
        <f t="shared" ca="1" si="18"/>
        <v>-44986.676271643519</v>
      </c>
      <c r="AF156" s="15"/>
    </row>
    <row r="157" spans="4:32">
      <c r="D157" s="1"/>
      <c r="E157" s="1"/>
      <c r="P157" s="11"/>
      <c r="X157" s="13">
        <f t="shared" si="19"/>
        <v>0</v>
      </c>
      <c r="Y157" s="2">
        <f t="shared" ca="1" si="14"/>
        <v>32133</v>
      </c>
      <c r="Z157" s="14">
        <v>1</v>
      </c>
      <c r="AA157" s="1" t="str">
        <f t="shared" ca="1" si="15"/>
        <v>VENCIDO</v>
      </c>
      <c r="AB157" s="1" t="str">
        <f t="shared" si="16"/>
        <v>TAAe+</v>
      </c>
      <c r="AC157" s="2">
        <f t="shared" si="20"/>
        <v>0</v>
      </c>
      <c r="AD157" s="2">
        <f t="shared" si="17"/>
        <v>8</v>
      </c>
      <c r="AE157" s="2">
        <f t="shared" ca="1" si="18"/>
        <v>-44986.676271643519</v>
      </c>
      <c r="AF157" s="15"/>
    </row>
    <row r="158" spans="4:32">
      <c r="D158" s="1"/>
      <c r="E158" s="1"/>
      <c r="P158" s="11"/>
      <c r="U158" s="11"/>
      <c r="X158" s="13">
        <f t="shared" si="19"/>
        <v>0</v>
      </c>
      <c r="Y158" s="2">
        <f t="shared" ca="1" si="14"/>
        <v>32133</v>
      </c>
      <c r="Z158" s="14">
        <v>1</v>
      </c>
      <c r="AA158" s="1" t="str">
        <f t="shared" ca="1" si="15"/>
        <v>VENCIDO</v>
      </c>
      <c r="AB158" s="1" t="str">
        <f t="shared" si="16"/>
        <v>TAAe+</v>
      </c>
      <c r="AC158" s="2">
        <f t="shared" si="20"/>
        <v>0</v>
      </c>
      <c r="AD158" s="2">
        <f t="shared" si="17"/>
        <v>8</v>
      </c>
      <c r="AE158" s="2">
        <f t="shared" ca="1" si="18"/>
        <v>-44986.676271643519</v>
      </c>
      <c r="AF158" s="15"/>
    </row>
    <row r="159" spans="4:32">
      <c r="D159" s="1"/>
      <c r="E159" s="1"/>
      <c r="P159" s="11"/>
      <c r="U159" s="11"/>
      <c r="X159" s="13">
        <f t="shared" si="19"/>
        <v>0</v>
      </c>
      <c r="Y159" s="2">
        <f t="shared" ca="1" si="14"/>
        <v>32133</v>
      </c>
      <c r="Z159" s="14">
        <v>1</v>
      </c>
      <c r="AA159" s="1" t="str">
        <f t="shared" ca="1" si="15"/>
        <v>VENCIDO</v>
      </c>
      <c r="AB159" s="1" t="str">
        <f t="shared" si="16"/>
        <v>TAAe+</v>
      </c>
      <c r="AC159" s="2">
        <f t="shared" si="20"/>
        <v>0</v>
      </c>
      <c r="AD159" s="2">
        <f t="shared" si="17"/>
        <v>8</v>
      </c>
      <c r="AE159" s="2">
        <f t="shared" ca="1" si="18"/>
        <v>-44986.676271643519</v>
      </c>
      <c r="AF159" s="15"/>
    </row>
    <row r="160" spans="4:32">
      <c r="D160" s="1"/>
      <c r="E160" s="1"/>
      <c r="P160" s="11"/>
      <c r="U160" s="11"/>
      <c r="X160" s="13">
        <f t="shared" si="19"/>
        <v>0</v>
      </c>
      <c r="Y160" s="2">
        <f t="shared" ca="1" si="14"/>
        <v>32133</v>
      </c>
      <c r="Z160" s="14">
        <v>1</v>
      </c>
      <c r="AA160" s="1" t="str">
        <f t="shared" ca="1" si="15"/>
        <v>VENCIDO</v>
      </c>
      <c r="AB160" s="1" t="str">
        <f t="shared" si="16"/>
        <v>TAAe+</v>
      </c>
      <c r="AC160" s="2">
        <f t="shared" si="20"/>
        <v>0</v>
      </c>
      <c r="AD160" s="2">
        <f t="shared" si="17"/>
        <v>8</v>
      </c>
      <c r="AE160" s="2">
        <f t="shared" ca="1" si="18"/>
        <v>-44986.676271643519</v>
      </c>
      <c r="AF160" s="15"/>
    </row>
    <row r="161" spans="3:32">
      <c r="D161" s="1"/>
      <c r="E161" s="1"/>
      <c r="P161" s="11"/>
      <c r="U161" s="11"/>
      <c r="X161" s="13">
        <f t="shared" si="19"/>
        <v>0</v>
      </c>
      <c r="Y161" s="2">
        <f t="shared" ca="1" si="14"/>
        <v>32133</v>
      </c>
      <c r="Z161" s="14">
        <v>1</v>
      </c>
      <c r="AA161" s="1" t="str">
        <f t="shared" ca="1" si="15"/>
        <v>VENCIDO</v>
      </c>
      <c r="AB161" s="1" t="str">
        <f t="shared" si="16"/>
        <v>TAAe+</v>
      </c>
      <c r="AC161" s="2">
        <f t="shared" si="20"/>
        <v>0</v>
      </c>
      <c r="AD161" s="2">
        <f t="shared" si="17"/>
        <v>8</v>
      </c>
      <c r="AE161" s="2">
        <f t="shared" ca="1" si="18"/>
        <v>-44986.676271643519</v>
      </c>
      <c r="AF161" s="15"/>
    </row>
    <row r="162" spans="3:32">
      <c r="D162" s="1"/>
      <c r="E162" s="1"/>
      <c r="P162" s="11"/>
      <c r="X162" s="13">
        <f t="shared" si="19"/>
        <v>0</v>
      </c>
      <c r="Y162" s="2">
        <f t="shared" ca="1" si="14"/>
        <v>32133</v>
      </c>
      <c r="Z162" s="14">
        <v>1</v>
      </c>
      <c r="AA162" s="1" t="str">
        <f t="shared" ca="1" si="15"/>
        <v>VENCIDO</v>
      </c>
      <c r="AB162" s="1" t="str">
        <f t="shared" si="16"/>
        <v>TAAe+</v>
      </c>
      <c r="AC162" s="2">
        <f t="shared" si="20"/>
        <v>0</v>
      </c>
      <c r="AD162" s="2">
        <f t="shared" si="17"/>
        <v>8</v>
      </c>
      <c r="AE162" s="2">
        <f t="shared" ca="1" si="18"/>
        <v>-44986.676271643519</v>
      </c>
      <c r="AF162" s="15"/>
    </row>
    <row r="163" spans="3:32">
      <c r="D163" s="1"/>
      <c r="E163" s="1"/>
      <c r="P163" s="11"/>
      <c r="X163" s="13">
        <f t="shared" si="19"/>
        <v>0</v>
      </c>
      <c r="Y163" s="2">
        <f t="shared" ca="1" si="14"/>
        <v>32133</v>
      </c>
      <c r="Z163" s="14">
        <v>1</v>
      </c>
      <c r="AA163" s="1" t="str">
        <f t="shared" ca="1" si="15"/>
        <v>VENCIDO</v>
      </c>
      <c r="AB163" s="1" t="str">
        <f t="shared" si="16"/>
        <v>TAAe+</v>
      </c>
      <c r="AC163" s="2">
        <f t="shared" si="20"/>
        <v>0</v>
      </c>
      <c r="AD163" s="2">
        <f t="shared" si="17"/>
        <v>8</v>
      </c>
      <c r="AE163" s="2">
        <f t="shared" ca="1" si="18"/>
        <v>-44986.676271643519</v>
      </c>
      <c r="AF163" s="15"/>
    </row>
    <row r="164" spans="3:32">
      <c r="D164" s="1"/>
      <c r="E164" s="1"/>
      <c r="P164" s="11"/>
      <c r="X164" s="13">
        <f t="shared" si="19"/>
        <v>0</v>
      </c>
      <c r="Y164" s="2">
        <f t="shared" ca="1" si="14"/>
        <v>32133</v>
      </c>
      <c r="Z164" s="14">
        <v>1</v>
      </c>
      <c r="AA164" s="1" t="str">
        <f t="shared" ca="1" si="15"/>
        <v>VENCIDO</v>
      </c>
      <c r="AB164" s="1" t="str">
        <f t="shared" si="16"/>
        <v>TAAe+</v>
      </c>
      <c r="AC164" s="2">
        <f t="shared" si="20"/>
        <v>0</v>
      </c>
      <c r="AD164" s="2">
        <f t="shared" si="17"/>
        <v>8</v>
      </c>
      <c r="AE164" s="2">
        <f t="shared" ca="1" si="18"/>
        <v>-44986.676271643519</v>
      </c>
      <c r="AF164" s="15"/>
    </row>
    <row r="165" spans="3:32">
      <c r="D165" s="1"/>
      <c r="E165" s="1"/>
      <c r="P165" s="11"/>
      <c r="X165" s="13">
        <f t="shared" si="19"/>
        <v>0</v>
      </c>
      <c r="Y165" s="2">
        <f t="shared" ca="1" si="14"/>
        <v>32133</v>
      </c>
      <c r="Z165" s="14">
        <v>1</v>
      </c>
      <c r="AA165" s="1" t="str">
        <f t="shared" ca="1" si="15"/>
        <v>VENCIDO</v>
      </c>
      <c r="AB165" s="1" t="str">
        <f t="shared" si="16"/>
        <v>TAAe+</v>
      </c>
      <c r="AC165" s="2">
        <f t="shared" si="20"/>
        <v>0</v>
      </c>
      <c r="AD165" s="2">
        <f t="shared" si="17"/>
        <v>8</v>
      </c>
      <c r="AE165" s="2">
        <f t="shared" ca="1" si="18"/>
        <v>-44986.676271643519</v>
      </c>
      <c r="AF165" s="15"/>
    </row>
    <row r="166" spans="3:32">
      <c r="C166" s="23"/>
      <c r="D166" s="1"/>
      <c r="E166" s="1"/>
      <c r="P166" s="11"/>
      <c r="X166" s="13">
        <f t="shared" si="19"/>
        <v>0</v>
      </c>
      <c r="Y166" s="2">
        <f t="shared" ca="1" si="14"/>
        <v>32133</v>
      </c>
      <c r="Z166" s="14">
        <v>1</v>
      </c>
      <c r="AA166" s="1" t="str">
        <f t="shared" ca="1" si="15"/>
        <v>VENCIDO</v>
      </c>
      <c r="AB166" s="1" t="str">
        <f t="shared" si="16"/>
        <v>TAAe+</v>
      </c>
      <c r="AC166" s="2">
        <f t="shared" si="20"/>
        <v>0</v>
      </c>
      <c r="AD166" s="2">
        <f t="shared" si="17"/>
        <v>8</v>
      </c>
      <c r="AE166" s="2">
        <f t="shared" ca="1" si="18"/>
        <v>-44986.676271643519</v>
      </c>
      <c r="AF166" s="15"/>
    </row>
    <row r="167" spans="3:32">
      <c r="C167" s="23"/>
      <c r="D167" s="1"/>
      <c r="E167" s="1"/>
      <c r="P167" s="11"/>
      <c r="X167" s="13">
        <f t="shared" si="19"/>
        <v>0</v>
      </c>
      <c r="Y167" s="2">
        <f t="shared" ca="1" si="14"/>
        <v>32133</v>
      </c>
      <c r="Z167" s="14">
        <v>1</v>
      </c>
      <c r="AA167" s="1" t="str">
        <f t="shared" ca="1" si="15"/>
        <v>VENCIDO</v>
      </c>
      <c r="AB167" s="1" t="str">
        <f t="shared" si="16"/>
        <v>TAAe+</v>
      </c>
      <c r="AC167" s="2">
        <f t="shared" si="20"/>
        <v>0</v>
      </c>
      <c r="AD167" s="2">
        <f t="shared" si="17"/>
        <v>8</v>
      </c>
      <c r="AE167" s="2">
        <f t="shared" ca="1" si="18"/>
        <v>-44986.676271643519</v>
      </c>
      <c r="AF167" s="15"/>
    </row>
    <row r="168" spans="3:32">
      <c r="D168" s="1"/>
      <c r="E168" s="1"/>
      <c r="P168" s="11"/>
      <c r="X168" s="13">
        <f t="shared" si="19"/>
        <v>0</v>
      </c>
      <c r="Y168" s="2">
        <f t="shared" ca="1" si="14"/>
        <v>32133</v>
      </c>
      <c r="Z168" s="14">
        <v>1</v>
      </c>
      <c r="AA168" s="1" t="str">
        <f t="shared" ca="1" si="15"/>
        <v>VENCIDO</v>
      </c>
      <c r="AB168" s="1" t="str">
        <f t="shared" si="16"/>
        <v>TAAe+</v>
      </c>
      <c r="AC168" s="2">
        <f t="shared" si="20"/>
        <v>0</v>
      </c>
      <c r="AD168" s="2">
        <f t="shared" si="17"/>
        <v>8</v>
      </c>
      <c r="AE168" s="2">
        <f t="shared" ca="1" si="18"/>
        <v>-44986.676271643519</v>
      </c>
      <c r="AF168" s="15"/>
    </row>
    <row r="169" spans="3:32">
      <c r="D169" s="1"/>
      <c r="E169" s="1"/>
      <c r="P169" s="11"/>
      <c r="X169" s="13">
        <f t="shared" si="19"/>
        <v>0</v>
      </c>
      <c r="Y169" s="2">
        <f t="shared" ca="1" si="14"/>
        <v>32133</v>
      </c>
      <c r="Z169" s="14">
        <v>1</v>
      </c>
      <c r="AA169" s="1" t="str">
        <f t="shared" ca="1" si="15"/>
        <v>VENCIDO</v>
      </c>
      <c r="AB169" s="1" t="str">
        <f t="shared" si="16"/>
        <v>TAAe+</v>
      </c>
      <c r="AC169" s="2">
        <f t="shared" si="20"/>
        <v>0</v>
      </c>
      <c r="AD169" s="2">
        <f t="shared" si="17"/>
        <v>8</v>
      </c>
      <c r="AE169" s="2">
        <f t="shared" ca="1" si="18"/>
        <v>-44986.676271643519</v>
      </c>
      <c r="AF169" s="15"/>
    </row>
    <row r="170" spans="3:32">
      <c r="D170" s="1"/>
      <c r="E170" s="1"/>
      <c r="P170" s="11"/>
      <c r="X170" s="13">
        <f t="shared" si="19"/>
        <v>0</v>
      </c>
      <c r="Y170" s="2">
        <f t="shared" ca="1" si="14"/>
        <v>32133</v>
      </c>
      <c r="Z170" s="14">
        <v>1</v>
      </c>
      <c r="AA170" s="1" t="str">
        <f t="shared" ca="1" si="15"/>
        <v>VENCIDO</v>
      </c>
      <c r="AB170" s="1" t="str">
        <f t="shared" si="16"/>
        <v>TAAe+</v>
      </c>
      <c r="AC170" s="2">
        <f t="shared" si="20"/>
        <v>0</v>
      </c>
      <c r="AD170" s="2">
        <f t="shared" si="17"/>
        <v>8</v>
      </c>
      <c r="AE170" s="2">
        <f t="shared" ca="1" si="18"/>
        <v>-44986.676271643519</v>
      </c>
      <c r="AF170" s="15"/>
    </row>
    <row r="171" spans="3:32">
      <c r="C171" s="23"/>
      <c r="D171" s="1"/>
      <c r="E171" s="1"/>
      <c r="P171" s="11"/>
      <c r="X171" s="13">
        <f t="shared" si="19"/>
        <v>0</v>
      </c>
      <c r="Y171" s="2">
        <f t="shared" ca="1" si="14"/>
        <v>32133</v>
      </c>
      <c r="Z171" s="14">
        <v>1</v>
      </c>
      <c r="AA171" s="1" t="str">
        <f t="shared" ca="1" si="15"/>
        <v>VENCIDO</v>
      </c>
      <c r="AB171" s="1" t="str">
        <f t="shared" si="16"/>
        <v>TAAe+</v>
      </c>
      <c r="AC171" s="2">
        <f t="shared" si="20"/>
        <v>0</v>
      </c>
      <c r="AD171" s="2">
        <f t="shared" si="17"/>
        <v>8</v>
      </c>
      <c r="AE171" s="2">
        <f t="shared" ca="1" si="18"/>
        <v>-44986.676271643519</v>
      </c>
      <c r="AF171" s="15"/>
    </row>
    <row r="172" spans="3:32">
      <c r="D172" s="1"/>
      <c r="E172" s="1"/>
      <c r="P172" s="11"/>
      <c r="X172" s="13">
        <f t="shared" si="19"/>
        <v>0</v>
      </c>
      <c r="Y172" s="2">
        <f t="shared" ca="1" si="14"/>
        <v>32133</v>
      </c>
      <c r="Z172" s="14">
        <v>1</v>
      </c>
      <c r="AA172" s="1" t="str">
        <f t="shared" ca="1" si="15"/>
        <v>VENCIDO</v>
      </c>
      <c r="AB172" s="1" t="str">
        <f t="shared" si="16"/>
        <v>TAAe+</v>
      </c>
      <c r="AC172" s="2">
        <f t="shared" si="20"/>
        <v>0</v>
      </c>
      <c r="AD172" s="2">
        <f t="shared" si="17"/>
        <v>8</v>
      </c>
      <c r="AE172" s="2">
        <f t="shared" ca="1" si="18"/>
        <v>-44986.676271643519</v>
      </c>
      <c r="AF172" s="15"/>
    </row>
    <row r="173" spans="3:32">
      <c r="D173" s="1"/>
      <c r="E173" s="1"/>
      <c r="P173" s="11"/>
      <c r="X173" s="13">
        <f t="shared" si="19"/>
        <v>0</v>
      </c>
      <c r="Y173" s="2">
        <f t="shared" ca="1" si="14"/>
        <v>32133</v>
      </c>
      <c r="Z173" s="14">
        <v>1</v>
      </c>
      <c r="AA173" s="1" t="str">
        <f t="shared" ca="1" si="15"/>
        <v>VENCIDO</v>
      </c>
      <c r="AB173" s="1" t="str">
        <f t="shared" si="16"/>
        <v>TAAe+</v>
      </c>
      <c r="AC173" s="2">
        <f t="shared" si="20"/>
        <v>0</v>
      </c>
      <c r="AD173" s="2">
        <f t="shared" si="17"/>
        <v>8</v>
      </c>
      <c r="AE173" s="2">
        <f t="shared" ca="1" si="18"/>
        <v>-44986.676271643519</v>
      </c>
      <c r="AF173" s="15"/>
    </row>
    <row r="174" spans="3:32">
      <c r="C174" s="23"/>
      <c r="D174" s="1"/>
      <c r="E174" s="1"/>
      <c r="P174" s="11"/>
      <c r="X174" s="13">
        <f t="shared" si="19"/>
        <v>0</v>
      </c>
      <c r="Y174" s="2">
        <f t="shared" ca="1" si="14"/>
        <v>32133</v>
      </c>
      <c r="Z174" s="14">
        <v>1</v>
      </c>
      <c r="AA174" s="1" t="str">
        <f t="shared" ca="1" si="15"/>
        <v>VENCIDO</v>
      </c>
      <c r="AB174" s="1" t="str">
        <f t="shared" si="16"/>
        <v>TAAe+</v>
      </c>
      <c r="AC174" s="2">
        <f t="shared" si="20"/>
        <v>0</v>
      </c>
      <c r="AD174" s="2">
        <f t="shared" si="17"/>
        <v>8</v>
      </c>
      <c r="AE174" s="2">
        <f t="shared" ca="1" si="18"/>
        <v>-44986.676271643519</v>
      </c>
      <c r="AF174" s="15"/>
    </row>
    <row r="175" spans="3:32">
      <c r="D175" s="1"/>
      <c r="E175" s="1"/>
      <c r="P175" s="11"/>
      <c r="X175" s="13">
        <f t="shared" si="19"/>
        <v>0</v>
      </c>
      <c r="Y175" s="2">
        <f t="shared" ca="1" si="14"/>
        <v>32133</v>
      </c>
      <c r="Z175" s="14">
        <v>1</v>
      </c>
      <c r="AA175" s="1" t="str">
        <f t="shared" ca="1" si="15"/>
        <v>VENCIDO</v>
      </c>
      <c r="AB175" s="1" t="str">
        <f t="shared" si="16"/>
        <v>TAAe+</v>
      </c>
      <c r="AC175" s="2">
        <f t="shared" si="20"/>
        <v>0</v>
      </c>
      <c r="AD175" s="2">
        <f t="shared" si="17"/>
        <v>8</v>
      </c>
      <c r="AE175" s="2">
        <f t="shared" ca="1" si="18"/>
        <v>-44986.676271643519</v>
      </c>
      <c r="AF175" s="15"/>
    </row>
    <row r="176" spans="3:32">
      <c r="D176" s="1"/>
      <c r="E176" s="1"/>
      <c r="P176" s="11"/>
      <c r="X176" s="13">
        <f t="shared" si="19"/>
        <v>0</v>
      </c>
      <c r="Y176" s="2">
        <f t="shared" ca="1" si="14"/>
        <v>32133</v>
      </c>
      <c r="Z176" s="14">
        <v>1</v>
      </c>
      <c r="AA176" s="1" t="str">
        <f t="shared" ca="1" si="15"/>
        <v>VENCIDO</v>
      </c>
      <c r="AB176" s="1" t="str">
        <f t="shared" si="16"/>
        <v>TAAe+</v>
      </c>
      <c r="AC176" s="2">
        <f t="shared" si="20"/>
        <v>0</v>
      </c>
      <c r="AD176" s="2">
        <f t="shared" si="17"/>
        <v>8</v>
      </c>
      <c r="AE176" s="2">
        <f t="shared" ca="1" si="18"/>
        <v>-44986.676271643519</v>
      </c>
      <c r="AF176" s="15"/>
    </row>
    <row r="177" spans="3:32">
      <c r="D177" s="1"/>
      <c r="E177" s="1"/>
      <c r="P177" s="11"/>
      <c r="X177" s="13">
        <f t="shared" si="19"/>
        <v>0</v>
      </c>
      <c r="Y177" s="2">
        <f t="shared" ca="1" si="14"/>
        <v>32133</v>
      </c>
      <c r="Z177" s="14">
        <v>1</v>
      </c>
      <c r="AA177" s="1" t="str">
        <f t="shared" ca="1" si="15"/>
        <v>VENCIDO</v>
      </c>
      <c r="AB177" s="1" t="str">
        <f t="shared" si="16"/>
        <v>TAAe+</v>
      </c>
      <c r="AC177" s="2">
        <f t="shared" si="20"/>
        <v>0</v>
      </c>
      <c r="AD177" s="2">
        <f t="shared" si="17"/>
        <v>8</v>
      </c>
      <c r="AE177" s="2">
        <f t="shared" ca="1" si="18"/>
        <v>-44986.676271643519</v>
      </c>
      <c r="AF177" s="15"/>
    </row>
    <row r="178" spans="3:32">
      <c r="D178" s="1"/>
      <c r="E178" s="1"/>
      <c r="P178" s="11"/>
      <c r="X178" s="13">
        <f t="shared" si="19"/>
        <v>0</v>
      </c>
      <c r="Y178" s="2">
        <f t="shared" ca="1" si="14"/>
        <v>32133</v>
      </c>
      <c r="Z178" s="14">
        <v>1</v>
      </c>
      <c r="AA178" s="1" t="str">
        <f t="shared" ca="1" si="15"/>
        <v>VENCIDO</v>
      </c>
      <c r="AB178" s="1" t="str">
        <f t="shared" si="16"/>
        <v>TAAe+</v>
      </c>
      <c r="AC178" s="2">
        <f t="shared" si="20"/>
        <v>0</v>
      </c>
      <c r="AD178" s="2">
        <f t="shared" si="17"/>
        <v>8</v>
      </c>
      <c r="AE178" s="2">
        <f t="shared" ca="1" si="18"/>
        <v>-44986.676271643519</v>
      </c>
      <c r="AF178" s="15"/>
    </row>
    <row r="179" spans="3:32">
      <c r="D179" s="1"/>
      <c r="E179" s="1"/>
      <c r="P179" s="11"/>
      <c r="X179" s="13">
        <f t="shared" si="19"/>
        <v>0</v>
      </c>
      <c r="Y179" s="2">
        <f t="shared" ca="1" si="14"/>
        <v>32133</v>
      </c>
      <c r="Z179" s="14">
        <v>1</v>
      </c>
      <c r="AA179" s="1" t="str">
        <f t="shared" ca="1" si="15"/>
        <v>VENCIDO</v>
      </c>
      <c r="AB179" s="1" t="str">
        <f t="shared" si="16"/>
        <v>TAAe+</v>
      </c>
      <c r="AC179" s="2">
        <f t="shared" si="20"/>
        <v>0</v>
      </c>
      <c r="AD179" s="2">
        <f t="shared" si="17"/>
        <v>8</v>
      </c>
      <c r="AE179" s="2">
        <f t="shared" ca="1" si="18"/>
        <v>-44986.676271643519</v>
      </c>
      <c r="AF179" s="15"/>
    </row>
    <row r="180" spans="3:32">
      <c r="D180" s="1"/>
      <c r="E180" s="1"/>
      <c r="P180" s="11"/>
      <c r="X180" s="13">
        <f t="shared" si="19"/>
        <v>0</v>
      </c>
      <c r="Y180" s="2">
        <f t="shared" ca="1" si="14"/>
        <v>32133</v>
      </c>
      <c r="Z180" s="14">
        <v>1</v>
      </c>
      <c r="AA180" s="1" t="str">
        <f t="shared" ca="1" si="15"/>
        <v>VENCIDO</v>
      </c>
      <c r="AB180" s="1" t="str">
        <f t="shared" si="16"/>
        <v>TAAe+</v>
      </c>
      <c r="AC180" s="2">
        <f t="shared" si="20"/>
        <v>0</v>
      </c>
      <c r="AD180" s="2">
        <f t="shared" si="17"/>
        <v>8</v>
      </c>
      <c r="AE180" s="2">
        <f t="shared" ca="1" si="18"/>
        <v>-44986.676271643519</v>
      </c>
      <c r="AF180" s="15"/>
    </row>
    <row r="181" spans="3:32">
      <c r="D181" s="1"/>
      <c r="E181" s="1"/>
      <c r="P181" s="11"/>
      <c r="X181" s="13">
        <f t="shared" si="19"/>
        <v>0</v>
      </c>
      <c r="Y181" s="2">
        <f t="shared" ca="1" si="14"/>
        <v>32133</v>
      </c>
      <c r="Z181" s="14">
        <v>1</v>
      </c>
      <c r="AA181" s="1" t="str">
        <f t="shared" ca="1" si="15"/>
        <v>VENCIDO</v>
      </c>
      <c r="AB181" s="1" t="str">
        <f t="shared" si="16"/>
        <v>TAAe+</v>
      </c>
      <c r="AC181" s="2">
        <f t="shared" si="20"/>
        <v>0</v>
      </c>
      <c r="AD181" s="2">
        <f t="shared" si="17"/>
        <v>8</v>
      </c>
      <c r="AE181" s="2">
        <f t="shared" ca="1" si="18"/>
        <v>-44986.676271643519</v>
      </c>
      <c r="AF181" s="15"/>
    </row>
    <row r="182" spans="3:32">
      <c r="D182" s="1"/>
      <c r="E182" s="1"/>
      <c r="P182" s="11"/>
      <c r="X182" s="13">
        <f t="shared" si="19"/>
        <v>0</v>
      </c>
      <c r="Y182" s="2">
        <f t="shared" ca="1" si="14"/>
        <v>32133</v>
      </c>
      <c r="Z182" s="14">
        <v>1</v>
      </c>
      <c r="AA182" s="1" t="str">
        <f t="shared" ca="1" si="15"/>
        <v>VENCIDO</v>
      </c>
      <c r="AB182" s="1" t="str">
        <f t="shared" si="16"/>
        <v>TAAe+</v>
      </c>
      <c r="AC182" s="2">
        <f t="shared" si="20"/>
        <v>0</v>
      </c>
      <c r="AD182" s="2">
        <f t="shared" si="17"/>
        <v>8</v>
      </c>
      <c r="AE182" s="2">
        <f t="shared" ca="1" si="18"/>
        <v>-44986.676271643519</v>
      </c>
      <c r="AF182" s="15"/>
    </row>
    <row r="183" spans="3:32">
      <c r="C183" s="23"/>
      <c r="D183" s="1"/>
      <c r="E183" s="1"/>
      <c r="P183" s="11"/>
      <c r="X183" s="13">
        <f t="shared" si="19"/>
        <v>0</v>
      </c>
      <c r="Y183" s="2">
        <f t="shared" ca="1" si="14"/>
        <v>32133</v>
      </c>
      <c r="Z183" s="14">
        <v>1</v>
      </c>
      <c r="AA183" s="1" t="str">
        <f t="shared" ca="1" si="15"/>
        <v>VENCIDO</v>
      </c>
      <c r="AB183" s="1" t="str">
        <f t="shared" si="16"/>
        <v>TAAe+</v>
      </c>
      <c r="AC183" s="2">
        <f t="shared" si="20"/>
        <v>0</v>
      </c>
      <c r="AD183" s="2">
        <f t="shared" si="17"/>
        <v>8</v>
      </c>
      <c r="AE183" s="2">
        <f t="shared" ca="1" si="18"/>
        <v>-44986.676271643519</v>
      </c>
      <c r="AF183" s="15"/>
    </row>
    <row r="184" spans="3:32">
      <c r="D184" s="1"/>
      <c r="E184" s="1"/>
      <c r="P184" s="11"/>
      <c r="X184" s="13">
        <f t="shared" si="19"/>
        <v>0</v>
      </c>
      <c r="Y184" s="2">
        <f t="shared" ca="1" si="14"/>
        <v>32133</v>
      </c>
      <c r="Z184" s="14">
        <v>1</v>
      </c>
      <c r="AA184" s="1" t="str">
        <f t="shared" ca="1" si="15"/>
        <v>VENCIDO</v>
      </c>
      <c r="AB184" s="1" t="str">
        <f t="shared" si="16"/>
        <v>TAAe+</v>
      </c>
      <c r="AC184" s="2">
        <f t="shared" si="20"/>
        <v>0</v>
      </c>
      <c r="AD184" s="2">
        <f t="shared" si="17"/>
        <v>8</v>
      </c>
      <c r="AE184" s="2">
        <f t="shared" ca="1" si="18"/>
        <v>-44986.676271643519</v>
      </c>
      <c r="AF184" s="15"/>
    </row>
    <row r="185" spans="3:32">
      <c r="D185" s="1"/>
      <c r="E185" s="1"/>
      <c r="P185" s="11"/>
      <c r="X185" s="13">
        <f t="shared" si="19"/>
        <v>0</v>
      </c>
      <c r="Y185" s="2">
        <f t="shared" ca="1" si="14"/>
        <v>32133</v>
      </c>
      <c r="Z185" s="14">
        <v>1</v>
      </c>
      <c r="AA185" s="1" t="str">
        <f t="shared" ca="1" si="15"/>
        <v>VENCIDO</v>
      </c>
      <c r="AB185" s="1" t="str">
        <f t="shared" si="16"/>
        <v>TAAe+</v>
      </c>
      <c r="AC185" s="2">
        <f t="shared" si="20"/>
        <v>0</v>
      </c>
      <c r="AD185" s="2">
        <f t="shared" si="17"/>
        <v>8</v>
      </c>
      <c r="AE185" s="2">
        <f t="shared" ca="1" si="18"/>
        <v>-44986.676271643519</v>
      </c>
      <c r="AF185" s="15"/>
    </row>
    <row r="186" spans="3:32">
      <c r="D186" s="1"/>
      <c r="E186" s="1"/>
      <c r="P186" s="11"/>
      <c r="X186" s="13">
        <f t="shared" si="19"/>
        <v>0</v>
      </c>
      <c r="Y186" s="2">
        <f t="shared" ca="1" si="14"/>
        <v>32133</v>
      </c>
      <c r="Z186" s="14">
        <v>1</v>
      </c>
      <c r="AA186" s="1" t="str">
        <f t="shared" ca="1" si="15"/>
        <v>VENCIDO</v>
      </c>
      <c r="AB186" s="1" t="str">
        <f t="shared" si="16"/>
        <v>TAAe+</v>
      </c>
      <c r="AC186" s="2">
        <f t="shared" si="20"/>
        <v>0</v>
      </c>
      <c r="AD186" s="2">
        <f t="shared" si="17"/>
        <v>8</v>
      </c>
      <c r="AE186" s="2">
        <f t="shared" ca="1" si="18"/>
        <v>-44986.676271643519</v>
      </c>
      <c r="AF186" s="15"/>
    </row>
    <row r="187" spans="3:32">
      <c r="D187" s="1"/>
      <c r="E187" s="1"/>
      <c r="P187" s="11"/>
      <c r="X187" s="13">
        <f t="shared" si="19"/>
        <v>0</v>
      </c>
      <c r="Y187" s="2">
        <f t="shared" ca="1" si="14"/>
        <v>32133</v>
      </c>
      <c r="Z187" s="14">
        <v>1</v>
      </c>
      <c r="AA187" s="1" t="str">
        <f t="shared" ca="1" si="15"/>
        <v>VENCIDO</v>
      </c>
      <c r="AB187" s="1" t="str">
        <f t="shared" si="16"/>
        <v>TAAe+</v>
      </c>
      <c r="AC187" s="2">
        <f t="shared" si="20"/>
        <v>0</v>
      </c>
      <c r="AD187" s="2">
        <f t="shared" si="17"/>
        <v>8</v>
      </c>
      <c r="AE187" s="2">
        <f t="shared" ca="1" si="18"/>
        <v>-44986.676271643519</v>
      </c>
      <c r="AF187" s="15"/>
    </row>
    <row r="188" spans="3:32">
      <c r="D188" s="1"/>
      <c r="E188" s="1"/>
      <c r="P188" s="11"/>
      <c r="X188" s="13">
        <f t="shared" si="19"/>
        <v>0</v>
      </c>
      <c r="Y188" s="2">
        <f t="shared" ca="1" si="14"/>
        <v>32133</v>
      </c>
      <c r="Z188" s="14">
        <v>1</v>
      </c>
      <c r="AA188" s="1" t="str">
        <f t="shared" ca="1" si="15"/>
        <v>VENCIDO</v>
      </c>
      <c r="AB188" s="1" t="str">
        <f t="shared" si="16"/>
        <v>TAAe+</v>
      </c>
      <c r="AC188" s="2">
        <f t="shared" si="20"/>
        <v>0</v>
      </c>
      <c r="AD188" s="2">
        <f t="shared" si="17"/>
        <v>8</v>
      </c>
      <c r="AE188" s="2">
        <f t="shared" ca="1" si="18"/>
        <v>-44986.676271643519</v>
      </c>
      <c r="AF188" s="15"/>
    </row>
    <row r="189" spans="3:32">
      <c r="D189" s="1"/>
      <c r="E189" s="1"/>
      <c r="P189" s="11"/>
      <c r="X189" s="13">
        <f t="shared" si="19"/>
        <v>0</v>
      </c>
      <c r="Y189" s="2">
        <f t="shared" ca="1" si="14"/>
        <v>32133</v>
      </c>
      <c r="Z189" s="14">
        <v>1</v>
      </c>
      <c r="AA189" s="1" t="str">
        <f t="shared" ca="1" si="15"/>
        <v>VENCIDO</v>
      </c>
      <c r="AB189" s="1" t="str">
        <f t="shared" si="16"/>
        <v>TAAe+</v>
      </c>
      <c r="AC189" s="2">
        <f t="shared" si="20"/>
        <v>0</v>
      </c>
      <c r="AD189" s="2">
        <f t="shared" si="17"/>
        <v>8</v>
      </c>
      <c r="AE189" s="2">
        <f t="shared" ca="1" si="18"/>
        <v>-44986.676271643519</v>
      </c>
      <c r="AF189" s="15"/>
    </row>
    <row r="190" spans="3:32">
      <c r="C190" s="23"/>
      <c r="D190" s="1"/>
      <c r="E190" s="1"/>
      <c r="P190" s="11"/>
      <c r="X190" s="13">
        <f t="shared" si="19"/>
        <v>0</v>
      </c>
      <c r="Y190" s="2">
        <f t="shared" ca="1" si="14"/>
        <v>32133</v>
      </c>
      <c r="Z190" s="14">
        <v>1</v>
      </c>
      <c r="AA190" s="1" t="str">
        <f t="shared" ca="1" si="15"/>
        <v>VENCIDO</v>
      </c>
      <c r="AB190" s="1" t="str">
        <f t="shared" si="16"/>
        <v>TAAe+</v>
      </c>
      <c r="AC190" s="2">
        <f t="shared" si="20"/>
        <v>0</v>
      </c>
      <c r="AD190" s="2">
        <f t="shared" si="17"/>
        <v>8</v>
      </c>
      <c r="AE190" s="2">
        <f t="shared" ca="1" si="18"/>
        <v>-44986.676271643519</v>
      </c>
      <c r="AF190" s="15"/>
    </row>
    <row r="191" spans="3:32">
      <c r="D191" s="1"/>
      <c r="E191" s="1"/>
      <c r="P191" s="11"/>
      <c r="X191" s="13">
        <f t="shared" si="19"/>
        <v>0</v>
      </c>
      <c r="Y191" s="2">
        <f t="shared" ca="1" si="14"/>
        <v>32133</v>
      </c>
      <c r="Z191" s="14">
        <v>1</v>
      </c>
      <c r="AA191" s="1" t="str">
        <f t="shared" ca="1" si="15"/>
        <v>VENCIDO</v>
      </c>
      <c r="AB191" s="1" t="str">
        <f t="shared" si="16"/>
        <v>TAAe+</v>
      </c>
      <c r="AC191" s="2">
        <f t="shared" si="20"/>
        <v>0</v>
      </c>
      <c r="AD191" s="2">
        <f t="shared" si="17"/>
        <v>8</v>
      </c>
      <c r="AE191" s="2">
        <f t="shared" ca="1" si="18"/>
        <v>-44986.676271643519</v>
      </c>
      <c r="AF191" s="15"/>
    </row>
    <row r="192" spans="3:32">
      <c r="D192" s="1"/>
      <c r="E192" s="1"/>
      <c r="P192" s="11"/>
      <c r="X192" s="13">
        <f t="shared" si="19"/>
        <v>0</v>
      </c>
      <c r="Y192" s="2">
        <f t="shared" ca="1" si="14"/>
        <v>32133</v>
      </c>
      <c r="Z192" s="14">
        <v>1</v>
      </c>
      <c r="AA192" s="1" t="str">
        <f t="shared" ca="1" si="15"/>
        <v>VENCIDO</v>
      </c>
      <c r="AB192" s="1" t="str">
        <f t="shared" si="16"/>
        <v>TAAe+</v>
      </c>
      <c r="AC192" s="2">
        <f t="shared" si="20"/>
        <v>0</v>
      </c>
      <c r="AD192" s="2">
        <f t="shared" si="17"/>
        <v>8</v>
      </c>
      <c r="AE192" s="2">
        <f t="shared" ca="1" si="18"/>
        <v>-44986.676271643519</v>
      </c>
      <c r="AF192" s="15"/>
    </row>
    <row r="193" spans="3:32">
      <c r="D193" s="1"/>
      <c r="E193" s="1"/>
      <c r="P193" s="11"/>
      <c r="X193" s="13">
        <f t="shared" si="19"/>
        <v>0</v>
      </c>
      <c r="Y193" s="2">
        <f t="shared" ca="1" si="14"/>
        <v>32133</v>
      </c>
      <c r="Z193" s="14">
        <v>1</v>
      </c>
      <c r="AA193" s="1" t="str">
        <f t="shared" ca="1" si="15"/>
        <v>VENCIDO</v>
      </c>
      <c r="AB193" s="1" t="str">
        <f t="shared" si="16"/>
        <v>TAAe+</v>
      </c>
      <c r="AC193" s="2">
        <f t="shared" si="20"/>
        <v>0</v>
      </c>
      <c r="AD193" s="2">
        <f t="shared" si="17"/>
        <v>8</v>
      </c>
      <c r="AE193" s="2">
        <f t="shared" ca="1" si="18"/>
        <v>-44986.676271643519</v>
      </c>
      <c r="AF193" s="15"/>
    </row>
    <row r="194" spans="3:32">
      <c r="D194" s="1"/>
      <c r="E194" s="1"/>
      <c r="P194" s="11"/>
      <c r="X194" s="13">
        <f t="shared" si="19"/>
        <v>0</v>
      </c>
      <c r="Y194" s="2">
        <f t="shared" ref="Y194:Y257" ca="1" si="21">NETWORKDAYS(P194,$Y$1)</f>
        <v>32133</v>
      </c>
      <c r="Z194" s="14">
        <v>1</v>
      </c>
      <c r="AA194" s="1" t="str">
        <f t="shared" ref="AA194:AA257" ca="1" si="22">IF(AE194=0,"HOJE",IF(AE194&gt;0,"A VENCER",IF(AE194&lt;0,"VENCIDO")))</f>
        <v>VENCIDO</v>
      </c>
      <c r="AB194" s="1" t="str">
        <f t="shared" ref="AB194:AB257" si="23">IF(F194="GRPE-000001","C-14",IF(F194="GRPE-000002","C-14",IF(F194="GRPE-000003","C-14",IF(F194="GRPE-000004","SL-On",IF(F194="GRPE-000038","C-14",IF(F194="GRPE-900022","Dosa",IF(F194="GRPE-000029","Dosa",IF(F194="ATOS-000222","Dose","TAAe+"))))))))</f>
        <v>TAAe+</v>
      </c>
      <c r="AC194" s="2">
        <f t="shared" si="20"/>
        <v>0</v>
      </c>
      <c r="AD194" s="2">
        <f t="shared" ref="AD194:AD257" si="24">IF(F194="GRPE-000001",5,IF(F194="GRPE-000002",5,IF(F194="GRPE-000003",15,IF(F194="GRPE-000004",1,IF(F194="GRPE-000038",5,IF(F194="GRPE-900022",5,IF(F194="GRPE-000029",5,IF(F194="ATOS-000222",5,8))))))))</f>
        <v>8</v>
      </c>
      <c r="AE194" s="2">
        <f t="shared" ref="AE194:AE257" ca="1" si="25">IF(U194=$AE$1,"",U194-$AE$1)</f>
        <v>-44986.676271643519</v>
      </c>
      <c r="AF194" s="15"/>
    </row>
    <row r="195" spans="3:32">
      <c r="C195" s="23"/>
      <c r="D195" s="1"/>
      <c r="E195" s="1"/>
      <c r="P195" s="11"/>
      <c r="X195" s="13">
        <f t="shared" ref="X195:X258" si="26">IF(RIGHT(H195,2)&lt;&gt;"00",H195,"")</f>
        <v>0</v>
      </c>
      <c r="Y195" s="2">
        <f t="shared" ca="1" si="21"/>
        <v>32133</v>
      </c>
      <c r="Z195" s="14">
        <v>1</v>
      </c>
      <c r="AA195" s="1" t="str">
        <f t="shared" ca="1" si="22"/>
        <v>VENCIDO</v>
      </c>
      <c r="AB195" s="1" t="str">
        <f t="shared" si="23"/>
        <v>TAAe+</v>
      </c>
      <c r="AC195" s="2">
        <f t="shared" ref="AC195:AC258" si="27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>0</v>
      </c>
      <c r="AD195" s="2">
        <f t="shared" si="24"/>
        <v>8</v>
      </c>
      <c r="AE195" s="2">
        <f t="shared" ca="1" si="25"/>
        <v>-44986.676271643519</v>
      </c>
      <c r="AF195" s="15"/>
    </row>
    <row r="196" spans="3:32">
      <c r="D196" s="1"/>
      <c r="E196" s="1"/>
      <c r="P196" s="11"/>
      <c r="X196" s="13">
        <f t="shared" si="26"/>
        <v>0</v>
      </c>
      <c r="Y196" s="2">
        <f t="shared" ca="1" si="21"/>
        <v>32133</v>
      </c>
      <c r="Z196" s="14">
        <v>1</v>
      </c>
      <c r="AA196" s="1" t="str">
        <f t="shared" ca="1" si="22"/>
        <v>VENCIDO</v>
      </c>
      <c r="AB196" s="1" t="str">
        <f t="shared" si="23"/>
        <v>TAAe+</v>
      </c>
      <c r="AC196" s="2">
        <f t="shared" si="27"/>
        <v>0</v>
      </c>
      <c r="AD196" s="2">
        <f t="shared" si="24"/>
        <v>8</v>
      </c>
      <c r="AE196" s="2">
        <f t="shared" ca="1" si="25"/>
        <v>-44986.676271643519</v>
      </c>
      <c r="AF196" s="15"/>
    </row>
    <row r="197" spans="3:32">
      <c r="D197" s="1"/>
      <c r="E197" s="1"/>
      <c r="P197" s="11"/>
      <c r="X197" s="13">
        <f t="shared" si="26"/>
        <v>0</v>
      </c>
      <c r="Y197" s="2">
        <f t="shared" ca="1" si="21"/>
        <v>32133</v>
      </c>
      <c r="Z197" s="14">
        <v>1</v>
      </c>
      <c r="AA197" s="1" t="str">
        <f t="shared" ca="1" si="22"/>
        <v>VENCIDO</v>
      </c>
      <c r="AB197" s="1" t="str">
        <f t="shared" si="23"/>
        <v>TAAe+</v>
      </c>
      <c r="AC197" s="2">
        <f t="shared" si="27"/>
        <v>0</v>
      </c>
      <c r="AD197" s="2">
        <f t="shared" si="24"/>
        <v>8</v>
      </c>
      <c r="AE197" s="2">
        <f t="shared" ca="1" si="25"/>
        <v>-44986.676271643519</v>
      </c>
      <c r="AF197" s="15"/>
    </row>
    <row r="198" spans="3:32">
      <c r="C198" s="23"/>
      <c r="D198" s="1"/>
      <c r="E198" s="1"/>
      <c r="P198" s="11"/>
      <c r="X198" s="13">
        <f t="shared" si="26"/>
        <v>0</v>
      </c>
      <c r="Y198" s="2">
        <f t="shared" ca="1" si="21"/>
        <v>32133</v>
      </c>
      <c r="Z198" s="14">
        <v>1</v>
      </c>
      <c r="AA198" s="1" t="str">
        <f t="shared" ca="1" si="22"/>
        <v>VENCIDO</v>
      </c>
      <c r="AB198" s="1" t="str">
        <f t="shared" si="23"/>
        <v>TAAe+</v>
      </c>
      <c r="AC198" s="2">
        <f t="shared" si="27"/>
        <v>0</v>
      </c>
      <c r="AD198" s="2">
        <f t="shared" si="24"/>
        <v>8</v>
      </c>
      <c r="AE198" s="2">
        <f t="shared" ca="1" si="25"/>
        <v>-44986.676271643519</v>
      </c>
      <c r="AF198" s="15"/>
    </row>
    <row r="199" spans="3:32">
      <c r="D199" s="1"/>
      <c r="E199" s="1"/>
      <c r="P199" s="11"/>
      <c r="X199" s="13">
        <f t="shared" si="26"/>
        <v>0</v>
      </c>
      <c r="Y199" s="2">
        <f t="shared" ca="1" si="21"/>
        <v>32133</v>
      </c>
      <c r="Z199" s="14">
        <v>1</v>
      </c>
      <c r="AA199" s="1" t="str">
        <f t="shared" ca="1" si="22"/>
        <v>VENCIDO</v>
      </c>
      <c r="AB199" s="1" t="str">
        <f t="shared" si="23"/>
        <v>TAAe+</v>
      </c>
      <c r="AC199" s="2">
        <f t="shared" si="27"/>
        <v>0</v>
      </c>
      <c r="AD199" s="2">
        <f t="shared" si="24"/>
        <v>8</v>
      </c>
      <c r="AE199" s="2">
        <f t="shared" ca="1" si="25"/>
        <v>-44986.676271643519</v>
      </c>
      <c r="AF199" s="15"/>
    </row>
    <row r="200" spans="3:32">
      <c r="D200" s="1"/>
      <c r="E200" s="1"/>
      <c r="P200" s="11"/>
      <c r="X200" s="13">
        <f t="shared" si="26"/>
        <v>0</v>
      </c>
      <c r="Y200" s="2">
        <f t="shared" ca="1" si="21"/>
        <v>32133</v>
      </c>
      <c r="Z200" s="14">
        <v>1</v>
      </c>
      <c r="AA200" s="1" t="str">
        <f t="shared" ca="1" si="22"/>
        <v>VENCIDO</v>
      </c>
      <c r="AB200" s="1" t="str">
        <f t="shared" si="23"/>
        <v>TAAe+</v>
      </c>
      <c r="AC200" s="2">
        <f t="shared" si="27"/>
        <v>0</v>
      </c>
      <c r="AD200" s="2">
        <f t="shared" si="24"/>
        <v>8</v>
      </c>
      <c r="AE200" s="2">
        <f t="shared" ca="1" si="25"/>
        <v>-44986.676271643519</v>
      </c>
      <c r="AF200" s="15"/>
    </row>
    <row r="201" spans="3:32">
      <c r="D201" s="1"/>
      <c r="E201" s="1"/>
      <c r="P201" s="11"/>
      <c r="X201" s="13">
        <f t="shared" si="26"/>
        <v>0</v>
      </c>
      <c r="Y201" s="2">
        <f t="shared" ca="1" si="21"/>
        <v>32133</v>
      </c>
      <c r="Z201" s="14">
        <v>1</v>
      </c>
      <c r="AA201" s="1" t="str">
        <f t="shared" ca="1" si="22"/>
        <v>VENCIDO</v>
      </c>
      <c r="AB201" s="1" t="str">
        <f t="shared" si="23"/>
        <v>TAAe+</v>
      </c>
      <c r="AC201" s="2">
        <f t="shared" si="27"/>
        <v>0</v>
      </c>
      <c r="AD201" s="2">
        <f t="shared" si="24"/>
        <v>8</v>
      </c>
      <c r="AE201" s="2">
        <f t="shared" ca="1" si="25"/>
        <v>-44986.676271643519</v>
      </c>
      <c r="AF201" s="15"/>
    </row>
    <row r="202" spans="3:32">
      <c r="D202" s="1"/>
      <c r="E202" s="1"/>
      <c r="P202" s="11"/>
      <c r="X202" s="13">
        <f t="shared" si="26"/>
        <v>0</v>
      </c>
      <c r="Y202" s="2">
        <f t="shared" ca="1" si="21"/>
        <v>32133</v>
      </c>
      <c r="Z202" s="14">
        <v>1</v>
      </c>
      <c r="AA202" s="1" t="str">
        <f t="shared" ca="1" si="22"/>
        <v>VENCIDO</v>
      </c>
      <c r="AB202" s="1" t="str">
        <f t="shared" si="23"/>
        <v>TAAe+</v>
      </c>
      <c r="AC202" s="2">
        <f t="shared" si="27"/>
        <v>0</v>
      </c>
      <c r="AD202" s="2">
        <f t="shared" si="24"/>
        <v>8</v>
      </c>
      <c r="AE202" s="2">
        <f t="shared" ca="1" si="25"/>
        <v>-44986.676271643519</v>
      </c>
      <c r="AF202" s="15"/>
    </row>
    <row r="203" spans="3:32">
      <c r="D203" s="1"/>
      <c r="E203" s="1"/>
      <c r="P203" s="11"/>
      <c r="X203" s="13">
        <f t="shared" si="26"/>
        <v>0</v>
      </c>
      <c r="Y203" s="2">
        <f t="shared" ca="1" si="21"/>
        <v>32133</v>
      </c>
      <c r="Z203" s="14">
        <v>1</v>
      </c>
      <c r="AA203" s="1" t="str">
        <f t="shared" ca="1" si="22"/>
        <v>VENCIDO</v>
      </c>
      <c r="AB203" s="1" t="str">
        <f t="shared" si="23"/>
        <v>TAAe+</v>
      </c>
      <c r="AC203" s="2">
        <f t="shared" si="27"/>
        <v>0</v>
      </c>
      <c r="AD203" s="2">
        <f t="shared" si="24"/>
        <v>8</v>
      </c>
      <c r="AE203" s="2">
        <f t="shared" ca="1" si="25"/>
        <v>-44986.676271643519</v>
      </c>
      <c r="AF203" s="15"/>
    </row>
    <row r="204" spans="3:32">
      <c r="D204" s="1"/>
      <c r="E204" s="1"/>
      <c r="P204" s="11"/>
      <c r="X204" s="13">
        <f t="shared" si="26"/>
        <v>0</v>
      </c>
      <c r="Y204" s="2">
        <f t="shared" ca="1" si="21"/>
        <v>32133</v>
      </c>
      <c r="Z204" s="14">
        <v>1</v>
      </c>
      <c r="AA204" s="1" t="str">
        <f t="shared" ca="1" si="22"/>
        <v>VENCIDO</v>
      </c>
      <c r="AB204" s="1" t="str">
        <f t="shared" si="23"/>
        <v>TAAe+</v>
      </c>
      <c r="AC204" s="2">
        <f t="shared" si="27"/>
        <v>0</v>
      </c>
      <c r="AD204" s="2">
        <f t="shared" si="24"/>
        <v>8</v>
      </c>
      <c r="AE204" s="2">
        <f t="shared" ca="1" si="25"/>
        <v>-44986.676271643519</v>
      </c>
      <c r="AF204" s="15"/>
    </row>
    <row r="205" spans="3:32">
      <c r="D205" s="1"/>
      <c r="E205" s="1"/>
      <c r="P205" s="11"/>
      <c r="X205" s="13">
        <f t="shared" si="26"/>
        <v>0</v>
      </c>
      <c r="Y205" s="2">
        <f t="shared" ca="1" si="21"/>
        <v>32133</v>
      </c>
      <c r="Z205" s="14">
        <v>1</v>
      </c>
      <c r="AA205" s="1" t="str">
        <f t="shared" ca="1" si="22"/>
        <v>VENCIDO</v>
      </c>
      <c r="AB205" s="1" t="str">
        <f t="shared" si="23"/>
        <v>TAAe+</v>
      </c>
      <c r="AC205" s="2">
        <f t="shared" si="27"/>
        <v>0</v>
      </c>
      <c r="AD205" s="2">
        <f t="shared" si="24"/>
        <v>8</v>
      </c>
      <c r="AE205" s="2">
        <f t="shared" ca="1" si="25"/>
        <v>-44986.676271643519</v>
      </c>
      <c r="AF205" s="15"/>
    </row>
    <row r="206" spans="3:32">
      <c r="C206" s="23"/>
      <c r="D206" s="1"/>
      <c r="E206" s="1"/>
      <c r="P206" s="11"/>
      <c r="X206" s="13">
        <f t="shared" si="26"/>
        <v>0</v>
      </c>
      <c r="Y206" s="2">
        <f t="shared" ca="1" si="21"/>
        <v>32133</v>
      </c>
      <c r="Z206" s="14">
        <v>1</v>
      </c>
      <c r="AA206" s="1" t="str">
        <f t="shared" ca="1" si="22"/>
        <v>VENCIDO</v>
      </c>
      <c r="AB206" s="1" t="str">
        <f t="shared" si="23"/>
        <v>TAAe+</v>
      </c>
      <c r="AC206" s="2">
        <f t="shared" si="27"/>
        <v>0</v>
      </c>
      <c r="AD206" s="2">
        <f t="shared" si="24"/>
        <v>8</v>
      </c>
      <c r="AE206" s="2">
        <f t="shared" ca="1" si="25"/>
        <v>-44986.676271643519</v>
      </c>
      <c r="AF206" s="15"/>
    </row>
    <row r="207" spans="3:32">
      <c r="D207" s="1"/>
      <c r="E207" s="1"/>
      <c r="P207" s="11"/>
      <c r="X207" s="13">
        <f t="shared" si="26"/>
        <v>0</v>
      </c>
      <c r="Y207" s="2">
        <f t="shared" ca="1" si="21"/>
        <v>32133</v>
      </c>
      <c r="Z207" s="14">
        <v>1</v>
      </c>
      <c r="AA207" s="1" t="str">
        <f t="shared" ca="1" si="22"/>
        <v>VENCIDO</v>
      </c>
      <c r="AB207" s="1" t="str">
        <f t="shared" si="23"/>
        <v>TAAe+</v>
      </c>
      <c r="AC207" s="2">
        <f t="shared" si="27"/>
        <v>0</v>
      </c>
      <c r="AD207" s="2">
        <f t="shared" si="24"/>
        <v>8</v>
      </c>
      <c r="AE207" s="2">
        <f t="shared" ca="1" si="25"/>
        <v>-44986.676271643519</v>
      </c>
      <c r="AF207" s="15"/>
    </row>
    <row r="208" spans="3:32">
      <c r="D208" s="1"/>
      <c r="E208" s="1"/>
      <c r="P208" s="11"/>
      <c r="X208" s="13">
        <f t="shared" si="26"/>
        <v>0</v>
      </c>
      <c r="Y208" s="2">
        <f t="shared" ca="1" si="21"/>
        <v>32133</v>
      </c>
      <c r="Z208" s="14">
        <v>1</v>
      </c>
      <c r="AA208" s="1" t="str">
        <f t="shared" ca="1" si="22"/>
        <v>VENCIDO</v>
      </c>
      <c r="AB208" s="1" t="str">
        <f t="shared" si="23"/>
        <v>TAAe+</v>
      </c>
      <c r="AC208" s="2">
        <f t="shared" si="27"/>
        <v>0</v>
      </c>
      <c r="AD208" s="2">
        <f t="shared" si="24"/>
        <v>8</v>
      </c>
      <c r="AE208" s="2">
        <f t="shared" ca="1" si="25"/>
        <v>-44986.676271643519</v>
      </c>
      <c r="AF208" s="15"/>
    </row>
    <row r="209" spans="3:32">
      <c r="D209" s="1"/>
      <c r="E209" s="1"/>
      <c r="P209" s="11"/>
      <c r="X209" s="13">
        <f t="shared" si="26"/>
        <v>0</v>
      </c>
      <c r="Y209" s="2">
        <f t="shared" ca="1" si="21"/>
        <v>32133</v>
      </c>
      <c r="Z209" s="14">
        <v>1</v>
      </c>
      <c r="AA209" s="1" t="str">
        <f t="shared" ca="1" si="22"/>
        <v>VENCIDO</v>
      </c>
      <c r="AB209" s="1" t="str">
        <f t="shared" si="23"/>
        <v>TAAe+</v>
      </c>
      <c r="AC209" s="2">
        <f t="shared" si="27"/>
        <v>0</v>
      </c>
      <c r="AD209" s="2">
        <f t="shared" si="24"/>
        <v>8</v>
      </c>
      <c r="AE209" s="2">
        <f t="shared" ca="1" si="25"/>
        <v>-44986.676271643519</v>
      </c>
      <c r="AF209" s="15"/>
    </row>
    <row r="210" spans="3:32">
      <c r="C210" s="23"/>
      <c r="D210" s="1"/>
      <c r="E210" s="1"/>
      <c r="P210" s="11"/>
      <c r="X210" s="13">
        <f t="shared" si="26"/>
        <v>0</v>
      </c>
      <c r="Y210" s="2">
        <f t="shared" ca="1" si="21"/>
        <v>32133</v>
      </c>
      <c r="Z210" s="14">
        <v>1</v>
      </c>
      <c r="AA210" s="1" t="str">
        <f t="shared" ca="1" si="22"/>
        <v>VENCIDO</v>
      </c>
      <c r="AB210" s="1" t="str">
        <f t="shared" si="23"/>
        <v>TAAe+</v>
      </c>
      <c r="AC210" s="2">
        <f t="shared" si="27"/>
        <v>0</v>
      </c>
      <c r="AD210" s="2">
        <f t="shared" si="24"/>
        <v>8</v>
      </c>
      <c r="AE210" s="2">
        <f t="shared" ca="1" si="25"/>
        <v>-44986.676271643519</v>
      </c>
      <c r="AF210" s="15"/>
    </row>
    <row r="211" spans="3:32">
      <c r="D211" s="1"/>
      <c r="E211" s="1"/>
      <c r="P211" s="11"/>
      <c r="X211" s="13">
        <f t="shared" si="26"/>
        <v>0</v>
      </c>
      <c r="Y211" s="2">
        <f t="shared" ca="1" si="21"/>
        <v>32133</v>
      </c>
      <c r="Z211" s="14">
        <v>1</v>
      </c>
      <c r="AA211" s="1" t="str">
        <f t="shared" ca="1" si="22"/>
        <v>VENCIDO</v>
      </c>
      <c r="AB211" s="1" t="str">
        <f t="shared" si="23"/>
        <v>TAAe+</v>
      </c>
      <c r="AC211" s="2">
        <f t="shared" si="27"/>
        <v>0</v>
      </c>
      <c r="AD211" s="2">
        <f t="shared" si="24"/>
        <v>8</v>
      </c>
      <c r="AE211" s="2">
        <f t="shared" ca="1" si="25"/>
        <v>-44986.676271643519</v>
      </c>
      <c r="AF211" s="15"/>
    </row>
    <row r="212" spans="3:32">
      <c r="D212" s="1"/>
      <c r="E212" s="1"/>
      <c r="P212" s="11"/>
      <c r="X212" s="13">
        <f t="shared" si="26"/>
        <v>0</v>
      </c>
      <c r="Y212" s="2">
        <f t="shared" ca="1" si="21"/>
        <v>32133</v>
      </c>
      <c r="Z212" s="14">
        <v>1</v>
      </c>
      <c r="AA212" s="1" t="str">
        <f t="shared" ca="1" si="22"/>
        <v>VENCIDO</v>
      </c>
      <c r="AB212" s="1" t="str">
        <f t="shared" si="23"/>
        <v>TAAe+</v>
      </c>
      <c r="AC212" s="2">
        <f t="shared" si="27"/>
        <v>0</v>
      </c>
      <c r="AD212" s="2">
        <f t="shared" si="24"/>
        <v>8</v>
      </c>
      <c r="AE212" s="2">
        <f t="shared" ca="1" si="25"/>
        <v>-44986.676271643519</v>
      </c>
      <c r="AF212" s="15"/>
    </row>
    <row r="213" spans="3:32">
      <c r="D213" s="1"/>
      <c r="E213" s="1"/>
      <c r="P213" s="11"/>
      <c r="X213" s="13">
        <f t="shared" si="26"/>
        <v>0</v>
      </c>
      <c r="Y213" s="2">
        <f t="shared" ca="1" si="21"/>
        <v>32133</v>
      </c>
      <c r="Z213" s="14">
        <v>1</v>
      </c>
      <c r="AA213" s="1" t="str">
        <f t="shared" ca="1" si="22"/>
        <v>VENCIDO</v>
      </c>
      <c r="AB213" s="1" t="str">
        <f t="shared" si="23"/>
        <v>TAAe+</v>
      </c>
      <c r="AC213" s="2">
        <f t="shared" si="27"/>
        <v>0</v>
      </c>
      <c r="AD213" s="2">
        <f t="shared" si="24"/>
        <v>8</v>
      </c>
      <c r="AE213" s="2">
        <f t="shared" ca="1" si="25"/>
        <v>-44986.676271643519</v>
      </c>
      <c r="AF213" s="15"/>
    </row>
    <row r="214" spans="3:32">
      <c r="D214" s="1"/>
      <c r="E214" s="1"/>
      <c r="P214" s="11"/>
      <c r="X214" s="13">
        <f t="shared" si="26"/>
        <v>0</v>
      </c>
      <c r="Y214" s="2">
        <f t="shared" ca="1" si="21"/>
        <v>32133</v>
      </c>
      <c r="Z214" s="14">
        <v>1</v>
      </c>
      <c r="AA214" s="1" t="str">
        <f t="shared" ca="1" si="22"/>
        <v>VENCIDO</v>
      </c>
      <c r="AB214" s="1" t="str">
        <f t="shared" si="23"/>
        <v>TAAe+</v>
      </c>
      <c r="AC214" s="2">
        <f t="shared" si="27"/>
        <v>0</v>
      </c>
      <c r="AD214" s="2">
        <f t="shared" si="24"/>
        <v>8</v>
      </c>
      <c r="AE214" s="2">
        <f t="shared" ca="1" si="25"/>
        <v>-44986.676271643519</v>
      </c>
      <c r="AF214" s="15"/>
    </row>
    <row r="215" spans="3:32">
      <c r="D215" s="1"/>
      <c r="E215" s="1"/>
      <c r="P215" s="11"/>
      <c r="X215" s="13">
        <f t="shared" si="26"/>
        <v>0</v>
      </c>
      <c r="Y215" s="2">
        <f t="shared" ca="1" si="21"/>
        <v>32133</v>
      </c>
      <c r="Z215" s="14">
        <v>1</v>
      </c>
      <c r="AA215" s="1" t="str">
        <f t="shared" ca="1" si="22"/>
        <v>VENCIDO</v>
      </c>
      <c r="AB215" s="1" t="str">
        <f t="shared" si="23"/>
        <v>TAAe+</v>
      </c>
      <c r="AC215" s="2">
        <f t="shared" si="27"/>
        <v>0</v>
      </c>
      <c r="AD215" s="2">
        <f t="shared" si="24"/>
        <v>8</v>
      </c>
      <c r="AE215" s="2">
        <f t="shared" ca="1" si="25"/>
        <v>-44986.676271643519</v>
      </c>
      <c r="AF215" s="15"/>
    </row>
    <row r="216" spans="3:32">
      <c r="D216" s="1"/>
      <c r="E216" s="1"/>
      <c r="P216" s="11"/>
      <c r="X216" s="13">
        <f t="shared" si="26"/>
        <v>0</v>
      </c>
      <c r="Y216" s="2">
        <f t="shared" ca="1" si="21"/>
        <v>32133</v>
      </c>
      <c r="Z216" s="14">
        <v>1</v>
      </c>
      <c r="AA216" s="1" t="str">
        <f t="shared" ca="1" si="22"/>
        <v>VENCIDO</v>
      </c>
      <c r="AB216" s="1" t="str">
        <f t="shared" si="23"/>
        <v>TAAe+</v>
      </c>
      <c r="AC216" s="2">
        <f t="shared" si="27"/>
        <v>0</v>
      </c>
      <c r="AD216" s="2">
        <f t="shared" si="24"/>
        <v>8</v>
      </c>
      <c r="AE216" s="2">
        <f t="shared" ca="1" si="25"/>
        <v>-44986.676271643519</v>
      </c>
      <c r="AF216" s="15"/>
    </row>
    <row r="217" spans="3:32">
      <c r="C217" s="23"/>
      <c r="D217" s="1"/>
      <c r="E217" s="1"/>
      <c r="P217" s="11"/>
      <c r="X217" s="13">
        <f t="shared" si="26"/>
        <v>0</v>
      </c>
      <c r="Y217" s="2">
        <f t="shared" ca="1" si="21"/>
        <v>32133</v>
      </c>
      <c r="Z217" s="14">
        <v>1</v>
      </c>
      <c r="AA217" s="1" t="str">
        <f t="shared" ca="1" si="22"/>
        <v>VENCIDO</v>
      </c>
      <c r="AB217" s="1" t="str">
        <f t="shared" si="23"/>
        <v>TAAe+</v>
      </c>
      <c r="AC217" s="2">
        <f t="shared" si="27"/>
        <v>0</v>
      </c>
      <c r="AD217" s="2">
        <f t="shared" si="24"/>
        <v>8</v>
      </c>
      <c r="AE217" s="2">
        <f t="shared" ca="1" si="25"/>
        <v>-44986.676271643519</v>
      </c>
      <c r="AF217" s="15"/>
    </row>
    <row r="218" spans="3:32">
      <c r="D218" s="1"/>
      <c r="E218" s="1"/>
      <c r="P218" s="11"/>
      <c r="X218" s="13">
        <f t="shared" si="26"/>
        <v>0</v>
      </c>
      <c r="Y218" s="2">
        <f t="shared" ca="1" si="21"/>
        <v>32133</v>
      </c>
      <c r="Z218" s="14">
        <v>1</v>
      </c>
      <c r="AA218" s="1" t="str">
        <f t="shared" ca="1" si="22"/>
        <v>VENCIDO</v>
      </c>
      <c r="AB218" s="1" t="str">
        <f t="shared" si="23"/>
        <v>TAAe+</v>
      </c>
      <c r="AC218" s="2">
        <f t="shared" si="27"/>
        <v>0</v>
      </c>
      <c r="AD218" s="2">
        <f t="shared" si="24"/>
        <v>8</v>
      </c>
      <c r="AE218" s="2">
        <f t="shared" ca="1" si="25"/>
        <v>-44986.676271643519</v>
      </c>
      <c r="AF218" s="15"/>
    </row>
    <row r="219" spans="3:32">
      <c r="C219" s="23"/>
      <c r="D219" s="1"/>
      <c r="E219" s="1"/>
      <c r="P219" s="11"/>
      <c r="X219" s="13">
        <f t="shared" si="26"/>
        <v>0</v>
      </c>
      <c r="Y219" s="2">
        <f t="shared" ca="1" si="21"/>
        <v>32133</v>
      </c>
      <c r="Z219" s="14">
        <v>1</v>
      </c>
      <c r="AA219" s="1" t="str">
        <f t="shared" ca="1" si="22"/>
        <v>VENCIDO</v>
      </c>
      <c r="AB219" s="1" t="str">
        <f t="shared" si="23"/>
        <v>TAAe+</v>
      </c>
      <c r="AC219" s="2">
        <f t="shared" si="27"/>
        <v>0</v>
      </c>
      <c r="AD219" s="2">
        <f t="shared" si="24"/>
        <v>8</v>
      </c>
      <c r="AE219" s="2">
        <f t="shared" ca="1" si="25"/>
        <v>-44986.676271643519</v>
      </c>
      <c r="AF219" s="15"/>
    </row>
    <row r="220" spans="3:32">
      <c r="D220" s="1"/>
      <c r="E220" s="1"/>
      <c r="P220" s="11"/>
      <c r="X220" s="13">
        <f t="shared" si="26"/>
        <v>0</v>
      </c>
      <c r="Y220" s="2">
        <f t="shared" ca="1" si="21"/>
        <v>32133</v>
      </c>
      <c r="Z220" s="14">
        <v>1</v>
      </c>
      <c r="AA220" s="1" t="str">
        <f t="shared" ca="1" si="22"/>
        <v>VENCIDO</v>
      </c>
      <c r="AB220" s="1" t="str">
        <f t="shared" si="23"/>
        <v>TAAe+</v>
      </c>
      <c r="AC220" s="2">
        <f t="shared" si="27"/>
        <v>0</v>
      </c>
      <c r="AD220" s="2">
        <f t="shared" si="24"/>
        <v>8</v>
      </c>
      <c r="AE220" s="2">
        <f t="shared" ca="1" si="25"/>
        <v>-44986.676271643519</v>
      </c>
      <c r="AF220" s="15"/>
    </row>
    <row r="221" spans="3:32">
      <c r="C221" s="23"/>
      <c r="D221" s="1"/>
      <c r="E221" s="1"/>
      <c r="P221" s="11"/>
      <c r="X221" s="13">
        <f t="shared" si="26"/>
        <v>0</v>
      </c>
      <c r="Y221" s="2">
        <f t="shared" ca="1" si="21"/>
        <v>32133</v>
      </c>
      <c r="Z221" s="14">
        <v>1</v>
      </c>
      <c r="AA221" s="1" t="str">
        <f t="shared" ca="1" si="22"/>
        <v>VENCIDO</v>
      </c>
      <c r="AB221" s="1" t="str">
        <f t="shared" si="23"/>
        <v>TAAe+</v>
      </c>
      <c r="AC221" s="2">
        <f t="shared" si="27"/>
        <v>0</v>
      </c>
      <c r="AD221" s="2">
        <f t="shared" si="24"/>
        <v>8</v>
      </c>
      <c r="AE221" s="2">
        <f t="shared" ca="1" si="25"/>
        <v>-44986.676271643519</v>
      </c>
      <c r="AF221" s="15"/>
    </row>
    <row r="222" spans="3:32">
      <c r="D222" s="1"/>
      <c r="E222" s="1"/>
      <c r="P222" s="11"/>
      <c r="X222" s="13">
        <f t="shared" si="26"/>
        <v>0</v>
      </c>
      <c r="Y222" s="2">
        <f t="shared" ca="1" si="21"/>
        <v>32133</v>
      </c>
      <c r="Z222" s="14">
        <v>1</v>
      </c>
      <c r="AA222" s="1" t="str">
        <f t="shared" ca="1" si="22"/>
        <v>VENCIDO</v>
      </c>
      <c r="AB222" s="1" t="str">
        <f t="shared" si="23"/>
        <v>TAAe+</v>
      </c>
      <c r="AC222" s="2">
        <f t="shared" si="27"/>
        <v>0</v>
      </c>
      <c r="AD222" s="2">
        <f t="shared" si="24"/>
        <v>8</v>
      </c>
      <c r="AE222" s="2">
        <f t="shared" ca="1" si="25"/>
        <v>-44986.676271643519</v>
      </c>
      <c r="AF222" s="15"/>
    </row>
    <row r="223" spans="3:32">
      <c r="D223" s="1"/>
      <c r="E223" s="1"/>
      <c r="P223" s="11"/>
      <c r="X223" s="13">
        <f t="shared" si="26"/>
        <v>0</v>
      </c>
      <c r="Y223" s="2">
        <f t="shared" ca="1" si="21"/>
        <v>32133</v>
      </c>
      <c r="Z223" s="14">
        <v>1</v>
      </c>
      <c r="AA223" s="1" t="str">
        <f t="shared" ca="1" si="22"/>
        <v>VENCIDO</v>
      </c>
      <c r="AB223" s="1" t="str">
        <f t="shared" si="23"/>
        <v>TAAe+</v>
      </c>
      <c r="AC223" s="2">
        <f t="shared" si="27"/>
        <v>0</v>
      </c>
      <c r="AD223" s="2">
        <f t="shared" si="24"/>
        <v>8</v>
      </c>
      <c r="AE223" s="2">
        <f t="shared" ca="1" si="25"/>
        <v>-44986.676271643519</v>
      </c>
      <c r="AF223" s="15"/>
    </row>
    <row r="224" spans="3:32">
      <c r="C224" s="23"/>
      <c r="D224" s="1"/>
      <c r="E224" s="1"/>
      <c r="P224" s="11"/>
      <c r="X224" s="13">
        <f t="shared" si="26"/>
        <v>0</v>
      </c>
      <c r="Y224" s="2">
        <f t="shared" ca="1" si="21"/>
        <v>32133</v>
      </c>
      <c r="Z224" s="14">
        <v>1</v>
      </c>
      <c r="AA224" s="1" t="str">
        <f t="shared" ca="1" si="22"/>
        <v>VENCIDO</v>
      </c>
      <c r="AB224" s="1" t="str">
        <f t="shared" si="23"/>
        <v>TAAe+</v>
      </c>
      <c r="AC224" s="2">
        <f t="shared" si="27"/>
        <v>0</v>
      </c>
      <c r="AD224" s="2">
        <f t="shared" si="24"/>
        <v>8</v>
      </c>
      <c r="AE224" s="2">
        <f t="shared" ca="1" si="25"/>
        <v>-44986.676271643519</v>
      </c>
      <c r="AF224" s="15"/>
    </row>
    <row r="225" spans="3:32">
      <c r="D225" s="1"/>
      <c r="E225" s="1"/>
      <c r="P225" s="11"/>
      <c r="X225" s="13">
        <f t="shared" si="26"/>
        <v>0</v>
      </c>
      <c r="Y225" s="2">
        <f t="shared" ca="1" si="21"/>
        <v>32133</v>
      </c>
      <c r="Z225" s="14">
        <v>1</v>
      </c>
      <c r="AA225" s="1" t="str">
        <f t="shared" ca="1" si="22"/>
        <v>VENCIDO</v>
      </c>
      <c r="AB225" s="1" t="str">
        <f t="shared" si="23"/>
        <v>TAAe+</v>
      </c>
      <c r="AC225" s="2">
        <f t="shared" si="27"/>
        <v>0</v>
      </c>
      <c r="AD225" s="2">
        <f t="shared" si="24"/>
        <v>8</v>
      </c>
      <c r="AE225" s="2">
        <f t="shared" ca="1" si="25"/>
        <v>-44986.676271643519</v>
      </c>
      <c r="AF225" s="15"/>
    </row>
    <row r="226" spans="3:32">
      <c r="C226" s="23"/>
      <c r="D226" s="1"/>
      <c r="E226" s="1"/>
      <c r="P226" s="11"/>
      <c r="X226" s="13">
        <f t="shared" si="26"/>
        <v>0</v>
      </c>
      <c r="Y226" s="2">
        <f t="shared" ca="1" si="21"/>
        <v>32133</v>
      </c>
      <c r="Z226" s="14">
        <v>1</v>
      </c>
      <c r="AA226" s="1" t="str">
        <f t="shared" ca="1" si="22"/>
        <v>VENCIDO</v>
      </c>
      <c r="AB226" s="1" t="str">
        <f t="shared" si="23"/>
        <v>TAAe+</v>
      </c>
      <c r="AC226" s="2">
        <f t="shared" si="27"/>
        <v>0</v>
      </c>
      <c r="AD226" s="2">
        <f t="shared" si="24"/>
        <v>8</v>
      </c>
      <c r="AE226" s="2">
        <f t="shared" ca="1" si="25"/>
        <v>-44986.676271643519</v>
      </c>
      <c r="AF226" s="15"/>
    </row>
    <row r="227" spans="3:32">
      <c r="D227" s="1"/>
      <c r="E227" s="1"/>
      <c r="P227" s="11"/>
      <c r="X227" s="13">
        <f t="shared" si="26"/>
        <v>0</v>
      </c>
      <c r="Y227" s="2">
        <f t="shared" ca="1" si="21"/>
        <v>32133</v>
      </c>
      <c r="Z227" s="14">
        <v>1</v>
      </c>
      <c r="AA227" s="1" t="str">
        <f t="shared" ca="1" si="22"/>
        <v>VENCIDO</v>
      </c>
      <c r="AB227" s="1" t="str">
        <f t="shared" si="23"/>
        <v>TAAe+</v>
      </c>
      <c r="AC227" s="2">
        <f t="shared" si="27"/>
        <v>0</v>
      </c>
      <c r="AD227" s="2">
        <f t="shared" si="24"/>
        <v>8</v>
      </c>
      <c r="AE227" s="2">
        <f t="shared" ca="1" si="25"/>
        <v>-44986.676271643519</v>
      </c>
      <c r="AF227" s="15"/>
    </row>
    <row r="228" spans="3:32">
      <c r="D228" s="1"/>
      <c r="E228" s="1"/>
      <c r="P228" s="11"/>
      <c r="X228" s="13">
        <f t="shared" si="26"/>
        <v>0</v>
      </c>
      <c r="Y228" s="2">
        <f t="shared" ca="1" si="21"/>
        <v>32133</v>
      </c>
      <c r="Z228" s="14">
        <v>1</v>
      </c>
      <c r="AA228" s="1" t="str">
        <f t="shared" ca="1" si="22"/>
        <v>VENCIDO</v>
      </c>
      <c r="AB228" s="1" t="str">
        <f t="shared" si="23"/>
        <v>TAAe+</v>
      </c>
      <c r="AC228" s="2">
        <f t="shared" si="27"/>
        <v>0</v>
      </c>
      <c r="AD228" s="2">
        <f t="shared" si="24"/>
        <v>8</v>
      </c>
      <c r="AE228" s="2">
        <f t="shared" ca="1" si="25"/>
        <v>-44986.676271643519</v>
      </c>
      <c r="AF228" s="15"/>
    </row>
    <row r="229" spans="3:32">
      <c r="D229" s="1"/>
      <c r="E229" s="1"/>
      <c r="P229" s="11"/>
      <c r="X229" s="13">
        <f t="shared" si="26"/>
        <v>0</v>
      </c>
      <c r="Y229" s="2">
        <f t="shared" ca="1" si="21"/>
        <v>32133</v>
      </c>
      <c r="Z229" s="14">
        <v>1</v>
      </c>
      <c r="AA229" s="1" t="str">
        <f t="shared" ca="1" si="22"/>
        <v>VENCIDO</v>
      </c>
      <c r="AB229" s="1" t="str">
        <f t="shared" si="23"/>
        <v>TAAe+</v>
      </c>
      <c r="AC229" s="2">
        <f t="shared" si="27"/>
        <v>0</v>
      </c>
      <c r="AD229" s="2">
        <f t="shared" si="24"/>
        <v>8</v>
      </c>
      <c r="AE229" s="2">
        <f t="shared" ca="1" si="25"/>
        <v>-44986.676271643519</v>
      </c>
      <c r="AF229" s="15"/>
    </row>
    <row r="230" spans="3:32">
      <c r="C230" s="23"/>
      <c r="D230" s="1"/>
      <c r="E230" s="1"/>
      <c r="P230" s="11"/>
      <c r="X230" s="13">
        <f t="shared" si="26"/>
        <v>0</v>
      </c>
      <c r="Y230" s="2">
        <f t="shared" ca="1" si="21"/>
        <v>32133</v>
      </c>
      <c r="Z230" s="14">
        <v>1</v>
      </c>
      <c r="AA230" s="1" t="str">
        <f t="shared" ca="1" si="22"/>
        <v>VENCIDO</v>
      </c>
      <c r="AB230" s="1" t="str">
        <f t="shared" si="23"/>
        <v>TAAe+</v>
      </c>
      <c r="AC230" s="2">
        <f t="shared" si="27"/>
        <v>0</v>
      </c>
      <c r="AD230" s="2">
        <f t="shared" si="24"/>
        <v>8</v>
      </c>
      <c r="AE230" s="2">
        <f t="shared" ca="1" si="25"/>
        <v>-44986.676271643519</v>
      </c>
      <c r="AF230" s="15"/>
    </row>
    <row r="231" spans="3:32">
      <c r="D231" s="1"/>
      <c r="E231" s="1"/>
      <c r="P231" s="11"/>
      <c r="X231" s="13">
        <f t="shared" si="26"/>
        <v>0</v>
      </c>
      <c r="Y231" s="2">
        <f t="shared" ca="1" si="21"/>
        <v>32133</v>
      </c>
      <c r="Z231" s="14">
        <v>1</v>
      </c>
      <c r="AA231" s="1" t="str">
        <f t="shared" ca="1" si="22"/>
        <v>VENCIDO</v>
      </c>
      <c r="AB231" s="1" t="str">
        <f t="shared" si="23"/>
        <v>TAAe+</v>
      </c>
      <c r="AC231" s="2">
        <f t="shared" si="27"/>
        <v>0</v>
      </c>
      <c r="AD231" s="2">
        <f t="shared" si="24"/>
        <v>8</v>
      </c>
      <c r="AE231" s="2">
        <f t="shared" ca="1" si="25"/>
        <v>-44986.676271643519</v>
      </c>
      <c r="AF231" s="15"/>
    </row>
    <row r="232" spans="3:32">
      <c r="D232" s="1"/>
      <c r="E232" s="1"/>
      <c r="P232" s="11"/>
      <c r="X232" s="13">
        <f t="shared" si="26"/>
        <v>0</v>
      </c>
      <c r="Y232" s="2">
        <f t="shared" ca="1" si="21"/>
        <v>32133</v>
      </c>
      <c r="Z232" s="14">
        <v>1</v>
      </c>
      <c r="AA232" s="1" t="str">
        <f t="shared" ca="1" si="22"/>
        <v>VENCIDO</v>
      </c>
      <c r="AB232" s="1" t="str">
        <f t="shared" si="23"/>
        <v>TAAe+</v>
      </c>
      <c r="AC232" s="2">
        <f t="shared" si="27"/>
        <v>0</v>
      </c>
      <c r="AD232" s="2">
        <f t="shared" si="24"/>
        <v>8</v>
      </c>
      <c r="AE232" s="2">
        <f t="shared" ca="1" si="25"/>
        <v>-44986.676271643519</v>
      </c>
      <c r="AF232" s="15"/>
    </row>
    <row r="233" spans="3:32">
      <c r="C233" s="23"/>
      <c r="D233" s="1"/>
      <c r="E233" s="1"/>
      <c r="P233" s="11"/>
      <c r="X233" s="13">
        <f t="shared" si="26"/>
        <v>0</v>
      </c>
      <c r="Y233" s="2">
        <f t="shared" ca="1" si="21"/>
        <v>32133</v>
      </c>
      <c r="Z233" s="14">
        <v>1</v>
      </c>
      <c r="AA233" s="1" t="str">
        <f t="shared" ca="1" si="22"/>
        <v>VENCIDO</v>
      </c>
      <c r="AB233" s="1" t="str">
        <f t="shared" si="23"/>
        <v>TAAe+</v>
      </c>
      <c r="AC233" s="2">
        <f t="shared" si="27"/>
        <v>0</v>
      </c>
      <c r="AD233" s="2">
        <f t="shared" si="24"/>
        <v>8</v>
      </c>
      <c r="AE233" s="2">
        <f t="shared" ca="1" si="25"/>
        <v>-44986.676271643519</v>
      </c>
      <c r="AF233" s="15"/>
    </row>
    <row r="234" spans="3:32">
      <c r="D234" s="1"/>
      <c r="E234" s="1"/>
      <c r="P234" s="11"/>
      <c r="X234" s="13">
        <f t="shared" si="26"/>
        <v>0</v>
      </c>
      <c r="Y234" s="2">
        <f t="shared" ca="1" si="21"/>
        <v>32133</v>
      </c>
      <c r="Z234" s="14">
        <v>1</v>
      </c>
      <c r="AA234" s="1" t="str">
        <f t="shared" ca="1" si="22"/>
        <v>VENCIDO</v>
      </c>
      <c r="AB234" s="1" t="str">
        <f t="shared" si="23"/>
        <v>TAAe+</v>
      </c>
      <c r="AC234" s="2">
        <f t="shared" si="27"/>
        <v>0</v>
      </c>
      <c r="AD234" s="2">
        <f t="shared" si="24"/>
        <v>8</v>
      </c>
      <c r="AE234" s="2">
        <f t="shared" ca="1" si="25"/>
        <v>-44986.676271643519</v>
      </c>
      <c r="AF234" s="15"/>
    </row>
    <row r="235" spans="3:32">
      <c r="D235" s="1"/>
      <c r="E235" s="1"/>
      <c r="P235" s="11"/>
      <c r="X235" s="13">
        <f t="shared" si="26"/>
        <v>0</v>
      </c>
      <c r="Y235" s="2">
        <f t="shared" ca="1" si="21"/>
        <v>32133</v>
      </c>
      <c r="Z235" s="14">
        <v>1</v>
      </c>
      <c r="AA235" s="1" t="str">
        <f t="shared" ca="1" si="22"/>
        <v>VENCIDO</v>
      </c>
      <c r="AB235" s="1" t="str">
        <f t="shared" si="23"/>
        <v>TAAe+</v>
      </c>
      <c r="AC235" s="2">
        <f t="shared" si="27"/>
        <v>0</v>
      </c>
      <c r="AD235" s="2">
        <f t="shared" si="24"/>
        <v>8</v>
      </c>
      <c r="AE235" s="2">
        <f t="shared" ca="1" si="25"/>
        <v>-44986.676271643519</v>
      </c>
      <c r="AF235" s="15"/>
    </row>
    <row r="236" spans="3:32">
      <c r="D236" s="1"/>
      <c r="E236" s="1"/>
      <c r="P236" s="11"/>
      <c r="X236" s="13">
        <f t="shared" si="26"/>
        <v>0</v>
      </c>
      <c r="Y236" s="2">
        <f t="shared" ca="1" si="21"/>
        <v>32133</v>
      </c>
      <c r="Z236" s="14">
        <v>1</v>
      </c>
      <c r="AA236" s="1" t="str">
        <f t="shared" ca="1" si="22"/>
        <v>VENCIDO</v>
      </c>
      <c r="AB236" s="1" t="str">
        <f t="shared" si="23"/>
        <v>TAAe+</v>
      </c>
      <c r="AC236" s="2">
        <f t="shared" si="27"/>
        <v>0</v>
      </c>
      <c r="AD236" s="2">
        <f t="shared" si="24"/>
        <v>8</v>
      </c>
      <c r="AE236" s="2">
        <f t="shared" ca="1" si="25"/>
        <v>-44986.676271643519</v>
      </c>
      <c r="AF236" s="15"/>
    </row>
    <row r="237" spans="3:32">
      <c r="C237" s="23"/>
      <c r="D237" s="1"/>
      <c r="E237" s="1"/>
      <c r="P237" s="11"/>
      <c r="X237" s="13">
        <f t="shared" si="26"/>
        <v>0</v>
      </c>
      <c r="Y237" s="2">
        <f t="shared" ca="1" si="21"/>
        <v>32133</v>
      </c>
      <c r="Z237" s="14">
        <v>1</v>
      </c>
      <c r="AA237" s="1" t="str">
        <f t="shared" ca="1" si="22"/>
        <v>VENCIDO</v>
      </c>
      <c r="AB237" s="1" t="str">
        <f t="shared" si="23"/>
        <v>TAAe+</v>
      </c>
      <c r="AC237" s="2">
        <f t="shared" si="27"/>
        <v>0</v>
      </c>
      <c r="AD237" s="2">
        <f t="shared" si="24"/>
        <v>8</v>
      </c>
      <c r="AE237" s="2">
        <f t="shared" ca="1" si="25"/>
        <v>-44986.676271643519</v>
      </c>
      <c r="AF237" s="15"/>
    </row>
    <row r="238" spans="3:32">
      <c r="D238" s="1"/>
      <c r="E238" s="1"/>
      <c r="P238" s="11"/>
      <c r="X238" s="13">
        <f t="shared" si="26"/>
        <v>0</v>
      </c>
      <c r="Y238" s="2">
        <f t="shared" ca="1" si="21"/>
        <v>32133</v>
      </c>
      <c r="Z238" s="14">
        <v>1</v>
      </c>
      <c r="AA238" s="1" t="str">
        <f t="shared" ca="1" si="22"/>
        <v>VENCIDO</v>
      </c>
      <c r="AB238" s="1" t="str">
        <f t="shared" si="23"/>
        <v>TAAe+</v>
      </c>
      <c r="AC238" s="2">
        <f t="shared" si="27"/>
        <v>0</v>
      </c>
      <c r="AD238" s="2">
        <f t="shared" si="24"/>
        <v>8</v>
      </c>
      <c r="AE238" s="2">
        <f t="shared" ca="1" si="25"/>
        <v>-44986.676271643519</v>
      </c>
      <c r="AF238" s="15"/>
    </row>
    <row r="239" spans="3:32">
      <c r="D239" s="1"/>
      <c r="E239" s="1"/>
      <c r="P239" s="11"/>
      <c r="X239" s="13">
        <f t="shared" si="26"/>
        <v>0</v>
      </c>
      <c r="Y239" s="2">
        <f t="shared" ca="1" si="21"/>
        <v>32133</v>
      </c>
      <c r="Z239" s="14">
        <v>1</v>
      </c>
      <c r="AA239" s="1" t="str">
        <f t="shared" ca="1" si="22"/>
        <v>VENCIDO</v>
      </c>
      <c r="AB239" s="1" t="str">
        <f t="shared" si="23"/>
        <v>TAAe+</v>
      </c>
      <c r="AC239" s="2">
        <f t="shared" si="27"/>
        <v>0</v>
      </c>
      <c r="AD239" s="2">
        <f t="shared" si="24"/>
        <v>8</v>
      </c>
      <c r="AE239" s="2">
        <f t="shared" ca="1" si="25"/>
        <v>-44986.676271643519</v>
      </c>
      <c r="AF239" s="15"/>
    </row>
    <row r="240" spans="3:32">
      <c r="D240" s="1"/>
      <c r="E240" s="1"/>
      <c r="P240" s="11"/>
      <c r="X240" s="13">
        <f t="shared" si="26"/>
        <v>0</v>
      </c>
      <c r="Y240" s="2">
        <f t="shared" ca="1" si="21"/>
        <v>32133</v>
      </c>
      <c r="Z240" s="14">
        <v>1</v>
      </c>
      <c r="AA240" s="1" t="str">
        <f t="shared" ca="1" si="22"/>
        <v>VENCIDO</v>
      </c>
      <c r="AB240" s="1" t="str">
        <f t="shared" si="23"/>
        <v>TAAe+</v>
      </c>
      <c r="AC240" s="2">
        <f t="shared" si="27"/>
        <v>0</v>
      </c>
      <c r="AD240" s="2">
        <f t="shared" si="24"/>
        <v>8</v>
      </c>
      <c r="AE240" s="2">
        <f t="shared" ca="1" si="25"/>
        <v>-44986.676271643519</v>
      </c>
      <c r="AF240" s="15"/>
    </row>
    <row r="241" spans="3:32">
      <c r="D241" s="1"/>
      <c r="E241" s="1"/>
      <c r="P241" s="11"/>
      <c r="X241" s="13">
        <f t="shared" si="26"/>
        <v>0</v>
      </c>
      <c r="Y241" s="2">
        <f t="shared" ca="1" si="21"/>
        <v>32133</v>
      </c>
      <c r="Z241" s="14">
        <v>1</v>
      </c>
      <c r="AA241" s="1" t="str">
        <f t="shared" ca="1" si="22"/>
        <v>VENCIDO</v>
      </c>
      <c r="AB241" s="1" t="str">
        <f t="shared" si="23"/>
        <v>TAAe+</v>
      </c>
      <c r="AC241" s="2">
        <f t="shared" si="27"/>
        <v>0</v>
      </c>
      <c r="AD241" s="2">
        <f t="shared" si="24"/>
        <v>8</v>
      </c>
      <c r="AE241" s="2">
        <f t="shared" ca="1" si="25"/>
        <v>-44986.676271643519</v>
      </c>
      <c r="AF241" s="15"/>
    </row>
    <row r="242" spans="3:32">
      <c r="D242" s="1"/>
      <c r="E242" s="1"/>
      <c r="P242" s="11"/>
      <c r="X242" s="13">
        <f t="shared" si="26"/>
        <v>0</v>
      </c>
      <c r="Y242" s="2">
        <f t="shared" ca="1" si="21"/>
        <v>32133</v>
      </c>
      <c r="Z242" s="14">
        <v>1</v>
      </c>
      <c r="AA242" s="1" t="str">
        <f t="shared" ca="1" si="22"/>
        <v>VENCIDO</v>
      </c>
      <c r="AB242" s="1" t="str">
        <f t="shared" si="23"/>
        <v>TAAe+</v>
      </c>
      <c r="AC242" s="2">
        <f t="shared" si="27"/>
        <v>0</v>
      </c>
      <c r="AD242" s="2">
        <f t="shared" si="24"/>
        <v>8</v>
      </c>
      <c r="AE242" s="2">
        <f t="shared" ca="1" si="25"/>
        <v>-44986.676271643519</v>
      </c>
      <c r="AF242" s="15"/>
    </row>
    <row r="243" spans="3:32">
      <c r="D243" s="1"/>
      <c r="E243" s="1"/>
      <c r="P243" s="11"/>
      <c r="X243" s="13">
        <f t="shared" si="26"/>
        <v>0</v>
      </c>
      <c r="Y243" s="2">
        <f t="shared" ca="1" si="21"/>
        <v>32133</v>
      </c>
      <c r="Z243" s="14">
        <v>1</v>
      </c>
      <c r="AA243" s="1" t="str">
        <f t="shared" ca="1" si="22"/>
        <v>VENCIDO</v>
      </c>
      <c r="AB243" s="1" t="str">
        <f t="shared" si="23"/>
        <v>TAAe+</v>
      </c>
      <c r="AC243" s="2">
        <f t="shared" si="27"/>
        <v>0</v>
      </c>
      <c r="AD243" s="2">
        <f t="shared" si="24"/>
        <v>8</v>
      </c>
      <c r="AE243" s="2">
        <f t="shared" ca="1" si="25"/>
        <v>-44986.676271643519</v>
      </c>
      <c r="AF243" s="15"/>
    </row>
    <row r="244" spans="3:32">
      <c r="C244" s="23"/>
      <c r="D244" s="1"/>
      <c r="E244" s="1"/>
      <c r="P244" s="11"/>
      <c r="X244" s="13">
        <f t="shared" si="26"/>
        <v>0</v>
      </c>
      <c r="Y244" s="2">
        <f t="shared" ca="1" si="21"/>
        <v>32133</v>
      </c>
      <c r="Z244" s="14">
        <v>1</v>
      </c>
      <c r="AA244" s="1" t="str">
        <f t="shared" ca="1" si="22"/>
        <v>VENCIDO</v>
      </c>
      <c r="AB244" s="1" t="str">
        <f t="shared" si="23"/>
        <v>TAAe+</v>
      </c>
      <c r="AC244" s="2">
        <f t="shared" si="27"/>
        <v>0</v>
      </c>
      <c r="AD244" s="2">
        <f t="shared" si="24"/>
        <v>8</v>
      </c>
      <c r="AE244" s="2">
        <f t="shared" ca="1" si="25"/>
        <v>-44986.676271643519</v>
      </c>
      <c r="AF244" s="15"/>
    </row>
    <row r="245" spans="3:32">
      <c r="D245" s="1"/>
      <c r="E245" s="1"/>
      <c r="P245" s="11"/>
      <c r="X245" s="13">
        <f t="shared" si="26"/>
        <v>0</v>
      </c>
      <c r="Y245" s="2">
        <f t="shared" ca="1" si="21"/>
        <v>32133</v>
      </c>
      <c r="Z245" s="14">
        <v>1</v>
      </c>
      <c r="AA245" s="1" t="str">
        <f t="shared" ca="1" si="22"/>
        <v>VENCIDO</v>
      </c>
      <c r="AB245" s="1" t="str">
        <f t="shared" si="23"/>
        <v>TAAe+</v>
      </c>
      <c r="AC245" s="2">
        <f t="shared" si="27"/>
        <v>0</v>
      </c>
      <c r="AD245" s="2">
        <f t="shared" si="24"/>
        <v>8</v>
      </c>
      <c r="AE245" s="2">
        <f t="shared" ca="1" si="25"/>
        <v>-44986.676271643519</v>
      </c>
      <c r="AF245" s="15"/>
    </row>
    <row r="246" spans="3:32">
      <c r="D246" s="1"/>
      <c r="E246" s="1"/>
      <c r="P246" s="11"/>
      <c r="X246" s="13">
        <f t="shared" si="26"/>
        <v>0</v>
      </c>
      <c r="Y246" s="2">
        <f t="shared" ca="1" si="21"/>
        <v>32133</v>
      </c>
      <c r="Z246" s="14">
        <v>1</v>
      </c>
      <c r="AA246" s="1" t="str">
        <f t="shared" ca="1" si="22"/>
        <v>VENCIDO</v>
      </c>
      <c r="AB246" s="1" t="str">
        <f t="shared" si="23"/>
        <v>TAAe+</v>
      </c>
      <c r="AC246" s="2">
        <f t="shared" si="27"/>
        <v>0</v>
      </c>
      <c r="AD246" s="2">
        <f t="shared" si="24"/>
        <v>8</v>
      </c>
      <c r="AE246" s="2">
        <f t="shared" ca="1" si="25"/>
        <v>-44986.676271643519</v>
      </c>
      <c r="AF246" s="15"/>
    </row>
    <row r="247" spans="3:32">
      <c r="D247" s="1"/>
      <c r="E247" s="1"/>
      <c r="P247" s="11"/>
      <c r="X247" s="13">
        <f t="shared" si="26"/>
        <v>0</v>
      </c>
      <c r="Y247" s="2">
        <f t="shared" ca="1" si="21"/>
        <v>32133</v>
      </c>
      <c r="Z247" s="14">
        <v>1</v>
      </c>
      <c r="AA247" s="1" t="str">
        <f t="shared" ca="1" si="22"/>
        <v>VENCIDO</v>
      </c>
      <c r="AB247" s="1" t="str">
        <f t="shared" si="23"/>
        <v>TAAe+</v>
      </c>
      <c r="AC247" s="2">
        <f t="shared" si="27"/>
        <v>0</v>
      </c>
      <c r="AD247" s="2">
        <f t="shared" si="24"/>
        <v>8</v>
      </c>
      <c r="AE247" s="2">
        <f t="shared" ca="1" si="25"/>
        <v>-44986.676271643519</v>
      </c>
      <c r="AF247" s="15"/>
    </row>
    <row r="248" spans="3:32">
      <c r="D248" s="1"/>
      <c r="E248" s="1"/>
      <c r="P248" s="11"/>
      <c r="X248" s="13">
        <f t="shared" si="26"/>
        <v>0</v>
      </c>
      <c r="Y248" s="2">
        <f t="shared" ca="1" si="21"/>
        <v>32133</v>
      </c>
      <c r="Z248" s="14">
        <v>1</v>
      </c>
      <c r="AA248" s="1" t="str">
        <f t="shared" ca="1" si="22"/>
        <v>VENCIDO</v>
      </c>
      <c r="AB248" s="1" t="str">
        <f t="shared" si="23"/>
        <v>TAAe+</v>
      </c>
      <c r="AC248" s="2">
        <f t="shared" si="27"/>
        <v>0</v>
      </c>
      <c r="AD248" s="2">
        <f t="shared" si="24"/>
        <v>8</v>
      </c>
      <c r="AE248" s="2">
        <f t="shared" ca="1" si="25"/>
        <v>-44986.676271643519</v>
      </c>
      <c r="AF248" s="15"/>
    </row>
    <row r="249" spans="3:32">
      <c r="D249" s="1"/>
      <c r="E249" s="1"/>
      <c r="P249" s="11"/>
      <c r="X249" s="13">
        <f t="shared" si="26"/>
        <v>0</v>
      </c>
      <c r="Y249" s="2">
        <f t="shared" ca="1" si="21"/>
        <v>32133</v>
      </c>
      <c r="Z249" s="14">
        <v>1</v>
      </c>
      <c r="AA249" s="1" t="str">
        <f t="shared" ca="1" si="22"/>
        <v>VENCIDO</v>
      </c>
      <c r="AB249" s="1" t="str">
        <f t="shared" si="23"/>
        <v>TAAe+</v>
      </c>
      <c r="AC249" s="2">
        <f t="shared" si="27"/>
        <v>0</v>
      </c>
      <c r="AD249" s="2">
        <f t="shared" si="24"/>
        <v>8</v>
      </c>
      <c r="AE249" s="2">
        <f t="shared" ca="1" si="25"/>
        <v>-44986.676271643519</v>
      </c>
      <c r="AF249" s="15"/>
    </row>
    <row r="250" spans="3:32">
      <c r="D250" s="1"/>
      <c r="E250" s="1"/>
      <c r="P250" s="11"/>
      <c r="X250" s="13">
        <f t="shared" si="26"/>
        <v>0</v>
      </c>
      <c r="Y250" s="2">
        <f t="shared" ca="1" si="21"/>
        <v>32133</v>
      </c>
      <c r="Z250" s="14">
        <v>1</v>
      </c>
      <c r="AA250" s="1" t="str">
        <f t="shared" ca="1" si="22"/>
        <v>VENCIDO</v>
      </c>
      <c r="AB250" s="1" t="str">
        <f t="shared" si="23"/>
        <v>TAAe+</v>
      </c>
      <c r="AC250" s="2">
        <f t="shared" si="27"/>
        <v>0</v>
      </c>
      <c r="AD250" s="2">
        <f t="shared" si="24"/>
        <v>8</v>
      </c>
      <c r="AE250" s="2">
        <f t="shared" ca="1" si="25"/>
        <v>-44986.676271643519</v>
      </c>
      <c r="AF250" s="15"/>
    </row>
    <row r="251" spans="3:32">
      <c r="D251" s="1"/>
      <c r="E251" s="1"/>
      <c r="P251" s="11"/>
      <c r="X251" s="13">
        <f t="shared" si="26"/>
        <v>0</v>
      </c>
      <c r="Y251" s="2">
        <f t="shared" ca="1" si="21"/>
        <v>32133</v>
      </c>
      <c r="Z251" s="14">
        <v>1</v>
      </c>
      <c r="AA251" s="1" t="str">
        <f t="shared" ca="1" si="22"/>
        <v>VENCIDO</v>
      </c>
      <c r="AB251" s="1" t="str">
        <f t="shared" si="23"/>
        <v>TAAe+</v>
      </c>
      <c r="AC251" s="2">
        <f t="shared" si="27"/>
        <v>0</v>
      </c>
      <c r="AD251" s="2">
        <f t="shared" si="24"/>
        <v>8</v>
      </c>
      <c r="AE251" s="2">
        <f t="shared" ca="1" si="25"/>
        <v>-44986.676271643519</v>
      </c>
      <c r="AF251" s="15"/>
    </row>
    <row r="252" spans="3:32">
      <c r="D252" s="1"/>
      <c r="E252" s="1"/>
      <c r="P252" s="11"/>
      <c r="X252" s="13">
        <f t="shared" si="26"/>
        <v>0</v>
      </c>
      <c r="Y252" s="2">
        <f t="shared" ca="1" si="21"/>
        <v>32133</v>
      </c>
      <c r="Z252" s="14">
        <v>1</v>
      </c>
      <c r="AA252" s="1" t="str">
        <f t="shared" ca="1" si="22"/>
        <v>VENCIDO</v>
      </c>
      <c r="AB252" s="1" t="str">
        <f t="shared" si="23"/>
        <v>TAAe+</v>
      </c>
      <c r="AC252" s="2">
        <f t="shared" si="27"/>
        <v>0</v>
      </c>
      <c r="AD252" s="2">
        <f t="shared" si="24"/>
        <v>8</v>
      </c>
      <c r="AE252" s="2">
        <f t="shared" ca="1" si="25"/>
        <v>-44986.676271643519</v>
      </c>
      <c r="AF252" s="15"/>
    </row>
    <row r="253" spans="3:32">
      <c r="D253" s="1"/>
      <c r="E253" s="1"/>
      <c r="P253" s="11"/>
      <c r="X253" s="13">
        <f t="shared" si="26"/>
        <v>0</v>
      </c>
      <c r="Y253" s="2">
        <f t="shared" ca="1" si="21"/>
        <v>32133</v>
      </c>
      <c r="Z253" s="14">
        <v>1</v>
      </c>
      <c r="AA253" s="1" t="str">
        <f t="shared" ca="1" si="22"/>
        <v>VENCIDO</v>
      </c>
      <c r="AB253" s="1" t="str">
        <f t="shared" si="23"/>
        <v>TAAe+</v>
      </c>
      <c r="AC253" s="2">
        <f t="shared" si="27"/>
        <v>0</v>
      </c>
      <c r="AD253" s="2">
        <f t="shared" si="24"/>
        <v>8</v>
      </c>
      <c r="AE253" s="2">
        <f t="shared" ca="1" si="25"/>
        <v>-44986.676271643519</v>
      </c>
      <c r="AF253" s="15"/>
    </row>
    <row r="254" spans="3:32">
      <c r="D254" s="1"/>
      <c r="E254" s="1"/>
      <c r="P254" s="11"/>
      <c r="X254" s="13">
        <f t="shared" si="26"/>
        <v>0</v>
      </c>
      <c r="Y254" s="2">
        <f t="shared" ca="1" si="21"/>
        <v>32133</v>
      </c>
      <c r="Z254" s="14">
        <v>1</v>
      </c>
      <c r="AA254" s="1" t="str">
        <f t="shared" ca="1" si="22"/>
        <v>VENCIDO</v>
      </c>
      <c r="AB254" s="1" t="str">
        <f t="shared" si="23"/>
        <v>TAAe+</v>
      </c>
      <c r="AC254" s="2">
        <f t="shared" si="27"/>
        <v>0</v>
      </c>
      <c r="AD254" s="2">
        <f t="shared" si="24"/>
        <v>8</v>
      </c>
      <c r="AE254" s="2">
        <f t="shared" ca="1" si="25"/>
        <v>-44986.676271643519</v>
      </c>
      <c r="AF254" s="15"/>
    </row>
    <row r="255" spans="3:32">
      <c r="C255" s="23"/>
      <c r="D255" s="1"/>
      <c r="E255" s="1"/>
      <c r="P255" s="11"/>
      <c r="X255" s="13">
        <f t="shared" si="26"/>
        <v>0</v>
      </c>
      <c r="Y255" s="2">
        <f t="shared" ca="1" si="21"/>
        <v>32133</v>
      </c>
      <c r="Z255" s="14">
        <v>1</v>
      </c>
      <c r="AA255" s="1" t="str">
        <f t="shared" ca="1" si="22"/>
        <v>VENCIDO</v>
      </c>
      <c r="AB255" s="1" t="str">
        <f t="shared" si="23"/>
        <v>TAAe+</v>
      </c>
      <c r="AC255" s="2">
        <f t="shared" si="27"/>
        <v>0</v>
      </c>
      <c r="AD255" s="2">
        <f t="shared" si="24"/>
        <v>8</v>
      </c>
      <c r="AE255" s="2">
        <f t="shared" ca="1" si="25"/>
        <v>-44986.676271643519</v>
      </c>
      <c r="AF255" s="15"/>
    </row>
    <row r="256" spans="3:32">
      <c r="D256" s="1"/>
      <c r="E256" s="1"/>
      <c r="P256" s="11"/>
      <c r="X256" s="13">
        <f t="shared" si="26"/>
        <v>0</v>
      </c>
      <c r="Y256" s="2">
        <f t="shared" ca="1" si="21"/>
        <v>32133</v>
      </c>
      <c r="Z256" s="14">
        <v>1</v>
      </c>
      <c r="AA256" s="1" t="str">
        <f t="shared" ca="1" si="22"/>
        <v>VENCIDO</v>
      </c>
      <c r="AB256" s="1" t="str">
        <f t="shared" si="23"/>
        <v>TAAe+</v>
      </c>
      <c r="AC256" s="2">
        <f t="shared" si="27"/>
        <v>0</v>
      </c>
      <c r="AD256" s="2">
        <f t="shared" si="24"/>
        <v>8</v>
      </c>
      <c r="AE256" s="2">
        <f t="shared" ca="1" si="25"/>
        <v>-44986.676271643519</v>
      </c>
      <c r="AF256" s="15"/>
    </row>
    <row r="257" spans="3:32">
      <c r="D257" s="1"/>
      <c r="E257" s="1"/>
      <c r="P257" s="11"/>
      <c r="X257" s="13">
        <f t="shared" si="26"/>
        <v>0</v>
      </c>
      <c r="Y257" s="2">
        <f t="shared" ca="1" si="21"/>
        <v>32133</v>
      </c>
      <c r="Z257" s="14">
        <v>1</v>
      </c>
      <c r="AA257" s="1" t="str">
        <f t="shared" ca="1" si="22"/>
        <v>VENCIDO</v>
      </c>
      <c r="AB257" s="1" t="str">
        <f t="shared" si="23"/>
        <v>TAAe+</v>
      </c>
      <c r="AC257" s="2">
        <f t="shared" si="27"/>
        <v>0</v>
      </c>
      <c r="AD257" s="2">
        <f t="shared" si="24"/>
        <v>8</v>
      </c>
      <c r="AE257" s="2">
        <f t="shared" ca="1" si="25"/>
        <v>-44986.676271643519</v>
      </c>
      <c r="AF257" s="15"/>
    </row>
    <row r="258" spans="3:32">
      <c r="D258" s="1"/>
      <c r="E258" s="1"/>
      <c r="P258" s="11"/>
      <c r="X258" s="13">
        <f t="shared" si="26"/>
        <v>0</v>
      </c>
      <c r="Y258" s="2">
        <f t="shared" ref="Y258:Y321" ca="1" si="28">NETWORKDAYS(P258,$Y$1)</f>
        <v>32133</v>
      </c>
      <c r="Z258" s="14">
        <v>1</v>
      </c>
      <c r="AA258" s="1" t="str">
        <f t="shared" ref="AA258:AA321" ca="1" si="29">IF(AE258=0,"HOJE",IF(AE258&gt;0,"A VENCER",IF(AE258&lt;0,"VENCIDO")))</f>
        <v>VENCIDO</v>
      </c>
      <c r="AB258" s="1" t="str">
        <f t="shared" ref="AB258:AB321" si="30">IF(F258="GRPE-000001","C-14",IF(F258="GRPE-000002","C-14",IF(F258="GRPE-000003","C-14",IF(F258="GRPE-000004","SL-On",IF(F258="GRPE-000038","C-14",IF(F258="GRPE-900022","Dosa",IF(F258="GRPE-000029","Dosa",IF(F258="ATOS-000222","Dose","TAAe+"))))))))</f>
        <v>TAAe+</v>
      </c>
      <c r="AC258" s="2">
        <f t="shared" si="27"/>
        <v>0</v>
      </c>
      <c r="AD258" s="2">
        <f t="shared" ref="AD258:AD321" si="31">IF(F258="GRPE-000001",5,IF(F258="GRPE-000002",5,IF(F258="GRPE-000003",15,IF(F258="GRPE-000004",1,IF(F258="GRPE-000038",5,IF(F258="GRPE-900022",5,IF(F258="GRPE-000029",5,IF(F258="ATOS-000222",5,8))))))))</f>
        <v>8</v>
      </c>
      <c r="AE258" s="2">
        <f t="shared" ref="AE258:AE321" ca="1" si="32">IF(U258=$AE$1,"",U258-$AE$1)</f>
        <v>-44986.676271643519</v>
      </c>
      <c r="AF258" s="15"/>
    </row>
    <row r="259" spans="3:32">
      <c r="C259" s="23"/>
      <c r="D259" s="1"/>
      <c r="E259" s="1"/>
      <c r="P259" s="11"/>
      <c r="X259" s="13">
        <f t="shared" ref="X259:X322" si="33">IF(RIGHT(H259,2)&lt;&gt;"00",H259,"")</f>
        <v>0</v>
      </c>
      <c r="Y259" s="2">
        <f t="shared" ca="1" si="28"/>
        <v>32133</v>
      </c>
      <c r="Z259" s="14">
        <v>1</v>
      </c>
      <c r="AA259" s="1" t="str">
        <f t="shared" ca="1" si="29"/>
        <v>VENCIDO</v>
      </c>
      <c r="AB259" s="1" t="str">
        <f t="shared" si="30"/>
        <v>TAAe+</v>
      </c>
      <c r="AC259" s="2">
        <f t="shared" ref="AC259:AC322" si="3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>0</v>
      </c>
      <c r="AD259" s="2">
        <f t="shared" si="31"/>
        <v>8</v>
      </c>
      <c r="AE259" s="2">
        <f t="shared" ca="1" si="32"/>
        <v>-44986.676271643519</v>
      </c>
      <c r="AF259" s="15"/>
    </row>
    <row r="260" spans="3:32">
      <c r="D260" s="1"/>
      <c r="E260" s="1"/>
      <c r="P260" s="11"/>
      <c r="X260" s="13">
        <f t="shared" si="33"/>
        <v>0</v>
      </c>
      <c r="Y260" s="2">
        <f t="shared" ca="1" si="28"/>
        <v>32133</v>
      </c>
      <c r="Z260" s="14">
        <v>1</v>
      </c>
      <c r="AA260" s="1" t="str">
        <f t="shared" ca="1" si="29"/>
        <v>VENCIDO</v>
      </c>
      <c r="AB260" s="1" t="str">
        <f t="shared" si="30"/>
        <v>TAAe+</v>
      </c>
      <c r="AC260" s="2">
        <f t="shared" si="34"/>
        <v>0</v>
      </c>
      <c r="AD260" s="2">
        <f t="shared" si="31"/>
        <v>8</v>
      </c>
      <c r="AE260" s="2">
        <f t="shared" ca="1" si="32"/>
        <v>-44986.676271643519</v>
      </c>
      <c r="AF260" s="15"/>
    </row>
    <row r="261" spans="3:32">
      <c r="D261" s="1"/>
      <c r="E261" s="1"/>
      <c r="P261" s="11"/>
      <c r="X261" s="13">
        <f t="shared" si="33"/>
        <v>0</v>
      </c>
      <c r="Y261" s="2">
        <f t="shared" ca="1" si="28"/>
        <v>32133</v>
      </c>
      <c r="Z261" s="14">
        <v>1</v>
      </c>
      <c r="AA261" s="1" t="str">
        <f t="shared" ca="1" si="29"/>
        <v>VENCIDO</v>
      </c>
      <c r="AB261" s="1" t="str">
        <f t="shared" si="30"/>
        <v>TAAe+</v>
      </c>
      <c r="AC261" s="2">
        <f t="shared" si="34"/>
        <v>0</v>
      </c>
      <c r="AD261" s="2">
        <f t="shared" si="31"/>
        <v>8</v>
      </c>
      <c r="AE261" s="2">
        <f t="shared" ca="1" si="32"/>
        <v>-44986.676271643519</v>
      </c>
      <c r="AF261" s="15"/>
    </row>
    <row r="262" spans="3:32">
      <c r="D262" s="1"/>
      <c r="E262" s="1"/>
      <c r="P262" s="11"/>
      <c r="X262" s="13">
        <f t="shared" si="33"/>
        <v>0</v>
      </c>
      <c r="Y262" s="2">
        <f t="shared" ca="1" si="28"/>
        <v>32133</v>
      </c>
      <c r="Z262" s="14">
        <v>1</v>
      </c>
      <c r="AA262" s="1" t="str">
        <f t="shared" ca="1" si="29"/>
        <v>VENCIDO</v>
      </c>
      <c r="AB262" s="1" t="str">
        <f t="shared" si="30"/>
        <v>TAAe+</v>
      </c>
      <c r="AC262" s="2">
        <f t="shared" si="34"/>
        <v>0</v>
      </c>
      <c r="AD262" s="2">
        <f t="shared" si="31"/>
        <v>8</v>
      </c>
      <c r="AE262" s="2">
        <f t="shared" ca="1" si="32"/>
        <v>-44986.676271643519</v>
      </c>
      <c r="AF262" s="15"/>
    </row>
    <row r="263" spans="3:32">
      <c r="D263" s="1"/>
      <c r="E263" s="1"/>
      <c r="P263" s="11"/>
      <c r="X263" s="13">
        <f t="shared" si="33"/>
        <v>0</v>
      </c>
      <c r="Y263" s="2">
        <f t="shared" ca="1" si="28"/>
        <v>32133</v>
      </c>
      <c r="Z263" s="14">
        <v>1</v>
      </c>
      <c r="AA263" s="1" t="str">
        <f t="shared" ca="1" si="29"/>
        <v>VENCIDO</v>
      </c>
      <c r="AB263" s="1" t="str">
        <f t="shared" si="30"/>
        <v>TAAe+</v>
      </c>
      <c r="AC263" s="2">
        <f t="shared" si="34"/>
        <v>0</v>
      </c>
      <c r="AD263" s="2">
        <f t="shared" si="31"/>
        <v>8</v>
      </c>
      <c r="AE263" s="2">
        <f t="shared" ca="1" si="32"/>
        <v>-44986.676271643519</v>
      </c>
      <c r="AF263" s="15"/>
    </row>
    <row r="264" spans="3:32">
      <c r="D264" s="1"/>
      <c r="E264" s="1"/>
      <c r="P264" s="11"/>
      <c r="X264" s="13">
        <f t="shared" si="33"/>
        <v>0</v>
      </c>
      <c r="Y264" s="2">
        <f t="shared" ca="1" si="28"/>
        <v>32133</v>
      </c>
      <c r="Z264" s="14">
        <v>1</v>
      </c>
      <c r="AA264" s="1" t="str">
        <f t="shared" ca="1" si="29"/>
        <v>VENCIDO</v>
      </c>
      <c r="AB264" s="1" t="str">
        <f t="shared" si="30"/>
        <v>TAAe+</v>
      </c>
      <c r="AC264" s="2">
        <f t="shared" si="34"/>
        <v>0</v>
      </c>
      <c r="AD264" s="2">
        <f t="shared" si="31"/>
        <v>8</v>
      </c>
      <c r="AE264" s="2">
        <f t="shared" ca="1" si="32"/>
        <v>-44986.676271643519</v>
      </c>
      <c r="AF264" s="15"/>
    </row>
    <row r="265" spans="3:32">
      <c r="D265" s="1"/>
      <c r="E265" s="1"/>
      <c r="P265" s="11"/>
      <c r="X265" s="13">
        <f t="shared" si="33"/>
        <v>0</v>
      </c>
      <c r="Y265" s="2">
        <f t="shared" ca="1" si="28"/>
        <v>32133</v>
      </c>
      <c r="Z265" s="14">
        <v>1</v>
      </c>
      <c r="AA265" s="1" t="str">
        <f t="shared" ca="1" si="29"/>
        <v>VENCIDO</v>
      </c>
      <c r="AB265" s="1" t="str">
        <f t="shared" si="30"/>
        <v>TAAe+</v>
      </c>
      <c r="AC265" s="2">
        <f t="shared" si="34"/>
        <v>0</v>
      </c>
      <c r="AD265" s="2">
        <f t="shared" si="31"/>
        <v>8</v>
      </c>
      <c r="AE265" s="2">
        <f t="shared" ca="1" si="32"/>
        <v>-44986.676271643519</v>
      </c>
      <c r="AF265" s="15"/>
    </row>
    <row r="266" spans="3:32">
      <c r="D266" s="1"/>
      <c r="E266" s="1"/>
      <c r="P266" s="11"/>
      <c r="U266" s="11"/>
      <c r="X266" s="13">
        <f t="shared" si="33"/>
        <v>0</v>
      </c>
      <c r="Y266" s="2">
        <f t="shared" ca="1" si="28"/>
        <v>32133</v>
      </c>
      <c r="Z266" s="14">
        <v>1</v>
      </c>
      <c r="AA266" s="1" t="str">
        <f t="shared" ca="1" si="29"/>
        <v>VENCIDO</v>
      </c>
      <c r="AB266" s="1" t="str">
        <f t="shared" si="30"/>
        <v>TAAe+</v>
      </c>
      <c r="AC266" s="2">
        <f t="shared" si="34"/>
        <v>0</v>
      </c>
      <c r="AD266" s="2">
        <f t="shared" si="31"/>
        <v>8</v>
      </c>
      <c r="AE266" s="2">
        <f t="shared" ca="1" si="32"/>
        <v>-44986.676271643519</v>
      </c>
      <c r="AF266" s="15"/>
    </row>
    <row r="267" spans="3:32">
      <c r="D267" s="1"/>
      <c r="E267" s="1"/>
      <c r="P267" s="11"/>
      <c r="X267" s="13">
        <f t="shared" si="33"/>
        <v>0</v>
      </c>
      <c r="Y267" s="2">
        <f t="shared" ca="1" si="28"/>
        <v>32133</v>
      </c>
      <c r="Z267" s="14">
        <v>1</v>
      </c>
      <c r="AA267" s="1" t="str">
        <f t="shared" ca="1" si="29"/>
        <v>VENCIDO</v>
      </c>
      <c r="AB267" s="1" t="str">
        <f t="shared" si="30"/>
        <v>TAAe+</v>
      </c>
      <c r="AC267" s="2">
        <f t="shared" si="34"/>
        <v>0</v>
      </c>
      <c r="AD267" s="2">
        <f t="shared" si="31"/>
        <v>8</v>
      </c>
      <c r="AE267" s="2">
        <f t="shared" ca="1" si="32"/>
        <v>-44986.676271643519</v>
      </c>
      <c r="AF267" s="15"/>
    </row>
    <row r="268" spans="3:32">
      <c r="D268" s="1"/>
      <c r="E268" s="1"/>
      <c r="P268" s="11"/>
      <c r="X268" s="13">
        <f t="shared" si="33"/>
        <v>0</v>
      </c>
      <c r="Y268" s="2">
        <f t="shared" ca="1" si="28"/>
        <v>32133</v>
      </c>
      <c r="Z268" s="14">
        <v>1</v>
      </c>
      <c r="AA268" s="1" t="str">
        <f t="shared" ca="1" si="29"/>
        <v>VENCIDO</v>
      </c>
      <c r="AB268" s="1" t="str">
        <f t="shared" si="30"/>
        <v>TAAe+</v>
      </c>
      <c r="AC268" s="2">
        <f t="shared" si="34"/>
        <v>0</v>
      </c>
      <c r="AD268" s="2">
        <f t="shared" si="31"/>
        <v>8</v>
      </c>
      <c r="AE268" s="2">
        <f t="shared" ca="1" si="32"/>
        <v>-44986.676271643519</v>
      </c>
      <c r="AF268" s="15"/>
    </row>
    <row r="269" spans="3:32">
      <c r="D269" s="1"/>
      <c r="E269" s="1"/>
      <c r="P269" s="11"/>
      <c r="X269" s="13">
        <f t="shared" si="33"/>
        <v>0</v>
      </c>
      <c r="Y269" s="2">
        <f t="shared" ca="1" si="28"/>
        <v>32133</v>
      </c>
      <c r="Z269" s="14">
        <v>1</v>
      </c>
      <c r="AA269" s="1" t="str">
        <f t="shared" ca="1" si="29"/>
        <v>VENCIDO</v>
      </c>
      <c r="AB269" s="1" t="str">
        <f t="shared" si="30"/>
        <v>TAAe+</v>
      </c>
      <c r="AC269" s="2">
        <f t="shared" si="34"/>
        <v>0</v>
      </c>
      <c r="AD269" s="2">
        <f t="shared" si="31"/>
        <v>8</v>
      </c>
      <c r="AE269" s="2">
        <f t="shared" ca="1" si="32"/>
        <v>-44986.676271643519</v>
      </c>
      <c r="AF269" s="15"/>
    </row>
    <row r="270" spans="3:32">
      <c r="D270" s="1"/>
      <c r="E270" s="1"/>
      <c r="P270" s="11"/>
      <c r="X270" s="13">
        <f t="shared" si="33"/>
        <v>0</v>
      </c>
      <c r="Y270" s="2">
        <f t="shared" ca="1" si="28"/>
        <v>32133</v>
      </c>
      <c r="Z270" s="14">
        <v>1</v>
      </c>
      <c r="AA270" s="1" t="str">
        <f t="shared" ca="1" si="29"/>
        <v>VENCIDO</v>
      </c>
      <c r="AB270" s="1" t="str">
        <f t="shared" si="30"/>
        <v>TAAe+</v>
      </c>
      <c r="AC270" s="2">
        <f t="shared" si="34"/>
        <v>0</v>
      </c>
      <c r="AD270" s="2">
        <f t="shared" si="31"/>
        <v>8</v>
      </c>
      <c r="AE270" s="2">
        <f t="shared" ca="1" si="32"/>
        <v>-44986.676271643519</v>
      </c>
      <c r="AF270" s="15"/>
    </row>
    <row r="271" spans="3:32">
      <c r="C271" s="23"/>
      <c r="D271" s="1"/>
      <c r="E271" s="1"/>
      <c r="P271" s="11"/>
      <c r="X271" s="13">
        <f t="shared" si="33"/>
        <v>0</v>
      </c>
      <c r="Y271" s="2">
        <f t="shared" ca="1" si="28"/>
        <v>32133</v>
      </c>
      <c r="Z271" s="14">
        <v>1</v>
      </c>
      <c r="AA271" s="1" t="str">
        <f t="shared" ca="1" si="29"/>
        <v>VENCIDO</v>
      </c>
      <c r="AB271" s="1" t="str">
        <f t="shared" si="30"/>
        <v>TAAe+</v>
      </c>
      <c r="AC271" s="2">
        <f t="shared" si="34"/>
        <v>0</v>
      </c>
      <c r="AD271" s="2">
        <f t="shared" si="31"/>
        <v>8</v>
      </c>
      <c r="AE271" s="2">
        <f t="shared" ca="1" si="32"/>
        <v>-44986.676271643519</v>
      </c>
      <c r="AF271" s="15"/>
    </row>
    <row r="272" spans="3:32">
      <c r="C272" s="23"/>
      <c r="D272" s="1"/>
      <c r="E272" s="1"/>
      <c r="P272" s="11"/>
      <c r="X272" s="13">
        <f t="shared" si="33"/>
        <v>0</v>
      </c>
      <c r="Y272" s="2">
        <f t="shared" ca="1" si="28"/>
        <v>32133</v>
      </c>
      <c r="Z272" s="14">
        <v>1</v>
      </c>
      <c r="AA272" s="1" t="str">
        <f t="shared" ca="1" si="29"/>
        <v>VENCIDO</v>
      </c>
      <c r="AB272" s="1" t="str">
        <f t="shared" si="30"/>
        <v>TAAe+</v>
      </c>
      <c r="AC272" s="2">
        <f t="shared" si="34"/>
        <v>0</v>
      </c>
      <c r="AD272" s="2">
        <f t="shared" si="31"/>
        <v>8</v>
      </c>
      <c r="AE272" s="2">
        <f t="shared" ca="1" si="32"/>
        <v>-44986.676271643519</v>
      </c>
      <c r="AF272" s="15"/>
    </row>
    <row r="273" spans="3:32">
      <c r="C273" s="23"/>
      <c r="D273" s="1"/>
      <c r="E273" s="1"/>
      <c r="P273" s="11"/>
      <c r="X273" s="13">
        <f t="shared" si="33"/>
        <v>0</v>
      </c>
      <c r="Y273" s="2">
        <f t="shared" ca="1" si="28"/>
        <v>32133</v>
      </c>
      <c r="Z273" s="14">
        <v>1</v>
      </c>
      <c r="AA273" s="1" t="str">
        <f t="shared" ca="1" si="29"/>
        <v>VENCIDO</v>
      </c>
      <c r="AB273" s="1" t="str">
        <f t="shared" si="30"/>
        <v>TAAe+</v>
      </c>
      <c r="AC273" s="2">
        <f t="shared" si="34"/>
        <v>0</v>
      </c>
      <c r="AD273" s="2">
        <f t="shared" si="31"/>
        <v>8</v>
      </c>
      <c r="AE273" s="2">
        <f t="shared" ca="1" si="32"/>
        <v>-44986.676271643519</v>
      </c>
      <c r="AF273" s="15"/>
    </row>
    <row r="274" spans="3:32">
      <c r="D274" s="1"/>
      <c r="E274" s="1"/>
      <c r="P274" s="11"/>
      <c r="X274" s="13">
        <f t="shared" si="33"/>
        <v>0</v>
      </c>
      <c r="Y274" s="2">
        <f t="shared" ca="1" si="28"/>
        <v>32133</v>
      </c>
      <c r="Z274" s="14">
        <v>1</v>
      </c>
      <c r="AA274" s="1" t="str">
        <f t="shared" ca="1" si="29"/>
        <v>VENCIDO</v>
      </c>
      <c r="AB274" s="1" t="str">
        <f t="shared" si="30"/>
        <v>TAAe+</v>
      </c>
      <c r="AC274" s="2">
        <f t="shared" si="34"/>
        <v>0</v>
      </c>
      <c r="AD274" s="2">
        <f t="shared" si="31"/>
        <v>8</v>
      </c>
      <c r="AE274" s="2">
        <f t="shared" ca="1" si="32"/>
        <v>-44986.676271643519</v>
      </c>
      <c r="AF274" s="15"/>
    </row>
    <row r="275" spans="3:32">
      <c r="D275" s="1"/>
      <c r="E275" s="1"/>
      <c r="P275" s="11"/>
      <c r="U275" s="11"/>
      <c r="X275" s="13">
        <f t="shared" si="33"/>
        <v>0</v>
      </c>
      <c r="Y275" s="2">
        <f t="shared" ca="1" si="28"/>
        <v>32133</v>
      </c>
      <c r="Z275" s="14">
        <v>1</v>
      </c>
      <c r="AA275" s="1" t="str">
        <f t="shared" ca="1" si="29"/>
        <v>VENCIDO</v>
      </c>
      <c r="AB275" s="1" t="str">
        <f t="shared" si="30"/>
        <v>TAAe+</v>
      </c>
      <c r="AC275" s="2">
        <f t="shared" si="34"/>
        <v>0</v>
      </c>
      <c r="AD275" s="2">
        <f t="shared" si="31"/>
        <v>8</v>
      </c>
      <c r="AE275" s="2">
        <f t="shared" ca="1" si="32"/>
        <v>-44986.676271643519</v>
      </c>
      <c r="AF275" s="15"/>
    </row>
    <row r="276" spans="3:32">
      <c r="D276" s="1"/>
      <c r="E276" s="1"/>
      <c r="P276" s="11"/>
      <c r="U276" s="11"/>
      <c r="X276" s="13">
        <f t="shared" si="33"/>
        <v>0</v>
      </c>
      <c r="Y276" s="2">
        <f t="shared" ca="1" si="28"/>
        <v>32133</v>
      </c>
      <c r="Z276" s="14">
        <v>1</v>
      </c>
      <c r="AA276" s="1" t="str">
        <f t="shared" ca="1" si="29"/>
        <v>VENCIDO</v>
      </c>
      <c r="AB276" s="1" t="str">
        <f t="shared" si="30"/>
        <v>TAAe+</v>
      </c>
      <c r="AC276" s="2">
        <f t="shared" si="34"/>
        <v>0</v>
      </c>
      <c r="AD276" s="2">
        <f t="shared" si="31"/>
        <v>8</v>
      </c>
      <c r="AE276" s="2">
        <f t="shared" ca="1" si="32"/>
        <v>-44986.676271643519</v>
      </c>
      <c r="AF276" s="15"/>
    </row>
    <row r="277" spans="3:32">
      <c r="D277" s="1"/>
      <c r="E277" s="1"/>
      <c r="P277" s="11"/>
      <c r="U277" s="11"/>
      <c r="X277" s="13">
        <f t="shared" si="33"/>
        <v>0</v>
      </c>
      <c r="Y277" s="2">
        <f t="shared" ca="1" si="28"/>
        <v>32133</v>
      </c>
      <c r="Z277" s="14">
        <v>1</v>
      </c>
      <c r="AA277" s="1" t="str">
        <f t="shared" ca="1" si="29"/>
        <v>VENCIDO</v>
      </c>
      <c r="AB277" s="1" t="str">
        <f t="shared" si="30"/>
        <v>TAAe+</v>
      </c>
      <c r="AC277" s="2">
        <f t="shared" si="34"/>
        <v>0</v>
      </c>
      <c r="AD277" s="2">
        <f t="shared" si="31"/>
        <v>8</v>
      </c>
      <c r="AE277" s="2">
        <f t="shared" ca="1" si="32"/>
        <v>-44986.676271643519</v>
      </c>
      <c r="AF277" s="15"/>
    </row>
    <row r="278" spans="3:32">
      <c r="D278" s="1"/>
      <c r="E278" s="1"/>
      <c r="P278" s="11"/>
      <c r="U278" s="11"/>
      <c r="X278" s="13">
        <f t="shared" si="33"/>
        <v>0</v>
      </c>
      <c r="Y278" s="2">
        <f t="shared" ca="1" si="28"/>
        <v>32133</v>
      </c>
      <c r="Z278" s="14">
        <v>1</v>
      </c>
      <c r="AA278" s="1" t="str">
        <f t="shared" ca="1" si="29"/>
        <v>VENCIDO</v>
      </c>
      <c r="AB278" s="1" t="str">
        <f t="shared" si="30"/>
        <v>TAAe+</v>
      </c>
      <c r="AC278" s="2">
        <f t="shared" si="34"/>
        <v>0</v>
      </c>
      <c r="AD278" s="2">
        <f t="shared" si="31"/>
        <v>8</v>
      </c>
      <c r="AE278" s="2">
        <f t="shared" ca="1" si="32"/>
        <v>-44986.676271643519</v>
      </c>
      <c r="AF278" s="15"/>
    </row>
    <row r="279" spans="3:32">
      <c r="D279" s="1"/>
      <c r="E279" s="1"/>
      <c r="P279" s="11"/>
      <c r="U279" s="11"/>
      <c r="X279" s="13">
        <f t="shared" si="33"/>
        <v>0</v>
      </c>
      <c r="Y279" s="2">
        <f t="shared" ca="1" si="28"/>
        <v>32133</v>
      </c>
      <c r="Z279" s="14">
        <v>1</v>
      </c>
      <c r="AA279" s="1" t="str">
        <f t="shared" ca="1" si="29"/>
        <v>VENCIDO</v>
      </c>
      <c r="AB279" s="1" t="str">
        <f t="shared" si="30"/>
        <v>TAAe+</v>
      </c>
      <c r="AC279" s="2">
        <f t="shared" si="34"/>
        <v>0</v>
      </c>
      <c r="AD279" s="2">
        <f t="shared" si="31"/>
        <v>8</v>
      </c>
      <c r="AE279" s="2">
        <f t="shared" ca="1" si="32"/>
        <v>-44986.676271643519</v>
      </c>
      <c r="AF279" s="15"/>
    </row>
    <row r="280" spans="3:32">
      <c r="D280" s="1"/>
      <c r="E280" s="1"/>
      <c r="P280" s="11"/>
      <c r="U280" s="11"/>
      <c r="X280" s="13">
        <f t="shared" si="33"/>
        <v>0</v>
      </c>
      <c r="Y280" s="2">
        <f t="shared" ca="1" si="28"/>
        <v>32133</v>
      </c>
      <c r="Z280" s="14">
        <v>1</v>
      </c>
      <c r="AA280" s="1" t="str">
        <f t="shared" ca="1" si="29"/>
        <v>VENCIDO</v>
      </c>
      <c r="AB280" s="1" t="str">
        <f t="shared" si="30"/>
        <v>TAAe+</v>
      </c>
      <c r="AC280" s="2">
        <f t="shared" si="34"/>
        <v>0</v>
      </c>
      <c r="AD280" s="2">
        <f t="shared" si="31"/>
        <v>8</v>
      </c>
      <c r="AE280" s="2">
        <f t="shared" ca="1" si="32"/>
        <v>-44986.676271643519</v>
      </c>
      <c r="AF280" s="15"/>
    </row>
    <row r="281" spans="3:32">
      <c r="D281" s="1"/>
      <c r="E281" s="1"/>
      <c r="P281" s="11"/>
      <c r="U281" s="11"/>
      <c r="X281" s="13">
        <f t="shared" si="33"/>
        <v>0</v>
      </c>
      <c r="Y281" s="2">
        <f t="shared" ca="1" si="28"/>
        <v>32133</v>
      </c>
      <c r="Z281" s="14">
        <v>1</v>
      </c>
      <c r="AA281" s="1" t="str">
        <f t="shared" ca="1" si="29"/>
        <v>VENCIDO</v>
      </c>
      <c r="AB281" s="1" t="str">
        <f t="shared" si="30"/>
        <v>TAAe+</v>
      </c>
      <c r="AC281" s="2">
        <f t="shared" si="34"/>
        <v>0</v>
      </c>
      <c r="AD281" s="2">
        <f t="shared" si="31"/>
        <v>8</v>
      </c>
      <c r="AE281" s="2">
        <f t="shared" ca="1" si="32"/>
        <v>-44986.676271643519</v>
      </c>
      <c r="AF281" s="15"/>
    </row>
    <row r="282" spans="3:32">
      <c r="D282" s="1"/>
      <c r="E282" s="1"/>
      <c r="P282" s="11"/>
      <c r="U282" s="11"/>
      <c r="X282" s="13">
        <f t="shared" si="33"/>
        <v>0</v>
      </c>
      <c r="Y282" s="2">
        <f t="shared" ca="1" si="28"/>
        <v>32133</v>
      </c>
      <c r="Z282" s="14">
        <v>1</v>
      </c>
      <c r="AA282" s="1" t="str">
        <f t="shared" ca="1" si="29"/>
        <v>VENCIDO</v>
      </c>
      <c r="AB282" s="1" t="str">
        <f t="shared" si="30"/>
        <v>TAAe+</v>
      </c>
      <c r="AC282" s="2">
        <f t="shared" si="34"/>
        <v>0</v>
      </c>
      <c r="AD282" s="2">
        <f t="shared" si="31"/>
        <v>8</v>
      </c>
      <c r="AE282" s="2">
        <f t="shared" ca="1" si="32"/>
        <v>-44986.676271643519</v>
      </c>
      <c r="AF282" s="15"/>
    </row>
    <row r="283" spans="3:32">
      <c r="D283" s="1"/>
      <c r="E283" s="1"/>
      <c r="P283" s="11"/>
      <c r="U283" s="11"/>
      <c r="X283" s="13">
        <f t="shared" si="33"/>
        <v>0</v>
      </c>
      <c r="Y283" s="2">
        <f t="shared" ca="1" si="28"/>
        <v>32133</v>
      </c>
      <c r="Z283" s="14">
        <v>1</v>
      </c>
      <c r="AA283" s="1" t="str">
        <f t="shared" ca="1" si="29"/>
        <v>VENCIDO</v>
      </c>
      <c r="AB283" s="1" t="str">
        <f t="shared" si="30"/>
        <v>TAAe+</v>
      </c>
      <c r="AC283" s="2">
        <f t="shared" si="34"/>
        <v>0</v>
      </c>
      <c r="AD283" s="2">
        <f t="shared" si="31"/>
        <v>8</v>
      </c>
      <c r="AE283" s="2">
        <f t="shared" ca="1" si="32"/>
        <v>-44986.676271643519</v>
      </c>
      <c r="AF283" s="15"/>
    </row>
    <row r="284" spans="3:32">
      <c r="D284" s="1"/>
      <c r="E284" s="1"/>
      <c r="P284" s="11"/>
      <c r="U284" s="11"/>
      <c r="X284" s="13">
        <f t="shared" si="33"/>
        <v>0</v>
      </c>
      <c r="Y284" s="2">
        <f t="shared" ca="1" si="28"/>
        <v>32133</v>
      </c>
      <c r="Z284" s="14">
        <v>1</v>
      </c>
      <c r="AA284" s="1" t="str">
        <f t="shared" ca="1" si="29"/>
        <v>VENCIDO</v>
      </c>
      <c r="AB284" s="1" t="str">
        <f t="shared" si="30"/>
        <v>TAAe+</v>
      </c>
      <c r="AC284" s="2">
        <f t="shared" si="34"/>
        <v>0</v>
      </c>
      <c r="AD284" s="2">
        <f t="shared" si="31"/>
        <v>8</v>
      </c>
      <c r="AE284" s="2">
        <f t="shared" ca="1" si="32"/>
        <v>-44986.676271643519</v>
      </c>
      <c r="AF284" s="15"/>
    </row>
    <row r="285" spans="3:32">
      <c r="D285" s="1"/>
      <c r="E285" s="1"/>
      <c r="P285" s="11"/>
      <c r="U285" s="11"/>
      <c r="X285" s="13">
        <f t="shared" si="33"/>
        <v>0</v>
      </c>
      <c r="Y285" s="2">
        <f t="shared" ca="1" si="28"/>
        <v>32133</v>
      </c>
      <c r="Z285" s="14">
        <v>1</v>
      </c>
      <c r="AA285" s="1" t="str">
        <f t="shared" ca="1" si="29"/>
        <v>VENCIDO</v>
      </c>
      <c r="AB285" s="1" t="str">
        <f t="shared" si="30"/>
        <v>TAAe+</v>
      </c>
      <c r="AC285" s="2">
        <f t="shared" si="34"/>
        <v>0</v>
      </c>
      <c r="AD285" s="2">
        <f t="shared" si="31"/>
        <v>8</v>
      </c>
      <c r="AE285" s="2">
        <f t="shared" ca="1" si="32"/>
        <v>-44986.676271643519</v>
      </c>
      <c r="AF285" s="15"/>
    </row>
    <row r="286" spans="3:32">
      <c r="D286" s="1"/>
      <c r="E286" s="1"/>
      <c r="P286" s="11"/>
      <c r="U286" s="11"/>
      <c r="X286" s="13">
        <f t="shared" si="33"/>
        <v>0</v>
      </c>
      <c r="Y286" s="2">
        <f t="shared" ca="1" si="28"/>
        <v>32133</v>
      </c>
      <c r="Z286" s="14">
        <v>1</v>
      </c>
      <c r="AA286" s="1" t="str">
        <f t="shared" ca="1" si="29"/>
        <v>VENCIDO</v>
      </c>
      <c r="AB286" s="1" t="str">
        <f t="shared" si="30"/>
        <v>TAAe+</v>
      </c>
      <c r="AC286" s="2">
        <f t="shared" si="34"/>
        <v>0</v>
      </c>
      <c r="AD286" s="2">
        <f t="shared" si="31"/>
        <v>8</v>
      </c>
      <c r="AE286" s="2">
        <f t="shared" ca="1" si="32"/>
        <v>-44986.676271643519</v>
      </c>
      <c r="AF286" s="15"/>
    </row>
    <row r="287" spans="3:32">
      <c r="D287" s="1"/>
      <c r="E287" s="1"/>
      <c r="P287" s="11"/>
      <c r="U287" s="11"/>
      <c r="X287" s="13">
        <f t="shared" si="33"/>
        <v>0</v>
      </c>
      <c r="Y287" s="2">
        <f t="shared" ca="1" si="28"/>
        <v>32133</v>
      </c>
      <c r="Z287" s="14">
        <v>1</v>
      </c>
      <c r="AA287" s="1" t="str">
        <f t="shared" ca="1" si="29"/>
        <v>VENCIDO</v>
      </c>
      <c r="AB287" s="1" t="str">
        <f t="shared" si="30"/>
        <v>TAAe+</v>
      </c>
      <c r="AC287" s="2">
        <f t="shared" si="34"/>
        <v>0</v>
      </c>
      <c r="AD287" s="2">
        <f t="shared" si="31"/>
        <v>8</v>
      </c>
      <c r="AE287" s="2">
        <f t="shared" ca="1" si="32"/>
        <v>-44986.676271643519</v>
      </c>
      <c r="AF287" s="15"/>
    </row>
    <row r="288" spans="3:32">
      <c r="D288" s="1"/>
      <c r="E288" s="1"/>
      <c r="P288" s="11"/>
      <c r="U288" s="11"/>
      <c r="X288" s="13">
        <f t="shared" si="33"/>
        <v>0</v>
      </c>
      <c r="Y288" s="2">
        <f t="shared" ca="1" si="28"/>
        <v>32133</v>
      </c>
      <c r="Z288" s="14">
        <v>1</v>
      </c>
      <c r="AA288" s="1" t="str">
        <f t="shared" ca="1" si="29"/>
        <v>VENCIDO</v>
      </c>
      <c r="AB288" s="1" t="str">
        <f t="shared" si="30"/>
        <v>TAAe+</v>
      </c>
      <c r="AC288" s="2">
        <f t="shared" si="34"/>
        <v>0</v>
      </c>
      <c r="AD288" s="2">
        <f t="shared" si="31"/>
        <v>8</v>
      </c>
      <c r="AE288" s="2">
        <f t="shared" ca="1" si="32"/>
        <v>-44986.676271643519</v>
      </c>
      <c r="AF288" s="15"/>
    </row>
    <row r="289" spans="4:32">
      <c r="D289" s="1"/>
      <c r="E289" s="1"/>
      <c r="P289" s="11"/>
      <c r="U289" s="11"/>
      <c r="X289" s="13">
        <f t="shared" si="33"/>
        <v>0</v>
      </c>
      <c r="Y289" s="2">
        <f t="shared" ca="1" si="28"/>
        <v>32133</v>
      </c>
      <c r="Z289" s="14">
        <v>1</v>
      </c>
      <c r="AA289" s="1" t="str">
        <f t="shared" ca="1" si="29"/>
        <v>VENCIDO</v>
      </c>
      <c r="AB289" s="1" t="str">
        <f t="shared" si="30"/>
        <v>TAAe+</v>
      </c>
      <c r="AC289" s="2">
        <f t="shared" si="34"/>
        <v>0</v>
      </c>
      <c r="AD289" s="2">
        <f t="shared" si="31"/>
        <v>8</v>
      </c>
      <c r="AE289" s="2">
        <f t="shared" ca="1" si="32"/>
        <v>-44986.676271643519</v>
      </c>
      <c r="AF289" s="15"/>
    </row>
    <row r="290" spans="4:32">
      <c r="D290" s="1"/>
      <c r="E290" s="1"/>
      <c r="P290" s="11"/>
      <c r="U290" s="11"/>
      <c r="X290" s="13">
        <f t="shared" si="33"/>
        <v>0</v>
      </c>
      <c r="Y290" s="2">
        <f t="shared" ca="1" si="28"/>
        <v>32133</v>
      </c>
      <c r="Z290" s="14">
        <v>1</v>
      </c>
      <c r="AA290" s="1" t="str">
        <f t="shared" ca="1" si="29"/>
        <v>VENCIDO</v>
      </c>
      <c r="AB290" s="1" t="str">
        <f t="shared" si="30"/>
        <v>TAAe+</v>
      </c>
      <c r="AC290" s="2">
        <f t="shared" si="34"/>
        <v>0</v>
      </c>
      <c r="AD290" s="2">
        <f t="shared" si="31"/>
        <v>8</v>
      </c>
      <c r="AE290" s="2">
        <f t="shared" ca="1" si="32"/>
        <v>-44986.676271643519</v>
      </c>
      <c r="AF290" s="15"/>
    </row>
    <row r="291" spans="4:32">
      <c r="D291" s="1"/>
      <c r="E291" s="1"/>
      <c r="P291" s="11"/>
      <c r="U291" s="11"/>
      <c r="X291" s="13">
        <f t="shared" si="33"/>
        <v>0</v>
      </c>
      <c r="Y291" s="2">
        <f t="shared" ca="1" si="28"/>
        <v>32133</v>
      </c>
      <c r="Z291" s="14">
        <v>1</v>
      </c>
      <c r="AA291" s="1" t="str">
        <f t="shared" ca="1" si="29"/>
        <v>VENCIDO</v>
      </c>
      <c r="AB291" s="1" t="str">
        <f t="shared" si="30"/>
        <v>TAAe+</v>
      </c>
      <c r="AC291" s="2">
        <f t="shared" si="34"/>
        <v>0</v>
      </c>
      <c r="AD291" s="2">
        <f t="shared" si="31"/>
        <v>8</v>
      </c>
      <c r="AE291" s="2">
        <f t="shared" ca="1" si="32"/>
        <v>-44986.676271643519</v>
      </c>
      <c r="AF291" s="15"/>
    </row>
    <row r="292" spans="4:32">
      <c r="D292" s="1"/>
      <c r="E292" s="1"/>
      <c r="P292" s="11"/>
      <c r="U292" s="11"/>
      <c r="X292" s="13">
        <f t="shared" si="33"/>
        <v>0</v>
      </c>
      <c r="Y292" s="2">
        <f t="shared" ca="1" si="28"/>
        <v>32133</v>
      </c>
      <c r="Z292" s="14">
        <v>1</v>
      </c>
      <c r="AA292" s="1" t="str">
        <f t="shared" ca="1" si="29"/>
        <v>VENCIDO</v>
      </c>
      <c r="AB292" s="1" t="str">
        <f t="shared" si="30"/>
        <v>TAAe+</v>
      </c>
      <c r="AC292" s="2">
        <f t="shared" si="34"/>
        <v>0</v>
      </c>
      <c r="AD292" s="2">
        <f t="shared" si="31"/>
        <v>8</v>
      </c>
      <c r="AE292" s="2">
        <f t="shared" ca="1" si="32"/>
        <v>-44986.676271643519</v>
      </c>
      <c r="AF292" s="15"/>
    </row>
    <row r="293" spans="4:32">
      <c r="D293" s="1"/>
      <c r="E293" s="1"/>
      <c r="P293" s="11"/>
      <c r="U293" s="11"/>
      <c r="X293" s="13">
        <f t="shared" si="33"/>
        <v>0</v>
      </c>
      <c r="Y293" s="2">
        <f t="shared" ca="1" si="28"/>
        <v>32133</v>
      </c>
      <c r="Z293" s="14">
        <v>1</v>
      </c>
      <c r="AA293" s="1" t="str">
        <f t="shared" ca="1" si="29"/>
        <v>VENCIDO</v>
      </c>
      <c r="AB293" s="1" t="str">
        <f t="shared" si="30"/>
        <v>TAAe+</v>
      </c>
      <c r="AC293" s="2">
        <f t="shared" si="34"/>
        <v>0</v>
      </c>
      <c r="AD293" s="2">
        <f t="shared" si="31"/>
        <v>8</v>
      </c>
      <c r="AE293" s="2">
        <f t="shared" ca="1" si="32"/>
        <v>-44986.676271643519</v>
      </c>
      <c r="AF293" s="15"/>
    </row>
    <row r="294" spans="4:32">
      <c r="D294" s="1"/>
      <c r="E294" s="1"/>
      <c r="P294" s="11"/>
      <c r="U294" s="11"/>
      <c r="X294" s="13">
        <f t="shared" si="33"/>
        <v>0</v>
      </c>
      <c r="Y294" s="2">
        <f t="shared" ca="1" si="28"/>
        <v>32133</v>
      </c>
      <c r="Z294" s="14">
        <v>1</v>
      </c>
      <c r="AA294" s="1" t="str">
        <f t="shared" ca="1" si="29"/>
        <v>VENCIDO</v>
      </c>
      <c r="AB294" s="1" t="str">
        <f t="shared" si="30"/>
        <v>TAAe+</v>
      </c>
      <c r="AC294" s="2">
        <f t="shared" si="34"/>
        <v>0</v>
      </c>
      <c r="AD294" s="2">
        <f t="shared" si="31"/>
        <v>8</v>
      </c>
      <c r="AE294" s="2">
        <f t="shared" ca="1" si="32"/>
        <v>-44986.676271643519</v>
      </c>
      <c r="AF294" s="15"/>
    </row>
    <row r="295" spans="4:32">
      <c r="D295" s="1"/>
      <c r="E295" s="1"/>
      <c r="P295" s="11"/>
      <c r="U295" s="11"/>
      <c r="X295" s="13">
        <f t="shared" si="33"/>
        <v>0</v>
      </c>
      <c r="Y295" s="2">
        <f t="shared" ca="1" si="28"/>
        <v>32133</v>
      </c>
      <c r="Z295" s="14">
        <v>1</v>
      </c>
      <c r="AA295" s="1" t="str">
        <f t="shared" ca="1" si="29"/>
        <v>VENCIDO</v>
      </c>
      <c r="AB295" s="1" t="str">
        <f t="shared" si="30"/>
        <v>TAAe+</v>
      </c>
      <c r="AC295" s="2">
        <f t="shared" si="34"/>
        <v>0</v>
      </c>
      <c r="AD295" s="2">
        <f t="shared" si="31"/>
        <v>8</v>
      </c>
      <c r="AE295" s="2">
        <f t="shared" ca="1" si="32"/>
        <v>-44986.676271643519</v>
      </c>
      <c r="AF295" s="15"/>
    </row>
    <row r="296" spans="4:32">
      <c r="D296" s="1"/>
      <c r="E296" s="1"/>
      <c r="P296" s="11"/>
      <c r="U296" s="11"/>
      <c r="X296" s="13">
        <f t="shared" si="33"/>
        <v>0</v>
      </c>
      <c r="Y296" s="2">
        <f t="shared" ca="1" si="28"/>
        <v>32133</v>
      </c>
      <c r="Z296" s="14">
        <v>1</v>
      </c>
      <c r="AA296" s="1" t="str">
        <f t="shared" ca="1" si="29"/>
        <v>VENCIDO</v>
      </c>
      <c r="AB296" s="1" t="str">
        <f t="shared" si="30"/>
        <v>TAAe+</v>
      </c>
      <c r="AC296" s="2">
        <f t="shared" si="34"/>
        <v>0</v>
      </c>
      <c r="AD296" s="2">
        <f t="shared" si="31"/>
        <v>8</v>
      </c>
      <c r="AE296" s="2">
        <f t="shared" ca="1" si="32"/>
        <v>-44986.676271643519</v>
      </c>
      <c r="AF296" s="15"/>
    </row>
    <row r="297" spans="4:32">
      <c r="D297" s="1"/>
      <c r="E297" s="1"/>
      <c r="P297" s="11"/>
      <c r="U297" s="11"/>
      <c r="X297" s="13">
        <f t="shared" si="33"/>
        <v>0</v>
      </c>
      <c r="Y297" s="2">
        <f t="shared" ca="1" si="28"/>
        <v>32133</v>
      </c>
      <c r="Z297" s="14">
        <v>1</v>
      </c>
      <c r="AA297" s="1" t="str">
        <f t="shared" ca="1" si="29"/>
        <v>VENCIDO</v>
      </c>
      <c r="AB297" s="1" t="str">
        <f t="shared" si="30"/>
        <v>TAAe+</v>
      </c>
      <c r="AC297" s="2">
        <f t="shared" si="34"/>
        <v>0</v>
      </c>
      <c r="AD297" s="2">
        <f t="shared" si="31"/>
        <v>8</v>
      </c>
      <c r="AE297" s="2">
        <f t="shared" ca="1" si="32"/>
        <v>-44986.676271643519</v>
      </c>
      <c r="AF297" s="15"/>
    </row>
    <row r="298" spans="4:32">
      <c r="D298" s="1"/>
      <c r="E298" s="1"/>
      <c r="P298" s="11"/>
      <c r="U298" s="11"/>
      <c r="X298" s="13">
        <f t="shared" si="33"/>
        <v>0</v>
      </c>
      <c r="Y298" s="2">
        <f t="shared" ca="1" si="28"/>
        <v>32133</v>
      </c>
      <c r="Z298" s="14">
        <v>1</v>
      </c>
      <c r="AA298" s="1" t="str">
        <f t="shared" ca="1" si="29"/>
        <v>VENCIDO</v>
      </c>
      <c r="AB298" s="1" t="str">
        <f t="shared" si="30"/>
        <v>TAAe+</v>
      </c>
      <c r="AC298" s="2">
        <f t="shared" si="34"/>
        <v>0</v>
      </c>
      <c r="AD298" s="2">
        <f t="shared" si="31"/>
        <v>8</v>
      </c>
      <c r="AE298" s="2">
        <f t="shared" ca="1" si="32"/>
        <v>-44986.676271643519</v>
      </c>
      <c r="AF298" s="15"/>
    </row>
    <row r="299" spans="4:32">
      <c r="D299" s="1"/>
      <c r="E299" s="1"/>
      <c r="P299" s="11"/>
      <c r="U299" s="11"/>
      <c r="X299" s="13">
        <f t="shared" si="33"/>
        <v>0</v>
      </c>
      <c r="Y299" s="2">
        <f t="shared" ca="1" si="28"/>
        <v>32133</v>
      </c>
      <c r="Z299" s="14">
        <v>1</v>
      </c>
      <c r="AA299" s="1" t="str">
        <f t="shared" ca="1" si="29"/>
        <v>VENCIDO</v>
      </c>
      <c r="AB299" s="1" t="str">
        <f t="shared" si="30"/>
        <v>TAAe+</v>
      </c>
      <c r="AC299" s="2">
        <f t="shared" si="34"/>
        <v>0</v>
      </c>
      <c r="AD299" s="2">
        <f t="shared" si="31"/>
        <v>8</v>
      </c>
      <c r="AE299" s="2">
        <f t="shared" ca="1" si="32"/>
        <v>-44986.676271643519</v>
      </c>
      <c r="AF299" s="15"/>
    </row>
    <row r="300" spans="4:32">
      <c r="D300" s="1"/>
      <c r="E300" s="1"/>
      <c r="P300" s="11"/>
      <c r="U300" s="11"/>
      <c r="X300" s="13">
        <f t="shared" si="33"/>
        <v>0</v>
      </c>
      <c r="Y300" s="2">
        <f t="shared" ca="1" si="28"/>
        <v>32133</v>
      </c>
      <c r="Z300" s="14">
        <v>1</v>
      </c>
      <c r="AA300" s="1" t="str">
        <f t="shared" ca="1" si="29"/>
        <v>VENCIDO</v>
      </c>
      <c r="AB300" s="1" t="str">
        <f t="shared" si="30"/>
        <v>TAAe+</v>
      </c>
      <c r="AC300" s="2">
        <f t="shared" si="34"/>
        <v>0</v>
      </c>
      <c r="AD300" s="2">
        <f t="shared" si="31"/>
        <v>8</v>
      </c>
      <c r="AE300" s="2">
        <f t="shared" ca="1" si="32"/>
        <v>-44986.676271643519</v>
      </c>
      <c r="AF300" s="15"/>
    </row>
    <row r="301" spans="4:32">
      <c r="D301" s="1"/>
      <c r="E301" s="1"/>
      <c r="P301" s="11"/>
      <c r="U301" s="11"/>
      <c r="X301" s="13">
        <f t="shared" si="33"/>
        <v>0</v>
      </c>
      <c r="Y301" s="2">
        <f t="shared" ca="1" si="28"/>
        <v>32133</v>
      </c>
      <c r="Z301" s="14">
        <v>1</v>
      </c>
      <c r="AA301" s="1" t="str">
        <f t="shared" ca="1" si="29"/>
        <v>VENCIDO</v>
      </c>
      <c r="AB301" s="1" t="str">
        <f t="shared" si="30"/>
        <v>TAAe+</v>
      </c>
      <c r="AC301" s="2">
        <f t="shared" si="34"/>
        <v>0</v>
      </c>
      <c r="AD301" s="2">
        <f t="shared" si="31"/>
        <v>8</v>
      </c>
      <c r="AE301" s="2">
        <f t="shared" ca="1" si="32"/>
        <v>-44986.676271643519</v>
      </c>
      <c r="AF301" s="15"/>
    </row>
    <row r="302" spans="4:32">
      <c r="D302" s="1"/>
      <c r="E302" s="1"/>
      <c r="P302" s="11"/>
      <c r="U302" s="11"/>
      <c r="X302" s="13">
        <f t="shared" si="33"/>
        <v>0</v>
      </c>
      <c r="Y302" s="2">
        <f t="shared" ca="1" si="28"/>
        <v>32133</v>
      </c>
      <c r="Z302" s="14">
        <v>1</v>
      </c>
      <c r="AA302" s="1" t="str">
        <f t="shared" ca="1" si="29"/>
        <v>VENCIDO</v>
      </c>
      <c r="AB302" s="1" t="str">
        <f t="shared" si="30"/>
        <v>TAAe+</v>
      </c>
      <c r="AC302" s="2">
        <f t="shared" si="34"/>
        <v>0</v>
      </c>
      <c r="AD302" s="2">
        <f t="shared" si="31"/>
        <v>8</v>
      </c>
      <c r="AE302" s="2">
        <f t="shared" ca="1" si="32"/>
        <v>-44986.676271643519</v>
      </c>
      <c r="AF302" s="15"/>
    </row>
    <row r="303" spans="4:32">
      <c r="D303" s="1"/>
      <c r="E303" s="1"/>
      <c r="P303" s="11"/>
      <c r="U303" s="11"/>
      <c r="X303" s="13">
        <f t="shared" si="33"/>
        <v>0</v>
      </c>
      <c r="Y303" s="2">
        <f t="shared" ca="1" si="28"/>
        <v>32133</v>
      </c>
      <c r="Z303" s="14">
        <v>1</v>
      </c>
      <c r="AA303" s="1" t="str">
        <f t="shared" ca="1" si="29"/>
        <v>VENCIDO</v>
      </c>
      <c r="AB303" s="1" t="str">
        <f t="shared" si="30"/>
        <v>TAAe+</v>
      </c>
      <c r="AC303" s="2">
        <f t="shared" si="34"/>
        <v>0</v>
      </c>
      <c r="AD303" s="2">
        <f t="shared" si="31"/>
        <v>8</v>
      </c>
      <c r="AE303" s="2">
        <f t="shared" ca="1" si="32"/>
        <v>-44986.676271643519</v>
      </c>
      <c r="AF303" s="15"/>
    </row>
    <row r="304" spans="4:32">
      <c r="D304" s="1"/>
      <c r="E304" s="1"/>
      <c r="P304" s="11"/>
      <c r="U304" s="11"/>
      <c r="X304" s="13">
        <f t="shared" si="33"/>
        <v>0</v>
      </c>
      <c r="Y304" s="2">
        <f t="shared" ca="1" si="28"/>
        <v>32133</v>
      </c>
      <c r="Z304" s="14">
        <v>1</v>
      </c>
      <c r="AA304" s="1" t="str">
        <f t="shared" ca="1" si="29"/>
        <v>VENCIDO</v>
      </c>
      <c r="AB304" s="1" t="str">
        <f t="shared" si="30"/>
        <v>TAAe+</v>
      </c>
      <c r="AC304" s="2">
        <f t="shared" si="34"/>
        <v>0</v>
      </c>
      <c r="AD304" s="2">
        <f t="shared" si="31"/>
        <v>8</v>
      </c>
      <c r="AE304" s="2">
        <f t="shared" ca="1" si="32"/>
        <v>-44986.676271643519</v>
      </c>
      <c r="AF304" s="15"/>
    </row>
    <row r="305" spans="3:32">
      <c r="D305" s="1"/>
      <c r="E305" s="1"/>
      <c r="P305" s="11"/>
      <c r="U305" s="11"/>
      <c r="X305" s="13">
        <f t="shared" si="33"/>
        <v>0</v>
      </c>
      <c r="Y305" s="2">
        <f t="shared" ca="1" si="28"/>
        <v>32133</v>
      </c>
      <c r="Z305" s="14">
        <v>1</v>
      </c>
      <c r="AA305" s="1" t="str">
        <f t="shared" ca="1" si="29"/>
        <v>VENCIDO</v>
      </c>
      <c r="AB305" s="1" t="str">
        <f t="shared" si="30"/>
        <v>TAAe+</v>
      </c>
      <c r="AC305" s="2">
        <f t="shared" si="34"/>
        <v>0</v>
      </c>
      <c r="AD305" s="2">
        <f t="shared" si="31"/>
        <v>8</v>
      </c>
      <c r="AE305" s="2">
        <f t="shared" ca="1" si="32"/>
        <v>-44986.676271643519</v>
      </c>
      <c r="AF305" s="15"/>
    </row>
    <row r="306" spans="3:32">
      <c r="D306" s="1"/>
      <c r="E306" s="1"/>
      <c r="P306" s="11"/>
      <c r="U306" s="11"/>
      <c r="X306" s="13">
        <f t="shared" si="33"/>
        <v>0</v>
      </c>
      <c r="Y306" s="2">
        <f t="shared" ca="1" si="28"/>
        <v>32133</v>
      </c>
      <c r="Z306" s="14">
        <v>1</v>
      </c>
      <c r="AA306" s="1" t="str">
        <f t="shared" ca="1" si="29"/>
        <v>VENCIDO</v>
      </c>
      <c r="AB306" s="1" t="str">
        <f t="shared" si="30"/>
        <v>TAAe+</v>
      </c>
      <c r="AC306" s="2">
        <f t="shared" si="34"/>
        <v>0</v>
      </c>
      <c r="AD306" s="2">
        <f t="shared" si="31"/>
        <v>8</v>
      </c>
      <c r="AE306" s="2">
        <f t="shared" ca="1" si="32"/>
        <v>-44986.676271643519</v>
      </c>
      <c r="AF306" s="15"/>
    </row>
    <row r="307" spans="3:32">
      <c r="D307" s="1"/>
      <c r="E307" s="1"/>
      <c r="P307" s="11"/>
      <c r="U307" s="11"/>
      <c r="X307" s="13">
        <f t="shared" si="33"/>
        <v>0</v>
      </c>
      <c r="Y307" s="2">
        <f t="shared" ca="1" si="28"/>
        <v>32133</v>
      </c>
      <c r="Z307" s="14">
        <v>1</v>
      </c>
      <c r="AA307" s="1" t="str">
        <f t="shared" ca="1" si="29"/>
        <v>VENCIDO</v>
      </c>
      <c r="AB307" s="1" t="str">
        <f t="shared" si="30"/>
        <v>TAAe+</v>
      </c>
      <c r="AC307" s="2">
        <f t="shared" si="34"/>
        <v>0</v>
      </c>
      <c r="AD307" s="2">
        <f t="shared" si="31"/>
        <v>8</v>
      </c>
      <c r="AE307" s="2">
        <f t="shared" ca="1" si="32"/>
        <v>-44986.676271643519</v>
      </c>
      <c r="AF307" s="15"/>
    </row>
    <row r="308" spans="3:32">
      <c r="D308" s="1"/>
      <c r="E308" s="1"/>
      <c r="P308" s="11"/>
      <c r="U308" s="11"/>
      <c r="X308" s="13">
        <f t="shared" si="33"/>
        <v>0</v>
      </c>
      <c r="Y308" s="2">
        <f t="shared" ca="1" si="28"/>
        <v>32133</v>
      </c>
      <c r="Z308" s="14">
        <v>1</v>
      </c>
      <c r="AA308" s="1" t="str">
        <f t="shared" ca="1" si="29"/>
        <v>VENCIDO</v>
      </c>
      <c r="AB308" s="1" t="str">
        <f t="shared" si="30"/>
        <v>TAAe+</v>
      </c>
      <c r="AC308" s="2">
        <f t="shared" si="34"/>
        <v>0</v>
      </c>
      <c r="AD308" s="2">
        <f t="shared" si="31"/>
        <v>8</v>
      </c>
      <c r="AE308" s="2">
        <f t="shared" ca="1" si="32"/>
        <v>-44986.676271643519</v>
      </c>
      <c r="AF308" s="15"/>
    </row>
    <row r="309" spans="3:32">
      <c r="D309" s="1"/>
      <c r="E309" s="1"/>
      <c r="P309" s="11"/>
      <c r="U309" s="11"/>
      <c r="X309" s="13">
        <f t="shared" si="33"/>
        <v>0</v>
      </c>
      <c r="Y309" s="2">
        <f t="shared" ca="1" si="28"/>
        <v>32133</v>
      </c>
      <c r="Z309" s="14">
        <v>1</v>
      </c>
      <c r="AA309" s="1" t="str">
        <f t="shared" ca="1" si="29"/>
        <v>VENCIDO</v>
      </c>
      <c r="AB309" s="1" t="str">
        <f t="shared" si="30"/>
        <v>TAAe+</v>
      </c>
      <c r="AC309" s="2">
        <f t="shared" si="34"/>
        <v>0</v>
      </c>
      <c r="AD309" s="2">
        <f t="shared" si="31"/>
        <v>8</v>
      </c>
      <c r="AE309" s="2">
        <f t="shared" ca="1" si="32"/>
        <v>-44986.676271643519</v>
      </c>
      <c r="AF309" s="15"/>
    </row>
    <row r="310" spans="3:32">
      <c r="D310" s="1"/>
      <c r="E310" s="1"/>
      <c r="P310" s="11"/>
      <c r="U310" s="11"/>
      <c r="X310" s="13">
        <f t="shared" si="33"/>
        <v>0</v>
      </c>
      <c r="Y310" s="2">
        <f t="shared" ca="1" si="28"/>
        <v>32133</v>
      </c>
      <c r="Z310" s="14">
        <v>1</v>
      </c>
      <c r="AA310" s="1" t="str">
        <f t="shared" ca="1" si="29"/>
        <v>VENCIDO</v>
      </c>
      <c r="AB310" s="1" t="str">
        <f t="shared" si="30"/>
        <v>TAAe+</v>
      </c>
      <c r="AC310" s="2">
        <f t="shared" si="34"/>
        <v>0</v>
      </c>
      <c r="AD310" s="2">
        <f t="shared" si="31"/>
        <v>8</v>
      </c>
      <c r="AE310" s="2">
        <f t="shared" ca="1" si="32"/>
        <v>-44986.676271643519</v>
      </c>
      <c r="AF310" s="15"/>
    </row>
    <row r="311" spans="3:32">
      <c r="D311" s="1"/>
      <c r="E311" s="1"/>
      <c r="P311" s="11"/>
      <c r="U311" s="11"/>
      <c r="X311" s="13">
        <f t="shared" si="33"/>
        <v>0</v>
      </c>
      <c r="Y311" s="2">
        <f t="shared" ca="1" si="28"/>
        <v>32133</v>
      </c>
      <c r="Z311" s="14">
        <v>1</v>
      </c>
      <c r="AA311" s="1" t="str">
        <f t="shared" ca="1" si="29"/>
        <v>VENCIDO</v>
      </c>
      <c r="AB311" s="1" t="str">
        <f t="shared" si="30"/>
        <v>TAAe+</v>
      </c>
      <c r="AC311" s="2">
        <f t="shared" si="34"/>
        <v>0</v>
      </c>
      <c r="AD311" s="2">
        <f t="shared" si="31"/>
        <v>8</v>
      </c>
      <c r="AE311" s="2">
        <f t="shared" ca="1" si="32"/>
        <v>-44986.676271643519</v>
      </c>
      <c r="AF311" s="15"/>
    </row>
    <row r="312" spans="3:32">
      <c r="D312" s="1"/>
      <c r="E312" s="1"/>
      <c r="P312" s="11"/>
      <c r="U312" s="11"/>
      <c r="X312" s="13">
        <f t="shared" si="33"/>
        <v>0</v>
      </c>
      <c r="Y312" s="2">
        <f t="shared" ca="1" si="28"/>
        <v>32133</v>
      </c>
      <c r="Z312" s="14">
        <v>1</v>
      </c>
      <c r="AA312" s="1" t="str">
        <f t="shared" ca="1" si="29"/>
        <v>VENCIDO</v>
      </c>
      <c r="AB312" s="1" t="str">
        <f t="shared" si="30"/>
        <v>TAAe+</v>
      </c>
      <c r="AC312" s="2">
        <f t="shared" si="34"/>
        <v>0</v>
      </c>
      <c r="AD312" s="2">
        <f t="shared" si="31"/>
        <v>8</v>
      </c>
      <c r="AE312" s="2">
        <f t="shared" ca="1" si="32"/>
        <v>-44986.676271643519</v>
      </c>
      <c r="AF312" s="15"/>
    </row>
    <row r="313" spans="3:32">
      <c r="C313" s="23"/>
      <c r="D313" s="1"/>
      <c r="E313" s="1"/>
      <c r="P313" s="11"/>
      <c r="U313" s="11"/>
      <c r="X313" s="13">
        <f t="shared" si="33"/>
        <v>0</v>
      </c>
      <c r="Y313" s="2">
        <f t="shared" ca="1" si="28"/>
        <v>32133</v>
      </c>
      <c r="Z313" s="14">
        <v>1</v>
      </c>
      <c r="AA313" s="1" t="str">
        <f t="shared" ca="1" si="29"/>
        <v>VENCIDO</v>
      </c>
      <c r="AB313" s="1" t="str">
        <f t="shared" si="30"/>
        <v>TAAe+</v>
      </c>
      <c r="AC313" s="2">
        <f t="shared" si="34"/>
        <v>0</v>
      </c>
      <c r="AD313" s="2">
        <f t="shared" si="31"/>
        <v>8</v>
      </c>
      <c r="AE313" s="2">
        <f t="shared" ca="1" si="32"/>
        <v>-44986.676271643519</v>
      </c>
      <c r="AF313" s="15"/>
    </row>
    <row r="314" spans="3:32">
      <c r="C314" s="23"/>
      <c r="D314" s="1"/>
      <c r="E314" s="1"/>
      <c r="P314" s="11"/>
      <c r="U314" s="11"/>
      <c r="X314" s="13">
        <f t="shared" si="33"/>
        <v>0</v>
      </c>
      <c r="Y314" s="2">
        <f t="shared" ca="1" si="28"/>
        <v>32133</v>
      </c>
      <c r="Z314" s="14">
        <v>1</v>
      </c>
      <c r="AA314" s="1" t="str">
        <f t="shared" ca="1" si="29"/>
        <v>VENCIDO</v>
      </c>
      <c r="AB314" s="1" t="str">
        <f t="shared" si="30"/>
        <v>TAAe+</v>
      </c>
      <c r="AC314" s="2">
        <f t="shared" si="34"/>
        <v>0</v>
      </c>
      <c r="AD314" s="2">
        <f t="shared" si="31"/>
        <v>8</v>
      </c>
      <c r="AE314" s="2">
        <f t="shared" ca="1" si="32"/>
        <v>-44986.676271643519</v>
      </c>
      <c r="AF314" s="15"/>
    </row>
    <row r="315" spans="3:32">
      <c r="D315" s="1"/>
      <c r="E315" s="1"/>
      <c r="P315" s="11"/>
      <c r="X315" s="13">
        <f t="shared" si="33"/>
        <v>0</v>
      </c>
      <c r="Y315" s="2">
        <f t="shared" ca="1" si="28"/>
        <v>32133</v>
      </c>
      <c r="Z315" s="14">
        <v>1</v>
      </c>
      <c r="AA315" s="1" t="str">
        <f t="shared" ca="1" si="29"/>
        <v>VENCIDO</v>
      </c>
      <c r="AB315" s="1" t="str">
        <f t="shared" si="30"/>
        <v>TAAe+</v>
      </c>
      <c r="AC315" s="2">
        <f t="shared" si="34"/>
        <v>0</v>
      </c>
      <c r="AD315" s="2">
        <f t="shared" si="31"/>
        <v>8</v>
      </c>
      <c r="AE315" s="2">
        <f t="shared" ca="1" si="32"/>
        <v>-44986.676271643519</v>
      </c>
      <c r="AF315" s="15"/>
    </row>
    <row r="316" spans="3:32">
      <c r="D316" s="1"/>
      <c r="E316" s="1"/>
      <c r="P316" s="11"/>
      <c r="X316" s="13">
        <f t="shared" si="33"/>
        <v>0</v>
      </c>
      <c r="Y316" s="2">
        <f t="shared" ca="1" si="28"/>
        <v>32133</v>
      </c>
      <c r="Z316" s="14">
        <v>1</v>
      </c>
      <c r="AA316" s="1" t="str">
        <f t="shared" ca="1" si="29"/>
        <v>VENCIDO</v>
      </c>
      <c r="AB316" s="1" t="str">
        <f t="shared" si="30"/>
        <v>TAAe+</v>
      </c>
      <c r="AC316" s="2">
        <f t="shared" si="34"/>
        <v>0</v>
      </c>
      <c r="AD316" s="2">
        <f t="shared" si="31"/>
        <v>8</v>
      </c>
      <c r="AE316" s="2">
        <f t="shared" ca="1" si="32"/>
        <v>-44986.676271643519</v>
      </c>
      <c r="AF316" s="15"/>
    </row>
    <row r="317" spans="3:32">
      <c r="D317" s="1"/>
      <c r="E317" s="1"/>
      <c r="P317" s="11"/>
      <c r="X317" s="13">
        <f t="shared" si="33"/>
        <v>0</v>
      </c>
      <c r="Y317" s="2">
        <f t="shared" ca="1" si="28"/>
        <v>32133</v>
      </c>
      <c r="Z317" s="14">
        <v>1</v>
      </c>
      <c r="AA317" s="1" t="str">
        <f t="shared" ca="1" si="29"/>
        <v>VENCIDO</v>
      </c>
      <c r="AB317" s="1" t="str">
        <f t="shared" si="30"/>
        <v>TAAe+</v>
      </c>
      <c r="AC317" s="2">
        <f t="shared" si="34"/>
        <v>0</v>
      </c>
      <c r="AD317" s="2">
        <f t="shared" si="31"/>
        <v>8</v>
      </c>
      <c r="AE317" s="2">
        <f t="shared" ca="1" si="32"/>
        <v>-44986.676271643519</v>
      </c>
      <c r="AF317" s="15"/>
    </row>
    <row r="318" spans="3:32">
      <c r="D318" s="1"/>
      <c r="E318" s="1"/>
      <c r="P318" s="11"/>
      <c r="X318" s="13">
        <f t="shared" si="33"/>
        <v>0</v>
      </c>
      <c r="Y318" s="2">
        <f t="shared" ca="1" si="28"/>
        <v>32133</v>
      </c>
      <c r="Z318" s="14">
        <v>1</v>
      </c>
      <c r="AA318" s="1" t="str">
        <f t="shared" ca="1" si="29"/>
        <v>VENCIDO</v>
      </c>
      <c r="AB318" s="1" t="str">
        <f t="shared" si="30"/>
        <v>TAAe+</v>
      </c>
      <c r="AC318" s="2">
        <f t="shared" si="34"/>
        <v>0</v>
      </c>
      <c r="AD318" s="2">
        <f t="shared" si="31"/>
        <v>8</v>
      </c>
      <c r="AE318" s="2">
        <f t="shared" ca="1" si="32"/>
        <v>-44986.676271643519</v>
      </c>
      <c r="AF318" s="15"/>
    </row>
    <row r="319" spans="3:32">
      <c r="D319" s="1"/>
      <c r="E319" s="1"/>
      <c r="P319" s="11"/>
      <c r="X319" s="13">
        <f t="shared" si="33"/>
        <v>0</v>
      </c>
      <c r="Y319" s="2">
        <f t="shared" ca="1" si="28"/>
        <v>32133</v>
      </c>
      <c r="Z319" s="14">
        <v>1</v>
      </c>
      <c r="AA319" s="1" t="str">
        <f t="shared" ca="1" si="29"/>
        <v>VENCIDO</v>
      </c>
      <c r="AB319" s="1" t="str">
        <f t="shared" si="30"/>
        <v>TAAe+</v>
      </c>
      <c r="AC319" s="2">
        <f t="shared" si="34"/>
        <v>0</v>
      </c>
      <c r="AD319" s="2">
        <f t="shared" si="31"/>
        <v>8</v>
      </c>
      <c r="AE319" s="2">
        <f t="shared" ca="1" si="32"/>
        <v>-44986.676271643519</v>
      </c>
      <c r="AF319" s="15"/>
    </row>
    <row r="320" spans="3:32">
      <c r="D320" s="1"/>
      <c r="E320" s="1"/>
      <c r="P320" s="11"/>
      <c r="X320" s="13">
        <f t="shared" si="33"/>
        <v>0</v>
      </c>
      <c r="Y320" s="2">
        <f t="shared" ca="1" si="28"/>
        <v>32133</v>
      </c>
      <c r="Z320" s="14">
        <v>1</v>
      </c>
      <c r="AA320" s="1" t="str">
        <f t="shared" ca="1" si="29"/>
        <v>VENCIDO</v>
      </c>
      <c r="AB320" s="1" t="str">
        <f t="shared" si="30"/>
        <v>TAAe+</v>
      </c>
      <c r="AC320" s="2">
        <f t="shared" si="34"/>
        <v>0</v>
      </c>
      <c r="AD320" s="2">
        <f t="shared" si="31"/>
        <v>8</v>
      </c>
      <c r="AE320" s="2">
        <f t="shared" ca="1" si="32"/>
        <v>-44986.676271643519</v>
      </c>
      <c r="AF320" s="15"/>
    </row>
    <row r="321" spans="3:32">
      <c r="D321" s="1"/>
      <c r="E321" s="1"/>
      <c r="P321" s="11"/>
      <c r="X321" s="13">
        <f t="shared" si="33"/>
        <v>0</v>
      </c>
      <c r="Y321" s="2">
        <f t="shared" ca="1" si="28"/>
        <v>32133</v>
      </c>
      <c r="Z321" s="14">
        <v>1</v>
      </c>
      <c r="AA321" s="1" t="str">
        <f t="shared" ca="1" si="29"/>
        <v>VENCIDO</v>
      </c>
      <c r="AB321" s="1" t="str">
        <f t="shared" si="30"/>
        <v>TAAe+</v>
      </c>
      <c r="AC321" s="2">
        <f t="shared" si="34"/>
        <v>0</v>
      </c>
      <c r="AD321" s="2">
        <f t="shared" si="31"/>
        <v>8</v>
      </c>
      <c r="AE321" s="2">
        <f t="shared" ca="1" si="32"/>
        <v>-44986.676271643519</v>
      </c>
      <c r="AF321" s="15"/>
    </row>
    <row r="322" spans="3:32">
      <c r="D322" s="1"/>
      <c r="E322" s="1"/>
      <c r="P322" s="11"/>
      <c r="X322" s="13">
        <f t="shared" si="33"/>
        <v>0</v>
      </c>
      <c r="Y322" s="2">
        <f t="shared" ref="Y322:Y385" ca="1" si="35">NETWORKDAYS(P322,$Y$1)</f>
        <v>32133</v>
      </c>
      <c r="Z322" s="14">
        <v>1</v>
      </c>
      <c r="AA322" s="1" t="str">
        <f t="shared" ref="AA322:AA385" ca="1" si="36">IF(AE322=0,"HOJE",IF(AE322&gt;0,"A VENCER",IF(AE322&lt;0,"VENCIDO")))</f>
        <v>VENCIDO</v>
      </c>
      <c r="AB322" s="1" t="str">
        <f t="shared" ref="AB322:AB385" si="37">IF(F322="GRPE-000001","C-14",IF(F322="GRPE-000002","C-14",IF(F322="GRPE-000003","C-14",IF(F322="GRPE-000004","SL-On",IF(F322="GRPE-000038","C-14",IF(F322="GRPE-900022","Dosa",IF(F322="GRPE-000029","Dosa",IF(F322="ATOS-000222","Dose","TAAe+"))))))))</f>
        <v>TAAe+</v>
      </c>
      <c r="AC322" s="2">
        <f t="shared" si="34"/>
        <v>0</v>
      </c>
      <c r="AD322" s="2">
        <f t="shared" ref="AD322:AD385" si="38">IF(F322="GRPE-000001",5,IF(F322="GRPE-000002",5,IF(F322="GRPE-000003",15,IF(F322="GRPE-000004",1,IF(F322="GRPE-000038",5,IF(F322="GRPE-900022",5,IF(F322="GRPE-000029",5,IF(F322="ATOS-000222",5,8))))))))</f>
        <v>8</v>
      </c>
      <c r="AE322" s="2">
        <f t="shared" ref="AE322:AE385" ca="1" si="39">IF(U322=$AE$1,"",U322-$AE$1)</f>
        <v>-44986.676271643519</v>
      </c>
      <c r="AF322" s="15"/>
    </row>
    <row r="323" spans="3:32">
      <c r="D323" s="1"/>
      <c r="E323" s="1"/>
      <c r="P323" s="11"/>
      <c r="X323" s="13">
        <f t="shared" ref="X323:X386" si="40">IF(RIGHT(H323,2)&lt;&gt;"00",H323,"")</f>
        <v>0</v>
      </c>
      <c r="Y323" s="2">
        <f t="shared" ca="1" si="35"/>
        <v>32133</v>
      </c>
      <c r="Z323" s="14">
        <v>1</v>
      </c>
      <c r="AA323" s="1" t="str">
        <f t="shared" ca="1" si="36"/>
        <v>VENCIDO</v>
      </c>
      <c r="AB323" s="1" t="str">
        <f t="shared" si="37"/>
        <v>TAAe+</v>
      </c>
      <c r="AC323" s="2">
        <f t="shared" ref="AC323:AC386" si="41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>0</v>
      </c>
      <c r="AD323" s="2">
        <f t="shared" si="38"/>
        <v>8</v>
      </c>
      <c r="AE323" s="2">
        <f t="shared" ca="1" si="39"/>
        <v>-44986.676271643519</v>
      </c>
      <c r="AF323" s="15"/>
    </row>
    <row r="324" spans="3:32">
      <c r="D324" s="1"/>
      <c r="E324" s="1"/>
      <c r="P324" s="11"/>
      <c r="U324" s="11"/>
      <c r="X324" s="13">
        <f t="shared" si="40"/>
        <v>0</v>
      </c>
      <c r="Y324" s="2">
        <f t="shared" ca="1" si="35"/>
        <v>32133</v>
      </c>
      <c r="Z324" s="14">
        <v>1</v>
      </c>
      <c r="AA324" s="1" t="str">
        <f t="shared" ca="1" si="36"/>
        <v>VENCIDO</v>
      </c>
      <c r="AB324" s="1" t="str">
        <f t="shared" si="37"/>
        <v>TAAe+</v>
      </c>
      <c r="AC324" s="2">
        <f t="shared" si="41"/>
        <v>0</v>
      </c>
      <c r="AD324" s="2">
        <f t="shared" si="38"/>
        <v>8</v>
      </c>
      <c r="AE324" s="2">
        <f t="shared" ca="1" si="39"/>
        <v>-44986.676271643519</v>
      </c>
      <c r="AF324" s="15"/>
    </row>
    <row r="325" spans="3:32">
      <c r="D325" s="1"/>
      <c r="E325" s="1"/>
      <c r="P325" s="11"/>
      <c r="X325" s="13">
        <f t="shared" si="40"/>
        <v>0</v>
      </c>
      <c r="Y325" s="2">
        <f t="shared" ca="1" si="35"/>
        <v>32133</v>
      </c>
      <c r="Z325" s="14">
        <v>1</v>
      </c>
      <c r="AA325" s="1" t="str">
        <f t="shared" ca="1" si="36"/>
        <v>VENCIDO</v>
      </c>
      <c r="AB325" s="1" t="str">
        <f t="shared" si="37"/>
        <v>TAAe+</v>
      </c>
      <c r="AC325" s="2">
        <f t="shared" si="41"/>
        <v>0</v>
      </c>
      <c r="AD325" s="2">
        <f t="shared" si="38"/>
        <v>8</v>
      </c>
      <c r="AE325" s="2">
        <f t="shared" ca="1" si="39"/>
        <v>-44986.676271643519</v>
      </c>
      <c r="AF325" s="15"/>
    </row>
    <row r="326" spans="3:32">
      <c r="D326" s="1"/>
      <c r="E326" s="1"/>
      <c r="P326" s="11"/>
      <c r="X326" s="13">
        <f t="shared" si="40"/>
        <v>0</v>
      </c>
      <c r="Y326" s="2">
        <f t="shared" ca="1" si="35"/>
        <v>32133</v>
      </c>
      <c r="Z326" s="14">
        <v>1</v>
      </c>
      <c r="AA326" s="1" t="str">
        <f t="shared" ca="1" si="36"/>
        <v>VENCIDO</v>
      </c>
      <c r="AB326" s="1" t="str">
        <f t="shared" si="37"/>
        <v>TAAe+</v>
      </c>
      <c r="AC326" s="2">
        <f t="shared" si="41"/>
        <v>0</v>
      </c>
      <c r="AD326" s="2">
        <f t="shared" si="38"/>
        <v>8</v>
      </c>
      <c r="AE326" s="2">
        <f t="shared" ca="1" si="39"/>
        <v>-44986.676271643519</v>
      </c>
      <c r="AF326" s="15"/>
    </row>
    <row r="327" spans="3:32">
      <c r="D327" s="1"/>
      <c r="E327" s="1"/>
      <c r="P327" s="11"/>
      <c r="U327" s="11"/>
      <c r="X327" s="13">
        <f t="shared" si="40"/>
        <v>0</v>
      </c>
      <c r="Y327" s="2">
        <f t="shared" ca="1" si="35"/>
        <v>32133</v>
      </c>
      <c r="Z327" s="14">
        <v>1</v>
      </c>
      <c r="AA327" s="1" t="str">
        <f t="shared" ca="1" si="36"/>
        <v>VENCIDO</v>
      </c>
      <c r="AB327" s="1" t="str">
        <f t="shared" si="37"/>
        <v>TAAe+</v>
      </c>
      <c r="AC327" s="2">
        <f t="shared" si="41"/>
        <v>0</v>
      </c>
      <c r="AD327" s="2">
        <f t="shared" si="38"/>
        <v>8</v>
      </c>
      <c r="AE327" s="2">
        <f t="shared" ca="1" si="39"/>
        <v>-44986.676271643519</v>
      </c>
      <c r="AF327" s="15"/>
    </row>
    <row r="328" spans="3:32">
      <c r="D328" s="1"/>
      <c r="E328" s="1"/>
      <c r="P328" s="11"/>
      <c r="U328" s="11"/>
      <c r="X328" s="13">
        <f t="shared" si="40"/>
        <v>0</v>
      </c>
      <c r="Y328" s="2">
        <f t="shared" ca="1" si="35"/>
        <v>32133</v>
      </c>
      <c r="Z328" s="14">
        <v>1</v>
      </c>
      <c r="AA328" s="1" t="str">
        <f t="shared" ca="1" si="36"/>
        <v>VENCIDO</v>
      </c>
      <c r="AB328" s="1" t="str">
        <f t="shared" si="37"/>
        <v>TAAe+</v>
      </c>
      <c r="AC328" s="2">
        <f t="shared" si="41"/>
        <v>0</v>
      </c>
      <c r="AD328" s="2">
        <f t="shared" si="38"/>
        <v>8</v>
      </c>
      <c r="AE328" s="2">
        <f t="shared" ca="1" si="39"/>
        <v>-44986.676271643519</v>
      </c>
      <c r="AF328" s="15"/>
    </row>
    <row r="329" spans="3:32">
      <c r="D329" s="1"/>
      <c r="E329" s="1"/>
      <c r="P329" s="11"/>
      <c r="U329" s="11"/>
      <c r="X329" s="13">
        <f t="shared" si="40"/>
        <v>0</v>
      </c>
      <c r="Y329" s="2">
        <f t="shared" ca="1" si="35"/>
        <v>32133</v>
      </c>
      <c r="Z329" s="14">
        <v>1</v>
      </c>
      <c r="AA329" s="1" t="str">
        <f t="shared" ca="1" si="36"/>
        <v>VENCIDO</v>
      </c>
      <c r="AB329" s="1" t="str">
        <f t="shared" si="37"/>
        <v>TAAe+</v>
      </c>
      <c r="AC329" s="2">
        <f t="shared" si="41"/>
        <v>0</v>
      </c>
      <c r="AD329" s="2">
        <f t="shared" si="38"/>
        <v>8</v>
      </c>
      <c r="AE329" s="2">
        <f t="shared" ca="1" si="39"/>
        <v>-44986.676271643519</v>
      </c>
      <c r="AF329" s="15"/>
    </row>
    <row r="330" spans="3:32">
      <c r="D330" s="1"/>
      <c r="E330" s="1"/>
      <c r="P330" s="11"/>
      <c r="U330" s="11"/>
      <c r="X330" s="13">
        <f t="shared" si="40"/>
        <v>0</v>
      </c>
      <c r="Y330" s="2">
        <f t="shared" ca="1" si="35"/>
        <v>32133</v>
      </c>
      <c r="Z330" s="14">
        <v>1</v>
      </c>
      <c r="AA330" s="1" t="str">
        <f t="shared" ca="1" si="36"/>
        <v>VENCIDO</v>
      </c>
      <c r="AB330" s="1" t="str">
        <f t="shared" si="37"/>
        <v>TAAe+</v>
      </c>
      <c r="AC330" s="2">
        <f t="shared" si="41"/>
        <v>0</v>
      </c>
      <c r="AD330" s="2">
        <f t="shared" si="38"/>
        <v>8</v>
      </c>
      <c r="AE330" s="2">
        <f t="shared" ca="1" si="39"/>
        <v>-44986.676271643519</v>
      </c>
      <c r="AF330" s="15"/>
    </row>
    <row r="331" spans="3:32">
      <c r="D331" s="1"/>
      <c r="E331" s="1"/>
      <c r="P331" s="11"/>
      <c r="U331" s="11"/>
      <c r="X331" s="13">
        <f t="shared" si="40"/>
        <v>0</v>
      </c>
      <c r="Y331" s="2">
        <f t="shared" ca="1" si="35"/>
        <v>32133</v>
      </c>
      <c r="Z331" s="14">
        <v>1</v>
      </c>
      <c r="AA331" s="1" t="str">
        <f t="shared" ca="1" si="36"/>
        <v>VENCIDO</v>
      </c>
      <c r="AB331" s="1" t="str">
        <f t="shared" si="37"/>
        <v>TAAe+</v>
      </c>
      <c r="AC331" s="2">
        <f t="shared" si="41"/>
        <v>0</v>
      </c>
      <c r="AD331" s="2">
        <f t="shared" si="38"/>
        <v>8</v>
      </c>
      <c r="AE331" s="2">
        <f t="shared" ca="1" si="39"/>
        <v>-44986.676271643519</v>
      </c>
      <c r="AF331" s="15"/>
    </row>
    <row r="332" spans="3:32">
      <c r="D332" s="1"/>
      <c r="E332" s="1"/>
      <c r="P332" s="11"/>
      <c r="U332" s="11"/>
      <c r="X332" s="13">
        <f t="shared" si="40"/>
        <v>0</v>
      </c>
      <c r="Y332" s="2">
        <f t="shared" ca="1" si="35"/>
        <v>32133</v>
      </c>
      <c r="Z332" s="14">
        <v>1</v>
      </c>
      <c r="AA332" s="1" t="str">
        <f t="shared" ca="1" si="36"/>
        <v>VENCIDO</v>
      </c>
      <c r="AB332" s="1" t="str">
        <f t="shared" si="37"/>
        <v>TAAe+</v>
      </c>
      <c r="AC332" s="2">
        <f t="shared" si="41"/>
        <v>0</v>
      </c>
      <c r="AD332" s="2">
        <f t="shared" si="38"/>
        <v>8</v>
      </c>
      <c r="AE332" s="2">
        <f t="shared" ca="1" si="39"/>
        <v>-44986.676271643519</v>
      </c>
      <c r="AF332" s="15"/>
    </row>
    <row r="333" spans="3:32">
      <c r="D333" s="1"/>
      <c r="E333" s="1"/>
      <c r="P333" s="11"/>
      <c r="U333" s="11"/>
      <c r="X333" s="13">
        <f t="shared" si="40"/>
        <v>0</v>
      </c>
      <c r="Y333" s="2">
        <f t="shared" ca="1" si="35"/>
        <v>32133</v>
      </c>
      <c r="Z333" s="14">
        <v>1</v>
      </c>
      <c r="AA333" s="1" t="str">
        <f t="shared" ca="1" si="36"/>
        <v>VENCIDO</v>
      </c>
      <c r="AB333" s="1" t="str">
        <f t="shared" si="37"/>
        <v>TAAe+</v>
      </c>
      <c r="AC333" s="2">
        <f t="shared" si="41"/>
        <v>0</v>
      </c>
      <c r="AD333" s="2">
        <f t="shared" si="38"/>
        <v>8</v>
      </c>
      <c r="AE333" s="2">
        <f t="shared" ca="1" si="39"/>
        <v>-44986.676271643519</v>
      </c>
      <c r="AF333" s="15"/>
    </row>
    <row r="334" spans="3:32">
      <c r="C334" s="23"/>
      <c r="D334" s="1"/>
      <c r="E334" s="1"/>
      <c r="P334" s="11"/>
      <c r="U334" s="11"/>
      <c r="X334" s="13">
        <f t="shared" si="40"/>
        <v>0</v>
      </c>
      <c r="Y334" s="2">
        <f t="shared" ca="1" si="35"/>
        <v>32133</v>
      </c>
      <c r="Z334" s="14">
        <v>1</v>
      </c>
      <c r="AA334" s="1" t="str">
        <f t="shared" ca="1" si="36"/>
        <v>VENCIDO</v>
      </c>
      <c r="AB334" s="1" t="str">
        <f t="shared" si="37"/>
        <v>TAAe+</v>
      </c>
      <c r="AC334" s="2">
        <f t="shared" si="41"/>
        <v>0</v>
      </c>
      <c r="AD334" s="2">
        <f t="shared" si="38"/>
        <v>8</v>
      </c>
      <c r="AE334" s="2">
        <f t="shared" ca="1" si="39"/>
        <v>-44986.676271643519</v>
      </c>
      <c r="AF334" s="15"/>
    </row>
    <row r="335" spans="3:32">
      <c r="D335" s="1"/>
      <c r="E335" s="1"/>
      <c r="P335" s="11"/>
      <c r="U335" s="11"/>
      <c r="X335" s="13">
        <f t="shared" si="40"/>
        <v>0</v>
      </c>
      <c r="Y335" s="2">
        <f t="shared" ca="1" si="35"/>
        <v>32133</v>
      </c>
      <c r="Z335" s="14">
        <v>1</v>
      </c>
      <c r="AA335" s="1" t="str">
        <f t="shared" ca="1" si="36"/>
        <v>VENCIDO</v>
      </c>
      <c r="AB335" s="1" t="str">
        <f t="shared" si="37"/>
        <v>TAAe+</v>
      </c>
      <c r="AC335" s="2">
        <f t="shared" si="41"/>
        <v>0</v>
      </c>
      <c r="AD335" s="2">
        <f t="shared" si="38"/>
        <v>8</v>
      </c>
      <c r="AE335" s="2">
        <f t="shared" ca="1" si="39"/>
        <v>-44986.676271643519</v>
      </c>
      <c r="AF335" s="15"/>
    </row>
    <row r="336" spans="3:32">
      <c r="D336" s="1"/>
      <c r="E336" s="1"/>
      <c r="P336" s="11"/>
      <c r="U336" s="11"/>
      <c r="X336" s="13">
        <f t="shared" si="40"/>
        <v>0</v>
      </c>
      <c r="Y336" s="2">
        <f t="shared" ca="1" si="35"/>
        <v>32133</v>
      </c>
      <c r="Z336" s="14">
        <v>1</v>
      </c>
      <c r="AA336" s="1" t="str">
        <f t="shared" ca="1" si="36"/>
        <v>VENCIDO</v>
      </c>
      <c r="AB336" s="1" t="str">
        <f t="shared" si="37"/>
        <v>TAAe+</v>
      </c>
      <c r="AC336" s="2">
        <f t="shared" si="41"/>
        <v>0</v>
      </c>
      <c r="AD336" s="2">
        <f t="shared" si="38"/>
        <v>8</v>
      </c>
      <c r="AE336" s="2">
        <f t="shared" ca="1" si="39"/>
        <v>-44986.676271643519</v>
      </c>
      <c r="AF336" s="15"/>
    </row>
    <row r="337" spans="3:32">
      <c r="D337" s="1"/>
      <c r="E337" s="1"/>
      <c r="P337" s="11"/>
      <c r="U337" s="11"/>
      <c r="X337" s="13">
        <f t="shared" si="40"/>
        <v>0</v>
      </c>
      <c r="Y337" s="2">
        <f t="shared" ca="1" si="35"/>
        <v>32133</v>
      </c>
      <c r="Z337" s="14">
        <v>1</v>
      </c>
      <c r="AA337" s="1" t="str">
        <f t="shared" ca="1" si="36"/>
        <v>VENCIDO</v>
      </c>
      <c r="AB337" s="1" t="str">
        <f t="shared" si="37"/>
        <v>TAAe+</v>
      </c>
      <c r="AC337" s="2">
        <f t="shared" si="41"/>
        <v>0</v>
      </c>
      <c r="AD337" s="2">
        <f t="shared" si="38"/>
        <v>8</v>
      </c>
      <c r="AE337" s="2">
        <f t="shared" ca="1" si="39"/>
        <v>-44986.676271643519</v>
      </c>
      <c r="AF337" s="15"/>
    </row>
    <row r="338" spans="3:32">
      <c r="D338" s="1"/>
      <c r="E338" s="1"/>
      <c r="P338" s="11"/>
      <c r="U338" s="11"/>
      <c r="X338" s="13">
        <f t="shared" si="40"/>
        <v>0</v>
      </c>
      <c r="Y338" s="2">
        <f t="shared" ca="1" si="35"/>
        <v>32133</v>
      </c>
      <c r="Z338" s="14">
        <v>1</v>
      </c>
      <c r="AA338" s="1" t="str">
        <f t="shared" ca="1" si="36"/>
        <v>VENCIDO</v>
      </c>
      <c r="AB338" s="1" t="str">
        <f t="shared" si="37"/>
        <v>TAAe+</v>
      </c>
      <c r="AC338" s="2">
        <f t="shared" si="41"/>
        <v>0</v>
      </c>
      <c r="AD338" s="2">
        <f t="shared" si="38"/>
        <v>8</v>
      </c>
      <c r="AE338" s="2">
        <f t="shared" ca="1" si="39"/>
        <v>-44986.676271643519</v>
      </c>
      <c r="AF338" s="15"/>
    </row>
    <row r="339" spans="3:32">
      <c r="D339" s="1"/>
      <c r="E339" s="1"/>
      <c r="P339" s="11"/>
      <c r="U339" s="11"/>
      <c r="X339" s="13">
        <f t="shared" si="40"/>
        <v>0</v>
      </c>
      <c r="Y339" s="2">
        <f t="shared" ca="1" si="35"/>
        <v>32133</v>
      </c>
      <c r="Z339" s="14">
        <v>1</v>
      </c>
      <c r="AA339" s="1" t="str">
        <f t="shared" ca="1" si="36"/>
        <v>VENCIDO</v>
      </c>
      <c r="AB339" s="1" t="str">
        <f t="shared" si="37"/>
        <v>TAAe+</v>
      </c>
      <c r="AC339" s="2">
        <f t="shared" si="41"/>
        <v>0</v>
      </c>
      <c r="AD339" s="2">
        <f t="shared" si="38"/>
        <v>8</v>
      </c>
      <c r="AE339" s="2">
        <f t="shared" ca="1" si="39"/>
        <v>-44986.676271643519</v>
      </c>
      <c r="AF339" s="15"/>
    </row>
    <row r="340" spans="3:32">
      <c r="D340" s="1"/>
      <c r="E340" s="1"/>
      <c r="P340" s="11"/>
      <c r="U340" s="11"/>
      <c r="X340" s="13">
        <f t="shared" si="40"/>
        <v>0</v>
      </c>
      <c r="Y340" s="2">
        <f t="shared" ca="1" si="35"/>
        <v>32133</v>
      </c>
      <c r="Z340" s="14">
        <v>1</v>
      </c>
      <c r="AA340" s="1" t="str">
        <f t="shared" ca="1" si="36"/>
        <v>VENCIDO</v>
      </c>
      <c r="AB340" s="1" t="str">
        <f t="shared" si="37"/>
        <v>TAAe+</v>
      </c>
      <c r="AC340" s="2">
        <f t="shared" si="41"/>
        <v>0</v>
      </c>
      <c r="AD340" s="2">
        <f t="shared" si="38"/>
        <v>8</v>
      </c>
      <c r="AE340" s="2">
        <f t="shared" ca="1" si="39"/>
        <v>-44986.676271643519</v>
      </c>
      <c r="AF340" s="15"/>
    </row>
    <row r="341" spans="3:32">
      <c r="D341" s="1"/>
      <c r="E341" s="1"/>
      <c r="P341" s="11"/>
      <c r="U341" s="11"/>
      <c r="X341" s="13">
        <f t="shared" si="40"/>
        <v>0</v>
      </c>
      <c r="Y341" s="2">
        <f t="shared" ca="1" si="35"/>
        <v>32133</v>
      </c>
      <c r="Z341" s="14">
        <v>1</v>
      </c>
      <c r="AA341" s="1" t="str">
        <f t="shared" ca="1" si="36"/>
        <v>VENCIDO</v>
      </c>
      <c r="AB341" s="1" t="str">
        <f t="shared" si="37"/>
        <v>TAAe+</v>
      </c>
      <c r="AC341" s="2">
        <f t="shared" si="41"/>
        <v>0</v>
      </c>
      <c r="AD341" s="2">
        <f t="shared" si="38"/>
        <v>8</v>
      </c>
      <c r="AE341" s="2">
        <f t="shared" ca="1" si="39"/>
        <v>-44986.676271643519</v>
      </c>
      <c r="AF341" s="15"/>
    </row>
    <row r="342" spans="3:32">
      <c r="D342" s="1"/>
      <c r="E342" s="1"/>
      <c r="P342" s="11"/>
      <c r="U342" s="11"/>
      <c r="X342" s="13">
        <f t="shared" si="40"/>
        <v>0</v>
      </c>
      <c r="Y342" s="2">
        <f t="shared" ca="1" si="35"/>
        <v>32133</v>
      </c>
      <c r="Z342" s="14">
        <v>1</v>
      </c>
      <c r="AA342" s="1" t="str">
        <f t="shared" ca="1" si="36"/>
        <v>VENCIDO</v>
      </c>
      <c r="AB342" s="1" t="str">
        <f t="shared" si="37"/>
        <v>TAAe+</v>
      </c>
      <c r="AC342" s="2">
        <f t="shared" si="41"/>
        <v>0</v>
      </c>
      <c r="AD342" s="2">
        <f t="shared" si="38"/>
        <v>8</v>
      </c>
      <c r="AE342" s="2">
        <f t="shared" ca="1" si="39"/>
        <v>-44986.676271643519</v>
      </c>
      <c r="AF342" s="15"/>
    </row>
    <row r="343" spans="3:32">
      <c r="D343" s="1"/>
      <c r="E343" s="1"/>
      <c r="P343" s="11"/>
      <c r="U343" s="11"/>
      <c r="X343" s="13">
        <f t="shared" si="40"/>
        <v>0</v>
      </c>
      <c r="Y343" s="2">
        <f t="shared" ca="1" si="35"/>
        <v>32133</v>
      </c>
      <c r="Z343" s="14">
        <v>1</v>
      </c>
      <c r="AA343" s="1" t="str">
        <f t="shared" ca="1" si="36"/>
        <v>VENCIDO</v>
      </c>
      <c r="AB343" s="1" t="str">
        <f t="shared" si="37"/>
        <v>TAAe+</v>
      </c>
      <c r="AC343" s="2">
        <f t="shared" si="41"/>
        <v>0</v>
      </c>
      <c r="AD343" s="2">
        <f t="shared" si="38"/>
        <v>8</v>
      </c>
      <c r="AE343" s="2">
        <f t="shared" ca="1" si="39"/>
        <v>-44986.676271643519</v>
      </c>
      <c r="AF343" s="15"/>
    </row>
    <row r="344" spans="3:32">
      <c r="D344" s="1"/>
      <c r="E344" s="1"/>
      <c r="P344" s="11"/>
      <c r="U344" s="11"/>
      <c r="X344" s="13">
        <f t="shared" si="40"/>
        <v>0</v>
      </c>
      <c r="Y344" s="2">
        <f t="shared" ca="1" si="35"/>
        <v>32133</v>
      </c>
      <c r="Z344" s="14">
        <v>1</v>
      </c>
      <c r="AA344" s="1" t="str">
        <f t="shared" ca="1" si="36"/>
        <v>VENCIDO</v>
      </c>
      <c r="AB344" s="1" t="str">
        <f t="shared" si="37"/>
        <v>TAAe+</v>
      </c>
      <c r="AC344" s="2">
        <f t="shared" si="41"/>
        <v>0</v>
      </c>
      <c r="AD344" s="2">
        <f t="shared" si="38"/>
        <v>8</v>
      </c>
      <c r="AE344" s="2">
        <f t="shared" ca="1" si="39"/>
        <v>-44986.676271643519</v>
      </c>
      <c r="AF344" s="15"/>
    </row>
    <row r="345" spans="3:32">
      <c r="D345" s="1"/>
      <c r="E345" s="1"/>
      <c r="P345" s="11"/>
      <c r="U345" s="11"/>
      <c r="X345" s="13">
        <f t="shared" si="40"/>
        <v>0</v>
      </c>
      <c r="Y345" s="2">
        <f t="shared" ca="1" si="35"/>
        <v>32133</v>
      </c>
      <c r="Z345" s="14">
        <v>1</v>
      </c>
      <c r="AA345" s="1" t="str">
        <f t="shared" ca="1" si="36"/>
        <v>VENCIDO</v>
      </c>
      <c r="AB345" s="1" t="str">
        <f t="shared" si="37"/>
        <v>TAAe+</v>
      </c>
      <c r="AC345" s="2">
        <f t="shared" si="41"/>
        <v>0</v>
      </c>
      <c r="AD345" s="2">
        <f t="shared" si="38"/>
        <v>8</v>
      </c>
      <c r="AE345" s="2">
        <f t="shared" ca="1" si="39"/>
        <v>-44986.676271643519</v>
      </c>
      <c r="AF345" s="15"/>
    </row>
    <row r="346" spans="3:32">
      <c r="D346" s="1"/>
      <c r="E346" s="1"/>
      <c r="P346" s="11"/>
      <c r="X346" s="13">
        <f t="shared" si="40"/>
        <v>0</v>
      </c>
      <c r="Y346" s="2">
        <f t="shared" ca="1" si="35"/>
        <v>32133</v>
      </c>
      <c r="Z346" s="14">
        <v>1</v>
      </c>
      <c r="AA346" s="1" t="str">
        <f t="shared" ca="1" si="36"/>
        <v>VENCIDO</v>
      </c>
      <c r="AB346" s="1" t="str">
        <f t="shared" si="37"/>
        <v>TAAe+</v>
      </c>
      <c r="AC346" s="2">
        <f t="shared" si="41"/>
        <v>0</v>
      </c>
      <c r="AD346" s="2">
        <f t="shared" si="38"/>
        <v>8</v>
      </c>
      <c r="AE346" s="2">
        <f t="shared" ca="1" si="39"/>
        <v>-44986.676271643519</v>
      </c>
      <c r="AF346" s="15"/>
    </row>
    <row r="347" spans="3:32">
      <c r="D347" s="1"/>
      <c r="E347" s="1"/>
      <c r="P347" s="11"/>
      <c r="X347" s="13">
        <f t="shared" si="40"/>
        <v>0</v>
      </c>
      <c r="Y347" s="2">
        <f t="shared" ca="1" si="35"/>
        <v>32133</v>
      </c>
      <c r="Z347" s="14">
        <v>1</v>
      </c>
      <c r="AA347" s="1" t="str">
        <f t="shared" ca="1" si="36"/>
        <v>VENCIDO</v>
      </c>
      <c r="AB347" s="1" t="str">
        <f t="shared" si="37"/>
        <v>TAAe+</v>
      </c>
      <c r="AC347" s="2">
        <f t="shared" si="41"/>
        <v>0</v>
      </c>
      <c r="AD347" s="2">
        <f t="shared" si="38"/>
        <v>8</v>
      </c>
      <c r="AE347" s="2">
        <f t="shared" ca="1" si="39"/>
        <v>-44986.676271643519</v>
      </c>
      <c r="AF347" s="15"/>
    </row>
    <row r="348" spans="3:32">
      <c r="D348" s="1"/>
      <c r="E348" s="1"/>
      <c r="P348" s="11"/>
      <c r="X348" s="13">
        <f t="shared" si="40"/>
        <v>0</v>
      </c>
      <c r="Y348" s="2">
        <f t="shared" ca="1" si="35"/>
        <v>32133</v>
      </c>
      <c r="Z348" s="14">
        <v>1</v>
      </c>
      <c r="AA348" s="1" t="str">
        <f t="shared" ca="1" si="36"/>
        <v>VENCIDO</v>
      </c>
      <c r="AB348" s="1" t="str">
        <f t="shared" si="37"/>
        <v>TAAe+</v>
      </c>
      <c r="AC348" s="2">
        <f t="shared" si="41"/>
        <v>0</v>
      </c>
      <c r="AD348" s="2">
        <f t="shared" si="38"/>
        <v>8</v>
      </c>
      <c r="AE348" s="2">
        <f t="shared" ca="1" si="39"/>
        <v>-44986.676271643519</v>
      </c>
      <c r="AF348" s="15"/>
    </row>
    <row r="349" spans="3:32">
      <c r="D349" s="1"/>
      <c r="E349" s="1"/>
      <c r="P349" s="11"/>
      <c r="X349" s="13">
        <f t="shared" si="40"/>
        <v>0</v>
      </c>
      <c r="Y349" s="2">
        <f t="shared" ca="1" si="35"/>
        <v>32133</v>
      </c>
      <c r="Z349" s="14">
        <v>1</v>
      </c>
      <c r="AA349" s="1" t="str">
        <f t="shared" ca="1" si="36"/>
        <v>VENCIDO</v>
      </c>
      <c r="AB349" s="1" t="str">
        <f t="shared" si="37"/>
        <v>TAAe+</v>
      </c>
      <c r="AC349" s="2">
        <f t="shared" si="41"/>
        <v>0</v>
      </c>
      <c r="AD349" s="2">
        <f t="shared" si="38"/>
        <v>8</v>
      </c>
      <c r="AE349" s="2">
        <f t="shared" ca="1" si="39"/>
        <v>-44986.676271643519</v>
      </c>
      <c r="AF349" s="15"/>
    </row>
    <row r="350" spans="3:32">
      <c r="D350" s="1"/>
      <c r="E350" s="1"/>
      <c r="P350" s="11"/>
      <c r="X350" s="13">
        <f t="shared" si="40"/>
        <v>0</v>
      </c>
      <c r="Y350" s="2">
        <f t="shared" ca="1" si="35"/>
        <v>32133</v>
      </c>
      <c r="Z350" s="14">
        <v>1</v>
      </c>
      <c r="AA350" s="1" t="str">
        <f t="shared" ca="1" si="36"/>
        <v>VENCIDO</v>
      </c>
      <c r="AB350" s="1" t="str">
        <f t="shared" si="37"/>
        <v>TAAe+</v>
      </c>
      <c r="AC350" s="2">
        <f t="shared" si="41"/>
        <v>0</v>
      </c>
      <c r="AD350" s="2">
        <f t="shared" si="38"/>
        <v>8</v>
      </c>
      <c r="AE350" s="2">
        <f t="shared" ca="1" si="39"/>
        <v>-44986.676271643519</v>
      </c>
      <c r="AF350" s="15"/>
    </row>
    <row r="351" spans="3:32">
      <c r="C351" s="23"/>
      <c r="D351" s="1"/>
      <c r="E351" s="1"/>
      <c r="P351" s="11"/>
      <c r="X351" s="13">
        <f t="shared" si="40"/>
        <v>0</v>
      </c>
      <c r="Y351" s="2">
        <f t="shared" ca="1" si="35"/>
        <v>32133</v>
      </c>
      <c r="Z351" s="14">
        <v>1</v>
      </c>
      <c r="AA351" s="1" t="str">
        <f t="shared" ca="1" si="36"/>
        <v>VENCIDO</v>
      </c>
      <c r="AB351" s="1" t="str">
        <f t="shared" si="37"/>
        <v>TAAe+</v>
      </c>
      <c r="AC351" s="2">
        <f t="shared" si="41"/>
        <v>0</v>
      </c>
      <c r="AD351" s="2">
        <f t="shared" si="38"/>
        <v>8</v>
      </c>
      <c r="AE351" s="2">
        <f t="shared" ca="1" si="39"/>
        <v>-44986.676271643519</v>
      </c>
      <c r="AF351" s="15"/>
    </row>
    <row r="352" spans="3:32">
      <c r="D352" s="1"/>
      <c r="E352" s="1"/>
      <c r="P352" s="11"/>
      <c r="X352" s="13">
        <f t="shared" si="40"/>
        <v>0</v>
      </c>
      <c r="Y352" s="2">
        <f t="shared" ca="1" si="35"/>
        <v>32133</v>
      </c>
      <c r="Z352" s="14">
        <v>1</v>
      </c>
      <c r="AA352" s="1" t="str">
        <f t="shared" ca="1" si="36"/>
        <v>VENCIDO</v>
      </c>
      <c r="AB352" s="1" t="str">
        <f t="shared" si="37"/>
        <v>TAAe+</v>
      </c>
      <c r="AC352" s="2">
        <f t="shared" si="41"/>
        <v>0</v>
      </c>
      <c r="AD352" s="2">
        <f t="shared" si="38"/>
        <v>8</v>
      </c>
      <c r="AE352" s="2">
        <f t="shared" ca="1" si="39"/>
        <v>-44986.676271643519</v>
      </c>
      <c r="AF352" s="15"/>
    </row>
    <row r="353" spans="4:32">
      <c r="D353" s="1"/>
      <c r="E353" s="1"/>
      <c r="P353" s="11"/>
      <c r="U353" s="11"/>
      <c r="X353" s="13">
        <f t="shared" si="40"/>
        <v>0</v>
      </c>
      <c r="Y353" s="2">
        <f t="shared" ca="1" si="35"/>
        <v>32133</v>
      </c>
      <c r="Z353" s="14">
        <v>1</v>
      </c>
      <c r="AA353" s="1" t="str">
        <f t="shared" ca="1" si="36"/>
        <v>VENCIDO</v>
      </c>
      <c r="AB353" s="1" t="str">
        <f t="shared" si="37"/>
        <v>TAAe+</v>
      </c>
      <c r="AC353" s="2">
        <f t="shared" si="41"/>
        <v>0</v>
      </c>
      <c r="AD353" s="2">
        <f t="shared" si="38"/>
        <v>8</v>
      </c>
      <c r="AE353" s="2">
        <f t="shared" ca="1" si="39"/>
        <v>-44986.676271643519</v>
      </c>
      <c r="AF353" s="15"/>
    </row>
    <row r="354" spans="4:32">
      <c r="D354" s="1"/>
      <c r="E354" s="1"/>
      <c r="P354" s="11"/>
      <c r="U354" s="11"/>
      <c r="X354" s="13">
        <f t="shared" si="40"/>
        <v>0</v>
      </c>
      <c r="Y354" s="2">
        <f t="shared" ca="1" si="35"/>
        <v>32133</v>
      </c>
      <c r="Z354" s="14">
        <v>1</v>
      </c>
      <c r="AA354" s="1" t="str">
        <f t="shared" ca="1" si="36"/>
        <v>VENCIDO</v>
      </c>
      <c r="AB354" s="1" t="str">
        <f t="shared" si="37"/>
        <v>TAAe+</v>
      </c>
      <c r="AC354" s="2">
        <f t="shared" si="41"/>
        <v>0</v>
      </c>
      <c r="AD354" s="2">
        <f t="shared" si="38"/>
        <v>8</v>
      </c>
      <c r="AE354" s="2">
        <f t="shared" ca="1" si="39"/>
        <v>-44986.676271643519</v>
      </c>
      <c r="AF354" s="15"/>
    </row>
    <row r="355" spans="4:32">
      <c r="D355" s="1"/>
      <c r="E355" s="1"/>
      <c r="P355" s="11"/>
      <c r="U355" s="11"/>
      <c r="X355" s="13">
        <f t="shared" si="40"/>
        <v>0</v>
      </c>
      <c r="Y355" s="2">
        <f t="shared" ca="1" si="35"/>
        <v>32133</v>
      </c>
      <c r="Z355" s="14">
        <v>1</v>
      </c>
      <c r="AA355" s="1" t="str">
        <f t="shared" ca="1" si="36"/>
        <v>VENCIDO</v>
      </c>
      <c r="AB355" s="1" t="str">
        <f t="shared" si="37"/>
        <v>TAAe+</v>
      </c>
      <c r="AC355" s="2">
        <f t="shared" si="41"/>
        <v>0</v>
      </c>
      <c r="AD355" s="2">
        <f t="shared" si="38"/>
        <v>8</v>
      </c>
      <c r="AE355" s="2">
        <f t="shared" ca="1" si="39"/>
        <v>-44986.676271643519</v>
      </c>
      <c r="AF355" s="15"/>
    </row>
    <row r="356" spans="4:32">
      <c r="D356" s="1"/>
      <c r="E356" s="1"/>
      <c r="P356" s="11"/>
      <c r="U356" s="11"/>
      <c r="X356" s="13">
        <f t="shared" si="40"/>
        <v>0</v>
      </c>
      <c r="Y356" s="2">
        <f t="shared" ca="1" si="35"/>
        <v>32133</v>
      </c>
      <c r="Z356" s="14">
        <v>1</v>
      </c>
      <c r="AA356" s="1" t="str">
        <f t="shared" ca="1" si="36"/>
        <v>VENCIDO</v>
      </c>
      <c r="AB356" s="1" t="str">
        <f t="shared" si="37"/>
        <v>TAAe+</v>
      </c>
      <c r="AC356" s="2">
        <f t="shared" si="41"/>
        <v>0</v>
      </c>
      <c r="AD356" s="2">
        <f t="shared" si="38"/>
        <v>8</v>
      </c>
      <c r="AE356" s="2">
        <f t="shared" ca="1" si="39"/>
        <v>-44986.676271643519</v>
      </c>
      <c r="AF356" s="15"/>
    </row>
    <row r="357" spans="4:32">
      <c r="D357" s="1"/>
      <c r="E357" s="1"/>
      <c r="P357" s="11"/>
      <c r="U357" s="11"/>
      <c r="X357" s="13">
        <f t="shared" si="40"/>
        <v>0</v>
      </c>
      <c r="Y357" s="2">
        <f t="shared" ca="1" si="35"/>
        <v>32133</v>
      </c>
      <c r="Z357" s="14">
        <v>1</v>
      </c>
      <c r="AA357" s="1" t="str">
        <f t="shared" ca="1" si="36"/>
        <v>VENCIDO</v>
      </c>
      <c r="AB357" s="1" t="str">
        <f t="shared" si="37"/>
        <v>TAAe+</v>
      </c>
      <c r="AC357" s="2">
        <f t="shared" si="41"/>
        <v>0</v>
      </c>
      <c r="AD357" s="2">
        <f t="shared" si="38"/>
        <v>8</v>
      </c>
      <c r="AE357" s="2">
        <f t="shared" ca="1" si="39"/>
        <v>-44986.676271643519</v>
      </c>
      <c r="AF357" s="15"/>
    </row>
    <row r="358" spans="4:32">
      <c r="D358" s="1"/>
      <c r="E358" s="1"/>
      <c r="P358" s="11"/>
      <c r="U358" s="11"/>
      <c r="X358" s="13">
        <f t="shared" si="40"/>
        <v>0</v>
      </c>
      <c r="Y358" s="2">
        <f t="shared" ca="1" si="35"/>
        <v>32133</v>
      </c>
      <c r="Z358" s="14">
        <v>1</v>
      </c>
      <c r="AA358" s="1" t="str">
        <f t="shared" ca="1" si="36"/>
        <v>VENCIDO</v>
      </c>
      <c r="AB358" s="1" t="str">
        <f t="shared" si="37"/>
        <v>TAAe+</v>
      </c>
      <c r="AC358" s="2">
        <f t="shared" si="41"/>
        <v>0</v>
      </c>
      <c r="AD358" s="2">
        <f t="shared" si="38"/>
        <v>8</v>
      </c>
      <c r="AE358" s="2">
        <f t="shared" ca="1" si="39"/>
        <v>-44986.676271643519</v>
      </c>
      <c r="AF358" s="15"/>
    </row>
    <row r="359" spans="4:32">
      <c r="D359" s="1"/>
      <c r="E359" s="1"/>
      <c r="P359" s="11"/>
      <c r="U359" s="11"/>
      <c r="X359" s="13">
        <f t="shared" si="40"/>
        <v>0</v>
      </c>
      <c r="Y359" s="2">
        <f t="shared" ca="1" si="35"/>
        <v>32133</v>
      </c>
      <c r="Z359" s="14">
        <v>1</v>
      </c>
      <c r="AA359" s="1" t="str">
        <f t="shared" ca="1" si="36"/>
        <v>VENCIDO</v>
      </c>
      <c r="AB359" s="1" t="str">
        <f t="shared" si="37"/>
        <v>TAAe+</v>
      </c>
      <c r="AC359" s="2">
        <f t="shared" si="41"/>
        <v>0</v>
      </c>
      <c r="AD359" s="2">
        <f t="shared" si="38"/>
        <v>8</v>
      </c>
      <c r="AE359" s="2">
        <f t="shared" ca="1" si="39"/>
        <v>-44986.676271643519</v>
      </c>
      <c r="AF359" s="15"/>
    </row>
    <row r="360" spans="4:32">
      <c r="D360" s="1"/>
      <c r="E360" s="1"/>
      <c r="P360" s="11"/>
      <c r="U360" s="11"/>
      <c r="X360" s="13">
        <f t="shared" si="40"/>
        <v>0</v>
      </c>
      <c r="Y360" s="2">
        <f t="shared" ca="1" si="35"/>
        <v>32133</v>
      </c>
      <c r="Z360" s="14">
        <v>1</v>
      </c>
      <c r="AA360" s="1" t="str">
        <f t="shared" ca="1" si="36"/>
        <v>VENCIDO</v>
      </c>
      <c r="AB360" s="1" t="str">
        <f t="shared" si="37"/>
        <v>TAAe+</v>
      </c>
      <c r="AC360" s="2">
        <f t="shared" si="41"/>
        <v>0</v>
      </c>
      <c r="AD360" s="2">
        <f t="shared" si="38"/>
        <v>8</v>
      </c>
      <c r="AE360" s="2">
        <f t="shared" ca="1" si="39"/>
        <v>-44986.676271643519</v>
      </c>
      <c r="AF360" s="15"/>
    </row>
    <row r="361" spans="4:32">
      <c r="D361" s="1"/>
      <c r="E361" s="1"/>
      <c r="P361" s="11"/>
      <c r="U361" s="11"/>
      <c r="X361" s="13">
        <f t="shared" si="40"/>
        <v>0</v>
      </c>
      <c r="Y361" s="2">
        <f t="shared" ca="1" si="35"/>
        <v>32133</v>
      </c>
      <c r="Z361" s="14">
        <v>1</v>
      </c>
      <c r="AA361" s="1" t="str">
        <f t="shared" ca="1" si="36"/>
        <v>VENCIDO</v>
      </c>
      <c r="AB361" s="1" t="str">
        <f t="shared" si="37"/>
        <v>TAAe+</v>
      </c>
      <c r="AC361" s="2">
        <f t="shared" si="41"/>
        <v>0</v>
      </c>
      <c r="AD361" s="2">
        <f t="shared" si="38"/>
        <v>8</v>
      </c>
      <c r="AE361" s="2">
        <f t="shared" ca="1" si="39"/>
        <v>-44986.676271643519</v>
      </c>
      <c r="AF361" s="15"/>
    </row>
    <row r="362" spans="4:32">
      <c r="D362" s="1"/>
      <c r="E362" s="1"/>
      <c r="P362" s="11"/>
      <c r="U362" s="11"/>
      <c r="X362" s="13">
        <f t="shared" si="40"/>
        <v>0</v>
      </c>
      <c r="Y362" s="2">
        <f t="shared" ca="1" si="35"/>
        <v>32133</v>
      </c>
      <c r="Z362" s="14">
        <v>1</v>
      </c>
      <c r="AA362" s="1" t="str">
        <f t="shared" ca="1" si="36"/>
        <v>VENCIDO</v>
      </c>
      <c r="AB362" s="1" t="str">
        <f t="shared" si="37"/>
        <v>TAAe+</v>
      </c>
      <c r="AC362" s="2">
        <f t="shared" si="41"/>
        <v>0</v>
      </c>
      <c r="AD362" s="2">
        <f t="shared" si="38"/>
        <v>8</v>
      </c>
      <c r="AE362" s="2">
        <f t="shared" ca="1" si="39"/>
        <v>-44986.676271643519</v>
      </c>
      <c r="AF362" s="15"/>
    </row>
    <row r="363" spans="4:32">
      <c r="D363" s="1"/>
      <c r="E363" s="1"/>
      <c r="P363" s="11"/>
      <c r="U363" s="11"/>
      <c r="X363" s="13">
        <f t="shared" si="40"/>
        <v>0</v>
      </c>
      <c r="Y363" s="2">
        <f t="shared" ca="1" si="35"/>
        <v>32133</v>
      </c>
      <c r="Z363" s="14">
        <v>1</v>
      </c>
      <c r="AA363" s="1" t="str">
        <f t="shared" ca="1" si="36"/>
        <v>VENCIDO</v>
      </c>
      <c r="AB363" s="1" t="str">
        <f t="shared" si="37"/>
        <v>TAAe+</v>
      </c>
      <c r="AC363" s="2">
        <f t="shared" si="41"/>
        <v>0</v>
      </c>
      <c r="AD363" s="2">
        <f t="shared" si="38"/>
        <v>8</v>
      </c>
      <c r="AE363" s="2">
        <f t="shared" ca="1" si="39"/>
        <v>-44986.676271643519</v>
      </c>
      <c r="AF363" s="15"/>
    </row>
    <row r="364" spans="4:32">
      <c r="D364" s="1"/>
      <c r="E364" s="1"/>
      <c r="P364" s="11"/>
      <c r="U364" s="11"/>
      <c r="X364" s="13">
        <f t="shared" si="40"/>
        <v>0</v>
      </c>
      <c r="Y364" s="2">
        <f t="shared" ca="1" si="35"/>
        <v>32133</v>
      </c>
      <c r="Z364" s="14">
        <v>1</v>
      </c>
      <c r="AA364" s="1" t="str">
        <f t="shared" ca="1" si="36"/>
        <v>VENCIDO</v>
      </c>
      <c r="AB364" s="1" t="str">
        <f t="shared" si="37"/>
        <v>TAAe+</v>
      </c>
      <c r="AC364" s="2">
        <f t="shared" si="41"/>
        <v>0</v>
      </c>
      <c r="AD364" s="2">
        <f t="shared" si="38"/>
        <v>8</v>
      </c>
      <c r="AE364" s="2">
        <f t="shared" ca="1" si="39"/>
        <v>-44986.676271643519</v>
      </c>
      <c r="AF364" s="15"/>
    </row>
    <row r="365" spans="4:32">
      <c r="D365" s="1"/>
      <c r="E365" s="1"/>
      <c r="P365" s="11"/>
      <c r="U365" s="11"/>
      <c r="X365" s="13">
        <f t="shared" si="40"/>
        <v>0</v>
      </c>
      <c r="Y365" s="2">
        <f t="shared" ca="1" si="35"/>
        <v>32133</v>
      </c>
      <c r="Z365" s="14">
        <v>1</v>
      </c>
      <c r="AA365" s="1" t="str">
        <f t="shared" ca="1" si="36"/>
        <v>VENCIDO</v>
      </c>
      <c r="AB365" s="1" t="str">
        <f t="shared" si="37"/>
        <v>TAAe+</v>
      </c>
      <c r="AC365" s="2">
        <f t="shared" si="41"/>
        <v>0</v>
      </c>
      <c r="AD365" s="2">
        <f t="shared" si="38"/>
        <v>8</v>
      </c>
      <c r="AE365" s="2">
        <f t="shared" ca="1" si="39"/>
        <v>-44986.676271643519</v>
      </c>
      <c r="AF365" s="15"/>
    </row>
    <row r="366" spans="4:32">
      <c r="D366" s="1"/>
      <c r="E366" s="1"/>
      <c r="P366" s="11"/>
      <c r="U366" s="11"/>
      <c r="X366" s="13">
        <f t="shared" si="40"/>
        <v>0</v>
      </c>
      <c r="Y366" s="2">
        <f t="shared" ca="1" si="35"/>
        <v>32133</v>
      </c>
      <c r="Z366" s="14">
        <v>1</v>
      </c>
      <c r="AA366" s="1" t="str">
        <f t="shared" ca="1" si="36"/>
        <v>VENCIDO</v>
      </c>
      <c r="AB366" s="1" t="str">
        <f t="shared" si="37"/>
        <v>TAAe+</v>
      </c>
      <c r="AC366" s="2">
        <f t="shared" si="41"/>
        <v>0</v>
      </c>
      <c r="AD366" s="2">
        <f t="shared" si="38"/>
        <v>8</v>
      </c>
      <c r="AE366" s="2">
        <f t="shared" ca="1" si="39"/>
        <v>-44986.676271643519</v>
      </c>
      <c r="AF366" s="15"/>
    </row>
    <row r="367" spans="4:32">
      <c r="D367" s="1"/>
      <c r="E367" s="1"/>
      <c r="P367" s="11"/>
      <c r="U367" s="11"/>
      <c r="X367" s="13">
        <f t="shared" si="40"/>
        <v>0</v>
      </c>
      <c r="Y367" s="2">
        <f t="shared" ca="1" si="35"/>
        <v>32133</v>
      </c>
      <c r="Z367" s="14">
        <v>1</v>
      </c>
      <c r="AA367" s="1" t="str">
        <f t="shared" ca="1" si="36"/>
        <v>VENCIDO</v>
      </c>
      <c r="AB367" s="1" t="str">
        <f t="shared" si="37"/>
        <v>TAAe+</v>
      </c>
      <c r="AC367" s="2">
        <f t="shared" si="41"/>
        <v>0</v>
      </c>
      <c r="AD367" s="2">
        <f t="shared" si="38"/>
        <v>8</v>
      </c>
      <c r="AE367" s="2">
        <f t="shared" ca="1" si="39"/>
        <v>-44986.676271643519</v>
      </c>
      <c r="AF367" s="15"/>
    </row>
    <row r="368" spans="4:32">
      <c r="D368" s="1"/>
      <c r="E368" s="1"/>
      <c r="P368" s="11"/>
      <c r="X368" s="13">
        <f t="shared" si="40"/>
        <v>0</v>
      </c>
      <c r="Y368" s="2">
        <f t="shared" ca="1" si="35"/>
        <v>32133</v>
      </c>
      <c r="Z368" s="14">
        <v>1</v>
      </c>
      <c r="AA368" s="1" t="str">
        <f t="shared" ca="1" si="36"/>
        <v>VENCIDO</v>
      </c>
      <c r="AB368" s="1" t="str">
        <f t="shared" si="37"/>
        <v>TAAe+</v>
      </c>
      <c r="AC368" s="2">
        <f t="shared" si="41"/>
        <v>0</v>
      </c>
      <c r="AD368" s="2">
        <f t="shared" si="38"/>
        <v>8</v>
      </c>
      <c r="AE368" s="2">
        <f t="shared" ca="1" si="39"/>
        <v>-44986.676271643519</v>
      </c>
      <c r="AF368" s="15"/>
    </row>
    <row r="369" spans="4:32">
      <c r="D369" s="1"/>
      <c r="E369" s="1"/>
      <c r="P369" s="11"/>
      <c r="X369" s="13">
        <f t="shared" si="40"/>
        <v>0</v>
      </c>
      <c r="Y369" s="2">
        <f t="shared" ca="1" si="35"/>
        <v>32133</v>
      </c>
      <c r="Z369" s="14">
        <v>1</v>
      </c>
      <c r="AA369" s="1" t="str">
        <f t="shared" ca="1" si="36"/>
        <v>VENCIDO</v>
      </c>
      <c r="AB369" s="1" t="str">
        <f t="shared" si="37"/>
        <v>TAAe+</v>
      </c>
      <c r="AC369" s="2">
        <f t="shared" si="41"/>
        <v>0</v>
      </c>
      <c r="AD369" s="2">
        <f t="shared" si="38"/>
        <v>8</v>
      </c>
      <c r="AE369" s="2">
        <f t="shared" ca="1" si="39"/>
        <v>-44986.676271643519</v>
      </c>
      <c r="AF369" s="15"/>
    </row>
    <row r="370" spans="4:32">
      <c r="D370" s="1"/>
      <c r="E370" s="1"/>
      <c r="P370" s="11"/>
      <c r="U370" s="11"/>
      <c r="X370" s="13">
        <f t="shared" si="40"/>
        <v>0</v>
      </c>
      <c r="Y370" s="2">
        <f t="shared" ca="1" si="35"/>
        <v>32133</v>
      </c>
      <c r="Z370" s="14">
        <v>1</v>
      </c>
      <c r="AA370" s="1" t="str">
        <f t="shared" ca="1" si="36"/>
        <v>VENCIDO</v>
      </c>
      <c r="AB370" s="1" t="str">
        <f t="shared" si="37"/>
        <v>TAAe+</v>
      </c>
      <c r="AC370" s="2">
        <f t="shared" si="41"/>
        <v>0</v>
      </c>
      <c r="AD370" s="2">
        <f t="shared" si="38"/>
        <v>8</v>
      </c>
      <c r="AE370" s="2">
        <f t="shared" ca="1" si="39"/>
        <v>-44986.676271643519</v>
      </c>
      <c r="AF370" s="15"/>
    </row>
    <row r="371" spans="4:32">
      <c r="D371" s="1"/>
      <c r="E371" s="1"/>
      <c r="P371" s="11"/>
      <c r="U371" s="11"/>
      <c r="X371" s="13">
        <f t="shared" si="40"/>
        <v>0</v>
      </c>
      <c r="Y371" s="2">
        <f t="shared" ca="1" si="35"/>
        <v>32133</v>
      </c>
      <c r="Z371" s="14">
        <v>1</v>
      </c>
      <c r="AA371" s="1" t="str">
        <f t="shared" ca="1" si="36"/>
        <v>VENCIDO</v>
      </c>
      <c r="AB371" s="1" t="str">
        <f t="shared" si="37"/>
        <v>TAAe+</v>
      </c>
      <c r="AC371" s="2">
        <f t="shared" si="41"/>
        <v>0</v>
      </c>
      <c r="AD371" s="2">
        <f t="shared" si="38"/>
        <v>8</v>
      </c>
      <c r="AE371" s="2">
        <f t="shared" ca="1" si="39"/>
        <v>-44986.676271643519</v>
      </c>
      <c r="AF371" s="15"/>
    </row>
    <row r="372" spans="4:32">
      <c r="D372" s="1"/>
      <c r="E372" s="1"/>
      <c r="P372" s="11"/>
      <c r="U372" s="11"/>
      <c r="X372" s="13">
        <f t="shared" si="40"/>
        <v>0</v>
      </c>
      <c r="Y372" s="2">
        <f t="shared" ca="1" si="35"/>
        <v>32133</v>
      </c>
      <c r="Z372" s="14">
        <v>1</v>
      </c>
      <c r="AA372" s="1" t="str">
        <f t="shared" ca="1" si="36"/>
        <v>VENCIDO</v>
      </c>
      <c r="AB372" s="1" t="str">
        <f t="shared" si="37"/>
        <v>TAAe+</v>
      </c>
      <c r="AC372" s="2">
        <f t="shared" si="41"/>
        <v>0</v>
      </c>
      <c r="AD372" s="2">
        <f t="shared" si="38"/>
        <v>8</v>
      </c>
      <c r="AE372" s="2">
        <f t="shared" ca="1" si="39"/>
        <v>-44986.676271643519</v>
      </c>
      <c r="AF372" s="15"/>
    </row>
    <row r="373" spans="4:32">
      <c r="D373" s="1"/>
      <c r="E373" s="1"/>
      <c r="P373" s="11"/>
      <c r="X373" s="13">
        <f t="shared" si="40"/>
        <v>0</v>
      </c>
      <c r="Y373" s="2">
        <f t="shared" ca="1" si="35"/>
        <v>32133</v>
      </c>
      <c r="Z373" s="14">
        <v>1</v>
      </c>
      <c r="AA373" s="1" t="str">
        <f t="shared" ca="1" si="36"/>
        <v>VENCIDO</v>
      </c>
      <c r="AB373" s="1" t="str">
        <f t="shared" si="37"/>
        <v>TAAe+</v>
      </c>
      <c r="AC373" s="2">
        <f t="shared" si="41"/>
        <v>0</v>
      </c>
      <c r="AD373" s="2">
        <f t="shared" si="38"/>
        <v>8</v>
      </c>
      <c r="AE373" s="2">
        <f t="shared" ca="1" si="39"/>
        <v>-44986.676271643519</v>
      </c>
      <c r="AF373" s="15"/>
    </row>
    <row r="374" spans="4:32">
      <c r="D374" s="1"/>
      <c r="E374" s="1"/>
      <c r="P374" s="11"/>
      <c r="X374" s="13">
        <f t="shared" si="40"/>
        <v>0</v>
      </c>
      <c r="Y374" s="2">
        <f t="shared" ca="1" si="35"/>
        <v>32133</v>
      </c>
      <c r="Z374" s="14">
        <v>1</v>
      </c>
      <c r="AA374" s="1" t="str">
        <f t="shared" ca="1" si="36"/>
        <v>VENCIDO</v>
      </c>
      <c r="AB374" s="1" t="str">
        <f t="shared" si="37"/>
        <v>TAAe+</v>
      </c>
      <c r="AC374" s="2">
        <f t="shared" si="41"/>
        <v>0</v>
      </c>
      <c r="AD374" s="2">
        <f t="shared" si="38"/>
        <v>8</v>
      </c>
      <c r="AE374" s="2">
        <f t="shared" ca="1" si="39"/>
        <v>-44986.676271643519</v>
      </c>
      <c r="AF374" s="15"/>
    </row>
    <row r="375" spans="4:32">
      <c r="D375" s="1"/>
      <c r="E375" s="1"/>
      <c r="P375" s="11"/>
      <c r="U375" s="11"/>
      <c r="X375" s="13">
        <f t="shared" si="40"/>
        <v>0</v>
      </c>
      <c r="Y375" s="2">
        <f t="shared" ca="1" si="35"/>
        <v>32133</v>
      </c>
      <c r="Z375" s="14">
        <v>1</v>
      </c>
      <c r="AA375" s="1" t="str">
        <f t="shared" ca="1" si="36"/>
        <v>VENCIDO</v>
      </c>
      <c r="AB375" s="1" t="str">
        <f t="shared" si="37"/>
        <v>TAAe+</v>
      </c>
      <c r="AC375" s="2">
        <f t="shared" si="41"/>
        <v>0</v>
      </c>
      <c r="AD375" s="2">
        <f t="shared" si="38"/>
        <v>8</v>
      </c>
      <c r="AE375" s="2">
        <f t="shared" ca="1" si="39"/>
        <v>-44986.676271643519</v>
      </c>
      <c r="AF375" s="15"/>
    </row>
    <row r="376" spans="4:32">
      <c r="D376" s="1"/>
      <c r="E376" s="1"/>
      <c r="P376" s="11"/>
      <c r="U376" s="11"/>
      <c r="X376" s="13">
        <f t="shared" si="40"/>
        <v>0</v>
      </c>
      <c r="Y376" s="2">
        <f t="shared" ca="1" si="35"/>
        <v>32133</v>
      </c>
      <c r="Z376" s="14">
        <v>1</v>
      </c>
      <c r="AA376" s="1" t="str">
        <f t="shared" ca="1" si="36"/>
        <v>VENCIDO</v>
      </c>
      <c r="AB376" s="1" t="str">
        <f t="shared" si="37"/>
        <v>TAAe+</v>
      </c>
      <c r="AC376" s="2">
        <f t="shared" si="41"/>
        <v>0</v>
      </c>
      <c r="AD376" s="2">
        <f t="shared" si="38"/>
        <v>8</v>
      </c>
      <c r="AE376" s="2">
        <f t="shared" ca="1" si="39"/>
        <v>-44986.676271643519</v>
      </c>
      <c r="AF376" s="15"/>
    </row>
    <row r="377" spans="4:32">
      <c r="D377" s="1"/>
      <c r="E377" s="1"/>
      <c r="P377" s="11"/>
      <c r="X377" s="13">
        <f t="shared" si="40"/>
        <v>0</v>
      </c>
      <c r="Y377" s="2">
        <f t="shared" ca="1" si="35"/>
        <v>32133</v>
      </c>
      <c r="Z377" s="14">
        <v>1</v>
      </c>
      <c r="AA377" s="1" t="str">
        <f t="shared" ca="1" si="36"/>
        <v>VENCIDO</v>
      </c>
      <c r="AB377" s="1" t="str">
        <f t="shared" si="37"/>
        <v>TAAe+</v>
      </c>
      <c r="AC377" s="2">
        <f t="shared" si="41"/>
        <v>0</v>
      </c>
      <c r="AD377" s="2">
        <f t="shared" si="38"/>
        <v>8</v>
      </c>
      <c r="AE377" s="2">
        <f t="shared" ca="1" si="39"/>
        <v>-44986.676271643519</v>
      </c>
      <c r="AF377" s="15"/>
    </row>
    <row r="378" spans="4:32">
      <c r="D378" s="1"/>
      <c r="E378" s="1"/>
      <c r="P378" s="11"/>
      <c r="X378" s="13">
        <f t="shared" si="40"/>
        <v>0</v>
      </c>
      <c r="Y378" s="2">
        <f t="shared" ca="1" si="35"/>
        <v>32133</v>
      </c>
      <c r="Z378" s="14">
        <v>1</v>
      </c>
      <c r="AA378" s="1" t="str">
        <f t="shared" ca="1" si="36"/>
        <v>VENCIDO</v>
      </c>
      <c r="AB378" s="1" t="str">
        <f t="shared" si="37"/>
        <v>TAAe+</v>
      </c>
      <c r="AC378" s="2">
        <f t="shared" si="41"/>
        <v>0</v>
      </c>
      <c r="AD378" s="2">
        <f t="shared" si="38"/>
        <v>8</v>
      </c>
      <c r="AE378" s="2">
        <f t="shared" ca="1" si="39"/>
        <v>-44986.676271643519</v>
      </c>
      <c r="AF378" s="15"/>
    </row>
    <row r="379" spans="4:32">
      <c r="D379" s="1"/>
      <c r="E379" s="1"/>
      <c r="P379" s="11"/>
      <c r="X379" s="13">
        <f t="shared" si="40"/>
        <v>0</v>
      </c>
      <c r="Y379" s="2">
        <f t="shared" ca="1" si="35"/>
        <v>32133</v>
      </c>
      <c r="Z379" s="14">
        <v>1</v>
      </c>
      <c r="AA379" s="1" t="str">
        <f t="shared" ca="1" si="36"/>
        <v>VENCIDO</v>
      </c>
      <c r="AB379" s="1" t="str">
        <f t="shared" si="37"/>
        <v>TAAe+</v>
      </c>
      <c r="AC379" s="2">
        <f t="shared" si="41"/>
        <v>0</v>
      </c>
      <c r="AD379" s="2">
        <f t="shared" si="38"/>
        <v>8</v>
      </c>
      <c r="AE379" s="2">
        <f t="shared" ca="1" si="39"/>
        <v>-44986.676271643519</v>
      </c>
      <c r="AF379" s="15"/>
    </row>
    <row r="380" spans="4:32">
      <c r="D380" s="1"/>
      <c r="E380" s="1"/>
      <c r="P380" s="11"/>
      <c r="X380" s="13">
        <f t="shared" si="40"/>
        <v>0</v>
      </c>
      <c r="Y380" s="2">
        <f t="shared" ca="1" si="35"/>
        <v>32133</v>
      </c>
      <c r="Z380" s="14">
        <v>1</v>
      </c>
      <c r="AA380" s="1" t="str">
        <f t="shared" ca="1" si="36"/>
        <v>VENCIDO</v>
      </c>
      <c r="AB380" s="1" t="str">
        <f t="shared" si="37"/>
        <v>TAAe+</v>
      </c>
      <c r="AC380" s="2">
        <f t="shared" si="41"/>
        <v>0</v>
      </c>
      <c r="AD380" s="2">
        <f t="shared" si="38"/>
        <v>8</v>
      </c>
      <c r="AE380" s="2">
        <f t="shared" ca="1" si="39"/>
        <v>-44986.676271643519</v>
      </c>
      <c r="AF380" s="15"/>
    </row>
    <row r="381" spans="4:32">
      <c r="D381" s="1"/>
      <c r="E381" s="1"/>
      <c r="P381" s="11"/>
      <c r="X381" s="13">
        <f t="shared" si="40"/>
        <v>0</v>
      </c>
      <c r="Y381" s="2">
        <f t="shared" ca="1" si="35"/>
        <v>32133</v>
      </c>
      <c r="Z381" s="14">
        <v>1</v>
      </c>
      <c r="AA381" s="1" t="str">
        <f t="shared" ca="1" si="36"/>
        <v>VENCIDO</v>
      </c>
      <c r="AB381" s="1" t="str">
        <f t="shared" si="37"/>
        <v>TAAe+</v>
      </c>
      <c r="AC381" s="2">
        <f t="shared" si="41"/>
        <v>0</v>
      </c>
      <c r="AD381" s="2">
        <f t="shared" si="38"/>
        <v>8</v>
      </c>
      <c r="AE381" s="2">
        <f t="shared" ca="1" si="39"/>
        <v>-44986.676271643519</v>
      </c>
      <c r="AF381" s="15"/>
    </row>
    <row r="382" spans="4:32">
      <c r="D382" s="1"/>
      <c r="E382" s="1"/>
      <c r="P382" s="11"/>
      <c r="U382" s="11"/>
      <c r="X382" s="13">
        <f t="shared" si="40"/>
        <v>0</v>
      </c>
      <c r="Y382" s="2">
        <f t="shared" ca="1" si="35"/>
        <v>32133</v>
      </c>
      <c r="Z382" s="14">
        <v>1</v>
      </c>
      <c r="AA382" s="1" t="str">
        <f t="shared" ca="1" si="36"/>
        <v>VENCIDO</v>
      </c>
      <c r="AB382" s="1" t="str">
        <f t="shared" si="37"/>
        <v>TAAe+</v>
      </c>
      <c r="AC382" s="2">
        <f t="shared" si="41"/>
        <v>0</v>
      </c>
      <c r="AD382" s="2">
        <f t="shared" si="38"/>
        <v>8</v>
      </c>
      <c r="AE382" s="2">
        <f t="shared" ca="1" si="39"/>
        <v>-44986.676271643519</v>
      </c>
      <c r="AF382" s="15"/>
    </row>
    <row r="383" spans="4:32">
      <c r="D383" s="1"/>
      <c r="E383" s="1"/>
      <c r="P383" s="11"/>
      <c r="U383" s="11"/>
      <c r="X383" s="13">
        <f t="shared" si="40"/>
        <v>0</v>
      </c>
      <c r="Y383" s="2">
        <f t="shared" ca="1" si="35"/>
        <v>32133</v>
      </c>
      <c r="Z383" s="14">
        <v>1</v>
      </c>
      <c r="AA383" s="1" t="str">
        <f t="shared" ca="1" si="36"/>
        <v>VENCIDO</v>
      </c>
      <c r="AB383" s="1" t="str">
        <f t="shared" si="37"/>
        <v>TAAe+</v>
      </c>
      <c r="AC383" s="2">
        <f t="shared" si="41"/>
        <v>0</v>
      </c>
      <c r="AD383" s="2">
        <f t="shared" si="38"/>
        <v>8</v>
      </c>
      <c r="AE383" s="2">
        <f t="shared" ca="1" si="39"/>
        <v>-44986.676271643519</v>
      </c>
      <c r="AF383" s="15"/>
    </row>
    <row r="384" spans="4:32">
      <c r="D384" s="1"/>
      <c r="E384" s="1"/>
      <c r="P384" s="11"/>
      <c r="U384" s="11"/>
      <c r="X384" s="13">
        <f t="shared" si="40"/>
        <v>0</v>
      </c>
      <c r="Y384" s="2">
        <f t="shared" ca="1" si="35"/>
        <v>32133</v>
      </c>
      <c r="Z384" s="14">
        <v>1</v>
      </c>
      <c r="AA384" s="1" t="str">
        <f t="shared" ca="1" si="36"/>
        <v>VENCIDO</v>
      </c>
      <c r="AB384" s="1" t="str">
        <f t="shared" si="37"/>
        <v>TAAe+</v>
      </c>
      <c r="AC384" s="2">
        <f t="shared" si="41"/>
        <v>0</v>
      </c>
      <c r="AD384" s="2">
        <f t="shared" si="38"/>
        <v>8</v>
      </c>
      <c r="AE384" s="2">
        <f t="shared" ca="1" si="39"/>
        <v>-44986.676271643519</v>
      </c>
      <c r="AF384" s="15"/>
    </row>
    <row r="385" spans="3:32">
      <c r="D385" s="1"/>
      <c r="E385" s="1"/>
      <c r="P385" s="11"/>
      <c r="U385" s="11"/>
      <c r="X385" s="13">
        <f t="shared" si="40"/>
        <v>0</v>
      </c>
      <c r="Y385" s="2">
        <f t="shared" ca="1" si="35"/>
        <v>32133</v>
      </c>
      <c r="Z385" s="14">
        <v>1</v>
      </c>
      <c r="AA385" s="1" t="str">
        <f t="shared" ca="1" si="36"/>
        <v>VENCIDO</v>
      </c>
      <c r="AB385" s="1" t="str">
        <f t="shared" si="37"/>
        <v>TAAe+</v>
      </c>
      <c r="AC385" s="2">
        <f t="shared" si="41"/>
        <v>0</v>
      </c>
      <c r="AD385" s="2">
        <f t="shared" si="38"/>
        <v>8</v>
      </c>
      <c r="AE385" s="2">
        <f t="shared" ca="1" si="39"/>
        <v>-44986.676271643519</v>
      </c>
      <c r="AF385" s="15"/>
    </row>
    <row r="386" spans="3:32">
      <c r="D386" s="1"/>
      <c r="E386" s="1"/>
      <c r="P386" s="11"/>
      <c r="X386" s="13">
        <f t="shared" si="40"/>
        <v>0</v>
      </c>
      <c r="Y386" s="2">
        <f t="shared" ref="Y386:Y449" ca="1" si="42">NETWORKDAYS(P386,$Y$1)</f>
        <v>32133</v>
      </c>
      <c r="Z386" s="14">
        <v>1</v>
      </c>
      <c r="AA386" s="1" t="str">
        <f t="shared" ref="AA386:AA449" ca="1" si="43">IF(AE386=0,"HOJE",IF(AE386&gt;0,"A VENCER",IF(AE386&lt;0,"VENCIDO")))</f>
        <v>VENCIDO</v>
      </c>
      <c r="AB386" s="1" t="str">
        <f t="shared" ref="AB386:AB449" si="44">IF(F386="GRPE-000001","C-14",IF(F386="GRPE-000002","C-14",IF(F386="GRPE-000003","C-14",IF(F386="GRPE-000004","SL-On",IF(F386="GRPE-000038","C-14",IF(F386="GRPE-900022","Dosa",IF(F386="GRPE-000029","Dosa",IF(F386="ATOS-000222","Dose","TAAe+"))))))))</f>
        <v>TAAe+</v>
      </c>
      <c r="AC386" s="2">
        <f t="shared" si="41"/>
        <v>0</v>
      </c>
      <c r="AD386" s="2">
        <f t="shared" ref="AD386:AD449" si="45">IF(F386="GRPE-000001",5,IF(F386="GRPE-000002",5,IF(F386="GRPE-000003",15,IF(F386="GRPE-000004",1,IF(F386="GRPE-000038",5,IF(F386="GRPE-900022",5,IF(F386="GRPE-000029",5,IF(F386="ATOS-000222",5,8))))))))</f>
        <v>8</v>
      </c>
      <c r="AE386" s="2">
        <f t="shared" ref="AE386:AE449" ca="1" si="46">IF(U386=$AE$1,"",U386-$AE$1)</f>
        <v>-44986.676271643519</v>
      </c>
      <c r="AF386" s="15"/>
    </row>
    <row r="387" spans="3:32">
      <c r="D387" s="1"/>
      <c r="E387" s="1"/>
      <c r="P387" s="11"/>
      <c r="U387" s="11"/>
      <c r="X387" s="13">
        <f t="shared" ref="X387:X450" si="47">IF(RIGHT(H387,2)&lt;&gt;"00",H387,"")</f>
        <v>0</v>
      </c>
      <c r="Y387" s="2">
        <f t="shared" ca="1" si="42"/>
        <v>32133</v>
      </c>
      <c r="Z387" s="14">
        <v>1</v>
      </c>
      <c r="AA387" s="1" t="str">
        <f t="shared" ca="1" si="43"/>
        <v>VENCIDO</v>
      </c>
      <c r="AB387" s="1" t="str">
        <f t="shared" si="44"/>
        <v>TAAe+</v>
      </c>
      <c r="AC387" s="2">
        <f t="shared" ref="AC387:AC450" si="48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>0</v>
      </c>
      <c r="AD387" s="2">
        <f t="shared" si="45"/>
        <v>8</v>
      </c>
      <c r="AE387" s="2">
        <f t="shared" ca="1" si="46"/>
        <v>-44986.676271643519</v>
      </c>
      <c r="AF387" s="15"/>
    </row>
    <row r="388" spans="3:32">
      <c r="D388" s="1"/>
      <c r="E388" s="1"/>
      <c r="P388" s="11"/>
      <c r="U388" s="11"/>
      <c r="X388" s="13">
        <f t="shared" si="47"/>
        <v>0</v>
      </c>
      <c r="Y388" s="2">
        <f t="shared" ca="1" si="42"/>
        <v>32133</v>
      </c>
      <c r="Z388" s="14">
        <v>1</v>
      </c>
      <c r="AA388" s="1" t="str">
        <f t="shared" ca="1" si="43"/>
        <v>VENCIDO</v>
      </c>
      <c r="AB388" s="1" t="str">
        <f t="shared" si="44"/>
        <v>TAAe+</v>
      </c>
      <c r="AC388" s="2">
        <f t="shared" si="48"/>
        <v>0</v>
      </c>
      <c r="AD388" s="2">
        <f t="shared" si="45"/>
        <v>8</v>
      </c>
      <c r="AE388" s="2">
        <f t="shared" ca="1" si="46"/>
        <v>-44986.676271643519</v>
      </c>
      <c r="AF388" s="15"/>
    </row>
    <row r="389" spans="3:32">
      <c r="D389" s="1"/>
      <c r="E389" s="1"/>
      <c r="P389" s="11"/>
      <c r="U389" s="11"/>
      <c r="X389" s="13">
        <f t="shared" si="47"/>
        <v>0</v>
      </c>
      <c r="Y389" s="2">
        <f t="shared" ca="1" si="42"/>
        <v>32133</v>
      </c>
      <c r="Z389" s="14">
        <v>1</v>
      </c>
      <c r="AA389" s="1" t="str">
        <f t="shared" ca="1" si="43"/>
        <v>VENCIDO</v>
      </c>
      <c r="AB389" s="1" t="str">
        <f t="shared" si="44"/>
        <v>TAAe+</v>
      </c>
      <c r="AC389" s="2">
        <f t="shared" si="48"/>
        <v>0</v>
      </c>
      <c r="AD389" s="2">
        <f t="shared" si="45"/>
        <v>8</v>
      </c>
      <c r="AE389" s="2">
        <f t="shared" ca="1" si="46"/>
        <v>-44986.676271643519</v>
      </c>
      <c r="AF389" s="15"/>
    </row>
    <row r="390" spans="3:32">
      <c r="D390" s="1"/>
      <c r="E390" s="1"/>
      <c r="P390" s="11"/>
      <c r="U390" s="11"/>
      <c r="X390" s="13">
        <f t="shared" si="47"/>
        <v>0</v>
      </c>
      <c r="Y390" s="2">
        <f t="shared" ca="1" si="42"/>
        <v>32133</v>
      </c>
      <c r="Z390" s="14">
        <v>1</v>
      </c>
      <c r="AA390" s="1" t="str">
        <f t="shared" ca="1" si="43"/>
        <v>VENCIDO</v>
      </c>
      <c r="AB390" s="1" t="str">
        <f t="shared" si="44"/>
        <v>TAAe+</v>
      </c>
      <c r="AC390" s="2">
        <f t="shared" si="48"/>
        <v>0</v>
      </c>
      <c r="AD390" s="2">
        <f t="shared" si="45"/>
        <v>8</v>
      </c>
      <c r="AE390" s="2">
        <f t="shared" ca="1" si="46"/>
        <v>-44986.676271643519</v>
      </c>
      <c r="AF390" s="15"/>
    </row>
    <row r="391" spans="3:32">
      <c r="C391" s="23"/>
      <c r="D391" s="1"/>
      <c r="E391" s="1"/>
      <c r="P391" s="11"/>
      <c r="U391" s="11"/>
      <c r="X391" s="13">
        <f t="shared" si="47"/>
        <v>0</v>
      </c>
      <c r="Y391" s="2">
        <f t="shared" ca="1" si="42"/>
        <v>32133</v>
      </c>
      <c r="Z391" s="14">
        <v>1</v>
      </c>
      <c r="AA391" s="1" t="str">
        <f t="shared" ca="1" si="43"/>
        <v>VENCIDO</v>
      </c>
      <c r="AB391" s="1" t="str">
        <f t="shared" si="44"/>
        <v>TAAe+</v>
      </c>
      <c r="AC391" s="2">
        <f t="shared" si="48"/>
        <v>0</v>
      </c>
      <c r="AD391" s="2">
        <f t="shared" si="45"/>
        <v>8</v>
      </c>
      <c r="AE391" s="2">
        <f t="shared" ca="1" si="46"/>
        <v>-44986.676271643519</v>
      </c>
      <c r="AF391" s="15"/>
    </row>
    <row r="392" spans="3:32">
      <c r="D392" s="1"/>
      <c r="E392" s="1"/>
      <c r="P392" s="11"/>
      <c r="X392" s="13">
        <f t="shared" si="47"/>
        <v>0</v>
      </c>
      <c r="Y392" s="2">
        <f t="shared" ca="1" si="42"/>
        <v>32133</v>
      </c>
      <c r="Z392" s="14">
        <v>1</v>
      </c>
      <c r="AA392" s="1" t="str">
        <f t="shared" ca="1" si="43"/>
        <v>VENCIDO</v>
      </c>
      <c r="AB392" s="1" t="str">
        <f t="shared" si="44"/>
        <v>TAAe+</v>
      </c>
      <c r="AC392" s="2">
        <f t="shared" si="48"/>
        <v>0</v>
      </c>
      <c r="AD392" s="2">
        <f t="shared" si="45"/>
        <v>8</v>
      </c>
      <c r="AE392" s="2">
        <f t="shared" ca="1" si="46"/>
        <v>-44986.676271643519</v>
      </c>
      <c r="AF392" s="15"/>
    </row>
    <row r="393" spans="3:32">
      <c r="D393" s="1"/>
      <c r="E393" s="1"/>
      <c r="P393" s="11"/>
      <c r="X393" s="13">
        <f t="shared" si="47"/>
        <v>0</v>
      </c>
      <c r="Y393" s="2">
        <f t="shared" ca="1" si="42"/>
        <v>32133</v>
      </c>
      <c r="Z393" s="14">
        <v>1</v>
      </c>
      <c r="AA393" s="1" t="str">
        <f t="shared" ca="1" si="43"/>
        <v>VENCIDO</v>
      </c>
      <c r="AB393" s="1" t="str">
        <f t="shared" si="44"/>
        <v>TAAe+</v>
      </c>
      <c r="AC393" s="2">
        <f t="shared" si="48"/>
        <v>0</v>
      </c>
      <c r="AD393" s="2">
        <f t="shared" si="45"/>
        <v>8</v>
      </c>
      <c r="AE393" s="2">
        <f t="shared" ca="1" si="46"/>
        <v>-44986.676271643519</v>
      </c>
      <c r="AF393" s="15"/>
    </row>
    <row r="394" spans="3:32">
      <c r="D394" s="1"/>
      <c r="E394" s="1"/>
      <c r="P394" s="11"/>
      <c r="X394" s="13">
        <f t="shared" si="47"/>
        <v>0</v>
      </c>
      <c r="Y394" s="2">
        <f t="shared" ca="1" si="42"/>
        <v>32133</v>
      </c>
      <c r="Z394" s="14">
        <v>1</v>
      </c>
      <c r="AA394" s="1" t="str">
        <f t="shared" ca="1" si="43"/>
        <v>VENCIDO</v>
      </c>
      <c r="AB394" s="1" t="str">
        <f t="shared" si="44"/>
        <v>TAAe+</v>
      </c>
      <c r="AC394" s="2">
        <f t="shared" si="48"/>
        <v>0</v>
      </c>
      <c r="AD394" s="2">
        <f t="shared" si="45"/>
        <v>8</v>
      </c>
      <c r="AE394" s="2">
        <f t="shared" ca="1" si="46"/>
        <v>-44986.676271643519</v>
      </c>
      <c r="AF394" s="15"/>
    </row>
    <row r="395" spans="3:32">
      <c r="D395" s="1"/>
      <c r="E395" s="1"/>
      <c r="P395" s="11"/>
      <c r="X395" s="13">
        <f t="shared" si="47"/>
        <v>0</v>
      </c>
      <c r="Y395" s="2">
        <f t="shared" ca="1" si="42"/>
        <v>32133</v>
      </c>
      <c r="Z395" s="14">
        <v>1</v>
      </c>
      <c r="AA395" s="1" t="str">
        <f t="shared" ca="1" si="43"/>
        <v>VENCIDO</v>
      </c>
      <c r="AB395" s="1" t="str">
        <f t="shared" si="44"/>
        <v>TAAe+</v>
      </c>
      <c r="AC395" s="2">
        <f t="shared" si="48"/>
        <v>0</v>
      </c>
      <c r="AD395" s="2">
        <f t="shared" si="45"/>
        <v>8</v>
      </c>
      <c r="AE395" s="2">
        <f t="shared" ca="1" si="46"/>
        <v>-44986.676271643519</v>
      </c>
      <c r="AF395" s="15"/>
    </row>
    <row r="396" spans="3:32">
      <c r="D396" s="1"/>
      <c r="E396" s="1"/>
      <c r="P396" s="11"/>
      <c r="X396" s="13">
        <f t="shared" si="47"/>
        <v>0</v>
      </c>
      <c r="Y396" s="2">
        <f t="shared" ca="1" si="42"/>
        <v>32133</v>
      </c>
      <c r="Z396" s="14">
        <v>1</v>
      </c>
      <c r="AA396" s="1" t="str">
        <f t="shared" ca="1" si="43"/>
        <v>VENCIDO</v>
      </c>
      <c r="AB396" s="1" t="str">
        <f t="shared" si="44"/>
        <v>TAAe+</v>
      </c>
      <c r="AC396" s="2">
        <f t="shared" si="48"/>
        <v>0</v>
      </c>
      <c r="AD396" s="2">
        <f t="shared" si="45"/>
        <v>8</v>
      </c>
      <c r="AE396" s="2">
        <f t="shared" ca="1" si="46"/>
        <v>-44986.676271643519</v>
      </c>
      <c r="AF396" s="15"/>
    </row>
    <row r="397" spans="3:32">
      <c r="D397" s="1"/>
      <c r="E397" s="1"/>
      <c r="P397" s="11"/>
      <c r="U397" s="11"/>
      <c r="X397" s="13">
        <f t="shared" si="47"/>
        <v>0</v>
      </c>
      <c r="Y397" s="2">
        <f t="shared" ca="1" si="42"/>
        <v>32133</v>
      </c>
      <c r="Z397" s="14">
        <v>1</v>
      </c>
      <c r="AA397" s="1" t="str">
        <f t="shared" ca="1" si="43"/>
        <v>VENCIDO</v>
      </c>
      <c r="AB397" s="1" t="str">
        <f t="shared" si="44"/>
        <v>TAAe+</v>
      </c>
      <c r="AC397" s="2">
        <f t="shared" si="48"/>
        <v>0</v>
      </c>
      <c r="AD397" s="2">
        <f t="shared" si="45"/>
        <v>8</v>
      </c>
      <c r="AE397" s="2">
        <f t="shared" ca="1" si="46"/>
        <v>-44986.676271643519</v>
      </c>
      <c r="AF397" s="15"/>
    </row>
    <row r="398" spans="3:32">
      <c r="D398" s="1"/>
      <c r="E398" s="1"/>
      <c r="P398" s="11"/>
      <c r="U398" s="11"/>
      <c r="X398" s="13">
        <f t="shared" si="47"/>
        <v>0</v>
      </c>
      <c r="Y398" s="2">
        <f t="shared" ca="1" si="42"/>
        <v>32133</v>
      </c>
      <c r="Z398" s="14">
        <v>1</v>
      </c>
      <c r="AA398" s="1" t="str">
        <f t="shared" ca="1" si="43"/>
        <v>VENCIDO</v>
      </c>
      <c r="AB398" s="1" t="str">
        <f t="shared" si="44"/>
        <v>TAAe+</v>
      </c>
      <c r="AC398" s="2">
        <f t="shared" si="48"/>
        <v>0</v>
      </c>
      <c r="AD398" s="2">
        <f t="shared" si="45"/>
        <v>8</v>
      </c>
      <c r="AE398" s="2">
        <f t="shared" ca="1" si="46"/>
        <v>-44986.676271643519</v>
      </c>
      <c r="AF398" s="15"/>
    </row>
    <row r="399" spans="3:32">
      <c r="D399" s="1"/>
      <c r="E399" s="1"/>
      <c r="P399" s="11"/>
      <c r="U399" s="11"/>
      <c r="X399" s="13">
        <f t="shared" si="47"/>
        <v>0</v>
      </c>
      <c r="Y399" s="2">
        <f t="shared" ca="1" si="42"/>
        <v>32133</v>
      </c>
      <c r="Z399" s="14">
        <v>1</v>
      </c>
      <c r="AA399" s="1" t="str">
        <f t="shared" ca="1" si="43"/>
        <v>VENCIDO</v>
      </c>
      <c r="AB399" s="1" t="str">
        <f t="shared" si="44"/>
        <v>TAAe+</v>
      </c>
      <c r="AC399" s="2">
        <f t="shared" si="48"/>
        <v>0</v>
      </c>
      <c r="AD399" s="2">
        <f t="shared" si="45"/>
        <v>8</v>
      </c>
      <c r="AE399" s="2">
        <f t="shared" ca="1" si="46"/>
        <v>-44986.676271643519</v>
      </c>
      <c r="AF399" s="15"/>
    </row>
    <row r="400" spans="3:32">
      <c r="D400" s="1"/>
      <c r="E400" s="1"/>
      <c r="P400" s="11"/>
      <c r="U400" s="11"/>
      <c r="X400" s="13">
        <f t="shared" si="47"/>
        <v>0</v>
      </c>
      <c r="Y400" s="2">
        <f t="shared" ca="1" si="42"/>
        <v>32133</v>
      </c>
      <c r="Z400" s="14">
        <v>1</v>
      </c>
      <c r="AA400" s="1" t="str">
        <f t="shared" ca="1" si="43"/>
        <v>VENCIDO</v>
      </c>
      <c r="AB400" s="1" t="str">
        <f t="shared" si="44"/>
        <v>TAAe+</v>
      </c>
      <c r="AC400" s="2">
        <f t="shared" si="48"/>
        <v>0</v>
      </c>
      <c r="AD400" s="2">
        <f t="shared" si="45"/>
        <v>8</v>
      </c>
      <c r="AE400" s="2">
        <f t="shared" ca="1" si="46"/>
        <v>-44986.676271643519</v>
      </c>
      <c r="AF400" s="15"/>
    </row>
    <row r="401" spans="4:32">
      <c r="D401" s="1"/>
      <c r="E401" s="1"/>
      <c r="P401" s="11"/>
      <c r="U401" s="11"/>
      <c r="X401" s="13">
        <f t="shared" si="47"/>
        <v>0</v>
      </c>
      <c r="Y401" s="2">
        <f t="shared" ca="1" si="42"/>
        <v>32133</v>
      </c>
      <c r="Z401" s="14">
        <v>1</v>
      </c>
      <c r="AA401" s="1" t="str">
        <f t="shared" ca="1" si="43"/>
        <v>VENCIDO</v>
      </c>
      <c r="AB401" s="1" t="str">
        <f t="shared" si="44"/>
        <v>TAAe+</v>
      </c>
      <c r="AC401" s="2">
        <f t="shared" si="48"/>
        <v>0</v>
      </c>
      <c r="AD401" s="2">
        <f t="shared" si="45"/>
        <v>8</v>
      </c>
      <c r="AE401" s="2">
        <f t="shared" ca="1" si="46"/>
        <v>-44986.676271643519</v>
      </c>
      <c r="AF401" s="15"/>
    </row>
    <row r="402" spans="4:32">
      <c r="D402" s="1"/>
      <c r="E402" s="1"/>
      <c r="P402" s="11"/>
      <c r="X402" s="13">
        <f t="shared" si="47"/>
        <v>0</v>
      </c>
      <c r="Y402" s="2">
        <f t="shared" ca="1" si="42"/>
        <v>32133</v>
      </c>
      <c r="Z402" s="14">
        <v>1</v>
      </c>
      <c r="AA402" s="1" t="str">
        <f t="shared" ca="1" si="43"/>
        <v>VENCIDO</v>
      </c>
      <c r="AB402" s="1" t="str">
        <f t="shared" si="44"/>
        <v>TAAe+</v>
      </c>
      <c r="AC402" s="2">
        <f t="shared" si="48"/>
        <v>0</v>
      </c>
      <c r="AD402" s="2">
        <f t="shared" si="45"/>
        <v>8</v>
      </c>
      <c r="AE402" s="2">
        <f t="shared" ca="1" si="46"/>
        <v>-44986.676271643519</v>
      </c>
      <c r="AF402" s="15"/>
    </row>
    <row r="403" spans="4:32">
      <c r="D403" s="1"/>
      <c r="E403" s="1"/>
      <c r="P403" s="11"/>
      <c r="X403" s="13">
        <f t="shared" si="47"/>
        <v>0</v>
      </c>
      <c r="Y403" s="2">
        <f t="shared" ca="1" si="42"/>
        <v>32133</v>
      </c>
      <c r="Z403" s="14">
        <v>1</v>
      </c>
      <c r="AA403" s="1" t="str">
        <f t="shared" ca="1" si="43"/>
        <v>VENCIDO</v>
      </c>
      <c r="AB403" s="1" t="str">
        <f t="shared" si="44"/>
        <v>TAAe+</v>
      </c>
      <c r="AC403" s="2">
        <f t="shared" si="48"/>
        <v>0</v>
      </c>
      <c r="AD403" s="2">
        <f t="shared" si="45"/>
        <v>8</v>
      </c>
      <c r="AE403" s="2">
        <f t="shared" ca="1" si="46"/>
        <v>-44986.676271643519</v>
      </c>
      <c r="AF403" s="15"/>
    </row>
    <row r="404" spans="4:32">
      <c r="D404" s="1"/>
      <c r="E404" s="1"/>
      <c r="P404" s="11"/>
      <c r="X404" s="13">
        <f t="shared" si="47"/>
        <v>0</v>
      </c>
      <c r="Y404" s="2">
        <f t="shared" ca="1" si="42"/>
        <v>32133</v>
      </c>
      <c r="Z404" s="14">
        <v>1</v>
      </c>
      <c r="AA404" s="1" t="str">
        <f t="shared" ca="1" si="43"/>
        <v>VENCIDO</v>
      </c>
      <c r="AB404" s="1" t="str">
        <f t="shared" si="44"/>
        <v>TAAe+</v>
      </c>
      <c r="AC404" s="2">
        <f t="shared" si="48"/>
        <v>0</v>
      </c>
      <c r="AD404" s="2">
        <f t="shared" si="45"/>
        <v>8</v>
      </c>
      <c r="AE404" s="2">
        <f t="shared" ca="1" si="46"/>
        <v>-44986.676271643519</v>
      </c>
      <c r="AF404" s="15"/>
    </row>
    <row r="405" spans="4:32">
      <c r="D405" s="1"/>
      <c r="E405" s="1"/>
      <c r="P405" s="11"/>
      <c r="X405" s="13">
        <f t="shared" si="47"/>
        <v>0</v>
      </c>
      <c r="Y405" s="2">
        <f t="shared" ca="1" si="42"/>
        <v>32133</v>
      </c>
      <c r="Z405" s="14">
        <v>1</v>
      </c>
      <c r="AA405" s="1" t="str">
        <f t="shared" ca="1" si="43"/>
        <v>VENCIDO</v>
      </c>
      <c r="AB405" s="1" t="str">
        <f t="shared" si="44"/>
        <v>TAAe+</v>
      </c>
      <c r="AC405" s="2">
        <f t="shared" si="48"/>
        <v>0</v>
      </c>
      <c r="AD405" s="2">
        <f t="shared" si="45"/>
        <v>8</v>
      </c>
      <c r="AE405" s="2">
        <f t="shared" ca="1" si="46"/>
        <v>-44986.676271643519</v>
      </c>
      <c r="AF405" s="15"/>
    </row>
    <row r="406" spans="4:32">
      <c r="D406" s="1"/>
      <c r="E406" s="1"/>
      <c r="P406" s="11"/>
      <c r="X406" s="13">
        <f t="shared" si="47"/>
        <v>0</v>
      </c>
      <c r="Y406" s="2">
        <f t="shared" ca="1" si="42"/>
        <v>32133</v>
      </c>
      <c r="Z406" s="14">
        <v>1</v>
      </c>
      <c r="AA406" s="1" t="str">
        <f t="shared" ca="1" si="43"/>
        <v>VENCIDO</v>
      </c>
      <c r="AB406" s="1" t="str">
        <f t="shared" si="44"/>
        <v>TAAe+</v>
      </c>
      <c r="AC406" s="2">
        <f t="shared" si="48"/>
        <v>0</v>
      </c>
      <c r="AD406" s="2">
        <f t="shared" si="45"/>
        <v>8</v>
      </c>
      <c r="AE406" s="2">
        <f t="shared" ca="1" si="46"/>
        <v>-44986.676271643519</v>
      </c>
      <c r="AF406" s="15"/>
    </row>
    <row r="407" spans="4:32">
      <c r="D407" s="1"/>
      <c r="E407" s="1"/>
      <c r="P407" s="11"/>
      <c r="X407" s="13">
        <f t="shared" si="47"/>
        <v>0</v>
      </c>
      <c r="Y407" s="2">
        <f t="shared" ca="1" si="42"/>
        <v>32133</v>
      </c>
      <c r="Z407" s="14">
        <v>1</v>
      </c>
      <c r="AA407" s="1" t="str">
        <f t="shared" ca="1" si="43"/>
        <v>VENCIDO</v>
      </c>
      <c r="AB407" s="1" t="str">
        <f t="shared" si="44"/>
        <v>TAAe+</v>
      </c>
      <c r="AC407" s="2">
        <f t="shared" si="48"/>
        <v>0</v>
      </c>
      <c r="AD407" s="2">
        <f t="shared" si="45"/>
        <v>8</v>
      </c>
      <c r="AE407" s="2">
        <f t="shared" ca="1" si="46"/>
        <v>-44986.676271643519</v>
      </c>
      <c r="AF407" s="15"/>
    </row>
    <row r="408" spans="4:32">
      <c r="D408" s="1"/>
      <c r="E408" s="1"/>
      <c r="P408" s="11"/>
      <c r="X408" s="13">
        <f t="shared" si="47"/>
        <v>0</v>
      </c>
      <c r="Y408" s="2">
        <f t="shared" ca="1" si="42"/>
        <v>32133</v>
      </c>
      <c r="Z408" s="14">
        <v>1</v>
      </c>
      <c r="AA408" s="1" t="str">
        <f t="shared" ca="1" si="43"/>
        <v>VENCIDO</v>
      </c>
      <c r="AB408" s="1" t="str">
        <f t="shared" si="44"/>
        <v>TAAe+</v>
      </c>
      <c r="AC408" s="2">
        <f t="shared" si="48"/>
        <v>0</v>
      </c>
      <c r="AD408" s="2">
        <f t="shared" si="45"/>
        <v>8</v>
      </c>
      <c r="AE408" s="2">
        <f t="shared" ca="1" si="46"/>
        <v>-44986.676271643519</v>
      </c>
      <c r="AF408" s="15"/>
    </row>
    <row r="409" spans="4:32">
      <c r="D409" s="1"/>
      <c r="E409" s="1"/>
      <c r="P409" s="11"/>
      <c r="X409" s="13">
        <f t="shared" si="47"/>
        <v>0</v>
      </c>
      <c r="Y409" s="2">
        <f t="shared" ca="1" si="42"/>
        <v>32133</v>
      </c>
      <c r="Z409" s="14">
        <v>1</v>
      </c>
      <c r="AA409" s="1" t="str">
        <f t="shared" ca="1" si="43"/>
        <v>VENCIDO</v>
      </c>
      <c r="AB409" s="1" t="str">
        <f t="shared" si="44"/>
        <v>TAAe+</v>
      </c>
      <c r="AC409" s="2">
        <f t="shared" si="48"/>
        <v>0</v>
      </c>
      <c r="AD409" s="2">
        <f t="shared" si="45"/>
        <v>8</v>
      </c>
      <c r="AE409" s="2">
        <f t="shared" ca="1" si="46"/>
        <v>-44986.676271643519</v>
      </c>
      <c r="AF409" s="15"/>
    </row>
    <row r="410" spans="4:32">
      <c r="D410" s="1"/>
      <c r="E410" s="1"/>
      <c r="P410" s="11"/>
      <c r="X410" s="13">
        <f t="shared" si="47"/>
        <v>0</v>
      </c>
      <c r="Y410" s="2">
        <f t="shared" ca="1" si="42"/>
        <v>32133</v>
      </c>
      <c r="Z410" s="14">
        <v>1</v>
      </c>
      <c r="AA410" s="1" t="str">
        <f t="shared" ca="1" si="43"/>
        <v>VENCIDO</v>
      </c>
      <c r="AB410" s="1" t="str">
        <f t="shared" si="44"/>
        <v>TAAe+</v>
      </c>
      <c r="AC410" s="2">
        <f t="shared" si="48"/>
        <v>0</v>
      </c>
      <c r="AD410" s="2">
        <f t="shared" si="45"/>
        <v>8</v>
      </c>
      <c r="AE410" s="2">
        <f t="shared" ca="1" si="46"/>
        <v>-44986.676271643519</v>
      </c>
      <c r="AF410" s="15"/>
    </row>
    <row r="411" spans="4:32">
      <c r="D411" s="1"/>
      <c r="E411" s="1"/>
      <c r="P411" s="11"/>
      <c r="X411" s="13">
        <f t="shared" si="47"/>
        <v>0</v>
      </c>
      <c r="Y411" s="2">
        <f t="shared" ca="1" si="42"/>
        <v>32133</v>
      </c>
      <c r="Z411" s="14">
        <v>1</v>
      </c>
      <c r="AA411" s="1" t="str">
        <f t="shared" ca="1" si="43"/>
        <v>VENCIDO</v>
      </c>
      <c r="AB411" s="1" t="str">
        <f t="shared" si="44"/>
        <v>TAAe+</v>
      </c>
      <c r="AC411" s="2">
        <f t="shared" si="48"/>
        <v>0</v>
      </c>
      <c r="AD411" s="2">
        <f t="shared" si="45"/>
        <v>8</v>
      </c>
      <c r="AE411" s="2">
        <f t="shared" ca="1" si="46"/>
        <v>-44986.676271643519</v>
      </c>
      <c r="AF411" s="15"/>
    </row>
    <row r="412" spans="4:32">
      <c r="D412" s="1"/>
      <c r="E412" s="1"/>
      <c r="P412" s="11"/>
      <c r="X412" s="13">
        <f t="shared" si="47"/>
        <v>0</v>
      </c>
      <c r="Y412" s="2">
        <f t="shared" ca="1" si="42"/>
        <v>32133</v>
      </c>
      <c r="Z412" s="14">
        <v>1</v>
      </c>
      <c r="AA412" s="1" t="str">
        <f t="shared" ca="1" si="43"/>
        <v>VENCIDO</v>
      </c>
      <c r="AB412" s="1" t="str">
        <f t="shared" si="44"/>
        <v>TAAe+</v>
      </c>
      <c r="AC412" s="2">
        <f t="shared" si="48"/>
        <v>0</v>
      </c>
      <c r="AD412" s="2">
        <f t="shared" si="45"/>
        <v>8</v>
      </c>
      <c r="AE412" s="2">
        <f t="shared" ca="1" si="46"/>
        <v>-44986.676271643519</v>
      </c>
      <c r="AF412" s="15"/>
    </row>
    <row r="413" spans="4:32">
      <c r="D413" s="1"/>
      <c r="E413" s="1"/>
      <c r="P413" s="11"/>
      <c r="X413" s="13">
        <f t="shared" si="47"/>
        <v>0</v>
      </c>
      <c r="Y413" s="2">
        <f t="shared" ca="1" si="42"/>
        <v>32133</v>
      </c>
      <c r="Z413" s="14">
        <v>1</v>
      </c>
      <c r="AA413" s="1" t="str">
        <f t="shared" ca="1" si="43"/>
        <v>VENCIDO</v>
      </c>
      <c r="AB413" s="1" t="str">
        <f t="shared" si="44"/>
        <v>TAAe+</v>
      </c>
      <c r="AC413" s="2">
        <f t="shared" si="48"/>
        <v>0</v>
      </c>
      <c r="AD413" s="2">
        <f t="shared" si="45"/>
        <v>8</v>
      </c>
      <c r="AE413" s="2">
        <f t="shared" ca="1" si="46"/>
        <v>-44986.676271643519</v>
      </c>
      <c r="AF413" s="15"/>
    </row>
    <row r="414" spans="4:32">
      <c r="D414" s="1"/>
      <c r="E414" s="1"/>
      <c r="P414" s="11"/>
      <c r="X414" s="13">
        <f t="shared" si="47"/>
        <v>0</v>
      </c>
      <c r="Y414" s="2">
        <f t="shared" ca="1" si="42"/>
        <v>32133</v>
      </c>
      <c r="Z414" s="14">
        <v>1</v>
      </c>
      <c r="AA414" s="1" t="str">
        <f t="shared" ca="1" si="43"/>
        <v>VENCIDO</v>
      </c>
      <c r="AB414" s="1" t="str">
        <f t="shared" si="44"/>
        <v>TAAe+</v>
      </c>
      <c r="AC414" s="2">
        <f t="shared" si="48"/>
        <v>0</v>
      </c>
      <c r="AD414" s="2">
        <f t="shared" si="45"/>
        <v>8</v>
      </c>
      <c r="AE414" s="2">
        <f t="shared" ca="1" si="46"/>
        <v>-44986.676271643519</v>
      </c>
      <c r="AF414" s="15"/>
    </row>
    <row r="415" spans="4:32">
      <c r="D415" s="1"/>
      <c r="E415" s="1"/>
      <c r="P415" s="11"/>
      <c r="X415" s="13">
        <f t="shared" si="47"/>
        <v>0</v>
      </c>
      <c r="Y415" s="2">
        <f t="shared" ca="1" si="42"/>
        <v>32133</v>
      </c>
      <c r="Z415" s="14">
        <v>1</v>
      </c>
      <c r="AA415" s="1" t="str">
        <f t="shared" ca="1" si="43"/>
        <v>VENCIDO</v>
      </c>
      <c r="AB415" s="1" t="str">
        <f t="shared" si="44"/>
        <v>TAAe+</v>
      </c>
      <c r="AC415" s="2">
        <f t="shared" si="48"/>
        <v>0</v>
      </c>
      <c r="AD415" s="2">
        <f t="shared" si="45"/>
        <v>8</v>
      </c>
      <c r="AE415" s="2">
        <f t="shared" ca="1" si="46"/>
        <v>-44986.676271643519</v>
      </c>
      <c r="AF415" s="15"/>
    </row>
    <row r="416" spans="4:32">
      <c r="D416" s="1"/>
      <c r="E416" s="1"/>
      <c r="P416" s="11"/>
      <c r="X416" s="13">
        <f t="shared" si="47"/>
        <v>0</v>
      </c>
      <c r="Y416" s="2">
        <f t="shared" ca="1" si="42"/>
        <v>32133</v>
      </c>
      <c r="Z416" s="14">
        <v>1</v>
      </c>
      <c r="AA416" s="1" t="str">
        <f t="shared" ca="1" si="43"/>
        <v>VENCIDO</v>
      </c>
      <c r="AB416" s="1" t="str">
        <f t="shared" si="44"/>
        <v>TAAe+</v>
      </c>
      <c r="AC416" s="2">
        <f t="shared" si="48"/>
        <v>0</v>
      </c>
      <c r="AD416" s="2">
        <f t="shared" si="45"/>
        <v>8</v>
      </c>
      <c r="AE416" s="2">
        <f t="shared" ca="1" si="46"/>
        <v>-44986.676271643519</v>
      </c>
      <c r="AF416" s="15"/>
    </row>
    <row r="417" spans="3:32">
      <c r="D417" s="1"/>
      <c r="E417" s="1"/>
      <c r="P417" s="11"/>
      <c r="X417" s="13">
        <f t="shared" si="47"/>
        <v>0</v>
      </c>
      <c r="Y417" s="2">
        <f t="shared" ca="1" si="42"/>
        <v>32133</v>
      </c>
      <c r="Z417" s="14">
        <v>1</v>
      </c>
      <c r="AA417" s="1" t="str">
        <f t="shared" ca="1" si="43"/>
        <v>VENCIDO</v>
      </c>
      <c r="AB417" s="1" t="str">
        <f t="shared" si="44"/>
        <v>TAAe+</v>
      </c>
      <c r="AC417" s="2">
        <f t="shared" si="48"/>
        <v>0</v>
      </c>
      <c r="AD417" s="2">
        <f t="shared" si="45"/>
        <v>8</v>
      </c>
      <c r="AE417" s="2">
        <f t="shared" ca="1" si="46"/>
        <v>-44986.676271643519</v>
      </c>
      <c r="AF417" s="15"/>
    </row>
    <row r="418" spans="3:32">
      <c r="D418" s="1"/>
      <c r="E418" s="1"/>
      <c r="P418" s="11"/>
      <c r="X418" s="13">
        <f t="shared" si="47"/>
        <v>0</v>
      </c>
      <c r="Y418" s="2">
        <f t="shared" ca="1" si="42"/>
        <v>32133</v>
      </c>
      <c r="Z418" s="14">
        <v>1</v>
      </c>
      <c r="AA418" s="1" t="str">
        <f t="shared" ca="1" si="43"/>
        <v>VENCIDO</v>
      </c>
      <c r="AB418" s="1" t="str">
        <f t="shared" si="44"/>
        <v>TAAe+</v>
      </c>
      <c r="AC418" s="2">
        <f t="shared" si="48"/>
        <v>0</v>
      </c>
      <c r="AD418" s="2">
        <f t="shared" si="45"/>
        <v>8</v>
      </c>
      <c r="AE418" s="2">
        <f t="shared" ca="1" si="46"/>
        <v>-44986.676271643519</v>
      </c>
      <c r="AF418" s="15"/>
    </row>
    <row r="419" spans="3:32">
      <c r="D419" s="1"/>
      <c r="E419" s="1"/>
      <c r="P419" s="11"/>
      <c r="X419" s="13">
        <f t="shared" si="47"/>
        <v>0</v>
      </c>
      <c r="Y419" s="2">
        <f t="shared" ca="1" si="42"/>
        <v>32133</v>
      </c>
      <c r="Z419" s="14">
        <v>1</v>
      </c>
      <c r="AA419" s="1" t="str">
        <f t="shared" ca="1" si="43"/>
        <v>VENCIDO</v>
      </c>
      <c r="AB419" s="1" t="str">
        <f t="shared" si="44"/>
        <v>TAAe+</v>
      </c>
      <c r="AC419" s="2">
        <f t="shared" si="48"/>
        <v>0</v>
      </c>
      <c r="AD419" s="2">
        <f t="shared" si="45"/>
        <v>8</v>
      </c>
      <c r="AE419" s="2">
        <f t="shared" ca="1" si="46"/>
        <v>-44986.676271643519</v>
      </c>
      <c r="AF419" s="15"/>
    </row>
    <row r="420" spans="3:32">
      <c r="D420" s="1"/>
      <c r="E420" s="1"/>
      <c r="P420" s="11"/>
      <c r="X420" s="13">
        <f t="shared" si="47"/>
        <v>0</v>
      </c>
      <c r="Y420" s="2">
        <f t="shared" ca="1" si="42"/>
        <v>32133</v>
      </c>
      <c r="Z420" s="14">
        <v>1</v>
      </c>
      <c r="AA420" s="1" t="str">
        <f t="shared" ca="1" si="43"/>
        <v>VENCIDO</v>
      </c>
      <c r="AB420" s="1" t="str">
        <f t="shared" si="44"/>
        <v>TAAe+</v>
      </c>
      <c r="AC420" s="2">
        <f t="shared" si="48"/>
        <v>0</v>
      </c>
      <c r="AD420" s="2">
        <f t="shared" si="45"/>
        <v>8</v>
      </c>
      <c r="AE420" s="2">
        <f t="shared" ca="1" si="46"/>
        <v>-44986.676271643519</v>
      </c>
      <c r="AF420" s="15"/>
    </row>
    <row r="421" spans="3:32">
      <c r="D421" s="1"/>
      <c r="E421" s="1"/>
      <c r="P421" s="11"/>
      <c r="X421" s="13">
        <f t="shared" si="47"/>
        <v>0</v>
      </c>
      <c r="Y421" s="2">
        <f t="shared" ca="1" si="42"/>
        <v>32133</v>
      </c>
      <c r="Z421" s="14">
        <v>1</v>
      </c>
      <c r="AA421" s="1" t="str">
        <f t="shared" ca="1" si="43"/>
        <v>VENCIDO</v>
      </c>
      <c r="AB421" s="1" t="str">
        <f t="shared" si="44"/>
        <v>TAAe+</v>
      </c>
      <c r="AC421" s="2">
        <f t="shared" si="48"/>
        <v>0</v>
      </c>
      <c r="AD421" s="2">
        <f t="shared" si="45"/>
        <v>8</v>
      </c>
      <c r="AE421" s="2">
        <f t="shared" ca="1" si="46"/>
        <v>-44986.676271643519</v>
      </c>
      <c r="AF421" s="15"/>
    </row>
    <row r="422" spans="3:32">
      <c r="D422" s="1"/>
      <c r="E422" s="1"/>
      <c r="P422" s="11"/>
      <c r="X422" s="13">
        <f t="shared" si="47"/>
        <v>0</v>
      </c>
      <c r="Y422" s="2">
        <f t="shared" ca="1" si="42"/>
        <v>32133</v>
      </c>
      <c r="Z422" s="14">
        <v>1</v>
      </c>
      <c r="AA422" s="1" t="str">
        <f t="shared" ca="1" si="43"/>
        <v>VENCIDO</v>
      </c>
      <c r="AB422" s="1" t="str">
        <f t="shared" si="44"/>
        <v>TAAe+</v>
      </c>
      <c r="AC422" s="2">
        <f t="shared" si="48"/>
        <v>0</v>
      </c>
      <c r="AD422" s="2">
        <f t="shared" si="45"/>
        <v>8</v>
      </c>
      <c r="AE422" s="2">
        <f t="shared" ca="1" si="46"/>
        <v>-44986.676271643519</v>
      </c>
      <c r="AF422" s="15"/>
    </row>
    <row r="423" spans="3:32">
      <c r="D423" s="1"/>
      <c r="E423" s="1"/>
      <c r="P423" s="11"/>
      <c r="U423" s="11"/>
      <c r="X423" s="13">
        <f t="shared" si="47"/>
        <v>0</v>
      </c>
      <c r="Y423" s="2">
        <f t="shared" ca="1" si="42"/>
        <v>32133</v>
      </c>
      <c r="Z423" s="14">
        <v>1</v>
      </c>
      <c r="AA423" s="1" t="str">
        <f t="shared" ca="1" si="43"/>
        <v>VENCIDO</v>
      </c>
      <c r="AB423" s="1" t="str">
        <f t="shared" si="44"/>
        <v>TAAe+</v>
      </c>
      <c r="AC423" s="2">
        <f t="shared" si="48"/>
        <v>0</v>
      </c>
      <c r="AD423" s="2">
        <f t="shared" si="45"/>
        <v>8</v>
      </c>
      <c r="AE423" s="2">
        <f t="shared" ca="1" si="46"/>
        <v>-44986.676271643519</v>
      </c>
      <c r="AF423" s="15"/>
    </row>
    <row r="424" spans="3:32">
      <c r="D424" s="1"/>
      <c r="E424" s="1"/>
      <c r="P424" s="11"/>
      <c r="U424" s="11"/>
      <c r="X424" s="13">
        <f t="shared" si="47"/>
        <v>0</v>
      </c>
      <c r="Y424" s="2">
        <f t="shared" ca="1" si="42"/>
        <v>32133</v>
      </c>
      <c r="Z424" s="14">
        <v>1</v>
      </c>
      <c r="AA424" s="1" t="str">
        <f t="shared" ca="1" si="43"/>
        <v>VENCIDO</v>
      </c>
      <c r="AB424" s="1" t="str">
        <f t="shared" si="44"/>
        <v>TAAe+</v>
      </c>
      <c r="AC424" s="2">
        <f t="shared" si="48"/>
        <v>0</v>
      </c>
      <c r="AD424" s="2">
        <f t="shared" si="45"/>
        <v>8</v>
      </c>
      <c r="AE424" s="2">
        <f t="shared" ca="1" si="46"/>
        <v>-44986.676271643519</v>
      </c>
      <c r="AF424" s="15"/>
    </row>
    <row r="425" spans="3:32">
      <c r="D425" s="1"/>
      <c r="E425" s="1"/>
      <c r="P425" s="11"/>
      <c r="U425" s="11"/>
      <c r="X425" s="13">
        <f t="shared" si="47"/>
        <v>0</v>
      </c>
      <c r="Y425" s="2">
        <f t="shared" ca="1" si="42"/>
        <v>32133</v>
      </c>
      <c r="Z425" s="14">
        <v>1</v>
      </c>
      <c r="AA425" s="1" t="str">
        <f t="shared" ca="1" si="43"/>
        <v>VENCIDO</v>
      </c>
      <c r="AB425" s="1" t="str">
        <f t="shared" si="44"/>
        <v>TAAe+</v>
      </c>
      <c r="AC425" s="2">
        <f t="shared" si="48"/>
        <v>0</v>
      </c>
      <c r="AD425" s="2">
        <f t="shared" si="45"/>
        <v>8</v>
      </c>
      <c r="AE425" s="2">
        <f t="shared" ca="1" si="46"/>
        <v>-44986.676271643519</v>
      </c>
      <c r="AF425" s="15"/>
    </row>
    <row r="426" spans="3:32">
      <c r="D426" s="1"/>
      <c r="E426" s="1"/>
      <c r="P426" s="11"/>
      <c r="U426" s="11"/>
      <c r="X426" s="13">
        <f t="shared" si="47"/>
        <v>0</v>
      </c>
      <c r="Y426" s="2">
        <f t="shared" ca="1" si="42"/>
        <v>32133</v>
      </c>
      <c r="Z426" s="14">
        <v>1</v>
      </c>
      <c r="AA426" s="1" t="str">
        <f t="shared" ca="1" si="43"/>
        <v>VENCIDO</v>
      </c>
      <c r="AB426" s="1" t="str">
        <f t="shared" si="44"/>
        <v>TAAe+</v>
      </c>
      <c r="AC426" s="2">
        <f t="shared" si="48"/>
        <v>0</v>
      </c>
      <c r="AD426" s="2">
        <f t="shared" si="45"/>
        <v>8</v>
      </c>
      <c r="AE426" s="2">
        <f t="shared" ca="1" si="46"/>
        <v>-44986.676271643519</v>
      </c>
      <c r="AF426" s="15"/>
    </row>
    <row r="427" spans="3:32">
      <c r="D427" s="1"/>
      <c r="E427" s="1"/>
      <c r="P427" s="11"/>
      <c r="U427" s="11"/>
      <c r="X427" s="13">
        <f t="shared" si="47"/>
        <v>0</v>
      </c>
      <c r="Y427" s="2">
        <f t="shared" ca="1" si="42"/>
        <v>32133</v>
      </c>
      <c r="Z427" s="14">
        <v>1</v>
      </c>
      <c r="AA427" s="1" t="str">
        <f t="shared" ca="1" si="43"/>
        <v>VENCIDO</v>
      </c>
      <c r="AB427" s="1" t="str">
        <f t="shared" si="44"/>
        <v>TAAe+</v>
      </c>
      <c r="AC427" s="2">
        <f t="shared" si="48"/>
        <v>0</v>
      </c>
      <c r="AD427" s="2">
        <f t="shared" si="45"/>
        <v>8</v>
      </c>
      <c r="AE427" s="2">
        <f t="shared" ca="1" si="46"/>
        <v>-44986.676271643519</v>
      </c>
      <c r="AF427" s="15"/>
    </row>
    <row r="428" spans="3:32">
      <c r="D428" s="1"/>
      <c r="E428" s="1"/>
      <c r="P428" s="11"/>
      <c r="U428" s="11"/>
      <c r="X428" s="13">
        <f t="shared" si="47"/>
        <v>0</v>
      </c>
      <c r="Y428" s="2">
        <f t="shared" ca="1" si="42"/>
        <v>32133</v>
      </c>
      <c r="Z428" s="14">
        <v>1</v>
      </c>
      <c r="AA428" s="1" t="str">
        <f t="shared" ca="1" si="43"/>
        <v>VENCIDO</v>
      </c>
      <c r="AB428" s="1" t="str">
        <f t="shared" si="44"/>
        <v>TAAe+</v>
      </c>
      <c r="AC428" s="2">
        <f t="shared" si="48"/>
        <v>0</v>
      </c>
      <c r="AD428" s="2">
        <f t="shared" si="45"/>
        <v>8</v>
      </c>
      <c r="AE428" s="2">
        <f t="shared" ca="1" si="46"/>
        <v>-44986.676271643519</v>
      </c>
      <c r="AF428" s="15"/>
    </row>
    <row r="429" spans="3:32">
      <c r="D429" s="1"/>
      <c r="E429" s="1"/>
      <c r="P429" s="11"/>
      <c r="U429" s="11"/>
      <c r="X429" s="13">
        <f t="shared" si="47"/>
        <v>0</v>
      </c>
      <c r="Y429" s="2">
        <f t="shared" ca="1" si="42"/>
        <v>32133</v>
      </c>
      <c r="Z429" s="14">
        <v>1</v>
      </c>
      <c r="AA429" s="1" t="str">
        <f t="shared" ca="1" si="43"/>
        <v>VENCIDO</v>
      </c>
      <c r="AB429" s="1" t="str">
        <f t="shared" si="44"/>
        <v>TAAe+</v>
      </c>
      <c r="AC429" s="2">
        <f t="shared" si="48"/>
        <v>0</v>
      </c>
      <c r="AD429" s="2">
        <f t="shared" si="45"/>
        <v>8</v>
      </c>
      <c r="AE429" s="2">
        <f t="shared" ca="1" si="46"/>
        <v>-44986.676271643519</v>
      </c>
      <c r="AF429" s="15"/>
    </row>
    <row r="430" spans="3:32">
      <c r="C430" s="23"/>
      <c r="D430" s="1"/>
      <c r="E430" s="1"/>
      <c r="P430" s="11"/>
      <c r="U430" s="11"/>
      <c r="X430" s="13">
        <f t="shared" si="47"/>
        <v>0</v>
      </c>
      <c r="Y430" s="2">
        <f t="shared" ca="1" si="42"/>
        <v>32133</v>
      </c>
      <c r="Z430" s="14">
        <v>1</v>
      </c>
      <c r="AA430" s="1" t="str">
        <f t="shared" ca="1" si="43"/>
        <v>VENCIDO</v>
      </c>
      <c r="AB430" s="1" t="str">
        <f t="shared" si="44"/>
        <v>TAAe+</v>
      </c>
      <c r="AC430" s="2">
        <f t="shared" si="48"/>
        <v>0</v>
      </c>
      <c r="AD430" s="2">
        <f t="shared" si="45"/>
        <v>8</v>
      </c>
      <c r="AE430" s="2">
        <f t="shared" ca="1" si="46"/>
        <v>-44986.676271643519</v>
      </c>
      <c r="AF430" s="15"/>
    </row>
    <row r="431" spans="3:32">
      <c r="D431" s="1"/>
      <c r="E431" s="1"/>
      <c r="P431" s="11"/>
      <c r="U431" s="11"/>
      <c r="X431" s="13">
        <f t="shared" si="47"/>
        <v>0</v>
      </c>
      <c r="Y431" s="2">
        <f t="shared" ca="1" si="42"/>
        <v>32133</v>
      </c>
      <c r="Z431" s="14">
        <v>1</v>
      </c>
      <c r="AA431" s="1" t="str">
        <f t="shared" ca="1" si="43"/>
        <v>VENCIDO</v>
      </c>
      <c r="AB431" s="1" t="str">
        <f t="shared" si="44"/>
        <v>TAAe+</v>
      </c>
      <c r="AC431" s="2">
        <f t="shared" si="48"/>
        <v>0</v>
      </c>
      <c r="AD431" s="2">
        <f t="shared" si="45"/>
        <v>8</v>
      </c>
      <c r="AE431" s="2">
        <f t="shared" ca="1" si="46"/>
        <v>-44986.676271643519</v>
      </c>
      <c r="AF431" s="15"/>
    </row>
    <row r="432" spans="3:32">
      <c r="D432" s="1"/>
      <c r="E432" s="1"/>
      <c r="P432" s="11"/>
      <c r="U432" s="11"/>
      <c r="X432" s="13">
        <f t="shared" si="47"/>
        <v>0</v>
      </c>
      <c r="Y432" s="2">
        <f t="shared" ca="1" si="42"/>
        <v>32133</v>
      </c>
      <c r="Z432" s="14">
        <v>1</v>
      </c>
      <c r="AA432" s="1" t="str">
        <f t="shared" ca="1" si="43"/>
        <v>VENCIDO</v>
      </c>
      <c r="AB432" s="1" t="str">
        <f t="shared" si="44"/>
        <v>TAAe+</v>
      </c>
      <c r="AC432" s="2">
        <f t="shared" si="48"/>
        <v>0</v>
      </c>
      <c r="AD432" s="2">
        <f t="shared" si="45"/>
        <v>8</v>
      </c>
      <c r="AE432" s="2">
        <f t="shared" ca="1" si="46"/>
        <v>-44986.676271643519</v>
      </c>
      <c r="AF432" s="15"/>
    </row>
    <row r="433" spans="4:32">
      <c r="D433" s="1"/>
      <c r="E433" s="1"/>
      <c r="P433" s="11"/>
      <c r="U433" s="11"/>
      <c r="X433" s="13">
        <f t="shared" si="47"/>
        <v>0</v>
      </c>
      <c r="Y433" s="2">
        <f t="shared" ca="1" si="42"/>
        <v>32133</v>
      </c>
      <c r="Z433" s="14">
        <v>1</v>
      </c>
      <c r="AA433" s="1" t="str">
        <f t="shared" ca="1" si="43"/>
        <v>VENCIDO</v>
      </c>
      <c r="AB433" s="1" t="str">
        <f t="shared" si="44"/>
        <v>TAAe+</v>
      </c>
      <c r="AC433" s="2">
        <f t="shared" si="48"/>
        <v>0</v>
      </c>
      <c r="AD433" s="2">
        <f t="shared" si="45"/>
        <v>8</v>
      </c>
      <c r="AE433" s="2">
        <f t="shared" ca="1" si="46"/>
        <v>-44986.676271643519</v>
      </c>
      <c r="AF433" s="15"/>
    </row>
    <row r="434" spans="4:32">
      <c r="D434" s="1"/>
      <c r="E434" s="1"/>
      <c r="P434" s="11"/>
      <c r="U434" s="11"/>
      <c r="X434" s="13">
        <f t="shared" si="47"/>
        <v>0</v>
      </c>
      <c r="Y434" s="2">
        <f t="shared" ca="1" si="42"/>
        <v>32133</v>
      </c>
      <c r="Z434" s="14">
        <v>1</v>
      </c>
      <c r="AA434" s="1" t="str">
        <f t="shared" ca="1" si="43"/>
        <v>VENCIDO</v>
      </c>
      <c r="AB434" s="1" t="str">
        <f t="shared" si="44"/>
        <v>TAAe+</v>
      </c>
      <c r="AC434" s="2">
        <f t="shared" si="48"/>
        <v>0</v>
      </c>
      <c r="AD434" s="2">
        <f t="shared" si="45"/>
        <v>8</v>
      </c>
      <c r="AE434" s="2">
        <f t="shared" ca="1" si="46"/>
        <v>-44986.676271643519</v>
      </c>
      <c r="AF434" s="15"/>
    </row>
    <row r="435" spans="4:32">
      <c r="D435" s="1"/>
      <c r="E435" s="1"/>
      <c r="P435" s="11"/>
      <c r="U435" s="11"/>
      <c r="X435" s="13">
        <f t="shared" si="47"/>
        <v>0</v>
      </c>
      <c r="Y435" s="2">
        <f t="shared" ca="1" si="42"/>
        <v>32133</v>
      </c>
      <c r="Z435" s="14">
        <v>1</v>
      </c>
      <c r="AA435" s="1" t="str">
        <f t="shared" ca="1" si="43"/>
        <v>VENCIDO</v>
      </c>
      <c r="AB435" s="1" t="str">
        <f t="shared" si="44"/>
        <v>TAAe+</v>
      </c>
      <c r="AC435" s="2">
        <f t="shared" si="48"/>
        <v>0</v>
      </c>
      <c r="AD435" s="2">
        <f t="shared" si="45"/>
        <v>8</v>
      </c>
      <c r="AE435" s="2">
        <f t="shared" ca="1" si="46"/>
        <v>-44986.676271643519</v>
      </c>
      <c r="AF435" s="15"/>
    </row>
    <row r="436" spans="4:32">
      <c r="D436" s="1"/>
      <c r="E436" s="1"/>
      <c r="P436" s="11"/>
      <c r="U436" s="11"/>
      <c r="X436" s="13">
        <f t="shared" si="47"/>
        <v>0</v>
      </c>
      <c r="Y436" s="2">
        <f t="shared" ca="1" si="42"/>
        <v>32133</v>
      </c>
      <c r="Z436" s="14">
        <v>1</v>
      </c>
      <c r="AA436" s="1" t="str">
        <f t="shared" ca="1" si="43"/>
        <v>VENCIDO</v>
      </c>
      <c r="AB436" s="1" t="str">
        <f t="shared" si="44"/>
        <v>TAAe+</v>
      </c>
      <c r="AC436" s="2">
        <f t="shared" si="48"/>
        <v>0</v>
      </c>
      <c r="AD436" s="2">
        <f t="shared" si="45"/>
        <v>8</v>
      </c>
      <c r="AE436" s="2">
        <f t="shared" ca="1" si="46"/>
        <v>-44986.676271643519</v>
      </c>
      <c r="AF436" s="15"/>
    </row>
    <row r="437" spans="4:32">
      <c r="D437" s="1"/>
      <c r="E437" s="1"/>
      <c r="P437" s="11"/>
      <c r="U437" s="11"/>
      <c r="X437" s="13">
        <f t="shared" si="47"/>
        <v>0</v>
      </c>
      <c r="Y437" s="2">
        <f t="shared" ca="1" si="42"/>
        <v>32133</v>
      </c>
      <c r="Z437" s="14">
        <v>1</v>
      </c>
      <c r="AA437" s="1" t="str">
        <f t="shared" ca="1" si="43"/>
        <v>VENCIDO</v>
      </c>
      <c r="AB437" s="1" t="str">
        <f t="shared" si="44"/>
        <v>TAAe+</v>
      </c>
      <c r="AC437" s="2">
        <f t="shared" si="48"/>
        <v>0</v>
      </c>
      <c r="AD437" s="2">
        <f t="shared" si="45"/>
        <v>8</v>
      </c>
      <c r="AE437" s="2">
        <f t="shared" ca="1" si="46"/>
        <v>-44986.676271643519</v>
      </c>
      <c r="AF437" s="15"/>
    </row>
    <row r="438" spans="4:32">
      <c r="D438" s="1"/>
      <c r="E438" s="1"/>
      <c r="P438" s="11"/>
      <c r="U438" s="11"/>
      <c r="X438" s="13">
        <f t="shared" si="47"/>
        <v>0</v>
      </c>
      <c r="Y438" s="2">
        <f t="shared" ca="1" si="42"/>
        <v>32133</v>
      </c>
      <c r="Z438" s="14">
        <v>1</v>
      </c>
      <c r="AA438" s="1" t="str">
        <f t="shared" ca="1" si="43"/>
        <v>VENCIDO</v>
      </c>
      <c r="AB438" s="1" t="str">
        <f t="shared" si="44"/>
        <v>TAAe+</v>
      </c>
      <c r="AC438" s="2">
        <f t="shared" si="48"/>
        <v>0</v>
      </c>
      <c r="AD438" s="2">
        <f t="shared" si="45"/>
        <v>8</v>
      </c>
      <c r="AE438" s="2">
        <f t="shared" ca="1" si="46"/>
        <v>-44986.676271643519</v>
      </c>
      <c r="AF438" s="15"/>
    </row>
    <row r="439" spans="4:32">
      <c r="D439" s="1"/>
      <c r="E439" s="1"/>
      <c r="P439" s="11"/>
      <c r="U439" s="11"/>
      <c r="X439" s="13">
        <f t="shared" si="47"/>
        <v>0</v>
      </c>
      <c r="Y439" s="2">
        <f t="shared" ca="1" si="42"/>
        <v>32133</v>
      </c>
      <c r="Z439" s="14">
        <v>1</v>
      </c>
      <c r="AA439" s="1" t="str">
        <f t="shared" ca="1" si="43"/>
        <v>VENCIDO</v>
      </c>
      <c r="AB439" s="1" t="str">
        <f t="shared" si="44"/>
        <v>TAAe+</v>
      </c>
      <c r="AC439" s="2">
        <f t="shared" si="48"/>
        <v>0</v>
      </c>
      <c r="AD439" s="2">
        <f t="shared" si="45"/>
        <v>8</v>
      </c>
      <c r="AE439" s="2">
        <f t="shared" ca="1" si="46"/>
        <v>-44986.676271643519</v>
      </c>
      <c r="AF439" s="15"/>
    </row>
    <row r="440" spans="4:32">
      <c r="D440" s="1"/>
      <c r="E440" s="1"/>
      <c r="P440" s="11"/>
      <c r="U440" s="11"/>
      <c r="X440" s="13">
        <f t="shared" si="47"/>
        <v>0</v>
      </c>
      <c r="Y440" s="2">
        <f t="shared" ca="1" si="42"/>
        <v>32133</v>
      </c>
      <c r="Z440" s="14">
        <v>1</v>
      </c>
      <c r="AA440" s="1" t="str">
        <f t="shared" ca="1" si="43"/>
        <v>VENCIDO</v>
      </c>
      <c r="AB440" s="1" t="str">
        <f t="shared" si="44"/>
        <v>TAAe+</v>
      </c>
      <c r="AC440" s="2">
        <f t="shared" si="48"/>
        <v>0</v>
      </c>
      <c r="AD440" s="2">
        <f t="shared" si="45"/>
        <v>8</v>
      </c>
      <c r="AE440" s="2">
        <f t="shared" ca="1" si="46"/>
        <v>-44986.676271643519</v>
      </c>
      <c r="AF440" s="15"/>
    </row>
    <row r="441" spans="4:32">
      <c r="D441" s="1"/>
      <c r="E441" s="1"/>
      <c r="P441" s="11"/>
      <c r="U441" s="11"/>
      <c r="X441" s="13">
        <f t="shared" si="47"/>
        <v>0</v>
      </c>
      <c r="Y441" s="2">
        <f t="shared" ca="1" si="42"/>
        <v>32133</v>
      </c>
      <c r="Z441" s="14">
        <v>1</v>
      </c>
      <c r="AA441" s="1" t="str">
        <f t="shared" ca="1" si="43"/>
        <v>VENCIDO</v>
      </c>
      <c r="AB441" s="1" t="str">
        <f t="shared" si="44"/>
        <v>TAAe+</v>
      </c>
      <c r="AC441" s="2">
        <f t="shared" si="48"/>
        <v>0</v>
      </c>
      <c r="AD441" s="2">
        <f t="shared" si="45"/>
        <v>8</v>
      </c>
      <c r="AE441" s="2">
        <f t="shared" ca="1" si="46"/>
        <v>-44986.676271643519</v>
      </c>
      <c r="AF441" s="15"/>
    </row>
    <row r="442" spans="4:32">
      <c r="D442" s="1"/>
      <c r="E442" s="1"/>
      <c r="P442" s="11"/>
      <c r="U442" s="11"/>
      <c r="X442" s="13">
        <f t="shared" si="47"/>
        <v>0</v>
      </c>
      <c r="Y442" s="2">
        <f t="shared" ca="1" si="42"/>
        <v>32133</v>
      </c>
      <c r="Z442" s="14">
        <v>1</v>
      </c>
      <c r="AA442" s="1" t="str">
        <f t="shared" ca="1" si="43"/>
        <v>VENCIDO</v>
      </c>
      <c r="AB442" s="1" t="str">
        <f t="shared" si="44"/>
        <v>TAAe+</v>
      </c>
      <c r="AC442" s="2">
        <f t="shared" si="48"/>
        <v>0</v>
      </c>
      <c r="AD442" s="2">
        <f t="shared" si="45"/>
        <v>8</v>
      </c>
      <c r="AE442" s="2">
        <f t="shared" ca="1" si="46"/>
        <v>-44986.676271643519</v>
      </c>
      <c r="AF442" s="15"/>
    </row>
    <row r="443" spans="4:32">
      <c r="D443" s="1"/>
      <c r="E443" s="1"/>
      <c r="P443" s="11"/>
      <c r="U443" s="11"/>
      <c r="X443" s="13">
        <f t="shared" si="47"/>
        <v>0</v>
      </c>
      <c r="Y443" s="2">
        <f t="shared" ca="1" si="42"/>
        <v>32133</v>
      </c>
      <c r="Z443" s="14">
        <v>1</v>
      </c>
      <c r="AA443" s="1" t="str">
        <f t="shared" ca="1" si="43"/>
        <v>VENCIDO</v>
      </c>
      <c r="AB443" s="1" t="str">
        <f t="shared" si="44"/>
        <v>TAAe+</v>
      </c>
      <c r="AC443" s="2">
        <f t="shared" si="48"/>
        <v>0</v>
      </c>
      <c r="AD443" s="2">
        <f t="shared" si="45"/>
        <v>8</v>
      </c>
      <c r="AE443" s="2">
        <f t="shared" ca="1" si="46"/>
        <v>-44986.676271643519</v>
      </c>
      <c r="AF443" s="15"/>
    </row>
    <row r="444" spans="4:32">
      <c r="D444" s="1"/>
      <c r="E444" s="1"/>
      <c r="P444" s="11"/>
      <c r="U444" s="11"/>
      <c r="X444" s="13">
        <f t="shared" si="47"/>
        <v>0</v>
      </c>
      <c r="Y444" s="2">
        <f t="shared" ca="1" si="42"/>
        <v>32133</v>
      </c>
      <c r="Z444" s="14">
        <v>1</v>
      </c>
      <c r="AA444" s="1" t="str">
        <f t="shared" ca="1" si="43"/>
        <v>VENCIDO</v>
      </c>
      <c r="AB444" s="1" t="str">
        <f t="shared" si="44"/>
        <v>TAAe+</v>
      </c>
      <c r="AC444" s="2">
        <f t="shared" si="48"/>
        <v>0</v>
      </c>
      <c r="AD444" s="2">
        <f t="shared" si="45"/>
        <v>8</v>
      </c>
      <c r="AE444" s="2">
        <f t="shared" ca="1" si="46"/>
        <v>-44986.676271643519</v>
      </c>
      <c r="AF444" s="15"/>
    </row>
    <row r="445" spans="4:32">
      <c r="D445" s="1"/>
      <c r="E445" s="1"/>
      <c r="P445" s="11"/>
      <c r="U445" s="11"/>
      <c r="X445" s="13">
        <f t="shared" si="47"/>
        <v>0</v>
      </c>
      <c r="Y445" s="2">
        <f t="shared" ca="1" si="42"/>
        <v>32133</v>
      </c>
      <c r="Z445" s="14">
        <v>1</v>
      </c>
      <c r="AA445" s="1" t="str">
        <f t="shared" ca="1" si="43"/>
        <v>VENCIDO</v>
      </c>
      <c r="AB445" s="1" t="str">
        <f t="shared" si="44"/>
        <v>TAAe+</v>
      </c>
      <c r="AC445" s="2">
        <f t="shared" si="48"/>
        <v>0</v>
      </c>
      <c r="AD445" s="2">
        <f t="shared" si="45"/>
        <v>8</v>
      </c>
      <c r="AE445" s="2">
        <f t="shared" ca="1" si="46"/>
        <v>-44986.676271643519</v>
      </c>
      <c r="AF445" s="15"/>
    </row>
    <row r="446" spans="4:32">
      <c r="D446" s="1"/>
      <c r="E446" s="1"/>
      <c r="P446" s="11"/>
      <c r="U446" s="11"/>
      <c r="X446" s="13">
        <f t="shared" si="47"/>
        <v>0</v>
      </c>
      <c r="Y446" s="2">
        <f t="shared" ca="1" si="42"/>
        <v>32133</v>
      </c>
      <c r="Z446" s="14">
        <v>1</v>
      </c>
      <c r="AA446" s="1" t="str">
        <f t="shared" ca="1" si="43"/>
        <v>VENCIDO</v>
      </c>
      <c r="AB446" s="1" t="str">
        <f t="shared" si="44"/>
        <v>TAAe+</v>
      </c>
      <c r="AC446" s="2">
        <f t="shared" si="48"/>
        <v>0</v>
      </c>
      <c r="AD446" s="2">
        <f t="shared" si="45"/>
        <v>8</v>
      </c>
      <c r="AE446" s="2">
        <f t="shared" ca="1" si="46"/>
        <v>-44986.676271643519</v>
      </c>
      <c r="AF446" s="15"/>
    </row>
    <row r="447" spans="4:32">
      <c r="D447" s="1"/>
      <c r="E447" s="1"/>
      <c r="P447" s="11"/>
      <c r="U447" s="11"/>
      <c r="X447" s="13">
        <f t="shared" si="47"/>
        <v>0</v>
      </c>
      <c r="Y447" s="2">
        <f t="shared" ca="1" si="42"/>
        <v>32133</v>
      </c>
      <c r="Z447" s="14">
        <v>1</v>
      </c>
      <c r="AA447" s="1" t="str">
        <f t="shared" ca="1" si="43"/>
        <v>VENCIDO</v>
      </c>
      <c r="AB447" s="1" t="str">
        <f t="shared" si="44"/>
        <v>TAAe+</v>
      </c>
      <c r="AC447" s="2">
        <f t="shared" si="48"/>
        <v>0</v>
      </c>
      <c r="AD447" s="2">
        <f t="shared" si="45"/>
        <v>8</v>
      </c>
      <c r="AE447" s="2">
        <f t="shared" ca="1" si="46"/>
        <v>-44986.676271643519</v>
      </c>
      <c r="AF447" s="15"/>
    </row>
    <row r="448" spans="4:32">
      <c r="D448" s="1"/>
      <c r="E448" s="1"/>
      <c r="P448" s="11"/>
      <c r="U448" s="11"/>
      <c r="X448" s="13">
        <f t="shared" si="47"/>
        <v>0</v>
      </c>
      <c r="Y448" s="2">
        <f t="shared" ca="1" si="42"/>
        <v>32133</v>
      </c>
      <c r="Z448" s="14">
        <v>1</v>
      </c>
      <c r="AA448" s="1" t="str">
        <f t="shared" ca="1" si="43"/>
        <v>VENCIDO</v>
      </c>
      <c r="AB448" s="1" t="str">
        <f t="shared" si="44"/>
        <v>TAAe+</v>
      </c>
      <c r="AC448" s="2">
        <f t="shared" si="48"/>
        <v>0</v>
      </c>
      <c r="AD448" s="2">
        <f t="shared" si="45"/>
        <v>8</v>
      </c>
      <c r="AE448" s="2">
        <f t="shared" ca="1" si="46"/>
        <v>-44986.676271643519</v>
      </c>
      <c r="AF448" s="15"/>
    </row>
    <row r="449" spans="3:32">
      <c r="D449" s="1"/>
      <c r="E449" s="1"/>
      <c r="P449" s="11"/>
      <c r="U449" s="11"/>
      <c r="X449" s="13">
        <f t="shared" si="47"/>
        <v>0</v>
      </c>
      <c r="Y449" s="2">
        <f t="shared" ca="1" si="42"/>
        <v>32133</v>
      </c>
      <c r="Z449" s="14">
        <v>1</v>
      </c>
      <c r="AA449" s="1" t="str">
        <f t="shared" ca="1" si="43"/>
        <v>VENCIDO</v>
      </c>
      <c r="AB449" s="1" t="str">
        <f t="shared" si="44"/>
        <v>TAAe+</v>
      </c>
      <c r="AC449" s="2">
        <f t="shared" si="48"/>
        <v>0</v>
      </c>
      <c r="AD449" s="2">
        <f t="shared" si="45"/>
        <v>8</v>
      </c>
      <c r="AE449" s="2">
        <f t="shared" ca="1" si="46"/>
        <v>-44986.676271643519</v>
      </c>
      <c r="AF449" s="15"/>
    </row>
    <row r="450" spans="3:32">
      <c r="D450" s="1"/>
      <c r="E450" s="1"/>
      <c r="P450" s="11"/>
      <c r="U450" s="11"/>
      <c r="X450" s="13">
        <f t="shared" si="47"/>
        <v>0</v>
      </c>
      <c r="Y450" s="2">
        <f t="shared" ref="Y450:Y513" ca="1" si="49">NETWORKDAYS(P450,$Y$1)</f>
        <v>32133</v>
      </c>
      <c r="Z450" s="14">
        <v>1</v>
      </c>
      <c r="AA450" s="1" t="str">
        <f t="shared" ref="AA450:AA513" ca="1" si="50">IF(AE450=0,"HOJE",IF(AE450&gt;0,"A VENCER",IF(AE450&lt;0,"VENCIDO")))</f>
        <v>VENCIDO</v>
      </c>
      <c r="AB450" s="1" t="str">
        <f t="shared" ref="AB450:AB513" si="51">IF(F450="GRPE-000001","C-14",IF(F450="GRPE-000002","C-14",IF(F450="GRPE-000003","C-14",IF(F450="GRPE-000004","SL-On",IF(F450="GRPE-000038","C-14",IF(F450="GRPE-900022","Dosa",IF(F450="GRPE-000029","Dosa",IF(F450="ATOS-000222","Dose","TAAe+"))))))))</f>
        <v>TAAe+</v>
      </c>
      <c r="AC450" s="2">
        <f t="shared" si="48"/>
        <v>0</v>
      </c>
      <c r="AD450" s="2">
        <f t="shared" ref="AD450:AD513" si="52">IF(F450="GRPE-000001",5,IF(F450="GRPE-000002",5,IF(F450="GRPE-000003",15,IF(F450="GRPE-000004",1,IF(F450="GRPE-000038",5,IF(F450="GRPE-900022",5,IF(F450="GRPE-000029",5,IF(F450="ATOS-000222",5,8))))))))</f>
        <v>8</v>
      </c>
      <c r="AE450" s="2">
        <f t="shared" ref="AE450:AE513" ca="1" si="53">IF(U450=$AE$1,"",U450-$AE$1)</f>
        <v>-44986.676271643519</v>
      </c>
      <c r="AF450" s="15"/>
    </row>
    <row r="451" spans="3:32">
      <c r="D451" s="1"/>
      <c r="E451" s="1"/>
      <c r="P451" s="11"/>
      <c r="U451" s="11"/>
      <c r="X451" s="13">
        <f t="shared" ref="X451:X514" si="54">IF(RIGHT(H451,2)&lt;&gt;"00",H451,"")</f>
        <v>0</v>
      </c>
      <c r="Y451" s="2">
        <f t="shared" ca="1" si="49"/>
        <v>32133</v>
      </c>
      <c r="Z451" s="14">
        <v>1</v>
      </c>
      <c r="AA451" s="1" t="str">
        <f t="shared" ca="1" si="50"/>
        <v>VENCIDO</v>
      </c>
      <c r="AB451" s="1" t="str">
        <f t="shared" si="51"/>
        <v>TAAe+</v>
      </c>
      <c r="AC451" s="2">
        <f t="shared" ref="AC451:AC514" si="55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>0</v>
      </c>
      <c r="AD451" s="2">
        <f t="shared" si="52"/>
        <v>8</v>
      </c>
      <c r="AE451" s="2">
        <f t="shared" ca="1" si="53"/>
        <v>-44986.676271643519</v>
      </c>
      <c r="AF451" s="15"/>
    </row>
    <row r="452" spans="3:32">
      <c r="C452" s="49"/>
      <c r="D452" s="1"/>
      <c r="E452" s="1"/>
      <c r="P452" s="11"/>
      <c r="U452" s="11"/>
      <c r="X452" s="13">
        <f t="shared" si="54"/>
        <v>0</v>
      </c>
      <c r="Y452" s="2">
        <f t="shared" ca="1" si="49"/>
        <v>32133</v>
      </c>
      <c r="Z452" s="14">
        <v>1</v>
      </c>
      <c r="AA452" s="1" t="str">
        <f t="shared" ca="1" si="50"/>
        <v>VENCIDO</v>
      </c>
      <c r="AB452" s="1" t="str">
        <f t="shared" si="51"/>
        <v>TAAe+</v>
      </c>
      <c r="AC452" s="2">
        <f t="shared" si="55"/>
        <v>0</v>
      </c>
      <c r="AD452" s="2">
        <f t="shared" si="52"/>
        <v>8</v>
      </c>
      <c r="AE452" s="2">
        <f t="shared" ca="1" si="53"/>
        <v>-44986.676271643519</v>
      </c>
      <c r="AF452" s="15"/>
    </row>
    <row r="453" spans="3:32">
      <c r="D453" s="1"/>
      <c r="E453" s="1"/>
      <c r="P453" s="11"/>
      <c r="U453" s="11"/>
      <c r="X453" s="13">
        <f t="shared" si="54"/>
        <v>0</v>
      </c>
      <c r="Y453" s="2">
        <f t="shared" ca="1" si="49"/>
        <v>32133</v>
      </c>
      <c r="Z453" s="14">
        <v>1</v>
      </c>
      <c r="AA453" s="1" t="str">
        <f t="shared" ca="1" si="50"/>
        <v>VENCIDO</v>
      </c>
      <c r="AB453" s="1" t="str">
        <f t="shared" si="51"/>
        <v>TAAe+</v>
      </c>
      <c r="AC453" s="2">
        <f t="shared" si="55"/>
        <v>0</v>
      </c>
      <c r="AD453" s="2">
        <f t="shared" si="52"/>
        <v>8</v>
      </c>
      <c r="AE453" s="2">
        <f t="shared" ca="1" si="53"/>
        <v>-44986.676271643519</v>
      </c>
      <c r="AF453" s="15"/>
    </row>
    <row r="454" spans="3:32">
      <c r="C454" s="49"/>
      <c r="D454" s="1"/>
      <c r="E454" s="1"/>
      <c r="P454" s="11"/>
      <c r="U454" s="11"/>
      <c r="X454" s="13">
        <f t="shared" si="54"/>
        <v>0</v>
      </c>
      <c r="Y454" s="2">
        <f t="shared" ca="1" si="49"/>
        <v>32133</v>
      </c>
      <c r="Z454" s="14">
        <v>1</v>
      </c>
      <c r="AA454" s="1" t="str">
        <f t="shared" ca="1" si="50"/>
        <v>VENCIDO</v>
      </c>
      <c r="AB454" s="1" t="str">
        <f t="shared" si="51"/>
        <v>TAAe+</v>
      </c>
      <c r="AC454" s="2">
        <f t="shared" si="55"/>
        <v>0</v>
      </c>
      <c r="AD454" s="2">
        <f t="shared" si="52"/>
        <v>8</v>
      </c>
      <c r="AE454" s="2">
        <f t="shared" ca="1" si="53"/>
        <v>-44986.676271643519</v>
      </c>
      <c r="AF454" s="15"/>
    </row>
    <row r="455" spans="3:32">
      <c r="D455" s="1"/>
      <c r="E455" s="1"/>
      <c r="P455" s="11"/>
      <c r="U455" s="11"/>
      <c r="X455" s="13">
        <f t="shared" si="54"/>
        <v>0</v>
      </c>
      <c r="Y455" s="2">
        <f t="shared" ca="1" si="49"/>
        <v>32133</v>
      </c>
      <c r="Z455" s="14">
        <v>1</v>
      </c>
      <c r="AA455" s="1" t="str">
        <f t="shared" ca="1" si="50"/>
        <v>VENCIDO</v>
      </c>
      <c r="AB455" s="1" t="str">
        <f t="shared" si="51"/>
        <v>TAAe+</v>
      </c>
      <c r="AC455" s="2">
        <f t="shared" si="55"/>
        <v>0</v>
      </c>
      <c r="AD455" s="2">
        <f t="shared" si="52"/>
        <v>8</v>
      </c>
      <c r="AE455" s="2">
        <f t="shared" ca="1" si="53"/>
        <v>-44986.676271643519</v>
      </c>
      <c r="AF455" s="15"/>
    </row>
    <row r="456" spans="3:32">
      <c r="D456" s="1"/>
      <c r="E456" s="1"/>
      <c r="P456" s="11"/>
      <c r="U456" s="11"/>
      <c r="X456" s="13">
        <f t="shared" si="54"/>
        <v>0</v>
      </c>
      <c r="Y456" s="2">
        <f t="shared" ca="1" si="49"/>
        <v>32133</v>
      </c>
      <c r="Z456" s="14">
        <v>1</v>
      </c>
      <c r="AA456" s="1" t="str">
        <f t="shared" ca="1" si="50"/>
        <v>VENCIDO</v>
      </c>
      <c r="AB456" s="1" t="str">
        <f t="shared" si="51"/>
        <v>TAAe+</v>
      </c>
      <c r="AC456" s="2">
        <f t="shared" si="55"/>
        <v>0</v>
      </c>
      <c r="AD456" s="2">
        <f t="shared" si="52"/>
        <v>8</v>
      </c>
      <c r="AE456" s="2">
        <f t="shared" ca="1" si="53"/>
        <v>-44986.676271643519</v>
      </c>
      <c r="AF456" s="15"/>
    </row>
    <row r="457" spans="3:32">
      <c r="C457" s="49"/>
      <c r="D457" s="1"/>
      <c r="E457" s="1"/>
      <c r="P457" s="11"/>
      <c r="U457" s="11"/>
      <c r="X457" s="13">
        <f t="shared" si="54"/>
        <v>0</v>
      </c>
      <c r="Y457" s="2">
        <f t="shared" ca="1" si="49"/>
        <v>32133</v>
      </c>
      <c r="Z457" s="14">
        <v>1</v>
      </c>
      <c r="AA457" s="1" t="str">
        <f t="shared" ca="1" si="50"/>
        <v>VENCIDO</v>
      </c>
      <c r="AB457" s="1" t="str">
        <f t="shared" si="51"/>
        <v>TAAe+</v>
      </c>
      <c r="AC457" s="2">
        <f t="shared" si="55"/>
        <v>0</v>
      </c>
      <c r="AD457" s="2">
        <f t="shared" si="52"/>
        <v>8</v>
      </c>
      <c r="AE457" s="2">
        <f t="shared" ca="1" si="53"/>
        <v>-44986.676271643519</v>
      </c>
      <c r="AF457" s="15"/>
    </row>
    <row r="458" spans="3:32">
      <c r="D458" s="1"/>
      <c r="E458" s="1"/>
      <c r="P458" s="11"/>
      <c r="U458" s="11"/>
      <c r="X458" s="13">
        <f t="shared" si="54"/>
        <v>0</v>
      </c>
      <c r="Y458" s="2">
        <f t="shared" ca="1" si="49"/>
        <v>32133</v>
      </c>
      <c r="Z458" s="14">
        <v>1</v>
      </c>
      <c r="AA458" s="1" t="str">
        <f t="shared" ca="1" si="50"/>
        <v>VENCIDO</v>
      </c>
      <c r="AB458" s="1" t="str">
        <f t="shared" si="51"/>
        <v>TAAe+</v>
      </c>
      <c r="AC458" s="2">
        <f t="shared" si="55"/>
        <v>0</v>
      </c>
      <c r="AD458" s="2">
        <f t="shared" si="52"/>
        <v>8</v>
      </c>
      <c r="AE458" s="2">
        <f t="shared" ca="1" si="53"/>
        <v>-44986.676271643519</v>
      </c>
      <c r="AF458" s="15"/>
    </row>
    <row r="459" spans="3:32">
      <c r="C459" s="49"/>
      <c r="D459" s="1"/>
      <c r="E459" s="1"/>
      <c r="P459" s="11"/>
      <c r="U459" s="11"/>
      <c r="X459" s="13">
        <f t="shared" si="54"/>
        <v>0</v>
      </c>
      <c r="Y459" s="2">
        <f t="shared" ca="1" si="49"/>
        <v>32133</v>
      </c>
      <c r="Z459" s="14">
        <v>1</v>
      </c>
      <c r="AA459" s="1" t="str">
        <f t="shared" ca="1" si="50"/>
        <v>VENCIDO</v>
      </c>
      <c r="AB459" s="1" t="str">
        <f t="shared" si="51"/>
        <v>TAAe+</v>
      </c>
      <c r="AC459" s="2">
        <f t="shared" si="55"/>
        <v>0</v>
      </c>
      <c r="AD459" s="2">
        <f t="shared" si="52"/>
        <v>8</v>
      </c>
      <c r="AE459" s="2">
        <f t="shared" ca="1" si="53"/>
        <v>-44986.676271643519</v>
      </c>
      <c r="AF459" s="15"/>
    </row>
    <row r="460" spans="3:32">
      <c r="D460" s="1"/>
      <c r="E460" s="1"/>
      <c r="P460" s="11"/>
      <c r="U460" s="11"/>
      <c r="X460" s="13">
        <f t="shared" si="54"/>
        <v>0</v>
      </c>
      <c r="Y460" s="2">
        <f t="shared" ca="1" si="49"/>
        <v>32133</v>
      </c>
      <c r="Z460" s="14">
        <v>1</v>
      </c>
      <c r="AA460" s="1" t="str">
        <f t="shared" ca="1" si="50"/>
        <v>VENCIDO</v>
      </c>
      <c r="AB460" s="1" t="str">
        <f t="shared" si="51"/>
        <v>TAAe+</v>
      </c>
      <c r="AC460" s="2">
        <f t="shared" si="55"/>
        <v>0</v>
      </c>
      <c r="AD460" s="2">
        <f t="shared" si="52"/>
        <v>8</v>
      </c>
      <c r="AE460" s="2">
        <f t="shared" ca="1" si="53"/>
        <v>-44986.676271643519</v>
      </c>
      <c r="AF460" s="15"/>
    </row>
    <row r="461" spans="3:32">
      <c r="D461" s="1"/>
      <c r="E461" s="1"/>
      <c r="P461" s="11"/>
      <c r="U461" s="11"/>
      <c r="X461" s="13">
        <f t="shared" si="54"/>
        <v>0</v>
      </c>
      <c r="Y461" s="2">
        <f t="shared" ca="1" si="49"/>
        <v>32133</v>
      </c>
      <c r="Z461" s="14">
        <v>1</v>
      </c>
      <c r="AA461" s="1" t="str">
        <f t="shared" ca="1" si="50"/>
        <v>VENCIDO</v>
      </c>
      <c r="AB461" s="1" t="str">
        <f t="shared" si="51"/>
        <v>TAAe+</v>
      </c>
      <c r="AC461" s="2">
        <f t="shared" si="55"/>
        <v>0</v>
      </c>
      <c r="AD461" s="2">
        <f t="shared" si="52"/>
        <v>8</v>
      </c>
      <c r="AE461" s="2">
        <f t="shared" ca="1" si="53"/>
        <v>-44986.676271643519</v>
      </c>
      <c r="AF461" s="15"/>
    </row>
    <row r="462" spans="3:32">
      <c r="D462" s="1"/>
      <c r="E462" s="1"/>
      <c r="P462" s="11"/>
      <c r="U462" s="11"/>
      <c r="X462" s="13">
        <f t="shared" si="54"/>
        <v>0</v>
      </c>
      <c r="Y462" s="2">
        <f t="shared" ca="1" si="49"/>
        <v>32133</v>
      </c>
      <c r="Z462" s="14">
        <v>1</v>
      </c>
      <c r="AA462" s="1" t="str">
        <f t="shared" ca="1" si="50"/>
        <v>VENCIDO</v>
      </c>
      <c r="AB462" s="1" t="str">
        <f t="shared" si="51"/>
        <v>TAAe+</v>
      </c>
      <c r="AC462" s="2">
        <f t="shared" si="55"/>
        <v>0</v>
      </c>
      <c r="AD462" s="2">
        <f t="shared" si="52"/>
        <v>8</v>
      </c>
      <c r="AE462" s="2">
        <f t="shared" ca="1" si="53"/>
        <v>-44986.676271643519</v>
      </c>
      <c r="AF462" s="15"/>
    </row>
    <row r="463" spans="3:32">
      <c r="D463" s="1"/>
      <c r="E463" s="1"/>
      <c r="P463" s="11"/>
      <c r="U463" s="11"/>
      <c r="X463" s="13">
        <f t="shared" si="54"/>
        <v>0</v>
      </c>
      <c r="Y463" s="2">
        <f t="shared" ca="1" si="49"/>
        <v>32133</v>
      </c>
      <c r="Z463" s="14">
        <v>1</v>
      </c>
      <c r="AA463" s="1" t="str">
        <f t="shared" ca="1" si="50"/>
        <v>VENCIDO</v>
      </c>
      <c r="AB463" s="1" t="str">
        <f t="shared" si="51"/>
        <v>TAAe+</v>
      </c>
      <c r="AC463" s="2">
        <f t="shared" si="55"/>
        <v>0</v>
      </c>
      <c r="AD463" s="2">
        <f t="shared" si="52"/>
        <v>8</v>
      </c>
      <c r="AE463" s="2">
        <f t="shared" ca="1" si="53"/>
        <v>-44986.676271643519</v>
      </c>
      <c r="AF463" s="15"/>
    </row>
    <row r="464" spans="3:32">
      <c r="D464" s="1"/>
      <c r="E464" s="1"/>
      <c r="P464" s="11"/>
      <c r="U464" s="11"/>
      <c r="X464" s="13">
        <f t="shared" si="54"/>
        <v>0</v>
      </c>
      <c r="Y464" s="2">
        <f t="shared" ca="1" si="49"/>
        <v>32133</v>
      </c>
      <c r="Z464" s="14">
        <v>1</v>
      </c>
      <c r="AA464" s="1" t="str">
        <f t="shared" ca="1" si="50"/>
        <v>VENCIDO</v>
      </c>
      <c r="AB464" s="1" t="str">
        <f t="shared" si="51"/>
        <v>TAAe+</v>
      </c>
      <c r="AC464" s="2">
        <f t="shared" si="55"/>
        <v>0</v>
      </c>
      <c r="AD464" s="2">
        <f t="shared" si="52"/>
        <v>8</v>
      </c>
      <c r="AE464" s="2">
        <f t="shared" ca="1" si="53"/>
        <v>-44986.676271643519</v>
      </c>
      <c r="AF464" s="15"/>
    </row>
    <row r="465" spans="3:32">
      <c r="C465" s="49"/>
      <c r="D465" s="1"/>
      <c r="E465" s="1"/>
      <c r="P465" s="11"/>
      <c r="U465" s="11"/>
      <c r="X465" s="13">
        <f t="shared" si="54"/>
        <v>0</v>
      </c>
      <c r="Y465" s="2">
        <f t="shared" ca="1" si="49"/>
        <v>32133</v>
      </c>
      <c r="Z465" s="14">
        <v>1</v>
      </c>
      <c r="AA465" s="1" t="str">
        <f t="shared" ca="1" si="50"/>
        <v>VENCIDO</v>
      </c>
      <c r="AB465" s="1" t="str">
        <f t="shared" si="51"/>
        <v>TAAe+</v>
      </c>
      <c r="AC465" s="2">
        <f t="shared" si="55"/>
        <v>0</v>
      </c>
      <c r="AD465" s="2">
        <f t="shared" si="52"/>
        <v>8</v>
      </c>
      <c r="AE465" s="2">
        <f t="shared" ca="1" si="53"/>
        <v>-44986.676271643519</v>
      </c>
      <c r="AF465" s="15"/>
    </row>
    <row r="466" spans="3:32">
      <c r="D466" s="1"/>
      <c r="E466" s="1"/>
      <c r="P466" s="11"/>
      <c r="U466" s="11"/>
      <c r="X466" s="13">
        <f t="shared" si="54"/>
        <v>0</v>
      </c>
      <c r="Y466" s="2">
        <f t="shared" ca="1" si="49"/>
        <v>32133</v>
      </c>
      <c r="Z466" s="14">
        <v>1</v>
      </c>
      <c r="AA466" s="1" t="str">
        <f t="shared" ca="1" si="50"/>
        <v>VENCIDO</v>
      </c>
      <c r="AB466" s="1" t="str">
        <f t="shared" si="51"/>
        <v>TAAe+</v>
      </c>
      <c r="AC466" s="2">
        <f t="shared" si="55"/>
        <v>0</v>
      </c>
      <c r="AD466" s="2">
        <f t="shared" si="52"/>
        <v>8</v>
      </c>
      <c r="AE466" s="2">
        <f t="shared" ca="1" si="53"/>
        <v>-44986.676271643519</v>
      </c>
      <c r="AF466" s="15"/>
    </row>
    <row r="467" spans="3:32">
      <c r="D467" s="1"/>
      <c r="E467" s="1"/>
      <c r="P467" s="11"/>
      <c r="U467" s="11"/>
      <c r="X467" s="13">
        <f t="shared" si="54"/>
        <v>0</v>
      </c>
      <c r="Y467" s="2">
        <f t="shared" ca="1" si="49"/>
        <v>32133</v>
      </c>
      <c r="Z467" s="14">
        <v>1</v>
      </c>
      <c r="AA467" s="1" t="str">
        <f t="shared" ca="1" si="50"/>
        <v>VENCIDO</v>
      </c>
      <c r="AB467" s="1" t="str">
        <f t="shared" si="51"/>
        <v>TAAe+</v>
      </c>
      <c r="AC467" s="2">
        <f t="shared" si="55"/>
        <v>0</v>
      </c>
      <c r="AD467" s="2">
        <f t="shared" si="52"/>
        <v>8</v>
      </c>
      <c r="AE467" s="2">
        <f t="shared" ca="1" si="53"/>
        <v>-44986.676271643519</v>
      </c>
      <c r="AF467" s="15"/>
    </row>
    <row r="468" spans="3:32">
      <c r="D468" s="1"/>
      <c r="E468" s="1"/>
      <c r="P468" s="11"/>
      <c r="U468" s="11"/>
      <c r="X468" s="13">
        <f t="shared" si="54"/>
        <v>0</v>
      </c>
      <c r="Y468" s="2">
        <f t="shared" ca="1" si="49"/>
        <v>32133</v>
      </c>
      <c r="Z468" s="14">
        <v>1</v>
      </c>
      <c r="AA468" s="1" t="str">
        <f t="shared" ca="1" si="50"/>
        <v>VENCIDO</v>
      </c>
      <c r="AB468" s="1" t="str">
        <f t="shared" si="51"/>
        <v>TAAe+</v>
      </c>
      <c r="AC468" s="2">
        <f t="shared" si="55"/>
        <v>0</v>
      </c>
      <c r="AD468" s="2">
        <f t="shared" si="52"/>
        <v>8</v>
      </c>
      <c r="AE468" s="2">
        <f t="shared" ca="1" si="53"/>
        <v>-44986.676271643519</v>
      </c>
      <c r="AF468" s="15"/>
    </row>
    <row r="469" spans="3:32">
      <c r="D469" s="1"/>
      <c r="E469" s="1"/>
      <c r="P469" s="11"/>
      <c r="U469" s="11"/>
      <c r="X469" s="13">
        <f t="shared" si="54"/>
        <v>0</v>
      </c>
      <c r="Y469" s="2">
        <f t="shared" ca="1" si="49"/>
        <v>32133</v>
      </c>
      <c r="Z469" s="14">
        <v>1</v>
      </c>
      <c r="AA469" s="1" t="str">
        <f t="shared" ca="1" si="50"/>
        <v>VENCIDO</v>
      </c>
      <c r="AB469" s="1" t="str">
        <f t="shared" si="51"/>
        <v>TAAe+</v>
      </c>
      <c r="AC469" s="2">
        <f t="shared" si="55"/>
        <v>0</v>
      </c>
      <c r="AD469" s="2">
        <f t="shared" si="52"/>
        <v>8</v>
      </c>
      <c r="AE469" s="2">
        <f t="shared" ca="1" si="53"/>
        <v>-44986.676271643519</v>
      </c>
      <c r="AF469" s="15"/>
    </row>
    <row r="470" spans="3:32">
      <c r="C470" s="49"/>
      <c r="D470" s="1"/>
      <c r="E470" s="1"/>
      <c r="P470" s="11"/>
      <c r="U470" s="11"/>
      <c r="X470" s="13">
        <f t="shared" si="54"/>
        <v>0</v>
      </c>
      <c r="Y470" s="2">
        <f t="shared" ca="1" si="49"/>
        <v>32133</v>
      </c>
      <c r="Z470" s="14">
        <v>1</v>
      </c>
      <c r="AA470" s="1" t="str">
        <f t="shared" ca="1" si="50"/>
        <v>VENCIDO</v>
      </c>
      <c r="AB470" s="1" t="str">
        <f t="shared" si="51"/>
        <v>TAAe+</v>
      </c>
      <c r="AC470" s="2">
        <f t="shared" si="55"/>
        <v>0</v>
      </c>
      <c r="AD470" s="2">
        <f t="shared" si="52"/>
        <v>8</v>
      </c>
      <c r="AE470" s="2">
        <f t="shared" ca="1" si="53"/>
        <v>-44986.676271643519</v>
      </c>
      <c r="AF470" s="15"/>
    </row>
    <row r="471" spans="3:32">
      <c r="D471" s="1"/>
      <c r="E471" s="1"/>
      <c r="P471" s="11"/>
      <c r="U471" s="11"/>
      <c r="X471" s="13">
        <f t="shared" si="54"/>
        <v>0</v>
      </c>
      <c r="Y471" s="2">
        <f t="shared" ca="1" si="49"/>
        <v>32133</v>
      </c>
      <c r="Z471" s="14">
        <v>1</v>
      </c>
      <c r="AA471" s="1" t="str">
        <f t="shared" ca="1" si="50"/>
        <v>VENCIDO</v>
      </c>
      <c r="AB471" s="1" t="str">
        <f t="shared" si="51"/>
        <v>TAAe+</v>
      </c>
      <c r="AC471" s="2">
        <f t="shared" si="55"/>
        <v>0</v>
      </c>
      <c r="AD471" s="2">
        <f t="shared" si="52"/>
        <v>8</v>
      </c>
      <c r="AE471" s="2">
        <f t="shared" ca="1" si="53"/>
        <v>-44986.676271643519</v>
      </c>
      <c r="AF471" s="15"/>
    </row>
    <row r="472" spans="3:32">
      <c r="C472" s="49"/>
      <c r="D472" s="1"/>
      <c r="E472" s="1"/>
      <c r="P472" s="11"/>
      <c r="U472" s="11"/>
      <c r="X472" s="13">
        <f t="shared" si="54"/>
        <v>0</v>
      </c>
      <c r="Y472" s="2">
        <f t="shared" ca="1" si="49"/>
        <v>32133</v>
      </c>
      <c r="Z472" s="14">
        <v>1</v>
      </c>
      <c r="AA472" s="1" t="str">
        <f t="shared" ca="1" si="50"/>
        <v>VENCIDO</v>
      </c>
      <c r="AB472" s="1" t="str">
        <f t="shared" si="51"/>
        <v>TAAe+</v>
      </c>
      <c r="AC472" s="2">
        <f t="shared" si="55"/>
        <v>0</v>
      </c>
      <c r="AD472" s="2">
        <f t="shared" si="52"/>
        <v>8</v>
      </c>
      <c r="AE472" s="2">
        <f t="shared" ca="1" si="53"/>
        <v>-44986.676271643519</v>
      </c>
      <c r="AF472" s="15"/>
    </row>
    <row r="473" spans="3:32">
      <c r="D473" s="1"/>
      <c r="E473" s="1"/>
      <c r="P473" s="11"/>
      <c r="U473" s="11"/>
      <c r="X473" s="13">
        <f t="shared" si="54"/>
        <v>0</v>
      </c>
      <c r="Y473" s="2">
        <f t="shared" ca="1" si="49"/>
        <v>32133</v>
      </c>
      <c r="Z473" s="14">
        <v>1</v>
      </c>
      <c r="AA473" s="1" t="str">
        <f t="shared" ca="1" si="50"/>
        <v>VENCIDO</v>
      </c>
      <c r="AB473" s="1" t="str">
        <f t="shared" si="51"/>
        <v>TAAe+</v>
      </c>
      <c r="AC473" s="2">
        <f t="shared" si="55"/>
        <v>0</v>
      </c>
      <c r="AD473" s="2">
        <f t="shared" si="52"/>
        <v>8</v>
      </c>
      <c r="AE473" s="2">
        <f t="shared" ca="1" si="53"/>
        <v>-44986.676271643519</v>
      </c>
      <c r="AF473" s="15"/>
    </row>
    <row r="474" spans="3:32">
      <c r="D474" s="1"/>
      <c r="E474" s="1"/>
      <c r="P474" s="11"/>
      <c r="U474" s="11"/>
      <c r="X474" s="13">
        <f t="shared" si="54"/>
        <v>0</v>
      </c>
      <c r="Y474" s="2">
        <f t="shared" ca="1" si="49"/>
        <v>32133</v>
      </c>
      <c r="Z474" s="14">
        <v>1</v>
      </c>
      <c r="AA474" s="1" t="str">
        <f t="shared" ca="1" si="50"/>
        <v>VENCIDO</v>
      </c>
      <c r="AB474" s="1" t="str">
        <f t="shared" si="51"/>
        <v>TAAe+</v>
      </c>
      <c r="AC474" s="2">
        <f t="shared" si="55"/>
        <v>0</v>
      </c>
      <c r="AD474" s="2">
        <f t="shared" si="52"/>
        <v>8</v>
      </c>
      <c r="AE474" s="2">
        <f t="shared" ca="1" si="53"/>
        <v>-44986.676271643519</v>
      </c>
      <c r="AF474" s="15"/>
    </row>
    <row r="475" spans="3:32">
      <c r="D475" s="1"/>
      <c r="E475" s="1"/>
      <c r="P475" s="11"/>
      <c r="U475" s="11"/>
      <c r="X475" s="13">
        <f t="shared" si="54"/>
        <v>0</v>
      </c>
      <c r="Y475" s="2">
        <f t="shared" ca="1" si="49"/>
        <v>32133</v>
      </c>
      <c r="Z475" s="14">
        <v>1</v>
      </c>
      <c r="AA475" s="1" t="str">
        <f t="shared" ca="1" si="50"/>
        <v>VENCIDO</v>
      </c>
      <c r="AB475" s="1" t="str">
        <f t="shared" si="51"/>
        <v>TAAe+</v>
      </c>
      <c r="AC475" s="2">
        <f t="shared" si="55"/>
        <v>0</v>
      </c>
      <c r="AD475" s="2">
        <f t="shared" si="52"/>
        <v>8</v>
      </c>
      <c r="AE475" s="2">
        <f t="shared" ca="1" si="53"/>
        <v>-44986.676271643519</v>
      </c>
      <c r="AF475" s="15"/>
    </row>
    <row r="476" spans="3:32">
      <c r="D476" s="1"/>
      <c r="E476" s="1"/>
      <c r="P476" s="11"/>
      <c r="U476" s="11"/>
      <c r="X476" s="13">
        <f t="shared" si="54"/>
        <v>0</v>
      </c>
      <c r="Y476" s="2">
        <f t="shared" ca="1" si="49"/>
        <v>32133</v>
      </c>
      <c r="Z476" s="14">
        <v>1</v>
      </c>
      <c r="AA476" s="1" t="str">
        <f t="shared" ca="1" si="50"/>
        <v>VENCIDO</v>
      </c>
      <c r="AB476" s="1" t="str">
        <f t="shared" si="51"/>
        <v>TAAe+</v>
      </c>
      <c r="AC476" s="2">
        <f t="shared" si="55"/>
        <v>0</v>
      </c>
      <c r="AD476" s="2">
        <f t="shared" si="52"/>
        <v>8</v>
      </c>
      <c r="AE476" s="2">
        <f t="shared" ca="1" si="53"/>
        <v>-44986.676271643519</v>
      </c>
      <c r="AF476" s="15"/>
    </row>
    <row r="477" spans="3:32">
      <c r="D477" s="1"/>
      <c r="E477" s="1"/>
      <c r="P477" s="11"/>
      <c r="X477" s="13">
        <f t="shared" si="54"/>
        <v>0</v>
      </c>
      <c r="Y477" s="2">
        <f t="shared" ca="1" si="49"/>
        <v>32133</v>
      </c>
      <c r="Z477" s="14">
        <v>1</v>
      </c>
      <c r="AA477" s="1" t="str">
        <f t="shared" ca="1" si="50"/>
        <v>VENCIDO</v>
      </c>
      <c r="AB477" s="1" t="str">
        <f t="shared" si="51"/>
        <v>TAAe+</v>
      </c>
      <c r="AC477" s="2">
        <f t="shared" si="55"/>
        <v>0</v>
      </c>
      <c r="AD477" s="2">
        <f t="shared" si="52"/>
        <v>8</v>
      </c>
      <c r="AE477" s="2">
        <f t="shared" ca="1" si="53"/>
        <v>-44986.676271643519</v>
      </c>
      <c r="AF477" s="15"/>
    </row>
    <row r="478" spans="3:32">
      <c r="D478" s="1"/>
      <c r="E478" s="1"/>
      <c r="P478" s="11"/>
      <c r="U478" s="11"/>
      <c r="X478" s="13">
        <f t="shared" si="54"/>
        <v>0</v>
      </c>
      <c r="Y478" s="2">
        <f t="shared" ca="1" si="49"/>
        <v>32133</v>
      </c>
      <c r="Z478" s="14">
        <v>1</v>
      </c>
      <c r="AA478" s="1" t="str">
        <f t="shared" ca="1" si="50"/>
        <v>VENCIDO</v>
      </c>
      <c r="AB478" s="1" t="str">
        <f t="shared" si="51"/>
        <v>TAAe+</v>
      </c>
      <c r="AC478" s="2">
        <f t="shared" si="55"/>
        <v>0</v>
      </c>
      <c r="AD478" s="2">
        <f t="shared" si="52"/>
        <v>8</v>
      </c>
      <c r="AE478" s="2">
        <f t="shared" ca="1" si="53"/>
        <v>-44986.676271643519</v>
      </c>
      <c r="AF478" s="15"/>
    </row>
    <row r="479" spans="3:32">
      <c r="C479" s="23"/>
      <c r="D479" s="1"/>
      <c r="E479" s="1"/>
      <c r="P479" s="11"/>
      <c r="U479" s="11"/>
      <c r="X479" s="13">
        <f t="shared" si="54"/>
        <v>0</v>
      </c>
      <c r="Y479" s="2">
        <f t="shared" ca="1" si="49"/>
        <v>32133</v>
      </c>
      <c r="Z479" s="14">
        <v>1</v>
      </c>
      <c r="AA479" s="1" t="str">
        <f t="shared" ca="1" si="50"/>
        <v>VENCIDO</v>
      </c>
      <c r="AB479" s="1" t="str">
        <f t="shared" si="51"/>
        <v>TAAe+</v>
      </c>
      <c r="AC479" s="2">
        <f t="shared" si="55"/>
        <v>0</v>
      </c>
      <c r="AD479" s="2">
        <f t="shared" si="52"/>
        <v>8</v>
      </c>
      <c r="AE479" s="2">
        <f t="shared" ca="1" si="53"/>
        <v>-44986.676271643519</v>
      </c>
      <c r="AF479" s="15"/>
    </row>
    <row r="480" spans="3:32">
      <c r="D480" s="1"/>
      <c r="E480" s="1"/>
      <c r="P480" s="11"/>
      <c r="U480" s="11"/>
      <c r="X480" s="13">
        <f t="shared" si="54"/>
        <v>0</v>
      </c>
      <c r="Y480" s="2">
        <f t="shared" ca="1" si="49"/>
        <v>32133</v>
      </c>
      <c r="Z480" s="14">
        <v>1</v>
      </c>
      <c r="AA480" s="1" t="str">
        <f t="shared" ca="1" si="50"/>
        <v>VENCIDO</v>
      </c>
      <c r="AB480" s="1" t="str">
        <f t="shared" si="51"/>
        <v>TAAe+</v>
      </c>
      <c r="AC480" s="2">
        <f t="shared" si="55"/>
        <v>0</v>
      </c>
      <c r="AD480" s="2">
        <f t="shared" si="52"/>
        <v>8</v>
      </c>
      <c r="AE480" s="2">
        <f t="shared" ca="1" si="53"/>
        <v>-44986.676271643519</v>
      </c>
      <c r="AF480" s="15"/>
    </row>
    <row r="481" spans="3:32">
      <c r="C481" s="49"/>
      <c r="D481" s="1"/>
      <c r="E481" s="1"/>
      <c r="P481" s="11"/>
      <c r="U481" s="11"/>
      <c r="X481" s="13">
        <f t="shared" si="54"/>
        <v>0</v>
      </c>
      <c r="Y481" s="2">
        <f t="shared" ca="1" si="49"/>
        <v>32133</v>
      </c>
      <c r="Z481" s="14">
        <v>1</v>
      </c>
      <c r="AA481" s="1" t="str">
        <f t="shared" ca="1" si="50"/>
        <v>VENCIDO</v>
      </c>
      <c r="AB481" s="1" t="str">
        <f t="shared" si="51"/>
        <v>TAAe+</v>
      </c>
      <c r="AC481" s="2">
        <f t="shared" si="55"/>
        <v>0</v>
      </c>
      <c r="AD481" s="2">
        <f t="shared" si="52"/>
        <v>8</v>
      </c>
      <c r="AE481" s="2">
        <f t="shared" ca="1" si="53"/>
        <v>-44986.676271643519</v>
      </c>
      <c r="AF481" s="15"/>
    </row>
    <row r="482" spans="3:32">
      <c r="D482" s="1"/>
      <c r="E482" s="1"/>
      <c r="P482" s="11"/>
      <c r="U482" s="11"/>
      <c r="X482" s="13">
        <f t="shared" si="54"/>
        <v>0</v>
      </c>
      <c r="Y482" s="2">
        <f t="shared" ca="1" si="49"/>
        <v>32133</v>
      </c>
      <c r="Z482" s="14">
        <v>1</v>
      </c>
      <c r="AA482" s="1" t="str">
        <f t="shared" ca="1" si="50"/>
        <v>VENCIDO</v>
      </c>
      <c r="AB482" s="1" t="str">
        <f t="shared" si="51"/>
        <v>TAAe+</v>
      </c>
      <c r="AC482" s="2">
        <f t="shared" si="55"/>
        <v>0</v>
      </c>
      <c r="AD482" s="2">
        <f t="shared" si="52"/>
        <v>8</v>
      </c>
      <c r="AE482" s="2">
        <f t="shared" ca="1" si="53"/>
        <v>-44986.676271643519</v>
      </c>
      <c r="AF482" s="15"/>
    </row>
    <row r="483" spans="3:32">
      <c r="D483" s="1"/>
      <c r="E483" s="1"/>
      <c r="P483" s="11"/>
      <c r="U483" s="11"/>
      <c r="X483" s="13">
        <f t="shared" si="54"/>
        <v>0</v>
      </c>
      <c r="Y483" s="2">
        <f t="shared" ca="1" si="49"/>
        <v>32133</v>
      </c>
      <c r="Z483" s="14">
        <v>1</v>
      </c>
      <c r="AA483" s="1" t="str">
        <f t="shared" ca="1" si="50"/>
        <v>VENCIDO</v>
      </c>
      <c r="AB483" s="1" t="str">
        <f t="shared" si="51"/>
        <v>TAAe+</v>
      </c>
      <c r="AC483" s="2">
        <f t="shared" si="55"/>
        <v>0</v>
      </c>
      <c r="AD483" s="2">
        <f t="shared" si="52"/>
        <v>8</v>
      </c>
      <c r="AE483" s="2">
        <f t="shared" ca="1" si="53"/>
        <v>-44986.676271643519</v>
      </c>
      <c r="AF483" s="15"/>
    </row>
    <row r="484" spans="3:32">
      <c r="D484" s="1"/>
      <c r="E484" s="1"/>
      <c r="P484" s="11"/>
      <c r="U484" s="11"/>
      <c r="X484" s="13">
        <f t="shared" si="54"/>
        <v>0</v>
      </c>
      <c r="Y484" s="2">
        <f t="shared" ca="1" si="49"/>
        <v>32133</v>
      </c>
      <c r="Z484" s="14">
        <v>1</v>
      </c>
      <c r="AA484" s="1" t="str">
        <f t="shared" ca="1" si="50"/>
        <v>VENCIDO</v>
      </c>
      <c r="AB484" s="1" t="str">
        <f t="shared" si="51"/>
        <v>TAAe+</v>
      </c>
      <c r="AC484" s="2">
        <f t="shared" si="55"/>
        <v>0</v>
      </c>
      <c r="AD484" s="2">
        <f t="shared" si="52"/>
        <v>8</v>
      </c>
      <c r="AE484" s="2">
        <f t="shared" ca="1" si="53"/>
        <v>-44986.676271643519</v>
      </c>
      <c r="AF484" s="15"/>
    </row>
    <row r="485" spans="3:32">
      <c r="D485" s="1"/>
      <c r="E485" s="1"/>
      <c r="P485" s="11"/>
      <c r="U485" s="11"/>
      <c r="X485" s="13">
        <f t="shared" si="54"/>
        <v>0</v>
      </c>
      <c r="Y485" s="2">
        <f t="shared" ca="1" si="49"/>
        <v>32133</v>
      </c>
      <c r="Z485" s="14">
        <v>1</v>
      </c>
      <c r="AA485" s="1" t="str">
        <f t="shared" ca="1" si="50"/>
        <v>VENCIDO</v>
      </c>
      <c r="AB485" s="1" t="str">
        <f t="shared" si="51"/>
        <v>TAAe+</v>
      </c>
      <c r="AC485" s="2">
        <f t="shared" si="55"/>
        <v>0</v>
      </c>
      <c r="AD485" s="2">
        <f t="shared" si="52"/>
        <v>8</v>
      </c>
      <c r="AE485" s="2">
        <f t="shared" ca="1" si="53"/>
        <v>-44986.676271643519</v>
      </c>
      <c r="AF485" s="15"/>
    </row>
    <row r="486" spans="3:32">
      <c r="D486" s="1"/>
      <c r="E486" s="1"/>
      <c r="P486" s="11"/>
      <c r="U486" s="11"/>
      <c r="X486" s="13">
        <f t="shared" si="54"/>
        <v>0</v>
      </c>
      <c r="Y486" s="2">
        <f t="shared" ca="1" si="49"/>
        <v>32133</v>
      </c>
      <c r="Z486" s="14">
        <v>1</v>
      </c>
      <c r="AA486" s="1" t="str">
        <f t="shared" ca="1" si="50"/>
        <v>VENCIDO</v>
      </c>
      <c r="AB486" s="1" t="str">
        <f t="shared" si="51"/>
        <v>TAAe+</v>
      </c>
      <c r="AC486" s="2">
        <f t="shared" si="55"/>
        <v>0</v>
      </c>
      <c r="AD486" s="2">
        <f t="shared" si="52"/>
        <v>8</v>
      </c>
      <c r="AE486" s="2">
        <f t="shared" ca="1" si="53"/>
        <v>-44986.676271643519</v>
      </c>
      <c r="AF486" s="15"/>
    </row>
    <row r="487" spans="3:32">
      <c r="D487" s="1"/>
      <c r="E487" s="1"/>
      <c r="P487" s="11"/>
      <c r="U487" s="11"/>
      <c r="X487" s="13">
        <f t="shared" si="54"/>
        <v>0</v>
      </c>
      <c r="Y487" s="2">
        <f t="shared" ca="1" si="49"/>
        <v>32133</v>
      </c>
      <c r="Z487" s="14">
        <v>1</v>
      </c>
      <c r="AA487" s="1" t="str">
        <f t="shared" ca="1" si="50"/>
        <v>VENCIDO</v>
      </c>
      <c r="AB487" s="1" t="str">
        <f t="shared" si="51"/>
        <v>TAAe+</v>
      </c>
      <c r="AC487" s="2">
        <f t="shared" si="55"/>
        <v>0</v>
      </c>
      <c r="AD487" s="2">
        <f t="shared" si="52"/>
        <v>8</v>
      </c>
      <c r="AE487" s="2">
        <f t="shared" ca="1" si="53"/>
        <v>-44986.676271643519</v>
      </c>
      <c r="AF487" s="15"/>
    </row>
    <row r="488" spans="3:32">
      <c r="D488" s="1"/>
      <c r="E488" s="1"/>
      <c r="P488" s="11"/>
      <c r="U488" s="11"/>
      <c r="X488" s="13">
        <f t="shared" si="54"/>
        <v>0</v>
      </c>
      <c r="Y488" s="2">
        <f t="shared" ca="1" si="49"/>
        <v>32133</v>
      </c>
      <c r="Z488" s="14">
        <v>1</v>
      </c>
      <c r="AA488" s="1" t="str">
        <f t="shared" ca="1" si="50"/>
        <v>VENCIDO</v>
      </c>
      <c r="AB488" s="1" t="str">
        <f t="shared" si="51"/>
        <v>TAAe+</v>
      </c>
      <c r="AC488" s="2">
        <f t="shared" si="55"/>
        <v>0</v>
      </c>
      <c r="AD488" s="2">
        <f t="shared" si="52"/>
        <v>8</v>
      </c>
      <c r="AE488" s="2">
        <f t="shared" ca="1" si="53"/>
        <v>-44986.676271643519</v>
      </c>
      <c r="AF488" s="15"/>
    </row>
    <row r="489" spans="3:32">
      <c r="D489" s="1"/>
      <c r="E489" s="1"/>
      <c r="P489" s="11"/>
      <c r="U489" s="11"/>
      <c r="X489" s="13">
        <f t="shared" si="54"/>
        <v>0</v>
      </c>
      <c r="Y489" s="2">
        <f t="shared" ca="1" si="49"/>
        <v>32133</v>
      </c>
      <c r="Z489" s="14">
        <v>1</v>
      </c>
      <c r="AA489" s="1" t="str">
        <f t="shared" ca="1" si="50"/>
        <v>VENCIDO</v>
      </c>
      <c r="AB489" s="1" t="str">
        <f t="shared" si="51"/>
        <v>TAAe+</v>
      </c>
      <c r="AC489" s="2">
        <f t="shared" si="55"/>
        <v>0</v>
      </c>
      <c r="AD489" s="2">
        <f t="shared" si="52"/>
        <v>8</v>
      </c>
      <c r="AE489" s="2">
        <f t="shared" ca="1" si="53"/>
        <v>-44986.676271643519</v>
      </c>
      <c r="AF489" s="15"/>
    </row>
    <row r="490" spans="3:32">
      <c r="C490" s="49"/>
      <c r="D490" s="1"/>
      <c r="E490" s="1"/>
      <c r="P490" s="11"/>
      <c r="U490" s="11"/>
      <c r="X490" s="13">
        <f t="shared" si="54"/>
        <v>0</v>
      </c>
      <c r="Y490" s="2">
        <f t="shared" ca="1" si="49"/>
        <v>32133</v>
      </c>
      <c r="Z490" s="14">
        <v>1</v>
      </c>
      <c r="AA490" s="1" t="str">
        <f t="shared" ca="1" si="50"/>
        <v>VENCIDO</v>
      </c>
      <c r="AB490" s="1" t="str">
        <f t="shared" si="51"/>
        <v>TAAe+</v>
      </c>
      <c r="AC490" s="2">
        <f t="shared" si="55"/>
        <v>0</v>
      </c>
      <c r="AD490" s="2">
        <f t="shared" si="52"/>
        <v>8</v>
      </c>
      <c r="AE490" s="2">
        <f t="shared" ca="1" si="53"/>
        <v>-44986.676271643519</v>
      </c>
      <c r="AF490" s="15"/>
    </row>
    <row r="491" spans="3:32">
      <c r="D491" s="1"/>
      <c r="E491" s="1"/>
      <c r="P491" s="11"/>
      <c r="U491" s="11"/>
      <c r="X491" s="13">
        <f t="shared" si="54"/>
        <v>0</v>
      </c>
      <c r="Y491" s="2">
        <f t="shared" ca="1" si="49"/>
        <v>32133</v>
      </c>
      <c r="Z491" s="14">
        <v>1</v>
      </c>
      <c r="AA491" s="1" t="str">
        <f t="shared" ca="1" si="50"/>
        <v>VENCIDO</v>
      </c>
      <c r="AB491" s="1" t="str">
        <f t="shared" si="51"/>
        <v>TAAe+</v>
      </c>
      <c r="AC491" s="2">
        <f t="shared" si="55"/>
        <v>0</v>
      </c>
      <c r="AD491" s="2">
        <f t="shared" si="52"/>
        <v>8</v>
      </c>
      <c r="AE491" s="2">
        <f t="shared" ca="1" si="53"/>
        <v>-44986.676271643519</v>
      </c>
      <c r="AF491" s="15"/>
    </row>
    <row r="492" spans="3:32">
      <c r="D492" s="1"/>
      <c r="E492" s="1"/>
      <c r="P492" s="11"/>
      <c r="U492" s="11"/>
      <c r="X492" s="13">
        <f t="shared" si="54"/>
        <v>0</v>
      </c>
      <c r="Y492" s="2">
        <f t="shared" ca="1" si="49"/>
        <v>32133</v>
      </c>
      <c r="Z492" s="14">
        <v>1</v>
      </c>
      <c r="AA492" s="1" t="str">
        <f t="shared" ca="1" si="50"/>
        <v>VENCIDO</v>
      </c>
      <c r="AB492" s="1" t="str">
        <f t="shared" si="51"/>
        <v>TAAe+</v>
      </c>
      <c r="AC492" s="2">
        <f t="shared" si="55"/>
        <v>0</v>
      </c>
      <c r="AD492" s="2">
        <f t="shared" si="52"/>
        <v>8</v>
      </c>
      <c r="AE492" s="2">
        <f t="shared" ca="1" si="53"/>
        <v>-44986.676271643519</v>
      </c>
      <c r="AF492" s="15"/>
    </row>
    <row r="493" spans="3:32">
      <c r="D493" s="1"/>
      <c r="E493" s="1"/>
      <c r="P493" s="11"/>
      <c r="U493" s="11"/>
      <c r="X493" s="13">
        <f t="shared" si="54"/>
        <v>0</v>
      </c>
      <c r="Y493" s="2">
        <f t="shared" ca="1" si="49"/>
        <v>32133</v>
      </c>
      <c r="Z493" s="14">
        <v>1</v>
      </c>
      <c r="AA493" s="1" t="str">
        <f t="shared" ca="1" si="50"/>
        <v>VENCIDO</v>
      </c>
      <c r="AB493" s="1" t="str">
        <f t="shared" si="51"/>
        <v>TAAe+</v>
      </c>
      <c r="AC493" s="2">
        <f t="shared" si="55"/>
        <v>0</v>
      </c>
      <c r="AD493" s="2">
        <f t="shared" si="52"/>
        <v>8</v>
      </c>
      <c r="AE493" s="2">
        <f t="shared" ca="1" si="53"/>
        <v>-44986.676271643519</v>
      </c>
      <c r="AF493" s="15"/>
    </row>
    <row r="494" spans="3:32">
      <c r="C494" s="49"/>
      <c r="D494" s="1"/>
      <c r="E494" s="1"/>
      <c r="P494" s="11"/>
      <c r="U494" s="11"/>
      <c r="X494" s="13">
        <f t="shared" si="54"/>
        <v>0</v>
      </c>
      <c r="Y494" s="2">
        <f t="shared" ca="1" si="49"/>
        <v>32133</v>
      </c>
      <c r="Z494" s="14">
        <v>1</v>
      </c>
      <c r="AA494" s="1" t="str">
        <f t="shared" ca="1" si="50"/>
        <v>VENCIDO</v>
      </c>
      <c r="AB494" s="1" t="str">
        <f t="shared" si="51"/>
        <v>TAAe+</v>
      </c>
      <c r="AC494" s="2">
        <f t="shared" si="55"/>
        <v>0</v>
      </c>
      <c r="AD494" s="2">
        <f t="shared" si="52"/>
        <v>8</v>
      </c>
      <c r="AE494" s="2">
        <f t="shared" ca="1" si="53"/>
        <v>-44986.676271643519</v>
      </c>
      <c r="AF494" s="15"/>
    </row>
    <row r="495" spans="3:32">
      <c r="D495" s="1"/>
      <c r="E495" s="1"/>
      <c r="P495" s="11"/>
      <c r="U495" s="11"/>
      <c r="X495" s="13">
        <f t="shared" si="54"/>
        <v>0</v>
      </c>
      <c r="Y495" s="2">
        <f t="shared" ca="1" si="49"/>
        <v>32133</v>
      </c>
      <c r="Z495" s="14">
        <v>1</v>
      </c>
      <c r="AA495" s="1" t="str">
        <f t="shared" ca="1" si="50"/>
        <v>VENCIDO</v>
      </c>
      <c r="AB495" s="1" t="str">
        <f t="shared" si="51"/>
        <v>TAAe+</v>
      </c>
      <c r="AC495" s="2">
        <f t="shared" si="55"/>
        <v>0</v>
      </c>
      <c r="AD495" s="2">
        <f t="shared" si="52"/>
        <v>8</v>
      </c>
      <c r="AE495" s="2">
        <f t="shared" ca="1" si="53"/>
        <v>-44986.676271643519</v>
      </c>
      <c r="AF495" s="15"/>
    </row>
    <row r="496" spans="3:32">
      <c r="D496" s="1"/>
      <c r="E496" s="1"/>
      <c r="P496" s="11"/>
      <c r="U496" s="11"/>
      <c r="X496" s="13">
        <f t="shared" si="54"/>
        <v>0</v>
      </c>
      <c r="Y496" s="2">
        <f t="shared" ca="1" si="49"/>
        <v>32133</v>
      </c>
      <c r="Z496" s="14">
        <v>1</v>
      </c>
      <c r="AA496" s="1" t="str">
        <f t="shared" ca="1" si="50"/>
        <v>VENCIDO</v>
      </c>
      <c r="AB496" s="1" t="str">
        <f t="shared" si="51"/>
        <v>TAAe+</v>
      </c>
      <c r="AC496" s="2">
        <f t="shared" si="55"/>
        <v>0</v>
      </c>
      <c r="AD496" s="2">
        <f t="shared" si="52"/>
        <v>8</v>
      </c>
      <c r="AE496" s="2">
        <f t="shared" ca="1" si="53"/>
        <v>-44986.676271643519</v>
      </c>
      <c r="AF496" s="15"/>
    </row>
    <row r="497" spans="3:32">
      <c r="C497" s="49"/>
      <c r="D497" s="1"/>
      <c r="E497" s="1"/>
      <c r="P497" s="11"/>
      <c r="U497" s="11"/>
      <c r="X497" s="13">
        <f t="shared" si="54"/>
        <v>0</v>
      </c>
      <c r="Y497" s="2">
        <f t="shared" ca="1" si="49"/>
        <v>32133</v>
      </c>
      <c r="Z497" s="14">
        <v>1</v>
      </c>
      <c r="AA497" s="1" t="str">
        <f t="shared" ca="1" si="50"/>
        <v>VENCIDO</v>
      </c>
      <c r="AB497" s="1" t="str">
        <f t="shared" si="51"/>
        <v>TAAe+</v>
      </c>
      <c r="AC497" s="2">
        <f t="shared" si="55"/>
        <v>0</v>
      </c>
      <c r="AD497" s="2">
        <f t="shared" si="52"/>
        <v>8</v>
      </c>
      <c r="AE497" s="2">
        <f t="shared" ca="1" si="53"/>
        <v>-44986.676271643519</v>
      </c>
      <c r="AF497" s="15"/>
    </row>
    <row r="498" spans="3:32">
      <c r="D498" s="1"/>
      <c r="E498" s="1"/>
      <c r="P498" s="11"/>
      <c r="U498" s="11"/>
      <c r="X498" s="13">
        <f t="shared" si="54"/>
        <v>0</v>
      </c>
      <c r="Y498" s="2">
        <f t="shared" ca="1" si="49"/>
        <v>32133</v>
      </c>
      <c r="Z498" s="14">
        <v>1</v>
      </c>
      <c r="AA498" s="1" t="str">
        <f t="shared" ca="1" si="50"/>
        <v>VENCIDO</v>
      </c>
      <c r="AB498" s="1" t="str">
        <f t="shared" si="51"/>
        <v>TAAe+</v>
      </c>
      <c r="AC498" s="2">
        <f t="shared" si="55"/>
        <v>0</v>
      </c>
      <c r="AD498" s="2">
        <f t="shared" si="52"/>
        <v>8</v>
      </c>
      <c r="AE498" s="2">
        <f t="shared" ca="1" si="53"/>
        <v>-44986.676271643519</v>
      </c>
      <c r="AF498" s="15"/>
    </row>
    <row r="499" spans="3:32">
      <c r="D499" s="1"/>
      <c r="E499" s="1"/>
      <c r="P499" s="11"/>
      <c r="U499" s="11"/>
      <c r="X499" s="13">
        <f t="shared" si="54"/>
        <v>0</v>
      </c>
      <c r="Y499" s="2">
        <f t="shared" ca="1" si="49"/>
        <v>32133</v>
      </c>
      <c r="Z499" s="14">
        <v>1</v>
      </c>
      <c r="AA499" s="1" t="str">
        <f t="shared" ca="1" si="50"/>
        <v>VENCIDO</v>
      </c>
      <c r="AB499" s="1" t="str">
        <f t="shared" si="51"/>
        <v>TAAe+</v>
      </c>
      <c r="AC499" s="2">
        <f t="shared" si="55"/>
        <v>0</v>
      </c>
      <c r="AD499" s="2">
        <f t="shared" si="52"/>
        <v>8</v>
      </c>
      <c r="AE499" s="2">
        <f t="shared" ca="1" si="53"/>
        <v>-44986.676271643519</v>
      </c>
      <c r="AF499" s="15"/>
    </row>
    <row r="500" spans="3:32">
      <c r="D500" s="1"/>
      <c r="E500" s="1"/>
      <c r="P500" s="11"/>
      <c r="U500" s="11"/>
      <c r="X500" s="13">
        <f t="shared" si="54"/>
        <v>0</v>
      </c>
      <c r="Y500" s="2">
        <f t="shared" ca="1" si="49"/>
        <v>32133</v>
      </c>
      <c r="Z500" s="14">
        <v>1</v>
      </c>
      <c r="AA500" s="1" t="str">
        <f t="shared" ca="1" si="50"/>
        <v>VENCIDO</v>
      </c>
      <c r="AB500" s="1" t="str">
        <f t="shared" si="51"/>
        <v>TAAe+</v>
      </c>
      <c r="AC500" s="2">
        <f t="shared" si="55"/>
        <v>0</v>
      </c>
      <c r="AD500" s="2">
        <f t="shared" si="52"/>
        <v>8</v>
      </c>
      <c r="AE500" s="2">
        <f t="shared" ca="1" si="53"/>
        <v>-44986.676271643519</v>
      </c>
      <c r="AF500" s="15"/>
    </row>
    <row r="501" spans="3:32">
      <c r="D501" s="1"/>
      <c r="E501" s="1"/>
      <c r="P501" s="11"/>
      <c r="U501" s="11"/>
      <c r="X501" s="13">
        <f t="shared" si="54"/>
        <v>0</v>
      </c>
      <c r="Y501" s="2">
        <f t="shared" ca="1" si="49"/>
        <v>32133</v>
      </c>
      <c r="Z501" s="14">
        <v>1</v>
      </c>
      <c r="AA501" s="1" t="str">
        <f t="shared" ca="1" si="50"/>
        <v>VENCIDO</v>
      </c>
      <c r="AB501" s="1" t="str">
        <f t="shared" si="51"/>
        <v>TAAe+</v>
      </c>
      <c r="AC501" s="2">
        <f t="shared" si="55"/>
        <v>0</v>
      </c>
      <c r="AD501" s="2">
        <f t="shared" si="52"/>
        <v>8</v>
      </c>
      <c r="AE501" s="2">
        <f t="shared" ca="1" si="53"/>
        <v>-44986.676271643519</v>
      </c>
      <c r="AF501" s="15"/>
    </row>
    <row r="502" spans="3:32">
      <c r="D502" s="1"/>
      <c r="E502" s="1"/>
      <c r="P502" s="11"/>
      <c r="U502" s="11"/>
      <c r="X502" s="13">
        <f t="shared" si="54"/>
        <v>0</v>
      </c>
      <c r="Y502" s="2">
        <f t="shared" ca="1" si="49"/>
        <v>32133</v>
      </c>
      <c r="Z502" s="14">
        <v>1</v>
      </c>
      <c r="AA502" s="1" t="str">
        <f t="shared" ca="1" si="50"/>
        <v>VENCIDO</v>
      </c>
      <c r="AB502" s="1" t="str">
        <f t="shared" si="51"/>
        <v>TAAe+</v>
      </c>
      <c r="AC502" s="2">
        <f t="shared" si="55"/>
        <v>0</v>
      </c>
      <c r="AD502" s="2">
        <f t="shared" si="52"/>
        <v>8</v>
      </c>
      <c r="AE502" s="2">
        <f t="shared" ca="1" si="53"/>
        <v>-44986.676271643519</v>
      </c>
      <c r="AF502" s="15"/>
    </row>
    <row r="503" spans="3:32">
      <c r="D503" s="1"/>
      <c r="E503" s="1"/>
      <c r="P503" s="11"/>
      <c r="U503" s="11"/>
      <c r="X503" s="13">
        <f t="shared" si="54"/>
        <v>0</v>
      </c>
      <c r="Y503" s="2">
        <f t="shared" ca="1" si="49"/>
        <v>32133</v>
      </c>
      <c r="Z503" s="14">
        <v>1</v>
      </c>
      <c r="AA503" s="1" t="str">
        <f t="shared" ca="1" si="50"/>
        <v>VENCIDO</v>
      </c>
      <c r="AB503" s="1" t="str">
        <f t="shared" si="51"/>
        <v>TAAe+</v>
      </c>
      <c r="AC503" s="2">
        <f t="shared" si="55"/>
        <v>0</v>
      </c>
      <c r="AD503" s="2">
        <f t="shared" si="52"/>
        <v>8</v>
      </c>
      <c r="AE503" s="2">
        <f t="shared" ca="1" si="53"/>
        <v>-44986.676271643519</v>
      </c>
      <c r="AF503" s="15"/>
    </row>
    <row r="504" spans="3:32">
      <c r="D504" s="1"/>
      <c r="E504" s="1"/>
      <c r="P504" s="11"/>
      <c r="U504" s="11"/>
      <c r="X504" s="13">
        <f t="shared" si="54"/>
        <v>0</v>
      </c>
      <c r="Y504" s="2">
        <f t="shared" ca="1" si="49"/>
        <v>32133</v>
      </c>
      <c r="Z504" s="14">
        <v>1</v>
      </c>
      <c r="AA504" s="1" t="str">
        <f t="shared" ca="1" si="50"/>
        <v>VENCIDO</v>
      </c>
      <c r="AB504" s="1" t="str">
        <f t="shared" si="51"/>
        <v>TAAe+</v>
      </c>
      <c r="AC504" s="2">
        <f t="shared" si="55"/>
        <v>0</v>
      </c>
      <c r="AD504" s="2">
        <f t="shared" si="52"/>
        <v>8</v>
      </c>
      <c r="AE504" s="2">
        <f t="shared" ca="1" si="53"/>
        <v>-44986.676271643519</v>
      </c>
      <c r="AF504" s="15"/>
    </row>
    <row r="505" spans="3:32">
      <c r="D505" s="1"/>
      <c r="E505" s="1"/>
      <c r="P505" s="11"/>
      <c r="U505" s="11"/>
      <c r="X505" s="13">
        <f t="shared" si="54"/>
        <v>0</v>
      </c>
      <c r="Y505" s="2">
        <f t="shared" ca="1" si="49"/>
        <v>32133</v>
      </c>
      <c r="Z505" s="14">
        <v>1</v>
      </c>
      <c r="AA505" s="1" t="str">
        <f t="shared" ca="1" si="50"/>
        <v>VENCIDO</v>
      </c>
      <c r="AB505" s="1" t="str">
        <f t="shared" si="51"/>
        <v>TAAe+</v>
      </c>
      <c r="AC505" s="2">
        <f t="shared" si="55"/>
        <v>0</v>
      </c>
      <c r="AD505" s="2">
        <f t="shared" si="52"/>
        <v>8</v>
      </c>
      <c r="AE505" s="2">
        <f t="shared" ca="1" si="53"/>
        <v>-44986.676271643519</v>
      </c>
      <c r="AF505" s="15"/>
    </row>
    <row r="506" spans="3:32">
      <c r="D506" s="1"/>
      <c r="E506" s="1"/>
      <c r="P506" s="11"/>
      <c r="U506" s="11"/>
      <c r="X506" s="13">
        <f t="shared" si="54"/>
        <v>0</v>
      </c>
      <c r="Y506" s="2">
        <f t="shared" ca="1" si="49"/>
        <v>32133</v>
      </c>
      <c r="Z506" s="14">
        <v>1</v>
      </c>
      <c r="AA506" s="1" t="str">
        <f t="shared" ca="1" si="50"/>
        <v>VENCIDO</v>
      </c>
      <c r="AB506" s="1" t="str">
        <f t="shared" si="51"/>
        <v>TAAe+</v>
      </c>
      <c r="AC506" s="2">
        <f t="shared" si="55"/>
        <v>0</v>
      </c>
      <c r="AD506" s="2">
        <f t="shared" si="52"/>
        <v>8</v>
      </c>
      <c r="AE506" s="2">
        <f t="shared" ca="1" si="53"/>
        <v>-44986.676271643519</v>
      </c>
      <c r="AF506" s="15"/>
    </row>
    <row r="507" spans="3:32">
      <c r="C507" s="49"/>
      <c r="D507" s="1"/>
      <c r="E507" s="1"/>
      <c r="P507" s="11"/>
      <c r="U507" s="11"/>
      <c r="X507" s="13">
        <f t="shared" si="54"/>
        <v>0</v>
      </c>
      <c r="Y507" s="2">
        <f t="shared" ca="1" si="49"/>
        <v>32133</v>
      </c>
      <c r="Z507" s="14">
        <v>1</v>
      </c>
      <c r="AA507" s="1" t="str">
        <f t="shared" ca="1" si="50"/>
        <v>VENCIDO</v>
      </c>
      <c r="AB507" s="1" t="str">
        <f t="shared" si="51"/>
        <v>TAAe+</v>
      </c>
      <c r="AC507" s="2">
        <f t="shared" si="55"/>
        <v>0</v>
      </c>
      <c r="AD507" s="2">
        <f t="shared" si="52"/>
        <v>8</v>
      </c>
      <c r="AE507" s="2">
        <f t="shared" ca="1" si="53"/>
        <v>-44986.676271643519</v>
      </c>
      <c r="AF507" s="15"/>
    </row>
    <row r="508" spans="3:32">
      <c r="D508" s="1"/>
      <c r="E508" s="1"/>
      <c r="P508" s="11"/>
      <c r="U508" s="11"/>
      <c r="X508" s="13">
        <f t="shared" si="54"/>
        <v>0</v>
      </c>
      <c r="Y508" s="2">
        <f t="shared" ca="1" si="49"/>
        <v>32133</v>
      </c>
      <c r="Z508" s="14">
        <v>1</v>
      </c>
      <c r="AA508" s="1" t="str">
        <f t="shared" ca="1" si="50"/>
        <v>VENCIDO</v>
      </c>
      <c r="AB508" s="1" t="str">
        <f t="shared" si="51"/>
        <v>TAAe+</v>
      </c>
      <c r="AC508" s="2">
        <f t="shared" si="55"/>
        <v>0</v>
      </c>
      <c r="AD508" s="2">
        <f t="shared" si="52"/>
        <v>8</v>
      </c>
      <c r="AE508" s="2">
        <f t="shared" ca="1" si="53"/>
        <v>-44986.676271643519</v>
      </c>
      <c r="AF508" s="15"/>
    </row>
    <row r="509" spans="3:32">
      <c r="D509" s="1"/>
      <c r="E509" s="1"/>
      <c r="P509" s="11"/>
      <c r="U509" s="11"/>
      <c r="X509" s="13">
        <f t="shared" si="54"/>
        <v>0</v>
      </c>
      <c r="Y509" s="2">
        <f t="shared" ca="1" si="49"/>
        <v>32133</v>
      </c>
      <c r="Z509" s="14">
        <v>1</v>
      </c>
      <c r="AA509" s="1" t="str">
        <f t="shared" ca="1" si="50"/>
        <v>VENCIDO</v>
      </c>
      <c r="AB509" s="1" t="str">
        <f t="shared" si="51"/>
        <v>TAAe+</v>
      </c>
      <c r="AC509" s="2">
        <f t="shared" si="55"/>
        <v>0</v>
      </c>
      <c r="AD509" s="2">
        <f t="shared" si="52"/>
        <v>8</v>
      </c>
      <c r="AE509" s="2">
        <f t="shared" ca="1" si="53"/>
        <v>-44986.676271643519</v>
      </c>
      <c r="AF509" s="15"/>
    </row>
    <row r="510" spans="3:32">
      <c r="D510" s="1"/>
      <c r="E510" s="1"/>
      <c r="P510" s="11"/>
      <c r="U510" s="11"/>
      <c r="X510" s="13">
        <f t="shared" si="54"/>
        <v>0</v>
      </c>
      <c r="Y510" s="2">
        <f t="shared" ca="1" si="49"/>
        <v>32133</v>
      </c>
      <c r="Z510" s="14">
        <v>1</v>
      </c>
      <c r="AA510" s="1" t="str">
        <f t="shared" ca="1" si="50"/>
        <v>VENCIDO</v>
      </c>
      <c r="AB510" s="1" t="str">
        <f t="shared" si="51"/>
        <v>TAAe+</v>
      </c>
      <c r="AC510" s="2">
        <f t="shared" si="55"/>
        <v>0</v>
      </c>
      <c r="AD510" s="2">
        <f t="shared" si="52"/>
        <v>8</v>
      </c>
      <c r="AE510" s="2">
        <f t="shared" ca="1" si="53"/>
        <v>-44986.676271643519</v>
      </c>
      <c r="AF510" s="15"/>
    </row>
    <row r="511" spans="3:32">
      <c r="D511" s="1"/>
      <c r="E511" s="1"/>
      <c r="P511" s="11"/>
      <c r="U511" s="11"/>
      <c r="X511" s="13">
        <f t="shared" si="54"/>
        <v>0</v>
      </c>
      <c r="Y511" s="2">
        <f t="shared" ca="1" si="49"/>
        <v>32133</v>
      </c>
      <c r="Z511" s="14">
        <v>1</v>
      </c>
      <c r="AA511" s="1" t="str">
        <f t="shared" ca="1" si="50"/>
        <v>VENCIDO</v>
      </c>
      <c r="AB511" s="1" t="str">
        <f t="shared" si="51"/>
        <v>TAAe+</v>
      </c>
      <c r="AC511" s="2">
        <f t="shared" si="55"/>
        <v>0</v>
      </c>
      <c r="AD511" s="2">
        <f t="shared" si="52"/>
        <v>8</v>
      </c>
      <c r="AE511" s="2">
        <f t="shared" ca="1" si="53"/>
        <v>-44986.676271643519</v>
      </c>
      <c r="AF511" s="15"/>
    </row>
    <row r="512" spans="3:32">
      <c r="D512" s="1"/>
      <c r="E512" s="1"/>
      <c r="P512" s="11"/>
      <c r="U512" s="11"/>
      <c r="X512" s="13">
        <f t="shared" si="54"/>
        <v>0</v>
      </c>
      <c r="Y512" s="2">
        <f t="shared" ca="1" si="49"/>
        <v>32133</v>
      </c>
      <c r="Z512" s="14">
        <v>1</v>
      </c>
      <c r="AA512" s="1" t="str">
        <f t="shared" ca="1" si="50"/>
        <v>VENCIDO</v>
      </c>
      <c r="AB512" s="1" t="str">
        <f t="shared" si="51"/>
        <v>TAAe+</v>
      </c>
      <c r="AC512" s="2">
        <f t="shared" si="55"/>
        <v>0</v>
      </c>
      <c r="AD512" s="2">
        <f t="shared" si="52"/>
        <v>8</v>
      </c>
      <c r="AE512" s="2">
        <f t="shared" ca="1" si="53"/>
        <v>-44986.676271643519</v>
      </c>
      <c r="AF512" s="15"/>
    </row>
    <row r="513" spans="4:32">
      <c r="D513" s="1"/>
      <c r="E513" s="1"/>
      <c r="P513" s="11"/>
      <c r="U513" s="11"/>
      <c r="X513" s="13">
        <f t="shared" si="54"/>
        <v>0</v>
      </c>
      <c r="Y513" s="2">
        <f t="shared" ca="1" si="49"/>
        <v>32133</v>
      </c>
      <c r="Z513" s="14">
        <v>1</v>
      </c>
      <c r="AA513" s="1" t="str">
        <f t="shared" ca="1" si="50"/>
        <v>VENCIDO</v>
      </c>
      <c r="AB513" s="1" t="str">
        <f t="shared" si="51"/>
        <v>TAAe+</v>
      </c>
      <c r="AC513" s="2">
        <f t="shared" si="55"/>
        <v>0</v>
      </c>
      <c r="AD513" s="2">
        <f t="shared" si="52"/>
        <v>8</v>
      </c>
      <c r="AE513" s="2">
        <f t="shared" ca="1" si="53"/>
        <v>-44986.676271643519</v>
      </c>
      <c r="AF513" s="15"/>
    </row>
    <row r="514" spans="4:32">
      <c r="D514" s="1"/>
      <c r="E514" s="1"/>
      <c r="P514" s="11"/>
      <c r="U514" s="11"/>
      <c r="X514" s="13">
        <f t="shared" si="54"/>
        <v>0</v>
      </c>
      <c r="Y514" s="2">
        <f t="shared" ref="Y514:Y577" ca="1" si="56">NETWORKDAYS(P514,$Y$1)</f>
        <v>32133</v>
      </c>
      <c r="Z514" s="14">
        <v>1</v>
      </c>
      <c r="AA514" s="1" t="str">
        <f t="shared" ref="AA514:AA577" ca="1" si="57">IF(AE514=0,"HOJE",IF(AE514&gt;0,"A VENCER",IF(AE514&lt;0,"VENCIDO")))</f>
        <v>VENCIDO</v>
      </c>
      <c r="AB514" s="1" t="str">
        <f t="shared" ref="AB514:AB577" si="58">IF(F514="GRPE-000001","C-14",IF(F514="GRPE-000002","C-14",IF(F514="GRPE-000003","C-14",IF(F514="GRPE-000004","SL-On",IF(F514="GRPE-000038","C-14",IF(F514="GRPE-900022","Dosa",IF(F514="GRPE-000029","Dosa",IF(F514="ATOS-000222","Dose","TAAe+"))))))))</f>
        <v>TAAe+</v>
      </c>
      <c r="AC514" s="2">
        <f t="shared" si="55"/>
        <v>0</v>
      </c>
      <c r="AD514" s="2">
        <f t="shared" ref="AD514:AD577" si="59">IF(F514="GRPE-000001",5,IF(F514="GRPE-000002",5,IF(F514="GRPE-000003",15,IF(F514="GRPE-000004",1,IF(F514="GRPE-000038",5,IF(F514="GRPE-900022",5,IF(F514="GRPE-000029",5,IF(F514="ATOS-000222",5,8))))))))</f>
        <v>8</v>
      </c>
      <c r="AE514" s="2">
        <f t="shared" ref="AE514:AE577" ca="1" si="60">IF(U514=$AE$1,"",U514-$AE$1)</f>
        <v>-44986.676271643519</v>
      </c>
      <c r="AF514" s="15"/>
    </row>
    <row r="515" spans="4:32">
      <c r="D515" s="1"/>
      <c r="E515" s="1"/>
      <c r="P515" s="11"/>
      <c r="U515" s="11"/>
      <c r="X515" s="13">
        <f t="shared" ref="X515:X578" si="61">IF(RIGHT(H515,2)&lt;&gt;"00",H515,"")</f>
        <v>0</v>
      </c>
      <c r="Y515" s="2">
        <f t="shared" ca="1" si="56"/>
        <v>32133</v>
      </c>
      <c r="Z515" s="14">
        <v>1</v>
      </c>
      <c r="AA515" s="1" t="str">
        <f t="shared" ca="1" si="57"/>
        <v>VENCIDO</v>
      </c>
      <c r="AB515" s="1" t="str">
        <f t="shared" si="58"/>
        <v>TAAe+</v>
      </c>
      <c r="AC515" s="2">
        <f t="shared" ref="AC515:AC578" si="62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>0</v>
      </c>
      <c r="AD515" s="2">
        <f t="shared" si="59"/>
        <v>8</v>
      </c>
      <c r="AE515" s="2">
        <f t="shared" ca="1" si="60"/>
        <v>-44986.676271643519</v>
      </c>
      <c r="AF515" s="15"/>
    </row>
    <row r="516" spans="4:32">
      <c r="D516" s="1"/>
      <c r="E516" s="1"/>
      <c r="P516" s="11"/>
      <c r="U516" s="11"/>
      <c r="X516" s="13">
        <f t="shared" si="61"/>
        <v>0</v>
      </c>
      <c r="Y516" s="2">
        <f t="shared" ca="1" si="56"/>
        <v>32133</v>
      </c>
      <c r="Z516" s="14">
        <v>1</v>
      </c>
      <c r="AA516" s="1" t="str">
        <f t="shared" ca="1" si="57"/>
        <v>VENCIDO</v>
      </c>
      <c r="AB516" s="1" t="str">
        <f t="shared" si="58"/>
        <v>TAAe+</v>
      </c>
      <c r="AC516" s="2">
        <f t="shared" si="62"/>
        <v>0</v>
      </c>
      <c r="AD516" s="2">
        <f t="shared" si="59"/>
        <v>8</v>
      </c>
      <c r="AE516" s="2">
        <f t="shared" ca="1" si="60"/>
        <v>-44986.676271643519</v>
      </c>
      <c r="AF516" s="15"/>
    </row>
    <row r="517" spans="4:32">
      <c r="D517" s="1"/>
      <c r="E517" s="1"/>
      <c r="P517" s="11"/>
      <c r="U517" s="11"/>
      <c r="X517" s="13">
        <f t="shared" si="61"/>
        <v>0</v>
      </c>
      <c r="Y517" s="2">
        <f t="shared" ca="1" si="56"/>
        <v>32133</v>
      </c>
      <c r="Z517" s="14">
        <v>1</v>
      </c>
      <c r="AA517" s="1" t="str">
        <f t="shared" ca="1" si="57"/>
        <v>VENCIDO</v>
      </c>
      <c r="AB517" s="1" t="str">
        <f t="shared" si="58"/>
        <v>TAAe+</v>
      </c>
      <c r="AC517" s="2">
        <f t="shared" si="62"/>
        <v>0</v>
      </c>
      <c r="AD517" s="2">
        <f t="shared" si="59"/>
        <v>8</v>
      </c>
      <c r="AE517" s="2">
        <f t="shared" ca="1" si="60"/>
        <v>-44986.676271643519</v>
      </c>
      <c r="AF517" s="15"/>
    </row>
    <row r="518" spans="4:32">
      <c r="D518" s="1"/>
      <c r="E518" s="1"/>
      <c r="P518" s="11"/>
      <c r="U518" s="11"/>
      <c r="X518" s="13">
        <f t="shared" si="61"/>
        <v>0</v>
      </c>
      <c r="Y518" s="2">
        <f t="shared" ca="1" si="56"/>
        <v>32133</v>
      </c>
      <c r="Z518" s="14">
        <v>1</v>
      </c>
      <c r="AA518" s="1" t="str">
        <f t="shared" ca="1" si="57"/>
        <v>VENCIDO</v>
      </c>
      <c r="AB518" s="1" t="str">
        <f t="shared" si="58"/>
        <v>TAAe+</v>
      </c>
      <c r="AC518" s="2">
        <f t="shared" si="62"/>
        <v>0</v>
      </c>
      <c r="AD518" s="2">
        <f t="shared" si="59"/>
        <v>8</v>
      </c>
      <c r="AE518" s="2">
        <f t="shared" ca="1" si="60"/>
        <v>-44986.676271643519</v>
      </c>
      <c r="AF518" s="15"/>
    </row>
    <row r="519" spans="4:32">
      <c r="D519" s="1"/>
      <c r="E519" s="1"/>
      <c r="P519" s="11"/>
      <c r="U519" s="11"/>
      <c r="X519" s="13">
        <f t="shared" si="61"/>
        <v>0</v>
      </c>
      <c r="Y519" s="2">
        <f t="shared" ca="1" si="56"/>
        <v>32133</v>
      </c>
      <c r="Z519" s="14">
        <v>1</v>
      </c>
      <c r="AA519" s="1" t="str">
        <f t="shared" ca="1" si="57"/>
        <v>VENCIDO</v>
      </c>
      <c r="AB519" s="1" t="str">
        <f t="shared" si="58"/>
        <v>TAAe+</v>
      </c>
      <c r="AC519" s="2">
        <f t="shared" si="62"/>
        <v>0</v>
      </c>
      <c r="AD519" s="2">
        <f t="shared" si="59"/>
        <v>8</v>
      </c>
      <c r="AE519" s="2">
        <f t="shared" ca="1" si="60"/>
        <v>-44986.676271643519</v>
      </c>
      <c r="AF519" s="15"/>
    </row>
    <row r="520" spans="4:32">
      <c r="D520" s="1"/>
      <c r="E520" s="1"/>
      <c r="P520" s="11"/>
      <c r="U520" s="11"/>
      <c r="X520" s="13">
        <f t="shared" si="61"/>
        <v>0</v>
      </c>
      <c r="Y520" s="2">
        <f t="shared" ca="1" si="56"/>
        <v>32133</v>
      </c>
      <c r="Z520" s="14">
        <v>1</v>
      </c>
      <c r="AA520" s="1" t="str">
        <f t="shared" ca="1" si="57"/>
        <v>VENCIDO</v>
      </c>
      <c r="AB520" s="1" t="str">
        <f t="shared" si="58"/>
        <v>TAAe+</v>
      </c>
      <c r="AC520" s="2">
        <f t="shared" si="62"/>
        <v>0</v>
      </c>
      <c r="AD520" s="2">
        <f t="shared" si="59"/>
        <v>8</v>
      </c>
      <c r="AE520" s="2">
        <f t="shared" ca="1" si="60"/>
        <v>-44986.676271643519</v>
      </c>
      <c r="AF520" s="15"/>
    </row>
    <row r="521" spans="4:32">
      <c r="D521" s="1"/>
      <c r="E521" s="1"/>
      <c r="P521" s="11"/>
      <c r="U521" s="11"/>
      <c r="X521" s="13">
        <f t="shared" si="61"/>
        <v>0</v>
      </c>
      <c r="Y521" s="2">
        <f t="shared" ca="1" si="56"/>
        <v>32133</v>
      </c>
      <c r="Z521" s="14">
        <v>1</v>
      </c>
      <c r="AA521" s="1" t="str">
        <f t="shared" ca="1" si="57"/>
        <v>VENCIDO</v>
      </c>
      <c r="AB521" s="1" t="str">
        <f t="shared" si="58"/>
        <v>TAAe+</v>
      </c>
      <c r="AC521" s="2">
        <f t="shared" si="62"/>
        <v>0</v>
      </c>
      <c r="AD521" s="2">
        <f t="shared" si="59"/>
        <v>8</v>
      </c>
      <c r="AE521" s="2">
        <f t="shared" ca="1" si="60"/>
        <v>-44986.676271643519</v>
      </c>
      <c r="AF521" s="15"/>
    </row>
    <row r="522" spans="4:32">
      <c r="D522" s="1"/>
      <c r="E522" s="1"/>
      <c r="P522" s="11"/>
      <c r="U522" s="11"/>
      <c r="X522" s="13">
        <f t="shared" si="61"/>
        <v>0</v>
      </c>
      <c r="Y522" s="2">
        <f t="shared" ca="1" si="56"/>
        <v>32133</v>
      </c>
      <c r="Z522" s="14">
        <v>1</v>
      </c>
      <c r="AA522" s="1" t="str">
        <f t="shared" ca="1" si="57"/>
        <v>VENCIDO</v>
      </c>
      <c r="AB522" s="1" t="str">
        <f t="shared" si="58"/>
        <v>TAAe+</v>
      </c>
      <c r="AC522" s="2">
        <f t="shared" si="62"/>
        <v>0</v>
      </c>
      <c r="AD522" s="2">
        <f t="shared" si="59"/>
        <v>8</v>
      </c>
      <c r="AE522" s="2">
        <f t="shared" ca="1" si="60"/>
        <v>-44986.676271643519</v>
      </c>
      <c r="AF522" s="15"/>
    </row>
    <row r="523" spans="4:32">
      <c r="D523" s="1"/>
      <c r="E523" s="1"/>
      <c r="P523" s="11"/>
      <c r="U523" s="11"/>
      <c r="X523" s="13">
        <f t="shared" si="61"/>
        <v>0</v>
      </c>
      <c r="Y523" s="2">
        <f t="shared" ca="1" si="56"/>
        <v>32133</v>
      </c>
      <c r="Z523" s="14">
        <v>1</v>
      </c>
      <c r="AA523" s="1" t="str">
        <f t="shared" ca="1" si="57"/>
        <v>VENCIDO</v>
      </c>
      <c r="AB523" s="1" t="str">
        <f t="shared" si="58"/>
        <v>TAAe+</v>
      </c>
      <c r="AC523" s="2">
        <f t="shared" si="62"/>
        <v>0</v>
      </c>
      <c r="AD523" s="2">
        <f t="shared" si="59"/>
        <v>8</v>
      </c>
      <c r="AE523" s="2">
        <f t="shared" ca="1" si="60"/>
        <v>-44986.676271643519</v>
      </c>
      <c r="AF523" s="15"/>
    </row>
    <row r="524" spans="4:32">
      <c r="D524" s="1"/>
      <c r="E524" s="1"/>
      <c r="P524" s="11"/>
      <c r="U524" s="11"/>
      <c r="X524" s="13">
        <f t="shared" si="61"/>
        <v>0</v>
      </c>
      <c r="Y524" s="2">
        <f t="shared" ca="1" si="56"/>
        <v>32133</v>
      </c>
      <c r="Z524" s="14">
        <v>1</v>
      </c>
      <c r="AA524" s="1" t="str">
        <f t="shared" ca="1" si="57"/>
        <v>VENCIDO</v>
      </c>
      <c r="AB524" s="1" t="str">
        <f t="shared" si="58"/>
        <v>TAAe+</v>
      </c>
      <c r="AC524" s="2">
        <f t="shared" si="62"/>
        <v>0</v>
      </c>
      <c r="AD524" s="2">
        <f t="shared" si="59"/>
        <v>8</v>
      </c>
      <c r="AE524" s="2">
        <f t="shared" ca="1" si="60"/>
        <v>-44986.676271643519</v>
      </c>
      <c r="AF524" s="15"/>
    </row>
    <row r="525" spans="4:32">
      <c r="D525" s="1"/>
      <c r="E525" s="1"/>
      <c r="P525" s="11"/>
      <c r="U525" s="11"/>
      <c r="X525" s="13">
        <f t="shared" si="61"/>
        <v>0</v>
      </c>
      <c r="Y525" s="2">
        <f t="shared" ca="1" si="56"/>
        <v>32133</v>
      </c>
      <c r="Z525" s="14">
        <v>1</v>
      </c>
      <c r="AA525" s="1" t="str">
        <f t="shared" ca="1" si="57"/>
        <v>VENCIDO</v>
      </c>
      <c r="AB525" s="1" t="str">
        <f t="shared" si="58"/>
        <v>TAAe+</v>
      </c>
      <c r="AC525" s="2">
        <f t="shared" si="62"/>
        <v>0</v>
      </c>
      <c r="AD525" s="2">
        <f t="shared" si="59"/>
        <v>8</v>
      </c>
      <c r="AE525" s="2">
        <f t="shared" ca="1" si="60"/>
        <v>-44986.676271643519</v>
      </c>
      <c r="AF525" s="15"/>
    </row>
    <row r="526" spans="4:32">
      <c r="D526" s="1"/>
      <c r="E526" s="1"/>
      <c r="P526" s="11"/>
      <c r="U526" s="11"/>
      <c r="X526" s="13">
        <f t="shared" si="61"/>
        <v>0</v>
      </c>
      <c r="Y526" s="2">
        <f t="shared" ca="1" si="56"/>
        <v>32133</v>
      </c>
      <c r="Z526" s="14">
        <v>1</v>
      </c>
      <c r="AA526" s="1" t="str">
        <f t="shared" ca="1" si="57"/>
        <v>VENCIDO</v>
      </c>
      <c r="AB526" s="1" t="str">
        <f t="shared" si="58"/>
        <v>TAAe+</v>
      </c>
      <c r="AC526" s="2">
        <f t="shared" si="62"/>
        <v>0</v>
      </c>
      <c r="AD526" s="2">
        <f t="shared" si="59"/>
        <v>8</v>
      </c>
      <c r="AE526" s="2">
        <f t="shared" ca="1" si="60"/>
        <v>-44986.676271643519</v>
      </c>
      <c r="AF526" s="15"/>
    </row>
    <row r="527" spans="4:32">
      <c r="D527" s="1"/>
      <c r="E527" s="1"/>
      <c r="P527" s="11"/>
      <c r="U527" s="11"/>
      <c r="X527" s="13">
        <f t="shared" si="61"/>
        <v>0</v>
      </c>
      <c r="Y527" s="2">
        <f t="shared" ca="1" si="56"/>
        <v>32133</v>
      </c>
      <c r="Z527" s="14">
        <v>1</v>
      </c>
      <c r="AA527" s="1" t="str">
        <f t="shared" ca="1" si="57"/>
        <v>VENCIDO</v>
      </c>
      <c r="AB527" s="1" t="str">
        <f t="shared" si="58"/>
        <v>TAAe+</v>
      </c>
      <c r="AC527" s="2">
        <f t="shared" si="62"/>
        <v>0</v>
      </c>
      <c r="AD527" s="2">
        <f t="shared" si="59"/>
        <v>8</v>
      </c>
      <c r="AE527" s="2">
        <f t="shared" ca="1" si="60"/>
        <v>-44986.676271643519</v>
      </c>
      <c r="AF527" s="15"/>
    </row>
    <row r="528" spans="4:32">
      <c r="D528" s="1"/>
      <c r="E528" s="1"/>
      <c r="P528" s="11"/>
      <c r="U528" s="11"/>
      <c r="X528" s="13">
        <f t="shared" si="61"/>
        <v>0</v>
      </c>
      <c r="Y528" s="2">
        <f t="shared" ca="1" si="56"/>
        <v>32133</v>
      </c>
      <c r="Z528" s="14">
        <v>1</v>
      </c>
      <c r="AA528" s="1" t="str">
        <f t="shared" ca="1" si="57"/>
        <v>VENCIDO</v>
      </c>
      <c r="AB528" s="1" t="str">
        <f t="shared" si="58"/>
        <v>TAAe+</v>
      </c>
      <c r="AC528" s="2">
        <f t="shared" si="62"/>
        <v>0</v>
      </c>
      <c r="AD528" s="2">
        <f t="shared" si="59"/>
        <v>8</v>
      </c>
      <c r="AE528" s="2">
        <f t="shared" ca="1" si="60"/>
        <v>-44986.676271643519</v>
      </c>
      <c r="AF528" s="15"/>
    </row>
    <row r="529" spans="3:32">
      <c r="D529" s="1"/>
      <c r="E529" s="1"/>
      <c r="P529" s="11"/>
      <c r="U529" s="11"/>
      <c r="X529" s="13">
        <f t="shared" si="61"/>
        <v>0</v>
      </c>
      <c r="Y529" s="2">
        <f t="shared" ca="1" si="56"/>
        <v>32133</v>
      </c>
      <c r="Z529" s="14">
        <v>1</v>
      </c>
      <c r="AA529" s="1" t="str">
        <f t="shared" ca="1" si="57"/>
        <v>VENCIDO</v>
      </c>
      <c r="AB529" s="1" t="str">
        <f t="shared" si="58"/>
        <v>TAAe+</v>
      </c>
      <c r="AC529" s="2">
        <f t="shared" si="62"/>
        <v>0</v>
      </c>
      <c r="AD529" s="2">
        <f t="shared" si="59"/>
        <v>8</v>
      </c>
      <c r="AE529" s="2">
        <f t="shared" ca="1" si="60"/>
        <v>-44986.676271643519</v>
      </c>
      <c r="AF529" s="15"/>
    </row>
    <row r="530" spans="3:32">
      <c r="D530" s="1"/>
      <c r="E530" s="1"/>
      <c r="P530" s="11"/>
      <c r="U530" s="11"/>
      <c r="X530" s="13">
        <f t="shared" si="61"/>
        <v>0</v>
      </c>
      <c r="Y530" s="2">
        <f t="shared" ca="1" si="56"/>
        <v>32133</v>
      </c>
      <c r="Z530" s="14">
        <v>1</v>
      </c>
      <c r="AA530" s="1" t="str">
        <f t="shared" ca="1" si="57"/>
        <v>VENCIDO</v>
      </c>
      <c r="AB530" s="1" t="str">
        <f t="shared" si="58"/>
        <v>TAAe+</v>
      </c>
      <c r="AC530" s="2">
        <f t="shared" si="62"/>
        <v>0</v>
      </c>
      <c r="AD530" s="2">
        <f t="shared" si="59"/>
        <v>8</v>
      </c>
      <c r="AE530" s="2">
        <f t="shared" ca="1" si="60"/>
        <v>-44986.676271643519</v>
      </c>
      <c r="AF530" s="15"/>
    </row>
    <row r="531" spans="3:32">
      <c r="D531" s="1"/>
      <c r="E531" s="1"/>
      <c r="P531" s="11"/>
      <c r="U531" s="11"/>
      <c r="X531" s="13">
        <f t="shared" si="61"/>
        <v>0</v>
      </c>
      <c r="Y531" s="2">
        <f t="shared" ca="1" si="56"/>
        <v>32133</v>
      </c>
      <c r="Z531" s="14">
        <v>1</v>
      </c>
      <c r="AA531" s="1" t="str">
        <f t="shared" ca="1" si="57"/>
        <v>VENCIDO</v>
      </c>
      <c r="AB531" s="1" t="str">
        <f t="shared" si="58"/>
        <v>TAAe+</v>
      </c>
      <c r="AC531" s="2">
        <f t="shared" si="62"/>
        <v>0</v>
      </c>
      <c r="AD531" s="2">
        <f t="shared" si="59"/>
        <v>8</v>
      </c>
      <c r="AE531" s="2">
        <f t="shared" ca="1" si="60"/>
        <v>-44986.676271643519</v>
      </c>
      <c r="AF531" s="15"/>
    </row>
    <row r="532" spans="3:32">
      <c r="D532" s="1"/>
      <c r="E532" s="1"/>
      <c r="P532" s="11"/>
      <c r="U532" s="11"/>
      <c r="X532" s="13">
        <f t="shared" si="61"/>
        <v>0</v>
      </c>
      <c r="Y532" s="2">
        <f t="shared" ca="1" si="56"/>
        <v>32133</v>
      </c>
      <c r="Z532" s="14">
        <v>1</v>
      </c>
      <c r="AA532" s="1" t="str">
        <f t="shared" ca="1" si="57"/>
        <v>VENCIDO</v>
      </c>
      <c r="AB532" s="1" t="str">
        <f t="shared" si="58"/>
        <v>TAAe+</v>
      </c>
      <c r="AC532" s="2">
        <f t="shared" si="62"/>
        <v>0</v>
      </c>
      <c r="AD532" s="2">
        <f t="shared" si="59"/>
        <v>8</v>
      </c>
      <c r="AE532" s="2">
        <f t="shared" ca="1" si="60"/>
        <v>-44986.676271643519</v>
      </c>
      <c r="AF532" s="15"/>
    </row>
    <row r="533" spans="3:32">
      <c r="D533" s="1"/>
      <c r="E533" s="1"/>
      <c r="P533" s="11"/>
      <c r="U533" s="11"/>
      <c r="X533" s="13">
        <f t="shared" si="61"/>
        <v>0</v>
      </c>
      <c r="Y533" s="2">
        <f t="shared" ca="1" si="56"/>
        <v>32133</v>
      </c>
      <c r="Z533" s="14">
        <v>1</v>
      </c>
      <c r="AA533" s="1" t="str">
        <f t="shared" ca="1" si="57"/>
        <v>VENCIDO</v>
      </c>
      <c r="AB533" s="1" t="str">
        <f t="shared" si="58"/>
        <v>TAAe+</v>
      </c>
      <c r="AC533" s="2">
        <f t="shared" si="62"/>
        <v>0</v>
      </c>
      <c r="AD533" s="2">
        <f t="shared" si="59"/>
        <v>8</v>
      </c>
      <c r="AE533" s="2">
        <f t="shared" ca="1" si="60"/>
        <v>-44986.676271643519</v>
      </c>
      <c r="AF533" s="15"/>
    </row>
    <row r="534" spans="3:32">
      <c r="D534" s="1"/>
      <c r="E534" s="1"/>
      <c r="P534" s="11"/>
      <c r="U534" s="11"/>
      <c r="X534" s="13">
        <f t="shared" si="61"/>
        <v>0</v>
      </c>
      <c r="Y534" s="2">
        <f t="shared" ca="1" si="56"/>
        <v>32133</v>
      </c>
      <c r="Z534" s="14">
        <v>1</v>
      </c>
      <c r="AA534" s="1" t="str">
        <f t="shared" ca="1" si="57"/>
        <v>VENCIDO</v>
      </c>
      <c r="AB534" s="1" t="str">
        <f t="shared" si="58"/>
        <v>TAAe+</v>
      </c>
      <c r="AC534" s="2">
        <f t="shared" si="62"/>
        <v>0</v>
      </c>
      <c r="AD534" s="2">
        <f t="shared" si="59"/>
        <v>8</v>
      </c>
      <c r="AE534" s="2">
        <f t="shared" ca="1" si="60"/>
        <v>-44986.676271643519</v>
      </c>
      <c r="AF534" s="15"/>
    </row>
    <row r="535" spans="3:32">
      <c r="D535" s="1"/>
      <c r="E535" s="1"/>
      <c r="P535" s="11"/>
      <c r="U535" s="11"/>
      <c r="X535" s="13">
        <f t="shared" si="61"/>
        <v>0</v>
      </c>
      <c r="Y535" s="2">
        <f t="shared" ca="1" si="56"/>
        <v>32133</v>
      </c>
      <c r="Z535" s="14">
        <v>1</v>
      </c>
      <c r="AA535" s="1" t="str">
        <f t="shared" ca="1" si="57"/>
        <v>VENCIDO</v>
      </c>
      <c r="AB535" s="1" t="str">
        <f t="shared" si="58"/>
        <v>TAAe+</v>
      </c>
      <c r="AC535" s="2">
        <f t="shared" si="62"/>
        <v>0</v>
      </c>
      <c r="AD535" s="2">
        <f t="shared" si="59"/>
        <v>8</v>
      </c>
      <c r="AE535" s="2">
        <f t="shared" ca="1" si="60"/>
        <v>-44986.676271643519</v>
      </c>
      <c r="AF535" s="15"/>
    </row>
    <row r="536" spans="3:32">
      <c r="D536" s="1"/>
      <c r="E536" s="1"/>
      <c r="P536" s="11"/>
      <c r="U536" s="11"/>
      <c r="X536" s="13">
        <f t="shared" si="61"/>
        <v>0</v>
      </c>
      <c r="Y536" s="2">
        <f t="shared" ca="1" si="56"/>
        <v>32133</v>
      </c>
      <c r="Z536" s="14">
        <v>1</v>
      </c>
      <c r="AA536" s="1" t="str">
        <f t="shared" ca="1" si="57"/>
        <v>VENCIDO</v>
      </c>
      <c r="AB536" s="1" t="str">
        <f t="shared" si="58"/>
        <v>TAAe+</v>
      </c>
      <c r="AC536" s="2">
        <f t="shared" si="62"/>
        <v>0</v>
      </c>
      <c r="AD536" s="2">
        <f t="shared" si="59"/>
        <v>8</v>
      </c>
      <c r="AE536" s="2">
        <f t="shared" ca="1" si="60"/>
        <v>-44986.676271643519</v>
      </c>
      <c r="AF536" s="15"/>
    </row>
    <row r="537" spans="3:32">
      <c r="C537" s="49"/>
      <c r="D537" s="1"/>
      <c r="E537" s="1"/>
      <c r="P537" s="11"/>
      <c r="U537" s="11"/>
      <c r="X537" s="13">
        <f t="shared" si="61"/>
        <v>0</v>
      </c>
      <c r="Y537" s="2">
        <f t="shared" ca="1" si="56"/>
        <v>32133</v>
      </c>
      <c r="Z537" s="14">
        <v>1</v>
      </c>
      <c r="AA537" s="1" t="str">
        <f t="shared" ca="1" si="57"/>
        <v>VENCIDO</v>
      </c>
      <c r="AB537" s="1" t="str">
        <f t="shared" si="58"/>
        <v>TAAe+</v>
      </c>
      <c r="AC537" s="2">
        <f t="shared" si="62"/>
        <v>0</v>
      </c>
      <c r="AD537" s="2">
        <f t="shared" si="59"/>
        <v>8</v>
      </c>
      <c r="AE537" s="2">
        <f t="shared" ca="1" si="60"/>
        <v>-44986.676271643519</v>
      </c>
      <c r="AF537" s="15"/>
    </row>
    <row r="538" spans="3:32">
      <c r="D538" s="1"/>
      <c r="E538" s="1"/>
      <c r="P538" s="11"/>
      <c r="U538" s="11"/>
      <c r="X538" s="13">
        <f t="shared" si="61"/>
        <v>0</v>
      </c>
      <c r="Y538" s="2">
        <f t="shared" ca="1" si="56"/>
        <v>32133</v>
      </c>
      <c r="Z538" s="14">
        <v>1</v>
      </c>
      <c r="AA538" s="1" t="str">
        <f t="shared" ca="1" si="57"/>
        <v>VENCIDO</v>
      </c>
      <c r="AB538" s="1" t="str">
        <f t="shared" si="58"/>
        <v>TAAe+</v>
      </c>
      <c r="AC538" s="2">
        <f t="shared" si="62"/>
        <v>0</v>
      </c>
      <c r="AD538" s="2">
        <f t="shared" si="59"/>
        <v>8</v>
      </c>
      <c r="AE538" s="2">
        <f t="shared" ca="1" si="60"/>
        <v>-44986.676271643519</v>
      </c>
      <c r="AF538" s="15"/>
    </row>
    <row r="539" spans="3:32">
      <c r="D539" s="1"/>
      <c r="E539" s="1"/>
      <c r="P539" s="11"/>
      <c r="U539" s="11"/>
      <c r="X539" s="13">
        <f t="shared" si="61"/>
        <v>0</v>
      </c>
      <c r="Y539" s="2">
        <f t="shared" ca="1" si="56"/>
        <v>32133</v>
      </c>
      <c r="Z539" s="14">
        <v>1</v>
      </c>
      <c r="AA539" s="1" t="str">
        <f t="shared" ca="1" si="57"/>
        <v>VENCIDO</v>
      </c>
      <c r="AB539" s="1" t="str">
        <f t="shared" si="58"/>
        <v>TAAe+</v>
      </c>
      <c r="AC539" s="2">
        <f t="shared" si="62"/>
        <v>0</v>
      </c>
      <c r="AD539" s="2">
        <f t="shared" si="59"/>
        <v>8</v>
      </c>
      <c r="AE539" s="2">
        <f t="shared" ca="1" si="60"/>
        <v>-44986.676271643519</v>
      </c>
      <c r="AF539" s="15"/>
    </row>
    <row r="540" spans="3:32">
      <c r="D540" s="1"/>
      <c r="E540" s="1"/>
      <c r="P540" s="11"/>
      <c r="U540" s="11"/>
      <c r="X540" s="13">
        <f t="shared" si="61"/>
        <v>0</v>
      </c>
      <c r="Y540" s="2">
        <f t="shared" ca="1" si="56"/>
        <v>32133</v>
      </c>
      <c r="Z540" s="14">
        <v>1</v>
      </c>
      <c r="AA540" s="1" t="str">
        <f t="shared" ca="1" si="57"/>
        <v>VENCIDO</v>
      </c>
      <c r="AB540" s="1" t="str">
        <f t="shared" si="58"/>
        <v>TAAe+</v>
      </c>
      <c r="AC540" s="2">
        <f t="shared" si="62"/>
        <v>0</v>
      </c>
      <c r="AD540" s="2">
        <f t="shared" si="59"/>
        <v>8</v>
      </c>
      <c r="AE540" s="2">
        <f t="shared" ca="1" si="60"/>
        <v>-44986.676271643519</v>
      </c>
      <c r="AF540" s="15"/>
    </row>
    <row r="541" spans="3:32">
      <c r="D541" s="1"/>
      <c r="E541" s="1"/>
      <c r="P541" s="11"/>
      <c r="U541" s="11"/>
      <c r="X541" s="13">
        <f t="shared" si="61"/>
        <v>0</v>
      </c>
      <c r="Y541" s="2">
        <f t="shared" ca="1" si="56"/>
        <v>32133</v>
      </c>
      <c r="Z541" s="14">
        <v>1</v>
      </c>
      <c r="AA541" s="1" t="str">
        <f t="shared" ca="1" si="57"/>
        <v>VENCIDO</v>
      </c>
      <c r="AB541" s="1" t="str">
        <f t="shared" si="58"/>
        <v>TAAe+</v>
      </c>
      <c r="AC541" s="2">
        <f t="shared" si="62"/>
        <v>0</v>
      </c>
      <c r="AD541" s="2">
        <f t="shared" si="59"/>
        <v>8</v>
      </c>
      <c r="AE541" s="2">
        <f t="shared" ca="1" si="60"/>
        <v>-44986.676271643519</v>
      </c>
      <c r="AF541" s="15"/>
    </row>
    <row r="542" spans="3:32">
      <c r="C542" s="50"/>
      <c r="D542" s="1"/>
      <c r="E542" s="1"/>
      <c r="P542" s="11"/>
      <c r="U542" s="11"/>
      <c r="X542" s="13">
        <f t="shared" si="61"/>
        <v>0</v>
      </c>
      <c r="Y542" s="2">
        <f t="shared" ca="1" si="56"/>
        <v>32133</v>
      </c>
      <c r="Z542" s="14">
        <v>1</v>
      </c>
      <c r="AA542" s="1" t="str">
        <f t="shared" ca="1" si="57"/>
        <v>VENCIDO</v>
      </c>
      <c r="AB542" s="1" t="str">
        <f t="shared" si="58"/>
        <v>TAAe+</v>
      </c>
      <c r="AC542" s="2">
        <f t="shared" si="62"/>
        <v>0</v>
      </c>
      <c r="AD542" s="2">
        <f t="shared" si="59"/>
        <v>8</v>
      </c>
      <c r="AE542" s="2">
        <f t="shared" ca="1" si="60"/>
        <v>-44986.676271643519</v>
      </c>
      <c r="AF542" s="15"/>
    </row>
    <row r="543" spans="3:32">
      <c r="D543" s="1"/>
      <c r="E543" s="1"/>
      <c r="P543" s="11"/>
      <c r="U543" s="11"/>
      <c r="X543" s="13">
        <f t="shared" si="61"/>
        <v>0</v>
      </c>
      <c r="Y543" s="2">
        <f t="shared" ca="1" si="56"/>
        <v>32133</v>
      </c>
      <c r="Z543" s="14">
        <v>1</v>
      </c>
      <c r="AA543" s="1" t="str">
        <f t="shared" ca="1" si="57"/>
        <v>VENCIDO</v>
      </c>
      <c r="AB543" s="1" t="str">
        <f t="shared" si="58"/>
        <v>TAAe+</v>
      </c>
      <c r="AC543" s="2">
        <f t="shared" si="62"/>
        <v>0</v>
      </c>
      <c r="AD543" s="2">
        <f t="shared" si="59"/>
        <v>8</v>
      </c>
      <c r="AE543" s="2">
        <f t="shared" ca="1" si="60"/>
        <v>-44986.676271643519</v>
      </c>
      <c r="AF543" s="15"/>
    </row>
    <row r="544" spans="3:32">
      <c r="C544" s="49"/>
      <c r="D544" s="1"/>
      <c r="E544" s="1"/>
      <c r="P544" s="11"/>
      <c r="U544" s="11"/>
      <c r="X544" s="13">
        <f t="shared" si="61"/>
        <v>0</v>
      </c>
      <c r="Y544" s="2">
        <f t="shared" ca="1" si="56"/>
        <v>32133</v>
      </c>
      <c r="Z544" s="14">
        <v>1</v>
      </c>
      <c r="AA544" s="1" t="str">
        <f t="shared" ca="1" si="57"/>
        <v>VENCIDO</v>
      </c>
      <c r="AB544" s="1" t="str">
        <f t="shared" si="58"/>
        <v>TAAe+</v>
      </c>
      <c r="AC544" s="2">
        <f t="shared" si="62"/>
        <v>0</v>
      </c>
      <c r="AD544" s="2">
        <f t="shared" si="59"/>
        <v>8</v>
      </c>
      <c r="AE544" s="2">
        <f t="shared" ca="1" si="60"/>
        <v>-44986.676271643519</v>
      </c>
      <c r="AF544" s="15"/>
    </row>
    <row r="545" spans="3:32">
      <c r="D545" s="1"/>
      <c r="E545" s="1"/>
      <c r="P545" s="11"/>
      <c r="U545" s="11"/>
      <c r="X545" s="13">
        <f t="shared" si="61"/>
        <v>0</v>
      </c>
      <c r="Y545" s="2">
        <f t="shared" ca="1" si="56"/>
        <v>32133</v>
      </c>
      <c r="Z545" s="14">
        <v>1</v>
      </c>
      <c r="AA545" s="1" t="str">
        <f t="shared" ca="1" si="57"/>
        <v>VENCIDO</v>
      </c>
      <c r="AB545" s="1" t="str">
        <f t="shared" si="58"/>
        <v>TAAe+</v>
      </c>
      <c r="AC545" s="2">
        <f t="shared" si="62"/>
        <v>0</v>
      </c>
      <c r="AD545" s="2">
        <f t="shared" si="59"/>
        <v>8</v>
      </c>
      <c r="AE545" s="2">
        <f t="shared" ca="1" si="60"/>
        <v>-44986.676271643519</v>
      </c>
      <c r="AF545" s="15"/>
    </row>
    <row r="546" spans="3:32">
      <c r="D546" s="1"/>
      <c r="E546" s="1"/>
      <c r="P546" s="11"/>
      <c r="U546" s="11"/>
      <c r="X546" s="13">
        <f t="shared" si="61"/>
        <v>0</v>
      </c>
      <c r="Y546" s="2">
        <f t="shared" ca="1" si="56"/>
        <v>32133</v>
      </c>
      <c r="Z546" s="14">
        <v>1</v>
      </c>
      <c r="AA546" s="1" t="str">
        <f t="shared" ca="1" si="57"/>
        <v>VENCIDO</v>
      </c>
      <c r="AB546" s="1" t="str">
        <f t="shared" si="58"/>
        <v>TAAe+</v>
      </c>
      <c r="AC546" s="2">
        <f t="shared" si="62"/>
        <v>0</v>
      </c>
      <c r="AD546" s="2">
        <f t="shared" si="59"/>
        <v>8</v>
      </c>
      <c r="AE546" s="2">
        <f t="shared" ca="1" si="60"/>
        <v>-44986.676271643519</v>
      </c>
      <c r="AF546" s="15"/>
    </row>
    <row r="547" spans="3:32">
      <c r="D547" s="1"/>
      <c r="E547" s="1"/>
      <c r="P547" s="11"/>
      <c r="U547" s="11"/>
      <c r="X547" s="13">
        <f t="shared" si="61"/>
        <v>0</v>
      </c>
      <c r="Y547" s="2">
        <f t="shared" ca="1" si="56"/>
        <v>32133</v>
      </c>
      <c r="Z547" s="14">
        <v>1</v>
      </c>
      <c r="AA547" s="1" t="str">
        <f t="shared" ca="1" si="57"/>
        <v>VENCIDO</v>
      </c>
      <c r="AB547" s="1" t="str">
        <f t="shared" si="58"/>
        <v>TAAe+</v>
      </c>
      <c r="AC547" s="2">
        <f t="shared" si="62"/>
        <v>0</v>
      </c>
      <c r="AD547" s="2">
        <f t="shared" si="59"/>
        <v>8</v>
      </c>
      <c r="AE547" s="2">
        <f t="shared" ca="1" si="60"/>
        <v>-44986.676271643519</v>
      </c>
      <c r="AF547" s="15"/>
    </row>
    <row r="548" spans="3:32">
      <c r="D548" s="1"/>
      <c r="E548" s="1"/>
      <c r="P548" s="11"/>
      <c r="U548" s="11"/>
      <c r="X548" s="13">
        <f t="shared" si="61"/>
        <v>0</v>
      </c>
      <c r="Y548" s="2">
        <f t="shared" ca="1" si="56"/>
        <v>32133</v>
      </c>
      <c r="Z548" s="14">
        <v>1</v>
      </c>
      <c r="AA548" s="1" t="str">
        <f t="shared" ca="1" si="57"/>
        <v>VENCIDO</v>
      </c>
      <c r="AB548" s="1" t="str">
        <f t="shared" si="58"/>
        <v>TAAe+</v>
      </c>
      <c r="AC548" s="2">
        <f t="shared" si="62"/>
        <v>0</v>
      </c>
      <c r="AD548" s="2">
        <f t="shared" si="59"/>
        <v>8</v>
      </c>
      <c r="AE548" s="2">
        <f t="shared" ca="1" si="60"/>
        <v>-44986.676271643519</v>
      </c>
      <c r="AF548" s="15"/>
    </row>
    <row r="549" spans="3:32">
      <c r="D549" s="1"/>
      <c r="E549" s="1"/>
      <c r="P549" s="11"/>
      <c r="U549" s="11"/>
      <c r="X549" s="13">
        <f t="shared" si="61"/>
        <v>0</v>
      </c>
      <c r="Y549" s="2">
        <f t="shared" ca="1" si="56"/>
        <v>32133</v>
      </c>
      <c r="Z549" s="14">
        <v>1</v>
      </c>
      <c r="AA549" s="1" t="str">
        <f t="shared" ca="1" si="57"/>
        <v>VENCIDO</v>
      </c>
      <c r="AB549" s="1" t="str">
        <f t="shared" si="58"/>
        <v>TAAe+</v>
      </c>
      <c r="AC549" s="2">
        <f t="shared" si="62"/>
        <v>0</v>
      </c>
      <c r="AD549" s="2">
        <f t="shared" si="59"/>
        <v>8</v>
      </c>
      <c r="AE549" s="2">
        <f t="shared" ca="1" si="60"/>
        <v>-44986.676271643519</v>
      </c>
      <c r="AF549" s="15"/>
    </row>
    <row r="550" spans="3:32">
      <c r="D550" s="1"/>
      <c r="E550" s="1"/>
      <c r="P550" s="11"/>
      <c r="U550" s="11"/>
      <c r="X550" s="13">
        <f t="shared" si="61"/>
        <v>0</v>
      </c>
      <c r="Y550" s="2">
        <f t="shared" ca="1" si="56"/>
        <v>32133</v>
      </c>
      <c r="Z550" s="14">
        <v>1</v>
      </c>
      <c r="AA550" s="1" t="str">
        <f t="shared" ca="1" si="57"/>
        <v>VENCIDO</v>
      </c>
      <c r="AB550" s="1" t="str">
        <f t="shared" si="58"/>
        <v>TAAe+</v>
      </c>
      <c r="AC550" s="2">
        <f t="shared" si="62"/>
        <v>0</v>
      </c>
      <c r="AD550" s="2">
        <f t="shared" si="59"/>
        <v>8</v>
      </c>
      <c r="AE550" s="2">
        <f t="shared" ca="1" si="60"/>
        <v>-44986.676271643519</v>
      </c>
      <c r="AF550" s="15"/>
    </row>
    <row r="551" spans="3:32">
      <c r="C551" s="49"/>
      <c r="D551" s="1"/>
      <c r="E551" s="1"/>
      <c r="P551" s="11"/>
      <c r="U551" s="11"/>
      <c r="X551" s="13">
        <f t="shared" si="61"/>
        <v>0</v>
      </c>
      <c r="Y551" s="2">
        <f t="shared" ca="1" si="56"/>
        <v>32133</v>
      </c>
      <c r="Z551" s="14">
        <v>1</v>
      </c>
      <c r="AA551" s="1" t="str">
        <f t="shared" ca="1" si="57"/>
        <v>VENCIDO</v>
      </c>
      <c r="AB551" s="1" t="str">
        <f t="shared" si="58"/>
        <v>TAAe+</v>
      </c>
      <c r="AC551" s="2">
        <f t="shared" si="62"/>
        <v>0</v>
      </c>
      <c r="AD551" s="2">
        <f t="shared" si="59"/>
        <v>8</v>
      </c>
      <c r="AE551" s="2">
        <f t="shared" ca="1" si="60"/>
        <v>-44986.676271643519</v>
      </c>
      <c r="AF551" s="15"/>
    </row>
    <row r="552" spans="3:32">
      <c r="C552" s="49"/>
      <c r="D552" s="1"/>
      <c r="E552" s="1"/>
      <c r="P552" s="11"/>
      <c r="U552" s="11"/>
      <c r="X552" s="13">
        <f t="shared" si="61"/>
        <v>0</v>
      </c>
      <c r="Y552" s="2">
        <f t="shared" ca="1" si="56"/>
        <v>32133</v>
      </c>
      <c r="Z552" s="14">
        <v>1</v>
      </c>
      <c r="AA552" s="1" t="str">
        <f t="shared" ca="1" si="57"/>
        <v>VENCIDO</v>
      </c>
      <c r="AB552" s="1" t="str">
        <f t="shared" si="58"/>
        <v>TAAe+</v>
      </c>
      <c r="AC552" s="2">
        <f t="shared" si="62"/>
        <v>0</v>
      </c>
      <c r="AD552" s="2">
        <f t="shared" si="59"/>
        <v>8</v>
      </c>
      <c r="AE552" s="2">
        <f t="shared" ca="1" si="60"/>
        <v>-44986.676271643519</v>
      </c>
      <c r="AF552" s="15"/>
    </row>
    <row r="553" spans="3:32">
      <c r="D553" s="1"/>
      <c r="E553" s="1"/>
      <c r="P553" s="11"/>
      <c r="U553" s="11"/>
      <c r="X553" s="13">
        <f t="shared" si="61"/>
        <v>0</v>
      </c>
      <c r="Y553" s="2">
        <f t="shared" ca="1" si="56"/>
        <v>32133</v>
      </c>
      <c r="Z553" s="14">
        <v>1</v>
      </c>
      <c r="AA553" s="1" t="str">
        <f t="shared" ca="1" si="57"/>
        <v>VENCIDO</v>
      </c>
      <c r="AB553" s="1" t="str">
        <f t="shared" si="58"/>
        <v>TAAe+</v>
      </c>
      <c r="AC553" s="2">
        <f t="shared" si="62"/>
        <v>0</v>
      </c>
      <c r="AD553" s="2">
        <f t="shared" si="59"/>
        <v>8</v>
      </c>
      <c r="AE553" s="2">
        <f t="shared" ca="1" si="60"/>
        <v>-44986.676271643519</v>
      </c>
      <c r="AF553" s="15"/>
    </row>
    <row r="554" spans="3:32">
      <c r="C554" s="50"/>
      <c r="D554" s="1"/>
      <c r="E554" s="1"/>
      <c r="P554" s="11"/>
      <c r="U554" s="11"/>
      <c r="X554" s="13">
        <f t="shared" si="61"/>
        <v>0</v>
      </c>
      <c r="Y554" s="2">
        <f t="shared" ca="1" si="56"/>
        <v>32133</v>
      </c>
      <c r="Z554" s="14">
        <v>1</v>
      </c>
      <c r="AA554" s="1" t="str">
        <f t="shared" ca="1" si="57"/>
        <v>VENCIDO</v>
      </c>
      <c r="AB554" s="1" t="str">
        <f t="shared" si="58"/>
        <v>TAAe+</v>
      </c>
      <c r="AC554" s="2">
        <f t="shared" si="62"/>
        <v>0</v>
      </c>
      <c r="AD554" s="2">
        <f t="shared" si="59"/>
        <v>8</v>
      </c>
      <c r="AE554" s="2">
        <f t="shared" ca="1" si="60"/>
        <v>-44986.676271643519</v>
      </c>
      <c r="AF554" s="15"/>
    </row>
    <row r="555" spans="3:32">
      <c r="D555" s="1"/>
      <c r="E555" s="1"/>
      <c r="P555" s="11"/>
      <c r="U555" s="11"/>
      <c r="X555" s="13">
        <f t="shared" si="61"/>
        <v>0</v>
      </c>
      <c r="Y555" s="2">
        <f t="shared" ca="1" si="56"/>
        <v>32133</v>
      </c>
      <c r="Z555" s="14">
        <v>1</v>
      </c>
      <c r="AA555" s="1" t="str">
        <f t="shared" ca="1" si="57"/>
        <v>VENCIDO</v>
      </c>
      <c r="AB555" s="1" t="str">
        <f t="shared" si="58"/>
        <v>TAAe+</v>
      </c>
      <c r="AC555" s="2">
        <f t="shared" si="62"/>
        <v>0</v>
      </c>
      <c r="AD555" s="2">
        <f t="shared" si="59"/>
        <v>8</v>
      </c>
      <c r="AE555" s="2">
        <f t="shared" ca="1" si="60"/>
        <v>-44986.676271643519</v>
      </c>
      <c r="AF555" s="15"/>
    </row>
    <row r="556" spans="3:32">
      <c r="C556" s="49"/>
      <c r="D556" s="1"/>
      <c r="E556" s="1"/>
      <c r="P556" s="11"/>
      <c r="U556" s="11"/>
      <c r="X556" s="13">
        <f t="shared" si="61"/>
        <v>0</v>
      </c>
      <c r="Y556" s="2">
        <f t="shared" ca="1" si="56"/>
        <v>32133</v>
      </c>
      <c r="Z556" s="14">
        <v>1</v>
      </c>
      <c r="AA556" s="1" t="str">
        <f t="shared" ca="1" si="57"/>
        <v>VENCIDO</v>
      </c>
      <c r="AB556" s="1" t="str">
        <f t="shared" si="58"/>
        <v>TAAe+</v>
      </c>
      <c r="AC556" s="2">
        <f t="shared" si="62"/>
        <v>0</v>
      </c>
      <c r="AD556" s="2">
        <f t="shared" si="59"/>
        <v>8</v>
      </c>
      <c r="AE556" s="2">
        <f t="shared" ca="1" si="60"/>
        <v>-44986.676271643519</v>
      </c>
      <c r="AF556" s="15"/>
    </row>
    <row r="557" spans="3:32">
      <c r="D557" s="1"/>
      <c r="E557" s="1"/>
      <c r="P557" s="11"/>
      <c r="U557" s="11"/>
      <c r="X557" s="13">
        <f t="shared" si="61"/>
        <v>0</v>
      </c>
      <c r="Y557" s="2">
        <f t="shared" ca="1" si="56"/>
        <v>32133</v>
      </c>
      <c r="Z557" s="14">
        <v>1</v>
      </c>
      <c r="AA557" s="1" t="str">
        <f t="shared" ca="1" si="57"/>
        <v>VENCIDO</v>
      </c>
      <c r="AB557" s="1" t="str">
        <f t="shared" si="58"/>
        <v>TAAe+</v>
      </c>
      <c r="AC557" s="2">
        <f t="shared" si="62"/>
        <v>0</v>
      </c>
      <c r="AD557" s="2">
        <f t="shared" si="59"/>
        <v>8</v>
      </c>
      <c r="AE557" s="2">
        <f t="shared" ca="1" si="60"/>
        <v>-44986.676271643519</v>
      </c>
      <c r="AF557" s="15"/>
    </row>
    <row r="558" spans="3:32">
      <c r="D558" s="1"/>
      <c r="E558" s="1"/>
      <c r="P558" s="11"/>
      <c r="U558" s="11"/>
      <c r="X558" s="13">
        <f t="shared" si="61"/>
        <v>0</v>
      </c>
      <c r="Y558" s="2">
        <f t="shared" ca="1" si="56"/>
        <v>32133</v>
      </c>
      <c r="Z558" s="14">
        <v>1</v>
      </c>
      <c r="AA558" s="1" t="str">
        <f t="shared" ca="1" si="57"/>
        <v>VENCIDO</v>
      </c>
      <c r="AB558" s="1" t="str">
        <f t="shared" si="58"/>
        <v>TAAe+</v>
      </c>
      <c r="AC558" s="2">
        <f t="shared" si="62"/>
        <v>0</v>
      </c>
      <c r="AD558" s="2">
        <f t="shared" si="59"/>
        <v>8</v>
      </c>
      <c r="AE558" s="2">
        <f t="shared" ca="1" si="60"/>
        <v>-44986.676271643519</v>
      </c>
      <c r="AF558" s="15"/>
    </row>
    <row r="559" spans="3:32">
      <c r="D559" s="1"/>
      <c r="E559" s="1"/>
      <c r="P559" s="11"/>
      <c r="U559" s="11"/>
      <c r="X559" s="13">
        <f t="shared" si="61"/>
        <v>0</v>
      </c>
      <c r="Y559" s="2">
        <f t="shared" ca="1" si="56"/>
        <v>32133</v>
      </c>
      <c r="Z559" s="14">
        <v>1</v>
      </c>
      <c r="AA559" s="1" t="str">
        <f t="shared" ca="1" si="57"/>
        <v>VENCIDO</v>
      </c>
      <c r="AB559" s="1" t="str">
        <f t="shared" si="58"/>
        <v>TAAe+</v>
      </c>
      <c r="AC559" s="2">
        <f t="shared" si="62"/>
        <v>0</v>
      </c>
      <c r="AD559" s="2">
        <f t="shared" si="59"/>
        <v>8</v>
      </c>
      <c r="AE559" s="2">
        <f t="shared" ca="1" si="60"/>
        <v>-44986.676271643519</v>
      </c>
      <c r="AF559" s="15"/>
    </row>
    <row r="560" spans="3:32">
      <c r="D560" s="1"/>
      <c r="E560" s="1"/>
      <c r="P560" s="11"/>
      <c r="U560" s="11"/>
      <c r="X560" s="13">
        <f t="shared" si="61"/>
        <v>0</v>
      </c>
      <c r="Y560" s="2">
        <f t="shared" ca="1" si="56"/>
        <v>32133</v>
      </c>
      <c r="Z560" s="14">
        <v>1</v>
      </c>
      <c r="AA560" s="1" t="str">
        <f t="shared" ca="1" si="57"/>
        <v>VENCIDO</v>
      </c>
      <c r="AB560" s="1" t="str">
        <f t="shared" si="58"/>
        <v>TAAe+</v>
      </c>
      <c r="AC560" s="2">
        <f t="shared" si="62"/>
        <v>0</v>
      </c>
      <c r="AD560" s="2">
        <f t="shared" si="59"/>
        <v>8</v>
      </c>
      <c r="AE560" s="2">
        <f t="shared" ca="1" si="60"/>
        <v>-44986.676271643519</v>
      </c>
      <c r="AF560" s="15"/>
    </row>
    <row r="561" spans="3:32">
      <c r="C561" s="49"/>
      <c r="D561" s="1"/>
      <c r="E561" s="1"/>
      <c r="P561" s="11"/>
      <c r="U561" s="11"/>
      <c r="X561" s="13">
        <f t="shared" si="61"/>
        <v>0</v>
      </c>
      <c r="Y561" s="2">
        <f t="shared" ca="1" si="56"/>
        <v>32133</v>
      </c>
      <c r="Z561" s="14">
        <v>1</v>
      </c>
      <c r="AA561" s="1" t="str">
        <f t="shared" ca="1" si="57"/>
        <v>VENCIDO</v>
      </c>
      <c r="AB561" s="1" t="str">
        <f t="shared" si="58"/>
        <v>TAAe+</v>
      </c>
      <c r="AC561" s="2">
        <f t="shared" si="62"/>
        <v>0</v>
      </c>
      <c r="AD561" s="2">
        <f t="shared" si="59"/>
        <v>8</v>
      </c>
      <c r="AE561" s="2">
        <f t="shared" ca="1" si="60"/>
        <v>-44986.676271643519</v>
      </c>
      <c r="AF561" s="15"/>
    </row>
    <row r="562" spans="3:32">
      <c r="C562" s="49"/>
      <c r="D562" s="1"/>
      <c r="E562" s="1"/>
      <c r="P562" s="11"/>
      <c r="U562" s="11"/>
      <c r="X562" s="13">
        <f t="shared" si="61"/>
        <v>0</v>
      </c>
      <c r="Y562" s="2">
        <f t="shared" ca="1" si="56"/>
        <v>32133</v>
      </c>
      <c r="Z562" s="14">
        <v>1</v>
      </c>
      <c r="AA562" s="1" t="str">
        <f t="shared" ca="1" si="57"/>
        <v>VENCIDO</v>
      </c>
      <c r="AB562" s="1" t="str">
        <f t="shared" si="58"/>
        <v>TAAe+</v>
      </c>
      <c r="AC562" s="2">
        <f t="shared" si="62"/>
        <v>0</v>
      </c>
      <c r="AD562" s="2">
        <f t="shared" si="59"/>
        <v>8</v>
      </c>
      <c r="AE562" s="2">
        <f t="shared" ca="1" si="60"/>
        <v>-44986.676271643519</v>
      </c>
      <c r="AF562" s="15"/>
    </row>
    <row r="563" spans="3:32">
      <c r="D563" s="1"/>
      <c r="E563" s="1"/>
      <c r="P563" s="11"/>
      <c r="U563" s="11"/>
      <c r="X563" s="13">
        <f t="shared" si="61"/>
        <v>0</v>
      </c>
      <c r="Y563" s="2">
        <f t="shared" ca="1" si="56"/>
        <v>32133</v>
      </c>
      <c r="Z563" s="14">
        <v>1</v>
      </c>
      <c r="AA563" s="1" t="str">
        <f t="shared" ca="1" si="57"/>
        <v>VENCIDO</v>
      </c>
      <c r="AB563" s="1" t="str">
        <f t="shared" si="58"/>
        <v>TAAe+</v>
      </c>
      <c r="AC563" s="2">
        <f t="shared" si="62"/>
        <v>0</v>
      </c>
      <c r="AD563" s="2">
        <f t="shared" si="59"/>
        <v>8</v>
      </c>
      <c r="AE563" s="2">
        <f t="shared" ca="1" si="60"/>
        <v>-44986.676271643519</v>
      </c>
      <c r="AF563" s="15"/>
    </row>
    <row r="564" spans="3:32">
      <c r="C564" s="49"/>
      <c r="D564" s="1"/>
      <c r="E564" s="1"/>
      <c r="P564" s="11"/>
      <c r="U564" s="11"/>
      <c r="X564" s="13">
        <f t="shared" si="61"/>
        <v>0</v>
      </c>
      <c r="Y564" s="2">
        <f t="shared" ca="1" si="56"/>
        <v>32133</v>
      </c>
      <c r="Z564" s="14">
        <v>1</v>
      </c>
      <c r="AA564" s="1" t="str">
        <f t="shared" ca="1" si="57"/>
        <v>VENCIDO</v>
      </c>
      <c r="AB564" s="1" t="str">
        <f t="shared" si="58"/>
        <v>TAAe+</v>
      </c>
      <c r="AC564" s="2">
        <f t="shared" si="62"/>
        <v>0</v>
      </c>
      <c r="AD564" s="2">
        <f t="shared" si="59"/>
        <v>8</v>
      </c>
      <c r="AE564" s="2">
        <f t="shared" ca="1" si="60"/>
        <v>-44986.676271643519</v>
      </c>
      <c r="AF564" s="15"/>
    </row>
    <row r="565" spans="3:32">
      <c r="D565" s="1"/>
      <c r="E565" s="1"/>
      <c r="P565" s="11"/>
      <c r="U565" s="11"/>
      <c r="X565" s="13">
        <f t="shared" si="61"/>
        <v>0</v>
      </c>
      <c r="Y565" s="2">
        <f t="shared" ca="1" si="56"/>
        <v>32133</v>
      </c>
      <c r="Z565" s="14">
        <v>1</v>
      </c>
      <c r="AA565" s="1" t="str">
        <f t="shared" ca="1" si="57"/>
        <v>VENCIDO</v>
      </c>
      <c r="AB565" s="1" t="str">
        <f t="shared" si="58"/>
        <v>TAAe+</v>
      </c>
      <c r="AC565" s="2">
        <f t="shared" si="62"/>
        <v>0</v>
      </c>
      <c r="AD565" s="2">
        <f t="shared" si="59"/>
        <v>8</v>
      </c>
      <c r="AE565" s="2">
        <f t="shared" ca="1" si="60"/>
        <v>-44986.676271643519</v>
      </c>
      <c r="AF565" s="15"/>
    </row>
    <row r="566" spans="3:32">
      <c r="D566" s="1"/>
      <c r="E566" s="1"/>
      <c r="P566" s="11"/>
      <c r="U566" s="11"/>
      <c r="X566" s="13">
        <f t="shared" si="61"/>
        <v>0</v>
      </c>
      <c r="Y566" s="2">
        <f t="shared" ca="1" si="56"/>
        <v>32133</v>
      </c>
      <c r="Z566" s="14">
        <v>1</v>
      </c>
      <c r="AA566" s="1" t="str">
        <f t="shared" ca="1" si="57"/>
        <v>VENCIDO</v>
      </c>
      <c r="AB566" s="1" t="str">
        <f t="shared" si="58"/>
        <v>TAAe+</v>
      </c>
      <c r="AC566" s="2">
        <f t="shared" si="62"/>
        <v>0</v>
      </c>
      <c r="AD566" s="2">
        <f t="shared" si="59"/>
        <v>8</v>
      </c>
      <c r="AE566" s="2">
        <f t="shared" ca="1" si="60"/>
        <v>-44986.676271643519</v>
      </c>
      <c r="AF566" s="15"/>
    </row>
    <row r="567" spans="3:32">
      <c r="D567" s="1"/>
      <c r="E567" s="1"/>
      <c r="P567" s="11"/>
      <c r="U567" s="11"/>
      <c r="X567" s="13">
        <f t="shared" si="61"/>
        <v>0</v>
      </c>
      <c r="Y567" s="2">
        <f t="shared" ca="1" si="56"/>
        <v>32133</v>
      </c>
      <c r="Z567" s="14">
        <v>1</v>
      </c>
      <c r="AA567" s="1" t="str">
        <f t="shared" ca="1" si="57"/>
        <v>VENCIDO</v>
      </c>
      <c r="AB567" s="1" t="str">
        <f t="shared" si="58"/>
        <v>TAAe+</v>
      </c>
      <c r="AC567" s="2">
        <f t="shared" si="62"/>
        <v>0</v>
      </c>
      <c r="AD567" s="2">
        <f t="shared" si="59"/>
        <v>8</v>
      </c>
      <c r="AE567" s="2">
        <f t="shared" ca="1" si="60"/>
        <v>-44986.676271643519</v>
      </c>
      <c r="AF567" s="15"/>
    </row>
    <row r="568" spans="3:32">
      <c r="D568" s="1"/>
      <c r="E568" s="1"/>
      <c r="P568" s="11"/>
      <c r="U568" s="11"/>
      <c r="X568" s="13">
        <f t="shared" si="61"/>
        <v>0</v>
      </c>
      <c r="Y568" s="2">
        <f t="shared" ca="1" si="56"/>
        <v>32133</v>
      </c>
      <c r="Z568" s="14">
        <v>1</v>
      </c>
      <c r="AA568" s="1" t="str">
        <f t="shared" ca="1" si="57"/>
        <v>VENCIDO</v>
      </c>
      <c r="AB568" s="1" t="str">
        <f t="shared" si="58"/>
        <v>TAAe+</v>
      </c>
      <c r="AC568" s="2">
        <f t="shared" si="62"/>
        <v>0</v>
      </c>
      <c r="AD568" s="2">
        <f t="shared" si="59"/>
        <v>8</v>
      </c>
      <c r="AE568" s="2">
        <f t="shared" ca="1" si="60"/>
        <v>-44986.676271643519</v>
      </c>
      <c r="AF568" s="15"/>
    </row>
    <row r="569" spans="3:32">
      <c r="C569" s="49"/>
      <c r="D569" s="1"/>
      <c r="E569" s="1"/>
      <c r="P569" s="11"/>
      <c r="U569" s="11"/>
      <c r="X569" s="13">
        <f t="shared" si="61"/>
        <v>0</v>
      </c>
      <c r="Y569" s="2">
        <f t="shared" ca="1" si="56"/>
        <v>32133</v>
      </c>
      <c r="Z569" s="14">
        <v>1</v>
      </c>
      <c r="AA569" s="1" t="str">
        <f t="shared" ca="1" si="57"/>
        <v>VENCIDO</v>
      </c>
      <c r="AB569" s="1" t="str">
        <f t="shared" si="58"/>
        <v>TAAe+</v>
      </c>
      <c r="AC569" s="2">
        <f t="shared" si="62"/>
        <v>0</v>
      </c>
      <c r="AD569" s="2">
        <f t="shared" si="59"/>
        <v>8</v>
      </c>
      <c r="AE569" s="2">
        <f t="shared" ca="1" si="60"/>
        <v>-44986.676271643519</v>
      </c>
      <c r="AF569" s="15"/>
    </row>
    <row r="570" spans="3:32">
      <c r="D570" s="1"/>
      <c r="E570" s="1"/>
      <c r="P570" s="11"/>
      <c r="U570" s="11"/>
      <c r="X570" s="13">
        <f t="shared" si="61"/>
        <v>0</v>
      </c>
      <c r="Y570" s="2">
        <f t="shared" ca="1" si="56"/>
        <v>32133</v>
      </c>
      <c r="Z570" s="14">
        <v>1</v>
      </c>
      <c r="AA570" s="1" t="str">
        <f t="shared" ca="1" si="57"/>
        <v>VENCIDO</v>
      </c>
      <c r="AB570" s="1" t="str">
        <f t="shared" si="58"/>
        <v>TAAe+</v>
      </c>
      <c r="AC570" s="2">
        <f t="shared" si="62"/>
        <v>0</v>
      </c>
      <c r="AD570" s="2">
        <f t="shared" si="59"/>
        <v>8</v>
      </c>
      <c r="AE570" s="2">
        <f t="shared" ca="1" si="60"/>
        <v>-44986.676271643519</v>
      </c>
      <c r="AF570" s="15"/>
    </row>
    <row r="571" spans="3:32">
      <c r="D571" s="1"/>
      <c r="E571" s="1"/>
      <c r="P571" s="11"/>
      <c r="U571" s="11"/>
      <c r="X571" s="13">
        <f t="shared" si="61"/>
        <v>0</v>
      </c>
      <c r="Y571" s="2">
        <f t="shared" ca="1" si="56"/>
        <v>32133</v>
      </c>
      <c r="Z571" s="14">
        <v>1</v>
      </c>
      <c r="AA571" s="1" t="str">
        <f t="shared" ca="1" si="57"/>
        <v>VENCIDO</v>
      </c>
      <c r="AB571" s="1" t="str">
        <f t="shared" si="58"/>
        <v>TAAe+</v>
      </c>
      <c r="AC571" s="2">
        <f t="shared" si="62"/>
        <v>0</v>
      </c>
      <c r="AD571" s="2">
        <f t="shared" si="59"/>
        <v>8</v>
      </c>
      <c r="AE571" s="2">
        <f t="shared" ca="1" si="60"/>
        <v>-44986.676271643519</v>
      </c>
      <c r="AF571" s="15"/>
    </row>
    <row r="572" spans="3:32">
      <c r="D572" s="1"/>
      <c r="E572" s="1"/>
      <c r="P572" s="11"/>
      <c r="U572" s="11"/>
      <c r="X572" s="13">
        <f t="shared" si="61"/>
        <v>0</v>
      </c>
      <c r="Y572" s="2">
        <f t="shared" ca="1" si="56"/>
        <v>32133</v>
      </c>
      <c r="Z572" s="14">
        <v>1</v>
      </c>
      <c r="AA572" s="1" t="str">
        <f t="shared" ca="1" si="57"/>
        <v>VENCIDO</v>
      </c>
      <c r="AB572" s="1" t="str">
        <f t="shared" si="58"/>
        <v>TAAe+</v>
      </c>
      <c r="AC572" s="2">
        <f t="shared" si="62"/>
        <v>0</v>
      </c>
      <c r="AD572" s="2">
        <f t="shared" si="59"/>
        <v>8</v>
      </c>
      <c r="AE572" s="2">
        <f t="shared" ca="1" si="60"/>
        <v>-44986.676271643519</v>
      </c>
      <c r="AF572" s="15"/>
    </row>
    <row r="573" spans="3:32">
      <c r="D573" s="1"/>
      <c r="E573" s="1"/>
      <c r="P573" s="11"/>
      <c r="U573" s="11"/>
      <c r="X573" s="13">
        <f t="shared" si="61"/>
        <v>0</v>
      </c>
      <c r="Y573" s="2">
        <f t="shared" ca="1" si="56"/>
        <v>32133</v>
      </c>
      <c r="Z573" s="14">
        <v>1</v>
      </c>
      <c r="AA573" s="1" t="str">
        <f t="shared" ca="1" si="57"/>
        <v>VENCIDO</v>
      </c>
      <c r="AB573" s="1" t="str">
        <f t="shared" si="58"/>
        <v>TAAe+</v>
      </c>
      <c r="AC573" s="2">
        <f t="shared" si="62"/>
        <v>0</v>
      </c>
      <c r="AD573" s="2">
        <f t="shared" si="59"/>
        <v>8</v>
      </c>
      <c r="AE573" s="2">
        <f t="shared" ca="1" si="60"/>
        <v>-44986.676271643519</v>
      </c>
      <c r="AF573" s="15"/>
    </row>
    <row r="574" spans="3:32">
      <c r="D574" s="1"/>
      <c r="E574" s="1"/>
      <c r="P574" s="11"/>
      <c r="U574" s="11"/>
      <c r="X574" s="13">
        <f t="shared" si="61"/>
        <v>0</v>
      </c>
      <c r="Y574" s="2">
        <f t="shared" ca="1" si="56"/>
        <v>32133</v>
      </c>
      <c r="Z574" s="14">
        <v>1</v>
      </c>
      <c r="AA574" s="1" t="str">
        <f t="shared" ca="1" si="57"/>
        <v>VENCIDO</v>
      </c>
      <c r="AB574" s="1" t="str">
        <f t="shared" si="58"/>
        <v>TAAe+</v>
      </c>
      <c r="AC574" s="2">
        <f t="shared" si="62"/>
        <v>0</v>
      </c>
      <c r="AD574" s="2">
        <f t="shared" si="59"/>
        <v>8</v>
      </c>
      <c r="AE574" s="2">
        <f t="shared" ca="1" si="60"/>
        <v>-44986.676271643519</v>
      </c>
      <c r="AF574" s="15"/>
    </row>
    <row r="575" spans="3:32">
      <c r="D575" s="1"/>
      <c r="E575" s="1"/>
      <c r="P575" s="11"/>
      <c r="U575" s="11"/>
      <c r="X575" s="13">
        <f t="shared" si="61"/>
        <v>0</v>
      </c>
      <c r="Y575" s="2">
        <f t="shared" ca="1" si="56"/>
        <v>32133</v>
      </c>
      <c r="Z575" s="14">
        <v>1</v>
      </c>
      <c r="AA575" s="1" t="str">
        <f t="shared" ca="1" si="57"/>
        <v>VENCIDO</v>
      </c>
      <c r="AB575" s="1" t="str">
        <f t="shared" si="58"/>
        <v>TAAe+</v>
      </c>
      <c r="AC575" s="2">
        <f t="shared" si="62"/>
        <v>0</v>
      </c>
      <c r="AD575" s="2">
        <f t="shared" si="59"/>
        <v>8</v>
      </c>
      <c r="AE575" s="2">
        <f t="shared" ca="1" si="60"/>
        <v>-44986.676271643519</v>
      </c>
      <c r="AF575" s="15"/>
    </row>
    <row r="576" spans="3:32">
      <c r="C576" s="49"/>
      <c r="D576" s="1"/>
      <c r="E576" s="1"/>
      <c r="P576" s="11"/>
      <c r="U576" s="11"/>
      <c r="X576" s="13">
        <f t="shared" si="61"/>
        <v>0</v>
      </c>
      <c r="Y576" s="2">
        <f t="shared" ca="1" si="56"/>
        <v>32133</v>
      </c>
      <c r="Z576" s="14">
        <v>1</v>
      </c>
      <c r="AA576" s="1" t="str">
        <f t="shared" ca="1" si="57"/>
        <v>VENCIDO</v>
      </c>
      <c r="AB576" s="1" t="str">
        <f t="shared" si="58"/>
        <v>TAAe+</v>
      </c>
      <c r="AC576" s="2">
        <f t="shared" si="62"/>
        <v>0</v>
      </c>
      <c r="AD576" s="2">
        <f t="shared" si="59"/>
        <v>8</v>
      </c>
      <c r="AE576" s="2">
        <f t="shared" ca="1" si="60"/>
        <v>-44986.676271643519</v>
      </c>
      <c r="AF576" s="15"/>
    </row>
    <row r="577" spans="3:32">
      <c r="D577" s="1"/>
      <c r="E577" s="1"/>
      <c r="P577" s="11"/>
      <c r="U577" s="11"/>
      <c r="X577" s="13">
        <f t="shared" si="61"/>
        <v>0</v>
      </c>
      <c r="Y577" s="2">
        <f t="shared" ca="1" si="56"/>
        <v>32133</v>
      </c>
      <c r="Z577" s="14">
        <v>1</v>
      </c>
      <c r="AA577" s="1" t="str">
        <f t="shared" ca="1" si="57"/>
        <v>VENCIDO</v>
      </c>
      <c r="AB577" s="1" t="str">
        <f t="shared" si="58"/>
        <v>TAAe+</v>
      </c>
      <c r="AC577" s="2">
        <f t="shared" si="62"/>
        <v>0</v>
      </c>
      <c r="AD577" s="2">
        <f t="shared" si="59"/>
        <v>8</v>
      </c>
      <c r="AE577" s="2">
        <f t="shared" ca="1" si="60"/>
        <v>-44986.676271643519</v>
      </c>
      <c r="AF577" s="15"/>
    </row>
    <row r="578" spans="3:32">
      <c r="D578" s="1"/>
      <c r="E578" s="1"/>
      <c r="P578" s="11"/>
      <c r="U578" s="11"/>
      <c r="X578" s="13">
        <f t="shared" si="61"/>
        <v>0</v>
      </c>
      <c r="Y578" s="2">
        <f t="shared" ref="Y578:Y641" ca="1" si="63">NETWORKDAYS(P578,$Y$1)</f>
        <v>32133</v>
      </c>
      <c r="Z578" s="14">
        <v>1</v>
      </c>
      <c r="AA578" s="1" t="str">
        <f t="shared" ref="AA578:AA641" ca="1" si="64">IF(AE578=0,"HOJE",IF(AE578&gt;0,"A VENCER",IF(AE578&lt;0,"VENCIDO")))</f>
        <v>VENCIDO</v>
      </c>
      <c r="AB578" s="1" t="str">
        <f t="shared" ref="AB578:AB641" si="65">IF(F578="GRPE-000001","C-14",IF(F578="GRPE-000002","C-14",IF(F578="GRPE-000003","C-14",IF(F578="GRPE-000004","SL-On",IF(F578="GRPE-000038","C-14",IF(F578="GRPE-900022","Dosa",IF(F578="GRPE-000029","Dosa",IF(F578="ATOS-000222","Dose","TAAe+"))))))))</f>
        <v>TAAe+</v>
      </c>
      <c r="AC578" s="2">
        <f t="shared" si="62"/>
        <v>0</v>
      </c>
      <c r="AD578" s="2">
        <f t="shared" ref="AD578:AD641" si="66">IF(F578="GRPE-000001",5,IF(F578="GRPE-000002",5,IF(F578="GRPE-000003",15,IF(F578="GRPE-000004",1,IF(F578="GRPE-000038",5,IF(F578="GRPE-900022",5,IF(F578="GRPE-000029",5,IF(F578="ATOS-000222",5,8))))))))</f>
        <v>8</v>
      </c>
      <c r="AE578" s="2">
        <f t="shared" ref="AE578:AE641" ca="1" si="67">IF(U578=$AE$1,"",U578-$AE$1)</f>
        <v>-44986.676271643519</v>
      </c>
      <c r="AF578" s="15"/>
    </row>
    <row r="579" spans="3:32">
      <c r="D579" s="1"/>
      <c r="E579" s="1"/>
      <c r="P579" s="11"/>
      <c r="U579" s="11"/>
      <c r="X579" s="13">
        <f t="shared" ref="X579:X642" si="68">IF(RIGHT(H579,2)&lt;&gt;"00",H579,"")</f>
        <v>0</v>
      </c>
      <c r="Y579" s="2">
        <f t="shared" ca="1" si="63"/>
        <v>32133</v>
      </c>
      <c r="Z579" s="14">
        <v>1</v>
      </c>
      <c r="AA579" s="1" t="str">
        <f t="shared" ca="1" si="64"/>
        <v>VENCIDO</v>
      </c>
      <c r="AB579" s="1" t="str">
        <f t="shared" si="65"/>
        <v>TAAe+</v>
      </c>
      <c r="AC579" s="2">
        <f t="shared" ref="AC579:AC642" si="6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>0</v>
      </c>
      <c r="AD579" s="2">
        <f t="shared" si="66"/>
        <v>8</v>
      </c>
      <c r="AE579" s="2">
        <f t="shared" ca="1" si="67"/>
        <v>-44986.676271643519</v>
      </c>
      <c r="AF579" s="15"/>
    </row>
    <row r="580" spans="3:32">
      <c r="D580" s="1"/>
      <c r="E580" s="1"/>
      <c r="P580" s="11"/>
      <c r="U580" s="11"/>
      <c r="X580" s="13">
        <f t="shared" si="68"/>
        <v>0</v>
      </c>
      <c r="Y580" s="2">
        <f t="shared" ca="1" si="63"/>
        <v>32133</v>
      </c>
      <c r="Z580" s="14">
        <v>1</v>
      </c>
      <c r="AA580" s="1" t="str">
        <f t="shared" ca="1" si="64"/>
        <v>VENCIDO</v>
      </c>
      <c r="AB580" s="1" t="str">
        <f t="shared" si="65"/>
        <v>TAAe+</v>
      </c>
      <c r="AC580" s="2">
        <f t="shared" si="69"/>
        <v>0</v>
      </c>
      <c r="AD580" s="2">
        <f t="shared" si="66"/>
        <v>8</v>
      </c>
      <c r="AE580" s="2">
        <f t="shared" ca="1" si="67"/>
        <v>-44986.676271643519</v>
      </c>
      <c r="AF580" s="15"/>
    </row>
    <row r="581" spans="3:32">
      <c r="D581" s="1"/>
      <c r="E581" s="1"/>
      <c r="P581" s="11"/>
      <c r="U581" s="11"/>
      <c r="X581" s="13">
        <f t="shared" si="68"/>
        <v>0</v>
      </c>
      <c r="Y581" s="2">
        <f t="shared" ca="1" si="63"/>
        <v>32133</v>
      </c>
      <c r="Z581" s="14">
        <v>1</v>
      </c>
      <c r="AA581" s="1" t="str">
        <f t="shared" ca="1" si="64"/>
        <v>VENCIDO</v>
      </c>
      <c r="AB581" s="1" t="str">
        <f t="shared" si="65"/>
        <v>TAAe+</v>
      </c>
      <c r="AC581" s="2">
        <f t="shared" si="69"/>
        <v>0</v>
      </c>
      <c r="AD581" s="2">
        <f t="shared" si="66"/>
        <v>8</v>
      </c>
      <c r="AE581" s="2">
        <f t="shared" ca="1" si="67"/>
        <v>-44986.676271643519</v>
      </c>
      <c r="AF581" s="15"/>
    </row>
    <row r="582" spans="3:32">
      <c r="D582" s="1"/>
      <c r="E582" s="1"/>
      <c r="P582" s="11"/>
      <c r="U582" s="11"/>
      <c r="X582" s="13">
        <f t="shared" si="68"/>
        <v>0</v>
      </c>
      <c r="Y582" s="2">
        <f t="shared" ca="1" si="63"/>
        <v>32133</v>
      </c>
      <c r="Z582" s="14">
        <v>1</v>
      </c>
      <c r="AA582" s="1" t="str">
        <f t="shared" ca="1" si="64"/>
        <v>VENCIDO</v>
      </c>
      <c r="AB582" s="1" t="str">
        <f t="shared" si="65"/>
        <v>TAAe+</v>
      </c>
      <c r="AC582" s="2">
        <f t="shared" si="69"/>
        <v>0</v>
      </c>
      <c r="AD582" s="2">
        <f t="shared" si="66"/>
        <v>8</v>
      </c>
      <c r="AE582" s="2">
        <f t="shared" ca="1" si="67"/>
        <v>-44986.676271643519</v>
      </c>
      <c r="AF582" s="15"/>
    </row>
    <row r="583" spans="3:32">
      <c r="C583" s="49"/>
      <c r="D583" s="1"/>
      <c r="E583" s="1"/>
      <c r="P583" s="11"/>
      <c r="U583" s="11"/>
      <c r="X583" s="13">
        <f t="shared" si="68"/>
        <v>0</v>
      </c>
      <c r="Y583" s="2">
        <f t="shared" ca="1" si="63"/>
        <v>32133</v>
      </c>
      <c r="Z583" s="14">
        <v>1</v>
      </c>
      <c r="AA583" s="1" t="str">
        <f t="shared" ca="1" si="64"/>
        <v>VENCIDO</v>
      </c>
      <c r="AB583" s="1" t="str">
        <f t="shared" si="65"/>
        <v>TAAe+</v>
      </c>
      <c r="AC583" s="2">
        <f t="shared" si="69"/>
        <v>0</v>
      </c>
      <c r="AD583" s="2">
        <f t="shared" si="66"/>
        <v>8</v>
      </c>
      <c r="AE583" s="2">
        <f t="shared" ca="1" si="67"/>
        <v>-44986.676271643519</v>
      </c>
      <c r="AF583" s="15"/>
    </row>
    <row r="584" spans="3:32">
      <c r="D584" s="1"/>
      <c r="E584" s="1"/>
      <c r="P584" s="11"/>
      <c r="U584" s="11"/>
      <c r="X584" s="13">
        <f t="shared" si="68"/>
        <v>0</v>
      </c>
      <c r="Y584" s="2">
        <f t="shared" ca="1" si="63"/>
        <v>32133</v>
      </c>
      <c r="Z584" s="14">
        <v>1</v>
      </c>
      <c r="AA584" s="1" t="str">
        <f t="shared" ca="1" si="64"/>
        <v>VENCIDO</v>
      </c>
      <c r="AB584" s="1" t="str">
        <f t="shared" si="65"/>
        <v>TAAe+</v>
      </c>
      <c r="AC584" s="2">
        <f t="shared" si="69"/>
        <v>0</v>
      </c>
      <c r="AD584" s="2">
        <f t="shared" si="66"/>
        <v>8</v>
      </c>
      <c r="AE584" s="2">
        <f t="shared" ca="1" si="67"/>
        <v>-44986.676271643519</v>
      </c>
      <c r="AF584" s="15"/>
    </row>
    <row r="585" spans="3:32">
      <c r="D585" s="1"/>
      <c r="E585" s="1"/>
      <c r="P585" s="11"/>
      <c r="U585" s="11"/>
      <c r="X585" s="13">
        <f t="shared" si="68"/>
        <v>0</v>
      </c>
      <c r="Y585" s="2">
        <f t="shared" ca="1" si="63"/>
        <v>32133</v>
      </c>
      <c r="Z585" s="14">
        <v>1</v>
      </c>
      <c r="AA585" s="1" t="str">
        <f t="shared" ca="1" si="64"/>
        <v>VENCIDO</v>
      </c>
      <c r="AB585" s="1" t="str">
        <f t="shared" si="65"/>
        <v>TAAe+</v>
      </c>
      <c r="AC585" s="2">
        <f t="shared" si="69"/>
        <v>0</v>
      </c>
      <c r="AD585" s="2">
        <f t="shared" si="66"/>
        <v>8</v>
      </c>
      <c r="AE585" s="2">
        <f t="shared" ca="1" si="67"/>
        <v>-44986.676271643519</v>
      </c>
      <c r="AF585" s="15"/>
    </row>
    <row r="586" spans="3:32">
      <c r="D586" s="1"/>
      <c r="E586" s="1"/>
      <c r="P586" s="11"/>
      <c r="U586" s="11"/>
      <c r="X586" s="13">
        <f t="shared" si="68"/>
        <v>0</v>
      </c>
      <c r="Y586" s="2">
        <f t="shared" ca="1" si="63"/>
        <v>32133</v>
      </c>
      <c r="Z586" s="14">
        <v>1</v>
      </c>
      <c r="AA586" s="1" t="str">
        <f t="shared" ca="1" si="64"/>
        <v>VENCIDO</v>
      </c>
      <c r="AB586" s="1" t="str">
        <f t="shared" si="65"/>
        <v>TAAe+</v>
      </c>
      <c r="AC586" s="2">
        <f t="shared" si="69"/>
        <v>0</v>
      </c>
      <c r="AD586" s="2">
        <f t="shared" si="66"/>
        <v>8</v>
      </c>
      <c r="AE586" s="2">
        <f t="shared" ca="1" si="67"/>
        <v>-44986.676271643519</v>
      </c>
      <c r="AF586" s="15"/>
    </row>
    <row r="587" spans="3:32">
      <c r="C587" s="49"/>
      <c r="D587" s="1"/>
      <c r="E587" s="1"/>
      <c r="P587" s="11"/>
      <c r="U587" s="11"/>
      <c r="X587" s="13">
        <f t="shared" si="68"/>
        <v>0</v>
      </c>
      <c r="Y587" s="2">
        <f t="shared" ca="1" si="63"/>
        <v>32133</v>
      </c>
      <c r="Z587" s="14">
        <v>1</v>
      </c>
      <c r="AA587" s="1" t="str">
        <f t="shared" ca="1" si="64"/>
        <v>VENCIDO</v>
      </c>
      <c r="AB587" s="1" t="str">
        <f t="shared" si="65"/>
        <v>TAAe+</v>
      </c>
      <c r="AC587" s="2">
        <f t="shared" si="69"/>
        <v>0</v>
      </c>
      <c r="AD587" s="2">
        <f t="shared" si="66"/>
        <v>8</v>
      </c>
      <c r="AE587" s="2">
        <f t="shared" ca="1" si="67"/>
        <v>-44986.676271643519</v>
      </c>
      <c r="AF587" s="15"/>
    </row>
    <row r="588" spans="3:32">
      <c r="D588" s="1"/>
      <c r="E588" s="1"/>
      <c r="P588" s="11"/>
      <c r="U588" s="11"/>
      <c r="X588" s="13">
        <f t="shared" si="68"/>
        <v>0</v>
      </c>
      <c r="Y588" s="2">
        <f t="shared" ca="1" si="63"/>
        <v>32133</v>
      </c>
      <c r="Z588" s="14">
        <v>1</v>
      </c>
      <c r="AA588" s="1" t="str">
        <f t="shared" ca="1" si="64"/>
        <v>VENCIDO</v>
      </c>
      <c r="AB588" s="1" t="str">
        <f t="shared" si="65"/>
        <v>TAAe+</v>
      </c>
      <c r="AC588" s="2">
        <f t="shared" si="69"/>
        <v>0</v>
      </c>
      <c r="AD588" s="2">
        <f t="shared" si="66"/>
        <v>8</v>
      </c>
      <c r="AE588" s="2">
        <f t="shared" ca="1" si="67"/>
        <v>-44986.676271643519</v>
      </c>
      <c r="AF588" s="15"/>
    </row>
    <row r="589" spans="3:32">
      <c r="D589" s="1"/>
      <c r="E589" s="1"/>
      <c r="P589" s="11"/>
      <c r="U589" s="11"/>
      <c r="X589" s="13">
        <f t="shared" si="68"/>
        <v>0</v>
      </c>
      <c r="Y589" s="2">
        <f t="shared" ca="1" si="63"/>
        <v>32133</v>
      </c>
      <c r="Z589" s="14">
        <v>1</v>
      </c>
      <c r="AA589" s="1" t="str">
        <f t="shared" ca="1" si="64"/>
        <v>VENCIDO</v>
      </c>
      <c r="AB589" s="1" t="str">
        <f t="shared" si="65"/>
        <v>TAAe+</v>
      </c>
      <c r="AC589" s="2">
        <f t="shared" si="69"/>
        <v>0</v>
      </c>
      <c r="AD589" s="2">
        <f t="shared" si="66"/>
        <v>8</v>
      </c>
      <c r="AE589" s="2">
        <f t="shared" ca="1" si="67"/>
        <v>-44986.676271643519</v>
      </c>
      <c r="AF589" s="15"/>
    </row>
    <row r="590" spans="3:32">
      <c r="D590" s="1"/>
      <c r="E590" s="1"/>
      <c r="P590" s="11"/>
      <c r="U590" s="11"/>
      <c r="X590" s="13">
        <f t="shared" si="68"/>
        <v>0</v>
      </c>
      <c r="Y590" s="2">
        <f t="shared" ca="1" si="63"/>
        <v>32133</v>
      </c>
      <c r="Z590" s="14">
        <v>1</v>
      </c>
      <c r="AA590" s="1" t="str">
        <f t="shared" ca="1" si="64"/>
        <v>VENCIDO</v>
      </c>
      <c r="AB590" s="1" t="str">
        <f t="shared" si="65"/>
        <v>TAAe+</v>
      </c>
      <c r="AC590" s="2">
        <f t="shared" si="69"/>
        <v>0</v>
      </c>
      <c r="AD590" s="2">
        <f t="shared" si="66"/>
        <v>8</v>
      </c>
      <c r="AE590" s="2">
        <f t="shared" ca="1" si="67"/>
        <v>-44986.676271643519</v>
      </c>
      <c r="AF590" s="15"/>
    </row>
    <row r="591" spans="3:32">
      <c r="D591" s="1"/>
      <c r="E591" s="1"/>
      <c r="P591" s="11"/>
      <c r="U591" s="11"/>
      <c r="X591" s="13">
        <f t="shared" si="68"/>
        <v>0</v>
      </c>
      <c r="Y591" s="2">
        <f t="shared" ca="1" si="63"/>
        <v>32133</v>
      </c>
      <c r="Z591" s="14">
        <v>1</v>
      </c>
      <c r="AA591" s="1" t="str">
        <f t="shared" ca="1" si="64"/>
        <v>VENCIDO</v>
      </c>
      <c r="AB591" s="1" t="str">
        <f t="shared" si="65"/>
        <v>TAAe+</v>
      </c>
      <c r="AC591" s="2">
        <f t="shared" si="69"/>
        <v>0</v>
      </c>
      <c r="AD591" s="2">
        <f t="shared" si="66"/>
        <v>8</v>
      </c>
      <c r="AE591" s="2">
        <f t="shared" ca="1" si="67"/>
        <v>-44986.676271643519</v>
      </c>
      <c r="AF591" s="15"/>
    </row>
    <row r="592" spans="3:32">
      <c r="C592" s="49"/>
      <c r="D592" s="1"/>
      <c r="E592" s="1"/>
      <c r="P592" s="11"/>
      <c r="U592" s="11"/>
      <c r="X592" s="13">
        <f t="shared" si="68"/>
        <v>0</v>
      </c>
      <c r="Y592" s="2">
        <f t="shared" ca="1" si="63"/>
        <v>32133</v>
      </c>
      <c r="Z592" s="14">
        <v>1</v>
      </c>
      <c r="AA592" s="1" t="str">
        <f t="shared" ca="1" si="64"/>
        <v>VENCIDO</v>
      </c>
      <c r="AB592" s="1" t="str">
        <f t="shared" si="65"/>
        <v>TAAe+</v>
      </c>
      <c r="AC592" s="2">
        <f t="shared" si="69"/>
        <v>0</v>
      </c>
      <c r="AD592" s="2">
        <f t="shared" si="66"/>
        <v>8</v>
      </c>
      <c r="AE592" s="2">
        <f t="shared" ca="1" si="67"/>
        <v>-44986.676271643519</v>
      </c>
      <c r="AF592" s="15"/>
    </row>
    <row r="593" spans="3:32">
      <c r="D593" s="1"/>
      <c r="E593" s="1"/>
      <c r="P593" s="11"/>
      <c r="U593" s="11"/>
      <c r="X593" s="13">
        <f t="shared" si="68"/>
        <v>0</v>
      </c>
      <c r="Y593" s="2">
        <f t="shared" ca="1" si="63"/>
        <v>32133</v>
      </c>
      <c r="Z593" s="14">
        <v>1</v>
      </c>
      <c r="AA593" s="1" t="str">
        <f t="shared" ca="1" si="64"/>
        <v>VENCIDO</v>
      </c>
      <c r="AB593" s="1" t="str">
        <f t="shared" si="65"/>
        <v>TAAe+</v>
      </c>
      <c r="AC593" s="2">
        <f t="shared" si="69"/>
        <v>0</v>
      </c>
      <c r="AD593" s="2">
        <f t="shared" si="66"/>
        <v>8</v>
      </c>
      <c r="AE593" s="2">
        <f t="shared" ca="1" si="67"/>
        <v>-44986.676271643519</v>
      </c>
      <c r="AF593" s="15"/>
    </row>
    <row r="594" spans="3:32">
      <c r="D594" s="1"/>
      <c r="E594" s="1"/>
      <c r="P594" s="11"/>
      <c r="U594" s="11"/>
      <c r="X594" s="13">
        <f t="shared" si="68"/>
        <v>0</v>
      </c>
      <c r="Y594" s="2">
        <f t="shared" ca="1" si="63"/>
        <v>32133</v>
      </c>
      <c r="Z594" s="14">
        <v>1</v>
      </c>
      <c r="AA594" s="1" t="str">
        <f t="shared" ca="1" si="64"/>
        <v>VENCIDO</v>
      </c>
      <c r="AB594" s="1" t="str">
        <f t="shared" si="65"/>
        <v>TAAe+</v>
      </c>
      <c r="AC594" s="2">
        <f t="shared" si="69"/>
        <v>0</v>
      </c>
      <c r="AD594" s="2">
        <f t="shared" si="66"/>
        <v>8</v>
      </c>
      <c r="AE594" s="2">
        <f t="shared" ca="1" si="67"/>
        <v>-44986.676271643519</v>
      </c>
      <c r="AF594" s="15"/>
    </row>
    <row r="595" spans="3:32">
      <c r="D595" s="1"/>
      <c r="E595" s="1"/>
      <c r="P595" s="11"/>
      <c r="U595" s="11"/>
      <c r="X595" s="13">
        <f t="shared" si="68"/>
        <v>0</v>
      </c>
      <c r="Y595" s="2">
        <f t="shared" ca="1" si="63"/>
        <v>32133</v>
      </c>
      <c r="Z595" s="14">
        <v>1</v>
      </c>
      <c r="AA595" s="1" t="str">
        <f t="shared" ca="1" si="64"/>
        <v>VENCIDO</v>
      </c>
      <c r="AB595" s="1" t="str">
        <f t="shared" si="65"/>
        <v>TAAe+</v>
      </c>
      <c r="AC595" s="2">
        <f t="shared" si="69"/>
        <v>0</v>
      </c>
      <c r="AD595" s="2">
        <f t="shared" si="66"/>
        <v>8</v>
      </c>
      <c r="AE595" s="2">
        <f t="shared" ca="1" si="67"/>
        <v>-44986.676271643519</v>
      </c>
      <c r="AF595" s="15"/>
    </row>
    <row r="596" spans="3:32">
      <c r="D596" s="1"/>
      <c r="E596" s="1"/>
      <c r="P596" s="11"/>
      <c r="U596" s="11"/>
      <c r="X596" s="13">
        <f t="shared" si="68"/>
        <v>0</v>
      </c>
      <c r="Y596" s="2">
        <f t="shared" ca="1" si="63"/>
        <v>32133</v>
      </c>
      <c r="Z596" s="14">
        <v>1</v>
      </c>
      <c r="AA596" s="1" t="str">
        <f t="shared" ca="1" si="64"/>
        <v>VENCIDO</v>
      </c>
      <c r="AB596" s="1" t="str">
        <f t="shared" si="65"/>
        <v>TAAe+</v>
      </c>
      <c r="AC596" s="2">
        <f t="shared" si="69"/>
        <v>0</v>
      </c>
      <c r="AD596" s="2">
        <f t="shared" si="66"/>
        <v>8</v>
      </c>
      <c r="AE596" s="2">
        <f t="shared" ca="1" si="67"/>
        <v>-44986.676271643519</v>
      </c>
      <c r="AF596" s="15"/>
    </row>
    <row r="597" spans="3:32">
      <c r="C597" s="49"/>
      <c r="D597" s="1"/>
      <c r="E597" s="1"/>
      <c r="P597" s="11"/>
      <c r="U597" s="11"/>
      <c r="X597" s="13">
        <f t="shared" si="68"/>
        <v>0</v>
      </c>
      <c r="Y597" s="2">
        <f t="shared" ca="1" si="63"/>
        <v>32133</v>
      </c>
      <c r="Z597" s="14">
        <v>1</v>
      </c>
      <c r="AA597" s="1" t="str">
        <f t="shared" ca="1" si="64"/>
        <v>VENCIDO</v>
      </c>
      <c r="AB597" s="1" t="str">
        <f t="shared" si="65"/>
        <v>TAAe+</v>
      </c>
      <c r="AC597" s="2">
        <f t="shared" si="69"/>
        <v>0</v>
      </c>
      <c r="AD597" s="2">
        <f t="shared" si="66"/>
        <v>8</v>
      </c>
      <c r="AE597" s="2">
        <f t="shared" ca="1" si="67"/>
        <v>-44986.676271643519</v>
      </c>
      <c r="AF597" s="15"/>
    </row>
    <row r="598" spans="3:32">
      <c r="D598" s="1"/>
      <c r="E598" s="1"/>
      <c r="P598" s="11"/>
      <c r="U598" s="11"/>
      <c r="X598" s="13">
        <f t="shared" si="68"/>
        <v>0</v>
      </c>
      <c r="Y598" s="2">
        <f t="shared" ca="1" si="63"/>
        <v>32133</v>
      </c>
      <c r="Z598" s="14">
        <v>1</v>
      </c>
      <c r="AA598" s="1" t="str">
        <f t="shared" ca="1" si="64"/>
        <v>VENCIDO</v>
      </c>
      <c r="AB598" s="1" t="str">
        <f t="shared" si="65"/>
        <v>TAAe+</v>
      </c>
      <c r="AC598" s="2">
        <f t="shared" si="69"/>
        <v>0</v>
      </c>
      <c r="AD598" s="2">
        <f t="shared" si="66"/>
        <v>8</v>
      </c>
      <c r="AE598" s="2">
        <f t="shared" ca="1" si="67"/>
        <v>-44986.676271643519</v>
      </c>
      <c r="AF598" s="15"/>
    </row>
    <row r="599" spans="3:32">
      <c r="C599" s="49"/>
      <c r="D599" s="1"/>
      <c r="E599" s="1"/>
      <c r="P599" s="11"/>
      <c r="U599" s="11"/>
      <c r="X599" s="13">
        <f t="shared" si="68"/>
        <v>0</v>
      </c>
      <c r="Y599" s="2">
        <f t="shared" ca="1" si="63"/>
        <v>32133</v>
      </c>
      <c r="Z599" s="14">
        <v>1</v>
      </c>
      <c r="AA599" s="1" t="str">
        <f t="shared" ca="1" si="64"/>
        <v>VENCIDO</v>
      </c>
      <c r="AB599" s="1" t="str">
        <f t="shared" si="65"/>
        <v>TAAe+</v>
      </c>
      <c r="AC599" s="2">
        <f t="shared" si="69"/>
        <v>0</v>
      </c>
      <c r="AD599" s="2">
        <f t="shared" si="66"/>
        <v>8</v>
      </c>
      <c r="AE599" s="2">
        <f t="shared" ca="1" si="67"/>
        <v>-44986.676271643519</v>
      </c>
      <c r="AF599" s="15"/>
    </row>
    <row r="600" spans="3:32">
      <c r="C600" s="49"/>
      <c r="D600" s="1"/>
      <c r="E600" s="1"/>
      <c r="P600" s="11"/>
      <c r="U600" s="11"/>
      <c r="X600" s="13">
        <f t="shared" si="68"/>
        <v>0</v>
      </c>
      <c r="Y600" s="2">
        <f t="shared" ca="1" si="63"/>
        <v>32133</v>
      </c>
      <c r="Z600" s="14">
        <v>1</v>
      </c>
      <c r="AA600" s="1" t="str">
        <f t="shared" ca="1" si="64"/>
        <v>VENCIDO</v>
      </c>
      <c r="AB600" s="1" t="str">
        <f t="shared" si="65"/>
        <v>TAAe+</v>
      </c>
      <c r="AC600" s="2">
        <f t="shared" si="69"/>
        <v>0</v>
      </c>
      <c r="AD600" s="2">
        <f t="shared" si="66"/>
        <v>8</v>
      </c>
      <c r="AE600" s="2">
        <f t="shared" ca="1" si="67"/>
        <v>-44986.676271643519</v>
      </c>
      <c r="AF600" s="15"/>
    </row>
    <row r="601" spans="3:32">
      <c r="D601" s="1"/>
      <c r="E601" s="1"/>
      <c r="P601" s="11"/>
      <c r="U601" s="11"/>
      <c r="X601" s="13">
        <f t="shared" si="68"/>
        <v>0</v>
      </c>
      <c r="Y601" s="2">
        <f t="shared" ca="1" si="63"/>
        <v>32133</v>
      </c>
      <c r="Z601" s="14">
        <v>1</v>
      </c>
      <c r="AA601" s="1" t="str">
        <f t="shared" ca="1" si="64"/>
        <v>VENCIDO</v>
      </c>
      <c r="AB601" s="1" t="str">
        <f t="shared" si="65"/>
        <v>TAAe+</v>
      </c>
      <c r="AC601" s="2">
        <f t="shared" si="69"/>
        <v>0</v>
      </c>
      <c r="AD601" s="2">
        <f t="shared" si="66"/>
        <v>8</v>
      </c>
      <c r="AE601" s="2">
        <f t="shared" ca="1" si="67"/>
        <v>-44986.676271643519</v>
      </c>
      <c r="AF601" s="15"/>
    </row>
    <row r="602" spans="3:32">
      <c r="C602" s="49"/>
      <c r="D602" s="1"/>
      <c r="E602" s="1"/>
      <c r="P602" s="11"/>
      <c r="U602" s="11"/>
      <c r="X602" s="13">
        <f t="shared" si="68"/>
        <v>0</v>
      </c>
      <c r="Y602" s="2">
        <f t="shared" ca="1" si="63"/>
        <v>32133</v>
      </c>
      <c r="Z602" s="14">
        <v>1</v>
      </c>
      <c r="AA602" s="1" t="str">
        <f t="shared" ca="1" si="64"/>
        <v>VENCIDO</v>
      </c>
      <c r="AB602" s="1" t="str">
        <f t="shared" si="65"/>
        <v>TAAe+</v>
      </c>
      <c r="AC602" s="2">
        <f t="shared" si="69"/>
        <v>0</v>
      </c>
      <c r="AD602" s="2">
        <f t="shared" si="66"/>
        <v>8</v>
      </c>
      <c r="AE602" s="2">
        <f t="shared" ca="1" si="67"/>
        <v>-44986.676271643519</v>
      </c>
      <c r="AF602" s="15"/>
    </row>
    <row r="603" spans="3:32">
      <c r="D603" s="1"/>
      <c r="E603" s="1"/>
      <c r="P603" s="11"/>
      <c r="U603" s="11"/>
      <c r="X603" s="13">
        <f t="shared" si="68"/>
        <v>0</v>
      </c>
      <c r="Y603" s="2">
        <f t="shared" ca="1" si="63"/>
        <v>32133</v>
      </c>
      <c r="Z603" s="14">
        <v>1</v>
      </c>
      <c r="AA603" s="1" t="str">
        <f t="shared" ca="1" si="64"/>
        <v>VENCIDO</v>
      </c>
      <c r="AB603" s="1" t="str">
        <f t="shared" si="65"/>
        <v>TAAe+</v>
      </c>
      <c r="AC603" s="2">
        <f t="shared" si="69"/>
        <v>0</v>
      </c>
      <c r="AD603" s="2">
        <f t="shared" si="66"/>
        <v>8</v>
      </c>
      <c r="AE603" s="2">
        <f t="shared" ca="1" si="67"/>
        <v>-44986.676271643519</v>
      </c>
      <c r="AF603" s="15"/>
    </row>
    <row r="604" spans="3:32">
      <c r="D604" s="1"/>
      <c r="E604" s="1"/>
      <c r="P604" s="11"/>
      <c r="U604" s="11"/>
      <c r="X604" s="13">
        <f t="shared" si="68"/>
        <v>0</v>
      </c>
      <c r="Y604" s="2">
        <f t="shared" ca="1" si="63"/>
        <v>32133</v>
      </c>
      <c r="Z604" s="14">
        <v>1</v>
      </c>
      <c r="AA604" s="1" t="str">
        <f t="shared" ca="1" si="64"/>
        <v>VENCIDO</v>
      </c>
      <c r="AB604" s="1" t="str">
        <f t="shared" si="65"/>
        <v>TAAe+</v>
      </c>
      <c r="AC604" s="2">
        <f t="shared" si="69"/>
        <v>0</v>
      </c>
      <c r="AD604" s="2">
        <f t="shared" si="66"/>
        <v>8</v>
      </c>
      <c r="AE604" s="2">
        <f t="shared" ca="1" si="67"/>
        <v>-44986.676271643519</v>
      </c>
      <c r="AF604" s="15"/>
    </row>
    <row r="605" spans="3:32">
      <c r="D605" s="1"/>
      <c r="E605" s="1"/>
      <c r="P605" s="11"/>
      <c r="U605" s="11"/>
      <c r="X605" s="13">
        <f t="shared" si="68"/>
        <v>0</v>
      </c>
      <c r="Y605" s="2">
        <f t="shared" ca="1" si="63"/>
        <v>32133</v>
      </c>
      <c r="Z605" s="14">
        <v>1</v>
      </c>
      <c r="AA605" s="1" t="str">
        <f t="shared" ca="1" si="64"/>
        <v>VENCIDO</v>
      </c>
      <c r="AB605" s="1" t="str">
        <f t="shared" si="65"/>
        <v>TAAe+</v>
      </c>
      <c r="AC605" s="2">
        <f t="shared" si="69"/>
        <v>0</v>
      </c>
      <c r="AD605" s="2">
        <f t="shared" si="66"/>
        <v>8</v>
      </c>
      <c r="AE605" s="2">
        <f t="shared" ca="1" si="67"/>
        <v>-44986.676271643519</v>
      </c>
      <c r="AF605" s="15"/>
    </row>
    <row r="606" spans="3:32">
      <c r="C606" s="49"/>
      <c r="D606" s="1"/>
      <c r="E606" s="1"/>
      <c r="P606" s="11"/>
      <c r="U606" s="11"/>
      <c r="X606" s="13">
        <f t="shared" si="68"/>
        <v>0</v>
      </c>
      <c r="Y606" s="2">
        <f t="shared" ca="1" si="63"/>
        <v>32133</v>
      </c>
      <c r="Z606" s="14">
        <v>1</v>
      </c>
      <c r="AA606" s="1" t="str">
        <f t="shared" ca="1" si="64"/>
        <v>VENCIDO</v>
      </c>
      <c r="AB606" s="1" t="str">
        <f t="shared" si="65"/>
        <v>TAAe+</v>
      </c>
      <c r="AC606" s="2">
        <f t="shared" si="69"/>
        <v>0</v>
      </c>
      <c r="AD606" s="2">
        <f t="shared" si="66"/>
        <v>8</v>
      </c>
      <c r="AE606" s="2">
        <f t="shared" ca="1" si="67"/>
        <v>-44986.676271643519</v>
      </c>
      <c r="AF606" s="15"/>
    </row>
    <row r="607" spans="3:32">
      <c r="C607" s="49"/>
      <c r="D607" s="1"/>
      <c r="E607" s="1"/>
      <c r="P607" s="11"/>
      <c r="U607" s="11"/>
      <c r="X607" s="13">
        <f t="shared" si="68"/>
        <v>0</v>
      </c>
      <c r="Y607" s="2">
        <f t="shared" ca="1" si="63"/>
        <v>32133</v>
      </c>
      <c r="Z607" s="14">
        <v>1</v>
      </c>
      <c r="AA607" s="1" t="str">
        <f t="shared" ca="1" si="64"/>
        <v>VENCIDO</v>
      </c>
      <c r="AB607" s="1" t="str">
        <f t="shared" si="65"/>
        <v>TAAe+</v>
      </c>
      <c r="AC607" s="2">
        <f t="shared" si="69"/>
        <v>0</v>
      </c>
      <c r="AD607" s="2">
        <f t="shared" si="66"/>
        <v>8</v>
      </c>
      <c r="AE607" s="2">
        <f t="shared" ca="1" si="67"/>
        <v>-44986.676271643519</v>
      </c>
      <c r="AF607" s="15"/>
    </row>
    <row r="608" spans="3:32">
      <c r="D608" s="1"/>
      <c r="E608" s="1"/>
      <c r="P608" s="11"/>
      <c r="U608" s="11"/>
      <c r="X608" s="13">
        <f t="shared" si="68"/>
        <v>0</v>
      </c>
      <c r="Y608" s="2">
        <f t="shared" ca="1" si="63"/>
        <v>32133</v>
      </c>
      <c r="Z608" s="14">
        <v>1</v>
      </c>
      <c r="AA608" s="1" t="str">
        <f t="shared" ca="1" si="64"/>
        <v>VENCIDO</v>
      </c>
      <c r="AB608" s="1" t="str">
        <f t="shared" si="65"/>
        <v>TAAe+</v>
      </c>
      <c r="AC608" s="2">
        <f t="shared" si="69"/>
        <v>0</v>
      </c>
      <c r="AD608" s="2">
        <f t="shared" si="66"/>
        <v>8</v>
      </c>
      <c r="AE608" s="2">
        <f t="shared" ca="1" si="67"/>
        <v>-44986.676271643519</v>
      </c>
      <c r="AF608" s="15"/>
    </row>
    <row r="609" spans="16:32">
      <c r="P609" s="12"/>
      <c r="U609" s="12"/>
      <c r="X609" s="13">
        <f t="shared" si="68"/>
        <v>0</v>
      </c>
      <c r="Y609" s="2">
        <f t="shared" ca="1" si="63"/>
        <v>32133</v>
      </c>
      <c r="Z609" s="14">
        <v>1</v>
      </c>
      <c r="AA609" s="1" t="str">
        <f t="shared" ca="1" si="64"/>
        <v>VENCIDO</v>
      </c>
      <c r="AB609" s="1" t="str">
        <f t="shared" si="65"/>
        <v>TAAe+</v>
      </c>
      <c r="AC609" s="2">
        <f t="shared" si="69"/>
        <v>0</v>
      </c>
      <c r="AD609" s="2">
        <f t="shared" si="66"/>
        <v>8</v>
      </c>
      <c r="AE609" s="2">
        <f t="shared" ca="1" si="67"/>
        <v>-44986.676271643519</v>
      </c>
      <c r="AF609" s="15"/>
    </row>
    <row r="610" spans="16:32">
      <c r="P610" s="12"/>
      <c r="U610" s="12"/>
      <c r="X610" s="13">
        <f t="shared" si="68"/>
        <v>0</v>
      </c>
      <c r="Y610" s="2">
        <f t="shared" ca="1" si="63"/>
        <v>32133</v>
      </c>
      <c r="Z610" s="14">
        <v>1</v>
      </c>
      <c r="AA610" s="1" t="str">
        <f t="shared" ca="1" si="64"/>
        <v>VENCIDO</v>
      </c>
      <c r="AB610" s="1" t="str">
        <f t="shared" si="65"/>
        <v>TAAe+</v>
      </c>
      <c r="AC610" s="2">
        <f t="shared" si="69"/>
        <v>0</v>
      </c>
      <c r="AD610" s="2">
        <f t="shared" si="66"/>
        <v>8</v>
      </c>
      <c r="AE610" s="2">
        <f t="shared" ca="1" si="67"/>
        <v>-44986.676271643519</v>
      </c>
      <c r="AF610" s="15"/>
    </row>
    <row r="611" spans="16:32">
      <c r="P611" s="12"/>
      <c r="U611" s="12"/>
      <c r="X611" s="13">
        <f t="shared" si="68"/>
        <v>0</v>
      </c>
      <c r="Y611" s="2">
        <f t="shared" ca="1" si="63"/>
        <v>32133</v>
      </c>
      <c r="Z611" s="14">
        <v>1</v>
      </c>
      <c r="AA611" s="1" t="str">
        <f t="shared" ca="1" si="64"/>
        <v>VENCIDO</v>
      </c>
      <c r="AB611" s="1" t="str">
        <f t="shared" si="65"/>
        <v>TAAe+</v>
      </c>
      <c r="AC611" s="2">
        <f t="shared" si="69"/>
        <v>0</v>
      </c>
      <c r="AD611" s="2">
        <f t="shared" si="66"/>
        <v>8</v>
      </c>
      <c r="AE611" s="2">
        <f t="shared" ca="1" si="67"/>
        <v>-44986.676271643519</v>
      </c>
      <c r="AF611" s="15"/>
    </row>
    <row r="612" spans="16:32">
      <c r="P612" s="12"/>
      <c r="U612" s="12"/>
      <c r="X612" s="13">
        <f t="shared" si="68"/>
        <v>0</v>
      </c>
      <c r="Y612" s="2">
        <f t="shared" ca="1" si="63"/>
        <v>32133</v>
      </c>
      <c r="Z612" s="14">
        <v>1</v>
      </c>
      <c r="AA612" s="1" t="str">
        <f t="shared" ca="1" si="64"/>
        <v>VENCIDO</v>
      </c>
      <c r="AB612" s="1" t="str">
        <f t="shared" si="65"/>
        <v>TAAe+</v>
      </c>
      <c r="AC612" s="2">
        <f t="shared" si="69"/>
        <v>0</v>
      </c>
      <c r="AD612" s="2">
        <f t="shared" si="66"/>
        <v>8</v>
      </c>
      <c r="AE612" s="2">
        <f t="shared" ca="1" si="67"/>
        <v>-44986.676271643519</v>
      </c>
      <c r="AF612" s="15"/>
    </row>
    <row r="613" spans="16:32">
      <c r="P613" s="12"/>
      <c r="U613" s="12"/>
      <c r="X613" s="13">
        <f t="shared" si="68"/>
        <v>0</v>
      </c>
      <c r="Y613" s="2">
        <f t="shared" ca="1" si="63"/>
        <v>32133</v>
      </c>
      <c r="Z613" s="14">
        <v>1</v>
      </c>
      <c r="AA613" s="1" t="str">
        <f t="shared" ca="1" si="64"/>
        <v>VENCIDO</v>
      </c>
      <c r="AB613" s="1" t="str">
        <f t="shared" si="65"/>
        <v>TAAe+</v>
      </c>
      <c r="AC613" s="2">
        <f t="shared" si="69"/>
        <v>0</v>
      </c>
      <c r="AD613" s="2">
        <f t="shared" si="66"/>
        <v>8</v>
      </c>
      <c r="AE613" s="2">
        <f t="shared" ca="1" si="67"/>
        <v>-44986.676271643519</v>
      </c>
      <c r="AF613" s="15"/>
    </row>
    <row r="614" spans="16:32">
      <c r="P614" s="12"/>
      <c r="U614" s="12"/>
      <c r="X614" s="13">
        <f t="shared" si="68"/>
        <v>0</v>
      </c>
      <c r="Y614" s="2">
        <f t="shared" ca="1" si="63"/>
        <v>32133</v>
      </c>
      <c r="Z614" s="14">
        <v>1</v>
      </c>
      <c r="AA614" s="1" t="str">
        <f t="shared" ca="1" si="64"/>
        <v>VENCIDO</v>
      </c>
      <c r="AB614" s="1" t="str">
        <f t="shared" si="65"/>
        <v>TAAe+</v>
      </c>
      <c r="AC614" s="2">
        <f t="shared" si="69"/>
        <v>0</v>
      </c>
      <c r="AD614" s="2">
        <f t="shared" si="66"/>
        <v>8</v>
      </c>
      <c r="AE614" s="2">
        <f t="shared" ca="1" si="67"/>
        <v>-44986.676271643519</v>
      </c>
      <c r="AF614" s="15"/>
    </row>
    <row r="615" spans="16:32">
      <c r="P615" s="12"/>
      <c r="U615" s="12"/>
      <c r="X615" s="13">
        <f t="shared" si="68"/>
        <v>0</v>
      </c>
      <c r="Y615" s="2">
        <f t="shared" ca="1" si="63"/>
        <v>32133</v>
      </c>
      <c r="Z615" s="14">
        <v>1</v>
      </c>
      <c r="AA615" s="1" t="str">
        <f t="shared" ca="1" si="64"/>
        <v>VENCIDO</v>
      </c>
      <c r="AB615" s="1" t="str">
        <f t="shared" si="65"/>
        <v>TAAe+</v>
      </c>
      <c r="AC615" s="2">
        <f t="shared" si="69"/>
        <v>0</v>
      </c>
      <c r="AD615" s="2">
        <f t="shared" si="66"/>
        <v>8</v>
      </c>
      <c r="AE615" s="2">
        <f t="shared" ca="1" si="67"/>
        <v>-44986.676271643519</v>
      </c>
      <c r="AF615" s="15"/>
    </row>
    <row r="616" spans="16:32">
      <c r="P616" s="12"/>
      <c r="U616" s="12"/>
      <c r="X616" s="13">
        <f t="shared" si="68"/>
        <v>0</v>
      </c>
      <c r="Y616" s="2">
        <f t="shared" ca="1" si="63"/>
        <v>32133</v>
      </c>
      <c r="Z616" s="14">
        <v>1</v>
      </c>
      <c r="AA616" s="1" t="str">
        <f t="shared" ca="1" si="64"/>
        <v>VENCIDO</v>
      </c>
      <c r="AB616" s="1" t="str">
        <f t="shared" si="65"/>
        <v>TAAe+</v>
      </c>
      <c r="AC616" s="2">
        <f t="shared" si="69"/>
        <v>0</v>
      </c>
      <c r="AD616" s="2">
        <f t="shared" si="66"/>
        <v>8</v>
      </c>
      <c r="AE616" s="2">
        <f t="shared" ca="1" si="67"/>
        <v>-44986.676271643519</v>
      </c>
      <c r="AF616" s="15"/>
    </row>
    <row r="617" spans="16:32">
      <c r="P617" s="12"/>
      <c r="U617" s="12"/>
      <c r="X617" s="13">
        <f t="shared" si="68"/>
        <v>0</v>
      </c>
      <c r="Y617" s="2">
        <f t="shared" ca="1" si="63"/>
        <v>32133</v>
      </c>
      <c r="Z617" s="14">
        <v>1</v>
      </c>
      <c r="AA617" s="1" t="str">
        <f t="shared" ca="1" si="64"/>
        <v>VENCIDO</v>
      </c>
      <c r="AB617" s="1" t="str">
        <f t="shared" si="65"/>
        <v>TAAe+</v>
      </c>
      <c r="AC617" s="2">
        <f t="shared" si="69"/>
        <v>0</v>
      </c>
      <c r="AD617" s="2">
        <f t="shared" si="66"/>
        <v>8</v>
      </c>
      <c r="AE617" s="2">
        <f t="shared" ca="1" si="67"/>
        <v>-44986.676271643519</v>
      </c>
      <c r="AF617" s="15"/>
    </row>
    <row r="618" spans="16:32">
      <c r="P618" s="12"/>
      <c r="U618" s="12"/>
      <c r="X618" s="13">
        <f t="shared" si="68"/>
        <v>0</v>
      </c>
      <c r="Y618" s="2">
        <f t="shared" ca="1" si="63"/>
        <v>32133</v>
      </c>
      <c r="Z618" s="14">
        <v>1</v>
      </c>
      <c r="AA618" s="1" t="str">
        <f t="shared" ca="1" si="64"/>
        <v>VENCIDO</v>
      </c>
      <c r="AB618" s="1" t="str">
        <f t="shared" si="65"/>
        <v>TAAe+</v>
      </c>
      <c r="AC618" s="2">
        <f t="shared" si="69"/>
        <v>0</v>
      </c>
      <c r="AD618" s="2">
        <f t="shared" si="66"/>
        <v>8</v>
      </c>
      <c r="AE618" s="2">
        <f t="shared" ca="1" si="67"/>
        <v>-44986.676271643519</v>
      </c>
      <c r="AF618" s="15"/>
    </row>
    <row r="619" spans="16:32">
      <c r="P619" s="12"/>
      <c r="U619" s="12"/>
      <c r="X619" s="13">
        <f t="shared" si="68"/>
        <v>0</v>
      </c>
      <c r="Y619" s="2">
        <f t="shared" ca="1" si="63"/>
        <v>32133</v>
      </c>
      <c r="Z619" s="14">
        <v>1</v>
      </c>
      <c r="AA619" s="1" t="str">
        <f t="shared" ca="1" si="64"/>
        <v>VENCIDO</v>
      </c>
      <c r="AB619" s="1" t="str">
        <f t="shared" si="65"/>
        <v>TAAe+</v>
      </c>
      <c r="AC619" s="2">
        <f t="shared" si="69"/>
        <v>0</v>
      </c>
      <c r="AD619" s="2">
        <f t="shared" si="66"/>
        <v>8</v>
      </c>
      <c r="AE619" s="2">
        <f t="shared" ca="1" si="67"/>
        <v>-44986.676271643519</v>
      </c>
      <c r="AF619" s="15"/>
    </row>
    <row r="620" spans="16:32">
      <c r="P620" s="12"/>
      <c r="U620" s="12"/>
      <c r="X620" s="13">
        <f t="shared" si="68"/>
        <v>0</v>
      </c>
      <c r="Y620" s="2">
        <f t="shared" ca="1" si="63"/>
        <v>32133</v>
      </c>
      <c r="Z620" s="14">
        <v>1</v>
      </c>
      <c r="AA620" s="1" t="str">
        <f t="shared" ca="1" si="64"/>
        <v>VENCIDO</v>
      </c>
      <c r="AB620" s="1" t="str">
        <f t="shared" si="65"/>
        <v>TAAe+</v>
      </c>
      <c r="AC620" s="2">
        <f t="shared" si="69"/>
        <v>0</v>
      </c>
      <c r="AD620" s="2">
        <f t="shared" si="66"/>
        <v>8</v>
      </c>
      <c r="AE620" s="2">
        <f t="shared" ca="1" si="67"/>
        <v>-44986.676271643519</v>
      </c>
      <c r="AF620" s="15"/>
    </row>
    <row r="621" spans="16:32">
      <c r="P621" s="12"/>
      <c r="U621" s="12"/>
      <c r="X621" s="13">
        <f t="shared" si="68"/>
        <v>0</v>
      </c>
      <c r="Y621" s="2">
        <f t="shared" ca="1" si="63"/>
        <v>32133</v>
      </c>
      <c r="Z621" s="14">
        <v>1</v>
      </c>
      <c r="AA621" s="1" t="str">
        <f t="shared" ca="1" si="64"/>
        <v>VENCIDO</v>
      </c>
      <c r="AB621" s="1" t="str">
        <f t="shared" si="65"/>
        <v>TAAe+</v>
      </c>
      <c r="AC621" s="2">
        <f t="shared" si="69"/>
        <v>0</v>
      </c>
      <c r="AD621" s="2">
        <f t="shared" si="66"/>
        <v>8</v>
      </c>
      <c r="AE621" s="2">
        <f t="shared" ca="1" si="67"/>
        <v>-44986.676271643519</v>
      </c>
      <c r="AF621" s="15"/>
    </row>
    <row r="622" spans="16:32">
      <c r="P622" s="12"/>
      <c r="U622" s="12"/>
      <c r="X622" s="13">
        <f t="shared" si="68"/>
        <v>0</v>
      </c>
      <c r="Y622" s="2">
        <f t="shared" ca="1" si="63"/>
        <v>32133</v>
      </c>
      <c r="Z622" s="14">
        <v>1</v>
      </c>
      <c r="AA622" s="1" t="str">
        <f t="shared" ca="1" si="64"/>
        <v>VENCIDO</v>
      </c>
      <c r="AB622" s="1" t="str">
        <f t="shared" si="65"/>
        <v>TAAe+</v>
      </c>
      <c r="AC622" s="2">
        <f t="shared" si="69"/>
        <v>0</v>
      </c>
      <c r="AD622" s="2">
        <f t="shared" si="66"/>
        <v>8</v>
      </c>
      <c r="AE622" s="2">
        <f t="shared" ca="1" si="67"/>
        <v>-44986.676271643519</v>
      </c>
      <c r="AF622" s="15"/>
    </row>
    <row r="623" spans="16:32">
      <c r="P623" s="12"/>
      <c r="U623" s="12"/>
      <c r="X623" s="13">
        <f t="shared" si="68"/>
        <v>0</v>
      </c>
      <c r="Y623" s="2">
        <f t="shared" ca="1" si="63"/>
        <v>32133</v>
      </c>
      <c r="Z623" s="14">
        <v>1</v>
      </c>
      <c r="AA623" s="1" t="str">
        <f t="shared" ca="1" si="64"/>
        <v>VENCIDO</v>
      </c>
      <c r="AB623" s="1" t="str">
        <f t="shared" si="65"/>
        <v>TAAe+</v>
      </c>
      <c r="AC623" s="2">
        <f t="shared" si="69"/>
        <v>0</v>
      </c>
      <c r="AD623" s="2">
        <f t="shared" si="66"/>
        <v>8</v>
      </c>
      <c r="AE623" s="2">
        <f t="shared" ca="1" si="67"/>
        <v>-44986.676271643519</v>
      </c>
      <c r="AF623" s="15"/>
    </row>
    <row r="624" spans="16:32">
      <c r="P624" s="12"/>
      <c r="U624" s="12"/>
      <c r="X624" s="13">
        <f t="shared" si="68"/>
        <v>0</v>
      </c>
      <c r="Y624" s="2">
        <f t="shared" ca="1" si="63"/>
        <v>32133</v>
      </c>
      <c r="Z624" s="14">
        <v>1</v>
      </c>
      <c r="AA624" s="1" t="str">
        <f t="shared" ca="1" si="64"/>
        <v>VENCIDO</v>
      </c>
      <c r="AB624" s="1" t="str">
        <f t="shared" si="65"/>
        <v>TAAe+</v>
      </c>
      <c r="AC624" s="2">
        <f t="shared" si="69"/>
        <v>0</v>
      </c>
      <c r="AD624" s="2">
        <f t="shared" si="66"/>
        <v>8</v>
      </c>
      <c r="AE624" s="2">
        <f t="shared" ca="1" si="67"/>
        <v>-44986.676271643519</v>
      </c>
      <c r="AF624" s="15"/>
    </row>
    <row r="625" spans="16:32">
      <c r="P625" s="12"/>
      <c r="U625" s="12"/>
      <c r="X625" s="13">
        <f t="shared" si="68"/>
        <v>0</v>
      </c>
      <c r="Y625" s="2">
        <f t="shared" ca="1" si="63"/>
        <v>32133</v>
      </c>
      <c r="Z625" s="14">
        <v>1</v>
      </c>
      <c r="AA625" s="1" t="str">
        <f t="shared" ca="1" si="64"/>
        <v>VENCIDO</v>
      </c>
      <c r="AB625" s="1" t="str">
        <f t="shared" si="65"/>
        <v>TAAe+</v>
      </c>
      <c r="AC625" s="2">
        <f t="shared" si="69"/>
        <v>0</v>
      </c>
      <c r="AD625" s="2">
        <f t="shared" si="66"/>
        <v>8</v>
      </c>
      <c r="AE625" s="2">
        <f t="shared" ca="1" si="67"/>
        <v>-44986.676271643519</v>
      </c>
      <c r="AF625" s="15"/>
    </row>
    <row r="626" spans="16:32">
      <c r="P626" s="12"/>
      <c r="U626" s="12"/>
      <c r="X626" s="13">
        <f t="shared" si="68"/>
        <v>0</v>
      </c>
      <c r="Y626" s="2">
        <f t="shared" ca="1" si="63"/>
        <v>32133</v>
      </c>
      <c r="Z626" s="14">
        <v>1</v>
      </c>
      <c r="AA626" s="1" t="str">
        <f t="shared" ca="1" si="64"/>
        <v>VENCIDO</v>
      </c>
      <c r="AB626" s="1" t="str">
        <f t="shared" si="65"/>
        <v>TAAe+</v>
      </c>
      <c r="AC626" s="2">
        <f t="shared" si="69"/>
        <v>0</v>
      </c>
      <c r="AD626" s="2">
        <f t="shared" si="66"/>
        <v>8</v>
      </c>
      <c r="AE626" s="2">
        <f t="shared" ca="1" si="67"/>
        <v>-44986.676271643519</v>
      </c>
      <c r="AF626" s="15"/>
    </row>
    <row r="627" spans="16:32">
      <c r="P627" s="12"/>
      <c r="U627" s="12"/>
      <c r="X627" s="13">
        <f t="shared" si="68"/>
        <v>0</v>
      </c>
      <c r="Y627" s="2">
        <f t="shared" ca="1" si="63"/>
        <v>32133</v>
      </c>
      <c r="Z627" s="14">
        <v>1</v>
      </c>
      <c r="AA627" s="1" t="str">
        <f t="shared" ca="1" si="64"/>
        <v>VENCIDO</v>
      </c>
      <c r="AB627" s="1" t="str">
        <f t="shared" si="65"/>
        <v>TAAe+</v>
      </c>
      <c r="AC627" s="2">
        <f t="shared" si="69"/>
        <v>0</v>
      </c>
      <c r="AD627" s="2">
        <f t="shared" si="66"/>
        <v>8</v>
      </c>
      <c r="AE627" s="2">
        <f t="shared" ca="1" si="67"/>
        <v>-44986.676271643519</v>
      </c>
      <c r="AF627" s="15"/>
    </row>
    <row r="628" spans="16:32">
      <c r="P628" s="12"/>
      <c r="U628" s="12"/>
      <c r="X628" s="13">
        <f t="shared" si="68"/>
        <v>0</v>
      </c>
      <c r="Y628" s="2">
        <f t="shared" ca="1" si="63"/>
        <v>32133</v>
      </c>
      <c r="Z628" s="14">
        <v>1</v>
      </c>
      <c r="AA628" s="1" t="str">
        <f t="shared" ca="1" si="64"/>
        <v>VENCIDO</v>
      </c>
      <c r="AB628" s="1" t="str">
        <f t="shared" si="65"/>
        <v>TAAe+</v>
      </c>
      <c r="AC628" s="2">
        <f t="shared" si="69"/>
        <v>0</v>
      </c>
      <c r="AD628" s="2">
        <f t="shared" si="66"/>
        <v>8</v>
      </c>
      <c r="AE628" s="2">
        <f t="shared" ca="1" si="67"/>
        <v>-44986.676271643519</v>
      </c>
      <c r="AF628" s="15"/>
    </row>
    <row r="629" spans="16:32">
      <c r="P629" s="12"/>
      <c r="U629" s="12"/>
      <c r="X629" s="13">
        <f t="shared" si="68"/>
        <v>0</v>
      </c>
      <c r="Y629" s="2">
        <f t="shared" ca="1" si="63"/>
        <v>32133</v>
      </c>
      <c r="Z629" s="14">
        <v>1</v>
      </c>
      <c r="AA629" s="1" t="str">
        <f t="shared" ca="1" si="64"/>
        <v>VENCIDO</v>
      </c>
      <c r="AB629" s="1" t="str">
        <f t="shared" si="65"/>
        <v>TAAe+</v>
      </c>
      <c r="AC629" s="2">
        <f t="shared" si="69"/>
        <v>0</v>
      </c>
      <c r="AD629" s="2">
        <f t="shared" si="66"/>
        <v>8</v>
      </c>
      <c r="AE629" s="2">
        <f t="shared" ca="1" si="67"/>
        <v>-44986.676271643519</v>
      </c>
      <c r="AF629" s="15"/>
    </row>
    <row r="630" spans="16:32">
      <c r="P630" s="12"/>
      <c r="U630" s="12"/>
      <c r="X630" s="13">
        <f t="shared" si="68"/>
        <v>0</v>
      </c>
      <c r="Y630" s="2">
        <f t="shared" ca="1" si="63"/>
        <v>32133</v>
      </c>
      <c r="Z630" s="14">
        <v>1</v>
      </c>
      <c r="AA630" s="1" t="str">
        <f t="shared" ca="1" si="64"/>
        <v>VENCIDO</v>
      </c>
      <c r="AB630" s="1" t="str">
        <f t="shared" si="65"/>
        <v>TAAe+</v>
      </c>
      <c r="AC630" s="2">
        <f t="shared" si="69"/>
        <v>0</v>
      </c>
      <c r="AD630" s="2">
        <f t="shared" si="66"/>
        <v>8</v>
      </c>
      <c r="AE630" s="2">
        <f t="shared" ca="1" si="67"/>
        <v>-44986.676271643519</v>
      </c>
      <c r="AF630" s="15"/>
    </row>
    <row r="631" spans="16:32">
      <c r="P631" s="12"/>
      <c r="U631" s="12"/>
      <c r="X631" s="13">
        <f t="shared" si="68"/>
        <v>0</v>
      </c>
      <c r="Y631" s="2">
        <f t="shared" ca="1" si="63"/>
        <v>32133</v>
      </c>
      <c r="Z631" s="14">
        <v>1</v>
      </c>
      <c r="AA631" s="1" t="str">
        <f t="shared" ca="1" si="64"/>
        <v>VENCIDO</v>
      </c>
      <c r="AB631" s="1" t="str">
        <f t="shared" si="65"/>
        <v>TAAe+</v>
      </c>
      <c r="AC631" s="2">
        <f t="shared" si="69"/>
        <v>0</v>
      </c>
      <c r="AD631" s="2">
        <f t="shared" si="66"/>
        <v>8</v>
      </c>
      <c r="AE631" s="2">
        <f t="shared" ca="1" si="67"/>
        <v>-44986.676271643519</v>
      </c>
      <c r="AF631" s="15"/>
    </row>
    <row r="632" spans="16:32">
      <c r="P632" s="12"/>
      <c r="U632" s="12"/>
      <c r="X632" s="13">
        <f t="shared" si="68"/>
        <v>0</v>
      </c>
      <c r="Y632" s="2">
        <f t="shared" ca="1" si="63"/>
        <v>32133</v>
      </c>
      <c r="Z632" s="14">
        <v>1</v>
      </c>
      <c r="AA632" s="1" t="str">
        <f t="shared" ca="1" si="64"/>
        <v>VENCIDO</v>
      </c>
      <c r="AB632" s="1" t="str">
        <f t="shared" si="65"/>
        <v>TAAe+</v>
      </c>
      <c r="AC632" s="2">
        <f t="shared" si="69"/>
        <v>0</v>
      </c>
      <c r="AD632" s="2">
        <f t="shared" si="66"/>
        <v>8</v>
      </c>
      <c r="AE632" s="2">
        <f t="shared" ca="1" si="67"/>
        <v>-44986.676271643519</v>
      </c>
      <c r="AF632" s="15"/>
    </row>
    <row r="633" spans="16:32">
      <c r="P633" s="12"/>
      <c r="U633" s="12"/>
      <c r="X633" s="13">
        <f t="shared" si="68"/>
        <v>0</v>
      </c>
      <c r="Y633" s="2">
        <f t="shared" ca="1" si="63"/>
        <v>32133</v>
      </c>
      <c r="Z633" s="14">
        <v>1</v>
      </c>
      <c r="AA633" s="1" t="str">
        <f t="shared" ca="1" si="64"/>
        <v>VENCIDO</v>
      </c>
      <c r="AB633" s="1" t="str">
        <f t="shared" si="65"/>
        <v>TAAe+</v>
      </c>
      <c r="AC633" s="2">
        <f t="shared" si="69"/>
        <v>0</v>
      </c>
      <c r="AD633" s="2">
        <f t="shared" si="66"/>
        <v>8</v>
      </c>
      <c r="AE633" s="2">
        <f t="shared" ca="1" si="67"/>
        <v>-44986.676271643519</v>
      </c>
      <c r="AF633" s="15"/>
    </row>
    <row r="634" spans="16:32">
      <c r="P634" s="12"/>
      <c r="U634" s="12"/>
      <c r="X634" s="13">
        <f t="shared" si="68"/>
        <v>0</v>
      </c>
      <c r="Y634" s="2">
        <f t="shared" ca="1" si="63"/>
        <v>32133</v>
      </c>
      <c r="Z634" s="14">
        <v>1</v>
      </c>
      <c r="AA634" s="1" t="str">
        <f t="shared" ca="1" si="64"/>
        <v>VENCIDO</v>
      </c>
      <c r="AB634" s="1" t="str">
        <f t="shared" si="65"/>
        <v>TAAe+</v>
      </c>
      <c r="AC634" s="2">
        <f t="shared" si="69"/>
        <v>0</v>
      </c>
      <c r="AD634" s="2">
        <f t="shared" si="66"/>
        <v>8</v>
      </c>
      <c r="AE634" s="2">
        <f t="shared" ca="1" si="67"/>
        <v>-44986.676271643519</v>
      </c>
      <c r="AF634" s="15"/>
    </row>
    <row r="635" spans="16:32">
      <c r="P635" s="12"/>
      <c r="U635" s="12"/>
      <c r="X635" s="13">
        <f t="shared" si="68"/>
        <v>0</v>
      </c>
      <c r="Y635" s="2">
        <f t="shared" ca="1" si="63"/>
        <v>32133</v>
      </c>
      <c r="Z635" s="14">
        <v>1</v>
      </c>
      <c r="AA635" s="1" t="str">
        <f t="shared" ca="1" si="64"/>
        <v>VENCIDO</v>
      </c>
      <c r="AB635" s="1" t="str">
        <f t="shared" si="65"/>
        <v>TAAe+</v>
      </c>
      <c r="AC635" s="2">
        <f t="shared" si="69"/>
        <v>0</v>
      </c>
      <c r="AD635" s="2">
        <f t="shared" si="66"/>
        <v>8</v>
      </c>
      <c r="AE635" s="2">
        <f t="shared" ca="1" si="67"/>
        <v>-44986.676271643519</v>
      </c>
      <c r="AF635" s="15"/>
    </row>
    <row r="636" spans="16:32">
      <c r="P636" s="12"/>
      <c r="U636" s="12"/>
      <c r="X636" s="13">
        <f t="shared" si="68"/>
        <v>0</v>
      </c>
      <c r="Y636" s="2">
        <f t="shared" ca="1" si="63"/>
        <v>32133</v>
      </c>
      <c r="Z636" s="14">
        <v>1</v>
      </c>
      <c r="AA636" s="1" t="str">
        <f t="shared" ca="1" si="64"/>
        <v>VENCIDO</v>
      </c>
      <c r="AB636" s="1" t="str">
        <f t="shared" si="65"/>
        <v>TAAe+</v>
      </c>
      <c r="AC636" s="2">
        <f t="shared" si="69"/>
        <v>0</v>
      </c>
      <c r="AD636" s="2">
        <f t="shared" si="66"/>
        <v>8</v>
      </c>
      <c r="AE636" s="2">
        <f t="shared" ca="1" si="67"/>
        <v>-44986.676271643519</v>
      </c>
      <c r="AF636" s="15"/>
    </row>
    <row r="637" spans="16:32">
      <c r="P637" s="12"/>
      <c r="U637" s="12"/>
      <c r="X637" s="13">
        <f t="shared" si="68"/>
        <v>0</v>
      </c>
      <c r="Y637" s="2">
        <f t="shared" ca="1" si="63"/>
        <v>32133</v>
      </c>
      <c r="Z637" s="14">
        <v>1</v>
      </c>
      <c r="AA637" s="1" t="str">
        <f t="shared" ca="1" si="64"/>
        <v>VENCIDO</v>
      </c>
      <c r="AB637" s="1" t="str">
        <f t="shared" si="65"/>
        <v>TAAe+</v>
      </c>
      <c r="AC637" s="2">
        <f t="shared" si="69"/>
        <v>0</v>
      </c>
      <c r="AD637" s="2">
        <f t="shared" si="66"/>
        <v>8</v>
      </c>
      <c r="AE637" s="2">
        <f t="shared" ca="1" si="67"/>
        <v>-44986.676271643519</v>
      </c>
      <c r="AF637" s="15"/>
    </row>
    <row r="638" spans="16:32">
      <c r="P638" s="12"/>
      <c r="U638" s="12"/>
      <c r="X638" s="13">
        <f t="shared" si="68"/>
        <v>0</v>
      </c>
      <c r="Y638" s="2">
        <f t="shared" ca="1" si="63"/>
        <v>32133</v>
      </c>
      <c r="Z638" s="14">
        <v>1</v>
      </c>
      <c r="AA638" s="1" t="str">
        <f t="shared" ca="1" si="64"/>
        <v>VENCIDO</v>
      </c>
      <c r="AB638" s="1" t="str">
        <f t="shared" si="65"/>
        <v>TAAe+</v>
      </c>
      <c r="AC638" s="2">
        <f t="shared" si="69"/>
        <v>0</v>
      </c>
      <c r="AD638" s="2">
        <f t="shared" si="66"/>
        <v>8</v>
      </c>
      <c r="AE638" s="2">
        <f t="shared" ca="1" si="67"/>
        <v>-44986.676271643519</v>
      </c>
      <c r="AF638" s="15"/>
    </row>
    <row r="639" spans="16:32">
      <c r="P639" s="12"/>
      <c r="U639" s="12"/>
      <c r="X639" s="13">
        <f t="shared" si="68"/>
        <v>0</v>
      </c>
      <c r="Y639" s="2">
        <f t="shared" ca="1" si="63"/>
        <v>32133</v>
      </c>
      <c r="Z639" s="14">
        <v>1</v>
      </c>
      <c r="AA639" s="1" t="str">
        <f t="shared" ca="1" si="64"/>
        <v>VENCIDO</v>
      </c>
      <c r="AB639" s="1" t="str">
        <f t="shared" si="65"/>
        <v>TAAe+</v>
      </c>
      <c r="AC639" s="2">
        <f t="shared" si="69"/>
        <v>0</v>
      </c>
      <c r="AD639" s="2">
        <f t="shared" si="66"/>
        <v>8</v>
      </c>
      <c r="AE639" s="2">
        <f t="shared" ca="1" si="67"/>
        <v>-44986.676271643519</v>
      </c>
      <c r="AF639" s="15"/>
    </row>
    <row r="640" spans="16:32">
      <c r="P640" s="12"/>
      <c r="U640" s="12"/>
      <c r="X640" s="13">
        <f t="shared" si="68"/>
        <v>0</v>
      </c>
      <c r="Y640" s="2">
        <f t="shared" ca="1" si="63"/>
        <v>32133</v>
      </c>
      <c r="Z640" s="14">
        <v>1</v>
      </c>
      <c r="AA640" s="1" t="str">
        <f t="shared" ca="1" si="64"/>
        <v>VENCIDO</v>
      </c>
      <c r="AB640" s="1" t="str">
        <f t="shared" si="65"/>
        <v>TAAe+</v>
      </c>
      <c r="AC640" s="2">
        <f t="shared" si="69"/>
        <v>0</v>
      </c>
      <c r="AD640" s="2">
        <f t="shared" si="66"/>
        <v>8</v>
      </c>
      <c r="AE640" s="2">
        <f t="shared" ca="1" si="67"/>
        <v>-44986.676271643519</v>
      </c>
      <c r="AF640" s="15"/>
    </row>
    <row r="641" spans="16:32">
      <c r="P641" s="12"/>
      <c r="U641" s="12"/>
      <c r="X641" s="13">
        <f t="shared" si="68"/>
        <v>0</v>
      </c>
      <c r="Y641" s="2">
        <f t="shared" ca="1" si="63"/>
        <v>32133</v>
      </c>
      <c r="Z641" s="14">
        <v>1</v>
      </c>
      <c r="AA641" s="1" t="str">
        <f t="shared" ca="1" si="64"/>
        <v>VENCIDO</v>
      </c>
      <c r="AB641" s="1" t="str">
        <f t="shared" si="65"/>
        <v>TAAe+</v>
      </c>
      <c r="AC641" s="2">
        <f t="shared" si="69"/>
        <v>0</v>
      </c>
      <c r="AD641" s="2">
        <f t="shared" si="66"/>
        <v>8</v>
      </c>
      <c r="AE641" s="2">
        <f t="shared" ca="1" si="67"/>
        <v>-44986.676271643519</v>
      </c>
      <c r="AF641" s="15"/>
    </row>
    <row r="642" spans="16:32">
      <c r="P642" s="12"/>
      <c r="U642" s="12"/>
      <c r="X642" s="13">
        <f t="shared" si="68"/>
        <v>0</v>
      </c>
      <c r="Y642" s="2">
        <f t="shared" ref="Y642:Y699" ca="1" si="70">NETWORKDAYS(P642,$Y$1)</f>
        <v>32133</v>
      </c>
      <c r="Z642" s="14">
        <v>1</v>
      </c>
      <c r="AA642" s="1" t="str">
        <f t="shared" ref="AA642:AA699" ca="1" si="71">IF(AE642=0,"HOJE",IF(AE642&gt;0,"A VENCER",IF(AE642&lt;0,"VENCIDO")))</f>
        <v>VENCIDO</v>
      </c>
      <c r="AB642" s="1" t="str">
        <f t="shared" ref="AB642:AB699" si="72">IF(F642="GRPE-000001","C-14",IF(F642="GRPE-000002","C-14",IF(F642="GRPE-000003","C-14",IF(F642="GRPE-000004","SL-On",IF(F642="GRPE-000038","C-14",IF(F642="GRPE-900022","Dosa",IF(F642="GRPE-000029","Dosa",IF(F642="ATOS-000222","Dose","TAAe+"))))))))</f>
        <v>TAAe+</v>
      </c>
      <c r="AC642" s="2">
        <f t="shared" si="69"/>
        <v>0</v>
      </c>
      <c r="AD642" s="2">
        <f t="shared" ref="AD642:AD699" si="73">IF(F642="GRPE-000001",5,IF(F642="GRPE-000002",5,IF(F642="GRPE-000003",15,IF(F642="GRPE-000004",1,IF(F642="GRPE-000038",5,IF(F642="GRPE-900022",5,IF(F642="GRPE-000029",5,IF(F642="ATOS-000222",5,8))))))))</f>
        <v>8</v>
      </c>
      <c r="AE642" s="2">
        <f t="shared" ref="AE642:AE699" ca="1" si="74">IF(U642=$AE$1,"",U642-$AE$1)</f>
        <v>-44986.676271643519</v>
      </c>
      <c r="AF642" s="15"/>
    </row>
    <row r="643" spans="16:32">
      <c r="P643" s="12"/>
      <c r="U643" s="12"/>
      <c r="X643" s="13">
        <f t="shared" ref="X643:X700" si="75">IF(RIGHT(H643,2)&lt;&gt;"00",H643,"")</f>
        <v>0</v>
      </c>
      <c r="Y643" s="2">
        <f t="shared" ca="1" si="70"/>
        <v>32133</v>
      </c>
      <c r="Z643" s="14">
        <v>1</v>
      </c>
      <c r="AA643" s="1" t="str">
        <f t="shared" ca="1" si="71"/>
        <v>VENCIDO</v>
      </c>
      <c r="AB643" s="1" t="str">
        <f t="shared" si="72"/>
        <v>TAAe+</v>
      </c>
      <c r="AC643" s="2">
        <f t="shared" ref="AC643:AC699" si="76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>0</v>
      </c>
      <c r="AD643" s="2">
        <f t="shared" si="73"/>
        <v>8</v>
      </c>
      <c r="AE643" s="2">
        <f t="shared" ca="1" si="74"/>
        <v>-44986.676271643519</v>
      </c>
      <c r="AF643" s="15"/>
    </row>
    <row r="644" spans="16:32">
      <c r="P644" s="12"/>
      <c r="U644" s="12"/>
      <c r="X644" s="13">
        <f t="shared" si="75"/>
        <v>0</v>
      </c>
      <c r="Y644" s="2">
        <f t="shared" ca="1" si="70"/>
        <v>32133</v>
      </c>
      <c r="Z644" s="14">
        <v>1</v>
      </c>
      <c r="AA644" s="1" t="str">
        <f t="shared" ca="1" si="71"/>
        <v>VENCIDO</v>
      </c>
      <c r="AB644" s="1" t="str">
        <f t="shared" si="72"/>
        <v>TAAe+</v>
      </c>
      <c r="AC644" s="2">
        <f t="shared" si="76"/>
        <v>0</v>
      </c>
      <c r="AD644" s="2">
        <f t="shared" si="73"/>
        <v>8</v>
      </c>
      <c r="AE644" s="2">
        <f t="shared" ca="1" si="74"/>
        <v>-44986.676271643519</v>
      </c>
      <c r="AF644" s="15"/>
    </row>
    <row r="645" spans="16:32">
      <c r="P645" s="12"/>
      <c r="U645" s="12"/>
      <c r="X645" s="13">
        <f t="shared" si="75"/>
        <v>0</v>
      </c>
      <c r="Y645" s="2">
        <f t="shared" ca="1" si="70"/>
        <v>32133</v>
      </c>
      <c r="Z645" s="14">
        <v>1</v>
      </c>
      <c r="AA645" s="1" t="str">
        <f t="shared" ca="1" si="71"/>
        <v>VENCIDO</v>
      </c>
      <c r="AB645" s="1" t="str">
        <f t="shared" si="72"/>
        <v>TAAe+</v>
      </c>
      <c r="AC645" s="2">
        <f t="shared" si="76"/>
        <v>0</v>
      </c>
      <c r="AD645" s="2">
        <f t="shared" si="73"/>
        <v>8</v>
      </c>
      <c r="AE645" s="2">
        <f t="shared" ca="1" si="74"/>
        <v>-44986.676271643519</v>
      </c>
      <c r="AF645" s="15"/>
    </row>
    <row r="646" spans="16:32">
      <c r="P646" s="12"/>
      <c r="U646" s="12"/>
      <c r="X646" s="13">
        <f t="shared" si="75"/>
        <v>0</v>
      </c>
      <c r="Y646" s="2">
        <f t="shared" ca="1" si="70"/>
        <v>32133</v>
      </c>
      <c r="Z646" s="14">
        <v>1</v>
      </c>
      <c r="AA646" s="1" t="str">
        <f t="shared" ca="1" si="71"/>
        <v>VENCIDO</v>
      </c>
      <c r="AB646" s="1" t="str">
        <f t="shared" si="72"/>
        <v>TAAe+</v>
      </c>
      <c r="AC646" s="2">
        <f t="shared" si="76"/>
        <v>0</v>
      </c>
      <c r="AD646" s="2">
        <f t="shared" si="73"/>
        <v>8</v>
      </c>
      <c r="AE646" s="2">
        <f t="shared" ca="1" si="74"/>
        <v>-44986.676271643519</v>
      </c>
      <c r="AF646" s="15"/>
    </row>
    <row r="647" spans="16:32">
      <c r="P647" s="12"/>
      <c r="U647" s="12"/>
      <c r="X647" s="13">
        <f t="shared" si="75"/>
        <v>0</v>
      </c>
      <c r="Y647" s="2">
        <f t="shared" ca="1" si="70"/>
        <v>32133</v>
      </c>
      <c r="Z647" s="14">
        <v>1</v>
      </c>
      <c r="AA647" s="1" t="str">
        <f t="shared" ca="1" si="71"/>
        <v>VENCIDO</v>
      </c>
      <c r="AB647" s="1" t="str">
        <f t="shared" si="72"/>
        <v>TAAe+</v>
      </c>
      <c r="AC647" s="2">
        <f t="shared" si="76"/>
        <v>0</v>
      </c>
      <c r="AD647" s="2">
        <f t="shared" si="73"/>
        <v>8</v>
      </c>
      <c r="AE647" s="2">
        <f t="shared" ca="1" si="74"/>
        <v>-44986.676271643519</v>
      </c>
      <c r="AF647" s="15"/>
    </row>
    <row r="648" spans="16:32">
      <c r="P648" s="12"/>
      <c r="U648" s="12"/>
      <c r="X648" s="13">
        <f t="shared" si="75"/>
        <v>0</v>
      </c>
      <c r="Y648" s="2">
        <f t="shared" ca="1" si="70"/>
        <v>32133</v>
      </c>
      <c r="Z648" s="14">
        <v>1</v>
      </c>
      <c r="AA648" s="1" t="str">
        <f t="shared" ca="1" si="71"/>
        <v>VENCIDO</v>
      </c>
      <c r="AB648" s="1" t="str">
        <f t="shared" si="72"/>
        <v>TAAe+</v>
      </c>
      <c r="AC648" s="2">
        <f t="shared" si="76"/>
        <v>0</v>
      </c>
      <c r="AD648" s="2">
        <f t="shared" si="73"/>
        <v>8</v>
      </c>
      <c r="AE648" s="2">
        <f t="shared" ca="1" si="74"/>
        <v>-44986.676271643519</v>
      </c>
      <c r="AF648" s="15"/>
    </row>
    <row r="649" spans="16:32">
      <c r="P649" s="12"/>
      <c r="U649" s="12"/>
      <c r="X649" s="13">
        <f t="shared" si="75"/>
        <v>0</v>
      </c>
      <c r="Y649" s="2">
        <f t="shared" ca="1" si="70"/>
        <v>32133</v>
      </c>
      <c r="Z649" s="14">
        <v>1</v>
      </c>
      <c r="AA649" s="1" t="str">
        <f t="shared" ca="1" si="71"/>
        <v>VENCIDO</v>
      </c>
      <c r="AB649" s="1" t="str">
        <f t="shared" si="72"/>
        <v>TAAe+</v>
      </c>
      <c r="AC649" s="2">
        <f t="shared" si="76"/>
        <v>0</v>
      </c>
      <c r="AD649" s="2">
        <f t="shared" si="73"/>
        <v>8</v>
      </c>
      <c r="AE649" s="2">
        <f t="shared" ca="1" si="74"/>
        <v>-44986.676271643519</v>
      </c>
      <c r="AF649" s="15"/>
    </row>
    <row r="650" spans="16:32">
      <c r="P650" s="12"/>
      <c r="U650" s="12"/>
      <c r="X650" s="13">
        <f t="shared" si="75"/>
        <v>0</v>
      </c>
      <c r="Y650" s="2">
        <f t="shared" ca="1" si="70"/>
        <v>32133</v>
      </c>
      <c r="Z650" s="14">
        <v>1</v>
      </c>
      <c r="AA650" s="1" t="str">
        <f t="shared" ca="1" si="71"/>
        <v>VENCIDO</v>
      </c>
      <c r="AB650" s="1" t="str">
        <f t="shared" si="72"/>
        <v>TAAe+</v>
      </c>
      <c r="AC650" s="2">
        <f t="shared" si="76"/>
        <v>0</v>
      </c>
      <c r="AD650" s="2">
        <f t="shared" si="73"/>
        <v>8</v>
      </c>
      <c r="AE650" s="2">
        <f t="shared" ca="1" si="74"/>
        <v>-44986.676271643519</v>
      </c>
      <c r="AF650" s="15"/>
    </row>
    <row r="651" spans="16:32">
      <c r="P651" s="12"/>
      <c r="U651" s="12"/>
      <c r="X651" s="13">
        <f t="shared" si="75"/>
        <v>0</v>
      </c>
      <c r="Y651" s="2">
        <f t="shared" ca="1" si="70"/>
        <v>32133</v>
      </c>
      <c r="Z651" s="14">
        <v>1</v>
      </c>
      <c r="AA651" s="1" t="str">
        <f t="shared" ca="1" si="71"/>
        <v>VENCIDO</v>
      </c>
      <c r="AB651" s="1" t="str">
        <f t="shared" si="72"/>
        <v>TAAe+</v>
      </c>
      <c r="AC651" s="2">
        <f t="shared" si="76"/>
        <v>0</v>
      </c>
      <c r="AD651" s="2">
        <f t="shared" si="73"/>
        <v>8</v>
      </c>
      <c r="AE651" s="2">
        <f t="shared" ca="1" si="74"/>
        <v>-44986.676271643519</v>
      </c>
      <c r="AF651" s="15"/>
    </row>
    <row r="652" spans="16:32">
      <c r="P652" s="12"/>
      <c r="U652" s="12"/>
      <c r="X652" s="13">
        <f t="shared" si="75"/>
        <v>0</v>
      </c>
      <c r="Y652" s="2">
        <f t="shared" ca="1" si="70"/>
        <v>32133</v>
      </c>
      <c r="Z652" s="14">
        <v>1</v>
      </c>
      <c r="AA652" s="1" t="str">
        <f t="shared" ca="1" si="71"/>
        <v>VENCIDO</v>
      </c>
      <c r="AB652" s="1" t="str">
        <f t="shared" si="72"/>
        <v>TAAe+</v>
      </c>
      <c r="AC652" s="2">
        <f t="shared" si="76"/>
        <v>0</v>
      </c>
      <c r="AD652" s="2">
        <f t="shared" si="73"/>
        <v>8</v>
      </c>
      <c r="AE652" s="2">
        <f t="shared" ca="1" si="74"/>
        <v>-44986.676271643519</v>
      </c>
      <c r="AF652" s="15"/>
    </row>
    <row r="653" spans="16:32">
      <c r="P653" s="12"/>
      <c r="U653" s="12"/>
      <c r="X653" s="13">
        <f t="shared" si="75"/>
        <v>0</v>
      </c>
      <c r="Y653" s="2">
        <f t="shared" ca="1" si="70"/>
        <v>32133</v>
      </c>
      <c r="Z653" s="14">
        <v>1</v>
      </c>
      <c r="AA653" s="1" t="str">
        <f t="shared" ca="1" si="71"/>
        <v>VENCIDO</v>
      </c>
      <c r="AB653" s="1" t="str">
        <f t="shared" si="72"/>
        <v>TAAe+</v>
      </c>
      <c r="AC653" s="2">
        <f t="shared" si="76"/>
        <v>0</v>
      </c>
      <c r="AD653" s="2">
        <f t="shared" si="73"/>
        <v>8</v>
      </c>
      <c r="AE653" s="2">
        <f t="shared" ca="1" si="74"/>
        <v>-44986.676271643519</v>
      </c>
      <c r="AF653" s="15"/>
    </row>
    <row r="654" spans="16:32">
      <c r="P654" s="12"/>
      <c r="U654" s="12"/>
      <c r="X654" s="13">
        <f t="shared" si="75"/>
        <v>0</v>
      </c>
      <c r="Y654" s="2">
        <f t="shared" ca="1" si="70"/>
        <v>32133</v>
      </c>
      <c r="Z654" s="14">
        <v>1</v>
      </c>
      <c r="AA654" s="1" t="str">
        <f t="shared" ca="1" si="71"/>
        <v>VENCIDO</v>
      </c>
      <c r="AB654" s="1" t="str">
        <f t="shared" si="72"/>
        <v>TAAe+</v>
      </c>
      <c r="AC654" s="2">
        <f t="shared" si="76"/>
        <v>0</v>
      </c>
      <c r="AD654" s="2">
        <f t="shared" si="73"/>
        <v>8</v>
      </c>
      <c r="AE654" s="2">
        <f t="shared" ca="1" si="74"/>
        <v>-44986.676271643519</v>
      </c>
      <c r="AF654" s="15"/>
    </row>
    <row r="655" spans="16:32">
      <c r="P655" s="12"/>
      <c r="U655" s="12"/>
      <c r="X655" s="13">
        <f t="shared" si="75"/>
        <v>0</v>
      </c>
      <c r="Y655" s="2">
        <f t="shared" ca="1" si="70"/>
        <v>32133</v>
      </c>
      <c r="Z655" s="14">
        <v>1</v>
      </c>
      <c r="AA655" s="1" t="str">
        <f t="shared" ca="1" si="71"/>
        <v>VENCIDO</v>
      </c>
      <c r="AB655" s="1" t="str">
        <f t="shared" si="72"/>
        <v>TAAe+</v>
      </c>
      <c r="AC655" s="2">
        <f t="shared" si="76"/>
        <v>0</v>
      </c>
      <c r="AD655" s="2">
        <f t="shared" si="73"/>
        <v>8</v>
      </c>
      <c r="AE655" s="2">
        <f t="shared" ca="1" si="74"/>
        <v>-44986.676271643519</v>
      </c>
      <c r="AF655" s="15"/>
    </row>
    <row r="656" spans="16:32">
      <c r="P656" s="12"/>
      <c r="U656" s="12"/>
      <c r="X656" s="13">
        <f t="shared" si="75"/>
        <v>0</v>
      </c>
      <c r="Y656" s="2">
        <f t="shared" ca="1" si="70"/>
        <v>32133</v>
      </c>
      <c r="Z656" s="14">
        <v>1</v>
      </c>
      <c r="AA656" s="1" t="str">
        <f t="shared" ca="1" si="71"/>
        <v>VENCIDO</v>
      </c>
      <c r="AB656" s="1" t="str">
        <f t="shared" si="72"/>
        <v>TAAe+</v>
      </c>
      <c r="AC656" s="2">
        <f t="shared" si="76"/>
        <v>0</v>
      </c>
      <c r="AD656" s="2">
        <f t="shared" si="73"/>
        <v>8</v>
      </c>
      <c r="AE656" s="2">
        <f t="shared" ca="1" si="74"/>
        <v>-44986.676271643519</v>
      </c>
      <c r="AF656" s="15"/>
    </row>
    <row r="657" spans="16:32">
      <c r="P657" s="12"/>
      <c r="U657" s="12"/>
      <c r="X657" s="13">
        <f t="shared" si="75"/>
        <v>0</v>
      </c>
      <c r="Y657" s="2">
        <f t="shared" ca="1" si="70"/>
        <v>32133</v>
      </c>
      <c r="Z657" s="14">
        <v>1</v>
      </c>
      <c r="AA657" s="1" t="str">
        <f t="shared" ca="1" si="71"/>
        <v>VENCIDO</v>
      </c>
      <c r="AB657" s="1" t="str">
        <f t="shared" si="72"/>
        <v>TAAe+</v>
      </c>
      <c r="AC657" s="2">
        <f t="shared" si="76"/>
        <v>0</v>
      </c>
      <c r="AD657" s="2">
        <f t="shared" si="73"/>
        <v>8</v>
      </c>
      <c r="AE657" s="2">
        <f t="shared" ca="1" si="74"/>
        <v>-44986.676271643519</v>
      </c>
      <c r="AF657" s="15"/>
    </row>
    <row r="658" spans="16:32">
      <c r="P658" s="12"/>
      <c r="U658" s="12"/>
      <c r="X658" s="13">
        <f t="shared" si="75"/>
        <v>0</v>
      </c>
      <c r="Y658" s="2">
        <f t="shared" ca="1" si="70"/>
        <v>32133</v>
      </c>
      <c r="Z658" s="14">
        <v>1</v>
      </c>
      <c r="AA658" s="1" t="str">
        <f t="shared" ca="1" si="71"/>
        <v>VENCIDO</v>
      </c>
      <c r="AB658" s="1" t="str">
        <f t="shared" si="72"/>
        <v>TAAe+</v>
      </c>
      <c r="AC658" s="2">
        <f t="shared" si="76"/>
        <v>0</v>
      </c>
      <c r="AD658" s="2">
        <f t="shared" si="73"/>
        <v>8</v>
      </c>
      <c r="AE658" s="2">
        <f t="shared" ca="1" si="74"/>
        <v>-44986.676271643519</v>
      </c>
      <c r="AF658" s="15"/>
    </row>
    <row r="659" spans="16:32">
      <c r="P659" s="12"/>
      <c r="U659" s="12"/>
      <c r="X659" s="13">
        <f t="shared" si="75"/>
        <v>0</v>
      </c>
      <c r="Y659" s="2">
        <f t="shared" ca="1" si="70"/>
        <v>32133</v>
      </c>
      <c r="Z659" s="14">
        <v>1</v>
      </c>
      <c r="AA659" s="1" t="str">
        <f t="shared" ca="1" si="71"/>
        <v>VENCIDO</v>
      </c>
      <c r="AB659" s="1" t="str">
        <f t="shared" si="72"/>
        <v>TAAe+</v>
      </c>
      <c r="AC659" s="2">
        <f t="shared" si="76"/>
        <v>0</v>
      </c>
      <c r="AD659" s="2">
        <f t="shared" si="73"/>
        <v>8</v>
      </c>
      <c r="AE659" s="2">
        <f t="shared" ca="1" si="74"/>
        <v>-44986.676271643519</v>
      </c>
      <c r="AF659" s="15"/>
    </row>
    <row r="660" spans="16:32">
      <c r="P660" s="12"/>
      <c r="U660" s="12"/>
      <c r="X660" s="13">
        <f t="shared" si="75"/>
        <v>0</v>
      </c>
      <c r="Y660" s="2">
        <f t="shared" ca="1" si="70"/>
        <v>32133</v>
      </c>
      <c r="Z660" s="14">
        <v>1</v>
      </c>
      <c r="AA660" s="1" t="str">
        <f t="shared" ca="1" si="71"/>
        <v>VENCIDO</v>
      </c>
      <c r="AB660" s="1" t="str">
        <f t="shared" si="72"/>
        <v>TAAe+</v>
      </c>
      <c r="AC660" s="2">
        <f t="shared" si="76"/>
        <v>0</v>
      </c>
      <c r="AD660" s="2">
        <f t="shared" si="73"/>
        <v>8</v>
      </c>
      <c r="AE660" s="2">
        <f t="shared" ca="1" si="74"/>
        <v>-44986.676271643519</v>
      </c>
      <c r="AF660" s="15"/>
    </row>
    <row r="661" spans="16:32">
      <c r="P661" s="12"/>
      <c r="U661" s="12"/>
      <c r="X661" s="13">
        <f t="shared" si="75"/>
        <v>0</v>
      </c>
      <c r="Y661" s="2">
        <f t="shared" ca="1" si="70"/>
        <v>32133</v>
      </c>
      <c r="Z661" s="14">
        <v>1</v>
      </c>
      <c r="AA661" s="1" t="str">
        <f t="shared" ca="1" si="71"/>
        <v>VENCIDO</v>
      </c>
      <c r="AB661" s="1" t="str">
        <f t="shared" si="72"/>
        <v>TAAe+</v>
      </c>
      <c r="AC661" s="2">
        <f t="shared" si="76"/>
        <v>0</v>
      </c>
      <c r="AD661" s="2">
        <f t="shared" si="73"/>
        <v>8</v>
      </c>
      <c r="AE661" s="2">
        <f t="shared" ca="1" si="74"/>
        <v>-44986.676271643519</v>
      </c>
      <c r="AF661" s="15"/>
    </row>
    <row r="662" spans="16:32">
      <c r="P662" s="12"/>
      <c r="U662" s="12"/>
      <c r="X662" s="13">
        <f t="shared" si="75"/>
        <v>0</v>
      </c>
      <c r="Y662" s="2">
        <f t="shared" ca="1" si="70"/>
        <v>32133</v>
      </c>
      <c r="Z662" s="14">
        <v>1</v>
      </c>
      <c r="AA662" s="1" t="str">
        <f t="shared" ca="1" si="71"/>
        <v>VENCIDO</v>
      </c>
      <c r="AB662" s="1" t="str">
        <f t="shared" si="72"/>
        <v>TAAe+</v>
      </c>
      <c r="AC662" s="2">
        <f t="shared" si="76"/>
        <v>0</v>
      </c>
      <c r="AD662" s="2">
        <f t="shared" si="73"/>
        <v>8</v>
      </c>
      <c r="AE662" s="2">
        <f t="shared" ca="1" si="74"/>
        <v>-44986.676271643519</v>
      </c>
      <c r="AF662" s="15"/>
    </row>
    <row r="663" spans="16:32">
      <c r="P663" s="12"/>
      <c r="U663" s="12"/>
      <c r="X663" s="13">
        <f t="shared" si="75"/>
        <v>0</v>
      </c>
      <c r="Y663" s="2">
        <f t="shared" ca="1" si="70"/>
        <v>32133</v>
      </c>
      <c r="Z663" s="14">
        <v>1</v>
      </c>
      <c r="AA663" s="1" t="str">
        <f t="shared" ca="1" si="71"/>
        <v>VENCIDO</v>
      </c>
      <c r="AB663" s="1" t="str">
        <f t="shared" si="72"/>
        <v>TAAe+</v>
      </c>
      <c r="AC663" s="2">
        <f t="shared" si="76"/>
        <v>0</v>
      </c>
      <c r="AD663" s="2">
        <f t="shared" si="73"/>
        <v>8</v>
      </c>
      <c r="AE663" s="2">
        <f t="shared" ca="1" si="74"/>
        <v>-44986.676271643519</v>
      </c>
      <c r="AF663" s="15"/>
    </row>
    <row r="664" spans="16:32">
      <c r="P664" s="12"/>
      <c r="U664" s="12"/>
      <c r="X664" s="13">
        <f t="shared" si="75"/>
        <v>0</v>
      </c>
      <c r="Y664" s="2">
        <f t="shared" ca="1" si="70"/>
        <v>32133</v>
      </c>
      <c r="Z664" s="14">
        <v>1</v>
      </c>
      <c r="AA664" s="1" t="str">
        <f t="shared" ca="1" si="71"/>
        <v>VENCIDO</v>
      </c>
      <c r="AB664" s="1" t="str">
        <f t="shared" si="72"/>
        <v>TAAe+</v>
      </c>
      <c r="AC664" s="2">
        <f t="shared" si="76"/>
        <v>0</v>
      </c>
      <c r="AD664" s="2">
        <f t="shared" si="73"/>
        <v>8</v>
      </c>
      <c r="AE664" s="2">
        <f t="shared" ca="1" si="74"/>
        <v>-44986.676271643519</v>
      </c>
      <c r="AF664" s="15"/>
    </row>
    <row r="665" spans="16:32">
      <c r="P665" s="12"/>
      <c r="U665" s="12"/>
      <c r="X665" s="13">
        <f t="shared" si="75"/>
        <v>0</v>
      </c>
      <c r="Y665" s="2">
        <f t="shared" ca="1" si="70"/>
        <v>32133</v>
      </c>
      <c r="Z665" s="14">
        <v>1</v>
      </c>
      <c r="AA665" s="1" t="str">
        <f t="shared" ca="1" si="71"/>
        <v>VENCIDO</v>
      </c>
      <c r="AB665" s="1" t="str">
        <f t="shared" si="72"/>
        <v>TAAe+</v>
      </c>
      <c r="AC665" s="2">
        <f t="shared" si="76"/>
        <v>0</v>
      </c>
      <c r="AD665" s="2">
        <f t="shared" si="73"/>
        <v>8</v>
      </c>
      <c r="AE665" s="2">
        <f t="shared" ca="1" si="74"/>
        <v>-44986.676271643519</v>
      </c>
      <c r="AF665" s="15"/>
    </row>
    <row r="666" spans="16:32">
      <c r="P666" s="12"/>
      <c r="U666" s="12"/>
      <c r="X666" s="13">
        <f t="shared" si="75"/>
        <v>0</v>
      </c>
      <c r="Y666" s="2">
        <f t="shared" ca="1" si="70"/>
        <v>32133</v>
      </c>
      <c r="Z666" s="14">
        <v>1</v>
      </c>
      <c r="AA666" s="1" t="str">
        <f t="shared" ca="1" si="71"/>
        <v>VENCIDO</v>
      </c>
      <c r="AB666" s="1" t="str">
        <f t="shared" si="72"/>
        <v>TAAe+</v>
      </c>
      <c r="AC666" s="2">
        <f t="shared" si="76"/>
        <v>0</v>
      </c>
      <c r="AD666" s="2">
        <f t="shared" si="73"/>
        <v>8</v>
      </c>
      <c r="AE666" s="2">
        <f t="shared" ca="1" si="74"/>
        <v>-44986.676271643519</v>
      </c>
      <c r="AF666" s="15"/>
    </row>
    <row r="667" spans="16:32">
      <c r="P667" s="12"/>
      <c r="U667" s="12"/>
      <c r="X667" s="13">
        <f t="shared" si="75"/>
        <v>0</v>
      </c>
      <c r="Y667" s="2">
        <f t="shared" ca="1" si="70"/>
        <v>32133</v>
      </c>
      <c r="Z667" s="14">
        <v>1</v>
      </c>
      <c r="AA667" s="1" t="str">
        <f t="shared" ca="1" si="71"/>
        <v>VENCIDO</v>
      </c>
      <c r="AB667" s="1" t="str">
        <f t="shared" si="72"/>
        <v>TAAe+</v>
      </c>
      <c r="AC667" s="2">
        <f t="shared" si="76"/>
        <v>0</v>
      </c>
      <c r="AD667" s="2">
        <f t="shared" si="73"/>
        <v>8</v>
      </c>
      <c r="AE667" s="2">
        <f t="shared" ca="1" si="74"/>
        <v>-44986.676271643519</v>
      </c>
      <c r="AF667" s="15"/>
    </row>
    <row r="668" spans="16:32">
      <c r="P668" s="12"/>
      <c r="U668" s="12"/>
      <c r="X668" s="13">
        <f t="shared" si="75"/>
        <v>0</v>
      </c>
      <c r="Y668" s="2">
        <f t="shared" ca="1" si="70"/>
        <v>32133</v>
      </c>
      <c r="Z668" s="14">
        <v>1</v>
      </c>
      <c r="AA668" s="1" t="str">
        <f t="shared" ca="1" si="71"/>
        <v>VENCIDO</v>
      </c>
      <c r="AB668" s="1" t="str">
        <f t="shared" si="72"/>
        <v>TAAe+</v>
      </c>
      <c r="AC668" s="2">
        <f t="shared" si="76"/>
        <v>0</v>
      </c>
      <c r="AD668" s="2">
        <f t="shared" si="73"/>
        <v>8</v>
      </c>
      <c r="AE668" s="2">
        <f t="shared" ca="1" si="74"/>
        <v>-44986.676271643519</v>
      </c>
      <c r="AF668" s="15"/>
    </row>
    <row r="669" spans="16:32">
      <c r="P669" s="12"/>
      <c r="U669" s="12"/>
      <c r="X669" s="13">
        <f t="shared" si="75"/>
        <v>0</v>
      </c>
      <c r="Y669" s="2">
        <f t="shared" ca="1" si="70"/>
        <v>32133</v>
      </c>
      <c r="Z669" s="14">
        <v>1</v>
      </c>
      <c r="AA669" s="1" t="str">
        <f t="shared" ca="1" si="71"/>
        <v>VENCIDO</v>
      </c>
      <c r="AB669" s="1" t="str">
        <f t="shared" si="72"/>
        <v>TAAe+</v>
      </c>
      <c r="AC669" s="2">
        <f t="shared" si="76"/>
        <v>0</v>
      </c>
      <c r="AD669" s="2">
        <f t="shared" si="73"/>
        <v>8</v>
      </c>
      <c r="AE669" s="2">
        <f t="shared" ca="1" si="74"/>
        <v>-44986.676271643519</v>
      </c>
      <c r="AF669" s="15"/>
    </row>
    <row r="670" spans="16:32">
      <c r="P670" s="12"/>
      <c r="U670" s="12"/>
      <c r="X670" s="13">
        <f t="shared" si="75"/>
        <v>0</v>
      </c>
      <c r="Y670" s="2">
        <f t="shared" ca="1" si="70"/>
        <v>32133</v>
      </c>
      <c r="Z670" s="14">
        <v>1</v>
      </c>
      <c r="AA670" s="1" t="str">
        <f t="shared" ca="1" si="71"/>
        <v>VENCIDO</v>
      </c>
      <c r="AB670" s="1" t="str">
        <f t="shared" si="72"/>
        <v>TAAe+</v>
      </c>
      <c r="AC670" s="2">
        <f t="shared" si="76"/>
        <v>0</v>
      </c>
      <c r="AD670" s="2">
        <f t="shared" si="73"/>
        <v>8</v>
      </c>
      <c r="AE670" s="2">
        <f t="shared" ca="1" si="74"/>
        <v>-44986.676271643519</v>
      </c>
      <c r="AF670" s="15"/>
    </row>
    <row r="671" spans="16:32">
      <c r="P671" s="12"/>
      <c r="U671" s="12"/>
      <c r="X671" s="13">
        <f t="shared" si="75"/>
        <v>0</v>
      </c>
      <c r="Y671" s="2">
        <f t="shared" ca="1" si="70"/>
        <v>32133</v>
      </c>
      <c r="Z671" s="14">
        <v>1</v>
      </c>
      <c r="AA671" s="1" t="str">
        <f t="shared" ca="1" si="71"/>
        <v>VENCIDO</v>
      </c>
      <c r="AB671" s="1" t="str">
        <f t="shared" si="72"/>
        <v>TAAe+</v>
      </c>
      <c r="AC671" s="2">
        <f t="shared" si="76"/>
        <v>0</v>
      </c>
      <c r="AD671" s="2">
        <f t="shared" si="73"/>
        <v>8</v>
      </c>
      <c r="AE671" s="2">
        <f t="shared" ca="1" si="74"/>
        <v>-44986.676271643519</v>
      </c>
      <c r="AF671" s="15"/>
    </row>
    <row r="672" spans="16:32">
      <c r="P672" s="12"/>
      <c r="U672" s="12"/>
      <c r="X672" s="13">
        <f t="shared" si="75"/>
        <v>0</v>
      </c>
      <c r="Y672" s="2">
        <f t="shared" ca="1" si="70"/>
        <v>32133</v>
      </c>
      <c r="Z672" s="14">
        <v>1</v>
      </c>
      <c r="AA672" s="1" t="str">
        <f t="shared" ca="1" si="71"/>
        <v>VENCIDO</v>
      </c>
      <c r="AB672" s="1" t="str">
        <f t="shared" si="72"/>
        <v>TAAe+</v>
      </c>
      <c r="AC672" s="2">
        <f t="shared" si="76"/>
        <v>0</v>
      </c>
      <c r="AD672" s="2">
        <f t="shared" si="73"/>
        <v>8</v>
      </c>
      <c r="AE672" s="2">
        <f t="shared" ca="1" si="74"/>
        <v>-44986.676271643519</v>
      </c>
      <c r="AF672" s="15"/>
    </row>
    <row r="673" spans="16:32">
      <c r="P673" s="12"/>
      <c r="U673" s="12"/>
      <c r="X673" s="13">
        <f t="shared" si="75"/>
        <v>0</v>
      </c>
      <c r="Y673" s="2">
        <f t="shared" ca="1" si="70"/>
        <v>32133</v>
      </c>
      <c r="Z673" s="14">
        <v>1</v>
      </c>
      <c r="AA673" s="1" t="str">
        <f t="shared" ca="1" si="71"/>
        <v>VENCIDO</v>
      </c>
      <c r="AB673" s="1" t="str">
        <f t="shared" si="72"/>
        <v>TAAe+</v>
      </c>
      <c r="AC673" s="2">
        <f t="shared" si="76"/>
        <v>0</v>
      </c>
      <c r="AD673" s="2">
        <f t="shared" si="73"/>
        <v>8</v>
      </c>
      <c r="AE673" s="2">
        <f t="shared" ca="1" si="74"/>
        <v>-44986.676271643519</v>
      </c>
      <c r="AF673" s="15"/>
    </row>
    <row r="674" spans="16:32">
      <c r="P674" s="12"/>
      <c r="U674" s="12"/>
      <c r="X674" s="13">
        <f t="shared" si="75"/>
        <v>0</v>
      </c>
      <c r="Y674" s="2">
        <f t="shared" ca="1" si="70"/>
        <v>32133</v>
      </c>
      <c r="Z674" s="14">
        <v>1</v>
      </c>
      <c r="AA674" s="1" t="str">
        <f t="shared" ca="1" si="71"/>
        <v>VENCIDO</v>
      </c>
      <c r="AB674" s="1" t="str">
        <f t="shared" si="72"/>
        <v>TAAe+</v>
      </c>
      <c r="AC674" s="2">
        <f t="shared" si="76"/>
        <v>0</v>
      </c>
      <c r="AD674" s="2">
        <f t="shared" si="73"/>
        <v>8</v>
      </c>
      <c r="AE674" s="2">
        <f t="shared" ca="1" si="74"/>
        <v>-44986.676271643519</v>
      </c>
      <c r="AF674" s="15"/>
    </row>
    <row r="675" spans="16:32">
      <c r="P675" s="12"/>
      <c r="U675" s="12"/>
      <c r="X675" s="13">
        <f t="shared" si="75"/>
        <v>0</v>
      </c>
      <c r="Y675" s="2">
        <f t="shared" ca="1" si="70"/>
        <v>32133</v>
      </c>
      <c r="Z675" s="14">
        <v>1</v>
      </c>
      <c r="AA675" s="1" t="str">
        <f t="shared" ca="1" si="71"/>
        <v>VENCIDO</v>
      </c>
      <c r="AB675" s="1" t="str">
        <f t="shared" si="72"/>
        <v>TAAe+</v>
      </c>
      <c r="AC675" s="2">
        <f t="shared" si="76"/>
        <v>0</v>
      </c>
      <c r="AD675" s="2">
        <f t="shared" si="73"/>
        <v>8</v>
      </c>
      <c r="AE675" s="2">
        <f t="shared" ca="1" si="74"/>
        <v>-44986.676271643519</v>
      </c>
      <c r="AF675" s="15"/>
    </row>
    <row r="676" spans="16:32">
      <c r="P676" s="12"/>
      <c r="U676" s="12"/>
      <c r="X676" s="13">
        <f t="shared" si="75"/>
        <v>0</v>
      </c>
      <c r="Y676" s="2">
        <f t="shared" ca="1" si="70"/>
        <v>32133</v>
      </c>
      <c r="Z676" s="14">
        <v>1</v>
      </c>
      <c r="AA676" s="1" t="str">
        <f t="shared" ca="1" si="71"/>
        <v>VENCIDO</v>
      </c>
      <c r="AB676" s="1" t="str">
        <f t="shared" si="72"/>
        <v>TAAe+</v>
      </c>
      <c r="AC676" s="2">
        <f t="shared" si="76"/>
        <v>0</v>
      </c>
      <c r="AD676" s="2">
        <f t="shared" si="73"/>
        <v>8</v>
      </c>
      <c r="AE676" s="2">
        <f t="shared" ca="1" si="74"/>
        <v>-44986.676271643519</v>
      </c>
      <c r="AF676" s="15"/>
    </row>
    <row r="677" spans="16:32">
      <c r="P677" s="12"/>
      <c r="U677" s="12"/>
      <c r="X677" s="13">
        <f t="shared" si="75"/>
        <v>0</v>
      </c>
      <c r="Y677" s="2">
        <f t="shared" ca="1" si="70"/>
        <v>32133</v>
      </c>
      <c r="Z677" s="14">
        <v>1</v>
      </c>
      <c r="AA677" s="1" t="str">
        <f t="shared" ca="1" si="71"/>
        <v>VENCIDO</v>
      </c>
      <c r="AB677" s="1" t="str">
        <f t="shared" si="72"/>
        <v>TAAe+</v>
      </c>
      <c r="AC677" s="2">
        <f t="shared" si="76"/>
        <v>0</v>
      </c>
      <c r="AD677" s="2">
        <f t="shared" si="73"/>
        <v>8</v>
      </c>
      <c r="AE677" s="2">
        <f t="shared" ca="1" si="74"/>
        <v>-44986.676271643519</v>
      </c>
      <c r="AF677" s="15"/>
    </row>
    <row r="678" spans="16:32">
      <c r="P678" s="12"/>
      <c r="U678" s="12"/>
      <c r="X678" s="13">
        <f t="shared" si="75"/>
        <v>0</v>
      </c>
      <c r="Y678" s="2">
        <f t="shared" ca="1" si="70"/>
        <v>32133</v>
      </c>
      <c r="Z678" s="14">
        <v>1</v>
      </c>
      <c r="AA678" s="1" t="str">
        <f t="shared" ca="1" si="71"/>
        <v>VENCIDO</v>
      </c>
      <c r="AB678" s="1" t="str">
        <f t="shared" si="72"/>
        <v>TAAe+</v>
      </c>
      <c r="AC678" s="2">
        <f t="shared" si="76"/>
        <v>0</v>
      </c>
      <c r="AD678" s="2">
        <f t="shared" si="73"/>
        <v>8</v>
      </c>
      <c r="AE678" s="2">
        <f t="shared" ca="1" si="74"/>
        <v>-44986.676271643519</v>
      </c>
      <c r="AF678" s="15"/>
    </row>
    <row r="679" spans="16:32">
      <c r="P679" s="12"/>
      <c r="U679" s="12"/>
      <c r="X679" s="13">
        <f t="shared" si="75"/>
        <v>0</v>
      </c>
      <c r="Y679" s="2">
        <f t="shared" ca="1" si="70"/>
        <v>32133</v>
      </c>
      <c r="Z679" s="14">
        <v>1</v>
      </c>
      <c r="AA679" s="1" t="str">
        <f t="shared" ca="1" si="71"/>
        <v>VENCIDO</v>
      </c>
      <c r="AB679" s="1" t="str">
        <f t="shared" si="72"/>
        <v>TAAe+</v>
      </c>
      <c r="AC679" s="2">
        <f t="shared" si="76"/>
        <v>0</v>
      </c>
      <c r="AD679" s="2">
        <f t="shared" si="73"/>
        <v>8</v>
      </c>
      <c r="AE679" s="2">
        <f t="shared" ca="1" si="74"/>
        <v>-44986.676271643519</v>
      </c>
      <c r="AF679" s="15"/>
    </row>
    <row r="680" spans="16:32">
      <c r="P680" s="12"/>
      <c r="U680" s="12"/>
      <c r="X680" s="13">
        <f t="shared" si="75"/>
        <v>0</v>
      </c>
      <c r="Y680" s="2">
        <f t="shared" ca="1" si="70"/>
        <v>32133</v>
      </c>
      <c r="Z680" s="14">
        <v>1</v>
      </c>
      <c r="AA680" s="1" t="str">
        <f t="shared" ca="1" si="71"/>
        <v>VENCIDO</v>
      </c>
      <c r="AB680" s="1" t="str">
        <f t="shared" si="72"/>
        <v>TAAe+</v>
      </c>
      <c r="AC680" s="2">
        <f t="shared" si="76"/>
        <v>0</v>
      </c>
      <c r="AD680" s="2">
        <f t="shared" si="73"/>
        <v>8</v>
      </c>
      <c r="AE680" s="2">
        <f t="shared" ca="1" si="74"/>
        <v>-44986.676271643519</v>
      </c>
      <c r="AF680" s="15"/>
    </row>
    <row r="681" spans="16:32">
      <c r="P681" s="12"/>
      <c r="U681" s="12"/>
      <c r="X681" s="13">
        <f t="shared" si="75"/>
        <v>0</v>
      </c>
      <c r="Y681" s="2">
        <f t="shared" ca="1" si="70"/>
        <v>32133</v>
      </c>
      <c r="Z681" s="14">
        <v>1</v>
      </c>
      <c r="AA681" s="1" t="str">
        <f t="shared" ca="1" si="71"/>
        <v>VENCIDO</v>
      </c>
      <c r="AB681" s="1" t="str">
        <f t="shared" si="72"/>
        <v>TAAe+</v>
      </c>
      <c r="AC681" s="2">
        <f t="shared" si="76"/>
        <v>0</v>
      </c>
      <c r="AD681" s="2">
        <f t="shared" si="73"/>
        <v>8</v>
      </c>
      <c r="AE681" s="2">
        <f t="shared" ca="1" si="74"/>
        <v>-44986.676271643519</v>
      </c>
      <c r="AF681" s="15"/>
    </row>
    <row r="682" spans="16:32">
      <c r="P682" s="12"/>
      <c r="U682" s="12"/>
      <c r="X682" s="13">
        <f t="shared" si="75"/>
        <v>0</v>
      </c>
      <c r="Y682" s="2">
        <f t="shared" ca="1" si="70"/>
        <v>32133</v>
      </c>
      <c r="Z682" s="14">
        <v>1</v>
      </c>
      <c r="AA682" s="1" t="str">
        <f t="shared" ca="1" si="71"/>
        <v>VENCIDO</v>
      </c>
      <c r="AB682" s="1" t="str">
        <f t="shared" si="72"/>
        <v>TAAe+</v>
      </c>
      <c r="AC682" s="2">
        <f t="shared" si="76"/>
        <v>0</v>
      </c>
      <c r="AD682" s="2">
        <f t="shared" si="73"/>
        <v>8</v>
      </c>
      <c r="AE682" s="2">
        <f t="shared" ca="1" si="74"/>
        <v>-44986.676271643519</v>
      </c>
      <c r="AF682" s="15"/>
    </row>
    <row r="683" spans="16:32">
      <c r="P683" s="12"/>
      <c r="U683" s="12"/>
      <c r="X683" s="13">
        <f t="shared" si="75"/>
        <v>0</v>
      </c>
      <c r="Y683" s="2">
        <f t="shared" ca="1" si="70"/>
        <v>32133</v>
      </c>
      <c r="Z683" s="14">
        <v>1</v>
      </c>
      <c r="AA683" s="1" t="str">
        <f t="shared" ca="1" si="71"/>
        <v>VENCIDO</v>
      </c>
      <c r="AB683" s="1" t="str">
        <f t="shared" si="72"/>
        <v>TAAe+</v>
      </c>
      <c r="AC683" s="2">
        <f t="shared" si="76"/>
        <v>0</v>
      </c>
      <c r="AD683" s="2">
        <f t="shared" si="73"/>
        <v>8</v>
      </c>
      <c r="AE683" s="2">
        <f t="shared" ca="1" si="74"/>
        <v>-44986.676271643519</v>
      </c>
      <c r="AF683" s="15"/>
    </row>
    <row r="684" spans="16:32">
      <c r="P684" s="12"/>
      <c r="U684" s="12"/>
      <c r="X684" s="13">
        <f t="shared" si="75"/>
        <v>0</v>
      </c>
      <c r="Y684" s="2">
        <f t="shared" ca="1" si="70"/>
        <v>32133</v>
      </c>
      <c r="Z684" s="14">
        <v>1</v>
      </c>
      <c r="AA684" s="1" t="str">
        <f t="shared" ca="1" si="71"/>
        <v>VENCIDO</v>
      </c>
      <c r="AB684" s="1" t="str">
        <f t="shared" si="72"/>
        <v>TAAe+</v>
      </c>
      <c r="AC684" s="2">
        <f t="shared" si="76"/>
        <v>0</v>
      </c>
      <c r="AD684" s="2">
        <f t="shared" si="73"/>
        <v>8</v>
      </c>
      <c r="AE684" s="2">
        <f t="shared" ca="1" si="74"/>
        <v>-44986.676271643519</v>
      </c>
      <c r="AF684" s="15"/>
    </row>
    <row r="685" spans="16:32">
      <c r="P685" s="12"/>
      <c r="U685" s="12"/>
      <c r="X685" s="13">
        <f t="shared" si="75"/>
        <v>0</v>
      </c>
      <c r="Y685" s="2">
        <f t="shared" ca="1" si="70"/>
        <v>32133</v>
      </c>
      <c r="Z685" s="14">
        <v>1</v>
      </c>
      <c r="AA685" s="1" t="str">
        <f t="shared" ca="1" si="71"/>
        <v>VENCIDO</v>
      </c>
      <c r="AB685" s="1" t="str">
        <f t="shared" si="72"/>
        <v>TAAe+</v>
      </c>
      <c r="AC685" s="2">
        <f t="shared" si="76"/>
        <v>0</v>
      </c>
      <c r="AD685" s="2">
        <f t="shared" si="73"/>
        <v>8</v>
      </c>
      <c r="AE685" s="2">
        <f t="shared" ca="1" si="74"/>
        <v>-44986.676271643519</v>
      </c>
      <c r="AF685" s="15"/>
    </row>
    <row r="686" spans="16:32">
      <c r="P686" s="12"/>
      <c r="U686" s="12"/>
      <c r="X686" s="13">
        <f t="shared" si="75"/>
        <v>0</v>
      </c>
      <c r="Y686" s="2">
        <f t="shared" ca="1" si="70"/>
        <v>32133</v>
      </c>
      <c r="Z686" s="14">
        <v>1</v>
      </c>
      <c r="AA686" s="1" t="str">
        <f t="shared" ca="1" si="71"/>
        <v>VENCIDO</v>
      </c>
      <c r="AB686" s="1" t="str">
        <f t="shared" si="72"/>
        <v>TAAe+</v>
      </c>
      <c r="AC686" s="2">
        <f t="shared" si="76"/>
        <v>0</v>
      </c>
      <c r="AD686" s="2">
        <f t="shared" si="73"/>
        <v>8</v>
      </c>
      <c r="AE686" s="2">
        <f t="shared" ca="1" si="74"/>
        <v>-44986.676271643519</v>
      </c>
      <c r="AF686" s="15"/>
    </row>
    <row r="687" spans="16:32">
      <c r="P687" s="12"/>
      <c r="U687" s="12"/>
      <c r="X687" s="13">
        <f t="shared" si="75"/>
        <v>0</v>
      </c>
      <c r="Y687" s="2">
        <f t="shared" ca="1" si="70"/>
        <v>32133</v>
      </c>
      <c r="Z687" s="14">
        <v>1</v>
      </c>
      <c r="AA687" s="1" t="str">
        <f t="shared" ca="1" si="71"/>
        <v>VENCIDO</v>
      </c>
      <c r="AB687" s="1" t="str">
        <f t="shared" si="72"/>
        <v>TAAe+</v>
      </c>
      <c r="AC687" s="2">
        <f t="shared" si="76"/>
        <v>0</v>
      </c>
      <c r="AD687" s="2">
        <f t="shared" si="73"/>
        <v>8</v>
      </c>
      <c r="AE687" s="2">
        <f t="shared" ca="1" si="74"/>
        <v>-44986.676271643519</v>
      </c>
      <c r="AF687" s="15"/>
    </row>
    <row r="688" spans="16:32">
      <c r="P688" s="12"/>
      <c r="U688" s="12"/>
      <c r="X688" s="13">
        <f t="shared" si="75"/>
        <v>0</v>
      </c>
      <c r="Y688" s="2">
        <f t="shared" ca="1" si="70"/>
        <v>32133</v>
      </c>
      <c r="Z688" s="14">
        <v>1</v>
      </c>
      <c r="AA688" s="1" t="str">
        <f t="shared" ca="1" si="71"/>
        <v>VENCIDO</v>
      </c>
      <c r="AB688" s="1" t="str">
        <f t="shared" si="72"/>
        <v>TAAe+</v>
      </c>
      <c r="AC688" s="2">
        <f t="shared" si="76"/>
        <v>0</v>
      </c>
      <c r="AD688" s="2">
        <f t="shared" si="73"/>
        <v>8</v>
      </c>
      <c r="AE688" s="2">
        <f t="shared" ca="1" si="74"/>
        <v>-44986.676271643519</v>
      </c>
      <c r="AF688" s="15"/>
    </row>
    <row r="689" spans="16:32">
      <c r="P689" s="12"/>
      <c r="U689" s="12"/>
      <c r="X689" s="13">
        <f t="shared" si="75"/>
        <v>0</v>
      </c>
      <c r="Y689" s="2">
        <f t="shared" ca="1" si="70"/>
        <v>32133</v>
      </c>
      <c r="Z689" s="14">
        <v>1</v>
      </c>
      <c r="AA689" s="1" t="str">
        <f t="shared" ca="1" si="71"/>
        <v>VENCIDO</v>
      </c>
      <c r="AB689" s="1" t="str">
        <f t="shared" si="72"/>
        <v>TAAe+</v>
      </c>
      <c r="AC689" s="2">
        <f t="shared" si="76"/>
        <v>0</v>
      </c>
      <c r="AD689" s="2">
        <f t="shared" si="73"/>
        <v>8</v>
      </c>
      <c r="AE689" s="2">
        <f t="shared" ca="1" si="74"/>
        <v>-44986.676271643519</v>
      </c>
      <c r="AF689" s="15"/>
    </row>
    <row r="690" spans="16:32">
      <c r="P690" s="12"/>
      <c r="U690" s="12"/>
      <c r="X690" s="13">
        <f t="shared" si="75"/>
        <v>0</v>
      </c>
      <c r="Y690" s="2">
        <f t="shared" ca="1" si="70"/>
        <v>32133</v>
      </c>
      <c r="Z690" s="14">
        <v>1</v>
      </c>
      <c r="AA690" s="1" t="str">
        <f t="shared" ca="1" si="71"/>
        <v>VENCIDO</v>
      </c>
      <c r="AB690" s="1" t="str">
        <f t="shared" si="72"/>
        <v>TAAe+</v>
      </c>
      <c r="AC690" s="2">
        <f t="shared" si="76"/>
        <v>0</v>
      </c>
      <c r="AD690" s="2">
        <f t="shared" si="73"/>
        <v>8</v>
      </c>
      <c r="AE690" s="2">
        <f t="shared" ca="1" si="74"/>
        <v>-44986.676271643519</v>
      </c>
      <c r="AF690" s="15"/>
    </row>
    <row r="691" spans="16:32">
      <c r="P691" s="12"/>
      <c r="U691" s="12"/>
      <c r="X691" s="13">
        <f t="shared" si="75"/>
        <v>0</v>
      </c>
      <c r="Y691" s="2">
        <f t="shared" ca="1" si="70"/>
        <v>32133</v>
      </c>
      <c r="Z691" s="14">
        <v>1</v>
      </c>
      <c r="AA691" s="1" t="str">
        <f t="shared" ca="1" si="71"/>
        <v>VENCIDO</v>
      </c>
      <c r="AB691" s="1" t="str">
        <f t="shared" si="72"/>
        <v>TAAe+</v>
      </c>
      <c r="AC691" s="2">
        <f t="shared" si="76"/>
        <v>0</v>
      </c>
      <c r="AD691" s="2">
        <f t="shared" si="73"/>
        <v>8</v>
      </c>
      <c r="AE691" s="2">
        <f t="shared" ca="1" si="74"/>
        <v>-44986.676271643519</v>
      </c>
      <c r="AF691" s="15"/>
    </row>
    <row r="692" spans="16:32">
      <c r="P692" s="12"/>
      <c r="U692" s="12"/>
      <c r="X692" s="13">
        <f t="shared" si="75"/>
        <v>0</v>
      </c>
      <c r="Y692" s="2">
        <f t="shared" ca="1" si="70"/>
        <v>32133</v>
      </c>
      <c r="Z692" s="14">
        <v>1</v>
      </c>
      <c r="AA692" s="1" t="str">
        <f t="shared" ca="1" si="71"/>
        <v>VENCIDO</v>
      </c>
      <c r="AB692" s="1" t="str">
        <f t="shared" si="72"/>
        <v>TAAe+</v>
      </c>
      <c r="AC692" s="2">
        <f t="shared" si="76"/>
        <v>0</v>
      </c>
      <c r="AD692" s="2">
        <f t="shared" si="73"/>
        <v>8</v>
      </c>
      <c r="AE692" s="2">
        <f t="shared" ca="1" si="74"/>
        <v>-44986.676271643519</v>
      </c>
      <c r="AF692" s="15"/>
    </row>
    <row r="693" spans="16:32">
      <c r="P693" s="12"/>
      <c r="U693" s="12"/>
      <c r="X693" s="13">
        <f t="shared" si="75"/>
        <v>0</v>
      </c>
      <c r="Y693" s="2">
        <f t="shared" ca="1" si="70"/>
        <v>32133</v>
      </c>
      <c r="Z693" s="14">
        <v>1</v>
      </c>
      <c r="AA693" s="1" t="str">
        <f t="shared" ca="1" si="71"/>
        <v>VENCIDO</v>
      </c>
      <c r="AB693" s="1" t="str">
        <f t="shared" si="72"/>
        <v>TAAe+</v>
      </c>
      <c r="AC693" s="2">
        <f t="shared" si="76"/>
        <v>0</v>
      </c>
      <c r="AD693" s="2">
        <f t="shared" si="73"/>
        <v>8</v>
      </c>
      <c r="AE693" s="2">
        <f t="shared" ca="1" si="74"/>
        <v>-44986.676271643519</v>
      </c>
      <c r="AF693" s="15"/>
    </row>
    <row r="694" spans="16:32">
      <c r="P694" s="12"/>
      <c r="U694" s="12"/>
      <c r="X694" s="13">
        <f t="shared" si="75"/>
        <v>0</v>
      </c>
      <c r="Y694" s="2">
        <f t="shared" ca="1" si="70"/>
        <v>32133</v>
      </c>
      <c r="Z694" s="14">
        <v>1</v>
      </c>
      <c r="AA694" s="1" t="str">
        <f t="shared" ca="1" si="71"/>
        <v>VENCIDO</v>
      </c>
      <c r="AB694" s="1" t="str">
        <f t="shared" si="72"/>
        <v>TAAe+</v>
      </c>
      <c r="AC694" s="2">
        <f t="shared" si="76"/>
        <v>0</v>
      </c>
      <c r="AD694" s="2">
        <f t="shared" si="73"/>
        <v>8</v>
      </c>
      <c r="AE694" s="2">
        <f t="shared" ca="1" si="74"/>
        <v>-44986.676271643519</v>
      </c>
      <c r="AF694" s="15"/>
    </row>
    <row r="695" spans="16:32">
      <c r="P695" s="12"/>
      <c r="U695" s="12"/>
      <c r="X695" s="13">
        <f t="shared" si="75"/>
        <v>0</v>
      </c>
      <c r="Y695" s="2">
        <f t="shared" ca="1" si="70"/>
        <v>32133</v>
      </c>
      <c r="Z695" s="14">
        <v>1</v>
      </c>
      <c r="AA695" s="1" t="str">
        <f t="shared" ca="1" si="71"/>
        <v>VENCIDO</v>
      </c>
      <c r="AB695" s="1" t="str">
        <f t="shared" si="72"/>
        <v>TAAe+</v>
      </c>
      <c r="AC695" s="2">
        <f t="shared" si="76"/>
        <v>0</v>
      </c>
      <c r="AD695" s="2">
        <f t="shared" si="73"/>
        <v>8</v>
      </c>
      <c r="AE695" s="2">
        <f t="shared" ca="1" si="74"/>
        <v>-44986.676271643519</v>
      </c>
      <c r="AF695" s="15"/>
    </row>
    <row r="696" spans="16:32">
      <c r="P696" s="12"/>
      <c r="U696" s="12"/>
      <c r="X696" s="13">
        <f t="shared" si="75"/>
        <v>0</v>
      </c>
      <c r="Y696" s="2">
        <f t="shared" ca="1" si="70"/>
        <v>32133</v>
      </c>
      <c r="Z696" s="14">
        <v>1</v>
      </c>
      <c r="AA696" s="1" t="str">
        <f t="shared" ca="1" si="71"/>
        <v>VENCIDO</v>
      </c>
      <c r="AB696" s="1" t="str">
        <f t="shared" si="72"/>
        <v>TAAe+</v>
      </c>
      <c r="AC696" s="2">
        <f t="shared" si="76"/>
        <v>0</v>
      </c>
      <c r="AD696" s="2">
        <f t="shared" si="73"/>
        <v>8</v>
      </c>
      <c r="AE696" s="2">
        <f t="shared" ca="1" si="74"/>
        <v>-44986.676271643519</v>
      </c>
      <c r="AF696" s="15"/>
    </row>
    <row r="697" spans="16:32">
      <c r="P697" s="12"/>
      <c r="U697" s="12"/>
      <c r="X697" s="13">
        <f t="shared" si="75"/>
        <v>0</v>
      </c>
      <c r="Y697" s="2">
        <f t="shared" ca="1" si="70"/>
        <v>32133</v>
      </c>
      <c r="Z697" s="14">
        <v>1</v>
      </c>
      <c r="AA697" s="1" t="str">
        <f t="shared" ca="1" si="71"/>
        <v>VENCIDO</v>
      </c>
      <c r="AB697" s="1" t="str">
        <f t="shared" si="72"/>
        <v>TAAe+</v>
      </c>
      <c r="AC697" s="2">
        <f t="shared" si="76"/>
        <v>0</v>
      </c>
      <c r="AD697" s="2">
        <f t="shared" si="73"/>
        <v>8</v>
      </c>
      <c r="AE697" s="2">
        <f t="shared" ca="1" si="74"/>
        <v>-44986.676271643519</v>
      </c>
      <c r="AF697" s="15"/>
    </row>
    <row r="698" spans="16:32">
      <c r="P698" s="12"/>
      <c r="U698" s="12"/>
      <c r="X698" s="13">
        <f t="shared" si="75"/>
        <v>0</v>
      </c>
      <c r="Y698" s="2">
        <f t="shared" ca="1" si="70"/>
        <v>32133</v>
      </c>
      <c r="Z698" s="14">
        <v>1</v>
      </c>
      <c r="AA698" s="1" t="str">
        <f t="shared" ca="1" si="71"/>
        <v>VENCIDO</v>
      </c>
      <c r="AB698" s="1" t="str">
        <f t="shared" si="72"/>
        <v>TAAe+</v>
      </c>
      <c r="AC698" s="2">
        <f t="shared" si="76"/>
        <v>0</v>
      </c>
      <c r="AD698" s="2">
        <f t="shared" si="73"/>
        <v>8</v>
      </c>
      <c r="AE698" s="2">
        <f t="shared" ca="1" si="74"/>
        <v>-44986.676271643519</v>
      </c>
      <c r="AF698" s="15"/>
    </row>
    <row r="699" spans="16:32">
      <c r="P699" s="12"/>
      <c r="U699" s="12"/>
      <c r="X699" s="13">
        <f t="shared" si="75"/>
        <v>0</v>
      </c>
      <c r="Y699" s="2">
        <f t="shared" ca="1" si="70"/>
        <v>32133</v>
      </c>
      <c r="Z699" s="14">
        <v>1</v>
      </c>
      <c r="AA699" s="1" t="str">
        <f t="shared" ca="1" si="71"/>
        <v>VENCIDO</v>
      </c>
      <c r="AB699" s="1" t="str">
        <f t="shared" si="72"/>
        <v>TAAe+</v>
      </c>
      <c r="AC699" s="2">
        <f t="shared" si="76"/>
        <v>0</v>
      </c>
      <c r="AD699" s="2">
        <f t="shared" si="73"/>
        <v>8</v>
      </c>
      <c r="AE699" s="2">
        <f t="shared" ca="1" si="74"/>
        <v>-44986.676271643519</v>
      </c>
      <c r="AF699" s="15"/>
    </row>
    <row r="700" spans="16:32">
      <c r="Z700" s="14"/>
      <c r="AC700" s="2"/>
      <c r="AE700" s="20"/>
    </row>
    <row r="701" spans="16:32">
      <c r="Z701" s="14"/>
      <c r="AC701" s="2"/>
      <c r="AE701" s="20"/>
    </row>
    <row r="702" spans="16:32">
      <c r="Z702" s="14"/>
      <c r="AC702" s="2"/>
      <c r="AE702" s="20"/>
    </row>
    <row r="703" spans="16:32">
      <c r="Z703" s="14"/>
      <c r="AC703" s="2"/>
      <c r="AE703" s="20"/>
    </row>
    <row r="704" spans="16:32">
      <c r="Z704" s="14"/>
      <c r="AC704" s="2"/>
      <c r="AE704" s="20"/>
    </row>
    <row r="705" spans="26:31">
      <c r="Z705" s="14"/>
      <c r="AC705" s="2"/>
      <c r="AE705" s="20"/>
    </row>
    <row r="706" spans="26:31">
      <c r="Z706" s="14"/>
      <c r="AC706" s="20"/>
      <c r="AE706" s="20"/>
    </row>
    <row r="707" spans="26:31">
      <c r="Z707" s="14"/>
      <c r="AC707" s="20"/>
      <c r="AE707" s="20"/>
    </row>
    <row r="708" spans="26:31">
      <c r="Z708" s="14"/>
      <c r="AC708" s="20"/>
      <c r="AE708" s="20"/>
    </row>
    <row r="709" spans="26:31">
      <c r="Z709" s="14"/>
      <c r="AC709" s="20"/>
      <c r="AE709" s="20"/>
    </row>
    <row r="710" spans="26:31">
      <c r="Z710" s="14"/>
      <c r="AC710" s="20"/>
      <c r="AE710" s="20"/>
    </row>
    <row r="711" spans="26:31">
      <c r="Z711" s="14"/>
      <c r="AC711" s="20"/>
      <c r="AE711" s="20"/>
    </row>
    <row r="712" spans="26:31">
      <c r="Z712" s="14"/>
      <c r="AC712" s="20"/>
      <c r="AE712" s="20"/>
    </row>
    <row r="713" spans="26:31">
      <c r="Z713" s="14"/>
      <c r="AC713" s="20"/>
      <c r="AE713" s="20"/>
    </row>
    <row r="714" spans="26:31">
      <c r="Z714" s="14"/>
      <c r="AA714" s="14"/>
      <c r="AC714" s="1"/>
      <c r="AE714" s="1"/>
    </row>
    <row r="715" spans="26:31">
      <c r="Z715" s="14"/>
      <c r="AA715" s="14"/>
      <c r="AC715" s="1"/>
      <c r="AE715" s="1"/>
    </row>
    <row r="716" spans="26:31">
      <c r="Z716" s="14"/>
      <c r="AA716" s="14"/>
      <c r="AC716" s="1"/>
      <c r="AE716" s="1"/>
    </row>
    <row r="717" spans="26:31">
      <c r="Z717" s="14"/>
      <c r="AA717" s="14"/>
      <c r="AC717" s="1"/>
      <c r="AE717" s="1"/>
    </row>
    <row r="718" spans="26:31">
      <c r="Z718" s="14"/>
      <c r="AA718" s="14"/>
      <c r="AC718" s="1"/>
      <c r="AE718" s="1"/>
    </row>
    <row r="719" spans="26:31">
      <c r="Z719" s="14"/>
      <c r="AA719" s="14"/>
      <c r="AC719" s="1"/>
      <c r="AE719" s="1"/>
    </row>
    <row r="720" spans="26:31">
      <c r="Z720" s="14"/>
      <c r="AA720" s="14"/>
      <c r="AC720" s="1"/>
      <c r="AE720" s="1"/>
    </row>
    <row r="721" spans="26:31">
      <c r="Z721" s="14"/>
      <c r="AA721" s="14"/>
      <c r="AC721" s="1"/>
      <c r="AE721" s="1"/>
    </row>
    <row r="722" spans="26:31">
      <c r="Z722" s="14"/>
      <c r="AA722" s="14"/>
      <c r="AC722" s="1"/>
      <c r="AE722" s="1"/>
    </row>
    <row r="723" spans="26:31">
      <c r="Z723" s="14"/>
      <c r="AA723" s="14"/>
      <c r="AC723" s="21"/>
      <c r="AE723" s="21"/>
    </row>
    <row r="724" spans="26:31">
      <c r="Z724" s="14"/>
      <c r="AA724" s="14"/>
      <c r="AC724" s="21"/>
      <c r="AE724" s="21"/>
    </row>
    <row r="725" spans="26:31">
      <c r="Z725" s="14"/>
      <c r="AA725" s="14"/>
      <c r="AC725" s="22"/>
      <c r="AE725" s="22"/>
    </row>
    <row r="726" spans="26:31">
      <c r="Z726" s="14"/>
      <c r="AA726" s="14"/>
      <c r="AC726" s="21"/>
      <c r="AE726" s="21"/>
    </row>
    <row r="727" spans="26:31">
      <c r="Z727" s="14"/>
      <c r="AA727" s="14"/>
      <c r="AC727" s="21"/>
      <c r="AE727" s="21"/>
    </row>
    <row r="728" spans="26:31">
      <c r="Z728" s="14"/>
      <c r="AA728" s="14"/>
      <c r="AC728" s="21"/>
      <c r="AE728" s="21"/>
    </row>
    <row r="729" spans="26:31">
      <c r="Z729" s="14"/>
      <c r="AA729" s="14"/>
      <c r="AC729" s="21"/>
      <c r="AE729" s="21"/>
    </row>
    <row r="730" spans="26:31">
      <c r="Z730" s="14"/>
      <c r="AA730" s="14"/>
      <c r="AC730" s="21"/>
      <c r="AE730" s="21"/>
    </row>
    <row r="731" spans="26:31">
      <c r="Z731" s="14"/>
      <c r="AA731" s="14"/>
      <c r="AC731" s="21"/>
      <c r="AE731" s="21"/>
    </row>
    <row r="732" spans="26:31">
      <c r="Z732" s="14"/>
      <c r="AA732" s="14"/>
      <c r="AC732" s="21"/>
      <c r="AE732" s="21"/>
    </row>
    <row r="733" spans="26:31">
      <c r="Z733" s="14"/>
      <c r="AA733" s="14"/>
      <c r="AC733" s="21"/>
      <c r="AE733" s="21"/>
    </row>
    <row r="734" spans="26:31">
      <c r="Z734" s="14"/>
      <c r="AA734" s="14"/>
      <c r="AC734" s="21"/>
      <c r="AE734" s="21"/>
    </row>
    <row r="735" spans="26:31">
      <c r="Z735" s="14"/>
      <c r="AA735" s="14"/>
      <c r="AC735" s="21"/>
      <c r="AE735" s="21"/>
    </row>
    <row r="736" spans="26:31">
      <c r="Z736" s="14"/>
      <c r="AA736" s="14"/>
      <c r="AC736" s="21"/>
      <c r="AE736" s="21"/>
    </row>
    <row r="737" spans="26:31">
      <c r="Z737" s="14"/>
      <c r="AA737" s="14"/>
      <c r="AC737" s="21"/>
      <c r="AE737" s="21"/>
    </row>
    <row r="738" spans="26:31">
      <c r="Z738" s="14"/>
      <c r="AA738" s="14"/>
      <c r="AC738" s="21"/>
      <c r="AE738" s="21"/>
    </row>
    <row r="739" spans="26:31">
      <c r="Z739" s="14"/>
      <c r="AA739" s="14"/>
      <c r="AC739" s="21"/>
      <c r="AE739" s="21"/>
    </row>
    <row r="740" spans="26:31">
      <c r="Z740" s="14"/>
      <c r="AA740" s="14"/>
      <c r="AC740" s="21"/>
      <c r="AE740" s="21"/>
    </row>
    <row r="741" spans="26:31">
      <c r="Z741" s="14"/>
      <c r="AA741" s="14"/>
      <c r="AC741" s="21"/>
      <c r="AE741" s="21"/>
    </row>
    <row r="742" spans="26:31">
      <c r="Z742" s="14"/>
      <c r="AA742" s="14"/>
      <c r="AC742" s="21"/>
      <c r="AE742" s="21"/>
    </row>
    <row r="743" spans="26:31">
      <c r="Z743" s="14"/>
      <c r="AA743" s="14"/>
      <c r="AC743" s="21"/>
      <c r="AE743" s="21"/>
    </row>
    <row r="744" spans="26:31">
      <c r="Z744" s="14"/>
      <c r="AA744" s="14"/>
      <c r="AC744" s="21"/>
      <c r="AE744" s="21"/>
    </row>
    <row r="745" spans="26:31">
      <c r="Z745" s="14"/>
      <c r="AA745" s="14"/>
      <c r="AC745" s="21"/>
      <c r="AE745" s="21"/>
    </row>
    <row r="746" spans="26:31">
      <c r="Z746" s="14"/>
      <c r="AA746" s="14"/>
      <c r="AC746" s="21"/>
      <c r="AE746" s="21"/>
    </row>
    <row r="747" spans="26:31">
      <c r="Z747" s="14"/>
      <c r="AA747" s="14"/>
      <c r="AC747" s="21"/>
      <c r="AE747" s="21"/>
    </row>
    <row r="748" spans="26:31">
      <c r="Z748" s="14"/>
      <c r="AA748" s="14"/>
      <c r="AC748" s="21"/>
      <c r="AE748" s="21"/>
    </row>
    <row r="749" spans="26:31">
      <c r="Z749" s="14"/>
      <c r="AA749" s="14"/>
      <c r="AC749" s="21"/>
      <c r="AE749" s="21"/>
    </row>
    <row r="750" spans="26:31">
      <c r="Z750" s="14"/>
      <c r="AA750" s="14"/>
      <c r="AC750" s="21"/>
      <c r="AE750" s="21"/>
    </row>
    <row r="751" spans="26:31">
      <c r="Z751" s="14"/>
      <c r="AA751" s="14"/>
      <c r="AC751" s="21"/>
      <c r="AE751" s="21"/>
    </row>
    <row r="752" spans="26:31">
      <c r="Z752" s="14"/>
      <c r="AA752" s="14"/>
      <c r="AC752" s="21"/>
      <c r="AE752" s="21"/>
    </row>
    <row r="753" spans="26:31">
      <c r="Z753" s="14"/>
      <c r="AA753" s="14"/>
      <c r="AC753" s="21"/>
      <c r="AE753" s="21"/>
    </row>
    <row r="754" spans="26:31">
      <c r="Z754" s="14"/>
      <c r="AA754" s="14"/>
      <c r="AC754" s="21"/>
      <c r="AE754" s="21"/>
    </row>
    <row r="755" spans="26:31">
      <c r="Z755" s="14"/>
      <c r="AA755" s="14"/>
      <c r="AC755" s="21"/>
      <c r="AE755" s="21"/>
    </row>
    <row r="756" spans="26:31">
      <c r="Z756" s="14"/>
      <c r="AA756" s="14"/>
      <c r="AC756" s="21"/>
      <c r="AE756" s="21"/>
    </row>
    <row r="757" spans="26:31">
      <c r="Z757" s="14"/>
      <c r="AA757" s="14"/>
      <c r="AC757" s="21"/>
      <c r="AE757" s="21"/>
    </row>
    <row r="758" spans="26:31">
      <c r="Z758" s="14"/>
      <c r="AA758" s="14"/>
      <c r="AC758" s="21"/>
      <c r="AE758" s="21"/>
    </row>
    <row r="759" spans="26:31">
      <c r="Z759" s="14"/>
      <c r="AA759" s="14"/>
      <c r="AC759" s="21"/>
      <c r="AE759" s="21"/>
    </row>
    <row r="760" spans="26:31">
      <c r="Z760" s="14"/>
      <c r="AA760" s="14"/>
      <c r="AC760" s="21"/>
      <c r="AE760" s="21"/>
    </row>
    <row r="761" spans="26:31">
      <c r="Z761" s="14"/>
      <c r="AA761" s="14"/>
      <c r="AC761" s="21"/>
      <c r="AE761" s="21"/>
    </row>
    <row r="762" spans="26:31">
      <c r="Z762" s="14"/>
      <c r="AA762" s="14"/>
      <c r="AC762" s="21"/>
      <c r="AE762" s="21"/>
    </row>
    <row r="763" spans="26:31">
      <c r="Z763" s="14"/>
      <c r="AA763" s="14"/>
      <c r="AC763" s="21"/>
      <c r="AE763" s="21"/>
    </row>
    <row r="764" spans="26:31">
      <c r="Z764" s="14"/>
      <c r="AA764" s="14"/>
      <c r="AC764" s="21"/>
      <c r="AE764" s="21"/>
    </row>
    <row r="765" spans="26:31">
      <c r="Z765" s="14"/>
      <c r="AA765" s="14"/>
      <c r="AC765" s="21"/>
      <c r="AE765" s="21"/>
    </row>
    <row r="766" spans="26:31">
      <c r="Z766" s="14"/>
      <c r="AA766" s="14"/>
      <c r="AC766" s="21"/>
      <c r="AE766" s="21"/>
    </row>
    <row r="767" spans="26:31">
      <c r="Z767" s="14"/>
      <c r="AA767" s="14"/>
      <c r="AC767" s="21"/>
      <c r="AE767" s="21"/>
    </row>
    <row r="768" spans="26:31">
      <c r="Z768" s="14"/>
      <c r="AA768" s="14"/>
      <c r="AC768" s="21"/>
      <c r="AE768" s="21"/>
    </row>
    <row r="769" spans="26:31">
      <c r="Z769" s="14"/>
      <c r="AA769" s="14"/>
      <c r="AC769" s="21"/>
      <c r="AE769" s="21"/>
    </row>
    <row r="770" spans="26:31">
      <c r="Z770" s="14"/>
      <c r="AA770" s="14"/>
      <c r="AC770" s="21"/>
      <c r="AE770" s="21"/>
    </row>
    <row r="771" spans="26:31">
      <c r="Z771" s="14"/>
      <c r="AA771" s="14"/>
      <c r="AC771" s="21"/>
      <c r="AE771" s="21"/>
    </row>
    <row r="772" spans="26:31">
      <c r="Z772" s="14"/>
      <c r="AA772" s="14"/>
      <c r="AC772" s="21"/>
      <c r="AE772" s="21"/>
    </row>
    <row r="773" spans="26:31">
      <c r="Z773" s="14"/>
      <c r="AA773" s="14"/>
      <c r="AC773" s="21"/>
      <c r="AE773" s="21"/>
    </row>
    <row r="774" spans="26:31">
      <c r="Z774" s="14"/>
      <c r="AA774" s="14"/>
      <c r="AC774" s="21"/>
      <c r="AE774" s="21"/>
    </row>
    <row r="775" spans="26:31">
      <c r="Z775" s="14"/>
      <c r="AA775" s="14"/>
      <c r="AC775" s="21"/>
      <c r="AE775" s="21"/>
    </row>
    <row r="776" spans="26:31">
      <c r="Z776" s="14"/>
      <c r="AA776" s="14"/>
      <c r="AC776" s="21"/>
      <c r="AE776" s="21"/>
    </row>
    <row r="777" spans="26:31">
      <c r="Z777" s="14"/>
      <c r="AA777" s="14"/>
      <c r="AC777" s="21"/>
      <c r="AE777" s="21"/>
    </row>
    <row r="778" spans="26:31">
      <c r="Z778" s="14"/>
      <c r="AA778" s="14"/>
      <c r="AC778" s="21"/>
      <c r="AE778" s="21"/>
    </row>
    <row r="779" spans="26:31">
      <c r="Z779" s="14"/>
      <c r="AA779" s="14"/>
      <c r="AC779" s="21"/>
      <c r="AE779" s="21"/>
    </row>
    <row r="780" spans="26:31">
      <c r="Z780" s="14"/>
      <c r="AA780" s="14"/>
      <c r="AC780" s="21"/>
      <c r="AE780" s="21"/>
    </row>
    <row r="781" spans="26:31">
      <c r="Z781" s="14"/>
      <c r="AA781" s="14"/>
      <c r="AC781" s="21"/>
      <c r="AE781" s="21"/>
    </row>
    <row r="782" spans="26:31">
      <c r="Z782" s="14"/>
      <c r="AA782" s="14"/>
      <c r="AC782" s="21"/>
      <c r="AE782" s="21"/>
    </row>
    <row r="783" spans="26:31">
      <c r="Z783" s="14"/>
      <c r="AA783" s="14"/>
      <c r="AC783" s="21"/>
      <c r="AE783" s="21"/>
    </row>
    <row r="784" spans="26:31">
      <c r="Z784" s="14"/>
      <c r="AA784" s="14"/>
      <c r="AC784" s="21"/>
      <c r="AE784" s="21"/>
    </row>
    <row r="785" spans="26:31">
      <c r="Z785" s="14"/>
      <c r="AA785" s="14"/>
      <c r="AC785" s="21"/>
      <c r="AE785" s="21"/>
    </row>
    <row r="786" spans="26:31">
      <c r="Z786" s="14"/>
      <c r="AA786" s="14"/>
      <c r="AC786" s="21"/>
      <c r="AE786" s="21"/>
    </row>
    <row r="787" spans="26:31">
      <c r="Z787" s="14"/>
      <c r="AA787" s="14"/>
      <c r="AC787" s="21"/>
      <c r="AE787" s="21"/>
    </row>
    <row r="788" spans="26:31">
      <c r="Z788" s="14"/>
      <c r="AA788" s="14"/>
      <c r="AC788" s="21"/>
      <c r="AE788" s="21"/>
    </row>
    <row r="789" spans="26:31">
      <c r="Z789" s="14"/>
      <c r="AA789" s="14"/>
      <c r="AC789" s="21"/>
      <c r="AE789" s="21"/>
    </row>
    <row r="790" spans="26:31">
      <c r="Z790" s="14"/>
      <c r="AA790" s="14"/>
      <c r="AC790" s="21"/>
      <c r="AE790" s="21"/>
    </row>
    <row r="791" spans="26:31">
      <c r="Z791" s="14"/>
      <c r="AA791" s="14"/>
      <c r="AC791" s="21"/>
      <c r="AE791" s="21"/>
    </row>
    <row r="792" spans="26:31">
      <c r="Z792" s="14"/>
      <c r="AA792" s="14"/>
      <c r="AC792" s="21"/>
      <c r="AE792" s="21"/>
    </row>
    <row r="793" spans="26:31">
      <c r="Z793" s="14"/>
      <c r="AA793" s="14"/>
      <c r="AC793" s="21"/>
      <c r="AE793" s="21"/>
    </row>
    <row r="794" spans="26:31">
      <c r="Z794" s="14"/>
      <c r="AA794" s="14"/>
      <c r="AC794" s="21"/>
      <c r="AE794" s="21"/>
    </row>
    <row r="795" spans="26:31">
      <c r="Z795" s="14"/>
      <c r="AA795" s="14"/>
      <c r="AC795" s="21"/>
      <c r="AE795" s="21"/>
    </row>
    <row r="796" spans="26:31">
      <c r="Z796" s="14"/>
      <c r="AA796" s="14"/>
      <c r="AC796" s="21"/>
      <c r="AE796" s="21"/>
    </row>
    <row r="797" spans="26:31">
      <c r="Z797" s="14"/>
      <c r="AA797" s="14"/>
      <c r="AC797" s="21"/>
      <c r="AE797" s="21"/>
    </row>
    <row r="798" spans="26:31">
      <c r="Z798" s="14"/>
      <c r="AA798" s="14"/>
      <c r="AC798" s="21"/>
      <c r="AE798" s="21"/>
    </row>
    <row r="799" spans="26:31">
      <c r="Z799" s="14"/>
      <c r="AA799" s="14"/>
      <c r="AC799" s="21"/>
      <c r="AE799" s="21"/>
    </row>
    <row r="800" spans="26:31">
      <c r="Z800" s="14"/>
      <c r="AA800" s="14"/>
      <c r="AC800" s="21"/>
      <c r="AE800" s="21"/>
    </row>
    <row r="801" spans="26:31">
      <c r="Z801" s="14"/>
      <c r="AA801" s="14"/>
      <c r="AC801" s="21"/>
      <c r="AE801" s="21"/>
    </row>
    <row r="802" spans="26:31">
      <c r="Z802" s="14"/>
      <c r="AA802" s="14"/>
      <c r="AC802" s="21"/>
      <c r="AE802" s="21"/>
    </row>
    <row r="803" spans="26:31">
      <c r="Z803" s="14"/>
      <c r="AA803" s="14"/>
      <c r="AC803" s="21"/>
      <c r="AE803" s="21"/>
    </row>
    <row r="804" spans="26:31">
      <c r="Z804" s="14"/>
      <c r="AA804" s="14"/>
      <c r="AC804" s="21"/>
      <c r="AE804" s="21"/>
    </row>
    <row r="805" spans="26:31">
      <c r="Z805" s="14"/>
      <c r="AA805" s="14"/>
      <c r="AC805" s="21"/>
      <c r="AE805" s="21"/>
    </row>
    <row r="806" spans="26:31">
      <c r="Z806" s="14"/>
      <c r="AA806" s="14"/>
      <c r="AC806" s="21"/>
      <c r="AE806" s="21"/>
    </row>
    <row r="807" spans="26:31">
      <c r="Z807" s="14"/>
      <c r="AA807" s="14"/>
      <c r="AC807" s="21"/>
      <c r="AE807" s="21"/>
    </row>
    <row r="808" spans="26:31">
      <c r="Z808" s="14"/>
      <c r="AA808" s="14"/>
      <c r="AC808" s="21"/>
      <c r="AE808" s="21"/>
    </row>
    <row r="809" spans="26:31">
      <c r="Z809" s="14"/>
      <c r="AA809" s="14"/>
      <c r="AC809" s="21"/>
      <c r="AE809" s="21"/>
    </row>
    <row r="810" spans="26:31">
      <c r="Z810" s="14"/>
      <c r="AA810" s="14"/>
      <c r="AC810" s="21"/>
      <c r="AE810" s="21"/>
    </row>
    <row r="811" spans="26:31">
      <c r="Z811" s="14"/>
      <c r="AA811" s="14"/>
      <c r="AC811" s="21"/>
      <c r="AE811" s="21"/>
    </row>
    <row r="812" spans="26:31">
      <c r="Z812" s="14"/>
      <c r="AA812" s="14"/>
      <c r="AC812" s="21"/>
      <c r="AE812" s="21"/>
    </row>
    <row r="813" spans="26:31">
      <c r="Z813" s="14"/>
      <c r="AA813" s="14"/>
      <c r="AC813" s="21"/>
      <c r="AE813" s="21"/>
    </row>
    <row r="814" spans="26:31">
      <c r="Z814" s="14"/>
      <c r="AA814" s="14"/>
      <c r="AC814" s="21"/>
      <c r="AE814" s="21"/>
    </row>
    <row r="815" spans="26:31">
      <c r="Z815" s="14"/>
      <c r="AA815" s="14"/>
      <c r="AC815" s="21"/>
      <c r="AE815" s="21"/>
    </row>
    <row r="816" spans="26:31">
      <c r="Z816" s="14"/>
      <c r="AA816" s="14"/>
      <c r="AC816" s="21"/>
      <c r="AE816" s="21"/>
    </row>
    <row r="817" spans="26:31">
      <c r="Z817" s="14"/>
      <c r="AA817" s="14"/>
      <c r="AC817" s="21"/>
      <c r="AE817" s="21"/>
    </row>
    <row r="818" spans="26:31">
      <c r="Z818" s="14"/>
      <c r="AA818" s="14"/>
      <c r="AC818" s="21"/>
      <c r="AE818" s="21"/>
    </row>
    <row r="819" spans="26:31">
      <c r="Z819" s="14"/>
      <c r="AA819" s="14"/>
      <c r="AC819" s="21"/>
      <c r="AE819" s="21"/>
    </row>
    <row r="820" spans="26:31">
      <c r="Z820" s="14"/>
      <c r="AA820" s="14"/>
      <c r="AC820" s="21"/>
      <c r="AE820" s="21"/>
    </row>
    <row r="821" spans="26:31">
      <c r="Z821" s="14"/>
      <c r="AA821" s="14"/>
      <c r="AC821" s="21"/>
      <c r="AE821" s="21"/>
    </row>
    <row r="822" spans="26:31">
      <c r="Z822" s="14"/>
      <c r="AA822" s="14"/>
      <c r="AC822" s="21"/>
      <c r="AE822" s="21"/>
    </row>
    <row r="823" spans="26:31">
      <c r="Z823" s="14"/>
      <c r="AA823" s="14"/>
      <c r="AC823" s="21"/>
      <c r="AE823" s="21"/>
    </row>
    <row r="824" spans="26:31">
      <c r="Z824" s="14"/>
      <c r="AA824" s="14"/>
      <c r="AC824" s="21"/>
      <c r="AE824" s="21"/>
    </row>
    <row r="825" spans="26:31">
      <c r="Z825" s="14"/>
      <c r="AA825" s="14"/>
      <c r="AC825" s="21"/>
      <c r="AE825" s="21"/>
    </row>
    <row r="826" spans="26:31">
      <c r="Z826" s="14"/>
      <c r="AA826" s="14"/>
      <c r="AC826" s="21"/>
      <c r="AE826" s="21"/>
    </row>
    <row r="827" spans="26:31">
      <c r="Z827" s="14"/>
      <c r="AA827" s="14"/>
      <c r="AC827" s="21"/>
      <c r="AE827" s="21"/>
    </row>
    <row r="828" spans="26:31">
      <c r="Z828" s="14"/>
      <c r="AA828" s="14"/>
      <c r="AC828" s="21"/>
      <c r="AE828" s="21"/>
    </row>
    <row r="829" spans="26:31">
      <c r="Z829" s="14"/>
      <c r="AA829" s="14"/>
      <c r="AC829" s="21"/>
      <c r="AE829" s="21"/>
    </row>
    <row r="830" spans="26:31">
      <c r="Z830" s="14"/>
      <c r="AA830" s="14"/>
      <c r="AC830" s="21"/>
      <c r="AE830" s="21"/>
    </row>
    <row r="831" spans="26:31">
      <c r="Z831" s="14"/>
      <c r="AA831" s="14"/>
      <c r="AC831" s="21"/>
      <c r="AE831" s="21"/>
    </row>
    <row r="832" spans="26:31">
      <c r="Z832" s="14"/>
      <c r="AA832" s="14"/>
      <c r="AC832" s="21"/>
      <c r="AE832" s="21"/>
    </row>
    <row r="833" spans="26:31">
      <c r="Z833" s="14"/>
      <c r="AA833" s="14"/>
      <c r="AC833" s="21"/>
      <c r="AE833" s="21"/>
    </row>
    <row r="834" spans="26:31">
      <c r="Z834" s="14"/>
      <c r="AA834" s="14"/>
      <c r="AC834" s="21"/>
      <c r="AE834" s="21"/>
    </row>
    <row r="835" spans="26:31">
      <c r="Z835" s="14"/>
      <c r="AA835" s="14"/>
      <c r="AC835" s="21"/>
      <c r="AE835" s="21"/>
    </row>
    <row r="836" spans="26:31">
      <c r="Z836" s="14"/>
      <c r="AA836" s="14"/>
      <c r="AC836" s="21"/>
      <c r="AE836" s="21"/>
    </row>
    <row r="837" spans="26:31">
      <c r="Z837" s="14"/>
      <c r="AA837" s="14"/>
      <c r="AC837" s="21"/>
      <c r="AE837" s="21"/>
    </row>
    <row r="838" spans="26:31">
      <c r="Z838" s="14"/>
      <c r="AA838" s="14"/>
      <c r="AC838" s="21"/>
      <c r="AE838" s="21"/>
    </row>
    <row r="839" spans="26:31">
      <c r="Z839" s="14"/>
      <c r="AA839" s="14"/>
      <c r="AC839" s="21"/>
      <c r="AE839" s="21"/>
    </row>
    <row r="840" spans="26:31">
      <c r="Z840" s="14"/>
      <c r="AA840" s="14"/>
      <c r="AC840" s="21"/>
      <c r="AE840" s="21"/>
    </row>
    <row r="841" spans="26:31">
      <c r="Z841" s="14"/>
      <c r="AA841" s="14"/>
      <c r="AC841" s="21"/>
      <c r="AE841" s="21"/>
    </row>
    <row r="842" spans="26:31">
      <c r="Z842" s="14"/>
      <c r="AA842" s="14"/>
      <c r="AC842" s="21"/>
      <c r="AE842" s="21"/>
    </row>
    <row r="843" spans="26:31">
      <c r="Z843" s="14"/>
      <c r="AA843" s="14"/>
      <c r="AC843" s="21"/>
      <c r="AE843" s="21"/>
    </row>
    <row r="844" spans="26:31">
      <c r="Z844" s="14"/>
      <c r="AA844" s="14"/>
      <c r="AC844" s="21"/>
      <c r="AE844" s="21"/>
    </row>
    <row r="845" spans="26:31">
      <c r="Z845" s="14"/>
      <c r="AA845" s="14"/>
      <c r="AC845" s="21"/>
      <c r="AE845" s="21"/>
    </row>
    <row r="846" spans="26:31">
      <c r="Z846" s="14"/>
      <c r="AA846" s="14"/>
      <c r="AC846" s="21"/>
      <c r="AE846" s="21"/>
    </row>
    <row r="847" spans="26:31">
      <c r="Z847" s="14"/>
      <c r="AA847" s="14"/>
      <c r="AC847" s="21"/>
      <c r="AE847" s="21"/>
    </row>
    <row r="848" spans="26:31">
      <c r="Z848" s="14"/>
      <c r="AA848" s="14"/>
      <c r="AC848" s="21"/>
      <c r="AE848" s="21"/>
    </row>
    <row r="849" spans="26:31">
      <c r="Z849" s="14"/>
      <c r="AA849" s="14"/>
      <c r="AC849" s="21"/>
      <c r="AE849" s="21"/>
    </row>
    <row r="850" spans="26:31">
      <c r="Z850" s="14"/>
      <c r="AA850" s="14"/>
      <c r="AC850" s="21"/>
      <c r="AE850" s="21"/>
    </row>
    <row r="851" spans="26:31">
      <c r="Z851" s="14"/>
      <c r="AA851" s="14"/>
      <c r="AC851" s="21"/>
      <c r="AE851" s="21"/>
    </row>
    <row r="852" spans="26:31">
      <c r="Z852" s="14"/>
      <c r="AA852" s="14"/>
      <c r="AC852" s="21"/>
      <c r="AE852" s="21"/>
    </row>
    <row r="853" spans="26:31">
      <c r="Z853" s="14"/>
      <c r="AA853" s="14"/>
      <c r="AC853" s="21"/>
      <c r="AE853" s="21"/>
    </row>
    <row r="854" spans="26:31">
      <c r="Z854" s="14"/>
      <c r="AA854" s="14"/>
      <c r="AC854" s="21"/>
      <c r="AE854" s="21"/>
    </row>
    <row r="855" spans="26:31">
      <c r="Z855" s="14"/>
      <c r="AA855" s="14"/>
      <c r="AC855" s="21"/>
      <c r="AE855" s="21"/>
    </row>
    <row r="856" spans="26:31">
      <c r="Z856" s="14"/>
      <c r="AA856" s="14"/>
      <c r="AC856" s="21"/>
      <c r="AE856" s="21"/>
    </row>
    <row r="857" spans="26:31">
      <c r="Z857" s="14"/>
      <c r="AA857" s="14"/>
      <c r="AC857" s="21"/>
      <c r="AE857" s="21"/>
    </row>
    <row r="858" spans="26:31">
      <c r="Z858" s="14"/>
      <c r="AA858" s="14"/>
      <c r="AC858" s="21"/>
      <c r="AE858" s="21"/>
    </row>
    <row r="859" spans="26:31">
      <c r="Z859" s="14"/>
      <c r="AA859" s="14"/>
      <c r="AC859" s="21"/>
      <c r="AE859" s="21"/>
    </row>
    <row r="860" spans="26:31">
      <c r="Z860" s="14"/>
      <c r="AA860" s="14"/>
      <c r="AC860" s="21"/>
      <c r="AE860" s="21"/>
    </row>
    <row r="861" spans="26:31">
      <c r="Z861" s="14"/>
      <c r="AA861" s="14"/>
      <c r="AC861" s="21"/>
      <c r="AE861" s="21"/>
    </row>
    <row r="862" spans="26:31">
      <c r="Z862" s="14"/>
      <c r="AA862" s="14"/>
      <c r="AC862" s="21"/>
      <c r="AE862" s="21"/>
    </row>
    <row r="863" spans="26:31">
      <c r="Z863" s="14"/>
      <c r="AA863" s="14"/>
      <c r="AC863" s="21"/>
      <c r="AE863" s="21"/>
    </row>
    <row r="864" spans="26:31">
      <c r="Z864" s="14"/>
      <c r="AA864" s="14"/>
      <c r="AC864" s="21"/>
      <c r="AE864" s="21"/>
    </row>
    <row r="865" spans="26:31">
      <c r="Z865" s="14"/>
      <c r="AA865" s="14"/>
      <c r="AC865" s="21"/>
      <c r="AE865" s="21"/>
    </row>
    <row r="866" spans="26:31">
      <c r="Z866" s="14"/>
      <c r="AA866" s="14"/>
      <c r="AC866" s="21"/>
      <c r="AE866" s="21"/>
    </row>
    <row r="867" spans="26:31">
      <c r="Z867" s="14"/>
      <c r="AA867" s="14"/>
      <c r="AC867" s="21"/>
      <c r="AE867" s="21"/>
    </row>
    <row r="868" spans="26:31">
      <c r="Z868" s="14"/>
      <c r="AA868" s="14"/>
      <c r="AC868" s="21"/>
      <c r="AE868" s="21"/>
    </row>
    <row r="869" spans="26:31">
      <c r="Z869" s="14"/>
      <c r="AA869" s="14"/>
      <c r="AC869" s="21"/>
      <c r="AE869" s="21"/>
    </row>
    <row r="870" spans="26:31">
      <c r="Z870" s="14"/>
      <c r="AA870" s="14"/>
      <c r="AC870" s="21"/>
      <c r="AE870" s="21"/>
    </row>
    <row r="871" spans="26:31">
      <c r="Z871" s="14"/>
      <c r="AA871" s="14"/>
      <c r="AC871" s="21"/>
      <c r="AE871" s="21"/>
    </row>
    <row r="872" spans="26:31">
      <c r="Z872" s="14"/>
      <c r="AA872" s="14"/>
      <c r="AC872" s="21"/>
      <c r="AE872" s="21"/>
    </row>
    <row r="873" spans="26:31">
      <c r="Z873" s="14"/>
      <c r="AA873" s="14"/>
      <c r="AC873" s="21"/>
      <c r="AE873" s="21"/>
    </row>
    <row r="874" spans="26:31">
      <c r="Z874" s="14"/>
      <c r="AA874" s="14"/>
      <c r="AC874" s="21"/>
      <c r="AE874" s="21"/>
    </row>
    <row r="875" spans="26:31">
      <c r="Z875" s="14"/>
      <c r="AA875" s="14"/>
      <c r="AC875" s="21"/>
      <c r="AE875" s="21"/>
    </row>
    <row r="876" spans="26:31">
      <c r="Z876" s="14"/>
      <c r="AA876" s="14"/>
      <c r="AC876" s="21"/>
      <c r="AE876" s="21"/>
    </row>
    <row r="877" spans="26:31">
      <c r="Z877" s="14"/>
      <c r="AA877" s="14"/>
      <c r="AC877" s="21"/>
      <c r="AE877" s="21"/>
    </row>
    <row r="878" spans="26:31">
      <c r="Z878" s="14"/>
      <c r="AA878" s="14"/>
      <c r="AC878" s="21"/>
      <c r="AE878" s="21"/>
    </row>
    <row r="879" spans="26:31">
      <c r="Z879" s="14"/>
      <c r="AA879" s="14"/>
      <c r="AC879" s="21"/>
      <c r="AE879" s="21"/>
    </row>
    <row r="880" spans="26:31">
      <c r="Z880" s="14"/>
      <c r="AA880" s="14"/>
      <c r="AC880" s="21"/>
      <c r="AE880" s="21"/>
    </row>
    <row r="881" spans="26:31">
      <c r="Z881" s="14"/>
      <c r="AA881" s="14"/>
      <c r="AC881" s="21"/>
      <c r="AE881" s="21"/>
    </row>
    <row r="882" spans="26:31">
      <c r="Z882" s="14"/>
      <c r="AA882" s="14"/>
      <c r="AC882" s="21"/>
      <c r="AE882" s="21"/>
    </row>
    <row r="883" spans="26:31">
      <c r="Z883" s="14"/>
      <c r="AA883" s="14"/>
      <c r="AC883" s="21"/>
      <c r="AE883" s="21"/>
    </row>
    <row r="884" spans="26:31">
      <c r="Z884" s="14"/>
      <c r="AA884" s="14"/>
      <c r="AC884" s="21"/>
      <c r="AE884" s="21"/>
    </row>
    <row r="885" spans="26:31">
      <c r="Z885" s="14"/>
      <c r="AA885" s="14"/>
      <c r="AC885" s="21"/>
      <c r="AE885" s="21"/>
    </row>
    <row r="886" spans="26:31">
      <c r="Z886" s="14"/>
      <c r="AA886" s="14"/>
      <c r="AC886" s="21"/>
      <c r="AE886" s="21"/>
    </row>
    <row r="887" spans="26:31">
      <c r="Z887" s="14"/>
      <c r="AA887" s="14"/>
      <c r="AC887" s="21"/>
      <c r="AE887" s="21"/>
    </row>
    <row r="888" spans="26:31">
      <c r="Z888" s="14"/>
      <c r="AA888" s="14"/>
      <c r="AC888" s="21"/>
      <c r="AE888" s="21"/>
    </row>
    <row r="889" spans="26:31">
      <c r="Z889" s="14"/>
      <c r="AA889" s="14"/>
      <c r="AC889" s="21"/>
      <c r="AE889" s="21"/>
    </row>
    <row r="890" spans="26:31">
      <c r="Z890" s="14"/>
      <c r="AA890" s="14"/>
      <c r="AC890" s="21"/>
      <c r="AE890" s="21"/>
    </row>
    <row r="891" spans="26:31">
      <c r="Z891" s="14"/>
      <c r="AA891" s="14"/>
      <c r="AC891" s="21"/>
      <c r="AE891" s="21"/>
    </row>
    <row r="892" spans="26:31">
      <c r="Z892" s="14"/>
      <c r="AA892" s="14"/>
      <c r="AC892" s="21"/>
      <c r="AE892" s="21"/>
    </row>
    <row r="893" spans="26:31">
      <c r="Z893" s="14"/>
      <c r="AA893" s="14"/>
      <c r="AC893" s="21"/>
      <c r="AE893" s="21"/>
    </row>
    <row r="894" spans="26:31">
      <c r="Z894" s="14"/>
      <c r="AA894" s="14"/>
      <c r="AC894" s="21"/>
      <c r="AE894" s="21"/>
    </row>
    <row r="895" spans="26:31">
      <c r="Z895" s="14"/>
      <c r="AA895" s="14"/>
    </row>
    <row r="896" spans="26:31">
      <c r="Z896" s="14"/>
      <c r="AA896" s="14"/>
    </row>
    <row r="897" spans="26:27">
      <c r="Z897" s="14"/>
      <c r="AA897" s="14"/>
    </row>
    <row r="898" spans="26:27">
      <c r="Z898" s="14"/>
      <c r="AA898" s="14"/>
    </row>
    <row r="899" spans="26:27">
      <c r="Z899" s="14"/>
      <c r="AA899" s="14"/>
    </row>
    <row r="900" spans="26:27">
      <c r="Z900" s="14"/>
      <c r="AA900" s="14"/>
    </row>
    <row r="901" spans="26:27">
      <c r="Z901" s="14"/>
      <c r="AA901" s="14"/>
    </row>
    <row r="902" spans="26:27">
      <c r="Z902" s="14"/>
      <c r="AA902" s="14"/>
    </row>
    <row r="903" spans="26:27">
      <c r="Z903" s="14"/>
      <c r="AA903" s="14"/>
    </row>
    <row r="904" spans="26:27">
      <c r="Z904" s="14"/>
      <c r="AA904" s="14"/>
    </row>
    <row r="905" spans="26:27">
      <c r="Z905" s="14"/>
      <c r="AA905" s="14"/>
    </row>
    <row r="906" spans="26:27">
      <c r="Z906" s="14"/>
      <c r="AA906" s="14"/>
    </row>
    <row r="907" spans="26:27">
      <c r="Z907" s="14"/>
      <c r="AA907" s="14"/>
    </row>
    <row r="908" spans="26:27">
      <c r="Z908" s="14"/>
      <c r="AA908" s="14"/>
    </row>
    <row r="909" spans="26:27">
      <c r="Z909" s="14"/>
      <c r="AA909" s="14"/>
    </row>
    <row r="910" spans="26:27">
      <c r="Z910" s="14"/>
      <c r="AA910" s="14"/>
    </row>
    <row r="911" spans="26:27">
      <c r="Z911" s="14"/>
      <c r="AA911" s="14"/>
    </row>
    <row r="912" spans="26:27">
      <c r="Z912" s="14"/>
      <c r="AA912" s="14"/>
    </row>
    <row r="913" spans="26:27">
      <c r="Z913" s="14"/>
      <c r="AA913" s="14"/>
    </row>
    <row r="914" spans="26:27">
      <c r="Z914" s="14"/>
      <c r="AA914" s="14"/>
    </row>
    <row r="915" spans="26:27">
      <c r="Z915" s="14"/>
      <c r="AA915" s="14"/>
    </row>
    <row r="916" spans="26:27">
      <c r="Z916" s="14"/>
      <c r="AA916" s="14"/>
    </row>
    <row r="917" spans="26:27">
      <c r="Z917" s="14"/>
      <c r="AA917" s="14"/>
    </row>
    <row r="918" spans="26:27">
      <c r="Z918" s="14"/>
      <c r="AA918" s="14"/>
    </row>
    <row r="919" spans="26:27">
      <c r="Z919" s="14"/>
      <c r="AA919" s="14"/>
    </row>
    <row r="920" spans="26:27">
      <c r="Z920" s="14"/>
      <c r="AA920" s="14"/>
    </row>
    <row r="921" spans="26:27">
      <c r="Z921" s="14"/>
      <c r="AA921" s="14"/>
    </row>
    <row r="922" spans="26:27">
      <c r="Z922" s="14"/>
      <c r="AA922" s="14"/>
    </row>
    <row r="923" spans="26:27">
      <c r="Z923" s="14"/>
      <c r="AA923" s="14"/>
    </row>
    <row r="924" spans="26:27">
      <c r="Z924" s="14"/>
      <c r="AA924" s="14"/>
    </row>
    <row r="925" spans="26:27">
      <c r="Z925" s="14"/>
      <c r="AA925" s="14"/>
    </row>
    <row r="926" spans="26:27">
      <c r="Z926" s="14"/>
      <c r="AA926" s="14"/>
    </row>
    <row r="927" spans="26:27">
      <c r="Z927" s="14"/>
      <c r="AA927" s="14"/>
    </row>
    <row r="928" spans="26:27">
      <c r="Z928" s="14"/>
      <c r="AA928" s="14"/>
    </row>
    <row r="929" spans="26:27">
      <c r="Z929" s="14"/>
      <c r="AA929" s="14"/>
    </row>
    <row r="930" spans="26:27">
      <c r="Z930" s="14"/>
      <c r="AA930" s="14"/>
    </row>
    <row r="931" spans="26:27">
      <c r="Z931" s="14"/>
      <c r="AA931" s="14"/>
    </row>
    <row r="932" spans="26:27">
      <c r="Z932" s="14"/>
      <c r="AA932" s="14"/>
    </row>
    <row r="933" spans="26:27">
      <c r="Z933" s="14"/>
      <c r="AA933" s="14"/>
    </row>
    <row r="934" spans="26:27">
      <c r="Z934" s="14"/>
      <c r="AA934" s="14"/>
    </row>
    <row r="935" spans="26:27">
      <c r="Z935" s="14"/>
      <c r="AA935" s="14"/>
    </row>
    <row r="936" spans="26:27">
      <c r="Z936" s="14"/>
      <c r="AA936" s="14"/>
    </row>
    <row r="937" spans="26:27">
      <c r="Z937" s="14"/>
      <c r="AA937" s="14"/>
    </row>
    <row r="938" spans="26:27">
      <c r="Z938" s="14"/>
      <c r="AA938" s="14"/>
    </row>
    <row r="939" spans="26:27">
      <c r="Z939" s="14"/>
      <c r="AA939" s="14"/>
    </row>
    <row r="940" spans="26:27">
      <c r="Z940" s="14"/>
      <c r="AA940" s="14"/>
    </row>
    <row r="941" spans="26:27">
      <c r="Z941" s="14"/>
      <c r="AA941" s="14"/>
    </row>
    <row r="942" spans="26:27">
      <c r="Z942" s="14"/>
      <c r="AA942" s="14"/>
    </row>
    <row r="943" spans="26:27">
      <c r="Z943" s="14"/>
      <c r="AA943" s="14"/>
    </row>
    <row r="944" spans="26:27">
      <c r="Z944" s="14"/>
      <c r="AA944" s="14"/>
    </row>
    <row r="945" spans="26:27">
      <c r="Z945" s="14"/>
      <c r="AA945" s="14"/>
    </row>
    <row r="946" spans="26:27">
      <c r="Z946" s="14"/>
      <c r="AA946" s="14"/>
    </row>
    <row r="947" spans="26:27">
      <c r="Z947" s="14"/>
      <c r="AA947" s="14"/>
    </row>
    <row r="948" spans="26:27">
      <c r="Z948" s="14"/>
      <c r="AA948" s="14"/>
    </row>
    <row r="949" spans="26:27">
      <c r="Z949" s="14"/>
      <c r="AA949" s="14"/>
    </row>
    <row r="950" spans="26:27">
      <c r="Z950" s="14"/>
      <c r="AA950" s="14"/>
    </row>
    <row r="951" spans="26:27">
      <c r="Z951" s="14"/>
      <c r="AA951" s="14"/>
    </row>
    <row r="952" spans="26:27">
      <c r="Z952" s="14"/>
      <c r="AA952" s="14"/>
    </row>
    <row r="953" spans="26:27">
      <c r="Z953" s="14"/>
      <c r="AA953" s="14"/>
    </row>
    <row r="954" spans="26:27">
      <c r="Z954" s="14"/>
      <c r="AA954" s="14"/>
    </row>
    <row r="955" spans="26:27">
      <c r="Z955" s="14"/>
      <c r="AA955" s="14"/>
    </row>
    <row r="956" spans="26:27">
      <c r="Z956" s="14"/>
      <c r="AA956" s="14"/>
    </row>
    <row r="957" spans="26:27">
      <c r="Z957" s="14"/>
      <c r="AA957" s="14"/>
    </row>
    <row r="958" spans="26:27">
      <c r="Z958" s="14"/>
      <c r="AA958" s="14"/>
    </row>
    <row r="959" spans="26:27">
      <c r="Z959" s="14"/>
      <c r="AA959" s="14"/>
    </row>
    <row r="960" spans="26:27">
      <c r="Z960" s="14"/>
      <c r="AA960" s="14"/>
    </row>
    <row r="961" spans="26:27">
      <c r="Z961" s="14"/>
      <c r="AA961" s="14"/>
    </row>
    <row r="962" spans="26:27">
      <c r="Z962" s="14"/>
      <c r="AA962" s="14"/>
    </row>
    <row r="963" spans="26:27">
      <c r="Z963" s="14"/>
      <c r="AA963" s="14"/>
    </row>
    <row r="964" spans="26:27">
      <c r="Z964" s="14"/>
      <c r="AA964" s="14"/>
    </row>
    <row r="965" spans="26:27">
      <c r="Z965" s="14"/>
      <c r="AA965" s="14"/>
    </row>
    <row r="966" spans="26:27">
      <c r="Z966" s="14"/>
      <c r="AA966" s="14"/>
    </row>
    <row r="967" spans="26:27">
      <c r="Z967" s="14"/>
      <c r="AA967" s="14"/>
    </row>
    <row r="968" spans="26:27">
      <c r="Z968" s="14"/>
      <c r="AA968" s="14"/>
    </row>
    <row r="969" spans="26:27">
      <c r="Z969" s="14"/>
      <c r="AA969" s="14"/>
    </row>
    <row r="970" spans="26:27">
      <c r="Z970" s="14"/>
      <c r="AA970" s="14"/>
    </row>
    <row r="971" spans="26:27">
      <c r="Z971" s="14"/>
      <c r="AA971" s="14"/>
    </row>
    <row r="972" spans="26:27">
      <c r="Z972" s="14"/>
      <c r="AA972" s="14"/>
    </row>
    <row r="973" spans="26:27">
      <c r="Z973" s="14"/>
      <c r="AA973" s="14"/>
    </row>
    <row r="974" spans="26:27">
      <c r="Z974" s="14"/>
      <c r="AA974" s="14"/>
    </row>
    <row r="975" spans="26:27">
      <c r="Z975" s="14"/>
      <c r="AA975" s="14"/>
    </row>
    <row r="976" spans="26:27">
      <c r="Z976" s="14"/>
      <c r="AA976" s="14"/>
    </row>
    <row r="977" spans="26:27">
      <c r="Z977" s="14"/>
      <c r="AA977" s="14"/>
    </row>
    <row r="978" spans="26:27">
      <c r="Z978" s="14"/>
      <c r="AA978" s="14"/>
    </row>
    <row r="979" spans="26:27">
      <c r="Z979" s="14"/>
      <c r="AA979" s="14"/>
    </row>
    <row r="980" spans="26:27">
      <c r="Z980" s="14"/>
      <c r="AA980" s="14"/>
    </row>
    <row r="981" spans="26:27">
      <c r="Z981" s="14"/>
      <c r="AA981" s="14"/>
    </row>
    <row r="982" spans="26:27">
      <c r="Z982" s="14"/>
      <c r="AA982" s="14"/>
    </row>
    <row r="983" spans="26:27">
      <c r="Z983" s="14"/>
      <c r="AA983" s="14"/>
    </row>
    <row r="984" spans="26:27">
      <c r="Z984" s="14"/>
      <c r="AA984" s="14"/>
    </row>
    <row r="985" spans="26:27">
      <c r="Z985" s="14"/>
      <c r="AA985" s="14"/>
    </row>
    <row r="986" spans="26:27">
      <c r="Z986" s="14"/>
      <c r="AA986" s="14"/>
    </row>
    <row r="987" spans="26:27">
      <c r="Z987" s="14"/>
      <c r="AA987" s="14"/>
    </row>
    <row r="988" spans="26:27">
      <c r="Z988" s="14"/>
      <c r="AA988" s="14"/>
    </row>
    <row r="989" spans="26:27">
      <c r="Z989" s="14"/>
      <c r="AA989" s="14"/>
    </row>
    <row r="990" spans="26:27">
      <c r="Z990" s="14"/>
      <c r="AA990" s="14"/>
    </row>
    <row r="991" spans="26:27">
      <c r="Z991" s="14"/>
      <c r="AA991" s="14"/>
    </row>
    <row r="992" spans="26:27">
      <c r="Z992" s="14"/>
      <c r="AA992" s="14"/>
    </row>
    <row r="993" spans="26:27">
      <c r="Z993" s="14"/>
      <c r="AA993" s="14"/>
    </row>
    <row r="994" spans="26:27">
      <c r="Z994" s="14"/>
      <c r="AA994" s="14"/>
    </row>
    <row r="995" spans="26:27">
      <c r="Z995" s="14"/>
      <c r="AA995" s="14"/>
    </row>
    <row r="996" spans="26:27">
      <c r="Z996" s="14"/>
      <c r="AA996" s="14"/>
    </row>
    <row r="997" spans="26:27">
      <c r="Z997" s="14"/>
      <c r="AA997" s="14"/>
    </row>
    <row r="998" spans="26:27">
      <c r="Z998" s="14"/>
      <c r="AA998" s="14"/>
    </row>
    <row r="999" spans="26:27">
      <c r="Z999" s="14"/>
      <c r="AA999" s="14"/>
    </row>
    <row r="1000" spans="26:27">
      <c r="Z1000" s="14"/>
      <c r="AA1000" s="14"/>
    </row>
    <row r="1001" spans="26:27">
      <c r="Z1001" s="14"/>
      <c r="AA1001" s="14"/>
    </row>
    <row r="1002" spans="26:27">
      <c r="Z1002" s="14"/>
      <c r="AA1002" s="14"/>
    </row>
    <row r="1003" spans="26:27">
      <c r="Z1003" s="14"/>
      <c r="AA1003" s="14"/>
    </row>
    <row r="1004" spans="26:27">
      <c r="Z1004" s="14"/>
      <c r="AA1004" s="14"/>
    </row>
    <row r="1005" spans="26:27">
      <c r="Z1005" s="14"/>
      <c r="AA1005" s="14"/>
    </row>
    <row r="1006" spans="26:27">
      <c r="Z1006" s="14"/>
      <c r="AA1006" s="14"/>
    </row>
    <row r="1007" spans="26:27">
      <c r="Z1007" s="14"/>
      <c r="AA1007" s="14"/>
    </row>
    <row r="1008" spans="26:27">
      <c r="Z1008" s="14"/>
      <c r="AA1008" s="14"/>
    </row>
    <row r="1009" spans="26:27">
      <c r="Z1009" s="14"/>
      <c r="AA1009" s="14"/>
    </row>
    <row r="1010" spans="26:27">
      <c r="Z1010" s="14"/>
      <c r="AA1010" s="14"/>
    </row>
    <row r="1011" spans="26:27">
      <c r="Z1011" s="14"/>
      <c r="AA1011" s="14"/>
    </row>
    <row r="1012" spans="26:27">
      <c r="Z1012" s="14"/>
      <c r="AA1012" s="14"/>
    </row>
    <row r="1013" spans="26:27">
      <c r="Z1013" s="14"/>
      <c r="AA1013" s="14"/>
    </row>
    <row r="1014" spans="26:27">
      <c r="Z1014" s="14"/>
      <c r="AA1014" s="14"/>
    </row>
    <row r="1015" spans="26:27">
      <c r="Z1015" s="14"/>
      <c r="AA1015" s="14"/>
    </row>
    <row r="1016" spans="26:27">
      <c r="Z1016" s="14"/>
      <c r="AA1016" s="14"/>
    </row>
    <row r="1017" spans="26:27">
      <c r="Z1017" s="14"/>
      <c r="AA1017" s="14"/>
    </row>
    <row r="1018" spans="26:27">
      <c r="Z1018" s="14"/>
      <c r="AA1018" s="14"/>
    </row>
    <row r="1019" spans="26:27">
      <c r="Z1019" s="14"/>
      <c r="AA1019" s="14"/>
    </row>
    <row r="1020" spans="26:27">
      <c r="Z1020" s="14"/>
      <c r="AA1020" s="14"/>
    </row>
    <row r="1021" spans="26:27">
      <c r="Z1021" s="14"/>
      <c r="AA1021" s="14"/>
    </row>
    <row r="1022" spans="26:27">
      <c r="Z1022" s="14"/>
      <c r="AA1022" s="14"/>
    </row>
    <row r="1023" spans="26:27">
      <c r="Z1023" s="14"/>
      <c r="AA1023" s="14"/>
    </row>
    <row r="1024" spans="26:27">
      <c r="Z1024" s="14"/>
      <c r="AA1024" s="14"/>
    </row>
    <row r="1025" spans="26:27">
      <c r="Z1025" s="14"/>
      <c r="AA1025" s="14"/>
    </row>
    <row r="1026" spans="26:27">
      <c r="Z1026" s="14"/>
      <c r="AA1026" s="14"/>
    </row>
    <row r="1027" spans="26:27">
      <c r="Z1027" s="14"/>
      <c r="AA1027" s="14"/>
    </row>
    <row r="1028" spans="26:27">
      <c r="Z1028" s="14"/>
      <c r="AA1028" s="14"/>
    </row>
    <row r="1029" spans="26:27">
      <c r="Z1029" s="14"/>
      <c r="AA1029" s="14"/>
    </row>
    <row r="1030" spans="26:27">
      <c r="Z1030" s="14"/>
      <c r="AA1030" s="14"/>
    </row>
    <row r="1031" spans="26:27">
      <c r="Z1031" s="14"/>
      <c r="AA1031" s="14"/>
    </row>
    <row r="1032" spans="26:27">
      <c r="Z1032" s="14"/>
      <c r="AA1032" s="14"/>
    </row>
    <row r="1033" spans="26:27">
      <c r="Z1033" s="14"/>
      <c r="AA1033" s="14"/>
    </row>
    <row r="1034" spans="26:27">
      <c r="Z1034" s="14"/>
      <c r="AA1034" s="14"/>
    </row>
    <row r="1035" spans="26:27">
      <c r="Z1035" s="14"/>
      <c r="AA1035" s="14"/>
    </row>
    <row r="1036" spans="26:27">
      <c r="Z1036" s="14"/>
      <c r="AA1036" s="14"/>
    </row>
    <row r="1037" spans="26:27">
      <c r="Z1037" s="14"/>
      <c r="AA1037" s="14"/>
    </row>
    <row r="1038" spans="26:27">
      <c r="Z1038" s="14"/>
      <c r="AA1038" s="14"/>
    </row>
    <row r="1039" spans="26:27">
      <c r="Z1039" s="14"/>
      <c r="AA1039" s="14"/>
    </row>
    <row r="1040" spans="26:27">
      <c r="Z1040" s="14"/>
      <c r="AA1040" s="14"/>
    </row>
    <row r="1041" spans="26:27">
      <c r="Z1041" s="14"/>
      <c r="AA1041" s="14"/>
    </row>
    <row r="1042" spans="26:27">
      <c r="Z1042" s="14"/>
      <c r="AA1042" s="14"/>
    </row>
    <row r="1043" spans="26:27">
      <c r="Z1043" s="14"/>
      <c r="AA1043" s="14"/>
    </row>
    <row r="1044" spans="26:27">
      <c r="Z1044" s="14"/>
      <c r="AA1044" s="14"/>
    </row>
    <row r="1045" spans="26:27">
      <c r="Z1045" s="14"/>
      <c r="AA1045" s="14"/>
    </row>
    <row r="1046" spans="26:27">
      <c r="Z1046" s="14"/>
      <c r="AA1046" s="14"/>
    </row>
    <row r="1047" spans="26:27">
      <c r="Z1047" s="14"/>
      <c r="AA1047" s="14"/>
    </row>
    <row r="1048" spans="26:27">
      <c r="Z1048" s="14"/>
      <c r="AA1048" s="14"/>
    </row>
    <row r="1049" spans="26:27">
      <c r="Z1049" s="14"/>
      <c r="AA1049" s="14"/>
    </row>
    <row r="1050" spans="26:27">
      <c r="Z1050" s="14"/>
      <c r="AA1050" s="14"/>
    </row>
    <row r="1051" spans="26:27">
      <c r="Z1051" s="14"/>
      <c r="AA1051" s="14"/>
    </row>
    <row r="1052" spans="26:27">
      <c r="Z1052" s="14"/>
      <c r="AA1052" s="14"/>
    </row>
    <row r="1053" spans="26:27">
      <c r="Z1053" s="14"/>
      <c r="AA1053" s="14"/>
    </row>
    <row r="1054" spans="26:27">
      <c r="Z1054" s="14"/>
      <c r="AA1054" s="14"/>
    </row>
    <row r="1055" spans="26:27">
      <c r="Z1055" s="14"/>
      <c r="AA1055" s="14"/>
    </row>
    <row r="1056" spans="26:27">
      <c r="Z1056" s="14"/>
      <c r="AA1056" s="14"/>
    </row>
    <row r="1057" spans="26:27">
      <c r="Z1057" s="14"/>
      <c r="AA1057" s="14"/>
    </row>
    <row r="1058" spans="26:27">
      <c r="Z1058" s="14"/>
      <c r="AA1058" s="14"/>
    </row>
    <row r="1059" spans="26:27">
      <c r="Z1059" s="14"/>
      <c r="AA1059" s="14"/>
    </row>
    <row r="1060" spans="26:27">
      <c r="Z1060" s="14"/>
      <c r="AA1060" s="14"/>
    </row>
    <row r="1061" spans="26:27">
      <c r="Z1061" s="14"/>
      <c r="AA1061" s="14"/>
    </row>
    <row r="1062" spans="26:27">
      <c r="Z1062" s="14"/>
      <c r="AA1062" s="14"/>
    </row>
    <row r="1063" spans="26:27">
      <c r="Z1063" s="14"/>
      <c r="AA1063" s="14"/>
    </row>
    <row r="1064" spans="26:27">
      <c r="Z1064" s="14"/>
      <c r="AA1064" s="14"/>
    </row>
    <row r="1065" spans="26:27">
      <c r="Z1065" s="14"/>
      <c r="AA1065" s="14"/>
    </row>
    <row r="1066" spans="26:27">
      <c r="Z1066" s="14"/>
      <c r="AA1066" s="14"/>
    </row>
    <row r="1067" spans="26:27">
      <c r="Z1067" s="14"/>
      <c r="AA1067" s="14"/>
    </row>
    <row r="1068" spans="26:27">
      <c r="Z1068" s="14"/>
      <c r="AA1068" s="14"/>
    </row>
    <row r="1069" spans="26:27">
      <c r="Z1069" s="14"/>
      <c r="AA1069" s="14"/>
    </row>
    <row r="1070" spans="26:27">
      <c r="Z1070" s="14"/>
      <c r="AA1070" s="14"/>
    </row>
    <row r="1071" spans="26:27">
      <c r="Z1071" s="14"/>
      <c r="AA1071" s="14"/>
    </row>
    <row r="1072" spans="26:27">
      <c r="Z1072" s="14"/>
      <c r="AA1072" s="14"/>
    </row>
    <row r="1073" spans="26:27">
      <c r="Z1073" s="14"/>
      <c r="AA1073" s="14"/>
    </row>
    <row r="1074" spans="26:27">
      <c r="Z1074" s="14"/>
      <c r="AA1074" s="14"/>
    </row>
    <row r="1075" spans="26:27">
      <c r="Z1075" s="14"/>
      <c r="AA1075" s="14"/>
    </row>
    <row r="1076" spans="26:27">
      <c r="Z1076" s="14"/>
      <c r="AA1076" s="14"/>
    </row>
    <row r="1077" spans="26:27">
      <c r="Z1077" s="14"/>
      <c r="AA1077" s="14"/>
    </row>
    <row r="1078" spans="26:27">
      <c r="Z1078" s="14"/>
      <c r="AA1078" s="14"/>
    </row>
    <row r="1079" spans="26:27">
      <c r="Z1079" s="14"/>
      <c r="AA1079" s="14"/>
    </row>
    <row r="1080" spans="26:27">
      <c r="Z1080" s="14"/>
      <c r="AA1080" s="14"/>
    </row>
    <row r="1081" spans="26:27">
      <c r="Z1081" s="14"/>
      <c r="AA1081" s="14"/>
    </row>
    <row r="1082" spans="26:27">
      <c r="Z1082" s="14"/>
      <c r="AA1082" s="14"/>
    </row>
    <row r="1083" spans="26:27">
      <c r="Z1083" s="14"/>
      <c r="AA1083" s="14"/>
    </row>
    <row r="1084" spans="26:27">
      <c r="Z1084" s="14"/>
      <c r="AA1084" s="14"/>
    </row>
    <row r="1085" spans="26:27">
      <c r="Z1085" s="14"/>
      <c r="AA1085" s="14"/>
    </row>
    <row r="1086" spans="26:27">
      <c r="Z1086" s="14"/>
      <c r="AA1086" s="14"/>
    </row>
    <row r="1087" spans="26:27">
      <c r="Z1087" s="14"/>
      <c r="AA1087" s="14"/>
    </row>
    <row r="1088" spans="26:27">
      <c r="Z1088" s="14"/>
      <c r="AA1088" s="14"/>
    </row>
    <row r="1089" spans="26:27">
      <c r="Z1089" s="14"/>
      <c r="AA1089" s="14"/>
    </row>
    <row r="1090" spans="26:27">
      <c r="Z1090" s="14"/>
      <c r="AA1090" s="14"/>
    </row>
    <row r="1091" spans="26:27">
      <c r="Z1091" s="14"/>
      <c r="AA1091" s="14"/>
    </row>
    <row r="1092" spans="26:27">
      <c r="Z1092" s="14"/>
      <c r="AA1092" s="14"/>
    </row>
    <row r="1093" spans="26:27">
      <c r="Z1093" s="14"/>
      <c r="AA1093" s="14"/>
    </row>
    <row r="1094" spans="26:27">
      <c r="Z1094" s="14"/>
      <c r="AA1094" s="14"/>
    </row>
    <row r="1095" spans="26:27">
      <c r="Z1095" s="14"/>
      <c r="AA1095" s="14"/>
    </row>
    <row r="1096" spans="26:27">
      <c r="Z1096" s="14"/>
      <c r="AA1096" s="14"/>
    </row>
    <row r="1097" spans="26:27">
      <c r="Z1097" s="14"/>
      <c r="AA1097" s="14"/>
    </row>
    <row r="1098" spans="26:27">
      <c r="Z1098" s="14"/>
      <c r="AA1098" s="14"/>
    </row>
    <row r="1099" spans="26:27">
      <c r="Z1099" s="14"/>
      <c r="AA1099" s="14"/>
    </row>
    <row r="1100" spans="26:27">
      <c r="Z1100" s="14"/>
      <c r="AA1100" s="14"/>
    </row>
    <row r="1101" spans="26:27">
      <c r="Z1101" s="14"/>
      <c r="AA1101" s="14"/>
    </row>
    <row r="1102" spans="26:27">
      <c r="AA1102" s="14"/>
    </row>
    <row r="1103" spans="26:27">
      <c r="AA1103" s="14"/>
    </row>
    <row r="1104" spans="26:27">
      <c r="AA1104" s="14"/>
    </row>
    <row r="1105" spans="27:27">
      <c r="AA1105" s="14"/>
    </row>
    <row r="1106" spans="27:27">
      <c r="AA1106" s="14"/>
    </row>
    <row r="1107" spans="27:27">
      <c r="AA1107" s="14"/>
    </row>
    <row r="1108" spans="27:27">
      <c r="AA1108" s="14"/>
    </row>
    <row r="1109" spans="27:27">
      <c r="AA1109" s="14"/>
    </row>
    <row r="1110" spans="27:27">
      <c r="AA1110" s="14"/>
    </row>
    <row r="1111" spans="27:27">
      <c r="AA1111" s="14"/>
    </row>
    <row r="1112" spans="27:27">
      <c r="AA1112" s="14"/>
    </row>
    <row r="1113" spans="27:27">
      <c r="AA1113" s="14"/>
    </row>
    <row r="1114" spans="27:27">
      <c r="AA1114" s="14"/>
    </row>
    <row r="1115" spans="27:27">
      <c r="AA1115" s="14"/>
    </row>
    <row r="1116" spans="27:27">
      <c r="AA1116" s="14"/>
    </row>
    <row r="1117" spans="27:27">
      <c r="AA1117" s="14"/>
    </row>
    <row r="1118" spans="27:27">
      <c r="AA1118" s="14"/>
    </row>
    <row r="1119" spans="27:27">
      <c r="AA1119" s="14"/>
    </row>
    <row r="1120" spans="27:27">
      <c r="AA1120" s="14"/>
    </row>
    <row r="1121" spans="27:27">
      <c r="AA1121" s="14"/>
    </row>
    <row r="1122" spans="27:27">
      <c r="AA1122" s="14"/>
    </row>
    <row r="1123" spans="27:27">
      <c r="AA1123" s="14"/>
    </row>
    <row r="1124" spans="27:27">
      <c r="AA1124" s="14"/>
    </row>
    <row r="1125" spans="27:27">
      <c r="AA1125" s="14"/>
    </row>
    <row r="1126" spans="27:27">
      <c r="AA1126" s="14"/>
    </row>
    <row r="1127" spans="27:27">
      <c r="AA1127" s="14"/>
    </row>
    <row r="1128" spans="27:27">
      <c r="AA1128" s="14"/>
    </row>
    <row r="1129" spans="27:27">
      <c r="AA1129" s="14"/>
    </row>
    <row r="1130" spans="27:27">
      <c r="AA1130" s="14"/>
    </row>
    <row r="1131" spans="27:27">
      <c r="AA1131" s="14"/>
    </row>
    <row r="1132" spans="27:27">
      <c r="AA1132" s="14"/>
    </row>
    <row r="1133" spans="27:27">
      <c r="AA1133" s="14"/>
    </row>
    <row r="1134" spans="27:27">
      <c r="AA1134" s="14"/>
    </row>
    <row r="1135" spans="27:27">
      <c r="AA1135" s="14"/>
    </row>
    <row r="1136" spans="27:27">
      <c r="AA1136" s="14"/>
    </row>
    <row r="1137" spans="27:27">
      <c r="AA1137" s="14"/>
    </row>
    <row r="1138" spans="27:27">
      <c r="AA1138" s="14"/>
    </row>
    <row r="1139" spans="27:27">
      <c r="AA1139" s="14"/>
    </row>
    <row r="1140" spans="27:27">
      <c r="AA1140" s="14"/>
    </row>
    <row r="1141" spans="27:27">
      <c r="AA1141" s="14"/>
    </row>
    <row r="1142" spans="27:27">
      <c r="AA1142" s="14"/>
    </row>
    <row r="1143" spans="27:27">
      <c r="AA1143" s="14"/>
    </row>
    <row r="1144" spans="27:27">
      <c r="AA1144" s="14"/>
    </row>
    <row r="1145" spans="27:27">
      <c r="AA1145" s="14"/>
    </row>
    <row r="1146" spans="27:27">
      <c r="AA1146" s="14"/>
    </row>
    <row r="1147" spans="27:27">
      <c r="AA1147" s="14"/>
    </row>
    <row r="1148" spans="27:27">
      <c r="AA1148" s="14"/>
    </row>
    <row r="1149" spans="27:27">
      <c r="AA1149" s="14"/>
    </row>
    <row r="1150" spans="27:27">
      <c r="AA1150" s="14"/>
    </row>
    <row r="1151" spans="27:27">
      <c r="AA1151" s="14"/>
    </row>
    <row r="1152" spans="27:27">
      <c r="AA1152" s="14"/>
    </row>
    <row r="1153" spans="27:27">
      <c r="AA1153" s="14"/>
    </row>
    <row r="1154" spans="27:27">
      <c r="AA1154" s="14"/>
    </row>
    <row r="1155" spans="27:27">
      <c r="AA1155" s="14"/>
    </row>
    <row r="1156" spans="27:27">
      <c r="AA1156" s="14"/>
    </row>
    <row r="1157" spans="27:27">
      <c r="AA1157" s="14"/>
    </row>
    <row r="1158" spans="27:27">
      <c r="AA1158" s="14"/>
    </row>
    <row r="1159" spans="27:27">
      <c r="AA1159" s="14"/>
    </row>
    <row r="1160" spans="27:27">
      <c r="AA1160" s="14"/>
    </row>
    <row r="1161" spans="27:27">
      <c r="AA1161" s="14"/>
    </row>
    <row r="1162" spans="27:27">
      <c r="AA1162" s="14"/>
    </row>
    <row r="1163" spans="27:27">
      <c r="AA1163" s="14"/>
    </row>
    <row r="1164" spans="27:27">
      <c r="AA1164" s="14"/>
    </row>
    <row r="1165" spans="27:27">
      <c r="AA1165" s="14"/>
    </row>
    <row r="1166" spans="27:27">
      <c r="AA1166" s="14"/>
    </row>
    <row r="1167" spans="27:27">
      <c r="AA1167" s="14"/>
    </row>
    <row r="1168" spans="27:27">
      <c r="AA1168" s="14"/>
    </row>
    <row r="1169" spans="27:27">
      <c r="AA1169" s="14"/>
    </row>
    <row r="1170" spans="27:27">
      <c r="AA1170" s="14"/>
    </row>
    <row r="1171" spans="27:27">
      <c r="AA1171" s="14"/>
    </row>
    <row r="1172" spans="27:27">
      <c r="AA1172" s="14"/>
    </row>
    <row r="1173" spans="27:27">
      <c r="AA1173" s="14"/>
    </row>
    <row r="1174" spans="27:27">
      <c r="AA1174" s="14"/>
    </row>
    <row r="1175" spans="27:27">
      <c r="AA1175" s="14"/>
    </row>
    <row r="1176" spans="27:27">
      <c r="AA1176" s="14"/>
    </row>
    <row r="1177" spans="27:27">
      <c r="AA1177" s="14"/>
    </row>
    <row r="1178" spans="27:27">
      <c r="AA1178" s="14"/>
    </row>
    <row r="1179" spans="27:27">
      <c r="AA1179" s="14"/>
    </row>
    <row r="1180" spans="27:27">
      <c r="AA1180" s="14"/>
    </row>
    <row r="1181" spans="27:27">
      <c r="AA1181" s="14"/>
    </row>
    <row r="1182" spans="27:27">
      <c r="AA1182" s="14"/>
    </row>
    <row r="1183" spans="27:27">
      <c r="AA1183" s="14"/>
    </row>
    <row r="1184" spans="27:27">
      <c r="AA1184" s="14"/>
    </row>
    <row r="1185" spans="27:27">
      <c r="AA1185" s="14"/>
    </row>
    <row r="1186" spans="27:27">
      <c r="AA1186" s="14"/>
    </row>
    <row r="1187" spans="27:27">
      <c r="AA1187" s="14"/>
    </row>
    <row r="1188" spans="27:27">
      <c r="AA1188" s="14"/>
    </row>
    <row r="1189" spans="27:27">
      <c r="AA1189" s="14"/>
    </row>
    <row r="1190" spans="27:27">
      <c r="AA1190" s="14"/>
    </row>
    <row r="1191" spans="27:27">
      <c r="AA1191" s="14"/>
    </row>
    <row r="1192" spans="27:27">
      <c r="AA1192" s="14"/>
    </row>
    <row r="1193" spans="27:27">
      <c r="AA1193" s="14"/>
    </row>
    <row r="1194" spans="27:27">
      <c r="AA1194" s="14"/>
    </row>
    <row r="1195" spans="27:27">
      <c r="AA1195" s="14"/>
    </row>
    <row r="1196" spans="27:27">
      <c r="AA1196" s="14"/>
    </row>
    <row r="1197" spans="27:27">
      <c r="AA1197" s="14"/>
    </row>
    <row r="1198" spans="27:27">
      <c r="AA1198" s="14"/>
    </row>
    <row r="1199" spans="27:27">
      <c r="AA1199" s="14"/>
    </row>
    <row r="1200" spans="27:27">
      <c r="AA1200" s="14"/>
    </row>
    <row r="1201" spans="27:27">
      <c r="AA1201" s="14"/>
    </row>
    <row r="1202" spans="27:27">
      <c r="AA1202" s="14"/>
    </row>
    <row r="1203" spans="27:27">
      <c r="AA1203" s="14"/>
    </row>
    <row r="1204" spans="27:27">
      <c r="AA1204" s="14"/>
    </row>
    <row r="1205" spans="27:27">
      <c r="AA1205" s="14"/>
    </row>
    <row r="1206" spans="27:27">
      <c r="AA1206" s="14"/>
    </row>
    <row r="1207" spans="27:27">
      <c r="AA1207" s="14"/>
    </row>
    <row r="1208" spans="27:27">
      <c r="AA1208" s="14"/>
    </row>
    <row r="1209" spans="27:27">
      <c r="AA1209" s="14"/>
    </row>
    <row r="1210" spans="27:27">
      <c r="AA1210" s="14"/>
    </row>
    <row r="1211" spans="27:27">
      <c r="AA1211" s="14"/>
    </row>
    <row r="1212" spans="27:27">
      <c r="AA1212" s="14"/>
    </row>
    <row r="1213" spans="27:27">
      <c r="AA1213" s="14"/>
    </row>
    <row r="1214" spans="27:27">
      <c r="AA1214" s="14"/>
    </row>
    <row r="1215" spans="27:27">
      <c r="AA1215" s="14"/>
    </row>
    <row r="1216" spans="27:27">
      <c r="AA1216" s="14"/>
    </row>
    <row r="1217" spans="27:27">
      <c r="AA1217" s="14"/>
    </row>
    <row r="1218" spans="27:27">
      <c r="AA1218" s="14"/>
    </row>
    <row r="1219" spans="27:27">
      <c r="AA1219" s="14"/>
    </row>
    <row r="1220" spans="27:27">
      <c r="AA1220" s="14"/>
    </row>
    <row r="1221" spans="27:27">
      <c r="AA1221" s="14"/>
    </row>
    <row r="1222" spans="27:27">
      <c r="AA1222" s="14"/>
    </row>
    <row r="1223" spans="27:27">
      <c r="AA1223" s="14"/>
    </row>
    <row r="1224" spans="27:27">
      <c r="AA1224" s="14"/>
    </row>
    <row r="1225" spans="27:27">
      <c r="AA1225" s="14"/>
    </row>
    <row r="1226" spans="27:27">
      <c r="AA1226" s="14"/>
    </row>
    <row r="1227" spans="27:27">
      <c r="AA1227" s="14"/>
    </row>
    <row r="1228" spans="27:27">
      <c r="AA1228" s="14"/>
    </row>
    <row r="1229" spans="27:27">
      <c r="AA1229" s="14"/>
    </row>
    <row r="1230" spans="27:27">
      <c r="AA1230" s="14"/>
    </row>
    <row r="1231" spans="27:27">
      <c r="AA1231" s="14"/>
    </row>
    <row r="1232" spans="27:27">
      <c r="AA1232" s="14"/>
    </row>
    <row r="1233" spans="27:27">
      <c r="AA1233" s="14"/>
    </row>
    <row r="1234" spans="27:27">
      <c r="AA1234" s="14"/>
    </row>
    <row r="1235" spans="27:27">
      <c r="AA1235" s="14"/>
    </row>
    <row r="1236" spans="27:27">
      <c r="AA1236" s="14"/>
    </row>
    <row r="1237" spans="27:27">
      <c r="AA1237" s="14"/>
    </row>
    <row r="1238" spans="27:27">
      <c r="AA1238" s="14"/>
    </row>
  </sheetData>
  <autoFilter ref="A1:Y699" xr:uid="{00000000-0009-0000-0000-000009000000}"/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F2231-7767-4A15-B89A-9C5F3B0385E7}">
  <dimension ref="A1:AH1238"/>
  <sheetViews>
    <sheetView zoomScale="90" zoomScaleNormal="90" workbookViewId="0">
      <pane xSplit="10" ySplit="1" topLeftCell="K2" activePane="bottomRight" state="frozen"/>
      <selection pane="bottomRight" activeCell="A2" sqref="A2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2" max="12" width="9.140625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3" max="33" width="9.140625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698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>
      <c r="D2" s="1"/>
      <c r="E2" s="1"/>
      <c r="P2" s="11"/>
      <c r="U2" s="11"/>
      <c r="X2" s="13">
        <f>IF(RIGHT(H2,2)&lt;&gt;"00",H2,"")</f>
        <v>0</v>
      </c>
      <c r="Y2" s="2">
        <f t="shared" ref="Y2:Y65" ca="1" si="0">NETWORKDAYS(P2,$Y$1)</f>
        <v>32133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TAAe+</v>
      </c>
      <c r="AC2" s="2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>0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8</v>
      </c>
      <c r="AE2" s="2">
        <f t="shared" ref="AE2:AE65" ca="1" si="4">IF(U2=$AE$1,"",U2-$AE$1)</f>
        <v>-44986.676271643519</v>
      </c>
      <c r="AF2" s="15"/>
      <c r="AH2" s="16"/>
    </row>
    <row r="3" spans="1:34">
      <c r="D3" s="1"/>
      <c r="E3" s="1"/>
      <c r="P3" s="11"/>
      <c r="U3" s="11"/>
      <c r="X3" s="13">
        <f t="shared" ref="X3:X66" si="5">IF(RIGHT(H3,2)&lt;&gt;"00",H3,"")</f>
        <v>0</v>
      </c>
      <c r="Y3" s="2">
        <f t="shared" ca="1" si="0"/>
        <v>32133</v>
      </c>
      <c r="Z3" s="14">
        <v>1</v>
      </c>
      <c r="AA3" s="1" t="str">
        <f t="shared" ca="1" si="1"/>
        <v>VENCIDO</v>
      </c>
      <c r="AB3" s="1" t="str">
        <f t="shared" si="2"/>
        <v>TAAe+</v>
      </c>
      <c r="AC3" s="2">
        <f t="shared" ref="AC3:AC66" si="6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>0</v>
      </c>
      <c r="AD3" s="2">
        <f t="shared" si="3"/>
        <v>8</v>
      </c>
      <c r="AE3" s="2">
        <f t="shared" ca="1" si="4"/>
        <v>-44986.676271643519</v>
      </c>
      <c r="AF3" s="15"/>
      <c r="AH3" s="17"/>
    </row>
    <row r="4" spans="1:34">
      <c r="D4" s="1"/>
      <c r="E4" s="1"/>
      <c r="P4" s="11"/>
      <c r="U4" s="11"/>
      <c r="X4" s="13">
        <f t="shared" si="5"/>
        <v>0</v>
      </c>
      <c r="Y4" s="2">
        <f t="shared" ca="1" si="0"/>
        <v>32133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>
        <f t="shared" si="6"/>
        <v>0</v>
      </c>
      <c r="AD4" s="2">
        <f t="shared" si="3"/>
        <v>8</v>
      </c>
      <c r="AE4" s="2">
        <f t="shared" ca="1" si="4"/>
        <v>-44986.676271643519</v>
      </c>
      <c r="AF4" s="15"/>
      <c r="AH4" s="16"/>
    </row>
    <row r="5" spans="1:34">
      <c r="C5" s="23"/>
      <c r="D5" s="1"/>
      <c r="E5" s="1"/>
      <c r="P5" s="11"/>
      <c r="U5" s="11"/>
      <c r="X5" s="13">
        <f t="shared" si="5"/>
        <v>0</v>
      </c>
      <c r="Y5" s="2">
        <f t="shared" ca="1" si="0"/>
        <v>32133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>
        <f t="shared" si="6"/>
        <v>0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>
      <c r="D6" s="1"/>
      <c r="E6" s="1"/>
      <c r="P6" s="48"/>
      <c r="X6" s="13">
        <f t="shared" si="5"/>
        <v>0</v>
      </c>
      <c r="Y6" s="2">
        <f t="shared" ca="1" si="0"/>
        <v>32133</v>
      </c>
      <c r="Z6" s="14">
        <v>1</v>
      </c>
      <c r="AA6" s="1" t="str">
        <f t="shared" ca="1" si="1"/>
        <v>VENCIDO</v>
      </c>
      <c r="AB6" s="1" t="str">
        <f t="shared" si="2"/>
        <v>TAAe+</v>
      </c>
      <c r="AC6" s="2">
        <f t="shared" si="6"/>
        <v>0</v>
      </c>
      <c r="AD6" s="2">
        <f t="shared" si="3"/>
        <v>8</v>
      </c>
      <c r="AE6" s="2">
        <f t="shared" ca="1" si="4"/>
        <v>-44986.676271643519</v>
      </c>
      <c r="AF6" s="15"/>
      <c r="AH6" s="16"/>
    </row>
    <row r="7" spans="1:34">
      <c r="D7" s="1"/>
      <c r="E7" s="1"/>
      <c r="P7" s="48"/>
      <c r="U7" s="11"/>
      <c r="X7" s="13">
        <f t="shared" si="5"/>
        <v>0</v>
      </c>
      <c r="Y7" s="2">
        <f t="shared" ca="1" si="0"/>
        <v>32133</v>
      </c>
      <c r="Z7" s="14">
        <v>1</v>
      </c>
      <c r="AA7" s="1" t="str">
        <f t="shared" ca="1" si="1"/>
        <v>VENCIDO</v>
      </c>
      <c r="AB7" s="1" t="str">
        <f t="shared" si="2"/>
        <v>TAAe+</v>
      </c>
      <c r="AC7" s="2">
        <f t="shared" si="6"/>
        <v>0</v>
      </c>
      <c r="AD7" s="2">
        <f t="shared" si="3"/>
        <v>8</v>
      </c>
      <c r="AE7" s="2">
        <f t="shared" ca="1" si="4"/>
        <v>-44986.676271643519</v>
      </c>
      <c r="AF7" s="15"/>
      <c r="AH7" s="16"/>
    </row>
    <row r="8" spans="1:34">
      <c r="C8" s="23"/>
      <c r="D8" s="1"/>
      <c r="E8" s="1"/>
      <c r="P8" s="48"/>
      <c r="U8" s="11"/>
      <c r="X8" s="13">
        <f t="shared" si="5"/>
        <v>0</v>
      </c>
      <c r="Y8" s="2">
        <f t="shared" ca="1" si="0"/>
        <v>32133</v>
      </c>
      <c r="Z8" s="14">
        <v>1</v>
      </c>
      <c r="AA8" s="1" t="str">
        <f t="shared" ca="1" si="1"/>
        <v>VENCIDO</v>
      </c>
      <c r="AB8" s="1" t="str">
        <f t="shared" si="2"/>
        <v>TAAe+</v>
      </c>
      <c r="AC8" s="2">
        <f t="shared" si="6"/>
        <v>0</v>
      </c>
      <c r="AD8" s="2">
        <f t="shared" si="3"/>
        <v>8</v>
      </c>
      <c r="AE8" s="2">
        <f t="shared" ca="1" si="4"/>
        <v>-44986.676271643519</v>
      </c>
      <c r="AF8" s="15"/>
      <c r="AH8" s="16"/>
    </row>
    <row r="9" spans="1:34">
      <c r="D9" s="1"/>
      <c r="E9" s="1"/>
      <c r="P9" s="48"/>
      <c r="U9" s="11"/>
      <c r="X9" s="13">
        <f t="shared" si="5"/>
        <v>0</v>
      </c>
      <c r="Y9" s="2">
        <f t="shared" ca="1" si="0"/>
        <v>32133</v>
      </c>
      <c r="Z9" s="14">
        <v>1</v>
      </c>
      <c r="AA9" s="1" t="str">
        <f t="shared" ca="1" si="1"/>
        <v>VENCIDO</v>
      </c>
      <c r="AB9" s="1" t="str">
        <f t="shared" si="2"/>
        <v>TAAe+</v>
      </c>
      <c r="AC9" s="2">
        <f t="shared" si="6"/>
        <v>0</v>
      </c>
      <c r="AD9" s="2">
        <f t="shared" si="3"/>
        <v>8</v>
      </c>
      <c r="AE9" s="2">
        <f t="shared" ca="1" si="4"/>
        <v>-44986.676271643519</v>
      </c>
      <c r="AF9" s="15"/>
      <c r="AH9" s="16"/>
    </row>
    <row r="10" spans="1:34">
      <c r="D10" s="1"/>
      <c r="E10" s="1"/>
      <c r="P10" s="48"/>
      <c r="X10" s="13">
        <f t="shared" si="5"/>
        <v>0</v>
      </c>
      <c r="Y10" s="2">
        <f t="shared" ca="1" si="0"/>
        <v>32133</v>
      </c>
      <c r="Z10" s="14">
        <v>1</v>
      </c>
      <c r="AA10" s="1" t="str">
        <f t="shared" ca="1" si="1"/>
        <v>VENCIDO</v>
      </c>
      <c r="AB10" s="1" t="str">
        <f t="shared" si="2"/>
        <v>TAAe+</v>
      </c>
      <c r="AC10" s="2">
        <f t="shared" si="6"/>
        <v>0</v>
      </c>
      <c r="AD10" s="2">
        <f t="shared" si="3"/>
        <v>8</v>
      </c>
      <c r="AE10" s="2">
        <f t="shared" ca="1" si="4"/>
        <v>-44986.676271643519</v>
      </c>
      <c r="AF10" s="15"/>
    </row>
    <row r="11" spans="1:34">
      <c r="D11" s="1"/>
      <c r="E11" s="1"/>
      <c r="P11" s="48"/>
      <c r="U11" s="11"/>
      <c r="X11" s="13">
        <f t="shared" si="5"/>
        <v>0</v>
      </c>
      <c r="Y11" s="2">
        <f t="shared" ca="1" si="0"/>
        <v>32133</v>
      </c>
      <c r="Z11" s="14">
        <v>1</v>
      </c>
      <c r="AA11" s="1" t="str">
        <f t="shared" ca="1" si="1"/>
        <v>VENCIDO</v>
      </c>
      <c r="AB11" s="1" t="str">
        <f t="shared" si="2"/>
        <v>TAAe+</v>
      </c>
      <c r="AC11" s="2">
        <f t="shared" si="6"/>
        <v>0</v>
      </c>
      <c r="AD11" s="2">
        <f t="shared" si="3"/>
        <v>8</v>
      </c>
      <c r="AE11" s="2">
        <f t="shared" ca="1" si="4"/>
        <v>-44986.676271643519</v>
      </c>
      <c r="AF11" s="15"/>
    </row>
    <row r="12" spans="1:34">
      <c r="D12" s="1"/>
      <c r="E12" s="1"/>
      <c r="P12" s="48"/>
      <c r="U12" s="11"/>
      <c r="X12" s="13">
        <f t="shared" si="5"/>
        <v>0</v>
      </c>
      <c r="Y12" s="2">
        <f t="shared" ca="1" si="0"/>
        <v>32133</v>
      </c>
      <c r="Z12" s="14">
        <v>1</v>
      </c>
      <c r="AA12" s="1" t="str">
        <f t="shared" ca="1" si="1"/>
        <v>VENCIDO</v>
      </c>
      <c r="AB12" s="1" t="str">
        <f t="shared" si="2"/>
        <v>TAAe+</v>
      </c>
      <c r="AC12" s="2">
        <f t="shared" si="6"/>
        <v>0</v>
      </c>
      <c r="AD12" s="2">
        <f t="shared" si="3"/>
        <v>8</v>
      </c>
      <c r="AE12" s="2">
        <f t="shared" ca="1" si="4"/>
        <v>-44986.676271643519</v>
      </c>
      <c r="AF12" s="15"/>
    </row>
    <row r="13" spans="1:34">
      <c r="D13" s="1"/>
      <c r="E13" s="1"/>
      <c r="P13" s="48"/>
      <c r="U13" s="11"/>
      <c r="X13" s="13">
        <f t="shared" si="5"/>
        <v>0</v>
      </c>
      <c r="Y13" s="2">
        <f t="shared" ca="1" si="0"/>
        <v>32133</v>
      </c>
      <c r="Z13" s="14">
        <v>1</v>
      </c>
      <c r="AA13" s="1" t="str">
        <f t="shared" ca="1" si="1"/>
        <v>VENCIDO</v>
      </c>
      <c r="AB13" s="1" t="str">
        <f t="shared" si="2"/>
        <v>TAAe+</v>
      </c>
      <c r="AC13" s="2">
        <f t="shared" si="6"/>
        <v>0</v>
      </c>
      <c r="AD13" s="2">
        <f t="shared" si="3"/>
        <v>8</v>
      </c>
      <c r="AE13" s="2">
        <f t="shared" ca="1" si="4"/>
        <v>-44986.676271643519</v>
      </c>
      <c r="AF13" s="15"/>
    </row>
    <row r="14" spans="1:34">
      <c r="D14" s="1"/>
      <c r="E14" s="1"/>
      <c r="P14" s="48"/>
      <c r="U14" s="11"/>
      <c r="X14" s="13">
        <f t="shared" si="5"/>
        <v>0</v>
      </c>
      <c r="Y14" s="2">
        <f t="shared" ca="1" si="0"/>
        <v>32133</v>
      </c>
      <c r="Z14" s="14">
        <v>1</v>
      </c>
      <c r="AA14" s="1" t="str">
        <f t="shared" ca="1" si="1"/>
        <v>VENCIDO</v>
      </c>
      <c r="AB14" s="1" t="str">
        <f t="shared" si="2"/>
        <v>TAAe+</v>
      </c>
      <c r="AC14" s="2">
        <f t="shared" si="6"/>
        <v>0</v>
      </c>
      <c r="AD14" s="2">
        <f t="shared" si="3"/>
        <v>8</v>
      </c>
      <c r="AE14" s="2">
        <f t="shared" ca="1" si="4"/>
        <v>-44986.676271643519</v>
      </c>
      <c r="AF14" s="15"/>
    </row>
    <row r="15" spans="1:34">
      <c r="D15" s="1"/>
      <c r="E15" s="1"/>
      <c r="P15" s="48"/>
      <c r="U15" s="11"/>
      <c r="X15" s="13">
        <f t="shared" si="5"/>
        <v>0</v>
      </c>
      <c r="Y15" s="2">
        <f t="shared" ca="1" si="0"/>
        <v>32133</v>
      </c>
      <c r="Z15" s="14">
        <v>1</v>
      </c>
      <c r="AA15" s="1" t="str">
        <f t="shared" ca="1" si="1"/>
        <v>VENCIDO</v>
      </c>
      <c r="AB15" s="1" t="str">
        <f t="shared" si="2"/>
        <v>TAAe+</v>
      </c>
      <c r="AC15" s="2">
        <f t="shared" si="6"/>
        <v>0</v>
      </c>
      <c r="AD15" s="2">
        <f t="shared" si="3"/>
        <v>8</v>
      </c>
      <c r="AE15" s="2">
        <f t="shared" ca="1" si="4"/>
        <v>-44986.676271643519</v>
      </c>
      <c r="AF15" s="15"/>
    </row>
    <row r="16" spans="1:34">
      <c r="D16" s="1"/>
      <c r="E16" s="1"/>
      <c r="P16" s="48"/>
      <c r="U16" s="11"/>
      <c r="X16" s="13">
        <f t="shared" si="5"/>
        <v>0</v>
      </c>
      <c r="Y16" s="2">
        <f t="shared" ca="1" si="0"/>
        <v>32133</v>
      </c>
      <c r="Z16" s="14">
        <v>1</v>
      </c>
      <c r="AA16" s="1" t="str">
        <f t="shared" ca="1" si="1"/>
        <v>VENCIDO</v>
      </c>
      <c r="AB16" s="1" t="str">
        <f t="shared" si="2"/>
        <v>TAAe+</v>
      </c>
      <c r="AC16" s="2">
        <f t="shared" si="6"/>
        <v>0</v>
      </c>
      <c r="AD16" s="2">
        <f t="shared" si="3"/>
        <v>8</v>
      </c>
      <c r="AE16" s="2">
        <f t="shared" ca="1" si="4"/>
        <v>-44986.676271643519</v>
      </c>
      <c r="AF16" s="15"/>
    </row>
    <row r="17" spans="3:32">
      <c r="D17" s="1"/>
      <c r="E17" s="1"/>
      <c r="P17" s="48"/>
      <c r="U17" s="11"/>
      <c r="X17" s="13">
        <f t="shared" si="5"/>
        <v>0</v>
      </c>
      <c r="Y17" s="2">
        <f t="shared" ca="1" si="0"/>
        <v>32133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>
        <f t="shared" si="6"/>
        <v>0</v>
      </c>
      <c r="AD17" s="2">
        <f t="shared" si="3"/>
        <v>8</v>
      </c>
      <c r="AE17" s="2">
        <f t="shared" ca="1" si="4"/>
        <v>-44986.676271643519</v>
      </c>
      <c r="AF17" s="15"/>
    </row>
    <row r="18" spans="3:32">
      <c r="D18" s="1"/>
      <c r="E18" s="1"/>
      <c r="P18" s="48"/>
      <c r="U18" s="11"/>
      <c r="X18" s="13">
        <f t="shared" si="5"/>
        <v>0</v>
      </c>
      <c r="Y18" s="2">
        <f t="shared" ca="1" si="0"/>
        <v>32133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>
        <f t="shared" si="6"/>
        <v>0</v>
      </c>
      <c r="AD18" s="2">
        <f t="shared" si="3"/>
        <v>8</v>
      </c>
      <c r="AE18" s="2">
        <f t="shared" ca="1" si="4"/>
        <v>-44986.676271643519</v>
      </c>
      <c r="AF18" s="15"/>
    </row>
    <row r="19" spans="3:32">
      <c r="D19" s="1"/>
      <c r="E19" s="1"/>
      <c r="P19" s="48"/>
      <c r="U19" s="11"/>
      <c r="X19" s="13">
        <f t="shared" si="5"/>
        <v>0</v>
      </c>
      <c r="Y19" s="2">
        <f t="shared" ca="1" si="0"/>
        <v>32133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>
        <f t="shared" si="6"/>
        <v>0</v>
      </c>
      <c r="AD19" s="2">
        <f t="shared" si="3"/>
        <v>8</v>
      </c>
      <c r="AE19" s="2">
        <f t="shared" ca="1" si="4"/>
        <v>-44986.676271643519</v>
      </c>
      <c r="AF19" s="15"/>
    </row>
    <row r="20" spans="3:32">
      <c r="C20" s="23"/>
      <c r="D20" s="1"/>
      <c r="E20" s="1"/>
      <c r="P20" s="48"/>
      <c r="U20" s="11"/>
      <c r="X20" s="13">
        <f t="shared" si="5"/>
        <v>0</v>
      </c>
      <c r="Y20" s="2">
        <f t="shared" ca="1" si="0"/>
        <v>32133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>
        <f t="shared" si="6"/>
        <v>0</v>
      </c>
      <c r="AD20" s="2">
        <f t="shared" si="3"/>
        <v>8</v>
      </c>
      <c r="AE20" s="2">
        <f t="shared" ca="1" si="4"/>
        <v>-44986.676271643519</v>
      </c>
      <c r="AF20" s="15"/>
    </row>
    <row r="21" spans="3:32">
      <c r="D21" s="1"/>
      <c r="E21" s="1"/>
      <c r="P21" s="48"/>
      <c r="U21" s="11"/>
      <c r="X21" s="13">
        <f t="shared" si="5"/>
        <v>0</v>
      </c>
      <c r="Y21" s="2">
        <f t="shared" ca="1" si="0"/>
        <v>32133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>
        <f t="shared" si="6"/>
        <v>0</v>
      </c>
      <c r="AD21" s="2">
        <f t="shared" si="3"/>
        <v>8</v>
      </c>
      <c r="AE21" s="2">
        <f t="shared" ca="1" si="4"/>
        <v>-44986.676271643519</v>
      </c>
      <c r="AF21" s="15"/>
    </row>
    <row r="22" spans="3:32">
      <c r="D22" s="1"/>
      <c r="E22" s="1"/>
      <c r="P22" s="48"/>
      <c r="U22" s="11"/>
      <c r="X22" s="13">
        <f t="shared" si="5"/>
        <v>0</v>
      </c>
      <c r="Y22" s="2">
        <f t="shared" ca="1" si="0"/>
        <v>32133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>
        <f t="shared" si="6"/>
        <v>0</v>
      </c>
      <c r="AD22" s="2">
        <f t="shared" si="3"/>
        <v>8</v>
      </c>
      <c r="AE22" s="2">
        <f t="shared" ca="1" si="4"/>
        <v>-44986.676271643519</v>
      </c>
      <c r="AF22" s="15"/>
    </row>
    <row r="23" spans="3:32">
      <c r="D23" s="1"/>
      <c r="E23" s="1"/>
      <c r="P23" s="48"/>
      <c r="U23" s="11"/>
      <c r="X23" s="13">
        <f t="shared" si="5"/>
        <v>0</v>
      </c>
      <c r="Y23" s="2">
        <f t="shared" ca="1" si="0"/>
        <v>32133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>
        <f t="shared" si="6"/>
        <v>0</v>
      </c>
      <c r="AD23" s="2">
        <f t="shared" si="3"/>
        <v>8</v>
      </c>
      <c r="AE23" s="2">
        <f t="shared" ca="1" si="4"/>
        <v>-44986.676271643519</v>
      </c>
      <c r="AF23" s="15"/>
    </row>
    <row r="24" spans="3:32">
      <c r="D24" s="1"/>
      <c r="E24" s="1"/>
      <c r="P24" s="48"/>
      <c r="U24" s="11"/>
      <c r="X24" s="13">
        <f t="shared" si="5"/>
        <v>0</v>
      </c>
      <c r="Y24" s="2">
        <f t="shared" ca="1" si="0"/>
        <v>32133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>
        <f t="shared" si="6"/>
        <v>0</v>
      </c>
      <c r="AD24" s="2">
        <f t="shared" si="3"/>
        <v>8</v>
      </c>
      <c r="AE24" s="2">
        <f t="shared" ca="1" si="4"/>
        <v>-44986.676271643519</v>
      </c>
      <c r="AF24" s="15"/>
    </row>
    <row r="25" spans="3:32">
      <c r="D25" s="1"/>
      <c r="E25" s="1"/>
      <c r="P25" s="11"/>
      <c r="U25" s="11"/>
      <c r="X25" s="13">
        <f t="shared" si="5"/>
        <v>0</v>
      </c>
      <c r="Y25" s="2">
        <f t="shared" ca="1" si="0"/>
        <v>32133</v>
      </c>
      <c r="Z25" s="14">
        <v>1</v>
      </c>
      <c r="AA25" s="1" t="str">
        <f t="shared" ca="1" si="1"/>
        <v>VENCIDO</v>
      </c>
      <c r="AB25" s="1" t="str">
        <f t="shared" si="2"/>
        <v>TAAe+</v>
      </c>
      <c r="AC25" s="2">
        <f t="shared" si="6"/>
        <v>0</v>
      </c>
      <c r="AD25" s="2">
        <f t="shared" si="3"/>
        <v>8</v>
      </c>
      <c r="AE25" s="2">
        <f t="shared" ca="1" si="4"/>
        <v>-44986.676271643519</v>
      </c>
      <c r="AF25" s="15"/>
    </row>
    <row r="26" spans="3:32">
      <c r="D26" s="1"/>
      <c r="E26" s="1"/>
      <c r="P26" s="11"/>
      <c r="U26" s="11"/>
      <c r="X26" s="13">
        <f t="shared" si="5"/>
        <v>0</v>
      </c>
      <c r="Y26" s="2">
        <f t="shared" ca="1" si="0"/>
        <v>32133</v>
      </c>
      <c r="Z26" s="14">
        <v>1</v>
      </c>
      <c r="AA26" s="1" t="str">
        <f t="shared" ca="1" si="1"/>
        <v>VENCIDO</v>
      </c>
      <c r="AB26" s="1" t="str">
        <f t="shared" si="2"/>
        <v>TAAe+</v>
      </c>
      <c r="AC26" s="2">
        <f t="shared" si="6"/>
        <v>0</v>
      </c>
      <c r="AD26" s="2">
        <f t="shared" si="3"/>
        <v>8</v>
      </c>
      <c r="AE26" s="2">
        <f t="shared" ca="1" si="4"/>
        <v>-44986.676271643519</v>
      </c>
      <c r="AF26" s="15"/>
    </row>
    <row r="27" spans="3:32">
      <c r="D27" s="1"/>
      <c r="E27" s="1"/>
      <c r="P27" s="11"/>
      <c r="U27" s="11"/>
      <c r="X27" s="13">
        <f t="shared" si="5"/>
        <v>0</v>
      </c>
      <c r="Y27" s="2">
        <f t="shared" ca="1" si="0"/>
        <v>32133</v>
      </c>
      <c r="Z27" s="14">
        <v>1</v>
      </c>
      <c r="AA27" s="1" t="str">
        <f t="shared" ca="1" si="1"/>
        <v>VENCIDO</v>
      </c>
      <c r="AB27" s="1" t="str">
        <f t="shared" si="2"/>
        <v>TAAe+</v>
      </c>
      <c r="AC27" s="2">
        <f t="shared" si="6"/>
        <v>0</v>
      </c>
      <c r="AD27" s="2">
        <f t="shared" si="3"/>
        <v>8</v>
      </c>
      <c r="AE27" s="2">
        <f t="shared" ca="1" si="4"/>
        <v>-44986.676271643519</v>
      </c>
      <c r="AF27" s="15"/>
    </row>
    <row r="28" spans="3:32">
      <c r="D28" s="1"/>
      <c r="E28" s="1"/>
      <c r="P28" s="11"/>
      <c r="U28" s="11"/>
      <c r="X28" s="13">
        <f t="shared" si="5"/>
        <v>0</v>
      </c>
      <c r="Y28" s="2">
        <f t="shared" ca="1" si="0"/>
        <v>32133</v>
      </c>
      <c r="Z28" s="14">
        <v>1</v>
      </c>
      <c r="AA28" s="1" t="str">
        <f t="shared" ca="1" si="1"/>
        <v>VENCIDO</v>
      </c>
      <c r="AB28" s="1" t="str">
        <f t="shared" si="2"/>
        <v>TAAe+</v>
      </c>
      <c r="AC28" s="2">
        <f t="shared" si="6"/>
        <v>0</v>
      </c>
      <c r="AD28" s="2">
        <f t="shared" si="3"/>
        <v>8</v>
      </c>
      <c r="AE28" s="2">
        <f t="shared" ca="1" si="4"/>
        <v>-44986.676271643519</v>
      </c>
      <c r="AF28" s="15"/>
    </row>
    <row r="29" spans="3:32">
      <c r="D29" s="1"/>
      <c r="E29" s="1"/>
      <c r="P29" s="11"/>
      <c r="U29" s="11"/>
      <c r="X29" s="13">
        <f t="shared" si="5"/>
        <v>0</v>
      </c>
      <c r="Y29" s="2">
        <f t="shared" ca="1" si="0"/>
        <v>32133</v>
      </c>
      <c r="Z29" s="14">
        <v>1</v>
      </c>
      <c r="AA29" s="1" t="str">
        <f t="shared" ca="1" si="1"/>
        <v>VENCIDO</v>
      </c>
      <c r="AB29" s="1" t="str">
        <f t="shared" si="2"/>
        <v>TAAe+</v>
      </c>
      <c r="AC29" s="2">
        <f t="shared" si="6"/>
        <v>0</v>
      </c>
      <c r="AD29" s="2">
        <f t="shared" si="3"/>
        <v>8</v>
      </c>
      <c r="AE29" s="2">
        <f t="shared" ca="1" si="4"/>
        <v>-44986.676271643519</v>
      </c>
      <c r="AF29" s="15"/>
    </row>
    <row r="30" spans="3:32">
      <c r="D30" s="1"/>
      <c r="E30" s="1"/>
      <c r="P30" s="11"/>
      <c r="U30" s="11"/>
      <c r="X30" s="13">
        <f t="shared" si="5"/>
        <v>0</v>
      </c>
      <c r="Y30" s="2">
        <f t="shared" ca="1" si="0"/>
        <v>32133</v>
      </c>
      <c r="Z30" s="14">
        <v>1</v>
      </c>
      <c r="AA30" s="1" t="str">
        <f t="shared" ca="1" si="1"/>
        <v>VENCIDO</v>
      </c>
      <c r="AB30" s="1" t="str">
        <f t="shared" si="2"/>
        <v>TAAe+</v>
      </c>
      <c r="AC30" s="2">
        <f t="shared" si="6"/>
        <v>0</v>
      </c>
      <c r="AD30" s="2">
        <f t="shared" si="3"/>
        <v>8</v>
      </c>
      <c r="AE30" s="2">
        <f t="shared" ca="1" si="4"/>
        <v>-44986.676271643519</v>
      </c>
      <c r="AF30" s="15"/>
    </row>
    <row r="31" spans="3:32">
      <c r="D31" s="1"/>
      <c r="E31" s="1"/>
      <c r="P31" s="11"/>
      <c r="U31" s="11"/>
      <c r="X31" s="13">
        <f t="shared" si="5"/>
        <v>0</v>
      </c>
      <c r="Y31" s="2">
        <f t="shared" ca="1" si="0"/>
        <v>32133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>
        <f t="shared" si="6"/>
        <v>0</v>
      </c>
      <c r="AD31" s="2">
        <f t="shared" si="3"/>
        <v>8</v>
      </c>
      <c r="AE31" s="2">
        <f t="shared" ca="1" si="4"/>
        <v>-44986.676271643519</v>
      </c>
      <c r="AF31" s="15"/>
    </row>
    <row r="32" spans="3:32">
      <c r="D32" s="1"/>
      <c r="E32" s="1"/>
      <c r="P32" s="11"/>
      <c r="U32" s="11"/>
      <c r="X32" s="13">
        <f t="shared" si="5"/>
        <v>0</v>
      </c>
      <c r="Y32" s="2">
        <f t="shared" ca="1" si="0"/>
        <v>32133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>
        <f t="shared" si="6"/>
        <v>0</v>
      </c>
      <c r="AD32" s="2">
        <f t="shared" si="3"/>
        <v>8</v>
      </c>
      <c r="AE32" s="2">
        <f t="shared" ca="1" si="4"/>
        <v>-44986.676271643519</v>
      </c>
      <c r="AF32" s="15"/>
    </row>
    <row r="33" spans="4:32">
      <c r="D33" s="1"/>
      <c r="E33" s="1"/>
      <c r="P33" s="11"/>
      <c r="U33" s="11"/>
      <c r="X33" s="13">
        <f t="shared" si="5"/>
        <v>0</v>
      </c>
      <c r="Y33" s="2">
        <f t="shared" ca="1" si="0"/>
        <v>32133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>
        <f t="shared" si="6"/>
        <v>0</v>
      </c>
      <c r="AD33" s="2">
        <f t="shared" si="3"/>
        <v>8</v>
      </c>
      <c r="AE33" s="2">
        <f t="shared" ca="1" si="4"/>
        <v>-44986.676271643519</v>
      </c>
      <c r="AF33" s="15"/>
    </row>
    <row r="34" spans="4:32">
      <c r="D34" s="1"/>
      <c r="E34" s="1"/>
      <c r="P34" s="11"/>
      <c r="U34" s="11"/>
      <c r="X34" s="13">
        <f t="shared" si="5"/>
        <v>0</v>
      </c>
      <c r="Y34" s="2">
        <f t="shared" ca="1" si="0"/>
        <v>32133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>
        <f t="shared" si="6"/>
        <v>0</v>
      </c>
      <c r="AD34" s="2">
        <f t="shared" si="3"/>
        <v>8</v>
      </c>
      <c r="AE34" s="2">
        <f t="shared" ca="1" si="4"/>
        <v>-44986.676271643519</v>
      </c>
      <c r="AF34" s="15"/>
    </row>
    <row r="35" spans="4:32">
      <c r="D35" s="1"/>
      <c r="E35" s="1"/>
      <c r="P35" s="11"/>
      <c r="X35" s="13">
        <f t="shared" si="5"/>
        <v>0</v>
      </c>
      <c r="Y35" s="2">
        <f t="shared" ca="1" si="0"/>
        <v>32133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>
        <f t="shared" si="6"/>
        <v>0</v>
      </c>
      <c r="AD35" s="2">
        <f t="shared" si="3"/>
        <v>8</v>
      </c>
      <c r="AE35" s="2">
        <f t="shared" ca="1" si="4"/>
        <v>-44986.676271643519</v>
      </c>
      <c r="AF35" s="15"/>
    </row>
    <row r="36" spans="4:32">
      <c r="D36" s="1"/>
      <c r="E36" s="1"/>
      <c r="P36" s="11"/>
      <c r="X36" s="13">
        <f t="shared" si="5"/>
        <v>0</v>
      </c>
      <c r="Y36" s="2">
        <f t="shared" ca="1" si="0"/>
        <v>32133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>
        <f t="shared" si="6"/>
        <v>0</v>
      </c>
      <c r="AD36" s="2">
        <f t="shared" si="3"/>
        <v>8</v>
      </c>
      <c r="AE36" s="2">
        <f t="shared" ca="1" si="4"/>
        <v>-44986.676271643519</v>
      </c>
      <c r="AF36" s="15"/>
    </row>
    <row r="37" spans="4:32">
      <c r="D37" s="1"/>
      <c r="E37" s="1"/>
      <c r="P37" s="11"/>
      <c r="X37" s="13">
        <f t="shared" si="5"/>
        <v>0</v>
      </c>
      <c r="Y37" s="2">
        <f t="shared" ca="1" si="0"/>
        <v>32133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>
        <f t="shared" si="6"/>
        <v>0</v>
      </c>
      <c r="AD37" s="2">
        <f t="shared" si="3"/>
        <v>8</v>
      </c>
      <c r="AE37" s="2">
        <f t="shared" ca="1" si="4"/>
        <v>-44986.676271643519</v>
      </c>
      <c r="AF37" s="15"/>
    </row>
    <row r="38" spans="4:32">
      <c r="D38" s="1"/>
      <c r="E38" s="1"/>
      <c r="P38" s="11"/>
      <c r="X38" s="13">
        <f t="shared" si="5"/>
        <v>0</v>
      </c>
      <c r="Y38" s="2">
        <f t="shared" ca="1" si="0"/>
        <v>32133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>
        <f t="shared" si="6"/>
        <v>0</v>
      </c>
      <c r="AD38" s="2">
        <f t="shared" si="3"/>
        <v>8</v>
      </c>
      <c r="AE38" s="2">
        <f t="shared" ca="1" si="4"/>
        <v>-44986.676271643519</v>
      </c>
      <c r="AF38" s="15"/>
    </row>
    <row r="39" spans="4:32">
      <c r="D39" s="1"/>
      <c r="E39" s="1"/>
      <c r="P39" s="11"/>
      <c r="U39" s="11"/>
      <c r="X39" s="13">
        <f t="shared" si="5"/>
        <v>0</v>
      </c>
      <c r="Y39" s="2">
        <f t="shared" ca="1" si="0"/>
        <v>32133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>
        <f t="shared" si="6"/>
        <v>0</v>
      </c>
      <c r="AD39" s="2">
        <f t="shared" si="3"/>
        <v>8</v>
      </c>
      <c r="AE39" s="2">
        <f t="shared" ca="1" si="4"/>
        <v>-44986.676271643519</v>
      </c>
      <c r="AF39" s="15"/>
    </row>
    <row r="40" spans="4:32">
      <c r="D40" s="1"/>
      <c r="E40" s="1"/>
      <c r="P40" s="11"/>
      <c r="X40" s="13">
        <f t="shared" si="5"/>
        <v>0</v>
      </c>
      <c r="Y40" s="2">
        <f t="shared" ca="1" si="0"/>
        <v>32133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>
        <f t="shared" si="6"/>
        <v>0</v>
      </c>
      <c r="AD40" s="2">
        <f t="shared" si="3"/>
        <v>8</v>
      </c>
      <c r="AE40" s="2">
        <f t="shared" ca="1" si="4"/>
        <v>-44986.676271643519</v>
      </c>
      <c r="AF40" s="15"/>
    </row>
    <row r="41" spans="4:32">
      <c r="D41" s="1"/>
      <c r="E41" s="1"/>
      <c r="P41" s="11"/>
      <c r="X41" s="13">
        <f t="shared" si="5"/>
        <v>0</v>
      </c>
      <c r="Y41" s="2">
        <f t="shared" ca="1" si="0"/>
        <v>32133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>
        <f t="shared" si="6"/>
        <v>0</v>
      </c>
      <c r="AD41" s="2">
        <f t="shared" si="3"/>
        <v>8</v>
      </c>
      <c r="AE41" s="2">
        <f t="shared" ca="1" si="4"/>
        <v>-44986.676271643519</v>
      </c>
      <c r="AF41" s="15"/>
    </row>
    <row r="42" spans="4:32">
      <c r="D42" s="1"/>
      <c r="E42" s="1"/>
      <c r="P42" s="11"/>
      <c r="X42" s="13">
        <f t="shared" si="5"/>
        <v>0</v>
      </c>
      <c r="Y42" s="2">
        <f t="shared" ca="1" si="0"/>
        <v>32133</v>
      </c>
      <c r="Z42" s="14">
        <v>1</v>
      </c>
      <c r="AA42" s="1" t="str">
        <f t="shared" ca="1" si="1"/>
        <v>VENCIDO</v>
      </c>
      <c r="AB42" s="1" t="str">
        <f t="shared" si="2"/>
        <v>TAAe+</v>
      </c>
      <c r="AC42" s="2">
        <f t="shared" si="6"/>
        <v>0</v>
      </c>
      <c r="AD42" s="2">
        <f t="shared" si="3"/>
        <v>8</v>
      </c>
      <c r="AE42" s="2">
        <f t="shared" ca="1" si="4"/>
        <v>-44986.676271643519</v>
      </c>
      <c r="AF42" s="15"/>
    </row>
    <row r="43" spans="4:32">
      <c r="D43" s="1"/>
      <c r="E43" s="1"/>
      <c r="P43" s="11"/>
      <c r="X43" s="13">
        <f t="shared" si="5"/>
        <v>0</v>
      </c>
      <c r="Y43" s="2">
        <f t="shared" ca="1" si="0"/>
        <v>32133</v>
      </c>
      <c r="Z43" s="14">
        <v>1</v>
      </c>
      <c r="AA43" s="1" t="str">
        <f t="shared" ca="1" si="1"/>
        <v>VENCIDO</v>
      </c>
      <c r="AB43" s="1" t="str">
        <f t="shared" si="2"/>
        <v>TAAe+</v>
      </c>
      <c r="AC43" s="2">
        <f t="shared" si="6"/>
        <v>0</v>
      </c>
      <c r="AD43" s="2">
        <f t="shared" si="3"/>
        <v>8</v>
      </c>
      <c r="AE43" s="2">
        <f t="shared" ca="1" si="4"/>
        <v>-44986.676271643519</v>
      </c>
      <c r="AF43" s="15"/>
    </row>
    <row r="44" spans="4:32">
      <c r="D44" s="1"/>
      <c r="E44" s="1"/>
      <c r="P44" s="11"/>
      <c r="X44" s="13">
        <f t="shared" si="5"/>
        <v>0</v>
      </c>
      <c r="Y44" s="2">
        <f t="shared" ca="1" si="0"/>
        <v>32133</v>
      </c>
      <c r="Z44" s="14">
        <v>1</v>
      </c>
      <c r="AA44" s="1" t="str">
        <f t="shared" ca="1" si="1"/>
        <v>VENCIDO</v>
      </c>
      <c r="AB44" s="1" t="str">
        <f t="shared" si="2"/>
        <v>TAAe+</v>
      </c>
      <c r="AC44" s="2">
        <f t="shared" si="6"/>
        <v>0</v>
      </c>
      <c r="AD44" s="2">
        <f t="shared" si="3"/>
        <v>8</v>
      </c>
      <c r="AE44" s="2">
        <f t="shared" ca="1" si="4"/>
        <v>-44986.676271643519</v>
      </c>
      <c r="AF44" s="15"/>
    </row>
    <row r="45" spans="4:32">
      <c r="D45" s="1"/>
      <c r="E45" s="1"/>
      <c r="P45" s="11"/>
      <c r="X45" s="13">
        <f t="shared" si="5"/>
        <v>0</v>
      </c>
      <c r="Y45" s="2">
        <f t="shared" ca="1" si="0"/>
        <v>32133</v>
      </c>
      <c r="Z45" s="14">
        <v>1</v>
      </c>
      <c r="AA45" s="1" t="str">
        <f t="shared" ca="1" si="1"/>
        <v>VENCIDO</v>
      </c>
      <c r="AB45" s="1" t="str">
        <f t="shared" si="2"/>
        <v>TAAe+</v>
      </c>
      <c r="AC45" s="2">
        <f t="shared" si="6"/>
        <v>0</v>
      </c>
      <c r="AD45" s="2">
        <f t="shared" si="3"/>
        <v>8</v>
      </c>
      <c r="AE45" s="2">
        <f t="shared" ca="1" si="4"/>
        <v>-44986.676271643519</v>
      </c>
      <c r="AF45" s="15"/>
    </row>
    <row r="46" spans="4:32">
      <c r="D46" s="1"/>
      <c r="E46" s="1"/>
      <c r="P46" s="11"/>
      <c r="X46" s="13">
        <f t="shared" si="5"/>
        <v>0</v>
      </c>
      <c r="Y46" s="2">
        <f t="shared" ca="1" si="0"/>
        <v>32133</v>
      </c>
      <c r="Z46" s="14">
        <v>1</v>
      </c>
      <c r="AA46" s="1" t="str">
        <f t="shared" ca="1" si="1"/>
        <v>VENCIDO</v>
      </c>
      <c r="AB46" s="1" t="str">
        <f t="shared" si="2"/>
        <v>TAAe+</v>
      </c>
      <c r="AC46" s="2">
        <f t="shared" si="6"/>
        <v>0</v>
      </c>
      <c r="AD46" s="2">
        <f t="shared" si="3"/>
        <v>8</v>
      </c>
      <c r="AE46" s="2">
        <f t="shared" ca="1" si="4"/>
        <v>-44986.676271643519</v>
      </c>
      <c r="AF46" s="15"/>
    </row>
    <row r="47" spans="4:32">
      <c r="D47" s="1"/>
      <c r="E47" s="1"/>
      <c r="P47" s="11"/>
      <c r="U47" s="11"/>
      <c r="X47" s="13">
        <f t="shared" si="5"/>
        <v>0</v>
      </c>
      <c r="Y47" s="2">
        <f t="shared" ca="1" si="0"/>
        <v>32133</v>
      </c>
      <c r="Z47" s="14">
        <v>1</v>
      </c>
      <c r="AA47" s="1" t="str">
        <f t="shared" ca="1" si="1"/>
        <v>VENCIDO</v>
      </c>
      <c r="AB47" s="1" t="str">
        <f t="shared" si="2"/>
        <v>TAAe+</v>
      </c>
      <c r="AC47" s="2">
        <f t="shared" si="6"/>
        <v>0</v>
      </c>
      <c r="AD47" s="2">
        <f t="shared" si="3"/>
        <v>8</v>
      </c>
      <c r="AE47" s="2">
        <f t="shared" ca="1" si="4"/>
        <v>-44986.676271643519</v>
      </c>
      <c r="AF47" s="15"/>
    </row>
    <row r="48" spans="4:32">
      <c r="D48" s="1"/>
      <c r="E48" s="1"/>
      <c r="P48" s="11"/>
      <c r="U48" s="11"/>
      <c r="X48" s="13">
        <f t="shared" si="5"/>
        <v>0</v>
      </c>
      <c r="Y48" s="2">
        <f t="shared" ca="1" si="0"/>
        <v>32133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>
        <f t="shared" si="6"/>
        <v>0</v>
      </c>
      <c r="AD48" s="2">
        <f t="shared" si="3"/>
        <v>8</v>
      </c>
      <c r="AE48" s="2">
        <f t="shared" ca="1" si="4"/>
        <v>-44986.676271643519</v>
      </c>
      <c r="AF48" s="15"/>
    </row>
    <row r="49" spans="4:32">
      <c r="D49" s="1"/>
      <c r="E49" s="1"/>
      <c r="P49" s="11"/>
      <c r="X49" s="13">
        <f t="shared" si="5"/>
        <v>0</v>
      </c>
      <c r="Y49" s="2">
        <f t="shared" ca="1" si="0"/>
        <v>32133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>
        <f t="shared" si="6"/>
        <v>0</v>
      </c>
      <c r="AD49" s="2">
        <f t="shared" si="3"/>
        <v>8</v>
      </c>
      <c r="AE49" s="2">
        <f t="shared" ca="1" si="4"/>
        <v>-44986.676271643519</v>
      </c>
      <c r="AF49" s="15"/>
    </row>
    <row r="50" spans="4:32">
      <c r="D50" s="1"/>
      <c r="E50" s="1"/>
      <c r="P50" s="11"/>
      <c r="X50" s="13">
        <f t="shared" si="5"/>
        <v>0</v>
      </c>
      <c r="Y50" s="2">
        <f t="shared" ca="1" si="0"/>
        <v>32133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>
        <f t="shared" si="6"/>
        <v>0</v>
      </c>
      <c r="AD50" s="2">
        <f t="shared" si="3"/>
        <v>8</v>
      </c>
      <c r="AE50" s="2">
        <f t="shared" ca="1" si="4"/>
        <v>-44986.676271643519</v>
      </c>
      <c r="AF50" s="15"/>
    </row>
    <row r="51" spans="4:32">
      <c r="D51" s="1"/>
      <c r="E51" s="1"/>
      <c r="P51" s="11"/>
      <c r="X51" s="13">
        <f t="shared" si="5"/>
        <v>0</v>
      </c>
      <c r="Y51" s="2">
        <f t="shared" ca="1" si="0"/>
        <v>32133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>
        <f t="shared" si="6"/>
        <v>0</v>
      </c>
      <c r="AD51" s="2">
        <f t="shared" si="3"/>
        <v>8</v>
      </c>
      <c r="AE51" s="2">
        <f t="shared" ca="1" si="4"/>
        <v>-44986.676271643519</v>
      </c>
      <c r="AF51" s="15"/>
    </row>
    <row r="52" spans="4:32">
      <c r="D52" s="1"/>
      <c r="E52" s="1"/>
      <c r="P52" s="11"/>
      <c r="X52" s="13">
        <f t="shared" si="5"/>
        <v>0</v>
      </c>
      <c r="Y52" s="2">
        <f t="shared" ca="1" si="0"/>
        <v>32133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>
        <f t="shared" si="6"/>
        <v>0</v>
      </c>
      <c r="AD52" s="2">
        <f t="shared" si="3"/>
        <v>8</v>
      </c>
      <c r="AE52" s="2">
        <f t="shared" ca="1" si="4"/>
        <v>-44986.676271643519</v>
      </c>
      <c r="AF52" s="15"/>
    </row>
    <row r="53" spans="4:32">
      <c r="D53" s="1"/>
      <c r="E53" s="1"/>
      <c r="P53" s="11"/>
      <c r="X53" s="13">
        <f t="shared" si="5"/>
        <v>0</v>
      </c>
      <c r="Y53" s="2">
        <f t="shared" ca="1" si="0"/>
        <v>32133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>
        <f t="shared" si="6"/>
        <v>0</v>
      </c>
      <c r="AD53" s="2">
        <f t="shared" si="3"/>
        <v>8</v>
      </c>
      <c r="AE53" s="2">
        <f t="shared" ca="1" si="4"/>
        <v>-44986.676271643519</v>
      </c>
      <c r="AF53" s="15"/>
    </row>
    <row r="54" spans="4:32">
      <c r="D54" s="1"/>
      <c r="E54" s="1"/>
      <c r="P54" s="11"/>
      <c r="X54" s="13">
        <f t="shared" si="5"/>
        <v>0</v>
      </c>
      <c r="Y54" s="2">
        <f t="shared" ca="1" si="0"/>
        <v>32133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>
        <f t="shared" si="6"/>
        <v>0</v>
      </c>
      <c r="AD54" s="2">
        <f t="shared" si="3"/>
        <v>8</v>
      </c>
      <c r="AE54" s="2">
        <f t="shared" ca="1" si="4"/>
        <v>-44986.676271643519</v>
      </c>
      <c r="AF54" s="15"/>
    </row>
    <row r="55" spans="4:32">
      <c r="D55" s="1"/>
      <c r="E55" s="1"/>
      <c r="P55" s="11"/>
      <c r="X55" s="13">
        <f t="shared" si="5"/>
        <v>0</v>
      </c>
      <c r="Y55" s="2">
        <f t="shared" ca="1" si="0"/>
        <v>32133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>
        <f t="shared" si="6"/>
        <v>0</v>
      </c>
      <c r="AD55" s="2">
        <f t="shared" si="3"/>
        <v>8</v>
      </c>
      <c r="AE55" s="2">
        <f t="shared" ca="1" si="4"/>
        <v>-44986.676271643519</v>
      </c>
      <c r="AF55" s="15"/>
    </row>
    <row r="56" spans="4:32">
      <c r="D56" s="1"/>
      <c r="E56" s="1"/>
      <c r="P56" s="11"/>
      <c r="X56" s="13">
        <f t="shared" si="5"/>
        <v>0</v>
      </c>
      <c r="Y56" s="2">
        <f t="shared" ca="1" si="0"/>
        <v>32133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>
        <f t="shared" si="6"/>
        <v>0</v>
      </c>
      <c r="AD56" s="2">
        <f t="shared" si="3"/>
        <v>8</v>
      </c>
      <c r="AE56" s="2">
        <f t="shared" ca="1" si="4"/>
        <v>-44986.676271643519</v>
      </c>
      <c r="AF56" s="15"/>
    </row>
    <row r="57" spans="4:32">
      <c r="D57" s="1"/>
      <c r="E57" s="1"/>
      <c r="P57" s="11"/>
      <c r="X57" s="13">
        <f t="shared" si="5"/>
        <v>0</v>
      </c>
      <c r="Y57" s="2">
        <f t="shared" ca="1" si="0"/>
        <v>32133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>
        <f t="shared" si="6"/>
        <v>0</v>
      </c>
      <c r="AD57" s="2">
        <f t="shared" si="3"/>
        <v>8</v>
      </c>
      <c r="AE57" s="2">
        <f t="shared" ca="1" si="4"/>
        <v>-44986.676271643519</v>
      </c>
      <c r="AF57" s="15"/>
    </row>
    <row r="58" spans="4:32">
      <c r="D58" s="1"/>
      <c r="E58" s="1"/>
      <c r="P58" s="11"/>
      <c r="X58" s="13">
        <f t="shared" si="5"/>
        <v>0</v>
      </c>
      <c r="Y58" s="2">
        <f t="shared" ca="1" si="0"/>
        <v>32133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>
        <f t="shared" si="6"/>
        <v>0</v>
      </c>
      <c r="AD58" s="2">
        <f t="shared" si="3"/>
        <v>8</v>
      </c>
      <c r="AE58" s="2">
        <f t="shared" ca="1" si="4"/>
        <v>-44986.676271643519</v>
      </c>
      <c r="AF58" s="15"/>
    </row>
    <row r="59" spans="4:32">
      <c r="D59" s="1"/>
      <c r="E59" s="1"/>
      <c r="P59" s="11"/>
      <c r="X59" s="13">
        <f t="shared" si="5"/>
        <v>0</v>
      </c>
      <c r="Y59" s="2">
        <f t="shared" ca="1" si="0"/>
        <v>32133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>
        <f t="shared" si="6"/>
        <v>0</v>
      </c>
      <c r="AD59" s="2">
        <f t="shared" si="3"/>
        <v>8</v>
      </c>
      <c r="AE59" s="2">
        <f t="shared" ca="1" si="4"/>
        <v>-44986.676271643519</v>
      </c>
      <c r="AF59" s="15"/>
    </row>
    <row r="60" spans="4:32">
      <c r="D60" s="1"/>
      <c r="E60" s="1"/>
      <c r="P60" s="11"/>
      <c r="X60" s="13">
        <f t="shared" si="5"/>
        <v>0</v>
      </c>
      <c r="Y60" s="2">
        <f t="shared" ca="1" si="0"/>
        <v>32133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>
        <f t="shared" si="6"/>
        <v>0</v>
      </c>
      <c r="AD60" s="2">
        <f t="shared" si="3"/>
        <v>8</v>
      </c>
      <c r="AE60" s="2">
        <f t="shared" ca="1" si="4"/>
        <v>-44986.676271643519</v>
      </c>
      <c r="AF60" s="15"/>
    </row>
    <row r="61" spans="4:32">
      <c r="D61" s="1"/>
      <c r="E61" s="1"/>
      <c r="P61" s="11"/>
      <c r="X61" s="13">
        <f t="shared" si="5"/>
        <v>0</v>
      </c>
      <c r="Y61" s="2">
        <f t="shared" ca="1" si="0"/>
        <v>32133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>
        <f t="shared" si="6"/>
        <v>0</v>
      </c>
      <c r="AD61" s="2">
        <f t="shared" si="3"/>
        <v>8</v>
      </c>
      <c r="AE61" s="2">
        <f t="shared" ca="1" si="4"/>
        <v>-44986.676271643519</v>
      </c>
      <c r="AF61" s="15"/>
    </row>
    <row r="62" spans="4:32">
      <c r="D62" s="1"/>
      <c r="E62" s="1"/>
      <c r="P62" s="11"/>
      <c r="X62" s="13">
        <f t="shared" si="5"/>
        <v>0</v>
      </c>
      <c r="Y62" s="2">
        <f t="shared" ca="1" si="0"/>
        <v>32133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>
        <f t="shared" si="6"/>
        <v>0</v>
      </c>
      <c r="AD62" s="2">
        <f t="shared" si="3"/>
        <v>8</v>
      </c>
      <c r="AE62" s="2">
        <f t="shared" ca="1" si="4"/>
        <v>-44986.676271643519</v>
      </c>
      <c r="AF62" s="15"/>
    </row>
    <row r="63" spans="4:32">
      <c r="D63" s="1"/>
      <c r="E63" s="1"/>
      <c r="P63" s="11"/>
      <c r="X63" s="13">
        <f t="shared" si="5"/>
        <v>0</v>
      </c>
      <c r="Y63" s="2">
        <f t="shared" ca="1" si="0"/>
        <v>32133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>
        <f t="shared" si="6"/>
        <v>0</v>
      </c>
      <c r="AD63" s="2">
        <f t="shared" si="3"/>
        <v>8</v>
      </c>
      <c r="AE63" s="2">
        <f t="shared" ca="1" si="4"/>
        <v>-44986.676271643519</v>
      </c>
      <c r="AF63" s="15"/>
    </row>
    <row r="64" spans="4:32">
      <c r="D64" s="1"/>
      <c r="E64" s="1"/>
      <c r="P64" s="11"/>
      <c r="X64" s="13">
        <f t="shared" si="5"/>
        <v>0</v>
      </c>
      <c r="Y64" s="2">
        <f t="shared" ca="1" si="0"/>
        <v>32133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>
        <f t="shared" si="6"/>
        <v>0</v>
      </c>
      <c r="AD64" s="2">
        <f t="shared" si="3"/>
        <v>8</v>
      </c>
      <c r="AE64" s="2">
        <f t="shared" ca="1" si="4"/>
        <v>-44986.676271643519</v>
      </c>
      <c r="AF64" s="15"/>
    </row>
    <row r="65" spans="3:32">
      <c r="D65" s="1"/>
      <c r="E65" s="1"/>
      <c r="P65" s="11"/>
      <c r="U65" s="11"/>
      <c r="X65" s="13">
        <f t="shared" si="5"/>
        <v>0</v>
      </c>
      <c r="Y65" s="2">
        <f t="shared" ca="1" si="0"/>
        <v>32133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>
        <f t="shared" si="6"/>
        <v>0</v>
      </c>
      <c r="AD65" s="2">
        <f t="shared" si="3"/>
        <v>8</v>
      </c>
      <c r="AE65" s="2">
        <f t="shared" ca="1" si="4"/>
        <v>-44986.676271643519</v>
      </c>
      <c r="AF65" s="15"/>
    </row>
    <row r="66" spans="3:32">
      <c r="D66" s="1"/>
      <c r="E66" s="1"/>
      <c r="P66" s="11"/>
      <c r="U66" s="11"/>
      <c r="X66" s="13">
        <f t="shared" si="5"/>
        <v>0</v>
      </c>
      <c r="Y66" s="2">
        <f t="shared" ref="Y66:Y129" ca="1" si="7">NETWORKDAYS(P66,$Y$1)</f>
        <v>32133</v>
      </c>
      <c r="Z66" s="14">
        <v>1</v>
      </c>
      <c r="AA66" s="1" t="str">
        <f t="shared" ref="AA66:AA129" ca="1" si="8">IF(AE66=0,"HOJE",IF(AE66&gt;0,"A VENCER",IF(AE66&lt;0,"VENCIDO")))</f>
        <v>VENCIDO</v>
      </c>
      <c r="AB66" s="1" t="str">
        <f t="shared" ref="AB66:AB129" si="9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>
        <f t="shared" si="6"/>
        <v>0</v>
      </c>
      <c r="AD66" s="2">
        <f t="shared" ref="AD66:AD129" si="10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1">IF(U66=$AE$1,"",U66-$AE$1)</f>
        <v>-44986.676271643519</v>
      </c>
      <c r="AF66" s="15"/>
    </row>
    <row r="67" spans="3:32">
      <c r="C67" s="23"/>
      <c r="D67" s="1"/>
      <c r="E67" s="1"/>
      <c r="P67" s="11"/>
      <c r="U67" s="11"/>
      <c r="X67" s="13">
        <f t="shared" ref="X67:X130" si="12">IF(RIGHT(H67,2)&lt;&gt;"00",H67,"")</f>
        <v>0</v>
      </c>
      <c r="Y67" s="2">
        <f t="shared" ca="1" si="7"/>
        <v>32133</v>
      </c>
      <c r="Z67" s="14">
        <v>1</v>
      </c>
      <c r="AA67" s="1" t="str">
        <f t="shared" ca="1" si="8"/>
        <v>VENCIDO</v>
      </c>
      <c r="AB67" s="1" t="str">
        <f t="shared" si="9"/>
        <v>TAAe+</v>
      </c>
      <c r="AC67" s="2">
        <f t="shared" ref="AC67:AC130" si="13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>0</v>
      </c>
      <c r="AD67" s="2">
        <f t="shared" si="10"/>
        <v>8</v>
      </c>
      <c r="AE67" s="2">
        <f t="shared" ca="1" si="11"/>
        <v>-44986.676271643519</v>
      </c>
      <c r="AF67" s="15"/>
    </row>
    <row r="68" spans="3:32">
      <c r="C68" s="23"/>
      <c r="D68" s="1"/>
      <c r="E68" s="1"/>
      <c r="P68" s="11"/>
      <c r="U68" s="11"/>
      <c r="X68" s="13">
        <f t="shared" si="12"/>
        <v>0</v>
      </c>
      <c r="Y68" s="2">
        <f t="shared" ca="1" si="7"/>
        <v>32133</v>
      </c>
      <c r="Z68" s="14">
        <v>1</v>
      </c>
      <c r="AA68" s="1" t="str">
        <f t="shared" ca="1" si="8"/>
        <v>VENCIDO</v>
      </c>
      <c r="AB68" s="1" t="str">
        <f t="shared" si="9"/>
        <v>TAAe+</v>
      </c>
      <c r="AC68" s="2">
        <f t="shared" si="13"/>
        <v>0</v>
      </c>
      <c r="AD68" s="2">
        <f t="shared" si="10"/>
        <v>8</v>
      </c>
      <c r="AE68" s="2">
        <f t="shared" ca="1" si="11"/>
        <v>-44986.676271643519</v>
      </c>
      <c r="AF68" s="15"/>
    </row>
    <row r="69" spans="3:32">
      <c r="C69" s="23"/>
      <c r="D69" s="1"/>
      <c r="E69" s="1"/>
      <c r="P69" s="11"/>
      <c r="U69" s="11"/>
      <c r="X69" s="13">
        <f t="shared" si="12"/>
        <v>0</v>
      </c>
      <c r="Y69" s="2">
        <f t="shared" ca="1" si="7"/>
        <v>32133</v>
      </c>
      <c r="Z69" s="14">
        <v>1</v>
      </c>
      <c r="AA69" s="1" t="str">
        <f t="shared" ca="1" si="8"/>
        <v>VENCIDO</v>
      </c>
      <c r="AB69" s="1" t="str">
        <f t="shared" si="9"/>
        <v>TAAe+</v>
      </c>
      <c r="AC69" s="2">
        <f t="shared" si="13"/>
        <v>0</v>
      </c>
      <c r="AD69" s="2">
        <f t="shared" si="10"/>
        <v>8</v>
      </c>
      <c r="AE69" s="2">
        <f t="shared" ca="1" si="11"/>
        <v>-44986.676271643519</v>
      </c>
      <c r="AF69" s="15"/>
    </row>
    <row r="70" spans="3:32">
      <c r="C70" s="23"/>
      <c r="D70" s="1"/>
      <c r="E70" s="1"/>
      <c r="P70" s="11"/>
      <c r="U70" s="11"/>
      <c r="X70" s="13">
        <f t="shared" si="12"/>
        <v>0</v>
      </c>
      <c r="Y70" s="2">
        <f t="shared" ca="1" si="7"/>
        <v>32133</v>
      </c>
      <c r="Z70" s="14">
        <v>1</v>
      </c>
      <c r="AA70" s="1" t="str">
        <f t="shared" ca="1" si="8"/>
        <v>VENCIDO</v>
      </c>
      <c r="AB70" s="1" t="str">
        <f t="shared" si="9"/>
        <v>TAAe+</v>
      </c>
      <c r="AC70" s="2">
        <f t="shared" si="13"/>
        <v>0</v>
      </c>
      <c r="AD70" s="2">
        <f t="shared" si="10"/>
        <v>8</v>
      </c>
      <c r="AE70" s="2">
        <f t="shared" ca="1" si="11"/>
        <v>-44986.676271643519</v>
      </c>
      <c r="AF70" s="15"/>
    </row>
    <row r="71" spans="3:32">
      <c r="D71" s="1"/>
      <c r="E71" s="1"/>
      <c r="P71" s="11"/>
      <c r="U71" s="11"/>
      <c r="X71" s="13">
        <f t="shared" si="12"/>
        <v>0</v>
      </c>
      <c r="Y71" s="2">
        <f t="shared" ca="1" si="7"/>
        <v>32133</v>
      </c>
      <c r="Z71" s="14">
        <v>1</v>
      </c>
      <c r="AA71" s="1" t="str">
        <f t="shared" ca="1" si="8"/>
        <v>VENCIDO</v>
      </c>
      <c r="AB71" s="1" t="str">
        <f t="shared" si="9"/>
        <v>TAAe+</v>
      </c>
      <c r="AC71" s="2">
        <f t="shared" si="13"/>
        <v>0</v>
      </c>
      <c r="AD71" s="2">
        <f t="shared" si="10"/>
        <v>8</v>
      </c>
      <c r="AE71" s="2">
        <f t="shared" ca="1" si="11"/>
        <v>-44986.676271643519</v>
      </c>
      <c r="AF71" s="15"/>
    </row>
    <row r="72" spans="3:32">
      <c r="D72" s="1"/>
      <c r="E72" s="1"/>
      <c r="P72" s="11"/>
      <c r="X72" s="13">
        <f t="shared" si="12"/>
        <v>0</v>
      </c>
      <c r="Y72" s="2">
        <f t="shared" ca="1" si="7"/>
        <v>32133</v>
      </c>
      <c r="Z72" s="14">
        <v>1</v>
      </c>
      <c r="AA72" s="1" t="str">
        <f t="shared" ca="1" si="8"/>
        <v>VENCIDO</v>
      </c>
      <c r="AB72" s="1" t="str">
        <f t="shared" si="9"/>
        <v>TAAe+</v>
      </c>
      <c r="AC72" s="2">
        <f t="shared" si="13"/>
        <v>0</v>
      </c>
      <c r="AD72" s="2">
        <f t="shared" si="10"/>
        <v>8</v>
      </c>
      <c r="AE72" s="2">
        <f t="shared" ca="1" si="11"/>
        <v>-44986.676271643519</v>
      </c>
      <c r="AF72" s="15"/>
    </row>
    <row r="73" spans="3:32">
      <c r="D73" s="1"/>
      <c r="E73" s="1"/>
      <c r="P73" s="11"/>
      <c r="X73" s="13">
        <f t="shared" si="12"/>
        <v>0</v>
      </c>
      <c r="Y73" s="2">
        <f t="shared" ca="1" si="7"/>
        <v>32133</v>
      </c>
      <c r="Z73" s="14">
        <v>1</v>
      </c>
      <c r="AA73" s="1" t="str">
        <f t="shared" ca="1" si="8"/>
        <v>VENCIDO</v>
      </c>
      <c r="AB73" s="1" t="str">
        <f t="shared" si="9"/>
        <v>TAAe+</v>
      </c>
      <c r="AC73" s="2">
        <f t="shared" si="13"/>
        <v>0</v>
      </c>
      <c r="AD73" s="2">
        <f t="shared" si="10"/>
        <v>8</v>
      </c>
      <c r="AE73" s="2">
        <f t="shared" ca="1" si="11"/>
        <v>-44986.676271643519</v>
      </c>
      <c r="AF73" s="15"/>
    </row>
    <row r="74" spans="3:32">
      <c r="D74" s="1"/>
      <c r="E74" s="1"/>
      <c r="P74" s="11"/>
      <c r="X74" s="13">
        <f t="shared" si="12"/>
        <v>0</v>
      </c>
      <c r="Y74" s="2">
        <f t="shared" ca="1" si="7"/>
        <v>32133</v>
      </c>
      <c r="Z74" s="14">
        <v>1</v>
      </c>
      <c r="AA74" s="1" t="str">
        <f t="shared" ca="1" si="8"/>
        <v>VENCIDO</v>
      </c>
      <c r="AB74" s="1" t="str">
        <f t="shared" si="9"/>
        <v>TAAe+</v>
      </c>
      <c r="AC74" s="2">
        <f t="shared" si="13"/>
        <v>0</v>
      </c>
      <c r="AD74" s="2">
        <f t="shared" si="10"/>
        <v>8</v>
      </c>
      <c r="AE74" s="2">
        <f t="shared" ca="1" si="11"/>
        <v>-44986.676271643519</v>
      </c>
      <c r="AF74" s="15"/>
    </row>
    <row r="75" spans="3:32">
      <c r="D75" s="1"/>
      <c r="E75" s="1"/>
      <c r="P75" s="11"/>
      <c r="X75" s="13">
        <f t="shared" si="12"/>
        <v>0</v>
      </c>
      <c r="Y75" s="2">
        <f t="shared" ca="1" si="7"/>
        <v>32133</v>
      </c>
      <c r="Z75" s="14">
        <v>1</v>
      </c>
      <c r="AA75" s="1" t="str">
        <f t="shared" ca="1" si="8"/>
        <v>VENCIDO</v>
      </c>
      <c r="AB75" s="1" t="str">
        <f t="shared" si="9"/>
        <v>TAAe+</v>
      </c>
      <c r="AC75" s="2">
        <f t="shared" si="13"/>
        <v>0</v>
      </c>
      <c r="AD75" s="2">
        <f t="shared" si="10"/>
        <v>8</v>
      </c>
      <c r="AE75" s="2">
        <f t="shared" ca="1" si="11"/>
        <v>-44986.676271643519</v>
      </c>
      <c r="AF75" s="15"/>
    </row>
    <row r="76" spans="3:32">
      <c r="D76" s="1"/>
      <c r="E76" s="1"/>
      <c r="P76" s="11"/>
      <c r="U76" s="11"/>
      <c r="X76" s="13">
        <f t="shared" si="12"/>
        <v>0</v>
      </c>
      <c r="Y76" s="2">
        <f t="shared" ca="1" si="7"/>
        <v>32133</v>
      </c>
      <c r="Z76" s="14">
        <v>1</v>
      </c>
      <c r="AA76" s="1" t="str">
        <f t="shared" ca="1" si="8"/>
        <v>VENCIDO</v>
      </c>
      <c r="AB76" s="1" t="str">
        <f t="shared" si="9"/>
        <v>TAAe+</v>
      </c>
      <c r="AC76" s="2">
        <f t="shared" si="13"/>
        <v>0</v>
      </c>
      <c r="AD76" s="2">
        <f t="shared" si="10"/>
        <v>8</v>
      </c>
      <c r="AE76" s="2">
        <f t="shared" ca="1" si="11"/>
        <v>-44986.676271643519</v>
      </c>
      <c r="AF76" s="15"/>
    </row>
    <row r="77" spans="3:32">
      <c r="D77" s="1"/>
      <c r="E77" s="1"/>
      <c r="P77" s="11"/>
      <c r="U77" s="11"/>
      <c r="X77" s="13">
        <f t="shared" si="12"/>
        <v>0</v>
      </c>
      <c r="Y77" s="2">
        <f t="shared" ca="1" si="7"/>
        <v>32133</v>
      </c>
      <c r="Z77" s="14">
        <v>1</v>
      </c>
      <c r="AA77" s="1" t="str">
        <f t="shared" ca="1" si="8"/>
        <v>VENCIDO</v>
      </c>
      <c r="AB77" s="1" t="str">
        <f t="shared" si="9"/>
        <v>TAAe+</v>
      </c>
      <c r="AC77" s="2">
        <f t="shared" si="13"/>
        <v>0</v>
      </c>
      <c r="AD77" s="2">
        <f t="shared" si="10"/>
        <v>8</v>
      </c>
      <c r="AE77" s="2">
        <f t="shared" ca="1" si="11"/>
        <v>-44986.676271643519</v>
      </c>
      <c r="AF77" s="15"/>
    </row>
    <row r="78" spans="3:32">
      <c r="D78" s="1"/>
      <c r="E78" s="1"/>
      <c r="P78" s="11"/>
      <c r="U78" s="11"/>
      <c r="X78" s="13">
        <f t="shared" si="12"/>
        <v>0</v>
      </c>
      <c r="Y78" s="2">
        <f t="shared" ca="1" si="7"/>
        <v>32133</v>
      </c>
      <c r="Z78" s="14">
        <v>1</v>
      </c>
      <c r="AA78" s="1" t="str">
        <f t="shared" ca="1" si="8"/>
        <v>VENCIDO</v>
      </c>
      <c r="AB78" s="1" t="str">
        <f t="shared" si="9"/>
        <v>TAAe+</v>
      </c>
      <c r="AC78" s="2">
        <f t="shared" si="13"/>
        <v>0</v>
      </c>
      <c r="AD78" s="2">
        <f t="shared" si="10"/>
        <v>8</v>
      </c>
      <c r="AE78" s="2">
        <f t="shared" ca="1" si="11"/>
        <v>-44986.676271643519</v>
      </c>
      <c r="AF78" s="15"/>
    </row>
    <row r="79" spans="3:32">
      <c r="D79" s="1"/>
      <c r="E79" s="1"/>
      <c r="P79" s="11"/>
      <c r="U79" s="11"/>
      <c r="X79" s="13">
        <f t="shared" si="12"/>
        <v>0</v>
      </c>
      <c r="Y79" s="2">
        <f t="shared" ca="1" si="7"/>
        <v>32133</v>
      </c>
      <c r="Z79" s="14">
        <v>1</v>
      </c>
      <c r="AA79" s="1" t="str">
        <f t="shared" ca="1" si="8"/>
        <v>VENCIDO</v>
      </c>
      <c r="AB79" s="1" t="str">
        <f t="shared" si="9"/>
        <v>TAAe+</v>
      </c>
      <c r="AC79" s="2">
        <f t="shared" si="13"/>
        <v>0</v>
      </c>
      <c r="AD79" s="2">
        <f t="shared" si="10"/>
        <v>8</v>
      </c>
      <c r="AE79" s="2">
        <f t="shared" ca="1" si="11"/>
        <v>-44986.676271643519</v>
      </c>
      <c r="AF79" s="15"/>
    </row>
    <row r="80" spans="3:32">
      <c r="D80" s="1"/>
      <c r="E80" s="1"/>
      <c r="P80" s="11"/>
      <c r="U80" s="11"/>
      <c r="X80" s="13">
        <f t="shared" si="12"/>
        <v>0</v>
      </c>
      <c r="Y80" s="2">
        <f t="shared" ca="1" si="7"/>
        <v>32133</v>
      </c>
      <c r="Z80" s="14">
        <v>1</v>
      </c>
      <c r="AA80" s="1" t="str">
        <f t="shared" ca="1" si="8"/>
        <v>VENCIDO</v>
      </c>
      <c r="AB80" s="1" t="str">
        <f t="shared" si="9"/>
        <v>TAAe+</v>
      </c>
      <c r="AC80" s="2">
        <f t="shared" si="13"/>
        <v>0</v>
      </c>
      <c r="AD80" s="2">
        <f t="shared" si="10"/>
        <v>8</v>
      </c>
      <c r="AE80" s="2">
        <f t="shared" ca="1" si="11"/>
        <v>-44986.676271643519</v>
      </c>
      <c r="AF80" s="15"/>
    </row>
    <row r="81" spans="3:32">
      <c r="D81" s="1"/>
      <c r="E81" s="1"/>
      <c r="P81" s="11"/>
      <c r="U81" s="11"/>
      <c r="X81" s="13">
        <f t="shared" si="12"/>
        <v>0</v>
      </c>
      <c r="Y81" s="2">
        <f t="shared" ca="1" si="7"/>
        <v>32133</v>
      </c>
      <c r="Z81" s="14">
        <v>1</v>
      </c>
      <c r="AA81" s="1" t="str">
        <f t="shared" ca="1" si="8"/>
        <v>VENCIDO</v>
      </c>
      <c r="AB81" s="1" t="str">
        <f t="shared" si="9"/>
        <v>TAAe+</v>
      </c>
      <c r="AC81" s="2">
        <f t="shared" si="13"/>
        <v>0</v>
      </c>
      <c r="AD81" s="2">
        <f t="shared" si="10"/>
        <v>8</v>
      </c>
      <c r="AE81" s="2">
        <f t="shared" ca="1" si="11"/>
        <v>-44986.676271643519</v>
      </c>
      <c r="AF81" s="15"/>
    </row>
    <row r="82" spans="3:32">
      <c r="D82" s="1"/>
      <c r="E82" s="1"/>
      <c r="P82" s="11"/>
      <c r="U82" s="11"/>
      <c r="X82" s="13">
        <f t="shared" si="12"/>
        <v>0</v>
      </c>
      <c r="Y82" s="2">
        <f t="shared" ca="1" si="7"/>
        <v>32133</v>
      </c>
      <c r="Z82" s="14">
        <v>1</v>
      </c>
      <c r="AA82" s="1" t="str">
        <f t="shared" ca="1" si="8"/>
        <v>VENCIDO</v>
      </c>
      <c r="AB82" s="1" t="str">
        <f t="shared" si="9"/>
        <v>TAAe+</v>
      </c>
      <c r="AC82" s="2">
        <f t="shared" si="13"/>
        <v>0</v>
      </c>
      <c r="AD82" s="2">
        <f t="shared" si="10"/>
        <v>8</v>
      </c>
      <c r="AE82" s="2">
        <f t="shared" ca="1" si="11"/>
        <v>-44986.676271643519</v>
      </c>
      <c r="AF82" s="15"/>
    </row>
    <row r="83" spans="3:32">
      <c r="D83" s="1"/>
      <c r="E83" s="1"/>
      <c r="P83" s="11"/>
      <c r="U83" s="11"/>
      <c r="X83" s="13">
        <f t="shared" si="12"/>
        <v>0</v>
      </c>
      <c r="Y83" s="2">
        <f t="shared" ca="1" si="7"/>
        <v>32133</v>
      </c>
      <c r="Z83" s="14">
        <v>1</v>
      </c>
      <c r="AA83" s="1" t="str">
        <f t="shared" ca="1" si="8"/>
        <v>VENCIDO</v>
      </c>
      <c r="AB83" s="1" t="str">
        <f t="shared" si="9"/>
        <v>TAAe+</v>
      </c>
      <c r="AC83" s="2">
        <f t="shared" si="13"/>
        <v>0</v>
      </c>
      <c r="AD83" s="2">
        <f t="shared" si="10"/>
        <v>8</v>
      </c>
      <c r="AE83" s="2">
        <f t="shared" ca="1" si="11"/>
        <v>-44986.676271643519</v>
      </c>
      <c r="AF83" s="15"/>
    </row>
    <row r="84" spans="3:32">
      <c r="D84" s="1"/>
      <c r="E84" s="1"/>
      <c r="P84" s="11"/>
      <c r="U84" s="11"/>
      <c r="X84" s="13">
        <f t="shared" si="12"/>
        <v>0</v>
      </c>
      <c r="Y84" s="2">
        <f t="shared" ca="1" si="7"/>
        <v>32133</v>
      </c>
      <c r="Z84" s="14">
        <v>1</v>
      </c>
      <c r="AA84" s="1" t="str">
        <f t="shared" ca="1" si="8"/>
        <v>VENCIDO</v>
      </c>
      <c r="AB84" s="1" t="str">
        <f t="shared" si="9"/>
        <v>TAAe+</v>
      </c>
      <c r="AC84" s="2">
        <f t="shared" si="13"/>
        <v>0</v>
      </c>
      <c r="AD84" s="2">
        <f t="shared" si="10"/>
        <v>8</v>
      </c>
      <c r="AE84" s="2">
        <f t="shared" ca="1" si="11"/>
        <v>-44986.676271643519</v>
      </c>
      <c r="AF84" s="15"/>
    </row>
    <row r="85" spans="3:32">
      <c r="D85" s="1"/>
      <c r="E85" s="1"/>
      <c r="P85" s="11"/>
      <c r="U85" s="11"/>
      <c r="X85" s="13">
        <f t="shared" si="12"/>
        <v>0</v>
      </c>
      <c r="Y85" s="2">
        <f t="shared" ca="1" si="7"/>
        <v>32133</v>
      </c>
      <c r="Z85" s="14">
        <v>1</v>
      </c>
      <c r="AA85" s="1" t="str">
        <f t="shared" ca="1" si="8"/>
        <v>VENCIDO</v>
      </c>
      <c r="AB85" s="1" t="str">
        <f t="shared" si="9"/>
        <v>TAAe+</v>
      </c>
      <c r="AC85" s="2">
        <f t="shared" si="13"/>
        <v>0</v>
      </c>
      <c r="AD85" s="2">
        <f t="shared" si="10"/>
        <v>8</v>
      </c>
      <c r="AE85" s="2">
        <f t="shared" ca="1" si="11"/>
        <v>-44986.676271643519</v>
      </c>
      <c r="AF85" s="15"/>
    </row>
    <row r="86" spans="3:32">
      <c r="D86" s="1"/>
      <c r="E86" s="1"/>
      <c r="P86" s="11"/>
      <c r="U86" s="11"/>
      <c r="X86" s="13">
        <f t="shared" si="12"/>
        <v>0</v>
      </c>
      <c r="Y86" s="2">
        <f t="shared" ca="1" si="7"/>
        <v>32133</v>
      </c>
      <c r="Z86" s="14">
        <v>1</v>
      </c>
      <c r="AA86" s="1" t="str">
        <f t="shared" ca="1" si="8"/>
        <v>VENCIDO</v>
      </c>
      <c r="AB86" s="1" t="str">
        <f t="shared" si="9"/>
        <v>TAAe+</v>
      </c>
      <c r="AC86" s="2">
        <f t="shared" si="13"/>
        <v>0</v>
      </c>
      <c r="AD86" s="2">
        <f t="shared" si="10"/>
        <v>8</v>
      </c>
      <c r="AE86" s="2">
        <f t="shared" ca="1" si="11"/>
        <v>-44986.676271643519</v>
      </c>
      <c r="AF86" s="15"/>
    </row>
    <row r="87" spans="3:32">
      <c r="D87" s="1"/>
      <c r="E87" s="1"/>
      <c r="P87" s="11"/>
      <c r="U87" s="11"/>
      <c r="X87" s="13">
        <f t="shared" si="12"/>
        <v>0</v>
      </c>
      <c r="Y87" s="2">
        <f t="shared" ca="1" si="7"/>
        <v>32133</v>
      </c>
      <c r="Z87" s="14">
        <v>1</v>
      </c>
      <c r="AA87" s="1" t="str">
        <f t="shared" ca="1" si="8"/>
        <v>VENCIDO</v>
      </c>
      <c r="AB87" s="1" t="str">
        <f t="shared" si="9"/>
        <v>TAAe+</v>
      </c>
      <c r="AC87" s="2">
        <f t="shared" si="13"/>
        <v>0</v>
      </c>
      <c r="AD87" s="2">
        <f t="shared" si="10"/>
        <v>8</v>
      </c>
      <c r="AE87" s="2">
        <f t="shared" ca="1" si="11"/>
        <v>-44986.676271643519</v>
      </c>
      <c r="AF87" s="15"/>
    </row>
    <row r="88" spans="3:32">
      <c r="D88" s="1"/>
      <c r="E88" s="1"/>
      <c r="P88" s="11"/>
      <c r="U88" s="11"/>
      <c r="X88" s="13">
        <f t="shared" si="12"/>
        <v>0</v>
      </c>
      <c r="Y88" s="2">
        <f t="shared" ca="1" si="7"/>
        <v>32133</v>
      </c>
      <c r="Z88" s="14">
        <v>1</v>
      </c>
      <c r="AA88" s="1" t="str">
        <f t="shared" ca="1" si="8"/>
        <v>VENCIDO</v>
      </c>
      <c r="AB88" s="1" t="str">
        <f t="shared" si="9"/>
        <v>TAAe+</v>
      </c>
      <c r="AC88" s="2">
        <f t="shared" si="13"/>
        <v>0</v>
      </c>
      <c r="AD88" s="2">
        <f t="shared" si="10"/>
        <v>8</v>
      </c>
      <c r="AE88" s="2">
        <f t="shared" ca="1" si="11"/>
        <v>-44986.676271643519</v>
      </c>
      <c r="AF88" s="15"/>
    </row>
    <row r="89" spans="3:32">
      <c r="C89" s="23"/>
      <c r="D89" s="1"/>
      <c r="E89" s="1"/>
      <c r="P89" s="11"/>
      <c r="U89" s="11"/>
      <c r="X89" s="13">
        <f t="shared" si="12"/>
        <v>0</v>
      </c>
      <c r="Y89" s="2">
        <f t="shared" ca="1" si="7"/>
        <v>32133</v>
      </c>
      <c r="Z89" s="14">
        <v>1</v>
      </c>
      <c r="AA89" s="1" t="str">
        <f t="shared" ca="1" si="8"/>
        <v>VENCIDO</v>
      </c>
      <c r="AB89" s="1" t="str">
        <f t="shared" si="9"/>
        <v>TAAe+</v>
      </c>
      <c r="AC89" s="2">
        <f t="shared" si="13"/>
        <v>0</v>
      </c>
      <c r="AD89" s="2">
        <f t="shared" si="10"/>
        <v>8</v>
      </c>
      <c r="AE89" s="2">
        <f t="shared" ca="1" si="11"/>
        <v>-44986.676271643519</v>
      </c>
      <c r="AF89" s="15"/>
    </row>
    <row r="90" spans="3:32">
      <c r="D90" s="1"/>
      <c r="E90" s="1"/>
      <c r="P90" s="11"/>
      <c r="U90" s="11"/>
      <c r="X90" s="13">
        <f t="shared" si="12"/>
        <v>0</v>
      </c>
      <c r="Y90" s="2">
        <f t="shared" ca="1" si="7"/>
        <v>32133</v>
      </c>
      <c r="Z90" s="14">
        <v>1</v>
      </c>
      <c r="AA90" s="1" t="str">
        <f t="shared" ca="1" si="8"/>
        <v>VENCIDO</v>
      </c>
      <c r="AB90" s="1" t="str">
        <f t="shared" si="9"/>
        <v>TAAe+</v>
      </c>
      <c r="AC90" s="2">
        <f t="shared" si="13"/>
        <v>0</v>
      </c>
      <c r="AD90" s="2">
        <f t="shared" si="10"/>
        <v>8</v>
      </c>
      <c r="AE90" s="2">
        <f t="shared" ca="1" si="11"/>
        <v>-44986.676271643519</v>
      </c>
      <c r="AF90" s="15"/>
    </row>
    <row r="91" spans="3:32">
      <c r="D91" s="1"/>
      <c r="E91" s="1"/>
      <c r="P91" s="11"/>
      <c r="U91" s="11"/>
      <c r="X91" s="13">
        <f t="shared" si="12"/>
        <v>0</v>
      </c>
      <c r="Y91" s="2">
        <f t="shared" ca="1" si="7"/>
        <v>32133</v>
      </c>
      <c r="Z91" s="14">
        <v>1</v>
      </c>
      <c r="AA91" s="1" t="str">
        <f t="shared" ca="1" si="8"/>
        <v>VENCIDO</v>
      </c>
      <c r="AB91" s="1" t="str">
        <f t="shared" si="9"/>
        <v>TAAe+</v>
      </c>
      <c r="AC91" s="2">
        <f t="shared" si="13"/>
        <v>0</v>
      </c>
      <c r="AD91" s="2">
        <f t="shared" si="10"/>
        <v>8</v>
      </c>
      <c r="AE91" s="2">
        <f t="shared" ca="1" si="11"/>
        <v>-44986.676271643519</v>
      </c>
      <c r="AF91" s="15"/>
    </row>
    <row r="92" spans="3:32">
      <c r="D92" s="1"/>
      <c r="E92" s="1"/>
      <c r="P92" s="11"/>
      <c r="U92" s="11"/>
      <c r="X92" s="13">
        <f t="shared" si="12"/>
        <v>0</v>
      </c>
      <c r="Y92" s="2">
        <f t="shared" ca="1" si="7"/>
        <v>32133</v>
      </c>
      <c r="Z92" s="14">
        <v>1</v>
      </c>
      <c r="AA92" s="1" t="str">
        <f t="shared" ca="1" si="8"/>
        <v>VENCIDO</v>
      </c>
      <c r="AB92" s="1" t="str">
        <f t="shared" si="9"/>
        <v>TAAe+</v>
      </c>
      <c r="AC92" s="2">
        <f t="shared" si="13"/>
        <v>0</v>
      </c>
      <c r="AD92" s="2">
        <f t="shared" si="10"/>
        <v>8</v>
      </c>
      <c r="AE92" s="2">
        <f t="shared" ca="1" si="11"/>
        <v>-44986.676271643519</v>
      </c>
      <c r="AF92" s="15"/>
    </row>
    <row r="93" spans="3:32">
      <c r="D93" s="1"/>
      <c r="E93" s="1"/>
      <c r="P93" s="11"/>
      <c r="U93" s="11"/>
      <c r="X93" s="13">
        <f t="shared" si="12"/>
        <v>0</v>
      </c>
      <c r="Y93" s="2">
        <f t="shared" ca="1" si="7"/>
        <v>32133</v>
      </c>
      <c r="Z93" s="14">
        <v>1</v>
      </c>
      <c r="AA93" s="1" t="str">
        <f t="shared" ca="1" si="8"/>
        <v>VENCIDO</v>
      </c>
      <c r="AB93" s="1" t="str">
        <f t="shared" si="9"/>
        <v>TAAe+</v>
      </c>
      <c r="AC93" s="2">
        <f t="shared" si="13"/>
        <v>0</v>
      </c>
      <c r="AD93" s="2">
        <f t="shared" si="10"/>
        <v>8</v>
      </c>
      <c r="AE93" s="2">
        <f t="shared" ca="1" si="11"/>
        <v>-44986.676271643519</v>
      </c>
      <c r="AF93" s="15"/>
    </row>
    <row r="94" spans="3:32">
      <c r="D94" s="1"/>
      <c r="E94" s="1"/>
      <c r="P94" s="11"/>
      <c r="U94" s="11"/>
      <c r="X94" s="13">
        <f t="shared" si="12"/>
        <v>0</v>
      </c>
      <c r="Y94" s="2">
        <f t="shared" ca="1" si="7"/>
        <v>32133</v>
      </c>
      <c r="Z94" s="14">
        <v>1</v>
      </c>
      <c r="AA94" s="1" t="str">
        <f t="shared" ca="1" si="8"/>
        <v>VENCIDO</v>
      </c>
      <c r="AB94" s="1" t="str">
        <f t="shared" si="9"/>
        <v>TAAe+</v>
      </c>
      <c r="AC94" s="2">
        <f t="shared" si="13"/>
        <v>0</v>
      </c>
      <c r="AD94" s="2">
        <f t="shared" si="10"/>
        <v>8</v>
      </c>
      <c r="AE94" s="2">
        <f t="shared" ca="1" si="11"/>
        <v>-44986.676271643519</v>
      </c>
      <c r="AF94" s="15"/>
    </row>
    <row r="95" spans="3:32">
      <c r="D95" s="1"/>
      <c r="E95" s="1"/>
      <c r="P95" s="11"/>
      <c r="U95" s="11"/>
      <c r="X95" s="13">
        <f t="shared" si="12"/>
        <v>0</v>
      </c>
      <c r="Y95" s="2">
        <f t="shared" ca="1" si="7"/>
        <v>32133</v>
      </c>
      <c r="Z95" s="14">
        <v>1</v>
      </c>
      <c r="AA95" s="1" t="str">
        <f t="shared" ca="1" si="8"/>
        <v>VENCIDO</v>
      </c>
      <c r="AB95" s="1" t="str">
        <f t="shared" si="9"/>
        <v>TAAe+</v>
      </c>
      <c r="AC95" s="2">
        <f t="shared" si="13"/>
        <v>0</v>
      </c>
      <c r="AD95" s="2">
        <f t="shared" si="10"/>
        <v>8</v>
      </c>
      <c r="AE95" s="2">
        <f t="shared" ca="1" si="11"/>
        <v>-44986.676271643519</v>
      </c>
      <c r="AF95" s="15"/>
    </row>
    <row r="96" spans="3:32">
      <c r="D96" s="1"/>
      <c r="E96" s="1"/>
      <c r="P96" s="11"/>
      <c r="U96" s="11"/>
      <c r="X96" s="13">
        <f t="shared" si="12"/>
        <v>0</v>
      </c>
      <c r="Y96" s="2">
        <f t="shared" ca="1" si="7"/>
        <v>32133</v>
      </c>
      <c r="Z96" s="14">
        <v>1</v>
      </c>
      <c r="AA96" s="1" t="str">
        <f t="shared" ca="1" si="8"/>
        <v>VENCIDO</v>
      </c>
      <c r="AB96" s="1" t="str">
        <f t="shared" si="9"/>
        <v>TAAe+</v>
      </c>
      <c r="AC96" s="2">
        <f t="shared" si="13"/>
        <v>0</v>
      </c>
      <c r="AD96" s="2">
        <f t="shared" si="10"/>
        <v>8</v>
      </c>
      <c r="AE96" s="2">
        <f t="shared" ca="1" si="11"/>
        <v>-44986.676271643519</v>
      </c>
      <c r="AF96" s="15"/>
    </row>
    <row r="97" spans="3:32">
      <c r="D97" s="1"/>
      <c r="E97" s="1"/>
      <c r="P97" s="11"/>
      <c r="U97" s="11"/>
      <c r="X97" s="13">
        <f t="shared" si="12"/>
        <v>0</v>
      </c>
      <c r="Y97" s="2">
        <f t="shared" ca="1" si="7"/>
        <v>32133</v>
      </c>
      <c r="Z97" s="14">
        <v>1</v>
      </c>
      <c r="AA97" s="1" t="str">
        <f t="shared" ca="1" si="8"/>
        <v>VENCIDO</v>
      </c>
      <c r="AB97" s="1" t="str">
        <f t="shared" si="9"/>
        <v>TAAe+</v>
      </c>
      <c r="AC97" s="2">
        <f t="shared" si="13"/>
        <v>0</v>
      </c>
      <c r="AD97" s="2">
        <f t="shared" si="10"/>
        <v>8</v>
      </c>
      <c r="AE97" s="2">
        <f t="shared" ca="1" si="11"/>
        <v>-44986.676271643519</v>
      </c>
      <c r="AF97" s="15"/>
    </row>
    <row r="98" spans="3:32">
      <c r="C98" s="23"/>
      <c r="D98" s="1"/>
      <c r="E98" s="1"/>
      <c r="P98" s="11"/>
      <c r="U98" s="11"/>
      <c r="X98" s="13">
        <f t="shared" si="12"/>
        <v>0</v>
      </c>
      <c r="Y98" s="2">
        <f t="shared" ca="1" si="7"/>
        <v>32133</v>
      </c>
      <c r="Z98" s="14">
        <v>1</v>
      </c>
      <c r="AA98" s="1" t="str">
        <f t="shared" ca="1" si="8"/>
        <v>VENCIDO</v>
      </c>
      <c r="AB98" s="1" t="str">
        <f t="shared" si="9"/>
        <v>TAAe+</v>
      </c>
      <c r="AC98" s="2">
        <f t="shared" si="13"/>
        <v>0</v>
      </c>
      <c r="AD98" s="2">
        <f t="shared" si="10"/>
        <v>8</v>
      </c>
      <c r="AE98" s="2">
        <f t="shared" ca="1" si="11"/>
        <v>-44986.676271643519</v>
      </c>
      <c r="AF98" s="15"/>
    </row>
    <row r="99" spans="3:32">
      <c r="D99" s="1"/>
      <c r="E99" s="1"/>
      <c r="P99" s="11"/>
      <c r="U99" s="11"/>
      <c r="X99" s="13">
        <f t="shared" si="12"/>
        <v>0</v>
      </c>
      <c r="Y99" s="2">
        <f t="shared" ca="1" si="7"/>
        <v>32133</v>
      </c>
      <c r="Z99" s="14">
        <v>1</v>
      </c>
      <c r="AA99" s="1" t="str">
        <f t="shared" ca="1" si="8"/>
        <v>VENCIDO</v>
      </c>
      <c r="AB99" s="1" t="str">
        <f t="shared" si="9"/>
        <v>TAAe+</v>
      </c>
      <c r="AC99" s="2">
        <f t="shared" si="13"/>
        <v>0</v>
      </c>
      <c r="AD99" s="2">
        <f t="shared" si="10"/>
        <v>8</v>
      </c>
      <c r="AE99" s="2">
        <f t="shared" ca="1" si="11"/>
        <v>-44986.676271643519</v>
      </c>
      <c r="AF99" s="15"/>
    </row>
    <row r="100" spans="3:32">
      <c r="D100" s="1"/>
      <c r="E100" s="1"/>
      <c r="P100" s="11"/>
      <c r="U100" s="11"/>
      <c r="X100" s="13">
        <f t="shared" si="12"/>
        <v>0</v>
      </c>
      <c r="Y100" s="2">
        <f t="shared" ca="1" si="7"/>
        <v>32133</v>
      </c>
      <c r="Z100" s="14">
        <v>1</v>
      </c>
      <c r="AA100" s="1" t="str">
        <f t="shared" ca="1" si="8"/>
        <v>VENCIDO</v>
      </c>
      <c r="AB100" s="1" t="str">
        <f t="shared" si="9"/>
        <v>TAAe+</v>
      </c>
      <c r="AC100" s="2">
        <f t="shared" si="13"/>
        <v>0</v>
      </c>
      <c r="AD100" s="2">
        <f t="shared" si="10"/>
        <v>8</v>
      </c>
      <c r="AE100" s="2">
        <f t="shared" ca="1" si="11"/>
        <v>-44986.676271643519</v>
      </c>
      <c r="AF100" s="15"/>
    </row>
    <row r="101" spans="3:32">
      <c r="D101" s="1"/>
      <c r="E101" s="1"/>
      <c r="P101" s="11"/>
      <c r="U101" s="11"/>
      <c r="X101" s="13">
        <f t="shared" si="12"/>
        <v>0</v>
      </c>
      <c r="Y101" s="2">
        <f t="shared" ca="1" si="7"/>
        <v>32133</v>
      </c>
      <c r="Z101" s="14">
        <v>1</v>
      </c>
      <c r="AA101" s="1" t="str">
        <f t="shared" ca="1" si="8"/>
        <v>VENCIDO</v>
      </c>
      <c r="AB101" s="1" t="str">
        <f t="shared" si="9"/>
        <v>TAAe+</v>
      </c>
      <c r="AC101" s="2">
        <f t="shared" si="13"/>
        <v>0</v>
      </c>
      <c r="AD101" s="2">
        <f t="shared" si="10"/>
        <v>8</v>
      </c>
      <c r="AE101" s="2">
        <f t="shared" ca="1" si="11"/>
        <v>-44986.676271643519</v>
      </c>
      <c r="AF101" s="15"/>
    </row>
    <row r="102" spans="3:32">
      <c r="D102" s="1"/>
      <c r="E102" s="1"/>
      <c r="P102" s="11"/>
      <c r="U102" s="11"/>
      <c r="X102" s="13">
        <f t="shared" si="12"/>
        <v>0</v>
      </c>
      <c r="Y102" s="2">
        <f t="shared" ca="1" si="7"/>
        <v>32133</v>
      </c>
      <c r="Z102" s="14">
        <v>1</v>
      </c>
      <c r="AA102" s="1" t="str">
        <f t="shared" ca="1" si="8"/>
        <v>VENCIDO</v>
      </c>
      <c r="AB102" s="1" t="str">
        <f t="shared" si="9"/>
        <v>TAAe+</v>
      </c>
      <c r="AC102" s="2">
        <f t="shared" si="13"/>
        <v>0</v>
      </c>
      <c r="AD102" s="2">
        <f t="shared" si="10"/>
        <v>8</v>
      </c>
      <c r="AE102" s="2">
        <f t="shared" ca="1" si="11"/>
        <v>-44986.676271643519</v>
      </c>
      <c r="AF102" s="15"/>
    </row>
    <row r="103" spans="3:32">
      <c r="C103" s="23"/>
      <c r="D103" s="1"/>
      <c r="E103" s="1"/>
      <c r="P103" s="11"/>
      <c r="U103" s="11"/>
      <c r="X103" s="13">
        <f t="shared" si="12"/>
        <v>0</v>
      </c>
      <c r="Y103" s="2">
        <f t="shared" ca="1" si="7"/>
        <v>32133</v>
      </c>
      <c r="Z103" s="14">
        <v>1</v>
      </c>
      <c r="AA103" s="1" t="str">
        <f t="shared" ca="1" si="8"/>
        <v>VENCIDO</v>
      </c>
      <c r="AB103" s="1" t="str">
        <f t="shared" si="9"/>
        <v>TAAe+</v>
      </c>
      <c r="AC103" s="2">
        <f t="shared" si="13"/>
        <v>0</v>
      </c>
      <c r="AD103" s="2">
        <f t="shared" si="10"/>
        <v>8</v>
      </c>
      <c r="AE103" s="2">
        <f t="shared" ca="1" si="11"/>
        <v>-44986.676271643519</v>
      </c>
      <c r="AF103" s="15"/>
    </row>
    <row r="104" spans="3:32">
      <c r="D104" s="1"/>
      <c r="E104" s="1"/>
      <c r="P104" s="11"/>
      <c r="U104" s="11"/>
      <c r="X104" s="13">
        <f t="shared" si="12"/>
        <v>0</v>
      </c>
      <c r="Y104" s="2">
        <f t="shared" ca="1" si="7"/>
        <v>32133</v>
      </c>
      <c r="Z104" s="14">
        <v>1</v>
      </c>
      <c r="AA104" s="1" t="str">
        <f t="shared" ca="1" si="8"/>
        <v>VENCIDO</v>
      </c>
      <c r="AB104" s="1" t="str">
        <f t="shared" si="9"/>
        <v>TAAe+</v>
      </c>
      <c r="AC104" s="2">
        <f t="shared" si="13"/>
        <v>0</v>
      </c>
      <c r="AD104" s="2">
        <f t="shared" si="10"/>
        <v>8</v>
      </c>
      <c r="AE104" s="2">
        <f t="shared" ca="1" si="11"/>
        <v>-44986.676271643519</v>
      </c>
      <c r="AF104" s="15"/>
    </row>
    <row r="105" spans="3:32">
      <c r="D105" s="1"/>
      <c r="E105" s="1"/>
      <c r="P105" s="11"/>
      <c r="U105" s="11"/>
      <c r="X105" s="13">
        <f t="shared" si="12"/>
        <v>0</v>
      </c>
      <c r="Y105" s="2">
        <f t="shared" ca="1" si="7"/>
        <v>32133</v>
      </c>
      <c r="Z105" s="14">
        <v>1</v>
      </c>
      <c r="AA105" s="1" t="str">
        <f t="shared" ca="1" si="8"/>
        <v>VENCIDO</v>
      </c>
      <c r="AB105" s="1" t="str">
        <f t="shared" si="9"/>
        <v>TAAe+</v>
      </c>
      <c r="AC105" s="2">
        <f t="shared" si="13"/>
        <v>0</v>
      </c>
      <c r="AD105" s="2">
        <f t="shared" si="10"/>
        <v>8</v>
      </c>
      <c r="AE105" s="2">
        <f t="shared" ca="1" si="11"/>
        <v>-44986.676271643519</v>
      </c>
      <c r="AF105" s="15"/>
    </row>
    <row r="106" spans="3:32">
      <c r="D106" s="1"/>
      <c r="E106" s="1"/>
      <c r="P106" s="11"/>
      <c r="U106" s="11"/>
      <c r="X106" s="13">
        <f t="shared" si="12"/>
        <v>0</v>
      </c>
      <c r="Y106" s="2">
        <f t="shared" ca="1" si="7"/>
        <v>32133</v>
      </c>
      <c r="Z106" s="14">
        <v>1</v>
      </c>
      <c r="AA106" s="1" t="str">
        <f t="shared" ca="1" si="8"/>
        <v>VENCIDO</v>
      </c>
      <c r="AB106" s="1" t="str">
        <f t="shared" si="9"/>
        <v>TAAe+</v>
      </c>
      <c r="AC106" s="2">
        <f t="shared" si="13"/>
        <v>0</v>
      </c>
      <c r="AD106" s="2">
        <f t="shared" si="10"/>
        <v>8</v>
      </c>
      <c r="AE106" s="2">
        <f t="shared" ca="1" si="11"/>
        <v>-44986.676271643519</v>
      </c>
      <c r="AF106" s="15"/>
    </row>
    <row r="107" spans="3:32">
      <c r="D107" s="1"/>
      <c r="E107" s="1"/>
      <c r="P107" s="11"/>
      <c r="U107" s="11"/>
      <c r="X107" s="13">
        <f t="shared" si="12"/>
        <v>0</v>
      </c>
      <c r="Y107" s="2">
        <f t="shared" ca="1" si="7"/>
        <v>32133</v>
      </c>
      <c r="Z107" s="14">
        <v>1</v>
      </c>
      <c r="AA107" s="1" t="str">
        <f t="shared" ca="1" si="8"/>
        <v>VENCIDO</v>
      </c>
      <c r="AB107" s="1" t="str">
        <f t="shared" si="9"/>
        <v>TAAe+</v>
      </c>
      <c r="AC107" s="2">
        <f t="shared" si="13"/>
        <v>0</v>
      </c>
      <c r="AD107" s="2">
        <f t="shared" si="10"/>
        <v>8</v>
      </c>
      <c r="AE107" s="2">
        <f t="shared" ca="1" si="11"/>
        <v>-44986.676271643519</v>
      </c>
      <c r="AF107" s="15"/>
    </row>
    <row r="108" spans="3:32">
      <c r="D108" s="1"/>
      <c r="E108" s="1"/>
      <c r="P108" s="11"/>
      <c r="U108" s="11"/>
      <c r="X108" s="13">
        <f t="shared" si="12"/>
        <v>0</v>
      </c>
      <c r="Y108" s="2">
        <f t="shared" ca="1" si="7"/>
        <v>32133</v>
      </c>
      <c r="Z108" s="14">
        <v>1</v>
      </c>
      <c r="AA108" s="1" t="str">
        <f t="shared" ca="1" si="8"/>
        <v>VENCIDO</v>
      </c>
      <c r="AB108" s="1" t="str">
        <f t="shared" si="9"/>
        <v>TAAe+</v>
      </c>
      <c r="AC108" s="2">
        <f t="shared" si="13"/>
        <v>0</v>
      </c>
      <c r="AD108" s="2">
        <f t="shared" si="10"/>
        <v>8</v>
      </c>
      <c r="AE108" s="2">
        <f t="shared" ca="1" si="11"/>
        <v>-44986.676271643519</v>
      </c>
      <c r="AF108" s="15"/>
    </row>
    <row r="109" spans="3:32">
      <c r="D109" s="1"/>
      <c r="E109" s="1"/>
      <c r="P109" s="11"/>
      <c r="U109" s="11"/>
      <c r="X109" s="13">
        <f t="shared" si="12"/>
        <v>0</v>
      </c>
      <c r="Y109" s="2">
        <f t="shared" ca="1" si="7"/>
        <v>32133</v>
      </c>
      <c r="Z109" s="14">
        <v>1</v>
      </c>
      <c r="AA109" s="1" t="str">
        <f t="shared" ca="1" si="8"/>
        <v>VENCIDO</v>
      </c>
      <c r="AB109" s="1" t="str">
        <f t="shared" si="9"/>
        <v>TAAe+</v>
      </c>
      <c r="AC109" s="2">
        <f t="shared" si="13"/>
        <v>0</v>
      </c>
      <c r="AD109" s="2">
        <f t="shared" si="10"/>
        <v>8</v>
      </c>
      <c r="AE109" s="2">
        <f t="shared" ca="1" si="11"/>
        <v>-44986.676271643519</v>
      </c>
      <c r="AF109" s="15"/>
    </row>
    <row r="110" spans="3:32">
      <c r="D110" s="1"/>
      <c r="E110" s="1"/>
      <c r="P110" s="11"/>
      <c r="U110" s="11"/>
      <c r="X110" s="13">
        <f t="shared" si="12"/>
        <v>0</v>
      </c>
      <c r="Y110" s="2">
        <f t="shared" ca="1" si="7"/>
        <v>32133</v>
      </c>
      <c r="Z110" s="14">
        <v>1</v>
      </c>
      <c r="AA110" s="1" t="str">
        <f t="shared" ca="1" si="8"/>
        <v>VENCIDO</v>
      </c>
      <c r="AB110" s="1" t="str">
        <f t="shared" si="9"/>
        <v>TAAe+</v>
      </c>
      <c r="AC110" s="2">
        <f t="shared" si="13"/>
        <v>0</v>
      </c>
      <c r="AD110" s="2">
        <f t="shared" si="10"/>
        <v>8</v>
      </c>
      <c r="AE110" s="2">
        <f t="shared" ca="1" si="11"/>
        <v>-44986.676271643519</v>
      </c>
      <c r="AF110" s="15"/>
    </row>
    <row r="111" spans="3:32">
      <c r="C111" s="23"/>
      <c r="D111" s="1"/>
      <c r="E111" s="1"/>
      <c r="P111" s="11"/>
      <c r="U111" s="11"/>
      <c r="X111" s="13">
        <f t="shared" si="12"/>
        <v>0</v>
      </c>
      <c r="Y111" s="2">
        <f t="shared" ca="1" si="7"/>
        <v>32133</v>
      </c>
      <c r="Z111" s="14">
        <v>1</v>
      </c>
      <c r="AA111" s="1" t="str">
        <f t="shared" ca="1" si="8"/>
        <v>VENCIDO</v>
      </c>
      <c r="AB111" s="1" t="str">
        <f t="shared" si="9"/>
        <v>TAAe+</v>
      </c>
      <c r="AC111" s="2">
        <f t="shared" si="13"/>
        <v>0</v>
      </c>
      <c r="AD111" s="2">
        <f t="shared" si="10"/>
        <v>8</v>
      </c>
      <c r="AE111" s="2">
        <f t="shared" ca="1" si="11"/>
        <v>-44986.676271643519</v>
      </c>
      <c r="AF111" s="15"/>
    </row>
    <row r="112" spans="3:32">
      <c r="D112" s="1"/>
      <c r="E112" s="1"/>
      <c r="P112" s="11"/>
      <c r="U112" s="11"/>
      <c r="X112" s="13">
        <f t="shared" si="12"/>
        <v>0</v>
      </c>
      <c r="Y112" s="2">
        <f t="shared" ca="1" si="7"/>
        <v>32133</v>
      </c>
      <c r="Z112" s="14">
        <v>1</v>
      </c>
      <c r="AA112" s="1" t="str">
        <f t="shared" ca="1" si="8"/>
        <v>VENCIDO</v>
      </c>
      <c r="AB112" s="1" t="str">
        <f t="shared" si="9"/>
        <v>TAAe+</v>
      </c>
      <c r="AC112" s="2">
        <f t="shared" si="13"/>
        <v>0</v>
      </c>
      <c r="AD112" s="2">
        <f t="shared" si="10"/>
        <v>8</v>
      </c>
      <c r="AE112" s="2">
        <f t="shared" ca="1" si="11"/>
        <v>-44986.676271643519</v>
      </c>
      <c r="AF112" s="15"/>
    </row>
    <row r="113" spans="3:32">
      <c r="D113" s="1"/>
      <c r="E113" s="1"/>
      <c r="P113" s="11"/>
      <c r="U113" s="11"/>
      <c r="X113" s="13">
        <f t="shared" si="12"/>
        <v>0</v>
      </c>
      <c r="Y113" s="2">
        <f t="shared" ca="1" si="7"/>
        <v>32133</v>
      </c>
      <c r="Z113" s="14">
        <v>1</v>
      </c>
      <c r="AA113" s="1" t="str">
        <f t="shared" ca="1" si="8"/>
        <v>VENCIDO</v>
      </c>
      <c r="AB113" s="1" t="str">
        <f t="shared" si="9"/>
        <v>TAAe+</v>
      </c>
      <c r="AC113" s="2">
        <f t="shared" si="13"/>
        <v>0</v>
      </c>
      <c r="AD113" s="2">
        <f t="shared" si="10"/>
        <v>8</v>
      </c>
      <c r="AE113" s="2">
        <f t="shared" ca="1" si="11"/>
        <v>-44986.676271643519</v>
      </c>
      <c r="AF113" s="15"/>
    </row>
    <row r="114" spans="3:32">
      <c r="C114" s="23"/>
      <c r="D114" s="1"/>
      <c r="E114" s="1"/>
      <c r="P114" s="11"/>
      <c r="U114" s="11"/>
      <c r="X114" s="13">
        <f t="shared" si="12"/>
        <v>0</v>
      </c>
      <c r="Y114" s="2">
        <f t="shared" ca="1" si="7"/>
        <v>32133</v>
      </c>
      <c r="Z114" s="14">
        <v>1</v>
      </c>
      <c r="AA114" s="1" t="str">
        <f t="shared" ca="1" si="8"/>
        <v>VENCIDO</v>
      </c>
      <c r="AB114" s="1" t="str">
        <f t="shared" si="9"/>
        <v>TAAe+</v>
      </c>
      <c r="AC114" s="2">
        <f t="shared" si="13"/>
        <v>0</v>
      </c>
      <c r="AD114" s="2">
        <f t="shared" si="10"/>
        <v>8</v>
      </c>
      <c r="AE114" s="2">
        <f t="shared" ca="1" si="11"/>
        <v>-44986.676271643519</v>
      </c>
      <c r="AF114" s="15"/>
    </row>
    <row r="115" spans="3:32">
      <c r="D115" s="1"/>
      <c r="E115" s="1"/>
      <c r="P115" s="11"/>
      <c r="U115" s="11"/>
      <c r="X115" s="13">
        <f t="shared" si="12"/>
        <v>0</v>
      </c>
      <c r="Y115" s="2">
        <f t="shared" ca="1" si="7"/>
        <v>32133</v>
      </c>
      <c r="Z115" s="14">
        <v>1</v>
      </c>
      <c r="AA115" s="1" t="str">
        <f t="shared" ca="1" si="8"/>
        <v>VENCIDO</v>
      </c>
      <c r="AB115" s="1" t="str">
        <f t="shared" si="9"/>
        <v>TAAe+</v>
      </c>
      <c r="AC115" s="2">
        <f t="shared" si="13"/>
        <v>0</v>
      </c>
      <c r="AD115" s="2">
        <f t="shared" si="10"/>
        <v>8</v>
      </c>
      <c r="AE115" s="2">
        <f t="shared" ca="1" si="11"/>
        <v>-44986.676271643519</v>
      </c>
      <c r="AF115" s="15"/>
    </row>
    <row r="116" spans="3:32">
      <c r="D116" s="1"/>
      <c r="E116" s="1"/>
      <c r="P116" s="11"/>
      <c r="U116" s="11"/>
      <c r="X116" s="13">
        <f t="shared" si="12"/>
        <v>0</v>
      </c>
      <c r="Y116" s="2">
        <f t="shared" ca="1" si="7"/>
        <v>32133</v>
      </c>
      <c r="Z116" s="14">
        <v>1</v>
      </c>
      <c r="AA116" s="1" t="str">
        <f t="shared" ca="1" si="8"/>
        <v>VENCIDO</v>
      </c>
      <c r="AB116" s="1" t="str">
        <f t="shared" si="9"/>
        <v>TAAe+</v>
      </c>
      <c r="AC116" s="2">
        <f t="shared" si="13"/>
        <v>0</v>
      </c>
      <c r="AD116" s="2">
        <f t="shared" si="10"/>
        <v>8</v>
      </c>
      <c r="AE116" s="2">
        <f t="shared" ca="1" si="11"/>
        <v>-44986.676271643519</v>
      </c>
      <c r="AF116" s="15"/>
    </row>
    <row r="117" spans="3:32">
      <c r="D117" s="1"/>
      <c r="E117" s="1"/>
      <c r="P117" s="11"/>
      <c r="U117" s="11"/>
      <c r="X117" s="13">
        <f t="shared" si="12"/>
        <v>0</v>
      </c>
      <c r="Y117" s="2">
        <f t="shared" ca="1" si="7"/>
        <v>32133</v>
      </c>
      <c r="Z117" s="14">
        <v>1</v>
      </c>
      <c r="AA117" s="1" t="str">
        <f t="shared" ca="1" si="8"/>
        <v>VENCIDO</v>
      </c>
      <c r="AB117" s="1" t="str">
        <f t="shared" si="9"/>
        <v>TAAe+</v>
      </c>
      <c r="AC117" s="2">
        <f t="shared" si="13"/>
        <v>0</v>
      </c>
      <c r="AD117" s="2">
        <f t="shared" si="10"/>
        <v>8</v>
      </c>
      <c r="AE117" s="2">
        <f t="shared" ca="1" si="11"/>
        <v>-44986.676271643519</v>
      </c>
      <c r="AF117" s="15"/>
    </row>
    <row r="118" spans="3:32">
      <c r="C118" s="23"/>
      <c r="D118" s="1"/>
      <c r="E118" s="1"/>
      <c r="P118" s="11"/>
      <c r="U118" s="11"/>
      <c r="X118" s="13">
        <f t="shared" si="12"/>
        <v>0</v>
      </c>
      <c r="Y118" s="2">
        <f t="shared" ca="1" si="7"/>
        <v>32133</v>
      </c>
      <c r="Z118" s="14">
        <v>1</v>
      </c>
      <c r="AA118" s="1" t="str">
        <f t="shared" ca="1" si="8"/>
        <v>VENCIDO</v>
      </c>
      <c r="AB118" s="1" t="str">
        <f t="shared" si="9"/>
        <v>TAAe+</v>
      </c>
      <c r="AC118" s="2">
        <f t="shared" si="13"/>
        <v>0</v>
      </c>
      <c r="AD118" s="2">
        <f t="shared" si="10"/>
        <v>8</v>
      </c>
      <c r="AE118" s="2">
        <f t="shared" ca="1" si="11"/>
        <v>-44986.676271643519</v>
      </c>
      <c r="AF118" s="15"/>
    </row>
    <row r="119" spans="3:32">
      <c r="D119" s="1"/>
      <c r="E119" s="1"/>
      <c r="P119" s="11"/>
      <c r="U119" s="11"/>
      <c r="X119" s="13">
        <f t="shared" si="12"/>
        <v>0</v>
      </c>
      <c r="Y119" s="2">
        <f t="shared" ca="1" si="7"/>
        <v>32133</v>
      </c>
      <c r="Z119" s="14">
        <v>1</v>
      </c>
      <c r="AA119" s="1" t="str">
        <f t="shared" ca="1" si="8"/>
        <v>VENCIDO</v>
      </c>
      <c r="AB119" s="1" t="str">
        <f t="shared" si="9"/>
        <v>TAAe+</v>
      </c>
      <c r="AC119" s="2">
        <f t="shared" si="13"/>
        <v>0</v>
      </c>
      <c r="AD119" s="2">
        <f t="shared" si="10"/>
        <v>8</v>
      </c>
      <c r="AE119" s="2">
        <f t="shared" ca="1" si="11"/>
        <v>-44986.676271643519</v>
      </c>
      <c r="AF119" s="15"/>
    </row>
    <row r="120" spans="3:32">
      <c r="D120" s="1"/>
      <c r="E120" s="1"/>
      <c r="P120" s="11"/>
      <c r="U120" s="11"/>
      <c r="X120" s="13">
        <f t="shared" si="12"/>
        <v>0</v>
      </c>
      <c r="Y120" s="2">
        <f t="shared" ca="1" si="7"/>
        <v>32133</v>
      </c>
      <c r="Z120" s="14">
        <v>1</v>
      </c>
      <c r="AA120" s="1" t="str">
        <f t="shared" ca="1" si="8"/>
        <v>VENCIDO</v>
      </c>
      <c r="AB120" s="1" t="str">
        <f t="shared" si="9"/>
        <v>TAAe+</v>
      </c>
      <c r="AC120" s="2">
        <f t="shared" si="13"/>
        <v>0</v>
      </c>
      <c r="AD120" s="2">
        <f t="shared" si="10"/>
        <v>8</v>
      </c>
      <c r="AE120" s="2">
        <f t="shared" ca="1" si="11"/>
        <v>-44986.676271643519</v>
      </c>
      <c r="AF120" s="15"/>
    </row>
    <row r="121" spans="3:32">
      <c r="D121" s="1"/>
      <c r="E121" s="1"/>
      <c r="P121" s="11"/>
      <c r="U121" s="11"/>
      <c r="X121" s="13">
        <f t="shared" si="12"/>
        <v>0</v>
      </c>
      <c r="Y121" s="2">
        <f t="shared" ca="1" si="7"/>
        <v>32133</v>
      </c>
      <c r="Z121" s="14">
        <v>1</v>
      </c>
      <c r="AA121" s="1" t="str">
        <f t="shared" ca="1" si="8"/>
        <v>VENCIDO</v>
      </c>
      <c r="AB121" s="1" t="str">
        <f t="shared" si="9"/>
        <v>TAAe+</v>
      </c>
      <c r="AC121" s="2">
        <f t="shared" si="13"/>
        <v>0</v>
      </c>
      <c r="AD121" s="2">
        <f t="shared" si="10"/>
        <v>8</v>
      </c>
      <c r="AE121" s="2">
        <f t="shared" ca="1" si="11"/>
        <v>-44986.676271643519</v>
      </c>
      <c r="AF121" s="15"/>
    </row>
    <row r="122" spans="3:32">
      <c r="C122" s="23"/>
      <c r="D122" s="1"/>
      <c r="E122" s="1"/>
      <c r="P122" s="11"/>
      <c r="U122" s="11"/>
      <c r="X122" s="13">
        <f t="shared" si="12"/>
        <v>0</v>
      </c>
      <c r="Y122" s="2">
        <f t="shared" ca="1" si="7"/>
        <v>32133</v>
      </c>
      <c r="Z122" s="14">
        <v>1</v>
      </c>
      <c r="AA122" s="1" t="str">
        <f t="shared" ca="1" si="8"/>
        <v>VENCIDO</v>
      </c>
      <c r="AB122" s="1" t="str">
        <f t="shared" si="9"/>
        <v>TAAe+</v>
      </c>
      <c r="AC122" s="2">
        <f t="shared" si="13"/>
        <v>0</v>
      </c>
      <c r="AD122" s="2">
        <f t="shared" si="10"/>
        <v>8</v>
      </c>
      <c r="AE122" s="2">
        <f t="shared" ca="1" si="11"/>
        <v>-44986.676271643519</v>
      </c>
      <c r="AF122" s="15"/>
    </row>
    <row r="123" spans="3:32">
      <c r="C123" s="23"/>
      <c r="D123" s="1"/>
      <c r="E123" s="1"/>
      <c r="P123" s="11"/>
      <c r="U123" s="11"/>
      <c r="X123" s="13">
        <f t="shared" si="12"/>
        <v>0</v>
      </c>
      <c r="Y123" s="2">
        <f t="shared" ca="1" si="7"/>
        <v>32133</v>
      </c>
      <c r="Z123" s="14">
        <v>1</v>
      </c>
      <c r="AA123" s="1" t="str">
        <f t="shared" ca="1" si="8"/>
        <v>VENCIDO</v>
      </c>
      <c r="AB123" s="1" t="str">
        <f t="shared" si="9"/>
        <v>TAAe+</v>
      </c>
      <c r="AC123" s="2">
        <f t="shared" si="13"/>
        <v>0</v>
      </c>
      <c r="AD123" s="2">
        <f t="shared" si="10"/>
        <v>8</v>
      </c>
      <c r="AE123" s="2">
        <f t="shared" ca="1" si="11"/>
        <v>-44986.676271643519</v>
      </c>
      <c r="AF123" s="15"/>
    </row>
    <row r="124" spans="3:32">
      <c r="D124" s="1"/>
      <c r="E124" s="1"/>
      <c r="P124" s="11"/>
      <c r="U124" s="11"/>
      <c r="X124" s="13">
        <f t="shared" si="12"/>
        <v>0</v>
      </c>
      <c r="Y124" s="2">
        <f t="shared" ca="1" si="7"/>
        <v>32133</v>
      </c>
      <c r="Z124" s="14">
        <v>1</v>
      </c>
      <c r="AA124" s="1" t="str">
        <f t="shared" ca="1" si="8"/>
        <v>VENCIDO</v>
      </c>
      <c r="AB124" s="1" t="str">
        <f t="shared" si="9"/>
        <v>TAAe+</v>
      </c>
      <c r="AC124" s="2">
        <f t="shared" si="13"/>
        <v>0</v>
      </c>
      <c r="AD124" s="2">
        <f t="shared" si="10"/>
        <v>8</v>
      </c>
      <c r="AE124" s="2">
        <f t="shared" ca="1" si="11"/>
        <v>-44986.676271643519</v>
      </c>
      <c r="AF124" s="15"/>
    </row>
    <row r="125" spans="3:32">
      <c r="D125" s="1"/>
      <c r="E125" s="1"/>
      <c r="P125" s="11"/>
      <c r="U125" s="11"/>
      <c r="X125" s="13">
        <f t="shared" si="12"/>
        <v>0</v>
      </c>
      <c r="Y125" s="2">
        <f t="shared" ca="1" si="7"/>
        <v>32133</v>
      </c>
      <c r="Z125" s="14">
        <v>1</v>
      </c>
      <c r="AA125" s="1" t="str">
        <f t="shared" ca="1" si="8"/>
        <v>VENCIDO</v>
      </c>
      <c r="AB125" s="1" t="str">
        <f t="shared" si="9"/>
        <v>TAAe+</v>
      </c>
      <c r="AC125" s="2">
        <f t="shared" si="13"/>
        <v>0</v>
      </c>
      <c r="AD125" s="2">
        <f t="shared" si="10"/>
        <v>8</v>
      </c>
      <c r="AE125" s="2">
        <f t="shared" ca="1" si="11"/>
        <v>-44986.676271643519</v>
      </c>
      <c r="AF125" s="15"/>
    </row>
    <row r="126" spans="3:32">
      <c r="D126" s="1"/>
      <c r="E126" s="1"/>
      <c r="P126" s="11"/>
      <c r="U126" s="11"/>
      <c r="X126" s="13">
        <f t="shared" si="12"/>
        <v>0</v>
      </c>
      <c r="Y126" s="2">
        <f t="shared" ca="1" si="7"/>
        <v>32133</v>
      </c>
      <c r="Z126" s="14">
        <v>1</v>
      </c>
      <c r="AA126" s="1" t="str">
        <f t="shared" ca="1" si="8"/>
        <v>VENCIDO</v>
      </c>
      <c r="AB126" s="1" t="str">
        <f t="shared" si="9"/>
        <v>TAAe+</v>
      </c>
      <c r="AC126" s="2">
        <f t="shared" si="13"/>
        <v>0</v>
      </c>
      <c r="AD126" s="2">
        <f t="shared" si="10"/>
        <v>8</v>
      </c>
      <c r="AE126" s="2">
        <f t="shared" ca="1" si="11"/>
        <v>-44986.676271643519</v>
      </c>
      <c r="AF126" s="15"/>
    </row>
    <row r="127" spans="3:32">
      <c r="D127" s="1"/>
      <c r="E127" s="1"/>
      <c r="P127" s="11"/>
      <c r="U127" s="11"/>
      <c r="X127" s="13">
        <f t="shared" si="12"/>
        <v>0</v>
      </c>
      <c r="Y127" s="2">
        <f t="shared" ca="1" si="7"/>
        <v>32133</v>
      </c>
      <c r="Z127" s="14">
        <v>1</v>
      </c>
      <c r="AA127" s="1" t="str">
        <f t="shared" ca="1" si="8"/>
        <v>VENCIDO</v>
      </c>
      <c r="AB127" s="1" t="str">
        <f t="shared" si="9"/>
        <v>TAAe+</v>
      </c>
      <c r="AC127" s="2">
        <f t="shared" si="13"/>
        <v>0</v>
      </c>
      <c r="AD127" s="2">
        <f t="shared" si="10"/>
        <v>8</v>
      </c>
      <c r="AE127" s="2">
        <f t="shared" ca="1" si="11"/>
        <v>-44986.676271643519</v>
      </c>
      <c r="AF127" s="15"/>
    </row>
    <row r="128" spans="3:32">
      <c r="D128" s="1"/>
      <c r="E128" s="1"/>
      <c r="P128" s="11"/>
      <c r="U128" s="11"/>
      <c r="X128" s="13">
        <f t="shared" si="12"/>
        <v>0</v>
      </c>
      <c r="Y128" s="2">
        <f t="shared" ca="1" si="7"/>
        <v>32133</v>
      </c>
      <c r="Z128" s="14">
        <v>1</v>
      </c>
      <c r="AA128" s="1" t="str">
        <f t="shared" ca="1" si="8"/>
        <v>VENCIDO</v>
      </c>
      <c r="AB128" s="1" t="str">
        <f t="shared" si="9"/>
        <v>TAAe+</v>
      </c>
      <c r="AC128" s="2">
        <f t="shared" si="13"/>
        <v>0</v>
      </c>
      <c r="AD128" s="2">
        <f t="shared" si="10"/>
        <v>8</v>
      </c>
      <c r="AE128" s="2">
        <f t="shared" ca="1" si="11"/>
        <v>-44986.676271643519</v>
      </c>
      <c r="AF128" s="15"/>
    </row>
    <row r="129" spans="4:32">
      <c r="D129" s="1"/>
      <c r="E129" s="1"/>
      <c r="P129" s="11"/>
      <c r="U129" s="11"/>
      <c r="X129" s="13">
        <f t="shared" si="12"/>
        <v>0</v>
      </c>
      <c r="Y129" s="2">
        <f t="shared" ca="1" si="7"/>
        <v>32133</v>
      </c>
      <c r="Z129" s="14">
        <v>1</v>
      </c>
      <c r="AA129" s="1" t="str">
        <f t="shared" ca="1" si="8"/>
        <v>VENCIDO</v>
      </c>
      <c r="AB129" s="1" t="str">
        <f t="shared" si="9"/>
        <v>TAAe+</v>
      </c>
      <c r="AC129" s="2">
        <f t="shared" si="13"/>
        <v>0</v>
      </c>
      <c r="AD129" s="2">
        <f t="shared" si="10"/>
        <v>8</v>
      </c>
      <c r="AE129" s="2">
        <f t="shared" ca="1" si="11"/>
        <v>-44986.676271643519</v>
      </c>
      <c r="AF129" s="15"/>
    </row>
    <row r="130" spans="4:32">
      <c r="D130" s="1"/>
      <c r="E130" s="1"/>
      <c r="P130" s="11"/>
      <c r="U130" s="11"/>
      <c r="X130" s="13">
        <f t="shared" si="12"/>
        <v>0</v>
      </c>
      <c r="Y130" s="2">
        <f t="shared" ref="Y130:Y193" ca="1" si="14">NETWORKDAYS(P130,$Y$1)</f>
        <v>32133</v>
      </c>
      <c r="Z130" s="14">
        <v>1</v>
      </c>
      <c r="AA130" s="1" t="str">
        <f t="shared" ref="AA130:AA193" ca="1" si="15">IF(AE130=0,"HOJE",IF(AE130&gt;0,"A VENCER",IF(AE130&lt;0,"VENCIDO")))</f>
        <v>VENCIDO</v>
      </c>
      <c r="AB130" s="1" t="str">
        <f t="shared" ref="AB130:AB193" si="16">IF(F130="GRPE-000001","C-14",IF(F130="GRPE-000002","C-14",IF(F130="GRPE-000003","C-14",IF(F130="GRPE-000004","SL-On",IF(F130="GRPE-000038","C-14",IF(F130="GRPE-900022","Dosa",IF(F130="GRPE-000029","Dosa",IF(F130="ATOS-000222","Dose","TAAe+"))))))))</f>
        <v>TAAe+</v>
      </c>
      <c r="AC130" s="2">
        <f t="shared" si="13"/>
        <v>0</v>
      </c>
      <c r="AD130" s="2">
        <f t="shared" ref="AD130:AD193" si="17">IF(F130="GRPE-000001",5,IF(F130="GRPE-000002",5,IF(F130="GRPE-000003",15,IF(F130="GRPE-000004",1,IF(F130="GRPE-000038",5,IF(F130="GRPE-900022",5,IF(F130="GRPE-000029",5,IF(F130="ATOS-000222",5,8))))))))</f>
        <v>8</v>
      </c>
      <c r="AE130" s="2">
        <f t="shared" ref="AE130:AE193" ca="1" si="18">IF(U130=$AE$1,"",U130-$AE$1)</f>
        <v>-44986.676271643519</v>
      </c>
      <c r="AF130" s="15"/>
    </row>
    <row r="131" spans="4:32">
      <c r="D131" s="1"/>
      <c r="E131" s="1"/>
      <c r="P131" s="11"/>
      <c r="U131" s="11"/>
      <c r="X131" s="13">
        <f t="shared" ref="X131:X194" si="19">IF(RIGHT(H131,2)&lt;&gt;"00",H131,"")</f>
        <v>0</v>
      </c>
      <c r="Y131" s="2">
        <f t="shared" ca="1" si="14"/>
        <v>32133</v>
      </c>
      <c r="Z131" s="14">
        <v>1</v>
      </c>
      <c r="AA131" s="1" t="str">
        <f t="shared" ca="1" si="15"/>
        <v>VENCIDO</v>
      </c>
      <c r="AB131" s="1" t="str">
        <f t="shared" si="16"/>
        <v>TAAe+</v>
      </c>
      <c r="AC131" s="2">
        <f t="shared" ref="AC131:AC194" si="20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>0</v>
      </c>
      <c r="AD131" s="2">
        <f t="shared" si="17"/>
        <v>8</v>
      </c>
      <c r="AE131" s="2">
        <f t="shared" ca="1" si="18"/>
        <v>-44986.676271643519</v>
      </c>
      <c r="AF131" s="15"/>
    </row>
    <row r="132" spans="4:32">
      <c r="D132" s="1"/>
      <c r="E132" s="1"/>
      <c r="P132" s="11"/>
      <c r="U132" s="11"/>
      <c r="X132" s="13">
        <f t="shared" si="19"/>
        <v>0</v>
      </c>
      <c r="Y132" s="2">
        <f t="shared" ca="1" si="14"/>
        <v>32133</v>
      </c>
      <c r="Z132" s="14">
        <v>1</v>
      </c>
      <c r="AA132" s="1" t="str">
        <f t="shared" ca="1" si="15"/>
        <v>VENCIDO</v>
      </c>
      <c r="AB132" s="1" t="str">
        <f t="shared" si="16"/>
        <v>TAAe+</v>
      </c>
      <c r="AC132" s="2">
        <f t="shared" si="20"/>
        <v>0</v>
      </c>
      <c r="AD132" s="2">
        <f t="shared" si="17"/>
        <v>8</v>
      </c>
      <c r="AE132" s="2">
        <f t="shared" ca="1" si="18"/>
        <v>-44986.676271643519</v>
      </c>
      <c r="AF132" s="15"/>
    </row>
    <row r="133" spans="4:32">
      <c r="D133" s="1"/>
      <c r="E133" s="1"/>
      <c r="P133" s="11"/>
      <c r="U133" s="11"/>
      <c r="X133" s="13">
        <f t="shared" si="19"/>
        <v>0</v>
      </c>
      <c r="Y133" s="2">
        <f t="shared" ca="1" si="14"/>
        <v>32133</v>
      </c>
      <c r="Z133" s="14">
        <v>1</v>
      </c>
      <c r="AA133" s="1" t="str">
        <f t="shared" ca="1" si="15"/>
        <v>VENCIDO</v>
      </c>
      <c r="AB133" s="1" t="str">
        <f t="shared" si="16"/>
        <v>TAAe+</v>
      </c>
      <c r="AC133" s="2">
        <f t="shared" si="20"/>
        <v>0</v>
      </c>
      <c r="AD133" s="2">
        <f t="shared" si="17"/>
        <v>8</v>
      </c>
      <c r="AE133" s="2">
        <f t="shared" ca="1" si="18"/>
        <v>-44986.676271643519</v>
      </c>
      <c r="AF133" s="15"/>
    </row>
    <row r="134" spans="4:32">
      <c r="D134" s="1"/>
      <c r="E134" s="1"/>
      <c r="P134" s="11"/>
      <c r="U134" s="11"/>
      <c r="X134" s="13">
        <f t="shared" si="19"/>
        <v>0</v>
      </c>
      <c r="Y134" s="2">
        <f t="shared" ca="1" si="14"/>
        <v>32133</v>
      </c>
      <c r="Z134" s="14">
        <v>1</v>
      </c>
      <c r="AA134" s="1" t="str">
        <f t="shared" ca="1" si="15"/>
        <v>VENCIDO</v>
      </c>
      <c r="AB134" s="1" t="str">
        <f t="shared" si="16"/>
        <v>TAAe+</v>
      </c>
      <c r="AC134" s="2">
        <f t="shared" si="20"/>
        <v>0</v>
      </c>
      <c r="AD134" s="2">
        <f t="shared" si="17"/>
        <v>8</v>
      </c>
      <c r="AE134" s="2">
        <f t="shared" ca="1" si="18"/>
        <v>-44986.676271643519</v>
      </c>
      <c r="AF134" s="15"/>
    </row>
    <row r="135" spans="4:32">
      <c r="D135" s="1"/>
      <c r="E135" s="1"/>
      <c r="P135" s="11"/>
      <c r="U135" s="11"/>
      <c r="X135" s="13">
        <f t="shared" si="19"/>
        <v>0</v>
      </c>
      <c r="Y135" s="2">
        <f t="shared" ca="1" si="14"/>
        <v>32133</v>
      </c>
      <c r="Z135" s="14">
        <v>1</v>
      </c>
      <c r="AA135" s="1" t="str">
        <f t="shared" ca="1" si="15"/>
        <v>VENCIDO</v>
      </c>
      <c r="AB135" s="1" t="str">
        <f t="shared" si="16"/>
        <v>TAAe+</v>
      </c>
      <c r="AC135" s="2">
        <f t="shared" si="20"/>
        <v>0</v>
      </c>
      <c r="AD135" s="2">
        <f t="shared" si="17"/>
        <v>8</v>
      </c>
      <c r="AE135" s="2">
        <f t="shared" ca="1" si="18"/>
        <v>-44986.676271643519</v>
      </c>
      <c r="AF135" s="15"/>
    </row>
    <row r="136" spans="4:32">
      <c r="D136" s="1"/>
      <c r="E136" s="1"/>
      <c r="P136" s="11"/>
      <c r="U136" s="11"/>
      <c r="X136" s="13">
        <f t="shared" si="19"/>
        <v>0</v>
      </c>
      <c r="Y136" s="2">
        <f t="shared" ca="1" si="14"/>
        <v>32133</v>
      </c>
      <c r="Z136" s="14">
        <v>1</v>
      </c>
      <c r="AA136" s="1" t="str">
        <f t="shared" ca="1" si="15"/>
        <v>VENCIDO</v>
      </c>
      <c r="AB136" s="1" t="str">
        <f t="shared" si="16"/>
        <v>TAAe+</v>
      </c>
      <c r="AC136" s="2">
        <f t="shared" si="20"/>
        <v>0</v>
      </c>
      <c r="AD136" s="2">
        <f t="shared" si="17"/>
        <v>8</v>
      </c>
      <c r="AE136" s="2">
        <f t="shared" ca="1" si="18"/>
        <v>-44986.676271643519</v>
      </c>
      <c r="AF136" s="15"/>
    </row>
    <row r="137" spans="4:32">
      <c r="D137" s="1"/>
      <c r="E137" s="1"/>
      <c r="P137" s="11"/>
      <c r="U137" s="11"/>
      <c r="X137" s="13">
        <f t="shared" si="19"/>
        <v>0</v>
      </c>
      <c r="Y137" s="2">
        <f t="shared" ca="1" si="14"/>
        <v>32133</v>
      </c>
      <c r="Z137" s="14">
        <v>1</v>
      </c>
      <c r="AA137" s="1" t="str">
        <f t="shared" ca="1" si="15"/>
        <v>VENCIDO</v>
      </c>
      <c r="AB137" s="1" t="str">
        <f t="shared" si="16"/>
        <v>TAAe+</v>
      </c>
      <c r="AC137" s="2">
        <f t="shared" si="20"/>
        <v>0</v>
      </c>
      <c r="AD137" s="2">
        <f t="shared" si="17"/>
        <v>8</v>
      </c>
      <c r="AE137" s="2">
        <f t="shared" ca="1" si="18"/>
        <v>-44986.676271643519</v>
      </c>
      <c r="AF137" s="15"/>
    </row>
    <row r="138" spans="4:32">
      <c r="D138" s="1"/>
      <c r="E138" s="1"/>
      <c r="P138" s="11"/>
      <c r="U138" s="11"/>
      <c r="X138" s="13">
        <f t="shared" si="19"/>
        <v>0</v>
      </c>
      <c r="Y138" s="2">
        <f t="shared" ca="1" si="14"/>
        <v>32133</v>
      </c>
      <c r="Z138" s="14">
        <v>1</v>
      </c>
      <c r="AA138" s="1" t="str">
        <f t="shared" ca="1" si="15"/>
        <v>VENCIDO</v>
      </c>
      <c r="AB138" s="1" t="str">
        <f t="shared" si="16"/>
        <v>TAAe+</v>
      </c>
      <c r="AC138" s="2">
        <f t="shared" si="20"/>
        <v>0</v>
      </c>
      <c r="AD138" s="2">
        <f t="shared" si="17"/>
        <v>8</v>
      </c>
      <c r="AE138" s="2">
        <f t="shared" ca="1" si="18"/>
        <v>-44986.676271643519</v>
      </c>
      <c r="AF138" s="15"/>
    </row>
    <row r="139" spans="4:32">
      <c r="D139" s="1"/>
      <c r="E139" s="1"/>
      <c r="P139" s="11"/>
      <c r="U139" s="11"/>
      <c r="X139" s="13">
        <f t="shared" si="19"/>
        <v>0</v>
      </c>
      <c r="Y139" s="2">
        <f t="shared" ca="1" si="14"/>
        <v>32133</v>
      </c>
      <c r="Z139" s="14">
        <v>1</v>
      </c>
      <c r="AA139" s="1" t="str">
        <f t="shared" ca="1" si="15"/>
        <v>VENCIDO</v>
      </c>
      <c r="AB139" s="1" t="str">
        <f t="shared" si="16"/>
        <v>TAAe+</v>
      </c>
      <c r="AC139" s="2">
        <f t="shared" si="20"/>
        <v>0</v>
      </c>
      <c r="AD139" s="2">
        <f t="shared" si="17"/>
        <v>8</v>
      </c>
      <c r="AE139" s="2">
        <f t="shared" ca="1" si="18"/>
        <v>-44986.676271643519</v>
      </c>
      <c r="AF139" s="15"/>
    </row>
    <row r="140" spans="4:32">
      <c r="D140" s="1"/>
      <c r="E140" s="1"/>
      <c r="P140" s="11"/>
      <c r="U140" s="11"/>
      <c r="X140" s="13">
        <f t="shared" si="19"/>
        <v>0</v>
      </c>
      <c r="Y140" s="2">
        <f t="shared" ca="1" si="14"/>
        <v>32133</v>
      </c>
      <c r="Z140" s="14">
        <v>1</v>
      </c>
      <c r="AA140" s="1" t="str">
        <f t="shared" ca="1" si="15"/>
        <v>VENCIDO</v>
      </c>
      <c r="AB140" s="1" t="str">
        <f t="shared" si="16"/>
        <v>TAAe+</v>
      </c>
      <c r="AC140" s="2">
        <f t="shared" si="20"/>
        <v>0</v>
      </c>
      <c r="AD140" s="2">
        <f t="shared" si="17"/>
        <v>8</v>
      </c>
      <c r="AE140" s="2">
        <f t="shared" ca="1" si="18"/>
        <v>-44986.676271643519</v>
      </c>
      <c r="AF140" s="15"/>
    </row>
    <row r="141" spans="4:32">
      <c r="D141" s="1"/>
      <c r="E141" s="1"/>
      <c r="P141" s="11"/>
      <c r="U141" s="11"/>
      <c r="X141" s="13">
        <f t="shared" si="19"/>
        <v>0</v>
      </c>
      <c r="Y141" s="2">
        <f t="shared" ca="1" si="14"/>
        <v>32133</v>
      </c>
      <c r="Z141" s="14">
        <v>1</v>
      </c>
      <c r="AA141" s="1" t="str">
        <f t="shared" ca="1" si="15"/>
        <v>VENCIDO</v>
      </c>
      <c r="AB141" s="1" t="str">
        <f t="shared" si="16"/>
        <v>TAAe+</v>
      </c>
      <c r="AC141" s="2">
        <f t="shared" si="20"/>
        <v>0</v>
      </c>
      <c r="AD141" s="2">
        <f t="shared" si="17"/>
        <v>8</v>
      </c>
      <c r="AE141" s="2">
        <f t="shared" ca="1" si="18"/>
        <v>-44986.676271643519</v>
      </c>
      <c r="AF141" s="15"/>
    </row>
    <row r="142" spans="4:32">
      <c r="D142" s="1"/>
      <c r="E142" s="1"/>
      <c r="P142" s="11"/>
      <c r="U142" s="11"/>
      <c r="X142" s="13">
        <f t="shared" si="19"/>
        <v>0</v>
      </c>
      <c r="Y142" s="2">
        <f t="shared" ca="1" si="14"/>
        <v>32133</v>
      </c>
      <c r="Z142" s="14">
        <v>1</v>
      </c>
      <c r="AA142" s="1" t="str">
        <f t="shared" ca="1" si="15"/>
        <v>VENCIDO</v>
      </c>
      <c r="AB142" s="1" t="str">
        <f t="shared" si="16"/>
        <v>TAAe+</v>
      </c>
      <c r="AC142" s="2">
        <f t="shared" si="20"/>
        <v>0</v>
      </c>
      <c r="AD142" s="2">
        <f t="shared" si="17"/>
        <v>8</v>
      </c>
      <c r="AE142" s="2">
        <f t="shared" ca="1" si="18"/>
        <v>-44986.676271643519</v>
      </c>
      <c r="AF142" s="15"/>
    </row>
    <row r="143" spans="4:32">
      <c r="D143" s="1"/>
      <c r="E143" s="1"/>
      <c r="P143" s="11"/>
      <c r="U143" s="11"/>
      <c r="X143" s="13">
        <f t="shared" si="19"/>
        <v>0</v>
      </c>
      <c r="Y143" s="2">
        <f t="shared" ca="1" si="14"/>
        <v>32133</v>
      </c>
      <c r="Z143" s="14">
        <v>1</v>
      </c>
      <c r="AA143" s="1" t="str">
        <f t="shared" ca="1" si="15"/>
        <v>VENCIDO</v>
      </c>
      <c r="AB143" s="1" t="str">
        <f t="shared" si="16"/>
        <v>TAAe+</v>
      </c>
      <c r="AC143" s="2">
        <f t="shared" si="20"/>
        <v>0</v>
      </c>
      <c r="AD143" s="2">
        <f t="shared" si="17"/>
        <v>8</v>
      </c>
      <c r="AE143" s="2">
        <f t="shared" ca="1" si="18"/>
        <v>-44986.676271643519</v>
      </c>
      <c r="AF143" s="15"/>
    </row>
    <row r="144" spans="4:32">
      <c r="D144" s="1"/>
      <c r="E144" s="1"/>
      <c r="P144" s="11"/>
      <c r="U144" s="11"/>
      <c r="X144" s="13">
        <f t="shared" si="19"/>
        <v>0</v>
      </c>
      <c r="Y144" s="2">
        <f t="shared" ca="1" si="14"/>
        <v>32133</v>
      </c>
      <c r="Z144" s="14">
        <v>1</v>
      </c>
      <c r="AA144" s="1" t="str">
        <f t="shared" ca="1" si="15"/>
        <v>VENCIDO</v>
      </c>
      <c r="AB144" s="1" t="str">
        <f t="shared" si="16"/>
        <v>TAAe+</v>
      </c>
      <c r="AC144" s="2">
        <f t="shared" si="20"/>
        <v>0</v>
      </c>
      <c r="AD144" s="2">
        <f t="shared" si="17"/>
        <v>8</v>
      </c>
      <c r="AE144" s="2">
        <f t="shared" ca="1" si="18"/>
        <v>-44986.676271643519</v>
      </c>
      <c r="AF144" s="15"/>
    </row>
    <row r="145" spans="4:32">
      <c r="D145" s="1"/>
      <c r="E145" s="1"/>
      <c r="P145" s="11"/>
      <c r="U145" s="11"/>
      <c r="X145" s="13">
        <f t="shared" si="19"/>
        <v>0</v>
      </c>
      <c r="Y145" s="2">
        <f t="shared" ca="1" si="14"/>
        <v>32133</v>
      </c>
      <c r="Z145" s="14">
        <v>1</v>
      </c>
      <c r="AA145" s="1" t="str">
        <f t="shared" ca="1" si="15"/>
        <v>VENCIDO</v>
      </c>
      <c r="AB145" s="1" t="str">
        <f t="shared" si="16"/>
        <v>TAAe+</v>
      </c>
      <c r="AC145" s="2">
        <f t="shared" si="20"/>
        <v>0</v>
      </c>
      <c r="AD145" s="2">
        <f t="shared" si="17"/>
        <v>8</v>
      </c>
      <c r="AE145" s="2">
        <f t="shared" ca="1" si="18"/>
        <v>-44986.676271643519</v>
      </c>
      <c r="AF145" s="15"/>
    </row>
    <row r="146" spans="4:32">
      <c r="D146" s="1"/>
      <c r="E146" s="1"/>
      <c r="P146" s="11"/>
      <c r="U146" s="11"/>
      <c r="X146" s="13">
        <f t="shared" si="19"/>
        <v>0</v>
      </c>
      <c r="Y146" s="2">
        <f t="shared" ca="1" si="14"/>
        <v>32133</v>
      </c>
      <c r="Z146" s="14">
        <v>1</v>
      </c>
      <c r="AA146" s="1" t="str">
        <f t="shared" ca="1" si="15"/>
        <v>VENCIDO</v>
      </c>
      <c r="AB146" s="1" t="str">
        <f t="shared" si="16"/>
        <v>TAAe+</v>
      </c>
      <c r="AC146" s="2">
        <f t="shared" si="20"/>
        <v>0</v>
      </c>
      <c r="AD146" s="2">
        <f t="shared" si="17"/>
        <v>8</v>
      </c>
      <c r="AE146" s="2">
        <f t="shared" ca="1" si="18"/>
        <v>-44986.676271643519</v>
      </c>
      <c r="AF146" s="15"/>
    </row>
    <row r="147" spans="4:32">
      <c r="D147" s="1"/>
      <c r="E147" s="1"/>
      <c r="P147" s="11"/>
      <c r="U147" s="11"/>
      <c r="X147" s="13">
        <f t="shared" si="19"/>
        <v>0</v>
      </c>
      <c r="Y147" s="2">
        <f t="shared" ca="1" si="14"/>
        <v>32133</v>
      </c>
      <c r="Z147" s="14">
        <v>1</v>
      </c>
      <c r="AA147" s="1" t="str">
        <f t="shared" ca="1" si="15"/>
        <v>VENCIDO</v>
      </c>
      <c r="AB147" s="1" t="str">
        <f t="shared" si="16"/>
        <v>TAAe+</v>
      </c>
      <c r="AC147" s="2">
        <f t="shared" si="20"/>
        <v>0</v>
      </c>
      <c r="AD147" s="2">
        <f t="shared" si="17"/>
        <v>8</v>
      </c>
      <c r="AE147" s="2">
        <f t="shared" ca="1" si="18"/>
        <v>-44986.676271643519</v>
      </c>
      <c r="AF147" s="15"/>
    </row>
    <row r="148" spans="4:32">
      <c r="D148" s="1"/>
      <c r="E148" s="1"/>
      <c r="P148" s="11"/>
      <c r="U148" s="11"/>
      <c r="X148" s="13">
        <f t="shared" si="19"/>
        <v>0</v>
      </c>
      <c r="Y148" s="2">
        <f t="shared" ca="1" si="14"/>
        <v>32133</v>
      </c>
      <c r="Z148" s="14">
        <v>1</v>
      </c>
      <c r="AA148" s="1" t="str">
        <f t="shared" ca="1" si="15"/>
        <v>VENCIDO</v>
      </c>
      <c r="AB148" s="1" t="str">
        <f t="shared" si="16"/>
        <v>TAAe+</v>
      </c>
      <c r="AC148" s="2">
        <f t="shared" si="20"/>
        <v>0</v>
      </c>
      <c r="AD148" s="2">
        <f t="shared" si="17"/>
        <v>8</v>
      </c>
      <c r="AE148" s="2">
        <f t="shared" ca="1" si="18"/>
        <v>-44986.676271643519</v>
      </c>
      <c r="AF148" s="15"/>
    </row>
    <row r="149" spans="4:32">
      <c r="D149" s="1"/>
      <c r="E149" s="1"/>
      <c r="P149" s="11"/>
      <c r="U149" s="11"/>
      <c r="X149" s="13">
        <f t="shared" si="19"/>
        <v>0</v>
      </c>
      <c r="Y149" s="2">
        <f t="shared" ca="1" si="14"/>
        <v>32133</v>
      </c>
      <c r="Z149" s="14">
        <v>1</v>
      </c>
      <c r="AA149" s="1" t="str">
        <f t="shared" ca="1" si="15"/>
        <v>VENCIDO</v>
      </c>
      <c r="AB149" s="1" t="str">
        <f t="shared" si="16"/>
        <v>TAAe+</v>
      </c>
      <c r="AC149" s="2">
        <f t="shared" si="20"/>
        <v>0</v>
      </c>
      <c r="AD149" s="2">
        <f t="shared" si="17"/>
        <v>8</v>
      </c>
      <c r="AE149" s="2">
        <f t="shared" ca="1" si="18"/>
        <v>-44986.676271643519</v>
      </c>
      <c r="AF149" s="15"/>
    </row>
    <row r="150" spans="4:32">
      <c r="D150" s="1"/>
      <c r="E150" s="1"/>
      <c r="P150" s="11"/>
      <c r="U150" s="11"/>
      <c r="X150" s="13">
        <f t="shared" si="19"/>
        <v>0</v>
      </c>
      <c r="Y150" s="2">
        <f t="shared" ca="1" si="14"/>
        <v>32133</v>
      </c>
      <c r="Z150" s="14">
        <v>1</v>
      </c>
      <c r="AA150" s="1" t="str">
        <f t="shared" ca="1" si="15"/>
        <v>VENCIDO</v>
      </c>
      <c r="AB150" s="1" t="str">
        <f t="shared" si="16"/>
        <v>TAAe+</v>
      </c>
      <c r="AC150" s="2">
        <f t="shared" si="20"/>
        <v>0</v>
      </c>
      <c r="AD150" s="2">
        <f t="shared" si="17"/>
        <v>8</v>
      </c>
      <c r="AE150" s="2">
        <f t="shared" ca="1" si="18"/>
        <v>-44986.676271643519</v>
      </c>
      <c r="AF150" s="15"/>
    </row>
    <row r="151" spans="4:32">
      <c r="D151" s="1"/>
      <c r="E151" s="1"/>
      <c r="P151" s="11"/>
      <c r="U151" s="11"/>
      <c r="X151" s="13">
        <f t="shared" si="19"/>
        <v>0</v>
      </c>
      <c r="Y151" s="2">
        <f t="shared" ca="1" si="14"/>
        <v>32133</v>
      </c>
      <c r="Z151" s="14">
        <v>1</v>
      </c>
      <c r="AA151" s="1" t="str">
        <f t="shared" ca="1" si="15"/>
        <v>VENCIDO</v>
      </c>
      <c r="AB151" s="1" t="str">
        <f t="shared" si="16"/>
        <v>TAAe+</v>
      </c>
      <c r="AC151" s="2">
        <f t="shared" si="20"/>
        <v>0</v>
      </c>
      <c r="AD151" s="2">
        <f t="shared" si="17"/>
        <v>8</v>
      </c>
      <c r="AE151" s="2">
        <f t="shared" ca="1" si="18"/>
        <v>-44986.676271643519</v>
      </c>
      <c r="AF151" s="15"/>
    </row>
    <row r="152" spans="4:32">
      <c r="D152" s="1"/>
      <c r="E152" s="1"/>
      <c r="P152" s="11"/>
      <c r="U152" s="11"/>
      <c r="X152" s="13">
        <f t="shared" si="19"/>
        <v>0</v>
      </c>
      <c r="Y152" s="2">
        <f t="shared" ca="1" si="14"/>
        <v>32133</v>
      </c>
      <c r="Z152" s="14">
        <v>1</v>
      </c>
      <c r="AA152" s="1" t="str">
        <f t="shared" ca="1" si="15"/>
        <v>VENCIDO</v>
      </c>
      <c r="AB152" s="1" t="str">
        <f t="shared" si="16"/>
        <v>TAAe+</v>
      </c>
      <c r="AC152" s="2">
        <f t="shared" si="20"/>
        <v>0</v>
      </c>
      <c r="AD152" s="2">
        <f t="shared" si="17"/>
        <v>8</v>
      </c>
      <c r="AE152" s="2">
        <f t="shared" ca="1" si="18"/>
        <v>-44986.676271643519</v>
      </c>
      <c r="AF152" s="15"/>
    </row>
    <row r="153" spans="4:32">
      <c r="D153" s="1"/>
      <c r="E153" s="1"/>
      <c r="P153" s="11"/>
      <c r="U153" s="11"/>
      <c r="X153" s="13">
        <f t="shared" si="19"/>
        <v>0</v>
      </c>
      <c r="Y153" s="2">
        <f t="shared" ca="1" si="14"/>
        <v>32133</v>
      </c>
      <c r="Z153" s="14">
        <v>1</v>
      </c>
      <c r="AA153" s="1" t="str">
        <f t="shared" ca="1" si="15"/>
        <v>VENCIDO</v>
      </c>
      <c r="AB153" s="1" t="str">
        <f t="shared" si="16"/>
        <v>TAAe+</v>
      </c>
      <c r="AC153" s="2">
        <f t="shared" si="20"/>
        <v>0</v>
      </c>
      <c r="AD153" s="2">
        <f t="shared" si="17"/>
        <v>8</v>
      </c>
      <c r="AE153" s="2">
        <f t="shared" ca="1" si="18"/>
        <v>-44986.676271643519</v>
      </c>
      <c r="AF153" s="15"/>
    </row>
    <row r="154" spans="4:32">
      <c r="D154" s="1"/>
      <c r="E154" s="1"/>
      <c r="P154" s="11"/>
      <c r="U154" s="11"/>
      <c r="X154" s="13">
        <f t="shared" si="19"/>
        <v>0</v>
      </c>
      <c r="Y154" s="2">
        <f t="shared" ca="1" si="14"/>
        <v>32133</v>
      </c>
      <c r="Z154" s="14">
        <v>1</v>
      </c>
      <c r="AA154" s="1" t="str">
        <f t="shared" ca="1" si="15"/>
        <v>VENCIDO</v>
      </c>
      <c r="AB154" s="1" t="str">
        <f t="shared" si="16"/>
        <v>TAAe+</v>
      </c>
      <c r="AC154" s="2">
        <f t="shared" si="20"/>
        <v>0</v>
      </c>
      <c r="AD154" s="2">
        <f t="shared" si="17"/>
        <v>8</v>
      </c>
      <c r="AE154" s="2">
        <f t="shared" ca="1" si="18"/>
        <v>-44986.676271643519</v>
      </c>
      <c r="AF154" s="15"/>
    </row>
    <row r="155" spans="4:32">
      <c r="D155" s="1"/>
      <c r="E155" s="1"/>
      <c r="P155" s="11"/>
      <c r="U155" s="11"/>
      <c r="X155" s="13">
        <f t="shared" si="19"/>
        <v>0</v>
      </c>
      <c r="Y155" s="2">
        <f t="shared" ca="1" si="14"/>
        <v>32133</v>
      </c>
      <c r="Z155" s="14">
        <v>1</v>
      </c>
      <c r="AA155" s="1" t="str">
        <f t="shared" ca="1" si="15"/>
        <v>VENCIDO</v>
      </c>
      <c r="AB155" s="1" t="str">
        <f t="shared" si="16"/>
        <v>TAAe+</v>
      </c>
      <c r="AC155" s="2">
        <f t="shared" si="20"/>
        <v>0</v>
      </c>
      <c r="AD155" s="2">
        <f t="shared" si="17"/>
        <v>8</v>
      </c>
      <c r="AE155" s="2">
        <f t="shared" ca="1" si="18"/>
        <v>-44986.676271643519</v>
      </c>
      <c r="AF155" s="15"/>
    </row>
    <row r="156" spans="4:32">
      <c r="D156" s="1"/>
      <c r="E156" s="1"/>
      <c r="P156" s="11"/>
      <c r="U156" s="11"/>
      <c r="X156" s="13">
        <f t="shared" si="19"/>
        <v>0</v>
      </c>
      <c r="Y156" s="2">
        <f t="shared" ca="1" si="14"/>
        <v>32133</v>
      </c>
      <c r="Z156" s="14">
        <v>1</v>
      </c>
      <c r="AA156" s="1" t="str">
        <f t="shared" ca="1" si="15"/>
        <v>VENCIDO</v>
      </c>
      <c r="AB156" s="1" t="str">
        <f t="shared" si="16"/>
        <v>TAAe+</v>
      </c>
      <c r="AC156" s="2">
        <f t="shared" si="20"/>
        <v>0</v>
      </c>
      <c r="AD156" s="2">
        <f t="shared" si="17"/>
        <v>8</v>
      </c>
      <c r="AE156" s="2">
        <f t="shared" ca="1" si="18"/>
        <v>-44986.676271643519</v>
      </c>
      <c r="AF156" s="15"/>
    </row>
    <row r="157" spans="4:32">
      <c r="D157" s="1"/>
      <c r="E157" s="1"/>
      <c r="P157" s="11"/>
      <c r="X157" s="13">
        <f t="shared" si="19"/>
        <v>0</v>
      </c>
      <c r="Y157" s="2">
        <f t="shared" ca="1" si="14"/>
        <v>32133</v>
      </c>
      <c r="Z157" s="14">
        <v>1</v>
      </c>
      <c r="AA157" s="1" t="str">
        <f t="shared" ca="1" si="15"/>
        <v>VENCIDO</v>
      </c>
      <c r="AB157" s="1" t="str">
        <f t="shared" si="16"/>
        <v>TAAe+</v>
      </c>
      <c r="AC157" s="2">
        <f t="shared" si="20"/>
        <v>0</v>
      </c>
      <c r="AD157" s="2">
        <f t="shared" si="17"/>
        <v>8</v>
      </c>
      <c r="AE157" s="2">
        <f t="shared" ca="1" si="18"/>
        <v>-44986.676271643519</v>
      </c>
      <c r="AF157" s="15"/>
    </row>
    <row r="158" spans="4:32">
      <c r="D158" s="1"/>
      <c r="E158" s="1"/>
      <c r="P158" s="11"/>
      <c r="U158" s="11"/>
      <c r="X158" s="13">
        <f t="shared" si="19"/>
        <v>0</v>
      </c>
      <c r="Y158" s="2">
        <f t="shared" ca="1" si="14"/>
        <v>32133</v>
      </c>
      <c r="Z158" s="14">
        <v>1</v>
      </c>
      <c r="AA158" s="1" t="str">
        <f t="shared" ca="1" si="15"/>
        <v>VENCIDO</v>
      </c>
      <c r="AB158" s="1" t="str">
        <f t="shared" si="16"/>
        <v>TAAe+</v>
      </c>
      <c r="AC158" s="2">
        <f t="shared" si="20"/>
        <v>0</v>
      </c>
      <c r="AD158" s="2">
        <f t="shared" si="17"/>
        <v>8</v>
      </c>
      <c r="AE158" s="2">
        <f t="shared" ca="1" si="18"/>
        <v>-44986.676271643519</v>
      </c>
      <c r="AF158" s="15"/>
    </row>
    <row r="159" spans="4:32">
      <c r="D159" s="1"/>
      <c r="E159" s="1"/>
      <c r="P159" s="11"/>
      <c r="U159" s="11"/>
      <c r="X159" s="13">
        <f t="shared" si="19"/>
        <v>0</v>
      </c>
      <c r="Y159" s="2">
        <f t="shared" ca="1" si="14"/>
        <v>32133</v>
      </c>
      <c r="Z159" s="14">
        <v>1</v>
      </c>
      <c r="AA159" s="1" t="str">
        <f t="shared" ca="1" si="15"/>
        <v>VENCIDO</v>
      </c>
      <c r="AB159" s="1" t="str">
        <f t="shared" si="16"/>
        <v>TAAe+</v>
      </c>
      <c r="AC159" s="2">
        <f t="shared" si="20"/>
        <v>0</v>
      </c>
      <c r="AD159" s="2">
        <f t="shared" si="17"/>
        <v>8</v>
      </c>
      <c r="AE159" s="2">
        <f t="shared" ca="1" si="18"/>
        <v>-44986.676271643519</v>
      </c>
      <c r="AF159" s="15"/>
    </row>
    <row r="160" spans="4:32">
      <c r="D160" s="1"/>
      <c r="E160" s="1"/>
      <c r="P160" s="11"/>
      <c r="U160" s="11"/>
      <c r="X160" s="13">
        <f t="shared" si="19"/>
        <v>0</v>
      </c>
      <c r="Y160" s="2">
        <f t="shared" ca="1" si="14"/>
        <v>32133</v>
      </c>
      <c r="Z160" s="14">
        <v>1</v>
      </c>
      <c r="AA160" s="1" t="str">
        <f t="shared" ca="1" si="15"/>
        <v>VENCIDO</v>
      </c>
      <c r="AB160" s="1" t="str">
        <f t="shared" si="16"/>
        <v>TAAe+</v>
      </c>
      <c r="AC160" s="2">
        <f t="shared" si="20"/>
        <v>0</v>
      </c>
      <c r="AD160" s="2">
        <f t="shared" si="17"/>
        <v>8</v>
      </c>
      <c r="AE160" s="2">
        <f t="shared" ca="1" si="18"/>
        <v>-44986.676271643519</v>
      </c>
      <c r="AF160" s="15"/>
    </row>
    <row r="161" spans="3:32">
      <c r="D161" s="1"/>
      <c r="E161" s="1"/>
      <c r="P161" s="11"/>
      <c r="U161" s="11"/>
      <c r="X161" s="13">
        <f t="shared" si="19"/>
        <v>0</v>
      </c>
      <c r="Y161" s="2">
        <f t="shared" ca="1" si="14"/>
        <v>32133</v>
      </c>
      <c r="Z161" s="14">
        <v>1</v>
      </c>
      <c r="AA161" s="1" t="str">
        <f t="shared" ca="1" si="15"/>
        <v>VENCIDO</v>
      </c>
      <c r="AB161" s="1" t="str">
        <f t="shared" si="16"/>
        <v>TAAe+</v>
      </c>
      <c r="AC161" s="2">
        <f t="shared" si="20"/>
        <v>0</v>
      </c>
      <c r="AD161" s="2">
        <f t="shared" si="17"/>
        <v>8</v>
      </c>
      <c r="AE161" s="2">
        <f t="shared" ca="1" si="18"/>
        <v>-44986.676271643519</v>
      </c>
      <c r="AF161" s="15"/>
    </row>
    <row r="162" spans="3:32">
      <c r="D162" s="1"/>
      <c r="E162" s="1"/>
      <c r="P162" s="11"/>
      <c r="X162" s="13">
        <f t="shared" si="19"/>
        <v>0</v>
      </c>
      <c r="Y162" s="2">
        <f t="shared" ca="1" si="14"/>
        <v>32133</v>
      </c>
      <c r="Z162" s="14">
        <v>1</v>
      </c>
      <c r="AA162" s="1" t="str">
        <f t="shared" ca="1" si="15"/>
        <v>VENCIDO</v>
      </c>
      <c r="AB162" s="1" t="str">
        <f t="shared" si="16"/>
        <v>TAAe+</v>
      </c>
      <c r="AC162" s="2">
        <f t="shared" si="20"/>
        <v>0</v>
      </c>
      <c r="AD162" s="2">
        <f t="shared" si="17"/>
        <v>8</v>
      </c>
      <c r="AE162" s="2">
        <f t="shared" ca="1" si="18"/>
        <v>-44986.676271643519</v>
      </c>
      <c r="AF162" s="15"/>
    </row>
    <row r="163" spans="3:32">
      <c r="D163" s="1"/>
      <c r="E163" s="1"/>
      <c r="P163" s="11"/>
      <c r="X163" s="13">
        <f t="shared" si="19"/>
        <v>0</v>
      </c>
      <c r="Y163" s="2">
        <f t="shared" ca="1" si="14"/>
        <v>32133</v>
      </c>
      <c r="Z163" s="14">
        <v>1</v>
      </c>
      <c r="AA163" s="1" t="str">
        <f t="shared" ca="1" si="15"/>
        <v>VENCIDO</v>
      </c>
      <c r="AB163" s="1" t="str">
        <f t="shared" si="16"/>
        <v>TAAe+</v>
      </c>
      <c r="AC163" s="2">
        <f t="shared" si="20"/>
        <v>0</v>
      </c>
      <c r="AD163" s="2">
        <f t="shared" si="17"/>
        <v>8</v>
      </c>
      <c r="AE163" s="2">
        <f t="shared" ca="1" si="18"/>
        <v>-44986.676271643519</v>
      </c>
      <c r="AF163" s="15"/>
    </row>
    <row r="164" spans="3:32">
      <c r="D164" s="1"/>
      <c r="E164" s="1"/>
      <c r="P164" s="11"/>
      <c r="X164" s="13">
        <f t="shared" si="19"/>
        <v>0</v>
      </c>
      <c r="Y164" s="2">
        <f t="shared" ca="1" si="14"/>
        <v>32133</v>
      </c>
      <c r="Z164" s="14">
        <v>1</v>
      </c>
      <c r="AA164" s="1" t="str">
        <f t="shared" ca="1" si="15"/>
        <v>VENCIDO</v>
      </c>
      <c r="AB164" s="1" t="str">
        <f t="shared" si="16"/>
        <v>TAAe+</v>
      </c>
      <c r="AC164" s="2">
        <f t="shared" si="20"/>
        <v>0</v>
      </c>
      <c r="AD164" s="2">
        <f t="shared" si="17"/>
        <v>8</v>
      </c>
      <c r="AE164" s="2">
        <f t="shared" ca="1" si="18"/>
        <v>-44986.676271643519</v>
      </c>
      <c r="AF164" s="15"/>
    </row>
    <row r="165" spans="3:32">
      <c r="D165" s="1"/>
      <c r="E165" s="1"/>
      <c r="P165" s="11"/>
      <c r="X165" s="13">
        <f t="shared" si="19"/>
        <v>0</v>
      </c>
      <c r="Y165" s="2">
        <f t="shared" ca="1" si="14"/>
        <v>32133</v>
      </c>
      <c r="Z165" s="14">
        <v>1</v>
      </c>
      <c r="AA165" s="1" t="str">
        <f t="shared" ca="1" si="15"/>
        <v>VENCIDO</v>
      </c>
      <c r="AB165" s="1" t="str">
        <f t="shared" si="16"/>
        <v>TAAe+</v>
      </c>
      <c r="AC165" s="2">
        <f t="shared" si="20"/>
        <v>0</v>
      </c>
      <c r="AD165" s="2">
        <f t="shared" si="17"/>
        <v>8</v>
      </c>
      <c r="AE165" s="2">
        <f t="shared" ca="1" si="18"/>
        <v>-44986.676271643519</v>
      </c>
      <c r="AF165" s="15"/>
    </row>
    <row r="166" spans="3:32">
      <c r="C166" s="23"/>
      <c r="D166" s="1"/>
      <c r="E166" s="1"/>
      <c r="P166" s="11"/>
      <c r="X166" s="13">
        <f t="shared" si="19"/>
        <v>0</v>
      </c>
      <c r="Y166" s="2">
        <f t="shared" ca="1" si="14"/>
        <v>32133</v>
      </c>
      <c r="Z166" s="14">
        <v>1</v>
      </c>
      <c r="AA166" s="1" t="str">
        <f t="shared" ca="1" si="15"/>
        <v>VENCIDO</v>
      </c>
      <c r="AB166" s="1" t="str">
        <f t="shared" si="16"/>
        <v>TAAe+</v>
      </c>
      <c r="AC166" s="2">
        <f t="shared" si="20"/>
        <v>0</v>
      </c>
      <c r="AD166" s="2">
        <f t="shared" si="17"/>
        <v>8</v>
      </c>
      <c r="AE166" s="2">
        <f t="shared" ca="1" si="18"/>
        <v>-44986.676271643519</v>
      </c>
      <c r="AF166" s="15"/>
    </row>
    <row r="167" spans="3:32">
      <c r="C167" s="23"/>
      <c r="D167" s="1"/>
      <c r="E167" s="1"/>
      <c r="P167" s="11"/>
      <c r="X167" s="13">
        <f t="shared" si="19"/>
        <v>0</v>
      </c>
      <c r="Y167" s="2">
        <f t="shared" ca="1" si="14"/>
        <v>32133</v>
      </c>
      <c r="Z167" s="14">
        <v>1</v>
      </c>
      <c r="AA167" s="1" t="str">
        <f t="shared" ca="1" si="15"/>
        <v>VENCIDO</v>
      </c>
      <c r="AB167" s="1" t="str">
        <f t="shared" si="16"/>
        <v>TAAe+</v>
      </c>
      <c r="AC167" s="2">
        <f t="shared" si="20"/>
        <v>0</v>
      </c>
      <c r="AD167" s="2">
        <f t="shared" si="17"/>
        <v>8</v>
      </c>
      <c r="AE167" s="2">
        <f t="shared" ca="1" si="18"/>
        <v>-44986.676271643519</v>
      </c>
      <c r="AF167" s="15"/>
    </row>
    <row r="168" spans="3:32">
      <c r="D168" s="1"/>
      <c r="E168" s="1"/>
      <c r="P168" s="11"/>
      <c r="X168" s="13">
        <f t="shared" si="19"/>
        <v>0</v>
      </c>
      <c r="Y168" s="2">
        <f t="shared" ca="1" si="14"/>
        <v>32133</v>
      </c>
      <c r="Z168" s="14">
        <v>1</v>
      </c>
      <c r="AA168" s="1" t="str">
        <f t="shared" ca="1" si="15"/>
        <v>VENCIDO</v>
      </c>
      <c r="AB168" s="1" t="str">
        <f t="shared" si="16"/>
        <v>TAAe+</v>
      </c>
      <c r="AC168" s="2">
        <f t="shared" si="20"/>
        <v>0</v>
      </c>
      <c r="AD168" s="2">
        <f t="shared" si="17"/>
        <v>8</v>
      </c>
      <c r="AE168" s="2">
        <f t="shared" ca="1" si="18"/>
        <v>-44986.676271643519</v>
      </c>
      <c r="AF168" s="15"/>
    </row>
    <row r="169" spans="3:32">
      <c r="D169" s="1"/>
      <c r="E169" s="1"/>
      <c r="P169" s="11"/>
      <c r="X169" s="13">
        <f t="shared" si="19"/>
        <v>0</v>
      </c>
      <c r="Y169" s="2">
        <f t="shared" ca="1" si="14"/>
        <v>32133</v>
      </c>
      <c r="Z169" s="14">
        <v>1</v>
      </c>
      <c r="AA169" s="1" t="str">
        <f t="shared" ca="1" si="15"/>
        <v>VENCIDO</v>
      </c>
      <c r="AB169" s="1" t="str">
        <f t="shared" si="16"/>
        <v>TAAe+</v>
      </c>
      <c r="AC169" s="2">
        <f t="shared" si="20"/>
        <v>0</v>
      </c>
      <c r="AD169" s="2">
        <f t="shared" si="17"/>
        <v>8</v>
      </c>
      <c r="AE169" s="2">
        <f t="shared" ca="1" si="18"/>
        <v>-44986.676271643519</v>
      </c>
      <c r="AF169" s="15"/>
    </row>
    <row r="170" spans="3:32">
      <c r="D170" s="1"/>
      <c r="E170" s="1"/>
      <c r="P170" s="11"/>
      <c r="X170" s="13">
        <f t="shared" si="19"/>
        <v>0</v>
      </c>
      <c r="Y170" s="2">
        <f t="shared" ca="1" si="14"/>
        <v>32133</v>
      </c>
      <c r="Z170" s="14">
        <v>1</v>
      </c>
      <c r="AA170" s="1" t="str">
        <f t="shared" ca="1" si="15"/>
        <v>VENCIDO</v>
      </c>
      <c r="AB170" s="1" t="str">
        <f t="shared" si="16"/>
        <v>TAAe+</v>
      </c>
      <c r="AC170" s="2">
        <f t="shared" si="20"/>
        <v>0</v>
      </c>
      <c r="AD170" s="2">
        <f t="shared" si="17"/>
        <v>8</v>
      </c>
      <c r="AE170" s="2">
        <f t="shared" ca="1" si="18"/>
        <v>-44986.676271643519</v>
      </c>
      <c r="AF170" s="15"/>
    </row>
    <row r="171" spans="3:32">
      <c r="C171" s="23"/>
      <c r="D171" s="1"/>
      <c r="E171" s="1"/>
      <c r="P171" s="11"/>
      <c r="X171" s="13">
        <f t="shared" si="19"/>
        <v>0</v>
      </c>
      <c r="Y171" s="2">
        <f t="shared" ca="1" si="14"/>
        <v>32133</v>
      </c>
      <c r="Z171" s="14">
        <v>1</v>
      </c>
      <c r="AA171" s="1" t="str">
        <f t="shared" ca="1" si="15"/>
        <v>VENCIDO</v>
      </c>
      <c r="AB171" s="1" t="str">
        <f t="shared" si="16"/>
        <v>TAAe+</v>
      </c>
      <c r="AC171" s="2">
        <f t="shared" si="20"/>
        <v>0</v>
      </c>
      <c r="AD171" s="2">
        <f t="shared" si="17"/>
        <v>8</v>
      </c>
      <c r="AE171" s="2">
        <f t="shared" ca="1" si="18"/>
        <v>-44986.676271643519</v>
      </c>
      <c r="AF171" s="15"/>
    </row>
    <row r="172" spans="3:32">
      <c r="D172" s="1"/>
      <c r="E172" s="1"/>
      <c r="P172" s="11"/>
      <c r="X172" s="13">
        <f t="shared" si="19"/>
        <v>0</v>
      </c>
      <c r="Y172" s="2">
        <f t="shared" ca="1" si="14"/>
        <v>32133</v>
      </c>
      <c r="Z172" s="14">
        <v>1</v>
      </c>
      <c r="AA172" s="1" t="str">
        <f t="shared" ca="1" si="15"/>
        <v>VENCIDO</v>
      </c>
      <c r="AB172" s="1" t="str">
        <f t="shared" si="16"/>
        <v>TAAe+</v>
      </c>
      <c r="AC172" s="2">
        <f t="shared" si="20"/>
        <v>0</v>
      </c>
      <c r="AD172" s="2">
        <f t="shared" si="17"/>
        <v>8</v>
      </c>
      <c r="AE172" s="2">
        <f t="shared" ca="1" si="18"/>
        <v>-44986.676271643519</v>
      </c>
      <c r="AF172" s="15"/>
    </row>
    <row r="173" spans="3:32">
      <c r="D173" s="1"/>
      <c r="E173" s="1"/>
      <c r="P173" s="11"/>
      <c r="X173" s="13">
        <f t="shared" si="19"/>
        <v>0</v>
      </c>
      <c r="Y173" s="2">
        <f t="shared" ca="1" si="14"/>
        <v>32133</v>
      </c>
      <c r="Z173" s="14">
        <v>1</v>
      </c>
      <c r="AA173" s="1" t="str">
        <f t="shared" ca="1" si="15"/>
        <v>VENCIDO</v>
      </c>
      <c r="AB173" s="1" t="str">
        <f t="shared" si="16"/>
        <v>TAAe+</v>
      </c>
      <c r="AC173" s="2">
        <f t="shared" si="20"/>
        <v>0</v>
      </c>
      <c r="AD173" s="2">
        <f t="shared" si="17"/>
        <v>8</v>
      </c>
      <c r="AE173" s="2">
        <f t="shared" ca="1" si="18"/>
        <v>-44986.676271643519</v>
      </c>
      <c r="AF173" s="15"/>
    </row>
    <row r="174" spans="3:32">
      <c r="C174" s="23"/>
      <c r="D174" s="1"/>
      <c r="E174" s="1"/>
      <c r="P174" s="11"/>
      <c r="X174" s="13">
        <f t="shared" si="19"/>
        <v>0</v>
      </c>
      <c r="Y174" s="2">
        <f t="shared" ca="1" si="14"/>
        <v>32133</v>
      </c>
      <c r="Z174" s="14">
        <v>1</v>
      </c>
      <c r="AA174" s="1" t="str">
        <f t="shared" ca="1" si="15"/>
        <v>VENCIDO</v>
      </c>
      <c r="AB174" s="1" t="str">
        <f t="shared" si="16"/>
        <v>TAAe+</v>
      </c>
      <c r="AC174" s="2">
        <f t="shared" si="20"/>
        <v>0</v>
      </c>
      <c r="AD174" s="2">
        <f t="shared" si="17"/>
        <v>8</v>
      </c>
      <c r="AE174" s="2">
        <f t="shared" ca="1" si="18"/>
        <v>-44986.676271643519</v>
      </c>
      <c r="AF174" s="15"/>
    </row>
    <row r="175" spans="3:32">
      <c r="D175" s="1"/>
      <c r="E175" s="1"/>
      <c r="P175" s="11"/>
      <c r="X175" s="13">
        <f t="shared" si="19"/>
        <v>0</v>
      </c>
      <c r="Y175" s="2">
        <f t="shared" ca="1" si="14"/>
        <v>32133</v>
      </c>
      <c r="Z175" s="14">
        <v>1</v>
      </c>
      <c r="AA175" s="1" t="str">
        <f t="shared" ca="1" si="15"/>
        <v>VENCIDO</v>
      </c>
      <c r="AB175" s="1" t="str">
        <f t="shared" si="16"/>
        <v>TAAe+</v>
      </c>
      <c r="AC175" s="2">
        <f t="shared" si="20"/>
        <v>0</v>
      </c>
      <c r="AD175" s="2">
        <f t="shared" si="17"/>
        <v>8</v>
      </c>
      <c r="AE175" s="2">
        <f t="shared" ca="1" si="18"/>
        <v>-44986.676271643519</v>
      </c>
      <c r="AF175" s="15"/>
    </row>
    <row r="176" spans="3:32">
      <c r="D176" s="1"/>
      <c r="E176" s="1"/>
      <c r="P176" s="11"/>
      <c r="X176" s="13">
        <f t="shared" si="19"/>
        <v>0</v>
      </c>
      <c r="Y176" s="2">
        <f t="shared" ca="1" si="14"/>
        <v>32133</v>
      </c>
      <c r="Z176" s="14">
        <v>1</v>
      </c>
      <c r="AA176" s="1" t="str">
        <f t="shared" ca="1" si="15"/>
        <v>VENCIDO</v>
      </c>
      <c r="AB176" s="1" t="str">
        <f t="shared" si="16"/>
        <v>TAAe+</v>
      </c>
      <c r="AC176" s="2">
        <f t="shared" si="20"/>
        <v>0</v>
      </c>
      <c r="AD176" s="2">
        <f t="shared" si="17"/>
        <v>8</v>
      </c>
      <c r="AE176" s="2">
        <f t="shared" ca="1" si="18"/>
        <v>-44986.676271643519</v>
      </c>
      <c r="AF176" s="15"/>
    </row>
    <row r="177" spans="3:32">
      <c r="D177" s="1"/>
      <c r="E177" s="1"/>
      <c r="P177" s="11"/>
      <c r="X177" s="13">
        <f t="shared" si="19"/>
        <v>0</v>
      </c>
      <c r="Y177" s="2">
        <f t="shared" ca="1" si="14"/>
        <v>32133</v>
      </c>
      <c r="Z177" s="14">
        <v>1</v>
      </c>
      <c r="AA177" s="1" t="str">
        <f t="shared" ca="1" si="15"/>
        <v>VENCIDO</v>
      </c>
      <c r="AB177" s="1" t="str">
        <f t="shared" si="16"/>
        <v>TAAe+</v>
      </c>
      <c r="AC177" s="2">
        <f t="shared" si="20"/>
        <v>0</v>
      </c>
      <c r="AD177" s="2">
        <f t="shared" si="17"/>
        <v>8</v>
      </c>
      <c r="AE177" s="2">
        <f t="shared" ca="1" si="18"/>
        <v>-44986.676271643519</v>
      </c>
      <c r="AF177" s="15"/>
    </row>
    <row r="178" spans="3:32">
      <c r="D178" s="1"/>
      <c r="E178" s="1"/>
      <c r="P178" s="11"/>
      <c r="X178" s="13">
        <f t="shared" si="19"/>
        <v>0</v>
      </c>
      <c r="Y178" s="2">
        <f t="shared" ca="1" si="14"/>
        <v>32133</v>
      </c>
      <c r="Z178" s="14">
        <v>1</v>
      </c>
      <c r="AA178" s="1" t="str">
        <f t="shared" ca="1" si="15"/>
        <v>VENCIDO</v>
      </c>
      <c r="AB178" s="1" t="str">
        <f t="shared" si="16"/>
        <v>TAAe+</v>
      </c>
      <c r="AC178" s="2">
        <f t="shared" si="20"/>
        <v>0</v>
      </c>
      <c r="AD178" s="2">
        <f t="shared" si="17"/>
        <v>8</v>
      </c>
      <c r="AE178" s="2">
        <f t="shared" ca="1" si="18"/>
        <v>-44986.676271643519</v>
      </c>
      <c r="AF178" s="15"/>
    </row>
    <row r="179" spans="3:32">
      <c r="D179" s="1"/>
      <c r="E179" s="1"/>
      <c r="P179" s="11"/>
      <c r="X179" s="13">
        <f t="shared" si="19"/>
        <v>0</v>
      </c>
      <c r="Y179" s="2">
        <f t="shared" ca="1" si="14"/>
        <v>32133</v>
      </c>
      <c r="Z179" s="14">
        <v>1</v>
      </c>
      <c r="AA179" s="1" t="str">
        <f t="shared" ca="1" si="15"/>
        <v>VENCIDO</v>
      </c>
      <c r="AB179" s="1" t="str">
        <f t="shared" si="16"/>
        <v>TAAe+</v>
      </c>
      <c r="AC179" s="2">
        <f t="shared" si="20"/>
        <v>0</v>
      </c>
      <c r="AD179" s="2">
        <f t="shared" si="17"/>
        <v>8</v>
      </c>
      <c r="AE179" s="2">
        <f t="shared" ca="1" si="18"/>
        <v>-44986.676271643519</v>
      </c>
      <c r="AF179" s="15"/>
    </row>
    <row r="180" spans="3:32">
      <c r="D180" s="1"/>
      <c r="E180" s="1"/>
      <c r="P180" s="11"/>
      <c r="X180" s="13">
        <f t="shared" si="19"/>
        <v>0</v>
      </c>
      <c r="Y180" s="2">
        <f t="shared" ca="1" si="14"/>
        <v>32133</v>
      </c>
      <c r="Z180" s="14">
        <v>1</v>
      </c>
      <c r="AA180" s="1" t="str">
        <f t="shared" ca="1" si="15"/>
        <v>VENCIDO</v>
      </c>
      <c r="AB180" s="1" t="str">
        <f t="shared" si="16"/>
        <v>TAAe+</v>
      </c>
      <c r="AC180" s="2">
        <f t="shared" si="20"/>
        <v>0</v>
      </c>
      <c r="AD180" s="2">
        <f t="shared" si="17"/>
        <v>8</v>
      </c>
      <c r="AE180" s="2">
        <f t="shared" ca="1" si="18"/>
        <v>-44986.676271643519</v>
      </c>
      <c r="AF180" s="15"/>
    </row>
    <row r="181" spans="3:32">
      <c r="D181" s="1"/>
      <c r="E181" s="1"/>
      <c r="P181" s="11"/>
      <c r="X181" s="13">
        <f t="shared" si="19"/>
        <v>0</v>
      </c>
      <c r="Y181" s="2">
        <f t="shared" ca="1" si="14"/>
        <v>32133</v>
      </c>
      <c r="Z181" s="14">
        <v>1</v>
      </c>
      <c r="AA181" s="1" t="str">
        <f t="shared" ca="1" si="15"/>
        <v>VENCIDO</v>
      </c>
      <c r="AB181" s="1" t="str">
        <f t="shared" si="16"/>
        <v>TAAe+</v>
      </c>
      <c r="AC181" s="2">
        <f t="shared" si="20"/>
        <v>0</v>
      </c>
      <c r="AD181" s="2">
        <f t="shared" si="17"/>
        <v>8</v>
      </c>
      <c r="AE181" s="2">
        <f t="shared" ca="1" si="18"/>
        <v>-44986.676271643519</v>
      </c>
      <c r="AF181" s="15"/>
    </row>
    <row r="182" spans="3:32">
      <c r="D182" s="1"/>
      <c r="E182" s="1"/>
      <c r="P182" s="11"/>
      <c r="X182" s="13">
        <f t="shared" si="19"/>
        <v>0</v>
      </c>
      <c r="Y182" s="2">
        <f t="shared" ca="1" si="14"/>
        <v>32133</v>
      </c>
      <c r="Z182" s="14">
        <v>1</v>
      </c>
      <c r="AA182" s="1" t="str">
        <f t="shared" ca="1" si="15"/>
        <v>VENCIDO</v>
      </c>
      <c r="AB182" s="1" t="str">
        <f t="shared" si="16"/>
        <v>TAAe+</v>
      </c>
      <c r="AC182" s="2">
        <f t="shared" si="20"/>
        <v>0</v>
      </c>
      <c r="AD182" s="2">
        <f t="shared" si="17"/>
        <v>8</v>
      </c>
      <c r="AE182" s="2">
        <f t="shared" ca="1" si="18"/>
        <v>-44986.676271643519</v>
      </c>
      <c r="AF182" s="15"/>
    </row>
    <row r="183" spans="3:32">
      <c r="C183" s="23"/>
      <c r="D183" s="1"/>
      <c r="E183" s="1"/>
      <c r="P183" s="11"/>
      <c r="X183" s="13">
        <f t="shared" si="19"/>
        <v>0</v>
      </c>
      <c r="Y183" s="2">
        <f t="shared" ca="1" si="14"/>
        <v>32133</v>
      </c>
      <c r="Z183" s="14">
        <v>1</v>
      </c>
      <c r="AA183" s="1" t="str">
        <f t="shared" ca="1" si="15"/>
        <v>VENCIDO</v>
      </c>
      <c r="AB183" s="1" t="str">
        <f t="shared" si="16"/>
        <v>TAAe+</v>
      </c>
      <c r="AC183" s="2">
        <f t="shared" si="20"/>
        <v>0</v>
      </c>
      <c r="AD183" s="2">
        <f t="shared" si="17"/>
        <v>8</v>
      </c>
      <c r="AE183" s="2">
        <f t="shared" ca="1" si="18"/>
        <v>-44986.676271643519</v>
      </c>
      <c r="AF183" s="15"/>
    </row>
    <row r="184" spans="3:32">
      <c r="D184" s="1"/>
      <c r="E184" s="1"/>
      <c r="P184" s="11"/>
      <c r="X184" s="13">
        <f t="shared" si="19"/>
        <v>0</v>
      </c>
      <c r="Y184" s="2">
        <f t="shared" ca="1" si="14"/>
        <v>32133</v>
      </c>
      <c r="Z184" s="14">
        <v>1</v>
      </c>
      <c r="AA184" s="1" t="str">
        <f t="shared" ca="1" si="15"/>
        <v>VENCIDO</v>
      </c>
      <c r="AB184" s="1" t="str">
        <f t="shared" si="16"/>
        <v>TAAe+</v>
      </c>
      <c r="AC184" s="2">
        <f t="shared" si="20"/>
        <v>0</v>
      </c>
      <c r="AD184" s="2">
        <f t="shared" si="17"/>
        <v>8</v>
      </c>
      <c r="AE184" s="2">
        <f t="shared" ca="1" si="18"/>
        <v>-44986.676271643519</v>
      </c>
      <c r="AF184" s="15"/>
    </row>
    <row r="185" spans="3:32">
      <c r="D185" s="1"/>
      <c r="E185" s="1"/>
      <c r="P185" s="11"/>
      <c r="X185" s="13">
        <f t="shared" si="19"/>
        <v>0</v>
      </c>
      <c r="Y185" s="2">
        <f t="shared" ca="1" si="14"/>
        <v>32133</v>
      </c>
      <c r="Z185" s="14">
        <v>1</v>
      </c>
      <c r="AA185" s="1" t="str">
        <f t="shared" ca="1" si="15"/>
        <v>VENCIDO</v>
      </c>
      <c r="AB185" s="1" t="str">
        <f t="shared" si="16"/>
        <v>TAAe+</v>
      </c>
      <c r="AC185" s="2">
        <f t="shared" si="20"/>
        <v>0</v>
      </c>
      <c r="AD185" s="2">
        <f t="shared" si="17"/>
        <v>8</v>
      </c>
      <c r="AE185" s="2">
        <f t="shared" ca="1" si="18"/>
        <v>-44986.676271643519</v>
      </c>
      <c r="AF185" s="15"/>
    </row>
    <row r="186" spans="3:32">
      <c r="D186" s="1"/>
      <c r="E186" s="1"/>
      <c r="P186" s="11"/>
      <c r="X186" s="13">
        <f t="shared" si="19"/>
        <v>0</v>
      </c>
      <c r="Y186" s="2">
        <f t="shared" ca="1" si="14"/>
        <v>32133</v>
      </c>
      <c r="Z186" s="14">
        <v>1</v>
      </c>
      <c r="AA186" s="1" t="str">
        <f t="shared" ca="1" si="15"/>
        <v>VENCIDO</v>
      </c>
      <c r="AB186" s="1" t="str">
        <f t="shared" si="16"/>
        <v>TAAe+</v>
      </c>
      <c r="AC186" s="2">
        <f t="shared" si="20"/>
        <v>0</v>
      </c>
      <c r="AD186" s="2">
        <f t="shared" si="17"/>
        <v>8</v>
      </c>
      <c r="AE186" s="2">
        <f t="shared" ca="1" si="18"/>
        <v>-44986.676271643519</v>
      </c>
      <c r="AF186" s="15"/>
    </row>
    <row r="187" spans="3:32">
      <c r="D187" s="1"/>
      <c r="E187" s="1"/>
      <c r="P187" s="11"/>
      <c r="X187" s="13">
        <f t="shared" si="19"/>
        <v>0</v>
      </c>
      <c r="Y187" s="2">
        <f t="shared" ca="1" si="14"/>
        <v>32133</v>
      </c>
      <c r="Z187" s="14">
        <v>1</v>
      </c>
      <c r="AA187" s="1" t="str">
        <f t="shared" ca="1" si="15"/>
        <v>VENCIDO</v>
      </c>
      <c r="AB187" s="1" t="str">
        <f t="shared" si="16"/>
        <v>TAAe+</v>
      </c>
      <c r="AC187" s="2">
        <f t="shared" si="20"/>
        <v>0</v>
      </c>
      <c r="AD187" s="2">
        <f t="shared" si="17"/>
        <v>8</v>
      </c>
      <c r="AE187" s="2">
        <f t="shared" ca="1" si="18"/>
        <v>-44986.676271643519</v>
      </c>
      <c r="AF187" s="15"/>
    </row>
    <row r="188" spans="3:32">
      <c r="D188" s="1"/>
      <c r="E188" s="1"/>
      <c r="P188" s="11"/>
      <c r="X188" s="13">
        <f t="shared" si="19"/>
        <v>0</v>
      </c>
      <c r="Y188" s="2">
        <f t="shared" ca="1" si="14"/>
        <v>32133</v>
      </c>
      <c r="Z188" s="14">
        <v>1</v>
      </c>
      <c r="AA188" s="1" t="str">
        <f t="shared" ca="1" si="15"/>
        <v>VENCIDO</v>
      </c>
      <c r="AB188" s="1" t="str">
        <f t="shared" si="16"/>
        <v>TAAe+</v>
      </c>
      <c r="AC188" s="2">
        <f t="shared" si="20"/>
        <v>0</v>
      </c>
      <c r="AD188" s="2">
        <f t="shared" si="17"/>
        <v>8</v>
      </c>
      <c r="AE188" s="2">
        <f t="shared" ca="1" si="18"/>
        <v>-44986.676271643519</v>
      </c>
      <c r="AF188" s="15"/>
    </row>
    <row r="189" spans="3:32">
      <c r="D189" s="1"/>
      <c r="E189" s="1"/>
      <c r="P189" s="11"/>
      <c r="X189" s="13">
        <f t="shared" si="19"/>
        <v>0</v>
      </c>
      <c r="Y189" s="2">
        <f t="shared" ca="1" si="14"/>
        <v>32133</v>
      </c>
      <c r="Z189" s="14">
        <v>1</v>
      </c>
      <c r="AA189" s="1" t="str">
        <f t="shared" ca="1" si="15"/>
        <v>VENCIDO</v>
      </c>
      <c r="AB189" s="1" t="str">
        <f t="shared" si="16"/>
        <v>TAAe+</v>
      </c>
      <c r="AC189" s="2">
        <f t="shared" si="20"/>
        <v>0</v>
      </c>
      <c r="AD189" s="2">
        <f t="shared" si="17"/>
        <v>8</v>
      </c>
      <c r="AE189" s="2">
        <f t="shared" ca="1" si="18"/>
        <v>-44986.676271643519</v>
      </c>
      <c r="AF189" s="15"/>
    </row>
    <row r="190" spans="3:32">
      <c r="C190" s="23"/>
      <c r="D190" s="1"/>
      <c r="E190" s="1"/>
      <c r="P190" s="11"/>
      <c r="X190" s="13">
        <f t="shared" si="19"/>
        <v>0</v>
      </c>
      <c r="Y190" s="2">
        <f t="shared" ca="1" si="14"/>
        <v>32133</v>
      </c>
      <c r="Z190" s="14">
        <v>1</v>
      </c>
      <c r="AA190" s="1" t="str">
        <f t="shared" ca="1" si="15"/>
        <v>VENCIDO</v>
      </c>
      <c r="AB190" s="1" t="str">
        <f t="shared" si="16"/>
        <v>TAAe+</v>
      </c>
      <c r="AC190" s="2">
        <f t="shared" si="20"/>
        <v>0</v>
      </c>
      <c r="AD190" s="2">
        <f t="shared" si="17"/>
        <v>8</v>
      </c>
      <c r="AE190" s="2">
        <f t="shared" ca="1" si="18"/>
        <v>-44986.676271643519</v>
      </c>
      <c r="AF190" s="15"/>
    </row>
    <row r="191" spans="3:32">
      <c r="D191" s="1"/>
      <c r="E191" s="1"/>
      <c r="P191" s="11"/>
      <c r="X191" s="13">
        <f t="shared" si="19"/>
        <v>0</v>
      </c>
      <c r="Y191" s="2">
        <f t="shared" ca="1" si="14"/>
        <v>32133</v>
      </c>
      <c r="Z191" s="14">
        <v>1</v>
      </c>
      <c r="AA191" s="1" t="str">
        <f t="shared" ca="1" si="15"/>
        <v>VENCIDO</v>
      </c>
      <c r="AB191" s="1" t="str">
        <f t="shared" si="16"/>
        <v>TAAe+</v>
      </c>
      <c r="AC191" s="2">
        <f t="shared" si="20"/>
        <v>0</v>
      </c>
      <c r="AD191" s="2">
        <f t="shared" si="17"/>
        <v>8</v>
      </c>
      <c r="AE191" s="2">
        <f t="shared" ca="1" si="18"/>
        <v>-44986.676271643519</v>
      </c>
      <c r="AF191" s="15"/>
    </row>
    <row r="192" spans="3:32">
      <c r="D192" s="1"/>
      <c r="E192" s="1"/>
      <c r="P192" s="11"/>
      <c r="X192" s="13">
        <f t="shared" si="19"/>
        <v>0</v>
      </c>
      <c r="Y192" s="2">
        <f t="shared" ca="1" si="14"/>
        <v>32133</v>
      </c>
      <c r="Z192" s="14">
        <v>1</v>
      </c>
      <c r="AA192" s="1" t="str">
        <f t="shared" ca="1" si="15"/>
        <v>VENCIDO</v>
      </c>
      <c r="AB192" s="1" t="str">
        <f t="shared" si="16"/>
        <v>TAAe+</v>
      </c>
      <c r="AC192" s="2">
        <f t="shared" si="20"/>
        <v>0</v>
      </c>
      <c r="AD192" s="2">
        <f t="shared" si="17"/>
        <v>8</v>
      </c>
      <c r="AE192" s="2">
        <f t="shared" ca="1" si="18"/>
        <v>-44986.676271643519</v>
      </c>
      <c r="AF192" s="15"/>
    </row>
    <row r="193" spans="3:32">
      <c r="D193" s="1"/>
      <c r="E193" s="1"/>
      <c r="P193" s="11"/>
      <c r="X193" s="13">
        <f t="shared" si="19"/>
        <v>0</v>
      </c>
      <c r="Y193" s="2">
        <f t="shared" ca="1" si="14"/>
        <v>32133</v>
      </c>
      <c r="Z193" s="14">
        <v>1</v>
      </c>
      <c r="AA193" s="1" t="str">
        <f t="shared" ca="1" si="15"/>
        <v>VENCIDO</v>
      </c>
      <c r="AB193" s="1" t="str">
        <f t="shared" si="16"/>
        <v>TAAe+</v>
      </c>
      <c r="AC193" s="2">
        <f t="shared" si="20"/>
        <v>0</v>
      </c>
      <c r="AD193" s="2">
        <f t="shared" si="17"/>
        <v>8</v>
      </c>
      <c r="AE193" s="2">
        <f t="shared" ca="1" si="18"/>
        <v>-44986.676271643519</v>
      </c>
      <c r="AF193" s="15"/>
    </row>
    <row r="194" spans="3:32">
      <c r="D194" s="1"/>
      <c r="E194" s="1"/>
      <c r="P194" s="11"/>
      <c r="X194" s="13">
        <f t="shared" si="19"/>
        <v>0</v>
      </c>
      <c r="Y194" s="2">
        <f t="shared" ref="Y194:Y257" ca="1" si="21">NETWORKDAYS(P194,$Y$1)</f>
        <v>32133</v>
      </c>
      <c r="Z194" s="14">
        <v>1</v>
      </c>
      <c r="AA194" s="1" t="str">
        <f t="shared" ref="AA194:AA257" ca="1" si="22">IF(AE194=0,"HOJE",IF(AE194&gt;0,"A VENCER",IF(AE194&lt;0,"VENCIDO")))</f>
        <v>VENCIDO</v>
      </c>
      <c r="AB194" s="1" t="str">
        <f t="shared" ref="AB194:AB257" si="23">IF(F194="GRPE-000001","C-14",IF(F194="GRPE-000002","C-14",IF(F194="GRPE-000003","C-14",IF(F194="GRPE-000004","SL-On",IF(F194="GRPE-000038","C-14",IF(F194="GRPE-900022","Dosa",IF(F194="GRPE-000029","Dosa",IF(F194="ATOS-000222","Dose","TAAe+"))))))))</f>
        <v>TAAe+</v>
      </c>
      <c r="AC194" s="2">
        <f t="shared" si="20"/>
        <v>0</v>
      </c>
      <c r="AD194" s="2">
        <f t="shared" ref="AD194:AD257" si="24">IF(F194="GRPE-000001",5,IF(F194="GRPE-000002",5,IF(F194="GRPE-000003",15,IF(F194="GRPE-000004",1,IF(F194="GRPE-000038",5,IF(F194="GRPE-900022",5,IF(F194="GRPE-000029",5,IF(F194="ATOS-000222",5,8))))))))</f>
        <v>8</v>
      </c>
      <c r="AE194" s="2">
        <f t="shared" ref="AE194:AE257" ca="1" si="25">IF(U194=$AE$1,"",U194-$AE$1)</f>
        <v>-44986.676271643519</v>
      </c>
      <c r="AF194" s="15"/>
    </row>
    <row r="195" spans="3:32">
      <c r="C195" s="23"/>
      <c r="D195" s="1"/>
      <c r="E195" s="1"/>
      <c r="P195" s="11"/>
      <c r="X195" s="13">
        <f t="shared" ref="X195:X258" si="26">IF(RIGHT(H195,2)&lt;&gt;"00",H195,"")</f>
        <v>0</v>
      </c>
      <c r="Y195" s="2">
        <f t="shared" ca="1" si="21"/>
        <v>32133</v>
      </c>
      <c r="Z195" s="14">
        <v>1</v>
      </c>
      <c r="AA195" s="1" t="str">
        <f t="shared" ca="1" si="22"/>
        <v>VENCIDO</v>
      </c>
      <c r="AB195" s="1" t="str">
        <f t="shared" si="23"/>
        <v>TAAe+</v>
      </c>
      <c r="AC195" s="2">
        <f t="shared" ref="AC195:AC258" si="27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>0</v>
      </c>
      <c r="AD195" s="2">
        <f t="shared" si="24"/>
        <v>8</v>
      </c>
      <c r="AE195" s="2">
        <f t="shared" ca="1" si="25"/>
        <v>-44986.676271643519</v>
      </c>
      <c r="AF195" s="15"/>
    </row>
    <row r="196" spans="3:32">
      <c r="D196" s="1"/>
      <c r="E196" s="1"/>
      <c r="P196" s="11"/>
      <c r="X196" s="13">
        <f t="shared" si="26"/>
        <v>0</v>
      </c>
      <c r="Y196" s="2">
        <f t="shared" ca="1" si="21"/>
        <v>32133</v>
      </c>
      <c r="Z196" s="14">
        <v>1</v>
      </c>
      <c r="AA196" s="1" t="str">
        <f t="shared" ca="1" si="22"/>
        <v>VENCIDO</v>
      </c>
      <c r="AB196" s="1" t="str">
        <f t="shared" si="23"/>
        <v>TAAe+</v>
      </c>
      <c r="AC196" s="2">
        <f t="shared" si="27"/>
        <v>0</v>
      </c>
      <c r="AD196" s="2">
        <f t="shared" si="24"/>
        <v>8</v>
      </c>
      <c r="AE196" s="2">
        <f t="shared" ca="1" si="25"/>
        <v>-44986.676271643519</v>
      </c>
      <c r="AF196" s="15"/>
    </row>
    <row r="197" spans="3:32">
      <c r="D197" s="1"/>
      <c r="E197" s="1"/>
      <c r="P197" s="11"/>
      <c r="X197" s="13">
        <f t="shared" si="26"/>
        <v>0</v>
      </c>
      <c r="Y197" s="2">
        <f t="shared" ca="1" si="21"/>
        <v>32133</v>
      </c>
      <c r="Z197" s="14">
        <v>1</v>
      </c>
      <c r="AA197" s="1" t="str">
        <f t="shared" ca="1" si="22"/>
        <v>VENCIDO</v>
      </c>
      <c r="AB197" s="1" t="str">
        <f t="shared" si="23"/>
        <v>TAAe+</v>
      </c>
      <c r="AC197" s="2">
        <f t="shared" si="27"/>
        <v>0</v>
      </c>
      <c r="AD197" s="2">
        <f t="shared" si="24"/>
        <v>8</v>
      </c>
      <c r="AE197" s="2">
        <f t="shared" ca="1" si="25"/>
        <v>-44986.676271643519</v>
      </c>
      <c r="AF197" s="15"/>
    </row>
    <row r="198" spans="3:32">
      <c r="C198" s="23"/>
      <c r="D198" s="1"/>
      <c r="E198" s="1"/>
      <c r="P198" s="11"/>
      <c r="X198" s="13">
        <f t="shared" si="26"/>
        <v>0</v>
      </c>
      <c r="Y198" s="2">
        <f t="shared" ca="1" si="21"/>
        <v>32133</v>
      </c>
      <c r="Z198" s="14">
        <v>1</v>
      </c>
      <c r="AA198" s="1" t="str">
        <f t="shared" ca="1" si="22"/>
        <v>VENCIDO</v>
      </c>
      <c r="AB198" s="1" t="str">
        <f t="shared" si="23"/>
        <v>TAAe+</v>
      </c>
      <c r="AC198" s="2">
        <f t="shared" si="27"/>
        <v>0</v>
      </c>
      <c r="AD198" s="2">
        <f t="shared" si="24"/>
        <v>8</v>
      </c>
      <c r="AE198" s="2">
        <f t="shared" ca="1" si="25"/>
        <v>-44986.676271643519</v>
      </c>
      <c r="AF198" s="15"/>
    </row>
    <row r="199" spans="3:32">
      <c r="D199" s="1"/>
      <c r="E199" s="1"/>
      <c r="P199" s="11"/>
      <c r="X199" s="13">
        <f t="shared" si="26"/>
        <v>0</v>
      </c>
      <c r="Y199" s="2">
        <f t="shared" ca="1" si="21"/>
        <v>32133</v>
      </c>
      <c r="Z199" s="14">
        <v>1</v>
      </c>
      <c r="AA199" s="1" t="str">
        <f t="shared" ca="1" si="22"/>
        <v>VENCIDO</v>
      </c>
      <c r="AB199" s="1" t="str">
        <f t="shared" si="23"/>
        <v>TAAe+</v>
      </c>
      <c r="AC199" s="2">
        <f t="shared" si="27"/>
        <v>0</v>
      </c>
      <c r="AD199" s="2">
        <f t="shared" si="24"/>
        <v>8</v>
      </c>
      <c r="AE199" s="2">
        <f t="shared" ca="1" si="25"/>
        <v>-44986.676271643519</v>
      </c>
      <c r="AF199" s="15"/>
    </row>
    <row r="200" spans="3:32">
      <c r="D200" s="1"/>
      <c r="E200" s="1"/>
      <c r="P200" s="11"/>
      <c r="X200" s="13">
        <f t="shared" si="26"/>
        <v>0</v>
      </c>
      <c r="Y200" s="2">
        <f t="shared" ca="1" si="21"/>
        <v>32133</v>
      </c>
      <c r="Z200" s="14">
        <v>1</v>
      </c>
      <c r="AA200" s="1" t="str">
        <f t="shared" ca="1" si="22"/>
        <v>VENCIDO</v>
      </c>
      <c r="AB200" s="1" t="str">
        <f t="shared" si="23"/>
        <v>TAAe+</v>
      </c>
      <c r="AC200" s="2">
        <f t="shared" si="27"/>
        <v>0</v>
      </c>
      <c r="AD200" s="2">
        <f t="shared" si="24"/>
        <v>8</v>
      </c>
      <c r="AE200" s="2">
        <f t="shared" ca="1" si="25"/>
        <v>-44986.676271643519</v>
      </c>
      <c r="AF200" s="15"/>
    </row>
    <row r="201" spans="3:32">
      <c r="D201" s="1"/>
      <c r="E201" s="1"/>
      <c r="P201" s="11"/>
      <c r="X201" s="13">
        <f t="shared" si="26"/>
        <v>0</v>
      </c>
      <c r="Y201" s="2">
        <f t="shared" ca="1" si="21"/>
        <v>32133</v>
      </c>
      <c r="Z201" s="14">
        <v>1</v>
      </c>
      <c r="AA201" s="1" t="str">
        <f t="shared" ca="1" si="22"/>
        <v>VENCIDO</v>
      </c>
      <c r="AB201" s="1" t="str">
        <f t="shared" si="23"/>
        <v>TAAe+</v>
      </c>
      <c r="AC201" s="2">
        <f t="shared" si="27"/>
        <v>0</v>
      </c>
      <c r="AD201" s="2">
        <f t="shared" si="24"/>
        <v>8</v>
      </c>
      <c r="AE201" s="2">
        <f t="shared" ca="1" si="25"/>
        <v>-44986.676271643519</v>
      </c>
      <c r="AF201" s="15"/>
    </row>
    <row r="202" spans="3:32">
      <c r="D202" s="1"/>
      <c r="E202" s="1"/>
      <c r="P202" s="11"/>
      <c r="X202" s="13">
        <f t="shared" si="26"/>
        <v>0</v>
      </c>
      <c r="Y202" s="2">
        <f t="shared" ca="1" si="21"/>
        <v>32133</v>
      </c>
      <c r="Z202" s="14">
        <v>1</v>
      </c>
      <c r="AA202" s="1" t="str">
        <f t="shared" ca="1" si="22"/>
        <v>VENCIDO</v>
      </c>
      <c r="AB202" s="1" t="str">
        <f t="shared" si="23"/>
        <v>TAAe+</v>
      </c>
      <c r="AC202" s="2">
        <f t="shared" si="27"/>
        <v>0</v>
      </c>
      <c r="AD202" s="2">
        <f t="shared" si="24"/>
        <v>8</v>
      </c>
      <c r="AE202" s="2">
        <f t="shared" ca="1" si="25"/>
        <v>-44986.676271643519</v>
      </c>
      <c r="AF202" s="15"/>
    </row>
    <row r="203" spans="3:32">
      <c r="D203" s="1"/>
      <c r="E203" s="1"/>
      <c r="P203" s="11"/>
      <c r="X203" s="13">
        <f t="shared" si="26"/>
        <v>0</v>
      </c>
      <c r="Y203" s="2">
        <f t="shared" ca="1" si="21"/>
        <v>32133</v>
      </c>
      <c r="Z203" s="14">
        <v>1</v>
      </c>
      <c r="AA203" s="1" t="str">
        <f t="shared" ca="1" si="22"/>
        <v>VENCIDO</v>
      </c>
      <c r="AB203" s="1" t="str">
        <f t="shared" si="23"/>
        <v>TAAe+</v>
      </c>
      <c r="AC203" s="2">
        <f t="shared" si="27"/>
        <v>0</v>
      </c>
      <c r="AD203" s="2">
        <f t="shared" si="24"/>
        <v>8</v>
      </c>
      <c r="AE203" s="2">
        <f t="shared" ca="1" si="25"/>
        <v>-44986.676271643519</v>
      </c>
      <c r="AF203" s="15"/>
    </row>
    <row r="204" spans="3:32">
      <c r="D204" s="1"/>
      <c r="E204" s="1"/>
      <c r="P204" s="11"/>
      <c r="X204" s="13">
        <f t="shared" si="26"/>
        <v>0</v>
      </c>
      <c r="Y204" s="2">
        <f t="shared" ca="1" si="21"/>
        <v>32133</v>
      </c>
      <c r="Z204" s="14">
        <v>1</v>
      </c>
      <c r="AA204" s="1" t="str">
        <f t="shared" ca="1" si="22"/>
        <v>VENCIDO</v>
      </c>
      <c r="AB204" s="1" t="str">
        <f t="shared" si="23"/>
        <v>TAAe+</v>
      </c>
      <c r="AC204" s="2">
        <f t="shared" si="27"/>
        <v>0</v>
      </c>
      <c r="AD204" s="2">
        <f t="shared" si="24"/>
        <v>8</v>
      </c>
      <c r="AE204" s="2">
        <f t="shared" ca="1" si="25"/>
        <v>-44986.676271643519</v>
      </c>
      <c r="AF204" s="15"/>
    </row>
    <row r="205" spans="3:32">
      <c r="D205" s="1"/>
      <c r="E205" s="1"/>
      <c r="P205" s="11"/>
      <c r="X205" s="13">
        <f t="shared" si="26"/>
        <v>0</v>
      </c>
      <c r="Y205" s="2">
        <f t="shared" ca="1" si="21"/>
        <v>32133</v>
      </c>
      <c r="Z205" s="14">
        <v>1</v>
      </c>
      <c r="AA205" s="1" t="str">
        <f t="shared" ca="1" si="22"/>
        <v>VENCIDO</v>
      </c>
      <c r="AB205" s="1" t="str">
        <f t="shared" si="23"/>
        <v>TAAe+</v>
      </c>
      <c r="AC205" s="2">
        <f t="shared" si="27"/>
        <v>0</v>
      </c>
      <c r="AD205" s="2">
        <f t="shared" si="24"/>
        <v>8</v>
      </c>
      <c r="AE205" s="2">
        <f t="shared" ca="1" si="25"/>
        <v>-44986.676271643519</v>
      </c>
      <c r="AF205" s="15"/>
    </row>
    <row r="206" spans="3:32">
      <c r="C206" s="23"/>
      <c r="D206" s="1"/>
      <c r="E206" s="1"/>
      <c r="P206" s="11"/>
      <c r="X206" s="13">
        <f t="shared" si="26"/>
        <v>0</v>
      </c>
      <c r="Y206" s="2">
        <f t="shared" ca="1" si="21"/>
        <v>32133</v>
      </c>
      <c r="Z206" s="14">
        <v>1</v>
      </c>
      <c r="AA206" s="1" t="str">
        <f t="shared" ca="1" si="22"/>
        <v>VENCIDO</v>
      </c>
      <c r="AB206" s="1" t="str">
        <f t="shared" si="23"/>
        <v>TAAe+</v>
      </c>
      <c r="AC206" s="2">
        <f t="shared" si="27"/>
        <v>0</v>
      </c>
      <c r="AD206" s="2">
        <f t="shared" si="24"/>
        <v>8</v>
      </c>
      <c r="AE206" s="2">
        <f t="shared" ca="1" si="25"/>
        <v>-44986.676271643519</v>
      </c>
      <c r="AF206" s="15"/>
    </row>
    <row r="207" spans="3:32">
      <c r="D207" s="1"/>
      <c r="E207" s="1"/>
      <c r="P207" s="11"/>
      <c r="X207" s="13">
        <f t="shared" si="26"/>
        <v>0</v>
      </c>
      <c r="Y207" s="2">
        <f t="shared" ca="1" si="21"/>
        <v>32133</v>
      </c>
      <c r="Z207" s="14">
        <v>1</v>
      </c>
      <c r="AA207" s="1" t="str">
        <f t="shared" ca="1" si="22"/>
        <v>VENCIDO</v>
      </c>
      <c r="AB207" s="1" t="str">
        <f t="shared" si="23"/>
        <v>TAAe+</v>
      </c>
      <c r="AC207" s="2">
        <f t="shared" si="27"/>
        <v>0</v>
      </c>
      <c r="AD207" s="2">
        <f t="shared" si="24"/>
        <v>8</v>
      </c>
      <c r="AE207" s="2">
        <f t="shared" ca="1" si="25"/>
        <v>-44986.676271643519</v>
      </c>
      <c r="AF207" s="15"/>
    </row>
    <row r="208" spans="3:32">
      <c r="D208" s="1"/>
      <c r="E208" s="1"/>
      <c r="P208" s="11"/>
      <c r="X208" s="13">
        <f t="shared" si="26"/>
        <v>0</v>
      </c>
      <c r="Y208" s="2">
        <f t="shared" ca="1" si="21"/>
        <v>32133</v>
      </c>
      <c r="Z208" s="14">
        <v>1</v>
      </c>
      <c r="AA208" s="1" t="str">
        <f t="shared" ca="1" si="22"/>
        <v>VENCIDO</v>
      </c>
      <c r="AB208" s="1" t="str">
        <f t="shared" si="23"/>
        <v>TAAe+</v>
      </c>
      <c r="AC208" s="2">
        <f t="shared" si="27"/>
        <v>0</v>
      </c>
      <c r="AD208" s="2">
        <f t="shared" si="24"/>
        <v>8</v>
      </c>
      <c r="AE208" s="2">
        <f t="shared" ca="1" si="25"/>
        <v>-44986.676271643519</v>
      </c>
      <c r="AF208" s="15"/>
    </row>
    <row r="209" spans="3:32">
      <c r="D209" s="1"/>
      <c r="E209" s="1"/>
      <c r="P209" s="11"/>
      <c r="X209" s="13">
        <f t="shared" si="26"/>
        <v>0</v>
      </c>
      <c r="Y209" s="2">
        <f t="shared" ca="1" si="21"/>
        <v>32133</v>
      </c>
      <c r="Z209" s="14">
        <v>1</v>
      </c>
      <c r="AA209" s="1" t="str">
        <f t="shared" ca="1" si="22"/>
        <v>VENCIDO</v>
      </c>
      <c r="AB209" s="1" t="str">
        <f t="shared" si="23"/>
        <v>TAAe+</v>
      </c>
      <c r="AC209" s="2">
        <f t="shared" si="27"/>
        <v>0</v>
      </c>
      <c r="AD209" s="2">
        <f t="shared" si="24"/>
        <v>8</v>
      </c>
      <c r="AE209" s="2">
        <f t="shared" ca="1" si="25"/>
        <v>-44986.676271643519</v>
      </c>
      <c r="AF209" s="15"/>
    </row>
    <row r="210" spans="3:32">
      <c r="C210" s="23"/>
      <c r="D210" s="1"/>
      <c r="E210" s="1"/>
      <c r="P210" s="11"/>
      <c r="X210" s="13">
        <f t="shared" si="26"/>
        <v>0</v>
      </c>
      <c r="Y210" s="2">
        <f t="shared" ca="1" si="21"/>
        <v>32133</v>
      </c>
      <c r="Z210" s="14">
        <v>1</v>
      </c>
      <c r="AA210" s="1" t="str">
        <f t="shared" ca="1" si="22"/>
        <v>VENCIDO</v>
      </c>
      <c r="AB210" s="1" t="str">
        <f t="shared" si="23"/>
        <v>TAAe+</v>
      </c>
      <c r="AC210" s="2">
        <f t="shared" si="27"/>
        <v>0</v>
      </c>
      <c r="AD210" s="2">
        <f t="shared" si="24"/>
        <v>8</v>
      </c>
      <c r="AE210" s="2">
        <f t="shared" ca="1" si="25"/>
        <v>-44986.676271643519</v>
      </c>
      <c r="AF210" s="15"/>
    </row>
    <row r="211" spans="3:32">
      <c r="D211" s="1"/>
      <c r="E211" s="1"/>
      <c r="P211" s="11"/>
      <c r="X211" s="13">
        <f t="shared" si="26"/>
        <v>0</v>
      </c>
      <c r="Y211" s="2">
        <f t="shared" ca="1" si="21"/>
        <v>32133</v>
      </c>
      <c r="Z211" s="14">
        <v>1</v>
      </c>
      <c r="AA211" s="1" t="str">
        <f t="shared" ca="1" si="22"/>
        <v>VENCIDO</v>
      </c>
      <c r="AB211" s="1" t="str">
        <f t="shared" si="23"/>
        <v>TAAe+</v>
      </c>
      <c r="AC211" s="2">
        <f t="shared" si="27"/>
        <v>0</v>
      </c>
      <c r="AD211" s="2">
        <f t="shared" si="24"/>
        <v>8</v>
      </c>
      <c r="AE211" s="2">
        <f t="shared" ca="1" si="25"/>
        <v>-44986.676271643519</v>
      </c>
      <c r="AF211" s="15"/>
    </row>
    <row r="212" spans="3:32">
      <c r="D212" s="1"/>
      <c r="E212" s="1"/>
      <c r="P212" s="11"/>
      <c r="X212" s="13">
        <f t="shared" si="26"/>
        <v>0</v>
      </c>
      <c r="Y212" s="2">
        <f t="shared" ca="1" si="21"/>
        <v>32133</v>
      </c>
      <c r="Z212" s="14">
        <v>1</v>
      </c>
      <c r="AA212" s="1" t="str">
        <f t="shared" ca="1" si="22"/>
        <v>VENCIDO</v>
      </c>
      <c r="AB212" s="1" t="str">
        <f t="shared" si="23"/>
        <v>TAAe+</v>
      </c>
      <c r="AC212" s="2">
        <f t="shared" si="27"/>
        <v>0</v>
      </c>
      <c r="AD212" s="2">
        <f t="shared" si="24"/>
        <v>8</v>
      </c>
      <c r="AE212" s="2">
        <f t="shared" ca="1" si="25"/>
        <v>-44986.676271643519</v>
      </c>
      <c r="AF212" s="15"/>
    </row>
    <row r="213" spans="3:32">
      <c r="D213" s="1"/>
      <c r="E213" s="1"/>
      <c r="P213" s="11"/>
      <c r="X213" s="13">
        <f t="shared" si="26"/>
        <v>0</v>
      </c>
      <c r="Y213" s="2">
        <f t="shared" ca="1" si="21"/>
        <v>32133</v>
      </c>
      <c r="Z213" s="14">
        <v>1</v>
      </c>
      <c r="AA213" s="1" t="str">
        <f t="shared" ca="1" si="22"/>
        <v>VENCIDO</v>
      </c>
      <c r="AB213" s="1" t="str">
        <f t="shared" si="23"/>
        <v>TAAe+</v>
      </c>
      <c r="AC213" s="2">
        <f t="shared" si="27"/>
        <v>0</v>
      </c>
      <c r="AD213" s="2">
        <f t="shared" si="24"/>
        <v>8</v>
      </c>
      <c r="AE213" s="2">
        <f t="shared" ca="1" si="25"/>
        <v>-44986.676271643519</v>
      </c>
      <c r="AF213" s="15"/>
    </row>
    <row r="214" spans="3:32">
      <c r="D214" s="1"/>
      <c r="E214" s="1"/>
      <c r="P214" s="11"/>
      <c r="X214" s="13">
        <f t="shared" si="26"/>
        <v>0</v>
      </c>
      <c r="Y214" s="2">
        <f t="shared" ca="1" si="21"/>
        <v>32133</v>
      </c>
      <c r="Z214" s="14">
        <v>1</v>
      </c>
      <c r="AA214" s="1" t="str">
        <f t="shared" ca="1" si="22"/>
        <v>VENCIDO</v>
      </c>
      <c r="AB214" s="1" t="str">
        <f t="shared" si="23"/>
        <v>TAAe+</v>
      </c>
      <c r="AC214" s="2">
        <f t="shared" si="27"/>
        <v>0</v>
      </c>
      <c r="AD214" s="2">
        <f t="shared" si="24"/>
        <v>8</v>
      </c>
      <c r="AE214" s="2">
        <f t="shared" ca="1" si="25"/>
        <v>-44986.676271643519</v>
      </c>
      <c r="AF214" s="15"/>
    </row>
    <row r="215" spans="3:32">
      <c r="D215" s="1"/>
      <c r="E215" s="1"/>
      <c r="P215" s="11"/>
      <c r="X215" s="13">
        <f t="shared" si="26"/>
        <v>0</v>
      </c>
      <c r="Y215" s="2">
        <f t="shared" ca="1" si="21"/>
        <v>32133</v>
      </c>
      <c r="Z215" s="14">
        <v>1</v>
      </c>
      <c r="AA215" s="1" t="str">
        <f t="shared" ca="1" si="22"/>
        <v>VENCIDO</v>
      </c>
      <c r="AB215" s="1" t="str">
        <f t="shared" si="23"/>
        <v>TAAe+</v>
      </c>
      <c r="AC215" s="2">
        <f t="shared" si="27"/>
        <v>0</v>
      </c>
      <c r="AD215" s="2">
        <f t="shared" si="24"/>
        <v>8</v>
      </c>
      <c r="AE215" s="2">
        <f t="shared" ca="1" si="25"/>
        <v>-44986.676271643519</v>
      </c>
      <c r="AF215" s="15"/>
    </row>
    <row r="216" spans="3:32">
      <c r="D216" s="1"/>
      <c r="E216" s="1"/>
      <c r="P216" s="11"/>
      <c r="X216" s="13">
        <f t="shared" si="26"/>
        <v>0</v>
      </c>
      <c r="Y216" s="2">
        <f t="shared" ca="1" si="21"/>
        <v>32133</v>
      </c>
      <c r="Z216" s="14">
        <v>1</v>
      </c>
      <c r="AA216" s="1" t="str">
        <f t="shared" ca="1" si="22"/>
        <v>VENCIDO</v>
      </c>
      <c r="AB216" s="1" t="str">
        <f t="shared" si="23"/>
        <v>TAAe+</v>
      </c>
      <c r="AC216" s="2">
        <f t="shared" si="27"/>
        <v>0</v>
      </c>
      <c r="AD216" s="2">
        <f t="shared" si="24"/>
        <v>8</v>
      </c>
      <c r="AE216" s="2">
        <f t="shared" ca="1" si="25"/>
        <v>-44986.676271643519</v>
      </c>
      <c r="AF216" s="15"/>
    </row>
    <row r="217" spans="3:32">
      <c r="C217" s="23"/>
      <c r="D217" s="1"/>
      <c r="E217" s="1"/>
      <c r="P217" s="11"/>
      <c r="X217" s="13">
        <f t="shared" si="26"/>
        <v>0</v>
      </c>
      <c r="Y217" s="2">
        <f t="shared" ca="1" si="21"/>
        <v>32133</v>
      </c>
      <c r="Z217" s="14">
        <v>1</v>
      </c>
      <c r="AA217" s="1" t="str">
        <f t="shared" ca="1" si="22"/>
        <v>VENCIDO</v>
      </c>
      <c r="AB217" s="1" t="str">
        <f t="shared" si="23"/>
        <v>TAAe+</v>
      </c>
      <c r="AC217" s="2">
        <f t="shared" si="27"/>
        <v>0</v>
      </c>
      <c r="AD217" s="2">
        <f t="shared" si="24"/>
        <v>8</v>
      </c>
      <c r="AE217" s="2">
        <f t="shared" ca="1" si="25"/>
        <v>-44986.676271643519</v>
      </c>
      <c r="AF217" s="15"/>
    </row>
    <row r="218" spans="3:32">
      <c r="D218" s="1"/>
      <c r="E218" s="1"/>
      <c r="P218" s="11"/>
      <c r="X218" s="13">
        <f t="shared" si="26"/>
        <v>0</v>
      </c>
      <c r="Y218" s="2">
        <f t="shared" ca="1" si="21"/>
        <v>32133</v>
      </c>
      <c r="Z218" s="14">
        <v>1</v>
      </c>
      <c r="AA218" s="1" t="str">
        <f t="shared" ca="1" si="22"/>
        <v>VENCIDO</v>
      </c>
      <c r="AB218" s="1" t="str">
        <f t="shared" si="23"/>
        <v>TAAe+</v>
      </c>
      <c r="AC218" s="2">
        <f t="shared" si="27"/>
        <v>0</v>
      </c>
      <c r="AD218" s="2">
        <f t="shared" si="24"/>
        <v>8</v>
      </c>
      <c r="AE218" s="2">
        <f t="shared" ca="1" si="25"/>
        <v>-44986.676271643519</v>
      </c>
      <c r="AF218" s="15"/>
    </row>
    <row r="219" spans="3:32">
      <c r="C219" s="23"/>
      <c r="D219" s="1"/>
      <c r="E219" s="1"/>
      <c r="P219" s="11"/>
      <c r="X219" s="13">
        <f t="shared" si="26"/>
        <v>0</v>
      </c>
      <c r="Y219" s="2">
        <f t="shared" ca="1" si="21"/>
        <v>32133</v>
      </c>
      <c r="Z219" s="14">
        <v>1</v>
      </c>
      <c r="AA219" s="1" t="str">
        <f t="shared" ca="1" si="22"/>
        <v>VENCIDO</v>
      </c>
      <c r="AB219" s="1" t="str">
        <f t="shared" si="23"/>
        <v>TAAe+</v>
      </c>
      <c r="AC219" s="2">
        <f t="shared" si="27"/>
        <v>0</v>
      </c>
      <c r="AD219" s="2">
        <f t="shared" si="24"/>
        <v>8</v>
      </c>
      <c r="AE219" s="2">
        <f t="shared" ca="1" si="25"/>
        <v>-44986.676271643519</v>
      </c>
      <c r="AF219" s="15"/>
    </row>
    <row r="220" spans="3:32">
      <c r="D220" s="1"/>
      <c r="E220" s="1"/>
      <c r="P220" s="11"/>
      <c r="X220" s="13">
        <f t="shared" si="26"/>
        <v>0</v>
      </c>
      <c r="Y220" s="2">
        <f t="shared" ca="1" si="21"/>
        <v>32133</v>
      </c>
      <c r="Z220" s="14">
        <v>1</v>
      </c>
      <c r="AA220" s="1" t="str">
        <f t="shared" ca="1" si="22"/>
        <v>VENCIDO</v>
      </c>
      <c r="AB220" s="1" t="str">
        <f t="shared" si="23"/>
        <v>TAAe+</v>
      </c>
      <c r="AC220" s="2">
        <f t="shared" si="27"/>
        <v>0</v>
      </c>
      <c r="AD220" s="2">
        <f t="shared" si="24"/>
        <v>8</v>
      </c>
      <c r="AE220" s="2">
        <f t="shared" ca="1" si="25"/>
        <v>-44986.676271643519</v>
      </c>
      <c r="AF220" s="15"/>
    </row>
    <row r="221" spans="3:32">
      <c r="C221" s="23"/>
      <c r="D221" s="1"/>
      <c r="E221" s="1"/>
      <c r="P221" s="11"/>
      <c r="X221" s="13">
        <f t="shared" si="26"/>
        <v>0</v>
      </c>
      <c r="Y221" s="2">
        <f t="shared" ca="1" si="21"/>
        <v>32133</v>
      </c>
      <c r="Z221" s="14">
        <v>1</v>
      </c>
      <c r="AA221" s="1" t="str">
        <f t="shared" ca="1" si="22"/>
        <v>VENCIDO</v>
      </c>
      <c r="AB221" s="1" t="str">
        <f t="shared" si="23"/>
        <v>TAAe+</v>
      </c>
      <c r="AC221" s="2">
        <f t="shared" si="27"/>
        <v>0</v>
      </c>
      <c r="AD221" s="2">
        <f t="shared" si="24"/>
        <v>8</v>
      </c>
      <c r="AE221" s="2">
        <f t="shared" ca="1" si="25"/>
        <v>-44986.676271643519</v>
      </c>
      <c r="AF221" s="15"/>
    </row>
    <row r="222" spans="3:32">
      <c r="D222" s="1"/>
      <c r="E222" s="1"/>
      <c r="P222" s="11"/>
      <c r="X222" s="13">
        <f t="shared" si="26"/>
        <v>0</v>
      </c>
      <c r="Y222" s="2">
        <f t="shared" ca="1" si="21"/>
        <v>32133</v>
      </c>
      <c r="Z222" s="14">
        <v>1</v>
      </c>
      <c r="AA222" s="1" t="str">
        <f t="shared" ca="1" si="22"/>
        <v>VENCIDO</v>
      </c>
      <c r="AB222" s="1" t="str">
        <f t="shared" si="23"/>
        <v>TAAe+</v>
      </c>
      <c r="AC222" s="2">
        <f t="shared" si="27"/>
        <v>0</v>
      </c>
      <c r="AD222" s="2">
        <f t="shared" si="24"/>
        <v>8</v>
      </c>
      <c r="AE222" s="2">
        <f t="shared" ca="1" si="25"/>
        <v>-44986.676271643519</v>
      </c>
      <c r="AF222" s="15"/>
    </row>
    <row r="223" spans="3:32">
      <c r="D223" s="1"/>
      <c r="E223" s="1"/>
      <c r="P223" s="11"/>
      <c r="X223" s="13">
        <f t="shared" si="26"/>
        <v>0</v>
      </c>
      <c r="Y223" s="2">
        <f t="shared" ca="1" si="21"/>
        <v>32133</v>
      </c>
      <c r="Z223" s="14">
        <v>1</v>
      </c>
      <c r="AA223" s="1" t="str">
        <f t="shared" ca="1" si="22"/>
        <v>VENCIDO</v>
      </c>
      <c r="AB223" s="1" t="str">
        <f t="shared" si="23"/>
        <v>TAAe+</v>
      </c>
      <c r="AC223" s="2">
        <f t="shared" si="27"/>
        <v>0</v>
      </c>
      <c r="AD223" s="2">
        <f t="shared" si="24"/>
        <v>8</v>
      </c>
      <c r="AE223" s="2">
        <f t="shared" ca="1" si="25"/>
        <v>-44986.676271643519</v>
      </c>
      <c r="AF223" s="15"/>
    </row>
    <row r="224" spans="3:32">
      <c r="C224" s="23"/>
      <c r="D224" s="1"/>
      <c r="E224" s="1"/>
      <c r="P224" s="11"/>
      <c r="X224" s="13">
        <f t="shared" si="26"/>
        <v>0</v>
      </c>
      <c r="Y224" s="2">
        <f t="shared" ca="1" si="21"/>
        <v>32133</v>
      </c>
      <c r="Z224" s="14">
        <v>1</v>
      </c>
      <c r="AA224" s="1" t="str">
        <f t="shared" ca="1" si="22"/>
        <v>VENCIDO</v>
      </c>
      <c r="AB224" s="1" t="str">
        <f t="shared" si="23"/>
        <v>TAAe+</v>
      </c>
      <c r="AC224" s="2">
        <f t="shared" si="27"/>
        <v>0</v>
      </c>
      <c r="AD224" s="2">
        <f t="shared" si="24"/>
        <v>8</v>
      </c>
      <c r="AE224" s="2">
        <f t="shared" ca="1" si="25"/>
        <v>-44986.676271643519</v>
      </c>
      <c r="AF224" s="15"/>
    </row>
    <row r="225" spans="3:32">
      <c r="D225" s="1"/>
      <c r="E225" s="1"/>
      <c r="P225" s="11"/>
      <c r="X225" s="13">
        <f t="shared" si="26"/>
        <v>0</v>
      </c>
      <c r="Y225" s="2">
        <f t="shared" ca="1" si="21"/>
        <v>32133</v>
      </c>
      <c r="Z225" s="14">
        <v>1</v>
      </c>
      <c r="AA225" s="1" t="str">
        <f t="shared" ca="1" si="22"/>
        <v>VENCIDO</v>
      </c>
      <c r="AB225" s="1" t="str">
        <f t="shared" si="23"/>
        <v>TAAe+</v>
      </c>
      <c r="AC225" s="2">
        <f t="shared" si="27"/>
        <v>0</v>
      </c>
      <c r="AD225" s="2">
        <f t="shared" si="24"/>
        <v>8</v>
      </c>
      <c r="AE225" s="2">
        <f t="shared" ca="1" si="25"/>
        <v>-44986.676271643519</v>
      </c>
      <c r="AF225" s="15"/>
    </row>
    <row r="226" spans="3:32">
      <c r="C226" s="23"/>
      <c r="D226" s="1"/>
      <c r="E226" s="1"/>
      <c r="P226" s="11"/>
      <c r="X226" s="13">
        <f t="shared" si="26"/>
        <v>0</v>
      </c>
      <c r="Y226" s="2">
        <f t="shared" ca="1" si="21"/>
        <v>32133</v>
      </c>
      <c r="Z226" s="14">
        <v>1</v>
      </c>
      <c r="AA226" s="1" t="str">
        <f t="shared" ca="1" si="22"/>
        <v>VENCIDO</v>
      </c>
      <c r="AB226" s="1" t="str">
        <f t="shared" si="23"/>
        <v>TAAe+</v>
      </c>
      <c r="AC226" s="2">
        <f t="shared" si="27"/>
        <v>0</v>
      </c>
      <c r="AD226" s="2">
        <f t="shared" si="24"/>
        <v>8</v>
      </c>
      <c r="AE226" s="2">
        <f t="shared" ca="1" si="25"/>
        <v>-44986.676271643519</v>
      </c>
      <c r="AF226" s="15"/>
    </row>
    <row r="227" spans="3:32">
      <c r="D227" s="1"/>
      <c r="E227" s="1"/>
      <c r="P227" s="11"/>
      <c r="X227" s="13">
        <f t="shared" si="26"/>
        <v>0</v>
      </c>
      <c r="Y227" s="2">
        <f t="shared" ca="1" si="21"/>
        <v>32133</v>
      </c>
      <c r="Z227" s="14">
        <v>1</v>
      </c>
      <c r="AA227" s="1" t="str">
        <f t="shared" ca="1" si="22"/>
        <v>VENCIDO</v>
      </c>
      <c r="AB227" s="1" t="str">
        <f t="shared" si="23"/>
        <v>TAAe+</v>
      </c>
      <c r="AC227" s="2">
        <f t="shared" si="27"/>
        <v>0</v>
      </c>
      <c r="AD227" s="2">
        <f t="shared" si="24"/>
        <v>8</v>
      </c>
      <c r="AE227" s="2">
        <f t="shared" ca="1" si="25"/>
        <v>-44986.676271643519</v>
      </c>
      <c r="AF227" s="15"/>
    </row>
    <row r="228" spans="3:32">
      <c r="D228" s="1"/>
      <c r="E228" s="1"/>
      <c r="P228" s="11"/>
      <c r="X228" s="13">
        <f t="shared" si="26"/>
        <v>0</v>
      </c>
      <c r="Y228" s="2">
        <f t="shared" ca="1" si="21"/>
        <v>32133</v>
      </c>
      <c r="Z228" s="14">
        <v>1</v>
      </c>
      <c r="AA228" s="1" t="str">
        <f t="shared" ca="1" si="22"/>
        <v>VENCIDO</v>
      </c>
      <c r="AB228" s="1" t="str">
        <f t="shared" si="23"/>
        <v>TAAe+</v>
      </c>
      <c r="AC228" s="2">
        <f t="shared" si="27"/>
        <v>0</v>
      </c>
      <c r="AD228" s="2">
        <f t="shared" si="24"/>
        <v>8</v>
      </c>
      <c r="AE228" s="2">
        <f t="shared" ca="1" si="25"/>
        <v>-44986.676271643519</v>
      </c>
      <c r="AF228" s="15"/>
    </row>
    <row r="229" spans="3:32">
      <c r="D229" s="1"/>
      <c r="E229" s="1"/>
      <c r="P229" s="11"/>
      <c r="X229" s="13">
        <f t="shared" si="26"/>
        <v>0</v>
      </c>
      <c r="Y229" s="2">
        <f t="shared" ca="1" si="21"/>
        <v>32133</v>
      </c>
      <c r="Z229" s="14">
        <v>1</v>
      </c>
      <c r="AA229" s="1" t="str">
        <f t="shared" ca="1" si="22"/>
        <v>VENCIDO</v>
      </c>
      <c r="AB229" s="1" t="str">
        <f t="shared" si="23"/>
        <v>TAAe+</v>
      </c>
      <c r="AC229" s="2">
        <f t="shared" si="27"/>
        <v>0</v>
      </c>
      <c r="AD229" s="2">
        <f t="shared" si="24"/>
        <v>8</v>
      </c>
      <c r="AE229" s="2">
        <f t="shared" ca="1" si="25"/>
        <v>-44986.676271643519</v>
      </c>
      <c r="AF229" s="15"/>
    </row>
    <row r="230" spans="3:32">
      <c r="C230" s="23"/>
      <c r="D230" s="1"/>
      <c r="E230" s="1"/>
      <c r="P230" s="11"/>
      <c r="X230" s="13">
        <f t="shared" si="26"/>
        <v>0</v>
      </c>
      <c r="Y230" s="2">
        <f t="shared" ca="1" si="21"/>
        <v>32133</v>
      </c>
      <c r="Z230" s="14">
        <v>1</v>
      </c>
      <c r="AA230" s="1" t="str">
        <f t="shared" ca="1" si="22"/>
        <v>VENCIDO</v>
      </c>
      <c r="AB230" s="1" t="str">
        <f t="shared" si="23"/>
        <v>TAAe+</v>
      </c>
      <c r="AC230" s="2">
        <f t="shared" si="27"/>
        <v>0</v>
      </c>
      <c r="AD230" s="2">
        <f t="shared" si="24"/>
        <v>8</v>
      </c>
      <c r="AE230" s="2">
        <f t="shared" ca="1" si="25"/>
        <v>-44986.676271643519</v>
      </c>
      <c r="AF230" s="15"/>
    </row>
    <row r="231" spans="3:32">
      <c r="D231" s="1"/>
      <c r="E231" s="1"/>
      <c r="P231" s="11"/>
      <c r="X231" s="13">
        <f t="shared" si="26"/>
        <v>0</v>
      </c>
      <c r="Y231" s="2">
        <f t="shared" ca="1" si="21"/>
        <v>32133</v>
      </c>
      <c r="Z231" s="14">
        <v>1</v>
      </c>
      <c r="AA231" s="1" t="str">
        <f t="shared" ca="1" si="22"/>
        <v>VENCIDO</v>
      </c>
      <c r="AB231" s="1" t="str">
        <f t="shared" si="23"/>
        <v>TAAe+</v>
      </c>
      <c r="AC231" s="2">
        <f t="shared" si="27"/>
        <v>0</v>
      </c>
      <c r="AD231" s="2">
        <f t="shared" si="24"/>
        <v>8</v>
      </c>
      <c r="AE231" s="2">
        <f t="shared" ca="1" si="25"/>
        <v>-44986.676271643519</v>
      </c>
      <c r="AF231" s="15"/>
    </row>
    <row r="232" spans="3:32">
      <c r="D232" s="1"/>
      <c r="E232" s="1"/>
      <c r="P232" s="11"/>
      <c r="X232" s="13">
        <f t="shared" si="26"/>
        <v>0</v>
      </c>
      <c r="Y232" s="2">
        <f t="shared" ca="1" si="21"/>
        <v>32133</v>
      </c>
      <c r="Z232" s="14">
        <v>1</v>
      </c>
      <c r="AA232" s="1" t="str">
        <f t="shared" ca="1" si="22"/>
        <v>VENCIDO</v>
      </c>
      <c r="AB232" s="1" t="str">
        <f t="shared" si="23"/>
        <v>TAAe+</v>
      </c>
      <c r="AC232" s="2">
        <f t="shared" si="27"/>
        <v>0</v>
      </c>
      <c r="AD232" s="2">
        <f t="shared" si="24"/>
        <v>8</v>
      </c>
      <c r="AE232" s="2">
        <f t="shared" ca="1" si="25"/>
        <v>-44986.676271643519</v>
      </c>
      <c r="AF232" s="15"/>
    </row>
    <row r="233" spans="3:32">
      <c r="C233" s="23"/>
      <c r="D233" s="1"/>
      <c r="E233" s="1"/>
      <c r="P233" s="11"/>
      <c r="X233" s="13">
        <f t="shared" si="26"/>
        <v>0</v>
      </c>
      <c r="Y233" s="2">
        <f t="shared" ca="1" si="21"/>
        <v>32133</v>
      </c>
      <c r="Z233" s="14">
        <v>1</v>
      </c>
      <c r="AA233" s="1" t="str">
        <f t="shared" ca="1" si="22"/>
        <v>VENCIDO</v>
      </c>
      <c r="AB233" s="1" t="str">
        <f t="shared" si="23"/>
        <v>TAAe+</v>
      </c>
      <c r="AC233" s="2">
        <f t="shared" si="27"/>
        <v>0</v>
      </c>
      <c r="AD233" s="2">
        <f t="shared" si="24"/>
        <v>8</v>
      </c>
      <c r="AE233" s="2">
        <f t="shared" ca="1" si="25"/>
        <v>-44986.676271643519</v>
      </c>
      <c r="AF233" s="15"/>
    </row>
    <row r="234" spans="3:32">
      <c r="D234" s="1"/>
      <c r="E234" s="1"/>
      <c r="P234" s="11"/>
      <c r="X234" s="13">
        <f t="shared" si="26"/>
        <v>0</v>
      </c>
      <c r="Y234" s="2">
        <f t="shared" ca="1" si="21"/>
        <v>32133</v>
      </c>
      <c r="Z234" s="14">
        <v>1</v>
      </c>
      <c r="AA234" s="1" t="str">
        <f t="shared" ca="1" si="22"/>
        <v>VENCIDO</v>
      </c>
      <c r="AB234" s="1" t="str">
        <f t="shared" si="23"/>
        <v>TAAe+</v>
      </c>
      <c r="AC234" s="2">
        <f t="shared" si="27"/>
        <v>0</v>
      </c>
      <c r="AD234" s="2">
        <f t="shared" si="24"/>
        <v>8</v>
      </c>
      <c r="AE234" s="2">
        <f t="shared" ca="1" si="25"/>
        <v>-44986.676271643519</v>
      </c>
      <c r="AF234" s="15"/>
    </row>
    <row r="235" spans="3:32">
      <c r="D235" s="1"/>
      <c r="E235" s="1"/>
      <c r="P235" s="11"/>
      <c r="X235" s="13">
        <f t="shared" si="26"/>
        <v>0</v>
      </c>
      <c r="Y235" s="2">
        <f t="shared" ca="1" si="21"/>
        <v>32133</v>
      </c>
      <c r="Z235" s="14">
        <v>1</v>
      </c>
      <c r="AA235" s="1" t="str">
        <f t="shared" ca="1" si="22"/>
        <v>VENCIDO</v>
      </c>
      <c r="AB235" s="1" t="str">
        <f t="shared" si="23"/>
        <v>TAAe+</v>
      </c>
      <c r="AC235" s="2">
        <f t="shared" si="27"/>
        <v>0</v>
      </c>
      <c r="AD235" s="2">
        <f t="shared" si="24"/>
        <v>8</v>
      </c>
      <c r="AE235" s="2">
        <f t="shared" ca="1" si="25"/>
        <v>-44986.676271643519</v>
      </c>
      <c r="AF235" s="15"/>
    </row>
    <row r="236" spans="3:32">
      <c r="D236" s="1"/>
      <c r="E236" s="1"/>
      <c r="P236" s="11"/>
      <c r="X236" s="13">
        <f t="shared" si="26"/>
        <v>0</v>
      </c>
      <c r="Y236" s="2">
        <f t="shared" ca="1" si="21"/>
        <v>32133</v>
      </c>
      <c r="Z236" s="14">
        <v>1</v>
      </c>
      <c r="AA236" s="1" t="str">
        <f t="shared" ca="1" si="22"/>
        <v>VENCIDO</v>
      </c>
      <c r="AB236" s="1" t="str">
        <f t="shared" si="23"/>
        <v>TAAe+</v>
      </c>
      <c r="AC236" s="2">
        <f t="shared" si="27"/>
        <v>0</v>
      </c>
      <c r="AD236" s="2">
        <f t="shared" si="24"/>
        <v>8</v>
      </c>
      <c r="AE236" s="2">
        <f t="shared" ca="1" si="25"/>
        <v>-44986.676271643519</v>
      </c>
      <c r="AF236" s="15"/>
    </row>
    <row r="237" spans="3:32">
      <c r="C237" s="23"/>
      <c r="D237" s="1"/>
      <c r="E237" s="1"/>
      <c r="P237" s="11"/>
      <c r="X237" s="13">
        <f t="shared" si="26"/>
        <v>0</v>
      </c>
      <c r="Y237" s="2">
        <f t="shared" ca="1" si="21"/>
        <v>32133</v>
      </c>
      <c r="Z237" s="14">
        <v>1</v>
      </c>
      <c r="AA237" s="1" t="str">
        <f t="shared" ca="1" si="22"/>
        <v>VENCIDO</v>
      </c>
      <c r="AB237" s="1" t="str">
        <f t="shared" si="23"/>
        <v>TAAe+</v>
      </c>
      <c r="AC237" s="2">
        <f t="shared" si="27"/>
        <v>0</v>
      </c>
      <c r="AD237" s="2">
        <f t="shared" si="24"/>
        <v>8</v>
      </c>
      <c r="AE237" s="2">
        <f t="shared" ca="1" si="25"/>
        <v>-44986.676271643519</v>
      </c>
      <c r="AF237" s="15"/>
    </row>
    <row r="238" spans="3:32">
      <c r="D238" s="1"/>
      <c r="E238" s="1"/>
      <c r="P238" s="11"/>
      <c r="X238" s="13">
        <f t="shared" si="26"/>
        <v>0</v>
      </c>
      <c r="Y238" s="2">
        <f t="shared" ca="1" si="21"/>
        <v>32133</v>
      </c>
      <c r="Z238" s="14">
        <v>1</v>
      </c>
      <c r="AA238" s="1" t="str">
        <f t="shared" ca="1" si="22"/>
        <v>VENCIDO</v>
      </c>
      <c r="AB238" s="1" t="str">
        <f t="shared" si="23"/>
        <v>TAAe+</v>
      </c>
      <c r="AC238" s="2">
        <f t="shared" si="27"/>
        <v>0</v>
      </c>
      <c r="AD238" s="2">
        <f t="shared" si="24"/>
        <v>8</v>
      </c>
      <c r="AE238" s="2">
        <f t="shared" ca="1" si="25"/>
        <v>-44986.676271643519</v>
      </c>
      <c r="AF238" s="15"/>
    </row>
    <row r="239" spans="3:32">
      <c r="D239" s="1"/>
      <c r="E239" s="1"/>
      <c r="P239" s="11"/>
      <c r="X239" s="13">
        <f t="shared" si="26"/>
        <v>0</v>
      </c>
      <c r="Y239" s="2">
        <f t="shared" ca="1" si="21"/>
        <v>32133</v>
      </c>
      <c r="Z239" s="14">
        <v>1</v>
      </c>
      <c r="AA239" s="1" t="str">
        <f t="shared" ca="1" si="22"/>
        <v>VENCIDO</v>
      </c>
      <c r="AB239" s="1" t="str">
        <f t="shared" si="23"/>
        <v>TAAe+</v>
      </c>
      <c r="AC239" s="2">
        <f t="shared" si="27"/>
        <v>0</v>
      </c>
      <c r="AD239" s="2">
        <f t="shared" si="24"/>
        <v>8</v>
      </c>
      <c r="AE239" s="2">
        <f t="shared" ca="1" si="25"/>
        <v>-44986.676271643519</v>
      </c>
      <c r="AF239" s="15"/>
    </row>
    <row r="240" spans="3:32">
      <c r="D240" s="1"/>
      <c r="E240" s="1"/>
      <c r="P240" s="11"/>
      <c r="X240" s="13">
        <f t="shared" si="26"/>
        <v>0</v>
      </c>
      <c r="Y240" s="2">
        <f t="shared" ca="1" si="21"/>
        <v>32133</v>
      </c>
      <c r="Z240" s="14">
        <v>1</v>
      </c>
      <c r="AA240" s="1" t="str">
        <f t="shared" ca="1" si="22"/>
        <v>VENCIDO</v>
      </c>
      <c r="AB240" s="1" t="str">
        <f t="shared" si="23"/>
        <v>TAAe+</v>
      </c>
      <c r="AC240" s="2">
        <f t="shared" si="27"/>
        <v>0</v>
      </c>
      <c r="AD240" s="2">
        <f t="shared" si="24"/>
        <v>8</v>
      </c>
      <c r="AE240" s="2">
        <f t="shared" ca="1" si="25"/>
        <v>-44986.676271643519</v>
      </c>
      <c r="AF240" s="15"/>
    </row>
    <row r="241" spans="3:32">
      <c r="D241" s="1"/>
      <c r="E241" s="1"/>
      <c r="P241" s="11"/>
      <c r="X241" s="13">
        <f t="shared" si="26"/>
        <v>0</v>
      </c>
      <c r="Y241" s="2">
        <f t="shared" ca="1" si="21"/>
        <v>32133</v>
      </c>
      <c r="Z241" s="14">
        <v>1</v>
      </c>
      <c r="AA241" s="1" t="str">
        <f t="shared" ca="1" si="22"/>
        <v>VENCIDO</v>
      </c>
      <c r="AB241" s="1" t="str">
        <f t="shared" si="23"/>
        <v>TAAe+</v>
      </c>
      <c r="AC241" s="2">
        <f t="shared" si="27"/>
        <v>0</v>
      </c>
      <c r="AD241" s="2">
        <f t="shared" si="24"/>
        <v>8</v>
      </c>
      <c r="AE241" s="2">
        <f t="shared" ca="1" si="25"/>
        <v>-44986.676271643519</v>
      </c>
      <c r="AF241" s="15"/>
    </row>
    <row r="242" spans="3:32">
      <c r="D242" s="1"/>
      <c r="E242" s="1"/>
      <c r="P242" s="11"/>
      <c r="X242" s="13">
        <f t="shared" si="26"/>
        <v>0</v>
      </c>
      <c r="Y242" s="2">
        <f t="shared" ca="1" si="21"/>
        <v>32133</v>
      </c>
      <c r="Z242" s="14">
        <v>1</v>
      </c>
      <c r="AA242" s="1" t="str">
        <f t="shared" ca="1" si="22"/>
        <v>VENCIDO</v>
      </c>
      <c r="AB242" s="1" t="str">
        <f t="shared" si="23"/>
        <v>TAAe+</v>
      </c>
      <c r="AC242" s="2">
        <f t="shared" si="27"/>
        <v>0</v>
      </c>
      <c r="AD242" s="2">
        <f t="shared" si="24"/>
        <v>8</v>
      </c>
      <c r="AE242" s="2">
        <f t="shared" ca="1" si="25"/>
        <v>-44986.676271643519</v>
      </c>
      <c r="AF242" s="15"/>
    </row>
    <row r="243" spans="3:32">
      <c r="D243" s="1"/>
      <c r="E243" s="1"/>
      <c r="P243" s="11"/>
      <c r="X243" s="13">
        <f t="shared" si="26"/>
        <v>0</v>
      </c>
      <c r="Y243" s="2">
        <f t="shared" ca="1" si="21"/>
        <v>32133</v>
      </c>
      <c r="Z243" s="14">
        <v>1</v>
      </c>
      <c r="AA243" s="1" t="str">
        <f t="shared" ca="1" si="22"/>
        <v>VENCIDO</v>
      </c>
      <c r="AB243" s="1" t="str">
        <f t="shared" si="23"/>
        <v>TAAe+</v>
      </c>
      <c r="AC243" s="2">
        <f t="shared" si="27"/>
        <v>0</v>
      </c>
      <c r="AD243" s="2">
        <f t="shared" si="24"/>
        <v>8</v>
      </c>
      <c r="AE243" s="2">
        <f t="shared" ca="1" si="25"/>
        <v>-44986.676271643519</v>
      </c>
      <c r="AF243" s="15"/>
    </row>
    <row r="244" spans="3:32">
      <c r="C244" s="23"/>
      <c r="D244" s="1"/>
      <c r="E244" s="1"/>
      <c r="P244" s="11"/>
      <c r="X244" s="13">
        <f t="shared" si="26"/>
        <v>0</v>
      </c>
      <c r="Y244" s="2">
        <f t="shared" ca="1" si="21"/>
        <v>32133</v>
      </c>
      <c r="Z244" s="14">
        <v>1</v>
      </c>
      <c r="AA244" s="1" t="str">
        <f t="shared" ca="1" si="22"/>
        <v>VENCIDO</v>
      </c>
      <c r="AB244" s="1" t="str">
        <f t="shared" si="23"/>
        <v>TAAe+</v>
      </c>
      <c r="AC244" s="2">
        <f t="shared" si="27"/>
        <v>0</v>
      </c>
      <c r="AD244" s="2">
        <f t="shared" si="24"/>
        <v>8</v>
      </c>
      <c r="AE244" s="2">
        <f t="shared" ca="1" si="25"/>
        <v>-44986.676271643519</v>
      </c>
      <c r="AF244" s="15"/>
    </row>
    <row r="245" spans="3:32">
      <c r="D245" s="1"/>
      <c r="E245" s="1"/>
      <c r="P245" s="11"/>
      <c r="X245" s="13">
        <f t="shared" si="26"/>
        <v>0</v>
      </c>
      <c r="Y245" s="2">
        <f t="shared" ca="1" si="21"/>
        <v>32133</v>
      </c>
      <c r="Z245" s="14">
        <v>1</v>
      </c>
      <c r="AA245" s="1" t="str">
        <f t="shared" ca="1" si="22"/>
        <v>VENCIDO</v>
      </c>
      <c r="AB245" s="1" t="str">
        <f t="shared" si="23"/>
        <v>TAAe+</v>
      </c>
      <c r="AC245" s="2">
        <f t="shared" si="27"/>
        <v>0</v>
      </c>
      <c r="AD245" s="2">
        <f t="shared" si="24"/>
        <v>8</v>
      </c>
      <c r="AE245" s="2">
        <f t="shared" ca="1" si="25"/>
        <v>-44986.676271643519</v>
      </c>
      <c r="AF245" s="15"/>
    </row>
    <row r="246" spans="3:32">
      <c r="D246" s="1"/>
      <c r="E246" s="1"/>
      <c r="P246" s="11"/>
      <c r="X246" s="13">
        <f t="shared" si="26"/>
        <v>0</v>
      </c>
      <c r="Y246" s="2">
        <f t="shared" ca="1" si="21"/>
        <v>32133</v>
      </c>
      <c r="Z246" s="14">
        <v>1</v>
      </c>
      <c r="AA246" s="1" t="str">
        <f t="shared" ca="1" si="22"/>
        <v>VENCIDO</v>
      </c>
      <c r="AB246" s="1" t="str">
        <f t="shared" si="23"/>
        <v>TAAe+</v>
      </c>
      <c r="AC246" s="2">
        <f t="shared" si="27"/>
        <v>0</v>
      </c>
      <c r="AD246" s="2">
        <f t="shared" si="24"/>
        <v>8</v>
      </c>
      <c r="AE246" s="2">
        <f t="shared" ca="1" si="25"/>
        <v>-44986.676271643519</v>
      </c>
      <c r="AF246" s="15"/>
    </row>
    <row r="247" spans="3:32">
      <c r="D247" s="1"/>
      <c r="E247" s="1"/>
      <c r="P247" s="11"/>
      <c r="X247" s="13">
        <f t="shared" si="26"/>
        <v>0</v>
      </c>
      <c r="Y247" s="2">
        <f t="shared" ca="1" si="21"/>
        <v>32133</v>
      </c>
      <c r="Z247" s="14">
        <v>1</v>
      </c>
      <c r="AA247" s="1" t="str">
        <f t="shared" ca="1" si="22"/>
        <v>VENCIDO</v>
      </c>
      <c r="AB247" s="1" t="str">
        <f t="shared" si="23"/>
        <v>TAAe+</v>
      </c>
      <c r="AC247" s="2">
        <f t="shared" si="27"/>
        <v>0</v>
      </c>
      <c r="AD247" s="2">
        <f t="shared" si="24"/>
        <v>8</v>
      </c>
      <c r="AE247" s="2">
        <f t="shared" ca="1" si="25"/>
        <v>-44986.676271643519</v>
      </c>
      <c r="AF247" s="15"/>
    </row>
    <row r="248" spans="3:32">
      <c r="D248" s="1"/>
      <c r="E248" s="1"/>
      <c r="P248" s="11"/>
      <c r="X248" s="13">
        <f t="shared" si="26"/>
        <v>0</v>
      </c>
      <c r="Y248" s="2">
        <f t="shared" ca="1" si="21"/>
        <v>32133</v>
      </c>
      <c r="Z248" s="14">
        <v>1</v>
      </c>
      <c r="AA248" s="1" t="str">
        <f t="shared" ca="1" si="22"/>
        <v>VENCIDO</v>
      </c>
      <c r="AB248" s="1" t="str">
        <f t="shared" si="23"/>
        <v>TAAe+</v>
      </c>
      <c r="AC248" s="2">
        <f t="shared" si="27"/>
        <v>0</v>
      </c>
      <c r="AD248" s="2">
        <f t="shared" si="24"/>
        <v>8</v>
      </c>
      <c r="AE248" s="2">
        <f t="shared" ca="1" si="25"/>
        <v>-44986.676271643519</v>
      </c>
      <c r="AF248" s="15"/>
    </row>
    <row r="249" spans="3:32">
      <c r="D249" s="1"/>
      <c r="E249" s="1"/>
      <c r="P249" s="11"/>
      <c r="X249" s="13">
        <f t="shared" si="26"/>
        <v>0</v>
      </c>
      <c r="Y249" s="2">
        <f t="shared" ca="1" si="21"/>
        <v>32133</v>
      </c>
      <c r="Z249" s="14">
        <v>1</v>
      </c>
      <c r="AA249" s="1" t="str">
        <f t="shared" ca="1" si="22"/>
        <v>VENCIDO</v>
      </c>
      <c r="AB249" s="1" t="str">
        <f t="shared" si="23"/>
        <v>TAAe+</v>
      </c>
      <c r="AC249" s="2">
        <f t="shared" si="27"/>
        <v>0</v>
      </c>
      <c r="AD249" s="2">
        <f t="shared" si="24"/>
        <v>8</v>
      </c>
      <c r="AE249" s="2">
        <f t="shared" ca="1" si="25"/>
        <v>-44986.676271643519</v>
      </c>
      <c r="AF249" s="15"/>
    </row>
    <row r="250" spans="3:32">
      <c r="D250" s="1"/>
      <c r="E250" s="1"/>
      <c r="P250" s="11"/>
      <c r="X250" s="13">
        <f t="shared" si="26"/>
        <v>0</v>
      </c>
      <c r="Y250" s="2">
        <f t="shared" ca="1" si="21"/>
        <v>32133</v>
      </c>
      <c r="Z250" s="14">
        <v>1</v>
      </c>
      <c r="AA250" s="1" t="str">
        <f t="shared" ca="1" si="22"/>
        <v>VENCIDO</v>
      </c>
      <c r="AB250" s="1" t="str">
        <f t="shared" si="23"/>
        <v>TAAe+</v>
      </c>
      <c r="AC250" s="2">
        <f t="shared" si="27"/>
        <v>0</v>
      </c>
      <c r="AD250" s="2">
        <f t="shared" si="24"/>
        <v>8</v>
      </c>
      <c r="AE250" s="2">
        <f t="shared" ca="1" si="25"/>
        <v>-44986.676271643519</v>
      </c>
      <c r="AF250" s="15"/>
    </row>
    <row r="251" spans="3:32">
      <c r="D251" s="1"/>
      <c r="E251" s="1"/>
      <c r="P251" s="11"/>
      <c r="X251" s="13">
        <f t="shared" si="26"/>
        <v>0</v>
      </c>
      <c r="Y251" s="2">
        <f t="shared" ca="1" si="21"/>
        <v>32133</v>
      </c>
      <c r="Z251" s="14">
        <v>1</v>
      </c>
      <c r="AA251" s="1" t="str">
        <f t="shared" ca="1" si="22"/>
        <v>VENCIDO</v>
      </c>
      <c r="AB251" s="1" t="str">
        <f t="shared" si="23"/>
        <v>TAAe+</v>
      </c>
      <c r="AC251" s="2">
        <f t="shared" si="27"/>
        <v>0</v>
      </c>
      <c r="AD251" s="2">
        <f t="shared" si="24"/>
        <v>8</v>
      </c>
      <c r="AE251" s="2">
        <f t="shared" ca="1" si="25"/>
        <v>-44986.676271643519</v>
      </c>
      <c r="AF251" s="15"/>
    </row>
    <row r="252" spans="3:32">
      <c r="D252" s="1"/>
      <c r="E252" s="1"/>
      <c r="P252" s="11"/>
      <c r="X252" s="13">
        <f t="shared" si="26"/>
        <v>0</v>
      </c>
      <c r="Y252" s="2">
        <f t="shared" ca="1" si="21"/>
        <v>32133</v>
      </c>
      <c r="Z252" s="14">
        <v>1</v>
      </c>
      <c r="AA252" s="1" t="str">
        <f t="shared" ca="1" si="22"/>
        <v>VENCIDO</v>
      </c>
      <c r="AB252" s="1" t="str">
        <f t="shared" si="23"/>
        <v>TAAe+</v>
      </c>
      <c r="AC252" s="2">
        <f t="shared" si="27"/>
        <v>0</v>
      </c>
      <c r="AD252" s="2">
        <f t="shared" si="24"/>
        <v>8</v>
      </c>
      <c r="AE252" s="2">
        <f t="shared" ca="1" si="25"/>
        <v>-44986.676271643519</v>
      </c>
      <c r="AF252" s="15"/>
    </row>
    <row r="253" spans="3:32">
      <c r="D253" s="1"/>
      <c r="E253" s="1"/>
      <c r="P253" s="11"/>
      <c r="X253" s="13">
        <f t="shared" si="26"/>
        <v>0</v>
      </c>
      <c r="Y253" s="2">
        <f t="shared" ca="1" si="21"/>
        <v>32133</v>
      </c>
      <c r="Z253" s="14">
        <v>1</v>
      </c>
      <c r="AA253" s="1" t="str">
        <f t="shared" ca="1" si="22"/>
        <v>VENCIDO</v>
      </c>
      <c r="AB253" s="1" t="str">
        <f t="shared" si="23"/>
        <v>TAAe+</v>
      </c>
      <c r="AC253" s="2">
        <f t="shared" si="27"/>
        <v>0</v>
      </c>
      <c r="AD253" s="2">
        <f t="shared" si="24"/>
        <v>8</v>
      </c>
      <c r="AE253" s="2">
        <f t="shared" ca="1" si="25"/>
        <v>-44986.676271643519</v>
      </c>
      <c r="AF253" s="15"/>
    </row>
    <row r="254" spans="3:32">
      <c r="D254" s="1"/>
      <c r="E254" s="1"/>
      <c r="P254" s="11"/>
      <c r="X254" s="13">
        <f t="shared" si="26"/>
        <v>0</v>
      </c>
      <c r="Y254" s="2">
        <f t="shared" ca="1" si="21"/>
        <v>32133</v>
      </c>
      <c r="Z254" s="14">
        <v>1</v>
      </c>
      <c r="AA254" s="1" t="str">
        <f t="shared" ca="1" si="22"/>
        <v>VENCIDO</v>
      </c>
      <c r="AB254" s="1" t="str">
        <f t="shared" si="23"/>
        <v>TAAe+</v>
      </c>
      <c r="AC254" s="2">
        <f t="shared" si="27"/>
        <v>0</v>
      </c>
      <c r="AD254" s="2">
        <f t="shared" si="24"/>
        <v>8</v>
      </c>
      <c r="AE254" s="2">
        <f t="shared" ca="1" si="25"/>
        <v>-44986.676271643519</v>
      </c>
      <c r="AF254" s="15"/>
    </row>
    <row r="255" spans="3:32">
      <c r="C255" s="23"/>
      <c r="D255" s="1"/>
      <c r="E255" s="1"/>
      <c r="P255" s="11"/>
      <c r="X255" s="13">
        <f t="shared" si="26"/>
        <v>0</v>
      </c>
      <c r="Y255" s="2">
        <f t="shared" ca="1" si="21"/>
        <v>32133</v>
      </c>
      <c r="Z255" s="14">
        <v>1</v>
      </c>
      <c r="AA255" s="1" t="str">
        <f t="shared" ca="1" si="22"/>
        <v>VENCIDO</v>
      </c>
      <c r="AB255" s="1" t="str">
        <f t="shared" si="23"/>
        <v>TAAe+</v>
      </c>
      <c r="AC255" s="2">
        <f t="shared" si="27"/>
        <v>0</v>
      </c>
      <c r="AD255" s="2">
        <f t="shared" si="24"/>
        <v>8</v>
      </c>
      <c r="AE255" s="2">
        <f t="shared" ca="1" si="25"/>
        <v>-44986.676271643519</v>
      </c>
      <c r="AF255" s="15"/>
    </row>
    <row r="256" spans="3:32">
      <c r="D256" s="1"/>
      <c r="E256" s="1"/>
      <c r="P256" s="11"/>
      <c r="X256" s="13">
        <f t="shared" si="26"/>
        <v>0</v>
      </c>
      <c r="Y256" s="2">
        <f t="shared" ca="1" si="21"/>
        <v>32133</v>
      </c>
      <c r="Z256" s="14">
        <v>1</v>
      </c>
      <c r="AA256" s="1" t="str">
        <f t="shared" ca="1" si="22"/>
        <v>VENCIDO</v>
      </c>
      <c r="AB256" s="1" t="str">
        <f t="shared" si="23"/>
        <v>TAAe+</v>
      </c>
      <c r="AC256" s="2">
        <f t="shared" si="27"/>
        <v>0</v>
      </c>
      <c r="AD256" s="2">
        <f t="shared" si="24"/>
        <v>8</v>
      </c>
      <c r="AE256" s="2">
        <f t="shared" ca="1" si="25"/>
        <v>-44986.676271643519</v>
      </c>
      <c r="AF256" s="15"/>
    </row>
    <row r="257" spans="3:32">
      <c r="D257" s="1"/>
      <c r="E257" s="1"/>
      <c r="P257" s="11"/>
      <c r="X257" s="13">
        <f t="shared" si="26"/>
        <v>0</v>
      </c>
      <c r="Y257" s="2">
        <f t="shared" ca="1" si="21"/>
        <v>32133</v>
      </c>
      <c r="Z257" s="14">
        <v>1</v>
      </c>
      <c r="AA257" s="1" t="str">
        <f t="shared" ca="1" si="22"/>
        <v>VENCIDO</v>
      </c>
      <c r="AB257" s="1" t="str">
        <f t="shared" si="23"/>
        <v>TAAe+</v>
      </c>
      <c r="AC257" s="2">
        <f t="shared" si="27"/>
        <v>0</v>
      </c>
      <c r="AD257" s="2">
        <f t="shared" si="24"/>
        <v>8</v>
      </c>
      <c r="AE257" s="2">
        <f t="shared" ca="1" si="25"/>
        <v>-44986.676271643519</v>
      </c>
      <c r="AF257" s="15"/>
    </row>
    <row r="258" spans="3:32">
      <c r="D258" s="1"/>
      <c r="E258" s="1"/>
      <c r="P258" s="11"/>
      <c r="X258" s="13">
        <f t="shared" si="26"/>
        <v>0</v>
      </c>
      <c r="Y258" s="2">
        <f t="shared" ref="Y258:Y321" ca="1" si="28">NETWORKDAYS(P258,$Y$1)</f>
        <v>32133</v>
      </c>
      <c r="Z258" s="14">
        <v>1</v>
      </c>
      <c r="AA258" s="1" t="str">
        <f t="shared" ref="AA258:AA321" ca="1" si="29">IF(AE258=0,"HOJE",IF(AE258&gt;0,"A VENCER",IF(AE258&lt;0,"VENCIDO")))</f>
        <v>VENCIDO</v>
      </c>
      <c r="AB258" s="1" t="str">
        <f t="shared" ref="AB258:AB321" si="30">IF(F258="GRPE-000001","C-14",IF(F258="GRPE-000002","C-14",IF(F258="GRPE-000003","C-14",IF(F258="GRPE-000004","SL-On",IF(F258="GRPE-000038","C-14",IF(F258="GRPE-900022","Dosa",IF(F258="GRPE-000029","Dosa",IF(F258="ATOS-000222","Dose","TAAe+"))))))))</f>
        <v>TAAe+</v>
      </c>
      <c r="AC258" s="2">
        <f t="shared" si="27"/>
        <v>0</v>
      </c>
      <c r="AD258" s="2">
        <f t="shared" ref="AD258:AD321" si="31">IF(F258="GRPE-000001",5,IF(F258="GRPE-000002",5,IF(F258="GRPE-000003",15,IF(F258="GRPE-000004",1,IF(F258="GRPE-000038",5,IF(F258="GRPE-900022",5,IF(F258="GRPE-000029",5,IF(F258="ATOS-000222",5,8))))))))</f>
        <v>8</v>
      </c>
      <c r="AE258" s="2">
        <f t="shared" ref="AE258:AE321" ca="1" si="32">IF(U258=$AE$1,"",U258-$AE$1)</f>
        <v>-44986.676271643519</v>
      </c>
      <c r="AF258" s="15"/>
    </row>
    <row r="259" spans="3:32">
      <c r="C259" s="23"/>
      <c r="D259" s="1"/>
      <c r="E259" s="1"/>
      <c r="P259" s="11"/>
      <c r="X259" s="13">
        <f t="shared" ref="X259:X322" si="33">IF(RIGHT(H259,2)&lt;&gt;"00",H259,"")</f>
        <v>0</v>
      </c>
      <c r="Y259" s="2">
        <f t="shared" ca="1" si="28"/>
        <v>32133</v>
      </c>
      <c r="Z259" s="14">
        <v>1</v>
      </c>
      <c r="AA259" s="1" t="str">
        <f t="shared" ca="1" si="29"/>
        <v>VENCIDO</v>
      </c>
      <c r="AB259" s="1" t="str">
        <f t="shared" si="30"/>
        <v>TAAe+</v>
      </c>
      <c r="AC259" s="2">
        <f t="shared" ref="AC259:AC322" si="3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>0</v>
      </c>
      <c r="AD259" s="2">
        <f t="shared" si="31"/>
        <v>8</v>
      </c>
      <c r="AE259" s="2">
        <f t="shared" ca="1" si="32"/>
        <v>-44986.676271643519</v>
      </c>
      <c r="AF259" s="15"/>
    </row>
    <row r="260" spans="3:32">
      <c r="D260" s="1"/>
      <c r="E260" s="1"/>
      <c r="P260" s="11"/>
      <c r="X260" s="13">
        <f t="shared" si="33"/>
        <v>0</v>
      </c>
      <c r="Y260" s="2">
        <f t="shared" ca="1" si="28"/>
        <v>32133</v>
      </c>
      <c r="Z260" s="14">
        <v>1</v>
      </c>
      <c r="AA260" s="1" t="str">
        <f t="shared" ca="1" si="29"/>
        <v>VENCIDO</v>
      </c>
      <c r="AB260" s="1" t="str">
        <f t="shared" si="30"/>
        <v>TAAe+</v>
      </c>
      <c r="AC260" s="2">
        <f t="shared" si="34"/>
        <v>0</v>
      </c>
      <c r="AD260" s="2">
        <f t="shared" si="31"/>
        <v>8</v>
      </c>
      <c r="AE260" s="2">
        <f t="shared" ca="1" si="32"/>
        <v>-44986.676271643519</v>
      </c>
      <c r="AF260" s="15"/>
    </row>
    <row r="261" spans="3:32">
      <c r="D261" s="1"/>
      <c r="E261" s="1"/>
      <c r="P261" s="11"/>
      <c r="X261" s="13">
        <f t="shared" si="33"/>
        <v>0</v>
      </c>
      <c r="Y261" s="2">
        <f t="shared" ca="1" si="28"/>
        <v>32133</v>
      </c>
      <c r="Z261" s="14">
        <v>1</v>
      </c>
      <c r="AA261" s="1" t="str">
        <f t="shared" ca="1" si="29"/>
        <v>VENCIDO</v>
      </c>
      <c r="AB261" s="1" t="str">
        <f t="shared" si="30"/>
        <v>TAAe+</v>
      </c>
      <c r="AC261" s="2">
        <f t="shared" si="34"/>
        <v>0</v>
      </c>
      <c r="AD261" s="2">
        <f t="shared" si="31"/>
        <v>8</v>
      </c>
      <c r="AE261" s="2">
        <f t="shared" ca="1" si="32"/>
        <v>-44986.676271643519</v>
      </c>
      <c r="AF261" s="15"/>
    </row>
    <row r="262" spans="3:32">
      <c r="D262" s="1"/>
      <c r="E262" s="1"/>
      <c r="P262" s="11"/>
      <c r="X262" s="13">
        <f t="shared" si="33"/>
        <v>0</v>
      </c>
      <c r="Y262" s="2">
        <f t="shared" ca="1" si="28"/>
        <v>32133</v>
      </c>
      <c r="Z262" s="14">
        <v>1</v>
      </c>
      <c r="AA262" s="1" t="str">
        <f t="shared" ca="1" si="29"/>
        <v>VENCIDO</v>
      </c>
      <c r="AB262" s="1" t="str">
        <f t="shared" si="30"/>
        <v>TAAe+</v>
      </c>
      <c r="AC262" s="2">
        <f t="shared" si="34"/>
        <v>0</v>
      </c>
      <c r="AD262" s="2">
        <f t="shared" si="31"/>
        <v>8</v>
      </c>
      <c r="AE262" s="2">
        <f t="shared" ca="1" si="32"/>
        <v>-44986.676271643519</v>
      </c>
      <c r="AF262" s="15"/>
    </row>
    <row r="263" spans="3:32">
      <c r="D263" s="1"/>
      <c r="E263" s="1"/>
      <c r="P263" s="11"/>
      <c r="X263" s="13">
        <f t="shared" si="33"/>
        <v>0</v>
      </c>
      <c r="Y263" s="2">
        <f t="shared" ca="1" si="28"/>
        <v>32133</v>
      </c>
      <c r="Z263" s="14">
        <v>1</v>
      </c>
      <c r="AA263" s="1" t="str">
        <f t="shared" ca="1" si="29"/>
        <v>VENCIDO</v>
      </c>
      <c r="AB263" s="1" t="str">
        <f t="shared" si="30"/>
        <v>TAAe+</v>
      </c>
      <c r="AC263" s="2">
        <f t="shared" si="34"/>
        <v>0</v>
      </c>
      <c r="AD263" s="2">
        <f t="shared" si="31"/>
        <v>8</v>
      </c>
      <c r="AE263" s="2">
        <f t="shared" ca="1" si="32"/>
        <v>-44986.676271643519</v>
      </c>
      <c r="AF263" s="15"/>
    </row>
    <row r="264" spans="3:32">
      <c r="D264" s="1"/>
      <c r="E264" s="1"/>
      <c r="P264" s="11"/>
      <c r="X264" s="13">
        <f t="shared" si="33"/>
        <v>0</v>
      </c>
      <c r="Y264" s="2">
        <f t="shared" ca="1" si="28"/>
        <v>32133</v>
      </c>
      <c r="Z264" s="14">
        <v>1</v>
      </c>
      <c r="AA264" s="1" t="str">
        <f t="shared" ca="1" si="29"/>
        <v>VENCIDO</v>
      </c>
      <c r="AB264" s="1" t="str">
        <f t="shared" si="30"/>
        <v>TAAe+</v>
      </c>
      <c r="AC264" s="2">
        <f t="shared" si="34"/>
        <v>0</v>
      </c>
      <c r="AD264" s="2">
        <f t="shared" si="31"/>
        <v>8</v>
      </c>
      <c r="AE264" s="2">
        <f t="shared" ca="1" si="32"/>
        <v>-44986.676271643519</v>
      </c>
      <c r="AF264" s="15"/>
    </row>
    <row r="265" spans="3:32">
      <c r="D265" s="1"/>
      <c r="E265" s="1"/>
      <c r="P265" s="11"/>
      <c r="X265" s="13">
        <f t="shared" si="33"/>
        <v>0</v>
      </c>
      <c r="Y265" s="2">
        <f t="shared" ca="1" si="28"/>
        <v>32133</v>
      </c>
      <c r="Z265" s="14">
        <v>1</v>
      </c>
      <c r="AA265" s="1" t="str">
        <f t="shared" ca="1" si="29"/>
        <v>VENCIDO</v>
      </c>
      <c r="AB265" s="1" t="str">
        <f t="shared" si="30"/>
        <v>TAAe+</v>
      </c>
      <c r="AC265" s="2">
        <f t="shared" si="34"/>
        <v>0</v>
      </c>
      <c r="AD265" s="2">
        <f t="shared" si="31"/>
        <v>8</v>
      </c>
      <c r="AE265" s="2">
        <f t="shared" ca="1" si="32"/>
        <v>-44986.676271643519</v>
      </c>
      <c r="AF265" s="15"/>
    </row>
    <row r="266" spans="3:32">
      <c r="D266" s="1"/>
      <c r="E266" s="1"/>
      <c r="P266" s="11"/>
      <c r="U266" s="11"/>
      <c r="X266" s="13">
        <f t="shared" si="33"/>
        <v>0</v>
      </c>
      <c r="Y266" s="2">
        <f t="shared" ca="1" si="28"/>
        <v>32133</v>
      </c>
      <c r="Z266" s="14">
        <v>1</v>
      </c>
      <c r="AA266" s="1" t="str">
        <f t="shared" ca="1" si="29"/>
        <v>VENCIDO</v>
      </c>
      <c r="AB266" s="1" t="str">
        <f t="shared" si="30"/>
        <v>TAAe+</v>
      </c>
      <c r="AC266" s="2">
        <f t="shared" si="34"/>
        <v>0</v>
      </c>
      <c r="AD266" s="2">
        <f t="shared" si="31"/>
        <v>8</v>
      </c>
      <c r="AE266" s="2">
        <f t="shared" ca="1" si="32"/>
        <v>-44986.676271643519</v>
      </c>
      <c r="AF266" s="15"/>
    </row>
    <row r="267" spans="3:32">
      <c r="D267" s="1"/>
      <c r="E267" s="1"/>
      <c r="P267" s="11"/>
      <c r="X267" s="13">
        <f t="shared" si="33"/>
        <v>0</v>
      </c>
      <c r="Y267" s="2">
        <f t="shared" ca="1" si="28"/>
        <v>32133</v>
      </c>
      <c r="Z267" s="14">
        <v>1</v>
      </c>
      <c r="AA267" s="1" t="str">
        <f t="shared" ca="1" si="29"/>
        <v>VENCIDO</v>
      </c>
      <c r="AB267" s="1" t="str">
        <f t="shared" si="30"/>
        <v>TAAe+</v>
      </c>
      <c r="AC267" s="2">
        <f t="shared" si="34"/>
        <v>0</v>
      </c>
      <c r="AD267" s="2">
        <f t="shared" si="31"/>
        <v>8</v>
      </c>
      <c r="AE267" s="2">
        <f t="shared" ca="1" si="32"/>
        <v>-44986.676271643519</v>
      </c>
      <c r="AF267" s="15"/>
    </row>
    <row r="268" spans="3:32">
      <c r="D268" s="1"/>
      <c r="E268" s="1"/>
      <c r="P268" s="11"/>
      <c r="X268" s="13">
        <f t="shared" si="33"/>
        <v>0</v>
      </c>
      <c r="Y268" s="2">
        <f t="shared" ca="1" si="28"/>
        <v>32133</v>
      </c>
      <c r="Z268" s="14">
        <v>1</v>
      </c>
      <c r="AA268" s="1" t="str">
        <f t="shared" ca="1" si="29"/>
        <v>VENCIDO</v>
      </c>
      <c r="AB268" s="1" t="str">
        <f t="shared" si="30"/>
        <v>TAAe+</v>
      </c>
      <c r="AC268" s="2">
        <f t="shared" si="34"/>
        <v>0</v>
      </c>
      <c r="AD268" s="2">
        <f t="shared" si="31"/>
        <v>8</v>
      </c>
      <c r="AE268" s="2">
        <f t="shared" ca="1" si="32"/>
        <v>-44986.676271643519</v>
      </c>
      <c r="AF268" s="15"/>
    </row>
    <row r="269" spans="3:32">
      <c r="D269" s="1"/>
      <c r="E269" s="1"/>
      <c r="P269" s="11"/>
      <c r="X269" s="13">
        <f t="shared" si="33"/>
        <v>0</v>
      </c>
      <c r="Y269" s="2">
        <f t="shared" ca="1" si="28"/>
        <v>32133</v>
      </c>
      <c r="Z269" s="14">
        <v>1</v>
      </c>
      <c r="AA269" s="1" t="str">
        <f t="shared" ca="1" si="29"/>
        <v>VENCIDO</v>
      </c>
      <c r="AB269" s="1" t="str">
        <f t="shared" si="30"/>
        <v>TAAe+</v>
      </c>
      <c r="AC269" s="2">
        <f t="shared" si="34"/>
        <v>0</v>
      </c>
      <c r="AD269" s="2">
        <f t="shared" si="31"/>
        <v>8</v>
      </c>
      <c r="AE269" s="2">
        <f t="shared" ca="1" si="32"/>
        <v>-44986.676271643519</v>
      </c>
      <c r="AF269" s="15"/>
    </row>
    <row r="270" spans="3:32">
      <c r="D270" s="1"/>
      <c r="E270" s="1"/>
      <c r="P270" s="11"/>
      <c r="X270" s="13">
        <f t="shared" si="33"/>
        <v>0</v>
      </c>
      <c r="Y270" s="2">
        <f t="shared" ca="1" si="28"/>
        <v>32133</v>
      </c>
      <c r="Z270" s="14">
        <v>1</v>
      </c>
      <c r="AA270" s="1" t="str">
        <f t="shared" ca="1" si="29"/>
        <v>VENCIDO</v>
      </c>
      <c r="AB270" s="1" t="str">
        <f t="shared" si="30"/>
        <v>TAAe+</v>
      </c>
      <c r="AC270" s="2">
        <f t="shared" si="34"/>
        <v>0</v>
      </c>
      <c r="AD270" s="2">
        <f t="shared" si="31"/>
        <v>8</v>
      </c>
      <c r="AE270" s="2">
        <f t="shared" ca="1" si="32"/>
        <v>-44986.676271643519</v>
      </c>
      <c r="AF270" s="15"/>
    </row>
    <row r="271" spans="3:32">
      <c r="C271" s="23"/>
      <c r="D271" s="1"/>
      <c r="E271" s="1"/>
      <c r="P271" s="11"/>
      <c r="X271" s="13">
        <f t="shared" si="33"/>
        <v>0</v>
      </c>
      <c r="Y271" s="2">
        <f t="shared" ca="1" si="28"/>
        <v>32133</v>
      </c>
      <c r="Z271" s="14">
        <v>1</v>
      </c>
      <c r="AA271" s="1" t="str">
        <f t="shared" ca="1" si="29"/>
        <v>VENCIDO</v>
      </c>
      <c r="AB271" s="1" t="str">
        <f t="shared" si="30"/>
        <v>TAAe+</v>
      </c>
      <c r="AC271" s="2">
        <f t="shared" si="34"/>
        <v>0</v>
      </c>
      <c r="AD271" s="2">
        <f t="shared" si="31"/>
        <v>8</v>
      </c>
      <c r="AE271" s="2">
        <f t="shared" ca="1" si="32"/>
        <v>-44986.676271643519</v>
      </c>
      <c r="AF271" s="15"/>
    </row>
    <row r="272" spans="3:32">
      <c r="C272" s="23"/>
      <c r="D272" s="1"/>
      <c r="E272" s="1"/>
      <c r="P272" s="11"/>
      <c r="X272" s="13">
        <f t="shared" si="33"/>
        <v>0</v>
      </c>
      <c r="Y272" s="2">
        <f t="shared" ca="1" si="28"/>
        <v>32133</v>
      </c>
      <c r="Z272" s="14">
        <v>1</v>
      </c>
      <c r="AA272" s="1" t="str">
        <f t="shared" ca="1" si="29"/>
        <v>VENCIDO</v>
      </c>
      <c r="AB272" s="1" t="str">
        <f t="shared" si="30"/>
        <v>TAAe+</v>
      </c>
      <c r="AC272" s="2">
        <f t="shared" si="34"/>
        <v>0</v>
      </c>
      <c r="AD272" s="2">
        <f t="shared" si="31"/>
        <v>8</v>
      </c>
      <c r="AE272" s="2">
        <f t="shared" ca="1" si="32"/>
        <v>-44986.676271643519</v>
      </c>
      <c r="AF272" s="15"/>
    </row>
    <row r="273" spans="3:32">
      <c r="C273" s="23"/>
      <c r="D273" s="1"/>
      <c r="E273" s="1"/>
      <c r="P273" s="11"/>
      <c r="X273" s="13">
        <f t="shared" si="33"/>
        <v>0</v>
      </c>
      <c r="Y273" s="2">
        <f t="shared" ca="1" si="28"/>
        <v>32133</v>
      </c>
      <c r="Z273" s="14">
        <v>1</v>
      </c>
      <c r="AA273" s="1" t="str">
        <f t="shared" ca="1" si="29"/>
        <v>VENCIDO</v>
      </c>
      <c r="AB273" s="1" t="str">
        <f t="shared" si="30"/>
        <v>TAAe+</v>
      </c>
      <c r="AC273" s="2">
        <f t="shared" si="34"/>
        <v>0</v>
      </c>
      <c r="AD273" s="2">
        <f t="shared" si="31"/>
        <v>8</v>
      </c>
      <c r="AE273" s="2">
        <f t="shared" ca="1" si="32"/>
        <v>-44986.676271643519</v>
      </c>
      <c r="AF273" s="15"/>
    </row>
    <row r="274" spans="3:32">
      <c r="D274" s="1"/>
      <c r="E274" s="1"/>
      <c r="P274" s="11"/>
      <c r="X274" s="13">
        <f t="shared" si="33"/>
        <v>0</v>
      </c>
      <c r="Y274" s="2">
        <f t="shared" ca="1" si="28"/>
        <v>32133</v>
      </c>
      <c r="Z274" s="14">
        <v>1</v>
      </c>
      <c r="AA274" s="1" t="str">
        <f t="shared" ca="1" si="29"/>
        <v>VENCIDO</v>
      </c>
      <c r="AB274" s="1" t="str">
        <f t="shared" si="30"/>
        <v>TAAe+</v>
      </c>
      <c r="AC274" s="2">
        <f t="shared" si="34"/>
        <v>0</v>
      </c>
      <c r="AD274" s="2">
        <f t="shared" si="31"/>
        <v>8</v>
      </c>
      <c r="AE274" s="2">
        <f t="shared" ca="1" si="32"/>
        <v>-44986.676271643519</v>
      </c>
      <c r="AF274" s="15"/>
    </row>
    <row r="275" spans="3:32">
      <c r="D275" s="1"/>
      <c r="E275" s="1"/>
      <c r="P275" s="11"/>
      <c r="U275" s="11"/>
      <c r="X275" s="13">
        <f t="shared" si="33"/>
        <v>0</v>
      </c>
      <c r="Y275" s="2">
        <f t="shared" ca="1" si="28"/>
        <v>32133</v>
      </c>
      <c r="Z275" s="14">
        <v>1</v>
      </c>
      <c r="AA275" s="1" t="str">
        <f t="shared" ca="1" si="29"/>
        <v>VENCIDO</v>
      </c>
      <c r="AB275" s="1" t="str">
        <f t="shared" si="30"/>
        <v>TAAe+</v>
      </c>
      <c r="AC275" s="2">
        <f t="shared" si="34"/>
        <v>0</v>
      </c>
      <c r="AD275" s="2">
        <f t="shared" si="31"/>
        <v>8</v>
      </c>
      <c r="AE275" s="2">
        <f t="shared" ca="1" si="32"/>
        <v>-44986.676271643519</v>
      </c>
      <c r="AF275" s="15"/>
    </row>
    <row r="276" spans="3:32">
      <c r="D276" s="1"/>
      <c r="E276" s="1"/>
      <c r="P276" s="11"/>
      <c r="U276" s="11"/>
      <c r="X276" s="13">
        <f t="shared" si="33"/>
        <v>0</v>
      </c>
      <c r="Y276" s="2">
        <f t="shared" ca="1" si="28"/>
        <v>32133</v>
      </c>
      <c r="Z276" s="14">
        <v>1</v>
      </c>
      <c r="AA276" s="1" t="str">
        <f t="shared" ca="1" si="29"/>
        <v>VENCIDO</v>
      </c>
      <c r="AB276" s="1" t="str">
        <f t="shared" si="30"/>
        <v>TAAe+</v>
      </c>
      <c r="AC276" s="2">
        <f t="shared" si="34"/>
        <v>0</v>
      </c>
      <c r="AD276" s="2">
        <f t="shared" si="31"/>
        <v>8</v>
      </c>
      <c r="AE276" s="2">
        <f t="shared" ca="1" si="32"/>
        <v>-44986.676271643519</v>
      </c>
      <c r="AF276" s="15"/>
    </row>
    <row r="277" spans="3:32">
      <c r="D277" s="1"/>
      <c r="E277" s="1"/>
      <c r="P277" s="11"/>
      <c r="U277" s="11"/>
      <c r="X277" s="13">
        <f t="shared" si="33"/>
        <v>0</v>
      </c>
      <c r="Y277" s="2">
        <f t="shared" ca="1" si="28"/>
        <v>32133</v>
      </c>
      <c r="Z277" s="14">
        <v>1</v>
      </c>
      <c r="AA277" s="1" t="str">
        <f t="shared" ca="1" si="29"/>
        <v>VENCIDO</v>
      </c>
      <c r="AB277" s="1" t="str">
        <f t="shared" si="30"/>
        <v>TAAe+</v>
      </c>
      <c r="AC277" s="2">
        <f t="shared" si="34"/>
        <v>0</v>
      </c>
      <c r="AD277" s="2">
        <f t="shared" si="31"/>
        <v>8</v>
      </c>
      <c r="AE277" s="2">
        <f t="shared" ca="1" si="32"/>
        <v>-44986.676271643519</v>
      </c>
      <c r="AF277" s="15"/>
    </row>
    <row r="278" spans="3:32">
      <c r="D278" s="1"/>
      <c r="E278" s="1"/>
      <c r="P278" s="11"/>
      <c r="U278" s="11"/>
      <c r="X278" s="13">
        <f t="shared" si="33"/>
        <v>0</v>
      </c>
      <c r="Y278" s="2">
        <f t="shared" ca="1" si="28"/>
        <v>32133</v>
      </c>
      <c r="Z278" s="14">
        <v>1</v>
      </c>
      <c r="AA278" s="1" t="str">
        <f t="shared" ca="1" si="29"/>
        <v>VENCIDO</v>
      </c>
      <c r="AB278" s="1" t="str">
        <f t="shared" si="30"/>
        <v>TAAe+</v>
      </c>
      <c r="AC278" s="2">
        <f t="shared" si="34"/>
        <v>0</v>
      </c>
      <c r="AD278" s="2">
        <f t="shared" si="31"/>
        <v>8</v>
      </c>
      <c r="AE278" s="2">
        <f t="shared" ca="1" si="32"/>
        <v>-44986.676271643519</v>
      </c>
      <c r="AF278" s="15"/>
    </row>
    <row r="279" spans="3:32">
      <c r="D279" s="1"/>
      <c r="E279" s="1"/>
      <c r="P279" s="11"/>
      <c r="U279" s="11"/>
      <c r="X279" s="13">
        <f t="shared" si="33"/>
        <v>0</v>
      </c>
      <c r="Y279" s="2">
        <f t="shared" ca="1" si="28"/>
        <v>32133</v>
      </c>
      <c r="Z279" s="14">
        <v>1</v>
      </c>
      <c r="AA279" s="1" t="str">
        <f t="shared" ca="1" si="29"/>
        <v>VENCIDO</v>
      </c>
      <c r="AB279" s="1" t="str">
        <f t="shared" si="30"/>
        <v>TAAe+</v>
      </c>
      <c r="AC279" s="2">
        <f t="shared" si="34"/>
        <v>0</v>
      </c>
      <c r="AD279" s="2">
        <f t="shared" si="31"/>
        <v>8</v>
      </c>
      <c r="AE279" s="2">
        <f t="shared" ca="1" si="32"/>
        <v>-44986.676271643519</v>
      </c>
      <c r="AF279" s="15"/>
    </row>
    <row r="280" spans="3:32">
      <c r="D280" s="1"/>
      <c r="E280" s="1"/>
      <c r="P280" s="11"/>
      <c r="U280" s="11"/>
      <c r="X280" s="13">
        <f t="shared" si="33"/>
        <v>0</v>
      </c>
      <c r="Y280" s="2">
        <f t="shared" ca="1" si="28"/>
        <v>32133</v>
      </c>
      <c r="Z280" s="14">
        <v>1</v>
      </c>
      <c r="AA280" s="1" t="str">
        <f t="shared" ca="1" si="29"/>
        <v>VENCIDO</v>
      </c>
      <c r="AB280" s="1" t="str">
        <f t="shared" si="30"/>
        <v>TAAe+</v>
      </c>
      <c r="AC280" s="2">
        <f t="shared" si="34"/>
        <v>0</v>
      </c>
      <c r="AD280" s="2">
        <f t="shared" si="31"/>
        <v>8</v>
      </c>
      <c r="AE280" s="2">
        <f t="shared" ca="1" si="32"/>
        <v>-44986.676271643519</v>
      </c>
      <c r="AF280" s="15"/>
    </row>
    <row r="281" spans="3:32">
      <c r="D281" s="1"/>
      <c r="E281" s="1"/>
      <c r="P281" s="11"/>
      <c r="U281" s="11"/>
      <c r="X281" s="13">
        <f t="shared" si="33"/>
        <v>0</v>
      </c>
      <c r="Y281" s="2">
        <f t="shared" ca="1" si="28"/>
        <v>32133</v>
      </c>
      <c r="Z281" s="14">
        <v>1</v>
      </c>
      <c r="AA281" s="1" t="str">
        <f t="shared" ca="1" si="29"/>
        <v>VENCIDO</v>
      </c>
      <c r="AB281" s="1" t="str">
        <f t="shared" si="30"/>
        <v>TAAe+</v>
      </c>
      <c r="AC281" s="2">
        <f t="shared" si="34"/>
        <v>0</v>
      </c>
      <c r="AD281" s="2">
        <f t="shared" si="31"/>
        <v>8</v>
      </c>
      <c r="AE281" s="2">
        <f t="shared" ca="1" si="32"/>
        <v>-44986.676271643519</v>
      </c>
      <c r="AF281" s="15"/>
    </row>
    <row r="282" spans="3:32">
      <c r="D282" s="1"/>
      <c r="E282" s="1"/>
      <c r="P282" s="11"/>
      <c r="U282" s="11"/>
      <c r="X282" s="13">
        <f t="shared" si="33"/>
        <v>0</v>
      </c>
      <c r="Y282" s="2">
        <f t="shared" ca="1" si="28"/>
        <v>32133</v>
      </c>
      <c r="Z282" s="14">
        <v>1</v>
      </c>
      <c r="AA282" s="1" t="str">
        <f t="shared" ca="1" si="29"/>
        <v>VENCIDO</v>
      </c>
      <c r="AB282" s="1" t="str">
        <f t="shared" si="30"/>
        <v>TAAe+</v>
      </c>
      <c r="AC282" s="2">
        <f t="shared" si="34"/>
        <v>0</v>
      </c>
      <c r="AD282" s="2">
        <f t="shared" si="31"/>
        <v>8</v>
      </c>
      <c r="AE282" s="2">
        <f t="shared" ca="1" si="32"/>
        <v>-44986.676271643519</v>
      </c>
      <c r="AF282" s="15"/>
    </row>
    <row r="283" spans="3:32">
      <c r="D283" s="1"/>
      <c r="E283" s="1"/>
      <c r="P283" s="11"/>
      <c r="U283" s="11"/>
      <c r="X283" s="13">
        <f t="shared" si="33"/>
        <v>0</v>
      </c>
      <c r="Y283" s="2">
        <f t="shared" ca="1" si="28"/>
        <v>32133</v>
      </c>
      <c r="Z283" s="14">
        <v>1</v>
      </c>
      <c r="AA283" s="1" t="str">
        <f t="shared" ca="1" si="29"/>
        <v>VENCIDO</v>
      </c>
      <c r="AB283" s="1" t="str">
        <f t="shared" si="30"/>
        <v>TAAe+</v>
      </c>
      <c r="AC283" s="2">
        <f t="shared" si="34"/>
        <v>0</v>
      </c>
      <c r="AD283" s="2">
        <f t="shared" si="31"/>
        <v>8</v>
      </c>
      <c r="AE283" s="2">
        <f t="shared" ca="1" si="32"/>
        <v>-44986.676271643519</v>
      </c>
      <c r="AF283" s="15"/>
    </row>
    <row r="284" spans="3:32">
      <c r="D284" s="1"/>
      <c r="E284" s="1"/>
      <c r="P284" s="11"/>
      <c r="U284" s="11"/>
      <c r="X284" s="13">
        <f t="shared" si="33"/>
        <v>0</v>
      </c>
      <c r="Y284" s="2">
        <f t="shared" ca="1" si="28"/>
        <v>32133</v>
      </c>
      <c r="Z284" s="14">
        <v>1</v>
      </c>
      <c r="AA284" s="1" t="str">
        <f t="shared" ca="1" si="29"/>
        <v>VENCIDO</v>
      </c>
      <c r="AB284" s="1" t="str">
        <f t="shared" si="30"/>
        <v>TAAe+</v>
      </c>
      <c r="AC284" s="2">
        <f t="shared" si="34"/>
        <v>0</v>
      </c>
      <c r="AD284" s="2">
        <f t="shared" si="31"/>
        <v>8</v>
      </c>
      <c r="AE284" s="2">
        <f t="shared" ca="1" si="32"/>
        <v>-44986.676271643519</v>
      </c>
      <c r="AF284" s="15"/>
    </row>
    <row r="285" spans="3:32">
      <c r="D285" s="1"/>
      <c r="E285" s="1"/>
      <c r="P285" s="11"/>
      <c r="U285" s="11"/>
      <c r="X285" s="13">
        <f t="shared" si="33"/>
        <v>0</v>
      </c>
      <c r="Y285" s="2">
        <f t="shared" ca="1" si="28"/>
        <v>32133</v>
      </c>
      <c r="Z285" s="14">
        <v>1</v>
      </c>
      <c r="AA285" s="1" t="str">
        <f t="shared" ca="1" si="29"/>
        <v>VENCIDO</v>
      </c>
      <c r="AB285" s="1" t="str">
        <f t="shared" si="30"/>
        <v>TAAe+</v>
      </c>
      <c r="AC285" s="2">
        <f t="shared" si="34"/>
        <v>0</v>
      </c>
      <c r="AD285" s="2">
        <f t="shared" si="31"/>
        <v>8</v>
      </c>
      <c r="AE285" s="2">
        <f t="shared" ca="1" si="32"/>
        <v>-44986.676271643519</v>
      </c>
      <c r="AF285" s="15"/>
    </row>
    <row r="286" spans="3:32">
      <c r="D286" s="1"/>
      <c r="E286" s="1"/>
      <c r="P286" s="11"/>
      <c r="U286" s="11"/>
      <c r="X286" s="13">
        <f t="shared" si="33"/>
        <v>0</v>
      </c>
      <c r="Y286" s="2">
        <f t="shared" ca="1" si="28"/>
        <v>32133</v>
      </c>
      <c r="Z286" s="14">
        <v>1</v>
      </c>
      <c r="AA286" s="1" t="str">
        <f t="shared" ca="1" si="29"/>
        <v>VENCIDO</v>
      </c>
      <c r="AB286" s="1" t="str">
        <f t="shared" si="30"/>
        <v>TAAe+</v>
      </c>
      <c r="AC286" s="2">
        <f t="shared" si="34"/>
        <v>0</v>
      </c>
      <c r="AD286" s="2">
        <f t="shared" si="31"/>
        <v>8</v>
      </c>
      <c r="AE286" s="2">
        <f t="shared" ca="1" si="32"/>
        <v>-44986.676271643519</v>
      </c>
      <c r="AF286" s="15"/>
    </row>
    <row r="287" spans="3:32">
      <c r="D287" s="1"/>
      <c r="E287" s="1"/>
      <c r="P287" s="11"/>
      <c r="U287" s="11"/>
      <c r="X287" s="13">
        <f t="shared" si="33"/>
        <v>0</v>
      </c>
      <c r="Y287" s="2">
        <f t="shared" ca="1" si="28"/>
        <v>32133</v>
      </c>
      <c r="Z287" s="14">
        <v>1</v>
      </c>
      <c r="AA287" s="1" t="str">
        <f t="shared" ca="1" si="29"/>
        <v>VENCIDO</v>
      </c>
      <c r="AB287" s="1" t="str">
        <f t="shared" si="30"/>
        <v>TAAe+</v>
      </c>
      <c r="AC287" s="2">
        <f t="shared" si="34"/>
        <v>0</v>
      </c>
      <c r="AD287" s="2">
        <f t="shared" si="31"/>
        <v>8</v>
      </c>
      <c r="AE287" s="2">
        <f t="shared" ca="1" si="32"/>
        <v>-44986.676271643519</v>
      </c>
      <c r="AF287" s="15"/>
    </row>
    <row r="288" spans="3:32">
      <c r="D288" s="1"/>
      <c r="E288" s="1"/>
      <c r="P288" s="11"/>
      <c r="U288" s="11"/>
      <c r="X288" s="13">
        <f t="shared" si="33"/>
        <v>0</v>
      </c>
      <c r="Y288" s="2">
        <f t="shared" ca="1" si="28"/>
        <v>32133</v>
      </c>
      <c r="Z288" s="14">
        <v>1</v>
      </c>
      <c r="AA288" s="1" t="str">
        <f t="shared" ca="1" si="29"/>
        <v>VENCIDO</v>
      </c>
      <c r="AB288" s="1" t="str">
        <f t="shared" si="30"/>
        <v>TAAe+</v>
      </c>
      <c r="AC288" s="2">
        <f t="shared" si="34"/>
        <v>0</v>
      </c>
      <c r="AD288" s="2">
        <f t="shared" si="31"/>
        <v>8</v>
      </c>
      <c r="AE288" s="2">
        <f t="shared" ca="1" si="32"/>
        <v>-44986.676271643519</v>
      </c>
      <c r="AF288" s="15"/>
    </row>
    <row r="289" spans="4:32">
      <c r="D289" s="1"/>
      <c r="E289" s="1"/>
      <c r="P289" s="11"/>
      <c r="U289" s="11"/>
      <c r="X289" s="13">
        <f t="shared" si="33"/>
        <v>0</v>
      </c>
      <c r="Y289" s="2">
        <f t="shared" ca="1" si="28"/>
        <v>32133</v>
      </c>
      <c r="Z289" s="14">
        <v>1</v>
      </c>
      <c r="AA289" s="1" t="str">
        <f t="shared" ca="1" si="29"/>
        <v>VENCIDO</v>
      </c>
      <c r="AB289" s="1" t="str">
        <f t="shared" si="30"/>
        <v>TAAe+</v>
      </c>
      <c r="AC289" s="2">
        <f t="shared" si="34"/>
        <v>0</v>
      </c>
      <c r="AD289" s="2">
        <f t="shared" si="31"/>
        <v>8</v>
      </c>
      <c r="AE289" s="2">
        <f t="shared" ca="1" si="32"/>
        <v>-44986.676271643519</v>
      </c>
      <c r="AF289" s="15"/>
    </row>
    <row r="290" spans="4:32">
      <c r="D290" s="1"/>
      <c r="E290" s="1"/>
      <c r="P290" s="11"/>
      <c r="U290" s="11"/>
      <c r="X290" s="13">
        <f t="shared" si="33"/>
        <v>0</v>
      </c>
      <c r="Y290" s="2">
        <f t="shared" ca="1" si="28"/>
        <v>32133</v>
      </c>
      <c r="Z290" s="14">
        <v>1</v>
      </c>
      <c r="AA290" s="1" t="str">
        <f t="shared" ca="1" si="29"/>
        <v>VENCIDO</v>
      </c>
      <c r="AB290" s="1" t="str">
        <f t="shared" si="30"/>
        <v>TAAe+</v>
      </c>
      <c r="AC290" s="2">
        <f t="shared" si="34"/>
        <v>0</v>
      </c>
      <c r="AD290" s="2">
        <f t="shared" si="31"/>
        <v>8</v>
      </c>
      <c r="AE290" s="2">
        <f t="shared" ca="1" si="32"/>
        <v>-44986.676271643519</v>
      </c>
      <c r="AF290" s="15"/>
    </row>
    <row r="291" spans="4:32">
      <c r="D291" s="1"/>
      <c r="E291" s="1"/>
      <c r="P291" s="11"/>
      <c r="U291" s="11"/>
      <c r="X291" s="13">
        <f t="shared" si="33"/>
        <v>0</v>
      </c>
      <c r="Y291" s="2">
        <f t="shared" ca="1" si="28"/>
        <v>32133</v>
      </c>
      <c r="Z291" s="14">
        <v>1</v>
      </c>
      <c r="AA291" s="1" t="str">
        <f t="shared" ca="1" si="29"/>
        <v>VENCIDO</v>
      </c>
      <c r="AB291" s="1" t="str">
        <f t="shared" si="30"/>
        <v>TAAe+</v>
      </c>
      <c r="AC291" s="2">
        <f t="shared" si="34"/>
        <v>0</v>
      </c>
      <c r="AD291" s="2">
        <f t="shared" si="31"/>
        <v>8</v>
      </c>
      <c r="AE291" s="2">
        <f t="shared" ca="1" si="32"/>
        <v>-44986.676271643519</v>
      </c>
      <c r="AF291" s="15"/>
    </row>
    <row r="292" spans="4:32">
      <c r="D292" s="1"/>
      <c r="E292" s="1"/>
      <c r="P292" s="11"/>
      <c r="U292" s="11"/>
      <c r="X292" s="13">
        <f t="shared" si="33"/>
        <v>0</v>
      </c>
      <c r="Y292" s="2">
        <f t="shared" ca="1" si="28"/>
        <v>32133</v>
      </c>
      <c r="Z292" s="14">
        <v>1</v>
      </c>
      <c r="AA292" s="1" t="str">
        <f t="shared" ca="1" si="29"/>
        <v>VENCIDO</v>
      </c>
      <c r="AB292" s="1" t="str">
        <f t="shared" si="30"/>
        <v>TAAe+</v>
      </c>
      <c r="AC292" s="2">
        <f t="shared" si="34"/>
        <v>0</v>
      </c>
      <c r="AD292" s="2">
        <f t="shared" si="31"/>
        <v>8</v>
      </c>
      <c r="AE292" s="2">
        <f t="shared" ca="1" si="32"/>
        <v>-44986.676271643519</v>
      </c>
      <c r="AF292" s="15"/>
    </row>
    <row r="293" spans="4:32">
      <c r="D293" s="1"/>
      <c r="E293" s="1"/>
      <c r="P293" s="11"/>
      <c r="U293" s="11"/>
      <c r="X293" s="13">
        <f t="shared" si="33"/>
        <v>0</v>
      </c>
      <c r="Y293" s="2">
        <f t="shared" ca="1" si="28"/>
        <v>32133</v>
      </c>
      <c r="Z293" s="14">
        <v>1</v>
      </c>
      <c r="AA293" s="1" t="str">
        <f t="shared" ca="1" si="29"/>
        <v>VENCIDO</v>
      </c>
      <c r="AB293" s="1" t="str">
        <f t="shared" si="30"/>
        <v>TAAe+</v>
      </c>
      <c r="AC293" s="2">
        <f t="shared" si="34"/>
        <v>0</v>
      </c>
      <c r="AD293" s="2">
        <f t="shared" si="31"/>
        <v>8</v>
      </c>
      <c r="AE293" s="2">
        <f t="shared" ca="1" si="32"/>
        <v>-44986.676271643519</v>
      </c>
      <c r="AF293" s="15"/>
    </row>
    <row r="294" spans="4:32">
      <c r="D294" s="1"/>
      <c r="E294" s="1"/>
      <c r="P294" s="11"/>
      <c r="U294" s="11"/>
      <c r="X294" s="13">
        <f t="shared" si="33"/>
        <v>0</v>
      </c>
      <c r="Y294" s="2">
        <f t="shared" ca="1" si="28"/>
        <v>32133</v>
      </c>
      <c r="Z294" s="14">
        <v>1</v>
      </c>
      <c r="AA294" s="1" t="str">
        <f t="shared" ca="1" si="29"/>
        <v>VENCIDO</v>
      </c>
      <c r="AB294" s="1" t="str">
        <f t="shared" si="30"/>
        <v>TAAe+</v>
      </c>
      <c r="AC294" s="2">
        <f t="shared" si="34"/>
        <v>0</v>
      </c>
      <c r="AD294" s="2">
        <f t="shared" si="31"/>
        <v>8</v>
      </c>
      <c r="AE294" s="2">
        <f t="shared" ca="1" si="32"/>
        <v>-44986.676271643519</v>
      </c>
      <c r="AF294" s="15"/>
    </row>
    <row r="295" spans="4:32">
      <c r="D295" s="1"/>
      <c r="E295" s="1"/>
      <c r="P295" s="11"/>
      <c r="U295" s="11"/>
      <c r="X295" s="13">
        <f t="shared" si="33"/>
        <v>0</v>
      </c>
      <c r="Y295" s="2">
        <f t="shared" ca="1" si="28"/>
        <v>32133</v>
      </c>
      <c r="Z295" s="14">
        <v>1</v>
      </c>
      <c r="AA295" s="1" t="str">
        <f t="shared" ca="1" si="29"/>
        <v>VENCIDO</v>
      </c>
      <c r="AB295" s="1" t="str">
        <f t="shared" si="30"/>
        <v>TAAe+</v>
      </c>
      <c r="AC295" s="2">
        <f t="shared" si="34"/>
        <v>0</v>
      </c>
      <c r="AD295" s="2">
        <f t="shared" si="31"/>
        <v>8</v>
      </c>
      <c r="AE295" s="2">
        <f t="shared" ca="1" si="32"/>
        <v>-44986.676271643519</v>
      </c>
      <c r="AF295" s="15"/>
    </row>
    <row r="296" spans="4:32">
      <c r="D296" s="1"/>
      <c r="E296" s="1"/>
      <c r="P296" s="11"/>
      <c r="U296" s="11"/>
      <c r="X296" s="13">
        <f t="shared" si="33"/>
        <v>0</v>
      </c>
      <c r="Y296" s="2">
        <f t="shared" ca="1" si="28"/>
        <v>32133</v>
      </c>
      <c r="Z296" s="14">
        <v>1</v>
      </c>
      <c r="AA296" s="1" t="str">
        <f t="shared" ca="1" si="29"/>
        <v>VENCIDO</v>
      </c>
      <c r="AB296" s="1" t="str">
        <f t="shared" si="30"/>
        <v>TAAe+</v>
      </c>
      <c r="AC296" s="2">
        <f t="shared" si="34"/>
        <v>0</v>
      </c>
      <c r="AD296" s="2">
        <f t="shared" si="31"/>
        <v>8</v>
      </c>
      <c r="AE296" s="2">
        <f t="shared" ca="1" si="32"/>
        <v>-44986.676271643519</v>
      </c>
      <c r="AF296" s="15"/>
    </row>
    <row r="297" spans="4:32">
      <c r="D297" s="1"/>
      <c r="E297" s="1"/>
      <c r="P297" s="11"/>
      <c r="U297" s="11"/>
      <c r="X297" s="13">
        <f t="shared" si="33"/>
        <v>0</v>
      </c>
      <c r="Y297" s="2">
        <f t="shared" ca="1" si="28"/>
        <v>32133</v>
      </c>
      <c r="Z297" s="14">
        <v>1</v>
      </c>
      <c r="AA297" s="1" t="str">
        <f t="shared" ca="1" si="29"/>
        <v>VENCIDO</v>
      </c>
      <c r="AB297" s="1" t="str">
        <f t="shared" si="30"/>
        <v>TAAe+</v>
      </c>
      <c r="AC297" s="2">
        <f t="shared" si="34"/>
        <v>0</v>
      </c>
      <c r="AD297" s="2">
        <f t="shared" si="31"/>
        <v>8</v>
      </c>
      <c r="AE297" s="2">
        <f t="shared" ca="1" si="32"/>
        <v>-44986.676271643519</v>
      </c>
      <c r="AF297" s="15"/>
    </row>
    <row r="298" spans="4:32">
      <c r="D298" s="1"/>
      <c r="E298" s="1"/>
      <c r="P298" s="11"/>
      <c r="U298" s="11"/>
      <c r="X298" s="13">
        <f t="shared" si="33"/>
        <v>0</v>
      </c>
      <c r="Y298" s="2">
        <f t="shared" ca="1" si="28"/>
        <v>32133</v>
      </c>
      <c r="Z298" s="14">
        <v>1</v>
      </c>
      <c r="AA298" s="1" t="str">
        <f t="shared" ca="1" si="29"/>
        <v>VENCIDO</v>
      </c>
      <c r="AB298" s="1" t="str">
        <f t="shared" si="30"/>
        <v>TAAe+</v>
      </c>
      <c r="AC298" s="2">
        <f t="shared" si="34"/>
        <v>0</v>
      </c>
      <c r="AD298" s="2">
        <f t="shared" si="31"/>
        <v>8</v>
      </c>
      <c r="AE298" s="2">
        <f t="shared" ca="1" si="32"/>
        <v>-44986.676271643519</v>
      </c>
      <c r="AF298" s="15"/>
    </row>
    <row r="299" spans="4:32">
      <c r="D299" s="1"/>
      <c r="E299" s="1"/>
      <c r="P299" s="11"/>
      <c r="U299" s="11"/>
      <c r="X299" s="13">
        <f t="shared" si="33"/>
        <v>0</v>
      </c>
      <c r="Y299" s="2">
        <f t="shared" ca="1" si="28"/>
        <v>32133</v>
      </c>
      <c r="Z299" s="14">
        <v>1</v>
      </c>
      <c r="AA299" s="1" t="str">
        <f t="shared" ca="1" si="29"/>
        <v>VENCIDO</v>
      </c>
      <c r="AB299" s="1" t="str">
        <f t="shared" si="30"/>
        <v>TAAe+</v>
      </c>
      <c r="AC299" s="2">
        <f t="shared" si="34"/>
        <v>0</v>
      </c>
      <c r="AD299" s="2">
        <f t="shared" si="31"/>
        <v>8</v>
      </c>
      <c r="AE299" s="2">
        <f t="shared" ca="1" si="32"/>
        <v>-44986.676271643519</v>
      </c>
      <c r="AF299" s="15"/>
    </row>
    <row r="300" spans="4:32">
      <c r="D300" s="1"/>
      <c r="E300" s="1"/>
      <c r="P300" s="11"/>
      <c r="U300" s="11"/>
      <c r="X300" s="13">
        <f t="shared" si="33"/>
        <v>0</v>
      </c>
      <c r="Y300" s="2">
        <f t="shared" ca="1" si="28"/>
        <v>32133</v>
      </c>
      <c r="Z300" s="14">
        <v>1</v>
      </c>
      <c r="AA300" s="1" t="str">
        <f t="shared" ca="1" si="29"/>
        <v>VENCIDO</v>
      </c>
      <c r="AB300" s="1" t="str">
        <f t="shared" si="30"/>
        <v>TAAe+</v>
      </c>
      <c r="AC300" s="2">
        <f t="shared" si="34"/>
        <v>0</v>
      </c>
      <c r="AD300" s="2">
        <f t="shared" si="31"/>
        <v>8</v>
      </c>
      <c r="AE300" s="2">
        <f t="shared" ca="1" si="32"/>
        <v>-44986.676271643519</v>
      </c>
      <c r="AF300" s="15"/>
    </row>
    <row r="301" spans="4:32">
      <c r="D301" s="1"/>
      <c r="E301" s="1"/>
      <c r="P301" s="11"/>
      <c r="U301" s="11"/>
      <c r="X301" s="13">
        <f t="shared" si="33"/>
        <v>0</v>
      </c>
      <c r="Y301" s="2">
        <f t="shared" ca="1" si="28"/>
        <v>32133</v>
      </c>
      <c r="Z301" s="14">
        <v>1</v>
      </c>
      <c r="AA301" s="1" t="str">
        <f t="shared" ca="1" si="29"/>
        <v>VENCIDO</v>
      </c>
      <c r="AB301" s="1" t="str">
        <f t="shared" si="30"/>
        <v>TAAe+</v>
      </c>
      <c r="AC301" s="2">
        <f t="shared" si="34"/>
        <v>0</v>
      </c>
      <c r="AD301" s="2">
        <f t="shared" si="31"/>
        <v>8</v>
      </c>
      <c r="AE301" s="2">
        <f t="shared" ca="1" si="32"/>
        <v>-44986.676271643519</v>
      </c>
      <c r="AF301" s="15"/>
    </row>
    <row r="302" spans="4:32">
      <c r="D302" s="1"/>
      <c r="E302" s="1"/>
      <c r="P302" s="11"/>
      <c r="U302" s="11"/>
      <c r="X302" s="13">
        <f t="shared" si="33"/>
        <v>0</v>
      </c>
      <c r="Y302" s="2">
        <f t="shared" ca="1" si="28"/>
        <v>32133</v>
      </c>
      <c r="Z302" s="14">
        <v>1</v>
      </c>
      <c r="AA302" s="1" t="str">
        <f t="shared" ca="1" si="29"/>
        <v>VENCIDO</v>
      </c>
      <c r="AB302" s="1" t="str">
        <f t="shared" si="30"/>
        <v>TAAe+</v>
      </c>
      <c r="AC302" s="2">
        <f t="shared" si="34"/>
        <v>0</v>
      </c>
      <c r="AD302" s="2">
        <f t="shared" si="31"/>
        <v>8</v>
      </c>
      <c r="AE302" s="2">
        <f t="shared" ca="1" si="32"/>
        <v>-44986.676271643519</v>
      </c>
      <c r="AF302" s="15"/>
    </row>
    <row r="303" spans="4:32">
      <c r="D303" s="1"/>
      <c r="E303" s="1"/>
      <c r="P303" s="11"/>
      <c r="U303" s="11"/>
      <c r="X303" s="13">
        <f t="shared" si="33"/>
        <v>0</v>
      </c>
      <c r="Y303" s="2">
        <f t="shared" ca="1" si="28"/>
        <v>32133</v>
      </c>
      <c r="Z303" s="14">
        <v>1</v>
      </c>
      <c r="AA303" s="1" t="str">
        <f t="shared" ca="1" si="29"/>
        <v>VENCIDO</v>
      </c>
      <c r="AB303" s="1" t="str">
        <f t="shared" si="30"/>
        <v>TAAe+</v>
      </c>
      <c r="AC303" s="2">
        <f t="shared" si="34"/>
        <v>0</v>
      </c>
      <c r="AD303" s="2">
        <f t="shared" si="31"/>
        <v>8</v>
      </c>
      <c r="AE303" s="2">
        <f t="shared" ca="1" si="32"/>
        <v>-44986.676271643519</v>
      </c>
      <c r="AF303" s="15"/>
    </row>
    <row r="304" spans="4:32">
      <c r="D304" s="1"/>
      <c r="E304" s="1"/>
      <c r="P304" s="11"/>
      <c r="U304" s="11"/>
      <c r="X304" s="13">
        <f t="shared" si="33"/>
        <v>0</v>
      </c>
      <c r="Y304" s="2">
        <f t="shared" ca="1" si="28"/>
        <v>32133</v>
      </c>
      <c r="Z304" s="14">
        <v>1</v>
      </c>
      <c r="AA304" s="1" t="str">
        <f t="shared" ca="1" si="29"/>
        <v>VENCIDO</v>
      </c>
      <c r="AB304" s="1" t="str">
        <f t="shared" si="30"/>
        <v>TAAe+</v>
      </c>
      <c r="AC304" s="2">
        <f t="shared" si="34"/>
        <v>0</v>
      </c>
      <c r="AD304" s="2">
        <f t="shared" si="31"/>
        <v>8</v>
      </c>
      <c r="AE304" s="2">
        <f t="shared" ca="1" si="32"/>
        <v>-44986.676271643519</v>
      </c>
      <c r="AF304" s="15"/>
    </row>
    <row r="305" spans="3:32">
      <c r="D305" s="1"/>
      <c r="E305" s="1"/>
      <c r="P305" s="11"/>
      <c r="U305" s="11"/>
      <c r="X305" s="13">
        <f t="shared" si="33"/>
        <v>0</v>
      </c>
      <c r="Y305" s="2">
        <f t="shared" ca="1" si="28"/>
        <v>32133</v>
      </c>
      <c r="Z305" s="14">
        <v>1</v>
      </c>
      <c r="AA305" s="1" t="str">
        <f t="shared" ca="1" si="29"/>
        <v>VENCIDO</v>
      </c>
      <c r="AB305" s="1" t="str">
        <f t="shared" si="30"/>
        <v>TAAe+</v>
      </c>
      <c r="AC305" s="2">
        <f t="shared" si="34"/>
        <v>0</v>
      </c>
      <c r="AD305" s="2">
        <f t="shared" si="31"/>
        <v>8</v>
      </c>
      <c r="AE305" s="2">
        <f t="shared" ca="1" si="32"/>
        <v>-44986.676271643519</v>
      </c>
      <c r="AF305" s="15"/>
    </row>
    <row r="306" spans="3:32">
      <c r="D306" s="1"/>
      <c r="E306" s="1"/>
      <c r="P306" s="11"/>
      <c r="U306" s="11"/>
      <c r="X306" s="13">
        <f t="shared" si="33"/>
        <v>0</v>
      </c>
      <c r="Y306" s="2">
        <f t="shared" ca="1" si="28"/>
        <v>32133</v>
      </c>
      <c r="Z306" s="14">
        <v>1</v>
      </c>
      <c r="AA306" s="1" t="str">
        <f t="shared" ca="1" si="29"/>
        <v>VENCIDO</v>
      </c>
      <c r="AB306" s="1" t="str">
        <f t="shared" si="30"/>
        <v>TAAe+</v>
      </c>
      <c r="AC306" s="2">
        <f t="shared" si="34"/>
        <v>0</v>
      </c>
      <c r="AD306" s="2">
        <f t="shared" si="31"/>
        <v>8</v>
      </c>
      <c r="AE306" s="2">
        <f t="shared" ca="1" si="32"/>
        <v>-44986.676271643519</v>
      </c>
      <c r="AF306" s="15"/>
    </row>
    <row r="307" spans="3:32">
      <c r="D307" s="1"/>
      <c r="E307" s="1"/>
      <c r="P307" s="11"/>
      <c r="U307" s="11"/>
      <c r="X307" s="13">
        <f t="shared" si="33"/>
        <v>0</v>
      </c>
      <c r="Y307" s="2">
        <f t="shared" ca="1" si="28"/>
        <v>32133</v>
      </c>
      <c r="Z307" s="14">
        <v>1</v>
      </c>
      <c r="AA307" s="1" t="str">
        <f t="shared" ca="1" si="29"/>
        <v>VENCIDO</v>
      </c>
      <c r="AB307" s="1" t="str">
        <f t="shared" si="30"/>
        <v>TAAe+</v>
      </c>
      <c r="AC307" s="2">
        <f t="shared" si="34"/>
        <v>0</v>
      </c>
      <c r="AD307" s="2">
        <f t="shared" si="31"/>
        <v>8</v>
      </c>
      <c r="AE307" s="2">
        <f t="shared" ca="1" si="32"/>
        <v>-44986.676271643519</v>
      </c>
      <c r="AF307" s="15"/>
    </row>
    <row r="308" spans="3:32">
      <c r="D308" s="1"/>
      <c r="E308" s="1"/>
      <c r="P308" s="11"/>
      <c r="U308" s="11"/>
      <c r="X308" s="13">
        <f t="shared" si="33"/>
        <v>0</v>
      </c>
      <c r="Y308" s="2">
        <f t="shared" ca="1" si="28"/>
        <v>32133</v>
      </c>
      <c r="Z308" s="14">
        <v>1</v>
      </c>
      <c r="AA308" s="1" t="str">
        <f t="shared" ca="1" si="29"/>
        <v>VENCIDO</v>
      </c>
      <c r="AB308" s="1" t="str">
        <f t="shared" si="30"/>
        <v>TAAe+</v>
      </c>
      <c r="AC308" s="2">
        <f t="shared" si="34"/>
        <v>0</v>
      </c>
      <c r="AD308" s="2">
        <f t="shared" si="31"/>
        <v>8</v>
      </c>
      <c r="AE308" s="2">
        <f t="shared" ca="1" si="32"/>
        <v>-44986.676271643519</v>
      </c>
      <c r="AF308" s="15"/>
    </row>
    <row r="309" spans="3:32">
      <c r="D309" s="1"/>
      <c r="E309" s="1"/>
      <c r="P309" s="11"/>
      <c r="U309" s="11"/>
      <c r="X309" s="13">
        <f t="shared" si="33"/>
        <v>0</v>
      </c>
      <c r="Y309" s="2">
        <f t="shared" ca="1" si="28"/>
        <v>32133</v>
      </c>
      <c r="Z309" s="14">
        <v>1</v>
      </c>
      <c r="AA309" s="1" t="str">
        <f t="shared" ca="1" si="29"/>
        <v>VENCIDO</v>
      </c>
      <c r="AB309" s="1" t="str">
        <f t="shared" si="30"/>
        <v>TAAe+</v>
      </c>
      <c r="AC309" s="2">
        <f t="shared" si="34"/>
        <v>0</v>
      </c>
      <c r="AD309" s="2">
        <f t="shared" si="31"/>
        <v>8</v>
      </c>
      <c r="AE309" s="2">
        <f t="shared" ca="1" si="32"/>
        <v>-44986.676271643519</v>
      </c>
      <c r="AF309" s="15"/>
    </row>
    <row r="310" spans="3:32">
      <c r="D310" s="1"/>
      <c r="E310" s="1"/>
      <c r="P310" s="11"/>
      <c r="U310" s="11"/>
      <c r="X310" s="13">
        <f t="shared" si="33"/>
        <v>0</v>
      </c>
      <c r="Y310" s="2">
        <f t="shared" ca="1" si="28"/>
        <v>32133</v>
      </c>
      <c r="Z310" s="14">
        <v>1</v>
      </c>
      <c r="AA310" s="1" t="str">
        <f t="shared" ca="1" si="29"/>
        <v>VENCIDO</v>
      </c>
      <c r="AB310" s="1" t="str">
        <f t="shared" si="30"/>
        <v>TAAe+</v>
      </c>
      <c r="AC310" s="2">
        <f t="shared" si="34"/>
        <v>0</v>
      </c>
      <c r="AD310" s="2">
        <f t="shared" si="31"/>
        <v>8</v>
      </c>
      <c r="AE310" s="2">
        <f t="shared" ca="1" si="32"/>
        <v>-44986.676271643519</v>
      </c>
      <c r="AF310" s="15"/>
    </row>
    <row r="311" spans="3:32">
      <c r="D311" s="1"/>
      <c r="E311" s="1"/>
      <c r="P311" s="11"/>
      <c r="U311" s="11"/>
      <c r="X311" s="13">
        <f t="shared" si="33"/>
        <v>0</v>
      </c>
      <c r="Y311" s="2">
        <f t="shared" ca="1" si="28"/>
        <v>32133</v>
      </c>
      <c r="Z311" s="14">
        <v>1</v>
      </c>
      <c r="AA311" s="1" t="str">
        <f t="shared" ca="1" si="29"/>
        <v>VENCIDO</v>
      </c>
      <c r="AB311" s="1" t="str">
        <f t="shared" si="30"/>
        <v>TAAe+</v>
      </c>
      <c r="AC311" s="2">
        <f t="shared" si="34"/>
        <v>0</v>
      </c>
      <c r="AD311" s="2">
        <f t="shared" si="31"/>
        <v>8</v>
      </c>
      <c r="AE311" s="2">
        <f t="shared" ca="1" si="32"/>
        <v>-44986.676271643519</v>
      </c>
      <c r="AF311" s="15"/>
    </row>
    <row r="312" spans="3:32">
      <c r="D312" s="1"/>
      <c r="E312" s="1"/>
      <c r="P312" s="11"/>
      <c r="U312" s="11"/>
      <c r="X312" s="13">
        <f t="shared" si="33"/>
        <v>0</v>
      </c>
      <c r="Y312" s="2">
        <f t="shared" ca="1" si="28"/>
        <v>32133</v>
      </c>
      <c r="Z312" s="14">
        <v>1</v>
      </c>
      <c r="AA312" s="1" t="str">
        <f t="shared" ca="1" si="29"/>
        <v>VENCIDO</v>
      </c>
      <c r="AB312" s="1" t="str">
        <f t="shared" si="30"/>
        <v>TAAe+</v>
      </c>
      <c r="AC312" s="2">
        <f t="shared" si="34"/>
        <v>0</v>
      </c>
      <c r="AD312" s="2">
        <f t="shared" si="31"/>
        <v>8</v>
      </c>
      <c r="AE312" s="2">
        <f t="shared" ca="1" si="32"/>
        <v>-44986.676271643519</v>
      </c>
      <c r="AF312" s="15"/>
    </row>
    <row r="313" spans="3:32">
      <c r="C313" s="23"/>
      <c r="D313" s="1"/>
      <c r="E313" s="1"/>
      <c r="P313" s="11"/>
      <c r="U313" s="11"/>
      <c r="X313" s="13">
        <f t="shared" si="33"/>
        <v>0</v>
      </c>
      <c r="Y313" s="2">
        <f t="shared" ca="1" si="28"/>
        <v>32133</v>
      </c>
      <c r="Z313" s="14">
        <v>1</v>
      </c>
      <c r="AA313" s="1" t="str">
        <f t="shared" ca="1" si="29"/>
        <v>VENCIDO</v>
      </c>
      <c r="AB313" s="1" t="str">
        <f t="shared" si="30"/>
        <v>TAAe+</v>
      </c>
      <c r="AC313" s="2">
        <f t="shared" si="34"/>
        <v>0</v>
      </c>
      <c r="AD313" s="2">
        <f t="shared" si="31"/>
        <v>8</v>
      </c>
      <c r="AE313" s="2">
        <f t="shared" ca="1" si="32"/>
        <v>-44986.676271643519</v>
      </c>
      <c r="AF313" s="15"/>
    </row>
    <row r="314" spans="3:32">
      <c r="C314" s="23"/>
      <c r="D314" s="1"/>
      <c r="E314" s="1"/>
      <c r="P314" s="11"/>
      <c r="U314" s="11"/>
      <c r="X314" s="13">
        <f t="shared" si="33"/>
        <v>0</v>
      </c>
      <c r="Y314" s="2">
        <f t="shared" ca="1" si="28"/>
        <v>32133</v>
      </c>
      <c r="Z314" s="14">
        <v>1</v>
      </c>
      <c r="AA314" s="1" t="str">
        <f t="shared" ca="1" si="29"/>
        <v>VENCIDO</v>
      </c>
      <c r="AB314" s="1" t="str">
        <f t="shared" si="30"/>
        <v>TAAe+</v>
      </c>
      <c r="AC314" s="2">
        <f t="shared" si="34"/>
        <v>0</v>
      </c>
      <c r="AD314" s="2">
        <f t="shared" si="31"/>
        <v>8</v>
      </c>
      <c r="AE314" s="2">
        <f t="shared" ca="1" si="32"/>
        <v>-44986.676271643519</v>
      </c>
      <c r="AF314" s="15"/>
    </row>
    <row r="315" spans="3:32">
      <c r="D315" s="1"/>
      <c r="E315" s="1"/>
      <c r="P315" s="11"/>
      <c r="X315" s="13">
        <f t="shared" si="33"/>
        <v>0</v>
      </c>
      <c r="Y315" s="2">
        <f t="shared" ca="1" si="28"/>
        <v>32133</v>
      </c>
      <c r="Z315" s="14">
        <v>1</v>
      </c>
      <c r="AA315" s="1" t="str">
        <f t="shared" ca="1" si="29"/>
        <v>VENCIDO</v>
      </c>
      <c r="AB315" s="1" t="str">
        <f t="shared" si="30"/>
        <v>TAAe+</v>
      </c>
      <c r="AC315" s="2">
        <f t="shared" si="34"/>
        <v>0</v>
      </c>
      <c r="AD315" s="2">
        <f t="shared" si="31"/>
        <v>8</v>
      </c>
      <c r="AE315" s="2">
        <f t="shared" ca="1" si="32"/>
        <v>-44986.676271643519</v>
      </c>
      <c r="AF315" s="15"/>
    </row>
    <row r="316" spans="3:32">
      <c r="D316" s="1"/>
      <c r="E316" s="1"/>
      <c r="P316" s="11"/>
      <c r="X316" s="13">
        <f t="shared" si="33"/>
        <v>0</v>
      </c>
      <c r="Y316" s="2">
        <f t="shared" ca="1" si="28"/>
        <v>32133</v>
      </c>
      <c r="Z316" s="14">
        <v>1</v>
      </c>
      <c r="AA316" s="1" t="str">
        <f t="shared" ca="1" si="29"/>
        <v>VENCIDO</v>
      </c>
      <c r="AB316" s="1" t="str">
        <f t="shared" si="30"/>
        <v>TAAe+</v>
      </c>
      <c r="AC316" s="2">
        <f t="shared" si="34"/>
        <v>0</v>
      </c>
      <c r="AD316" s="2">
        <f t="shared" si="31"/>
        <v>8</v>
      </c>
      <c r="AE316" s="2">
        <f t="shared" ca="1" si="32"/>
        <v>-44986.676271643519</v>
      </c>
      <c r="AF316" s="15"/>
    </row>
    <row r="317" spans="3:32">
      <c r="D317" s="1"/>
      <c r="E317" s="1"/>
      <c r="P317" s="11"/>
      <c r="X317" s="13">
        <f t="shared" si="33"/>
        <v>0</v>
      </c>
      <c r="Y317" s="2">
        <f t="shared" ca="1" si="28"/>
        <v>32133</v>
      </c>
      <c r="Z317" s="14">
        <v>1</v>
      </c>
      <c r="AA317" s="1" t="str">
        <f t="shared" ca="1" si="29"/>
        <v>VENCIDO</v>
      </c>
      <c r="AB317" s="1" t="str">
        <f t="shared" si="30"/>
        <v>TAAe+</v>
      </c>
      <c r="AC317" s="2">
        <f t="shared" si="34"/>
        <v>0</v>
      </c>
      <c r="AD317" s="2">
        <f t="shared" si="31"/>
        <v>8</v>
      </c>
      <c r="AE317" s="2">
        <f t="shared" ca="1" si="32"/>
        <v>-44986.676271643519</v>
      </c>
      <c r="AF317" s="15"/>
    </row>
    <row r="318" spans="3:32">
      <c r="D318" s="1"/>
      <c r="E318" s="1"/>
      <c r="P318" s="11"/>
      <c r="X318" s="13">
        <f t="shared" si="33"/>
        <v>0</v>
      </c>
      <c r="Y318" s="2">
        <f t="shared" ca="1" si="28"/>
        <v>32133</v>
      </c>
      <c r="Z318" s="14">
        <v>1</v>
      </c>
      <c r="AA318" s="1" t="str">
        <f t="shared" ca="1" si="29"/>
        <v>VENCIDO</v>
      </c>
      <c r="AB318" s="1" t="str">
        <f t="shared" si="30"/>
        <v>TAAe+</v>
      </c>
      <c r="AC318" s="2">
        <f t="shared" si="34"/>
        <v>0</v>
      </c>
      <c r="AD318" s="2">
        <f t="shared" si="31"/>
        <v>8</v>
      </c>
      <c r="AE318" s="2">
        <f t="shared" ca="1" si="32"/>
        <v>-44986.676271643519</v>
      </c>
      <c r="AF318" s="15"/>
    </row>
    <row r="319" spans="3:32">
      <c r="D319" s="1"/>
      <c r="E319" s="1"/>
      <c r="P319" s="11"/>
      <c r="X319" s="13">
        <f t="shared" si="33"/>
        <v>0</v>
      </c>
      <c r="Y319" s="2">
        <f t="shared" ca="1" si="28"/>
        <v>32133</v>
      </c>
      <c r="Z319" s="14">
        <v>1</v>
      </c>
      <c r="AA319" s="1" t="str">
        <f t="shared" ca="1" si="29"/>
        <v>VENCIDO</v>
      </c>
      <c r="AB319" s="1" t="str">
        <f t="shared" si="30"/>
        <v>TAAe+</v>
      </c>
      <c r="AC319" s="2">
        <f t="shared" si="34"/>
        <v>0</v>
      </c>
      <c r="AD319" s="2">
        <f t="shared" si="31"/>
        <v>8</v>
      </c>
      <c r="AE319" s="2">
        <f t="shared" ca="1" si="32"/>
        <v>-44986.676271643519</v>
      </c>
      <c r="AF319" s="15"/>
    </row>
    <row r="320" spans="3:32">
      <c r="D320" s="1"/>
      <c r="E320" s="1"/>
      <c r="P320" s="11"/>
      <c r="X320" s="13">
        <f t="shared" si="33"/>
        <v>0</v>
      </c>
      <c r="Y320" s="2">
        <f t="shared" ca="1" si="28"/>
        <v>32133</v>
      </c>
      <c r="Z320" s="14">
        <v>1</v>
      </c>
      <c r="AA320" s="1" t="str">
        <f t="shared" ca="1" si="29"/>
        <v>VENCIDO</v>
      </c>
      <c r="AB320" s="1" t="str">
        <f t="shared" si="30"/>
        <v>TAAe+</v>
      </c>
      <c r="AC320" s="2">
        <f t="shared" si="34"/>
        <v>0</v>
      </c>
      <c r="AD320" s="2">
        <f t="shared" si="31"/>
        <v>8</v>
      </c>
      <c r="AE320" s="2">
        <f t="shared" ca="1" si="32"/>
        <v>-44986.676271643519</v>
      </c>
      <c r="AF320" s="15"/>
    </row>
    <row r="321" spans="3:32">
      <c r="D321" s="1"/>
      <c r="E321" s="1"/>
      <c r="P321" s="11"/>
      <c r="X321" s="13">
        <f t="shared" si="33"/>
        <v>0</v>
      </c>
      <c r="Y321" s="2">
        <f t="shared" ca="1" si="28"/>
        <v>32133</v>
      </c>
      <c r="Z321" s="14">
        <v>1</v>
      </c>
      <c r="AA321" s="1" t="str">
        <f t="shared" ca="1" si="29"/>
        <v>VENCIDO</v>
      </c>
      <c r="AB321" s="1" t="str">
        <f t="shared" si="30"/>
        <v>TAAe+</v>
      </c>
      <c r="AC321" s="2">
        <f t="shared" si="34"/>
        <v>0</v>
      </c>
      <c r="AD321" s="2">
        <f t="shared" si="31"/>
        <v>8</v>
      </c>
      <c r="AE321" s="2">
        <f t="shared" ca="1" si="32"/>
        <v>-44986.676271643519</v>
      </c>
      <c r="AF321" s="15"/>
    </row>
    <row r="322" spans="3:32">
      <c r="D322" s="1"/>
      <c r="E322" s="1"/>
      <c r="P322" s="11"/>
      <c r="X322" s="13">
        <f t="shared" si="33"/>
        <v>0</v>
      </c>
      <c r="Y322" s="2">
        <f t="shared" ref="Y322:Y385" ca="1" si="35">NETWORKDAYS(P322,$Y$1)</f>
        <v>32133</v>
      </c>
      <c r="Z322" s="14">
        <v>1</v>
      </c>
      <c r="AA322" s="1" t="str">
        <f t="shared" ref="AA322:AA385" ca="1" si="36">IF(AE322=0,"HOJE",IF(AE322&gt;0,"A VENCER",IF(AE322&lt;0,"VENCIDO")))</f>
        <v>VENCIDO</v>
      </c>
      <c r="AB322" s="1" t="str">
        <f t="shared" ref="AB322:AB385" si="37">IF(F322="GRPE-000001","C-14",IF(F322="GRPE-000002","C-14",IF(F322="GRPE-000003","C-14",IF(F322="GRPE-000004","SL-On",IF(F322="GRPE-000038","C-14",IF(F322="GRPE-900022","Dosa",IF(F322="GRPE-000029","Dosa",IF(F322="ATOS-000222","Dose","TAAe+"))))))))</f>
        <v>TAAe+</v>
      </c>
      <c r="AC322" s="2">
        <f t="shared" si="34"/>
        <v>0</v>
      </c>
      <c r="AD322" s="2">
        <f t="shared" ref="AD322:AD385" si="38">IF(F322="GRPE-000001",5,IF(F322="GRPE-000002",5,IF(F322="GRPE-000003",15,IF(F322="GRPE-000004",1,IF(F322="GRPE-000038",5,IF(F322="GRPE-900022",5,IF(F322="GRPE-000029",5,IF(F322="ATOS-000222",5,8))))))))</f>
        <v>8</v>
      </c>
      <c r="AE322" s="2">
        <f t="shared" ref="AE322:AE385" ca="1" si="39">IF(U322=$AE$1,"",U322-$AE$1)</f>
        <v>-44986.676271643519</v>
      </c>
      <c r="AF322" s="15"/>
    </row>
    <row r="323" spans="3:32">
      <c r="D323" s="1"/>
      <c r="E323" s="1"/>
      <c r="P323" s="11"/>
      <c r="X323" s="13">
        <f t="shared" ref="X323:X386" si="40">IF(RIGHT(H323,2)&lt;&gt;"00",H323,"")</f>
        <v>0</v>
      </c>
      <c r="Y323" s="2">
        <f t="shared" ca="1" si="35"/>
        <v>32133</v>
      </c>
      <c r="Z323" s="14">
        <v>1</v>
      </c>
      <c r="AA323" s="1" t="str">
        <f t="shared" ca="1" si="36"/>
        <v>VENCIDO</v>
      </c>
      <c r="AB323" s="1" t="str">
        <f t="shared" si="37"/>
        <v>TAAe+</v>
      </c>
      <c r="AC323" s="2">
        <f t="shared" ref="AC323:AC386" si="41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>0</v>
      </c>
      <c r="AD323" s="2">
        <f t="shared" si="38"/>
        <v>8</v>
      </c>
      <c r="AE323" s="2">
        <f t="shared" ca="1" si="39"/>
        <v>-44986.676271643519</v>
      </c>
      <c r="AF323" s="15"/>
    </row>
    <row r="324" spans="3:32">
      <c r="D324" s="1"/>
      <c r="E324" s="1"/>
      <c r="P324" s="11"/>
      <c r="U324" s="11"/>
      <c r="X324" s="13">
        <f t="shared" si="40"/>
        <v>0</v>
      </c>
      <c r="Y324" s="2">
        <f t="shared" ca="1" si="35"/>
        <v>32133</v>
      </c>
      <c r="Z324" s="14">
        <v>1</v>
      </c>
      <c r="AA324" s="1" t="str">
        <f t="shared" ca="1" si="36"/>
        <v>VENCIDO</v>
      </c>
      <c r="AB324" s="1" t="str">
        <f t="shared" si="37"/>
        <v>TAAe+</v>
      </c>
      <c r="AC324" s="2">
        <f t="shared" si="41"/>
        <v>0</v>
      </c>
      <c r="AD324" s="2">
        <f t="shared" si="38"/>
        <v>8</v>
      </c>
      <c r="AE324" s="2">
        <f t="shared" ca="1" si="39"/>
        <v>-44986.676271643519</v>
      </c>
      <c r="AF324" s="15"/>
    </row>
    <row r="325" spans="3:32">
      <c r="D325" s="1"/>
      <c r="E325" s="1"/>
      <c r="P325" s="11"/>
      <c r="X325" s="13">
        <f t="shared" si="40"/>
        <v>0</v>
      </c>
      <c r="Y325" s="2">
        <f t="shared" ca="1" si="35"/>
        <v>32133</v>
      </c>
      <c r="Z325" s="14">
        <v>1</v>
      </c>
      <c r="AA325" s="1" t="str">
        <f t="shared" ca="1" si="36"/>
        <v>VENCIDO</v>
      </c>
      <c r="AB325" s="1" t="str">
        <f t="shared" si="37"/>
        <v>TAAe+</v>
      </c>
      <c r="AC325" s="2">
        <f t="shared" si="41"/>
        <v>0</v>
      </c>
      <c r="AD325" s="2">
        <f t="shared" si="38"/>
        <v>8</v>
      </c>
      <c r="AE325" s="2">
        <f t="shared" ca="1" si="39"/>
        <v>-44986.676271643519</v>
      </c>
      <c r="AF325" s="15"/>
    </row>
    <row r="326" spans="3:32">
      <c r="D326" s="1"/>
      <c r="E326" s="1"/>
      <c r="P326" s="11"/>
      <c r="X326" s="13">
        <f t="shared" si="40"/>
        <v>0</v>
      </c>
      <c r="Y326" s="2">
        <f t="shared" ca="1" si="35"/>
        <v>32133</v>
      </c>
      <c r="Z326" s="14">
        <v>1</v>
      </c>
      <c r="AA326" s="1" t="str">
        <f t="shared" ca="1" si="36"/>
        <v>VENCIDO</v>
      </c>
      <c r="AB326" s="1" t="str">
        <f t="shared" si="37"/>
        <v>TAAe+</v>
      </c>
      <c r="AC326" s="2">
        <f t="shared" si="41"/>
        <v>0</v>
      </c>
      <c r="AD326" s="2">
        <f t="shared" si="38"/>
        <v>8</v>
      </c>
      <c r="AE326" s="2">
        <f t="shared" ca="1" si="39"/>
        <v>-44986.676271643519</v>
      </c>
      <c r="AF326" s="15"/>
    </row>
    <row r="327" spans="3:32">
      <c r="D327" s="1"/>
      <c r="E327" s="1"/>
      <c r="P327" s="11"/>
      <c r="U327" s="11"/>
      <c r="X327" s="13">
        <f t="shared" si="40"/>
        <v>0</v>
      </c>
      <c r="Y327" s="2">
        <f t="shared" ca="1" si="35"/>
        <v>32133</v>
      </c>
      <c r="Z327" s="14">
        <v>1</v>
      </c>
      <c r="AA327" s="1" t="str">
        <f t="shared" ca="1" si="36"/>
        <v>VENCIDO</v>
      </c>
      <c r="AB327" s="1" t="str">
        <f t="shared" si="37"/>
        <v>TAAe+</v>
      </c>
      <c r="AC327" s="2">
        <f t="shared" si="41"/>
        <v>0</v>
      </c>
      <c r="AD327" s="2">
        <f t="shared" si="38"/>
        <v>8</v>
      </c>
      <c r="AE327" s="2">
        <f t="shared" ca="1" si="39"/>
        <v>-44986.676271643519</v>
      </c>
      <c r="AF327" s="15"/>
    </row>
    <row r="328" spans="3:32">
      <c r="D328" s="1"/>
      <c r="E328" s="1"/>
      <c r="P328" s="11"/>
      <c r="U328" s="11"/>
      <c r="X328" s="13">
        <f t="shared" si="40"/>
        <v>0</v>
      </c>
      <c r="Y328" s="2">
        <f t="shared" ca="1" si="35"/>
        <v>32133</v>
      </c>
      <c r="Z328" s="14">
        <v>1</v>
      </c>
      <c r="AA328" s="1" t="str">
        <f t="shared" ca="1" si="36"/>
        <v>VENCIDO</v>
      </c>
      <c r="AB328" s="1" t="str">
        <f t="shared" si="37"/>
        <v>TAAe+</v>
      </c>
      <c r="AC328" s="2">
        <f t="shared" si="41"/>
        <v>0</v>
      </c>
      <c r="AD328" s="2">
        <f t="shared" si="38"/>
        <v>8</v>
      </c>
      <c r="AE328" s="2">
        <f t="shared" ca="1" si="39"/>
        <v>-44986.676271643519</v>
      </c>
      <c r="AF328" s="15"/>
    </row>
    <row r="329" spans="3:32">
      <c r="D329" s="1"/>
      <c r="E329" s="1"/>
      <c r="P329" s="11"/>
      <c r="U329" s="11"/>
      <c r="X329" s="13">
        <f t="shared" si="40"/>
        <v>0</v>
      </c>
      <c r="Y329" s="2">
        <f t="shared" ca="1" si="35"/>
        <v>32133</v>
      </c>
      <c r="Z329" s="14">
        <v>1</v>
      </c>
      <c r="AA329" s="1" t="str">
        <f t="shared" ca="1" si="36"/>
        <v>VENCIDO</v>
      </c>
      <c r="AB329" s="1" t="str">
        <f t="shared" si="37"/>
        <v>TAAe+</v>
      </c>
      <c r="AC329" s="2">
        <f t="shared" si="41"/>
        <v>0</v>
      </c>
      <c r="AD329" s="2">
        <f t="shared" si="38"/>
        <v>8</v>
      </c>
      <c r="AE329" s="2">
        <f t="shared" ca="1" si="39"/>
        <v>-44986.676271643519</v>
      </c>
      <c r="AF329" s="15"/>
    </row>
    <row r="330" spans="3:32">
      <c r="D330" s="1"/>
      <c r="E330" s="1"/>
      <c r="P330" s="11"/>
      <c r="U330" s="11"/>
      <c r="X330" s="13">
        <f t="shared" si="40"/>
        <v>0</v>
      </c>
      <c r="Y330" s="2">
        <f t="shared" ca="1" si="35"/>
        <v>32133</v>
      </c>
      <c r="Z330" s="14">
        <v>1</v>
      </c>
      <c r="AA330" s="1" t="str">
        <f t="shared" ca="1" si="36"/>
        <v>VENCIDO</v>
      </c>
      <c r="AB330" s="1" t="str">
        <f t="shared" si="37"/>
        <v>TAAe+</v>
      </c>
      <c r="AC330" s="2">
        <f t="shared" si="41"/>
        <v>0</v>
      </c>
      <c r="AD330" s="2">
        <f t="shared" si="38"/>
        <v>8</v>
      </c>
      <c r="AE330" s="2">
        <f t="shared" ca="1" si="39"/>
        <v>-44986.676271643519</v>
      </c>
      <c r="AF330" s="15"/>
    </row>
    <row r="331" spans="3:32">
      <c r="D331" s="1"/>
      <c r="E331" s="1"/>
      <c r="P331" s="11"/>
      <c r="U331" s="11"/>
      <c r="X331" s="13">
        <f t="shared" si="40"/>
        <v>0</v>
      </c>
      <c r="Y331" s="2">
        <f t="shared" ca="1" si="35"/>
        <v>32133</v>
      </c>
      <c r="Z331" s="14">
        <v>1</v>
      </c>
      <c r="AA331" s="1" t="str">
        <f t="shared" ca="1" si="36"/>
        <v>VENCIDO</v>
      </c>
      <c r="AB331" s="1" t="str">
        <f t="shared" si="37"/>
        <v>TAAe+</v>
      </c>
      <c r="AC331" s="2">
        <f t="shared" si="41"/>
        <v>0</v>
      </c>
      <c r="AD331" s="2">
        <f t="shared" si="38"/>
        <v>8</v>
      </c>
      <c r="AE331" s="2">
        <f t="shared" ca="1" si="39"/>
        <v>-44986.676271643519</v>
      </c>
      <c r="AF331" s="15"/>
    </row>
    <row r="332" spans="3:32">
      <c r="D332" s="1"/>
      <c r="E332" s="1"/>
      <c r="P332" s="11"/>
      <c r="U332" s="11"/>
      <c r="X332" s="13">
        <f t="shared" si="40"/>
        <v>0</v>
      </c>
      <c r="Y332" s="2">
        <f t="shared" ca="1" si="35"/>
        <v>32133</v>
      </c>
      <c r="Z332" s="14">
        <v>1</v>
      </c>
      <c r="AA332" s="1" t="str">
        <f t="shared" ca="1" si="36"/>
        <v>VENCIDO</v>
      </c>
      <c r="AB332" s="1" t="str">
        <f t="shared" si="37"/>
        <v>TAAe+</v>
      </c>
      <c r="AC332" s="2">
        <f t="shared" si="41"/>
        <v>0</v>
      </c>
      <c r="AD332" s="2">
        <f t="shared" si="38"/>
        <v>8</v>
      </c>
      <c r="AE332" s="2">
        <f t="shared" ca="1" si="39"/>
        <v>-44986.676271643519</v>
      </c>
      <c r="AF332" s="15"/>
    </row>
    <row r="333" spans="3:32">
      <c r="D333" s="1"/>
      <c r="E333" s="1"/>
      <c r="P333" s="11"/>
      <c r="U333" s="11"/>
      <c r="X333" s="13">
        <f t="shared" si="40"/>
        <v>0</v>
      </c>
      <c r="Y333" s="2">
        <f t="shared" ca="1" si="35"/>
        <v>32133</v>
      </c>
      <c r="Z333" s="14">
        <v>1</v>
      </c>
      <c r="AA333" s="1" t="str">
        <f t="shared" ca="1" si="36"/>
        <v>VENCIDO</v>
      </c>
      <c r="AB333" s="1" t="str">
        <f t="shared" si="37"/>
        <v>TAAe+</v>
      </c>
      <c r="AC333" s="2">
        <f t="shared" si="41"/>
        <v>0</v>
      </c>
      <c r="AD333" s="2">
        <f t="shared" si="38"/>
        <v>8</v>
      </c>
      <c r="AE333" s="2">
        <f t="shared" ca="1" si="39"/>
        <v>-44986.676271643519</v>
      </c>
      <c r="AF333" s="15"/>
    </row>
    <row r="334" spans="3:32">
      <c r="C334" s="23"/>
      <c r="D334" s="1"/>
      <c r="E334" s="1"/>
      <c r="P334" s="11"/>
      <c r="U334" s="11"/>
      <c r="X334" s="13">
        <f t="shared" si="40"/>
        <v>0</v>
      </c>
      <c r="Y334" s="2">
        <f t="shared" ca="1" si="35"/>
        <v>32133</v>
      </c>
      <c r="Z334" s="14">
        <v>1</v>
      </c>
      <c r="AA334" s="1" t="str">
        <f t="shared" ca="1" si="36"/>
        <v>VENCIDO</v>
      </c>
      <c r="AB334" s="1" t="str">
        <f t="shared" si="37"/>
        <v>TAAe+</v>
      </c>
      <c r="AC334" s="2">
        <f t="shared" si="41"/>
        <v>0</v>
      </c>
      <c r="AD334" s="2">
        <f t="shared" si="38"/>
        <v>8</v>
      </c>
      <c r="AE334" s="2">
        <f t="shared" ca="1" si="39"/>
        <v>-44986.676271643519</v>
      </c>
      <c r="AF334" s="15"/>
    </row>
    <row r="335" spans="3:32">
      <c r="D335" s="1"/>
      <c r="E335" s="1"/>
      <c r="P335" s="11"/>
      <c r="U335" s="11"/>
      <c r="X335" s="13">
        <f t="shared" si="40"/>
        <v>0</v>
      </c>
      <c r="Y335" s="2">
        <f t="shared" ca="1" si="35"/>
        <v>32133</v>
      </c>
      <c r="Z335" s="14">
        <v>1</v>
      </c>
      <c r="AA335" s="1" t="str">
        <f t="shared" ca="1" si="36"/>
        <v>VENCIDO</v>
      </c>
      <c r="AB335" s="1" t="str">
        <f t="shared" si="37"/>
        <v>TAAe+</v>
      </c>
      <c r="AC335" s="2">
        <f t="shared" si="41"/>
        <v>0</v>
      </c>
      <c r="AD335" s="2">
        <f t="shared" si="38"/>
        <v>8</v>
      </c>
      <c r="AE335" s="2">
        <f t="shared" ca="1" si="39"/>
        <v>-44986.676271643519</v>
      </c>
      <c r="AF335" s="15"/>
    </row>
    <row r="336" spans="3:32">
      <c r="D336" s="1"/>
      <c r="E336" s="1"/>
      <c r="P336" s="11"/>
      <c r="U336" s="11"/>
      <c r="X336" s="13">
        <f t="shared" si="40"/>
        <v>0</v>
      </c>
      <c r="Y336" s="2">
        <f t="shared" ca="1" si="35"/>
        <v>32133</v>
      </c>
      <c r="Z336" s="14">
        <v>1</v>
      </c>
      <c r="AA336" s="1" t="str">
        <f t="shared" ca="1" si="36"/>
        <v>VENCIDO</v>
      </c>
      <c r="AB336" s="1" t="str">
        <f t="shared" si="37"/>
        <v>TAAe+</v>
      </c>
      <c r="AC336" s="2">
        <f t="shared" si="41"/>
        <v>0</v>
      </c>
      <c r="AD336" s="2">
        <f t="shared" si="38"/>
        <v>8</v>
      </c>
      <c r="AE336" s="2">
        <f t="shared" ca="1" si="39"/>
        <v>-44986.676271643519</v>
      </c>
      <c r="AF336" s="15"/>
    </row>
    <row r="337" spans="3:32">
      <c r="D337" s="1"/>
      <c r="E337" s="1"/>
      <c r="P337" s="11"/>
      <c r="U337" s="11"/>
      <c r="X337" s="13">
        <f t="shared" si="40"/>
        <v>0</v>
      </c>
      <c r="Y337" s="2">
        <f t="shared" ca="1" si="35"/>
        <v>32133</v>
      </c>
      <c r="Z337" s="14">
        <v>1</v>
      </c>
      <c r="AA337" s="1" t="str">
        <f t="shared" ca="1" si="36"/>
        <v>VENCIDO</v>
      </c>
      <c r="AB337" s="1" t="str">
        <f t="shared" si="37"/>
        <v>TAAe+</v>
      </c>
      <c r="AC337" s="2">
        <f t="shared" si="41"/>
        <v>0</v>
      </c>
      <c r="AD337" s="2">
        <f t="shared" si="38"/>
        <v>8</v>
      </c>
      <c r="AE337" s="2">
        <f t="shared" ca="1" si="39"/>
        <v>-44986.676271643519</v>
      </c>
      <c r="AF337" s="15"/>
    </row>
    <row r="338" spans="3:32">
      <c r="D338" s="1"/>
      <c r="E338" s="1"/>
      <c r="P338" s="11"/>
      <c r="U338" s="11"/>
      <c r="X338" s="13">
        <f t="shared" si="40"/>
        <v>0</v>
      </c>
      <c r="Y338" s="2">
        <f t="shared" ca="1" si="35"/>
        <v>32133</v>
      </c>
      <c r="Z338" s="14">
        <v>1</v>
      </c>
      <c r="AA338" s="1" t="str">
        <f t="shared" ca="1" si="36"/>
        <v>VENCIDO</v>
      </c>
      <c r="AB338" s="1" t="str">
        <f t="shared" si="37"/>
        <v>TAAe+</v>
      </c>
      <c r="AC338" s="2">
        <f t="shared" si="41"/>
        <v>0</v>
      </c>
      <c r="AD338" s="2">
        <f t="shared" si="38"/>
        <v>8</v>
      </c>
      <c r="AE338" s="2">
        <f t="shared" ca="1" si="39"/>
        <v>-44986.676271643519</v>
      </c>
      <c r="AF338" s="15"/>
    </row>
    <row r="339" spans="3:32">
      <c r="D339" s="1"/>
      <c r="E339" s="1"/>
      <c r="P339" s="11"/>
      <c r="U339" s="11"/>
      <c r="X339" s="13">
        <f t="shared" si="40"/>
        <v>0</v>
      </c>
      <c r="Y339" s="2">
        <f t="shared" ca="1" si="35"/>
        <v>32133</v>
      </c>
      <c r="Z339" s="14">
        <v>1</v>
      </c>
      <c r="AA339" s="1" t="str">
        <f t="shared" ca="1" si="36"/>
        <v>VENCIDO</v>
      </c>
      <c r="AB339" s="1" t="str">
        <f t="shared" si="37"/>
        <v>TAAe+</v>
      </c>
      <c r="AC339" s="2">
        <f t="shared" si="41"/>
        <v>0</v>
      </c>
      <c r="AD339" s="2">
        <f t="shared" si="38"/>
        <v>8</v>
      </c>
      <c r="AE339" s="2">
        <f t="shared" ca="1" si="39"/>
        <v>-44986.676271643519</v>
      </c>
      <c r="AF339" s="15"/>
    </row>
    <row r="340" spans="3:32">
      <c r="D340" s="1"/>
      <c r="E340" s="1"/>
      <c r="P340" s="11"/>
      <c r="U340" s="11"/>
      <c r="X340" s="13">
        <f t="shared" si="40"/>
        <v>0</v>
      </c>
      <c r="Y340" s="2">
        <f t="shared" ca="1" si="35"/>
        <v>32133</v>
      </c>
      <c r="Z340" s="14">
        <v>1</v>
      </c>
      <c r="AA340" s="1" t="str">
        <f t="shared" ca="1" si="36"/>
        <v>VENCIDO</v>
      </c>
      <c r="AB340" s="1" t="str">
        <f t="shared" si="37"/>
        <v>TAAe+</v>
      </c>
      <c r="AC340" s="2">
        <f t="shared" si="41"/>
        <v>0</v>
      </c>
      <c r="AD340" s="2">
        <f t="shared" si="38"/>
        <v>8</v>
      </c>
      <c r="AE340" s="2">
        <f t="shared" ca="1" si="39"/>
        <v>-44986.676271643519</v>
      </c>
      <c r="AF340" s="15"/>
    </row>
    <row r="341" spans="3:32">
      <c r="D341" s="1"/>
      <c r="E341" s="1"/>
      <c r="P341" s="11"/>
      <c r="U341" s="11"/>
      <c r="X341" s="13">
        <f t="shared" si="40"/>
        <v>0</v>
      </c>
      <c r="Y341" s="2">
        <f t="shared" ca="1" si="35"/>
        <v>32133</v>
      </c>
      <c r="Z341" s="14">
        <v>1</v>
      </c>
      <c r="AA341" s="1" t="str">
        <f t="shared" ca="1" si="36"/>
        <v>VENCIDO</v>
      </c>
      <c r="AB341" s="1" t="str">
        <f t="shared" si="37"/>
        <v>TAAe+</v>
      </c>
      <c r="AC341" s="2">
        <f t="shared" si="41"/>
        <v>0</v>
      </c>
      <c r="AD341" s="2">
        <f t="shared" si="38"/>
        <v>8</v>
      </c>
      <c r="AE341" s="2">
        <f t="shared" ca="1" si="39"/>
        <v>-44986.676271643519</v>
      </c>
      <c r="AF341" s="15"/>
    </row>
    <row r="342" spans="3:32">
      <c r="D342" s="1"/>
      <c r="E342" s="1"/>
      <c r="P342" s="11"/>
      <c r="U342" s="11"/>
      <c r="X342" s="13">
        <f t="shared" si="40"/>
        <v>0</v>
      </c>
      <c r="Y342" s="2">
        <f t="shared" ca="1" si="35"/>
        <v>32133</v>
      </c>
      <c r="Z342" s="14">
        <v>1</v>
      </c>
      <c r="AA342" s="1" t="str">
        <f t="shared" ca="1" si="36"/>
        <v>VENCIDO</v>
      </c>
      <c r="AB342" s="1" t="str">
        <f t="shared" si="37"/>
        <v>TAAe+</v>
      </c>
      <c r="AC342" s="2">
        <f t="shared" si="41"/>
        <v>0</v>
      </c>
      <c r="AD342" s="2">
        <f t="shared" si="38"/>
        <v>8</v>
      </c>
      <c r="AE342" s="2">
        <f t="shared" ca="1" si="39"/>
        <v>-44986.676271643519</v>
      </c>
      <c r="AF342" s="15"/>
    </row>
    <row r="343" spans="3:32">
      <c r="D343" s="1"/>
      <c r="E343" s="1"/>
      <c r="P343" s="11"/>
      <c r="U343" s="11"/>
      <c r="X343" s="13">
        <f t="shared" si="40"/>
        <v>0</v>
      </c>
      <c r="Y343" s="2">
        <f t="shared" ca="1" si="35"/>
        <v>32133</v>
      </c>
      <c r="Z343" s="14">
        <v>1</v>
      </c>
      <c r="AA343" s="1" t="str">
        <f t="shared" ca="1" si="36"/>
        <v>VENCIDO</v>
      </c>
      <c r="AB343" s="1" t="str">
        <f t="shared" si="37"/>
        <v>TAAe+</v>
      </c>
      <c r="AC343" s="2">
        <f t="shared" si="41"/>
        <v>0</v>
      </c>
      <c r="AD343" s="2">
        <f t="shared" si="38"/>
        <v>8</v>
      </c>
      <c r="AE343" s="2">
        <f t="shared" ca="1" si="39"/>
        <v>-44986.676271643519</v>
      </c>
      <c r="AF343" s="15"/>
    </row>
    <row r="344" spans="3:32">
      <c r="D344" s="1"/>
      <c r="E344" s="1"/>
      <c r="P344" s="11"/>
      <c r="U344" s="11"/>
      <c r="X344" s="13">
        <f t="shared" si="40"/>
        <v>0</v>
      </c>
      <c r="Y344" s="2">
        <f t="shared" ca="1" si="35"/>
        <v>32133</v>
      </c>
      <c r="Z344" s="14">
        <v>1</v>
      </c>
      <c r="AA344" s="1" t="str">
        <f t="shared" ca="1" si="36"/>
        <v>VENCIDO</v>
      </c>
      <c r="AB344" s="1" t="str">
        <f t="shared" si="37"/>
        <v>TAAe+</v>
      </c>
      <c r="AC344" s="2">
        <f t="shared" si="41"/>
        <v>0</v>
      </c>
      <c r="AD344" s="2">
        <f t="shared" si="38"/>
        <v>8</v>
      </c>
      <c r="AE344" s="2">
        <f t="shared" ca="1" si="39"/>
        <v>-44986.676271643519</v>
      </c>
      <c r="AF344" s="15"/>
    </row>
    <row r="345" spans="3:32">
      <c r="D345" s="1"/>
      <c r="E345" s="1"/>
      <c r="P345" s="11"/>
      <c r="U345" s="11"/>
      <c r="X345" s="13">
        <f t="shared" si="40"/>
        <v>0</v>
      </c>
      <c r="Y345" s="2">
        <f t="shared" ca="1" si="35"/>
        <v>32133</v>
      </c>
      <c r="Z345" s="14">
        <v>1</v>
      </c>
      <c r="AA345" s="1" t="str">
        <f t="shared" ca="1" si="36"/>
        <v>VENCIDO</v>
      </c>
      <c r="AB345" s="1" t="str">
        <f t="shared" si="37"/>
        <v>TAAe+</v>
      </c>
      <c r="AC345" s="2">
        <f t="shared" si="41"/>
        <v>0</v>
      </c>
      <c r="AD345" s="2">
        <f t="shared" si="38"/>
        <v>8</v>
      </c>
      <c r="AE345" s="2">
        <f t="shared" ca="1" si="39"/>
        <v>-44986.676271643519</v>
      </c>
      <c r="AF345" s="15"/>
    </row>
    <row r="346" spans="3:32">
      <c r="D346" s="1"/>
      <c r="E346" s="1"/>
      <c r="P346" s="11"/>
      <c r="X346" s="13">
        <f t="shared" si="40"/>
        <v>0</v>
      </c>
      <c r="Y346" s="2">
        <f t="shared" ca="1" si="35"/>
        <v>32133</v>
      </c>
      <c r="Z346" s="14">
        <v>1</v>
      </c>
      <c r="AA346" s="1" t="str">
        <f t="shared" ca="1" si="36"/>
        <v>VENCIDO</v>
      </c>
      <c r="AB346" s="1" t="str">
        <f t="shared" si="37"/>
        <v>TAAe+</v>
      </c>
      <c r="AC346" s="2">
        <f t="shared" si="41"/>
        <v>0</v>
      </c>
      <c r="AD346" s="2">
        <f t="shared" si="38"/>
        <v>8</v>
      </c>
      <c r="AE346" s="2">
        <f t="shared" ca="1" si="39"/>
        <v>-44986.676271643519</v>
      </c>
      <c r="AF346" s="15"/>
    </row>
    <row r="347" spans="3:32">
      <c r="D347" s="1"/>
      <c r="E347" s="1"/>
      <c r="P347" s="11"/>
      <c r="X347" s="13">
        <f t="shared" si="40"/>
        <v>0</v>
      </c>
      <c r="Y347" s="2">
        <f t="shared" ca="1" si="35"/>
        <v>32133</v>
      </c>
      <c r="Z347" s="14">
        <v>1</v>
      </c>
      <c r="AA347" s="1" t="str">
        <f t="shared" ca="1" si="36"/>
        <v>VENCIDO</v>
      </c>
      <c r="AB347" s="1" t="str">
        <f t="shared" si="37"/>
        <v>TAAe+</v>
      </c>
      <c r="AC347" s="2">
        <f t="shared" si="41"/>
        <v>0</v>
      </c>
      <c r="AD347" s="2">
        <f t="shared" si="38"/>
        <v>8</v>
      </c>
      <c r="AE347" s="2">
        <f t="shared" ca="1" si="39"/>
        <v>-44986.676271643519</v>
      </c>
      <c r="AF347" s="15"/>
    </row>
    <row r="348" spans="3:32">
      <c r="D348" s="1"/>
      <c r="E348" s="1"/>
      <c r="P348" s="11"/>
      <c r="X348" s="13">
        <f t="shared" si="40"/>
        <v>0</v>
      </c>
      <c r="Y348" s="2">
        <f t="shared" ca="1" si="35"/>
        <v>32133</v>
      </c>
      <c r="Z348" s="14">
        <v>1</v>
      </c>
      <c r="AA348" s="1" t="str">
        <f t="shared" ca="1" si="36"/>
        <v>VENCIDO</v>
      </c>
      <c r="AB348" s="1" t="str">
        <f t="shared" si="37"/>
        <v>TAAe+</v>
      </c>
      <c r="AC348" s="2">
        <f t="shared" si="41"/>
        <v>0</v>
      </c>
      <c r="AD348" s="2">
        <f t="shared" si="38"/>
        <v>8</v>
      </c>
      <c r="AE348" s="2">
        <f t="shared" ca="1" si="39"/>
        <v>-44986.676271643519</v>
      </c>
      <c r="AF348" s="15"/>
    </row>
    <row r="349" spans="3:32">
      <c r="D349" s="1"/>
      <c r="E349" s="1"/>
      <c r="P349" s="11"/>
      <c r="X349" s="13">
        <f t="shared" si="40"/>
        <v>0</v>
      </c>
      <c r="Y349" s="2">
        <f t="shared" ca="1" si="35"/>
        <v>32133</v>
      </c>
      <c r="Z349" s="14">
        <v>1</v>
      </c>
      <c r="AA349" s="1" t="str">
        <f t="shared" ca="1" si="36"/>
        <v>VENCIDO</v>
      </c>
      <c r="AB349" s="1" t="str">
        <f t="shared" si="37"/>
        <v>TAAe+</v>
      </c>
      <c r="AC349" s="2">
        <f t="shared" si="41"/>
        <v>0</v>
      </c>
      <c r="AD349" s="2">
        <f t="shared" si="38"/>
        <v>8</v>
      </c>
      <c r="AE349" s="2">
        <f t="shared" ca="1" si="39"/>
        <v>-44986.676271643519</v>
      </c>
      <c r="AF349" s="15"/>
    </row>
    <row r="350" spans="3:32">
      <c r="D350" s="1"/>
      <c r="E350" s="1"/>
      <c r="P350" s="11"/>
      <c r="X350" s="13">
        <f t="shared" si="40"/>
        <v>0</v>
      </c>
      <c r="Y350" s="2">
        <f t="shared" ca="1" si="35"/>
        <v>32133</v>
      </c>
      <c r="Z350" s="14">
        <v>1</v>
      </c>
      <c r="AA350" s="1" t="str">
        <f t="shared" ca="1" si="36"/>
        <v>VENCIDO</v>
      </c>
      <c r="AB350" s="1" t="str">
        <f t="shared" si="37"/>
        <v>TAAe+</v>
      </c>
      <c r="AC350" s="2">
        <f t="shared" si="41"/>
        <v>0</v>
      </c>
      <c r="AD350" s="2">
        <f t="shared" si="38"/>
        <v>8</v>
      </c>
      <c r="AE350" s="2">
        <f t="shared" ca="1" si="39"/>
        <v>-44986.676271643519</v>
      </c>
      <c r="AF350" s="15"/>
    </row>
    <row r="351" spans="3:32">
      <c r="C351" s="23"/>
      <c r="D351" s="1"/>
      <c r="E351" s="1"/>
      <c r="P351" s="11"/>
      <c r="X351" s="13">
        <f t="shared" si="40"/>
        <v>0</v>
      </c>
      <c r="Y351" s="2">
        <f t="shared" ca="1" si="35"/>
        <v>32133</v>
      </c>
      <c r="Z351" s="14">
        <v>1</v>
      </c>
      <c r="AA351" s="1" t="str">
        <f t="shared" ca="1" si="36"/>
        <v>VENCIDO</v>
      </c>
      <c r="AB351" s="1" t="str">
        <f t="shared" si="37"/>
        <v>TAAe+</v>
      </c>
      <c r="AC351" s="2">
        <f t="shared" si="41"/>
        <v>0</v>
      </c>
      <c r="AD351" s="2">
        <f t="shared" si="38"/>
        <v>8</v>
      </c>
      <c r="AE351" s="2">
        <f t="shared" ca="1" si="39"/>
        <v>-44986.676271643519</v>
      </c>
      <c r="AF351" s="15"/>
    </row>
    <row r="352" spans="3:32">
      <c r="D352" s="1"/>
      <c r="E352" s="1"/>
      <c r="P352" s="11"/>
      <c r="X352" s="13">
        <f t="shared" si="40"/>
        <v>0</v>
      </c>
      <c r="Y352" s="2">
        <f t="shared" ca="1" si="35"/>
        <v>32133</v>
      </c>
      <c r="Z352" s="14">
        <v>1</v>
      </c>
      <c r="AA352" s="1" t="str">
        <f t="shared" ca="1" si="36"/>
        <v>VENCIDO</v>
      </c>
      <c r="AB352" s="1" t="str">
        <f t="shared" si="37"/>
        <v>TAAe+</v>
      </c>
      <c r="AC352" s="2">
        <f t="shared" si="41"/>
        <v>0</v>
      </c>
      <c r="AD352" s="2">
        <f t="shared" si="38"/>
        <v>8</v>
      </c>
      <c r="AE352" s="2">
        <f t="shared" ca="1" si="39"/>
        <v>-44986.676271643519</v>
      </c>
      <c r="AF352" s="15"/>
    </row>
    <row r="353" spans="4:32">
      <c r="D353" s="1"/>
      <c r="E353" s="1"/>
      <c r="P353" s="11"/>
      <c r="U353" s="11"/>
      <c r="X353" s="13">
        <f t="shared" si="40"/>
        <v>0</v>
      </c>
      <c r="Y353" s="2">
        <f t="shared" ca="1" si="35"/>
        <v>32133</v>
      </c>
      <c r="Z353" s="14">
        <v>1</v>
      </c>
      <c r="AA353" s="1" t="str">
        <f t="shared" ca="1" si="36"/>
        <v>VENCIDO</v>
      </c>
      <c r="AB353" s="1" t="str">
        <f t="shared" si="37"/>
        <v>TAAe+</v>
      </c>
      <c r="AC353" s="2">
        <f t="shared" si="41"/>
        <v>0</v>
      </c>
      <c r="AD353" s="2">
        <f t="shared" si="38"/>
        <v>8</v>
      </c>
      <c r="AE353" s="2">
        <f t="shared" ca="1" si="39"/>
        <v>-44986.676271643519</v>
      </c>
      <c r="AF353" s="15"/>
    </row>
    <row r="354" spans="4:32">
      <c r="D354" s="1"/>
      <c r="E354" s="1"/>
      <c r="P354" s="11"/>
      <c r="U354" s="11"/>
      <c r="X354" s="13">
        <f t="shared" si="40"/>
        <v>0</v>
      </c>
      <c r="Y354" s="2">
        <f t="shared" ca="1" si="35"/>
        <v>32133</v>
      </c>
      <c r="Z354" s="14">
        <v>1</v>
      </c>
      <c r="AA354" s="1" t="str">
        <f t="shared" ca="1" si="36"/>
        <v>VENCIDO</v>
      </c>
      <c r="AB354" s="1" t="str">
        <f t="shared" si="37"/>
        <v>TAAe+</v>
      </c>
      <c r="AC354" s="2">
        <f t="shared" si="41"/>
        <v>0</v>
      </c>
      <c r="AD354" s="2">
        <f t="shared" si="38"/>
        <v>8</v>
      </c>
      <c r="AE354" s="2">
        <f t="shared" ca="1" si="39"/>
        <v>-44986.676271643519</v>
      </c>
      <c r="AF354" s="15"/>
    </row>
    <row r="355" spans="4:32">
      <c r="D355" s="1"/>
      <c r="E355" s="1"/>
      <c r="P355" s="11"/>
      <c r="U355" s="11"/>
      <c r="X355" s="13">
        <f t="shared" si="40"/>
        <v>0</v>
      </c>
      <c r="Y355" s="2">
        <f t="shared" ca="1" si="35"/>
        <v>32133</v>
      </c>
      <c r="Z355" s="14">
        <v>1</v>
      </c>
      <c r="AA355" s="1" t="str">
        <f t="shared" ca="1" si="36"/>
        <v>VENCIDO</v>
      </c>
      <c r="AB355" s="1" t="str">
        <f t="shared" si="37"/>
        <v>TAAe+</v>
      </c>
      <c r="AC355" s="2">
        <f t="shared" si="41"/>
        <v>0</v>
      </c>
      <c r="AD355" s="2">
        <f t="shared" si="38"/>
        <v>8</v>
      </c>
      <c r="AE355" s="2">
        <f t="shared" ca="1" si="39"/>
        <v>-44986.676271643519</v>
      </c>
      <c r="AF355" s="15"/>
    </row>
    <row r="356" spans="4:32">
      <c r="D356" s="1"/>
      <c r="E356" s="1"/>
      <c r="P356" s="11"/>
      <c r="U356" s="11"/>
      <c r="X356" s="13">
        <f t="shared" si="40"/>
        <v>0</v>
      </c>
      <c r="Y356" s="2">
        <f t="shared" ca="1" si="35"/>
        <v>32133</v>
      </c>
      <c r="Z356" s="14">
        <v>1</v>
      </c>
      <c r="AA356" s="1" t="str">
        <f t="shared" ca="1" si="36"/>
        <v>VENCIDO</v>
      </c>
      <c r="AB356" s="1" t="str">
        <f t="shared" si="37"/>
        <v>TAAe+</v>
      </c>
      <c r="AC356" s="2">
        <f t="shared" si="41"/>
        <v>0</v>
      </c>
      <c r="AD356" s="2">
        <f t="shared" si="38"/>
        <v>8</v>
      </c>
      <c r="AE356" s="2">
        <f t="shared" ca="1" si="39"/>
        <v>-44986.676271643519</v>
      </c>
      <c r="AF356" s="15"/>
    </row>
    <row r="357" spans="4:32">
      <c r="D357" s="1"/>
      <c r="E357" s="1"/>
      <c r="P357" s="11"/>
      <c r="U357" s="11"/>
      <c r="X357" s="13">
        <f t="shared" si="40"/>
        <v>0</v>
      </c>
      <c r="Y357" s="2">
        <f t="shared" ca="1" si="35"/>
        <v>32133</v>
      </c>
      <c r="Z357" s="14">
        <v>1</v>
      </c>
      <c r="AA357" s="1" t="str">
        <f t="shared" ca="1" si="36"/>
        <v>VENCIDO</v>
      </c>
      <c r="AB357" s="1" t="str">
        <f t="shared" si="37"/>
        <v>TAAe+</v>
      </c>
      <c r="AC357" s="2">
        <f t="shared" si="41"/>
        <v>0</v>
      </c>
      <c r="AD357" s="2">
        <f t="shared" si="38"/>
        <v>8</v>
      </c>
      <c r="AE357" s="2">
        <f t="shared" ca="1" si="39"/>
        <v>-44986.676271643519</v>
      </c>
      <c r="AF357" s="15"/>
    </row>
    <row r="358" spans="4:32">
      <c r="D358" s="1"/>
      <c r="E358" s="1"/>
      <c r="P358" s="11"/>
      <c r="U358" s="11"/>
      <c r="X358" s="13">
        <f t="shared" si="40"/>
        <v>0</v>
      </c>
      <c r="Y358" s="2">
        <f t="shared" ca="1" si="35"/>
        <v>32133</v>
      </c>
      <c r="Z358" s="14">
        <v>1</v>
      </c>
      <c r="AA358" s="1" t="str">
        <f t="shared" ca="1" si="36"/>
        <v>VENCIDO</v>
      </c>
      <c r="AB358" s="1" t="str">
        <f t="shared" si="37"/>
        <v>TAAe+</v>
      </c>
      <c r="AC358" s="2">
        <f t="shared" si="41"/>
        <v>0</v>
      </c>
      <c r="AD358" s="2">
        <f t="shared" si="38"/>
        <v>8</v>
      </c>
      <c r="AE358" s="2">
        <f t="shared" ca="1" si="39"/>
        <v>-44986.676271643519</v>
      </c>
      <c r="AF358" s="15"/>
    </row>
    <row r="359" spans="4:32">
      <c r="D359" s="1"/>
      <c r="E359" s="1"/>
      <c r="P359" s="11"/>
      <c r="U359" s="11"/>
      <c r="X359" s="13">
        <f t="shared" si="40"/>
        <v>0</v>
      </c>
      <c r="Y359" s="2">
        <f t="shared" ca="1" si="35"/>
        <v>32133</v>
      </c>
      <c r="Z359" s="14">
        <v>1</v>
      </c>
      <c r="AA359" s="1" t="str">
        <f t="shared" ca="1" si="36"/>
        <v>VENCIDO</v>
      </c>
      <c r="AB359" s="1" t="str">
        <f t="shared" si="37"/>
        <v>TAAe+</v>
      </c>
      <c r="AC359" s="2">
        <f t="shared" si="41"/>
        <v>0</v>
      </c>
      <c r="AD359" s="2">
        <f t="shared" si="38"/>
        <v>8</v>
      </c>
      <c r="AE359" s="2">
        <f t="shared" ca="1" si="39"/>
        <v>-44986.676271643519</v>
      </c>
      <c r="AF359" s="15"/>
    </row>
    <row r="360" spans="4:32">
      <c r="D360" s="1"/>
      <c r="E360" s="1"/>
      <c r="P360" s="11"/>
      <c r="U360" s="11"/>
      <c r="X360" s="13">
        <f t="shared" si="40"/>
        <v>0</v>
      </c>
      <c r="Y360" s="2">
        <f t="shared" ca="1" si="35"/>
        <v>32133</v>
      </c>
      <c r="Z360" s="14">
        <v>1</v>
      </c>
      <c r="AA360" s="1" t="str">
        <f t="shared" ca="1" si="36"/>
        <v>VENCIDO</v>
      </c>
      <c r="AB360" s="1" t="str">
        <f t="shared" si="37"/>
        <v>TAAe+</v>
      </c>
      <c r="AC360" s="2">
        <f t="shared" si="41"/>
        <v>0</v>
      </c>
      <c r="AD360" s="2">
        <f t="shared" si="38"/>
        <v>8</v>
      </c>
      <c r="AE360" s="2">
        <f t="shared" ca="1" si="39"/>
        <v>-44986.676271643519</v>
      </c>
      <c r="AF360" s="15"/>
    </row>
    <row r="361" spans="4:32">
      <c r="D361" s="1"/>
      <c r="E361" s="1"/>
      <c r="P361" s="11"/>
      <c r="U361" s="11"/>
      <c r="X361" s="13">
        <f t="shared" si="40"/>
        <v>0</v>
      </c>
      <c r="Y361" s="2">
        <f t="shared" ca="1" si="35"/>
        <v>32133</v>
      </c>
      <c r="Z361" s="14">
        <v>1</v>
      </c>
      <c r="AA361" s="1" t="str">
        <f t="shared" ca="1" si="36"/>
        <v>VENCIDO</v>
      </c>
      <c r="AB361" s="1" t="str">
        <f t="shared" si="37"/>
        <v>TAAe+</v>
      </c>
      <c r="AC361" s="2">
        <f t="shared" si="41"/>
        <v>0</v>
      </c>
      <c r="AD361" s="2">
        <f t="shared" si="38"/>
        <v>8</v>
      </c>
      <c r="AE361" s="2">
        <f t="shared" ca="1" si="39"/>
        <v>-44986.676271643519</v>
      </c>
      <c r="AF361" s="15"/>
    </row>
    <row r="362" spans="4:32">
      <c r="D362" s="1"/>
      <c r="E362" s="1"/>
      <c r="P362" s="11"/>
      <c r="U362" s="11"/>
      <c r="X362" s="13">
        <f t="shared" si="40"/>
        <v>0</v>
      </c>
      <c r="Y362" s="2">
        <f t="shared" ca="1" si="35"/>
        <v>32133</v>
      </c>
      <c r="Z362" s="14">
        <v>1</v>
      </c>
      <c r="AA362" s="1" t="str">
        <f t="shared" ca="1" si="36"/>
        <v>VENCIDO</v>
      </c>
      <c r="AB362" s="1" t="str">
        <f t="shared" si="37"/>
        <v>TAAe+</v>
      </c>
      <c r="AC362" s="2">
        <f t="shared" si="41"/>
        <v>0</v>
      </c>
      <c r="AD362" s="2">
        <f t="shared" si="38"/>
        <v>8</v>
      </c>
      <c r="AE362" s="2">
        <f t="shared" ca="1" si="39"/>
        <v>-44986.676271643519</v>
      </c>
      <c r="AF362" s="15"/>
    </row>
    <row r="363" spans="4:32">
      <c r="D363" s="1"/>
      <c r="E363" s="1"/>
      <c r="P363" s="11"/>
      <c r="U363" s="11"/>
      <c r="X363" s="13">
        <f t="shared" si="40"/>
        <v>0</v>
      </c>
      <c r="Y363" s="2">
        <f t="shared" ca="1" si="35"/>
        <v>32133</v>
      </c>
      <c r="Z363" s="14">
        <v>1</v>
      </c>
      <c r="AA363" s="1" t="str">
        <f t="shared" ca="1" si="36"/>
        <v>VENCIDO</v>
      </c>
      <c r="AB363" s="1" t="str">
        <f t="shared" si="37"/>
        <v>TAAe+</v>
      </c>
      <c r="AC363" s="2">
        <f t="shared" si="41"/>
        <v>0</v>
      </c>
      <c r="AD363" s="2">
        <f t="shared" si="38"/>
        <v>8</v>
      </c>
      <c r="AE363" s="2">
        <f t="shared" ca="1" si="39"/>
        <v>-44986.676271643519</v>
      </c>
      <c r="AF363" s="15"/>
    </row>
    <row r="364" spans="4:32">
      <c r="D364" s="1"/>
      <c r="E364" s="1"/>
      <c r="P364" s="11"/>
      <c r="U364" s="11"/>
      <c r="X364" s="13">
        <f t="shared" si="40"/>
        <v>0</v>
      </c>
      <c r="Y364" s="2">
        <f t="shared" ca="1" si="35"/>
        <v>32133</v>
      </c>
      <c r="Z364" s="14">
        <v>1</v>
      </c>
      <c r="AA364" s="1" t="str">
        <f t="shared" ca="1" si="36"/>
        <v>VENCIDO</v>
      </c>
      <c r="AB364" s="1" t="str">
        <f t="shared" si="37"/>
        <v>TAAe+</v>
      </c>
      <c r="AC364" s="2">
        <f t="shared" si="41"/>
        <v>0</v>
      </c>
      <c r="AD364" s="2">
        <f t="shared" si="38"/>
        <v>8</v>
      </c>
      <c r="AE364" s="2">
        <f t="shared" ca="1" si="39"/>
        <v>-44986.676271643519</v>
      </c>
      <c r="AF364" s="15"/>
    </row>
    <row r="365" spans="4:32">
      <c r="D365" s="1"/>
      <c r="E365" s="1"/>
      <c r="P365" s="11"/>
      <c r="U365" s="11"/>
      <c r="X365" s="13">
        <f t="shared" si="40"/>
        <v>0</v>
      </c>
      <c r="Y365" s="2">
        <f t="shared" ca="1" si="35"/>
        <v>32133</v>
      </c>
      <c r="Z365" s="14">
        <v>1</v>
      </c>
      <c r="AA365" s="1" t="str">
        <f t="shared" ca="1" si="36"/>
        <v>VENCIDO</v>
      </c>
      <c r="AB365" s="1" t="str">
        <f t="shared" si="37"/>
        <v>TAAe+</v>
      </c>
      <c r="AC365" s="2">
        <f t="shared" si="41"/>
        <v>0</v>
      </c>
      <c r="AD365" s="2">
        <f t="shared" si="38"/>
        <v>8</v>
      </c>
      <c r="AE365" s="2">
        <f t="shared" ca="1" si="39"/>
        <v>-44986.676271643519</v>
      </c>
      <c r="AF365" s="15"/>
    </row>
    <row r="366" spans="4:32">
      <c r="D366" s="1"/>
      <c r="E366" s="1"/>
      <c r="P366" s="11"/>
      <c r="U366" s="11"/>
      <c r="X366" s="13">
        <f t="shared" si="40"/>
        <v>0</v>
      </c>
      <c r="Y366" s="2">
        <f t="shared" ca="1" si="35"/>
        <v>32133</v>
      </c>
      <c r="Z366" s="14">
        <v>1</v>
      </c>
      <c r="AA366" s="1" t="str">
        <f t="shared" ca="1" si="36"/>
        <v>VENCIDO</v>
      </c>
      <c r="AB366" s="1" t="str">
        <f t="shared" si="37"/>
        <v>TAAe+</v>
      </c>
      <c r="AC366" s="2">
        <f t="shared" si="41"/>
        <v>0</v>
      </c>
      <c r="AD366" s="2">
        <f t="shared" si="38"/>
        <v>8</v>
      </c>
      <c r="AE366" s="2">
        <f t="shared" ca="1" si="39"/>
        <v>-44986.676271643519</v>
      </c>
      <c r="AF366" s="15"/>
    </row>
    <row r="367" spans="4:32">
      <c r="D367" s="1"/>
      <c r="E367" s="1"/>
      <c r="P367" s="11"/>
      <c r="U367" s="11"/>
      <c r="X367" s="13">
        <f t="shared" si="40"/>
        <v>0</v>
      </c>
      <c r="Y367" s="2">
        <f t="shared" ca="1" si="35"/>
        <v>32133</v>
      </c>
      <c r="Z367" s="14">
        <v>1</v>
      </c>
      <c r="AA367" s="1" t="str">
        <f t="shared" ca="1" si="36"/>
        <v>VENCIDO</v>
      </c>
      <c r="AB367" s="1" t="str">
        <f t="shared" si="37"/>
        <v>TAAe+</v>
      </c>
      <c r="AC367" s="2">
        <f t="shared" si="41"/>
        <v>0</v>
      </c>
      <c r="AD367" s="2">
        <f t="shared" si="38"/>
        <v>8</v>
      </c>
      <c r="AE367" s="2">
        <f t="shared" ca="1" si="39"/>
        <v>-44986.676271643519</v>
      </c>
      <c r="AF367" s="15"/>
    </row>
    <row r="368" spans="4:32">
      <c r="D368" s="1"/>
      <c r="E368" s="1"/>
      <c r="P368" s="11"/>
      <c r="X368" s="13">
        <f t="shared" si="40"/>
        <v>0</v>
      </c>
      <c r="Y368" s="2">
        <f t="shared" ca="1" si="35"/>
        <v>32133</v>
      </c>
      <c r="Z368" s="14">
        <v>1</v>
      </c>
      <c r="AA368" s="1" t="str">
        <f t="shared" ca="1" si="36"/>
        <v>VENCIDO</v>
      </c>
      <c r="AB368" s="1" t="str">
        <f t="shared" si="37"/>
        <v>TAAe+</v>
      </c>
      <c r="AC368" s="2">
        <f t="shared" si="41"/>
        <v>0</v>
      </c>
      <c r="AD368" s="2">
        <f t="shared" si="38"/>
        <v>8</v>
      </c>
      <c r="AE368" s="2">
        <f t="shared" ca="1" si="39"/>
        <v>-44986.676271643519</v>
      </c>
      <c r="AF368" s="15"/>
    </row>
    <row r="369" spans="4:32">
      <c r="D369" s="1"/>
      <c r="E369" s="1"/>
      <c r="P369" s="11"/>
      <c r="X369" s="13">
        <f t="shared" si="40"/>
        <v>0</v>
      </c>
      <c r="Y369" s="2">
        <f t="shared" ca="1" si="35"/>
        <v>32133</v>
      </c>
      <c r="Z369" s="14">
        <v>1</v>
      </c>
      <c r="AA369" s="1" t="str">
        <f t="shared" ca="1" si="36"/>
        <v>VENCIDO</v>
      </c>
      <c r="AB369" s="1" t="str">
        <f t="shared" si="37"/>
        <v>TAAe+</v>
      </c>
      <c r="AC369" s="2">
        <f t="shared" si="41"/>
        <v>0</v>
      </c>
      <c r="AD369" s="2">
        <f t="shared" si="38"/>
        <v>8</v>
      </c>
      <c r="AE369" s="2">
        <f t="shared" ca="1" si="39"/>
        <v>-44986.676271643519</v>
      </c>
      <c r="AF369" s="15"/>
    </row>
    <row r="370" spans="4:32">
      <c r="D370" s="1"/>
      <c r="E370" s="1"/>
      <c r="P370" s="11"/>
      <c r="U370" s="11"/>
      <c r="X370" s="13">
        <f t="shared" si="40"/>
        <v>0</v>
      </c>
      <c r="Y370" s="2">
        <f t="shared" ca="1" si="35"/>
        <v>32133</v>
      </c>
      <c r="Z370" s="14">
        <v>1</v>
      </c>
      <c r="AA370" s="1" t="str">
        <f t="shared" ca="1" si="36"/>
        <v>VENCIDO</v>
      </c>
      <c r="AB370" s="1" t="str">
        <f t="shared" si="37"/>
        <v>TAAe+</v>
      </c>
      <c r="AC370" s="2">
        <f t="shared" si="41"/>
        <v>0</v>
      </c>
      <c r="AD370" s="2">
        <f t="shared" si="38"/>
        <v>8</v>
      </c>
      <c r="AE370" s="2">
        <f t="shared" ca="1" si="39"/>
        <v>-44986.676271643519</v>
      </c>
      <c r="AF370" s="15"/>
    </row>
    <row r="371" spans="4:32">
      <c r="D371" s="1"/>
      <c r="E371" s="1"/>
      <c r="P371" s="11"/>
      <c r="U371" s="11"/>
      <c r="X371" s="13">
        <f t="shared" si="40"/>
        <v>0</v>
      </c>
      <c r="Y371" s="2">
        <f t="shared" ca="1" si="35"/>
        <v>32133</v>
      </c>
      <c r="Z371" s="14">
        <v>1</v>
      </c>
      <c r="AA371" s="1" t="str">
        <f t="shared" ca="1" si="36"/>
        <v>VENCIDO</v>
      </c>
      <c r="AB371" s="1" t="str">
        <f t="shared" si="37"/>
        <v>TAAe+</v>
      </c>
      <c r="AC371" s="2">
        <f t="shared" si="41"/>
        <v>0</v>
      </c>
      <c r="AD371" s="2">
        <f t="shared" si="38"/>
        <v>8</v>
      </c>
      <c r="AE371" s="2">
        <f t="shared" ca="1" si="39"/>
        <v>-44986.676271643519</v>
      </c>
      <c r="AF371" s="15"/>
    </row>
    <row r="372" spans="4:32">
      <c r="D372" s="1"/>
      <c r="E372" s="1"/>
      <c r="P372" s="11"/>
      <c r="U372" s="11"/>
      <c r="X372" s="13">
        <f t="shared" si="40"/>
        <v>0</v>
      </c>
      <c r="Y372" s="2">
        <f t="shared" ca="1" si="35"/>
        <v>32133</v>
      </c>
      <c r="Z372" s="14">
        <v>1</v>
      </c>
      <c r="AA372" s="1" t="str">
        <f t="shared" ca="1" si="36"/>
        <v>VENCIDO</v>
      </c>
      <c r="AB372" s="1" t="str">
        <f t="shared" si="37"/>
        <v>TAAe+</v>
      </c>
      <c r="AC372" s="2">
        <f t="shared" si="41"/>
        <v>0</v>
      </c>
      <c r="AD372" s="2">
        <f t="shared" si="38"/>
        <v>8</v>
      </c>
      <c r="AE372" s="2">
        <f t="shared" ca="1" si="39"/>
        <v>-44986.676271643519</v>
      </c>
      <c r="AF372" s="15"/>
    </row>
    <row r="373" spans="4:32">
      <c r="D373" s="1"/>
      <c r="E373" s="1"/>
      <c r="P373" s="11"/>
      <c r="X373" s="13">
        <f t="shared" si="40"/>
        <v>0</v>
      </c>
      <c r="Y373" s="2">
        <f t="shared" ca="1" si="35"/>
        <v>32133</v>
      </c>
      <c r="Z373" s="14">
        <v>1</v>
      </c>
      <c r="AA373" s="1" t="str">
        <f t="shared" ca="1" si="36"/>
        <v>VENCIDO</v>
      </c>
      <c r="AB373" s="1" t="str">
        <f t="shared" si="37"/>
        <v>TAAe+</v>
      </c>
      <c r="AC373" s="2">
        <f t="shared" si="41"/>
        <v>0</v>
      </c>
      <c r="AD373" s="2">
        <f t="shared" si="38"/>
        <v>8</v>
      </c>
      <c r="AE373" s="2">
        <f t="shared" ca="1" si="39"/>
        <v>-44986.676271643519</v>
      </c>
      <c r="AF373" s="15"/>
    </row>
    <row r="374" spans="4:32">
      <c r="D374" s="1"/>
      <c r="E374" s="1"/>
      <c r="P374" s="11"/>
      <c r="X374" s="13">
        <f t="shared" si="40"/>
        <v>0</v>
      </c>
      <c r="Y374" s="2">
        <f t="shared" ca="1" si="35"/>
        <v>32133</v>
      </c>
      <c r="Z374" s="14">
        <v>1</v>
      </c>
      <c r="AA374" s="1" t="str">
        <f t="shared" ca="1" si="36"/>
        <v>VENCIDO</v>
      </c>
      <c r="AB374" s="1" t="str">
        <f t="shared" si="37"/>
        <v>TAAe+</v>
      </c>
      <c r="AC374" s="2">
        <f t="shared" si="41"/>
        <v>0</v>
      </c>
      <c r="AD374" s="2">
        <f t="shared" si="38"/>
        <v>8</v>
      </c>
      <c r="AE374" s="2">
        <f t="shared" ca="1" si="39"/>
        <v>-44986.676271643519</v>
      </c>
      <c r="AF374" s="15"/>
    </row>
    <row r="375" spans="4:32">
      <c r="D375" s="1"/>
      <c r="E375" s="1"/>
      <c r="P375" s="11"/>
      <c r="U375" s="11"/>
      <c r="X375" s="13">
        <f t="shared" si="40"/>
        <v>0</v>
      </c>
      <c r="Y375" s="2">
        <f t="shared" ca="1" si="35"/>
        <v>32133</v>
      </c>
      <c r="Z375" s="14">
        <v>1</v>
      </c>
      <c r="AA375" s="1" t="str">
        <f t="shared" ca="1" si="36"/>
        <v>VENCIDO</v>
      </c>
      <c r="AB375" s="1" t="str">
        <f t="shared" si="37"/>
        <v>TAAe+</v>
      </c>
      <c r="AC375" s="2">
        <f t="shared" si="41"/>
        <v>0</v>
      </c>
      <c r="AD375" s="2">
        <f t="shared" si="38"/>
        <v>8</v>
      </c>
      <c r="AE375" s="2">
        <f t="shared" ca="1" si="39"/>
        <v>-44986.676271643519</v>
      </c>
      <c r="AF375" s="15"/>
    </row>
    <row r="376" spans="4:32">
      <c r="D376" s="1"/>
      <c r="E376" s="1"/>
      <c r="P376" s="11"/>
      <c r="U376" s="11"/>
      <c r="X376" s="13">
        <f t="shared" si="40"/>
        <v>0</v>
      </c>
      <c r="Y376" s="2">
        <f t="shared" ca="1" si="35"/>
        <v>32133</v>
      </c>
      <c r="Z376" s="14">
        <v>1</v>
      </c>
      <c r="AA376" s="1" t="str">
        <f t="shared" ca="1" si="36"/>
        <v>VENCIDO</v>
      </c>
      <c r="AB376" s="1" t="str">
        <f t="shared" si="37"/>
        <v>TAAe+</v>
      </c>
      <c r="AC376" s="2">
        <f t="shared" si="41"/>
        <v>0</v>
      </c>
      <c r="AD376" s="2">
        <f t="shared" si="38"/>
        <v>8</v>
      </c>
      <c r="AE376" s="2">
        <f t="shared" ca="1" si="39"/>
        <v>-44986.676271643519</v>
      </c>
      <c r="AF376" s="15"/>
    </row>
    <row r="377" spans="4:32">
      <c r="D377" s="1"/>
      <c r="E377" s="1"/>
      <c r="P377" s="11"/>
      <c r="X377" s="13">
        <f t="shared" si="40"/>
        <v>0</v>
      </c>
      <c r="Y377" s="2">
        <f t="shared" ca="1" si="35"/>
        <v>32133</v>
      </c>
      <c r="Z377" s="14">
        <v>1</v>
      </c>
      <c r="AA377" s="1" t="str">
        <f t="shared" ca="1" si="36"/>
        <v>VENCIDO</v>
      </c>
      <c r="AB377" s="1" t="str">
        <f t="shared" si="37"/>
        <v>TAAe+</v>
      </c>
      <c r="AC377" s="2">
        <f t="shared" si="41"/>
        <v>0</v>
      </c>
      <c r="AD377" s="2">
        <f t="shared" si="38"/>
        <v>8</v>
      </c>
      <c r="AE377" s="2">
        <f t="shared" ca="1" si="39"/>
        <v>-44986.676271643519</v>
      </c>
      <c r="AF377" s="15"/>
    </row>
    <row r="378" spans="4:32">
      <c r="D378" s="1"/>
      <c r="E378" s="1"/>
      <c r="P378" s="11"/>
      <c r="X378" s="13">
        <f t="shared" si="40"/>
        <v>0</v>
      </c>
      <c r="Y378" s="2">
        <f t="shared" ca="1" si="35"/>
        <v>32133</v>
      </c>
      <c r="Z378" s="14">
        <v>1</v>
      </c>
      <c r="AA378" s="1" t="str">
        <f t="shared" ca="1" si="36"/>
        <v>VENCIDO</v>
      </c>
      <c r="AB378" s="1" t="str">
        <f t="shared" si="37"/>
        <v>TAAe+</v>
      </c>
      <c r="AC378" s="2">
        <f t="shared" si="41"/>
        <v>0</v>
      </c>
      <c r="AD378" s="2">
        <f t="shared" si="38"/>
        <v>8</v>
      </c>
      <c r="AE378" s="2">
        <f t="shared" ca="1" si="39"/>
        <v>-44986.676271643519</v>
      </c>
      <c r="AF378" s="15"/>
    </row>
    <row r="379" spans="4:32">
      <c r="D379" s="1"/>
      <c r="E379" s="1"/>
      <c r="P379" s="11"/>
      <c r="X379" s="13">
        <f t="shared" si="40"/>
        <v>0</v>
      </c>
      <c r="Y379" s="2">
        <f t="shared" ca="1" si="35"/>
        <v>32133</v>
      </c>
      <c r="Z379" s="14">
        <v>1</v>
      </c>
      <c r="AA379" s="1" t="str">
        <f t="shared" ca="1" si="36"/>
        <v>VENCIDO</v>
      </c>
      <c r="AB379" s="1" t="str">
        <f t="shared" si="37"/>
        <v>TAAe+</v>
      </c>
      <c r="AC379" s="2">
        <f t="shared" si="41"/>
        <v>0</v>
      </c>
      <c r="AD379" s="2">
        <f t="shared" si="38"/>
        <v>8</v>
      </c>
      <c r="AE379" s="2">
        <f t="shared" ca="1" si="39"/>
        <v>-44986.676271643519</v>
      </c>
      <c r="AF379" s="15"/>
    </row>
    <row r="380" spans="4:32">
      <c r="D380" s="1"/>
      <c r="E380" s="1"/>
      <c r="P380" s="11"/>
      <c r="X380" s="13">
        <f t="shared" si="40"/>
        <v>0</v>
      </c>
      <c r="Y380" s="2">
        <f t="shared" ca="1" si="35"/>
        <v>32133</v>
      </c>
      <c r="Z380" s="14">
        <v>1</v>
      </c>
      <c r="AA380" s="1" t="str">
        <f t="shared" ca="1" si="36"/>
        <v>VENCIDO</v>
      </c>
      <c r="AB380" s="1" t="str">
        <f t="shared" si="37"/>
        <v>TAAe+</v>
      </c>
      <c r="AC380" s="2">
        <f t="shared" si="41"/>
        <v>0</v>
      </c>
      <c r="AD380" s="2">
        <f t="shared" si="38"/>
        <v>8</v>
      </c>
      <c r="AE380" s="2">
        <f t="shared" ca="1" si="39"/>
        <v>-44986.676271643519</v>
      </c>
      <c r="AF380" s="15"/>
    </row>
    <row r="381" spans="4:32">
      <c r="D381" s="1"/>
      <c r="E381" s="1"/>
      <c r="P381" s="11"/>
      <c r="X381" s="13">
        <f t="shared" si="40"/>
        <v>0</v>
      </c>
      <c r="Y381" s="2">
        <f t="shared" ca="1" si="35"/>
        <v>32133</v>
      </c>
      <c r="Z381" s="14">
        <v>1</v>
      </c>
      <c r="AA381" s="1" t="str">
        <f t="shared" ca="1" si="36"/>
        <v>VENCIDO</v>
      </c>
      <c r="AB381" s="1" t="str">
        <f t="shared" si="37"/>
        <v>TAAe+</v>
      </c>
      <c r="AC381" s="2">
        <f t="shared" si="41"/>
        <v>0</v>
      </c>
      <c r="AD381" s="2">
        <f t="shared" si="38"/>
        <v>8</v>
      </c>
      <c r="AE381" s="2">
        <f t="shared" ca="1" si="39"/>
        <v>-44986.676271643519</v>
      </c>
      <c r="AF381" s="15"/>
    </row>
    <row r="382" spans="4:32">
      <c r="D382" s="1"/>
      <c r="E382" s="1"/>
      <c r="P382" s="11"/>
      <c r="U382" s="11"/>
      <c r="X382" s="13">
        <f t="shared" si="40"/>
        <v>0</v>
      </c>
      <c r="Y382" s="2">
        <f t="shared" ca="1" si="35"/>
        <v>32133</v>
      </c>
      <c r="Z382" s="14">
        <v>1</v>
      </c>
      <c r="AA382" s="1" t="str">
        <f t="shared" ca="1" si="36"/>
        <v>VENCIDO</v>
      </c>
      <c r="AB382" s="1" t="str">
        <f t="shared" si="37"/>
        <v>TAAe+</v>
      </c>
      <c r="AC382" s="2">
        <f t="shared" si="41"/>
        <v>0</v>
      </c>
      <c r="AD382" s="2">
        <f t="shared" si="38"/>
        <v>8</v>
      </c>
      <c r="AE382" s="2">
        <f t="shared" ca="1" si="39"/>
        <v>-44986.676271643519</v>
      </c>
      <c r="AF382" s="15"/>
    </row>
    <row r="383" spans="4:32">
      <c r="D383" s="1"/>
      <c r="E383" s="1"/>
      <c r="P383" s="11"/>
      <c r="U383" s="11"/>
      <c r="X383" s="13">
        <f t="shared" si="40"/>
        <v>0</v>
      </c>
      <c r="Y383" s="2">
        <f t="shared" ca="1" si="35"/>
        <v>32133</v>
      </c>
      <c r="Z383" s="14">
        <v>1</v>
      </c>
      <c r="AA383" s="1" t="str">
        <f t="shared" ca="1" si="36"/>
        <v>VENCIDO</v>
      </c>
      <c r="AB383" s="1" t="str">
        <f t="shared" si="37"/>
        <v>TAAe+</v>
      </c>
      <c r="AC383" s="2">
        <f t="shared" si="41"/>
        <v>0</v>
      </c>
      <c r="AD383" s="2">
        <f t="shared" si="38"/>
        <v>8</v>
      </c>
      <c r="AE383" s="2">
        <f t="shared" ca="1" si="39"/>
        <v>-44986.676271643519</v>
      </c>
      <c r="AF383" s="15"/>
    </row>
    <row r="384" spans="4:32">
      <c r="D384" s="1"/>
      <c r="E384" s="1"/>
      <c r="P384" s="11"/>
      <c r="U384" s="11"/>
      <c r="X384" s="13">
        <f t="shared" si="40"/>
        <v>0</v>
      </c>
      <c r="Y384" s="2">
        <f t="shared" ca="1" si="35"/>
        <v>32133</v>
      </c>
      <c r="Z384" s="14">
        <v>1</v>
      </c>
      <c r="AA384" s="1" t="str">
        <f t="shared" ca="1" si="36"/>
        <v>VENCIDO</v>
      </c>
      <c r="AB384" s="1" t="str">
        <f t="shared" si="37"/>
        <v>TAAe+</v>
      </c>
      <c r="AC384" s="2">
        <f t="shared" si="41"/>
        <v>0</v>
      </c>
      <c r="AD384" s="2">
        <f t="shared" si="38"/>
        <v>8</v>
      </c>
      <c r="AE384" s="2">
        <f t="shared" ca="1" si="39"/>
        <v>-44986.676271643519</v>
      </c>
      <c r="AF384" s="15"/>
    </row>
    <row r="385" spans="3:32">
      <c r="D385" s="1"/>
      <c r="E385" s="1"/>
      <c r="P385" s="11"/>
      <c r="U385" s="11"/>
      <c r="X385" s="13">
        <f t="shared" si="40"/>
        <v>0</v>
      </c>
      <c r="Y385" s="2">
        <f t="shared" ca="1" si="35"/>
        <v>32133</v>
      </c>
      <c r="Z385" s="14">
        <v>1</v>
      </c>
      <c r="AA385" s="1" t="str">
        <f t="shared" ca="1" si="36"/>
        <v>VENCIDO</v>
      </c>
      <c r="AB385" s="1" t="str">
        <f t="shared" si="37"/>
        <v>TAAe+</v>
      </c>
      <c r="AC385" s="2">
        <f t="shared" si="41"/>
        <v>0</v>
      </c>
      <c r="AD385" s="2">
        <f t="shared" si="38"/>
        <v>8</v>
      </c>
      <c r="AE385" s="2">
        <f t="shared" ca="1" si="39"/>
        <v>-44986.676271643519</v>
      </c>
      <c r="AF385" s="15"/>
    </row>
    <row r="386" spans="3:32">
      <c r="D386" s="1"/>
      <c r="E386" s="1"/>
      <c r="P386" s="11"/>
      <c r="X386" s="13">
        <f t="shared" si="40"/>
        <v>0</v>
      </c>
      <c r="Y386" s="2">
        <f t="shared" ref="Y386:Y449" ca="1" si="42">NETWORKDAYS(P386,$Y$1)</f>
        <v>32133</v>
      </c>
      <c r="Z386" s="14">
        <v>1</v>
      </c>
      <c r="AA386" s="1" t="str">
        <f t="shared" ref="AA386:AA449" ca="1" si="43">IF(AE386=0,"HOJE",IF(AE386&gt;0,"A VENCER",IF(AE386&lt;0,"VENCIDO")))</f>
        <v>VENCIDO</v>
      </c>
      <c r="AB386" s="1" t="str">
        <f t="shared" ref="AB386:AB449" si="44">IF(F386="GRPE-000001","C-14",IF(F386="GRPE-000002","C-14",IF(F386="GRPE-000003","C-14",IF(F386="GRPE-000004","SL-On",IF(F386="GRPE-000038","C-14",IF(F386="GRPE-900022","Dosa",IF(F386="GRPE-000029","Dosa",IF(F386="ATOS-000222","Dose","TAAe+"))))))))</f>
        <v>TAAe+</v>
      </c>
      <c r="AC386" s="2">
        <f t="shared" si="41"/>
        <v>0</v>
      </c>
      <c r="AD386" s="2">
        <f t="shared" ref="AD386:AD449" si="45">IF(F386="GRPE-000001",5,IF(F386="GRPE-000002",5,IF(F386="GRPE-000003",15,IF(F386="GRPE-000004",1,IF(F386="GRPE-000038",5,IF(F386="GRPE-900022",5,IF(F386="GRPE-000029",5,IF(F386="ATOS-000222",5,8))))))))</f>
        <v>8</v>
      </c>
      <c r="AE386" s="2">
        <f t="shared" ref="AE386:AE449" ca="1" si="46">IF(U386=$AE$1,"",U386-$AE$1)</f>
        <v>-44986.676271643519</v>
      </c>
      <c r="AF386" s="15"/>
    </row>
    <row r="387" spans="3:32">
      <c r="D387" s="1"/>
      <c r="E387" s="1"/>
      <c r="P387" s="11"/>
      <c r="U387" s="11"/>
      <c r="X387" s="13">
        <f t="shared" ref="X387:X450" si="47">IF(RIGHT(H387,2)&lt;&gt;"00",H387,"")</f>
        <v>0</v>
      </c>
      <c r="Y387" s="2">
        <f t="shared" ca="1" si="42"/>
        <v>32133</v>
      </c>
      <c r="Z387" s="14">
        <v>1</v>
      </c>
      <c r="AA387" s="1" t="str">
        <f t="shared" ca="1" si="43"/>
        <v>VENCIDO</v>
      </c>
      <c r="AB387" s="1" t="str">
        <f t="shared" si="44"/>
        <v>TAAe+</v>
      </c>
      <c r="AC387" s="2">
        <f t="shared" ref="AC387:AC450" si="48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>0</v>
      </c>
      <c r="AD387" s="2">
        <f t="shared" si="45"/>
        <v>8</v>
      </c>
      <c r="AE387" s="2">
        <f t="shared" ca="1" si="46"/>
        <v>-44986.676271643519</v>
      </c>
      <c r="AF387" s="15"/>
    </row>
    <row r="388" spans="3:32">
      <c r="D388" s="1"/>
      <c r="E388" s="1"/>
      <c r="P388" s="11"/>
      <c r="U388" s="11"/>
      <c r="X388" s="13">
        <f t="shared" si="47"/>
        <v>0</v>
      </c>
      <c r="Y388" s="2">
        <f t="shared" ca="1" si="42"/>
        <v>32133</v>
      </c>
      <c r="Z388" s="14">
        <v>1</v>
      </c>
      <c r="AA388" s="1" t="str">
        <f t="shared" ca="1" si="43"/>
        <v>VENCIDO</v>
      </c>
      <c r="AB388" s="1" t="str">
        <f t="shared" si="44"/>
        <v>TAAe+</v>
      </c>
      <c r="AC388" s="2">
        <f t="shared" si="48"/>
        <v>0</v>
      </c>
      <c r="AD388" s="2">
        <f t="shared" si="45"/>
        <v>8</v>
      </c>
      <c r="AE388" s="2">
        <f t="shared" ca="1" si="46"/>
        <v>-44986.676271643519</v>
      </c>
      <c r="AF388" s="15"/>
    </row>
    <row r="389" spans="3:32">
      <c r="D389" s="1"/>
      <c r="E389" s="1"/>
      <c r="P389" s="11"/>
      <c r="U389" s="11"/>
      <c r="X389" s="13">
        <f t="shared" si="47"/>
        <v>0</v>
      </c>
      <c r="Y389" s="2">
        <f t="shared" ca="1" si="42"/>
        <v>32133</v>
      </c>
      <c r="Z389" s="14">
        <v>1</v>
      </c>
      <c r="AA389" s="1" t="str">
        <f t="shared" ca="1" si="43"/>
        <v>VENCIDO</v>
      </c>
      <c r="AB389" s="1" t="str">
        <f t="shared" si="44"/>
        <v>TAAe+</v>
      </c>
      <c r="AC389" s="2">
        <f t="shared" si="48"/>
        <v>0</v>
      </c>
      <c r="AD389" s="2">
        <f t="shared" si="45"/>
        <v>8</v>
      </c>
      <c r="AE389" s="2">
        <f t="shared" ca="1" si="46"/>
        <v>-44986.676271643519</v>
      </c>
      <c r="AF389" s="15"/>
    </row>
    <row r="390" spans="3:32">
      <c r="D390" s="1"/>
      <c r="E390" s="1"/>
      <c r="P390" s="11"/>
      <c r="U390" s="11"/>
      <c r="X390" s="13">
        <f t="shared" si="47"/>
        <v>0</v>
      </c>
      <c r="Y390" s="2">
        <f t="shared" ca="1" si="42"/>
        <v>32133</v>
      </c>
      <c r="Z390" s="14">
        <v>1</v>
      </c>
      <c r="AA390" s="1" t="str">
        <f t="shared" ca="1" si="43"/>
        <v>VENCIDO</v>
      </c>
      <c r="AB390" s="1" t="str">
        <f t="shared" si="44"/>
        <v>TAAe+</v>
      </c>
      <c r="AC390" s="2">
        <f t="shared" si="48"/>
        <v>0</v>
      </c>
      <c r="AD390" s="2">
        <f t="shared" si="45"/>
        <v>8</v>
      </c>
      <c r="AE390" s="2">
        <f t="shared" ca="1" si="46"/>
        <v>-44986.676271643519</v>
      </c>
      <c r="AF390" s="15"/>
    </row>
    <row r="391" spans="3:32">
      <c r="C391" s="23"/>
      <c r="D391" s="1"/>
      <c r="E391" s="1"/>
      <c r="P391" s="11"/>
      <c r="U391" s="11"/>
      <c r="X391" s="13">
        <f t="shared" si="47"/>
        <v>0</v>
      </c>
      <c r="Y391" s="2">
        <f t="shared" ca="1" si="42"/>
        <v>32133</v>
      </c>
      <c r="Z391" s="14">
        <v>1</v>
      </c>
      <c r="AA391" s="1" t="str">
        <f t="shared" ca="1" si="43"/>
        <v>VENCIDO</v>
      </c>
      <c r="AB391" s="1" t="str">
        <f t="shared" si="44"/>
        <v>TAAe+</v>
      </c>
      <c r="AC391" s="2">
        <f t="shared" si="48"/>
        <v>0</v>
      </c>
      <c r="AD391" s="2">
        <f t="shared" si="45"/>
        <v>8</v>
      </c>
      <c r="AE391" s="2">
        <f t="shared" ca="1" si="46"/>
        <v>-44986.676271643519</v>
      </c>
      <c r="AF391" s="15"/>
    </row>
    <row r="392" spans="3:32">
      <c r="D392" s="1"/>
      <c r="E392" s="1"/>
      <c r="P392" s="11"/>
      <c r="X392" s="13">
        <f t="shared" si="47"/>
        <v>0</v>
      </c>
      <c r="Y392" s="2">
        <f t="shared" ca="1" si="42"/>
        <v>32133</v>
      </c>
      <c r="Z392" s="14">
        <v>1</v>
      </c>
      <c r="AA392" s="1" t="str">
        <f t="shared" ca="1" si="43"/>
        <v>VENCIDO</v>
      </c>
      <c r="AB392" s="1" t="str">
        <f t="shared" si="44"/>
        <v>TAAe+</v>
      </c>
      <c r="AC392" s="2">
        <f t="shared" si="48"/>
        <v>0</v>
      </c>
      <c r="AD392" s="2">
        <f t="shared" si="45"/>
        <v>8</v>
      </c>
      <c r="AE392" s="2">
        <f t="shared" ca="1" si="46"/>
        <v>-44986.676271643519</v>
      </c>
      <c r="AF392" s="15"/>
    </row>
    <row r="393" spans="3:32">
      <c r="D393" s="1"/>
      <c r="E393" s="1"/>
      <c r="P393" s="11"/>
      <c r="X393" s="13">
        <f t="shared" si="47"/>
        <v>0</v>
      </c>
      <c r="Y393" s="2">
        <f t="shared" ca="1" si="42"/>
        <v>32133</v>
      </c>
      <c r="Z393" s="14">
        <v>1</v>
      </c>
      <c r="AA393" s="1" t="str">
        <f t="shared" ca="1" si="43"/>
        <v>VENCIDO</v>
      </c>
      <c r="AB393" s="1" t="str">
        <f t="shared" si="44"/>
        <v>TAAe+</v>
      </c>
      <c r="AC393" s="2">
        <f t="shared" si="48"/>
        <v>0</v>
      </c>
      <c r="AD393" s="2">
        <f t="shared" si="45"/>
        <v>8</v>
      </c>
      <c r="AE393" s="2">
        <f t="shared" ca="1" si="46"/>
        <v>-44986.676271643519</v>
      </c>
      <c r="AF393" s="15"/>
    </row>
    <row r="394" spans="3:32">
      <c r="D394" s="1"/>
      <c r="E394" s="1"/>
      <c r="P394" s="11"/>
      <c r="X394" s="13">
        <f t="shared" si="47"/>
        <v>0</v>
      </c>
      <c r="Y394" s="2">
        <f t="shared" ca="1" si="42"/>
        <v>32133</v>
      </c>
      <c r="Z394" s="14">
        <v>1</v>
      </c>
      <c r="AA394" s="1" t="str">
        <f t="shared" ca="1" si="43"/>
        <v>VENCIDO</v>
      </c>
      <c r="AB394" s="1" t="str">
        <f t="shared" si="44"/>
        <v>TAAe+</v>
      </c>
      <c r="AC394" s="2">
        <f t="shared" si="48"/>
        <v>0</v>
      </c>
      <c r="AD394" s="2">
        <f t="shared" si="45"/>
        <v>8</v>
      </c>
      <c r="AE394" s="2">
        <f t="shared" ca="1" si="46"/>
        <v>-44986.676271643519</v>
      </c>
      <c r="AF394" s="15"/>
    </row>
    <row r="395" spans="3:32">
      <c r="D395" s="1"/>
      <c r="E395" s="1"/>
      <c r="P395" s="11"/>
      <c r="X395" s="13">
        <f t="shared" si="47"/>
        <v>0</v>
      </c>
      <c r="Y395" s="2">
        <f t="shared" ca="1" si="42"/>
        <v>32133</v>
      </c>
      <c r="Z395" s="14">
        <v>1</v>
      </c>
      <c r="AA395" s="1" t="str">
        <f t="shared" ca="1" si="43"/>
        <v>VENCIDO</v>
      </c>
      <c r="AB395" s="1" t="str">
        <f t="shared" si="44"/>
        <v>TAAe+</v>
      </c>
      <c r="AC395" s="2">
        <f t="shared" si="48"/>
        <v>0</v>
      </c>
      <c r="AD395" s="2">
        <f t="shared" si="45"/>
        <v>8</v>
      </c>
      <c r="AE395" s="2">
        <f t="shared" ca="1" si="46"/>
        <v>-44986.676271643519</v>
      </c>
      <c r="AF395" s="15"/>
    </row>
    <row r="396" spans="3:32">
      <c r="D396" s="1"/>
      <c r="E396" s="1"/>
      <c r="P396" s="11"/>
      <c r="X396" s="13">
        <f t="shared" si="47"/>
        <v>0</v>
      </c>
      <c r="Y396" s="2">
        <f t="shared" ca="1" si="42"/>
        <v>32133</v>
      </c>
      <c r="Z396" s="14">
        <v>1</v>
      </c>
      <c r="AA396" s="1" t="str">
        <f t="shared" ca="1" si="43"/>
        <v>VENCIDO</v>
      </c>
      <c r="AB396" s="1" t="str">
        <f t="shared" si="44"/>
        <v>TAAe+</v>
      </c>
      <c r="AC396" s="2">
        <f t="shared" si="48"/>
        <v>0</v>
      </c>
      <c r="AD396" s="2">
        <f t="shared" si="45"/>
        <v>8</v>
      </c>
      <c r="AE396" s="2">
        <f t="shared" ca="1" si="46"/>
        <v>-44986.676271643519</v>
      </c>
      <c r="AF396" s="15"/>
    </row>
    <row r="397" spans="3:32">
      <c r="D397" s="1"/>
      <c r="E397" s="1"/>
      <c r="P397" s="11"/>
      <c r="U397" s="11"/>
      <c r="X397" s="13">
        <f t="shared" si="47"/>
        <v>0</v>
      </c>
      <c r="Y397" s="2">
        <f t="shared" ca="1" si="42"/>
        <v>32133</v>
      </c>
      <c r="Z397" s="14">
        <v>1</v>
      </c>
      <c r="AA397" s="1" t="str">
        <f t="shared" ca="1" si="43"/>
        <v>VENCIDO</v>
      </c>
      <c r="AB397" s="1" t="str">
        <f t="shared" si="44"/>
        <v>TAAe+</v>
      </c>
      <c r="AC397" s="2">
        <f t="shared" si="48"/>
        <v>0</v>
      </c>
      <c r="AD397" s="2">
        <f t="shared" si="45"/>
        <v>8</v>
      </c>
      <c r="AE397" s="2">
        <f t="shared" ca="1" si="46"/>
        <v>-44986.676271643519</v>
      </c>
      <c r="AF397" s="15"/>
    </row>
    <row r="398" spans="3:32">
      <c r="D398" s="1"/>
      <c r="E398" s="1"/>
      <c r="P398" s="11"/>
      <c r="U398" s="11"/>
      <c r="X398" s="13">
        <f t="shared" si="47"/>
        <v>0</v>
      </c>
      <c r="Y398" s="2">
        <f t="shared" ca="1" si="42"/>
        <v>32133</v>
      </c>
      <c r="Z398" s="14">
        <v>1</v>
      </c>
      <c r="AA398" s="1" t="str">
        <f t="shared" ca="1" si="43"/>
        <v>VENCIDO</v>
      </c>
      <c r="AB398" s="1" t="str">
        <f t="shared" si="44"/>
        <v>TAAe+</v>
      </c>
      <c r="AC398" s="2">
        <f t="shared" si="48"/>
        <v>0</v>
      </c>
      <c r="AD398" s="2">
        <f t="shared" si="45"/>
        <v>8</v>
      </c>
      <c r="AE398" s="2">
        <f t="shared" ca="1" si="46"/>
        <v>-44986.676271643519</v>
      </c>
      <c r="AF398" s="15"/>
    </row>
    <row r="399" spans="3:32">
      <c r="D399" s="1"/>
      <c r="E399" s="1"/>
      <c r="P399" s="11"/>
      <c r="U399" s="11"/>
      <c r="X399" s="13">
        <f t="shared" si="47"/>
        <v>0</v>
      </c>
      <c r="Y399" s="2">
        <f t="shared" ca="1" si="42"/>
        <v>32133</v>
      </c>
      <c r="Z399" s="14">
        <v>1</v>
      </c>
      <c r="AA399" s="1" t="str">
        <f t="shared" ca="1" si="43"/>
        <v>VENCIDO</v>
      </c>
      <c r="AB399" s="1" t="str">
        <f t="shared" si="44"/>
        <v>TAAe+</v>
      </c>
      <c r="AC399" s="2">
        <f t="shared" si="48"/>
        <v>0</v>
      </c>
      <c r="AD399" s="2">
        <f t="shared" si="45"/>
        <v>8</v>
      </c>
      <c r="AE399" s="2">
        <f t="shared" ca="1" si="46"/>
        <v>-44986.676271643519</v>
      </c>
      <c r="AF399" s="15"/>
    </row>
    <row r="400" spans="3:32">
      <c r="D400" s="1"/>
      <c r="E400" s="1"/>
      <c r="P400" s="11"/>
      <c r="U400" s="11"/>
      <c r="X400" s="13">
        <f t="shared" si="47"/>
        <v>0</v>
      </c>
      <c r="Y400" s="2">
        <f t="shared" ca="1" si="42"/>
        <v>32133</v>
      </c>
      <c r="Z400" s="14">
        <v>1</v>
      </c>
      <c r="AA400" s="1" t="str">
        <f t="shared" ca="1" si="43"/>
        <v>VENCIDO</v>
      </c>
      <c r="AB400" s="1" t="str">
        <f t="shared" si="44"/>
        <v>TAAe+</v>
      </c>
      <c r="AC400" s="2">
        <f t="shared" si="48"/>
        <v>0</v>
      </c>
      <c r="AD400" s="2">
        <f t="shared" si="45"/>
        <v>8</v>
      </c>
      <c r="AE400" s="2">
        <f t="shared" ca="1" si="46"/>
        <v>-44986.676271643519</v>
      </c>
      <c r="AF400" s="15"/>
    </row>
    <row r="401" spans="4:32">
      <c r="D401" s="1"/>
      <c r="E401" s="1"/>
      <c r="P401" s="11"/>
      <c r="U401" s="11"/>
      <c r="X401" s="13">
        <f t="shared" si="47"/>
        <v>0</v>
      </c>
      <c r="Y401" s="2">
        <f t="shared" ca="1" si="42"/>
        <v>32133</v>
      </c>
      <c r="Z401" s="14">
        <v>1</v>
      </c>
      <c r="AA401" s="1" t="str">
        <f t="shared" ca="1" si="43"/>
        <v>VENCIDO</v>
      </c>
      <c r="AB401" s="1" t="str">
        <f t="shared" si="44"/>
        <v>TAAe+</v>
      </c>
      <c r="AC401" s="2">
        <f t="shared" si="48"/>
        <v>0</v>
      </c>
      <c r="AD401" s="2">
        <f t="shared" si="45"/>
        <v>8</v>
      </c>
      <c r="AE401" s="2">
        <f t="shared" ca="1" si="46"/>
        <v>-44986.676271643519</v>
      </c>
      <c r="AF401" s="15"/>
    </row>
    <row r="402" spans="4:32">
      <c r="D402" s="1"/>
      <c r="E402" s="1"/>
      <c r="P402" s="11"/>
      <c r="X402" s="13">
        <f t="shared" si="47"/>
        <v>0</v>
      </c>
      <c r="Y402" s="2">
        <f t="shared" ca="1" si="42"/>
        <v>32133</v>
      </c>
      <c r="Z402" s="14">
        <v>1</v>
      </c>
      <c r="AA402" s="1" t="str">
        <f t="shared" ca="1" si="43"/>
        <v>VENCIDO</v>
      </c>
      <c r="AB402" s="1" t="str">
        <f t="shared" si="44"/>
        <v>TAAe+</v>
      </c>
      <c r="AC402" s="2">
        <f t="shared" si="48"/>
        <v>0</v>
      </c>
      <c r="AD402" s="2">
        <f t="shared" si="45"/>
        <v>8</v>
      </c>
      <c r="AE402" s="2">
        <f t="shared" ca="1" si="46"/>
        <v>-44986.676271643519</v>
      </c>
      <c r="AF402" s="15"/>
    </row>
    <row r="403" spans="4:32">
      <c r="D403" s="1"/>
      <c r="E403" s="1"/>
      <c r="P403" s="11"/>
      <c r="X403" s="13">
        <f t="shared" si="47"/>
        <v>0</v>
      </c>
      <c r="Y403" s="2">
        <f t="shared" ca="1" si="42"/>
        <v>32133</v>
      </c>
      <c r="Z403" s="14">
        <v>1</v>
      </c>
      <c r="AA403" s="1" t="str">
        <f t="shared" ca="1" si="43"/>
        <v>VENCIDO</v>
      </c>
      <c r="AB403" s="1" t="str">
        <f t="shared" si="44"/>
        <v>TAAe+</v>
      </c>
      <c r="AC403" s="2">
        <f t="shared" si="48"/>
        <v>0</v>
      </c>
      <c r="AD403" s="2">
        <f t="shared" si="45"/>
        <v>8</v>
      </c>
      <c r="AE403" s="2">
        <f t="shared" ca="1" si="46"/>
        <v>-44986.676271643519</v>
      </c>
      <c r="AF403" s="15"/>
    </row>
    <row r="404" spans="4:32">
      <c r="D404" s="1"/>
      <c r="E404" s="1"/>
      <c r="P404" s="11"/>
      <c r="X404" s="13">
        <f t="shared" si="47"/>
        <v>0</v>
      </c>
      <c r="Y404" s="2">
        <f t="shared" ca="1" si="42"/>
        <v>32133</v>
      </c>
      <c r="Z404" s="14">
        <v>1</v>
      </c>
      <c r="AA404" s="1" t="str">
        <f t="shared" ca="1" si="43"/>
        <v>VENCIDO</v>
      </c>
      <c r="AB404" s="1" t="str">
        <f t="shared" si="44"/>
        <v>TAAe+</v>
      </c>
      <c r="AC404" s="2">
        <f t="shared" si="48"/>
        <v>0</v>
      </c>
      <c r="AD404" s="2">
        <f t="shared" si="45"/>
        <v>8</v>
      </c>
      <c r="AE404" s="2">
        <f t="shared" ca="1" si="46"/>
        <v>-44986.676271643519</v>
      </c>
      <c r="AF404" s="15"/>
    </row>
    <row r="405" spans="4:32">
      <c r="D405" s="1"/>
      <c r="E405" s="1"/>
      <c r="P405" s="11"/>
      <c r="X405" s="13">
        <f t="shared" si="47"/>
        <v>0</v>
      </c>
      <c r="Y405" s="2">
        <f t="shared" ca="1" si="42"/>
        <v>32133</v>
      </c>
      <c r="Z405" s="14">
        <v>1</v>
      </c>
      <c r="AA405" s="1" t="str">
        <f t="shared" ca="1" si="43"/>
        <v>VENCIDO</v>
      </c>
      <c r="AB405" s="1" t="str">
        <f t="shared" si="44"/>
        <v>TAAe+</v>
      </c>
      <c r="AC405" s="2">
        <f t="shared" si="48"/>
        <v>0</v>
      </c>
      <c r="AD405" s="2">
        <f t="shared" si="45"/>
        <v>8</v>
      </c>
      <c r="AE405" s="2">
        <f t="shared" ca="1" si="46"/>
        <v>-44986.676271643519</v>
      </c>
      <c r="AF405" s="15"/>
    </row>
    <row r="406" spans="4:32">
      <c r="D406" s="1"/>
      <c r="E406" s="1"/>
      <c r="P406" s="11"/>
      <c r="X406" s="13">
        <f t="shared" si="47"/>
        <v>0</v>
      </c>
      <c r="Y406" s="2">
        <f t="shared" ca="1" si="42"/>
        <v>32133</v>
      </c>
      <c r="Z406" s="14">
        <v>1</v>
      </c>
      <c r="AA406" s="1" t="str">
        <f t="shared" ca="1" si="43"/>
        <v>VENCIDO</v>
      </c>
      <c r="AB406" s="1" t="str">
        <f t="shared" si="44"/>
        <v>TAAe+</v>
      </c>
      <c r="AC406" s="2">
        <f t="shared" si="48"/>
        <v>0</v>
      </c>
      <c r="AD406" s="2">
        <f t="shared" si="45"/>
        <v>8</v>
      </c>
      <c r="AE406" s="2">
        <f t="shared" ca="1" si="46"/>
        <v>-44986.676271643519</v>
      </c>
      <c r="AF406" s="15"/>
    </row>
    <row r="407" spans="4:32">
      <c r="D407" s="1"/>
      <c r="E407" s="1"/>
      <c r="P407" s="11"/>
      <c r="X407" s="13">
        <f t="shared" si="47"/>
        <v>0</v>
      </c>
      <c r="Y407" s="2">
        <f t="shared" ca="1" si="42"/>
        <v>32133</v>
      </c>
      <c r="Z407" s="14">
        <v>1</v>
      </c>
      <c r="AA407" s="1" t="str">
        <f t="shared" ca="1" si="43"/>
        <v>VENCIDO</v>
      </c>
      <c r="AB407" s="1" t="str">
        <f t="shared" si="44"/>
        <v>TAAe+</v>
      </c>
      <c r="AC407" s="2">
        <f t="shared" si="48"/>
        <v>0</v>
      </c>
      <c r="AD407" s="2">
        <f t="shared" si="45"/>
        <v>8</v>
      </c>
      <c r="AE407" s="2">
        <f t="shared" ca="1" si="46"/>
        <v>-44986.676271643519</v>
      </c>
      <c r="AF407" s="15"/>
    </row>
    <row r="408" spans="4:32">
      <c r="D408" s="1"/>
      <c r="E408" s="1"/>
      <c r="P408" s="11"/>
      <c r="X408" s="13">
        <f t="shared" si="47"/>
        <v>0</v>
      </c>
      <c r="Y408" s="2">
        <f t="shared" ca="1" si="42"/>
        <v>32133</v>
      </c>
      <c r="Z408" s="14">
        <v>1</v>
      </c>
      <c r="AA408" s="1" t="str">
        <f t="shared" ca="1" si="43"/>
        <v>VENCIDO</v>
      </c>
      <c r="AB408" s="1" t="str">
        <f t="shared" si="44"/>
        <v>TAAe+</v>
      </c>
      <c r="AC408" s="2">
        <f t="shared" si="48"/>
        <v>0</v>
      </c>
      <c r="AD408" s="2">
        <f t="shared" si="45"/>
        <v>8</v>
      </c>
      <c r="AE408" s="2">
        <f t="shared" ca="1" si="46"/>
        <v>-44986.676271643519</v>
      </c>
      <c r="AF408" s="15"/>
    </row>
    <row r="409" spans="4:32">
      <c r="D409" s="1"/>
      <c r="E409" s="1"/>
      <c r="P409" s="11"/>
      <c r="X409" s="13">
        <f t="shared" si="47"/>
        <v>0</v>
      </c>
      <c r="Y409" s="2">
        <f t="shared" ca="1" si="42"/>
        <v>32133</v>
      </c>
      <c r="Z409" s="14">
        <v>1</v>
      </c>
      <c r="AA409" s="1" t="str">
        <f t="shared" ca="1" si="43"/>
        <v>VENCIDO</v>
      </c>
      <c r="AB409" s="1" t="str">
        <f t="shared" si="44"/>
        <v>TAAe+</v>
      </c>
      <c r="AC409" s="2">
        <f t="shared" si="48"/>
        <v>0</v>
      </c>
      <c r="AD409" s="2">
        <f t="shared" si="45"/>
        <v>8</v>
      </c>
      <c r="AE409" s="2">
        <f t="shared" ca="1" si="46"/>
        <v>-44986.676271643519</v>
      </c>
      <c r="AF409" s="15"/>
    </row>
    <row r="410" spans="4:32">
      <c r="D410" s="1"/>
      <c r="E410" s="1"/>
      <c r="P410" s="11"/>
      <c r="X410" s="13">
        <f t="shared" si="47"/>
        <v>0</v>
      </c>
      <c r="Y410" s="2">
        <f t="shared" ca="1" si="42"/>
        <v>32133</v>
      </c>
      <c r="Z410" s="14">
        <v>1</v>
      </c>
      <c r="AA410" s="1" t="str">
        <f t="shared" ca="1" si="43"/>
        <v>VENCIDO</v>
      </c>
      <c r="AB410" s="1" t="str">
        <f t="shared" si="44"/>
        <v>TAAe+</v>
      </c>
      <c r="AC410" s="2">
        <f t="shared" si="48"/>
        <v>0</v>
      </c>
      <c r="AD410" s="2">
        <f t="shared" si="45"/>
        <v>8</v>
      </c>
      <c r="AE410" s="2">
        <f t="shared" ca="1" si="46"/>
        <v>-44986.676271643519</v>
      </c>
      <c r="AF410" s="15"/>
    </row>
    <row r="411" spans="4:32">
      <c r="D411" s="1"/>
      <c r="E411" s="1"/>
      <c r="P411" s="11"/>
      <c r="X411" s="13">
        <f t="shared" si="47"/>
        <v>0</v>
      </c>
      <c r="Y411" s="2">
        <f t="shared" ca="1" si="42"/>
        <v>32133</v>
      </c>
      <c r="Z411" s="14">
        <v>1</v>
      </c>
      <c r="AA411" s="1" t="str">
        <f t="shared" ca="1" si="43"/>
        <v>VENCIDO</v>
      </c>
      <c r="AB411" s="1" t="str">
        <f t="shared" si="44"/>
        <v>TAAe+</v>
      </c>
      <c r="AC411" s="2">
        <f t="shared" si="48"/>
        <v>0</v>
      </c>
      <c r="AD411" s="2">
        <f t="shared" si="45"/>
        <v>8</v>
      </c>
      <c r="AE411" s="2">
        <f t="shared" ca="1" si="46"/>
        <v>-44986.676271643519</v>
      </c>
      <c r="AF411" s="15"/>
    </row>
    <row r="412" spans="4:32">
      <c r="D412" s="1"/>
      <c r="E412" s="1"/>
      <c r="P412" s="11"/>
      <c r="X412" s="13">
        <f t="shared" si="47"/>
        <v>0</v>
      </c>
      <c r="Y412" s="2">
        <f t="shared" ca="1" si="42"/>
        <v>32133</v>
      </c>
      <c r="Z412" s="14">
        <v>1</v>
      </c>
      <c r="AA412" s="1" t="str">
        <f t="shared" ca="1" si="43"/>
        <v>VENCIDO</v>
      </c>
      <c r="AB412" s="1" t="str">
        <f t="shared" si="44"/>
        <v>TAAe+</v>
      </c>
      <c r="AC412" s="2">
        <f t="shared" si="48"/>
        <v>0</v>
      </c>
      <c r="AD412" s="2">
        <f t="shared" si="45"/>
        <v>8</v>
      </c>
      <c r="AE412" s="2">
        <f t="shared" ca="1" si="46"/>
        <v>-44986.676271643519</v>
      </c>
      <c r="AF412" s="15"/>
    </row>
    <row r="413" spans="4:32">
      <c r="D413" s="1"/>
      <c r="E413" s="1"/>
      <c r="P413" s="11"/>
      <c r="X413" s="13">
        <f t="shared" si="47"/>
        <v>0</v>
      </c>
      <c r="Y413" s="2">
        <f t="shared" ca="1" si="42"/>
        <v>32133</v>
      </c>
      <c r="Z413" s="14">
        <v>1</v>
      </c>
      <c r="AA413" s="1" t="str">
        <f t="shared" ca="1" si="43"/>
        <v>VENCIDO</v>
      </c>
      <c r="AB413" s="1" t="str">
        <f t="shared" si="44"/>
        <v>TAAe+</v>
      </c>
      <c r="AC413" s="2">
        <f t="shared" si="48"/>
        <v>0</v>
      </c>
      <c r="AD413" s="2">
        <f t="shared" si="45"/>
        <v>8</v>
      </c>
      <c r="AE413" s="2">
        <f t="shared" ca="1" si="46"/>
        <v>-44986.676271643519</v>
      </c>
      <c r="AF413" s="15"/>
    </row>
    <row r="414" spans="4:32">
      <c r="D414" s="1"/>
      <c r="E414" s="1"/>
      <c r="P414" s="11"/>
      <c r="X414" s="13">
        <f t="shared" si="47"/>
        <v>0</v>
      </c>
      <c r="Y414" s="2">
        <f t="shared" ca="1" si="42"/>
        <v>32133</v>
      </c>
      <c r="Z414" s="14">
        <v>1</v>
      </c>
      <c r="AA414" s="1" t="str">
        <f t="shared" ca="1" si="43"/>
        <v>VENCIDO</v>
      </c>
      <c r="AB414" s="1" t="str">
        <f t="shared" si="44"/>
        <v>TAAe+</v>
      </c>
      <c r="AC414" s="2">
        <f t="shared" si="48"/>
        <v>0</v>
      </c>
      <c r="AD414" s="2">
        <f t="shared" si="45"/>
        <v>8</v>
      </c>
      <c r="AE414" s="2">
        <f t="shared" ca="1" si="46"/>
        <v>-44986.676271643519</v>
      </c>
      <c r="AF414" s="15"/>
    </row>
    <row r="415" spans="4:32">
      <c r="D415" s="1"/>
      <c r="E415" s="1"/>
      <c r="P415" s="11"/>
      <c r="X415" s="13">
        <f t="shared" si="47"/>
        <v>0</v>
      </c>
      <c r="Y415" s="2">
        <f t="shared" ca="1" si="42"/>
        <v>32133</v>
      </c>
      <c r="Z415" s="14">
        <v>1</v>
      </c>
      <c r="AA415" s="1" t="str">
        <f t="shared" ca="1" si="43"/>
        <v>VENCIDO</v>
      </c>
      <c r="AB415" s="1" t="str">
        <f t="shared" si="44"/>
        <v>TAAe+</v>
      </c>
      <c r="AC415" s="2">
        <f t="shared" si="48"/>
        <v>0</v>
      </c>
      <c r="AD415" s="2">
        <f t="shared" si="45"/>
        <v>8</v>
      </c>
      <c r="AE415" s="2">
        <f t="shared" ca="1" si="46"/>
        <v>-44986.676271643519</v>
      </c>
      <c r="AF415" s="15"/>
    </row>
    <row r="416" spans="4:32">
      <c r="D416" s="1"/>
      <c r="E416" s="1"/>
      <c r="P416" s="11"/>
      <c r="X416" s="13">
        <f t="shared" si="47"/>
        <v>0</v>
      </c>
      <c r="Y416" s="2">
        <f t="shared" ca="1" si="42"/>
        <v>32133</v>
      </c>
      <c r="Z416" s="14">
        <v>1</v>
      </c>
      <c r="AA416" s="1" t="str">
        <f t="shared" ca="1" si="43"/>
        <v>VENCIDO</v>
      </c>
      <c r="AB416" s="1" t="str">
        <f t="shared" si="44"/>
        <v>TAAe+</v>
      </c>
      <c r="AC416" s="2">
        <f t="shared" si="48"/>
        <v>0</v>
      </c>
      <c r="AD416" s="2">
        <f t="shared" si="45"/>
        <v>8</v>
      </c>
      <c r="AE416" s="2">
        <f t="shared" ca="1" si="46"/>
        <v>-44986.676271643519</v>
      </c>
      <c r="AF416" s="15"/>
    </row>
    <row r="417" spans="3:32">
      <c r="D417" s="1"/>
      <c r="E417" s="1"/>
      <c r="P417" s="11"/>
      <c r="X417" s="13">
        <f t="shared" si="47"/>
        <v>0</v>
      </c>
      <c r="Y417" s="2">
        <f t="shared" ca="1" si="42"/>
        <v>32133</v>
      </c>
      <c r="Z417" s="14">
        <v>1</v>
      </c>
      <c r="AA417" s="1" t="str">
        <f t="shared" ca="1" si="43"/>
        <v>VENCIDO</v>
      </c>
      <c r="AB417" s="1" t="str">
        <f t="shared" si="44"/>
        <v>TAAe+</v>
      </c>
      <c r="AC417" s="2">
        <f t="shared" si="48"/>
        <v>0</v>
      </c>
      <c r="AD417" s="2">
        <f t="shared" si="45"/>
        <v>8</v>
      </c>
      <c r="AE417" s="2">
        <f t="shared" ca="1" si="46"/>
        <v>-44986.676271643519</v>
      </c>
      <c r="AF417" s="15"/>
    </row>
    <row r="418" spans="3:32">
      <c r="D418" s="1"/>
      <c r="E418" s="1"/>
      <c r="P418" s="11"/>
      <c r="X418" s="13">
        <f t="shared" si="47"/>
        <v>0</v>
      </c>
      <c r="Y418" s="2">
        <f t="shared" ca="1" si="42"/>
        <v>32133</v>
      </c>
      <c r="Z418" s="14">
        <v>1</v>
      </c>
      <c r="AA418" s="1" t="str">
        <f t="shared" ca="1" si="43"/>
        <v>VENCIDO</v>
      </c>
      <c r="AB418" s="1" t="str">
        <f t="shared" si="44"/>
        <v>TAAe+</v>
      </c>
      <c r="AC418" s="2">
        <f t="shared" si="48"/>
        <v>0</v>
      </c>
      <c r="AD418" s="2">
        <f t="shared" si="45"/>
        <v>8</v>
      </c>
      <c r="AE418" s="2">
        <f t="shared" ca="1" si="46"/>
        <v>-44986.676271643519</v>
      </c>
      <c r="AF418" s="15"/>
    </row>
    <row r="419" spans="3:32">
      <c r="D419" s="1"/>
      <c r="E419" s="1"/>
      <c r="P419" s="11"/>
      <c r="X419" s="13">
        <f t="shared" si="47"/>
        <v>0</v>
      </c>
      <c r="Y419" s="2">
        <f t="shared" ca="1" si="42"/>
        <v>32133</v>
      </c>
      <c r="Z419" s="14">
        <v>1</v>
      </c>
      <c r="AA419" s="1" t="str">
        <f t="shared" ca="1" si="43"/>
        <v>VENCIDO</v>
      </c>
      <c r="AB419" s="1" t="str">
        <f t="shared" si="44"/>
        <v>TAAe+</v>
      </c>
      <c r="AC419" s="2">
        <f t="shared" si="48"/>
        <v>0</v>
      </c>
      <c r="AD419" s="2">
        <f t="shared" si="45"/>
        <v>8</v>
      </c>
      <c r="AE419" s="2">
        <f t="shared" ca="1" si="46"/>
        <v>-44986.676271643519</v>
      </c>
      <c r="AF419" s="15"/>
    </row>
    <row r="420" spans="3:32">
      <c r="D420" s="1"/>
      <c r="E420" s="1"/>
      <c r="P420" s="11"/>
      <c r="X420" s="13">
        <f t="shared" si="47"/>
        <v>0</v>
      </c>
      <c r="Y420" s="2">
        <f t="shared" ca="1" si="42"/>
        <v>32133</v>
      </c>
      <c r="Z420" s="14">
        <v>1</v>
      </c>
      <c r="AA420" s="1" t="str">
        <f t="shared" ca="1" si="43"/>
        <v>VENCIDO</v>
      </c>
      <c r="AB420" s="1" t="str">
        <f t="shared" si="44"/>
        <v>TAAe+</v>
      </c>
      <c r="AC420" s="2">
        <f t="shared" si="48"/>
        <v>0</v>
      </c>
      <c r="AD420" s="2">
        <f t="shared" si="45"/>
        <v>8</v>
      </c>
      <c r="AE420" s="2">
        <f t="shared" ca="1" si="46"/>
        <v>-44986.676271643519</v>
      </c>
      <c r="AF420" s="15"/>
    </row>
    <row r="421" spans="3:32">
      <c r="D421" s="1"/>
      <c r="E421" s="1"/>
      <c r="P421" s="11"/>
      <c r="X421" s="13">
        <f t="shared" si="47"/>
        <v>0</v>
      </c>
      <c r="Y421" s="2">
        <f t="shared" ca="1" si="42"/>
        <v>32133</v>
      </c>
      <c r="Z421" s="14">
        <v>1</v>
      </c>
      <c r="AA421" s="1" t="str">
        <f t="shared" ca="1" si="43"/>
        <v>VENCIDO</v>
      </c>
      <c r="AB421" s="1" t="str">
        <f t="shared" si="44"/>
        <v>TAAe+</v>
      </c>
      <c r="AC421" s="2">
        <f t="shared" si="48"/>
        <v>0</v>
      </c>
      <c r="AD421" s="2">
        <f t="shared" si="45"/>
        <v>8</v>
      </c>
      <c r="AE421" s="2">
        <f t="shared" ca="1" si="46"/>
        <v>-44986.676271643519</v>
      </c>
      <c r="AF421" s="15"/>
    </row>
    <row r="422" spans="3:32">
      <c r="D422" s="1"/>
      <c r="E422" s="1"/>
      <c r="P422" s="11"/>
      <c r="X422" s="13">
        <f t="shared" si="47"/>
        <v>0</v>
      </c>
      <c r="Y422" s="2">
        <f t="shared" ca="1" si="42"/>
        <v>32133</v>
      </c>
      <c r="Z422" s="14">
        <v>1</v>
      </c>
      <c r="AA422" s="1" t="str">
        <f t="shared" ca="1" si="43"/>
        <v>VENCIDO</v>
      </c>
      <c r="AB422" s="1" t="str">
        <f t="shared" si="44"/>
        <v>TAAe+</v>
      </c>
      <c r="AC422" s="2">
        <f t="shared" si="48"/>
        <v>0</v>
      </c>
      <c r="AD422" s="2">
        <f t="shared" si="45"/>
        <v>8</v>
      </c>
      <c r="AE422" s="2">
        <f t="shared" ca="1" si="46"/>
        <v>-44986.676271643519</v>
      </c>
      <c r="AF422" s="15"/>
    </row>
    <row r="423" spans="3:32">
      <c r="D423" s="1"/>
      <c r="E423" s="1"/>
      <c r="P423" s="11"/>
      <c r="U423" s="11"/>
      <c r="X423" s="13">
        <f t="shared" si="47"/>
        <v>0</v>
      </c>
      <c r="Y423" s="2">
        <f t="shared" ca="1" si="42"/>
        <v>32133</v>
      </c>
      <c r="Z423" s="14">
        <v>1</v>
      </c>
      <c r="AA423" s="1" t="str">
        <f t="shared" ca="1" si="43"/>
        <v>VENCIDO</v>
      </c>
      <c r="AB423" s="1" t="str">
        <f t="shared" si="44"/>
        <v>TAAe+</v>
      </c>
      <c r="AC423" s="2">
        <f t="shared" si="48"/>
        <v>0</v>
      </c>
      <c r="AD423" s="2">
        <f t="shared" si="45"/>
        <v>8</v>
      </c>
      <c r="AE423" s="2">
        <f t="shared" ca="1" si="46"/>
        <v>-44986.676271643519</v>
      </c>
      <c r="AF423" s="15"/>
    </row>
    <row r="424" spans="3:32">
      <c r="D424" s="1"/>
      <c r="E424" s="1"/>
      <c r="P424" s="11"/>
      <c r="U424" s="11"/>
      <c r="X424" s="13">
        <f t="shared" si="47"/>
        <v>0</v>
      </c>
      <c r="Y424" s="2">
        <f t="shared" ca="1" si="42"/>
        <v>32133</v>
      </c>
      <c r="Z424" s="14">
        <v>1</v>
      </c>
      <c r="AA424" s="1" t="str">
        <f t="shared" ca="1" si="43"/>
        <v>VENCIDO</v>
      </c>
      <c r="AB424" s="1" t="str">
        <f t="shared" si="44"/>
        <v>TAAe+</v>
      </c>
      <c r="AC424" s="2">
        <f t="shared" si="48"/>
        <v>0</v>
      </c>
      <c r="AD424" s="2">
        <f t="shared" si="45"/>
        <v>8</v>
      </c>
      <c r="AE424" s="2">
        <f t="shared" ca="1" si="46"/>
        <v>-44986.676271643519</v>
      </c>
      <c r="AF424" s="15"/>
    </row>
    <row r="425" spans="3:32">
      <c r="D425" s="1"/>
      <c r="E425" s="1"/>
      <c r="P425" s="11"/>
      <c r="U425" s="11"/>
      <c r="X425" s="13">
        <f t="shared" si="47"/>
        <v>0</v>
      </c>
      <c r="Y425" s="2">
        <f t="shared" ca="1" si="42"/>
        <v>32133</v>
      </c>
      <c r="Z425" s="14">
        <v>1</v>
      </c>
      <c r="AA425" s="1" t="str">
        <f t="shared" ca="1" si="43"/>
        <v>VENCIDO</v>
      </c>
      <c r="AB425" s="1" t="str">
        <f t="shared" si="44"/>
        <v>TAAe+</v>
      </c>
      <c r="AC425" s="2">
        <f t="shared" si="48"/>
        <v>0</v>
      </c>
      <c r="AD425" s="2">
        <f t="shared" si="45"/>
        <v>8</v>
      </c>
      <c r="AE425" s="2">
        <f t="shared" ca="1" si="46"/>
        <v>-44986.676271643519</v>
      </c>
      <c r="AF425" s="15"/>
    </row>
    <row r="426" spans="3:32">
      <c r="D426" s="1"/>
      <c r="E426" s="1"/>
      <c r="P426" s="11"/>
      <c r="U426" s="11"/>
      <c r="X426" s="13">
        <f t="shared" si="47"/>
        <v>0</v>
      </c>
      <c r="Y426" s="2">
        <f t="shared" ca="1" si="42"/>
        <v>32133</v>
      </c>
      <c r="Z426" s="14">
        <v>1</v>
      </c>
      <c r="AA426" s="1" t="str">
        <f t="shared" ca="1" si="43"/>
        <v>VENCIDO</v>
      </c>
      <c r="AB426" s="1" t="str">
        <f t="shared" si="44"/>
        <v>TAAe+</v>
      </c>
      <c r="AC426" s="2">
        <f t="shared" si="48"/>
        <v>0</v>
      </c>
      <c r="AD426" s="2">
        <f t="shared" si="45"/>
        <v>8</v>
      </c>
      <c r="AE426" s="2">
        <f t="shared" ca="1" si="46"/>
        <v>-44986.676271643519</v>
      </c>
      <c r="AF426" s="15"/>
    </row>
    <row r="427" spans="3:32">
      <c r="D427" s="1"/>
      <c r="E427" s="1"/>
      <c r="P427" s="11"/>
      <c r="U427" s="11"/>
      <c r="X427" s="13">
        <f t="shared" si="47"/>
        <v>0</v>
      </c>
      <c r="Y427" s="2">
        <f t="shared" ca="1" si="42"/>
        <v>32133</v>
      </c>
      <c r="Z427" s="14">
        <v>1</v>
      </c>
      <c r="AA427" s="1" t="str">
        <f t="shared" ca="1" si="43"/>
        <v>VENCIDO</v>
      </c>
      <c r="AB427" s="1" t="str">
        <f t="shared" si="44"/>
        <v>TAAe+</v>
      </c>
      <c r="AC427" s="2">
        <f t="shared" si="48"/>
        <v>0</v>
      </c>
      <c r="AD427" s="2">
        <f t="shared" si="45"/>
        <v>8</v>
      </c>
      <c r="AE427" s="2">
        <f t="shared" ca="1" si="46"/>
        <v>-44986.676271643519</v>
      </c>
      <c r="AF427" s="15"/>
    </row>
    <row r="428" spans="3:32">
      <c r="D428" s="1"/>
      <c r="E428" s="1"/>
      <c r="P428" s="11"/>
      <c r="U428" s="11"/>
      <c r="X428" s="13">
        <f t="shared" si="47"/>
        <v>0</v>
      </c>
      <c r="Y428" s="2">
        <f t="shared" ca="1" si="42"/>
        <v>32133</v>
      </c>
      <c r="Z428" s="14">
        <v>1</v>
      </c>
      <c r="AA428" s="1" t="str">
        <f t="shared" ca="1" si="43"/>
        <v>VENCIDO</v>
      </c>
      <c r="AB428" s="1" t="str">
        <f t="shared" si="44"/>
        <v>TAAe+</v>
      </c>
      <c r="AC428" s="2">
        <f t="shared" si="48"/>
        <v>0</v>
      </c>
      <c r="AD428" s="2">
        <f t="shared" si="45"/>
        <v>8</v>
      </c>
      <c r="AE428" s="2">
        <f t="shared" ca="1" si="46"/>
        <v>-44986.676271643519</v>
      </c>
      <c r="AF428" s="15"/>
    </row>
    <row r="429" spans="3:32">
      <c r="D429" s="1"/>
      <c r="E429" s="1"/>
      <c r="P429" s="11"/>
      <c r="U429" s="11"/>
      <c r="X429" s="13">
        <f t="shared" si="47"/>
        <v>0</v>
      </c>
      <c r="Y429" s="2">
        <f t="shared" ca="1" si="42"/>
        <v>32133</v>
      </c>
      <c r="Z429" s="14">
        <v>1</v>
      </c>
      <c r="AA429" s="1" t="str">
        <f t="shared" ca="1" si="43"/>
        <v>VENCIDO</v>
      </c>
      <c r="AB429" s="1" t="str">
        <f t="shared" si="44"/>
        <v>TAAe+</v>
      </c>
      <c r="AC429" s="2">
        <f t="shared" si="48"/>
        <v>0</v>
      </c>
      <c r="AD429" s="2">
        <f t="shared" si="45"/>
        <v>8</v>
      </c>
      <c r="AE429" s="2">
        <f t="shared" ca="1" si="46"/>
        <v>-44986.676271643519</v>
      </c>
      <c r="AF429" s="15"/>
    </row>
    <row r="430" spans="3:32">
      <c r="C430" s="23"/>
      <c r="D430" s="1"/>
      <c r="E430" s="1"/>
      <c r="P430" s="11"/>
      <c r="U430" s="11"/>
      <c r="X430" s="13">
        <f t="shared" si="47"/>
        <v>0</v>
      </c>
      <c r="Y430" s="2">
        <f t="shared" ca="1" si="42"/>
        <v>32133</v>
      </c>
      <c r="Z430" s="14">
        <v>1</v>
      </c>
      <c r="AA430" s="1" t="str">
        <f t="shared" ca="1" si="43"/>
        <v>VENCIDO</v>
      </c>
      <c r="AB430" s="1" t="str">
        <f t="shared" si="44"/>
        <v>TAAe+</v>
      </c>
      <c r="AC430" s="2">
        <f t="shared" si="48"/>
        <v>0</v>
      </c>
      <c r="AD430" s="2">
        <f t="shared" si="45"/>
        <v>8</v>
      </c>
      <c r="AE430" s="2">
        <f t="shared" ca="1" si="46"/>
        <v>-44986.676271643519</v>
      </c>
      <c r="AF430" s="15"/>
    </row>
    <row r="431" spans="3:32">
      <c r="D431" s="1"/>
      <c r="E431" s="1"/>
      <c r="P431" s="11"/>
      <c r="U431" s="11"/>
      <c r="X431" s="13">
        <f t="shared" si="47"/>
        <v>0</v>
      </c>
      <c r="Y431" s="2">
        <f t="shared" ca="1" si="42"/>
        <v>32133</v>
      </c>
      <c r="Z431" s="14">
        <v>1</v>
      </c>
      <c r="AA431" s="1" t="str">
        <f t="shared" ca="1" si="43"/>
        <v>VENCIDO</v>
      </c>
      <c r="AB431" s="1" t="str">
        <f t="shared" si="44"/>
        <v>TAAe+</v>
      </c>
      <c r="AC431" s="2">
        <f t="shared" si="48"/>
        <v>0</v>
      </c>
      <c r="AD431" s="2">
        <f t="shared" si="45"/>
        <v>8</v>
      </c>
      <c r="AE431" s="2">
        <f t="shared" ca="1" si="46"/>
        <v>-44986.676271643519</v>
      </c>
      <c r="AF431" s="15"/>
    </row>
    <row r="432" spans="3:32">
      <c r="D432" s="1"/>
      <c r="E432" s="1"/>
      <c r="P432" s="11"/>
      <c r="U432" s="11"/>
      <c r="X432" s="13">
        <f t="shared" si="47"/>
        <v>0</v>
      </c>
      <c r="Y432" s="2">
        <f t="shared" ca="1" si="42"/>
        <v>32133</v>
      </c>
      <c r="Z432" s="14">
        <v>1</v>
      </c>
      <c r="AA432" s="1" t="str">
        <f t="shared" ca="1" si="43"/>
        <v>VENCIDO</v>
      </c>
      <c r="AB432" s="1" t="str">
        <f t="shared" si="44"/>
        <v>TAAe+</v>
      </c>
      <c r="AC432" s="2">
        <f t="shared" si="48"/>
        <v>0</v>
      </c>
      <c r="AD432" s="2">
        <f t="shared" si="45"/>
        <v>8</v>
      </c>
      <c r="AE432" s="2">
        <f t="shared" ca="1" si="46"/>
        <v>-44986.676271643519</v>
      </c>
      <c r="AF432" s="15"/>
    </row>
    <row r="433" spans="4:32">
      <c r="D433" s="1"/>
      <c r="E433" s="1"/>
      <c r="P433" s="11"/>
      <c r="U433" s="11"/>
      <c r="X433" s="13">
        <f t="shared" si="47"/>
        <v>0</v>
      </c>
      <c r="Y433" s="2">
        <f t="shared" ca="1" si="42"/>
        <v>32133</v>
      </c>
      <c r="Z433" s="14">
        <v>1</v>
      </c>
      <c r="AA433" s="1" t="str">
        <f t="shared" ca="1" si="43"/>
        <v>VENCIDO</v>
      </c>
      <c r="AB433" s="1" t="str">
        <f t="shared" si="44"/>
        <v>TAAe+</v>
      </c>
      <c r="AC433" s="2">
        <f t="shared" si="48"/>
        <v>0</v>
      </c>
      <c r="AD433" s="2">
        <f t="shared" si="45"/>
        <v>8</v>
      </c>
      <c r="AE433" s="2">
        <f t="shared" ca="1" si="46"/>
        <v>-44986.676271643519</v>
      </c>
      <c r="AF433" s="15"/>
    </row>
    <row r="434" spans="4:32">
      <c r="D434" s="1"/>
      <c r="E434" s="1"/>
      <c r="P434" s="11"/>
      <c r="U434" s="11"/>
      <c r="X434" s="13">
        <f t="shared" si="47"/>
        <v>0</v>
      </c>
      <c r="Y434" s="2">
        <f t="shared" ca="1" si="42"/>
        <v>32133</v>
      </c>
      <c r="Z434" s="14">
        <v>1</v>
      </c>
      <c r="AA434" s="1" t="str">
        <f t="shared" ca="1" si="43"/>
        <v>VENCIDO</v>
      </c>
      <c r="AB434" s="1" t="str">
        <f t="shared" si="44"/>
        <v>TAAe+</v>
      </c>
      <c r="AC434" s="2">
        <f t="shared" si="48"/>
        <v>0</v>
      </c>
      <c r="AD434" s="2">
        <f t="shared" si="45"/>
        <v>8</v>
      </c>
      <c r="AE434" s="2">
        <f t="shared" ca="1" si="46"/>
        <v>-44986.676271643519</v>
      </c>
      <c r="AF434" s="15"/>
    </row>
    <row r="435" spans="4:32">
      <c r="D435" s="1"/>
      <c r="E435" s="1"/>
      <c r="P435" s="11"/>
      <c r="U435" s="11"/>
      <c r="X435" s="13">
        <f t="shared" si="47"/>
        <v>0</v>
      </c>
      <c r="Y435" s="2">
        <f t="shared" ca="1" si="42"/>
        <v>32133</v>
      </c>
      <c r="Z435" s="14">
        <v>1</v>
      </c>
      <c r="AA435" s="1" t="str">
        <f t="shared" ca="1" si="43"/>
        <v>VENCIDO</v>
      </c>
      <c r="AB435" s="1" t="str">
        <f t="shared" si="44"/>
        <v>TAAe+</v>
      </c>
      <c r="AC435" s="2">
        <f t="shared" si="48"/>
        <v>0</v>
      </c>
      <c r="AD435" s="2">
        <f t="shared" si="45"/>
        <v>8</v>
      </c>
      <c r="AE435" s="2">
        <f t="shared" ca="1" si="46"/>
        <v>-44986.676271643519</v>
      </c>
      <c r="AF435" s="15"/>
    </row>
    <row r="436" spans="4:32">
      <c r="D436" s="1"/>
      <c r="E436" s="1"/>
      <c r="P436" s="11"/>
      <c r="U436" s="11"/>
      <c r="X436" s="13">
        <f t="shared" si="47"/>
        <v>0</v>
      </c>
      <c r="Y436" s="2">
        <f t="shared" ca="1" si="42"/>
        <v>32133</v>
      </c>
      <c r="Z436" s="14">
        <v>1</v>
      </c>
      <c r="AA436" s="1" t="str">
        <f t="shared" ca="1" si="43"/>
        <v>VENCIDO</v>
      </c>
      <c r="AB436" s="1" t="str">
        <f t="shared" si="44"/>
        <v>TAAe+</v>
      </c>
      <c r="AC436" s="2">
        <f t="shared" si="48"/>
        <v>0</v>
      </c>
      <c r="AD436" s="2">
        <f t="shared" si="45"/>
        <v>8</v>
      </c>
      <c r="AE436" s="2">
        <f t="shared" ca="1" si="46"/>
        <v>-44986.676271643519</v>
      </c>
      <c r="AF436" s="15"/>
    </row>
    <row r="437" spans="4:32">
      <c r="D437" s="1"/>
      <c r="E437" s="1"/>
      <c r="P437" s="11"/>
      <c r="U437" s="11"/>
      <c r="X437" s="13">
        <f t="shared" si="47"/>
        <v>0</v>
      </c>
      <c r="Y437" s="2">
        <f t="shared" ca="1" si="42"/>
        <v>32133</v>
      </c>
      <c r="Z437" s="14">
        <v>1</v>
      </c>
      <c r="AA437" s="1" t="str">
        <f t="shared" ca="1" si="43"/>
        <v>VENCIDO</v>
      </c>
      <c r="AB437" s="1" t="str">
        <f t="shared" si="44"/>
        <v>TAAe+</v>
      </c>
      <c r="AC437" s="2">
        <f t="shared" si="48"/>
        <v>0</v>
      </c>
      <c r="AD437" s="2">
        <f t="shared" si="45"/>
        <v>8</v>
      </c>
      <c r="AE437" s="2">
        <f t="shared" ca="1" si="46"/>
        <v>-44986.676271643519</v>
      </c>
      <c r="AF437" s="15"/>
    </row>
    <row r="438" spans="4:32">
      <c r="D438" s="1"/>
      <c r="E438" s="1"/>
      <c r="P438" s="11"/>
      <c r="U438" s="11"/>
      <c r="X438" s="13">
        <f t="shared" si="47"/>
        <v>0</v>
      </c>
      <c r="Y438" s="2">
        <f t="shared" ca="1" si="42"/>
        <v>32133</v>
      </c>
      <c r="Z438" s="14">
        <v>1</v>
      </c>
      <c r="AA438" s="1" t="str">
        <f t="shared" ca="1" si="43"/>
        <v>VENCIDO</v>
      </c>
      <c r="AB438" s="1" t="str">
        <f t="shared" si="44"/>
        <v>TAAe+</v>
      </c>
      <c r="AC438" s="2">
        <f t="shared" si="48"/>
        <v>0</v>
      </c>
      <c r="AD438" s="2">
        <f t="shared" si="45"/>
        <v>8</v>
      </c>
      <c r="AE438" s="2">
        <f t="shared" ca="1" si="46"/>
        <v>-44986.676271643519</v>
      </c>
      <c r="AF438" s="15"/>
    </row>
    <row r="439" spans="4:32">
      <c r="D439" s="1"/>
      <c r="E439" s="1"/>
      <c r="P439" s="11"/>
      <c r="U439" s="11"/>
      <c r="X439" s="13">
        <f t="shared" si="47"/>
        <v>0</v>
      </c>
      <c r="Y439" s="2">
        <f t="shared" ca="1" si="42"/>
        <v>32133</v>
      </c>
      <c r="Z439" s="14">
        <v>1</v>
      </c>
      <c r="AA439" s="1" t="str">
        <f t="shared" ca="1" si="43"/>
        <v>VENCIDO</v>
      </c>
      <c r="AB439" s="1" t="str">
        <f t="shared" si="44"/>
        <v>TAAe+</v>
      </c>
      <c r="AC439" s="2">
        <f t="shared" si="48"/>
        <v>0</v>
      </c>
      <c r="AD439" s="2">
        <f t="shared" si="45"/>
        <v>8</v>
      </c>
      <c r="AE439" s="2">
        <f t="shared" ca="1" si="46"/>
        <v>-44986.676271643519</v>
      </c>
      <c r="AF439" s="15"/>
    </row>
    <row r="440" spans="4:32">
      <c r="D440" s="1"/>
      <c r="E440" s="1"/>
      <c r="P440" s="11"/>
      <c r="U440" s="11"/>
      <c r="X440" s="13">
        <f t="shared" si="47"/>
        <v>0</v>
      </c>
      <c r="Y440" s="2">
        <f t="shared" ca="1" si="42"/>
        <v>32133</v>
      </c>
      <c r="Z440" s="14">
        <v>1</v>
      </c>
      <c r="AA440" s="1" t="str">
        <f t="shared" ca="1" si="43"/>
        <v>VENCIDO</v>
      </c>
      <c r="AB440" s="1" t="str">
        <f t="shared" si="44"/>
        <v>TAAe+</v>
      </c>
      <c r="AC440" s="2">
        <f t="shared" si="48"/>
        <v>0</v>
      </c>
      <c r="AD440" s="2">
        <f t="shared" si="45"/>
        <v>8</v>
      </c>
      <c r="AE440" s="2">
        <f t="shared" ca="1" si="46"/>
        <v>-44986.676271643519</v>
      </c>
      <c r="AF440" s="15"/>
    </row>
    <row r="441" spans="4:32">
      <c r="D441" s="1"/>
      <c r="E441" s="1"/>
      <c r="P441" s="11"/>
      <c r="U441" s="11"/>
      <c r="X441" s="13">
        <f t="shared" si="47"/>
        <v>0</v>
      </c>
      <c r="Y441" s="2">
        <f t="shared" ca="1" si="42"/>
        <v>32133</v>
      </c>
      <c r="Z441" s="14">
        <v>1</v>
      </c>
      <c r="AA441" s="1" t="str">
        <f t="shared" ca="1" si="43"/>
        <v>VENCIDO</v>
      </c>
      <c r="AB441" s="1" t="str">
        <f t="shared" si="44"/>
        <v>TAAe+</v>
      </c>
      <c r="AC441" s="2">
        <f t="shared" si="48"/>
        <v>0</v>
      </c>
      <c r="AD441" s="2">
        <f t="shared" si="45"/>
        <v>8</v>
      </c>
      <c r="AE441" s="2">
        <f t="shared" ca="1" si="46"/>
        <v>-44986.676271643519</v>
      </c>
      <c r="AF441" s="15"/>
    </row>
    <row r="442" spans="4:32">
      <c r="D442" s="1"/>
      <c r="E442" s="1"/>
      <c r="P442" s="11"/>
      <c r="U442" s="11"/>
      <c r="X442" s="13">
        <f t="shared" si="47"/>
        <v>0</v>
      </c>
      <c r="Y442" s="2">
        <f t="shared" ca="1" si="42"/>
        <v>32133</v>
      </c>
      <c r="Z442" s="14">
        <v>1</v>
      </c>
      <c r="AA442" s="1" t="str">
        <f t="shared" ca="1" si="43"/>
        <v>VENCIDO</v>
      </c>
      <c r="AB442" s="1" t="str">
        <f t="shared" si="44"/>
        <v>TAAe+</v>
      </c>
      <c r="AC442" s="2">
        <f t="shared" si="48"/>
        <v>0</v>
      </c>
      <c r="AD442" s="2">
        <f t="shared" si="45"/>
        <v>8</v>
      </c>
      <c r="AE442" s="2">
        <f t="shared" ca="1" si="46"/>
        <v>-44986.676271643519</v>
      </c>
      <c r="AF442" s="15"/>
    </row>
    <row r="443" spans="4:32">
      <c r="D443" s="1"/>
      <c r="E443" s="1"/>
      <c r="P443" s="11"/>
      <c r="U443" s="11"/>
      <c r="X443" s="13">
        <f t="shared" si="47"/>
        <v>0</v>
      </c>
      <c r="Y443" s="2">
        <f t="shared" ca="1" si="42"/>
        <v>32133</v>
      </c>
      <c r="Z443" s="14">
        <v>1</v>
      </c>
      <c r="AA443" s="1" t="str">
        <f t="shared" ca="1" si="43"/>
        <v>VENCIDO</v>
      </c>
      <c r="AB443" s="1" t="str">
        <f t="shared" si="44"/>
        <v>TAAe+</v>
      </c>
      <c r="AC443" s="2">
        <f t="shared" si="48"/>
        <v>0</v>
      </c>
      <c r="AD443" s="2">
        <f t="shared" si="45"/>
        <v>8</v>
      </c>
      <c r="AE443" s="2">
        <f t="shared" ca="1" si="46"/>
        <v>-44986.676271643519</v>
      </c>
      <c r="AF443" s="15"/>
    </row>
    <row r="444" spans="4:32">
      <c r="D444" s="1"/>
      <c r="E444" s="1"/>
      <c r="P444" s="11"/>
      <c r="U444" s="11"/>
      <c r="X444" s="13">
        <f t="shared" si="47"/>
        <v>0</v>
      </c>
      <c r="Y444" s="2">
        <f t="shared" ca="1" si="42"/>
        <v>32133</v>
      </c>
      <c r="Z444" s="14">
        <v>1</v>
      </c>
      <c r="AA444" s="1" t="str">
        <f t="shared" ca="1" si="43"/>
        <v>VENCIDO</v>
      </c>
      <c r="AB444" s="1" t="str">
        <f t="shared" si="44"/>
        <v>TAAe+</v>
      </c>
      <c r="AC444" s="2">
        <f t="shared" si="48"/>
        <v>0</v>
      </c>
      <c r="AD444" s="2">
        <f t="shared" si="45"/>
        <v>8</v>
      </c>
      <c r="AE444" s="2">
        <f t="shared" ca="1" si="46"/>
        <v>-44986.676271643519</v>
      </c>
      <c r="AF444" s="15"/>
    </row>
    <row r="445" spans="4:32">
      <c r="D445" s="1"/>
      <c r="E445" s="1"/>
      <c r="P445" s="11"/>
      <c r="U445" s="11"/>
      <c r="X445" s="13">
        <f t="shared" si="47"/>
        <v>0</v>
      </c>
      <c r="Y445" s="2">
        <f t="shared" ca="1" si="42"/>
        <v>32133</v>
      </c>
      <c r="Z445" s="14">
        <v>1</v>
      </c>
      <c r="AA445" s="1" t="str">
        <f t="shared" ca="1" si="43"/>
        <v>VENCIDO</v>
      </c>
      <c r="AB445" s="1" t="str">
        <f t="shared" si="44"/>
        <v>TAAe+</v>
      </c>
      <c r="AC445" s="2">
        <f t="shared" si="48"/>
        <v>0</v>
      </c>
      <c r="AD445" s="2">
        <f t="shared" si="45"/>
        <v>8</v>
      </c>
      <c r="AE445" s="2">
        <f t="shared" ca="1" si="46"/>
        <v>-44986.676271643519</v>
      </c>
      <c r="AF445" s="15"/>
    </row>
    <row r="446" spans="4:32">
      <c r="D446" s="1"/>
      <c r="E446" s="1"/>
      <c r="P446" s="11"/>
      <c r="U446" s="11"/>
      <c r="X446" s="13">
        <f t="shared" si="47"/>
        <v>0</v>
      </c>
      <c r="Y446" s="2">
        <f t="shared" ca="1" si="42"/>
        <v>32133</v>
      </c>
      <c r="Z446" s="14">
        <v>1</v>
      </c>
      <c r="AA446" s="1" t="str">
        <f t="shared" ca="1" si="43"/>
        <v>VENCIDO</v>
      </c>
      <c r="AB446" s="1" t="str">
        <f t="shared" si="44"/>
        <v>TAAe+</v>
      </c>
      <c r="AC446" s="2">
        <f t="shared" si="48"/>
        <v>0</v>
      </c>
      <c r="AD446" s="2">
        <f t="shared" si="45"/>
        <v>8</v>
      </c>
      <c r="AE446" s="2">
        <f t="shared" ca="1" si="46"/>
        <v>-44986.676271643519</v>
      </c>
      <c r="AF446" s="15"/>
    </row>
    <row r="447" spans="4:32">
      <c r="D447" s="1"/>
      <c r="E447" s="1"/>
      <c r="P447" s="11"/>
      <c r="U447" s="11"/>
      <c r="X447" s="13">
        <f t="shared" si="47"/>
        <v>0</v>
      </c>
      <c r="Y447" s="2">
        <f t="shared" ca="1" si="42"/>
        <v>32133</v>
      </c>
      <c r="Z447" s="14">
        <v>1</v>
      </c>
      <c r="AA447" s="1" t="str">
        <f t="shared" ca="1" si="43"/>
        <v>VENCIDO</v>
      </c>
      <c r="AB447" s="1" t="str">
        <f t="shared" si="44"/>
        <v>TAAe+</v>
      </c>
      <c r="AC447" s="2">
        <f t="shared" si="48"/>
        <v>0</v>
      </c>
      <c r="AD447" s="2">
        <f t="shared" si="45"/>
        <v>8</v>
      </c>
      <c r="AE447" s="2">
        <f t="shared" ca="1" si="46"/>
        <v>-44986.676271643519</v>
      </c>
      <c r="AF447" s="15"/>
    </row>
    <row r="448" spans="4:32">
      <c r="D448" s="1"/>
      <c r="E448" s="1"/>
      <c r="P448" s="11"/>
      <c r="U448" s="11"/>
      <c r="X448" s="13">
        <f t="shared" si="47"/>
        <v>0</v>
      </c>
      <c r="Y448" s="2">
        <f t="shared" ca="1" si="42"/>
        <v>32133</v>
      </c>
      <c r="Z448" s="14">
        <v>1</v>
      </c>
      <c r="AA448" s="1" t="str">
        <f t="shared" ca="1" si="43"/>
        <v>VENCIDO</v>
      </c>
      <c r="AB448" s="1" t="str">
        <f t="shared" si="44"/>
        <v>TAAe+</v>
      </c>
      <c r="AC448" s="2">
        <f t="shared" si="48"/>
        <v>0</v>
      </c>
      <c r="AD448" s="2">
        <f t="shared" si="45"/>
        <v>8</v>
      </c>
      <c r="AE448" s="2">
        <f t="shared" ca="1" si="46"/>
        <v>-44986.676271643519</v>
      </c>
      <c r="AF448" s="15"/>
    </row>
    <row r="449" spans="3:32">
      <c r="D449" s="1"/>
      <c r="E449" s="1"/>
      <c r="P449" s="11"/>
      <c r="U449" s="11"/>
      <c r="X449" s="13">
        <f t="shared" si="47"/>
        <v>0</v>
      </c>
      <c r="Y449" s="2">
        <f t="shared" ca="1" si="42"/>
        <v>32133</v>
      </c>
      <c r="Z449" s="14">
        <v>1</v>
      </c>
      <c r="AA449" s="1" t="str">
        <f t="shared" ca="1" si="43"/>
        <v>VENCIDO</v>
      </c>
      <c r="AB449" s="1" t="str">
        <f t="shared" si="44"/>
        <v>TAAe+</v>
      </c>
      <c r="AC449" s="2">
        <f t="shared" si="48"/>
        <v>0</v>
      </c>
      <c r="AD449" s="2">
        <f t="shared" si="45"/>
        <v>8</v>
      </c>
      <c r="AE449" s="2">
        <f t="shared" ca="1" si="46"/>
        <v>-44986.676271643519</v>
      </c>
      <c r="AF449" s="15"/>
    </row>
    <row r="450" spans="3:32">
      <c r="D450" s="1"/>
      <c r="E450" s="1"/>
      <c r="P450" s="11"/>
      <c r="U450" s="11"/>
      <c r="X450" s="13">
        <f t="shared" si="47"/>
        <v>0</v>
      </c>
      <c r="Y450" s="2">
        <f t="shared" ref="Y450:Y513" ca="1" si="49">NETWORKDAYS(P450,$Y$1)</f>
        <v>32133</v>
      </c>
      <c r="Z450" s="14">
        <v>1</v>
      </c>
      <c r="AA450" s="1" t="str">
        <f t="shared" ref="AA450:AA513" ca="1" si="50">IF(AE450=0,"HOJE",IF(AE450&gt;0,"A VENCER",IF(AE450&lt;0,"VENCIDO")))</f>
        <v>VENCIDO</v>
      </c>
      <c r="AB450" s="1" t="str">
        <f t="shared" ref="AB450:AB513" si="51">IF(F450="GRPE-000001","C-14",IF(F450="GRPE-000002","C-14",IF(F450="GRPE-000003","C-14",IF(F450="GRPE-000004","SL-On",IF(F450="GRPE-000038","C-14",IF(F450="GRPE-900022","Dosa",IF(F450="GRPE-000029","Dosa",IF(F450="ATOS-000222","Dose","TAAe+"))))))))</f>
        <v>TAAe+</v>
      </c>
      <c r="AC450" s="2">
        <f t="shared" si="48"/>
        <v>0</v>
      </c>
      <c r="AD450" s="2">
        <f t="shared" ref="AD450:AD513" si="52">IF(F450="GRPE-000001",5,IF(F450="GRPE-000002",5,IF(F450="GRPE-000003",15,IF(F450="GRPE-000004",1,IF(F450="GRPE-000038",5,IF(F450="GRPE-900022",5,IF(F450="GRPE-000029",5,IF(F450="ATOS-000222",5,8))))))))</f>
        <v>8</v>
      </c>
      <c r="AE450" s="2">
        <f t="shared" ref="AE450:AE513" ca="1" si="53">IF(U450=$AE$1,"",U450-$AE$1)</f>
        <v>-44986.676271643519</v>
      </c>
      <c r="AF450" s="15"/>
    </row>
    <row r="451" spans="3:32">
      <c r="D451" s="1"/>
      <c r="E451" s="1"/>
      <c r="P451" s="11"/>
      <c r="U451" s="11"/>
      <c r="X451" s="13">
        <f t="shared" ref="X451:X514" si="54">IF(RIGHT(H451,2)&lt;&gt;"00",H451,"")</f>
        <v>0</v>
      </c>
      <c r="Y451" s="2">
        <f t="shared" ca="1" si="49"/>
        <v>32133</v>
      </c>
      <c r="Z451" s="14">
        <v>1</v>
      </c>
      <c r="AA451" s="1" t="str">
        <f t="shared" ca="1" si="50"/>
        <v>VENCIDO</v>
      </c>
      <c r="AB451" s="1" t="str">
        <f t="shared" si="51"/>
        <v>TAAe+</v>
      </c>
      <c r="AC451" s="2">
        <f t="shared" ref="AC451:AC514" si="55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>0</v>
      </c>
      <c r="AD451" s="2">
        <f t="shared" si="52"/>
        <v>8</v>
      </c>
      <c r="AE451" s="2">
        <f t="shared" ca="1" si="53"/>
        <v>-44986.676271643519</v>
      </c>
      <c r="AF451" s="15"/>
    </row>
    <row r="452" spans="3:32">
      <c r="C452" s="49"/>
      <c r="D452" s="1"/>
      <c r="E452" s="1"/>
      <c r="P452" s="11"/>
      <c r="U452" s="11"/>
      <c r="X452" s="13">
        <f t="shared" si="54"/>
        <v>0</v>
      </c>
      <c r="Y452" s="2">
        <f t="shared" ca="1" si="49"/>
        <v>32133</v>
      </c>
      <c r="Z452" s="14">
        <v>1</v>
      </c>
      <c r="AA452" s="1" t="str">
        <f t="shared" ca="1" si="50"/>
        <v>VENCIDO</v>
      </c>
      <c r="AB452" s="1" t="str">
        <f t="shared" si="51"/>
        <v>TAAe+</v>
      </c>
      <c r="AC452" s="2">
        <f t="shared" si="55"/>
        <v>0</v>
      </c>
      <c r="AD452" s="2">
        <f t="shared" si="52"/>
        <v>8</v>
      </c>
      <c r="AE452" s="2">
        <f t="shared" ca="1" si="53"/>
        <v>-44986.676271643519</v>
      </c>
      <c r="AF452" s="15"/>
    </row>
    <row r="453" spans="3:32">
      <c r="D453" s="1"/>
      <c r="E453" s="1"/>
      <c r="P453" s="11"/>
      <c r="U453" s="11"/>
      <c r="X453" s="13">
        <f t="shared" si="54"/>
        <v>0</v>
      </c>
      <c r="Y453" s="2">
        <f t="shared" ca="1" si="49"/>
        <v>32133</v>
      </c>
      <c r="Z453" s="14">
        <v>1</v>
      </c>
      <c r="AA453" s="1" t="str">
        <f t="shared" ca="1" si="50"/>
        <v>VENCIDO</v>
      </c>
      <c r="AB453" s="1" t="str">
        <f t="shared" si="51"/>
        <v>TAAe+</v>
      </c>
      <c r="AC453" s="2">
        <f t="shared" si="55"/>
        <v>0</v>
      </c>
      <c r="AD453" s="2">
        <f t="shared" si="52"/>
        <v>8</v>
      </c>
      <c r="AE453" s="2">
        <f t="shared" ca="1" si="53"/>
        <v>-44986.676271643519</v>
      </c>
      <c r="AF453" s="15"/>
    </row>
    <row r="454" spans="3:32">
      <c r="C454" s="49"/>
      <c r="D454" s="1"/>
      <c r="E454" s="1"/>
      <c r="P454" s="11"/>
      <c r="U454" s="11"/>
      <c r="X454" s="13">
        <f t="shared" si="54"/>
        <v>0</v>
      </c>
      <c r="Y454" s="2">
        <f t="shared" ca="1" si="49"/>
        <v>32133</v>
      </c>
      <c r="Z454" s="14">
        <v>1</v>
      </c>
      <c r="AA454" s="1" t="str">
        <f t="shared" ca="1" si="50"/>
        <v>VENCIDO</v>
      </c>
      <c r="AB454" s="1" t="str">
        <f t="shared" si="51"/>
        <v>TAAe+</v>
      </c>
      <c r="AC454" s="2">
        <f t="shared" si="55"/>
        <v>0</v>
      </c>
      <c r="AD454" s="2">
        <f t="shared" si="52"/>
        <v>8</v>
      </c>
      <c r="AE454" s="2">
        <f t="shared" ca="1" si="53"/>
        <v>-44986.676271643519</v>
      </c>
      <c r="AF454" s="15"/>
    </row>
    <row r="455" spans="3:32">
      <c r="D455" s="1"/>
      <c r="E455" s="1"/>
      <c r="P455" s="11"/>
      <c r="U455" s="11"/>
      <c r="X455" s="13">
        <f t="shared" si="54"/>
        <v>0</v>
      </c>
      <c r="Y455" s="2">
        <f t="shared" ca="1" si="49"/>
        <v>32133</v>
      </c>
      <c r="Z455" s="14">
        <v>1</v>
      </c>
      <c r="AA455" s="1" t="str">
        <f t="shared" ca="1" si="50"/>
        <v>VENCIDO</v>
      </c>
      <c r="AB455" s="1" t="str">
        <f t="shared" si="51"/>
        <v>TAAe+</v>
      </c>
      <c r="AC455" s="2">
        <f t="shared" si="55"/>
        <v>0</v>
      </c>
      <c r="AD455" s="2">
        <f t="shared" si="52"/>
        <v>8</v>
      </c>
      <c r="AE455" s="2">
        <f t="shared" ca="1" si="53"/>
        <v>-44986.676271643519</v>
      </c>
      <c r="AF455" s="15"/>
    </row>
    <row r="456" spans="3:32">
      <c r="D456" s="1"/>
      <c r="E456" s="1"/>
      <c r="P456" s="11"/>
      <c r="U456" s="11"/>
      <c r="X456" s="13">
        <f t="shared" si="54"/>
        <v>0</v>
      </c>
      <c r="Y456" s="2">
        <f t="shared" ca="1" si="49"/>
        <v>32133</v>
      </c>
      <c r="Z456" s="14">
        <v>1</v>
      </c>
      <c r="AA456" s="1" t="str">
        <f t="shared" ca="1" si="50"/>
        <v>VENCIDO</v>
      </c>
      <c r="AB456" s="1" t="str">
        <f t="shared" si="51"/>
        <v>TAAe+</v>
      </c>
      <c r="AC456" s="2">
        <f t="shared" si="55"/>
        <v>0</v>
      </c>
      <c r="AD456" s="2">
        <f t="shared" si="52"/>
        <v>8</v>
      </c>
      <c r="AE456" s="2">
        <f t="shared" ca="1" si="53"/>
        <v>-44986.676271643519</v>
      </c>
      <c r="AF456" s="15"/>
    </row>
    <row r="457" spans="3:32">
      <c r="C457" s="49"/>
      <c r="D457" s="1"/>
      <c r="E457" s="1"/>
      <c r="P457" s="11"/>
      <c r="U457" s="11"/>
      <c r="X457" s="13">
        <f t="shared" si="54"/>
        <v>0</v>
      </c>
      <c r="Y457" s="2">
        <f t="shared" ca="1" si="49"/>
        <v>32133</v>
      </c>
      <c r="Z457" s="14">
        <v>1</v>
      </c>
      <c r="AA457" s="1" t="str">
        <f t="shared" ca="1" si="50"/>
        <v>VENCIDO</v>
      </c>
      <c r="AB457" s="1" t="str">
        <f t="shared" si="51"/>
        <v>TAAe+</v>
      </c>
      <c r="AC457" s="2">
        <f t="shared" si="55"/>
        <v>0</v>
      </c>
      <c r="AD457" s="2">
        <f t="shared" si="52"/>
        <v>8</v>
      </c>
      <c r="AE457" s="2">
        <f t="shared" ca="1" si="53"/>
        <v>-44986.676271643519</v>
      </c>
      <c r="AF457" s="15"/>
    </row>
    <row r="458" spans="3:32">
      <c r="D458" s="1"/>
      <c r="E458" s="1"/>
      <c r="P458" s="11"/>
      <c r="U458" s="11"/>
      <c r="X458" s="13">
        <f t="shared" si="54"/>
        <v>0</v>
      </c>
      <c r="Y458" s="2">
        <f t="shared" ca="1" si="49"/>
        <v>32133</v>
      </c>
      <c r="Z458" s="14">
        <v>1</v>
      </c>
      <c r="AA458" s="1" t="str">
        <f t="shared" ca="1" si="50"/>
        <v>VENCIDO</v>
      </c>
      <c r="AB458" s="1" t="str">
        <f t="shared" si="51"/>
        <v>TAAe+</v>
      </c>
      <c r="AC458" s="2">
        <f t="shared" si="55"/>
        <v>0</v>
      </c>
      <c r="AD458" s="2">
        <f t="shared" si="52"/>
        <v>8</v>
      </c>
      <c r="AE458" s="2">
        <f t="shared" ca="1" si="53"/>
        <v>-44986.676271643519</v>
      </c>
      <c r="AF458" s="15"/>
    </row>
    <row r="459" spans="3:32">
      <c r="C459" s="49"/>
      <c r="D459" s="1"/>
      <c r="E459" s="1"/>
      <c r="P459" s="11"/>
      <c r="U459" s="11"/>
      <c r="X459" s="13">
        <f t="shared" si="54"/>
        <v>0</v>
      </c>
      <c r="Y459" s="2">
        <f t="shared" ca="1" si="49"/>
        <v>32133</v>
      </c>
      <c r="Z459" s="14">
        <v>1</v>
      </c>
      <c r="AA459" s="1" t="str">
        <f t="shared" ca="1" si="50"/>
        <v>VENCIDO</v>
      </c>
      <c r="AB459" s="1" t="str">
        <f t="shared" si="51"/>
        <v>TAAe+</v>
      </c>
      <c r="AC459" s="2">
        <f t="shared" si="55"/>
        <v>0</v>
      </c>
      <c r="AD459" s="2">
        <f t="shared" si="52"/>
        <v>8</v>
      </c>
      <c r="AE459" s="2">
        <f t="shared" ca="1" si="53"/>
        <v>-44986.676271643519</v>
      </c>
      <c r="AF459" s="15"/>
    </row>
    <row r="460" spans="3:32">
      <c r="D460" s="1"/>
      <c r="E460" s="1"/>
      <c r="P460" s="11"/>
      <c r="U460" s="11"/>
      <c r="X460" s="13">
        <f t="shared" si="54"/>
        <v>0</v>
      </c>
      <c r="Y460" s="2">
        <f t="shared" ca="1" si="49"/>
        <v>32133</v>
      </c>
      <c r="Z460" s="14">
        <v>1</v>
      </c>
      <c r="AA460" s="1" t="str">
        <f t="shared" ca="1" si="50"/>
        <v>VENCIDO</v>
      </c>
      <c r="AB460" s="1" t="str">
        <f t="shared" si="51"/>
        <v>TAAe+</v>
      </c>
      <c r="AC460" s="2">
        <f t="shared" si="55"/>
        <v>0</v>
      </c>
      <c r="AD460" s="2">
        <f t="shared" si="52"/>
        <v>8</v>
      </c>
      <c r="AE460" s="2">
        <f t="shared" ca="1" si="53"/>
        <v>-44986.676271643519</v>
      </c>
      <c r="AF460" s="15"/>
    </row>
    <row r="461" spans="3:32">
      <c r="D461" s="1"/>
      <c r="E461" s="1"/>
      <c r="P461" s="11"/>
      <c r="U461" s="11"/>
      <c r="X461" s="13">
        <f t="shared" si="54"/>
        <v>0</v>
      </c>
      <c r="Y461" s="2">
        <f t="shared" ca="1" si="49"/>
        <v>32133</v>
      </c>
      <c r="Z461" s="14">
        <v>1</v>
      </c>
      <c r="AA461" s="1" t="str">
        <f t="shared" ca="1" si="50"/>
        <v>VENCIDO</v>
      </c>
      <c r="AB461" s="1" t="str">
        <f t="shared" si="51"/>
        <v>TAAe+</v>
      </c>
      <c r="AC461" s="2">
        <f t="shared" si="55"/>
        <v>0</v>
      </c>
      <c r="AD461" s="2">
        <f t="shared" si="52"/>
        <v>8</v>
      </c>
      <c r="AE461" s="2">
        <f t="shared" ca="1" si="53"/>
        <v>-44986.676271643519</v>
      </c>
      <c r="AF461" s="15"/>
    </row>
    <row r="462" spans="3:32">
      <c r="D462" s="1"/>
      <c r="E462" s="1"/>
      <c r="P462" s="11"/>
      <c r="U462" s="11"/>
      <c r="X462" s="13">
        <f t="shared" si="54"/>
        <v>0</v>
      </c>
      <c r="Y462" s="2">
        <f t="shared" ca="1" si="49"/>
        <v>32133</v>
      </c>
      <c r="Z462" s="14">
        <v>1</v>
      </c>
      <c r="AA462" s="1" t="str">
        <f t="shared" ca="1" si="50"/>
        <v>VENCIDO</v>
      </c>
      <c r="AB462" s="1" t="str">
        <f t="shared" si="51"/>
        <v>TAAe+</v>
      </c>
      <c r="AC462" s="2">
        <f t="shared" si="55"/>
        <v>0</v>
      </c>
      <c r="AD462" s="2">
        <f t="shared" si="52"/>
        <v>8</v>
      </c>
      <c r="AE462" s="2">
        <f t="shared" ca="1" si="53"/>
        <v>-44986.676271643519</v>
      </c>
      <c r="AF462" s="15"/>
    </row>
    <row r="463" spans="3:32">
      <c r="D463" s="1"/>
      <c r="E463" s="1"/>
      <c r="P463" s="11"/>
      <c r="U463" s="11"/>
      <c r="X463" s="13">
        <f t="shared" si="54"/>
        <v>0</v>
      </c>
      <c r="Y463" s="2">
        <f t="shared" ca="1" si="49"/>
        <v>32133</v>
      </c>
      <c r="Z463" s="14">
        <v>1</v>
      </c>
      <c r="AA463" s="1" t="str">
        <f t="shared" ca="1" si="50"/>
        <v>VENCIDO</v>
      </c>
      <c r="AB463" s="1" t="str">
        <f t="shared" si="51"/>
        <v>TAAe+</v>
      </c>
      <c r="AC463" s="2">
        <f t="shared" si="55"/>
        <v>0</v>
      </c>
      <c r="AD463" s="2">
        <f t="shared" si="52"/>
        <v>8</v>
      </c>
      <c r="AE463" s="2">
        <f t="shared" ca="1" si="53"/>
        <v>-44986.676271643519</v>
      </c>
      <c r="AF463" s="15"/>
    </row>
    <row r="464" spans="3:32">
      <c r="D464" s="1"/>
      <c r="E464" s="1"/>
      <c r="P464" s="11"/>
      <c r="U464" s="11"/>
      <c r="X464" s="13">
        <f t="shared" si="54"/>
        <v>0</v>
      </c>
      <c r="Y464" s="2">
        <f t="shared" ca="1" si="49"/>
        <v>32133</v>
      </c>
      <c r="Z464" s="14">
        <v>1</v>
      </c>
      <c r="AA464" s="1" t="str">
        <f t="shared" ca="1" si="50"/>
        <v>VENCIDO</v>
      </c>
      <c r="AB464" s="1" t="str">
        <f t="shared" si="51"/>
        <v>TAAe+</v>
      </c>
      <c r="AC464" s="2">
        <f t="shared" si="55"/>
        <v>0</v>
      </c>
      <c r="AD464" s="2">
        <f t="shared" si="52"/>
        <v>8</v>
      </c>
      <c r="AE464" s="2">
        <f t="shared" ca="1" si="53"/>
        <v>-44986.676271643519</v>
      </c>
      <c r="AF464" s="15"/>
    </row>
    <row r="465" spans="3:32">
      <c r="C465" s="49"/>
      <c r="D465" s="1"/>
      <c r="E465" s="1"/>
      <c r="P465" s="11"/>
      <c r="U465" s="11"/>
      <c r="X465" s="13">
        <f t="shared" si="54"/>
        <v>0</v>
      </c>
      <c r="Y465" s="2">
        <f t="shared" ca="1" si="49"/>
        <v>32133</v>
      </c>
      <c r="Z465" s="14">
        <v>1</v>
      </c>
      <c r="AA465" s="1" t="str">
        <f t="shared" ca="1" si="50"/>
        <v>VENCIDO</v>
      </c>
      <c r="AB465" s="1" t="str">
        <f t="shared" si="51"/>
        <v>TAAe+</v>
      </c>
      <c r="AC465" s="2">
        <f t="shared" si="55"/>
        <v>0</v>
      </c>
      <c r="AD465" s="2">
        <f t="shared" si="52"/>
        <v>8</v>
      </c>
      <c r="AE465" s="2">
        <f t="shared" ca="1" si="53"/>
        <v>-44986.676271643519</v>
      </c>
      <c r="AF465" s="15"/>
    </row>
    <row r="466" spans="3:32">
      <c r="D466" s="1"/>
      <c r="E466" s="1"/>
      <c r="P466" s="11"/>
      <c r="U466" s="11"/>
      <c r="X466" s="13">
        <f t="shared" si="54"/>
        <v>0</v>
      </c>
      <c r="Y466" s="2">
        <f t="shared" ca="1" si="49"/>
        <v>32133</v>
      </c>
      <c r="Z466" s="14">
        <v>1</v>
      </c>
      <c r="AA466" s="1" t="str">
        <f t="shared" ca="1" si="50"/>
        <v>VENCIDO</v>
      </c>
      <c r="AB466" s="1" t="str">
        <f t="shared" si="51"/>
        <v>TAAe+</v>
      </c>
      <c r="AC466" s="2">
        <f t="shared" si="55"/>
        <v>0</v>
      </c>
      <c r="AD466" s="2">
        <f t="shared" si="52"/>
        <v>8</v>
      </c>
      <c r="AE466" s="2">
        <f t="shared" ca="1" si="53"/>
        <v>-44986.676271643519</v>
      </c>
      <c r="AF466" s="15"/>
    </row>
    <row r="467" spans="3:32">
      <c r="D467" s="1"/>
      <c r="E467" s="1"/>
      <c r="P467" s="11"/>
      <c r="U467" s="11"/>
      <c r="X467" s="13">
        <f t="shared" si="54"/>
        <v>0</v>
      </c>
      <c r="Y467" s="2">
        <f t="shared" ca="1" si="49"/>
        <v>32133</v>
      </c>
      <c r="Z467" s="14">
        <v>1</v>
      </c>
      <c r="AA467" s="1" t="str">
        <f t="shared" ca="1" si="50"/>
        <v>VENCIDO</v>
      </c>
      <c r="AB467" s="1" t="str">
        <f t="shared" si="51"/>
        <v>TAAe+</v>
      </c>
      <c r="AC467" s="2">
        <f t="shared" si="55"/>
        <v>0</v>
      </c>
      <c r="AD467" s="2">
        <f t="shared" si="52"/>
        <v>8</v>
      </c>
      <c r="AE467" s="2">
        <f t="shared" ca="1" si="53"/>
        <v>-44986.676271643519</v>
      </c>
      <c r="AF467" s="15"/>
    </row>
    <row r="468" spans="3:32">
      <c r="D468" s="1"/>
      <c r="E468" s="1"/>
      <c r="P468" s="11"/>
      <c r="U468" s="11"/>
      <c r="X468" s="13">
        <f t="shared" si="54"/>
        <v>0</v>
      </c>
      <c r="Y468" s="2">
        <f t="shared" ca="1" si="49"/>
        <v>32133</v>
      </c>
      <c r="Z468" s="14">
        <v>1</v>
      </c>
      <c r="AA468" s="1" t="str">
        <f t="shared" ca="1" si="50"/>
        <v>VENCIDO</v>
      </c>
      <c r="AB468" s="1" t="str">
        <f t="shared" si="51"/>
        <v>TAAe+</v>
      </c>
      <c r="AC468" s="2">
        <f t="shared" si="55"/>
        <v>0</v>
      </c>
      <c r="AD468" s="2">
        <f t="shared" si="52"/>
        <v>8</v>
      </c>
      <c r="AE468" s="2">
        <f t="shared" ca="1" si="53"/>
        <v>-44986.676271643519</v>
      </c>
      <c r="AF468" s="15"/>
    </row>
    <row r="469" spans="3:32">
      <c r="D469" s="1"/>
      <c r="E469" s="1"/>
      <c r="P469" s="11"/>
      <c r="U469" s="11"/>
      <c r="X469" s="13">
        <f t="shared" si="54"/>
        <v>0</v>
      </c>
      <c r="Y469" s="2">
        <f t="shared" ca="1" si="49"/>
        <v>32133</v>
      </c>
      <c r="Z469" s="14">
        <v>1</v>
      </c>
      <c r="AA469" s="1" t="str">
        <f t="shared" ca="1" si="50"/>
        <v>VENCIDO</v>
      </c>
      <c r="AB469" s="1" t="str">
        <f t="shared" si="51"/>
        <v>TAAe+</v>
      </c>
      <c r="AC469" s="2">
        <f t="shared" si="55"/>
        <v>0</v>
      </c>
      <c r="AD469" s="2">
        <f t="shared" si="52"/>
        <v>8</v>
      </c>
      <c r="AE469" s="2">
        <f t="shared" ca="1" si="53"/>
        <v>-44986.676271643519</v>
      </c>
      <c r="AF469" s="15"/>
    </row>
    <row r="470" spans="3:32">
      <c r="C470" s="49"/>
      <c r="D470" s="1"/>
      <c r="E470" s="1"/>
      <c r="P470" s="11"/>
      <c r="U470" s="11"/>
      <c r="X470" s="13">
        <f t="shared" si="54"/>
        <v>0</v>
      </c>
      <c r="Y470" s="2">
        <f t="shared" ca="1" si="49"/>
        <v>32133</v>
      </c>
      <c r="Z470" s="14">
        <v>1</v>
      </c>
      <c r="AA470" s="1" t="str">
        <f t="shared" ca="1" si="50"/>
        <v>VENCIDO</v>
      </c>
      <c r="AB470" s="1" t="str">
        <f t="shared" si="51"/>
        <v>TAAe+</v>
      </c>
      <c r="AC470" s="2">
        <f t="shared" si="55"/>
        <v>0</v>
      </c>
      <c r="AD470" s="2">
        <f t="shared" si="52"/>
        <v>8</v>
      </c>
      <c r="AE470" s="2">
        <f t="shared" ca="1" si="53"/>
        <v>-44986.676271643519</v>
      </c>
      <c r="AF470" s="15"/>
    </row>
    <row r="471" spans="3:32">
      <c r="D471" s="1"/>
      <c r="E471" s="1"/>
      <c r="P471" s="11"/>
      <c r="U471" s="11"/>
      <c r="X471" s="13">
        <f t="shared" si="54"/>
        <v>0</v>
      </c>
      <c r="Y471" s="2">
        <f t="shared" ca="1" si="49"/>
        <v>32133</v>
      </c>
      <c r="Z471" s="14">
        <v>1</v>
      </c>
      <c r="AA471" s="1" t="str">
        <f t="shared" ca="1" si="50"/>
        <v>VENCIDO</v>
      </c>
      <c r="AB471" s="1" t="str">
        <f t="shared" si="51"/>
        <v>TAAe+</v>
      </c>
      <c r="AC471" s="2">
        <f t="shared" si="55"/>
        <v>0</v>
      </c>
      <c r="AD471" s="2">
        <f t="shared" si="52"/>
        <v>8</v>
      </c>
      <c r="AE471" s="2">
        <f t="shared" ca="1" si="53"/>
        <v>-44986.676271643519</v>
      </c>
      <c r="AF471" s="15"/>
    </row>
    <row r="472" spans="3:32">
      <c r="C472" s="49"/>
      <c r="D472" s="1"/>
      <c r="E472" s="1"/>
      <c r="P472" s="11"/>
      <c r="U472" s="11"/>
      <c r="X472" s="13">
        <f t="shared" si="54"/>
        <v>0</v>
      </c>
      <c r="Y472" s="2">
        <f t="shared" ca="1" si="49"/>
        <v>32133</v>
      </c>
      <c r="Z472" s="14">
        <v>1</v>
      </c>
      <c r="AA472" s="1" t="str">
        <f t="shared" ca="1" si="50"/>
        <v>VENCIDO</v>
      </c>
      <c r="AB472" s="1" t="str">
        <f t="shared" si="51"/>
        <v>TAAe+</v>
      </c>
      <c r="AC472" s="2">
        <f t="shared" si="55"/>
        <v>0</v>
      </c>
      <c r="AD472" s="2">
        <f t="shared" si="52"/>
        <v>8</v>
      </c>
      <c r="AE472" s="2">
        <f t="shared" ca="1" si="53"/>
        <v>-44986.676271643519</v>
      </c>
      <c r="AF472" s="15"/>
    </row>
    <row r="473" spans="3:32">
      <c r="D473" s="1"/>
      <c r="E473" s="1"/>
      <c r="P473" s="11"/>
      <c r="U473" s="11"/>
      <c r="X473" s="13">
        <f t="shared" si="54"/>
        <v>0</v>
      </c>
      <c r="Y473" s="2">
        <f t="shared" ca="1" si="49"/>
        <v>32133</v>
      </c>
      <c r="Z473" s="14">
        <v>1</v>
      </c>
      <c r="AA473" s="1" t="str">
        <f t="shared" ca="1" si="50"/>
        <v>VENCIDO</v>
      </c>
      <c r="AB473" s="1" t="str">
        <f t="shared" si="51"/>
        <v>TAAe+</v>
      </c>
      <c r="AC473" s="2">
        <f t="shared" si="55"/>
        <v>0</v>
      </c>
      <c r="AD473" s="2">
        <f t="shared" si="52"/>
        <v>8</v>
      </c>
      <c r="AE473" s="2">
        <f t="shared" ca="1" si="53"/>
        <v>-44986.676271643519</v>
      </c>
      <c r="AF473" s="15"/>
    </row>
    <row r="474" spans="3:32">
      <c r="D474" s="1"/>
      <c r="E474" s="1"/>
      <c r="P474" s="11"/>
      <c r="U474" s="11"/>
      <c r="X474" s="13">
        <f t="shared" si="54"/>
        <v>0</v>
      </c>
      <c r="Y474" s="2">
        <f t="shared" ca="1" si="49"/>
        <v>32133</v>
      </c>
      <c r="Z474" s="14">
        <v>1</v>
      </c>
      <c r="AA474" s="1" t="str">
        <f t="shared" ca="1" si="50"/>
        <v>VENCIDO</v>
      </c>
      <c r="AB474" s="1" t="str">
        <f t="shared" si="51"/>
        <v>TAAe+</v>
      </c>
      <c r="AC474" s="2">
        <f t="shared" si="55"/>
        <v>0</v>
      </c>
      <c r="AD474" s="2">
        <f t="shared" si="52"/>
        <v>8</v>
      </c>
      <c r="AE474" s="2">
        <f t="shared" ca="1" si="53"/>
        <v>-44986.676271643519</v>
      </c>
      <c r="AF474" s="15"/>
    </row>
    <row r="475" spans="3:32">
      <c r="D475" s="1"/>
      <c r="E475" s="1"/>
      <c r="P475" s="11"/>
      <c r="U475" s="11"/>
      <c r="X475" s="13">
        <f t="shared" si="54"/>
        <v>0</v>
      </c>
      <c r="Y475" s="2">
        <f t="shared" ca="1" si="49"/>
        <v>32133</v>
      </c>
      <c r="Z475" s="14">
        <v>1</v>
      </c>
      <c r="AA475" s="1" t="str">
        <f t="shared" ca="1" si="50"/>
        <v>VENCIDO</v>
      </c>
      <c r="AB475" s="1" t="str">
        <f t="shared" si="51"/>
        <v>TAAe+</v>
      </c>
      <c r="AC475" s="2">
        <f t="shared" si="55"/>
        <v>0</v>
      </c>
      <c r="AD475" s="2">
        <f t="shared" si="52"/>
        <v>8</v>
      </c>
      <c r="AE475" s="2">
        <f t="shared" ca="1" si="53"/>
        <v>-44986.676271643519</v>
      </c>
      <c r="AF475" s="15"/>
    </row>
    <row r="476" spans="3:32">
      <c r="D476" s="1"/>
      <c r="E476" s="1"/>
      <c r="P476" s="11"/>
      <c r="U476" s="11"/>
      <c r="X476" s="13">
        <f t="shared" si="54"/>
        <v>0</v>
      </c>
      <c r="Y476" s="2">
        <f t="shared" ca="1" si="49"/>
        <v>32133</v>
      </c>
      <c r="Z476" s="14">
        <v>1</v>
      </c>
      <c r="AA476" s="1" t="str">
        <f t="shared" ca="1" si="50"/>
        <v>VENCIDO</v>
      </c>
      <c r="AB476" s="1" t="str">
        <f t="shared" si="51"/>
        <v>TAAe+</v>
      </c>
      <c r="AC476" s="2">
        <f t="shared" si="55"/>
        <v>0</v>
      </c>
      <c r="AD476" s="2">
        <f t="shared" si="52"/>
        <v>8</v>
      </c>
      <c r="AE476" s="2">
        <f t="shared" ca="1" si="53"/>
        <v>-44986.676271643519</v>
      </c>
      <c r="AF476" s="15"/>
    </row>
    <row r="477" spans="3:32">
      <c r="D477" s="1"/>
      <c r="E477" s="1"/>
      <c r="P477" s="11"/>
      <c r="X477" s="13">
        <f t="shared" si="54"/>
        <v>0</v>
      </c>
      <c r="Y477" s="2">
        <f t="shared" ca="1" si="49"/>
        <v>32133</v>
      </c>
      <c r="Z477" s="14">
        <v>1</v>
      </c>
      <c r="AA477" s="1" t="str">
        <f t="shared" ca="1" si="50"/>
        <v>VENCIDO</v>
      </c>
      <c r="AB477" s="1" t="str">
        <f t="shared" si="51"/>
        <v>TAAe+</v>
      </c>
      <c r="AC477" s="2">
        <f t="shared" si="55"/>
        <v>0</v>
      </c>
      <c r="AD477" s="2">
        <f t="shared" si="52"/>
        <v>8</v>
      </c>
      <c r="AE477" s="2">
        <f t="shared" ca="1" si="53"/>
        <v>-44986.676271643519</v>
      </c>
      <c r="AF477" s="15"/>
    </row>
    <row r="478" spans="3:32">
      <c r="D478" s="1"/>
      <c r="E478" s="1"/>
      <c r="P478" s="11"/>
      <c r="U478" s="11"/>
      <c r="X478" s="13">
        <f t="shared" si="54"/>
        <v>0</v>
      </c>
      <c r="Y478" s="2">
        <f t="shared" ca="1" si="49"/>
        <v>32133</v>
      </c>
      <c r="Z478" s="14">
        <v>1</v>
      </c>
      <c r="AA478" s="1" t="str">
        <f t="shared" ca="1" si="50"/>
        <v>VENCIDO</v>
      </c>
      <c r="AB478" s="1" t="str">
        <f t="shared" si="51"/>
        <v>TAAe+</v>
      </c>
      <c r="AC478" s="2">
        <f t="shared" si="55"/>
        <v>0</v>
      </c>
      <c r="AD478" s="2">
        <f t="shared" si="52"/>
        <v>8</v>
      </c>
      <c r="AE478" s="2">
        <f t="shared" ca="1" si="53"/>
        <v>-44986.676271643519</v>
      </c>
      <c r="AF478" s="15"/>
    </row>
    <row r="479" spans="3:32">
      <c r="C479" s="23"/>
      <c r="D479" s="1"/>
      <c r="E479" s="1"/>
      <c r="P479" s="11"/>
      <c r="U479" s="11"/>
      <c r="X479" s="13">
        <f t="shared" si="54"/>
        <v>0</v>
      </c>
      <c r="Y479" s="2">
        <f t="shared" ca="1" si="49"/>
        <v>32133</v>
      </c>
      <c r="Z479" s="14">
        <v>1</v>
      </c>
      <c r="AA479" s="1" t="str">
        <f t="shared" ca="1" si="50"/>
        <v>VENCIDO</v>
      </c>
      <c r="AB479" s="1" t="str">
        <f t="shared" si="51"/>
        <v>TAAe+</v>
      </c>
      <c r="AC479" s="2">
        <f t="shared" si="55"/>
        <v>0</v>
      </c>
      <c r="AD479" s="2">
        <f t="shared" si="52"/>
        <v>8</v>
      </c>
      <c r="AE479" s="2">
        <f t="shared" ca="1" si="53"/>
        <v>-44986.676271643519</v>
      </c>
      <c r="AF479" s="15"/>
    </row>
    <row r="480" spans="3:32">
      <c r="D480" s="1"/>
      <c r="E480" s="1"/>
      <c r="P480" s="11"/>
      <c r="U480" s="11"/>
      <c r="X480" s="13">
        <f t="shared" si="54"/>
        <v>0</v>
      </c>
      <c r="Y480" s="2">
        <f t="shared" ca="1" si="49"/>
        <v>32133</v>
      </c>
      <c r="Z480" s="14">
        <v>1</v>
      </c>
      <c r="AA480" s="1" t="str">
        <f t="shared" ca="1" si="50"/>
        <v>VENCIDO</v>
      </c>
      <c r="AB480" s="1" t="str">
        <f t="shared" si="51"/>
        <v>TAAe+</v>
      </c>
      <c r="AC480" s="2">
        <f t="shared" si="55"/>
        <v>0</v>
      </c>
      <c r="AD480" s="2">
        <f t="shared" si="52"/>
        <v>8</v>
      </c>
      <c r="AE480" s="2">
        <f t="shared" ca="1" si="53"/>
        <v>-44986.676271643519</v>
      </c>
      <c r="AF480" s="15"/>
    </row>
    <row r="481" spans="3:32">
      <c r="C481" s="49"/>
      <c r="D481" s="1"/>
      <c r="E481" s="1"/>
      <c r="P481" s="11"/>
      <c r="U481" s="11"/>
      <c r="X481" s="13">
        <f t="shared" si="54"/>
        <v>0</v>
      </c>
      <c r="Y481" s="2">
        <f t="shared" ca="1" si="49"/>
        <v>32133</v>
      </c>
      <c r="Z481" s="14">
        <v>1</v>
      </c>
      <c r="AA481" s="1" t="str">
        <f t="shared" ca="1" si="50"/>
        <v>VENCIDO</v>
      </c>
      <c r="AB481" s="1" t="str">
        <f t="shared" si="51"/>
        <v>TAAe+</v>
      </c>
      <c r="AC481" s="2">
        <f t="shared" si="55"/>
        <v>0</v>
      </c>
      <c r="AD481" s="2">
        <f t="shared" si="52"/>
        <v>8</v>
      </c>
      <c r="AE481" s="2">
        <f t="shared" ca="1" si="53"/>
        <v>-44986.676271643519</v>
      </c>
      <c r="AF481" s="15"/>
    </row>
    <row r="482" spans="3:32">
      <c r="D482" s="1"/>
      <c r="E482" s="1"/>
      <c r="P482" s="11"/>
      <c r="U482" s="11"/>
      <c r="X482" s="13">
        <f t="shared" si="54"/>
        <v>0</v>
      </c>
      <c r="Y482" s="2">
        <f t="shared" ca="1" si="49"/>
        <v>32133</v>
      </c>
      <c r="Z482" s="14">
        <v>1</v>
      </c>
      <c r="AA482" s="1" t="str">
        <f t="shared" ca="1" si="50"/>
        <v>VENCIDO</v>
      </c>
      <c r="AB482" s="1" t="str">
        <f t="shared" si="51"/>
        <v>TAAe+</v>
      </c>
      <c r="AC482" s="2">
        <f t="shared" si="55"/>
        <v>0</v>
      </c>
      <c r="AD482" s="2">
        <f t="shared" si="52"/>
        <v>8</v>
      </c>
      <c r="AE482" s="2">
        <f t="shared" ca="1" si="53"/>
        <v>-44986.676271643519</v>
      </c>
      <c r="AF482" s="15"/>
    </row>
    <row r="483" spans="3:32">
      <c r="D483" s="1"/>
      <c r="E483" s="1"/>
      <c r="P483" s="11"/>
      <c r="U483" s="11"/>
      <c r="X483" s="13">
        <f t="shared" si="54"/>
        <v>0</v>
      </c>
      <c r="Y483" s="2">
        <f t="shared" ca="1" si="49"/>
        <v>32133</v>
      </c>
      <c r="Z483" s="14">
        <v>1</v>
      </c>
      <c r="AA483" s="1" t="str">
        <f t="shared" ca="1" si="50"/>
        <v>VENCIDO</v>
      </c>
      <c r="AB483" s="1" t="str">
        <f t="shared" si="51"/>
        <v>TAAe+</v>
      </c>
      <c r="AC483" s="2">
        <f t="shared" si="55"/>
        <v>0</v>
      </c>
      <c r="AD483" s="2">
        <f t="shared" si="52"/>
        <v>8</v>
      </c>
      <c r="AE483" s="2">
        <f t="shared" ca="1" si="53"/>
        <v>-44986.676271643519</v>
      </c>
      <c r="AF483" s="15"/>
    </row>
    <row r="484" spans="3:32">
      <c r="D484" s="1"/>
      <c r="E484" s="1"/>
      <c r="P484" s="11"/>
      <c r="U484" s="11"/>
      <c r="X484" s="13">
        <f t="shared" si="54"/>
        <v>0</v>
      </c>
      <c r="Y484" s="2">
        <f t="shared" ca="1" si="49"/>
        <v>32133</v>
      </c>
      <c r="Z484" s="14">
        <v>1</v>
      </c>
      <c r="AA484" s="1" t="str">
        <f t="shared" ca="1" si="50"/>
        <v>VENCIDO</v>
      </c>
      <c r="AB484" s="1" t="str">
        <f t="shared" si="51"/>
        <v>TAAe+</v>
      </c>
      <c r="AC484" s="2">
        <f t="shared" si="55"/>
        <v>0</v>
      </c>
      <c r="AD484" s="2">
        <f t="shared" si="52"/>
        <v>8</v>
      </c>
      <c r="AE484" s="2">
        <f t="shared" ca="1" si="53"/>
        <v>-44986.676271643519</v>
      </c>
      <c r="AF484" s="15"/>
    </row>
    <row r="485" spans="3:32">
      <c r="D485" s="1"/>
      <c r="E485" s="1"/>
      <c r="P485" s="11"/>
      <c r="U485" s="11"/>
      <c r="X485" s="13">
        <f t="shared" si="54"/>
        <v>0</v>
      </c>
      <c r="Y485" s="2">
        <f t="shared" ca="1" si="49"/>
        <v>32133</v>
      </c>
      <c r="Z485" s="14">
        <v>1</v>
      </c>
      <c r="AA485" s="1" t="str">
        <f t="shared" ca="1" si="50"/>
        <v>VENCIDO</v>
      </c>
      <c r="AB485" s="1" t="str">
        <f t="shared" si="51"/>
        <v>TAAe+</v>
      </c>
      <c r="AC485" s="2">
        <f t="shared" si="55"/>
        <v>0</v>
      </c>
      <c r="AD485" s="2">
        <f t="shared" si="52"/>
        <v>8</v>
      </c>
      <c r="AE485" s="2">
        <f t="shared" ca="1" si="53"/>
        <v>-44986.676271643519</v>
      </c>
      <c r="AF485" s="15"/>
    </row>
    <row r="486" spans="3:32">
      <c r="D486" s="1"/>
      <c r="E486" s="1"/>
      <c r="P486" s="11"/>
      <c r="U486" s="11"/>
      <c r="X486" s="13">
        <f t="shared" si="54"/>
        <v>0</v>
      </c>
      <c r="Y486" s="2">
        <f t="shared" ca="1" si="49"/>
        <v>32133</v>
      </c>
      <c r="Z486" s="14">
        <v>1</v>
      </c>
      <c r="AA486" s="1" t="str">
        <f t="shared" ca="1" si="50"/>
        <v>VENCIDO</v>
      </c>
      <c r="AB486" s="1" t="str">
        <f t="shared" si="51"/>
        <v>TAAe+</v>
      </c>
      <c r="AC486" s="2">
        <f t="shared" si="55"/>
        <v>0</v>
      </c>
      <c r="AD486" s="2">
        <f t="shared" si="52"/>
        <v>8</v>
      </c>
      <c r="AE486" s="2">
        <f t="shared" ca="1" si="53"/>
        <v>-44986.676271643519</v>
      </c>
      <c r="AF486" s="15"/>
    </row>
    <row r="487" spans="3:32">
      <c r="D487" s="1"/>
      <c r="E487" s="1"/>
      <c r="P487" s="11"/>
      <c r="U487" s="11"/>
      <c r="X487" s="13">
        <f t="shared" si="54"/>
        <v>0</v>
      </c>
      <c r="Y487" s="2">
        <f t="shared" ca="1" si="49"/>
        <v>32133</v>
      </c>
      <c r="Z487" s="14">
        <v>1</v>
      </c>
      <c r="AA487" s="1" t="str">
        <f t="shared" ca="1" si="50"/>
        <v>VENCIDO</v>
      </c>
      <c r="AB487" s="1" t="str">
        <f t="shared" si="51"/>
        <v>TAAe+</v>
      </c>
      <c r="AC487" s="2">
        <f t="shared" si="55"/>
        <v>0</v>
      </c>
      <c r="AD487" s="2">
        <f t="shared" si="52"/>
        <v>8</v>
      </c>
      <c r="AE487" s="2">
        <f t="shared" ca="1" si="53"/>
        <v>-44986.676271643519</v>
      </c>
      <c r="AF487" s="15"/>
    </row>
    <row r="488" spans="3:32">
      <c r="D488" s="1"/>
      <c r="E488" s="1"/>
      <c r="P488" s="11"/>
      <c r="U488" s="11"/>
      <c r="X488" s="13">
        <f t="shared" si="54"/>
        <v>0</v>
      </c>
      <c r="Y488" s="2">
        <f t="shared" ca="1" si="49"/>
        <v>32133</v>
      </c>
      <c r="Z488" s="14">
        <v>1</v>
      </c>
      <c r="AA488" s="1" t="str">
        <f t="shared" ca="1" si="50"/>
        <v>VENCIDO</v>
      </c>
      <c r="AB488" s="1" t="str">
        <f t="shared" si="51"/>
        <v>TAAe+</v>
      </c>
      <c r="AC488" s="2">
        <f t="shared" si="55"/>
        <v>0</v>
      </c>
      <c r="AD488" s="2">
        <f t="shared" si="52"/>
        <v>8</v>
      </c>
      <c r="AE488" s="2">
        <f t="shared" ca="1" si="53"/>
        <v>-44986.676271643519</v>
      </c>
      <c r="AF488" s="15"/>
    </row>
    <row r="489" spans="3:32">
      <c r="D489" s="1"/>
      <c r="E489" s="1"/>
      <c r="P489" s="11"/>
      <c r="U489" s="11"/>
      <c r="X489" s="13">
        <f t="shared" si="54"/>
        <v>0</v>
      </c>
      <c r="Y489" s="2">
        <f t="shared" ca="1" si="49"/>
        <v>32133</v>
      </c>
      <c r="Z489" s="14">
        <v>1</v>
      </c>
      <c r="AA489" s="1" t="str">
        <f t="shared" ca="1" si="50"/>
        <v>VENCIDO</v>
      </c>
      <c r="AB489" s="1" t="str">
        <f t="shared" si="51"/>
        <v>TAAe+</v>
      </c>
      <c r="AC489" s="2">
        <f t="shared" si="55"/>
        <v>0</v>
      </c>
      <c r="AD489" s="2">
        <f t="shared" si="52"/>
        <v>8</v>
      </c>
      <c r="AE489" s="2">
        <f t="shared" ca="1" si="53"/>
        <v>-44986.676271643519</v>
      </c>
      <c r="AF489" s="15"/>
    </row>
    <row r="490" spans="3:32">
      <c r="C490" s="49"/>
      <c r="D490" s="1"/>
      <c r="E490" s="1"/>
      <c r="P490" s="11"/>
      <c r="U490" s="11"/>
      <c r="X490" s="13">
        <f t="shared" si="54"/>
        <v>0</v>
      </c>
      <c r="Y490" s="2">
        <f t="shared" ca="1" si="49"/>
        <v>32133</v>
      </c>
      <c r="Z490" s="14">
        <v>1</v>
      </c>
      <c r="AA490" s="1" t="str">
        <f t="shared" ca="1" si="50"/>
        <v>VENCIDO</v>
      </c>
      <c r="AB490" s="1" t="str">
        <f t="shared" si="51"/>
        <v>TAAe+</v>
      </c>
      <c r="AC490" s="2">
        <f t="shared" si="55"/>
        <v>0</v>
      </c>
      <c r="AD490" s="2">
        <f t="shared" si="52"/>
        <v>8</v>
      </c>
      <c r="AE490" s="2">
        <f t="shared" ca="1" si="53"/>
        <v>-44986.676271643519</v>
      </c>
      <c r="AF490" s="15"/>
    </row>
    <row r="491" spans="3:32">
      <c r="D491" s="1"/>
      <c r="E491" s="1"/>
      <c r="P491" s="11"/>
      <c r="U491" s="11"/>
      <c r="X491" s="13">
        <f t="shared" si="54"/>
        <v>0</v>
      </c>
      <c r="Y491" s="2">
        <f t="shared" ca="1" si="49"/>
        <v>32133</v>
      </c>
      <c r="Z491" s="14">
        <v>1</v>
      </c>
      <c r="AA491" s="1" t="str">
        <f t="shared" ca="1" si="50"/>
        <v>VENCIDO</v>
      </c>
      <c r="AB491" s="1" t="str">
        <f t="shared" si="51"/>
        <v>TAAe+</v>
      </c>
      <c r="AC491" s="2">
        <f t="shared" si="55"/>
        <v>0</v>
      </c>
      <c r="AD491" s="2">
        <f t="shared" si="52"/>
        <v>8</v>
      </c>
      <c r="AE491" s="2">
        <f t="shared" ca="1" si="53"/>
        <v>-44986.676271643519</v>
      </c>
      <c r="AF491" s="15"/>
    </row>
    <row r="492" spans="3:32">
      <c r="D492" s="1"/>
      <c r="E492" s="1"/>
      <c r="P492" s="11"/>
      <c r="U492" s="11"/>
      <c r="X492" s="13">
        <f t="shared" si="54"/>
        <v>0</v>
      </c>
      <c r="Y492" s="2">
        <f t="shared" ca="1" si="49"/>
        <v>32133</v>
      </c>
      <c r="Z492" s="14">
        <v>1</v>
      </c>
      <c r="AA492" s="1" t="str">
        <f t="shared" ca="1" si="50"/>
        <v>VENCIDO</v>
      </c>
      <c r="AB492" s="1" t="str">
        <f t="shared" si="51"/>
        <v>TAAe+</v>
      </c>
      <c r="AC492" s="2">
        <f t="shared" si="55"/>
        <v>0</v>
      </c>
      <c r="AD492" s="2">
        <f t="shared" si="52"/>
        <v>8</v>
      </c>
      <c r="AE492" s="2">
        <f t="shared" ca="1" si="53"/>
        <v>-44986.676271643519</v>
      </c>
      <c r="AF492" s="15"/>
    </row>
    <row r="493" spans="3:32">
      <c r="D493" s="1"/>
      <c r="E493" s="1"/>
      <c r="P493" s="11"/>
      <c r="U493" s="11"/>
      <c r="X493" s="13">
        <f t="shared" si="54"/>
        <v>0</v>
      </c>
      <c r="Y493" s="2">
        <f t="shared" ca="1" si="49"/>
        <v>32133</v>
      </c>
      <c r="Z493" s="14">
        <v>1</v>
      </c>
      <c r="AA493" s="1" t="str">
        <f t="shared" ca="1" si="50"/>
        <v>VENCIDO</v>
      </c>
      <c r="AB493" s="1" t="str">
        <f t="shared" si="51"/>
        <v>TAAe+</v>
      </c>
      <c r="AC493" s="2">
        <f t="shared" si="55"/>
        <v>0</v>
      </c>
      <c r="AD493" s="2">
        <f t="shared" si="52"/>
        <v>8</v>
      </c>
      <c r="AE493" s="2">
        <f t="shared" ca="1" si="53"/>
        <v>-44986.676271643519</v>
      </c>
      <c r="AF493" s="15"/>
    </row>
    <row r="494" spans="3:32">
      <c r="C494" s="49"/>
      <c r="D494" s="1"/>
      <c r="E494" s="1"/>
      <c r="P494" s="11"/>
      <c r="U494" s="11"/>
      <c r="X494" s="13">
        <f t="shared" si="54"/>
        <v>0</v>
      </c>
      <c r="Y494" s="2">
        <f t="shared" ca="1" si="49"/>
        <v>32133</v>
      </c>
      <c r="Z494" s="14">
        <v>1</v>
      </c>
      <c r="AA494" s="1" t="str">
        <f t="shared" ca="1" si="50"/>
        <v>VENCIDO</v>
      </c>
      <c r="AB494" s="1" t="str">
        <f t="shared" si="51"/>
        <v>TAAe+</v>
      </c>
      <c r="AC494" s="2">
        <f t="shared" si="55"/>
        <v>0</v>
      </c>
      <c r="AD494" s="2">
        <f t="shared" si="52"/>
        <v>8</v>
      </c>
      <c r="AE494" s="2">
        <f t="shared" ca="1" si="53"/>
        <v>-44986.676271643519</v>
      </c>
      <c r="AF494" s="15"/>
    </row>
    <row r="495" spans="3:32">
      <c r="D495" s="1"/>
      <c r="E495" s="1"/>
      <c r="P495" s="11"/>
      <c r="U495" s="11"/>
      <c r="X495" s="13">
        <f t="shared" si="54"/>
        <v>0</v>
      </c>
      <c r="Y495" s="2">
        <f t="shared" ca="1" si="49"/>
        <v>32133</v>
      </c>
      <c r="Z495" s="14">
        <v>1</v>
      </c>
      <c r="AA495" s="1" t="str">
        <f t="shared" ca="1" si="50"/>
        <v>VENCIDO</v>
      </c>
      <c r="AB495" s="1" t="str">
        <f t="shared" si="51"/>
        <v>TAAe+</v>
      </c>
      <c r="AC495" s="2">
        <f t="shared" si="55"/>
        <v>0</v>
      </c>
      <c r="AD495" s="2">
        <f t="shared" si="52"/>
        <v>8</v>
      </c>
      <c r="AE495" s="2">
        <f t="shared" ca="1" si="53"/>
        <v>-44986.676271643519</v>
      </c>
      <c r="AF495" s="15"/>
    </row>
    <row r="496" spans="3:32">
      <c r="D496" s="1"/>
      <c r="E496" s="1"/>
      <c r="P496" s="11"/>
      <c r="U496" s="11"/>
      <c r="X496" s="13">
        <f t="shared" si="54"/>
        <v>0</v>
      </c>
      <c r="Y496" s="2">
        <f t="shared" ca="1" si="49"/>
        <v>32133</v>
      </c>
      <c r="Z496" s="14">
        <v>1</v>
      </c>
      <c r="AA496" s="1" t="str">
        <f t="shared" ca="1" si="50"/>
        <v>VENCIDO</v>
      </c>
      <c r="AB496" s="1" t="str">
        <f t="shared" si="51"/>
        <v>TAAe+</v>
      </c>
      <c r="AC496" s="2">
        <f t="shared" si="55"/>
        <v>0</v>
      </c>
      <c r="AD496" s="2">
        <f t="shared" si="52"/>
        <v>8</v>
      </c>
      <c r="AE496" s="2">
        <f t="shared" ca="1" si="53"/>
        <v>-44986.676271643519</v>
      </c>
      <c r="AF496" s="15"/>
    </row>
    <row r="497" spans="3:32">
      <c r="C497" s="49"/>
      <c r="D497" s="1"/>
      <c r="E497" s="1"/>
      <c r="P497" s="11"/>
      <c r="U497" s="11"/>
      <c r="X497" s="13">
        <f t="shared" si="54"/>
        <v>0</v>
      </c>
      <c r="Y497" s="2">
        <f t="shared" ca="1" si="49"/>
        <v>32133</v>
      </c>
      <c r="Z497" s="14">
        <v>1</v>
      </c>
      <c r="AA497" s="1" t="str">
        <f t="shared" ca="1" si="50"/>
        <v>VENCIDO</v>
      </c>
      <c r="AB497" s="1" t="str">
        <f t="shared" si="51"/>
        <v>TAAe+</v>
      </c>
      <c r="AC497" s="2">
        <f t="shared" si="55"/>
        <v>0</v>
      </c>
      <c r="AD497" s="2">
        <f t="shared" si="52"/>
        <v>8</v>
      </c>
      <c r="AE497" s="2">
        <f t="shared" ca="1" si="53"/>
        <v>-44986.676271643519</v>
      </c>
      <c r="AF497" s="15"/>
    </row>
    <row r="498" spans="3:32">
      <c r="D498" s="1"/>
      <c r="E498" s="1"/>
      <c r="P498" s="11"/>
      <c r="U498" s="11"/>
      <c r="X498" s="13">
        <f t="shared" si="54"/>
        <v>0</v>
      </c>
      <c r="Y498" s="2">
        <f t="shared" ca="1" si="49"/>
        <v>32133</v>
      </c>
      <c r="Z498" s="14">
        <v>1</v>
      </c>
      <c r="AA498" s="1" t="str">
        <f t="shared" ca="1" si="50"/>
        <v>VENCIDO</v>
      </c>
      <c r="AB498" s="1" t="str">
        <f t="shared" si="51"/>
        <v>TAAe+</v>
      </c>
      <c r="AC498" s="2">
        <f t="shared" si="55"/>
        <v>0</v>
      </c>
      <c r="AD498" s="2">
        <f t="shared" si="52"/>
        <v>8</v>
      </c>
      <c r="AE498" s="2">
        <f t="shared" ca="1" si="53"/>
        <v>-44986.676271643519</v>
      </c>
      <c r="AF498" s="15"/>
    </row>
    <row r="499" spans="3:32">
      <c r="D499" s="1"/>
      <c r="E499" s="1"/>
      <c r="P499" s="11"/>
      <c r="U499" s="11"/>
      <c r="X499" s="13">
        <f t="shared" si="54"/>
        <v>0</v>
      </c>
      <c r="Y499" s="2">
        <f t="shared" ca="1" si="49"/>
        <v>32133</v>
      </c>
      <c r="Z499" s="14">
        <v>1</v>
      </c>
      <c r="AA499" s="1" t="str">
        <f t="shared" ca="1" si="50"/>
        <v>VENCIDO</v>
      </c>
      <c r="AB499" s="1" t="str">
        <f t="shared" si="51"/>
        <v>TAAe+</v>
      </c>
      <c r="AC499" s="2">
        <f t="shared" si="55"/>
        <v>0</v>
      </c>
      <c r="AD499" s="2">
        <f t="shared" si="52"/>
        <v>8</v>
      </c>
      <c r="AE499" s="2">
        <f t="shared" ca="1" si="53"/>
        <v>-44986.676271643519</v>
      </c>
      <c r="AF499" s="15"/>
    </row>
    <row r="500" spans="3:32">
      <c r="D500" s="1"/>
      <c r="E500" s="1"/>
      <c r="P500" s="11"/>
      <c r="U500" s="11"/>
      <c r="X500" s="13">
        <f t="shared" si="54"/>
        <v>0</v>
      </c>
      <c r="Y500" s="2">
        <f t="shared" ca="1" si="49"/>
        <v>32133</v>
      </c>
      <c r="Z500" s="14">
        <v>1</v>
      </c>
      <c r="AA500" s="1" t="str">
        <f t="shared" ca="1" si="50"/>
        <v>VENCIDO</v>
      </c>
      <c r="AB500" s="1" t="str">
        <f t="shared" si="51"/>
        <v>TAAe+</v>
      </c>
      <c r="AC500" s="2">
        <f t="shared" si="55"/>
        <v>0</v>
      </c>
      <c r="AD500" s="2">
        <f t="shared" si="52"/>
        <v>8</v>
      </c>
      <c r="AE500" s="2">
        <f t="shared" ca="1" si="53"/>
        <v>-44986.676271643519</v>
      </c>
      <c r="AF500" s="15"/>
    </row>
    <row r="501" spans="3:32">
      <c r="D501" s="1"/>
      <c r="E501" s="1"/>
      <c r="P501" s="11"/>
      <c r="U501" s="11"/>
      <c r="X501" s="13">
        <f t="shared" si="54"/>
        <v>0</v>
      </c>
      <c r="Y501" s="2">
        <f t="shared" ca="1" si="49"/>
        <v>32133</v>
      </c>
      <c r="Z501" s="14">
        <v>1</v>
      </c>
      <c r="AA501" s="1" t="str">
        <f t="shared" ca="1" si="50"/>
        <v>VENCIDO</v>
      </c>
      <c r="AB501" s="1" t="str">
        <f t="shared" si="51"/>
        <v>TAAe+</v>
      </c>
      <c r="AC501" s="2">
        <f t="shared" si="55"/>
        <v>0</v>
      </c>
      <c r="AD501" s="2">
        <f t="shared" si="52"/>
        <v>8</v>
      </c>
      <c r="AE501" s="2">
        <f t="shared" ca="1" si="53"/>
        <v>-44986.676271643519</v>
      </c>
      <c r="AF501" s="15"/>
    </row>
    <row r="502" spans="3:32">
      <c r="D502" s="1"/>
      <c r="E502" s="1"/>
      <c r="P502" s="11"/>
      <c r="U502" s="11"/>
      <c r="X502" s="13">
        <f t="shared" si="54"/>
        <v>0</v>
      </c>
      <c r="Y502" s="2">
        <f t="shared" ca="1" si="49"/>
        <v>32133</v>
      </c>
      <c r="Z502" s="14">
        <v>1</v>
      </c>
      <c r="AA502" s="1" t="str">
        <f t="shared" ca="1" si="50"/>
        <v>VENCIDO</v>
      </c>
      <c r="AB502" s="1" t="str">
        <f t="shared" si="51"/>
        <v>TAAe+</v>
      </c>
      <c r="AC502" s="2">
        <f t="shared" si="55"/>
        <v>0</v>
      </c>
      <c r="AD502" s="2">
        <f t="shared" si="52"/>
        <v>8</v>
      </c>
      <c r="AE502" s="2">
        <f t="shared" ca="1" si="53"/>
        <v>-44986.676271643519</v>
      </c>
      <c r="AF502" s="15"/>
    </row>
    <row r="503" spans="3:32">
      <c r="D503" s="1"/>
      <c r="E503" s="1"/>
      <c r="P503" s="11"/>
      <c r="U503" s="11"/>
      <c r="X503" s="13">
        <f t="shared" si="54"/>
        <v>0</v>
      </c>
      <c r="Y503" s="2">
        <f t="shared" ca="1" si="49"/>
        <v>32133</v>
      </c>
      <c r="Z503" s="14">
        <v>1</v>
      </c>
      <c r="AA503" s="1" t="str">
        <f t="shared" ca="1" si="50"/>
        <v>VENCIDO</v>
      </c>
      <c r="AB503" s="1" t="str">
        <f t="shared" si="51"/>
        <v>TAAe+</v>
      </c>
      <c r="AC503" s="2">
        <f t="shared" si="55"/>
        <v>0</v>
      </c>
      <c r="AD503" s="2">
        <f t="shared" si="52"/>
        <v>8</v>
      </c>
      <c r="AE503" s="2">
        <f t="shared" ca="1" si="53"/>
        <v>-44986.676271643519</v>
      </c>
      <c r="AF503" s="15"/>
    </row>
    <row r="504" spans="3:32">
      <c r="D504" s="1"/>
      <c r="E504" s="1"/>
      <c r="P504" s="11"/>
      <c r="U504" s="11"/>
      <c r="X504" s="13">
        <f t="shared" si="54"/>
        <v>0</v>
      </c>
      <c r="Y504" s="2">
        <f t="shared" ca="1" si="49"/>
        <v>32133</v>
      </c>
      <c r="Z504" s="14">
        <v>1</v>
      </c>
      <c r="AA504" s="1" t="str">
        <f t="shared" ca="1" si="50"/>
        <v>VENCIDO</v>
      </c>
      <c r="AB504" s="1" t="str">
        <f t="shared" si="51"/>
        <v>TAAe+</v>
      </c>
      <c r="AC504" s="2">
        <f t="shared" si="55"/>
        <v>0</v>
      </c>
      <c r="AD504" s="2">
        <f t="shared" si="52"/>
        <v>8</v>
      </c>
      <c r="AE504" s="2">
        <f t="shared" ca="1" si="53"/>
        <v>-44986.676271643519</v>
      </c>
      <c r="AF504" s="15"/>
    </row>
    <row r="505" spans="3:32">
      <c r="D505" s="1"/>
      <c r="E505" s="1"/>
      <c r="P505" s="11"/>
      <c r="U505" s="11"/>
      <c r="X505" s="13">
        <f t="shared" si="54"/>
        <v>0</v>
      </c>
      <c r="Y505" s="2">
        <f t="shared" ca="1" si="49"/>
        <v>32133</v>
      </c>
      <c r="Z505" s="14">
        <v>1</v>
      </c>
      <c r="AA505" s="1" t="str">
        <f t="shared" ca="1" si="50"/>
        <v>VENCIDO</v>
      </c>
      <c r="AB505" s="1" t="str">
        <f t="shared" si="51"/>
        <v>TAAe+</v>
      </c>
      <c r="AC505" s="2">
        <f t="shared" si="55"/>
        <v>0</v>
      </c>
      <c r="AD505" s="2">
        <f t="shared" si="52"/>
        <v>8</v>
      </c>
      <c r="AE505" s="2">
        <f t="shared" ca="1" si="53"/>
        <v>-44986.676271643519</v>
      </c>
      <c r="AF505" s="15"/>
    </row>
    <row r="506" spans="3:32">
      <c r="D506" s="1"/>
      <c r="E506" s="1"/>
      <c r="P506" s="11"/>
      <c r="U506" s="11"/>
      <c r="X506" s="13">
        <f t="shared" si="54"/>
        <v>0</v>
      </c>
      <c r="Y506" s="2">
        <f t="shared" ca="1" si="49"/>
        <v>32133</v>
      </c>
      <c r="Z506" s="14">
        <v>1</v>
      </c>
      <c r="AA506" s="1" t="str">
        <f t="shared" ca="1" si="50"/>
        <v>VENCIDO</v>
      </c>
      <c r="AB506" s="1" t="str">
        <f t="shared" si="51"/>
        <v>TAAe+</v>
      </c>
      <c r="AC506" s="2">
        <f t="shared" si="55"/>
        <v>0</v>
      </c>
      <c r="AD506" s="2">
        <f t="shared" si="52"/>
        <v>8</v>
      </c>
      <c r="AE506" s="2">
        <f t="shared" ca="1" si="53"/>
        <v>-44986.676271643519</v>
      </c>
      <c r="AF506" s="15"/>
    </row>
    <row r="507" spans="3:32">
      <c r="C507" s="49"/>
      <c r="D507" s="1"/>
      <c r="E507" s="1"/>
      <c r="P507" s="11"/>
      <c r="U507" s="11"/>
      <c r="X507" s="13">
        <f t="shared" si="54"/>
        <v>0</v>
      </c>
      <c r="Y507" s="2">
        <f t="shared" ca="1" si="49"/>
        <v>32133</v>
      </c>
      <c r="Z507" s="14">
        <v>1</v>
      </c>
      <c r="AA507" s="1" t="str">
        <f t="shared" ca="1" si="50"/>
        <v>VENCIDO</v>
      </c>
      <c r="AB507" s="1" t="str">
        <f t="shared" si="51"/>
        <v>TAAe+</v>
      </c>
      <c r="AC507" s="2">
        <f t="shared" si="55"/>
        <v>0</v>
      </c>
      <c r="AD507" s="2">
        <f t="shared" si="52"/>
        <v>8</v>
      </c>
      <c r="AE507" s="2">
        <f t="shared" ca="1" si="53"/>
        <v>-44986.676271643519</v>
      </c>
      <c r="AF507" s="15"/>
    </row>
    <row r="508" spans="3:32">
      <c r="D508" s="1"/>
      <c r="E508" s="1"/>
      <c r="P508" s="11"/>
      <c r="U508" s="11"/>
      <c r="X508" s="13">
        <f t="shared" si="54"/>
        <v>0</v>
      </c>
      <c r="Y508" s="2">
        <f t="shared" ca="1" si="49"/>
        <v>32133</v>
      </c>
      <c r="Z508" s="14">
        <v>1</v>
      </c>
      <c r="AA508" s="1" t="str">
        <f t="shared" ca="1" si="50"/>
        <v>VENCIDO</v>
      </c>
      <c r="AB508" s="1" t="str">
        <f t="shared" si="51"/>
        <v>TAAe+</v>
      </c>
      <c r="AC508" s="2">
        <f t="shared" si="55"/>
        <v>0</v>
      </c>
      <c r="AD508" s="2">
        <f t="shared" si="52"/>
        <v>8</v>
      </c>
      <c r="AE508" s="2">
        <f t="shared" ca="1" si="53"/>
        <v>-44986.676271643519</v>
      </c>
      <c r="AF508" s="15"/>
    </row>
    <row r="509" spans="3:32">
      <c r="D509" s="1"/>
      <c r="E509" s="1"/>
      <c r="P509" s="11"/>
      <c r="U509" s="11"/>
      <c r="X509" s="13">
        <f t="shared" si="54"/>
        <v>0</v>
      </c>
      <c r="Y509" s="2">
        <f t="shared" ca="1" si="49"/>
        <v>32133</v>
      </c>
      <c r="Z509" s="14">
        <v>1</v>
      </c>
      <c r="AA509" s="1" t="str">
        <f t="shared" ca="1" si="50"/>
        <v>VENCIDO</v>
      </c>
      <c r="AB509" s="1" t="str">
        <f t="shared" si="51"/>
        <v>TAAe+</v>
      </c>
      <c r="AC509" s="2">
        <f t="shared" si="55"/>
        <v>0</v>
      </c>
      <c r="AD509" s="2">
        <f t="shared" si="52"/>
        <v>8</v>
      </c>
      <c r="AE509" s="2">
        <f t="shared" ca="1" si="53"/>
        <v>-44986.676271643519</v>
      </c>
      <c r="AF509" s="15"/>
    </row>
    <row r="510" spans="3:32">
      <c r="D510" s="1"/>
      <c r="E510" s="1"/>
      <c r="P510" s="11"/>
      <c r="U510" s="11"/>
      <c r="X510" s="13">
        <f t="shared" si="54"/>
        <v>0</v>
      </c>
      <c r="Y510" s="2">
        <f t="shared" ca="1" si="49"/>
        <v>32133</v>
      </c>
      <c r="Z510" s="14">
        <v>1</v>
      </c>
      <c r="AA510" s="1" t="str">
        <f t="shared" ca="1" si="50"/>
        <v>VENCIDO</v>
      </c>
      <c r="AB510" s="1" t="str">
        <f t="shared" si="51"/>
        <v>TAAe+</v>
      </c>
      <c r="AC510" s="2">
        <f t="shared" si="55"/>
        <v>0</v>
      </c>
      <c r="AD510" s="2">
        <f t="shared" si="52"/>
        <v>8</v>
      </c>
      <c r="AE510" s="2">
        <f t="shared" ca="1" si="53"/>
        <v>-44986.676271643519</v>
      </c>
      <c r="AF510" s="15"/>
    </row>
    <row r="511" spans="3:32">
      <c r="D511" s="1"/>
      <c r="E511" s="1"/>
      <c r="P511" s="11"/>
      <c r="U511" s="11"/>
      <c r="X511" s="13">
        <f t="shared" si="54"/>
        <v>0</v>
      </c>
      <c r="Y511" s="2">
        <f t="shared" ca="1" si="49"/>
        <v>32133</v>
      </c>
      <c r="Z511" s="14">
        <v>1</v>
      </c>
      <c r="AA511" s="1" t="str">
        <f t="shared" ca="1" si="50"/>
        <v>VENCIDO</v>
      </c>
      <c r="AB511" s="1" t="str">
        <f t="shared" si="51"/>
        <v>TAAe+</v>
      </c>
      <c r="AC511" s="2">
        <f t="shared" si="55"/>
        <v>0</v>
      </c>
      <c r="AD511" s="2">
        <f t="shared" si="52"/>
        <v>8</v>
      </c>
      <c r="AE511" s="2">
        <f t="shared" ca="1" si="53"/>
        <v>-44986.676271643519</v>
      </c>
      <c r="AF511" s="15"/>
    </row>
    <row r="512" spans="3:32">
      <c r="D512" s="1"/>
      <c r="E512" s="1"/>
      <c r="P512" s="11"/>
      <c r="U512" s="11"/>
      <c r="X512" s="13">
        <f t="shared" si="54"/>
        <v>0</v>
      </c>
      <c r="Y512" s="2">
        <f t="shared" ca="1" si="49"/>
        <v>32133</v>
      </c>
      <c r="Z512" s="14">
        <v>1</v>
      </c>
      <c r="AA512" s="1" t="str">
        <f t="shared" ca="1" si="50"/>
        <v>VENCIDO</v>
      </c>
      <c r="AB512" s="1" t="str">
        <f t="shared" si="51"/>
        <v>TAAe+</v>
      </c>
      <c r="AC512" s="2">
        <f t="shared" si="55"/>
        <v>0</v>
      </c>
      <c r="AD512" s="2">
        <f t="shared" si="52"/>
        <v>8</v>
      </c>
      <c r="AE512" s="2">
        <f t="shared" ca="1" si="53"/>
        <v>-44986.676271643519</v>
      </c>
      <c r="AF512" s="15"/>
    </row>
    <row r="513" spans="4:32">
      <c r="D513" s="1"/>
      <c r="E513" s="1"/>
      <c r="P513" s="11"/>
      <c r="U513" s="11"/>
      <c r="X513" s="13">
        <f t="shared" si="54"/>
        <v>0</v>
      </c>
      <c r="Y513" s="2">
        <f t="shared" ca="1" si="49"/>
        <v>32133</v>
      </c>
      <c r="Z513" s="14">
        <v>1</v>
      </c>
      <c r="AA513" s="1" t="str">
        <f t="shared" ca="1" si="50"/>
        <v>VENCIDO</v>
      </c>
      <c r="AB513" s="1" t="str">
        <f t="shared" si="51"/>
        <v>TAAe+</v>
      </c>
      <c r="AC513" s="2">
        <f t="shared" si="55"/>
        <v>0</v>
      </c>
      <c r="AD513" s="2">
        <f t="shared" si="52"/>
        <v>8</v>
      </c>
      <c r="AE513" s="2">
        <f t="shared" ca="1" si="53"/>
        <v>-44986.676271643519</v>
      </c>
      <c r="AF513" s="15"/>
    </row>
    <row r="514" spans="4:32">
      <c r="D514" s="1"/>
      <c r="E514" s="1"/>
      <c r="P514" s="11"/>
      <c r="U514" s="11"/>
      <c r="X514" s="13">
        <f t="shared" si="54"/>
        <v>0</v>
      </c>
      <c r="Y514" s="2">
        <f t="shared" ref="Y514:Y577" ca="1" si="56">NETWORKDAYS(P514,$Y$1)</f>
        <v>32133</v>
      </c>
      <c r="Z514" s="14">
        <v>1</v>
      </c>
      <c r="AA514" s="1" t="str">
        <f t="shared" ref="AA514:AA577" ca="1" si="57">IF(AE514=0,"HOJE",IF(AE514&gt;0,"A VENCER",IF(AE514&lt;0,"VENCIDO")))</f>
        <v>VENCIDO</v>
      </c>
      <c r="AB514" s="1" t="str">
        <f t="shared" ref="AB514:AB577" si="58">IF(F514="GRPE-000001","C-14",IF(F514="GRPE-000002","C-14",IF(F514="GRPE-000003","C-14",IF(F514="GRPE-000004","SL-On",IF(F514="GRPE-000038","C-14",IF(F514="GRPE-900022","Dosa",IF(F514="GRPE-000029","Dosa",IF(F514="ATOS-000222","Dose","TAAe+"))))))))</f>
        <v>TAAe+</v>
      </c>
      <c r="AC514" s="2">
        <f t="shared" si="55"/>
        <v>0</v>
      </c>
      <c r="AD514" s="2">
        <f t="shared" ref="AD514:AD577" si="59">IF(F514="GRPE-000001",5,IF(F514="GRPE-000002",5,IF(F514="GRPE-000003",15,IF(F514="GRPE-000004",1,IF(F514="GRPE-000038",5,IF(F514="GRPE-900022",5,IF(F514="GRPE-000029",5,IF(F514="ATOS-000222",5,8))))))))</f>
        <v>8</v>
      </c>
      <c r="AE514" s="2">
        <f t="shared" ref="AE514:AE577" ca="1" si="60">IF(U514=$AE$1,"",U514-$AE$1)</f>
        <v>-44986.676271643519</v>
      </c>
      <c r="AF514" s="15"/>
    </row>
    <row r="515" spans="4:32">
      <c r="D515" s="1"/>
      <c r="E515" s="1"/>
      <c r="P515" s="11"/>
      <c r="U515" s="11"/>
      <c r="X515" s="13">
        <f t="shared" ref="X515:X578" si="61">IF(RIGHT(H515,2)&lt;&gt;"00",H515,"")</f>
        <v>0</v>
      </c>
      <c r="Y515" s="2">
        <f t="shared" ca="1" si="56"/>
        <v>32133</v>
      </c>
      <c r="Z515" s="14">
        <v>1</v>
      </c>
      <c r="AA515" s="1" t="str">
        <f t="shared" ca="1" si="57"/>
        <v>VENCIDO</v>
      </c>
      <c r="AB515" s="1" t="str">
        <f t="shared" si="58"/>
        <v>TAAe+</v>
      </c>
      <c r="AC515" s="2">
        <f t="shared" ref="AC515:AC578" si="62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>0</v>
      </c>
      <c r="AD515" s="2">
        <f t="shared" si="59"/>
        <v>8</v>
      </c>
      <c r="AE515" s="2">
        <f t="shared" ca="1" si="60"/>
        <v>-44986.676271643519</v>
      </c>
      <c r="AF515" s="15"/>
    </row>
    <row r="516" spans="4:32">
      <c r="D516" s="1"/>
      <c r="E516" s="1"/>
      <c r="P516" s="11"/>
      <c r="U516" s="11"/>
      <c r="X516" s="13">
        <f t="shared" si="61"/>
        <v>0</v>
      </c>
      <c r="Y516" s="2">
        <f t="shared" ca="1" si="56"/>
        <v>32133</v>
      </c>
      <c r="Z516" s="14">
        <v>1</v>
      </c>
      <c r="AA516" s="1" t="str">
        <f t="shared" ca="1" si="57"/>
        <v>VENCIDO</v>
      </c>
      <c r="AB516" s="1" t="str">
        <f t="shared" si="58"/>
        <v>TAAe+</v>
      </c>
      <c r="AC516" s="2">
        <f t="shared" si="62"/>
        <v>0</v>
      </c>
      <c r="AD516" s="2">
        <f t="shared" si="59"/>
        <v>8</v>
      </c>
      <c r="AE516" s="2">
        <f t="shared" ca="1" si="60"/>
        <v>-44986.676271643519</v>
      </c>
      <c r="AF516" s="15"/>
    </row>
    <row r="517" spans="4:32">
      <c r="D517" s="1"/>
      <c r="E517" s="1"/>
      <c r="P517" s="11"/>
      <c r="U517" s="11"/>
      <c r="X517" s="13">
        <f t="shared" si="61"/>
        <v>0</v>
      </c>
      <c r="Y517" s="2">
        <f t="shared" ca="1" si="56"/>
        <v>32133</v>
      </c>
      <c r="Z517" s="14">
        <v>1</v>
      </c>
      <c r="AA517" s="1" t="str">
        <f t="shared" ca="1" si="57"/>
        <v>VENCIDO</v>
      </c>
      <c r="AB517" s="1" t="str">
        <f t="shared" si="58"/>
        <v>TAAe+</v>
      </c>
      <c r="AC517" s="2">
        <f t="shared" si="62"/>
        <v>0</v>
      </c>
      <c r="AD517" s="2">
        <f t="shared" si="59"/>
        <v>8</v>
      </c>
      <c r="AE517" s="2">
        <f t="shared" ca="1" si="60"/>
        <v>-44986.676271643519</v>
      </c>
      <c r="AF517" s="15"/>
    </row>
    <row r="518" spans="4:32">
      <c r="D518" s="1"/>
      <c r="E518" s="1"/>
      <c r="P518" s="11"/>
      <c r="U518" s="11"/>
      <c r="X518" s="13">
        <f t="shared" si="61"/>
        <v>0</v>
      </c>
      <c r="Y518" s="2">
        <f t="shared" ca="1" si="56"/>
        <v>32133</v>
      </c>
      <c r="Z518" s="14">
        <v>1</v>
      </c>
      <c r="AA518" s="1" t="str">
        <f t="shared" ca="1" si="57"/>
        <v>VENCIDO</v>
      </c>
      <c r="AB518" s="1" t="str">
        <f t="shared" si="58"/>
        <v>TAAe+</v>
      </c>
      <c r="AC518" s="2">
        <f t="shared" si="62"/>
        <v>0</v>
      </c>
      <c r="AD518" s="2">
        <f t="shared" si="59"/>
        <v>8</v>
      </c>
      <c r="AE518" s="2">
        <f t="shared" ca="1" si="60"/>
        <v>-44986.676271643519</v>
      </c>
      <c r="AF518" s="15"/>
    </row>
    <row r="519" spans="4:32">
      <c r="D519" s="1"/>
      <c r="E519" s="1"/>
      <c r="P519" s="11"/>
      <c r="U519" s="11"/>
      <c r="X519" s="13">
        <f t="shared" si="61"/>
        <v>0</v>
      </c>
      <c r="Y519" s="2">
        <f t="shared" ca="1" si="56"/>
        <v>32133</v>
      </c>
      <c r="Z519" s="14">
        <v>1</v>
      </c>
      <c r="AA519" s="1" t="str">
        <f t="shared" ca="1" si="57"/>
        <v>VENCIDO</v>
      </c>
      <c r="AB519" s="1" t="str">
        <f t="shared" si="58"/>
        <v>TAAe+</v>
      </c>
      <c r="AC519" s="2">
        <f t="shared" si="62"/>
        <v>0</v>
      </c>
      <c r="AD519" s="2">
        <f t="shared" si="59"/>
        <v>8</v>
      </c>
      <c r="AE519" s="2">
        <f t="shared" ca="1" si="60"/>
        <v>-44986.676271643519</v>
      </c>
      <c r="AF519" s="15"/>
    </row>
    <row r="520" spans="4:32">
      <c r="D520" s="1"/>
      <c r="E520" s="1"/>
      <c r="P520" s="11"/>
      <c r="U520" s="11"/>
      <c r="X520" s="13">
        <f t="shared" si="61"/>
        <v>0</v>
      </c>
      <c r="Y520" s="2">
        <f t="shared" ca="1" si="56"/>
        <v>32133</v>
      </c>
      <c r="Z520" s="14">
        <v>1</v>
      </c>
      <c r="AA520" s="1" t="str">
        <f t="shared" ca="1" si="57"/>
        <v>VENCIDO</v>
      </c>
      <c r="AB520" s="1" t="str">
        <f t="shared" si="58"/>
        <v>TAAe+</v>
      </c>
      <c r="AC520" s="2">
        <f t="shared" si="62"/>
        <v>0</v>
      </c>
      <c r="AD520" s="2">
        <f t="shared" si="59"/>
        <v>8</v>
      </c>
      <c r="AE520" s="2">
        <f t="shared" ca="1" si="60"/>
        <v>-44986.676271643519</v>
      </c>
      <c r="AF520" s="15"/>
    </row>
    <row r="521" spans="4:32">
      <c r="D521" s="1"/>
      <c r="E521" s="1"/>
      <c r="P521" s="11"/>
      <c r="U521" s="11"/>
      <c r="X521" s="13">
        <f t="shared" si="61"/>
        <v>0</v>
      </c>
      <c r="Y521" s="2">
        <f t="shared" ca="1" si="56"/>
        <v>32133</v>
      </c>
      <c r="Z521" s="14">
        <v>1</v>
      </c>
      <c r="AA521" s="1" t="str">
        <f t="shared" ca="1" si="57"/>
        <v>VENCIDO</v>
      </c>
      <c r="AB521" s="1" t="str">
        <f t="shared" si="58"/>
        <v>TAAe+</v>
      </c>
      <c r="AC521" s="2">
        <f t="shared" si="62"/>
        <v>0</v>
      </c>
      <c r="AD521" s="2">
        <f t="shared" si="59"/>
        <v>8</v>
      </c>
      <c r="AE521" s="2">
        <f t="shared" ca="1" si="60"/>
        <v>-44986.676271643519</v>
      </c>
      <c r="AF521" s="15"/>
    </row>
    <row r="522" spans="4:32">
      <c r="D522" s="1"/>
      <c r="E522" s="1"/>
      <c r="P522" s="11"/>
      <c r="U522" s="11"/>
      <c r="X522" s="13">
        <f t="shared" si="61"/>
        <v>0</v>
      </c>
      <c r="Y522" s="2">
        <f t="shared" ca="1" si="56"/>
        <v>32133</v>
      </c>
      <c r="Z522" s="14">
        <v>1</v>
      </c>
      <c r="AA522" s="1" t="str">
        <f t="shared" ca="1" si="57"/>
        <v>VENCIDO</v>
      </c>
      <c r="AB522" s="1" t="str">
        <f t="shared" si="58"/>
        <v>TAAe+</v>
      </c>
      <c r="AC522" s="2">
        <f t="shared" si="62"/>
        <v>0</v>
      </c>
      <c r="AD522" s="2">
        <f t="shared" si="59"/>
        <v>8</v>
      </c>
      <c r="AE522" s="2">
        <f t="shared" ca="1" si="60"/>
        <v>-44986.676271643519</v>
      </c>
      <c r="AF522" s="15"/>
    </row>
    <row r="523" spans="4:32">
      <c r="D523" s="1"/>
      <c r="E523" s="1"/>
      <c r="P523" s="11"/>
      <c r="U523" s="11"/>
      <c r="X523" s="13">
        <f t="shared" si="61"/>
        <v>0</v>
      </c>
      <c r="Y523" s="2">
        <f t="shared" ca="1" si="56"/>
        <v>32133</v>
      </c>
      <c r="Z523" s="14">
        <v>1</v>
      </c>
      <c r="AA523" s="1" t="str">
        <f t="shared" ca="1" si="57"/>
        <v>VENCIDO</v>
      </c>
      <c r="AB523" s="1" t="str">
        <f t="shared" si="58"/>
        <v>TAAe+</v>
      </c>
      <c r="AC523" s="2">
        <f t="shared" si="62"/>
        <v>0</v>
      </c>
      <c r="AD523" s="2">
        <f t="shared" si="59"/>
        <v>8</v>
      </c>
      <c r="AE523" s="2">
        <f t="shared" ca="1" si="60"/>
        <v>-44986.676271643519</v>
      </c>
      <c r="AF523" s="15"/>
    </row>
    <row r="524" spans="4:32">
      <c r="D524" s="1"/>
      <c r="E524" s="1"/>
      <c r="P524" s="11"/>
      <c r="U524" s="11"/>
      <c r="X524" s="13">
        <f t="shared" si="61"/>
        <v>0</v>
      </c>
      <c r="Y524" s="2">
        <f t="shared" ca="1" si="56"/>
        <v>32133</v>
      </c>
      <c r="Z524" s="14">
        <v>1</v>
      </c>
      <c r="AA524" s="1" t="str">
        <f t="shared" ca="1" si="57"/>
        <v>VENCIDO</v>
      </c>
      <c r="AB524" s="1" t="str">
        <f t="shared" si="58"/>
        <v>TAAe+</v>
      </c>
      <c r="AC524" s="2">
        <f t="shared" si="62"/>
        <v>0</v>
      </c>
      <c r="AD524" s="2">
        <f t="shared" si="59"/>
        <v>8</v>
      </c>
      <c r="AE524" s="2">
        <f t="shared" ca="1" si="60"/>
        <v>-44986.676271643519</v>
      </c>
      <c r="AF524" s="15"/>
    </row>
    <row r="525" spans="4:32">
      <c r="D525" s="1"/>
      <c r="E525" s="1"/>
      <c r="P525" s="11"/>
      <c r="U525" s="11"/>
      <c r="X525" s="13">
        <f t="shared" si="61"/>
        <v>0</v>
      </c>
      <c r="Y525" s="2">
        <f t="shared" ca="1" si="56"/>
        <v>32133</v>
      </c>
      <c r="Z525" s="14">
        <v>1</v>
      </c>
      <c r="AA525" s="1" t="str">
        <f t="shared" ca="1" si="57"/>
        <v>VENCIDO</v>
      </c>
      <c r="AB525" s="1" t="str">
        <f t="shared" si="58"/>
        <v>TAAe+</v>
      </c>
      <c r="AC525" s="2">
        <f t="shared" si="62"/>
        <v>0</v>
      </c>
      <c r="AD525" s="2">
        <f t="shared" si="59"/>
        <v>8</v>
      </c>
      <c r="AE525" s="2">
        <f t="shared" ca="1" si="60"/>
        <v>-44986.676271643519</v>
      </c>
      <c r="AF525" s="15"/>
    </row>
    <row r="526" spans="4:32">
      <c r="D526" s="1"/>
      <c r="E526" s="1"/>
      <c r="P526" s="11"/>
      <c r="U526" s="11"/>
      <c r="X526" s="13">
        <f t="shared" si="61"/>
        <v>0</v>
      </c>
      <c r="Y526" s="2">
        <f t="shared" ca="1" si="56"/>
        <v>32133</v>
      </c>
      <c r="Z526" s="14">
        <v>1</v>
      </c>
      <c r="AA526" s="1" t="str">
        <f t="shared" ca="1" si="57"/>
        <v>VENCIDO</v>
      </c>
      <c r="AB526" s="1" t="str">
        <f t="shared" si="58"/>
        <v>TAAe+</v>
      </c>
      <c r="AC526" s="2">
        <f t="shared" si="62"/>
        <v>0</v>
      </c>
      <c r="AD526" s="2">
        <f t="shared" si="59"/>
        <v>8</v>
      </c>
      <c r="AE526" s="2">
        <f t="shared" ca="1" si="60"/>
        <v>-44986.676271643519</v>
      </c>
      <c r="AF526" s="15"/>
    </row>
    <row r="527" spans="4:32">
      <c r="D527" s="1"/>
      <c r="E527" s="1"/>
      <c r="P527" s="11"/>
      <c r="U527" s="11"/>
      <c r="X527" s="13">
        <f t="shared" si="61"/>
        <v>0</v>
      </c>
      <c r="Y527" s="2">
        <f t="shared" ca="1" si="56"/>
        <v>32133</v>
      </c>
      <c r="Z527" s="14">
        <v>1</v>
      </c>
      <c r="AA527" s="1" t="str">
        <f t="shared" ca="1" si="57"/>
        <v>VENCIDO</v>
      </c>
      <c r="AB527" s="1" t="str">
        <f t="shared" si="58"/>
        <v>TAAe+</v>
      </c>
      <c r="AC527" s="2">
        <f t="shared" si="62"/>
        <v>0</v>
      </c>
      <c r="AD527" s="2">
        <f t="shared" si="59"/>
        <v>8</v>
      </c>
      <c r="AE527" s="2">
        <f t="shared" ca="1" si="60"/>
        <v>-44986.676271643519</v>
      </c>
      <c r="AF527" s="15"/>
    </row>
    <row r="528" spans="4:32">
      <c r="D528" s="1"/>
      <c r="E528" s="1"/>
      <c r="P528" s="11"/>
      <c r="U528" s="11"/>
      <c r="X528" s="13">
        <f t="shared" si="61"/>
        <v>0</v>
      </c>
      <c r="Y528" s="2">
        <f t="shared" ca="1" si="56"/>
        <v>32133</v>
      </c>
      <c r="Z528" s="14">
        <v>1</v>
      </c>
      <c r="AA528" s="1" t="str">
        <f t="shared" ca="1" si="57"/>
        <v>VENCIDO</v>
      </c>
      <c r="AB528" s="1" t="str">
        <f t="shared" si="58"/>
        <v>TAAe+</v>
      </c>
      <c r="AC528" s="2">
        <f t="shared" si="62"/>
        <v>0</v>
      </c>
      <c r="AD528" s="2">
        <f t="shared" si="59"/>
        <v>8</v>
      </c>
      <c r="AE528" s="2">
        <f t="shared" ca="1" si="60"/>
        <v>-44986.676271643519</v>
      </c>
      <c r="AF528" s="15"/>
    </row>
    <row r="529" spans="3:32">
      <c r="D529" s="1"/>
      <c r="E529" s="1"/>
      <c r="P529" s="11"/>
      <c r="U529" s="11"/>
      <c r="X529" s="13">
        <f t="shared" si="61"/>
        <v>0</v>
      </c>
      <c r="Y529" s="2">
        <f t="shared" ca="1" si="56"/>
        <v>32133</v>
      </c>
      <c r="Z529" s="14">
        <v>1</v>
      </c>
      <c r="AA529" s="1" t="str">
        <f t="shared" ca="1" si="57"/>
        <v>VENCIDO</v>
      </c>
      <c r="AB529" s="1" t="str">
        <f t="shared" si="58"/>
        <v>TAAe+</v>
      </c>
      <c r="AC529" s="2">
        <f t="shared" si="62"/>
        <v>0</v>
      </c>
      <c r="AD529" s="2">
        <f t="shared" si="59"/>
        <v>8</v>
      </c>
      <c r="AE529" s="2">
        <f t="shared" ca="1" si="60"/>
        <v>-44986.676271643519</v>
      </c>
      <c r="AF529" s="15"/>
    </row>
    <row r="530" spans="3:32">
      <c r="D530" s="1"/>
      <c r="E530" s="1"/>
      <c r="P530" s="11"/>
      <c r="U530" s="11"/>
      <c r="X530" s="13">
        <f t="shared" si="61"/>
        <v>0</v>
      </c>
      <c r="Y530" s="2">
        <f t="shared" ca="1" si="56"/>
        <v>32133</v>
      </c>
      <c r="Z530" s="14">
        <v>1</v>
      </c>
      <c r="AA530" s="1" t="str">
        <f t="shared" ca="1" si="57"/>
        <v>VENCIDO</v>
      </c>
      <c r="AB530" s="1" t="str">
        <f t="shared" si="58"/>
        <v>TAAe+</v>
      </c>
      <c r="AC530" s="2">
        <f t="shared" si="62"/>
        <v>0</v>
      </c>
      <c r="AD530" s="2">
        <f t="shared" si="59"/>
        <v>8</v>
      </c>
      <c r="AE530" s="2">
        <f t="shared" ca="1" si="60"/>
        <v>-44986.676271643519</v>
      </c>
      <c r="AF530" s="15"/>
    </row>
    <row r="531" spans="3:32">
      <c r="D531" s="1"/>
      <c r="E531" s="1"/>
      <c r="P531" s="11"/>
      <c r="U531" s="11"/>
      <c r="X531" s="13">
        <f t="shared" si="61"/>
        <v>0</v>
      </c>
      <c r="Y531" s="2">
        <f t="shared" ca="1" si="56"/>
        <v>32133</v>
      </c>
      <c r="Z531" s="14">
        <v>1</v>
      </c>
      <c r="AA531" s="1" t="str">
        <f t="shared" ca="1" si="57"/>
        <v>VENCIDO</v>
      </c>
      <c r="AB531" s="1" t="str">
        <f t="shared" si="58"/>
        <v>TAAe+</v>
      </c>
      <c r="AC531" s="2">
        <f t="shared" si="62"/>
        <v>0</v>
      </c>
      <c r="AD531" s="2">
        <f t="shared" si="59"/>
        <v>8</v>
      </c>
      <c r="AE531" s="2">
        <f t="shared" ca="1" si="60"/>
        <v>-44986.676271643519</v>
      </c>
      <c r="AF531" s="15"/>
    </row>
    <row r="532" spans="3:32">
      <c r="D532" s="1"/>
      <c r="E532" s="1"/>
      <c r="P532" s="11"/>
      <c r="U532" s="11"/>
      <c r="X532" s="13">
        <f t="shared" si="61"/>
        <v>0</v>
      </c>
      <c r="Y532" s="2">
        <f t="shared" ca="1" si="56"/>
        <v>32133</v>
      </c>
      <c r="Z532" s="14">
        <v>1</v>
      </c>
      <c r="AA532" s="1" t="str">
        <f t="shared" ca="1" si="57"/>
        <v>VENCIDO</v>
      </c>
      <c r="AB532" s="1" t="str">
        <f t="shared" si="58"/>
        <v>TAAe+</v>
      </c>
      <c r="AC532" s="2">
        <f t="shared" si="62"/>
        <v>0</v>
      </c>
      <c r="AD532" s="2">
        <f t="shared" si="59"/>
        <v>8</v>
      </c>
      <c r="AE532" s="2">
        <f t="shared" ca="1" si="60"/>
        <v>-44986.676271643519</v>
      </c>
      <c r="AF532" s="15"/>
    </row>
    <row r="533" spans="3:32">
      <c r="D533" s="1"/>
      <c r="E533" s="1"/>
      <c r="P533" s="11"/>
      <c r="U533" s="11"/>
      <c r="X533" s="13">
        <f t="shared" si="61"/>
        <v>0</v>
      </c>
      <c r="Y533" s="2">
        <f t="shared" ca="1" si="56"/>
        <v>32133</v>
      </c>
      <c r="Z533" s="14">
        <v>1</v>
      </c>
      <c r="AA533" s="1" t="str">
        <f t="shared" ca="1" si="57"/>
        <v>VENCIDO</v>
      </c>
      <c r="AB533" s="1" t="str">
        <f t="shared" si="58"/>
        <v>TAAe+</v>
      </c>
      <c r="AC533" s="2">
        <f t="shared" si="62"/>
        <v>0</v>
      </c>
      <c r="AD533" s="2">
        <f t="shared" si="59"/>
        <v>8</v>
      </c>
      <c r="AE533" s="2">
        <f t="shared" ca="1" si="60"/>
        <v>-44986.676271643519</v>
      </c>
      <c r="AF533" s="15"/>
    </row>
    <row r="534" spans="3:32">
      <c r="D534" s="1"/>
      <c r="E534" s="1"/>
      <c r="P534" s="11"/>
      <c r="U534" s="11"/>
      <c r="X534" s="13">
        <f t="shared" si="61"/>
        <v>0</v>
      </c>
      <c r="Y534" s="2">
        <f t="shared" ca="1" si="56"/>
        <v>32133</v>
      </c>
      <c r="Z534" s="14">
        <v>1</v>
      </c>
      <c r="AA534" s="1" t="str">
        <f t="shared" ca="1" si="57"/>
        <v>VENCIDO</v>
      </c>
      <c r="AB534" s="1" t="str">
        <f t="shared" si="58"/>
        <v>TAAe+</v>
      </c>
      <c r="AC534" s="2">
        <f t="shared" si="62"/>
        <v>0</v>
      </c>
      <c r="AD534" s="2">
        <f t="shared" si="59"/>
        <v>8</v>
      </c>
      <c r="AE534" s="2">
        <f t="shared" ca="1" si="60"/>
        <v>-44986.676271643519</v>
      </c>
      <c r="AF534" s="15"/>
    </row>
    <row r="535" spans="3:32">
      <c r="D535" s="1"/>
      <c r="E535" s="1"/>
      <c r="P535" s="11"/>
      <c r="U535" s="11"/>
      <c r="X535" s="13">
        <f t="shared" si="61"/>
        <v>0</v>
      </c>
      <c r="Y535" s="2">
        <f t="shared" ca="1" si="56"/>
        <v>32133</v>
      </c>
      <c r="Z535" s="14">
        <v>1</v>
      </c>
      <c r="AA535" s="1" t="str">
        <f t="shared" ca="1" si="57"/>
        <v>VENCIDO</v>
      </c>
      <c r="AB535" s="1" t="str">
        <f t="shared" si="58"/>
        <v>TAAe+</v>
      </c>
      <c r="AC535" s="2">
        <f t="shared" si="62"/>
        <v>0</v>
      </c>
      <c r="AD535" s="2">
        <f t="shared" si="59"/>
        <v>8</v>
      </c>
      <c r="AE535" s="2">
        <f t="shared" ca="1" si="60"/>
        <v>-44986.676271643519</v>
      </c>
      <c r="AF535" s="15"/>
    </row>
    <row r="536" spans="3:32">
      <c r="D536" s="1"/>
      <c r="E536" s="1"/>
      <c r="P536" s="11"/>
      <c r="U536" s="11"/>
      <c r="X536" s="13">
        <f t="shared" si="61"/>
        <v>0</v>
      </c>
      <c r="Y536" s="2">
        <f t="shared" ca="1" si="56"/>
        <v>32133</v>
      </c>
      <c r="Z536" s="14">
        <v>1</v>
      </c>
      <c r="AA536" s="1" t="str">
        <f t="shared" ca="1" si="57"/>
        <v>VENCIDO</v>
      </c>
      <c r="AB536" s="1" t="str">
        <f t="shared" si="58"/>
        <v>TAAe+</v>
      </c>
      <c r="AC536" s="2">
        <f t="shared" si="62"/>
        <v>0</v>
      </c>
      <c r="AD536" s="2">
        <f t="shared" si="59"/>
        <v>8</v>
      </c>
      <c r="AE536" s="2">
        <f t="shared" ca="1" si="60"/>
        <v>-44986.676271643519</v>
      </c>
      <c r="AF536" s="15"/>
    </row>
    <row r="537" spans="3:32">
      <c r="C537" s="49"/>
      <c r="D537" s="1"/>
      <c r="E537" s="1"/>
      <c r="P537" s="11"/>
      <c r="U537" s="11"/>
      <c r="X537" s="13">
        <f t="shared" si="61"/>
        <v>0</v>
      </c>
      <c r="Y537" s="2">
        <f t="shared" ca="1" si="56"/>
        <v>32133</v>
      </c>
      <c r="Z537" s="14">
        <v>1</v>
      </c>
      <c r="AA537" s="1" t="str">
        <f t="shared" ca="1" si="57"/>
        <v>VENCIDO</v>
      </c>
      <c r="AB537" s="1" t="str">
        <f t="shared" si="58"/>
        <v>TAAe+</v>
      </c>
      <c r="AC537" s="2">
        <f t="shared" si="62"/>
        <v>0</v>
      </c>
      <c r="AD537" s="2">
        <f t="shared" si="59"/>
        <v>8</v>
      </c>
      <c r="AE537" s="2">
        <f t="shared" ca="1" si="60"/>
        <v>-44986.676271643519</v>
      </c>
      <c r="AF537" s="15"/>
    </row>
    <row r="538" spans="3:32">
      <c r="D538" s="1"/>
      <c r="E538" s="1"/>
      <c r="P538" s="11"/>
      <c r="U538" s="11"/>
      <c r="X538" s="13">
        <f t="shared" si="61"/>
        <v>0</v>
      </c>
      <c r="Y538" s="2">
        <f t="shared" ca="1" si="56"/>
        <v>32133</v>
      </c>
      <c r="Z538" s="14">
        <v>1</v>
      </c>
      <c r="AA538" s="1" t="str">
        <f t="shared" ca="1" si="57"/>
        <v>VENCIDO</v>
      </c>
      <c r="AB538" s="1" t="str">
        <f t="shared" si="58"/>
        <v>TAAe+</v>
      </c>
      <c r="AC538" s="2">
        <f t="shared" si="62"/>
        <v>0</v>
      </c>
      <c r="AD538" s="2">
        <f t="shared" si="59"/>
        <v>8</v>
      </c>
      <c r="AE538" s="2">
        <f t="shared" ca="1" si="60"/>
        <v>-44986.676271643519</v>
      </c>
      <c r="AF538" s="15"/>
    </row>
    <row r="539" spans="3:32">
      <c r="D539" s="1"/>
      <c r="E539" s="1"/>
      <c r="P539" s="11"/>
      <c r="U539" s="11"/>
      <c r="X539" s="13">
        <f t="shared" si="61"/>
        <v>0</v>
      </c>
      <c r="Y539" s="2">
        <f t="shared" ca="1" si="56"/>
        <v>32133</v>
      </c>
      <c r="Z539" s="14">
        <v>1</v>
      </c>
      <c r="AA539" s="1" t="str">
        <f t="shared" ca="1" si="57"/>
        <v>VENCIDO</v>
      </c>
      <c r="AB539" s="1" t="str">
        <f t="shared" si="58"/>
        <v>TAAe+</v>
      </c>
      <c r="AC539" s="2">
        <f t="shared" si="62"/>
        <v>0</v>
      </c>
      <c r="AD539" s="2">
        <f t="shared" si="59"/>
        <v>8</v>
      </c>
      <c r="AE539" s="2">
        <f t="shared" ca="1" si="60"/>
        <v>-44986.676271643519</v>
      </c>
      <c r="AF539" s="15"/>
    </row>
    <row r="540" spans="3:32">
      <c r="D540" s="1"/>
      <c r="E540" s="1"/>
      <c r="P540" s="11"/>
      <c r="U540" s="11"/>
      <c r="X540" s="13">
        <f t="shared" si="61"/>
        <v>0</v>
      </c>
      <c r="Y540" s="2">
        <f t="shared" ca="1" si="56"/>
        <v>32133</v>
      </c>
      <c r="Z540" s="14">
        <v>1</v>
      </c>
      <c r="AA540" s="1" t="str">
        <f t="shared" ca="1" si="57"/>
        <v>VENCIDO</v>
      </c>
      <c r="AB540" s="1" t="str">
        <f t="shared" si="58"/>
        <v>TAAe+</v>
      </c>
      <c r="AC540" s="2">
        <f t="shared" si="62"/>
        <v>0</v>
      </c>
      <c r="AD540" s="2">
        <f t="shared" si="59"/>
        <v>8</v>
      </c>
      <c r="AE540" s="2">
        <f t="shared" ca="1" si="60"/>
        <v>-44986.676271643519</v>
      </c>
      <c r="AF540" s="15"/>
    </row>
    <row r="541" spans="3:32">
      <c r="D541" s="1"/>
      <c r="E541" s="1"/>
      <c r="P541" s="11"/>
      <c r="U541" s="11"/>
      <c r="X541" s="13">
        <f t="shared" si="61"/>
        <v>0</v>
      </c>
      <c r="Y541" s="2">
        <f t="shared" ca="1" si="56"/>
        <v>32133</v>
      </c>
      <c r="Z541" s="14">
        <v>1</v>
      </c>
      <c r="AA541" s="1" t="str">
        <f t="shared" ca="1" si="57"/>
        <v>VENCIDO</v>
      </c>
      <c r="AB541" s="1" t="str">
        <f t="shared" si="58"/>
        <v>TAAe+</v>
      </c>
      <c r="AC541" s="2">
        <f t="shared" si="62"/>
        <v>0</v>
      </c>
      <c r="AD541" s="2">
        <f t="shared" si="59"/>
        <v>8</v>
      </c>
      <c r="AE541" s="2">
        <f t="shared" ca="1" si="60"/>
        <v>-44986.676271643519</v>
      </c>
      <c r="AF541" s="15"/>
    </row>
    <row r="542" spans="3:32">
      <c r="C542" s="50"/>
      <c r="D542" s="1"/>
      <c r="E542" s="1"/>
      <c r="P542" s="11"/>
      <c r="U542" s="11"/>
      <c r="X542" s="13">
        <f t="shared" si="61"/>
        <v>0</v>
      </c>
      <c r="Y542" s="2">
        <f t="shared" ca="1" si="56"/>
        <v>32133</v>
      </c>
      <c r="Z542" s="14">
        <v>1</v>
      </c>
      <c r="AA542" s="1" t="str">
        <f t="shared" ca="1" si="57"/>
        <v>VENCIDO</v>
      </c>
      <c r="AB542" s="1" t="str">
        <f t="shared" si="58"/>
        <v>TAAe+</v>
      </c>
      <c r="AC542" s="2">
        <f t="shared" si="62"/>
        <v>0</v>
      </c>
      <c r="AD542" s="2">
        <f t="shared" si="59"/>
        <v>8</v>
      </c>
      <c r="AE542" s="2">
        <f t="shared" ca="1" si="60"/>
        <v>-44986.676271643519</v>
      </c>
      <c r="AF542" s="15"/>
    </row>
    <row r="543" spans="3:32">
      <c r="D543" s="1"/>
      <c r="E543" s="1"/>
      <c r="P543" s="11"/>
      <c r="U543" s="11"/>
      <c r="X543" s="13">
        <f t="shared" si="61"/>
        <v>0</v>
      </c>
      <c r="Y543" s="2">
        <f t="shared" ca="1" si="56"/>
        <v>32133</v>
      </c>
      <c r="Z543" s="14">
        <v>1</v>
      </c>
      <c r="AA543" s="1" t="str">
        <f t="shared" ca="1" si="57"/>
        <v>VENCIDO</v>
      </c>
      <c r="AB543" s="1" t="str">
        <f t="shared" si="58"/>
        <v>TAAe+</v>
      </c>
      <c r="AC543" s="2">
        <f t="shared" si="62"/>
        <v>0</v>
      </c>
      <c r="AD543" s="2">
        <f t="shared" si="59"/>
        <v>8</v>
      </c>
      <c r="AE543" s="2">
        <f t="shared" ca="1" si="60"/>
        <v>-44986.676271643519</v>
      </c>
      <c r="AF543" s="15"/>
    </row>
    <row r="544" spans="3:32">
      <c r="C544" s="49"/>
      <c r="D544" s="1"/>
      <c r="E544" s="1"/>
      <c r="P544" s="11"/>
      <c r="U544" s="11"/>
      <c r="X544" s="13">
        <f t="shared" si="61"/>
        <v>0</v>
      </c>
      <c r="Y544" s="2">
        <f t="shared" ca="1" si="56"/>
        <v>32133</v>
      </c>
      <c r="Z544" s="14">
        <v>1</v>
      </c>
      <c r="AA544" s="1" t="str">
        <f t="shared" ca="1" si="57"/>
        <v>VENCIDO</v>
      </c>
      <c r="AB544" s="1" t="str">
        <f t="shared" si="58"/>
        <v>TAAe+</v>
      </c>
      <c r="AC544" s="2">
        <f t="shared" si="62"/>
        <v>0</v>
      </c>
      <c r="AD544" s="2">
        <f t="shared" si="59"/>
        <v>8</v>
      </c>
      <c r="AE544" s="2">
        <f t="shared" ca="1" si="60"/>
        <v>-44986.676271643519</v>
      </c>
      <c r="AF544" s="15"/>
    </row>
    <row r="545" spans="3:32">
      <c r="D545" s="1"/>
      <c r="E545" s="1"/>
      <c r="P545" s="11"/>
      <c r="U545" s="11"/>
      <c r="X545" s="13">
        <f t="shared" si="61"/>
        <v>0</v>
      </c>
      <c r="Y545" s="2">
        <f t="shared" ca="1" si="56"/>
        <v>32133</v>
      </c>
      <c r="Z545" s="14">
        <v>1</v>
      </c>
      <c r="AA545" s="1" t="str">
        <f t="shared" ca="1" si="57"/>
        <v>VENCIDO</v>
      </c>
      <c r="AB545" s="1" t="str">
        <f t="shared" si="58"/>
        <v>TAAe+</v>
      </c>
      <c r="AC545" s="2">
        <f t="shared" si="62"/>
        <v>0</v>
      </c>
      <c r="AD545" s="2">
        <f t="shared" si="59"/>
        <v>8</v>
      </c>
      <c r="AE545" s="2">
        <f t="shared" ca="1" si="60"/>
        <v>-44986.676271643519</v>
      </c>
      <c r="AF545" s="15"/>
    </row>
    <row r="546" spans="3:32">
      <c r="D546" s="1"/>
      <c r="E546" s="1"/>
      <c r="P546" s="11"/>
      <c r="U546" s="11"/>
      <c r="X546" s="13">
        <f t="shared" si="61"/>
        <v>0</v>
      </c>
      <c r="Y546" s="2">
        <f t="shared" ca="1" si="56"/>
        <v>32133</v>
      </c>
      <c r="Z546" s="14">
        <v>1</v>
      </c>
      <c r="AA546" s="1" t="str">
        <f t="shared" ca="1" si="57"/>
        <v>VENCIDO</v>
      </c>
      <c r="AB546" s="1" t="str">
        <f t="shared" si="58"/>
        <v>TAAe+</v>
      </c>
      <c r="AC546" s="2">
        <f t="shared" si="62"/>
        <v>0</v>
      </c>
      <c r="AD546" s="2">
        <f t="shared" si="59"/>
        <v>8</v>
      </c>
      <c r="AE546" s="2">
        <f t="shared" ca="1" si="60"/>
        <v>-44986.676271643519</v>
      </c>
      <c r="AF546" s="15"/>
    </row>
    <row r="547" spans="3:32">
      <c r="D547" s="1"/>
      <c r="E547" s="1"/>
      <c r="P547" s="11"/>
      <c r="U547" s="11"/>
      <c r="X547" s="13">
        <f t="shared" si="61"/>
        <v>0</v>
      </c>
      <c r="Y547" s="2">
        <f t="shared" ca="1" si="56"/>
        <v>32133</v>
      </c>
      <c r="Z547" s="14">
        <v>1</v>
      </c>
      <c r="AA547" s="1" t="str">
        <f t="shared" ca="1" si="57"/>
        <v>VENCIDO</v>
      </c>
      <c r="AB547" s="1" t="str">
        <f t="shared" si="58"/>
        <v>TAAe+</v>
      </c>
      <c r="AC547" s="2">
        <f t="shared" si="62"/>
        <v>0</v>
      </c>
      <c r="AD547" s="2">
        <f t="shared" si="59"/>
        <v>8</v>
      </c>
      <c r="AE547" s="2">
        <f t="shared" ca="1" si="60"/>
        <v>-44986.676271643519</v>
      </c>
      <c r="AF547" s="15"/>
    </row>
    <row r="548" spans="3:32">
      <c r="D548" s="1"/>
      <c r="E548" s="1"/>
      <c r="P548" s="11"/>
      <c r="U548" s="11"/>
      <c r="X548" s="13">
        <f t="shared" si="61"/>
        <v>0</v>
      </c>
      <c r="Y548" s="2">
        <f t="shared" ca="1" si="56"/>
        <v>32133</v>
      </c>
      <c r="Z548" s="14">
        <v>1</v>
      </c>
      <c r="AA548" s="1" t="str">
        <f t="shared" ca="1" si="57"/>
        <v>VENCIDO</v>
      </c>
      <c r="AB548" s="1" t="str">
        <f t="shared" si="58"/>
        <v>TAAe+</v>
      </c>
      <c r="AC548" s="2">
        <f t="shared" si="62"/>
        <v>0</v>
      </c>
      <c r="AD548" s="2">
        <f t="shared" si="59"/>
        <v>8</v>
      </c>
      <c r="AE548" s="2">
        <f t="shared" ca="1" si="60"/>
        <v>-44986.676271643519</v>
      </c>
      <c r="AF548" s="15"/>
    </row>
    <row r="549" spans="3:32">
      <c r="D549" s="1"/>
      <c r="E549" s="1"/>
      <c r="P549" s="11"/>
      <c r="U549" s="11"/>
      <c r="X549" s="13">
        <f t="shared" si="61"/>
        <v>0</v>
      </c>
      <c r="Y549" s="2">
        <f t="shared" ca="1" si="56"/>
        <v>32133</v>
      </c>
      <c r="Z549" s="14">
        <v>1</v>
      </c>
      <c r="AA549" s="1" t="str">
        <f t="shared" ca="1" si="57"/>
        <v>VENCIDO</v>
      </c>
      <c r="AB549" s="1" t="str">
        <f t="shared" si="58"/>
        <v>TAAe+</v>
      </c>
      <c r="AC549" s="2">
        <f t="shared" si="62"/>
        <v>0</v>
      </c>
      <c r="AD549" s="2">
        <f t="shared" si="59"/>
        <v>8</v>
      </c>
      <c r="AE549" s="2">
        <f t="shared" ca="1" si="60"/>
        <v>-44986.676271643519</v>
      </c>
      <c r="AF549" s="15"/>
    </row>
    <row r="550" spans="3:32">
      <c r="D550" s="1"/>
      <c r="E550" s="1"/>
      <c r="P550" s="11"/>
      <c r="U550" s="11"/>
      <c r="X550" s="13">
        <f t="shared" si="61"/>
        <v>0</v>
      </c>
      <c r="Y550" s="2">
        <f t="shared" ca="1" si="56"/>
        <v>32133</v>
      </c>
      <c r="Z550" s="14">
        <v>1</v>
      </c>
      <c r="AA550" s="1" t="str">
        <f t="shared" ca="1" si="57"/>
        <v>VENCIDO</v>
      </c>
      <c r="AB550" s="1" t="str">
        <f t="shared" si="58"/>
        <v>TAAe+</v>
      </c>
      <c r="AC550" s="2">
        <f t="shared" si="62"/>
        <v>0</v>
      </c>
      <c r="AD550" s="2">
        <f t="shared" si="59"/>
        <v>8</v>
      </c>
      <c r="AE550" s="2">
        <f t="shared" ca="1" si="60"/>
        <v>-44986.676271643519</v>
      </c>
      <c r="AF550" s="15"/>
    </row>
    <row r="551" spans="3:32">
      <c r="C551" s="49"/>
      <c r="D551" s="1"/>
      <c r="E551" s="1"/>
      <c r="P551" s="11"/>
      <c r="U551" s="11"/>
      <c r="X551" s="13">
        <f t="shared" si="61"/>
        <v>0</v>
      </c>
      <c r="Y551" s="2">
        <f t="shared" ca="1" si="56"/>
        <v>32133</v>
      </c>
      <c r="Z551" s="14">
        <v>1</v>
      </c>
      <c r="AA551" s="1" t="str">
        <f t="shared" ca="1" si="57"/>
        <v>VENCIDO</v>
      </c>
      <c r="AB551" s="1" t="str">
        <f t="shared" si="58"/>
        <v>TAAe+</v>
      </c>
      <c r="AC551" s="2">
        <f t="shared" si="62"/>
        <v>0</v>
      </c>
      <c r="AD551" s="2">
        <f t="shared" si="59"/>
        <v>8</v>
      </c>
      <c r="AE551" s="2">
        <f t="shared" ca="1" si="60"/>
        <v>-44986.676271643519</v>
      </c>
      <c r="AF551" s="15"/>
    </row>
    <row r="552" spans="3:32">
      <c r="C552" s="49"/>
      <c r="D552" s="1"/>
      <c r="E552" s="1"/>
      <c r="P552" s="11"/>
      <c r="U552" s="11"/>
      <c r="X552" s="13">
        <f t="shared" si="61"/>
        <v>0</v>
      </c>
      <c r="Y552" s="2">
        <f t="shared" ca="1" si="56"/>
        <v>32133</v>
      </c>
      <c r="Z552" s="14">
        <v>1</v>
      </c>
      <c r="AA552" s="1" t="str">
        <f t="shared" ca="1" si="57"/>
        <v>VENCIDO</v>
      </c>
      <c r="AB552" s="1" t="str">
        <f t="shared" si="58"/>
        <v>TAAe+</v>
      </c>
      <c r="AC552" s="2">
        <f t="shared" si="62"/>
        <v>0</v>
      </c>
      <c r="AD552" s="2">
        <f t="shared" si="59"/>
        <v>8</v>
      </c>
      <c r="AE552" s="2">
        <f t="shared" ca="1" si="60"/>
        <v>-44986.676271643519</v>
      </c>
      <c r="AF552" s="15"/>
    </row>
    <row r="553" spans="3:32">
      <c r="D553" s="1"/>
      <c r="E553" s="1"/>
      <c r="P553" s="11"/>
      <c r="U553" s="11"/>
      <c r="X553" s="13">
        <f t="shared" si="61"/>
        <v>0</v>
      </c>
      <c r="Y553" s="2">
        <f t="shared" ca="1" si="56"/>
        <v>32133</v>
      </c>
      <c r="Z553" s="14">
        <v>1</v>
      </c>
      <c r="AA553" s="1" t="str">
        <f t="shared" ca="1" si="57"/>
        <v>VENCIDO</v>
      </c>
      <c r="AB553" s="1" t="str">
        <f t="shared" si="58"/>
        <v>TAAe+</v>
      </c>
      <c r="AC553" s="2">
        <f t="shared" si="62"/>
        <v>0</v>
      </c>
      <c r="AD553" s="2">
        <f t="shared" si="59"/>
        <v>8</v>
      </c>
      <c r="AE553" s="2">
        <f t="shared" ca="1" si="60"/>
        <v>-44986.676271643519</v>
      </c>
      <c r="AF553" s="15"/>
    </row>
    <row r="554" spans="3:32">
      <c r="C554" s="50"/>
      <c r="D554" s="1"/>
      <c r="E554" s="1"/>
      <c r="P554" s="11"/>
      <c r="U554" s="11"/>
      <c r="X554" s="13">
        <f t="shared" si="61"/>
        <v>0</v>
      </c>
      <c r="Y554" s="2">
        <f t="shared" ca="1" si="56"/>
        <v>32133</v>
      </c>
      <c r="Z554" s="14">
        <v>1</v>
      </c>
      <c r="AA554" s="1" t="str">
        <f t="shared" ca="1" si="57"/>
        <v>VENCIDO</v>
      </c>
      <c r="AB554" s="1" t="str">
        <f t="shared" si="58"/>
        <v>TAAe+</v>
      </c>
      <c r="AC554" s="2">
        <f t="shared" si="62"/>
        <v>0</v>
      </c>
      <c r="AD554" s="2">
        <f t="shared" si="59"/>
        <v>8</v>
      </c>
      <c r="AE554" s="2">
        <f t="shared" ca="1" si="60"/>
        <v>-44986.676271643519</v>
      </c>
      <c r="AF554" s="15"/>
    </row>
    <row r="555" spans="3:32">
      <c r="D555" s="1"/>
      <c r="E555" s="1"/>
      <c r="P555" s="11"/>
      <c r="U555" s="11"/>
      <c r="X555" s="13">
        <f t="shared" si="61"/>
        <v>0</v>
      </c>
      <c r="Y555" s="2">
        <f t="shared" ca="1" si="56"/>
        <v>32133</v>
      </c>
      <c r="Z555" s="14">
        <v>1</v>
      </c>
      <c r="AA555" s="1" t="str">
        <f t="shared" ca="1" si="57"/>
        <v>VENCIDO</v>
      </c>
      <c r="AB555" s="1" t="str">
        <f t="shared" si="58"/>
        <v>TAAe+</v>
      </c>
      <c r="AC555" s="2">
        <f t="shared" si="62"/>
        <v>0</v>
      </c>
      <c r="AD555" s="2">
        <f t="shared" si="59"/>
        <v>8</v>
      </c>
      <c r="AE555" s="2">
        <f t="shared" ca="1" si="60"/>
        <v>-44986.676271643519</v>
      </c>
      <c r="AF555" s="15"/>
    </row>
    <row r="556" spans="3:32">
      <c r="C556" s="49"/>
      <c r="D556" s="1"/>
      <c r="E556" s="1"/>
      <c r="P556" s="11"/>
      <c r="U556" s="11"/>
      <c r="X556" s="13">
        <f t="shared" si="61"/>
        <v>0</v>
      </c>
      <c r="Y556" s="2">
        <f t="shared" ca="1" si="56"/>
        <v>32133</v>
      </c>
      <c r="Z556" s="14">
        <v>1</v>
      </c>
      <c r="AA556" s="1" t="str">
        <f t="shared" ca="1" si="57"/>
        <v>VENCIDO</v>
      </c>
      <c r="AB556" s="1" t="str">
        <f t="shared" si="58"/>
        <v>TAAe+</v>
      </c>
      <c r="AC556" s="2">
        <f t="shared" si="62"/>
        <v>0</v>
      </c>
      <c r="AD556" s="2">
        <f t="shared" si="59"/>
        <v>8</v>
      </c>
      <c r="AE556" s="2">
        <f t="shared" ca="1" si="60"/>
        <v>-44986.676271643519</v>
      </c>
      <c r="AF556" s="15"/>
    </row>
    <row r="557" spans="3:32">
      <c r="D557" s="1"/>
      <c r="E557" s="1"/>
      <c r="P557" s="11"/>
      <c r="U557" s="11"/>
      <c r="X557" s="13">
        <f t="shared" si="61"/>
        <v>0</v>
      </c>
      <c r="Y557" s="2">
        <f t="shared" ca="1" si="56"/>
        <v>32133</v>
      </c>
      <c r="Z557" s="14">
        <v>1</v>
      </c>
      <c r="AA557" s="1" t="str">
        <f t="shared" ca="1" si="57"/>
        <v>VENCIDO</v>
      </c>
      <c r="AB557" s="1" t="str">
        <f t="shared" si="58"/>
        <v>TAAe+</v>
      </c>
      <c r="AC557" s="2">
        <f t="shared" si="62"/>
        <v>0</v>
      </c>
      <c r="AD557" s="2">
        <f t="shared" si="59"/>
        <v>8</v>
      </c>
      <c r="AE557" s="2">
        <f t="shared" ca="1" si="60"/>
        <v>-44986.676271643519</v>
      </c>
      <c r="AF557" s="15"/>
    </row>
    <row r="558" spans="3:32">
      <c r="D558" s="1"/>
      <c r="E558" s="1"/>
      <c r="P558" s="11"/>
      <c r="U558" s="11"/>
      <c r="X558" s="13">
        <f t="shared" si="61"/>
        <v>0</v>
      </c>
      <c r="Y558" s="2">
        <f t="shared" ca="1" si="56"/>
        <v>32133</v>
      </c>
      <c r="Z558" s="14">
        <v>1</v>
      </c>
      <c r="AA558" s="1" t="str">
        <f t="shared" ca="1" si="57"/>
        <v>VENCIDO</v>
      </c>
      <c r="AB558" s="1" t="str">
        <f t="shared" si="58"/>
        <v>TAAe+</v>
      </c>
      <c r="AC558" s="2">
        <f t="shared" si="62"/>
        <v>0</v>
      </c>
      <c r="AD558" s="2">
        <f t="shared" si="59"/>
        <v>8</v>
      </c>
      <c r="AE558" s="2">
        <f t="shared" ca="1" si="60"/>
        <v>-44986.676271643519</v>
      </c>
      <c r="AF558" s="15"/>
    </row>
    <row r="559" spans="3:32">
      <c r="D559" s="1"/>
      <c r="E559" s="1"/>
      <c r="P559" s="11"/>
      <c r="U559" s="11"/>
      <c r="X559" s="13">
        <f t="shared" si="61"/>
        <v>0</v>
      </c>
      <c r="Y559" s="2">
        <f t="shared" ca="1" si="56"/>
        <v>32133</v>
      </c>
      <c r="Z559" s="14">
        <v>1</v>
      </c>
      <c r="AA559" s="1" t="str">
        <f t="shared" ca="1" si="57"/>
        <v>VENCIDO</v>
      </c>
      <c r="AB559" s="1" t="str">
        <f t="shared" si="58"/>
        <v>TAAe+</v>
      </c>
      <c r="AC559" s="2">
        <f t="shared" si="62"/>
        <v>0</v>
      </c>
      <c r="AD559" s="2">
        <f t="shared" si="59"/>
        <v>8</v>
      </c>
      <c r="AE559" s="2">
        <f t="shared" ca="1" si="60"/>
        <v>-44986.676271643519</v>
      </c>
      <c r="AF559" s="15"/>
    </row>
    <row r="560" spans="3:32">
      <c r="D560" s="1"/>
      <c r="E560" s="1"/>
      <c r="P560" s="11"/>
      <c r="U560" s="11"/>
      <c r="X560" s="13">
        <f t="shared" si="61"/>
        <v>0</v>
      </c>
      <c r="Y560" s="2">
        <f t="shared" ca="1" si="56"/>
        <v>32133</v>
      </c>
      <c r="Z560" s="14">
        <v>1</v>
      </c>
      <c r="AA560" s="1" t="str">
        <f t="shared" ca="1" si="57"/>
        <v>VENCIDO</v>
      </c>
      <c r="AB560" s="1" t="str">
        <f t="shared" si="58"/>
        <v>TAAe+</v>
      </c>
      <c r="AC560" s="2">
        <f t="shared" si="62"/>
        <v>0</v>
      </c>
      <c r="AD560" s="2">
        <f t="shared" si="59"/>
        <v>8</v>
      </c>
      <c r="AE560" s="2">
        <f t="shared" ca="1" si="60"/>
        <v>-44986.676271643519</v>
      </c>
      <c r="AF560" s="15"/>
    </row>
    <row r="561" spans="3:32">
      <c r="C561" s="49"/>
      <c r="D561" s="1"/>
      <c r="E561" s="1"/>
      <c r="P561" s="11"/>
      <c r="U561" s="11"/>
      <c r="X561" s="13">
        <f t="shared" si="61"/>
        <v>0</v>
      </c>
      <c r="Y561" s="2">
        <f t="shared" ca="1" si="56"/>
        <v>32133</v>
      </c>
      <c r="Z561" s="14">
        <v>1</v>
      </c>
      <c r="AA561" s="1" t="str">
        <f t="shared" ca="1" si="57"/>
        <v>VENCIDO</v>
      </c>
      <c r="AB561" s="1" t="str">
        <f t="shared" si="58"/>
        <v>TAAe+</v>
      </c>
      <c r="AC561" s="2">
        <f t="shared" si="62"/>
        <v>0</v>
      </c>
      <c r="AD561" s="2">
        <f t="shared" si="59"/>
        <v>8</v>
      </c>
      <c r="AE561" s="2">
        <f t="shared" ca="1" si="60"/>
        <v>-44986.676271643519</v>
      </c>
      <c r="AF561" s="15"/>
    </row>
    <row r="562" spans="3:32">
      <c r="C562" s="49"/>
      <c r="D562" s="1"/>
      <c r="E562" s="1"/>
      <c r="P562" s="11"/>
      <c r="U562" s="11"/>
      <c r="X562" s="13">
        <f t="shared" si="61"/>
        <v>0</v>
      </c>
      <c r="Y562" s="2">
        <f t="shared" ca="1" si="56"/>
        <v>32133</v>
      </c>
      <c r="Z562" s="14">
        <v>1</v>
      </c>
      <c r="AA562" s="1" t="str">
        <f t="shared" ca="1" si="57"/>
        <v>VENCIDO</v>
      </c>
      <c r="AB562" s="1" t="str">
        <f t="shared" si="58"/>
        <v>TAAe+</v>
      </c>
      <c r="AC562" s="2">
        <f t="shared" si="62"/>
        <v>0</v>
      </c>
      <c r="AD562" s="2">
        <f t="shared" si="59"/>
        <v>8</v>
      </c>
      <c r="AE562" s="2">
        <f t="shared" ca="1" si="60"/>
        <v>-44986.676271643519</v>
      </c>
      <c r="AF562" s="15"/>
    </row>
    <row r="563" spans="3:32">
      <c r="D563" s="1"/>
      <c r="E563" s="1"/>
      <c r="P563" s="11"/>
      <c r="U563" s="11"/>
      <c r="X563" s="13">
        <f t="shared" si="61"/>
        <v>0</v>
      </c>
      <c r="Y563" s="2">
        <f t="shared" ca="1" si="56"/>
        <v>32133</v>
      </c>
      <c r="Z563" s="14">
        <v>1</v>
      </c>
      <c r="AA563" s="1" t="str">
        <f t="shared" ca="1" si="57"/>
        <v>VENCIDO</v>
      </c>
      <c r="AB563" s="1" t="str">
        <f t="shared" si="58"/>
        <v>TAAe+</v>
      </c>
      <c r="AC563" s="2">
        <f t="shared" si="62"/>
        <v>0</v>
      </c>
      <c r="AD563" s="2">
        <f t="shared" si="59"/>
        <v>8</v>
      </c>
      <c r="AE563" s="2">
        <f t="shared" ca="1" si="60"/>
        <v>-44986.676271643519</v>
      </c>
      <c r="AF563" s="15"/>
    </row>
    <row r="564" spans="3:32">
      <c r="C564" s="49"/>
      <c r="D564" s="1"/>
      <c r="E564" s="1"/>
      <c r="P564" s="11"/>
      <c r="U564" s="11"/>
      <c r="X564" s="13">
        <f t="shared" si="61"/>
        <v>0</v>
      </c>
      <c r="Y564" s="2">
        <f t="shared" ca="1" si="56"/>
        <v>32133</v>
      </c>
      <c r="Z564" s="14">
        <v>1</v>
      </c>
      <c r="AA564" s="1" t="str">
        <f t="shared" ca="1" si="57"/>
        <v>VENCIDO</v>
      </c>
      <c r="AB564" s="1" t="str">
        <f t="shared" si="58"/>
        <v>TAAe+</v>
      </c>
      <c r="AC564" s="2">
        <f t="shared" si="62"/>
        <v>0</v>
      </c>
      <c r="AD564" s="2">
        <f t="shared" si="59"/>
        <v>8</v>
      </c>
      <c r="AE564" s="2">
        <f t="shared" ca="1" si="60"/>
        <v>-44986.676271643519</v>
      </c>
      <c r="AF564" s="15"/>
    </row>
    <row r="565" spans="3:32">
      <c r="D565" s="1"/>
      <c r="E565" s="1"/>
      <c r="P565" s="11"/>
      <c r="U565" s="11"/>
      <c r="X565" s="13">
        <f t="shared" si="61"/>
        <v>0</v>
      </c>
      <c r="Y565" s="2">
        <f t="shared" ca="1" si="56"/>
        <v>32133</v>
      </c>
      <c r="Z565" s="14">
        <v>1</v>
      </c>
      <c r="AA565" s="1" t="str">
        <f t="shared" ca="1" si="57"/>
        <v>VENCIDO</v>
      </c>
      <c r="AB565" s="1" t="str">
        <f t="shared" si="58"/>
        <v>TAAe+</v>
      </c>
      <c r="AC565" s="2">
        <f t="shared" si="62"/>
        <v>0</v>
      </c>
      <c r="AD565" s="2">
        <f t="shared" si="59"/>
        <v>8</v>
      </c>
      <c r="AE565" s="2">
        <f t="shared" ca="1" si="60"/>
        <v>-44986.676271643519</v>
      </c>
      <c r="AF565" s="15"/>
    </row>
    <row r="566" spans="3:32">
      <c r="D566" s="1"/>
      <c r="E566" s="1"/>
      <c r="P566" s="11"/>
      <c r="U566" s="11"/>
      <c r="X566" s="13">
        <f t="shared" si="61"/>
        <v>0</v>
      </c>
      <c r="Y566" s="2">
        <f t="shared" ca="1" si="56"/>
        <v>32133</v>
      </c>
      <c r="Z566" s="14">
        <v>1</v>
      </c>
      <c r="AA566" s="1" t="str">
        <f t="shared" ca="1" si="57"/>
        <v>VENCIDO</v>
      </c>
      <c r="AB566" s="1" t="str">
        <f t="shared" si="58"/>
        <v>TAAe+</v>
      </c>
      <c r="AC566" s="2">
        <f t="shared" si="62"/>
        <v>0</v>
      </c>
      <c r="AD566" s="2">
        <f t="shared" si="59"/>
        <v>8</v>
      </c>
      <c r="AE566" s="2">
        <f t="shared" ca="1" si="60"/>
        <v>-44986.676271643519</v>
      </c>
      <c r="AF566" s="15"/>
    </row>
    <row r="567" spans="3:32">
      <c r="D567" s="1"/>
      <c r="E567" s="1"/>
      <c r="P567" s="11"/>
      <c r="U567" s="11"/>
      <c r="X567" s="13">
        <f t="shared" si="61"/>
        <v>0</v>
      </c>
      <c r="Y567" s="2">
        <f t="shared" ca="1" si="56"/>
        <v>32133</v>
      </c>
      <c r="Z567" s="14">
        <v>1</v>
      </c>
      <c r="AA567" s="1" t="str">
        <f t="shared" ca="1" si="57"/>
        <v>VENCIDO</v>
      </c>
      <c r="AB567" s="1" t="str">
        <f t="shared" si="58"/>
        <v>TAAe+</v>
      </c>
      <c r="AC567" s="2">
        <f t="shared" si="62"/>
        <v>0</v>
      </c>
      <c r="AD567" s="2">
        <f t="shared" si="59"/>
        <v>8</v>
      </c>
      <c r="AE567" s="2">
        <f t="shared" ca="1" si="60"/>
        <v>-44986.676271643519</v>
      </c>
      <c r="AF567" s="15"/>
    </row>
    <row r="568" spans="3:32">
      <c r="D568" s="1"/>
      <c r="E568" s="1"/>
      <c r="P568" s="11"/>
      <c r="U568" s="11"/>
      <c r="X568" s="13">
        <f t="shared" si="61"/>
        <v>0</v>
      </c>
      <c r="Y568" s="2">
        <f t="shared" ca="1" si="56"/>
        <v>32133</v>
      </c>
      <c r="Z568" s="14">
        <v>1</v>
      </c>
      <c r="AA568" s="1" t="str">
        <f t="shared" ca="1" si="57"/>
        <v>VENCIDO</v>
      </c>
      <c r="AB568" s="1" t="str">
        <f t="shared" si="58"/>
        <v>TAAe+</v>
      </c>
      <c r="AC568" s="2">
        <f t="shared" si="62"/>
        <v>0</v>
      </c>
      <c r="AD568" s="2">
        <f t="shared" si="59"/>
        <v>8</v>
      </c>
      <c r="AE568" s="2">
        <f t="shared" ca="1" si="60"/>
        <v>-44986.676271643519</v>
      </c>
      <c r="AF568" s="15"/>
    </row>
    <row r="569" spans="3:32">
      <c r="C569" s="49"/>
      <c r="D569" s="1"/>
      <c r="E569" s="1"/>
      <c r="P569" s="11"/>
      <c r="U569" s="11"/>
      <c r="X569" s="13">
        <f t="shared" si="61"/>
        <v>0</v>
      </c>
      <c r="Y569" s="2">
        <f t="shared" ca="1" si="56"/>
        <v>32133</v>
      </c>
      <c r="Z569" s="14">
        <v>1</v>
      </c>
      <c r="AA569" s="1" t="str">
        <f t="shared" ca="1" si="57"/>
        <v>VENCIDO</v>
      </c>
      <c r="AB569" s="1" t="str">
        <f t="shared" si="58"/>
        <v>TAAe+</v>
      </c>
      <c r="AC569" s="2">
        <f t="shared" si="62"/>
        <v>0</v>
      </c>
      <c r="AD569" s="2">
        <f t="shared" si="59"/>
        <v>8</v>
      </c>
      <c r="AE569" s="2">
        <f t="shared" ca="1" si="60"/>
        <v>-44986.676271643519</v>
      </c>
      <c r="AF569" s="15"/>
    </row>
    <row r="570" spans="3:32">
      <c r="D570" s="1"/>
      <c r="E570" s="1"/>
      <c r="P570" s="11"/>
      <c r="U570" s="11"/>
      <c r="X570" s="13">
        <f t="shared" si="61"/>
        <v>0</v>
      </c>
      <c r="Y570" s="2">
        <f t="shared" ca="1" si="56"/>
        <v>32133</v>
      </c>
      <c r="Z570" s="14">
        <v>1</v>
      </c>
      <c r="AA570" s="1" t="str">
        <f t="shared" ca="1" si="57"/>
        <v>VENCIDO</v>
      </c>
      <c r="AB570" s="1" t="str">
        <f t="shared" si="58"/>
        <v>TAAe+</v>
      </c>
      <c r="AC570" s="2">
        <f t="shared" si="62"/>
        <v>0</v>
      </c>
      <c r="AD570" s="2">
        <f t="shared" si="59"/>
        <v>8</v>
      </c>
      <c r="AE570" s="2">
        <f t="shared" ca="1" si="60"/>
        <v>-44986.676271643519</v>
      </c>
      <c r="AF570" s="15"/>
    </row>
    <row r="571" spans="3:32">
      <c r="D571" s="1"/>
      <c r="E571" s="1"/>
      <c r="P571" s="11"/>
      <c r="U571" s="11"/>
      <c r="X571" s="13">
        <f t="shared" si="61"/>
        <v>0</v>
      </c>
      <c r="Y571" s="2">
        <f t="shared" ca="1" si="56"/>
        <v>32133</v>
      </c>
      <c r="Z571" s="14">
        <v>1</v>
      </c>
      <c r="AA571" s="1" t="str">
        <f t="shared" ca="1" si="57"/>
        <v>VENCIDO</v>
      </c>
      <c r="AB571" s="1" t="str">
        <f t="shared" si="58"/>
        <v>TAAe+</v>
      </c>
      <c r="AC571" s="2">
        <f t="shared" si="62"/>
        <v>0</v>
      </c>
      <c r="AD571" s="2">
        <f t="shared" si="59"/>
        <v>8</v>
      </c>
      <c r="AE571" s="2">
        <f t="shared" ca="1" si="60"/>
        <v>-44986.676271643519</v>
      </c>
      <c r="AF571" s="15"/>
    </row>
    <row r="572" spans="3:32">
      <c r="D572" s="1"/>
      <c r="E572" s="1"/>
      <c r="P572" s="11"/>
      <c r="U572" s="11"/>
      <c r="X572" s="13">
        <f t="shared" si="61"/>
        <v>0</v>
      </c>
      <c r="Y572" s="2">
        <f t="shared" ca="1" si="56"/>
        <v>32133</v>
      </c>
      <c r="Z572" s="14">
        <v>1</v>
      </c>
      <c r="AA572" s="1" t="str">
        <f t="shared" ca="1" si="57"/>
        <v>VENCIDO</v>
      </c>
      <c r="AB572" s="1" t="str">
        <f t="shared" si="58"/>
        <v>TAAe+</v>
      </c>
      <c r="AC572" s="2">
        <f t="shared" si="62"/>
        <v>0</v>
      </c>
      <c r="AD572" s="2">
        <f t="shared" si="59"/>
        <v>8</v>
      </c>
      <c r="AE572" s="2">
        <f t="shared" ca="1" si="60"/>
        <v>-44986.676271643519</v>
      </c>
      <c r="AF572" s="15"/>
    </row>
    <row r="573" spans="3:32">
      <c r="D573" s="1"/>
      <c r="E573" s="1"/>
      <c r="P573" s="11"/>
      <c r="U573" s="11"/>
      <c r="X573" s="13">
        <f t="shared" si="61"/>
        <v>0</v>
      </c>
      <c r="Y573" s="2">
        <f t="shared" ca="1" si="56"/>
        <v>32133</v>
      </c>
      <c r="Z573" s="14">
        <v>1</v>
      </c>
      <c r="AA573" s="1" t="str">
        <f t="shared" ca="1" si="57"/>
        <v>VENCIDO</v>
      </c>
      <c r="AB573" s="1" t="str">
        <f t="shared" si="58"/>
        <v>TAAe+</v>
      </c>
      <c r="AC573" s="2">
        <f t="shared" si="62"/>
        <v>0</v>
      </c>
      <c r="AD573" s="2">
        <f t="shared" si="59"/>
        <v>8</v>
      </c>
      <c r="AE573" s="2">
        <f t="shared" ca="1" si="60"/>
        <v>-44986.676271643519</v>
      </c>
      <c r="AF573" s="15"/>
    </row>
    <row r="574" spans="3:32">
      <c r="D574" s="1"/>
      <c r="E574" s="1"/>
      <c r="P574" s="11"/>
      <c r="U574" s="11"/>
      <c r="X574" s="13">
        <f t="shared" si="61"/>
        <v>0</v>
      </c>
      <c r="Y574" s="2">
        <f t="shared" ca="1" si="56"/>
        <v>32133</v>
      </c>
      <c r="Z574" s="14">
        <v>1</v>
      </c>
      <c r="AA574" s="1" t="str">
        <f t="shared" ca="1" si="57"/>
        <v>VENCIDO</v>
      </c>
      <c r="AB574" s="1" t="str">
        <f t="shared" si="58"/>
        <v>TAAe+</v>
      </c>
      <c r="AC574" s="2">
        <f t="shared" si="62"/>
        <v>0</v>
      </c>
      <c r="AD574" s="2">
        <f t="shared" si="59"/>
        <v>8</v>
      </c>
      <c r="AE574" s="2">
        <f t="shared" ca="1" si="60"/>
        <v>-44986.676271643519</v>
      </c>
      <c r="AF574" s="15"/>
    </row>
    <row r="575" spans="3:32">
      <c r="D575" s="1"/>
      <c r="E575" s="1"/>
      <c r="P575" s="11"/>
      <c r="U575" s="11"/>
      <c r="X575" s="13">
        <f t="shared" si="61"/>
        <v>0</v>
      </c>
      <c r="Y575" s="2">
        <f t="shared" ca="1" si="56"/>
        <v>32133</v>
      </c>
      <c r="Z575" s="14">
        <v>1</v>
      </c>
      <c r="AA575" s="1" t="str">
        <f t="shared" ca="1" si="57"/>
        <v>VENCIDO</v>
      </c>
      <c r="AB575" s="1" t="str">
        <f t="shared" si="58"/>
        <v>TAAe+</v>
      </c>
      <c r="AC575" s="2">
        <f t="shared" si="62"/>
        <v>0</v>
      </c>
      <c r="AD575" s="2">
        <f t="shared" si="59"/>
        <v>8</v>
      </c>
      <c r="AE575" s="2">
        <f t="shared" ca="1" si="60"/>
        <v>-44986.676271643519</v>
      </c>
      <c r="AF575" s="15"/>
    </row>
    <row r="576" spans="3:32">
      <c r="C576" s="49"/>
      <c r="D576" s="1"/>
      <c r="E576" s="1"/>
      <c r="P576" s="11"/>
      <c r="U576" s="11"/>
      <c r="X576" s="13">
        <f t="shared" si="61"/>
        <v>0</v>
      </c>
      <c r="Y576" s="2">
        <f t="shared" ca="1" si="56"/>
        <v>32133</v>
      </c>
      <c r="Z576" s="14">
        <v>1</v>
      </c>
      <c r="AA576" s="1" t="str">
        <f t="shared" ca="1" si="57"/>
        <v>VENCIDO</v>
      </c>
      <c r="AB576" s="1" t="str">
        <f t="shared" si="58"/>
        <v>TAAe+</v>
      </c>
      <c r="AC576" s="2">
        <f t="shared" si="62"/>
        <v>0</v>
      </c>
      <c r="AD576" s="2">
        <f t="shared" si="59"/>
        <v>8</v>
      </c>
      <c r="AE576" s="2">
        <f t="shared" ca="1" si="60"/>
        <v>-44986.676271643519</v>
      </c>
      <c r="AF576" s="15"/>
    </row>
    <row r="577" spans="3:32">
      <c r="D577" s="1"/>
      <c r="E577" s="1"/>
      <c r="P577" s="11"/>
      <c r="U577" s="11"/>
      <c r="X577" s="13">
        <f t="shared" si="61"/>
        <v>0</v>
      </c>
      <c r="Y577" s="2">
        <f t="shared" ca="1" si="56"/>
        <v>32133</v>
      </c>
      <c r="Z577" s="14">
        <v>1</v>
      </c>
      <c r="AA577" s="1" t="str">
        <f t="shared" ca="1" si="57"/>
        <v>VENCIDO</v>
      </c>
      <c r="AB577" s="1" t="str">
        <f t="shared" si="58"/>
        <v>TAAe+</v>
      </c>
      <c r="AC577" s="2">
        <f t="shared" si="62"/>
        <v>0</v>
      </c>
      <c r="AD577" s="2">
        <f t="shared" si="59"/>
        <v>8</v>
      </c>
      <c r="AE577" s="2">
        <f t="shared" ca="1" si="60"/>
        <v>-44986.676271643519</v>
      </c>
      <c r="AF577" s="15"/>
    </row>
    <row r="578" spans="3:32">
      <c r="D578" s="1"/>
      <c r="E578" s="1"/>
      <c r="P578" s="11"/>
      <c r="U578" s="11"/>
      <c r="X578" s="13">
        <f t="shared" si="61"/>
        <v>0</v>
      </c>
      <c r="Y578" s="2">
        <f t="shared" ref="Y578:Y641" ca="1" si="63">NETWORKDAYS(P578,$Y$1)</f>
        <v>32133</v>
      </c>
      <c r="Z578" s="14">
        <v>1</v>
      </c>
      <c r="AA578" s="1" t="str">
        <f t="shared" ref="AA578:AA641" ca="1" si="64">IF(AE578=0,"HOJE",IF(AE578&gt;0,"A VENCER",IF(AE578&lt;0,"VENCIDO")))</f>
        <v>VENCIDO</v>
      </c>
      <c r="AB578" s="1" t="str">
        <f t="shared" ref="AB578:AB641" si="65">IF(F578="GRPE-000001","C-14",IF(F578="GRPE-000002","C-14",IF(F578="GRPE-000003","C-14",IF(F578="GRPE-000004","SL-On",IF(F578="GRPE-000038","C-14",IF(F578="GRPE-900022","Dosa",IF(F578="GRPE-000029","Dosa",IF(F578="ATOS-000222","Dose","TAAe+"))))))))</f>
        <v>TAAe+</v>
      </c>
      <c r="AC578" s="2">
        <f t="shared" si="62"/>
        <v>0</v>
      </c>
      <c r="AD578" s="2">
        <f t="shared" ref="AD578:AD641" si="66">IF(F578="GRPE-000001",5,IF(F578="GRPE-000002",5,IF(F578="GRPE-000003",15,IF(F578="GRPE-000004",1,IF(F578="GRPE-000038",5,IF(F578="GRPE-900022",5,IF(F578="GRPE-000029",5,IF(F578="ATOS-000222",5,8))))))))</f>
        <v>8</v>
      </c>
      <c r="AE578" s="2">
        <f t="shared" ref="AE578:AE641" ca="1" si="67">IF(U578=$AE$1,"",U578-$AE$1)</f>
        <v>-44986.676271643519</v>
      </c>
      <c r="AF578" s="15"/>
    </row>
    <row r="579" spans="3:32">
      <c r="D579" s="1"/>
      <c r="E579" s="1"/>
      <c r="P579" s="11"/>
      <c r="U579" s="11"/>
      <c r="X579" s="13">
        <f t="shared" ref="X579:X642" si="68">IF(RIGHT(H579,2)&lt;&gt;"00",H579,"")</f>
        <v>0</v>
      </c>
      <c r="Y579" s="2">
        <f t="shared" ca="1" si="63"/>
        <v>32133</v>
      </c>
      <c r="Z579" s="14">
        <v>1</v>
      </c>
      <c r="AA579" s="1" t="str">
        <f t="shared" ca="1" si="64"/>
        <v>VENCIDO</v>
      </c>
      <c r="AB579" s="1" t="str">
        <f t="shared" si="65"/>
        <v>TAAe+</v>
      </c>
      <c r="AC579" s="2">
        <f t="shared" ref="AC579:AC642" si="6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>0</v>
      </c>
      <c r="AD579" s="2">
        <f t="shared" si="66"/>
        <v>8</v>
      </c>
      <c r="AE579" s="2">
        <f t="shared" ca="1" si="67"/>
        <v>-44986.676271643519</v>
      </c>
      <c r="AF579" s="15"/>
    </row>
    <row r="580" spans="3:32">
      <c r="D580" s="1"/>
      <c r="E580" s="1"/>
      <c r="P580" s="11"/>
      <c r="U580" s="11"/>
      <c r="X580" s="13">
        <f t="shared" si="68"/>
        <v>0</v>
      </c>
      <c r="Y580" s="2">
        <f t="shared" ca="1" si="63"/>
        <v>32133</v>
      </c>
      <c r="Z580" s="14">
        <v>1</v>
      </c>
      <c r="AA580" s="1" t="str">
        <f t="shared" ca="1" si="64"/>
        <v>VENCIDO</v>
      </c>
      <c r="AB580" s="1" t="str">
        <f t="shared" si="65"/>
        <v>TAAe+</v>
      </c>
      <c r="AC580" s="2">
        <f t="shared" si="69"/>
        <v>0</v>
      </c>
      <c r="AD580" s="2">
        <f t="shared" si="66"/>
        <v>8</v>
      </c>
      <c r="AE580" s="2">
        <f t="shared" ca="1" si="67"/>
        <v>-44986.676271643519</v>
      </c>
      <c r="AF580" s="15"/>
    </row>
    <row r="581" spans="3:32">
      <c r="D581" s="1"/>
      <c r="E581" s="1"/>
      <c r="P581" s="11"/>
      <c r="U581" s="11"/>
      <c r="X581" s="13">
        <f t="shared" si="68"/>
        <v>0</v>
      </c>
      <c r="Y581" s="2">
        <f t="shared" ca="1" si="63"/>
        <v>32133</v>
      </c>
      <c r="Z581" s="14">
        <v>1</v>
      </c>
      <c r="AA581" s="1" t="str">
        <f t="shared" ca="1" si="64"/>
        <v>VENCIDO</v>
      </c>
      <c r="AB581" s="1" t="str">
        <f t="shared" si="65"/>
        <v>TAAe+</v>
      </c>
      <c r="AC581" s="2">
        <f t="shared" si="69"/>
        <v>0</v>
      </c>
      <c r="AD581" s="2">
        <f t="shared" si="66"/>
        <v>8</v>
      </c>
      <c r="AE581" s="2">
        <f t="shared" ca="1" si="67"/>
        <v>-44986.676271643519</v>
      </c>
      <c r="AF581" s="15"/>
    </row>
    <row r="582" spans="3:32">
      <c r="D582" s="1"/>
      <c r="E582" s="1"/>
      <c r="P582" s="11"/>
      <c r="U582" s="11"/>
      <c r="X582" s="13">
        <f t="shared" si="68"/>
        <v>0</v>
      </c>
      <c r="Y582" s="2">
        <f t="shared" ca="1" si="63"/>
        <v>32133</v>
      </c>
      <c r="Z582" s="14">
        <v>1</v>
      </c>
      <c r="AA582" s="1" t="str">
        <f t="shared" ca="1" si="64"/>
        <v>VENCIDO</v>
      </c>
      <c r="AB582" s="1" t="str">
        <f t="shared" si="65"/>
        <v>TAAe+</v>
      </c>
      <c r="AC582" s="2">
        <f t="shared" si="69"/>
        <v>0</v>
      </c>
      <c r="AD582" s="2">
        <f t="shared" si="66"/>
        <v>8</v>
      </c>
      <c r="AE582" s="2">
        <f t="shared" ca="1" si="67"/>
        <v>-44986.676271643519</v>
      </c>
      <c r="AF582" s="15"/>
    </row>
    <row r="583" spans="3:32">
      <c r="C583" s="49"/>
      <c r="D583" s="1"/>
      <c r="E583" s="1"/>
      <c r="P583" s="11"/>
      <c r="U583" s="11"/>
      <c r="X583" s="13">
        <f t="shared" si="68"/>
        <v>0</v>
      </c>
      <c r="Y583" s="2">
        <f t="shared" ca="1" si="63"/>
        <v>32133</v>
      </c>
      <c r="Z583" s="14">
        <v>1</v>
      </c>
      <c r="AA583" s="1" t="str">
        <f t="shared" ca="1" si="64"/>
        <v>VENCIDO</v>
      </c>
      <c r="AB583" s="1" t="str">
        <f t="shared" si="65"/>
        <v>TAAe+</v>
      </c>
      <c r="AC583" s="2">
        <f t="shared" si="69"/>
        <v>0</v>
      </c>
      <c r="AD583" s="2">
        <f t="shared" si="66"/>
        <v>8</v>
      </c>
      <c r="AE583" s="2">
        <f t="shared" ca="1" si="67"/>
        <v>-44986.676271643519</v>
      </c>
      <c r="AF583" s="15"/>
    </row>
    <row r="584" spans="3:32">
      <c r="D584" s="1"/>
      <c r="E584" s="1"/>
      <c r="P584" s="11"/>
      <c r="U584" s="11"/>
      <c r="X584" s="13">
        <f t="shared" si="68"/>
        <v>0</v>
      </c>
      <c r="Y584" s="2">
        <f t="shared" ca="1" si="63"/>
        <v>32133</v>
      </c>
      <c r="Z584" s="14">
        <v>1</v>
      </c>
      <c r="AA584" s="1" t="str">
        <f t="shared" ca="1" si="64"/>
        <v>VENCIDO</v>
      </c>
      <c r="AB584" s="1" t="str">
        <f t="shared" si="65"/>
        <v>TAAe+</v>
      </c>
      <c r="AC584" s="2">
        <f t="shared" si="69"/>
        <v>0</v>
      </c>
      <c r="AD584" s="2">
        <f t="shared" si="66"/>
        <v>8</v>
      </c>
      <c r="AE584" s="2">
        <f t="shared" ca="1" si="67"/>
        <v>-44986.676271643519</v>
      </c>
      <c r="AF584" s="15"/>
    </row>
    <row r="585" spans="3:32">
      <c r="D585" s="1"/>
      <c r="E585" s="1"/>
      <c r="P585" s="11"/>
      <c r="U585" s="11"/>
      <c r="X585" s="13">
        <f t="shared" si="68"/>
        <v>0</v>
      </c>
      <c r="Y585" s="2">
        <f t="shared" ca="1" si="63"/>
        <v>32133</v>
      </c>
      <c r="Z585" s="14">
        <v>1</v>
      </c>
      <c r="AA585" s="1" t="str">
        <f t="shared" ca="1" si="64"/>
        <v>VENCIDO</v>
      </c>
      <c r="AB585" s="1" t="str">
        <f t="shared" si="65"/>
        <v>TAAe+</v>
      </c>
      <c r="AC585" s="2">
        <f t="shared" si="69"/>
        <v>0</v>
      </c>
      <c r="AD585" s="2">
        <f t="shared" si="66"/>
        <v>8</v>
      </c>
      <c r="AE585" s="2">
        <f t="shared" ca="1" si="67"/>
        <v>-44986.676271643519</v>
      </c>
      <c r="AF585" s="15"/>
    </row>
    <row r="586" spans="3:32">
      <c r="D586" s="1"/>
      <c r="E586" s="1"/>
      <c r="P586" s="11"/>
      <c r="U586" s="11"/>
      <c r="X586" s="13">
        <f t="shared" si="68"/>
        <v>0</v>
      </c>
      <c r="Y586" s="2">
        <f t="shared" ca="1" si="63"/>
        <v>32133</v>
      </c>
      <c r="Z586" s="14">
        <v>1</v>
      </c>
      <c r="AA586" s="1" t="str">
        <f t="shared" ca="1" si="64"/>
        <v>VENCIDO</v>
      </c>
      <c r="AB586" s="1" t="str">
        <f t="shared" si="65"/>
        <v>TAAe+</v>
      </c>
      <c r="AC586" s="2">
        <f t="shared" si="69"/>
        <v>0</v>
      </c>
      <c r="AD586" s="2">
        <f t="shared" si="66"/>
        <v>8</v>
      </c>
      <c r="AE586" s="2">
        <f t="shared" ca="1" si="67"/>
        <v>-44986.676271643519</v>
      </c>
      <c r="AF586" s="15"/>
    </row>
    <row r="587" spans="3:32">
      <c r="C587" s="49"/>
      <c r="D587" s="1"/>
      <c r="E587" s="1"/>
      <c r="P587" s="11"/>
      <c r="U587" s="11"/>
      <c r="X587" s="13">
        <f t="shared" si="68"/>
        <v>0</v>
      </c>
      <c r="Y587" s="2">
        <f t="shared" ca="1" si="63"/>
        <v>32133</v>
      </c>
      <c r="Z587" s="14">
        <v>1</v>
      </c>
      <c r="AA587" s="1" t="str">
        <f t="shared" ca="1" si="64"/>
        <v>VENCIDO</v>
      </c>
      <c r="AB587" s="1" t="str">
        <f t="shared" si="65"/>
        <v>TAAe+</v>
      </c>
      <c r="AC587" s="2">
        <f t="shared" si="69"/>
        <v>0</v>
      </c>
      <c r="AD587" s="2">
        <f t="shared" si="66"/>
        <v>8</v>
      </c>
      <c r="AE587" s="2">
        <f t="shared" ca="1" si="67"/>
        <v>-44986.676271643519</v>
      </c>
      <c r="AF587" s="15"/>
    </row>
    <row r="588" spans="3:32">
      <c r="D588" s="1"/>
      <c r="E588" s="1"/>
      <c r="P588" s="11"/>
      <c r="U588" s="11"/>
      <c r="X588" s="13">
        <f t="shared" si="68"/>
        <v>0</v>
      </c>
      <c r="Y588" s="2">
        <f t="shared" ca="1" si="63"/>
        <v>32133</v>
      </c>
      <c r="Z588" s="14">
        <v>1</v>
      </c>
      <c r="AA588" s="1" t="str">
        <f t="shared" ca="1" si="64"/>
        <v>VENCIDO</v>
      </c>
      <c r="AB588" s="1" t="str">
        <f t="shared" si="65"/>
        <v>TAAe+</v>
      </c>
      <c r="AC588" s="2">
        <f t="shared" si="69"/>
        <v>0</v>
      </c>
      <c r="AD588" s="2">
        <f t="shared" si="66"/>
        <v>8</v>
      </c>
      <c r="AE588" s="2">
        <f t="shared" ca="1" si="67"/>
        <v>-44986.676271643519</v>
      </c>
      <c r="AF588" s="15"/>
    </row>
    <row r="589" spans="3:32">
      <c r="D589" s="1"/>
      <c r="E589" s="1"/>
      <c r="P589" s="11"/>
      <c r="U589" s="11"/>
      <c r="X589" s="13">
        <f t="shared" si="68"/>
        <v>0</v>
      </c>
      <c r="Y589" s="2">
        <f t="shared" ca="1" si="63"/>
        <v>32133</v>
      </c>
      <c r="Z589" s="14">
        <v>1</v>
      </c>
      <c r="AA589" s="1" t="str">
        <f t="shared" ca="1" si="64"/>
        <v>VENCIDO</v>
      </c>
      <c r="AB589" s="1" t="str">
        <f t="shared" si="65"/>
        <v>TAAe+</v>
      </c>
      <c r="AC589" s="2">
        <f t="shared" si="69"/>
        <v>0</v>
      </c>
      <c r="AD589" s="2">
        <f t="shared" si="66"/>
        <v>8</v>
      </c>
      <c r="AE589" s="2">
        <f t="shared" ca="1" si="67"/>
        <v>-44986.676271643519</v>
      </c>
      <c r="AF589" s="15"/>
    </row>
    <row r="590" spans="3:32">
      <c r="D590" s="1"/>
      <c r="E590" s="1"/>
      <c r="P590" s="11"/>
      <c r="U590" s="11"/>
      <c r="X590" s="13">
        <f t="shared" si="68"/>
        <v>0</v>
      </c>
      <c r="Y590" s="2">
        <f t="shared" ca="1" si="63"/>
        <v>32133</v>
      </c>
      <c r="Z590" s="14">
        <v>1</v>
      </c>
      <c r="AA590" s="1" t="str">
        <f t="shared" ca="1" si="64"/>
        <v>VENCIDO</v>
      </c>
      <c r="AB590" s="1" t="str">
        <f t="shared" si="65"/>
        <v>TAAe+</v>
      </c>
      <c r="AC590" s="2">
        <f t="shared" si="69"/>
        <v>0</v>
      </c>
      <c r="AD590" s="2">
        <f t="shared" si="66"/>
        <v>8</v>
      </c>
      <c r="AE590" s="2">
        <f t="shared" ca="1" si="67"/>
        <v>-44986.676271643519</v>
      </c>
      <c r="AF590" s="15"/>
    </row>
    <row r="591" spans="3:32">
      <c r="D591" s="1"/>
      <c r="E591" s="1"/>
      <c r="P591" s="11"/>
      <c r="U591" s="11"/>
      <c r="X591" s="13">
        <f t="shared" si="68"/>
        <v>0</v>
      </c>
      <c r="Y591" s="2">
        <f t="shared" ca="1" si="63"/>
        <v>32133</v>
      </c>
      <c r="Z591" s="14">
        <v>1</v>
      </c>
      <c r="AA591" s="1" t="str">
        <f t="shared" ca="1" si="64"/>
        <v>VENCIDO</v>
      </c>
      <c r="AB591" s="1" t="str">
        <f t="shared" si="65"/>
        <v>TAAe+</v>
      </c>
      <c r="AC591" s="2">
        <f t="shared" si="69"/>
        <v>0</v>
      </c>
      <c r="AD591" s="2">
        <f t="shared" si="66"/>
        <v>8</v>
      </c>
      <c r="AE591" s="2">
        <f t="shared" ca="1" si="67"/>
        <v>-44986.676271643519</v>
      </c>
      <c r="AF591" s="15"/>
    </row>
    <row r="592" spans="3:32">
      <c r="C592" s="49"/>
      <c r="D592" s="1"/>
      <c r="E592" s="1"/>
      <c r="P592" s="11"/>
      <c r="U592" s="11"/>
      <c r="X592" s="13">
        <f t="shared" si="68"/>
        <v>0</v>
      </c>
      <c r="Y592" s="2">
        <f t="shared" ca="1" si="63"/>
        <v>32133</v>
      </c>
      <c r="Z592" s="14">
        <v>1</v>
      </c>
      <c r="AA592" s="1" t="str">
        <f t="shared" ca="1" si="64"/>
        <v>VENCIDO</v>
      </c>
      <c r="AB592" s="1" t="str">
        <f t="shared" si="65"/>
        <v>TAAe+</v>
      </c>
      <c r="AC592" s="2">
        <f t="shared" si="69"/>
        <v>0</v>
      </c>
      <c r="AD592" s="2">
        <f t="shared" si="66"/>
        <v>8</v>
      </c>
      <c r="AE592" s="2">
        <f t="shared" ca="1" si="67"/>
        <v>-44986.676271643519</v>
      </c>
      <c r="AF592" s="15"/>
    </row>
    <row r="593" spans="3:32">
      <c r="D593" s="1"/>
      <c r="E593" s="1"/>
      <c r="P593" s="11"/>
      <c r="U593" s="11"/>
      <c r="X593" s="13">
        <f t="shared" si="68"/>
        <v>0</v>
      </c>
      <c r="Y593" s="2">
        <f t="shared" ca="1" si="63"/>
        <v>32133</v>
      </c>
      <c r="Z593" s="14">
        <v>1</v>
      </c>
      <c r="AA593" s="1" t="str">
        <f t="shared" ca="1" si="64"/>
        <v>VENCIDO</v>
      </c>
      <c r="AB593" s="1" t="str">
        <f t="shared" si="65"/>
        <v>TAAe+</v>
      </c>
      <c r="AC593" s="2">
        <f t="shared" si="69"/>
        <v>0</v>
      </c>
      <c r="AD593" s="2">
        <f t="shared" si="66"/>
        <v>8</v>
      </c>
      <c r="AE593" s="2">
        <f t="shared" ca="1" si="67"/>
        <v>-44986.676271643519</v>
      </c>
      <c r="AF593" s="15"/>
    </row>
    <row r="594" spans="3:32">
      <c r="D594" s="1"/>
      <c r="E594" s="1"/>
      <c r="P594" s="11"/>
      <c r="U594" s="11"/>
      <c r="X594" s="13">
        <f t="shared" si="68"/>
        <v>0</v>
      </c>
      <c r="Y594" s="2">
        <f t="shared" ca="1" si="63"/>
        <v>32133</v>
      </c>
      <c r="Z594" s="14">
        <v>1</v>
      </c>
      <c r="AA594" s="1" t="str">
        <f t="shared" ca="1" si="64"/>
        <v>VENCIDO</v>
      </c>
      <c r="AB594" s="1" t="str">
        <f t="shared" si="65"/>
        <v>TAAe+</v>
      </c>
      <c r="AC594" s="2">
        <f t="shared" si="69"/>
        <v>0</v>
      </c>
      <c r="AD594" s="2">
        <f t="shared" si="66"/>
        <v>8</v>
      </c>
      <c r="AE594" s="2">
        <f t="shared" ca="1" si="67"/>
        <v>-44986.676271643519</v>
      </c>
      <c r="AF594" s="15"/>
    </row>
    <row r="595" spans="3:32">
      <c r="D595" s="1"/>
      <c r="E595" s="1"/>
      <c r="P595" s="11"/>
      <c r="U595" s="11"/>
      <c r="X595" s="13">
        <f t="shared" si="68"/>
        <v>0</v>
      </c>
      <c r="Y595" s="2">
        <f t="shared" ca="1" si="63"/>
        <v>32133</v>
      </c>
      <c r="Z595" s="14">
        <v>1</v>
      </c>
      <c r="AA595" s="1" t="str">
        <f t="shared" ca="1" si="64"/>
        <v>VENCIDO</v>
      </c>
      <c r="AB595" s="1" t="str">
        <f t="shared" si="65"/>
        <v>TAAe+</v>
      </c>
      <c r="AC595" s="2">
        <f t="shared" si="69"/>
        <v>0</v>
      </c>
      <c r="AD595" s="2">
        <f t="shared" si="66"/>
        <v>8</v>
      </c>
      <c r="AE595" s="2">
        <f t="shared" ca="1" si="67"/>
        <v>-44986.676271643519</v>
      </c>
      <c r="AF595" s="15"/>
    </row>
    <row r="596" spans="3:32">
      <c r="D596" s="1"/>
      <c r="E596" s="1"/>
      <c r="P596" s="11"/>
      <c r="U596" s="11"/>
      <c r="X596" s="13">
        <f t="shared" si="68"/>
        <v>0</v>
      </c>
      <c r="Y596" s="2">
        <f t="shared" ca="1" si="63"/>
        <v>32133</v>
      </c>
      <c r="Z596" s="14">
        <v>1</v>
      </c>
      <c r="AA596" s="1" t="str">
        <f t="shared" ca="1" si="64"/>
        <v>VENCIDO</v>
      </c>
      <c r="AB596" s="1" t="str">
        <f t="shared" si="65"/>
        <v>TAAe+</v>
      </c>
      <c r="AC596" s="2">
        <f t="shared" si="69"/>
        <v>0</v>
      </c>
      <c r="AD596" s="2">
        <f t="shared" si="66"/>
        <v>8</v>
      </c>
      <c r="AE596" s="2">
        <f t="shared" ca="1" si="67"/>
        <v>-44986.676271643519</v>
      </c>
      <c r="AF596" s="15"/>
    </row>
    <row r="597" spans="3:32">
      <c r="C597" s="49"/>
      <c r="D597" s="1"/>
      <c r="E597" s="1"/>
      <c r="P597" s="11"/>
      <c r="U597" s="11"/>
      <c r="X597" s="13">
        <f t="shared" si="68"/>
        <v>0</v>
      </c>
      <c r="Y597" s="2">
        <f t="shared" ca="1" si="63"/>
        <v>32133</v>
      </c>
      <c r="Z597" s="14">
        <v>1</v>
      </c>
      <c r="AA597" s="1" t="str">
        <f t="shared" ca="1" si="64"/>
        <v>VENCIDO</v>
      </c>
      <c r="AB597" s="1" t="str">
        <f t="shared" si="65"/>
        <v>TAAe+</v>
      </c>
      <c r="AC597" s="2">
        <f t="shared" si="69"/>
        <v>0</v>
      </c>
      <c r="AD597" s="2">
        <f t="shared" si="66"/>
        <v>8</v>
      </c>
      <c r="AE597" s="2">
        <f t="shared" ca="1" si="67"/>
        <v>-44986.676271643519</v>
      </c>
      <c r="AF597" s="15"/>
    </row>
    <row r="598" spans="3:32">
      <c r="D598" s="1"/>
      <c r="E598" s="1"/>
      <c r="P598" s="11"/>
      <c r="U598" s="11"/>
      <c r="X598" s="13">
        <f t="shared" si="68"/>
        <v>0</v>
      </c>
      <c r="Y598" s="2">
        <f t="shared" ca="1" si="63"/>
        <v>32133</v>
      </c>
      <c r="Z598" s="14">
        <v>1</v>
      </c>
      <c r="AA598" s="1" t="str">
        <f t="shared" ca="1" si="64"/>
        <v>VENCIDO</v>
      </c>
      <c r="AB598" s="1" t="str">
        <f t="shared" si="65"/>
        <v>TAAe+</v>
      </c>
      <c r="AC598" s="2">
        <f t="shared" si="69"/>
        <v>0</v>
      </c>
      <c r="AD598" s="2">
        <f t="shared" si="66"/>
        <v>8</v>
      </c>
      <c r="AE598" s="2">
        <f t="shared" ca="1" si="67"/>
        <v>-44986.676271643519</v>
      </c>
      <c r="AF598" s="15"/>
    </row>
    <row r="599" spans="3:32">
      <c r="C599" s="49"/>
      <c r="D599" s="1"/>
      <c r="E599" s="1"/>
      <c r="P599" s="11"/>
      <c r="U599" s="11"/>
      <c r="X599" s="13">
        <f t="shared" si="68"/>
        <v>0</v>
      </c>
      <c r="Y599" s="2">
        <f t="shared" ca="1" si="63"/>
        <v>32133</v>
      </c>
      <c r="Z599" s="14">
        <v>1</v>
      </c>
      <c r="AA599" s="1" t="str">
        <f t="shared" ca="1" si="64"/>
        <v>VENCIDO</v>
      </c>
      <c r="AB599" s="1" t="str">
        <f t="shared" si="65"/>
        <v>TAAe+</v>
      </c>
      <c r="AC599" s="2">
        <f t="shared" si="69"/>
        <v>0</v>
      </c>
      <c r="AD599" s="2">
        <f t="shared" si="66"/>
        <v>8</v>
      </c>
      <c r="AE599" s="2">
        <f t="shared" ca="1" si="67"/>
        <v>-44986.676271643519</v>
      </c>
      <c r="AF599" s="15"/>
    </row>
    <row r="600" spans="3:32">
      <c r="C600" s="49"/>
      <c r="D600" s="1"/>
      <c r="E600" s="1"/>
      <c r="P600" s="11"/>
      <c r="U600" s="11"/>
      <c r="X600" s="13">
        <f t="shared" si="68"/>
        <v>0</v>
      </c>
      <c r="Y600" s="2">
        <f t="shared" ca="1" si="63"/>
        <v>32133</v>
      </c>
      <c r="Z600" s="14">
        <v>1</v>
      </c>
      <c r="AA600" s="1" t="str">
        <f t="shared" ca="1" si="64"/>
        <v>VENCIDO</v>
      </c>
      <c r="AB600" s="1" t="str">
        <f t="shared" si="65"/>
        <v>TAAe+</v>
      </c>
      <c r="AC600" s="2">
        <f t="shared" si="69"/>
        <v>0</v>
      </c>
      <c r="AD600" s="2">
        <f t="shared" si="66"/>
        <v>8</v>
      </c>
      <c r="AE600" s="2">
        <f t="shared" ca="1" si="67"/>
        <v>-44986.676271643519</v>
      </c>
      <c r="AF600" s="15"/>
    </row>
    <row r="601" spans="3:32">
      <c r="D601" s="1"/>
      <c r="E601" s="1"/>
      <c r="P601" s="11"/>
      <c r="U601" s="11"/>
      <c r="X601" s="13">
        <f t="shared" si="68"/>
        <v>0</v>
      </c>
      <c r="Y601" s="2">
        <f t="shared" ca="1" si="63"/>
        <v>32133</v>
      </c>
      <c r="Z601" s="14">
        <v>1</v>
      </c>
      <c r="AA601" s="1" t="str">
        <f t="shared" ca="1" si="64"/>
        <v>VENCIDO</v>
      </c>
      <c r="AB601" s="1" t="str">
        <f t="shared" si="65"/>
        <v>TAAe+</v>
      </c>
      <c r="AC601" s="2">
        <f t="shared" si="69"/>
        <v>0</v>
      </c>
      <c r="AD601" s="2">
        <f t="shared" si="66"/>
        <v>8</v>
      </c>
      <c r="AE601" s="2">
        <f t="shared" ca="1" si="67"/>
        <v>-44986.676271643519</v>
      </c>
      <c r="AF601" s="15"/>
    </row>
    <row r="602" spans="3:32">
      <c r="C602" s="49"/>
      <c r="D602" s="1"/>
      <c r="E602" s="1"/>
      <c r="P602" s="11"/>
      <c r="U602" s="11"/>
      <c r="X602" s="13">
        <f t="shared" si="68"/>
        <v>0</v>
      </c>
      <c r="Y602" s="2">
        <f t="shared" ca="1" si="63"/>
        <v>32133</v>
      </c>
      <c r="Z602" s="14">
        <v>1</v>
      </c>
      <c r="AA602" s="1" t="str">
        <f t="shared" ca="1" si="64"/>
        <v>VENCIDO</v>
      </c>
      <c r="AB602" s="1" t="str">
        <f t="shared" si="65"/>
        <v>TAAe+</v>
      </c>
      <c r="AC602" s="2">
        <f t="shared" si="69"/>
        <v>0</v>
      </c>
      <c r="AD602" s="2">
        <f t="shared" si="66"/>
        <v>8</v>
      </c>
      <c r="AE602" s="2">
        <f t="shared" ca="1" si="67"/>
        <v>-44986.676271643519</v>
      </c>
      <c r="AF602" s="15"/>
    </row>
    <row r="603" spans="3:32">
      <c r="D603" s="1"/>
      <c r="E603" s="1"/>
      <c r="P603" s="11"/>
      <c r="U603" s="11"/>
      <c r="X603" s="13">
        <f t="shared" si="68"/>
        <v>0</v>
      </c>
      <c r="Y603" s="2">
        <f t="shared" ca="1" si="63"/>
        <v>32133</v>
      </c>
      <c r="Z603" s="14">
        <v>1</v>
      </c>
      <c r="AA603" s="1" t="str">
        <f t="shared" ca="1" si="64"/>
        <v>VENCIDO</v>
      </c>
      <c r="AB603" s="1" t="str">
        <f t="shared" si="65"/>
        <v>TAAe+</v>
      </c>
      <c r="AC603" s="2">
        <f t="shared" si="69"/>
        <v>0</v>
      </c>
      <c r="AD603" s="2">
        <f t="shared" si="66"/>
        <v>8</v>
      </c>
      <c r="AE603" s="2">
        <f t="shared" ca="1" si="67"/>
        <v>-44986.676271643519</v>
      </c>
      <c r="AF603" s="15"/>
    </row>
    <row r="604" spans="3:32">
      <c r="D604" s="1"/>
      <c r="E604" s="1"/>
      <c r="P604" s="11"/>
      <c r="U604" s="11"/>
      <c r="X604" s="13">
        <f t="shared" si="68"/>
        <v>0</v>
      </c>
      <c r="Y604" s="2">
        <f t="shared" ca="1" si="63"/>
        <v>32133</v>
      </c>
      <c r="Z604" s="14">
        <v>1</v>
      </c>
      <c r="AA604" s="1" t="str">
        <f t="shared" ca="1" si="64"/>
        <v>VENCIDO</v>
      </c>
      <c r="AB604" s="1" t="str">
        <f t="shared" si="65"/>
        <v>TAAe+</v>
      </c>
      <c r="AC604" s="2">
        <f t="shared" si="69"/>
        <v>0</v>
      </c>
      <c r="AD604" s="2">
        <f t="shared" si="66"/>
        <v>8</v>
      </c>
      <c r="AE604" s="2">
        <f t="shared" ca="1" si="67"/>
        <v>-44986.676271643519</v>
      </c>
      <c r="AF604" s="15"/>
    </row>
    <row r="605" spans="3:32">
      <c r="D605" s="1"/>
      <c r="E605" s="1"/>
      <c r="P605" s="11"/>
      <c r="U605" s="11"/>
      <c r="X605" s="13">
        <f t="shared" si="68"/>
        <v>0</v>
      </c>
      <c r="Y605" s="2">
        <f t="shared" ca="1" si="63"/>
        <v>32133</v>
      </c>
      <c r="Z605" s="14">
        <v>1</v>
      </c>
      <c r="AA605" s="1" t="str">
        <f t="shared" ca="1" si="64"/>
        <v>VENCIDO</v>
      </c>
      <c r="AB605" s="1" t="str">
        <f t="shared" si="65"/>
        <v>TAAe+</v>
      </c>
      <c r="AC605" s="2">
        <f t="shared" si="69"/>
        <v>0</v>
      </c>
      <c r="AD605" s="2">
        <f t="shared" si="66"/>
        <v>8</v>
      </c>
      <c r="AE605" s="2">
        <f t="shared" ca="1" si="67"/>
        <v>-44986.676271643519</v>
      </c>
      <c r="AF605" s="15"/>
    </row>
    <row r="606" spans="3:32">
      <c r="C606" s="49"/>
      <c r="D606" s="1"/>
      <c r="E606" s="1"/>
      <c r="P606" s="11"/>
      <c r="U606" s="11"/>
      <c r="X606" s="13">
        <f t="shared" si="68"/>
        <v>0</v>
      </c>
      <c r="Y606" s="2">
        <f t="shared" ca="1" si="63"/>
        <v>32133</v>
      </c>
      <c r="Z606" s="14">
        <v>1</v>
      </c>
      <c r="AA606" s="1" t="str">
        <f t="shared" ca="1" si="64"/>
        <v>VENCIDO</v>
      </c>
      <c r="AB606" s="1" t="str">
        <f t="shared" si="65"/>
        <v>TAAe+</v>
      </c>
      <c r="AC606" s="2">
        <f t="shared" si="69"/>
        <v>0</v>
      </c>
      <c r="AD606" s="2">
        <f t="shared" si="66"/>
        <v>8</v>
      </c>
      <c r="AE606" s="2">
        <f t="shared" ca="1" si="67"/>
        <v>-44986.676271643519</v>
      </c>
      <c r="AF606" s="15"/>
    </row>
    <row r="607" spans="3:32">
      <c r="C607" s="49"/>
      <c r="D607" s="1"/>
      <c r="E607" s="1"/>
      <c r="P607" s="11"/>
      <c r="U607" s="11"/>
      <c r="X607" s="13">
        <f t="shared" si="68"/>
        <v>0</v>
      </c>
      <c r="Y607" s="2">
        <f t="shared" ca="1" si="63"/>
        <v>32133</v>
      </c>
      <c r="Z607" s="14">
        <v>1</v>
      </c>
      <c r="AA607" s="1" t="str">
        <f t="shared" ca="1" si="64"/>
        <v>VENCIDO</v>
      </c>
      <c r="AB607" s="1" t="str">
        <f t="shared" si="65"/>
        <v>TAAe+</v>
      </c>
      <c r="AC607" s="2">
        <f t="shared" si="69"/>
        <v>0</v>
      </c>
      <c r="AD607" s="2">
        <f t="shared" si="66"/>
        <v>8</v>
      </c>
      <c r="AE607" s="2">
        <f t="shared" ca="1" si="67"/>
        <v>-44986.676271643519</v>
      </c>
      <c r="AF607" s="15"/>
    </row>
    <row r="608" spans="3:32">
      <c r="D608" s="1"/>
      <c r="E608" s="1"/>
      <c r="P608" s="11"/>
      <c r="U608" s="11"/>
      <c r="X608" s="13">
        <f t="shared" si="68"/>
        <v>0</v>
      </c>
      <c r="Y608" s="2">
        <f t="shared" ca="1" si="63"/>
        <v>32133</v>
      </c>
      <c r="Z608" s="14">
        <v>1</v>
      </c>
      <c r="AA608" s="1" t="str">
        <f t="shared" ca="1" si="64"/>
        <v>VENCIDO</v>
      </c>
      <c r="AB608" s="1" t="str">
        <f t="shared" si="65"/>
        <v>TAAe+</v>
      </c>
      <c r="AC608" s="2">
        <f t="shared" si="69"/>
        <v>0</v>
      </c>
      <c r="AD608" s="2">
        <f t="shared" si="66"/>
        <v>8</v>
      </c>
      <c r="AE608" s="2">
        <f t="shared" ca="1" si="67"/>
        <v>-44986.676271643519</v>
      </c>
      <c r="AF608" s="15"/>
    </row>
    <row r="609" spans="16:32">
      <c r="P609" s="12"/>
      <c r="U609" s="12"/>
      <c r="X609" s="13">
        <f t="shared" si="68"/>
        <v>0</v>
      </c>
      <c r="Y609" s="2">
        <f t="shared" ca="1" si="63"/>
        <v>32133</v>
      </c>
      <c r="Z609" s="14">
        <v>1</v>
      </c>
      <c r="AA609" s="1" t="str">
        <f t="shared" ca="1" si="64"/>
        <v>VENCIDO</v>
      </c>
      <c r="AB609" s="1" t="str">
        <f t="shared" si="65"/>
        <v>TAAe+</v>
      </c>
      <c r="AC609" s="2">
        <f t="shared" si="69"/>
        <v>0</v>
      </c>
      <c r="AD609" s="2">
        <f t="shared" si="66"/>
        <v>8</v>
      </c>
      <c r="AE609" s="2">
        <f t="shared" ca="1" si="67"/>
        <v>-44986.676271643519</v>
      </c>
      <c r="AF609" s="15"/>
    </row>
    <row r="610" spans="16:32">
      <c r="P610" s="12"/>
      <c r="U610" s="12"/>
      <c r="X610" s="13">
        <f t="shared" si="68"/>
        <v>0</v>
      </c>
      <c r="Y610" s="2">
        <f t="shared" ca="1" si="63"/>
        <v>32133</v>
      </c>
      <c r="Z610" s="14">
        <v>1</v>
      </c>
      <c r="AA610" s="1" t="str">
        <f t="shared" ca="1" si="64"/>
        <v>VENCIDO</v>
      </c>
      <c r="AB610" s="1" t="str">
        <f t="shared" si="65"/>
        <v>TAAe+</v>
      </c>
      <c r="AC610" s="2">
        <f t="shared" si="69"/>
        <v>0</v>
      </c>
      <c r="AD610" s="2">
        <f t="shared" si="66"/>
        <v>8</v>
      </c>
      <c r="AE610" s="2">
        <f t="shared" ca="1" si="67"/>
        <v>-44986.676271643519</v>
      </c>
      <c r="AF610" s="15"/>
    </row>
    <row r="611" spans="16:32">
      <c r="P611" s="12"/>
      <c r="U611" s="12"/>
      <c r="X611" s="13">
        <f t="shared" si="68"/>
        <v>0</v>
      </c>
      <c r="Y611" s="2">
        <f t="shared" ca="1" si="63"/>
        <v>32133</v>
      </c>
      <c r="Z611" s="14">
        <v>1</v>
      </c>
      <c r="AA611" s="1" t="str">
        <f t="shared" ca="1" si="64"/>
        <v>VENCIDO</v>
      </c>
      <c r="AB611" s="1" t="str">
        <f t="shared" si="65"/>
        <v>TAAe+</v>
      </c>
      <c r="AC611" s="2">
        <f t="shared" si="69"/>
        <v>0</v>
      </c>
      <c r="AD611" s="2">
        <f t="shared" si="66"/>
        <v>8</v>
      </c>
      <c r="AE611" s="2">
        <f t="shared" ca="1" si="67"/>
        <v>-44986.676271643519</v>
      </c>
      <c r="AF611" s="15"/>
    </row>
    <row r="612" spans="16:32">
      <c r="P612" s="12"/>
      <c r="U612" s="12"/>
      <c r="X612" s="13">
        <f t="shared" si="68"/>
        <v>0</v>
      </c>
      <c r="Y612" s="2">
        <f t="shared" ca="1" si="63"/>
        <v>32133</v>
      </c>
      <c r="Z612" s="14">
        <v>1</v>
      </c>
      <c r="AA612" s="1" t="str">
        <f t="shared" ca="1" si="64"/>
        <v>VENCIDO</v>
      </c>
      <c r="AB612" s="1" t="str">
        <f t="shared" si="65"/>
        <v>TAAe+</v>
      </c>
      <c r="AC612" s="2">
        <f t="shared" si="69"/>
        <v>0</v>
      </c>
      <c r="AD612" s="2">
        <f t="shared" si="66"/>
        <v>8</v>
      </c>
      <c r="AE612" s="2">
        <f t="shared" ca="1" si="67"/>
        <v>-44986.676271643519</v>
      </c>
      <c r="AF612" s="15"/>
    </row>
    <row r="613" spans="16:32">
      <c r="P613" s="12"/>
      <c r="U613" s="12"/>
      <c r="X613" s="13">
        <f t="shared" si="68"/>
        <v>0</v>
      </c>
      <c r="Y613" s="2">
        <f t="shared" ca="1" si="63"/>
        <v>32133</v>
      </c>
      <c r="Z613" s="14">
        <v>1</v>
      </c>
      <c r="AA613" s="1" t="str">
        <f t="shared" ca="1" si="64"/>
        <v>VENCIDO</v>
      </c>
      <c r="AB613" s="1" t="str">
        <f t="shared" si="65"/>
        <v>TAAe+</v>
      </c>
      <c r="AC613" s="2">
        <f t="shared" si="69"/>
        <v>0</v>
      </c>
      <c r="AD613" s="2">
        <f t="shared" si="66"/>
        <v>8</v>
      </c>
      <c r="AE613" s="2">
        <f t="shared" ca="1" si="67"/>
        <v>-44986.676271643519</v>
      </c>
      <c r="AF613" s="15"/>
    </row>
    <row r="614" spans="16:32">
      <c r="P614" s="12"/>
      <c r="U614" s="12"/>
      <c r="X614" s="13">
        <f t="shared" si="68"/>
        <v>0</v>
      </c>
      <c r="Y614" s="2">
        <f t="shared" ca="1" si="63"/>
        <v>32133</v>
      </c>
      <c r="Z614" s="14">
        <v>1</v>
      </c>
      <c r="AA614" s="1" t="str">
        <f t="shared" ca="1" si="64"/>
        <v>VENCIDO</v>
      </c>
      <c r="AB614" s="1" t="str">
        <f t="shared" si="65"/>
        <v>TAAe+</v>
      </c>
      <c r="AC614" s="2">
        <f t="shared" si="69"/>
        <v>0</v>
      </c>
      <c r="AD614" s="2">
        <f t="shared" si="66"/>
        <v>8</v>
      </c>
      <c r="AE614" s="2">
        <f t="shared" ca="1" si="67"/>
        <v>-44986.676271643519</v>
      </c>
      <c r="AF614" s="15"/>
    </row>
    <row r="615" spans="16:32">
      <c r="P615" s="12"/>
      <c r="U615" s="12"/>
      <c r="X615" s="13">
        <f t="shared" si="68"/>
        <v>0</v>
      </c>
      <c r="Y615" s="2">
        <f t="shared" ca="1" si="63"/>
        <v>32133</v>
      </c>
      <c r="Z615" s="14">
        <v>1</v>
      </c>
      <c r="AA615" s="1" t="str">
        <f t="shared" ca="1" si="64"/>
        <v>VENCIDO</v>
      </c>
      <c r="AB615" s="1" t="str">
        <f t="shared" si="65"/>
        <v>TAAe+</v>
      </c>
      <c r="AC615" s="2">
        <f t="shared" si="69"/>
        <v>0</v>
      </c>
      <c r="AD615" s="2">
        <f t="shared" si="66"/>
        <v>8</v>
      </c>
      <c r="AE615" s="2">
        <f t="shared" ca="1" si="67"/>
        <v>-44986.676271643519</v>
      </c>
      <c r="AF615" s="15"/>
    </row>
    <row r="616" spans="16:32">
      <c r="P616" s="12"/>
      <c r="U616" s="12"/>
      <c r="X616" s="13">
        <f t="shared" si="68"/>
        <v>0</v>
      </c>
      <c r="Y616" s="2">
        <f t="shared" ca="1" si="63"/>
        <v>32133</v>
      </c>
      <c r="Z616" s="14">
        <v>1</v>
      </c>
      <c r="AA616" s="1" t="str">
        <f t="shared" ca="1" si="64"/>
        <v>VENCIDO</v>
      </c>
      <c r="AB616" s="1" t="str">
        <f t="shared" si="65"/>
        <v>TAAe+</v>
      </c>
      <c r="AC616" s="2">
        <f t="shared" si="69"/>
        <v>0</v>
      </c>
      <c r="AD616" s="2">
        <f t="shared" si="66"/>
        <v>8</v>
      </c>
      <c r="AE616" s="2">
        <f t="shared" ca="1" si="67"/>
        <v>-44986.676271643519</v>
      </c>
      <c r="AF616" s="15"/>
    </row>
    <row r="617" spans="16:32">
      <c r="P617" s="12"/>
      <c r="U617" s="12"/>
      <c r="X617" s="13">
        <f t="shared" si="68"/>
        <v>0</v>
      </c>
      <c r="Y617" s="2">
        <f t="shared" ca="1" si="63"/>
        <v>32133</v>
      </c>
      <c r="Z617" s="14">
        <v>1</v>
      </c>
      <c r="AA617" s="1" t="str">
        <f t="shared" ca="1" si="64"/>
        <v>VENCIDO</v>
      </c>
      <c r="AB617" s="1" t="str">
        <f t="shared" si="65"/>
        <v>TAAe+</v>
      </c>
      <c r="AC617" s="2">
        <f t="shared" si="69"/>
        <v>0</v>
      </c>
      <c r="AD617" s="2">
        <f t="shared" si="66"/>
        <v>8</v>
      </c>
      <c r="AE617" s="2">
        <f t="shared" ca="1" si="67"/>
        <v>-44986.676271643519</v>
      </c>
      <c r="AF617" s="15"/>
    </row>
    <row r="618" spans="16:32">
      <c r="P618" s="12"/>
      <c r="U618" s="12"/>
      <c r="X618" s="13">
        <f t="shared" si="68"/>
        <v>0</v>
      </c>
      <c r="Y618" s="2">
        <f t="shared" ca="1" si="63"/>
        <v>32133</v>
      </c>
      <c r="Z618" s="14">
        <v>1</v>
      </c>
      <c r="AA618" s="1" t="str">
        <f t="shared" ca="1" si="64"/>
        <v>VENCIDO</v>
      </c>
      <c r="AB618" s="1" t="str">
        <f t="shared" si="65"/>
        <v>TAAe+</v>
      </c>
      <c r="AC618" s="2">
        <f t="shared" si="69"/>
        <v>0</v>
      </c>
      <c r="AD618" s="2">
        <f t="shared" si="66"/>
        <v>8</v>
      </c>
      <c r="AE618" s="2">
        <f t="shared" ca="1" si="67"/>
        <v>-44986.676271643519</v>
      </c>
      <c r="AF618" s="15"/>
    </row>
    <row r="619" spans="16:32">
      <c r="P619" s="12"/>
      <c r="U619" s="12"/>
      <c r="X619" s="13">
        <f t="shared" si="68"/>
        <v>0</v>
      </c>
      <c r="Y619" s="2">
        <f t="shared" ca="1" si="63"/>
        <v>32133</v>
      </c>
      <c r="Z619" s="14">
        <v>1</v>
      </c>
      <c r="AA619" s="1" t="str">
        <f t="shared" ca="1" si="64"/>
        <v>VENCIDO</v>
      </c>
      <c r="AB619" s="1" t="str">
        <f t="shared" si="65"/>
        <v>TAAe+</v>
      </c>
      <c r="AC619" s="2">
        <f t="shared" si="69"/>
        <v>0</v>
      </c>
      <c r="AD619" s="2">
        <f t="shared" si="66"/>
        <v>8</v>
      </c>
      <c r="AE619" s="2">
        <f t="shared" ca="1" si="67"/>
        <v>-44986.676271643519</v>
      </c>
      <c r="AF619" s="15"/>
    </row>
    <row r="620" spans="16:32">
      <c r="P620" s="12"/>
      <c r="U620" s="12"/>
      <c r="X620" s="13">
        <f t="shared" si="68"/>
        <v>0</v>
      </c>
      <c r="Y620" s="2">
        <f t="shared" ca="1" si="63"/>
        <v>32133</v>
      </c>
      <c r="Z620" s="14">
        <v>1</v>
      </c>
      <c r="AA620" s="1" t="str">
        <f t="shared" ca="1" si="64"/>
        <v>VENCIDO</v>
      </c>
      <c r="AB620" s="1" t="str">
        <f t="shared" si="65"/>
        <v>TAAe+</v>
      </c>
      <c r="AC620" s="2">
        <f t="shared" si="69"/>
        <v>0</v>
      </c>
      <c r="AD620" s="2">
        <f t="shared" si="66"/>
        <v>8</v>
      </c>
      <c r="AE620" s="2">
        <f t="shared" ca="1" si="67"/>
        <v>-44986.676271643519</v>
      </c>
      <c r="AF620" s="15"/>
    </row>
    <row r="621" spans="16:32">
      <c r="P621" s="12"/>
      <c r="U621" s="12"/>
      <c r="X621" s="13">
        <f t="shared" si="68"/>
        <v>0</v>
      </c>
      <c r="Y621" s="2">
        <f t="shared" ca="1" si="63"/>
        <v>32133</v>
      </c>
      <c r="Z621" s="14">
        <v>1</v>
      </c>
      <c r="AA621" s="1" t="str">
        <f t="shared" ca="1" si="64"/>
        <v>VENCIDO</v>
      </c>
      <c r="AB621" s="1" t="str">
        <f t="shared" si="65"/>
        <v>TAAe+</v>
      </c>
      <c r="AC621" s="2">
        <f t="shared" si="69"/>
        <v>0</v>
      </c>
      <c r="AD621" s="2">
        <f t="shared" si="66"/>
        <v>8</v>
      </c>
      <c r="AE621" s="2">
        <f t="shared" ca="1" si="67"/>
        <v>-44986.676271643519</v>
      </c>
      <c r="AF621" s="15"/>
    </row>
    <row r="622" spans="16:32">
      <c r="P622" s="12"/>
      <c r="U622" s="12"/>
      <c r="X622" s="13">
        <f t="shared" si="68"/>
        <v>0</v>
      </c>
      <c r="Y622" s="2">
        <f t="shared" ca="1" si="63"/>
        <v>32133</v>
      </c>
      <c r="Z622" s="14">
        <v>1</v>
      </c>
      <c r="AA622" s="1" t="str">
        <f t="shared" ca="1" si="64"/>
        <v>VENCIDO</v>
      </c>
      <c r="AB622" s="1" t="str">
        <f t="shared" si="65"/>
        <v>TAAe+</v>
      </c>
      <c r="AC622" s="2">
        <f t="shared" si="69"/>
        <v>0</v>
      </c>
      <c r="AD622" s="2">
        <f t="shared" si="66"/>
        <v>8</v>
      </c>
      <c r="AE622" s="2">
        <f t="shared" ca="1" si="67"/>
        <v>-44986.676271643519</v>
      </c>
      <c r="AF622" s="15"/>
    </row>
    <row r="623" spans="16:32">
      <c r="P623" s="12"/>
      <c r="U623" s="12"/>
      <c r="X623" s="13">
        <f t="shared" si="68"/>
        <v>0</v>
      </c>
      <c r="Y623" s="2">
        <f t="shared" ca="1" si="63"/>
        <v>32133</v>
      </c>
      <c r="Z623" s="14">
        <v>1</v>
      </c>
      <c r="AA623" s="1" t="str">
        <f t="shared" ca="1" si="64"/>
        <v>VENCIDO</v>
      </c>
      <c r="AB623" s="1" t="str">
        <f t="shared" si="65"/>
        <v>TAAe+</v>
      </c>
      <c r="AC623" s="2">
        <f t="shared" si="69"/>
        <v>0</v>
      </c>
      <c r="AD623" s="2">
        <f t="shared" si="66"/>
        <v>8</v>
      </c>
      <c r="AE623" s="2">
        <f t="shared" ca="1" si="67"/>
        <v>-44986.676271643519</v>
      </c>
      <c r="AF623" s="15"/>
    </row>
    <row r="624" spans="16:32">
      <c r="P624" s="12"/>
      <c r="U624" s="12"/>
      <c r="X624" s="13">
        <f t="shared" si="68"/>
        <v>0</v>
      </c>
      <c r="Y624" s="2">
        <f t="shared" ca="1" si="63"/>
        <v>32133</v>
      </c>
      <c r="Z624" s="14">
        <v>1</v>
      </c>
      <c r="AA624" s="1" t="str">
        <f t="shared" ca="1" si="64"/>
        <v>VENCIDO</v>
      </c>
      <c r="AB624" s="1" t="str">
        <f t="shared" si="65"/>
        <v>TAAe+</v>
      </c>
      <c r="AC624" s="2">
        <f t="shared" si="69"/>
        <v>0</v>
      </c>
      <c r="AD624" s="2">
        <f t="shared" si="66"/>
        <v>8</v>
      </c>
      <c r="AE624" s="2">
        <f t="shared" ca="1" si="67"/>
        <v>-44986.676271643519</v>
      </c>
      <c r="AF624" s="15"/>
    </row>
    <row r="625" spans="16:32">
      <c r="P625" s="12"/>
      <c r="U625" s="12"/>
      <c r="X625" s="13">
        <f t="shared" si="68"/>
        <v>0</v>
      </c>
      <c r="Y625" s="2">
        <f t="shared" ca="1" si="63"/>
        <v>32133</v>
      </c>
      <c r="Z625" s="14">
        <v>1</v>
      </c>
      <c r="AA625" s="1" t="str">
        <f t="shared" ca="1" si="64"/>
        <v>VENCIDO</v>
      </c>
      <c r="AB625" s="1" t="str">
        <f t="shared" si="65"/>
        <v>TAAe+</v>
      </c>
      <c r="AC625" s="2">
        <f t="shared" si="69"/>
        <v>0</v>
      </c>
      <c r="AD625" s="2">
        <f t="shared" si="66"/>
        <v>8</v>
      </c>
      <c r="AE625" s="2">
        <f t="shared" ca="1" si="67"/>
        <v>-44986.676271643519</v>
      </c>
      <c r="AF625" s="15"/>
    </row>
    <row r="626" spans="16:32">
      <c r="P626" s="12"/>
      <c r="U626" s="12"/>
      <c r="X626" s="13">
        <f t="shared" si="68"/>
        <v>0</v>
      </c>
      <c r="Y626" s="2">
        <f t="shared" ca="1" si="63"/>
        <v>32133</v>
      </c>
      <c r="Z626" s="14">
        <v>1</v>
      </c>
      <c r="AA626" s="1" t="str">
        <f t="shared" ca="1" si="64"/>
        <v>VENCIDO</v>
      </c>
      <c r="AB626" s="1" t="str">
        <f t="shared" si="65"/>
        <v>TAAe+</v>
      </c>
      <c r="AC626" s="2">
        <f t="shared" si="69"/>
        <v>0</v>
      </c>
      <c r="AD626" s="2">
        <f t="shared" si="66"/>
        <v>8</v>
      </c>
      <c r="AE626" s="2">
        <f t="shared" ca="1" si="67"/>
        <v>-44986.676271643519</v>
      </c>
      <c r="AF626" s="15"/>
    </row>
    <row r="627" spans="16:32">
      <c r="P627" s="12"/>
      <c r="U627" s="12"/>
      <c r="X627" s="13">
        <f t="shared" si="68"/>
        <v>0</v>
      </c>
      <c r="Y627" s="2">
        <f t="shared" ca="1" si="63"/>
        <v>32133</v>
      </c>
      <c r="Z627" s="14">
        <v>1</v>
      </c>
      <c r="AA627" s="1" t="str">
        <f t="shared" ca="1" si="64"/>
        <v>VENCIDO</v>
      </c>
      <c r="AB627" s="1" t="str">
        <f t="shared" si="65"/>
        <v>TAAe+</v>
      </c>
      <c r="AC627" s="2">
        <f t="shared" si="69"/>
        <v>0</v>
      </c>
      <c r="AD627" s="2">
        <f t="shared" si="66"/>
        <v>8</v>
      </c>
      <c r="AE627" s="2">
        <f t="shared" ca="1" si="67"/>
        <v>-44986.676271643519</v>
      </c>
      <c r="AF627" s="15"/>
    </row>
    <row r="628" spans="16:32">
      <c r="P628" s="12"/>
      <c r="U628" s="12"/>
      <c r="X628" s="13">
        <f t="shared" si="68"/>
        <v>0</v>
      </c>
      <c r="Y628" s="2">
        <f t="shared" ca="1" si="63"/>
        <v>32133</v>
      </c>
      <c r="Z628" s="14">
        <v>1</v>
      </c>
      <c r="AA628" s="1" t="str">
        <f t="shared" ca="1" si="64"/>
        <v>VENCIDO</v>
      </c>
      <c r="AB628" s="1" t="str">
        <f t="shared" si="65"/>
        <v>TAAe+</v>
      </c>
      <c r="AC628" s="2">
        <f t="shared" si="69"/>
        <v>0</v>
      </c>
      <c r="AD628" s="2">
        <f t="shared" si="66"/>
        <v>8</v>
      </c>
      <c r="AE628" s="2">
        <f t="shared" ca="1" si="67"/>
        <v>-44986.676271643519</v>
      </c>
      <c r="AF628" s="15"/>
    </row>
    <row r="629" spans="16:32">
      <c r="P629" s="12"/>
      <c r="U629" s="12"/>
      <c r="X629" s="13">
        <f t="shared" si="68"/>
        <v>0</v>
      </c>
      <c r="Y629" s="2">
        <f t="shared" ca="1" si="63"/>
        <v>32133</v>
      </c>
      <c r="Z629" s="14">
        <v>1</v>
      </c>
      <c r="AA629" s="1" t="str">
        <f t="shared" ca="1" si="64"/>
        <v>VENCIDO</v>
      </c>
      <c r="AB629" s="1" t="str">
        <f t="shared" si="65"/>
        <v>TAAe+</v>
      </c>
      <c r="AC629" s="2">
        <f t="shared" si="69"/>
        <v>0</v>
      </c>
      <c r="AD629" s="2">
        <f t="shared" si="66"/>
        <v>8</v>
      </c>
      <c r="AE629" s="2">
        <f t="shared" ca="1" si="67"/>
        <v>-44986.676271643519</v>
      </c>
      <c r="AF629" s="15"/>
    </row>
    <row r="630" spans="16:32">
      <c r="P630" s="12"/>
      <c r="U630" s="12"/>
      <c r="X630" s="13">
        <f t="shared" si="68"/>
        <v>0</v>
      </c>
      <c r="Y630" s="2">
        <f t="shared" ca="1" si="63"/>
        <v>32133</v>
      </c>
      <c r="Z630" s="14">
        <v>1</v>
      </c>
      <c r="AA630" s="1" t="str">
        <f t="shared" ca="1" si="64"/>
        <v>VENCIDO</v>
      </c>
      <c r="AB630" s="1" t="str">
        <f t="shared" si="65"/>
        <v>TAAe+</v>
      </c>
      <c r="AC630" s="2">
        <f t="shared" si="69"/>
        <v>0</v>
      </c>
      <c r="AD630" s="2">
        <f t="shared" si="66"/>
        <v>8</v>
      </c>
      <c r="AE630" s="2">
        <f t="shared" ca="1" si="67"/>
        <v>-44986.676271643519</v>
      </c>
      <c r="AF630" s="15"/>
    </row>
    <row r="631" spans="16:32">
      <c r="P631" s="12"/>
      <c r="U631" s="12"/>
      <c r="X631" s="13">
        <f t="shared" si="68"/>
        <v>0</v>
      </c>
      <c r="Y631" s="2">
        <f t="shared" ca="1" si="63"/>
        <v>32133</v>
      </c>
      <c r="Z631" s="14">
        <v>1</v>
      </c>
      <c r="AA631" s="1" t="str">
        <f t="shared" ca="1" si="64"/>
        <v>VENCIDO</v>
      </c>
      <c r="AB631" s="1" t="str">
        <f t="shared" si="65"/>
        <v>TAAe+</v>
      </c>
      <c r="AC631" s="2">
        <f t="shared" si="69"/>
        <v>0</v>
      </c>
      <c r="AD631" s="2">
        <f t="shared" si="66"/>
        <v>8</v>
      </c>
      <c r="AE631" s="2">
        <f t="shared" ca="1" si="67"/>
        <v>-44986.676271643519</v>
      </c>
      <c r="AF631" s="15"/>
    </row>
    <row r="632" spans="16:32">
      <c r="P632" s="12"/>
      <c r="U632" s="12"/>
      <c r="X632" s="13">
        <f t="shared" si="68"/>
        <v>0</v>
      </c>
      <c r="Y632" s="2">
        <f t="shared" ca="1" si="63"/>
        <v>32133</v>
      </c>
      <c r="Z632" s="14">
        <v>1</v>
      </c>
      <c r="AA632" s="1" t="str">
        <f t="shared" ca="1" si="64"/>
        <v>VENCIDO</v>
      </c>
      <c r="AB632" s="1" t="str">
        <f t="shared" si="65"/>
        <v>TAAe+</v>
      </c>
      <c r="AC632" s="2">
        <f t="shared" si="69"/>
        <v>0</v>
      </c>
      <c r="AD632" s="2">
        <f t="shared" si="66"/>
        <v>8</v>
      </c>
      <c r="AE632" s="2">
        <f t="shared" ca="1" si="67"/>
        <v>-44986.676271643519</v>
      </c>
      <c r="AF632" s="15"/>
    </row>
    <row r="633" spans="16:32">
      <c r="P633" s="12"/>
      <c r="U633" s="12"/>
      <c r="X633" s="13">
        <f t="shared" si="68"/>
        <v>0</v>
      </c>
      <c r="Y633" s="2">
        <f t="shared" ca="1" si="63"/>
        <v>32133</v>
      </c>
      <c r="Z633" s="14">
        <v>1</v>
      </c>
      <c r="AA633" s="1" t="str">
        <f t="shared" ca="1" si="64"/>
        <v>VENCIDO</v>
      </c>
      <c r="AB633" s="1" t="str">
        <f t="shared" si="65"/>
        <v>TAAe+</v>
      </c>
      <c r="AC633" s="2">
        <f t="shared" si="69"/>
        <v>0</v>
      </c>
      <c r="AD633" s="2">
        <f t="shared" si="66"/>
        <v>8</v>
      </c>
      <c r="AE633" s="2">
        <f t="shared" ca="1" si="67"/>
        <v>-44986.676271643519</v>
      </c>
      <c r="AF633" s="15"/>
    </row>
    <row r="634" spans="16:32">
      <c r="P634" s="12"/>
      <c r="U634" s="12"/>
      <c r="X634" s="13">
        <f t="shared" si="68"/>
        <v>0</v>
      </c>
      <c r="Y634" s="2">
        <f t="shared" ca="1" si="63"/>
        <v>32133</v>
      </c>
      <c r="Z634" s="14">
        <v>1</v>
      </c>
      <c r="AA634" s="1" t="str">
        <f t="shared" ca="1" si="64"/>
        <v>VENCIDO</v>
      </c>
      <c r="AB634" s="1" t="str">
        <f t="shared" si="65"/>
        <v>TAAe+</v>
      </c>
      <c r="AC634" s="2">
        <f t="shared" si="69"/>
        <v>0</v>
      </c>
      <c r="AD634" s="2">
        <f t="shared" si="66"/>
        <v>8</v>
      </c>
      <c r="AE634" s="2">
        <f t="shared" ca="1" si="67"/>
        <v>-44986.676271643519</v>
      </c>
      <c r="AF634" s="15"/>
    </row>
    <row r="635" spans="16:32">
      <c r="P635" s="12"/>
      <c r="U635" s="12"/>
      <c r="X635" s="13">
        <f t="shared" si="68"/>
        <v>0</v>
      </c>
      <c r="Y635" s="2">
        <f t="shared" ca="1" si="63"/>
        <v>32133</v>
      </c>
      <c r="Z635" s="14">
        <v>1</v>
      </c>
      <c r="AA635" s="1" t="str">
        <f t="shared" ca="1" si="64"/>
        <v>VENCIDO</v>
      </c>
      <c r="AB635" s="1" t="str">
        <f t="shared" si="65"/>
        <v>TAAe+</v>
      </c>
      <c r="AC635" s="2">
        <f t="shared" si="69"/>
        <v>0</v>
      </c>
      <c r="AD635" s="2">
        <f t="shared" si="66"/>
        <v>8</v>
      </c>
      <c r="AE635" s="2">
        <f t="shared" ca="1" si="67"/>
        <v>-44986.676271643519</v>
      </c>
      <c r="AF635" s="15"/>
    </row>
    <row r="636" spans="16:32">
      <c r="P636" s="12"/>
      <c r="U636" s="12"/>
      <c r="X636" s="13">
        <f t="shared" si="68"/>
        <v>0</v>
      </c>
      <c r="Y636" s="2">
        <f t="shared" ca="1" si="63"/>
        <v>32133</v>
      </c>
      <c r="Z636" s="14">
        <v>1</v>
      </c>
      <c r="AA636" s="1" t="str">
        <f t="shared" ca="1" si="64"/>
        <v>VENCIDO</v>
      </c>
      <c r="AB636" s="1" t="str">
        <f t="shared" si="65"/>
        <v>TAAe+</v>
      </c>
      <c r="AC636" s="2">
        <f t="shared" si="69"/>
        <v>0</v>
      </c>
      <c r="AD636" s="2">
        <f t="shared" si="66"/>
        <v>8</v>
      </c>
      <c r="AE636" s="2">
        <f t="shared" ca="1" si="67"/>
        <v>-44986.676271643519</v>
      </c>
      <c r="AF636" s="15"/>
    </row>
    <row r="637" spans="16:32">
      <c r="P637" s="12"/>
      <c r="U637" s="12"/>
      <c r="X637" s="13">
        <f t="shared" si="68"/>
        <v>0</v>
      </c>
      <c r="Y637" s="2">
        <f t="shared" ca="1" si="63"/>
        <v>32133</v>
      </c>
      <c r="Z637" s="14">
        <v>1</v>
      </c>
      <c r="AA637" s="1" t="str">
        <f t="shared" ca="1" si="64"/>
        <v>VENCIDO</v>
      </c>
      <c r="AB637" s="1" t="str">
        <f t="shared" si="65"/>
        <v>TAAe+</v>
      </c>
      <c r="AC637" s="2">
        <f t="shared" si="69"/>
        <v>0</v>
      </c>
      <c r="AD637" s="2">
        <f t="shared" si="66"/>
        <v>8</v>
      </c>
      <c r="AE637" s="2">
        <f t="shared" ca="1" si="67"/>
        <v>-44986.676271643519</v>
      </c>
      <c r="AF637" s="15"/>
    </row>
    <row r="638" spans="16:32">
      <c r="P638" s="12"/>
      <c r="U638" s="12"/>
      <c r="X638" s="13">
        <f t="shared" si="68"/>
        <v>0</v>
      </c>
      <c r="Y638" s="2">
        <f t="shared" ca="1" si="63"/>
        <v>32133</v>
      </c>
      <c r="Z638" s="14">
        <v>1</v>
      </c>
      <c r="AA638" s="1" t="str">
        <f t="shared" ca="1" si="64"/>
        <v>VENCIDO</v>
      </c>
      <c r="AB638" s="1" t="str">
        <f t="shared" si="65"/>
        <v>TAAe+</v>
      </c>
      <c r="AC638" s="2">
        <f t="shared" si="69"/>
        <v>0</v>
      </c>
      <c r="AD638" s="2">
        <f t="shared" si="66"/>
        <v>8</v>
      </c>
      <c r="AE638" s="2">
        <f t="shared" ca="1" si="67"/>
        <v>-44986.676271643519</v>
      </c>
      <c r="AF638" s="15"/>
    </row>
    <row r="639" spans="16:32">
      <c r="P639" s="12"/>
      <c r="U639" s="12"/>
      <c r="X639" s="13">
        <f t="shared" si="68"/>
        <v>0</v>
      </c>
      <c r="Y639" s="2">
        <f t="shared" ca="1" si="63"/>
        <v>32133</v>
      </c>
      <c r="Z639" s="14">
        <v>1</v>
      </c>
      <c r="AA639" s="1" t="str">
        <f t="shared" ca="1" si="64"/>
        <v>VENCIDO</v>
      </c>
      <c r="AB639" s="1" t="str">
        <f t="shared" si="65"/>
        <v>TAAe+</v>
      </c>
      <c r="AC639" s="2">
        <f t="shared" si="69"/>
        <v>0</v>
      </c>
      <c r="AD639" s="2">
        <f t="shared" si="66"/>
        <v>8</v>
      </c>
      <c r="AE639" s="2">
        <f t="shared" ca="1" si="67"/>
        <v>-44986.676271643519</v>
      </c>
      <c r="AF639" s="15"/>
    </row>
    <row r="640" spans="16:32">
      <c r="P640" s="12"/>
      <c r="U640" s="12"/>
      <c r="X640" s="13">
        <f t="shared" si="68"/>
        <v>0</v>
      </c>
      <c r="Y640" s="2">
        <f t="shared" ca="1" si="63"/>
        <v>32133</v>
      </c>
      <c r="Z640" s="14">
        <v>1</v>
      </c>
      <c r="AA640" s="1" t="str">
        <f t="shared" ca="1" si="64"/>
        <v>VENCIDO</v>
      </c>
      <c r="AB640" s="1" t="str">
        <f t="shared" si="65"/>
        <v>TAAe+</v>
      </c>
      <c r="AC640" s="2">
        <f t="shared" si="69"/>
        <v>0</v>
      </c>
      <c r="AD640" s="2">
        <f t="shared" si="66"/>
        <v>8</v>
      </c>
      <c r="AE640" s="2">
        <f t="shared" ca="1" si="67"/>
        <v>-44986.676271643519</v>
      </c>
      <c r="AF640" s="15"/>
    </row>
    <row r="641" spans="16:32">
      <c r="P641" s="12"/>
      <c r="U641" s="12"/>
      <c r="X641" s="13">
        <f t="shared" si="68"/>
        <v>0</v>
      </c>
      <c r="Y641" s="2">
        <f t="shared" ca="1" si="63"/>
        <v>32133</v>
      </c>
      <c r="Z641" s="14">
        <v>1</v>
      </c>
      <c r="AA641" s="1" t="str">
        <f t="shared" ca="1" si="64"/>
        <v>VENCIDO</v>
      </c>
      <c r="AB641" s="1" t="str">
        <f t="shared" si="65"/>
        <v>TAAe+</v>
      </c>
      <c r="AC641" s="2">
        <f t="shared" si="69"/>
        <v>0</v>
      </c>
      <c r="AD641" s="2">
        <f t="shared" si="66"/>
        <v>8</v>
      </c>
      <c r="AE641" s="2">
        <f t="shared" ca="1" si="67"/>
        <v>-44986.676271643519</v>
      </c>
      <c r="AF641" s="15"/>
    </row>
    <row r="642" spans="16:32">
      <c r="P642" s="12"/>
      <c r="U642" s="12"/>
      <c r="X642" s="13">
        <f t="shared" si="68"/>
        <v>0</v>
      </c>
      <c r="Y642" s="2">
        <f t="shared" ref="Y642:Y699" ca="1" si="70">NETWORKDAYS(P642,$Y$1)</f>
        <v>32133</v>
      </c>
      <c r="Z642" s="14">
        <v>1</v>
      </c>
      <c r="AA642" s="1" t="str">
        <f t="shared" ref="AA642:AA699" ca="1" si="71">IF(AE642=0,"HOJE",IF(AE642&gt;0,"A VENCER",IF(AE642&lt;0,"VENCIDO")))</f>
        <v>VENCIDO</v>
      </c>
      <c r="AB642" s="1" t="str">
        <f t="shared" ref="AB642:AB699" si="72">IF(F642="GRPE-000001","C-14",IF(F642="GRPE-000002","C-14",IF(F642="GRPE-000003","C-14",IF(F642="GRPE-000004","SL-On",IF(F642="GRPE-000038","C-14",IF(F642="GRPE-900022","Dosa",IF(F642="GRPE-000029","Dosa",IF(F642="ATOS-000222","Dose","TAAe+"))))))))</f>
        <v>TAAe+</v>
      </c>
      <c r="AC642" s="2">
        <f t="shared" si="69"/>
        <v>0</v>
      </c>
      <c r="AD642" s="2">
        <f t="shared" ref="AD642:AD699" si="73">IF(F642="GRPE-000001",5,IF(F642="GRPE-000002",5,IF(F642="GRPE-000003",15,IF(F642="GRPE-000004",1,IF(F642="GRPE-000038",5,IF(F642="GRPE-900022",5,IF(F642="GRPE-000029",5,IF(F642="ATOS-000222",5,8))))))))</f>
        <v>8</v>
      </c>
      <c r="AE642" s="2">
        <f t="shared" ref="AE642:AE699" ca="1" si="74">IF(U642=$AE$1,"",U642-$AE$1)</f>
        <v>-44986.676271643519</v>
      </c>
      <c r="AF642" s="15"/>
    </row>
    <row r="643" spans="16:32">
      <c r="P643" s="12"/>
      <c r="U643" s="12"/>
      <c r="X643" s="13">
        <f t="shared" ref="X643:X700" si="75">IF(RIGHT(H643,2)&lt;&gt;"00",H643,"")</f>
        <v>0</v>
      </c>
      <c r="Y643" s="2">
        <f t="shared" ca="1" si="70"/>
        <v>32133</v>
      </c>
      <c r="Z643" s="14">
        <v>1</v>
      </c>
      <c r="AA643" s="1" t="str">
        <f t="shared" ca="1" si="71"/>
        <v>VENCIDO</v>
      </c>
      <c r="AB643" s="1" t="str">
        <f t="shared" si="72"/>
        <v>TAAe+</v>
      </c>
      <c r="AC643" s="2">
        <f t="shared" ref="AC643:AC699" si="76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>0</v>
      </c>
      <c r="AD643" s="2">
        <f t="shared" si="73"/>
        <v>8</v>
      </c>
      <c r="AE643" s="2">
        <f t="shared" ca="1" si="74"/>
        <v>-44986.676271643519</v>
      </c>
      <c r="AF643" s="15"/>
    </row>
    <row r="644" spans="16:32">
      <c r="P644" s="12"/>
      <c r="U644" s="12"/>
      <c r="X644" s="13">
        <f t="shared" si="75"/>
        <v>0</v>
      </c>
      <c r="Y644" s="2">
        <f t="shared" ca="1" si="70"/>
        <v>32133</v>
      </c>
      <c r="Z644" s="14">
        <v>1</v>
      </c>
      <c r="AA644" s="1" t="str">
        <f t="shared" ca="1" si="71"/>
        <v>VENCIDO</v>
      </c>
      <c r="AB644" s="1" t="str">
        <f t="shared" si="72"/>
        <v>TAAe+</v>
      </c>
      <c r="AC644" s="2">
        <f t="shared" si="76"/>
        <v>0</v>
      </c>
      <c r="AD644" s="2">
        <f t="shared" si="73"/>
        <v>8</v>
      </c>
      <c r="AE644" s="2">
        <f t="shared" ca="1" si="74"/>
        <v>-44986.676271643519</v>
      </c>
      <c r="AF644" s="15"/>
    </row>
    <row r="645" spans="16:32">
      <c r="P645" s="12"/>
      <c r="U645" s="12"/>
      <c r="X645" s="13">
        <f t="shared" si="75"/>
        <v>0</v>
      </c>
      <c r="Y645" s="2">
        <f t="shared" ca="1" si="70"/>
        <v>32133</v>
      </c>
      <c r="Z645" s="14">
        <v>1</v>
      </c>
      <c r="AA645" s="1" t="str">
        <f t="shared" ca="1" si="71"/>
        <v>VENCIDO</v>
      </c>
      <c r="AB645" s="1" t="str">
        <f t="shared" si="72"/>
        <v>TAAe+</v>
      </c>
      <c r="AC645" s="2">
        <f t="shared" si="76"/>
        <v>0</v>
      </c>
      <c r="AD645" s="2">
        <f t="shared" si="73"/>
        <v>8</v>
      </c>
      <c r="AE645" s="2">
        <f t="shared" ca="1" si="74"/>
        <v>-44986.676271643519</v>
      </c>
      <c r="AF645" s="15"/>
    </row>
    <row r="646" spans="16:32">
      <c r="P646" s="12"/>
      <c r="U646" s="12"/>
      <c r="X646" s="13">
        <f t="shared" si="75"/>
        <v>0</v>
      </c>
      <c r="Y646" s="2">
        <f t="shared" ca="1" si="70"/>
        <v>32133</v>
      </c>
      <c r="Z646" s="14">
        <v>1</v>
      </c>
      <c r="AA646" s="1" t="str">
        <f t="shared" ca="1" si="71"/>
        <v>VENCIDO</v>
      </c>
      <c r="AB646" s="1" t="str">
        <f t="shared" si="72"/>
        <v>TAAe+</v>
      </c>
      <c r="AC646" s="2">
        <f t="shared" si="76"/>
        <v>0</v>
      </c>
      <c r="AD646" s="2">
        <f t="shared" si="73"/>
        <v>8</v>
      </c>
      <c r="AE646" s="2">
        <f t="shared" ca="1" si="74"/>
        <v>-44986.676271643519</v>
      </c>
      <c r="AF646" s="15"/>
    </row>
    <row r="647" spans="16:32">
      <c r="P647" s="12"/>
      <c r="U647" s="12"/>
      <c r="X647" s="13">
        <f t="shared" si="75"/>
        <v>0</v>
      </c>
      <c r="Y647" s="2">
        <f t="shared" ca="1" si="70"/>
        <v>32133</v>
      </c>
      <c r="Z647" s="14">
        <v>1</v>
      </c>
      <c r="AA647" s="1" t="str">
        <f t="shared" ca="1" si="71"/>
        <v>VENCIDO</v>
      </c>
      <c r="AB647" s="1" t="str">
        <f t="shared" si="72"/>
        <v>TAAe+</v>
      </c>
      <c r="AC647" s="2">
        <f t="shared" si="76"/>
        <v>0</v>
      </c>
      <c r="AD647" s="2">
        <f t="shared" si="73"/>
        <v>8</v>
      </c>
      <c r="AE647" s="2">
        <f t="shared" ca="1" si="74"/>
        <v>-44986.676271643519</v>
      </c>
      <c r="AF647" s="15"/>
    </row>
    <row r="648" spans="16:32">
      <c r="P648" s="12"/>
      <c r="U648" s="12"/>
      <c r="X648" s="13">
        <f t="shared" si="75"/>
        <v>0</v>
      </c>
      <c r="Y648" s="2">
        <f t="shared" ca="1" si="70"/>
        <v>32133</v>
      </c>
      <c r="Z648" s="14">
        <v>1</v>
      </c>
      <c r="AA648" s="1" t="str">
        <f t="shared" ca="1" si="71"/>
        <v>VENCIDO</v>
      </c>
      <c r="AB648" s="1" t="str">
        <f t="shared" si="72"/>
        <v>TAAe+</v>
      </c>
      <c r="AC648" s="2">
        <f t="shared" si="76"/>
        <v>0</v>
      </c>
      <c r="AD648" s="2">
        <f t="shared" si="73"/>
        <v>8</v>
      </c>
      <c r="AE648" s="2">
        <f t="shared" ca="1" si="74"/>
        <v>-44986.676271643519</v>
      </c>
      <c r="AF648" s="15"/>
    </row>
    <row r="649" spans="16:32">
      <c r="P649" s="12"/>
      <c r="U649" s="12"/>
      <c r="X649" s="13">
        <f t="shared" si="75"/>
        <v>0</v>
      </c>
      <c r="Y649" s="2">
        <f t="shared" ca="1" si="70"/>
        <v>32133</v>
      </c>
      <c r="Z649" s="14">
        <v>1</v>
      </c>
      <c r="AA649" s="1" t="str">
        <f t="shared" ca="1" si="71"/>
        <v>VENCIDO</v>
      </c>
      <c r="AB649" s="1" t="str">
        <f t="shared" si="72"/>
        <v>TAAe+</v>
      </c>
      <c r="AC649" s="2">
        <f t="shared" si="76"/>
        <v>0</v>
      </c>
      <c r="AD649" s="2">
        <f t="shared" si="73"/>
        <v>8</v>
      </c>
      <c r="AE649" s="2">
        <f t="shared" ca="1" si="74"/>
        <v>-44986.676271643519</v>
      </c>
      <c r="AF649" s="15"/>
    </row>
    <row r="650" spans="16:32">
      <c r="P650" s="12"/>
      <c r="U650" s="12"/>
      <c r="X650" s="13">
        <f t="shared" si="75"/>
        <v>0</v>
      </c>
      <c r="Y650" s="2">
        <f t="shared" ca="1" si="70"/>
        <v>32133</v>
      </c>
      <c r="Z650" s="14">
        <v>1</v>
      </c>
      <c r="AA650" s="1" t="str">
        <f t="shared" ca="1" si="71"/>
        <v>VENCIDO</v>
      </c>
      <c r="AB650" s="1" t="str">
        <f t="shared" si="72"/>
        <v>TAAe+</v>
      </c>
      <c r="AC650" s="2">
        <f t="shared" si="76"/>
        <v>0</v>
      </c>
      <c r="AD650" s="2">
        <f t="shared" si="73"/>
        <v>8</v>
      </c>
      <c r="AE650" s="2">
        <f t="shared" ca="1" si="74"/>
        <v>-44986.676271643519</v>
      </c>
      <c r="AF650" s="15"/>
    </row>
    <row r="651" spans="16:32">
      <c r="P651" s="12"/>
      <c r="U651" s="12"/>
      <c r="X651" s="13">
        <f t="shared" si="75"/>
        <v>0</v>
      </c>
      <c r="Y651" s="2">
        <f t="shared" ca="1" si="70"/>
        <v>32133</v>
      </c>
      <c r="Z651" s="14">
        <v>1</v>
      </c>
      <c r="AA651" s="1" t="str">
        <f t="shared" ca="1" si="71"/>
        <v>VENCIDO</v>
      </c>
      <c r="AB651" s="1" t="str">
        <f t="shared" si="72"/>
        <v>TAAe+</v>
      </c>
      <c r="AC651" s="2">
        <f t="shared" si="76"/>
        <v>0</v>
      </c>
      <c r="AD651" s="2">
        <f t="shared" si="73"/>
        <v>8</v>
      </c>
      <c r="AE651" s="2">
        <f t="shared" ca="1" si="74"/>
        <v>-44986.676271643519</v>
      </c>
      <c r="AF651" s="15"/>
    </row>
    <row r="652" spans="16:32">
      <c r="P652" s="12"/>
      <c r="U652" s="12"/>
      <c r="X652" s="13">
        <f t="shared" si="75"/>
        <v>0</v>
      </c>
      <c r="Y652" s="2">
        <f t="shared" ca="1" si="70"/>
        <v>32133</v>
      </c>
      <c r="Z652" s="14">
        <v>1</v>
      </c>
      <c r="AA652" s="1" t="str">
        <f t="shared" ca="1" si="71"/>
        <v>VENCIDO</v>
      </c>
      <c r="AB652" s="1" t="str">
        <f t="shared" si="72"/>
        <v>TAAe+</v>
      </c>
      <c r="AC652" s="2">
        <f t="shared" si="76"/>
        <v>0</v>
      </c>
      <c r="AD652" s="2">
        <f t="shared" si="73"/>
        <v>8</v>
      </c>
      <c r="AE652" s="2">
        <f t="shared" ca="1" si="74"/>
        <v>-44986.676271643519</v>
      </c>
      <c r="AF652" s="15"/>
    </row>
    <row r="653" spans="16:32">
      <c r="P653" s="12"/>
      <c r="U653" s="12"/>
      <c r="X653" s="13">
        <f t="shared" si="75"/>
        <v>0</v>
      </c>
      <c r="Y653" s="2">
        <f t="shared" ca="1" si="70"/>
        <v>32133</v>
      </c>
      <c r="Z653" s="14">
        <v>1</v>
      </c>
      <c r="AA653" s="1" t="str">
        <f t="shared" ca="1" si="71"/>
        <v>VENCIDO</v>
      </c>
      <c r="AB653" s="1" t="str">
        <f t="shared" si="72"/>
        <v>TAAe+</v>
      </c>
      <c r="AC653" s="2">
        <f t="shared" si="76"/>
        <v>0</v>
      </c>
      <c r="AD653" s="2">
        <f t="shared" si="73"/>
        <v>8</v>
      </c>
      <c r="AE653" s="2">
        <f t="shared" ca="1" si="74"/>
        <v>-44986.676271643519</v>
      </c>
      <c r="AF653" s="15"/>
    </row>
    <row r="654" spans="16:32">
      <c r="P654" s="12"/>
      <c r="U654" s="12"/>
      <c r="X654" s="13">
        <f t="shared" si="75"/>
        <v>0</v>
      </c>
      <c r="Y654" s="2">
        <f t="shared" ca="1" si="70"/>
        <v>32133</v>
      </c>
      <c r="Z654" s="14">
        <v>1</v>
      </c>
      <c r="AA654" s="1" t="str">
        <f t="shared" ca="1" si="71"/>
        <v>VENCIDO</v>
      </c>
      <c r="AB654" s="1" t="str">
        <f t="shared" si="72"/>
        <v>TAAe+</v>
      </c>
      <c r="AC654" s="2">
        <f t="shared" si="76"/>
        <v>0</v>
      </c>
      <c r="AD654" s="2">
        <f t="shared" si="73"/>
        <v>8</v>
      </c>
      <c r="AE654" s="2">
        <f t="shared" ca="1" si="74"/>
        <v>-44986.676271643519</v>
      </c>
      <c r="AF654" s="15"/>
    </row>
    <row r="655" spans="16:32">
      <c r="P655" s="12"/>
      <c r="U655" s="12"/>
      <c r="X655" s="13">
        <f t="shared" si="75"/>
        <v>0</v>
      </c>
      <c r="Y655" s="2">
        <f t="shared" ca="1" si="70"/>
        <v>32133</v>
      </c>
      <c r="Z655" s="14">
        <v>1</v>
      </c>
      <c r="AA655" s="1" t="str">
        <f t="shared" ca="1" si="71"/>
        <v>VENCIDO</v>
      </c>
      <c r="AB655" s="1" t="str">
        <f t="shared" si="72"/>
        <v>TAAe+</v>
      </c>
      <c r="AC655" s="2">
        <f t="shared" si="76"/>
        <v>0</v>
      </c>
      <c r="AD655" s="2">
        <f t="shared" si="73"/>
        <v>8</v>
      </c>
      <c r="AE655" s="2">
        <f t="shared" ca="1" si="74"/>
        <v>-44986.676271643519</v>
      </c>
      <c r="AF655" s="15"/>
    </row>
    <row r="656" spans="16:32">
      <c r="P656" s="12"/>
      <c r="U656" s="12"/>
      <c r="X656" s="13">
        <f t="shared" si="75"/>
        <v>0</v>
      </c>
      <c r="Y656" s="2">
        <f t="shared" ca="1" si="70"/>
        <v>32133</v>
      </c>
      <c r="Z656" s="14">
        <v>1</v>
      </c>
      <c r="AA656" s="1" t="str">
        <f t="shared" ca="1" si="71"/>
        <v>VENCIDO</v>
      </c>
      <c r="AB656" s="1" t="str">
        <f t="shared" si="72"/>
        <v>TAAe+</v>
      </c>
      <c r="AC656" s="2">
        <f t="shared" si="76"/>
        <v>0</v>
      </c>
      <c r="AD656" s="2">
        <f t="shared" si="73"/>
        <v>8</v>
      </c>
      <c r="AE656" s="2">
        <f t="shared" ca="1" si="74"/>
        <v>-44986.676271643519</v>
      </c>
      <c r="AF656" s="15"/>
    </row>
    <row r="657" spans="16:32">
      <c r="P657" s="12"/>
      <c r="U657" s="12"/>
      <c r="X657" s="13">
        <f t="shared" si="75"/>
        <v>0</v>
      </c>
      <c r="Y657" s="2">
        <f t="shared" ca="1" si="70"/>
        <v>32133</v>
      </c>
      <c r="Z657" s="14">
        <v>1</v>
      </c>
      <c r="AA657" s="1" t="str">
        <f t="shared" ca="1" si="71"/>
        <v>VENCIDO</v>
      </c>
      <c r="AB657" s="1" t="str">
        <f t="shared" si="72"/>
        <v>TAAe+</v>
      </c>
      <c r="AC657" s="2">
        <f t="shared" si="76"/>
        <v>0</v>
      </c>
      <c r="AD657" s="2">
        <f t="shared" si="73"/>
        <v>8</v>
      </c>
      <c r="AE657" s="2">
        <f t="shared" ca="1" si="74"/>
        <v>-44986.676271643519</v>
      </c>
      <c r="AF657" s="15"/>
    </row>
    <row r="658" spans="16:32">
      <c r="P658" s="12"/>
      <c r="U658" s="12"/>
      <c r="X658" s="13">
        <f t="shared" si="75"/>
        <v>0</v>
      </c>
      <c r="Y658" s="2">
        <f t="shared" ca="1" si="70"/>
        <v>32133</v>
      </c>
      <c r="Z658" s="14">
        <v>1</v>
      </c>
      <c r="AA658" s="1" t="str">
        <f t="shared" ca="1" si="71"/>
        <v>VENCIDO</v>
      </c>
      <c r="AB658" s="1" t="str">
        <f t="shared" si="72"/>
        <v>TAAe+</v>
      </c>
      <c r="AC658" s="2">
        <f t="shared" si="76"/>
        <v>0</v>
      </c>
      <c r="AD658" s="2">
        <f t="shared" si="73"/>
        <v>8</v>
      </c>
      <c r="AE658" s="2">
        <f t="shared" ca="1" si="74"/>
        <v>-44986.676271643519</v>
      </c>
      <c r="AF658" s="15"/>
    </row>
    <row r="659" spans="16:32">
      <c r="P659" s="12"/>
      <c r="U659" s="12"/>
      <c r="X659" s="13">
        <f t="shared" si="75"/>
        <v>0</v>
      </c>
      <c r="Y659" s="2">
        <f t="shared" ca="1" si="70"/>
        <v>32133</v>
      </c>
      <c r="Z659" s="14">
        <v>1</v>
      </c>
      <c r="AA659" s="1" t="str">
        <f t="shared" ca="1" si="71"/>
        <v>VENCIDO</v>
      </c>
      <c r="AB659" s="1" t="str">
        <f t="shared" si="72"/>
        <v>TAAe+</v>
      </c>
      <c r="AC659" s="2">
        <f t="shared" si="76"/>
        <v>0</v>
      </c>
      <c r="AD659" s="2">
        <f t="shared" si="73"/>
        <v>8</v>
      </c>
      <c r="AE659" s="2">
        <f t="shared" ca="1" si="74"/>
        <v>-44986.676271643519</v>
      </c>
      <c r="AF659" s="15"/>
    </row>
    <row r="660" spans="16:32">
      <c r="P660" s="12"/>
      <c r="U660" s="12"/>
      <c r="X660" s="13">
        <f t="shared" si="75"/>
        <v>0</v>
      </c>
      <c r="Y660" s="2">
        <f t="shared" ca="1" si="70"/>
        <v>32133</v>
      </c>
      <c r="Z660" s="14">
        <v>1</v>
      </c>
      <c r="AA660" s="1" t="str">
        <f t="shared" ca="1" si="71"/>
        <v>VENCIDO</v>
      </c>
      <c r="AB660" s="1" t="str">
        <f t="shared" si="72"/>
        <v>TAAe+</v>
      </c>
      <c r="AC660" s="2">
        <f t="shared" si="76"/>
        <v>0</v>
      </c>
      <c r="AD660" s="2">
        <f t="shared" si="73"/>
        <v>8</v>
      </c>
      <c r="AE660" s="2">
        <f t="shared" ca="1" si="74"/>
        <v>-44986.676271643519</v>
      </c>
      <c r="AF660" s="15"/>
    </row>
    <row r="661" spans="16:32">
      <c r="P661" s="12"/>
      <c r="U661" s="12"/>
      <c r="X661" s="13">
        <f t="shared" si="75"/>
        <v>0</v>
      </c>
      <c r="Y661" s="2">
        <f t="shared" ca="1" si="70"/>
        <v>32133</v>
      </c>
      <c r="Z661" s="14">
        <v>1</v>
      </c>
      <c r="AA661" s="1" t="str">
        <f t="shared" ca="1" si="71"/>
        <v>VENCIDO</v>
      </c>
      <c r="AB661" s="1" t="str">
        <f t="shared" si="72"/>
        <v>TAAe+</v>
      </c>
      <c r="AC661" s="2">
        <f t="shared" si="76"/>
        <v>0</v>
      </c>
      <c r="AD661" s="2">
        <f t="shared" si="73"/>
        <v>8</v>
      </c>
      <c r="AE661" s="2">
        <f t="shared" ca="1" si="74"/>
        <v>-44986.676271643519</v>
      </c>
      <c r="AF661" s="15"/>
    </row>
    <row r="662" spans="16:32">
      <c r="P662" s="12"/>
      <c r="U662" s="12"/>
      <c r="X662" s="13">
        <f t="shared" si="75"/>
        <v>0</v>
      </c>
      <c r="Y662" s="2">
        <f t="shared" ca="1" si="70"/>
        <v>32133</v>
      </c>
      <c r="Z662" s="14">
        <v>1</v>
      </c>
      <c r="AA662" s="1" t="str">
        <f t="shared" ca="1" si="71"/>
        <v>VENCIDO</v>
      </c>
      <c r="AB662" s="1" t="str">
        <f t="shared" si="72"/>
        <v>TAAe+</v>
      </c>
      <c r="AC662" s="2">
        <f t="shared" si="76"/>
        <v>0</v>
      </c>
      <c r="AD662" s="2">
        <f t="shared" si="73"/>
        <v>8</v>
      </c>
      <c r="AE662" s="2">
        <f t="shared" ca="1" si="74"/>
        <v>-44986.676271643519</v>
      </c>
      <c r="AF662" s="15"/>
    </row>
    <row r="663" spans="16:32">
      <c r="P663" s="12"/>
      <c r="U663" s="12"/>
      <c r="X663" s="13">
        <f t="shared" si="75"/>
        <v>0</v>
      </c>
      <c r="Y663" s="2">
        <f t="shared" ca="1" si="70"/>
        <v>32133</v>
      </c>
      <c r="Z663" s="14">
        <v>1</v>
      </c>
      <c r="AA663" s="1" t="str">
        <f t="shared" ca="1" si="71"/>
        <v>VENCIDO</v>
      </c>
      <c r="AB663" s="1" t="str">
        <f t="shared" si="72"/>
        <v>TAAe+</v>
      </c>
      <c r="AC663" s="2">
        <f t="shared" si="76"/>
        <v>0</v>
      </c>
      <c r="AD663" s="2">
        <f t="shared" si="73"/>
        <v>8</v>
      </c>
      <c r="AE663" s="2">
        <f t="shared" ca="1" si="74"/>
        <v>-44986.676271643519</v>
      </c>
      <c r="AF663" s="15"/>
    </row>
    <row r="664" spans="16:32">
      <c r="P664" s="12"/>
      <c r="U664" s="12"/>
      <c r="X664" s="13">
        <f t="shared" si="75"/>
        <v>0</v>
      </c>
      <c r="Y664" s="2">
        <f t="shared" ca="1" si="70"/>
        <v>32133</v>
      </c>
      <c r="Z664" s="14">
        <v>1</v>
      </c>
      <c r="AA664" s="1" t="str">
        <f t="shared" ca="1" si="71"/>
        <v>VENCIDO</v>
      </c>
      <c r="AB664" s="1" t="str">
        <f t="shared" si="72"/>
        <v>TAAe+</v>
      </c>
      <c r="AC664" s="2">
        <f t="shared" si="76"/>
        <v>0</v>
      </c>
      <c r="AD664" s="2">
        <f t="shared" si="73"/>
        <v>8</v>
      </c>
      <c r="AE664" s="2">
        <f t="shared" ca="1" si="74"/>
        <v>-44986.676271643519</v>
      </c>
      <c r="AF664" s="15"/>
    </row>
    <row r="665" spans="16:32">
      <c r="P665" s="12"/>
      <c r="U665" s="12"/>
      <c r="X665" s="13">
        <f t="shared" si="75"/>
        <v>0</v>
      </c>
      <c r="Y665" s="2">
        <f t="shared" ca="1" si="70"/>
        <v>32133</v>
      </c>
      <c r="Z665" s="14">
        <v>1</v>
      </c>
      <c r="AA665" s="1" t="str">
        <f t="shared" ca="1" si="71"/>
        <v>VENCIDO</v>
      </c>
      <c r="AB665" s="1" t="str">
        <f t="shared" si="72"/>
        <v>TAAe+</v>
      </c>
      <c r="AC665" s="2">
        <f t="shared" si="76"/>
        <v>0</v>
      </c>
      <c r="AD665" s="2">
        <f t="shared" si="73"/>
        <v>8</v>
      </c>
      <c r="AE665" s="2">
        <f t="shared" ca="1" si="74"/>
        <v>-44986.676271643519</v>
      </c>
      <c r="AF665" s="15"/>
    </row>
    <row r="666" spans="16:32">
      <c r="P666" s="12"/>
      <c r="U666" s="12"/>
      <c r="X666" s="13">
        <f t="shared" si="75"/>
        <v>0</v>
      </c>
      <c r="Y666" s="2">
        <f t="shared" ca="1" si="70"/>
        <v>32133</v>
      </c>
      <c r="Z666" s="14">
        <v>1</v>
      </c>
      <c r="AA666" s="1" t="str">
        <f t="shared" ca="1" si="71"/>
        <v>VENCIDO</v>
      </c>
      <c r="AB666" s="1" t="str">
        <f t="shared" si="72"/>
        <v>TAAe+</v>
      </c>
      <c r="AC666" s="2">
        <f t="shared" si="76"/>
        <v>0</v>
      </c>
      <c r="AD666" s="2">
        <f t="shared" si="73"/>
        <v>8</v>
      </c>
      <c r="AE666" s="2">
        <f t="shared" ca="1" si="74"/>
        <v>-44986.676271643519</v>
      </c>
      <c r="AF666" s="15"/>
    </row>
    <row r="667" spans="16:32">
      <c r="P667" s="12"/>
      <c r="U667" s="12"/>
      <c r="X667" s="13">
        <f t="shared" si="75"/>
        <v>0</v>
      </c>
      <c r="Y667" s="2">
        <f t="shared" ca="1" si="70"/>
        <v>32133</v>
      </c>
      <c r="Z667" s="14">
        <v>1</v>
      </c>
      <c r="AA667" s="1" t="str">
        <f t="shared" ca="1" si="71"/>
        <v>VENCIDO</v>
      </c>
      <c r="AB667" s="1" t="str">
        <f t="shared" si="72"/>
        <v>TAAe+</v>
      </c>
      <c r="AC667" s="2">
        <f t="shared" si="76"/>
        <v>0</v>
      </c>
      <c r="AD667" s="2">
        <f t="shared" si="73"/>
        <v>8</v>
      </c>
      <c r="AE667" s="2">
        <f t="shared" ca="1" si="74"/>
        <v>-44986.676271643519</v>
      </c>
      <c r="AF667" s="15"/>
    </row>
    <row r="668" spans="16:32">
      <c r="P668" s="12"/>
      <c r="U668" s="12"/>
      <c r="X668" s="13">
        <f t="shared" si="75"/>
        <v>0</v>
      </c>
      <c r="Y668" s="2">
        <f t="shared" ca="1" si="70"/>
        <v>32133</v>
      </c>
      <c r="Z668" s="14">
        <v>1</v>
      </c>
      <c r="AA668" s="1" t="str">
        <f t="shared" ca="1" si="71"/>
        <v>VENCIDO</v>
      </c>
      <c r="AB668" s="1" t="str">
        <f t="shared" si="72"/>
        <v>TAAe+</v>
      </c>
      <c r="AC668" s="2">
        <f t="shared" si="76"/>
        <v>0</v>
      </c>
      <c r="AD668" s="2">
        <f t="shared" si="73"/>
        <v>8</v>
      </c>
      <c r="AE668" s="2">
        <f t="shared" ca="1" si="74"/>
        <v>-44986.676271643519</v>
      </c>
      <c r="AF668" s="15"/>
    </row>
    <row r="669" spans="16:32">
      <c r="P669" s="12"/>
      <c r="U669" s="12"/>
      <c r="X669" s="13">
        <f t="shared" si="75"/>
        <v>0</v>
      </c>
      <c r="Y669" s="2">
        <f t="shared" ca="1" si="70"/>
        <v>32133</v>
      </c>
      <c r="Z669" s="14">
        <v>1</v>
      </c>
      <c r="AA669" s="1" t="str">
        <f t="shared" ca="1" si="71"/>
        <v>VENCIDO</v>
      </c>
      <c r="AB669" s="1" t="str">
        <f t="shared" si="72"/>
        <v>TAAe+</v>
      </c>
      <c r="AC669" s="2">
        <f t="shared" si="76"/>
        <v>0</v>
      </c>
      <c r="AD669" s="2">
        <f t="shared" si="73"/>
        <v>8</v>
      </c>
      <c r="AE669" s="2">
        <f t="shared" ca="1" si="74"/>
        <v>-44986.676271643519</v>
      </c>
      <c r="AF669" s="15"/>
    </row>
    <row r="670" spans="16:32">
      <c r="P670" s="12"/>
      <c r="U670" s="12"/>
      <c r="X670" s="13">
        <f t="shared" si="75"/>
        <v>0</v>
      </c>
      <c r="Y670" s="2">
        <f t="shared" ca="1" si="70"/>
        <v>32133</v>
      </c>
      <c r="Z670" s="14">
        <v>1</v>
      </c>
      <c r="AA670" s="1" t="str">
        <f t="shared" ca="1" si="71"/>
        <v>VENCIDO</v>
      </c>
      <c r="AB670" s="1" t="str">
        <f t="shared" si="72"/>
        <v>TAAe+</v>
      </c>
      <c r="AC670" s="2">
        <f t="shared" si="76"/>
        <v>0</v>
      </c>
      <c r="AD670" s="2">
        <f t="shared" si="73"/>
        <v>8</v>
      </c>
      <c r="AE670" s="2">
        <f t="shared" ca="1" si="74"/>
        <v>-44986.676271643519</v>
      </c>
      <c r="AF670" s="15"/>
    </row>
    <row r="671" spans="16:32">
      <c r="P671" s="12"/>
      <c r="U671" s="12"/>
      <c r="X671" s="13">
        <f t="shared" si="75"/>
        <v>0</v>
      </c>
      <c r="Y671" s="2">
        <f t="shared" ca="1" si="70"/>
        <v>32133</v>
      </c>
      <c r="Z671" s="14">
        <v>1</v>
      </c>
      <c r="AA671" s="1" t="str">
        <f t="shared" ca="1" si="71"/>
        <v>VENCIDO</v>
      </c>
      <c r="AB671" s="1" t="str">
        <f t="shared" si="72"/>
        <v>TAAe+</v>
      </c>
      <c r="AC671" s="2">
        <f t="shared" si="76"/>
        <v>0</v>
      </c>
      <c r="AD671" s="2">
        <f t="shared" si="73"/>
        <v>8</v>
      </c>
      <c r="AE671" s="2">
        <f t="shared" ca="1" si="74"/>
        <v>-44986.676271643519</v>
      </c>
      <c r="AF671" s="15"/>
    </row>
    <row r="672" spans="16:32">
      <c r="P672" s="12"/>
      <c r="U672" s="12"/>
      <c r="X672" s="13">
        <f t="shared" si="75"/>
        <v>0</v>
      </c>
      <c r="Y672" s="2">
        <f t="shared" ca="1" si="70"/>
        <v>32133</v>
      </c>
      <c r="Z672" s="14">
        <v>1</v>
      </c>
      <c r="AA672" s="1" t="str">
        <f t="shared" ca="1" si="71"/>
        <v>VENCIDO</v>
      </c>
      <c r="AB672" s="1" t="str">
        <f t="shared" si="72"/>
        <v>TAAe+</v>
      </c>
      <c r="AC672" s="2">
        <f t="shared" si="76"/>
        <v>0</v>
      </c>
      <c r="AD672" s="2">
        <f t="shared" si="73"/>
        <v>8</v>
      </c>
      <c r="AE672" s="2">
        <f t="shared" ca="1" si="74"/>
        <v>-44986.676271643519</v>
      </c>
      <c r="AF672" s="15"/>
    </row>
    <row r="673" spans="16:32">
      <c r="P673" s="12"/>
      <c r="U673" s="12"/>
      <c r="X673" s="13">
        <f t="shared" si="75"/>
        <v>0</v>
      </c>
      <c r="Y673" s="2">
        <f t="shared" ca="1" si="70"/>
        <v>32133</v>
      </c>
      <c r="Z673" s="14">
        <v>1</v>
      </c>
      <c r="AA673" s="1" t="str">
        <f t="shared" ca="1" si="71"/>
        <v>VENCIDO</v>
      </c>
      <c r="AB673" s="1" t="str">
        <f t="shared" si="72"/>
        <v>TAAe+</v>
      </c>
      <c r="AC673" s="2">
        <f t="shared" si="76"/>
        <v>0</v>
      </c>
      <c r="AD673" s="2">
        <f t="shared" si="73"/>
        <v>8</v>
      </c>
      <c r="AE673" s="2">
        <f t="shared" ca="1" si="74"/>
        <v>-44986.676271643519</v>
      </c>
      <c r="AF673" s="15"/>
    </row>
    <row r="674" spans="16:32">
      <c r="P674" s="12"/>
      <c r="U674" s="12"/>
      <c r="X674" s="13">
        <f t="shared" si="75"/>
        <v>0</v>
      </c>
      <c r="Y674" s="2">
        <f t="shared" ca="1" si="70"/>
        <v>32133</v>
      </c>
      <c r="Z674" s="14">
        <v>1</v>
      </c>
      <c r="AA674" s="1" t="str">
        <f t="shared" ca="1" si="71"/>
        <v>VENCIDO</v>
      </c>
      <c r="AB674" s="1" t="str">
        <f t="shared" si="72"/>
        <v>TAAe+</v>
      </c>
      <c r="AC674" s="2">
        <f t="shared" si="76"/>
        <v>0</v>
      </c>
      <c r="AD674" s="2">
        <f t="shared" si="73"/>
        <v>8</v>
      </c>
      <c r="AE674" s="2">
        <f t="shared" ca="1" si="74"/>
        <v>-44986.676271643519</v>
      </c>
      <c r="AF674" s="15"/>
    </row>
    <row r="675" spans="16:32">
      <c r="P675" s="12"/>
      <c r="U675" s="12"/>
      <c r="X675" s="13">
        <f t="shared" si="75"/>
        <v>0</v>
      </c>
      <c r="Y675" s="2">
        <f t="shared" ca="1" si="70"/>
        <v>32133</v>
      </c>
      <c r="Z675" s="14">
        <v>1</v>
      </c>
      <c r="AA675" s="1" t="str">
        <f t="shared" ca="1" si="71"/>
        <v>VENCIDO</v>
      </c>
      <c r="AB675" s="1" t="str">
        <f t="shared" si="72"/>
        <v>TAAe+</v>
      </c>
      <c r="AC675" s="2">
        <f t="shared" si="76"/>
        <v>0</v>
      </c>
      <c r="AD675" s="2">
        <f t="shared" si="73"/>
        <v>8</v>
      </c>
      <c r="AE675" s="2">
        <f t="shared" ca="1" si="74"/>
        <v>-44986.676271643519</v>
      </c>
      <c r="AF675" s="15"/>
    </row>
    <row r="676" spans="16:32">
      <c r="P676" s="12"/>
      <c r="U676" s="12"/>
      <c r="X676" s="13">
        <f t="shared" si="75"/>
        <v>0</v>
      </c>
      <c r="Y676" s="2">
        <f t="shared" ca="1" si="70"/>
        <v>32133</v>
      </c>
      <c r="Z676" s="14">
        <v>1</v>
      </c>
      <c r="AA676" s="1" t="str">
        <f t="shared" ca="1" si="71"/>
        <v>VENCIDO</v>
      </c>
      <c r="AB676" s="1" t="str">
        <f t="shared" si="72"/>
        <v>TAAe+</v>
      </c>
      <c r="AC676" s="2">
        <f t="shared" si="76"/>
        <v>0</v>
      </c>
      <c r="AD676" s="2">
        <f t="shared" si="73"/>
        <v>8</v>
      </c>
      <c r="AE676" s="2">
        <f t="shared" ca="1" si="74"/>
        <v>-44986.676271643519</v>
      </c>
      <c r="AF676" s="15"/>
    </row>
    <row r="677" spans="16:32">
      <c r="P677" s="12"/>
      <c r="U677" s="12"/>
      <c r="X677" s="13">
        <f t="shared" si="75"/>
        <v>0</v>
      </c>
      <c r="Y677" s="2">
        <f t="shared" ca="1" si="70"/>
        <v>32133</v>
      </c>
      <c r="Z677" s="14">
        <v>1</v>
      </c>
      <c r="AA677" s="1" t="str">
        <f t="shared" ca="1" si="71"/>
        <v>VENCIDO</v>
      </c>
      <c r="AB677" s="1" t="str">
        <f t="shared" si="72"/>
        <v>TAAe+</v>
      </c>
      <c r="AC677" s="2">
        <f t="shared" si="76"/>
        <v>0</v>
      </c>
      <c r="AD677" s="2">
        <f t="shared" si="73"/>
        <v>8</v>
      </c>
      <c r="AE677" s="2">
        <f t="shared" ca="1" si="74"/>
        <v>-44986.676271643519</v>
      </c>
      <c r="AF677" s="15"/>
    </row>
    <row r="678" spans="16:32">
      <c r="P678" s="12"/>
      <c r="U678" s="12"/>
      <c r="X678" s="13">
        <f t="shared" si="75"/>
        <v>0</v>
      </c>
      <c r="Y678" s="2">
        <f t="shared" ca="1" si="70"/>
        <v>32133</v>
      </c>
      <c r="Z678" s="14">
        <v>1</v>
      </c>
      <c r="AA678" s="1" t="str">
        <f t="shared" ca="1" si="71"/>
        <v>VENCIDO</v>
      </c>
      <c r="AB678" s="1" t="str">
        <f t="shared" si="72"/>
        <v>TAAe+</v>
      </c>
      <c r="AC678" s="2">
        <f t="shared" si="76"/>
        <v>0</v>
      </c>
      <c r="AD678" s="2">
        <f t="shared" si="73"/>
        <v>8</v>
      </c>
      <c r="AE678" s="2">
        <f t="shared" ca="1" si="74"/>
        <v>-44986.676271643519</v>
      </c>
      <c r="AF678" s="15"/>
    </row>
    <row r="679" spans="16:32">
      <c r="P679" s="12"/>
      <c r="U679" s="12"/>
      <c r="X679" s="13">
        <f t="shared" si="75"/>
        <v>0</v>
      </c>
      <c r="Y679" s="2">
        <f t="shared" ca="1" si="70"/>
        <v>32133</v>
      </c>
      <c r="Z679" s="14">
        <v>1</v>
      </c>
      <c r="AA679" s="1" t="str">
        <f t="shared" ca="1" si="71"/>
        <v>VENCIDO</v>
      </c>
      <c r="AB679" s="1" t="str">
        <f t="shared" si="72"/>
        <v>TAAe+</v>
      </c>
      <c r="AC679" s="2">
        <f t="shared" si="76"/>
        <v>0</v>
      </c>
      <c r="AD679" s="2">
        <f t="shared" si="73"/>
        <v>8</v>
      </c>
      <c r="AE679" s="2">
        <f t="shared" ca="1" si="74"/>
        <v>-44986.676271643519</v>
      </c>
      <c r="AF679" s="15"/>
    </row>
    <row r="680" spans="16:32">
      <c r="P680" s="12"/>
      <c r="U680" s="12"/>
      <c r="X680" s="13">
        <f t="shared" si="75"/>
        <v>0</v>
      </c>
      <c r="Y680" s="2">
        <f t="shared" ca="1" si="70"/>
        <v>32133</v>
      </c>
      <c r="Z680" s="14">
        <v>1</v>
      </c>
      <c r="AA680" s="1" t="str">
        <f t="shared" ca="1" si="71"/>
        <v>VENCIDO</v>
      </c>
      <c r="AB680" s="1" t="str">
        <f t="shared" si="72"/>
        <v>TAAe+</v>
      </c>
      <c r="AC680" s="2">
        <f t="shared" si="76"/>
        <v>0</v>
      </c>
      <c r="AD680" s="2">
        <f t="shared" si="73"/>
        <v>8</v>
      </c>
      <c r="AE680" s="2">
        <f t="shared" ca="1" si="74"/>
        <v>-44986.676271643519</v>
      </c>
      <c r="AF680" s="15"/>
    </row>
    <row r="681" spans="16:32">
      <c r="P681" s="12"/>
      <c r="U681" s="12"/>
      <c r="X681" s="13">
        <f t="shared" si="75"/>
        <v>0</v>
      </c>
      <c r="Y681" s="2">
        <f t="shared" ca="1" si="70"/>
        <v>32133</v>
      </c>
      <c r="Z681" s="14">
        <v>1</v>
      </c>
      <c r="AA681" s="1" t="str">
        <f t="shared" ca="1" si="71"/>
        <v>VENCIDO</v>
      </c>
      <c r="AB681" s="1" t="str">
        <f t="shared" si="72"/>
        <v>TAAe+</v>
      </c>
      <c r="AC681" s="2">
        <f t="shared" si="76"/>
        <v>0</v>
      </c>
      <c r="AD681" s="2">
        <f t="shared" si="73"/>
        <v>8</v>
      </c>
      <c r="AE681" s="2">
        <f t="shared" ca="1" si="74"/>
        <v>-44986.676271643519</v>
      </c>
      <c r="AF681" s="15"/>
    </row>
    <row r="682" spans="16:32">
      <c r="P682" s="12"/>
      <c r="U682" s="12"/>
      <c r="X682" s="13">
        <f t="shared" si="75"/>
        <v>0</v>
      </c>
      <c r="Y682" s="2">
        <f t="shared" ca="1" si="70"/>
        <v>32133</v>
      </c>
      <c r="Z682" s="14">
        <v>1</v>
      </c>
      <c r="AA682" s="1" t="str">
        <f t="shared" ca="1" si="71"/>
        <v>VENCIDO</v>
      </c>
      <c r="AB682" s="1" t="str">
        <f t="shared" si="72"/>
        <v>TAAe+</v>
      </c>
      <c r="AC682" s="2">
        <f t="shared" si="76"/>
        <v>0</v>
      </c>
      <c r="AD682" s="2">
        <f t="shared" si="73"/>
        <v>8</v>
      </c>
      <c r="AE682" s="2">
        <f t="shared" ca="1" si="74"/>
        <v>-44986.676271643519</v>
      </c>
      <c r="AF682" s="15"/>
    </row>
    <row r="683" spans="16:32">
      <c r="P683" s="12"/>
      <c r="U683" s="12"/>
      <c r="X683" s="13">
        <f t="shared" si="75"/>
        <v>0</v>
      </c>
      <c r="Y683" s="2">
        <f t="shared" ca="1" si="70"/>
        <v>32133</v>
      </c>
      <c r="Z683" s="14">
        <v>1</v>
      </c>
      <c r="AA683" s="1" t="str">
        <f t="shared" ca="1" si="71"/>
        <v>VENCIDO</v>
      </c>
      <c r="AB683" s="1" t="str">
        <f t="shared" si="72"/>
        <v>TAAe+</v>
      </c>
      <c r="AC683" s="2">
        <f t="shared" si="76"/>
        <v>0</v>
      </c>
      <c r="AD683" s="2">
        <f t="shared" si="73"/>
        <v>8</v>
      </c>
      <c r="AE683" s="2">
        <f t="shared" ca="1" si="74"/>
        <v>-44986.676271643519</v>
      </c>
      <c r="AF683" s="15"/>
    </row>
    <row r="684" spans="16:32">
      <c r="P684" s="12"/>
      <c r="U684" s="12"/>
      <c r="X684" s="13">
        <f t="shared" si="75"/>
        <v>0</v>
      </c>
      <c r="Y684" s="2">
        <f t="shared" ca="1" si="70"/>
        <v>32133</v>
      </c>
      <c r="Z684" s="14">
        <v>1</v>
      </c>
      <c r="AA684" s="1" t="str">
        <f t="shared" ca="1" si="71"/>
        <v>VENCIDO</v>
      </c>
      <c r="AB684" s="1" t="str">
        <f t="shared" si="72"/>
        <v>TAAe+</v>
      </c>
      <c r="AC684" s="2">
        <f t="shared" si="76"/>
        <v>0</v>
      </c>
      <c r="AD684" s="2">
        <f t="shared" si="73"/>
        <v>8</v>
      </c>
      <c r="AE684" s="2">
        <f t="shared" ca="1" si="74"/>
        <v>-44986.676271643519</v>
      </c>
      <c r="AF684" s="15"/>
    </row>
    <row r="685" spans="16:32">
      <c r="P685" s="12"/>
      <c r="U685" s="12"/>
      <c r="X685" s="13">
        <f t="shared" si="75"/>
        <v>0</v>
      </c>
      <c r="Y685" s="2">
        <f t="shared" ca="1" si="70"/>
        <v>32133</v>
      </c>
      <c r="Z685" s="14">
        <v>1</v>
      </c>
      <c r="AA685" s="1" t="str">
        <f t="shared" ca="1" si="71"/>
        <v>VENCIDO</v>
      </c>
      <c r="AB685" s="1" t="str">
        <f t="shared" si="72"/>
        <v>TAAe+</v>
      </c>
      <c r="AC685" s="2">
        <f t="shared" si="76"/>
        <v>0</v>
      </c>
      <c r="AD685" s="2">
        <f t="shared" si="73"/>
        <v>8</v>
      </c>
      <c r="AE685" s="2">
        <f t="shared" ca="1" si="74"/>
        <v>-44986.676271643519</v>
      </c>
      <c r="AF685" s="15"/>
    </row>
    <row r="686" spans="16:32">
      <c r="P686" s="12"/>
      <c r="U686" s="12"/>
      <c r="X686" s="13">
        <f t="shared" si="75"/>
        <v>0</v>
      </c>
      <c r="Y686" s="2">
        <f t="shared" ca="1" si="70"/>
        <v>32133</v>
      </c>
      <c r="Z686" s="14">
        <v>1</v>
      </c>
      <c r="AA686" s="1" t="str">
        <f t="shared" ca="1" si="71"/>
        <v>VENCIDO</v>
      </c>
      <c r="AB686" s="1" t="str">
        <f t="shared" si="72"/>
        <v>TAAe+</v>
      </c>
      <c r="AC686" s="2">
        <f t="shared" si="76"/>
        <v>0</v>
      </c>
      <c r="AD686" s="2">
        <f t="shared" si="73"/>
        <v>8</v>
      </c>
      <c r="AE686" s="2">
        <f t="shared" ca="1" si="74"/>
        <v>-44986.676271643519</v>
      </c>
      <c r="AF686" s="15"/>
    </row>
    <row r="687" spans="16:32">
      <c r="P687" s="12"/>
      <c r="U687" s="12"/>
      <c r="X687" s="13">
        <f t="shared" si="75"/>
        <v>0</v>
      </c>
      <c r="Y687" s="2">
        <f t="shared" ca="1" si="70"/>
        <v>32133</v>
      </c>
      <c r="Z687" s="14">
        <v>1</v>
      </c>
      <c r="AA687" s="1" t="str">
        <f t="shared" ca="1" si="71"/>
        <v>VENCIDO</v>
      </c>
      <c r="AB687" s="1" t="str">
        <f t="shared" si="72"/>
        <v>TAAe+</v>
      </c>
      <c r="AC687" s="2">
        <f t="shared" si="76"/>
        <v>0</v>
      </c>
      <c r="AD687" s="2">
        <f t="shared" si="73"/>
        <v>8</v>
      </c>
      <c r="AE687" s="2">
        <f t="shared" ca="1" si="74"/>
        <v>-44986.676271643519</v>
      </c>
      <c r="AF687" s="15"/>
    </row>
    <row r="688" spans="16:32">
      <c r="P688" s="12"/>
      <c r="U688" s="12"/>
      <c r="X688" s="13">
        <f t="shared" si="75"/>
        <v>0</v>
      </c>
      <c r="Y688" s="2">
        <f t="shared" ca="1" si="70"/>
        <v>32133</v>
      </c>
      <c r="Z688" s="14">
        <v>1</v>
      </c>
      <c r="AA688" s="1" t="str">
        <f t="shared" ca="1" si="71"/>
        <v>VENCIDO</v>
      </c>
      <c r="AB688" s="1" t="str">
        <f t="shared" si="72"/>
        <v>TAAe+</v>
      </c>
      <c r="AC688" s="2">
        <f t="shared" si="76"/>
        <v>0</v>
      </c>
      <c r="AD688" s="2">
        <f t="shared" si="73"/>
        <v>8</v>
      </c>
      <c r="AE688" s="2">
        <f t="shared" ca="1" si="74"/>
        <v>-44986.676271643519</v>
      </c>
      <c r="AF688" s="15"/>
    </row>
    <row r="689" spans="16:32">
      <c r="P689" s="12"/>
      <c r="U689" s="12"/>
      <c r="X689" s="13">
        <f t="shared" si="75"/>
        <v>0</v>
      </c>
      <c r="Y689" s="2">
        <f t="shared" ca="1" si="70"/>
        <v>32133</v>
      </c>
      <c r="Z689" s="14">
        <v>1</v>
      </c>
      <c r="AA689" s="1" t="str">
        <f t="shared" ca="1" si="71"/>
        <v>VENCIDO</v>
      </c>
      <c r="AB689" s="1" t="str">
        <f t="shared" si="72"/>
        <v>TAAe+</v>
      </c>
      <c r="AC689" s="2">
        <f t="shared" si="76"/>
        <v>0</v>
      </c>
      <c r="AD689" s="2">
        <f t="shared" si="73"/>
        <v>8</v>
      </c>
      <c r="AE689" s="2">
        <f t="shared" ca="1" si="74"/>
        <v>-44986.676271643519</v>
      </c>
      <c r="AF689" s="15"/>
    </row>
    <row r="690" spans="16:32">
      <c r="P690" s="12"/>
      <c r="U690" s="12"/>
      <c r="X690" s="13">
        <f t="shared" si="75"/>
        <v>0</v>
      </c>
      <c r="Y690" s="2">
        <f t="shared" ca="1" si="70"/>
        <v>32133</v>
      </c>
      <c r="Z690" s="14">
        <v>1</v>
      </c>
      <c r="AA690" s="1" t="str">
        <f t="shared" ca="1" si="71"/>
        <v>VENCIDO</v>
      </c>
      <c r="AB690" s="1" t="str">
        <f t="shared" si="72"/>
        <v>TAAe+</v>
      </c>
      <c r="AC690" s="2">
        <f t="shared" si="76"/>
        <v>0</v>
      </c>
      <c r="AD690" s="2">
        <f t="shared" si="73"/>
        <v>8</v>
      </c>
      <c r="AE690" s="2">
        <f t="shared" ca="1" si="74"/>
        <v>-44986.676271643519</v>
      </c>
      <c r="AF690" s="15"/>
    </row>
    <row r="691" spans="16:32">
      <c r="P691" s="12"/>
      <c r="U691" s="12"/>
      <c r="X691" s="13">
        <f t="shared" si="75"/>
        <v>0</v>
      </c>
      <c r="Y691" s="2">
        <f t="shared" ca="1" si="70"/>
        <v>32133</v>
      </c>
      <c r="Z691" s="14">
        <v>1</v>
      </c>
      <c r="AA691" s="1" t="str">
        <f t="shared" ca="1" si="71"/>
        <v>VENCIDO</v>
      </c>
      <c r="AB691" s="1" t="str">
        <f t="shared" si="72"/>
        <v>TAAe+</v>
      </c>
      <c r="AC691" s="2">
        <f t="shared" si="76"/>
        <v>0</v>
      </c>
      <c r="AD691" s="2">
        <f t="shared" si="73"/>
        <v>8</v>
      </c>
      <c r="AE691" s="2">
        <f t="shared" ca="1" si="74"/>
        <v>-44986.676271643519</v>
      </c>
      <c r="AF691" s="15"/>
    </row>
    <row r="692" spans="16:32">
      <c r="P692" s="12"/>
      <c r="U692" s="12"/>
      <c r="X692" s="13">
        <f t="shared" si="75"/>
        <v>0</v>
      </c>
      <c r="Y692" s="2">
        <f t="shared" ca="1" si="70"/>
        <v>32133</v>
      </c>
      <c r="Z692" s="14">
        <v>1</v>
      </c>
      <c r="AA692" s="1" t="str">
        <f t="shared" ca="1" si="71"/>
        <v>VENCIDO</v>
      </c>
      <c r="AB692" s="1" t="str">
        <f t="shared" si="72"/>
        <v>TAAe+</v>
      </c>
      <c r="AC692" s="2">
        <f t="shared" si="76"/>
        <v>0</v>
      </c>
      <c r="AD692" s="2">
        <f t="shared" si="73"/>
        <v>8</v>
      </c>
      <c r="AE692" s="2">
        <f t="shared" ca="1" si="74"/>
        <v>-44986.676271643519</v>
      </c>
      <c r="AF692" s="15"/>
    </row>
    <row r="693" spans="16:32">
      <c r="P693" s="12"/>
      <c r="U693" s="12"/>
      <c r="X693" s="13">
        <f t="shared" si="75"/>
        <v>0</v>
      </c>
      <c r="Y693" s="2">
        <f t="shared" ca="1" si="70"/>
        <v>32133</v>
      </c>
      <c r="Z693" s="14">
        <v>1</v>
      </c>
      <c r="AA693" s="1" t="str">
        <f t="shared" ca="1" si="71"/>
        <v>VENCIDO</v>
      </c>
      <c r="AB693" s="1" t="str">
        <f t="shared" si="72"/>
        <v>TAAe+</v>
      </c>
      <c r="AC693" s="2">
        <f t="shared" si="76"/>
        <v>0</v>
      </c>
      <c r="AD693" s="2">
        <f t="shared" si="73"/>
        <v>8</v>
      </c>
      <c r="AE693" s="2">
        <f t="shared" ca="1" si="74"/>
        <v>-44986.676271643519</v>
      </c>
      <c r="AF693" s="15"/>
    </row>
    <row r="694" spans="16:32">
      <c r="P694" s="12"/>
      <c r="U694" s="12"/>
      <c r="X694" s="13">
        <f t="shared" si="75"/>
        <v>0</v>
      </c>
      <c r="Y694" s="2">
        <f t="shared" ca="1" si="70"/>
        <v>32133</v>
      </c>
      <c r="Z694" s="14">
        <v>1</v>
      </c>
      <c r="AA694" s="1" t="str">
        <f t="shared" ca="1" si="71"/>
        <v>VENCIDO</v>
      </c>
      <c r="AB694" s="1" t="str">
        <f t="shared" si="72"/>
        <v>TAAe+</v>
      </c>
      <c r="AC694" s="2">
        <f t="shared" si="76"/>
        <v>0</v>
      </c>
      <c r="AD694" s="2">
        <f t="shared" si="73"/>
        <v>8</v>
      </c>
      <c r="AE694" s="2">
        <f t="shared" ca="1" si="74"/>
        <v>-44986.676271643519</v>
      </c>
      <c r="AF694" s="15"/>
    </row>
    <row r="695" spans="16:32">
      <c r="P695" s="12"/>
      <c r="U695" s="12"/>
      <c r="X695" s="13">
        <f t="shared" si="75"/>
        <v>0</v>
      </c>
      <c r="Y695" s="2">
        <f t="shared" ca="1" si="70"/>
        <v>32133</v>
      </c>
      <c r="Z695" s="14">
        <v>1</v>
      </c>
      <c r="AA695" s="1" t="str">
        <f t="shared" ca="1" si="71"/>
        <v>VENCIDO</v>
      </c>
      <c r="AB695" s="1" t="str">
        <f t="shared" si="72"/>
        <v>TAAe+</v>
      </c>
      <c r="AC695" s="2">
        <f t="shared" si="76"/>
        <v>0</v>
      </c>
      <c r="AD695" s="2">
        <f t="shared" si="73"/>
        <v>8</v>
      </c>
      <c r="AE695" s="2">
        <f t="shared" ca="1" si="74"/>
        <v>-44986.676271643519</v>
      </c>
      <c r="AF695" s="15"/>
    </row>
    <row r="696" spans="16:32">
      <c r="P696" s="12"/>
      <c r="U696" s="12"/>
      <c r="X696" s="13">
        <f t="shared" si="75"/>
        <v>0</v>
      </c>
      <c r="Y696" s="2">
        <f t="shared" ca="1" si="70"/>
        <v>32133</v>
      </c>
      <c r="Z696" s="14">
        <v>1</v>
      </c>
      <c r="AA696" s="1" t="str">
        <f t="shared" ca="1" si="71"/>
        <v>VENCIDO</v>
      </c>
      <c r="AB696" s="1" t="str">
        <f t="shared" si="72"/>
        <v>TAAe+</v>
      </c>
      <c r="AC696" s="2">
        <f t="shared" si="76"/>
        <v>0</v>
      </c>
      <c r="AD696" s="2">
        <f t="shared" si="73"/>
        <v>8</v>
      </c>
      <c r="AE696" s="2">
        <f t="shared" ca="1" si="74"/>
        <v>-44986.676271643519</v>
      </c>
      <c r="AF696" s="15"/>
    </row>
    <row r="697" spans="16:32">
      <c r="P697" s="12"/>
      <c r="U697" s="12"/>
      <c r="X697" s="13">
        <f t="shared" si="75"/>
        <v>0</v>
      </c>
      <c r="Y697" s="2">
        <f t="shared" ca="1" si="70"/>
        <v>32133</v>
      </c>
      <c r="Z697" s="14">
        <v>1</v>
      </c>
      <c r="AA697" s="1" t="str">
        <f t="shared" ca="1" si="71"/>
        <v>VENCIDO</v>
      </c>
      <c r="AB697" s="1" t="str">
        <f t="shared" si="72"/>
        <v>TAAe+</v>
      </c>
      <c r="AC697" s="2">
        <f t="shared" si="76"/>
        <v>0</v>
      </c>
      <c r="AD697" s="2">
        <f t="shared" si="73"/>
        <v>8</v>
      </c>
      <c r="AE697" s="2">
        <f t="shared" ca="1" si="74"/>
        <v>-44986.676271643519</v>
      </c>
      <c r="AF697" s="15"/>
    </row>
    <row r="698" spans="16:32">
      <c r="P698" s="12"/>
      <c r="U698" s="12"/>
      <c r="X698" s="13">
        <f t="shared" si="75"/>
        <v>0</v>
      </c>
      <c r="Y698" s="2">
        <f t="shared" ca="1" si="70"/>
        <v>32133</v>
      </c>
      <c r="Z698" s="14">
        <v>1</v>
      </c>
      <c r="AA698" s="1" t="str">
        <f t="shared" ca="1" si="71"/>
        <v>VENCIDO</v>
      </c>
      <c r="AB698" s="1" t="str">
        <f t="shared" si="72"/>
        <v>TAAe+</v>
      </c>
      <c r="AC698" s="2">
        <f t="shared" si="76"/>
        <v>0</v>
      </c>
      <c r="AD698" s="2">
        <f t="shared" si="73"/>
        <v>8</v>
      </c>
      <c r="AE698" s="2">
        <f t="shared" ca="1" si="74"/>
        <v>-44986.676271643519</v>
      </c>
      <c r="AF698" s="15"/>
    </row>
    <row r="699" spans="16:32">
      <c r="P699" s="12"/>
      <c r="U699" s="12"/>
      <c r="X699" s="13">
        <f t="shared" si="75"/>
        <v>0</v>
      </c>
      <c r="Y699" s="2">
        <f t="shared" ca="1" si="70"/>
        <v>32133</v>
      </c>
      <c r="Z699" s="14">
        <v>1</v>
      </c>
      <c r="AA699" s="1" t="str">
        <f t="shared" ca="1" si="71"/>
        <v>VENCIDO</v>
      </c>
      <c r="AB699" s="1" t="str">
        <f t="shared" si="72"/>
        <v>TAAe+</v>
      </c>
      <c r="AC699" s="2">
        <f t="shared" si="76"/>
        <v>0</v>
      </c>
      <c r="AD699" s="2">
        <f t="shared" si="73"/>
        <v>8</v>
      </c>
      <c r="AE699" s="2">
        <f t="shared" ca="1" si="74"/>
        <v>-44986.676271643519</v>
      </c>
      <c r="AF699" s="15"/>
    </row>
    <row r="700" spans="16:32">
      <c r="Z700" s="14"/>
      <c r="AC700" s="2"/>
      <c r="AE700" s="20"/>
    </row>
    <row r="701" spans="16:32">
      <c r="Z701" s="14"/>
      <c r="AC701" s="2"/>
      <c r="AE701" s="20"/>
    </row>
    <row r="702" spans="16:32">
      <c r="Z702" s="14"/>
      <c r="AC702" s="2"/>
      <c r="AE702" s="20"/>
    </row>
    <row r="703" spans="16:32">
      <c r="Z703" s="14"/>
      <c r="AC703" s="2"/>
      <c r="AE703" s="20"/>
    </row>
    <row r="704" spans="16:32">
      <c r="Z704" s="14"/>
      <c r="AC704" s="2"/>
      <c r="AE704" s="20"/>
    </row>
    <row r="705" spans="26:31">
      <c r="Z705" s="14"/>
      <c r="AC705" s="2"/>
      <c r="AE705" s="20"/>
    </row>
    <row r="706" spans="26:31">
      <c r="Z706" s="14"/>
      <c r="AC706" s="20"/>
      <c r="AE706" s="20"/>
    </row>
    <row r="707" spans="26:31">
      <c r="Z707" s="14"/>
      <c r="AC707" s="20"/>
      <c r="AE707" s="20"/>
    </row>
    <row r="708" spans="26:31">
      <c r="Z708" s="14"/>
      <c r="AC708" s="20"/>
      <c r="AE708" s="20"/>
    </row>
    <row r="709" spans="26:31">
      <c r="Z709" s="14"/>
      <c r="AC709" s="20"/>
      <c r="AE709" s="20"/>
    </row>
    <row r="710" spans="26:31">
      <c r="Z710" s="14"/>
      <c r="AC710" s="20"/>
      <c r="AE710" s="20"/>
    </row>
    <row r="711" spans="26:31">
      <c r="Z711" s="14"/>
      <c r="AC711" s="20"/>
      <c r="AE711" s="20"/>
    </row>
    <row r="712" spans="26:31">
      <c r="Z712" s="14"/>
      <c r="AC712" s="20"/>
      <c r="AE712" s="20"/>
    </row>
    <row r="713" spans="26:31">
      <c r="Z713" s="14"/>
      <c r="AC713" s="20"/>
      <c r="AE713" s="20"/>
    </row>
    <row r="714" spans="26:31">
      <c r="Z714" s="14"/>
      <c r="AA714" s="14"/>
      <c r="AC714" s="1"/>
      <c r="AE714" s="1"/>
    </row>
    <row r="715" spans="26:31">
      <c r="Z715" s="14"/>
      <c r="AA715" s="14"/>
      <c r="AC715" s="1"/>
      <c r="AE715" s="1"/>
    </row>
    <row r="716" spans="26:31">
      <c r="Z716" s="14"/>
      <c r="AA716" s="14"/>
      <c r="AC716" s="1"/>
      <c r="AE716" s="1"/>
    </row>
    <row r="717" spans="26:31">
      <c r="Z717" s="14"/>
      <c r="AA717" s="14"/>
      <c r="AC717" s="1"/>
      <c r="AE717" s="1"/>
    </row>
    <row r="718" spans="26:31">
      <c r="Z718" s="14"/>
      <c r="AA718" s="14"/>
      <c r="AC718" s="1"/>
      <c r="AE718" s="1"/>
    </row>
    <row r="719" spans="26:31">
      <c r="Z719" s="14"/>
      <c r="AA719" s="14"/>
      <c r="AC719" s="1"/>
      <c r="AE719" s="1"/>
    </row>
    <row r="720" spans="26:31">
      <c r="Z720" s="14"/>
      <c r="AA720" s="14"/>
      <c r="AC720" s="1"/>
      <c r="AE720" s="1"/>
    </row>
    <row r="721" spans="26:31">
      <c r="Z721" s="14"/>
      <c r="AA721" s="14"/>
      <c r="AC721" s="1"/>
      <c r="AE721" s="1"/>
    </row>
    <row r="722" spans="26:31">
      <c r="Z722" s="14"/>
      <c r="AA722" s="14"/>
      <c r="AC722" s="1"/>
      <c r="AE722" s="1"/>
    </row>
    <row r="723" spans="26:31">
      <c r="Z723" s="14"/>
      <c r="AA723" s="14"/>
      <c r="AC723" s="21"/>
      <c r="AE723" s="21"/>
    </row>
    <row r="724" spans="26:31">
      <c r="Z724" s="14"/>
      <c r="AA724" s="14"/>
      <c r="AC724" s="21"/>
      <c r="AE724" s="21"/>
    </row>
    <row r="725" spans="26:31">
      <c r="Z725" s="14"/>
      <c r="AA725" s="14"/>
      <c r="AC725" s="22"/>
      <c r="AE725" s="22"/>
    </row>
    <row r="726" spans="26:31">
      <c r="Z726" s="14"/>
      <c r="AA726" s="14"/>
      <c r="AC726" s="21"/>
      <c r="AE726" s="21"/>
    </row>
    <row r="727" spans="26:31">
      <c r="Z727" s="14"/>
      <c r="AA727" s="14"/>
      <c r="AC727" s="21"/>
      <c r="AE727" s="21"/>
    </row>
    <row r="728" spans="26:31">
      <c r="Z728" s="14"/>
      <c r="AA728" s="14"/>
      <c r="AC728" s="21"/>
      <c r="AE728" s="21"/>
    </row>
    <row r="729" spans="26:31">
      <c r="Z729" s="14"/>
      <c r="AA729" s="14"/>
      <c r="AC729" s="21"/>
      <c r="AE729" s="21"/>
    </row>
    <row r="730" spans="26:31">
      <c r="Z730" s="14"/>
      <c r="AA730" s="14"/>
      <c r="AC730" s="21"/>
      <c r="AE730" s="21"/>
    </row>
    <row r="731" spans="26:31">
      <c r="Z731" s="14"/>
      <c r="AA731" s="14"/>
      <c r="AC731" s="21"/>
      <c r="AE731" s="21"/>
    </row>
    <row r="732" spans="26:31">
      <c r="Z732" s="14"/>
      <c r="AA732" s="14"/>
      <c r="AC732" s="21"/>
      <c r="AE732" s="21"/>
    </row>
    <row r="733" spans="26:31">
      <c r="Z733" s="14"/>
      <c r="AA733" s="14"/>
      <c r="AC733" s="21"/>
      <c r="AE733" s="21"/>
    </row>
    <row r="734" spans="26:31">
      <c r="Z734" s="14"/>
      <c r="AA734" s="14"/>
      <c r="AC734" s="21"/>
      <c r="AE734" s="21"/>
    </row>
    <row r="735" spans="26:31">
      <c r="Z735" s="14"/>
      <c r="AA735" s="14"/>
      <c r="AC735" s="21"/>
      <c r="AE735" s="21"/>
    </row>
    <row r="736" spans="26:31">
      <c r="Z736" s="14"/>
      <c r="AA736" s="14"/>
      <c r="AC736" s="21"/>
      <c r="AE736" s="21"/>
    </row>
    <row r="737" spans="26:31">
      <c r="Z737" s="14"/>
      <c r="AA737" s="14"/>
      <c r="AC737" s="21"/>
      <c r="AE737" s="21"/>
    </row>
    <row r="738" spans="26:31">
      <c r="Z738" s="14"/>
      <c r="AA738" s="14"/>
      <c r="AC738" s="21"/>
      <c r="AE738" s="21"/>
    </row>
    <row r="739" spans="26:31">
      <c r="Z739" s="14"/>
      <c r="AA739" s="14"/>
      <c r="AC739" s="21"/>
      <c r="AE739" s="21"/>
    </row>
    <row r="740" spans="26:31">
      <c r="Z740" s="14"/>
      <c r="AA740" s="14"/>
      <c r="AC740" s="21"/>
      <c r="AE740" s="21"/>
    </row>
    <row r="741" spans="26:31">
      <c r="Z741" s="14"/>
      <c r="AA741" s="14"/>
      <c r="AC741" s="21"/>
      <c r="AE741" s="21"/>
    </row>
    <row r="742" spans="26:31">
      <c r="Z742" s="14"/>
      <c r="AA742" s="14"/>
      <c r="AC742" s="21"/>
      <c r="AE742" s="21"/>
    </row>
    <row r="743" spans="26:31">
      <c r="Z743" s="14"/>
      <c r="AA743" s="14"/>
      <c r="AC743" s="21"/>
      <c r="AE743" s="21"/>
    </row>
    <row r="744" spans="26:31">
      <c r="Z744" s="14"/>
      <c r="AA744" s="14"/>
      <c r="AC744" s="21"/>
      <c r="AE744" s="21"/>
    </row>
    <row r="745" spans="26:31">
      <c r="Z745" s="14"/>
      <c r="AA745" s="14"/>
      <c r="AC745" s="21"/>
      <c r="AE745" s="21"/>
    </row>
    <row r="746" spans="26:31">
      <c r="Z746" s="14"/>
      <c r="AA746" s="14"/>
      <c r="AC746" s="21"/>
      <c r="AE746" s="21"/>
    </row>
    <row r="747" spans="26:31">
      <c r="Z747" s="14"/>
      <c r="AA747" s="14"/>
      <c r="AC747" s="21"/>
      <c r="AE747" s="21"/>
    </row>
    <row r="748" spans="26:31">
      <c r="Z748" s="14"/>
      <c r="AA748" s="14"/>
      <c r="AC748" s="21"/>
      <c r="AE748" s="21"/>
    </row>
    <row r="749" spans="26:31">
      <c r="Z749" s="14"/>
      <c r="AA749" s="14"/>
      <c r="AC749" s="21"/>
      <c r="AE749" s="21"/>
    </row>
    <row r="750" spans="26:31">
      <c r="Z750" s="14"/>
      <c r="AA750" s="14"/>
      <c r="AC750" s="21"/>
      <c r="AE750" s="21"/>
    </row>
    <row r="751" spans="26:31">
      <c r="Z751" s="14"/>
      <c r="AA751" s="14"/>
      <c r="AC751" s="21"/>
      <c r="AE751" s="21"/>
    </row>
    <row r="752" spans="26:31">
      <c r="Z752" s="14"/>
      <c r="AA752" s="14"/>
      <c r="AC752" s="21"/>
      <c r="AE752" s="21"/>
    </row>
    <row r="753" spans="26:31">
      <c r="Z753" s="14"/>
      <c r="AA753" s="14"/>
      <c r="AC753" s="21"/>
      <c r="AE753" s="21"/>
    </row>
    <row r="754" spans="26:31">
      <c r="Z754" s="14"/>
      <c r="AA754" s="14"/>
      <c r="AC754" s="21"/>
      <c r="AE754" s="21"/>
    </row>
    <row r="755" spans="26:31">
      <c r="Z755" s="14"/>
      <c r="AA755" s="14"/>
      <c r="AC755" s="21"/>
      <c r="AE755" s="21"/>
    </row>
    <row r="756" spans="26:31">
      <c r="Z756" s="14"/>
      <c r="AA756" s="14"/>
      <c r="AC756" s="21"/>
      <c r="AE756" s="21"/>
    </row>
    <row r="757" spans="26:31">
      <c r="Z757" s="14"/>
      <c r="AA757" s="14"/>
      <c r="AC757" s="21"/>
      <c r="AE757" s="21"/>
    </row>
    <row r="758" spans="26:31">
      <c r="Z758" s="14"/>
      <c r="AA758" s="14"/>
      <c r="AC758" s="21"/>
      <c r="AE758" s="21"/>
    </row>
    <row r="759" spans="26:31">
      <c r="Z759" s="14"/>
      <c r="AA759" s="14"/>
      <c r="AC759" s="21"/>
      <c r="AE759" s="21"/>
    </row>
    <row r="760" spans="26:31">
      <c r="Z760" s="14"/>
      <c r="AA760" s="14"/>
      <c r="AC760" s="21"/>
      <c r="AE760" s="21"/>
    </row>
    <row r="761" spans="26:31">
      <c r="Z761" s="14"/>
      <c r="AA761" s="14"/>
      <c r="AC761" s="21"/>
      <c r="AE761" s="21"/>
    </row>
    <row r="762" spans="26:31">
      <c r="Z762" s="14"/>
      <c r="AA762" s="14"/>
      <c r="AC762" s="21"/>
      <c r="AE762" s="21"/>
    </row>
    <row r="763" spans="26:31">
      <c r="Z763" s="14"/>
      <c r="AA763" s="14"/>
      <c r="AC763" s="21"/>
      <c r="AE763" s="21"/>
    </row>
    <row r="764" spans="26:31">
      <c r="Z764" s="14"/>
      <c r="AA764" s="14"/>
      <c r="AC764" s="21"/>
      <c r="AE764" s="21"/>
    </row>
    <row r="765" spans="26:31">
      <c r="Z765" s="14"/>
      <c r="AA765" s="14"/>
      <c r="AC765" s="21"/>
      <c r="AE765" s="21"/>
    </row>
    <row r="766" spans="26:31">
      <c r="Z766" s="14"/>
      <c r="AA766" s="14"/>
      <c r="AC766" s="21"/>
      <c r="AE766" s="21"/>
    </row>
    <row r="767" spans="26:31">
      <c r="Z767" s="14"/>
      <c r="AA767" s="14"/>
      <c r="AC767" s="21"/>
      <c r="AE767" s="21"/>
    </row>
    <row r="768" spans="26:31">
      <c r="Z768" s="14"/>
      <c r="AA768" s="14"/>
      <c r="AC768" s="21"/>
      <c r="AE768" s="21"/>
    </row>
    <row r="769" spans="26:31">
      <c r="Z769" s="14"/>
      <c r="AA769" s="14"/>
      <c r="AC769" s="21"/>
      <c r="AE769" s="21"/>
    </row>
    <row r="770" spans="26:31">
      <c r="Z770" s="14"/>
      <c r="AA770" s="14"/>
      <c r="AC770" s="21"/>
      <c r="AE770" s="21"/>
    </row>
    <row r="771" spans="26:31">
      <c r="Z771" s="14"/>
      <c r="AA771" s="14"/>
      <c r="AC771" s="21"/>
      <c r="AE771" s="21"/>
    </row>
    <row r="772" spans="26:31">
      <c r="Z772" s="14"/>
      <c r="AA772" s="14"/>
      <c r="AC772" s="21"/>
      <c r="AE772" s="21"/>
    </row>
    <row r="773" spans="26:31">
      <c r="Z773" s="14"/>
      <c r="AA773" s="14"/>
      <c r="AC773" s="21"/>
      <c r="AE773" s="21"/>
    </row>
    <row r="774" spans="26:31">
      <c r="Z774" s="14"/>
      <c r="AA774" s="14"/>
      <c r="AC774" s="21"/>
      <c r="AE774" s="21"/>
    </row>
    <row r="775" spans="26:31">
      <c r="Z775" s="14"/>
      <c r="AA775" s="14"/>
      <c r="AC775" s="21"/>
      <c r="AE775" s="21"/>
    </row>
    <row r="776" spans="26:31">
      <c r="Z776" s="14"/>
      <c r="AA776" s="14"/>
      <c r="AC776" s="21"/>
      <c r="AE776" s="21"/>
    </row>
    <row r="777" spans="26:31">
      <c r="Z777" s="14"/>
      <c r="AA777" s="14"/>
      <c r="AC777" s="21"/>
      <c r="AE777" s="21"/>
    </row>
    <row r="778" spans="26:31">
      <c r="Z778" s="14"/>
      <c r="AA778" s="14"/>
      <c r="AC778" s="21"/>
      <c r="AE778" s="21"/>
    </row>
    <row r="779" spans="26:31">
      <c r="Z779" s="14"/>
      <c r="AA779" s="14"/>
      <c r="AC779" s="21"/>
      <c r="AE779" s="21"/>
    </row>
    <row r="780" spans="26:31">
      <c r="Z780" s="14"/>
      <c r="AA780" s="14"/>
      <c r="AC780" s="21"/>
      <c r="AE780" s="21"/>
    </row>
    <row r="781" spans="26:31">
      <c r="Z781" s="14"/>
      <c r="AA781" s="14"/>
      <c r="AC781" s="21"/>
      <c r="AE781" s="21"/>
    </row>
    <row r="782" spans="26:31">
      <c r="Z782" s="14"/>
      <c r="AA782" s="14"/>
      <c r="AC782" s="21"/>
      <c r="AE782" s="21"/>
    </row>
    <row r="783" spans="26:31">
      <c r="Z783" s="14"/>
      <c r="AA783" s="14"/>
      <c r="AC783" s="21"/>
      <c r="AE783" s="21"/>
    </row>
    <row r="784" spans="26:31">
      <c r="Z784" s="14"/>
      <c r="AA784" s="14"/>
      <c r="AC784" s="21"/>
      <c r="AE784" s="21"/>
    </row>
    <row r="785" spans="26:31">
      <c r="Z785" s="14"/>
      <c r="AA785" s="14"/>
      <c r="AC785" s="21"/>
      <c r="AE785" s="21"/>
    </row>
    <row r="786" spans="26:31">
      <c r="Z786" s="14"/>
      <c r="AA786" s="14"/>
      <c r="AC786" s="21"/>
      <c r="AE786" s="21"/>
    </row>
    <row r="787" spans="26:31">
      <c r="Z787" s="14"/>
      <c r="AA787" s="14"/>
      <c r="AC787" s="21"/>
      <c r="AE787" s="21"/>
    </row>
    <row r="788" spans="26:31">
      <c r="Z788" s="14"/>
      <c r="AA788" s="14"/>
      <c r="AC788" s="21"/>
      <c r="AE788" s="21"/>
    </row>
    <row r="789" spans="26:31">
      <c r="Z789" s="14"/>
      <c r="AA789" s="14"/>
      <c r="AC789" s="21"/>
      <c r="AE789" s="21"/>
    </row>
    <row r="790" spans="26:31">
      <c r="Z790" s="14"/>
      <c r="AA790" s="14"/>
      <c r="AC790" s="21"/>
      <c r="AE790" s="21"/>
    </row>
    <row r="791" spans="26:31">
      <c r="Z791" s="14"/>
      <c r="AA791" s="14"/>
      <c r="AC791" s="21"/>
      <c r="AE791" s="21"/>
    </row>
    <row r="792" spans="26:31">
      <c r="Z792" s="14"/>
      <c r="AA792" s="14"/>
      <c r="AC792" s="21"/>
      <c r="AE792" s="21"/>
    </row>
    <row r="793" spans="26:31">
      <c r="Z793" s="14"/>
      <c r="AA793" s="14"/>
      <c r="AC793" s="21"/>
      <c r="AE793" s="21"/>
    </row>
    <row r="794" spans="26:31">
      <c r="Z794" s="14"/>
      <c r="AA794" s="14"/>
      <c r="AC794" s="21"/>
      <c r="AE794" s="21"/>
    </row>
    <row r="795" spans="26:31">
      <c r="Z795" s="14"/>
      <c r="AA795" s="14"/>
      <c r="AC795" s="21"/>
      <c r="AE795" s="21"/>
    </row>
    <row r="796" spans="26:31">
      <c r="Z796" s="14"/>
      <c r="AA796" s="14"/>
      <c r="AC796" s="21"/>
      <c r="AE796" s="21"/>
    </row>
    <row r="797" spans="26:31">
      <c r="Z797" s="14"/>
      <c r="AA797" s="14"/>
      <c r="AC797" s="21"/>
      <c r="AE797" s="21"/>
    </row>
    <row r="798" spans="26:31">
      <c r="Z798" s="14"/>
      <c r="AA798" s="14"/>
      <c r="AC798" s="21"/>
      <c r="AE798" s="21"/>
    </row>
    <row r="799" spans="26:31">
      <c r="Z799" s="14"/>
      <c r="AA799" s="14"/>
      <c r="AC799" s="21"/>
      <c r="AE799" s="21"/>
    </row>
    <row r="800" spans="26:31">
      <c r="Z800" s="14"/>
      <c r="AA800" s="14"/>
      <c r="AC800" s="21"/>
      <c r="AE800" s="21"/>
    </row>
    <row r="801" spans="26:31">
      <c r="Z801" s="14"/>
      <c r="AA801" s="14"/>
      <c r="AC801" s="21"/>
      <c r="AE801" s="21"/>
    </row>
    <row r="802" spans="26:31">
      <c r="Z802" s="14"/>
      <c r="AA802" s="14"/>
      <c r="AC802" s="21"/>
      <c r="AE802" s="21"/>
    </row>
    <row r="803" spans="26:31">
      <c r="Z803" s="14"/>
      <c r="AA803" s="14"/>
      <c r="AC803" s="21"/>
      <c r="AE803" s="21"/>
    </row>
    <row r="804" spans="26:31">
      <c r="Z804" s="14"/>
      <c r="AA804" s="14"/>
      <c r="AC804" s="21"/>
      <c r="AE804" s="21"/>
    </row>
    <row r="805" spans="26:31">
      <c r="Z805" s="14"/>
      <c r="AA805" s="14"/>
      <c r="AC805" s="21"/>
      <c r="AE805" s="21"/>
    </row>
    <row r="806" spans="26:31">
      <c r="Z806" s="14"/>
      <c r="AA806" s="14"/>
      <c r="AC806" s="21"/>
      <c r="AE806" s="21"/>
    </row>
    <row r="807" spans="26:31">
      <c r="Z807" s="14"/>
      <c r="AA807" s="14"/>
      <c r="AC807" s="21"/>
      <c r="AE807" s="21"/>
    </row>
    <row r="808" spans="26:31">
      <c r="Z808" s="14"/>
      <c r="AA808" s="14"/>
      <c r="AC808" s="21"/>
      <c r="AE808" s="21"/>
    </row>
    <row r="809" spans="26:31">
      <c r="Z809" s="14"/>
      <c r="AA809" s="14"/>
      <c r="AC809" s="21"/>
      <c r="AE809" s="21"/>
    </row>
    <row r="810" spans="26:31">
      <c r="Z810" s="14"/>
      <c r="AA810" s="14"/>
      <c r="AC810" s="21"/>
      <c r="AE810" s="21"/>
    </row>
    <row r="811" spans="26:31">
      <c r="Z811" s="14"/>
      <c r="AA811" s="14"/>
      <c r="AC811" s="21"/>
      <c r="AE811" s="21"/>
    </row>
    <row r="812" spans="26:31">
      <c r="Z812" s="14"/>
      <c r="AA812" s="14"/>
      <c r="AC812" s="21"/>
      <c r="AE812" s="21"/>
    </row>
    <row r="813" spans="26:31">
      <c r="Z813" s="14"/>
      <c r="AA813" s="14"/>
      <c r="AC813" s="21"/>
      <c r="AE813" s="21"/>
    </row>
    <row r="814" spans="26:31">
      <c r="Z814" s="14"/>
      <c r="AA814" s="14"/>
      <c r="AC814" s="21"/>
      <c r="AE814" s="21"/>
    </row>
    <row r="815" spans="26:31">
      <c r="Z815" s="14"/>
      <c r="AA815" s="14"/>
      <c r="AC815" s="21"/>
      <c r="AE815" s="21"/>
    </row>
    <row r="816" spans="26:31">
      <c r="Z816" s="14"/>
      <c r="AA816" s="14"/>
      <c r="AC816" s="21"/>
      <c r="AE816" s="21"/>
    </row>
    <row r="817" spans="26:31">
      <c r="Z817" s="14"/>
      <c r="AA817" s="14"/>
      <c r="AC817" s="21"/>
      <c r="AE817" s="21"/>
    </row>
    <row r="818" spans="26:31">
      <c r="Z818" s="14"/>
      <c r="AA818" s="14"/>
      <c r="AC818" s="21"/>
      <c r="AE818" s="21"/>
    </row>
    <row r="819" spans="26:31">
      <c r="Z819" s="14"/>
      <c r="AA819" s="14"/>
      <c r="AC819" s="21"/>
      <c r="AE819" s="21"/>
    </row>
    <row r="820" spans="26:31">
      <c r="Z820" s="14"/>
      <c r="AA820" s="14"/>
      <c r="AC820" s="21"/>
      <c r="AE820" s="21"/>
    </row>
    <row r="821" spans="26:31">
      <c r="Z821" s="14"/>
      <c r="AA821" s="14"/>
      <c r="AC821" s="21"/>
      <c r="AE821" s="21"/>
    </row>
    <row r="822" spans="26:31">
      <c r="Z822" s="14"/>
      <c r="AA822" s="14"/>
      <c r="AC822" s="21"/>
      <c r="AE822" s="21"/>
    </row>
    <row r="823" spans="26:31">
      <c r="Z823" s="14"/>
      <c r="AA823" s="14"/>
      <c r="AC823" s="21"/>
      <c r="AE823" s="21"/>
    </row>
    <row r="824" spans="26:31">
      <c r="Z824" s="14"/>
      <c r="AA824" s="14"/>
      <c r="AC824" s="21"/>
      <c r="AE824" s="21"/>
    </row>
    <row r="825" spans="26:31">
      <c r="Z825" s="14"/>
      <c r="AA825" s="14"/>
      <c r="AC825" s="21"/>
      <c r="AE825" s="21"/>
    </row>
    <row r="826" spans="26:31">
      <c r="Z826" s="14"/>
      <c r="AA826" s="14"/>
      <c r="AC826" s="21"/>
      <c r="AE826" s="21"/>
    </row>
    <row r="827" spans="26:31">
      <c r="Z827" s="14"/>
      <c r="AA827" s="14"/>
      <c r="AC827" s="21"/>
      <c r="AE827" s="21"/>
    </row>
    <row r="828" spans="26:31">
      <c r="Z828" s="14"/>
      <c r="AA828" s="14"/>
      <c r="AC828" s="21"/>
      <c r="AE828" s="21"/>
    </row>
    <row r="829" spans="26:31">
      <c r="Z829" s="14"/>
      <c r="AA829" s="14"/>
      <c r="AC829" s="21"/>
      <c r="AE829" s="21"/>
    </row>
    <row r="830" spans="26:31">
      <c r="Z830" s="14"/>
      <c r="AA830" s="14"/>
      <c r="AC830" s="21"/>
      <c r="AE830" s="21"/>
    </row>
    <row r="831" spans="26:31">
      <c r="Z831" s="14"/>
      <c r="AA831" s="14"/>
      <c r="AC831" s="21"/>
      <c r="AE831" s="21"/>
    </row>
    <row r="832" spans="26:31">
      <c r="Z832" s="14"/>
      <c r="AA832" s="14"/>
      <c r="AC832" s="21"/>
      <c r="AE832" s="21"/>
    </row>
    <row r="833" spans="26:31">
      <c r="Z833" s="14"/>
      <c r="AA833" s="14"/>
      <c r="AC833" s="21"/>
      <c r="AE833" s="21"/>
    </row>
    <row r="834" spans="26:31">
      <c r="Z834" s="14"/>
      <c r="AA834" s="14"/>
      <c r="AC834" s="21"/>
      <c r="AE834" s="21"/>
    </row>
    <row r="835" spans="26:31">
      <c r="Z835" s="14"/>
      <c r="AA835" s="14"/>
      <c r="AC835" s="21"/>
      <c r="AE835" s="21"/>
    </row>
    <row r="836" spans="26:31">
      <c r="Z836" s="14"/>
      <c r="AA836" s="14"/>
      <c r="AC836" s="21"/>
      <c r="AE836" s="21"/>
    </row>
    <row r="837" spans="26:31">
      <c r="Z837" s="14"/>
      <c r="AA837" s="14"/>
      <c r="AC837" s="21"/>
      <c r="AE837" s="21"/>
    </row>
    <row r="838" spans="26:31">
      <c r="Z838" s="14"/>
      <c r="AA838" s="14"/>
      <c r="AC838" s="21"/>
      <c r="AE838" s="21"/>
    </row>
    <row r="839" spans="26:31">
      <c r="Z839" s="14"/>
      <c r="AA839" s="14"/>
      <c r="AC839" s="21"/>
      <c r="AE839" s="21"/>
    </row>
    <row r="840" spans="26:31">
      <c r="Z840" s="14"/>
      <c r="AA840" s="14"/>
      <c r="AC840" s="21"/>
      <c r="AE840" s="21"/>
    </row>
    <row r="841" spans="26:31">
      <c r="Z841" s="14"/>
      <c r="AA841" s="14"/>
      <c r="AC841" s="21"/>
      <c r="AE841" s="21"/>
    </row>
    <row r="842" spans="26:31">
      <c r="Z842" s="14"/>
      <c r="AA842" s="14"/>
      <c r="AC842" s="21"/>
      <c r="AE842" s="21"/>
    </row>
    <row r="843" spans="26:31">
      <c r="Z843" s="14"/>
      <c r="AA843" s="14"/>
      <c r="AC843" s="21"/>
      <c r="AE843" s="21"/>
    </row>
    <row r="844" spans="26:31">
      <c r="Z844" s="14"/>
      <c r="AA844" s="14"/>
      <c r="AC844" s="21"/>
      <c r="AE844" s="21"/>
    </row>
    <row r="845" spans="26:31">
      <c r="Z845" s="14"/>
      <c r="AA845" s="14"/>
      <c r="AC845" s="21"/>
      <c r="AE845" s="21"/>
    </row>
    <row r="846" spans="26:31">
      <c r="Z846" s="14"/>
      <c r="AA846" s="14"/>
      <c r="AC846" s="21"/>
      <c r="AE846" s="21"/>
    </row>
    <row r="847" spans="26:31">
      <c r="Z847" s="14"/>
      <c r="AA847" s="14"/>
      <c r="AC847" s="21"/>
      <c r="AE847" s="21"/>
    </row>
    <row r="848" spans="26:31">
      <c r="Z848" s="14"/>
      <c r="AA848" s="14"/>
      <c r="AC848" s="21"/>
      <c r="AE848" s="21"/>
    </row>
    <row r="849" spans="26:31">
      <c r="Z849" s="14"/>
      <c r="AA849" s="14"/>
      <c r="AC849" s="21"/>
      <c r="AE849" s="21"/>
    </row>
    <row r="850" spans="26:31">
      <c r="Z850" s="14"/>
      <c r="AA850" s="14"/>
      <c r="AC850" s="21"/>
      <c r="AE850" s="21"/>
    </row>
    <row r="851" spans="26:31">
      <c r="Z851" s="14"/>
      <c r="AA851" s="14"/>
      <c r="AC851" s="21"/>
      <c r="AE851" s="21"/>
    </row>
    <row r="852" spans="26:31">
      <c r="Z852" s="14"/>
      <c r="AA852" s="14"/>
      <c r="AC852" s="21"/>
      <c r="AE852" s="21"/>
    </row>
    <row r="853" spans="26:31">
      <c r="Z853" s="14"/>
      <c r="AA853" s="14"/>
      <c r="AC853" s="21"/>
      <c r="AE853" s="21"/>
    </row>
    <row r="854" spans="26:31">
      <c r="Z854" s="14"/>
      <c r="AA854" s="14"/>
      <c r="AC854" s="21"/>
      <c r="AE854" s="21"/>
    </row>
    <row r="855" spans="26:31">
      <c r="Z855" s="14"/>
      <c r="AA855" s="14"/>
      <c r="AC855" s="21"/>
      <c r="AE855" s="21"/>
    </row>
    <row r="856" spans="26:31">
      <c r="Z856" s="14"/>
      <c r="AA856" s="14"/>
      <c r="AC856" s="21"/>
      <c r="AE856" s="21"/>
    </row>
    <row r="857" spans="26:31">
      <c r="Z857" s="14"/>
      <c r="AA857" s="14"/>
      <c r="AC857" s="21"/>
      <c r="AE857" s="21"/>
    </row>
    <row r="858" spans="26:31">
      <c r="Z858" s="14"/>
      <c r="AA858" s="14"/>
      <c r="AC858" s="21"/>
      <c r="AE858" s="21"/>
    </row>
    <row r="859" spans="26:31">
      <c r="Z859" s="14"/>
      <c r="AA859" s="14"/>
      <c r="AC859" s="21"/>
      <c r="AE859" s="21"/>
    </row>
    <row r="860" spans="26:31">
      <c r="Z860" s="14"/>
      <c r="AA860" s="14"/>
      <c r="AC860" s="21"/>
      <c r="AE860" s="21"/>
    </row>
    <row r="861" spans="26:31">
      <c r="Z861" s="14"/>
      <c r="AA861" s="14"/>
      <c r="AC861" s="21"/>
      <c r="AE861" s="21"/>
    </row>
    <row r="862" spans="26:31">
      <c r="Z862" s="14"/>
      <c r="AA862" s="14"/>
      <c r="AC862" s="21"/>
      <c r="AE862" s="21"/>
    </row>
    <row r="863" spans="26:31">
      <c r="Z863" s="14"/>
      <c r="AA863" s="14"/>
      <c r="AC863" s="21"/>
      <c r="AE863" s="21"/>
    </row>
    <row r="864" spans="26:31">
      <c r="Z864" s="14"/>
      <c r="AA864" s="14"/>
      <c r="AC864" s="21"/>
      <c r="AE864" s="21"/>
    </row>
    <row r="865" spans="26:31">
      <c r="Z865" s="14"/>
      <c r="AA865" s="14"/>
      <c r="AC865" s="21"/>
      <c r="AE865" s="21"/>
    </row>
    <row r="866" spans="26:31">
      <c r="Z866" s="14"/>
      <c r="AA866" s="14"/>
      <c r="AC866" s="21"/>
      <c r="AE866" s="21"/>
    </row>
    <row r="867" spans="26:31">
      <c r="Z867" s="14"/>
      <c r="AA867" s="14"/>
      <c r="AC867" s="21"/>
      <c r="AE867" s="21"/>
    </row>
    <row r="868" spans="26:31">
      <c r="Z868" s="14"/>
      <c r="AA868" s="14"/>
      <c r="AC868" s="21"/>
      <c r="AE868" s="21"/>
    </row>
    <row r="869" spans="26:31">
      <c r="Z869" s="14"/>
      <c r="AA869" s="14"/>
      <c r="AC869" s="21"/>
      <c r="AE869" s="21"/>
    </row>
    <row r="870" spans="26:31">
      <c r="Z870" s="14"/>
      <c r="AA870" s="14"/>
      <c r="AC870" s="21"/>
      <c r="AE870" s="21"/>
    </row>
    <row r="871" spans="26:31">
      <c r="Z871" s="14"/>
      <c r="AA871" s="14"/>
      <c r="AC871" s="21"/>
      <c r="AE871" s="21"/>
    </row>
    <row r="872" spans="26:31">
      <c r="Z872" s="14"/>
      <c r="AA872" s="14"/>
      <c r="AC872" s="21"/>
      <c r="AE872" s="21"/>
    </row>
    <row r="873" spans="26:31">
      <c r="Z873" s="14"/>
      <c r="AA873" s="14"/>
      <c r="AC873" s="21"/>
      <c r="AE873" s="21"/>
    </row>
    <row r="874" spans="26:31">
      <c r="Z874" s="14"/>
      <c r="AA874" s="14"/>
      <c r="AC874" s="21"/>
      <c r="AE874" s="21"/>
    </row>
    <row r="875" spans="26:31">
      <c r="Z875" s="14"/>
      <c r="AA875" s="14"/>
      <c r="AC875" s="21"/>
      <c r="AE875" s="21"/>
    </row>
    <row r="876" spans="26:31">
      <c r="Z876" s="14"/>
      <c r="AA876" s="14"/>
      <c r="AC876" s="21"/>
      <c r="AE876" s="21"/>
    </row>
    <row r="877" spans="26:31">
      <c r="Z877" s="14"/>
      <c r="AA877" s="14"/>
      <c r="AC877" s="21"/>
      <c r="AE877" s="21"/>
    </row>
    <row r="878" spans="26:31">
      <c r="Z878" s="14"/>
      <c r="AA878" s="14"/>
      <c r="AC878" s="21"/>
      <c r="AE878" s="21"/>
    </row>
    <row r="879" spans="26:31">
      <c r="Z879" s="14"/>
      <c r="AA879" s="14"/>
      <c r="AC879" s="21"/>
      <c r="AE879" s="21"/>
    </row>
    <row r="880" spans="26:31">
      <c r="Z880" s="14"/>
      <c r="AA880" s="14"/>
      <c r="AC880" s="21"/>
      <c r="AE880" s="21"/>
    </row>
    <row r="881" spans="26:31">
      <c r="Z881" s="14"/>
      <c r="AA881" s="14"/>
      <c r="AC881" s="21"/>
      <c r="AE881" s="21"/>
    </row>
    <row r="882" spans="26:31">
      <c r="Z882" s="14"/>
      <c r="AA882" s="14"/>
      <c r="AC882" s="21"/>
      <c r="AE882" s="21"/>
    </row>
    <row r="883" spans="26:31">
      <c r="Z883" s="14"/>
      <c r="AA883" s="14"/>
      <c r="AC883" s="21"/>
      <c r="AE883" s="21"/>
    </row>
    <row r="884" spans="26:31">
      <c r="Z884" s="14"/>
      <c r="AA884" s="14"/>
      <c r="AC884" s="21"/>
      <c r="AE884" s="21"/>
    </row>
    <row r="885" spans="26:31">
      <c r="Z885" s="14"/>
      <c r="AA885" s="14"/>
      <c r="AC885" s="21"/>
      <c r="AE885" s="21"/>
    </row>
    <row r="886" spans="26:31">
      <c r="Z886" s="14"/>
      <c r="AA886" s="14"/>
      <c r="AC886" s="21"/>
      <c r="AE886" s="21"/>
    </row>
    <row r="887" spans="26:31">
      <c r="Z887" s="14"/>
      <c r="AA887" s="14"/>
      <c r="AC887" s="21"/>
      <c r="AE887" s="21"/>
    </row>
    <row r="888" spans="26:31">
      <c r="Z888" s="14"/>
      <c r="AA888" s="14"/>
      <c r="AC888" s="21"/>
      <c r="AE888" s="21"/>
    </row>
    <row r="889" spans="26:31">
      <c r="Z889" s="14"/>
      <c r="AA889" s="14"/>
      <c r="AC889" s="21"/>
      <c r="AE889" s="21"/>
    </row>
    <row r="890" spans="26:31">
      <c r="Z890" s="14"/>
      <c r="AA890" s="14"/>
      <c r="AC890" s="21"/>
      <c r="AE890" s="21"/>
    </row>
    <row r="891" spans="26:31">
      <c r="Z891" s="14"/>
      <c r="AA891" s="14"/>
      <c r="AC891" s="21"/>
      <c r="AE891" s="21"/>
    </row>
    <row r="892" spans="26:31">
      <c r="Z892" s="14"/>
      <c r="AA892" s="14"/>
      <c r="AC892" s="21"/>
      <c r="AE892" s="21"/>
    </row>
    <row r="893" spans="26:31">
      <c r="Z893" s="14"/>
      <c r="AA893" s="14"/>
      <c r="AC893" s="21"/>
      <c r="AE893" s="21"/>
    </row>
    <row r="894" spans="26:31">
      <c r="Z894" s="14"/>
      <c r="AA894" s="14"/>
      <c r="AC894" s="21"/>
      <c r="AE894" s="21"/>
    </row>
    <row r="895" spans="26:31">
      <c r="Z895" s="14"/>
      <c r="AA895" s="14"/>
    </row>
    <row r="896" spans="26:31">
      <c r="Z896" s="14"/>
      <c r="AA896" s="14"/>
    </row>
    <row r="897" spans="26:27">
      <c r="Z897" s="14"/>
      <c r="AA897" s="14"/>
    </row>
    <row r="898" spans="26:27">
      <c r="Z898" s="14"/>
      <c r="AA898" s="14"/>
    </row>
    <row r="899" spans="26:27">
      <c r="Z899" s="14"/>
      <c r="AA899" s="14"/>
    </row>
    <row r="900" spans="26:27">
      <c r="Z900" s="14"/>
      <c r="AA900" s="14"/>
    </row>
    <row r="901" spans="26:27">
      <c r="Z901" s="14"/>
      <c r="AA901" s="14"/>
    </row>
    <row r="902" spans="26:27">
      <c r="Z902" s="14"/>
      <c r="AA902" s="14"/>
    </row>
    <row r="903" spans="26:27">
      <c r="Z903" s="14"/>
      <c r="AA903" s="14"/>
    </row>
    <row r="904" spans="26:27">
      <c r="Z904" s="14"/>
      <c r="AA904" s="14"/>
    </row>
    <row r="905" spans="26:27">
      <c r="Z905" s="14"/>
      <c r="AA905" s="14"/>
    </row>
    <row r="906" spans="26:27">
      <c r="Z906" s="14"/>
      <c r="AA906" s="14"/>
    </row>
    <row r="907" spans="26:27">
      <c r="Z907" s="14"/>
      <c r="AA907" s="14"/>
    </row>
    <row r="908" spans="26:27">
      <c r="Z908" s="14"/>
      <c r="AA908" s="14"/>
    </row>
    <row r="909" spans="26:27">
      <c r="Z909" s="14"/>
      <c r="AA909" s="14"/>
    </row>
    <row r="910" spans="26:27">
      <c r="Z910" s="14"/>
      <c r="AA910" s="14"/>
    </row>
    <row r="911" spans="26:27">
      <c r="Z911" s="14"/>
      <c r="AA911" s="14"/>
    </row>
    <row r="912" spans="26:27">
      <c r="Z912" s="14"/>
      <c r="AA912" s="14"/>
    </row>
    <row r="913" spans="26:27">
      <c r="Z913" s="14"/>
      <c r="AA913" s="14"/>
    </row>
    <row r="914" spans="26:27">
      <c r="Z914" s="14"/>
      <c r="AA914" s="14"/>
    </row>
    <row r="915" spans="26:27">
      <c r="Z915" s="14"/>
      <c r="AA915" s="14"/>
    </row>
    <row r="916" spans="26:27">
      <c r="Z916" s="14"/>
      <c r="AA916" s="14"/>
    </row>
    <row r="917" spans="26:27">
      <c r="Z917" s="14"/>
      <c r="AA917" s="14"/>
    </row>
    <row r="918" spans="26:27">
      <c r="Z918" s="14"/>
      <c r="AA918" s="14"/>
    </row>
    <row r="919" spans="26:27">
      <c r="Z919" s="14"/>
      <c r="AA919" s="14"/>
    </row>
    <row r="920" spans="26:27">
      <c r="Z920" s="14"/>
      <c r="AA920" s="14"/>
    </row>
    <row r="921" spans="26:27">
      <c r="Z921" s="14"/>
      <c r="AA921" s="14"/>
    </row>
    <row r="922" spans="26:27">
      <c r="Z922" s="14"/>
      <c r="AA922" s="14"/>
    </row>
    <row r="923" spans="26:27">
      <c r="Z923" s="14"/>
      <c r="AA923" s="14"/>
    </row>
    <row r="924" spans="26:27">
      <c r="Z924" s="14"/>
      <c r="AA924" s="14"/>
    </row>
    <row r="925" spans="26:27">
      <c r="Z925" s="14"/>
      <c r="AA925" s="14"/>
    </row>
    <row r="926" spans="26:27">
      <c r="Z926" s="14"/>
      <c r="AA926" s="14"/>
    </row>
    <row r="927" spans="26:27">
      <c r="Z927" s="14"/>
      <c r="AA927" s="14"/>
    </row>
    <row r="928" spans="26:27">
      <c r="Z928" s="14"/>
      <c r="AA928" s="14"/>
    </row>
    <row r="929" spans="26:27">
      <c r="Z929" s="14"/>
      <c r="AA929" s="14"/>
    </row>
    <row r="930" spans="26:27">
      <c r="Z930" s="14"/>
      <c r="AA930" s="14"/>
    </row>
    <row r="931" spans="26:27">
      <c r="Z931" s="14"/>
      <c r="AA931" s="14"/>
    </row>
    <row r="932" spans="26:27">
      <c r="Z932" s="14"/>
      <c r="AA932" s="14"/>
    </row>
    <row r="933" spans="26:27">
      <c r="Z933" s="14"/>
      <c r="AA933" s="14"/>
    </row>
    <row r="934" spans="26:27">
      <c r="Z934" s="14"/>
      <c r="AA934" s="14"/>
    </row>
    <row r="935" spans="26:27">
      <c r="Z935" s="14"/>
      <c r="AA935" s="14"/>
    </row>
    <row r="936" spans="26:27">
      <c r="Z936" s="14"/>
      <c r="AA936" s="14"/>
    </row>
    <row r="937" spans="26:27">
      <c r="Z937" s="14"/>
      <c r="AA937" s="14"/>
    </row>
    <row r="938" spans="26:27">
      <c r="Z938" s="14"/>
      <c r="AA938" s="14"/>
    </row>
    <row r="939" spans="26:27">
      <c r="Z939" s="14"/>
      <c r="AA939" s="14"/>
    </row>
    <row r="940" spans="26:27">
      <c r="Z940" s="14"/>
      <c r="AA940" s="14"/>
    </row>
    <row r="941" spans="26:27">
      <c r="Z941" s="14"/>
      <c r="AA941" s="14"/>
    </row>
    <row r="942" spans="26:27">
      <c r="Z942" s="14"/>
      <c r="AA942" s="14"/>
    </row>
    <row r="943" spans="26:27">
      <c r="Z943" s="14"/>
      <c r="AA943" s="14"/>
    </row>
    <row r="944" spans="26:27">
      <c r="Z944" s="14"/>
      <c r="AA944" s="14"/>
    </row>
    <row r="945" spans="26:27">
      <c r="Z945" s="14"/>
      <c r="AA945" s="14"/>
    </row>
    <row r="946" spans="26:27">
      <c r="Z946" s="14"/>
      <c r="AA946" s="14"/>
    </row>
    <row r="947" spans="26:27">
      <c r="Z947" s="14"/>
      <c r="AA947" s="14"/>
    </row>
    <row r="948" spans="26:27">
      <c r="Z948" s="14"/>
      <c r="AA948" s="14"/>
    </row>
    <row r="949" spans="26:27">
      <c r="Z949" s="14"/>
      <c r="AA949" s="14"/>
    </row>
    <row r="950" spans="26:27">
      <c r="Z950" s="14"/>
      <c r="AA950" s="14"/>
    </row>
    <row r="951" spans="26:27">
      <c r="Z951" s="14"/>
      <c r="AA951" s="14"/>
    </row>
    <row r="952" spans="26:27">
      <c r="Z952" s="14"/>
      <c r="AA952" s="14"/>
    </row>
    <row r="953" spans="26:27">
      <c r="Z953" s="14"/>
      <c r="AA953" s="14"/>
    </row>
    <row r="954" spans="26:27">
      <c r="Z954" s="14"/>
      <c r="AA954" s="14"/>
    </row>
    <row r="955" spans="26:27">
      <c r="Z955" s="14"/>
      <c r="AA955" s="14"/>
    </row>
    <row r="956" spans="26:27">
      <c r="Z956" s="14"/>
      <c r="AA956" s="14"/>
    </row>
    <row r="957" spans="26:27">
      <c r="Z957" s="14"/>
      <c r="AA957" s="14"/>
    </row>
    <row r="958" spans="26:27">
      <c r="Z958" s="14"/>
      <c r="AA958" s="14"/>
    </row>
    <row r="959" spans="26:27">
      <c r="Z959" s="14"/>
      <c r="AA959" s="14"/>
    </row>
    <row r="960" spans="26:27">
      <c r="Z960" s="14"/>
      <c r="AA960" s="14"/>
    </row>
    <row r="961" spans="26:27">
      <c r="Z961" s="14"/>
      <c r="AA961" s="14"/>
    </row>
    <row r="962" spans="26:27">
      <c r="Z962" s="14"/>
      <c r="AA962" s="14"/>
    </row>
    <row r="963" spans="26:27">
      <c r="Z963" s="14"/>
      <c r="AA963" s="14"/>
    </row>
    <row r="964" spans="26:27">
      <c r="Z964" s="14"/>
      <c r="AA964" s="14"/>
    </row>
    <row r="965" spans="26:27">
      <c r="Z965" s="14"/>
      <c r="AA965" s="14"/>
    </row>
    <row r="966" spans="26:27">
      <c r="Z966" s="14"/>
      <c r="AA966" s="14"/>
    </row>
    <row r="967" spans="26:27">
      <c r="Z967" s="14"/>
      <c r="AA967" s="14"/>
    </row>
    <row r="968" spans="26:27">
      <c r="Z968" s="14"/>
      <c r="AA968" s="14"/>
    </row>
    <row r="969" spans="26:27">
      <c r="Z969" s="14"/>
      <c r="AA969" s="14"/>
    </row>
    <row r="970" spans="26:27">
      <c r="Z970" s="14"/>
      <c r="AA970" s="14"/>
    </row>
    <row r="971" spans="26:27">
      <c r="Z971" s="14"/>
      <c r="AA971" s="14"/>
    </row>
    <row r="972" spans="26:27">
      <c r="Z972" s="14"/>
      <c r="AA972" s="14"/>
    </row>
    <row r="973" spans="26:27">
      <c r="Z973" s="14"/>
      <c r="AA973" s="14"/>
    </row>
    <row r="974" spans="26:27">
      <c r="Z974" s="14"/>
      <c r="AA974" s="14"/>
    </row>
    <row r="975" spans="26:27">
      <c r="Z975" s="14"/>
      <c r="AA975" s="14"/>
    </row>
    <row r="976" spans="26:27">
      <c r="Z976" s="14"/>
      <c r="AA976" s="14"/>
    </row>
    <row r="977" spans="26:27">
      <c r="Z977" s="14"/>
      <c r="AA977" s="14"/>
    </row>
    <row r="978" spans="26:27">
      <c r="Z978" s="14"/>
      <c r="AA978" s="14"/>
    </row>
    <row r="979" spans="26:27">
      <c r="Z979" s="14"/>
      <c r="AA979" s="14"/>
    </row>
    <row r="980" spans="26:27">
      <c r="Z980" s="14"/>
      <c r="AA980" s="14"/>
    </row>
    <row r="981" spans="26:27">
      <c r="Z981" s="14"/>
      <c r="AA981" s="14"/>
    </row>
    <row r="982" spans="26:27">
      <c r="Z982" s="14"/>
      <c r="AA982" s="14"/>
    </row>
    <row r="983" spans="26:27">
      <c r="Z983" s="14"/>
      <c r="AA983" s="14"/>
    </row>
    <row r="984" spans="26:27">
      <c r="Z984" s="14"/>
      <c r="AA984" s="14"/>
    </row>
    <row r="985" spans="26:27">
      <c r="Z985" s="14"/>
      <c r="AA985" s="14"/>
    </row>
    <row r="986" spans="26:27">
      <c r="Z986" s="14"/>
      <c r="AA986" s="14"/>
    </row>
    <row r="987" spans="26:27">
      <c r="Z987" s="14"/>
      <c r="AA987" s="14"/>
    </row>
    <row r="988" spans="26:27">
      <c r="Z988" s="14"/>
      <c r="AA988" s="14"/>
    </row>
    <row r="989" spans="26:27">
      <c r="Z989" s="14"/>
      <c r="AA989" s="14"/>
    </row>
    <row r="990" spans="26:27">
      <c r="Z990" s="14"/>
      <c r="AA990" s="14"/>
    </row>
    <row r="991" spans="26:27">
      <c r="Z991" s="14"/>
      <c r="AA991" s="14"/>
    </row>
    <row r="992" spans="26:27">
      <c r="Z992" s="14"/>
      <c r="AA992" s="14"/>
    </row>
    <row r="993" spans="26:27">
      <c r="Z993" s="14"/>
      <c r="AA993" s="14"/>
    </row>
    <row r="994" spans="26:27">
      <c r="Z994" s="14"/>
      <c r="AA994" s="14"/>
    </row>
    <row r="995" spans="26:27">
      <c r="Z995" s="14"/>
      <c r="AA995" s="14"/>
    </row>
    <row r="996" spans="26:27">
      <c r="Z996" s="14"/>
      <c r="AA996" s="14"/>
    </row>
    <row r="997" spans="26:27">
      <c r="Z997" s="14"/>
      <c r="AA997" s="14"/>
    </row>
    <row r="998" spans="26:27">
      <c r="Z998" s="14"/>
      <c r="AA998" s="14"/>
    </row>
    <row r="999" spans="26:27">
      <c r="Z999" s="14"/>
      <c r="AA999" s="14"/>
    </row>
    <row r="1000" spans="26:27">
      <c r="Z1000" s="14"/>
      <c r="AA1000" s="14"/>
    </row>
    <row r="1001" spans="26:27">
      <c r="Z1001" s="14"/>
      <c r="AA1001" s="14"/>
    </row>
    <row r="1002" spans="26:27">
      <c r="Z1002" s="14"/>
      <c r="AA1002" s="14"/>
    </row>
    <row r="1003" spans="26:27">
      <c r="Z1003" s="14"/>
      <c r="AA1003" s="14"/>
    </row>
    <row r="1004" spans="26:27">
      <c r="Z1004" s="14"/>
      <c r="AA1004" s="14"/>
    </row>
    <row r="1005" spans="26:27">
      <c r="Z1005" s="14"/>
      <c r="AA1005" s="14"/>
    </row>
    <row r="1006" spans="26:27">
      <c r="Z1006" s="14"/>
      <c r="AA1006" s="14"/>
    </row>
    <row r="1007" spans="26:27">
      <c r="Z1007" s="14"/>
      <c r="AA1007" s="14"/>
    </row>
    <row r="1008" spans="26:27">
      <c r="Z1008" s="14"/>
      <c r="AA1008" s="14"/>
    </row>
    <row r="1009" spans="26:27">
      <c r="Z1009" s="14"/>
      <c r="AA1009" s="14"/>
    </row>
    <row r="1010" spans="26:27">
      <c r="Z1010" s="14"/>
      <c r="AA1010" s="14"/>
    </row>
    <row r="1011" spans="26:27">
      <c r="Z1011" s="14"/>
      <c r="AA1011" s="14"/>
    </row>
    <row r="1012" spans="26:27">
      <c r="Z1012" s="14"/>
      <c r="AA1012" s="14"/>
    </row>
    <row r="1013" spans="26:27">
      <c r="Z1013" s="14"/>
      <c r="AA1013" s="14"/>
    </row>
    <row r="1014" spans="26:27">
      <c r="Z1014" s="14"/>
      <c r="AA1014" s="14"/>
    </row>
    <row r="1015" spans="26:27">
      <c r="Z1015" s="14"/>
      <c r="AA1015" s="14"/>
    </row>
    <row r="1016" spans="26:27">
      <c r="Z1016" s="14"/>
      <c r="AA1016" s="14"/>
    </row>
    <row r="1017" spans="26:27">
      <c r="Z1017" s="14"/>
      <c r="AA1017" s="14"/>
    </row>
    <row r="1018" spans="26:27">
      <c r="Z1018" s="14"/>
      <c r="AA1018" s="14"/>
    </row>
    <row r="1019" spans="26:27">
      <c r="Z1019" s="14"/>
      <c r="AA1019" s="14"/>
    </row>
    <row r="1020" spans="26:27">
      <c r="Z1020" s="14"/>
      <c r="AA1020" s="14"/>
    </row>
    <row r="1021" spans="26:27">
      <c r="Z1021" s="14"/>
      <c r="AA1021" s="14"/>
    </row>
    <row r="1022" spans="26:27">
      <c r="Z1022" s="14"/>
      <c r="AA1022" s="14"/>
    </row>
    <row r="1023" spans="26:27">
      <c r="Z1023" s="14"/>
      <c r="AA1023" s="14"/>
    </row>
    <row r="1024" spans="26:27">
      <c r="Z1024" s="14"/>
      <c r="AA1024" s="14"/>
    </row>
    <row r="1025" spans="26:27">
      <c r="Z1025" s="14"/>
      <c r="AA1025" s="14"/>
    </row>
    <row r="1026" spans="26:27">
      <c r="Z1026" s="14"/>
      <c r="AA1026" s="14"/>
    </row>
    <row r="1027" spans="26:27">
      <c r="Z1027" s="14"/>
      <c r="AA1027" s="14"/>
    </row>
    <row r="1028" spans="26:27">
      <c r="Z1028" s="14"/>
      <c r="AA1028" s="14"/>
    </row>
    <row r="1029" spans="26:27">
      <c r="Z1029" s="14"/>
      <c r="AA1029" s="14"/>
    </row>
    <row r="1030" spans="26:27">
      <c r="Z1030" s="14"/>
      <c r="AA1030" s="14"/>
    </row>
    <row r="1031" spans="26:27">
      <c r="Z1031" s="14"/>
      <c r="AA1031" s="14"/>
    </row>
    <row r="1032" spans="26:27">
      <c r="Z1032" s="14"/>
      <c r="AA1032" s="14"/>
    </row>
    <row r="1033" spans="26:27">
      <c r="Z1033" s="14"/>
      <c r="AA1033" s="14"/>
    </row>
    <row r="1034" spans="26:27">
      <c r="Z1034" s="14"/>
      <c r="AA1034" s="14"/>
    </row>
    <row r="1035" spans="26:27">
      <c r="Z1035" s="14"/>
      <c r="AA1035" s="14"/>
    </row>
    <row r="1036" spans="26:27">
      <c r="Z1036" s="14"/>
      <c r="AA1036" s="14"/>
    </row>
    <row r="1037" spans="26:27">
      <c r="Z1037" s="14"/>
      <c r="AA1037" s="14"/>
    </row>
    <row r="1038" spans="26:27">
      <c r="Z1038" s="14"/>
      <c r="AA1038" s="14"/>
    </row>
    <row r="1039" spans="26:27">
      <c r="Z1039" s="14"/>
      <c r="AA1039" s="14"/>
    </row>
    <row r="1040" spans="26:27">
      <c r="Z1040" s="14"/>
      <c r="AA1040" s="14"/>
    </row>
    <row r="1041" spans="26:27">
      <c r="Z1041" s="14"/>
      <c r="AA1041" s="14"/>
    </row>
    <row r="1042" spans="26:27">
      <c r="Z1042" s="14"/>
      <c r="AA1042" s="14"/>
    </row>
    <row r="1043" spans="26:27">
      <c r="Z1043" s="14"/>
      <c r="AA1043" s="14"/>
    </row>
    <row r="1044" spans="26:27">
      <c r="Z1044" s="14"/>
      <c r="AA1044" s="14"/>
    </row>
    <row r="1045" spans="26:27">
      <c r="Z1045" s="14"/>
      <c r="AA1045" s="14"/>
    </row>
    <row r="1046" spans="26:27">
      <c r="Z1046" s="14"/>
      <c r="AA1046" s="14"/>
    </row>
    <row r="1047" spans="26:27">
      <c r="Z1047" s="14"/>
      <c r="AA1047" s="14"/>
    </row>
    <row r="1048" spans="26:27">
      <c r="Z1048" s="14"/>
      <c r="AA1048" s="14"/>
    </row>
    <row r="1049" spans="26:27">
      <c r="Z1049" s="14"/>
      <c r="AA1049" s="14"/>
    </row>
    <row r="1050" spans="26:27">
      <c r="Z1050" s="14"/>
      <c r="AA1050" s="14"/>
    </row>
    <row r="1051" spans="26:27">
      <c r="Z1051" s="14"/>
      <c r="AA1051" s="14"/>
    </row>
    <row r="1052" spans="26:27">
      <c r="Z1052" s="14"/>
      <c r="AA1052" s="14"/>
    </row>
    <row r="1053" spans="26:27">
      <c r="Z1053" s="14"/>
      <c r="AA1053" s="14"/>
    </row>
    <row r="1054" spans="26:27">
      <c r="Z1054" s="14"/>
      <c r="AA1054" s="14"/>
    </row>
    <row r="1055" spans="26:27">
      <c r="Z1055" s="14"/>
      <c r="AA1055" s="14"/>
    </row>
    <row r="1056" spans="26:27">
      <c r="Z1056" s="14"/>
      <c r="AA1056" s="14"/>
    </row>
    <row r="1057" spans="26:27">
      <c r="Z1057" s="14"/>
      <c r="AA1057" s="14"/>
    </row>
    <row r="1058" spans="26:27">
      <c r="Z1058" s="14"/>
      <c r="AA1058" s="14"/>
    </row>
    <row r="1059" spans="26:27">
      <c r="Z1059" s="14"/>
      <c r="AA1059" s="14"/>
    </row>
    <row r="1060" spans="26:27">
      <c r="Z1060" s="14"/>
      <c r="AA1060" s="14"/>
    </row>
    <row r="1061" spans="26:27">
      <c r="Z1061" s="14"/>
      <c r="AA1061" s="14"/>
    </row>
    <row r="1062" spans="26:27">
      <c r="Z1062" s="14"/>
      <c r="AA1062" s="14"/>
    </row>
    <row r="1063" spans="26:27">
      <c r="Z1063" s="14"/>
      <c r="AA1063" s="14"/>
    </row>
    <row r="1064" spans="26:27">
      <c r="Z1064" s="14"/>
      <c r="AA1064" s="14"/>
    </row>
    <row r="1065" spans="26:27">
      <c r="Z1065" s="14"/>
      <c r="AA1065" s="14"/>
    </row>
    <row r="1066" spans="26:27">
      <c r="Z1066" s="14"/>
      <c r="AA1066" s="14"/>
    </row>
    <row r="1067" spans="26:27">
      <c r="Z1067" s="14"/>
      <c r="AA1067" s="14"/>
    </row>
    <row r="1068" spans="26:27">
      <c r="Z1068" s="14"/>
      <c r="AA1068" s="14"/>
    </row>
    <row r="1069" spans="26:27">
      <c r="Z1069" s="14"/>
      <c r="AA1069" s="14"/>
    </row>
    <row r="1070" spans="26:27">
      <c r="Z1070" s="14"/>
      <c r="AA1070" s="14"/>
    </row>
    <row r="1071" spans="26:27">
      <c r="Z1071" s="14"/>
      <c r="AA1071" s="14"/>
    </row>
    <row r="1072" spans="26:27">
      <c r="Z1072" s="14"/>
      <c r="AA1072" s="14"/>
    </row>
    <row r="1073" spans="26:27">
      <c r="Z1073" s="14"/>
      <c r="AA1073" s="14"/>
    </row>
    <row r="1074" spans="26:27">
      <c r="Z1074" s="14"/>
      <c r="AA1074" s="14"/>
    </row>
    <row r="1075" spans="26:27">
      <c r="Z1075" s="14"/>
      <c r="AA1075" s="14"/>
    </row>
    <row r="1076" spans="26:27">
      <c r="Z1076" s="14"/>
      <c r="AA1076" s="14"/>
    </row>
    <row r="1077" spans="26:27">
      <c r="Z1077" s="14"/>
      <c r="AA1077" s="14"/>
    </row>
    <row r="1078" spans="26:27">
      <c r="Z1078" s="14"/>
      <c r="AA1078" s="14"/>
    </row>
    <row r="1079" spans="26:27">
      <c r="Z1079" s="14"/>
      <c r="AA1079" s="14"/>
    </row>
    <row r="1080" spans="26:27">
      <c r="Z1080" s="14"/>
      <c r="AA1080" s="14"/>
    </row>
    <row r="1081" spans="26:27">
      <c r="Z1081" s="14"/>
      <c r="AA1081" s="14"/>
    </row>
    <row r="1082" spans="26:27">
      <c r="Z1082" s="14"/>
      <c r="AA1082" s="14"/>
    </row>
    <row r="1083" spans="26:27">
      <c r="Z1083" s="14"/>
      <c r="AA1083" s="14"/>
    </row>
    <row r="1084" spans="26:27">
      <c r="Z1084" s="14"/>
      <c r="AA1084" s="14"/>
    </row>
    <row r="1085" spans="26:27">
      <c r="Z1085" s="14"/>
      <c r="AA1085" s="14"/>
    </row>
    <row r="1086" spans="26:27">
      <c r="Z1086" s="14"/>
      <c r="AA1086" s="14"/>
    </row>
    <row r="1087" spans="26:27">
      <c r="Z1087" s="14"/>
      <c r="AA1087" s="14"/>
    </row>
    <row r="1088" spans="26:27">
      <c r="Z1088" s="14"/>
      <c r="AA1088" s="14"/>
    </row>
    <row r="1089" spans="26:27">
      <c r="Z1089" s="14"/>
      <c r="AA1089" s="14"/>
    </row>
    <row r="1090" spans="26:27">
      <c r="Z1090" s="14"/>
      <c r="AA1090" s="14"/>
    </row>
    <row r="1091" spans="26:27">
      <c r="Z1091" s="14"/>
      <c r="AA1091" s="14"/>
    </row>
    <row r="1092" spans="26:27">
      <c r="Z1092" s="14"/>
      <c r="AA1092" s="14"/>
    </row>
    <row r="1093" spans="26:27">
      <c r="Z1093" s="14"/>
      <c r="AA1093" s="14"/>
    </row>
    <row r="1094" spans="26:27">
      <c r="Z1094" s="14"/>
      <c r="AA1094" s="14"/>
    </row>
    <row r="1095" spans="26:27">
      <c r="Z1095" s="14"/>
      <c r="AA1095" s="14"/>
    </row>
    <row r="1096" spans="26:27">
      <c r="Z1096" s="14"/>
      <c r="AA1096" s="14"/>
    </row>
    <row r="1097" spans="26:27">
      <c r="Z1097" s="14"/>
      <c r="AA1097" s="14"/>
    </row>
    <row r="1098" spans="26:27">
      <c r="Z1098" s="14"/>
      <c r="AA1098" s="14"/>
    </row>
    <row r="1099" spans="26:27">
      <c r="Z1099" s="14"/>
      <c r="AA1099" s="14"/>
    </row>
    <row r="1100" spans="26:27">
      <c r="Z1100" s="14"/>
      <c r="AA1100" s="14"/>
    </row>
    <row r="1101" spans="26:27">
      <c r="Z1101" s="14"/>
      <c r="AA1101" s="14"/>
    </row>
    <row r="1102" spans="26:27">
      <c r="AA1102" s="14"/>
    </row>
    <row r="1103" spans="26:27">
      <c r="AA1103" s="14"/>
    </row>
    <row r="1104" spans="26:27">
      <c r="AA1104" s="14"/>
    </row>
    <row r="1105" spans="27:27">
      <c r="AA1105" s="14"/>
    </row>
    <row r="1106" spans="27:27">
      <c r="AA1106" s="14"/>
    </row>
    <row r="1107" spans="27:27">
      <c r="AA1107" s="14"/>
    </row>
    <row r="1108" spans="27:27">
      <c r="AA1108" s="14"/>
    </row>
    <row r="1109" spans="27:27">
      <c r="AA1109" s="14"/>
    </row>
    <row r="1110" spans="27:27">
      <c r="AA1110" s="14"/>
    </row>
    <row r="1111" spans="27:27">
      <c r="AA1111" s="14"/>
    </row>
    <row r="1112" spans="27:27">
      <c r="AA1112" s="14"/>
    </row>
    <row r="1113" spans="27:27">
      <c r="AA1113" s="14"/>
    </row>
    <row r="1114" spans="27:27">
      <c r="AA1114" s="14"/>
    </row>
    <row r="1115" spans="27:27">
      <c r="AA1115" s="14"/>
    </row>
    <row r="1116" spans="27:27">
      <c r="AA1116" s="14"/>
    </row>
    <row r="1117" spans="27:27">
      <c r="AA1117" s="14"/>
    </row>
    <row r="1118" spans="27:27">
      <c r="AA1118" s="14"/>
    </row>
    <row r="1119" spans="27:27">
      <c r="AA1119" s="14"/>
    </row>
    <row r="1120" spans="27:27">
      <c r="AA1120" s="14"/>
    </row>
    <row r="1121" spans="27:27">
      <c r="AA1121" s="14"/>
    </row>
    <row r="1122" spans="27:27">
      <c r="AA1122" s="14"/>
    </row>
    <row r="1123" spans="27:27">
      <c r="AA1123" s="14"/>
    </row>
    <row r="1124" spans="27:27">
      <c r="AA1124" s="14"/>
    </row>
    <row r="1125" spans="27:27">
      <c r="AA1125" s="14"/>
    </row>
    <row r="1126" spans="27:27">
      <c r="AA1126" s="14"/>
    </row>
    <row r="1127" spans="27:27">
      <c r="AA1127" s="14"/>
    </row>
    <row r="1128" spans="27:27">
      <c r="AA1128" s="14"/>
    </row>
    <row r="1129" spans="27:27">
      <c r="AA1129" s="14"/>
    </row>
    <row r="1130" spans="27:27">
      <c r="AA1130" s="14"/>
    </row>
    <row r="1131" spans="27:27">
      <c r="AA1131" s="14"/>
    </row>
    <row r="1132" spans="27:27">
      <c r="AA1132" s="14"/>
    </row>
    <row r="1133" spans="27:27">
      <c r="AA1133" s="14"/>
    </row>
    <row r="1134" spans="27:27">
      <c r="AA1134" s="14"/>
    </row>
    <row r="1135" spans="27:27">
      <c r="AA1135" s="14"/>
    </row>
    <row r="1136" spans="27:27">
      <c r="AA1136" s="14"/>
    </row>
    <row r="1137" spans="27:27">
      <c r="AA1137" s="14"/>
    </row>
    <row r="1138" spans="27:27">
      <c r="AA1138" s="14"/>
    </row>
    <row r="1139" spans="27:27">
      <c r="AA1139" s="14"/>
    </row>
    <row r="1140" spans="27:27">
      <c r="AA1140" s="14"/>
    </row>
    <row r="1141" spans="27:27">
      <c r="AA1141" s="14"/>
    </row>
    <row r="1142" spans="27:27">
      <c r="AA1142" s="14"/>
    </row>
    <row r="1143" spans="27:27">
      <c r="AA1143" s="14"/>
    </row>
    <row r="1144" spans="27:27">
      <c r="AA1144" s="14"/>
    </row>
    <row r="1145" spans="27:27">
      <c r="AA1145" s="14"/>
    </row>
    <row r="1146" spans="27:27">
      <c r="AA1146" s="14"/>
    </row>
    <row r="1147" spans="27:27">
      <c r="AA1147" s="14"/>
    </row>
    <row r="1148" spans="27:27">
      <c r="AA1148" s="14"/>
    </row>
    <row r="1149" spans="27:27">
      <c r="AA1149" s="14"/>
    </row>
    <row r="1150" spans="27:27">
      <c r="AA1150" s="14"/>
    </row>
    <row r="1151" spans="27:27">
      <c r="AA1151" s="14"/>
    </row>
    <row r="1152" spans="27:27">
      <c r="AA1152" s="14"/>
    </row>
    <row r="1153" spans="27:27">
      <c r="AA1153" s="14"/>
    </row>
    <row r="1154" spans="27:27">
      <c r="AA1154" s="14"/>
    </row>
    <row r="1155" spans="27:27">
      <c r="AA1155" s="14"/>
    </row>
    <row r="1156" spans="27:27">
      <c r="AA1156" s="14"/>
    </row>
    <row r="1157" spans="27:27">
      <c r="AA1157" s="14"/>
    </row>
    <row r="1158" spans="27:27">
      <c r="AA1158" s="14"/>
    </row>
    <row r="1159" spans="27:27">
      <c r="AA1159" s="14"/>
    </row>
    <row r="1160" spans="27:27">
      <c r="AA1160" s="14"/>
    </row>
    <row r="1161" spans="27:27">
      <c r="AA1161" s="14"/>
    </row>
    <row r="1162" spans="27:27">
      <c r="AA1162" s="14"/>
    </row>
    <row r="1163" spans="27:27">
      <c r="AA1163" s="14"/>
    </row>
    <row r="1164" spans="27:27">
      <c r="AA1164" s="14"/>
    </row>
    <row r="1165" spans="27:27">
      <c r="AA1165" s="14"/>
    </row>
    <row r="1166" spans="27:27">
      <c r="AA1166" s="14"/>
    </row>
    <row r="1167" spans="27:27">
      <c r="AA1167" s="14"/>
    </row>
    <row r="1168" spans="27:27">
      <c r="AA1168" s="14"/>
    </row>
    <row r="1169" spans="27:27">
      <c r="AA1169" s="14"/>
    </row>
    <row r="1170" spans="27:27">
      <c r="AA1170" s="14"/>
    </row>
    <row r="1171" spans="27:27">
      <c r="AA1171" s="14"/>
    </row>
    <row r="1172" spans="27:27">
      <c r="AA1172" s="14"/>
    </row>
    <row r="1173" spans="27:27">
      <c r="AA1173" s="14"/>
    </row>
    <row r="1174" spans="27:27">
      <c r="AA1174" s="14"/>
    </row>
    <row r="1175" spans="27:27">
      <c r="AA1175" s="14"/>
    </row>
    <row r="1176" spans="27:27">
      <c r="AA1176" s="14"/>
    </row>
    <row r="1177" spans="27:27">
      <c r="AA1177" s="14"/>
    </row>
    <row r="1178" spans="27:27">
      <c r="AA1178" s="14"/>
    </row>
    <row r="1179" spans="27:27">
      <c r="AA1179" s="14"/>
    </row>
    <row r="1180" spans="27:27">
      <c r="AA1180" s="14"/>
    </row>
    <row r="1181" spans="27:27">
      <c r="AA1181" s="14"/>
    </row>
    <row r="1182" spans="27:27">
      <c r="AA1182" s="14"/>
    </row>
    <row r="1183" spans="27:27">
      <c r="AA1183" s="14"/>
    </row>
    <row r="1184" spans="27:27">
      <c r="AA1184" s="14"/>
    </row>
    <row r="1185" spans="27:27">
      <c r="AA1185" s="14"/>
    </row>
    <row r="1186" spans="27:27">
      <c r="AA1186" s="14"/>
    </row>
    <row r="1187" spans="27:27">
      <c r="AA1187" s="14"/>
    </row>
    <row r="1188" spans="27:27">
      <c r="AA1188" s="14"/>
    </row>
    <row r="1189" spans="27:27">
      <c r="AA1189" s="14"/>
    </row>
    <row r="1190" spans="27:27">
      <c r="AA1190" s="14"/>
    </row>
    <row r="1191" spans="27:27">
      <c r="AA1191" s="14"/>
    </row>
    <row r="1192" spans="27:27">
      <c r="AA1192" s="14"/>
    </row>
    <row r="1193" spans="27:27">
      <c r="AA1193" s="14"/>
    </row>
    <row r="1194" spans="27:27">
      <c r="AA1194" s="14"/>
    </row>
    <row r="1195" spans="27:27">
      <c r="AA1195" s="14"/>
    </row>
    <row r="1196" spans="27:27">
      <c r="AA1196" s="14"/>
    </row>
    <row r="1197" spans="27:27">
      <c r="AA1197" s="14"/>
    </row>
    <row r="1198" spans="27:27">
      <c r="AA1198" s="14"/>
    </row>
    <row r="1199" spans="27:27">
      <c r="AA1199" s="14"/>
    </row>
    <row r="1200" spans="27:27">
      <c r="AA1200" s="14"/>
    </row>
    <row r="1201" spans="27:27">
      <c r="AA1201" s="14"/>
    </row>
    <row r="1202" spans="27:27">
      <c r="AA1202" s="14"/>
    </row>
    <row r="1203" spans="27:27">
      <c r="AA1203" s="14"/>
    </row>
    <row r="1204" spans="27:27">
      <c r="AA1204" s="14"/>
    </row>
    <row r="1205" spans="27:27">
      <c r="AA1205" s="14"/>
    </row>
    <row r="1206" spans="27:27">
      <c r="AA1206" s="14"/>
    </row>
    <row r="1207" spans="27:27">
      <c r="AA1207" s="14"/>
    </row>
    <row r="1208" spans="27:27">
      <c r="AA1208" s="14"/>
    </row>
    <row r="1209" spans="27:27">
      <c r="AA1209" s="14"/>
    </row>
    <row r="1210" spans="27:27">
      <c r="AA1210" s="14"/>
    </row>
    <row r="1211" spans="27:27">
      <c r="AA1211" s="14"/>
    </row>
    <row r="1212" spans="27:27">
      <c r="AA1212" s="14"/>
    </row>
    <row r="1213" spans="27:27">
      <c r="AA1213" s="14"/>
    </row>
    <row r="1214" spans="27:27">
      <c r="AA1214" s="14"/>
    </row>
    <row r="1215" spans="27:27">
      <c r="AA1215" s="14"/>
    </row>
    <row r="1216" spans="27:27">
      <c r="AA1216" s="14"/>
    </row>
    <row r="1217" spans="27:27">
      <c r="AA1217" s="14"/>
    </row>
    <row r="1218" spans="27:27">
      <c r="AA1218" s="14"/>
    </row>
    <row r="1219" spans="27:27">
      <c r="AA1219" s="14"/>
    </row>
    <row r="1220" spans="27:27">
      <c r="AA1220" s="14"/>
    </row>
    <row r="1221" spans="27:27">
      <c r="AA1221" s="14"/>
    </row>
    <row r="1222" spans="27:27">
      <c r="AA1222" s="14"/>
    </row>
    <row r="1223" spans="27:27">
      <c r="AA1223" s="14"/>
    </row>
    <row r="1224" spans="27:27">
      <c r="AA1224" s="14"/>
    </row>
    <row r="1225" spans="27:27">
      <c r="AA1225" s="14"/>
    </row>
    <row r="1226" spans="27:27">
      <c r="AA1226" s="14"/>
    </row>
    <row r="1227" spans="27:27">
      <c r="AA1227" s="14"/>
    </row>
    <row r="1228" spans="27:27">
      <c r="AA1228" s="14"/>
    </row>
    <row r="1229" spans="27:27">
      <c r="AA1229" s="14"/>
    </row>
    <row r="1230" spans="27:27">
      <c r="AA1230" s="14"/>
    </row>
    <row r="1231" spans="27:27">
      <c r="AA1231" s="14"/>
    </row>
    <row r="1232" spans="27:27">
      <c r="AA1232" s="14"/>
    </row>
    <row r="1233" spans="27:27">
      <c r="AA1233" s="14"/>
    </row>
    <row r="1234" spans="27:27">
      <c r="AA1234" s="14"/>
    </row>
    <row r="1235" spans="27:27">
      <c r="AA1235" s="14"/>
    </row>
    <row r="1236" spans="27:27">
      <c r="AA1236" s="14"/>
    </row>
    <row r="1237" spans="27:27">
      <c r="AA1237" s="14"/>
    </row>
    <row r="1238" spans="27:27">
      <c r="AA1238" s="14"/>
    </row>
  </sheetData>
  <autoFilter ref="A1:Y699" xr:uid="{00000000-0009-0000-0000-000009000000}"/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1238"/>
  <sheetViews>
    <sheetView zoomScale="90" zoomScaleNormal="90" workbookViewId="0">
      <pane xSplit="10" ySplit="1" topLeftCell="K2" activePane="bottomRight" state="frozen"/>
      <selection pane="bottomRight" activeCell="A2" sqref="A2"/>
      <selection pane="bottomLeft" activeCell="A2" sqref="A2"/>
      <selection pane="topRight" activeCell="K1" sqref="K1"/>
    </sheetView>
  </sheetViews>
  <sheetFormatPr defaultColWidth="9" defaultRowHeight="15"/>
  <cols>
    <col min="1" max="1" width="10.42578125" style="1" customWidth="1"/>
    <col min="2" max="2" width="24.28515625" style="1" customWidth="1"/>
    <col min="3" max="3" width="42" customWidth="1"/>
    <col min="4" max="4" width="15.140625" style="2" customWidth="1"/>
    <col min="5" max="5" width="14.140625" style="2" customWidth="1"/>
    <col min="6" max="6" width="13.140625" style="1" customWidth="1"/>
    <col min="7" max="7" width="13.7109375" style="1" customWidth="1"/>
    <col min="8" max="8" width="9.7109375" style="1" customWidth="1"/>
    <col min="9" max="9" width="24.7109375" style="1" customWidth="1"/>
    <col min="10" max="10" width="18.85546875" style="1" customWidth="1"/>
    <col min="11" max="11" width="25.28515625" customWidth="1"/>
    <col min="13" max="13" width="20.7109375" style="1" customWidth="1"/>
    <col min="14" max="14" width="9.140625" style="1" customWidth="1"/>
    <col min="15" max="15" width="9.42578125" style="1" customWidth="1"/>
    <col min="16" max="16" width="19.85546875" style="1" customWidth="1"/>
    <col min="17" max="19" width="9.140625" style="1" customWidth="1"/>
    <col min="20" max="20" width="12" style="1" customWidth="1"/>
    <col min="21" max="21" width="19.85546875" style="1" customWidth="1"/>
    <col min="22" max="22" width="6.7109375" style="1" customWidth="1"/>
    <col min="23" max="23" width="5.7109375" style="1" customWidth="1"/>
    <col min="24" max="24" width="8.7109375" style="1" customWidth="1"/>
    <col min="25" max="25" width="9.7109375" customWidth="1"/>
    <col min="26" max="26" width="2.7109375" style="1" customWidth="1"/>
    <col min="27" max="27" width="10.85546875" style="1" customWidth="1"/>
    <col min="28" max="28" width="7.85546875" customWidth="1"/>
    <col min="29" max="29" width="14.7109375" customWidth="1"/>
    <col min="30" max="30" width="10.7109375" customWidth="1"/>
    <col min="31" max="31" width="17" customWidth="1"/>
    <col min="32" max="32" width="12.7109375" customWidth="1"/>
    <col min="34" max="34" width="12.28515625" style="1" customWidth="1"/>
  </cols>
  <sheetData>
    <row r="1" spans="1:34" ht="15.75">
      <c r="A1" s="3" t="s">
        <v>0</v>
      </c>
      <c r="B1" s="3" t="s">
        <v>1</v>
      </c>
      <c r="C1" s="4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>
        <f ca="1">NOW()</f>
        <v>44986.676271643519</v>
      </c>
      <c r="AA1" s="7" t="s">
        <v>24</v>
      </c>
      <c r="AB1" s="8">
        <f>SUBTOTAL(2,Z2:Z1700)</f>
        <v>698</v>
      </c>
      <c r="AC1" s="9" t="s">
        <v>25</v>
      </c>
      <c r="AD1" s="3" t="s">
        <v>26</v>
      </c>
      <c r="AE1" s="9">
        <f ca="1">NOW()</f>
        <v>44986.676271643519</v>
      </c>
      <c r="AF1" s="10"/>
    </row>
    <row r="2" spans="1:34">
      <c r="D2" s="1"/>
      <c r="E2" s="1"/>
      <c r="P2" s="11"/>
      <c r="U2" s="11"/>
      <c r="X2" s="13">
        <f>IF(RIGHT(H2,2)&lt;&gt;"00",H2,"")</f>
        <v>0</v>
      </c>
      <c r="Y2" s="2">
        <f t="shared" ref="Y2:Y65" ca="1" si="0">NETWORKDAYS(P2,$Y$1)</f>
        <v>32133</v>
      </c>
      <c r="Z2" s="14">
        <v>1</v>
      </c>
      <c r="AA2" s="1" t="str">
        <f t="shared" ref="AA2:AA65" ca="1" si="1">IF(AE2=0,"HOJE",IF(AE2&gt;0,"A VENCER",IF(AE2&lt;0,"VENCIDO")))</f>
        <v>VENCIDO</v>
      </c>
      <c r="AB2" s="1" t="str">
        <f t="shared" ref="AB2:AB65" si="2">IF(F2="GRPE-000001","C-14",IF(F2="GRPE-000002","C-14",IF(F2="GRPE-000003","C-14",IF(F2="GRPE-000004","SL-On",IF(F2="GRPE-000038","C-14",IF(F2="GRPE-900022","Dosa",IF(F2="GRPE-000029","Dosa",IF(F2="ATOS-000222","Dose","TAAe+"))))))))</f>
        <v>TAAe+</v>
      </c>
      <c r="AC2" s="2">
        <f>IF(J2="TR-PETROLINA"," ROSEMERE ",IF(J2="TR-GARANHUNS"," ROSEMERE ",IF(J2="TR-CARUARU"," ROSEMERE ",IF(J2="TR-RIBEIRAO"," CRISTINA ",IF(J2="TR-GRAVATA"," CRISTINA ",IF(J2="TR-GOIANA"," CRISTINA ",IF(J2="TR-LIMOEIRO"," CRISTINA ",IF(J2="TR-SERRA TALHADA"," RINALDO ",IF(J2="TR-SALGUEIRO"," RINALDO ",IF(J2="TR-CARNAIBA"," RINALDO ",IF(J2="TR-ARCOVERDE"," RINALDO ",IF(J2="CAT-RECIFE"," CLEITON ",))))))))))))</f>
        <v>0</v>
      </c>
      <c r="AD2" s="2">
        <f t="shared" ref="AD2:AD65" si="3">IF(F2="GRPE-000001",5,IF(F2="GRPE-000002",5,IF(F2="GRPE-000003",15,IF(F2="GRPE-000004",1,IF(F2="GRPE-000038",5,IF(F2="GRPE-900022",5,IF(F2="GRPE-000029",5,IF(F2="ATOS-000222",5,8))))))))</f>
        <v>8</v>
      </c>
      <c r="AE2" s="2">
        <f t="shared" ref="AE2:AE65" ca="1" si="4">IF(U2=$AE$1,"",U2-$AE$1)</f>
        <v>-44986.676271643519</v>
      </c>
      <c r="AF2" s="15"/>
      <c r="AH2" s="16"/>
    </row>
    <row r="3" spans="1:34">
      <c r="D3" s="1"/>
      <c r="E3" s="1"/>
      <c r="P3" s="11"/>
      <c r="U3" s="11"/>
      <c r="X3" s="13">
        <f t="shared" ref="X2:X65" si="5">IF(RIGHT(H3,2)&lt;&gt;"00",H3,"")</f>
        <v>0</v>
      </c>
      <c r="Y3" s="2">
        <f t="shared" ca="1" si="0"/>
        <v>32133</v>
      </c>
      <c r="Z3" s="14">
        <v>1</v>
      </c>
      <c r="AA3" s="1" t="str">
        <f t="shared" ca="1" si="1"/>
        <v>VENCIDO</v>
      </c>
      <c r="AB3" s="1" t="str">
        <f t="shared" si="2"/>
        <v>TAAe+</v>
      </c>
      <c r="AC3" s="2">
        <f t="shared" ref="AC3:AC66" si="6">IF(J3="TR-PETROLINA"," ROSEMERE ",IF(J3="TR-GARANHUNS"," ROSEMERE ",IF(J3="TR-CARUARU"," ROSEMERE ",IF(J3="TR-RIBEIRAO"," CRISTINA ",IF(J3="TR-GRAVATA"," CRISTINA ",IF(J3="TR-GOIANA"," CRISTINA ",IF(J3="TR-LIMOEIRO"," CRISTINA ",IF(J3="TR-SERRA TALHADA"," RINALDO ",IF(J3="TR-SALGUEIRO"," RINALDO ",IF(J3="TR-CARNAIBA"," RINALDO ",IF(J3="TR-ARCOVERDE"," RINALDO ",IF(J3="CAT-RECIFE"," CLEITON ",))))))))))))</f>
        <v>0</v>
      </c>
      <c r="AD3" s="2">
        <f t="shared" si="3"/>
        <v>8</v>
      </c>
      <c r="AE3" s="2">
        <f t="shared" ca="1" si="4"/>
        <v>-44986.676271643519</v>
      </c>
      <c r="AF3" s="15"/>
      <c r="AH3" s="17"/>
    </row>
    <row r="4" spans="1:34">
      <c r="D4" s="1"/>
      <c r="E4" s="1"/>
      <c r="P4" s="11"/>
      <c r="U4" s="11"/>
      <c r="X4" s="13">
        <f t="shared" si="5"/>
        <v>0</v>
      </c>
      <c r="Y4" s="2">
        <f t="shared" ca="1" si="0"/>
        <v>32133</v>
      </c>
      <c r="Z4" s="14">
        <v>1</v>
      </c>
      <c r="AA4" s="1" t="str">
        <f t="shared" ca="1" si="1"/>
        <v>VENCIDO</v>
      </c>
      <c r="AB4" s="1" t="str">
        <f t="shared" si="2"/>
        <v>TAAe+</v>
      </c>
      <c r="AC4" s="2">
        <f t="shared" si="6"/>
        <v>0</v>
      </c>
      <c r="AD4" s="2">
        <f t="shared" si="3"/>
        <v>8</v>
      </c>
      <c r="AE4" s="2">
        <f t="shared" ca="1" si="4"/>
        <v>-44986.676271643519</v>
      </c>
      <c r="AF4" s="15"/>
      <c r="AH4" s="16"/>
    </row>
    <row r="5" spans="1:34">
      <c r="C5" s="23"/>
      <c r="D5" s="1"/>
      <c r="E5" s="1"/>
      <c r="P5" s="11"/>
      <c r="U5" s="11"/>
      <c r="X5" s="13">
        <f t="shared" si="5"/>
        <v>0</v>
      </c>
      <c r="Y5" s="2">
        <f t="shared" ca="1" si="0"/>
        <v>32133</v>
      </c>
      <c r="Z5" s="14">
        <v>1</v>
      </c>
      <c r="AA5" s="1" t="str">
        <f t="shared" ca="1" si="1"/>
        <v>VENCIDO</v>
      </c>
      <c r="AB5" s="1" t="str">
        <f t="shared" si="2"/>
        <v>TAAe+</v>
      </c>
      <c r="AC5" s="2">
        <f t="shared" si="6"/>
        <v>0</v>
      </c>
      <c r="AD5" s="2">
        <f t="shared" si="3"/>
        <v>8</v>
      </c>
      <c r="AE5" s="2">
        <f t="shared" ca="1" si="4"/>
        <v>-44986.676271643519</v>
      </c>
      <c r="AF5" s="15"/>
      <c r="AH5" s="16"/>
    </row>
    <row r="6" spans="1:34">
      <c r="D6" s="1"/>
      <c r="E6" s="1"/>
      <c r="P6" s="48"/>
      <c r="X6" s="13">
        <f t="shared" si="5"/>
        <v>0</v>
      </c>
      <c r="Y6" s="2">
        <f t="shared" ca="1" si="0"/>
        <v>32133</v>
      </c>
      <c r="Z6" s="14">
        <v>1</v>
      </c>
      <c r="AA6" s="1" t="str">
        <f t="shared" ca="1" si="1"/>
        <v>VENCIDO</v>
      </c>
      <c r="AB6" s="1" t="str">
        <f t="shared" si="2"/>
        <v>TAAe+</v>
      </c>
      <c r="AC6" s="2">
        <f t="shared" si="6"/>
        <v>0</v>
      </c>
      <c r="AD6" s="2">
        <f t="shared" si="3"/>
        <v>8</v>
      </c>
      <c r="AE6" s="2">
        <f t="shared" ca="1" si="4"/>
        <v>-44986.676271643519</v>
      </c>
      <c r="AF6" s="15"/>
      <c r="AH6" s="16"/>
    </row>
    <row r="7" spans="1:34">
      <c r="D7" s="1"/>
      <c r="E7" s="1"/>
      <c r="P7" s="48"/>
      <c r="U7" s="11"/>
      <c r="X7" s="13">
        <f t="shared" si="5"/>
        <v>0</v>
      </c>
      <c r="Y7" s="2">
        <f t="shared" ca="1" si="0"/>
        <v>32133</v>
      </c>
      <c r="Z7" s="14">
        <v>1</v>
      </c>
      <c r="AA7" s="1" t="str">
        <f t="shared" ca="1" si="1"/>
        <v>VENCIDO</v>
      </c>
      <c r="AB7" s="1" t="str">
        <f t="shared" si="2"/>
        <v>TAAe+</v>
      </c>
      <c r="AC7" s="2">
        <f t="shared" si="6"/>
        <v>0</v>
      </c>
      <c r="AD7" s="2">
        <f t="shared" si="3"/>
        <v>8</v>
      </c>
      <c r="AE7" s="2">
        <f t="shared" ca="1" si="4"/>
        <v>-44986.676271643519</v>
      </c>
      <c r="AF7" s="15"/>
      <c r="AH7" s="16"/>
    </row>
    <row r="8" spans="1:34">
      <c r="C8" s="23"/>
      <c r="D8" s="1"/>
      <c r="E8" s="1"/>
      <c r="P8" s="48"/>
      <c r="U8" s="11"/>
      <c r="X8" s="13">
        <f t="shared" si="5"/>
        <v>0</v>
      </c>
      <c r="Y8" s="2">
        <f t="shared" ca="1" si="0"/>
        <v>32133</v>
      </c>
      <c r="Z8" s="14">
        <v>1</v>
      </c>
      <c r="AA8" s="1" t="str">
        <f t="shared" ca="1" si="1"/>
        <v>VENCIDO</v>
      </c>
      <c r="AB8" s="1" t="str">
        <f t="shared" si="2"/>
        <v>TAAe+</v>
      </c>
      <c r="AC8" s="2">
        <f t="shared" si="6"/>
        <v>0</v>
      </c>
      <c r="AD8" s="2">
        <f t="shared" si="3"/>
        <v>8</v>
      </c>
      <c r="AE8" s="2">
        <f t="shared" ca="1" si="4"/>
        <v>-44986.676271643519</v>
      </c>
      <c r="AF8" s="15"/>
      <c r="AH8" s="16"/>
    </row>
    <row r="9" spans="1:34">
      <c r="D9" s="1"/>
      <c r="E9" s="1"/>
      <c r="P9" s="48"/>
      <c r="U9" s="11"/>
      <c r="X9" s="13">
        <f t="shared" si="5"/>
        <v>0</v>
      </c>
      <c r="Y9" s="2">
        <f t="shared" ca="1" si="0"/>
        <v>32133</v>
      </c>
      <c r="Z9" s="14">
        <v>1</v>
      </c>
      <c r="AA9" s="1" t="str">
        <f t="shared" ca="1" si="1"/>
        <v>VENCIDO</v>
      </c>
      <c r="AB9" s="1" t="str">
        <f t="shared" si="2"/>
        <v>TAAe+</v>
      </c>
      <c r="AC9" s="2">
        <f t="shared" si="6"/>
        <v>0</v>
      </c>
      <c r="AD9" s="2">
        <f t="shared" si="3"/>
        <v>8</v>
      </c>
      <c r="AE9" s="2">
        <f t="shared" ca="1" si="4"/>
        <v>-44986.676271643519</v>
      </c>
      <c r="AF9" s="15"/>
      <c r="AH9" s="16"/>
    </row>
    <row r="10" spans="1:34">
      <c r="D10" s="1"/>
      <c r="E10" s="1"/>
      <c r="P10" s="48"/>
      <c r="X10" s="13">
        <f t="shared" si="5"/>
        <v>0</v>
      </c>
      <c r="Y10" s="2">
        <f t="shared" ca="1" si="0"/>
        <v>32133</v>
      </c>
      <c r="Z10" s="14">
        <v>1</v>
      </c>
      <c r="AA10" s="1" t="str">
        <f t="shared" ca="1" si="1"/>
        <v>VENCIDO</v>
      </c>
      <c r="AB10" s="1" t="str">
        <f t="shared" si="2"/>
        <v>TAAe+</v>
      </c>
      <c r="AC10" s="2">
        <f t="shared" si="6"/>
        <v>0</v>
      </c>
      <c r="AD10" s="2">
        <f t="shared" si="3"/>
        <v>8</v>
      </c>
      <c r="AE10" s="2">
        <f t="shared" ca="1" si="4"/>
        <v>-44986.676271643519</v>
      </c>
      <c r="AF10" s="15"/>
    </row>
    <row r="11" spans="1:34">
      <c r="D11" s="1"/>
      <c r="E11" s="1"/>
      <c r="P11" s="48"/>
      <c r="U11" s="11"/>
      <c r="X11" s="13">
        <f t="shared" si="5"/>
        <v>0</v>
      </c>
      <c r="Y11" s="2">
        <f t="shared" ca="1" si="0"/>
        <v>32133</v>
      </c>
      <c r="Z11" s="14">
        <v>1</v>
      </c>
      <c r="AA11" s="1" t="str">
        <f t="shared" ca="1" si="1"/>
        <v>VENCIDO</v>
      </c>
      <c r="AB11" s="1" t="str">
        <f t="shared" si="2"/>
        <v>TAAe+</v>
      </c>
      <c r="AC11" s="2">
        <f t="shared" si="6"/>
        <v>0</v>
      </c>
      <c r="AD11" s="2">
        <f t="shared" si="3"/>
        <v>8</v>
      </c>
      <c r="AE11" s="2">
        <f t="shared" ca="1" si="4"/>
        <v>-44986.676271643519</v>
      </c>
      <c r="AF11" s="15"/>
    </row>
    <row r="12" spans="1:34">
      <c r="D12" s="1"/>
      <c r="E12" s="1"/>
      <c r="P12" s="48"/>
      <c r="U12" s="11"/>
      <c r="X12" s="13">
        <f t="shared" si="5"/>
        <v>0</v>
      </c>
      <c r="Y12" s="2">
        <f t="shared" ca="1" si="0"/>
        <v>32133</v>
      </c>
      <c r="Z12" s="14">
        <v>1</v>
      </c>
      <c r="AA12" s="1" t="str">
        <f t="shared" ca="1" si="1"/>
        <v>VENCIDO</v>
      </c>
      <c r="AB12" s="1" t="str">
        <f t="shared" si="2"/>
        <v>TAAe+</v>
      </c>
      <c r="AC12" s="2">
        <f t="shared" si="6"/>
        <v>0</v>
      </c>
      <c r="AD12" s="2">
        <f t="shared" si="3"/>
        <v>8</v>
      </c>
      <c r="AE12" s="2">
        <f t="shared" ca="1" si="4"/>
        <v>-44986.676271643519</v>
      </c>
      <c r="AF12" s="15"/>
    </row>
    <row r="13" spans="1:34">
      <c r="D13" s="1"/>
      <c r="E13" s="1"/>
      <c r="P13" s="48"/>
      <c r="U13" s="11"/>
      <c r="X13" s="13">
        <f t="shared" si="5"/>
        <v>0</v>
      </c>
      <c r="Y13" s="2">
        <f t="shared" ca="1" si="0"/>
        <v>32133</v>
      </c>
      <c r="Z13" s="14">
        <v>1</v>
      </c>
      <c r="AA13" s="1" t="str">
        <f t="shared" ca="1" si="1"/>
        <v>VENCIDO</v>
      </c>
      <c r="AB13" s="1" t="str">
        <f t="shared" si="2"/>
        <v>TAAe+</v>
      </c>
      <c r="AC13" s="2">
        <f t="shared" si="6"/>
        <v>0</v>
      </c>
      <c r="AD13" s="2">
        <f t="shared" si="3"/>
        <v>8</v>
      </c>
      <c r="AE13" s="2">
        <f t="shared" ca="1" si="4"/>
        <v>-44986.676271643519</v>
      </c>
      <c r="AF13" s="15"/>
    </row>
    <row r="14" spans="1:34">
      <c r="D14" s="1"/>
      <c r="E14" s="1"/>
      <c r="P14" s="48"/>
      <c r="U14" s="11"/>
      <c r="X14" s="13">
        <f t="shared" si="5"/>
        <v>0</v>
      </c>
      <c r="Y14" s="2">
        <f t="shared" ca="1" si="0"/>
        <v>32133</v>
      </c>
      <c r="Z14" s="14">
        <v>1</v>
      </c>
      <c r="AA14" s="1" t="str">
        <f t="shared" ca="1" si="1"/>
        <v>VENCIDO</v>
      </c>
      <c r="AB14" s="1" t="str">
        <f t="shared" si="2"/>
        <v>TAAe+</v>
      </c>
      <c r="AC14" s="2">
        <f t="shared" si="6"/>
        <v>0</v>
      </c>
      <c r="AD14" s="2">
        <f t="shared" si="3"/>
        <v>8</v>
      </c>
      <c r="AE14" s="2">
        <f t="shared" ca="1" si="4"/>
        <v>-44986.676271643519</v>
      </c>
      <c r="AF14" s="15"/>
    </row>
    <row r="15" spans="1:34">
      <c r="D15" s="1"/>
      <c r="E15" s="1"/>
      <c r="P15" s="48"/>
      <c r="U15" s="11"/>
      <c r="X15" s="13">
        <f t="shared" si="5"/>
        <v>0</v>
      </c>
      <c r="Y15" s="2">
        <f t="shared" ca="1" si="0"/>
        <v>32133</v>
      </c>
      <c r="Z15" s="14">
        <v>1</v>
      </c>
      <c r="AA15" s="1" t="str">
        <f t="shared" ca="1" si="1"/>
        <v>VENCIDO</v>
      </c>
      <c r="AB15" s="1" t="str">
        <f t="shared" si="2"/>
        <v>TAAe+</v>
      </c>
      <c r="AC15" s="2">
        <f t="shared" si="6"/>
        <v>0</v>
      </c>
      <c r="AD15" s="2">
        <f t="shared" si="3"/>
        <v>8</v>
      </c>
      <c r="AE15" s="2">
        <f t="shared" ca="1" si="4"/>
        <v>-44986.676271643519</v>
      </c>
      <c r="AF15" s="15"/>
    </row>
    <row r="16" spans="1:34">
      <c r="D16" s="1"/>
      <c r="E16" s="1"/>
      <c r="P16" s="48"/>
      <c r="U16" s="11"/>
      <c r="X16" s="13">
        <f t="shared" si="5"/>
        <v>0</v>
      </c>
      <c r="Y16" s="2">
        <f t="shared" ca="1" si="0"/>
        <v>32133</v>
      </c>
      <c r="Z16" s="14">
        <v>1</v>
      </c>
      <c r="AA16" s="1" t="str">
        <f t="shared" ca="1" si="1"/>
        <v>VENCIDO</v>
      </c>
      <c r="AB16" s="1" t="str">
        <f t="shared" si="2"/>
        <v>TAAe+</v>
      </c>
      <c r="AC16" s="2">
        <f t="shared" si="6"/>
        <v>0</v>
      </c>
      <c r="AD16" s="2">
        <f t="shared" si="3"/>
        <v>8</v>
      </c>
      <c r="AE16" s="2">
        <f t="shared" ca="1" si="4"/>
        <v>-44986.676271643519</v>
      </c>
      <c r="AF16" s="15"/>
    </row>
    <row r="17" spans="3:32">
      <c r="D17" s="1"/>
      <c r="E17" s="1"/>
      <c r="P17" s="48"/>
      <c r="U17" s="11"/>
      <c r="X17" s="13">
        <f t="shared" si="5"/>
        <v>0</v>
      </c>
      <c r="Y17" s="2">
        <f t="shared" ca="1" si="0"/>
        <v>32133</v>
      </c>
      <c r="Z17" s="14">
        <v>1</v>
      </c>
      <c r="AA17" s="1" t="str">
        <f t="shared" ca="1" si="1"/>
        <v>VENCIDO</v>
      </c>
      <c r="AB17" s="1" t="str">
        <f t="shared" si="2"/>
        <v>TAAe+</v>
      </c>
      <c r="AC17" s="2">
        <f t="shared" si="6"/>
        <v>0</v>
      </c>
      <c r="AD17" s="2">
        <f t="shared" si="3"/>
        <v>8</v>
      </c>
      <c r="AE17" s="2">
        <f t="shared" ca="1" si="4"/>
        <v>-44986.676271643519</v>
      </c>
      <c r="AF17" s="15"/>
    </row>
    <row r="18" spans="3:32">
      <c r="D18" s="1"/>
      <c r="E18" s="1"/>
      <c r="P18" s="48"/>
      <c r="U18" s="11"/>
      <c r="X18" s="13">
        <f t="shared" si="5"/>
        <v>0</v>
      </c>
      <c r="Y18" s="2">
        <f t="shared" ca="1" si="0"/>
        <v>32133</v>
      </c>
      <c r="Z18" s="14">
        <v>1</v>
      </c>
      <c r="AA18" s="1" t="str">
        <f t="shared" ca="1" si="1"/>
        <v>VENCIDO</v>
      </c>
      <c r="AB18" s="1" t="str">
        <f t="shared" si="2"/>
        <v>TAAe+</v>
      </c>
      <c r="AC18" s="2">
        <f t="shared" si="6"/>
        <v>0</v>
      </c>
      <c r="AD18" s="2">
        <f t="shared" si="3"/>
        <v>8</v>
      </c>
      <c r="AE18" s="2">
        <f t="shared" ca="1" si="4"/>
        <v>-44986.676271643519</v>
      </c>
      <c r="AF18" s="15"/>
    </row>
    <row r="19" spans="3:32">
      <c r="D19" s="1"/>
      <c r="E19" s="1"/>
      <c r="P19" s="48"/>
      <c r="U19" s="11"/>
      <c r="X19" s="13">
        <f t="shared" si="5"/>
        <v>0</v>
      </c>
      <c r="Y19" s="2">
        <f t="shared" ca="1" si="0"/>
        <v>32133</v>
      </c>
      <c r="Z19" s="14">
        <v>1</v>
      </c>
      <c r="AA19" s="1" t="str">
        <f t="shared" ca="1" si="1"/>
        <v>VENCIDO</v>
      </c>
      <c r="AB19" s="1" t="str">
        <f t="shared" si="2"/>
        <v>TAAe+</v>
      </c>
      <c r="AC19" s="2">
        <f t="shared" si="6"/>
        <v>0</v>
      </c>
      <c r="AD19" s="2">
        <f t="shared" si="3"/>
        <v>8</v>
      </c>
      <c r="AE19" s="2">
        <f t="shared" ca="1" si="4"/>
        <v>-44986.676271643519</v>
      </c>
      <c r="AF19" s="15"/>
    </row>
    <row r="20" spans="3:32">
      <c r="C20" s="23"/>
      <c r="D20" s="1"/>
      <c r="E20" s="1"/>
      <c r="P20" s="48"/>
      <c r="U20" s="11"/>
      <c r="X20" s="13">
        <f t="shared" si="5"/>
        <v>0</v>
      </c>
      <c r="Y20" s="2">
        <f t="shared" ca="1" si="0"/>
        <v>32133</v>
      </c>
      <c r="Z20" s="14">
        <v>1</v>
      </c>
      <c r="AA20" s="1" t="str">
        <f t="shared" ca="1" si="1"/>
        <v>VENCIDO</v>
      </c>
      <c r="AB20" s="1" t="str">
        <f t="shared" si="2"/>
        <v>TAAe+</v>
      </c>
      <c r="AC20" s="2">
        <f t="shared" si="6"/>
        <v>0</v>
      </c>
      <c r="AD20" s="2">
        <f t="shared" si="3"/>
        <v>8</v>
      </c>
      <c r="AE20" s="2">
        <f t="shared" ca="1" si="4"/>
        <v>-44986.676271643519</v>
      </c>
      <c r="AF20" s="15"/>
    </row>
    <row r="21" spans="3:32">
      <c r="D21" s="1"/>
      <c r="E21" s="1"/>
      <c r="P21" s="48"/>
      <c r="U21" s="11"/>
      <c r="X21" s="13">
        <f t="shared" si="5"/>
        <v>0</v>
      </c>
      <c r="Y21" s="2">
        <f t="shared" ca="1" si="0"/>
        <v>32133</v>
      </c>
      <c r="Z21" s="14">
        <v>1</v>
      </c>
      <c r="AA21" s="1" t="str">
        <f t="shared" ca="1" si="1"/>
        <v>VENCIDO</v>
      </c>
      <c r="AB21" s="1" t="str">
        <f t="shared" si="2"/>
        <v>TAAe+</v>
      </c>
      <c r="AC21" s="2">
        <f t="shared" si="6"/>
        <v>0</v>
      </c>
      <c r="AD21" s="2">
        <f t="shared" si="3"/>
        <v>8</v>
      </c>
      <c r="AE21" s="2">
        <f t="shared" ca="1" si="4"/>
        <v>-44986.676271643519</v>
      </c>
      <c r="AF21" s="15"/>
    </row>
    <row r="22" spans="3:32">
      <c r="D22" s="1"/>
      <c r="E22" s="1"/>
      <c r="P22" s="48"/>
      <c r="U22" s="11"/>
      <c r="X22" s="13">
        <f t="shared" si="5"/>
        <v>0</v>
      </c>
      <c r="Y22" s="2">
        <f t="shared" ca="1" si="0"/>
        <v>32133</v>
      </c>
      <c r="Z22" s="14">
        <v>1</v>
      </c>
      <c r="AA22" s="1" t="str">
        <f t="shared" ca="1" si="1"/>
        <v>VENCIDO</v>
      </c>
      <c r="AB22" s="1" t="str">
        <f t="shared" si="2"/>
        <v>TAAe+</v>
      </c>
      <c r="AC22" s="2">
        <f t="shared" si="6"/>
        <v>0</v>
      </c>
      <c r="AD22" s="2">
        <f t="shared" si="3"/>
        <v>8</v>
      </c>
      <c r="AE22" s="2">
        <f t="shared" ca="1" si="4"/>
        <v>-44986.676271643519</v>
      </c>
      <c r="AF22" s="15"/>
    </row>
    <row r="23" spans="3:32">
      <c r="D23" s="1"/>
      <c r="E23" s="1"/>
      <c r="P23" s="48"/>
      <c r="U23" s="11"/>
      <c r="X23" s="13">
        <f t="shared" si="5"/>
        <v>0</v>
      </c>
      <c r="Y23" s="2">
        <f t="shared" ca="1" si="0"/>
        <v>32133</v>
      </c>
      <c r="Z23" s="14">
        <v>1</v>
      </c>
      <c r="AA23" s="1" t="str">
        <f t="shared" ca="1" si="1"/>
        <v>VENCIDO</v>
      </c>
      <c r="AB23" s="1" t="str">
        <f t="shared" si="2"/>
        <v>TAAe+</v>
      </c>
      <c r="AC23" s="2">
        <f t="shared" si="6"/>
        <v>0</v>
      </c>
      <c r="AD23" s="2">
        <f t="shared" si="3"/>
        <v>8</v>
      </c>
      <c r="AE23" s="2">
        <f t="shared" ca="1" si="4"/>
        <v>-44986.676271643519</v>
      </c>
      <c r="AF23" s="15"/>
    </row>
    <row r="24" spans="3:32">
      <c r="D24" s="1"/>
      <c r="E24" s="1"/>
      <c r="P24" s="48"/>
      <c r="U24" s="11"/>
      <c r="X24" s="13">
        <f t="shared" si="5"/>
        <v>0</v>
      </c>
      <c r="Y24" s="2">
        <f t="shared" ca="1" si="0"/>
        <v>32133</v>
      </c>
      <c r="Z24" s="14">
        <v>1</v>
      </c>
      <c r="AA24" s="1" t="str">
        <f t="shared" ca="1" si="1"/>
        <v>VENCIDO</v>
      </c>
      <c r="AB24" s="1" t="str">
        <f t="shared" si="2"/>
        <v>TAAe+</v>
      </c>
      <c r="AC24" s="2">
        <f t="shared" si="6"/>
        <v>0</v>
      </c>
      <c r="AD24" s="2">
        <f t="shared" si="3"/>
        <v>8</v>
      </c>
      <c r="AE24" s="2">
        <f t="shared" ca="1" si="4"/>
        <v>-44986.676271643519</v>
      </c>
      <c r="AF24" s="15"/>
    </row>
    <row r="25" spans="3:32">
      <c r="D25" s="1"/>
      <c r="E25" s="1"/>
      <c r="P25" s="11"/>
      <c r="U25" s="11"/>
      <c r="X25" s="13">
        <f t="shared" si="5"/>
        <v>0</v>
      </c>
      <c r="Y25" s="2">
        <f t="shared" ca="1" si="0"/>
        <v>32133</v>
      </c>
      <c r="Z25" s="14">
        <v>1</v>
      </c>
      <c r="AA25" s="1" t="str">
        <f t="shared" ca="1" si="1"/>
        <v>VENCIDO</v>
      </c>
      <c r="AB25" s="1" t="str">
        <f t="shared" si="2"/>
        <v>TAAe+</v>
      </c>
      <c r="AC25" s="2">
        <f t="shared" si="6"/>
        <v>0</v>
      </c>
      <c r="AD25" s="2">
        <f t="shared" si="3"/>
        <v>8</v>
      </c>
      <c r="AE25" s="2">
        <f t="shared" ca="1" si="4"/>
        <v>-44986.676271643519</v>
      </c>
      <c r="AF25" s="15"/>
    </row>
    <row r="26" spans="3:32">
      <c r="D26" s="1"/>
      <c r="E26" s="1"/>
      <c r="P26" s="11"/>
      <c r="U26" s="11"/>
      <c r="X26" s="13">
        <f t="shared" si="5"/>
        <v>0</v>
      </c>
      <c r="Y26" s="2">
        <f t="shared" ca="1" si="0"/>
        <v>32133</v>
      </c>
      <c r="Z26" s="14">
        <v>1</v>
      </c>
      <c r="AA26" s="1" t="str">
        <f t="shared" ca="1" si="1"/>
        <v>VENCIDO</v>
      </c>
      <c r="AB26" s="1" t="str">
        <f t="shared" si="2"/>
        <v>TAAe+</v>
      </c>
      <c r="AC26" s="2">
        <f t="shared" si="6"/>
        <v>0</v>
      </c>
      <c r="AD26" s="2">
        <f t="shared" si="3"/>
        <v>8</v>
      </c>
      <c r="AE26" s="2">
        <f t="shared" ca="1" si="4"/>
        <v>-44986.676271643519</v>
      </c>
      <c r="AF26" s="15"/>
    </row>
    <row r="27" spans="3:32">
      <c r="D27" s="1"/>
      <c r="E27" s="1"/>
      <c r="P27" s="11"/>
      <c r="U27" s="11"/>
      <c r="X27" s="13">
        <f t="shared" si="5"/>
        <v>0</v>
      </c>
      <c r="Y27" s="2">
        <f t="shared" ca="1" si="0"/>
        <v>32133</v>
      </c>
      <c r="Z27" s="14">
        <v>1</v>
      </c>
      <c r="AA27" s="1" t="str">
        <f t="shared" ca="1" si="1"/>
        <v>VENCIDO</v>
      </c>
      <c r="AB27" s="1" t="str">
        <f t="shared" si="2"/>
        <v>TAAe+</v>
      </c>
      <c r="AC27" s="2">
        <f t="shared" si="6"/>
        <v>0</v>
      </c>
      <c r="AD27" s="2">
        <f t="shared" si="3"/>
        <v>8</v>
      </c>
      <c r="AE27" s="2">
        <f t="shared" ca="1" si="4"/>
        <v>-44986.676271643519</v>
      </c>
      <c r="AF27" s="15"/>
    </row>
    <row r="28" spans="3:32">
      <c r="D28" s="1"/>
      <c r="E28" s="1"/>
      <c r="P28" s="11"/>
      <c r="U28" s="11"/>
      <c r="X28" s="13">
        <f t="shared" si="5"/>
        <v>0</v>
      </c>
      <c r="Y28" s="2">
        <f t="shared" ca="1" si="0"/>
        <v>32133</v>
      </c>
      <c r="Z28" s="14">
        <v>1</v>
      </c>
      <c r="AA28" s="1" t="str">
        <f t="shared" ca="1" si="1"/>
        <v>VENCIDO</v>
      </c>
      <c r="AB28" s="1" t="str">
        <f t="shared" si="2"/>
        <v>TAAe+</v>
      </c>
      <c r="AC28" s="2">
        <f t="shared" si="6"/>
        <v>0</v>
      </c>
      <c r="AD28" s="2">
        <f t="shared" si="3"/>
        <v>8</v>
      </c>
      <c r="AE28" s="2">
        <f t="shared" ca="1" si="4"/>
        <v>-44986.676271643519</v>
      </c>
      <c r="AF28" s="15"/>
    </row>
    <row r="29" spans="3:32">
      <c r="D29" s="1"/>
      <c r="E29" s="1"/>
      <c r="P29" s="11"/>
      <c r="U29" s="11"/>
      <c r="X29" s="13">
        <f t="shared" si="5"/>
        <v>0</v>
      </c>
      <c r="Y29" s="2">
        <f t="shared" ca="1" si="0"/>
        <v>32133</v>
      </c>
      <c r="Z29" s="14">
        <v>1</v>
      </c>
      <c r="AA29" s="1" t="str">
        <f t="shared" ca="1" si="1"/>
        <v>VENCIDO</v>
      </c>
      <c r="AB29" s="1" t="str">
        <f t="shared" si="2"/>
        <v>TAAe+</v>
      </c>
      <c r="AC29" s="2">
        <f t="shared" si="6"/>
        <v>0</v>
      </c>
      <c r="AD29" s="2">
        <f t="shared" si="3"/>
        <v>8</v>
      </c>
      <c r="AE29" s="2">
        <f t="shared" ca="1" si="4"/>
        <v>-44986.676271643519</v>
      </c>
      <c r="AF29" s="15"/>
    </row>
    <row r="30" spans="3:32">
      <c r="D30" s="1"/>
      <c r="E30" s="1"/>
      <c r="P30" s="11"/>
      <c r="U30" s="11"/>
      <c r="X30" s="13">
        <f t="shared" si="5"/>
        <v>0</v>
      </c>
      <c r="Y30" s="2">
        <f t="shared" ca="1" si="0"/>
        <v>32133</v>
      </c>
      <c r="Z30" s="14">
        <v>1</v>
      </c>
      <c r="AA30" s="1" t="str">
        <f t="shared" ca="1" si="1"/>
        <v>VENCIDO</v>
      </c>
      <c r="AB30" s="1" t="str">
        <f t="shared" si="2"/>
        <v>TAAe+</v>
      </c>
      <c r="AC30" s="2">
        <f t="shared" si="6"/>
        <v>0</v>
      </c>
      <c r="AD30" s="2">
        <f t="shared" si="3"/>
        <v>8</v>
      </c>
      <c r="AE30" s="2">
        <f t="shared" ca="1" si="4"/>
        <v>-44986.676271643519</v>
      </c>
      <c r="AF30" s="15"/>
    </row>
    <row r="31" spans="3:32">
      <c r="D31" s="1"/>
      <c r="E31" s="1"/>
      <c r="P31" s="11"/>
      <c r="U31" s="11"/>
      <c r="X31" s="13">
        <f t="shared" si="5"/>
        <v>0</v>
      </c>
      <c r="Y31" s="2">
        <f t="shared" ca="1" si="0"/>
        <v>32133</v>
      </c>
      <c r="Z31" s="14">
        <v>1</v>
      </c>
      <c r="AA31" s="1" t="str">
        <f t="shared" ca="1" si="1"/>
        <v>VENCIDO</v>
      </c>
      <c r="AB31" s="1" t="str">
        <f t="shared" si="2"/>
        <v>TAAe+</v>
      </c>
      <c r="AC31" s="2">
        <f t="shared" si="6"/>
        <v>0</v>
      </c>
      <c r="AD31" s="2">
        <f t="shared" si="3"/>
        <v>8</v>
      </c>
      <c r="AE31" s="2">
        <f t="shared" ca="1" si="4"/>
        <v>-44986.676271643519</v>
      </c>
      <c r="AF31" s="15"/>
    </row>
    <row r="32" spans="3:32">
      <c r="D32" s="1"/>
      <c r="E32" s="1"/>
      <c r="P32" s="11"/>
      <c r="U32" s="11"/>
      <c r="X32" s="13">
        <f t="shared" si="5"/>
        <v>0</v>
      </c>
      <c r="Y32" s="2">
        <f t="shared" ca="1" si="0"/>
        <v>32133</v>
      </c>
      <c r="Z32" s="14">
        <v>1</v>
      </c>
      <c r="AA32" s="1" t="str">
        <f t="shared" ca="1" si="1"/>
        <v>VENCIDO</v>
      </c>
      <c r="AB32" s="1" t="str">
        <f t="shared" si="2"/>
        <v>TAAe+</v>
      </c>
      <c r="AC32" s="2">
        <f t="shared" si="6"/>
        <v>0</v>
      </c>
      <c r="AD32" s="2">
        <f t="shared" si="3"/>
        <v>8</v>
      </c>
      <c r="AE32" s="2">
        <f t="shared" ca="1" si="4"/>
        <v>-44986.676271643519</v>
      </c>
      <c r="AF32" s="15"/>
    </row>
    <row r="33" spans="4:32">
      <c r="D33" s="1"/>
      <c r="E33" s="1"/>
      <c r="P33" s="11"/>
      <c r="U33" s="11"/>
      <c r="X33" s="13">
        <f t="shared" si="5"/>
        <v>0</v>
      </c>
      <c r="Y33" s="2">
        <f t="shared" ca="1" si="0"/>
        <v>32133</v>
      </c>
      <c r="Z33" s="14">
        <v>1</v>
      </c>
      <c r="AA33" s="1" t="str">
        <f t="shared" ca="1" si="1"/>
        <v>VENCIDO</v>
      </c>
      <c r="AB33" s="1" t="str">
        <f t="shared" si="2"/>
        <v>TAAe+</v>
      </c>
      <c r="AC33" s="2">
        <f t="shared" si="6"/>
        <v>0</v>
      </c>
      <c r="AD33" s="2">
        <f t="shared" si="3"/>
        <v>8</v>
      </c>
      <c r="AE33" s="2">
        <f t="shared" ca="1" si="4"/>
        <v>-44986.676271643519</v>
      </c>
      <c r="AF33" s="15"/>
    </row>
    <row r="34" spans="4:32">
      <c r="D34" s="1"/>
      <c r="E34" s="1"/>
      <c r="P34" s="11"/>
      <c r="U34" s="11"/>
      <c r="X34" s="13">
        <f t="shared" si="5"/>
        <v>0</v>
      </c>
      <c r="Y34" s="2">
        <f t="shared" ca="1" si="0"/>
        <v>32133</v>
      </c>
      <c r="Z34" s="14">
        <v>1</v>
      </c>
      <c r="AA34" s="1" t="str">
        <f t="shared" ca="1" si="1"/>
        <v>VENCIDO</v>
      </c>
      <c r="AB34" s="1" t="str">
        <f t="shared" si="2"/>
        <v>TAAe+</v>
      </c>
      <c r="AC34" s="2">
        <f t="shared" si="6"/>
        <v>0</v>
      </c>
      <c r="AD34" s="2">
        <f t="shared" si="3"/>
        <v>8</v>
      </c>
      <c r="AE34" s="2">
        <f t="shared" ca="1" si="4"/>
        <v>-44986.676271643519</v>
      </c>
      <c r="AF34" s="15"/>
    </row>
    <row r="35" spans="4:32">
      <c r="D35" s="1"/>
      <c r="E35" s="1"/>
      <c r="P35" s="11"/>
      <c r="X35" s="13">
        <f t="shared" si="5"/>
        <v>0</v>
      </c>
      <c r="Y35" s="2">
        <f t="shared" ca="1" si="0"/>
        <v>32133</v>
      </c>
      <c r="Z35" s="14">
        <v>1</v>
      </c>
      <c r="AA35" s="1" t="str">
        <f t="shared" ca="1" si="1"/>
        <v>VENCIDO</v>
      </c>
      <c r="AB35" s="1" t="str">
        <f t="shared" si="2"/>
        <v>TAAe+</v>
      </c>
      <c r="AC35" s="2">
        <f t="shared" si="6"/>
        <v>0</v>
      </c>
      <c r="AD35" s="2">
        <f t="shared" si="3"/>
        <v>8</v>
      </c>
      <c r="AE35" s="2">
        <f t="shared" ca="1" si="4"/>
        <v>-44986.676271643519</v>
      </c>
      <c r="AF35" s="15"/>
    </row>
    <row r="36" spans="4:32">
      <c r="D36" s="1"/>
      <c r="E36" s="1"/>
      <c r="P36" s="11"/>
      <c r="X36" s="13">
        <f t="shared" si="5"/>
        <v>0</v>
      </c>
      <c r="Y36" s="2">
        <f t="shared" ca="1" si="0"/>
        <v>32133</v>
      </c>
      <c r="Z36" s="14">
        <v>1</v>
      </c>
      <c r="AA36" s="1" t="str">
        <f t="shared" ca="1" si="1"/>
        <v>VENCIDO</v>
      </c>
      <c r="AB36" s="1" t="str">
        <f t="shared" si="2"/>
        <v>TAAe+</v>
      </c>
      <c r="AC36" s="2">
        <f t="shared" si="6"/>
        <v>0</v>
      </c>
      <c r="AD36" s="2">
        <f t="shared" si="3"/>
        <v>8</v>
      </c>
      <c r="AE36" s="2">
        <f t="shared" ca="1" si="4"/>
        <v>-44986.676271643519</v>
      </c>
      <c r="AF36" s="15"/>
    </row>
    <row r="37" spans="4:32">
      <c r="D37" s="1"/>
      <c r="E37" s="1"/>
      <c r="P37" s="11"/>
      <c r="X37" s="13">
        <f t="shared" si="5"/>
        <v>0</v>
      </c>
      <c r="Y37" s="2">
        <f t="shared" ca="1" si="0"/>
        <v>32133</v>
      </c>
      <c r="Z37" s="14">
        <v>1</v>
      </c>
      <c r="AA37" s="1" t="str">
        <f t="shared" ca="1" si="1"/>
        <v>VENCIDO</v>
      </c>
      <c r="AB37" s="1" t="str">
        <f t="shared" si="2"/>
        <v>TAAe+</v>
      </c>
      <c r="AC37" s="2">
        <f t="shared" si="6"/>
        <v>0</v>
      </c>
      <c r="AD37" s="2">
        <f t="shared" si="3"/>
        <v>8</v>
      </c>
      <c r="AE37" s="2">
        <f t="shared" ca="1" si="4"/>
        <v>-44986.676271643519</v>
      </c>
      <c r="AF37" s="15"/>
    </row>
    <row r="38" spans="4:32">
      <c r="D38" s="1"/>
      <c r="E38" s="1"/>
      <c r="P38" s="11"/>
      <c r="X38" s="13">
        <f t="shared" si="5"/>
        <v>0</v>
      </c>
      <c r="Y38" s="2">
        <f t="shared" ca="1" si="0"/>
        <v>32133</v>
      </c>
      <c r="Z38" s="14">
        <v>1</v>
      </c>
      <c r="AA38" s="1" t="str">
        <f t="shared" ca="1" si="1"/>
        <v>VENCIDO</v>
      </c>
      <c r="AB38" s="1" t="str">
        <f t="shared" si="2"/>
        <v>TAAe+</v>
      </c>
      <c r="AC38" s="2">
        <f t="shared" si="6"/>
        <v>0</v>
      </c>
      <c r="AD38" s="2">
        <f t="shared" si="3"/>
        <v>8</v>
      </c>
      <c r="AE38" s="2">
        <f t="shared" ca="1" si="4"/>
        <v>-44986.676271643519</v>
      </c>
      <c r="AF38" s="15"/>
    </row>
    <row r="39" spans="4:32">
      <c r="D39" s="1"/>
      <c r="E39" s="1"/>
      <c r="P39" s="11"/>
      <c r="U39" s="11"/>
      <c r="X39" s="13">
        <f t="shared" si="5"/>
        <v>0</v>
      </c>
      <c r="Y39" s="2">
        <f t="shared" ca="1" si="0"/>
        <v>32133</v>
      </c>
      <c r="Z39" s="14">
        <v>1</v>
      </c>
      <c r="AA39" s="1" t="str">
        <f t="shared" ca="1" si="1"/>
        <v>VENCIDO</v>
      </c>
      <c r="AB39" s="1" t="str">
        <f t="shared" si="2"/>
        <v>TAAe+</v>
      </c>
      <c r="AC39" s="2">
        <f t="shared" si="6"/>
        <v>0</v>
      </c>
      <c r="AD39" s="2">
        <f t="shared" si="3"/>
        <v>8</v>
      </c>
      <c r="AE39" s="2">
        <f t="shared" ca="1" si="4"/>
        <v>-44986.676271643519</v>
      </c>
      <c r="AF39" s="15"/>
    </row>
    <row r="40" spans="4:32">
      <c r="D40" s="1"/>
      <c r="E40" s="1"/>
      <c r="P40" s="11"/>
      <c r="X40" s="13">
        <f t="shared" si="5"/>
        <v>0</v>
      </c>
      <c r="Y40" s="2">
        <f t="shared" ca="1" si="0"/>
        <v>32133</v>
      </c>
      <c r="Z40" s="14">
        <v>1</v>
      </c>
      <c r="AA40" s="1" t="str">
        <f t="shared" ca="1" si="1"/>
        <v>VENCIDO</v>
      </c>
      <c r="AB40" s="1" t="str">
        <f t="shared" si="2"/>
        <v>TAAe+</v>
      </c>
      <c r="AC40" s="2">
        <f t="shared" si="6"/>
        <v>0</v>
      </c>
      <c r="AD40" s="2">
        <f t="shared" si="3"/>
        <v>8</v>
      </c>
      <c r="AE40" s="2">
        <f t="shared" ca="1" si="4"/>
        <v>-44986.676271643519</v>
      </c>
      <c r="AF40" s="15"/>
    </row>
    <row r="41" spans="4:32">
      <c r="D41" s="1"/>
      <c r="E41" s="1"/>
      <c r="P41" s="11"/>
      <c r="X41" s="13">
        <f t="shared" si="5"/>
        <v>0</v>
      </c>
      <c r="Y41" s="2">
        <f t="shared" ca="1" si="0"/>
        <v>32133</v>
      </c>
      <c r="Z41" s="14">
        <v>1</v>
      </c>
      <c r="AA41" s="1" t="str">
        <f t="shared" ca="1" si="1"/>
        <v>VENCIDO</v>
      </c>
      <c r="AB41" s="1" t="str">
        <f t="shared" si="2"/>
        <v>TAAe+</v>
      </c>
      <c r="AC41" s="2">
        <f t="shared" si="6"/>
        <v>0</v>
      </c>
      <c r="AD41" s="2">
        <f t="shared" si="3"/>
        <v>8</v>
      </c>
      <c r="AE41" s="2">
        <f t="shared" ca="1" si="4"/>
        <v>-44986.676271643519</v>
      </c>
      <c r="AF41" s="15"/>
    </row>
    <row r="42" spans="4:32">
      <c r="D42" s="1"/>
      <c r="E42" s="1"/>
      <c r="P42" s="11"/>
      <c r="X42" s="13">
        <f t="shared" si="5"/>
        <v>0</v>
      </c>
      <c r="Y42" s="2">
        <f t="shared" ca="1" si="0"/>
        <v>32133</v>
      </c>
      <c r="Z42" s="14">
        <v>1</v>
      </c>
      <c r="AA42" s="1" t="str">
        <f t="shared" ca="1" si="1"/>
        <v>VENCIDO</v>
      </c>
      <c r="AB42" s="1" t="str">
        <f t="shared" si="2"/>
        <v>TAAe+</v>
      </c>
      <c r="AC42" s="2">
        <f t="shared" si="6"/>
        <v>0</v>
      </c>
      <c r="AD42" s="2">
        <f t="shared" si="3"/>
        <v>8</v>
      </c>
      <c r="AE42" s="2">
        <f t="shared" ca="1" si="4"/>
        <v>-44986.676271643519</v>
      </c>
      <c r="AF42" s="15"/>
    </row>
    <row r="43" spans="4:32">
      <c r="D43" s="1"/>
      <c r="E43" s="1"/>
      <c r="P43" s="11"/>
      <c r="X43" s="13">
        <f t="shared" si="5"/>
        <v>0</v>
      </c>
      <c r="Y43" s="2">
        <f t="shared" ca="1" si="0"/>
        <v>32133</v>
      </c>
      <c r="Z43" s="14">
        <v>1</v>
      </c>
      <c r="AA43" s="1" t="str">
        <f t="shared" ca="1" si="1"/>
        <v>VENCIDO</v>
      </c>
      <c r="AB43" s="1" t="str">
        <f t="shared" si="2"/>
        <v>TAAe+</v>
      </c>
      <c r="AC43" s="2">
        <f t="shared" si="6"/>
        <v>0</v>
      </c>
      <c r="AD43" s="2">
        <f t="shared" si="3"/>
        <v>8</v>
      </c>
      <c r="AE43" s="2">
        <f t="shared" ca="1" si="4"/>
        <v>-44986.676271643519</v>
      </c>
      <c r="AF43" s="15"/>
    </row>
    <row r="44" spans="4:32">
      <c r="D44" s="1"/>
      <c r="E44" s="1"/>
      <c r="P44" s="11"/>
      <c r="X44" s="13">
        <f t="shared" si="5"/>
        <v>0</v>
      </c>
      <c r="Y44" s="2">
        <f t="shared" ca="1" si="0"/>
        <v>32133</v>
      </c>
      <c r="Z44" s="14">
        <v>1</v>
      </c>
      <c r="AA44" s="1" t="str">
        <f t="shared" ca="1" si="1"/>
        <v>VENCIDO</v>
      </c>
      <c r="AB44" s="1" t="str">
        <f t="shared" si="2"/>
        <v>TAAe+</v>
      </c>
      <c r="AC44" s="2">
        <f t="shared" si="6"/>
        <v>0</v>
      </c>
      <c r="AD44" s="2">
        <f t="shared" si="3"/>
        <v>8</v>
      </c>
      <c r="AE44" s="2">
        <f t="shared" ca="1" si="4"/>
        <v>-44986.676271643519</v>
      </c>
      <c r="AF44" s="15"/>
    </row>
    <row r="45" spans="4:32">
      <c r="D45" s="1"/>
      <c r="E45" s="1"/>
      <c r="P45" s="11"/>
      <c r="X45" s="13">
        <f t="shared" si="5"/>
        <v>0</v>
      </c>
      <c r="Y45" s="2">
        <f t="shared" ca="1" si="0"/>
        <v>32133</v>
      </c>
      <c r="Z45" s="14">
        <v>1</v>
      </c>
      <c r="AA45" s="1" t="str">
        <f t="shared" ca="1" si="1"/>
        <v>VENCIDO</v>
      </c>
      <c r="AB45" s="1" t="str">
        <f t="shared" si="2"/>
        <v>TAAe+</v>
      </c>
      <c r="AC45" s="2">
        <f t="shared" si="6"/>
        <v>0</v>
      </c>
      <c r="AD45" s="2">
        <f t="shared" si="3"/>
        <v>8</v>
      </c>
      <c r="AE45" s="2">
        <f t="shared" ca="1" si="4"/>
        <v>-44986.676271643519</v>
      </c>
      <c r="AF45" s="15"/>
    </row>
    <row r="46" spans="4:32">
      <c r="D46" s="1"/>
      <c r="E46" s="1"/>
      <c r="P46" s="11"/>
      <c r="X46" s="13">
        <f t="shared" si="5"/>
        <v>0</v>
      </c>
      <c r="Y46" s="2">
        <f t="shared" ca="1" si="0"/>
        <v>32133</v>
      </c>
      <c r="Z46" s="14">
        <v>1</v>
      </c>
      <c r="AA46" s="1" t="str">
        <f t="shared" ca="1" si="1"/>
        <v>VENCIDO</v>
      </c>
      <c r="AB46" s="1" t="str">
        <f t="shared" si="2"/>
        <v>TAAe+</v>
      </c>
      <c r="AC46" s="2">
        <f t="shared" si="6"/>
        <v>0</v>
      </c>
      <c r="AD46" s="2">
        <f t="shared" si="3"/>
        <v>8</v>
      </c>
      <c r="AE46" s="2">
        <f t="shared" ca="1" si="4"/>
        <v>-44986.676271643519</v>
      </c>
      <c r="AF46" s="15"/>
    </row>
    <row r="47" spans="4:32">
      <c r="D47" s="1"/>
      <c r="E47" s="1"/>
      <c r="P47" s="11"/>
      <c r="U47" s="11"/>
      <c r="X47" s="13">
        <f t="shared" si="5"/>
        <v>0</v>
      </c>
      <c r="Y47" s="2">
        <f t="shared" ca="1" si="0"/>
        <v>32133</v>
      </c>
      <c r="Z47" s="14">
        <v>1</v>
      </c>
      <c r="AA47" s="1" t="str">
        <f t="shared" ca="1" si="1"/>
        <v>VENCIDO</v>
      </c>
      <c r="AB47" s="1" t="str">
        <f t="shared" si="2"/>
        <v>TAAe+</v>
      </c>
      <c r="AC47" s="2">
        <f t="shared" si="6"/>
        <v>0</v>
      </c>
      <c r="AD47" s="2">
        <f t="shared" si="3"/>
        <v>8</v>
      </c>
      <c r="AE47" s="2">
        <f t="shared" ca="1" si="4"/>
        <v>-44986.676271643519</v>
      </c>
      <c r="AF47" s="15"/>
    </row>
    <row r="48" spans="4:32">
      <c r="D48" s="1"/>
      <c r="E48" s="1"/>
      <c r="P48" s="11"/>
      <c r="U48" s="11"/>
      <c r="X48" s="13">
        <f t="shared" si="5"/>
        <v>0</v>
      </c>
      <c r="Y48" s="2">
        <f t="shared" ca="1" si="0"/>
        <v>32133</v>
      </c>
      <c r="Z48" s="14">
        <v>1</v>
      </c>
      <c r="AA48" s="1" t="str">
        <f t="shared" ca="1" si="1"/>
        <v>VENCIDO</v>
      </c>
      <c r="AB48" s="1" t="str">
        <f t="shared" si="2"/>
        <v>TAAe+</v>
      </c>
      <c r="AC48" s="2">
        <f t="shared" si="6"/>
        <v>0</v>
      </c>
      <c r="AD48" s="2">
        <f t="shared" si="3"/>
        <v>8</v>
      </c>
      <c r="AE48" s="2">
        <f t="shared" ca="1" si="4"/>
        <v>-44986.676271643519</v>
      </c>
      <c r="AF48" s="15"/>
    </row>
    <row r="49" spans="4:32">
      <c r="D49" s="1"/>
      <c r="E49" s="1"/>
      <c r="P49" s="11"/>
      <c r="X49" s="13">
        <f t="shared" si="5"/>
        <v>0</v>
      </c>
      <c r="Y49" s="2">
        <f t="shared" ca="1" si="0"/>
        <v>32133</v>
      </c>
      <c r="Z49" s="14">
        <v>1</v>
      </c>
      <c r="AA49" s="1" t="str">
        <f t="shared" ca="1" si="1"/>
        <v>VENCIDO</v>
      </c>
      <c r="AB49" s="1" t="str">
        <f t="shared" si="2"/>
        <v>TAAe+</v>
      </c>
      <c r="AC49" s="2">
        <f t="shared" si="6"/>
        <v>0</v>
      </c>
      <c r="AD49" s="2">
        <f t="shared" si="3"/>
        <v>8</v>
      </c>
      <c r="AE49" s="2">
        <f t="shared" ca="1" si="4"/>
        <v>-44986.676271643519</v>
      </c>
      <c r="AF49" s="15"/>
    </row>
    <row r="50" spans="4:32">
      <c r="D50" s="1"/>
      <c r="E50" s="1"/>
      <c r="P50" s="11"/>
      <c r="X50" s="13">
        <f t="shared" si="5"/>
        <v>0</v>
      </c>
      <c r="Y50" s="2">
        <f t="shared" ca="1" si="0"/>
        <v>32133</v>
      </c>
      <c r="Z50" s="14">
        <v>1</v>
      </c>
      <c r="AA50" s="1" t="str">
        <f t="shared" ca="1" si="1"/>
        <v>VENCIDO</v>
      </c>
      <c r="AB50" s="1" t="str">
        <f t="shared" si="2"/>
        <v>TAAe+</v>
      </c>
      <c r="AC50" s="2">
        <f t="shared" si="6"/>
        <v>0</v>
      </c>
      <c r="AD50" s="2">
        <f t="shared" si="3"/>
        <v>8</v>
      </c>
      <c r="AE50" s="2">
        <f t="shared" ca="1" si="4"/>
        <v>-44986.676271643519</v>
      </c>
      <c r="AF50" s="15"/>
    </row>
    <row r="51" spans="4:32">
      <c r="D51" s="1"/>
      <c r="E51" s="1"/>
      <c r="P51" s="11"/>
      <c r="X51" s="13">
        <f t="shared" si="5"/>
        <v>0</v>
      </c>
      <c r="Y51" s="2">
        <f t="shared" ca="1" si="0"/>
        <v>32133</v>
      </c>
      <c r="Z51" s="14">
        <v>1</v>
      </c>
      <c r="AA51" s="1" t="str">
        <f t="shared" ca="1" si="1"/>
        <v>VENCIDO</v>
      </c>
      <c r="AB51" s="1" t="str">
        <f t="shared" si="2"/>
        <v>TAAe+</v>
      </c>
      <c r="AC51" s="2">
        <f t="shared" si="6"/>
        <v>0</v>
      </c>
      <c r="AD51" s="2">
        <f t="shared" si="3"/>
        <v>8</v>
      </c>
      <c r="AE51" s="2">
        <f t="shared" ca="1" si="4"/>
        <v>-44986.676271643519</v>
      </c>
      <c r="AF51" s="15"/>
    </row>
    <row r="52" spans="4:32">
      <c r="D52" s="1"/>
      <c r="E52" s="1"/>
      <c r="P52" s="11"/>
      <c r="X52" s="13">
        <f t="shared" si="5"/>
        <v>0</v>
      </c>
      <c r="Y52" s="2">
        <f t="shared" ca="1" si="0"/>
        <v>32133</v>
      </c>
      <c r="Z52" s="14">
        <v>1</v>
      </c>
      <c r="AA52" s="1" t="str">
        <f t="shared" ca="1" si="1"/>
        <v>VENCIDO</v>
      </c>
      <c r="AB52" s="1" t="str">
        <f t="shared" si="2"/>
        <v>TAAe+</v>
      </c>
      <c r="AC52" s="2">
        <f t="shared" si="6"/>
        <v>0</v>
      </c>
      <c r="AD52" s="2">
        <f t="shared" si="3"/>
        <v>8</v>
      </c>
      <c r="AE52" s="2">
        <f t="shared" ca="1" si="4"/>
        <v>-44986.676271643519</v>
      </c>
      <c r="AF52" s="15"/>
    </row>
    <row r="53" spans="4:32">
      <c r="D53" s="1"/>
      <c r="E53" s="1"/>
      <c r="P53" s="11"/>
      <c r="X53" s="13">
        <f t="shared" si="5"/>
        <v>0</v>
      </c>
      <c r="Y53" s="2">
        <f t="shared" ca="1" si="0"/>
        <v>32133</v>
      </c>
      <c r="Z53" s="14">
        <v>1</v>
      </c>
      <c r="AA53" s="1" t="str">
        <f t="shared" ca="1" si="1"/>
        <v>VENCIDO</v>
      </c>
      <c r="AB53" s="1" t="str">
        <f t="shared" si="2"/>
        <v>TAAe+</v>
      </c>
      <c r="AC53" s="2">
        <f t="shared" si="6"/>
        <v>0</v>
      </c>
      <c r="AD53" s="2">
        <f t="shared" si="3"/>
        <v>8</v>
      </c>
      <c r="AE53" s="2">
        <f t="shared" ca="1" si="4"/>
        <v>-44986.676271643519</v>
      </c>
      <c r="AF53" s="15"/>
    </row>
    <row r="54" spans="4:32">
      <c r="D54" s="1"/>
      <c r="E54" s="1"/>
      <c r="P54" s="11"/>
      <c r="X54" s="13">
        <f t="shared" si="5"/>
        <v>0</v>
      </c>
      <c r="Y54" s="2">
        <f t="shared" ca="1" si="0"/>
        <v>32133</v>
      </c>
      <c r="Z54" s="14">
        <v>1</v>
      </c>
      <c r="AA54" s="1" t="str">
        <f t="shared" ca="1" si="1"/>
        <v>VENCIDO</v>
      </c>
      <c r="AB54" s="1" t="str">
        <f t="shared" si="2"/>
        <v>TAAe+</v>
      </c>
      <c r="AC54" s="2">
        <f t="shared" si="6"/>
        <v>0</v>
      </c>
      <c r="AD54" s="2">
        <f t="shared" si="3"/>
        <v>8</v>
      </c>
      <c r="AE54" s="2">
        <f t="shared" ca="1" si="4"/>
        <v>-44986.676271643519</v>
      </c>
      <c r="AF54" s="15"/>
    </row>
    <row r="55" spans="4:32">
      <c r="D55" s="1"/>
      <c r="E55" s="1"/>
      <c r="P55" s="11"/>
      <c r="X55" s="13">
        <f t="shared" si="5"/>
        <v>0</v>
      </c>
      <c r="Y55" s="2">
        <f t="shared" ca="1" si="0"/>
        <v>32133</v>
      </c>
      <c r="Z55" s="14">
        <v>1</v>
      </c>
      <c r="AA55" s="1" t="str">
        <f t="shared" ca="1" si="1"/>
        <v>VENCIDO</v>
      </c>
      <c r="AB55" s="1" t="str">
        <f t="shared" si="2"/>
        <v>TAAe+</v>
      </c>
      <c r="AC55" s="2">
        <f t="shared" si="6"/>
        <v>0</v>
      </c>
      <c r="AD55" s="2">
        <f t="shared" si="3"/>
        <v>8</v>
      </c>
      <c r="AE55" s="2">
        <f t="shared" ca="1" si="4"/>
        <v>-44986.676271643519</v>
      </c>
      <c r="AF55" s="15"/>
    </row>
    <row r="56" spans="4:32">
      <c r="D56" s="1"/>
      <c r="E56" s="1"/>
      <c r="P56" s="11"/>
      <c r="X56" s="13">
        <f t="shared" si="5"/>
        <v>0</v>
      </c>
      <c r="Y56" s="2">
        <f t="shared" ca="1" si="0"/>
        <v>32133</v>
      </c>
      <c r="Z56" s="14">
        <v>1</v>
      </c>
      <c r="AA56" s="1" t="str">
        <f t="shared" ca="1" si="1"/>
        <v>VENCIDO</v>
      </c>
      <c r="AB56" s="1" t="str">
        <f t="shared" si="2"/>
        <v>TAAe+</v>
      </c>
      <c r="AC56" s="2">
        <f t="shared" si="6"/>
        <v>0</v>
      </c>
      <c r="AD56" s="2">
        <f t="shared" si="3"/>
        <v>8</v>
      </c>
      <c r="AE56" s="2">
        <f t="shared" ca="1" si="4"/>
        <v>-44986.676271643519</v>
      </c>
      <c r="AF56" s="15"/>
    </row>
    <row r="57" spans="4:32">
      <c r="D57" s="1"/>
      <c r="E57" s="1"/>
      <c r="P57" s="11"/>
      <c r="X57" s="13">
        <f t="shared" si="5"/>
        <v>0</v>
      </c>
      <c r="Y57" s="2">
        <f t="shared" ca="1" si="0"/>
        <v>32133</v>
      </c>
      <c r="Z57" s="14">
        <v>1</v>
      </c>
      <c r="AA57" s="1" t="str">
        <f t="shared" ca="1" si="1"/>
        <v>VENCIDO</v>
      </c>
      <c r="AB57" s="1" t="str">
        <f t="shared" si="2"/>
        <v>TAAe+</v>
      </c>
      <c r="AC57" s="2">
        <f t="shared" si="6"/>
        <v>0</v>
      </c>
      <c r="AD57" s="2">
        <f t="shared" si="3"/>
        <v>8</v>
      </c>
      <c r="AE57" s="2">
        <f t="shared" ca="1" si="4"/>
        <v>-44986.676271643519</v>
      </c>
      <c r="AF57" s="15"/>
    </row>
    <row r="58" spans="4:32">
      <c r="D58" s="1"/>
      <c r="E58" s="1"/>
      <c r="P58" s="11"/>
      <c r="X58" s="13">
        <f t="shared" si="5"/>
        <v>0</v>
      </c>
      <c r="Y58" s="2">
        <f t="shared" ca="1" si="0"/>
        <v>32133</v>
      </c>
      <c r="Z58" s="14">
        <v>1</v>
      </c>
      <c r="AA58" s="1" t="str">
        <f t="shared" ca="1" si="1"/>
        <v>VENCIDO</v>
      </c>
      <c r="AB58" s="1" t="str">
        <f t="shared" si="2"/>
        <v>TAAe+</v>
      </c>
      <c r="AC58" s="2">
        <f t="shared" si="6"/>
        <v>0</v>
      </c>
      <c r="AD58" s="2">
        <f t="shared" si="3"/>
        <v>8</v>
      </c>
      <c r="AE58" s="2">
        <f t="shared" ca="1" si="4"/>
        <v>-44986.676271643519</v>
      </c>
      <c r="AF58" s="15"/>
    </row>
    <row r="59" spans="4:32">
      <c r="D59" s="1"/>
      <c r="E59" s="1"/>
      <c r="P59" s="11"/>
      <c r="X59" s="13">
        <f t="shared" si="5"/>
        <v>0</v>
      </c>
      <c r="Y59" s="2">
        <f t="shared" ca="1" si="0"/>
        <v>32133</v>
      </c>
      <c r="Z59" s="14">
        <v>1</v>
      </c>
      <c r="AA59" s="1" t="str">
        <f t="shared" ca="1" si="1"/>
        <v>VENCIDO</v>
      </c>
      <c r="AB59" s="1" t="str">
        <f t="shared" si="2"/>
        <v>TAAe+</v>
      </c>
      <c r="AC59" s="2">
        <f t="shared" si="6"/>
        <v>0</v>
      </c>
      <c r="AD59" s="2">
        <f t="shared" si="3"/>
        <v>8</v>
      </c>
      <c r="AE59" s="2">
        <f t="shared" ca="1" si="4"/>
        <v>-44986.676271643519</v>
      </c>
      <c r="AF59" s="15"/>
    </row>
    <row r="60" spans="4:32">
      <c r="D60" s="1"/>
      <c r="E60" s="1"/>
      <c r="P60" s="11"/>
      <c r="X60" s="13">
        <f t="shared" si="5"/>
        <v>0</v>
      </c>
      <c r="Y60" s="2">
        <f t="shared" ca="1" si="0"/>
        <v>32133</v>
      </c>
      <c r="Z60" s="14">
        <v>1</v>
      </c>
      <c r="AA60" s="1" t="str">
        <f t="shared" ca="1" si="1"/>
        <v>VENCIDO</v>
      </c>
      <c r="AB60" s="1" t="str">
        <f t="shared" si="2"/>
        <v>TAAe+</v>
      </c>
      <c r="AC60" s="2">
        <f t="shared" si="6"/>
        <v>0</v>
      </c>
      <c r="AD60" s="2">
        <f t="shared" si="3"/>
        <v>8</v>
      </c>
      <c r="AE60" s="2">
        <f t="shared" ca="1" si="4"/>
        <v>-44986.676271643519</v>
      </c>
      <c r="AF60" s="15"/>
    </row>
    <row r="61" spans="4:32">
      <c r="D61" s="1"/>
      <c r="E61" s="1"/>
      <c r="P61" s="11"/>
      <c r="X61" s="13">
        <f t="shared" si="5"/>
        <v>0</v>
      </c>
      <c r="Y61" s="2">
        <f t="shared" ca="1" si="0"/>
        <v>32133</v>
      </c>
      <c r="Z61" s="14">
        <v>1</v>
      </c>
      <c r="AA61" s="1" t="str">
        <f t="shared" ca="1" si="1"/>
        <v>VENCIDO</v>
      </c>
      <c r="AB61" s="1" t="str">
        <f t="shared" si="2"/>
        <v>TAAe+</v>
      </c>
      <c r="AC61" s="2">
        <f t="shared" si="6"/>
        <v>0</v>
      </c>
      <c r="AD61" s="2">
        <f t="shared" si="3"/>
        <v>8</v>
      </c>
      <c r="AE61" s="2">
        <f t="shared" ca="1" si="4"/>
        <v>-44986.676271643519</v>
      </c>
      <c r="AF61" s="15"/>
    </row>
    <row r="62" spans="4:32">
      <c r="D62" s="1"/>
      <c r="E62" s="1"/>
      <c r="P62" s="11"/>
      <c r="X62" s="13">
        <f t="shared" si="5"/>
        <v>0</v>
      </c>
      <c r="Y62" s="2">
        <f t="shared" ca="1" si="0"/>
        <v>32133</v>
      </c>
      <c r="Z62" s="14">
        <v>1</v>
      </c>
      <c r="AA62" s="1" t="str">
        <f t="shared" ca="1" si="1"/>
        <v>VENCIDO</v>
      </c>
      <c r="AB62" s="1" t="str">
        <f t="shared" si="2"/>
        <v>TAAe+</v>
      </c>
      <c r="AC62" s="2">
        <f t="shared" si="6"/>
        <v>0</v>
      </c>
      <c r="AD62" s="2">
        <f t="shared" si="3"/>
        <v>8</v>
      </c>
      <c r="AE62" s="2">
        <f t="shared" ca="1" si="4"/>
        <v>-44986.676271643519</v>
      </c>
      <c r="AF62" s="15"/>
    </row>
    <row r="63" spans="4:32">
      <c r="D63" s="1"/>
      <c r="E63" s="1"/>
      <c r="P63" s="11"/>
      <c r="X63" s="13">
        <f t="shared" si="5"/>
        <v>0</v>
      </c>
      <c r="Y63" s="2">
        <f t="shared" ca="1" si="0"/>
        <v>32133</v>
      </c>
      <c r="Z63" s="14">
        <v>1</v>
      </c>
      <c r="AA63" s="1" t="str">
        <f t="shared" ca="1" si="1"/>
        <v>VENCIDO</v>
      </c>
      <c r="AB63" s="1" t="str">
        <f t="shared" si="2"/>
        <v>TAAe+</v>
      </c>
      <c r="AC63" s="2">
        <f t="shared" si="6"/>
        <v>0</v>
      </c>
      <c r="AD63" s="2">
        <f t="shared" si="3"/>
        <v>8</v>
      </c>
      <c r="AE63" s="2">
        <f t="shared" ca="1" si="4"/>
        <v>-44986.676271643519</v>
      </c>
      <c r="AF63" s="15"/>
    </row>
    <row r="64" spans="4:32">
      <c r="D64" s="1"/>
      <c r="E64" s="1"/>
      <c r="P64" s="11"/>
      <c r="X64" s="13">
        <f t="shared" si="5"/>
        <v>0</v>
      </c>
      <c r="Y64" s="2">
        <f t="shared" ca="1" si="0"/>
        <v>32133</v>
      </c>
      <c r="Z64" s="14">
        <v>1</v>
      </c>
      <c r="AA64" s="1" t="str">
        <f t="shared" ca="1" si="1"/>
        <v>VENCIDO</v>
      </c>
      <c r="AB64" s="1" t="str">
        <f t="shared" si="2"/>
        <v>TAAe+</v>
      </c>
      <c r="AC64" s="2">
        <f t="shared" si="6"/>
        <v>0</v>
      </c>
      <c r="AD64" s="2">
        <f t="shared" si="3"/>
        <v>8</v>
      </c>
      <c r="AE64" s="2">
        <f t="shared" ca="1" si="4"/>
        <v>-44986.676271643519</v>
      </c>
      <c r="AF64" s="15"/>
    </row>
    <row r="65" spans="3:32">
      <c r="D65" s="1"/>
      <c r="E65" s="1"/>
      <c r="P65" s="11"/>
      <c r="U65" s="11"/>
      <c r="X65" s="13">
        <f t="shared" si="5"/>
        <v>0</v>
      </c>
      <c r="Y65" s="2">
        <f t="shared" ca="1" si="0"/>
        <v>32133</v>
      </c>
      <c r="Z65" s="14">
        <v>1</v>
      </c>
      <c r="AA65" s="1" t="str">
        <f t="shared" ca="1" si="1"/>
        <v>VENCIDO</v>
      </c>
      <c r="AB65" s="1" t="str">
        <f t="shared" si="2"/>
        <v>TAAe+</v>
      </c>
      <c r="AC65" s="2">
        <f t="shared" si="6"/>
        <v>0</v>
      </c>
      <c r="AD65" s="2">
        <f t="shared" si="3"/>
        <v>8</v>
      </c>
      <c r="AE65" s="2">
        <f t="shared" ca="1" si="4"/>
        <v>-44986.676271643519</v>
      </c>
      <c r="AF65" s="15"/>
    </row>
    <row r="66" spans="3:32">
      <c r="D66" s="1"/>
      <c r="E66" s="1"/>
      <c r="P66" s="11"/>
      <c r="U66" s="11"/>
      <c r="X66" s="13">
        <f t="shared" ref="X66:X129" si="7">IF(RIGHT(H66,2)&lt;&gt;"00",H66,"")</f>
        <v>0</v>
      </c>
      <c r="Y66" s="2">
        <f t="shared" ref="Y66:Y129" ca="1" si="8">NETWORKDAYS(P66,$Y$1)</f>
        <v>32133</v>
      </c>
      <c r="Z66" s="14">
        <v>1</v>
      </c>
      <c r="AA66" s="1" t="str">
        <f t="shared" ref="AA66:AA129" ca="1" si="9">IF(AE66=0,"HOJE",IF(AE66&gt;0,"A VENCER",IF(AE66&lt;0,"VENCIDO")))</f>
        <v>VENCIDO</v>
      </c>
      <c r="AB66" s="1" t="str">
        <f t="shared" ref="AB66:AB129" si="10">IF(F66="GRPE-000001","C-14",IF(F66="GRPE-000002","C-14",IF(F66="GRPE-000003","C-14",IF(F66="GRPE-000004","SL-On",IF(F66="GRPE-000038","C-14",IF(F66="GRPE-900022","Dosa",IF(F66="GRPE-000029","Dosa",IF(F66="ATOS-000222","Dose","TAAe+"))))))))</f>
        <v>TAAe+</v>
      </c>
      <c r="AC66" s="2">
        <f t="shared" si="6"/>
        <v>0</v>
      </c>
      <c r="AD66" s="2">
        <f t="shared" ref="AD66:AD129" si="11">IF(F66="GRPE-000001",5,IF(F66="GRPE-000002",5,IF(F66="GRPE-000003",15,IF(F66="GRPE-000004",1,IF(F66="GRPE-000038",5,IF(F66="GRPE-900022",5,IF(F66="GRPE-000029",5,IF(F66="ATOS-000222",5,8))))))))</f>
        <v>8</v>
      </c>
      <c r="AE66" s="2">
        <f t="shared" ref="AE66:AE129" ca="1" si="12">IF(U66=$AE$1,"",U66-$AE$1)</f>
        <v>-44986.676271643519</v>
      </c>
      <c r="AF66" s="15"/>
    </row>
    <row r="67" spans="3:32">
      <c r="C67" s="23"/>
      <c r="D67" s="1"/>
      <c r="E67" s="1"/>
      <c r="P67" s="11"/>
      <c r="U67" s="11"/>
      <c r="X67" s="13">
        <f t="shared" si="7"/>
        <v>0</v>
      </c>
      <c r="Y67" s="2">
        <f t="shared" ca="1" si="8"/>
        <v>32133</v>
      </c>
      <c r="Z67" s="14">
        <v>1</v>
      </c>
      <c r="AA67" s="1" t="str">
        <f t="shared" ca="1" si="9"/>
        <v>VENCIDO</v>
      </c>
      <c r="AB67" s="1" t="str">
        <f t="shared" si="10"/>
        <v>TAAe+</v>
      </c>
      <c r="AC67" s="2">
        <f t="shared" ref="AC67:AC130" si="13">IF(J67="TR-PETROLINA"," ROSEMERE ",IF(J67="TR-GARANHUNS"," ROSEMERE ",IF(J67="TR-CARUARU"," ROSEMERE ",IF(J67="TR-RIBEIRAO"," CRISTINA ",IF(J67="TR-GRAVATA"," CRISTINA ",IF(J67="TR-GOIANA"," CRISTINA ",IF(J67="TR-LIMOEIRO"," CRISTINA ",IF(J67="TR-SERRA TALHADA"," RINALDO ",IF(J67="TR-SALGUEIRO"," RINALDO ",IF(J67="TR-CARNAIBA"," RINALDO ",IF(J67="TR-ARCOVERDE"," RINALDO ",IF(J67="CAT-RECIFE"," CLEITON ",))))))))))))</f>
        <v>0</v>
      </c>
      <c r="AD67" s="2">
        <f t="shared" si="11"/>
        <v>8</v>
      </c>
      <c r="AE67" s="2">
        <f t="shared" ca="1" si="12"/>
        <v>-44986.676271643519</v>
      </c>
      <c r="AF67" s="15"/>
    </row>
    <row r="68" spans="3:32">
      <c r="C68" s="23"/>
      <c r="D68" s="1"/>
      <c r="E68" s="1"/>
      <c r="P68" s="11"/>
      <c r="U68" s="11"/>
      <c r="X68" s="13">
        <f t="shared" si="7"/>
        <v>0</v>
      </c>
      <c r="Y68" s="2">
        <f t="shared" ca="1" si="8"/>
        <v>32133</v>
      </c>
      <c r="Z68" s="14">
        <v>1</v>
      </c>
      <c r="AA68" s="1" t="str">
        <f t="shared" ca="1" si="9"/>
        <v>VENCIDO</v>
      </c>
      <c r="AB68" s="1" t="str">
        <f t="shared" si="10"/>
        <v>TAAe+</v>
      </c>
      <c r="AC68" s="2">
        <f t="shared" si="13"/>
        <v>0</v>
      </c>
      <c r="AD68" s="2">
        <f t="shared" si="11"/>
        <v>8</v>
      </c>
      <c r="AE68" s="2">
        <f t="shared" ca="1" si="12"/>
        <v>-44986.676271643519</v>
      </c>
      <c r="AF68" s="15"/>
    </row>
    <row r="69" spans="3:32">
      <c r="C69" s="23"/>
      <c r="D69" s="1"/>
      <c r="E69" s="1"/>
      <c r="P69" s="11"/>
      <c r="U69" s="11"/>
      <c r="X69" s="13">
        <f t="shared" si="7"/>
        <v>0</v>
      </c>
      <c r="Y69" s="2">
        <f t="shared" ca="1" si="8"/>
        <v>32133</v>
      </c>
      <c r="Z69" s="14">
        <v>1</v>
      </c>
      <c r="AA69" s="1" t="str">
        <f t="shared" ca="1" si="9"/>
        <v>VENCIDO</v>
      </c>
      <c r="AB69" s="1" t="str">
        <f t="shared" si="10"/>
        <v>TAAe+</v>
      </c>
      <c r="AC69" s="2">
        <f t="shared" si="13"/>
        <v>0</v>
      </c>
      <c r="AD69" s="2">
        <f t="shared" si="11"/>
        <v>8</v>
      </c>
      <c r="AE69" s="2">
        <f t="shared" ca="1" si="12"/>
        <v>-44986.676271643519</v>
      </c>
      <c r="AF69" s="15"/>
    </row>
    <row r="70" spans="3:32">
      <c r="C70" s="23"/>
      <c r="D70" s="1"/>
      <c r="E70" s="1"/>
      <c r="P70" s="11"/>
      <c r="U70" s="11"/>
      <c r="X70" s="13">
        <f t="shared" si="7"/>
        <v>0</v>
      </c>
      <c r="Y70" s="2">
        <f t="shared" ca="1" si="8"/>
        <v>32133</v>
      </c>
      <c r="Z70" s="14">
        <v>1</v>
      </c>
      <c r="AA70" s="1" t="str">
        <f t="shared" ca="1" si="9"/>
        <v>VENCIDO</v>
      </c>
      <c r="AB70" s="1" t="str">
        <f t="shared" si="10"/>
        <v>TAAe+</v>
      </c>
      <c r="AC70" s="2">
        <f t="shared" si="13"/>
        <v>0</v>
      </c>
      <c r="AD70" s="2">
        <f t="shared" si="11"/>
        <v>8</v>
      </c>
      <c r="AE70" s="2">
        <f t="shared" ca="1" si="12"/>
        <v>-44986.676271643519</v>
      </c>
      <c r="AF70" s="15"/>
    </row>
    <row r="71" spans="3:32">
      <c r="D71" s="1"/>
      <c r="E71" s="1"/>
      <c r="P71" s="11"/>
      <c r="U71" s="11"/>
      <c r="X71" s="13">
        <f t="shared" si="7"/>
        <v>0</v>
      </c>
      <c r="Y71" s="2">
        <f t="shared" ca="1" si="8"/>
        <v>32133</v>
      </c>
      <c r="Z71" s="14">
        <v>1</v>
      </c>
      <c r="AA71" s="1" t="str">
        <f t="shared" ca="1" si="9"/>
        <v>VENCIDO</v>
      </c>
      <c r="AB71" s="1" t="str">
        <f t="shared" si="10"/>
        <v>TAAe+</v>
      </c>
      <c r="AC71" s="2">
        <f t="shared" si="13"/>
        <v>0</v>
      </c>
      <c r="AD71" s="2">
        <f t="shared" si="11"/>
        <v>8</v>
      </c>
      <c r="AE71" s="2">
        <f t="shared" ca="1" si="12"/>
        <v>-44986.676271643519</v>
      </c>
      <c r="AF71" s="15"/>
    </row>
    <row r="72" spans="3:32">
      <c r="D72" s="1"/>
      <c r="E72" s="1"/>
      <c r="P72" s="11"/>
      <c r="X72" s="13">
        <f t="shared" si="7"/>
        <v>0</v>
      </c>
      <c r="Y72" s="2">
        <f t="shared" ca="1" si="8"/>
        <v>32133</v>
      </c>
      <c r="Z72" s="14">
        <v>1</v>
      </c>
      <c r="AA72" s="1" t="str">
        <f t="shared" ca="1" si="9"/>
        <v>VENCIDO</v>
      </c>
      <c r="AB72" s="1" t="str">
        <f t="shared" si="10"/>
        <v>TAAe+</v>
      </c>
      <c r="AC72" s="2">
        <f t="shared" si="13"/>
        <v>0</v>
      </c>
      <c r="AD72" s="2">
        <f t="shared" si="11"/>
        <v>8</v>
      </c>
      <c r="AE72" s="2">
        <f t="shared" ca="1" si="12"/>
        <v>-44986.676271643519</v>
      </c>
      <c r="AF72" s="15"/>
    </row>
    <row r="73" spans="3:32">
      <c r="D73" s="1"/>
      <c r="E73" s="1"/>
      <c r="P73" s="11"/>
      <c r="X73" s="13">
        <f t="shared" si="7"/>
        <v>0</v>
      </c>
      <c r="Y73" s="2">
        <f t="shared" ca="1" si="8"/>
        <v>32133</v>
      </c>
      <c r="Z73" s="14">
        <v>1</v>
      </c>
      <c r="AA73" s="1" t="str">
        <f t="shared" ca="1" si="9"/>
        <v>VENCIDO</v>
      </c>
      <c r="AB73" s="1" t="str">
        <f t="shared" si="10"/>
        <v>TAAe+</v>
      </c>
      <c r="AC73" s="2">
        <f t="shared" si="13"/>
        <v>0</v>
      </c>
      <c r="AD73" s="2">
        <f t="shared" si="11"/>
        <v>8</v>
      </c>
      <c r="AE73" s="2">
        <f t="shared" ca="1" si="12"/>
        <v>-44986.676271643519</v>
      </c>
      <c r="AF73" s="15"/>
    </row>
    <row r="74" spans="3:32">
      <c r="D74" s="1"/>
      <c r="E74" s="1"/>
      <c r="P74" s="11"/>
      <c r="X74" s="13">
        <f t="shared" si="7"/>
        <v>0</v>
      </c>
      <c r="Y74" s="2">
        <f t="shared" ca="1" si="8"/>
        <v>32133</v>
      </c>
      <c r="Z74" s="14">
        <v>1</v>
      </c>
      <c r="AA74" s="1" t="str">
        <f t="shared" ca="1" si="9"/>
        <v>VENCIDO</v>
      </c>
      <c r="AB74" s="1" t="str">
        <f t="shared" si="10"/>
        <v>TAAe+</v>
      </c>
      <c r="AC74" s="2">
        <f t="shared" si="13"/>
        <v>0</v>
      </c>
      <c r="AD74" s="2">
        <f t="shared" si="11"/>
        <v>8</v>
      </c>
      <c r="AE74" s="2">
        <f t="shared" ca="1" si="12"/>
        <v>-44986.676271643519</v>
      </c>
      <c r="AF74" s="15"/>
    </row>
    <row r="75" spans="3:32">
      <c r="D75" s="1"/>
      <c r="E75" s="1"/>
      <c r="P75" s="11"/>
      <c r="X75" s="13">
        <f t="shared" si="7"/>
        <v>0</v>
      </c>
      <c r="Y75" s="2">
        <f t="shared" ca="1" si="8"/>
        <v>32133</v>
      </c>
      <c r="Z75" s="14">
        <v>1</v>
      </c>
      <c r="AA75" s="1" t="str">
        <f t="shared" ca="1" si="9"/>
        <v>VENCIDO</v>
      </c>
      <c r="AB75" s="1" t="str">
        <f t="shared" si="10"/>
        <v>TAAe+</v>
      </c>
      <c r="AC75" s="2">
        <f t="shared" si="13"/>
        <v>0</v>
      </c>
      <c r="AD75" s="2">
        <f t="shared" si="11"/>
        <v>8</v>
      </c>
      <c r="AE75" s="2">
        <f t="shared" ca="1" si="12"/>
        <v>-44986.676271643519</v>
      </c>
      <c r="AF75" s="15"/>
    </row>
    <row r="76" spans="3:32">
      <c r="D76" s="1"/>
      <c r="E76" s="1"/>
      <c r="P76" s="11"/>
      <c r="U76" s="11"/>
      <c r="X76" s="13">
        <f t="shared" si="7"/>
        <v>0</v>
      </c>
      <c r="Y76" s="2">
        <f t="shared" ca="1" si="8"/>
        <v>32133</v>
      </c>
      <c r="Z76" s="14">
        <v>1</v>
      </c>
      <c r="AA76" s="1" t="str">
        <f t="shared" ca="1" si="9"/>
        <v>VENCIDO</v>
      </c>
      <c r="AB76" s="1" t="str">
        <f t="shared" si="10"/>
        <v>TAAe+</v>
      </c>
      <c r="AC76" s="2">
        <f t="shared" si="13"/>
        <v>0</v>
      </c>
      <c r="AD76" s="2">
        <f t="shared" si="11"/>
        <v>8</v>
      </c>
      <c r="AE76" s="2">
        <f t="shared" ca="1" si="12"/>
        <v>-44986.676271643519</v>
      </c>
      <c r="AF76" s="15"/>
    </row>
    <row r="77" spans="3:32">
      <c r="D77" s="1"/>
      <c r="E77" s="1"/>
      <c r="P77" s="11"/>
      <c r="U77" s="11"/>
      <c r="X77" s="13">
        <f t="shared" si="7"/>
        <v>0</v>
      </c>
      <c r="Y77" s="2">
        <f t="shared" ca="1" si="8"/>
        <v>32133</v>
      </c>
      <c r="Z77" s="14">
        <v>1</v>
      </c>
      <c r="AA77" s="1" t="str">
        <f t="shared" ca="1" si="9"/>
        <v>VENCIDO</v>
      </c>
      <c r="AB77" s="1" t="str">
        <f t="shared" si="10"/>
        <v>TAAe+</v>
      </c>
      <c r="AC77" s="2">
        <f t="shared" si="13"/>
        <v>0</v>
      </c>
      <c r="AD77" s="2">
        <f t="shared" si="11"/>
        <v>8</v>
      </c>
      <c r="AE77" s="2">
        <f t="shared" ca="1" si="12"/>
        <v>-44986.676271643519</v>
      </c>
      <c r="AF77" s="15"/>
    </row>
    <row r="78" spans="3:32">
      <c r="D78" s="1"/>
      <c r="E78" s="1"/>
      <c r="P78" s="11"/>
      <c r="U78" s="11"/>
      <c r="X78" s="13">
        <f t="shared" si="7"/>
        <v>0</v>
      </c>
      <c r="Y78" s="2">
        <f t="shared" ca="1" si="8"/>
        <v>32133</v>
      </c>
      <c r="Z78" s="14">
        <v>1</v>
      </c>
      <c r="AA78" s="1" t="str">
        <f t="shared" ca="1" si="9"/>
        <v>VENCIDO</v>
      </c>
      <c r="AB78" s="1" t="str">
        <f t="shared" si="10"/>
        <v>TAAe+</v>
      </c>
      <c r="AC78" s="2">
        <f t="shared" si="13"/>
        <v>0</v>
      </c>
      <c r="AD78" s="2">
        <f t="shared" si="11"/>
        <v>8</v>
      </c>
      <c r="AE78" s="2">
        <f t="shared" ca="1" si="12"/>
        <v>-44986.676271643519</v>
      </c>
      <c r="AF78" s="15"/>
    </row>
    <row r="79" spans="3:32">
      <c r="D79" s="1"/>
      <c r="E79" s="1"/>
      <c r="P79" s="11"/>
      <c r="U79" s="11"/>
      <c r="X79" s="13">
        <f t="shared" si="7"/>
        <v>0</v>
      </c>
      <c r="Y79" s="2">
        <f t="shared" ca="1" si="8"/>
        <v>32133</v>
      </c>
      <c r="Z79" s="14">
        <v>1</v>
      </c>
      <c r="AA79" s="1" t="str">
        <f t="shared" ca="1" si="9"/>
        <v>VENCIDO</v>
      </c>
      <c r="AB79" s="1" t="str">
        <f t="shared" si="10"/>
        <v>TAAe+</v>
      </c>
      <c r="AC79" s="2">
        <f t="shared" si="13"/>
        <v>0</v>
      </c>
      <c r="AD79" s="2">
        <f t="shared" si="11"/>
        <v>8</v>
      </c>
      <c r="AE79" s="2">
        <f t="shared" ca="1" si="12"/>
        <v>-44986.676271643519</v>
      </c>
      <c r="AF79" s="15"/>
    </row>
    <row r="80" spans="3:32">
      <c r="D80" s="1"/>
      <c r="E80" s="1"/>
      <c r="P80" s="11"/>
      <c r="U80" s="11"/>
      <c r="X80" s="13">
        <f t="shared" si="7"/>
        <v>0</v>
      </c>
      <c r="Y80" s="2">
        <f t="shared" ca="1" si="8"/>
        <v>32133</v>
      </c>
      <c r="Z80" s="14">
        <v>1</v>
      </c>
      <c r="AA80" s="1" t="str">
        <f t="shared" ca="1" si="9"/>
        <v>VENCIDO</v>
      </c>
      <c r="AB80" s="1" t="str">
        <f t="shared" si="10"/>
        <v>TAAe+</v>
      </c>
      <c r="AC80" s="2">
        <f t="shared" si="13"/>
        <v>0</v>
      </c>
      <c r="AD80" s="2">
        <f t="shared" si="11"/>
        <v>8</v>
      </c>
      <c r="AE80" s="2">
        <f t="shared" ca="1" si="12"/>
        <v>-44986.676271643519</v>
      </c>
      <c r="AF80" s="15"/>
    </row>
    <row r="81" spans="3:32">
      <c r="D81" s="1"/>
      <c r="E81" s="1"/>
      <c r="P81" s="11"/>
      <c r="U81" s="11"/>
      <c r="X81" s="13">
        <f t="shared" si="7"/>
        <v>0</v>
      </c>
      <c r="Y81" s="2">
        <f t="shared" ca="1" si="8"/>
        <v>32133</v>
      </c>
      <c r="Z81" s="14">
        <v>1</v>
      </c>
      <c r="AA81" s="1" t="str">
        <f t="shared" ca="1" si="9"/>
        <v>VENCIDO</v>
      </c>
      <c r="AB81" s="1" t="str">
        <f t="shared" si="10"/>
        <v>TAAe+</v>
      </c>
      <c r="AC81" s="2">
        <f t="shared" si="13"/>
        <v>0</v>
      </c>
      <c r="AD81" s="2">
        <f t="shared" si="11"/>
        <v>8</v>
      </c>
      <c r="AE81" s="2">
        <f t="shared" ca="1" si="12"/>
        <v>-44986.676271643519</v>
      </c>
      <c r="AF81" s="15"/>
    </row>
    <row r="82" spans="3:32">
      <c r="D82" s="1"/>
      <c r="E82" s="1"/>
      <c r="P82" s="11"/>
      <c r="U82" s="11"/>
      <c r="X82" s="13">
        <f t="shared" si="7"/>
        <v>0</v>
      </c>
      <c r="Y82" s="2">
        <f t="shared" ca="1" si="8"/>
        <v>32133</v>
      </c>
      <c r="Z82" s="14">
        <v>1</v>
      </c>
      <c r="AA82" s="1" t="str">
        <f t="shared" ca="1" si="9"/>
        <v>VENCIDO</v>
      </c>
      <c r="AB82" s="1" t="str">
        <f t="shared" si="10"/>
        <v>TAAe+</v>
      </c>
      <c r="AC82" s="2">
        <f t="shared" si="13"/>
        <v>0</v>
      </c>
      <c r="AD82" s="2">
        <f t="shared" si="11"/>
        <v>8</v>
      </c>
      <c r="AE82" s="2">
        <f t="shared" ca="1" si="12"/>
        <v>-44986.676271643519</v>
      </c>
      <c r="AF82" s="15"/>
    </row>
    <row r="83" spans="3:32">
      <c r="D83" s="1"/>
      <c r="E83" s="1"/>
      <c r="P83" s="11"/>
      <c r="U83" s="11"/>
      <c r="X83" s="13">
        <f t="shared" si="7"/>
        <v>0</v>
      </c>
      <c r="Y83" s="2">
        <f t="shared" ca="1" si="8"/>
        <v>32133</v>
      </c>
      <c r="Z83" s="14">
        <v>1</v>
      </c>
      <c r="AA83" s="1" t="str">
        <f t="shared" ca="1" si="9"/>
        <v>VENCIDO</v>
      </c>
      <c r="AB83" s="1" t="str">
        <f t="shared" si="10"/>
        <v>TAAe+</v>
      </c>
      <c r="AC83" s="2">
        <f t="shared" si="13"/>
        <v>0</v>
      </c>
      <c r="AD83" s="2">
        <f t="shared" si="11"/>
        <v>8</v>
      </c>
      <c r="AE83" s="2">
        <f t="shared" ca="1" si="12"/>
        <v>-44986.676271643519</v>
      </c>
      <c r="AF83" s="15"/>
    </row>
    <row r="84" spans="3:32">
      <c r="D84" s="1"/>
      <c r="E84" s="1"/>
      <c r="P84" s="11"/>
      <c r="U84" s="11"/>
      <c r="X84" s="13">
        <f t="shared" si="7"/>
        <v>0</v>
      </c>
      <c r="Y84" s="2">
        <f t="shared" ca="1" si="8"/>
        <v>32133</v>
      </c>
      <c r="Z84" s="14">
        <v>1</v>
      </c>
      <c r="AA84" s="1" t="str">
        <f t="shared" ca="1" si="9"/>
        <v>VENCIDO</v>
      </c>
      <c r="AB84" s="1" t="str">
        <f t="shared" si="10"/>
        <v>TAAe+</v>
      </c>
      <c r="AC84" s="2">
        <f t="shared" si="13"/>
        <v>0</v>
      </c>
      <c r="AD84" s="2">
        <f t="shared" si="11"/>
        <v>8</v>
      </c>
      <c r="AE84" s="2">
        <f t="shared" ca="1" si="12"/>
        <v>-44986.676271643519</v>
      </c>
      <c r="AF84" s="15"/>
    </row>
    <row r="85" spans="3:32">
      <c r="D85" s="1"/>
      <c r="E85" s="1"/>
      <c r="P85" s="11"/>
      <c r="U85" s="11"/>
      <c r="X85" s="13">
        <f t="shared" si="7"/>
        <v>0</v>
      </c>
      <c r="Y85" s="2">
        <f t="shared" ca="1" si="8"/>
        <v>32133</v>
      </c>
      <c r="Z85" s="14">
        <v>1</v>
      </c>
      <c r="AA85" s="1" t="str">
        <f t="shared" ca="1" si="9"/>
        <v>VENCIDO</v>
      </c>
      <c r="AB85" s="1" t="str">
        <f t="shared" si="10"/>
        <v>TAAe+</v>
      </c>
      <c r="AC85" s="2">
        <f t="shared" si="13"/>
        <v>0</v>
      </c>
      <c r="AD85" s="2">
        <f t="shared" si="11"/>
        <v>8</v>
      </c>
      <c r="AE85" s="2">
        <f t="shared" ca="1" si="12"/>
        <v>-44986.676271643519</v>
      </c>
      <c r="AF85" s="15"/>
    </row>
    <row r="86" spans="3:32">
      <c r="D86" s="1"/>
      <c r="E86" s="1"/>
      <c r="P86" s="11"/>
      <c r="U86" s="11"/>
      <c r="X86" s="13">
        <f t="shared" si="7"/>
        <v>0</v>
      </c>
      <c r="Y86" s="2">
        <f t="shared" ca="1" si="8"/>
        <v>32133</v>
      </c>
      <c r="Z86" s="14">
        <v>1</v>
      </c>
      <c r="AA86" s="1" t="str">
        <f t="shared" ca="1" si="9"/>
        <v>VENCIDO</v>
      </c>
      <c r="AB86" s="1" t="str">
        <f t="shared" si="10"/>
        <v>TAAe+</v>
      </c>
      <c r="AC86" s="2">
        <f t="shared" si="13"/>
        <v>0</v>
      </c>
      <c r="AD86" s="2">
        <f t="shared" si="11"/>
        <v>8</v>
      </c>
      <c r="AE86" s="2">
        <f t="shared" ca="1" si="12"/>
        <v>-44986.676271643519</v>
      </c>
      <c r="AF86" s="15"/>
    </row>
    <row r="87" spans="3:32">
      <c r="D87" s="1"/>
      <c r="E87" s="1"/>
      <c r="P87" s="11"/>
      <c r="U87" s="11"/>
      <c r="X87" s="13">
        <f t="shared" si="7"/>
        <v>0</v>
      </c>
      <c r="Y87" s="2">
        <f t="shared" ca="1" si="8"/>
        <v>32133</v>
      </c>
      <c r="Z87" s="14">
        <v>1</v>
      </c>
      <c r="AA87" s="1" t="str">
        <f t="shared" ca="1" si="9"/>
        <v>VENCIDO</v>
      </c>
      <c r="AB87" s="1" t="str">
        <f t="shared" si="10"/>
        <v>TAAe+</v>
      </c>
      <c r="AC87" s="2">
        <f t="shared" si="13"/>
        <v>0</v>
      </c>
      <c r="AD87" s="2">
        <f t="shared" si="11"/>
        <v>8</v>
      </c>
      <c r="AE87" s="2">
        <f t="shared" ca="1" si="12"/>
        <v>-44986.676271643519</v>
      </c>
      <c r="AF87" s="15"/>
    </row>
    <row r="88" spans="3:32">
      <c r="D88" s="1"/>
      <c r="E88" s="1"/>
      <c r="P88" s="11"/>
      <c r="U88" s="11"/>
      <c r="X88" s="13">
        <f t="shared" si="7"/>
        <v>0</v>
      </c>
      <c r="Y88" s="2">
        <f t="shared" ca="1" si="8"/>
        <v>32133</v>
      </c>
      <c r="Z88" s="14">
        <v>1</v>
      </c>
      <c r="AA88" s="1" t="str">
        <f t="shared" ca="1" si="9"/>
        <v>VENCIDO</v>
      </c>
      <c r="AB88" s="1" t="str">
        <f t="shared" si="10"/>
        <v>TAAe+</v>
      </c>
      <c r="AC88" s="2">
        <f t="shared" si="13"/>
        <v>0</v>
      </c>
      <c r="AD88" s="2">
        <f t="shared" si="11"/>
        <v>8</v>
      </c>
      <c r="AE88" s="2">
        <f t="shared" ca="1" si="12"/>
        <v>-44986.676271643519</v>
      </c>
      <c r="AF88" s="15"/>
    </row>
    <row r="89" spans="3:32">
      <c r="C89" s="23"/>
      <c r="D89" s="1"/>
      <c r="E89" s="1"/>
      <c r="P89" s="11"/>
      <c r="U89" s="11"/>
      <c r="X89" s="13">
        <f t="shared" si="7"/>
        <v>0</v>
      </c>
      <c r="Y89" s="2">
        <f t="shared" ca="1" si="8"/>
        <v>32133</v>
      </c>
      <c r="Z89" s="14">
        <v>1</v>
      </c>
      <c r="AA89" s="1" t="str">
        <f t="shared" ca="1" si="9"/>
        <v>VENCIDO</v>
      </c>
      <c r="AB89" s="1" t="str">
        <f t="shared" si="10"/>
        <v>TAAe+</v>
      </c>
      <c r="AC89" s="2">
        <f t="shared" si="13"/>
        <v>0</v>
      </c>
      <c r="AD89" s="2">
        <f t="shared" si="11"/>
        <v>8</v>
      </c>
      <c r="AE89" s="2">
        <f t="shared" ca="1" si="12"/>
        <v>-44986.676271643519</v>
      </c>
      <c r="AF89" s="15"/>
    </row>
    <row r="90" spans="3:32">
      <c r="D90" s="1"/>
      <c r="E90" s="1"/>
      <c r="P90" s="11"/>
      <c r="U90" s="11"/>
      <c r="X90" s="13">
        <f t="shared" si="7"/>
        <v>0</v>
      </c>
      <c r="Y90" s="2">
        <f t="shared" ca="1" si="8"/>
        <v>32133</v>
      </c>
      <c r="Z90" s="14">
        <v>1</v>
      </c>
      <c r="AA90" s="1" t="str">
        <f t="shared" ca="1" si="9"/>
        <v>VENCIDO</v>
      </c>
      <c r="AB90" s="1" t="str">
        <f t="shared" si="10"/>
        <v>TAAe+</v>
      </c>
      <c r="AC90" s="2">
        <f t="shared" si="13"/>
        <v>0</v>
      </c>
      <c r="AD90" s="2">
        <f t="shared" si="11"/>
        <v>8</v>
      </c>
      <c r="AE90" s="2">
        <f t="shared" ca="1" si="12"/>
        <v>-44986.676271643519</v>
      </c>
      <c r="AF90" s="15"/>
    </row>
    <row r="91" spans="3:32">
      <c r="D91" s="1"/>
      <c r="E91" s="1"/>
      <c r="P91" s="11"/>
      <c r="U91" s="11"/>
      <c r="X91" s="13">
        <f t="shared" si="7"/>
        <v>0</v>
      </c>
      <c r="Y91" s="2">
        <f t="shared" ca="1" si="8"/>
        <v>32133</v>
      </c>
      <c r="Z91" s="14">
        <v>1</v>
      </c>
      <c r="AA91" s="1" t="str">
        <f t="shared" ca="1" si="9"/>
        <v>VENCIDO</v>
      </c>
      <c r="AB91" s="1" t="str">
        <f t="shared" si="10"/>
        <v>TAAe+</v>
      </c>
      <c r="AC91" s="2">
        <f t="shared" si="13"/>
        <v>0</v>
      </c>
      <c r="AD91" s="2">
        <f t="shared" si="11"/>
        <v>8</v>
      </c>
      <c r="AE91" s="2">
        <f t="shared" ca="1" si="12"/>
        <v>-44986.676271643519</v>
      </c>
      <c r="AF91" s="15"/>
    </row>
    <row r="92" spans="3:32">
      <c r="D92" s="1"/>
      <c r="E92" s="1"/>
      <c r="P92" s="11"/>
      <c r="U92" s="11"/>
      <c r="X92" s="13">
        <f t="shared" si="7"/>
        <v>0</v>
      </c>
      <c r="Y92" s="2">
        <f t="shared" ca="1" si="8"/>
        <v>32133</v>
      </c>
      <c r="Z92" s="14">
        <v>1</v>
      </c>
      <c r="AA92" s="1" t="str">
        <f t="shared" ca="1" si="9"/>
        <v>VENCIDO</v>
      </c>
      <c r="AB92" s="1" t="str">
        <f t="shared" si="10"/>
        <v>TAAe+</v>
      </c>
      <c r="AC92" s="2">
        <f t="shared" si="13"/>
        <v>0</v>
      </c>
      <c r="AD92" s="2">
        <f t="shared" si="11"/>
        <v>8</v>
      </c>
      <c r="AE92" s="2">
        <f t="shared" ca="1" si="12"/>
        <v>-44986.676271643519</v>
      </c>
      <c r="AF92" s="15"/>
    </row>
    <row r="93" spans="3:32">
      <c r="D93" s="1"/>
      <c r="E93" s="1"/>
      <c r="P93" s="11"/>
      <c r="U93" s="11"/>
      <c r="X93" s="13">
        <f t="shared" si="7"/>
        <v>0</v>
      </c>
      <c r="Y93" s="2">
        <f t="shared" ca="1" si="8"/>
        <v>32133</v>
      </c>
      <c r="Z93" s="14">
        <v>1</v>
      </c>
      <c r="AA93" s="1" t="str">
        <f t="shared" ca="1" si="9"/>
        <v>VENCIDO</v>
      </c>
      <c r="AB93" s="1" t="str">
        <f t="shared" si="10"/>
        <v>TAAe+</v>
      </c>
      <c r="AC93" s="2">
        <f t="shared" si="13"/>
        <v>0</v>
      </c>
      <c r="AD93" s="2">
        <f t="shared" si="11"/>
        <v>8</v>
      </c>
      <c r="AE93" s="2">
        <f t="shared" ca="1" si="12"/>
        <v>-44986.676271643519</v>
      </c>
      <c r="AF93" s="15"/>
    </row>
    <row r="94" spans="3:32">
      <c r="D94" s="1"/>
      <c r="E94" s="1"/>
      <c r="P94" s="11"/>
      <c r="U94" s="11"/>
      <c r="X94" s="13">
        <f t="shared" si="7"/>
        <v>0</v>
      </c>
      <c r="Y94" s="2">
        <f t="shared" ca="1" si="8"/>
        <v>32133</v>
      </c>
      <c r="Z94" s="14">
        <v>1</v>
      </c>
      <c r="AA94" s="1" t="str">
        <f t="shared" ca="1" si="9"/>
        <v>VENCIDO</v>
      </c>
      <c r="AB94" s="1" t="str">
        <f t="shared" si="10"/>
        <v>TAAe+</v>
      </c>
      <c r="AC94" s="2">
        <f t="shared" si="13"/>
        <v>0</v>
      </c>
      <c r="AD94" s="2">
        <f t="shared" si="11"/>
        <v>8</v>
      </c>
      <c r="AE94" s="2">
        <f t="shared" ca="1" si="12"/>
        <v>-44986.676271643519</v>
      </c>
      <c r="AF94" s="15"/>
    </row>
    <row r="95" spans="3:32">
      <c r="D95" s="1"/>
      <c r="E95" s="1"/>
      <c r="P95" s="11"/>
      <c r="U95" s="11"/>
      <c r="X95" s="13">
        <f t="shared" si="7"/>
        <v>0</v>
      </c>
      <c r="Y95" s="2">
        <f t="shared" ca="1" si="8"/>
        <v>32133</v>
      </c>
      <c r="Z95" s="14">
        <v>1</v>
      </c>
      <c r="AA95" s="1" t="str">
        <f t="shared" ca="1" si="9"/>
        <v>VENCIDO</v>
      </c>
      <c r="AB95" s="1" t="str">
        <f t="shared" si="10"/>
        <v>TAAe+</v>
      </c>
      <c r="AC95" s="2">
        <f t="shared" si="13"/>
        <v>0</v>
      </c>
      <c r="AD95" s="2">
        <f t="shared" si="11"/>
        <v>8</v>
      </c>
      <c r="AE95" s="2">
        <f t="shared" ca="1" si="12"/>
        <v>-44986.676271643519</v>
      </c>
      <c r="AF95" s="15"/>
    </row>
    <row r="96" spans="3:32">
      <c r="D96" s="1"/>
      <c r="E96" s="1"/>
      <c r="P96" s="11"/>
      <c r="U96" s="11"/>
      <c r="X96" s="13">
        <f t="shared" si="7"/>
        <v>0</v>
      </c>
      <c r="Y96" s="2">
        <f t="shared" ca="1" si="8"/>
        <v>32133</v>
      </c>
      <c r="Z96" s="14">
        <v>1</v>
      </c>
      <c r="AA96" s="1" t="str">
        <f t="shared" ca="1" si="9"/>
        <v>VENCIDO</v>
      </c>
      <c r="AB96" s="1" t="str">
        <f t="shared" si="10"/>
        <v>TAAe+</v>
      </c>
      <c r="AC96" s="2">
        <f t="shared" si="13"/>
        <v>0</v>
      </c>
      <c r="AD96" s="2">
        <f t="shared" si="11"/>
        <v>8</v>
      </c>
      <c r="AE96" s="2">
        <f t="shared" ca="1" si="12"/>
        <v>-44986.676271643519</v>
      </c>
      <c r="AF96" s="15"/>
    </row>
    <row r="97" spans="3:32">
      <c r="D97" s="1"/>
      <c r="E97" s="1"/>
      <c r="P97" s="11"/>
      <c r="U97" s="11"/>
      <c r="X97" s="13">
        <f t="shared" si="7"/>
        <v>0</v>
      </c>
      <c r="Y97" s="2">
        <f t="shared" ca="1" si="8"/>
        <v>32133</v>
      </c>
      <c r="Z97" s="14">
        <v>1</v>
      </c>
      <c r="AA97" s="1" t="str">
        <f t="shared" ca="1" si="9"/>
        <v>VENCIDO</v>
      </c>
      <c r="AB97" s="1" t="str">
        <f t="shared" si="10"/>
        <v>TAAe+</v>
      </c>
      <c r="AC97" s="2">
        <f t="shared" si="13"/>
        <v>0</v>
      </c>
      <c r="AD97" s="2">
        <f t="shared" si="11"/>
        <v>8</v>
      </c>
      <c r="AE97" s="2">
        <f t="shared" ca="1" si="12"/>
        <v>-44986.676271643519</v>
      </c>
      <c r="AF97" s="15"/>
    </row>
    <row r="98" spans="3:32">
      <c r="C98" s="23"/>
      <c r="D98" s="1"/>
      <c r="E98" s="1"/>
      <c r="P98" s="11"/>
      <c r="U98" s="11"/>
      <c r="X98" s="13">
        <f t="shared" si="7"/>
        <v>0</v>
      </c>
      <c r="Y98" s="2">
        <f t="shared" ca="1" si="8"/>
        <v>32133</v>
      </c>
      <c r="Z98" s="14">
        <v>1</v>
      </c>
      <c r="AA98" s="1" t="str">
        <f t="shared" ca="1" si="9"/>
        <v>VENCIDO</v>
      </c>
      <c r="AB98" s="1" t="str">
        <f t="shared" si="10"/>
        <v>TAAe+</v>
      </c>
      <c r="AC98" s="2">
        <f t="shared" si="13"/>
        <v>0</v>
      </c>
      <c r="AD98" s="2">
        <f t="shared" si="11"/>
        <v>8</v>
      </c>
      <c r="AE98" s="2">
        <f t="shared" ca="1" si="12"/>
        <v>-44986.676271643519</v>
      </c>
      <c r="AF98" s="15"/>
    </row>
    <row r="99" spans="3:32">
      <c r="D99" s="1"/>
      <c r="E99" s="1"/>
      <c r="P99" s="11"/>
      <c r="U99" s="11"/>
      <c r="X99" s="13">
        <f t="shared" si="7"/>
        <v>0</v>
      </c>
      <c r="Y99" s="2">
        <f t="shared" ca="1" si="8"/>
        <v>32133</v>
      </c>
      <c r="Z99" s="14">
        <v>1</v>
      </c>
      <c r="AA99" s="1" t="str">
        <f t="shared" ca="1" si="9"/>
        <v>VENCIDO</v>
      </c>
      <c r="AB99" s="1" t="str">
        <f t="shared" si="10"/>
        <v>TAAe+</v>
      </c>
      <c r="AC99" s="2">
        <f t="shared" si="13"/>
        <v>0</v>
      </c>
      <c r="AD99" s="2">
        <f t="shared" si="11"/>
        <v>8</v>
      </c>
      <c r="AE99" s="2">
        <f t="shared" ca="1" si="12"/>
        <v>-44986.676271643519</v>
      </c>
      <c r="AF99" s="15"/>
    </row>
    <row r="100" spans="3:32">
      <c r="D100" s="1"/>
      <c r="E100" s="1"/>
      <c r="P100" s="11"/>
      <c r="U100" s="11"/>
      <c r="X100" s="13">
        <f t="shared" si="7"/>
        <v>0</v>
      </c>
      <c r="Y100" s="2">
        <f t="shared" ca="1" si="8"/>
        <v>32133</v>
      </c>
      <c r="Z100" s="14">
        <v>1</v>
      </c>
      <c r="AA100" s="1" t="str">
        <f t="shared" ca="1" si="9"/>
        <v>VENCIDO</v>
      </c>
      <c r="AB100" s="1" t="str">
        <f t="shared" si="10"/>
        <v>TAAe+</v>
      </c>
      <c r="AC100" s="2">
        <f t="shared" si="13"/>
        <v>0</v>
      </c>
      <c r="AD100" s="2">
        <f t="shared" si="11"/>
        <v>8</v>
      </c>
      <c r="AE100" s="2">
        <f t="shared" ca="1" si="12"/>
        <v>-44986.676271643519</v>
      </c>
      <c r="AF100" s="15"/>
    </row>
    <row r="101" spans="3:32">
      <c r="D101" s="1"/>
      <c r="E101" s="1"/>
      <c r="P101" s="11"/>
      <c r="U101" s="11"/>
      <c r="X101" s="13">
        <f t="shared" si="7"/>
        <v>0</v>
      </c>
      <c r="Y101" s="2">
        <f t="shared" ca="1" si="8"/>
        <v>32133</v>
      </c>
      <c r="Z101" s="14">
        <v>1</v>
      </c>
      <c r="AA101" s="1" t="str">
        <f t="shared" ca="1" si="9"/>
        <v>VENCIDO</v>
      </c>
      <c r="AB101" s="1" t="str">
        <f t="shared" si="10"/>
        <v>TAAe+</v>
      </c>
      <c r="AC101" s="2">
        <f t="shared" si="13"/>
        <v>0</v>
      </c>
      <c r="AD101" s="2">
        <f t="shared" si="11"/>
        <v>8</v>
      </c>
      <c r="AE101" s="2">
        <f t="shared" ca="1" si="12"/>
        <v>-44986.676271643519</v>
      </c>
      <c r="AF101" s="15"/>
    </row>
    <row r="102" spans="3:32">
      <c r="D102" s="1"/>
      <c r="E102" s="1"/>
      <c r="P102" s="11"/>
      <c r="U102" s="11"/>
      <c r="X102" s="13">
        <f t="shared" si="7"/>
        <v>0</v>
      </c>
      <c r="Y102" s="2">
        <f t="shared" ca="1" si="8"/>
        <v>32133</v>
      </c>
      <c r="Z102" s="14">
        <v>1</v>
      </c>
      <c r="AA102" s="1" t="str">
        <f t="shared" ca="1" si="9"/>
        <v>VENCIDO</v>
      </c>
      <c r="AB102" s="1" t="str">
        <f t="shared" si="10"/>
        <v>TAAe+</v>
      </c>
      <c r="AC102" s="2">
        <f t="shared" si="13"/>
        <v>0</v>
      </c>
      <c r="AD102" s="2">
        <f t="shared" si="11"/>
        <v>8</v>
      </c>
      <c r="AE102" s="2">
        <f t="shared" ca="1" si="12"/>
        <v>-44986.676271643519</v>
      </c>
      <c r="AF102" s="15"/>
    </row>
    <row r="103" spans="3:32">
      <c r="C103" s="23"/>
      <c r="D103" s="1"/>
      <c r="E103" s="1"/>
      <c r="P103" s="11"/>
      <c r="U103" s="11"/>
      <c r="X103" s="13">
        <f t="shared" si="7"/>
        <v>0</v>
      </c>
      <c r="Y103" s="2">
        <f t="shared" ca="1" si="8"/>
        <v>32133</v>
      </c>
      <c r="Z103" s="14">
        <v>1</v>
      </c>
      <c r="AA103" s="1" t="str">
        <f t="shared" ca="1" si="9"/>
        <v>VENCIDO</v>
      </c>
      <c r="AB103" s="1" t="str">
        <f t="shared" si="10"/>
        <v>TAAe+</v>
      </c>
      <c r="AC103" s="2">
        <f t="shared" si="13"/>
        <v>0</v>
      </c>
      <c r="AD103" s="2">
        <f t="shared" si="11"/>
        <v>8</v>
      </c>
      <c r="AE103" s="2">
        <f t="shared" ca="1" si="12"/>
        <v>-44986.676271643519</v>
      </c>
      <c r="AF103" s="15"/>
    </row>
    <row r="104" spans="3:32">
      <c r="D104" s="1"/>
      <c r="E104" s="1"/>
      <c r="P104" s="11"/>
      <c r="U104" s="11"/>
      <c r="X104" s="13">
        <f t="shared" si="7"/>
        <v>0</v>
      </c>
      <c r="Y104" s="2">
        <f t="shared" ca="1" si="8"/>
        <v>32133</v>
      </c>
      <c r="Z104" s="14">
        <v>1</v>
      </c>
      <c r="AA104" s="1" t="str">
        <f t="shared" ca="1" si="9"/>
        <v>VENCIDO</v>
      </c>
      <c r="AB104" s="1" t="str">
        <f t="shared" si="10"/>
        <v>TAAe+</v>
      </c>
      <c r="AC104" s="2">
        <f t="shared" si="13"/>
        <v>0</v>
      </c>
      <c r="AD104" s="2">
        <f t="shared" si="11"/>
        <v>8</v>
      </c>
      <c r="AE104" s="2">
        <f t="shared" ca="1" si="12"/>
        <v>-44986.676271643519</v>
      </c>
      <c r="AF104" s="15"/>
    </row>
    <row r="105" spans="3:32">
      <c r="D105" s="1"/>
      <c r="E105" s="1"/>
      <c r="P105" s="11"/>
      <c r="U105" s="11"/>
      <c r="X105" s="13">
        <f t="shared" si="7"/>
        <v>0</v>
      </c>
      <c r="Y105" s="2">
        <f t="shared" ca="1" si="8"/>
        <v>32133</v>
      </c>
      <c r="Z105" s="14">
        <v>1</v>
      </c>
      <c r="AA105" s="1" t="str">
        <f t="shared" ca="1" si="9"/>
        <v>VENCIDO</v>
      </c>
      <c r="AB105" s="1" t="str">
        <f t="shared" si="10"/>
        <v>TAAe+</v>
      </c>
      <c r="AC105" s="2">
        <f t="shared" si="13"/>
        <v>0</v>
      </c>
      <c r="AD105" s="2">
        <f t="shared" si="11"/>
        <v>8</v>
      </c>
      <c r="AE105" s="2">
        <f t="shared" ca="1" si="12"/>
        <v>-44986.676271643519</v>
      </c>
      <c r="AF105" s="15"/>
    </row>
    <row r="106" spans="3:32">
      <c r="D106" s="1"/>
      <c r="E106" s="1"/>
      <c r="P106" s="11"/>
      <c r="U106" s="11"/>
      <c r="X106" s="13">
        <f t="shared" si="7"/>
        <v>0</v>
      </c>
      <c r="Y106" s="2">
        <f t="shared" ca="1" si="8"/>
        <v>32133</v>
      </c>
      <c r="Z106" s="14">
        <v>1</v>
      </c>
      <c r="AA106" s="1" t="str">
        <f t="shared" ca="1" si="9"/>
        <v>VENCIDO</v>
      </c>
      <c r="AB106" s="1" t="str">
        <f t="shared" si="10"/>
        <v>TAAe+</v>
      </c>
      <c r="AC106" s="2">
        <f t="shared" si="13"/>
        <v>0</v>
      </c>
      <c r="AD106" s="2">
        <f t="shared" si="11"/>
        <v>8</v>
      </c>
      <c r="AE106" s="2">
        <f t="shared" ca="1" si="12"/>
        <v>-44986.676271643519</v>
      </c>
      <c r="AF106" s="15"/>
    </row>
    <row r="107" spans="3:32">
      <c r="D107" s="1"/>
      <c r="E107" s="1"/>
      <c r="P107" s="11"/>
      <c r="U107" s="11"/>
      <c r="X107" s="13">
        <f t="shared" si="7"/>
        <v>0</v>
      </c>
      <c r="Y107" s="2">
        <f t="shared" ca="1" si="8"/>
        <v>32133</v>
      </c>
      <c r="Z107" s="14">
        <v>1</v>
      </c>
      <c r="AA107" s="1" t="str">
        <f t="shared" ca="1" si="9"/>
        <v>VENCIDO</v>
      </c>
      <c r="AB107" s="1" t="str">
        <f t="shared" si="10"/>
        <v>TAAe+</v>
      </c>
      <c r="AC107" s="2">
        <f t="shared" si="13"/>
        <v>0</v>
      </c>
      <c r="AD107" s="2">
        <f t="shared" si="11"/>
        <v>8</v>
      </c>
      <c r="AE107" s="2">
        <f t="shared" ca="1" si="12"/>
        <v>-44986.676271643519</v>
      </c>
      <c r="AF107" s="15"/>
    </row>
    <row r="108" spans="3:32">
      <c r="D108" s="1"/>
      <c r="E108" s="1"/>
      <c r="P108" s="11"/>
      <c r="U108" s="11"/>
      <c r="X108" s="13">
        <f t="shared" si="7"/>
        <v>0</v>
      </c>
      <c r="Y108" s="2">
        <f t="shared" ca="1" si="8"/>
        <v>32133</v>
      </c>
      <c r="Z108" s="14">
        <v>1</v>
      </c>
      <c r="AA108" s="1" t="str">
        <f t="shared" ca="1" si="9"/>
        <v>VENCIDO</v>
      </c>
      <c r="AB108" s="1" t="str">
        <f t="shared" si="10"/>
        <v>TAAe+</v>
      </c>
      <c r="AC108" s="2">
        <f t="shared" si="13"/>
        <v>0</v>
      </c>
      <c r="AD108" s="2">
        <f t="shared" si="11"/>
        <v>8</v>
      </c>
      <c r="AE108" s="2">
        <f t="shared" ca="1" si="12"/>
        <v>-44986.676271643519</v>
      </c>
      <c r="AF108" s="15"/>
    </row>
    <row r="109" spans="3:32">
      <c r="D109" s="1"/>
      <c r="E109" s="1"/>
      <c r="P109" s="11"/>
      <c r="U109" s="11"/>
      <c r="X109" s="13">
        <f t="shared" si="7"/>
        <v>0</v>
      </c>
      <c r="Y109" s="2">
        <f t="shared" ca="1" si="8"/>
        <v>32133</v>
      </c>
      <c r="Z109" s="14">
        <v>1</v>
      </c>
      <c r="AA109" s="1" t="str">
        <f t="shared" ca="1" si="9"/>
        <v>VENCIDO</v>
      </c>
      <c r="AB109" s="1" t="str">
        <f t="shared" si="10"/>
        <v>TAAe+</v>
      </c>
      <c r="AC109" s="2">
        <f t="shared" si="13"/>
        <v>0</v>
      </c>
      <c r="AD109" s="2">
        <f t="shared" si="11"/>
        <v>8</v>
      </c>
      <c r="AE109" s="2">
        <f t="shared" ca="1" si="12"/>
        <v>-44986.676271643519</v>
      </c>
      <c r="AF109" s="15"/>
    </row>
    <row r="110" spans="3:32">
      <c r="D110" s="1"/>
      <c r="E110" s="1"/>
      <c r="P110" s="11"/>
      <c r="U110" s="11"/>
      <c r="X110" s="13">
        <f t="shared" si="7"/>
        <v>0</v>
      </c>
      <c r="Y110" s="2">
        <f t="shared" ca="1" si="8"/>
        <v>32133</v>
      </c>
      <c r="Z110" s="14">
        <v>1</v>
      </c>
      <c r="AA110" s="1" t="str">
        <f t="shared" ca="1" si="9"/>
        <v>VENCIDO</v>
      </c>
      <c r="AB110" s="1" t="str">
        <f t="shared" si="10"/>
        <v>TAAe+</v>
      </c>
      <c r="AC110" s="2">
        <f t="shared" si="13"/>
        <v>0</v>
      </c>
      <c r="AD110" s="2">
        <f t="shared" si="11"/>
        <v>8</v>
      </c>
      <c r="AE110" s="2">
        <f t="shared" ca="1" si="12"/>
        <v>-44986.676271643519</v>
      </c>
      <c r="AF110" s="15"/>
    </row>
    <row r="111" spans="3:32">
      <c r="C111" s="23"/>
      <c r="D111" s="1"/>
      <c r="E111" s="1"/>
      <c r="P111" s="11"/>
      <c r="U111" s="11"/>
      <c r="X111" s="13">
        <f t="shared" si="7"/>
        <v>0</v>
      </c>
      <c r="Y111" s="2">
        <f t="shared" ca="1" si="8"/>
        <v>32133</v>
      </c>
      <c r="Z111" s="14">
        <v>1</v>
      </c>
      <c r="AA111" s="1" t="str">
        <f t="shared" ca="1" si="9"/>
        <v>VENCIDO</v>
      </c>
      <c r="AB111" s="1" t="str">
        <f t="shared" si="10"/>
        <v>TAAe+</v>
      </c>
      <c r="AC111" s="2">
        <f t="shared" si="13"/>
        <v>0</v>
      </c>
      <c r="AD111" s="2">
        <f t="shared" si="11"/>
        <v>8</v>
      </c>
      <c r="AE111" s="2">
        <f t="shared" ca="1" si="12"/>
        <v>-44986.676271643519</v>
      </c>
      <c r="AF111" s="15"/>
    </row>
    <row r="112" spans="3:32">
      <c r="D112" s="1"/>
      <c r="E112" s="1"/>
      <c r="P112" s="11"/>
      <c r="U112" s="11"/>
      <c r="X112" s="13">
        <f t="shared" si="7"/>
        <v>0</v>
      </c>
      <c r="Y112" s="2">
        <f t="shared" ca="1" si="8"/>
        <v>32133</v>
      </c>
      <c r="Z112" s="14">
        <v>1</v>
      </c>
      <c r="AA112" s="1" t="str">
        <f t="shared" ca="1" si="9"/>
        <v>VENCIDO</v>
      </c>
      <c r="AB112" s="1" t="str">
        <f t="shared" si="10"/>
        <v>TAAe+</v>
      </c>
      <c r="AC112" s="2">
        <f t="shared" si="13"/>
        <v>0</v>
      </c>
      <c r="AD112" s="2">
        <f t="shared" si="11"/>
        <v>8</v>
      </c>
      <c r="AE112" s="2">
        <f t="shared" ca="1" si="12"/>
        <v>-44986.676271643519</v>
      </c>
      <c r="AF112" s="15"/>
    </row>
    <row r="113" spans="3:32">
      <c r="D113" s="1"/>
      <c r="E113" s="1"/>
      <c r="P113" s="11"/>
      <c r="U113" s="11"/>
      <c r="X113" s="13">
        <f t="shared" si="7"/>
        <v>0</v>
      </c>
      <c r="Y113" s="2">
        <f t="shared" ca="1" si="8"/>
        <v>32133</v>
      </c>
      <c r="Z113" s="14">
        <v>1</v>
      </c>
      <c r="AA113" s="1" t="str">
        <f t="shared" ca="1" si="9"/>
        <v>VENCIDO</v>
      </c>
      <c r="AB113" s="1" t="str">
        <f t="shared" si="10"/>
        <v>TAAe+</v>
      </c>
      <c r="AC113" s="2">
        <f t="shared" si="13"/>
        <v>0</v>
      </c>
      <c r="AD113" s="2">
        <f t="shared" si="11"/>
        <v>8</v>
      </c>
      <c r="AE113" s="2">
        <f t="shared" ca="1" si="12"/>
        <v>-44986.676271643519</v>
      </c>
      <c r="AF113" s="15"/>
    </row>
    <row r="114" spans="3:32">
      <c r="C114" s="23"/>
      <c r="D114" s="1"/>
      <c r="E114" s="1"/>
      <c r="P114" s="11"/>
      <c r="U114" s="11"/>
      <c r="X114" s="13">
        <f t="shared" si="7"/>
        <v>0</v>
      </c>
      <c r="Y114" s="2">
        <f t="shared" ca="1" si="8"/>
        <v>32133</v>
      </c>
      <c r="Z114" s="14">
        <v>1</v>
      </c>
      <c r="AA114" s="1" t="str">
        <f t="shared" ca="1" si="9"/>
        <v>VENCIDO</v>
      </c>
      <c r="AB114" s="1" t="str">
        <f t="shared" si="10"/>
        <v>TAAe+</v>
      </c>
      <c r="AC114" s="2">
        <f t="shared" si="13"/>
        <v>0</v>
      </c>
      <c r="AD114" s="2">
        <f t="shared" si="11"/>
        <v>8</v>
      </c>
      <c r="AE114" s="2">
        <f t="shared" ca="1" si="12"/>
        <v>-44986.676271643519</v>
      </c>
      <c r="AF114" s="15"/>
    </row>
    <row r="115" spans="3:32">
      <c r="D115" s="1"/>
      <c r="E115" s="1"/>
      <c r="P115" s="11"/>
      <c r="U115" s="11"/>
      <c r="X115" s="13">
        <f t="shared" si="7"/>
        <v>0</v>
      </c>
      <c r="Y115" s="2">
        <f t="shared" ca="1" si="8"/>
        <v>32133</v>
      </c>
      <c r="Z115" s="14">
        <v>1</v>
      </c>
      <c r="AA115" s="1" t="str">
        <f t="shared" ca="1" si="9"/>
        <v>VENCIDO</v>
      </c>
      <c r="AB115" s="1" t="str">
        <f t="shared" si="10"/>
        <v>TAAe+</v>
      </c>
      <c r="AC115" s="2">
        <f t="shared" si="13"/>
        <v>0</v>
      </c>
      <c r="AD115" s="2">
        <f t="shared" si="11"/>
        <v>8</v>
      </c>
      <c r="AE115" s="2">
        <f t="shared" ca="1" si="12"/>
        <v>-44986.676271643519</v>
      </c>
      <c r="AF115" s="15"/>
    </row>
    <row r="116" spans="3:32">
      <c r="D116" s="1"/>
      <c r="E116" s="1"/>
      <c r="P116" s="11"/>
      <c r="U116" s="11"/>
      <c r="X116" s="13">
        <f t="shared" si="7"/>
        <v>0</v>
      </c>
      <c r="Y116" s="2">
        <f t="shared" ca="1" si="8"/>
        <v>32133</v>
      </c>
      <c r="Z116" s="14">
        <v>1</v>
      </c>
      <c r="AA116" s="1" t="str">
        <f t="shared" ca="1" si="9"/>
        <v>VENCIDO</v>
      </c>
      <c r="AB116" s="1" t="str">
        <f t="shared" si="10"/>
        <v>TAAe+</v>
      </c>
      <c r="AC116" s="2">
        <f t="shared" si="13"/>
        <v>0</v>
      </c>
      <c r="AD116" s="2">
        <f t="shared" si="11"/>
        <v>8</v>
      </c>
      <c r="AE116" s="2">
        <f t="shared" ca="1" si="12"/>
        <v>-44986.676271643519</v>
      </c>
      <c r="AF116" s="15"/>
    </row>
    <row r="117" spans="3:32">
      <c r="D117" s="1"/>
      <c r="E117" s="1"/>
      <c r="P117" s="11"/>
      <c r="U117" s="11"/>
      <c r="X117" s="13">
        <f t="shared" si="7"/>
        <v>0</v>
      </c>
      <c r="Y117" s="2">
        <f t="shared" ca="1" si="8"/>
        <v>32133</v>
      </c>
      <c r="Z117" s="14">
        <v>1</v>
      </c>
      <c r="AA117" s="1" t="str">
        <f t="shared" ca="1" si="9"/>
        <v>VENCIDO</v>
      </c>
      <c r="AB117" s="1" t="str">
        <f t="shared" si="10"/>
        <v>TAAe+</v>
      </c>
      <c r="AC117" s="2">
        <f t="shared" si="13"/>
        <v>0</v>
      </c>
      <c r="AD117" s="2">
        <f t="shared" si="11"/>
        <v>8</v>
      </c>
      <c r="AE117" s="2">
        <f t="shared" ca="1" si="12"/>
        <v>-44986.676271643519</v>
      </c>
      <c r="AF117" s="15"/>
    </row>
    <row r="118" spans="3:32">
      <c r="C118" s="23"/>
      <c r="D118" s="1"/>
      <c r="E118" s="1"/>
      <c r="P118" s="11"/>
      <c r="U118" s="11"/>
      <c r="X118" s="13">
        <f t="shared" si="7"/>
        <v>0</v>
      </c>
      <c r="Y118" s="2">
        <f t="shared" ca="1" si="8"/>
        <v>32133</v>
      </c>
      <c r="Z118" s="14">
        <v>1</v>
      </c>
      <c r="AA118" s="1" t="str">
        <f t="shared" ca="1" si="9"/>
        <v>VENCIDO</v>
      </c>
      <c r="AB118" s="1" t="str">
        <f t="shared" si="10"/>
        <v>TAAe+</v>
      </c>
      <c r="AC118" s="2">
        <f t="shared" si="13"/>
        <v>0</v>
      </c>
      <c r="AD118" s="2">
        <f t="shared" si="11"/>
        <v>8</v>
      </c>
      <c r="AE118" s="2">
        <f t="shared" ca="1" si="12"/>
        <v>-44986.676271643519</v>
      </c>
      <c r="AF118" s="15"/>
    </row>
    <row r="119" spans="3:32">
      <c r="D119" s="1"/>
      <c r="E119" s="1"/>
      <c r="P119" s="11"/>
      <c r="U119" s="11"/>
      <c r="X119" s="13">
        <f t="shared" si="7"/>
        <v>0</v>
      </c>
      <c r="Y119" s="2">
        <f t="shared" ca="1" si="8"/>
        <v>32133</v>
      </c>
      <c r="Z119" s="14">
        <v>1</v>
      </c>
      <c r="AA119" s="1" t="str">
        <f t="shared" ca="1" si="9"/>
        <v>VENCIDO</v>
      </c>
      <c r="AB119" s="1" t="str">
        <f t="shared" si="10"/>
        <v>TAAe+</v>
      </c>
      <c r="AC119" s="2">
        <f t="shared" si="13"/>
        <v>0</v>
      </c>
      <c r="AD119" s="2">
        <f t="shared" si="11"/>
        <v>8</v>
      </c>
      <c r="AE119" s="2">
        <f t="shared" ca="1" si="12"/>
        <v>-44986.676271643519</v>
      </c>
      <c r="AF119" s="15"/>
    </row>
    <row r="120" spans="3:32">
      <c r="D120" s="1"/>
      <c r="E120" s="1"/>
      <c r="P120" s="11"/>
      <c r="U120" s="11"/>
      <c r="X120" s="13">
        <f t="shared" si="7"/>
        <v>0</v>
      </c>
      <c r="Y120" s="2">
        <f t="shared" ca="1" si="8"/>
        <v>32133</v>
      </c>
      <c r="Z120" s="14">
        <v>1</v>
      </c>
      <c r="AA120" s="1" t="str">
        <f t="shared" ca="1" si="9"/>
        <v>VENCIDO</v>
      </c>
      <c r="AB120" s="1" t="str">
        <f t="shared" si="10"/>
        <v>TAAe+</v>
      </c>
      <c r="AC120" s="2">
        <f t="shared" si="13"/>
        <v>0</v>
      </c>
      <c r="AD120" s="2">
        <f t="shared" si="11"/>
        <v>8</v>
      </c>
      <c r="AE120" s="2">
        <f t="shared" ca="1" si="12"/>
        <v>-44986.676271643519</v>
      </c>
      <c r="AF120" s="15"/>
    </row>
    <row r="121" spans="3:32">
      <c r="D121" s="1"/>
      <c r="E121" s="1"/>
      <c r="P121" s="11"/>
      <c r="U121" s="11"/>
      <c r="X121" s="13">
        <f t="shared" si="7"/>
        <v>0</v>
      </c>
      <c r="Y121" s="2">
        <f t="shared" ca="1" si="8"/>
        <v>32133</v>
      </c>
      <c r="Z121" s="14">
        <v>1</v>
      </c>
      <c r="AA121" s="1" t="str">
        <f t="shared" ca="1" si="9"/>
        <v>VENCIDO</v>
      </c>
      <c r="AB121" s="1" t="str">
        <f t="shared" si="10"/>
        <v>TAAe+</v>
      </c>
      <c r="AC121" s="2">
        <f t="shared" si="13"/>
        <v>0</v>
      </c>
      <c r="AD121" s="2">
        <f t="shared" si="11"/>
        <v>8</v>
      </c>
      <c r="AE121" s="2">
        <f t="shared" ca="1" si="12"/>
        <v>-44986.676271643519</v>
      </c>
      <c r="AF121" s="15"/>
    </row>
    <row r="122" spans="3:32">
      <c r="C122" s="23"/>
      <c r="D122" s="1"/>
      <c r="E122" s="1"/>
      <c r="P122" s="11"/>
      <c r="U122" s="11"/>
      <c r="X122" s="13">
        <f t="shared" si="7"/>
        <v>0</v>
      </c>
      <c r="Y122" s="2">
        <f t="shared" ca="1" si="8"/>
        <v>32133</v>
      </c>
      <c r="Z122" s="14">
        <v>1</v>
      </c>
      <c r="AA122" s="1" t="str">
        <f t="shared" ca="1" si="9"/>
        <v>VENCIDO</v>
      </c>
      <c r="AB122" s="1" t="str">
        <f t="shared" si="10"/>
        <v>TAAe+</v>
      </c>
      <c r="AC122" s="2">
        <f t="shared" si="13"/>
        <v>0</v>
      </c>
      <c r="AD122" s="2">
        <f t="shared" si="11"/>
        <v>8</v>
      </c>
      <c r="AE122" s="2">
        <f t="shared" ca="1" si="12"/>
        <v>-44986.676271643519</v>
      </c>
      <c r="AF122" s="15"/>
    </row>
    <row r="123" spans="3:32">
      <c r="C123" s="23"/>
      <c r="D123" s="1"/>
      <c r="E123" s="1"/>
      <c r="P123" s="11"/>
      <c r="U123" s="11"/>
      <c r="X123" s="13">
        <f t="shared" si="7"/>
        <v>0</v>
      </c>
      <c r="Y123" s="2">
        <f t="shared" ca="1" si="8"/>
        <v>32133</v>
      </c>
      <c r="Z123" s="14">
        <v>1</v>
      </c>
      <c r="AA123" s="1" t="str">
        <f t="shared" ca="1" si="9"/>
        <v>VENCIDO</v>
      </c>
      <c r="AB123" s="1" t="str">
        <f t="shared" si="10"/>
        <v>TAAe+</v>
      </c>
      <c r="AC123" s="2">
        <f t="shared" si="13"/>
        <v>0</v>
      </c>
      <c r="AD123" s="2">
        <f t="shared" si="11"/>
        <v>8</v>
      </c>
      <c r="AE123" s="2">
        <f t="shared" ca="1" si="12"/>
        <v>-44986.676271643519</v>
      </c>
      <c r="AF123" s="15"/>
    </row>
    <row r="124" spans="3:32">
      <c r="D124" s="1"/>
      <c r="E124" s="1"/>
      <c r="P124" s="11"/>
      <c r="U124" s="11"/>
      <c r="X124" s="13">
        <f t="shared" si="7"/>
        <v>0</v>
      </c>
      <c r="Y124" s="2">
        <f t="shared" ca="1" si="8"/>
        <v>32133</v>
      </c>
      <c r="Z124" s="14">
        <v>1</v>
      </c>
      <c r="AA124" s="1" t="str">
        <f t="shared" ca="1" si="9"/>
        <v>VENCIDO</v>
      </c>
      <c r="AB124" s="1" t="str">
        <f t="shared" si="10"/>
        <v>TAAe+</v>
      </c>
      <c r="AC124" s="2">
        <f t="shared" si="13"/>
        <v>0</v>
      </c>
      <c r="AD124" s="2">
        <f t="shared" si="11"/>
        <v>8</v>
      </c>
      <c r="AE124" s="2">
        <f t="shared" ca="1" si="12"/>
        <v>-44986.676271643519</v>
      </c>
      <c r="AF124" s="15"/>
    </row>
    <row r="125" spans="3:32">
      <c r="D125" s="1"/>
      <c r="E125" s="1"/>
      <c r="P125" s="11"/>
      <c r="U125" s="11"/>
      <c r="X125" s="13">
        <f t="shared" si="7"/>
        <v>0</v>
      </c>
      <c r="Y125" s="2">
        <f t="shared" ca="1" si="8"/>
        <v>32133</v>
      </c>
      <c r="Z125" s="14">
        <v>1</v>
      </c>
      <c r="AA125" s="1" t="str">
        <f t="shared" ca="1" si="9"/>
        <v>VENCIDO</v>
      </c>
      <c r="AB125" s="1" t="str">
        <f t="shared" si="10"/>
        <v>TAAe+</v>
      </c>
      <c r="AC125" s="2">
        <f t="shared" si="13"/>
        <v>0</v>
      </c>
      <c r="AD125" s="2">
        <f t="shared" si="11"/>
        <v>8</v>
      </c>
      <c r="AE125" s="2">
        <f t="shared" ca="1" si="12"/>
        <v>-44986.676271643519</v>
      </c>
      <c r="AF125" s="15"/>
    </row>
    <row r="126" spans="3:32">
      <c r="D126" s="1"/>
      <c r="E126" s="1"/>
      <c r="P126" s="11"/>
      <c r="U126" s="11"/>
      <c r="X126" s="13">
        <f t="shared" si="7"/>
        <v>0</v>
      </c>
      <c r="Y126" s="2">
        <f t="shared" ca="1" si="8"/>
        <v>32133</v>
      </c>
      <c r="Z126" s="14">
        <v>1</v>
      </c>
      <c r="AA126" s="1" t="str">
        <f t="shared" ca="1" si="9"/>
        <v>VENCIDO</v>
      </c>
      <c r="AB126" s="1" t="str">
        <f t="shared" si="10"/>
        <v>TAAe+</v>
      </c>
      <c r="AC126" s="2">
        <f t="shared" si="13"/>
        <v>0</v>
      </c>
      <c r="AD126" s="2">
        <f t="shared" si="11"/>
        <v>8</v>
      </c>
      <c r="AE126" s="2">
        <f t="shared" ca="1" si="12"/>
        <v>-44986.676271643519</v>
      </c>
      <c r="AF126" s="15"/>
    </row>
    <row r="127" spans="3:32">
      <c r="D127" s="1"/>
      <c r="E127" s="1"/>
      <c r="P127" s="11"/>
      <c r="U127" s="11"/>
      <c r="X127" s="13">
        <f t="shared" si="7"/>
        <v>0</v>
      </c>
      <c r="Y127" s="2">
        <f t="shared" ca="1" si="8"/>
        <v>32133</v>
      </c>
      <c r="Z127" s="14">
        <v>1</v>
      </c>
      <c r="AA127" s="1" t="str">
        <f t="shared" ca="1" si="9"/>
        <v>VENCIDO</v>
      </c>
      <c r="AB127" s="1" t="str">
        <f t="shared" si="10"/>
        <v>TAAe+</v>
      </c>
      <c r="AC127" s="2">
        <f t="shared" si="13"/>
        <v>0</v>
      </c>
      <c r="AD127" s="2">
        <f t="shared" si="11"/>
        <v>8</v>
      </c>
      <c r="AE127" s="2">
        <f t="shared" ca="1" si="12"/>
        <v>-44986.676271643519</v>
      </c>
      <c r="AF127" s="15"/>
    </row>
    <row r="128" spans="3:32">
      <c r="D128" s="1"/>
      <c r="E128" s="1"/>
      <c r="P128" s="11"/>
      <c r="U128" s="11"/>
      <c r="X128" s="13">
        <f t="shared" si="7"/>
        <v>0</v>
      </c>
      <c r="Y128" s="2">
        <f t="shared" ca="1" si="8"/>
        <v>32133</v>
      </c>
      <c r="Z128" s="14">
        <v>1</v>
      </c>
      <c r="AA128" s="1" t="str">
        <f t="shared" ca="1" si="9"/>
        <v>VENCIDO</v>
      </c>
      <c r="AB128" s="1" t="str">
        <f t="shared" si="10"/>
        <v>TAAe+</v>
      </c>
      <c r="AC128" s="2">
        <f t="shared" si="13"/>
        <v>0</v>
      </c>
      <c r="AD128" s="2">
        <f t="shared" si="11"/>
        <v>8</v>
      </c>
      <c r="AE128" s="2">
        <f t="shared" ca="1" si="12"/>
        <v>-44986.676271643519</v>
      </c>
      <c r="AF128" s="15"/>
    </row>
    <row r="129" spans="4:32">
      <c r="D129" s="1"/>
      <c r="E129" s="1"/>
      <c r="P129" s="11"/>
      <c r="U129" s="11"/>
      <c r="X129" s="13">
        <f t="shared" si="7"/>
        <v>0</v>
      </c>
      <c r="Y129" s="2">
        <f t="shared" ca="1" si="8"/>
        <v>32133</v>
      </c>
      <c r="Z129" s="14">
        <v>1</v>
      </c>
      <c r="AA129" s="1" t="str">
        <f t="shared" ca="1" si="9"/>
        <v>VENCIDO</v>
      </c>
      <c r="AB129" s="1" t="str">
        <f t="shared" si="10"/>
        <v>TAAe+</v>
      </c>
      <c r="AC129" s="2">
        <f t="shared" si="13"/>
        <v>0</v>
      </c>
      <c r="AD129" s="2">
        <f t="shared" si="11"/>
        <v>8</v>
      </c>
      <c r="AE129" s="2">
        <f t="shared" ca="1" si="12"/>
        <v>-44986.676271643519</v>
      </c>
      <c r="AF129" s="15"/>
    </row>
    <row r="130" spans="4:32">
      <c r="D130" s="1"/>
      <c r="E130" s="1"/>
      <c r="P130" s="11"/>
      <c r="U130" s="11"/>
      <c r="X130" s="13">
        <f t="shared" ref="X130:X193" si="14">IF(RIGHT(H130,2)&lt;&gt;"00",H130,"")</f>
        <v>0</v>
      </c>
      <c r="Y130" s="2">
        <f t="shared" ref="Y130:Y193" ca="1" si="15">NETWORKDAYS(P130,$Y$1)</f>
        <v>32133</v>
      </c>
      <c r="Z130" s="14">
        <v>1</v>
      </c>
      <c r="AA130" s="1" t="str">
        <f t="shared" ref="AA130:AA193" ca="1" si="16">IF(AE130=0,"HOJE",IF(AE130&gt;0,"A VENCER",IF(AE130&lt;0,"VENCIDO")))</f>
        <v>VENCIDO</v>
      </c>
      <c r="AB130" s="1" t="str">
        <f t="shared" ref="AB130:AB193" si="17">IF(F130="GRPE-000001","C-14",IF(F130="GRPE-000002","C-14",IF(F130="GRPE-000003","C-14",IF(F130="GRPE-000004","SL-On",IF(F130="GRPE-000038","C-14",IF(F130="GRPE-900022","Dosa",IF(F130="GRPE-000029","Dosa",IF(F130="ATOS-000222","Dose","TAAe+"))))))))</f>
        <v>TAAe+</v>
      </c>
      <c r="AC130" s="2">
        <f t="shared" si="13"/>
        <v>0</v>
      </c>
      <c r="AD130" s="2">
        <f t="shared" ref="AD130:AD193" si="18">IF(F130="GRPE-000001",5,IF(F130="GRPE-000002",5,IF(F130="GRPE-000003",15,IF(F130="GRPE-000004",1,IF(F130="GRPE-000038",5,IF(F130="GRPE-900022",5,IF(F130="GRPE-000029",5,IF(F130="ATOS-000222",5,8))))))))</f>
        <v>8</v>
      </c>
      <c r="AE130" s="2">
        <f t="shared" ref="AE130:AE193" ca="1" si="19">IF(U130=$AE$1,"",U130-$AE$1)</f>
        <v>-44986.676271643519</v>
      </c>
      <c r="AF130" s="15"/>
    </row>
    <row r="131" spans="4:32">
      <c r="D131" s="1"/>
      <c r="E131" s="1"/>
      <c r="P131" s="11"/>
      <c r="U131" s="11"/>
      <c r="X131" s="13">
        <f t="shared" si="14"/>
        <v>0</v>
      </c>
      <c r="Y131" s="2">
        <f t="shared" ca="1" si="15"/>
        <v>32133</v>
      </c>
      <c r="Z131" s="14">
        <v>1</v>
      </c>
      <c r="AA131" s="1" t="str">
        <f t="shared" ca="1" si="16"/>
        <v>VENCIDO</v>
      </c>
      <c r="AB131" s="1" t="str">
        <f t="shared" si="17"/>
        <v>TAAe+</v>
      </c>
      <c r="AC131" s="2">
        <f t="shared" ref="AC131:AC194" si="20">IF(J131="TR-PETROLINA"," ROSEMERE ",IF(J131="TR-GARANHUNS"," ROSEMERE ",IF(J131="TR-CARUARU"," ROSEMERE ",IF(J131="TR-RIBEIRAO"," CRISTINA ",IF(J131="TR-GRAVATA"," CRISTINA ",IF(J131="TR-GOIANA"," CRISTINA ",IF(J131="TR-LIMOEIRO"," CRISTINA ",IF(J131="TR-SERRA TALHADA"," RINALDO ",IF(J131="TR-SALGUEIRO"," RINALDO ",IF(J131="TR-CARNAIBA"," RINALDO ",IF(J131="TR-ARCOVERDE"," RINALDO ",IF(J131="CAT-RECIFE"," CLEITON ",))))))))))))</f>
        <v>0</v>
      </c>
      <c r="AD131" s="2">
        <f t="shared" si="18"/>
        <v>8</v>
      </c>
      <c r="AE131" s="2">
        <f t="shared" ca="1" si="19"/>
        <v>-44986.676271643519</v>
      </c>
      <c r="AF131" s="15"/>
    </row>
    <row r="132" spans="4:32">
      <c r="D132" s="1"/>
      <c r="E132" s="1"/>
      <c r="P132" s="11"/>
      <c r="U132" s="11"/>
      <c r="X132" s="13">
        <f t="shared" si="14"/>
        <v>0</v>
      </c>
      <c r="Y132" s="2">
        <f t="shared" ca="1" si="15"/>
        <v>32133</v>
      </c>
      <c r="Z132" s="14">
        <v>1</v>
      </c>
      <c r="AA132" s="1" t="str">
        <f t="shared" ca="1" si="16"/>
        <v>VENCIDO</v>
      </c>
      <c r="AB132" s="1" t="str">
        <f t="shared" si="17"/>
        <v>TAAe+</v>
      </c>
      <c r="AC132" s="2">
        <f t="shared" si="20"/>
        <v>0</v>
      </c>
      <c r="AD132" s="2">
        <f t="shared" si="18"/>
        <v>8</v>
      </c>
      <c r="AE132" s="2">
        <f t="shared" ca="1" si="19"/>
        <v>-44986.676271643519</v>
      </c>
      <c r="AF132" s="15"/>
    </row>
    <row r="133" spans="4:32">
      <c r="D133" s="1"/>
      <c r="E133" s="1"/>
      <c r="P133" s="11"/>
      <c r="U133" s="11"/>
      <c r="X133" s="13">
        <f t="shared" si="14"/>
        <v>0</v>
      </c>
      <c r="Y133" s="2">
        <f t="shared" ca="1" si="15"/>
        <v>32133</v>
      </c>
      <c r="Z133" s="14">
        <v>1</v>
      </c>
      <c r="AA133" s="1" t="str">
        <f t="shared" ca="1" si="16"/>
        <v>VENCIDO</v>
      </c>
      <c r="AB133" s="1" t="str">
        <f t="shared" si="17"/>
        <v>TAAe+</v>
      </c>
      <c r="AC133" s="2">
        <f t="shared" si="20"/>
        <v>0</v>
      </c>
      <c r="AD133" s="2">
        <f t="shared" si="18"/>
        <v>8</v>
      </c>
      <c r="AE133" s="2">
        <f t="shared" ca="1" si="19"/>
        <v>-44986.676271643519</v>
      </c>
      <c r="AF133" s="15"/>
    </row>
    <row r="134" spans="4:32">
      <c r="D134" s="1"/>
      <c r="E134" s="1"/>
      <c r="P134" s="11"/>
      <c r="U134" s="11"/>
      <c r="X134" s="13">
        <f t="shared" si="14"/>
        <v>0</v>
      </c>
      <c r="Y134" s="2">
        <f t="shared" ca="1" si="15"/>
        <v>32133</v>
      </c>
      <c r="Z134" s="14">
        <v>1</v>
      </c>
      <c r="AA134" s="1" t="str">
        <f t="shared" ca="1" si="16"/>
        <v>VENCIDO</v>
      </c>
      <c r="AB134" s="1" t="str">
        <f t="shared" si="17"/>
        <v>TAAe+</v>
      </c>
      <c r="AC134" s="2">
        <f t="shared" si="20"/>
        <v>0</v>
      </c>
      <c r="AD134" s="2">
        <f t="shared" si="18"/>
        <v>8</v>
      </c>
      <c r="AE134" s="2">
        <f t="shared" ca="1" si="19"/>
        <v>-44986.676271643519</v>
      </c>
      <c r="AF134" s="15"/>
    </row>
    <row r="135" spans="4:32">
      <c r="D135" s="1"/>
      <c r="E135" s="1"/>
      <c r="P135" s="11"/>
      <c r="U135" s="11"/>
      <c r="X135" s="13">
        <f t="shared" si="14"/>
        <v>0</v>
      </c>
      <c r="Y135" s="2">
        <f t="shared" ca="1" si="15"/>
        <v>32133</v>
      </c>
      <c r="Z135" s="14">
        <v>1</v>
      </c>
      <c r="AA135" s="1" t="str">
        <f t="shared" ca="1" si="16"/>
        <v>VENCIDO</v>
      </c>
      <c r="AB135" s="1" t="str">
        <f t="shared" si="17"/>
        <v>TAAe+</v>
      </c>
      <c r="AC135" s="2">
        <f t="shared" si="20"/>
        <v>0</v>
      </c>
      <c r="AD135" s="2">
        <f t="shared" si="18"/>
        <v>8</v>
      </c>
      <c r="AE135" s="2">
        <f t="shared" ca="1" si="19"/>
        <v>-44986.676271643519</v>
      </c>
      <c r="AF135" s="15"/>
    </row>
    <row r="136" spans="4:32">
      <c r="D136" s="1"/>
      <c r="E136" s="1"/>
      <c r="P136" s="11"/>
      <c r="U136" s="11"/>
      <c r="X136" s="13">
        <f t="shared" si="14"/>
        <v>0</v>
      </c>
      <c r="Y136" s="2">
        <f t="shared" ca="1" si="15"/>
        <v>32133</v>
      </c>
      <c r="Z136" s="14">
        <v>1</v>
      </c>
      <c r="AA136" s="1" t="str">
        <f t="shared" ca="1" si="16"/>
        <v>VENCIDO</v>
      </c>
      <c r="AB136" s="1" t="str">
        <f t="shared" si="17"/>
        <v>TAAe+</v>
      </c>
      <c r="AC136" s="2">
        <f t="shared" si="20"/>
        <v>0</v>
      </c>
      <c r="AD136" s="2">
        <f t="shared" si="18"/>
        <v>8</v>
      </c>
      <c r="AE136" s="2">
        <f t="shared" ca="1" si="19"/>
        <v>-44986.676271643519</v>
      </c>
      <c r="AF136" s="15"/>
    </row>
    <row r="137" spans="4:32">
      <c r="D137" s="1"/>
      <c r="E137" s="1"/>
      <c r="P137" s="11"/>
      <c r="U137" s="11"/>
      <c r="X137" s="13">
        <f t="shared" si="14"/>
        <v>0</v>
      </c>
      <c r="Y137" s="2">
        <f t="shared" ca="1" si="15"/>
        <v>32133</v>
      </c>
      <c r="Z137" s="14">
        <v>1</v>
      </c>
      <c r="AA137" s="1" t="str">
        <f t="shared" ca="1" si="16"/>
        <v>VENCIDO</v>
      </c>
      <c r="AB137" s="1" t="str">
        <f t="shared" si="17"/>
        <v>TAAe+</v>
      </c>
      <c r="AC137" s="2">
        <f t="shared" si="20"/>
        <v>0</v>
      </c>
      <c r="AD137" s="2">
        <f t="shared" si="18"/>
        <v>8</v>
      </c>
      <c r="AE137" s="2">
        <f t="shared" ca="1" si="19"/>
        <v>-44986.676271643519</v>
      </c>
      <c r="AF137" s="15"/>
    </row>
    <row r="138" spans="4:32">
      <c r="D138" s="1"/>
      <c r="E138" s="1"/>
      <c r="P138" s="11"/>
      <c r="U138" s="11"/>
      <c r="X138" s="13">
        <f t="shared" si="14"/>
        <v>0</v>
      </c>
      <c r="Y138" s="2">
        <f t="shared" ca="1" si="15"/>
        <v>32133</v>
      </c>
      <c r="Z138" s="14">
        <v>1</v>
      </c>
      <c r="AA138" s="1" t="str">
        <f t="shared" ca="1" si="16"/>
        <v>VENCIDO</v>
      </c>
      <c r="AB138" s="1" t="str">
        <f t="shared" si="17"/>
        <v>TAAe+</v>
      </c>
      <c r="AC138" s="2">
        <f t="shared" si="20"/>
        <v>0</v>
      </c>
      <c r="AD138" s="2">
        <f t="shared" si="18"/>
        <v>8</v>
      </c>
      <c r="AE138" s="2">
        <f t="shared" ca="1" si="19"/>
        <v>-44986.676271643519</v>
      </c>
      <c r="AF138" s="15"/>
    </row>
    <row r="139" spans="4:32">
      <c r="D139" s="1"/>
      <c r="E139" s="1"/>
      <c r="P139" s="11"/>
      <c r="U139" s="11"/>
      <c r="X139" s="13">
        <f t="shared" si="14"/>
        <v>0</v>
      </c>
      <c r="Y139" s="2">
        <f t="shared" ca="1" si="15"/>
        <v>32133</v>
      </c>
      <c r="Z139" s="14">
        <v>1</v>
      </c>
      <c r="AA139" s="1" t="str">
        <f t="shared" ca="1" si="16"/>
        <v>VENCIDO</v>
      </c>
      <c r="AB139" s="1" t="str">
        <f t="shared" si="17"/>
        <v>TAAe+</v>
      </c>
      <c r="AC139" s="2">
        <f t="shared" si="20"/>
        <v>0</v>
      </c>
      <c r="AD139" s="2">
        <f t="shared" si="18"/>
        <v>8</v>
      </c>
      <c r="AE139" s="2">
        <f t="shared" ca="1" si="19"/>
        <v>-44986.676271643519</v>
      </c>
      <c r="AF139" s="15"/>
    </row>
    <row r="140" spans="4:32">
      <c r="D140" s="1"/>
      <c r="E140" s="1"/>
      <c r="P140" s="11"/>
      <c r="U140" s="11"/>
      <c r="X140" s="13">
        <f t="shared" si="14"/>
        <v>0</v>
      </c>
      <c r="Y140" s="2">
        <f t="shared" ca="1" si="15"/>
        <v>32133</v>
      </c>
      <c r="Z140" s="14">
        <v>1</v>
      </c>
      <c r="AA140" s="1" t="str">
        <f t="shared" ca="1" si="16"/>
        <v>VENCIDO</v>
      </c>
      <c r="AB140" s="1" t="str">
        <f t="shared" si="17"/>
        <v>TAAe+</v>
      </c>
      <c r="AC140" s="2">
        <f t="shared" si="20"/>
        <v>0</v>
      </c>
      <c r="AD140" s="2">
        <f t="shared" si="18"/>
        <v>8</v>
      </c>
      <c r="AE140" s="2">
        <f t="shared" ca="1" si="19"/>
        <v>-44986.676271643519</v>
      </c>
      <c r="AF140" s="15"/>
    </row>
    <row r="141" spans="4:32">
      <c r="D141" s="1"/>
      <c r="E141" s="1"/>
      <c r="P141" s="11"/>
      <c r="U141" s="11"/>
      <c r="X141" s="13">
        <f t="shared" si="14"/>
        <v>0</v>
      </c>
      <c r="Y141" s="2">
        <f t="shared" ca="1" si="15"/>
        <v>32133</v>
      </c>
      <c r="Z141" s="14">
        <v>1</v>
      </c>
      <c r="AA141" s="1" t="str">
        <f t="shared" ca="1" si="16"/>
        <v>VENCIDO</v>
      </c>
      <c r="AB141" s="1" t="str">
        <f t="shared" si="17"/>
        <v>TAAe+</v>
      </c>
      <c r="AC141" s="2">
        <f t="shared" si="20"/>
        <v>0</v>
      </c>
      <c r="AD141" s="2">
        <f t="shared" si="18"/>
        <v>8</v>
      </c>
      <c r="AE141" s="2">
        <f t="shared" ca="1" si="19"/>
        <v>-44986.676271643519</v>
      </c>
      <c r="AF141" s="15"/>
    </row>
    <row r="142" spans="4:32">
      <c r="D142" s="1"/>
      <c r="E142" s="1"/>
      <c r="P142" s="11"/>
      <c r="U142" s="11"/>
      <c r="X142" s="13">
        <f t="shared" si="14"/>
        <v>0</v>
      </c>
      <c r="Y142" s="2">
        <f t="shared" ca="1" si="15"/>
        <v>32133</v>
      </c>
      <c r="Z142" s="14">
        <v>1</v>
      </c>
      <c r="AA142" s="1" t="str">
        <f t="shared" ca="1" si="16"/>
        <v>VENCIDO</v>
      </c>
      <c r="AB142" s="1" t="str">
        <f t="shared" si="17"/>
        <v>TAAe+</v>
      </c>
      <c r="AC142" s="2">
        <f t="shared" si="20"/>
        <v>0</v>
      </c>
      <c r="AD142" s="2">
        <f t="shared" si="18"/>
        <v>8</v>
      </c>
      <c r="AE142" s="2">
        <f t="shared" ca="1" si="19"/>
        <v>-44986.676271643519</v>
      </c>
      <c r="AF142" s="15"/>
    </row>
    <row r="143" spans="4:32">
      <c r="D143" s="1"/>
      <c r="E143" s="1"/>
      <c r="P143" s="11"/>
      <c r="U143" s="11"/>
      <c r="X143" s="13">
        <f t="shared" si="14"/>
        <v>0</v>
      </c>
      <c r="Y143" s="2">
        <f t="shared" ca="1" si="15"/>
        <v>32133</v>
      </c>
      <c r="Z143" s="14">
        <v>1</v>
      </c>
      <c r="AA143" s="1" t="str">
        <f t="shared" ca="1" si="16"/>
        <v>VENCIDO</v>
      </c>
      <c r="AB143" s="1" t="str">
        <f t="shared" si="17"/>
        <v>TAAe+</v>
      </c>
      <c r="AC143" s="2">
        <f t="shared" si="20"/>
        <v>0</v>
      </c>
      <c r="AD143" s="2">
        <f t="shared" si="18"/>
        <v>8</v>
      </c>
      <c r="AE143" s="2">
        <f t="shared" ca="1" si="19"/>
        <v>-44986.676271643519</v>
      </c>
      <c r="AF143" s="15"/>
    </row>
    <row r="144" spans="4:32">
      <c r="D144" s="1"/>
      <c r="E144" s="1"/>
      <c r="P144" s="11"/>
      <c r="U144" s="11"/>
      <c r="X144" s="13">
        <f t="shared" si="14"/>
        <v>0</v>
      </c>
      <c r="Y144" s="2">
        <f t="shared" ca="1" si="15"/>
        <v>32133</v>
      </c>
      <c r="Z144" s="14">
        <v>1</v>
      </c>
      <c r="AA144" s="1" t="str">
        <f t="shared" ca="1" si="16"/>
        <v>VENCIDO</v>
      </c>
      <c r="AB144" s="1" t="str">
        <f t="shared" si="17"/>
        <v>TAAe+</v>
      </c>
      <c r="AC144" s="2">
        <f t="shared" si="20"/>
        <v>0</v>
      </c>
      <c r="AD144" s="2">
        <f t="shared" si="18"/>
        <v>8</v>
      </c>
      <c r="AE144" s="2">
        <f t="shared" ca="1" si="19"/>
        <v>-44986.676271643519</v>
      </c>
      <c r="AF144" s="15"/>
    </row>
    <row r="145" spans="4:32">
      <c r="D145" s="1"/>
      <c r="E145" s="1"/>
      <c r="P145" s="11"/>
      <c r="U145" s="11"/>
      <c r="X145" s="13">
        <f t="shared" si="14"/>
        <v>0</v>
      </c>
      <c r="Y145" s="2">
        <f t="shared" ca="1" si="15"/>
        <v>32133</v>
      </c>
      <c r="Z145" s="14">
        <v>1</v>
      </c>
      <c r="AA145" s="1" t="str">
        <f t="shared" ca="1" si="16"/>
        <v>VENCIDO</v>
      </c>
      <c r="AB145" s="1" t="str">
        <f t="shared" si="17"/>
        <v>TAAe+</v>
      </c>
      <c r="AC145" s="2">
        <f t="shared" si="20"/>
        <v>0</v>
      </c>
      <c r="AD145" s="2">
        <f t="shared" si="18"/>
        <v>8</v>
      </c>
      <c r="AE145" s="2">
        <f t="shared" ca="1" si="19"/>
        <v>-44986.676271643519</v>
      </c>
      <c r="AF145" s="15"/>
    </row>
    <row r="146" spans="4:32">
      <c r="D146" s="1"/>
      <c r="E146" s="1"/>
      <c r="P146" s="11"/>
      <c r="U146" s="11"/>
      <c r="X146" s="13">
        <f t="shared" si="14"/>
        <v>0</v>
      </c>
      <c r="Y146" s="2">
        <f t="shared" ca="1" si="15"/>
        <v>32133</v>
      </c>
      <c r="Z146" s="14">
        <v>1</v>
      </c>
      <c r="AA146" s="1" t="str">
        <f t="shared" ca="1" si="16"/>
        <v>VENCIDO</v>
      </c>
      <c r="AB146" s="1" t="str">
        <f t="shared" si="17"/>
        <v>TAAe+</v>
      </c>
      <c r="AC146" s="2">
        <f t="shared" si="20"/>
        <v>0</v>
      </c>
      <c r="AD146" s="2">
        <f t="shared" si="18"/>
        <v>8</v>
      </c>
      <c r="AE146" s="2">
        <f t="shared" ca="1" si="19"/>
        <v>-44986.676271643519</v>
      </c>
      <c r="AF146" s="15"/>
    </row>
    <row r="147" spans="4:32">
      <c r="D147" s="1"/>
      <c r="E147" s="1"/>
      <c r="P147" s="11"/>
      <c r="U147" s="11"/>
      <c r="X147" s="13">
        <f t="shared" si="14"/>
        <v>0</v>
      </c>
      <c r="Y147" s="2">
        <f t="shared" ca="1" si="15"/>
        <v>32133</v>
      </c>
      <c r="Z147" s="14">
        <v>1</v>
      </c>
      <c r="AA147" s="1" t="str">
        <f t="shared" ca="1" si="16"/>
        <v>VENCIDO</v>
      </c>
      <c r="AB147" s="1" t="str">
        <f t="shared" si="17"/>
        <v>TAAe+</v>
      </c>
      <c r="AC147" s="2">
        <f t="shared" si="20"/>
        <v>0</v>
      </c>
      <c r="AD147" s="2">
        <f t="shared" si="18"/>
        <v>8</v>
      </c>
      <c r="AE147" s="2">
        <f t="shared" ca="1" si="19"/>
        <v>-44986.676271643519</v>
      </c>
      <c r="AF147" s="15"/>
    </row>
    <row r="148" spans="4:32">
      <c r="D148" s="1"/>
      <c r="E148" s="1"/>
      <c r="P148" s="11"/>
      <c r="U148" s="11"/>
      <c r="X148" s="13">
        <f t="shared" si="14"/>
        <v>0</v>
      </c>
      <c r="Y148" s="2">
        <f t="shared" ca="1" si="15"/>
        <v>32133</v>
      </c>
      <c r="Z148" s="14">
        <v>1</v>
      </c>
      <c r="AA148" s="1" t="str">
        <f t="shared" ca="1" si="16"/>
        <v>VENCIDO</v>
      </c>
      <c r="AB148" s="1" t="str">
        <f t="shared" si="17"/>
        <v>TAAe+</v>
      </c>
      <c r="AC148" s="2">
        <f t="shared" si="20"/>
        <v>0</v>
      </c>
      <c r="AD148" s="2">
        <f t="shared" si="18"/>
        <v>8</v>
      </c>
      <c r="AE148" s="2">
        <f t="shared" ca="1" si="19"/>
        <v>-44986.676271643519</v>
      </c>
      <c r="AF148" s="15"/>
    </row>
    <row r="149" spans="4:32">
      <c r="D149" s="1"/>
      <c r="E149" s="1"/>
      <c r="P149" s="11"/>
      <c r="U149" s="11"/>
      <c r="X149" s="13">
        <f t="shared" si="14"/>
        <v>0</v>
      </c>
      <c r="Y149" s="2">
        <f t="shared" ca="1" si="15"/>
        <v>32133</v>
      </c>
      <c r="Z149" s="14">
        <v>1</v>
      </c>
      <c r="AA149" s="1" t="str">
        <f t="shared" ca="1" si="16"/>
        <v>VENCIDO</v>
      </c>
      <c r="AB149" s="1" t="str">
        <f t="shared" si="17"/>
        <v>TAAe+</v>
      </c>
      <c r="AC149" s="2">
        <f t="shared" si="20"/>
        <v>0</v>
      </c>
      <c r="AD149" s="2">
        <f t="shared" si="18"/>
        <v>8</v>
      </c>
      <c r="AE149" s="2">
        <f t="shared" ca="1" si="19"/>
        <v>-44986.676271643519</v>
      </c>
      <c r="AF149" s="15"/>
    </row>
    <row r="150" spans="4:32">
      <c r="D150" s="1"/>
      <c r="E150" s="1"/>
      <c r="P150" s="11"/>
      <c r="U150" s="11"/>
      <c r="X150" s="13">
        <f t="shared" si="14"/>
        <v>0</v>
      </c>
      <c r="Y150" s="2">
        <f t="shared" ca="1" si="15"/>
        <v>32133</v>
      </c>
      <c r="Z150" s="14">
        <v>1</v>
      </c>
      <c r="AA150" s="1" t="str">
        <f t="shared" ca="1" si="16"/>
        <v>VENCIDO</v>
      </c>
      <c r="AB150" s="1" t="str">
        <f t="shared" si="17"/>
        <v>TAAe+</v>
      </c>
      <c r="AC150" s="2">
        <f t="shared" si="20"/>
        <v>0</v>
      </c>
      <c r="AD150" s="2">
        <f t="shared" si="18"/>
        <v>8</v>
      </c>
      <c r="AE150" s="2">
        <f t="shared" ca="1" si="19"/>
        <v>-44986.676271643519</v>
      </c>
      <c r="AF150" s="15"/>
    </row>
    <row r="151" spans="4:32">
      <c r="D151" s="1"/>
      <c r="E151" s="1"/>
      <c r="P151" s="11"/>
      <c r="U151" s="11"/>
      <c r="X151" s="13">
        <f t="shared" si="14"/>
        <v>0</v>
      </c>
      <c r="Y151" s="2">
        <f t="shared" ca="1" si="15"/>
        <v>32133</v>
      </c>
      <c r="Z151" s="14">
        <v>1</v>
      </c>
      <c r="AA151" s="1" t="str">
        <f t="shared" ca="1" si="16"/>
        <v>VENCIDO</v>
      </c>
      <c r="AB151" s="1" t="str">
        <f t="shared" si="17"/>
        <v>TAAe+</v>
      </c>
      <c r="AC151" s="2">
        <f t="shared" si="20"/>
        <v>0</v>
      </c>
      <c r="AD151" s="2">
        <f t="shared" si="18"/>
        <v>8</v>
      </c>
      <c r="AE151" s="2">
        <f t="shared" ca="1" si="19"/>
        <v>-44986.676271643519</v>
      </c>
      <c r="AF151" s="15"/>
    </row>
    <row r="152" spans="4:32">
      <c r="D152" s="1"/>
      <c r="E152" s="1"/>
      <c r="P152" s="11"/>
      <c r="U152" s="11"/>
      <c r="X152" s="13">
        <f t="shared" si="14"/>
        <v>0</v>
      </c>
      <c r="Y152" s="2">
        <f t="shared" ca="1" si="15"/>
        <v>32133</v>
      </c>
      <c r="Z152" s="14">
        <v>1</v>
      </c>
      <c r="AA152" s="1" t="str">
        <f t="shared" ca="1" si="16"/>
        <v>VENCIDO</v>
      </c>
      <c r="AB152" s="1" t="str">
        <f t="shared" si="17"/>
        <v>TAAe+</v>
      </c>
      <c r="AC152" s="2">
        <f t="shared" si="20"/>
        <v>0</v>
      </c>
      <c r="AD152" s="2">
        <f t="shared" si="18"/>
        <v>8</v>
      </c>
      <c r="AE152" s="2">
        <f t="shared" ca="1" si="19"/>
        <v>-44986.676271643519</v>
      </c>
      <c r="AF152" s="15"/>
    </row>
    <row r="153" spans="4:32">
      <c r="D153" s="1"/>
      <c r="E153" s="1"/>
      <c r="P153" s="11"/>
      <c r="U153" s="11"/>
      <c r="X153" s="13">
        <f t="shared" si="14"/>
        <v>0</v>
      </c>
      <c r="Y153" s="2">
        <f t="shared" ca="1" si="15"/>
        <v>32133</v>
      </c>
      <c r="Z153" s="14">
        <v>1</v>
      </c>
      <c r="AA153" s="1" t="str">
        <f t="shared" ca="1" si="16"/>
        <v>VENCIDO</v>
      </c>
      <c r="AB153" s="1" t="str">
        <f t="shared" si="17"/>
        <v>TAAe+</v>
      </c>
      <c r="AC153" s="2">
        <f t="shared" si="20"/>
        <v>0</v>
      </c>
      <c r="AD153" s="2">
        <f t="shared" si="18"/>
        <v>8</v>
      </c>
      <c r="AE153" s="2">
        <f t="shared" ca="1" si="19"/>
        <v>-44986.676271643519</v>
      </c>
      <c r="AF153" s="15"/>
    </row>
    <row r="154" spans="4:32">
      <c r="D154" s="1"/>
      <c r="E154" s="1"/>
      <c r="P154" s="11"/>
      <c r="U154" s="11"/>
      <c r="X154" s="13">
        <f t="shared" si="14"/>
        <v>0</v>
      </c>
      <c r="Y154" s="2">
        <f t="shared" ca="1" si="15"/>
        <v>32133</v>
      </c>
      <c r="Z154" s="14">
        <v>1</v>
      </c>
      <c r="AA154" s="1" t="str">
        <f t="shared" ca="1" si="16"/>
        <v>VENCIDO</v>
      </c>
      <c r="AB154" s="1" t="str">
        <f t="shared" si="17"/>
        <v>TAAe+</v>
      </c>
      <c r="AC154" s="2">
        <f t="shared" si="20"/>
        <v>0</v>
      </c>
      <c r="AD154" s="2">
        <f t="shared" si="18"/>
        <v>8</v>
      </c>
      <c r="AE154" s="2">
        <f t="shared" ca="1" si="19"/>
        <v>-44986.676271643519</v>
      </c>
      <c r="AF154" s="15"/>
    </row>
    <row r="155" spans="4:32">
      <c r="D155" s="1"/>
      <c r="E155" s="1"/>
      <c r="P155" s="11"/>
      <c r="U155" s="11"/>
      <c r="X155" s="13">
        <f t="shared" si="14"/>
        <v>0</v>
      </c>
      <c r="Y155" s="2">
        <f t="shared" ca="1" si="15"/>
        <v>32133</v>
      </c>
      <c r="Z155" s="14">
        <v>1</v>
      </c>
      <c r="AA155" s="1" t="str">
        <f t="shared" ca="1" si="16"/>
        <v>VENCIDO</v>
      </c>
      <c r="AB155" s="1" t="str">
        <f t="shared" si="17"/>
        <v>TAAe+</v>
      </c>
      <c r="AC155" s="2">
        <f t="shared" si="20"/>
        <v>0</v>
      </c>
      <c r="AD155" s="2">
        <f t="shared" si="18"/>
        <v>8</v>
      </c>
      <c r="AE155" s="2">
        <f t="shared" ca="1" si="19"/>
        <v>-44986.676271643519</v>
      </c>
      <c r="AF155" s="15"/>
    </row>
    <row r="156" spans="4:32">
      <c r="D156" s="1"/>
      <c r="E156" s="1"/>
      <c r="P156" s="11"/>
      <c r="U156" s="11"/>
      <c r="X156" s="13">
        <f t="shared" si="14"/>
        <v>0</v>
      </c>
      <c r="Y156" s="2">
        <f t="shared" ca="1" si="15"/>
        <v>32133</v>
      </c>
      <c r="Z156" s="14">
        <v>1</v>
      </c>
      <c r="AA156" s="1" t="str">
        <f t="shared" ca="1" si="16"/>
        <v>VENCIDO</v>
      </c>
      <c r="AB156" s="1" t="str">
        <f t="shared" si="17"/>
        <v>TAAe+</v>
      </c>
      <c r="AC156" s="2">
        <f t="shared" si="20"/>
        <v>0</v>
      </c>
      <c r="AD156" s="2">
        <f t="shared" si="18"/>
        <v>8</v>
      </c>
      <c r="AE156" s="2">
        <f t="shared" ca="1" si="19"/>
        <v>-44986.676271643519</v>
      </c>
      <c r="AF156" s="15"/>
    </row>
    <row r="157" spans="4:32">
      <c r="D157" s="1"/>
      <c r="E157" s="1"/>
      <c r="P157" s="11"/>
      <c r="X157" s="13">
        <f t="shared" si="14"/>
        <v>0</v>
      </c>
      <c r="Y157" s="2">
        <f t="shared" ca="1" si="15"/>
        <v>32133</v>
      </c>
      <c r="Z157" s="14">
        <v>1</v>
      </c>
      <c r="AA157" s="1" t="str">
        <f t="shared" ca="1" si="16"/>
        <v>VENCIDO</v>
      </c>
      <c r="AB157" s="1" t="str">
        <f t="shared" si="17"/>
        <v>TAAe+</v>
      </c>
      <c r="AC157" s="2">
        <f t="shared" si="20"/>
        <v>0</v>
      </c>
      <c r="AD157" s="2">
        <f t="shared" si="18"/>
        <v>8</v>
      </c>
      <c r="AE157" s="2">
        <f t="shared" ca="1" si="19"/>
        <v>-44986.676271643519</v>
      </c>
      <c r="AF157" s="15"/>
    </row>
    <row r="158" spans="4:32">
      <c r="D158" s="1"/>
      <c r="E158" s="1"/>
      <c r="P158" s="11"/>
      <c r="U158" s="11"/>
      <c r="X158" s="13">
        <f t="shared" si="14"/>
        <v>0</v>
      </c>
      <c r="Y158" s="2">
        <f t="shared" ca="1" si="15"/>
        <v>32133</v>
      </c>
      <c r="Z158" s="14">
        <v>1</v>
      </c>
      <c r="AA158" s="1" t="str">
        <f t="shared" ca="1" si="16"/>
        <v>VENCIDO</v>
      </c>
      <c r="AB158" s="1" t="str">
        <f t="shared" si="17"/>
        <v>TAAe+</v>
      </c>
      <c r="AC158" s="2">
        <f t="shared" si="20"/>
        <v>0</v>
      </c>
      <c r="AD158" s="2">
        <f t="shared" si="18"/>
        <v>8</v>
      </c>
      <c r="AE158" s="2">
        <f t="shared" ca="1" si="19"/>
        <v>-44986.676271643519</v>
      </c>
      <c r="AF158" s="15"/>
    </row>
    <row r="159" spans="4:32">
      <c r="D159" s="1"/>
      <c r="E159" s="1"/>
      <c r="P159" s="11"/>
      <c r="U159" s="11"/>
      <c r="X159" s="13">
        <f t="shared" si="14"/>
        <v>0</v>
      </c>
      <c r="Y159" s="2">
        <f t="shared" ca="1" si="15"/>
        <v>32133</v>
      </c>
      <c r="Z159" s="14">
        <v>1</v>
      </c>
      <c r="AA159" s="1" t="str">
        <f t="shared" ca="1" si="16"/>
        <v>VENCIDO</v>
      </c>
      <c r="AB159" s="1" t="str">
        <f t="shared" si="17"/>
        <v>TAAe+</v>
      </c>
      <c r="AC159" s="2">
        <f t="shared" si="20"/>
        <v>0</v>
      </c>
      <c r="AD159" s="2">
        <f t="shared" si="18"/>
        <v>8</v>
      </c>
      <c r="AE159" s="2">
        <f t="shared" ca="1" si="19"/>
        <v>-44986.676271643519</v>
      </c>
      <c r="AF159" s="15"/>
    </row>
    <row r="160" spans="4:32">
      <c r="D160" s="1"/>
      <c r="E160" s="1"/>
      <c r="P160" s="11"/>
      <c r="U160" s="11"/>
      <c r="X160" s="13">
        <f t="shared" si="14"/>
        <v>0</v>
      </c>
      <c r="Y160" s="2">
        <f t="shared" ca="1" si="15"/>
        <v>32133</v>
      </c>
      <c r="Z160" s="14">
        <v>1</v>
      </c>
      <c r="AA160" s="1" t="str">
        <f t="shared" ca="1" si="16"/>
        <v>VENCIDO</v>
      </c>
      <c r="AB160" s="1" t="str">
        <f t="shared" si="17"/>
        <v>TAAe+</v>
      </c>
      <c r="AC160" s="2">
        <f t="shared" si="20"/>
        <v>0</v>
      </c>
      <c r="AD160" s="2">
        <f t="shared" si="18"/>
        <v>8</v>
      </c>
      <c r="AE160" s="2">
        <f t="shared" ca="1" si="19"/>
        <v>-44986.676271643519</v>
      </c>
      <c r="AF160" s="15"/>
    </row>
    <row r="161" spans="3:32">
      <c r="D161" s="1"/>
      <c r="E161" s="1"/>
      <c r="P161" s="11"/>
      <c r="U161" s="11"/>
      <c r="X161" s="13">
        <f t="shared" si="14"/>
        <v>0</v>
      </c>
      <c r="Y161" s="2">
        <f t="shared" ca="1" si="15"/>
        <v>32133</v>
      </c>
      <c r="Z161" s="14">
        <v>1</v>
      </c>
      <c r="AA161" s="1" t="str">
        <f t="shared" ca="1" si="16"/>
        <v>VENCIDO</v>
      </c>
      <c r="AB161" s="1" t="str">
        <f t="shared" si="17"/>
        <v>TAAe+</v>
      </c>
      <c r="AC161" s="2">
        <f t="shared" si="20"/>
        <v>0</v>
      </c>
      <c r="AD161" s="2">
        <f t="shared" si="18"/>
        <v>8</v>
      </c>
      <c r="AE161" s="2">
        <f t="shared" ca="1" si="19"/>
        <v>-44986.676271643519</v>
      </c>
      <c r="AF161" s="15"/>
    </row>
    <row r="162" spans="3:32">
      <c r="D162" s="1"/>
      <c r="E162" s="1"/>
      <c r="P162" s="11"/>
      <c r="X162" s="13">
        <f t="shared" si="14"/>
        <v>0</v>
      </c>
      <c r="Y162" s="2">
        <f t="shared" ca="1" si="15"/>
        <v>32133</v>
      </c>
      <c r="Z162" s="14">
        <v>1</v>
      </c>
      <c r="AA162" s="1" t="str">
        <f t="shared" ca="1" si="16"/>
        <v>VENCIDO</v>
      </c>
      <c r="AB162" s="1" t="str">
        <f t="shared" si="17"/>
        <v>TAAe+</v>
      </c>
      <c r="AC162" s="2">
        <f t="shared" si="20"/>
        <v>0</v>
      </c>
      <c r="AD162" s="2">
        <f t="shared" si="18"/>
        <v>8</v>
      </c>
      <c r="AE162" s="2">
        <f t="shared" ca="1" si="19"/>
        <v>-44986.676271643519</v>
      </c>
      <c r="AF162" s="15"/>
    </row>
    <row r="163" spans="3:32">
      <c r="D163" s="1"/>
      <c r="E163" s="1"/>
      <c r="P163" s="11"/>
      <c r="X163" s="13">
        <f t="shared" si="14"/>
        <v>0</v>
      </c>
      <c r="Y163" s="2">
        <f t="shared" ca="1" si="15"/>
        <v>32133</v>
      </c>
      <c r="Z163" s="14">
        <v>1</v>
      </c>
      <c r="AA163" s="1" t="str">
        <f t="shared" ca="1" si="16"/>
        <v>VENCIDO</v>
      </c>
      <c r="AB163" s="1" t="str">
        <f t="shared" si="17"/>
        <v>TAAe+</v>
      </c>
      <c r="AC163" s="2">
        <f t="shared" si="20"/>
        <v>0</v>
      </c>
      <c r="AD163" s="2">
        <f t="shared" si="18"/>
        <v>8</v>
      </c>
      <c r="AE163" s="2">
        <f t="shared" ca="1" si="19"/>
        <v>-44986.676271643519</v>
      </c>
      <c r="AF163" s="15"/>
    </row>
    <row r="164" spans="3:32">
      <c r="D164" s="1"/>
      <c r="E164" s="1"/>
      <c r="P164" s="11"/>
      <c r="X164" s="13">
        <f t="shared" si="14"/>
        <v>0</v>
      </c>
      <c r="Y164" s="2">
        <f t="shared" ca="1" si="15"/>
        <v>32133</v>
      </c>
      <c r="Z164" s="14">
        <v>1</v>
      </c>
      <c r="AA164" s="1" t="str">
        <f t="shared" ca="1" si="16"/>
        <v>VENCIDO</v>
      </c>
      <c r="AB164" s="1" t="str">
        <f t="shared" si="17"/>
        <v>TAAe+</v>
      </c>
      <c r="AC164" s="2">
        <f t="shared" si="20"/>
        <v>0</v>
      </c>
      <c r="AD164" s="2">
        <f t="shared" si="18"/>
        <v>8</v>
      </c>
      <c r="AE164" s="2">
        <f t="shared" ca="1" si="19"/>
        <v>-44986.676271643519</v>
      </c>
      <c r="AF164" s="15"/>
    </row>
    <row r="165" spans="3:32">
      <c r="D165" s="1"/>
      <c r="E165" s="1"/>
      <c r="P165" s="11"/>
      <c r="X165" s="13">
        <f t="shared" si="14"/>
        <v>0</v>
      </c>
      <c r="Y165" s="2">
        <f t="shared" ca="1" si="15"/>
        <v>32133</v>
      </c>
      <c r="Z165" s="14">
        <v>1</v>
      </c>
      <c r="AA165" s="1" t="str">
        <f t="shared" ca="1" si="16"/>
        <v>VENCIDO</v>
      </c>
      <c r="AB165" s="1" t="str">
        <f t="shared" si="17"/>
        <v>TAAe+</v>
      </c>
      <c r="AC165" s="2">
        <f t="shared" si="20"/>
        <v>0</v>
      </c>
      <c r="AD165" s="2">
        <f t="shared" si="18"/>
        <v>8</v>
      </c>
      <c r="AE165" s="2">
        <f t="shared" ca="1" si="19"/>
        <v>-44986.676271643519</v>
      </c>
      <c r="AF165" s="15"/>
    </row>
    <row r="166" spans="3:32">
      <c r="C166" s="23"/>
      <c r="D166" s="1"/>
      <c r="E166" s="1"/>
      <c r="P166" s="11"/>
      <c r="X166" s="13">
        <f t="shared" si="14"/>
        <v>0</v>
      </c>
      <c r="Y166" s="2">
        <f t="shared" ca="1" si="15"/>
        <v>32133</v>
      </c>
      <c r="Z166" s="14">
        <v>1</v>
      </c>
      <c r="AA166" s="1" t="str">
        <f t="shared" ca="1" si="16"/>
        <v>VENCIDO</v>
      </c>
      <c r="AB166" s="1" t="str">
        <f t="shared" si="17"/>
        <v>TAAe+</v>
      </c>
      <c r="AC166" s="2">
        <f t="shared" si="20"/>
        <v>0</v>
      </c>
      <c r="AD166" s="2">
        <f t="shared" si="18"/>
        <v>8</v>
      </c>
      <c r="AE166" s="2">
        <f t="shared" ca="1" si="19"/>
        <v>-44986.676271643519</v>
      </c>
      <c r="AF166" s="15"/>
    </row>
    <row r="167" spans="3:32">
      <c r="C167" s="23"/>
      <c r="D167" s="1"/>
      <c r="E167" s="1"/>
      <c r="P167" s="11"/>
      <c r="X167" s="13">
        <f t="shared" si="14"/>
        <v>0</v>
      </c>
      <c r="Y167" s="2">
        <f t="shared" ca="1" si="15"/>
        <v>32133</v>
      </c>
      <c r="Z167" s="14">
        <v>1</v>
      </c>
      <c r="AA167" s="1" t="str">
        <f t="shared" ca="1" si="16"/>
        <v>VENCIDO</v>
      </c>
      <c r="AB167" s="1" t="str">
        <f t="shared" si="17"/>
        <v>TAAe+</v>
      </c>
      <c r="AC167" s="2">
        <f t="shared" si="20"/>
        <v>0</v>
      </c>
      <c r="AD167" s="2">
        <f t="shared" si="18"/>
        <v>8</v>
      </c>
      <c r="AE167" s="2">
        <f t="shared" ca="1" si="19"/>
        <v>-44986.676271643519</v>
      </c>
      <c r="AF167" s="15"/>
    </row>
    <row r="168" spans="3:32">
      <c r="D168" s="1"/>
      <c r="E168" s="1"/>
      <c r="P168" s="11"/>
      <c r="X168" s="13">
        <f t="shared" si="14"/>
        <v>0</v>
      </c>
      <c r="Y168" s="2">
        <f t="shared" ca="1" si="15"/>
        <v>32133</v>
      </c>
      <c r="Z168" s="14">
        <v>1</v>
      </c>
      <c r="AA168" s="1" t="str">
        <f t="shared" ca="1" si="16"/>
        <v>VENCIDO</v>
      </c>
      <c r="AB168" s="1" t="str">
        <f t="shared" si="17"/>
        <v>TAAe+</v>
      </c>
      <c r="AC168" s="2">
        <f t="shared" si="20"/>
        <v>0</v>
      </c>
      <c r="AD168" s="2">
        <f t="shared" si="18"/>
        <v>8</v>
      </c>
      <c r="AE168" s="2">
        <f t="shared" ca="1" si="19"/>
        <v>-44986.676271643519</v>
      </c>
      <c r="AF168" s="15"/>
    </row>
    <row r="169" spans="3:32">
      <c r="D169" s="1"/>
      <c r="E169" s="1"/>
      <c r="P169" s="11"/>
      <c r="X169" s="13">
        <f t="shared" si="14"/>
        <v>0</v>
      </c>
      <c r="Y169" s="2">
        <f t="shared" ca="1" si="15"/>
        <v>32133</v>
      </c>
      <c r="Z169" s="14">
        <v>1</v>
      </c>
      <c r="AA169" s="1" t="str">
        <f t="shared" ca="1" si="16"/>
        <v>VENCIDO</v>
      </c>
      <c r="AB169" s="1" t="str">
        <f t="shared" si="17"/>
        <v>TAAe+</v>
      </c>
      <c r="AC169" s="2">
        <f t="shared" si="20"/>
        <v>0</v>
      </c>
      <c r="AD169" s="2">
        <f t="shared" si="18"/>
        <v>8</v>
      </c>
      <c r="AE169" s="2">
        <f t="shared" ca="1" si="19"/>
        <v>-44986.676271643519</v>
      </c>
      <c r="AF169" s="15"/>
    </row>
    <row r="170" spans="3:32">
      <c r="D170" s="1"/>
      <c r="E170" s="1"/>
      <c r="P170" s="11"/>
      <c r="X170" s="13">
        <f t="shared" si="14"/>
        <v>0</v>
      </c>
      <c r="Y170" s="2">
        <f t="shared" ca="1" si="15"/>
        <v>32133</v>
      </c>
      <c r="Z170" s="14">
        <v>1</v>
      </c>
      <c r="AA170" s="1" t="str">
        <f t="shared" ca="1" si="16"/>
        <v>VENCIDO</v>
      </c>
      <c r="AB170" s="1" t="str">
        <f t="shared" si="17"/>
        <v>TAAe+</v>
      </c>
      <c r="AC170" s="2">
        <f t="shared" si="20"/>
        <v>0</v>
      </c>
      <c r="AD170" s="2">
        <f t="shared" si="18"/>
        <v>8</v>
      </c>
      <c r="AE170" s="2">
        <f t="shared" ca="1" si="19"/>
        <v>-44986.676271643519</v>
      </c>
      <c r="AF170" s="15"/>
    </row>
    <row r="171" spans="3:32">
      <c r="C171" s="23"/>
      <c r="D171" s="1"/>
      <c r="E171" s="1"/>
      <c r="P171" s="11"/>
      <c r="X171" s="13">
        <f t="shared" si="14"/>
        <v>0</v>
      </c>
      <c r="Y171" s="2">
        <f t="shared" ca="1" si="15"/>
        <v>32133</v>
      </c>
      <c r="Z171" s="14">
        <v>1</v>
      </c>
      <c r="AA171" s="1" t="str">
        <f t="shared" ca="1" si="16"/>
        <v>VENCIDO</v>
      </c>
      <c r="AB171" s="1" t="str">
        <f t="shared" si="17"/>
        <v>TAAe+</v>
      </c>
      <c r="AC171" s="2">
        <f t="shared" si="20"/>
        <v>0</v>
      </c>
      <c r="AD171" s="2">
        <f t="shared" si="18"/>
        <v>8</v>
      </c>
      <c r="AE171" s="2">
        <f t="shared" ca="1" si="19"/>
        <v>-44986.676271643519</v>
      </c>
      <c r="AF171" s="15"/>
    </row>
    <row r="172" spans="3:32">
      <c r="D172" s="1"/>
      <c r="E172" s="1"/>
      <c r="P172" s="11"/>
      <c r="X172" s="13">
        <f t="shared" si="14"/>
        <v>0</v>
      </c>
      <c r="Y172" s="2">
        <f t="shared" ca="1" si="15"/>
        <v>32133</v>
      </c>
      <c r="Z172" s="14">
        <v>1</v>
      </c>
      <c r="AA172" s="1" t="str">
        <f t="shared" ca="1" si="16"/>
        <v>VENCIDO</v>
      </c>
      <c r="AB172" s="1" t="str">
        <f t="shared" si="17"/>
        <v>TAAe+</v>
      </c>
      <c r="AC172" s="2">
        <f t="shared" si="20"/>
        <v>0</v>
      </c>
      <c r="AD172" s="2">
        <f t="shared" si="18"/>
        <v>8</v>
      </c>
      <c r="AE172" s="2">
        <f t="shared" ca="1" si="19"/>
        <v>-44986.676271643519</v>
      </c>
      <c r="AF172" s="15"/>
    </row>
    <row r="173" spans="3:32">
      <c r="D173" s="1"/>
      <c r="E173" s="1"/>
      <c r="P173" s="11"/>
      <c r="X173" s="13">
        <f t="shared" si="14"/>
        <v>0</v>
      </c>
      <c r="Y173" s="2">
        <f t="shared" ca="1" si="15"/>
        <v>32133</v>
      </c>
      <c r="Z173" s="14">
        <v>1</v>
      </c>
      <c r="AA173" s="1" t="str">
        <f t="shared" ca="1" si="16"/>
        <v>VENCIDO</v>
      </c>
      <c r="AB173" s="1" t="str">
        <f t="shared" si="17"/>
        <v>TAAe+</v>
      </c>
      <c r="AC173" s="2">
        <f t="shared" si="20"/>
        <v>0</v>
      </c>
      <c r="AD173" s="2">
        <f t="shared" si="18"/>
        <v>8</v>
      </c>
      <c r="AE173" s="2">
        <f t="shared" ca="1" si="19"/>
        <v>-44986.676271643519</v>
      </c>
      <c r="AF173" s="15"/>
    </row>
    <row r="174" spans="3:32">
      <c r="C174" s="23"/>
      <c r="D174" s="1"/>
      <c r="E174" s="1"/>
      <c r="P174" s="11"/>
      <c r="X174" s="13">
        <f t="shared" si="14"/>
        <v>0</v>
      </c>
      <c r="Y174" s="2">
        <f t="shared" ca="1" si="15"/>
        <v>32133</v>
      </c>
      <c r="Z174" s="14">
        <v>1</v>
      </c>
      <c r="AA174" s="1" t="str">
        <f t="shared" ca="1" si="16"/>
        <v>VENCIDO</v>
      </c>
      <c r="AB174" s="1" t="str">
        <f t="shared" si="17"/>
        <v>TAAe+</v>
      </c>
      <c r="AC174" s="2">
        <f t="shared" si="20"/>
        <v>0</v>
      </c>
      <c r="AD174" s="2">
        <f t="shared" si="18"/>
        <v>8</v>
      </c>
      <c r="AE174" s="2">
        <f t="shared" ca="1" si="19"/>
        <v>-44986.676271643519</v>
      </c>
      <c r="AF174" s="15"/>
    </row>
    <row r="175" spans="3:32">
      <c r="D175" s="1"/>
      <c r="E175" s="1"/>
      <c r="P175" s="11"/>
      <c r="X175" s="13">
        <f t="shared" si="14"/>
        <v>0</v>
      </c>
      <c r="Y175" s="2">
        <f t="shared" ca="1" si="15"/>
        <v>32133</v>
      </c>
      <c r="Z175" s="14">
        <v>1</v>
      </c>
      <c r="AA175" s="1" t="str">
        <f t="shared" ca="1" si="16"/>
        <v>VENCIDO</v>
      </c>
      <c r="AB175" s="1" t="str">
        <f t="shared" si="17"/>
        <v>TAAe+</v>
      </c>
      <c r="AC175" s="2">
        <f t="shared" si="20"/>
        <v>0</v>
      </c>
      <c r="AD175" s="2">
        <f t="shared" si="18"/>
        <v>8</v>
      </c>
      <c r="AE175" s="2">
        <f t="shared" ca="1" si="19"/>
        <v>-44986.676271643519</v>
      </c>
      <c r="AF175" s="15"/>
    </row>
    <row r="176" spans="3:32">
      <c r="D176" s="1"/>
      <c r="E176" s="1"/>
      <c r="P176" s="11"/>
      <c r="X176" s="13">
        <f t="shared" si="14"/>
        <v>0</v>
      </c>
      <c r="Y176" s="2">
        <f t="shared" ca="1" si="15"/>
        <v>32133</v>
      </c>
      <c r="Z176" s="14">
        <v>1</v>
      </c>
      <c r="AA176" s="1" t="str">
        <f t="shared" ca="1" si="16"/>
        <v>VENCIDO</v>
      </c>
      <c r="AB176" s="1" t="str">
        <f t="shared" si="17"/>
        <v>TAAe+</v>
      </c>
      <c r="AC176" s="2">
        <f t="shared" si="20"/>
        <v>0</v>
      </c>
      <c r="AD176" s="2">
        <f t="shared" si="18"/>
        <v>8</v>
      </c>
      <c r="AE176" s="2">
        <f t="shared" ca="1" si="19"/>
        <v>-44986.676271643519</v>
      </c>
      <c r="AF176" s="15"/>
    </row>
    <row r="177" spans="3:32">
      <c r="D177" s="1"/>
      <c r="E177" s="1"/>
      <c r="P177" s="11"/>
      <c r="X177" s="13">
        <f t="shared" si="14"/>
        <v>0</v>
      </c>
      <c r="Y177" s="2">
        <f t="shared" ca="1" si="15"/>
        <v>32133</v>
      </c>
      <c r="Z177" s="14">
        <v>1</v>
      </c>
      <c r="AA177" s="1" t="str">
        <f t="shared" ca="1" si="16"/>
        <v>VENCIDO</v>
      </c>
      <c r="AB177" s="1" t="str">
        <f t="shared" si="17"/>
        <v>TAAe+</v>
      </c>
      <c r="AC177" s="2">
        <f t="shared" si="20"/>
        <v>0</v>
      </c>
      <c r="AD177" s="2">
        <f t="shared" si="18"/>
        <v>8</v>
      </c>
      <c r="AE177" s="2">
        <f t="shared" ca="1" si="19"/>
        <v>-44986.676271643519</v>
      </c>
      <c r="AF177" s="15"/>
    </row>
    <row r="178" spans="3:32">
      <c r="D178" s="1"/>
      <c r="E178" s="1"/>
      <c r="P178" s="11"/>
      <c r="X178" s="13">
        <f t="shared" si="14"/>
        <v>0</v>
      </c>
      <c r="Y178" s="2">
        <f t="shared" ca="1" si="15"/>
        <v>32133</v>
      </c>
      <c r="Z178" s="14">
        <v>1</v>
      </c>
      <c r="AA178" s="1" t="str">
        <f t="shared" ca="1" si="16"/>
        <v>VENCIDO</v>
      </c>
      <c r="AB178" s="1" t="str">
        <f t="shared" si="17"/>
        <v>TAAe+</v>
      </c>
      <c r="AC178" s="2">
        <f t="shared" si="20"/>
        <v>0</v>
      </c>
      <c r="AD178" s="2">
        <f t="shared" si="18"/>
        <v>8</v>
      </c>
      <c r="AE178" s="2">
        <f t="shared" ca="1" si="19"/>
        <v>-44986.676271643519</v>
      </c>
      <c r="AF178" s="15"/>
    </row>
    <row r="179" spans="3:32">
      <c r="D179" s="1"/>
      <c r="E179" s="1"/>
      <c r="P179" s="11"/>
      <c r="X179" s="13">
        <f t="shared" si="14"/>
        <v>0</v>
      </c>
      <c r="Y179" s="2">
        <f t="shared" ca="1" si="15"/>
        <v>32133</v>
      </c>
      <c r="Z179" s="14">
        <v>1</v>
      </c>
      <c r="AA179" s="1" t="str">
        <f t="shared" ca="1" si="16"/>
        <v>VENCIDO</v>
      </c>
      <c r="AB179" s="1" t="str">
        <f t="shared" si="17"/>
        <v>TAAe+</v>
      </c>
      <c r="AC179" s="2">
        <f t="shared" si="20"/>
        <v>0</v>
      </c>
      <c r="AD179" s="2">
        <f t="shared" si="18"/>
        <v>8</v>
      </c>
      <c r="AE179" s="2">
        <f t="shared" ca="1" si="19"/>
        <v>-44986.676271643519</v>
      </c>
      <c r="AF179" s="15"/>
    </row>
    <row r="180" spans="3:32">
      <c r="D180" s="1"/>
      <c r="E180" s="1"/>
      <c r="P180" s="11"/>
      <c r="X180" s="13">
        <f t="shared" si="14"/>
        <v>0</v>
      </c>
      <c r="Y180" s="2">
        <f t="shared" ca="1" si="15"/>
        <v>32133</v>
      </c>
      <c r="Z180" s="14">
        <v>1</v>
      </c>
      <c r="AA180" s="1" t="str">
        <f t="shared" ca="1" si="16"/>
        <v>VENCIDO</v>
      </c>
      <c r="AB180" s="1" t="str">
        <f t="shared" si="17"/>
        <v>TAAe+</v>
      </c>
      <c r="AC180" s="2">
        <f t="shared" si="20"/>
        <v>0</v>
      </c>
      <c r="AD180" s="2">
        <f t="shared" si="18"/>
        <v>8</v>
      </c>
      <c r="AE180" s="2">
        <f t="shared" ca="1" si="19"/>
        <v>-44986.676271643519</v>
      </c>
      <c r="AF180" s="15"/>
    </row>
    <row r="181" spans="3:32">
      <c r="D181" s="1"/>
      <c r="E181" s="1"/>
      <c r="P181" s="11"/>
      <c r="X181" s="13">
        <f t="shared" si="14"/>
        <v>0</v>
      </c>
      <c r="Y181" s="2">
        <f t="shared" ca="1" si="15"/>
        <v>32133</v>
      </c>
      <c r="Z181" s="14">
        <v>1</v>
      </c>
      <c r="AA181" s="1" t="str">
        <f t="shared" ca="1" si="16"/>
        <v>VENCIDO</v>
      </c>
      <c r="AB181" s="1" t="str">
        <f t="shared" si="17"/>
        <v>TAAe+</v>
      </c>
      <c r="AC181" s="2">
        <f t="shared" si="20"/>
        <v>0</v>
      </c>
      <c r="AD181" s="2">
        <f t="shared" si="18"/>
        <v>8</v>
      </c>
      <c r="AE181" s="2">
        <f t="shared" ca="1" si="19"/>
        <v>-44986.676271643519</v>
      </c>
      <c r="AF181" s="15"/>
    </row>
    <row r="182" spans="3:32">
      <c r="D182" s="1"/>
      <c r="E182" s="1"/>
      <c r="P182" s="11"/>
      <c r="X182" s="13">
        <f t="shared" si="14"/>
        <v>0</v>
      </c>
      <c r="Y182" s="2">
        <f t="shared" ca="1" si="15"/>
        <v>32133</v>
      </c>
      <c r="Z182" s="14">
        <v>1</v>
      </c>
      <c r="AA182" s="1" t="str">
        <f t="shared" ca="1" si="16"/>
        <v>VENCIDO</v>
      </c>
      <c r="AB182" s="1" t="str">
        <f t="shared" si="17"/>
        <v>TAAe+</v>
      </c>
      <c r="AC182" s="2">
        <f t="shared" si="20"/>
        <v>0</v>
      </c>
      <c r="AD182" s="2">
        <f t="shared" si="18"/>
        <v>8</v>
      </c>
      <c r="AE182" s="2">
        <f t="shared" ca="1" si="19"/>
        <v>-44986.676271643519</v>
      </c>
      <c r="AF182" s="15"/>
    </row>
    <row r="183" spans="3:32">
      <c r="C183" s="23"/>
      <c r="D183" s="1"/>
      <c r="E183" s="1"/>
      <c r="P183" s="11"/>
      <c r="X183" s="13">
        <f t="shared" si="14"/>
        <v>0</v>
      </c>
      <c r="Y183" s="2">
        <f t="shared" ca="1" si="15"/>
        <v>32133</v>
      </c>
      <c r="Z183" s="14">
        <v>1</v>
      </c>
      <c r="AA183" s="1" t="str">
        <f t="shared" ca="1" si="16"/>
        <v>VENCIDO</v>
      </c>
      <c r="AB183" s="1" t="str">
        <f t="shared" si="17"/>
        <v>TAAe+</v>
      </c>
      <c r="AC183" s="2">
        <f t="shared" si="20"/>
        <v>0</v>
      </c>
      <c r="AD183" s="2">
        <f t="shared" si="18"/>
        <v>8</v>
      </c>
      <c r="AE183" s="2">
        <f t="shared" ca="1" si="19"/>
        <v>-44986.676271643519</v>
      </c>
      <c r="AF183" s="15"/>
    </row>
    <row r="184" spans="3:32">
      <c r="D184" s="1"/>
      <c r="E184" s="1"/>
      <c r="P184" s="11"/>
      <c r="X184" s="13">
        <f t="shared" si="14"/>
        <v>0</v>
      </c>
      <c r="Y184" s="2">
        <f t="shared" ca="1" si="15"/>
        <v>32133</v>
      </c>
      <c r="Z184" s="14">
        <v>1</v>
      </c>
      <c r="AA184" s="1" t="str">
        <f t="shared" ca="1" si="16"/>
        <v>VENCIDO</v>
      </c>
      <c r="AB184" s="1" t="str">
        <f t="shared" si="17"/>
        <v>TAAe+</v>
      </c>
      <c r="AC184" s="2">
        <f t="shared" si="20"/>
        <v>0</v>
      </c>
      <c r="AD184" s="2">
        <f t="shared" si="18"/>
        <v>8</v>
      </c>
      <c r="AE184" s="2">
        <f t="shared" ca="1" si="19"/>
        <v>-44986.676271643519</v>
      </c>
      <c r="AF184" s="15"/>
    </row>
    <row r="185" spans="3:32">
      <c r="D185" s="1"/>
      <c r="E185" s="1"/>
      <c r="P185" s="11"/>
      <c r="X185" s="13">
        <f t="shared" si="14"/>
        <v>0</v>
      </c>
      <c r="Y185" s="2">
        <f t="shared" ca="1" si="15"/>
        <v>32133</v>
      </c>
      <c r="Z185" s="14">
        <v>1</v>
      </c>
      <c r="AA185" s="1" t="str">
        <f t="shared" ca="1" si="16"/>
        <v>VENCIDO</v>
      </c>
      <c r="AB185" s="1" t="str">
        <f t="shared" si="17"/>
        <v>TAAe+</v>
      </c>
      <c r="AC185" s="2">
        <f t="shared" si="20"/>
        <v>0</v>
      </c>
      <c r="AD185" s="2">
        <f t="shared" si="18"/>
        <v>8</v>
      </c>
      <c r="AE185" s="2">
        <f t="shared" ca="1" si="19"/>
        <v>-44986.676271643519</v>
      </c>
      <c r="AF185" s="15"/>
    </row>
    <row r="186" spans="3:32">
      <c r="D186" s="1"/>
      <c r="E186" s="1"/>
      <c r="P186" s="11"/>
      <c r="X186" s="13">
        <f t="shared" si="14"/>
        <v>0</v>
      </c>
      <c r="Y186" s="2">
        <f t="shared" ca="1" si="15"/>
        <v>32133</v>
      </c>
      <c r="Z186" s="14">
        <v>1</v>
      </c>
      <c r="AA186" s="1" t="str">
        <f t="shared" ca="1" si="16"/>
        <v>VENCIDO</v>
      </c>
      <c r="AB186" s="1" t="str">
        <f t="shared" si="17"/>
        <v>TAAe+</v>
      </c>
      <c r="AC186" s="2">
        <f t="shared" si="20"/>
        <v>0</v>
      </c>
      <c r="AD186" s="2">
        <f t="shared" si="18"/>
        <v>8</v>
      </c>
      <c r="AE186" s="2">
        <f t="shared" ca="1" si="19"/>
        <v>-44986.676271643519</v>
      </c>
      <c r="AF186" s="15"/>
    </row>
    <row r="187" spans="3:32">
      <c r="D187" s="1"/>
      <c r="E187" s="1"/>
      <c r="P187" s="11"/>
      <c r="X187" s="13">
        <f t="shared" si="14"/>
        <v>0</v>
      </c>
      <c r="Y187" s="2">
        <f t="shared" ca="1" si="15"/>
        <v>32133</v>
      </c>
      <c r="Z187" s="14">
        <v>1</v>
      </c>
      <c r="AA187" s="1" t="str">
        <f t="shared" ca="1" si="16"/>
        <v>VENCIDO</v>
      </c>
      <c r="AB187" s="1" t="str">
        <f t="shared" si="17"/>
        <v>TAAe+</v>
      </c>
      <c r="AC187" s="2">
        <f t="shared" si="20"/>
        <v>0</v>
      </c>
      <c r="AD187" s="2">
        <f t="shared" si="18"/>
        <v>8</v>
      </c>
      <c r="AE187" s="2">
        <f t="shared" ca="1" si="19"/>
        <v>-44986.676271643519</v>
      </c>
      <c r="AF187" s="15"/>
    </row>
    <row r="188" spans="3:32">
      <c r="D188" s="1"/>
      <c r="E188" s="1"/>
      <c r="P188" s="11"/>
      <c r="X188" s="13">
        <f t="shared" si="14"/>
        <v>0</v>
      </c>
      <c r="Y188" s="2">
        <f t="shared" ca="1" si="15"/>
        <v>32133</v>
      </c>
      <c r="Z188" s="14">
        <v>1</v>
      </c>
      <c r="AA188" s="1" t="str">
        <f t="shared" ca="1" si="16"/>
        <v>VENCIDO</v>
      </c>
      <c r="AB188" s="1" t="str">
        <f t="shared" si="17"/>
        <v>TAAe+</v>
      </c>
      <c r="AC188" s="2">
        <f t="shared" si="20"/>
        <v>0</v>
      </c>
      <c r="AD188" s="2">
        <f t="shared" si="18"/>
        <v>8</v>
      </c>
      <c r="AE188" s="2">
        <f t="shared" ca="1" si="19"/>
        <v>-44986.676271643519</v>
      </c>
      <c r="AF188" s="15"/>
    </row>
    <row r="189" spans="3:32">
      <c r="D189" s="1"/>
      <c r="E189" s="1"/>
      <c r="P189" s="11"/>
      <c r="X189" s="13">
        <f t="shared" si="14"/>
        <v>0</v>
      </c>
      <c r="Y189" s="2">
        <f t="shared" ca="1" si="15"/>
        <v>32133</v>
      </c>
      <c r="Z189" s="14">
        <v>1</v>
      </c>
      <c r="AA189" s="1" t="str">
        <f t="shared" ca="1" si="16"/>
        <v>VENCIDO</v>
      </c>
      <c r="AB189" s="1" t="str">
        <f t="shared" si="17"/>
        <v>TAAe+</v>
      </c>
      <c r="AC189" s="2">
        <f t="shared" si="20"/>
        <v>0</v>
      </c>
      <c r="AD189" s="2">
        <f t="shared" si="18"/>
        <v>8</v>
      </c>
      <c r="AE189" s="2">
        <f t="shared" ca="1" si="19"/>
        <v>-44986.676271643519</v>
      </c>
      <c r="AF189" s="15"/>
    </row>
    <row r="190" spans="3:32">
      <c r="C190" s="23"/>
      <c r="D190" s="1"/>
      <c r="E190" s="1"/>
      <c r="P190" s="11"/>
      <c r="X190" s="13">
        <f t="shared" si="14"/>
        <v>0</v>
      </c>
      <c r="Y190" s="2">
        <f t="shared" ca="1" si="15"/>
        <v>32133</v>
      </c>
      <c r="Z190" s="14">
        <v>1</v>
      </c>
      <c r="AA190" s="1" t="str">
        <f t="shared" ca="1" si="16"/>
        <v>VENCIDO</v>
      </c>
      <c r="AB190" s="1" t="str">
        <f t="shared" si="17"/>
        <v>TAAe+</v>
      </c>
      <c r="AC190" s="2">
        <f t="shared" si="20"/>
        <v>0</v>
      </c>
      <c r="AD190" s="2">
        <f t="shared" si="18"/>
        <v>8</v>
      </c>
      <c r="AE190" s="2">
        <f t="shared" ca="1" si="19"/>
        <v>-44986.676271643519</v>
      </c>
      <c r="AF190" s="15"/>
    </row>
    <row r="191" spans="3:32">
      <c r="D191" s="1"/>
      <c r="E191" s="1"/>
      <c r="P191" s="11"/>
      <c r="X191" s="13">
        <f t="shared" si="14"/>
        <v>0</v>
      </c>
      <c r="Y191" s="2">
        <f t="shared" ca="1" si="15"/>
        <v>32133</v>
      </c>
      <c r="Z191" s="14">
        <v>1</v>
      </c>
      <c r="AA191" s="1" t="str">
        <f t="shared" ca="1" si="16"/>
        <v>VENCIDO</v>
      </c>
      <c r="AB191" s="1" t="str">
        <f t="shared" si="17"/>
        <v>TAAe+</v>
      </c>
      <c r="AC191" s="2">
        <f t="shared" si="20"/>
        <v>0</v>
      </c>
      <c r="AD191" s="2">
        <f t="shared" si="18"/>
        <v>8</v>
      </c>
      <c r="AE191" s="2">
        <f t="shared" ca="1" si="19"/>
        <v>-44986.676271643519</v>
      </c>
      <c r="AF191" s="15"/>
    </row>
    <row r="192" spans="3:32">
      <c r="D192" s="1"/>
      <c r="E192" s="1"/>
      <c r="P192" s="11"/>
      <c r="X192" s="13">
        <f t="shared" si="14"/>
        <v>0</v>
      </c>
      <c r="Y192" s="2">
        <f t="shared" ca="1" si="15"/>
        <v>32133</v>
      </c>
      <c r="Z192" s="14">
        <v>1</v>
      </c>
      <c r="AA192" s="1" t="str">
        <f t="shared" ca="1" si="16"/>
        <v>VENCIDO</v>
      </c>
      <c r="AB192" s="1" t="str">
        <f t="shared" si="17"/>
        <v>TAAe+</v>
      </c>
      <c r="AC192" s="2">
        <f t="shared" si="20"/>
        <v>0</v>
      </c>
      <c r="AD192" s="2">
        <f t="shared" si="18"/>
        <v>8</v>
      </c>
      <c r="AE192" s="2">
        <f t="shared" ca="1" si="19"/>
        <v>-44986.676271643519</v>
      </c>
      <c r="AF192" s="15"/>
    </row>
    <row r="193" spans="3:32">
      <c r="D193" s="1"/>
      <c r="E193" s="1"/>
      <c r="P193" s="11"/>
      <c r="X193" s="13">
        <f t="shared" si="14"/>
        <v>0</v>
      </c>
      <c r="Y193" s="2">
        <f t="shared" ca="1" si="15"/>
        <v>32133</v>
      </c>
      <c r="Z193" s="14">
        <v>1</v>
      </c>
      <c r="AA193" s="1" t="str">
        <f t="shared" ca="1" si="16"/>
        <v>VENCIDO</v>
      </c>
      <c r="AB193" s="1" t="str">
        <f t="shared" si="17"/>
        <v>TAAe+</v>
      </c>
      <c r="AC193" s="2">
        <f t="shared" si="20"/>
        <v>0</v>
      </c>
      <c r="AD193" s="2">
        <f t="shared" si="18"/>
        <v>8</v>
      </c>
      <c r="AE193" s="2">
        <f t="shared" ca="1" si="19"/>
        <v>-44986.676271643519</v>
      </c>
      <c r="AF193" s="15"/>
    </row>
    <row r="194" spans="3:32">
      <c r="D194" s="1"/>
      <c r="E194" s="1"/>
      <c r="P194" s="11"/>
      <c r="X194" s="13">
        <f t="shared" ref="X194:X257" si="21">IF(RIGHT(H194,2)&lt;&gt;"00",H194,"")</f>
        <v>0</v>
      </c>
      <c r="Y194" s="2">
        <f t="shared" ref="Y194:Y257" ca="1" si="22">NETWORKDAYS(P194,$Y$1)</f>
        <v>32133</v>
      </c>
      <c r="Z194" s="14">
        <v>1</v>
      </c>
      <c r="AA194" s="1" t="str">
        <f t="shared" ref="AA194:AA257" ca="1" si="23">IF(AE194=0,"HOJE",IF(AE194&gt;0,"A VENCER",IF(AE194&lt;0,"VENCIDO")))</f>
        <v>VENCIDO</v>
      </c>
      <c r="AB194" s="1" t="str">
        <f t="shared" ref="AB194:AB257" si="24">IF(F194="GRPE-000001","C-14",IF(F194="GRPE-000002","C-14",IF(F194="GRPE-000003","C-14",IF(F194="GRPE-000004","SL-On",IF(F194="GRPE-000038","C-14",IF(F194="GRPE-900022","Dosa",IF(F194="GRPE-000029","Dosa",IF(F194="ATOS-000222","Dose","TAAe+"))))))))</f>
        <v>TAAe+</v>
      </c>
      <c r="AC194" s="2">
        <f t="shared" si="20"/>
        <v>0</v>
      </c>
      <c r="AD194" s="2">
        <f t="shared" ref="AD194:AD257" si="25">IF(F194="GRPE-000001",5,IF(F194="GRPE-000002",5,IF(F194="GRPE-000003",15,IF(F194="GRPE-000004",1,IF(F194="GRPE-000038",5,IF(F194="GRPE-900022",5,IF(F194="GRPE-000029",5,IF(F194="ATOS-000222",5,8))))))))</f>
        <v>8</v>
      </c>
      <c r="AE194" s="2">
        <f t="shared" ref="AE194:AE257" ca="1" si="26">IF(U194=$AE$1,"",U194-$AE$1)</f>
        <v>-44986.676271643519</v>
      </c>
      <c r="AF194" s="15"/>
    </row>
    <row r="195" spans="3:32">
      <c r="C195" s="23"/>
      <c r="D195" s="1"/>
      <c r="E195" s="1"/>
      <c r="P195" s="11"/>
      <c r="X195" s="13">
        <f t="shared" si="21"/>
        <v>0</v>
      </c>
      <c r="Y195" s="2">
        <f t="shared" ca="1" si="22"/>
        <v>32133</v>
      </c>
      <c r="Z195" s="14">
        <v>1</v>
      </c>
      <c r="AA195" s="1" t="str">
        <f t="shared" ca="1" si="23"/>
        <v>VENCIDO</v>
      </c>
      <c r="AB195" s="1" t="str">
        <f t="shared" si="24"/>
        <v>TAAe+</v>
      </c>
      <c r="AC195" s="2">
        <f t="shared" ref="AC195:AC258" si="27">IF(J195="TR-PETROLINA"," ROSEMERE ",IF(J195="TR-GARANHUNS"," ROSEMERE ",IF(J195="TR-CARUARU"," ROSEMERE ",IF(J195="TR-RIBEIRAO"," CRISTINA ",IF(J195="TR-GRAVATA"," CRISTINA ",IF(J195="TR-GOIANA"," CRISTINA ",IF(J195="TR-LIMOEIRO"," CRISTINA ",IF(J195="TR-SERRA TALHADA"," RINALDO ",IF(J195="TR-SALGUEIRO"," RINALDO ",IF(J195="TR-CARNAIBA"," RINALDO ",IF(J195="TR-ARCOVERDE"," RINALDO ",IF(J195="CAT-RECIFE"," CLEITON ",))))))))))))</f>
        <v>0</v>
      </c>
      <c r="AD195" s="2">
        <f t="shared" si="25"/>
        <v>8</v>
      </c>
      <c r="AE195" s="2">
        <f t="shared" ca="1" si="26"/>
        <v>-44986.676271643519</v>
      </c>
      <c r="AF195" s="15"/>
    </row>
    <row r="196" spans="3:32">
      <c r="D196" s="1"/>
      <c r="E196" s="1"/>
      <c r="P196" s="11"/>
      <c r="X196" s="13">
        <f t="shared" si="21"/>
        <v>0</v>
      </c>
      <c r="Y196" s="2">
        <f t="shared" ca="1" si="22"/>
        <v>32133</v>
      </c>
      <c r="Z196" s="14">
        <v>1</v>
      </c>
      <c r="AA196" s="1" t="str">
        <f t="shared" ca="1" si="23"/>
        <v>VENCIDO</v>
      </c>
      <c r="AB196" s="1" t="str">
        <f t="shared" si="24"/>
        <v>TAAe+</v>
      </c>
      <c r="AC196" s="2">
        <f t="shared" si="27"/>
        <v>0</v>
      </c>
      <c r="AD196" s="2">
        <f t="shared" si="25"/>
        <v>8</v>
      </c>
      <c r="AE196" s="2">
        <f t="shared" ca="1" si="26"/>
        <v>-44986.676271643519</v>
      </c>
      <c r="AF196" s="15"/>
    </row>
    <row r="197" spans="3:32">
      <c r="D197" s="1"/>
      <c r="E197" s="1"/>
      <c r="P197" s="11"/>
      <c r="X197" s="13">
        <f t="shared" si="21"/>
        <v>0</v>
      </c>
      <c r="Y197" s="2">
        <f t="shared" ca="1" si="22"/>
        <v>32133</v>
      </c>
      <c r="Z197" s="14">
        <v>1</v>
      </c>
      <c r="AA197" s="1" t="str">
        <f t="shared" ca="1" si="23"/>
        <v>VENCIDO</v>
      </c>
      <c r="AB197" s="1" t="str">
        <f t="shared" si="24"/>
        <v>TAAe+</v>
      </c>
      <c r="AC197" s="2">
        <f t="shared" si="27"/>
        <v>0</v>
      </c>
      <c r="AD197" s="2">
        <f t="shared" si="25"/>
        <v>8</v>
      </c>
      <c r="AE197" s="2">
        <f t="shared" ca="1" si="26"/>
        <v>-44986.676271643519</v>
      </c>
      <c r="AF197" s="15"/>
    </row>
    <row r="198" spans="3:32">
      <c r="C198" s="23"/>
      <c r="D198" s="1"/>
      <c r="E198" s="1"/>
      <c r="P198" s="11"/>
      <c r="X198" s="13">
        <f t="shared" si="21"/>
        <v>0</v>
      </c>
      <c r="Y198" s="2">
        <f t="shared" ca="1" si="22"/>
        <v>32133</v>
      </c>
      <c r="Z198" s="14">
        <v>1</v>
      </c>
      <c r="AA198" s="1" t="str">
        <f t="shared" ca="1" si="23"/>
        <v>VENCIDO</v>
      </c>
      <c r="AB198" s="1" t="str">
        <f t="shared" si="24"/>
        <v>TAAe+</v>
      </c>
      <c r="AC198" s="2">
        <f t="shared" si="27"/>
        <v>0</v>
      </c>
      <c r="AD198" s="2">
        <f t="shared" si="25"/>
        <v>8</v>
      </c>
      <c r="AE198" s="2">
        <f t="shared" ca="1" si="26"/>
        <v>-44986.676271643519</v>
      </c>
      <c r="AF198" s="15"/>
    </row>
    <row r="199" spans="3:32">
      <c r="D199" s="1"/>
      <c r="E199" s="1"/>
      <c r="P199" s="11"/>
      <c r="X199" s="13">
        <f t="shared" si="21"/>
        <v>0</v>
      </c>
      <c r="Y199" s="2">
        <f t="shared" ca="1" si="22"/>
        <v>32133</v>
      </c>
      <c r="Z199" s="14">
        <v>1</v>
      </c>
      <c r="AA199" s="1" t="str">
        <f t="shared" ca="1" si="23"/>
        <v>VENCIDO</v>
      </c>
      <c r="AB199" s="1" t="str">
        <f t="shared" si="24"/>
        <v>TAAe+</v>
      </c>
      <c r="AC199" s="2">
        <f t="shared" si="27"/>
        <v>0</v>
      </c>
      <c r="AD199" s="2">
        <f t="shared" si="25"/>
        <v>8</v>
      </c>
      <c r="AE199" s="2">
        <f t="shared" ca="1" si="26"/>
        <v>-44986.676271643519</v>
      </c>
      <c r="AF199" s="15"/>
    </row>
    <row r="200" spans="3:32">
      <c r="D200" s="1"/>
      <c r="E200" s="1"/>
      <c r="P200" s="11"/>
      <c r="X200" s="13">
        <f t="shared" si="21"/>
        <v>0</v>
      </c>
      <c r="Y200" s="2">
        <f t="shared" ca="1" si="22"/>
        <v>32133</v>
      </c>
      <c r="Z200" s="14">
        <v>1</v>
      </c>
      <c r="AA200" s="1" t="str">
        <f t="shared" ca="1" si="23"/>
        <v>VENCIDO</v>
      </c>
      <c r="AB200" s="1" t="str">
        <f t="shared" si="24"/>
        <v>TAAe+</v>
      </c>
      <c r="AC200" s="2">
        <f t="shared" si="27"/>
        <v>0</v>
      </c>
      <c r="AD200" s="2">
        <f t="shared" si="25"/>
        <v>8</v>
      </c>
      <c r="AE200" s="2">
        <f t="shared" ca="1" si="26"/>
        <v>-44986.676271643519</v>
      </c>
      <c r="AF200" s="15"/>
    </row>
    <row r="201" spans="3:32">
      <c r="D201" s="1"/>
      <c r="E201" s="1"/>
      <c r="P201" s="11"/>
      <c r="X201" s="13">
        <f t="shared" si="21"/>
        <v>0</v>
      </c>
      <c r="Y201" s="2">
        <f t="shared" ca="1" si="22"/>
        <v>32133</v>
      </c>
      <c r="Z201" s="14">
        <v>1</v>
      </c>
      <c r="AA201" s="1" t="str">
        <f t="shared" ca="1" si="23"/>
        <v>VENCIDO</v>
      </c>
      <c r="AB201" s="1" t="str">
        <f t="shared" si="24"/>
        <v>TAAe+</v>
      </c>
      <c r="AC201" s="2">
        <f t="shared" si="27"/>
        <v>0</v>
      </c>
      <c r="AD201" s="2">
        <f t="shared" si="25"/>
        <v>8</v>
      </c>
      <c r="AE201" s="2">
        <f t="shared" ca="1" si="26"/>
        <v>-44986.676271643519</v>
      </c>
      <c r="AF201" s="15"/>
    </row>
    <row r="202" spans="3:32">
      <c r="D202" s="1"/>
      <c r="E202" s="1"/>
      <c r="P202" s="11"/>
      <c r="X202" s="13">
        <f t="shared" si="21"/>
        <v>0</v>
      </c>
      <c r="Y202" s="2">
        <f t="shared" ca="1" si="22"/>
        <v>32133</v>
      </c>
      <c r="Z202" s="14">
        <v>1</v>
      </c>
      <c r="AA202" s="1" t="str">
        <f t="shared" ca="1" si="23"/>
        <v>VENCIDO</v>
      </c>
      <c r="AB202" s="1" t="str">
        <f t="shared" si="24"/>
        <v>TAAe+</v>
      </c>
      <c r="AC202" s="2">
        <f t="shared" si="27"/>
        <v>0</v>
      </c>
      <c r="AD202" s="2">
        <f t="shared" si="25"/>
        <v>8</v>
      </c>
      <c r="AE202" s="2">
        <f t="shared" ca="1" si="26"/>
        <v>-44986.676271643519</v>
      </c>
      <c r="AF202" s="15"/>
    </row>
    <row r="203" spans="3:32">
      <c r="D203" s="1"/>
      <c r="E203" s="1"/>
      <c r="P203" s="11"/>
      <c r="X203" s="13">
        <f t="shared" si="21"/>
        <v>0</v>
      </c>
      <c r="Y203" s="2">
        <f t="shared" ca="1" si="22"/>
        <v>32133</v>
      </c>
      <c r="Z203" s="14">
        <v>1</v>
      </c>
      <c r="AA203" s="1" t="str">
        <f t="shared" ca="1" si="23"/>
        <v>VENCIDO</v>
      </c>
      <c r="AB203" s="1" t="str">
        <f t="shared" si="24"/>
        <v>TAAe+</v>
      </c>
      <c r="AC203" s="2">
        <f t="shared" si="27"/>
        <v>0</v>
      </c>
      <c r="AD203" s="2">
        <f t="shared" si="25"/>
        <v>8</v>
      </c>
      <c r="AE203" s="2">
        <f t="shared" ca="1" si="26"/>
        <v>-44986.676271643519</v>
      </c>
      <c r="AF203" s="15"/>
    </row>
    <row r="204" spans="3:32">
      <c r="D204" s="1"/>
      <c r="E204" s="1"/>
      <c r="P204" s="11"/>
      <c r="X204" s="13">
        <f t="shared" si="21"/>
        <v>0</v>
      </c>
      <c r="Y204" s="2">
        <f t="shared" ca="1" si="22"/>
        <v>32133</v>
      </c>
      <c r="Z204" s="14">
        <v>1</v>
      </c>
      <c r="AA204" s="1" t="str">
        <f t="shared" ca="1" si="23"/>
        <v>VENCIDO</v>
      </c>
      <c r="AB204" s="1" t="str">
        <f t="shared" si="24"/>
        <v>TAAe+</v>
      </c>
      <c r="AC204" s="2">
        <f t="shared" si="27"/>
        <v>0</v>
      </c>
      <c r="AD204" s="2">
        <f t="shared" si="25"/>
        <v>8</v>
      </c>
      <c r="AE204" s="2">
        <f t="shared" ca="1" si="26"/>
        <v>-44986.676271643519</v>
      </c>
      <c r="AF204" s="15"/>
    </row>
    <row r="205" spans="3:32">
      <c r="D205" s="1"/>
      <c r="E205" s="1"/>
      <c r="P205" s="11"/>
      <c r="X205" s="13">
        <f t="shared" si="21"/>
        <v>0</v>
      </c>
      <c r="Y205" s="2">
        <f t="shared" ca="1" si="22"/>
        <v>32133</v>
      </c>
      <c r="Z205" s="14">
        <v>1</v>
      </c>
      <c r="AA205" s="1" t="str">
        <f t="shared" ca="1" si="23"/>
        <v>VENCIDO</v>
      </c>
      <c r="AB205" s="1" t="str">
        <f t="shared" si="24"/>
        <v>TAAe+</v>
      </c>
      <c r="AC205" s="2">
        <f t="shared" si="27"/>
        <v>0</v>
      </c>
      <c r="AD205" s="2">
        <f t="shared" si="25"/>
        <v>8</v>
      </c>
      <c r="AE205" s="2">
        <f t="shared" ca="1" si="26"/>
        <v>-44986.676271643519</v>
      </c>
      <c r="AF205" s="15"/>
    </row>
    <row r="206" spans="3:32">
      <c r="C206" s="23"/>
      <c r="D206" s="1"/>
      <c r="E206" s="1"/>
      <c r="P206" s="11"/>
      <c r="X206" s="13">
        <f t="shared" si="21"/>
        <v>0</v>
      </c>
      <c r="Y206" s="2">
        <f t="shared" ca="1" si="22"/>
        <v>32133</v>
      </c>
      <c r="Z206" s="14">
        <v>1</v>
      </c>
      <c r="AA206" s="1" t="str">
        <f t="shared" ca="1" si="23"/>
        <v>VENCIDO</v>
      </c>
      <c r="AB206" s="1" t="str">
        <f t="shared" si="24"/>
        <v>TAAe+</v>
      </c>
      <c r="AC206" s="2">
        <f t="shared" si="27"/>
        <v>0</v>
      </c>
      <c r="AD206" s="2">
        <f t="shared" si="25"/>
        <v>8</v>
      </c>
      <c r="AE206" s="2">
        <f t="shared" ca="1" si="26"/>
        <v>-44986.676271643519</v>
      </c>
      <c r="AF206" s="15"/>
    </row>
    <row r="207" spans="3:32">
      <c r="D207" s="1"/>
      <c r="E207" s="1"/>
      <c r="P207" s="11"/>
      <c r="X207" s="13">
        <f t="shared" si="21"/>
        <v>0</v>
      </c>
      <c r="Y207" s="2">
        <f t="shared" ca="1" si="22"/>
        <v>32133</v>
      </c>
      <c r="Z207" s="14">
        <v>1</v>
      </c>
      <c r="AA207" s="1" t="str">
        <f t="shared" ca="1" si="23"/>
        <v>VENCIDO</v>
      </c>
      <c r="AB207" s="1" t="str">
        <f t="shared" si="24"/>
        <v>TAAe+</v>
      </c>
      <c r="AC207" s="2">
        <f t="shared" si="27"/>
        <v>0</v>
      </c>
      <c r="AD207" s="2">
        <f t="shared" si="25"/>
        <v>8</v>
      </c>
      <c r="AE207" s="2">
        <f t="shared" ca="1" si="26"/>
        <v>-44986.676271643519</v>
      </c>
      <c r="AF207" s="15"/>
    </row>
    <row r="208" spans="3:32">
      <c r="D208" s="1"/>
      <c r="E208" s="1"/>
      <c r="P208" s="11"/>
      <c r="X208" s="13">
        <f t="shared" si="21"/>
        <v>0</v>
      </c>
      <c r="Y208" s="2">
        <f t="shared" ca="1" si="22"/>
        <v>32133</v>
      </c>
      <c r="Z208" s="14">
        <v>1</v>
      </c>
      <c r="AA208" s="1" t="str">
        <f t="shared" ca="1" si="23"/>
        <v>VENCIDO</v>
      </c>
      <c r="AB208" s="1" t="str">
        <f t="shared" si="24"/>
        <v>TAAe+</v>
      </c>
      <c r="AC208" s="2">
        <f t="shared" si="27"/>
        <v>0</v>
      </c>
      <c r="AD208" s="2">
        <f t="shared" si="25"/>
        <v>8</v>
      </c>
      <c r="AE208" s="2">
        <f t="shared" ca="1" si="26"/>
        <v>-44986.676271643519</v>
      </c>
      <c r="AF208" s="15"/>
    </row>
    <row r="209" spans="3:32">
      <c r="D209" s="1"/>
      <c r="E209" s="1"/>
      <c r="P209" s="11"/>
      <c r="X209" s="13">
        <f t="shared" si="21"/>
        <v>0</v>
      </c>
      <c r="Y209" s="2">
        <f t="shared" ca="1" si="22"/>
        <v>32133</v>
      </c>
      <c r="Z209" s="14">
        <v>1</v>
      </c>
      <c r="AA209" s="1" t="str">
        <f t="shared" ca="1" si="23"/>
        <v>VENCIDO</v>
      </c>
      <c r="AB209" s="1" t="str">
        <f t="shared" si="24"/>
        <v>TAAe+</v>
      </c>
      <c r="AC209" s="2">
        <f t="shared" si="27"/>
        <v>0</v>
      </c>
      <c r="AD209" s="2">
        <f t="shared" si="25"/>
        <v>8</v>
      </c>
      <c r="AE209" s="2">
        <f t="shared" ca="1" si="26"/>
        <v>-44986.676271643519</v>
      </c>
      <c r="AF209" s="15"/>
    </row>
    <row r="210" spans="3:32">
      <c r="C210" s="23"/>
      <c r="D210" s="1"/>
      <c r="E210" s="1"/>
      <c r="P210" s="11"/>
      <c r="X210" s="13">
        <f t="shared" si="21"/>
        <v>0</v>
      </c>
      <c r="Y210" s="2">
        <f t="shared" ca="1" si="22"/>
        <v>32133</v>
      </c>
      <c r="Z210" s="14">
        <v>1</v>
      </c>
      <c r="AA210" s="1" t="str">
        <f t="shared" ca="1" si="23"/>
        <v>VENCIDO</v>
      </c>
      <c r="AB210" s="1" t="str">
        <f t="shared" si="24"/>
        <v>TAAe+</v>
      </c>
      <c r="AC210" s="2">
        <f t="shared" si="27"/>
        <v>0</v>
      </c>
      <c r="AD210" s="2">
        <f t="shared" si="25"/>
        <v>8</v>
      </c>
      <c r="AE210" s="2">
        <f t="shared" ca="1" si="26"/>
        <v>-44986.676271643519</v>
      </c>
      <c r="AF210" s="15"/>
    </row>
    <row r="211" spans="3:32">
      <c r="D211" s="1"/>
      <c r="E211" s="1"/>
      <c r="P211" s="11"/>
      <c r="X211" s="13">
        <f t="shared" si="21"/>
        <v>0</v>
      </c>
      <c r="Y211" s="2">
        <f t="shared" ca="1" si="22"/>
        <v>32133</v>
      </c>
      <c r="Z211" s="14">
        <v>1</v>
      </c>
      <c r="AA211" s="1" t="str">
        <f t="shared" ca="1" si="23"/>
        <v>VENCIDO</v>
      </c>
      <c r="AB211" s="1" t="str">
        <f t="shared" si="24"/>
        <v>TAAe+</v>
      </c>
      <c r="AC211" s="2">
        <f t="shared" si="27"/>
        <v>0</v>
      </c>
      <c r="AD211" s="2">
        <f t="shared" si="25"/>
        <v>8</v>
      </c>
      <c r="AE211" s="2">
        <f t="shared" ca="1" si="26"/>
        <v>-44986.676271643519</v>
      </c>
      <c r="AF211" s="15"/>
    </row>
    <row r="212" spans="3:32">
      <c r="D212" s="1"/>
      <c r="E212" s="1"/>
      <c r="P212" s="11"/>
      <c r="X212" s="13">
        <f t="shared" si="21"/>
        <v>0</v>
      </c>
      <c r="Y212" s="2">
        <f t="shared" ca="1" si="22"/>
        <v>32133</v>
      </c>
      <c r="Z212" s="14">
        <v>1</v>
      </c>
      <c r="AA212" s="1" t="str">
        <f t="shared" ca="1" si="23"/>
        <v>VENCIDO</v>
      </c>
      <c r="AB212" s="1" t="str">
        <f t="shared" si="24"/>
        <v>TAAe+</v>
      </c>
      <c r="AC212" s="2">
        <f t="shared" si="27"/>
        <v>0</v>
      </c>
      <c r="AD212" s="2">
        <f t="shared" si="25"/>
        <v>8</v>
      </c>
      <c r="AE212" s="2">
        <f t="shared" ca="1" si="26"/>
        <v>-44986.676271643519</v>
      </c>
      <c r="AF212" s="15"/>
    </row>
    <row r="213" spans="3:32">
      <c r="D213" s="1"/>
      <c r="E213" s="1"/>
      <c r="P213" s="11"/>
      <c r="X213" s="13">
        <f t="shared" si="21"/>
        <v>0</v>
      </c>
      <c r="Y213" s="2">
        <f t="shared" ca="1" si="22"/>
        <v>32133</v>
      </c>
      <c r="Z213" s="14">
        <v>1</v>
      </c>
      <c r="AA213" s="1" t="str">
        <f t="shared" ca="1" si="23"/>
        <v>VENCIDO</v>
      </c>
      <c r="AB213" s="1" t="str">
        <f t="shared" si="24"/>
        <v>TAAe+</v>
      </c>
      <c r="AC213" s="2">
        <f t="shared" si="27"/>
        <v>0</v>
      </c>
      <c r="AD213" s="2">
        <f t="shared" si="25"/>
        <v>8</v>
      </c>
      <c r="AE213" s="2">
        <f t="shared" ca="1" si="26"/>
        <v>-44986.676271643519</v>
      </c>
      <c r="AF213" s="15"/>
    </row>
    <row r="214" spans="3:32">
      <c r="D214" s="1"/>
      <c r="E214" s="1"/>
      <c r="P214" s="11"/>
      <c r="X214" s="13">
        <f t="shared" si="21"/>
        <v>0</v>
      </c>
      <c r="Y214" s="2">
        <f t="shared" ca="1" si="22"/>
        <v>32133</v>
      </c>
      <c r="Z214" s="14">
        <v>1</v>
      </c>
      <c r="AA214" s="1" t="str">
        <f t="shared" ca="1" si="23"/>
        <v>VENCIDO</v>
      </c>
      <c r="AB214" s="1" t="str">
        <f t="shared" si="24"/>
        <v>TAAe+</v>
      </c>
      <c r="AC214" s="2">
        <f t="shared" si="27"/>
        <v>0</v>
      </c>
      <c r="AD214" s="2">
        <f t="shared" si="25"/>
        <v>8</v>
      </c>
      <c r="AE214" s="2">
        <f t="shared" ca="1" si="26"/>
        <v>-44986.676271643519</v>
      </c>
      <c r="AF214" s="15"/>
    </row>
    <row r="215" spans="3:32">
      <c r="D215" s="1"/>
      <c r="E215" s="1"/>
      <c r="P215" s="11"/>
      <c r="X215" s="13">
        <f t="shared" si="21"/>
        <v>0</v>
      </c>
      <c r="Y215" s="2">
        <f t="shared" ca="1" si="22"/>
        <v>32133</v>
      </c>
      <c r="Z215" s="14">
        <v>1</v>
      </c>
      <c r="AA215" s="1" t="str">
        <f t="shared" ca="1" si="23"/>
        <v>VENCIDO</v>
      </c>
      <c r="AB215" s="1" t="str">
        <f t="shared" si="24"/>
        <v>TAAe+</v>
      </c>
      <c r="AC215" s="2">
        <f t="shared" si="27"/>
        <v>0</v>
      </c>
      <c r="AD215" s="2">
        <f t="shared" si="25"/>
        <v>8</v>
      </c>
      <c r="AE215" s="2">
        <f t="shared" ca="1" si="26"/>
        <v>-44986.676271643519</v>
      </c>
      <c r="AF215" s="15"/>
    </row>
    <row r="216" spans="3:32">
      <c r="D216" s="1"/>
      <c r="E216" s="1"/>
      <c r="P216" s="11"/>
      <c r="X216" s="13">
        <f t="shared" si="21"/>
        <v>0</v>
      </c>
      <c r="Y216" s="2">
        <f t="shared" ca="1" si="22"/>
        <v>32133</v>
      </c>
      <c r="Z216" s="14">
        <v>1</v>
      </c>
      <c r="AA216" s="1" t="str">
        <f t="shared" ca="1" si="23"/>
        <v>VENCIDO</v>
      </c>
      <c r="AB216" s="1" t="str">
        <f t="shared" si="24"/>
        <v>TAAe+</v>
      </c>
      <c r="AC216" s="2">
        <f t="shared" si="27"/>
        <v>0</v>
      </c>
      <c r="AD216" s="2">
        <f t="shared" si="25"/>
        <v>8</v>
      </c>
      <c r="AE216" s="2">
        <f t="shared" ca="1" si="26"/>
        <v>-44986.676271643519</v>
      </c>
      <c r="AF216" s="15"/>
    </row>
    <row r="217" spans="3:32">
      <c r="C217" s="23"/>
      <c r="D217" s="1"/>
      <c r="E217" s="1"/>
      <c r="P217" s="11"/>
      <c r="X217" s="13">
        <f t="shared" si="21"/>
        <v>0</v>
      </c>
      <c r="Y217" s="2">
        <f t="shared" ca="1" si="22"/>
        <v>32133</v>
      </c>
      <c r="Z217" s="14">
        <v>1</v>
      </c>
      <c r="AA217" s="1" t="str">
        <f t="shared" ca="1" si="23"/>
        <v>VENCIDO</v>
      </c>
      <c r="AB217" s="1" t="str">
        <f t="shared" si="24"/>
        <v>TAAe+</v>
      </c>
      <c r="AC217" s="2">
        <f t="shared" si="27"/>
        <v>0</v>
      </c>
      <c r="AD217" s="2">
        <f t="shared" si="25"/>
        <v>8</v>
      </c>
      <c r="AE217" s="2">
        <f t="shared" ca="1" si="26"/>
        <v>-44986.676271643519</v>
      </c>
      <c r="AF217" s="15"/>
    </row>
    <row r="218" spans="3:32">
      <c r="D218" s="1"/>
      <c r="E218" s="1"/>
      <c r="P218" s="11"/>
      <c r="X218" s="13">
        <f t="shared" si="21"/>
        <v>0</v>
      </c>
      <c r="Y218" s="2">
        <f t="shared" ca="1" si="22"/>
        <v>32133</v>
      </c>
      <c r="Z218" s="14">
        <v>1</v>
      </c>
      <c r="AA218" s="1" t="str">
        <f t="shared" ca="1" si="23"/>
        <v>VENCIDO</v>
      </c>
      <c r="AB218" s="1" t="str">
        <f t="shared" si="24"/>
        <v>TAAe+</v>
      </c>
      <c r="AC218" s="2">
        <f t="shared" si="27"/>
        <v>0</v>
      </c>
      <c r="AD218" s="2">
        <f t="shared" si="25"/>
        <v>8</v>
      </c>
      <c r="AE218" s="2">
        <f t="shared" ca="1" si="26"/>
        <v>-44986.676271643519</v>
      </c>
      <c r="AF218" s="15"/>
    </row>
    <row r="219" spans="3:32">
      <c r="C219" s="23"/>
      <c r="D219" s="1"/>
      <c r="E219" s="1"/>
      <c r="P219" s="11"/>
      <c r="X219" s="13">
        <f t="shared" si="21"/>
        <v>0</v>
      </c>
      <c r="Y219" s="2">
        <f t="shared" ca="1" si="22"/>
        <v>32133</v>
      </c>
      <c r="Z219" s="14">
        <v>1</v>
      </c>
      <c r="AA219" s="1" t="str">
        <f t="shared" ca="1" si="23"/>
        <v>VENCIDO</v>
      </c>
      <c r="AB219" s="1" t="str">
        <f t="shared" si="24"/>
        <v>TAAe+</v>
      </c>
      <c r="AC219" s="2">
        <f t="shared" si="27"/>
        <v>0</v>
      </c>
      <c r="AD219" s="2">
        <f t="shared" si="25"/>
        <v>8</v>
      </c>
      <c r="AE219" s="2">
        <f t="shared" ca="1" si="26"/>
        <v>-44986.676271643519</v>
      </c>
      <c r="AF219" s="15"/>
    </row>
    <row r="220" spans="3:32">
      <c r="D220" s="1"/>
      <c r="E220" s="1"/>
      <c r="P220" s="11"/>
      <c r="X220" s="13">
        <f t="shared" si="21"/>
        <v>0</v>
      </c>
      <c r="Y220" s="2">
        <f t="shared" ca="1" si="22"/>
        <v>32133</v>
      </c>
      <c r="Z220" s="14">
        <v>1</v>
      </c>
      <c r="AA220" s="1" t="str">
        <f t="shared" ca="1" si="23"/>
        <v>VENCIDO</v>
      </c>
      <c r="AB220" s="1" t="str">
        <f t="shared" si="24"/>
        <v>TAAe+</v>
      </c>
      <c r="AC220" s="2">
        <f t="shared" si="27"/>
        <v>0</v>
      </c>
      <c r="AD220" s="2">
        <f t="shared" si="25"/>
        <v>8</v>
      </c>
      <c r="AE220" s="2">
        <f t="shared" ca="1" si="26"/>
        <v>-44986.676271643519</v>
      </c>
      <c r="AF220" s="15"/>
    </row>
    <row r="221" spans="3:32">
      <c r="C221" s="23"/>
      <c r="D221" s="1"/>
      <c r="E221" s="1"/>
      <c r="P221" s="11"/>
      <c r="X221" s="13">
        <f t="shared" si="21"/>
        <v>0</v>
      </c>
      <c r="Y221" s="2">
        <f t="shared" ca="1" si="22"/>
        <v>32133</v>
      </c>
      <c r="Z221" s="14">
        <v>1</v>
      </c>
      <c r="AA221" s="1" t="str">
        <f t="shared" ca="1" si="23"/>
        <v>VENCIDO</v>
      </c>
      <c r="AB221" s="1" t="str">
        <f t="shared" si="24"/>
        <v>TAAe+</v>
      </c>
      <c r="AC221" s="2">
        <f t="shared" si="27"/>
        <v>0</v>
      </c>
      <c r="AD221" s="2">
        <f t="shared" si="25"/>
        <v>8</v>
      </c>
      <c r="AE221" s="2">
        <f t="shared" ca="1" si="26"/>
        <v>-44986.676271643519</v>
      </c>
      <c r="AF221" s="15"/>
    </row>
    <row r="222" spans="3:32">
      <c r="D222" s="1"/>
      <c r="E222" s="1"/>
      <c r="P222" s="11"/>
      <c r="X222" s="13">
        <f t="shared" si="21"/>
        <v>0</v>
      </c>
      <c r="Y222" s="2">
        <f t="shared" ca="1" si="22"/>
        <v>32133</v>
      </c>
      <c r="Z222" s="14">
        <v>1</v>
      </c>
      <c r="AA222" s="1" t="str">
        <f t="shared" ca="1" si="23"/>
        <v>VENCIDO</v>
      </c>
      <c r="AB222" s="1" t="str">
        <f t="shared" si="24"/>
        <v>TAAe+</v>
      </c>
      <c r="AC222" s="2">
        <f t="shared" si="27"/>
        <v>0</v>
      </c>
      <c r="AD222" s="2">
        <f t="shared" si="25"/>
        <v>8</v>
      </c>
      <c r="AE222" s="2">
        <f t="shared" ca="1" si="26"/>
        <v>-44986.676271643519</v>
      </c>
      <c r="AF222" s="15"/>
    </row>
    <row r="223" spans="3:32">
      <c r="D223" s="1"/>
      <c r="E223" s="1"/>
      <c r="P223" s="11"/>
      <c r="X223" s="13">
        <f t="shared" si="21"/>
        <v>0</v>
      </c>
      <c r="Y223" s="2">
        <f t="shared" ca="1" si="22"/>
        <v>32133</v>
      </c>
      <c r="Z223" s="14">
        <v>1</v>
      </c>
      <c r="AA223" s="1" t="str">
        <f t="shared" ca="1" si="23"/>
        <v>VENCIDO</v>
      </c>
      <c r="AB223" s="1" t="str">
        <f t="shared" si="24"/>
        <v>TAAe+</v>
      </c>
      <c r="AC223" s="2">
        <f t="shared" si="27"/>
        <v>0</v>
      </c>
      <c r="AD223" s="2">
        <f t="shared" si="25"/>
        <v>8</v>
      </c>
      <c r="AE223" s="2">
        <f t="shared" ca="1" si="26"/>
        <v>-44986.676271643519</v>
      </c>
      <c r="AF223" s="15"/>
    </row>
    <row r="224" spans="3:32">
      <c r="C224" s="23"/>
      <c r="D224" s="1"/>
      <c r="E224" s="1"/>
      <c r="P224" s="11"/>
      <c r="X224" s="13">
        <f t="shared" si="21"/>
        <v>0</v>
      </c>
      <c r="Y224" s="2">
        <f t="shared" ca="1" si="22"/>
        <v>32133</v>
      </c>
      <c r="Z224" s="14">
        <v>1</v>
      </c>
      <c r="AA224" s="1" t="str">
        <f t="shared" ca="1" si="23"/>
        <v>VENCIDO</v>
      </c>
      <c r="AB224" s="1" t="str">
        <f t="shared" si="24"/>
        <v>TAAe+</v>
      </c>
      <c r="AC224" s="2">
        <f t="shared" si="27"/>
        <v>0</v>
      </c>
      <c r="AD224" s="2">
        <f t="shared" si="25"/>
        <v>8</v>
      </c>
      <c r="AE224" s="2">
        <f t="shared" ca="1" si="26"/>
        <v>-44986.676271643519</v>
      </c>
      <c r="AF224" s="15"/>
    </row>
    <row r="225" spans="3:32">
      <c r="D225" s="1"/>
      <c r="E225" s="1"/>
      <c r="P225" s="11"/>
      <c r="X225" s="13">
        <f t="shared" si="21"/>
        <v>0</v>
      </c>
      <c r="Y225" s="2">
        <f t="shared" ca="1" si="22"/>
        <v>32133</v>
      </c>
      <c r="Z225" s="14">
        <v>1</v>
      </c>
      <c r="AA225" s="1" t="str">
        <f t="shared" ca="1" si="23"/>
        <v>VENCIDO</v>
      </c>
      <c r="AB225" s="1" t="str">
        <f t="shared" si="24"/>
        <v>TAAe+</v>
      </c>
      <c r="AC225" s="2">
        <f t="shared" si="27"/>
        <v>0</v>
      </c>
      <c r="AD225" s="2">
        <f t="shared" si="25"/>
        <v>8</v>
      </c>
      <c r="AE225" s="2">
        <f t="shared" ca="1" si="26"/>
        <v>-44986.676271643519</v>
      </c>
      <c r="AF225" s="15"/>
    </row>
    <row r="226" spans="3:32">
      <c r="C226" s="23"/>
      <c r="D226" s="1"/>
      <c r="E226" s="1"/>
      <c r="P226" s="11"/>
      <c r="X226" s="13">
        <f t="shared" si="21"/>
        <v>0</v>
      </c>
      <c r="Y226" s="2">
        <f t="shared" ca="1" si="22"/>
        <v>32133</v>
      </c>
      <c r="Z226" s="14">
        <v>1</v>
      </c>
      <c r="AA226" s="1" t="str">
        <f t="shared" ca="1" si="23"/>
        <v>VENCIDO</v>
      </c>
      <c r="AB226" s="1" t="str">
        <f t="shared" si="24"/>
        <v>TAAe+</v>
      </c>
      <c r="AC226" s="2">
        <f t="shared" si="27"/>
        <v>0</v>
      </c>
      <c r="AD226" s="2">
        <f t="shared" si="25"/>
        <v>8</v>
      </c>
      <c r="AE226" s="2">
        <f t="shared" ca="1" si="26"/>
        <v>-44986.676271643519</v>
      </c>
      <c r="AF226" s="15"/>
    </row>
    <row r="227" spans="3:32">
      <c r="D227" s="1"/>
      <c r="E227" s="1"/>
      <c r="P227" s="11"/>
      <c r="X227" s="13">
        <f t="shared" si="21"/>
        <v>0</v>
      </c>
      <c r="Y227" s="2">
        <f t="shared" ca="1" si="22"/>
        <v>32133</v>
      </c>
      <c r="Z227" s="14">
        <v>1</v>
      </c>
      <c r="AA227" s="1" t="str">
        <f t="shared" ca="1" si="23"/>
        <v>VENCIDO</v>
      </c>
      <c r="AB227" s="1" t="str">
        <f t="shared" si="24"/>
        <v>TAAe+</v>
      </c>
      <c r="AC227" s="2">
        <f t="shared" si="27"/>
        <v>0</v>
      </c>
      <c r="AD227" s="2">
        <f t="shared" si="25"/>
        <v>8</v>
      </c>
      <c r="AE227" s="2">
        <f t="shared" ca="1" si="26"/>
        <v>-44986.676271643519</v>
      </c>
      <c r="AF227" s="15"/>
    </row>
    <row r="228" spans="3:32">
      <c r="D228" s="1"/>
      <c r="E228" s="1"/>
      <c r="P228" s="11"/>
      <c r="X228" s="13">
        <f t="shared" si="21"/>
        <v>0</v>
      </c>
      <c r="Y228" s="2">
        <f t="shared" ca="1" si="22"/>
        <v>32133</v>
      </c>
      <c r="Z228" s="14">
        <v>1</v>
      </c>
      <c r="AA228" s="1" t="str">
        <f t="shared" ca="1" si="23"/>
        <v>VENCIDO</v>
      </c>
      <c r="AB228" s="1" t="str">
        <f t="shared" si="24"/>
        <v>TAAe+</v>
      </c>
      <c r="AC228" s="2">
        <f t="shared" si="27"/>
        <v>0</v>
      </c>
      <c r="AD228" s="2">
        <f t="shared" si="25"/>
        <v>8</v>
      </c>
      <c r="AE228" s="2">
        <f t="shared" ca="1" si="26"/>
        <v>-44986.676271643519</v>
      </c>
      <c r="AF228" s="15"/>
    </row>
    <row r="229" spans="3:32">
      <c r="D229" s="1"/>
      <c r="E229" s="1"/>
      <c r="P229" s="11"/>
      <c r="X229" s="13">
        <f t="shared" si="21"/>
        <v>0</v>
      </c>
      <c r="Y229" s="2">
        <f t="shared" ca="1" si="22"/>
        <v>32133</v>
      </c>
      <c r="Z229" s="14">
        <v>1</v>
      </c>
      <c r="AA229" s="1" t="str">
        <f t="shared" ca="1" si="23"/>
        <v>VENCIDO</v>
      </c>
      <c r="AB229" s="1" t="str">
        <f t="shared" si="24"/>
        <v>TAAe+</v>
      </c>
      <c r="AC229" s="2">
        <f t="shared" si="27"/>
        <v>0</v>
      </c>
      <c r="AD229" s="2">
        <f t="shared" si="25"/>
        <v>8</v>
      </c>
      <c r="AE229" s="2">
        <f t="shared" ca="1" si="26"/>
        <v>-44986.676271643519</v>
      </c>
      <c r="AF229" s="15"/>
    </row>
    <row r="230" spans="3:32">
      <c r="C230" s="23"/>
      <c r="D230" s="1"/>
      <c r="E230" s="1"/>
      <c r="P230" s="11"/>
      <c r="X230" s="13">
        <f t="shared" si="21"/>
        <v>0</v>
      </c>
      <c r="Y230" s="2">
        <f t="shared" ca="1" si="22"/>
        <v>32133</v>
      </c>
      <c r="Z230" s="14">
        <v>1</v>
      </c>
      <c r="AA230" s="1" t="str">
        <f t="shared" ca="1" si="23"/>
        <v>VENCIDO</v>
      </c>
      <c r="AB230" s="1" t="str">
        <f t="shared" si="24"/>
        <v>TAAe+</v>
      </c>
      <c r="AC230" s="2">
        <f t="shared" si="27"/>
        <v>0</v>
      </c>
      <c r="AD230" s="2">
        <f t="shared" si="25"/>
        <v>8</v>
      </c>
      <c r="AE230" s="2">
        <f t="shared" ca="1" si="26"/>
        <v>-44986.676271643519</v>
      </c>
      <c r="AF230" s="15"/>
    </row>
    <row r="231" spans="3:32">
      <c r="D231" s="1"/>
      <c r="E231" s="1"/>
      <c r="P231" s="11"/>
      <c r="X231" s="13">
        <f t="shared" si="21"/>
        <v>0</v>
      </c>
      <c r="Y231" s="2">
        <f t="shared" ca="1" si="22"/>
        <v>32133</v>
      </c>
      <c r="Z231" s="14">
        <v>1</v>
      </c>
      <c r="AA231" s="1" t="str">
        <f t="shared" ca="1" si="23"/>
        <v>VENCIDO</v>
      </c>
      <c r="AB231" s="1" t="str">
        <f t="shared" si="24"/>
        <v>TAAe+</v>
      </c>
      <c r="AC231" s="2">
        <f t="shared" si="27"/>
        <v>0</v>
      </c>
      <c r="AD231" s="2">
        <f t="shared" si="25"/>
        <v>8</v>
      </c>
      <c r="AE231" s="2">
        <f t="shared" ca="1" si="26"/>
        <v>-44986.676271643519</v>
      </c>
      <c r="AF231" s="15"/>
    </row>
    <row r="232" spans="3:32">
      <c r="D232" s="1"/>
      <c r="E232" s="1"/>
      <c r="P232" s="11"/>
      <c r="X232" s="13">
        <f t="shared" si="21"/>
        <v>0</v>
      </c>
      <c r="Y232" s="2">
        <f t="shared" ca="1" si="22"/>
        <v>32133</v>
      </c>
      <c r="Z232" s="14">
        <v>1</v>
      </c>
      <c r="AA232" s="1" t="str">
        <f t="shared" ca="1" si="23"/>
        <v>VENCIDO</v>
      </c>
      <c r="AB232" s="1" t="str">
        <f t="shared" si="24"/>
        <v>TAAe+</v>
      </c>
      <c r="AC232" s="2">
        <f t="shared" si="27"/>
        <v>0</v>
      </c>
      <c r="AD232" s="2">
        <f t="shared" si="25"/>
        <v>8</v>
      </c>
      <c r="AE232" s="2">
        <f t="shared" ca="1" si="26"/>
        <v>-44986.676271643519</v>
      </c>
      <c r="AF232" s="15"/>
    </row>
    <row r="233" spans="3:32">
      <c r="C233" s="23"/>
      <c r="D233" s="1"/>
      <c r="E233" s="1"/>
      <c r="P233" s="11"/>
      <c r="X233" s="13">
        <f t="shared" si="21"/>
        <v>0</v>
      </c>
      <c r="Y233" s="2">
        <f t="shared" ca="1" si="22"/>
        <v>32133</v>
      </c>
      <c r="Z233" s="14">
        <v>1</v>
      </c>
      <c r="AA233" s="1" t="str">
        <f t="shared" ca="1" si="23"/>
        <v>VENCIDO</v>
      </c>
      <c r="AB233" s="1" t="str">
        <f t="shared" si="24"/>
        <v>TAAe+</v>
      </c>
      <c r="AC233" s="2">
        <f t="shared" si="27"/>
        <v>0</v>
      </c>
      <c r="AD233" s="2">
        <f t="shared" si="25"/>
        <v>8</v>
      </c>
      <c r="AE233" s="2">
        <f t="shared" ca="1" si="26"/>
        <v>-44986.676271643519</v>
      </c>
      <c r="AF233" s="15"/>
    </row>
    <row r="234" spans="3:32">
      <c r="D234" s="1"/>
      <c r="E234" s="1"/>
      <c r="P234" s="11"/>
      <c r="X234" s="13">
        <f t="shared" si="21"/>
        <v>0</v>
      </c>
      <c r="Y234" s="2">
        <f t="shared" ca="1" si="22"/>
        <v>32133</v>
      </c>
      <c r="Z234" s="14">
        <v>1</v>
      </c>
      <c r="AA234" s="1" t="str">
        <f t="shared" ca="1" si="23"/>
        <v>VENCIDO</v>
      </c>
      <c r="AB234" s="1" t="str">
        <f t="shared" si="24"/>
        <v>TAAe+</v>
      </c>
      <c r="AC234" s="2">
        <f t="shared" si="27"/>
        <v>0</v>
      </c>
      <c r="AD234" s="2">
        <f t="shared" si="25"/>
        <v>8</v>
      </c>
      <c r="AE234" s="2">
        <f t="shared" ca="1" si="26"/>
        <v>-44986.676271643519</v>
      </c>
      <c r="AF234" s="15"/>
    </row>
    <row r="235" spans="3:32">
      <c r="D235" s="1"/>
      <c r="E235" s="1"/>
      <c r="P235" s="11"/>
      <c r="X235" s="13">
        <f t="shared" si="21"/>
        <v>0</v>
      </c>
      <c r="Y235" s="2">
        <f t="shared" ca="1" si="22"/>
        <v>32133</v>
      </c>
      <c r="Z235" s="14">
        <v>1</v>
      </c>
      <c r="AA235" s="1" t="str">
        <f t="shared" ca="1" si="23"/>
        <v>VENCIDO</v>
      </c>
      <c r="AB235" s="1" t="str">
        <f t="shared" si="24"/>
        <v>TAAe+</v>
      </c>
      <c r="AC235" s="2">
        <f t="shared" si="27"/>
        <v>0</v>
      </c>
      <c r="AD235" s="2">
        <f t="shared" si="25"/>
        <v>8</v>
      </c>
      <c r="AE235" s="2">
        <f t="shared" ca="1" si="26"/>
        <v>-44986.676271643519</v>
      </c>
      <c r="AF235" s="15"/>
    </row>
    <row r="236" spans="3:32">
      <c r="D236" s="1"/>
      <c r="E236" s="1"/>
      <c r="P236" s="11"/>
      <c r="X236" s="13">
        <f t="shared" si="21"/>
        <v>0</v>
      </c>
      <c r="Y236" s="2">
        <f t="shared" ca="1" si="22"/>
        <v>32133</v>
      </c>
      <c r="Z236" s="14">
        <v>1</v>
      </c>
      <c r="AA236" s="1" t="str">
        <f t="shared" ca="1" si="23"/>
        <v>VENCIDO</v>
      </c>
      <c r="AB236" s="1" t="str">
        <f t="shared" si="24"/>
        <v>TAAe+</v>
      </c>
      <c r="AC236" s="2">
        <f t="shared" si="27"/>
        <v>0</v>
      </c>
      <c r="AD236" s="2">
        <f t="shared" si="25"/>
        <v>8</v>
      </c>
      <c r="AE236" s="2">
        <f t="shared" ca="1" si="26"/>
        <v>-44986.676271643519</v>
      </c>
      <c r="AF236" s="15"/>
    </row>
    <row r="237" spans="3:32">
      <c r="C237" s="23"/>
      <c r="D237" s="1"/>
      <c r="E237" s="1"/>
      <c r="P237" s="11"/>
      <c r="X237" s="13">
        <f t="shared" si="21"/>
        <v>0</v>
      </c>
      <c r="Y237" s="2">
        <f t="shared" ca="1" si="22"/>
        <v>32133</v>
      </c>
      <c r="Z237" s="14">
        <v>1</v>
      </c>
      <c r="AA237" s="1" t="str">
        <f t="shared" ca="1" si="23"/>
        <v>VENCIDO</v>
      </c>
      <c r="AB237" s="1" t="str">
        <f t="shared" si="24"/>
        <v>TAAe+</v>
      </c>
      <c r="AC237" s="2">
        <f t="shared" si="27"/>
        <v>0</v>
      </c>
      <c r="AD237" s="2">
        <f t="shared" si="25"/>
        <v>8</v>
      </c>
      <c r="AE237" s="2">
        <f t="shared" ca="1" si="26"/>
        <v>-44986.676271643519</v>
      </c>
      <c r="AF237" s="15"/>
    </row>
    <row r="238" spans="3:32">
      <c r="D238" s="1"/>
      <c r="E238" s="1"/>
      <c r="P238" s="11"/>
      <c r="X238" s="13">
        <f t="shared" si="21"/>
        <v>0</v>
      </c>
      <c r="Y238" s="2">
        <f t="shared" ca="1" si="22"/>
        <v>32133</v>
      </c>
      <c r="Z238" s="14">
        <v>1</v>
      </c>
      <c r="AA238" s="1" t="str">
        <f t="shared" ca="1" si="23"/>
        <v>VENCIDO</v>
      </c>
      <c r="AB238" s="1" t="str">
        <f t="shared" si="24"/>
        <v>TAAe+</v>
      </c>
      <c r="AC238" s="2">
        <f t="shared" si="27"/>
        <v>0</v>
      </c>
      <c r="AD238" s="2">
        <f t="shared" si="25"/>
        <v>8</v>
      </c>
      <c r="AE238" s="2">
        <f t="shared" ca="1" si="26"/>
        <v>-44986.676271643519</v>
      </c>
      <c r="AF238" s="15"/>
    </row>
    <row r="239" spans="3:32">
      <c r="D239" s="1"/>
      <c r="E239" s="1"/>
      <c r="P239" s="11"/>
      <c r="X239" s="13">
        <f t="shared" si="21"/>
        <v>0</v>
      </c>
      <c r="Y239" s="2">
        <f t="shared" ca="1" si="22"/>
        <v>32133</v>
      </c>
      <c r="Z239" s="14">
        <v>1</v>
      </c>
      <c r="AA239" s="1" t="str">
        <f t="shared" ca="1" si="23"/>
        <v>VENCIDO</v>
      </c>
      <c r="AB239" s="1" t="str">
        <f t="shared" si="24"/>
        <v>TAAe+</v>
      </c>
      <c r="AC239" s="2">
        <f t="shared" si="27"/>
        <v>0</v>
      </c>
      <c r="AD239" s="2">
        <f t="shared" si="25"/>
        <v>8</v>
      </c>
      <c r="AE239" s="2">
        <f t="shared" ca="1" si="26"/>
        <v>-44986.676271643519</v>
      </c>
      <c r="AF239" s="15"/>
    </row>
    <row r="240" spans="3:32">
      <c r="D240" s="1"/>
      <c r="E240" s="1"/>
      <c r="P240" s="11"/>
      <c r="X240" s="13">
        <f t="shared" si="21"/>
        <v>0</v>
      </c>
      <c r="Y240" s="2">
        <f t="shared" ca="1" si="22"/>
        <v>32133</v>
      </c>
      <c r="Z240" s="14">
        <v>1</v>
      </c>
      <c r="AA240" s="1" t="str">
        <f t="shared" ca="1" si="23"/>
        <v>VENCIDO</v>
      </c>
      <c r="AB240" s="1" t="str">
        <f t="shared" si="24"/>
        <v>TAAe+</v>
      </c>
      <c r="AC240" s="2">
        <f t="shared" si="27"/>
        <v>0</v>
      </c>
      <c r="AD240" s="2">
        <f t="shared" si="25"/>
        <v>8</v>
      </c>
      <c r="AE240" s="2">
        <f t="shared" ca="1" si="26"/>
        <v>-44986.676271643519</v>
      </c>
      <c r="AF240" s="15"/>
    </row>
    <row r="241" spans="3:32">
      <c r="D241" s="1"/>
      <c r="E241" s="1"/>
      <c r="P241" s="11"/>
      <c r="X241" s="13">
        <f t="shared" si="21"/>
        <v>0</v>
      </c>
      <c r="Y241" s="2">
        <f t="shared" ca="1" si="22"/>
        <v>32133</v>
      </c>
      <c r="Z241" s="14">
        <v>1</v>
      </c>
      <c r="AA241" s="1" t="str">
        <f t="shared" ca="1" si="23"/>
        <v>VENCIDO</v>
      </c>
      <c r="AB241" s="1" t="str">
        <f t="shared" si="24"/>
        <v>TAAe+</v>
      </c>
      <c r="AC241" s="2">
        <f t="shared" si="27"/>
        <v>0</v>
      </c>
      <c r="AD241" s="2">
        <f t="shared" si="25"/>
        <v>8</v>
      </c>
      <c r="AE241" s="2">
        <f t="shared" ca="1" si="26"/>
        <v>-44986.676271643519</v>
      </c>
      <c r="AF241" s="15"/>
    </row>
    <row r="242" spans="3:32">
      <c r="D242" s="1"/>
      <c r="E242" s="1"/>
      <c r="P242" s="11"/>
      <c r="X242" s="13">
        <f t="shared" si="21"/>
        <v>0</v>
      </c>
      <c r="Y242" s="2">
        <f t="shared" ca="1" si="22"/>
        <v>32133</v>
      </c>
      <c r="Z242" s="14">
        <v>1</v>
      </c>
      <c r="AA242" s="1" t="str">
        <f t="shared" ca="1" si="23"/>
        <v>VENCIDO</v>
      </c>
      <c r="AB242" s="1" t="str">
        <f t="shared" si="24"/>
        <v>TAAe+</v>
      </c>
      <c r="AC242" s="2">
        <f t="shared" si="27"/>
        <v>0</v>
      </c>
      <c r="AD242" s="2">
        <f t="shared" si="25"/>
        <v>8</v>
      </c>
      <c r="AE242" s="2">
        <f t="shared" ca="1" si="26"/>
        <v>-44986.676271643519</v>
      </c>
      <c r="AF242" s="15"/>
    </row>
    <row r="243" spans="3:32">
      <c r="D243" s="1"/>
      <c r="E243" s="1"/>
      <c r="P243" s="11"/>
      <c r="X243" s="13">
        <f t="shared" si="21"/>
        <v>0</v>
      </c>
      <c r="Y243" s="2">
        <f t="shared" ca="1" si="22"/>
        <v>32133</v>
      </c>
      <c r="Z243" s="14">
        <v>1</v>
      </c>
      <c r="AA243" s="1" t="str">
        <f t="shared" ca="1" si="23"/>
        <v>VENCIDO</v>
      </c>
      <c r="AB243" s="1" t="str">
        <f t="shared" si="24"/>
        <v>TAAe+</v>
      </c>
      <c r="AC243" s="2">
        <f t="shared" si="27"/>
        <v>0</v>
      </c>
      <c r="AD243" s="2">
        <f t="shared" si="25"/>
        <v>8</v>
      </c>
      <c r="AE243" s="2">
        <f t="shared" ca="1" si="26"/>
        <v>-44986.676271643519</v>
      </c>
      <c r="AF243" s="15"/>
    </row>
    <row r="244" spans="3:32">
      <c r="C244" s="23"/>
      <c r="D244" s="1"/>
      <c r="E244" s="1"/>
      <c r="P244" s="11"/>
      <c r="X244" s="13">
        <f t="shared" si="21"/>
        <v>0</v>
      </c>
      <c r="Y244" s="2">
        <f t="shared" ca="1" si="22"/>
        <v>32133</v>
      </c>
      <c r="Z244" s="14">
        <v>1</v>
      </c>
      <c r="AA244" s="1" t="str">
        <f t="shared" ca="1" si="23"/>
        <v>VENCIDO</v>
      </c>
      <c r="AB244" s="1" t="str">
        <f t="shared" si="24"/>
        <v>TAAe+</v>
      </c>
      <c r="AC244" s="2">
        <f t="shared" si="27"/>
        <v>0</v>
      </c>
      <c r="AD244" s="2">
        <f t="shared" si="25"/>
        <v>8</v>
      </c>
      <c r="AE244" s="2">
        <f t="shared" ca="1" si="26"/>
        <v>-44986.676271643519</v>
      </c>
      <c r="AF244" s="15"/>
    </row>
    <row r="245" spans="3:32">
      <c r="D245" s="1"/>
      <c r="E245" s="1"/>
      <c r="P245" s="11"/>
      <c r="X245" s="13">
        <f t="shared" si="21"/>
        <v>0</v>
      </c>
      <c r="Y245" s="2">
        <f t="shared" ca="1" si="22"/>
        <v>32133</v>
      </c>
      <c r="Z245" s="14">
        <v>1</v>
      </c>
      <c r="AA245" s="1" t="str">
        <f t="shared" ca="1" si="23"/>
        <v>VENCIDO</v>
      </c>
      <c r="AB245" s="1" t="str">
        <f t="shared" si="24"/>
        <v>TAAe+</v>
      </c>
      <c r="AC245" s="2">
        <f t="shared" si="27"/>
        <v>0</v>
      </c>
      <c r="AD245" s="2">
        <f t="shared" si="25"/>
        <v>8</v>
      </c>
      <c r="AE245" s="2">
        <f t="shared" ca="1" si="26"/>
        <v>-44986.676271643519</v>
      </c>
      <c r="AF245" s="15"/>
    </row>
    <row r="246" spans="3:32">
      <c r="D246" s="1"/>
      <c r="E246" s="1"/>
      <c r="P246" s="11"/>
      <c r="X246" s="13">
        <f t="shared" si="21"/>
        <v>0</v>
      </c>
      <c r="Y246" s="2">
        <f t="shared" ca="1" si="22"/>
        <v>32133</v>
      </c>
      <c r="Z246" s="14">
        <v>1</v>
      </c>
      <c r="AA246" s="1" t="str">
        <f t="shared" ca="1" si="23"/>
        <v>VENCIDO</v>
      </c>
      <c r="AB246" s="1" t="str">
        <f t="shared" si="24"/>
        <v>TAAe+</v>
      </c>
      <c r="AC246" s="2">
        <f t="shared" si="27"/>
        <v>0</v>
      </c>
      <c r="AD246" s="2">
        <f t="shared" si="25"/>
        <v>8</v>
      </c>
      <c r="AE246" s="2">
        <f t="shared" ca="1" si="26"/>
        <v>-44986.676271643519</v>
      </c>
      <c r="AF246" s="15"/>
    </row>
    <row r="247" spans="3:32">
      <c r="D247" s="1"/>
      <c r="E247" s="1"/>
      <c r="P247" s="11"/>
      <c r="X247" s="13">
        <f t="shared" si="21"/>
        <v>0</v>
      </c>
      <c r="Y247" s="2">
        <f t="shared" ca="1" si="22"/>
        <v>32133</v>
      </c>
      <c r="Z247" s="14">
        <v>1</v>
      </c>
      <c r="AA247" s="1" t="str">
        <f t="shared" ca="1" si="23"/>
        <v>VENCIDO</v>
      </c>
      <c r="AB247" s="1" t="str">
        <f t="shared" si="24"/>
        <v>TAAe+</v>
      </c>
      <c r="AC247" s="2">
        <f t="shared" si="27"/>
        <v>0</v>
      </c>
      <c r="AD247" s="2">
        <f t="shared" si="25"/>
        <v>8</v>
      </c>
      <c r="AE247" s="2">
        <f t="shared" ca="1" si="26"/>
        <v>-44986.676271643519</v>
      </c>
      <c r="AF247" s="15"/>
    </row>
    <row r="248" spans="3:32">
      <c r="D248" s="1"/>
      <c r="E248" s="1"/>
      <c r="P248" s="11"/>
      <c r="X248" s="13">
        <f t="shared" si="21"/>
        <v>0</v>
      </c>
      <c r="Y248" s="2">
        <f t="shared" ca="1" si="22"/>
        <v>32133</v>
      </c>
      <c r="Z248" s="14">
        <v>1</v>
      </c>
      <c r="AA248" s="1" t="str">
        <f t="shared" ca="1" si="23"/>
        <v>VENCIDO</v>
      </c>
      <c r="AB248" s="1" t="str">
        <f t="shared" si="24"/>
        <v>TAAe+</v>
      </c>
      <c r="AC248" s="2">
        <f t="shared" si="27"/>
        <v>0</v>
      </c>
      <c r="AD248" s="2">
        <f t="shared" si="25"/>
        <v>8</v>
      </c>
      <c r="AE248" s="2">
        <f t="shared" ca="1" si="26"/>
        <v>-44986.676271643519</v>
      </c>
      <c r="AF248" s="15"/>
    </row>
    <row r="249" spans="3:32">
      <c r="D249" s="1"/>
      <c r="E249" s="1"/>
      <c r="P249" s="11"/>
      <c r="X249" s="13">
        <f t="shared" si="21"/>
        <v>0</v>
      </c>
      <c r="Y249" s="2">
        <f t="shared" ca="1" si="22"/>
        <v>32133</v>
      </c>
      <c r="Z249" s="14">
        <v>1</v>
      </c>
      <c r="AA249" s="1" t="str">
        <f t="shared" ca="1" si="23"/>
        <v>VENCIDO</v>
      </c>
      <c r="AB249" s="1" t="str">
        <f t="shared" si="24"/>
        <v>TAAe+</v>
      </c>
      <c r="AC249" s="2">
        <f t="shared" si="27"/>
        <v>0</v>
      </c>
      <c r="AD249" s="2">
        <f t="shared" si="25"/>
        <v>8</v>
      </c>
      <c r="AE249" s="2">
        <f t="shared" ca="1" si="26"/>
        <v>-44986.676271643519</v>
      </c>
      <c r="AF249" s="15"/>
    </row>
    <row r="250" spans="3:32">
      <c r="D250" s="1"/>
      <c r="E250" s="1"/>
      <c r="P250" s="11"/>
      <c r="X250" s="13">
        <f t="shared" si="21"/>
        <v>0</v>
      </c>
      <c r="Y250" s="2">
        <f t="shared" ca="1" si="22"/>
        <v>32133</v>
      </c>
      <c r="Z250" s="14">
        <v>1</v>
      </c>
      <c r="AA250" s="1" t="str">
        <f t="shared" ca="1" si="23"/>
        <v>VENCIDO</v>
      </c>
      <c r="AB250" s="1" t="str">
        <f t="shared" si="24"/>
        <v>TAAe+</v>
      </c>
      <c r="AC250" s="2">
        <f t="shared" si="27"/>
        <v>0</v>
      </c>
      <c r="AD250" s="2">
        <f t="shared" si="25"/>
        <v>8</v>
      </c>
      <c r="AE250" s="2">
        <f t="shared" ca="1" si="26"/>
        <v>-44986.676271643519</v>
      </c>
      <c r="AF250" s="15"/>
    </row>
    <row r="251" spans="3:32">
      <c r="D251" s="1"/>
      <c r="E251" s="1"/>
      <c r="P251" s="11"/>
      <c r="X251" s="13">
        <f t="shared" si="21"/>
        <v>0</v>
      </c>
      <c r="Y251" s="2">
        <f t="shared" ca="1" si="22"/>
        <v>32133</v>
      </c>
      <c r="Z251" s="14">
        <v>1</v>
      </c>
      <c r="AA251" s="1" t="str">
        <f t="shared" ca="1" si="23"/>
        <v>VENCIDO</v>
      </c>
      <c r="AB251" s="1" t="str">
        <f t="shared" si="24"/>
        <v>TAAe+</v>
      </c>
      <c r="AC251" s="2">
        <f t="shared" si="27"/>
        <v>0</v>
      </c>
      <c r="AD251" s="2">
        <f t="shared" si="25"/>
        <v>8</v>
      </c>
      <c r="AE251" s="2">
        <f t="shared" ca="1" si="26"/>
        <v>-44986.676271643519</v>
      </c>
      <c r="AF251" s="15"/>
    </row>
    <row r="252" spans="3:32">
      <c r="D252" s="1"/>
      <c r="E252" s="1"/>
      <c r="P252" s="11"/>
      <c r="X252" s="13">
        <f t="shared" si="21"/>
        <v>0</v>
      </c>
      <c r="Y252" s="2">
        <f t="shared" ca="1" si="22"/>
        <v>32133</v>
      </c>
      <c r="Z252" s="14">
        <v>1</v>
      </c>
      <c r="AA252" s="1" t="str">
        <f t="shared" ca="1" si="23"/>
        <v>VENCIDO</v>
      </c>
      <c r="AB252" s="1" t="str">
        <f t="shared" si="24"/>
        <v>TAAe+</v>
      </c>
      <c r="AC252" s="2">
        <f t="shared" si="27"/>
        <v>0</v>
      </c>
      <c r="AD252" s="2">
        <f t="shared" si="25"/>
        <v>8</v>
      </c>
      <c r="AE252" s="2">
        <f t="shared" ca="1" si="26"/>
        <v>-44986.676271643519</v>
      </c>
      <c r="AF252" s="15"/>
    </row>
    <row r="253" spans="3:32">
      <c r="D253" s="1"/>
      <c r="E253" s="1"/>
      <c r="P253" s="11"/>
      <c r="X253" s="13">
        <f t="shared" si="21"/>
        <v>0</v>
      </c>
      <c r="Y253" s="2">
        <f t="shared" ca="1" si="22"/>
        <v>32133</v>
      </c>
      <c r="Z253" s="14">
        <v>1</v>
      </c>
      <c r="AA253" s="1" t="str">
        <f t="shared" ca="1" si="23"/>
        <v>VENCIDO</v>
      </c>
      <c r="AB253" s="1" t="str">
        <f t="shared" si="24"/>
        <v>TAAe+</v>
      </c>
      <c r="AC253" s="2">
        <f t="shared" si="27"/>
        <v>0</v>
      </c>
      <c r="AD253" s="2">
        <f t="shared" si="25"/>
        <v>8</v>
      </c>
      <c r="AE253" s="2">
        <f t="shared" ca="1" si="26"/>
        <v>-44986.676271643519</v>
      </c>
      <c r="AF253" s="15"/>
    </row>
    <row r="254" spans="3:32">
      <c r="D254" s="1"/>
      <c r="E254" s="1"/>
      <c r="P254" s="11"/>
      <c r="X254" s="13">
        <f t="shared" si="21"/>
        <v>0</v>
      </c>
      <c r="Y254" s="2">
        <f t="shared" ca="1" si="22"/>
        <v>32133</v>
      </c>
      <c r="Z254" s="14">
        <v>1</v>
      </c>
      <c r="AA254" s="1" t="str">
        <f t="shared" ca="1" si="23"/>
        <v>VENCIDO</v>
      </c>
      <c r="AB254" s="1" t="str">
        <f t="shared" si="24"/>
        <v>TAAe+</v>
      </c>
      <c r="AC254" s="2">
        <f t="shared" si="27"/>
        <v>0</v>
      </c>
      <c r="AD254" s="2">
        <f t="shared" si="25"/>
        <v>8</v>
      </c>
      <c r="AE254" s="2">
        <f t="shared" ca="1" si="26"/>
        <v>-44986.676271643519</v>
      </c>
      <c r="AF254" s="15"/>
    </row>
    <row r="255" spans="3:32">
      <c r="C255" s="23"/>
      <c r="D255" s="1"/>
      <c r="E255" s="1"/>
      <c r="P255" s="11"/>
      <c r="X255" s="13">
        <f t="shared" si="21"/>
        <v>0</v>
      </c>
      <c r="Y255" s="2">
        <f t="shared" ca="1" si="22"/>
        <v>32133</v>
      </c>
      <c r="Z255" s="14">
        <v>1</v>
      </c>
      <c r="AA255" s="1" t="str">
        <f t="shared" ca="1" si="23"/>
        <v>VENCIDO</v>
      </c>
      <c r="AB255" s="1" t="str">
        <f t="shared" si="24"/>
        <v>TAAe+</v>
      </c>
      <c r="AC255" s="2">
        <f t="shared" si="27"/>
        <v>0</v>
      </c>
      <c r="AD255" s="2">
        <f t="shared" si="25"/>
        <v>8</v>
      </c>
      <c r="AE255" s="2">
        <f t="shared" ca="1" si="26"/>
        <v>-44986.676271643519</v>
      </c>
      <c r="AF255" s="15"/>
    </row>
    <row r="256" spans="3:32">
      <c r="D256" s="1"/>
      <c r="E256" s="1"/>
      <c r="P256" s="11"/>
      <c r="X256" s="13">
        <f t="shared" si="21"/>
        <v>0</v>
      </c>
      <c r="Y256" s="2">
        <f t="shared" ca="1" si="22"/>
        <v>32133</v>
      </c>
      <c r="Z256" s="14">
        <v>1</v>
      </c>
      <c r="AA256" s="1" t="str">
        <f t="shared" ca="1" si="23"/>
        <v>VENCIDO</v>
      </c>
      <c r="AB256" s="1" t="str">
        <f t="shared" si="24"/>
        <v>TAAe+</v>
      </c>
      <c r="AC256" s="2">
        <f t="shared" si="27"/>
        <v>0</v>
      </c>
      <c r="AD256" s="2">
        <f t="shared" si="25"/>
        <v>8</v>
      </c>
      <c r="AE256" s="2">
        <f t="shared" ca="1" si="26"/>
        <v>-44986.676271643519</v>
      </c>
      <c r="AF256" s="15"/>
    </row>
    <row r="257" spans="3:32">
      <c r="D257" s="1"/>
      <c r="E257" s="1"/>
      <c r="P257" s="11"/>
      <c r="X257" s="13">
        <f t="shared" si="21"/>
        <v>0</v>
      </c>
      <c r="Y257" s="2">
        <f t="shared" ca="1" si="22"/>
        <v>32133</v>
      </c>
      <c r="Z257" s="14">
        <v>1</v>
      </c>
      <c r="AA257" s="1" t="str">
        <f t="shared" ca="1" si="23"/>
        <v>VENCIDO</v>
      </c>
      <c r="AB257" s="1" t="str">
        <f t="shared" si="24"/>
        <v>TAAe+</v>
      </c>
      <c r="AC257" s="2">
        <f t="shared" si="27"/>
        <v>0</v>
      </c>
      <c r="AD257" s="2">
        <f t="shared" si="25"/>
        <v>8</v>
      </c>
      <c r="AE257" s="2">
        <f t="shared" ca="1" si="26"/>
        <v>-44986.676271643519</v>
      </c>
      <c r="AF257" s="15"/>
    </row>
    <row r="258" spans="3:32">
      <c r="D258" s="1"/>
      <c r="E258" s="1"/>
      <c r="P258" s="11"/>
      <c r="X258" s="13">
        <f t="shared" ref="X258:X321" si="28">IF(RIGHT(H258,2)&lt;&gt;"00",H258,"")</f>
        <v>0</v>
      </c>
      <c r="Y258" s="2">
        <f t="shared" ref="Y258:Y321" ca="1" si="29">NETWORKDAYS(P258,$Y$1)</f>
        <v>32133</v>
      </c>
      <c r="Z258" s="14">
        <v>1</v>
      </c>
      <c r="AA258" s="1" t="str">
        <f t="shared" ref="AA258:AA321" ca="1" si="30">IF(AE258=0,"HOJE",IF(AE258&gt;0,"A VENCER",IF(AE258&lt;0,"VENCIDO")))</f>
        <v>VENCIDO</v>
      </c>
      <c r="AB258" s="1" t="str">
        <f t="shared" ref="AB258:AB321" si="31">IF(F258="GRPE-000001","C-14",IF(F258="GRPE-000002","C-14",IF(F258="GRPE-000003","C-14",IF(F258="GRPE-000004","SL-On",IF(F258="GRPE-000038","C-14",IF(F258="GRPE-900022","Dosa",IF(F258="GRPE-000029","Dosa",IF(F258="ATOS-000222","Dose","TAAe+"))))))))</f>
        <v>TAAe+</v>
      </c>
      <c r="AC258" s="2">
        <f t="shared" si="27"/>
        <v>0</v>
      </c>
      <c r="AD258" s="2">
        <f t="shared" ref="AD258:AD321" si="32">IF(F258="GRPE-000001",5,IF(F258="GRPE-000002",5,IF(F258="GRPE-000003",15,IF(F258="GRPE-000004",1,IF(F258="GRPE-000038",5,IF(F258="GRPE-900022",5,IF(F258="GRPE-000029",5,IF(F258="ATOS-000222",5,8))))))))</f>
        <v>8</v>
      </c>
      <c r="AE258" s="2">
        <f t="shared" ref="AE258:AE321" ca="1" si="33">IF(U258=$AE$1,"",U258-$AE$1)</f>
        <v>-44986.676271643519</v>
      </c>
      <c r="AF258" s="15"/>
    </row>
    <row r="259" spans="3:32">
      <c r="C259" s="23"/>
      <c r="D259" s="1"/>
      <c r="E259" s="1"/>
      <c r="P259" s="11"/>
      <c r="X259" s="13">
        <f t="shared" si="28"/>
        <v>0</v>
      </c>
      <c r="Y259" s="2">
        <f t="shared" ca="1" si="29"/>
        <v>32133</v>
      </c>
      <c r="Z259" s="14">
        <v>1</v>
      </c>
      <c r="AA259" s="1" t="str">
        <f t="shared" ca="1" si="30"/>
        <v>VENCIDO</v>
      </c>
      <c r="AB259" s="1" t="str">
        <f t="shared" si="31"/>
        <v>TAAe+</v>
      </c>
      <c r="AC259" s="2">
        <f t="shared" ref="AC259:AC322" si="34">IF(J259="TR-PETROLINA"," ROSEMERE ",IF(J259="TR-GARANHUNS"," ROSEMERE ",IF(J259="TR-CARUARU"," ROSEMERE ",IF(J259="TR-RIBEIRAO"," CRISTINA ",IF(J259="TR-GRAVATA"," CRISTINA ",IF(J259="TR-GOIANA"," CRISTINA ",IF(J259="TR-LIMOEIRO"," CRISTINA ",IF(J259="TR-SERRA TALHADA"," RINALDO ",IF(J259="TR-SALGUEIRO"," RINALDO ",IF(J259="TR-CARNAIBA"," RINALDO ",IF(J259="TR-ARCOVERDE"," RINALDO ",IF(J259="CAT-RECIFE"," CLEITON ",))))))))))))</f>
        <v>0</v>
      </c>
      <c r="AD259" s="2">
        <f t="shared" si="32"/>
        <v>8</v>
      </c>
      <c r="AE259" s="2">
        <f t="shared" ca="1" si="33"/>
        <v>-44986.676271643519</v>
      </c>
      <c r="AF259" s="15"/>
    </row>
    <row r="260" spans="3:32">
      <c r="D260" s="1"/>
      <c r="E260" s="1"/>
      <c r="P260" s="11"/>
      <c r="X260" s="13">
        <f t="shared" si="28"/>
        <v>0</v>
      </c>
      <c r="Y260" s="2">
        <f t="shared" ca="1" si="29"/>
        <v>32133</v>
      </c>
      <c r="Z260" s="14">
        <v>1</v>
      </c>
      <c r="AA260" s="1" t="str">
        <f t="shared" ca="1" si="30"/>
        <v>VENCIDO</v>
      </c>
      <c r="AB260" s="1" t="str">
        <f t="shared" si="31"/>
        <v>TAAe+</v>
      </c>
      <c r="AC260" s="2">
        <f t="shared" si="34"/>
        <v>0</v>
      </c>
      <c r="AD260" s="2">
        <f t="shared" si="32"/>
        <v>8</v>
      </c>
      <c r="AE260" s="2">
        <f t="shared" ca="1" si="33"/>
        <v>-44986.676271643519</v>
      </c>
      <c r="AF260" s="15"/>
    </row>
    <row r="261" spans="3:32">
      <c r="D261" s="1"/>
      <c r="E261" s="1"/>
      <c r="P261" s="11"/>
      <c r="X261" s="13">
        <f t="shared" si="28"/>
        <v>0</v>
      </c>
      <c r="Y261" s="2">
        <f t="shared" ca="1" si="29"/>
        <v>32133</v>
      </c>
      <c r="Z261" s="14">
        <v>1</v>
      </c>
      <c r="AA261" s="1" t="str">
        <f t="shared" ca="1" si="30"/>
        <v>VENCIDO</v>
      </c>
      <c r="AB261" s="1" t="str">
        <f t="shared" si="31"/>
        <v>TAAe+</v>
      </c>
      <c r="AC261" s="2">
        <f t="shared" si="34"/>
        <v>0</v>
      </c>
      <c r="AD261" s="2">
        <f t="shared" si="32"/>
        <v>8</v>
      </c>
      <c r="AE261" s="2">
        <f t="shared" ca="1" si="33"/>
        <v>-44986.676271643519</v>
      </c>
      <c r="AF261" s="15"/>
    </row>
    <row r="262" spans="3:32">
      <c r="D262" s="1"/>
      <c r="E262" s="1"/>
      <c r="P262" s="11"/>
      <c r="X262" s="13">
        <f t="shared" si="28"/>
        <v>0</v>
      </c>
      <c r="Y262" s="2">
        <f t="shared" ca="1" si="29"/>
        <v>32133</v>
      </c>
      <c r="Z262" s="14">
        <v>1</v>
      </c>
      <c r="AA262" s="1" t="str">
        <f t="shared" ca="1" si="30"/>
        <v>VENCIDO</v>
      </c>
      <c r="AB262" s="1" t="str">
        <f t="shared" si="31"/>
        <v>TAAe+</v>
      </c>
      <c r="AC262" s="2">
        <f t="shared" si="34"/>
        <v>0</v>
      </c>
      <c r="AD262" s="2">
        <f t="shared" si="32"/>
        <v>8</v>
      </c>
      <c r="AE262" s="2">
        <f t="shared" ca="1" si="33"/>
        <v>-44986.676271643519</v>
      </c>
      <c r="AF262" s="15"/>
    </row>
    <row r="263" spans="3:32">
      <c r="D263" s="1"/>
      <c r="E263" s="1"/>
      <c r="P263" s="11"/>
      <c r="X263" s="13">
        <f t="shared" si="28"/>
        <v>0</v>
      </c>
      <c r="Y263" s="2">
        <f t="shared" ca="1" si="29"/>
        <v>32133</v>
      </c>
      <c r="Z263" s="14">
        <v>1</v>
      </c>
      <c r="AA263" s="1" t="str">
        <f t="shared" ca="1" si="30"/>
        <v>VENCIDO</v>
      </c>
      <c r="AB263" s="1" t="str">
        <f t="shared" si="31"/>
        <v>TAAe+</v>
      </c>
      <c r="AC263" s="2">
        <f t="shared" si="34"/>
        <v>0</v>
      </c>
      <c r="AD263" s="2">
        <f t="shared" si="32"/>
        <v>8</v>
      </c>
      <c r="AE263" s="2">
        <f t="shared" ca="1" si="33"/>
        <v>-44986.676271643519</v>
      </c>
      <c r="AF263" s="15"/>
    </row>
    <row r="264" spans="3:32">
      <c r="D264" s="1"/>
      <c r="E264" s="1"/>
      <c r="P264" s="11"/>
      <c r="X264" s="13">
        <f t="shared" si="28"/>
        <v>0</v>
      </c>
      <c r="Y264" s="2">
        <f t="shared" ca="1" si="29"/>
        <v>32133</v>
      </c>
      <c r="Z264" s="14">
        <v>1</v>
      </c>
      <c r="AA264" s="1" t="str">
        <f t="shared" ca="1" si="30"/>
        <v>VENCIDO</v>
      </c>
      <c r="AB264" s="1" t="str">
        <f t="shared" si="31"/>
        <v>TAAe+</v>
      </c>
      <c r="AC264" s="2">
        <f t="shared" si="34"/>
        <v>0</v>
      </c>
      <c r="AD264" s="2">
        <f t="shared" si="32"/>
        <v>8</v>
      </c>
      <c r="AE264" s="2">
        <f t="shared" ca="1" si="33"/>
        <v>-44986.676271643519</v>
      </c>
      <c r="AF264" s="15"/>
    </row>
    <row r="265" spans="3:32">
      <c r="D265" s="1"/>
      <c r="E265" s="1"/>
      <c r="P265" s="11"/>
      <c r="X265" s="13">
        <f t="shared" si="28"/>
        <v>0</v>
      </c>
      <c r="Y265" s="2">
        <f t="shared" ca="1" si="29"/>
        <v>32133</v>
      </c>
      <c r="Z265" s="14">
        <v>1</v>
      </c>
      <c r="AA265" s="1" t="str">
        <f t="shared" ca="1" si="30"/>
        <v>VENCIDO</v>
      </c>
      <c r="AB265" s="1" t="str">
        <f t="shared" si="31"/>
        <v>TAAe+</v>
      </c>
      <c r="AC265" s="2">
        <f t="shared" si="34"/>
        <v>0</v>
      </c>
      <c r="AD265" s="2">
        <f t="shared" si="32"/>
        <v>8</v>
      </c>
      <c r="AE265" s="2">
        <f t="shared" ca="1" si="33"/>
        <v>-44986.676271643519</v>
      </c>
      <c r="AF265" s="15"/>
    </row>
    <row r="266" spans="3:32">
      <c r="D266" s="1"/>
      <c r="E266" s="1"/>
      <c r="P266" s="11"/>
      <c r="U266" s="11"/>
      <c r="X266" s="13">
        <f t="shared" si="28"/>
        <v>0</v>
      </c>
      <c r="Y266" s="2">
        <f t="shared" ca="1" si="29"/>
        <v>32133</v>
      </c>
      <c r="Z266" s="14">
        <v>1</v>
      </c>
      <c r="AA266" s="1" t="str">
        <f t="shared" ca="1" si="30"/>
        <v>VENCIDO</v>
      </c>
      <c r="AB266" s="1" t="str">
        <f t="shared" si="31"/>
        <v>TAAe+</v>
      </c>
      <c r="AC266" s="2">
        <f t="shared" si="34"/>
        <v>0</v>
      </c>
      <c r="AD266" s="2">
        <f t="shared" si="32"/>
        <v>8</v>
      </c>
      <c r="AE266" s="2">
        <f t="shared" ca="1" si="33"/>
        <v>-44986.676271643519</v>
      </c>
      <c r="AF266" s="15"/>
    </row>
    <row r="267" spans="3:32">
      <c r="D267" s="1"/>
      <c r="E267" s="1"/>
      <c r="P267" s="11"/>
      <c r="X267" s="13">
        <f t="shared" si="28"/>
        <v>0</v>
      </c>
      <c r="Y267" s="2">
        <f t="shared" ca="1" si="29"/>
        <v>32133</v>
      </c>
      <c r="Z267" s="14">
        <v>1</v>
      </c>
      <c r="AA267" s="1" t="str">
        <f t="shared" ca="1" si="30"/>
        <v>VENCIDO</v>
      </c>
      <c r="AB267" s="1" t="str">
        <f t="shared" si="31"/>
        <v>TAAe+</v>
      </c>
      <c r="AC267" s="2">
        <f t="shared" si="34"/>
        <v>0</v>
      </c>
      <c r="AD267" s="2">
        <f t="shared" si="32"/>
        <v>8</v>
      </c>
      <c r="AE267" s="2">
        <f t="shared" ca="1" si="33"/>
        <v>-44986.676271643519</v>
      </c>
      <c r="AF267" s="15"/>
    </row>
    <row r="268" spans="3:32">
      <c r="D268" s="1"/>
      <c r="E268" s="1"/>
      <c r="P268" s="11"/>
      <c r="X268" s="13">
        <f t="shared" si="28"/>
        <v>0</v>
      </c>
      <c r="Y268" s="2">
        <f t="shared" ca="1" si="29"/>
        <v>32133</v>
      </c>
      <c r="Z268" s="14">
        <v>1</v>
      </c>
      <c r="AA268" s="1" t="str">
        <f t="shared" ca="1" si="30"/>
        <v>VENCIDO</v>
      </c>
      <c r="AB268" s="1" t="str">
        <f t="shared" si="31"/>
        <v>TAAe+</v>
      </c>
      <c r="AC268" s="2">
        <f t="shared" si="34"/>
        <v>0</v>
      </c>
      <c r="AD268" s="2">
        <f t="shared" si="32"/>
        <v>8</v>
      </c>
      <c r="AE268" s="2">
        <f t="shared" ca="1" si="33"/>
        <v>-44986.676271643519</v>
      </c>
      <c r="AF268" s="15"/>
    </row>
    <row r="269" spans="3:32">
      <c r="D269" s="1"/>
      <c r="E269" s="1"/>
      <c r="P269" s="11"/>
      <c r="X269" s="13">
        <f t="shared" si="28"/>
        <v>0</v>
      </c>
      <c r="Y269" s="2">
        <f t="shared" ca="1" si="29"/>
        <v>32133</v>
      </c>
      <c r="Z269" s="14">
        <v>1</v>
      </c>
      <c r="AA269" s="1" t="str">
        <f t="shared" ca="1" si="30"/>
        <v>VENCIDO</v>
      </c>
      <c r="AB269" s="1" t="str">
        <f t="shared" si="31"/>
        <v>TAAe+</v>
      </c>
      <c r="AC269" s="2">
        <f t="shared" si="34"/>
        <v>0</v>
      </c>
      <c r="AD269" s="2">
        <f t="shared" si="32"/>
        <v>8</v>
      </c>
      <c r="AE269" s="2">
        <f t="shared" ca="1" si="33"/>
        <v>-44986.676271643519</v>
      </c>
      <c r="AF269" s="15"/>
    </row>
    <row r="270" spans="3:32">
      <c r="D270" s="1"/>
      <c r="E270" s="1"/>
      <c r="P270" s="11"/>
      <c r="X270" s="13">
        <f t="shared" si="28"/>
        <v>0</v>
      </c>
      <c r="Y270" s="2">
        <f t="shared" ca="1" si="29"/>
        <v>32133</v>
      </c>
      <c r="Z270" s="14">
        <v>1</v>
      </c>
      <c r="AA270" s="1" t="str">
        <f t="shared" ca="1" si="30"/>
        <v>VENCIDO</v>
      </c>
      <c r="AB270" s="1" t="str">
        <f t="shared" si="31"/>
        <v>TAAe+</v>
      </c>
      <c r="AC270" s="2">
        <f t="shared" si="34"/>
        <v>0</v>
      </c>
      <c r="AD270" s="2">
        <f t="shared" si="32"/>
        <v>8</v>
      </c>
      <c r="AE270" s="2">
        <f t="shared" ca="1" si="33"/>
        <v>-44986.676271643519</v>
      </c>
      <c r="AF270" s="15"/>
    </row>
    <row r="271" spans="3:32">
      <c r="C271" s="23"/>
      <c r="D271" s="1"/>
      <c r="E271" s="1"/>
      <c r="P271" s="11"/>
      <c r="X271" s="13">
        <f t="shared" si="28"/>
        <v>0</v>
      </c>
      <c r="Y271" s="2">
        <f t="shared" ca="1" si="29"/>
        <v>32133</v>
      </c>
      <c r="Z271" s="14">
        <v>1</v>
      </c>
      <c r="AA271" s="1" t="str">
        <f t="shared" ca="1" si="30"/>
        <v>VENCIDO</v>
      </c>
      <c r="AB271" s="1" t="str">
        <f t="shared" si="31"/>
        <v>TAAe+</v>
      </c>
      <c r="AC271" s="2">
        <f t="shared" si="34"/>
        <v>0</v>
      </c>
      <c r="AD271" s="2">
        <f t="shared" si="32"/>
        <v>8</v>
      </c>
      <c r="AE271" s="2">
        <f t="shared" ca="1" si="33"/>
        <v>-44986.676271643519</v>
      </c>
      <c r="AF271" s="15"/>
    </row>
    <row r="272" spans="3:32">
      <c r="C272" s="23"/>
      <c r="D272" s="1"/>
      <c r="E272" s="1"/>
      <c r="P272" s="11"/>
      <c r="X272" s="13">
        <f t="shared" si="28"/>
        <v>0</v>
      </c>
      <c r="Y272" s="2">
        <f t="shared" ca="1" si="29"/>
        <v>32133</v>
      </c>
      <c r="Z272" s="14">
        <v>1</v>
      </c>
      <c r="AA272" s="1" t="str">
        <f t="shared" ca="1" si="30"/>
        <v>VENCIDO</v>
      </c>
      <c r="AB272" s="1" t="str">
        <f t="shared" si="31"/>
        <v>TAAe+</v>
      </c>
      <c r="AC272" s="2">
        <f t="shared" si="34"/>
        <v>0</v>
      </c>
      <c r="AD272" s="2">
        <f t="shared" si="32"/>
        <v>8</v>
      </c>
      <c r="AE272" s="2">
        <f t="shared" ca="1" si="33"/>
        <v>-44986.676271643519</v>
      </c>
      <c r="AF272" s="15"/>
    </row>
    <row r="273" spans="3:32">
      <c r="C273" s="23"/>
      <c r="D273" s="1"/>
      <c r="E273" s="1"/>
      <c r="P273" s="11"/>
      <c r="X273" s="13">
        <f t="shared" si="28"/>
        <v>0</v>
      </c>
      <c r="Y273" s="2">
        <f t="shared" ca="1" si="29"/>
        <v>32133</v>
      </c>
      <c r="Z273" s="14">
        <v>1</v>
      </c>
      <c r="AA273" s="1" t="str">
        <f t="shared" ca="1" si="30"/>
        <v>VENCIDO</v>
      </c>
      <c r="AB273" s="1" t="str">
        <f t="shared" si="31"/>
        <v>TAAe+</v>
      </c>
      <c r="AC273" s="2">
        <f t="shared" si="34"/>
        <v>0</v>
      </c>
      <c r="AD273" s="2">
        <f t="shared" si="32"/>
        <v>8</v>
      </c>
      <c r="AE273" s="2">
        <f t="shared" ca="1" si="33"/>
        <v>-44986.676271643519</v>
      </c>
      <c r="AF273" s="15"/>
    </row>
    <row r="274" spans="3:32">
      <c r="D274" s="1"/>
      <c r="E274" s="1"/>
      <c r="P274" s="11"/>
      <c r="X274" s="13">
        <f t="shared" si="28"/>
        <v>0</v>
      </c>
      <c r="Y274" s="2">
        <f t="shared" ca="1" si="29"/>
        <v>32133</v>
      </c>
      <c r="Z274" s="14">
        <v>1</v>
      </c>
      <c r="AA274" s="1" t="str">
        <f t="shared" ca="1" si="30"/>
        <v>VENCIDO</v>
      </c>
      <c r="AB274" s="1" t="str">
        <f t="shared" si="31"/>
        <v>TAAe+</v>
      </c>
      <c r="AC274" s="2">
        <f t="shared" si="34"/>
        <v>0</v>
      </c>
      <c r="AD274" s="2">
        <f t="shared" si="32"/>
        <v>8</v>
      </c>
      <c r="AE274" s="2">
        <f t="shared" ca="1" si="33"/>
        <v>-44986.676271643519</v>
      </c>
      <c r="AF274" s="15"/>
    </row>
    <row r="275" spans="3:32">
      <c r="D275" s="1"/>
      <c r="E275" s="1"/>
      <c r="P275" s="11"/>
      <c r="U275" s="11"/>
      <c r="X275" s="13">
        <f t="shared" si="28"/>
        <v>0</v>
      </c>
      <c r="Y275" s="2">
        <f t="shared" ca="1" si="29"/>
        <v>32133</v>
      </c>
      <c r="Z275" s="14">
        <v>1</v>
      </c>
      <c r="AA275" s="1" t="str">
        <f t="shared" ca="1" si="30"/>
        <v>VENCIDO</v>
      </c>
      <c r="AB275" s="1" t="str">
        <f t="shared" si="31"/>
        <v>TAAe+</v>
      </c>
      <c r="AC275" s="2">
        <f t="shared" si="34"/>
        <v>0</v>
      </c>
      <c r="AD275" s="2">
        <f t="shared" si="32"/>
        <v>8</v>
      </c>
      <c r="AE275" s="2">
        <f t="shared" ca="1" si="33"/>
        <v>-44986.676271643519</v>
      </c>
      <c r="AF275" s="15"/>
    </row>
    <row r="276" spans="3:32">
      <c r="D276" s="1"/>
      <c r="E276" s="1"/>
      <c r="P276" s="11"/>
      <c r="U276" s="11"/>
      <c r="X276" s="13">
        <f t="shared" si="28"/>
        <v>0</v>
      </c>
      <c r="Y276" s="2">
        <f t="shared" ca="1" si="29"/>
        <v>32133</v>
      </c>
      <c r="Z276" s="14">
        <v>1</v>
      </c>
      <c r="AA276" s="1" t="str">
        <f t="shared" ca="1" si="30"/>
        <v>VENCIDO</v>
      </c>
      <c r="AB276" s="1" t="str">
        <f t="shared" si="31"/>
        <v>TAAe+</v>
      </c>
      <c r="AC276" s="2">
        <f t="shared" si="34"/>
        <v>0</v>
      </c>
      <c r="AD276" s="2">
        <f t="shared" si="32"/>
        <v>8</v>
      </c>
      <c r="AE276" s="2">
        <f t="shared" ca="1" si="33"/>
        <v>-44986.676271643519</v>
      </c>
      <c r="AF276" s="15"/>
    </row>
    <row r="277" spans="3:32">
      <c r="D277" s="1"/>
      <c r="E277" s="1"/>
      <c r="P277" s="11"/>
      <c r="U277" s="11"/>
      <c r="X277" s="13">
        <f t="shared" si="28"/>
        <v>0</v>
      </c>
      <c r="Y277" s="2">
        <f t="shared" ca="1" si="29"/>
        <v>32133</v>
      </c>
      <c r="Z277" s="14">
        <v>1</v>
      </c>
      <c r="AA277" s="1" t="str">
        <f t="shared" ca="1" si="30"/>
        <v>VENCIDO</v>
      </c>
      <c r="AB277" s="1" t="str">
        <f t="shared" si="31"/>
        <v>TAAe+</v>
      </c>
      <c r="AC277" s="2">
        <f t="shared" si="34"/>
        <v>0</v>
      </c>
      <c r="AD277" s="2">
        <f t="shared" si="32"/>
        <v>8</v>
      </c>
      <c r="AE277" s="2">
        <f t="shared" ca="1" si="33"/>
        <v>-44986.676271643519</v>
      </c>
      <c r="AF277" s="15"/>
    </row>
    <row r="278" spans="3:32">
      <c r="D278" s="1"/>
      <c r="E278" s="1"/>
      <c r="P278" s="11"/>
      <c r="U278" s="11"/>
      <c r="X278" s="13">
        <f t="shared" si="28"/>
        <v>0</v>
      </c>
      <c r="Y278" s="2">
        <f t="shared" ca="1" si="29"/>
        <v>32133</v>
      </c>
      <c r="Z278" s="14">
        <v>1</v>
      </c>
      <c r="AA278" s="1" t="str">
        <f t="shared" ca="1" si="30"/>
        <v>VENCIDO</v>
      </c>
      <c r="AB278" s="1" t="str">
        <f t="shared" si="31"/>
        <v>TAAe+</v>
      </c>
      <c r="AC278" s="2">
        <f t="shared" si="34"/>
        <v>0</v>
      </c>
      <c r="AD278" s="2">
        <f t="shared" si="32"/>
        <v>8</v>
      </c>
      <c r="AE278" s="2">
        <f t="shared" ca="1" si="33"/>
        <v>-44986.676271643519</v>
      </c>
      <c r="AF278" s="15"/>
    </row>
    <row r="279" spans="3:32">
      <c r="D279" s="1"/>
      <c r="E279" s="1"/>
      <c r="P279" s="11"/>
      <c r="U279" s="11"/>
      <c r="X279" s="13">
        <f t="shared" si="28"/>
        <v>0</v>
      </c>
      <c r="Y279" s="2">
        <f t="shared" ca="1" si="29"/>
        <v>32133</v>
      </c>
      <c r="Z279" s="14">
        <v>1</v>
      </c>
      <c r="AA279" s="1" t="str">
        <f t="shared" ca="1" si="30"/>
        <v>VENCIDO</v>
      </c>
      <c r="AB279" s="1" t="str">
        <f t="shared" si="31"/>
        <v>TAAe+</v>
      </c>
      <c r="AC279" s="2">
        <f t="shared" si="34"/>
        <v>0</v>
      </c>
      <c r="AD279" s="2">
        <f t="shared" si="32"/>
        <v>8</v>
      </c>
      <c r="AE279" s="2">
        <f t="shared" ca="1" si="33"/>
        <v>-44986.676271643519</v>
      </c>
      <c r="AF279" s="15"/>
    </row>
    <row r="280" spans="3:32">
      <c r="D280" s="1"/>
      <c r="E280" s="1"/>
      <c r="P280" s="11"/>
      <c r="U280" s="11"/>
      <c r="X280" s="13">
        <f t="shared" si="28"/>
        <v>0</v>
      </c>
      <c r="Y280" s="2">
        <f t="shared" ca="1" si="29"/>
        <v>32133</v>
      </c>
      <c r="Z280" s="14">
        <v>1</v>
      </c>
      <c r="AA280" s="1" t="str">
        <f t="shared" ca="1" si="30"/>
        <v>VENCIDO</v>
      </c>
      <c r="AB280" s="1" t="str">
        <f t="shared" si="31"/>
        <v>TAAe+</v>
      </c>
      <c r="AC280" s="2">
        <f t="shared" si="34"/>
        <v>0</v>
      </c>
      <c r="AD280" s="2">
        <f t="shared" si="32"/>
        <v>8</v>
      </c>
      <c r="AE280" s="2">
        <f t="shared" ca="1" si="33"/>
        <v>-44986.676271643519</v>
      </c>
      <c r="AF280" s="15"/>
    </row>
    <row r="281" spans="3:32">
      <c r="D281" s="1"/>
      <c r="E281" s="1"/>
      <c r="P281" s="11"/>
      <c r="U281" s="11"/>
      <c r="X281" s="13">
        <f t="shared" si="28"/>
        <v>0</v>
      </c>
      <c r="Y281" s="2">
        <f t="shared" ca="1" si="29"/>
        <v>32133</v>
      </c>
      <c r="Z281" s="14">
        <v>1</v>
      </c>
      <c r="AA281" s="1" t="str">
        <f t="shared" ca="1" si="30"/>
        <v>VENCIDO</v>
      </c>
      <c r="AB281" s="1" t="str">
        <f t="shared" si="31"/>
        <v>TAAe+</v>
      </c>
      <c r="AC281" s="2">
        <f t="shared" si="34"/>
        <v>0</v>
      </c>
      <c r="AD281" s="2">
        <f t="shared" si="32"/>
        <v>8</v>
      </c>
      <c r="AE281" s="2">
        <f t="shared" ca="1" si="33"/>
        <v>-44986.676271643519</v>
      </c>
      <c r="AF281" s="15"/>
    </row>
    <row r="282" spans="3:32">
      <c r="D282" s="1"/>
      <c r="E282" s="1"/>
      <c r="P282" s="11"/>
      <c r="U282" s="11"/>
      <c r="X282" s="13">
        <f t="shared" si="28"/>
        <v>0</v>
      </c>
      <c r="Y282" s="2">
        <f t="shared" ca="1" si="29"/>
        <v>32133</v>
      </c>
      <c r="Z282" s="14">
        <v>1</v>
      </c>
      <c r="AA282" s="1" t="str">
        <f t="shared" ca="1" si="30"/>
        <v>VENCIDO</v>
      </c>
      <c r="AB282" s="1" t="str">
        <f t="shared" si="31"/>
        <v>TAAe+</v>
      </c>
      <c r="AC282" s="2">
        <f t="shared" si="34"/>
        <v>0</v>
      </c>
      <c r="AD282" s="2">
        <f t="shared" si="32"/>
        <v>8</v>
      </c>
      <c r="AE282" s="2">
        <f t="shared" ca="1" si="33"/>
        <v>-44986.676271643519</v>
      </c>
      <c r="AF282" s="15"/>
    </row>
    <row r="283" spans="3:32">
      <c r="D283" s="1"/>
      <c r="E283" s="1"/>
      <c r="P283" s="11"/>
      <c r="U283" s="11"/>
      <c r="X283" s="13">
        <f t="shared" si="28"/>
        <v>0</v>
      </c>
      <c r="Y283" s="2">
        <f t="shared" ca="1" si="29"/>
        <v>32133</v>
      </c>
      <c r="Z283" s="14">
        <v>1</v>
      </c>
      <c r="AA283" s="1" t="str">
        <f t="shared" ca="1" si="30"/>
        <v>VENCIDO</v>
      </c>
      <c r="AB283" s="1" t="str">
        <f t="shared" si="31"/>
        <v>TAAe+</v>
      </c>
      <c r="AC283" s="2">
        <f t="shared" si="34"/>
        <v>0</v>
      </c>
      <c r="AD283" s="2">
        <f t="shared" si="32"/>
        <v>8</v>
      </c>
      <c r="AE283" s="2">
        <f t="shared" ca="1" si="33"/>
        <v>-44986.676271643519</v>
      </c>
      <c r="AF283" s="15"/>
    </row>
    <row r="284" spans="3:32">
      <c r="D284" s="1"/>
      <c r="E284" s="1"/>
      <c r="P284" s="11"/>
      <c r="U284" s="11"/>
      <c r="X284" s="13">
        <f t="shared" si="28"/>
        <v>0</v>
      </c>
      <c r="Y284" s="2">
        <f t="shared" ca="1" si="29"/>
        <v>32133</v>
      </c>
      <c r="Z284" s="14">
        <v>1</v>
      </c>
      <c r="AA284" s="1" t="str">
        <f t="shared" ca="1" si="30"/>
        <v>VENCIDO</v>
      </c>
      <c r="AB284" s="1" t="str">
        <f t="shared" si="31"/>
        <v>TAAe+</v>
      </c>
      <c r="AC284" s="2">
        <f t="shared" si="34"/>
        <v>0</v>
      </c>
      <c r="AD284" s="2">
        <f t="shared" si="32"/>
        <v>8</v>
      </c>
      <c r="AE284" s="2">
        <f t="shared" ca="1" si="33"/>
        <v>-44986.676271643519</v>
      </c>
      <c r="AF284" s="15"/>
    </row>
    <row r="285" spans="3:32">
      <c r="D285" s="1"/>
      <c r="E285" s="1"/>
      <c r="P285" s="11"/>
      <c r="U285" s="11"/>
      <c r="X285" s="13">
        <f t="shared" si="28"/>
        <v>0</v>
      </c>
      <c r="Y285" s="2">
        <f t="shared" ca="1" si="29"/>
        <v>32133</v>
      </c>
      <c r="Z285" s="14">
        <v>1</v>
      </c>
      <c r="AA285" s="1" t="str">
        <f t="shared" ca="1" si="30"/>
        <v>VENCIDO</v>
      </c>
      <c r="AB285" s="1" t="str">
        <f t="shared" si="31"/>
        <v>TAAe+</v>
      </c>
      <c r="AC285" s="2">
        <f t="shared" si="34"/>
        <v>0</v>
      </c>
      <c r="AD285" s="2">
        <f t="shared" si="32"/>
        <v>8</v>
      </c>
      <c r="AE285" s="2">
        <f t="shared" ca="1" si="33"/>
        <v>-44986.676271643519</v>
      </c>
      <c r="AF285" s="15"/>
    </row>
    <row r="286" spans="3:32">
      <c r="D286" s="1"/>
      <c r="E286" s="1"/>
      <c r="P286" s="11"/>
      <c r="U286" s="11"/>
      <c r="X286" s="13">
        <f t="shared" si="28"/>
        <v>0</v>
      </c>
      <c r="Y286" s="2">
        <f t="shared" ca="1" si="29"/>
        <v>32133</v>
      </c>
      <c r="Z286" s="14">
        <v>1</v>
      </c>
      <c r="AA286" s="1" t="str">
        <f t="shared" ca="1" si="30"/>
        <v>VENCIDO</v>
      </c>
      <c r="AB286" s="1" t="str">
        <f t="shared" si="31"/>
        <v>TAAe+</v>
      </c>
      <c r="AC286" s="2">
        <f t="shared" si="34"/>
        <v>0</v>
      </c>
      <c r="AD286" s="2">
        <f t="shared" si="32"/>
        <v>8</v>
      </c>
      <c r="AE286" s="2">
        <f t="shared" ca="1" si="33"/>
        <v>-44986.676271643519</v>
      </c>
      <c r="AF286" s="15"/>
    </row>
    <row r="287" spans="3:32">
      <c r="D287" s="1"/>
      <c r="E287" s="1"/>
      <c r="P287" s="11"/>
      <c r="U287" s="11"/>
      <c r="X287" s="13">
        <f t="shared" si="28"/>
        <v>0</v>
      </c>
      <c r="Y287" s="2">
        <f t="shared" ca="1" si="29"/>
        <v>32133</v>
      </c>
      <c r="Z287" s="14">
        <v>1</v>
      </c>
      <c r="AA287" s="1" t="str">
        <f t="shared" ca="1" si="30"/>
        <v>VENCIDO</v>
      </c>
      <c r="AB287" s="1" t="str">
        <f t="shared" si="31"/>
        <v>TAAe+</v>
      </c>
      <c r="AC287" s="2">
        <f t="shared" si="34"/>
        <v>0</v>
      </c>
      <c r="AD287" s="2">
        <f t="shared" si="32"/>
        <v>8</v>
      </c>
      <c r="AE287" s="2">
        <f t="shared" ca="1" si="33"/>
        <v>-44986.676271643519</v>
      </c>
      <c r="AF287" s="15"/>
    </row>
    <row r="288" spans="3:32">
      <c r="D288" s="1"/>
      <c r="E288" s="1"/>
      <c r="P288" s="11"/>
      <c r="U288" s="11"/>
      <c r="X288" s="13">
        <f t="shared" si="28"/>
        <v>0</v>
      </c>
      <c r="Y288" s="2">
        <f t="shared" ca="1" si="29"/>
        <v>32133</v>
      </c>
      <c r="Z288" s="14">
        <v>1</v>
      </c>
      <c r="AA288" s="1" t="str">
        <f t="shared" ca="1" si="30"/>
        <v>VENCIDO</v>
      </c>
      <c r="AB288" s="1" t="str">
        <f t="shared" si="31"/>
        <v>TAAe+</v>
      </c>
      <c r="AC288" s="2">
        <f t="shared" si="34"/>
        <v>0</v>
      </c>
      <c r="AD288" s="2">
        <f t="shared" si="32"/>
        <v>8</v>
      </c>
      <c r="AE288" s="2">
        <f t="shared" ca="1" si="33"/>
        <v>-44986.676271643519</v>
      </c>
      <c r="AF288" s="15"/>
    </row>
    <row r="289" spans="4:32">
      <c r="D289" s="1"/>
      <c r="E289" s="1"/>
      <c r="P289" s="11"/>
      <c r="U289" s="11"/>
      <c r="X289" s="13">
        <f t="shared" si="28"/>
        <v>0</v>
      </c>
      <c r="Y289" s="2">
        <f t="shared" ca="1" si="29"/>
        <v>32133</v>
      </c>
      <c r="Z289" s="14">
        <v>1</v>
      </c>
      <c r="AA289" s="1" t="str">
        <f t="shared" ca="1" si="30"/>
        <v>VENCIDO</v>
      </c>
      <c r="AB289" s="1" t="str">
        <f t="shared" si="31"/>
        <v>TAAe+</v>
      </c>
      <c r="AC289" s="2">
        <f t="shared" si="34"/>
        <v>0</v>
      </c>
      <c r="AD289" s="2">
        <f t="shared" si="32"/>
        <v>8</v>
      </c>
      <c r="AE289" s="2">
        <f t="shared" ca="1" si="33"/>
        <v>-44986.676271643519</v>
      </c>
      <c r="AF289" s="15"/>
    </row>
    <row r="290" spans="4:32">
      <c r="D290" s="1"/>
      <c r="E290" s="1"/>
      <c r="P290" s="11"/>
      <c r="U290" s="11"/>
      <c r="X290" s="13">
        <f t="shared" si="28"/>
        <v>0</v>
      </c>
      <c r="Y290" s="2">
        <f t="shared" ca="1" si="29"/>
        <v>32133</v>
      </c>
      <c r="Z290" s="14">
        <v>1</v>
      </c>
      <c r="AA290" s="1" t="str">
        <f t="shared" ca="1" si="30"/>
        <v>VENCIDO</v>
      </c>
      <c r="AB290" s="1" t="str">
        <f t="shared" si="31"/>
        <v>TAAe+</v>
      </c>
      <c r="AC290" s="2">
        <f t="shared" si="34"/>
        <v>0</v>
      </c>
      <c r="AD290" s="2">
        <f t="shared" si="32"/>
        <v>8</v>
      </c>
      <c r="AE290" s="2">
        <f t="shared" ca="1" si="33"/>
        <v>-44986.676271643519</v>
      </c>
      <c r="AF290" s="15"/>
    </row>
    <row r="291" spans="4:32">
      <c r="D291" s="1"/>
      <c r="E291" s="1"/>
      <c r="P291" s="11"/>
      <c r="U291" s="11"/>
      <c r="X291" s="13">
        <f t="shared" si="28"/>
        <v>0</v>
      </c>
      <c r="Y291" s="2">
        <f t="shared" ca="1" si="29"/>
        <v>32133</v>
      </c>
      <c r="Z291" s="14">
        <v>1</v>
      </c>
      <c r="AA291" s="1" t="str">
        <f t="shared" ca="1" si="30"/>
        <v>VENCIDO</v>
      </c>
      <c r="AB291" s="1" t="str">
        <f t="shared" si="31"/>
        <v>TAAe+</v>
      </c>
      <c r="AC291" s="2">
        <f t="shared" si="34"/>
        <v>0</v>
      </c>
      <c r="AD291" s="2">
        <f t="shared" si="32"/>
        <v>8</v>
      </c>
      <c r="AE291" s="2">
        <f t="shared" ca="1" si="33"/>
        <v>-44986.676271643519</v>
      </c>
      <c r="AF291" s="15"/>
    </row>
    <row r="292" spans="4:32">
      <c r="D292" s="1"/>
      <c r="E292" s="1"/>
      <c r="P292" s="11"/>
      <c r="U292" s="11"/>
      <c r="X292" s="13">
        <f t="shared" si="28"/>
        <v>0</v>
      </c>
      <c r="Y292" s="2">
        <f t="shared" ca="1" si="29"/>
        <v>32133</v>
      </c>
      <c r="Z292" s="14">
        <v>1</v>
      </c>
      <c r="AA292" s="1" t="str">
        <f t="shared" ca="1" si="30"/>
        <v>VENCIDO</v>
      </c>
      <c r="AB292" s="1" t="str">
        <f t="shared" si="31"/>
        <v>TAAe+</v>
      </c>
      <c r="AC292" s="2">
        <f t="shared" si="34"/>
        <v>0</v>
      </c>
      <c r="AD292" s="2">
        <f t="shared" si="32"/>
        <v>8</v>
      </c>
      <c r="AE292" s="2">
        <f t="shared" ca="1" si="33"/>
        <v>-44986.676271643519</v>
      </c>
      <c r="AF292" s="15"/>
    </row>
    <row r="293" spans="4:32">
      <c r="D293" s="1"/>
      <c r="E293" s="1"/>
      <c r="P293" s="11"/>
      <c r="U293" s="11"/>
      <c r="X293" s="13">
        <f t="shared" si="28"/>
        <v>0</v>
      </c>
      <c r="Y293" s="2">
        <f t="shared" ca="1" si="29"/>
        <v>32133</v>
      </c>
      <c r="Z293" s="14">
        <v>1</v>
      </c>
      <c r="AA293" s="1" t="str">
        <f t="shared" ca="1" si="30"/>
        <v>VENCIDO</v>
      </c>
      <c r="AB293" s="1" t="str">
        <f t="shared" si="31"/>
        <v>TAAe+</v>
      </c>
      <c r="AC293" s="2">
        <f t="shared" si="34"/>
        <v>0</v>
      </c>
      <c r="AD293" s="2">
        <f t="shared" si="32"/>
        <v>8</v>
      </c>
      <c r="AE293" s="2">
        <f t="shared" ca="1" si="33"/>
        <v>-44986.676271643519</v>
      </c>
      <c r="AF293" s="15"/>
    </row>
    <row r="294" spans="4:32">
      <c r="D294" s="1"/>
      <c r="E294" s="1"/>
      <c r="P294" s="11"/>
      <c r="U294" s="11"/>
      <c r="X294" s="13">
        <f t="shared" si="28"/>
        <v>0</v>
      </c>
      <c r="Y294" s="2">
        <f t="shared" ca="1" si="29"/>
        <v>32133</v>
      </c>
      <c r="Z294" s="14">
        <v>1</v>
      </c>
      <c r="AA294" s="1" t="str">
        <f t="shared" ca="1" si="30"/>
        <v>VENCIDO</v>
      </c>
      <c r="AB294" s="1" t="str">
        <f t="shared" si="31"/>
        <v>TAAe+</v>
      </c>
      <c r="AC294" s="2">
        <f t="shared" si="34"/>
        <v>0</v>
      </c>
      <c r="AD294" s="2">
        <f t="shared" si="32"/>
        <v>8</v>
      </c>
      <c r="AE294" s="2">
        <f t="shared" ca="1" si="33"/>
        <v>-44986.676271643519</v>
      </c>
      <c r="AF294" s="15"/>
    </row>
    <row r="295" spans="4:32">
      <c r="D295" s="1"/>
      <c r="E295" s="1"/>
      <c r="P295" s="11"/>
      <c r="U295" s="11"/>
      <c r="X295" s="13">
        <f t="shared" si="28"/>
        <v>0</v>
      </c>
      <c r="Y295" s="2">
        <f t="shared" ca="1" si="29"/>
        <v>32133</v>
      </c>
      <c r="Z295" s="14">
        <v>1</v>
      </c>
      <c r="AA295" s="1" t="str">
        <f t="shared" ca="1" si="30"/>
        <v>VENCIDO</v>
      </c>
      <c r="AB295" s="1" t="str">
        <f t="shared" si="31"/>
        <v>TAAe+</v>
      </c>
      <c r="AC295" s="2">
        <f t="shared" si="34"/>
        <v>0</v>
      </c>
      <c r="AD295" s="2">
        <f t="shared" si="32"/>
        <v>8</v>
      </c>
      <c r="AE295" s="2">
        <f t="shared" ca="1" si="33"/>
        <v>-44986.676271643519</v>
      </c>
      <c r="AF295" s="15"/>
    </row>
    <row r="296" spans="4:32">
      <c r="D296" s="1"/>
      <c r="E296" s="1"/>
      <c r="P296" s="11"/>
      <c r="U296" s="11"/>
      <c r="X296" s="13">
        <f t="shared" si="28"/>
        <v>0</v>
      </c>
      <c r="Y296" s="2">
        <f t="shared" ca="1" si="29"/>
        <v>32133</v>
      </c>
      <c r="Z296" s="14">
        <v>1</v>
      </c>
      <c r="AA296" s="1" t="str">
        <f t="shared" ca="1" si="30"/>
        <v>VENCIDO</v>
      </c>
      <c r="AB296" s="1" t="str">
        <f t="shared" si="31"/>
        <v>TAAe+</v>
      </c>
      <c r="AC296" s="2">
        <f t="shared" si="34"/>
        <v>0</v>
      </c>
      <c r="AD296" s="2">
        <f t="shared" si="32"/>
        <v>8</v>
      </c>
      <c r="AE296" s="2">
        <f t="shared" ca="1" si="33"/>
        <v>-44986.676271643519</v>
      </c>
      <c r="AF296" s="15"/>
    </row>
    <row r="297" spans="4:32">
      <c r="D297" s="1"/>
      <c r="E297" s="1"/>
      <c r="P297" s="11"/>
      <c r="U297" s="11"/>
      <c r="X297" s="13">
        <f t="shared" si="28"/>
        <v>0</v>
      </c>
      <c r="Y297" s="2">
        <f t="shared" ca="1" si="29"/>
        <v>32133</v>
      </c>
      <c r="Z297" s="14">
        <v>1</v>
      </c>
      <c r="AA297" s="1" t="str">
        <f t="shared" ca="1" si="30"/>
        <v>VENCIDO</v>
      </c>
      <c r="AB297" s="1" t="str">
        <f t="shared" si="31"/>
        <v>TAAe+</v>
      </c>
      <c r="AC297" s="2">
        <f t="shared" si="34"/>
        <v>0</v>
      </c>
      <c r="AD297" s="2">
        <f t="shared" si="32"/>
        <v>8</v>
      </c>
      <c r="AE297" s="2">
        <f t="shared" ca="1" si="33"/>
        <v>-44986.676271643519</v>
      </c>
      <c r="AF297" s="15"/>
    </row>
    <row r="298" spans="4:32">
      <c r="D298" s="1"/>
      <c r="E298" s="1"/>
      <c r="P298" s="11"/>
      <c r="U298" s="11"/>
      <c r="X298" s="13">
        <f t="shared" si="28"/>
        <v>0</v>
      </c>
      <c r="Y298" s="2">
        <f t="shared" ca="1" si="29"/>
        <v>32133</v>
      </c>
      <c r="Z298" s="14">
        <v>1</v>
      </c>
      <c r="AA298" s="1" t="str">
        <f t="shared" ca="1" si="30"/>
        <v>VENCIDO</v>
      </c>
      <c r="AB298" s="1" t="str">
        <f t="shared" si="31"/>
        <v>TAAe+</v>
      </c>
      <c r="AC298" s="2">
        <f t="shared" si="34"/>
        <v>0</v>
      </c>
      <c r="AD298" s="2">
        <f t="shared" si="32"/>
        <v>8</v>
      </c>
      <c r="AE298" s="2">
        <f t="shared" ca="1" si="33"/>
        <v>-44986.676271643519</v>
      </c>
      <c r="AF298" s="15"/>
    </row>
    <row r="299" spans="4:32">
      <c r="D299" s="1"/>
      <c r="E299" s="1"/>
      <c r="P299" s="11"/>
      <c r="U299" s="11"/>
      <c r="X299" s="13">
        <f t="shared" si="28"/>
        <v>0</v>
      </c>
      <c r="Y299" s="2">
        <f t="shared" ca="1" si="29"/>
        <v>32133</v>
      </c>
      <c r="Z299" s="14">
        <v>1</v>
      </c>
      <c r="AA299" s="1" t="str">
        <f t="shared" ca="1" si="30"/>
        <v>VENCIDO</v>
      </c>
      <c r="AB299" s="1" t="str">
        <f t="shared" si="31"/>
        <v>TAAe+</v>
      </c>
      <c r="AC299" s="2">
        <f t="shared" si="34"/>
        <v>0</v>
      </c>
      <c r="AD299" s="2">
        <f t="shared" si="32"/>
        <v>8</v>
      </c>
      <c r="AE299" s="2">
        <f t="shared" ca="1" si="33"/>
        <v>-44986.676271643519</v>
      </c>
      <c r="AF299" s="15"/>
    </row>
    <row r="300" spans="4:32">
      <c r="D300" s="1"/>
      <c r="E300" s="1"/>
      <c r="P300" s="11"/>
      <c r="U300" s="11"/>
      <c r="X300" s="13">
        <f t="shared" si="28"/>
        <v>0</v>
      </c>
      <c r="Y300" s="2">
        <f t="shared" ca="1" si="29"/>
        <v>32133</v>
      </c>
      <c r="Z300" s="14">
        <v>1</v>
      </c>
      <c r="AA300" s="1" t="str">
        <f t="shared" ca="1" si="30"/>
        <v>VENCIDO</v>
      </c>
      <c r="AB300" s="1" t="str">
        <f t="shared" si="31"/>
        <v>TAAe+</v>
      </c>
      <c r="AC300" s="2">
        <f t="shared" si="34"/>
        <v>0</v>
      </c>
      <c r="AD300" s="2">
        <f t="shared" si="32"/>
        <v>8</v>
      </c>
      <c r="AE300" s="2">
        <f t="shared" ca="1" si="33"/>
        <v>-44986.676271643519</v>
      </c>
      <c r="AF300" s="15"/>
    </row>
    <row r="301" spans="4:32">
      <c r="D301" s="1"/>
      <c r="E301" s="1"/>
      <c r="P301" s="11"/>
      <c r="U301" s="11"/>
      <c r="X301" s="13">
        <f t="shared" si="28"/>
        <v>0</v>
      </c>
      <c r="Y301" s="2">
        <f t="shared" ca="1" si="29"/>
        <v>32133</v>
      </c>
      <c r="Z301" s="14">
        <v>1</v>
      </c>
      <c r="AA301" s="1" t="str">
        <f t="shared" ca="1" si="30"/>
        <v>VENCIDO</v>
      </c>
      <c r="AB301" s="1" t="str">
        <f t="shared" si="31"/>
        <v>TAAe+</v>
      </c>
      <c r="AC301" s="2">
        <f t="shared" si="34"/>
        <v>0</v>
      </c>
      <c r="AD301" s="2">
        <f t="shared" si="32"/>
        <v>8</v>
      </c>
      <c r="AE301" s="2">
        <f t="shared" ca="1" si="33"/>
        <v>-44986.676271643519</v>
      </c>
      <c r="AF301" s="15"/>
    </row>
    <row r="302" spans="4:32">
      <c r="D302" s="1"/>
      <c r="E302" s="1"/>
      <c r="P302" s="11"/>
      <c r="U302" s="11"/>
      <c r="X302" s="13">
        <f t="shared" si="28"/>
        <v>0</v>
      </c>
      <c r="Y302" s="2">
        <f t="shared" ca="1" si="29"/>
        <v>32133</v>
      </c>
      <c r="Z302" s="14">
        <v>1</v>
      </c>
      <c r="AA302" s="1" t="str">
        <f t="shared" ca="1" si="30"/>
        <v>VENCIDO</v>
      </c>
      <c r="AB302" s="1" t="str">
        <f t="shared" si="31"/>
        <v>TAAe+</v>
      </c>
      <c r="AC302" s="2">
        <f t="shared" si="34"/>
        <v>0</v>
      </c>
      <c r="AD302" s="2">
        <f t="shared" si="32"/>
        <v>8</v>
      </c>
      <c r="AE302" s="2">
        <f t="shared" ca="1" si="33"/>
        <v>-44986.676271643519</v>
      </c>
      <c r="AF302" s="15"/>
    </row>
    <row r="303" spans="4:32">
      <c r="D303" s="1"/>
      <c r="E303" s="1"/>
      <c r="P303" s="11"/>
      <c r="U303" s="11"/>
      <c r="X303" s="13">
        <f t="shared" si="28"/>
        <v>0</v>
      </c>
      <c r="Y303" s="2">
        <f t="shared" ca="1" si="29"/>
        <v>32133</v>
      </c>
      <c r="Z303" s="14">
        <v>1</v>
      </c>
      <c r="AA303" s="1" t="str">
        <f t="shared" ca="1" si="30"/>
        <v>VENCIDO</v>
      </c>
      <c r="AB303" s="1" t="str">
        <f t="shared" si="31"/>
        <v>TAAe+</v>
      </c>
      <c r="AC303" s="2">
        <f t="shared" si="34"/>
        <v>0</v>
      </c>
      <c r="AD303" s="2">
        <f t="shared" si="32"/>
        <v>8</v>
      </c>
      <c r="AE303" s="2">
        <f t="shared" ca="1" si="33"/>
        <v>-44986.676271643519</v>
      </c>
      <c r="AF303" s="15"/>
    </row>
    <row r="304" spans="4:32">
      <c r="D304" s="1"/>
      <c r="E304" s="1"/>
      <c r="P304" s="11"/>
      <c r="U304" s="11"/>
      <c r="X304" s="13">
        <f t="shared" si="28"/>
        <v>0</v>
      </c>
      <c r="Y304" s="2">
        <f t="shared" ca="1" si="29"/>
        <v>32133</v>
      </c>
      <c r="Z304" s="14">
        <v>1</v>
      </c>
      <c r="AA304" s="1" t="str">
        <f t="shared" ca="1" si="30"/>
        <v>VENCIDO</v>
      </c>
      <c r="AB304" s="1" t="str">
        <f t="shared" si="31"/>
        <v>TAAe+</v>
      </c>
      <c r="AC304" s="2">
        <f t="shared" si="34"/>
        <v>0</v>
      </c>
      <c r="AD304" s="2">
        <f t="shared" si="32"/>
        <v>8</v>
      </c>
      <c r="AE304" s="2">
        <f t="shared" ca="1" si="33"/>
        <v>-44986.676271643519</v>
      </c>
      <c r="AF304" s="15"/>
    </row>
    <row r="305" spans="3:32">
      <c r="D305" s="1"/>
      <c r="E305" s="1"/>
      <c r="P305" s="11"/>
      <c r="U305" s="11"/>
      <c r="X305" s="13">
        <f t="shared" si="28"/>
        <v>0</v>
      </c>
      <c r="Y305" s="2">
        <f t="shared" ca="1" si="29"/>
        <v>32133</v>
      </c>
      <c r="Z305" s="14">
        <v>1</v>
      </c>
      <c r="AA305" s="1" t="str">
        <f t="shared" ca="1" si="30"/>
        <v>VENCIDO</v>
      </c>
      <c r="AB305" s="1" t="str">
        <f t="shared" si="31"/>
        <v>TAAe+</v>
      </c>
      <c r="AC305" s="2">
        <f t="shared" si="34"/>
        <v>0</v>
      </c>
      <c r="AD305" s="2">
        <f t="shared" si="32"/>
        <v>8</v>
      </c>
      <c r="AE305" s="2">
        <f t="shared" ca="1" si="33"/>
        <v>-44986.676271643519</v>
      </c>
      <c r="AF305" s="15"/>
    </row>
    <row r="306" spans="3:32">
      <c r="D306" s="1"/>
      <c r="E306" s="1"/>
      <c r="P306" s="11"/>
      <c r="U306" s="11"/>
      <c r="X306" s="13">
        <f t="shared" si="28"/>
        <v>0</v>
      </c>
      <c r="Y306" s="2">
        <f t="shared" ca="1" si="29"/>
        <v>32133</v>
      </c>
      <c r="Z306" s="14">
        <v>1</v>
      </c>
      <c r="AA306" s="1" t="str">
        <f t="shared" ca="1" si="30"/>
        <v>VENCIDO</v>
      </c>
      <c r="AB306" s="1" t="str">
        <f t="shared" si="31"/>
        <v>TAAe+</v>
      </c>
      <c r="AC306" s="2">
        <f t="shared" si="34"/>
        <v>0</v>
      </c>
      <c r="AD306" s="2">
        <f t="shared" si="32"/>
        <v>8</v>
      </c>
      <c r="AE306" s="2">
        <f t="shared" ca="1" si="33"/>
        <v>-44986.676271643519</v>
      </c>
      <c r="AF306" s="15"/>
    </row>
    <row r="307" spans="3:32">
      <c r="D307" s="1"/>
      <c r="E307" s="1"/>
      <c r="P307" s="11"/>
      <c r="U307" s="11"/>
      <c r="X307" s="13">
        <f t="shared" si="28"/>
        <v>0</v>
      </c>
      <c r="Y307" s="2">
        <f t="shared" ca="1" si="29"/>
        <v>32133</v>
      </c>
      <c r="Z307" s="14">
        <v>1</v>
      </c>
      <c r="AA307" s="1" t="str">
        <f t="shared" ca="1" si="30"/>
        <v>VENCIDO</v>
      </c>
      <c r="AB307" s="1" t="str">
        <f t="shared" si="31"/>
        <v>TAAe+</v>
      </c>
      <c r="AC307" s="2">
        <f t="shared" si="34"/>
        <v>0</v>
      </c>
      <c r="AD307" s="2">
        <f t="shared" si="32"/>
        <v>8</v>
      </c>
      <c r="AE307" s="2">
        <f t="shared" ca="1" si="33"/>
        <v>-44986.676271643519</v>
      </c>
      <c r="AF307" s="15"/>
    </row>
    <row r="308" spans="3:32">
      <c r="D308" s="1"/>
      <c r="E308" s="1"/>
      <c r="P308" s="11"/>
      <c r="U308" s="11"/>
      <c r="X308" s="13">
        <f t="shared" si="28"/>
        <v>0</v>
      </c>
      <c r="Y308" s="2">
        <f t="shared" ca="1" si="29"/>
        <v>32133</v>
      </c>
      <c r="Z308" s="14">
        <v>1</v>
      </c>
      <c r="AA308" s="1" t="str">
        <f t="shared" ca="1" si="30"/>
        <v>VENCIDO</v>
      </c>
      <c r="AB308" s="1" t="str">
        <f t="shared" si="31"/>
        <v>TAAe+</v>
      </c>
      <c r="AC308" s="2">
        <f t="shared" si="34"/>
        <v>0</v>
      </c>
      <c r="AD308" s="2">
        <f t="shared" si="32"/>
        <v>8</v>
      </c>
      <c r="AE308" s="2">
        <f t="shared" ca="1" si="33"/>
        <v>-44986.676271643519</v>
      </c>
      <c r="AF308" s="15"/>
    </row>
    <row r="309" spans="3:32">
      <c r="D309" s="1"/>
      <c r="E309" s="1"/>
      <c r="P309" s="11"/>
      <c r="U309" s="11"/>
      <c r="X309" s="13">
        <f t="shared" si="28"/>
        <v>0</v>
      </c>
      <c r="Y309" s="2">
        <f t="shared" ca="1" si="29"/>
        <v>32133</v>
      </c>
      <c r="Z309" s="14">
        <v>1</v>
      </c>
      <c r="AA309" s="1" t="str">
        <f t="shared" ca="1" si="30"/>
        <v>VENCIDO</v>
      </c>
      <c r="AB309" s="1" t="str">
        <f t="shared" si="31"/>
        <v>TAAe+</v>
      </c>
      <c r="AC309" s="2">
        <f t="shared" si="34"/>
        <v>0</v>
      </c>
      <c r="AD309" s="2">
        <f t="shared" si="32"/>
        <v>8</v>
      </c>
      <c r="AE309" s="2">
        <f t="shared" ca="1" si="33"/>
        <v>-44986.676271643519</v>
      </c>
      <c r="AF309" s="15"/>
    </row>
    <row r="310" spans="3:32">
      <c r="D310" s="1"/>
      <c r="E310" s="1"/>
      <c r="P310" s="11"/>
      <c r="U310" s="11"/>
      <c r="X310" s="13">
        <f t="shared" si="28"/>
        <v>0</v>
      </c>
      <c r="Y310" s="2">
        <f t="shared" ca="1" si="29"/>
        <v>32133</v>
      </c>
      <c r="Z310" s="14">
        <v>1</v>
      </c>
      <c r="AA310" s="1" t="str">
        <f t="shared" ca="1" si="30"/>
        <v>VENCIDO</v>
      </c>
      <c r="AB310" s="1" t="str">
        <f t="shared" si="31"/>
        <v>TAAe+</v>
      </c>
      <c r="AC310" s="2">
        <f t="shared" si="34"/>
        <v>0</v>
      </c>
      <c r="AD310" s="2">
        <f t="shared" si="32"/>
        <v>8</v>
      </c>
      <c r="AE310" s="2">
        <f t="shared" ca="1" si="33"/>
        <v>-44986.676271643519</v>
      </c>
      <c r="AF310" s="15"/>
    </row>
    <row r="311" spans="3:32">
      <c r="D311" s="1"/>
      <c r="E311" s="1"/>
      <c r="P311" s="11"/>
      <c r="U311" s="11"/>
      <c r="X311" s="13">
        <f t="shared" si="28"/>
        <v>0</v>
      </c>
      <c r="Y311" s="2">
        <f t="shared" ca="1" si="29"/>
        <v>32133</v>
      </c>
      <c r="Z311" s="14">
        <v>1</v>
      </c>
      <c r="AA311" s="1" t="str">
        <f t="shared" ca="1" si="30"/>
        <v>VENCIDO</v>
      </c>
      <c r="AB311" s="1" t="str">
        <f t="shared" si="31"/>
        <v>TAAe+</v>
      </c>
      <c r="AC311" s="2">
        <f t="shared" si="34"/>
        <v>0</v>
      </c>
      <c r="AD311" s="2">
        <f t="shared" si="32"/>
        <v>8</v>
      </c>
      <c r="AE311" s="2">
        <f t="shared" ca="1" si="33"/>
        <v>-44986.676271643519</v>
      </c>
      <c r="AF311" s="15"/>
    </row>
    <row r="312" spans="3:32">
      <c r="D312" s="1"/>
      <c r="E312" s="1"/>
      <c r="P312" s="11"/>
      <c r="U312" s="11"/>
      <c r="X312" s="13">
        <f t="shared" si="28"/>
        <v>0</v>
      </c>
      <c r="Y312" s="2">
        <f t="shared" ca="1" si="29"/>
        <v>32133</v>
      </c>
      <c r="Z312" s="14">
        <v>1</v>
      </c>
      <c r="AA312" s="1" t="str">
        <f t="shared" ca="1" si="30"/>
        <v>VENCIDO</v>
      </c>
      <c r="AB312" s="1" t="str">
        <f t="shared" si="31"/>
        <v>TAAe+</v>
      </c>
      <c r="AC312" s="2">
        <f t="shared" si="34"/>
        <v>0</v>
      </c>
      <c r="AD312" s="2">
        <f t="shared" si="32"/>
        <v>8</v>
      </c>
      <c r="AE312" s="2">
        <f t="shared" ca="1" si="33"/>
        <v>-44986.676271643519</v>
      </c>
      <c r="AF312" s="15"/>
    </row>
    <row r="313" spans="3:32">
      <c r="C313" s="23"/>
      <c r="D313" s="1"/>
      <c r="E313" s="1"/>
      <c r="P313" s="11"/>
      <c r="U313" s="11"/>
      <c r="X313" s="13">
        <f t="shared" si="28"/>
        <v>0</v>
      </c>
      <c r="Y313" s="2">
        <f t="shared" ca="1" si="29"/>
        <v>32133</v>
      </c>
      <c r="Z313" s="14">
        <v>1</v>
      </c>
      <c r="AA313" s="1" t="str">
        <f t="shared" ca="1" si="30"/>
        <v>VENCIDO</v>
      </c>
      <c r="AB313" s="1" t="str">
        <f t="shared" si="31"/>
        <v>TAAe+</v>
      </c>
      <c r="AC313" s="2">
        <f t="shared" si="34"/>
        <v>0</v>
      </c>
      <c r="AD313" s="2">
        <f t="shared" si="32"/>
        <v>8</v>
      </c>
      <c r="AE313" s="2">
        <f t="shared" ca="1" si="33"/>
        <v>-44986.676271643519</v>
      </c>
      <c r="AF313" s="15"/>
    </row>
    <row r="314" spans="3:32">
      <c r="C314" s="23"/>
      <c r="D314" s="1"/>
      <c r="E314" s="1"/>
      <c r="P314" s="11"/>
      <c r="U314" s="11"/>
      <c r="X314" s="13">
        <f t="shared" si="28"/>
        <v>0</v>
      </c>
      <c r="Y314" s="2">
        <f t="shared" ca="1" si="29"/>
        <v>32133</v>
      </c>
      <c r="Z314" s="14">
        <v>1</v>
      </c>
      <c r="AA314" s="1" t="str">
        <f t="shared" ca="1" si="30"/>
        <v>VENCIDO</v>
      </c>
      <c r="AB314" s="1" t="str">
        <f t="shared" si="31"/>
        <v>TAAe+</v>
      </c>
      <c r="AC314" s="2">
        <f t="shared" si="34"/>
        <v>0</v>
      </c>
      <c r="AD314" s="2">
        <f t="shared" si="32"/>
        <v>8</v>
      </c>
      <c r="AE314" s="2">
        <f t="shared" ca="1" si="33"/>
        <v>-44986.676271643519</v>
      </c>
      <c r="AF314" s="15"/>
    </row>
    <row r="315" spans="3:32">
      <c r="D315" s="1"/>
      <c r="E315" s="1"/>
      <c r="P315" s="11"/>
      <c r="X315" s="13">
        <f t="shared" si="28"/>
        <v>0</v>
      </c>
      <c r="Y315" s="2">
        <f t="shared" ca="1" si="29"/>
        <v>32133</v>
      </c>
      <c r="Z315" s="14">
        <v>1</v>
      </c>
      <c r="AA315" s="1" t="str">
        <f t="shared" ca="1" si="30"/>
        <v>VENCIDO</v>
      </c>
      <c r="AB315" s="1" t="str">
        <f t="shared" si="31"/>
        <v>TAAe+</v>
      </c>
      <c r="AC315" s="2">
        <f t="shared" si="34"/>
        <v>0</v>
      </c>
      <c r="AD315" s="2">
        <f t="shared" si="32"/>
        <v>8</v>
      </c>
      <c r="AE315" s="2">
        <f t="shared" ca="1" si="33"/>
        <v>-44986.676271643519</v>
      </c>
      <c r="AF315" s="15"/>
    </row>
    <row r="316" spans="3:32">
      <c r="D316" s="1"/>
      <c r="E316" s="1"/>
      <c r="P316" s="11"/>
      <c r="X316" s="13">
        <f t="shared" si="28"/>
        <v>0</v>
      </c>
      <c r="Y316" s="2">
        <f t="shared" ca="1" si="29"/>
        <v>32133</v>
      </c>
      <c r="Z316" s="14">
        <v>1</v>
      </c>
      <c r="AA316" s="1" t="str">
        <f t="shared" ca="1" si="30"/>
        <v>VENCIDO</v>
      </c>
      <c r="AB316" s="1" t="str">
        <f t="shared" si="31"/>
        <v>TAAe+</v>
      </c>
      <c r="AC316" s="2">
        <f t="shared" si="34"/>
        <v>0</v>
      </c>
      <c r="AD316" s="2">
        <f t="shared" si="32"/>
        <v>8</v>
      </c>
      <c r="AE316" s="2">
        <f t="shared" ca="1" si="33"/>
        <v>-44986.676271643519</v>
      </c>
      <c r="AF316" s="15"/>
    </row>
    <row r="317" spans="3:32">
      <c r="D317" s="1"/>
      <c r="E317" s="1"/>
      <c r="P317" s="11"/>
      <c r="X317" s="13">
        <f t="shared" si="28"/>
        <v>0</v>
      </c>
      <c r="Y317" s="2">
        <f t="shared" ca="1" si="29"/>
        <v>32133</v>
      </c>
      <c r="Z317" s="14">
        <v>1</v>
      </c>
      <c r="AA317" s="1" t="str">
        <f t="shared" ca="1" si="30"/>
        <v>VENCIDO</v>
      </c>
      <c r="AB317" s="1" t="str">
        <f t="shared" si="31"/>
        <v>TAAe+</v>
      </c>
      <c r="AC317" s="2">
        <f t="shared" si="34"/>
        <v>0</v>
      </c>
      <c r="AD317" s="2">
        <f t="shared" si="32"/>
        <v>8</v>
      </c>
      <c r="AE317" s="2">
        <f t="shared" ca="1" si="33"/>
        <v>-44986.676271643519</v>
      </c>
      <c r="AF317" s="15"/>
    </row>
    <row r="318" spans="3:32">
      <c r="D318" s="1"/>
      <c r="E318" s="1"/>
      <c r="P318" s="11"/>
      <c r="X318" s="13">
        <f t="shared" si="28"/>
        <v>0</v>
      </c>
      <c r="Y318" s="2">
        <f t="shared" ca="1" si="29"/>
        <v>32133</v>
      </c>
      <c r="Z318" s="14">
        <v>1</v>
      </c>
      <c r="AA318" s="1" t="str">
        <f t="shared" ca="1" si="30"/>
        <v>VENCIDO</v>
      </c>
      <c r="AB318" s="1" t="str">
        <f t="shared" si="31"/>
        <v>TAAe+</v>
      </c>
      <c r="AC318" s="2">
        <f t="shared" si="34"/>
        <v>0</v>
      </c>
      <c r="AD318" s="2">
        <f t="shared" si="32"/>
        <v>8</v>
      </c>
      <c r="AE318" s="2">
        <f t="shared" ca="1" si="33"/>
        <v>-44986.676271643519</v>
      </c>
      <c r="AF318" s="15"/>
    </row>
    <row r="319" spans="3:32">
      <c r="D319" s="1"/>
      <c r="E319" s="1"/>
      <c r="P319" s="11"/>
      <c r="X319" s="13">
        <f t="shared" si="28"/>
        <v>0</v>
      </c>
      <c r="Y319" s="2">
        <f t="shared" ca="1" si="29"/>
        <v>32133</v>
      </c>
      <c r="Z319" s="14">
        <v>1</v>
      </c>
      <c r="AA319" s="1" t="str">
        <f t="shared" ca="1" si="30"/>
        <v>VENCIDO</v>
      </c>
      <c r="AB319" s="1" t="str">
        <f t="shared" si="31"/>
        <v>TAAe+</v>
      </c>
      <c r="AC319" s="2">
        <f t="shared" si="34"/>
        <v>0</v>
      </c>
      <c r="AD319" s="2">
        <f t="shared" si="32"/>
        <v>8</v>
      </c>
      <c r="AE319" s="2">
        <f t="shared" ca="1" si="33"/>
        <v>-44986.676271643519</v>
      </c>
      <c r="AF319" s="15"/>
    </row>
    <row r="320" spans="3:32">
      <c r="D320" s="1"/>
      <c r="E320" s="1"/>
      <c r="P320" s="11"/>
      <c r="X320" s="13">
        <f t="shared" si="28"/>
        <v>0</v>
      </c>
      <c r="Y320" s="2">
        <f t="shared" ca="1" si="29"/>
        <v>32133</v>
      </c>
      <c r="Z320" s="14">
        <v>1</v>
      </c>
      <c r="AA320" s="1" t="str">
        <f t="shared" ca="1" si="30"/>
        <v>VENCIDO</v>
      </c>
      <c r="AB320" s="1" t="str">
        <f t="shared" si="31"/>
        <v>TAAe+</v>
      </c>
      <c r="AC320" s="2">
        <f t="shared" si="34"/>
        <v>0</v>
      </c>
      <c r="AD320" s="2">
        <f t="shared" si="32"/>
        <v>8</v>
      </c>
      <c r="AE320" s="2">
        <f t="shared" ca="1" si="33"/>
        <v>-44986.676271643519</v>
      </c>
      <c r="AF320" s="15"/>
    </row>
    <row r="321" spans="3:32">
      <c r="D321" s="1"/>
      <c r="E321" s="1"/>
      <c r="P321" s="11"/>
      <c r="X321" s="13">
        <f t="shared" si="28"/>
        <v>0</v>
      </c>
      <c r="Y321" s="2">
        <f t="shared" ca="1" si="29"/>
        <v>32133</v>
      </c>
      <c r="Z321" s="14">
        <v>1</v>
      </c>
      <c r="AA321" s="1" t="str">
        <f t="shared" ca="1" si="30"/>
        <v>VENCIDO</v>
      </c>
      <c r="AB321" s="1" t="str">
        <f t="shared" si="31"/>
        <v>TAAe+</v>
      </c>
      <c r="AC321" s="2">
        <f t="shared" si="34"/>
        <v>0</v>
      </c>
      <c r="AD321" s="2">
        <f t="shared" si="32"/>
        <v>8</v>
      </c>
      <c r="AE321" s="2">
        <f t="shared" ca="1" si="33"/>
        <v>-44986.676271643519</v>
      </c>
      <c r="AF321" s="15"/>
    </row>
    <row r="322" spans="3:32">
      <c r="D322" s="1"/>
      <c r="E322" s="1"/>
      <c r="P322" s="11"/>
      <c r="X322" s="13">
        <f t="shared" ref="X322:X385" si="35">IF(RIGHT(H322,2)&lt;&gt;"00",H322,"")</f>
        <v>0</v>
      </c>
      <c r="Y322" s="2">
        <f t="shared" ref="Y322:Y385" ca="1" si="36">NETWORKDAYS(P322,$Y$1)</f>
        <v>32133</v>
      </c>
      <c r="Z322" s="14">
        <v>1</v>
      </c>
      <c r="AA322" s="1" t="str">
        <f t="shared" ref="AA322:AA385" ca="1" si="37">IF(AE322=0,"HOJE",IF(AE322&gt;0,"A VENCER",IF(AE322&lt;0,"VENCIDO")))</f>
        <v>VENCIDO</v>
      </c>
      <c r="AB322" s="1" t="str">
        <f t="shared" ref="AB322:AB385" si="38">IF(F322="GRPE-000001","C-14",IF(F322="GRPE-000002","C-14",IF(F322="GRPE-000003","C-14",IF(F322="GRPE-000004","SL-On",IF(F322="GRPE-000038","C-14",IF(F322="GRPE-900022","Dosa",IF(F322="GRPE-000029","Dosa",IF(F322="ATOS-000222","Dose","TAAe+"))))))))</f>
        <v>TAAe+</v>
      </c>
      <c r="AC322" s="2">
        <f t="shared" si="34"/>
        <v>0</v>
      </c>
      <c r="AD322" s="2">
        <f t="shared" ref="AD322:AD385" si="39">IF(F322="GRPE-000001",5,IF(F322="GRPE-000002",5,IF(F322="GRPE-000003",15,IF(F322="GRPE-000004",1,IF(F322="GRPE-000038",5,IF(F322="GRPE-900022",5,IF(F322="GRPE-000029",5,IF(F322="ATOS-000222",5,8))))))))</f>
        <v>8</v>
      </c>
      <c r="AE322" s="2">
        <f t="shared" ref="AE322:AE385" ca="1" si="40">IF(U322=$AE$1,"",U322-$AE$1)</f>
        <v>-44986.676271643519</v>
      </c>
      <c r="AF322" s="15"/>
    </row>
    <row r="323" spans="3:32">
      <c r="D323" s="1"/>
      <c r="E323" s="1"/>
      <c r="P323" s="11"/>
      <c r="X323" s="13">
        <f t="shared" si="35"/>
        <v>0</v>
      </c>
      <c r="Y323" s="2">
        <f t="shared" ca="1" si="36"/>
        <v>32133</v>
      </c>
      <c r="Z323" s="14">
        <v>1</v>
      </c>
      <c r="AA323" s="1" t="str">
        <f t="shared" ca="1" si="37"/>
        <v>VENCIDO</v>
      </c>
      <c r="AB323" s="1" t="str">
        <f t="shared" si="38"/>
        <v>TAAe+</v>
      </c>
      <c r="AC323" s="2">
        <f t="shared" ref="AC323:AC386" si="41">IF(J323="TR-PETROLINA"," ROSEMERE ",IF(J323="TR-GARANHUNS"," ROSEMERE ",IF(J323="TR-CARUARU"," ROSEMERE ",IF(J323="TR-RIBEIRAO"," CRISTINA ",IF(J323="TR-GRAVATA"," CRISTINA ",IF(J323="TR-GOIANA"," CRISTINA ",IF(J323="TR-LIMOEIRO"," CRISTINA ",IF(J323="TR-SERRA TALHADA"," RINALDO ",IF(J323="TR-SALGUEIRO"," RINALDO ",IF(J323="TR-CARNAIBA"," RINALDO ",IF(J323="TR-ARCOVERDE"," RINALDO ",IF(J323="CAT-RECIFE"," CLEITON ",))))))))))))</f>
        <v>0</v>
      </c>
      <c r="AD323" s="2">
        <f t="shared" si="39"/>
        <v>8</v>
      </c>
      <c r="AE323" s="2">
        <f t="shared" ca="1" si="40"/>
        <v>-44986.676271643519</v>
      </c>
      <c r="AF323" s="15"/>
    </row>
    <row r="324" spans="3:32">
      <c r="D324" s="1"/>
      <c r="E324" s="1"/>
      <c r="P324" s="11"/>
      <c r="U324" s="11"/>
      <c r="X324" s="13">
        <f t="shared" si="35"/>
        <v>0</v>
      </c>
      <c r="Y324" s="2">
        <f t="shared" ca="1" si="36"/>
        <v>32133</v>
      </c>
      <c r="Z324" s="14">
        <v>1</v>
      </c>
      <c r="AA324" s="1" t="str">
        <f t="shared" ca="1" si="37"/>
        <v>VENCIDO</v>
      </c>
      <c r="AB324" s="1" t="str">
        <f t="shared" si="38"/>
        <v>TAAe+</v>
      </c>
      <c r="AC324" s="2">
        <f t="shared" si="41"/>
        <v>0</v>
      </c>
      <c r="AD324" s="2">
        <f t="shared" si="39"/>
        <v>8</v>
      </c>
      <c r="AE324" s="2">
        <f t="shared" ca="1" si="40"/>
        <v>-44986.676271643519</v>
      </c>
      <c r="AF324" s="15"/>
    </row>
    <row r="325" spans="3:32">
      <c r="D325" s="1"/>
      <c r="E325" s="1"/>
      <c r="P325" s="11"/>
      <c r="X325" s="13">
        <f t="shared" si="35"/>
        <v>0</v>
      </c>
      <c r="Y325" s="2">
        <f t="shared" ca="1" si="36"/>
        <v>32133</v>
      </c>
      <c r="Z325" s="14">
        <v>1</v>
      </c>
      <c r="AA325" s="1" t="str">
        <f t="shared" ca="1" si="37"/>
        <v>VENCIDO</v>
      </c>
      <c r="AB325" s="1" t="str">
        <f t="shared" si="38"/>
        <v>TAAe+</v>
      </c>
      <c r="AC325" s="2">
        <f t="shared" si="41"/>
        <v>0</v>
      </c>
      <c r="AD325" s="2">
        <f t="shared" si="39"/>
        <v>8</v>
      </c>
      <c r="AE325" s="2">
        <f t="shared" ca="1" si="40"/>
        <v>-44986.676271643519</v>
      </c>
      <c r="AF325" s="15"/>
    </row>
    <row r="326" spans="3:32">
      <c r="D326" s="1"/>
      <c r="E326" s="1"/>
      <c r="P326" s="11"/>
      <c r="X326" s="13">
        <f t="shared" si="35"/>
        <v>0</v>
      </c>
      <c r="Y326" s="2">
        <f t="shared" ca="1" si="36"/>
        <v>32133</v>
      </c>
      <c r="Z326" s="14">
        <v>1</v>
      </c>
      <c r="AA326" s="1" t="str">
        <f t="shared" ca="1" si="37"/>
        <v>VENCIDO</v>
      </c>
      <c r="AB326" s="1" t="str">
        <f t="shared" si="38"/>
        <v>TAAe+</v>
      </c>
      <c r="AC326" s="2">
        <f t="shared" si="41"/>
        <v>0</v>
      </c>
      <c r="AD326" s="2">
        <f t="shared" si="39"/>
        <v>8</v>
      </c>
      <c r="AE326" s="2">
        <f t="shared" ca="1" si="40"/>
        <v>-44986.676271643519</v>
      </c>
      <c r="AF326" s="15"/>
    </row>
    <row r="327" spans="3:32">
      <c r="D327" s="1"/>
      <c r="E327" s="1"/>
      <c r="P327" s="11"/>
      <c r="U327" s="11"/>
      <c r="X327" s="13">
        <f t="shared" si="35"/>
        <v>0</v>
      </c>
      <c r="Y327" s="2">
        <f t="shared" ca="1" si="36"/>
        <v>32133</v>
      </c>
      <c r="Z327" s="14">
        <v>1</v>
      </c>
      <c r="AA327" s="1" t="str">
        <f t="shared" ca="1" si="37"/>
        <v>VENCIDO</v>
      </c>
      <c r="AB327" s="1" t="str">
        <f t="shared" si="38"/>
        <v>TAAe+</v>
      </c>
      <c r="AC327" s="2">
        <f t="shared" si="41"/>
        <v>0</v>
      </c>
      <c r="AD327" s="2">
        <f t="shared" si="39"/>
        <v>8</v>
      </c>
      <c r="AE327" s="2">
        <f t="shared" ca="1" si="40"/>
        <v>-44986.676271643519</v>
      </c>
      <c r="AF327" s="15"/>
    </row>
    <row r="328" spans="3:32">
      <c r="D328" s="1"/>
      <c r="E328" s="1"/>
      <c r="P328" s="11"/>
      <c r="U328" s="11"/>
      <c r="X328" s="13">
        <f t="shared" si="35"/>
        <v>0</v>
      </c>
      <c r="Y328" s="2">
        <f t="shared" ca="1" si="36"/>
        <v>32133</v>
      </c>
      <c r="Z328" s="14">
        <v>1</v>
      </c>
      <c r="AA328" s="1" t="str">
        <f t="shared" ca="1" si="37"/>
        <v>VENCIDO</v>
      </c>
      <c r="AB328" s="1" t="str">
        <f t="shared" si="38"/>
        <v>TAAe+</v>
      </c>
      <c r="AC328" s="2">
        <f t="shared" si="41"/>
        <v>0</v>
      </c>
      <c r="AD328" s="2">
        <f t="shared" si="39"/>
        <v>8</v>
      </c>
      <c r="AE328" s="2">
        <f t="shared" ca="1" si="40"/>
        <v>-44986.676271643519</v>
      </c>
      <c r="AF328" s="15"/>
    </row>
    <row r="329" spans="3:32">
      <c r="D329" s="1"/>
      <c r="E329" s="1"/>
      <c r="P329" s="11"/>
      <c r="U329" s="11"/>
      <c r="X329" s="13">
        <f t="shared" si="35"/>
        <v>0</v>
      </c>
      <c r="Y329" s="2">
        <f t="shared" ca="1" si="36"/>
        <v>32133</v>
      </c>
      <c r="Z329" s="14">
        <v>1</v>
      </c>
      <c r="AA329" s="1" t="str">
        <f t="shared" ca="1" si="37"/>
        <v>VENCIDO</v>
      </c>
      <c r="AB329" s="1" t="str">
        <f t="shared" si="38"/>
        <v>TAAe+</v>
      </c>
      <c r="AC329" s="2">
        <f t="shared" si="41"/>
        <v>0</v>
      </c>
      <c r="AD329" s="2">
        <f t="shared" si="39"/>
        <v>8</v>
      </c>
      <c r="AE329" s="2">
        <f t="shared" ca="1" si="40"/>
        <v>-44986.676271643519</v>
      </c>
      <c r="AF329" s="15"/>
    </row>
    <row r="330" spans="3:32">
      <c r="D330" s="1"/>
      <c r="E330" s="1"/>
      <c r="P330" s="11"/>
      <c r="U330" s="11"/>
      <c r="X330" s="13">
        <f t="shared" si="35"/>
        <v>0</v>
      </c>
      <c r="Y330" s="2">
        <f t="shared" ca="1" si="36"/>
        <v>32133</v>
      </c>
      <c r="Z330" s="14">
        <v>1</v>
      </c>
      <c r="AA330" s="1" t="str">
        <f t="shared" ca="1" si="37"/>
        <v>VENCIDO</v>
      </c>
      <c r="AB330" s="1" t="str">
        <f t="shared" si="38"/>
        <v>TAAe+</v>
      </c>
      <c r="AC330" s="2">
        <f t="shared" si="41"/>
        <v>0</v>
      </c>
      <c r="AD330" s="2">
        <f t="shared" si="39"/>
        <v>8</v>
      </c>
      <c r="AE330" s="2">
        <f t="shared" ca="1" si="40"/>
        <v>-44986.676271643519</v>
      </c>
      <c r="AF330" s="15"/>
    </row>
    <row r="331" spans="3:32">
      <c r="D331" s="1"/>
      <c r="E331" s="1"/>
      <c r="P331" s="11"/>
      <c r="U331" s="11"/>
      <c r="X331" s="13">
        <f t="shared" si="35"/>
        <v>0</v>
      </c>
      <c r="Y331" s="2">
        <f t="shared" ca="1" si="36"/>
        <v>32133</v>
      </c>
      <c r="Z331" s="14">
        <v>1</v>
      </c>
      <c r="AA331" s="1" t="str">
        <f t="shared" ca="1" si="37"/>
        <v>VENCIDO</v>
      </c>
      <c r="AB331" s="1" t="str">
        <f t="shared" si="38"/>
        <v>TAAe+</v>
      </c>
      <c r="AC331" s="2">
        <f t="shared" si="41"/>
        <v>0</v>
      </c>
      <c r="AD331" s="2">
        <f t="shared" si="39"/>
        <v>8</v>
      </c>
      <c r="AE331" s="2">
        <f t="shared" ca="1" si="40"/>
        <v>-44986.676271643519</v>
      </c>
      <c r="AF331" s="15"/>
    </row>
    <row r="332" spans="3:32">
      <c r="D332" s="1"/>
      <c r="E332" s="1"/>
      <c r="P332" s="11"/>
      <c r="U332" s="11"/>
      <c r="X332" s="13">
        <f t="shared" si="35"/>
        <v>0</v>
      </c>
      <c r="Y332" s="2">
        <f t="shared" ca="1" si="36"/>
        <v>32133</v>
      </c>
      <c r="Z332" s="14">
        <v>1</v>
      </c>
      <c r="AA332" s="1" t="str">
        <f t="shared" ca="1" si="37"/>
        <v>VENCIDO</v>
      </c>
      <c r="AB332" s="1" t="str">
        <f t="shared" si="38"/>
        <v>TAAe+</v>
      </c>
      <c r="AC332" s="2">
        <f t="shared" si="41"/>
        <v>0</v>
      </c>
      <c r="AD332" s="2">
        <f t="shared" si="39"/>
        <v>8</v>
      </c>
      <c r="AE332" s="2">
        <f t="shared" ca="1" si="40"/>
        <v>-44986.676271643519</v>
      </c>
      <c r="AF332" s="15"/>
    </row>
    <row r="333" spans="3:32">
      <c r="D333" s="1"/>
      <c r="E333" s="1"/>
      <c r="P333" s="11"/>
      <c r="U333" s="11"/>
      <c r="X333" s="13">
        <f t="shared" si="35"/>
        <v>0</v>
      </c>
      <c r="Y333" s="2">
        <f t="shared" ca="1" si="36"/>
        <v>32133</v>
      </c>
      <c r="Z333" s="14">
        <v>1</v>
      </c>
      <c r="AA333" s="1" t="str">
        <f t="shared" ca="1" si="37"/>
        <v>VENCIDO</v>
      </c>
      <c r="AB333" s="1" t="str">
        <f t="shared" si="38"/>
        <v>TAAe+</v>
      </c>
      <c r="AC333" s="2">
        <f t="shared" si="41"/>
        <v>0</v>
      </c>
      <c r="AD333" s="2">
        <f t="shared" si="39"/>
        <v>8</v>
      </c>
      <c r="AE333" s="2">
        <f t="shared" ca="1" si="40"/>
        <v>-44986.676271643519</v>
      </c>
      <c r="AF333" s="15"/>
    </row>
    <row r="334" spans="3:32">
      <c r="C334" s="23"/>
      <c r="D334" s="1"/>
      <c r="E334" s="1"/>
      <c r="P334" s="11"/>
      <c r="U334" s="11"/>
      <c r="X334" s="13">
        <f t="shared" si="35"/>
        <v>0</v>
      </c>
      <c r="Y334" s="2">
        <f t="shared" ca="1" si="36"/>
        <v>32133</v>
      </c>
      <c r="Z334" s="14">
        <v>1</v>
      </c>
      <c r="AA334" s="1" t="str">
        <f t="shared" ca="1" si="37"/>
        <v>VENCIDO</v>
      </c>
      <c r="AB334" s="1" t="str">
        <f t="shared" si="38"/>
        <v>TAAe+</v>
      </c>
      <c r="AC334" s="2">
        <f t="shared" si="41"/>
        <v>0</v>
      </c>
      <c r="AD334" s="2">
        <f t="shared" si="39"/>
        <v>8</v>
      </c>
      <c r="AE334" s="2">
        <f t="shared" ca="1" si="40"/>
        <v>-44986.676271643519</v>
      </c>
      <c r="AF334" s="15"/>
    </row>
    <row r="335" spans="3:32">
      <c r="D335" s="1"/>
      <c r="E335" s="1"/>
      <c r="P335" s="11"/>
      <c r="U335" s="11"/>
      <c r="X335" s="13">
        <f t="shared" si="35"/>
        <v>0</v>
      </c>
      <c r="Y335" s="2">
        <f t="shared" ca="1" si="36"/>
        <v>32133</v>
      </c>
      <c r="Z335" s="14">
        <v>1</v>
      </c>
      <c r="AA335" s="1" t="str">
        <f t="shared" ca="1" si="37"/>
        <v>VENCIDO</v>
      </c>
      <c r="AB335" s="1" t="str">
        <f t="shared" si="38"/>
        <v>TAAe+</v>
      </c>
      <c r="AC335" s="2">
        <f t="shared" si="41"/>
        <v>0</v>
      </c>
      <c r="AD335" s="2">
        <f t="shared" si="39"/>
        <v>8</v>
      </c>
      <c r="AE335" s="2">
        <f t="shared" ca="1" si="40"/>
        <v>-44986.676271643519</v>
      </c>
      <c r="AF335" s="15"/>
    </row>
    <row r="336" spans="3:32">
      <c r="D336" s="1"/>
      <c r="E336" s="1"/>
      <c r="P336" s="11"/>
      <c r="U336" s="11"/>
      <c r="X336" s="13">
        <f t="shared" si="35"/>
        <v>0</v>
      </c>
      <c r="Y336" s="2">
        <f t="shared" ca="1" si="36"/>
        <v>32133</v>
      </c>
      <c r="Z336" s="14">
        <v>1</v>
      </c>
      <c r="AA336" s="1" t="str">
        <f t="shared" ca="1" si="37"/>
        <v>VENCIDO</v>
      </c>
      <c r="AB336" s="1" t="str">
        <f t="shared" si="38"/>
        <v>TAAe+</v>
      </c>
      <c r="AC336" s="2">
        <f t="shared" si="41"/>
        <v>0</v>
      </c>
      <c r="AD336" s="2">
        <f t="shared" si="39"/>
        <v>8</v>
      </c>
      <c r="AE336" s="2">
        <f t="shared" ca="1" si="40"/>
        <v>-44986.676271643519</v>
      </c>
      <c r="AF336" s="15"/>
    </row>
    <row r="337" spans="3:32">
      <c r="D337" s="1"/>
      <c r="E337" s="1"/>
      <c r="P337" s="11"/>
      <c r="U337" s="11"/>
      <c r="X337" s="13">
        <f t="shared" si="35"/>
        <v>0</v>
      </c>
      <c r="Y337" s="2">
        <f t="shared" ca="1" si="36"/>
        <v>32133</v>
      </c>
      <c r="Z337" s="14">
        <v>1</v>
      </c>
      <c r="AA337" s="1" t="str">
        <f t="shared" ca="1" si="37"/>
        <v>VENCIDO</v>
      </c>
      <c r="AB337" s="1" t="str">
        <f t="shared" si="38"/>
        <v>TAAe+</v>
      </c>
      <c r="AC337" s="2">
        <f t="shared" si="41"/>
        <v>0</v>
      </c>
      <c r="AD337" s="2">
        <f t="shared" si="39"/>
        <v>8</v>
      </c>
      <c r="AE337" s="2">
        <f t="shared" ca="1" si="40"/>
        <v>-44986.676271643519</v>
      </c>
      <c r="AF337" s="15"/>
    </row>
    <row r="338" spans="3:32">
      <c r="D338" s="1"/>
      <c r="E338" s="1"/>
      <c r="P338" s="11"/>
      <c r="U338" s="11"/>
      <c r="X338" s="13">
        <f t="shared" si="35"/>
        <v>0</v>
      </c>
      <c r="Y338" s="2">
        <f t="shared" ca="1" si="36"/>
        <v>32133</v>
      </c>
      <c r="Z338" s="14">
        <v>1</v>
      </c>
      <c r="AA338" s="1" t="str">
        <f t="shared" ca="1" si="37"/>
        <v>VENCIDO</v>
      </c>
      <c r="AB338" s="1" t="str">
        <f t="shared" si="38"/>
        <v>TAAe+</v>
      </c>
      <c r="AC338" s="2">
        <f t="shared" si="41"/>
        <v>0</v>
      </c>
      <c r="AD338" s="2">
        <f t="shared" si="39"/>
        <v>8</v>
      </c>
      <c r="AE338" s="2">
        <f t="shared" ca="1" si="40"/>
        <v>-44986.676271643519</v>
      </c>
      <c r="AF338" s="15"/>
    </row>
    <row r="339" spans="3:32">
      <c r="D339" s="1"/>
      <c r="E339" s="1"/>
      <c r="P339" s="11"/>
      <c r="U339" s="11"/>
      <c r="X339" s="13">
        <f t="shared" si="35"/>
        <v>0</v>
      </c>
      <c r="Y339" s="2">
        <f t="shared" ca="1" si="36"/>
        <v>32133</v>
      </c>
      <c r="Z339" s="14">
        <v>1</v>
      </c>
      <c r="AA339" s="1" t="str">
        <f t="shared" ca="1" si="37"/>
        <v>VENCIDO</v>
      </c>
      <c r="AB339" s="1" t="str">
        <f t="shared" si="38"/>
        <v>TAAe+</v>
      </c>
      <c r="AC339" s="2">
        <f t="shared" si="41"/>
        <v>0</v>
      </c>
      <c r="AD339" s="2">
        <f t="shared" si="39"/>
        <v>8</v>
      </c>
      <c r="AE339" s="2">
        <f t="shared" ca="1" si="40"/>
        <v>-44986.676271643519</v>
      </c>
      <c r="AF339" s="15"/>
    </row>
    <row r="340" spans="3:32">
      <c r="D340" s="1"/>
      <c r="E340" s="1"/>
      <c r="P340" s="11"/>
      <c r="U340" s="11"/>
      <c r="X340" s="13">
        <f t="shared" si="35"/>
        <v>0</v>
      </c>
      <c r="Y340" s="2">
        <f t="shared" ca="1" si="36"/>
        <v>32133</v>
      </c>
      <c r="Z340" s="14">
        <v>1</v>
      </c>
      <c r="AA340" s="1" t="str">
        <f t="shared" ca="1" si="37"/>
        <v>VENCIDO</v>
      </c>
      <c r="AB340" s="1" t="str">
        <f t="shared" si="38"/>
        <v>TAAe+</v>
      </c>
      <c r="AC340" s="2">
        <f t="shared" si="41"/>
        <v>0</v>
      </c>
      <c r="AD340" s="2">
        <f t="shared" si="39"/>
        <v>8</v>
      </c>
      <c r="AE340" s="2">
        <f t="shared" ca="1" si="40"/>
        <v>-44986.676271643519</v>
      </c>
      <c r="AF340" s="15"/>
    </row>
    <row r="341" spans="3:32">
      <c r="D341" s="1"/>
      <c r="E341" s="1"/>
      <c r="P341" s="11"/>
      <c r="U341" s="11"/>
      <c r="X341" s="13">
        <f t="shared" si="35"/>
        <v>0</v>
      </c>
      <c r="Y341" s="2">
        <f t="shared" ca="1" si="36"/>
        <v>32133</v>
      </c>
      <c r="Z341" s="14">
        <v>1</v>
      </c>
      <c r="AA341" s="1" t="str">
        <f t="shared" ca="1" si="37"/>
        <v>VENCIDO</v>
      </c>
      <c r="AB341" s="1" t="str">
        <f t="shared" si="38"/>
        <v>TAAe+</v>
      </c>
      <c r="AC341" s="2">
        <f t="shared" si="41"/>
        <v>0</v>
      </c>
      <c r="AD341" s="2">
        <f t="shared" si="39"/>
        <v>8</v>
      </c>
      <c r="AE341" s="2">
        <f t="shared" ca="1" si="40"/>
        <v>-44986.676271643519</v>
      </c>
      <c r="AF341" s="15"/>
    </row>
    <row r="342" spans="3:32">
      <c r="D342" s="1"/>
      <c r="E342" s="1"/>
      <c r="P342" s="11"/>
      <c r="U342" s="11"/>
      <c r="X342" s="13">
        <f t="shared" si="35"/>
        <v>0</v>
      </c>
      <c r="Y342" s="2">
        <f t="shared" ca="1" si="36"/>
        <v>32133</v>
      </c>
      <c r="Z342" s="14">
        <v>1</v>
      </c>
      <c r="AA342" s="1" t="str">
        <f t="shared" ca="1" si="37"/>
        <v>VENCIDO</v>
      </c>
      <c r="AB342" s="1" t="str">
        <f t="shared" si="38"/>
        <v>TAAe+</v>
      </c>
      <c r="AC342" s="2">
        <f t="shared" si="41"/>
        <v>0</v>
      </c>
      <c r="AD342" s="2">
        <f t="shared" si="39"/>
        <v>8</v>
      </c>
      <c r="AE342" s="2">
        <f t="shared" ca="1" si="40"/>
        <v>-44986.676271643519</v>
      </c>
      <c r="AF342" s="15"/>
    </row>
    <row r="343" spans="3:32">
      <c r="D343" s="1"/>
      <c r="E343" s="1"/>
      <c r="P343" s="11"/>
      <c r="U343" s="11"/>
      <c r="X343" s="13">
        <f t="shared" si="35"/>
        <v>0</v>
      </c>
      <c r="Y343" s="2">
        <f t="shared" ca="1" si="36"/>
        <v>32133</v>
      </c>
      <c r="Z343" s="14">
        <v>1</v>
      </c>
      <c r="AA343" s="1" t="str">
        <f t="shared" ca="1" si="37"/>
        <v>VENCIDO</v>
      </c>
      <c r="AB343" s="1" t="str">
        <f t="shared" si="38"/>
        <v>TAAe+</v>
      </c>
      <c r="AC343" s="2">
        <f t="shared" si="41"/>
        <v>0</v>
      </c>
      <c r="AD343" s="2">
        <f t="shared" si="39"/>
        <v>8</v>
      </c>
      <c r="AE343" s="2">
        <f t="shared" ca="1" si="40"/>
        <v>-44986.676271643519</v>
      </c>
      <c r="AF343" s="15"/>
    </row>
    <row r="344" spans="3:32">
      <c r="D344" s="1"/>
      <c r="E344" s="1"/>
      <c r="P344" s="11"/>
      <c r="U344" s="11"/>
      <c r="X344" s="13">
        <f t="shared" si="35"/>
        <v>0</v>
      </c>
      <c r="Y344" s="2">
        <f t="shared" ca="1" si="36"/>
        <v>32133</v>
      </c>
      <c r="Z344" s="14">
        <v>1</v>
      </c>
      <c r="AA344" s="1" t="str">
        <f t="shared" ca="1" si="37"/>
        <v>VENCIDO</v>
      </c>
      <c r="AB344" s="1" t="str">
        <f t="shared" si="38"/>
        <v>TAAe+</v>
      </c>
      <c r="AC344" s="2">
        <f t="shared" si="41"/>
        <v>0</v>
      </c>
      <c r="AD344" s="2">
        <f t="shared" si="39"/>
        <v>8</v>
      </c>
      <c r="AE344" s="2">
        <f t="shared" ca="1" si="40"/>
        <v>-44986.676271643519</v>
      </c>
      <c r="AF344" s="15"/>
    </row>
    <row r="345" spans="3:32">
      <c r="D345" s="1"/>
      <c r="E345" s="1"/>
      <c r="P345" s="11"/>
      <c r="U345" s="11"/>
      <c r="X345" s="13">
        <f t="shared" si="35"/>
        <v>0</v>
      </c>
      <c r="Y345" s="2">
        <f t="shared" ca="1" si="36"/>
        <v>32133</v>
      </c>
      <c r="Z345" s="14">
        <v>1</v>
      </c>
      <c r="AA345" s="1" t="str">
        <f t="shared" ca="1" si="37"/>
        <v>VENCIDO</v>
      </c>
      <c r="AB345" s="1" t="str">
        <f t="shared" si="38"/>
        <v>TAAe+</v>
      </c>
      <c r="AC345" s="2">
        <f t="shared" si="41"/>
        <v>0</v>
      </c>
      <c r="AD345" s="2">
        <f t="shared" si="39"/>
        <v>8</v>
      </c>
      <c r="AE345" s="2">
        <f t="shared" ca="1" si="40"/>
        <v>-44986.676271643519</v>
      </c>
      <c r="AF345" s="15"/>
    </row>
    <row r="346" spans="3:32">
      <c r="D346" s="1"/>
      <c r="E346" s="1"/>
      <c r="P346" s="11"/>
      <c r="X346" s="13">
        <f t="shared" si="35"/>
        <v>0</v>
      </c>
      <c r="Y346" s="2">
        <f t="shared" ca="1" si="36"/>
        <v>32133</v>
      </c>
      <c r="Z346" s="14">
        <v>1</v>
      </c>
      <c r="AA346" s="1" t="str">
        <f t="shared" ca="1" si="37"/>
        <v>VENCIDO</v>
      </c>
      <c r="AB346" s="1" t="str">
        <f t="shared" si="38"/>
        <v>TAAe+</v>
      </c>
      <c r="AC346" s="2">
        <f t="shared" si="41"/>
        <v>0</v>
      </c>
      <c r="AD346" s="2">
        <f t="shared" si="39"/>
        <v>8</v>
      </c>
      <c r="AE346" s="2">
        <f t="shared" ca="1" si="40"/>
        <v>-44986.676271643519</v>
      </c>
      <c r="AF346" s="15"/>
    </row>
    <row r="347" spans="3:32">
      <c r="D347" s="1"/>
      <c r="E347" s="1"/>
      <c r="P347" s="11"/>
      <c r="X347" s="13">
        <f t="shared" si="35"/>
        <v>0</v>
      </c>
      <c r="Y347" s="2">
        <f t="shared" ca="1" si="36"/>
        <v>32133</v>
      </c>
      <c r="Z347" s="14">
        <v>1</v>
      </c>
      <c r="AA347" s="1" t="str">
        <f t="shared" ca="1" si="37"/>
        <v>VENCIDO</v>
      </c>
      <c r="AB347" s="1" t="str">
        <f t="shared" si="38"/>
        <v>TAAe+</v>
      </c>
      <c r="AC347" s="2">
        <f t="shared" si="41"/>
        <v>0</v>
      </c>
      <c r="AD347" s="2">
        <f t="shared" si="39"/>
        <v>8</v>
      </c>
      <c r="AE347" s="2">
        <f t="shared" ca="1" si="40"/>
        <v>-44986.676271643519</v>
      </c>
      <c r="AF347" s="15"/>
    </row>
    <row r="348" spans="3:32">
      <c r="D348" s="1"/>
      <c r="E348" s="1"/>
      <c r="P348" s="11"/>
      <c r="X348" s="13">
        <f t="shared" si="35"/>
        <v>0</v>
      </c>
      <c r="Y348" s="2">
        <f t="shared" ca="1" si="36"/>
        <v>32133</v>
      </c>
      <c r="Z348" s="14">
        <v>1</v>
      </c>
      <c r="AA348" s="1" t="str">
        <f t="shared" ca="1" si="37"/>
        <v>VENCIDO</v>
      </c>
      <c r="AB348" s="1" t="str">
        <f t="shared" si="38"/>
        <v>TAAe+</v>
      </c>
      <c r="AC348" s="2">
        <f t="shared" si="41"/>
        <v>0</v>
      </c>
      <c r="AD348" s="2">
        <f t="shared" si="39"/>
        <v>8</v>
      </c>
      <c r="AE348" s="2">
        <f t="shared" ca="1" si="40"/>
        <v>-44986.676271643519</v>
      </c>
      <c r="AF348" s="15"/>
    </row>
    <row r="349" spans="3:32">
      <c r="D349" s="1"/>
      <c r="E349" s="1"/>
      <c r="P349" s="11"/>
      <c r="X349" s="13">
        <f t="shared" si="35"/>
        <v>0</v>
      </c>
      <c r="Y349" s="2">
        <f t="shared" ca="1" si="36"/>
        <v>32133</v>
      </c>
      <c r="Z349" s="14">
        <v>1</v>
      </c>
      <c r="AA349" s="1" t="str">
        <f t="shared" ca="1" si="37"/>
        <v>VENCIDO</v>
      </c>
      <c r="AB349" s="1" t="str">
        <f t="shared" si="38"/>
        <v>TAAe+</v>
      </c>
      <c r="AC349" s="2">
        <f t="shared" si="41"/>
        <v>0</v>
      </c>
      <c r="AD349" s="2">
        <f t="shared" si="39"/>
        <v>8</v>
      </c>
      <c r="AE349" s="2">
        <f t="shared" ca="1" si="40"/>
        <v>-44986.676271643519</v>
      </c>
      <c r="AF349" s="15"/>
    </row>
    <row r="350" spans="3:32">
      <c r="D350" s="1"/>
      <c r="E350" s="1"/>
      <c r="P350" s="11"/>
      <c r="X350" s="13">
        <f t="shared" si="35"/>
        <v>0</v>
      </c>
      <c r="Y350" s="2">
        <f t="shared" ca="1" si="36"/>
        <v>32133</v>
      </c>
      <c r="Z350" s="14">
        <v>1</v>
      </c>
      <c r="AA350" s="1" t="str">
        <f t="shared" ca="1" si="37"/>
        <v>VENCIDO</v>
      </c>
      <c r="AB350" s="1" t="str">
        <f t="shared" si="38"/>
        <v>TAAe+</v>
      </c>
      <c r="AC350" s="2">
        <f t="shared" si="41"/>
        <v>0</v>
      </c>
      <c r="AD350" s="2">
        <f t="shared" si="39"/>
        <v>8</v>
      </c>
      <c r="AE350" s="2">
        <f t="shared" ca="1" si="40"/>
        <v>-44986.676271643519</v>
      </c>
      <c r="AF350" s="15"/>
    </row>
    <row r="351" spans="3:32">
      <c r="C351" s="23"/>
      <c r="D351" s="1"/>
      <c r="E351" s="1"/>
      <c r="P351" s="11"/>
      <c r="X351" s="13">
        <f t="shared" si="35"/>
        <v>0</v>
      </c>
      <c r="Y351" s="2">
        <f t="shared" ca="1" si="36"/>
        <v>32133</v>
      </c>
      <c r="Z351" s="14">
        <v>1</v>
      </c>
      <c r="AA351" s="1" t="str">
        <f t="shared" ca="1" si="37"/>
        <v>VENCIDO</v>
      </c>
      <c r="AB351" s="1" t="str">
        <f t="shared" si="38"/>
        <v>TAAe+</v>
      </c>
      <c r="AC351" s="2">
        <f t="shared" si="41"/>
        <v>0</v>
      </c>
      <c r="AD351" s="2">
        <f t="shared" si="39"/>
        <v>8</v>
      </c>
      <c r="AE351" s="2">
        <f t="shared" ca="1" si="40"/>
        <v>-44986.676271643519</v>
      </c>
      <c r="AF351" s="15"/>
    </row>
    <row r="352" spans="3:32">
      <c r="D352" s="1"/>
      <c r="E352" s="1"/>
      <c r="P352" s="11"/>
      <c r="X352" s="13">
        <f t="shared" si="35"/>
        <v>0</v>
      </c>
      <c r="Y352" s="2">
        <f t="shared" ca="1" si="36"/>
        <v>32133</v>
      </c>
      <c r="Z352" s="14">
        <v>1</v>
      </c>
      <c r="AA352" s="1" t="str">
        <f t="shared" ca="1" si="37"/>
        <v>VENCIDO</v>
      </c>
      <c r="AB352" s="1" t="str">
        <f t="shared" si="38"/>
        <v>TAAe+</v>
      </c>
      <c r="AC352" s="2">
        <f t="shared" si="41"/>
        <v>0</v>
      </c>
      <c r="AD352" s="2">
        <f t="shared" si="39"/>
        <v>8</v>
      </c>
      <c r="AE352" s="2">
        <f t="shared" ca="1" si="40"/>
        <v>-44986.676271643519</v>
      </c>
      <c r="AF352" s="15"/>
    </row>
    <row r="353" spans="4:32">
      <c r="D353" s="1"/>
      <c r="E353" s="1"/>
      <c r="P353" s="11"/>
      <c r="U353" s="11"/>
      <c r="X353" s="13">
        <f t="shared" si="35"/>
        <v>0</v>
      </c>
      <c r="Y353" s="2">
        <f t="shared" ca="1" si="36"/>
        <v>32133</v>
      </c>
      <c r="Z353" s="14">
        <v>1</v>
      </c>
      <c r="AA353" s="1" t="str">
        <f t="shared" ca="1" si="37"/>
        <v>VENCIDO</v>
      </c>
      <c r="AB353" s="1" t="str">
        <f t="shared" si="38"/>
        <v>TAAe+</v>
      </c>
      <c r="AC353" s="2">
        <f t="shared" si="41"/>
        <v>0</v>
      </c>
      <c r="AD353" s="2">
        <f t="shared" si="39"/>
        <v>8</v>
      </c>
      <c r="AE353" s="2">
        <f t="shared" ca="1" si="40"/>
        <v>-44986.676271643519</v>
      </c>
      <c r="AF353" s="15"/>
    </row>
    <row r="354" spans="4:32">
      <c r="D354" s="1"/>
      <c r="E354" s="1"/>
      <c r="P354" s="11"/>
      <c r="U354" s="11"/>
      <c r="X354" s="13">
        <f t="shared" si="35"/>
        <v>0</v>
      </c>
      <c r="Y354" s="2">
        <f t="shared" ca="1" si="36"/>
        <v>32133</v>
      </c>
      <c r="Z354" s="14">
        <v>1</v>
      </c>
      <c r="AA354" s="1" t="str">
        <f t="shared" ca="1" si="37"/>
        <v>VENCIDO</v>
      </c>
      <c r="AB354" s="1" t="str">
        <f t="shared" si="38"/>
        <v>TAAe+</v>
      </c>
      <c r="AC354" s="2">
        <f t="shared" si="41"/>
        <v>0</v>
      </c>
      <c r="AD354" s="2">
        <f t="shared" si="39"/>
        <v>8</v>
      </c>
      <c r="AE354" s="2">
        <f t="shared" ca="1" si="40"/>
        <v>-44986.676271643519</v>
      </c>
      <c r="AF354" s="15"/>
    </row>
    <row r="355" spans="4:32">
      <c r="D355" s="1"/>
      <c r="E355" s="1"/>
      <c r="P355" s="11"/>
      <c r="U355" s="11"/>
      <c r="X355" s="13">
        <f t="shared" si="35"/>
        <v>0</v>
      </c>
      <c r="Y355" s="2">
        <f t="shared" ca="1" si="36"/>
        <v>32133</v>
      </c>
      <c r="Z355" s="14">
        <v>1</v>
      </c>
      <c r="AA355" s="1" t="str">
        <f t="shared" ca="1" si="37"/>
        <v>VENCIDO</v>
      </c>
      <c r="AB355" s="1" t="str">
        <f t="shared" si="38"/>
        <v>TAAe+</v>
      </c>
      <c r="AC355" s="2">
        <f t="shared" si="41"/>
        <v>0</v>
      </c>
      <c r="AD355" s="2">
        <f t="shared" si="39"/>
        <v>8</v>
      </c>
      <c r="AE355" s="2">
        <f t="shared" ca="1" si="40"/>
        <v>-44986.676271643519</v>
      </c>
      <c r="AF355" s="15"/>
    </row>
    <row r="356" spans="4:32">
      <c r="D356" s="1"/>
      <c r="E356" s="1"/>
      <c r="P356" s="11"/>
      <c r="U356" s="11"/>
      <c r="X356" s="13">
        <f t="shared" si="35"/>
        <v>0</v>
      </c>
      <c r="Y356" s="2">
        <f t="shared" ca="1" si="36"/>
        <v>32133</v>
      </c>
      <c r="Z356" s="14">
        <v>1</v>
      </c>
      <c r="AA356" s="1" t="str">
        <f t="shared" ca="1" si="37"/>
        <v>VENCIDO</v>
      </c>
      <c r="AB356" s="1" t="str">
        <f t="shared" si="38"/>
        <v>TAAe+</v>
      </c>
      <c r="AC356" s="2">
        <f t="shared" si="41"/>
        <v>0</v>
      </c>
      <c r="AD356" s="2">
        <f t="shared" si="39"/>
        <v>8</v>
      </c>
      <c r="AE356" s="2">
        <f t="shared" ca="1" si="40"/>
        <v>-44986.676271643519</v>
      </c>
      <c r="AF356" s="15"/>
    </row>
    <row r="357" spans="4:32">
      <c r="D357" s="1"/>
      <c r="E357" s="1"/>
      <c r="P357" s="11"/>
      <c r="U357" s="11"/>
      <c r="X357" s="13">
        <f t="shared" si="35"/>
        <v>0</v>
      </c>
      <c r="Y357" s="2">
        <f t="shared" ca="1" si="36"/>
        <v>32133</v>
      </c>
      <c r="Z357" s="14">
        <v>1</v>
      </c>
      <c r="AA357" s="1" t="str">
        <f t="shared" ca="1" si="37"/>
        <v>VENCIDO</v>
      </c>
      <c r="AB357" s="1" t="str">
        <f t="shared" si="38"/>
        <v>TAAe+</v>
      </c>
      <c r="AC357" s="2">
        <f t="shared" si="41"/>
        <v>0</v>
      </c>
      <c r="AD357" s="2">
        <f t="shared" si="39"/>
        <v>8</v>
      </c>
      <c r="AE357" s="2">
        <f t="shared" ca="1" si="40"/>
        <v>-44986.676271643519</v>
      </c>
      <c r="AF357" s="15"/>
    </row>
    <row r="358" spans="4:32">
      <c r="D358" s="1"/>
      <c r="E358" s="1"/>
      <c r="P358" s="11"/>
      <c r="U358" s="11"/>
      <c r="X358" s="13">
        <f t="shared" si="35"/>
        <v>0</v>
      </c>
      <c r="Y358" s="2">
        <f t="shared" ca="1" si="36"/>
        <v>32133</v>
      </c>
      <c r="Z358" s="14">
        <v>1</v>
      </c>
      <c r="AA358" s="1" t="str">
        <f t="shared" ca="1" si="37"/>
        <v>VENCIDO</v>
      </c>
      <c r="AB358" s="1" t="str">
        <f t="shared" si="38"/>
        <v>TAAe+</v>
      </c>
      <c r="AC358" s="2">
        <f t="shared" si="41"/>
        <v>0</v>
      </c>
      <c r="AD358" s="2">
        <f t="shared" si="39"/>
        <v>8</v>
      </c>
      <c r="AE358" s="2">
        <f t="shared" ca="1" si="40"/>
        <v>-44986.676271643519</v>
      </c>
      <c r="AF358" s="15"/>
    </row>
    <row r="359" spans="4:32">
      <c r="D359" s="1"/>
      <c r="E359" s="1"/>
      <c r="P359" s="11"/>
      <c r="U359" s="11"/>
      <c r="X359" s="13">
        <f t="shared" si="35"/>
        <v>0</v>
      </c>
      <c r="Y359" s="2">
        <f t="shared" ca="1" si="36"/>
        <v>32133</v>
      </c>
      <c r="Z359" s="14">
        <v>1</v>
      </c>
      <c r="AA359" s="1" t="str">
        <f t="shared" ca="1" si="37"/>
        <v>VENCIDO</v>
      </c>
      <c r="AB359" s="1" t="str">
        <f t="shared" si="38"/>
        <v>TAAe+</v>
      </c>
      <c r="AC359" s="2">
        <f t="shared" si="41"/>
        <v>0</v>
      </c>
      <c r="AD359" s="2">
        <f t="shared" si="39"/>
        <v>8</v>
      </c>
      <c r="AE359" s="2">
        <f t="shared" ca="1" si="40"/>
        <v>-44986.676271643519</v>
      </c>
      <c r="AF359" s="15"/>
    </row>
    <row r="360" spans="4:32">
      <c r="D360" s="1"/>
      <c r="E360" s="1"/>
      <c r="P360" s="11"/>
      <c r="U360" s="11"/>
      <c r="X360" s="13">
        <f t="shared" si="35"/>
        <v>0</v>
      </c>
      <c r="Y360" s="2">
        <f t="shared" ca="1" si="36"/>
        <v>32133</v>
      </c>
      <c r="Z360" s="14">
        <v>1</v>
      </c>
      <c r="AA360" s="1" t="str">
        <f t="shared" ca="1" si="37"/>
        <v>VENCIDO</v>
      </c>
      <c r="AB360" s="1" t="str">
        <f t="shared" si="38"/>
        <v>TAAe+</v>
      </c>
      <c r="AC360" s="2">
        <f t="shared" si="41"/>
        <v>0</v>
      </c>
      <c r="AD360" s="2">
        <f t="shared" si="39"/>
        <v>8</v>
      </c>
      <c r="AE360" s="2">
        <f t="shared" ca="1" si="40"/>
        <v>-44986.676271643519</v>
      </c>
      <c r="AF360" s="15"/>
    </row>
    <row r="361" spans="4:32">
      <c r="D361" s="1"/>
      <c r="E361" s="1"/>
      <c r="P361" s="11"/>
      <c r="U361" s="11"/>
      <c r="X361" s="13">
        <f t="shared" si="35"/>
        <v>0</v>
      </c>
      <c r="Y361" s="2">
        <f t="shared" ca="1" si="36"/>
        <v>32133</v>
      </c>
      <c r="Z361" s="14">
        <v>1</v>
      </c>
      <c r="AA361" s="1" t="str">
        <f t="shared" ca="1" si="37"/>
        <v>VENCIDO</v>
      </c>
      <c r="AB361" s="1" t="str">
        <f t="shared" si="38"/>
        <v>TAAe+</v>
      </c>
      <c r="AC361" s="2">
        <f t="shared" si="41"/>
        <v>0</v>
      </c>
      <c r="AD361" s="2">
        <f t="shared" si="39"/>
        <v>8</v>
      </c>
      <c r="AE361" s="2">
        <f t="shared" ca="1" si="40"/>
        <v>-44986.676271643519</v>
      </c>
      <c r="AF361" s="15"/>
    </row>
    <row r="362" spans="4:32">
      <c r="D362" s="1"/>
      <c r="E362" s="1"/>
      <c r="P362" s="11"/>
      <c r="U362" s="11"/>
      <c r="X362" s="13">
        <f t="shared" si="35"/>
        <v>0</v>
      </c>
      <c r="Y362" s="2">
        <f t="shared" ca="1" si="36"/>
        <v>32133</v>
      </c>
      <c r="Z362" s="14">
        <v>1</v>
      </c>
      <c r="AA362" s="1" t="str">
        <f t="shared" ca="1" si="37"/>
        <v>VENCIDO</v>
      </c>
      <c r="AB362" s="1" t="str">
        <f t="shared" si="38"/>
        <v>TAAe+</v>
      </c>
      <c r="AC362" s="2">
        <f t="shared" si="41"/>
        <v>0</v>
      </c>
      <c r="AD362" s="2">
        <f t="shared" si="39"/>
        <v>8</v>
      </c>
      <c r="AE362" s="2">
        <f t="shared" ca="1" si="40"/>
        <v>-44986.676271643519</v>
      </c>
      <c r="AF362" s="15"/>
    </row>
    <row r="363" spans="4:32">
      <c r="D363" s="1"/>
      <c r="E363" s="1"/>
      <c r="P363" s="11"/>
      <c r="U363" s="11"/>
      <c r="X363" s="13">
        <f t="shared" si="35"/>
        <v>0</v>
      </c>
      <c r="Y363" s="2">
        <f t="shared" ca="1" si="36"/>
        <v>32133</v>
      </c>
      <c r="Z363" s="14">
        <v>1</v>
      </c>
      <c r="AA363" s="1" t="str">
        <f t="shared" ca="1" si="37"/>
        <v>VENCIDO</v>
      </c>
      <c r="AB363" s="1" t="str">
        <f t="shared" si="38"/>
        <v>TAAe+</v>
      </c>
      <c r="AC363" s="2">
        <f t="shared" si="41"/>
        <v>0</v>
      </c>
      <c r="AD363" s="2">
        <f t="shared" si="39"/>
        <v>8</v>
      </c>
      <c r="AE363" s="2">
        <f t="shared" ca="1" si="40"/>
        <v>-44986.676271643519</v>
      </c>
      <c r="AF363" s="15"/>
    </row>
    <row r="364" spans="4:32">
      <c r="D364" s="1"/>
      <c r="E364" s="1"/>
      <c r="P364" s="11"/>
      <c r="U364" s="11"/>
      <c r="X364" s="13">
        <f t="shared" si="35"/>
        <v>0</v>
      </c>
      <c r="Y364" s="2">
        <f t="shared" ca="1" si="36"/>
        <v>32133</v>
      </c>
      <c r="Z364" s="14">
        <v>1</v>
      </c>
      <c r="AA364" s="1" t="str">
        <f t="shared" ca="1" si="37"/>
        <v>VENCIDO</v>
      </c>
      <c r="AB364" s="1" t="str">
        <f t="shared" si="38"/>
        <v>TAAe+</v>
      </c>
      <c r="AC364" s="2">
        <f t="shared" si="41"/>
        <v>0</v>
      </c>
      <c r="AD364" s="2">
        <f t="shared" si="39"/>
        <v>8</v>
      </c>
      <c r="AE364" s="2">
        <f t="shared" ca="1" si="40"/>
        <v>-44986.676271643519</v>
      </c>
      <c r="AF364" s="15"/>
    </row>
    <row r="365" spans="4:32">
      <c r="D365" s="1"/>
      <c r="E365" s="1"/>
      <c r="P365" s="11"/>
      <c r="U365" s="11"/>
      <c r="X365" s="13">
        <f t="shared" si="35"/>
        <v>0</v>
      </c>
      <c r="Y365" s="2">
        <f t="shared" ca="1" si="36"/>
        <v>32133</v>
      </c>
      <c r="Z365" s="14">
        <v>1</v>
      </c>
      <c r="AA365" s="1" t="str">
        <f t="shared" ca="1" si="37"/>
        <v>VENCIDO</v>
      </c>
      <c r="AB365" s="1" t="str">
        <f t="shared" si="38"/>
        <v>TAAe+</v>
      </c>
      <c r="AC365" s="2">
        <f t="shared" si="41"/>
        <v>0</v>
      </c>
      <c r="AD365" s="2">
        <f t="shared" si="39"/>
        <v>8</v>
      </c>
      <c r="AE365" s="2">
        <f t="shared" ca="1" si="40"/>
        <v>-44986.676271643519</v>
      </c>
      <c r="AF365" s="15"/>
    </row>
    <row r="366" spans="4:32">
      <c r="D366" s="1"/>
      <c r="E366" s="1"/>
      <c r="P366" s="11"/>
      <c r="U366" s="11"/>
      <c r="X366" s="13">
        <f t="shared" si="35"/>
        <v>0</v>
      </c>
      <c r="Y366" s="2">
        <f t="shared" ca="1" si="36"/>
        <v>32133</v>
      </c>
      <c r="Z366" s="14">
        <v>1</v>
      </c>
      <c r="AA366" s="1" t="str">
        <f t="shared" ca="1" si="37"/>
        <v>VENCIDO</v>
      </c>
      <c r="AB366" s="1" t="str">
        <f t="shared" si="38"/>
        <v>TAAe+</v>
      </c>
      <c r="AC366" s="2">
        <f t="shared" si="41"/>
        <v>0</v>
      </c>
      <c r="AD366" s="2">
        <f t="shared" si="39"/>
        <v>8</v>
      </c>
      <c r="AE366" s="2">
        <f t="shared" ca="1" si="40"/>
        <v>-44986.676271643519</v>
      </c>
      <c r="AF366" s="15"/>
    </row>
    <row r="367" spans="4:32">
      <c r="D367" s="1"/>
      <c r="E367" s="1"/>
      <c r="P367" s="11"/>
      <c r="U367" s="11"/>
      <c r="X367" s="13">
        <f t="shared" si="35"/>
        <v>0</v>
      </c>
      <c r="Y367" s="2">
        <f t="shared" ca="1" si="36"/>
        <v>32133</v>
      </c>
      <c r="Z367" s="14">
        <v>1</v>
      </c>
      <c r="AA367" s="1" t="str">
        <f t="shared" ca="1" si="37"/>
        <v>VENCIDO</v>
      </c>
      <c r="AB367" s="1" t="str">
        <f t="shared" si="38"/>
        <v>TAAe+</v>
      </c>
      <c r="AC367" s="2">
        <f t="shared" si="41"/>
        <v>0</v>
      </c>
      <c r="AD367" s="2">
        <f t="shared" si="39"/>
        <v>8</v>
      </c>
      <c r="AE367" s="2">
        <f t="shared" ca="1" si="40"/>
        <v>-44986.676271643519</v>
      </c>
      <c r="AF367" s="15"/>
    </row>
    <row r="368" spans="4:32">
      <c r="D368" s="1"/>
      <c r="E368" s="1"/>
      <c r="P368" s="11"/>
      <c r="X368" s="13">
        <f t="shared" si="35"/>
        <v>0</v>
      </c>
      <c r="Y368" s="2">
        <f t="shared" ca="1" si="36"/>
        <v>32133</v>
      </c>
      <c r="Z368" s="14">
        <v>1</v>
      </c>
      <c r="AA368" s="1" t="str">
        <f t="shared" ca="1" si="37"/>
        <v>VENCIDO</v>
      </c>
      <c r="AB368" s="1" t="str">
        <f t="shared" si="38"/>
        <v>TAAe+</v>
      </c>
      <c r="AC368" s="2">
        <f t="shared" si="41"/>
        <v>0</v>
      </c>
      <c r="AD368" s="2">
        <f t="shared" si="39"/>
        <v>8</v>
      </c>
      <c r="AE368" s="2">
        <f t="shared" ca="1" si="40"/>
        <v>-44986.676271643519</v>
      </c>
      <c r="AF368" s="15"/>
    </row>
    <row r="369" spans="4:32">
      <c r="D369" s="1"/>
      <c r="E369" s="1"/>
      <c r="P369" s="11"/>
      <c r="X369" s="13">
        <f t="shared" si="35"/>
        <v>0</v>
      </c>
      <c r="Y369" s="2">
        <f t="shared" ca="1" si="36"/>
        <v>32133</v>
      </c>
      <c r="Z369" s="14">
        <v>1</v>
      </c>
      <c r="AA369" s="1" t="str">
        <f t="shared" ca="1" si="37"/>
        <v>VENCIDO</v>
      </c>
      <c r="AB369" s="1" t="str">
        <f t="shared" si="38"/>
        <v>TAAe+</v>
      </c>
      <c r="AC369" s="2">
        <f t="shared" si="41"/>
        <v>0</v>
      </c>
      <c r="AD369" s="2">
        <f t="shared" si="39"/>
        <v>8</v>
      </c>
      <c r="AE369" s="2">
        <f t="shared" ca="1" si="40"/>
        <v>-44986.676271643519</v>
      </c>
      <c r="AF369" s="15"/>
    </row>
    <row r="370" spans="4:32">
      <c r="D370" s="1"/>
      <c r="E370" s="1"/>
      <c r="P370" s="11"/>
      <c r="U370" s="11"/>
      <c r="X370" s="13">
        <f t="shared" si="35"/>
        <v>0</v>
      </c>
      <c r="Y370" s="2">
        <f t="shared" ca="1" si="36"/>
        <v>32133</v>
      </c>
      <c r="Z370" s="14">
        <v>1</v>
      </c>
      <c r="AA370" s="1" t="str">
        <f t="shared" ca="1" si="37"/>
        <v>VENCIDO</v>
      </c>
      <c r="AB370" s="1" t="str">
        <f t="shared" si="38"/>
        <v>TAAe+</v>
      </c>
      <c r="AC370" s="2">
        <f t="shared" si="41"/>
        <v>0</v>
      </c>
      <c r="AD370" s="2">
        <f t="shared" si="39"/>
        <v>8</v>
      </c>
      <c r="AE370" s="2">
        <f t="shared" ca="1" si="40"/>
        <v>-44986.676271643519</v>
      </c>
      <c r="AF370" s="15"/>
    </row>
    <row r="371" spans="4:32">
      <c r="D371" s="1"/>
      <c r="E371" s="1"/>
      <c r="P371" s="11"/>
      <c r="U371" s="11"/>
      <c r="X371" s="13">
        <f t="shared" si="35"/>
        <v>0</v>
      </c>
      <c r="Y371" s="2">
        <f t="shared" ca="1" si="36"/>
        <v>32133</v>
      </c>
      <c r="Z371" s="14">
        <v>1</v>
      </c>
      <c r="AA371" s="1" t="str">
        <f t="shared" ca="1" si="37"/>
        <v>VENCIDO</v>
      </c>
      <c r="AB371" s="1" t="str">
        <f t="shared" si="38"/>
        <v>TAAe+</v>
      </c>
      <c r="AC371" s="2">
        <f t="shared" si="41"/>
        <v>0</v>
      </c>
      <c r="AD371" s="2">
        <f t="shared" si="39"/>
        <v>8</v>
      </c>
      <c r="AE371" s="2">
        <f t="shared" ca="1" si="40"/>
        <v>-44986.676271643519</v>
      </c>
      <c r="AF371" s="15"/>
    </row>
    <row r="372" spans="4:32">
      <c r="D372" s="1"/>
      <c r="E372" s="1"/>
      <c r="P372" s="11"/>
      <c r="U372" s="11"/>
      <c r="X372" s="13">
        <f t="shared" si="35"/>
        <v>0</v>
      </c>
      <c r="Y372" s="2">
        <f t="shared" ca="1" si="36"/>
        <v>32133</v>
      </c>
      <c r="Z372" s="14">
        <v>1</v>
      </c>
      <c r="AA372" s="1" t="str">
        <f t="shared" ca="1" si="37"/>
        <v>VENCIDO</v>
      </c>
      <c r="AB372" s="1" t="str">
        <f t="shared" si="38"/>
        <v>TAAe+</v>
      </c>
      <c r="AC372" s="2">
        <f t="shared" si="41"/>
        <v>0</v>
      </c>
      <c r="AD372" s="2">
        <f t="shared" si="39"/>
        <v>8</v>
      </c>
      <c r="AE372" s="2">
        <f t="shared" ca="1" si="40"/>
        <v>-44986.676271643519</v>
      </c>
      <c r="AF372" s="15"/>
    </row>
    <row r="373" spans="4:32">
      <c r="D373" s="1"/>
      <c r="E373" s="1"/>
      <c r="P373" s="11"/>
      <c r="X373" s="13">
        <f t="shared" si="35"/>
        <v>0</v>
      </c>
      <c r="Y373" s="2">
        <f t="shared" ca="1" si="36"/>
        <v>32133</v>
      </c>
      <c r="Z373" s="14">
        <v>1</v>
      </c>
      <c r="AA373" s="1" t="str">
        <f t="shared" ca="1" si="37"/>
        <v>VENCIDO</v>
      </c>
      <c r="AB373" s="1" t="str">
        <f t="shared" si="38"/>
        <v>TAAe+</v>
      </c>
      <c r="AC373" s="2">
        <f t="shared" si="41"/>
        <v>0</v>
      </c>
      <c r="AD373" s="2">
        <f t="shared" si="39"/>
        <v>8</v>
      </c>
      <c r="AE373" s="2">
        <f t="shared" ca="1" si="40"/>
        <v>-44986.676271643519</v>
      </c>
      <c r="AF373" s="15"/>
    </row>
    <row r="374" spans="4:32">
      <c r="D374" s="1"/>
      <c r="E374" s="1"/>
      <c r="P374" s="11"/>
      <c r="X374" s="13">
        <f t="shared" si="35"/>
        <v>0</v>
      </c>
      <c r="Y374" s="2">
        <f t="shared" ca="1" si="36"/>
        <v>32133</v>
      </c>
      <c r="Z374" s="14">
        <v>1</v>
      </c>
      <c r="AA374" s="1" t="str">
        <f t="shared" ca="1" si="37"/>
        <v>VENCIDO</v>
      </c>
      <c r="AB374" s="1" t="str">
        <f t="shared" si="38"/>
        <v>TAAe+</v>
      </c>
      <c r="AC374" s="2">
        <f t="shared" si="41"/>
        <v>0</v>
      </c>
      <c r="AD374" s="2">
        <f t="shared" si="39"/>
        <v>8</v>
      </c>
      <c r="AE374" s="2">
        <f t="shared" ca="1" si="40"/>
        <v>-44986.676271643519</v>
      </c>
      <c r="AF374" s="15"/>
    </row>
    <row r="375" spans="4:32">
      <c r="D375" s="1"/>
      <c r="E375" s="1"/>
      <c r="P375" s="11"/>
      <c r="U375" s="11"/>
      <c r="X375" s="13">
        <f t="shared" si="35"/>
        <v>0</v>
      </c>
      <c r="Y375" s="2">
        <f t="shared" ca="1" si="36"/>
        <v>32133</v>
      </c>
      <c r="Z375" s="14">
        <v>1</v>
      </c>
      <c r="AA375" s="1" t="str">
        <f t="shared" ca="1" si="37"/>
        <v>VENCIDO</v>
      </c>
      <c r="AB375" s="1" t="str">
        <f t="shared" si="38"/>
        <v>TAAe+</v>
      </c>
      <c r="AC375" s="2">
        <f t="shared" si="41"/>
        <v>0</v>
      </c>
      <c r="AD375" s="2">
        <f t="shared" si="39"/>
        <v>8</v>
      </c>
      <c r="AE375" s="2">
        <f t="shared" ca="1" si="40"/>
        <v>-44986.676271643519</v>
      </c>
      <c r="AF375" s="15"/>
    </row>
    <row r="376" spans="4:32">
      <c r="D376" s="1"/>
      <c r="E376" s="1"/>
      <c r="P376" s="11"/>
      <c r="U376" s="11"/>
      <c r="X376" s="13">
        <f t="shared" si="35"/>
        <v>0</v>
      </c>
      <c r="Y376" s="2">
        <f t="shared" ca="1" si="36"/>
        <v>32133</v>
      </c>
      <c r="Z376" s="14">
        <v>1</v>
      </c>
      <c r="AA376" s="1" t="str">
        <f t="shared" ca="1" si="37"/>
        <v>VENCIDO</v>
      </c>
      <c r="AB376" s="1" t="str">
        <f t="shared" si="38"/>
        <v>TAAe+</v>
      </c>
      <c r="AC376" s="2">
        <f t="shared" si="41"/>
        <v>0</v>
      </c>
      <c r="AD376" s="2">
        <f t="shared" si="39"/>
        <v>8</v>
      </c>
      <c r="AE376" s="2">
        <f t="shared" ca="1" si="40"/>
        <v>-44986.676271643519</v>
      </c>
      <c r="AF376" s="15"/>
    </row>
    <row r="377" spans="4:32">
      <c r="D377" s="1"/>
      <c r="E377" s="1"/>
      <c r="P377" s="11"/>
      <c r="X377" s="13">
        <f t="shared" si="35"/>
        <v>0</v>
      </c>
      <c r="Y377" s="2">
        <f t="shared" ca="1" si="36"/>
        <v>32133</v>
      </c>
      <c r="Z377" s="14">
        <v>1</v>
      </c>
      <c r="AA377" s="1" t="str">
        <f t="shared" ca="1" si="37"/>
        <v>VENCIDO</v>
      </c>
      <c r="AB377" s="1" t="str">
        <f t="shared" si="38"/>
        <v>TAAe+</v>
      </c>
      <c r="AC377" s="2">
        <f t="shared" si="41"/>
        <v>0</v>
      </c>
      <c r="AD377" s="2">
        <f t="shared" si="39"/>
        <v>8</v>
      </c>
      <c r="AE377" s="2">
        <f t="shared" ca="1" si="40"/>
        <v>-44986.676271643519</v>
      </c>
      <c r="AF377" s="15"/>
    </row>
    <row r="378" spans="4:32">
      <c r="D378" s="1"/>
      <c r="E378" s="1"/>
      <c r="P378" s="11"/>
      <c r="X378" s="13">
        <f t="shared" si="35"/>
        <v>0</v>
      </c>
      <c r="Y378" s="2">
        <f t="shared" ca="1" si="36"/>
        <v>32133</v>
      </c>
      <c r="Z378" s="14">
        <v>1</v>
      </c>
      <c r="AA378" s="1" t="str">
        <f t="shared" ca="1" si="37"/>
        <v>VENCIDO</v>
      </c>
      <c r="AB378" s="1" t="str">
        <f t="shared" si="38"/>
        <v>TAAe+</v>
      </c>
      <c r="AC378" s="2">
        <f t="shared" si="41"/>
        <v>0</v>
      </c>
      <c r="AD378" s="2">
        <f t="shared" si="39"/>
        <v>8</v>
      </c>
      <c r="AE378" s="2">
        <f t="shared" ca="1" si="40"/>
        <v>-44986.676271643519</v>
      </c>
      <c r="AF378" s="15"/>
    </row>
    <row r="379" spans="4:32">
      <c r="D379" s="1"/>
      <c r="E379" s="1"/>
      <c r="P379" s="11"/>
      <c r="X379" s="13">
        <f t="shared" si="35"/>
        <v>0</v>
      </c>
      <c r="Y379" s="2">
        <f t="shared" ca="1" si="36"/>
        <v>32133</v>
      </c>
      <c r="Z379" s="14">
        <v>1</v>
      </c>
      <c r="AA379" s="1" t="str">
        <f t="shared" ca="1" si="37"/>
        <v>VENCIDO</v>
      </c>
      <c r="AB379" s="1" t="str">
        <f t="shared" si="38"/>
        <v>TAAe+</v>
      </c>
      <c r="AC379" s="2">
        <f t="shared" si="41"/>
        <v>0</v>
      </c>
      <c r="AD379" s="2">
        <f t="shared" si="39"/>
        <v>8</v>
      </c>
      <c r="AE379" s="2">
        <f t="shared" ca="1" si="40"/>
        <v>-44986.676271643519</v>
      </c>
      <c r="AF379" s="15"/>
    </row>
    <row r="380" spans="4:32">
      <c r="D380" s="1"/>
      <c r="E380" s="1"/>
      <c r="P380" s="11"/>
      <c r="X380" s="13">
        <f t="shared" si="35"/>
        <v>0</v>
      </c>
      <c r="Y380" s="2">
        <f t="shared" ca="1" si="36"/>
        <v>32133</v>
      </c>
      <c r="Z380" s="14">
        <v>1</v>
      </c>
      <c r="AA380" s="1" t="str">
        <f t="shared" ca="1" si="37"/>
        <v>VENCIDO</v>
      </c>
      <c r="AB380" s="1" t="str">
        <f t="shared" si="38"/>
        <v>TAAe+</v>
      </c>
      <c r="AC380" s="2">
        <f t="shared" si="41"/>
        <v>0</v>
      </c>
      <c r="AD380" s="2">
        <f t="shared" si="39"/>
        <v>8</v>
      </c>
      <c r="AE380" s="2">
        <f t="shared" ca="1" si="40"/>
        <v>-44986.676271643519</v>
      </c>
      <c r="AF380" s="15"/>
    </row>
    <row r="381" spans="4:32">
      <c r="D381" s="1"/>
      <c r="E381" s="1"/>
      <c r="P381" s="11"/>
      <c r="X381" s="13">
        <f t="shared" si="35"/>
        <v>0</v>
      </c>
      <c r="Y381" s="2">
        <f t="shared" ca="1" si="36"/>
        <v>32133</v>
      </c>
      <c r="Z381" s="14">
        <v>1</v>
      </c>
      <c r="AA381" s="1" t="str">
        <f t="shared" ca="1" si="37"/>
        <v>VENCIDO</v>
      </c>
      <c r="AB381" s="1" t="str">
        <f t="shared" si="38"/>
        <v>TAAe+</v>
      </c>
      <c r="AC381" s="2">
        <f t="shared" si="41"/>
        <v>0</v>
      </c>
      <c r="AD381" s="2">
        <f t="shared" si="39"/>
        <v>8</v>
      </c>
      <c r="AE381" s="2">
        <f t="shared" ca="1" si="40"/>
        <v>-44986.676271643519</v>
      </c>
      <c r="AF381" s="15"/>
    </row>
    <row r="382" spans="4:32">
      <c r="D382" s="1"/>
      <c r="E382" s="1"/>
      <c r="P382" s="11"/>
      <c r="U382" s="11"/>
      <c r="X382" s="13">
        <f t="shared" si="35"/>
        <v>0</v>
      </c>
      <c r="Y382" s="2">
        <f t="shared" ca="1" si="36"/>
        <v>32133</v>
      </c>
      <c r="Z382" s="14">
        <v>1</v>
      </c>
      <c r="AA382" s="1" t="str">
        <f t="shared" ca="1" si="37"/>
        <v>VENCIDO</v>
      </c>
      <c r="AB382" s="1" t="str">
        <f t="shared" si="38"/>
        <v>TAAe+</v>
      </c>
      <c r="AC382" s="2">
        <f t="shared" si="41"/>
        <v>0</v>
      </c>
      <c r="AD382" s="2">
        <f t="shared" si="39"/>
        <v>8</v>
      </c>
      <c r="AE382" s="2">
        <f t="shared" ca="1" si="40"/>
        <v>-44986.676271643519</v>
      </c>
      <c r="AF382" s="15"/>
    </row>
    <row r="383" spans="4:32">
      <c r="D383" s="1"/>
      <c r="E383" s="1"/>
      <c r="P383" s="11"/>
      <c r="U383" s="11"/>
      <c r="X383" s="13">
        <f t="shared" si="35"/>
        <v>0</v>
      </c>
      <c r="Y383" s="2">
        <f t="shared" ca="1" si="36"/>
        <v>32133</v>
      </c>
      <c r="Z383" s="14">
        <v>1</v>
      </c>
      <c r="AA383" s="1" t="str">
        <f t="shared" ca="1" si="37"/>
        <v>VENCIDO</v>
      </c>
      <c r="AB383" s="1" t="str">
        <f t="shared" si="38"/>
        <v>TAAe+</v>
      </c>
      <c r="AC383" s="2">
        <f t="shared" si="41"/>
        <v>0</v>
      </c>
      <c r="AD383" s="2">
        <f t="shared" si="39"/>
        <v>8</v>
      </c>
      <c r="AE383" s="2">
        <f t="shared" ca="1" si="40"/>
        <v>-44986.676271643519</v>
      </c>
      <c r="AF383" s="15"/>
    </row>
    <row r="384" spans="4:32">
      <c r="D384" s="1"/>
      <c r="E384" s="1"/>
      <c r="P384" s="11"/>
      <c r="U384" s="11"/>
      <c r="X384" s="13">
        <f t="shared" si="35"/>
        <v>0</v>
      </c>
      <c r="Y384" s="2">
        <f t="shared" ca="1" si="36"/>
        <v>32133</v>
      </c>
      <c r="Z384" s="14">
        <v>1</v>
      </c>
      <c r="AA384" s="1" t="str">
        <f t="shared" ca="1" si="37"/>
        <v>VENCIDO</v>
      </c>
      <c r="AB384" s="1" t="str">
        <f t="shared" si="38"/>
        <v>TAAe+</v>
      </c>
      <c r="AC384" s="2">
        <f t="shared" si="41"/>
        <v>0</v>
      </c>
      <c r="AD384" s="2">
        <f t="shared" si="39"/>
        <v>8</v>
      </c>
      <c r="AE384" s="2">
        <f t="shared" ca="1" si="40"/>
        <v>-44986.676271643519</v>
      </c>
      <c r="AF384" s="15"/>
    </row>
    <row r="385" spans="3:32">
      <c r="D385" s="1"/>
      <c r="E385" s="1"/>
      <c r="P385" s="11"/>
      <c r="U385" s="11"/>
      <c r="X385" s="13">
        <f t="shared" si="35"/>
        <v>0</v>
      </c>
      <c r="Y385" s="2">
        <f t="shared" ca="1" si="36"/>
        <v>32133</v>
      </c>
      <c r="Z385" s="14">
        <v>1</v>
      </c>
      <c r="AA385" s="1" t="str">
        <f t="shared" ca="1" si="37"/>
        <v>VENCIDO</v>
      </c>
      <c r="AB385" s="1" t="str">
        <f t="shared" si="38"/>
        <v>TAAe+</v>
      </c>
      <c r="AC385" s="2">
        <f t="shared" si="41"/>
        <v>0</v>
      </c>
      <c r="AD385" s="2">
        <f t="shared" si="39"/>
        <v>8</v>
      </c>
      <c r="AE385" s="2">
        <f t="shared" ca="1" si="40"/>
        <v>-44986.676271643519</v>
      </c>
      <c r="AF385" s="15"/>
    </row>
    <row r="386" spans="3:32">
      <c r="D386" s="1"/>
      <c r="E386" s="1"/>
      <c r="P386" s="11"/>
      <c r="X386" s="13">
        <f t="shared" ref="X386:X449" si="42">IF(RIGHT(H386,2)&lt;&gt;"00",H386,"")</f>
        <v>0</v>
      </c>
      <c r="Y386" s="2">
        <f t="shared" ref="Y386:Y449" ca="1" si="43">NETWORKDAYS(P386,$Y$1)</f>
        <v>32133</v>
      </c>
      <c r="Z386" s="14">
        <v>1</v>
      </c>
      <c r="AA386" s="1" t="str">
        <f t="shared" ref="AA386:AA449" ca="1" si="44">IF(AE386=0,"HOJE",IF(AE386&gt;0,"A VENCER",IF(AE386&lt;0,"VENCIDO")))</f>
        <v>VENCIDO</v>
      </c>
      <c r="AB386" s="1" t="str">
        <f t="shared" ref="AB386:AB449" si="45">IF(F386="GRPE-000001","C-14",IF(F386="GRPE-000002","C-14",IF(F386="GRPE-000003","C-14",IF(F386="GRPE-000004","SL-On",IF(F386="GRPE-000038","C-14",IF(F386="GRPE-900022","Dosa",IF(F386="GRPE-000029","Dosa",IF(F386="ATOS-000222","Dose","TAAe+"))))))))</f>
        <v>TAAe+</v>
      </c>
      <c r="AC386" s="2">
        <f t="shared" si="41"/>
        <v>0</v>
      </c>
      <c r="AD386" s="2">
        <f t="shared" ref="AD386:AD449" si="46">IF(F386="GRPE-000001",5,IF(F386="GRPE-000002",5,IF(F386="GRPE-000003",15,IF(F386="GRPE-000004",1,IF(F386="GRPE-000038",5,IF(F386="GRPE-900022",5,IF(F386="GRPE-000029",5,IF(F386="ATOS-000222",5,8))))))))</f>
        <v>8</v>
      </c>
      <c r="AE386" s="2">
        <f t="shared" ref="AE386:AE449" ca="1" si="47">IF(U386=$AE$1,"",U386-$AE$1)</f>
        <v>-44986.676271643519</v>
      </c>
      <c r="AF386" s="15"/>
    </row>
    <row r="387" spans="3:32">
      <c r="D387" s="1"/>
      <c r="E387" s="1"/>
      <c r="P387" s="11"/>
      <c r="U387" s="11"/>
      <c r="X387" s="13">
        <f t="shared" si="42"/>
        <v>0</v>
      </c>
      <c r="Y387" s="2">
        <f t="shared" ca="1" si="43"/>
        <v>32133</v>
      </c>
      <c r="Z387" s="14">
        <v>1</v>
      </c>
      <c r="AA387" s="1" t="str">
        <f t="shared" ca="1" si="44"/>
        <v>VENCIDO</v>
      </c>
      <c r="AB387" s="1" t="str">
        <f t="shared" si="45"/>
        <v>TAAe+</v>
      </c>
      <c r="AC387" s="2">
        <f t="shared" ref="AC387:AC450" si="48">IF(J387="TR-PETROLINA"," ROSEMERE ",IF(J387="TR-GARANHUNS"," ROSEMERE ",IF(J387="TR-CARUARU"," ROSEMERE ",IF(J387="TR-RIBEIRAO"," CRISTINA ",IF(J387="TR-GRAVATA"," CRISTINA ",IF(J387="TR-GOIANA"," CRISTINA ",IF(J387="TR-LIMOEIRO"," CRISTINA ",IF(J387="TR-SERRA TALHADA"," RINALDO ",IF(J387="TR-SALGUEIRO"," RINALDO ",IF(J387="TR-CARNAIBA"," RINALDO ",IF(J387="TR-ARCOVERDE"," RINALDO ",IF(J387="CAT-RECIFE"," CLEITON ",))))))))))))</f>
        <v>0</v>
      </c>
      <c r="AD387" s="2">
        <f t="shared" si="46"/>
        <v>8</v>
      </c>
      <c r="AE387" s="2">
        <f t="shared" ca="1" si="47"/>
        <v>-44986.676271643519</v>
      </c>
      <c r="AF387" s="15"/>
    </row>
    <row r="388" spans="3:32">
      <c r="D388" s="1"/>
      <c r="E388" s="1"/>
      <c r="P388" s="11"/>
      <c r="U388" s="11"/>
      <c r="X388" s="13">
        <f t="shared" si="42"/>
        <v>0</v>
      </c>
      <c r="Y388" s="2">
        <f t="shared" ca="1" si="43"/>
        <v>32133</v>
      </c>
      <c r="Z388" s="14">
        <v>1</v>
      </c>
      <c r="AA388" s="1" t="str">
        <f t="shared" ca="1" si="44"/>
        <v>VENCIDO</v>
      </c>
      <c r="AB388" s="1" t="str">
        <f t="shared" si="45"/>
        <v>TAAe+</v>
      </c>
      <c r="AC388" s="2">
        <f t="shared" si="48"/>
        <v>0</v>
      </c>
      <c r="AD388" s="2">
        <f t="shared" si="46"/>
        <v>8</v>
      </c>
      <c r="AE388" s="2">
        <f t="shared" ca="1" si="47"/>
        <v>-44986.676271643519</v>
      </c>
      <c r="AF388" s="15"/>
    </row>
    <row r="389" spans="3:32">
      <c r="D389" s="1"/>
      <c r="E389" s="1"/>
      <c r="P389" s="11"/>
      <c r="U389" s="11"/>
      <c r="X389" s="13">
        <f t="shared" si="42"/>
        <v>0</v>
      </c>
      <c r="Y389" s="2">
        <f t="shared" ca="1" si="43"/>
        <v>32133</v>
      </c>
      <c r="Z389" s="14">
        <v>1</v>
      </c>
      <c r="AA389" s="1" t="str">
        <f t="shared" ca="1" si="44"/>
        <v>VENCIDO</v>
      </c>
      <c r="AB389" s="1" t="str">
        <f t="shared" si="45"/>
        <v>TAAe+</v>
      </c>
      <c r="AC389" s="2">
        <f t="shared" si="48"/>
        <v>0</v>
      </c>
      <c r="AD389" s="2">
        <f t="shared" si="46"/>
        <v>8</v>
      </c>
      <c r="AE389" s="2">
        <f t="shared" ca="1" si="47"/>
        <v>-44986.676271643519</v>
      </c>
      <c r="AF389" s="15"/>
    </row>
    <row r="390" spans="3:32">
      <c r="D390" s="1"/>
      <c r="E390" s="1"/>
      <c r="P390" s="11"/>
      <c r="U390" s="11"/>
      <c r="X390" s="13">
        <f t="shared" si="42"/>
        <v>0</v>
      </c>
      <c r="Y390" s="2">
        <f t="shared" ca="1" si="43"/>
        <v>32133</v>
      </c>
      <c r="Z390" s="14">
        <v>1</v>
      </c>
      <c r="AA390" s="1" t="str">
        <f t="shared" ca="1" si="44"/>
        <v>VENCIDO</v>
      </c>
      <c r="AB390" s="1" t="str">
        <f t="shared" si="45"/>
        <v>TAAe+</v>
      </c>
      <c r="AC390" s="2">
        <f t="shared" si="48"/>
        <v>0</v>
      </c>
      <c r="AD390" s="2">
        <f t="shared" si="46"/>
        <v>8</v>
      </c>
      <c r="AE390" s="2">
        <f t="shared" ca="1" si="47"/>
        <v>-44986.676271643519</v>
      </c>
      <c r="AF390" s="15"/>
    </row>
    <row r="391" spans="3:32">
      <c r="C391" s="23"/>
      <c r="D391" s="1"/>
      <c r="E391" s="1"/>
      <c r="P391" s="11"/>
      <c r="U391" s="11"/>
      <c r="X391" s="13">
        <f t="shared" si="42"/>
        <v>0</v>
      </c>
      <c r="Y391" s="2">
        <f t="shared" ca="1" si="43"/>
        <v>32133</v>
      </c>
      <c r="Z391" s="14">
        <v>1</v>
      </c>
      <c r="AA391" s="1" t="str">
        <f t="shared" ca="1" si="44"/>
        <v>VENCIDO</v>
      </c>
      <c r="AB391" s="1" t="str">
        <f t="shared" si="45"/>
        <v>TAAe+</v>
      </c>
      <c r="AC391" s="2">
        <f t="shared" si="48"/>
        <v>0</v>
      </c>
      <c r="AD391" s="2">
        <f t="shared" si="46"/>
        <v>8</v>
      </c>
      <c r="AE391" s="2">
        <f t="shared" ca="1" si="47"/>
        <v>-44986.676271643519</v>
      </c>
      <c r="AF391" s="15"/>
    </row>
    <row r="392" spans="3:32">
      <c r="D392" s="1"/>
      <c r="E392" s="1"/>
      <c r="P392" s="11"/>
      <c r="X392" s="13">
        <f t="shared" si="42"/>
        <v>0</v>
      </c>
      <c r="Y392" s="2">
        <f t="shared" ca="1" si="43"/>
        <v>32133</v>
      </c>
      <c r="Z392" s="14">
        <v>1</v>
      </c>
      <c r="AA392" s="1" t="str">
        <f t="shared" ca="1" si="44"/>
        <v>VENCIDO</v>
      </c>
      <c r="AB392" s="1" t="str">
        <f t="shared" si="45"/>
        <v>TAAe+</v>
      </c>
      <c r="AC392" s="2">
        <f t="shared" si="48"/>
        <v>0</v>
      </c>
      <c r="AD392" s="2">
        <f t="shared" si="46"/>
        <v>8</v>
      </c>
      <c r="AE392" s="2">
        <f t="shared" ca="1" si="47"/>
        <v>-44986.676271643519</v>
      </c>
      <c r="AF392" s="15"/>
    </row>
    <row r="393" spans="3:32">
      <c r="D393" s="1"/>
      <c r="E393" s="1"/>
      <c r="P393" s="11"/>
      <c r="X393" s="13">
        <f t="shared" si="42"/>
        <v>0</v>
      </c>
      <c r="Y393" s="2">
        <f t="shared" ca="1" si="43"/>
        <v>32133</v>
      </c>
      <c r="Z393" s="14">
        <v>1</v>
      </c>
      <c r="AA393" s="1" t="str">
        <f t="shared" ca="1" si="44"/>
        <v>VENCIDO</v>
      </c>
      <c r="AB393" s="1" t="str">
        <f t="shared" si="45"/>
        <v>TAAe+</v>
      </c>
      <c r="AC393" s="2">
        <f t="shared" si="48"/>
        <v>0</v>
      </c>
      <c r="AD393" s="2">
        <f t="shared" si="46"/>
        <v>8</v>
      </c>
      <c r="AE393" s="2">
        <f t="shared" ca="1" si="47"/>
        <v>-44986.676271643519</v>
      </c>
      <c r="AF393" s="15"/>
    </row>
    <row r="394" spans="3:32">
      <c r="D394" s="1"/>
      <c r="E394" s="1"/>
      <c r="P394" s="11"/>
      <c r="X394" s="13">
        <f t="shared" si="42"/>
        <v>0</v>
      </c>
      <c r="Y394" s="2">
        <f t="shared" ca="1" si="43"/>
        <v>32133</v>
      </c>
      <c r="Z394" s="14">
        <v>1</v>
      </c>
      <c r="AA394" s="1" t="str">
        <f t="shared" ca="1" si="44"/>
        <v>VENCIDO</v>
      </c>
      <c r="AB394" s="1" t="str">
        <f t="shared" si="45"/>
        <v>TAAe+</v>
      </c>
      <c r="AC394" s="2">
        <f t="shared" si="48"/>
        <v>0</v>
      </c>
      <c r="AD394" s="2">
        <f t="shared" si="46"/>
        <v>8</v>
      </c>
      <c r="AE394" s="2">
        <f t="shared" ca="1" si="47"/>
        <v>-44986.676271643519</v>
      </c>
      <c r="AF394" s="15"/>
    </row>
    <row r="395" spans="3:32">
      <c r="D395" s="1"/>
      <c r="E395" s="1"/>
      <c r="P395" s="11"/>
      <c r="X395" s="13">
        <f t="shared" si="42"/>
        <v>0</v>
      </c>
      <c r="Y395" s="2">
        <f t="shared" ca="1" si="43"/>
        <v>32133</v>
      </c>
      <c r="Z395" s="14">
        <v>1</v>
      </c>
      <c r="AA395" s="1" t="str">
        <f t="shared" ca="1" si="44"/>
        <v>VENCIDO</v>
      </c>
      <c r="AB395" s="1" t="str">
        <f t="shared" si="45"/>
        <v>TAAe+</v>
      </c>
      <c r="AC395" s="2">
        <f t="shared" si="48"/>
        <v>0</v>
      </c>
      <c r="AD395" s="2">
        <f t="shared" si="46"/>
        <v>8</v>
      </c>
      <c r="AE395" s="2">
        <f t="shared" ca="1" si="47"/>
        <v>-44986.676271643519</v>
      </c>
      <c r="AF395" s="15"/>
    </row>
    <row r="396" spans="3:32">
      <c r="D396" s="1"/>
      <c r="E396" s="1"/>
      <c r="P396" s="11"/>
      <c r="X396" s="13">
        <f t="shared" si="42"/>
        <v>0</v>
      </c>
      <c r="Y396" s="2">
        <f t="shared" ca="1" si="43"/>
        <v>32133</v>
      </c>
      <c r="Z396" s="14">
        <v>1</v>
      </c>
      <c r="AA396" s="1" t="str">
        <f t="shared" ca="1" si="44"/>
        <v>VENCIDO</v>
      </c>
      <c r="AB396" s="1" t="str">
        <f t="shared" si="45"/>
        <v>TAAe+</v>
      </c>
      <c r="AC396" s="2">
        <f t="shared" si="48"/>
        <v>0</v>
      </c>
      <c r="AD396" s="2">
        <f t="shared" si="46"/>
        <v>8</v>
      </c>
      <c r="AE396" s="2">
        <f t="shared" ca="1" si="47"/>
        <v>-44986.676271643519</v>
      </c>
      <c r="AF396" s="15"/>
    </row>
    <row r="397" spans="3:32">
      <c r="D397" s="1"/>
      <c r="E397" s="1"/>
      <c r="P397" s="11"/>
      <c r="U397" s="11"/>
      <c r="X397" s="13">
        <f t="shared" si="42"/>
        <v>0</v>
      </c>
      <c r="Y397" s="2">
        <f t="shared" ca="1" si="43"/>
        <v>32133</v>
      </c>
      <c r="Z397" s="14">
        <v>1</v>
      </c>
      <c r="AA397" s="1" t="str">
        <f t="shared" ca="1" si="44"/>
        <v>VENCIDO</v>
      </c>
      <c r="AB397" s="1" t="str">
        <f t="shared" si="45"/>
        <v>TAAe+</v>
      </c>
      <c r="AC397" s="2">
        <f t="shared" si="48"/>
        <v>0</v>
      </c>
      <c r="AD397" s="2">
        <f t="shared" si="46"/>
        <v>8</v>
      </c>
      <c r="AE397" s="2">
        <f t="shared" ca="1" si="47"/>
        <v>-44986.676271643519</v>
      </c>
      <c r="AF397" s="15"/>
    </row>
    <row r="398" spans="3:32">
      <c r="D398" s="1"/>
      <c r="E398" s="1"/>
      <c r="P398" s="11"/>
      <c r="U398" s="11"/>
      <c r="X398" s="13">
        <f t="shared" si="42"/>
        <v>0</v>
      </c>
      <c r="Y398" s="2">
        <f t="shared" ca="1" si="43"/>
        <v>32133</v>
      </c>
      <c r="Z398" s="14">
        <v>1</v>
      </c>
      <c r="AA398" s="1" t="str">
        <f t="shared" ca="1" si="44"/>
        <v>VENCIDO</v>
      </c>
      <c r="AB398" s="1" t="str">
        <f t="shared" si="45"/>
        <v>TAAe+</v>
      </c>
      <c r="AC398" s="2">
        <f t="shared" si="48"/>
        <v>0</v>
      </c>
      <c r="AD398" s="2">
        <f t="shared" si="46"/>
        <v>8</v>
      </c>
      <c r="AE398" s="2">
        <f t="shared" ca="1" si="47"/>
        <v>-44986.676271643519</v>
      </c>
      <c r="AF398" s="15"/>
    </row>
    <row r="399" spans="3:32">
      <c r="D399" s="1"/>
      <c r="E399" s="1"/>
      <c r="P399" s="11"/>
      <c r="U399" s="11"/>
      <c r="X399" s="13">
        <f t="shared" si="42"/>
        <v>0</v>
      </c>
      <c r="Y399" s="2">
        <f t="shared" ca="1" si="43"/>
        <v>32133</v>
      </c>
      <c r="Z399" s="14">
        <v>1</v>
      </c>
      <c r="AA399" s="1" t="str">
        <f t="shared" ca="1" si="44"/>
        <v>VENCIDO</v>
      </c>
      <c r="AB399" s="1" t="str">
        <f t="shared" si="45"/>
        <v>TAAe+</v>
      </c>
      <c r="AC399" s="2">
        <f t="shared" si="48"/>
        <v>0</v>
      </c>
      <c r="AD399" s="2">
        <f t="shared" si="46"/>
        <v>8</v>
      </c>
      <c r="AE399" s="2">
        <f t="shared" ca="1" si="47"/>
        <v>-44986.676271643519</v>
      </c>
      <c r="AF399" s="15"/>
    </row>
    <row r="400" spans="3:32">
      <c r="D400" s="1"/>
      <c r="E400" s="1"/>
      <c r="P400" s="11"/>
      <c r="U400" s="11"/>
      <c r="X400" s="13">
        <f t="shared" si="42"/>
        <v>0</v>
      </c>
      <c r="Y400" s="2">
        <f t="shared" ca="1" si="43"/>
        <v>32133</v>
      </c>
      <c r="Z400" s="14">
        <v>1</v>
      </c>
      <c r="AA400" s="1" t="str">
        <f t="shared" ca="1" si="44"/>
        <v>VENCIDO</v>
      </c>
      <c r="AB400" s="1" t="str">
        <f t="shared" si="45"/>
        <v>TAAe+</v>
      </c>
      <c r="AC400" s="2">
        <f t="shared" si="48"/>
        <v>0</v>
      </c>
      <c r="AD400" s="2">
        <f t="shared" si="46"/>
        <v>8</v>
      </c>
      <c r="AE400" s="2">
        <f t="shared" ca="1" si="47"/>
        <v>-44986.676271643519</v>
      </c>
      <c r="AF400" s="15"/>
    </row>
    <row r="401" spans="4:32">
      <c r="D401" s="1"/>
      <c r="E401" s="1"/>
      <c r="P401" s="11"/>
      <c r="U401" s="11"/>
      <c r="X401" s="13">
        <f t="shared" si="42"/>
        <v>0</v>
      </c>
      <c r="Y401" s="2">
        <f t="shared" ca="1" si="43"/>
        <v>32133</v>
      </c>
      <c r="Z401" s="14">
        <v>1</v>
      </c>
      <c r="AA401" s="1" t="str">
        <f t="shared" ca="1" si="44"/>
        <v>VENCIDO</v>
      </c>
      <c r="AB401" s="1" t="str">
        <f t="shared" si="45"/>
        <v>TAAe+</v>
      </c>
      <c r="AC401" s="2">
        <f t="shared" si="48"/>
        <v>0</v>
      </c>
      <c r="AD401" s="2">
        <f t="shared" si="46"/>
        <v>8</v>
      </c>
      <c r="AE401" s="2">
        <f t="shared" ca="1" si="47"/>
        <v>-44986.676271643519</v>
      </c>
      <c r="AF401" s="15"/>
    </row>
    <row r="402" spans="4:32">
      <c r="D402" s="1"/>
      <c r="E402" s="1"/>
      <c r="P402" s="11"/>
      <c r="X402" s="13">
        <f t="shared" si="42"/>
        <v>0</v>
      </c>
      <c r="Y402" s="2">
        <f t="shared" ca="1" si="43"/>
        <v>32133</v>
      </c>
      <c r="Z402" s="14">
        <v>1</v>
      </c>
      <c r="AA402" s="1" t="str">
        <f t="shared" ca="1" si="44"/>
        <v>VENCIDO</v>
      </c>
      <c r="AB402" s="1" t="str">
        <f t="shared" si="45"/>
        <v>TAAe+</v>
      </c>
      <c r="AC402" s="2">
        <f t="shared" si="48"/>
        <v>0</v>
      </c>
      <c r="AD402" s="2">
        <f t="shared" si="46"/>
        <v>8</v>
      </c>
      <c r="AE402" s="2">
        <f t="shared" ca="1" si="47"/>
        <v>-44986.676271643519</v>
      </c>
      <c r="AF402" s="15"/>
    </row>
    <row r="403" spans="4:32">
      <c r="D403" s="1"/>
      <c r="E403" s="1"/>
      <c r="P403" s="11"/>
      <c r="X403" s="13">
        <f t="shared" si="42"/>
        <v>0</v>
      </c>
      <c r="Y403" s="2">
        <f t="shared" ca="1" si="43"/>
        <v>32133</v>
      </c>
      <c r="Z403" s="14">
        <v>1</v>
      </c>
      <c r="AA403" s="1" t="str">
        <f t="shared" ca="1" si="44"/>
        <v>VENCIDO</v>
      </c>
      <c r="AB403" s="1" t="str">
        <f t="shared" si="45"/>
        <v>TAAe+</v>
      </c>
      <c r="AC403" s="2">
        <f t="shared" si="48"/>
        <v>0</v>
      </c>
      <c r="AD403" s="2">
        <f t="shared" si="46"/>
        <v>8</v>
      </c>
      <c r="AE403" s="2">
        <f t="shared" ca="1" si="47"/>
        <v>-44986.676271643519</v>
      </c>
      <c r="AF403" s="15"/>
    </row>
    <row r="404" spans="4:32">
      <c r="D404" s="1"/>
      <c r="E404" s="1"/>
      <c r="P404" s="11"/>
      <c r="X404" s="13">
        <f t="shared" si="42"/>
        <v>0</v>
      </c>
      <c r="Y404" s="2">
        <f t="shared" ca="1" si="43"/>
        <v>32133</v>
      </c>
      <c r="Z404" s="14">
        <v>1</v>
      </c>
      <c r="AA404" s="1" t="str">
        <f t="shared" ca="1" si="44"/>
        <v>VENCIDO</v>
      </c>
      <c r="AB404" s="1" t="str">
        <f t="shared" si="45"/>
        <v>TAAe+</v>
      </c>
      <c r="AC404" s="2">
        <f t="shared" si="48"/>
        <v>0</v>
      </c>
      <c r="AD404" s="2">
        <f t="shared" si="46"/>
        <v>8</v>
      </c>
      <c r="AE404" s="2">
        <f t="shared" ca="1" si="47"/>
        <v>-44986.676271643519</v>
      </c>
      <c r="AF404" s="15"/>
    </row>
    <row r="405" spans="4:32">
      <c r="D405" s="1"/>
      <c r="E405" s="1"/>
      <c r="P405" s="11"/>
      <c r="X405" s="13">
        <f t="shared" si="42"/>
        <v>0</v>
      </c>
      <c r="Y405" s="2">
        <f t="shared" ca="1" si="43"/>
        <v>32133</v>
      </c>
      <c r="Z405" s="14">
        <v>1</v>
      </c>
      <c r="AA405" s="1" t="str">
        <f t="shared" ca="1" si="44"/>
        <v>VENCIDO</v>
      </c>
      <c r="AB405" s="1" t="str">
        <f t="shared" si="45"/>
        <v>TAAe+</v>
      </c>
      <c r="AC405" s="2">
        <f t="shared" si="48"/>
        <v>0</v>
      </c>
      <c r="AD405" s="2">
        <f t="shared" si="46"/>
        <v>8</v>
      </c>
      <c r="AE405" s="2">
        <f t="shared" ca="1" si="47"/>
        <v>-44986.676271643519</v>
      </c>
      <c r="AF405" s="15"/>
    </row>
    <row r="406" spans="4:32">
      <c r="D406" s="1"/>
      <c r="E406" s="1"/>
      <c r="P406" s="11"/>
      <c r="X406" s="13">
        <f t="shared" si="42"/>
        <v>0</v>
      </c>
      <c r="Y406" s="2">
        <f t="shared" ca="1" si="43"/>
        <v>32133</v>
      </c>
      <c r="Z406" s="14">
        <v>1</v>
      </c>
      <c r="AA406" s="1" t="str">
        <f t="shared" ca="1" si="44"/>
        <v>VENCIDO</v>
      </c>
      <c r="AB406" s="1" t="str">
        <f t="shared" si="45"/>
        <v>TAAe+</v>
      </c>
      <c r="AC406" s="2">
        <f t="shared" si="48"/>
        <v>0</v>
      </c>
      <c r="AD406" s="2">
        <f t="shared" si="46"/>
        <v>8</v>
      </c>
      <c r="AE406" s="2">
        <f t="shared" ca="1" si="47"/>
        <v>-44986.676271643519</v>
      </c>
      <c r="AF406" s="15"/>
    </row>
    <row r="407" spans="4:32">
      <c r="D407" s="1"/>
      <c r="E407" s="1"/>
      <c r="P407" s="11"/>
      <c r="X407" s="13">
        <f t="shared" si="42"/>
        <v>0</v>
      </c>
      <c r="Y407" s="2">
        <f t="shared" ca="1" si="43"/>
        <v>32133</v>
      </c>
      <c r="Z407" s="14">
        <v>1</v>
      </c>
      <c r="AA407" s="1" t="str">
        <f t="shared" ca="1" si="44"/>
        <v>VENCIDO</v>
      </c>
      <c r="AB407" s="1" t="str">
        <f t="shared" si="45"/>
        <v>TAAe+</v>
      </c>
      <c r="AC407" s="2">
        <f t="shared" si="48"/>
        <v>0</v>
      </c>
      <c r="AD407" s="2">
        <f t="shared" si="46"/>
        <v>8</v>
      </c>
      <c r="AE407" s="2">
        <f t="shared" ca="1" si="47"/>
        <v>-44986.676271643519</v>
      </c>
      <c r="AF407" s="15"/>
    </row>
    <row r="408" spans="4:32">
      <c r="D408" s="1"/>
      <c r="E408" s="1"/>
      <c r="P408" s="11"/>
      <c r="X408" s="13">
        <f t="shared" si="42"/>
        <v>0</v>
      </c>
      <c r="Y408" s="2">
        <f t="shared" ca="1" si="43"/>
        <v>32133</v>
      </c>
      <c r="Z408" s="14">
        <v>1</v>
      </c>
      <c r="AA408" s="1" t="str">
        <f t="shared" ca="1" si="44"/>
        <v>VENCIDO</v>
      </c>
      <c r="AB408" s="1" t="str">
        <f t="shared" si="45"/>
        <v>TAAe+</v>
      </c>
      <c r="AC408" s="2">
        <f t="shared" si="48"/>
        <v>0</v>
      </c>
      <c r="AD408" s="2">
        <f t="shared" si="46"/>
        <v>8</v>
      </c>
      <c r="AE408" s="2">
        <f t="shared" ca="1" si="47"/>
        <v>-44986.676271643519</v>
      </c>
      <c r="AF408" s="15"/>
    </row>
    <row r="409" spans="4:32">
      <c r="D409" s="1"/>
      <c r="E409" s="1"/>
      <c r="P409" s="11"/>
      <c r="X409" s="13">
        <f t="shared" si="42"/>
        <v>0</v>
      </c>
      <c r="Y409" s="2">
        <f t="shared" ca="1" si="43"/>
        <v>32133</v>
      </c>
      <c r="Z409" s="14">
        <v>1</v>
      </c>
      <c r="AA409" s="1" t="str">
        <f t="shared" ca="1" si="44"/>
        <v>VENCIDO</v>
      </c>
      <c r="AB409" s="1" t="str">
        <f t="shared" si="45"/>
        <v>TAAe+</v>
      </c>
      <c r="AC409" s="2">
        <f t="shared" si="48"/>
        <v>0</v>
      </c>
      <c r="AD409" s="2">
        <f t="shared" si="46"/>
        <v>8</v>
      </c>
      <c r="AE409" s="2">
        <f t="shared" ca="1" si="47"/>
        <v>-44986.676271643519</v>
      </c>
      <c r="AF409" s="15"/>
    </row>
    <row r="410" spans="4:32">
      <c r="D410" s="1"/>
      <c r="E410" s="1"/>
      <c r="P410" s="11"/>
      <c r="X410" s="13">
        <f t="shared" si="42"/>
        <v>0</v>
      </c>
      <c r="Y410" s="2">
        <f t="shared" ca="1" si="43"/>
        <v>32133</v>
      </c>
      <c r="Z410" s="14">
        <v>1</v>
      </c>
      <c r="AA410" s="1" t="str">
        <f t="shared" ca="1" si="44"/>
        <v>VENCIDO</v>
      </c>
      <c r="AB410" s="1" t="str">
        <f t="shared" si="45"/>
        <v>TAAe+</v>
      </c>
      <c r="AC410" s="2">
        <f t="shared" si="48"/>
        <v>0</v>
      </c>
      <c r="AD410" s="2">
        <f t="shared" si="46"/>
        <v>8</v>
      </c>
      <c r="AE410" s="2">
        <f t="shared" ca="1" si="47"/>
        <v>-44986.676271643519</v>
      </c>
      <c r="AF410" s="15"/>
    </row>
    <row r="411" spans="4:32">
      <c r="D411" s="1"/>
      <c r="E411" s="1"/>
      <c r="P411" s="11"/>
      <c r="X411" s="13">
        <f t="shared" si="42"/>
        <v>0</v>
      </c>
      <c r="Y411" s="2">
        <f t="shared" ca="1" si="43"/>
        <v>32133</v>
      </c>
      <c r="Z411" s="14">
        <v>1</v>
      </c>
      <c r="AA411" s="1" t="str">
        <f t="shared" ca="1" si="44"/>
        <v>VENCIDO</v>
      </c>
      <c r="AB411" s="1" t="str">
        <f t="shared" si="45"/>
        <v>TAAe+</v>
      </c>
      <c r="AC411" s="2">
        <f t="shared" si="48"/>
        <v>0</v>
      </c>
      <c r="AD411" s="2">
        <f t="shared" si="46"/>
        <v>8</v>
      </c>
      <c r="AE411" s="2">
        <f t="shared" ca="1" si="47"/>
        <v>-44986.676271643519</v>
      </c>
      <c r="AF411" s="15"/>
    </row>
    <row r="412" spans="4:32">
      <c r="D412" s="1"/>
      <c r="E412" s="1"/>
      <c r="P412" s="11"/>
      <c r="X412" s="13">
        <f t="shared" si="42"/>
        <v>0</v>
      </c>
      <c r="Y412" s="2">
        <f t="shared" ca="1" si="43"/>
        <v>32133</v>
      </c>
      <c r="Z412" s="14">
        <v>1</v>
      </c>
      <c r="AA412" s="1" t="str">
        <f t="shared" ca="1" si="44"/>
        <v>VENCIDO</v>
      </c>
      <c r="AB412" s="1" t="str">
        <f t="shared" si="45"/>
        <v>TAAe+</v>
      </c>
      <c r="AC412" s="2">
        <f t="shared" si="48"/>
        <v>0</v>
      </c>
      <c r="AD412" s="2">
        <f t="shared" si="46"/>
        <v>8</v>
      </c>
      <c r="AE412" s="2">
        <f t="shared" ca="1" si="47"/>
        <v>-44986.676271643519</v>
      </c>
      <c r="AF412" s="15"/>
    </row>
    <row r="413" spans="4:32">
      <c r="D413" s="1"/>
      <c r="E413" s="1"/>
      <c r="P413" s="11"/>
      <c r="X413" s="13">
        <f t="shared" si="42"/>
        <v>0</v>
      </c>
      <c r="Y413" s="2">
        <f t="shared" ca="1" si="43"/>
        <v>32133</v>
      </c>
      <c r="Z413" s="14">
        <v>1</v>
      </c>
      <c r="AA413" s="1" t="str">
        <f t="shared" ca="1" si="44"/>
        <v>VENCIDO</v>
      </c>
      <c r="AB413" s="1" t="str">
        <f t="shared" si="45"/>
        <v>TAAe+</v>
      </c>
      <c r="AC413" s="2">
        <f t="shared" si="48"/>
        <v>0</v>
      </c>
      <c r="AD413" s="2">
        <f t="shared" si="46"/>
        <v>8</v>
      </c>
      <c r="AE413" s="2">
        <f t="shared" ca="1" si="47"/>
        <v>-44986.676271643519</v>
      </c>
      <c r="AF413" s="15"/>
    </row>
    <row r="414" spans="4:32">
      <c r="D414" s="1"/>
      <c r="E414" s="1"/>
      <c r="P414" s="11"/>
      <c r="X414" s="13">
        <f t="shared" si="42"/>
        <v>0</v>
      </c>
      <c r="Y414" s="2">
        <f t="shared" ca="1" si="43"/>
        <v>32133</v>
      </c>
      <c r="Z414" s="14">
        <v>1</v>
      </c>
      <c r="AA414" s="1" t="str">
        <f t="shared" ca="1" si="44"/>
        <v>VENCIDO</v>
      </c>
      <c r="AB414" s="1" t="str">
        <f t="shared" si="45"/>
        <v>TAAe+</v>
      </c>
      <c r="AC414" s="2">
        <f t="shared" si="48"/>
        <v>0</v>
      </c>
      <c r="AD414" s="2">
        <f t="shared" si="46"/>
        <v>8</v>
      </c>
      <c r="AE414" s="2">
        <f t="shared" ca="1" si="47"/>
        <v>-44986.676271643519</v>
      </c>
      <c r="AF414" s="15"/>
    </row>
    <row r="415" spans="4:32">
      <c r="D415" s="1"/>
      <c r="E415" s="1"/>
      <c r="P415" s="11"/>
      <c r="X415" s="13">
        <f t="shared" si="42"/>
        <v>0</v>
      </c>
      <c r="Y415" s="2">
        <f t="shared" ca="1" si="43"/>
        <v>32133</v>
      </c>
      <c r="Z415" s="14">
        <v>1</v>
      </c>
      <c r="AA415" s="1" t="str">
        <f t="shared" ca="1" si="44"/>
        <v>VENCIDO</v>
      </c>
      <c r="AB415" s="1" t="str">
        <f t="shared" si="45"/>
        <v>TAAe+</v>
      </c>
      <c r="AC415" s="2">
        <f t="shared" si="48"/>
        <v>0</v>
      </c>
      <c r="AD415" s="2">
        <f t="shared" si="46"/>
        <v>8</v>
      </c>
      <c r="AE415" s="2">
        <f t="shared" ca="1" si="47"/>
        <v>-44986.676271643519</v>
      </c>
      <c r="AF415" s="15"/>
    </row>
    <row r="416" spans="4:32">
      <c r="D416" s="1"/>
      <c r="E416" s="1"/>
      <c r="P416" s="11"/>
      <c r="X416" s="13">
        <f t="shared" si="42"/>
        <v>0</v>
      </c>
      <c r="Y416" s="2">
        <f t="shared" ca="1" si="43"/>
        <v>32133</v>
      </c>
      <c r="Z416" s="14">
        <v>1</v>
      </c>
      <c r="AA416" s="1" t="str">
        <f t="shared" ca="1" si="44"/>
        <v>VENCIDO</v>
      </c>
      <c r="AB416" s="1" t="str">
        <f t="shared" si="45"/>
        <v>TAAe+</v>
      </c>
      <c r="AC416" s="2">
        <f t="shared" si="48"/>
        <v>0</v>
      </c>
      <c r="AD416" s="2">
        <f t="shared" si="46"/>
        <v>8</v>
      </c>
      <c r="AE416" s="2">
        <f t="shared" ca="1" si="47"/>
        <v>-44986.676271643519</v>
      </c>
      <c r="AF416" s="15"/>
    </row>
    <row r="417" spans="3:32">
      <c r="D417" s="1"/>
      <c r="E417" s="1"/>
      <c r="P417" s="11"/>
      <c r="X417" s="13">
        <f t="shared" si="42"/>
        <v>0</v>
      </c>
      <c r="Y417" s="2">
        <f t="shared" ca="1" si="43"/>
        <v>32133</v>
      </c>
      <c r="Z417" s="14">
        <v>1</v>
      </c>
      <c r="AA417" s="1" t="str">
        <f t="shared" ca="1" si="44"/>
        <v>VENCIDO</v>
      </c>
      <c r="AB417" s="1" t="str">
        <f t="shared" si="45"/>
        <v>TAAe+</v>
      </c>
      <c r="AC417" s="2">
        <f t="shared" si="48"/>
        <v>0</v>
      </c>
      <c r="AD417" s="2">
        <f t="shared" si="46"/>
        <v>8</v>
      </c>
      <c r="AE417" s="2">
        <f t="shared" ca="1" si="47"/>
        <v>-44986.676271643519</v>
      </c>
      <c r="AF417" s="15"/>
    </row>
    <row r="418" spans="3:32">
      <c r="D418" s="1"/>
      <c r="E418" s="1"/>
      <c r="P418" s="11"/>
      <c r="X418" s="13">
        <f t="shared" si="42"/>
        <v>0</v>
      </c>
      <c r="Y418" s="2">
        <f t="shared" ca="1" si="43"/>
        <v>32133</v>
      </c>
      <c r="Z418" s="14">
        <v>1</v>
      </c>
      <c r="AA418" s="1" t="str">
        <f t="shared" ca="1" si="44"/>
        <v>VENCIDO</v>
      </c>
      <c r="AB418" s="1" t="str">
        <f t="shared" si="45"/>
        <v>TAAe+</v>
      </c>
      <c r="AC418" s="2">
        <f t="shared" si="48"/>
        <v>0</v>
      </c>
      <c r="AD418" s="2">
        <f t="shared" si="46"/>
        <v>8</v>
      </c>
      <c r="AE418" s="2">
        <f t="shared" ca="1" si="47"/>
        <v>-44986.676271643519</v>
      </c>
      <c r="AF418" s="15"/>
    </row>
    <row r="419" spans="3:32">
      <c r="D419" s="1"/>
      <c r="E419" s="1"/>
      <c r="P419" s="11"/>
      <c r="X419" s="13">
        <f t="shared" si="42"/>
        <v>0</v>
      </c>
      <c r="Y419" s="2">
        <f t="shared" ca="1" si="43"/>
        <v>32133</v>
      </c>
      <c r="Z419" s="14">
        <v>1</v>
      </c>
      <c r="AA419" s="1" t="str">
        <f t="shared" ca="1" si="44"/>
        <v>VENCIDO</v>
      </c>
      <c r="AB419" s="1" t="str">
        <f t="shared" si="45"/>
        <v>TAAe+</v>
      </c>
      <c r="AC419" s="2">
        <f t="shared" si="48"/>
        <v>0</v>
      </c>
      <c r="AD419" s="2">
        <f t="shared" si="46"/>
        <v>8</v>
      </c>
      <c r="AE419" s="2">
        <f t="shared" ca="1" si="47"/>
        <v>-44986.676271643519</v>
      </c>
      <c r="AF419" s="15"/>
    </row>
    <row r="420" spans="3:32">
      <c r="D420" s="1"/>
      <c r="E420" s="1"/>
      <c r="P420" s="11"/>
      <c r="X420" s="13">
        <f t="shared" si="42"/>
        <v>0</v>
      </c>
      <c r="Y420" s="2">
        <f t="shared" ca="1" si="43"/>
        <v>32133</v>
      </c>
      <c r="Z420" s="14">
        <v>1</v>
      </c>
      <c r="AA420" s="1" t="str">
        <f t="shared" ca="1" si="44"/>
        <v>VENCIDO</v>
      </c>
      <c r="AB420" s="1" t="str">
        <f t="shared" si="45"/>
        <v>TAAe+</v>
      </c>
      <c r="AC420" s="2">
        <f t="shared" si="48"/>
        <v>0</v>
      </c>
      <c r="AD420" s="2">
        <f t="shared" si="46"/>
        <v>8</v>
      </c>
      <c r="AE420" s="2">
        <f t="shared" ca="1" si="47"/>
        <v>-44986.676271643519</v>
      </c>
      <c r="AF420" s="15"/>
    </row>
    <row r="421" spans="3:32">
      <c r="D421" s="1"/>
      <c r="E421" s="1"/>
      <c r="P421" s="11"/>
      <c r="X421" s="13">
        <f t="shared" si="42"/>
        <v>0</v>
      </c>
      <c r="Y421" s="2">
        <f t="shared" ca="1" si="43"/>
        <v>32133</v>
      </c>
      <c r="Z421" s="14">
        <v>1</v>
      </c>
      <c r="AA421" s="1" t="str">
        <f t="shared" ca="1" si="44"/>
        <v>VENCIDO</v>
      </c>
      <c r="AB421" s="1" t="str">
        <f t="shared" si="45"/>
        <v>TAAe+</v>
      </c>
      <c r="AC421" s="2">
        <f t="shared" si="48"/>
        <v>0</v>
      </c>
      <c r="AD421" s="2">
        <f t="shared" si="46"/>
        <v>8</v>
      </c>
      <c r="AE421" s="2">
        <f t="shared" ca="1" si="47"/>
        <v>-44986.676271643519</v>
      </c>
      <c r="AF421" s="15"/>
    </row>
    <row r="422" spans="3:32">
      <c r="D422" s="1"/>
      <c r="E422" s="1"/>
      <c r="P422" s="11"/>
      <c r="X422" s="13">
        <f t="shared" si="42"/>
        <v>0</v>
      </c>
      <c r="Y422" s="2">
        <f t="shared" ca="1" si="43"/>
        <v>32133</v>
      </c>
      <c r="Z422" s="14">
        <v>1</v>
      </c>
      <c r="AA422" s="1" t="str">
        <f t="shared" ca="1" si="44"/>
        <v>VENCIDO</v>
      </c>
      <c r="AB422" s="1" t="str">
        <f t="shared" si="45"/>
        <v>TAAe+</v>
      </c>
      <c r="AC422" s="2">
        <f t="shared" si="48"/>
        <v>0</v>
      </c>
      <c r="AD422" s="2">
        <f t="shared" si="46"/>
        <v>8</v>
      </c>
      <c r="AE422" s="2">
        <f t="shared" ca="1" si="47"/>
        <v>-44986.676271643519</v>
      </c>
      <c r="AF422" s="15"/>
    </row>
    <row r="423" spans="3:32">
      <c r="D423" s="1"/>
      <c r="E423" s="1"/>
      <c r="P423" s="11"/>
      <c r="U423" s="11"/>
      <c r="X423" s="13">
        <f t="shared" si="42"/>
        <v>0</v>
      </c>
      <c r="Y423" s="2">
        <f t="shared" ca="1" si="43"/>
        <v>32133</v>
      </c>
      <c r="Z423" s="14">
        <v>1</v>
      </c>
      <c r="AA423" s="1" t="str">
        <f t="shared" ca="1" si="44"/>
        <v>VENCIDO</v>
      </c>
      <c r="AB423" s="1" t="str">
        <f t="shared" si="45"/>
        <v>TAAe+</v>
      </c>
      <c r="AC423" s="2">
        <f t="shared" si="48"/>
        <v>0</v>
      </c>
      <c r="AD423" s="2">
        <f t="shared" si="46"/>
        <v>8</v>
      </c>
      <c r="AE423" s="2">
        <f t="shared" ca="1" si="47"/>
        <v>-44986.676271643519</v>
      </c>
      <c r="AF423" s="15"/>
    </row>
    <row r="424" spans="3:32">
      <c r="D424" s="1"/>
      <c r="E424" s="1"/>
      <c r="P424" s="11"/>
      <c r="U424" s="11"/>
      <c r="X424" s="13">
        <f t="shared" si="42"/>
        <v>0</v>
      </c>
      <c r="Y424" s="2">
        <f t="shared" ca="1" si="43"/>
        <v>32133</v>
      </c>
      <c r="Z424" s="14">
        <v>1</v>
      </c>
      <c r="AA424" s="1" t="str">
        <f t="shared" ca="1" si="44"/>
        <v>VENCIDO</v>
      </c>
      <c r="AB424" s="1" t="str">
        <f t="shared" si="45"/>
        <v>TAAe+</v>
      </c>
      <c r="AC424" s="2">
        <f t="shared" si="48"/>
        <v>0</v>
      </c>
      <c r="AD424" s="2">
        <f t="shared" si="46"/>
        <v>8</v>
      </c>
      <c r="AE424" s="2">
        <f t="shared" ca="1" si="47"/>
        <v>-44986.676271643519</v>
      </c>
      <c r="AF424" s="15"/>
    </row>
    <row r="425" spans="3:32">
      <c r="D425" s="1"/>
      <c r="E425" s="1"/>
      <c r="P425" s="11"/>
      <c r="U425" s="11"/>
      <c r="X425" s="13">
        <f t="shared" si="42"/>
        <v>0</v>
      </c>
      <c r="Y425" s="2">
        <f t="shared" ca="1" si="43"/>
        <v>32133</v>
      </c>
      <c r="Z425" s="14">
        <v>1</v>
      </c>
      <c r="AA425" s="1" t="str">
        <f t="shared" ca="1" si="44"/>
        <v>VENCIDO</v>
      </c>
      <c r="AB425" s="1" t="str">
        <f t="shared" si="45"/>
        <v>TAAe+</v>
      </c>
      <c r="AC425" s="2">
        <f t="shared" si="48"/>
        <v>0</v>
      </c>
      <c r="AD425" s="2">
        <f t="shared" si="46"/>
        <v>8</v>
      </c>
      <c r="AE425" s="2">
        <f t="shared" ca="1" si="47"/>
        <v>-44986.676271643519</v>
      </c>
      <c r="AF425" s="15"/>
    </row>
    <row r="426" spans="3:32">
      <c r="D426" s="1"/>
      <c r="E426" s="1"/>
      <c r="P426" s="11"/>
      <c r="U426" s="11"/>
      <c r="X426" s="13">
        <f t="shared" si="42"/>
        <v>0</v>
      </c>
      <c r="Y426" s="2">
        <f t="shared" ca="1" si="43"/>
        <v>32133</v>
      </c>
      <c r="Z426" s="14">
        <v>1</v>
      </c>
      <c r="AA426" s="1" t="str">
        <f t="shared" ca="1" si="44"/>
        <v>VENCIDO</v>
      </c>
      <c r="AB426" s="1" t="str">
        <f t="shared" si="45"/>
        <v>TAAe+</v>
      </c>
      <c r="AC426" s="2">
        <f t="shared" si="48"/>
        <v>0</v>
      </c>
      <c r="AD426" s="2">
        <f t="shared" si="46"/>
        <v>8</v>
      </c>
      <c r="AE426" s="2">
        <f t="shared" ca="1" si="47"/>
        <v>-44986.676271643519</v>
      </c>
      <c r="AF426" s="15"/>
    </row>
    <row r="427" spans="3:32">
      <c r="D427" s="1"/>
      <c r="E427" s="1"/>
      <c r="P427" s="11"/>
      <c r="U427" s="11"/>
      <c r="X427" s="13">
        <f t="shared" si="42"/>
        <v>0</v>
      </c>
      <c r="Y427" s="2">
        <f t="shared" ca="1" si="43"/>
        <v>32133</v>
      </c>
      <c r="Z427" s="14">
        <v>1</v>
      </c>
      <c r="AA427" s="1" t="str">
        <f t="shared" ca="1" si="44"/>
        <v>VENCIDO</v>
      </c>
      <c r="AB427" s="1" t="str">
        <f t="shared" si="45"/>
        <v>TAAe+</v>
      </c>
      <c r="AC427" s="2">
        <f t="shared" si="48"/>
        <v>0</v>
      </c>
      <c r="AD427" s="2">
        <f t="shared" si="46"/>
        <v>8</v>
      </c>
      <c r="AE427" s="2">
        <f t="shared" ca="1" si="47"/>
        <v>-44986.676271643519</v>
      </c>
      <c r="AF427" s="15"/>
    </row>
    <row r="428" spans="3:32">
      <c r="D428" s="1"/>
      <c r="E428" s="1"/>
      <c r="P428" s="11"/>
      <c r="U428" s="11"/>
      <c r="X428" s="13">
        <f t="shared" si="42"/>
        <v>0</v>
      </c>
      <c r="Y428" s="2">
        <f t="shared" ca="1" si="43"/>
        <v>32133</v>
      </c>
      <c r="Z428" s="14">
        <v>1</v>
      </c>
      <c r="AA428" s="1" t="str">
        <f t="shared" ca="1" si="44"/>
        <v>VENCIDO</v>
      </c>
      <c r="AB428" s="1" t="str">
        <f t="shared" si="45"/>
        <v>TAAe+</v>
      </c>
      <c r="AC428" s="2">
        <f t="shared" si="48"/>
        <v>0</v>
      </c>
      <c r="AD428" s="2">
        <f t="shared" si="46"/>
        <v>8</v>
      </c>
      <c r="AE428" s="2">
        <f t="shared" ca="1" si="47"/>
        <v>-44986.676271643519</v>
      </c>
      <c r="AF428" s="15"/>
    </row>
    <row r="429" spans="3:32">
      <c r="D429" s="1"/>
      <c r="E429" s="1"/>
      <c r="P429" s="11"/>
      <c r="U429" s="11"/>
      <c r="X429" s="13">
        <f t="shared" si="42"/>
        <v>0</v>
      </c>
      <c r="Y429" s="2">
        <f t="shared" ca="1" si="43"/>
        <v>32133</v>
      </c>
      <c r="Z429" s="14">
        <v>1</v>
      </c>
      <c r="AA429" s="1" t="str">
        <f t="shared" ca="1" si="44"/>
        <v>VENCIDO</v>
      </c>
      <c r="AB429" s="1" t="str">
        <f t="shared" si="45"/>
        <v>TAAe+</v>
      </c>
      <c r="AC429" s="2">
        <f t="shared" si="48"/>
        <v>0</v>
      </c>
      <c r="AD429" s="2">
        <f t="shared" si="46"/>
        <v>8</v>
      </c>
      <c r="AE429" s="2">
        <f t="shared" ca="1" si="47"/>
        <v>-44986.676271643519</v>
      </c>
      <c r="AF429" s="15"/>
    </row>
    <row r="430" spans="3:32">
      <c r="C430" s="23"/>
      <c r="D430" s="1"/>
      <c r="E430" s="1"/>
      <c r="P430" s="11"/>
      <c r="U430" s="11"/>
      <c r="X430" s="13">
        <f t="shared" si="42"/>
        <v>0</v>
      </c>
      <c r="Y430" s="2">
        <f t="shared" ca="1" si="43"/>
        <v>32133</v>
      </c>
      <c r="Z430" s="14">
        <v>1</v>
      </c>
      <c r="AA430" s="1" t="str">
        <f t="shared" ca="1" si="44"/>
        <v>VENCIDO</v>
      </c>
      <c r="AB430" s="1" t="str">
        <f t="shared" si="45"/>
        <v>TAAe+</v>
      </c>
      <c r="AC430" s="2">
        <f t="shared" si="48"/>
        <v>0</v>
      </c>
      <c r="AD430" s="2">
        <f t="shared" si="46"/>
        <v>8</v>
      </c>
      <c r="AE430" s="2">
        <f t="shared" ca="1" si="47"/>
        <v>-44986.676271643519</v>
      </c>
      <c r="AF430" s="15"/>
    </row>
    <row r="431" spans="3:32">
      <c r="D431" s="1"/>
      <c r="E431" s="1"/>
      <c r="P431" s="11"/>
      <c r="U431" s="11"/>
      <c r="X431" s="13">
        <f t="shared" si="42"/>
        <v>0</v>
      </c>
      <c r="Y431" s="2">
        <f t="shared" ca="1" si="43"/>
        <v>32133</v>
      </c>
      <c r="Z431" s="14">
        <v>1</v>
      </c>
      <c r="AA431" s="1" t="str">
        <f t="shared" ca="1" si="44"/>
        <v>VENCIDO</v>
      </c>
      <c r="AB431" s="1" t="str">
        <f t="shared" si="45"/>
        <v>TAAe+</v>
      </c>
      <c r="AC431" s="2">
        <f t="shared" si="48"/>
        <v>0</v>
      </c>
      <c r="AD431" s="2">
        <f t="shared" si="46"/>
        <v>8</v>
      </c>
      <c r="AE431" s="2">
        <f t="shared" ca="1" si="47"/>
        <v>-44986.676271643519</v>
      </c>
      <c r="AF431" s="15"/>
    </row>
    <row r="432" spans="3:32">
      <c r="D432" s="1"/>
      <c r="E432" s="1"/>
      <c r="P432" s="11"/>
      <c r="U432" s="11"/>
      <c r="X432" s="13">
        <f t="shared" si="42"/>
        <v>0</v>
      </c>
      <c r="Y432" s="2">
        <f t="shared" ca="1" si="43"/>
        <v>32133</v>
      </c>
      <c r="Z432" s="14">
        <v>1</v>
      </c>
      <c r="AA432" s="1" t="str">
        <f t="shared" ca="1" si="44"/>
        <v>VENCIDO</v>
      </c>
      <c r="AB432" s="1" t="str">
        <f t="shared" si="45"/>
        <v>TAAe+</v>
      </c>
      <c r="AC432" s="2">
        <f t="shared" si="48"/>
        <v>0</v>
      </c>
      <c r="AD432" s="2">
        <f t="shared" si="46"/>
        <v>8</v>
      </c>
      <c r="AE432" s="2">
        <f t="shared" ca="1" si="47"/>
        <v>-44986.676271643519</v>
      </c>
      <c r="AF432" s="15"/>
    </row>
    <row r="433" spans="4:32">
      <c r="D433" s="1"/>
      <c r="E433" s="1"/>
      <c r="P433" s="11"/>
      <c r="U433" s="11"/>
      <c r="X433" s="13">
        <f t="shared" si="42"/>
        <v>0</v>
      </c>
      <c r="Y433" s="2">
        <f t="shared" ca="1" si="43"/>
        <v>32133</v>
      </c>
      <c r="Z433" s="14">
        <v>1</v>
      </c>
      <c r="AA433" s="1" t="str">
        <f t="shared" ca="1" si="44"/>
        <v>VENCIDO</v>
      </c>
      <c r="AB433" s="1" t="str">
        <f t="shared" si="45"/>
        <v>TAAe+</v>
      </c>
      <c r="AC433" s="2">
        <f t="shared" si="48"/>
        <v>0</v>
      </c>
      <c r="AD433" s="2">
        <f t="shared" si="46"/>
        <v>8</v>
      </c>
      <c r="AE433" s="2">
        <f t="shared" ca="1" si="47"/>
        <v>-44986.676271643519</v>
      </c>
      <c r="AF433" s="15"/>
    </row>
    <row r="434" spans="4:32">
      <c r="D434" s="1"/>
      <c r="E434" s="1"/>
      <c r="P434" s="11"/>
      <c r="U434" s="11"/>
      <c r="X434" s="13">
        <f t="shared" si="42"/>
        <v>0</v>
      </c>
      <c r="Y434" s="2">
        <f t="shared" ca="1" si="43"/>
        <v>32133</v>
      </c>
      <c r="Z434" s="14">
        <v>1</v>
      </c>
      <c r="AA434" s="1" t="str">
        <f t="shared" ca="1" si="44"/>
        <v>VENCIDO</v>
      </c>
      <c r="AB434" s="1" t="str">
        <f t="shared" si="45"/>
        <v>TAAe+</v>
      </c>
      <c r="AC434" s="2">
        <f t="shared" si="48"/>
        <v>0</v>
      </c>
      <c r="AD434" s="2">
        <f t="shared" si="46"/>
        <v>8</v>
      </c>
      <c r="AE434" s="2">
        <f t="shared" ca="1" si="47"/>
        <v>-44986.676271643519</v>
      </c>
      <c r="AF434" s="15"/>
    </row>
    <row r="435" spans="4:32">
      <c r="D435" s="1"/>
      <c r="E435" s="1"/>
      <c r="P435" s="11"/>
      <c r="U435" s="11"/>
      <c r="X435" s="13">
        <f t="shared" si="42"/>
        <v>0</v>
      </c>
      <c r="Y435" s="2">
        <f t="shared" ca="1" si="43"/>
        <v>32133</v>
      </c>
      <c r="Z435" s="14">
        <v>1</v>
      </c>
      <c r="AA435" s="1" t="str">
        <f t="shared" ca="1" si="44"/>
        <v>VENCIDO</v>
      </c>
      <c r="AB435" s="1" t="str">
        <f t="shared" si="45"/>
        <v>TAAe+</v>
      </c>
      <c r="AC435" s="2">
        <f t="shared" si="48"/>
        <v>0</v>
      </c>
      <c r="AD435" s="2">
        <f t="shared" si="46"/>
        <v>8</v>
      </c>
      <c r="AE435" s="2">
        <f t="shared" ca="1" si="47"/>
        <v>-44986.676271643519</v>
      </c>
      <c r="AF435" s="15"/>
    </row>
    <row r="436" spans="4:32">
      <c r="D436" s="1"/>
      <c r="E436" s="1"/>
      <c r="P436" s="11"/>
      <c r="U436" s="11"/>
      <c r="X436" s="13">
        <f t="shared" si="42"/>
        <v>0</v>
      </c>
      <c r="Y436" s="2">
        <f t="shared" ca="1" si="43"/>
        <v>32133</v>
      </c>
      <c r="Z436" s="14">
        <v>1</v>
      </c>
      <c r="AA436" s="1" t="str">
        <f t="shared" ca="1" si="44"/>
        <v>VENCIDO</v>
      </c>
      <c r="AB436" s="1" t="str">
        <f t="shared" si="45"/>
        <v>TAAe+</v>
      </c>
      <c r="AC436" s="2">
        <f t="shared" si="48"/>
        <v>0</v>
      </c>
      <c r="AD436" s="2">
        <f t="shared" si="46"/>
        <v>8</v>
      </c>
      <c r="AE436" s="2">
        <f t="shared" ca="1" si="47"/>
        <v>-44986.676271643519</v>
      </c>
      <c r="AF436" s="15"/>
    </row>
    <row r="437" spans="4:32">
      <c r="D437" s="1"/>
      <c r="E437" s="1"/>
      <c r="P437" s="11"/>
      <c r="U437" s="11"/>
      <c r="X437" s="13">
        <f t="shared" si="42"/>
        <v>0</v>
      </c>
      <c r="Y437" s="2">
        <f t="shared" ca="1" si="43"/>
        <v>32133</v>
      </c>
      <c r="Z437" s="14">
        <v>1</v>
      </c>
      <c r="AA437" s="1" t="str">
        <f t="shared" ca="1" si="44"/>
        <v>VENCIDO</v>
      </c>
      <c r="AB437" s="1" t="str">
        <f t="shared" si="45"/>
        <v>TAAe+</v>
      </c>
      <c r="AC437" s="2">
        <f t="shared" si="48"/>
        <v>0</v>
      </c>
      <c r="AD437" s="2">
        <f t="shared" si="46"/>
        <v>8</v>
      </c>
      <c r="AE437" s="2">
        <f t="shared" ca="1" si="47"/>
        <v>-44986.676271643519</v>
      </c>
      <c r="AF437" s="15"/>
    </row>
    <row r="438" spans="4:32">
      <c r="D438" s="1"/>
      <c r="E438" s="1"/>
      <c r="P438" s="11"/>
      <c r="U438" s="11"/>
      <c r="X438" s="13">
        <f t="shared" si="42"/>
        <v>0</v>
      </c>
      <c r="Y438" s="2">
        <f t="shared" ca="1" si="43"/>
        <v>32133</v>
      </c>
      <c r="Z438" s="14">
        <v>1</v>
      </c>
      <c r="AA438" s="1" t="str">
        <f t="shared" ca="1" si="44"/>
        <v>VENCIDO</v>
      </c>
      <c r="AB438" s="1" t="str">
        <f t="shared" si="45"/>
        <v>TAAe+</v>
      </c>
      <c r="AC438" s="2">
        <f t="shared" si="48"/>
        <v>0</v>
      </c>
      <c r="AD438" s="2">
        <f t="shared" si="46"/>
        <v>8</v>
      </c>
      <c r="AE438" s="2">
        <f t="shared" ca="1" si="47"/>
        <v>-44986.676271643519</v>
      </c>
      <c r="AF438" s="15"/>
    </row>
    <row r="439" spans="4:32">
      <c r="D439" s="1"/>
      <c r="E439" s="1"/>
      <c r="P439" s="11"/>
      <c r="U439" s="11"/>
      <c r="X439" s="13">
        <f t="shared" si="42"/>
        <v>0</v>
      </c>
      <c r="Y439" s="2">
        <f t="shared" ca="1" si="43"/>
        <v>32133</v>
      </c>
      <c r="Z439" s="14">
        <v>1</v>
      </c>
      <c r="AA439" s="1" t="str">
        <f t="shared" ca="1" si="44"/>
        <v>VENCIDO</v>
      </c>
      <c r="AB439" s="1" t="str">
        <f t="shared" si="45"/>
        <v>TAAe+</v>
      </c>
      <c r="AC439" s="2">
        <f t="shared" si="48"/>
        <v>0</v>
      </c>
      <c r="AD439" s="2">
        <f t="shared" si="46"/>
        <v>8</v>
      </c>
      <c r="AE439" s="2">
        <f t="shared" ca="1" si="47"/>
        <v>-44986.676271643519</v>
      </c>
      <c r="AF439" s="15"/>
    </row>
    <row r="440" spans="4:32">
      <c r="D440" s="1"/>
      <c r="E440" s="1"/>
      <c r="P440" s="11"/>
      <c r="U440" s="11"/>
      <c r="X440" s="13">
        <f t="shared" si="42"/>
        <v>0</v>
      </c>
      <c r="Y440" s="2">
        <f t="shared" ca="1" si="43"/>
        <v>32133</v>
      </c>
      <c r="Z440" s="14">
        <v>1</v>
      </c>
      <c r="AA440" s="1" t="str">
        <f t="shared" ca="1" si="44"/>
        <v>VENCIDO</v>
      </c>
      <c r="AB440" s="1" t="str">
        <f t="shared" si="45"/>
        <v>TAAe+</v>
      </c>
      <c r="AC440" s="2">
        <f t="shared" si="48"/>
        <v>0</v>
      </c>
      <c r="AD440" s="2">
        <f t="shared" si="46"/>
        <v>8</v>
      </c>
      <c r="AE440" s="2">
        <f t="shared" ca="1" si="47"/>
        <v>-44986.676271643519</v>
      </c>
      <c r="AF440" s="15"/>
    </row>
    <row r="441" spans="4:32">
      <c r="D441" s="1"/>
      <c r="E441" s="1"/>
      <c r="P441" s="11"/>
      <c r="U441" s="11"/>
      <c r="X441" s="13">
        <f t="shared" si="42"/>
        <v>0</v>
      </c>
      <c r="Y441" s="2">
        <f t="shared" ca="1" si="43"/>
        <v>32133</v>
      </c>
      <c r="Z441" s="14">
        <v>1</v>
      </c>
      <c r="AA441" s="1" t="str">
        <f t="shared" ca="1" si="44"/>
        <v>VENCIDO</v>
      </c>
      <c r="AB441" s="1" t="str">
        <f t="shared" si="45"/>
        <v>TAAe+</v>
      </c>
      <c r="AC441" s="2">
        <f t="shared" si="48"/>
        <v>0</v>
      </c>
      <c r="AD441" s="2">
        <f t="shared" si="46"/>
        <v>8</v>
      </c>
      <c r="AE441" s="2">
        <f t="shared" ca="1" si="47"/>
        <v>-44986.676271643519</v>
      </c>
      <c r="AF441" s="15"/>
    </row>
    <row r="442" spans="4:32">
      <c r="D442" s="1"/>
      <c r="E442" s="1"/>
      <c r="P442" s="11"/>
      <c r="U442" s="11"/>
      <c r="X442" s="13">
        <f t="shared" si="42"/>
        <v>0</v>
      </c>
      <c r="Y442" s="2">
        <f t="shared" ca="1" si="43"/>
        <v>32133</v>
      </c>
      <c r="Z442" s="14">
        <v>1</v>
      </c>
      <c r="AA442" s="1" t="str">
        <f t="shared" ca="1" si="44"/>
        <v>VENCIDO</v>
      </c>
      <c r="AB442" s="1" t="str">
        <f t="shared" si="45"/>
        <v>TAAe+</v>
      </c>
      <c r="AC442" s="2">
        <f t="shared" si="48"/>
        <v>0</v>
      </c>
      <c r="AD442" s="2">
        <f t="shared" si="46"/>
        <v>8</v>
      </c>
      <c r="AE442" s="2">
        <f t="shared" ca="1" si="47"/>
        <v>-44986.676271643519</v>
      </c>
      <c r="AF442" s="15"/>
    </row>
    <row r="443" spans="4:32">
      <c r="D443" s="1"/>
      <c r="E443" s="1"/>
      <c r="P443" s="11"/>
      <c r="U443" s="11"/>
      <c r="X443" s="13">
        <f t="shared" si="42"/>
        <v>0</v>
      </c>
      <c r="Y443" s="2">
        <f t="shared" ca="1" si="43"/>
        <v>32133</v>
      </c>
      <c r="Z443" s="14">
        <v>1</v>
      </c>
      <c r="AA443" s="1" t="str">
        <f t="shared" ca="1" si="44"/>
        <v>VENCIDO</v>
      </c>
      <c r="AB443" s="1" t="str">
        <f t="shared" si="45"/>
        <v>TAAe+</v>
      </c>
      <c r="AC443" s="2">
        <f t="shared" si="48"/>
        <v>0</v>
      </c>
      <c r="AD443" s="2">
        <f t="shared" si="46"/>
        <v>8</v>
      </c>
      <c r="AE443" s="2">
        <f t="shared" ca="1" si="47"/>
        <v>-44986.676271643519</v>
      </c>
      <c r="AF443" s="15"/>
    </row>
    <row r="444" spans="4:32">
      <c r="D444" s="1"/>
      <c r="E444" s="1"/>
      <c r="P444" s="11"/>
      <c r="U444" s="11"/>
      <c r="X444" s="13">
        <f t="shared" si="42"/>
        <v>0</v>
      </c>
      <c r="Y444" s="2">
        <f t="shared" ca="1" si="43"/>
        <v>32133</v>
      </c>
      <c r="Z444" s="14">
        <v>1</v>
      </c>
      <c r="AA444" s="1" t="str">
        <f t="shared" ca="1" si="44"/>
        <v>VENCIDO</v>
      </c>
      <c r="AB444" s="1" t="str">
        <f t="shared" si="45"/>
        <v>TAAe+</v>
      </c>
      <c r="AC444" s="2">
        <f t="shared" si="48"/>
        <v>0</v>
      </c>
      <c r="AD444" s="2">
        <f t="shared" si="46"/>
        <v>8</v>
      </c>
      <c r="AE444" s="2">
        <f t="shared" ca="1" si="47"/>
        <v>-44986.676271643519</v>
      </c>
      <c r="AF444" s="15"/>
    </row>
    <row r="445" spans="4:32">
      <c r="D445" s="1"/>
      <c r="E445" s="1"/>
      <c r="P445" s="11"/>
      <c r="U445" s="11"/>
      <c r="X445" s="13">
        <f t="shared" si="42"/>
        <v>0</v>
      </c>
      <c r="Y445" s="2">
        <f t="shared" ca="1" si="43"/>
        <v>32133</v>
      </c>
      <c r="Z445" s="14">
        <v>1</v>
      </c>
      <c r="AA445" s="1" t="str">
        <f t="shared" ca="1" si="44"/>
        <v>VENCIDO</v>
      </c>
      <c r="AB445" s="1" t="str">
        <f t="shared" si="45"/>
        <v>TAAe+</v>
      </c>
      <c r="AC445" s="2">
        <f t="shared" si="48"/>
        <v>0</v>
      </c>
      <c r="AD445" s="2">
        <f t="shared" si="46"/>
        <v>8</v>
      </c>
      <c r="AE445" s="2">
        <f t="shared" ca="1" si="47"/>
        <v>-44986.676271643519</v>
      </c>
      <c r="AF445" s="15"/>
    </row>
    <row r="446" spans="4:32">
      <c r="D446" s="1"/>
      <c r="E446" s="1"/>
      <c r="P446" s="11"/>
      <c r="U446" s="11"/>
      <c r="X446" s="13">
        <f t="shared" si="42"/>
        <v>0</v>
      </c>
      <c r="Y446" s="2">
        <f t="shared" ca="1" si="43"/>
        <v>32133</v>
      </c>
      <c r="Z446" s="14">
        <v>1</v>
      </c>
      <c r="AA446" s="1" t="str">
        <f t="shared" ca="1" si="44"/>
        <v>VENCIDO</v>
      </c>
      <c r="AB446" s="1" t="str">
        <f t="shared" si="45"/>
        <v>TAAe+</v>
      </c>
      <c r="AC446" s="2">
        <f t="shared" si="48"/>
        <v>0</v>
      </c>
      <c r="AD446" s="2">
        <f t="shared" si="46"/>
        <v>8</v>
      </c>
      <c r="AE446" s="2">
        <f t="shared" ca="1" si="47"/>
        <v>-44986.676271643519</v>
      </c>
      <c r="AF446" s="15"/>
    </row>
    <row r="447" spans="4:32">
      <c r="D447" s="1"/>
      <c r="E447" s="1"/>
      <c r="P447" s="11"/>
      <c r="U447" s="11"/>
      <c r="X447" s="13">
        <f t="shared" si="42"/>
        <v>0</v>
      </c>
      <c r="Y447" s="2">
        <f t="shared" ca="1" si="43"/>
        <v>32133</v>
      </c>
      <c r="Z447" s="14">
        <v>1</v>
      </c>
      <c r="AA447" s="1" t="str">
        <f t="shared" ca="1" si="44"/>
        <v>VENCIDO</v>
      </c>
      <c r="AB447" s="1" t="str">
        <f t="shared" si="45"/>
        <v>TAAe+</v>
      </c>
      <c r="AC447" s="2">
        <f t="shared" si="48"/>
        <v>0</v>
      </c>
      <c r="AD447" s="2">
        <f t="shared" si="46"/>
        <v>8</v>
      </c>
      <c r="AE447" s="2">
        <f t="shared" ca="1" si="47"/>
        <v>-44986.676271643519</v>
      </c>
      <c r="AF447" s="15"/>
    </row>
    <row r="448" spans="4:32">
      <c r="D448" s="1"/>
      <c r="E448" s="1"/>
      <c r="P448" s="11"/>
      <c r="U448" s="11"/>
      <c r="X448" s="13">
        <f t="shared" si="42"/>
        <v>0</v>
      </c>
      <c r="Y448" s="2">
        <f t="shared" ca="1" si="43"/>
        <v>32133</v>
      </c>
      <c r="Z448" s="14">
        <v>1</v>
      </c>
      <c r="AA448" s="1" t="str">
        <f t="shared" ca="1" si="44"/>
        <v>VENCIDO</v>
      </c>
      <c r="AB448" s="1" t="str">
        <f t="shared" si="45"/>
        <v>TAAe+</v>
      </c>
      <c r="AC448" s="2">
        <f t="shared" si="48"/>
        <v>0</v>
      </c>
      <c r="AD448" s="2">
        <f t="shared" si="46"/>
        <v>8</v>
      </c>
      <c r="AE448" s="2">
        <f t="shared" ca="1" si="47"/>
        <v>-44986.676271643519</v>
      </c>
      <c r="AF448" s="15"/>
    </row>
    <row r="449" spans="3:32">
      <c r="D449" s="1"/>
      <c r="E449" s="1"/>
      <c r="P449" s="11"/>
      <c r="U449" s="11"/>
      <c r="X449" s="13">
        <f t="shared" si="42"/>
        <v>0</v>
      </c>
      <c r="Y449" s="2">
        <f t="shared" ca="1" si="43"/>
        <v>32133</v>
      </c>
      <c r="Z449" s="14">
        <v>1</v>
      </c>
      <c r="AA449" s="1" t="str">
        <f t="shared" ca="1" si="44"/>
        <v>VENCIDO</v>
      </c>
      <c r="AB449" s="1" t="str">
        <f t="shared" si="45"/>
        <v>TAAe+</v>
      </c>
      <c r="AC449" s="2">
        <f t="shared" si="48"/>
        <v>0</v>
      </c>
      <c r="AD449" s="2">
        <f t="shared" si="46"/>
        <v>8</v>
      </c>
      <c r="AE449" s="2">
        <f t="shared" ca="1" si="47"/>
        <v>-44986.676271643519</v>
      </c>
      <c r="AF449" s="15"/>
    </row>
    <row r="450" spans="3:32">
      <c r="D450" s="1"/>
      <c r="E450" s="1"/>
      <c r="P450" s="11"/>
      <c r="U450" s="11"/>
      <c r="X450" s="13">
        <f t="shared" ref="X450:X513" si="49">IF(RIGHT(H450,2)&lt;&gt;"00",H450,"")</f>
        <v>0</v>
      </c>
      <c r="Y450" s="2">
        <f t="shared" ref="Y450:Y513" ca="1" si="50">NETWORKDAYS(P450,$Y$1)</f>
        <v>32133</v>
      </c>
      <c r="Z450" s="14">
        <v>1</v>
      </c>
      <c r="AA450" s="1" t="str">
        <f t="shared" ref="AA450:AA513" ca="1" si="51">IF(AE450=0,"HOJE",IF(AE450&gt;0,"A VENCER",IF(AE450&lt;0,"VENCIDO")))</f>
        <v>VENCIDO</v>
      </c>
      <c r="AB450" s="1" t="str">
        <f t="shared" ref="AB450:AB513" si="52">IF(F450="GRPE-000001","C-14",IF(F450="GRPE-000002","C-14",IF(F450="GRPE-000003","C-14",IF(F450="GRPE-000004","SL-On",IF(F450="GRPE-000038","C-14",IF(F450="GRPE-900022","Dosa",IF(F450="GRPE-000029","Dosa",IF(F450="ATOS-000222","Dose","TAAe+"))))))))</f>
        <v>TAAe+</v>
      </c>
      <c r="AC450" s="2">
        <f t="shared" si="48"/>
        <v>0</v>
      </c>
      <c r="AD450" s="2">
        <f t="shared" ref="AD450:AD513" si="53">IF(F450="GRPE-000001",5,IF(F450="GRPE-000002",5,IF(F450="GRPE-000003",15,IF(F450="GRPE-000004",1,IF(F450="GRPE-000038",5,IF(F450="GRPE-900022",5,IF(F450="GRPE-000029",5,IF(F450="ATOS-000222",5,8))))))))</f>
        <v>8</v>
      </c>
      <c r="AE450" s="2">
        <f t="shared" ref="AE450:AE513" ca="1" si="54">IF(U450=$AE$1,"",U450-$AE$1)</f>
        <v>-44986.676271643519</v>
      </c>
      <c r="AF450" s="15"/>
    </row>
    <row r="451" spans="3:32">
      <c r="D451" s="1"/>
      <c r="E451" s="1"/>
      <c r="P451" s="11"/>
      <c r="U451" s="11"/>
      <c r="X451" s="13">
        <f t="shared" si="49"/>
        <v>0</v>
      </c>
      <c r="Y451" s="2">
        <f t="shared" ca="1" si="50"/>
        <v>32133</v>
      </c>
      <c r="Z451" s="14">
        <v>1</v>
      </c>
      <c r="AA451" s="1" t="str">
        <f t="shared" ca="1" si="51"/>
        <v>VENCIDO</v>
      </c>
      <c r="AB451" s="1" t="str">
        <f t="shared" si="52"/>
        <v>TAAe+</v>
      </c>
      <c r="AC451" s="2">
        <f t="shared" ref="AC451:AC514" si="55">IF(J451="TR-PETROLINA"," ROSEMERE ",IF(J451="TR-GARANHUNS"," ROSEMERE ",IF(J451="TR-CARUARU"," ROSEMERE ",IF(J451="TR-RIBEIRAO"," CRISTINA ",IF(J451="TR-GRAVATA"," CRISTINA ",IF(J451="TR-GOIANA"," CRISTINA ",IF(J451="TR-LIMOEIRO"," CRISTINA ",IF(J451="TR-SERRA TALHADA"," RINALDO ",IF(J451="TR-SALGUEIRO"," RINALDO ",IF(J451="TR-CARNAIBA"," RINALDO ",IF(J451="TR-ARCOVERDE"," RINALDO ",IF(J451="CAT-RECIFE"," CLEITON ",))))))))))))</f>
        <v>0</v>
      </c>
      <c r="AD451" s="2">
        <f t="shared" si="53"/>
        <v>8</v>
      </c>
      <c r="AE451" s="2">
        <f t="shared" ca="1" si="54"/>
        <v>-44986.676271643519</v>
      </c>
      <c r="AF451" s="15"/>
    </row>
    <row r="452" spans="3:32">
      <c r="C452" s="49"/>
      <c r="D452" s="1"/>
      <c r="E452" s="1"/>
      <c r="P452" s="11"/>
      <c r="U452" s="11"/>
      <c r="X452" s="13">
        <f t="shared" si="49"/>
        <v>0</v>
      </c>
      <c r="Y452" s="2">
        <f t="shared" ca="1" si="50"/>
        <v>32133</v>
      </c>
      <c r="Z452" s="14">
        <v>1</v>
      </c>
      <c r="AA452" s="1" t="str">
        <f t="shared" ca="1" si="51"/>
        <v>VENCIDO</v>
      </c>
      <c r="AB452" s="1" t="str">
        <f t="shared" si="52"/>
        <v>TAAe+</v>
      </c>
      <c r="AC452" s="2">
        <f t="shared" si="55"/>
        <v>0</v>
      </c>
      <c r="AD452" s="2">
        <f t="shared" si="53"/>
        <v>8</v>
      </c>
      <c r="AE452" s="2">
        <f t="shared" ca="1" si="54"/>
        <v>-44986.676271643519</v>
      </c>
      <c r="AF452" s="15"/>
    </row>
    <row r="453" spans="3:32">
      <c r="D453" s="1"/>
      <c r="E453" s="1"/>
      <c r="P453" s="11"/>
      <c r="U453" s="11"/>
      <c r="X453" s="13">
        <f t="shared" si="49"/>
        <v>0</v>
      </c>
      <c r="Y453" s="2">
        <f t="shared" ca="1" si="50"/>
        <v>32133</v>
      </c>
      <c r="Z453" s="14">
        <v>1</v>
      </c>
      <c r="AA453" s="1" t="str">
        <f t="shared" ca="1" si="51"/>
        <v>VENCIDO</v>
      </c>
      <c r="AB453" s="1" t="str">
        <f t="shared" si="52"/>
        <v>TAAe+</v>
      </c>
      <c r="AC453" s="2">
        <f t="shared" si="55"/>
        <v>0</v>
      </c>
      <c r="AD453" s="2">
        <f t="shared" si="53"/>
        <v>8</v>
      </c>
      <c r="AE453" s="2">
        <f t="shared" ca="1" si="54"/>
        <v>-44986.676271643519</v>
      </c>
      <c r="AF453" s="15"/>
    </row>
    <row r="454" spans="3:32">
      <c r="C454" s="49"/>
      <c r="D454" s="1"/>
      <c r="E454" s="1"/>
      <c r="P454" s="11"/>
      <c r="U454" s="11"/>
      <c r="X454" s="13">
        <f t="shared" si="49"/>
        <v>0</v>
      </c>
      <c r="Y454" s="2">
        <f t="shared" ca="1" si="50"/>
        <v>32133</v>
      </c>
      <c r="Z454" s="14">
        <v>1</v>
      </c>
      <c r="AA454" s="1" t="str">
        <f t="shared" ca="1" si="51"/>
        <v>VENCIDO</v>
      </c>
      <c r="AB454" s="1" t="str">
        <f t="shared" si="52"/>
        <v>TAAe+</v>
      </c>
      <c r="AC454" s="2">
        <f t="shared" si="55"/>
        <v>0</v>
      </c>
      <c r="AD454" s="2">
        <f t="shared" si="53"/>
        <v>8</v>
      </c>
      <c r="AE454" s="2">
        <f t="shared" ca="1" si="54"/>
        <v>-44986.676271643519</v>
      </c>
      <c r="AF454" s="15"/>
    </row>
    <row r="455" spans="3:32">
      <c r="D455" s="1"/>
      <c r="E455" s="1"/>
      <c r="P455" s="11"/>
      <c r="U455" s="11"/>
      <c r="X455" s="13">
        <f t="shared" si="49"/>
        <v>0</v>
      </c>
      <c r="Y455" s="2">
        <f t="shared" ca="1" si="50"/>
        <v>32133</v>
      </c>
      <c r="Z455" s="14">
        <v>1</v>
      </c>
      <c r="AA455" s="1" t="str">
        <f t="shared" ca="1" si="51"/>
        <v>VENCIDO</v>
      </c>
      <c r="AB455" s="1" t="str">
        <f t="shared" si="52"/>
        <v>TAAe+</v>
      </c>
      <c r="AC455" s="2">
        <f t="shared" si="55"/>
        <v>0</v>
      </c>
      <c r="AD455" s="2">
        <f t="shared" si="53"/>
        <v>8</v>
      </c>
      <c r="AE455" s="2">
        <f t="shared" ca="1" si="54"/>
        <v>-44986.676271643519</v>
      </c>
      <c r="AF455" s="15"/>
    </row>
    <row r="456" spans="3:32">
      <c r="D456" s="1"/>
      <c r="E456" s="1"/>
      <c r="P456" s="11"/>
      <c r="U456" s="11"/>
      <c r="X456" s="13">
        <f t="shared" si="49"/>
        <v>0</v>
      </c>
      <c r="Y456" s="2">
        <f t="shared" ca="1" si="50"/>
        <v>32133</v>
      </c>
      <c r="Z456" s="14">
        <v>1</v>
      </c>
      <c r="AA456" s="1" t="str">
        <f t="shared" ca="1" si="51"/>
        <v>VENCIDO</v>
      </c>
      <c r="AB456" s="1" t="str">
        <f t="shared" si="52"/>
        <v>TAAe+</v>
      </c>
      <c r="AC456" s="2">
        <f t="shared" si="55"/>
        <v>0</v>
      </c>
      <c r="AD456" s="2">
        <f t="shared" si="53"/>
        <v>8</v>
      </c>
      <c r="AE456" s="2">
        <f t="shared" ca="1" si="54"/>
        <v>-44986.676271643519</v>
      </c>
      <c r="AF456" s="15"/>
    </row>
    <row r="457" spans="3:32">
      <c r="C457" s="49"/>
      <c r="D457" s="1"/>
      <c r="E457" s="1"/>
      <c r="P457" s="11"/>
      <c r="U457" s="11"/>
      <c r="X457" s="13">
        <f t="shared" si="49"/>
        <v>0</v>
      </c>
      <c r="Y457" s="2">
        <f t="shared" ca="1" si="50"/>
        <v>32133</v>
      </c>
      <c r="Z457" s="14">
        <v>1</v>
      </c>
      <c r="AA457" s="1" t="str">
        <f t="shared" ca="1" si="51"/>
        <v>VENCIDO</v>
      </c>
      <c r="AB457" s="1" t="str">
        <f t="shared" si="52"/>
        <v>TAAe+</v>
      </c>
      <c r="AC457" s="2">
        <f t="shared" si="55"/>
        <v>0</v>
      </c>
      <c r="AD457" s="2">
        <f t="shared" si="53"/>
        <v>8</v>
      </c>
      <c r="AE457" s="2">
        <f t="shared" ca="1" si="54"/>
        <v>-44986.676271643519</v>
      </c>
      <c r="AF457" s="15"/>
    </row>
    <row r="458" spans="3:32">
      <c r="D458" s="1"/>
      <c r="E458" s="1"/>
      <c r="P458" s="11"/>
      <c r="U458" s="11"/>
      <c r="X458" s="13">
        <f t="shared" si="49"/>
        <v>0</v>
      </c>
      <c r="Y458" s="2">
        <f t="shared" ca="1" si="50"/>
        <v>32133</v>
      </c>
      <c r="Z458" s="14">
        <v>1</v>
      </c>
      <c r="AA458" s="1" t="str">
        <f t="shared" ca="1" si="51"/>
        <v>VENCIDO</v>
      </c>
      <c r="AB458" s="1" t="str">
        <f t="shared" si="52"/>
        <v>TAAe+</v>
      </c>
      <c r="AC458" s="2">
        <f t="shared" si="55"/>
        <v>0</v>
      </c>
      <c r="AD458" s="2">
        <f t="shared" si="53"/>
        <v>8</v>
      </c>
      <c r="AE458" s="2">
        <f t="shared" ca="1" si="54"/>
        <v>-44986.676271643519</v>
      </c>
      <c r="AF458" s="15"/>
    </row>
    <row r="459" spans="3:32">
      <c r="C459" s="49"/>
      <c r="D459" s="1"/>
      <c r="E459" s="1"/>
      <c r="P459" s="11"/>
      <c r="U459" s="11"/>
      <c r="X459" s="13">
        <f t="shared" si="49"/>
        <v>0</v>
      </c>
      <c r="Y459" s="2">
        <f t="shared" ca="1" si="50"/>
        <v>32133</v>
      </c>
      <c r="Z459" s="14">
        <v>1</v>
      </c>
      <c r="AA459" s="1" t="str">
        <f t="shared" ca="1" si="51"/>
        <v>VENCIDO</v>
      </c>
      <c r="AB459" s="1" t="str">
        <f t="shared" si="52"/>
        <v>TAAe+</v>
      </c>
      <c r="AC459" s="2">
        <f t="shared" si="55"/>
        <v>0</v>
      </c>
      <c r="AD459" s="2">
        <f t="shared" si="53"/>
        <v>8</v>
      </c>
      <c r="AE459" s="2">
        <f t="shared" ca="1" si="54"/>
        <v>-44986.676271643519</v>
      </c>
      <c r="AF459" s="15"/>
    </row>
    <row r="460" spans="3:32">
      <c r="D460" s="1"/>
      <c r="E460" s="1"/>
      <c r="P460" s="11"/>
      <c r="U460" s="11"/>
      <c r="X460" s="13">
        <f t="shared" si="49"/>
        <v>0</v>
      </c>
      <c r="Y460" s="2">
        <f t="shared" ca="1" si="50"/>
        <v>32133</v>
      </c>
      <c r="Z460" s="14">
        <v>1</v>
      </c>
      <c r="AA460" s="1" t="str">
        <f t="shared" ca="1" si="51"/>
        <v>VENCIDO</v>
      </c>
      <c r="AB460" s="1" t="str">
        <f t="shared" si="52"/>
        <v>TAAe+</v>
      </c>
      <c r="AC460" s="2">
        <f t="shared" si="55"/>
        <v>0</v>
      </c>
      <c r="AD460" s="2">
        <f t="shared" si="53"/>
        <v>8</v>
      </c>
      <c r="AE460" s="2">
        <f t="shared" ca="1" si="54"/>
        <v>-44986.676271643519</v>
      </c>
      <c r="AF460" s="15"/>
    </row>
    <row r="461" spans="3:32">
      <c r="D461" s="1"/>
      <c r="E461" s="1"/>
      <c r="P461" s="11"/>
      <c r="U461" s="11"/>
      <c r="X461" s="13">
        <f t="shared" si="49"/>
        <v>0</v>
      </c>
      <c r="Y461" s="2">
        <f t="shared" ca="1" si="50"/>
        <v>32133</v>
      </c>
      <c r="Z461" s="14">
        <v>1</v>
      </c>
      <c r="AA461" s="1" t="str">
        <f t="shared" ca="1" si="51"/>
        <v>VENCIDO</v>
      </c>
      <c r="AB461" s="1" t="str">
        <f t="shared" si="52"/>
        <v>TAAe+</v>
      </c>
      <c r="AC461" s="2">
        <f t="shared" si="55"/>
        <v>0</v>
      </c>
      <c r="AD461" s="2">
        <f t="shared" si="53"/>
        <v>8</v>
      </c>
      <c r="AE461" s="2">
        <f t="shared" ca="1" si="54"/>
        <v>-44986.676271643519</v>
      </c>
      <c r="AF461" s="15"/>
    </row>
    <row r="462" spans="3:32">
      <c r="D462" s="1"/>
      <c r="E462" s="1"/>
      <c r="P462" s="11"/>
      <c r="U462" s="11"/>
      <c r="X462" s="13">
        <f t="shared" si="49"/>
        <v>0</v>
      </c>
      <c r="Y462" s="2">
        <f t="shared" ca="1" si="50"/>
        <v>32133</v>
      </c>
      <c r="Z462" s="14">
        <v>1</v>
      </c>
      <c r="AA462" s="1" t="str">
        <f t="shared" ca="1" si="51"/>
        <v>VENCIDO</v>
      </c>
      <c r="AB462" s="1" t="str">
        <f t="shared" si="52"/>
        <v>TAAe+</v>
      </c>
      <c r="AC462" s="2">
        <f t="shared" si="55"/>
        <v>0</v>
      </c>
      <c r="AD462" s="2">
        <f t="shared" si="53"/>
        <v>8</v>
      </c>
      <c r="AE462" s="2">
        <f t="shared" ca="1" si="54"/>
        <v>-44986.676271643519</v>
      </c>
      <c r="AF462" s="15"/>
    </row>
    <row r="463" spans="3:32">
      <c r="D463" s="1"/>
      <c r="E463" s="1"/>
      <c r="P463" s="11"/>
      <c r="U463" s="11"/>
      <c r="X463" s="13">
        <f t="shared" si="49"/>
        <v>0</v>
      </c>
      <c r="Y463" s="2">
        <f t="shared" ca="1" si="50"/>
        <v>32133</v>
      </c>
      <c r="Z463" s="14">
        <v>1</v>
      </c>
      <c r="AA463" s="1" t="str">
        <f t="shared" ca="1" si="51"/>
        <v>VENCIDO</v>
      </c>
      <c r="AB463" s="1" t="str">
        <f t="shared" si="52"/>
        <v>TAAe+</v>
      </c>
      <c r="AC463" s="2">
        <f t="shared" si="55"/>
        <v>0</v>
      </c>
      <c r="AD463" s="2">
        <f t="shared" si="53"/>
        <v>8</v>
      </c>
      <c r="AE463" s="2">
        <f t="shared" ca="1" si="54"/>
        <v>-44986.676271643519</v>
      </c>
      <c r="AF463" s="15"/>
    </row>
    <row r="464" spans="3:32">
      <c r="D464" s="1"/>
      <c r="E464" s="1"/>
      <c r="P464" s="11"/>
      <c r="U464" s="11"/>
      <c r="X464" s="13">
        <f t="shared" si="49"/>
        <v>0</v>
      </c>
      <c r="Y464" s="2">
        <f t="shared" ca="1" si="50"/>
        <v>32133</v>
      </c>
      <c r="Z464" s="14">
        <v>1</v>
      </c>
      <c r="AA464" s="1" t="str">
        <f t="shared" ca="1" si="51"/>
        <v>VENCIDO</v>
      </c>
      <c r="AB464" s="1" t="str">
        <f t="shared" si="52"/>
        <v>TAAe+</v>
      </c>
      <c r="AC464" s="2">
        <f t="shared" si="55"/>
        <v>0</v>
      </c>
      <c r="AD464" s="2">
        <f t="shared" si="53"/>
        <v>8</v>
      </c>
      <c r="AE464" s="2">
        <f t="shared" ca="1" si="54"/>
        <v>-44986.676271643519</v>
      </c>
      <c r="AF464" s="15"/>
    </row>
    <row r="465" spans="3:32">
      <c r="C465" s="49"/>
      <c r="D465" s="1"/>
      <c r="E465" s="1"/>
      <c r="P465" s="11"/>
      <c r="U465" s="11"/>
      <c r="X465" s="13">
        <f t="shared" si="49"/>
        <v>0</v>
      </c>
      <c r="Y465" s="2">
        <f t="shared" ca="1" si="50"/>
        <v>32133</v>
      </c>
      <c r="Z465" s="14">
        <v>1</v>
      </c>
      <c r="AA465" s="1" t="str">
        <f t="shared" ca="1" si="51"/>
        <v>VENCIDO</v>
      </c>
      <c r="AB465" s="1" t="str">
        <f t="shared" si="52"/>
        <v>TAAe+</v>
      </c>
      <c r="AC465" s="2">
        <f t="shared" si="55"/>
        <v>0</v>
      </c>
      <c r="AD465" s="2">
        <f t="shared" si="53"/>
        <v>8</v>
      </c>
      <c r="AE465" s="2">
        <f t="shared" ca="1" si="54"/>
        <v>-44986.676271643519</v>
      </c>
      <c r="AF465" s="15"/>
    </row>
    <row r="466" spans="3:32">
      <c r="D466" s="1"/>
      <c r="E466" s="1"/>
      <c r="P466" s="11"/>
      <c r="U466" s="11"/>
      <c r="X466" s="13">
        <f t="shared" si="49"/>
        <v>0</v>
      </c>
      <c r="Y466" s="2">
        <f t="shared" ca="1" si="50"/>
        <v>32133</v>
      </c>
      <c r="Z466" s="14">
        <v>1</v>
      </c>
      <c r="AA466" s="1" t="str">
        <f t="shared" ca="1" si="51"/>
        <v>VENCIDO</v>
      </c>
      <c r="AB466" s="1" t="str">
        <f t="shared" si="52"/>
        <v>TAAe+</v>
      </c>
      <c r="AC466" s="2">
        <f t="shared" si="55"/>
        <v>0</v>
      </c>
      <c r="AD466" s="2">
        <f t="shared" si="53"/>
        <v>8</v>
      </c>
      <c r="AE466" s="2">
        <f t="shared" ca="1" si="54"/>
        <v>-44986.676271643519</v>
      </c>
      <c r="AF466" s="15"/>
    </row>
    <row r="467" spans="3:32">
      <c r="D467" s="1"/>
      <c r="E467" s="1"/>
      <c r="P467" s="11"/>
      <c r="U467" s="11"/>
      <c r="X467" s="13">
        <f t="shared" si="49"/>
        <v>0</v>
      </c>
      <c r="Y467" s="2">
        <f t="shared" ca="1" si="50"/>
        <v>32133</v>
      </c>
      <c r="Z467" s="14">
        <v>1</v>
      </c>
      <c r="AA467" s="1" t="str">
        <f t="shared" ca="1" si="51"/>
        <v>VENCIDO</v>
      </c>
      <c r="AB467" s="1" t="str">
        <f t="shared" si="52"/>
        <v>TAAe+</v>
      </c>
      <c r="AC467" s="2">
        <f t="shared" si="55"/>
        <v>0</v>
      </c>
      <c r="AD467" s="2">
        <f t="shared" si="53"/>
        <v>8</v>
      </c>
      <c r="AE467" s="2">
        <f t="shared" ca="1" si="54"/>
        <v>-44986.676271643519</v>
      </c>
      <c r="AF467" s="15"/>
    </row>
    <row r="468" spans="3:32">
      <c r="D468" s="1"/>
      <c r="E468" s="1"/>
      <c r="P468" s="11"/>
      <c r="U468" s="11"/>
      <c r="X468" s="13">
        <f t="shared" si="49"/>
        <v>0</v>
      </c>
      <c r="Y468" s="2">
        <f t="shared" ca="1" si="50"/>
        <v>32133</v>
      </c>
      <c r="Z468" s="14">
        <v>1</v>
      </c>
      <c r="AA468" s="1" t="str">
        <f t="shared" ca="1" si="51"/>
        <v>VENCIDO</v>
      </c>
      <c r="AB468" s="1" t="str">
        <f t="shared" si="52"/>
        <v>TAAe+</v>
      </c>
      <c r="AC468" s="2">
        <f t="shared" si="55"/>
        <v>0</v>
      </c>
      <c r="AD468" s="2">
        <f t="shared" si="53"/>
        <v>8</v>
      </c>
      <c r="AE468" s="2">
        <f t="shared" ca="1" si="54"/>
        <v>-44986.676271643519</v>
      </c>
      <c r="AF468" s="15"/>
    </row>
    <row r="469" spans="3:32">
      <c r="D469" s="1"/>
      <c r="E469" s="1"/>
      <c r="P469" s="11"/>
      <c r="U469" s="11"/>
      <c r="X469" s="13">
        <f t="shared" si="49"/>
        <v>0</v>
      </c>
      <c r="Y469" s="2">
        <f t="shared" ca="1" si="50"/>
        <v>32133</v>
      </c>
      <c r="Z469" s="14">
        <v>1</v>
      </c>
      <c r="AA469" s="1" t="str">
        <f t="shared" ca="1" si="51"/>
        <v>VENCIDO</v>
      </c>
      <c r="AB469" s="1" t="str">
        <f t="shared" si="52"/>
        <v>TAAe+</v>
      </c>
      <c r="AC469" s="2">
        <f t="shared" si="55"/>
        <v>0</v>
      </c>
      <c r="AD469" s="2">
        <f t="shared" si="53"/>
        <v>8</v>
      </c>
      <c r="AE469" s="2">
        <f t="shared" ca="1" si="54"/>
        <v>-44986.676271643519</v>
      </c>
      <c r="AF469" s="15"/>
    </row>
    <row r="470" spans="3:32">
      <c r="C470" s="49"/>
      <c r="D470" s="1"/>
      <c r="E470" s="1"/>
      <c r="P470" s="11"/>
      <c r="U470" s="11"/>
      <c r="X470" s="13">
        <f t="shared" si="49"/>
        <v>0</v>
      </c>
      <c r="Y470" s="2">
        <f t="shared" ca="1" si="50"/>
        <v>32133</v>
      </c>
      <c r="Z470" s="14">
        <v>1</v>
      </c>
      <c r="AA470" s="1" t="str">
        <f t="shared" ca="1" si="51"/>
        <v>VENCIDO</v>
      </c>
      <c r="AB470" s="1" t="str">
        <f t="shared" si="52"/>
        <v>TAAe+</v>
      </c>
      <c r="AC470" s="2">
        <f t="shared" si="55"/>
        <v>0</v>
      </c>
      <c r="AD470" s="2">
        <f t="shared" si="53"/>
        <v>8</v>
      </c>
      <c r="AE470" s="2">
        <f t="shared" ca="1" si="54"/>
        <v>-44986.676271643519</v>
      </c>
      <c r="AF470" s="15"/>
    </row>
    <row r="471" spans="3:32">
      <c r="D471" s="1"/>
      <c r="E471" s="1"/>
      <c r="P471" s="11"/>
      <c r="U471" s="11"/>
      <c r="X471" s="13">
        <f t="shared" si="49"/>
        <v>0</v>
      </c>
      <c r="Y471" s="2">
        <f t="shared" ca="1" si="50"/>
        <v>32133</v>
      </c>
      <c r="Z471" s="14">
        <v>1</v>
      </c>
      <c r="AA471" s="1" t="str">
        <f t="shared" ca="1" si="51"/>
        <v>VENCIDO</v>
      </c>
      <c r="AB471" s="1" t="str">
        <f t="shared" si="52"/>
        <v>TAAe+</v>
      </c>
      <c r="AC471" s="2">
        <f t="shared" si="55"/>
        <v>0</v>
      </c>
      <c r="AD471" s="2">
        <f t="shared" si="53"/>
        <v>8</v>
      </c>
      <c r="AE471" s="2">
        <f t="shared" ca="1" si="54"/>
        <v>-44986.676271643519</v>
      </c>
      <c r="AF471" s="15"/>
    </row>
    <row r="472" spans="3:32">
      <c r="C472" s="49"/>
      <c r="D472" s="1"/>
      <c r="E472" s="1"/>
      <c r="P472" s="11"/>
      <c r="U472" s="11"/>
      <c r="X472" s="13">
        <f t="shared" si="49"/>
        <v>0</v>
      </c>
      <c r="Y472" s="2">
        <f t="shared" ca="1" si="50"/>
        <v>32133</v>
      </c>
      <c r="Z472" s="14">
        <v>1</v>
      </c>
      <c r="AA472" s="1" t="str">
        <f t="shared" ca="1" si="51"/>
        <v>VENCIDO</v>
      </c>
      <c r="AB472" s="1" t="str">
        <f t="shared" si="52"/>
        <v>TAAe+</v>
      </c>
      <c r="AC472" s="2">
        <f t="shared" si="55"/>
        <v>0</v>
      </c>
      <c r="AD472" s="2">
        <f t="shared" si="53"/>
        <v>8</v>
      </c>
      <c r="AE472" s="2">
        <f t="shared" ca="1" si="54"/>
        <v>-44986.676271643519</v>
      </c>
      <c r="AF472" s="15"/>
    </row>
    <row r="473" spans="3:32">
      <c r="D473" s="1"/>
      <c r="E473" s="1"/>
      <c r="P473" s="11"/>
      <c r="U473" s="11"/>
      <c r="X473" s="13">
        <f t="shared" si="49"/>
        <v>0</v>
      </c>
      <c r="Y473" s="2">
        <f t="shared" ca="1" si="50"/>
        <v>32133</v>
      </c>
      <c r="Z473" s="14">
        <v>1</v>
      </c>
      <c r="AA473" s="1" t="str">
        <f t="shared" ca="1" si="51"/>
        <v>VENCIDO</v>
      </c>
      <c r="AB473" s="1" t="str">
        <f t="shared" si="52"/>
        <v>TAAe+</v>
      </c>
      <c r="AC473" s="2">
        <f t="shared" si="55"/>
        <v>0</v>
      </c>
      <c r="AD473" s="2">
        <f t="shared" si="53"/>
        <v>8</v>
      </c>
      <c r="AE473" s="2">
        <f t="shared" ca="1" si="54"/>
        <v>-44986.676271643519</v>
      </c>
      <c r="AF473" s="15"/>
    </row>
    <row r="474" spans="3:32">
      <c r="D474" s="1"/>
      <c r="E474" s="1"/>
      <c r="P474" s="11"/>
      <c r="U474" s="11"/>
      <c r="X474" s="13">
        <f t="shared" si="49"/>
        <v>0</v>
      </c>
      <c r="Y474" s="2">
        <f t="shared" ca="1" si="50"/>
        <v>32133</v>
      </c>
      <c r="Z474" s="14">
        <v>1</v>
      </c>
      <c r="AA474" s="1" t="str">
        <f t="shared" ca="1" si="51"/>
        <v>VENCIDO</v>
      </c>
      <c r="AB474" s="1" t="str">
        <f t="shared" si="52"/>
        <v>TAAe+</v>
      </c>
      <c r="AC474" s="2">
        <f t="shared" si="55"/>
        <v>0</v>
      </c>
      <c r="AD474" s="2">
        <f t="shared" si="53"/>
        <v>8</v>
      </c>
      <c r="AE474" s="2">
        <f t="shared" ca="1" si="54"/>
        <v>-44986.676271643519</v>
      </c>
      <c r="AF474" s="15"/>
    </row>
    <row r="475" spans="3:32">
      <c r="D475" s="1"/>
      <c r="E475" s="1"/>
      <c r="P475" s="11"/>
      <c r="U475" s="11"/>
      <c r="X475" s="13">
        <f t="shared" si="49"/>
        <v>0</v>
      </c>
      <c r="Y475" s="2">
        <f t="shared" ca="1" si="50"/>
        <v>32133</v>
      </c>
      <c r="Z475" s="14">
        <v>1</v>
      </c>
      <c r="AA475" s="1" t="str">
        <f t="shared" ca="1" si="51"/>
        <v>VENCIDO</v>
      </c>
      <c r="AB475" s="1" t="str">
        <f t="shared" si="52"/>
        <v>TAAe+</v>
      </c>
      <c r="AC475" s="2">
        <f t="shared" si="55"/>
        <v>0</v>
      </c>
      <c r="AD475" s="2">
        <f t="shared" si="53"/>
        <v>8</v>
      </c>
      <c r="AE475" s="2">
        <f t="shared" ca="1" si="54"/>
        <v>-44986.676271643519</v>
      </c>
      <c r="AF475" s="15"/>
    </row>
    <row r="476" spans="3:32">
      <c r="D476" s="1"/>
      <c r="E476" s="1"/>
      <c r="P476" s="11"/>
      <c r="U476" s="11"/>
      <c r="X476" s="13">
        <f t="shared" si="49"/>
        <v>0</v>
      </c>
      <c r="Y476" s="2">
        <f t="shared" ca="1" si="50"/>
        <v>32133</v>
      </c>
      <c r="Z476" s="14">
        <v>1</v>
      </c>
      <c r="AA476" s="1" t="str">
        <f t="shared" ca="1" si="51"/>
        <v>VENCIDO</v>
      </c>
      <c r="AB476" s="1" t="str">
        <f t="shared" si="52"/>
        <v>TAAe+</v>
      </c>
      <c r="AC476" s="2">
        <f t="shared" si="55"/>
        <v>0</v>
      </c>
      <c r="AD476" s="2">
        <f t="shared" si="53"/>
        <v>8</v>
      </c>
      <c r="AE476" s="2">
        <f t="shared" ca="1" si="54"/>
        <v>-44986.676271643519</v>
      </c>
      <c r="AF476" s="15"/>
    </row>
    <row r="477" spans="3:32">
      <c r="D477" s="1"/>
      <c r="E477" s="1"/>
      <c r="P477" s="11"/>
      <c r="X477" s="13">
        <f t="shared" si="49"/>
        <v>0</v>
      </c>
      <c r="Y477" s="2">
        <f t="shared" ca="1" si="50"/>
        <v>32133</v>
      </c>
      <c r="Z477" s="14">
        <v>1</v>
      </c>
      <c r="AA477" s="1" t="str">
        <f t="shared" ca="1" si="51"/>
        <v>VENCIDO</v>
      </c>
      <c r="AB477" s="1" t="str">
        <f t="shared" si="52"/>
        <v>TAAe+</v>
      </c>
      <c r="AC477" s="2">
        <f t="shared" si="55"/>
        <v>0</v>
      </c>
      <c r="AD477" s="2">
        <f t="shared" si="53"/>
        <v>8</v>
      </c>
      <c r="AE477" s="2">
        <f t="shared" ca="1" si="54"/>
        <v>-44986.676271643519</v>
      </c>
      <c r="AF477" s="15"/>
    </row>
    <row r="478" spans="3:32">
      <c r="D478" s="1"/>
      <c r="E478" s="1"/>
      <c r="P478" s="11"/>
      <c r="U478" s="11"/>
      <c r="X478" s="13">
        <f t="shared" si="49"/>
        <v>0</v>
      </c>
      <c r="Y478" s="2">
        <f t="shared" ca="1" si="50"/>
        <v>32133</v>
      </c>
      <c r="Z478" s="14">
        <v>1</v>
      </c>
      <c r="AA478" s="1" t="str">
        <f t="shared" ca="1" si="51"/>
        <v>VENCIDO</v>
      </c>
      <c r="AB478" s="1" t="str">
        <f t="shared" si="52"/>
        <v>TAAe+</v>
      </c>
      <c r="AC478" s="2">
        <f t="shared" si="55"/>
        <v>0</v>
      </c>
      <c r="AD478" s="2">
        <f t="shared" si="53"/>
        <v>8</v>
      </c>
      <c r="AE478" s="2">
        <f t="shared" ca="1" si="54"/>
        <v>-44986.676271643519</v>
      </c>
      <c r="AF478" s="15"/>
    </row>
    <row r="479" spans="3:32">
      <c r="C479" s="23"/>
      <c r="D479" s="1"/>
      <c r="E479" s="1"/>
      <c r="P479" s="11"/>
      <c r="U479" s="11"/>
      <c r="X479" s="13">
        <f t="shared" si="49"/>
        <v>0</v>
      </c>
      <c r="Y479" s="2">
        <f t="shared" ca="1" si="50"/>
        <v>32133</v>
      </c>
      <c r="Z479" s="14">
        <v>1</v>
      </c>
      <c r="AA479" s="1" t="str">
        <f t="shared" ca="1" si="51"/>
        <v>VENCIDO</v>
      </c>
      <c r="AB479" s="1" t="str">
        <f t="shared" si="52"/>
        <v>TAAe+</v>
      </c>
      <c r="AC479" s="2">
        <f t="shared" si="55"/>
        <v>0</v>
      </c>
      <c r="AD479" s="2">
        <f t="shared" si="53"/>
        <v>8</v>
      </c>
      <c r="AE479" s="2">
        <f t="shared" ca="1" si="54"/>
        <v>-44986.676271643519</v>
      </c>
      <c r="AF479" s="15"/>
    </row>
    <row r="480" spans="3:32">
      <c r="D480" s="1"/>
      <c r="E480" s="1"/>
      <c r="P480" s="11"/>
      <c r="U480" s="11"/>
      <c r="X480" s="13">
        <f t="shared" si="49"/>
        <v>0</v>
      </c>
      <c r="Y480" s="2">
        <f t="shared" ca="1" si="50"/>
        <v>32133</v>
      </c>
      <c r="Z480" s="14">
        <v>1</v>
      </c>
      <c r="AA480" s="1" t="str">
        <f t="shared" ca="1" si="51"/>
        <v>VENCIDO</v>
      </c>
      <c r="AB480" s="1" t="str">
        <f t="shared" si="52"/>
        <v>TAAe+</v>
      </c>
      <c r="AC480" s="2">
        <f t="shared" si="55"/>
        <v>0</v>
      </c>
      <c r="AD480" s="2">
        <f t="shared" si="53"/>
        <v>8</v>
      </c>
      <c r="AE480" s="2">
        <f t="shared" ca="1" si="54"/>
        <v>-44986.676271643519</v>
      </c>
      <c r="AF480" s="15"/>
    </row>
    <row r="481" spans="3:32">
      <c r="C481" s="49"/>
      <c r="D481" s="1"/>
      <c r="E481" s="1"/>
      <c r="P481" s="11"/>
      <c r="U481" s="11"/>
      <c r="X481" s="13">
        <f t="shared" si="49"/>
        <v>0</v>
      </c>
      <c r="Y481" s="2">
        <f t="shared" ca="1" si="50"/>
        <v>32133</v>
      </c>
      <c r="Z481" s="14">
        <v>1</v>
      </c>
      <c r="AA481" s="1" t="str">
        <f t="shared" ca="1" si="51"/>
        <v>VENCIDO</v>
      </c>
      <c r="AB481" s="1" t="str">
        <f t="shared" si="52"/>
        <v>TAAe+</v>
      </c>
      <c r="AC481" s="2">
        <f t="shared" si="55"/>
        <v>0</v>
      </c>
      <c r="AD481" s="2">
        <f t="shared" si="53"/>
        <v>8</v>
      </c>
      <c r="AE481" s="2">
        <f t="shared" ca="1" si="54"/>
        <v>-44986.676271643519</v>
      </c>
      <c r="AF481" s="15"/>
    </row>
    <row r="482" spans="3:32">
      <c r="D482" s="1"/>
      <c r="E482" s="1"/>
      <c r="P482" s="11"/>
      <c r="U482" s="11"/>
      <c r="X482" s="13">
        <f t="shared" si="49"/>
        <v>0</v>
      </c>
      <c r="Y482" s="2">
        <f t="shared" ca="1" si="50"/>
        <v>32133</v>
      </c>
      <c r="Z482" s="14">
        <v>1</v>
      </c>
      <c r="AA482" s="1" t="str">
        <f t="shared" ca="1" si="51"/>
        <v>VENCIDO</v>
      </c>
      <c r="AB482" s="1" t="str">
        <f t="shared" si="52"/>
        <v>TAAe+</v>
      </c>
      <c r="AC482" s="2">
        <f t="shared" si="55"/>
        <v>0</v>
      </c>
      <c r="AD482" s="2">
        <f t="shared" si="53"/>
        <v>8</v>
      </c>
      <c r="AE482" s="2">
        <f t="shared" ca="1" si="54"/>
        <v>-44986.676271643519</v>
      </c>
      <c r="AF482" s="15"/>
    </row>
    <row r="483" spans="3:32">
      <c r="D483" s="1"/>
      <c r="E483" s="1"/>
      <c r="P483" s="11"/>
      <c r="U483" s="11"/>
      <c r="X483" s="13">
        <f t="shared" si="49"/>
        <v>0</v>
      </c>
      <c r="Y483" s="2">
        <f t="shared" ca="1" si="50"/>
        <v>32133</v>
      </c>
      <c r="Z483" s="14">
        <v>1</v>
      </c>
      <c r="AA483" s="1" t="str">
        <f t="shared" ca="1" si="51"/>
        <v>VENCIDO</v>
      </c>
      <c r="AB483" s="1" t="str">
        <f t="shared" si="52"/>
        <v>TAAe+</v>
      </c>
      <c r="AC483" s="2">
        <f t="shared" si="55"/>
        <v>0</v>
      </c>
      <c r="AD483" s="2">
        <f t="shared" si="53"/>
        <v>8</v>
      </c>
      <c r="AE483" s="2">
        <f t="shared" ca="1" si="54"/>
        <v>-44986.676271643519</v>
      </c>
      <c r="AF483" s="15"/>
    </row>
    <row r="484" spans="3:32">
      <c r="D484" s="1"/>
      <c r="E484" s="1"/>
      <c r="P484" s="11"/>
      <c r="U484" s="11"/>
      <c r="X484" s="13">
        <f t="shared" si="49"/>
        <v>0</v>
      </c>
      <c r="Y484" s="2">
        <f t="shared" ca="1" si="50"/>
        <v>32133</v>
      </c>
      <c r="Z484" s="14">
        <v>1</v>
      </c>
      <c r="AA484" s="1" t="str">
        <f t="shared" ca="1" si="51"/>
        <v>VENCIDO</v>
      </c>
      <c r="AB484" s="1" t="str">
        <f t="shared" si="52"/>
        <v>TAAe+</v>
      </c>
      <c r="AC484" s="2">
        <f t="shared" si="55"/>
        <v>0</v>
      </c>
      <c r="AD484" s="2">
        <f t="shared" si="53"/>
        <v>8</v>
      </c>
      <c r="AE484" s="2">
        <f t="shared" ca="1" si="54"/>
        <v>-44986.676271643519</v>
      </c>
      <c r="AF484" s="15"/>
    </row>
    <row r="485" spans="3:32">
      <c r="D485" s="1"/>
      <c r="E485" s="1"/>
      <c r="P485" s="11"/>
      <c r="U485" s="11"/>
      <c r="X485" s="13">
        <f t="shared" si="49"/>
        <v>0</v>
      </c>
      <c r="Y485" s="2">
        <f t="shared" ca="1" si="50"/>
        <v>32133</v>
      </c>
      <c r="Z485" s="14">
        <v>1</v>
      </c>
      <c r="AA485" s="1" t="str">
        <f t="shared" ca="1" si="51"/>
        <v>VENCIDO</v>
      </c>
      <c r="AB485" s="1" t="str">
        <f t="shared" si="52"/>
        <v>TAAe+</v>
      </c>
      <c r="AC485" s="2">
        <f t="shared" si="55"/>
        <v>0</v>
      </c>
      <c r="AD485" s="2">
        <f t="shared" si="53"/>
        <v>8</v>
      </c>
      <c r="AE485" s="2">
        <f t="shared" ca="1" si="54"/>
        <v>-44986.676271643519</v>
      </c>
      <c r="AF485" s="15"/>
    </row>
    <row r="486" spans="3:32">
      <c r="D486" s="1"/>
      <c r="E486" s="1"/>
      <c r="P486" s="11"/>
      <c r="U486" s="11"/>
      <c r="X486" s="13">
        <f t="shared" si="49"/>
        <v>0</v>
      </c>
      <c r="Y486" s="2">
        <f t="shared" ca="1" si="50"/>
        <v>32133</v>
      </c>
      <c r="Z486" s="14">
        <v>1</v>
      </c>
      <c r="AA486" s="1" t="str">
        <f t="shared" ca="1" si="51"/>
        <v>VENCIDO</v>
      </c>
      <c r="AB486" s="1" t="str">
        <f t="shared" si="52"/>
        <v>TAAe+</v>
      </c>
      <c r="AC486" s="2">
        <f t="shared" si="55"/>
        <v>0</v>
      </c>
      <c r="AD486" s="2">
        <f t="shared" si="53"/>
        <v>8</v>
      </c>
      <c r="AE486" s="2">
        <f t="shared" ca="1" si="54"/>
        <v>-44986.676271643519</v>
      </c>
      <c r="AF486" s="15"/>
    </row>
    <row r="487" spans="3:32">
      <c r="D487" s="1"/>
      <c r="E487" s="1"/>
      <c r="P487" s="11"/>
      <c r="U487" s="11"/>
      <c r="X487" s="13">
        <f t="shared" si="49"/>
        <v>0</v>
      </c>
      <c r="Y487" s="2">
        <f t="shared" ca="1" si="50"/>
        <v>32133</v>
      </c>
      <c r="Z487" s="14">
        <v>1</v>
      </c>
      <c r="AA487" s="1" t="str">
        <f t="shared" ca="1" si="51"/>
        <v>VENCIDO</v>
      </c>
      <c r="AB487" s="1" t="str">
        <f t="shared" si="52"/>
        <v>TAAe+</v>
      </c>
      <c r="AC487" s="2">
        <f t="shared" si="55"/>
        <v>0</v>
      </c>
      <c r="AD487" s="2">
        <f t="shared" si="53"/>
        <v>8</v>
      </c>
      <c r="AE487" s="2">
        <f t="shared" ca="1" si="54"/>
        <v>-44986.676271643519</v>
      </c>
      <c r="AF487" s="15"/>
    </row>
    <row r="488" spans="3:32">
      <c r="D488" s="1"/>
      <c r="E488" s="1"/>
      <c r="P488" s="11"/>
      <c r="U488" s="11"/>
      <c r="X488" s="13">
        <f t="shared" si="49"/>
        <v>0</v>
      </c>
      <c r="Y488" s="2">
        <f t="shared" ca="1" si="50"/>
        <v>32133</v>
      </c>
      <c r="Z488" s="14">
        <v>1</v>
      </c>
      <c r="AA488" s="1" t="str">
        <f t="shared" ca="1" si="51"/>
        <v>VENCIDO</v>
      </c>
      <c r="AB488" s="1" t="str">
        <f t="shared" si="52"/>
        <v>TAAe+</v>
      </c>
      <c r="AC488" s="2">
        <f t="shared" si="55"/>
        <v>0</v>
      </c>
      <c r="AD488" s="2">
        <f t="shared" si="53"/>
        <v>8</v>
      </c>
      <c r="AE488" s="2">
        <f t="shared" ca="1" si="54"/>
        <v>-44986.676271643519</v>
      </c>
      <c r="AF488" s="15"/>
    </row>
    <row r="489" spans="3:32">
      <c r="D489" s="1"/>
      <c r="E489" s="1"/>
      <c r="P489" s="11"/>
      <c r="U489" s="11"/>
      <c r="X489" s="13">
        <f t="shared" si="49"/>
        <v>0</v>
      </c>
      <c r="Y489" s="2">
        <f t="shared" ca="1" si="50"/>
        <v>32133</v>
      </c>
      <c r="Z489" s="14">
        <v>1</v>
      </c>
      <c r="AA489" s="1" t="str">
        <f t="shared" ca="1" si="51"/>
        <v>VENCIDO</v>
      </c>
      <c r="AB489" s="1" t="str">
        <f t="shared" si="52"/>
        <v>TAAe+</v>
      </c>
      <c r="AC489" s="2">
        <f t="shared" si="55"/>
        <v>0</v>
      </c>
      <c r="AD489" s="2">
        <f t="shared" si="53"/>
        <v>8</v>
      </c>
      <c r="AE489" s="2">
        <f t="shared" ca="1" si="54"/>
        <v>-44986.676271643519</v>
      </c>
      <c r="AF489" s="15"/>
    </row>
    <row r="490" spans="3:32">
      <c r="C490" s="49"/>
      <c r="D490" s="1"/>
      <c r="E490" s="1"/>
      <c r="P490" s="11"/>
      <c r="U490" s="11"/>
      <c r="X490" s="13">
        <f t="shared" si="49"/>
        <v>0</v>
      </c>
      <c r="Y490" s="2">
        <f t="shared" ca="1" si="50"/>
        <v>32133</v>
      </c>
      <c r="Z490" s="14">
        <v>1</v>
      </c>
      <c r="AA490" s="1" t="str">
        <f t="shared" ca="1" si="51"/>
        <v>VENCIDO</v>
      </c>
      <c r="AB490" s="1" t="str">
        <f t="shared" si="52"/>
        <v>TAAe+</v>
      </c>
      <c r="AC490" s="2">
        <f t="shared" si="55"/>
        <v>0</v>
      </c>
      <c r="AD490" s="2">
        <f t="shared" si="53"/>
        <v>8</v>
      </c>
      <c r="AE490" s="2">
        <f t="shared" ca="1" si="54"/>
        <v>-44986.676271643519</v>
      </c>
      <c r="AF490" s="15"/>
    </row>
    <row r="491" spans="3:32">
      <c r="D491" s="1"/>
      <c r="E491" s="1"/>
      <c r="P491" s="11"/>
      <c r="U491" s="11"/>
      <c r="X491" s="13">
        <f t="shared" si="49"/>
        <v>0</v>
      </c>
      <c r="Y491" s="2">
        <f t="shared" ca="1" si="50"/>
        <v>32133</v>
      </c>
      <c r="Z491" s="14">
        <v>1</v>
      </c>
      <c r="AA491" s="1" t="str">
        <f t="shared" ca="1" si="51"/>
        <v>VENCIDO</v>
      </c>
      <c r="AB491" s="1" t="str">
        <f t="shared" si="52"/>
        <v>TAAe+</v>
      </c>
      <c r="AC491" s="2">
        <f t="shared" si="55"/>
        <v>0</v>
      </c>
      <c r="AD491" s="2">
        <f t="shared" si="53"/>
        <v>8</v>
      </c>
      <c r="AE491" s="2">
        <f t="shared" ca="1" si="54"/>
        <v>-44986.676271643519</v>
      </c>
      <c r="AF491" s="15"/>
    </row>
    <row r="492" spans="3:32">
      <c r="D492" s="1"/>
      <c r="E492" s="1"/>
      <c r="P492" s="11"/>
      <c r="U492" s="11"/>
      <c r="X492" s="13">
        <f t="shared" si="49"/>
        <v>0</v>
      </c>
      <c r="Y492" s="2">
        <f t="shared" ca="1" si="50"/>
        <v>32133</v>
      </c>
      <c r="Z492" s="14">
        <v>1</v>
      </c>
      <c r="AA492" s="1" t="str">
        <f t="shared" ca="1" si="51"/>
        <v>VENCIDO</v>
      </c>
      <c r="AB492" s="1" t="str">
        <f t="shared" si="52"/>
        <v>TAAe+</v>
      </c>
      <c r="AC492" s="2">
        <f t="shared" si="55"/>
        <v>0</v>
      </c>
      <c r="AD492" s="2">
        <f t="shared" si="53"/>
        <v>8</v>
      </c>
      <c r="AE492" s="2">
        <f t="shared" ca="1" si="54"/>
        <v>-44986.676271643519</v>
      </c>
      <c r="AF492" s="15"/>
    </row>
    <row r="493" spans="3:32">
      <c r="D493" s="1"/>
      <c r="E493" s="1"/>
      <c r="P493" s="11"/>
      <c r="U493" s="11"/>
      <c r="X493" s="13">
        <f t="shared" si="49"/>
        <v>0</v>
      </c>
      <c r="Y493" s="2">
        <f t="shared" ca="1" si="50"/>
        <v>32133</v>
      </c>
      <c r="Z493" s="14">
        <v>1</v>
      </c>
      <c r="AA493" s="1" t="str">
        <f t="shared" ca="1" si="51"/>
        <v>VENCIDO</v>
      </c>
      <c r="AB493" s="1" t="str">
        <f t="shared" si="52"/>
        <v>TAAe+</v>
      </c>
      <c r="AC493" s="2">
        <f t="shared" si="55"/>
        <v>0</v>
      </c>
      <c r="AD493" s="2">
        <f t="shared" si="53"/>
        <v>8</v>
      </c>
      <c r="AE493" s="2">
        <f t="shared" ca="1" si="54"/>
        <v>-44986.676271643519</v>
      </c>
      <c r="AF493" s="15"/>
    </row>
    <row r="494" spans="3:32">
      <c r="C494" s="49"/>
      <c r="D494" s="1"/>
      <c r="E494" s="1"/>
      <c r="P494" s="11"/>
      <c r="U494" s="11"/>
      <c r="X494" s="13">
        <f t="shared" si="49"/>
        <v>0</v>
      </c>
      <c r="Y494" s="2">
        <f t="shared" ca="1" si="50"/>
        <v>32133</v>
      </c>
      <c r="Z494" s="14">
        <v>1</v>
      </c>
      <c r="AA494" s="1" t="str">
        <f t="shared" ca="1" si="51"/>
        <v>VENCIDO</v>
      </c>
      <c r="AB494" s="1" t="str">
        <f t="shared" si="52"/>
        <v>TAAe+</v>
      </c>
      <c r="AC494" s="2">
        <f t="shared" si="55"/>
        <v>0</v>
      </c>
      <c r="AD494" s="2">
        <f t="shared" si="53"/>
        <v>8</v>
      </c>
      <c r="AE494" s="2">
        <f t="shared" ca="1" si="54"/>
        <v>-44986.676271643519</v>
      </c>
      <c r="AF494" s="15"/>
    </row>
    <row r="495" spans="3:32">
      <c r="D495" s="1"/>
      <c r="E495" s="1"/>
      <c r="P495" s="11"/>
      <c r="U495" s="11"/>
      <c r="X495" s="13">
        <f t="shared" si="49"/>
        <v>0</v>
      </c>
      <c r="Y495" s="2">
        <f t="shared" ca="1" si="50"/>
        <v>32133</v>
      </c>
      <c r="Z495" s="14">
        <v>1</v>
      </c>
      <c r="AA495" s="1" t="str">
        <f t="shared" ca="1" si="51"/>
        <v>VENCIDO</v>
      </c>
      <c r="AB495" s="1" t="str">
        <f t="shared" si="52"/>
        <v>TAAe+</v>
      </c>
      <c r="AC495" s="2">
        <f t="shared" si="55"/>
        <v>0</v>
      </c>
      <c r="AD495" s="2">
        <f t="shared" si="53"/>
        <v>8</v>
      </c>
      <c r="AE495" s="2">
        <f t="shared" ca="1" si="54"/>
        <v>-44986.676271643519</v>
      </c>
      <c r="AF495" s="15"/>
    </row>
    <row r="496" spans="3:32">
      <c r="D496" s="1"/>
      <c r="E496" s="1"/>
      <c r="P496" s="11"/>
      <c r="U496" s="11"/>
      <c r="X496" s="13">
        <f t="shared" si="49"/>
        <v>0</v>
      </c>
      <c r="Y496" s="2">
        <f t="shared" ca="1" si="50"/>
        <v>32133</v>
      </c>
      <c r="Z496" s="14">
        <v>1</v>
      </c>
      <c r="AA496" s="1" t="str">
        <f t="shared" ca="1" si="51"/>
        <v>VENCIDO</v>
      </c>
      <c r="AB496" s="1" t="str">
        <f t="shared" si="52"/>
        <v>TAAe+</v>
      </c>
      <c r="AC496" s="2">
        <f t="shared" si="55"/>
        <v>0</v>
      </c>
      <c r="AD496" s="2">
        <f t="shared" si="53"/>
        <v>8</v>
      </c>
      <c r="AE496" s="2">
        <f t="shared" ca="1" si="54"/>
        <v>-44986.676271643519</v>
      </c>
      <c r="AF496" s="15"/>
    </row>
    <row r="497" spans="3:32">
      <c r="C497" s="49"/>
      <c r="D497" s="1"/>
      <c r="E497" s="1"/>
      <c r="P497" s="11"/>
      <c r="U497" s="11"/>
      <c r="X497" s="13">
        <f t="shared" si="49"/>
        <v>0</v>
      </c>
      <c r="Y497" s="2">
        <f t="shared" ca="1" si="50"/>
        <v>32133</v>
      </c>
      <c r="Z497" s="14">
        <v>1</v>
      </c>
      <c r="AA497" s="1" t="str">
        <f t="shared" ca="1" si="51"/>
        <v>VENCIDO</v>
      </c>
      <c r="AB497" s="1" t="str">
        <f t="shared" si="52"/>
        <v>TAAe+</v>
      </c>
      <c r="AC497" s="2">
        <f t="shared" si="55"/>
        <v>0</v>
      </c>
      <c r="AD497" s="2">
        <f t="shared" si="53"/>
        <v>8</v>
      </c>
      <c r="AE497" s="2">
        <f t="shared" ca="1" si="54"/>
        <v>-44986.676271643519</v>
      </c>
      <c r="AF497" s="15"/>
    </row>
    <row r="498" spans="3:32">
      <c r="D498" s="1"/>
      <c r="E498" s="1"/>
      <c r="P498" s="11"/>
      <c r="U498" s="11"/>
      <c r="X498" s="13">
        <f t="shared" si="49"/>
        <v>0</v>
      </c>
      <c r="Y498" s="2">
        <f t="shared" ca="1" si="50"/>
        <v>32133</v>
      </c>
      <c r="Z498" s="14">
        <v>1</v>
      </c>
      <c r="AA498" s="1" t="str">
        <f t="shared" ca="1" si="51"/>
        <v>VENCIDO</v>
      </c>
      <c r="AB498" s="1" t="str">
        <f t="shared" si="52"/>
        <v>TAAe+</v>
      </c>
      <c r="AC498" s="2">
        <f t="shared" si="55"/>
        <v>0</v>
      </c>
      <c r="AD498" s="2">
        <f t="shared" si="53"/>
        <v>8</v>
      </c>
      <c r="AE498" s="2">
        <f t="shared" ca="1" si="54"/>
        <v>-44986.676271643519</v>
      </c>
      <c r="AF498" s="15"/>
    </row>
    <row r="499" spans="3:32">
      <c r="D499" s="1"/>
      <c r="E499" s="1"/>
      <c r="P499" s="11"/>
      <c r="U499" s="11"/>
      <c r="X499" s="13">
        <f t="shared" si="49"/>
        <v>0</v>
      </c>
      <c r="Y499" s="2">
        <f t="shared" ca="1" si="50"/>
        <v>32133</v>
      </c>
      <c r="Z499" s="14">
        <v>1</v>
      </c>
      <c r="AA499" s="1" t="str">
        <f t="shared" ca="1" si="51"/>
        <v>VENCIDO</v>
      </c>
      <c r="AB499" s="1" t="str">
        <f t="shared" si="52"/>
        <v>TAAe+</v>
      </c>
      <c r="AC499" s="2">
        <f t="shared" si="55"/>
        <v>0</v>
      </c>
      <c r="AD499" s="2">
        <f t="shared" si="53"/>
        <v>8</v>
      </c>
      <c r="AE499" s="2">
        <f t="shared" ca="1" si="54"/>
        <v>-44986.676271643519</v>
      </c>
      <c r="AF499" s="15"/>
    </row>
    <row r="500" spans="3:32">
      <c r="D500" s="1"/>
      <c r="E500" s="1"/>
      <c r="P500" s="11"/>
      <c r="U500" s="11"/>
      <c r="X500" s="13">
        <f t="shared" si="49"/>
        <v>0</v>
      </c>
      <c r="Y500" s="2">
        <f t="shared" ca="1" si="50"/>
        <v>32133</v>
      </c>
      <c r="Z500" s="14">
        <v>1</v>
      </c>
      <c r="AA500" s="1" t="str">
        <f t="shared" ca="1" si="51"/>
        <v>VENCIDO</v>
      </c>
      <c r="AB500" s="1" t="str">
        <f t="shared" si="52"/>
        <v>TAAe+</v>
      </c>
      <c r="AC500" s="2">
        <f t="shared" si="55"/>
        <v>0</v>
      </c>
      <c r="AD500" s="2">
        <f t="shared" si="53"/>
        <v>8</v>
      </c>
      <c r="AE500" s="2">
        <f t="shared" ca="1" si="54"/>
        <v>-44986.676271643519</v>
      </c>
      <c r="AF500" s="15"/>
    </row>
    <row r="501" spans="3:32">
      <c r="D501" s="1"/>
      <c r="E501" s="1"/>
      <c r="P501" s="11"/>
      <c r="U501" s="11"/>
      <c r="X501" s="13">
        <f t="shared" si="49"/>
        <v>0</v>
      </c>
      <c r="Y501" s="2">
        <f t="shared" ca="1" si="50"/>
        <v>32133</v>
      </c>
      <c r="Z501" s="14">
        <v>1</v>
      </c>
      <c r="AA501" s="1" t="str">
        <f t="shared" ca="1" si="51"/>
        <v>VENCIDO</v>
      </c>
      <c r="AB501" s="1" t="str">
        <f t="shared" si="52"/>
        <v>TAAe+</v>
      </c>
      <c r="AC501" s="2">
        <f t="shared" si="55"/>
        <v>0</v>
      </c>
      <c r="AD501" s="2">
        <f t="shared" si="53"/>
        <v>8</v>
      </c>
      <c r="AE501" s="2">
        <f t="shared" ca="1" si="54"/>
        <v>-44986.676271643519</v>
      </c>
      <c r="AF501" s="15"/>
    </row>
    <row r="502" spans="3:32">
      <c r="D502" s="1"/>
      <c r="E502" s="1"/>
      <c r="P502" s="11"/>
      <c r="U502" s="11"/>
      <c r="X502" s="13">
        <f t="shared" si="49"/>
        <v>0</v>
      </c>
      <c r="Y502" s="2">
        <f t="shared" ca="1" si="50"/>
        <v>32133</v>
      </c>
      <c r="Z502" s="14">
        <v>1</v>
      </c>
      <c r="AA502" s="1" t="str">
        <f t="shared" ca="1" si="51"/>
        <v>VENCIDO</v>
      </c>
      <c r="AB502" s="1" t="str">
        <f t="shared" si="52"/>
        <v>TAAe+</v>
      </c>
      <c r="AC502" s="2">
        <f t="shared" si="55"/>
        <v>0</v>
      </c>
      <c r="AD502" s="2">
        <f t="shared" si="53"/>
        <v>8</v>
      </c>
      <c r="AE502" s="2">
        <f t="shared" ca="1" si="54"/>
        <v>-44986.676271643519</v>
      </c>
      <c r="AF502" s="15"/>
    </row>
    <row r="503" spans="3:32">
      <c r="D503" s="1"/>
      <c r="E503" s="1"/>
      <c r="P503" s="11"/>
      <c r="U503" s="11"/>
      <c r="X503" s="13">
        <f t="shared" si="49"/>
        <v>0</v>
      </c>
      <c r="Y503" s="2">
        <f t="shared" ca="1" si="50"/>
        <v>32133</v>
      </c>
      <c r="Z503" s="14">
        <v>1</v>
      </c>
      <c r="AA503" s="1" t="str">
        <f t="shared" ca="1" si="51"/>
        <v>VENCIDO</v>
      </c>
      <c r="AB503" s="1" t="str">
        <f t="shared" si="52"/>
        <v>TAAe+</v>
      </c>
      <c r="AC503" s="2">
        <f t="shared" si="55"/>
        <v>0</v>
      </c>
      <c r="AD503" s="2">
        <f t="shared" si="53"/>
        <v>8</v>
      </c>
      <c r="AE503" s="2">
        <f t="shared" ca="1" si="54"/>
        <v>-44986.676271643519</v>
      </c>
      <c r="AF503" s="15"/>
    </row>
    <row r="504" spans="3:32">
      <c r="D504" s="1"/>
      <c r="E504" s="1"/>
      <c r="P504" s="11"/>
      <c r="U504" s="11"/>
      <c r="X504" s="13">
        <f t="shared" si="49"/>
        <v>0</v>
      </c>
      <c r="Y504" s="2">
        <f t="shared" ca="1" si="50"/>
        <v>32133</v>
      </c>
      <c r="Z504" s="14">
        <v>1</v>
      </c>
      <c r="AA504" s="1" t="str">
        <f t="shared" ca="1" si="51"/>
        <v>VENCIDO</v>
      </c>
      <c r="AB504" s="1" t="str">
        <f t="shared" si="52"/>
        <v>TAAe+</v>
      </c>
      <c r="AC504" s="2">
        <f t="shared" si="55"/>
        <v>0</v>
      </c>
      <c r="AD504" s="2">
        <f t="shared" si="53"/>
        <v>8</v>
      </c>
      <c r="AE504" s="2">
        <f t="shared" ca="1" si="54"/>
        <v>-44986.676271643519</v>
      </c>
      <c r="AF504" s="15"/>
    </row>
    <row r="505" spans="3:32">
      <c r="D505" s="1"/>
      <c r="E505" s="1"/>
      <c r="P505" s="11"/>
      <c r="U505" s="11"/>
      <c r="X505" s="13">
        <f t="shared" si="49"/>
        <v>0</v>
      </c>
      <c r="Y505" s="2">
        <f t="shared" ca="1" si="50"/>
        <v>32133</v>
      </c>
      <c r="Z505" s="14">
        <v>1</v>
      </c>
      <c r="AA505" s="1" t="str">
        <f t="shared" ca="1" si="51"/>
        <v>VENCIDO</v>
      </c>
      <c r="AB505" s="1" t="str">
        <f t="shared" si="52"/>
        <v>TAAe+</v>
      </c>
      <c r="AC505" s="2">
        <f t="shared" si="55"/>
        <v>0</v>
      </c>
      <c r="AD505" s="2">
        <f t="shared" si="53"/>
        <v>8</v>
      </c>
      <c r="AE505" s="2">
        <f t="shared" ca="1" si="54"/>
        <v>-44986.676271643519</v>
      </c>
      <c r="AF505" s="15"/>
    </row>
    <row r="506" spans="3:32">
      <c r="D506" s="1"/>
      <c r="E506" s="1"/>
      <c r="P506" s="11"/>
      <c r="U506" s="11"/>
      <c r="X506" s="13">
        <f t="shared" si="49"/>
        <v>0</v>
      </c>
      <c r="Y506" s="2">
        <f t="shared" ca="1" si="50"/>
        <v>32133</v>
      </c>
      <c r="Z506" s="14">
        <v>1</v>
      </c>
      <c r="AA506" s="1" t="str">
        <f t="shared" ca="1" si="51"/>
        <v>VENCIDO</v>
      </c>
      <c r="AB506" s="1" t="str">
        <f t="shared" si="52"/>
        <v>TAAe+</v>
      </c>
      <c r="AC506" s="2">
        <f t="shared" si="55"/>
        <v>0</v>
      </c>
      <c r="AD506" s="2">
        <f t="shared" si="53"/>
        <v>8</v>
      </c>
      <c r="AE506" s="2">
        <f t="shared" ca="1" si="54"/>
        <v>-44986.676271643519</v>
      </c>
      <c r="AF506" s="15"/>
    </row>
    <row r="507" spans="3:32">
      <c r="C507" s="49"/>
      <c r="D507" s="1"/>
      <c r="E507" s="1"/>
      <c r="P507" s="11"/>
      <c r="U507" s="11"/>
      <c r="X507" s="13">
        <f t="shared" si="49"/>
        <v>0</v>
      </c>
      <c r="Y507" s="2">
        <f t="shared" ca="1" si="50"/>
        <v>32133</v>
      </c>
      <c r="Z507" s="14">
        <v>1</v>
      </c>
      <c r="AA507" s="1" t="str">
        <f t="shared" ca="1" si="51"/>
        <v>VENCIDO</v>
      </c>
      <c r="AB507" s="1" t="str">
        <f t="shared" si="52"/>
        <v>TAAe+</v>
      </c>
      <c r="AC507" s="2">
        <f t="shared" si="55"/>
        <v>0</v>
      </c>
      <c r="AD507" s="2">
        <f t="shared" si="53"/>
        <v>8</v>
      </c>
      <c r="AE507" s="2">
        <f t="shared" ca="1" si="54"/>
        <v>-44986.676271643519</v>
      </c>
      <c r="AF507" s="15"/>
    </row>
    <row r="508" spans="3:32">
      <c r="D508" s="1"/>
      <c r="E508" s="1"/>
      <c r="P508" s="11"/>
      <c r="U508" s="11"/>
      <c r="X508" s="13">
        <f t="shared" si="49"/>
        <v>0</v>
      </c>
      <c r="Y508" s="2">
        <f t="shared" ca="1" si="50"/>
        <v>32133</v>
      </c>
      <c r="Z508" s="14">
        <v>1</v>
      </c>
      <c r="AA508" s="1" t="str">
        <f t="shared" ca="1" si="51"/>
        <v>VENCIDO</v>
      </c>
      <c r="AB508" s="1" t="str">
        <f t="shared" si="52"/>
        <v>TAAe+</v>
      </c>
      <c r="AC508" s="2">
        <f t="shared" si="55"/>
        <v>0</v>
      </c>
      <c r="AD508" s="2">
        <f t="shared" si="53"/>
        <v>8</v>
      </c>
      <c r="AE508" s="2">
        <f t="shared" ca="1" si="54"/>
        <v>-44986.676271643519</v>
      </c>
      <c r="AF508" s="15"/>
    </row>
    <row r="509" spans="3:32">
      <c r="D509" s="1"/>
      <c r="E509" s="1"/>
      <c r="P509" s="11"/>
      <c r="U509" s="11"/>
      <c r="X509" s="13">
        <f t="shared" si="49"/>
        <v>0</v>
      </c>
      <c r="Y509" s="2">
        <f t="shared" ca="1" si="50"/>
        <v>32133</v>
      </c>
      <c r="Z509" s="14">
        <v>1</v>
      </c>
      <c r="AA509" s="1" t="str">
        <f t="shared" ca="1" si="51"/>
        <v>VENCIDO</v>
      </c>
      <c r="AB509" s="1" t="str">
        <f t="shared" si="52"/>
        <v>TAAe+</v>
      </c>
      <c r="AC509" s="2">
        <f t="shared" si="55"/>
        <v>0</v>
      </c>
      <c r="AD509" s="2">
        <f t="shared" si="53"/>
        <v>8</v>
      </c>
      <c r="AE509" s="2">
        <f t="shared" ca="1" si="54"/>
        <v>-44986.676271643519</v>
      </c>
      <c r="AF509" s="15"/>
    </row>
    <row r="510" spans="3:32">
      <c r="D510" s="1"/>
      <c r="E510" s="1"/>
      <c r="P510" s="11"/>
      <c r="U510" s="11"/>
      <c r="X510" s="13">
        <f t="shared" si="49"/>
        <v>0</v>
      </c>
      <c r="Y510" s="2">
        <f t="shared" ca="1" si="50"/>
        <v>32133</v>
      </c>
      <c r="Z510" s="14">
        <v>1</v>
      </c>
      <c r="AA510" s="1" t="str">
        <f t="shared" ca="1" si="51"/>
        <v>VENCIDO</v>
      </c>
      <c r="AB510" s="1" t="str">
        <f t="shared" si="52"/>
        <v>TAAe+</v>
      </c>
      <c r="AC510" s="2">
        <f t="shared" si="55"/>
        <v>0</v>
      </c>
      <c r="AD510" s="2">
        <f t="shared" si="53"/>
        <v>8</v>
      </c>
      <c r="AE510" s="2">
        <f t="shared" ca="1" si="54"/>
        <v>-44986.676271643519</v>
      </c>
      <c r="AF510" s="15"/>
    </row>
    <row r="511" spans="3:32">
      <c r="D511" s="1"/>
      <c r="E511" s="1"/>
      <c r="P511" s="11"/>
      <c r="U511" s="11"/>
      <c r="X511" s="13">
        <f t="shared" si="49"/>
        <v>0</v>
      </c>
      <c r="Y511" s="2">
        <f t="shared" ca="1" si="50"/>
        <v>32133</v>
      </c>
      <c r="Z511" s="14">
        <v>1</v>
      </c>
      <c r="AA511" s="1" t="str">
        <f t="shared" ca="1" si="51"/>
        <v>VENCIDO</v>
      </c>
      <c r="AB511" s="1" t="str">
        <f t="shared" si="52"/>
        <v>TAAe+</v>
      </c>
      <c r="AC511" s="2">
        <f t="shared" si="55"/>
        <v>0</v>
      </c>
      <c r="AD511" s="2">
        <f t="shared" si="53"/>
        <v>8</v>
      </c>
      <c r="AE511" s="2">
        <f t="shared" ca="1" si="54"/>
        <v>-44986.676271643519</v>
      </c>
      <c r="AF511" s="15"/>
    </row>
    <row r="512" spans="3:32">
      <c r="D512" s="1"/>
      <c r="E512" s="1"/>
      <c r="P512" s="11"/>
      <c r="U512" s="11"/>
      <c r="X512" s="13">
        <f t="shared" si="49"/>
        <v>0</v>
      </c>
      <c r="Y512" s="2">
        <f t="shared" ca="1" si="50"/>
        <v>32133</v>
      </c>
      <c r="Z512" s="14">
        <v>1</v>
      </c>
      <c r="AA512" s="1" t="str">
        <f t="shared" ca="1" si="51"/>
        <v>VENCIDO</v>
      </c>
      <c r="AB512" s="1" t="str">
        <f t="shared" si="52"/>
        <v>TAAe+</v>
      </c>
      <c r="AC512" s="2">
        <f t="shared" si="55"/>
        <v>0</v>
      </c>
      <c r="AD512" s="2">
        <f t="shared" si="53"/>
        <v>8</v>
      </c>
      <c r="AE512" s="2">
        <f t="shared" ca="1" si="54"/>
        <v>-44986.676271643519</v>
      </c>
      <c r="AF512" s="15"/>
    </row>
    <row r="513" spans="4:32">
      <c r="D513" s="1"/>
      <c r="E513" s="1"/>
      <c r="P513" s="11"/>
      <c r="U513" s="11"/>
      <c r="X513" s="13">
        <f t="shared" si="49"/>
        <v>0</v>
      </c>
      <c r="Y513" s="2">
        <f t="shared" ca="1" si="50"/>
        <v>32133</v>
      </c>
      <c r="Z513" s="14">
        <v>1</v>
      </c>
      <c r="AA513" s="1" t="str">
        <f t="shared" ca="1" si="51"/>
        <v>VENCIDO</v>
      </c>
      <c r="AB513" s="1" t="str">
        <f t="shared" si="52"/>
        <v>TAAe+</v>
      </c>
      <c r="AC513" s="2">
        <f t="shared" si="55"/>
        <v>0</v>
      </c>
      <c r="AD513" s="2">
        <f t="shared" si="53"/>
        <v>8</v>
      </c>
      <c r="AE513" s="2">
        <f t="shared" ca="1" si="54"/>
        <v>-44986.676271643519</v>
      </c>
      <c r="AF513" s="15"/>
    </row>
    <row r="514" spans="4:32">
      <c r="D514" s="1"/>
      <c r="E514" s="1"/>
      <c r="P514" s="11"/>
      <c r="U514" s="11"/>
      <c r="X514" s="13">
        <f t="shared" ref="X514:X577" si="56">IF(RIGHT(H514,2)&lt;&gt;"00",H514,"")</f>
        <v>0</v>
      </c>
      <c r="Y514" s="2">
        <f t="shared" ref="Y514:Y577" ca="1" si="57">NETWORKDAYS(P514,$Y$1)</f>
        <v>32133</v>
      </c>
      <c r="Z514" s="14">
        <v>1</v>
      </c>
      <c r="AA514" s="1" t="str">
        <f t="shared" ref="AA514:AA577" ca="1" si="58">IF(AE514=0,"HOJE",IF(AE514&gt;0,"A VENCER",IF(AE514&lt;0,"VENCIDO")))</f>
        <v>VENCIDO</v>
      </c>
      <c r="AB514" s="1" t="str">
        <f t="shared" ref="AB514:AB577" si="59">IF(F514="GRPE-000001","C-14",IF(F514="GRPE-000002","C-14",IF(F514="GRPE-000003","C-14",IF(F514="GRPE-000004","SL-On",IF(F514="GRPE-000038","C-14",IF(F514="GRPE-900022","Dosa",IF(F514="GRPE-000029","Dosa",IF(F514="ATOS-000222","Dose","TAAe+"))))))))</f>
        <v>TAAe+</v>
      </c>
      <c r="AC514" s="2">
        <f t="shared" si="55"/>
        <v>0</v>
      </c>
      <c r="AD514" s="2">
        <f t="shared" ref="AD514:AD577" si="60">IF(F514="GRPE-000001",5,IF(F514="GRPE-000002",5,IF(F514="GRPE-000003",15,IF(F514="GRPE-000004",1,IF(F514="GRPE-000038",5,IF(F514="GRPE-900022",5,IF(F514="GRPE-000029",5,IF(F514="ATOS-000222",5,8))))))))</f>
        <v>8</v>
      </c>
      <c r="AE514" s="2">
        <f t="shared" ref="AE514:AE577" ca="1" si="61">IF(U514=$AE$1,"",U514-$AE$1)</f>
        <v>-44986.676271643519</v>
      </c>
      <c r="AF514" s="15"/>
    </row>
    <row r="515" spans="4:32">
      <c r="D515" s="1"/>
      <c r="E515" s="1"/>
      <c r="P515" s="11"/>
      <c r="U515" s="11"/>
      <c r="X515" s="13">
        <f t="shared" si="56"/>
        <v>0</v>
      </c>
      <c r="Y515" s="2">
        <f t="shared" ca="1" si="57"/>
        <v>32133</v>
      </c>
      <c r="Z515" s="14">
        <v>1</v>
      </c>
      <c r="AA515" s="1" t="str">
        <f t="shared" ca="1" si="58"/>
        <v>VENCIDO</v>
      </c>
      <c r="AB515" s="1" t="str">
        <f t="shared" si="59"/>
        <v>TAAe+</v>
      </c>
      <c r="AC515" s="2">
        <f t="shared" ref="AC515:AC578" si="62">IF(J515="TR-PETROLINA"," ROSEMERE ",IF(J515="TR-GARANHUNS"," ROSEMERE ",IF(J515="TR-CARUARU"," ROSEMERE ",IF(J515="TR-RIBEIRAO"," CRISTINA ",IF(J515="TR-GRAVATA"," CRISTINA ",IF(J515="TR-GOIANA"," CRISTINA ",IF(J515="TR-LIMOEIRO"," CRISTINA ",IF(J515="TR-SERRA TALHADA"," RINALDO ",IF(J515="TR-SALGUEIRO"," RINALDO ",IF(J515="TR-CARNAIBA"," RINALDO ",IF(J515="TR-ARCOVERDE"," RINALDO ",IF(J515="CAT-RECIFE"," CLEITON ",))))))))))))</f>
        <v>0</v>
      </c>
      <c r="AD515" s="2">
        <f t="shared" si="60"/>
        <v>8</v>
      </c>
      <c r="AE515" s="2">
        <f t="shared" ca="1" si="61"/>
        <v>-44986.676271643519</v>
      </c>
      <c r="AF515" s="15"/>
    </row>
    <row r="516" spans="4:32">
      <c r="D516" s="1"/>
      <c r="E516" s="1"/>
      <c r="P516" s="11"/>
      <c r="U516" s="11"/>
      <c r="X516" s="13">
        <f t="shared" si="56"/>
        <v>0</v>
      </c>
      <c r="Y516" s="2">
        <f t="shared" ca="1" si="57"/>
        <v>32133</v>
      </c>
      <c r="Z516" s="14">
        <v>1</v>
      </c>
      <c r="AA516" s="1" t="str">
        <f t="shared" ca="1" si="58"/>
        <v>VENCIDO</v>
      </c>
      <c r="AB516" s="1" t="str">
        <f t="shared" si="59"/>
        <v>TAAe+</v>
      </c>
      <c r="AC516" s="2">
        <f t="shared" si="62"/>
        <v>0</v>
      </c>
      <c r="AD516" s="2">
        <f t="shared" si="60"/>
        <v>8</v>
      </c>
      <c r="AE516" s="2">
        <f t="shared" ca="1" si="61"/>
        <v>-44986.676271643519</v>
      </c>
      <c r="AF516" s="15"/>
    </row>
    <row r="517" spans="4:32">
      <c r="D517" s="1"/>
      <c r="E517" s="1"/>
      <c r="P517" s="11"/>
      <c r="U517" s="11"/>
      <c r="X517" s="13">
        <f t="shared" si="56"/>
        <v>0</v>
      </c>
      <c r="Y517" s="2">
        <f t="shared" ca="1" si="57"/>
        <v>32133</v>
      </c>
      <c r="Z517" s="14">
        <v>1</v>
      </c>
      <c r="AA517" s="1" t="str">
        <f t="shared" ca="1" si="58"/>
        <v>VENCIDO</v>
      </c>
      <c r="AB517" s="1" t="str">
        <f t="shared" si="59"/>
        <v>TAAe+</v>
      </c>
      <c r="AC517" s="2">
        <f t="shared" si="62"/>
        <v>0</v>
      </c>
      <c r="AD517" s="2">
        <f t="shared" si="60"/>
        <v>8</v>
      </c>
      <c r="AE517" s="2">
        <f t="shared" ca="1" si="61"/>
        <v>-44986.676271643519</v>
      </c>
      <c r="AF517" s="15"/>
    </row>
    <row r="518" spans="4:32">
      <c r="D518" s="1"/>
      <c r="E518" s="1"/>
      <c r="P518" s="11"/>
      <c r="U518" s="11"/>
      <c r="X518" s="13">
        <f t="shared" si="56"/>
        <v>0</v>
      </c>
      <c r="Y518" s="2">
        <f t="shared" ca="1" si="57"/>
        <v>32133</v>
      </c>
      <c r="Z518" s="14">
        <v>1</v>
      </c>
      <c r="AA518" s="1" t="str">
        <f t="shared" ca="1" si="58"/>
        <v>VENCIDO</v>
      </c>
      <c r="AB518" s="1" t="str">
        <f t="shared" si="59"/>
        <v>TAAe+</v>
      </c>
      <c r="AC518" s="2">
        <f t="shared" si="62"/>
        <v>0</v>
      </c>
      <c r="AD518" s="2">
        <f t="shared" si="60"/>
        <v>8</v>
      </c>
      <c r="AE518" s="2">
        <f t="shared" ca="1" si="61"/>
        <v>-44986.676271643519</v>
      </c>
      <c r="AF518" s="15"/>
    </row>
    <row r="519" spans="4:32">
      <c r="D519" s="1"/>
      <c r="E519" s="1"/>
      <c r="P519" s="11"/>
      <c r="U519" s="11"/>
      <c r="X519" s="13">
        <f t="shared" si="56"/>
        <v>0</v>
      </c>
      <c r="Y519" s="2">
        <f t="shared" ca="1" si="57"/>
        <v>32133</v>
      </c>
      <c r="Z519" s="14">
        <v>1</v>
      </c>
      <c r="AA519" s="1" t="str">
        <f t="shared" ca="1" si="58"/>
        <v>VENCIDO</v>
      </c>
      <c r="AB519" s="1" t="str">
        <f t="shared" si="59"/>
        <v>TAAe+</v>
      </c>
      <c r="AC519" s="2">
        <f t="shared" si="62"/>
        <v>0</v>
      </c>
      <c r="AD519" s="2">
        <f t="shared" si="60"/>
        <v>8</v>
      </c>
      <c r="AE519" s="2">
        <f t="shared" ca="1" si="61"/>
        <v>-44986.676271643519</v>
      </c>
      <c r="AF519" s="15"/>
    </row>
    <row r="520" spans="4:32">
      <c r="D520" s="1"/>
      <c r="E520" s="1"/>
      <c r="P520" s="11"/>
      <c r="U520" s="11"/>
      <c r="X520" s="13">
        <f t="shared" si="56"/>
        <v>0</v>
      </c>
      <c r="Y520" s="2">
        <f t="shared" ca="1" si="57"/>
        <v>32133</v>
      </c>
      <c r="Z520" s="14">
        <v>1</v>
      </c>
      <c r="AA520" s="1" t="str">
        <f t="shared" ca="1" si="58"/>
        <v>VENCIDO</v>
      </c>
      <c r="AB520" s="1" t="str">
        <f t="shared" si="59"/>
        <v>TAAe+</v>
      </c>
      <c r="AC520" s="2">
        <f t="shared" si="62"/>
        <v>0</v>
      </c>
      <c r="AD520" s="2">
        <f t="shared" si="60"/>
        <v>8</v>
      </c>
      <c r="AE520" s="2">
        <f t="shared" ca="1" si="61"/>
        <v>-44986.676271643519</v>
      </c>
      <c r="AF520" s="15"/>
    </row>
    <row r="521" spans="4:32">
      <c r="D521" s="1"/>
      <c r="E521" s="1"/>
      <c r="P521" s="11"/>
      <c r="U521" s="11"/>
      <c r="X521" s="13">
        <f t="shared" si="56"/>
        <v>0</v>
      </c>
      <c r="Y521" s="2">
        <f t="shared" ca="1" si="57"/>
        <v>32133</v>
      </c>
      <c r="Z521" s="14">
        <v>1</v>
      </c>
      <c r="AA521" s="1" t="str">
        <f t="shared" ca="1" si="58"/>
        <v>VENCIDO</v>
      </c>
      <c r="AB521" s="1" t="str">
        <f t="shared" si="59"/>
        <v>TAAe+</v>
      </c>
      <c r="AC521" s="2">
        <f t="shared" si="62"/>
        <v>0</v>
      </c>
      <c r="AD521" s="2">
        <f t="shared" si="60"/>
        <v>8</v>
      </c>
      <c r="AE521" s="2">
        <f t="shared" ca="1" si="61"/>
        <v>-44986.676271643519</v>
      </c>
      <c r="AF521" s="15"/>
    </row>
    <row r="522" spans="4:32">
      <c r="D522" s="1"/>
      <c r="E522" s="1"/>
      <c r="P522" s="11"/>
      <c r="U522" s="11"/>
      <c r="X522" s="13">
        <f t="shared" si="56"/>
        <v>0</v>
      </c>
      <c r="Y522" s="2">
        <f t="shared" ca="1" si="57"/>
        <v>32133</v>
      </c>
      <c r="Z522" s="14">
        <v>1</v>
      </c>
      <c r="AA522" s="1" t="str">
        <f t="shared" ca="1" si="58"/>
        <v>VENCIDO</v>
      </c>
      <c r="AB522" s="1" t="str">
        <f t="shared" si="59"/>
        <v>TAAe+</v>
      </c>
      <c r="AC522" s="2">
        <f t="shared" si="62"/>
        <v>0</v>
      </c>
      <c r="AD522" s="2">
        <f t="shared" si="60"/>
        <v>8</v>
      </c>
      <c r="AE522" s="2">
        <f t="shared" ca="1" si="61"/>
        <v>-44986.676271643519</v>
      </c>
      <c r="AF522" s="15"/>
    </row>
    <row r="523" spans="4:32">
      <c r="D523" s="1"/>
      <c r="E523" s="1"/>
      <c r="P523" s="11"/>
      <c r="U523" s="11"/>
      <c r="X523" s="13">
        <f t="shared" si="56"/>
        <v>0</v>
      </c>
      <c r="Y523" s="2">
        <f t="shared" ca="1" si="57"/>
        <v>32133</v>
      </c>
      <c r="Z523" s="14">
        <v>1</v>
      </c>
      <c r="AA523" s="1" t="str">
        <f t="shared" ca="1" si="58"/>
        <v>VENCIDO</v>
      </c>
      <c r="AB523" s="1" t="str">
        <f t="shared" si="59"/>
        <v>TAAe+</v>
      </c>
      <c r="AC523" s="2">
        <f t="shared" si="62"/>
        <v>0</v>
      </c>
      <c r="AD523" s="2">
        <f t="shared" si="60"/>
        <v>8</v>
      </c>
      <c r="AE523" s="2">
        <f t="shared" ca="1" si="61"/>
        <v>-44986.676271643519</v>
      </c>
      <c r="AF523" s="15"/>
    </row>
    <row r="524" spans="4:32">
      <c r="D524" s="1"/>
      <c r="E524" s="1"/>
      <c r="P524" s="11"/>
      <c r="U524" s="11"/>
      <c r="X524" s="13">
        <f t="shared" si="56"/>
        <v>0</v>
      </c>
      <c r="Y524" s="2">
        <f t="shared" ca="1" si="57"/>
        <v>32133</v>
      </c>
      <c r="Z524" s="14">
        <v>1</v>
      </c>
      <c r="AA524" s="1" t="str">
        <f t="shared" ca="1" si="58"/>
        <v>VENCIDO</v>
      </c>
      <c r="AB524" s="1" t="str">
        <f t="shared" si="59"/>
        <v>TAAe+</v>
      </c>
      <c r="AC524" s="2">
        <f t="shared" si="62"/>
        <v>0</v>
      </c>
      <c r="AD524" s="2">
        <f t="shared" si="60"/>
        <v>8</v>
      </c>
      <c r="AE524" s="2">
        <f t="shared" ca="1" si="61"/>
        <v>-44986.676271643519</v>
      </c>
      <c r="AF524" s="15"/>
    </row>
    <row r="525" spans="4:32">
      <c r="D525" s="1"/>
      <c r="E525" s="1"/>
      <c r="P525" s="11"/>
      <c r="U525" s="11"/>
      <c r="X525" s="13">
        <f t="shared" si="56"/>
        <v>0</v>
      </c>
      <c r="Y525" s="2">
        <f t="shared" ca="1" si="57"/>
        <v>32133</v>
      </c>
      <c r="Z525" s="14">
        <v>1</v>
      </c>
      <c r="AA525" s="1" t="str">
        <f t="shared" ca="1" si="58"/>
        <v>VENCIDO</v>
      </c>
      <c r="AB525" s="1" t="str">
        <f t="shared" si="59"/>
        <v>TAAe+</v>
      </c>
      <c r="AC525" s="2">
        <f t="shared" si="62"/>
        <v>0</v>
      </c>
      <c r="AD525" s="2">
        <f t="shared" si="60"/>
        <v>8</v>
      </c>
      <c r="AE525" s="2">
        <f t="shared" ca="1" si="61"/>
        <v>-44986.676271643519</v>
      </c>
      <c r="AF525" s="15"/>
    </row>
    <row r="526" spans="4:32">
      <c r="D526" s="1"/>
      <c r="E526" s="1"/>
      <c r="P526" s="11"/>
      <c r="U526" s="11"/>
      <c r="X526" s="13">
        <f t="shared" si="56"/>
        <v>0</v>
      </c>
      <c r="Y526" s="2">
        <f t="shared" ca="1" si="57"/>
        <v>32133</v>
      </c>
      <c r="Z526" s="14">
        <v>1</v>
      </c>
      <c r="AA526" s="1" t="str">
        <f t="shared" ca="1" si="58"/>
        <v>VENCIDO</v>
      </c>
      <c r="AB526" s="1" t="str">
        <f t="shared" si="59"/>
        <v>TAAe+</v>
      </c>
      <c r="AC526" s="2">
        <f t="shared" si="62"/>
        <v>0</v>
      </c>
      <c r="AD526" s="2">
        <f t="shared" si="60"/>
        <v>8</v>
      </c>
      <c r="AE526" s="2">
        <f t="shared" ca="1" si="61"/>
        <v>-44986.676271643519</v>
      </c>
      <c r="AF526" s="15"/>
    </row>
    <row r="527" spans="4:32">
      <c r="D527" s="1"/>
      <c r="E527" s="1"/>
      <c r="P527" s="11"/>
      <c r="U527" s="11"/>
      <c r="X527" s="13">
        <f t="shared" si="56"/>
        <v>0</v>
      </c>
      <c r="Y527" s="2">
        <f t="shared" ca="1" si="57"/>
        <v>32133</v>
      </c>
      <c r="Z527" s="14">
        <v>1</v>
      </c>
      <c r="AA527" s="1" t="str">
        <f t="shared" ca="1" si="58"/>
        <v>VENCIDO</v>
      </c>
      <c r="AB527" s="1" t="str">
        <f t="shared" si="59"/>
        <v>TAAe+</v>
      </c>
      <c r="AC527" s="2">
        <f t="shared" si="62"/>
        <v>0</v>
      </c>
      <c r="AD527" s="2">
        <f t="shared" si="60"/>
        <v>8</v>
      </c>
      <c r="AE527" s="2">
        <f t="shared" ca="1" si="61"/>
        <v>-44986.676271643519</v>
      </c>
      <c r="AF527" s="15"/>
    </row>
    <row r="528" spans="4:32">
      <c r="D528" s="1"/>
      <c r="E528" s="1"/>
      <c r="P528" s="11"/>
      <c r="U528" s="11"/>
      <c r="X528" s="13">
        <f t="shared" si="56"/>
        <v>0</v>
      </c>
      <c r="Y528" s="2">
        <f t="shared" ca="1" si="57"/>
        <v>32133</v>
      </c>
      <c r="Z528" s="14">
        <v>1</v>
      </c>
      <c r="AA528" s="1" t="str">
        <f t="shared" ca="1" si="58"/>
        <v>VENCIDO</v>
      </c>
      <c r="AB528" s="1" t="str">
        <f t="shared" si="59"/>
        <v>TAAe+</v>
      </c>
      <c r="AC528" s="2">
        <f t="shared" si="62"/>
        <v>0</v>
      </c>
      <c r="AD528" s="2">
        <f t="shared" si="60"/>
        <v>8</v>
      </c>
      <c r="AE528" s="2">
        <f t="shared" ca="1" si="61"/>
        <v>-44986.676271643519</v>
      </c>
      <c r="AF528" s="15"/>
    </row>
    <row r="529" spans="3:32">
      <c r="D529" s="1"/>
      <c r="E529" s="1"/>
      <c r="P529" s="11"/>
      <c r="U529" s="11"/>
      <c r="X529" s="13">
        <f t="shared" si="56"/>
        <v>0</v>
      </c>
      <c r="Y529" s="2">
        <f t="shared" ca="1" si="57"/>
        <v>32133</v>
      </c>
      <c r="Z529" s="14">
        <v>1</v>
      </c>
      <c r="AA529" s="1" t="str">
        <f t="shared" ca="1" si="58"/>
        <v>VENCIDO</v>
      </c>
      <c r="AB529" s="1" t="str">
        <f t="shared" si="59"/>
        <v>TAAe+</v>
      </c>
      <c r="AC529" s="2">
        <f t="shared" si="62"/>
        <v>0</v>
      </c>
      <c r="AD529" s="2">
        <f t="shared" si="60"/>
        <v>8</v>
      </c>
      <c r="AE529" s="2">
        <f t="shared" ca="1" si="61"/>
        <v>-44986.676271643519</v>
      </c>
      <c r="AF529" s="15"/>
    </row>
    <row r="530" spans="3:32">
      <c r="D530" s="1"/>
      <c r="E530" s="1"/>
      <c r="P530" s="11"/>
      <c r="U530" s="11"/>
      <c r="X530" s="13">
        <f t="shared" si="56"/>
        <v>0</v>
      </c>
      <c r="Y530" s="2">
        <f t="shared" ca="1" si="57"/>
        <v>32133</v>
      </c>
      <c r="Z530" s="14">
        <v>1</v>
      </c>
      <c r="AA530" s="1" t="str">
        <f t="shared" ca="1" si="58"/>
        <v>VENCIDO</v>
      </c>
      <c r="AB530" s="1" t="str">
        <f t="shared" si="59"/>
        <v>TAAe+</v>
      </c>
      <c r="AC530" s="2">
        <f t="shared" si="62"/>
        <v>0</v>
      </c>
      <c r="AD530" s="2">
        <f t="shared" si="60"/>
        <v>8</v>
      </c>
      <c r="AE530" s="2">
        <f t="shared" ca="1" si="61"/>
        <v>-44986.676271643519</v>
      </c>
      <c r="AF530" s="15"/>
    </row>
    <row r="531" spans="3:32">
      <c r="D531" s="1"/>
      <c r="E531" s="1"/>
      <c r="P531" s="11"/>
      <c r="U531" s="11"/>
      <c r="X531" s="13">
        <f t="shared" si="56"/>
        <v>0</v>
      </c>
      <c r="Y531" s="2">
        <f t="shared" ca="1" si="57"/>
        <v>32133</v>
      </c>
      <c r="Z531" s="14">
        <v>1</v>
      </c>
      <c r="AA531" s="1" t="str">
        <f t="shared" ca="1" si="58"/>
        <v>VENCIDO</v>
      </c>
      <c r="AB531" s="1" t="str">
        <f t="shared" si="59"/>
        <v>TAAe+</v>
      </c>
      <c r="AC531" s="2">
        <f t="shared" si="62"/>
        <v>0</v>
      </c>
      <c r="AD531" s="2">
        <f t="shared" si="60"/>
        <v>8</v>
      </c>
      <c r="AE531" s="2">
        <f t="shared" ca="1" si="61"/>
        <v>-44986.676271643519</v>
      </c>
      <c r="AF531" s="15"/>
    </row>
    <row r="532" spans="3:32">
      <c r="D532" s="1"/>
      <c r="E532" s="1"/>
      <c r="P532" s="11"/>
      <c r="U532" s="11"/>
      <c r="X532" s="13">
        <f t="shared" si="56"/>
        <v>0</v>
      </c>
      <c r="Y532" s="2">
        <f t="shared" ca="1" si="57"/>
        <v>32133</v>
      </c>
      <c r="Z532" s="14">
        <v>1</v>
      </c>
      <c r="AA532" s="1" t="str">
        <f t="shared" ca="1" si="58"/>
        <v>VENCIDO</v>
      </c>
      <c r="AB532" s="1" t="str">
        <f t="shared" si="59"/>
        <v>TAAe+</v>
      </c>
      <c r="AC532" s="2">
        <f t="shared" si="62"/>
        <v>0</v>
      </c>
      <c r="AD532" s="2">
        <f t="shared" si="60"/>
        <v>8</v>
      </c>
      <c r="AE532" s="2">
        <f t="shared" ca="1" si="61"/>
        <v>-44986.676271643519</v>
      </c>
      <c r="AF532" s="15"/>
    </row>
    <row r="533" spans="3:32">
      <c r="D533" s="1"/>
      <c r="E533" s="1"/>
      <c r="P533" s="11"/>
      <c r="U533" s="11"/>
      <c r="X533" s="13">
        <f t="shared" si="56"/>
        <v>0</v>
      </c>
      <c r="Y533" s="2">
        <f t="shared" ca="1" si="57"/>
        <v>32133</v>
      </c>
      <c r="Z533" s="14">
        <v>1</v>
      </c>
      <c r="AA533" s="1" t="str">
        <f t="shared" ca="1" si="58"/>
        <v>VENCIDO</v>
      </c>
      <c r="AB533" s="1" t="str">
        <f t="shared" si="59"/>
        <v>TAAe+</v>
      </c>
      <c r="AC533" s="2">
        <f t="shared" si="62"/>
        <v>0</v>
      </c>
      <c r="AD533" s="2">
        <f t="shared" si="60"/>
        <v>8</v>
      </c>
      <c r="AE533" s="2">
        <f t="shared" ca="1" si="61"/>
        <v>-44986.676271643519</v>
      </c>
      <c r="AF533" s="15"/>
    </row>
    <row r="534" spans="3:32">
      <c r="D534" s="1"/>
      <c r="E534" s="1"/>
      <c r="P534" s="11"/>
      <c r="U534" s="11"/>
      <c r="X534" s="13">
        <f t="shared" si="56"/>
        <v>0</v>
      </c>
      <c r="Y534" s="2">
        <f t="shared" ca="1" si="57"/>
        <v>32133</v>
      </c>
      <c r="Z534" s="14">
        <v>1</v>
      </c>
      <c r="AA534" s="1" t="str">
        <f t="shared" ca="1" si="58"/>
        <v>VENCIDO</v>
      </c>
      <c r="AB534" s="1" t="str">
        <f t="shared" si="59"/>
        <v>TAAe+</v>
      </c>
      <c r="AC534" s="2">
        <f t="shared" si="62"/>
        <v>0</v>
      </c>
      <c r="AD534" s="2">
        <f t="shared" si="60"/>
        <v>8</v>
      </c>
      <c r="AE534" s="2">
        <f t="shared" ca="1" si="61"/>
        <v>-44986.676271643519</v>
      </c>
      <c r="AF534" s="15"/>
    </row>
    <row r="535" spans="3:32">
      <c r="D535" s="1"/>
      <c r="E535" s="1"/>
      <c r="P535" s="11"/>
      <c r="U535" s="11"/>
      <c r="X535" s="13">
        <f t="shared" si="56"/>
        <v>0</v>
      </c>
      <c r="Y535" s="2">
        <f t="shared" ca="1" si="57"/>
        <v>32133</v>
      </c>
      <c r="Z535" s="14">
        <v>1</v>
      </c>
      <c r="AA535" s="1" t="str">
        <f t="shared" ca="1" si="58"/>
        <v>VENCIDO</v>
      </c>
      <c r="AB535" s="1" t="str">
        <f t="shared" si="59"/>
        <v>TAAe+</v>
      </c>
      <c r="AC535" s="2">
        <f t="shared" si="62"/>
        <v>0</v>
      </c>
      <c r="AD535" s="2">
        <f t="shared" si="60"/>
        <v>8</v>
      </c>
      <c r="AE535" s="2">
        <f t="shared" ca="1" si="61"/>
        <v>-44986.676271643519</v>
      </c>
      <c r="AF535" s="15"/>
    </row>
    <row r="536" spans="3:32">
      <c r="D536" s="1"/>
      <c r="E536" s="1"/>
      <c r="P536" s="11"/>
      <c r="U536" s="11"/>
      <c r="X536" s="13">
        <f t="shared" si="56"/>
        <v>0</v>
      </c>
      <c r="Y536" s="2">
        <f t="shared" ca="1" si="57"/>
        <v>32133</v>
      </c>
      <c r="Z536" s="14">
        <v>1</v>
      </c>
      <c r="AA536" s="1" t="str">
        <f t="shared" ca="1" si="58"/>
        <v>VENCIDO</v>
      </c>
      <c r="AB536" s="1" t="str">
        <f t="shared" si="59"/>
        <v>TAAe+</v>
      </c>
      <c r="AC536" s="2">
        <f t="shared" si="62"/>
        <v>0</v>
      </c>
      <c r="AD536" s="2">
        <f t="shared" si="60"/>
        <v>8</v>
      </c>
      <c r="AE536" s="2">
        <f t="shared" ca="1" si="61"/>
        <v>-44986.676271643519</v>
      </c>
      <c r="AF536" s="15"/>
    </row>
    <row r="537" spans="3:32">
      <c r="C537" s="49"/>
      <c r="D537" s="1"/>
      <c r="E537" s="1"/>
      <c r="P537" s="11"/>
      <c r="U537" s="11"/>
      <c r="X537" s="13">
        <f t="shared" si="56"/>
        <v>0</v>
      </c>
      <c r="Y537" s="2">
        <f t="shared" ca="1" si="57"/>
        <v>32133</v>
      </c>
      <c r="Z537" s="14">
        <v>1</v>
      </c>
      <c r="AA537" s="1" t="str">
        <f t="shared" ca="1" si="58"/>
        <v>VENCIDO</v>
      </c>
      <c r="AB537" s="1" t="str">
        <f t="shared" si="59"/>
        <v>TAAe+</v>
      </c>
      <c r="AC537" s="2">
        <f t="shared" si="62"/>
        <v>0</v>
      </c>
      <c r="AD537" s="2">
        <f t="shared" si="60"/>
        <v>8</v>
      </c>
      <c r="AE537" s="2">
        <f t="shared" ca="1" si="61"/>
        <v>-44986.676271643519</v>
      </c>
      <c r="AF537" s="15"/>
    </row>
    <row r="538" spans="3:32">
      <c r="D538" s="1"/>
      <c r="E538" s="1"/>
      <c r="P538" s="11"/>
      <c r="U538" s="11"/>
      <c r="X538" s="13">
        <f t="shared" si="56"/>
        <v>0</v>
      </c>
      <c r="Y538" s="2">
        <f t="shared" ca="1" si="57"/>
        <v>32133</v>
      </c>
      <c r="Z538" s="14">
        <v>1</v>
      </c>
      <c r="AA538" s="1" t="str">
        <f t="shared" ca="1" si="58"/>
        <v>VENCIDO</v>
      </c>
      <c r="AB538" s="1" t="str">
        <f t="shared" si="59"/>
        <v>TAAe+</v>
      </c>
      <c r="AC538" s="2">
        <f t="shared" si="62"/>
        <v>0</v>
      </c>
      <c r="AD538" s="2">
        <f t="shared" si="60"/>
        <v>8</v>
      </c>
      <c r="AE538" s="2">
        <f t="shared" ca="1" si="61"/>
        <v>-44986.676271643519</v>
      </c>
      <c r="AF538" s="15"/>
    </row>
    <row r="539" spans="3:32">
      <c r="D539" s="1"/>
      <c r="E539" s="1"/>
      <c r="P539" s="11"/>
      <c r="U539" s="11"/>
      <c r="X539" s="13">
        <f t="shared" si="56"/>
        <v>0</v>
      </c>
      <c r="Y539" s="2">
        <f t="shared" ca="1" si="57"/>
        <v>32133</v>
      </c>
      <c r="Z539" s="14">
        <v>1</v>
      </c>
      <c r="AA539" s="1" t="str">
        <f t="shared" ca="1" si="58"/>
        <v>VENCIDO</v>
      </c>
      <c r="AB539" s="1" t="str">
        <f t="shared" si="59"/>
        <v>TAAe+</v>
      </c>
      <c r="AC539" s="2">
        <f t="shared" si="62"/>
        <v>0</v>
      </c>
      <c r="AD539" s="2">
        <f t="shared" si="60"/>
        <v>8</v>
      </c>
      <c r="AE539" s="2">
        <f t="shared" ca="1" si="61"/>
        <v>-44986.676271643519</v>
      </c>
      <c r="AF539" s="15"/>
    </row>
    <row r="540" spans="3:32">
      <c r="D540" s="1"/>
      <c r="E540" s="1"/>
      <c r="P540" s="11"/>
      <c r="U540" s="11"/>
      <c r="X540" s="13">
        <f t="shared" si="56"/>
        <v>0</v>
      </c>
      <c r="Y540" s="2">
        <f t="shared" ca="1" si="57"/>
        <v>32133</v>
      </c>
      <c r="Z540" s="14">
        <v>1</v>
      </c>
      <c r="AA540" s="1" t="str">
        <f t="shared" ca="1" si="58"/>
        <v>VENCIDO</v>
      </c>
      <c r="AB540" s="1" t="str">
        <f t="shared" si="59"/>
        <v>TAAe+</v>
      </c>
      <c r="AC540" s="2">
        <f t="shared" si="62"/>
        <v>0</v>
      </c>
      <c r="AD540" s="2">
        <f t="shared" si="60"/>
        <v>8</v>
      </c>
      <c r="AE540" s="2">
        <f t="shared" ca="1" si="61"/>
        <v>-44986.676271643519</v>
      </c>
      <c r="AF540" s="15"/>
    </row>
    <row r="541" spans="3:32">
      <c r="D541" s="1"/>
      <c r="E541" s="1"/>
      <c r="P541" s="11"/>
      <c r="U541" s="11"/>
      <c r="X541" s="13">
        <f t="shared" si="56"/>
        <v>0</v>
      </c>
      <c r="Y541" s="2">
        <f t="shared" ca="1" si="57"/>
        <v>32133</v>
      </c>
      <c r="Z541" s="14">
        <v>1</v>
      </c>
      <c r="AA541" s="1" t="str">
        <f t="shared" ca="1" si="58"/>
        <v>VENCIDO</v>
      </c>
      <c r="AB541" s="1" t="str">
        <f t="shared" si="59"/>
        <v>TAAe+</v>
      </c>
      <c r="AC541" s="2">
        <f t="shared" si="62"/>
        <v>0</v>
      </c>
      <c r="AD541" s="2">
        <f t="shared" si="60"/>
        <v>8</v>
      </c>
      <c r="AE541" s="2">
        <f t="shared" ca="1" si="61"/>
        <v>-44986.676271643519</v>
      </c>
      <c r="AF541" s="15"/>
    </row>
    <row r="542" spans="3:32">
      <c r="C542" s="50"/>
      <c r="D542" s="1"/>
      <c r="E542" s="1"/>
      <c r="P542" s="11"/>
      <c r="U542" s="11"/>
      <c r="X542" s="13">
        <f t="shared" si="56"/>
        <v>0</v>
      </c>
      <c r="Y542" s="2">
        <f t="shared" ca="1" si="57"/>
        <v>32133</v>
      </c>
      <c r="Z542" s="14">
        <v>1</v>
      </c>
      <c r="AA542" s="1" t="str">
        <f t="shared" ca="1" si="58"/>
        <v>VENCIDO</v>
      </c>
      <c r="AB542" s="1" t="str">
        <f t="shared" si="59"/>
        <v>TAAe+</v>
      </c>
      <c r="AC542" s="2">
        <f t="shared" si="62"/>
        <v>0</v>
      </c>
      <c r="AD542" s="2">
        <f t="shared" si="60"/>
        <v>8</v>
      </c>
      <c r="AE542" s="2">
        <f t="shared" ca="1" si="61"/>
        <v>-44986.676271643519</v>
      </c>
      <c r="AF542" s="15"/>
    </row>
    <row r="543" spans="3:32">
      <c r="D543" s="1"/>
      <c r="E543" s="1"/>
      <c r="P543" s="11"/>
      <c r="U543" s="11"/>
      <c r="X543" s="13">
        <f t="shared" si="56"/>
        <v>0</v>
      </c>
      <c r="Y543" s="2">
        <f t="shared" ca="1" si="57"/>
        <v>32133</v>
      </c>
      <c r="Z543" s="14">
        <v>1</v>
      </c>
      <c r="AA543" s="1" t="str">
        <f t="shared" ca="1" si="58"/>
        <v>VENCIDO</v>
      </c>
      <c r="AB543" s="1" t="str">
        <f t="shared" si="59"/>
        <v>TAAe+</v>
      </c>
      <c r="AC543" s="2">
        <f t="shared" si="62"/>
        <v>0</v>
      </c>
      <c r="AD543" s="2">
        <f t="shared" si="60"/>
        <v>8</v>
      </c>
      <c r="AE543" s="2">
        <f t="shared" ca="1" si="61"/>
        <v>-44986.676271643519</v>
      </c>
      <c r="AF543" s="15"/>
    </row>
    <row r="544" spans="3:32">
      <c r="C544" s="49"/>
      <c r="D544" s="1"/>
      <c r="E544" s="1"/>
      <c r="P544" s="11"/>
      <c r="U544" s="11"/>
      <c r="X544" s="13">
        <f t="shared" si="56"/>
        <v>0</v>
      </c>
      <c r="Y544" s="2">
        <f t="shared" ca="1" si="57"/>
        <v>32133</v>
      </c>
      <c r="Z544" s="14">
        <v>1</v>
      </c>
      <c r="AA544" s="1" t="str">
        <f t="shared" ca="1" si="58"/>
        <v>VENCIDO</v>
      </c>
      <c r="AB544" s="1" t="str">
        <f t="shared" si="59"/>
        <v>TAAe+</v>
      </c>
      <c r="AC544" s="2">
        <f t="shared" si="62"/>
        <v>0</v>
      </c>
      <c r="AD544" s="2">
        <f t="shared" si="60"/>
        <v>8</v>
      </c>
      <c r="AE544" s="2">
        <f t="shared" ca="1" si="61"/>
        <v>-44986.676271643519</v>
      </c>
      <c r="AF544" s="15"/>
    </row>
    <row r="545" spans="3:32">
      <c r="D545" s="1"/>
      <c r="E545" s="1"/>
      <c r="P545" s="11"/>
      <c r="U545" s="11"/>
      <c r="X545" s="13">
        <f t="shared" si="56"/>
        <v>0</v>
      </c>
      <c r="Y545" s="2">
        <f t="shared" ca="1" si="57"/>
        <v>32133</v>
      </c>
      <c r="Z545" s="14">
        <v>1</v>
      </c>
      <c r="AA545" s="1" t="str">
        <f t="shared" ca="1" si="58"/>
        <v>VENCIDO</v>
      </c>
      <c r="AB545" s="1" t="str">
        <f t="shared" si="59"/>
        <v>TAAe+</v>
      </c>
      <c r="AC545" s="2">
        <f t="shared" si="62"/>
        <v>0</v>
      </c>
      <c r="AD545" s="2">
        <f t="shared" si="60"/>
        <v>8</v>
      </c>
      <c r="AE545" s="2">
        <f t="shared" ca="1" si="61"/>
        <v>-44986.676271643519</v>
      </c>
      <c r="AF545" s="15"/>
    </row>
    <row r="546" spans="3:32">
      <c r="D546" s="1"/>
      <c r="E546" s="1"/>
      <c r="P546" s="11"/>
      <c r="U546" s="11"/>
      <c r="X546" s="13">
        <f t="shared" si="56"/>
        <v>0</v>
      </c>
      <c r="Y546" s="2">
        <f t="shared" ca="1" si="57"/>
        <v>32133</v>
      </c>
      <c r="Z546" s="14">
        <v>1</v>
      </c>
      <c r="AA546" s="1" t="str">
        <f t="shared" ca="1" si="58"/>
        <v>VENCIDO</v>
      </c>
      <c r="AB546" s="1" t="str">
        <f t="shared" si="59"/>
        <v>TAAe+</v>
      </c>
      <c r="AC546" s="2">
        <f t="shared" si="62"/>
        <v>0</v>
      </c>
      <c r="AD546" s="2">
        <f t="shared" si="60"/>
        <v>8</v>
      </c>
      <c r="AE546" s="2">
        <f t="shared" ca="1" si="61"/>
        <v>-44986.676271643519</v>
      </c>
      <c r="AF546" s="15"/>
    </row>
    <row r="547" spans="3:32">
      <c r="D547" s="1"/>
      <c r="E547" s="1"/>
      <c r="P547" s="11"/>
      <c r="U547" s="11"/>
      <c r="X547" s="13">
        <f t="shared" si="56"/>
        <v>0</v>
      </c>
      <c r="Y547" s="2">
        <f t="shared" ca="1" si="57"/>
        <v>32133</v>
      </c>
      <c r="Z547" s="14">
        <v>1</v>
      </c>
      <c r="AA547" s="1" t="str">
        <f t="shared" ca="1" si="58"/>
        <v>VENCIDO</v>
      </c>
      <c r="AB547" s="1" t="str">
        <f t="shared" si="59"/>
        <v>TAAe+</v>
      </c>
      <c r="AC547" s="2">
        <f t="shared" si="62"/>
        <v>0</v>
      </c>
      <c r="AD547" s="2">
        <f t="shared" si="60"/>
        <v>8</v>
      </c>
      <c r="AE547" s="2">
        <f t="shared" ca="1" si="61"/>
        <v>-44986.676271643519</v>
      </c>
      <c r="AF547" s="15"/>
    </row>
    <row r="548" spans="3:32">
      <c r="D548" s="1"/>
      <c r="E548" s="1"/>
      <c r="P548" s="11"/>
      <c r="U548" s="11"/>
      <c r="X548" s="13">
        <f t="shared" si="56"/>
        <v>0</v>
      </c>
      <c r="Y548" s="2">
        <f t="shared" ca="1" si="57"/>
        <v>32133</v>
      </c>
      <c r="Z548" s="14">
        <v>1</v>
      </c>
      <c r="AA548" s="1" t="str">
        <f t="shared" ca="1" si="58"/>
        <v>VENCIDO</v>
      </c>
      <c r="AB548" s="1" t="str">
        <f t="shared" si="59"/>
        <v>TAAe+</v>
      </c>
      <c r="AC548" s="2">
        <f t="shared" si="62"/>
        <v>0</v>
      </c>
      <c r="AD548" s="2">
        <f t="shared" si="60"/>
        <v>8</v>
      </c>
      <c r="AE548" s="2">
        <f t="shared" ca="1" si="61"/>
        <v>-44986.676271643519</v>
      </c>
      <c r="AF548" s="15"/>
    </row>
    <row r="549" spans="3:32">
      <c r="D549" s="1"/>
      <c r="E549" s="1"/>
      <c r="P549" s="11"/>
      <c r="U549" s="11"/>
      <c r="X549" s="13">
        <f t="shared" si="56"/>
        <v>0</v>
      </c>
      <c r="Y549" s="2">
        <f t="shared" ca="1" si="57"/>
        <v>32133</v>
      </c>
      <c r="Z549" s="14">
        <v>1</v>
      </c>
      <c r="AA549" s="1" t="str">
        <f t="shared" ca="1" si="58"/>
        <v>VENCIDO</v>
      </c>
      <c r="AB549" s="1" t="str">
        <f t="shared" si="59"/>
        <v>TAAe+</v>
      </c>
      <c r="AC549" s="2">
        <f t="shared" si="62"/>
        <v>0</v>
      </c>
      <c r="AD549" s="2">
        <f t="shared" si="60"/>
        <v>8</v>
      </c>
      <c r="AE549" s="2">
        <f t="shared" ca="1" si="61"/>
        <v>-44986.676271643519</v>
      </c>
      <c r="AF549" s="15"/>
    </row>
    <row r="550" spans="3:32">
      <c r="D550" s="1"/>
      <c r="E550" s="1"/>
      <c r="P550" s="11"/>
      <c r="U550" s="11"/>
      <c r="X550" s="13">
        <f t="shared" si="56"/>
        <v>0</v>
      </c>
      <c r="Y550" s="2">
        <f t="shared" ca="1" si="57"/>
        <v>32133</v>
      </c>
      <c r="Z550" s="14">
        <v>1</v>
      </c>
      <c r="AA550" s="1" t="str">
        <f t="shared" ca="1" si="58"/>
        <v>VENCIDO</v>
      </c>
      <c r="AB550" s="1" t="str">
        <f t="shared" si="59"/>
        <v>TAAe+</v>
      </c>
      <c r="AC550" s="2">
        <f t="shared" si="62"/>
        <v>0</v>
      </c>
      <c r="AD550" s="2">
        <f t="shared" si="60"/>
        <v>8</v>
      </c>
      <c r="AE550" s="2">
        <f t="shared" ca="1" si="61"/>
        <v>-44986.676271643519</v>
      </c>
      <c r="AF550" s="15"/>
    </row>
    <row r="551" spans="3:32">
      <c r="C551" s="49"/>
      <c r="D551" s="1"/>
      <c r="E551" s="1"/>
      <c r="P551" s="11"/>
      <c r="U551" s="11"/>
      <c r="X551" s="13">
        <f t="shared" si="56"/>
        <v>0</v>
      </c>
      <c r="Y551" s="2">
        <f t="shared" ca="1" si="57"/>
        <v>32133</v>
      </c>
      <c r="Z551" s="14">
        <v>1</v>
      </c>
      <c r="AA551" s="1" t="str">
        <f t="shared" ca="1" si="58"/>
        <v>VENCIDO</v>
      </c>
      <c r="AB551" s="1" t="str">
        <f t="shared" si="59"/>
        <v>TAAe+</v>
      </c>
      <c r="AC551" s="2">
        <f t="shared" si="62"/>
        <v>0</v>
      </c>
      <c r="AD551" s="2">
        <f t="shared" si="60"/>
        <v>8</v>
      </c>
      <c r="AE551" s="2">
        <f t="shared" ca="1" si="61"/>
        <v>-44986.676271643519</v>
      </c>
      <c r="AF551" s="15"/>
    </row>
    <row r="552" spans="3:32">
      <c r="C552" s="49"/>
      <c r="D552" s="1"/>
      <c r="E552" s="1"/>
      <c r="P552" s="11"/>
      <c r="U552" s="11"/>
      <c r="X552" s="13">
        <f t="shared" si="56"/>
        <v>0</v>
      </c>
      <c r="Y552" s="2">
        <f t="shared" ca="1" si="57"/>
        <v>32133</v>
      </c>
      <c r="Z552" s="14">
        <v>1</v>
      </c>
      <c r="AA552" s="1" t="str">
        <f t="shared" ca="1" si="58"/>
        <v>VENCIDO</v>
      </c>
      <c r="AB552" s="1" t="str">
        <f t="shared" si="59"/>
        <v>TAAe+</v>
      </c>
      <c r="AC552" s="2">
        <f t="shared" si="62"/>
        <v>0</v>
      </c>
      <c r="AD552" s="2">
        <f t="shared" si="60"/>
        <v>8</v>
      </c>
      <c r="AE552" s="2">
        <f t="shared" ca="1" si="61"/>
        <v>-44986.676271643519</v>
      </c>
      <c r="AF552" s="15"/>
    </row>
    <row r="553" spans="3:32">
      <c r="D553" s="1"/>
      <c r="E553" s="1"/>
      <c r="P553" s="11"/>
      <c r="U553" s="11"/>
      <c r="X553" s="13">
        <f t="shared" si="56"/>
        <v>0</v>
      </c>
      <c r="Y553" s="2">
        <f t="shared" ca="1" si="57"/>
        <v>32133</v>
      </c>
      <c r="Z553" s="14">
        <v>1</v>
      </c>
      <c r="AA553" s="1" t="str">
        <f t="shared" ca="1" si="58"/>
        <v>VENCIDO</v>
      </c>
      <c r="AB553" s="1" t="str">
        <f t="shared" si="59"/>
        <v>TAAe+</v>
      </c>
      <c r="AC553" s="2">
        <f t="shared" si="62"/>
        <v>0</v>
      </c>
      <c r="AD553" s="2">
        <f t="shared" si="60"/>
        <v>8</v>
      </c>
      <c r="AE553" s="2">
        <f t="shared" ca="1" si="61"/>
        <v>-44986.676271643519</v>
      </c>
      <c r="AF553" s="15"/>
    </row>
    <row r="554" spans="3:32">
      <c r="C554" s="50"/>
      <c r="D554" s="1"/>
      <c r="E554" s="1"/>
      <c r="P554" s="11"/>
      <c r="U554" s="11"/>
      <c r="X554" s="13">
        <f t="shared" si="56"/>
        <v>0</v>
      </c>
      <c r="Y554" s="2">
        <f t="shared" ca="1" si="57"/>
        <v>32133</v>
      </c>
      <c r="Z554" s="14">
        <v>1</v>
      </c>
      <c r="AA554" s="1" t="str">
        <f t="shared" ca="1" si="58"/>
        <v>VENCIDO</v>
      </c>
      <c r="AB554" s="1" t="str">
        <f t="shared" si="59"/>
        <v>TAAe+</v>
      </c>
      <c r="AC554" s="2">
        <f t="shared" si="62"/>
        <v>0</v>
      </c>
      <c r="AD554" s="2">
        <f t="shared" si="60"/>
        <v>8</v>
      </c>
      <c r="AE554" s="2">
        <f t="shared" ca="1" si="61"/>
        <v>-44986.676271643519</v>
      </c>
      <c r="AF554" s="15"/>
    </row>
    <row r="555" spans="3:32">
      <c r="D555" s="1"/>
      <c r="E555" s="1"/>
      <c r="P555" s="11"/>
      <c r="U555" s="11"/>
      <c r="X555" s="13">
        <f t="shared" si="56"/>
        <v>0</v>
      </c>
      <c r="Y555" s="2">
        <f t="shared" ca="1" si="57"/>
        <v>32133</v>
      </c>
      <c r="Z555" s="14">
        <v>1</v>
      </c>
      <c r="AA555" s="1" t="str">
        <f t="shared" ca="1" si="58"/>
        <v>VENCIDO</v>
      </c>
      <c r="AB555" s="1" t="str">
        <f t="shared" si="59"/>
        <v>TAAe+</v>
      </c>
      <c r="AC555" s="2">
        <f t="shared" si="62"/>
        <v>0</v>
      </c>
      <c r="AD555" s="2">
        <f t="shared" si="60"/>
        <v>8</v>
      </c>
      <c r="AE555" s="2">
        <f t="shared" ca="1" si="61"/>
        <v>-44986.676271643519</v>
      </c>
      <c r="AF555" s="15"/>
    </row>
    <row r="556" spans="3:32">
      <c r="C556" s="49"/>
      <c r="D556" s="1"/>
      <c r="E556" s="1"/>
      <c r="P556" s="11"/>
      <c r="U556" s="11"/>
      <c r="X556" s="13">
        <f t="shared" si="56"/>
        <v>0</v>
      </c>
      <c r="Y556" s="2">
        <f t="shared" ca="1" si="57"/>
        <v>32133</v>
      </c>
      <c r="Z556" s="14">
        <v>1</v>
      </c>
      <c r="AA556" s="1" t="str">
        <f t="shared" ca="1" si="58"/>
        <v>VENCIDO</v>
      </c>
      <c r="AB556" s="1" t="str">
        <f t="shared" si="59"/>
        <v>TAAe+</v>
      </c>
      <c r="AC556" s="2">
        <f t="shared" si="62"/>
        <v>0</v>
      </c>
      <c r="AD556" s="2">
        <f t="shared" si="60"/>
        <v>8</v>
      </c>
      <c r="AE556" s="2">
        <f t="shared" ca="1" si="61"/>
        <v>-44986.676271643519</v>
      </c>
      <c r="AF556" s="15"/>
    </row>
    <row r="557" spans="3:32">
      <c r="D557" s="1"/>
      <c r="E557" s="1"/>
      <c r="P557" s="11"/>
      <c r="U557" s="11"/>
      <c r="X557" s="13">
        <f t="shared" si="56"/>
        <v>0</v>
      </c>
      <c r="Y557" s="2">
        <f t="shared" ca="1" si="57"/>
        <v>32133</v>
      </c>
      <c r="Z557" s="14">
        <v>1</v>
      </c>
      <c r="AA557" s="1" t="str">
        <f t="shared" ca="1" si="58"/>
        <v>VENCIDO</v>
      </c>
      <c r="AB557" s="1" t="str">
        <f t="shared" si="59"/>
        <v>TAAe+</v>
      </c>
      <c r="AC557" s="2">
        <f t="shared" si="62"/>
        <v>0</v>
      </c>
      <c r="AD557" s="2">
        <f t="shared" si="60"/>
        <v>8</v>
      </c>
      <c r="AE557" s="2">
        <f t="shared" ca="1" si="61"/>
        <v>-44986.676271643519</v>
      </c>
      <c r="AF557" s="15"/>
    </row>
    <row r="558" spans="3:32">
      <c r="D558" s="1"/>
      <c r="E558" s="1"/>
      <c r="P558" s="11"/>
      <c r="U558" s="11"/>
      <c r="X558" s="13">
        <f t="shared" si="56"/>
        <v>0</v>
      </c>
      <c r="Y558" s="2">
        <f t="shared" ca="1" si="57"/>
        <v>32133</v>
      </c>
      <c r="Z558" s="14">
        <v>1</v>
      </c>
      <c r="AA558" s="1" t="str">
        <f t="shared" ca="1" si="58"/>
        <v>VENCIDO</v>
      </c>
      <c r="AB558" s="1" t="str">
        <f t="shared" si="59"/>
        <v>TAAe+</v>
      </c>
      <c r="AC558" s="2">
        <f t="shared" si="62"/>
        <v>0</v>
      </c>
      <c r="AD558" s="2">
        <f t="shared" si="60"/>
        <v>8</v>
      </c>
      <c r="AE558" s="2">
        <f t="shared" ca="1" si="61"/>
        <v>-44986.676271643519</v>
      </c>
      <c r="AF558" s="15"/>
    </row>
    <row r="559" spans="3:32">
      <c r="D559" s="1"/>
      <c r="E559" s="1"/>
      <c r="P559" s="11"/>
      <c r="U559" s="11"/>
      <c r="X559" s="13">
        <f t="shared" si="56"/>
        <v>0</v>
      </c>
      <c r="Y559" s="2">
        <f t="shared" ca="1" si="57"/>
        <v>32133</v>
      </c>
      <c r="Z559" s="14">
        <v>1</v>
      </c>
      <c r="AA559" s="1" t="str">
        <f t="shared" ca="1" si="58"/>
        <v>VENCIDO</v>
      </c>
      <c r="AB559" s="1" t="str">
        <f t="shared" si="59"/>
        <v>TAAe+</v>
      </c>
      <c r="AC559" s="2">
        <f t="shared" si="62"/>
        <v>0</v>
      </c>
      <c r="AD559" s="2">
        <f t="shared" si="60"/>
        <v>8</v>
      </c>
      <c r="AE559" s="2">
        <f t="shared" ca="1" si="61"/>
        <v>-44986.676271643519</v>
      </c>
      <c r="AF559" s="15"/>
    </row>
    <row r="560" spans="3:32">
      <c r="D560" s="1"/>
      <c r="E560" s="1"/>
      <c r="P560" s="11"/>
      <c r="U560" s="11"/>
      <c r="X560" s="13">
        <f t="shared" si="56"/>
        <v>0</v>
      </c>
      <c r="Y560" s="2">
        <f t="shared" ca="1" si="57"/>
        <v>32133</v>
      </c>
      <c r="Z560" s="14">
        <v>1</v>
      </c>
      <c r="AA560" s="1" t="str">
        <f t="shared" ca="1" si="58"/>
        <v>VENCIDO</v>
      </c>
      <c r="AB560" s="1" t="str">
        <f t="shared" si="59"/>
        <v>TAAe+</v>
      </c>
      <c r="AC560" s="2">
        <f t="shared" si="62"/>
        <v>0</v>
      </c>
      <c r="AD560" s="2">
        <f t="shared" si="60"/>
        <v>8</v>
      </c>
      <c r="AE560" s="2">
        <f t="shared" ca="1" si="61"/>
        <v>-44986.676271643519</v>
      </c>
      <c r="AF560" s="15"/>
    </row>
    <row r="561" spans="3:32">
      <c r="C561" s="49"/>
      <c r="D561" s="1"/>
      <c r="E561" s="1"/>
      <c r="P561" s="11"/>
      <c r="U561" s="11"/>
      <c r="X561" s="13">
        <f t="shared" si="56"/>
        <v>0</v>
      </c>
      <c r="Y561" s="2">
        <f t="shared" ca="1" si="57"/>
        <v>32133</v>
      </c>
      <c r="Z561" s="14">
        <v>1</v>
      </c>
      <c r="AA561" s="1" t="str">
        <f t="shared" ca="1" si="58"/>
        <v>VENCIDO</v>
      </c>
      <c r="AB561" s="1" t="str">
        <f t="shared" si="59"/>
        <v>TAAe+</v>
      </c>
      <c r="AC561" s="2">
        <f t="shared" si="62"/>
        <v>0</v>
      </c>
      <c r="AD561" s="2">
        <f t="shared" si="60"/>
        <v>8</v>
      </c>
      <c r="AE561" s="2">
        <f t="shared" ca="1" si="61"/>
        <v>-44986.676271643519</v>
      </c>
      <c r="AF561" s="15"/>
    </row>
    <row r="562" spans="3:32">
      <c r="C562" s="49"/>
      <c r="D562" s="1"/>
      <c r="E562" s="1"/>
      <c r="P562" s="11"/>
      <c r="U562" s="11"/>
      <c r="X562" s="13">
        <f t="shared" si="56"/>
        <v>0</v>
      </c>
      <c r="Y562" s="2">
        <f t="shared" ca="1" si="57"/>
        <v>32133</v>
      </c>
      <c r="Z562" s="14">
        <v>1</v>
      </c>
      <c r="AA562" s="1" t="str">
        <f t="shared" ca="1" si="58"/>
        <v>VENCIDO</v>
      </c>
      <c r="AB562" s="1" t="str">
        <f t="shared" si="59"/>
        <v>TAAe+</v>
      </c>
      <c r="AC562" s="2">
        <f t="shared" si="62"/>
        <v>0</v>
      </c>
      <c r="AD562" s="2">
        <f t="shared" si="60"/>
        <v>8</v>
      </c>
      <c r="AE562" s="2">
        <f t="shared" ca="1" si="61"/>
        <v>-44986.676271643519</v>
      </c>
      <c r="AF562" s="15"/>
    </row>
    <row r="563" spans="3:32">
      <c r="D563" s="1"/>
      <c r="E563" s="1"/>
      <c r="P563" s="11"/>
      <c r="U563" s="11"/>
      <c r="X563" s="13">
        <f t="shared" si="56"/>
        <v>0</v>
      </c>
      <c r="Y563" s="2">
        <f t="shared" ca="1" si="57"/>
        <v>32133</v>
      </c>
      <c r="Z563" s="14">
        <v>1</v>
      </c>
      <c r="AA563" s="1" t="str">
        <f t="shared" ca="1" si="58"/>
        <v>VENCIDO</v>
      </c>
      <c r="AB563" s="1" t="str">
        <f t="shared" si="59"/>
        <v>TAAe+</v>
      </c>
      <c r="AC563" s="2">
        <f t="shared" si="62"/>
        <v>0</v>
      </c>
      <c r="AD563" s="2">
        <f t="shared" si="60"/>
        <v>8</v>
      </c>
      <c r="AE563" s="2">
        <f t="shared" ca="1" si="61"/>
        <v>-44986.676271643519</v>
      </c>
      <c r="AF563" s="15"/>
    </row>
    <row r="564" spans="3:32">
      <c r="C564" s="49"/>
      <c r="D564" s="1"/>
      <c r="E564" s="1"/>
      <c r="P564" s="11"/>
      <c r="U564" s="11"/>
      <c r="X564" s="13">
        <f t="shared" si="56"/>
        <v>0</v>
      </c>
      <c r="Y564" s="2">
        <f t="shared" ca="1" si="57"/>
        <v>32133</v>
      </c>
      <c r="Z564" s="14">
        <v>1</v>
      </c>
      <c r="AA564" s="1" t="str">
        <f t="shared" ca="1" si="58"/>
        <v>VENCIDO</v>
      </c>
      <c r="AB564" s="1" t="str">
        <f t="shared" si="59"/>
        <v>TAAe+</v>
      </c>
      <c r="AC564" s="2">
        <f t="shared" si="62"/>
        <v>0</v>
      </c>
      <c r="AD564" s="2">
        <f t="shared" si="60"/>
        <v>8</v>
      </c>
      <c r="AE564" s="2">
        <f t="shared" ca="1" si="61"/>
        <v>-44986.676271643519</v>
      </c>
      <c r="AF564" s="15"/>
    </row>
    <row r="565" spans="3:32">
      <c r="D565" s="1"/>
      <c r="E565" s="1"/>
      <c r="P565" s="11"/>
      <c r="U565" s="11"/>
      <c r="X565" s="13">
        <f t="shared" si="56"/>
        <v>0</v>
      </c>
      <c r="Y565" s="2">
        <f t="shared" ca="1" si="57"/>
        <v>32133</v>
      </c>
      <c r="Z565" s="14">
        <v>1</v>
      </c>
      <c r="AA565" s="1" t="str">
        <f t="shared" ca="1" si="58"/>
        <v>VENCIDO</v>
      </c>
      <c r="AB565" s="1" t="str">
        <f t="shared" si="59"/>
        <v>TAAe+</v>
      </c>
      <c r="AC565" s="2">
        <f t="shared" si="62"/>
        <v>0</v>
      </c>
      <c r="AD565" s="2">
        <f t="shared" si="60"/>
        <v>8</v>
      </c>
      <c r="AE565" s="2">
        <f t="shared" ca="1" si="61"/>
        <v>-44986.676271643519</v>
      </c>
      <c r="AF565" s="15"/>
    </row>
    <row r="566" spans="3:32">
      <c r="D566" s="1"/>
      <c r="E566" s="1"/>
      <c r="P566" s="11"/>
      <c r="U566" s="11"/>
      <c r="X566" s="13">
        <f t="shared" si="56"/>
        <v>0</v>
      </c>
      <c r="Y566" s="2">
        <f t="shared" ca="1" si="57"/>
        <v>32133</v>
      </c>
      <c r="Z566" s="14">
        <v>1</v>
      </c>
      <c r="AA566" s="1" t="str">
        <f t="shared" ca="1" si="58"/>
        <v>VENCIDO</v>
      </c>
      <c r="AB566" s="1" t="str">
        <f t="shared" si="59"/>
        <v>TAAe+</v>
      </c>
      <c r="AC566" s="2">
        <f t="shared" si="62"/>
        <v>0</v>
      </c>
      <c r="AD566" s="2">
        <f t="shared" si="60"/>
        <v>8</v>
      </c>
      <c r="AE566" s="2">
        <f t="shared" ca="1" si="61"/>
        <v>-44986.676271643519</v>
      </c>
      <c r="AF566" s="15"/>
    </row>
    <row r="567" spans="3:32">
      <c r="D567" s="1"/>
      <c r="E567" s="1"/>
      <c r="P567" s="11"/>
      <c r="U567" s="11"/>
      <c r="X567" s="13">
        <f t="shared" si="56"/>
        <v>0</v>
      </c>
      <c r="Y567" s="2">
        <f t="shared" ca="1" si="57"/>
        <v>32133</v>
      </c>
      <c r="Z567" s="14">
        <v>1</v>
      </c>
      <c r="AA567" s="1" t="str">
        <f t="shared" ca="1" si="58"/>
        <v>VENCIDO</v>
      </c>
      <c r="AB567" s="1" t="str">
        <f t="shared" si="59"/>
        <v>TAAe+</v>
      </c>
      <c r="AC567" s="2">
        <f t="shared" si="62"/>
        <v>0</v>
      </c>
      <c r="AD567" s="2">
        <f t="shared" si="60"/>
        <v>8</v>
      </c>
      <c r="AE567" s="2">
        <f t="shared" ca="1" si="61"/>
        <v>-44986.676271643519</v>
      </c>
      <c r="AF567" s="15"/>
    </row>
    <row r="568" spans="3:32">
      <c r="D568" s="1"/>
      <c r="E568" s="1"/>
      <c r="P568" s="11"/>
      <c r="U568" s="11"/>
      <c r="X568" s="13">
        <f t="shared" si="56"/>
        <v>0</v>
      </c>
      <c r="Y568" s="2">
        <f t="shared" ca="1" si="57"/>
        <v>32133</v>
      </c>
      <c r="Z568" s="14">
        <v>1</v>
      </c>
      <c r="AA568" s="1" t="str">
        <f t="shared" ca="1" si="58"/>
        <v>VENCIDO</v>
      </c>
      <c r="AB568" s="1" t="str">
        <f t="shared" si="59"/>
        <v>TAAe+</v>
      </c>
      <c r="AC568" s="2">
        <f t="shared" si="62"/>
        <v>0</v>
      </c>
      <c r="AD568" s="2">
        <f t="shared" si="60"/>
        <v>8</v>
      </c>
      <c r="AE568" s="2">
        <f t="shared" ca="1" si="61"/>
        <v>-44986.676271643519</v>
      </c>
      <c r="AF568" s="15"/>
    </row>
    <row r="569" spans="3:32">
      <c r="C569" s="49"/>
      <c r="D569" s="1"/>
      <c r="E569" s="1"/>
      <c r="P569" s="11"/>
      <c r="U569" s="11"/>
      <c r="X569" s="13">
        <f t="shared" si="56"/>
        <v>0</v>
      </c>
      <c r="Y569" s="2">
        <f t="shared" ca="1" si="57"/>
        <v>32133</v>
      </c>
      <c r="Z569" s="14">
        <v>1</v>
      </c>
      <c r="AA569" s="1" t="str">
        <f t="shared" ca="1" si="58"/>
        <v>VENCIDO</v>
      </c>
      <c r="AB569" s="1" t="str">
        <f t="shared" si="59"/>
        <v>TAAe+</v>
      </c>
      <c r="AC569" s="2">
        <f t="shared" si="62"/>
        <v>0</v>
      </c>
      <c r="AD569" s="2">
        <f t="shared" si="60"/>
        <v>8</v>
      </c>
      <c r="AE569" s="2">
        <f t="shared" ca="1" si="61"/>
        <v>-44986.676271643519</v>
      </c>
      <c r="AF569" s="15"/>
    </row>
    <row r="570" spans="3:32">
      <c r="D570" s="1"/>
      <c r="E570" s="1"/>
      <c r="P570" s="11"/>
      <c r="U570" s="11"/>
      <c r="X570" s="13">
        <f t="shared" si="56"/>
        <v>0</v>
      </c>
      <c r="Y570" s="2">
        <f t="shared" ca="1" si="57"/>
        <v>32133</v>
      </c>
      <c r="Z570" s="14">
        <v>1</v>
      </c>
      <c r="AA570" s="1" t="str">
        <f t="shared" ca="1" si="58"/>
        <v>VENCIDO</v>
      </c>
      <c r="AB570" s="1" t="str">
        <f t="shared" si="59"/>
        <v>TAAe+</v>
      </c>
      <c r="AC570" s="2">
        <f t="shared" si="62"/>
        <v>0</v>
      </c>
      <c r="AD570" s="2">
        <f t="shared" si="60"/>
        <v>8</v>
      </c>
      <c r="AE570" s="2">
        <f t="shared" ca="1" si="61"/>
        <v>-44986.676271643519</v>
      </c>
      <c r="AF570" s="15"/>
    </row>
    <row r="571" spans="3:32">
      <c r="D571" s="1"/>
      <c r="E571" s="1"/>
      <c r="P571" s="11"/>
      <c r="U571" s="11"/>
      <c r="X571" s="13">
        <f t="shared" si="56"/>
        <v>0</v>
      </c>
      <c r="Y571" s="2">
        <f t="shared" ca="1" si="57"/>
        <v>32133</v>
      </c>
      <c r="Z571" s="14">
        <v>1</v>
      </c>
      <c r="AA571" s="1" t="str">
        <f t="shared" ca="1" si="58"/>
        <v>VENCIDO</v>
      </c>
      <c r="AB571" s="1" t="str">
        <f t="shared" si="59"/>
        <v>TAAe+</v>
      </c>
      <c r="AC571" s="2">
        <f t="shared" si="62"/>
        <v>0</v>
      </c>
      <c r="AD571" s="2">
        <f t="shared" si="60"/>
        <v>8</v>
      </c>
      <c r="AE571" s="2">
        <f t="shared" ca="1" si="61"/>
        <v>-44986.676271643519</v>
      </c>
      <c r="AF571" s="15"/>
    </row>
    <row r="572" spans="3:32">
      <c r="D572" s="1"/>
      <c r="E572" s="1"/>
      <c r="P572" s="11"/>
      <c r="U572" s="11"/>
      <c r="X572" s="13">
        <f t="shared" si="56"/>
        <v>0</v>
      </c>
      <c r="Y572" s="2">
        <f t="shared" ca="1" si="57"/>
        <v>32133</v>
      </c>
      <c r="Z572" s="14">
        <v>1</v>
      </c>
      <c r="AA572" s="1" t="str">
        <f t="shared" ca="1" si="58"/>
        <v>VENCIDO</v>
      </c>
      <c r="AB572" s="1" t="str">
        <f t="shared" si="59"/>
        <v>TAAe+</v>
      </c>
      <c r="AC572" s="2">
        <f t="shared" si="62"/>
        <v>0</v>
      </c>
      <c r="AD572" s="2">
        <f t="shared" si="60"/>
        <v>8</v>
      </c>
      <c r="AE572" s="2">
        <f t="shared" ca="1" si="61"/>
        <v>-44986.676271643519</v>
      </c>
      <c r="AF572" s="15"/>
    </row>
    <row r="573" spans="3:32">
      <c r="D573" s="1"/>
      <c r="E573" s="1"/>
      <c r="P573" s="11"/>
      <c r="U573" s="11"/>
      <c r="X573" s="13">
        <f t="shared" si="56"/>
        <v>0</v>
      </c>
      <c r="Y573" s="2">
        <f t="shared" ca="1" si="57"/>
        <v>32133</v>
      </c>
      <c r="Z573" s="14">
        <v>1</v>
      </c>
      <c r="AA573" s="1" t="str">
        <f t="shared" ca="1" si="58"/>
        <v>VENCIDO</v>
      </c>
      <c r="AB573" s="1" t="str">
        <f t="shared" si="59"/>
        <v>TAAe+</v>
      </c>
      <c r="AC573" s="2">
        <f t="shared" si="62"/>
        <v>0</v>
      </c>
      <c r="AD573" s="2">
        <f t="shared" si="60"/>
        <v>8</v>
      </c>
      <c r="AE573" s="2">
        <f t="shared" ca="1" si="61"/>
        <v>-44986.676271643519</v>
      </c>
      <c r="AF573" s="15"/>
    </row>
    <row r="574" spans="3:32">
      <c r="D574" s="1"/>
      <c r="E574" s="1"/>
      <c r="P574" s="11"/>
      <c r="U574" s="11"/>
      <c r="X574" s="13">
        <f t="shared" si="56"/>
        <v>0</v>
      </c>
      <c r="Y574" s="2">
        <f t="shared" ca="1" si="57"/>
        <v>32133</v>
      </c>
      <c r="Z574" s="14">
        <v>1</v>
      </c>
      <c r="AA574" s="1" t="str">
        <f t="shared" ca="1" si="58"/>
        <v>VENCIDO</v>
      </c>
      <c r="AB574" s="1" t="str">
        <f t="shared" si="59"/>
        <v>TAAe+</v>
      </c>
      <c r="AC574" s="2">
        <f t="shared" si="62"/>
        <v>0</v>
      </c>
      <c r="AD574" s="2">
        <f t="shared" si="60"/>
        <v>8</v>
      </c>
      <c r="AE574" s="2">
        <f t="shared" ca="1" si="61"/>
        <v>-44986.676271643519</v>
      </c>
      <c r="AF574" s="15"/>
    </row>
    <row r="575" spans="3:32">
      <c r="D575" s="1"/>
      <c r="E575" s="1"/>
      <c r="P575" s="11"/>
      <c r="U575" s="11"/>
      <c r="X575" s="13">
        <f t="shared" si="56"/>
        <v>0</v>
      </c>
      <c r="Y575" s="2">
        <f t="shared" ca="1" si="57"/>
        <v>32133</v>
      </c>
      <c r="Z575" s="14">
        <v>1</v>
      </c>
      <c r="AA575" s="1" t="str">
        <f t="shared" ca="1" si="58"/>
        <v>VENCIDO</v>
      </c>
      <c r="AB575" s="1" t="str">
        <f t="shared" si="59"/>
        <v>TAAe+</v>
      </c>
      <c r="AC575" s="2">
        <f t="shared" si="62"/>
        <v>0</v>
      </c>
      <c r="AD575" s="2">
        <f t="shared" si="60"/>
        <v>8</v>
      </c>
      <c r="AE575" s="2">
        <f t="shared" ca="1" si="61"/>
        <v>-44986.676271643519</v>
      </c>
      <c r="AF575" s="15"/>
    </row>
    <row r="576" spans="3:32">
      <c r="C576" s="49"/>
      <c r="D576" s="1"/>
      <c r="E576" s="1"/>
      <c r="P576" s="11"/>
      <c r="U576" s="11"/>
      <c r="X576" s="13">
        <f t="shared" si="56"/>
        <v>0</v>
      </c>
      <c r="Y576" s="2">
        <f t="shared" ca="1" si="57"/>
        <v>32133</v>
      </c>
      <c r="Z576" s="14">
        <v>1</v>
      </c>
      <c r="AA576" s="1" t="str">
        <f t="shared" ca="1" si="58"/>
        <v>VENCIDO</v>
      </c>
      <c r="AB576" s="1" t="str">
        <f t="shared" si="59"/>
        <v>TAAe+</v>
      </c>
      <c r="AC576" s="2">
        <f t="shared" si="62"/>
        <v>0</v>
      </c>
      <c r="AD576" s="2">
        <f t="shared" si="60"/>
        <v>8</v>
      </c>
      <c r="AE576" s="2">
        <f t="shared" ca="1" si="61"/>
        <v>-44986.676271643519</v>
      </c>
      <c r="AF576" s="15"/>
    </row>
    <row r="577" spans="3:32">
      <c r="D577" s="1"/>
      <c r="E577" s="1"/>
      <c r="P577" s="11"/>
      <c r="U577" s="11"/>
      <c r="X577" s="13">
        <f t="shared" si="56"/>
        <v>0</v>
      </c>
      <c r="Y577" s="2">
        <f t="shared" ca="1" si="57"/>
        <v>32133</v>
      </c>
      <c r="Z577" s="14">
        <v>1</v>
      </c>
      <c r="AA577" s="1" t="str">
        <f t="shared" ca="1" si="58"/>
        <v>VENCIDO</v>
      </c>
      <c r="AB577" s="1" t="str">
        <f t="shared" si="59"/>
        <v>TAAe+</v>
      </c>
      <c r="AC577" s="2">
        <f t="shared" si="62"/>
        <v>0</v>
      </c>
      <c r="AD577" s="2">
        <f t="shared" si="60"/>
        <v>8</v>
      </c>
      <c r="AE577" s="2">
        <f t="shared" ca="1" si="61"/>
        <v>-44986.676271643519</v>
      </c>
      <c r="AF577" s="15"/>
    </row>
    <row r="578" spans="3:32">
      <c r="D578" s="1"/>
      <c r="E578" s="1"/>
      <c r="P578" s="11"/>
      <c r="U578" s="11"/>
      <c r="X578" s="13">
        <f t="shared" ref="X578:X641" si="63">IF(RIGHT(H578,2)&lt;&gt;"00",H578,"")</f>
        <v>0</v>
      </c>
      <c r="Y578" s="2">
        <f t="shared" ref="Y578:Y641" ca="1" si="64">NETWORKDAYS(P578,$Y$1)</f>
        <v>32133</v>
      </c>
      <c r="Z578" s="14">
        <v>1</v>
      </c>
      <c r="AA578" s="1" t="str">
        <f t="shared" ref="AA578:AA641" ca="1" si="65">IF(AE578=0,"HOJE",IF(AE578&gt;0,"A VENCER",IF(AE578&lt;0,"VENCIDO")))</f>
        <v>VENCIDO</v>
      </c>
      <c r="AB578" s="1" t="str">
        <f t="shared" ref="AB578:AB641" si="66">IF(F578="GRPE-000001","C-14",IF(F578="GRPE-000002","C-14",IF(F578="GRPE-000003","C-14",IF(F578="GRPE-000004","SL-On",IF(F578="GRPE-000038","C-14",IF(F578="GRPE-900022","Dosa",IF(F578="GRPE-000029","Dosa",IF(F578="ATOS-000222","Dose","TAAe+"))))))))</f>
        <v>TAAe+</v>
      </c>
      <c r="AC578" s="2">
        <f t="shared" si="62"/>
        <v>0</v>
      </c>
      <c r="AD578" s="2">
        <f t="shared" ref="AD578:AD641" si="67">IF(F578="GRPE-000001",5,IF(F578="GRPE-000002",5,IF(F578="GRPE-000003",15,IF(F578="GRPE-000004",1,IF(F578="GRPE-000038",5,IF(F578="GRPE-900022",5,IF(F578="GRPE-000029",5,IF(F578="ATOS-000222",5,8))))))))</f>
        <v>8</v>
      </c>
      <c r="AE578" s="2">
        <f t="shared" ref="AE578:AE641" ca="1" si="68">IF(U578=$AE$1,"",U578-$AE$1)</f>
        <v>-44986.676271643519</v>
      </c>
      <c r="AF578" s="15"/>
    </row>
    <row r="579" spans="3:32">
      <c r="D579" s="1"/>
      <c r="E579" s="1"/>
      <c r="P579" s="11"/>
      <c r="U579" s="11"/>
      <c r="X579" s="13">
        <f t="shared" si="63"/>
        <v>0</v>
      </c>
      <c r="Y579" s="2">
        <f t="shared" ca="1" si="64"/>
        <v>32133</v>
      </c>
      <c r="Z579" s="14">
        <v>1</v>
      </c>
      <c r="AA579" s="1" t="str">
        <f t="shared" ca="1" si="65"/>
        <v>VENCIDO</v>
      </c>
      <c r="AB579" s="1" t="str">
        <f t="shared" si="66"/>
        <v>TAAe+</v>
      </c>
      <c r="AC579" s="2">
        <f t="shared" ref="AC579:AC642" si="69">IF(J579="TR-PETROLINA"," ROSEMERE ",IF(J579="TR-GARANHUNS"," ROSEMERE ",IF(J579="TR-CARUARU"," ROSEMERE ",IF(J579="TR-RIBEIRAO"," CRISTINA ",IF(J579="TR-GRAVATA"," CRISTINA ",IF(J579="TR-GOIANA"," CRISTINA ",IF(J579="TR-LIMOEIRO"," CRISTINA ",IF(J579="TR-SERRA TALHADA"," RINALDO ",IF(J579="TR-SALGUEIRO"," RINALDO ",IF(J579="TR-CARNAIBA"," RINALDO ",IF(J579="TR-ARCOVERDE"," RINALDO ",IF(J579="CAT-RECIFE"," CLEITON ",))))))))))))</f>
        <v>0</v>
      </c>
      <c r="AD579" s="2">
        <f t="shared" si="67"/>
        <v>8</v>
      </c>
      <c r="AE579" s="2">
        <f t="shared" ca="1" si="68"/>
        <v>-44986.676271643519</v>
      </c>
      <c r="AF579" s="15"/>
    </row>
    <row r="580" spans="3:32">
      <c r="D580" s="1"/>
      <c r="E580" s="1"/>
      <c r="P580" s="11"/>
      <c r="U580" s="11"/>
      <c r="X580" s="13">
        <f t="shared" si="63"/>
        <v>0</v>
      </c>
      <c r="Y580" s="2">
        <f t="shared" ca="1" si="64"/>
        <v>32133</v>
      </c>
      <c r="Z580" s="14">
        <v>1</v>
      </c>
      <c r="AA580" s="1" t="str">
        <f t="shared" ca="1" si="65"/>
        <v>VENCIDO</v>
      </c>
      <c r="AB580" s="1" t="str">
        <f t="shared" si="66"/>
        <v>TAAe+</v>
      </c>
      <c r="AC580" s="2">
        <f t="shared" si="69"/>
        <v>0</v>
      </c>
      <c r="AD580" s="2">
        <f t="shared" si="67"/>
        <v>8</v>
      </c>
      <c r="AE580" s="2">
        <f t="shared" ca="1" si="68"/>
        <v>-44986.676271643519</v>
      </c>
      <c r="AF580" s="15"/>
    </row>
    <row r="581" spans="3:32">
      <c r="D581" s="1"/>
      <c r="E581" s="1"/>
      <c r="P581" s="11"/>
      <c r="U581" s="11"/>
      <c r="X581" s="13">
        <f t="shared" si="63"/>
        <v>0</v>
      </c>
      <c r="Y581" s="2">
        <f t="shared" ca="1" si="64"/>
        <v>32133</v>
      </c>
      <c r="Z581" s="14">
        <v>1</v>
      </c>
      <c r="AA581" s="1" t="str">
        <f t="shared" ca="1" si="65"/>
        <v>VENCIDO</v>
      </c>
      <c r="AB581" s="1" t="str">
        <f t="shared" si="66"/>
        <v>TAAe+</v>
      </c>
      <c r="AC581" s="2">
        <f t="shared" si="69"/>
        <v>0</v>
      </c>
      <c r="AD581" s="2">
        <f t="shared" si="67"/>
        <v>8</v>
      </c>
      <c r="AE581" s="2">
        <f t="shared" ca="1" si="68"/>
        <v>-44986.676271643519</v>
      </c>
      <c r="AF581" s="15"/>
    </row>
    <row r="582" spans="3:32">
      <c r="D582" s="1"/>
      <c r="E582" s="1"/>
      <c r="P582" s="11"/>
      <c r="U582" s="11"/>
      <c r="X582" s="13">
        <f t="shared" si="63"/>
        <v>0</v>
      </c>
      <c r="Y582" s="2">
        <f t="shared" ca="1" si="64"/>
        <v>32133</v>
      </c>
      <c r="Z582" s="14">
        <v>1</v>
      </c>
      <c r="AA582" s="1" t="str">
        <f t="shared" ca="1" si="65"/>
        <v>VENCIDO</v>
      </c>
      <c r="AB582" s="1" t="str">
        <f t="shared" si="66"/>
        <v>TAAe+</v>
      </c>
      <c r="AC582" s="2">
        <f t="shared" si="69"/>
        <v>0</v>
      </c>
      <c r="AD582" s="2">
        <f t="shared" si="67"/>
        <v>8</v>
      </c>
      <c r="AE582" s="2">
        <f t="shared" ca="1" si="68"/>
        <v>-44986.676271643519</v>
      </c>
      <c r="AF582" s="15"/>
    </row>
    <row r="583" spans="3:32">
      <c r="C583" s="49"/>
      <c r="D583" s="1"/>
      <c r="E583" s="1"/>
      <c r="P583" s="11"/>
      <c r="U583" s="11"/>
      <c r="X583" s="13">
        <f t="shared" si="63"/>
        <v>0</v>
      </c>
      <c r="Y583" s="2">
        <f t="shared" ca="1" si="64"/>
        <v>32133</v>
      </c>
      <c r="Z583" s="14">
        <v>1</v>
      </c>
      <c r="AA583" s="1" t="str">
        <f t="shared" ca="1" si="65"/>
        <v>VENCIDO</v>
      </c>
      <c r="AB583" s="1" t="str">
        <f t="shared" si="66"/>
        <v>TAAe+</v>
      </c>
      <c r="AC583" s="2">
        <f t="shared" si="69"/>
        <v>0</v>
      </c>
      <c r="AD583" s="2">
        <f t="shared" si="67"/>
        <v>8</v>
      </c>
      <c r="AE583" s="2">
        <f t="shared" ca="1" si="68"/>
        <v>-44986.676271643519</v>
      </c>
      <c r="AF583" s="15"/>
    </row>
    <row r="584" spans="3:32">
      <c r="D584" s="1"/>
      <c r="E584" s="1"/>
      <c r="P584" s="11"/>
      <c r="U584" s="11"/>
      <c r="X584" s="13">
        <f t="shared" si="63"/>
        <v>0</v>
      </c>
      <c r="Y584" s="2">
        <f t="shared" ca="1" si="64"/>
        <v>32133</v>
      </c>
      <c r="Z584" s="14">
        <v>1</v>
      </c>
      <c r="AA584" s="1" t="str">
        <f t="shared" ca="1" si="65"/>
        <v>VENCIDO</v>
      </c>
      <c r="AB584" s="1" t="str">
        <f t="shared" si="66"/>
        <v>TAAe+</v>
      </c>
      <c r="AC584" s="2">
        <f t="shared" si="69"/>
        <v>0</v>
      </c>
      <c r="AD584" s="2">
        <f t="shared" si="67"/>
        <v>8</v>
      </c>
      <c r="AE584" s="2">
        <f t="shared" ca="1" si="68"/>
        <v>-44986.676271643519</v>
      </c>
      <c r="AF584" s="15"/>
    </row>
    <row r="585" spans="3:32">
      <c r="D585" s="1"/>
      <c r="E585" s="1"/>
      <c r="P585" s="11"/>
      <c r="U585" s="11"/>
      <c r="X585" s="13">
        <f t="shared" si="63"/>
        <v>0</v>
      </c>
      <c r="Y585" s="2">
        <f t="shared" ca="1" si="64"/>
        <v>32133</v>
      </c>
      <c r="Z585" s="14">
        <v>1</v>
      </c>
      <c r="AA585" s="1" t="str">
        <f t="shared" ca="1" si="65"/>
        <v>VENCIDO</v>
      </c>
      <c r="AB585" s="1" t="str">
        <f t="shared" si="66"/>
        <v>TAAe+</v>
      </c>
      <c r="AC585" s="2">
        <f t="shared" si="69"/>
        <v>0</v>
      </c>
      <c r="AD585" s="2">
        <f t="shared" si="67"/>
        <v>8</v>
      </c>
      <c r="AE585" s="2">
        <f t="shared" ca="1" si="68"/>
        <v>-44986.676271643519</v>
      </c>
      <c r="AF585" s="15"/>
    </row>
    <row r="586" spans="3:32">
      <c r="D586" s="1"/>
      <c r="E586" s="1"/>
      <c r="P586" s="11"/>
      <c r="U586" s="11"/>
      <c r="X586" s="13">
        <f t="shared" si="63"/>
        <v>0</v>
      </c>
      <c r="Y586" s="2">
        <f t="shared" ca="1" si="64"/>
        <v>32133</v>
      </c>
      <c r="Z586" s="14">
        <v>1</v>
      </c>
      <c r="AA586" s="1" t="str">
        <f t="shared" ca="1" si="65"/>
        <v>VENCIDO</v>
      </c>
      <c r="AB586" s="1" t="str">
        <f t="shared" si="66"/>
        <v>TAAe+</v>
      </c>
      <c r="AC586" s="2">
        <f t="shared" si="69"/>
        <v>0</v>
      </c>
      <c r="AD586" s="2">
        <f t="shared" si="67"/>
        <v>8</v>
      </c>
      <c r="AE586" s="2">
        <f t="shared" ca="1" si="68"/>
        <v>-44986.676271643519</v>
      </c>
      <c r="AF586" s="15"/>
    </row>
    <row r="587" spans="3:32">
      <c r="C587" s="49"/>
      <c r="D587" s="1"/>
      <c r="E587" s="1"/>
      <c r="P587" s="11"/>
      <c r="U587" s="11"/>
      <c r="X587" s="13">
        <f t="shared" si="63"/>
        <v>0</v>
      </c>
      <c r="Y587" s="2">
        <f t="shared" ca="1" si="64"/>
        <v>32133</v>
      </c>
      <c r="Z587" s="14">
        <v>1</v>
      </c>
      <c r="AA587" s="1" t="str">
        <f t="shared" ca="1" si="65"/>
        <v>VENCIDO</v>
      </c>
      <c r="AB587" s="1" t="str">
        <f t="shared" si="66"/>
        <v>TAAe+</v>
      </c>
      <c r="AC587" s="2">
        <f t="shared" si="69"/>
        <v>0</v>
      </c>
      <c r="AD587" s="2">
        <f t="shared" si="67"/>
        <v>8</v>
      </c>
      <c r="AE587" s="2">
        <f t="shared" ca="1" si="68"/>
        <v>-44986.676271643519</v>
      </c>
      <c r="AF587" s="15"/>
    </row>
    <row r="588" spans="3:32">
      <c r="D588" s="1"/>
      <c r="E588" s="1"/>
      <c r="P588" s="11"/>
      <c r="U588" s="11"/>
      <c r="X588" s="13">
        <f t="shared" si="63"/>
        <v>0</v>
      </c>
      <c r="Y588" s="2">
        <f t="shared" ca="1" si="64"/>
        <v>32133</v>
      </c>
      <c r="Z588" s="14">
        <v>1</v>
      </c>
      <c r="AA588" s="1" t="str">
        <f t="shared" ca="1" si="65"/>
        <v>VENCIDO</v>
      </c>
      <c r="AB588" s="1" t="str">
        <f t="shared" si="66"/>
        <v>TAAe+</v>
      </c>
      <c r="AC588" s="2">
        <f t="shared" si="69"/>
        <v>0</v>
      </c>
      <c r="AD588" s="2">
        <f t="shared" si="67"/>
        <v>8</v>
      </c>
      <c r="AE588" s="2">
        <f t="shared" ca="1" si="68"/>
        <v>-44986.676271643519</v>
      </c>
      <c r="AF588" s="15"/>
    </row>
    <row r="589" spans="3:32">
      <c r="D589" s="1"/>
      <c r="E589" s="1"/>
      <c r="P589" s="11"/>
      <c r="U589" s="11"/>
      <c r="X589" s="13">
        <f t="shared" si="63"/>
        <v>0</v>
      </c>
      <c r="Y589" s="2">
        <f t="shared" ca="1" si="64"/>
        <v>32133</v>
      </c>
      <c r="Z589" s="14">
        <v>1</v>
      </c>
      <c r="AA589" s="1" t="str">
        <f t="shared" ca="1" si="65"/>
        <v>VENCIDO</v>
      </c>
      <c r="AB589" s="1" t="str">
        <f t="shared" si="66"/>
        <v>TAAe+</v>
      </c>
      <c r="AC589" s="2">
        <f t="shared" si="69"/>
        <v>0</v>
      </c>
      <c r="AD589" s="2">
        <f t="shared" si="67"/>
        <v>8</v>
      </c>
      <c r="AE589" s="2">
        <f t="shared" ca="1" si="68"/>
        <v>-44986.676271643519</v>
      </c>
      <c r="AF589" s="15"/>
    </row>
    <row r="590" spans="3:32">
      <c r="D590" s="1"/>
      <c r="E590" s="1"/>
      <c r="P590" s="11"/>
      <c r="U590" s="11"/>
      <c r="X590" s="13">
        <f t="shared" si="63"/>
        <v>0</v>
      </c>
      <c r="Y590" s="2">
        <f t="shared" ca="1" si="64"/>
        <v>32133</v>
      </c>
      <c r="Z590" s="14">
        <v>1</v>
      </c>
      <c r="AA590" s="1" t="str">
        <f t="shared" ca="1" si="65"/>
        <v>VENCIDO</v>
      </c>
      <c r="AB590" s="1" t="str">
        <f t="shared" si="66"/>
        <v>TAAe+</v>
      </c>
      <c r="AC590" s="2">
        <f t="shared" si="69"/>
        <v>0</v>
      </c>
      <c r="AD590" s="2">
        <f t="shared" si="67"/>
        <v>8</v>
      </c>
      <c r="AE590" s="2">
        <f t="shared" ca="1" si="68"/>
        <v>-44986.676271643519</v>
      </c>
      <c r="AF590" s="15"/>
    </row>
    <row r="591" spans="3:32">
      <c r="D591" s="1"/>
      <c r="E591" s="1"/>
      <c r="P591" s="11"/>
      <c r="U591" s="11"/>
      <c r="X591" s="13">
        <f t="shared" si="63"/>
        <v>0</v>
      </c>
      <c r="Y591" s="2">
        <f t="shared" ca="1" si="64"/>
        <v>32133</v>
      </c>
      <c r="Z591" s="14">
        <v>1</v>
      </c>
      <c r="AA591" s="1" t="str">
        <f t="shared" ca="1" si="65"/>
        <v>VENCIDO</v>
      </c>
      <c r="AB591" s="1" t="str">
        <f t="shared" si="66"/>
        <v>TAAe+</v>
      </c>
      <c r="AC591" s="2">
        <f t="shared" si="69"/>
        <v>0</v>
      </c>
      <c r="AD591" s="2">
        <f t="shared" si="67"/>
        <v>8</v>
      </c>
      <c r="AE591" s="2">
        <f t="shared" ca="1" si="68"/>
        <v>-44986.676271643519</v>
      </c>
      <c r="AF591" s="15"/>
    </row>
    <row r="592" spans="3:32">
      <c r="C592" s="49"/>
      <c r="D592" s="1"/>
      <c r="E592" s="1"/>
      <c r="P592" s="11"/>
      <c r="U592" s="11"/>
      <c r="X592" s="13">
        <f t="shared" si="63"/>
        <v>0</v>
      </c>
      <c r="Y592" s="2">
        <f t="shared" ca="1" si="64"/>
        <v>32133</v>
      </c>
      <c r="Z592" s="14">
        <v>1</v>
      </c>
      <c r="AA592" s="1" t="str">
        <f t="shared" ca="1" si="65"/>
        <v>VENCIDO</v>
      </c>
      <c r="AB592" s="1" t="str">
        <f t="shared" si="66"/>
        <v>TAAe+</v>
      </c>
      <c r="AC592" s="2">
        <f t="shared" si="69"/>
        <v>0</v>
      </c>
      <c r="AD592" s="2">
        <f t="shared" si="67"/>
        <v>8</v>
      </c>
      <c r="AE592" s="2">
        <f t="shared" ca="1" si="68"/>
        <v>-44986.676271643519</v>
      </c>
      <c r="AF592" s="15"/>
    </row>
    <row r="593" spans="3:32">
      <c r="D593" s="1"/>
      <c r="E593" s="1"/>
      <c r="P593" s="11"/>
      <c r="U593" s="11"/>
      <c r="X593" s="13">
        <f t="shared" si="63"/>
        <v>0</v>
      </c>
      <c r="Y593" s="2">
        <f t="shared" ca="1" si="64"/>
        <v>32133</v>
      </c>
      <c r="Z593" s="14">
        <v>1</v>
      </c>
      <c r="AA593" s="1" t="str">
        <f t="shared" ca="1" si="65"/>
        <v>VENCIDO</v>
      </c>
      <c r="AB593" s="1" t="str">
        <f t="shared" si="66"/>
        <v>TAAe+</v>
      </c>
      <c r="AC593" s="2">
        <f t="shared" si="69"/>
        <v>0</v>
      </c>
      <c r="AD593" s="2">
        <f t="shared" si="67"/>
        <v>8</v>
      </c>
      <c r="AE593" s="2">
        <f t="shared" ca="1" si="68"/>
        <v>-44986.676271643519</v>
      </c>
      <c r="AF593" s="15"/>
    </row>
    <row r="594" spans="3:32">
      <c r="D594" s="1"/>
      <c r="E594" s="1"/>
      <c r="P594" s="11"/>
      <c r="U594" s="11"/>
      <c r="X594" s="13">
        <f t="shared" si="63"/>
        <v>0</v>
      </c>
      <c r="Y594" s="2">
        <f t="shared" ca="1" si="64"/>
        <v>32133</v>
      </c>
      <c r="Z594" s="14">
        <v>1</v>
      </c>
      <c r="AA594" s="1" t="str">
        <f t="shared" ca="1" si="65"/>
        <v>VENCIDO</v>
      </c>
      <c r="AB594" s="1" t="str">
        <f t="shared" si="66"/>
        <v>TAAe+</v>
      </c>
      <c r="AC594" s="2">
        <f t="shared" si="69"/>
        <v>0</v>
      </c>
      <c r="AD594" s="2">
        <f t="shared" si="67"/>
        <v>8</v>
      </c>
      <c r="AE594" s="2">
        <f t="shared" ca="1" si="68"/>
        <v>-44986.676271643519</v>
      </c>
      <c r="AF594" s="15"/>
    </row>
    <row r="595" spans="3:32">
      <c r="D595" s="1"/>
      <c r="E595" s="1"/>
      <c r="P595" s="11"/>
      <c r="U595" s="11"/>
      <c r="X595" s="13">
        <f t="shared" si="63"/>
        <v>0</v>
      </c>
      <c r="Y595" s="2">
        <f t="shared" ca="1" si="64"/>
        <v>32133</v>
      </c>
      <c r="Z595" s="14">
        <v>1</v>
      </c>
      <c r="AA595" s="1" t="str">
        <f t="shared" ca="1" si="65"/>
        <v>VENCIDO</v>
      </c>
      <c r="AB595" s="1" t="str">
        <f t="shared" si="66"/>
        <v>TAAe+</v>
      </c>
      <c r="AC595" s="2">
        <f t="shared" si="69"/>
        <v>0</v>
      </c>
      <c r="AD595" s="2">
        <f t="shared" si="67"/>
        <v>8</v>
      </c>
      <c r="AE595" s="2">
        <f t="shared" ca="1" si="68"/>
        <v>-44986.676271643519</v>
      </c>
      <c r="AF595" s="15"/>
    </row>
    <row r="596" spans="3:32">
      <c r="D596" s="1"/>
      <c r="E596" s="1"/>
      <c r="P596" s="11"/>
      <c r="U596" s="11"/>
      <c r="X596" s="13">
        <f t="shared" si="63"/>
        <v>0</v>
      </c>
      <c r="Y596" s="2">
        <f t="shared" ca="1" si="64"/>
        <v>32133</v>
      </c>
      <c r="Z596" s="14">
        <v>1</v>
      </c>
      <c r="AA596" s="1" t="str">
        <f t="shared" ca="1" si="65"/>
        <v>VENCIDO</v>
      </c>
      <c r="AB596" s="1" t="str">
        <f t="shared" si="66"/>
        <v>TAAe+</v>
      </c>
      <c r="AC596" s="2">
        <f t="shared" si="69"/>
        <v>0</v>
      </c>
      <c r="AD596" s="2">
        <f t="shared" si="67"/>
        <v>8</v>
      </c>
      <c r="AE596" s="2">
        <f t="shared" ca="1" si="68"/>
        <v>-44986.676271643519</v>
      </c>
      <c r="AF596" s="15"/>
    </row>
    <row r="597" spans="3:32">
      <c r="C597" s="49"/>
      <c r="D597" s="1"/>
      <c r="E597" s="1"/>
      <c r="P597" s="11"/>
      <c r="U597" s="11"/>
      <c r="X597" s="13">
        <f t="shared" si="63"/>
        <v>0</v>
      </c>
      <c r="Y597" s="2">
        <f t="shared" ca="1" si="64"/>
        <v>32133</v>
      </c>
      <c r="Z597" s="14">
        <v>1</v>
      </c>
      <c r="AA597" s="1" t="str">
        <f t="shared" ca="1" si="65"/>
        <v>VENCIDO</v>
      </c>
      <c r="AB597" s="1" t="str">
        <f t="shared" si="66"/>
        <v>TAAe+</v>
      </c>
      <c r="AC597" s="2">
        <f t="shared" si="69"/>
        <v>0</v>
      </c>
      <c r="AD597" s="2">
        <f t="shared" si="67"/>
        <v>8</v>
      </c>
      <c r="AE597" s="2">
        <f t="shared" ca="1" si="68"/>
        <v>-44986.676271643519</v>
      </c>
      <c r="AF597" s="15"/>
    </row>
    <row r="598" spans="3:32">
      <c r="D598" s="1"/>
      <c r="E598" s="1"/>
      <c r="P598" s="11"/>
      <c r="U598" s="11"/>
      <c r="X598" s="13">
        <f t="shared" si="63"/>
        <v>0</v>
      </c>
      <c r="Y598" s="2">
        <f t="shared" ca="1" si="64"/>
        <v>32133</v>
      </c>
      <c r="Z598" s="14">
        <v>1</v>
      </c>
      <c r="AA598" s="1" t="str">
        <f t="shared" ca="1" si="65"/>
        <v>VENCIDO</v>
      </c>
      <c r="AB598" s="1" t="str">
        <f t="shared" si="66"/>
        <v>TAAe+</v>
      </c>
      <c r="AC598" s="2">
        <f t="shared" si="69"/>
        <v>0</v>
      </c>
      <c r="AD598" s="2">
        <f t="shared" si="67"/>
        <v>8</v>
      </c>
      <c r="AE598" s="2">
        <f t="shared" ca="1" si="68"/>
        <v>-44986.676271643519</v>
      </c>
      <c r="AF598" s="15"/>
    </row>
    <row r="599" spans="3:32">
      <c r="C599" s="49"/>
      <c r="D599" s="1"/>
      <c r="E599" s="1"/>
      <c r="P599" s="11"/>
      <c r="U599" s="11"/>
      <c r="X599" s="13">
        <f t="shared" si="63"/>
        <v>0</v>
      </c>
      <c r="Y599" s="2">
        <f t="shared" ca="1" si="64"/>
        <v>32133</v>
      </c>
      <c r="Z599" s="14">
        <v>1</v>
      </c>
      <c r="AA599" s="1" t="str">
        <f t="shared" ca="1" si="65"/>
        <v>VENCIDO</v>
      </c>
      <c r="AB599" s="1" t="str">
        <f t="shared" si="66"/>
        <v>TAAe+</v>
      </c>
      <c r="AC599" s="2">
        <f t="shared" si="69"/>
        <v>0</v>
      </c>
      <c r="AD599" s="2">
        <f t="shared" si="67"/>
        <v>8</v>
      </c>
      <c r="AE599" s="2">
        <f t="shared" ca="1" si="68"/>
        <v>-44986.676271643519</v>
      </c>
      <c r="AF599" s="15"/>
    </row>
    <row r="600" spans="3:32">
      <c r="C600" s="49"/>
      <c r="D600" s="1"/>
      <c r="E600" s="1"/>
      <c r="P600" s="11"/>
      <c r="U600" s="11"/>
      <c r="X600" s="13">
        <f t="shared" si="63"/>
        <v>0</v>
      </c>
      <c r="Y600" s="2">
        <f t="shared" ca="1" si="64"/>
        <v>32133</v>
      </c>
      <c r="Z600" s="14">
        <v>1</v>
      </c>
      <c r="AA600" s="1" t="str">
        <f t="shared" ca="1" si="65"/>
        <v>VENCIDO</v>
      </c>
      <c r="AB600" s="1" t="str">
        <f t="shared" si="66"/>
        <v>TAAe+</v>
      </c>
      <c r="AC600" s="2">
        <f t="shared" si="69"/>
        <v>0</v>
      </c>
      <c r="AD600" s="2">
        <f t="shared" si="67"/>
        <v>8</v>
      </c>
      <c r="AE600" s="2">
        <f t="shared" ca="1" si="68"/>
        <v>-44986.676271643519</v>
      </c>
      <c r="AF600" s="15"/>
    </row>
    <row r="601" spans="3:32">
      <c r="D601" s="1"/>
      <c r="E601" s="1"/>
      <c r="P601" s="11"/>
      <c r="U601" s="11"/>
      <c r="X601" s="13">
        <f t="shared" si="63"/>
        <v>0</v>
      </c>
      <c r="Y601" s="2">
        <f t="shared" ca="1" si="64"/>
        <v>32133</v>
      </c>
      <c r="Z601" s="14">
        <v>1</v>
      </c>
      <c r="AA601" s="1" t="str">
        <f t="shared" ca="1" si="65"/>
        <v>VENCIDO</v>
      </c>
      <c r="AB601" s="1" t="str">
        <f t="shared" si="66"/>
        <v>TAAe+</v>
      </c>
      <c r="AC601" s="2">
        <f t="shared" si="69"/>
        <v>0</v>
      </c>
      <c r="AD601" s="2">
        <f t="shared" si="67"/>
        <v>8</v>
      </c>
      <c r="AE601" s="2">
        <f t="shared" ca="1" si="68"/>
        <v>-44986.676271643519</v>
      </c>
      <c r="AF601" s="15"/>
    </row>
    <row r="602" spans="3:32">
      <c r="C602" s="49"/>
      <c r="D602" s="1"/>
      <c r="E602" s="1"/>
      <c r="P602" s="11"/>
      <c r="U602" s="11"/>
      <c r="X602" s="13">
        <f t="shared" si="63"/>
        <v>0</v>
      </c>
      <c r="Y602" s="2">
        <f t="shared" ca="1" si="64"/>
        <v>32133</v>
      </c>
      <c r="Z602" s="14">
        <v>1</v>
      </c>
      <c r="AA602" s="1" t="str">
        <f t="shared" ca="1" si="65"/>
        <v>VENCIDO</v>
      </c>
      <c r="AB602" s="1" t="str">
        <f t="shared" si="66"/>
        <v>TAAe+</v>
      </c>
      <c r="AC602" s="2">
        <f t="shared" si="69"/>
        <v>0</v>
      </c>
      <c r="AD602" s="2">
        <f t="shared" si="67"/>
        <v>8</v>
      </c>
      <c r="AE602" s="2">
        <f t="shared" ca="1" si="68"/>
        <v>-44986.676271643519</v>
      </c>
      <c r="AF602" s="15"/>
    </row>
    <row r="603" spans="3:32">
      <c r="D603" s="1"/>
      <c r="E603" s="1"/>
      <c r="P603" s="11"/>
      <c r="U603" s="11"/>
      <c r="X603" s="13">
        <f t="shared" si="63"/>
        <v>0</v>
      </c>
      <c r="Y603" s="2">
        <f t="shared" ca="1" si="64"/>
        <v>32133</v>
      </c>
      <c r="Z603" s="14">
        <v>1</v>
      </c>
      <c r="AA603" s="1" t="str">
        <f t="shared" ca="1" si="65"/>
        <v>VENCIDO</v>
      </c>
      <c r="AB603" s="1" t="str">
        <f t="shared" si="66"/>
        <v>TAAe+</v>
      </c>
      <c r="AC603" s="2">
        <f t="shared" si="69"/>
        <v>0</v>
      </c>
      <c r="AD603" s="2">
        <f t="shared" si="67"/>
        <v>8</v>
      </c>
      <c r="AE603" s="2">
        <f t="shared" ca="1" si="68"/>
        <v>-44986.676271643519</v>
      </c>
      <c r="AF603" s="15"/>
    </row>
    <row r="604" spans="3:32">
      <c r="D604" s="1"/>
      <c r="E604" s="1"/>
      <c r="P604" s="11"/>
      <c r="U604" s="11"/>
      <c r="X604" s="13">
        <f t="shared" si="63"/>
        <v>0</v>
      </c>
      <c r="Y604" s="2">
        <f t="shared" ca="1" si="64"/>
        <v>32133</v>
      </c>
      <c r="Z604" s="14">
        <v>1</v>
      </c>
      <c r="AA604" s="1" t="str">
        <f t="shared" ca="1" si="65"/>
        <v>VENCIDO</v>
      </c>
      <c r="AB604" s="1" t="str">
        <f t="shared" si="66"/>
        <v>TAAe+</v>
      </c>
      <c r="AC604" s="2">
        <f t="shared" si="69"/>
        <v>0</v>
      </c>
      <c r="AD604" s="2">
        <f t="shared" si="67"/>
        <v>8</v>
      </c>
      <c r="AE604" s="2">
        <f t="shared" ca="1" si="68"/>
        <v>-44986.676271643519</v>
      </c>
      <c r="AF604" s="15"/>
    </row>
    <row r="605" spans="3:32">
      <c r="D605" s="1"/>
      <c r="E605" s="1"/>
      <c r="P605" s="11"/>
      <c r="U605" s="11"/>
      <c r="X605" s="13">
        <f t="shared" si="63"/>
        <v>0</v>
      </c>
      <c r="Y605" s="2">
        <f t="shared" ca="1" si="64"/>
        <v>32133</v>
      </c>
      <c r="Z605" s="14">
        <v>1</v>
      </c>
      <c r="AA605" s="1" t="str">
        <f t="shared" ca="1" si="65"/>
        <v>VENCIDO</v>
      </c>
      <c r="AB605" s="1" t="str">
        <f t="shared" si="66"/>
        <v>TAAe+</v>
      </c>
      <c r="AC605" s="2">
        <f t="shared" si="69"/>
        <v>0</v>
      </c>
      <c r="AD605" s="2">
        <f t="shared" si="67"/>
        <v>8</v>
      </c>
      <c r="AE605" s="2">
        <f t="shared" ca="1" si="68"/>
        <v>-44986.676271643519</v>
      </c>
      <c r="AF605" s="15"/>
    </row>
    <row r="606" spans="3:32">
      <c r="C606" s="49"/>
      <c r="D606" s="1"/>
      <c r="E606" s="1"/>
      <c r="P606" s="11"/>
      <c r="U606" s="11"/>
      <c r="X606" s="13">
        <f t="shared" si="63"/>
        <v>0</v>
      </c>
      <c r="Y606" s="2">
        <f t="shared" ca="1" si="64"/>
        <v>32133</v>
      </c>
      <c r="Z606" s="14">
        <v>1</v>
      </c>
      <c r="AA606" s="1" t="str">
        <f t="shared" ca="1" si="65"/>
        <v>VENCIDO</v>
      </c>
      <c r="AB606" s="1" t="str">
        <f t="shared" si="66"/>
        <v>TAAe+</v>
      </c>
      <c r="AC606" s="2">
        <f t="shared" si="69"/>
        <v>0</v>
      </c>
      <c r="AD606" s="2">
        <f t="shared" si="67"/>
        <v>8</v>
      </c>
      <c r="AE606" s="2">
        <f t="shared" ca="1" si="68"/>
        <v>-44986.676271643519</v>
      </c>
      <c r="AF606" s="15"/>
    </row>
    <row r="607" spans="3:32">
      <c r="C607" s="49"/>
      <c r="D607" s="1"/>
      <c r="E607" s="1"/>
      <c r="P607" s="11"/>
      <c r="U607" s="11"/>
      <c r="X607" s="13">
        <f t="shared" si="63"/>
        <v>0</v>
      </c>
      <c r="Y607" s="2">
        <f t="shared" ca="1" si="64"/>
        <v>32133</v>
      </c>
      <c r="Z607" s="14">
        <v>1</v>
      </c>
      <c r="AA607" s="1" t="str">
        <f t="shared" ca="1" si="65"/>
        <v>VENCIDO</v>
      </c>
      <c r="AB607" s="1" t="str">
        <f t="shared" si="66"/>
        <v>TAAe+</v>
      </c>
      <c r="AC607" s="2">
        <f t="shared" si="69"/>
        <v>0</v>
      </c>
      <c r="AD607" s="2">
        <f t="shared" si="67"/>
        <v>8</v>
      </c>
      <c r="AE607" s="2">
        <f t="shared" ca="1" si="68"/>
        <v>-44986.676271643519</v>
      </c>
      <c r="AF607" s="15"/>
    </row>
    <row r="608" spans="3:32">
      <c r="D608" s="1"/>
      <c r="E608" s="1"/>
      <c r="P608" s="11"/>
      <c r="U608" s="11"/>
      <c r="X608" s="13">
        <f t="shared" si="63"/>
        <v>0</v>
      </c>
      <c r="Y608" s="2">
        <f t="shared" ca="1" si="64"/>
        <v>32133</v>
      </c>
      <c r="Z608" s="14">
        <v>1</v>
      </c>
      <c r="AA608" s="1" t="str">
        <f t="shared" ca="1" si="65"/>
        <v>VENCIDO</v>
      </c>
      <c r="AB608" s="1" t="str">
        <f t="shared" si="66"/>
        <v>TAAe+</v>
      </c>
      <c r="AC608" s="2">
        <f t="shared" si="69"/>
        <v>0</v>
      </c>
      <c r="AD608" s="2">
        <f t="shared" si="67"/>
        <v>8</v>
      </c>
      <c r="AE608" s="2">
        <f t="shared" ca="1" si="68"/>
        <v>-44986.676271643519</v>
      </c>
      <c r="AF608" s="15"/>
    </row>
    <row r="609" spans="16:32">
      <c r="P609" s="12"/>
      <c r="U609" s="12"/>
      <c r="X609" s="13">
        <f t="shared" si="63"/>
        <v>0</v>
      </c>
      <c r="Y609" s="2">
        <f t="shared" ca="1" si="64"/>
        <v>32133</v>
      </c>
      <c r="Z609" s="14">
        <v>1</v>
      </c>
      <c r="AA609" s="1" t="str">
        <f t="shared" ca="1" si="65"/>
        <v>VENCIDO</v>
      </c>
      <c r="AB609" s="1" t="str">
        <f t="shared" si="66"/>
        <v>TAAe+</v>
      </c>
      <c r="AC609" s="2">
        <f t="shared" si="69"/>
        <v>0</v>
      </c>
      <c r="AD609" s="2">
        <f t="shared" si="67"/>
        <v>8</v>
      </c>
      <c r="AE609" s="2">
        <f t="shared" ca="1" si="68"/>
        <v>-44986.676271643519</v>
      </c>
      <c r="AF609" s="15"/>
    </row>
    <row r="610" spans="16:32">
      <c r="P610" s="12"/>
      <c r="U610" s="12"/>
      <c r="X610" s="13">
        <f t="shared" si="63"/>
        <v>0</v>
      </c>
      <c r="Y610" s="2">
        <f t="shared" ca="1" si="64"/>
        <v>32133</v>
      </c>
      <c r="Z610" s="14">
        <v>1</v>
      </c>
      <c r="AA610" s="1" t="str">
        <f t="shared" ca="1" si="65"/>
        <v>VENCIDO</v>
      </c>
      <c r="AB610" s="1" t="str">
        <f t="shared" si="66"/>
        <v>TAAe+</v>
      </c>
      <c r="AC610" s="2">
        <f t="shared" si="69"/>
        <v>0</v>
      </c>
      <c r="AD610" s="2">
        <f t="shared" si="67"/>
        <v>8</v>
      </c>
      <c r="AE610" s="2">
        <f t="shared" ca="1" si="68"/>
        <v>-44986.676271643519</v>
      </c>
      <c r="AF610" s="15"/>
    </row>
    <row r="611" spans="16:32">
      <c r="P611" s="12"/>
      <c r="U611" s="12"/>
      <c r="X611" s="13">
        <f t="shared" si="63"/>
        <v>0</v>
      </c>
      <c r="Y611" s="2">
        <f t="shared" ca="1" si="64"/>
        <v>32133</v>
      </c>
      <c r="Z611" s="14">
        <v>1</v>
      </c>
      <c r="AA611" s="1" t="str">
        <f t="shared" ca="1" si="65"/>
        <v>VENCIDO</v>
      </c>
      <c r="AB611" s="1" t="str">
        <f t="shared" si="66"/>
        <v>TAAe+</v>
      </c>
      <c r="AC611" s="2">
        <f t="shared" si="69"/>
        <v>0</v>
      </c>
      <c r="AD611" s="2">
        <f t="shared" si="67"/>
        <v>8</v>
      </c>
      <c r="AE611" s="2">
        <f t="shared" ca="1" si="68"/>
        <v>-44986.676271643519</v>
      </c>
      <c r="AF611" s="15"/>
    </row>
    <row r="612" spans="16:32">
      <c r="P612" s="12"/>
      <c r="U612" s="12"/>
      <c r="X612" s="13">
        <f t="shared" si="63"/>
        <v>0</v>
      </c>
      <c r="Y612" s="2">
        <f t="shared" ca="1" si="64"/>
        <v>32133</v>
      </c>
      <c r="Z612" s="14">
        <v>1</v>
      </c>
      <c r="AA612" s="1" t="str">
        <f t="shared" ca="1" si="65"/>
        <v>VENCIDO</v>
      </c>
      <c r="AB612" s="1" t="str">
        <f t="shared" si="66"/>
        <v>TAAe+</v>
      </c>
      <c r="AC612" s="2">
        <f t="shared" si="69"/>
        <v>0</v>
      </c>
      <c r="AD612" s="2">
        <f t="shared" si="67"/>
        <v>8</v>
      </c>
      <c r="AE612" s="2">
        <f t="shared" ca="1" si="68"/>
        <v>-44986.676271643519</v>
      </c>
      <c r="AF612" s="15"/>
    </row>
    <row r="613" spans="16:32">
      <c r="P613" s="12"/>
      <c r="U613" s="12"/>
      <c r="X613" s="13">
        <f t="shared" si="63"/>
        <v>0</v>
      </c>
      <c r="Y613" s="2">
        <f t="shared" ca="1" si="64"/>
        <v>32133</v>
      </c>
      <c r="Z613" s="14">
        <v>1</v>
      </c>
      <c r="AA613" s="1" t="str">
        <f t="shared" ca="1" si="65"/>
        <v>VENCIDO</v>
      </c>
      <c r="AB613" s="1" t="str">
        <f t="shared" si="66"/>
        <v>TAAe+</v>
      </c>
      <c r="AC613" s="2">
        <f t="shared" si="69"/>
        <v>0</v>
      </c>
      <c r="AD613" s="2">
        <f t="shared" si="67"/>
        <v>8</v>
      </c>
      <c r="AE613" s="2">
        <f t="shared" ca="1" si="68"/>
        <v>-44986.676271643519</v>
      </c>
      <c r="AF613" s="15"/>
    </row>
    <row r="614" spans="16:32">
      <c r="P614" s="12"/>
      <c r="U614" s="12"/>
      <c r="X614" s="13">
        <f t="shared" si="63"/>
        <v>0</v>
      </c>
      <c r="Y614" s="2">
        <f t="shared" ca="1" si="64"/>
        <v>32133</v>
      </c>
      <c r="Z614" s="14">
        <v>1</v>
      </c>
      <c r="AA614" s="1" t="str">
        <f t="shared" ca="1" si="65"/>
        <v>VENCIDO</v>
      </c>
      <c r="AB614" s="1" t="str">
        <f t="shared" si="66"/>
        <v>TAAe+</v>
      </c>
      <c r="AC614" s="2">
        <f t="shared" si="69"/>
        <v>0</v>
      </c>
      <c r="AD614" s="2">
        <f t="shared" si="67"/>
        <v>8</v>
      </c>
      <c r="AE614" s="2">
        <f t="shared" ca="1" si="68"/>
        <v>-44986.676271643519</v>
      </c>
      <c r="AF614" s="15"/>
    </row>
    <row r="615" spans="16:32">
      <c r="P615" s="12"/>
      <c r="U615" s="12"/>
      <c r="X615" s="13">
        <f t="shared" si="63"/>
        <v>0</v>
      </c>
      <c r="Y615" s="2">
        <f t="shared" ca="1" si="64"/>
        <v>32133</v>
      </c>
      <c r="Z615" s="14">
        <v>1</v>
      </c>
      <c r="AA615" s="1" t="str">
        <f t="shared" ca="1" si="65"/>
        <v>VENCIDO</v>
      </c>
      <c r="AB615" s="1" t="str">
        <f t="shared" si="66"/>
        <v>TAAe+</v>
      </c>
      <c r="AC615" s="2">
        <f t="shared" si="69"/>
        <v>0</v>
      </c>
      <c r="AD615" s="2">
        <f t="shared" si="67"/>
        <v>8</v>
      </c>
      <c r="AE615" s="2">
        <f t="shared" ca="1" si="68"/>
        <v>-44986.676271643519</v>
      </c>
      <c r="AF615" s="15"/>
    </row>
    <row r="616" spans="16:32">
      <c r="P616" s="12"/>
      <c r="U616" s="12"/>
      <c r="X616" s="13">
        <f t="shared" si="63"/>
        <v>0</v>
      </c>
      <c r="Y616" s="2">
        <f t="shared" ca="1" si="64"/>
        <v>32133</v>
      </c>
      <c r="Z616" s="14">
        <v>1</v>
      </c>
      <c r="AA616" s="1" t="str">
        <f t="shared" ca="1" si="65"/>
        <v>VENCIDO</v>
      </c>
      <c r="AB616" s="1" t="str">
        <f t="shared" si="66"/>
        <v>TAAe+</v>
      </c>
      <c r="AC616" s="2">
        <f t="shared" si="69"/>
        <v>0</v>
      </c>
      <c r="AD616" s="2">
        <f t="shared" si="67"/>
        <v>8</v>
      </c>
      <c r="AE616" s="2">
        <f t="shared" ca="1" si="68"/>
        <v>-44986.676271643519</v>
      </c>
      <c r="AF616" s="15"/>
    </row>
    <row r="617" spans="16:32">
      <c r="P617" s="12"/>
      <c r="U617" s="12"/>
      <c r="X617" s="13">
        <f t="shared" si="63"/>
        <v>0</v>
      </c>
      <c r="Y617" s="2">
        <f t="shared" ca="1" si="64"/>
        <v>32133</v>
      </c>
      <c r="Z617" s="14">
        <v>1</v>
      </c>
      <c r="AA617" s="1" t="str">
        <f t="shared" ca="1" si="65"/>
        <v>VENCIDO</v>
      </c>
      <c r="AB617" s="1" t="str">
        <f t="shared" si="66"/>
        <v>TAAe+</v>
      </c>
      <c r="AC617" s="2">
        <f t="shared" si="69"/>
        <v>0</v>
      </c>
      <c r="AD617" s="2">
        <f t="shared" si="67"/>
        <v>8</v>
      </c>
      <c r="AE617" s="2">
        <f t="shared" ca="1" si="68"/>
        <v>-44986.676271643519</v>
      </c>
      <c r="AF617" s="15"/>
    </row>
    <row r="618" spans="16:32">
      <c r="P618" s="12"/>
      <c r="U618" s="12"/>
      <c r="X618" s="13">
        <f t="shared" si="63"/>
        <v>0</v>
      </c>
      <c r="Y618" s="2">
        <f t="shared" ca="1" si="64"/>
        <v>32133</v>
      </c>
      <c r="Z618" s="14">
        <v>1</v>
      </c>
      <c r="AA618" s="1" t="str">
        <f t="shared" ca="1" si="65"/>
        <v>VENCIDO</v>
      </c>
      <c r="AB618" s="1" t="str">
        <f t="shared" si="66"/>
        <v>TAAe+</v>
      </c>
      <c r="AC618" s="2">
        <f t="shared" si="69"/>
        <v>0</v>
      </c>
      <c r="AD618" s="2">
        <f t="shared" si="67"/>
        <v>8</v>
      </c>
      <c r="AE618" s="2">
        <f t="shared" ca="1" si="68"/>
        <v>-44986.676271643519</v>
      </c>
      <c r="AF618" s="15"/>
    </row>
    <row r="619" spans="16:32">
      <c r="P619" s="12"/>
      <c r="U619" s="12"/>
      <c r="X619" s="13">
        <f t="shared" si="63"/>
        <v>0</v>
      </c>
      <c r="Y619" s="2">
        <f t="shared" ca="1" si="64"/>
        <v>32133</v>
      </c>
      <c r="Z619" s="14">
        <v>1</v>
      </c>
      <c r="AA619" s="1" t="str">
        <f t="shared" ca="1" si="65"/>
        <v>VENCIDO</v>
      </c>
      <c r="AB619" s="1" t="str">
        <f t="shared" si="66"/>
        <v>TAAe+</v>
      </c>
      <c r="AC619" s="2">
        <f t="shared" si="69"/>
        <v>0</v>
      </c>
      <c r="AD619" s="2">
        <f t="shared" si="67"/>
        <v>8</v>
      </c>
      <c r="AE619" s="2">
        <f t="shared" ca="1" si="68"/>
        <v>-44986.676271643519</v>
      </c>
      <c r="AF619" s="15"/>
    </row>
    <row r="620" spans="16:32">
      <c r="P620" s="12"/>
      <c r="U620" s="12"/>
      <c r="X620" s="13">
        <f t="shared" si="63"/>
        <v>0</v>
      </c>
      <c r="Y620" s="2">
        <f t="shared" ca="1" si="64"/>
        <v>32133</v>
      </c>
      <c r="Z620" s="14">
        <v>1</v>
      </c>
      <c r="AA620" s="1" t="str">
        <f t="shared" ca="1" si="65"/>
        <v>VENCIDO</v>
      </c>
      <c r="AB620" s="1" t="str">
        <f t="shared" si="66"/>
        <v>TAAe+</v>
      </c>
      <c r="AC620" s="2">
        <f t="shared" si="69"/>
        <v>0</v>
      </c>
      <c r="AD620" s="2">
        <f t="shared" si="67"/>
        <v>8</v>
      </c>
      <c r="AE620" s="2">
        <f t="shared" ca="1" si="68"/>
        <v>-44986.676271643519</v>
      </c>
      <c r="AF620" s="15"/>
    </row>
    <row r="621" spans="16:32">
      <c r="P621" s="12"/>
      <c r="U621" s="12"/>
      <c r="X621" s="13">
        <f t="shared" si="63"/>
        <v>0</v>
      </c>
      <c r="Y621" s="2">
        <f t="shared" ca="1" si="64"/>
        <v>32133</v>
      </c>
      <c r="Z621" s="14">
        <v>1</v>
      </c>
      <c r="AA621" s="1" t="str">
        <f t="shared" ca="1" si="65"/>
        <v>VENCIDO</v>
      </c>
      <c r="AB621" s="1" t="str">
        <f t="shared" si="66"/>
        <v>TAAe+</v>
      </c>
      <c r="AC621" s="2">
        <f t="shared" si="69"/>
        <v>0</v>
      </c>
      <c r="AD621" s="2">
        <f t="shared" si="67"/>
        <v>8</v>
      </c>
      <c r="AE621" s="2">
        <f t="shared" ca="1" si="68"/>
        <v>-44986.676271643519</v>
      </c>
      <c r="AF621" s="15"/>
    </row>
    <row r="622" spans="16:32">
      <c r="P622" s="12"/>
      <c r="U622" s="12"/>
      <c r="X622" s="13">
        <f t="shared" si="63"/>
        <v>0</v>
      </c>
      <c r="Y622" s="2">
        <f t="shared" ca="1" si="64"/>
        <v>32133</v>
      </c>
      <c r="Z622" s="14">
        <v>1</v>
      </c>
      <c r="AA622" s="1" t="str">
        <f t="shared" ca="1" si="65"/>
        <v>VENCIDO</v>
      </c>
      <c r="AB622" s="1" t="str">
        <f t="shared" si="66"/>
        <v>TAAe+</v>
      </c>
      <c r="AC622" s="2">
        <f t="shared" si="69"/>
        <v>0</v>
      </c>
      <c r="AD622" s="2">
        <f t="shared" si="67"/>
        <v>8</v>
      </c>
      <c r="AE622" s="2">
        <f t="shared" ca="1" si="68"/>
        <v>-44986.676271643519</v>
      </c>
      <c r="AF622" s="15"/>
    </row>
    <row r="623" spans="16:32">
      <c r="P623" s="12"/>
      <c r="U623" s="12"/>
      <c r="X623" s="13">
        <f t="shared" si="63"/>
        <v>0</v>
      </c>
      <c r="Y623" s="2">
        <f t="shared" ca="1" si="64"/>
        <v>32133</v>
      </c>
      <c r="Z623" s="14">
        <v>1</v>
      </c>
      <c r="AA623" s="1" t="str">
        <f t="shared" ca="1" si="65"/>
        <v>VENCIDO</v>
      </c>
      <c r="AB623" s="1" t="str">
        <f t="shared" si="66"/>
        <v>TAAe+</v>
      </c>
      <c r="AC623" s="2">
        <f t="shared" si="69"/>
        <v>0</v>
      </c>
      <c r="AD623" s="2">
        <f t="shared" si="67"/>
        <v>8</v>
      </c>
      <c r="AE623" s="2">
        <f t="shared" ca="1" si="68"/>
        <v>-44986.676271643519</v>
      </c>
      <c r="AF623" s="15"/>
    </row>
    <row r="624" spans="16:32">
      <c r="P624" s="12"/>
      <c r="U624" s="12"/>
      <c r="X624" s="13">
        <f t="shared" si="63"/>
        <v>0</v>
      </c>
      <c r="Y624" s="2">
        <f t="shared" ca="1" si="64"/>
        <v>32133</v>
      </c>
      <c r="Z624" s="14">
        <v>1</v>
      </c>
      <c r="AA624" s="1" t="str">
        <f t="shared" ca="1" si="65"/>
        <v>VENCIDO</v>
      </c>
      <c r="AB624" s="1" t="str">
        <f t="shared" si="66"/>
        <v>TAAe+</v>
      </c>
      <c r="AC624" s="2">
        <f t="shared" si="69"/>
        <v>0</v>
      </c>
      <c r="AD624" s="2">
        <f t="shared" si="67"/>
        <v>8</v>
      </c>
      <c r="AE624" s="2">
        <f t="shared" ca="1" si="68"/>
        <v>-44986.676271643519</v>
      </c>
      <c r="AF624" s="15"/>
    </row>
    <row r="625" spans="16:32">
      <c r="P625" s="12"/>
      <c r="U625" s="12"/>
      <c r="X625" s="13">
        <f t="shared" si="63"/>
        <v>0</v>
      </c>
      <c r="Y625" s="2">
        <f t="shared" ca="1" si="64"/>
        <v>32133</v>
      </c>
      <c r="Z625" s="14">
        <v>1</v>
      </c>
      <c r="AA625" s="1" t="str">
        <f t="shared" ca="1" si="65"/>
        <v>VENCIDO</v>
      </c>
      <c r="AB625" s="1" t="str">
        <f t="shared" si="66"/>
        <v>TAAe+</v>
      </c>
      <c r="AC625" s="2">
        <f t="shared" si="69"/>
        <v>0</v>
      </c>
      <c r="AD625" s="2">
        <f t="shared" si="67"/>
        <v>8</v>
      </c>
      <c r="AE625" s="2">
        <f t="shared" ca="1" si="68"/>
        <v>-44986.676271643519</v>
      </c>
      <c r="AF625" s="15"/>
    </row>
    <row r="626" spans="16:32">
      <c r="P626" s="12"/>
      <c r="U626" s="12"/>
      <c r="X626" s="13">
        <f t="shared" si="63"/>
        <v>0</v>
      </c>
      <c r="Y626" s="2">
        <f t="shared" ca="1" si="64"/>
        <v>32133</v>
      </c>
      <c r="Z626" s="14">
        <v>1</v>
      </c>
      <c r="AA626" s="1" t="str">
        <f t="shared" ca="1" si="65"/>
        <v>VENCIDO</v>
      </c>
      <c r="AB626" s="1" t="str">
        <f t="shared" si="66"/>
        <v>TAAe+</v>
      </c>
      <c r="AC626" s="2">
        <f t="shared" si="69"/>
        <v>0</v>
      </c>
      <c r="AD626" s="2">
        <f t="shared" si="67"/>
        <v>8</v>
      </c>
      <c r="AE626" s="2">
        <f t="shared" ca="1" si="68"/>
        <v>-44986.676271643519</v>
      </c>
      <c r="AF626" s="15"/>
    </row>
    <row r="627" spans="16:32">
      <c r="P627" s="12"/>
      <c r="U627" s="12"/>
      <c r="X627" s="13">
        <f t="shared" si="63"/>
        <v>0</v>
      </c>
      <c r="Y627" s="2">
        <f t="shared" ca="1" si="64"/>
        <v>32133</v>
      </c>
      <c r="Z627" s="14">
        <v>1</v>
      </c>
      <c r="AA627" s="1" t="str">
        <f t="shared" ca="1" si="65"/>
        <v>VENCIDO</v>
      </c>
      <c r="AB627" s="1" t="str">
        <f t="shared" si="66"/>
        <v>TAAe+</v>
      </c>
      <c r="AC627" s="2">
        <f t="shared" si="69"/>
        <v>0</v>
      </c>
      <c r="AD627" s="2">
        <f t="shared" si="67"/>
        <v>8</v>
      </c>
      <c r="AE627" s="2">
        <f t="shared" ca="1" si="68"/>
        <v>-44986.676271643519</v>
      </c>
      <c r="AF627" s="15"/>
    </row>
    <row r="628" spans="16:32">
      <c r="P628" s="12"/>
      <c r="U628" s="12"/>
      <c r="X628" s="13">
        <f t="shared" si="63"/>
        <v>0</v>
      </c>
      <c r="Y628" s="2">
        <f t="shared" ca="1" si="64"/>
        <v>32133</v>
      </c>
      <c r="Z628" s="14">
        <v>1</v>
      </c>
      <c r="AA628" s="1" t="str">
        <f t="shared" ca="1" si="65"/>
        <v>VENCIDO</v>
      </c>
      <c r="AB628" s="1" t="str">
        <f t="shared" si="66"/>
        <v>TAAe+</v>
      </c>
      <c r="AC628" s="2">
        <f t="shared" si="69"/>
        <v>0</v>
      </c>
      <c r="AD628" s="2">
        <f t="shared" si="67"/>
        <v>8</v>
      </c>
      <c r="AE628" s="2">
        <f t="shared" ca="1" si="68"/>
        <v>-44986.676271643519</v>
      </c>
      <c r="AF628" s="15"/>
    </row>
    <row r="629" spans="16:32">
      <c r="P629" s="12"/>
      <c r="U629" s="12"/>
      <c r="X629" s="13">
        <f t="shared" si="63"/>
        <v>0</v>
      </c>
      <c r="Y629" s="2">
        <f t="shared" ca="1" si="64"/>
        <v>32133</v>
      </c>
      <c r="Z629" s="14">
        <v>1</v>
      </c>
      <c r="AA629" s="1" t="str">
        <f t="shared" ca="1" si="65"/>
        <v>VENCIDO</v>
      </c>
      <c r="AB629" s="1" t="str">
        <f t="shared" si="66"/>
        <v>TAAe+</v>
      </c>
      <c r="AC629" s="2">
        <f t="shared" si="69"/>
        <v>0</v>
      </c>
      <c r="AD629" s="2">
        <f t="shared" si="67"/>
        <v>8</v>
      </c>
      <c r="AE629" s="2">
        <f t="shared" ca="1" si="68"/>
        <v>-44986.676271643519</v>
      </c>
      <c r="AF629" s="15"/>
    </row>
    <row r="630" spans="16:32">
      <c r="P630" s="12"/>
      <c r="U630" s="12"/>
      <c r="X630" s="13">
        <f t="shared" si="63"/>
        <v>0</v>
      </c>
      <c r="Y630" s="2">
        <f t="shared" ca="1" si="64"/>
        <v>32133</v>
      </c>
      <c r="Z630" s="14">
        <v>1</v>
      </c>
      <c r="AA630" s="1" t="str">
        <f t="shared" ca="1" si="65"/>
        <v>VENCIDO</v>
      </c>
      <c r="AB630" s="1" t="str">
        <f t="shared" si="66"/>
        <v>TAAe+</v>
      </c>
      <c r="AC630" s="2">
        <f t="shared" si="69"/>
        <v>0</v>
      </c>
      <c r="AD630" s="2">
        <f t="shared" si="67"/>
        <v>8</v>
      </c>
      <c r="AE630" s="2">
        <f t="shared" ca="1" si="68"/>
        <v>-44986.676271643519</v>
      </c>
      <c r="AF630" s="15"/>
    </row>
    <row r="631" spans="16:32">
      <c r="P631" s="12"/>
      <c r="U631" s="12"/>
      <c r="X631" s="13">
        <f t="shared" si="63"/>
        <v>0</v>
      </c>
      <c r="Y631" s="2">
        <f t="shared" ca="1" si="64"/>
        <v>32133</v>
      </c>
      <c r="Z631" s="14">
        <v>1</v>
      </c>
      <c r="AA631" s="1" t="str">
        <f t="shared" ca="1" si="65"/>
        <v>VENCIDO</v>
      </c>
      <c r="AB631" s="1" t="str">
        <f t="shared" si="66"/>
        <v>TAAe+</v>
      </c>
      <c r="AC631" s="2">
        <f t="shared" si="69"/>
        <v>0</v>
      </c>
      <c r="AD631" s="2">
        <f t="shared" si="67"/>
        <v>8</v>
      </c>
      <c r="AE631" s="2">
        <f t="shared" ca="1" si="68"/>
        <v>-44986.676271643519</v>
      </c>
      <c r="AF631" s="15"/>
    </row>
    <row r="632" spans="16:32">
      <c r="P632" s="12"/>
      <c r="U632" s="12"/>
      <c r="X632" s="13">
        <f t="shared" si="63"/>
        <v>0</v>
      </c>
      <c r="Y632" s="2">
        <f t="shared" ca="1" si="64"/>
        <v>32133</v>
      </c>
      <c r="Z632" s="14">
        <v>1</v>
      </c>
      <c r="AA632" s="1" t="str">
        <f t="shared" ca="1" si="65"/>
        <v>VENCIDO</v>
      </c>
      <c r="AB632" s="1" t="str">
        <f t="shared" si="66"/>
        <v>TAAe+</v>
      </c>
      <c r="AC632" s="2">
        <f t="shared" si="69"/>
        <v>0</v>
      </c>
      <c r="AD632" s="2">
        <f t="shared" si="67"/>
        <v>8</v>
      </c>
      <c r="AE632" s="2">
        <f t="shared" ca="1" si="68"/>
        <v>-44986.676271643519</v>
      </c>
      <c r="AF632" s="15"/>
    </row>
    <row r="633" spans="16:32">
      <c r="P633" s="12"/>
      <c r="U633" s="12"/>
      <c r="X633" s="13">
        <f t="shared" si="63"/>
        <v>0</v>
      </c>
      <c r="Y633" s="2">
        <f t="shared" ca="1" si="64"/>
        <v>32133</v>
      </c>
      <c r="Z633" s="14">
        <v>1</v>
      </c>
      <c r="AA633" s="1" t="str">
        <f t="shared" ca="1" si="65"/>
        <v>VENCIDO</v>
      </c>
      <c r="AB633" s="1" t="str">
        <f t="shared" si="66"/>
        <v>TAAe+</v>
      </c>
      <c r="AC633" s="2">
        <f t="shared" si="69"/>
        <v>0</v>
      </c>
      <c r="AD633" s="2">
        <f t="shared" si="67"/>
        <v>8</v>
      </c>
      <c r="AE633" s="2">
        <f t="shared" ca="1" si="68"/>
        <v>-44986.676271643519</v>
      </c>
      <c r="AF633" s="15"/>
    </row>
    <row r="634" spans="16:32">
      <c r="P634" s="12"/>
      <c r="U634" s="12"/>
      <c r="X634" s="13">
        <f t="shared" si="63"/>
        <v>0</v>
      </c>
      <c r="Y634" s="2">
        <f t="shared" ca="1" si="64"/>
        <v>32133</v>
      </c>
      <c r="Z634" s="14">
        <v>1</v>
      </c>
      <c r="AA634" s="1" t="str">
        <f t="shared" ca="1" si="65"/>
        <v>VENCIDO</v>
      </c>
      <c r="AB634" s="1" t="str">
        <f t="shared" si="66"/>
        <v>TAAe+</v>
      </c>
      <c r="AC634" s="2">
        <f t="shared" si="69"/>
        <v>0</v>
      </c>
      <c r="AD634" s="2">
        <f t="shared" si="67"/>
        <v>8</v>
      </c>
      <c r="AE634" s="2">
        <f t="shared" ca="1" si="68"/>
        <v>-44986.676271643519</v>
      </c>
      <c r="AF634" s="15"/>
    </row>
    <row r="635" spans="16:32">
      <c r="P635" s="12"/>
      <c r="U635" s="12"/>
      <c r="X635" s="13">
        <f t="shared" si="63"/>
        <v>0</v>
      </c>
      <c r="Y635" s="2">
        <f t="shared" ca="1" si="64"/>
        <v>32133</v>
      </c>
      <c r="Z635" s="14">
        <v>1</v>
      </c>
      <c r="AA635" s="1" t="str">
        <f t="shared" ca="1" si="65"/>
        <v>VENCIDO</v>
      </c>
      <c r="AB635" s="1" t="str">
        <f t="shared" si="66"/>
        <v>TAAe+</v>
      </c>
      <c r="AC635" s="2">
        <f t="shared" si="69"/>
        <v>0</v>
      </c>
      <c r="AD635" s="2">
        <f t="shared" si="67"/>
        <v>8</v>
      </c>
      <c r="AE635" s="2">
        <f t="shared" ca="1" si="68"/>
        <v>-44986.676271643519</v>
      </c>
      <c r="AF635" s="15"/>
    </row>
    <row r="636" spans="16:32">
      <c r="P636" s="12"/>
      <c r="U636" s="12"/>
      <c r="X636" s="13">
        <f t="shared" si="63"/>
        <v>0</v>
      </c>
      <c r="Y636" s="2">
        <f t="shared" ca="1" si="64"/>
        <v>32133</v>
      </c>
      <c r="Z636" s="14">
        <v>1</v>
      </c>
      <c r="AA636" s="1" t="str">
        <f t="shared" ca="1" si="65"/>
        <v>VENCIDO</v>
      </c>
      <c r="AB636" s="1" t="str">
        <f t="shared" si="66"/>
        <v>TAAe+</v>
      </c>
      <c r="AC636" s="2">
        <f t="shared" si="69"/>
        <v>0</v>
      </c>
      <c r="AD636" s="2">
        <f t="shared" si="67"/>
        <v>8</v>
      </c>
      <c r="AE636" s="2">
        <f t="shared" ca="1" si="68"/>
        <v>-44986.676271643519</v>
      </c>
      <c r="AF636" s="15"/>
    </row>
    <row r="637" spans="16:32">
      <c r="P637" s="12"/>
      <c r="U637" s="12"/>
      <c r="X637" s="13">
        <f t="shared" si="63"/>
        <v>0</v>
      </c>
      <c r="Y637" s="2">
        <f t="shared" ca="1" si="64"/>
        <v>32133</v>
      </c>
      <c r="Z637" s="14">
        <v>1</v>
      </c>
      <c r="AA637" s="1" t="str">
        <f t="shared" ca="1" si="65"/>
        <v>VENCIDO</v>
      </c>
      <c r="AB637" s="1" t="str">
        <f t="shared" si="66"/>
        <v>TAAe+</v>
      </c>
      <c r="AC637" s="2">
        <f t="shared" si="69"/>
        <v>0</v>
      </c>
      <c r="AD637" s="2">
        <f t="shared" si="67"/>
        <v>8</v>
      </c>
      <c r="AE637" s="2">
        <f t="shared" ca="1" si="68"/>
        <v>-44986.676271643519</v>
      </c>
      <c r="AF637" s="15"/>
    </row>
    <row r="638" spans="16:32">
      <c r="P638" s="12"/>
      <c r="U638" s="12"/>
      <c r="X638" s="13">
        <f t="shared" si="63"/>
        <v>0</v>
      </c>
      <c r="Y638" s="2">
        <f t="shared" ca="1" si="64"/>
        <v>32133</v>
      </c>
      <c r="Z638" s="14">
        <v>1</v>
      </c>
      <c r="AA638" s="1" t="str">
        <f t="shared" ca="1" si="65"/>
        <v>VENCIDO</v>
      </c>
      <c r="AB638" s="1" t="str">
        <f t="shared" si="66"/>
        <v>TAAe+</v>
      </c>
      <c r="AC638" s="2">
        <f t="shared" si="69"/>
        <v>0</v>
      </c>
      <c r="AD638" s="2">
        <f t="shared" si="67"/>
        <v>8</v>
      </c>
      <c r="AE638" s="2">
        <f t="shared" ca="1" si="68"/>
        <v>-44986.676271643519</v>
      </c>
      <c r="AF638" s="15"/>
    </row>
    <row r="639" spans="16:32">
      <c r="P639" s="12"/>
      <c r="U639" s="12"/>
      <c r="X639" s="13">
        <f t="shared" si="63"/>
        <v>0</v>
      </c>
      <c r="Y639" s="2">
        <f t="shared" ca="1" si="64"/>
        <v>32133</v>
      </c>
      <c r="Z639" s="14">
        <v>1</v>
      </c>
      <c r="AA639" s="1" t="str">
        <f t="shared" ca="1" si="65"/>
        <v>VENCIDO</v>
      </c>
      <c r="AB639" s="1" t="str">
        <f t="shared" si="66"/>
        <v>TAAe+</v>
      </c>
      <c r="AC639" s="2">
        <f t="shared" si="69"/>
        <v>0</v>
      </c>
      <c r="AD639" s="2">
        <f t="shared" si="67"/>
        <v>8</v>
      </c>
      <c r="AE639" s="2">
        <f t="shared" ca="1" si="68"/>
        <v>-44986.676271643519</v>
      </c>
      <c r="AF639" s="15"/>
    </row>
    <row r="640" spans="16:32">
      <c r="P640" s="12"/>
      <c r="U640" s="12"/>
      <c r="X640" s="13">
        <f t="shared" si="63"/>
        <v>0</v>
      </c>
      <c r="Y640" s="2">
        <f t="shared" ca="1" si="64"/>
        <v>32133</v>
      </c>
      <c r="Z640" s="14">
        <v>1</v>
      </c>
      <c r="AA640" s="1" t="str">
        <f t="shared" ca="1" si="65"/>
        <v>VENCIDO</v>
      </c>
      <c r="AB640" s="1" t="str">
        <f t="shared" si="66"/>
        <v>TAAe+</v>
      </c>
      <c r="AC640" s="2">
        <f t="shared" si="69"/>
        <v>0</v>
      </c>
      <c r="AD640" s="2">
        <f t="shared" si="67"/>
        <v>8</v>
      </c>
      <c r="AE640" s="2">
        <f t="shared" ca="1" si="68"/>
        <v>-44986.676271643519</v>
      </c>
      <c r="AF640" s="15"/>
    </row>
    <row r="641" spans="16:32">
      <c r="P641" s="12"/>
      <c r="U641" s="12"/>
      <c r="X641" s="13">
        <f t="shared" si="63"/>
        <v>0</v>
      </c>
      <c r="Y641" s="2">
        <f t="shared" ca="1" si="64"/>
        <v>32133</v>
      </c>
      <c r="Z641" s="14">
        <v>1</v>
      </c>
      <c r="AA641" s="1" t="str">
        <f t="shared" ca="1" si="65"/>
        <v>VENCIDO</v>
      </c>
      <c r="AB641" s="1" t="str">
        <f t="shared" si="66"/>
        <v>TAAe+</v>
      </c>
      <c r="AC641" s="2">
        <f t="shared" si="69"/>
        <v>0</v>
      </c>
      <c r="AD641" s="2">
        <f t="shared" si="67"/>
        <v>8</v>
      </c>
      <c r="AE641" s="2">
        <f t="shared" ca="1" si="68"/>
        <v>-44986.676271643519</v>
      </c>
      <c r="AF641" s="15"/>
    </row>
    <row r="642" spans="16:32">
      <c r="P642" s="12"/>
      <c r="U642" s="12"/>
      <c r="X642" s="13">
        <f t="shared" ref="X642:X699" si="70">IF(RIGHT(H642,2)&lt;&gt;"00",H642,"")</f>
        <v>0</v>
      </c>
      <c r="Y642" s="2">
        <f t="shared" ref="Y642:Y699" ca="1" si="71">NETWORKDAYS(P642,$Y$1)</f>
        <v>32133</v>
      </c>
      <c r="Z642" s="14">
        <v>1</v>
      </c>
      <c r="AA642" s="1" t="str">
        <f t="shared" ref="AA642:AA699" ca="1" si="72">IF(AE642=0,"HOJE",IF(AE642&gt;0,"A VENCER",IF(AE642&lt;0,"VENCIDO")))</f>
        <v>VENCIDO</v>
      </c>
      <c r="AB642" s="1" t="str">
        <f t="shared" ref="AB642:AB699" si="73">IF(F642="GRPE-000001","C-14",IF(F642="GRPE-000002","C-14",IF(F642="GRPE-000003","C-14",IF(F642="GRPE-000004","SL-On",IF(F642="GRPE-000038","C-14",IF(F642="GRPE-900022","Dosa",IF(F642="GRPE-000029","Dosa",IF(F642="ATOS-000222","Dose","TAAe+"))))))))</f>
        <v>TAAe+</v>
      </c>
      <c r="AC642" s="2">
        <f t="shared" si="69"/>
        <v>0</v>
      </c>
      <c r="AD642" s="2">
        <f t="shared" ref="AD642:AD699" si="74">IF(F642="GRPE-000001",5,IF(F642="GRPE-000002",5,IF(F642="GRPE-000003",15,IF(F642="GRPE-000004",1,IF(F642="GRPE-000038",5,IF(F642="GRPE-900022",5,IF(F642="GRPE-000029",5,IF(F642="ATOS-000222",5,8))))))))</f>
        <v>8</v>
      </c>
      <c r="AE642" s="2">
        <f t="shared" ref="AE642:AE699" ca="1" si="75">IF(U642=$AE$1,"",U642-$AE$1)</f>
        <v>-44986.676271643519</v>
      </c>
      <c r="AF642" s="15"/>
    </row>
    <row r="643" spans="16:32">
      <c r="P643" s="12"/>
      <c r="U643" s="12"/>
      <c r="X643" s="13">
        <f t="shared" si="70"/>
        <v>0</v>
      </c>
      <c r="Y643" s="2">
        <f t="shared" ca="1" si="71"/>
        <v>32133</v>
      </c>
      <c r="Z643" s="14">
        <v>1</v>
      </c>
      <c r="AA643" s="1" t="str">
        <f t="shared" ca="1" si="72"/>
        <v>VENCIDO</v>
      </c>
      <c r="AB643" s="1" t="str">
        <f t="shared" si="73"/>
        <v>TAAe+</v>
      </c>
      <c r="AC643" s="2">
        <f t="shared" ref="AC643:AC699" si="76">IF(J643="TR-PETROLINA"," ROSEMERE ",IF(J643="TR-GARANHUNS"," ROSEMERE ",IF(J643="TR-CARUARU"," ROSEMERE ",IF(J643="TR-RIBEIRAO"," CRISTINA ",IF(J643="TR-GRAVATA"," CRISTINA ",IF(J643="TR-GOIANA"," CRISTINA ",IF(J643="TR-LIMOEIRO"," CRISTINA ",IF(J643="TR-SERRA TALHADA"," RINALDO ",IF(J643="TR-SALGUEIRO"," RINALDO ",IF(J643="TR-CARNAIBA"," RINALDO ",IF(J643="TR-ARCOVERDE"," RINALDO ",IF(J643="CAT-RECIFE"," CLEITON ",))))))))))))</f>
        <v>0</v>
      </c>
      <c r="AD643" s="2">
        <f t="shared" si="74"/>
        <v>8</v>
      </c>
      <c r="AE643" s="2">
        <f t="shared" ca="1" si="75"/>
        <v>-44986.676271643519</v>
      </c>
      <c r="AF643" s="15"/>
    </row>
    <row r="644" spans="16:32">
      <c r="P644" s="12"/>
      <c r="U644" s="12"/>
      <c r="X644" s="13">
        <f t="shared" si="70"/>
        <v>0</v>
      </c>
      <c r="Y644" s="2">
        <f t="shared" ca="1" si="71"/>
        <v>32133</v>
      </c>
      <c r="Z644" s="14">
        <v>1</v>
      </c>
      <c r="AA644" s="1" t="str">
        <f t="shared" ca="1" si="72"/>
        <v>VENCIDO</v>
      </c>
      <c r="AB644" s="1" t="str">
        <f t="shared" si="73"/>
        <v>TAAe+</v>
      </c>
      <c r="AC644" s="2">
        <f t="shared" si="76"/>
        <v>0</v>
      </c>
      <c r="AD644" s="2">
        <f t="shared" si="74"/>
        <v>8</v>
      </c>
      <c r="AE644" s="2">
        <f t="shared" ca="1" si="75"/>
        <v>-44986.676271643519</v>
      </c>
      <c r="AF644" s="15"/>
    </row>
    <row r="645" spans="16:32">
      <c r="P645" s="12"/>
      <c r="U645" s="12"/>
      <c r="X645" s="13">
        <f t="shared" si="70"/>
        <v>0</v>
      </c>
      <c r="Y645" s="2">
        <f t="shared" ca="1" si="71"/>
        <v>32133</v>
      </c>
      <c r="Z645" s="14">
        <v>1</v>
      </c>
      <c r="AA645" s="1" t="str">
        <f t="shared" ca="1" si="72"/>
        <v>VENCIDO</v>
      </c>
      <c r="AB645" s="1" t="str">
        <f t="shared" si="73"/>
        <v>TAAe+</v>
      </c>
      <c r="AC645" s="2">
        <f t="shared" si="76"/>
        <v>0</v>
      </c>
      <c r="AD645" s="2">
        <f t="shared" si="74"/>
        <v>8</v>
      </c>
      <c r="AE645" s="2">
        <f t="shared" ca="1" si="75"/>
        <v>-44986.676271643519</v>
      </c>
      <c r="AF645" s="15"/>
    </row>
    <row r="646" spans="16:32">
      <c r="P646" s="12"/>
      <c r="U646" s="12"/>
      <c r="X646" s="13">
        <f t="shared" si="70"/>
        <v>0</v>
      </c>
      <c r="Y646" s="2">
        <f t="shared" ca="1" si="71"/>
        <v>32133</v>
      </c>
      <c r="Z646" s="14">
        <v>1</v>
      </c>
      <c r="AA646" s="1" t="str">
        <f t="shared" ca="1" si="72"/>
        <v>VENCIDO</v>
      </c>
      <c r="AB646" s="1" t="str">
        <f t="shared" si="73"/>
        <v>TAAe+</v>
      </c>
      <c r="AC646" s="2">
        <f t="shared" si="76"/>
        <v>0</v>
      </c>
      <c r="AD646" s="2">
        <f t="shared" si="74"/>
        <v>8</v>
      </c>
      <c r="AE646" s="2">
        <f t="shared" ca="1" si="75"/>
        <v>-44986.676271643519</v>
      </c>
      <c r="AF646" s="15"/>
    </row>
    <row r="647" spans="16:32">
      <c r="P647" s="12"/>
      <c r="U647" s="12"/>
      <c r="X647" s="13">
        <f t="shared" si="70"/>
        <v>0</v>
      </c>
      <c r="Y647" s="2">
        <f t="shared" ca="1" si="71"/>
        <v>32133</v>
      </c>
      <c r="Z647" s="14">
        <v>1</v>
      </c>
      <c r="AA647" s="1" t="str">
        <f t="shared" ca="1" si="72"/>
        <v>VENCIDO</v>
      </c>
      <c r="AB647" s="1" t="str">
        <f t="shared" si="73"/>
        <v>TAAe+</v>
      </c>
      <c r="AC647" s="2">
        <f t="shared" si="76"/>
        <v>0</v>
      </c>
      <c r="AD647" s="2">
        <f t="shared" si="74"/>
        <v>8</v>
      </c>
      <c r="AE647" s="2">
        <f t="shared" ca="1" si="75"/>
        <v>-44986.676271643519</v>
      </c>
      <c r="AF647" s="15"/>
    </row>
    <row r="648" spans="16:32">
      <c r="P648" s="12"/>
      <c r="U648" s="12"/>
      <c r="X648" s="13">
        <f t="shared" si="70"/>
        <v>0</v>
      </c>
      <c r="Y648" s="2">
        <f t="shared" ca="1" si="71"/>
        <v>32133</v>
      </c>
      <c r="Z648" s="14">
        <v>1</v>
      </c>
      <c r="AA648" s="1" t="str">
        <f t="shared" ca="1" si="72"/>
        <v>VENCIDO</v>
      </c>
      <c r="AB648" s="1" t="str">
        <f t="shared" si="73"/>
        <v>TAAe+</v>
      </c>
      <c r="AC648" s="2">
        <f t="shared" si="76"/>
        <v>0</v>
      </c>
      <c r="AD648" s="2">
        <f t="shared" si="74"/>
        <v>8</v>
      </c>
      <c r="AE648" s="2">
        <f t="shared" ca="1" si="75"/>
        <v>-44986.676271643519</v>
      </c>
      <c r="AF648" s="15"/>
    </row>
    <row r="649" spans="16:32">
      <c r="P649" s="12"/>
      <c r="U649" s="12"/>
      <c r="X649" s="13">
        <f t="shared" si="70"/>
        <v>0</v>
      </c>
      <c r="Y649" s="2">
        <f t="shared" ca="1" si="71"/>
        <v>32133</v>
      </c>
      <c r="Z649" s="14">
        <v>1</v>
      </c>
      <c r="AA649" s="1" t="str">
        <f t="shared" ca="1" si="72"/>
        <v>VENCIDO</v>
      </c>
      <c r="AB649" s="1" t="str">
        <f t="shared" si="73"/>
        <v>TAAe+</v>
      </c>
      <c r="AC649" s="2">
        <f t="shared" si="76"/>
        <v>0</v>
      </c>
      <c r="AD649" s="2">
        <f t="shared" si="74"/>
        <v>8</v>
      </c>
      <c r="AE649" s="2">
        <f t="shared" ca="1" si="75"/>
        <v>-44986.676271643519</v>
      </c>
      <c r="AF649" s="15"/>
    </row>
    <row r="650" spans="16:32">
      <c r="P650" s="12"/>
      <c r="U650" s="12"/>
      <c r="X650" s="13">
        <f t="shared" si="70"/>
        <v>0</v>
      </c>
      <c r="Y650" s="2">
        <f t="shared" ca="1" si="71"/>
        <v>32133</v>
      </c>
      <c r="Z650" s="14">
        <v>1</v>
      </c>
      <c r="AA650" s="1" t="str">
        <f t="shared" ca="1" si="72"/>
        <v>VENCIDO</v>
      </c>
      <c r="AB650" s="1" t="str">
        <f t="shared" si="73"/>
        <v>TAAe+</v>
      </c>
      <c r="AC650" s="2">
        <f t="shared" si="76"/>
        <v>0</v>
      </c>
      <c r="AD650" s="2">
        <f t="shared" si="74"/>
        <v>8</v>
      </c>
      <c r="AE650" s="2">
        <f t="shared" ca="1" si="75"/>
        <v>-44986.676271643519</v>
      </c>
      <c r="AF650" s="15"/>
    </row>
    <row r="651" spans="16:32">
      <c r="P651" s="12"/>
      <c r="U651" s="12"/>
      <c r="X651" s="13">
        <f t="shared" si="70"/>
        <v>0</v>
      </c>
      <c r="Y651" s="2">
        <f t="shared" ca="1" si="71"/>
        <v>32133</v>
      </c>
      <c r="Z651" s="14">
        <v>1</v>
      </c>
      <c r="AA651" s="1" t="str">
        <f t="shared" ca="1" si="72"/>
        <v>VENCIDO</v>
      </c>
      <c r="AB651" s="1" t="str">
        <f t="shared" si="73"/>
        <v>TAAe+</v>
      </c>
      <c r="AC651" s="2">
        <f t="shared" si="76"/>
        <v>0</v>
      </c>
      <c r="AD651" s="2">
        <f t="shared" si="74"/>
        <v>8</v>
      </c>
      <c r="AE651" s="2">
        <f t="shared" ca="1" si="75"/>
        <v>-44986.676271643519</v>
      </c>
      <c r="AF651" s="15"/>
    </row>
    <row r="652" spans="16:32">
      <c r="P652" s="12"/>
      <c r="U652" s="12"/>
      <c r="X652" s="13">
        <f t="shared" si="70"/>
        <v>0</v>
      </c>
      <c r="Y652" s="2">
        <f t="shared" ca="1" si="71"/>
        <v>32133</v>
      </c>
      <c r="Z652" s="14">
        <v>1</v>
      </c>
      <c r="AA652" s="1" t="str">
        <f t="shared" ca="1" si="72"/>
        <v>VENCIDO</v>
      </c>
      <c r="AB652" s="1" t="str">
        <f t="shared" si="73"/>
        <v>TAAe+</v>
      </c>
      <c r="AC652" s="2">
        <f t="shared" si="76"/>
        <v>0</v>
      </c>
      <c r="AD652" s="2">
        <f t="shared" si="74"/>
        <v>8</v>
      </c>
      <c r="AE652" s="2">
        <f t="shared" ca="1" si="75"/>
        <v>-44986.676271643519</v>
      </c>
      <c r="AF652" s="15"/>
    </row>
    <row r="653" spans="16:32">
      <c r="P653" s="12"/>
      <c r="U653" s="12"/>
      <c r="X653" s="13">
        <f t="shared" si="70"/>
        <v>0</v>
      </c>
      <c r="Y653" s="2">
        <f t="shared" ca="1" si="71"/>
        <v>32133</v>
      </c>
      <c r="Z653" s="14">
        <v>1</v>
      </c>
      <c r="AA653" s="1" t="str">
        <f t="shared" ca="1" si="72"/>
        <v>VENCIDO</v>
      </c>
      <c r="AB653" s="1" t="str">
        <f t="shared" si="73"/>
        <v>TAAe+</v>
      </c>
      <c r="AC653" s="2">
        <f t="shared" si="76"/>
        <v>0</v>
      </c>
      <c r="AD653" s="2">
        <f t="shared" si="74"/>
        <v>8</v>
      </c>
      <c r="AE653" s="2">
        <f t="shared" ca="1" si="75"/>
        <v>-44986.676271643519</v>
      </c>
      <c r="AF653" s="15"/>
    </row>
    <row r="654" spans="16:32">
      <c r="P654" s="12"/>
      <c r="U654" s="12"/>
      <c r="X654" s="13">
        <f t="shared" si="70"/>
        <v>0</v>
      </c>
      <c r="Y654" s="2">
        <f t="shared" ca="1" si="71"/>
        <v>32133</v>
      </c>
      <c r="Z654" s="14">
        <v>1</v>
      </c>
      <c r="AA654" s="1" t="str">
        <f t="shared" ca="1" si="72"/>
        <v>VENCIDO</v>
      </c>
      <c r="AB654" s="1" t="str">
        <f t="shared" si="73"/>
        <v>TAAe+</v>
      </c>
      <c r="AC654" s="2">
        <f t="shared" si="76"/>
        <v>0</v>
      </c>
      <c r="AD654" s="2">
        <f t="shared" si="74"/>
        <v>8</v>
      </c>
      <c r="AE654" s="2">
        <f t="shared" ca="1" si="75"/>
        <v>-44986.676271643519</v>
      </c>
      <c r="AF654" s="15"/>
    </row>
    <row r="655" spans="16:32">
      <c r="P655" s="12"/>
      <c r="U655" s="12"/>
      <c r="X655" s="13">
        <f t="shared" si="70"/>
        <v>0</v>
      </c>
      <c r="Y655" s="2">
        <f t="shared" ca="1" si="71"/>
        <v>32133</v>
      </c>
      <c r="Z655" s="14">
        <v>1</v>
      </c>
      <c r="AA655" s="1" t="str">
        <f t="shared" ca="1" si="72"/>
        <v>VENCIDO</v>
      </c>
      <c r="AB655" s="1" t="str">
        <f t="shared" si="73"/>
        <v>TAAe+</v>
      </c>
      <c r="AC655" s="2">
        <f t="shared" si="76"/>
        <v>0</v>
      </c>
      <c r="AD655" s="2">
        <f t="shared" si="74"/>
        <v>8</v>
      </c>
      <c r="AE655" s="2">
        <f t="shared" ca="1" si="75"/>
        <v>-44986.676271643519</v>
      </c>
      <c r="AF655" s="15"/>
    </row>
    <row r="656" spans="16:32">
      <c r="P656" s="12"/>
      <c r="U656" s="12"/>
      <c r="X656" s="13">
        <f t="shared" si="70"/>
        <v>0</v>
      </c>
      <c r="Y656" s="2">
        <f t="shared" ca="1" si="71"/>
        <v>32133</v>
      </c>
      <c r="Z656" s="14">
        <v>1</v>
      </c>
      <c r="AA656" s="1" t="str">
        <f t="shared" ca="1" si="72"/>
        <v>VENCIDO</v>
      </c>
      <c r="AB656" s="1" t="str">
        <f t="shared" si="73"/>
        <v>TAAe+</v>
      </c>
      <c r="AC656" s="2">
        <f t="shared" si="76"/>
        <v>0</v>
      </c>
      <c r="AD656" s="2">
        <f t="shared" si="74"/>
        <v>8</v>
      </c>
      <c r="AE656" s="2">
        <f t="shared" ca="1" si="75"/>
        <v>-44986.676271643519</v>
      </c>
      <c r="AF656" s="15"/>
    </row>
    <row r="657" spans="16:32">
      <c r="P657" s="12"/>
      <c r="U657" s="12"/>
      <c r="X657" s="13">
        <f t="shared" si="70"/>
        <v>0</v>
      </c>
      <c r="Y657" s="2">
        <f t="shared" ca="1" si="71"/>
        <v>32133</v>
      </c>
      <c r="Z657" s="14">
        <v>1</v>
      </c>
      <c r="AA657" s="1" t="str">
        <f t="shared" ca="1" si="72"/>
        <v>VENCIDO</v>
      </c>
      <c r="AB657" s="1" t="str">
        <f t="shared" si="73"/>
        <v>TAAe+</v>
      </c>
      <c r="AC657" s="2">
        <f t="shared" si="76"/>
        <v>0</v>
      </c>
      <c r="AD657" s="2">
        <f t="shared" si="74"/>
        <v>8</v>
      </c>
      <c r="AE657" s="2">
        <f t="shared" ca="1" si="75"/>
        <v>-44986.676271643519</v>
      </c>
      <c r="AF657" s="15"/>
    </row>
    <row r="658" spans="16:32">
      <c r="P658" s="12"/>
      <c r="U658" s="12"/>
      <c r="X658" s="13">
        <f t="shared" si="70"/>
        <v>0</v>
      </c>
      <c r="Y658" s="2">
        <f t="shared" ca="1" si="71"/>
        <v>32133</v>
      </c>
      <c r="Z658" s="14">
        <v>1</v>
      </c>
      <c r="AA658" s="1" t="str">
        <f t="shared" ca="1" si="72"/>
        <v>VENCIDO</v>
      </c>
      <c r="AB658" s="1" t="str">
        <f t="shared" si="73"/>
        <v>TAAe+</v>
      </c>
      <c r="AC658" s="2">
        <f t="shared" si="76"/>
        <v>0</v>
      </c>
      <c r="AD658" s="2">
        <f t="shared" si="74"/>
        <v>8</v>
      </c>
      <c r="AE658" s="2">
        <f t="shared" ca="1" si="75"/>
        <v>-44986.676271643519</v>
      </c>
      <c r="AF658" s="15"/>
    </row>
    <row r="659" spans="16:32">
      <c r="P659" s="12"/>
      <c r="U659" s="12"/>
      <c r="X659" s="13">
        <f t="shared" si="70"/>
        <v>0</v>
      </c>
      <c r="Y659" s="2">
        <f t="shared" ca="1" si="71"/>
        <v>32133</v>
      </c>
      <c r="Z659" s="14">
        <v>1</v>
      </c>
      <c r="AA659" s="1" t="str">
        <f t="shared" ca="1" si="72"/>
        <v>VENCIDO</v>
      </c>
      <c r="AB659" s="1" t="str">
        <f t="shared" si="73"/>
        <v>TAAe+</v>
      </c>
      <c r="AC659" s="2">
        <f t="shared" si="76"/>
        <v>0</v>
      </c>
      <c r="AD659" s="2">
        <f t="shared" si="74"/>
        <v>8</v>
      </c>
      <c r="AE659" s="2">
        <f t="shared" ca="1" si="75"/>
        <v>-44986.676271643519</v>
      </c>
      <c r="AF659" s="15"/>
    </row>
    <row r="660" spans="16:32">
      <c r="P660" s="12"/>
      <c r="U660" s="12"/>
      <c r="X660" s="13">
        <f t="shared" si="70"/>
        <v>0</v>
      </c>
      <c r="Y660" s="2">
        <f t="shared" ca="1" si="71"/>
        <v>32133</v>
      </c>
      <c r="Z660" s="14">
        <v>1</v>
      </c>
      <c r="AA660" s="1" t="str">
        <f t="shared" ca="1" si="72"/>
        <v>VENCIDO</v>
      </c>
      <c r="AB660" s="1" t="str">
        <f t="shared" si="73"/>
        <v>TAAe+</v>
      </c>
      <c r="AC660" s="2">
        <f t="shared" si="76"/>
        <v>0</v>
      </c>
      <c r="AD660" s="2">
        <f t="shared" si="74"/>
        <v>8</v>
      </c>
      <c r="AE660" s="2">
        <f t="shared" ca="1" si="75"/>
        <v>-44986.676271643519</v>
      </c>
      <c r="AF660" s="15"/>
    </row>
    <row r="661" spans="16:32">
      <c r="P661" s="12"/>
      <c r="U661" s="12"/>
      <c r="X661" s="13">
        <f t="shared" si="70"/>
        <v>0</v>
      </c>
      <c r="Y661" s="2">
        <f t="shared" ca="1" si="71"/>
        <v>32133</v>
      </c>
      <c r="Z661" s="14">
        <v>1</v>
      </c>
      <c r="AA661" s="1" t="str">
        <f t="shared" ca="1" si="72"/>
        <v>VENCIDO</v>
      </c>
      <c r="AB661" s="1" t="str">
        <f t="shared" si="73"/>
        <v>TAAe+</v>
      </c>
      <c r="AC661" s="2">
        <f t="shared" si="76"/>
        <v>0</v>
      </c>
      <c r="AD661" s="2">
        <f t="shared" si="74"/>
        <v>8</v>
      </c>
      <c r="AE661" s="2">
        <f t="shared" ca="1" si="75"/>
        <v>-44986.676271643519</v>
      </c>
      <c r="AF661" s="15"/>
    </row>
    <row r="662" spans="16:32">
      <c r="P662" s="12"/>
      <c r="U662" s="12"/>
      <c r="X662" s="13">
        <f t="shared" si="70"/>
        <v>0</v>
      </c>
      <c r="Y662" s="2">
        <f t="shared" ca="1" si="71"/>
        <v>32133</v>
      </c>
      <c r="Z662" s="14">
        <v>1</v>
      </c>
      <c r="AA662" s="1" t="str">
        <f t="shared" ca="1" si="72"/>
        <v>VENCIDO</v>
      </c>
      <c r="AB662" s="1" t="str">
        <f t="shared" si="73"/>
        <v>TAAe+</v>
      </c>
      <c r="AC662" s="2">
        <f t="shared" si="76"/>
        <v>0</v>
      </c>
      <c r="AD662" s="2">
        <f t="shared" si="74"/>
        <v>8</v>
      </c>
      <c r="AE662" s="2">
        <f t="shared" ca="1" si="75"/>
        <v>-44986.676271643519</v>
      </c>
      <c r="AF662" s="15"/>
    </row>
    <row r="663" spans="16:32">
      <c r="P663" s="12"/>
      <c r="U663" s="12"/>
      <c r="X663" s="13">
        <f t="shared" si="70"/>
        <v>0</v>
      </c>
      <c r="Y663" s="2">
        <f t="shared" ca="1" si="71"/>
        <v>32133</v>
      </c>
      <c r="Z663" s="14">
        <v>1</v>
      </c>
      <c r="AA663" s="1" t="str">
        <f t="shared" ca="1" si="72"/>
        <v>VENCIDO</v>
      </c>
      <c r="AB663" s="1" t="str">
        <f t="shared" si="73"/>
        <v>TAAe+</v>
      </c>
      <c r="AC663" s="2">
        <f t="shared" si="76"/>
        <v>0</v>
      </c>
      <c r="AD663" s="2">
        <f t="shared" si="74"/>
        <v>8</v>
      </c>
      <c r="AE663" s="2">
        <f t="shared" ca="1" si="75"/>
        <v>-44986.676271643519</v>
      </c>
      <c r="AF663" s="15"/>
    </row>
    <row r="664" spans="16:32">
      <c r="P664" s="12"/>
      <c r="U664" s="12"/>
      <c r="X664" s="13">
        <f t="shared" si="70"/>
        <v>0</v>
      </c>
      <c r="Y664" s="2">
        <f t="shared" ca="1" si="71"/>
        <v>32133</v>
      </c>
      <c r="Z664" s="14">
        <v>1</v>
      </c>
      <c r="AA664" s="1" t="str">
        <f t="shared" ca="1" si="72"/>
        <v>VENCIDO</v>
      </c>
      <c r="AB664" s="1" t="str">
        <f t="shared" si="73"/>
        <v>TAAe+</v>
      </c>
      <c r="AC664" s="2">
        <f t="shared" si="76"/>
        <v>0</v>
      </c>
      <c r="AD664" s="2">
        <f t="shared" si="74"/>
        <v>8</v>
      </c>
      <c r="AE664" s="2">
        <f t="shared" ca="1" si="75"/>
        <v>-44986.676271643519</v>
      </c>
      <c r="AF664" s="15"/>
    </row>
    <row r="665" spans="16:32">
      <c r="P665" s="12"/>
      <c r="U665" s="12"/>
      <c r="X665" s="13">
        <f t="shared" si="70"/>
        <v>0</v>
      </c>
      <c r="Y665" s="2">
        <f t="shared" ca="1" si="71"/>
        <v>32133</v>
      </c>
      <c r="Z665" s="14">
        <v>1</v>
      </c>
      <c r="AA665" s="1" t="str">
        <f t="shared" ca="1" si="72"/>
        <v>VENCIDO</v>
      </c>
      <c r="AB665" s="1" t="str">
        <f t="shared" si="73"/>
        <v>TAAe+</v>
      </c>
      <c r="AC665" s="2">
        <f t="shared" si="76"/>
        <v>0</v>
      </c>
      <c r="AD665" s="2">
        <f t="shared" si="74"/>
        <v>8</v>
      </c>
      <c r="AE665" s="2">
        <f t="shared" ca="1" si="75"/>
        <v>-44986.676271643519</v>
      </c>
      <c r="AF665" s="15"/>
    </row>
    <row r="666" spans="16:32">
      <c r="P666" s="12"/>
      <c r="U666" s="12"/>
      <c r="X666" s="13">
        <f t="shared" si="70"/>
        <v>0</v>
      </c>
      <c r="Y666" s="2">
        <f t="shared" ca="1" si="71"/>
        <v>32133</v>
      </c>
      <c r="Z666" s="14">
        <v>1</v>
      </c>
      <c r="AA666" s="1" t="str">
        <f t="shared" ca="1" si="72"/>
        <v>VENCIDO</v>
      </c>
      <c r="AB666" s="1" t="str">
        <f t="shared" si="73"/>
        <v>TAAe+</v>
      </c>
      <c r="AC666" s="2">
        <f t="shared" si="76"/>
        <v>0</v>
      </c>
      <c r="AD666" s="2">
        <f t="shared" si="74"/>
        <v>8</v>
      </c>
      <c r="AE666" s="2">
        <f t="shared" ca="1" si="75"/>
        <v>-44986.676271643519</v>
      </c>
      <c r="AF666" s="15"/>
    </row>
    <row r="667" spans="16:32">
      <c r="P667" s="12"/>
      <c r="U667" s="12"/>
      <c r="X667" s="13">
        <f t="shared" si="70"/>
        <v>0</v>
      </c>
      <c r="Y667" s="2">
        <f t="shared" ca="1" si="71"/>
        <v>32133</v>
      </c>
      <c r="Z667" s="14">
        <v>1</v>
      </c>
      <c r="AA667" s="1" t="str">
        <f t="shared" ca="1" si="72"/>
        <v>VENCIDO</v>
      </c>
      <c r="AB667" s="1" t="str">
        <f t="shared" si="73"/>
        <v>TAAe+</v>
      </c>
      <c r="AC667" s="2">
        <f t="shared" si="76"/>
        <v>0</v>
      </c>
      <c r="AD667" s="2">
        <f t="shared" si="74"/>
        <v>8</v>
      </c>
      <c r="AE667" s="2">
        <f t="shared" ca="1" si="75"/>
        <v>-44986.676271643519</v>
      </c>
      <c r="AF667" s="15"/>
    </row>
    <row r="668" spans="16:32">
      <c r="P668" s="12"/>
      <c r="U668" s="12"/>
      <c r="X668" s="13">
        <f t="shared" si="70"/>
        <v>0</v>
      </c>
      <c r="Y668" s="2">
        <f t="shared" ca="1" si="71"/>
        <v>32133</v>
      </c>
      <c r="Z668" s="14">
        <v>1</v>
      </c>
      <c r="AA668" s="1" t="str">
        <f t="shared" ca="1" si="72"/>
        <v>VENCIDO</v>
      </c>
      <c r="AB668" s="1" t="str">
        <f t="shared" si="73"/>
        <v>TAAe+</v>
      </c>
      <c r="AC668" s="2">
        <f t="shared" si="76"/>
        <v>0</v>
      </c>
      <c r="AD668" s="2">
        <f t="shared" si="74"/>
        <v>8</v>
      </c>
      <c r="AE668" s="2">
        <f t="shared" ca="1" si="75"/>
        <v>-44986.676271643519</v>
      </c>
      <c r="AF668" s="15"/>
    </row>
    <row r="669" spans="16:32">
      <c r="P669" s="12"/>
      <c r="U669" s="12"/>
      <c r="X669" s="13">
        <f t="shared" si="70"/>
        <v>0</v>
      </c>
      <c r="Y669" s="2">
        <f t="shared" ca="1" si="71"/>
        <v>32133</v>
      </c>
      <c r="Z669" s="14">
        <v>1</v>
      </c>
      <c r="AA669" s="1" t="str">
        <f t="shared" ca="1" si="72"/>
        <v>VENCIDO</v>
      </c>
      <c r="AB669" s="1" t="str">
        <f t="shared" si="73"/>
        <v>TAAe+</v>
      </c>
      <c r="AC669" s="2">
        <f t="shared" si="76"/>
        <v>0</v>
      </c>
      <c r="AD669" s="2">
        <f t="shared" si="74"/>
        <v>8</v>
      </c>
      <c r="AE669" s="2">
        <f t="shared" ca="1" si="75"/>
        <v>-44986.676271643519</v>
      </c>
      <c r="AF669" s="15"/>
    </row>
    <row r="670" spans="16:32">
      <c r="P670" s="12"/>
      <c r="U670" s="12"/>
      <c r="X670" s="13">
        <f t="shared" si="70"/>
        <v>0</v>
      </c>
      <c r="Y670" s="2">
        <f t="shared" ca="1" si="71"/>
        <v>32133</v>
      </c>
      <c r="Z670" s="14">
        <v>1</v>
      </c>
      <c r="AA670" s="1" t="str">
        <f t="shared" ca="1" si="72"/>
        <v>VENCIDO</v>
      </c>
      <c r="AB670" s="1" t="str">
        <f t="shared" si="73"/>
        <v>TAAe+</v>
      </c>
      <c r="AC670" s="2">
        <f t="shared" si="76"/>
        <v>0</v>
      </c>
      <c r="AD670" s="2">
        <f t="shared" si="74"/>
        <v>8</v>
      </c>
      <c r="AE670" s="2">
        <f t="shared" ca="1" si="75"/>
        <v>-44986.676271643519</v>
      </c>
      <c r="AF670" s="15"/>
    </row>
    <row r="671" spans="16:32">
      <c r="P671" s="12"/>
      <c r="U671" s="12"/>
      <c r="X671" s="13">
        <f t="shared" si="70"/>
        <v>0</v>
      </c>
      <c r="Y671" s="2">
        <f t="shared" ca="1" si="71"/>
        <v>32133</v>
      </c>
      <c r="Z671" s="14">
        <v>1</v>
      </c>
      <c r="AA671" s="1" t="str">
        <f t="shared" ca="1" si="72"/>
        <v>VENCIDO</v>
      </c>
      <c r="AB671" s="1" t="str">
        <f t="shared" si="73"/>
        <v>TAAe+</v>
      </c>
      <c r="AC671" s="2">
        <f t="shared" si="76"/>
        <v>0</v>
      </c>
      <c r="AD671" s="2">
        <f t="shared" si="74"/>
        <v>8</v>
      </c>
      <c r="AE671" s="2">
        <f t="shared" ca="1" si="75"/>
        <v>-44986.676271643519</v>
      </c>
      <c r="AF671" s="15"/>
    </row>
    <row r="672" spans="16:32">
      <c r="P672" s="12"/>
      <c r="U672" s="12"/>
      <c r="X672" s="13">
        <f t="shared" si="70"/>
        <v>0</v>
      </c>
      <c r="Y672" s="2">
        <f t="shared" ca="1" si="71"/>
        <v>32133</v>
      </c>
      <c r="Z672" s="14">
        <v>1</v>
      </c>
      <c r="AA672" s="1" t="str">
        <f t="shared" ca="1" si="72"/>
        <v>VENCIDO</v>
      </c>
      <c r="AB672" s="1" t="str">
        <f t="shared" si="73"/>
        <v>TAAe+</v>
      </c>
      <c r="AC672" s="2">
        <f t="shared" si="76"/>
        <v>0</v>
      </c>
      <c r="AD672" s="2">
        <f t="shared" si="74"/>
        <v>8</v>
      </c>
      <c r="AE672" s="2">
        <f t="shared" ca="1" si="75"/>
        <v>-44986.676271643519</v>
      </c>
      <c r="AF672" s="15"/>
    </row>
    <row r="673" spans="16:32">
      <c r="P673" s="12"/>
      <c r="U673" s="12"/>
      <c r="X673" s="13">
        <f t="shared" si="70"/>
        <v>0</v>
      </c>
      <c r="Y673" s="2">
        <f t="shared" ca="1" si="71"/>
        <v>32133</v>
      </c>
      <c r="Z673" s="14">
        <v>1</v>
      </c>
      <c r="AA673" s="1" t="str">
        <f t="shared" ca="1" si="72"/>
        <v>VENCIDO</v>
      </c>
      <c r="AB673" s="1" t="str">
        <f t="shared" si="73"/>
        <v>TAAe+</v>
      </c>
      <c r="AC673" s="2">
        <f t="shared" si="76"/>
        <v>0</v>
      </c>
      <c r="AD673" s="2">
        <f t="shared" si="74"/>
        <v>8</v>
      </c>
      <c r="AE673" s="2">
        <f t="shared" ca="1" si="75"/>
        <v>-44986.676271643519</v>
      </c>
      <c r="AF673" s="15"/>
    </row>
    <row r="674" spans="16:32">
      <c r="P674" s="12"/>
      <c r="U674" s="12"/>
      <c r="X674" s="13">
        <f t="shared" si="70"/>
        <v>0</v>
      </c>
      <c r="Y674" s="2">
        <f t="shared" ca="1" si="71"/>
        <v>32133</v>
      </c>
      <c r="Z674" s="14">
        <v>1</v>
      </c>
      <c r="AA674" s="1" t="str">
        <f t="shared" ca="1" si="72"/>
        <v>VENCIDO</v>
      </c>
      <c r="AB674" s="1" t="str">
        <f t="shared" si="73"/>
        <v>TAAe+</v>
      </c>
      <c r="AC674" s="2">
        <f t="shared" si="76"/>
        <v>0</v>
      </c>
      <c r="AD674" s="2">
        <f t="shared" si="74"/>
        <v>8</v>
      </c>
      <c r="AE674" s="2">
        <f t="shared" ca="1" si="75"/>
        <v>-44986.676271643519</v>
      </c>
      <c r="AF674" s="15"/>
    </row>
    <row r="675" spans="16:32">
      <c r="P675" s="12"/>
      <c r="U675" s="12"/>
      <c r="X675" s="13">
        <f t="shared" si="70"/>
        <v>0</v>
      </c>
      <c r="Y675" s="2">
        <f t="shared" ca="1" si="71"/>
        <v>32133</v>
      </c>
      <c r="Z675" s="14">
        <v>1</v>
      </c>
      <c r="AA675" s="1" t="str">
        <f t="shared" ca="1" si="72"/>
        <v>VENCIDO</v>
      </c>
      <c r="AB675" s="1" t="str">
        <f t="shared" si="73"/>
        <v>TAAe+</v>
      </c>
      <c r="AC675" s="2">
        <f t="shared" si="76"/>
        <v>0</v>
      </c>
      <c r="AD675" s="2">
        <f t="shared" si="74"/>
        <v>8</v>
      </c>
      <c r="AE675" s="2">
        <f t="shared" ca="1" si="75"/>
        <v>-44986.676271643519</v>
      </c>
      <c r="AF675" s="15"/>
    </row>
    <row r="676" spans="16:32">
      <c r="P676" s="12"/>
      <c r="U676" s="12"/>
      <c r="X676" s="13">
        <f t="shared" si="70"/>
        <v>0</v>
      </c>
      <c r="Y676" s="2">
        <f t="shared" ca="1" si="71"/>
        <v>32133</v>
      </c>
      <c r="Z676" s="14">
        <v>1</v>
      </c>
      <c r="AA676" s="1" t="str">
        <f t="shared" ca="1" si="72"/>
        <v>VENCIDO</v>
      </c>
      <c r="AB676" s="1" t="str">
        <f t="shared" si="73"/>
        <v>TAAe+</v>
      </c>
      <c r="AC676" s="2">
        <f t="shared" si="76"/>
        <v>0</v>
      </c>
      <c r="AD676" s="2">
        <f t="shared" si="74"/>
        <v>8</v>
      </c>
      <c r="AE676" s="2">
        <f t="shared" ca="1" si="75"/>
        <v>-44986.676271643519</v>
      </c>
      <c r="AF676" s="15"/>
    </row>
    <row r="677" spans="16:32">
      <c r="P677" s="12"/>
      <c r="U677" s="12"/>
      <c r="X677" s="13">
        <f t="shared" si="70"/>
        <v>0</v>
      </c>
      <c r="Y677" s="2">
        <f t="shared" ca="1" si="71"/>
        <v>32133</v>
      </c>
      <c r="Z677" s="14">
        <v>1</v>
      </c>
      <c r="AA677" s="1" t="str">
        <f t="shared" ca="1" si="72"/>
        <v>VENCIDO</v>
      </c>
      <c r="AB677" s="1" t="str">
        <f t="shared" si="73"/>
        <v>TAAe+</v>
      </c>
      <c r="AC677" s="2">
        <f t="shared" si="76"/>
        <v>0</v>
      </c>
      <c r="AD677" s="2">
        <f t="shared" si="74"/>
        <v>8</v>
      </c>
      <c r="AE677" s="2">
        <f t="shared" ca="1" si="75"/>
        <v>-44986.676271643519</v>
      </c>
      <c r="AF677" s="15"/>
    </row>
    <row r="678" spans="16:32">
      <c r="P678" s="12"/>
      <c r="U678" s="12"/>
      <c r="X678" s="13">
        <f t="shared" si="70"/>
        <v>0</v>
      </c>
      <c r="Y678" s="2">
        <f t="shared" ca="1" si="71"/>
        <v>32133</v>
      </c>
      <c r="Z678" s="14">
        <v>1</v>
      </c>
      <c r="AA678" s="1" t="str">
        <f t="shared" ca="1" si="72"/>
        <v>VENCIDO</v>
      </c>
      <c r="AB678" s="1" t="str">
        <f t="shared" si="73"/>
        <v>TAAe+</v>
      </c>
      <c r="AC678" s="2">
        <f t="shared" si="76"/>
        <v>0</v>
      </c>
      <c r="AD678" s="2">
        <f t="shared" si="74"/>
        <v>8</v>
      </c>
      <c r="AE678" s="2">
        <f t="shared" ca="1" si="75"/>
        <v>-44986.676271643519</v>
      </c>
      <c r="AF678" s="15"/>
    </row>
    <row r="679" spans="16:32">
      <c r="P679" s="12"/>
      <c r="U679" s="12"/>
      <c r="X679" s="13">
        <f t="shared" si="70"/>
        <v>0</v>
      </c>
      <c r="Y679" s="2">
        <f t="shared" ca="1" si="71"/>
        <v>32133</v>
      </c>
      <c r="Z679" s="14">
        <v>1</v>
      </c>
      <c r="AA679" s="1" t="str">
        <f t="shared" ca="1" si="72"/>
        <v>VENCIDO</v>
      </c>
      <c r="AB679" s="1" t="str">
        <f t="shared" si="73"/>
        <v>TAAe+</v>
      </c>
      <c r="AC679" s="2">
        <f t="shared" si="76"/>
        <v>0</v>
      </c>
      <c r="AD679" s="2">
        <f t="shared" si="74"/>
        <v>8</v>
      </c>
      <c r="AE679" s="2">
        <f t="shared" ca="1" si="75"/>
        <v>-44986.676271643519</v>
      </c>
      <c r="AF679" s="15"/>
    </row>
    <row r="680" spans="16:32">
      <c r="P680" s="12"/>
      <c r="U680" s="12"/>
      <c r="X680" s="13">
        <f t="shared" si="70"/>
        <v>0</v>
      </c>
      <c r="Y680" s="2">
        <f t="shared" ca="1" si="71"/>
        <v>32133</v>
      </c>
      <c r="Z680" s="14">
        <v>1</v>
      </c>
      <c r="AA680" s="1" t="str">
        <f t="shared" ca="1" si="72"/>
        <v>VENCIDO</v>
      </c>
      <c r="AB680" s="1" t="str">
        <f t="shared" si="73"/>
        <v>TAAe+</v>
      </c>
      <c r="AC680" s="2">
        <f t="shared" si="76"/>
        <v>0</v>
      </c>
      <c r="AD680" s="2">
        <f t="shared" si="74"/>
        <v>8</v>
      </c>
      <c r="AE680" s="2">
        <f t="shared" ca="1" si="75"/>
        <v>-44986.676271643519</v>
      </c>
      <c r="AF680" s="15"/>
    </row>
    <row r="681" spans="16:32">
      <c r="P681" s="12"/>
      <c r="U681" s="12"/>
      <c r="X681" s="13">
        <f t="shared" si="70"/>
        <v>0</v>
      </c>
      <c r="Y681" s="2">
        <f t="shared" ca="1" si="71"/>
        <v>32133</v>
      </c>
      <c r="Z681" s="14">
        <v>1</v>
      </c>
      <c r="AA681" s="1" t="str">
        <f t="shared" ca="1" si="72"/>
        <v>VENCIDO</v>
      </c>
      <c r="AB681" s="1" t="str">
        <f t="shared" si="73"/>
        <v>TAAe+</v>
      </c>
      <c r="AC681" s="2">
        <f t="shared" si="76"/>
        <v>0</v>
      </c>
      <c r="AD681" s="2">
        <f t="shared" si="74"/>
        <v>8</v>
      </c>
      <c r="AE681" s="2">
        <f t="shared" ca="1" si="75"/>
        <v>-44986.676271643519</v>
      </c>
      <c r="AF681" s="15"/>
    </row>
    <row r="682" spans="16:32">
      <c r="P682" s="12"/>
      <c r="U682" s="12"/>
      <c r="X682" s="13">
        <f t="shared" si="70"/>
        <v>0</v>
      </c>
      <c r="Y682" s="2">
        <f t="shared" ca="1" si="71"/>
        <v>32133</v>
      </c>
      <c r="Z682" s="14">
        <v>1</v>
      </c>
      <c r="AA682" s="1" t="str">
        <f t="shared" ca="1" si="72"/>
        <v>VENCIDO</v>
      </c>
      <c r="AB682" s="1" t="str">
        <f t="shared" si="73"/>
        <v>TAAe+</v>
      </c>
      <c r="AC682" s="2">
        <f t="shared" si="76"/>
        <v>0</v>
      </c>
      <c r="AD682" s="2">
        <f t="shared" si="74"/>
        <v>8</v>
      </c>
      <c r="AE682" s="2">
        <f t="shared" ca="1" si="75"/>
        <v>-44986.676271643519</v>
      </c>
      <c r="AF682" s="15"/>
    </row>
    <row r="683" spans="16:32">
      <c r="P683" s="12"/>
      <c r="U683" s="12"/>
      <c r="X683" s="13">
        <f t="shared" si="70"/>
        <v>0</v>
      </c>
      <c r="Y683" s="2">
        <f t="shared" ca="1" si="71"/>
        <v>32133</v>
      </c>
      <c r="Z683" s="14">
        <v>1</v>
      </c>
      <c r="AA683" s="1" t="str">
        <f t="shared" ca="1" si="72"/>
        <v>VENCIDO</v>
      </c>
      <c r="AB683" s="1" t="str">
        <f t="shared" si="73"/>
        <v>TAAe+</v>
      </c>
      <c r="AC683" s="2">
        <f t="shared" si="76"/>
        <v>0</v>
      </c>
      <c r="AD683" s="2">
        <f t="shared" si="74"/>
        <v>8</v>
      </c>
      <c r="AE683" s="2">
        <f t="shared" ca="1" si="75"/>
        <v>-44986.676271643519</v>
      </c>
      <c r="AF683" s="15"/>
    </row>
    <row r="684" spans="16:32">
      <c r="P684" s="12"/>
      <c r="U684" s="12"/>
      <c r="X684" s="13">
        <f t="shared" si="70"/>
        <v>0</v>
      </c>
      <c r="Y684" s="2">
        <f t="shared" ca="1" si="71"/>
        <v>32133</v>
      </c>
      <c r="Z684" s="14">
        <v>1</v>
      </c>
      <c r="AA684" s="1" t="str">
        <f t="shared" ca="1" si="72"/>
        <v>VENCIDO</v>
      </c>
      <c r="AB684" s="1" t="str">
        <f t="shared" si="73"/>
        <v>TAAe+</v>
      </c>
      <c r="AC684" s="2">
        <f t="shared" si="76"/>
        <v>0</v>
      </c>
      <c r="AD684" s="2">
        <f t="shared" si="74"/>
        <v>8</v>
      </c>
      <c r="AE684" s="2">
        <f t="shared" ca="1" si="75"/>
        <v>-44986.676271643519</v>
      </c>
      <c r="AF684" s="15"/>
    </row>
    <row r="685" spans="16:32">
      <c r="P685" s="12"/>
      <c r="U685" s="12"/>
      <c r="X685" s="13">
        <f t="shared" si="70"/>
        <v>0</v>
      </c>
      <c r="Y685" s="2">
        <f t="shared" ca="1" si="71"/>
        <v>32133</v>
      </c>
      <c r="Z685" s="14">
        <v>1</v>
      </c>
      <c r="AA685" s="1" t="str">
        <f t="shared" ca="1" si="72"/>
        <v>VENCIDO</v>
      </c>
      <c r="AB685" s="1" t="str">
        <f t="shared" si="73"/>
        <v>TAAe+</v>
      </c>
      <c r="AC685" s="2">
        <f t="shared" si="76"/>
        <v>0</v>
      </c>
      <c r="AD685" s="2">
        <f t="shared" si="74"/>
        <v>8</v>
      </c>
      <c r="AE685" s="2">
        <f t="shared" ca="1" si="75"/>
        <v>-44986.676271643519</v>
      </c>
      <c r="AF685" s="15"/>
    </row>
    <row r="686" spans="16:32">
      <c r="P686" s="12"/>
      <c r="U686" s="12"/>
      <c r="X686" s="13">
        <f t="shared" si="70"/>
        <v>0</v>
      </c>
      <c r="Y686" s="2">
        <f t="shared" ca="1" si="71"/>
        <v>32133</v>
      </c>
      <c r="Z686" s="14">
        <v>1</v>
      </c>
      <c r="AA686" s="1" t="str">
        <f t="shared" ca="1" si="72"/>
        <v>VENCIDO</v>
      </c>
      <c r="AB686" s="1" t="str">
        <f t="shared" si="73"/>
        <v>TAAe+</v>
      </c>
      <c r="AC686" s="2">
        <f t="shared" si="76"/>
        <v>0</v>
      </c>
      <c r="AD686" s="2">
        <f t="shared" si="74"/>
        <v>8</v>
      </c>
      <c r="AE686" s="2">
        <f t="shared" ca="1" si="75"/>
        <v>-44986.676271643519</v>
      </c>
      <c r="AF686" s="15"/>
    </row>
    <row r="687" spans="16:32">
      <c r="P687" s="12"/>
      <c r="U687" s="12"/>
      <c r="X687" s="13">
        <f t="shared" si="70"/>
        <v>0</v>
      </c>
      <c r="Y687" s="2">
        <f t="shared" ca="1" si="71"/>
        <v>32133</v>
      </c>
      <c r="Z687" s="14">
        <v>1</v>
      </c>
      <c r="AA687" s="1" t="str">
        <f t="shared" ca="1" si="72"/>
        <v>VENCIDO</v>
      </c>
      <c r="AB687" s="1" t="str">
        <f t="shared" si="73"/>
        <v>TAAe+</v>
      </c>
      <c r="AC687" s="2">
        <f t="shared" si="76"/>
        <v>0</v>
      </c>
      <c r="AD687" s="2">
        <f t="shared" si="74"/>
        <v>8</v>
      </c>
      <c r="AE687" s="2">
        <f t="shared" ca="1" si="75"/>
        <v>-44986.676271643519</v>
      </c>
      <c r="AF687" s="15"/>
    </row>
    <row r="688" spans="16:32">
      <c r="P688" s="12"/>
      <c r="U688" s="12"/>
      <c r="X688" s="13">
        <f t="shared" si="70"/>
        <v>0</v>
      </c>
      <c r="Y688" s="2">
        <f t="shared" ca="1" si="71"/>
        <v>32133</v>
      </c>
      <c r="Z688" s="14">
        <v>1</v>
      </c>
      <c r="AA688" s="1" t="str">
        <f t="shared" ca="1" si="72"/>
        <v>VENCIDO</v>
      </c>
      <c r="AB688" s="1" t="str">
        <f t="shared" si="73"/>
        <v>TAAe+</v>
      </c>
      <c r="AC688" s="2">
        <f t="shared" si="76"/>
        <v>0</v>
      </c>
      <c r="AD688" s="2">
        <f t="shared" si="74"/>
        <v>8</v>
      </c>
      <c r="AE688" s="2">
        <f t="shared" ca="1" si="75"/>
        <v>-44986.676271643519</v>
      </c>
      <c r="AF688" s="15"/>
    </row>
    <row r="689" spans="16:32">
      <c r="P689" s="12"/>
      <c r="U689" s="12"/>
      <c r="X689" s="13">
        <f t="shared" si="70"/>
        <v>0</v>
      </c>
      <c r="Y689" s="2">
        <f t="shared" ca="1" si="71"/>
        <v>32133</v>
      </c>
      <c r="Z689" s="14">
        <v>1</v>
      </c>
      <c r="AA689" s="1" t="str">
        <f t="shared" ca="1" si="72"/>
        <v>VENCIDO</v>
      </c>
      <c r="AB689" s="1" t="str">
        <f t="shared" si="73"/>
        <v>TAAe+</v>
      </c>
      <c r="AC689" s="2">
        <f t="shared" si="76"/>
        <v>0</v>
      </c>
      <c r="AD689" s="2">
        <f t="shared" si="74"/>
        <v>8</v>
      </c>
      <c r="AE689" s="2">
        <f t="shared" ca="1" si="75"/>
        <v>-44986.676271643519</v>
      </c>
      <c r="AF689" s="15"/>
    </row>
    <row r="690" spans="16:32">
      <c r="P690" s="12"/>
      <c r="U690" s="12"/>
      <c r="X690" s="13">
        <f t="shared" si="70"/>
        <v>0</v>
      </c>
      <c r="Y690" s="2">
        <f t="shared" ca="1" si="71"/>
        <v>32133</v>
      </c>
      <c r="Z690" s="14">
        <v>1</v>
      </c>
      <c r="AA690" s="1" t="str">
        <f t="shared" ca="1" si="72"/>
        <v>VENCIDO</v>
      </c>
      <c r="AB690" s="1" t="str">
        <f t="shared" si="73"/>
        <v>TAAe+</v>
      </c>
      <c r="AC690" s="2">
        <f t="shared" si="76"/>
        <v>0</v>
      </c>
      <c r="AD690" s="2">
        <f t="shared" si="74"/>
        <v>8</v>
      </c>
      <c r="AE690" s="2">
        <f t="shared" ca="1" si="75"/>
        <v>-44986.676271643519</v>
      </c>
      <c r="AF690" s="15"/>
    </row>
    <row r="691" spans="16:32">
      <c r="P691" s="12"/>
      <c r="U691" s="12"/>
      <c r="X691" s="13">
        <f t="shared" si="70"/>
        <v>0</v>
      </c>
      <c r="Y691" s="2">
        <f t="shared" ca="1" si="71"/>
        <v>32133</v>
      </c>
      <c r="Z691" s="14">
        <v>1</v>
      </c>
      <c r="AA691" s="1" t="str">
        <f t="shared" ca="1" si="72"/>
        <v>VENCIDO</v>
      </c>
      <c r="AB691" s="1" t="str">
        <f t="shared" si="73"/>
        <v>TAAe+</v>
      </c>
      <c r="AC691" s="2">
        <f t="shared" si="76"/>
        <v>0</v>
      </c>
      <c r="AD691" s="2">
        <f t="shared" si="74"/>
        <v>8</v>
      </c>
      <c r="AE691" s="2">
        <f t="shared" ca="1" si="75"/>
        <v>-44986.676271643519</v>
      </c>
      <c r="AF691" s="15"/>
    </row>
    <row r="692" spans="16:32">
      <c r="P692" s="12"/>
      <c r="U692" s="12"/>
      <c r="X692" s="13">
        <f t="shared" si="70"/>
        <v>0</v>
      </c>
      <c r="Y692" s="2">
        <f t="shared" ca="1" si="71"/>
        <v>32133</v>
      </c>
      <c r="Z692" s="14">
        <v>1</v>
      </c>
      <c r="AA692" s="1" t="str">
        <f t="shared" ca="1" si="72"/>
        <v>VENCIDO</v>
      </c>
      <c r="AB692" s="1" t="str">
        <f t="shared" si="73"/>
        <v>TAAe+</v>
      </c>
      <c r="AC692" s="2">
        <f t="shared" si="76"/>
        <v>0</v>
      </c>
      <c r="AD692" s="2">
        <f t="shared" si="74"/>
        <v>8</v>
      </c>
      <c r="AE692" s="2">
        <f t="shared" ca="1" si="75"/>
        <v>-44986.676271643519</v>
      </c>
      <c r="AF692" s="15"/>
    </row>
    <row r="693" spans="16:32">
      <c r="P693" s="12"/>
      <c r="U693" s="12"/>
      <c r="X693" s="13">
        <f t="shared" si="70"/>
        <v>0</v>
      </c>
      <c r="Y693" s="2">
        <f t="shared" ca="1" si="71"/>
        <v>32133</v>
      </c>
      <c r="Z693" s="14">
        <v>1</v>
      </c>
      <c r="AA693" s="1" t="str">
        <f t="shared" ca="1" si="72"/>
        <v>VENCIDO</v>
      </c>
      <c r="AB693" s="1" t="str">
        <f t="shared" si="73"/>
        <v>TAAe+</v>
      </c>
      <c r="AC693" s="2">
        <f t="shared" si="76"/>
        <v>0</v>
      </c>
      <c r="AD693" s="2">
        <f t="shared" si="74"/>
        <v>8</v>
      </c>
      <c r="AE693" s="2">
        <f t="shared" ca="1" si="75"/>
        <v>-44986.676271643519</v>
      </c>
      <c r="AF693" s="15"/>
    </row>
    <row r="694" spans="16:32">
      <c r="P694" s="12"/>
      <c r="U694" s="12"/>
      <c r="X694" s="13">
        <f t="shared" si="70"/>
        <v>0</v>
      </c>
      <c r="Y694" s="2">
        <f t="shared" ca="1" si="71"/>
        <v>32133</v>
      </c>
      <c r="Z694" s="14">
        <v>1</v>
      </c>
      <c r="AA694" s="1" t="str">
        <f t="shared" ca="1" si="72"/>
        <v>VENCIDO</v>
      </c>
      <c r="AB694" s="1" t="str">
        <f t="shared" si="73"/>
        <v>TAAe+</v>
      </c>
      <c r="AC694" s="2">
        <f t="shared" si="76"/>
        <v>0</v>
      </c>
      <c r="AD694" s="2">
        <f t="shared" si="74"/>
        <v>8</v>
      </c>
      <c r="AE694" s="2">
        <f t="shared" ca="1" si="75"/>
        <v>-44986.676271643519</v>
      </c>
      <c r="AF694" s="15"/>
    </row>
    <row r="695" spans="16:32">
      <c r="P695" s="12"/>
      <c r="U695" s="12"/>
      <c r="X695" s="13">
        <f t="shared" si="70"/>
        <v>0</v>
      </c>
      <c r="Y695" s="2">
        <f t="shared" ca="1" si="71"/>
        <v>32133</v>
      </c>
      <c r="Z695" s="14">
        <v>1</v>
      </c>
      <c r="AA695" s="1" t="str">
        <f t="shared" ca="1" si="72"/>
        <v>VENCIDO</v>
      </c>
      <c r="AB695" s="1" t="str">
        <f t="shared" si="73"/>
        <v>TAAe+</v>
      </c>
      <c r="AC695" s="2">
        <f t="shared" si="76"/>
        <v>0</v>
      </c>
      <c r="AD695" s="2">
        <f t="shared" si="74"/>
        <v>8</v>
      </c>
      <c r="AE695" s="2">
        <f t="shared" ca="1" si="75"/>
        <v>-44986.676271643519</v>
      </c>
      <c r="AF695" s="15"/>
    </row>
    <row r="696" spans="16:32">
      <c r="P696" s="12"/>
      <c r="U696" s="12"/>
      <c r="X696" s="13">
        <f t="shared" si="70"/>
        <v>0</v>
      </c>
      <c r="Y696" s="2">
        <f t="shared" ca="1" si="71"/>
        <v>32133</v>
      </c>
      <c r="Z696" s="14">
        <v>1</v>
      </c>
      <c r="AA696" s="1" t="str">
        <f t="shared" ca="1" si="72"/>
        <v>VENCIDO</v>
      </c>
      <c r="AB696" s="1" t="str">
        <f t="shared" si="73"/>
        <v>TAAe+</v>
      </c>
      <c r="AC696" s="2">
        <f t="shared" si="76"/>
        <v>0</v>
      </c>
      <c r="AD696" s="2">
        <f t="shared" si="74"/>
        <v>8</v>
      </c>
      <c r="AE696" s="2">
        <f t="shared" ca="1" si="75"/>
        <v>-44986.676271643519</v>
      </c>
      <c r="AF696" s="15"/>
    </row>
    <row r="697" spans="16:32">
      <c r="P697" s="12"/>
      <c r="U697" s="12"/>
      <c r="X697" s="13">
        <f t="shared" si="70"/>
        <v>0</v>
      </c>
      <c r="Y697" s="2">
        <f t="shared" ca="1" si="71"/>
        <v>32133</v>
      </c>
      <c r="Z697" s="14">
        <v>1</v>
      </c>
      <c r="AA697" s="1" t="str">
        <f t="shared" ca="1" si="72"/>
        <v>VENCIDO</v>
      </c>
      <c r="AB697" s="1" t="str">
        <f t="shared" si="73"/>
        <v>TAAe+</v>
      </c>
      <c r="AC697" s="2">
        <f t="shared" si="76"/>
        <v>0</v>
      </c>
      <c r="AD697" s="2">
        <f t="shared" si="74"/>
        <v>8</v>
      </c>
      <c r="AE697" s="2">
        <f t="shared" ca="1" si="75"/>
        <v>-44986.676271643519</v>
      </c>
      <c r="AF697" s="15"/>
    </row>
    <row r="698" spans="16:32">
      <c r="P698" s="12"/>
      <c r="U698" s="12"/>
      <c r="X698" s="13">
        <f t="shared" si="70"/>
        <v>0</v>
      </c>
      <c r="Y698" s="2">
        <f t="shared" ca="1" si="71"/>
        <v>32133</v>
      </c>
      <c r="Z698" s="14">
        <v>1</v>
      </c>
      <c r="AA698" s="1" t="str">
        <f t="shared" ca="1" si="72"/>
        <v>VENCIDO</v>
      </c>
      <c r="AB698" s="1" t="str">
        <f t="shared" si="73"/>
        <v>TAAe+</v>
      </c>
      <c r="AC698" s="2">
        <f t="shared" si="76"/>
        <v>0</v>
      </c>
      <c r="AD698" s="2">
        <f t="shared" si="74"/>
        <v>8</v>
      </c>
      <c r="AE698" s="2">
        <f t="shared" ca="1" si="75"/>
        <v>-44986.676271643519</v>
      </c>
      <c r="AF698" s="15"/>
    </row>
    <row r="699" spans="16:32">
      <c r="P699" s="12"/>
      <c r="U699" s="12"/>
      <c r="X699" s="13">
        <f t="shared" si="70"/>
        <v>0</v>
      </c>
      <c r="Y699" s="2">
        <f t="shared" ca="1" si="71"/>
        <v>32133</v>
      </c>
      <c r="Z699" s="14">
        <v>1</v>
      </c>
      <c r="AA699" s="1" t="str">
        <f t="shared" ca="1" si="72"/>
        <v>VENCIDO</v>
      </c>
      <c r="AB699" s="1" t="str">
        <f t="shared" si="73"/>
        <v>TAAe+</v>
      </c>
      <c r="AC699" s="2">
        <f t="shared" si="76"/>
        <v>0</v>
      </c>
      <c r="AD699" s="2">
        <f t="shared" si="74"/>
        <v>8</v>
      </c>
      <c r="AE699" s="2">
        <f t="shared" ca="1" si="75"/>
        <v>-44986.676271643519</v>
      </c>
      <c r="AF699" s="15"/>
    </row>
    <row r="700" spans="16:32">
      <c r="Z700" s="14"/>
      <c r="AC700" s="2"/>
      <c r="AE700" s="20"/>
    </row>
    <row r="701" spans="16:32">
      <c r="Z701" s="14"/>
      <c r="AC701" s="2"/>
      <c r="AE701" s="20"/>
    </row>
    <row r="702" spans="16:32">
      <c r="Z702" s="14"/>
      <c r="AC702" s="2"/>
      <c r="AE702" s="20"/>
    </row>
    <row r="703" spans="16:32">
      <c r="Z703" s="14"/>
      <c r="AC703" s="2"/>
      <c r="AE703" s="20"/>
    </row>
    <row r="704" spans="16:32">
      <c r="Z704" s="14"/>
      <c r="AC704" s="2"/>
      <c r="AE704" s="20"/>
    </row>
    <row r="705" spans="26:31">
      <c r="Z705" s="14"/>
      <c r="AC705" s="2"/>
      <c r="AE705" s="20"/>
    </row>
    <row r="706" spans="26:31">
      <c r="Z706" s="14"/>
      <c r="AC706" s="20"/>
      <c r="AE706" s="20"/>
    </row>
    <row r="707" spans="26:31">
      <c r="Z707" s="14"/>
      <c r="AC707" s="20"/>
      <c r="AE707" s="20"/>
    </row>
    <row r="708" spans="26:31">
      <c r="Z708" s="14"/>
      <c r="AC708" s="20"/>
      <c r="AE708" s="20"/>
    </row>
    <row r="709" spans="26:31">
      <c r="Z709" s="14"/>
      <c r="AC709" s="20"/>
      <c r="AE709" s="20"/>
    </row>
    <row r="710" spans="26:31">
      <c r="Z710" s="14"/>
      <c r="AC710" s="20"/>
      <c r="AE710" s="20"/>
    </row>
    <row r="711" spans="26:31">
      <c r="Z711" s="14"/>
      <c r="AC711" s="20"/>
      <c r="AE711" s="20"/>
    </row>
    <row r="712" spans="26:31">
      <c r="Z712" s="14"/>
      <c r="AC712" s="20"/>
      <c r="AE712" s="20"/>
    </row>
    <row r="713" spans="26:31">
      <c r="Z713" s="14"/>
      <c r="AC713" s="20"/>
      <c r="AE713" s="20"/>
    </row>
    <row r="714" spans="26:31">
      <c r="Z714" s="14"/>
      <c r="AA714" s="14"/>
      <c r="AC714" s="1"/>
      <c r="AE714" s="1"/>
    </row>
    <row r="715" spans="26:31">
      <c r="Z715" s="14"/>
      <c r="AA715" s="14"/>
      <c r="AC715" s="1"/>
      <c r="AE715" s="1"/>
    </row>
    <row r="716" spans="26:31">
      <c r="Z716" s="14"/>
      <c r="AA716" s="14"/>
      <c r="AC716" s="1"/>
      <c r="AE716" s="1"/>
    </row>
    <row r="717" spans="26:31">
      <c r="Z717" s="14"/>
      <c r="AA717" s="14"/>
      <c r="AC717" s="1"/>
      <c r="AE717" s="1"/>
    </row>
    <row r="718" spans="26:31">
      <c r="Z718" s="14"/>
      <c r="AA718" s="14"/>
      <c r="AC718" s="1"/>
      <c r="AE718" s="1"/>
    </row>
    <row r="719" spans="26:31">
      <c r="Z719" s="14"/>
      <c r="AA719" s="14"/>
      <c r="AC719" s="1"/>
      <c r="AE719" s="1"/>
    </row>
    <row r="720" spans="26:31">
      <c r="Z720" s="14"/>
      <c r="AA720" s="14"/>
      <c r="AC720" s="1"/>
      <c r="AE720" s="1"/>
    </row>
    <row r="721" spans="26:31">
      <c r="Z721" s="14"/>
      <c r="AA721" s="14"/>
      <c r="AC721" s="1"/>
      <c r="AE721" s="1"/>
    </row>
    <row r="722" spans="26:31">
      <c r="Z722" s="14"/>
      <c r="AA722" s="14"/>
      <c r="AC722" s="1"/>
      <c r="AE722" s="1"/>
    </row>
    <row r="723" spans="26:31">
      <c r="Z723" s="14"/>
      <c r="AA723" s="14"/>
      <c r="AC723" s="21"/>
      <c r="AE723" s="21"/>
    </row>
    <row r="724" spans="26:31">
      <c r="Z724" s="14"/>
      <c r="AA724" s="14"/>
      <c r="AC724" s="21"/>
      <c r="AE724" s="21"/>
    </row>
    <row r="725" spans="26:31">
      <c r="Z725" s="14"/>
      <c r="AA725" s="14"/>
      <c r="AC725" s="22"/>
      <c r="AE725" s="22"/>
    </row>
    <row r="726" spans="26:31">
      <c r="Z726" s="14"/>
      <c r="AA726" s="14"/>
      <c r="AC726" s="21"/>
      <c r="AE726" s="21"/>
    </row>
    <row r="727" spans="26:31">
      <c r="Z727" s="14"/>
      <c r="AA727" s="14"/>
      <c r="AC727" s="21"/>
      <c r="AE727" s="21"/>
    </row>
    <row r="728" spans="26:31">
      <c r="Z728" s="14"/>
      <c r="AA728" s="14"/>
      <c r="AC728" s="21"/>
      <c r="AE728" s="21"/>
    </row>
    <row r="729" spans="26:31">
      <c r="Z729" s="14"/>
      <c r="AA729" s="14"/>
      <c r="AC729" s="21"/>
      <c r="AE729" s="21"/>
    </row>
    <row r="730" spans="26:31">
      <c r="Z730" s="14"/>
      <c r="AA730" s="14"/>
      <c r="AC730" s="21"/>
      <c r="AE730" s="21"/>
    </row>
    <row r="731" spans="26:31">
      <c r="Z731" s="14"/>
      <c r="AA731" s="14"/>
      <c r="AC731" s="21"/>
      <c r="AE731" s="21"/>
    </row>
    <row r="732" spans="26:31">
      <c r="Z732" s="14"/>
      <c r="AA732" s="14"/>
      <c r="AC732" s="21"/>
      <c r="AE732" s="21"/>
    </row>
    <row r="733" spans="26:31">
      <c r="Z733" s="14"/>
      <c r="AA733" s="14"/>
      <c r="AC733" s="21"/>
      <c r="AE733" s="21"/>
    </row>
    <row r="734" spans="26:31">
      <c r="Z734" s="14"/>
      <c r="AA734" s="14"/>
      <c r="AC734" s="21"/>
      <c r="AE734" s="21"/>
    </row>
    <row r="735" spans="26:31">
      <c r="Z735" s="14"/>
      <c r="AA735" s="14"/>
      <c r="AC735" s="21"/>
      <c r="AE735" s="21"/>
    </row>
    <row r="736" spans="26:31">
      <c r="Z736" s="14"/>
      <c r="AA736" s="14"/>
      <c r="AC736" s="21"/>
      <c r="AE736" s="21"/>
    </row>
    <row r="737" spans="26:31">
      <c r="Z737" s="14"/>
      <c r="AA737" s="14"/>
      <c r="AC737" s="21"/>
      <c r="AE737" s="21"/>
    </row>
    <row r="738" spans="26:31">
      <c r="Z738" s="14"/>
      <c r="AA738" s="14"/>
      <c r="AC738" s="21"/>
      <c r="AE738" s="21"/>
    </row>
    <row r="739" spans="26:31">
      <c r="Z739" s="14"/>
      <c r="AA739" s="14"/>
      <c r="AC739" s="21"/>
      <c r="AE739" s="21"/>
    </row>
    <row r="740" spans="26:31">
      <c r="Z740" s="14"/>
      <c r="AA740" s="14"/>
      <c r="AC740" s="21"/>
      <c r="AE740" s="21"/>
    </row>
    <row r="741" spans="26:31">
      <c r="Z741" s="14"/>
      <c r="AA741" s="14"/>
      <c r="AC741" s="21"/>
      <c r="AE741" s="21"/>
    </row>
    <row r="742" spans="26:31">
      <c r="Z742" s="14"/>
      <c r="AA742" s="14"/>
      <c r="AC742" s="21"/>
      <c r="AE742" s="21"/>
    </row>
    <row r="743" spans="26:31">
      <c r="Z743" s="14"/>
      <c r="AA743" s="14"/>
      <c r="AC743" s="21"/>
      <c r="AE743" s="21"/>
    </row>
    <row r="744" spans="26:31">
      <c r="Z744" s="14"/>
      <c r="AA744" s="14"/>
      <c r="AC744" s="21"/>
      <c r="AE744" s="21"/>
    </row>
    <row r="745" spans="26:31">
      <c r="Z745" s="14"/>
      <c r="AA745" s="14"/>
      <c r="AC745" s="21"/>
      <c r="AE745" s="21"/>
    </row>
    <row r="746" spans="26:31">
      <c r="Z746" s="14"/>
      <c r="AA746" s="14"/>
      <c r="AC746" s="21"/>
      <c r="AE746" s="21"/>
    </row>
    <row r="747" spans="26:31">
      <c r="Z747" s="14"/>
      <c r="AA747" s="14"/>
      <c r="AC747" s="21"/>
      <c r="AE747" s="21"/>
    </row>
    <row r="748" spans="26:31">
      <c r="Z748" s="14"/>
      <c r="AA748" s="14"/>
      <c r="AC748" s="21"/>
      <c r="AE748" s="21"/>
    </row>
    <row r="749" spans="26:31">
      <c r="Z749" s="14"/>
      <c r="AA749" s="14"/>
      <c r="AC749" s="21"/>
      <c r="AE749" s="21"/>
    </row>
    <row r="750" spans="26:31">
      <c r="Z750" s="14"/>
      <c r="AA750" s="14"/>
      <c r="AC750" s="21"/>
      <c r="AE750" s="21"/>
    </row>
    <row r="751" spans="26:31">
      <c r="Z751" s="14"/>
      <c r="AA751" s="14"/>
      <c r="AC751" s="21"/>
      <c r="AE751" s="21"/>
    </row>
    <row r="752" spans="26:31">
      <c r="Z752" s="14"/>
      <c r="AA752" s="14"/>
      <c r="AC752" s="21"/>
      <c r="AE752" s="21"/>
    </row>
    <row r="753" spans="26:31">
      <c r="Z753" s="14"/>
      <c r="AA753" s="14"/>
      <c r="AC753" s="21"/>
      <c r="AE753" s="21"/>
    </row>
    <row r="754" spans="26:31">
      <c r="Z754" s="14"/>
      <c r="AA754" s="14"/>
      <c r="AC754" s="21"/>
      <c r="AE754" s="21"/>
    </row>
    <row r="755" spans="26:31">
      <c r="Z755" s="14"/>
      <c r="AA755" s="14"/>
      <c r="AC755" s="21"/>
      <c r="AE755" s="21"/>
    </row>
    <row r="756" spans="26:31">
      <c r="Z756" s="14"/>
      <c r="AA756" s="14"/>
      <c r="AC756" s="21"/>
      <c r="AE756" s="21"/>
    </row>
    <row r="757" spans="26:31">
      <c r="Z757" s="14"/>
      <c r="AA757" s="14"/>
      <c r="AC757" s="21"/>
      <c r="AE757" s="21"/>
    </row>
    <row r="758" spans="26:31">
      <c r="Z758" s="14"/>
      <c r="AA758" s="14"/>
      <c r="AC758" s="21"/>
      <c r="AE758" s="21"/>
    </row>
    <row r="759" spans="26:31">
      <c r="Z759" s="14"/>
      <c r="AA759" s="14"/>
      <c r="AC759" s="21"/>
      <c r="AE759" s="21"/>
    </row>
    <row r="760" spans="26:31">
      <c r="Z760" s="14"/>
      <c r="AA760" s="14"/>
      <c r="AC760" s="21"/>
      <c r="AE760" s="21"/>
    </row>
    <row r="761" spans="26:31">
      <c r="Z761" s="14"/>
      <c r="AA761" s="14"/>
      <c r="AC761" s="21"/>
      <c r="AE761" s="21"/>
    </row>
    <row r="762" spans="26:31">
      <c r="Z762" s="14"/>
      <c r="AA762" s="14"/>
      <c r="AC762" s="21"/>
      <c r="AE762" s="21"/>
    </row>
    <row r="763" spans="26:31">
      <c r="Z763" s="14"/>
      <c r="AA763" s="14"/>
      <c r="AC763" s="21"/>
      <c r="AE763" s="21"/>
    </row>
    <row r="764" spans="26:31">
      <c r="Z764" s="14"/>
      <c r="AA764" s="14"/>
      <c r="AC764" s="21"/>
      <c r="AE764" s="21"/>
    </row>
    <row r="765" spans="26:31">
      <c r="Z765" s="14"/>
      <c r="AA765" s="14"/>
      <c r="AC765" s="21"/>
      <c r="AE765" s="21"/>
    </row>
    <row r="766" spans="26:31">
      <c r="Z766" s="14"/>
      <c r="AA766" s="14"/>
      <c r="AC766" s="21"/>
      <c r="AE766" s="21"/>
    </row>
    <row r="767" spans="26:31">
      <c r="Z767" s="14"/>
      <c r="AA767" s="14"/>
      <c r="AC767" s="21"/>
      <c r="AE767" s="21"/>
    </row>
    <row r="768" spans="26:31">
      <c r="Z768" s="14"/>
      <c r="AA768" s="14"/>
      <c r="AC768" s="21"/>
      <c r="AE768" s="21"/>
    </row>
    <row r="769" spans="26:31">
      <c r="Z769" s="14"/>
      <c r="AA769" s="14"/>
      <c r="AC769" s="21"/>
      <c r="AE769" s="21"/>
    </row>
    <row r="770" spans="26:31">
      <c r="Z770" s="14"/>
      <c r="AA770" s="14"/>
      <c r="AC770" s="21"/>
      <c r="AE770" s="21"/>
    </row>
    <row r="771" spans="26:31">
      <c r="Z771" s="14"/>
      <c r="AA771" s="14"/>
      <c r="AC771" s="21"/>
      <c r="AE771" s="21"/>
    </row>
    <row r="772" spans="26:31">
      <c r="Z772" s="14"/>
      <c r="AA772" s="14"/>
      <c r="AC772" s="21"/>
      <c r="AE772" s="21"/>
    </row>
    <row r="773" spans="26:31">
      <c r="Z773" s="14"/>
      <c r="AA773" s="14"/>
      <c r="AC773" s="21"/>
      <c r="AE773" s="21"/>
    </row>
    <row r="774" spans="26:31">
      <c r="Z774" s="14"/>
      <c r="AA774" s="14"/>
      <c r="AC774" s="21"/>
      <c r="AE774" s="21"/>
    </row>
    <row r="775" spans="26:31">
      <c r="Z775" s="14"/>
      <c r="AA775" s="14"/>
      <c r="AC775" s="21"/>
      <c r="AE775" s="21"/>
    </row>
    <row r="776" spans="26:31">
      <c r="Z776" s="14"/>
      <c r="AA776" s="14"/>
      <c r="AC776" s="21"/>
      <c r="AE776" s="21"/>
    </row>
    <row r="777" spans="26:31">
      <c r="Z777" s="14"/>
      <c r="AA777" s="14"/>
      <c r="AC777" s="21"/>
      <c r="AE777" s="21"/>
    </row>
    <row r="778" spans="26:31">
      <c r="Z778" s="14"/>
      <c r="AA778" s="14"/>
      <c r="AC778" s="21"/>
      <c r="AE778" s="21"/>
    </row>
    <row r="779" spans="26:31">
      <c r="Z779" s="14"/>
      <c r="AA779" s="14"/>
      <c r="AC779" s="21"/>
      <c r="AE779" s="21"/>
    </row>
    <row r="780" spans="26:31">
      <c r="Z780" s="14"/>
      <c r="AA780" s="14"/>
      <c r="AC780" s="21"/>
      <c r="AE780" s="21"/>
    </row>
    <row r="781" spans="26:31">
      <c r="Z781" s="14"/>
      <c r="AA781" s="14"/>
      <c r="AC781" s="21"/>
      <c r="AE781" s="21"/>
    </row>
    <row r="782" spans="26:31">
      <c r="Z782" s="14"/>
      <c r="AA782" s="14"/>
      <c r="AC782" s="21"/>
      <c r="AE782" s="21"/>
    </row>
    <row r="783" spans="26:31">
      <c r="Z783" s="14"/>
      <c r="AA783" s="14"/>
      <c r="AC783" s="21"/>
      <c r="AE783" s="21"/>
    </row>
    <row r="784" spans="26:31">
      <c r="Z784" s="14"/>
      <c r="AA784" s="14"/>
      <c r="AC784" s="21"/>
      <c r="AE784" s="21"/>
    </row>
    <row r="785" spans="26:31">
      <c r="Z785" s="14"/>
      <c r="AA785" s="14"/>
      <c r="AC785" s="21"/>
      <c r="AE785" s="21"/>
    </row>
    <row r="786" spans="26:31">
      <c r="Z786" s="14"/>
      <c r="AA786" s="14"/>
      <c r="AC786" s="21"/>
      <c r="AE786" s="21"/>
    </row>
    <row r="787" spans="26:31">
      <c r="Z787" s="14"/>
      <c r="AA787" s="14"/>
      <c r="AC787" s="21"/>
      <c r="AE787" s="21"/>
    </row>
    <row r="788" spans="26:31">
      <c r="Z788" s="14"/>
      <c r="AA788" s="14"/>
      <c r="AC788" s="21"/>
      <c r="AE788" s="21"/>
    </row>
    <row r="789" spans="26:31">
      <c r="Z789" s="14"/>
      <c r="AA789" s="14"/>
      <c r="AC789" s="21"/>
      <c r="AE789" s="21"/>
    </row>
    <row r="790" spans="26:31">
      <c r="Z790" s="14"/>
      <c r="AA790" s="14"/>
      <c r="AC790" s="21"/>
      <c r="AE790" s="21"/>
    </row>
    <row r="791" spans="26:31">
      <c r="Z791" s="14"/>
      <c r="AA791" s="14"/>
      <c r="AC791" s="21"/>
      <c r="AE791" s="21"/>
    </row>
    <row r="792" spans="26:31">
      <c r="Z792" s="14"/>
      <c r="AA792" s="14"/>
      <c r="AC792" s="21"/>
      <c r="AE792" s="21"/>
    </row>
    <row r="793" spans="26:31">
      <c r="Z793" s="14"/>
      <c r="AA793" s="14"/>
      <c r="AC793" s="21"/>
      <c r="AE793" s="21"/>
    </row>
    <row r="794" spans="26:31">
      <c r="Z794" s="14"/>
      <c r="AA794" s="14"/>
      <c r="AC794" s="21"/>
      <c r="AE794" s="21"/>
    </row>
    <row r="795" spans="26:31">
      <c r="Z795" s="14"/>
      <c r="AA795" s="14"/>
      <c r="AC795" s="21"/>
      <c r="AE795" s="21"/>
    </row>
    <row r="796" spans="26:31">
      <c r="Z796" s="14"/>
      <c r="AA796" s="14"/>
      <c r="AC796" s="21"/>
      <c r="AE796" s="21"/>
    </row>
    <row r="797" spans="26:31">
      <c r="Z797" s="14"/>
      <c r="AA797" s="14"/>
      <c r="AC797" s="21"/>
      <c r="AE797" s="21"/>
    </row>
    <row r="798" spans="26:31">
      <c r="Z798" s="14"/>
      <c r="AA798" s="14"/>
      <c r="AC798" s="21"/>
      <c r="AE798" s="21"/>
    </row>
    <row r="799" spans="26:31">
      <c r="Z799" s="14"/>
      <c r="AA799" s="14"/>
      <c r="AC799" s="21"/>
      <c r="AE799" s="21"/>
    </row>
    <row r="800" spans="26:31">
      <c r="Z800" s="14"/>
      <c r="AA800" s="14"/>
      <c r="AC800" s="21"/>
      <c r="AE800" s="21"/>
    </row>
    <row r="801" spans="26:31">
      <c r="Z801" s="14"/>
      <c r="AA801" s="14"/>
      <c r="AC801" s="21"/>
      <c r="AE801" s="21"/>
    </row>
    <row r="802" spans="26:31">
      <c r="Z802" s="14"/>
      <c r="AA802" s="14"/>
      <c r="AC802" s="21"/>
      <c r="AE802" s="21"/>
    </row>
    <row r="803" spans="26:31">
      <c r="Z803" s="14"/>
      <c r="AA803" s="14"/>
      <c r="AC803" s="21"/>
      <c r="AE803" s="21"/>
    </row>
    <row r="804" spans="26:31">
      <c r="Z804" s="14"/>
      <c r="AA804" s="14"/>
      <c r="AC804" s="21"/>
      <c r="AE804" s="21"/>
    </row>
    <row r="805" spans="26:31">
      <c r="Z805" s="14"/>
      <c r="AA805" s="14"/>
      <c r="AC805" s="21"/>
      <c r="AE805" s="21"/>
    </row>
    <row r="806" spans="26:31">
      <c r="Z806" s="14"/>
      <c r="AA806" s="14"/>
      <c r="AC806" s="21"/>
      <c r="AE806" s="21"/>
    </row>
    <row r="807" spans="26:31">
      <c r="Z807" s="14"/>
      <c r="AA807" s="14"/>
      <c r="AC807" s="21"/>
      <c r="AE807" s="21"/>
    </row>
    <row r="808" spans="26:31">
      <c r="Z808" s="14"/>
      <c r="AA808" s="14"/>
      <c r="AC808" s="21"/>
      <c r="AE808" s="21"/>
    </row>
    <row r="809" spans="26:31">
      <c r="Z809" s="14"/>
      <c r="AA809" s="14"/>
      <c r="AC809" s="21"/>
      <c r="AE809" s="21"/>
    </row>
    <row r="810" spans="26:31">
      <c r="Z810" s="14"/>
      <c r="AA810" s="14"/>
      <c r="AC810" s="21"/>
      <c r="AE810" s="21"/>
    </row>
    <row r="811" spans="26:31">
      <c r="Z811" s="14"/>
      <c r="AA811" s="14"/>
      <c r="AC811" s="21"/>
      <c r="AE811" s="21"/>
    </row>
    <row r="812" spans="26:31">
      <c r="Z812" s="14"/>
      <c r="AA812" s="14"/>
      <c r="AC812" s="21"/>
      <c r="AE812" s="21"/>
    </row>
    <row r="813" spans="26:31">
      <c r="Z813" s="14"/>
      <c r="AA813" s="14"/>
      <c r="AC813" s="21"/>
      <c r="AE813" s="21"/>
    </row>
    <row r="814" spans="26:31">
      <c r="Z814" s="14"/>
      <c r="AA814" s="14"/>
      <c r="AC814" s="21"/>
      <c r="AE814" s="21"/>
    </row>
    <row r="815" spans="26:31">
      <c r="Z815" s="14"/>
      <c r="AA815" s="14"/>
      <c r="AC815" s="21"/>
      <c r="AE815" s="21"/>
    </row>
    <row r="816" spans="26:31">
      <c r="Z816" s="14"/>
      <c r="AA816" s="14"/>
      <c r="AC816" s="21"/>
      <c r="AE816" s="21"/>
    </row>
    <row r="817" spans="26:31">
      <c r="Z817" s="14"/>
      <c r="AA817" s="14"/>
      <c r="AC817" s="21"/>
      <c r="AE817" s="21"/>
    </row>
    <row r="818" spans="26:31">
      <c r="Z818" s="14"/>
      <c r="AA818" s="14"/>
      <c r="AC818" s="21"/>
      <c r="AE818" s="21"/>
    </row>
    <row r="819" spans="26:31">
      <c r="Z819" s="14"/>
      <c r="AA819" s="14"/>
      <c r="AC819" s="21"/>
      <c r="AE819" s="21"/>
    </row>
    <row r="820" spans="26:31">
      <c r="Z820" s="14"/>
      <c r="AA820" s="14"/>
      <c r="AC820" s="21"/>
      <c r="AE820" s="21"/>
    </row>
    <row r="821" spans="26:31">
      <c r="Z821" s="14"/>
      <c r="AA821" s="14"/>
      <c r="AC821" s="21"/>
      <c r="AE821" s="21"/>
    </row>
    <row r="822" spans="26:31">
      <c r="Z822" s="14"/>
      <c r="AA822" s="14"/>
      <c r="AC822" s="21"/>
      <c r="AE822" s="21"/>
    </row>
    <row r="823" spans="26:31">
      <c r="Z823" s="14"/>
      <c r="AA823" s="14"/>
      <c r="AC823" s="21"/>
      <c r="AE823" s="21"/>
    </row>
    <row r="824" spans="26:31">
      <c r="Z824" s="14"/>
      <c r="AA824" s="14"/>
      <c r="AC824" s="21"/>
      <c r="AE824" s="21"/>
    </row>
    <row r="825" spans="26:31">
      <c r="Z825" s="14"/>
      <c r="AA825" s="14"/>
      <c r="AC825" s="21"/>
      <c r="AE825" s="21"/>
    </row>
    <row r="826" spans="26:31">
      <c r="Z826" s="14"/>
      <c r="AA826" s="14"/>
      <c r="AC826" s="21"/>
      <c r="AE826" s="21"/>
    </row>
    <row r="827" spans="26:31">
      <c r="Z827" s="14"/>
      <c r="AA827" s="14"/>
      <c r="AC827" s="21"/>
      <c r="AE827" s="21"/>
    </row>
    <row r="828" spans="26:31">
      <c r="Z828" s="14"/>
      <c r="AA828" s="14"/>
      <c r="AC828" s="21"/>
      <c r="AE828" s="21"/>
    </row>
    <row r="829" spans="26:31">
      <c r="Z829" s="14"/>
      <c r="AA829" s="14"/>
      <c r="AC829" s="21"/>
      <c r="AE829" s="21"/>
    </row>
    <row r="830" spans="26:31">
      <c r="Z830" s="14"/>
      <c r="AA830" s="14"/>
      <c r="AC830" s="21"/>
      <c r="AE830" s="21"/>
    </row>
    <row r="831" spans="26:31">
      <c r="Z831" s="14"/>
      <c r="AA831" s="14"/>
      <c r="AC831" s="21"/>
      <c r="AE831" s="21"/>
    </row>
    <row r="832" spans="26:31">
      <c r="Z832" s="14"/>
      <c r="AA832" s="14"/>
      <c r="AC832" s="21"/>
      <c r="AE832" s="21"/>
    </row>
    <row r="833" spans="26:31">
      <c r="Z833" s="14"/>
      <c r="AA833" s="14"/>
      <c r="AC833" s="21"/>
      <c r="AE833" s="21"/>
    </row>
    <row r="834" spans="26:31">
      <c r="Z834" s="14"/>
      <c r="AA834" s="14"/>
      <c r="AC834" s="21"/>
      <c r="AE834" s="21"/>
    </row>
    <row r="835" spans="26:31">
      <c r="Z835" s="14"/>
      <c r="AA835" s="14"/>
      <c r="AC835" s="21"/>
      <c r="AE835" s="21"/>
    </row>
    <row r="836" spans="26:31">
      <c r="Z836" s="14"/>
      <c r="AA836" s="14"/>
      <c r="AC836" s="21"/>
      <c r="AE836" s="21"/>
    </row>
    <row r="837" spans="26:31">
      <c r="Z837" s="14"/>
      <c r="AA837" s="14"/>
      <c r="AC837" s="21"/>
      <c r="AE837" s="21"/>
    </row>
    <row r="838" spans="26:31">
      <c r="Z838" s="14"/>
      <c r="AA838" s="14"/>
      <c r="AC838" s="21"/>
      <c r="AE838" s="21"/>
    </row>
    <row r="839" spans="26:31">
      <c r="Z839" s="14"/>
      <c r="AA839" s="14"/>
      <c r="AC839" s="21"/>
      <c r="AE839" s="21"/>
    </row>
    <row r="840" spans="26:31">
      <c r="Z840" s="14"/>
      <c r="AA840" s="14"/>
      <c r="AC840" s="21"/>
      <c r="AE840" s="21"/>
    </row>
    <row r="841" spans="26:31">
      <c r="Z841" s="14"/>
      <c r="AA841" s="14"/>
      <c r="AC841" s="21"/>
      <c r="AE841" s="21"/>
    </row>
    <row r="842" spans="26:31">
      <c r="Z842" s="14"/>
      <c r="AA842" s="14"/>
      <c r="AC842" s="21"/>
      <c r="AE842" s="21"/>
    </row>
    <row r="843" spans="26:31">
      <c r="Z843" s="14"/>
      <c r="AA843" s="14"/>
      <c r="AC843" s="21"/>
      <c r="AE843" s="21"/>
    </row>
    <row r="844" spans="26:31">
      <c r="Z844" s="14"/>
      <c r="AA844" s="14"/>
      <c r="AC844" s="21"/>
      <c r="AE844" s="21"/>
    </row>
    <row r="845" spans="26:31">
      <c r="Z845" s="14"/>
      <c r="AA845" s="14"/>
      <c r="AC845" s="21"/>
      <c r="AE845" s="21"/>
    </row>
    <row r="846" spans="26:31">
      <c r="Z846" s="14"/>
      <c r="AA846" s="14"/>
      <c r="AC846" s="21"/>
      <c r="AE846" s="21"/>
    </row>
    <row r="847" spans="26:31">
      <c r="Z847" s="14"/>
      <c r="AA847" s="14"/>
      <c r="AC847" s="21"/>
      <c r="AE847" s="21"/>
    </row>
    <row r="848" spans="26:31">
      <c r="Z848" s="14"/>
      <c r="AA848" s="14"/>
      <c r="AC848" s="21"/>
      <c r="AE848" s="21"/>
    </row>
    <row r="849" spans="26:31">
      <c r="Z849" s="14"/>
      <c r="AA849" s="14"/>
      <c r="AC849" s="21"/>
      <c r="AE849" s="21"/>
    </row>
    <row r="850" spans="26:31">
      <c r="Z850" s="14"/>
      <c r="AA850" s="14"/>
      <c r="AC850" s="21"/>
      <c r="AE850" s="21"/>
    </row>
    <row r="851" spans="26:31">
      <c r="Z851" s="14"/>
      <c r="AA851" s="14"/>
      <c r="AC851" s="21"/>
      <c r="AE851" s="21"/>
    </row>
    <row r="852" spans="26:31">
      <c r="Z852" s="14"/>
      <c r="AA852" s="14"/>
      <c r="AC852" s="21"/>
      <c r="AE852" s="21"/>
    </row>
    <row r="853" spans="26:31">
      <c r="Z853" s="14"/>
      <c r="AA853" s="14"/>
      <c r="AC853" s="21"/>
      <c r="AE853" s="21"/>
    </row>
    <row r="854" spans="26:31">
      <c r="Z854" s="14"/>
      <c r="AA854" s="14"/>
      <c r="AC854" s="21"/>
      <c r="AE854" s="21"/>
    </row>
    <row r="855" spans="26:31">
      <c r="Z855" s="14"/>
      <c r="AA855" s="14"/>
      <c r="AC855" s="21"/>
      <c r="AE855" s="21"/>
    </row>
    <row r="856" spans="26:31">
      <c r="Z856" s="14"/>
      <c r="AA856" s="14"/>
      <c r="AC856" s="21"/>
      <c r="AE856" s="21"/>
    </row>
    <row r="857" spans="26:31">
      <c r="Z857" s="14"/>
      <c r="AA857" s="14"/>
      <c r="AC857" s="21"/>
      <c r="AE857" s="21"/>
    </row>
    <row r="858" spans="26:31">
      <c r="Z858" s="14"/>
      <c r="AA858" s="14"/>
      <c r="AC858" s="21"/>
      <c r="AE858" s="21"/>
    </row>
    <row r="859" spans="26:31">
      <c r="Z859" s="14"/>
      <c r="AA859" s="14"/>
      <c r="AC859" s="21"/>
      <c r="AE859" s="21"/>
    </row>
    <row r="860" spans="26:31">
      <c r="Z860" s="14"/>
      <c r="AA860" s="14"/>
      <c r="AC860" s="21"/>
      <c r="AE860" s="21"/>
    </row>
    <row r="861" spans="26:31">
      <c r="Z861" s="14"/>
      <c r="AA861" s="14"/>
      <c r="AC861" s="21"/>
      <c r="AE861" s="21"/>
    </row>
    <row r="862" spans="26:31">
      <c r="Z862" s="14"/>
      <c r="AA862" s="14"/>
      <c r="AC862" s="21"/>
      <c r="AE862" s="21"/>
    </row>
    <row r="863" spans="26:31">
      <c r="Z863" s="14"/>
      <c r="AA863" s="14"/>
      <c r="AC863" s="21"/>
      <c r="AE863" s="21"/>
    </row>
    <row r="864" spans="26:31">
      <c r="Z864" s="14"/>
      <c r="AA864" s="14"/>
      <c r="AC864" s="21"/>
      <c r="AE864" s="21"/>
    </row>
    <row r="865" spans="26:31">
      <c r="Z865" s="14"/>
      <c r="AA865" s="14"/>
      <c r="AC865" s="21"/>
      <c r="AE865" s="21"/>
    </row>
    <row r="866" spans="26:31">
      <c r="Z866" s="14"/>
      <c r="AA866" s="14"/>
      <c r="AC866" s="21"/>
      <c r="AE866" s="21"/>
    </row>
    <row r="867" spans="26:31">
      <c r="Z867" s="14"/>
      <c r="AA867" s="14"/>
      <c r="AC867" s="21"/>
      <c r="AE867" s="21"/>
    </row>
    <row r="868" spans="26:31">
      <c r="Z868" s="14"/>
      <c r="AA868" s="14"/>
      <c r="AC868" s="21"/>
      <c r="AE868" s="21"/>
    </row>
    <row r="869" spans="26:31">
      <c r="Z869" s="14"/>
      <c r="AA869" s="14"/>
      <c r="AC869" s="21"/>
      <c r="AE869" s="21"/>
    </row>
    <row r="870" spans="26:31">
      <c r="Z870" s="14"/>
      <c r="AA870" s="14"/>
      <c r="AC870" s="21"/>
      <c r="AE870" s="21"/>
    </row>
    <row r="871" spans="26:31">
      <c r="Z871" s="14"/>
      <c r="AA871" s="14"/>
      <c r="AC871" s="21"/>
      <c r="AE871" s="21"/>
    </row>
    <row r="872" spans="26:31">
      <c r="Z872" s="14"/>
      <c r="AA872" s="14"/>
      <c r="AC872" s="21"/>
      <c r="AE872" s="21"/>
    </row>
    <row r="873" spans="26:31">
      <c r="Z873" s="14"/>
      <c r="AA873" s="14"/>
      <c r="AC873" s="21"/>
      <c r="AE873" s="21"/>
    </row>
    <row r="874" spans="26:31">
      <c r="Z874" s="14"/>
      <c r="AA874" s="14"/>
      <c r="AC874" s="21"/>
      <c r="AE874" s="21"/>
    </row>
    <row r="875" spans="26:31">
      <c r="Z875" s="14"/>
      <c r="AA875" s="14"/>
      <c r="AC875" s="21"/>
      <c r="AE875" s="21"/>
    </row>
    <row r="876" spans="26:31">
      <c r="Z876" s="14"/>
      <c r="AA876" s="14"/>
      <c r="AC876" s="21"/>
      <c r="AE876" s="21"/>
    </row>
    <row r="877" spans="26:31">
      <c r="Z877" s="14"/>
      <c r="AA877" s="14"/>
      <c r="AC877" s="21"/>
      <c r="AE877" s="21"/>
    </row>
    <row r="878" spans="26:31">
      <c r="Z878" s="14"/>
      <c r="AA878" s="14"/>
      <c r="AC878" s="21"/>
      <c r="AE878" s="21"/>
    </row>
    <row r="879" spans="26:31">
      <c r="Z879" s="14"/>
      <c r="AA879" s="14"/>
      <c r="AC879" s="21"/>
      <c r="AE879" s="21"/>
    </row>
    <row r="880" spans="26:31">
      <c r="Z880" s="14"/>
      <c r="AA880" s="14"/>
      <c r="AC880" s="21"/>
      <c r="AE880" s="21"/>
    </row>
    <row r="881" spans="26:31">
      <c r="Z881" s="14"/>
      <c r="AA881" s="14"/>
      <c r="AC881" s="21"/>
      <c r="AE881" s="21"/>
    </row>
    <row r="882" spans="26:31">
      <c r="Z882" s="14"/>
      <c r="AA882" s="14"/>
      <c r="AC882" s="21"/>
      <c r="AE882" s="21"/>
    </row>
    <row r="883" spans="26:31">
      <c r="Z883" s="14"/>
      <c r="AA883" s="14"/>
      <c r="AC883" s="21"/>
      <c r="AE883" s="21"/>
    </row>
    <row r="884" spans="26:31">
      <c r="Z884" s="14"/>
      <c r="AA884" s="14"/>
      <c r="AC884" s="21"/>
      <c r="AE884" s="21"/>
    </row>
    <row r="885" spans="26:31">
      <c r="Z885" s="14"/>
      <c r="AA885" s="14"/>
      <c r="AC885" s="21"/>
      <c r="AE885" s="21"/>
    </row>
    <row r="886" spans="26:31">
      <c r="Z886" s="14"/>
      <c r="AA886" s="14"/>
      <c r="AC886" s="21"/>
      <c r="AE886" s="21"/>
    </row>
    <row r="887" spans="26:31">
      <c r="Z887" s="14"/>
      <c r="AA887" s="14"/>
      <c r="AC887" s="21"/>
      <c r="AE887" s="21"/>
    </row>
    <row r="888" spans="26:31">
      <c r="Z888" s="14"/>
      <c r="AA888" s="14"/>
      <c r="AC888" s="21"/>
      <c r="AE888" s="21"/>
    </row>
    <row r="889" spans="26:31">
      <c r="Z889" s="14"/>
      <c r="AA889" s="14"/>
      <c r="AC889" s="21"/>
      <c r="AE889" s="21"/>
    </row>
    <row r="890" spans="26:31">
      <c r="Z890" s="14"/>
      <c r="AA890" s="14"/>
      <c r="AC890" s="21"/>
      <c r="AE890" s="21"/>
    </row>
    <row r="891" spans="26:31">
      <c r="Z891" s="14"/>
      <c r="AA891" s="14"/>
      <c r="AC891" s="21"/>
      <c r="AE891" s="21"/>
    </row>
    <row r="892" spans="26:31">
      <c r="Z892" s="14"/>
      <c r="AA892" s="14"/>
      <c r="AC892" s="21"/>
      <c r="AE892" s="21"/>
    </row>
    <row r="893" spans="26:31">
      <c r="Z893" s="14"/>
      <c r="AA893" s="14"/>
      <c r="AC893" s="21"/>
      <c r="AE893" s="21"/>
    </row>
    <row r="894" spans="26:31">
      <c r="Z894" s="14"/>
      <c r="AA894" s="14"/>
      <c r="AC894" s="21"/>
      <c r="AE894" s="21"/>
    </row>
    <row r="895" spans="26:31">
      <c r="Z895" s="14"/>
      <c r="AA895" s="14"/>
    </row>
    <row r="896" spans="26:31">
      <c r="Z896" s="14"/>
      <c r="AA896" s="14"/>
    </row>
    <row r="897" spans="26:27">
      <c r="Z897" s="14"/>
      <c r="AA897" s="14"/>
    </row>
    <row r="898" spans="26:27">
      <c r="Z898" s="14"/>
      <c r="AA898" s="14"/>
    </row>
    <row r="899" spans="26:27">
      <c r="Z899" s="14"/>
      <c r="AA899" s="14"/>
    </row>
    <row r="900" spans="26:27">
      <c r="Z900" s="14"/>
      <c r="AA900" s="14"/>
    </row>
    <row r="901" spans="26:27">
      <c r="Z901" s="14"/>
      <c r="AA901" s="14"/>
    </row>
    <row r="902" spans="26:27">
      <c r="Z902" s="14"/>
      <c r="AA902" s="14"/>
    </row>
    <row r="903" spans="26:27">
      <c r="Z903" s="14"/>
      <c r="AA903" s="14"/>
    </row>
    <row r="904" spans="26:27">
      <c r="Z904" s="14"/>
      <c r="AA904" s="14"/>
    </row>
    <row r="905" spans="26:27">
      <c r="Z905" s="14"/>
      <c r="AA905" s="14"/>
    </row>
    <row r="906" spans="26:27">
      <c r="Z906" s="14"/>
      <c r="AA906" s="14"/>
    </row>
    <row r="907" spans="26:27">
      <c r="Z907" s="14"/>
      <c r="AA907" s="14"/>
    </row>
    <row r="908" spans="26:27">
      <c r="Z908" s="14"/>
      <c r="AA908" s="14"/>
    </row>
    <row r="909" spans="26:27">
      <c r="Z909" s="14"/>
      <c r="AA909" s="14"/>
    </row>
    <row r="910" spans="26:27">
      <c r="Z910" s="14"/>
      <c r="AA910" s="14"/>
    </row>
    <row r="911" spans="26:27">
      <c r="Z911" s="14"/>
      <c r="AA911" s="14"/>
    </row>
    <row r="912" spans="26:27">
      <c r="Z912" s="14"/>
      <c r="AA912" s="14"/>
    </row>
    <row r="913" spans="26:27">
      <c r="Z913" s="14"/>
      <c r="AA913" s="14"/>
    </row>
    <row r="914" spans="26:27">
      <c r="Z914" s="14"/>
      <c r="AA914" s="14"/>
    </row>
    <row r="915" spans="26:27">
      <c r="Z915" s="14"/>
      <c r="AA915" s="14"/>
    </row>
    <row r="916" spans="26:27">
      <c r="Z916" s="14"/>
      <c r="AA916" s="14"/>
    </row>
    <row r="917" spans="26:27">
      <c r="Z917" s="14"/>
      <c r="AA917" s="14"/>
    </row>
    <row r="918" spans="26:27">
      <c r="Z918" s="14"/>
      <c r="AA918" s="14"/>
    </row>
    <row r="919" spans="26:27">
      <c r="Z919" s="14"/>
      <c r="AA919" s="14"/>
    </row>
    <row r="920" spans="26:27">
      <c r="Z920" s="14"/>
      <c r="AA920" s="14"/>
    </row>
    <row r="921" spans="26:27">
      <c r="Z921" s="14"/>
      <c r="AA921" s="14"/>
    </row>
    <row r="922" spans="26:27">
      <c r="Z922" s="14"/>
      <c r="AA922" s="14"/>
    </row>
    <row r="923" spans="26:27">
      <c r="Z923" s="14"/>
      <c r="AA923" s="14"/>
    </row>
    <row r="924" spans="26:27">
      <c r="Z924" s="14"/>
      <c r="AA924" s="14"/>
    </row>
    <row r="925" spans="26:27">
      <c r="Z925" s="14"/>
      <c r="AA925" s="14"/>
    </row>
    <row r="926" spans="26:27">
      <c r="Z926" s="14"/>
      <c r="AA926" s="14"/>
    </row>
    <row r="927" spans="26:27">
      <c r="Z927" s="14"/>
      <c r="AA927" s="14"/>
    </row>
    <row r="928" spans="26:27">
      <c r="Z928" s="14"/>
      <c r="AA928" s="14"/>
    </row>
    <row r="929" spans="26:27">
      <c r="Z929" s="14"/>
      <c r="AA929" s="14"/>
    </row>
    <row r="930" spans="26:27">
      <c r="Z930" s="14"/>
      <c r="AA930" s="14"/>
    </row>
    <row r="931" spans="26:27">
      <c r="Z931" s="14"/>
      <c r="AA931" s="14"/>
    </row>
    <row r="932" spans="26:27">
      <c r="Z932" s="14"/>
      <c r="AA932" s="14"/>
    </row>
    <row r="933" spans="26:27">
      <c r="Z933" s="14"/>
      <c r="AA933" s="14"/>
    </row>
    <row r="934" spans="26:27">
      <c r="Z934" s="14"/>
      <c r="AA934" s="14"/>
    </row>
    <row r="935" spans="26:27">
      <c r="Z935" s="14"/>
      <c r="AA935" s="14"/>
    </row>
    <row r="936" spans="26:27">
      <c r="Z936" s="14"/>
      <c r="AA936" s="14"/>
    </row>
    <row r="937" spans="26:27">
      <c r="Z937" s="14"/>
      <c r="AA937" s="14"/>
    </row>
    <row r="938" spans="26:27">
      <c r="Z938" s="14"/>
      <c r="AA938" s="14"/>
    </row>
    <row r="939" spans="26:27">
      <c r="Z939" s="14"/>
      <c r="AA939" s="14"/>
    </row>
    <row r="940" spans="26:27">
      <c r="Z940" s="14"/>
      <c r="AA940" s="14"/>
    </row>
    <row r="941" spans="26:27">
      <c r="Z941" s="14"/>
      <c r="AA941" s="14"/>
    </row>
    <row r="942" spans="26:27">
      <c r="Z942" s="14"/>
      <c r="AA942" s="14"/>
    </row>
    <row r="943" spans="26:27">
      <c r="Z943" s="14"/>
      <c r="AA943" s="14"/>
    </row>
    <row r="944" spans="26:27">
      <c r="Z944" s="14"/>
      <c r="AA944" s="14"/>
    </row>
    <row r="945" spans="26:27">
      <c r="Z945" s="14"/>
      <c r="AA945" s="14"/>
    </row>
    <row r="946" spans="26:27">
      <c r="Z946" s="14"/>
      <c r="AA946" s="14"/>
    </row>
    <row r="947" spans="26:27">
      <c r="Z947" s="14"/>
      <c r="AA947" s="14"/>
    </row>
    <row r="948" spans="26:27">
      <c r="Z948" s="14"/>
      <c r="AA948" s="14"/>
    </row>
    <row r="949" spans="26:27">
      <c r="Z949" s="14"/>
      <c r="AA949" s="14"/>
    </row>
    <row r="950" spans="26:27">
      <c r="Z950" s="14"/>
      <c r="AA950" s="14"/>
    </row>
    <row r="951" spans="26:27">
      <c r="Z951" s="14"/>
      <c r="AA951" s="14"/>
    </row>
    <row r="952" spans="26:27">
      <c r="Z952" s="14"/>
      <c r="AA952" s="14"/>
    </row>
    <row r="953" spans="26:27">
      <c r="Z953" s="14"/>
      <c r="AA953" s="14"/>
    </row>
    <row r="954" spans="26:27">
      <c r="Z954" s="14"/>
      <c r="AA954" s="14"/>
    </row>
    <row r="955" spans="26:27">
      <c r="Z955" s="14"/>
      <c r="AA955" s="14"/>
    </row>
    <row r="956" spans="26:27">
      <c r="Z956" s="14"/>
      <c r="AA956" s="14"/>
    </row>
    <row r="957" spans="26:27">
      <c r="Z957" s="14"/>
      <c r="AA957" s="14"/>
    </row>
    <row r="958" spans="26:27">
      <c r="Z958" s="14"/>
      <c r="AA958" s="14"/>
    </row>
    <row r="959" spans="26:27">
      <c r="Z959" s="14"/>
      <c r="AA959" s="14"/>
    </row>
    <row r="960" spans="26:27">
      <c r="Z960" s="14"/>
      <c r="AA960" s="14"/>
    </row>
    <row r="961" spans="26:27">
      <c r="Z961" s="14"/>
      <c r="AA961" s="14"/>
    </row>
    <row r="962" spans="26:27">
      <c r="Z962" s="14"/>
      <c r="AA962" s="14"/>
    </row>
    <row r="963" spans="26:27">
      <c r="Z963" s="14"/>
      <c r="AA963" s="14"/>
    </row>
    <row r="964" spans="26:27">
      <c r="Z964" s="14"/>
      <c r="AA964" s="14"/>
    </row>
    <row r="965" spans="26:27">
      <c r="Z965" s="14"/>
      <c r="AA965" s="14"/>
    </row>
    <row r="966" spans="26:27">
      <c r="Z966" s="14"/>
      <c r="AA966" s="14"/>
    </row>
    <row r="967" spans="26:27">
      <c r="Z967" s="14"/>
      <c r="AA967" s="14"/>
    </row>
    <row r="968" spans="26:27">
      <c r="Z968" s="14"/>
      <c r="AA968" s="14"/>
    </row>
    <row r="969" spans="26:27">
      <c r="Z969" s="14"/>
      <c r="AA969" s="14"/>
    </row>
    <row r="970" spans="26:27">
      <c r="Z970" s="14"/>
      <c r="AA970" s="14"/>
    </row>
    <row r="971" spans="26:27">
      <c r="Z971" s="14"/>
      <c r="AA971" s="14"/>
    </row>
    <row r="972" spans="26:27">
      <c r="Z972" s="14"/>
      <c r="AA972" s="14"/>
    </row>
    <row r="973" spans="26:27">
      <c r="Z973" s="14"/>
      <c r="AA973" s="14"/>
    </row>
    <row r="974" spans="26:27">
      <c r="Z974" s="14"/>
      <c r="AA974" s="14"/>
    </row>
    <row r="975" spans="26:27">
      <c r="Z975" s="14"/>
      <c r="AA975" s="14"/>
    </row>
    <row r="976" spans="26:27">
      <c r="Z976" s="14"/>
      <c r="AA976" s="14"/>
    </row>
    <row r="977" spans="26:27">
      <c r="Z977" s="14"/>
      <c r="AA977" s="14"/>
    </row>
    <row r="978" spans="26:27">
      <c r="Z978" s="14"/>
      <c r="AA978" s="14"/>
    </row>
    <row r="979" spans="26:27">
      <c r="Z979" s="14"/>
      <c r="AA979" s="14"/>
    </row>
    <row r="980" spans="26:27">
      <c r="Z980" s="14"/>
      <c r="AA980" s="14"/>
    </row>
    <row r="981" spans="26:27">
      <c r="Z981" s="14"/>
      <c r="AA981" s="14"/>
    </row>
    <row r="982" spans="26:27">
      <c r="Z982" s="14"/>
      <c r="AA982" s="14"/>
    </row>
    <row r="983" spans="26:27">
      <c r="Z983" s="14"/>
      <c r="AA983" s="14"/>
    </row>
    <row r="984" spans="26:27">
      <c r="Z984" s="14"/>
      <c r="AA984" s="14"/>
    </row>
    <row r="985" spans="26:27">
      <c r="Z985" s="14"/>
      <c r="AA985" s="14"/>
    </row>
    <row r="986" spans="26:27">
      <c r="Z986" s="14"/>
      <c r="AA986" s="14"/>
    </row>
    <row r="987" spans="26:27">
      <c r="Z987" s="14"/>
      <c r="AA987" s="14"/>
    </row>
    <row r="988" spans="26:27">
      <c r="Z988" s="14"/>
      <c r="AA988" s="14"/>
    </row>
    <row r="989" spans="26:27">
      <c r="Z989" s="14"/>
      <c r="AA989" s="14"/>
    </row>
    <row r="990" spans="26:27">
      <c r="Z990" s="14"/>
      <c r="AA990" s="14"/>
    </row>
    <row r="991" spans="26:27">
      <c r="Z991" s="14"/>
      <c r="AA991" s="14"/>
    </row>
    <row r="992" spans="26:27">
      <c r="Z992" s="14"/>
      <c r="AA992" s="14"/>
    </row>
    <row r="993" spans="26:27">
      <c r="Z993" s="14"/>
      <c r="AA993" s="14"/>
    </row>
    <row r="994" spans="26:27">
      <c r="Z994" s="14"/>
      <c r="AA994" s="14"/>
    </row>
    <row r="995" spans="26:27">
      <c r="Z995" s="14"/>
      <c r="AA995" s="14"/>
    </row>
    <row r="996" spans="26:27">
      <c r="Z996" s="14"/>
      <c r="AA996" s="14"/>
    </row>
    <row r="997" spans="26:27">
      <c r="Z997" s="14"/>
      <c r="AA997" s="14"/>
    </row>
    <row r="998" spans="26:27">
      <c r="Z998" s="14"/>
      <c r="AA998" s="14"/>
    </row>
    <row r="999" spans="26:27">
      <c r="Z999" s="14"/>
      <c r="AA999" s="14"/>
    </row>
    <row r="1000" spans="26:27">
      <c r="Z1000" s="14"/>
      <c r="AA1000" s="14"/>
    </row>
    <row r="1001" spans="26:27">
      <c r="Z1001" s="14"/>
      <c r="AA1001" s="14"/>
    </row>
    <row r="1002" spans="26:27">
      <c r="Z1002" s="14"/>
      <c r="AA1002" s="14"/>
    </row>
    <row r="1003" spans="26:27">
      <c r="Z1003" s="14"/>
      <c r="AA1003" s="14"/>
    </row>
    <row r="1004" spans="26:27">
      <c r="Z1004" s="14"/>
      <c r="AA1004" s="14"/>
    </row>
    <row r="1005" spans="26:27">
      <c r="Z1005" s="14"/>
      <c r="AA1005" s="14"/>
    </row>
    <row r="1006" spans="26:27">
      <c r="Z1006" s="14"/>
      <c r="AA1006" s="14"/>
    </row>
    <row r="1007" spans="26:27">
      <c r="Z1007" s="14"/>
      <c r="AA1007" s="14"/>
    </row>
    <row r="1008" spans="26:27">
      <c r="Z1008" s="14"/>
      <c r="AA1008" s="14"/>
    </row>
    <row r="1009" spans="26:27">
      <c r="Z1009" s="14"/>
      <c r="AA1009" s="14"/>
    </row>
    <row r="1010" spans="26:27">
      <c r="Z1010" s="14"/>
      <c r="AA1010" s="14"/>
    </row>
    <row r="1011" spans="26:27">
      <c r="Z1011" s="14"/>
      <c r="AA1011" s="14"/>
    </row>
    <row r="1012" spans="26:27">
      <c r="Z1012" s="14"/>
      <c r="AA1012" s="14"/>
    </row>
    <row r="1013" spans="26:27">
      <c r="Z1013" s="14"/>
      <c r="AA1013" s="14"/>
    </row>
    <row r="1014" spans="26:27">
      <c r="Z1014" s="14"/>
      <c r="AA1014" s="14"/>
    </row>
    <row r="1015" spans="26:27">
      <c r="Z1015" s="14"/>
      <c r="AA1015" s="14"/>
    </row>
    <row r="1016" spans="26:27">
      <c r="Z1016" s="14"/>
      <c r="AA1016" s="14"/>
    </row>
    <row r="1017" spans="26:27">
      <c r="Z1017" s="14"/>
      <c r="AA1017" s="14"/>
    </row>
    <row r="1018" spans="26:27">
      <c r="Z1018" s="14"/>
      <c r="AA1018" s="14"/>
    </row>
    <row r="1019" spans="26:27">
      <c r="Z1019" s="14"/>
      <c r="AA1019" s="14"/>
    </row>
    <row r="1020" spans="26:27">
      <c r="Z1020" s="14"/>
      <c r="AA1020" s="14"/>
    </row>
    <row r="1021" spans="26:27">
      <c r="Z1021" s="14"/>
      <c r="AA1021" s="14"/>
    </row>
    <row r="1022" spans="26:27">
      <c r="Z1022" s="14"/>
      <c r="AA1022" s="14"/>
    </row>
    <row r="1023" spans="26:27">
      <c r="Z1023" s="14"/>
      <c r="AA1023" s="14"/>
    </row>
    <row r="1024" spans="26:27">
      <c r="Z1024" s="14"/>
      <c r="AA1024" s="14"/>
    </row>
    <row r="1025" spans="26:27">
      <c r="Z1025" s="14"/>
      <c r="AA1025" s="14"/>
    </row>
    <row r="1026" spans="26:27">
      <c r="Z1026" s="14"/>
      <c r="AA1026" s="14"/>
    </row>
    <row r="1027" spans="26:27">
      <c r="Z1027" s="14"/>
      <c r="AA1027" s="14"/>
    </row>
    <row r="1028" spans="26:27">
      <c r="Z1028" s="14"/>
      <c r="AA1028" s="14"/>
    </row>
    <row r="1029" spans="26:27">
      <c r="Z1029" s="14"/>
      <c r="AA1029" s="14"/>
    </row>
    <row r="1030" spans="26:27">
      <c r="Z1030" s="14"/>
      <c r="AA1030" s="14"/>
    </row>
    <row r="1031" spans="26:27">
      <c r="Z1031" s="14"/>
      <c r="AA1031" s="14"/>
    </row>
    <row r="1032" spans="26:27">
      <c r="Z1032" s="14"/>
      <c r="AA1032" s="14"/>
    </row>
    <row r="1033" spans="26:27">
      <c r="Z1033" s="14"/>
      <c r="AA1033" s="14"/>
    </row>
    <row r="1034" spans="26:27">
      <c r="Z1034" s="14"/>
      <c r="AA1034" s="14"/>
    </row>
    <row r="1035" spans="26:27">
      <c r="Z1035" s="14"/>
      <c r="AA1035" s="14"/>
    </row>
    <row r="1036" spans="26:27">
      <c r="Z1036" s="14"/>
      <c r="AA1036" s="14"/>
    </row>
    <row r="1037" spans="26:27">
      <c r="Z1037" s="14"/>
      <c r="AA1037" s="14"/>
    </row>
    <row r="1038" spans="26:27">
      <c r="Z1038" s="14"/>
      <c r="AA1038" s="14"/>
    </row>
    <row r="1039" spans="26:27">
      <c r="Z1039" s="14"/>
      <c r="AA1039" s="14"/>
    </row>
    <row r="1040" spans="26:27">
      <c r="Z1040" s="14"/>
      <c r="AA1040" s="14"/>
    </row>
    <row r="1041" spans="26:27">
      <c r="Z1041" s="14"/>
      <c r="AA1041" s="14"/>
    </row>
    <row r="1042" spans="26:27">
      <c r="Z1042" s="14"/>
      <c r="AA1042" s="14"/>
    </row>
    <row r="1043" spans="26:27">
      <c r="Z1043" s="14"/>
      <c r="AA1043" s="14"/>
    </row>
    <row r="1044" spans="26:27">
      <c r="Z1044" s="14"/>
      <c r="AA1044" s="14"/>
    </row>
    <row r="1045" spans="26:27">
      <c r="Z1045" s="14"/>
      <c r="AA1045" s="14"/>
    </row>
    <row r="1046" spans="26:27">
      <c r="Z1046" s="14"/>
      <c r="AA1046" s="14"/>
    </row>
    <row r="1047" spans="26:27">
      <c r="Z1047" s="14"/>
      <c r="AA1047" s="14"/>
    </row>
    <row r="1048" spans="26:27">
      <c r="Z1048" s="14"/>
      <c r="AA1048" s="14"/>
    </row>
    <row r="1049" spans="26:27">
      <c r="Z1049" s="14"/>
      <c r="AA1049" s="14"/>
    </row>
    <row r="1050" spans="26:27">
      <c r="Z1050" s="14"/>
      <c r="AA1050" s="14"/>
    </row>
    <row r="1051" spans="26:27">
      <c r="Z1051" s="14"/>
      <c r="AA1051" s="14"/>
    </row>
    <row r="1052" spans="26:27">
      <c r="Z1052" s="14"/>
      <c r="AA1052" s="14"/>
    </row>
    <row r="1053" spans="26:27">
      <c r="Z1053" s="14"/>
      <c r="AA1053" s="14"/>
    </row>
    <row r="1054" spans="26:27">
      <c r="Z1054" s="14"/>
      <c r="AA1054" s="14"/>
    </row>
    <row r="1055" spans="26:27">
      <c r="Z1055" s="14"/>
      <c r="AA1055" s="14"/>
    </row>
    <row r="1056" spans="26:27">
      <c r="Z1056" s="14"/>
      <c r="AA1056" s="14"/>
    </row>
    <row r="1057" spans="26:27">
      <c r="Z1057" s="14"/>
      <c r="AA1057" s="14"/>
    </row>
    <row r="1058" spans="26:27">
      <c r="Z1058" s="14"/>
      <c r="AA1058" s="14"/>
    </row>
    <row r="1059" spans="26:27">
      <c r="Z1059" s="14"/>
      <c r="AA1059" s="14"/>
    </row>
    <row r="1060" spans="26:27">
      <c r="Z1060" s="14"/>
      <c r="AA1060" s="14"/>
    </row>
    <row r="1061" spans="26:27">
      <c r="Z1061" s="14"/>
      <c r="AA1061" s="14"/>
    </row>
    <row r="1062" spans="26:27">
      <c r="Z1062" s="14"/>
      <c r="AA1062" s="14"/>
    </row>
    <row r="1063" spans="26:27">
      <c r="Z1063" s="14"/>
      <c r="AA1063" s="14"/>
    </row>
    <row r="1064" spans="26:27">
      <c r="Z1064" s="14"/>
      <c r="AA1064" s="14"/>
    </row>
    <row r="1065" spans="26:27">
      <c r="Z1065" s="14"/>
      <c r="AA1065" s="14"/>
    </row>
    <row r="1066" spans="26:27">
      <c r="Z1066" s="14"/>
      <c r="AA1066" s="14"/>
    </row>
    <row r="1067" spans="26:27">
      <c r="Z1067" s="14"/>
      <c r="AA1067" s="14"/>
    </row>
    <row r="1068" spans="26:27">
      <c r="Z1068" s="14"/>
      <c r="AA1068" s="14"/>
    </row>
    <row r="1069" spans="26:27">
      <c r="Z1069" s="14"/>
      <c r="AA1069" s="14"/>
    </row>
    <row r="1070" spans="26:27">
      <c r="Z1070" s="14"/>
      <c r="AA1070" s="14"/>
    </row>
    <row r="1071" spans="26:27">
      <c r="Z1071" s="14"/>
      <c r="AA1071" s="14"/>
    </row>
    <row r="1072" spans="26:27">
      <c r="Z1072" s="14"/>
      <c r="AA1072" s="14"/>
    </row>
    <row r="1073" spans="26:27">
      <c r="Z1073" s="14"/>
      <c r="AA1073" s="14"/>
    </row>
    <row r="1074" spans="26:27">
      <c r="Z1074" s="14"/>
      <c r="AA1074" s="14"/>
    </row>
    <row r="1075" spans="26:27">
      <c r="Z1075" s="14"/>
      <c r="AA1075" s="14"/>
    </row>
    <row r="1076" spans="26:27">
      <c r="Z1076" s="14"/>
      <c r="AA1076" s="14"/>
    </row>
    <row r="1077" spans="26:27">
      <c r="Z1077" s="14"/>
      <c r="AA1077" s="14"/>
    </row>
    <row r="1078" spans="26:27">
      <c r="Z1078" s="14"/>
      <c r="AA1078" s="14"/>
    </row>
    <row r="1079" spans="26:27">
      <c r="Z1079" s="14"/>
      <c r="AA1079" s="14"/>
    </row>
    <row r="1080" spans="26:27">
      <c r="Z1080" s="14"/>
      <c r="AA1080" s="14"/>
    </row>
    <row r="1081" spans="26:27">
      <c r="Z1081" s="14"/>
      <c r="AA1081" s="14"/>
    </row>
    <row r="1082" spans="26:27">
      <c r="Z1082" s="14"/>
      <c r="AA1082" s="14"/>
    </row>
    <row r="1083" spans="26:27">
      <c r="Z1083" s="14"/>
      <c r="AA1083" s="14"/>
    </row>
    <row r="1084" spans="26:27">
      <c r="Z1084" s="14"/>
      <c r="AA1084" s="14"/>
    </row>
    <row r="1085" spans="26:27">
      <c r="Z1085" s="14"/>
      <c r="AA1085" s="14"/>
    </row>
    <row r="1086" spans="26:27">
      <c r="Z1086" s="14"/>
      <c r="AA1086" s="14"/>
    </row>
    <row r="1087" spans="26:27">
      <c r="Z1087" s="14"/>
      <c r="AA1087" s="14"/>
    </row>
    <row r="1088" spans="26:27">
      <c r="Z1088" s="14"/>
      <c r="AA1088" s="14"/>
    </row>
    <row r="1089" spans="26:27">
      <c r="Z1089" s="14"/>
      <c r="AA1089" s="14"/>
    </row>
    <row r="1090" spans="26:27">
      <c r="Z1090" s="14"/>
      <c r="AA1090" s="14"/>
    </row>
    <row r="1091" spans="26:27">
      <c r="Z1091" s="14"/>
      <c r="AA1091" s="14"/>
    </row>
    <row r="1092" spans="26:27">
      <c r="Z1092" s="14"/>
      <c r="AA1092" s="14"/>
    </row>
    <row r="1093" spans="26:27">
      <c r="Z1093" s="14"/>
      <c r="AA1093" s="14"/>
    </row>
    <row r="1094" spans="26:27">
      <c r="Z1094" s="14"/>
      <c r="AA1094" s="14"/>
    </row>
    <row r="1095" spans="26:27">
      <c r="Z1095" s="14"/>
      <c r="AA1095" s="14"/>
    </row>
    <row r="1096" spans="26:27">
      <c r="Z1096" s="14"/>
      <c r="AA1096" s="14"/>
    </row>
    <row r="1097" spans="26:27">
      <c r="Z1097" s="14"/>
      <c r="AA1097" s="14"/>
    </row>
    <row r="1098" spans="26:27">
      <c r="Z1098" s="14"/>
      <c r="AA1098" s="14"/>
    </row>
    <row r="1099" spans="26:27">
      <c r="Z1099" s="14"/>
      <c r="AA1099" s="14"/>
    </row>
    <row r="1100" spans="26:27">
      <c r="Z1100" s="14"/>
      <c r="AA1100" s="14"/>
    </row>
    <row r="1101" spans="26:27">
      <c r="Z1101" s="14"/>
      <c r="AA1101" s="14"/>
    </row>
    <row r="1102" spans="26:27">
      <c r="AA1102" s="14"/>
    </row>
    <row r="1103" spans="26:27">
      <c r="AA1103" s="14"/>
    </row>
    <row r="1104" spans="26:27">
      <c r="AA1104" s="14"/>
    </row>
    <row r="1105" spans="27:27">
      <c r="AA1105" s="14"/>
    </row>
    <row r="1106" spans="27:27">
      <c r="AA1106" s="14"/>
    </row>
    <row r="1107" spans="27:27">
      <c r="AA1107" s="14"/>
    </row>
    <row r="1108" spans="27:27">
      <c r="AA1108" s="14"/>
    </row>
    <row r="1109" spans="27:27">
      <c r="AA1109" s="14"/>
    </row>
    <row r="1110" spans="27:27">
      <c r="AA1110" s="14"/>
    </row>
    <row r="1111" spans="27:27">
      <c r="AA1111" s="14"/>
    </row>
    <row r="1112" spans="27:27">
      <c r="AA1112" s="14"/>
    </row>
    <row r="1113" spans="27:27">
      <c r="AA1113" s="14"/>
    </row>
    <row r="1114" spans="27:27">
      <c r="AA1114" s="14"/>
    </row>
    <row r="1115" spans="27:27">
      <c r="AA1115" s="14"/>
    </row>
    <row r="1116" spans="27:27">
      <c r="AA1116" s="14"/>
    </row>
    <row r="1117" spans="27:27">
      <c r="AA1117" s="14"/>
    </row>
    <row r="1118" spans="27:27">
      <c r="AA1118" s="14"/>
    </row>
    <row r="1119" spans="27:27">
      <c r="AA1119" s="14"/>
    </row>
    <row r="1120" spans="27:27">
      <c r="AA1120" s="14"/>
    </row>
    <row r="1121" spans="27:27">
      <c r="AA1121" s="14"/>
    </row>
    <row r="1122" spans="27:27">
      <c r="AA1122" s="14"/>
    </row>
    <row r="1123" spans="27:27">
      <c r="AA1123" s="14"/>
    </row>
    <row r="1124" spans="27:27">
      <c r="AA1124" s="14"/>
    </row>
    <row r="1125" spans="27:27">
      <c r="AA1125" s="14"/>
    </row>
    <row r="1126" spans="27:27">
      <c r="AA1126" s="14"/>
    </row>
    <row r="1127" spans="27:27">
      <c r="AA1127" s="14"/>
    </row>
    <row r="1128" spans="27:27">
      <c r="AA1128" s="14"/>
    </row>
    <row r="1129" spans="27:27">
      <c r="AA1129" s="14"/>
    </row>
    <row r="1130" spans="27:27">
      <c r="AA1130" s="14"/>
    </row>
    <row r="1131" spans="27:27">
      <c r="AA1131" s="14"/>
    </row>
    <row r="1132" spans="27:27">
      <c r="AA1132" s="14"/>
    </row>
    <row r="1133" spans="27:27">
      <c r="AA1133" s="14"/>
    </row>
    <row r="1134" spans="27:27">
      <c r="AA1134" s="14"/>
    </row>
    <row r="1135" spans="27:27">
      <c r="AA1135" s="14"/>
    </row>
    <row r="1136" spans="27:27">
      <c r="AA1136" s="14"/>
    </row>
    <row r="1137" spans="27:27">
      <c r="AA1137" s="14"/>
    </row>
    <row r="1138" spans="27:27">
      <c r="AA1138" s="14"/>
    </row>
    <row r="1139" spans="27:27">
      <c r="AA1139" s="14"/>
    </row>
    <row r="1140" spans="27:27">
      <c r="AA1140" s="14"/>
    </row>
    <row r="1141" spans="27:27">
      <c r="AA1141" s="14"/>
    </row>
    <row r="1142" spans="27:27">
      <c r="AA1142" s="14"/>
    </row>
    <row r="1143" spans="27:27">
      <c r="AA1143" s="14"/>
    </row>
    <row r="1144" spans="27:27">
      <c r="AA1144" s="14"/>
    </row>
    <row r="1145" spans="27:27">
      <c r="AA1145" s="14"/>
    </row>
    <row r="1146" spans="27:27">
      <c r="AA1146" s="14"/>
    </row>
    <row r="1147" spans="27:27">
      <c r="AA1147" s="14"/>
    </row>
    <row r="1148" spans="27:27">
      <c r="AA1148" s="14"/>
    </row>
    <row r="1149" spans="27:27">
      <c r="AA1149" s="14"/>
    </row>
    <row r="1150" spans="27:27">
      <c r="AA1150" s="14"/>
    </row>
    <row r="1151" spans="27:27">
      <c r="AA1151" s="14"/>
    </row>
    <row r="1152" spans="27:27">
      <c r="AA1152" s="14"/>
    </row>
    <row r="1153" spans="27:27">
      <c r="AA1153" s="14"/>
    </row>
    <row r="1154" spans="27:27">
      <c r="AA1154" s="14"/>
    </row>
    <row r="1155" spans="27:27">
      <c r="AA1155" s="14"/>
    </row>
    <row r="1156" spans="27:27">
      <c r="AA1156" s="14"/>
    </row>
    <row r="1157" spans="27:27">
      <c r="AA1157" s="14"/>
    </row>
    <row r="1158" spans="27:27">
      <c r="AA1158" s="14"/>
    </row>
    <row r="1159" spans="27:27">
      <c r="AA1159" s="14"/>
    </row>
    <row r="1160" spans="27:27">
      <c r="AA1160" s="14"/>
    </row>
    <row r="1161" spans="27:27">
      <c r="AA1161" s="14"/>
    </row>
    <row r="1162" spans="27:27">
      <c r="AA1162" s="14"/>
    </row>
    <row r="1163" spans="27:27">
      <c r="AA1163" s="14"/>
    </row>
    <row r="1164" spans="27:27">
      <c r="AA1164" s="14"/>
    </row>
    <row r="1165" spans="27:27">
      <c r="AA1165" s="14"/>
    </row>
    <row r="1166" spans="27:27">
      <c r="AA1166" s="14"/>
    </row>
    <row r="1167" spans="27:27">
      <c r="AA1167" s="14"/>
    </row>
    <row r="1168" spans="27:27">
      <c r="AA1168" s="14"/>
    </row>
    <row r="1169" spans="27:27">
      <c r="AA1169" s="14"/>
    </row>
    <row r="1170" spans="27:27">
      <c r="AA1170" s="14"/>
    </row>
    <row r="1171" spans="27:27">
      <c r="AA1171" s="14"/>
    </row>
    <row r="1172" spans="27:27">
      <c r="AA1172" s="14"/>
    </row>
    <row r="1173" spans="27:27">
      <c r="AA1173" s="14"/>
    </row>
    <row r="1174" spans="27:27">
      <c r="AA1174" s="14"/>
    </row>
    <row r="1175" spans="27:27">
      <c r="AA1175" s="14"/>
    </row>
    <row r="1176" spans="27:27">
      <c r="AA1176" s="14"/>
    </row>
    <row r="1177" spans="27:27">
      <c r="AA1177" s="14"/>
    </row>
    <row r="1178" spans="27:27">
      <c r="AA1178" s="14"/>
    </row>
    <row r="1179" spans="27:27">
      <c r="AA1179" s="14"/>
    </row>
    <row r="1180" spans="27:27">
      <c r="AA1180" s="14"/>
    </row>
    <row r="1181" spans="27:27">
      <c r="AA1181" s="14"/>
    </row>
    <row r="1182" spans="27:27">
      <c r="AA1182" s="14"/>
    </row>
    <row r="1183" spans="27:27">
      <c r="AA1183" s="14"/>
    </row>
    <row r="1184" spans="27:27">
      <c r="AA1184" s="14"/>
    </row>
    <row r="1185" spans="27:27">
      <c r="AA1185" s="14"/>
    </row>
    <row r="1186" spans="27:27">
      <c r="AA1186" s="14"/>
    </row>
    <row r="1187" spans="27:27">
      <c r="AA1187" s="14"/>
    </row>
    <row r="1188" spans="27:27">
      <c r="AA1188" s="14"/>
    </row>
    <row r="1189" spans="27:27">
      <c r="AA1189" s="14"/>
    </row>
    <row r="1190" spans="27:27">
      <c r="AA1190" s="14"/>
    </row>
    <row r="1191" spans="27:27">
      <c r="AA1191" s="14"/>
    </row>
    <row r="1192" spans="27:27">
      <c r="AA1192" s="14"/>
    </row>
    <row r="1193" spans="27:27">
      <c r="AA1193" s="14"/>
    </row>
    <row r="1194" spans="27:27">
      <c r="AA1194" s="14"/>
    </row>
    <row r="1195" spans="27:27">
      <c r="AA1195" s="14"/>
    </row>
    <row r="1196" spans="27:27">
      <c r="AA1196" s="14"/>
    </row>
    <row r="1197" spans="27:27">
      <c r="AA1197" s="14"/>
    </row>
    <row r="1198" spans="27:27">
      <c r="AA1198" s="14"/>
    </row>
    <row r="1199" spans="27:27">
      <c r="AA1199" s="14"/>
    </row>
    <row r="1200" spans="27:27">
      <c r="AA1200" s="14"/>
    </row>
    <row r="1201" spans="27:27">
      <c r="AA1201" s="14"/>
    </row>
    <row r="1202" spans="27:27">
      <c r="AA1202" s="14"/>
    </row>
    <row r="1203" spans="27:27">
      <c r="AA1203" s="14"/>
    </row>
    <row r="1204" spans="27:27">
      <c r="AA1204" s="14"/>
    </row>
    <row r="1205" spans="27:27">
      <c r="AA1205" s="14"/>
    </row>
    <row r="1206" spans="27:27">
      <c r="AA1206" s="14"/>
    </row>
    <row r="1207" spans="27:27">
      <c r="AA1207" s="14"/>
    </row>
    <row r="1208" spans="27:27">
      <c r="AA1208" s="14"/>
    </row>
    <row r="1209" spans="27:27">
      <c r="AA1209" s="14"/>
    </row>
    <row r="1210" spans="27:27">
      <c r="AA1210" s="14"/>
    </row>
    <row r="1211" spans="27:27">
      <c r="AA1211" s="14"/>
    </row>
    <row r="1212" spans="27:27">
      <c r="AA1212" s="14"/>
    </row>
    <row r="1213" spans="27:27">
      <c r="AA1213" s="14"/>
    </row>
    <row r="1214" spans="27:27">
      <c r="AA1214" s="14"/>
    </row>
    <row r="1215" spans="27:27">
      <c r="AA1215" s="14"/>
    </row>
    <row r="1216" spans="27:27">
      <c r="AA1216" s="14"/>
    </row>
    <row r="1217" spans="27:27">
      <c r="AA1217" s="14"/>
    </row>
    <row r="1218" spans="27:27">
      <c r="AA1218" s="14"/>
    </row>
    <row r="1219" spans="27:27">
      <c r="AA1219" s="14"/>
    </row>
    <row r="1220" spans="27:27">
      <c r="AA1220" s="14"/>
    </row>
    <row r="1221" spans="27:27">
      <c r="AA1221" s="14"/>
    </row>
    <row r="1222" spans="27:27">
      <c r="AA1222" s="14"/>
    </row>
    <row r="1223" spans="27:27">
      <c r="AA1223" s="14"/>
    </row>
    <row r="1224" spans="27:27">
      <c r="AA1224" s="14"/>
    </row>
    <row r="1225" spans="27:27">
      <c r="AA1225" s="14"/>
    </row>
    <row r="1226" spans="27:27">
      <c r="AA1226" s="14"/>
    </row>
    <row r="1227" spans="27:27">
      <c r="AA1227" s="14"/>
    </row>
    <row r="1228" spans="27:27">
      <c r="AA1228" s="14"/>
    </row>
    <row r="1229" spans="27:27">
      <c r="AA1229" s="14"/>
    </row>
    <row r="1230" spans="27:27">
      <c r="AA1230" s="14"/>
    </row>
    <row r="1231" spans="27:27">
      <c r="AA1231" s="14"/>
    </row>
    <row r="1232" spans="27:27">
      <c r="AA1232" s="14"/>
    </row>
    <row r="1233" spans="27:27">
      <c r="AA1233" s="14"/>
    </row>
    <row r="1234" spans="27:27">
      <c r="AA1234" s="14"/>
    </row>
    <row r="1235" spans="27:27">
      <c r="AA1235" s="14"/>
    </row>
    <row r="1236" spans="27:27">
      <c r="AA1236" s="14"/>
    </row>
    <row r="1237" spans="27:27">
      <c r="AA1237" s="14"/>
    </row>
    <row r="1238" spans="27:27">
      <c r="AA1238" s="14"/>
    </row>
  </sheetData>
  <autoFilter ref="A1:Y699" xr:uid="{00000000-0009-0000-0000-000009000000}"/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T18"/>
  <sheetViews>
    <sheetView zoomScaleNormal="100" workbookViewId="0">
      <selection activeCell="F13" sqref="F13"/>
    </sheetView>
  </sheetViews>
  <sheetFormatPr defaultColWidth="8.7109375" defaultRowHeight="15"/>
  <cols>
    <col min="2" max="2" width="25" style="1" customWidth="1"/>
    <col min="3" max="4" width="9.140625" style="1" customWidth="1"/>
    <col min="6" max="6" width="18.7109375" style="1" customWidth="1"/>
    <col min="7" max="20" width="25" style="1" customWidth="1"/>
  </cols>
  <sheetData>
    <row r="2" spans="2:20">
      <c r="B2" s="3" t="str">
        <f t="array" ref="B2:D16">ATUAL!AG3:AI17</f>
        <v>Total de Chamados</v>
      </c>
      <c r="C2" s="45">
        <v>1623</v>
      </c>
      <c r="D2" s="46">
        <v>1.0000000000000002</v>
      </c>
      <c r="F2" s="45">
        <f t="array" ref="F2:T14">ATUAL!AK3:AY15</f>
        <v>1610</v>
      </c>
      <c r="G2" s="3" t="str">
        <v>Manutenção Corretiva</v>
      </c>
      <c r="H2" s="3" t="str">
        <v>Cadastro de Equipamentos</v>
      </c>
      <c r="I2" s="3" t="str">
        <v>Manutenção Preventiva</v>
      </c>
      <c r="J2" s="3" t="str">
        <v>Instalação</v>
      </c>
      <c r="K2" s="3" t="str">
        <v>Vistoria</v>
      </c>
      <c r="L2" s="3" t="str">
        <v>Ativação</v>
      </c>
      <c r="M2" s="3" t="str">
        <v>Retrofit</v>
      </c>
      <c r="N2" s="3" t="str">
        <v>Organização</v>
      </c>
      <c r="O2" s="3" t="str">
        <v>Abertura/Reparo de Cofre</v>
      </c>
      <c r="P2" s="3" t="str">
        <v>Plantão Técnico</v>
      </c>
      <c r="Q2" s="3" t="str">
        <v>Destinação Final</v>
      </c>
      <c r="R2" s="3" t="str">
        <v>Remanejamento</v>
      </c>
      <c r="S2" s="3" t="str">
        <v>Configuração</v>
      </c>
      <c r="T2" s="3" t="str">
        <v>Cota</v>
      </c>
    </row>
    <row r="3" spans="2:20">
      <c r="B3" s="1" t="str">
        <v>Manutenção Preventiva</v>
      </c>
      <c r="C3" s="1">
        <v>633</v>
      </c>
      <c r="D3" s="47">
        <v>0.39001848428835489</v>
      </c>
      <c r="F3" s="1" t="str">
        <v>CAT-RECIFE</v>
      </c>
      <c r="G3" s="1">
        <v>75</v>
      </c>
      <c r="H3" s="1">
        <v>122</v>
      </c>
      <c r="I3" s="1">
        <v>141</v>
      </c>
      <c r="J3" s="1">
        <v>60</v>
      </c>
      <c r="K3" s="1">
        <v>91</v>
      </c>
      <c r="L3" s="1">
        <v>24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1</v>
      </c>
      <c r="S3" s="1">
        <v>0</v>
      </c>
      <c r="T3" s="1">
        <v>0</v>
      </c>
    </row>
    <row r="4" spans="2:20">
      <c r="B4" s="1" t="str">
        <v>Cadastro de Equipamentos</v>
      </c>
      <c r="C4" s="1">
        <v>216</v>
      </c>
      <c r="D4" s="47">
        <v>0.13308687615526801</v>
      </c>
      <c r="F4" s="1" t="str">
        <v>TR-ARCOVERDE</v>
      </c>
      <c r="G4" s="1">
        <v>16</v>
      </c>
      <c r="H4" s="1">
        <v>0</v>
      </c>
      <c r="I4" s="1">
        <v>65</v>
      </c>
      <c r="J4" s="1">
        <v>17</v>
      </c>
      <c r="K4" s="1">
        <v>19</v>
      </c>
      <c r="L4" s="1">
        <v>2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</row>
    <row r="5" spans="2:20">
      <c r="B5" s="1" t="str">
        <v>Manutenção Corretiva</v>
      </c>
      <c r="C5" s="1">
        <v>200</v>
      </c>
      <c r="D5" s="47">
        <v>0.12322858903265557</v>
      </c>
      <c r="F5" s="1" t="str">
        <v>TR-CARNAIBA</v>
      </c>
      <c r="G5" s="1">
        <v>4</v>
      </c>
      <c r="H5" s="1">
        <v>0</v>
      </c>
      <c r="I5" s="1">
        <v>19</v>
      </c>
      <c r="J5" s="1">
        <v>7</v>
      </c>
      <c r="K5" s="1">
        <v>17</v>
      </c>
      <c r="L5" s="1">
        <v>1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</row>
    <row r="6" spans="2:20">
      <c r="B6" s="1" t="str">
        <v>Instalação</v>
      </c>
      <c r="C6" s="1">
        <v>186</v>
      </c>
      <c r="D6" s="47">
        <v>0.11460258780036968</v>
      </c>
      <c r="F6" s="1" t="str">
        <v>TR-CARUARU</v>
      </c>
      <c r="G6" s="1">
        <v>11</v>
      </c>
      <c r="H6" s="1">
        <v>21</v>
      </c>
      <c r="I6" s="1">
        <v>71</v>
      </c>
      <c r="J6" s="1">
        <v>17</v>
      </c>
      <c r="K6" s="1">
        <v>28</v>
      </c>
      <c r="L6" s="1">
        <v>6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</row>
    <row r="7" spans="2:20">
      <c r="B7" s="1" t="str">
        <v>Vistoria</v>
      </c>
      <c r="C7" s="1">
        <v>323</v>
      </c>
      <c r="D7" s="47">
        <v>0.19901417128773877</v>
      </c>
      <c r="F7" s="1" t="str">
        <v>TR-GARANHUNS</v>
      </c>
      <c r="G7" s="1">
        <v>22</v>
      </c>
      <c r="H7" s="1">
        <v>24</v>
      </c>
      <c r="I7" s="1">
        <v>79</v>
      </c>
      <c r="J7" s="1">
        <v>15</v>
      </c>
      <c r="K7" s="1">
        <v>32</v>
      </c>
      <c r="L7" s="1">
        <v>4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</row>
    <row r="8" spans="2:20">
      <c r="B8" s="1" t="str">
        <v>Ativação</v>
      </c>
      <c r="C8" s="1">
        <v>58</v>
      </c>
      <c r="D8" s="47">
        <v>3.5736290819470114E-2</v>
      </c>
      <c r="F8" s="1" t="str">
        <v>TR-GOIANA</v>
      </c>
      <c r="G8" s="1">
        <v>9</v>
      </c>
      <c r="H8" s="1">
        <v>3</v>
      </c>
      <c r="I8" s="1">
        <v>42</v>
      </c>
      <c r="J8" s="1">
        <v>9</v>
      </c>
      <c r="K8" s="1">
        <v>14</v>
      </c>
      <c r="L8" s="1">
        <v>5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1</v>
      </c>
      <c r="S8" s="1">
        <v>0</v>
      </c>
      <c r="T8" s="1">
        <v>0</v>
      </c>
    </row>
    <row r="9" spans="2:20">
      <c r="B9" s="1" t="str">
        <v>Retrofit</v>
      </c>
      <c r="C9" s="1">
        <v>0</v>
      </c>
      <c r="D9" s="47">
        <v>0</v>
      </c>
      <c r="F9" s="1" t="str">
        <v>TR-GRAVATA</v>
      </c>
      <c r="G9" s="1">
        <v>7</v>
      </c>
      <c r="H9" s="1">
        <v>9</v>
      </c>
      <c r="I9" s="1">
        <v>44</v>
      </c>
      <c r="J9" s="1">
        <v>3</v>
      </c>
      <c r="K9" s="1">
        <v>22</v>
      </c>
      <c r="L9" s="1">
        <v>6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</row>
    <row r="10" spans="2:20">
      <c r="B10" s="1" t="str">
        <v>Organização</v>
      </c>
      <c r="C10" s="1">
        <v>0</v>
      </c>
      <c r="D10" s="47">
        <v>0</v>
      </c>
      <c r="F10" s="1" t="str">
        <v>TR-LIMOEIRO</v>
      </c>
      <c r="G10" s="1">
        <v>7</v>
      </c>
      <c r="H10" s="1">
        <v>9</v>
      </c>
      <c r="I10" s="1">
        <v>24</v>
      </c>
      <c r="J10" s="1">
        <v>4</v>
      </c>
      <c r="K10" s="1">
        <v>10</v>
      </c>
      <c r="L10" s="1">
        <v>2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</row>
    <row r="11" spans="2:20">
      <c r="B11" s="1" t="str">
        <v>Abertura/Reparo de Cofre</v>
      </c>
      <c r="C11" s="1">
        <v>1</v>
      </c>
      <c r="D11" s="47">
        <v>6.1614294516327791E-4</v>
      </c>
      <c r="F11" s="1" t="str">
        <v>TR-PETROLINA</v>
      </c>
      <c r="G11" s="1">
        <v>15</v>
      </c>
      <c r="H11" s="1">
        <v>12</v>
      </c>
      <c r="I11" s="1">
        <v>28</v>
      </c>
      <c r="J11" s="1">
        <v>23</v>
      </c>
      <c r="K11" s="1">
        <v>32</v>
      </c>
      <c r="L11" s="1">
        <v>4</v>
      </c>
      <c r="M11" s="1">
        <v>0</v>
      </c>
      <c r="N11" s="1">
        <v>0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1</v>
      </c>
    </row>
    <row r="12" spans="2:20">
      <c r="B12" s="1" t="str">
        <v>Plantão Técnico</v>
      </c>
      <c r="C12" s="1">
        <v>0</v>
      </c>
      <c r="D12" s="47">
        <v>0</v>
      </c>
      <c r="F12" s="1" t="str">
        <v>TR-RIBEIRAO</v>
      </c>
      <c r="G12" s="1">
        <v>10</v>
      </c>
      <c r="H12" s="1">
        <v>2</v>
      </c>
      <c r="I12" s="1">
        <v>51</v>
      </c>
      <c r="J12" s="1">
        <v>6</v>
      </c>
      <c r="K12" s="1">
        <v>20</v>
      </c>
      <c r="L12" s="1">
        <v>4</v>
      </c>
      <c r="M12" s="1">
        <v>0</v>
      </c>
      <c r="N12" s="1">
        <v>0</v>
      </c>
      <c r="O12" s="1">
        <v>0</v>
      </c>
      <c r="P12" s="1">
        <v>0</v>
      </c>
      <c r="Q12" s="1">
        <v>1</v>
      </c>
      <c r="R12" s="1">
        <v>0</v>
      </c>
      <c r="S12" s="1">
        <v>1</v>
      </c>
      <c r="T12" s="1">
        <v>0</v>
      </c>
    </row>
    <row r="13" spans="2:20">
      <c r="B13" s="1" t="str">
        <v>Destinação Final</v>
      </c>
      <c r="C13" s="1">
        <v>1</v>
      </c>
      <c r="D13" s="47">
        <v>6.1614294516327791E-4</v>
      </c>
      <c r="F13" s="1" t="str">
        <v>TR-SALGUEIRO</v>
      </c>
      <c r="G13" s="1" t="str">
        <v>L</v>
      </c>
      <c r="H13" s="1">
        <v>14</v>
      </c>
      <c r="I13" s="1">
        <v>51</v>
      </c>
      <c r="J13" s="1">
        <v>20</v>
      </c>
      <c r="K13" s="1">
        <v>27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</row>
    <row r="14" spans="2:20">
      <c r="B14" s="1" t="str">
        <v>Remanejamento</v>
      </c>
      <c r="C14" s="1">
        <v>3</v>
      </c>
      <c r="D14" s="47">
        <v>1.8484288354898336E-3</v>
      </c>
      <c r="F14" s="1" t="str">
        <v>TR-SERRA TALHADA</v>
      </c>
      <c r="G14" s="1">
        <v>11</v>
      </c>
      <c r="H14" s="1">
        <v>0</v>
      </c>
      <c r="I14" s="1">
        <v>18</v>
      </c>
      <c r="J14" s="1">
        <v>5</v>
      </c>
      <c r="K14" s="1">
        <v>11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</row>
    <row r="15" spans="2:20">
      <c r="B15" s="1" t="str">
        <v>Configuração</v>
      </c>
      <c r="C15" s="1">
        <v>1</v>
      </c>
      <c r="D15" s="47">
        <v>6.1614294516327791E-4</v>
      </c>
    </row>
    <row r="16" spans="2:20">
      <c r="B16" s="1" t="str">
        <v>Cota</v>
      </c>
      <c r="C16" s="1">
        <v>1</v>
      </c>
      <c r="D16" s="47">
        <v>6.1614294516327791E-4</v>
      </c>
    </row>
    <row r="17" spans="7:20">
      <c r="G17" s="1">
        <f t="shared" ref="G17:T17" si="0">SUM(G3:G16)</f>
        <v>187</v>
      </c>
      <c r="H17" s="1">
        <f t="shared" si="0"/>
        <v>216</v>
      </c>
      <c r="I17" s="1">
        <f t="shared" si="0"/>
        <v>633</v>
      </c>
      <c r="J17" s="1">
        <f t="shared" si="0"/>
        <v>186</v>
      </c>
      <c r="K17" s="1">
        <f t="shared" si="0"/>
        <v>323</v>
      </c>
      <c r="L17" s="1">
        <f t="shared" si="0"/>
        <v>58</v>
      </c>
      <c r="M17" s="1">
        <f t="shared" si="0"/>
        <v>0</v>
      </c>
      <c r="N17" s="1">
        <f t="shared" si="0"/>
        <v>0</v>
      </c>
      <c r="O17" s="1">
        <f t="shared" si="0"/>
        <v>1</v>
      </c>
      <c r="P17" s="1">
        <f t="shared" si="0"/>
        <v>0</v>
      </c>
      <c r="Q17" s="1">
        <f t="shared" si="0"/>
        <v>1</v>
      </c>
      <c r="R17" s="1">
        <f t="shared" si="0"/>
        <v>3</v>
      </c>
      <c r="S17" s="1">
        <f t="shared" si="0"/>
        <v>1</v>
      </c>
      <c r="T17" s="1">
        <f t="shared" si="0"/>
        <v>1</v>
      </c>
    </row>
    <row r="18" spans="7:20">
      <c r="G18" s="1">
        <f>SUM(G17:T17)</f>
        <v>1610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filterMode="1"/>
  <dimension ref="A1:Q250"/>
  <sheetViews>
    <sheetView zoomScale="110" zoomScaleNormal="110" workbookViewId="0">
      <selection activeCell="E54" sqref="E54"/>
    </sheetView>
  </sheetViews>
  <sheetFormatPr defaultColWidth="9.28515625" defaultRowHeight="18.75"/>
  <cols>
    <col min="1" max="1" width="12.28515625" style="51" customWidth="1"/>
    <col min="2" max="2" width="31.7109375" style="51" customWidth="1"/>
    <col min="3" max="3" width="24" style="51" customWidth="1"/>
    <col min="4" max="4" width="95.140625" style="52" customWidth="1"/>
    <col min="5" max="5" width="29.140625" style="53" customWidth="1"/>
    <col min="7" max="7" width="16" customWidth="1"/>
    <col min="8" max="8" width="18.140625" style="16" customWidth="1"/>
    <col min="9" max="9" width="12.7109375" style="16" customWidth="1"/>
    <col min="11" max="11" width="17.5703125" customWidth="1"/>
    <col min="12" max="12" width="23.42578125" customWidth="1"/>
    <col min="13" max="13" width="15.5703125" customWidth="1"/>
    <col min="14" max="14" width="17.28515625" customWidth="1"/>
    <col min="15" max="15" width="13.5703125" customWidth="1"/>
  </cols>
  <sheetData>
    <row r="1" spans="1:10" ht="21">
      <c r="A1" s="54" t="s">
        <v>4849</v>
      </c>
      <c r="B1" s="54" t="s">
        <v>4850</v>
      </c>
      <c r="C1" s="54" t="s">
        <v>9</v>
      </c>
      <c r="D1" s="55" t="s">
        <v>4851</v>
      </c>
      <c r="E1" s="55" t="s">
        <v>4852</v>
      </c>
      <c r="G1" s="56"/>
      <c r="H1" s="56"/>
      <c r="I1" s="56"/>
    </row>
    <row r="2" spans="1:10">
      <c r="A2" s="57">
        <v>7</v>
      </c>
      <c r="B2" s="57" t="s">
        <v>384</v>
      </c>
      <c r="C2" s="57" t="s">
        <v>46</v>
      </c>
      <c r="D2" s="58" t="s">
        <v>4853</v>
      </c>
      <c r="E2" s="59" t="s">
        <v>4854</v>
      </c>
    </row>
    <row r="3" spans="1:10" hidden="1">
      <c r="A3" s="57">
        <v>67</v>
      </c>
      <c r="B3" s="57" t="s">
        <v>405</v>
      </c>
      <c r="C3" s="57" t="s">
        <v>164</v>
      </c>
      <c r="D3" s="58" t="s">
        <v>5025</v>
      </c>
      <c r="E3" s="59" t="s">
        <v>5026</v>
      </c>
      <c r="G3" s="60"/>
      <c r="H3" s="60"/>
      <c r="I3" s="62"/>
      <c r="J3" s="24"/>
    </row>
    <row r="4" spans="1:10" hidden="1">
      <c r="A4" s="57">
        <v>68</v>
      </c>
      <c r="B4" s="57" t="s">
        <v>1331</v>
      </c>
      <c r="C4" s="57" t="s">
        <v>211</v>
      </c>
      <c r="D4" s="58" t="s">
        <v>4945</v>
      </c>
      <c r="E4" s="59" t="s">
        <v>4946</v>
      </c>
      <c r="G4" s="23" t="s">
        <v>4859</v>
      </c>
      <c r="H4" s="60"/>
      <c r="I4" s="63"/>
      <c r="J4" s="64"/>
    </row>
    <row r="5" spans="1:10" ht="18.75" hidden="1" customHeight="1">
      <c r="A5" s="51">
        <v>69</v>
      </c>
      <c r="B5" s="51" t="s">
        <v>1207</v>
      </c>
      <c r="C5" s="57" t="s">
        <v>33</v>
      </c>
      <c r="D5" s="52" t="s">
        <v>5110</v>
      </c>
      <c r="E5" s="59" t="s">
        <v>5111</v>
      </c>
      <c r="G5" s="23" t="s">
        <v>4859</v>
      </c>
      <c r="H5" s="60"/>
      <c r="I5" s="63"/>
      <c r="J5" s="65"/>
    </row>
    <row r="6" spans="1:10" ht="18.75" hidden="1" customHeight="1">
      <c r="A6" s="57">
        <v>115</v>
      </c>
      <c r="B6" s="57" t="s">
        <v>543</v>
      </c>
      <c r="C6" s="57" t="s">
        <v>56</v>
      </c>
      <c r="D6" s="58" t="s">
        <v>5141</v>
      </c>
      <c r="E6" s="59" t="s">
        <v>5142</v>
      </c>
      <c r="G6" s="60"/>
      <c r="H6" s="60"/>
      <c r="I6" s="63"/>
      <c r="J6" s="65"/>
    </row>
    <row r="7" spans="1:10" hidden="1">
      <c r="A7" s="57">
        <v>159</v>
      </c>
      <c r="B7" s="57" t="s">
        <v>332</v>
      </c>
      <c r="C7" s="57" t="s">
        <v>79</v>
      </c>
      <c r="D7" s="58" t="s">
        <v>4990</v>
      </c>
      <c r="E7" s="59" t="s">
        <v>4991</v>
      </c>
      <c r="G7" s="60"/>
      <c r="H7" s="60"/>
      <c r="I7" s="63"/>
      <c r="J7" s="65"/>
    </row>
    <row r="8" spans="1:10" hidden="1">
      <c r="A8" s="57">
        <v>220</v>
      </c>
      <c r="B8" s="57" t="s">
        <v>589</v>
      </c>
      <c r="C8" s="57" t="s">
        <v>110</v>
      </c>
      <c r="D8" s="58" t="s">
        <v>5044</v>
      </c>
      <c r="E8" s="59" t="s">
        <v>5045</v>
      </c>
      <c r="G8" s="60"/>
      <c r="H8" s="60"/>
      <c r="I8" s="63"/>
      <c r="J8" s="65"/>
    </row>
    <row r="9" spans="1:10" hidden="1">
      <c r="A9" s="57">
        <v>232</v>
      </c>
      <c r="B9" s="57" t="s">
        <v>1364</v>
      </c>
      <c r="C9" s="57" t="s">
        <v>141</v>
      </c>
      <c r="D9" s="58" t="s">
        <v>5093</v>
      </c>
      <c r="E9" s="59" t="s">
        <v>5094</v>
      </c>
      <c r="F9" s="61"/>
      <c r="G9" s="60"/>
      <c r="H9" s="60"/>
      <c r="I9" s="63"/>
      <c r="J9" s="65"/>
    </row>
    <row r="10" spans="1:10" hidden="1">
      <c r="A10" s="57">
        <v>233</v>
      </c>
      <c r="B10" s="57" t="s">
        <v>425</v>
      </c>
      <c r="C10" s="57" t="s">
        <v>261</v>
      </c>
      <c r="D10" s="58" t="s">
        <v>5067</v>
      </c>
      <c r="E10" s="59" t="s">
        <v>5068</v>
      </c>
      <c r="G10" s="60"/>
      <c r="H10" s="60"/>
      <c r="I10" s="60"/>
    </row>
    <row r="11" spans="1:10" hidden="1">
      <c r="A11" s="57">
        <v>244</v>
      </c>
      <c r="B11" s="57" t="s">
        <v>314</v>
      </c>
      <c r="C11" s="57" t="s">
        <v>56</v>
      </c>
      <c r="D11" s="58" t="s">
        <v>5143</v>
      </c>
      <c r="E11" s="59" t="s">
        <v>5144</v>
      </c>
      <c r="G11" s="60"/>
      <c r="H11" s="60"/>
      <c r="I11" s="60"/>
    </row>
    <row r="12" spans="1:10" ht="18.75" hidden="1" customHeight="1">
      <c r="A12" s="57">
        <v>246</v>
      </c>
      <c r="B12" s="57" t="s">
        <v>1194</v>
      </c>
      <c r="C12" s="57" t="s">
        <v>85</v>
      </c>
      <c r="D12" s="58" t="s">
        <v>5188</v>
      </c>
      <c r="E12" s="59" t="s">
        <v>5189</v>
      </c>
      <c r="G12" s="60"/>
      <c r="H12" s="60"/>
      <c r="I12" s="60"/>
    </row>
    <row r="13" spans="1:10">
      <c r="A13" s="57">
        <v>325</v>
      </c>
      <c r="B13" s="57" t="s">
        <v>346</v>
      </c>
      <c r="C13" s="57" t="s">
        <v>46</v>
      </c>
      <c r="D13" s="58" t="s">
        <v>4855</v>
      </c>
      <c r="E13" s="59" t="s">
        <v>4856</v>
      </c>
      <c r="G13" s="60"/>
      <c r="H13" s="60"/>
      <c r="I13" s="60"/>
    </row>
    <row r="14" spans="1:10" hidden="1">
      <c r="A14" s="57">
        <v>446</v>
      </c>
      <c r="B14" s="57" t="s">
        <v>433</v>
      </c>
      <c r="C14" s="57" t="s">
        <v>110</v>
      </c>
      <c r="D14" s="58" t="s">
        <v>5046</v>
      </c>
      <c r="E14" s="59" t="s">
        <v>5047</v>
      </c>
      <c r="G14" s="60"/>
      <c r="H14" s="60"/>
      <c r="I14" s="60"/>
    </row>
    <row r="15" spans="1:10" hidden="1">
      <c r="A15" s="57">
        <v>537</v>
      </c>
      <c r="B15" s="57" t="s">
        <v>4992</v>
      </c>
      <c r="C15" s="57" t="s">
        <v>79</v>
      </c>
      <c r="D15" s="58" t="s">
        <v>4993</v>
      </c>
      <c r="E15" s="59" t="s">
        <v>4994</v>
      </c>
      <c r="H15" s="60"/>
    </row>
    <row r="16" spans="1:10" hidden="1">
      <c r="A16" s="57">
        <v>550</v>
      </c>
      <c r="B16" s="57" t="s">
        <v>338</v>
      </c>
      <c r="C16" s="57" t="s">
        <v>164</v>
      </c>
      <c r="D16" s="58" t="s">
        <v>5027</v>
      </c>
      <c r="E16" s="59" t="s">
        <v>5028</v>
      </c>
      <c r="H16" s="60"/>
      <c r="I16" s="62"/>
      <c r="J16" s="24"/>
    </row>
    <row r="17" spans="1:10" ht="18.75" hidden="1" customHeight="1">
      <c r="A17" s="57">
        <v>570</v>
      </c>
      <c r="B17" s="57" t="s">
        <v>4971</v>
      </c>
      <c r="C17" s="57" t="s">
        <v>148</v>
      </c>
      <c r="D17" s="58" t="s">
        <v>4972</v>
      </c>
      <c r="E17" s="59" t="s">
        <v>4973</v>
      </c>
      <c r="H17" s="60"/>
      <c r="I17" s="63"/>
      <c r="J17" s="64"/>
    </row>
    <row r="18" spans="1:10" ht="18.75" hidden="1" customHeight="1">
      <c r="A18" s="57">
        <v>582</v>
      </c>
      <c r="B18" s="57" t="s">
        <v>140</v>
      </c>
      <c r="C18" s="57" t="s">
        <v>141</v>
      </c>
      <c r="D18" s="58" t="s">
        <v>5095</v>
      </c>
      <c r="E18" s="59" t="s">
        <v>5096</v>
      </c>
      <c r="H18" s="60"/>
      <c r="I18" s="63"/>
      <c r="J18" s="65"/>
    </row>
    <row r="19" spans="1:10" hidden="1">
      <c r="A19" s="57">
        <v>594</v>
      </c>
      <c r="B19" s="57" t="s">
        <v>445</v>
      </c>
      <c r="C19" s="57" t="s">
        <v>33</v>
      </c>
      <c r="D19" s="58" t="s">
        <v>5112</v>
      </c>
      <c r="E19" s="59" t="s">
        <v>5113</v>
      </c>
      <c r="H19" s="60"/>
      <c r="I19" s="63"/>
      <c r="J19" s="65"/>
    </row>
    <row r="20" spans="1:10" hidden="1">
      <c r="A20" s="57">
        <v>600</v>
      </c>
      <c r="B20" s="57" t="s">
        <v>1085</v>
      </c>
      <c r="C20" s="57" t="s">
        <v>90</v>
      </c>
      <c r="D20" s="58" t="s">
        <v>5162</v>
      </c>
      <c r="E20" s="59" t="s">
        <v>5163</v>
      </c>
      <c r="H20" s="60"/>
      <c r="I20" s="63"/>
      <c r="J20" s="65"/>
    </row>
    <row r="21" spans="1:10" hidden="1">
      <c r="A21" s="57">
        <v>605</v>
      </c>
      <c r="B21" s="57" t="s">
        <v>421</v>
      </c>
      <c r="C21" s="57" t="s">
        <v>90</v>
      </c>
      <c r="D21" s="58" t="s">
        <v>5164</v>
      </c>
      <c r="E21" s="59" t="s">
        <v>5165</v>
      </c>
      <c r="H21" s="60"/>
      <c r="I21" s="63"/>
      <c r="J21" s="65"/>
    </row>
    <row r="22" spans="1:10" hidden="1">
      <c r="A22" s="57">
        <v>608</v>
      </c>
      <c r="B22" s="57" t="s">
        <v>439</v>
      </c>
      <c r="C22" s="57" t="s">
        <v>148</v>
      </c>
      <c r="D22" s="58" t="s">
        <v>4974</v>
      </c>
      <c r="E22" s="59" t="s">
        <v>4975</v>
      </c>
      <c r="H22" s="60"/>
      <c r="I22" s="63"/>
      <c r="J22" s="65"/>
    </row>
    <row r="23" spans="1:10" hidden="1">
      <c r="A23" s="57">
        <v>673</v>
      </c>
      <c r="B23" s="57" t="s">
        <v>582</v>
      </c>
      <c r="C23" s="57" t="s">
        <v>110</v>
      </c>
      <c r="D23" s="58" t="s">
        <v>5048</v>
      </c>
      <c r="E23" s="59" t="s">
        <v>5049</v>
      </c>
      <c r="H23" s="60"/>
      <c r="I23" s="63"/>
    </row>
    <row r="24" spans="1:10">
      <c r="A24" s="57">
        <v>697</v>
      </c>
      <c r="B24" s="57" t="s">
        <v>66</v>
      </c>
      <c r="C24" s="57" t="s">
        <v>46</v>
      </c>
      <c r="D24" s="58" t="s">
        <v>4857</v>
      </c>
      <c r="E24" s="59" t="s">
        <v>4858</v>
      </c>
    </row>
    <row r="25" spans="1:10" hidden="1">
      <c r="A25" s="57">
        <v>710</v>
      </c>
      <c r="B25" s="57" t="s">
        <v>391</v>
      </c>
      <c r="C25" s="57" t="s">
        <v>56</v>
      </c>
      <c r="D25" s="58" t="s">
        <v>4876</v>
      </c>
      <c r="E25" s="59" t="s">
        <v>5145</v>
      </c>
    </row>
    <row r="26" spans="1:10" hidden="1">
      <c r="A26" s="57">
        <v>711</v>
      </c>
      <c r="B26" s="57" t="s">
        <v>78</v>
      </c>
      <c r="C26" s="57" t="s">
        <v>79</v>
      </c>
      <c r="D26" s="58" t="s">
        <v>4995</v>
      </c>
      <c r="E26" s="59" t="s">
        <v>4996</v>
      </c>
    </row>
    <row r="27" spans="1:10" ht="18.75" customHeight="1">
      <c r="A27" s="57">
        <v>714</v>
      </c>
      <c r="B27" s="57" t="s">
        <v>378</v>
      </c>
      <c r="C27" s="57" t="s">
        <v>46</v>
      </c>
      <c r="D27" s="58" t="s">
        <v>4860</v>
      </c>
      <c r="E27" s="59" t="s">
        <v>4861</v>
      </c>
    </row>
    <row r="28" spans="1:10" ht="18.75" hidden="1" customHeight="1">
      <c r="A28" s="57">
        <v>721</v>
      </c>
      <c r="B28" s="57" t="s">
        <v>423</v>
      </c>
      <c r="C28" s="57" t="s">
        <v>79</v>
      </c>
      <c r="D28" s="58" t="s">
        <v>4997</v>
      </c>
      <c r="E28" s="59" t="s">
        <v>4998</v>
      </c>
    </row>
    <row r="29" spans="1:10">
      <c r="A29" s="57">
        <v>821</v>
      </c>
      <c r="B29" s="57" t="s">
        <v>1352</v>
      </c>
      <c r="C29" s="57" t="s">
        <v>46</v>
      </c>
      <c r="D29" s="58" t="s">
        <v>4862</v>
      </c>
      <c r="E29" s="59" t="s">
        <v>4863</v>
      </c>
    </row>
    <row r="30" spans="1:10" hidden="1">
      <c r="A30" s="57">
        <v>834</v>
      </c>
      <c r="B30" s="57" t="s">
        <v>368</v>
      </c>
      <c r="C30" s="57" t="s">
        <v>261</v>
      </c>
      <c r="D30" s="58" t="s">
        <v>5069</v>
      </c>
      <c r="E30" s="59" t="s">
        <v>5070</v>
      </c>
    </row>
    <row r="31" spans="1:10" ht="18.75" hidden="1" customHeight="1">
      <c r="A31" s="51">
        <v>870</v>
      </c>
      <c r="B31" s="51" t="s">
        <v>184</v>
      </c>
      <c r="C31" s="57" t="s">
        <v>90</v>
      </c>
      <c r="D31" s="52" t="s">
        <v>5166</v>
      </c>
      <c r="E31" s="59" t="s">
        <v>5167</v>
      </c>
    </row>
    <row r="32" spans="1:10" hidden="1">
      <c r="A32" s="57">
        <v>899</v>
      </c>
      <c r="B32" s="57" t="s">
        <v>176</v>
      </c>
      <c r="C32" s="57" t="s">
        <v>90</v>
      </c>
      <c r="D32" s="58" t="s">
        <v>5168</v>
      </c>
      <c r="E32" s="59" t="s">
        <v>5169</v>
      </c>
    </row>
    <row r="33" spans="1:17" ht="18.75" hidden="1" customHeight="1">
      <c r="A33" s="57">
        <v>917</v>
      </c>
      <c r="B33" s="57" t="s">
        <v>84</v>
      </c>
      <c r="C33" s="57" t="s">
        <v>85</v>
      </c>
      <c r="D33" s="58" t="s">
        <v>5190</v>
      </c>
      <c r="E33" s="59" t="s">
        <v>5191</v>
      </c>
    </row>
    <row r="34" spans="1:17" ht="18.75" hidden="1" customHeight="1">
      <c r="A34" s="57">
        <v>922</v>
      </c>
      <c r="B34" s="57" t="s">
        <v>1376</v>
      </c>
      <c r="C34" s="57" t="s">
        <v>261</v>
      </c>
      <c r="D34" s="58" t="s">
        <v>5071</v>
      </c>
      <c r="E34" s="59" t="s">
        <v>5072</v>
      </c>
    </row>
    <row r="35" spans="1:17">
      <c r="A35" s="57">
        <v>934</v>
      </c>
      <c r="B35" s="57" t="s">
        <v>429</v>
      </c>
      <c r="C35" s="57" t="s">
        <v>46</v>
      </c>
      <c r="D35" s="58" t="s">
        <v>4864</v>
      </c>
      <c r="E35" s="59" t="s">
        <v>4865</v>
      </c>
    </row>
    <row r="36" spans="1:17" hidden="1">
      <c r="A36" s="57">
        <v>963</v>
      </c>
      <c r="B36" s="57" t="s">
        <v>532</v>
      </c>
      <c r="C36" s="57" t="s">
        <v>33</v>
      </c>
      <c r="D36" s="58" t="s">
        <v>5114</v>
      </c>
      <c r="E36" s="59" t="s">
        <v>5115</v>
      </c>
    </row>
    <row r="37" spans="1:17" ht="18" hidden="1" customHeight="1">
      <c r="A37" s="51">
        <v>981</v>
      </c>
      <c r="B37" s="57" t="s">
        <v>411</v>
      </c>
      <c r="C37" s="57" t="s">
        <v>85</v>
      </c>
      <c r="D37" s="58" t="s">
        <v>5192</v>
      </c>
      <c r="E37" s="59" t="s">
        <v>5193</v>
      </c>
      <c r="F37" s="53"/>
      <c r="G37" s="53"/>
      <c r="H37" s="68"/>
      <c r="I37" s="17"/>
      <c r="J37" s="53"/>
      <c r="K37" s="53"/>
      <c r="L37" s="53"/>
      <c r="M37" s="53"/>
      <c r="N37" s="53"/>
      <c r="O37" s="53"/>
      <c r="P37" s="53"/>
      <c r="Q37" s="53"/>
    </row>
    <row r="38" spans="1:17" hidden="1">
      <c r="A38" s="57">
        <v>1012</v>
      </c>
      <c r="B38" s="57" t="s">
        <v>173</v>
      </c>
      <c r="C38" s="57" t="s">
        <v>164</v>
      </c>
      <c r="D38" s="58" t="s">
        <v>5029</v>
      </c>
      <c r="E38" s="59" t="s">
        <v>5030</v>
      </c>
    </row>
    <row r="39" spans="1:17" hidden="1">
      <c r="A39" s="57">
        <v>1028</v>
      </c>
      <c r="B39" s="57" t="s">
        <v>1080</v>
      </c>
      <c r="C39" s="57" t="s">
        <v>85</v>
      </c>
      <c r="D39" s="58" t="s">
        <v>5194</v>
      </c>
      <c r="E39" s="59" t="s">
        <v>5195</v>
      </c>
      <c r="G39" s="23" t="s">
        <v>4859</v>
      </c>
      <c r="H39" s="63"/>
    </row>
    <row r="40" spans="1:17" hidden="1">
      <c r="A40" s="57">
        <v>1049</v>
      </c>
      <c r="B40" s="57" t="s">
        <v>170</v>
      </c>
      <c r="C40" s="57" t="s">
        <v>164</v>
      </c>
      <c r="D40" s="58" t="s">
        <v>4928</v>
      </c>
      <c r="E40" s="59" t="s">
        <v>5031</v>
      </c>
    </row>
    <row r="41" spans="1:17" hidden="1">
      <c r="A41" s="57">
        <v>1052</v>
      </c>
      <c r="B41" s="57" t="s">
        <v>330</v>
      </c>
      <c r="C41" s="57" t="s">
        <v>79</v>
      </c>
      <c r="D41" s="58" t="s">
        <v>4999</v>
      </c>
      <c r="E41" s="59" t="s">
        <v>5000</v>
      </c>
      <c r="H41" s="69"/>
    </row>
    <row r="42" spans="1:17" ht="18" hidden="1" customHeight="1">
      <c r="A42" s="57">
        <v>1058</v>
      </c>
      <c r="B42" s="57" t="s">
        <v>290</v>
      </c>
      <c r="C42" s="57" t="s">
        <v>56</v>
      </c>
      <c r="D42" s="58" t="s">
        <v>5146</v>
      </c>
      <c r="E42" s="59" t="s">
        <v>5147</v>
      </c>
      <c r="J42" s="1"/>
      <c r="K42" s="195"/>
      <c r="L42" s="35"/>
      <c r="M42" s="26"/>
      <c r="N42" s="25"/>
      <c r="O42" s="25"/>
      <c r="P42" s="70"/>
      <c r="Q42" s="35"/>
    </row>
    <row r="43" spans="1:17" hidden="1">
      <c r="A43" s="57">
        <v>1059</v>
      </c>
      <c r="B43" s="57" t="s">
        <v>89</v>
      </c>
      <c r="C43" s="57" t="s">
        <v>90</v>
      </c>
      <c r="D43" s="58" t="s">
        <v>5170</v>
      </c>
      <c r="E43" s="59" t="s">
        <v>5171</v>
      </c>
      <c r="H43" s="196"/>
      <c r="J43" s="197"/>
      <c r="K43" s="2"/>
      <c r="M43" s="25"/>
      <c r="N43" s="25"/>
      <c r="O43" s="25"/>
      <c r="P43" s="70"/>
      <c r="Q43" s="35"/>
    </row>
    <row r="44" spans="1:17" hidden="1">
      <c r="A44" s="57">
        <v>1060</v>
      </c>
      <c r="B44" s="57" t="s">
        <v>285</v>
      </c>
      <c r="C44" s="57" t="s">
        <v>148</v>
      </c>
      <c r="D44" s="58" t="s">
        <v>4976</v>
      </c>
      <c r="E44" s="59" t="s">
        <v>4977</v>
      </c>
      <c r="H44" s="196"/>
      <c r="J44" s="1"/>
      <c r="K44" s="2"/>
      <c r="M44" s="26"/>
      <c r="N44" s="25"/>
      <c r="O44" s="25"/>
      <c r="P44" s="70"/>
      <c r="Q44" s="35"/>
    </row>
    <row r="45" spans="1:17" hidden="1">
      <c r="A45" s="66">
        <v>1061</v>
      </c>
      <c r="B45" s="66" t="s">
        <v>167</v>
      </c>
      <c r="C45" s="57" t="s">
        <v>85</v>
      </c>
      <c r="D45" s="67" t="s">
        <v>5196</v>
      </c>
      <c r="E45" s="53" t="s">
        <v>5197</v>
      </c>
      <c r="F45" s="61"/>
      <c r="H45" s="196"/>
      <c r="J45" s="1"/>
      <c r="K45" s="2"/>
      <c r="M45" s="26"/>
      <c r="N45" s="25"/>
      <c r="O45" s="25"/>
      <c r="P45" s="70"/>
      <c r="Q45" s="35"/>
    </row>
    <row r="46" spans="1:17" ht="18.75" hidden="1" customHeight="1">
      <c r="A46" s="57">
        <v>1069</v>
      </c>
      <c r="B46" s="57" t="s">
        <v>354</v>
      </c>
      <c r="C46" s="57" t="s">
        <v>211</v>
      </c>
      <c r="D46" s="58" t="s">
        <v>4947</v>
      </c>
      <c r="E46" s="59" t="s">
        <v>4948</v>
      </c>
      <c r="H46" s="196"/>
      <c r="J46" s="1"/>
      <c r="K46" s="2"/>
      <c r="L46" s="15"/>
      <c r="M46" s="26"/>
      <c r="N46" s="25"/>
      <c r="O46" s="25"/>
    </row>
    <row r="47" spans="1:17" ht="18.75" hidden="1" customHeight="1">
      <c r="A47" s="57">
        <v>1108</v>
      </c>
      <c r="B47" s="57" t="s">
        <v>296</v>
      </c>
      <c r="C47" s="57" t="s">
        <v>90</v>
      </c>
      <c r="D47" s="58" t="s">
        <v>5172</v>
      </c>
      <c r="E47" s="59" t="s">
        <v>5173</v>
      </c>
      <c r="H47" s="196"/>
      <c r="J47" s="1"/>
      <c r="K47" s="2"/>
    </row>
    <row r="48" spans="1:17" ht="18.75" hidden="1" customHeight="1">
      <c r="A48" s="57">
        <v>1120</v>
      </c>
      <c r="B48" s="57" t="s">
        <v>182</v>
      </c>
      <c r="C48" s="57" t="s">
        <v>211</v>
      </c>
      <c r="D48" s="58" t="s">
        <v>4949</v>
      </c>
      <c r="E48" s="59" t="s">
        <v>4950</v>
      </c>
      <c r="H48" s="196"/>
      <c r="J48" s="1"/>
      <c r="K48" s="2"/>
      <c r="M48" s="26"/>
      <c r="N48" s="25"/>
      <c r="O48" s="25"/>
    </row>
    <row r="49" spans="1:17" ht="18.75" customHeight="1">
      <c r="A49" s="57">
        <v>1138</v>
      </c>
      <c r="B49" s="57" t="s">
        <v>549</v>
      </c>
      <c r="C49" s="57" t="s">
        <v>46</v>
      </c>
      <c r="D49" s="58" t="s">
        <v>4866</v>
      </c>
      <c r="E49" s="59" t="s">
        <v>4867</v>
      </c>
      <c r="H49" s="196"/>
      <c r="J49" s="1"/>
      <c r="K49" s="2"/>
      <c r="M49" s="26"/>
      <c r="N49" s="25"/>
      <c r="O49" s="25"/>
    </row>
    <row r="50" spans="1:17" ht="18.75" hidden="1" customHeight="1">
      <c r="A50" s="57">
        <v>1146</v>
      </c>
      <c r="B50" s="57" t="s">
        <v>316</v>
      </c>
      <c r="C50" s="57" t="s">
        <v>148</v>
      </c>
      <c r="D50" s="58" t="s">
        <v>4978</v>
      </c>
      <c r="E50" s="59" t="s">
        <v>4979</v>
      </c>
      <c r="H50" s="196"/>
      <c r="J50" s="1"/>
      <c r="K50" s="2"/>
      <c r="M50" s="26"/>
      <c r="N50" s="25"/>
      <c r="O50" s="25"/>
      <c r="P50" s="1"/>
      <c r="Q50" s="35"/>
    </row>
    <row r="51" spans="1:17" ht="18.75" hidden="1" customHeight="1">
      <c r="A51" s="57">
        <v>1153</v>
      </c>
      <c r="B51" s="57" t="s">
        <v>1032</v>
      </c>
      <c r="C51" s="57" t="s">
        <v>79</v>
      </c>
      <c r="D51" s="58" t="s">
        <v>5001</v>
      </c>
      <c r="E51" s="59" t="s">
        <v>5002</v>
      </c>
      <c r="H51" s="196"/>
      <c r="J51" s="1"/>
      <c r="K51" s="2"/>
      <c r="M51" s="26"/>
      <c r="N51" s="25"/>
      <c r="O51" s="25"/>
      <c r="P51" s="70"/>
    </row>
    <row r="52" spans="1:17" ht="18.75" hidden="1" customHeight="1">
      <c r="A52" s="57">
        <v>1162</v>
      </c>
      <c r="B52" s="57" t="s">
        <v>281</v>
      </c>
      <c r="C52" s="57" t="s">
        <v>211</v>
      </c>
      <c r="D52" s="58" t="s">
        <v>4951</v>
      </c>
      <c r="E52" s="59" t="s">
        <v>4952</v>
      </c>
      <c r="J52" s="1"/>
      <c r="K52" s="2"/>
    </row>
    <row r="53" spans="1:17" ht="18.75" hidden="1" customHeight="1">
      <c r="A53" s="57">
        <v>1185</v>
      </c>
      <c r="B53" s="57" t="s">
        <v>540</v>
      </c>
      <c r="C53" s="57" t="s">
        <v>33</v>
      </c>
      <c r="D53" s="58" t="s">
        <v>5116</v>
      </c>
      <c r="E53" s="59" t="s">
        <v>5117</v>
      </c>
      <c r="J53" s="1"/>
      <c r="K53" s="2"/>
    </row>
    <row r="54" spans="1:17" ht="18.75" customHeight="1">
      <c r="A54" s="57">
        <v>1245</v>
      </c>
      <c r="B54" s="57" t="s">
        <v>409</v>
      </c>
      <c r="C54" s="57" t="s">
        <v>46</v>
      </c>
      <c r="D54" s="58" t="s">
        <v>4868</v>
      </c>
      <c r="E54" s="59" t="s">
        <v>4869</v>
      </c>
      <c r="J54" s="1"/>
      <c r="K54" s="2"/>
    </row>
    <row r="55" spans="1:17" ht="18.75" hidden="1" customHeight="1">
      <c r="A55" s="57">
        <v>1264</v>
      </c>
      <c r="B55" s="57" t="s">
        <v>352</v>
      </c>
      <c r="C55" s="57" t="s">
        <v>110</v>
      </c>
      <c r="D55" s="58" t="s">
        <v>5050</v>
      </c>
      <c r="E55" s="59" t="s">
        <v>5051</v>
      </c>
      <c r="J55" s="1"/>
      <c r="K55" s="2"/>
    </row>
    <row r="56" spans="1:17" ht="18.75" hidden="1" customHeight="1">
      <c r="A56" s="57">
        <v>1291</v>
      </c>
      <c r="B56" s="57" t="s">
        <v>137</v>
      </c>
      <c r="C56" s="57" t="s">
        <v>33</v>
      </c>
      <c r="D56" s="58" t="s">
        <v>5118</v>
      </c>
      <c r="E56" s="59" t="s">
        <v>5119</v>
      </c>
      <c r="J56" s="1"/>
      <c r="K56" s="2"/>
    </row>
    <row r="57" spans="1:17" ht="18.75" hidden="1" customHeight="1">
      <c r="A57" s="57">
        <v>1358</v>
      </c>
      <c r="B57" s="57" t="s">
        <v>594</v>
      </c>
      <c r="C57" s="57" t="s">
        <v>261</v>
      </c>
      <c r="D57" s="58" t="s">
        <v>5073</v>
      </c>
      <c r="E57" s="59" t="s">
        <v>5074</v>
      </c>
      <c r="J57" s="1"/>
      <c r="K57" s="2"/>
    </row>
    <row r="58" spans="1:17" ht="18.75" hidden="1" customHeight="1">
      <c r="A58" s="57">
        <v>1359</v>
      </c>
      <c r="B58" s="57" t="s">
        <v>271</v>
      </c>
      <c r="C58" s="57" t="s">
        <v>141</v>
      </c>
      <c r="D58" s="58" t="s">
        <v>5097</v>
      </c>
      <c r="E58" s="59" t="s">
        <v>5098</v>
      </c>
      <c r="I58" s="198"/>
      <c r="J58" s="1"/>
      <c r="K58" s="2"/>
    </row>
    <row r="59" spans="1:17" ht="18.75" hidden="1" customHeight="1">
      <c r="A59" s="57">
        <v>1360</v>
      </c>
      <c r="B59" s="57" t="s">
        <v>304</v>
      </c>
      <c r="C59" s="57" t="s">
        <v>261</v>
      </c>
      <c r="D59" s="58" t="s">
        <v>5075</v>
      </c>
      <c r="E59" s="59" t="s">
        <v>5076</v>
      </c>
    </row>
    <row r="60" spans="1:17" ht="18.75" customHeight="1">
      <c r="A60" s="57">
        <v>1361</v>
      </c>
      <c r="B60" s="57" t="s">
        <v>310</v>
      </c>
      <c r="C60" s="57" t="s">
        <v>46</v>
      </c>
      <c r="D60" s="58" t="s">
        <v>4870</v>
      </c>
      <c r="E60" s="59" t="s">
        <v>4871</v>
      </c>
    </row>
    <row r="61" spans="1:17" ht="18.75" hidden="1" customHeight="1">
      <c r="A61" s="57">
        <v>1362</v>
      </c>
      <c r="B61" s="57" t="s">
        <v>269</v>
      </c>
      <c r="C61" s="57" t="s">
        <v>90</v>
      </c>
      <c r="D61" s="58" t="s">
        <v>5174</v>
      </c>
      <c r="E61" s="59" t="s">
        <v>5175</v>
      </c>
    </row>
    <row r="62" spans="1:17" ht="18.75" hidden="1" customHeight="1">
      <c r="A62" s="57">
        <v>1363</v>
      </c>
      <c r="B62" s="57" t="s">
        <v>109</v>
      </c>
      <c r="C62" s="57" t="s">
        <v>110</v>
      </c>
      <c r="D62" s="58" t="s">
        <v>5052</v>
      </c>
      <c r="E62" s="59" t="s">
        <v>5053</v>
      </c>
    </row>
    <row r="63" spans="1:17" ht="18.75" hidden="1" customHeight="1">
      <c r="A63" s="57">
        <v>1421</v>
      </c>
      <c r="B63" s="57" t="s">
        <v>180</v>
      </c>
      <c r="C63" s="57" t="s">
        <v>79</v>
      </c>
      <c r="D63" s="58" t="s">
        <v>5003</v>
      </c>
      <c r="E63" s="59" t="s">
        <v>5004</v>
      </c>
    </row>
    <row r="64" spans="1:17" ht="18.75" customHeight="1">
      <c r="A64" s="57">
        <v>1509</v>
      </c>
      <c r="B64" s="57" t="s">
        <v>732</v>
      </c>
      <c r="C64" s="57" t="s">
        <v>46</v>
      </c>
      <c r="D64" s="58" t="s">
        <v>4872</v>
      </c>
      <c r="E64" s="59" t="s">
        <v>4873</v>
      </c>
    </row>
    <row r="65" spans="1:5" ht="18.75" customHeight="1">
      <c r="A65" s="57">
        <v>1620</v>
      </c>
      <c r="B65" s="57" t="s">
        <v>403</v>
      </c>
      <c r="C65" s="57" t="s">
        <v>46</v>
      </c>
      <c r="D65" s="58" t="s">
        <v>4874</v>
      </c>
      <c r="E65" s="59" t="s">
        <v>4875</v>
      </c>
    </row>
    <row r="66" spans="1:5" hidden="1">
      <c r="A66" s="57">
        <v>1643</v>
      </c>
      <c r="B66" s="57" t="s">
        <v>362</v>
      </c>
      <c r="C66" s="57" t="s">
        <v>261</v>
      </c>
      <c r="D66" s="58" t="s">
        <v>5077</v>
      </c>
      <c r="E66" s="59" t="s">
        <v>5078</v>
      </c>
    </row>
    <row r="67" spans="1:5" hidden="1">
      <c r="A67" s="57">
        <v>1650</v>
      </c>
      <c r="B67" s="57" t="s">
        <v>621</v>
      </c>
      <c r="C67" s="57" t="s">
        <v>141</v>
      </c>
      <c r="D67" s="58" t="s">
        <v>5099</v>
      </c>
      <c r="E67" s="59" t="s">
        <v>5100</v>
      </c>
    </row>
    <row r="68" spans="1:5" hidden="1">
      <c r="A68" s="57">
        <v>1664</v>
      </c>
      <c r="B68" s="57" t="s">
        <v>308</v>
      </c>
      <c r="C68" s="57" t="s">
        <v>164</v>
      </c>
      <c r="D68" s="58" t="s">
        <v>5032</v>
      </c>
      <c r="E68" s="59" t="s">
        <v>5033</v>
      </c>
    </row>
    <row r="69" spans="1:5" hidden="1">
      <c r="A69" s="51">
        <v>1666</v>
      </c>
      <c r="B69" s="51" t="s">
        <v>415</v>
      </c>
      <c r="C69" s="51" t="s">
        <v>79</v>
      </c>
      <c r="D69" s="52" t="s">
        <v>5005</v>
      </c>
      <c r="E69" s="59" t="s">
        <v>5006</v>
      </c>
    </row>
    <row r="70" spans="1:5" ht="18.75" hidden="1" customHeight="1">
      <c r="A70" s="71">
        <v>1672</v>
      </c>
      <c r="B70" s="71" t="s">
        <v>5054</v>
      </c>
      <c r="C70" s="71" t="s">
        <v>110</v>
      </c>
      <c r="D70" s="72" t="s">
        <v>5055</v>
      </c>
      <c r="E70" s="73" t="s">
        <v>5056</v>
      </c>
    </row>
    <row r="71" spans="1:5" ht="18.75" hidden="1" customHeight="1">
      <c r="A71" s="57">
        <v>1689</v>
      </c>
      <c r="B71" s="57" t="s">
        <v>2118</v>
      </c>
      <c r="C71" s="57" t="s">
        <v>79</v>
      </c>
      <c r="D71" s="58" t="s">
        <v>5007</v>
      </c>
      <c r="E71" s="59" t="s">
        <v>5008</v>
      </c>
    </row>
    <row r="72" spans="1:5" hidden="1">
      <c r="A72" s="57">
        <v>1710</v>
      </c>
      <c r="B72" s="57" t="s">
        <v>328</v>
      </c>
      <c r="C72" s="57" t="s">
        <v>261</v>
      </c>
      <c r="D72" s="58" t="s">
        <v>5079</v>
      </c>
      <c r="E72" s="59" t="s">
        <v>5080</v>
      </c>
    </row>
    <row r="73" spans="1:5" ht="18.75" hidden="1" customHeight="1">
      <c r="A73" s="57">
        <v>1732</v>
      </c>
      <c r="B73" s="57" t="s">
        <v>178</v>
      </c>
      <c r="C73" s="57" t="s">
        <v>164</v>
      </c>
      <c r="D73" s="58" t="s">
        <v>5034</v>
      </c>
      <c r="E73" s="59" t="s">
        <v>5035</v>
      </c>
    </row>
    <row r="74" spans="1:5" ht="18.75" hidden="1" customHeight="1">
      <c r="A74" s="57">
        <v>1754</v>
      </c>
      <c r="B74" s="57" t="s">
        <v>147</v>
      </c>
      <c r="C74" s="57" t="s">
        <v>148</v>
      </c>
      <c r="D74" s="58" t="s">
        <v>4980</v>
      </c>
      <c r="E74" s="59" t="s">
        <v>4981</v>
      </c>
    </row>
    <row r="75" spans="1:5" ht="18.75" hidden="1" customHeight="1">
      <c r="A75" s="57">
        <v>1761</v>
      </c>
      <c r="B75" s="57" t="s">
        <v>376</v>
      </c>
      <c r="C75" s="57" t="s">
        <v>56</v>
      </c>
      <c r="D75" s="58" t="s">
        <v>5148</v>
      </c>
      <c r="E75" s="59" t="s">
        <v>5149</v>
      </c>
    </row>
    <row r="76" spans="1:5" ht="18.75" hidden="1" customHeight="1">
      <c r="A76" s="57">
        <v>1764</v>
      </c>
      <c r="B76" s="57" t="s">
        <v>723</v>
      </c>
      <c r="C76" s="57" t="s">
        <v>90</v>
      </c>
      <c r="D76" s="58" t="s">
        <v>5176</v>
      </c>
      <c r="E76" s="59" t="s">
        <v>5177</v>
      </c>
    </row>
    <row r="77" spans="1:5" ht="18.75" hidden="1" customHeight="1">
      <c r="A77" s="57">
        <v>1771</v>
      </c>
      <c r="B77" s="57" t="s">
        <v>616</v>
      </c>
      <c r="C77" s="57" t="s">
        <v>261</v>
      </c>
      <c r="D77" s="58" t="s">
        <v>5081</v>
      </c>
      <c r="E77" s="59" t="s">
        <v>5082</v>
      </c>
    </row>
    <row r="78" spans="1:5" ht="18.75" hidden="1" customHeight="1">
      <c r="A78" s="57">
        <v>1792</v>
      </c>
      <c r="B78" s="57" t="s">
        <v>468</v>
      </c>
      <c r="C78" s="57" t="s">
        <v>110</v>
      </c>
      <c r="D78" s="58" t="s">
        <v>5057</v>
      </c>
      <c r="E78" s="59" t="s">
        <v>5058</v>
      </c>
    </row>
    <row r="79" spans="1:5">
      <c r="A79" s="57">
        <v>1814</v>
      </c>
      <c r="B79" s="57" t="s">
        <v>397</v>
      </c>
      <c r="C79" s="57" t="s">
        <v>46</v>
      </c>
      <c r="D79" s="58" t="s">
        <v>4876</v>
      </c>
      <c r="E79" s="59" t="s">
        <v>4877</v>
      </c>
    </row>
    <row r="80" spans="1:5">
      <c r="A80" s="57">
        <v>1833</v>
      </c>
      <c r="B80" s="57" t="s">
        <v>370</v>
      </c>
      <c r="C80" s="57" t="s">
        <v>46</v>
      </c>
      <c r="D80" s="58" t="s">
        <v>4878</v>
      </c>
      <c r="E80" s="59" t="s">
        <v>4879</v>
      </c>
    </row>
    <row r="81" spans="1:5" ht="18.75" customHeight="1">
      <c r="A81" s="57">
        <v>1835</v>
      </c>
      <c r="B81" s="57" t="s">
        <v>306</v>
      </c>
      <c r="C81" s="57" t="s">
        <v>46</v>
      </c>
      <c r="D81" s="58" t="s">
        <v>4880</v>
      </c>
      <c r="E81" s="59" t="s">
        <v>4881</v>
      </c>
    </row>
    <row r="82" spans="1:5" ht="18.75" customHeight="1">
      <c r="A82" s="57">
        <v>1836</v>
      </c>
      <c r="B82" s="57" t="s">
        <v>456</v>
      </c>
      <c r="C82" s="57" t="s">
        <v>46</v>
      </c>
      <c r="D82" s="58" t="s">
        <v>4882</v>
      </c>
      <c r="E82" s="59" t="s">
        <v>4883</v>
      </c>
    </row>
    <row r="83" spans="1:5" ht="18.75" customHeight="1">
      <c r="A83" s="57">
        <v>1837</v>
      </c>
      <c r="B83" s="57" t="s">
        <v>1786</v>
      </c>
      <c r="C83" s="57" t="s">
        <v>46</v>
      </c>
      <c r="D83" s="58" t="s">
        <v>4884</v>
      </c>
      <c r="E83" s="59" t="s">
        <v>4885</v>
      </c>
    </row>
    <row r="84" spans="1:5" ht="18.75" customHeight="1">
      <c r="A84" s="57">
        <v>1838</v>
      </c>
      <c r="B84" s="57" t="s">
        <v>358</v>
      </c>
      <c r="C84" s="57" t="s">
        <v>46</v>
      </c>
      <c r="D84" s="58" t="s">
        <v>4878</v>
      </c>
      <c r="E84" s="59" t="s">
        <v>4886</v>
      </c>
    </row>
    <row r="85" spans="1:5" ht="18.75" hidden="1" customHeight="1">
      <c r="A85" s="57">
        <v>1903</v>
      </c>
      <c r="B85" s="57" t="s">
        <v>1868</v>
      </c>
      <c r="C85" s="57" t="s">
        <v>211</v>
      </c>
      <c r="D85" s="58" t="s">
        <v>4953</v>
      </c>
      <c r="E85" s="59" t="s">
        <v>4954</v>
      </c>
    </row>
    <row r="86" spans="1:5" ht="18.75" hidden="1" customHeight="1">
      <c r="A86" s="57">
        <v>1943</v>
      </c>
      <c r="B86" s="57" t="s">
        <v>265</v>
      </c>
      <c r="C86" s="57" t="s">
        <v>56</v>
      </c>
      <c r="D86" s="58" t="s">
        <v>5150</v>
      </c>
      <c r="E86" s="59" t="s">
        <v>5151</v>
      </c>
    </row>
    <row r="87" spans="1:5" ht="18.75" hidden="1" customHeight="1">
      <c r="A87" s="57">
        <v>2039</v>
      </c>
      <c r="B87" s="57" t="s">
        <v>1944</v>
      </c>
      <c r="C87" s="57" t="s">
        <v>110</v>
      </c>
      <c r="D87" s="58" t="s">
        <v>5059</v>
      </c>
      <c r="E87" s="59" t="s">
        <v>5060</v>
      </c>
    </row>
    <row r="88" spans="1:5" ht="18.75" hidden="1" customHeight="1">
      <c r="A88" s="57">
        <v>2069</v>
      </c>
      <c r="B88" s="57" t="s">
        <v>558</v>
      </c>
      <c r="C88" s="57" t="s">
        <v>90</v>
      </c>
      <c r="D88" s="58" t="s">
        <v>5178</v>
      </c>
      <c r="E88" s="59" t="s">
        <v>5179</v>
      </c>
    </row>
    <row r="89" spans="1:5" ht="18.75" hidden="1" customHeight="1">
      <c r="A89" s="57">
        <v>2081</v>
      </c>
      <c r="B89" s="57" t="s">
        <v>591</v>
      </c>
      <c r="C89" s="57" t="s">
        <v>261</v>
      </c>
      <c r="D89" s="58" t="s">
        <v>5083</v>
      </c>
      <c r="E89" s="59" t="s">
        <v>5084</v>
      </c>
    </row>
    <row r="90" spans="1:5" ht="18.75" hidden="1" customHeight="1">
      <c r="A90" s="57">
        <v>2125</v>
      </c>
      <c r="B90" s="57" t="s">
        <v>1400</v>
      </c>
      <c r="C90" s="57" t="s">
        <v>211</v>
      </c>
      <c r="D90" s="58" t="s">
        <v>4955</v>
      </c>
      <c r="E90" s="59" t="s">
        <v>5278</v>
      </c>
    </row>
    <row r="91" spans="1:5" ht="18.75" customHeight="1">
      <c r="A91" s="57">
        <v>2138</v>
      </c>
      <c r="B91" s="57" t="s">
        <v>380</v>
      </c>
      <c r="C91" s="57" t="s">
        <v>46</v>
      </c>
      <c r="D91" s="58" t="s">
        <v>4887</v>
      </c>
      <c r="E91" s="59" t="s">
        <v>4888</v>
      </c>
    </row>
    <row r="92" spans="1:5" ht="18.75" hidden="1" customHeight="1">
      <c r="A92" s="57">
        <v>2156</v>
      </c>
      <c r="B92" s="57" t="s">
        <v>279</v>
      </c>
      <c r="C92" s="57" t="s">
        <v>211</v>
      </c>
      <c r="D92" s="58" t="s">
        <v>4957</v>
      </c>
      <c r="E92" s="59" t="s">
        <v>4958</v>
      </c>
    </row>
    <row r="93" spans="1:5" ht="18.75" hidden="1" customHeight="1">
      <c r="A93" s="57">
        <v>2170</v>
      </c>
      <c r="B93" s="57" t="s">
        <v>478</v>
      </c>
      <c r="C93" s="57" t="s">
        <v>148</v>
      </c>
      <c r="D93" s="58" t="s">
        <v>4982</v>
      </c>
      <c r="E93" s="59" t="s">
        <v>4983</v>
      </c>
    </row>
    <row r="94" spans="1:5" ht="18.75" hidden="1" customHeight="1">
      <c r="A94" s="57">
        <v>2219</v>
      </c>
      <c r="B94" s="57" t="s">
        <v>894</v>
      </c>
      <c r="C94" s="57" t="s">
        <v>141</v>
      </c>
      <c r="D94" s="58" t="s">
        <v>5101</v>
      </c>
      <c r="E94" s="59" t="s">
        <v>5102</v>
      </c>
    </row>
    <row r="95" spans="1:5" ht="18.75" hidden="1" customHeight="1">
      <c r="A95" s="57">
        <v>2229</v>
      </c>
      <c r="B95" s="57" t="s">
        <v>340</v>
      </c>
      <c r="C95" s="57" t="s">
        <v>211</v>
      </c>
      <c r="D95" s="58" t="s">
        <v>4959</v>
      </c>
      <c r="E95" s="59" t="s">
        <v>4960</v>
      </c>
    </row>
    <row r="96" spans="1:5" ht="18.75" hidden="1" customHeight="1">
      <c r="A96" s="57">
        <v>2238</v>
      </c>
      <c r="B96" s="57" t="s">
        <v>708</v>
      </c>
      <c r="C96" s="57" t="s">
        <v>79</v>
      </c>
      <c r="D96" s="58" t="s">
        <v>5009</v>
      </c>
      <c r="E96" s="59" t="s">
        <v>5010</v>
      </c>
    </row>
    <row r="97" spans="1:8" hidden="1">
      <c r="A97" s="57">
        <v>2239</v>
      </c>
      <c r="B97" s="57" t="s">
        <v>334</v>
      </c>
      <c r="C97" s="57" t="s">
        <v>261</v>
      </c>
      <c r="D97" s="58" t="s">
        <v>5085</v>
      </c>
      <c r="E97" s="59" t="s">
        <v>5086</v>
      </c>
    </row>
    <row r="98" spans="1:8" ht="18.75" hidden="1" customHeight="1">
      <c r="A98" s="57">
        <v>2244</v>
      </c>
      <c r="B98" s="57" t="s">
        <v>1854</v>
      </c>
      <c r="C98" s="57" t="s">
        <v>79</v>
      </c>
      <c r="D98" s="58" t="s">
        <v>5011</v>
      </c>
      <c r="E98" s="59" t="s">
        <v>5012</v>
      </c>
    </row>
    <row r="99" spans="1:8" ht="18.75" hidden="1" customHeight="1">
      <c r="A99" s="57">
        <v>2257</v>
      </c>
      <c r="B99" s="57" t="s">
        <v>382</v>
      </c>
      <c r="C99" s="57" t="s">
        <v>110</v>
      </c>
      <c r="D99" s="58" t="s">
        <v>5061</v>
      </c>
      <c r="E99" s="59" t="s">
        <v>5062</v>
      </c>
    </row>
    <row r="100" spans="1:8" ht="18.75" hidden="1" customHeight="1">
      <c r="A100" s="57">
        <v>2304</v>
      </c>
      <c r="B100" s="57" t="s">
        <v>2712</v>
      </c>
      <c r="C100" s="57" t="s">
        <v>85</v>
      </c>
      <c r="D100" s="58" t="s">
        <v>5200</v>
      </c>
      <c r="E100" s="59" t="s">
        <v>5201</v>
      </c>
    </row>
    <row r="101" spans="1:8" ht="18.75" customHeight="1">
      <c r="A101" s="57">
        <v>2326</v>
      </c>
      <c r="B101" s="57" t="s">
        <v>192</v>
      </c>
      <c r="C101" s="57" t="s">
        <v>46</v>
      </c>
      <c r="D101" s="58" t="s">
        <v>4889</v>
      </c>
      <c r="E101" s="59" t="s">
        <v>4890</v>
      </c>
    </row>
    <row r="102" spans="1:8" ht="18.75" hidden="1" customHeight="1">
      <c r="A102" s="57">
        <v>2335</v>
      </c>
      <c r="B102" s="57" t="s">
        <v>195</v>
      </c>
      <c r="C102" s="57" t="s">
        <v>110</v>
      </c>
      <c r="D102" s="58" t="s">
        <v>5063</v>
      </c>
      <c r="E102" s="59" t="s">
        <v>5064</v>
      </c>
    </row>
    <row r="103" spans="1:8" ht="18.75" customHeight="1">
      <c r="A103" s="57">
        <v>2365</v>
      </c>
      <c r="B103" s="57" t="s">
        <v>160</v>
      </c>
      <c r="C103" s="57" t="s">
        <v>46</v>
      </c>
      <c r="D103" s="58" t="s">
        <v>4891</v>
      </c>
      <c r="E103" s="59" t="s">
        <v>4892</v>
      </c>
    </row>
    <row r="104" spans="1:8" ht="18.75" hidden="1" customHeight="1">
      <c r="A104" s="57">
        <v>2369</v>
      </c>
      <c r="B104" s="57" t="s">
        <v>702</v>
      </c>
      <c r="C104" s="57" t="s">
        <v>141</v>
      </c>
      <c r="D104" s="58" t="s">
        <v>5103</v>
      </c>
      <c r="E104" s="59" t="s">
        <v>5104</v>
      </c>
    </row>
    <row r="105" spans="1:8" hidden="1">
      <c r="A105" s="57">
        <v>2371</v>
      </c>
      <c r="B105" s="57" t="s">
        <v>1001</v>
      </c>
      <c r="C105" s="57" t="s">
        <v>90</v>
      </c>
      <c r="D105" s="58" t="s">
        <v>5180</v>
      </c>
      <c r="E105" s="59" t="s">
        <v>5181</v>
      </c>
    </row>
    <row r="106" spans="1:8" hidden="1">
      <c r="A106" s="57">
        <v>2388</v>
      </c>
      <c r="B106" s="57" t="s">
        <v>300</v>
      </c>
      <c r="C106" s="57" t="s">
        <v>79</v>
      </c>
      <c r="D106" s="58" t="s">
        <v>5013</v>
      </c>
      <c r="E106" s="59" t="s">
        <v>5014</v>
      </c>
    </row>
    <row r="107" spans="1:8" hidden="1">
      <c r="A107" s="57">
        <v>2413</v>
      </c>
      <c r="B107" s="57" t="s">
        <v>506</v>
      </c>
      <c r="C107" s="57" t="s">
        <v>141</v>
      </c>
      <c r="D107" s="58" t="s">
        <v>5105</v>
      </c>
      <c r="E107" s="59" t="s">
        <v>5106</v>
      </c>
    </row>
    <row r="108" spans="1:8" hidden="1">
      <c r="A108" s="57">
        <v>2422</v>
      </c>
      <c r="B108" s="57" t="s">
        <v>1845</v>
      </c>
      <c r="C108" s="57" t="s">
        <v>211</v>
      </c>
      <c r="D108" s="58" t="s">
        <v>4961</v>
      </c>
      <c r="E108" s="59" t="s">
        <v>4962</v>
      </c>
    </row>
    <row r="109" spans="1:8" hidden="1">
      <c r="A109" s="57">
        <v>2437</v>
      </c>
      <c r="B109" s="57" t="s">
        <v>417</v>
      </c>
      <c r="C109" s="57" t="s">
        <v>211</v>
      </c>
      <c r="D109" s="58" t="s">
        <v>4963</v>
      </c>
      <c r="E109" s="59" t="s">
        <v>4964</v>
      </c>
    </row>
    <row r="110" spans="1:8" hidden="1">
      <c r="A110" s="57">
        <v>2442</v>
      </c>
      <c r="B110" s="57" t="s">
        <v>1957</v>
      </c>
      <c r="C110" s="57" t="s">
        <v>33</v>
      </c>
      <c r="D110" s="58" t="s">
        <v>5120</v>
      </c>
      <c r="E110" s="59" t="s">
        <v>5121</v>
      </c>
      <c r="G110" s="61"/>
    </row>
    <row r="111" spans="1:8" hidden="1">
      <c r="A111" s="57">
        <v>2473</v>
      </c>
      <c r="B111" s="57" t="s">
        <v>1460</v>
      </c>
      <c r="C111" s="57" t="s">
        <v>261</v>
      </c>
      <c r="D111" s="58" t="s">
        <v>5087</v>
      </c>
      <c r="E111" s="59" t="s">
        <v>5088</v>
      </c>
      <c r="G111" s="74"/>
      <c r="H111" s="75"/>
    </row>
    <row r="112" spans="1:8" ht="18.75" hidden="1" customHeight="1">
      <c r="A112" s="57">
        <v>2529</v>
      </c>
      <c r="B112" s="57" t="s">
        <v>356</v>
      </c>
      <c r="C112" s="57" t="s">
        <v>56</v>
      </c>
      <c r="D112" s="58" t="s">
        <v>5152</v>
      </c>
      <c r="E112" s="59" t="s">
        <v>5153</v>
      </c>
    </row>
    <row r="113" spans="1:10" ht="18.75" hidden="1" customHeight="1">
      <c r="A113" s="57">
        <v>2559</v>
      </c>
      <c r="B113" s="57" t="s">
        <v>260</v>
      </c>
      <c r="C113" s="57" t="s">
        <v>261</v>
      </c>
      <c r="D113" s="58" t="s">
        <v>5089</v>
      </c>
      <c r="E113" s="59" t="s">
        <v>5090</v>
      </c>
    </row>
    <row r="114" spans="1:10" ht="18.75" hidden="1" customHeight="1">
      <c r="A114" s="57">
        <v>2564</v>
      </c>
      <c r="B114" s="57" t="s">
        <v>256</v>
      </c>
      <c r="C114" s="57" t="s">
        <v>164</v>
      </c>
      <c r="D114" s="58" t="s">
        <v>5036</v>
      </c>
      <c r="E114" s="59" t="s">
        <v>5037</v>
      </c>
    </row>
    <row r="115" spans="1:10" ht="18.75" hidden="1" customHeight="1">
      <c r="A115" s="57">
        <v>2590</v>
      </c>
      <c r="B115" s="57" t="s">
        <v>395</v>
      </c>
      <c r="C115" s="57" t="s">
        <v>148</v>
      </c>
      <c r="D115" s="58" t="s">
        <v>4984</v>
      </c>
      <c r="E115" s="59" t="s">
        <v>4985</v>
      </c>
    </row>
    <row r="116" spans="1:10" ht="18.75" hidden="1" customHeight="1">
      <c r="A116" s="57">
        <v>2625</v>
      </c>
      <c r="B116" s="57" t="s">
        <v>318</v>
      </c>
      <c r="C116" s="57" t="s">
        <v>164</v>
      </c>
      <c r="D116" s="58" t="s">
        <v>5038</v>
      </c>
      <c r="E116" s="59" t="s">
        <v>5039</v>
      </c>
    </row>
    <row r="117" spans="1:10" ht="18.75" hidden="1" customHeight="1">
      <c r="A117" s="57">
        <v>2669</v>
      </c>
      <c r="B117" s="57" t="s">
        <v>562</v>
      </c>
      <c r="C117" s="57" t="s">
        <v>110</v>
      </c>
      <c r="D117" s="58" t="s">
        <v>5065</v>
      </c>
      <c r="E117" s="59" t="s">
        <v>5066</v>
      </c>
    </row>
    <row r="118" spans="1:10" ht="18.75" hidden="1" customHeight="1">
      <c r="A118" s="57">
        <v>2678</v>
      </c>
      <c r="B118" s="57" t="s">
        <v>993</v>
      </c>
      <c r="C118" s="57" t="s">
        <v>33</v>
      </c>
      <c r="D118" s="58" t="s">
        <v>5122</v>
      </c>
      <c r="E118" s="59" t="s">
        <v>5123</v>
      </c>
    </row>
    <row r="119" spans="1:10" ht="18.75" hidden="1" customHeight="1">
      <c r="A119" s="57">
        <v>2683</v>
      </c>
      <c r="B119" s="57" t="s">
        <v>277</v>
      </c>
      <c r="C119" s="57" t="s">
        <v>90</v>
      </c>
      <c r="D119" s="58" t="s">
        <v>5182</v>
      </c>
      <c r="E119" s="59" t="s">
        <v>5183</v>
      </c>
    </row>
    <row r="120" spans="1:10" ht="18.75" hidden="1" customHeight="1">
      <c r="A120" s="57">
        <v>2693</v>
      </c>
      <c r="B120" s="57" t="s">
        <v>254</v>
      </c>
      <c r="C120" s="57" t="s">
        <v>56</v>
      </c>
      <c r="D120" s="58" t="s">
        <v>5154</v>
      </c>
      <c r="E120" s="59" t="s">
        <v>5155</v>
      </c>
    </row>
    <row r="121" spans="1:10" ht="18.75" hidden="1" customHeight="1">
      <c r="A121" s="57">
        <v>2699</v>
      </c>
      <c r="B121" s="57" t="s">
        <v>348</v>
      </c>
      <c r="C121" s="57" t="s">
        <v>148</v>
      </c>
      <c r="D121" s="58" t="s">
        <v>4986</v>
      </c>
      <c r="E121" s="59" t="s">
        <v>4987</v>
      </c>
    </row>
    <row r="122" spans="1:10" ht="18.75" hidden="1" customHeight="1">
      <c r="A122" s="51">
        <v>2737</v>
      </c>
      <c r="B122" s="51" t="s">
        <v>312</v>
      </c>
      <c r="C122" s="57" t="s">
        <v>90</v>
      </c>
      <c r="D122" s="52" t="s">
        <v>5184</v>
      </c>
      <c r="E122" s="59" t="s">
        <v>5185</v>
      </c>
    </row>
    <row r="123" spans="1:10" ht="18.75" hidden="1" customHeight="1">
      <c r="A123" s="57">
        <v>2739</v>
      </c>
      <c r="B123" s="57" t="s">
        <v>360</v>
      </c>
      <c r="C123" s="57" t="s">
        <v>85</v>
      </c>
      <c r="D123" s="58" t="s">
        <v>5198</v>
      </c>
      <c r="E123" s="59" t="s">
        <v>5199</v>
      </c>
    </row>
    <row r="124" spans="1:10" ht="18.75" customHeight="1">
      <c r="A124" s="57">
        <v>2805</v>
      </c>
      <c r="B124" s="57" t="s">
        <v>4893</v>
      </c>
      <c r="C124" s="57" t="s">
        <v>46</v>
      </c>
      <c r="D124" s="58" t="s">
        <v>4894</v>
      </c>
      <c r="E124" s="59" t="s">
        <v>4895</v>
      </c>
    </row>
    <row r="125" spans="1:10" ht="18.75" customHeight="1">
      <c r="A125" s="57">
        <v>2811</v>
      </c>
      <c r="B125" s="57" t="s">
        <v>45</v>
      </c>
      <c r="C125" s="57" t="s">
        <v>46</v>
      </c>
      <c r="D125" s="58" t="s">
        <v>4896</v>
      </c>
      <c r="E125" s="59" t="s">
        <v>4897</v>
      </c>
    </row>
    <row r="126" spans="1:10" ht="18.75" hidden="1" customHeight="1">
      <c r="A126" s="57">
        <v>2855</v>
      </c>
      <c r="B126" s="57" t="s">
        <v>250</v>
      </c>
      <c r="C126" s="57" t="s">
        <v>56</v>
      </c>
      <c r="D126" s="58" t="s">
        <v>5156</v>
      </c>
      <c r="E126" s="59" t="s">
        <v>5157</v>
      </c>
    </row>
    <row r="127" spans="1:10" ht="18.75" customHeight="1">
      <c r="A127" s="57">
        <v>2889</v>
      </c>
      <c r="B127" s="57" t="s">
        <v>419</v>
      </c>
      <c r="C127" s="57" t="s">
        <v>46</v>
      </c>
      <c r="D127" s="58" t="s">
        <v>4898</v>
      </c>
      <c r="E127" s="59" t="s">
        <v>4899</v>
      </c>
      <c r="J127" s="15"/>
    </row>
    <row r="128" spans="1:10" ht="18.75" customHeight="1">
      <c r="A128" s="57">
        <v>2988</v>
      </c>
      <c r="B128" s="57" t="s">
        <v>537</v>
      </c>
      <c r="C128" s="57" t="s">
        <v>46</v>
      </c>
      <c r="D128" s="58" t="s">
        <v>4900</v>
      </c>
      <c r="E128" s="59" t="s">
        <v>4901</v>
      </c>
    </row>
    <row r="129" spans="1:10" ht="18.75" customHeight="1">
      <c r="A129" s="57">
        <v>3056</v>
      </c>
      <c r="B129" s="57" t="s">
        <v>1773</v>
      </c>
      <c r="C129" s="57" t="s">
        <v>46</v>
      </c>
      <c r="D129" s="58" t="s">
        <v>4902</v>
      </c>
      <c r="E129" s="59" t="s">
        <v>4903</v>
      </c>
    </row>
    <row r="130" spans="1:10" ht="18.75" customHeight="1">
      <c r="A130" s="57">
        <v>3108</v>
      </c>
      <c r="B130" s="57" t="s">
        <v>326</v>
      </c>
      <c r="C130" s="57" t="s">
        <v>46</v>
      </c>
      <c r="D130" s="58" t="s">
        <v>4904</v>
      </c>
      <c r="E130" s="59" t="s">
        <v>4905</v>
      </c>
      <c r="H130" s="60"/>
    </row>
    <row r="131" spans="1:10" ht="18.75" customHeight="1">
      <c r="A131" s="57">
        <v>3234</v>
      </c>
      <c r="B131" s="57" t="s">
        <v>1831</v>
      </c>
      <c r="C131" s="57" t="s">
        <v>46</v>
      </c>
      <c r="D131" s="58" t="s">
        <v>4906</v>
      </c>
      <c r="E131" s="59" t="s">
        <v>4907</v>
      </c>
      <c r="H131" s="60"/>
    </row>
    <row r="132" spans="1:10" ht="18.75" customHeight="1">
      <c r="A132" s="57">
        <v>3237</v>
      </c>
      <c r="B132" s="57" t="s">
        <v>288</v>
      </c>
      <c r="C132" s="57" t="s">
        <v>46</v>
      </c>
      <c r="D132" s="58" t="s">
        <v>4908</v>
      </c>
      <c r="E132" s="59" t="s">
        <v>4909</v>
      </c>
      <c r="H132" s="60"/>
    </row>
    <row r="133" spans="1:10" ht="18.75" customHeight="1">
      <c r="A133" s="51">
        <v>3242</v>
      </c>
      <c r="B133" s="51" t="s">
        <v>462</v>
      </c>
      <c r="C133" s="51" t="s">
        <v>46</v>
      </c>
      <c r="D133" s="58" t="s">
        <v>4910</v>
      </c>
      <c r="E133" s="59" t="s">
        <v>4911</v>
      </c>
      <c r="H133" s="60"/>
    </row>
    <row r="134" spans="1:10" ht="18.75" customHeight="1">
      <c r="A134" s="57">
        <v>3243</v>
      </c>
      <c r="B134" s="57" t="s">
        <v>283</v>
      </c>
      <c r="C134" s="57" t="s">
        <v>46</v>
      </c>
      <c r="D134" s="58" t="s">
        <v>4912</v>
      </c>
      <c r="E134" s="59" t="s">
        <v>4913</v>
      </c>
    </row>
    <row r="135" spans="1:10" ht="18.75" customHeight="1">
      <c r="A135" s="57">
        <v>3250</v>
      </c>
      <c r="B135" s="57" t="s">
        <v>372</v>
      </c>
      <c r="C135" s="57" t="s">
        <v>46</v>
      </c>
      <c r="D135" s="58" t="s">
        <v>4914</v>
      </c>
      <c r="E135" s="59" t="s">
        <v>4915</v>
      </c>
    </row>
    <row r="136" spans="1:10" ht="18.75" customHeight="1">
      <c r="A136" s="57">
        <v>3258</v>
      </c>
      <c r="B136" s="57" t="s">
        <v>322</v>
      </c>
      <c r="C136" s="57" t="s">
        <v>46</v>
      </c>
      <c r="D136" s="58" t="s">
        <v>4916</v>
      </c>
      <c r="E136" s="59" t="s">
        <v>4917</v>
      </c>
    </row>
    <row r="137" spans="1:10" ht="18.75" customHeight="1">
      <c r="A137" s="57">
        <v>3503</v>
      </c>
      <c r="B137" s="57" t="s">
        <v>399</v>
      </c>
      <c r="C137" s="57" t="s">
        <v>46</v>
      </c>
      <c r="D137" s="58" t="s">
        <v>4918</v>
      </c>
      <c r="E137" s="59" t="s">
        <v>4919</v>
      </c>
    </row>
    <row r="138" spans="1:10" ht="18.75" customHeight="1">
      <c r="A138" s="57">
        <v>3613</v>
      </c>
      <c r="B138" s="57" t="s">
        <v>680</v>
      </c>
      <c r="C138" s="57" t="s">
        <v>46</v>
      </c>
      <c r="D138" s="58" t="s">
        <v>4920</v>
      </c>
      <c r="E138" s="59" t="s">
        <v>4921</v>
      </c>
    </row>
    <row r="139" spans="1:10" ht="18.75" customHeight="1">
      <c r="A139" s="57">
        <v>3699</v>
      </c>
      <c r="B139" s="57" t="s">
        <v>344</v>
      </c>
      <c r="C139" s="57" t="s">
        <v>46</v>
      </c>
      <c r="D139" s="58" t="s">
        <v>4922</v>
      </c>
      <c r="E139" s="59" t="s">
        <v>4923</v>
      </c>
    </row>
    <row r="140" spans="1:10" ht="18.75" hidden="1" customHeight="1">
      <c r="A140" s="57">
        <v>3802</v>
      </c>
      <c r="B140" s="57" t="s">
        <v>320</v>
      </c>
      <c r="C140" s="57" t="s">
        <v>148</v>
      </c>
      <c r="D140" s="58" t="s">
        <v>4988</v>
      </c>
      <c r="E140" s="59" t="s">
        <v>4989</v>
      </c>
    </row>
    <row r="141" spans="1:10" ht="18.75" hidden="1" customHeight="1">
      <c r="A141" s="57">
        <v>3918</v>
      </c>
      <c r="B141" s="57" t="s">
        <v>859</v>
      </c>
      <c r="C141" s="57" t="s">
        <v>33</v>
      </c>
      <c r="D141" s="58" t="s">
        <v>5124</v>
      </c>
      <c r="E141" s="59" t="s">
        <v>5125</v>
      </c>
    </row>
    <row r="142" spans="1:10" hidden="1">
      <c r="A142" s="57">
        <v>3924</v>
      </c>
      <c r="B142" s="57" t="s">
        <v>154</v>
      </c>
      <c r="C142" s="57" t="s">
        <v>56</v>
      </c>
      <c r="D142" s="58" t="s">
        <v>5158</v>
      </c>
      <c r="E142" s="59" t="s">
        <v>5159</v>
      </c>
    </row>
    <row r="143" spans="1:10" ht="18.75" hidden="1" customHeight="1">
      <c r="A143" s="57">
        <v>4012</v>
      </c>
      <c r="B143" s="57" t="s">
        <v>350</v>
      </c>
      <c r="C143" s="57" t="s">
        <v>261</v>
      </c>
      <c r="D143" s="58" t="s">
        <v>5091</v>
      </c>
      <c r="E143" s="59" t="s">
        <v>5092</v>
      </c>
    </row>
    <row r="144" spans="1:10" ht="18.75" hidden="1" customHeight="1">
      <c r="A144" s="57">
        <v>4076</v>
      </c>
      <c r="B144" s="57" t="s">
        <v>427</v>
      </c>
      <c r="C144" s="57" t="s">
        <v>79</v>
      </c>
      <c r="D144" s="58" t="s">
        <v>5015</v>
      </c>
      <c r="E144" s="59" t="s">
        <v>5016</v>
      </c>
      <c r="H144" s="60"/>
      <c r="I144" s="62"/>
      <c r="J144" s="24"/>
    </row>
    <row r="145" spans="1:10" ht="18.75" customHeight="1">
      <c r="A145" s="57">
        <v>4118</v>
      </c>
      <c r="B145" s="57" t="s">
        <v>72</v>
      </c>
      <c r="C145" s="57" t="s">
        <v>46</v>
      </c>
      <c r="D145" s="58" t="s">
        <v>4924</v>
      </c>
      <c r="E145" s="59" t="s">
        <v>4925</v>
      </c>
      <c r="H145" s="60"/>
      <c r="I145" s="63"/>
      <c r="J145" s="64"/>
    </row>
    <row r="146" spans="1:10" ht="18.75" hidden="1" customHeight="1">
      <c r="A146" s="57">
        <v>4119</v>
      </c>
      <c r="B146" s="57" t="s">
        <v>298</v>
      </c>
      <c r="C146" s="57" t="s">
        <v>211</v>
      </c>
      <c r="D146" s="58" t="s">
        <v>4965</v>
      </c>
      <c r="E146" s="59" t="s">
        <v>4966</v>
      </c>
      <c r="H146" s="60"/>
      <c r="I146" s="63"/>
      <c r="J146" s="65"/>
    </row>
    <row r="147" spans="1:10" ht="18.75" customHeight="1">
      <c r="A147" s="57">
        <v>4235</v>
      </c>
      <c r="B147" s="57" t="s">
        <v>292</v>
      </c>
      <c r="C147" s="57" t="s">
        <v>46</v>
      </c>
      <c r="D147" s="58" t="s">
        <v>4926</v>
      </c>
      <c r="E147" s="59" t="s">
        <v>4927</v>
      </c>
      <c r="H147" s="60"/>
      <c r="I147" s="63"/>
      <c r="J147" s="65"/>
    </row>
    <row r="148" spans="1:10" hidden="1">
      <c r="A148" s="57">
        <v>4264</v>
      </c>
      <c r="B148" s="57" t="s">
        <v>5126</v>
      </c>
      <c r="C148" s="57" t="s">
        <v>33</v>
      </c>
      <c r="D148" s="58" t="s">
        <v>5127</v>
      </c>
      <c r="E148" s="59" t="s">
        <v>5128</v>
      </c>
      <c r="H148" s="60"/>
      <c r="I148" s="63"/>
      <c r="J148" s="65"/>
    </row>
    <row r="149" spans="1:10">
      <c r="A149" s="57">
        <v>4274</v>
      </c>
      <c r="B149" s="57" t="s">
        <v>387</v>
      </c>
      <c r="C149" s="57" t="s">
        <v>46</v>
      </c>
      <c r="D149" s="58" t="s">
        <v>4928</v>
      </c>
      <c r="E149" s="59" t="s">
        <v>4929</v>
      </c>
      <c r="H149" s="60"/>
      <c r="I149" s="63"/>
      <c r="J149" s="65"/>
    </row>
    <row r="150" spans="1:10" hidden="1">
      <c r="A150" s="57">
        <v>4561</v>
      </c>
      <c r="B150" s="57" t="s">
        <v>5129</v>
      </c>
      <c r="C150" s="57" t="s">
        <v>33</v>
      </c>
      <c r="D150" s="58" t="s">
        <v>5130</v>
      </c>
      <c r="E150" s="59" t="s">
        <v>5131</v>
      </c>
      <c r="H150" s="60"/>
      <c r="I150" s="63"/>
      <c r="J150" s="65"/>
    </row>
    <row r="151" spans="1:10" hidden="1">
      <c r="A151" s="51">
        <v>4623</v>
      </c>
      <c r="B151" s="51" t="s">
        <v>670</v>
      </c>
      <c r="C151" s="51" t="s">
        <v>33</v>
      </c>
      <c r="D151" s="67" t="s">
        <v>5132</v>
      </c>
      <c r="E151" s="59" t="s">
        <v>5133</v>
      </c>
    </row>
    <row r="152" spans="1:10" hidden="1">
      <c r="A152" s="57">
        <v>4637</v>
      </c>
      <c r="B152" s="57" t="s">
        <v>849</v>
      </c>
      <c r="C152" s="57" t="s">
        <v>79</v>
      </c>
      <c r="D152" s="58" t="s">
        <v>5017</v>
      </c>
      <c r="E152" s="59" t="s">
        <v>5018</v>
      </c>
    </row>
    <row r="153" spans="1:10">
      <c r="A153" s="57">
        <v>4930</v>
      </c>
      <c r="B153" s="57" t="s">
        <v>1814</v>
      </c>
      <c r="C153" s="57" t="s">
        <v>46</v>
      </c>
      <c r="D153" s="58" t="s">
        <v>4930</v>
      </c>
      <c r="E153" s="59" t="s">
        <v>4931</v>
      </c>
    </row>
    <row r="154" spans="1:10" hidden="1">
      <c r="A154" s="57">
        <v>4997</v>
      </c>
      <c r="B154" s="57" t="s">
        <v>407</v>
      </c>
      <c r="C154" s="57" t="s">
        <v>79</v>
      </c>
      <c r="D154" s="58" t="s">
        <v>5019</v>
      </c>
      <c r="E154" s="59" t="s">
        <v>5020</v>
      </c>
    </row>
    <row r="155" spans="1:10">
      <c r="A155" s="57">
        <v>5740</v>
      </c>
      <c r="B155" s="57" t="s">
        <v>627</v>
      </c>
      <c r="C155" s="57" t="s">
        <v>46</v>
      </c>
      <c r="D155" s="58" t="s">
        <v>4932</v>
      </c>
      <c r="E155" s="59" t="s">
        <v>4933</v>
      </c>
    </row>
    <row r="156" spans="1:10" hidden="1">
      <c r="A156" s="57">
        <v>5742</v>
      </c>
      <c r="B156" s="57" t="s">
        <v>431</v>
      </c>
      <c r="C156" s="57" t="s">
        <v>79</v>
      </c>
      <c r="D156" s="58" t="s">
        <v>5021</v>
      </c>
      <c r="E156" s="59" t="s">
        <v>5022</v>
      </c>
      <c r="G156" s="23" t="s">
        <v>4859</v>
      </c>
    </row>
    <row r="157" spans="1:10" hidden="1">
      <c r="A157" s="57">
        <v>5749</v>
      </c>
      <c r="B157" s="57" t="s">
        <v>1812</v>
      </c>
      <c r="C157" s="57" t="s">
        <v>33</v>
      </c>
      <c r="D157" s="58" t="s">
        <v>5134</v>
      </c>
      <c r="E157" s="59" t="s">
        <v>5135</v>
      </c>
    </row>
    <row r="158" spans="1:10">
      <c r="A158" s="57">
        <v>5755</v>
      </c>
      <c r="B158" s="57" t="s">
        <v>842</v>
      </c>
      <c r="C158" s="57" t="s">
        <v>46</v>
      </c>
      <c r="D158" s="58" t="s">
        <v>4934</v>
      </c>
      <c r="E158" s="59" t="s">
        <v>4935</v>
      </c>
    </row>
    <row r="159" spans="1:10" hidden="1">
      <c r="A159" s="57">
        <v>5815</v>
      </c>
      <c r="B159" s="57" t="s">
        <v>5136</v>
      </c>
      <c r="C159" s="57" t="s">
        <v>33</v>
      </c>
      <c r="D159" s="58" t="s">
        <v>5137</v>
      </c>
      <c r="E159" s="59" t="s">
        <v>5138</v>
      </c>
    </row>
    <row r="160" spans="1:10">
      <c r="A160" s="57">
        <v>5816</v>
      </c>
      <c r="B160" s="57" t="s">
        <v>413</v>
      </c>
      <c r="C160" s="57" t="s">
        <v>46</v>
      </c>
      <c r="D160" s="58" t="s">
        <v>4936</v>
      </c>
      <c r="E160" s="59" t="s">
        <v>4937</v>
      </c>
    </row>
    <row r="161" spans="1:5" hidden="1">
      <c r="A161" s="57">
        <v>5898</v>
      </c>
      <c r="B161" s="57" t="s">
        <v>366</v>
      </c>
      <c r="C161" s="57" t="s">
        <v>164</v>
      </c>
      <c r="D161" s="58" t="s">
        <v>5040</v>
      </c>
      <c r="E161" s="59" t="s">
        <v>5041</v>
      </c>
    </row>
    <row r="162" spans="1:5" hidden="1">
      <c r="A162" s="57">
        <v>8074</v>
      </c>
      <c r="B162" s="57" t="s">
        <v>1258</v>
      </c>
      <c r="C162" s="57" t="s">
        <v>33</v>
      </c>
      <c r="D162" s="58" t="s">
        <v>5139</v>
      </c>
      <c r="E162" s="59" t="s">
        <v>5140</v>
      </c>
    </row>
    <row r="163" spans="1:5" hidden="1">
      <c r="A163" s="57">
        <v>8257</v>
      </c>
      <c r="B163" s="57" t="s">
        <v>1999</v>
      </c>
      <c r="C163" s="57" t="s">
        <v>211</v>
      </c>
      <c r="D163" s="58" t="s">
        <v>4967</v>
      </c>
      <c r="E163" s="59" t="s">
        <v>4968</v>
      </c>
    </row>
    <row r="164" spans="1:5" hidden="1">
      <c r="A164" s="57">
        <v>8259</v>
      </c>
      <c r="B164" s="57" t="s">
        <v>246</v>
      </c>
      <c r="C164" s="57" t="s">
        <v>56</v>
      </c>
      <c r="D164" s="58" t="s">
        <v>5160</v>
      </c>
      <c r="E164" s="59" t="s">
        <v>5161</v>
      </c>
    </row>
    <row r="165" spans="1:5" ht="18.75" hidden="1" customHeight="1">
      <c r="A165" s="57">
        <v>8264</v>
      </c>
      <c r="B165" s="57" t="s">
        <v>5107</v>
      </c>
      <c r="C165" s="57" t="s">
        <v>141</v>
      </c>
      <c r="D165" s="58" t="s">
        <v>5108</v>
      </c>
      <c r="E165" s="59" t="s">
        <v>5109</v>
      </c>
    </row>
    <row r="166" spans="1:5">
      <c r="A166" s="57">
        <v>8633</v>
      </c>
      <c r="B166" s="57" t="s">
        <v>836</v>
      </c>
      <c r="C166" s="57" t="s">
        <v>46</v>
      </c>
      <c r="D166" s="58" t="s">
        <v>4938</v>
      </c>
      <c r="E166" s="59" t="s">
        <v>4939</v>
      </c>
    </row>
    <row r="167" spans="1:5">
      <c r="A167" s="57">
        <v>8634</v>
      </c>
      <c r="B167" s="57" t="s">
        <v>294</v>
      </c>
      <c r="C167" s="57" t="s">
        <v>46</v>
      </c>
      <c r="D167" s="58" t="s">
        <v>4940</v>
      </c>
      <c r="E167" s="59" t="s">
        <v>4941</v>
      </c>
    </row>
    <row r="168" spans="1:5" ht="18.75" customHeight="1">
      <c r="A168" s="57">
        <v>9406</v>
      </c>
      <c r="B168" s="57" t="s">
        <v>115</v>
      </c>
      <c r="C168" s="57" t="s">
        <v>46</v>
      </c>
      <c r="D168" s="58" t="s">
        <v>4942</v>
      </c>
      <c r="E168" s="59" t="s">
        <v>4943</v>
      </c>
    </row>
    <row r="169" spans="1:5">
      <c r="A169" s="57">
        <v>9406</v>
      </c>
      <c r="B169" s="57" t="s">
        <v>115</v>
      </c>
      <c r="C169" s="57" t="s">
        <v>46</v>
      </c>
      <c r="D169" s="58" t="s">
        <v>4944</v>
      </c>
      <c r="E169" s="59" t="s">
        <v>4943</v>
      </c>
    </row>
    <row r="170" spans="1:5" hidden="1">
      <c r="A170" s="57">
        <v>9700</v>
      </c>
      <c r="B170" s="57" t="s">
        <v>210</v>
      </c>
      <c r="C170" s="57" t="s">
        <v>211</v>
      </c>
      <c r="D170" s="58" t="s">
        <v>4969</v>
      </c>
      <c r="E170" s="59" t="s">
        <v>4970</v>
      </c>
    </row>
    <row r="171" spans="1:5" hidden="1">
      <c r="A171" s="57">
        <v>9703</v>
      </c>
      <c r="B171" s="57" t="s">
        <v>495</v>
      </c>
      <c r="C171" s="57" t="s">
        <v>79</v>
      </c>
      <c r="D171" s="58" t="s">
        <v>5023</v>
      </c>
      <c r="E171" s="59" t="s">
        <v>5024</v>
      </c>
    </row>
    <row r="172" spans="1:5" hidden="1">
      <c r="A172" s="57">
        <v>9704</v>
      </c>
      <c r="B172" s="57" t="s">
        <v>489</v>
      </c>
      <c r="C172" s="57" t="s">
        <v>164</v>
      </c>
      <c r="D172" s="58" t="s">
        <v>5042</v>
      </c>
      <c r="E172" s="59" t="s">
        <v>5043</v>
      </c>
    </row>
    <row r="173" spans="1:5" hidden="1">
      <c r="A173" s="57">
        <v>9705</v>
      </c>
      <c r="B173" s="57" t="s">
        <v>205</v>
      </c>
      <c r="C173" s="57" t="s">
        <v>90</v>
      </c>
      <c r="D173" s="58" t="s">
        <v>5186</v>
      </c>
      <c r="E173" s="59" t="s">
        <v>5187</v>
      </c>
    </row>
    <row r="174" spans="1:5" hidden="1">
      <c r="A174" s="57">
        <v>2830</v>
      </c>
      <c r="B174" s="57" t="s">
        <v>5279</v>
      </c>
      <c r="C174" s="57" t="s">
        <v>33</v>
      </c>
      <c r="D174" s="58" t="s">
        <v>5280</v>
      </c>
      <c r="E174" s="59" t="s">
        <v>5281</v>
      </c>
    </row>
    <row r="175" spans="1:5">
      <c r="A175" s="57">
        <v>2802</v>
      </c>
      <c r="B175" s="57" t="s">
        <v>389</v>
      </c>
      <c r="C175" s="57" t="s">
        <v>46</v>
      </c>
      <c r="D175" s="58" t="s">
        <v>5282</v>
      </c>
      <c r="E175" s="59" t="s">
        <v>5283</v>
      </c>
    </row>
    <row r="176" spans="1:5">
      <c r="B176" s="76"/>
    </row>
    <row r="177" spans="2:10">
      <c r="B177" s="76"/>
    </row>
    <row r="180" spans="2:10">
      <c r="H180" s="60" t="s">
        <v>110</v>
      </c>
      <c r="I180" s="62" t="s">
        <v>5202</v>
      </c>
      <c r="J180" s="24" t="s">
        <v>5203</v>
      </c>
    </row>
    <row r="181" spans="2:10">
      <c r="H181" s="60" t="s">
        <v>110</v>
      </c>
      <c r="I181" s="63" t="s">
        <v>5204</v>
      </c>
      <c r="J181" s="64" t="s">
        <v>5205</v>
      </c>
    </row>
    <row r="182" spans="2:10">
      <c r="H182" s="60" t="s">
        <v>261</v>
      </c>
      <c r="I182" s="63" t="s">
        <v>5206</v>
      </c>
      <c r="J182" s="65" t="s">
        <v>5207</v>
      </c>
    </row>
    <row r="183" spans="2:10">
      <c r="H183" s="60" t="s">
        <v>261</v>
      </c>
      <c r="I183" s="63" t="s">
        <v>5208</v>
      </c>
      <c r="J183" s="65" t="s">
        <v>5209</v>
      </c>
    </row>
    <row r="184" spans="2:10">
      <c r="H184" s="60" t="s">
        <v>141</v>
      </c>
      <c r="I184" s="63" t="s">
        <v>5210</v>
      </c>
      <c r="J184" s="65" t="s">
        <v>5211</v>
      </c>
    </row>
    <row r="185" spans="2:10">
      <c r="H185" s="60" t="s">
        <v>141</v>
      </c>
      <c r="I185" s="63" t="s">
        <v>5212</v>
      </c>
      <c r="J185" s="65" t="s">
        <v>5213</v>
      </c>
    </row>
    <row r="186" spans="2:10">
      <c r="H186" s="60" t="s">
        <v>56</v>
      </c>
      <c r="I186" s="63" t="s">
        <v>5214</v>
      </c>
      <c r="J186" s="65" t="s">
        <v>5215</v>
      </c>
    </row>
    <row r="190" spans="2:10">
      <c r="I190"/>
    </row>
    <row r="191" spans="2:10">
      <c r="H191" s="16" t="s">
        <v>2567</v>
      </c>
      <c r="I191" t="s">
        <v>5216</v>
      </c>
    </row>
    <row r="192" spans="2:10">
      <c r="H192" s="16" t="s">
        <v>208</v>
      </c>
      <c r="I192" t="s">
        <v>5217</v>
      </c>
    </row>
    <row r="193" spans="8:9">
      <c r="H193" s="16" t="s">
        <v>113</v>
      </c>
      <c r="I193" t="s">
        <v>5218</v>
      </c>
    </row>
    <row r="194" spans="8:9">
      <c r="I194"/>
    </row>
    <row r="195" spans="8:9">
      <c r="H195" s="16" t="s">
        <v>5219</v>
      </c>
      <c r="I195" t="s">
        <v>5220</v>
      </c>
    </row>
    <row r="196" spans="8:9">
      <c r="I196"/>
    </row>
    <row r="197" spans="8:9">
      <c r="H197" s="16" t="s">
        <v>5221</v>
      </c>
      <c r="I197" t="s">
        <v>5222</v>
      </c>
    </row>
    <row r="198" spans="8:9">
      <c r="H198" s="16" t="s">
        <v>5223</v>
      </c>
      <c r="I198" t="s">
        <v>5224</v>
      </c>
    </row>
    <row r="199" spans="8:9">
      <c r="H199" s="16" t="s">
        <v>5225</v>
      </c>
      <c r="I199" t="s">
        <v>5226</v>
      </c>
    </row>
    <row r="200" spans="8:9">
      <c r="H200" s="16" t="s">
        <v>5227</v>
      </c>
      <c r="I200" t="s">
        <v>5228</v>
      </c>
    </row>
    <row r="201" spans="8:9">
      <c r="H201" s="16" t="s">
        <v>119</v>
      </c>
      <c r="I201" t="s">
        <v>5229</v>
      </c>
    </row>
    <row r="202" spans="8:9">
      <c r="H202" s="16" t="s">
        <v>233</v>
      </c>
      <c r="I202" t="s">
        <v>5230</v>
      </c>
    </row>
    <row r="203" spans="8:9">
      <c r="H203" s="16" t="s">
        <v>5231</v>
      </c>
      <c r="I203" t="s">
        <v>5232</v>
      </c>
    </row>
    <row r="204" spans="8:9">
      <c r="H204" s="16" t="s">
        <v>5233</v>
      </c>
      <c r="I204" t="s">
        <v>5234</v>
      </c>
    </row>
    <row r="205" spans="8:9">
      <c r="H205" s="16" t="s">
        <v>128</v>
      </c>
      <c r="I205" t="s">
        <v>5235</v>
      </c>
    </row>
    <row r="206" spans="8:9">
      <c r="H206" s="16" t="s">
        <v>123</v>
      </c>
      <c r="I206" t="s">
        <v>5236</v>
      </c>
    </row>
    <row r="207" spans="8:9">
      <c r="H207" s="16" t="s">
        <v>2058</v>
      </c>
      <c r="I207" t="s">
        <v>5237</v>
      </c>
    </row>
    <row r="208" spans="8:9">
      <c r="H208" s="16" t="s">
        <v>1222</v>
      </c>
      <c r="I208" t="s">
        <v>5238</v>
      </c>
    </row>
    <row r="209" spans="8:9">
      <c r="H209" s="16" t="s">
        <v>1217</v>
      </c>
      <c r="I209" t="s">
        <v>5239</v>
      </c>
    </row>
    <row r="210" spans="8:9">
      <c r="H210" s="16" t="s">
        <v>1979</v>
      </c>
      <c r="I210" t="s">
        <v>5240</v>
      </c>
    </row>
    <row r="211" spans="8:9">
      <c r="H211" s="16" t="s">
        <v>131</v>
      </c>
      <c r="I211" t="s">
        <v>5241</v>
      </c>
    </row>
    <row r="212" spans="8:9">
      <c r="H212" s="16" t="s">
        <v>2698</v>
      </c>
      <c r="I212" t="s">
        <v>5242</v>
      </c>
    </row>
    <row r="213" spans="8:9">
      <c r="I213"/>
    </row>
    <row r="214" spans="8:9">
      <c r="H214" s="16" t="s">
        <v>1313</v>
      </c>
      <c r="I214" t="s">
        <v>5243</v>
      </c>
    </row>
    <row r="215" spans="8:9">
      <c r="H215" s="16" t="s">
        <v>1213</v>
      </c>
      <c r="I215" t="s">
        <v>5244</v>
      </c>
    </row>
    <row r="216" spans="8:9">
      <c r="H216" s="16" t="s">
        <v>2819</v>
      </c>
      <c r="I216" t="s">
        <v>5245</v>
      </c>
    </row>
    <row r="217" spans="8:9">
      <c r="H217" s="16" t="s">
        <v>52</v>
      </c>
      <c r="I217" t="s">
        <v>5246</v>
      </c>
    </row>
    <row r="218" spans="8:9">
      <c r="I218"/>
    </row>
    <row r="219" spans="8:9">
      <c r="H219" s="16" t="s">
        <v>2770</v>
      </c>
      <c r="I219" t="s">
        <v>5247</v>
      </c>
    </row>
    <row r="220" spans="8:9">
      <c r="I220"/>
    </row>
    <row r="221" spans="8:9">
      <c r="H221" s="16" t="s">
        <v>2995</v>
      </c>
      <c r="I221" t="s">
        <v>5248</v>
      </c>
    </row>
    <row r="222" spans="8:9">
      <c r="H222" s="16" t="s">
        <v>5249</v>
      </c>
      <c r="I222" t="s">
        <v>5250</v>
      </c>
    </row>
    <row r="223" spans="8:9">
      <c r="H223" s="16" t="s">
        <v>5251</v>
      </c>
      <c r="I223" t="s">
        <v>5252</v>
      </c>
    </row>
    <row r="224" spans="8:9">
      <c r="I224"/>
    </row>
    <row r="225" spans="8:9">
      <c r="H225" s="16" t="s">
        <v>2792</v>
      </c>
      <c r="I225" t="s">
        <v>5253</v>
      </c>
    </row>
    <row r="226" spans="8:9">
      <c r="H226" s="16" t="s">
        <v>5254</v>
      </c>
      <c r="I226" t="s">
        <v>5255</v>
      </c>
    </row>
    <row r="227" spans="8:9">
      <c r="H227" s="16" t="s">
        <v>2760</v>
      </c>
      <c r="I227" t="s">
        <v>5256</v>
      </c>
    </row>
    <row r="228" spans="8:9">
      <c r="I228"/>
    </row>
    <row r="229" spans="8:9">
      <c r="H229" s="16" t="s">
        <v>5257</v>
      </c>
      <c r="I229" t="s">
        <v>5258</v>
      </c>
    </row>
    <row r="230" spans="8:9">
      <c r="H230" s="16" t="s">
        <v>5259</v>
      </c>
      <c r="I230" t="s">
        <v>5260</v>
      </c>
    </row>
    <row r="231" spans="8:9">
      <c r="H231" s="16" t="s">
        <v>3543</v>
      </c>
      <c r="I231" t="s">
        <v>5261</v>
      </c>
    </row>
    <row r="232" spans="8:9">
      <c r="H232" s="16" t="s">
        <v>5262</v>
      </c>
      <c r="I232" t="s">
        <v>5263</v>
      </c>
    </row>
    <row r="233" spans="8:9">
      <c r="H233" s="16" t="s">
        <v>2533</v>
      </c>
      <c r="I233" t="s">
        <v>5264</v>
      </c>
    </row>
    <row r="234" spans="8:9">
      <c r="H234" s="16" t="s">
        <v>2744</v>
      </c>
      <c r="I234" t="s">
        <v>5265</v>
      </c>
    </row>
    <row r="235" spans="8:9">
      <c r="H235" s="16" t="s">
        <v>1155</v>
      </c>
      <c r="I235" t="s">
        <v>5266</v>
      </c>
    </row>
    <row r="236" spans="8:9">
      <c r="H236" s="16" t="s">
        <v>1989</v>
      </c>
      <c r="I236" t="s">
        <v>5267</v>
      </c>
    </row>
    <row r="237" spans="8:9">
      <c r="H237" s="16" t="s">
        <v>3916</v>
      </c>
      <c r="I237" t="s">
        <v>5268</v>
      </c>
    </row>
    <row r="238" spans="8:9">
      <c r="H238" s="16" t="s">
        <v>1727</v>
      </c>
      <c r="I238" t="s">
        <v>5269</v>
      </c>
    </row>
    <row r="239" spans="8:9">
      <c r="I239"/>
    </row>
    <row r="240" spans="8:9">
      <c r="H240" s="16" t="s">
        <v>1961</v>
      </c>
      <c r="I240" t="s">
        <v>5270</v>
      </c>
    </row>
    <row r="241" spans="8:9">
      <c r="H241" s="16" t="s">
        <v>152</v>
      </c>
      <c r="I241" s="15" t="s">
        <v>5271</v>
      </c>
    </row>
    <row r="242" spans="8:9">
      <c r="I242"/>
    </row>
    <row r="243" spans="8:9">
      <c r="H243" s="16" t="s">
        <v>454</v>
      </c>
      <c r="I243" t="s">
        <v>5272</v>
      </c>
    </row>
    <row r="244" spans="8:9">
      <c r="I244"/>
    </row>
    <row r="245" spans="8:9">
      <c r="H245" s="16" t="s">
        <v>936</v>
      </c>
      <c r="I245" t="s">
        <v>5273</v>
      </c>
    </row>
    <row r="246" spans="8:9">
      <c r="H246" s="16" t="s">
        <v>647</v>
      </c>
      <c r="I246" t="s">
        <v>5274</v>
      </c>
    </row>
    <row r="247" spans="8:9">
      <c r="H247" s="16" t="s">
        <v>644</v>
      </c>
      <c r="I247" t="s">
        <v>5275</v>
      </c>
    </row>
    <row r="248" spans="8:9">
      <c r="I248"/>
    </row>
    <row r="249" spans="8:9">
      <c r="H249" s="16" t="s">
        <v>64</v>
      </c>
      <c r="I249" t="s">
        <v>5276</v>
      </c>
    </row>
    <row r="250" spans="8:9">
      <c r="H250" s="16" t="s">
        <v>103</v>
      </c>
      <c r="I250" t="s">
        <v>5277</v>
      </c>
    </row>
  </sheetData>
  <autoFilter ref="A1:E175" xr:uid="{00000000-0009-0000-0000-00000A000000}">
    <filterColumn colId="2">
      <filters>
        <filter val="CAT-RECIFE"/>
      </filters>
    </filterColumn>
    <sortState xmlns:xlrd2="http://schemas.microsoft.com/office/spreadsheetml/2017/richdata2" ref="A2:E173">
      <sortCondition ref="A2:A173"/>
    </sortState>
  </autoFilter>
  <sortState xmlns:xlrd2="http://schemas.microsoft.com/office/spreadsheetml/2017/richdata2" ref="A2:E164">
    <sortCondition ref="A2:A164"/>
  </sortState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Roman,Normal"&amp;12&amp;Kffffff&amp;A</oddHeader>
    <oddFooter>&amp;C&amp;"Times New Roman,Normal"&amp;12&amp;KffffffPágina 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filterMode="1"/>
  <dimension ref="A1:AMJ74"/>
  <sheetViews>
    <sheetView zoomScaleNormal="100" workbookViewId="0">
      <selection activeCell="B5" sqref="B5"/>
    </sheetView>
  </sheetViews>
  <sheetFormatPr defaultColWidth="9.140625" defaultRowHeight="15.75"/>
  <cols>
    <col min="1" max="1" width="19.5703125" style="77" customWidth="1"/>
    <col min="2" max="2" width="13.28515625" style="77" customWidth="1"/>
    <col min="3" max="3" width="50.5703125" style="77" customWidth="1"/>
    <col min="4" max="4" width="20.42578125" style="77" customWidth="1"/>
    <col min="5" max="5" width="16.85546875" style="77" customWidth="1"/>
    <col min="6" max="6" width="19.42578125" style="77" customWidth="1"/>
    <col min="7" max="7" width="17.5703125" style="77" customWidth="1"/>
    <col min="8" max="8" width="15.42578125" style="77" customWidth="1"/>
    <col min="9" max="9" width="11.5703125" style="77" customWidth="1"/>
    <col min="10" max="10" width="7" style="77" customWidth="1"/>
    <col min="11" max="11" width="15.140625" style="77" customWidth="1"/>
    <col min="12" max="12" width="31.5703125" style="77" customWidth="1"/>
    <col min="13" max="13" width="18.42578125" style="78" customWidth="1"/>
    <col min="14" max="14" width="18" style="78" customWidth="1"/>
    <col min="15" max="15" width="6.140625" style="77" customWidth="1"/>
    <col min="16" max="16" width="5.5703125" style="77" customWidth="1"/>
    <col min="17" max="17" width="5.42578125" style="77" customWidth="1"/>
    <col min="18" max="18" width="16.140625" style="77" customWidth="1"/>
    <col min="19" max="19" width="10.5703125" style="77" customWidth="1"/>
    <col min="20" max="20" width="6.85546875" style="77" customWidth="1"/>
    <col min="21" max="21" width="12" style="77" customWidth="1"/>
    <col min="22" max="22" width="8.42578125" style="77" customWidth="1"/>
    <col min="23" max="23" width="5.85546875" style="77" customWidth="1"/>
    <col min="24" max="24" width="12.7109375" style="77" customWidth="1"/>
    <col min="25" max="25" width="16.140625" style="77" customWidth="1"/>
    <col min="26" max="1024" width="9.140625" style="77"/>
  </cols>
  <sheetData>
    <row r="1" spans="1:25">
      <c r="A1" s="79" t="s">
        <v>5284</v>
      </c>
      <c r="B1" s="79" t="s">
        <v>5285</v>
      </c>
      <c r="C1" s="79" t="s">
        <v>5286</v>
      </c>
      <c r="D1" s="79" t="s">
        <v>5287</v>
      </c>
      <c r="E1" s="79" t="s">
        <v>5288</v>
      </c>
      <c r="F1" s="79" t="s">
        <v>5289</v>
      </c>
      <c r="G1" s="79" t="s">
        <v>5290</v>
      </c>
      <c r="H1" s="79" t="s">
        <v>5291</v>
      </c>
      <c r="I1" s="79" t="s">
        <v>5292</v>
      </c>
      <c r="J1" s="80"/>
      <c r="K1" s="81" t="s">
        <v>5293</v>
      </c>
      <c r="L1" s="81" t="s">
        <v>5294</v>
      </c>
      <c r="M1" s="81" t="s">
        <v>5295</v>
      </c>
      <c r="N1" s="81" t="s">
        <v>5296</v>
      </c>
      <c r="O1" s="81" t="s">
        <v>5297</v>
      </c>
      <c r="P1" s="81" t="s">
        <v>5298</v>
      </c>
      <c r="Q1" s="81" t="s">
        <v>5299</v>
      </c>
      <c r="R1" s="81" t="s">
        <v>5300</v>
      </c>
      <c r="S1" s="81" t="s">
        <v>5301</v>
      </c>
      <c r="T1" s="81" t="s">
        <v>5302</v>
      </c>
      <c r="U1" s="81" t="s">
        <v>5303</v>
      </c>
      <c r="V1" s="81" t="s">
        <v>5304</v>
      </c>
      <c r="W1" s="81" t="s">
        <v>5305</v>
      </c>
      <c r="X1" s="81" t="s">
        <v>5306</v>
      </c>
      <c r="Y1" s="81" t="s">
        <v>5307</v>
      </c>
    </row>
    <row r="2" spans="1:25" hidden="1">
      <c r="A2" s="77" t="s">
        <v>5308</v>
      </c>
      <c r="B2" s="82">
        <v>111856</v>
      </c>
      <c r="C2" s="82" t="s">
        <v>5309</v>
      </c>
      <c r="D2" s="82" t="s">
        <v>5310</v>
      </c>
      <c r="E2" s="83">
        <v>6787194463</v>
      </c>
      <c r="F2" s="84" t="s">
        <v>5311</v>
      </c>
      <c r="G2" s="77" t="s">
        <v>5312</v>
      </c>
      <c r="H2" s="85">
        <v>32539</v>
      </c>
      <c r="I2" s="77" t="s">
        <v>5313</v>
      </c>
    </row>
    <row r="3" spans="1:25" hidden="1">
      <c r="A3" s="86" t="s">
        <v>5308</v>
      </c>
      <c r="B3" s="86">
        <v>111632</v>
      </c>
      <c r="C3" s="86" t="s">
        <v>5314</v>
      </c>
      <c r="D3" s="87" t="s">
        <v>5315</v>
      </c>
      <c r="E3" s="88">
        <v>5208010402</v>
      </c>
      <c r="F3" s="89" t="s">
        <v>5316</v>
      </c>
      <c r="G3" s="86" t="s">
        <v>5317</v>
      </c>
      <c r="H3" s="90">
        <v>30984</v>
      </c>
      <c r="I3" s="86" t="s">
        <v>5318</v>
      </c>
      <c r="K3" s="86"/>
      <c r="L3" s="86"/>
      <c r="M3" s="91"/>
      <c r="N3" s="91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</row>
    <row r="4" spans="1:25" ht="15.75" hidden="1" customHeight="1">
      <c r="A4" s="77" t="s">
        <v>5319</v>
      </c>
      <c r="B4" s="77">
        <v>110248</v>
      </c>
      <c r="C4" s="77" t="s">
        <v>5320</v>
      </c>
      <c r="D4" s="82" t="s">
        <v>5321</v>
      </c>
      <c r="E4" s="83">
        <v>6835030496</v>
      </c>
      <c r="F4" s="84" t="s">
        <v>5322</v>
      </c>
      <c r="G4" s="77" t="s">
        <v>5323</v>
      </c>
      <c r="H4" s="85">
        <v>32529</v>
      </c>
      <c r="I4" s="77" t="s">
        <v>5324</v>
      </c>
      <c r="K4" s="82"/>
    </row>
    <row r="5" spans="1:25" ht="15.75" customHeight="1">
      <c r="A5" s="86" t="s">
        <v>5325</v>
      </c>
      <c r="B5" s="86">
        <v>111855</v>
      </c>
      <c r="C5" s="86" t="s">
        <v>5326</v>
      </c>
      <c r="D5" s="87" t="s">
        <v>5327</v>
      </c>
      <c r="E5" s="88" t="s">
        <v>5328</v>
      </c>
      <c r="F5" s="89" t="s">
        <v>5329</v>
      </c>
      <c r="G5" s="86" t="s">
        <v>5330</v>
      </c>
      <c r="H5" s="90">
        <v>27908</v>
      </c>
      <c r="I5" s="86" t="s">
        <v>5331</v>
      </c>
      <c r="K5" s="86"/>
      <c r="L5" s="86"/>
      <c r="M5" s="91"/>
      <c r="N5" s="91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</row>
    <row r="6" spans="1:25">
      <c r="A6" s="77" t="s">
        <v>5325</v>
      </c>
      <c r="B6" s="77">
        <v>102804</v>
      </c>
      <c r="C6" s="77" t="s">
        <v>5332</v>
      </c>
      <c r="D6" s="82" t="s">
        <v>5333</v>
      </c>
      <c r="E6" s="83" t="s">
        <v>5334</v>
      </c>
      <c r="F6" s="84" t="s">
        <v>5335</v>
      </c>
      <c r="G6" s="77" t="s">
        <v>5336</v>
      </c>
      <c r="H6" s="85">
        <v>25402</v>
      </c>
      <c r="I6" s="77" t="s">
        <v>5337</v>
      </c>
    </row>
    <row r="7" spans="1:25" hidden="1">
      <c r="A7" s="86" t="s">
        <v>5338</v>
      </c>
      <c r="B7" s="86">
        <v>111708</v>
      </c>
      <c r="C7" s="86" t="s">
        <v>5339</v>
      </c>
      <c r="D7" s="87" t="s">
        <v>5340</v>
      </c>
      <c r="E7" s="88" t="s">
        <v>5341</v>
      </c>
      <c r="F7" s="89" t="s">
        <v>5342</v>
      </c>
      <c r="G7" s="86" t="s">
        <v>5343</v>
      </c>
      <c r="H7" s="90">
        <v>29161</v>
      </c>
      <c r="I7" s="86" t="s">
        <v>5344</v>
      </c>
      <c r="K7" s="86"/>
      <c r="L7" s="86"/>
      <c r="M7" s="91"/>
      <c r="N7" s="91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</row>
    <row r="8" spans="1:25" hidden="1">
      <c r="A8" s="77" t="s">
        <v>5338</v>
      </c>
      <c r="B8" s="77">
        <v>109211</v>
      </c>
      <c r="C8" s="77" t="s">
        <v>5345</v>
      </c>
      <c r="D8" s="82" t="s">
        <v>5346</v>
      </c>
      <c r="E8" s="83" t="s">
        <v>5347</v>
      </c>
      <c r="F8" s="84" t="s">
        <v>5348</v>
      </c>
      <c r="G8" s="77" t="s">
        <v>5349</v>
      </c>
      <c r="H8" s="85">
        <v>30206</v>
      </c>
      <c r="I8" s="77" t="s">
        <v>5350</v>
      </c>
    </row>
    <row r="9" spans="1:25">
      <c r="A9" s="86" t="s">
        <v>5351</v>
      </c>
      <c r="B9" s="86">
        <v>105197</v>
      </c>
      <c r="C9" s="86" t="s">
        <v>5352</v>
      </c>
      <c r="D9" s="87" t="s">
        <v>5353</v>
      </c>
      <c r="E9" s="92" t="s">
        <v>5354</v>
      </c>
      <c r="F9" s="93" t="s">
        <v>5355</v>
      </c>
      <c r="G9" s="86" t="s">
        <v>5356</v>
      </c>
      <c r="H9" s="90">
        <v>29126</v>
      </c>
      <c r="I9" s="86" t="s">
        <v>5357</v>
      </c>
      <c r="K9" s="86"/>
      <c r="L9" s="86"/>
      <c r="M9" s="91"/>
      <c r="N9" s="91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</row>
    <row r="10" spans="1:25">
      <c r="A10" s="86" t="s">
        <v>5351</v>
      </c>
      <c r="B10" s="86">
        <v>99001979</v>
      </c>
      <c r="C10" s="86" t="s">
        <v>5358</v>
      </c>
      <c r="D10" s="87"/>
      <c r="E10" s="92"/>
      <c r="F10" s="93"/>
      <c r="G10" s="86" t="s">
        <v>5359</v>
      </c>
      <c r="H10" s="90"/>
      <c r="I10" s="86"/>
      <c r="K10" s="86"/>
      <c r="L10" s="86"/>
      <c r="M10" s="91"/>
      <c r="N10" s="91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</row>
    <row r="11" spans="1:25" hidden="1">
      <c r="A11" s="82" t="s">
        <v>5360</v>
      </c>
      <c r="B11" s="77">
        <v>105583</v>
      </c>
      <c r="C11" s="77" t="s">
        <v>5361</v>
      </c>
      <c r="D11" s="82" t="s">
        <v>5362</v>
      </c>
      <c r="E11" s="94">
        <v>3822708437</v>
      </c>
      <c r="F11" s="95" t="s">
        <v>5363</v>
      </c>
      <c r="G11" s="77" t="s">
        <v>5364</v>
      </c>
      <c r="H11" s="85">
        <v>29764</v>
      </c>
      <c r="I11" s="77" t="s">
        <v>5365</v>
      </c>
    </row>
    <row r="12" spans="1:25" hidden="1">
      <c r="A12" s="87" t="s">
        <v>5360</v>
      </c>
      <c r="B12" s="86">
        <v>109257</v>
      </c>
      <c r="C12" s="86" t="s">
        <v>5366</v>
      </c>
      <c r="D12" s="87" t="s">
        <v>5367</v>
      </c>
      <c r="E12" s="92" t="s">
        <v>5368</v>
      </c>
      <c r="F12" s="93" t="s">
        <v>5369</v>
      </c>
      <c r="G12" s="86" t="s">
        <v>5370</v>
      </c>
      <c r="H12" s="90">
        <v>31701</v>
      </c>
      <c r="I12" s="86" t="s">
        <v>5371</v>
      </c>
      <c r="K12" s="86"/>
      <c r="L12" s="86"/>
      <c r="M12" s="91"/>
      <c r="N12" s="91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</row>
    <row r="13" spans="1:25" hidden="1">
      <c r="A13" s="82" t="s">
        <v>5360</v>
      </c>
      <c r="B13" s="77">
        <v>102875</v>
      </c>
      <c r="C13" s="77" t="s">
        <v>5372</v>
      </c>
      <c r="D13" s="82" t="s">
        <v>5373</v>
      </c>
      <c r="E13" s="94" t="s">
        <v>5374</v>
      </c>
      <c r="F13" s="95" t="s">
        <v>5375</v>
      </c>
      <c r="G13" s="77" t="s">
        <v>5376</v>
      </c>
      <c r="H13" s="85">
        <v>26006</v>
      </c>
      <c r="I13" s="77" t="s">
        <v>5377</v>
      </c>
    </row>
    <row r="14" spans="1:25" hidden="1">
      <c r="A14" s="87" t="s">
        <v>5360</v>
      </c>
      <c r="B14" s="86">
        <v>111660</v>
      </c>
      <c r="C14" s="86" t="s">
        <v>5378</v>
      </c>
      <c r="D14" s="87" t="s">
        <v>5379</v>
      </c>
      <c r="E14" s="92">
        <v>2546601423</v>
      </c>
      <c r="F14" s="93" t="s">
        <v>5380</v>
      </c>
      <c r="G14" s="86" t="s">
        <v>5381</v>
      </c>
      <c r="H14" s="90">
        <v>28505</v>
      </c>
      <c r="I14" s="86" t="s">
        <v>5382</v>
      </c>
      <c r="K14" s="86"/>
      <c r="L14" s="86"/>
      <c r="M14" s="91"/>
      <c r="N14" s="91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</row>
    <row r="15" spans="1:25" hidden="1">
      <c r="A15" s="96" t="s">
        <v>5383</v>
      </c>
      <c r="B15" s="77">
        <v>109269</v>
      </c>
      <c r="C15" s="77" t="s">
        <v>5384</v>
      </c>
      <c r="D15" s="82" t="s">
        <v>5385</v>
      </c>
      <c r="E15" s="94">
        <v>5604223425</v>
      </c>
      <c r="F15" s="95" t="s">
        <v>5386</v>
      </c>
      <c r="G15" s="77" t="s">
        <v>5387</v>
      </c>
      <c r="H15" s="85">
        <v>31940</v>
      </c>
      <c r="I15" s="77" t="s">
        <v>5388</v>
      </c>
    </row>
    <row r="16" spans="1:25" ht="15" hidden="1" customHeight="1">
      <c r="A16" s="97" t="s">
        <v>5383</v>
      </c>
      <c r="B16" s="86">
        <v>110486</v>
      </c>
      <c r="C16" s="86" t="s">
        <v>5389</v>
      </c>
      <c r="D16" s="87" t="s">
        <v>5390</v>
      </c>
      <c r="E16" s="92">
        <v>26035202888</v>
      </c>
      <c r="F16" s="93" t="s">
        <v>5391</v>
      </c>
      <c r="G16" s="86" t="s">
        <v>5392</v>
      </c>
      <c r="H16" s="90">
        <v>28119</v>
      </c>
      <c r="I16" s="86" t="s">
        <v>5393</v>
      </c>
      <c r="K16" s="86"/>
      <c r="L16" s="86"/>
      <c r="M16" s="91"/>
      <c r="N16" s="91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</row>
    <row r="17" spans="1:25" hidden="1">
      <c r="A17" s="82" t="s">
        <v>5394</v>
      </c>
      <c r="B17" s="77">
        <v>109100</v>
      </c>
      <c r="C17" s="77" t="s">
        <v>5395</v>
      </c>
      <c r="D17" s="82" t="s">
        <v>5396</v>
      </c>
      <c r="E17" s="94">
        <v>7358487427</v>
      </c>
      <c r="F17" s="95" t="s">
        <v>5397</v>
      </c>
      <c r="G17" s="77" t="s">
        <v>5398</v>
      </c>
      <c r="H17" s="85">
        <v>32236</v>
      </c>
      <c r="I17" s="77" t="s">
        <v>5399</v>
      </c>
    </row>
    <row r="18" spans="1:25" ht="15.75" hidden="1" customHeight="1">
      <c r="A18" s="87" t="s">
        <v>5394</v>
      </c>
      <c r="B18" s="86">
        <v>105893</v>
      </c>
      <c r="C18" s="86" t="s">
        <v>5400</v>
      </c>
      <c r="D18" s="87" t="s">
        <v>5401</v>
      </c>
      <c r="E18" s="92">
        <v>2210513413</v>
      </c>
      <c r="F18" s="93" t="s">
        <v>5402</v>
      </c>
      <c r="G18" s="86" t="s">
        <v>5403</v>
      </c>
      <c r="H18" s="90">
        <v>27818</v>
      </c>
      <c r="I18" s="86" t="s">
        <v>5404</v>
      </c>
      <c r="K18" s="86"/>
      <c r="L18" s="86"/>
      <c r="M18" s="91"/>
      <c r="N18" s="91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</row>
    <row r="19" spans="1:25" ht="15" customHeight="1">
      <c r="A19" s="82" t="s">
        <v>5405</v>
      </c>
      <c r="B19" s="77">
        <v>104158</v>
      </c>
      <c r="C19" s="77" t="s">
        <v>5406</v>
      </c>
      <c r="D19" s="82" t="s">
        <v>5407</v>
      </c>
      <c r="E19" s="94" t="s">
        <v>5408</v>
      </c>
      <c r="F19" s="95" t="s">
        <v>5409</v>
      </c>
      <c r="G19" s="77" t="s">
        <v>5410</v>
      </c>
      <c r="H19" s="85">
        <v>29313</v>
      </c>
      <c r="I19" s="77" t="s">
        <v>5411</v>
      </c>
    </row>
    <row r="20" spans="1:25" ht="15.75" customHeight="1">
      <c r="A20" s="87" t="s">
        <v>5405</v>
      </c>
      <c r="B20" s="86">
        <v>110958</v>
      </c>
      <c r="C20" s="86" t="s">
        <v>5412</v>
      </c>
      <c r="D20" s="87" t="s">
        <v>5413</v>
      </c>
      <c r="E20" s="92" t="s">
        <v>5414</v>
      </c>
      <c r="F20" s="93" t="s">
        <v>5415</v>
      </c>
      <c r="G20" s="86" t="s">
        <v>5416</v>
      </c>
      <c r="H20" s="90">
        <v>26895</v>
      </c>
      <c r="I20" s="86" t="s">
        <v>5417</v>
      </c>
      <c r="K20" s="86"/>
      <c r="L20" s="86"/>
      <c r="M20" s="91"/>
      <c r="N20" s="91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</row>
    <row r="21" spans="1:25">
      <c r="A21" s="82" t="s">
        <v>5418</v>
      </c>
      <c r="B21" s="77">
        <v>111639</v>
      </c>
      <c r="C21" s="77" t="s">
        <v>5419</v>
      </c>
      <c r="D21" s="82" t="s">
        <v>5420</v>
      </c>
      <c r="E21" s="94" t="s">
        <v>5421</v>
      </c>
      <c r="F21" s="95" t="s">
        <v>5422</v>
      </c>
      <c r="G21" s="77" t="s">
        <v>5423</v>
      </c>
      <c r="H21" s="85">
        <v>27725</v>
      </c>
      <c r="I21" s="77" t="s">
        <v>5424</v>
      </c>
    </row>
    <row r="22" spans="1:25" hidden="1">
      <c r="A22" s="87" t="s">
        <v>5425</v>
      </c>
      <c r="B22" s="86">
        <v>103905</v>
      </c>
      <c r="C22" s="86" t="s">
        <v>5426</v>
      </c>
      <c r="D22" s="87" t="s">
        <v>5427</v>
      </c>
      <c r="E22" s="92" t="s">
        <v>5428</v>
      </c>
      <c r="F22" s="93" t="s">
        <v>5429</v>
      </c>
      <c r="G22" s="86" t="s">
        <v>5430</v>
      </c>
      <c r="H22" s="90">
        <v>21492</v>
      </c>
      <c r="I22" s="86" t="s">
        <v>5431</v>
      </c>
      <c r="K22" s="86"/>
      <c r="L22" s="86"/>
      <c r="M22" s="91"/>
      <c r="N22" s="91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</row>
    <row r="23" spans="1:25" hidden="1">
      <c r="A23" s="82" t="s">
        <v>5425</v>
      </c>
      <c r="B23" s="77">
        <v>107864</v>
      </c>
      <c r="C23" s="77" t="s">
        <v>5432</v>
      </c>
      <c r="D23" s="82" t="s">
        <v>5433</v>
      </c>
      <c r="E23" s="94" t="s">
        <v>5434</v>
      </c>
      <c r="F23" s="95" t="s">
        <v>5435</v>
      </c>
      <c r="G23" s="77" t="s">
        <v>5436</v>
      </c>
      <c r="H23" s="85">
        <v>29353</v>
      </c>
      <c r="I23" s="77" t="s">
        <v>5437</v>
      </c>
    </row>
    <row r="24" spans="1:25" ht="15.75" hidden="1" customHeight="1">
      <c r="A24" s="87" t="s">
        <v>5425</v>
      </c>
      <c r="B24" s="86">
        <v>112360</v>
      </c>
      <c r="C24" s="86" t="s">
        <v>5438</v>
      </c>
      <c r="D24" s="87" t="s">
        <v>5439</v>
      </c>
      <c r="E24" s="92" t="s">
        <v>5440</v>
      </c>
      <c r="F24" s="93" t="s">
        <v>5441</v>
      </c>
      <c r="G24" s="86" t="s">
        <v>5442</v>
      </c>
      <c r="H24" s="90">
        <v>28314</v>
      </c>
      <c r="I24" s="86" t="s">
        <v>5443</v>
      </c>
      <c r="K24" s="86"/>
      <c r="L24" s="86"/>
      <c r="M24" s="91"/>
      <c r="N24" s="91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</row>
    <row r="25" spans="1:25" hidden="1">
      <c r="A25" s="82" t="s">
        <v>5425</v>
      </c>
      <c r="B25" s="77">
        <v>109128</v>
      </c>
      <c r="C25" s="77" t="s">
        <v>5444</v>
      </c>
      <c r="D25" s="82" t="s">
        <v>5445</v>
      </c>
      <c r="E25" s="94" t="s">
        <v>5446</v>
      </c>
      <c r="F25" s="95" t="s">
        <v>5447</v>
      </c>
      <c r="G25" s="77" t="s">
        <v>5448</v>
      </c>
      <c r="H25" s="85">
        <v>33164</v>
      </c>
      <c r="I25" s="77" t="s">
        <v>5449</v>
      </c>
    </row>
    <row r="26" spans="1:25" ht="15.75" hidden="1" customHeight="1">
      <c r="A26" s="87" t="s">
        <v>5425</v>
      </c>
      <c r="B26" s="86">
        <v>111866</v>
      </c>
      <c r="C26" s="86" t="s">
        <v>5450</v>
      </c>
      <c r="D26" s="87" t="s">
        <v>5451</v>
      </c>
      <c r="E26" s="92" t="s">
        <v>5452</v>
      </c>
      <c r="F26" s="93" t="s">
        <v>5453</v>
      </c>
      <c r="G26" s="86" t="s">
        <v>5454</v>
      </c>
      <c r="H26" s="90">
        <v>27064</v>
      </c>
      <c r="I26" s="86" t="s">
        <v>5455</v>
      </c>
      <c r="K26" s="86"/>
      <c r="L26" s="86"/>
      <c r="M26" s="91"/>
      <c r="N26" s="91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</row>
    <row r="27" spans="1:25" ht="15" hidden="1" customHeight="1">
      <c r="A27" s="98" t="s">
        <v>384</v>
      </c>
      <c r="B27" s="77">
        <v>103775</v>
      </c>
      <c r="C27" s="77" t="s">
        <v>5456</v>
      </c>
      <c r="D27" s="77" t="s">
        <v>5457</v>
      </c>
      <c r="E27" s="94" t="s">
        <v>5458</v>
      </c>
      <c r="F27" s="95" t="s">
        <v>5459</v>
      </c>
      <c r="G27" s="99" t="s">
        <v>5460</v>
      </c>
      <c r="H27" s="85">
        <v>31487</v>
      </c>
      <c r="I27" s="100" t="s">
        <v>5461</v>
      </c>
      <c r="K27" s="77" t="s">
        <v>5462</v>
      </c>
      <c r="L27" s="77" t="s">
        <v>5462</v>
      </c>
      <c r="M27" s="78" t="s">
        <v>5462</v>
      </c>
      <c r="O27" s="77" t="s">
        <v>5462</v>
      </c>
      <c r="P27" s="77" t="s">
        <v>5462</v>
      </c>
      <c r="Q27" s="77" t="s">
        <v>5462</v>
      </c>
      <c r="R27" s="77" t="s">
        <v>5462</v>
      </c>
      <c r="U27" s="77" t="s">
        <v>5462</v>
      </c>
      <c r="X27" s="77" t="s">
        <v>5462</v>
      </c>
    </row>
    <row r="28" spans="1:25" hidden="1">
      <c r="A28" s="101" t="s">
        <v>384</v>
      </c>
      <c r="B28" s="86">
        <v>106165</v>
      </c>
      <c r="C28" s="86" t="s">
        <v>5463</v>
      </c>
      <c r="D28" s="87" t="s">
        <v>5464</v>
      </c>
      <c r="E28" s="92" t="s">
        <v>5458</v>
      </c>
      <c r="F28" s="93">
        <v>7022721</v>
      </c>
      <c r="G28" s="102" t="s">
        <v>5465</v>
      </c>
      <c r="H28" s="103">
        <v>25975</v>
      </c>
      <c r="I28" s="86" t="s">
        <v>5466</v>
      </c>
      <c r="K28" s="86" t="s">
        <v>5462</v>
      </c>
      <c r="L28" s="86" t="s">
        <v>5462</v>
      </c>
      <c r="M28" s="91" t="s">
        <v>5462</v>
      </c>
      <c r="N28" s="91"/>
      <c r="O28" s="86" t="s">
        <v>5462</v>
      </c>
      <c r="P28" s="86" t="s">
        <v>5462</v>
      </c>
      <c r="Q28" s="86" t="s">
        <v>5462</v>
      </c>
      <c r="R28" s="86" t="s">
        <v>5462</v>
      </c>
      <c r="S28" s="86"/>
      <c r="T28" s="86" t="s">
        <v>5462</v>
      </c>
      <c r="U28" s="86"/>
      <c r="V28" s="86" t="s">
        <v>5462</v>
      </c>
      <c r="W28" s="86"/>
      <c r="X28" s="86" t="s">
        <v>5462</v>
      </c>
      <c r="Y28" s="86"/>
    </row>
    <row r="29" spans="1:25" hidden="1">
      <c r="A29" s="98" t="s">
        <v>384</v>
      </c>
      <c r="B29" s="77">
        <v>103910</v>
      </c>
      <c r="C29" s="77" t="s">
        <v>5467</v>
      </c>
      <c r="D29" s="82" t="s">
        <v>5468</v>
      </c>
      <c r="E29" s="94" t="s">
        <v>5469</v>
      </c>
      <c r="F29" s="95" t="s">
        <v>5470</v>
      </c>
      <c r="G29" s="99" t="s">
        <v>5471</v>
      </c>
      <c r="H29" s="85">
        <v>24789</v>
      </c>
      <c r="I29" s="77" t="s">
        <v>5472</v>
      </c>
      <c r="N29" s="78" t="s">
        <v>5462</v>
      </c>
      <c r="R29" s="77" t="s">
        <v>5462</v>
      </c>
      <c r="S29" s="77" t="s">
        <v>5462</v>
      </c>
      <c r="T29" s="77" t="s">
        <v>5462</v>
      </c>
      <c r="U29" s="77" t="s">
        <v>5462</v>
      </c>
      <c r="V29" s="77" t="s">
        <v>5462</v>
      </c>
      <c r="Y29" s="77" t="s">
        <v>5462</v>
      </c>
    </row>
    <row r="30" spans="1:25" hidden="1">
      <c r="A30" s="101" t="s">
        <v>384</v>
      </c>
      <c r="B30" s="86">
        <v>103399</v>
      </c>
      <c r="C30" s="86" t="s">
        <v>5473</v>
      </c>
      <c r="D30" s="87" t="s">
        <v>5474</v>
      </c>
      <c r="E30" s="92" t="s">
        <v>5475</v>
      </c>
      <c r="F30" s="93" t="s">
        <v>5476</v>
      </c>
      <c r="G30" s="102" t="s">
        <v>5477</v>
      </c>
      <c r="H30" s="90">
        <v>29341</v>
      </c>
      <c r="I30" s="86" t="s">
        <v>5478</v>
      </c>
      <c r="K30" s="86" t="s">
        <v>5462</v>
      </c>
      <c r="L30" s="86" t="s">
        <v>5462</v>
      </c>
      <c r="M30" s="91" t="s">
        <v>5462</v>
      </c>
      <c r="N30" s="91" t="s">
        <v>5462</v>
      </c>
      <c r="O30" s="86" t="s">
        <v>5462</v>
      </c>
      <c r="P30" s="86" t="s">
        <v>5462</v>
      </c>
      <c r="Q30" s="86" t="s">
        <v>5462</v>
      </c>
      <c r="R30" s="86" t="s">
        <v>5462</v>
      </c>
      <c r="S30" s="86"/>
      <c r="T30" s="86" t="s">
        <v>5462</v>
      </c>
      <c r="U30" s="86" t="s">
        <v>5462</v>
      </c>
      <c r="V30" s="86" t="s">
        <v>5462</v>
      </c>
      <c r="W30" s="86" t="s">
        <v>5462</v>
      </c>
      <c r="X30" s="86" t="s">
        <v>5462</v>
      </c>
      <c r="Y30" s="86" t="s">
        <v>5462</v>
      </c>
    </row>
    <row r="31" spans="1:25" hidden="1">
      <c r="A31" s="98" t="s">
        <v>384</v>
      </c>
      <c r="B31" s="77">
        <v>110437</v>
      </c>
      <c r="C31" s="77" t="s">
        <v>5479</v>
      </c>
      <c r="D31" s="82" t="s">
        <v>5480</v>
      </c>
      <c r="E31" s="94" t="s">
        <v>5481</v>
      </c>
      <c r="F31" s="95" t="s">
        <v>5482</v>
      </c>
      <c r="G31" s="99" t="s">
        <v>5483</v>
      </c>
      <c r="H31" s="85">
        <v>30389</v>
      </c>
      <c r="I31" s="77" t="s">
        <v>5484</v>
      </c>
      <c r="O31" s="77" t="s">
        <v>5462</v>
      </c>
      <c r="P31" s="77" t="s">
        <v>5462</v>
      </c>
      <c r="Q31" s="77" t="s">
        <v>5462</v>
      </c>
      <c r="R31" s="77" t="s">
        <v>5462</v>
      </c>
      <c r="S31" s="77" t="s">
        <v>5462</v>
      </c>
      <c r="T31" s="77" t="s">
        <v>5462</v>
      </c>
      <c r="U31" s="77" t="s">
        <v>5462</v>
      </c>
      <c r="V31" s="77" t="s">
        <v>5462</v>
      </c>
      <c r="X31" s="77" t="s">
        <v>5462</v>
      </c>
      <c r="Y31" s="77" t="s">
        <v>5462</v>
      </c>
    </row>
    <row r="32" spans="1:25" hidden="1">
      <c r="A32" s="101" t="s">
        <v>384</v>
      </c>
      <c r="B32" s="86">
        <v>111452</v>
      </c>
      <c r="C32" s="86" t="s">
        <v>5485</v>
      </c>
      <c r="D32" s="87" t="s">
        <v>5486</v>
      </c>
      <c r="E32" s="92" t="s">
        <v>5487</v>
      </c>
      <c r="F32" s="93" t="s">
        <v>5488</v>
      </c>
      <c r="G32" s="102" t="s">
        <v>5489</v>
      </c>
      <c r="H32" s="90">
        <v>29260</v>
      </c>
      <c r="I32" s="86" t="s">
        <v>5490</v>
      </c>
      <c r="K32" s="86"/>
      <c r="L32" s="86"/>
      <c r="M32" s="91"/>
      <c r="N32" s="91"/>
      <c r="O32" s="86"/>
      <c r="P32" s="86"/>
      <c r="Q32" s="86"/>
      <c r="R32" s="86"/>
      <c r="S32" s="86" t="s">
        <v>5462</v>
      </c>
      <c r="T32" s="86" t="s">
        <v>5462</v>
      </c>
      <c r="U32" s="86" t="s">
        <v>5462</v>
      </c>
      <c r="V32" s="86" t="s">
        <v>5462</v>
      </c>
      <c r="W32" s="86"/>
      <c r="X32" s="86"/>
      <c r="Y32" s="86" t="s">
        <v>5462</v>
      </c>
    </row>
    <row r="33" spans="1:25" hidden="1">
      <c r="A33" s="98" t="s">
        <v>384</v>
      </c>
      <c r="B33" s="77">
        <v>5291</v>
      </c>
      <c r="C33" s="77" t="s">
        <v>5491</v>
      </c>
      <c r="D33" s="82" t="s">
        <v>5492</v>
      </c>
      <c r="E33" s="94" t="s">
        <v>5493</v>
      </c>
      <c r="F33" s="95" t="s">
        <v>5494</v>
      </c>
      <c r="G33" s="99" t="s">
        <v>5495</v>
      </c>
      <c r="H33" s="85">
        <v>23229</v>
      </c>
      <c r="I33" s="77" t="s">
        <v>5496</v>
      </c>
      <c r="S33" s="77" t="s">
        <v>5462</v>
      </c>
    </row>
    <row r="34" spans="1:25" hidden="1">
      <c r="A34" s="101" t="s">
        <v>384</v>
      </c>
      <c r="B34" s="86">
        <v>110425</v>
      </c>
      <c r="C34" s="86" t="s">
        <v>5497</v>
      </c>
      <c r="D34" s="87" t="s">
        <v>5498</v>
      </c>
      <c r="E34" s="92" t="s">
        <v>5499</v>
      </c>
      <c r="F34" s="93" t="s">
        <v>5500</v>
      </c>
      <c r="G34" s="102" t="s">
        <v>5501</v>
      </c>
      <c r="H34" s="90">
        <v>24687</v>
      </c>
      <c r="I34" s="86" t="s">
        <v>5502</v>
      </c>
      <c r="K34" s="86"/>
      <c r="L34" s="86"/>
      <c r="M34" s="91"/>
      <c r="N34" s="91"/>
      <c r="O34" s="86"/>
      <c r="P34" s="86"/>
      <c r="Q34" s="86"/>
      <c r="R34" s="86"/>
      <c r="S34" s="86" t="s">
        <v>5462</v>
      </c>
      <c r="T34" s="86" t="s">
        <v>5462</v>
      </c>
      <c r="U34" s="86" t="s">
        <v>5462</v>
      </c>
      <c r="V34" s="86" t="s">
        <v>5462</v>
      </c>
      <c r="W34" s="86" t="s">
        <v>5462</v>
      </c>
      <c r="X34" s="86" t="s">
        <v>5462</v>
      </c>
      <c r="Y34" s="86" t="s">
        <v>5462</v>
      </c>
    </row>
    <row r="35" spans="1:25" hidden="1">
      <c r="A35" s="98" t="s">
        <v>384</v>
      </c>
      <c r="B35" s="77">
        <v>111198</v>
      </c>
      <c r="C35" s="77" t="s">
        <v>5503</v>
      </c>
      <c r="D35" s="82" t="s">
        <v>5504</v>
      </c>
      <c r="E35" s="94" t="s">
        <v>5505</v>
      </c>
      <c r="F35" s="95" t="s">
        <v>5506</v>
      </c>
      <c r="G35" s="99" t="s">
        <v>5507</v>
      </c>
      <c r="H35" s="85">
        <v>27951</v>
      </c>
      <c r="I35" s="77" t="s">
        <v>5508</v>
      </c>
      <c r="K35" s="77" t="s">
        <v>5462</v>
      </c>
      <c r="L35" s="77" t="s">
        <v>5462</v>
      </c>
      <c r="M35" s="78" t="s">
        <v>5462</v>
      </c>
      <c r="N35" s="78" t="s">
        <v>5462</v>
      </c>
      <c r="P35" s="77" t="s">
        <v>5462</v>
      </c>
      <c r="Q35" s="77" t="s">
        <v>5462</v>
      </c>
      <c r="U35" s="77" t="s">
        <v>5462</v>
      </c>
      <c r="X35" s="77" t="s">
        <v>5462</v>
      </c>
    </row>
    <row r="36" spans="1:25" hidden="1">
      <c r="A36" s="101" t="s">
        <v>384</v>
      </c>
      <c r="B36" s="86">
        <v>103904</v>
      </c>
      <c r="C36" s="86" t="s">
        <v>5509</v>
      </c>
      <c r="D36" s="87" t="s">
        <v>5510</v>
      </c>
      <c r="E36" s="92" t="s">
        <v>5511</v>
      </c>
      <c r="F36" s="93" t="s">
        <v>5512</v>
      </c>
      <c r="G36" s="102" t="s">
        <v>5513</v>
      </c>
      <c r="H36" s="90">
        <v>31465</v>
      </c>
      <c r="I36" s="104" t="s">
        <v>5393</v>
      </c>
      <c r="K36" s="86" t="s">
        <v>5462</v>
      </c>
      <c r="L36" s="86" t="s">
        <v>5462</v>
      </c>
      <c r="M36" s="91" t="s">
        <v>5462</v>
      </c>
      <c r="N36" s="91"/>
      <c r="O36" s="86" t="s">
        <v>5462</v>
      </c>
      <c r="P36" s="86" t="s">
        <v>5462</v>
      </c>
      <c r="Q36" s="86" t="s">
        <v>5462</v>
      </c>
      <c r="R36" s="86" t="s">
        <v>5462</v>
      </c>
      <c r="S36" s="86"/>
      <c r="T36" s="86"/>
      <c r="U36" s="86"/>
      <c r="V36" s="86"/>
      <c r="W36" s="86"/>
      <c r="X36" s="86" t="s">
        <v>5462</v>
      </c>
      <c r="Y36" s="86"/>
    </row>
    <row r="37" spans="1:25" hidden="1">
      <c r="A37" s="98" t="s">
        <v>384</v>
      </c>
      <c r="B37" s="77">
        <v>103776</v>
      </c>
      <c r="C37" s="77" t="s">
        <v>5514</v>
      </c>
      <c r="D37" s="82" t="s">
        <v>5515</v>
      </c>
      <c r="E37" s="94" t="s">
        <v>5516</v>
      </c>
      <c r="F37" s="95" t="s">
        <v>5517</v>
      </c>
      <c r="G37" s="99" t="s">
        <v>5518</v>
      </c>
      <c r="H37" s="85">
        <v>30000</v>
      </c>
      <c r="I37" s="77" t="s">
        <v>5519</v>
      </c>
      <c r="K37" s="77" t="s">
        <v>5462</v>
      </c>
      <c r="L37" s="77" t="s">
        <v>5462</v>
      </c>
      <c r="M37" s="78" t="s">
        <v>5462</v>
      </c>
      <c r="P37" s="77" t="s">
        <v>5462</v>
      </c>
      <c r="Q37" s="77" t="s">
        <v>5462</v>
      </c>
      <c r="T37" s="77" t="s">
        <v>5462</v>
      </c>
      <c r="U37" s="77" t="s">
        <v>5462</v>
      </c>
      <c r="V37" s="77" t="s">
        <v>5462</v>
      </c>
      <c r="X37" s="77" t="s">
        <v>5462</v>
      </c>
    </row>
    <row r="38" spans="1:25" hidden="1">
      <c r="A38" s="101" t="s">
        <v>384</v>
      </c>
      <c r="B38" s="86">
        <v>111631</v>
      </c>
      <c r="C38" s="86" t="s">
        <v>5520</v>
      </c>
      <c r="D38" s="86" t="s">
        <v>5521</v>
      </c>
      <c r="E38" s="92" t="s">
        <v>5522</v>
      </c>
      <c r="F38" s="93" t="s">
        <v>5523</v>
      </c>
      <c r="G38" s="102" t="s">
        <v>5524</v>
      </c>
      <c r="H38" s="90">
        <v>23972</v>
      </c>
      <c r="I38" s="86" t="s">
        <v>5525</v>
      </c>
      <c r="K38" s="86"/>
      <c r="L38" s="86"/>
      <c r="M38" s="91"/>
      <c r="N38" s="91"/>
      <c r="O38" s="86"/>
      <c r="P38" s="86"/>
      <c r="Q38" s="86"/>
      <c r="R38" s="86"/>
      <c r="S38" s="86" t="s">
        <v>5462</v>
      </c>
      <c r="T38" s="86" t="s">
        <v>5462</v>
      </c>
      <c r="U38" s="86" t="s">
        <v>5462</v>
      </c>
      <c r="V38" s="86" t="s">
        <v>5462</v>
      </c>
      <c r="W38" s="86" t="s">
        <v>5462</v>
      </c>
      <c r="X38" s="86"/>
      <c r="Y38" s="86" t="s">
        <v>5462</v>
      </c>
    </row>
    <row r="39" spans="1:25" hidden="1">
      <c r="A39" s="98" t="s">
        <v>384</v>
      </c>
      <c r="B39" s="77">
        <v>103105</v>
      </c>
      <c r="C39" s="77" t="s">
        <v>5526</v>
      </c>
      <c r="D39" s="82" t="s">
        <v>5527</v>
      </c>
      <c r="E39" s="94" t="s">
        <v>5528</v>
      </c>
      <c r="F39" s="95" t="s">
        <v>5529</v>
      </c>
      <c r="G39" s="99" t="s">
        <v>5530</v>
      </c>
      <c r="H39" s="85">
        <v>25152</v>
      </c>
      <c r="I39" s="77" t="s">
        <v>5531</v>
      </c>
      <c r="K39" s="77" t="s">
        <v>5462</v>
      </c>
      <c r="L39" s="77" t="s">
        <v>5462</v>
      </c>
      <c r="M39" s="78" t="s">
        <v>5462</v>
      </c>
      <c r="N39" s="78" t="s">
        <v>5462</v>
      </c>
    </row>
    <row r="40" spans="1:25" hidden="1">
      <c r="A40" s="101" t="s">
        <v>384</v>
      </c>
      <c r="B40" s="86">
        <v>111528</v>
      </c>
      <c r="C40" s="86" t="s">
        <v>5532</v>
      </c>
      <c r="D40" s="87" t="s">
        <v>5533</v>
      </c>
      <c r="E40" s="92" t="s">
        <v>5534</v>
      </c>
      <c r="F40" s="93" t="s">
        <v>5535</v>
      </c>
      <c r="G40" s="102" t="s">
        <v>5536</v>
      </c>
      <c r="H40" s="90">
        <v>33554</v>
      </c>
      <c r="I40" s="86" t="s">
        <v>5537</v>
      </c>
      <c r="K40" s="86"/>
      <c r="L40" s="86"/>
      <c r="M40" s="91"/>
      <c r="N40" s="91"/>
      <c r="O40" s="86"/>
      <c r="P40" s="86"/>
      <c r="Q40" s="86"/>
      <c r="R40" s="86"/>
      <c r="S40" s="86" t="s">
        <v>5462</v>
      </c>
      <c r="T40" s="86" t="s">
        <v>5462</v>
      </c>
      <c r="U40" s="86" t="s">
        <v>5462</v>
      </c>
      <c r="V40" s="86" t="s">
        <v>5462</v>
      </c>
      <c r="W40" s="86"/>
      <c r="X40" s="86"/>
      <c r="Y40" s="86" t="s">
        <v>5462</v>
      </c>
    </row>
    <row r="41" spans="1:25" hidden="1">
      <c r="A41" s="98" t="s">
        <v>384</v>
      </c>
      <c r="B41" s="77">
        <v>111704</v>
      </c>
      <c r="C41" s="77" t="s">
        <v>5538</v>
      </c>
      <c r="D41" s="77" t="s">
        <v>5539</v>
      </c>
      <c r="E41" s="94" t="s">
        <v>5540</v>
      </c>
      <c r="F41" s="95" t="s">
        <v>5541</v>
      </c>
      <c r="G41" s="99" t="s">
        <v>5542</v>
      </c>
      <c r="H41" s="85">
        <v>24445</v>
      </c>
      <c r="I41" s="77" t="s">
        <v>5543</v>
      </c>
      <c r="O41" s="77" t="s">
        <v>5462</v>
      </c>
      <c r="R41" s="77" t="s">
        <v>5462</v>
      </c>
    </row>
    <row r="42" spans="1:25" hidden="1">
      <c r="A42" s="101" t="s">
        <v>384</v>
      </c>
      <c r="B42" s="86">
        <v>102863</v>
      </c>
      <c r="C42" s="86" t="s">
        <v>5544</v>
      </c>
      <c r="D42" s="87" t="s">
        <v>5545</v>
      </c>
      <c r="E42" s="92" t="s">
        <v>5546</v>
      </c>
      <c r="F42" s="93" t="s">
        <v>5547</v>
      </c>
      <c r="G42" s="102" t="s">
        <v>5548</v>
      </c>
      <c r="H42" s="90">
        <v>24599</v>
      </c>
      <c r="I42" s="86" t="s">
        <v>5549</v>
      </c>
      <c r="K42" s="86" t="s">
        <v>5462</v>
      </c>
      <c r="L42" s="86" t="s">
        <v>5462</v>
      </c>
      <c r="M42" s="91" t="s">
        <v>5462</v>
      </c>
      <c r="N42" s="91" t="s">
        <v>5462</v>
      </c>
      <c r="O42" s="86" t="s">
        <v>5462</v>
      </c>
      <c r="P42" s="86" t="s">
        <v>5462</v>
      </c>
      <c r="Q42" s="86" t="s">
        <v>5462</v>
      </c>
      <c r="R42" s="86" t="s">
        <v>5462</v>
      </c>
      <c r="S42" s="86"/>
      <c r="T42" s="86"/>
      <c r="U42" s="86"/>
      <c r="V42" s="86"/>
      <c r="W42" s="86"/>
      <c r="X42" s="86" t="s">
        <v>5462</v>
      </c>
      <c r="Y42" s="86"/>
    </row>
    <row r="43" spans="1:25" hidden="1">
      <c r="A43" s="98" t="s">
        <v>384</v>
      </c>
      <c r="B43" s="77">
        <v>106160</v>
      </c>
      <c r="C43" s="77" t="s">
        <v>5550</v>
      </c>
      <c r="D43" s="82" t="s">
        <v>5551</v>
      </c>
      <c r="E43" s="94" t="s">
        <v>5552</v>
      </c>
      <c r="F43" s="95" t="s">
        <v>5553</v>
      </c>
      <c r="G43" s="99" t="s">
        <v>5554</v>
      </c>
      <c r="H43" s="85">
        <v>31672</v>
      </c>
      <c r="I43" s="77" t="s">
        <v>5555</v>
      </c>
      <c r="K43" s="77" t="s">
        <v>5462</v>
      </c>
      <c r="L43" s="77" t="s">
        <v>5462</v>
      </c>
      <c r="M43" s="78" t="s">
        <v>5462</v>
      </c>
      <c r="N43" s="78" t="s">
        <v>5462</v>
      </c>
      <c r="O43" s="77" t="s">
        <v>5462</v>
      </c>
      <c r="P43" s="77" t="s">
        <v>5462</v>
      </c>
      <c r="Q43" s="77" t="s">
        <v>5462</v>
      </c>
      <c r="R43" s="77" t="s">
        <v>5462</v>
      </c>
      <c r="X43" s="77" t="s">
        <v>5462</v>
      </c>
    </row>
    <row r="44" spans="1:25" hidden="1">
      <c r="A44" s="101" t="s">
        <v>384</v>
      </c>
      <c r="B44" s="86">
        <v>2318</v>
      </c>
      <c r="C44" s="86" t="s">
        <v>5556</v>
      </c>
      <c r="D44" s="87" t="s">
        <v>5557</v>
      </c>
      <c r="E44" s="92">
        <v>19440090430</v>
      </c>
      <c r="F44" s="93" t="s">
        <v>5558</v>
      </c>
      <c r="G44" s="102" t="s">
        <v>5559</v>
      </c>
      <c r="H44" s="90">
        <v>22038</v>
      </c>
      <c r="I44" s="86" t="s">
        <v>5560</v>
      </c>
      <c r="K44" s="86"/>
      <c r="L44" s="86"/>
      <c r="M44" s="91"/>
      <c r="N44" s="91"/>
      <c r="O44" s="86"/>
      <c r="P44" s="86"/>
      <c r="Q44" s="86"/>
      <c r="R44" s="86"/>
      <c r="S44" s="86" t="s">
        <v>5462</v>
      </c>
      <c r="T44" s="86"/>
      <c r="U44" s="86"/>
      <c r="V44" s="86"/>
      <c r="W44" s="86" t="s">
        <v>5462</v>
      </c>
      <c r="X44" s="86" t="s">
        <v>5462</v>
      </c>
      <c r="Y44" s="86" t="s">
        <v>5462</v>
      </c>
    </row>
    <row r="45" spans="1:25" hidden="1">
      <c r="A45" s="98" t="s">
        <v>384</v>
      </c>
      <c r="B45" s="77">
        <v>102345</v>
      </c>
      <c r="C45" s="77" t="s">
        <v>5561</v>
      </c>
      <c r="D45" s="82" t="s">
        <v>5562</v>
      </c>
      <c r="E45" s="94" t="s">
        <v>5563</v>
      </c>
      <c r="F45" s="95" t="s">
        <v>5564</v>
      </c>
      <c r="G45" s="99" t="s">
        <v>5565</v>
      </c>
      <c r="H45" s="85">
        <v>31082</v>
      </c>
      <c r="I45" s="77" t="s">
        <v>5566</v>
      </c>
      <c r="O45" s="77" t="s">
        <v>5462</v>
      </c>
      <c r="P45" s="77" t="s">
        <v>5462</v>
      </c>
      <c r="Q45" s="77" t="s">
        <v>5462</v>
      </c>
      <c r="X45" s="77" t="s">
        <v>5462</v>
      </c>
    </row>
    <row r="46" spans="1:25" hidden="1">
      <c r="A46" s="101" t="s">
        <v>384</v>
      </c>
      <c r="B46" s="86">
        <v>103887</v>
      </c>
      <c r="C46" s="86" t="s">
        <v>5567</v>
      </c>
      <c r="D46" s="87" t="s">
        <v>5568</v>
      </c>
      <c r="E46" s="92" t="s">
        <v>5569</v>
      </c>
      <c r="F46" s="93" t="s">
        <v>5570</v>
      </c>
      <c r="G46" s="102" t="s">
        <v>5571</v>
      </c>
      <c r="H46" s="90">
        <v>30740</v>
      </c>
      <c r="I46" s="86" t="s">
        <v>5572</v>
      </c>
      <c r="K46" s="86" t="s">
        <v>5462</v>
      </c>
      <c r="L46" s="86" t="s">
        <v>5462</v>
      </c>
      <c r="M46" s="91" t="s">
        <v>5462</v>
      </c>
      <c r="N46" s="91"/>
      <c r="O46" s="86" t="s">
        <v>5462</v>
      </c>
      <c r="P46" s="86" t="s">
        <v>5462</v>
      </c>
      <c r="Q46" s="86" t="s">
        <v>5462</v>
      </c>
      <c r="R46" s="86" t="s">
        <v>5462</v>
      </c>
      <c r="S46" s="86"/>
      <c r="T46" s="86" t="s">
        <v>5462</v>
      </c>
      <c r="U46" s="86" t="s">
        <v>5462</v>
      </c>
      <c r="V46" s="86" t="s">
        <v>5462</v>
      </c>
      <c r="W46" s="86"/>
      <c r="X46" s="86" t="s">
        <v>5462</v>
      </c>
      <c r="Y46" s="86"/>
    </row>
    <row r="47" spans="1:25" hidden="1">
      <c r="A47" s="98" t="s">
        <v>384</v>
      </c>
      <c r="B47" s="77">
        <v>111456</v>
      </c>
      <c r="C47" s="77" t="s">
        <v>5573</v>
      </c>
      <c r="D47" s="82" t="s">
        <v>5574</v>
      </c>
      <c r="E47" s="94" t="s">
        <v>5575</v>
      </c>
      <c r="F47" s="95" t="s">
        <v>5576</v>
      </c>
      <c r="G47" s="99" t="s">
        <v>5577</v>
      </c>
      <c r="H47" s="85">
        <v>26829</v>
      </c>
      <c r="I47" s="77" t="s">
        <v>5578</v>
      </c>
      <c r="K47" s="77" t="s">
        <v>5462</v>
      </c>
      <c r="L47" s="77" t="s">
        <v>5462</v>
      </c>
      <c r="M47" s="78" t="s">
        <v>5462</v>
      </c>
      <c r="N47" s="78" t="s">
        <v>5462</v>
      </c>
      <c r="P47" s="77" t="s">
        <v>5462</v>
      </c>
      <c r="Q47" s="77" t="s">
        <v>5462</v>
      </c>
      <c r="X47" s="77" t="s">
        <v>5462</v>
      </c>
    </row>
    <row r="48" spans="1:25" hidden="1">
      <c r="A48" s="101" t="s">
        <v>384</v>
      </c>
      <c r="B48" s="86">
        <v>109670</v>
      </c>
      <c r="C48" s="86" t="s">
        <v>5579</v>
      </c>
      <c r="D48" s="87" t="s">
        <v>5580</v>
      </c>
      <c r="E48" s="92" t="s">
        <v>5581</v>
      </c>
      <c r="F48" s="93" t="s">
        <v>5582</v>
      </c>
      <c r="G48" s="102" t="s">
        <v>5583</v>
      </c>
      <c r="H48" s="90">
        <v>23902</v>
      </c>
      <c r="I48" s="86" t="s">
        <v>5584</v>
      </c>
      <c r="K48" s="86"/>
      <c r="L48" s="86"/>
      <c r="M48" s="91"/>
      <c r="N48" s="91"/>
      <c r="O48" s="86"/>
      <c r="P48" s="86"/>
      <c r="Q48" s="86"/>
      <c r="R48" s="86"/>
      <c r="S48" s="86" t="s">
        <v>5462</v>
      </c>
      <c r="T48" s="86" t="s">
        <v>5462</v>
      </c>
      <c r="U48" s="86" t="s">
        <v>5462</v>
      </c>
      <c r="V48" s="86" t="s">
        <v>5462</v>
      </c>
      <c r="W48" s="86" t="s">
        <v>5462</v>
      </c>
      <c r="X48" s="86" t="s">
        <v>5462</v>
      </c>
      <c r="Y48" s="86" t="s">
        <v>5462</v>
      </c>
    </row>
    <row r="49" spans="1:25" hidden="1">
      <c r="A49" s="98" t="s">
        <v>384</v>
      </c>
      <c r="B49" s="77">
        <v>104605</v>
      </c>
      <c r="C49" s="77" t="s">
        <v>5585</v>
      </c>
      <c r="D49" s="82" t="s">
        <v>5586</v>
      </c>
      <c r="E49" s="94" t="s">
        <v>5587</v>
      </c>
      <c r="F49" s="95" t="s">
        <v>5588</v>
      </c>
      <c r="G49" s="99" t="s">
        <v>5589</v>
      </c>
      <c r="H49" s="85">
        <v>32356</v>
      </c>
      <c r="I49" s="77" t="s">
        <v>5590</v>
      </c>
      <c r="K49" s="77" t="s">
        <v>5462</v>
      </c>
      <c r="L49" s="77" t="s">
        <v>5462</v>
      </c>
      <c r="O49" s="77" t="s">
        <v>5462</v>
      </c>
      <c r="P49" s="77" t="s">
        <v>5462</v>
      </c>
      <c r="Q49" s="77" t="s">
        <v>5462</v>
      </c>
      <c r="R49" s="77" t="s">
        <v>5462</v>
      </c>
      <c r="X49" s="77" t="s">
        <v>5462</v>
      </c>
    </row>
    <row r="50" spans="1:25" hidden="1">
      <c r="A50" s="101" t="s">
        <v>5591</v>
      </c>
      <c r="B50" s="86">
        <v>111040</v>
      </c>
      <c r="C50" s="86" t="s">
        <v>5592</v>
      </c>
      <c r="D50" s="87" t="s">
        <v>5593</v>
      </c>
      <c r="E50" s="92" t="s">
        <v>5594</v>
      </c>
      <c r="F50" s="93" t="s">
        <v>5595</v>
      </c>
      <c r="G50" s="102" t="s">
        <v>5596</v>
      </c>
      <c r="H50" s="90">
        <v>23996</v>
      </c>
      <c r="I50" s="104" t="s">
        <v>5393</v>
      </c>
      <c r="K50" s="86"/>
      <c r="L50" s="86"/>
      <c r="M50" s="91"/>
      <c r="N50" s="91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</row>
    <row r="51" spans="1:25" ht="15.75" hidden="1" customHeight="1">
      <c r="A51" s="77" t="s">
        <v>5591</v>
      </c>
      <c r="B51" s="77">
        <v>111457</v>
      </c>
      <c r="C51" s="77" t="s">
        <v>5597</v>
      </c>
      <c r="D51" s="78" t="s">
        <v>5598</v>
      </c>
      <c r="G51" s="77" t="s">
        <v>5599</v>
      </c>
    </row>
    <row r="52" spans="1:25" ht="15.75" hidden="1" customHeight="1">
      <c r="A52" s="86" t="s">
        <v>5591</v>
      </c>
      <c r="B52" s="86">
        <v>107378</v>
      </c>
      <c r="C52" s="86" t="s">
        <v>5600</v>
      </c>
      <c r="D52" s="105" t="s">
        <v>5601</v>
      </c>
      <c r="E52" s="86"/>
      <c r="F52" s="86"/>
      <c r="G52" s="86" t="s">
        <v>5602</v>
      </c>
      <c r="H52" s="86"/>
      <c r="I52" s="86" t="s">
        <v>5599</v>
      </c>
      <c r="K52" s="86"/>
      <c r="L52" s="86"/>
      <c r="M52" s="91"/>
      <c r="N52" s="91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</row>
    <row r="53" spans="1:25" ht="15.75" hidden="1" customHeight="1">
      <c r="A53" s="77" t="s">
        <v>5591</v>
      </c>
      <c r="B53" s="77">
        <v>103895</v>
      </c>
      <c r="C53" s="77" t="s">
        <v>5603</v>
      </c>
      <c r="D53" s="106" t="s">
        <v>5604</v>
      </c>
      <c r="G53" s="77" t="s">
        <v>5599</v>
      </c>
    </row>
    <row r="54" spans="1:25" ht="15.75" customHeight="1">
      <c r="A54" s="86"/>
      <c r="B54" s="86"/>
      <c r="C54" s="86"/>
      <c r="D54" s="91"/>
      <c r="E54" s="86"/>
      <c r="F54" s="86"/>
      <c r="G54" s="86"/>
      <c r="H54" s="86"/>
      <c r="I54" s="86"/>
      <c r="K54" s="86"/>
      <c r="L54" s="86"/>
      <c r="M54" s="91"/>
      <c r="N54" s="91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</row>
    <row r="55" spans="1:25">
      <c r="E55" s="107"/>
    </row>
    <row r="56" spans="1:25" ht="24.75" customHeight="1">
      <c r="D56" s="208"/>
      <c r="E56" s="208"/>
      <c r="F56" s="108"/>
      <c r="G56" s="108"/>
    </row>
    <row r="57" spans="1:25">
      <c r="A57" s="109" t="s">
        <v>5605</v>
      </c>
      <c r="B57" s="110">
        <f ca="1">NOW()</f>
        <v>44986.676271643519</v>
      </c>
      <c r="D57" s="108"/>
      <c r="E57" s="111"/>
      <c r="F57" s="108"/>
      <c r="G57" s="112"/>
    </row>
    <row r="58" spans="1:25">
      <c r="A58" s="113" t="s">
        <v>5606</v>
      </c>
      <c r="B58" s="114">
        <v>43854</v>
      </c>
      <c r="D58" s="108"/>
      <c r="E58" s="111"/>
      <c r="F58" s="108"/>
      <c r="G58" s="112"/>
    </row>
    <row r="59" spans="1:25">
      <c r="A59" s="115" t="s">
        <v>5607</v>
      </c>
      <c r="B59" s="116">
        <f ca="1">(B57-B58)/365</f>
        <v>3.1032226620370373</v>
      </c>
      <c r="C59" s="77" t="s">
        <v>5608</v>
      </c>
      <c r="D59" s="108"/>
      <c r="E59" s="111"/>
      <c r="F59" s="108"/>
      <c r="G59" s="117"/>
    </row>
    <row r="60" spans="1:25">
      <c r="A60" s="118" t="s">
        <v>5609</v>
      </c>
      <c r="B60" s="119">
        <v>720</v>
      </c>
      <c r="C60" s="120">
        <f>B60/365</f>
        <v>1.9726027397260273</v>
      </c>
      <c r="D60" s="121" t="s">
        <v>5610</v>
      </c>
      <c r="E60" s="111"/>
      <c r="F60" s="108"/>
      <c r="G60" s="117"/>
    </row>
    <row r="61" spans="1:25">
      <c r="A61" s="122" t="s">
        <v>5611</v>
      </c>
      <c r="B61" s="123">
        <f>B58+B60</f>
        <v>44574</v>
      </c>
      <c r="D61" s="108"/>
      <c r="E61" s="111"/>
      <c r="F61" s="108"/>
      <c r="G61" s="124"/>
    </row>
    <row r="62" spans="1:25">
      <c r="A62" s="125" t="s">
        <v>5612</v>
      </c>
      <c r="B62" s="126">
        <f>B58+3650</f>
        <v>47504</v>
      </c>
      <c r="D62" s="108"/>
      <c r="E62" s="111"/>
      <c r="F62" s="108"/>
      <c r="G62" s="124"/>
    </row>
    <row r="63" spans="1:25">
      <c r="D63" s="108"/>
      <c r="E63" s="111"/>
      <c r="F63" s="108"/>
      <c r="G63" s="124"/>
    </row>
    <row r="64" spans="1:25">
      <c r="D64" s="108"/>
      <c r="E64" s="111"/>
      <c r="F64" s="108"/>
      <c r="G64" s="124"/>
    </row>
    <row r="65" spans="4:7">
      <c r="D65" s="108"/>
      <c r="E65" s="111"/>
      <c r="F65" s="127"/>
      <c r="G65" s="124"/>
    </row>
    <row r="66" spans="4:7">
      <c r="D66" s="108"/>
      <c r="E66" s="111"/>
      <c r="F66" s="127"/>
      <c r="G66" s="124"/>
    </row>
    <row r="67" spans="4:7">
      <c r="D67" s="108"/>
      <c r="E67" s="111"/>
      <c r="F67" s="127"/>
      <c r="G67" s="124"/>
    </row>
    <row r="68" spans="4:7">
      <c r="D68" s="108"/>
      <c r="E68" s="111"/>
      <c r="F68" s="127"/>
      <c r="G68" s="124"/>
    </row>
    <row r="69" spans="4:7">
      <c r="D69" s="108"/>
      <c r="E69" s="111"/>
      <c r="F69" s="127"/>
      <c r="G69" s="124"/>
    </row>
    <row r="70" spans="4:7">
      <c r="D70" s="108"/>
      <c r="E70" s="111"/>
      <c r="F70" s="108"/>
      <c r="G70" s="108"/>
    </row>
    <row r="71" spans="4:7">
      <c r="D71" s="108"/>
      <c r="E71" s="111"/>
      <c r="F71" s="108"/>
      <c r="G71" s="108"/>
    </row>
    <row r="72" spans="4:7">
      <c r="D72" s="108"/>
      <c r="E72" s="111"/>
      <c r="F72" s="108"/>
      <c r="G72" s="108"/>
    </row>
    <row r="73" spans="4:7">
      <c r="E73" s="107"/>
    </row>
    <row r="74" spans="4:7">
      <c r="E74" s="107"/>
    </row>
  </sheetData>
  <autoFilter ref="A1:Y53" xr:uid="{00000000-0001-0000-0B00-000000000000}">
    <filterColumn colId="0">
      <filters>
        <filter val="TR ARCOVERDE"/>
        <filter val="TR CARNAIBA"/>
        <filter val="TR SALGUEIRO"/>
        <filter val="TR SERRA TALHADA"/>
      </filters>
    </filterColumn>
  </autoFilter>
  <mergeCells count="1">
    <mergeCell ref="D56:E56"/>
  </mergeCell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Roman,Normal"&amp;12&amp;Kffffff&amp;A</oddHeader>
    <oddFooter>&amp;C&amp;"Times New Roman,Normal"&amp;12&amp;KffffffPágina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50"/>
  <sheetViews>
    <sheetView zoomScaleNormal="100" workbookViewId="0">
      <selection activeCell="J34" sqref="J34"/>
    </sheetView>
  </sheetViews>
  <sheetFormatPr defaultColWidth="9" defaultRowHeight="15"/>
  <cols>
    <col min="1" max="1" width="13.140625" style="1" customWidth="1"/>
    <col min="2" max="2" width="16.140625" style="1" customWidth="1"/>
    <col min="3" max="3" width="117.140625" customWidth="1"/>
    <col min="6" max="6" width="17.28515625" style="1" customWidth="1"/>
    <col min="7" max="7" width="25.85546875" customWidth="1"/>
    <col min="8" max="8" width="11.85546875" style="16" customWidth="1"/>
    <col min="9" max="9" width="18.7109375" style="16" customWidth="1"/>
    <col min="10" max="10" width="20.5703125" customWidth="1"/>
  </cols>
  <sheetData>
    <row r="1" spans="1:10">
      <c r="A1" s="128" t="s">
        <v>5613</v>
      </c>
      <c r="B1" s="128" t="s">
        <v>5614</v>
      </c>
      <c r="C1" s="128" t="s">
        <v>5615</v>
      </c>
      <c r="E1" s="129"/>
      <c r="F1" s="129"/>
      <c r="G1" s="129"/>
      <c r="H1" s="130"/>
      <c r="I1" s="130"/>
    </row>
    <row r="2" spans="1:10">
      <c r="A2" s="131" t="s">
        <v>5616</v>
      </c>
      <c r="B2" s="131" t="s">
        <v>5219</v>
      </c>
      <c r="C2" s="132" t="s">
        <v>5617</v>
      </c>
      <c r="E2" s="129"/>
      <c r="F2" s="133"/>
      <c r="G2" s="133"/>
      <c r="H2" s="134"/>
      <c r="I2" s="134"/>
    </row>
    <row r="3" spans="1:10">
      <c r="A3" s="131" t="s">
        <v>60</v>
      </c>
      <c r="B3" s="131" t="s">
        <v>5618</v>
      </c>
      <c r="C3" s="132" t="s">
        <v>5619</v>
      </c>
      <c r="E3" s="135"/>
      <c r="F3" s="136" t="s">
        <v>5620</v>
      </c>
      <c r="G3" s="136" t="s">
        <v>5615</v>
      </c>
      <c r="H3" s="136" t="s">
        <v>5613</v>
      </c>
      <c r="I3" s="137" t="s">
        <v>5621</v>
      </c>
      <c r="J3" s="129"/>
    </row>
    <row r="4" spans="1:10">
      <c r="A4" s="131" t="s">
        <v>5616</v>
      </c>
      <c r="B4" s="131" t="s">
        <v>5622</v>
      </c>
      <c r="C4" s="132" t="s">
        <v>5623</v>
      </c>
      <c r="E4" s="135"/>
      <c r="F4" s="138" t="s">
        <v>644</v>
      </c>
      <c r="G4" s="139" t="s">
        <v>5624</v>
      </c>
      <c r="H4" s="139" t="s">
        <v>39</v>
      </c>
      <c r="I4" s="140">
        <v>1</v>
      </c>
      <c r="J4" s="129"/>
    </row>
    <row r="5" spans="1:10">
      <c r="A5" s="131" t="s">
        <v>5616</v>
      </c>
      <c r="B5" s="131" t="s">
        <v>5622</v>
      </c>
      <c r="C5" s="132" t="s">
        <v>5623</v>
      </c>
      <c r="E5" s="135"/>
      <c r="F5" s="141" t="s">
        <v>5625</v>
      </c>
      <c r="G5" s="142" t="s">
        <v>5626</v>
      </c>
      <c r="H5" s="141" t="s">
        <v>39</v>
      </c>
      <c r="I5" s="142">
        <v>5</v>
      </c>
      <c r="J5" s="129"/>
    </row>
    <row r="6" spans="1:10">
      <c r="A6" s="131" t="s">
        <v>60</v>
      </c>
      <c r="B6" s="131" t="s">
        <v>5627</v>
      </c>
      <c r="C6" s="132" t="s">
        <v>5628</v>
      </c>
      <c r="E6" s="135"/>
      <c r="F6" s="141" t="s">
        <v>29</v>
      </c>
      <c r="G6" s="142" t="s">
        <v>5629</v>
      </c>
      <c r="H6" s="142" t="s">
        <v>39</v>
      </c>
      <c r="I6" s="142">
        <v>5</v>
      </c>
      <c r="J6" s="129"/>
    </row>
    <row r="7" spans="1:10">
      <c r="A7" s="131" t="s">
        <v>5616</v>
      </c>
      <c r="B7" s="131" t="s">
        <v>5630</v>
      </c>
      <c r="C7" s="132" t="s">
        <v>5631</v>
      </c>
      <c r="E7" s="135"/>
      <c r="F7" s="143" t="s">
        <v>64</v>
      </c>
      <c r="G7" s="144" t="s">
        <v>5632</v>
      </c>
      <c r="H7" s="144" t="s">
        <v>69</v>
      </c>
      <c r="I7" s="144">
        <v>5</v>
      </c>
      <c r="J7" s="129"/>
    </row>
    <row r="8" spans="1:10">
      <c r="A8" s="131" t="s">
        <v>60</v>
      </c>
      <c r="B8" s="131" t="s">
        <v>5227</v>
      </c>
      <c r="C8" s="132" t="s">
        <v>5633</v>
      </c>
      <c r="E8" s="135"/>
      <c r="F8" s="145" t="s">
        <v>1961</v>
      </c>
      <c r="G8" s="146" t="s">
        <v>5302</v>
      </c>
      <c r="H8" s="146" t="s">
        <v>646</v>
      </c>
      <c r="I8" s="146">
        <v>7</v>
      </c>
      <c r="J8" s="129"/>
    </row>
    <row r="9" spans="1:10">
      <c r="A9" s="131" t="s">
        <v>5616</v>
      </c>
      <c r="B9" s="131" t="s">
        <v>5634</v>
      </c>
      <c r="C9" s="132" t="s">
        <v>5635</v>
      </c>
      <c r="E9" s="135"/>
      <c r="F9" s="145" t="s">
        <v>936</v>
      </c>
      <c r="G9" s="146" t="s">
        <v>5636</v>
      </c>
      <c r="H9" s="146" t="s">
        <v>646</v>
      </c>
      <c r="I9" s="146">
        <v>7</v>
      </c>
      <c r="J9" s="129"/>
    </row>
    <row r="10" spans="1:10">
      <c r="A10" s="131" t="s">
        <v>5616</v>
      </c>
      <c r="B10" s="131" t="s">
        <v>5637</v>
      </c>
      <c r="C10" s="132" t="s">
        <v>5638</v>
      </c>
      <c r="E10" s="135"/>
      <c r="F10" s="145" t="s">
        <v>647</v>
      </c>
      <c r="G10" s="146" t="s">
        <v>5639</v>
      </c>
      <c r="H10" s="146" t="s">
        <v>646</v>
      </c>
      <c r="I10" s="146">
        <v>7</v>
      </c>
      <c r="J10" s="129"/>
    </row>
    <row r="11" spans="1:10">
      <c r="A11" s="131" t="s">
        <v>5616</v>
      </c>
      <c r="B11" s="131" t="s">
        <v>5640</v>
      </c>
      <c r="C11" s="132" t="s">
        <v>5641</v>
      </c>
      <c r="E11" s="135"/>
      <c r="F11" s="145" t="s">
        <v>5642</v>
      </c>
      <c r="G11" s="146" t="s">
        <v>5636</v>
      </c>
      <c r="H11" s="146" t="s">
        <v>646</v>
      </c>
      <c r="I11" s="146">
        <v>7</v>
      </c>
      <c r="J11" s="129"/>
    </row>
    <row r="12" spans="1:10">
      <c r="A12" s="131" t="s">
        <v>5616</v>
      </c>
      <c r="B12" s="131" t="s">
        <v>5643</v>
      </c>
      <c r="C12" s="132" t="s">
        <v>5644</v>
      </c>
      <c r="E12" s="135"/>
      <c r="F12" s="147" t="s">
        <v>5645</v>
      </c>
      <c r="G12" s="148" t="s">
        <v>5646</v>
      </c>
      <c r="H12" s="148" t="s">
        <v>60</v>
      </c>
      <c r="I12" s="148">
        <v>10</v>
      </c>
      <c r="J12" s="129"/>
    </row>
    <row r="13" spans="1:10">
      <c r="A13" s="131" t="s">
        <v>60</v>
      </c>
      <c r="B13" s="131" t="s">
        <v>233</v>
      </c>
      <c r="C13" s="132" t="s">
        <v>236</v>
      </c>
      <c r="E13" s="135"/>
      <c r="F13" s="149" t="s">
        <v>5645</v>
      </c>
      <c r="G13" s="150" t="s">
        <v>5647</v>
      </c>
      <c r="H13" s="150" t="s">
        <v>5616</v>
      </c>
      <c r="I13" s="150">
        <v>10</v>
      </c>
      <c r="J13" s="129"/>
    </row>
    <row r="14" spans="1:10">
      <c r="A14" s="131" t="s">
        <v>60</v>
      </c>
      <c r="B14" s="131" t="s">
        <v>5231</v>
      </c>
      <c r="C14" s="132" t="s">
        <v>5648</v>
      </c>
      <c r="E14" s="129"/>
      <c r="F14" s="151"/>
      <c r="G14" s="129"/>
      <c r="H14" s="130"/>
      <c r="I14" s="130"/>
    </row>
    <row r="15" spans="1:10">
      <c r="A15" s="131" t="s">
        <v>60</v>
      </c>
      <c r="B15" s="131" t="s">
        <v>5233</v>
      </c>
      <c r="C15" s="132" t="s">
        <v>5649</v>
      </c>
    </row>
    <row r="16" spans="1:10">
      <c r="A16" s="131" t="s">
        <v>5616</v>
      </c>
      <c r="B16" s="131" t="s">
        <v>5650</v>
      </c>
      <c r="C16" s="132" t="s">
        <v>5651</v>
      </c>
    </row>
    <row r="17" spans="1:10">
      <c r="A17" s="131" t="s">
        <v>5616</v>
      </c>
      <c r="B17" s="131" t="s">
        <v>5650</v>
      </c>
      <c r="C17" s="132" t="s">
        <v>5651</v>
      </c>
    </row>
    <row r="18" spans="1:10">
      <c r="A18" s="131" t="s">
        <v>5616</v>
      </c>
      <c r="B18" s="131" t="s">
        <v>5652</v>
      </c>
      <c r="C18" s="132" t="s">
        <v>5653</v>
      </c>
      <c r="E18" s="24"/>
      <c r="F18" s="24"/>
      <c r="G18" s="24"/>
      <c r="H18" s="172"/>
      <c r="I18" s="172"/>
    </row>
    <row r="19" spans="1:10">
      <c r="A19" s="131" t="s">
        <v>5616</v>
      </c>
      <c r="B19" s="131" t="s">
        <v>5654</v>
      </c>
      <c r="C19" s="132" t="s">
        <v>5655</v>
      </c>
      <c r="E19" s="152"/>
      <c r="F19" s="154"/>
      <c r="G19" s="154"/>
      <c r="H19" s="155"/>
      <c r="I19" s="155"/>
    </row>
    <row r="20" spans="1:10">
      <c r="A20" s="131" t="s">
        <v>5616</v>
      </c>
      <c r="B20" s="131" t="s">
        <v>1997</v>
      </c>
      <c r="C20" s="132" t="s">
        <v>2000</v>
      </c>
      <c r="E20" s="156"/>
      <c r="F20" s="157" t="s">
        <v>5620</v>
      </c>
      <c r="G20" s="157" t="s">
        <v>5615</v>
      </c>
      <c r="H20" s="157" t="s">
        <v>5613</v>
      </c>
      <c r="I20" s="158" t="s">
        <v>5621</v>
      </c>
      <c r="J20" s="157" t="s">
        <v>5656</v>
      </c>
    </row>
    <row r="21" spans="1:10">
      <c r="A21" s="131" t="s">
        <v>60</v>
      </c>
      <c r="B21" s="131" t="s">
        <v>128</v>
      </c>
      <c r="C21" s="132" t="s">
        <v>129</v>
      </c>
      <c r="E21" s="156"/>
      <c r="F21" s="159" t="s">
        <v>644</v>
      </c>
      <c r="G21" s="160" t="s">
        <v>5624</v>
      </c>
      <c r="H21" s="160" t="s">
        <v>39</v>
      </c>
      <c r="I21" s="161">
        <v>1</v>
      </c>
      <c r="J21" s="160" t="s">
        <v>5657</v>
      </c>
    </row>
    <row r="22" spans="1:10">
      <c r="A22" s="131" t="s">
        <v>60</v>
      </c>
      <c r="B22" s="131" t="s">
        <v>123</v>
      </c>
      <c r="C22" s="132" t="s">
        <v>126</v>
      </c>
      <c r="E22" s="156"/>
      <c r="F22" s="162" t="s">
        <v>5625</v>
      </c>
      <c r="G22" s="163" t="s">
        <v>5626</v>
      </c>
      <c r="H22" s="162" t="s">
        <v>39</v>
      </c>
      <c r="I22" s="163">
        <v>5</v>
      </c>
      <c r="J22" s="163" t="s">
        <v>5657</v>
      </c>
    </row>
    <row r="23" spans="1:10">
      <c r="A23" s="131" t="s">
        <v>60</v>
      </c>
      <c r="B23" s="131" t="s">
        <v>2058</v>
      </c>
      <c r="C23" s="132" t="s">
        <v>2061</v>
      </c>
      <c r="E23" s="156"/>
      <c r="F23" s="162" t="s">
        <v>29</v>
      </c>
      <c r="G23" s="163" t="s">
        <v>5629</v>
      </c>
      <c r="H23" s="163" t="s">
        <v>39</v>
      </c>
      <c r="I23" s="163">
        <v>5</v>
      </c>
      <c r="J23" s="163" t="s">
        <v>5657</v>
      </c>
    </row>
    <row r="24" spans="1:10">
      <c r="A24" s="131" t="s">
        <v>5616</v>
      </c>
      <c r="B24" s="131" t="s">
        <v>5658</v>
      </c>
      <c r="C24" s="132" t="s">
        <v>5659</v>
      </c>
      <c r="E24" s="156"/>
      <c r="F24" s="162" t="s">
        <v>936</v>
      </c>
      <c r="G24" s="163" t="s">
        <v>5636</v>
      </c>
      <c r="H24" s="163" t="s">
        <v>646</v>
      </c>
      <c r="I24" s="163">
        <v>5</v>
      </c>
      <c r="J24" s="163" t="s">
        <v>5660</v>
      </c>
    </row>
    <row r="25" spans="1:10">
      <c r="A25" s="131" t="s">
        <v>5616</v>
      </c>
      <c r="B25" s="131" t="s">
        <v>5661</v>
      </c>
      <c r="C25" s="132" t="s">
        <v>5662</v>
      </c>
      <c r="E25" s="156"/>
      <c r="F25" s="162" t="s">
        <v>5642</v>
      </c>
      <c r="G25" s="163" t="s">
        <v>5636</v>
      </c>
      <c r="H25" s="163" t="s">
        <v>646</v>
      </c>
      <c r="I25" s="163">
        <v>5</v>
      </c>
      <c r="J25" s="163" t="s">
        <v>5660</v>
      </c>
    </row>
    <row r="26" spans="1:10">
      <c r="A26" s="131" t="s">
        <v>5616</v>
      </c>
      <c r="B26" s="131" t="s">
        <v>2533</v>
      </c>
      <c r="C26" s="132" t="s">
        <v>2536</v>
      </c>
      <c r="E26" s="156"/>
      <c r="F26" s="162" t="s">
        <v>64</v>
      </c>
      <c r="G26" s="163" t="s">
        <v>5632</v>
      </c>
      <c r="H26" s="163" t="s">
        <v>69</v>
      </c>
      <c r="I26" s="163">
        <v>10</v>
      </c>
      <c r="J26" s="163" t="s">
        <v>5660</v>
      </c>
    </row>
    <row r="27" spans="1:10">
      <c r="A27" s="131" t="s">
        <v>5616</v>
      </c>
      <c r="B27" s="131" t="s">
        <v>2744</v>
      </c>
      <c r="C27" s="132" t="s">
        <v>2745</v>
      </c>
      <c r="E27" s="156"/>
      <c r="F27" s="162" t="s">
        <v>5645</v>
      </c>
      <c r="G27" s="163" t="s">
        <v>5646</v>
      </c>
      <c r="H27" s="163" t="s">
        <v>60</v>
      </c>
      <c r="I27" s="163">
        <v>10</v>
      </c>
      <c r="J27" s="163" t="s">
        <v>5663</v>
      </c>
    </row>
    <row r="28" spans="1:10">
      <c r="A28" s="131" t="s">
        <v>5616</v>
      </c>
      <c r="B28" s="131" t="s">
        <v>3543</v>
      </c>
      <c r="C28" s="132" t="s">
        <v>3544</v>
      </c>
      <c r="E28" s="156"/>
      <c r="F28" s="162" t="s">
        <v>5645</v>
      </c>
      <c r="G28" s="163" t="s">
        <v>5647</v>
      </c>
      <c r="H28" s="163" t="s">
        <v>5616</v>
      </c>
      <c r="I28" s="163">
        <v>10</v>
      </c>
      <c r="J28" s="163" t="s">
        <v>5663</v>
      </c>
    </row>
    <row r="29" spans="1:10">
      <c r="A29" s="131" t="s">
        <v>60</v>
      </c>
      <c r="B29" s="131" t="s">
        <v>131</v>
      </c>
      <c r="C29" s="132" t="s">
        <v>132</v>
      </c>
      <c r="E29" s="156"/>
      <c r="F29" s="162" t="s">
        <v>1961</v>
      </c>
      <c r="G29" s="163" t="s">
        <v>5302</v>
      </c>
      <c r="H29" s="163" t="s">
        <v>646</v>
      </c>
      <c r="I29" s="163">
        <v>15</v>
      </c>
      <c r="J29" s="163" t="s">
        <v>5657</v>
      </c>
    </row>
    <row r="30" spans="1:10">
      <c r="A30" s="131" t="s">
        <v>5616</v>
      </c>
      <c r="B30" s="131" t="s">
        <v>1155</v>
      </c>
      <c r="C30" s="132" t="s">
        <v>1158</v>
      </c>
      <c r="E30" s="156"/>
      <c r="F30" s="164" t="s">
        <v>647</v>
      </c>
      <c r="G30" s="164" t="s">
        <v>5639</v>
      </c>
      <c r="H30" s="164" t="s">
        <v>646</v>
      </c>
      <c r="I30" s="164">
        <v>20</v>
      </c>
      <c r="J30" s="164" t="s">
        <v>5660</v>
      </c>
    </row>
    <row r="31" spans="1:10">
      <c r="A31" s="165" t="s">
        <v>646</v>
      </c>
      <c r="B31" s="165" t="s">
        <v>1961</v>
      </c>
      <c r="C31" s="166" t="s">
        <v>1962</v>
      </c>
      <c r="E31" s="156"/>
      <c r="F31" s="167" t="s">
        <v>5664</v>
      </c>
      <c r="G31" s="154"/>
      <c r="H31" s="155"/>
      <c r="I31" s="168"/>
      <c r="J31" s="152"/>
    </row>
    <row r="32" spans="1:10">
      <c r="A32" s="169" t="s">
        <v>646</v>
      </c>
      <c r="B32" s="169" t="s">
        <v>936</v>
      </c>
      <c r="C32" s="170" t="s">
        <v>937</v>
      </c>
      <c r="E32" s="152"/>
      <c r="F32" s="171"/>
      <c r="G32" s="152"/>
      <c r="H32" s="153"/>
      <c r="I32" s="153"/>
    </row>
    <row r="33" spans="1:9">
      <c r="A33" s="169" t="s">
        <v>646</v>
      </c>
      <c r="B33" s="169" t="s">
        <v>647</v>
      </c>
      <c r="C33" s="170" t="s">
        <v>650</v>
      </c>
      <c r="E33" s="129"/>
      <c r="F33" s="129"/>
      <c r="G33" s="129"/>
      <c r="H33" s="130"/>
      <c r="I33" s="130"/>
    </row>
    <row r="34" spans="1:9">
      <c r="A34" s="165" t="s">
        <v>39</v>
      </c>
      <c r="B34" s="165" t="s">
        <v>644</v>
      </c>
      <c r="C34" s="166" t="s">
        <v>5624</v>
      </c>
    </row>
    <row r="35" spans="1:9">
      <c r="A35" s="165" t="s">
        <v>39</v>
      </c>
      <c r="B35" s="165" t="s">
        <v>5625</v>
      </c>
      <c r="C35" s="166" t="s">
        <v>5665</v>
      </c>
    </row>
    <row r="36" spans="1:9">
      <c r="A36" s="169" t="s">
        <v>646</v>
      </c>
      <c r="B36" s="169" t="s">
        <v>5642</v>
      </c>
      <c r="C36" s="170" t="s">
        <v>937</v>
      </c>
    </row>
    <row r="37" spans="1:9">
      <c r="A37" s="165" t="s">
        <v>39</v>
      </c>
      <c r="B37" s="165" t="s">
        <v>29</v>
      </c>
      <c r="C37" s="166" t="s">
        <v>5666</v>
      </c>
    </row>
    <row r="38" spans="1:9">
      <c r="A38" s="169" t="s">
        <v>69</v>
      </c>
      <c r="B38" s="169" t="s">
        <v>64</v>
      </c>
      <c r="C38" s="170" t="s">
        <v>5667</v>
      </c>
      <c r="D38" s="129"/>
    </row>
    <row r="39" spans="1:9">
      <c r="D39" s="129"/>
    </row>
    <row r="40" spans="1:9">
      <c r="D40" s="129"/>
    </row>
    <row r="41" spans="1:9">
      <c r="D41" s="129"/>
    </row>
    <row r="42" spans="1:9">
      <c r="D42" s="129"/>
    </row>
    <row r="43" spans="1:9">
      <c r="D43" s="129"/>
    </row>
    <row r="44" spans="1:9">
      <c r="D44" s="129"/>
    </row>
    <row r="45" spans="1:9">
      <c r="D45" s="129"/>
    </row>
    <row r="46" spans="1:9">
      <c r="D46" s="129"/>
    </row>
    <row r="47" spans="1:9">
      <c r="D47" s="129"/>
    </row>
    <row r="48" spans="1:9">
      <c r="D48" s="129"/>
    </row>
    <row r="49" spans="4:4">
      <c r="D49" s="129"/>
    </row>
    <row r="50" spans="4:4">
      <c r="D50" s="129"/>
    </row>
  </sheetData>
  <pageMargins left="0.51180555555555596" right="0.51180555555555596" top="0.78749999999999998" bottom="0.78749999999999998" header="0.511811023622047" footer="0.511811023622047"/>
  <pageSetup paperSize="9" scale="80"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Rinaldo de Lima Duarte</dc:creator>
  <cp:keywords/>
  <dc:description/>
  <cp:lastModifiedBy>Rinaldo de Lima Duarte</cp:lastModifiedBy>
  <cp:revision>549</cp:revision>
  <dcterms:created xsi:type="dcterms:W3CDTF">2019-11-18T12:36:22Z</dcterms:created>
  <dcterms:modified xsi:type="dcterms:W3CDTF">2023-03-01T19:17:41Z</dcterms:modified>
  <cp:category/>
  <cp:contentStatus/>
</cp:coreProperties>
</file>